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Q:\05_交通環境グループ\常用\13_自動車使用管理計画\02_要領様式の経緯\様式Ver4.7(2021-2025）省令改正\"/>
    </mc:Choice>
  </mc:AlternateContent>
  <bookViews>
    <workbookView xWindow="0" yWindow="0" windowWidth="15870" windowHeight="7125" tabRatio="775" activeTab="2"/>
  </bookViews>
  <sheets>
    <sheet name="入力について" sheetId="69" r:id="rId1"/>
    <sheet name="値貼り付けの方法" sheetId="75" r:id="rId2"/>
    <sheet name="表紙" sheetId="49" r:id="rId3"/>
    <sheet name="事業所台帳" sheetId="21" r:id="rId4"/>
    <sheet name="車両台帳" sheetId="48" r:id="rId5"/>
    <sheet name="計画1" sheetId="73" r:id="rId6"/>
    <sheet name="計画2" sheetId="72" r:id="rId7"/>
    <sheet name="実績1" sheetId="74" r:id="rId8"/>
    <sheet name="実績2" sheetId="46" r:id="rId9"/>
    <sheet name="事業所別車両状況" sheetId="12" r:id="rId10"/>
    <sheet name="【参考】産業分類" sheetId="38" r:id="rId11"/>
    <sheet name="【参考】産業分類　詳細内容" sheetId="77" r:id="rId12"/>
    <sheet name="【参考】排出係数" sheetId="67" r:id="rId13"/>
  </sheets>
  <definedNames>
    <definedName name="_" localSheetId="11">#REF!</definedName>
    <definedName name="_">車両台帳!$CC$2:$CD$4</definedName>
    <definedName name="_xlnm._FilterDatabase" localSheetId="6" hidden="1">計画2!$A$2</definedName>
    <definedName name="_xlnm._FilterDatabase" localSheetId="3" hidden="1">事業所台帳!$A$3:$F$203</definedName>
    <definedName name="_xlnm._FilterDatabase" localSheetId="8" hidden="1">実績2!#REF!</definedName>
    <definedName name="_xlnm._FilterDatabase" localSheetId="4" hidden="1">車両台帳!$B$56:$AG$56</definedName>
    <definedName name="NOX・PM減少装置装着" localSheetId="11">#REF!</definedName>
    <definedName name="NOX・PM減少装置装着">車両台帳!$CG$2:$CH$4</definedName>
    <definedName name="NOx・PM低減装置" localSheetId="11">#REF!</definedName>
    <definedName name="NOx・PM低減装置">車両台帳!$BF$57:$BF$2056</definedName>
    <definedName name="PM低減装置" localSheetId="11">#REF!</definedName>
    <definedName name="PM低減装置">車両台帳!$BG$57:$BG$2056</definedName>
    <definedName name="_xlnm.Print_Area" localSheetId="10">【参考】産業分類!$A$1:$E$52</definedName>
    <definedName name="_xlnm.Print_Area" localSheetId="12">【参考】排出係数!$AI$2:$BW$806</definedName>
    <definedName name="_xlnm.Print_Area" localSheetId="5">計画1!$A$2:$E$64</definedName>
    <definedName name="_xlnm.Print_Area" localSheetId="6">計画2!$A$2:$S$44</definedName>
    <definedName name="_xlnm.Print_Area" localSheetId="3">事業所台帳!$A$1:$F$203</definedName>
    <definedName name="_xlnm.Print_Area" localSheetId="9">事業所別車両状況!$A$1:$GU$31</definedName>
    <definedName name="_xlnm.Print_Area" localSheetId="7">実績1!$A$2:$E$64</definedName>
    <definedName name="_xlnm.Print_Area" localSheetId="8">実績2!$A$2:$U$46</definedName>
    <definedName name="_xlnm.Print_Area" localSheetId="4">車両台帳!$A:$AP</definedName>
    <definedName name="_xlnm.Print_Area" localSheetId="1">値貼り付けの方法!$A$1:$J$72</definedName>
    <definedName name="_xlnm.Print_Area" localSheetId="0">入力について!$A$1:$G$77</definedName>
    <definedName name="_xlnm.Print_Area" localSheetId="2">表紙!$A$19:$Z$58</definedName>
    <definedName name="_xlnm.Print_Titles" localSheetId="3">事業所台帳!$3:$3</definedName>
    <definedName name="_xlnm.Print_Titles" localSheetId="9">事業所別車両状況!$A:$B</definedName>
    <definedName name="_xlnm.Print_Titles" localSheetId="8">実績2!$A:$D</definedName>
    <definedName name="_xlnm.Print_Titles" localSheetId="4">車両台帳!$52:$56</definedName>
    <definedName name="ガソリン・LPG" localSheetId="11">#REF!</definedName>
    <definedName name="ガソリン・LPG">車両台帳!$CA$2:$CB$8</definedName>
    <definedName name="係数_NOX・PM低減" localSheetId="11">#REF!</definedName>
    <definedName name="係数_NOX・PM低減">【参考】排出係数!$AK$801:$AK$806</definedName>
    <definedName name="係数_PM低減" localSheetId="11">#REF!</definedName>
    <definedName name="係数_PM低減">【参考】排出係数!$AL$801:$AO$806</definedName>
    <definedName name="係数_バス貨物_CNG" localSheetId="11">#REF!</definedName>
    <definedName name="係数_バス貨物_CNG">【参考】排出係数!$BJ$4:$BO$670</definedName>
    <definedName name="係数_バス貨物_LPG" localSheetId="11">#REF!</definedName>
    <definedName name="係数_バス貨物_LPG">【参考】排出係数!$AT$4:$AY$670</definedName>
    <definedName name="係数_バス貨物_ガソリン" localSheetId="11">#REF!</definedName>
    <definedName name="係数_バス貨物_ガソリン">【参考】排出係数!$AL$4:$AQ$670</definedName>
    <definedName name="係数_バス貨物_メタノール" localSheetId="11">#REF!</definedName>
    <definedName name="係数_バス貨物_メタノール">【参考】排出係数!$BR$4:$BW$670</definedName>
    <definedName name="係数_バス貨物_軽油" localSheetId="11">#REF!</definedName>
    <definedName name="係数_バス貨物_軽油">【参考】排出係数!$BB$4:$BG$670</definedName>
    <definedName name="係数_乗用_CNG" localSheetId="11">#REF!</definedName>
    <definedName name="係数_乗用_CNG">【参考】排出係数!$BJ$671:$BO$795</definedName>
    <definedName name="係数_乗用_LPG" localSheetId="11">#REF!</definedName>
    <definedName name="係数_乗用_LPG">【参考】排出係数!$AT$671:$AY$795</definedName>
    <definedName name="係数_乗用_ガソリン" localSheetId="11">#REF!</definedName>
    <definedName name="係数_乗用_ガソリン">【参考】排出係数!$AL$671:$AQ$795</definedName>
    <definedName name="係数_乗用_メタノール" localSheetId="11">#REF!</definedName>
    <definedName name="係数_乗用_メタノール">【参考】排出係数!$BR$671:$BW$795</definedName>
    <definedName name="係数_乗用_軽油" localSheetId="11">#REF!</definedName>
    <definedName name="係数_乗用_軽油">【参考】排出係数!$BB$671:$BG$795</definedName>
    <definedName name="元号" localSheetId="11">#REF!</definedName>
    <definedName name="元号">車両台帳!$BU$2:$BV$4</definedName>
    <definedName name="減少装置装着" localSheetId="11">#REF!</definedName>
    <definedName name="減少装置装着">車両台帳!$CI$2:$CJ$5</definedName>
    <definedName name="事業所台帳" localSheetId="11">#REF!</definedName>
    <definedName name="事業所台帳">事業所台帳!$A$4:$F$203</definedName>
    <definedName name="自動車の種別" localSheetId="11">#REF!,#REF!</definedName>
    <definedName name="自動車の種別">車両台帳!$BW$2:$BW$3,車両台帳!$CM$3:$CM$4</definedName>
    <definedName name="車両の増減" localSheetId="11">#REF!</definedName>
    <definedName name="車両の増減">車両台帳!$BS$2:$BT$6</definedName>
    <definedName name="低減装置" localSheetId="11">#REF!</definedName>
    <definedName name="低減装置">車両台帳!$BH$57:$BH$2056</definedName>
    <definedName name="低公害車区分" localSheetId="11">#REF!</definedName>
    <definedName name="低公害車区分">車両台帳!$CC$2:$CD$5</definedName>
    <definedName name="低公害車判別" localSheetId="11">#REF!</definedName>
    <definedName name="低公害車判別">車両台帳!$CO$2:$CP$17</definedName>
    <definedName name="年度" localSheetId="11">#REF!</definedName>
    <definedName name="年度">車両台帳!#REF!</definedName>
    <definedName name="年度末に車両存在" localSheetId="11">#REF!</definedName>
    <definedName name="年度末に車両存在">車両台帳!$AT$57:$AT$2056</definedName>
    <definedName name="燃料の種類" localSheetId="11">#REF!</definedName>
    <definedName name="燃料の種類">車両台帳!$CA$2:$CB$12</definedName>
    <definedName name="燃料区分1" localSheetId="11">#REF!</definedName>
    <definedName name="燃料区分1">車両台帳!$AZ$57:$AZ$2056</definedName>
    <definedName name="燃料区分3" localSheetId="11">#REF!</definedName>
    <definedName name="燃料区分3">車両台帳!$CK$2:$CL$10</definedName>
    <definedName name="廃車" localSheetId="11">#REF!</definedName>
    <definedName name="廃車">車両台帳!$BK$57:$BK$2056</definedName>
    <definedName name="排ガス低減レベル" localSheetId="11">#REF!</definedName>
    <definedName name="排ガス低減レベル">車両台帳!$CE$2:$CF$14</definedName>
    <definedName name="排出ガス低減レベル1" localSheetId="11">#REF!</definedName>
    <definedName name="排出ガス低減レベル1">車両台帳!$BC$57:$BC$2056</definedName>
    <definedName name="番号" localSheetId="11">#REF!</definedName>
    <definedName name="番号">車両台帳!$CM$2:$CM$13</definedName>
    <definedName name="用途" localSheetId="11">#REF!</definedName>
    <definedName name="用途">車両台帳!$BY$2:$BZ$7</definedName>
  </definedNames>
  <calcPr calcId="162913"/>
</workbook>
</file>

<file path=xl/calcChain.xml><?xml version="1.0" encoding="utf-8"?>
<calcChain xmlns="http://schemas.openxmlformats.org/spreadsheetml/2006/main">
  <c r="AL12" i="49" l="1"/>
  <c r="AT12" i="49" s="1"/>
  <c r="AK12" i="49"/>
  <c r="AM10" i="49" s="1"/>
  <c r="AN3" i="49"/>
  <c r="AP7" i="49" s="1"/>
  <c r="AQ7" i="49" s="1"/>
  <c r="AM2" i="49"/>
  <c r="AP8" i="49" l="1"/>
  <c r="AQ8" i="49" s="1"/>
  <c r="AM5" i="49"/>
  <c r="AP5" i="49"/>
  <c r="AQ5" i="49" s="1"/>
  <c r="AM8" i="49"/>
  <c r="AP10" i="49"/>
  <c r="AQ10" i="49" s="1"/>
  <c r="AM3" i="49"/>
  <c r="AM12" i="49" s="1"/>
  <c r="AM6" i="49"/>
  <c r="AM9" i="49"/>
  <c r="AQ3" i="49"/>
  <c r="AP9" i="49"/>
  <c r="AQ9" i="49" s="1"/>
  <c r="AM7" i="49"/>
  <c r="AP6" i="49"/>
  <c r="AQ6" i="49" s="1"/>
  <c r="AN12" i="49"/>
  <c r="AS3" i="49"/>
  <c r="AS12" i="49" s="1"/>
  <c r="AM4" i="49"/>
  <c r="R36" i="46"/>
  <c r="Q36" i="46"/>
  <c r="P36" i="46"/>
  <c r="O36" i="46"/>
  <c r="N36" i="46"/>
  <c r="M36" i="46"/>
  <c r="L36" i="46"/>
  <c r="K36" i="46"/>
  <c r="J36" i="46"/>
  <c r="AQ12" i="49" l="1"/>
  <c r="AP12" i="49"/>
  <c r="R35" i="46"/>
  <c r="Q35" i="46"/>
  <c r="P35" i="46"/>
  <c r="O35" i="46"/>
  <c r="N35" i="46"/>
  <c r="M35" i="46"/>
  <c r="L35" i="46"/>
  <c r="K35" i="46"/>
  <c r="J35" i="46"/>
  <c r="P36" i="72"/>
  <c r="O36" i="72"/>
  <c r="N36" i="72"/>
  <c r="M36" i="72"/>
  <c r="L36" i="72"/>
  <c r="K36" i="72"/>
  <c r="J36" i="72"/>
  <c r="I36" i="72"/>
  <c r="H36" i="72"/>
  <c r="G36" i="72"/>
  <c r="F36" i="72"/>
  <c r="Q6" i="46" l="1"/>
  <c r="AJ2055" i="48" l="1"/>
  <c r="AI2055" i="48"/>
  <c r="AH2055" i="48"/>
  <c r="M2055" i="48"/>
  <c r="L2055" i="48"/>
  <c r="K2055" i="48"/>
  <c r="AJ2054" i="48"/>
  <c r="AI2054" i="48"/>
  <c r="AH2054" i="48"/>
  <c r="M2054" i="48"/>
  <c r="L2054" i="48"/>
  <c r="K2054" i="48"/>
  <c r="AJ2053" i="48"/>
  <c r="AI2053" i="48"/>
  <c r="AH2053" i="48"/>
  <c r="M2053" i="48"/>
  <c r="L2053" i="48"/>
  <c r="K2053" i="48"/>
  <c r="AJ2052" i="48"/>
  <c r="AI2052" i="48"/>
  <c r="AH2052" i="48"/>
  <c r="M2052" i="48"/>
  <c r="L2052" i="48"/>
  <c r="K2052" i="48"/>
  <c r="AJ2051" i="48"/>
  <c r="AI2051" i="48"/>
  <c r="AH2051" i="48"/>
  <c r="M2051" i="48"/>
  <c r="L2051" i="48"/>
  <c r="K2051" i="48"/>
  <c r="AJ2050" i="48"/>
  <c r="AI2050" i="48"/>
  <c r="AH2050" i="48"/>
  <c r="M2050" i="48"/>
  <c r="L2050" i="48"/>
  <c r="K2050" i="48"/>
  <c r="AJ2049" i="48"/>
  <c r="AI2049" i="48"/>
  <c r="AH2049" i="48"/>
  <c r="M2049" i="48"/>
  <c r="L2049" i="48"/>
  <c r="K2049" i="48"/>
  <c r="AJ2048" i="48"/>
  <c r="AI2048" i="48"/>
  <c r="AH2048" i="48"/>
  <c r="M2048" i="48"/>
  <c r="L2048" i="48"/>
  <c r="K2048" i="48"/>
  <c r="AJ2047" i="48"/>
  <c r="AI2047" i="48"/>
  <c r="AH2047" i="48"/>
  <c r="M2047" i="48"/>
  <c r="L2047" i="48"/>
  <c r="K2047" i="48"/>
  <c r="AJ2046" i="48"/>
  <c r="AI2046" i="48"/>
  <c r="AH2046" i="48"/>
  <c r="M2046" i="48"/>
  <c r="L2046" i="48"/>
  <c r="K2046" i="48"/>
  <c r="AJ2045" i="48"/>
  <c r="AI2045" i="48"/>
  <c r="AH2045" i="48"/>
  <c r="M2045" i="48"/>
  <c r="L2045" i="48"/>
  <c r="K2045" i="48"/>
  <c r="AJ2044" i="48"/>
  <c r="AI2044" i="48"/>
  <c r="AH2044" i="48"/>
  <c r="M2044" i="48"/>
  <c r="L2044" i="48"/>
  <c r="K2044" i="48"/>
  <c r="AJ2043" i="48"/>
  <c r="AI2043" i="48"/>
  <c r="AH2043" i="48"/>
  <c r="M2043" i="48"/>
  <c r="L2043" i="48"/>
  <c r="K2043" i="48"/>
  <c r="AJ2042" i="48"/>
  <c r="AI2042" i="48"/>
  <c r="AH2042" i="48"/>
  <c r="M2042" i="48"/>
  <c r="L2042" i="48"/>
  <c r="K2042" i="48"/>
  <c r="AJ2041" i="48"/>
  <c r="AI2041" i="48"/>
  <c r="AH2041" i="48"/>
  <c r="M2041" i="48"/>
  <c r="L2041" i="48"/>
  <c r="K2041" i="48"/>
  <c r="AJ2040" i="48"/>
  <c r="AI2040" i="48"/>
  <c r="AH2040" i="48"/>
  <c r="M2040" i="48"/>
  <c r="L2040" i="48"/>
  <c r="K2040" i="48"/>
  <c r="AJ2039" i="48"/>
  <c r="AI2039" i="48"/>
  <c r="AH2039" i="48"/>
  <c r="M2039" i="48"/>
  <c r="L2039" i="48"/>
  <c r="K2039" i="48"/>
  <c r="AJ2038" i="48"/>
  <c r="AI2038" i="48"/>
  <c r="AH2038" i="48"/>
  <c r="M2038" i="48"/>
  <c r="L2038" i="48"/>
  <c r="K2038" i="48"/>
  <c r="AJ2037" i="48"/>
  <c r="AI2037" i="48"/>
  <c r="AH2037" i="48"/>
  <c r="M2037" i="48"/>
  <c r="L2037" i="48"/>
  <c r="K2037" i="48"/>
  <c r="AJ2036" i="48"/>
  <c r="AI2036" i="48"/>
  <c r="AH2036" i="48"/>
  <c r="M2036" i="48"/>
  <c r="L2036" i="48"/>
  <c r="K2036" i="48"/>
  <c r="AJ2035" i="48"/>
  <c r="AI2035" i="48"/>
  <c r="AH2035" i="48"/>
  <c r="M2035" i="48"/>
  <c r="L2035" i="48"/>
  <c r="K2035" i="48"/>
  <c r="AJ2034" i="48"/>
  <c r="AI2034" i="48"/>
  <c r="AH2034" i="48"/>
  <c r="M2034" i="48"/>
  <c r="L2034" i="48"/>
  <c r="K2034" i="48"/>
  <c r="AJ2033" i="48"/>
  <c r="AI2033" i="48"/>
  <c r="AH2033" i="48"/>
  <c r="M2033" i="48"/>
  <c r="L2033" i="48"/>
  <c r="K2033" i="48"/>
  <c r="AJ2032" i="48"/>
  <c r="AI2032" i="48"/>
  <c r="AH2032" i="48"/>
  <c r="M2032" i="48"/>
  <c r="L2032" i="48"/>
  <c r="K2032" i="48"/>
  <c r="AJ2031" i="48"/>
  <c r="AI2031" i="48"/>
  <c r="AH2031" i="48"/>
  <c r="M2031" i="48"/>
  <c r="L2031" i="48"/>
  <c r="K2031" i="48"/>
  <c r="AJ2030" i="48"/>
  <c r="AI2030" i="48"/>
  <c r="AH2030" i="48"/>
  <c r="M2030" i="48"/>
  <c r="L2030" i="48"/>
  <c r="K2030" i="48"/>
  <c r="AJ2029" i="48"/>
  <c r="AI2029" i="48"/>
  <c r="AH2029" i="48"/>
  <c r="M2029" i="48"/>
  <c r="L2029" i="48"/>
  <c r="K2029" i="48"/>
  <c r="AJ2028" i="48"/>
  <c r="AI2028" i="48"/>
  <c r="AH2028" i="48"/>
  <c r="M2028" i="48"/>
  <c r="L2028" i="48"/>
  <c r="K2028" i="48"/>
  <c r="AJ2027" i="48"/>
  <c r="AI2027" i="48"/>
  <c r="AH2027" i="48"/>
  <c r="M2027" i="48"/>
  <c r="L2027" i="48"/>
  <c r="K2027" i="48"/>
  <c r="AJ2026" i="48"/>
  <c r="AI2026" i="48"/>
  <c r="AH2026" i="48"/>
  <c r="M2026" i="48"/>
  <c r="L2026" i="48"/>
  <c r="K2026" i="48"/>
  <c r="AJ2025" i="48"/>
  <c r="AI2025" i="48"/>
  <c r="AH2025" i="48"/>
  <c r="M2025" i="48"/>
  <c r="L2025" i="48"/>
  <c r="K2025" i="48"/>
  <c r="AJ2024" i="48"/>
  <c r="AI2024" i="48"/>
  <c r="AH2024" i="48"/>
  <c r="M2024" i="48"/>
  <c r="L2024" i="48"/>
  <c r="K2024" i="48"/>
  <c r="AJ2023" i="48"/>
  <c r="AI2023" i="48"/>
  <c r="AH2023" i="48"/>
  <c r="M2023" i="48"/>
  <c r="L2023" i="48"/>
  <c r="K2023" i="48"/>
  <c r="AJ2022" i="48"/>
  <c r="AI2022" i="48"/>
  <c r="AH2022" i="48"/>
  <c r="M2022" i="48"/>
  <c r="L2022" i="48"/>
  <c r="K2022" i="48"/>
  <c r="AJ2021" i="48"/>
  <c r="AI2021" i="48"/>
  <c r="AH2021" i="48"/>
  <c r="M2021" i="48"/>
  <c r="L2021" i="48"/>
  <c r="K2021" i="48"/>
  <c r="AJ2020" i="48"/>
  <c r="AI2020" i="48"/>
  <c r="AH2020" i="48"/>
  <c r="M2020" i="48"/>
  <c r="L2020" i="48"/>
  <c r="K2020" i="48"/>
  <c r="AJ2019" i="48"/>
  <c r="AI2019" i="48"/>
  <c r="AH2019" i="48"/>
  <c r="M2019" i="48"/>
  <c r="L2019" i="48"/>
  <c r="K2019" i="48"/>
  <c r="AJ2018" i="48"/>
  <c r="AI2018" i="48"/>
  <c r="AH2018" i="48"/>
  <c r="M2018" i="48"/>
  <c r="L2018" i="48"/>
  <c r="K2018" i="48"/>
  <c r="AJ2017" i="48"/>
  <c r="AI2017" i="48"/>
  <c r="AH2017" i="48"/>
  <c r="M2017" i="48"/>
  <c r="L2017" i="48"/>
  <c r="K2017" i="48"/>
  <c r="AJ2016" i="48"/>
  <c r="AI2016" i="48"/>
  <c r="AH2016" i="48"/>
  <c r="M2016" i="48"/>
  <c r="L2016" i="48"/>
  <c r="K2016" i="48"/>
  <c r="AJ2015" i="48"/>
  <c r="AI2015" i="48"/>
  <c r="AH2015" i="48"/>
  <c r="M2015" i="48"/>
  <c r="L2015" i="48"/>
  <c r="K2015" i="48"/>
  <c r="AJ2014" i="48"/>
  <c r="AI2014" i="48"/>
  <c r="AH2014" i="48"/>
  <c r="M2014" i="48"/>
  <c r="L2014" i="48"/>
  <c r="K2014" i="48"/>
  <c r="AJ2013" i="48"/>
  <c r="AI2013" i="48"/>
  <c r="AH2013" i="48"/>
  <c r="M2013" i="48"/>
  <c r="L2013" i="48"/>
  <c r="K2013" i="48"/>
  <c r="AJ2012" i="48"/>
  <c r="AI2012" i="48"/>
  <c r="AH2012" i="48"/>
  <c r="M2012" i="48"/>
  <c r="L2012" i="48"/>
  <c r="K2012" i="48"/>
  <c r="AJ2011" i="48"/>
  <c r="AI2011" i="48"/>
  <c r="AH2011" i="48"/>
  <c r="M2011" i="48"/>
  <c r="L2011" i="48"/>
  <c r="K2011" i="48"/>
  <c r="AJ2010" i="48"/>
  <c r="AI2010" i="48"/>
  <c r="AH2010" i="48"/>
  <c r="M2010" i="48"/>
  <c r="L2010" i="48"/>
  <c r="K2010" i="48"/>
  <c r="AJ2009" i="48"/>
  <c r="AI2009" i="48"/>
  <c r="AH2009" i="48"/>
  <c r="M2009" i="48"/>
  <c r="L2009" i="48"/>
  <c r="K2009" i="48"/>
  <c r="AJ2008" i="48"/>
  <c r="AI2008" i="48"/>
  <c r="AH2008" i="48"/>
  <c r="M2008" i="48"/>
  <c r="L2008" i="48"/>
  <c r="K2008" i="48"/>
  <c r="AJ2007" i="48"/>
  <c r="AI2007" i="48"/>
  <c r="AH2007" i="48"/>
  <c r="M2007" i="48"/>
  <c r="L2007" i="48"/>
  <c r="K2007" i="48"/>
  <c r="AJ2006" i="48"/>
  <c r="AI2006" i="48"/>
  <c r="AH2006" i="48"/>
  <c r="M2006" i="48"/>
  <c r="L2006" i="48"/>
  <c r="K2006" i="48"/>
  <c r="AJ2005" i="48"/>
  <c r="AI2005" i="48"/>
  <c r="AH2005" i="48"/>
  <c r="M2005" i="48"/>
  <c r="L2005" i="48"/>
  <c r="K2005" i="48"/>
  <c r="AJ2004" i="48"/>
  <c r="AI2004" i="48"/>
  <c r="AH2004" i="48"/>
  <c r="M2004" i="48"/>
  <c r="L2004" i="48"/>
  <c r="K2004" i="48"/>
  <c r="AJ2003" i="48"/>
  <c r="AI2003" i="48"/>
  <c r="AH2003" i="48"/>
  <c r="M2003" i="48"/>
  <c r="L2003" i="48"/>
  <c r="K2003" i="48"/>
  <c r="AJ2002" i="48"/>
  <c r="AI2002" i="48"/>
  <c r="AH2002" i="48"/>
  <c r="M2002" i="48"/>
  <c r="L2002" i="48"/>
  <c r="K2002" i="48"/>
  <c r="AJ2001" i="48"/>
  <c r="AI2001" i="48"/>
  <c r="AH2001" i="48"/>
  <c r="M2001" i="48"/>
  <c r="L2001" i="48"/>
  <c r="K2001" i="48"/>
  <c r="AJ2000" i="48"/>
  <c r="AI2000" i="48"/>
  <c r="AH2000" i="48"/>
  <c r="M2000" i="48"/>
  <c r="L2000" i="48"/>
  <c r="K2000" i="48"/>
  <c r="AJ1999" i="48"/>
  <c r="AI1999" i="48"/>
  <c r="AH1999" i="48"/>
  <c r="M1999" i="48"/>
  <c r="L1999" i="48"/>
  <c r="K1999" i="48"/>
  <c r="AJ1998" i="48"/>
  <c r="AI1998" i="48"/>
  <c r="AH1998" i="48"/>
  <c r="M1998" i="48"/>
  <c r="L1998" i="48"/>
  <c r="K1998" i="48"/>
  <c r="AJ1997" i="48"/>
  <c r="AI1997" i="48"/>
  <c r="AH1997" i="48"/>
  <c r="M1997" i="48"/>
  <c r="L1997" i="48"/>
  <c r="K1997" i="48"/>
  <c r="AJ1996" i="48"/>
  <c r="AI1996" i="48"/>
  <c r="AH1996" i="48"/>
  <c r="M1996" i="48"/>
  <c r="L1996" i="48"/>
  <c r="K1996" i="48"/>
  <c r="AJ1995" i="48"/>
  <c r="AI1995" i="48"/>
  <c r="AH1995" i="48"/>
  <c r="M1995" i="48"/>
  <c r="L1995" i="48"/>
  <c r="K1995" i="48"/>
  <c r="AJ1994" i="48"/>
  <c r="AI1994" i="48"/>
  <c r="AH1994" i="48"/>
  <c r="M1994" i="48"/>
  <c r="L1994" i="48"/>
  <c r="K1994" i="48"/>
  <c r="AJ1993" i="48"/>
  <c r="AI1993" i="48"/>
  <c r="AH1993" i="48"/>
  <c r="M1993" i="48"/>
  <c r="L1993" i="48"/>
  <c r="K1993" i="48"/>
  <c r="AJ1992" i="48"/>
  <c r="AI1992" i="48"/>
  <c r="AH1992" i="48"/>
  <c r="M1992" i="48"/>
  <c r="L1992" i="48"/>
  <c r="K1992" i="48"/>
  <c r="AJ1991" i="48"/>
  <c r="AI1991" i="48"/>
  <c r="AH1991" i="48"/>
  <c r="M1991" i="48"/>
  <c r="L1991" i="48"/>
  <c r="K1991" i="48"/>
  <c r="AJ1990" i="48"/>
  <c r="AI1990" i="48"/>
  <c r="AH1990" i="48"/>
  <c r="M1990" i="48"/>
  <c r="L1990" i="48"/>
  <c r="K1990" i="48"/>
  <c r="AJ1989" i="48"/>
  <c r="AI1989" i="48"/>
  <c r="AH1989" i="48"/>
  <c r="M1989" i="48"/>
  <c r="L1989" i="48"/>
  <c r="K1989" i="48"/>
  <c r="AJ1988" i="48"/>
  <c r="AI1988" i="48"/>
  <c r="AH1988" i="48"/>
  <c r="M1988" i="48"/>
  <c r="L1988" i="48"/>
  <c r="K1988" i="48"/>
  <c r="AJ1987" i="48"/>
  <c r="AI1987" i="48"/>
  <c r="AH1987" i="48"/>
  <c r="M1987" i="48"/>
  <c r="L1987" i="48"/>
  <c r="K1987" i="48"/>
  <c r="AJ1986" i="48"/>
  <c r="AI1986" i="48"/>
  <c r="AH1986" i="48"/>
  <c r="M1986" i="48"/>
  <c r="L1986" i="48"/>
  <c r="K1986" i="48"/>
  <c r="AJ1985" i="48"/>
  <c r="AI1985" i="48"/>
  <c r="AH1985" i="48"/>
  <c r="M1985" i="48"/>
  <c r="L1985" i="48"/>
  <c r="K1985" i="48"/>
  <c r="AJ1984" i="48"/>
  <c r="AI1984" i="48"/>
  <c r="AH1984" i="48"/>
  <c r="M1984" i="48"/>
  <c r="L1984" i="48"/>
  <c r="K1984" i="48"/>
  <c r="AJ1983" i="48"/>
  <c r="AI1983" i="48"/>
  <c r="AH1983" i="48"/>
  <c r="M1983" i="48"/>
  <c r="L1983" i="48"/>
  <c r="K1983" i="48"/>
  <c r="AJ1982" i="48"/>
  <c r="AI1982" i="48"/>
  <c r="AH1982" i="48"/>
  <c r="M1982" i="48"/>
  <c r="L1982" i="48"/>
  <c r="K1982" i="48"/>
  <c r="AJ1981" i="48"/>
  <c r="AI1981" i="48"/>
  <c r="AH1981" i="48"/>
  <c r="M1981" i="48"/>
  <c r="L1981" i="48"/>
  <c r="K1981" i="48"/>
  <c r="AJ1980" i="48"/>
  <c r="AI1980" i="48"/>
  <c r="AH1980" i="48"/>
  <c r="M1980" i="48"/>
  <c r="L1980" i="48"/>
  <c r="K1980" i="48"/>
  <c r="AJ1979" i="48"/>
  <c r="AI1979" i="48"/>
  <c r="AH1979" i="48"/>
  <c r="M1979" i="48"/>
  <c r="L1979" i="48"/>
  <c r="K1979" i="48"/>
  <c r="AJ1978" i="48"/>
  <c r="AI1978" i="48"/>
  <c r="AH1978" i="48"/>
  <c r="M1978" i="48"/>
  <c r="L1978" i="48"/>
  <c r="K1978" i="48"/>
  <c r="AJ1977" i="48"/>
  <c r="AI1977" i="48"/>
  <c r="AH1977" i="48"/>
  <c r="M1977" i="48"/>
  <c r="L1977" i="48"/>
  <c r="K1977" i="48"/>
  <c r="AJ1976" i="48"/>
  <c r="AI1976" i="48"/>
  <c r="AH1976" i="48"/>
  <c r="M1976" i="48"/>
  <c r="L1976" i="48"/>
  <c r="K1976" i="48"/>
  <c r="AJ1975" i="48"/>
  <c r="AI1975" i="48"/>
  <c r="AH1975" i="48"/>
  <c r="M1975" i="48"/>
  <c r="L1975" i="48"/>
  <c r="K1975" i="48"/>
  <c r="AJ1974" i="48"/>
  <c r="AI1974" i="48"/>
  <c r="AH1974" i="48"/>
  <c r="M1974" i="48"/>
  <c r="L1974" i="48"/>
  <c r="K1974" i="48"/>
  <c r="AJ1973" i="48"/>
  <c r="AI1973" i="48"/>
  <c r="AH1973" i="48"/>
  <c r="M1973" i="48"/>
  <c r="L1973" i="48"/>
  <c r="K1973" i="48"/>
  <c r="AJ1972" i="48"/>
  <c r="AI1972" i="48"/>
  <c r="AH1972" i="48"/>
  <c r="M1972" i="48"/>
  <c r="L1972" i="48"/>
  <c r="K1972" i="48"/>
  <c r="AJ1971" i="48"/>
  <c r="AI1971" i="48"/>
  <c r="AH1971" i="48"/>
  <c r="M1971" i="48"/>
  <c r="L1971" i="48"/>
  <c r="K1971" i="48"/>
  <c r="AJ1970" i="48"/>
  <c r="AI1970" i="48"/>
  <c r="AH1970" i="48"/>
  <c r="M1970" i="48"/>
  <c r="L1970" i="48"/>
  <c r="K1970" i="48"/>
  <c r="AJ1969" i="48"/>
  <c r="AI1969" i="48"/>
  <c r="AH1969" i="48"/>
  <c r="M1969" i="48"/>
  <c r="L1969" i="48"/>
  <c r="K1969" i="48"/>
  <c r="AJ1968" i="48"/>
  <c r="AI1968" i="48"/>
  <c r="AH1968" i="48"/>
  <c r="M1968" i="48"/>
  <c r="L1968" i="48"/>
  <c r="K1968" i="48"/>
  <c r="AJ1967" i="48"/>
  <c r="AI1967" i="48"/>
  <c r="AH1967" i="48"/>
  <c r="M1967" i="48"/>
  <c r="L1967" i="48"/>
  <c r="K1967" i="48"/>
  <c r="AJ1966" i="48"/>
  <c r="AI1966" i="48"/>
  <c r="AH1966" i="48"/>
  <c r="M1966" i="48"/>
  <c r="L1966" i="48"/>
  <c r="K1966" i="48"/>
  <c r="AJ1965" i="48"/>
  <c r="AI1965" i="48"/>
  <c r="AH1965" i="48"/>
  <c r="M1965" i="48"/>
  <c r="L1965" i="48"/>
  <c r="K1965" i="48"/>
  <c r="AJ1964" i="48"/>
  <c r="AI1964" i="48"/>
  <c r="AH1964" i="48"/>
  <c r="M1964" i="48"/>
  <c r="L1964" i="48"/>
  <c r="K1964" i="48"/>
  <c r="AJ1963" i="48"/>
  <c r="AI1963" i="48"/>
  <c r="AH1963" i="48"/>
  <c r="M1963" i="48"/>
  <c r="L1963" i="48"/>
  <c r="K1963" i="48"/>
  <c r="AJ1962" i="48"/>
  <c r="AI1962" i="48"/>
  <c r="AH1962" i="48"/>
  <c r="M1962" i="48"/>
  <c r="L1962" i="48"/>
  <c r="K1962" i="48"/>
  <c r="AJ1961" i="48"/>
  <c r="AI1961" i="48"/>
  <c r="AH1961" i="48"/>
  <c r="M1961" i="48"/>
  <c r="L1961" i="48"/>
  <c r="K1961" i="48"/>
  <c r="AJ1960" i="48"/>
  <c r="AI1960" i="48"/>
  <c r="AH1960" i="48"/>
  <c r="M1960" i="48"/>
  <c r="L1960" i="48"/>
  <c r="K1960" i="48"/>
  <c r="AJ1959" i="48"/>
  <c r="AI1959" i="48"/>
  <c r="AH1959" i="48"/>
  <c r="M1959" i="48"/>
  <c r="L1959" i="48"/>
  <c r="K1959" i="48"/>
  <c r="AJ1958" i="48"/>
  <c r="AI1958" i="48"/>
  <c r="AH1958" i="48"/>
  <c r="M1958" i="48"/>
  <c r="L1958" i="48"/>
  <c r="K1958" i="48"/>
  <c r="AJ1957" i="48"/>
  <c r="AI1957" i="48"/>
  <c r="AH1957" i="48"/>
  <c r="M1957" i="48"/>
  <c r="L1957" i="48"/>
  <c r="K1957" i="48"/>
  <c r="AJ1956" i="48"/>
  <c r="AI1956" i="48"/>
  <c r="AH1956" i="48"/>
  <c r="M1956" i="48"/>
  <c r="L1956" i="48"/>
  <c r="K1956" i="48"/>
  <c r="AJ1955" i="48"/>
  <c r="AI1955" i="48"/>
  <c r="AH1955" i="48"/>
  <c r="M1955" i="48"/>
  <c r="L1955" i="48"/>
  <c r="K1955" i="48"/>
  <c r="AJ1954" i="48"/>
  <c r="AI1954" i="48"/>
  <c r="AH1954" i="48"/>
  <c r="M1954" i="48"/>
  <c r="L1954" i="48"/>
  <c r="K1954" i="48"/>
  <c r="AJ1953" i="48"/>
  <c r="AI1953" i="48"/>
  <c r="AH1953" i="48"/>
  <c r="M1953" i="48"/>
  <c r="L1953" i="48"/>
  <c r="K1953" i="48"/>
  <c r="AJ1952" i="48"/>
  <c r="AI1952" i="48"/>
  <c r="AH1952" i="48"/>
  <c r="M1952" i="48"/>
  <c r="L1952" i="48"/>
  <c r="K1952" i="48"/>
  <c r="AJ1951" i="48"/>
  <c r="AI1951" i="48"/>
  <c r="AH1951" i="48"/>
  <c r="M1951" i="48"/>
  <c r="L1951" i="48"/>
  <c r="K1951" i="48"/>
  <c r="AJ1950" i="48"/>
  <c r="AI1950" i="48"/>
  <c r="AH1950" i="48"/>
  <c r="M1950" i="48"/>
  <c r="L1950" i="48"/>
  <c r="K1950" i="48"/>
  <c r="AJ1949" i="48"/>
  <c r="AI1949" i="48"/>
  <c r="AH1949" i="48"/>
  <c r="M1949" i="48"/>
  <c r="L1949" i="48"/>
  <c r="K1949" i="48"/>
  <c r="AJ1948" i="48"/>
  <c r="AI1948" i="48"/>
  <c r="AH1948" i="48"/>
  <c r="M1948" i="48"/>
  <c r="L1948" i="48"/>
  <c r="K1948" i="48"/>
  <c r="AJ1947" i="48"/>
  <c r="AI1947" i="48"/>
  <c r="AH1947" i="48"/>
  <c r="M1947" i="48"/>
  <c r="L1947" i="48"/>
  <c r="K1947" i="48"/>
  <c r="AJ1946" i="48"/>
  <c r="AI1946" i="48"/>
  <c r="AH1946" i="48"/>
  <c r="M1946" i="48"/>
  <c r="L1946" i="48"/>
  <c r="K1946" i="48"/>
  <c r="AJ1945" i="48"/>
  <c r="AI1945" i="48"/>
  <c r="AH1945" i="48"/>
  <c r="M1945" i="48"/>
  <c r="L1945" i="48"/>
  <c r="K1945" i="48"/>
  <c r="AJ1944" i="48"/>
  <c r="AI1944" i="48"/>
  <c r="AH1944" i="48"/>
  <c r="M1944" i="48"/>
  <c r="L1944" i="48"/>
  <c r="K1944" i="48"/>
  <c r="AJ1943" i="48"/>
  <c r="AI1943" i="48"/>
  <c r="AH1943" i="48"/>
  <c r="M1943" i="48"/>
  <c r="L1943" i="48"/>
  <c r="K1943" i="48"/>
  <c r="AJ1942" i="48"/>
  <c r="AI1942" i="48"/>
  <c r="AH1942" i="48"/>
  <c r="M1942" i="48"/>
  <c r="L1942" i="48"/>
  <c r="K1942" i="48"/>
  <c r="AJ1941" i="48"/>
  <c r="AI1941" i="48"/>
  <c r="AH1941" i="48"/>
  <c r="M1941" i="48"/>
  <c r="L1941" i="48"/>
  <c r="K1941" i="48"/>
  <c r="AJ1940" i="48"/>
  <c r="AI1940" i="48"/>
  <c r="AH1940" i="48"/>
  <c r="M1940" i="48"/>
  <c r="L1940" i="48"/>
  <c r="K1940" i="48"/>
  <c r="AJ1939" i="48"/>
  <c r="AI1939" i="48"/>
  <c r="AH1939" i="48"/>
  <c r="M1939" i="48"/>
  <c r="L1939" i="48"/>
  <c r="K1939" i="48"/>
  <c r="AJ1938" i="48"/>
  <c r="AI1938" i="48"/>
  <c r="AH1938" i="48"/>
  <c r="M1938" i="48"/>
  <c r="L1938" i="48"/>
  <c r="K1938" i="48"/>
  <c r="AJ1937" i="48"/>
  <c r="AI1937" i="48"/>
  <c r="AH1937" i="48"/>
  <c r="M1937" i="48"/>
  <c r="L1937" i="48"/>
  <c r="K1937" i="48"/>
  <c r="AJ1936" i="48"/>
  <c r="AI1936" i="48"/>
  <c r="AH1936" i="48"/>
  <c r="M1936" i="48"/>
  <c r="L1936" i="48"/>
  <c r="K1936" i="48"/>
  <c r="AJ1935" i="48"/>
  <c r="AI1935" i="48"/>
  <c r="AH1935" i="48"/>
  <c r="M1935" i="48"/>
  <c r="L1935" i="48"/>
  <c r="K1935" i="48"/>
  <c r="AJ1934" i="48"/>
  <c r="AI1934" i="48"/>
  <c r="AH1934" i="48"/>
  <c r="M1934" i="48"/>
  <c r="L1934" i="48"/>
  <c r="K1934" i="48"/>
  <c r="AJ1933" i="48"/>
  <c r="AI1933" i="48"/>
  <c r="AH1933" i="48"/>
  <c r="M1933" i="48"/>
  <c r="L1933" i="48"/>
  <c r="K1933" i="48"/>
  <c r="AJ1932" i="48"/>
  <c r="AI1932" i="48"/>
  <c r="AH1932" i="48"/>
  <c r="M1932" i="48"/>
  <c r="L1932" i="48"/>
  <c r="K1932" i="48"/>
  <c r="AJ1931" i="48"/>
  <c r="AI1931" i="48"/>
  <c r="AH1931" i="48"/>
  <c r="M1931" i="48"/>
  <c r="L1931" i="48"/>
  <c r="K1931" i="48"/>
  <c r="AJ1930" i="48"/>
  <c r="AI1930" i="48"/>
  <c r="AH1930" i="48"/>
  <c r="M1930" i="48"/>
  <c r="L1930" i="48"/>
  <c r="K1930" i="48"/>
  <c r="AJ1929" i="48"/>
  <c r="AI1929" i="48"/>
  <c r="AH1929" i="48"/>
  <c r="M1929" i="48"/>
  <c r="L1929" i="48"/>
  <c r="K1929" i="48"/>
  <c r="AJ1928" i="48"/>
  <c r="AI1928" i="48"/>
  <c r="AH1928" i="48"/>
  <c r="M1928" i="48"/>
  <c r="L1928" i="48"/>
  <c r="K1928" i="48"/>
  <c r="AJ1927" i="48"/>
  <c r="AI1927" i="48"/>
  <c r="AH1927" i="48"/>
  <c r="M1927" i="48"/>
  <c r="L1927" i="48"/>
  <c r="K1927" i="48"/>
  <c r="AJ1926" i="48"/>
  <c r="AI1926" i="48"/>
  <c r="AH1926" i="48"/>
  <c r="M1926" i="48"/>
  <c r="L1926" i="48"/>
  <c r="K1926" i="48"/>
  <c r="AJ1925" i="48"/>
  <c r="AI1925" i="48"/>
  <c r="AH1925" i="48"/>
  <c r="M1925" i="48"/>
  <c r="L1925" i="48"/>
  <c r="K1925" i="48"/>
  <c r="AJ1924" i="48"/>
  <c r="AI1924" i="48"/>
  <c r="AH1924" i="48"/>
  <c r="M1924" i="48"/>
  <c r="L1924" i="48"/>
  <c r="K1924" i="48"/>
  <c r="AJ1923" i="48"/>
  <c r="AI1923" i="48"/>
  <c r="AH1923" i="48"/>
  <c r="M1923" i="48"/>
  <c r="L1923" i="48"/>
  <c r="K1923" i="48"/>
  <c r="AJ1922" i="48"/>
  <c r="AI1922" i="48"/>
  <c r="AH1922" i="48"/>
  <c r="M1922" i="48"/>
  <c r="L1922" i="48"/>
  <c r="K1922" i="48"/>
  <c r="AJ1921" i="48"/>
  <c r="AI1921" i="48"/>
  <c r="AH1921" i="48"/>
  <c r="M1921" i="48"/>
  <c r="L1921" i="48"/>
  <c r="K1921" i="48"/>
  <c r="AJ1920" i="48"/>
  <c r="AI1920" i="48"/>
  <c r="AH1920" i="48"/>
  <c r="M1920" i="48"/>
  <c r="L1920" i="48"/>
  <c r="K1920" i="48"/>
  <c r="AJ1919" i="48"/>
  <c r="AI1919" i="48"/>
  <c r="AH1919" i="48"/>
  <c r="M1919" i="48"/>
  <c r="L1919" i="48"/>
  <c r="K1919" i="48"/>
  <c r="AJ1918" i="48"/>
  <c r="AI1918" i="48"/>
  <c r="AH1918" i="48"/>
  <c r="M1918" i="48"/>
  <c r="L1918" i="48"/>
  <c r="K1918" i="48"/>
  <c r="AJ1917" i="48"/>
  <c r="AI1917" i="48"/>
  <c r="AH1917" i="48"/>
  <c r="M1917" i="48"/>
  <c r="L1917" i="48"/>
  <c r="K1917" i="48"/>
  <c r="AJ1916" i="48"/>
  <c r="AI1916" i="48"/>
  <c r="AH1916" i="48"/>
  <c r="M1916" i="48"/>
  <c r="L1916" i="48"/>
  <c r="K1916" i="48"/>
  <c r="AJ1915" i="48"/>
  <c r="AI1915" i="48"/>
  <c r="AH1915" i="48"/>
  <c r="M1915" i="48"/>
  <c r="L1915" i="48"/>
  <c r="K1915" i="48"/>
  <c r="AJ1914" i="48"/>
  <c r="AI1914" i="48"/>
  <c r="AH1914" i="48"/>
  <c r="M1914" i="48"/>
  <c r="L1914" i="48"/>
  <c r="K1914" i="48"/>
  <c r="AJ1913" i="48"/>
  <c r="AI1913" i="48"/>
  <c r="AH1913" i="48"/>
  <c r="M1913" i="48"/>
  <c r="L1913" i="48"/>
  <c r="K1913" i="48"/>
  <c r="AJ1912" i="48"/>
  <c r="AI1912" i="48"/>
  <c r="AH1912" i="48"/>
  <c r="M1912" i="48"/>
  <c r="L1912" i="48"/>
  <c r="K1912" i="48"/>
  <c r="AJ1911" i="48"/>
  <c r="AI1911" i="48"/>
  <c r="AH1911" i="48"/>
  <c r="M1911" i="48"/>
  <c r="L1911" i="48"/>
  <c r="K1911" i="48"/>
  <c r="AJ1910" i="48"/>
  <c r="AI1910" i="48"/>
  <c r="AH1910" i="48"/>
  <c r="M1910" i="48"/>
  <c r="L1910" i="48"/>
  <c r="K1910" i="48"/>
  <c r="AJ1909" i="48"/>
  <c r="AI1909" i="48"/>
  <c r="AH1909" i="48"/>
  <c r="M1909" i="48"/>
  <c r="L1909" i="48"/>
  <c r="K1909" i="48"/>
  <c r="AJ1908" i="48"/>
  <c r="AI1908" i="48"/>
  <c r="AH1908" i="48"/>
  <c r="M1908" i="48"/>
  <c r="L1908" i="48"/>
  <c r="K1908" i="48"/>
  <c r="AJ1907" i="48"/>
  <c r="AI1907" i="48"/>
  <c r="AH1907" i="48"/>
  <c r="M1907" i="48"/>
  <c r="L1907" i="48"/>
  <c r="K1907" i="48"/>
  <c r="AJ1906" i="48"/>
  <c r="AI1906" i="48"/>
  <c r="AH1906" i="48"/>
  <c r="M1906" i="48"/>
  <c r="L1906" i="48"/>
  <c r="K1906" i="48"/>
  <c r="AJ1905" i="48"/>
  <c r="AI1905" i="48"/>
  <c r="AH1905" i="48"/>
  <c r="M1905" i="48"/>
  <c r="L1905" i="48"/>
  <c r="K1905" i="48"/>
  <c r="AJ1904" i="48"/>
  <c r="AI1904" i="48"/>
  <c r="AH1904" i="48"/>
  <c r="M1904" i="48"/>
  <c r="L1904" i="48"/>
  <c r="K1904" i="48"/>
  <c r="AJ1903" i="48"/>
  <c r="AI1903" i="48"/>
  <c r="AH1903" i="48"/>
  <c r="M1903" i="48"/>
  <c r="L1903" i="48"/>
  <c r="K1903" i="48"/>
  <c r="AJ1902" i="48"/>
  <c r="AI1902" i="48"/>
  <c r="AH1902" i="48"/>
  <c r="M1902" i="48"/>
  <c r="L1902" i="48"/>
  <c r="K1902" i="48"/>
  <c r="AJ1901" i="48"/>
  <c r="AI1901" i="48"/>
  <c r="AH1901" i="48"/>
  <c r="M1901" i="48"/>
  <c r="L1901" i="48"/>
  <c r="K1901" i="48"/>
  <c r="AJ1900" i="48"/>
  <c r="AI1900" i="48"/>
  <c r="AH1900" i="48"/>
  <c r="M1900" i="48"/>
  <c r="L1900" i="48"/>
  <c r="K1900" i="48"/>
  <c r="AJ1899" i="48"/>
  <c r="AI1899" i="48"/>
  <c r="AH1899" i="48"/>
  <c r="M1899" i="48"/>
  <c r="L1899" i="48"/>
  <c r="K1899" i="48"/>
  <c r="AJ1898" i="48"/>
  <c r="AI1898" i="48"/>
  <c r="AH1898" i="48"/>
  <c r="M1898" i="48"/>
  <c r="L1898" i="48"/>
  <c r="K1898" i="48"/>
  <c r="AJ1897" i="48"/>
  <c r="AI1897" i="48"/>
  <c r="AH1897" i="48"/>
  <c r="M1897" i="48"/>
  <c r="L1897" i="48"/>
  <c r="K1897" i="48"/>
  <c r="AJ1896" i="48"/>
  <c r="AI1896" i="48"/>
  <c r="AH1896" i="48"/>
  <c r="M1896" i="48"/>
  <c r="L1896" i="48"/>
  <c r="K1896" i="48"/>
  <c r="AJ1895" i="48"/>
  <c r="AI1895" i="48"/>
  <c r="AH1895" i="48"/>
  <c r="M1895" i="48"/>
  <c r="L1895" i="48"/>
  <c r="K1895" i="48"/>
  <c r="AJ1894" i="48"/>
  <c r="AI1894" i="48"/>
  <c r="AH1894" i="48"/>
  <c r="M1894" i="48"/>
  <c r="L1894" i="48"/>
  <c r="K1894" i="48"/>
  <c r="AJ1893" i="48"/>
  <c r="AI1893" i="48"/>
  <c r="AH1893" i="48"/>
  <c r="M1893" i="48"/>
  <c r="L1893" i="48"/>
  <c r="K1893" i="48"/>
  <c r="AJ1892" i="48"/>
  <c r="AI1892" i="48"/>
  <c r="AH1892" i="48"/>
  <c r="M1892" i="48"/>
  <c r="L1892" i="48"/>
  <c r="K1892" i="48"/>
  <c r="AJ1891" i="48"/>
  <c r="AI1891" i="48"/>
  <c r="AH1891" i="48"/>
  <c r="M1891" i="48"/>
  <c r="L1891" i="48"/>
  <c r="K1891" i="48"/>
  <c r="AJ1890" i="48"/>
  <c r="AI1890" i="48"/>
  <c r="AH1890" i="48"/>
  <c r="M1890" i="48"/>
  <c r="L1890" i="48"/>
  <c r="K1890" i="48"/>
  <c r="AJ1889" i="48"/>
  <c r="AI1889" i="48"/>
  <c r="AH1889" i="48"/>
  <c r="M1889" i="48"/>
  <c r="L1889" i="48"/>
  <c r="K1889" i="48"/>
  <c r="AJ1888" i="48"/>
  <c r="AI1888" i="48"/>
  <c r="AH1888" i="48"/>
  <c r="M1888" i="48"/>
  <c r="L1888" i="48"/>
  <c r="K1888" i="48"/>
  <c r="AJ1887" i="48"/>
  <c r="AI1887" i="48"/>
  <c r="AH1887" i="48"/>
  <c r="M1887" i="48"/>
  <c r="L1887" i="48"/>
  <c r="K1887" i="48"/>
  <c r="AJ1886" i="48"/>
  <c r="AI1886" i="48"/>
  <c r="AH1886" i="48"/>
  <c r="M1886" i="48"/>
  <c r="L1886" i="48"/>
  <c r="K1886" i="48"/>
  <c r="AJ1885" i="48"/>
  <c r="AI1885" i="48"/>
  <c r="AH1885" i="48"/>
  <c r="M1885" i="48"/>
  <c r="L1885" i="48"/>
  <c r="K1885" i="48"/>
  <c r="AJ1884" i="48"/>
  <c r="AI1884" i="48"/>
  <c r="AH1884" i="48"/>
  <c r="M1884" i="48"/>
  <c r="L1884" i="48"/>
  <c r="K1884" i="48"/>
  <c r="AJ1883" i="48"/>
  <c r="AI1883" i="48"/>
  <c r="AH1883" i="48"/>
  <c r="M1883" i="48"/>
  <c r="L1883" i="48"/>
  <c r="K1883" i="48"/>
  <c r="AJ1882" i="48"/>
  <c r="AI1882" i="48"/>
  <c r="AH1882" i="48"/>
  <c r="M1882" i="48"/>
  <c r="L1882" i="48"/>
  <c r="K1882" i="48"/>
  <c r="AJ1881" i="48"/>
  <c r="AI1881" i="48"/>
  <c r="AH1881" i="48"/>
  <c r="M1881" i="48"/>
  <c r="L1881" i="48"/>
  <c r="K1881" i="48"/>
  <c r="AJ1880" i="48"/>
  <c r="AI1880" i="48"/>
  <c r="AH1880" i="48"/>
  <c r="M1880" i="48"/>
  <c r="L1880" i="48"/>
  <c r="K1880" i="48"/>
  <c r="AJ1879" i="48"/>
  <c r="AI1879" i="48"/>
  <c r="AH1879" i="48"/>
  <c r="M1879" i="48"/>
  <c r="L1879" i="48"/>
  <c r="K1879" i="48"/>
  <c r="AJ1878" i="48"/>
  <c r="AI1878" i="48"/>
  <c r="AH1878" i="48"/>
  <c r="M1878" i="48"/>
  <c r="L1878" i="48"/>
  <c r="K1878" i="48"/>
  <c r="AJ1877" i="48"/>
  <c r="AI1877" i="48"/>
  <c r="AH1877" i="48"/>
  <c r="M1877" i="48"/>
  <c r="L1877" i="48"/>
  <c r="K1877" i="48"/>
  <c r="AJ1876" i="48"/>
  <c r="AI1876" i="48"/>
  <c r="AH1876" i="48"/>
  <c r="M1876" i="48"/>
  <c r="L1876" i="48"/>
  <c r="K1876" i="48"/>
  <c r="AJ1875" i="48"/>
  <c r="AI1875" i="48"/>
  <c r="AH1875" i="48"/>
  <c r="M1875" i="48"/>
  <c r="L1875" i="48"/>
  <c r="K1875" i="48"/>
  <c r="AJ1874" i="48"/>
  <c r="AI1874" i="48"/>
  <c r="AH1874" i="48"/>
  <c r="M1874" i="48"/>
  <c r="L1874" i="48"/>
  <c r="K1874" i="48"/>
  <c r="AJ1873" i="48"/>
  <c r="AI1873" i="48"/>
  <c r="AH1873" i="48"/>
  <c r="M1873" i="48"/>
  <c r="L1873" i="48"/>
  <c r="K1873" i="48"/>
  <c r="AJ1872" i="48"/>
  <c r="AI1872" i="48"/>
  <c r="AH1872" i="48"/>
  <c r="M1872" i="48"/>
  <c r="L1872" i="48"/>
  <c r="K1872" i="48"/>
  <c r="AJ1871" i="48"/>
  <c r="AI1871" i="48"/>
  <c r="AH1871" i="48"/>
  <c r="M1871" i="48"/>
  <c r="L1871" i="48"/>
  <c r="K1871" i="48"/>
  <c r="AJ1870" i="48"/>
  <c r="AI1870" i="48"/>
  <c r="AH1870" i="48"/>
  <c r="M1870" i="48"/>
  <c r="L1870" i="48"/>
  <c r="K1870" i="48"/>
  <c r="AJ1869" i="48"/>
  <c r="AI1869" i="48"/>
  <c r="AH1869" i="48"/>
  <c r="M1869" i="48"/>
  <c r="L1869" i="48"/>
  <c r="K1869" i="48"/>
  <c r="AJ1868" i="48"/>
  <c r="AI1868" i="48"/>
  <c r="AH1868" i="48"/>
  <c r="M1868" i="48"/>
  <c r="L1868" i="48"/>
  <c r="K1868" i="48"/>
  <c r="AJ1867" i="48"/>
  <c r="AI1867" i="48"/>
  <c r="AH1867" i="48"/>
  <c r="M1867" i="48"/>
  <c r="L1867" i="48"/>
  <c r="K1867" i="48"/>
  <c r="AJ1866" i="48"/>
  <c r="AI1866" i="48"/>
  <c r="AH1866" i="48"/>
  <c r="M1866" i="48"/>
  <c r="L1866" i="48"/>
  <c r="K1866" i="48"/>
  <c r="AJ1865" i="48"/>
  <c r="AI1865" i="48"/>
  <c r="AH1865" i="48"/>
  <c r="M1865" i="48"/>
  <c r="L1865" i="48"/>
  <c r="K1865" i="48"/>
  <c r="AJ1864" i="48"/>
  <c r="AI1864" i="48"/>
  <c r="AH1864" i="48"/>
  <c r="M1864" i="48"/>
  <c r="L1864" i="48"/>
  <c r="K1864" i="48"/>
  <c r="AJ1863" i="48"/>
  <c r="AI1863" i="48"/>
  <c r="AH1863" i="48"/>
  <c r="M1863" i="48"/>
  <c r="L1863" i="48"/>
  <c r="K1863" i="48"/>
  <c r="AJ1862" i="48"/>
  <c r="AI1862" i="48"/>
  <c r="AH1862" i="48"/>
  <c r="M1862" i="48"/>
  <c r="L1862" i="48"/>
  <c r="K1862" i="48"/>
  <c r="AJ1861" i="48"/>
  <c r="AI1861" i="48"/>
  <c r="AH1861" i="48"/>
  <c r="M1861" i="48"/>
  <c r="L1861" i="48"/>
  <c r="K1861" i="48"/>
  <c r="AJ1860" i="48"/>
  <c r="AI1860" i="48"/>
  <c r="AH1860" i="48"/>
  <c r="M1860" i="48"/>
  <c r="L1860" i="48"/>
  <c r="K1860" i="48"/>
  <c r="AJ1859" i="48"/>
  <c r="AI1859" i="48"/>
  <c r="AH1859" i="48"/>
  <c r="M1859" i="48"/>
  <c r="L1859" i="48"/>
  <c r="K1859" i="48"/>
  <c r="AJ1858" i="48"/>
  <c r="AI1858" i="48"/>
  <c r="AH1858" i="48"/>
  <c r="M1858" i="48"/>
  <c r="L1858" i="48"/>
  <c r="K1858" i="48"/>
  <c r="AJ1857" i="48"/>
  <c r="AI1857" i="48"/>
  <c r="AH1857" i="48"/>
  <c r="M1857" i="48"/>
  <c r="L1857" i="48"/>
  <c r="K1857" i="48"/>
  <c r="AJ1856" i="48"/>
  <c r="AI1856" i="48"/>
  <c r="AH1856" i="48"/>
  <c r="M1856" i="48"/>
  <c r="L1856" i="48"/>
  <c r="K1856" i="48"/>
  <c r="AJ1855" i="48"/>
  <c r="AI1855" i="48"/>
  <c r="AH1855" i="48"/>
  <c r="M1855" i="48"/>
  <c r="L1855" i="48"/>
  <c r="K1855" i="48"/>
  <c r="AJ1854" i="48"/>
  <c r="AI1854" i="48"/>
  <c r="AH1854" i="48"/>
  <c r="M1854" i="48"/>
  <c r="L1854" i="48"/>
  <c r="K1854" i="48"/>
  <c r="AJ1853" i="48"/>
  <c r="AI1853" i="48"/>
  <c r="AH1853" i="48"/>
  <c r="M1853" i="48"/>
  <c r="L1853" i="48"/>
  <c r="K1853" i="48"/>
  <c r="AJ1852" i="48"/>
  <c r="AI1852" i="48"/>
  <c r="AH1852" i="48"/>
  <c r="M1852" i="48"/>
  <c r="L1852" i="48"/>
  <c r="K1852" i="48"/>
  <c r="AJ1851" i="48"/>
  <c r="AI1851" i="48"/>
  <c r="AH1851" i="48"/>
  <c r="M1851" i="48"/>
  <c r="L1851" i="48"/>
  <c r="K1851" i="48"/>
  <c r="AJ1850" i="48"/>
  <c r="AI1850" i="48"/>
  <c r="AH1850" i="48"/>
  <c r="M1850" i="48"/>
  <c r="L1850" i="48"/>
  <c r="K1850" i="48"/>
  <c r="AJ1849" i="48"/>
  <c r="AI1849" i="48"/>
  <c r="AH1849" i="48"/>
  <c r="M1849" i="48"/>
  <c r="L1849" i="48"/>
  <c r="K1849" i="48"/>
  <c r="AJ1848" i="48"/>
  <c r="AI1848" i="48"/>
  <c r="AH1848" i="48"/>
  <c r="M1848" i="48"/>
  <c r="L1848" i="48"/>
  <c r="K1848" i="48"/>
  <c r="AJ1847" i="48"/>
  <c r="AI1847" i="48"/>
  <c r="AH1847" i="48"/>
  <c r="M1847" i="48"/>
  <c r="L1847" i="48"/>
  <c r="K1847" i="48"/>
  <c r="AJ1846" i="48"/>
  <c r="AI1846" i="48"/>
  <c r="AH1846" i="48"/>
  <c r="M1846" i="48"/>
  <c r="L1846" i="48"/>
  <c r="K1846" i="48"/>
  <c r="AJ1845" i="48"/>
  <c r="AI1845" i="48"/>
  <c r="AH1845" i="48"/>
  <c r="M1845" i="48"/>
  <c r="L1845" i="48"/>
  <c r="K1845" i="48"/>
  <c r="AJ1844" i="48"/>
  <c r="AI1844" i="48"/>
  <c r="AH1844" i="48"/>
  <c r="M1844" i="48"/>
  <c r="L1844" i="48"/>
  <c r="K1844" i="48"/>
  <c r="AJ1843" i="48"/>
  <c r="AI1843" i="48"/>
  <c r="AH1843" i="48"/>
  <c r="M1843" i="48"/>
  <c r="L1843" i="48"/>
  <c r="K1843" i="48"/>
  <c r="AJ1842" i="48"/>
  <c r="AI1842" i="48"/>
  <c r="AH1842" i="48"/>
  <c r="M1842" i="48"/>
  <c r="L1842" i="48"/>
  <c r="K1842" i="48"/>
  <c r="AJ1841" i="48"/>
  <c r="AI1841" i="48"/>
  <c r="AH1841" i="48"/>
  <c r="M1841" i="48"/>
  <c r="L1841" i="48"/>
  <c r="K1841" i="48"/>
  <c r="AJ1840" i="48"/>
  <c r="AI1840" i="48"/>
  <c r="AH1840" i="48"/>
  <c r="M1840" i="48"/>
  <c r="L1840" i="48"/>
  <c r="K1840" i="48"/>
  <c r="AJ1839" i="48"/>
  <c r="AI1839" i="48"/>
  <c r="AH1839" i="48"/>
  <c r="M1839" i="48"/>
  <c r="L1839" i="48"/>
  <c r="K1839" i="48"/>
  <c r="AJ1838" i="48"/>
  <c r="AI1838" i="48"/>
  <c r="AH1838" i="48"/>
  <c r="M1838" i="48"/>
  <c r="L1838" i="48"/>
  <c r="K1838" i="48"/>
  <c r="AJ1837" i="48"/>
  <c r="AI1837" i="48"/>
  <c r="AH1837" i="48"/>
  <c r="M1837" i="48"/>
  <c r="L1837" i="48"/>
  <c r="K1837" i="48"/>
  <c r="AJ1836" i="48"/>
  <c r="AI1836" i="48"/>
  <c r="AH1836" i="48"/>
  <c r="M1836" i="48"/>
  <c r="L1836" i="48"/>
  <c r="K1836" i="48"/>
  <c r="AJ1835" i="48"/>
  <c r="AI1835" i="48"/>
  <c r="AH1835" i="48"/>
  <c r="M1835" i="48"/>
  <c r="L1835" i="48"/>
  <c r="K1835" i="48"/>
  <c r="AJ1834" i="48"/>
  <c r="AI1834" i="48"/>
  <c r="AH1834" i="48"/>
  <c r="M1834" i="48"/>
  <c r="L1834" i="48"/>
  <c r="K1834" i="48"/>
  <c r="AJ1833" i="48"/>
  <c r="AI1833" i="48"/>
  <c r="AH1833" i="48"/>
  <c r="M1833" i="48"/>
  <c r="L1833" i="48"/>
  <c r="K1833" i="48"/>
  <c r="AJ1832" i="48"/>
  <c r="AI1832" i="48"/>
  <c r="AH1832" i="48"/>
  <c r="M1832" i="48"/>
  <c r="L1832" i="48"/>
  <c r="K1832" i="48"/>
  <c r="AJ1831" i="48"/>
  <c r="AI1831" i="48"/>
  <c r="AH1831" i="48"/>
  <c r="M1831" i="48"/>
  <c r="L1831" i="48"/>
  <c r="K1831" i="48"/>
  <c r="AJ1830" i="48"/>
  <c r="AI1830" i="48"/>
  <c r="AH1830" i="48"/>
  <c r="M1830" i="48"/>
  <c r="L1830" i="48"/>
  <c r="K1830" i="48"/>
  <c r="AJ1829" i="48"/>
  <c r="AI1829" i="48"/>
  <c r="AH1829" i="48"/>
  <c r="M1829" i="48"/>
  <c r="L1829" i="48"/>
  <c r="K1829" i="48"/>
  <c r="AJ1828" i="48"/>
  <c r="AI1828" i="48"/>
  <c r="AH1828" i="48"/>
  <c r="M1828" i="48"/>
  <c r="L1828" i="48"/>
  <c r="K1828" i="48"/>
  <c r="AJ1827" i="48"/>
  <c r="AI1827" i="48"/>
  <c r="AH1827" i="48"/>
  <c r="M1827" i="48"/>
  <c r="L1827" i="48"/>
  <c r="K1827" i="48"/>
  <c r="AJ1826" i="48"/>
  <c r="AI1826" i="48"/>
  <c r="AH1826" i="48"/>
  <c r="M1826" i="48"/>
  <c r="L1826" i="48"/>
  <c r="K1826" i="48"/>
  <c r="AJ1825" i="48"/>
  <c r="AI1825" i="48"/>
  <c r="AH1825" i="48"/>
  <c r="M1825" i="48"/>
  <c r="L1825" i="48"/>
  <c r="K1825" i="48"/>
  <c r="AJ1824" i="48"/>
  <c r="AI1824" i="48"/>
  <c r="AH1824" i="48"/>
  <c r="M1824" i="48"/>
  <c r="L1824" i="48"/>
  <c r="K1824" i="48"/>
  <c r="AJ1823" i="48"/>
  <c r="AI1823" i="48"/>
  <c r="AH1823" i="48"/>
  <c r="M1823" i="48"/>
  <c r="L1823" i="48"/>
  <c r="K1823" i="48"/>
  <c r="AJ1822" i="48"/>
  <c r="AI1822" i="48"/>
  <c r="AH1822" i="48"/>
  <c r="M1822" i="48"/>
  <c r="L1822" i="48"/>
  <c r="K1822" i="48"/>
  <c r="AJ1821" i="48"/>
  <c r="AI1821" i="48"/>
  <c r="AH1821" i="48"/>
  <c r="M1821" i="48"/>
  <c r="L1821" i="48"/>
  <c r="K1821" i="48"/>
  <c r="AJ1820" i="48"/>
  <c r="AI1820" i="48"/>
  <c r="AH1820" i="48"/>
  <c r="M1820" i="48"/>
  <c r="L1820" i="48"/>
  <c r="K1820" i="48"/>
  <c r="AJ1819" i="48"/>
  <c r="AI1819" i="48"/>
  <c r="AH1819" i="48"/>
  <c r="M1819" i="48"/>
  <c r="L1819" i="48"/>
  <c r="K1819" i="48"/>
  <c r="AJ1818" i="48"/>
  <c r="AI1818" i="48"/>
  <c r="AH1818" i="48"/>
  <c r="M1818" i="48"/>
  <c r="L1818" i="48"/>
  <c r="K1818" i="48"/>
  <c r="AJ1817" i="48"/>
  <c r="AI1817" i="48"/>
  <c r="AH1817" i="48"/>
  <c r="M1817" i="48"/>
  <c r="L1817" i="48"/>
  <c r="K1817" i="48"/>
  <c r="AJ1816" i="48"/>
  <c r="AI1816" i="48"/>
  <c r="AH1816" i="48"/>
  <c r="M1816" i="48"/>
  <c r="L1816" i="48"/>
  <c r="K1816" i="48"/>
  <c r="AJ1815" i="48"/>
  <c r="AI1815" i="48"/>
  <c r="AH1815" i="48"/>
  <c r="M1815" i="48"/>
  <c r="L1815" i="48"/>
  <c r="K1815" i="48"/>
  <c r="AJ1814" i="48"/>
  <c r="AI1814" i="48"/>
  <c r="AH1814" i="48"/>
  <c r="M1814" i="48"/>
  <c r="L1814" i="48"/>
  <c r="K1814" i="48"/>
  <c r="AJ1813" i="48"/>
  <c r="AI1813" i="48"/>
  <c r="AH1813" i="48"/>
  <c r="M1813" i="48"/>
  <c r="L1813" i="48"/>
  <c r="K1813" i="48"/>
  <c r="AJ1812" i="48"/>
  <c r="AI1812" i="48"/>
  <c r="AH1812" i="48"/>
  <c r="M1812" i="48"/>
  <c r="L1812" i="48"/>
  <c r="K1812" i="48"/>
  <c r="AJ1811" i="48"/>
  <c r="AI1811" i="48"/>
  <c r="AH1811" i="48"/>
  <c r="M1811" i="48"/>
  <c r="L1811" i="48"/>
  <c r="K1811" i="48"/>
  <c r="AJ1810" i="48"/>
  <c r="AI1810" i="48"/>
  <c r="AH1810" i="48"/>
  <c r="M1810" i="48"/>
  <c r="L1810" i="48"/>
  <c r="K1810" i="48"/>
  <c r="AJ1809" i="48"/>
  <c r="AI1809" i="48"/>
  <c r="AH1809" i="48"/>
  <c r="M1809" i="48"/>
  <c r="L1809" i="48"/>
  <c r="K1809" i="48"/>
  <c r="AJ1808" i="48"/>
  <c r="AI1808" i="48"/>
  <c r="AH1808" i="48"/>
  <c r="M1808" i="48"/>
  <c r="L1808" i="48"/>
  <c r="K1808" i="48"/>
  <c r="AJ1807" i="48"/>
  <c r="AI1807" i="48"/>
  <c r="AH1807" i="48"/>
  <c r="M1807" i="48"/>
  <c r="L1807" i="48"/>
  <c r="K1807" i="48"/>
  <c r="AJ1806" i="48"/>
  <c r="AI1806" i="48"/>
  <c r="AH1806" i="48"/>
  <c r="M1806" i="48"/>
  <c r="L1806" i="48"/>
  <c r="K1806" i="48"/>
  <c r="AJ1805" i="48"/>
  <c r="AI1805" i="48"/>
  <c r="AH1805" i="48"/>
  <c r="M1805" i="48"/>
  <c r="L1805" i="48"/>
  <c r="K1805" i="48"/>
  <c r="AJ1804" i="48"/>
  <c r="AI1804" i="48"/>
  <c r="AH1804" i="48"/>
  <c r="M1804" i="48"/>
  <c r="L1804" i="48"/>
  <c r="K1804" i="48"/>
  <c r="AJ1803" i="48"/>
  <c r="AI1803" i="48"/>
  <c r="AH1803" i="48"/>
  <c r="M1803" i="48"/>
  <c r="L1803" i="48"/>
  <c r="K1803" i="48"/>
  <c r="AJ1802" i="48"/>
  <c r="AI1802" i="48"/>
  <c r="AH1802" i="48"/>
  <c r="M1802" i="48"/>
  <c r="L1802" i="48"/>
  <c r="K1802" i="48"/>
  <c r="AJ1801" i="48"/>
  <c r="AI1801" i="48"/>
  <c r="AH1801" i="48"/>
  <c r="M1801" i="48"/>
  <c r="L1801" i="48"/>
  <c r="K1801" i="48"/>
  <c r="AJ1800" i="48"/>
  <c r="AI1800" i="48"/>
  <c r="AH1800" i="48"/>
  <c r="M1800" i="48"/>
  <c r="L1800" i="48"/>
  <c r="K1800" i="48"/>
  <c r="AJ1799" i="48"/>
  <c r="AI1799" i="48"/>
  <c r="AH1799" i="48"/>
  <c r="M1799" i="48"/>
  <c r="L1799" i="48"/>
  <c r="K1799" i="48"/>
  <c r="AJ1798" i="48"/>
  <c r="AI1798" i="48"/>
  <c r="AH1798" i="48"/>
  <c r="M1798" i="48"/>
  <c r="L1798" i="48"/>
  <c r="K1798" i="48"/>
  <c r="AJ1797" i="48"/>
  <c r="AI1797" i="48"/>
  <c r="AH1797" i="48"/>
  <c r="M1797" i="48"/>
  <c r="L1797" i="48"/>
  <c r="K1797" i="48"/>
  <c r="AJ1796" i="48"/>
  <c r="AI1796" i="48"/>
  <c r="AH1796" i="48"/>
  <c r="M1796" i="48"/>
  <c r="L1796" i="48"/>
  <c r="K1796" i="48"/>
  <c r="AJ1795" i="48"/>
  <c r="AI1795" i="48"/>
  <c r="AH1795" i="48"/>
  <c r="M1795" i="48"/>
  <c r="L1795" i="48"/>
  <c r="K1795" i="48"/>
  <c r="AJ1794" i="48"/>
  <c r="AI1794" i="48"/>
  <c r="AH1794" i="48"/>
  <c r="M1794" i="48"/>
  <c r="L1794" i="48"/>
  <c r="K1794" i="48"/>
  <c r="AJ1793" i="48"/>
  <c r="AI1793" i="48"/>
  <c r="AH1793" i="48"/>
  <c r="M1793" i="48"/>
  <c r="L1793" i="48"/>
  <c r="K1793" i="48"/>
  <c r="AJ1792" i="48"/>
  <c r="AI1792" i="48"/>
  <c r="AH1792" i="48"/>
  <c r="M1792" i="48"/>
  <c r="L1792" i="48"/>
  <c r="K1792" i="48"/>
  <c r="AJ1791" i="48"/>
  <c r="AI1791" i="48"/>
  <c r="AH1791" i="48"/>
  <c r="M1791" i="48"/>
  <c r="L1791" i="48"/>
  <c r="K1791" i="48"/>
  <c r="AJ1790" i="48"/>
  <c r="AI1790" i="48"/>
  <c r="AH1790" i="48"/>
  <c r="M1790" i="48"/>
  <c r="L1790" i="48"/>
  <c r="K1790" i="48"/>
  <c r="AJ1789" i="48"/>
  <c r="AI1789" i="48"/>
  <c r="AH1789" i="48"/>
  <c r="M1789" i="48"/>
  <c r="L1789" i="48"/>
  <c r="K1789" i="48"/>
  <c r="AJ1788" i="48"/>
  <c r="AI1788" i="48"/>
  <c r="AH1788" i="48"/>
  <c r="M1788" i="48"/>
  <c r="L1788" i="48"/>
  <c r="K1788" i="48"/>
  <c r="AJ1787" i="48"/>
  <c r="AI1787" i="48"/>
  <c r="AH1787" i="48"/>
  <c r="M1787" i="48"/>
  <c r="L1787" i="48"/>
  <c r="K1787" i="48"/>
  <c r="AJ1786" i="48"/>
  <c r="AI1786" i="48"/>
  <c r="AH1786" i="48"/>
  <c r="M1786" i="48"/>
  <c r="L1786" i="48"/>
  <c r="K1786" i="48"/>
  <c r="AJ1785" i="48"/>
  <c r="AI1785" i="48"/>
  <c r="AH1785" i="48"/>
  <c r="M1785" i="48"/>
  <c r="L1785" i="48"/>
  <c r="K1785" i="48"/>
  <c r="AJ1784" i="48"/>
  <c r="AI1784" i="48"/>
  <c r="AH1784" i="48"/>
  <c r="M1784" i="48"/>
  <c r="L1784" i="48"/>
  <c r="K1784" i="48"/>
  <c r="AJ1783" i="48"/>
  <c r="AI1783" i="48"/>
  <c r="AH1783" i="48"/>
  <c r="M1783" i="48"/>
  <c r="L1783" i="48"/>
  <c r="K1783" i="48"/>
  <c r="AJ1782" i="48"/>
  <c r="AI1782" i="48"/>
  <c r="AH1782" i="48"/>
  <c r="M1782" i="48"/>
  <c r="L1782" i="48"/>
  <c r="K1782" i="48"/>
  <c r="AJ1781" i="48"/>
  <c r="AI1781" i="48"/>
  <c r="AH1781" i="48"/>
  <c r="M1781" i="48"/>
  <c r="L1781" i="48"/>
  <c r="K1781" i="48"/>
  <c r="AJ1780" i="48"/>
  <c r="AI1780" i="48"/>
  <c r="AH1780" i="48"/>
  <c r="M1780" i="48"/>
  <c r="L1780" i="48"/>
  <c r="K1780" i="48"/>
  <c r="AJ1779" i="48"/>
  <c r="AI1779" i="48"/>
  <c r="AH1779" i="48"/>
  <c r="M1779" i="48"/>
  <c r="L1779" i="48"/>
  <c r="K1779" i="48"/>
  <c r="AJ1778" i="48"/>
  <c r="AI1778" i="48"/>
  <c r="AH1778" i="48"/>
  <c r="M1778" i="48"/>
  <c r="L1778" i="48"/>
  <c r="K1778" i="48"/>
  <c r="AJ1777" i="48"/>
  <c r="AI1777" i="48"/>
  <c r="AH1777" i="48"/>
  <c r="M1777" i="48"/>
  <c r="L1777" i="48"/>
  <c r="K1777" i="48"/>
  <c r="AJ1776" i="48"/>
  <c r="AI1776" i="48"/>
  <c r="AH1776" i="48"/>
  <c r="M1776" i="48"/>
  <c r="L1776" i="48"/>
  <c r="K1776" i="48"/>
  <c r="AJ1775" i="48"/>
  <c r="AI1775" i="48"/>
  <c r="AH1775" i="48"/>
  <c r="M1775" i="48"/>
  <c r="L1775" i="48"/>
  <c r="K1775" i="48"/>
  <c r="AJ1774" i="48"/>
  <c r="AI1774" i="48"/>
  <c r="AH1774" i="48"/>
  <c r="M1774" i="48"/>
  <c r="L1774" i="48"/>
  <c r="K1774" i="48"/>
  <c r="AJ1773" i="48"/>
  <c r="AI1773" i="48"/>
  <c r="AH1773" i="48"/>
  <c r="M1773" i="48"/>
  <c r="L1773" i="48"/>
  <c r="K1773" i="48"/>
  <c r="AJ1772" i="48"/>
  <c r="AI1772" i="48"/>
  <c r="AH1772" i="48"/>
  <c r="M1772" i="48"/>
  <c r="L1772" i="48"/>
  <c r="K1772" i="48"/>
  <c r="AJ1771" i="48"/>
  <c r="AI1771" i="48"/>
  <c r="AH1771" i="48"/>
  <c r="M1771" i="48"/>
  <c r="L1771" i="48"/>
  <c r="K1771" i="48"/>
  <c r="AJ1770" i="48"/>
  <c r="AI1770" i="48"/>
  <c r="AH1770" i="48"/>
  <c r="M1770" i="48"/>
  <c r="L1770" i="48"/>
  <c r="K1770" i="48"/>
  <c r="AJ1769" i="48"/>
  <c r="AI1769" i="48"/>
  <c r="AH1769" i="48"/>
  <c r="M1769" i="48"/>
  <c r="L1769" i="48"/>
  <c r="K1769" i="48"/>
  <c r="AJ1768" i="48"/>
  <c r="AI1768" i="48"/>
  <c r="AH1768" i="48"/>
  <c r="M1768" i="48"/>
  <c r="L1768" i="48"/>
  <c r="K1768" i="48"/>
  <c r="AJ1767" i="48"/>
  <c r="AI1767" i="48"/>
  <c r="AH1767" i="48"/>
  <c r="M1767" i="48"/>
  <c r="L1767" i="48"/>
  <c r="K1767" i="48"/>
  <c r="AJ1766" i="48"/>
  <c r="AI1766" i="48"/>
  <c r="AH1766" i="48"/>
  <c r="M1766" i="48"/>
  <c r="L1766" i="48"/>
  <c r="K1766" i="48"/>
  <c r="AJ1765" i="48"/>
  <c r="AI1765" i="48"/>
  <c r="AH1765" i="48"/>
  <c r="M1765" i="48"/>
  <c r="L1765" i="48"/>
  <c r="K1765" i="48"/>
  <c r="AJ1764" i="48"/>
  <c r="AI1764" i="48"/>
  <c r="AH1764" i="48"/>
  <c r="M1764" i="48"/>
  <c r="L1764" i="48"/>
  <c r="K1764" i="48"/>
  <c r="AJ1763" i="48"/>
  <c r="AI1763" i="48"/>
  <c r="AH1763" i="48"/>
  <c r="M1763" i="48"/>
  <c r="L1763" i="48"/>
  <c r="K1763" i="48"/>
  <c r="AJ1762" i="48"/>
  <c r="AI1762" i="48"/>
  <c r="AH1762" i="48"/>
  <c r="M1762" i="48"/>
  <c r="L1762" i="48"/>
  <c r="K1762" i="48"/>
  <c r="AJ1761" i="48"/>
  <c r="AI1761" i="48"/>
  <c r="AH1761" i="48"/>
  <c r="M1761" i="48"/>
  <c r="L1761" i="48"/>
  <c r="K1761" i="48"/>
  <c r="AJ1760" i="48"/>
  <c r="AI1760" i="48"/>
  <c r="AH1760" i="48"/>
  <c r="M1760" i="48"/>
  <c r="L1760" i="48"/>
  <c r="K1760" i="48"/>
  <c r="AJ1759" i="48"/>
  <c r="AI1759" i="48"/>
  <c r="AH1759" i="48"/>
  <c r="M1759" i="48"/>
  <c r="L1759" i="48"/>
  <c r="K1759" i="48"/>
  <c r="AJ1758" i="48"/>
  <c r="AI1758" i="48"/>
  <c r="AH1758" i="48"/>
  <c r="M1758" i="48"/>
  <c r="L1758" i="48"/>
  <c r="K1758" i="48"/>
  <c r="AJ1757" i="48"/>
  <c r="AI1757" i="48"/>
  <c r="AH1757" i="48"/>
  <c r="M1757" i="48"/>
  <c r="L1757" i="48"/>
  <c r="K1757" i="48"/>
  <c r="AJ1756" i="48"/>
  <c r="AI1756" i="48"/>
  <c r="AH1756" i="48"/>
  <c r="M1756" i="48"/>
  <c r="L1756" i="48"/>
  <c r="K1756" i="48"/>
  <c r="AJ1755" i="48"/>
  <c r="AI1755" i="48"/>
  <c r="AH1755" i="48"/>
  <c r="M1755" i="48"/>
  <c r="L1755" i="48"/>
  <c r="K1755" i="48"/>
  <c r="AJ1754" i="48"/>
  <c r="AI1754" i="48"/>
  <c r="AH1754" i="48"/>
  <c r="M1754" i="48"/>
  <c r="L1754" i="48"/>
  <c r="K1754" i="48"/>
  <c r="AJ1753" i="48"/>
  <c r="AI1753" i="48"/>
  <c r="AH1753" i="48"/>
  <c r="M1753" i="48"/>
  <c r="L1753" i="48"/>
  <c r="K1753" i="48"/>
  <c r="AJ1752" i="48"/>
  <c r="AI1752" i="48"/>
  <c r="AH1752" i="48"/>
  <c r="M1752" i="48"/>
  <c r="L1752" i="48"/>
  <c r="K1752" i="48"/>
  <c r="AJ1751" i="48"/>
  <c r="AI1751" i="48"/>
  <c r="AH1751" i="48"/>
  <c r="M1751" i="48"/>
  <c r="L1751" i="48"/>
  <c r="K1751" i="48"/>
  <c r="AJ1750" i="48"/>
  <c r="AI1750" i="48"/>
  <c r="AH1750" i="48"/>
  <c r="M1750" i="48"/>
  <c r="L1750" i="48"/>
  <c r="K1750" i="48"/>
  <c r="AJ1749" i="48"/>
  <c r="AI1749" i="48"/>
  <c r="AH1749" i="48"/>
  <c r="M1749" i="48"/>
  <c r="L1749" i="48"/>
  <c r="K1749" i="48"/>
  <c r="AJ1748" i="48"/>
  <c r="AI1748" i="48"/>
  <c r="AH1748" i="48"/>
  <c r="M1748" i="48"/>
  <c r="L1748" i="48"/>
  <c r="K1748" i="48"/>
  <c r="AJ1747" i="48"/>
  <c r="AI1747" i="48"/>
  <c r="AH1747" i="48"/>
  <c r="M1747" i="48"/>
  <c r="L1747" i="48"/>
  <c r="K1747" i="48"/>
  <c r="AJ1746" i="48"/>
  <c r="AI1746" i="48"/>
  <c r="AH1746" i="48"/>
  <c r="M1746" i="48"/>
  <c r="L1746" i="48"/>
  <c r="K1746" i="48"/>
  <c r="AJ1745" i="48"/>
  <c r="AI1745" i="48"/>
  <c r="AH1745" i="48"/>
  <c r="M1745" i="48"/>
  <c r="L1745" i="48"/>
  <c r="K1745" i="48"/>
  <c r="AJ1744" i="48"/>
  <c r="AI1744" i="48"/>
  <c r="AH1744" i="48"/>
  <c r="M1744" i="48"/>
  <c r="L1744" i="48"/>
  <c r="K1744" i="48"/>
  <c r="AJ1743" i="48"/>
  <c r="AI1743" i="48"/>
  <c r="AH1743" i="48"/>
  <c r="M1743" i="48"/>
  <c r="L1743" i="48"/>
  <c r="K1743" i="48"/>
  <c r="AJ1742" i="48"/>
  <c r="AI1742" i="48"/>
  <c r="AH1742" i="48"/>
  <c r="M1742" i="48"/>
  <c r="L1742" i="48"/>
  <c r="K1742" i="48"/>
  <c r="AJ1741" i="48"/>
  <c r="AI1741" i="48"/>
  <c r="AH1741" i="48"/>
  <c r="M1741" i="48"/>
  <c r="L1741" i="48"/>
  <c r="K1741" i="48"/>
  <c r="AJ1740" i="48"/>
  <c r="AI1740" i="48"/>
  <c r="AH1740" i="48"/>
  <c r="M1740" i="48"/>
  <c r="L1740" i="48"/>
  <c r="K1740" i="48"/>
  <c r="AJ1739" i="48"/>
  <c r="AI1739" i="48"/>
  <c r="AH1739" i="48"/>
  <c r="M1739" i="48"/>
  <c r="L1739" i="48"/>
  <c r="K1739" i="48"/>
  <c r="AJ1738" i="48"/>
  <c r="AI1738" i="48"/>
  <c r="AH1738" i="48"/>
  <c r="M1738" i="48"/>
  <c r="L1738" i="48"/>
  <c r="K1738" i="48"/>
  <c r="AJ1737" i="48"/>
  <c r="AI1737" i="48"/>
  <c r="AH1737" i="48"/>
  <c r="M1737" i="48"/>
  <c r="L1737" i="48"/>
  <c r="K1737" i="48"/>
  <c r="AJ1736" i="48"/>
  <c r="AI1736" i="48"/>
  <c r="AH1736" i="48"/>
  <c r="M1736" i="48"/>
  <c r="L1736" i="48"/>
  <c r="K1736" i="48"/>
  <c r="AJ1735" i="48"/>
  <c r="AI1735" i="48"/>
  <c r="AH1735" i="48"/>
  <c r="M1735" i="48"/>
  <c r="L1735" i="48"/>
  <c r="K1735" i="48"/>
  <c r="AJ1734" i="48"/>
  <c r="AI1734" i="48"/>
  <c r="AH1734" i="48"/>
  <c r="M1734" i="48"/>
  <c r="L1734" i="48"/>
  <c r="K1734" i="48"/>
  <c r="AJ1733" i="48"/>
  <c r="AI1733" i="48"/>
  <c r="AH1733" i="48"/>
  <c r="M1733" i="48"/>
  <c r="L1733" i="48"/>
  <c r="K1733" i="48"/>
  <c r="AJ1732" i="48"/>
  <c r="AI1732" i="48"/>
  <c r="AH1732" i="48"/>
  <c r="M1732" i="48"/>
  <c r="L1732" i="48"/>
  <c r="K1732" i="48"/>
  <c r="AJ1731" i="48"/>
  <c r="AI1731" i="48"/>
  <c r="AH1731" i="48"/>
  <c r="M1731" i="48"/>
  <c r="L1731" i="48"/>
  <c r="K1731" i="48"/>
  <c r="AJ1730" i="48"/>
  <c r="AI1730" i="48"/>
  <c r="AH1730" i="48"/>
  <c r="M1730" i="48"/>
  <c r="L1730" i="48"/>
  <c r="K1730" i="48"/>
  <c r="AJ1729" i="48"/>
  <c r="AI1729" i="48"/>
  <c r="AH1729" i="48"/>
  <c r="M1729" i="48"/>
  <c r="L1729" i="48"/>
  <c r="K1729" i="48"/>
  <c r="AJ1728" i="48"/>
  <c r="AI1728" i="48"/>
  <c r="AH1728" i="48"/>
  <c r="M1728" i="48"/>
  <c r="L1728" i="48"/>
  <c r="K1728" i="48"/>
  <c r="AJ1727" i="48"/>
  <c r="AI1727" i="48"/>
  <c r="AH1727" i="48"/>
  <c r="M1727" i="48"/>
  <c r="L1727" i="48"/>
  <c r="K1727" i="48"/>
  <c r="AJ1726" i="48"/>
  <c r="AI1726" i="48"/>
  <c r="AH1726" i="48"/>
  <c r="M1726" i="48"/>
  <c r="L1726" i="48"/>
  <c r="K1726" i="48"/>
  <c r="AJ1725" i="48"/>
  <c r="AI1725" i="48"/>
  <c r="AH1725" i="48"/>
  <c r="M1725" i="48"/>
  <c r="L1725" i="48"/>
  <c r="K1725" i="48"/>
  <c r="AJ1724" i="48"/>
  <c r="AI1724" i="48"/>
  <c r="AH1724" i="48"/>
  <c r="M1724" i="48"/>
  <c r="L1724" i="48"/>
  <c r="K1724" i="48"/>
  <c r="AJ1723" i="48"/>
  <c r="AI1723" i="48"/>
  <c r="AH1723" i="48"/>
  <c r="M1723" i="48"/>
  <c r="L1723" i="48"/>
  <c r="K1723" i="48"/>
  <c r="AJ1722" i="48"/>
  <c r="AI1722" i="48"/>
  <c r="AH1722" i="48"/>
  <c r="M1722" i="48"/>
  <c r="L1722" i="48"/>
  <c r="K1722" i="48"/>
  <c r="AJ1721" i="48"/>
  <c r="AI1721" i="48"/>
  <c r="AH1721" i="48"/>
  <c r="M1721" i="48"/>
  <c r="L1721" i="48"/>
  <c r="K1721" i="48"/>
  <c r="AJ1720" i="48"/>
  <c r="AI1720" i="48"/>
  <c r="AH1720" i="48"/>
  <c r="M1720" i="48"/>
  <c r="L1720" i="48"/>
  <c r="K1720" i="48"/>
  <c r="AJ1719" i="48"/>
  <c r="AI1719" i="48"/>
  <c r="AH1719" i="48"/>
  <c r="M1719" i="48"/>
  <c r="L1719" i="48"/>
  <c r="K1719" i="48"/>
  <c r="AJ1718" i="48"/>
  <c r="AI1718" i="48"/>
  <c r="AH1718" i="48"/>
  <c r="M1718" i="48"/>
  <c r="L1718" i="48"/>
  <c r="K1718" i="48"/>
  <c r="AJ1717" i="48"/>
  <c r="AI1717" i="48"/>
  <c r="AH1717" i="48"/>
  <c r="M1717" i="48"/>
  <c r="L1717" i="48"/>
  <c r="K1717" i="48"/>
  <c r="AJ1716" i="48"/>
  <c r="AI1716" i="48"/>
  <c r="AH1716" i="48"/>
  <c r="M1716" i="48"/>
  <c r="L1716" i="48"/>
  <c r="K1716" i="48"/>
  <c r="AJ1715" i="48"/>
  <c r="AI1715" i="48"/>
  <c r="AH1715" i="48"/>
  <c r="M1715" i="48"/>
  <c r="L1715" i="48"/>
  <c r="K1715" i="48"/>
  <c r="AJ1714" i="48"/>
  <c r="AI1714" i="48"/>
  <c r="AH1714" i="48"/>
  <c r="M1714" i="48"/>
  <c r="L1714" i="48"/>
  <c r="K1714" i="48"/>
  <c r="AJ1713" i="48"/>
  <c r="AI1713" i="48"/>
  <c r="AH1713" i="48"/>
  <c r="M1713" i="48"/>
  <c r="L1713" i="48"/>
  <c r="K1713" i="48"/>
  <c r="AJ1712" i="48"/>
  <c r="AI1712" i="48"/>
  <c r="AH1712" i="48"/>
  <c r="M1712" i="48"/>
  <c r="L1712" i="48"/>
  <c r="K1712" i="48"/>
  <c r="AJ1711" i="48"/>
  <c r="AI1711" i="48"/>
  <c r="AH1711" i="48"/>
  <c r="M1711" i="48"/>
  <c r="L1711" i="48"/>
  <c r="K1711" i="48"/>
  <c r="AJ1710" i="48"/>
  <c r="AI1710" i="48"/>
  <c r="AH1710" i="48"/>
  <c r="M1710" i="48"/>
  <c r="L1710" i="48"/>
  <c r="K1710" i="48"/>
  <c r="AJ1709" i="48"/>
  <c r="AI1709" i="48"/>
  <c r="AH1709" i="48"/>
  <c r="M1709" i="48"/>
  <c r="L1709" i="48"/>
  <c r="K1709" i="48"/>
  <c r="AJ1708" i="48"/>
  <c r="AI1708" i="48"/>
  <c r="AH1708" i="48"/>
  <c r="M1708" i="48"/>
  <c r="L1708" i="48"/>
  <c r="K1708" i="48"/>
  <c r="AJ1707" i="48"/>
  <c r="AI1707" i="48"/>
  <c r="AH1707" i="48"/>
  <c r="M1707" i="48"/>
  <c r="L1707" i="48"/>
  <c r="K1707" i="48"/>
  <c r="AJ1706" i="48"/>
  <c r="AI1706" i="48"/>
  <c r="AH1706" i="48"/>
  <c r="M1706" i="48"/>
  <c r="L1706" i="48"/>
  <c r="K1706" i="48"/>
  <c r="AJ1705" i="48"/>
  <c r="AI1705" i="48"/>
  <c r="AH1705" i="48"/>
  <c r="M1705" i="48"/>
  <c r="L1705" i="48"/>
  <c r="K1705" i="48"/>
  <c r="AJ1704" i="48"/>
  <c r="AI1704" i="48"/>
  <c r="AH1704" i="48"/>
  <c r="M1704" i="48"/>
  <c r="L1704" i="48"/>
  <c r="K1704" i="48"/>
  <c r="AJ1703" i="48"/>
  <c r="AI1703" i="48"/>
  <c r="AH1703" i="48"/>
  <c r="M1703" i="48"/>
  <c r="L1703" i="48"/>
  <c r="K1703" i="48"/>
  <c r="AJ1702" i="48"/>
  <c r="AI1702" i="48"/>
  <c r="AH1702" i="48"/>
  <c r="M1702" i="48"/>
  <c r="L1702" i="48"/>
  <c r="K1702" i="48"/>
  <c r="AJ1701" i="48"/>
  <c r="AI1701" i="48"/>
  <c r="AH1701" i="48"/>
  <c r="M1701" i="48"/>
  <c r="L1701" i="48"/>
  <c r="K1701" i="48"/>
  <c r="AJ1700" i="48"/>
  <c r="AI1700" i="48"/>
  <c r="AH1700" i="48"/>
  <c r="M1700" i="48"/>
  <c r="L1700" i="48"/>
  <c r="K1700" i="48"/>
  <c r="AJ1699" i="48"/>
  <c r="AI1699" i="48"/>
  <c r="AH1699" i="48"/>
  <c r="M1699" i="48"/>
  <c r="L1699" i="48"/>
  <c r="K1699" i="48"/>
  <c r="AJ1698" i="48"/>
  <c r="AI1698" i="48"/>
  <c r="AH1698" i="48"/>
  <c r="M1698" i="48"/>
  <c r="L1698" i="48"/>
  <c r="K1698" i="48"/>
  <c r="AJ1697" i="48"/>
  <c r="AI1697" i="48"/>
  <c r="AH1697" i="48"/>
  <c r="M1697" i="48"/>
  <c r="L1697" i="48"/>
  <c r="K1697" i="48"/>
  <c r="AJ1696" i="48"/>
  <c r="AI1696" i="48"/>
  <c r="AH1696" i="48"/>
  <c r="M1696" i="48"/>
  <c r="L1696" i="48"/>
  <c r="K1696" i="48"/>
  <c r="AJ1695" i="48"/>
  <c r="AI1695" i="48"/>
  <c r="AH1695" i="48"/>
  <c r="M1695" i="48"/>
  <c r="L1695" i="48"/>
  <c r="K1695" i="48"/>
  <c r="AJ1694" i="48"/>
  <c r="AI1694" i="48"/>
  <c r="AH1694" i="48"/>
  <c r="M1694" i="48"/>
  <c r="L1694" i="48"/>
  <c r="K1694" i="48"/>
  <c r="AJ1693" i="48"/>
  <c r="AI1693" i="48"/>
  <c r="AH1693" i="48"/>
  <c r="M1693" i="48"/>
  <c r="L1693" i="48"/>
  <c r="K1693" i="48"/>
  <c r="AJ1692" i="48"/>
  <c r="AI1692" i="48"/>
  <c r="AH1692" i="48"/>
  <c r="M1692" i="48"/>
  <c r="L1692" i="48"/>
  <c r="K1692" i="48"/>
  <c r="AJ1691" i="48"/>
  <c r="AI1691" i="48"/>
  <c r="AH1691" i="48"/>
  <c r="M1691" i="48"/>
  <c r="L1691" i="48"/>
  <c r="K1691" i="48"/>
  <c r="AJ1690" i="48"/>
  <c r="AI1690" i="48"/>
  <c r="AH1690" i="48"/>
  <c r="M1690" i="48"/>
  <c r="L1690" i="48"/>
  <c r="K1690" i="48"/>
  <c r="AJ1689" i="48"/>
  <c r="AI1689" i="48"/>
  <c r="AH1689" i="48"/>
  <c r="M1689" i="48"/>
  <c r="L1689" i="48"/>
  <c r="K1689" i="48"/>
  <c r="AJ1688" i="48"/>
  <c r="AI1688" i="48"/>
  <c r="AH1688" i="48"/>
  <c r="M1688" i="48"/>
  <c r="L1688" i="48"/>
  <c r="K1688" i="48"/>
  <c r="AJ1687" i="48"/>
  <c r="AI1687" i="48"/>
  <c r="AH1687" i="48"/>
  <c r="M1687" i="48"/>
  <c r="L1687" i="48"/>
  <c r="K1687" i="48"/>
  <c r="AJ1686" i="48"/>
  <c r="AI1686" i="48"/>
  <c r="AH1686" i="48"/>
  <c r="M1686" i="48"/>
  <c r="L1686" i="48"/>
  <c r="K1686" i="48"/>
  <c r="AJ1685" i="48"/>
  <c r="AI1685" i="48"/>
  <c r="AH1685" i="48"/>
  <c r="M1685" i="48"/>
  <c r="L1685" i="48"/>
  <c r="K1685" i="48"/>
  <c r="AJ1684" i="48"/>
  <c r="AI1684" i="48"/>
  <c r="AH1684" i="48"/>
  <c r="M1684" i="48"/>
  <c r="L1684" i="48"/>
  <c r="K1684" i="48"/>
  <c r="AJ1683" i="48"/>
  <c r="AI1683" i="48"/>
  <c r="AH1683" i="48"/>
  <c r="M1683" i="48"/>
  <c r="L1683" i="48"/>
  <c r="K1683" i="48"/>
  <c r="AJ1682" i="48"/>
  <c r="AI1682" i="48"/>
  <c r="AH1682" i="48"/>
  <c r="M1682" i="48"/>
  <c r="L1682" i="48"/>
  <c r="K1682" i="48"/>
  <c r="AJ1681" i="48"/>
  <c r="AI1681" i="48"/>
  <c r="AH1681" i="48"/>
  <c r="M1681" i="48"/>
  <c r="L1681" i="48"/>
  <c r="K1681" i="48"/>
  <c r="AJ1680" i="48"/>
  <c r="AI1680" i="48"/>
  <c r="AH1680" i="48"/>
  <c r="M1680" i="48"/>
  <c r="L1680" i="48"/>
  <c r="K1680" i="48"/>
  <c r="AJ1679" i="48"/>
  <c r="AI1679" i="48"/>
  <c r="AH1679" i="48"/>
  <c r="M1679" i="48"/>
  <c r="L1679" i="48"/>
  <c r="K1679" i="48"/>
  <c r="AJ1678" i="48"/>
  <c r="AI1678" i="48"/>
  <c r="AH1678" i="48"/>
  <c r="M1678" i="48"/>
  <c r="L1678" i="48"/>
  <c r="K1678" i="48"/>
  <c r="AJ1677" i="48"/>
  <c r="AI1677" i="48"/>
  <c r="AH1677" i="48"/>
  <c r="M1677" i="48"/>
  <c r="L1677" i="48"/>
  <c r="K1677" i="48"/>
  <c r="AJ1676" i="48"/>
  <c r="AI1676" i="48"/>
  <c r="AH1676" i="48"/>
  <c r="M1676" i="48"/>
  <c r="L1676" i="48"/>
  <c r="K1676" i="48"/>
  <c r="AJ1675" i="48"/>
  <c r="AI1675" i="48"/>
  <c r="AH1675" i="48"/>
  <c r="M1675" i="48"/>
  <c r="L1675" i="48"/>
  <c r="K1675" i="48"/>
  <c r="AJ1674" i="48"/>
  <c r="AI1674" i="48"/>
  <c r="AH1674" i="48"/>
  <c r="M1674" i="48"/>
  <c r="L1674" i="48"/>
  <c r="K1674" i="48"/>
  <c r="AJ1673" i="48"/>
  <c r="AI1673" i="48"/>
  <c r="AH1673" i="48"/>
  <c r="M1673" i="48"/>
  <c r="L1673" i="48"/>
  <c r="K1673" i="48"/>
  <c r="AJ1672" i="48"/>
  <c r="AI1672" i="48"/>
  <c r="AH1672" i="48"/>
  <c r="M1672" i="48"/>
  <c r="L1672" i="48"/>
  <c r="K1672" i="48"/>
  <c r="AJ1671" i="48"/>
  <c r="AI1671" i="48"/>
  <c r="AH1671" i="48"/>
  <c r="M1671" i="48"/>
  <c r="L1671" i="48"/>
  <c r="K1671" i="48"/>
  <c r="AJ1670" i="48"/>
  <c r="AI1670" i="48"/>
  <c r="AH1670" i="48"/>
  <c r="M1670" i="48"/>
  <c r="L1670" i="48"/>
  <c r="K1670" i="48"/>
  <c r="AJ1669" i="48"/>
  <c r="AI1669" i="48"/>
  <c r="AH1669" i="48"/>
  <c r="M1669" i="48"/>
  <c r="L1669" i="48"/>
  <c r="K1669" i="48"/>
  <c r="AJ1668" i="48"/>
  <c r="AI1668" i="48"/>
  <c r="AH1668" i="48"/>
  <c r="M1668" i="48"/>
  <c r="L1668" i="48"/>
  <c r="K1668" i="48"/>
  <c r="AJ1667" i="48"/>
  <c r="AI1667" i="48"/>
  <c r="AH1667" i="48"/>
  <c r="M1667" i="48"/>
  <c r="L1667" i="48"/>
  <c r="K1667" i="48"/>
  <c r="AJ1666" i="48"/>
  <c r="AI1666" i="48"/>
  <c r="AH1666" i="48"/>
  <c r="M1666" i="48"/>
  <c r="L1666" i="48"/>
  <c r="K1666" i="48"/>
  <c r="AJ1665" i="48"/>
  <c r="AI1665" i="48"/>
  <c r="AH1665" i="48"/>
  <c r="M1665" i="48"/>
  <c r="L1665" i="48"/>
  <c r="K1665" i="48"/>
  <c r="AJ1664" i="48"/>
  <c r="AI1664" i="48"/>
  <c r="AH1664" i="48"/>
  <c r="M1664" i="48"/>
  <c r="L1664" i="48"/>
  <c r="K1664" i="48"/>
  <c r="AJ1663" i="48"/>
  <c r="AI1663" i="48"/>
  <c r="AH1663" i="48"/>
  <c r="M1663" i="48"/>
  <c r="L1663" i="48"/>
  <c r="K1663" i="48"/>
  <c r="AJ1662" i="48"/>
  <c r="AI1662" i="48"/>
  <c r="AH1662" i="48"/>
  <c r="M1662" i="48"/>
  <c r="L1662" i="48"/>
  <c r="K1662" i="48"/>
  <c r="AJ1661" i="48"/>
  <c r="AI1661" i="48"/>
  <c r="AH1661" i="48"/>
  <c r="M1661" i="48"/>
  <c r="L1661" i="48"/>
  <c r="K1661" i="48"/>
  <c r="AJ1660" i="48"/>
  <c r="AI1660" i="48"/>
  <c r="AH1660" i="48"/>
  <c r="M1660" i="48"/>
  <c r="L1660" i="48"/>
  <c r="K1660" i="48"/>
  <c r="AJ1659" i="48"/>
  <c r="AI1659" i="48"/>
  <c r="AH1659" i="48"/>
  <c r="M1659" i="48"/>
  <c r="L1659" i="48"/>
  <c r="K1659" i="48"/>
  <c r="AJ1658" i="48"/>
  <c r="AI1658" i="48"/>
  <c r="AH1658" i="48"/>
  <c r="M1658" i="48"/>
  <c r="L1658" i="48"/>
  <c r="K1658" i="48"/>
  <c r="AJ1657" i="48"/>
  <c r="AI1657" i="48"/>
  <c r="AH1657" i="48"/>
  <c r="M1657" i="48"/>
  <c r="L1657" i="48"/>
  <c r="K1657" i="48"/>
  <c r="AJ1656" i="48"/>
  <c r="AI1656" i="48"/>
  <c r="AH1656" i="48"/>
  <c r="M1656" i="48"/>
  <c r="L1656" i="48"/>
  <c r="K1656" i="48"/>
  <c r="AJ1655" i="48"/>
  <c r="AI1655" i="48"/>
  <c r="AH1655" i="48"/>
  <c r="M1655" i="48"/>
  <c r="L1655" i="48"/>
  <c r="K1655" i="48"/>
  <c r="AJ1654" i="48"/>
  <c r="AI1654" i="48"/>
  <c r="AH1654" i="48"/>
  <c r="M1654" i="48"/>
  <c r="L1654" i="48"/>
  <c r="K1654" i="48"/>
  <c r="AJ1653" i="48"/>
  <c r="AI1653" i="48"/>
  <c r="AH1653" i="48"/>
  <c r="M1653" i="48"/>
  <c r="L1653" i="48"/>
  <c r="K1653" i="48"/>
  <c r="AJ1652" i="48"/>
  <c r="AI1652" i="48"/>
  <c r="AH1652" i="48"/>
  <c r="M1652" i="48"/>
  <c r="L1652" i="48"/>
  <c r="K1652" i="48"/>
  <c r="AJ1651" i="48"/>
  <c r="AI1651" i="48"/>
  <c r="AH1651" i="48"/>
  <c r="M1651" i="48"/>
  <c r="L1651" i="48"/>
  <c r="K1651" i="48"/>
  <c r="AJ1650" i="48"/>
  <c r="AI1650" i="48"/>
  <c r="AH1650" i="48"/>
  <c r="M1650" i="48"/>
  <c r="L1650" i="48"/>
  <c r="K1650" i="48"/>
  <c r="AJ1649" i="48"/>
  <c r="AI1649" i="48"/>
  <c r="AH1649" i="48"/>
  <c r="M1649" i="48"/>
  <c r="L1649" i="48"/>
  <c r="K1649" i="48"/>
  <c r="AJ1648" i="48"/>
  <c r="AI1648" i="48"/>
  <c r="AH1648" i="48"/>
  <c r="M1648" i="48"/>
  <c r="L1648" i="48"/>
  <c r="K1648" i="48"/>
  <c r="AJ1647" i="48"/>
  <c r="AI1647" i="48"/>
  <c r="AH1647" i="48"/>
  <c r="M1647" i="48"/>
  <c r="L1647" i="48"/>
  <c r="K1647" i="48"/>
  <c r="AJ1646" i="48"/>
  <c r="AI1646" i="48"/>
  <c r="AH1646" i="48"/>
  <c r="M1646" i="48"/>
  <c r="L1646" i="48"/>
  <c r="K1646" i="48"/>
  <c r="AJ1645" i="48"/>
  <c r="AI1645" i="48"/>
  <c r="AH1645" i="48"/>
  <c r="M1645" i="48"/>
  <c r="L1645" i="48"/>
  <c r="K1645" i="48"/>
  <c r="AJ1644" i="48"/>
  <c r="AI1644" i="48"/>
  <c r="AH1644" i="48"/>
  <c r="M1644" i="48"/>
  <c r="L1644" i="48"/>
  <c r="K1644" i="48"/>
  <c r="AJ1643" i="48"/>
  <c r="AI1643" i="48"/>
  <c r="AH1643" i="48"/>
  <c r="M1643" i="48"/>
  <c r="L1643" i="48"/>
  <c r="K1643" i="48"/>
  <c r="AJ1642" i="48"/>
  <c r="AI1642" i="48"/>
  <c r="AH1642" i="48"/>
  <c r="M1642" i="48"/>
  <c r="L1642" i="48"/>
  <c r="K1642" i="48"/>
  <c r="AJ1641" i="48"/>
  <c r="AI1641" i="48"/>
  <c r="AH1641" i="48"/>
  <c r="M1641" i="48"/>
  <c r="L1641" i="48"/>
  <c r="K1641" i="48"/>
  <c r="AJ1640" i="48"/>
  <c r="AI1640" i="48"/>
  <c r="AH1640" i="48"/>
  <c r="M1640" i="48"/>
  <c r="L1640" i="48"/>
  <c r="K1640" i="48"/>
  <c r="AJ1639" i="48"/>
  <c r="AI1639" i="48"/>
  <c r="AH1639" i="48"/>
  <c r="M1639" i="48"/>
  <c r="L1639" i="48"/>
  <c r="K1639" i="48"/>
  <c r="AJ1638" i="48"/>
  <c r="AI1638" i="48"/>
  <c r="AH1638" i="48"/>
  <c r="M1638" i="48"/>
  <c r="L1638" i="48"/>
  <c r="K1638" i="48"/>
  <c r="AJ1637" i="48"/>
  <c r="AI1637" i="48"/>
  <c r="AH1637" i="48"/>
  <c r="M1637" i="48"/>
  <c r="L1637" i="48"/>
  <c r="K1637" i="48"/>
  <c r="AJ1636" i="48"/>
  <c r="AI1636" i="48"/>
  <c r="AH1636" i="48"/>
  <c r="M1636" i="48"/>
  <c r="L1636" i="48"/>
  <c r="K1636" i="48"/>
  <c r="AJ1635" i="48"/>
  <c r="AI1635" i="48"/>
  <c r="AH1635" i="48"/>
  <c r="M1635" i="48"/>
  <c r="L1635" i="48"/>
  <c r="K1635" i="48"/>
  <c r="AJ1634" i="48"/>
  <c r="AI1634" i="48"/>
  <c r="AH1634" i="48"/>
  <c r="M1634" i="48"/>
  <c r="L1634" i="48"/>
  <c r="K1634" i="48"/>
  <c r="AJ1633" i="48"/>
  <c r="AI1633" i="48"/>
  <c r="AH1633" i="48"/>
  <c r="M1633" i="48"/>
  <c r="L1633" i="48"/>
  <c r="K1633" i="48"/>
  <c r="AJ1632" i="48"/>
  <c r="AI1632" i="48"/>
  <c r="AH1632" i="48"/>
  <c r="M1632" i="48"/>
  <c r="L1632" i="48"/>
  <c r="K1632" i="48"/>
  <c r="AJ1631" i="48"/>
  <c r="AI1631" i="48"/>
  <c r="AH1631" i="48"/>
  <c r="M1631" i="48"/>
  <c r="L1631" i="48"/>
  <c r="K1631" i="48"/>
  <c r="AJ1630" i="48"/>
  <c r="AI1630" i="48"/>
  <c r="AH1630" i="48"/>
  <c r="M1630" i="48"/>
  <c r="L1630" i="48"/>
  <c r="K1630" i="48"/>
  <c r="AJ1629" i="48"/>
  <c r="AI1629" i="48"/>
  <c r="AH1629" i="48"/>
  <c r="M1629" i="48"/>
  <c r="L1629" i="48"/>
  <c r="K1629" i="48"/>
  <c r="AJ1628" i="48"/>
  <c r="AI1628" i="48"/>
  <c r="AH1628" i="48"/>
  <c r="M1628" i="48"/>
  <c r="L1628" i="48"/>
  <c r="K1628" i="48"/>
  <c r="AJ1627" i="48"/>
  <c r="AI1627" i="48"/>
  <c r="AH1627" i="48"/>
  <c r="M1627" i="48"/>
  <c r="L1627" i="48"/>
  <c r="K1627" i="48"/>
  <c r="AJ1626" i="48"/>
  <c r="AI1626" i="48"/>
  <c r="AH1626" i="48"/>
  <c r="M1626" i="48"/>
  <c r="L1626" i="48"/>
  <c r="K1626" i="48"/>
  <c r="AJ1625" i="48"/>
  <c r="AI1625" i="48"/>
  <c r="AH1625" i="48"/>
  <c r="M1625" i="48"/>
  <c r="L1625" i="48"/>
  <c r="K1625" i="48"/>
  <c r="AJ1624" i="48"/>
  <c r="AI1624" i="48"/>
  <c r="AH1624" i="48"/>
  <c r="M1624" i="48"/>
  <c r="L1624" i="48"/>
  <c r="K1624" i="48"/>
  <c r="AJ1623" i="48"/>
  <c r="AI1623" i="48"/>
  <c r="AH1623" i="48"/>
  <c r="M1623" i="48"/>
  <c r="L1623" i="48"/>
  <c r="K1623" i="48"/>
  <c r="AJ1622" i="48"/>
  <c r="AI1622" i="48"/>
  <c r="AH1622" i="48"/>
  <c r="M1622" i="48"/>
  <c r="L1622" i="48"/>
  <c r="K1622" i="48"/>
  <c r="AJ1621" i="48"/>
  <c r="AI1621" i="48"/>
  <c r="AH1621" i="48"/>
  <c r="M1621" i="48"/>
  <c r="L1621" i="48"/>
  <c r="K1621" i="48"/>
  <c r="AJ1620" i="48"/>
  <c r="AI1620" i="48"/>
  <c r="AH1620" i="48"/>
  <c r="M1620" i="48"/>
  <c r="L1620" i="48"/>
  <c r="K1620" i="48"/>
  <c r="AJ1619" i="48"/>
  <c r="AI1619" i="48"/>
  <c r="AH1619" i="48"/>
  <c r="M1619" i="48"/>
  <c r="L1619" i="48"/>
  <c r="K1619" i="48"/>
  <c r="AJ1618" i="48"/>
  <c r="AI1618" i="48"/>
  <c r="AH1618" i="48"/>
  <c r="M1618" i="48"/>
  <c r="L1618" i="48"/>
  <c r="K1618" i="48"/>
  <c r="AJ1617" i="48"/>
  <c r="AI1617" i="48"/>
  <c r="AH1617" i="48"/>
  <c r="M1617" i="48"/>
  <c r="L1617" i="48"/>
  <c r="K1617" i="48"/>
  <c r="AJ1616" i="48"/>
  <c r="AI1616" i="48"/>
  <c r="AH1616" i="48"/>
  <c r="M1616" i="48"/>
  <c r="L1616" i="48"/>
  <c r="K1616" i="48"/>
  <c r="AJ1615" i="48"/>
  <c r="AI1615" i="48"/>
  <c r="AH1615" i="48"/>
  <c r="M1615" i="48"/>
  <c r="L1615" i="48"/>
  <c r="K1615" i="48"/>
  <c r="AJ1614" i="48"/>
  <c r="AI1614" i="48"/>
  <c r="AH1614" i="48"/>
  <c r="M1614" i="48"/>
  <c r="L1614" i="48"/>
  <c r="K1614" i="48"/>
  <c r="AJ1613" i="48"/>
  <c r="AI1613" i="48"/>
  <c r="AH1613" i="48"/>
  <c r="M1613" i="48"/>
  <c r="L1613" i="48"/>
  <c r="K1613" i="48"/>
  <c r="AJ1612" i="48"/>
  <c r="AI1612" i="48"/>
  <c r="AH1612" i="48"/>
  <c r="M1612" i="48"/>
  <c r="L1612" i="48"/>
  <c r="K1612" i="48"/>
  <c r="AJ1611" i="48"/>
  <c r="AI1611" i="48"/>
  <c r="AH1611" i="48"/>
  <c r="M1611" i="48"/>
  <c r="L1611" i="48"/>
  <c r="K1611" i="48"/>
  <c r="AJ1610" i="48"/>
  <c r="AI1610" i="48"/>
  <c r="AH1610" i="48"/>
  <c r="M1610" i="48"/>
  <c r="L1610" i="48"/>
  <c r="K1610" i="48"/>
  <c r="AJ1609" i="48"/>
  <c r="AI1609" i="48"/>
  <c r="AH1609" i="48"/>
  <c r="M1609" i="48"/>
  <c r="L1609" i="48"/>
  <c r="K1609" i="48"/>
  <c r="AJ1608" i="48"/>
  <c r="AI1608" i="48"/>
  <c r="AH1608" i="48"/>
  <c r="M1608" i="48"/>
  <c r="L1608" i="48"/>
  <c r="K1608" i="48"/>
  <c r="AJ1607" i="48"/>
  <c r="AI1607" i="48"/>
  <c r="AH1607" i="48"/>
  <c r="M1607" i="48"/>
  <c r="L1607" i="48"/>
  <c r="K1607" i="48"/>
  <c r="AJ1606" i="48"/>
  <c r="AI1606" i="48"/>
  <c r="AH1606" i="48"/>
  <c r="M1606" i="48"/>
  <c r="L1606" i="48"/>
  <c r="K1606" i="48"/>
  <c r="AJ1605" i="48"/>
  <c r="AI1605" i="48"/>
  <c r="AH1605" i="48"/>
  <c r="M1605" i="48"/>
  <c r="L1605" i="48"/>
  <c r="K1605" i="48"/>
  <c r="AJ1604" i="48"/>
  <c r="AI1604" i="48"/>
  <c r="AH1604" i="48"/>
  <c r="M1604" i="48"/>
  <c r="L1604" i="48"/>
  <c r="K1604" i="48"/>
  <c r="AJ1603" i="48"/>
  <c r="AI1603" i="48"/>
  <c r="AH1603" i="48"/>
  <c r="M1603" i="48"/>
  <c r="L1603" i="48"/>
  <c r="K1603" i="48"/>
  <c r="AJ1602" i="48"/>
  <c r="AI1602" i="48"/>
  <c r="AH1602" i="48"/>
  <c r="M1602" i="48"/>
  <c r="L1602" i="48"/>
  <c r="K1602" i="48"/>
  <c r="AJ1601" i="48"/>
  <c r="AI1601" i="48"/>
  <c r="AH1601" i="48"/>
  <c r="M1601" i="48"/>
  <c r="L1601" i="48"/>
  <c r="K1601" i="48"/>
  <c r="AJ1600" i="48"/>
  <c r="AI1600" i="48"/>
  <c r="AH1600" i="48"/>
  <c r="M1600" i="48"/>
  <c r="L1600" i="48"/>
  <c r="K1600" i="48"/>
  <c r="AJ1599" i="48"/>
  <c r="AI1599" i="48"/>
  <c r="AH1599" i="48"/>
  <c r="M1599" i="48"/>
  <c r="L1599" i="48"/>
  <c r="K1599" i="48"/>
  <c r="AJ1598" i="48"/>
  <c r="AI1598" i="48"/>
  <c r="AH1598" i="48"/>
  <c r="M1598" i="48"/>
  <c r="L1598" i="48"/>
  <c r="K1598" i="48"/>
  <c r="AJ1597" i="48"/>
  <c r="AI1597" i="48"/>
  <c r="AH1597" i="48"/>
  <c r="M1597" i="48"/>
  <c r="L1597" i="48"/>
  <c r="K1597" i="48"/>
  <c r="AJ1596" i="48"/>
  <c r="AI1596" i="48"/>
  <c r="AH1596" i="48"/>
  <c r="M1596" i="48"/>
  <c r="L1596" i="48"/>
  <c r="K1596" i="48"/>
  <c r="AJ1595" i="48"/>
  <c r="AI1595" i="48"/>
  <c r="AH1595" i="48"/>
  <c r="M1595" i="48"/>
  <c r="L1595" i="48"/>
  <c r="K1595" i="48"/>
  <c r="AJ1594" i="48"/>
  <c r="AI1594" i="48"/>
  <c r="AH1594" i="48"/>
  <c r="M1594" i="48"/>
  <c r="L1594" i="48"/>
  <c r="K1594" i="48"/>
  <c r="AJ1593" i="48"/>
  <c r="AI1593" i="48"/>
  <c r="AH1593" i="48"/>
  <c r="M1593" i="48"/>
  <c r="L1593" i="48"/>
  <c r="K1593" i="48"/>
  <c r="AJ1592" i="48"/>
  <c r="AI1592" i="48"/>
  <c r="AH1592" i="48"/>
  <c r="M1592" i="48"/>
  <c r="L1592" i="48"/>
  <c r="K1592" i="48"/>
  <c r="AJ1591" i="48"/>
  <c r="AI1591" i="48"/>
  <c r="AH1591" i="48"/>
  <c r="M1591" i="48"/>
  <c r="L1591" i="48"/>
  <c r="K1591" i="48"/>
  <c r="AJ1590" i="48"/>
  <c r="AI1590" i="48"/>
  <c r="AH1590" i="48"/>
  <c r="M1590" i="48"/>
  <c r="L1590" i="48"/>
  <c r="K1590" i="48"/>
  <c r="AJ1589" i="48"/>
  <c r="AI1589" i="48"/>
  <c r="AH1589" i="48"/>
  <c r="M1589" i="48"/>
  <c r="L1589" i="48"/>
  <c r="K1589" i="48"/>
  <c r="AJ1588" i="48"/>
  <c r="AI1588" i="48"/>
  <c r="AH1588" i="48"/>
  <c r="M1588" i="48"/>
  <c r="L1588" i="48"/>
  <c r="K1588" i="48"/>
  <c r="AJ1587" i="48"/>
  <c r="AI1587" i="48"/>
  <c r="AH1587" i="48"/>
  <c r="M1587" i="48"/>
  <c r="L1587" i="48"/>
  <c r="K1587" i="48"/>
  <c r="AJ1586" i="48"/>
  <c r="AI1586" i="48"/>
  <c r="AH1586" i="48"/>
  <c r="M1586" i="48"/>
  <c r="L1586" i="48"/>
  <c r="K1586" i="48"/>
  <c r="AJ1585" i="48"/>
  <c r="AI1585" i="48"/>
  <c r="AH1585" i="48"/>
  <c r="M1585" i="48"/>
  <c r="L1585" i="48"/>
  <c r="K1585" i="48"/>
  <c r="AJ1584" i="48"/>
  <c r="AI1584" i="48"/>
  <c r="AH1584" i="48"/>
  <c r="M1584" i="48"/>
  <c r="L1584" i="48"/>
  <c r="K1584" i="48"/>
  <c r="AJ1583" i="48"/>
  <c r="AI1583" i="48"/>
  <c r="AH1583" i="48"/>
  <c r="M1583" i="48"/>
  <c r="L1583" i="48"/>
  <c r="K1583" i="48"/>
  <c r="AJ1582" i="48"/>
  <c r="AI1582" i="48"/>
  <c r="AH1582" i="48"/>
  <c r="M1582" i="48"/>
  <c r="L1582" i="48"/>
  <c r="K1582" i="48"/>
  <c r="AJ1581" i="48"/>
  <c r="AI1581" i="48"/>
  <c r="AH1581" i="48"/>
  <c r="M1581" i="48"/>
  <c r="L1581" i="48"/>
  <c r="K1581" i="48"/>
  <c r="AJ1580" i="48"/>
  <c r="AI1580" i="48"/>
  <c r="AH1580" i="48"/>
  <c r="M1580" i="48"/>
  <c r="L1580" i="48"/>
  <c r="K1580" i="48"/>
  <c r="AJ1579" i="48"/>
  <c r="AI1579" i="48"/>
  <c r="AH1579" i="48"/>
  <c r="M1579" i="48"/>
  <c r="L1579" i="48"/>
  <c r="K1579" i="48"/>
  <c r="AJ1578" i="48"/>
  <c r="AI1578" i="48"/>
  <c r="AH1578" i="48"/>
  <c r="M1578" i="48"/>
  <c r="L1578" i="48"/>
  <c r="K1578" i="48"/>
  <c r="AJ1577" i="48"/>
  <c r="AI1577" i="48"/>
  <c r="AH1577" i="48"/>
  <c r="M1577" i="48"/>
  <c r="L1577" i="48"/>
  <c r="K1577" i="48"/>
  <c r="AJ1576" i="48"/>
  <c r="AI1576" i="48"/>
  <c r="AH1576" i="48"/>
  <c r="M1576" i="48"/>
  <c r="L1576" i="48"/>
  <c r="K1576" i="48"/>
  <c r="AJ1575" i="48"/>
  <c r="AI1575" i="48"/>
  <c r="AH1575" i="48"/>
  <c r="M1575" i="48"/>
  <c r="L1575" i="48"/>
  <c r="K1575" i="48"/>
  <c r="AJ1574" i="48"/>
  <c r="AI1574" i="48"/>
  <c r="AH1574" i="48"/>
  <c r="M1574" i="48"/>
  <c r="L1574" i="48"/>
  <c r="K1574" i="48"/>
  <c r="AJ1573" i="48"/>
  <c r="AI1573" i="48"/>
  <c r="AH1573" i="48"/>
  <c r="M1573" i="48"/>
  <c r="L1573" i="48"/>
  <c r="K1573" i="48"/>
  <c r="AJ1572" i="48"/>
  <c r="AI1572" i="48"/>
  <c r="AH1572" i="48"/>
  <c r="M1572" i="48"/>
  <c r="L1572" i="48"/>
  <c r="K1572" i="48"/>
  <c r="AJ1571" i="48"/>
  <c r="AI1571" i="48"/>
  <c r="AH1571" i="48"/>
  <c r="M1571" i="48"/>
  <c r="L1571" i="48"/>
  <c r="K1571" i="48"/>
  <c r="AJ1570" i="48"/>
  <c r="AI1570" i="48"/>
  <c r="AH1570" i="48"/>
  <c r="M1570" i="48"/>
  <c r="L1570" i="48"/>
  <c r="K1570" i="48"/>
  <c r="AJ1569" i="48"/>
  <c r="AI1569" i="48"/>
  <c r="AH1569" i="48"/>
  <c r="M1569" i="48"/>
  <c r="L1569" i="48"/>
  <c r="K1569" i="48"/>
  <c r="AJ1568" i="48"/>
  <c r="AI1568" i="48"/>
  <c r="AH1568" i="48"/>
  <c r="M1568" i="48"/>
  <c r="L1568" i="48"/>
  <c r="K1568" i="48"/>
  <c r="AJ1567" i="48"/>
  <c r="AI1567" i="48"/>
  <c r="AH1567" i="48"/>
  <c r="M1567" i="48"/>
  <c r="L1567" i="48"/>
  <c r="K1567" i="48"/>
  <c r="AJ1566" i="48"/>
  <c r="AI1566" i="48"/>
  <c r="AH1566" i="48"/>
  <c r="M1566" i="48"/>
  <c r="L1566" i="48"/>
  <c r="K1566" i="48"/>
  <c r="AJ1565" i="48"/>
  <c r="AI1565" i="48"/>
  <c r="AH1565" i="48"/>
  <c r="M1565" i="48"/>
  <c r="L1565" i="48"/>
  <c r="K1565" i="48"/>
  <c r="AJ1564" i="48"/>
  <c r="AI1564" i="48"/>
  <c r="AH1564" i="48"/>
  <c r="M1564" i="48"/>
  <c r="L1564" i="48"/>
  <c r="K1564" i="48"/>
  <c r="AJ1563" i="48"/>
  <c r="AI1563" i="48"/>
  <c r="AH1563" i="48"/>
  <c r="M1563" i="48"/>
  <c r="L1563" i="48"/>
  <c r="K1563" i="48"/>
  <c r="AJ1562" i="48"/>
  <c r="AI1562" i="48"/>
  <c r="AH1562" i="48"/>
  <c r="M1562" i="48"/>
  <c r="L1562" i="48"/>
  <c r="K1562" i="48"/>
  <c r="AJ1561" i="48"/>
  <c r="AI1561" i="48"/>
  <c r="AH1561" i="48"/>
  <c r="M1561" i="48"/>
  <c r="L1561" i="48"/>
  <c r="K1561" i="48"/>
  <c r="AJ1560" i="48"/>
  <c r="AI1560" i="48"/>
  <c r="AH1560" i="48"/>
  <c r="M1560" i="48"/>
  <c r="L1560" i="48"/>
  <c r="K1560" i="48"/>
  <c r="AJ1559" i="48"/>
  <c r="AI1559" i="48"/>
  <c r="AH1559" i="48"/>
  <c r="M1559" i="48"/>
  <c r="L1559" i="48"/>
  <c r="K1559" i="48"/>
  <c r="AJ1558" i="48"/>
  <c r="AI1558" i="48"/>
  <c r="AH1558" i="48"/>
  <c r="M1558" i="48"/>
  <c r="L1558" i="48"/>
  <c r="K1558" i="48"/>
  <c r="AJ1557" i="48"/>
  <c r="AI1557" i="48"/>
  <c r="AH1557" i="48"/>
  <c r="M1557" i="48"/>
  <c r="L1557" i="48"/>
  <c r="K1557" i="48"/>
  <c r="AJ1556" i="48"/>
  <c r="AI1556" i="48"/>
  <c r="AH1556" i="48"/>
  <c r="M1556" i="48"/>
  <c r="L1556" i="48"/>
  <c r="K1556" i="48"/>
  <c r="AJ1555" i="48"/>
  <c r="AI1555" i="48"/>
  <c r="AH1555" i="48"/>
  <c r="M1555" i="48"/>
  <c r="L1555" i="48"/>
  <c r="K1555" i="48"/>
  <c r="AJ1554" i="48"/>
  <c r="AI1554" i="48"/>
  <c r="AH1554" i="48"/>
  <c r="M1554" i="48"/>
  <c r="L1554" i="48"/>
  <c r="K1554" i="48"/>
  <c r="AJ1553" i="48"/>
  <c r="AI1553" i="48"/>
  <c r="AH1553" i="48"/>
  <c r="M1553" i="48"/>
  <c r="L1553" i="48"/>
  <c r="K1553" i="48"/>
  <c r="AJ1552" i="48"/>
  <c r="AI1552" i="48"/>
  <c r="AH1552" i="48"/>
  <c r="M1552" i="48"/>
  <c r="L1552" i="48"/>
  <c r="K1552" i="48"/>
  <c r="AJ1551" i="48"/>
  <c r="AI1551" i="48"/>
  <c r="AH1551" i="48"/>
  <c r="M1551" i="48"/>
  <c r="L1551" i="48"/>
  <c r="K1551" i="48"/>
  <c r="AJ1550" i="48"/>
  <c r="AI1550" i="48"/>
  <c r="AH1550" i="48"/>
  <c r="M1550" i="48"/>
  <c r="L1550" i="48"/>
  <c r="K1550" i="48"/>
  <c r="AJ1549" i="48"/>
  <c r="AI1549" i="48"/>
  <c r="AH1549" i="48"/>
  <c r="M1549" i="48"/>
  <c r="L1549" i="48"/>
  <c r="K1549" i="48"/>
  <c r="AJ1548" i="48"/>
  <c r="AI1548" i="48"/>
  <c r="AH1548" i="48"/>
  <c r="M1548" i="48"/>
  <c r="L1548" i="48"/>
  <c r="K1548" i="48"/>
  <c r="AJ1547" i="48"/>
  <c r="AI1547" i="48"/>
  <c r="AH1547" i="48"/>
  <c r="M1547" i="48"/>
  <c r="L1547" i="48"/>
  <c r="K1547" i="48"/>
  <c r="AJ1546" i="48"/>
  <c r="AI1546" i="48"/>
  <c r="AH1546" i="48"/>
  <c r="M1546" i="48"/>
  <c r="L1546" i="48"/>
  <c r="K1546" i="48"/>
  <c r="AJ1545" i="48"/>
  <c r="AI1545" i="48"/>
  <c r="AH1545" i="48"/>
  <c r="M1545" i="48"/>
  <c r="L1545" i="48"/>
  <c r="K1545" i="48"/>
  <c r="AJ1544" i="48"/>
  <c r="AI1544" i="48"/>
  <c r="AH1544" i="48"/>
  <c r="M1544" i="48"/>
  <c r="L1544" i="48"/>
  <c r="K1544" i="48"/>
  <c r="AJ1543" i="48"/>
  <c r="AI1543" i="48"/>
  <c r="AH1543" i="48"/>
  <c r="M1543" i="48"/>
  <c r="L1543" i="48"/>
  <c r="K1543" i="48"/>
  <c r="AJ1542" i="48"/>
  <c r="AI1542" i="48"/>
  <c r="AH1542" i="48"/>
  <c r="M1542" i="48"/>
  <c r="L1542" i="48"/>
  <c r="K1542" i="48"/>
  <c r="AJ1541" i="48"/>
  <c r="AI1541" i="48"/>
  <c r="AH1541" i="48"/>
  <c r="M1541" i="48"/>
  <c r="L1541" i="48"/>
  <c r="K1541" i="48"/>
  <c r="AJ1540" i="48"/>
  <c r="AI1540" i="48"/>
  <c r="AH1540" i="48"/>
  <c r="M1540" i="48"/>
  <c r="L1540" i="48"/>
  <c r="K1540" i="48"/>
  <c r="AJ1539" i="48"/>
  <c r="AI1539" i="48"/>
  <c r="AH1539" i="48"/>
  <c r="M1539" i="48"/>
  <c r="L1539" i="48"/>
  <c r="K1539" i="48"/>
  <c r="AJ1538" i="48"/>
  <c r="AI1538" i="48"/>
  <c r="AH1538" i="48"/>
  <c r="M1538" i="48"/>
  <c r="L1538" i="48"/>
  <c r="K1538" i="48"/>
  <c r="AJ1537" i="48"/>
  <c r="AI1537" i="48"/>
  <c r="AH1537" i="48"/>
  <c r="M1537" i="48"/>
  <c r="L1537" i="48"/>
  <c r="K1537" i="48"/>
  <c r="AJ1536" i="48"/>
  <c r="AI1536" i="48"/>
  <c r="AH1536" i="48"/>
  <c r="M1536" i="48"/>
  <c r="L1536" i="48"/>
  <c r="K1536" i="48"/>
  <c r="AJ1535" i="48"/>
  <c r="AI1535" i="48"/>
  <c r="AH1535" i="48"/>
  <c r="M1535" i="48"/>
  <c r="L1535" i="48"/>
  <c r="K1535" i="48"/>
  <c r="AJ1534" i="48"/>
  <c r="AI1534" i="48"/>
  <c r="AH1534" i="48"/>
  <c r="M1534" i="48"/>
  <c r="L1534" i="48"/>
  <c r="K1534" i="48"/>
  <c r="AJ1533" i="48"/>
  <c r="AI1533" i="48"/>
  <c r="AH1533" i="48"/>
  <c r="M1533" i="48"/>
  <c r="L1533" i="48"/>
  <c r="K1533" i="48"/>
  <c r="AJ1532" i="48"/>
  <c r="AI1532" i="48"/>
  <c r="AH1532" i="48"/>
  <c r="M1532" i="48"/>
  <c r="L1532" i="48"/>
  <c r="K1532" i="48"/>
  <c r="AJ1531" i="48"/>
  <c r="AI1531" i="48"/>
  <c r="AH1531" i="48"/>
  <c r="M1531" i="48"/>
  <c r="L1531" i="48"/>
  <c r="K1531" i="48"/>
  <c r="AJ1530" i="48"/>
  <c r="AI1530" i="48"/>
  <c r="AH1530" i="48"/>
  <c r="M1530" i="48"/>
  <c r="L1530" i="48"/>
  <c r="K1530" i="48"/>
  <c r="AJ1529" i="48"/>
  <c r="AI1529" i="48"/>
  <c r="AH1529" i="48"/>
  <c r="M1529" i="48"/>
  <c r="L1529" i="48"/>
  <c r="K1529" i="48"/>
  <c r="AJ1528" i="48"/>
  <c r="AI1528" i="48"/>
  <c r="AH1528" i="48"/>
  <c r="M1528" i="48"/>
  <c r="L1528" i="48"/>
  <c r="K1528" i="48"/>
  <c r="AJ1527" i="48"/>
  <c r="AI1527" i="48"/>
  <c r="AH1527" i="48"/>
  <c r="M1527" i="48"/>
  <c r="L1527" i="48"/>
  <c r="K1527" i="48"/>
  <c r="AJ1526" i="48"/>
  <c r="AI1526" i="48"/>
  <c r="AH1526" i="48"/>
  <c r="M1526" i="48"/>
  <c r="L1526" i="48"/>
  <c r="K1526" i="48"/>
  <c r="AJ1525" i="48"/>
  <c r="AI1525" i="48"/>
  <c r="AH1525" i="48"/>
  <c r="M1525" i="48"/>
  <c r="L1525" i="48"/>
  <c r="K1525" i="48"/>
  <c r="AJ1524" i="48"/>
  <c r="AI1524" i="48"/>
  <c r="AH1524" i="48"/>
  <c r="M1524" i="48"/>
  <c r="L1524" i="48"/>
  <c r="K1524" i="48"/>
  <c r="AJ1523" i="48"/>
  <c r="AI1523" i="48"/>
  <c r="AH1523" i="48"/>
  <c r="M1523" i="48"/>
  <c r="L1523" i="48"/>
  <c r="K1523" i="48"/>
  <c r="AJ1522" i="48"/>
  <c r="AI1522" i="48"/>
  <c r="AH1522" i="48"/>
  <c r="M1522" i="48"/>
  <c r="L1522" i="48"/>
  <c r="K1522" i="48"/>
  <c r="AJ1521" i="48"/>
  <c r="AI1521" i="48"/>
  <c r="AH1521" i="48"/>
  <c r="M1521" i="48"/>
  <c r="L1521" i="48"/>
  <c r="K1521" i="48"/>
  <c r="AJ1520" i="48"/>
  <c r="AI1520" i="48"/>
  <c r="AH1520" i="48"/>
  <c r="M1520" i="48"/>
  <c r="L1520" i="48"/>
  <c r="K1520" i="48"/>
  <c r="AJ1519" i="48"/>
  <c r="AI1519" i="48"/>
  <c r="AH1519" i="48"/>
  <c r="M1519" i="48"/>
  <c r="L1519" i="48"/>
  <c r="K1519" i="48"/>
  <c r="AJ1518" i="48"/>
  <c r="AI1518" i="48"/>
  <c r="AH1518" i="48"/>
  <c r="M1518" i="48"/>
  <c r="L1518" i="48"/>
  <c r="K1518" i="48"/>
  <c r="AJ1517" i="48"/>
  <c r="AI1517" i="48"/>
  <c r="AH1517" i="48"/>
  <c r="M1517" i="48"/>
  <c r="L1517" i="48"/>
  <c r="K1517" i="48"/>
  <c r="AJ1516" i="48"/>
  <c r="AI1516" i="48"/>
  <c r="AH1516" i="48"/>
  <c r="M1516" i="48"/>
  <c r="L1516" i="48"/>
  <c r="K1516" i="48"/>
  <c r="AJ1515" i="48"/>
  <c r="AI1515" i="48"/>
  <c r="AH1515" i="48"/>
  <c r="M1515" i="48"/>
  <c r="L1515" i="48"/>
  <c r="K1515" i="48"/>
  <c r="AJ1514" i="48"/>
  <c r="AI1514" i="48"/>
  <c r="AH1514" i="48"/>
  <c r="M1514" i="48"/>
  <c r="L1514" i="48"/>
  <c r="K1514" i="48"/>
  <c r="AJ1513" i="48"/>
  <c r="AI1513" i="48"/>
  <c r="AH1513" i="48"/>
  <c r="M1513" i="48"/>
  <c r="L1513" i="48"/>
  <c r="K1513" i="48"/>
  <c r="AJ1512" i="48"/>
  <c r="AI1512" i="48"/>
  <c r="AH1512" i="48"/>
  <c r="M1512" i="48"/>
  <c r="L1512" i="48"/>
  <c r="K1512" i="48"/>
  <c r="AJ1511" i="48"/>
  <c r="AI1511" i="48"/>
  <c r="AH1511" i="48"/>
  <c r="M1511" i="48"/>
  <c r="L1511" i="48"/>
  <c r="K1511" i="48"/>
  <c r="AJ1510" i="48"/>
  <c r="AI1510" i="48"/>
  <c r="AH1510" i="48"/>
  <c r="M1510" i="48"/>
  <c r="L1510" i="48"/>
  <c r="K1510" i="48"/>
  <c r="AJ1509" i="48"/>
  <c r="AI1509" i="48"/>
  <c r="AH1509" i="48"/>
  <c r="M1509" i="48"/>
  <c r="L1509" i="48"/>
  <c r="K1509" i="48"/>
  <c r="AJ1508" i="48"/>
  <c r="AI1508" i="48"/>
  <c r="AH1508" i="48"/>
  <c r="M1508" i="48"/>
  <c r="L1508" i="48"/>
  <c r="K1508" i="48"/>
  <c r="AJ1507" i="48"/>
  <c r="AI1507" i="48"/>
  <c r="AH1507" i="48"/>
  <c r="M1507" i="48"/>
  <c r="L1507" i="48"/>
  <c r="K1507" i="48"/>
  <c r="AJ1506" i="48"/>
  <c r="AI1506" i="48"/>
  <c r="AH1506" i="48"/>
  <c r="M1506" i="48"/>
  <c r="L1506" i="48"/>
  <c r="K1506" i="48"/>
  <c r="AJ1505" i="48"/>
  <c r="AI1505" i="48"/>
  <c r="AH1505" i="48"/>
  <c r="M1505" i="48"/>
  <c r="L1505" i="48"/>
  <c r="K1505" i="48"/>
  <c r="AJ1504" i="48"/>
  <c r="AI1504" i="48"/>
  <c r="AH1504" i="48"/>
  <c r="M1504" i="48"/>
  <c r="L1504" i="48"/>
  <c r="K1504" i="48"/>
  <c r="AJ1503" i="48"/>
  <c r="AI1503" i="48"/>
  <c r="AH1503" i="48"/>
  <c r="M1503" i="48"/>
  <c r="L1503" i="48"/>
  <c r="K1503" i="48"/>
  <c r="AJ1502" i="48"/>
  <c r="AI1502" i="48"/>
  <c r="AH1502" i="48"/>
  <c r="M1502" i="48"/>
  <c r="L1502" i="48"/>
  <c r="K1502" i="48"/>
  <c r="AJ1501" i="48"/>
  <c r="AI1501" i="48"/>
  <c r="AH1501" i="48"/>
  <c r="M1501" i="48"/>
  <c r="L1501" i="48"/>
  <c r="K1501" i="48"/>
  <c r="AJ1500" i="48"/>
  <c r="AI1500" i="48"/>
  <c r="AH1500" i="48"/>
  <c r="M1500" i="48"/>
  <c r="L1500" i="48"/>
  <c r="K1500" i="48"/>
  <c r="AJ1499" i="48"/>
  <c r="AI1499" i="48"/>
  <c r="AH1499" i="48"/>
  <c r="M1499" i="48"/>
  <c r="L1499" i="48"/>
  <c r="K1499" i="48"/>
  <c r="AJ1498" i="48"/>
  <c r="AI1498" i="48"/>
  <c r="AH1498" i="48"/>
  <c r="M1498" i="48"/>
  <c r="L1498" i="48"/>
  <c r="K1498" i="48"/>
  <c r="AJ1497" i="48"/>
  <c r="AI1497" i="48"/>
  <c r="AH1497" i="48"/>
  <c r="M1497" i="48"/>
  <c r="L1497" i="48"/>
  <c r="K1497" i="48"/>
  <c r="AJ1496" i="48"/>
  <c r="AI1496" i="48"/>
  <c r="AH1496" i="48"/>
  <c r="M1496" i="48"/>
  <c r="L1496" i="48"/>
  <c r="K1496" i="48"/>
  <c r="AJ1495" i="48"/>
  <c r="AI1495" i="48"/>
  <c r="AH1495" i="48"/>
  <c r="M1495" i="48"/>
  <c r="L1495" i="48"/>
  <c r="K1495" i="48"/>
  <c r="AJ1494" i="48"/>
  <c r="AI1494" i="48"/>
  <c r="AH1494" i="48"/>
  <c r="M1494" i="48"/>
  <c r="L1494" i="48"/>
  <c r="K1494" i="48"/>
  <c r="AJ1493" i="48"/>
  <c r="AI1493" i="48"/>
  <c r="AH1493" i="48"/>
  <c r="M1493" i="48"/>
  <c r="L1493" i="48"/>
  <c r="K1493" i="48"/>
  <c r="AJ1492" i="48"/>
  <c r="AI1492" i="48"/>
  <c r="AH1492" i="48"/>
  <c r="M1492" i="48"/>
  <c r="L1492" i="48"/>
  <c r="K1492" i="48"/>
  <c r="AJ1491" i="48"/>
  <c r="AI1491" i="48"/>
  <c r="AH1491" i="48"/>
  <c r="M1491" i="48"/>
  <c r="L1491" i="48"/>
  <c r="K1491" i="48"/>
  <c r="AJ1490" i="48"/>
  <c r="AI1490" i="48"/>
  <c r="AH1490" i="48"/>
  <c r="M1490" i="48"/>
  <c r="L1490" i="48"/>
  <c r="K1490" i="48"/>
  <c r="AJ1489" i="48"/>
  <c r="AI1489" i="48"/>
  <c r="AH1489" i="48"/>
  <c r="M1489" i="48"/>
  <c r="L1489" i="48"/>
  <c r="K1489" i="48"/>
  <c r="AJ1488" i="48"/>
  <c r="AI1488" i="48"/>
  <c r="AH1488" i="48"/>
  <c r="M1488" i="48"/>
  <c r="L1488" i="48"/>
  <c r="K1488" i="48"/>
  <c r="AJ1487" i="48"/>
  <c r="AI1487" i="48"/>
  <c r="AH1487" i="48"/>
  <c r="M1487" i="48"/>
  <c r="L1487" i="48"/>
  <c r="K1487" i="48"/>
  <c r="AJ1486" i="48"/>
  <c r="AI1486" i="48"/>
  <c r="AH1486" i="48"/>
  <c r="M1486" i="48"/>
  <c r="L1486" i="48"/>
  <c r="K1486" i="48"/>
  <c r="AJ1485" i="48"/>
  <c r="AI1485" i="48"/>
  <c r="AH1485" i="48"/>
  <c r="M1485" i="48"/>
  <c r="L1485" i="48"/>
  <c r="K1485" i="48"/>
  <c r="AJ1484" i="48"/>
  <c r="AI1484" i="48"/>
  <c r="AH1484" i="48"/>
  <c r="M1484" i="48"/>
  <c r="L1484" i="48"/>
  <c r="K1484" i="48"/>
  <c r="AJ1483" i="48"/>
  <c r="AI1483" i="48"/>
  <c r="AH1483" i="48"/>
  <c r="M1483" i="48"/>
  <c r="L1483" i="48"/>
  <c r="K1483" i="48"/>
  <c r="AJ1482" i="48"/>
  <c r="AI1482" i="48"/>
  <c r="AH1482" i="48"/>
  <c r="M1482" i="48"/>
  <c r="L1482" i="48"/>
  <c r="K1482" i="48"/>
  <c r="AJ1481" i="48"/>
  <c r="AI1481" i="48"/>
  <c r="AH1481" i="48"/>
  <c r="M1481" i="48"/>
  <c r="L1481" i="48"/>
  <c r="K1481" i="48"/>
  <c r="AJ1480" i="48"/>
  <c r="AI1480" i="48"/>
  <c r="AH1480" i="48"/>
  <c r="M1480" i="48"/>
  <c r="L1480" i="48"/>
  <c r="K1480" i="48"/>
  <c r="AJ1479" i="48"/>
  <c r="AI1479" i="48"/>
  <c r="AH1479" i="48"/>
  <c r="M1479" i="48"/>
  <c r="L1479" i="48"/>
  <c r="K1479" i="48"/>
  <c r="AJ1478" i="48"/>
  <c r="AI1478" i="48"/>
  <c r="AH1478" i="48"/>
  <c r="M1478" i="48"/>
  <c r="L1478" i="48"/>
  <c r="K1478" i="48"/>
  <c r="AJ1477" i="48"/>
  <c r="AI1477" i="48"/>
  <c r="AH1477" i="48"/>
  <c r="M1477" i="48"/>
  <c r="L1477" i="48"/>
  <c r="K1477" i="48"/>
  <c r="AJ1476" i="48"/>
  <c r="AI1476" i="48"/>
  <c r="AH1476" i="48"/>
  <c r="M1476" i="48"/>
  <c r="L1476" i="48"/>
  <c r="K1476" i="48"/>
  <c r="AJ1475" i="48"/>
  <c r="AI1475" i="48"/>
  <c r="AH1475" i="48"/>
  <c r="M1475" i="48"/>
  <c r="L1475" i="48"/>
  <c r="K1475" i="48"/>
  <c r="AJ1474" i="48"/>
  <c r="AI1474" i="48"/>
  <c r="AH1474" i="48"/>
  <c r="M1474" i="48"/>
  <c r="L1474" i="48"/>
  <c r="K1474" i="48"/>
  <c r="AJ1473" i="48"/>
  <c r="AI1473" i="48"/>
  <c r="AH1473" i="48"/>
  <c r="M1473" i="48"/>
  <c r="L1473" i="48"/>
  <c r="K1473" i="48"/>
  <c r="AJ1472" i="48"/>
  <c r="AI1472" i="48"/>
  <c r="AH1472" i="48"/>
  <c r="M1472" i="48"/>
  <c r="L1472" i="48"/>
  <c r="K1472" i="48"/>
  <c r="AJ1471" i="48"/>
  <c r="AI1471" i="48"/>
  <c r="AH1471" i="48"/>
  <c r="M1471" i="48"/>
  <c r="L1471" i="48"/>
  <c r="K1471" i="48"/>
  <c r="AJ1470" i="48"/>
  <c r="AI1470" i="48"/>
  <c r="AH1470" i="48"/>
  <c r="M1470" i="48"/>
  <c r="L1470" i="48"/>
  <c r="K1470" i="48"/>
  <c r="AJ1469" i="48"/>
  <c r="AI1469" i="48"/>
  <c r="AH1469" i="48"/>
  <c r="M1469" i="48"/>
  <c r="L1469" i="48"/>
  <c r="K1469" i="48"/>
  <c r="AJ1468" i="48"/>
  <c r="AI1468" i="48"/>
  <c r="AH1468" i="48"/>
  <c r="M1468" i="48"/>
  <c r="L1468" i="48"/>
  <c r="K1468" i="48"/>
  <c r="AJ1467" i="48"/>
  <c r="AI1467" i="48"/>
  <c r="AH1467" i="48"/>
  <c r="M1467" i="48"/>
  <c r="L1467" i="48"/>
  <c r="K1467" i="48"/>
  <c r="AJ1466" i="48"/>
  <c r="AI1466" i="48"/>
  <c r="AH1466" i="48"/>
  <c r="M1466" i="48"/>
  <c r="L1466" i="48"/>
  <c r="K1466" i="48"/>
  <c r="AJ1465" i="48"/>
  <c r="AI1465" i="48"/>
  <c r="AH1465" i="48"/>
  <c r="M1465" i="48"/>
  <c r="L1465" i="48"/>
  <c r="K1465" i="48"/>
  <c r="AJ1464" i="48"/>
  <c r="AI1464" i="48"/>
  <c r="AH1464" i="48"/>
  <c r="M1464" i="48"/>
  <c r="L1464" i="48"/>
  <c r="K1464" i="48"/>
  <c r="AJ1463" i="48"/>
  <c r="AI1463" i="48"/>
  <c r="AH1463" i="48"/>
  <c r="M1463" i="48"/>
  <c r="L1463" i="48"/>
  <c r="K1463" i="48"/>
  <c r="AJ1462" i="48"/>
  <c r="AI1462" i="48"/>
  <c r="AH1462" i="48"/>
  <c r="M1462" i="48"/>
  <c r="L1462" i="48"/>
  <c r="K1462" i="48"/>
  <c r="AJ1461" i="48"/>
  <c r="AI1461" i="48"/>
  <c r="AH1461" i="48"/>
  <c r="M1461" i="48"/>
  <c r="L1461" i="48"/>
  <c r="K1461" i="48"/>
  <c r="AJ1460" i="48"/>
  <c r="AI1460" i="48"/>
  <c r="AH1460" i="48"/>
  <c r="M1460" i="48"/>
  <c r="L1460" i="48"/>
  <c r="K1460" i="48"/>
  <c r="AJ1459" i="48"/>
  <c r="AI1459" i="48"/>
  <c r="AH1459" i="48"/>
  <c r="M1459" i="48"/>
  <c r="L1459" i="48"/>
  <c r="K1459" i="48"/>
  <c r="AJ1458" i="48"/>
  <c r="AI1458" i="48"/>
  <c r="AH1458" i="48"/>
  <c r="M1458" i="48"/>
  <c r="L1458" i="48"/>
  <c r="K1458" i="48"/>
  <c r="AJ1457" i="48"/>
  <c r="AI1457" i="48"/>
  <c r="AH1457" i="48"/>
  <c r="M1457" i="48"/>
  <c r="L1457" i="48"/>
  <c r="K1457" i="48"/>
  <c r="AJ1456" i="48"/>
  <c r="AI1456" i="48"/>
  <c r="AH1456" i="48"/>
  <c r="M1456" i="48"/>
  <c r="L1456" i="48"/>
  <c r="K1456" i="48"/>
  <c r="AJ1455" i="48"/>
  <c r="AI1455" i="48"/>
  <c r="AH1455" i="48"/>
  <c r="M1455" i="48"/>
  <c r="L1455" i="48"/>
  <c r="K1455" i="48"/>
  <c r="AJ1454" i="48"/>
  <c r="AI1454" i="48"/>
  <c r="AH1454" i="48"/>
  <c r="M1454" i="48"/>
  <c r="L1454" i="48"/>
  <c r="K1454" i="48"/>
  <c r="AJ1453" i="48"/>
  <c r="AI1453" i="48"/>
  <c r="AH1453" i="48"/>
  <c r="M1453" i="48"/>
  <c r="L1453" i="48"/>
  <c r="K1453" i="48"/>
  <c r="AJ1452" i="48"/>
  <c r="AI1452" i="48"/>
  <c r="AH1452" i="48"/>
  <c r="M1452" i="48"/>
  <c r="L1452" i="48"/>
  <c r="K1452" i="48"/>
  <c r="AJ1451" i="48"/>
  <c r="AI1451" i="48"/>
  <c r="AH1451" i="48"/>
  <c r="M1451" i="48"/>
  <c r="L1451" i="48"/>
  <c r="K1451" i="48"/>
  <c r="AJ1450" i="48"/>
  <c r="AI1450" i="48"/>
  <c r="AH1450" i="48"/>
  <c r="M1450" i="48"/>
  <c r="L1450" i="48"/>
  <c r="K1450" i="48"/>
  <c r="AJ1449" i="48"/>
  <c r="AI1449" i="48"/>
  <c r="AH1449" i="48"/>
  <c r="M1449" i="48"/>
  <c r="L1449" i="48"/>
  <c r="K1449" i="48"/>
  <c r="AJ1448" i="48"/>
  <c r="AI1448" i="48"/>
  <c r="AH1448" i="48"/>
  <c r="M1448" i="48"/>
  <c r="L1448" i="48"/>
  <c r="K1448" i="48"/>
  <c r="AJ1447" i="48"/>
  <c r="AI1447" i="48"/>
  <c r="AH1447" i="48"/>
  <c r="M1447" i="48"/>
  <c r="L1447" i="48"/>
  <c r="K1447" i="48"/>
  <c r="AJ1446" i="48"/>
  <c r="AI1446" i="48"/>
  <c r="AH1446" i="48"/>
  <c r="M1446" i="48"/>
  <c r="L1446" i="48"/>
  <c r="K1446" i="48"/>
  <c r="AJ1445" i="48"/>
  <c r="AI1445" i="48"/>
  <c r="AH1445" i="48"/>
  <c r="M1445" i="48"/>
  <c r="L1445" i="48"/>
  <c r="K1445" i="48"/>
  <c r="AJ1444" i="48"/>
  <c r="AI1444" i="48"/>
  <c r="AH1444" i="48"/>
  <c r="M1444" i="48"/>
  <c r="L1444" i="48"/>
  <c r="K1444" i="48"/>
  <c r="AJ1443" i="48"/>
  <c r="AI1443" i="48"/>
  <c r="AH1443" i="48"/>
  <c r="M1443" i="48"/>
  <c r="L1443" i="48"/>
  <c r="K1443" i="48"/>
  <c r="AJ1442" i="48"/>
  <c r="AI1442" i="48"/>
  <c r="AH1442" i="48"/>
  <c r="M1442" i="48"/>
  <c r="L1442" i="48"/>
  <c r="K1442" i="48"/>
  <c r="AJ1441" i="48"/>
  <c r="AI1441" i="48"/>
  <c r="AH1441" i="48"/>
  <c r="M1441" i="48"/>
  <c r="L1441" i="48"/>
  <c r="K1441" i="48"/>
  <c r="AJ1440" i="48"/>
  <c r="AI1440" i="48"/>
  <c r="AH1440" i="48"/>
  <c r="M1440" i="48"/>
  <c r="L1440" i="48"/>
  <c r="K1440" i="48"/>
  <c r="AJ1439" i="48"/>
  <c r="AI1439" i="48"/>
  <c r="AH1439" i="48"/>
  <c r="M1439" i="48"/>
  <c r="L1439" i="48"/>
  <c r="K1439" i="48"/>
  <c r="AJ1438" i="48"/>
  <c r="AI1438" i="48"/>
  <c r="AH1438" i="48"/>
  <c r="M1438" i="48"/>
  <c r="L1438" i="48"/>
  <c r="K1438" i="48"/>
  <c r="AJ1437" i="48"/>
  <c r="AI1437" i="48"/>
  <c r="AH1437" i="48"/>
  <c r="M1437" i="48"/>
  <c r="L1437" i="48"/>
  <c r="K1437" i="48"/>
  <c r="AJ1436" i="48"/>
  <c r="AI1436" i="48"/>
  <c r="AH1436" i="48"/>
  <c r="M1436" i="48"/>
  <c r="L1436" i="48"/>
  <c r="K1436" i="48"/>
  <c r="AJ1435" i="48"/>
  <c r="AI1435" i="48"/>
  <c r="AH1435" i="48"/>
  <c r="M1435" i="48"/>
  <c r="L1435" i="48"/>
  <c r="K1435" i="48"/>
  <c r="AJ1434" i="48"/>
  <c r="AI1434" i="48"/>
  <c r="AH1434" i="48"/>
  <c r="M1434" i="48"/>
  <c r="L1434" i="48"/>
  <c r="K1434" i="48"/>
  <c r="AJ1433" i="48"/>
  <c r="AI1433" i="48"/>
  <c r="AH1433" i="48"/>
  <c r="M1433" i="48"/>
  <c r="L1433" i="48"/>
  <c r="K1433" i="48"/>
  <c r="AJ1432" i="48"/>
  <c r="AI1432" i="48"/>
  <c r="AH1432" i="48"/>
  <c r="M1432" i="48"/>
  <c r="L1432" i="48"/>
  <c r="K1432" i="48"/>
  <c r="AJ1431" i="48"/>
  <c r="AI1431" i="48"/>
  <c r="AH1431" i="48"/>
  <c r="M1431" i="48"/>
  <c r="L1431" i="48"/>
  <c r="K1431" i="48"/>
  <c r="AJ1430" i="48"/>
  <c r="AI1430" i="48"/>
  <c r="AH1430" i="48"/>
  <c r="M1430" i="48"/>
  <c r="L1430" i="48"/>
  <c r="K1430" i="48"/>
  <c r="AJ1429" i="48"/>
  <c r="AI1429" i="48"/>
  <c r="AH1429" i="48"/>
  <c r="M1429" i="48"/>
  <c r="L1429" i="48"/>
  <c r="K1429" i="48"/>
  <c r="AJ1428" i="48"/>
  <c r="AI1428" i="48"/>
  <c r="AH1428" i="48"/>
  <c r="M1428" i="48"/>
  <c r="L1428" i="48"/>
  <c r="K1428" i="48"/>
  <c r="AJ1427" i="48"/>
  <c r="AI1427" i="48"/>
  <c r="AH1427" i="48"/>
  <c r="M1427" i="48"/>
  <c r="L1427" i="48"/>
  <c r="K1427" i="48"/>
  <c r="AJ1426" i="48"/>
  <c r="AI1426" i="48"/>
  <c r="AH1426" i="48"/>
  <c r="M1426" i="48"/>
  <c r="L1426" i="48"/>
  <c r="K1426" i="48"/>
  <c r="AJ1425" i="48"/>
  <c r="AI1425" i="48"/>
  <c r="AH1425" i="48"/>
  <c r="M1425" i="48"/>
  <c r="L1425" i="48"/>
  <c r="K1425" i="48"/>
  <c r="AJ1424" i="48"/>
  <c r="AI1424" i="48"/>
  <c r="AH1424" i="48"/>
  <c r="M1424" i="48"/>
  <c r="L1424" i="48"/>
  <c r="K1424" i="48"/>
  <c r="AJ1423" i="48"/>
  <c r="AI1423" i="48"/>
  <c r="AH1423" i="48"/>
  <c r="M1423" i="48"/>
  <c r="L1423" i="48"/>
  <c r="K1423" i="48"/>
  <c r="AJ1422" i="48"/>
  <c r="AI1422" i="48"/>
  <c r="AH1422" i="48"/>
  <c r="M1422" i="48"/>
  <c r="L1422" i="48"/>
  <c r="K1422" i="48"/>
  <c r="AJ1421" i="48"/>
  <c r="AI1421" i="48"/>
  <c r="AH1421" i="48"/>
  <c r="M1421" i="48"/>
  <c r="L1421" i="48"/>
  <c r="K1421" i="48"/>
  <c r="AJ1420" i="48"/>
  <c r="AI1420" i="48"/>
  <c r="AH1420" i="48"/>
  <c r="M1420" i="48"/>
  <c r="L1420" i="48"/>
  <c r="K1420" i="48"/>
  <c r="AJ1419" i="48"/>
  <c r="AI1419" i="48"/>
  <c r="AH1419" i="48"/>
  <c r="M1419" i="48"/>
  <c r="L1419" i="48"/>
  <c r="K1419" i="48"/>
  <c r="AJ1418" i="48"/>
  <c r="AI1418" i="48"/>
  <c r="AH1418" i="48"/>
  <c r="M1418" i="48"/>
  <c r="L1418" i="48"/>
  <c r="K1418" i="48"/>
  <c r="AJ1417" i="48"/>
  <c r="AI1417" i="48"/>
  <c r="AH1417" i="48"/>
  <c r="M1417" i="48"/>
  <c r="L1417" i="48"/>
  <c r="K1417" i="48"/>
  <c r="AJ1416" i="48"/>
  <c r="AI1416" i="48"/>
  <c r="AH1416" i="48"/>
  <c r="M1416" i="48"/>
  <c r="L1416" i="48"/>
  <c r="K1416" i="48"/>
  <c r="AJ1415" i="48"/>
  <c r="AI1415" i="48"/>
  <c r="AH1415" i="48"/>
  <c r="M1415" i="48"/>
  <c r="L1415" i="48"/>
  <c r="K1415" i="48"/>
  <c r="AJ1414" i="48"/>
  <c r="AI1414" i="48"/>
  <c r="AH1414" i="48"/>
  <c r="M1414" i="48"/>
  <c r="L1414" i="48"/>
  <c r="K1414" i="48"/>
  <c r="AJ1413" i="48"/>
  <c r="AI1413" i="48"/>
  <c r="AH1413" i="48"/>
  <c r="M1413" i="48"/>
  <c r="L1413" i="48"/>
  <c r="K1413" i="48"/>
  <c r="AJ1412" i="48"/>
  <c r="AI1412" i="48"/>
  <c r="AH1412" i="48"/>
  <c r="M1412" i="48"/>
  <c r="L1412" i="48"/>
  <c r="K1412" i="48"/>
  <c r="AJ1411" i="48"/>
  <c r="AI1411" i="48"/>
  <c r="AH1411" i="48"/>
  <c r="M1411" i="48"/>
  <c r="L1411" i="48"/>
  <c r="K1411" i="48"/>
  <c r="AJ1410" i="48"/>
  <c r="AI1410" i="48"/>
  <c r="AH1410" i="48"/>
  <c r="M1410" i="48"/>
  <c r="L1410" i="48"/>
  <c r="K1410" i="48"/>
  <c r="AJ1409" i="48"/>
  <c r="AI1409" i="48"/>
  <c r="AH1409" i="48"/>
  <c r="M1409" i="48"/>
  <c r="L1409" i="48"/>
  <c r="K1409" i="48"/>
  <c r="AJ1408" i="48"/>
  <c r="AI1408" i="48"/>
  <c r="AH1408" i="48"/>
  <c r="M1408" i="48"/>
  <c r="L1408" i="48"/>
  <c r="K1408" i="48"/>
  <c r="AJ1407" i="48"/>
  <c r="AI1407" i="48"/>
  <c r="AH1407" i="48"/>
  <c r="M1407" i="48"/>
  <c r="L1407" i="48"/>
  <c r="K1407" i="48"/>
  <c r="AJ1406" i="48"/>
  <c r="AI1406" i="48"/>
  <c r="AH1406" i="48"/>
  <c r="M1406" i="48"/>
  <c r="L1406" i="48"/>
  <c r="K1406" i="48"/>
  <c r="AJ1405" i="48"/>
  <c r="AI1405" i="48"/>
  <c r="AH1405" i="48"/>
  <c r="M1405" i="48"/>
  <c r="L1405" i="48"/>
  <c r="K1405" i="48"/>
  <c r="AJ1404" i="48"/>
  <c r="AI1404" i="48"/>
  <c r="AH1404" i="48"/>
  <c r="M1404" i="48"/>
  <c r="L1404" i="48"/>
  <c r="K1404" i="48"/>
  <c r="AJ1403" i="48"/>
  <c r="AI1403" i="48"/>
  <c r="AH1403" i="48"/>
  <c r="M1403" i="48"/>
  <c r="L1403" i="48"/>
  <c r="K1403" i="48"/>
  <c r="AJ1402" i="48"/>
  <c r="AI1402" i="48"/>
  <c r="AH1402" i="48"/>
  <c r="M1402" i="48"/>
  <c r="L1402" i="48"/>
  <c r="K1402" i="48"/>
  <c r="AJ1401" i="48"/>
  <c r="AI1401" i="48"/>
  <c r="AH1401" i="48"/>
  <c r="M1401" i="48"/>
  <c r="L1401" i="48"/>
  <c r="K1401" i="48"/>
  <c r="AJ1400" i="48"/>
  <c r="AI1400" i="48"/>
  <c r="AH1400" i="48"/>
  <c r="M1400" i="48"/>
  <c r="L1400" i="48"/>
  <c r="K1400" i="48"/>
  <c r="AJ1399" i="48"/>
  <c r="AI1399" i="48"/>
  <c r="AH1399" i="48"/>
  <c r="M1399" i="48"/>
  <c r="L1399" i="48"/>
  <c r="K1399" i="48"/>
  <c r="AJ1398" i="48"/>
  <c r="AI1398" i="48"/>
  <c r="AH1398" i="48"/>
  <c r="M1398" i="48"/>
  <c r="L1398" i="48"/>
  <c r="K1398" i="48"/>
  <c r="AJ1397" i="48"/>
  <c r="AI1397" i="48"/>
  <c r="AH1397" i="48"/>
  <c r="M1397" i="48"/>
  <c r="L1397" i="48"/>
  <c r="K1397" i="48"/>
  <c r="AJ1396" i="48"/>
  <c r="AI1396" i="48"/>
  <c r="AH1396" i="48"/>
  <c r="M1396" i="48"/>
  <c r="L1396" i="48"/>
  <c r="K1396" i="48"/>
  <c r="AJ1395" i="48"/>
  <c r="AI1395" i="48"/>
  <c r="AH1395" i="48"/>
  <c r="M1395" i="48"/>
  <c r="L1395" i="48"/>
  <c r="K1395" i="48"/>
  <c r="AJ1394" i="48"/>
  <c r="AI1394" i="48"/>
  <c r="AH1394" i="48"/>
  <c r="M1394" i="48"/>
  <c r="L1394" i="48"/>
  <c r="K1394" i="48"/>
  <c r="AJ1393" i="48"/>
  <c r="AI1393" i="48"/>
  <c r="AH1393" i="48"/>
  <c r="M1393" i="48"/>
  <c r="L1393" i="48"/>
  <c r="K1393" i="48"/>
  <c r="AJ1392" i="48"/>
  <c r="AI1392" i="48"/>
  <c r="AH1392" i="48"/>
  <c r="M1392" i="48"/>
  <c r="L1392" i="48"/>
  <c r="K1392" i="48"/>
  <c r="AJ1391" i="48"/>
  <c r="AI1391" i="48"/>
  <c r="AH1391" i="48"/>
  <c r="M1391" i="48"/>
  <c r="L1391" i="48"/>
  <c r="K1391" i="48"/>
  <c r="AJ1390" i="48"/>
  <c r="AI1390" i="48"/>
  <c r="AH1390" i="48"/>
  <c r="M1390" i="48"/>
  <c r="L1390" i="48"/>
  <c r="K1390" i="48"/>
  <c r="AJ1389" i="48"/>
  <c r="AI1389" i="48"/>
  <c r="AH1389" i="48"/>
  <c r="M1389" i="48"/>
  <c r="L1389" i="48"/>
  <c r="K1389" i="48"/>
  <c r="AJ1388" i="48"/>
  <c r="AI1388" i="48"/>
  <c r="AH1388" i="48"/>
  <c r="M1388" i="48"/>
  <c r="L1388" i="48"/>
  <c r="K1388" i="48"/>
  <c r="AJ1387" i="48"/>
  <c r="AI1387" i="48"/>
  <c r="AH1387" i="48"/>
  <c r="M1387" i="48"/>
  <c r="L1387" i="48"/>
  <c r="K1387" i="48"/>
  <c r="AJ1386" i="48"/>
  <c r="AI1386" i="48"/>
  <c r="AH1386" i="48"/>
  <c r="M1386" i="48"/>
  <c r="L1386" i="48"/>
  <c r="K1386" i="48"/>
  <c r="AJ1385" i="48"/>
  <c r="AI1385" i="48"/>
  <c r="AH1385" i="48"/>
  <c r="M1385" i="48"/>
  <c r="L1385" i="48"/>
  <c r="K1385" i="48"/>
  <c r="AJ1384" i="48"/>
  <c r="AI1384" i="48"/>
  <c r="AH1384" i="48"/>
  <c r="M1384" i="48"/>
  <c r="L1384" i="48"/>
  <c r="K1384" i="48"/>
  <c r="AJ1383" i="48"/>
  <c r="AI1383" i="48"/>
  <c r="AH1383" i="48"/>
  <c r="M1383" i="48"/>
  <c r="L1383" i="48"/>
  <c r="K1383" i="48"/>
  <c r="AJ1382" i="48"/>
  <c r="AI1382" i="48"/>
  <c r="AH1382" i="48"/>
  <c r="M1382" i="48"/>
  <c r="L1382" i="48"/>
  <c r="K1382" i="48"/>
  <c r="AJ1381" i="48"/>
  <c r="AI1381" i="48"/>
  <c r="AH1381" i="48"/>
  <c r="M1381" i="48"/>
  <c r="L1381" i="48"/>
  <c r="K1381" i="48"/>
  <c r="AJ1380" i="48"/>
  <c r="AI1380" i="48"/>
  <c r="AH1380" i="48"/>
  <c r="M1380" i="48"/>
  <c r="L1380" i="48"/>
  <c r="K1380" i="48"/>
  <c r="AJ1379" i="48"/>
  <c r="AI1379" i="48"/>
  <c r="AH1379" i="48"/>
  <c r="M1379" i="48"/>
  <c r="L1379" i="48"/>
  <c r="K1379" i="48"/>
  <c r="AJ1378" i="48"/>
  <c r="AI1378" i="48"/>
  <c r="AH1378" i="48"/>
  <c r="M1378" i="48"/>
  <c r="L1378" i="48"/>
  <c r="K1378" i="48"/>
  <c r="AJ1377" i="48"/>
  <c r="AI1377" i="48"/>
  <c r="AH1377" i="48"/>
  <c r="M1377" i="48"/>
  <c r="L1377" i="48"/>
  <c r="K1377" i="48"/>
  <c r="AJ1376" i="48"/>
  <c r="AI1376" i="48"/>
  <c r="AH1376" i="48"/>
  <c r="M1376" i="48"/>
  <c r="L1376" i="48"/>
  <c r="K1376" i="48"/>
  <c r="AJ1375" i="48"/>
  <c r="AI1375" i="48"/>
  <c r="AH1375" i="48"/>
  <c r="M1375" i="48"/>
  <c r="L1375" i="48"/>
  <c r="K1375" i="48"/>
  <c r="AJ1374" i="48"/>
  <c r="AI1374" i="48"/>
  <c r="AH1374" i="48"/>
  <c r="M1374" i="48"/>
  <c r="L1374" i="48"/>
  <c r="K1374" i="48"/>
  <c r="AJ1373" i="48"/>
  <c r="AI1373" i="48"/>
  <c r="AH1373" i="48"/>
  <c r="M1373" i="48"/>
  <c r="L1373" i="48"/>
  <c r="K1373" i="48"/>
  <c r="AJ1372" i="48"/>
  <c r="AI1372" i="48"/>
  <c r="AH1372" i="48"/>
  <c r="M1372" i="48"/>
  <c r="L1372" i="48"/>
  <c r="K1372" i="48"/>
  <c r="AJ1371" i="48"/>
  <c r="AI1371" i="48"/>
  <c r="AH1371" i="48"/>
  <c r="M1371" i="48"/>
  <c r="L1371" i="48"/>
  <c r="K1371" i="48"/>
  <c r="AJ1370" i="48"/>
  <c r="AI1370" i="48"/>
  <c r="AH1370" i="48"/>
  <c r="M1370" i="48"/>
  <c r="L1370" i="48"/>
  <c r="K1370" i="48"/>
  <c r="AJ1369" i="48"/>
  <c r="AI1369" i="48"/>
  <c r="AH1369" i="48"/>
  <c r="M1369" i="48"/>
  <c r="L1369" i="48"/>
  <c r="K1369" i="48"/>
  <c r="AJ1368" i="48"/>
  <c r="AI1368" i="48"/>
  <c r="AH1368" i="48"/>
  <c r="M1368" i="48"/>
  <c r="L1368" i="48"/>
  <c r="K1368" i="48"/>
  <c r="AJ1367" i="48"/>
  <c r="AI1367" i="48"/>
  <c r="AH1367" i="48"/>
  <c r="M1367" i="48"/>
  <c r="L1367" i="48"/>
  <c r="K1367" i="48"/>
  <c r="AJ1366" i="48"/>
  <c r="AI1366" i="48"/>
  <c r="AH1366" i="48"/>
  <c r="M1366" i="48"/>
  <c r="L1366" i="48"/>
  <c r="K1366" i="48"/>
  <c r="AJ1365" i="48"/>
  <c r="AI1365" i="48"/>
  <c r="AH1365" i="48"/>
  <c r="M1365" i="48"/>
  <c r="L1365" i="48"/>
  <c r="K1365" i="48"/>
  <c r="AJ1364" i="48"/>
  <c r="AI1364" i="48"/>
  <c r="AH1364" i="48"/>
  <c r="M1364" i="48"/>
  <c r="L1364" i="48"/>
  <c r="K1364" i="48"/>
  <c r="AJ1363" i="48"/>
  <c r="AI1363" i="48"/>
  <c r="AH1363" i="48"/>
  <c r="M1363" i="48"/>
  <c r="L1363" i="48"/>
  <c r="K1363" i="48"/>
  <c r="AJ1362" i="48"/>
  <c r="AI1362" i="48"/>
  <c r="AH1362" i="48"/>
  <c r="M1362" i="48"/>
  <c r="L1362" i="48"/>
  <c r="K1362" i="48"/>
  <c r="AJ1361" i="48"/>
  <c r="AI1361" i="48"/>
  <c r="AH1361" i="48"/>
  <c r="M1361" i="48"/>
  <c r="L1361" i="48"/>
  <c r="K1361" i="48"/>
  <c r="AJ1360" i="48"/>
  <c r="AI1360" i="48"/>
  <c r="AH1360" i="48"/>
  <c r="M1360" i="48"/>
  <c r="L1360" i="48"/>
  <c r="K1360" i="48"/>
  <c r="AJ1359" i="48"/>
  <c r="AI1359" i="48"/>
  <c r="AH1359" i="48"/>
  <c r="M1359" i="48"/>
  <c r="L1359" i="48"/>
  <c r="K1359" i="48"/>
  <c r="AJ1358" i="48"/>
  <c r="AI1358" i="48"/>
  <c r="AH1358" i="48"/>
  <c r="M1358" i="48"/>
  <c r="L1358" i="48"/>
  <c r="K1358" i="48"/>
  <c r="AJ1357" i="48"/>
  <c r="AI1357" i="48"/>
  <c r="AH1357" i="48"/>
  <c r="M1357" i="48"/>
  <c r="L1357" i="48"/>
  <c r="K1357" i="48"/>
  <c r="AJ1356" i="48"/>
  <c r="AI1356" i="48"/>
  <c r="AH1356" i="48"/>
  <c r="M1356" i="48"/>
  <c r="L1356" i="48"/>
  <c r="K1356" i="48"/>
  <c r="AJ1355" i="48"/>
  <c r="AI1355" i="48"/>
  <c r="AH1355" i="48"/>
  <c r="M1355" i="48"/>
  <c r="L1355" i="48"/>
  <c r="K1355" i="48"/>
  <c r="AJ1354" i="48"/>
  <c r="AI1354" i="48"/>
  <c r="AH1354" i="48"/>
  <c r="M1354" i="48"/>
  <c r="L1354" i="48"/>
  <c r="K1354" i="48"/>
  <c r="AJ1353" i="48"/>
  <c r="AI1353" i="48"/>
  <c r="AH1353" i="48"/>
  <c r="M1353" i="48"/>
  <c r="L1353" i="48"/>
  <c r="K1353" i="48"/>
  <c r="AJ1352" i="48"/>
  <c r="AI1352" i="48"/>
  <c r="AH1352" i="48"/>
  <c r="M1352" i="48"/>
  <c r="L1352" i="48"/>
  <c r="K1352" i="48"/>
  <c r="AJ1351" i="48"/>
  <c r="AI1351" i="48"/>
  <c r="AH1351" i="48"/>
  <c r="M1351" i="48"/>
  <c r="L1351" i="48"/>
  <c r="K1351" i="48"/>
  <c r="AJ1350" i="48"/>
  <c r="AI1350" i="48"/>
  <c r="AH1350" i="48"/>
  <c r="M1350" i="48"/>
  <c r="L1350" i="48"/>
  <c r="K1350" i="48"/>
  <c r="AJ1349" i="48"/>
  <c r="AI1349" i="48"/>
  <c r="AH1349" i="48"/>
  <c r="M1349" i="48"/>
  <c r="L1349" i="48"/>
  <c r="K1349" i="48"/>
  <c r="AJ1348" i="48"/>
  <c r="AI1348" i="48"/>
  <c r="AH1348" i="48"/>
  <c r="M1348" i="48"/>
  <c r="L1348" i="48"/>
  <c r="K1348" i="48"/>
  <c r="AJ1347" i="48"/>
  <c r="AI1347" i="48"/>
  <c r="AH1347" i="48"/>
  <c r="M1347" i="48"/>
  <c r="L1347" i="48"/>
  <c r="K1347" i="48"/>
  <c r="AJ1346" i="48"/>
  <c r="AI1346" i="48"/>
  <c r="AH1346" i="48"/>
  <c r="M1346" i="48"/>
  <c r="L1346" i="48"/>
  <c r="K1346" i="48"/>
  <c r="AJ1345" i="48"/>
  <c r="AI1345" i="48"/>
  <c r="AH1345" i="48"/>
  <c r="M1345" i="48"/>
  <c r="L1345" i="48"/>
  <c r="K1345" i="48"/>
  <c r="AJ1344" i="48"/>
  <c r="AI1344" i="48"/>
  <c r="AH1344" i="48"/>
  <c r="M1344" i="48"/>
  <c r="L1344" i="48"/>
  <c r="K1344" i="48"/>
  <c r="AJ1343" i="48"/>
  <c r="AI1343" i="48"/>
  <c r="AH1343" i="48"/>
  <c r="M1343" i="48"/>
  <c r="L1343" i="48"/>
  <c r="K1343" i="48"/>
  <c r="AJ1342" i="48"/>
  <c r="AI1342" i="48"/>
  <c r="AH1342" i="48"/>
  <c r="M1342" i="48"/>
  <c r="L1342" i="48"/>
  <c r="K1342" i="48"/>
  <c r="AJ1341" i="48"/>
  <c r="AI1341" i="48"/>
  <c r="AH1341" i="48"/>
  <c r="M1341" i="48"/>
  <c r="L1341" i="48"/>
  <c r="K1341" i="48"/>
  <c r="AJ1340" i="48"/>
  <c r="AI1340" i="48"/>
  <c r="AH1340" i="48"/>
  <c r="M1340" i="48"/>
  <c r="L1340" i="48"/>
  <c r="K1340" i="48"/>
  <c r="AJ1339" i="48"/>
  <c r="AI1339" i="48"/>
  <c r="AH1339" i="48"/>
  <c r="M1339" i="48"/>
  <c r="L1339" i="48"/>
  <c r="K1339" i="48"/>
  <c r="AJ1338" i="48"/>
  <c r="AI1338" i="48"/>
  <c r="AH1338" i="48"/>
  <c r="M1338" i="48"/>
  <c r="L1338" i="48"/>
  <c r="K1338" i="48"/>
  <c r="AJ1337" i="48"/>
  <c r="AI1337" i="48"/>
  <c r="AH1337" i="48"/>
  <c r="M1337" i="48"/>
  <c r="L1337" i="48"/>
  <c r="K1337" i="48"/>
  <c r="AJ1336" i="48"/>
  <c r="AI1336" i="48"/>
  <c r="AH1336" i="48"/>
  <c r="M1336" i="48"/>
  <c r="L1336" i="48"/>
  <c r="K1336" i="48"/>
  <c r="AJ1335" i="48"/>
  <c r="AI1335" i="48"/>
  <c r="AH1335" i="48"/>
  <c r="M1335" i="48"/>
  <c r="L1335" i="48"/>
  <c r="K1335" i="48"/>
  <c r="AJ1334" i="48"/>
  <c r="AI1334" i="48"/>
  <c r="AH1334" i="48"/>
  <c r="M1334" i="48"/>
  <c r="L1334" i="48"/>
  <c r="K1334" i="48"/>
  <c r="AJ1333" i="48"/>
  <c r="AI1333" i="48"/>
  <c r="AH1333" i="48"/>
  <c r="M1333" i="48"/>
  <c r="L1333" i="48"/>
  <c r="K1333" i="48"/>
  <c r="AJ1332" i="48"/>
  <c r="AI1332" i="48"/>
  <c r="AH1332" i="48"/>
  <c r="M1332" i="48"/>
  <c r="L1332" i="48"/>
  <c r="K1332" i="48"/>
  <c r="AJ1331" i="48"/>
  <c r="AI1331" i="48"/>
  <c r="AH1331" i="48"/>
  <c r="M1331" i="48"/>
  <c r="L1331" i="48"/>
  <c r="K1331" i="48"/>
  <c r="AJ1330" i="48"/>
  <c r="AI1330" i="48"/>
  <c r="AH1330" i="48"/>
  <c r="M1330" i="48"/>
  <c r="L1330" i="48"/>
  <c r="K1330" i="48"/>
  <c r="AJ1329" i="48"/>
  <c r="AI1329" i="48"/>
  <c r="AH1329" i="48"/>
  <c r="M1329" i="48"/>
  <c r="L1329" i="48"/>
  <c r="K1329" i="48"/>
  <c r="AJ1328" i="48"/>
  <c r="AI1328" i="48"/>
  <c r="AH1328" i="48"/>
  <c r="M1328" i="48"/>
  <c r="L1328" i="48"/>
  <c r="K1328" i="48"/>
  <c r="AJ1327" i="48"/>
  <c r="AI1327" i="48"/>
  <c r="AH1327" i="48"/>
  <c r="M1327" i="48"/>
  <c r="L1327" i="48"/>
  <c r="K1327" i="48"/>
  <c r="AJ1326" i="48"/>
  <c r="AI1326" i="48"/>
  <c r="AH1326" i="48"/>
  <c r="M1326" i="48"/>
  <c r="L1326" i="48"/>
  <c r="K1326" i="48"/>
  <c r="AJ1325" i="48"/>
  <c r="AI1325" i="48"/>
  <c r="AH1325" i="48"/>
  <c r="M1325" i="48"/>
  <c r="L1325" i="48"/>
  <c r="K1325" i="48"/>
  <c r="AJ1324" i="48"/>
  <c r="AI1324" i="48"/>
  <c r="AH1324" i="48"/>
  <c r="M1324" i="48"/>
  <c r="L1324" i="48"/>
  <c r="K1324" i="48"/>
  <c r="AJ1323" i="48"/>
  <c r="AI1323" i="48"/>
  <c r="AH1323" i="48"/>
  <c r="M1323" i="48"/>
  <c r="L1323" i="48"/>
  <c r="K1323" i="48"/>
  <c r="AJ1322" i="48"/>
  <c r="AI1322" i="48"/>
  <c r="AH1322" i="48"/>
  <c r="M1322" i="48"/>
  <c r="L1322" i="48"/>
  <c r="K1322" i="48"/>
  <c r="AJ1321" i="48"/>
  <c r="AI1321" i="48"/>
  <c r="AH1321" i="48"/>
  <c r="M1321" i="48"/>
  <c r="L1321" i="48"/>
  <c r="K1321" i="48"/>
  <c r="AJ1320" i="48"/>
  <c r="AI1320" i="48"/>
  <c r="AH1320" i="48"/>
  <c r="M1320" i="48"/>
  <c r="L1320" i="48"/>
  <c r="K1320" i="48"/>
  <c r="AJ1319" i="48"/>
  <c r="AI1319" i="48"/>
  <c r="AH1319" i="48"/>
  <c r="M1319" i="48"/>
  <c r="L1319" i="48"/>
  <c r="K1319" i="48"/>
  <c r="AJ1318" i="48"/>
  <c r="AI1318" i="48"/>
  <c r="AH1318" i="48"/>
  <c r="M1318" i="48"/>
  <c r="L1318" i="48"/>
  <c r="K1318" i="48"/>
  <c r="AJ1317" i="48"/>
  <c r="AI1317" i="48"/>
  <c r="AH1317" i="48"/>
  <c r="M1317" i="48"/>
  <c r="L1317" i="48"/>
  <c r="K1317" i="48"/>
  <c r="AJ1316" i="48"/>
  <c r="AI1316" i="48"/>
  <c r="AH1316" i="48"/>
  <c r="M1316" i="48"/>
  <c r="L1316" i="48"/>
  <c r="K1316" i="48"/>
  <c r="AJ1315" i="48"/>
  <c r="AI1315" i="48"/>
  <c r="AH1315" i="48"/>
  <c r="M1315" i="48"/>
  <c r="L1315" i="48"/>
  <c r="K1315" i="48"/>
  <c r="AJ1314" i="48"/>
  <c r="AI1314" i="48"/>
  <c r="AH1314" i="48"/>
  <c r="M1314" i="48"/>
  <c r="L1314" i="48"/>
  <c r="K1314" i="48"/>
  <c r="AJ1313" i="48"/>
  <c r="AI1313" i="48"/>
  <c r="AH1313" i="48"/>
  <c r="M1313" i="48"/>
  <c r="L1313" i="48"/>
  <c r="K1313" i="48"/>
  <c r="AJ1312" i="48"/>
  <c r="AI1312" i="48"/>
  <c r="AH1312" i="48"/>
  <c r="M1312" i="48"/>
  <c r="L1312" i="48"/>
  <c r="K1312" i="48"/>
  <c r="AJ1311" i="48"/>
  <c r="AI1311" i="48"/>
  <c r="AH1311" i="48"/>
  <c r="M1311" i="48"/>
  <c r="L1311" i="48"/>
  <c r="K1311" i="48"/>
  <c r="AJ1310" i="48"/>
  <c r="AI1310" i="48"/>
  <c r="AH1310" i="48"/>
  <c r="M1310" i="48"/>
  <c r="L1310" i="48"/>
  <c r="K1310" i="48"/>
  <c r="AJ1309" i="48"/>
  <c r="AI1309" i="48"/>
  <c r="AH1309" i="48"/>
  <c r="M1309" i="48"/>
  <c r="L1309" i="48"/>
  <c r="K1309" i="48"/>
  <c r="AJ1308" i="48"/>
  <c r="AI1308" i="48"/>
  <c r="AH1308" i="48"/>
  <c r="M1308" i="48"/>
  <c r="L1308" i="48"/>
  <c r="K1308" i="48"/>
  <c r="AJ1307" i="48"/>
  <c r="AI1307" i="48"/>
  <c r="AH1307" i="48"/>
  <c r="M1307" i="48"/>
  <c r="L1307" i="48"/>
  <c r="K1307" i="48"/>
  <c r="AJ1306" i="48"/>
  <c r="AI1306" i="48"/>
  <c r="AH1306" i="48"/>
  <c r="M1306" i="48"/>
  <c r="L1306" i="48"/>
  <c r="K1306" i="48"/>
  <c r="AJ1305" i="48"/>
  <c r="AI1305" i="48"/>
  <c r="AH1305" i="48"/>
  <c r="M1305" i="48"/>
  <c r="L1305" i="48"/>
  <c r="K1305" i="48"/>
  <c r="AJ1304" i="48"/>
  <c r="AI1304" i="48"/>
  <c r="AH1304" i="48"/>
  <c r="M1304" i="48"/>
  <c r="L1304" i="48"/>
  <c r="K1304" i="48"/>
  <c r="AJ1303" i="48"/>
  <c r="AI1303" i="48"/>
  <c r="AH1303" i="48"/>
  <c r="M1303" i="48"/>
  <c r="L1303" i="48"/>
  <c r="K1303" i="48"/>
  <c r="AJ1302" i="48"/>
  <c r="AI1302" i="48"/>
  <c r="AH1302" i="48"/>
  <c r="M1302" i="48"/>
  <c r="L1302" i="48"/>
  <c r="K1302" i="48"/>
  <c r="AJ1301" i="48"/>
  <c r="AI1301" i="48"/>
  <c r="AH1301" i="48"/>
  <c r="M1301" i="48"/>
  <c r="L1301" i="48"/>
  <c r="K1301" i="48"/>
  <c r="AJ1300" i="48"/>
  <c r="AI1300" i="48"/>
  <c r="AH1300" i="48"/>
  <c r="M1300" i="48"/>
  <c r="L1300" i="48"/>
  <c r="K1300" i="48"/>
  <c r="AJ1299" i="48"/>
  <c r="AI1299" i="48"/>
  <c r="AH1299" i="48"/>
  <c r="M1299" i="48"/>
  <c r="L1299" i="48"/>
  <c r="K1299" i="48"/>
  <c r="AJ1298" i="48"/>
  <c r="AI1298" i="48"/>
  <c r="AH1298" i="48"/>
  <c r="M1298" i="48"/>
  <c r="L1298" i="48"/>
  <c r="K1298" i="48"/>
  <c r="AJ1297" i="48"/>
  <c r="AI1297" i="48"/>
  <c r="AH1297" i="48"/>
  <c r="M1297" i="48"/>
  <c r="L1297" i="48"/>
  <c r="K1297" i="48"/>
  <c r="AJ1296" i="48"/>
  <c r="AI1296" i="48"/>
  <c r="AH1296" i="48"/>
  <c r="M1296" i="48"/>
  <c r="L1296" i="48"/>
  <c r="K1296" i="48"/>
  <c r="AJ1295" i="48"/>
  <c r="AI1295" i="48"/>
  <c r="AH1295" i="48"/>
  <c r="M1295" i="48"/>
  <c r="L1295" i="48"/>
  <c r="K1295" i="48"/>
  <c r="AJ1294" i="48"/>
  <c r="AI1294" i="48"/>
  <c r="AH1294" i="48"/>
  <c r="M1294" i="48"/>
  <c r="L1294" i="48"/>
  <c r="K1294" i="48"/>
  <c r="AJ1293" i="48"/>
  <c r="AI1293" i="48"/>
  <c r="AH1293" i="48"/>
  <c r="M1293" i="48"/>
  <c r="L1293" i="48"/>
  <c r="K1293" i="48"/>
  <c r="AJ1292" i="48"/>
  <c r="AI1292" i="48"/>
  <c r="AH1292" i="48"/>
  <c r="M1292" i="48"/>
  <c r="L1292" i="48"/>
  <c r="K1292" i="48"/>
  <c r="AJ1291" i="48"/>
  <c r="AI1291" i="48"/>
  <c r="AH1291" i="48"/>
  <c r="M1291" i="48"/>
  <c r="L1291" i="48"/>
  <c r="K1291" i="48"/>
  <c r="AJ1290" i="48"/>
  <c r="AI1290" i="48"/>
  <c r="AH1290" i="48"/>
  <c r="M1290" i="48"/>
  <c r="L1290" i="48"/>
  <c r="K1290" i="48"/>
  <c r="AJ1289" i="48"/>
  <c r="AI1289" i="48"/>
  <c r="AH1289" i="48"/>
  <c r="M1289" i="48"/>
  <c r="L1289" i="48"/>
  <c r="K1289" i="48"/>
  <c r="AJ1288" i="48"/>
  <c r="AI1288" i="48"/>
  <c r="AH1288" i="48"/>
  <c r="M1288" i="48"/>
  <c r="L1288" i="48"/>
  <c r="K1288" i="48"/>
  <c r="AJ1287" i="48"/>
  <c r="AI1287" i="48"/>
  <c r="AH1287" i="48"/>
  <c r="M1287" i="48"/>
  <c r="L1287" i="48"/>
  <c r="K1287" i="48"/>
  <c r="AJ1286" i="48"/>
  <c r="AI1286" i="48"/>
  <c r="AH1286" i="48"/>
  <c r="M1286" i="48"/>
  <c r="L1286" i="48"/>
  <c r="K1286" i="48"/>
  <c r="AJ1285" i="48"/>
  <c r="AI1285" i="48"/>
  <c r="AH1285" i="48"/>
  <c r="M1285" i="48"/>
  <c r="L1285" i="48"/>
  <c r="K1285" i="48"/>
  <c r="AJ1284" i="48"/>
  <c r="AI1284" i="48"/>
  <c r="AH1284" i="48"/>
  <c r="M1284" i="48"/>
  <c r="L1284" i="48"/>
  <c r="K1284" i="48"/>
  <c r="AJ1283" i="48"/>
  <c r="AI1283" i="48"/>
  <c r="AH1283" i="48"/>
  <c r="M1283" i="48"/>
  <c r="L1283" i="48"/>
  <c r="K1283" i="48"/>
  <c r="AJ1282" i="48"/>
  <c r="AI1282" i="48"/>
  <c r="AH1282" i="48"/>
  <c r="M1282" i="48"/>
  <c r="L1282" i="48"/>
  <c r="K1282" i="48"/>
  <c r="AJ1281" i="48"/>
  <c r="AI1281" i="48"/>
  <c r="AH1281" i="48"/>
  <c r="M1281" i="48"/>
  <c r="L1281" i="48"/>
  <c r="K1281" i="48"/>
  <c r="AJ1280" i="48"/>
  <c r="AI1280" i="48"/>
  <c r="AH1280" i="48"/>
  <c r="M1280" i="48"/>
  <c r="L1280" i="48"/>
  <c r="K1280" i="48"/>
  <c r="AJ1279" i="48"/>
  <c r="AI1279" i="48"/>
  <c r="AH1279" i="48"/>
  <c r="M1279" i="48"/>
  <c r="L1279" i="48"/>
  <c r="K1279" i="48"/>
  <c r="AJ1278" i="48"/>
  <c r="AI1278" i="48"/>
  <c r="AH1278" i="48"/>
  <c r="M1278" i="48"/>
  <c r="L1278" i="48"/>
  <c r="K1278" i="48"/>
  <c r="AJ1277" i="48"/>
  <c r="AI1277" i="48"/>
  <c r="AH1277" i="48"/>
  <c r="M1277" i="48"/>
  <c r="L1277" i="48"/>
  <c r="K1277" i="48"/>
  <c r="AJ1276" i="48"/>
  <c r="AI1276" i="48"/>
  <c r="AH1276" i="48"/>
  <c r="M1276" i="48"/>
  <c r="L1276" i="48"/>
  <c r="K1276" i="48"/>
  <c r="AJ1275" i="48"/>
  <c r="AI1275" i="48"/>
  <c r="AH1275" i="48"/>
  <c r="M1275" i="48"/>
  <c r="L1275" i="48"/>
  <c r="K1275" i="48"/>
  <c r="AJ1274" i="48"/>
  <c r="AI1274" i="48"/>
  <c r="AH1274" i="48"/>
  <c r="M1274" i="48"/>
  <c r="L1274" i="48"/>
  <c r="K1274" i="48"/>
  <c r="AJ1273" i="48"/>
  <c r="AI1273" i="48"/>
  <c r="AH1273" i="48"/>
  <c r="M1273" i="48"/>
  <c r="L1273" i="48"/>
  <c r="K1273" i="48"/>
  <c r="AJ1272" i="48"/>
  <c r="AI1272" i="48"/>
  <c r="AH1272" i="48"/>
  <c r="M1272" i="48"/>
  <c r="L1272" i="48"/>
  <c r="K1272" i="48"/>
  <c r="AJ1271" i="48"/>
  <c r="AI1271" i="48"/>
  <c r="AH1271" i="48"/>
  <c r="M1271" i="48"/>
  <c r="L1271" i="48"/>
  <c r="K1271" i="48"/>
  <c r="AJ1270" i="48"/>
  <c r="AI1270" i="48"/>
  <c r="AH1270" i="48"/>
  <c r="M1270" i="48"/>
  <c r="L1270" i="48"/>
  <c r="K1270" i="48"/>
  <c r="AJ1269" i="48"/>
  <c r="AI1269" i="48"/>
  <c r="AH1269" i="48"/>
  <c r="M1269" i="48"/>
  <c r="L1269" i="48"/>
  <c r="K1269" i="48"/>
  <c r="AJ1268" i="48"/>
  <c r="AI1268" i="48"/>
  <c r="AH1268" i="48"/>
  <c r="M1268" i="48"/>
  <c r="L1268" i="48"/>
  <c r="K1268" i="48"/>
  <c r="AJ1267" i="48"/>
  <c r="AI1267" i="48"/>
  <c r="AH1267" i="48"/>
  <c r="M1267" i="48"/>
  <c r="L1267" i="48"/>
  <c r="K1267" i="48"/>
  <c r="AJ1266" i="48"/>
  <c r="AI1266" i="48"/>
  <c r="AH1266" i="48"/>
  <c r="M1266" i="48"/>
  <c r="L1266" i="48"/>
  <c r="K1266" i="48"/>
  <c r="AJ1265" i="48"/>
  <c r="AI1265" i="48"/>
  <c r="AH1265" i="48"/>
  <c r="M1265" i="48"/>
  <c r="L1265" i="48"/>
  <c r="K1265" i="48"/>
  <c r="AJ1264" i="48"/>
  <c r="AI1264" i="48"/>
  <c r="AH1264" i="48"/>
  <c r="M1264" i="48"/>
  <c r="L1264" i="48"/>
  <c r="K1264" i="48"/>
  <c r="AJ1263" i="48"/>
  <c r="AI1263" i="48"/>
  <c r="AH1263" i="48"/>
  <c r="M1263" i="48"/>
  <c r="L1263" i="48"/>
  <c r="K1263" i="48"/>
  <c r="AJ1262" i="48"/>
  <c r="AI1262" i="48"/>
  <c r="AH1262" i="48"/>
  <c r="M1262" i="48"/>
  <c r="L1262" i="48"/>
  <c r="K1262" i="48"/>
  <c r="AJ1261" i="48"/>
  <c r="AI1261" i="48"/>
  <c r="AH1261" i="48"/>
  <c r="M1261" i="48"/>
  <c r="L1261" i="48"/>
  <c r="K1261" i="48"/>
  <c r="AJ1260" i="48"/>
  <c r="AI1260" i="48"/>
  <c r="AH1260" i="48"/>
  <c r="M1260" i="48"/>
  <c r="L1260" i="48"/>
  <c r="K1260" i="48"/>
  <c r="AJ1259" i="48"/>
  <c r="AI1259" i="48"/>
  <c r="AH1259" i="48"/>
  <c r="M1259" i="48"/>
  <c r="L1259" i="48"/>
  <c r="K1259" i="48"/>
  <c r="AJ1258" i="48"/>
  <c r="AI1258" i="48"/>
  <c r="AH1258" i="48"/>
  <c r="M1258" i="48"/>
  <c r="L1258" i="48"/>
  <c r="K1258" i="48"/>
  <c r="AJ1257" i="48"/>
  <c r="AI1257" i="48"/>
  <c r="AH1257" i="48"/>
  <c r="M1257" i="48"/>
  <c r="L1257" i="48"/>
  <c r="K1257" i="48"/>
  <c r="AJ1256" i="48"/>
  <c r="AI1256" i="48"/>
  <c r="AH1256" i="48"/>
  <c r="M1256" i="48"/>
  <c r="L1256" i="48"/>
  <c r="K1256" i="48"/>
  <c r="AJ1255" i="48"/>
  <c r="AI1255" i="48"/>
  <c r="AH1255" i="48"/>
  <c r="M1255" i="48"/>
  <c r="L1255" i="48"/>
  <c r="K1255" i="48"/>
  <c r="AJ1254" i="48"/>
  <c r="AI1254" i="48"/>
  <c r="AH1254" i="48"/>
  <c r="M1254" i="48"/>
  <c r="L1254" i="48"/>
  <c r="K1254" i="48"/>
  <c r="AJ1253" i="48"/>
  <c r="AI1253" i="48"/>
  <c r="AH1253" i="48"/>
  <c r="M1253" i="48"/>
  <c r="L1253" i="48"/>
  <c r="K1253" i="48"/>
  <c r="AJ1252" i="48"/>
  <c r="AI1252" i="48"/>
  <c r="AH1252" i="48"/>
  <c r="M1252" i="48"/>
  <c r="L1252" i="48"/>
  <c r="K1252" i="48"/>
  <c r="AJ1251" i="48"/>
  <c r="AI1251" i="48"/>
  <c r="AH1251" i="48"/>
  <c r="M1251" i="48"/>
  <c r="L1251" i="48"/>
  <c r="K1251" i="48"/>
  <c r="AJ1250" i="48"/>
  <c r="AI1250" i="48"/>
  <c r="AH1250" i="48"/>
  <c r="M1250" i="48"/>
  <c r="L1250" i="48"/>
  <c r="K1250" i="48"/>
  <c r="AJ1249" i="48"/>
  <c r="AI1249" i="48"/>
  <c r="AH1249" i="48"/>
  <c r="M1249" i="48"/>
  <c r="L1249" i="48"/>
  <c r="K1249" i="48"/>
  <c r="AJ1248" i="48"/>
  <c r="AI1248" i="48"/>
  <c r="AH1248" i="48"/>
  <c r="M1248" i="48"/>
  <c r="L1248" i="48"/>
  <c r="K1248" i="48"/>
  <c r="AJ1247" i="48"/>
  <c r="AI1247" i="48"/>
  <c r="AH1247" i="48"/>
  <c r="M1247" i="48"/>
  <c r="L1247" i="48"/>
  <c r="K1247" i="48"/>
  <c r="AJ1246" i="48"/>
  <c r="AI1246" i="48"/>
  <c r="AH1246" i="48"/>
  <c r="M1246" i="48"/>
  <c r="L1246" i="48"/>
  <c r="K1246" i="48"/>
  <c r="AJ1245" i="48"/>
  <c r="AI1245" i="48"/>
  <c r="AH1245" i="48"/>
  <c r="M1245" i="48"/>
  <c r="L1245" i="48"/>
  <c r="K1245" i="48"/>
  <c r="AJ1244" i="48"/>
  <c r="AI1244" i="48"/>
  <c r="AH1244" i="48"/>
  <c r="M1244" i="48"/>
  <c r="L1244" i="48"/>
  <c r="K1244" i="48"/>
  <c r="AJ1243" i="48"/>
  <c r="AI1243" i="48"/>
  <c r="AH1243" i="48"/>
  <c r="M1243" i="48"/>
  <c r="L1243" i="48"/>
  <c r="K1243" i="48"/>
  <c r="AJ1242" i="48"/>
  <c r="AI1242" i="48"/>
  <c r="AH1242" i="48"/>
  <c r="M1242" i="48"/>
  <c r="L1242" i="48"/>
  <c r="K1242" i="48"/>
  <c r="AJ1241" i="48"/>
  <c r="AI1241" i="48"/>
  <c r="AH1241" i="48"/>
  <c r="M1241" i="48"/>
  <c r="L1241" i="48"/>
  <c r="K1241" i="48"/>
  <c r="AJ1240" i="48"/>
  <c r="AI1240" i="48"/>
  <c r="AH1240" i="48"/>
  <c r="M1240" i="48"/>
  <c r="L1240" i="48"/>
  <c r="K1240" i="48"/>
  <c r="AJ1239" i="48"/>
  <c r="AI1239" i="48"/>
  <c r="AH1239" i="48"/>
  <c r="M1239" i="48"/>
  <c r="L1239" i="48"/>
  <c r="K1239" i="48"/>
  <c r="AJ1238" i="48"/>
  <c r="AI1238" i="48"/>
  <c r="AH1238" i="48"/>
  <c r="M1238" i="48"/>
  <c r="L1238" i="48"/>
  <c r="K1238" i="48"/>
  <c r="AJ1237" i="48"/>
  <c r="AI1237" i="48"/>
  <c r="AH1237" i="48"/>
  <c r="M1237" i="48"/>
  <c r="L1237" i="48"/>
  <c r="K1237" i="48"/>
  <c r="AJ1236" i="48"/>
  <c r="AI1236" i="48"/>
  <c r="AH1236" i="48"/>
  <c r="M1236" i="48"/>
  <c r="L1236" i="48"/>
  <c r="K1236" i="48"/>
  <c r="AJ1235" i="48"/>
  <c r="AI1235" i="48"/>
  <c r="AH1235" i="48"/>
  <c r="M1235" i="48"/>
  <c r="L1235" i="48"/>
  <c r="K1235" i="48"/>
  <c r="AJ1234" i="48"/>
  <c r="AI1234" i="48"/>
  <c r="AH1234" i="48"/>
  <c r="M1234" i="48"/>
  <c r="L1234" i="48"/>
  <c r="K1234" i="48"/>
  <c r="AJ1233" i="48"/>
  <c r="AI1233" i="48"/>
  <c r="AH1233" i="48"/>
  <c r="M1233" i="48"/>
  <c r="L1233" i="48"/>
  <c r="K1233" i="48"/>
  <c r="AJ1232" i="48"/>
  <c r="AI1232" i="48"/>
  <c r="AH1232" i="48"/>
  <c r="M1232" i="48"/>
  <c r="L1232" i="48"/>
  <c r="K1232" i="48"/>
  <c r="AJ1231" i="48"/>
  <c r="AI1231" i="48"/>
  <c r="AH1231" i="48"/>
  <c r="M1231" i="48"/>
  <c r="L1231" i="48"/>
  <c r="K1231" i="48"/>
  <c r="AJ1230" i="48"/>
  <c r="AI1230" i="48"/>
  <c r="AH1230" i="48"/>
  <c r="M1230" i="48"/>
  <c r="L1230" i="48"/>
  <c r="K1230" i="48"/>
  <c r="AJ1229" i="48"/>
  <c r="AI1229" i="48"/>
  <c r="AH1229" i="48"/>
  <c r="M1229" i="48"/>
  <c r="L1229" i="48"/>
  <c r="K1229" i="48"/>
  <c r="AJ1228" i="48"/>
  <c r="AI1228" i="48"/>
  <c r="AH1228" i="48"/>
  <c r="M1228" i="48"/>
  <c r="L1228" i="48"/>
  <c r="K1228" i="48"/>
  <c r="AJ1227" i="48"/>
  <c r="AI1227" i="48"/>
  <c r="AH1227" i="48"/>
  <c r="M1227" i="48"/>
  <c r="L1227" i="48"/>
  <c r="K1227" i="48"/>
  <c r="AJ1226" i="48"/>
  <c r="AI1226" i="48"/>
  <c r="AH1226" i="48"/>
  <c r="M1226" i="48"/>
  <c r="L1226" i="48"/>
  <c r="K1226" i="48"/>
  <c r="AJ1225" i="48"/>
  <c r="AI1225" i="48"/>
  <c r="AH1225" i="48"/>
  <c r="M1225" i="48"/>
  <c r="L1225" i="48"/>
  <c r="K1225" i="48"/>
  <c r="AJ1224" i="48"/>
  <c r="AI1224" i="48"/>
  <c r="AH1224" i="48"/>
  <c r="M1224" i="48"/>
  <c r="L1224" i="48"/>
  <c r="K1224" i="48"/>
  <c r="AJ1223" i="48"/>
  <c r="AI1223" i="48"/>
  <c r="AH1223" i="48"/>
  <c r="M1223" i="48"/>
  <c r="L1223" i="48"/>
  <c r="K1223" i="48"/>
  <c r="AJ1222" i="48"/>
  <c r="AI1222" i="48"/>
  <c r="AH1222" i="48"/>
  <c r="M1222" i="48"/>
  <c r="L1222" i="48"/>
  <c r="K1222" i="48"/>
  <c r="AJ1221" i="48"/>
  <c r="AI1221" i="48"/>
  <c r="AH1221" i="48"/>
  <c r="M1221" i="48"/>
  <c r="L1221" i="48"/>
  <c r="K1221" i="48"/>
  <c r="AJ1220" i="48"/>
  <c r="AI1220" i="48"/>
  <c r="AH1220" i="48"/>
  <c r="M1220" i="48"/>
  <c r="L1220" i="48"/>
  <c r="K1220" i="48"/>
  <c r="AJ1219" i="48"/>
  <c r="AI1219" i="48"/>
  <c r="AH1219" i="48"/>
  <c r="M1219" i="48"/>
  <c r="L1219" i="48"/>
  <c r="K1219" i="48"/>
  <c r="AJ1218" i="48"/>
  <c r="AI1218" i="48"/>
  <c r="AH1218" i="48"/>
  <c r="M1218" i="48"/>
  <c r="L1218" i="48"/>
  <c r="K1218" i="48"/>
  <c r="AJ1217" i="48"/>
  <c r="AI1217" i="48"/>
  <c r="AH1217" i="48"/>
  <c r="M1217" i="48"/>
  <c r="L1217" i="48"/>
  <c r="K1217" i="48"/>
  <c r="AJ1216" i="48"/>
  <c r="AI1216" i="48"/>
  <c r="AH1216" i="48"/>
  <c r="M1216" i="48"/>
  <c r="L1216" i="48"/>
  <c r="K1216" i="48"/>
  <c r="AJ1215" i="48"/>
  <c r="AI1215" i="48"/>
  <c r="AH1215" i="48"/>
  <c r="M1215" i="48"/>
  <c r="L1215" i="48"/>
  <c r="K1215" i="48"/>
  <c r="AJ1214" i="48"/>
  <c r="AI1214" i="48"/>
  <c r="AH1214" i="48"/>
  <c r="M1214" i="48"/>
  <c r="L1214" i="48"/>
  <c r="K1214" i="48"/>
  <c r="AJ1213" i="48"/>
  <c r="AI1213" i="48"/>
  <c r="AH1213" i="48"/>
  <c r="M1213" i="48"/>
  <c r="L1213" i="48"/>
  <c r="K1213" i="48"/>
  <c r="AJ1212" i="48"/>
  <c r="AI1212" i="48"/>
  <c r="AH1212" i="48"/>
  <c r="M1212" i="48"/>
  <c r="L1212" i="48"/>
  <c r="K1212" i="48"/>
  <c r="AJ1211" i="48"/>
  <c r="AI1211" i="48"/>
  <c r="AH1211" i="48"/>
  <c r="M1211" i="48"/>
  <c r="L1211" i="48"/>
  <c r="K1211" i="48"/>
  <c r="AJ1210" i="48"/>
  <c r="AI1210" i="48"/>
  <c r="AH1210" i="48"/>
  <c r="M1210" i="48"/>
  <c r="L1210" i="48"/>
  <c r="K1210" i="48"/>
  <c r="AJ1209" i="48"/>
  <c r="AI1209" i="48"/>
  <c r="AH1209" i="48"/>
  <c r="M1209" i="48"/>
  <c r="L1209" i="48"/>
  <c r="K1209" i="48"/>
  <c r="AJ1208" i="48"/>
  <c r="AI1208" i="48"/>
  <c r="AH1208" i="48"/>
  <c r="M1208" i="48"/>
  <c r="L1208" i="48"/>
  <c r="K1208" i="48"/>
  <c r="AJ1207" i="48"/>
  <c r="AI1207" i="48"/>
  <c r="AH1207" i="48"/>
  <c r="M1207" i="48"/>
  <c r="L1207" i="48"/>
  <c r="K1207" i="48"/>
  <c r="AJ1206" i="48"/>
  <c r="AI1206" i="48"/>
  <c r="AH1206" i="48"/>
  <c r="M1206" i="48"/>
  <c r="L1206" i="48"/>
  <c r="K1206" i="48"/>
  <c r="AJ1205" i="48"/>
  <c r="AI1205" i="48"/>
  <c r="AH1205" i="48"/>
  <c r="M1205" i="48"/>
  <c r="L1205" i="48"/>
  <c r="K1205" i="48"/>
  <c r="AJ1204" i="48"/>
  <c r="AI1204" i="48"/>
  <c r="AH1204" i="48"/>
  <c r="M1204" i="48"/>
  <c r="L1204" i="48"/>
  <c r="K1204" i="48"/>
  <c r="AJ1203" i="48"/>
  <c r="AI1203" i="48"/>
  <c r="AH1203" i="48"/>
  <c r="M1203" i="48"/>
  <c r="L1203" i="48"/>
  <c r="K1203" i="48"/>
  <c r="AJ1202" i="48"/>
  <c r="AI1202" i="48"/>
  <c r="AH1202" i="48"/>
  <c r="M1202" i="48"/>
  <c r="L1202" i="48"/>
  <c r="K1202" i="48"/>
  <c r="AJ1201" i="48"/>
  <c r="AI1201" i="48"/>
  <c r="AH1201" i="48"/>
  <c r="M1201" i="48"/>
  <c r="L1201" i="48"/>
  <c r="K1201" i="48"/>
  <c r="AJ1200" i="48"/>
  <c r="AI1200" i="48"/>
  <c r="AH1200" i="48"/>
  <c r="M1200" i="48"/>
  <c r="L1200" i="48"/>
  <c r="K1200" i="48"/>
  <c r="AJ1199" i="48"/>
  <c r="AI1199" i="48"/>
  <c r="AH1199" i="48"/>
  <c r="M1199" i="48"/>
  <c r="L1199" i="48"/>
  <c r="K1199" i="48"/>
  <c r="AJ1198" i="48"/>
  <c r="AI1198" i="48"/>
  <c r="AH1198" i="48"/>
  <c r="M1198" i="48"/>
  <c r="L1198" i="48"/>
  <c r="K1198" i="48"/>
  <c r="AJ1197" i="48"/>
  <c r="AI1197" i="48"/>
  <c r="AH1197" i="48"/>
  <c r="M1197" i="48"/>
  <c r="L1197" i="48"/>
  <c r="K1197" i="48"/>
  <c r="AJ1196" i="48"/>
  <c r="AI1196" i="48"/>
  <c r="AH1196" i="48"/>
  <c r="M1196" i="48"/>
  <c r="L1196" i="48"/>
  <c r="K1196" i="48"/>
  <c r="AJ1195" i="48"/>
  <c r="AI1195" i="48"/>
  <c r="AH1195" i="48"/>
  <c r="M1195" i="48"/>
  <c r="L1195" i="48"/>
  <c r="K1195" i="48"/>
  <c r="AJ1194" i="48"/>
  <c r="AI1194" i="48"/>
  <c r="AH1194" i="48"/>
  <c r="M1194" i="48"/>
  <c r="L1194" i="48"/>
  <c r="K1194" i="48"/>
  <c r="AJ1193" i="48"/>
  <c r="AI1193" i="48"/>
  <c r="AH1193" i="48"/>
  <c r="M1193" i="48"/>
  <c r="L1193" i="48"/>
  <c r="K1193" i="48"/>
  <c r="AJ1192" i="48"/>
  <c r="AI1192" i="48"/>
  <c r="AH1192" i="48"/>
  <c r="M1192" i="48"/>
  <c r="L1192" i="48"/>
  <c r="K1192" i="48"/>
  <c r="AJ1191" i="48"/>
  <c r="AI1191" i="48"/>
  <c r="AH1191" i="48"/>
  <c r="M1191" i="48"/>
  <c r="L1191" i="48"/>
  <c r="K1191" i="48"/>
  <c r="AJ1190" i="48"/>
  <c r="AI1190" i="48"/>
  <c r="AH1190" i="48"/>
  <c r="M1190" i="48"/>
  <c r="L1190" i="48"/>
  <c r="K1190" i="48"/>
  <c r="AJ1189" i="48"/>
  <c r="AI1189" i="48"/>
  <c r="AH1189" i="48"/>
  <c r="M1189" i="48"/>
  <c r="L1189" i="48"/>
  <c r="K1189" i="48"/>
  <c r="AJ1188" i="48"/>
  <c r="AI1188" i="48"/>
  <c r="AH1188" i="48"/>
  <c r="M1188" i="48"/>
  <c r="L1188" i="48"/>
  <c r="K1188" i="48"/>
  <c r="AJ1187" i="48"/>
  <c r="AI1187" i="48"/>
  <c r="AH1187" i="48"/>
  <c r="M1187" i="48"/>
  <c r="L1187" i="48"/>
  <c r="K1187" i="48"/>
  <c r="AJ1186" i="48"/>
  <c r="AI1186" i="48"/>
  <c r="AH1186" i="48"/>
  <c r="M1186" i="48"/>
  <c r="L1186" i="48"/>
  <c r="K1186" i="48"/>
  <c r="AJ1185" i="48"/>
  <c r="AI1185" i="48"/>
  <c r="AH1185" i="48"/>
  <c r="M1185" i="48"/>
  <c r="L1185" i="48"/>
  <c r="K1185" i="48"/>
  <c r="AJ1184" i="48"/>
  <c r="AI1184" i="48"/>
  <c r="AH1184" i="48"/>
  <c r="M1184" i="48"/>
  <c r="L1184" i="48"/>
  <c r="K1184" i="48"/>
  <c r="AJ1183" i="48"/>
  <c r="AI1183" i="48"/>
  <c r="AH1183" i="48"/>
  <c r="M1183" i="48"/>
  <c r="L1183" i="48"/>
  <c r="K1183" i="48"/>
  <c r="AJ1182" i="48"/>
  <c r="AI1182" i="48"/>
  <c r="AH1182" i="48"/>
  <c r="M1182" i="48"/>
  <c r="L1182" i="48"/>
  <c r="K1182" i="48"/>
  <c r="AJ1181" i="48"/>
  <c r="AI1181" i="48"/>
  <c r="AH1181" i="48"/>
  <c r="M1181" i="48"/>
  <c r="L1181" i="48"/>
  <c r="K1181" i="48"/>
  <c r="AJ1180" i="48"/>
  <c r="AI1180" i="48"/>
  <c r="AH1180" i="48"/>
  <c r="M1180" i="48"/>
  <c r="L1180" i="48"/>
  <c r="K1180" i="48"/>
  <c r="AJ1179" i="48"/>
  <c r="AI1179" i="48"/>
  <c r="AH1179" i="48"/>
  <c r="M1179" i="48"/>
  <c r="L1179" i="48"/>
  <c r="K1179" i="48"/>
  <c r="AJ1178" i="48"/>
  <c r="AI1178" i="48"/>
  <c r="AH1178" i="48"/>
  <c r="M1178" i="48"/>
  <c r="L1178" i="48"/>
  <c r="K1178" i="48"/>
  <c r="AJ1177" i="48"/>
  <c r="AI1177" i="48"/>
  <c r="AH1177" i="48"/>
  <c r="M1177" i="48"/>
  <c r="L1177" i="48"/>
  <c r="K1177" i="48"/>
  <c r="AJ1176" i="48"/>
  <c r="AI1176" i="48"/>
  <c r="AH1176" i="48"/>
  <c r="M1176" i="48"/>
  <c r="L1176" i="48"/>
  <c r="K1176" i="48"/>
  <c r="AJ1175" i="48"/>
  <c r="AI1175" i="48"/>
  <c r="AH1175" i="48"/>
  <c r="M1175" i="48"/>
  <c r="L1175" i="48"/>
  <c r="K1175" i="48"/>
  <c r="AJ1174" i="48"/>
  <c r="AI1174" i="48"/>
  <c r="AH1174" i="48"/>
  <c r="M1174" i="48"/>
  <c r="L1174" i="48"/>
  <c r="K1174" i="48"/>
  <c r="AJ1173" i="48"/>
  <c r="AI1173" i="48"/>
  <c r="AH1173" i="48"/>
  <c r="M1173" i="48"/>
  <c r="L1173" i="48"/>
  <c r="K1173" i="48"/>
  <c r="AJ1172" i="48"/>
  <c r="AI1172" i="48"/>
  <c r="AH1172" i="48"/>
  <c r="M1172" i="48"/>
  <c r="L1172" i="48"/>
  <c r="K1172" i="48"/>
  <c r="AJ1171" i="48"/>
  <c r="AI1171" i="48"/>
  <c r="AH1171" i="48"/>
  <c r="M1171" i="48"/>
  <c r="L1171" i="48"/>
  <c r="K1171" i="48"/>
  <c r="AJ1170" i="48"/>
  <c r="AI1170" i="48"/>
  <c r="AH1170" i="48"/>
  <c r="M1170" i="48"/>
  <c r="L1170" i="48"/>
  <c r="K1170" i="48"/>
  <c r="AJ1169" i="48"/>
  <c r="AI1169" i="48"/>
  <c r="AH1169" i="48"/>
  <c r="M1169" i="48"/>
  <c r="L1169" i="48"/>
  <c r="K1169" i="48"/>
  <c r="AJ1168" i="48"/>
  <c r="AI1168" i="48"/>
  <c r="AH1168" i="48"/>
  <c r="M1168" i="48"/>
  <c r="L1168" i="48"/>
  <c r="K1168" i="48"/>
  <c r="AJ1167" i="48"/>
  <c r="AI1167" i="48"/>
  <c r="AH1167" i="48"/>
  <c r="M1167" i="48"/>
  <c r="L1167" i="48"/>
  <c r="K1167" i="48"/>
  <c r="AJ1166" i="48"/>
  <c r="AI1166" i="48"/>
  <c r="AH1166" i="48"/>
  <c r="M1166" i="48"/>
  <c r="L1166" i="48"/>
  <c r="K1166" i="48"/>
  <c r="AJ1165" i="48"/>
  <c r="AI1165" i="48"/>
  <c r="AH1165" i="48"/>
  <c r="M1165" i="48"/>
  <c r="L1165" i="48"/>
  <c r="K1165" i="48"/>
  <c r="AJ1164" i="48"/>
  <c r="AI1164" i="48"/>
  <c r="AH1164" i="48"/>
  <c r="M1164" i="48"/>
  <c r="L1164" i="48"/>
  <c r="K1164" i="48"/>
  <c r="AJ1163" i="48"/>
  <c r="AI1163" i="48"/>
  <c r="AH1163" i="48"/>
  <c r="M1163" i="48"/>
  <c r="L1163" i="48"/>
  <c r="K1163" i="48"/>
  <c r="AJ1162" i="48"/>
  <c r="AI1162" i="48"/>
  <c r="AH1162" i="48"/>
  <c r="M1162" i="48"/>
  <c r="L1162" i="48"/>
  <c r="K1162" i="48"/>
  <c r="AJ1161" i="48"/>
  <c r="AI1161" i="48"/>
  <c r="AH1161" i="48"/>
  <c r="M1161" i="48"/>
  <c r="L1161" i="48"/>
  <c r="K1161" i="48"/>
  <c r="AJ1160" i="48"/>
  <c r="AI1160" i="48"/>
  <c r="AH1160" i="48"/>
  <c r="M1160" i="48"/>
  <c r="L1160" i="48"/>
  <c r="K1160" i="48"/>
  <c r="AJ1159" i="48"/>
  <c r="AI1159" i="48"/>
  <c r="AH1159" i="48"/>
  <c r="M1159" i="48"/>
  <c r="L1159" i="48"/>
  <c r="K1159" i="48"/>
  <c r="AJ1158" i="48"/>
  <c r="AI1158" i="48"/>
  <c r="AH1158" i="48"/>
  <c r="M1158" i="48"/>
  <c r="L1158" i="48"/>
  <c r="K1158" i="48"/>
  <c r="AJ1157" i="48"/>
  <c r="AI1157" i="48"/>
  <c r="AH1157" i="48"/>
  <c r="M1157" i="48"/>
  <c r="L1157" i="48"/>
  <c r="K1157" i="48"/>
  <c r="AJ1156" i="48"/>
  <c r="AI1156" i="48"/>
  <c r="AH1156" i="48"/>
  <c r="M1156" i="48"/>
  <c r="L1156" i="48"/>
  <c r="K1156" i="48"/>
  <c r="AJ1155" i="48"/>
  <c r="AI1155" i="48"/>
  <c r="AH1155" i="48"/>
  <c r="M1155" i="48"/>
  <c r="L1155" i="48"/>
  <c r="K1155" i="48"/>
  <c r="AJ1154" i="48"/>
  <c r="AI1154" i="48"/>
  <c r="AH1154" i="48"/>
  <c r="M1154" i="48"/>
  <c r="L1154" i="48"/>
  <c r="K1154" i="48"/>
  <c r="AJ1153" i="48"/>
  <c r="AI1153" i="48"/>
  <c r="AH1153" i="48"/>
  <c r="M1153" i="48"/>
  <c r="L1153" i="48"/>
  <c r="K1153" i="48"/>
  <c r="AJ1152" i="48"/>
  <c r="AI1152" i="48"/>
  <c r="AH1152" i="48"/>
  <c r="M1152" i="48"/>
  <c r="L1152" i="48"/>
  <c r="K1152" i="48"/>
  <c r="AJ1151" i="48"/>
  <c r="AI1151" i="48"/>
  <c r="AH1151" i="48"/>
  <c r="M1151" i="48"/>
  <c r="L1151" i="48"/>
  <c r="K1151" i="48"/>
  <c r="AJ1150" i="48"/>
  <c r="AI1150" i="48"/>
  <c r="AH1150" i="48"/>
  <c r="M1150" i="48"/>
  <c r="L1150" i="48"/>
  <c r="K1150" i="48"/>
  <c r="AJ1149" i="48"/>
  <c r="AI1149" i="48"/>
  <c r="AH1149" i="48"/>
  <c r="M1149" i="48"/>
  <c r="L1149" i="48"/>
  <c r="K1149" i="48"/>
  <c r="AJ1148" i="48"/>
  <c r="AI1148" i="48"/>
  <c r="AH1148" i="48"/>
  <c r="M1148" i="48"/>
  <c r="L1148" i="48"/>
  <c r="K1148" i="48"/>
  <c r="AJ1147" i="48"/>
  <c r="AI1147" i="48"/>
  <c r="AH1147" i="48"/>
  <c r="M1147" i="48"/>
  <c r="L1147" i="48"/>
  <c r="K1147" i="48"/>
  <c r="AJ1146" i="48"/>
  <c r="AI1146" i="48"/>
  <c r="AH1146" i="48"/>
  <c r="M1146" i="48"/>
  <c r="L1146" i="48"/>
  <c r="K1146" i="48"/>
  <c r="AJ1145" i="48"/>
  <c r="AI1145" i="48"/>
  <c r="AH1145" i="48"/>
  <c r="M1145" i="48"/>
  <c r="L1145" i="48"/>
  <c r="K1145" i="48"/>
  <c r="AJ1144" i="48"/>
  <c r="AI1144" i="48"/>
  <c r="AH1144" i="48"/>
  <c r="M1144" i="48"/>
  <c r="L1144" i="48"/>
  <c r="K1144" i="48"/>
  <c r="AJ1143" i="48"/>
  <c r="AI1143" i="48"/>
  <c r="AH1143" i="48"/>
  <c r="M1143" i="48"/>
  <c r="L1143" i="48"/>
  <c r="K1143" i="48"/>
  <c r="AJ1142" i="48"/>
  <c r="AI1142" i="48"/>
  <c r="AH1142" i="48"/>
  <c r="M1142" i="48"/>
  <c r="L1142" i="48"/>
  <c r="K1142" i="48"/>
  <c r="AJ1141" i="48"/>
  <c r="AI1141" i="48"/>
  <c r="AH1141" i="48"/>
  <c r="M1141" i="48"/>
  <c r="L1141" i="48"/>
  <c r="K1141" i="48"/>
  <c r="AJ1140" i="48"/>
  <c r="AI1140" i="48"/>
  <c r="AH1140" i="48"/>
  <c r="M1140" i="48"/>
  <c r="L1140" i="48"/>
  <c r="K1140" i="48"/>
  <c r="AJ1139" i="48"/>
  <c r="AI1139" i="48"/>
  <c r="AH1139" i="48"/>
  <c r="M1139" i="48"/>
  <c r="L1139" i="48"/>
  <c r="K1139" i="48"/>
  <c r="AJ1138" i="48"/>
  <c r="AI1138" i="48"/>
  <c r="AH1138" i="48"/>
  <c r="M1138" i="48"/>
  <c r="L1138" i="48"/>
  <c r="K1138" i="48"/>
  <c r="AJ1137" i="48"/>
  <c r="AI1137" i="48"/>
  <c r="AH1137" i="48"/>
  <c r="M1137" i="48"/>
  <c r="L1137" i="48"/>
  <c r="K1137" i="48"/>
  <c r="AJ1136" i="48"/>
  <c r="AI1136" i="48"/>
  <c r="AH1136" i="48"/>
  <c r="M1136" i="48"/>
  <c r="L1136" i="48"/>
  <c r="K1136" i="48"/>
  <c r="AJ1135" i="48"/>
  <c r="AI1135" i="48"/>
  <c r="AH1135" i="48"/>
  <c r="M1135" i="48"/>
  <c r="L1135" i="48"/>
  <c r="K1135" i="48"/>
  <c r="AJ1134" i="48"/>
  <c r="AI1134" i="48"/>
  <c r="AH1134" i="48"/>
  <c r="M1134" i="48"/>
  <c r="L1134" i="48"/>
  <c r="K1134" i="48"/>
  <c r="AJ1133" i="48"/>
  <c r="AI1133" i="48"/>
  <c r="AH1133" i="48"/>
  <c r="M1133" i="48"/>
  <c r="L1133" i="48"/>
  <c r="K1133" i="48"/>
  <c r="AJ1132" i="48"/>
  <c r="AI1132" i="48"/>
  <c r="AH1132" i="48"/>
  <c r="M1132" i="48"/>
  <c r="L1132" i="48"/>
  <c r="K1132" i="48"/>
  <c r="AJ1131" i="48"/>
  <c r="AI1131" i="48"/>
  <c r="AH1131" i="48"/>
  <c r="M1131" i="48"/>
  <c r="L1131" i="48"/>
  <c r="K1131" i="48"/>
  <c r="AJ1130" i="48"/>
  <c r="AI1130" i="48"/>
  <c r="AH1130" i="48"/>
  <c r="M1130" i="48"/>
  <c r="L1130" i="48"/>
  <c r="K1130" i="48"/>
  <c r="AJ1129" i="48"/>
  <c r="AI1129" i="48"/>
  <c r="AH1129" i="48"/>
  <c r="M1129" i="48"/>
  <c r="L1129" i="48"/>
  <c r="K1129" i="48"/>
  <c r="AJ1128" i="48"/>
  <c r="AI1128" i="48"/>
  <c r="AH1128" i="48"/>
  <c r="M1128" i="48"/>
  <c r="L1128" i="48"/>
  <c r="K1128" i="48"/>
  <c r="AJ1127" i="48"/>
  <c r="AI1127" i="48"/>
  <c r="AH1127" i="48"/>
  <c r="M1127" i="48"/>
  <c r="L1127" i="48"/>
  <c r="K1127" i="48"/>
  <c r="AJ1126" i="48"/>
  <c r="AI1126" i="48"/>
  <c r="AH1126" i="48"/>
  <c r="M1126" i="48"/>
  <c r="L1126" i="48"/>
  <c r="K1126" i="48"/>
  <c r="AJ1125" i="48"/>
  <c r="AI1125" i="48"/>
  <c r="AH1125" i="48"/>
  <c r="M1125" i="48"/>
  <c r="L1125" i="48"/>
  <c r="K1125" i="48"/>
  <c r="AJ1124" i="48"/>
  <c r="AI1124" i="48"/>
  <c r="AH1124" i="48"/>
  <c r="M1124" i="48"/>
  <c r="L1124" i="48"/>
  <c r="K1124" i="48"/>
  <c r="AJ1123" i="48"/>
  <c r="AI1123" i="48"/>
  <c r="AH1123" i="48"/>
  <c r="M1123" i="48"/>
  <c r="L1123" i="48"/>
  <c r="K1123" i="48"/>
  <c r="AJ1122" i="48"/>
  <c r="AI1122" i="48"/>
  <c r="AH1122" i="48"/>
  <c r="M1122" i="48"/>
  <c r="L1122" i="48"/>
  <c r="K1122" i="48"/>
  <c r="AJ1121" i="48"/>
  <c r="AI1121" i="48"/>
  <c r="AH1121" i="48"/>
  <c r="M1121" i="48"/>
  <c r="L1121" i="48"/>
  <c r="K1121" i="48"/>
  <c r="AJ1120" i="48"/>
  <c r="AI1120" i="48"/>
  <c r="AH1120" i="48"/>
  <c r="M1120" i="48"/>
  <c r="L1120" i="48"/>
  <c r="K1120" i="48"/>
  <c r="AJ1119" i="48"/>
  <c r="AI1119" i="48"/>
  <c r="AH1119" i="48"/>
  <c r="M1119" i="48"/>
  <c r="L1119" i="48"/>
  <c r="K1119" i="48"/>
  <c r="AJ1118" i="48"/>
  <c r="AI1118" i="48"/>
  <c r="AH1118" i="48"/>
  <c r="M1118" i="48"/>
  <c r="L1118" i="48"/>
  <c r="K1118" i="48"/>
  <c r="AJ1117" i="48"/>
  <c r="AI1117" i="48"/>
  <c r="AH1117" i="48"/>
  <c r="M1117" i="48"/>
  <c r="L1117" i="48"/>
  <c r="K1117" i="48"/>
  <c r="AJ1116" i="48"/>
  <c r="AI1116" i="48"/>
  <c r="AH1116" i="48"/>
  <c r="M1116" i="48"/>
  <c r="L1116" i="48"/>
  <c r="K1116" i="48"/>
  <c r="AJ1115" i="48"/>
  <c r="AI1115" i="48"/>
  <c r="AH1115" i="48"/>
  <c r="M1115" i="48"/>
  <c r="L1115" i="48"/>
  <c r="K1115" i="48"/>
  <c r="AJ1114" i="48"/>
  <c r="AI1114" i="48"/>
  <c r="AH1114" i="48"/>
  <c r="M1114" i="48"/>
  <c r="L1114" i="48"/>
  <c r="K1114" i="48"/>
  <c r="AJ1113" i="48"/>
  <c r="AI1113" i="48"/>
  <c r="AH1113" i="48"/>
  <c r="M1113" i="48"/>
  <c r="L1113" i="48"/>
  <c r="K1113" i="48"/>
  <c r="AJ1112" i="48"/>
  <c r="AI1112" i="48"/>
  <c r="AH1112" i="48"/>
  <c r="M1112" i="48"/>
  <c r="L1112" i="48"/>
  <c r="K1112" i="48"/>
  <c r="AJ1111" i="48"/>
  <c r="AI1111" i="48"/>
  <c r="AH1111" i="48"/>
  <c r="M1111" i="48"/>
  <c r="L1111" i="48"/>
  <c r="K1111" i="48"/>
  <c r="AJ1110" i="48"/>
  <c r="AI1110" i="48"/>
  <c r="AH1110" i="48"/>
  <c r="M1110" i="48"/>
  <c r="L1110" i="48"/>
  <c r="K1110" i="48"/>
  <c r="AJ1109" i="48"/>
  <c r="AI1109" i="48"/>
  <c r="AH1109" i="48"/>
  <c r="M1109" i="48"/>
  <c r="L1109" i="48"/>
  <c r="K1109" i="48"/>
  <c r="AJ1108" i="48"/>
  <c r="AI1108" i="48"/>
  <c r="AH1108" i="48"/>
  <c r="M1108" i="48"/>
  <c r="L1108" i="48"/>
  <c r="K1108" i="48"/>
  <c r="AJ1107" i="48"/>
  <c r="AI1107" i="48"/>
  <c r="AH1107" i="48"/>
  <c r="M1107" i="48"/>
  <c r="L1107" i="48"/>
  <c r="K1107" i="48"/>
  <c r="AJ1106" i="48"/>
  <c r="AI1106" i="48"/>
  <c r="AH1106" i="48"/>
  <c r="M1106" i="48"/>
  <c r="L1106" i="48"/>
  <c r="K1106" i="48"/>
  <c r="AJ1105" i="48"/>
  <c r="AI1105" i="48"/>
  <c r="AH1105" i="48"/>
  <c r="M1105" i="48"/>
  <c r="L1105" i="48"/>
  <c r="K1105" i="48"/>
  <c r="AJ1104" i="48"/>
  <c r="AI1104" i="48"/>
  <c r="AH1104" i="48"/>
  <c r="M1104" i="48"/>
  <c r="L1104" i="48"/>
  <c r="K1104" i="48"/>
  <c r="AJ1103" i="48"/>
  <c r="AI1103" i="48"/>
  <c r="AH1103" i="48"/>
  <c r="M1103" i="48"/>
  <c r="L1103" i="48"/>
  <c r="K1103" i="48"/>
  <c r="AJ1102" i="48"/>
  <c r="AI1102" i="48"/>
  <c r="AH1102" i="48"/>
  <c r="M1102" i="48"/>
  <c r="L1102" i="48"/>
  <c r="K1102" i="48"/>
  <c r="AJ1101" i="48"/>
  <c r="AI1101" i="48"/>
  <c r="AH1101" i="48"/>
  <c r="M1101" i="48"/>
  <c r="L1101" i="48"/>
  <c r="K1101" i="48"/>
  <c r="AJ1100" i="48"/>
  <c r="AI1100" i="48"/>
  <c r="AH1100" i="48"/>
  <c r="M1100" i="48"/>
  <c r="L1100" i="48"/>
  <c r="K1100" i="48"/>
  <c r="AJ1099" i="48"/>
  <c r="AI1099" i="48"/>
  <c r="AH1099" i="48"/>
  <c r="M1099" i="48"/>
  <c r="L1099" i="48"/>
  <c r="K1099" i="48"/>
  <c r="AJ1098" i="48"/>
  <c r="AI1098" i="48"/>
  <c r="AH1098" i="48"/>
  <c r="M1098" i="48"/>
  <c r="L1098" i="48"/>
  <c r="K1098" i="48"/>
  <c r="AJ1097" i="48"/>
  <c r="AI1097" i="48"/>
  <c r="AH1097" i="48"/>
  <c r="M1097" i="48"/>
  <c r="L1097" i="48"/>
  <c r="K1097" i="48"/>
  <c r="AJ1096" i="48"/>
  <c r="AI1096" i="48"/>
  <c r="AH1096" i="48"/>
  <c r="M1096" i="48"/>
  <c r="L1096" i="48"/>
  <c r="K1096" i="48"/>
  <c r="AJ1095" i="48"/>
  <c r="AI1095" i="48"/>
  <c r="AH1095" i="48"/>
  <c r="M1095" i="48"/>
  <c r="L1095" i="48"/>
  <c r="K1095" i="48"/>
  <c r="AJ1094" i="48"/>
  <c r="AI1094" i="48"/>
  <c r="AH1094" i="48"/>
  <c r="M1094" i="48"/>
  <c r="L1094" i="48"/>
  <c r="K1094" i="48"/>
  <c r="AJ1093" i="48"/>
  <c r="AI1093" i="48"/>
  <c r="AH1093" i="48"/>
  <c r="M1093" i="48"/>
  <c r="L1093" i="48"/>
  <c r="K1093" i="48"/>
  <c r="AJ1092" i="48"/>
  <c r="AI1092" i="48"/>
  <c r="AH1092" i="48"/>
  <c r="M1092" i="48"/>
  <c r="L1092" i="48"/>
  <c r="K1092" i="48"/>
  <c r="AJ1091" i="48"/>
  <c r="AI1091" i="48"/>
  <c r="AH1091" i="48"/>
  <c r="M1091" i="48"/>
  <c r="L1091" i="48"/>
  <c r="K1091" i="48"/>
  <c r="AJ1090" i="48"/>
  <c r="AI1090" i="48"/>
  <c r="AH1090" i="48"/>
  <c r="M1090" i="48"/>
  <c r="L1090" i="48"/>
  <c r="K1090" i="48"/>
  <c r="AJ1089" i="48"/>
  <c r="AI1089" i="48"/>
  <c r="AH1089" i="48"/>
  <c r="M1089" i="48"/>
  <c r="L1089" i="48"/>
  <c r="K1089" i="48"/>
  <c r="AJ1088" i="48"/>
  <c r="AI1088" i="48"/>
  <c r="AH1088" i="48"/>
  <c r="M1088" i="48"/>
  <c r="L1088" i="48"/>
  <c r="K1088" i="48"/>
  <c r="AJ1087" i="48"/>
  <c r="AI1087" i="48"/>
  <c r="AH1087" i="48"/>
  <c r="M1087" i="48"/>
  <c r="L1087" i="48"/>
  <c r="K1087" i="48"/>
  <c r="AJ1086" i="48"/>
  <c r="AI1086" i="48"/>
  <c r="AH1086" i="48"/>
  <c r="M1086" i="48"/>
  <c r="L1086" i="48"/>
  <c r="K1086" i="48"/>
  <c r="AJ1085" i="48"/>
  <c r="AI1085" i="48"/>
  <c r="AH1085" i="48"/>
  <c r="M1085" i="48"/>
  <c r="L1085" i="48"/>
  <c r="K1085" i="48"/>
  <c r="AJ1084" i="48"/>
  <c r="AI1084" i="48"/>
  <c r="AH1084" i="48"/>
  <c r="M1084" i="48"/>
  <c r="L1084" i="48"/>
  <c r="K1084" i="48"/>
  <c r="AJ1083" i="48"/>
  <c r="AI1083" i="48"/>
  <c r="AH1083" i="48"/>
  <c r="M1083" i="48"/>
  <c r="L1083" i="48"/>
  <c r="K1083" i="48"/>
  <c r="AJ1082" i="48"/>
  <c r="AI1082" i="48"/>
  <c r="AH1082" i="48"/>
  <c r="M1082" i="48"/>
  <c r="L1082" i="48"/>
  <c r="K1082" i="48"/>
  <c r="AJ1081" i="48"/>
  <c r="AI1081" i="48"/>
  <c r="AH1081" i="48"/>
  <c r="M1081" i="48"/>
  <c r="L1081" i="48"/>
  <c r="K1081" i="48"/>
  <c r="AJ1080" i="48"/>
  <c r="AI1080" i="48"/>
  <c r="AH1080" i="48"/>
  <c r="M1080" i="48"/>
  <c r="L1080" i="48"/>
  <c r="K1080" i="48"/>
  <c r="AJ1079" i="48"/>
  <c r="AI1079" i="48"/>
  <c r="AH1079" i="48"/>
  <c r="M1079" i="48"/>
  <c r="L1079" i="48"/>
  <c r="K1079" i="48"/>
  <c r="AJ1078" i="48"/>
  <c r="AI1078" i="48"/>
  <c r="AH1078" i="48"/>
  <c r="M1078" i="48"/>
  <c r="L1078" i="48"/>
  <c r="K1078" i="48"/>
  <c r="AJ1077" i="48"/>
  <c r="AI1077" i="48"/>
  <c r="AH1077" i="48"/>
  <c r="M1077" i="48"/>
  <c r="L1077" i="48"/>
  <c r="K1077" i="48"/>
  <c r="AJ1076" i="48"/>
  <c r="AI1076" i="48"/>
  <c r="AH1076" i="48"/>
  <c r="M1076" i="48"/>
  <c r="L1076" i="48"/>
  <c r="K1076" i="48"/>
  <c r="AJ1075" i="48"/>
  <c r="AI1075" i="48"/>
  <c r="AH1075" i="48"/>
  <c r="M1075" i="48"/>
  <c r="L1075" i="48"/>
  <c r="K1075" i="48"/>
  <c r="AJ1074" i="48"/>
  <c r="AI1074" i="48"/>
  <c r="AH1074" i="48"/>
  <c r="M1074" i="48"/>
  <c r="L1074" i="48"/>
  <c r="K1074" i="48"/>
  <c r="AJ1073" i="48"/>
  <c r="AI1073" i="48"/>
  <c r="AH1073" i="48"/>
  <c r="M1073" i="48"/>
  <c r="L1073" i="48"/>
  <c r="K1073" i="48"/>
  <c r="AJ1072" i="48"/>
  <c r="AI1072" i="48"/>
  <c r="AH1072" i="48"/>
  <c r="M1072" i="48"/>
  <c r="L1072" i="48"/>
  <c r="K1072" i="48"/>
  <c r="AJ1071" i="48"/>
  <c r="AI1071" i="48"/>
  <c r="AH1071" i="48"/>
  <c r="M1071" i="48"/>
  <c r="L1071" i="48"/>
  <c r="K1071" i="48"/>
  <c r="AJ1070" i="48"/>
  <c r="AI1070" i="48"/>
  <c r="AH1070" i="48"/>
  <c r="M1070" i="48"/>
  <c r="L1070" i="48"/>
  <c r="K1070" i="48"/>
  <c r="AJ1069" i="48"/>
  <c r="AI1069" i="48"/>
  <c r="AH1069" i="48"/>
  <c r="M1069" i="48"/>
  <c r="L1069" i="48"/>
  <c r="K1069" i="48"/>
  <c r="AJ1068" i="48"/>
  <c r="AI1068" i="48"/>
  <c r="AH1068" i="48"/>
  <c r="M1068" i="48"/>
  <c r="L1068" i="48"/>
  <c r="K1068" i="48"/>
  <c r="AJ1067" i="48"/>
  <c r="AI1067" i="48"/>
  <c r="AH1067" i="48"/>
  <c r="M1067" i="48"/>
  <c r="L1067" i="48"/>
  <c r="K1067" i="48"/>
  <c r="AJ1066" i="48"/>
  <c r="AI1066" i="48"/>
  <c r="AH1066" i="48"/>
  <c r="M1066" i="48"/>
  <c r="L1066" i="48"/>
  <c r="K1066" i="48"/>
  <c r="AJ1065" i="48"/>
  <c r="AI1065" i="48"/>
  <c r="AH1065" i="48"/>
  <c r="M1065" i="48"/>
  <c r="L1065" i="48"/>
  <c r="K1065" i="48"/>
  <c r="AJ1064" i="48"/>
  <c r="AI1064" i="48"/>
  <c r="AH1064" i="48"/>
  <c r="M1064" i="48"/>
  <c r="L1064" i="48"/>
  <c r="K1064" i="48"/>
  <c r="AJ1063" i="48"/>
  <c r="AI1063" i="48"/>
  <c r="AH1063" i="48"/>
  <c r="M1063" i="48"/>
  <c r="L1063" i="48"/>
  <c r="K1063" i="48"/>
  <c r="AJ1062" i="48"/>
  <c r="AI1062" i="48"/>
  <c r="AH1062" i="48"/>
  <c r="M1062" i="48"/>
  <c r="L1062" i="48"/>
  <c r="K1062" i="48"/>
  <c r="AJ1061" i="48"/>
  <c r="AI1061" i="48"/>
  <c r="AH1061" i="48"/>
  <c r="M1061" i="48"/>
  <c r="L1061" i="48"/>
  <c r="K1061" i="48"/>
  <c r="AJ1060" i="48"/>
  <c r="AI1060" i="48"/>
  <c r="AH1060" i="48"/>
  <c r="M1060" i="48"/>
  <c r="L1060" i="48"/>
  <c r="K1060" i="48"/>
  <c r="AJ1059" i="48"/>
  <c r="AI1059" i="48"/>
  <c r="AH1059" i="48"/>
  <c r="M1059" i="48"/>
  <c r="L1059" i="48"/>
  <c r="K1059" i="48"/>
  <c r="AJ1058" i="48"/>
  <c r="AI1058" i="48"/>
  <c r="AH1058" i="48"/>
  <c r="M1058" i="48"/>
  <c r="L1058" i="48"/>
  <c r="K1058" i="48"/>
  <c r="AJ1057" i="48"/>
  <c r="AI1057" i="48"/>
  <c r="AH1057" i="48"/>
  <c r="M1057" i="48"/>
  <c r="L1057" i="48"/>
  <c r="K1057" i="48"/>
  <c r="AJ1056" i="48"/>
  <c r="AI1056" i="48"/>
  <c r="AH1056" i="48"/>
  <c r="M1056" i="48"/>
  <c r="L1056" i="48"/>
  <c r="K1056" i="48"/>
  <c r="AJ1055" i="48"/>
  <c r="AI1055" i="48"/>
  <c r="AH1055" i="48"/>
  <c r="M1055" i="48"/>
  <c r="L1055" i="48"/>
  <c r="K1055" i="48"/>
  <c r="AJ1054" i="48"/>
  <c r="AI1054" i="48"/>
  <c r="AH1054" i="48"/>
  <c r="M1054" i="48"/>
  <c r="L1054" i="48"/>
  <c r="K1054" i="48"/>
  <c r="AJ1053" i="48"/>
  <c r="AI1053" i="48"/>
  <c r="AH1053" i="48"/>
  <c r="M1053" i="48"/>
  <c r="L1053" i="48"/>
  <c r="K1053" i="48"/>
  <c r="AJ1052" i="48"/>
  <c r="AI1052" i="48"/>
  <c r="AH1052" i="48"/>
  <c r="M1052" i="48"/>
  <c r="L1052" i="48"/>
  <c r="K1052" i="48"/>
  <c r="AJ1051" i="48"/>
  <c r="AI1051" i="48"/>
  <c r="AH1051" i="48"/>
  <c r="M1051" i="48"/>
  <c r="L1051" i="48"/>
  <c r="K1051" i="48"/>
  <c r="AJ1050" i="48"/>
  <c r="AI1050" i="48"/>
  <c r="AH1050" i="48"/>
  <c r="M1050" i="48"/>
  <c r="L1050" i="48"/>
  <c r="K1050" i="48"/>
  <c r="AJ1049" i="48"/>
  <c r="AI1049" i="48"/>
  <c r="AH1049" i="48"/>
  <c r="M1049" i="48"/>
  <c r="L1049" i="48"/>
  <c r="K1049" i="48"/>
  <c r="AJ1048" i="48"/>
  <c r="AI1048" i="48"/>
  <c r="AH1048" i="48"/>
  <c r="M1048" i="48"/>
  <c r="L1048" i="48"/>
  <c r="K1048" i="48"/>
  <c r="AJ1047" i="48"/>
  <c r="AI1047" i="48"/>
  <c r="AH1047" i="48"/>
  <c r="M1047" i="48"/>
  <c r="L1047" i="48"/>
  <c r="K1047" i="48"/>
  <c r="AJ1046" i="48"/>
  <c r="AI1046" i="48"/>
  <c r="AH1046" i="48"/>
  <c r="M1046" i="48"/>
  <c r="L1046" i="48"/>
  <c r="K1046" i="48"/>
  <c r="AJ1045" i="48"/>
  <c r="AI1045" i="48"/>
  <c r="AH1045" i="48"/>
  <c r="M1045" i="48"/>
  <c r="L1045" i="48"/>
  <c r="K1045" i="48"/>
  <c r="AJ1044" i="48"/>
  <c r="AI1044" i="48"/>
  <c r="AH1044" i="48"/>
  <c r="M1044" i="48"/>
  <c r="L1044" i="48"/>
  <c r="K1044" i="48"/>
  <c r="AJ1043" i="48"/>
  <c r="AI1043" i="48"/>
  <c r="AH1043" i="48"/>
  <c r="M1043" i="48"/>
  <c r="L1043" i="48"/>
  <c r="K1043" i="48"/>
  <c r="AJ1042" i="48"/>
  <c r="AI1042" i="48"/>
  <c r="AH1042" i="48"/>
  <c r="M1042" i="48"/>
  <c r="L1042" i="48"/>
  <c r="K1042" i="48"/>
  <c r="AJ1041" i="48"/>
  <c r="AI1041" i="48"/>
  <c r="AH1041" i="48"/>
  <c r="M1041" i="48"/>
  <c r="L1041" i="48"/>
  <c r="K1041" i="48"/>
  <c r="AJ1040" i="48"/>
  <c r="AI1040" i="48"/>
  <c r="AH1040" i="48"/>
  <c r="M1040" i="48"/>
  <c r="L1040" i="48"/>
  <c r="K1040" i="48"/>
  <c r="AJ1039" i="48"/>
  <c r="AI1039" i="48"/>
  <c r="AH1039" i="48"/>
  <c r="M1039" i="48"/>
  <c r="L1039" i="48"/>
  <c r="K1039" i="48"/>
  <c r="AJ1038" i="48"/>
  <c r="AI1038" i="48"/>
  <c r="AH1038" i="48"/>
  <c r="M1038" i="48"/>
  <c r="L1038" i="48"/>
  <c r="K1038" i="48"/>
  <c r="AJ1037" i="48"/>
  <c r="AI1037" i="48"/>
  <c r="AH1037" i="48"/>
  <c r="M1037" i="48"/>
  <c r="L1037" i="48"/>
  <c r="K1037" i="48"/>
  <c r="AJ1036" i="48"/>
  <c r="AI1036" i="48"/>
  <c r="AH1036" i="48"/>
  <c r="M1036" i="48"/>
  <c r="L1036" i="48"/>
  <c r="K1036" i="48"/>
  <c r="AJ1035" i="48"/>
  <c r="AI1035" i="48"/>
  <c r="AH1035" i="48"/>
  <c r="M1035" i="48"/>
  <c r="L1035" i="48"/>
  <c r="K1035" i="48"/>
  <c r="AJ1034" i="48"/>
  <c r="AI1034" i="48"/>
  <c r="AH1034" i="48"/>
  <c r="M1034" i="48"/>
  <c r="L1034" i="48"/>
  <c r="K1034" i="48"/>
  <c r="AJ1033" i="48"/>
  <c r="AI1033" i="48"/>
  <c r="AH1033" i="48"/>
  <c r="M1033" i="48"/>
  <c r="L1033" i="48"/>
  <c r="K1033" i="48"/>
  <c r="AJ1032" i="48"/>
  <c r="AI1032" i="48"/>
  <c r="AH1032" i="48"/>
  <c r="M1032" i="48"/>
  <c r="L1032" i="48"/>
  <c r="K1032" i="48"/>
  <c r="AJ1031" i="48"/>
  <c r="AI1031" i="48"/>
  <c r="AH1031" i="48"/>
  <c r="M1031" i="48"/>
  <c r="L1031" i="48"/>
  <c r="K1031" i="48"/>
  <c r="AJ1030" i="48"/>
  <c r="AI1030" i="48"/>
  <c r="AH1030" i="48"/>
  <c r="M1030" i="48"/>
  <c r="L1030" i="48"/>
  <c r="K1030" i="48"/>
  <c r="AJ1029" i="48"/>
  <c r="AI1029" i="48"/>
  <c r="AH1029" i="48"/>
  <c r="M1029" i="48"/>
  <c r="L1029" i="48"/>
  <c r="K1029" i="48"/>
  <c r="AJ1028" i="48"/>
  <c r="AI1028" i="48"/>
  <c r="AH1028" i="48"/>
  <c r="M1028" i="48"/>
  <c r="L1028" i="48"/>
  <c r="K1028" i="48"/>
  <c r="AJ1027" i="48"/>
  <c r="AI1027" i="48"/>
  <c r="AH1027" i="48"/>
  <c r="M1027" i="48"/>
  <c r="L1027" i="48"/>
  <c r="K1027" i="48"/>
  <c r="AJ1026" i="48"/>
  <c r="AI1026" i="48"/>
  <c r="AH1026" i="48"/>
  <c r="M1026" i="48"/>
  <c r="L1026" i="48"/>
  <c r="K1026" i="48"/>
  <c r="AJ1025" i="48"/>
  <c r="AI1025" i="48"/>
  <c r="AH1025" i="48"/>
  <c r="M1025" i="48"/>
  <c r="L1025" i="48"/>
  <c r="K1025" i="48"/>
  <c r="AJ1024" i="48"/>
  <c r="AI1024" i="48"/>
  <c r="AH1024" i="48"/>
  <c r="M1024" i="48"/>
  <c r="L1024" i="48"/>
  <c r="K1024" i="48"/>
  <c r="AJ1023" i="48"/>
  <c r="AI1023" i="48"/>
  <c r="AH1023" i="48"/>
  <c r="M1023" i="48"/>
  <c r="L1023" i="48"/>
  <c r="K1023" i="48"/>
  <c r="AJ1022" i="48"/>
  <c r="AI1022" i="48"/>
  <c r="AH1022" i="48"/>
  <c r="M1022" i="48"/>
  <c r="L1022" i="48"/>
  <c r="K1022" i="48"/>
  <c r="AJ1021" i="48"/>
  <c r="AI1021" i="48"/>
  <c r="AH1021" i="48"/>
  <c r="M1021" i="48"/>
  <c r="L1021" i="48"/>
  <c r="K1021" i="48"/>
  <c r="AJ1020" i="48"/>
  <c r="AI1020" i="48"/>
  <c r="AH1020" i="48"/>
  <c r="M1020" i="48"/>
  <c r="L1020" i="48"/>
  <c r="K1020" i="48"/>
  <c r="AJ1019" i="48"/>
  <c r="AI1019" i="48"/>
  <c r="AH1019" i="48"/>
  <c r="M1019" i="48"/>
  <c r="L1019" i="48"/>
  <c r="K1019" i="48"/>
  <c r="AJ1018" i="48"/>
  <c r="AI1018" i="48"/>
  <c r="AH1018" i="48"/>
  <c r="M1018" i="48"/>
  <c r="L1018" i="48"/>
  <c r="K1018" i="48"/>
  <c r="AJ1017" i="48"/>
  <c r="AI1017" i="48"/>
  <c r="AH1017" i="48"/>
  <c r="M1017" i="48"/>
  <c r="L1017" i="48"/>
  <c r="K1017" i="48"/>
  <c r="AJ1016" i="48"/>
  <c r="AI1016" i="48"/>
  <c r="AH1016" i="48"/>
  <c r="M1016" i="48"/>
  <c r="L1016" i="48"/>
  <c r="K1016" i="48"/>
  <c r="AJ1015" i="48"/>
  <c r="AI1015" i="48"/>
  <c r="AH1015" i="48"/>
  <c r="M1015" i="48"/>
  <c r="L1015" i="48"/>
  <c r="K1015" i="48"/>
  <c r="AJ1014" i="48"/>
  <c r="AI1014" i="48"/>
  <c r="AH1014" i="48"/>
  <c r="M1014" i="48"/>
  <c r="L1014" i="48"/>
  <c r="K1014" i="48"/>
  <c r="AJ1013" i="48"/>
  <c r="AI1013" i="48"/>
  <c r="AH1013" i="48"/>
  <c r="M1013" i="48"/>
  <c r="L1013" i="48"/>
  <c r="K1013" i="48"/>
  <c r="AJ1012" i="48"/>
  <c r="AI1012" i="48"/>
  <c r="AH1012" i="48"/>
  <c r="M1012" i="48"/>
  <c r="L1012" i="48"/>
  <c r="K1012" i="48"/>
  <c r="AJ1011" i="48"/>
  <c r="AI1011" i="48"/>
  <c r="AH1011" i="48"/>
  <c r="M1011" i="48"/>
  <c r="L1011" i="48"/>
  <c r="K1011" i="48"/>
  <c r="AJ1010" i="48"/>
  <c r="AI1010" i="48"/>
  <c r="AH1010" i="48"/>
  <c r="M1010" i="48"/>
  <c r="L1010" i="48"/>
  <c r="K1010" i="48"/>
  <c r="AJ1009" i="48"/>
  <c r="AI1009" i="48"/>
  <c r="AH1009" i="48"/>
  <c r="M1009" i="48"/>
  <c r="L1009" i="48"/>
  <c r="K1009" i="48"/>
  <c r="AJ1008" i="48"/>
  <c r="AI1008" i="48"/>
  <c r="AH1008" i="48"/>
  <c r="M1008" i="48"/>
  <c r="L1008" i="48"/>
  <c r="K1008" i="48"/>
  <c r="AJ1007" i="48"/>
  <c r="AI1007" i="48"/>
  <c r="AH1007" i="48"/>
  <c r="M1007" i="48"/>
  <c r="L1007" i="48"/>
  <c r="K1007" i="48"/>
  <c r="AJ1006" i="48"/>
  <c r="AI1006" i="48"/>
  <c r="AH1006" i="48"/>
  <c r="M1006" i="48"/>
  <c r="L1006" i="48"/>
  <c r="K1006" i="48"/>
  <c r="AJ1005" i="48"/>
  <c r="AI1005" i="48"/>
  <c r="AH1005" i="48"/>
  <c r="M1005" i="48"/>
  <c r="L1005" i="48"/>
  <c r="K1005" i="48"/>
  <c r="AJ1004" i="48"/>
  <c r="AI1004" i="48"/>
  <c r="AH1004" i="48"/>
  <c r="M1004" i="48"/>
  <c r="L1004" i="48"/>
  <c r="K1004" i="48"/>
  <c r="AJ1003" i="48"/>
  <c r="AI1003" i="48"/>
  <c r="AH1003" i="48"/>
  <c r="M1003" i="48"/>
  <c r="L1003" i="48"/>
  <c r="K1003" i="48"/>
  <c r="AJ1002" i="48"/>
  <c r="AI1002" i="48"/>
  <c r="AH1002" i="48"/>
  <c r="M1002" i="48"/>
  <c r="L1002" i="48"/>
  <c r="K1002" i="48"/>
  <c r="AJ1001" i="48"/>
  <c r="AI1001" i="48"/>
  <c r="AH1001" i="48"/>
  <c r="M1001" i="48"/>
  <c r="L1001" i="48"/>
  <c r="K1001" i="48"/>
  <c r="AJ1000" i="48"/>
  <c r="AI1000" i="48"/>
  <c r="AH1000" i="48"/>
  <c r="M1000" i="48"/>
  <c r="L1000" i="48"/>
  <c r="K1000" i="48"/>
  <c r="AJ999" i="48"/>
  <c r="AI999" i="48"/>
  <c r="AH999" i="48"/>
  <c r="M999" i="48"/>
  <c r="L999" i="48"/>
  <c r="K999" i="48"/>
  <c r="AJ998" i="48"/>
  <c r="AI998" i="48"/>
  <c r="AH998" i="48"/>
  <c r="M998" i="48"/>
  <c r="L998" i="48"/>
  <c r="K998" i="48"/>
  <c r="AJ997" i="48"/>
  <c r="AI997" i="48"/>
  <c r="AH997" i="48"/>
  <c r="M997" i="48"/>
  <c r="L997" i="48"/>
  <c r="K997" i="48"/>
  <c r="AJ996" i="48"/>
  <c r="AI996" i="48"/>
  <c r="AH996" i="48"/>
  <c r="M996" i="48"/>
  <c r="L996" i="48"/>
  <c r="K996" i="48"/>
  <c r="AJ995" i="48"/>
  <c r="AI995" i="48"/>
  <c r="AH995" i="48"/>
  <c r="M995" i="48"/>
  <c r="L995" i="48"/>
  <c r="K995" i="48"/>
  <c r="AJ994" i="48"/>
  <c r="AI994" i="48"/>
  <c r="AH994" i="48"/>
  <c r="M994" i="48"/>
  <c r="L994" i="48"/>
  <c r="K994" i="48"/>
  <c r="AJ993" i="48"/>
  <c r="AI993" i="48"/>
  <c r="AH993" i="48"/>
  <c r="M993" i="48"/>
  <c r="L993" i="48"/>
  <c r="K993" i="48"/>
  <c r="AJ992" i="48"/>
  <c r="AI992" i="48"/>
  <c r="AH992" i="48"/>
  <c r="M992" i="48"/>
  <c r="L992" i="48"/>
  <c r="K992" i="48"/>
  <c r="AJ991" i="48"/>
  <c r="AI991" i="48"/>
  <c r="AH991" i="48"/>
  <c r="M991" i="48"/>
  <c r="L991" i="48"/>
  <c r="K991" i="48"/>
  <c r="AJ990" i="48"/>
  <c r="AI990" i="48"/>
  <c r="AH990" i="48"/>
  <c r="M990" i="48"/>
  <c r="L990" i="48"/>
  <c r="K990" i="48"/>
  <c r="AJ989" i="48"/>
  <c r="AI989" i="48"/>
  <c r="AH989" i="48"/>
  <c r="M989" i="48"/>
  <c r="L989" i="48"/>
  <c r="K989" i="48"/>
  <c r="AJ988" i="48"/>
  <c r="AI988" i="48"/>
  <c r="AH988" i="48"/>
  <c r="M988" i="48"/>
  <c r="L988" i="48"/>
  <c r="K988" i="48"/>
  <c r="AJ987" i="48"/>
  <c r="AI987" i="48"/>
  <c r="AH987" i="48"/>
  <c r="M987" i="48"/>
  <c r="L987" i="48"/>
  <c r="K987" i="48"/>
  <c r="AJ986" i="48"/>
  <c r="AI986" i="48"/>
  <c r="AH986" i="48"/>
  <c r="M986" i="48"/>
  <c r="L986" i="48"/>
  <c r="K986" i="48"/>
  <c r="AJ985" i="48"/>
  <c r="AI985" i="48"/>
  <c r="AH985" i="48"/>
  <c r="M985" i="48"/>
  <c r="L985" i="48"/>
  <c r="K985" i="48"/>
  <c r="AJ984" i="48"/>
  <c r="AI984" i="48"/>
  <c r="AH984" i="48"/>
  <c r="M984" i="48"/>
  <c r="L984" i="48"/>
  <c r="K984" i="48"/>
  <c r="AJ983" i="48"/>
  <c r="AI983" i="48"/>
  <c r="AH983" i="48"/>
  <c r="M983" i="48"/>
  <c r="L983" i="48"/>
  <c r="K983" i="48"/>
  <c r="AJ982" i="48"/>
  <c r="AI982" i="48"/>
  <c r="AH982" i="48"/>
  <c r="M982" i="48"/>
  <c r="L982" i="48"/>
  <c r="K982" i="48"/>
  <c r="AJ981" i="48"/>
  <c r="AI981" i="48"/>
  <c r="AH981" i="48"/>
  <c r="M981" i="48"/>
  <c r="L981" i="48"/>
  <c r="K981" i="48"/>
  <c r="AJ980" i="48"/>
  <c r="AI980" i="48"/>
  <c r="AH980" i="48"/>
  <c r="M980" i="48"/>
  <c r="L980" i="48"/>
  <c r="K980" i="48"/>
  <c r="AJ979" i="48"/>
  <c r="AI979" i="48"/>
  <c r="AH979" i="48"/>
  <c r="M979" i="48"/>
  <c r="L979" i="48"/>
  <c r="K979" i="48"/>
  <c r="AJ978" i="48"/>
  <c r="AI978" i="48"/>
  <c r="AH978" i="48"/>
  <c r="M978" i="48"/>
  <c r="L978" i="48"/>
  <c r="K978" i="48"/>
  <c r="AJ977" i="48"/>
  <c r="AI977" i="48"/>
  <c r="AH977" i="48"/>
  <c r="M977" i="48"/>
  <c r="L977" i="48"/>
  <c r="K977" i="48"/>
  <c r="AJ976" i="48"/>
  <c r="AI976" i="48"/>
  <c r="AH976" i="48"/>
  <c r="M976" i="48"/>
  <c r="L976" i="48"/>
  <c r="K976" i="48"/>
  <c r="AJ975" i="48"/>
  <c r="AI975" i="48"/>
  <c r="AH975" i="48"/>
  <c r="M975" i="48"/>
  <c r="L975" i="48"/>
  <c r="K975" i="48"/>
  <c r="AJ974" i="48"/>
  <c r="AI974" i="48"/>
  <c r="AH974" i="48"/>
  <c r="M974" i="48"/>
  <c r="L974" i="48"/>
  <c r="K974" i="48"/>
  <c r="AJ973" i="48"/>
  <c r="AI973" i="48"/>
  <c r="AH973" i="48"/>
  <c r="M973" i="48"/>
  <c r="L973" i="48"/>
  <c r="K973" i="48"/>
  <c r="AJ972" i="48"/>
  <c r="AI972" i="48"/>
  <c r="AH972" i="48"/>
  <c r="M972" i="48"/>
  <c r="L972" i="48"/>
  <c r="K972" i="48"/>
  <c r="AJ971" i="48"/>
  <c r="AI971" i="48"/>
  <c r="AH971" i="48"/>
  <c r="M971" i="48"/>
  <c r="L971" i="48"/>
  <c r="K971" i="48"/>
  <c r="AJ970" i="48"/>
  <c r="AI970" i="48"/>
  <c r="AH970" i="48"/>
  <c r="M970" i="48"/>
  <c r="L970" i="48"/>
  <c r="K970" i="48"/>
  <c r="AJ969" i="48"/>
  <c r="AI969" i="48"/>
  <c r="AH969" i="48"/>
  <c r="M969" i="48"/>
  <c r="L969" i="48"/>
  <c r="K969" i="48"/>
  <c r="AJ968" i="48"/>
  <c r="AI968" i="48"/>
  <c r="AH968" i="48"/>
  <c r="M968" i="48"/>
  <c r="L968" i="48"/>
  <c r="K968" i="48"/>
  <c r="AJ967" i="48"/>
  <c r="AI967" i="48"/>
  <c r="AH967" i="48"/>
  <c r="M967" i="48"/>
  <c r="L967" i="48"/>
  <c r="K967" i="48"/>
  <c r="AJ966" i="48"/>
  <c r="AI966" i="48"/>
  <c r="AH966" i="48"/>
  <c r="M966" i="48"/>
  <c r="L966" i="48"/>
  <c r="K966" i="48"/>
  <c r="AJ965" i="48"/>
  <c r="AI965" i="48"/>
  <c r="AH965" i="48"/>
  <c r="M965" i="48"/>
  <c r="L965" i="48"/>
  <c r="K965" i="48"/>
  <c r="AJ964" i="48"/>
  <c r="AI964" i="48"/>
  <c r="AH964" i="48"/>
  <c r="M964" i="48"/>
  <c r="L964" i="48"/>
  <c r="K964" i="48"/>
  <c r="AJ963" i="48"/>
  <c r="AI963" i="48"/>
  <c r="AH963" i="48"/>
  <c r="M963" i="48"/>
  <c r="L963" i="48"/>
  <c r="K963" i="48"/>
  <c r="AJ962" i="48"/>
  <c r="AI962" i="48"/>
  <c r="AH962" i="48"/>
  <c r="M962" i="48"/>
  <c r="L962" i="48"/>
  <c r="K962" i="48"/>
  <c r="AJ961" i="48"/>
  <c r="AI961" i="48"/>
  <c r="AH961" i="48"/>
  <c r="M961" i="48"/>
  <c r="L961" i="48"/>
  <c r="K961" i="48"/>
  <c r="AJ960" i="48"/>
  <c r="AI960" i="48"/>
  <c r="AH960" i="48"/>
  <c r="M960" i="48"/>
  <c r="L960" i="48"/>
  <c r="K960" i="48"/>
  <c r="AJ959" i="48"/>
  <c r="AI959" i="48"/>
  <c r="AH959" i="48"/>
  <c r="M959" i="48"/>
  <c r="L959" i="48"/>
  <c r="K959" i="48"/>
  <c r="AJ958" i="48"/>
  <c r="AI958" i="48"/>
  <c r="AH958" i="48"/>
  <c r="M958" i="48"/>
  <c r="L958" i="48"/>
  <c r="K958" i="48"/>
  <c r="AJ957" i="48"/>
  <c r="AI957" i="48"/>
  <c r="AH957" i="48"/>
  <c r="M957" i="48"/>
  <c r="L957" i="48"/>
  <c r="K957" i="48"/>
  <c r="AJ956" i="48"/>
  <c r="AI956" i="48"/>
  <c r="AH956" i="48"/>
  <c r="M956" i="48"/>
  <c r="L956" i="48"/>
  <c r="K956" i="48"/>
  <c r="AJ955" i="48"/>
  <c r="AI955" i="48"/>
  <c r="AH955" i="48"/>
  <c r="M955" i="48"/>
  <c r="L955" i="48"/>
  <c r="K955" i="48"/>
  <c r="AJ954" i="48"/>
  <c r="AI954" i="48"/>
  <c r="AH954" i="48"/>
  <c r="M954" i="48"/>
  <c r="L954" i="48"/>
  <c r="K954" i="48"/>
  <c r="AJ953" i="48"/>
  <c r="AI953" i="48"/>
  <c r="AH953" i="48"/>
  <c r="M953" i="48"/>
  <c r="L953" i="48"/>
  <c r="K953" i="48"/>
  <c r="AJ952" i="48"/>
  <c r="AI952" i="48"/>
  <c r="AH952" i="48"/>
  <c r="M952" i="48"/>
  <c r="L952" i="48"/>
  <c r="K952" i="48"/>
  <c r="AJ951" i="48"/>
  <c r="AI951" i="48"/>
  <c r="AH951" i="48"/>
  <c r="M951" i="48"/>
  <c r="L951" i="48"/>
  <c r="K951" i="48"/>
  <c r="AJ950" i="48"/>
  <c r="AI950" i="48"/>
  <c r="AH950" i="48"/>
  <c r="M950" i="48"/>
  <c r="L950" i="48"/>
  <c r="K950" i="48"/>
  <c r="AJ949" i="48"/>
  <c r="AI949" i="48"/>
  <c r="AH949" i="48"/>
  <c r="M949" i="48"/>
  <c r="L949" i="48"/>
  <c r="K949" i="48"/>
  <c r="AJ948" i="48"/>
  <c r="AI948" i="48"/>
  <c r="AH948" i="48"/>
  <c r="M948" i="48"/>
  <c r="L948" i="48"/>
  <c r="K948" i="48"/>
  <c r="AJ947" i="48"/>
  <c r="AI947" i="48"/>
  <c r="AH947" i="48"/>
  <c r="M947" i="48"/>
  <c r="L947" i="48"/>
  <c r="K947" i="48"/>
  <c r="AJ946" i="48"/>
  <c r="AI946" i="48"/>
  <c r="AH946" i="48"/>
  <c r="M946" i="48"/>
  <c r="L946" i="48"/>
  <c r="K946" i="48"/>
  <c r="AJ945" i="48"/>
  <c r="AI945" i="48"/>
  <c r="AH945" i="48"/>
  <c r="M945" i="48"/>
  <c r="L945" i="48"/>
  <c r="K945" i="48"/>
  <c r="AJ944" i="48"/>
  <c r="AI944" i="48"/>
  <c r="AH944" i="48"/>
  <c r="M944" i="48"/>
  <c r="L944" i="48"/>
  <c r="K944" i="48"/>
  <c r="AJ943" i="48"/>
  <c r="AI943" i="48"/>
  <c r="AH943" i="48"/>
  <c r="M943" i="48"/>
  <c r="L943" i="48"/>
  <c r="K943" i="48"/>
  <c r="AJ942" i="48"/>
  <c r="AI942" i="48"/>
  <c r="AH942" i="48"/>
  <c r="M942" i="48"/>
  <c r="L942" i="48"/>
  <c r="K942" i="48"/>
  <c r="AJ941" i="48"/>
  <c r="AI941" i="48"/>
  <c r="AH941" i="48"/>
  <c r="M941" i="48"/>
  <c r="L941" i="48"/>
  <c r="K941" i="48"/>
  <c r="AJ940" i="48"/>
  <c r="AI940" i="48"/>
  <c r="AH940" i="48"/>
  <c r="M940" i="48"/>
  <c r="L940" i="48"/>
  <c r="K940" i="48"/>
  <c r="AJ939" i="48"/>
  <c r="AI939" i="48"/>
  <c r="AH939" i="48"/>
  <c r="M939" i="48"/>
  <c r="L939" i="48"/>
  <c r="K939" i="48"/>
  <c r="AJ938" i="48"/>
  <c r="AI938" i="48"/>
  <c r="AH938" i="48"/>
  <c r="M938" i="48"/>
  <c r="L938" i="48"/>
  <c r="K938" i="48"/>
  <c r="AJ937" i="48"/>
  <c r="AI937" i="48"/>
  <c r="AH937" i="48"/>
  <c r="M937" i="48"/>
  <c r="L937" i="48"/>
  <c r="K937" i="48"/>
  <c r="AJ936" i="48"/>
  <c r="AI936" i="48"/>
  <c r="AH936" i="48"/>
  <c r="M936" i="48"/>
  <c r="L936" i="48"/>
  <c r="K936" i="48"/>
  <c r="AJ935" i="48"/>
  <c r="AI935" i="48"/>
  <c r="AH935" i="48"/>
  <c r="M935" i="48"/>
  <c r="L935" i="48"/>
  <c r="K935" i="48"/>
  <c r="AJ934" i="48"/>
  <c r="AI934" i="48"/>
  <c r="AH934" i="48"/>
  <c r="M934" i="48"/>
  <c r="L934" i="48"/>
  <c r="K934" i="48"/>
  <c r="AJ933" i="48"/>
  <c r="AI933" i="48"/>
  <c r="AH933" i="48"/>
  <c r="M933" i="48"/>
  <c r="L933" i="48"/>
  <c r="K933" i="48"/>
  <c r="AJ932" i="48"/>
  <c r="AI932" i="48"/>
  <c r="AH932" i="48"/>
  <c r="M932" i="48"/>
  <c r="L932" i="48"/>
  <c r="K932" i="48"/>
  <c r="AJ931" i="48"/>
  <c r="AI931" i="48"/>
  <c r="AH931" i="48"/>
  <c r="M931" i="48"/>
  <c r="L931" i="48"/>
  <c r="K931" i="48"/>
  <c r="AJ930" i="48"/>
  <c r="AI930" i="48"/>
  <c r="AH930" i="48"/>
  <c r="M930" i="48"/>
  <c r="L930" i="48"/>
  <c r="K930" i="48"/>
  <c r="AJ929" i="48"/>
  <c r="AI929" i="48"/>
  <c r="AH929" i="48"/>
  <c r="M929" i="48"/>
  <c r="L929" i="48"/>
  <c r="K929" i="48"/>
  <c r="AJ928" i="48"/>
  <c r="AI928" i="48"/>
  <c r="AH928" i="48"/>
  <c r="M928" i="48"/>
  <c r="L928" i="48"/>
  <c r="K928" i="48"/>
  <c r="AJ927" i="48"/>
  <c r="AI927" i="48"/>
  <c r="AH927" i="48"/>
  <c r="M927" i="48"/>
  <c r="L927" i="48"/>
  <c r="K927" i="48"/>
  <c r="AJ926" i="48"/>
  <c r="AI926" i="48"/>
  <c r="AH926" i="48"/>
  <c r="M926" i="48"/>
  <c r="L926" i="48"/>
  <c r="K926" i="48"/>
  <c r="AJ925" i="48"/>
  <c r="AI925" i="48"/>
  <c r="AH925" i="48"/>
  <c r="M925" i="48"/>
  <c r="L925" i="48"/>
  <c r="K925" i="48"/>
  <c r="AJ924" i="48"/>
  <c r="AI924" i="48"/>
  <c r="AH924" i="48"/>
  <c r="M924" i="48"/>
  <c r="L924" i="48"/>
  <c r="K924" i="48"/>
  <c r="AJ923" i="48"/>
  <c r="AI923" i="48"/>
  <c r="AH923" i="48"/>
  <c r="M923" i="48"/>
  <c r="L923" i="48"/>
  <c r="K923" i="48"/>
  <c r="AJ922" i="48"/>
  <c r="AI922" i="48"/>
  <c r="AH922" i="48"/>
  <c r="M922" i="48"/>
  <c r="L922" i="48"/>
  <c r="K922" i="48"/>
  <c r="AJ921" i="48"/>
  <c r="AI921" i="48"/>
  <c r="AH921" i="48"/>
  <c r="M921" i="48"/>
  <c r="L921" i="48"/>
  <c r="K921" i="48"/>
  <c r="AJ920" i="48"/>
  <c r="AI920" i="48"/>
  <c r="AH920" i="48"/>
  <c r="M920" i="48"/>
  <c r="L920" i="48"/>
  <c r="K920" i="48"/>
  <c r="AJ919" i="48"/>
  <c r="AI919" i="48"/>
  <c r="AH919" i="48"/>
  <c r="M919" i="48"/>
  <c r="L919" i="48"/>
  <c r="K919" i="48"/>
  <c r="AJ918" i="48"/>
  <c r="AI918" i="48"/>
  <c r="AH918" i="48"/>
  <c r="M918" i="48"/>
  <c r="L918" i="48"/>
  <c r="K918" i="48"/>
  <c r="AJ917" i="48"/>
  <c r="AI917" i="48"/>
  <c r="AH917" i="48"/>
  <c r="M917" i="48"/>
  <c r="L917" i="48"/>
  <c r="K917" i="48"/>
  <c r="AJ916" i="48"/>
  <c r="AI916" i="48"/>
  <c r="AH916" i="48"/>
  <c r="M916" i="48"/>
  <c r="L916" i="48"/>
  <c r="K916" i="48"/>
  <c r="AJ915" i="48"/>
  <c r="AI915" i="48"/>
  <c r="AH915" i="48"/>
  <c r="M915" i="48"/>
  <c r="L915" i="48"/>
  <c r="K915" i="48"/>
  <c r="AJ914" i="48"/>
  <c r="AI914" i="48"/>
  <c r="AH914" i="48"/>
  <c r="M914" i="48"/>
  <c r="L914" i="48"/>
  <c r="K914" i="48"/>
  <c r="AJ913" i="48"/>
  <c r="AI913" i="48"/>
  <c r="AH913" i="48"/>
  <c r="M913" i="48"/>
  <c r="L913" i="48"/>
  <c r="K913" i="48"/>
  <c r="AJ912" i="48"/>
  <c r="AI912" i="48"/>
  <c r="AH912" i="48"/>
  <c r="M912" i="48"/>
  <c r="L912" i="48"/>
  <c r="K912" i="48"/>
  <c r="AJ911" i="48"/>
  <c r="AI911" i="48"/>
  <c r="AH911" i="48"/>
  <c r="M911" i="48"/>
  <c r="L911" i="48"/>
  <c r="K911" i="48"/>
  <c r="AJ910" i="48"/>
  <c r="AI910" i="48"/>
  <c r="AH910" i="48"/>
  <c r="M910" i="48"/>
  <c r="L910" i="48"/>
  <c r="K910" i="48"/>
  <c r="AJ909" i="48"/>
  <c r="AI909" i="48"/>
  <c r="AH909" i="48"/>
  <c r="M909" i="48"/>
  <c r="L909" i="48"/>
  <c r="K909" i="48"/>
  <c r="AJ908" i="48"/>
  <c r="AI908" i="48"/>
  <c r="AH908" i="48"/>
  <c r="M908" i="48"/>
  <c r="L908" i="48"/>
  <c r="K908" i="48"/>
  <c r="AJ907" i="48"/>
  <c r="AI907" i="48"/>
  <c r="AH907" i="48"/>
  <c r="M907" i="48"/>
  <c r="L907" i="48"/>
  <c r="K907" i="48"/>
  <c r="AJ906" i="48"/>
  <c r="AI906" i="48"/>
  <c r="AH906" i="48"/>
  <c r="M906" i="48"/>
  <c r="L906" i="48"/>
  <c r="K906" i="48"/>
  <c r="AJ905" i="48"/>
  <c r="AI905" i="48"/>
  <c r="AH905" i="48"/>
  <c r="M905" i="48"/>
  <c r="L905" i="48"/>
  <c r="K905" i="48"/>
  <c r="AJ904" i="48"/>
  <c r="AI904" i="48"/>
  <c r="AH904" i="48"/>
  <c r="M904" i="48"/>
  <c r="L904" i="48"/>
  <c r="K904" i="48"/>
  <c r="AJ903" i="48"/>
  <c r="AI903" i="48"/>
  <c r="AH903" i="48"/>
  <c r="M903" i="48"/>
  <c r="L903" i="48"/>
  <c r="K903" i="48"/>
  <c r="AJ902" i="48"/>
  <c r="AI902" i="48"/>
  <c r="AH902" i="48"/>
  <c r="M902" i="48"/>
  <c r="L902" i="48"/>
  <c r="K902" i="48"/>
  <c r="AJ901" i="48"/>
  <c r="AI901" i="48"/>
  <c r="AH901" i="48"/>
  <c r="M901" i="48"/>
  <c r="L901" i="48"/>
  <c r="K901" i="48"/>
  <c r="AJ900" i="48"/>
  <c r="AI900" i="48"/>
  <c r="AH900" i="48"/>
  <c r="M900" i="48"/>
  <c r="L900" i="48"/>
  <c r="K900" i="48"/>
  <c r="AJ899" i="48"/>
  <c r="AI899" i="48"/>
  <c r="AH899" i="48"/>
  <c r="M899" i="48"/>
  <c r="L899" i="48"/>
  <c r="K899" i="48"/>
  <c r="AJ898" i="48"/>
  <c r="AI898" i="48"/>
  <c r="AH898" i="48"/>
  <c r="M898" i="48"/>
  <c r="L898" i="48"/>
  <c r="K898" i="48"/>
  <c r="AJ897" i="48"/>
  <c r="AI897" i="48"/>
  <c r="AH897" i="48"/>
  <c r="M897" i="48"/>
  <c r="L897" i="48"/>
  <c r="K897" i="48"/>
  <c r="AJ896" i="48"/>
  <c r="AI896" i="48"/>
  <c r="AH896" i="48"/>
  <c r="M896" i="48"/>
  <c r="L896" i="48"/>
  <c r="K896" i="48"/>
  <c r="AJ895" i="48"/>
  <c r="AI895" i="48"/>
  <c r="AH895" i="48"/>
  <c r="M895" i="48"/>
  <c r="L895" i="48"/>
  <c r="K895" i="48"/>
  <c r="AJ894" i="48"/>
  <c r="AI894" i="48"/>
  <c r="AH894" i="48"/>
  <c r="M894" i="48"/>
  <c r="L894" i="48"/>
  <c r="K894" i="48"/>
  <c r="AJ893" i="48"/>
  <c r="AI893" i="48"/>
  <c r="AH893" i="48"/>
  <c r="M893" i="48"/>
  <c r="L893" i="48"/>
  <c r="K893" i="48"/>
  <c r="AJ892" i="48"/>
  <c r="AI892" i="48"/>
  <c r="AH892" i="48"/>
  <c r="M892" i="48"/>
  <c r="L892" i="48"/>
  <c r="K892" i="48"/>
  <c r="AJ891" i="48"/>
  <c r="AI891" i="48"/>
  <c r="AH891" i="48"/>
  <c r="M891" i="48"/>
  <c r="L891" i="48"/>
  <c r="K891" i="48"/>
  <c r="AJ890" i="48"/>
  <c r="AI890" i="48"/>
  <c r="AH890" i="48"/>
  <c r="M890" i="48"/>
  <c r="L890" i="48"/>
  <c r="K890" i="48"/>
  <c r="AJ889" i="48"/>
  <c r="AI889" i="48"/>
  <c r="AH889" i="48"/>
  <c r="M889" i="48"/>
  <c r="L889" i="48"/>
  <c r="K889" i="48"/>
  <c r="AJ888" i="48"/>
  <c r="AI888" i="48"/>
  <c r="AH888" i="48"/>
  <c r="M888" i="48"/>
  <c r="L888" i="48"/>
  <c r="K888" i="48"/>
  <c r="AJ887" i="48"/>
  <c r="AI887" i="48"/>
  <c r="AH887" i="48"/>
  <c r="M887" i="48"/>
  <c r="L887" i="48"/>
  <c r="K887" i="48"/>
  <c r="AJ886" i="48"/>
  <c r="AI886" i="48"/>
  <c r="AH886" i="48"/>
  <c r="M886" i="48"/>
  <c r="L886" i="48"/>
  <c r="K886" i="48"/>
  <c r="AJ885" i="48"/>
  <c r="AI885" i="48"/>
  <c r="AH885" i="48"/>
  <c r="M885" i="48"/>
  <c r="L885" i="48"/>
  <c r="K885" i="48"/>
  <c r="AJ884" i="48"/>
  <c r="AI884" i="48"/>
  <c r="AH884" i="48"/>
  <c r="M884" i="48"/>
  <c r="L884" i="48"/>
  <c r="K884" i="48"/>
  <c r="AJ883" i="48"/>
  <c r="AI883" i="48"/>
  <c r="AH883" i="48"/>
  <c r="M883" i="48"/>
  <c r="L883" i="48"/>
  <c r="K883" i="48"/>
  <c r="AJ882" i="48"/>
  <c r="AI882" i="48"/>
  <c r="AH882" i="48"/>
  <c r="M882" i="48"/>
  <c r="L882" i="48"/>
  <c r="K882" i="48"/>
  <c r="AJ881" i="48"/>
  <c r="AI881" i="48"/>
  <c r="AH881" i="48"/>
  <c r="M881" i="48"/>
  <c r="L881" i="48"/>
  <c r="K881" i="48"/>
  <c r="AJ880" i="48"/>
  <c r="AI880" i="48"/>
  <c r="AH880" i="48"/>
  <c r="M880" i="48"/>
  <c r="L880" i="48"/>
  <c r="K880" i="48"/>
  <c r="AJ879" i="48"/>
  <c r="AI879" i="48"/>
  <c r="AH879" i="48"/>
  <c r="M879" i="48"/>
  <c r="L879" i="48"/>
  <c r="K879" i="48"/>
  <c r="AJ878" i="48"/>
  <c r="AI878" i="48"/>
  <c r="AH878" i="48"/>
  <c r="M878" i="48"/>
  <c r="L878" i="48"/>
  <c r="K878" i="48"/>
  <c r="AJ877" i="48"/>
  <c r="AI877" i="48"/>
  <c r="AH877" i="48"/>
  <c r="M877" i="48"/>
  <c r="L877" i="48"/>
  <c r="K877" i="48"/>
  <c r="AJ876" i="48"/>
  <c r="AI876" i="48"/>
  <c r="AH876" i="48"/>
  <c r="M876" i="48"/>
  <c r="L876" i="48"/>
  <c r="K876" i="48"/>
  <c r="AJ875" i="48"/>
  <c r="AI875" i="48"/>
  <c r="AH875" i="48"/>
  <c r="M875" i="48"/>
  <c r="L875" i="48"/>
  <c r="K875" i="48"/>
  <c r="AJ874" i="48"/>
  <c r="AI874" i="48"/>
  <c r="AH874" i="48"/>
  <c r="M874" i="48"/>
  <c r="L874" i="48"/>
  <c r="K874" i="48"/>
  <c r="AJ873" i="48"/>
  <c r="AI873" i="48"/>
  <c r="AH873" i="48"/>
  <c r="M873" i="48"/>
  <c r="L873" i="48"/>
  <c r="K873" i="48"/>
  <c r="AJ872" i="48"/>
  <c r="AI872" i="48"/>
  <c r="AH872" i="48"/>
  <c r="M872" i="48"/>
  <c r="L872" i="48"/>
  <c r="K872" i="48"/>
  <c r="AJ871" i="48"/>
  <c r="AI871" i="48"/>
  <c r="AH871" i="48"/>
  <c r="M871" i="48"/>
  <c r="L871" i="48"/>
  <c r="K871" i="48"/>
  <c r="AJ870" i="48"/>
  <c r="AI870" i="48"/>
  <c r="AH870" i="48"/>
  <c r="M870" i="48"/>
  <c r="L870" i="48"/>
  <c r="K870" i="48"/>
  <c r="AJ869" i="48"/>
  <c r="AI869" i="48"/>
  <c r="AH869" i="48"/>
  <c r="M869" i="48"/>
  <c r="L869" i="48"/>
  <c r="K869" i="48"/>
  <c r="AJ868" i="48"/>
  <c r="AI868" i="48"/>
  <c r="AH868" i="48"/>
  <c r="M868" i="48"/>
  <c r="L868" i="48"/>
  <c r="K868" i="48"/>
  <c r="AJ867" i="48"/>
  <c r="AI867" i="48"/>
  <c r="AH867" i="48"/>
  <c r="M867" i="48"/>
  <c r="L867" i="48"/>
  <c r="K867" i="48"/>
  <c r="AJ866" i="48"/>
  <c r="AI866" i="48"/>
  <c r="AH866" i="48"/>
  <c r="M866" i="48"/>
  <c r="L866" i="48"/>
  <c r="K866" i="48"/>
  <c r="AJ865" i="48"/>
  <c r="AI865" i="48"/>
  <c r="AH865" i="48"/>
  <c r="M865" i="48"/>
  <c r="L865" i="48"/>
  <c r="K865" i="48"/>
  <c r="AJ864" i="48"/>
  <c r="AI864" i="48"/>
  <c r="AH864" i="48"/>
  <c r="M864" i="48"/>
  <c r="L864" i="48"/>
  <c r="K864" i="48"/>
  <c r="AJ863" i="48"/>
  <c r="AI863" i="48"/>
  <c r="AH863" i="48"/>
  <c r="M863" i="48"/>
  <c r="L863" i="48"/>
  <c r="K863" i="48"/>
  <c r="AJ862" i="48"/>
  <c r="AI862" i="48"/>
  <c r="AH862" i="48"/>
  <c r="M862" i="48"/>
  <c r="L862" i="48"/>
  <c r="K862" i="48"/>
  <c r="AJ861" i="48"/>
  <c r="AI861" i="48"/>
  <c r="AH861" i="48"/>
  <c r="M861" i="48"/>
  <c r="L861" i="48"/>
  <c r="K861" i="48"/>
  <c r="AJ860" i="48"/>
  <c r="AI860" i="48"/>
  <c r="AH860" i="48"/>
  <c r="M860" i="48"/>
  <c r="L860" i="48"/>
  <c r="K860" i="48"/>
  <c r="AJ859" i="48"/>
  <c r="AI859" i="48"/>
  <c r="AH859" i="48"/>
  <c r="M859" i="48"/>
  <c r="L859" i="48"/>
  <c r="K859" i="48"/>
  <c r="AJ858" i="48"/>
  <c r="AI858" i="48"/>
  <c r="AH858" i="48"/>
  <c r="M858" i="48"/>
  <c r="L858" i="48"/>
  <c r="K858" i="48"/>
  <c r="AJ857" i="48"/>
  <c r="AI857" i="48"/>
  <c r="AH857" i="48"/>
  <c r="M857" i="48"/>
  <c r="L857" i="48"/>
  <c r="K857" i="48"/>
  <c r="AJ856" i="48"/>
  <c r="AI856" i="48"/>
  <c r="AH856" i="48"/>
  <c r="M856" i="48"/>
  <c r="L856" i="48"/>
  <c r="K856" i="48"/>
  <c r="AJ855" i="48"/>
  <c r="AI855" i="48"/>
  <c r="AH855" i="48"/>
  <c r="M855" i="48"/>
  <c r="L855" i="48"/>
  <c r="K855" i="48"/>
  <c r="AJ854" i="48"/>
  <c r="AI854" i="48"/>
  <c r="AH854" i="48"/>
  <c r="M854" i="48"/>
  <c r="L854" i="48"/>
  <c r="K854" i="48"/>
  <c r="AJ853" i="48"/>
  <c r="AI853" i="48"/>
  <c r="AH853" i="48"/>
  <c r="M853" i="48"/>
  <c r="L853" i="48"/>
  <c r="K853" i="48"/>
  <c r="AJ852" i="48"/>
  <c r="AI852" i="48"/>
  <c r="AH852" i="48"/>
  <c r="M852" i="48"/>
  <c r="L852" i="48"/>
  <c r="K852" i="48"/>
  <c r="AJ851" i="48"/>
  <c r="AI851" i="48"/>
  <c r="AH851" i="48"/>
  <c r="M851" i="48"/>
  <c r="L851" i="48"/>
  <c r="K851" i="48"/>
  <c r="AJ850" i="48"/>
  <c r="AI850" i="48"/>
  <c r="AH850" i="48"/>
  <c r="M850" i="48"/>
  <c r="L850" i="48"/>
  <c r="K850" i="48"/>
  <c r="AJ849" i="48"/>
  <c r="AI849" i="48"/>
  <c r="AH849" i="48"/>
  <c r="M849" i="48"/>
  <c r="L849" i="48"/>
  <c r="K849" i="48"/>
  <c r="AJ848" i="48"/>
  <c r="AI848" i="48"/>
  <c r="AH848" i="48"/>
  <c r="M848" i="48"/>
  <c r="L848" i="48"/>
  <c r="K848" i="48"/>
  <c r="AJ847" i="48"/>
  <c r="AI847" i="48"/>
  <c r="AH847" i="48"/>
  <c r="M847" i="48"/>
  <c r="L847" i="48"/>
  <c r="K847" i="48"/>
  <c r="AJ846" i="48"/>
  <c r="AI846" i="48"/>
  <c r="AH846" i="48"/>
  <c r="M846" i="48"/>
  <c r="L846" i="48"/>
  <c r="K846" i="48"/>
  <c r="AJ845" i="48"/>
  <c r="AI845" i="48"/>
  <c r="AH845" i="48"/>
  <c r="M845" i="48"/>
  <c r="L845" i="48"/>
  <c r="K845" i="48"/>
  <c r="AJ844" i="48"/>
  <c r="AI844" i="48"/>
  <c r="AH844" i="48"/>
  <c r="M844" i="48"/>
  <c r="L844" i="48"/>
  <c r="K844" i="48"/>
  <c r="AJ843" i="48"/>
  <c r="AI843" i="48"/>
  <c r="AH843" i="48"/>
  <c r="M843" i="48"/>
  <c r="L843" i="48"/>
  <c r="K843" i="48"/>
  <c r="AJ842" i="48"/>
  <c r="AI842" i="48"/>
  <c r="AH842" i="48"/>
  <c r="M842" i="48"/>
  <c r="L842" i="48"/>
  <c r="K842" i="48"/>
  <c r="AJ841" i="48"/>
  <c r="AI841" i="48"/>
  <c r="AH841" i="48"/>
  <c r="M841" i="48"/>
  <c r="L841" i="48"/>
  <c r="K841" i="48"/>
  <c r="AJ840" i="48"/>
  <c r="AI840" i="48"/>
  <c r="AH840" i="48"/>
  <c r="M840" i="48"/>
  <c r="L840" i="48"/>
  <c r="K840" i="48"/>
  <c r="AJ839" i="48"/>
  <c r="AI839" i="48"/>
  <c r="AH839" i="48"/>
  <c r="M839" i="48"/>
  <c r="L839" i="48"/>
  <c r="K839" i="48"/>
  <c r="AJ838" i="48"/>
  <c r="AI838" i="48"/>
  <c r="AH838" i="48"/>
  <c r="M838" i="48"/>
  <c r="L838" i="48"/>
  <c r="K838" i="48"/>
  <c r="AJ837" i="48"/>
  <c r="AI837" i="48"/>
  <c r="AH837" i="48"/>
  <c r="M837" i="48"/>
  <c r="L837" i="48"/>
  <c r="K837" i="48"/>
  <c r="AJ836" i="48"/>
  <c r="AI836" i="48"/>
  <c r="AH836" i="48"/>
  <c r="M836" i="48"/>
  <c r="L836" i="48"/>
  <c r="K836" i="48"/>
  <c r="AJ835" i="48"/>
  <c r="AI835" i="48"/>
  <c r="AH835" i="48"/>
  <c r="M835" i="48"/>
  <c r="L835" i="48"/>
  <c r="K835" i="48"/>
  <c r="AJ834" i="48"/>
  <c r="AI834" i="48"/>
  <c r="AH834" i="48"/>
  <c r="M834" i="48"/>
  <c r="L834" i="48"/>
  <c r="K834" i="48"/>
  <c r="AJ833" i="48"/>
  <c r="AI833" i="48"/>
  <c r="AH833" i="48"/>
  <c r="M833" i="48"/>
  <c r="L833" i="48"/>
  <c r="K833" i="48"/>
  <c r="AJ832" i="48"/>
  <c r="AI832" i="48"/>
  <c r="AH832" i="48"/>
  <c r="M832" i="48"/>
  <c r="L832" i="48"/>
  <c r="K832" i="48"/>
  <c r="AJ831" i="48"/>
  <c r="AI831" i="48"/>
  <c r="AH831" i="48"/>
  <c r="M831" i="48"/>
  <c r="L831" i="48"/>
  <c r="K831" i="48"/>
  <c r="AJ830" i="48"/>
  <c r="AI830" i="48"/>
  <c r="AH830" i="48"/>
  <c r="M830" i="48"/>
  <c r="L830" i="48"/>
  <c r="K830" i="48"/>
  <c r="AJ829" i="48"/>
  <c r="AI829" i="48"/>
  <c r="AH829" i="48"/>
  <c r="M829" i="48"/>
  <c r="L829" i="48"/>
  <c r="K829" i="48"/>
  <c r="AJ828" i="48"/>
  <c r="AI828" i="48"/>
  <c r="AH828" i="48"/>
  <c r="M828" i="48"/>
  <c r="L828" i="48"/>
  <c r="K828" i="48"/>
  <c r="AJ827" i="48"/>
  <c r="AI827" i="48"/>
  <c r="AH827" i="48"/>
  <c r="M827" i="48"/>
  <c r="L827" i="48"/>
  <c r="K827" i="48"/>
  <c r="AJ826" i="48"/>
  <c r="AI826" i="48"/>
  <c r="AH826" i="48"/>
  <c r="M826" i="48"/>
  <c r="L826" i="48"/>
  <c r="K826" i="48"/>
  <c r="AJ825" i="48"/>
  <c r="AI825" i="48"/>
  <c r="AH825" i="48"/>
  <c r="M825" i="48"/>
  <c r="L825" i="48"/>
  <c r="K825" i="48"/>
  <c r="AJ824" i="48"/>
  <c r="AI824" i="48"/>
  <c r="AH824" i="48"/>
  <c r="M824" i="48"/>
  <c r="L824" i="48"/>
  <c r="K824" i="48"/>
  <c r="AJ823" i="48"/>
  <c r="AI823" i="48"/>
  <c r="AH823" i="48"/>
  <c r="M823" i="48"/>
  <c r="L823" i="48"/>
  <c r="K823" i="48"/>
  <c r="AJ822" i="48"/>
  <c r="AI822" i="48"/>
  <c r="AH822" i="48"/>
  <c r="M822" i="48"/>
  <c r="L822" i="48"/>
  <c r="K822" i="48"/>
  <c r="AJ821" i="48"/>
  <c r="AI821" i="48"/>
  <c r="AH821" i="48"/>
  <c r="M821" i="48"/>
  <c r="L821" i="48"/>
  <c r="K821" i="48"/>
  <c r="AJ820" i="48"/>
  <c r="AI820" i="48"/>
  <c r="AH820" i="48"/>
  <c r="M820" i="48"/>
  <c r="L820" i="48"/>
  <c r="K820" i="48"/>
  <c r="AJ819" i="48"/>
  <c r="AI819" i="48"/>
  <c r="AH819" i="48"/>
  <c r="M819" i="48"/>
  <c r="L819" i="48"/>
  <c r="K819" i="48"/>
  <c r="AJ818" i="48"/>
  <c r="AI818" i="48"/>
  <c r="AH818" i="48"/>
  <c r="M818" i="48"/>
  <c r="L818" i="48"/>
  <c r="K818" i="48"/>
  <c r="AJ817" i="48"/>
  <c r="AI817" i="48"/>
  <c r="AH817" i="48"/>
  <c r="M817" i="48"/>
  <c r="L817" i="48"/>
  <c r="K817" i="48"/>
  <c r="AJ816" i="48"/>
  <c r="AI816" i="48"/>
  <c r="AH816" i="48"/>
  <c r="M816" i="48"/>
  <c r="L816" i="48"/>
  <c r="K816" i="48"/>
  <c r="AJ815" i="48"/>
  <c r="AI815" i="48"/>
  <c r="AH815" i="48"/>
  <c r="M815" i="48"/>
  <c r="L815" i="48"/>
  <c r="K815" i="48"/>
  <c r="AJ814" i="48"/>
  <c r="AI814" i="48"/>
  <c r="AH814" i="48"/>
  <c r="M814" i="48"/>
  <c r="L814" i="48"/>
  <c r="K814" i="48"/>
  <c r="AJ813" i="48"/>
  <c r="AI813" i="48"/>
  <c r="AH813" i="48"/>
  <c r="M813" i="48"/>
  <c r="L813" i="48"/>
  <c r="K813" i="48"/>
  <c r="AJ812" i="48"/>
  <c r="AI812" i="48"/>
  <c r="AH812" i="48"/>
  <c r="M812" i="48"/>
  <c r="L812" i="48"/>
  <c r="K812" i="48"/>
  <c r="AJ811" i="48"/>
  <c r="AI811" i="48"/>
  <c r="AH811" i="48"/>
  <c r="M811" i="48"/>
  <c r="L811" i="48"/>
  <c r="K811" i="48"/>
  <c r="AJ810" i="48"/>
  <c r="AI810" i="48"/>
  <c r="AH810" i="48"/>
  <c r="M810" i="48"/>
  <c r="L810" i="48"/>
  <c r="K810" i="48"/>
  <c r="AJ809" i="48"/>
  <c r="AI809" i="48"/>
  <c r="AH809" i="48"/>
  <c r="M809" i="48"/>
  <c r="L809" i="48"/>
  <c r="K809" i="48"/>
  <c r="AJ808" i="48"/>
  <c r="AI808" i="48"/>
  <c r="AH808" i="48"/>
  <c r="M808" i="48"/>
  <c r="L808" i="48"/>
  <c r="K808" i="48"/>
  <c r="AJ807" i="48"/>
  <c r="AI807" i="48"/>
  <c r="AH807" i="48"/>
  <c r="M807" i="48"/>
  <c r="L807" i="48"/>
  <c r="K807" i="48"/>
  <c r="AJ806" i="48"/>
  <c r="AI806" i="48"/>
  <c r="AH806" i="48"/>
  <c r="M806" i="48"/>
  <c r="L806" i="48"/>
  <c r="K806" i="48"/>
  <c r="AJ805" i="48"/>
  <c r="AI805" i="48"/>
  <c r="AH805" i="48"/>
  <c r="M805" i="48"/>
  <c r="L805" i="48"/>
  <c r="K805" i="48"/>
  <c r="AJ804" i="48"/>
  <c r="AI804" i="48"/>
  <c r="AH804" i="48"/>
  <c r="M804" i="48"/>
  <c r="L804" i="48"/>
  <c r="K804" i="48"/>
  <c r="AJ803" i="48"/>
  <c r="AI803" i="48"/>
  <c r="AH803" i="48"/>
  <c r="M803" i="48"/>
  <c r="L803" i="48"/>
  <c r="K803" i="48"/>
  <c r="AJ802" i="48"/>
  <c r="AI802" i="48"/>
  <c r="AH802" i="48"/>
  <c r="M802" i="48"/>
  <c r="L802" i="48"/>
  <c r="K802" i="48"/>
  <c r="AJ801" i="48"/>
  <c r="AI801" i="48"/>
  <c r="AH801" i="48"/>
  <c r="M801" i="48"/>
  <c r="L801" i="48"/>
  <c r="K801" i="48"/>
  <c r="AJ800" i="48"/>
  <c r="AI800" i="48"/>
  <c r="AH800" i="48"/>
  <c r="M800" i="48"/>
  <c r="L800" i="48"/>
  <c r="K800" i="48"/>
  <c r="AJ799" i="48"/>
  <c r="AI799" i="48"/>
  <c r="AH799" i="48"/>
  <c r="M799" i="48"/>
  <c r="L799" i="48"/>
  <c r="K799" i="48"/>
  <c r="AJ798" i="48"/>
  <c r="AI798" i="48"/>
  <c r="AH798" i="48"/>
  <c r="M798" i="48"/>
  <c r="L798" i="48"/>
  <c r="K798" i="48"/>
  <c r="AJ797" i="48"/>
  <c r="AI797" i="48"/>
  <c r="AH797" i="48"/>
  <c r="M797" i="48"/>
  <c r="L797" i="48"/>
  <c r="K797" i="48"/>
  <c r="AJ796" i="48"/>
  <c r="AI796" i="48"/>
  <c r="AH796" i="48"/>
  <c r="M796" i="48"/>
  <c r="L796" i="48"/>
  <c r="K796" i="48"/>
  <c r="AJ795" i="48"/>
  <c r="AI795" i="48"/>
  <c r="AH795" i="48"/>
  <c r="M795" i="48"/>
  <c r="L795" i="48"/>
  <c r="K795" i="48"/>
  <c r="AJ794" i="48"/>
  <c r="AI794" i="48"/>
  <c r="AH794" i="48"/>
  <c r="M794" i="48"/>
  <c r="L794" i="48"/>
  <c r="K794" i="48"/>
  <c r="AJ793" i="48"/>
  <c r="AI793" i="48"/>
  <c r="AH793" i="48"/>
  <c r="M793" i="48"/>
  <c r="L793" i="48"/>
  <c r="K793" i="48"/>
  <c r="AJ792" i="48"/>
  <c r="AI792" i="48"/>
  <c r="AH792" i="48"/>
  <c r="M792" i="48"/>
  <c r="L792" i="48"/>
  <c r="K792" i="48"/>
  <c r="AJ791" i="48"/>
  <c r="AI791" i="48"/>
  <c r="AH791" i="48"/>
  <c r="M791" i="48"/>
  <c r="L791" i="48"/>
  <c r="K791" i="48"/>
  <c r="AJ790" i="48"/>
  <c r="AI790" i="48"/>
  <c r="AH790" i="48"/>
  <c r="M790" i="48"/>
  <c r="L790" i="48"/>
  <c r="K790" i="48"/>
  <c r="AJ789" i="48"/>
  <c r="AI789" i="48"/>
  <c r="AH789" i="48"/>
  <c r="M789" i="48"/>
  <c r="L789" i="48"/>
  <c r="K789" i="48"/>
  <c r="AJ788" i="48"/>
  <c r="AI788" i="48"/>
  <c r="AH788" i="48"/>
  <c r="M788" i="48"/>
  <c r="L788" i="48"/>
  <c r="K788" i="48"/>
  <c r="AJ787" i="48"/>
  <c r="AI787" i="48"/>
  <c r="AH787" i="48"/>
  <c r="M787" i="48"/>
  <c r="L787" i="48"/>
  <c r="K787" i="48"/>
  <c r="AJ786" i="48"/>
  <c r="AI786" i="48"/>
  <c r="AH786" i="48"/>
  <c r="M786" i="48"/>
  <c r="L786" i="48"/>
  <c r="K786" i="48"/>
  <c r="AJ785" i="48"/>
  <c r="AI785" i="48"/>
  <c r="AH785" i="48"/>
  <c r="M785" i="48"/>
  <c r="L785" i="48"/>
  <c r="K785" i="48"/>
  <c r="AJ784" i="48"/>
  <c r="AI784" i="48"/>
  <c r="AH784" i="48"/>
  <c r="M784" i="48"/>
  <c r="L784" i="48"/>
  <c r="K784" i="48"/>
  <c r="AJ783" i="48"/>
  <c r="AI783" i="48"/>
  <c r="AH783" i="48"/>
  <c r="M783" i="48"/>
  <c r="L783" i="48"/>
  <c r="K783" i="48"/>
  <c r="AJ782" i="48"/>
  <c r="AI782" i="48"/>
  <c r="AH782" i="48"/>
  <c r="M782" i="48"/>
  <c r="L782" i="48"/>
  <c r="K782" i="48"/>
  <c r="AJ781" i="48"/>
  <c r="AI781" i="48"/>
  <c r="AH781" i="48"/>
  <c r="M781" i="48"/>
  <c r="L781" i="48"/>
  <c r="K781" i="48"/>
  <c r="AJ780" i="48"/>
  <c r="AI780" i="48"/>
  <c r="AH780" i="48"/>
  <c r="M780" i="48"/>
  <c r="L780" i="48"/>
  <c r="K780" i="48"/>
  <c r="AJ779" i="48"/>
  <c r="AI779" i="48"/>
  <c r="AH779" i="48"/>
  <c r="M779" i="48"/>
  <c r="L779" i="48"/>
  <c r="K779" i="48"/>
  <c r="AJ778" i="48"/>
  <c r="AI778" i="48"/>
  <c r="AH778" i="48"/>
  <c r="M778" i="48"/>
  <c r="L778" i="48"/>
  <c r="K778" i="48"/>
  <c r="AJ777" i="48"/>
  <c r="AI777" i="48"/>
  <c r="AH777" i="48"/>
  <c r="M777" i="48"/>
  <c r="L777" i="48"/>
  <c r="K777" i="48"/>
  <c r="AJ776" i="48"/>
  <c r="AI776" i="48"/>
  <c r="AH776" i="48"/>
  <c r="M776" i="48"/>
  <c r="L776" i="48"/>
  <c r="K776" i="48"/>
  <c r="AJ775" i="48"/>
  <c r="AI775" i="48"/>
  <c r="AH775" i="48"/>
  <c r="M775" i="48"/>
  <c r="L775" i="48"/>
  <c r="K775" i="48"/>
  <c r="AJ774" i="48"/>
  <c r="AI774" i="48"/>
  <c r="AH774" i="48"/>
  <c r="M774" i="48"/>
  <c r="L774" i="48"/>
  <c r="K774" i="48"/>
  <c r="AJ773" i="48"/>
  <c r="AI773" i="48"/>
  <c r="AH773" i="48"/>
  <c r="M773" i="48"/>
  <c r="L773" i="48"/>
  <c r="K773" i="48"/>
  <c r="AJ772" i="48"/>
  <c r="AI772" i="48"/>
  <c r="AH772" i="48"/>
  <c r="M772" i="48"/>
  <c r="L772" i="48"/>
  <c r="K772" i="48"/>
  <c r="AJ771" i="48"/>
  <c r="AI771" i="48"/>
  <c r="AH771" i="48"/>
  <c r="M771" i="48"/>
  <c r="L771" i="48"/>
  <c r="K771" i="48"/>
  <c r="AJ770" i="48"/>
  <c r="AI770" i="48"/>
  <c r="AH770" i="48"/>
  <c r="M770" i="48"/>
  <c r="L770" i="48"/>
  <c r="K770" i="48"/>
  <c r="AJ769" i="48"/>
  <c r="AI769" i="48"/>
  <c r="AH769" i="48"/>
  <c r="M769" i="48"/>
  <c r="L769" i="48"/>
  <c r="K769" i="48"/>
  <c r="AJ768" i="48"/>
  <c r="AI768" i="48"/>
  <c r="AH768" i="48"/>
  <c r="M768" i="48"/>
  <c r="L768" i="48"/>
  <c r="K768" i="48"/>
  <c r="AJ767" i="48"/>
  <c r="AI767" i="48"/>
  <c r="AH767" i="48"/>
  <c r="M767" i="48"/>
  <c r="L767" i="48"/>
  <c r="K767" i="48"/>
  <c r="AJ766" i="48"/>
  <c r="AI766" i="48"/>
  <c r="AH766" i="48"/>
  <c r="M766" i="48"/>
  <c r="L766" i="48"/>
  <c r="K766" i="48"/>
  <c r="AJ765" i="48"/>
  <c r="AI765" i="48"/>
  <c r="AH765" i="48"/>
  <c r="M765" i="48"/>
  <c r="L765" i="48"/>
  <c r="K765" i="48"/>
  <c r="AJ764" i="48"/>
  <c r="AI764" i="48"/>
  <c r="AH764" i="48"/>
  <c r="M764" i="48"/>
  <c r="L764" i="48"/>
  <c r="K764" i="48"/>
  <c r="AJ763" i="48"/>
  <c r="AI763" i="48"/>
  <c r="AH763" i="48"/>
  <c r="M763" i="48"/>
  <c r="L763" i="48"/>
  <c r="K763" i="48"/>
  <c r="AJ762" i="48"/>
  <c r="AI762" i="48"/>
  <c r="AH762" i="48"/>
  <c r="M762" i="48"/>
  <c r="L762" i="48"/>
  <c r="K762" i="48"/>
  <c r="AJ761" i="48"/>
  <c r="AI761" i="48"/>
  <c r="AH761" i="48"/>
  <c r="M761" i="48"/>
  <c r="L761" i="48"/>
  <c r="K761" i="48"/>
  <c r="AJ760" i="48"/>
  <c r="AI760" i="48"/>
  <c r="AH760" i="48"/>
  <c r="M760" i="48"/>
  <c r="L760" i="48"/>
  <c r="K760" i="48"/>
  <c r="AJ759" i="48"/>
  <c r="AI759" i="48"/>
  <c r="AH759" i="48"/>
  <c r="M759" i="48"/>
  <c r="L759" i="48"/>
  <c r="K759" i="48"/>
  <c r="AJ758" i="48"/>
  <c r="AI758" i="48"/>
  <c r="AH758" i="48"/>
  <c r="M758" i="48"/>
  <c r="L758" i="48"/>
  <c r="K758" i="48"/>
  <c r="AJ757" i="48"/>
  <c r="AI757" i="48"/>
  <c r="AH757" i="48"/>
  <c r="M757" i="48"/>
  <c r="L757" i="48"/>
  <c r="K757" i="48"/>
  <c r="AJ756" i="48"/>
  <c r="AI756" i="48"/>
  <c r="AH756" i="48"/>
  <c r="M756" i="48"/>
  <c r="L756" i="48"/>
  <c r="K756" i="48"/>
  <c r="AJ755" i="48"/>
  <c r="AI755" i="48"/>
  <c r="AH755" i="48"/>
  <c r="M755" i="48"/>
  <c r="L755" i="48"/>
  <c r="K755" i="48"/>
  <c r="AJ754" i="48"/>
  <c r="AI754" i="48"/>
  <c r="AH754" i="48"/>
  <c r="M754" i="48"/>
  <c r="L754" i="48"/>
  <c r="K754" i="48"/>
  <c r="AJ753" i="48"/>
  <c r="AI753" i="48"/>
  <c r="AH753" i="48"/>
  <c r="M753" i="48"/>
  <c r="L753" i="48"/>
  <c r="K753" i="48"/>
  <c r="AJ752" i="48"/>
  <c r="AI752" i="48"/>
  <c r="AH752" i="48"/>
  <c r="M752" i="48"/>
  <c r="L752" i="48"/>
  <c r="K752" i="48"/>
  <c r="AJ751" i="48"/>
  <c r="AI751" i="48"/>
  <c r="AH751" i="48"/>
  <c r="M751" i="48"/>
  <c r="L751" i="48"/>
  <c r="K751" i="48"/>
  <c r="AJ750" i="48"/>
  <c r="AI750" i="48"/>
  <c r="AH750" i="48"/>
  <c r="M750" i="48"/>
  <c r="L750" i="48"/>
  <c r="K750" i="48"/>
  <c r="AJ749" i="48"/>
  <c r="AI749" i="48"/>
  <c r="AH749" i="48"/>
  <c r="M749" i="48"/>
  <c r="L749" i="48"/>
  <c r="K749" i="48"/>
  <c r="AJ748" i="48"/>
  <c r="AI748" i="48"/>
  <c r="AH748" i="48"/>
  <c r="M748" i="48"/>
  <c r="L748" i="48"/>
  <c r="K748" i="48"/>
  <c r="AJ747" i="48"/>
  <c r="AI747" i="48"/>
  <c r="AH747" i="48"/>
  <c r="M747" i="48"/>
  <c r="L747" i="48"/>
  <c r="K747" i="48"/>
  <c r="AJ746" i="48"/>
  <c r="AI746" i="48"/>
  <c r="AH746" i="48"/>
  <c r="M746" i="48"/>
  <c r="L746" i="48"/>
  <c r="K746" i="48"/>
  <c r="AJ745" i="48"/>
  <c r="AI745" i="48"/>
  <c r="AH745" i="48"/>
  <c r="M745" i="48"/>
  <c r="L745" i="48"/>
  <c r="K745" i="48"/>
  <c r="AJ744" i="48"/>
  <c r="AI744" i="48"/>
  <c r="AH744" i="48"/>
  <c r="M744" i="48"/>
  <c r="L744" i="48"/>
  <c r="K744" i="48"/>
  <c r="AJ743" i="48"/>
  <c r="AI743" i="48"/>
  <c r="AH743" i="48"/>
  <c r="M743" i="48"/>
  <c r="L743" i="48"/>
  <c r="K743" i="48"/>
  <c r="AJ742" i="48"/>
  <c r="AI742" i="48"/>
  <c r="AH742" i="48"/>
  <c r="M742" i="48"/>
  <c r="L742" i="48"/>
  <c r="K742" i="48"/>
  <c r="AJ741" i="48"/>
  <c r="AI741" i="48"/>
  <c r="AH741" i="48"/>
  <c r="M741" i="48"/>
  <c r="L741" i="48"/>
  <c r="K741" i="48"/>
  <c r="AJ740" i="48"/>
  <c r="AI740" i="48"/>
  <c r="AH740" i="48"/>
  <c r="M740" i="48"/>
  <c r="L740" i="48"/>
  <c r="K740" i="48"/>
  <c r="AJ739" i="48"/>
  <c r="AI739" i="48"/>
  <c r="AH739" i="48"/>
  <c r="M739" i="48"/>
  <c r="L739" i="48"/>
  <c r="K739" i="48"/>
  <c r="AJ738" i="48"/>
  <c r="AI738" i="48"/>
  <c r="AH738" i="48"/>
  <c r="M738" i="48"/>
  <c r="L738" i="48"/>
  <c r="K738" i="48"/>
  <c r="AJ737" i="48"/>
  <c r="AI737" i="48"/>
  <c r="AH737" i="48"/>
  <c r="M737" i="48"/>
  <c r="L737" i="48"/>
  <c r="K737" i="48"/>
  <c r="AJ736" i="48"/>
  <c r="AI736" i="48"/>
  <c r="AH736" i="48"/>
  <c r="M736" i="48"/>
  <c r="L736" i="48"/>
  <c r="K736" i="48"/>
  <c r="AJ735" i="48"/>
  <c r="AI735" i="48"/>
  <c r="AH735" i="48"/>
  <c r="M735" i="48"/>
  <c r="L735" i="48"/>
  <c r="K735" i="48"/>
  <c r="AJ734" i="48"/>
  <c r="AI734" i="48"/>
  <c r="AH734" i="48"/>
  <c r="M734" i="48"/>
  <c r="L734" i="48"/>
  <c r="K734" i="48"/>
  <c r="AJ733" i="48"/>
  <c r="AI733" i="48"/>
  <c r="AH733" i="48"/>
  <c r="M733" i="48"/>
  <c r="L733" i="48"/>
  <c r="K733" i="48"/>
  <c r="AJ732" i="48"/>
  <c r="AI732" i="48"/>
  <c r="AH732" i="48"/>
  <c r="M732" i="48"/>
  <c r="L732" i="48"/>
  <c r="K732" i="48"/>
  <c r="AJ731" i="48"/>
  <c r="AI731" i="48"/>
  <c r="AH731" i="48"/>
  <c r="M731" i="48"/>
  <c r="L731" i="48"/>
  <c r="K731" i="48"/>
  <c r="AJ730" i="48"/>
  <c r="AI730" i="48"/>
  <c r="AH730" i="48"/>
  <c r="M730" i="48"/>
  <c r="L730" i="48"/>
  <c r="K730" i="48"/>
  <c r="AJ729" i="48"/>
  <c r="AI729" i="48"/>
  <c r="AH729" i="48"/>
  <c r="M729" i="48"/>
  <c r="L729" i="48"/>
  <c r="K729" i="48"/>
  <c r="AJ728" i="48"/>
  <c r="AI728" i="48"/>
  <c r="AH728" i="48"/>
  <c r="M728" i="48"/>
  <c r="L728" i="48"/>
  <c r="K728" i="48"/>
  <c r="AJ727" i="48"/>
  <c r="AI727" i="48"/>
  <c r="AH727" i="48"/>
  <c r="M727" i="48"/>
  <c r="L727" i="48"/>
  <c r="K727" i="48"/>
  <c r="AJ726" i="48"/>
  <c r="AI726" i="48"/>
  <c r="AH726" i="48"/>
  <c r="M726" i="48"/>
  <c r="L726" i="48"/>
  <c r="K726" i="48"/>
  <c r="AJ725" i="48"/>
  <c r="AI725" i="48"/>
  <c r="AH725" i="48"/>
  <c r="M725" i="48"/>
  <c r="L725" i="48"/>
  <c r="K725" i="48"/>
  <c r="AJ724" i="48"/>
  <c r="AI724" i="48"/>
  <c r="AH724" i="48"/>
  <c r="M724" i="48"/>
  <c r="L724" i="48"/>
  <c r="K724" i="48"/>
  <c r="AJ723" i="48"/>
  <c r="AI723" i="48"/>
  <c r="AH723" i="48"/>
  <c r="M723" i="48"/>
  <c r="L723" i="48"/>
  <c r="K723" i="48"/>
  <c r="AJ722" i="48"/>
  <c r="AI722" i="48"/>
  <c r="AH722" i="48"/>
  <c r="M722" i="48"/>
  <c r="L722" i="48"/>
  <c r="K722" i="48"/>
  <c r="AJ721" i="48"/>
  <c r="AI721" i="48"/>
  <c r="AH721" i="48"/>
  <c r="M721" i="48"/>
  <c r="L721" i="48"/>
  <c r="K721" i="48"/>
  <c r="AJ720" i="48"/>
  <c r="AI720" i="48"/>
  <c r="AH720" i="48"/>
  <c r="M720" i="48"/>
  <c r="L720" i="48"/>
  <c r="K720" i="48"/>
  <c r="AJ719" i="48"/>
  <c r="AI719" i="48"/>
  <c r="AH719" i="48"/>
  <c r="M719" i="48"/>
  <c r="L719" i="48"/>
  <c r="K719" i="48"/>
  <c r="AJ718" i="48"/>
  <c r="AI718" i="48"/>
  <c r="AH718" i="48"/>
  <c r="M718" i="48"/>
  <c r="L718" i="48"/>
  <c r="K718" i="48"/>
  <c r="AJ717" i="48"/>
  <c r="AI717" i="48"/>
  <c r="AH717" i="48"/>
  <c r="M717" i="48"/>
  <c r="L717" i="48"/>
  <c r="K717" i="48"/>
  <c r="AJ716" i="48"/>
  <c r="AI716" i="48"/>
  <c r="AH716" i="48"/>
  <c r="M716" i="48"/>
  <c r="L716" i="48"/>
  <c r="K716" i="48"/>
  <c r="AJ715" i="48"/>
  <c r="AI715" i="48"/>
  <c r="AH715" i="48"/>
  <c r="M715" i="48"/>
  <c r="L715" i="48"/>
  <c r="K715" i="48"/>
  <c r="AJ714" i="48"/>
  <c r="AI714" i="48"/>
  <c r="AH714" i="48"/>
  <c r="M714" i="48"/>
  <c r="L714" i="48"/>
  <c r="K714" i="48"/>
  <c r="AJ713" i="48"/>
  <c r="AI713" i="48"/>
  <c r="AH713" i="48"/>
  <c r="M713" i="48"/>
  <c r="L713" i="48"/>
  <c r="K713" i="48"/>
  <c r="AJ712" i="48"/>
  <c r="AI712" i="48"/>
  <c r="AH712" i="48"/>
  <c r="M712" i="48"/>
  <c r="L712" i="48"/>
  <c r="K712" i="48"/>
  <c r="AJ711" i="48"/>
  <c r="AI711" i="48"/>
  <c r="AH711" i="48"/>
  <c r="M711" i="48"/>
  <c r="L711" i="48"/>
  <c r="K711" i="48"/>
  <c r="AJ710" i="48"/>
  <c r="AI710" i="48"/>
  <c r="AH710" i="48"/>
  <c r="M710" i="48"/>
  <c r="L710" i="48"/>
  <c r="K710" i="48"/>
  <c r="AJ709" i="48"/>
  <c r="AI709" i="48"/>
  <c r="AH709" i="48"/>
  <c r="M709" i="48"/>
  <c r="L709" i="48"/>
  <c r="K709" i="48"/>
  <c r="AJ708" i="48"/>
  <c r="AI708" i="48"/>
  <c r="AH708" i="48"/>
  <c r="M708" i="48"/>
  <c r="L708" i="48"/>
  <c r="K708" i="48"/>
  <c r="AJ707" i="48"/>
  <c r="AI707" i="48"/>
  <c r="AH707" i="48"/>
  <c r="M707" i="48"/>
  <c r="L707" i="48"/>
  <c r="K707" i="48"/>
  <c r="AJ706" i="48"/>
  <c r="AI706" i="48"/>
  <c r="AH706" i="48"/>
  <c r="M706" i="48"/>
  <c r="L706" i="48"/>
  <c r="K706" i="48"/>
  <c r="AJ705" i="48"/>
  <c r="AI705" i="48"/>
  <c r="AH705" i="48"/>
  <c r="M705" i="48"/>
  <c r="L705" i="48"/>
  <c r="K705" i="48"/>
  <c r="AJ704" i="48"/>
  <c r="AI704" i="48"/>
  <c r="AH704" i="48"/>
  <c r="M704" i="48"/>
  <c r="L704" i="48"/>
  <c r="K704" i="48"/>
  <c r="AJ703" i="48"/>
  <c r="AI703" i="48"/>
  <c r="AH703" i="48"/>
  <c r="M703" i="48"/>
  <c r="L703" i="48"/>
  <c r="K703" i="48"/>
  <c r="AJ702" i="48"/>
  <c r="AI702" i="48"/>
  <c r="AH702" i="48"/>
  <c r="M702" i="48"/>
  <c r="L702" i="48"/>
  <c r="K702" i="48"/>
  <c r="AJ701" i="48"/>
  <c r="AI701" i="48"/>
  <c r="AH701" i="48"/>
  <c r="M701" i="48"/>
  <c r="L701" i="48"/>
  <c r="K701" i="48"/>
  <c r="AJ700" i="48"/>
  <c r="AI700" i="48"/>
  <c r="AH700" i="48"/>
  <c r="M700" i="48"/>
  <c r="L700" i="48"/>
  <c r="K700" i="48"/>
  <c r="AJ699" i="48"/>
  <c r="AI699" i="48"/>
  <c r="AH699" i="48"/>
  <c r="M699" i="48"/>
  <c r="L699" i="48"/>
  <c r="K699" i="48"/>
  <c r="AJ698" i="48"/>
  <c r="AI698" i="48"/>
  <c r="AH698" i="48"/>
  <c r="M698" i="48"/>
  <c r="L698" i="48"/>
  <c r="K698" i="48"/>
  <c r="AJ697" i="48"/>
  <c r="AI697" i="48"/>
  <c r="AH697" i="48"/>
  <c r="M697" i="48"/>
  <c r="L697" i="48"/>
  <c r="K697" i="48"/>
  <c r="AJ696" i="48"/>
  <c r="AI696" i="48"/>
  <c r="AH696" i="48"/>
  <c r="M696" i="48"/>
  <c r="L696" i="48"/>
  <c r="K696" i="48"/>
  <c r="AJ695" i="48"/>
  <c r="AI695" i="48"/>
  <c r="AH695" i="48"/>
  <c r="M695" i="48"/>
  <c r="L695" i="48"/>
  <c r="K695" i="48"/>
  <c r="AJ694" i="48"/>
  <c r="AI694" i="48"/>
  <c r="AH694" i="48"/>
  <c r="M694" i="48"/>
  <c r="L694" i="48"/>
  <c r="K694" i="48"/>
  <c r="AJ693" i="48"/>
  <c r="AI693" i="48"/>
  <c r="AH693" i="48"/>
  <c r="M693" i="48"/>
  <c r="L693" i="48"/>
  <c r="K693" i="48"/>
  <c r="AJ692" i="48"/>
  <c r="AI692" i="48"/>
  <c r="AH692" i="48"/>
  <c r="M692" i="48"/>
  <c r="L692" i="48"/>
  <c r="K692" i="48"/>
  <c r="AJ691" i="48"/>
  <c r="AI691" i="48"/>
  <c r="AH691" i="48"/>
  <c r="M691" i="48"/>
  <c r="L691" i="48"/>
  <c r="K691" i="48"/>
  <c r="AJ690" i="48"/>
  <c r="AI690" i="48"/>
  <c r="AH690" i="48"/>
  <c r="M690" i="48"/>
  <c r="L690" i="48"/>
  <c r="K690" i="48"/>
  <c r="AJ689" i="48"/>
  <c r="AI689" i="48"/>
  <c r="AH689" i="48"/>
  <c r="M689" i="48"/>
  <c r="L689" i="48"/>
  <c r="K689" i="48"/>
  <c r="AJ688" i="48"/>
  <c r="AI688" i="48"/>
  <c r="AH688" i="48"/>
  <c r="M688" i="48"/>
  <c r="L688" i="48"/>
  <c r="K688" i="48"/>
  <c r="AJ687" i="48"/>
  <c r="AI687" i="48"/>
  <c r="AH687" i="48"/>
  <c r="M687" i="48"/>
  <c r="L687" i="48"/>
  <c r="K687" i="48"/>
  <c r="AJ686" i="48"/>
  <c r="AI686" i="48"/>
  <c r="AH686" i="48"/>
  <c r="M686" i="48"/>
  <c r="L686" i="48"/>
  <c r="K686" i="48"/>
  <c r="AJ685" i="48"/>
  <c r="AI685" i="48"/>
  <c r="AH685" i="48"/>
  <c r="M685" i="48"/>
  <c r="L685" i="48"/>
  <c r="K685" i="48"/>
  <c r="AJ684" i="48"/>
  <c r="AI684" i="48"/>
  <c r="AH684" i="48"/>
  <c r="M684" i="48"/>
  <c r="L684" i="48"/>
  <c r="K684" i="48"/>
  <c r="AJ683" i="48"/>
  <c r="AI683" i="48"/>
  <c r="AH683" i="48"/>
  <c r="M683" i="48"/>
  <c r="L683" i="48"/>
  <c r="K683" i="48"/>
  <c r="AJ682" i="48"/>
  <c r="AI682" i="48"/>
  <c r="AH682" i="48"/>
  <c r="M682" i="48"/>
  <c r="L682" i="48"/>
  <c r="K682" i="48"/>
  <c r="AJ681" i="48"/>
  <c r="AI681" i="48"/>
  <c r="AH681" i="48"/>
  <c r="M681" i="48"/>
  <c r="L681" i="48"/>
  <c r="K681" i="48"/>
  <c r="AJ680" i="48"/>
  <c r="AI680" i="48"/>
  <c r="AH680" i="48"/>
  <c r="M680" i="48"/>
  <c r="L680" i="48"/>
  <c r="K680" i="48"/>
  <c r="AJ679" i="48"/>
  <c r="AI679" i="48"/>
  <c r="AH679" i="48"/>
  <c r="M679" i="48"/>
  <c r="L679" i="48"/>
  <c r="K679" i="48"/>
  <c r="AJ678" i="48"/>
  <c r="AI678" i="48"/>
  <c r="AH678" i="48"/>
  <c r="M678" i="48"/>
  <c r="L678" i="48"/>
  <c r="K678" i="48"/>
  <c r="AJ677" i="48"/>
  <c r="AI677" i="48"/>
  <c r="AH677" i="48"/>
  <c r="M677" i="48"/>
  <c r="L677" i="48"/>
  <c r="K677" i="48"/>
  <c r="AJ676" i="48"/>
  <c r="AI676" i="48"/>
  <c r="AH676" i="48"/>
  <c r="M676" i="48"/>
  <c r="L676" i="48"/>
  <c r="K676" i="48"/>
  <c r="AJ675" i="48"/>
  <c r="AI675" i="48"/>
  <c r="AH675" i="48"/>
  <c r="M675" i="48"/>
  <c r="L675" i="48"/>
  <c r="K675" i="48"/>
  <c r="AJ674" i="48"/>
  <c r="AI674" i="48"/>
  <c r="AH674" i="48"/>
  <c r="M674" i="48"/>
  <c r="L674" i="48"/>
  <c r="K674" i="48"/>
  <c r="AJ673" i="48"/>
  <c r="AI673" i="48"/>
  <c r="AH673" i="48"/>
  <c r="M673" i="48"/>
  <c r="L673" i="48"/>
  <c r="K673" i="48"/>
  <c r="AJ672" i="48"/>
  <c r="AI672" i="48"/>
  <c r="AH672" i="48"/>
  <c r="M672" i="48"/>
  <c r="L672" i="48"/>
  <c r="K672" i="48"/>
  <c r="AJ671" i="48"/>
  <c r="AI671" i="48"/>
  <c r="AH671" i="48"/>
  <c r="M671" i="48"/>
  <c r="L671" i="48"/>
  <c r="K671" i="48"/>
  <c r="AJ670" i="48"/>
  <c r="AI670" i="48"/>
  <c r="AH670" i="48"/>
  <c r="M670" i="48"/>
  <c r="L670" i="48"/>
  <c r="K670" i="48"/>
  <c r="AJ669" i="48"/>
  <c r="AI669" i="48"/>
  <c r="AH669" i="48"/>
  <c r="M669" i="48"/>
  <c r="L669" i="48"/>
  <c r="K669" i="48"/>
  <c r="AJ668" i="48"/>
  <c r="AI668" i="48"/>
  <c r="AH668" i="48"/>
  <c r="M668" i="48"/>
  <c r="L668" i="48"/>
  <c r="K668" i="48"/>
  <c r="AJ667" i="48"/>
  <c r="AI667" i="48"/>
  <c r="AH667" i="48"/>
  <c r="M667" i="48"/>
  <c r="L667" i="48"/>
  <c r="K667" i="48"/>
  <c r="AJ666" i="48"/>
  <c r="AI666" i="48"/>
  <c r="AH666" i="48"/>
  <c r="M666" i="48"/>
  <c r="L666" i="48"/>
  <c r="K666" i="48"/>
  <c r="AJ665" i="48"/>
  <c r="AI665" i="48"/>
  <c r="AH665" i="48"/>
  <c r="M665" i="48"/>
  <c r="L665" i="48"/>
  <c r="K665" i="48"/>
  <c r="AJ664" i="48"/>
  <c r="AI664" i="48"/>
  <c r="AH664" i="48"/>
  <c r="M664" i="48"/>
  <c r="L664" i="48"/>
  <c r="K664" i="48"/>
  <c r="AJ663" i="48"/>
  <c r="AI663" i="48"/>
  <c r="AH663" i="48"/>
  <c r="M663" i="48"/>
  <c r="L663" i="48"/>
  <c r="K663" i="48"/>
  <c r="AJ662" i="48"/>
  <c r="AI662" i="48"/>
  <c r="AH662" i="48"/>
  <c r="M662" i="48"/>
  <c r="L662" i="48"/>
  <c r="K662" i="48"/>
  <c r="AJ661" i="48"/>
  <c r="AI661" i="48"/>
  <c r="AH661" i="48"/>
  <c r="M661" i="48"/>
  <c r="L661" i="48"/>
  <c r="K661" i="48"/>
  <c r="AJ660" i="48"/>
  <c r="AI660" i="48"/>
  <c r="AH660" i="48"/>
  <c r="M660" i="48"/>
  <c r="L660" i="48"/>
  <c r="K660" i="48"/>
  <c r="AJ659" i="48"/>
  <c r="AI659" i="48"/>
  <c r="AH659" i="48"/>
  <c r="M659" i="48"/>
  <c r="L659" i="48"/>
  <c r="K659" i="48"/>
  <c r="AJ658" i="48"/>
  <c r="AI658" i="48"/>
  <c r="AH658" i="48"/>
  <c r="M658" i="48"/>
  <c r="L658" i="48"/>
  <c r="K658" i="48"/>
  <c r="AJ657" i="48"/>
  <c r="AI657" i="48"/>
  <c r="AH657" i="48"/>
  <c r="M657" i="48"/>
  <c r="L657" i="48"/>
  <c r="K657" i="48"/>
  <c r="AJ656" i="48"/>
  <c r="AI656" i="48"/>
  <c r="AH656" i="48"/>
  <c r="M656" i="48"/>
  <c r="L656" i="48"/>
  <c r="K656" i="48"/>
  <c r="AJ655" i="48"/>
  <c r="AI655" i="48"/>
  <c r="AH655" i="48"/>
  <c r="M655" i="48"/>
  <c r="L655" i="48"/>
  <c r="K655" i="48"/>
  <c r="AJ654" i="48"/>
  <c r="AI654" i="48"/>
  <c r="AH654" i="48"/>
  <c r="M654" i="48"/>
  <c r="L654" i="48"/>
  <c r="K654" i="48"/>
  <c r="AJ653" i="48"/>
  <c r="AI653" i="48"/>
  <c r="AH653" i="48"/>
  <c r="M653" i="48"/>
  <c r="L653" i="48"/>
  <c r="K653" i="48"/>
  <c r="AJ652" i="48"/>
  <c r="AI652" i="48"/>
  <c r="AH652" i="48"/>
  <c r="M652" i="48"/>
  <c r="L652" i="48"/>
  <c r="K652" i="48"/>
  <c r="AJ651" i="48"/>
  <c r="AI651" i="48"/>
  <c r="AH651" i="48"/>
  <c r="M651" i="48"/>
  <c r="L651" i="48"/>
  <c r="K651" i="48"/>
  <c r="AJ650" i="48"/>
  <c r="AI650" i="48"/>
  <c r="AH650" i="48"/>
  <c r="M650" i="48"/>
  <c r="L650" i="48"/>
  <c r="K650" i="48"/>
  <c r="AJ649" i="48"/>
  <c r="AI649" i="48"/>
  <c r="AH649" i="48"/>
  <c r="M649" i="48"/>
  <c r="L649" i="48"/>
  <c r="K649" i="48"/>
  <c r="AJ648" i="48"/>
  <c r="AI648" i="48"/>
  <c r="AH648" i="48"/>
  <c r="M648" i="48"/>
  <c r="L648" i="48"/>
  <c r="K648" i="48"/>
  <c r="AJ647" i="48"/>
  <c r="AI647" i="48"/>
  <c r="AH647" i="48"/>
  <c r="M647" i="48"/>
  <c r="L647" i="48"/>
  <c r="K647" i="48"/>
  <c r="AJ646" i="48"/>
  <c r="AI646" i="48"/>
  <c r="AH646" i="48"/>
  <c r="M646" i="48"/>
  <c r="L646" i="48"/>
  <c r="K646" i="48"/>
  <c r="AJ645" i="48"/>
  <c r="AI645" i="48"/>
  <c r="AH645" i="48"/>
  <c r="M645" i="48"/>
  <c r="L645" i="48"/>
  <c r="K645" i="48"/>
  <c r="AJ644" i="48"/>
  <c r="AI644" i="48"/>
  <c r="AH644" i="48"/>
  <c r="M644" i="48"/>
  <c r="L644" i="48"/>
  <c r="K644" i="48"/>
  <c r="AJ643" i="48"/>
  <c r="AI643" i="48"/>
  <c r="AH643" i="48"/>
  <c r="M643" i="48"/>
  <c r="L643" i="48"/>
  <c r="K643" i="48"/>
  <c r="AJ642" i="48"/>
  <c r="AI642" i="48"/>
  <c r="AH642" i="48"/>
  <c r="M642" i="48"/>
  <c r="L642" i="48"/>
  <c r="K642" i="48"/>
  <c r="AJ641" i="48"/>
  <c r="AI641" i="48"/>
  <c r="AH641" i="48"/>
  <c r="M641" i="48"/>
  <c r="L641" i="48"/>
  <c r="K641" i="48"/>
  <c r="AJ640" i="48"/>
  <c r="AI640" i="48"/>
  <c r="AH640" i="48"/>
  <c r="M640" i="48"/>
  <c r="L640" i="48"/>
  <c r="K640" i="48"/>
  <c r="AJ639" i="48"/>
  <c r="AI639" i="48"/>
  <c r="AH639" i="48"/>
  <c r="M639" i="48"/>
  <c r="L639" i="48"/>
  <c r="K639" i="48"/>
  <c r="AJ638" i="48"/>
  <c r="AI638" i="48"/>
  <c r="AH638" i="48"/>
  <c r="M638" i="48"/>
  <c r="L638" i="48"/>
  <c r="K638" i="48"/>
  <c r="AJ637" i="48"/>
  <c r="AI637" i="48"/>
  <c r="AH637" i="48"/>
  <c r="M637" i="48"/>
  <c r="L637" i="48"/>
  <c r="K637" i="48"/>
  <c r="AJ636" i="48"/>
  <c r="AI636" i="48"/>
  <c r="AH636" i="48"/>
  <c r="M636" i="48"/>
  <c r="L636" i="48"/>
  <c r="K636" i="48"/>
  <c r="AJ635" i="48"/>
  <c r="AI635" i="48"/>
  <c r="AH635" i="48"/>
  <c r="M635" i="48"/>
  <c r="L635" i="48"/>
  <c r="K635" i="48"/>
  <c r="AJ634" i="48"/>
  <c r="AI634" i="48"/>
  <c r="AH634" i="48"/>
  <c r="M634" i="48"/>
  <c r="L634" i="48"/>
  <c r="K634" i="48"/>
  <c r="AJ633" i="48"/>
  <c r="AI633" i="48"/>
  <c r="AH633" i="48"/>
  <c r="M633" i="48"/>
  <c r="L633" i="48"/>
  <c r="K633" i="48"/>
  <c r="AJ632" i="48"/>
  <c r="AI632" i="48"/>
  <c r="AH632" i="48"/>
  <c r="M632" i="48"/>
  <c r="L632" i="48"/>
  <c r="K632" i="48"/>
  <c r="AJ631" i="48"/>
  <c r="AI631" i="48"/>
  <c r="AH631" i="48"/>
  <c r="M631" i="48"/>
  <c r="L631" i="48"/>
  <c r="K631" i="48"/>
  <c r="AJ630" i="48"/>
  <c r="AI630" i="48"/>
  <c r="AH630" i="48"/>
  <c r="M630" i="48"/>
  <c r="L630" i="48"/>
  <c r="K630" i="48"/>
  <c r="AJ629" i="48"/>
  <c r="AI629" i="48"/>
  <c r="AH629" i="48"/>
  <c r="M629" i="48"/>
  <c r="L629" i="48"/>
  <c r="K629" i="48"/>
  <c r="AJ628" i="48"/>
  <c r="AI628" i="48"/>
  <c r="AH628" i="48"/>
  <c r="M628" i="48"/>
  <c r="L628" i="48"/>
  <c r="K628" i="48"/>
  <c r="AJ627" i="48"/>
  <c r="AI627" i="48"/>
  <c r="AH627" i="48"/>
  <c r="M627" i="48"/>
  <c r="L627" i="48"/>
  <c r="K627" i="48"/>
  <c r="AJ626" i="48"/>
  <c r="AI626" i="48"/>
  <c r="AH626" i="48"/>
  <c r="M626" i="48"/>
  <c r="L626" i="48"/>
  <c r="K626" i="48"/>
  <c r="AJ625" i="48"/>
  <c r="AI625" i="48"/>
  <c r="AH625" i="48"/>
  <c r="M625" i="48"/>
  <c r="L625" i="48"/>
  <c r="K625" i="48"/>
  <c r="AJ624" i="48"/>
  <c r="AI624" i="48"/>
  <c r="AH624" i="48"/>
  <c r="M624" i="48"/>
  <c r="L624" i="48"/>
  <c r="K624" i="48"/>
  <c r="AJ623" i="48"/>
  <c r="AI623" i="48"/>
  <c r="AH623" i="48"/>
  <c r="M623" i="48"/>
  <c r="L623" i="48"/>
  <c r="K623" i="48"/>
  <c r="AJ622" i="48"/>
  <c r="AI622" i="48"/>
  <c r="AH622" i="48"/>
  <c r="M622" i="48"/>
  <c r="L622" i="48"/>
  <c r="K622" i="48"/>
  <c r="AJ621" i="48"/>
  <c r="AI621" i="48"/>
  <c r="AH621" i="48"/>
  <c r="M621" i="48"/>
  <c r="L621" i="48"/>
  <c r="K621" i="48"/>
  <c r="AJ620" i="48"/>
  <c r="AI620" i="48"/>
  <c r="AH620" i="48"/>
  <c r="M620" i="48"/>
  <c r="L620" i="48"/>
  <c r="K620" i="48"/>
  <c r="AJ619" i="48"/>
  <c r="AI619" i="48"/>
  <c r="AH619" i="48"/>
  <c r="M619" i="48"/>
  <c r="L619" i="48"/>
  <c r="K619" i="48"/>
  <c r="AJ618" i="48"/>
  <c r="AI618" i="48"/>
  <c r="AH618" i="48"/>
  <c r="M618" i="48"/>
  <c r="L618" i="48"/>
  <c r="K618" i="48"/>
  <c r="AJ617" i="48"/>
  <c r="AI617" i="48"/>
  <c r="AH617" i="48"/>
  <c r="M617" i="48"/>
  <c r="L617" i="48"/>
  <c r="K617" i="48"/>
  <c r="AJ616" i="48"/>
  <c r="AI616" i="48"/>
  <c r="AH616" i="48"/>
  <c r="M616" i="48"/>
  <c r="L616" i="48"/>
  <c r="K616" i="48"/>
  <c r="AJ615" i="48"/>
  <c r="AI615" i="48"/>
  <c r="AH615" i="48"/>
  <c r="M615" i="48"/>
  <c r="L615" i="48"/>
  <c r="K615" i="48"/>
  <c r="AJ614" i="48"/>
  <c r="AI614" i="48"/>
  <c r="AH614" i="48"/>
  <c r="M614" i="48"/>
  <c r="L614" i="48"/>
  <c r="K614" i="48"/>
  <c r="AJ613" i="48"/>
  <c r="AI613" i="48"/>
  <c r="AH613" i="48"/>
  <c r="M613" i="48"/>
  <c r="L613" i="48"/>
  <c r="K613" i="48"/>
  <c r="AJ612" i="48"/>
  <c r="AI612" i="48"/>
  <c r="AH612" i="48"/>
  <c r="M612" i="48"/>
  <c r="L612" i="48"/>
  <c r="K612" i="48"/>
  <c r="AJ611" i="48"/>
  <c r="AI611" i="48"/>
  <c r="AH611" i="48"/>
  <c r="M611" i="48"/>
  <c r="L611" i="48"/>
  <c r="K611" i="48"/>
  <c r="AJ610" i="48"/>
  <c r="AI610" i="48"/>
  <c r="AH610" i="48"/>
  <c r="M610" i="48"/>
  <c r="L610" i="48"/>
  <c r="K610" i="48"/>
  <c r="AJ609" i="48"/>
  <c r="AI609" i="48"/>
  <c r="AH609" i="48"/>
  <c r="M609" i="48"/>
  <c r="L609" i="48"/>
  <c r="K609" i="48"/>
  <c r="AJ608" i="48"/>
  <c r="AI608" i="48"/>
  <c r="AH608" i="48"/>
  <c r="M608" i="48"/>
  <c r="L608" i="48"/>
  <c r="K608" i="48"/>
  <c r="AJ607" i="48"/>
  <c r="AI607" i="48"/>
  <c r="AH607" i="48"/>
  <c r="M607" i="48"/>
  <c r="L607" i="48"/>
  <c r="K607" i="48"/>
  <c r="AJ606" i="48"/>
  <c r="AI606" i="48"/>
  <c r="AH606" i="48"/>
  <c r="M606" i="48"/>
  <c r="L606" i="48"/>
  <c r="K606" i="48"/>
  <c r="AJ605" i="48"/>
  <c r="AI605" i="48"/>
  <c r="AH605" i="48"/>
  <c r="M605" i="48"/>
  <c r="L605" i="48"/>
  <c r="K605" i="48"/>
  <c r="AJ604" i="48"/>
  <c r="AI604" i="48"/>
  <c r="AH604" i="48"/>
  <c r="M604" i="48"/>
  <c r="L604" i="48"/>
  <c r="K604" i="48"/>
  <c r="AJ603" i="48"/>
  <c r="AI603" i="48"/>
  <c r="AH603" i="48"/>
  <c r="M603" i="48"/>
  <c r="L603" i="48"/>
  <c r="K603" i="48"/>
  <c r="AJ602" i="48"/>
  <c r="AI602" i="48"/>
  <c r="AH602" i="48"/>
  <c r="M602" i="48"/>
  <c r="L602" i="48"/>
  <c r="K602" i="48"/>
  <c r="AJ601" i="48"/>
  <c r="AI601" i="48"/>
  <c r="AH601" i="48"/>
  <c r="M601" i="48"/>
  <c r="L601" i="48"/>
  <c r="K601" i="48"/>
  <c r="AJ600" i="48"/>
  <c r="AI600" i="48"/>
  <c r="AH600" i="48"/>
  <c r="M600" i="48"/>
  <c r="L600" i="48"/>
  <c r="K600" i="48"/>
  <c r="AJ599" i="48"/>
  <c r="AI599" i="48"/>
  <c r="AH599" i="48"/>
  <c r="M599" i="48"/>
  <c r="L599" i="48"/>
  <c r="K599" i="48"/>
  <c r="AJ598" i="48"/>
  <c r="AI598" i="48"/>
  <c r="AH598" i="48"/>
  <c r="M598" i="48"/>
  <c r="L598" i="48"/>
  <c r="K598" i="48"/>
  <c r="AJ597" i="48"/>
  <c r="AI597" i="48"/>
  <c r="AH597" i="48"/>
  <c r="M597" i="48"/>
  <c r="L597" i="48"/>
  <c r="K597" i="48"/>
  <c r="AJ596" i="48"/>
  <c r="AI596" i="48"/>
  <c r="AH596" i="48"/>
  <c r="M596" i="48"/>
  <c r="L596" i="48"/>
  <c r="K596" i="48"/>
  <c r="AJ595" i="48"/>
  <c r="AI595" i="48"/>
  <c r="AH595" i="48"/>
  <c r="M595" i="48"/>
  <c r="L595" i="48"/>
  <c r="K595" i="48"/>
  <c r="AJ594" i="48"/>
  <c r="AI594" i="48"/>
  <c r="AH594" i="48"/>
  <c r="M594" i="48"/>
  <c r="L594" i="48"/>
  <c r="K594" i="48"/>
  <c r="AJ593" i="48"/>
  <c r="AI593" i="48"/>
  <c r="AH593" i="48"/>
  <c r="M593" i="48"/>
  <c r="L593" i="48"/>
  <c r="K593" i="48"/>
  <c r="AJ592" i="48"/>
  <c r="AI592" i="48"/>
  <c r="AH592" i="48"/>
  <c r="M592" i="48"/>
  <c r="L592" i="48"/>
  <c r="K592" i="48"/>
  <c r="AJ591" i="48"/>
  <c r="AI591" i="48"/>
  <c r="AH591" i="48"/>
  <c r="M591" i="48"/>
  <c r="L591" i="48"/>
  <c r="K591" i="48"/>
  <c r="AJ590" i="48"/>
  <c r="AI590" i="48"/>
  <c r="AH590" i="48"/>
  <c r="M590" i="48"/>
  <c r="L590" i="48"/>
  <c r="K590" i="48"/>
  <c r="AJ589" i="48"/>
  <c r="AI589" i="48"/>
  <c r="AH589" i="48"/>
  <c r="M589" i="48"/>
  <c r="L589" i="48"/>
  <c r="K589" i="48"/>
  <c r="AJ588" i="48"/>
  <c r="AI588" i="48"/>
  <c r="AH588" i="48"/>
  <c r="M588" i="48"/>
  <c r="L588" i="48"/>
  <c r="K588" i="48"/>
  <c r="AJ587" i="48"/>
  <c r="AI587" i="48"/>
  <c r="AH587" i="48"/>
  <c r="M587" i="48"/>
  <c r="L587" i="48"/>
  <c r="K587" i="48"/>
  <c r="AJ586" i="48"/>
  <c r="AI586" i="48"/>
  <c r="AH586" i="48"/>
  <c r="M586" i="48"/>
  <c r="L586" i="48"/>
  <c r="K586" i="48"/>
  <c r="AJ585" i="48"/>
  <c r="AI585" i="48"/>
  <c r="AH585" i="48"/>
  <c r="M585" i="48"/>
  <c r="L585" i="48"/>
  <c r="K585" i="48"/>
  <c r="AJ584" i="48"/>
  <c r="AI584" i="48"/>
  <c r="AH584" i="48"/>
  <c r="M584" i="48"/>
  <c r="L584" i="48"/>
  <c r="K584" i="48"/>
  <c r="AJ583" i="48"/>
  <c r="AI583" i="48"/>
  <c r="AH583" i="48"/>
  <c r="M583" i="48"/>
  <c r="L583" i="48"/>
  <c r="K583" i="48"/>
  <c r="AJ582" i="48"/>
  <c r="AI582" i="48"/>
  <c r="AH582" i="48"/>
  <c r="M582" i="48"/>
  <c r="L582" i="48"/>
  <c r="K582" i="48"/>
  <c r="AJ581" i="48"/>
  <c r="AI581" i="48"/>
  <c r="AH581" i="48"/>
  <c r="M581" i="48"/>
  <c r="L581" i="48"/>
  <c r="K581" i="48"/>
  <c r="AJ580" i="48"/>
  <c r="AI580" i="48"/>
  <c r="AH580" i="48"/>
  <c r="M580" i="48"/>
  <c r="L580" i="48"/>
  <c r="K580" i="48"/>
  <c r="AJ579" i="48"/>
  <c r="AI579" i="48"/>
  <c r="AH579" i="48"/>
  <c r="M579" i="48"/>
  <c r="L579" i="48"/>
  <c r="K579" i="48"/>
  <c r="AJ578" i="48"/>
  <c r="AI578" i="48"/>
  <c r="AH578" i="48"/>
  <c r="M578" i="48"/>
  <c r="L578" i="48"/>
  <c r="K578" i="48"/>
  <c r="AJ577" i="48"/>
  <c r="AI577" i="48"/>
  <c r="AH577" i="48"/>
  <c r="M577" i="48"/>
  <c r="L577" i="48"/>
  <c r="K577" i="48"/>
  <c r="AJ576" i="48"/>
  <c r="AI576" i="48"/>
  <c r="AH576" i="48"/>
  <c r="M576" i="48"/>
  <c r="L576" i="48"/>
  <c r="K576" i="48"/>
  <c r="AJ575" i="48"/>
  <c r="AI575" i="48"/>
  <c r="AH575" i="48"/>
  <c r="M575" i="48"/>
  <c r="L575" i="48"/>
  <c r="K575" i="48"/>
  <c r="AJ574" i="48"/>
  <c r="AI574" i="48"/>
  <c r="AH574" i="48"/>
  <c r="M574" i="48"/>
  <c r="L574" i="48"/>
  <c r="K574" i="48"/>
  <c r="AJ573" i="48"/>
  <c r="AI573" i="48"/>
  <c r="AH573" i="48"/>
  <c r="M573" i="48"/>
  <c r="L573" i="48"/>
  <c r="K573" i="48"/>
  <c r="AJ572" i="48"/>
  <c r="AI572" i="48"/>
  <c r="AH572" i="48"/>
  <c r="M572" i="48"/>
  <c r="L572" i="48"/>
  <c r="K572" i="48"/>
  <c r="AJ571" i="48"/>
  <c r="AI571" i="48"/>
  <c r="AH571" i="48"/>
  <c r="M571" i="48"/>
  <c r="L571" i="48"/>
  <c r="K571" i="48"/>
  <c r="AJ570" i="48"/>
  <c r="AI570" i="48"/>
  <c r="AH570" i="48"/>
  <c r="M570" i="48"/>
  <c r="L570" i="48"/>
  <c r="K570" i="48"/>
  <c r="AJ569" i="48"/>
  <c r="AI569" i="48"/>
  <c r="AH569" i="48"/>
  <c r="M569" i="48"/>
  <c r="L569" i="48"/>
  <c r="K569" i="48"/>
  <c r="AJ568" i="48"/>
  <c r="AI568" i="48"/>
  <c r="AH568" i="48"/>
  <c r="M568" i="48"/>
  <c r="L568" i="48"/>
  <c r="K568" i="48"/>
  <c r="AJ567" i="48"/>
  <c r="AI567" i="48"/>
  <c r="AH567" i="48"/>
  <c r="M567" i="48"/>
  <c r="L567" i="48"/>
  <c r="K567" i="48"/>
  <c r="AJ566" i="48"/>
  <c r="AI566" i="48"/>
  <c r="AH566" i="48"/>
  <c r="M566" i="48"/>
  <c r="L566" i="48"/>
  <c r="K566" i="48"/>
  <c r="AJ565" i="48"/>
  <c r="AI565" i="48"/>
  <c r="AH565" i="48"/>
  <c r="M565" i="48"/>
  <c r="L565" i="48"/>
  <c r="K565" i="48"/>
  <c r="AJ564" i="48"/>
  <c r="AI564" i="48"/>
  <c r="AH564" i="48"/>
  <c r="M564" i="48"/>
  <c r="L564" i="48"/>
  <c r="K564" i="48"/>
  <c r="AJ563" i="48"/>
  <c r="AI563" i="48"/>
  <c r="AH563" i="48"/>
  <c r="M563" i="48"/>
  <c r="L563" i="48"/>
  <c r="K563" i="48"/>
  <c r="AJ562" i="48"/>
  <c r="AI562" i="48"/>
  <c r="AH562" i="48"/>
  <c r="M562" i="48"/>
  <c r="L562" i="48"/>
  <c r="K562" i="48"/>
  <c r="AJ561" i="48"/>
  <c r="AI561" i="48"/>
  <c r="AH561" i="48"/>
  <c r="M561" i="48"/>
  <c r="L561" i="48"/>
  <c r="K561" i="48"/>
  <c r="AJ560" i="48"/>
  <c r="AI560" i="48"/>
  <c r="AH560" i="48"/>
  <c r="M560" i="48"/>
  <c r="L560" i="48"/>
  <c r="K560" i="48"/>
  <c r="AJ559" i="48"/>
  <c r="AI559" i="48"/>
  <c r="AH559" i="48"/>
  <c r="M559" i="48"/>
  <c r="L559" i="48"/>
  <c r="K559" i="48"/>
  <c r="AJ558" i="48"/>
  <c r="AI558" i="48"/>
  <c r="AH558" i="48"/>
  <c r="M558" i="48"/>
  <c r="L558" i="48"/>
  <c r="K558" i="48"/>
  <c r="AJ557" i="48"/>
  <c r="AI557" i="48"/>
  <c r="AH557" i="48"/>
  <c r="M557" i="48"/>
  <c r="L557" i="48"/>
  <c r="K557" i="48"/>
  <c r="AJ556" i="48"/>
  <c r="AI556" i="48"/>
  <c r="AH556" i="48"/>
  <c r="M556" i="48"/>
  <c r="L556" i="48"/>
  <c r="K556" i="48"/>
  <c r="GT8" i="12"/>
  <c r="GS8" i="12"/>
  <c r="GR8" i="12"/>
  <c r="GQ8" i="12"/>
  <c r="GP8" i="12"/>
  <c r="GO8" i="12"/>
  <c r="GN8" i="12"/>
  <c r="GM8" i="12"/>
  <c r="GT7" i="12"/>
  <c r="GS7" i="12"/>
  <c r="GR7" i="12"/>
  <c r="GQ7" i="12"/>
  <c r="GP7" i="12"/>
  <c r="GO7" i="12"/>
  <c r="GN7" i="12"/>
  <c r="GM7" i="12"/>
  <c r="GT6" i="12"/>
  <c r="GS6" i="12"/>
  <c r="GR6" i="12"/>
  <c r="GQ6" i="12"/>
  <c r="GP6" i="12"/>
  <c r="GO6" i="12"/>
  <c r="GN6" i="12"/>
  <c r="GM6" i="12"/>
  <c r="GT5" i="12"/>
  <c r="GS5" i="12"/>
  <c r="GR5" i="12"/>
  <c r="GQ5" i="12"/>
  <c r="GP5" i="12"/>
  <c r="GO5" i="12"/>
  <c r="GN5" i="12"/>
  <c r="GM5" i="12"/>
  <c r="GT4" i="12"/>
  <c r="GS4" i="12"/>
  <c r="GR4" i="12"/>
  <c r="GQ4" i="12"/>
  <c r="GP4" i="12"/>
  <c r="GO4" i="12"/>
  <c r="GN4" i="12"/>
  <c r="GM4" i="12"/>
  <c r="GL8" i="12"/>
  <c r="GK8" i="12"/>
  <c r="GJ8" i="12"/>
  <c r="GI8" i="12"/>
  <c r="GH8" i="12"/>
  <c r="GG8" i="12"/>
  <c r="GF8" i="12"/>
  <c r="GE8" i="12"/>
  <c r="GD8" i="12"/>
  <c r="GC8" i="12"/>
  <c r="GB8" i="12"/>
  <c r="GA8" i="12"/>
  <c r="FZ8" i="12"/>
  <c r="FY8" i="12"/>
  <c r="FX8" i="12"/>
  <c r="FW8" i="12"/>
  <c r="FV8" i="12"/>
  <c r="FU8" i="12"/>
  <c r="FT8" i="12"/>
  <c r="FS8" i="12"/>
  <c r="FR8" i="12"/>
  <c r="FQ8" i="12"/>
  <c r="FP8" i="12"/>
  <c r="FO8" i="12"/>
  <c r="FN8" i="12"/>
  <c r="FM8" i="12"/>
  <c r="FL8" i="12"/>
  <c r="FK8" i="12"/>
  <c r="FJ8" i="12"/>
  <c r="FI8" i="12"/>
  <c r="GL7" i="12"/>
  <c r="GK7" i="12"/>
  <c r="GJ7" i="12"/>
  <c r="GI7" i="12"/>
  <c r="GH7" i="12"/>
  <c r="GG7" i="12"/>
  <c r="GF7" i="12"/>
  <c r="GE7" i="12"/>
  <c r="GD7" i="12"/>
  <c r="GC7" i="12"/>
  <c r="GB7" i="12"/>
  <c r="GA7" i="12"/>
  <c r="FZ7" i="12"/>
  <c r="FY7" i="12"/>
  <c r="FX7" i="12"/>
  <c r="FW7" i="12"/>
  <c r="FV7" i="12"/>
  <c r="FU7" i="12"/>
  <c r="FT7" i="12"/>
  <c r="FS7" i="12"/>
  <c r="FR7" i="12"/>
  <c r="FQ7" i="12"/>
  <c r="FP7" i="12"/>
  <c r="FO7" i="12"/>
  <c r="FN7" i="12"/>
  <c r="FM7" i="12"/>
  <c r="FL7" i="12"/>
  <c r="FK7" i="12"/>
  <c r="FJ7" i="12"/>
  <c r="FI7" i="12"/>
  <c r="GL6" i="12"/>
  <c r="GK6" i="12"/>
  <c r="GJ6" i="12"/>
  <c r="GI6" i="12"/>
  <c r="GH6" i="12"/>
  <c r="GG6" i="12"/>
  <c r="GF6" i="12"/>
  <c r="GE6" i="12"/>
  <c r="GD6" i="12"/>
  <c r="GC6" i="12"/>
  <c r="GB6" i="12"/>
  <c r="GA6" i="12"/>
  <c r="FZ6" i="12"/>
  <c r="FY6" i="12"/>
  <c r="FX6" i="12"/>
  <c r="FW6" i="12"/>
  <c r="FV6" i="12"/>
  <c r="FU6" i="12"/>
  <c r="FT6" i="12"/>
  <c r="FS6" i="12"/>
  <c r="FR6" i="12"/>
  <c r="FQ6" i="12"/>
  <c r="FP6" i="12"/>
  <c r="FO6" i="12"/>
  <c r="FN6" i="12"/>
  <c r="FM6" i="12"/>
  <c r="FL6" i="12"/>
  <c r="FK6" i="12"/>
  <c r="FJ6" i="12"/>
  <c r="FI6" i="12"/>
  <c r="GL5" i="12"/>
  <c r="GK5" i="12"/>
  <c r="GJ5" i="12"/>
  <c r="GI5" i="12"/>
  <c r="GH5" i="12"/>
  <c r="GG5" i="12"/>
  <c r="GF5" i="12"/>
  <c r="GE5" i="12"/>
  <c r="GD5" i="12"/>
  <c r="GC5" i="12"/>
  <c r="GB5" i="12"/>
  <c r="GA5" i="12"/>
  <c r="FZ5" i="12"/>
  <c r="FY5" i="12"/>
  <c r="FX5" i="12"/>
  <c r="FW5" i="12"/>
  <c r="FV5" i="12"/>
  <c r="FU5" i="12"/>
  <c r="FT5" i="12"/>
  <c r="FS5" i="12"/>
  <c r="FR5" i="12"/>
  <c r="FQ5" i="12"/>
  <c r="FP5" i="12"/>
  <c r="FO5" i="12"/>
  <c r="FN5" i="12"/>
  <c r="FM5" i="12"/>
  <c r="FL5" i="12"/>
  <c r="FK5" i="12"/>
  <c r="FJ5" i="12"/>
  <c r="FI5" i="12"/>
  <c r="GL4" i="12"/>
  <c r="GK4" i="12"/>
  <c r="GJ4" i="12"/>
  <c r="GI4" i="12"/>
  <c r="GH4" i="12"/>
  <c r="GG4" i="12"/>
  <c r="GF4" i="12"/>
  <c r="GE4" i="12"/>
  <c r="GD4" i="12"/>
  <c r="GC4" i="12"/>
  <c r="GB4" i="12"/>
  <c r="GA4" i="12"/>
  <c r="FZ4" i="12"/>
  <c r="FY4" i="12"/>
  <c r="FX4" i="12"/>
  <c r="FW4" i="12"/>
  <c r="FV4" i="12"/>
  <c r="FU4" i="12"/>
  <c r="FT4" i="12"/>
  <c r="FS4" i="12"/>
  <c r="FR4" i="12"/>
  <c r="FQ4" i="12"/>
  <c r="FP4" i="12"/>
  <c r="FO4" i="12"/>
  <c r="FN4" i="12"/>
  <c r="FM4" i="12"/>
  <c r="FL4" i="12"/>
  <c r="FK4" i="12"/>
  <c r="FJ4" i="12"/>
  <c r="FI4" i="12"/>
  <c r="FG8" i="12"/>
  <c r="FF8" i="12"/>
  <c r="FE8" i="12"/>
  <c r="FD8" i="12"/>
  <c r="FC8" i="12"/>
  <c r="FB8" i="12"/>
  <c r="FA8" i="12"/>
  <c r="EZ8" i="12"/>
  <c r="EY8" i="12"/>
  <c r="EX8" i="12"/>
  <c r="EW8" i="12"/>
  <c r="EV8" i="12"/>
  <c r="FG7" i="12"/>
  <c r="FF7" i="12"/>
  <c r="FE7" i="12"/>
  <c r="FD7" i="12"/>
  <c r="FC7" i="12"/>
  <c r="FB7" i="12"/>
  <c r="FA7" i="12"/>
  <c r="EZ7" i="12"/>
  <c r="EY7" i="12"/>
  <c r="EX7" i="12"/>
  <c r="EW7" i="12"/>
  <c r="EV7" i="12"/>
  <c r="FG6" i="12"/>
  <c r="FF6" i="12"/>
  <c r="FE6" i="12"/>
  <c r="FD6" i="12"/>
  <c r="FC6" i="12"/>
  <c r="FB6" i="12"/>
  <c r="FA6" i="12"/>
  <c r="EZ6" i="12"/>
  <c r="EY6" i="12"/>
  <c r="EX6" i="12"/>
  <c r="EW6" i="12"/>
  <c r="EV6" i="12"/>
  <c r="FG5" i="12"/>
  <c r="FF5" i="12"/>
  <c r="FE5" i="12"/>
  <c r="FD5" i="12"/>
  <c r="FC5" i="12"/>
  <c r="FB5" i="12"/>
  <c r="FA5" i="12"/>
  <c r="EZ5" i="12"/>
  <c r="EY5" i="12"/>
  <c r="EX5" i="12"/>
  <c r="EW5" i="12"/>
  <c r="EV5" i="12"/>
  <c r="FG4" i="12"/>
  <c r="FF4" i="12"/>
  <c r="FE4" i="12"/>
  <c r="FD4" i="12"/>
  <c r="FC4" i="12"/>
  <c r="FB4" i="12"/>
  <c r="FA4" i="12"/>
  <c r="EZ4" i="12"/>
  <c r="EY4" i="12"/>
  <c r="EX4" i="12"/>
  <c r="EW4" i="12"/>
  <c r="EV4" i="12"/>
  <c r="H201" i="21"/>
  <c r="H192" i="21"/>
  <c r="H191" i="21"/>
  <c r="H190" i="21"/>
  <c r="H189" i="21"/>
  <c r="H188" i="21"/>
  <c r="H187" i="21"/>
  <c r="H186" i="21"/>
  <c r="H185" i="21"/>
  <c r="H184" i="21"/>
  <c r="H183" i="21"/>
  <c r="H182" i="21"/>
  <c r="H181" i="21"/>
  <c r="H180" i="21"/>
  <c r="H179" i="21"/>
  <c r="H178" i="21"/>
  <c r="H177" i="21"/>
  <c r="H176" i="21"/>
  <c r="H175" i="21"/>
  <c r="H174" i="21"/>
  <c r="H173" i="21"/>
  <c r="H172" i="21"/>
  <c r="H171" i="21"/>
  <c r="H170" i="21"/>
  <c r="H169" i="21"/>
  <c r="H168" i="21"/>
  <c r="H167" i="21"/>
  <c r="H166" i="21"/>
  <c r="H165" i="21"/>
  <c r="H164" i="21"/>
  <c r="H163" i="21"/>
  <c r="H162" i="21"/>
  <c r="H161" i="21"/>
  <c r="H160" i="21"/>
  <c r="H159" i="21"/>
  <c r="H158" i="21"/>
  <c r="H157" i="21"/>
  <c r="H156" i="21"/>
  <c r="H155" i="21"/>
  <c r="H154" i="21"/>
  <c r="H153" i="21"/>
  <c r="H202" i="21"/>
  <c r="H200" i="21"/>
  <c r="H199" i="21"/>
  <c r="H198" i="21"/>
  <c r="H197" i="21"/>
  <c r="H196" i="21"/>
  <c r="H195" i="21"/>
  <c r="H194" i="21"/>
  <c r="H193" i="21"/>
  <c r="P124" i="12" l="1"/>
  <c r="O124" i="12"/>
  <c r="M124" i="12"/>
  <c r="L124" i="12"/>
  <c r="J124" i="12"/>
  <c r="I124" i="12"/>
  <c r="G124" i="12"/>
  <c r="F124" i="12"/>
  <c r="D124" i="12"/>
  <c r="C124" i="12"/>
  <c r="P123" i="12"/>
  <c r="O123" i="12"/>
  <c r="M123" i="12"/>
  <c r="L123" i="12"/>
  <c r="J123" i="12"/>
  <c r="I123" i="12"/>
  <c r="G123" i="12"/>
  <c r="F123" i="12"/>
  <c r="D123" i="12"/>
  <c r="C123" i="12"/>
  <c r="P122" i="12"/>
  <c r="O122" i="12"/>
  <c r="M122" i="12"/>
  <c r="L122" i="12"/>
  <c r="J122" i="12"/>
  <c r="I122" i="12"/>
  <c r="G122" i="12"/>
  <c r="F122" i="12"/>
  <c r="D122" i="12"/>
  <c r="C122" i="12"/>
  <c r="P121" i="12"/>
  <c r="O121" i="12"/>
  <c r="M121" i="12"/>
  <c r="L121" i="12"/>
  <c r="J121" i="12"/>
  <c r="I121" i="12"/>
  <c r="G121" i="12"/>
  <c r="F121" i="12"/>
  <c r="D121" i="12"/>
  <c r="C121" i="12"/>
  <c r="P120" i="12"/>
  <c r="O120" i="12"/>
  <c r="M120" i="12"/>
  <c r="L120" i="12"/>
  <c r="J120" i="12"/>
  <c r="I120" i="12"/>
  <c r="G120" i="12"/>
  <c r="F120" i="12"/>
  <c r="D120" i="12"/>
  <c r="C120" i="12"/>
  <c r="P119" i="12"/>
  <c r="O119" i="12"/>
  <c r="M119" i="12"/>
  <c r="L119" i="12"/>
  <c r="J119" i="12"/>
  <c r="I119" i="12"/>
  <c r="G119" i="12"/>
  <c r="F119" i="12"/>
  <c r="D119" i="12"/>
  <c r="C119" i="12"/>
  <c r="P118" i="12"/>
  <c r="O118" i="12"/>
  <c r="M118" i="12"/>
  <c r="L118" i="12"/>
  <c r="J118" i="12"/>
  <c r="I118" i="12"/>
  <c r="G118" i="12"/>
  <c r="F118" i="12"/>
  <c r="D118" i="12"/>
  <c r="C118" i="12"/>
  <c r="P117" i="12"/>
  <c r="O117" i="12"/>
  <c r="M117" i="12"/>
  <c r="L117" i="12"/>
  <c r="J117" i="12"/>
  <c r="I117" i="12"/>
  <c r="G117" i="12"/>
  <c r="F117" i="12"/>
  <c r="D117" i="12"/>
  <c r="C117" i="12"/>
  <c r="P116" i="12"/>
  <c r="O116" i="12"/>
  <c r="M116" i="12"/>
  <c r="L116" i="12"/>
  <c r="J116" i="12"/>
  <c r="I116" i="12"/>
  <c r="G116" i="12"/>
  <c r="F116" i="12"/>
  <c r="D116" i="12"/>
  <c r="C116" i="12"/>
  <c r="P115" i="12"/>
  <c r="O115" i="12"/>
  <c r="M115" i="12"/>
  <c r="L115" i="12"/>
  <c r="J115" i="12"/>
  <c r="I115" i="12"/>
  <c r="G115" i="12"/>
  <c r="F115" i="12"/>
  <c r="D115" i="12"/>
  <c r="C115" i="12"/>
  <c r="P114" i="12"/>
  <c r="O114" i="12"/>
  <c r="M114" i="12"/>
  <c r="L114" i="12"/>
  <c r="J114" i="12"/>
  <c r="I114" i="12"/>
  <c r="G114" i="12"/>
  <c r="F114" i="12"/>
  <c r="D114" i="12"/>
  <c r="C114" i="12"/>
  <c r="P113" i="12"/>
  <c r="O113" i="12"/>
  <c r="M113" i="12"/>
  <c r="L113" i="12"/>
  <c r="J113" i="12"/>
  <c r="I113" i="12"/>
  <c r="G113" i="12"/>
  <c r="F113" i="12"/>
  <c r="D113" i="12"/>
  <c r="C113" i="12"/>
  <c r="P112" i="12"/>
  <c r="O112" i="12"/>
  <c r="M112" i="12"/>
  <c r="L112" i="12"/>
  <c r="J112" i="12"/>
  <c r="I112" i="12"/>
  <c r="G112" i="12"/>
  <c r="F112" i="12"/>
  <c r="D112" i="12"/>
  <c r="C112" i="12"/>
  <c r="P111" i="12"/>
  <c r="O111" i="12"/>
  <c r="M111" i="12"/>
  <c r="L111" i="12"/>
  <c r="J111" i="12"/>
  <c r="I111" i="12"/>
  <c r="G111" i="12"/>
  <c r="F111" i="12"/>
  <c r="D111" i="12"/>
  <c r="C111" i="12"/>
  <c r="P110" i="12"/>
  <c r="O110" i="12"/>
  <c r="M110" i="12"/>
  <c r="L110" i="12"/>
  <c r="J110" i="12"/>
  <c r="I110" i="12"/>
  <c r="G110" i="12"/>
  <c r="F110" i="12"/>
  <c r="D110" i="12"/>
  <c r="C110" i="12"/>
  <c r="E110" i="12" s="1"/>
  <c r="L107" i="12"/>
  <c r="K107" i="12"/>
  <c r="J107" i="12"/>
  <c r="I107" i="12"/>
  <c r="H107" i="12"/>
  <c r="G107" i="12"/>
  <c r="F107" i="12"/>
  <c r="E107" i="12"/>
  <c r="D107" i="12"/>
  <c r="C107" i="12"/>
  <c r="L106" i="12"/>
  <c r="K106" i="12"/>
  <c r="J106" i="12"/>
  <c r="I106" i="12"/>
  <c r="H106" i="12"/>
  <c r="G106" i="12"/>
  <c r="F106" i="12"/>
  <c r="E106" i="12"/>
  <c r="D106" i="12"/>
  <c r="C106" i="12"/>
  <c r="L105" i="12"/>
  <c r="K105" i="12"/>
  <c r="J105" i="12"/>
  <c r="I105" i="12"/>
  <c r="H105" i="12"/>
  <c r="G105" i="12"/>
  <c r="F105" i="12"/>
  <c r="E105" i="12"/>
  <c r="D105" i="12"/>
  <c r="C105" i="12"/>
  <c r="L104" i="12"/>
  <c r="K104" i="12"/>
  <c r="J104" i="12"/>
  <c r="I104" i="12"/>
  <c r="H104" i="12"/>
  <c r="G104" i="12"/>
  <c r="F104" i="12"/>
  <c r="E104" i="12"/>
  <c r="D104" i="12"/>
  <c r="C104" i="12"/>
  <c r="L103" i="12"/>
  <c r="K103" i="12"/>
  <c r="J103" i="12"/>
  <c r="I103" i="12"/>
  <c r="H103" i="12"/>
  <c r="G103" i="12"/>
  <c r="F103" i="12"/>
  <c r="E103" i="12"/>
  <c r="D103" i="12"/>
  <c r="C103" i="12"/>
  <c r="L102" i="12"/>
  <c r="K102" i="12"/>
  <c r="J102" i="12"/>
  <c r="I102" i="12"/>
  <c r="H102" i="12"/>
  <c r="G102" i="12"/>
  <c r="F102" i="12"/>
  <c r="E102" i="12"/>
  <c r="D102" i="12"/>
  <c r="C102" i="12"/>
  <c r="L101" i="12"/>
  <c r="K101" i="12"/>
  <c r="J101" i="12"/>
  <c r="I101" i="12"/>
  <c r="H101" i="12"/>
  <c r="G101" i="12"/>
  <c r="F101" i="12"/>
  <c r="E101" i="12"/>
  <c r="D101" i="12"/>
  <c r="C101" i="12"/>
  <c r="L100" i="12"/>
  <c r="K100" i="12"/>
  <c r="J100" i="12"/>
  <c r="I100" i="12"/>
  <c r="H100" i="12"/>
  <c r="G100" i="12"/>
  <c r="F100" i="12"/>
  <c r="E100" i="12"/>
  <c r="D100" i="12"/>
  <c r="C100" i="12"/>
  <c r="L99" i="12"/>
  <c r="K99" i="12"/>
  <c r="J99" i="12"/>
  <c r="I99" i="12"/>
  <c r="H99" i="12"/>
  <c r="G99" i="12"/>
  <c r="F99" i="12"/>
  <c r="E99" i="12"/>
  <c r="D99" i="12"/>
  <c r="C99" i="12"/>
  <c r="L98" i="12"/>
  <c r="K98" i="12"/>
  <c r="J98" i="12"/>
  <c r="I98" i="12"/>
  <c r="H98" i="12"/>
  <c r="G98" i="12"/>
  <c r="F98" i="12"/>
  <c r="E98" i="12"/>
  <c r="D98" i="12"/>
  <c r="C98" i="12"/>
  <c r="L97" i="12"/>
  <c r="K97" i="12"/>
  <c r="J97" i="12"/>
  <c r="I97" i="12"/>
  <c r="H97" i="12"/>
  <c r="G97" i="12"/>
  <c r="F97" i="12"/>
  <c r="E97" i="12"/>
  <c r="D97" i="12"/>
  <c r="C97" i="12"/>
  <c r="L96" i="12"/>
  <c r="K96" i="12"/>
  <c r="J96" i="12"/>
  <c r="I96" i="12"/>
  <c r="H96" i="12"/>
  <c r="G96" i="12"/>
  <c r="F96" i="12"/>
  <c r="E96" i="12"/>
  <c r="D96" i="12"/>
  <c r="C96" i="12"/>
  <c r="L95" i="12"/>
  <c r="K95" i="12"/>
  <c r="J95" i="12"/>
  <c r="I95" i="12"/>
  <c r="H95" i="12"/>
  <c r="G95" i="12"/>
  <c r="F95" i="12"/>
  <c r="E95" i="12"/>
  <c r="D95" i="12"/>
  <c r="C95" i="12"/>
  <c r="L94" i="12"/>
  <c r="K94" i="12"/>
  <c r="J94" i="12"/>
  <c r="I94" i="12"/>
  <c r="H94" i="12"/>
  <c r="G94" i="12"/>
  <c r="F94" i="12"/>
  <c r="E94" i="12"/>
  <c r="D94" i="12"/>
  <c r="C94" i="12"/>
  <c r="L93" i="12"/>
  <c r="K93" i="12"/>
  <c r="J93" i="12"/>
  <c r="I93" i="12"/>
  <c r="H93" i="12"/>
  <c r="G93" i="12"/>
  <c r="F93" i="12"/>
  <c r="E93" i="12"/>
  <c r="D93" i="12"/>
  <c r="C93" i="12"/>
  <c r="C90" i="12"/>
  <c r="C89" i="12"/>
  <c r="C88" i="12"/>
  <c r="C87" i="12"/>
  <c r="C86" i="12"/>
  <c r="C85" i="12"/>
  <c r="C84" i="12"/>
  <c r="C83" i="12"/>
  <c r="C82" i="12"/>
  <c r="C81" i="12"/>
  <c r="C80" i="12"/>
  <c r="C79" i="12"/>
  <c r="C78" i="12"/>
  <c r="C77" i="12"/>
  <c r="C75" i="12"/>
  <c r="C74" i="12"/>
  <c r="C73" i="12"/>
  <c r="C72" i="12"/>
  <c r="C71" i="12"/>
  <c r="C70" i="12"/>
  <c r="C69" i="12"/>
  <c r="C68" i="12"/>
  <c r="C67" i="12"/>
  <c r="C66" i="12"/>
  <c r="C65" i="12"/>
  <c r="C63" i="12"/>
  <c r="C62" i="12"/>
  <c r="C64" i="12"/>
  <c r="C48" i="12"/>
  <c r="E111" i="12" l="1"/>
  <c r="E117" i="12"/>
  <c r="H117" i="12" s="1"/>
  <c r="K117" i="12" s="1"/>
  <c r="N117" i="12" s="1"/>
  <c r="Q117" i="12" s="1"/>
  <c r="E121" i="12"/>
  <c r="H121" i="12" s="1"/>
  <c r="K121" i="12" s="1"/>
  <c r="N121" i="12" s="1"/>
  <c r="Q121" i="12" s="1"/>
  <c r="H110" i="12"/>
  <c r="K110" i="12" s="1"/>
  <c r="N110" i="12" s="1"/>
  <c r="Q110" i="12" s="1"/>
  <c r="H111" i="12"/>
  <c r="K111" i="12" s="1"/>
  <c r="N111" i="12" s="1"/>
  <c r="Q111" i="12" s="1"/>
  <c r="E113" i="12"/>
  <c r="H113" i="12" s="1"/>
  <c r="K113" i="12" s="1"/>
  <c r="N113" i="12" s="1"/>
  <c r="Q113" i="12" s="1"/>
  <c r="E122" i="12"/>
  <c r="H122" i="12" s="1"/>
  <c r="K122" i="12" s="1"/>
  <c r="N122" i="12" s="1"/>
  <c r="Q122" i="12" s="1"/>
  <c r="E123" i="12"/>
  <c r="H123" i="12" s="1"/>
  <c r="K123" i="12" s="1"/>
  <c r="N123" i="12" s="1"/>
  <c r="Q123" i="12" s="1"/>
  <c r="E124" i="12"/>
  <c r="H124" i="12" s="1"/>
  <c r="K124" i="12" s="1"/>
  <c r="N124" i="12" s="1"/>
  <c r="Q124" i="12" s="1"/>
  <c r="E112" i="12"/>
  <c r="H112" i="12" s="1"/>
  <c r="K112" i="12" s="1"/>
  <c r="N112" i="12" s="1"/>
  <c r="Q112" i="12" s="1"/>
  <c r="E114" i="12"/>
  <c r="H114" i="12" s="1"/>
  <c r="K114" i="12" s="1"/>
  <c r="N114" i="12" s="1"/>
  <c r="Q114" i="12" s="1"/>
  <c r="E115" i="12"/>
  <c r="H115" i="12" s="1"/>
  <c r="K115" i="12" s="1"/>
  <c r="N115" i="12" s="1"/>
  <c r="Q115" i="12" s="1"/>
  <c r="E116" i="12"/>
  <c r="H116" i="12" s="1"/>
  <c r="K116" i="12" s="1"/>
  <c r="N116" i="12" s="1"/>
  <c r="Q116" i="12" s="1"/>
  <c r="E118" i="12"/>
  <c r="H118" i="12" s="1"/>
  <c r="K118" i="12" s="1"/>
  <c r="N118" i="12" s="1"/>
  <c r="Q118" i="12" s="1"/>
  <c r="E119" i="12"/>
  <c r="H119" i="12" s="1"/>
  <c r="K119" i="12" s="1"/>
  <c r="N119" i="12" s="1"/>
  <c r="Q119" i="12" s="1"/>
  <c r="E120" i="12"/>
  <c r="H120" i="12" s="1"/>
  <c r="K120" i="12" s="1"/>
  <c r="N120" i="12" s="1"/>
  <c r="Q120" i="12" s="1"/>
  <c r="F30" i="46"/>
  <c r="F25" i="46"/>
  <c r="Q30" i="72" l="1"/>
  <c r="R30" i="72"/>
  <c r="Q25" i="72"/>
  <c r="R25" i="72"/>
  <c r="T30" i="46"/>
  <c r="S120" i="12" s="1"/>
  <c r="S30" i="46"/>
  <c r="U30" i="46" s="1"/>
  <c r="T25" i="46"/>
  <c r="S115" i="12" s="1"/>
  <c r="S25" i="46"/>
  <c r="K57" i="48"/>
  <c r="L57" i="48"/>
  <c r="K58" i="48"/>
  <c r="L58" i="48"/>
  <c r="K59" i="48"/>
  <c r="L59" i="48"/>
  <c r="K60" i="48"/>
  <c r="L60" i="48"/>
  <c r="K61" i="48"/>
  <c r="L61" i="48"/>
  <c r="K62" i="48"/>
  <c r="L62" i="48"/>
  <c r="K63" i="48"/>
  <c r="L63" i="48"/>
  <c r="K64" i="48"/>
  <c r="L64" i="48"/>
  <c r="K65" i="48"/>
  <c r="L65" i="48"/>
  <c r="K66" i="48"/>
  <c r="L66" i="48"/>
  <c r="K67" i="48"/>
  <c r="L67" i="48"/>
  <c r="K68" i="48"/>
  <c r="L68" i="48"/>
  <c r="K69" i="48"/>
  <c r="L69" i="48"/>
  <c r="K70" i="48"/>
  <c r="L70" i="48"/>
  <c r="K71" i="48"/>
  <c r="L71" i="48"/>
  <c r="K72" i="48"/>
  <c r="L72" i="48"/>
  <c r="K73" i="48"/>
  <c r="L73" i="48"/>
  <c r="K74" i="48"/>
  <c r="L74" i="48"/>
  <c r="K75" i="48"/>
  <c r="L75" i="48"/>
  <c r="K76" i="48"/>
  <c r="L76" i="48"/>
  <c r="K77" i="48"/>
  <c r="L77" i="48"/>
  <c r="K78" i="48"/>
  <c r="L78" i="48"/>
  <c r="K79" i="48"/>
  <c r="L79" i="48"/>
  <c r="K80" i="48"/>
  <c r="L80" i="48"/>
  <c r="K81" i="48"/>
  <c r="L81" i="48"/>
  <c r="K82" i="48"/>
  <c r="L82" i="48"/>
  <c r="K83" i="48"/>
  <c r="L83" i="48"/>
  <c r="K84" i="48"/>
  <c r="L84" i="48"/>
  <c r="K85" i="48"/>
  <c r="L85" i="48"/>
  <c r="K86" i="48"/>
  <c r="L86" i="48"/>
  <c r="K87" i="48"/>
  <c r="L87" i="48"/>
  <c r="K88" i="48"/>
  <c r="L88" i="48"/>
  <c r="K89" i="48"/>
  <c r="L89" i="48"/>
  <c r="K90" i="48"/>
  <c r="L90" i="48"/>
  <c r="K91" i="48"/>
  <c r="L91" i="48"/>
  <c r="K92" i="48"/>
  <c r="L92" i="48"/>
  <c r="K93" i="48"/>
  <c r="L93" i="48"/>
  <c r="K94" i="48"/>
  <c r="L94" i="48"/>
  <c r="K95" i="48"/>
  <c r="L95" i="48"/>
  <c r="K96" i="48"/>
  <c r="L96" i="48"/>
  <c r="K97" i="48"/>
  <c r="L97" i="48"/>
  <c r="K98" i="48"/>
  <c r="L98" i="48"/>
  <c r="K99" i="48"/>
  <c r="L99" i="48"/>
  <c r="K100" i="48"/>
  <c r="L100" i="48"/>
  <c r="K101" i="48"/>
  <c r="L101" i="48"/>
  <c r="K102" i="48"/>
  <c r="L102" i="48"/>
  <c r="K103" i="48"/>
  <c r="L103" i="48"/>
  <c r="K104" i="48"/>
  <c r="L104" i="48"/>
  <c r="K105" i="48"/>
  <c r="L105" i="48"/>
  <c r="K106" i="48"/>
  <c r="L106" i="48"/>
  <c r="K107" i="48"/>
  <c r="L107" i="48"/>
  <c r="K108" i="48"/>
  <c r="L108" i="48"/>
  <c r="K109" i="48"/>
  <c r="L109" i="48"/>
  <c r="K110" i="48"/>
  <c r="L110" i="48"/>
  <c r="K111" i="48"/>
  <c r="L111" i="48"/>
  <c r="K112" i="48"/>
  <c r="L112" i="48"/>
  <c r="K113" i="48"/>
  <c r="L113" i="48"/>
  <c r="K114" i="48"/>
  <c r="L114" i="48"/>
  <c r="K115" i="48"/>
  <c r="L115" i="48"/>
  <c r="K116" i="48"/>
  <c r="L116" i="48"/>
  <c r="K117" i="48"/>
  <c r="L117" i="48"/>
  <c r="K118" i="48"/>
  <c r="L118" i="48"/>
  <c r="K119" i="48"/>
  <c r="L119" i="48"/>
  <c r="K120" i="48"/>
  <c r="L120" i="48"/>
  <c r="K121" i="48"/>
  <c r="L121" i="48"/>
  <c r="I36" i="46"/>
  <c r="I35" i="46"/>
  <c r="U25" i="46" l="1"/>
  <c r="S30" i="72"/>
  <c r="S25" i="72"/>
  <c r="R120" i="12"/>
  <c r="R115" i="12"/>
  <c r="M2056" i="48"/>
  <c r="L2056" i="48"/>
  <c r="M555" i="48"/>
  <c r="L555" i="48"/>
  <c r="M554" i="48"/>
  <c r="L554" i="48"/>
  <c r="M553" i="48"/>
  <c r="L553" i="48"/>
  <c r="M552" i="48"/>
  <c r="L552" i="48"/>
  <c r="M551" i="48"/>
  <c r="L551" i="48"/>
  <c r="M550" i="48"/>
  <c r="L550" i="48"/>
  <c r="M549" i="48"/>
  <c r="L549" i="48"/>
  <c r="M548" i="48"/>
  <c r="L548" i="48"/>
  <c r="M547" i="48"/>
  <c r="L547" i="48"/>
  <c r="M546" i="48"/>
  <c r="L546" i="48"/>
  <c r="M545" i="48"/>
  <c r="L545" i="48"/>
  <c r="M544" i="48"/>
  <c r="L544" i="48"/>
  <c r="M543" i="48"/>
  <c r="L543" i="48"/>
  <c r="M542" i="48"/>
  <c r="L542" i="48"/>
  <c r="M541" i="48"/>
  <c r="L541" i="48"/>
  <c r="M540" i="48"/>
  <c r="L540" i="48"/>
  <c r="M539" i="48"/>
  <c r="L539" i="48"/>
  <c r="M538" i="48"/>
  <c r="L538" i="48"/>
  <c r="M537" i="48"/>
  <c r="L537" i="48"/>
  <c r="M536" i="48"/>
  <c r="L536" i="48"/>
  <c r="M535" i="48"/>
  <c r="L535" i="48"/>
  <c r="M534" i="48"/>
  <c r="L534" i="48"/>
  <c r="M533" i="48"/>
  <c r="L533" i="48"/>
  <c r="M532" i="48"/>
  <c r="L532" i="48"/>
  <c r="M531" i="48"/>
  <c r="L531" i="48"/>
  <c r="M530" i="48"/>
  <c r="L530" i="48"/>
  <c r="M529" i="48"/>
  <c r="L529" i="48"/>
  <c r="M528" i="48"/>
  <c r="L528" i="48"/>
  <c r="M527" i="48"/>
  <c r="L527" i="48"/>
  <c r="M526" i="48"/>
  <c r="L526" i="48"/>
  <c r="M525" i="48"/>
  <c r="L525" i="48"/>
  <c r="M524" i="48"/>
  <c r="L524" i="48"/>
  <c r="M523" i="48"/>
  <c r="L523" i="48"/>
  <c r="M522" i="48"/>
  <c r="L522" i="48"/>
  <c r="M521" i="48"/>
  <c r="L521" i="48"/>
  <c r="M520" i="48"/>
  <c r="L520" i="48"/>
  <c r="M519" i="48"/>
  <c r="L519" i="48"/>
  <c r="M518" i="48"/>
  <c r="L518" i="48"/>
  <c r="M517" i="48"/>
  <c r="L517" i="48"/>
  <c r="M516" i="48"/>
  <c r="L516" i="48"/>
  <c r="M515" i="48"/>
  <c r="L515" i="48"/>
  <c r="M514" i="48"/>
  <c r="L514" i="48"/>
  <c r="M513" i="48"/>
  <c r="L513" i="48"/>
  <c r="M512" i="48"/>
  <c r="L512" i="48"/>
  <c r="M511" i="48"/>
  <c r="L511" i="48"/>
  <c r="M510" i="48"/>
  <c r="L510" i="48"/>
  <c r="M509" i="48"/>
  <c r="L509" i="48"/>
  <c r="M508" i="48"/>
  <c r="L508" i="48"/>
  <c r="M507" i="48"/>
  <c r="L507" i="48"/>
  <c r="M506" i="48"/>
  <c r="L506" i="48"/>
  <c r="M505" i="48"/>
  <c r="L505" i="48"/>
  <c r="M504" i="48"/>
  <c r="L504" i="48"/>
  <c r="M503" i="48"/>
  <c r="L503" i="48"/>
  <c r="M502" i="48"/>
  <c r="L502" i="48"/>
  <c r="M501" i="48"/>
  <c r="L501" i="48"/>
  <c r="M500" i="48"/>
  <c r="L500" i="48"/>
  <c r="M499" i="48"/>
  <c r="L499" i="48"/>
  <c r="M498" i="48"/>
  <c r="L498" i="48"/>
  <c r="M497" i="48"/>
  <c r="L497" i="48"/>
  <c r="M496" i="48"/>
  <c r="L496" i="48"/>
  <c r="M495" i="48"/>
  <c r="L495" i="48"/>
  <c r="M494" i="48"/>
  <c r="L494" i="48"/>
  <c r="M493" i="48"/>
  <c r="L493" i="48"/>
  <c r="M492" i="48"/>
  <c r="L492" i="48"/>
  <c r="M491" i="48"/>
  <c r="L491" i="48"/>
  <c r="M490" i="48"/>
  <c r="L490" i="48"/>
  <c r="M489" i="48"/>
  <c r="L489" i="48"/>
  <c r="M488" i="48"/>
  <c r="L488" i="48"/>
  <c r="M487" i="48"/>
  <c r="L487" i="48"/>
  <c r="M486" i="48"/>
  <c r="L486" i="48"/>
  <c r="M485" i="48"/>
  <c r="L485" i="48"/>
  <c r="M484" i="48"/>
  <c r="L484" i="48"/>
  <c r="M483" i="48"/>
  <c r="L483" i="48"/>
  <c r="M482" i="48"/>
  <c r="L482" i="48"/>
  <c r="M481" i="48"/>
  <c r="L481" i="48"/>
  <c r="M480" i="48"/>
  <c r="L480" i="48"/>
  <c r="M479" i="48"/>
  <c r="L479" i="48"/>
  <c r="M478" i="48"/>
  <c r="L478" i="48"/>
  <c r="M477" i="48"/>
  <c r="L477" i="48"/>
  <c r="M476" i="48"/>
  <c r="L476" i="48"/>
  <c r="M475" i="48"/>
  <c r="L475" i="48"/>
  <c r="M474" i="48"/>
  <c r="L474" i="48"/>
  <c r="M473" i="48"/>
  <c r="L473" i="48"/>
  <c r="M472" i="48"/>
  <c r="L472" i="48"/>
  <c r="M471" i="48"/>
  <c r="L471" i="48"/>
  <c r="M470" i="48"/>
  <c r="L470" i="48"/>
  <c r="M469" i="48"/>
  <c r="L469" i="48"/>
  <c r="M468" i="48"/>
  <c r="L468" i="48"/>
  <c r="M467" i="48"/>
  <c r="L467" i="48"/>
  <c r="M466" i="48"/>
  <c r="L466" i="48"/>
  <c r="M465" i="48"/>
  <c r="L465" i="48"/>
  <c r="M464" i="48"/>
  <c r="L464" i="48"/>
  <c r="M463" i="48"/>
  <c r="L463" i="48"/>
  <c r="M462" i="48"/>
  <c r="L462" i="48"/>
  <c r="M461" i="48"/>
  <c r="L461" i="48"/>
  <c r="M460" i="48"/>
  <c r="L460" i="48"/>
  <c r="M459" i="48"/>
  <c r="L459" i="48"/>
  <c r="M458" i="48"/>
  <c r="L458" i="48"/>
  <c r="M457" i="48"/>
  <c r="L457" i="48"/>
  <c r="M456" i="48"/>
  <c r="L456" i="48"/>
  <c r="M455" i="48"/>
  <c r="L455" i="48"/>
  <c r="M454" i="48"/>
  <c r="L454" i="48"/>
  <c r="M453" i="48"/>
  <c r="L453" i="48"/>
  <c r="M452" i="48"/>
  <c r="L452" i="48"/>
  <c r="M451" i="48"/>
  <c r="L451" i="48"/>
  <c r="M450" i="48"/>
  <c r="L450" i="48"/>
  <c r="M449" i="48"/>
  <c r="L449" i="48"/>
  <c r="M448" i="48"/>
  <c r="L448" i="48"/>
  <c r="M447" i="48"/>
  <c r="L447" i="48"/>
  <c r="M446" i="48"/>
  <c r="L446" i="48"/>
  <c r="M445" i="48"/>
  <c r="L445" i="48"/>
  <c r="M444" i="48"/>
  <c r="L444" i="48"/>
  <c r="M443" i="48"/>
  <c r="L443" i="48"/>
  <c r="M442" i="48"/>
  <c r="L442" i="48"/>
  <c r="M441" i="48"/>
  <c r="L441" i="48"/>
  <c r="M440" i="48"/>
  <c r="L440" i="48"/>
  <c r="M439" i="48"/>
  <c r="L439" i="48"/>
  <c r="M438" i="48"/>
  <c r="L438" i="48"/>
  <c r="M437" i="48"/>
  <c r="L437" i="48"/>
  <c r="M436" i="48"/>
  <c r="L436" i="48"/>
  <c r="M435" i="48"/>
  <c r="L435" i="48"/>
  <c r="M434" i="48"/>
  <c r="L434" i="48"/>
  <c r="M433" i="48"/>
  <c r="L433" i="48"/>
  <c r="M432" i="48"/>
  <c r="L432" i="48"/>
  <c r="M431" i="48"/>
  <c r="L431" i="48"/>
  <c r="M430" i="48"/>
  <c r="L430" i="48"/>
  <c r="M429" i="48"/>
  <c r="L429" i="48"/>
  <c r="M428" i="48"/>
  <c r="L428" i="48"/>
  <c r="M427" i="48"/>
  <c r="L427" i="48"/>
  <c r="M426" i="48"/>
  <c r="L426" i="48"/>
  <c r="M425" i="48"/>
  <c r="L425" i="48"/>
  <c r="M424" i="48"/>
  <c r="L424" i="48"/>
  <c r="M423" i="48"/>
  <c r="L423" i="48"/>
  <c r="M422" i="48"/>
  <c r="L422" i="48"/>
  <c r="M421" i="48"/>
  <c r="L421" i="48"/>
  <c r="M420" i="48"/>
  <c r="L420" i="48"/>
  <c r="M419" i="48"/>
  <c r="L419" i="48"/>
  <c r="M418" i="48"/>
  <c r="L418" i="48"/>
  <c r="M417" i="48"/>
  <c r="L417" i="48"/>
  <c r="M416" i="48"/>
  <c r="L416" i="48"/>
  <c r="M415" i="48"/>
  <c r="L415" i="48"/>
  <c r="M414" i="48"/>
  <c r="L414" i="48"/>
  <c r="M413" i="48"/>
  <c r="L413" i="48"/>
  <c r="M412" i="48"/>
  <c r="L412" i="48"/>
  <c r="M411" i="48"/>
  <c r="L411" i="48"/>
  <c r="M410" i="48"/>
  <c r="L410" i="48"/>
  <c r="M409" i="48"/>
  <c r="L409" i="48"/>
  <c r="M408" i="48"/>
  <c r="L408" i="48"/>
  <c r="M407" i="48"/>
  <c r="L407" i="48"/>
  <c r="M406" i="48"/>
  <c r="L406" i="48"/>
  <c r="M405" i="48"/>
  <c r="L405" i="48"/>
  <c r="M404" i="48"/>
  <c r="L404" i="48"/>
  <c r="M403" i="48"/>
  <c r="L403" i="48"/>
  <c r="M402" i="48"/>
  <c r="L402" i="48"/>
  <c r="M401" i="48"/>
  <c r="L401" i="48"/>
  <c r="M400" i="48"/>
  <c r="L400" i="48"/>
  <c r="M399" i="48"/>
  <c r="L399" i="48"/>
  <c r="M398" i="48"/>
  <c r="L398" i="48"/>
  <c r="M397" i="48"/>
  <c r="L397" i="48"/>
  <c r="M396" i="48"/>
  <c r="L396" i="48"/>
  <c r="M395" i="48"/>
  <c r="L395" i="48"/>
  <c r="M394" i="48"/>
  <c r="L394" i="48"/>
  <c r="M393" i="48"/>
  <c r="L393" i="48"/>
  <c r="M392" i="48"/>
  <c r="L392" i="48"/>
  <c r="M391" i="48"/>
  <c r="L391" i="48"/>
  <c r="M390" i="48"/>
  <c r="L390" i="48"/>
  <c r="M389" i="48"/>
  <c r="L389" i="48"/>
  <c r="M388" i="48"/>
  <c r="L388" i="48"/>
  <c r="M387" i="48"/>
  <c r="L387" i="48"/>
  <c r="M386" i="48"/>
  <c r="L386" i="48"/>
  <c r="M385" i="48"/>
  <c r="L385" i="48"/>
  <c r="M384" i="48"/>
  <c r="L384" i="48"/>
  <c r="M383" i="48"/>
  <c r="L383" i="48"/>
  <c r="M382" i="48"/>
  <c r="L382" i="48"/>
  <c r="M381" i="48"/>
  <c r="L381" i="48"/>
  <c r="M380" i="48"/>
  <c r="L380" i="48"/>
  <c r="M379" i="48"/>
  <c r="L379" i="48"/>
  <c r="M378" i="48"/>
  <c r="L378" i="48"/>
  <c r="M377" i="48"/>
  <c r="L377" i="48"/>
  <c r="M376" i="48"/>
  <c r="L376" i="48"/>
  <c r="M375" i="48"/>
  <c r="L375" i="48"/>
  <c r="M374" i="48"/>
  <c r="L374" i="48"/>
  <c r="M373" i="48"/>
  <c r="L373" i="48"/>
  <c r="M372" i="48"/>
  <c r="L372" i="48"/>
  <c r="M371" i="48"/>
  <c r="L371" i="48"/>
  <c r="M370" i="48"/>
  <c r="L370" i="48"/>
  <c r="M369" i="48"/>
  <c r="L369" i="48"/>
  <c r="M368" i="48"/>
  <c r="L368" i="48"/>
  <c r="M367" i="48"/>
  <c r="L367" i="48"/>
  <c r="M366" i="48"/>
  <c r="L366" i="48"/>
  <c r="M365" i="48"/>
  <c r="L365" i="48"/>
  <c r="M364" i="48"/>
  <c r="L364" i="48"/>
  <c r="M363" i="48"/>
  <c r="L363" i="48"/>
  <c r="M362" i="48"/>
  <c r="L362" i="48"/>
  <c r="M361" i="48"/>
  <c r="L361" i="48"/>
  <c r="M360" i="48"/>
  <c r="L360" i="48"/>
  <c r="M359" i="48"/>
  <c r="L359" i="48"/>
  <c r="M358" i="48"/>
  <c r="L358" i="48"/>
  <c r="M357" i="48"/>
  <c r="L357" i="48"/>
  <c r="M356" i="48"/>
  <c r="L356" i="48"/>
  <c r="M355" i="48"/>
  <c r="L355" i="48"/>
  <c r="M354" i="48"/>
  <c r="L354" i="48"/>
  <c r="M353" i="48"/>
  <c r="L353" i="48"/>
  <c r="M352" i="48"/>
  <c r="L352" i="48"/>
  <c r="M351" i="48"/>
  <c r="L351" i="48"/>
  <c r="M350" i="48"/>
  <c r="L350" i="48"/>
  <c r="M349" i="48"/>
  <c r="L349" i="48"/>
  <c r="M348" i="48"/>
  <c r="L348" i="48"/>
  <c r="M347" i="48"/>
  <c r="L347" i="48"/>
  <c r="M346" i="48"/>
  <c r="L346" i="48"/>
  <c r="M345" i="48"/>
  <c r="L345" i="48"/>
  <c r="M344" i="48"/>
  <c r="L344" i="48"/>
  <c r="M343" i="48"/>
  <c r="L343" i="48"/>
  <c r="M342" i="48"/>
  <c r="L342" i="48"/>
  <c r="M341" i="48"/>
  <c r="L341" i="48"/>
  <c r="M340" i="48"/>
  <c r="L340" i="48"/>
  <c r="M339" i="48"/>
  <c r="L339" i="48"/>
  <c r="M338" i="48"/>
  <c r="L338" i="48"/>
  <c r="M337" i="48"/>
  <c r="L337" i="48"/>
  <c r="M336" i="48"/>
  <c r="L336" i="48"/>
  <c r="M335" i="48"/>
  <c r="L335" i="48"/>
  <c r="M334" i="48"/>
  <c r="L334" i="48"/>
  <c r="M333" i="48"/>
  <c r="L333" i="48"/>
  <c r="M332" i="48"/>
  <c r="L332" i="48"/>
  <c r="M331" i="48"/>
  <c r="L331" i="48"/>
  <c r="M330" i="48"/>
  <c r="L330" i="48"/>
  <c r="M329" i="48"/>
  <c r="L329" i="48"/>
  <c r="M328" i="48"/>
  <c r="L328" i="48"/>
  <c r="M327" i="48"/>
  <c r="L327" i="48"/>
  <c r="M326" i="48"/>
  <c r="L326" i="48"/>
  <c r="M325" i="48"/>
  <c r="L325" i="48"/>
  <c r="M324" i="48"/>
  <c r="L324" i="48"/>
  <c r="M323" i="48"/>
  <c r="L323" i="48"/>
  <c r="M322" i="48"/>
  <c r="L322" i="48"/>
  <c r="M321" i="48"/>
  <c r="L321" i="48"/>
  <c r="M320" i="48"/>
  <c r="L320" i="48"/>
  <c r="M319" i="48"/>
  <c r="L319" i="48"/>
  <c r="M318" i="48"/>
  <c r="L318" i="48"/>
  <c r="M317" i="48"/>
  <c r="L317" i="48"/>
  <c r="M316" i="48"/>
  <c r="L316" i="48"/>
  <c r="M315" i="48"/>
  <c r="L315" i="48"/>
  <c r="M314" i="48"/>
  <c r="L314" i="48"/>
  <c r="M313" i="48"/>
  <c r="L313" i="48"/>
  <c r="M312" i="48"/>
  <c r="L312" i="48"/>
  <c r="M311" i="48"/>
  <c r="L311" i="48"/>
  <c r="M310" i="48"/>
  <c r="L310" i="48"/>
  <c r="M309" i="48"/>
  <c r="L309" i="48"/>
  <c r="M308" i="48"/>
  <c r="L308" i="48"/>
  <c r="M307" i="48"/>
  <c r="L307" i="48"/>
  <c r="M306" i="48"/>
  <c r="L306" i="48"/>
  <c r="M305" i="48"/>
  <c r="L305" i="48"/>
  <c r="M304" i="48"/>
  <c r="L304" i="48"/>
  <c r="M303" i="48"/>
  <c r="L303" i="48"/>
  <c r="M302" i="48"/>
  <c r="L302" i="48"/>
  <c r="M301" i="48"/>
  <c r="L301" i="48"/>
  <c r="M300" i="48"/>
  <c r="L300" i="48"/>
  <c r="M299" i="48"/>
  <c r="L299" i="48"/>
  <c r="M298" i="48"/>
  <c r="L298" i="48"/>
  <c r="M297" i="48"/>
  <c r="L297" i="48"/>
  <c r="M296" i="48"/>
  <c r="L296" i="48"/>
  <c r="M295" i="48"/>
  <c r="L295" i="48"/>
  <c r="M294" i="48"/>
  <c r="L294" i="48"/>
  <c r="M293" i="48"/>
  <c r="L293" i="48"/>
  <c r="M292" i="48"/>
  <c r="L292" i="48"/>
  <c r="M291" i="48"/>
  <c r="L291" i="48"/>
  <c r="M290" i="48"/>
  <c r="L290" i="48"/>
  <c r="M289" i="48"/>
  <c r="L289" i="48"/>
  <c r="M288" i="48"/>
  <c r="L288" i="48"/>
  <c r="M287" i="48"/>
  <c r="L287" i="48"/>
  <c r="M286" i="48"/>
  <c r="L286" i="48"/>
  <c r="M285" i="48"/>
  <c r="L285" i="48"/>
  <c r="M284" i="48"/>
  <c r="L284" i="48"/>
  <c r="M283" i="48"/>
  <c r="L283" i="48"/>
  <c r="M282" i="48"/>
  <c r="L282" i="48"/>
  <c r="M281" i="48"/>
  <c r="L281" i="48"/>
  <c r="M280" i="48"/>
  <c r="L280" i="48"/>
  <c r="M279" i="48"/>
  <c r="L279" i="48"/>
  <c r="M278" i="48"/>
  <c r="L278" i="48"/>
  <c r="M277" i="48"/>
  <c r="L277" i="48"/>
  <c r="M276" i="48"/>
  <c r="L276" i="48"/>
  <c r="M275" i="48"/>
  <c r="L275" i="48"/>
  <c r="M274" i="48"/>
  <c r="L274" i="48"/>
  <c r="M273" i="48"/>
  <c r="L273" i="48"/>
  <c r="M272" i="48"/>
  <c r="L272" i="48"/>
  <c r="M271" i="48"/>
  <c r="L271" i="48"/>
  <c r="M270" i="48"/>
  <c r="L270" i="48"/>
  <c r="M269" i="48"/>
  <c r="L269" i="48"/>
  <c r="M268" i="48"/>
  <c r="L268" i="48"/>
  <c r="M267" i="48"/>
  <c r="L267" i="48"/>
  <c r="M266" i="48"/>
  <c r="L266" i="48"/>
  <c r="M265" i="48"/>
  <c r="L265" i="48"/>
  <c r="M264" i="48"/>
  <c r="L264" i="48"/>
  <c r="M263" i="48"/>
  <c r="L263" i="48"/>
  <c r="M262" i="48"/>
  <c r="L262" i="48"/>
  <c r="M261" i="48"/>
  <c r="L261" i="48"/>
  <c r="M260" i="48"/>
  <c r="L260" i="48"/>
  <c r="M259" i="48"/>
  <c r="L259" i="48"/>
  <c r="M258" i="48"/>
  <c r="L258" i="48"/>
  <c r="M257" i="48"/>
  <c r="L257" i="48"/>
  <c r="M256" i="48"/>
  <c r="L256" i="48"/>
  <c r="M255" i="48"/>
  <c r="L255" i="48"/>
  <c r="M254" i="48"/>
  <c r="L254" i="48"/>
  <c r="M253" i="48"/>
  <c r="L253" i="48"/>
  <c r="M252" i="48"/>
  <c r="L252" i="48"/>
  <c r="M251" i="48"/>
  <c r="L251" i="48"/>
  <c r="M250" i="48"/>
  <c r="L250" i="48"/>
  <c r="M249" i="48"/>
  <c r="L249" i="48"/>
  <c r="M248" i="48"/>
  <c r="L248" i="48"/>
  <c r="M247" i="48"/>
  <c r="L247" i="48"/>
  <c r="M246" i="48"/>
  <c r="L246" i="48"/>
  <c r="M245" i="48"/>
  <c r="L245" i="48"/>
  <c r="M244" i="48"/>
  <c r="L244" i="48"/>
  <c r="M243" i="48"/>
  <c r="L243" i="48"/>
  <c r="M242" i="48"/>
  <c r="L242" i="48"/>
  <c r="M241" i="48"/>
  <c r="L241" i="48"/>
  <c r="M240" i="48"/>
  <c r="L240" i="48"/>
  <c r="M239" i="48"/>
  <c r="L239" i="48"/>
  <c r="M238" i="48"/>
  <c r="L238" i="48"/>
  <c r="M237" i="48"/>
  <c r="L237" i="48"/>
  <c r="M236" i="48"/>
  <c r="L236" i="48"/>
  <c r="M235" i="48"/>
  <c r="L235" i="48"/>
  <c r="M234" i="48"/>
  <c r="L234" i="48"/>
  <c r="M233" i="48"/>
  <c r="L233" i="48"/>
  <c r="M232" i="48"/>
  <c r="L232" i="48"/>
  <c r="M231" i="48"/>
  <c r="L231" i="48"/>
  <c r="M230" i="48"/>
  <c r="L230" i="48"/>
  <c r="M229" i="48"/>
  <c r="L229" i="48"/>
  <c r="M228" i="48"/>
  <c r="L228" i="48"/>
  <c r="M227" i="48"/>
  <c r="L227" i="48"/>
  <c r="M226" i="48"/>
  <c r="L226" i="48"/>
  <c r="M225" i="48"/>
  <c r="L225" i="48"/>
  <c r="M224" i="48"/>
  <c r="L224" i="48"/>
  <c r="M223" i="48"/>
  <c r="L223" i="48"/>
  <c r="M222" i="48"/>
  <c r="L222" i="48"/>
  <c r="M221" i="48"/>
  <c r="L221" i="48"/>
  <c r="M220" i="48"/>
  <c r="L220" i="48"/>
  <c r="M219" i="48"/>
  <c r="L219" i="48"/>
  <c r="M218" i="48"/>
  <c r="L218" i="48"/>
  <c r="M217" i="48"/>
  <c r="L217" i="48"/>
  <c r="M216" i="48"/>
  <c r="L216" i="48"/>
  <c r="M215" i="48"/>
  <c r="L215" i="48"/>
  <c r="M214" i="48"/>
  <c r="L214" i="48"/>
  <c r="M213" i="48"/>
  <c r="L213" i="48"/>
  <c r="M212" i="48"/>
  <c r="L212" i="48"/>
  <c r="M211" i="48"/>
  <c r="L211" i="48"/>
  <c r="M210" i="48"/>
  <c r="L210" i="48"/>
  <c r="M209" i="48"/>
  <c r="L209" i="48"/>
  <c r="M208" i="48"/>
  <c r="L208" i="48"/>
  <c r="M207" i="48"/>
  <c r="L207" i="48"/>
  <c r="M206" i="48"/>
  <c r="L206" i="48"/>
  <c r="M205" i="48"/>
  <c r="L205" i="48"/>
  <c r="M204" i="48"/>
  <c r="L204" i="48"/>
  <c r="M203" i="48"/>
  <c r="L203" i="48"/>
  <c r="M202" i="48"/>
  <c r="L202" i="48"/>
  <c r="M201" i="48"/>
  <c r="L201" i="48"/>
  <c r="M200" i="48"/>
  <c r="L200" i="48"/>
  <c r="M199" i="48"/>
  <c r="L199" i="48"/>
  <c r="M198" i="48"/>
  <c r="L198" i="48"/>
  <c r="M197" i="48"/>
  <c r="L197" i="48"/>
  <c r="M196" i="48"/>
  <c r="L196" i="48"/>
  <c r="M195" i="48"/>
  <c r="L195" i="48"/>
  <c r="M194" i="48"/>
  <c r="L194" i="48"/>
  <c r="M193" i="48"/>
  <c r="L193" i="48"/>
  <c r="M192" i="48"/>
  <c r="L192" i="48"/>
  <c r="M191" i="48"/>
  <c r="L191" i="48"/>
  <c r="M190" i="48"/>
  <c r="L190" i="48"/>
  <c r="M189" i="48"/>
  <c r="L189" i="48"/>
  <c r="M188" i="48"/>
  <c r="L188" i="48"/>
  <c r="M187" i="48"/>
  <c r="L187" i="48"/>
  <c r="M186" i="48"/>
  <c r="L186" i="48"/>
  <c r="M185" i="48"/>
  <c r="L185" i="48"/>
  <c r="M184" i="48"/>
  <c r="L184" i="48"/>
  <c r="M183" i="48"/>
  <c r="L183" i="48"/>
  <c r="M182" i="48"/>
  <c r="L182" i="48"/>
  <c r="M181" i="48"/>
  <c r="L181" i="48"/>
  <c r="M180" i="48"/>
  <c r="L180" i="48"/>
  <c r="M179" i="48"/>
  <c r="L179" i="48"/>
  <c r="M178" i="48"/>
  <c r="L178" i="48"/>
  <c r="M177" i="48"/>
  <c r="L177" i="48"/>
  <c r="M176" i="48"/>
  <c r="L176" i="48"/>
  <c r="M175" i="48"/>
  <c r="L175" i="48"/>
  <c r="M174" i="48"/>
  <c r="L174" i="48"/>
  <c r="M173" i="48"/>
  <c r="L173" i="48"/>
  <c r="M172" i="48"/>
  <c r="L172" i="48"/>
  <c r="M171" i="48"/>
  <c r="L171" i="48"/>
  <c r="M170" i="48"/>
  <c r="L170" i="48"/>
  <c r="M169" i="48"/>
  <c r="L169" i="48"/>
  <c r="M168" i="48"/>
  <c r="L168" i="48"/>
  <c r="M167" i="48"/>
  <c r="L167" i="48"/>
  <c r="M166" i="48"/>
  <c r="L166" i="48"/>
  <c r="M165" i="48"/>
  <c r="L165" i="48"/>
  <c r="M164" i="48"/>
  <c r="L164" i="48"/>
  <c r="M163" i="48"/>
  <c r="L163" i="48"/>
  <c r="M162" i="48"/>
  <c r="L162" i="48"/>
  <c r="M161" i="48"/>
  <c r="L161" i="48"/>
  <c r="M160" i="48"/>
  <c r="L160" i="48"/>
  <c r="M159" i="48"/>
  <c r="L159" i="48"/>
  <c r="M158" i="48"/>
  <c r="L158" i="48"/>
  <c r="M157" i="48"/>
  <c r="L157" i="48"/>
  <c r="M156" i="48"/>
  <c r="L156" i="48"/>
  <c r="M155" i="48"/>
  <c r="L155" i="48"/>
  <c r="M154" i="48"/>
  <c r="L154" i="48"/>
  <c r="M153" i="48"/>
  <c r="L153" i="48"/>
  <c r="M152" i="48"/>
  <c r="L152" i="48"/>
  <c r="M151" i="48"/>
  <c r="L151" i="48"/>
  <c r="M150" i="48"/>
  <c r="L150" i="48"/>
  <c r="M149" i="48"/>
  <c r="L149" i="48"/>
  <c r="M148" i="48"/>
  <c r="L148" i="48"/>
  <c r="M147" i="48"/>
  <c r="L147" i="48"/>
  <c r="M146" i="48"/>
  <c r="L146" i="48"/>
  <c r="M145" i="48"/>
  <c r="L145" i="48"/>
  <c r="M144" i="48"/>
  <c r="L144" i="48"/>
  <c r="M143" i="48"/>
  <c r="L143" i="48"/>
  <c r="M142" i="48"/>
  <c r="L142" i="48"/>
  <c r="M141" i="48"/>
  <c r="L141" i="48"/>
  <c r="M140" i="48"/>
  <c r="L140" i="48"/>
  <c r="M139" i="48"/>
  <c r="L139" i="48"/>
  <c r="M138" i="48"/>
  <c r="L138" i="48"/>
  <c r="M137" i="48"/>
  <c r="L137" i="48"/>
  <c r="M136" i="48"/>
  <c r="L136" i="48"/>
  <c r="M135" i="48"/>
  <c r="L135" i="48"/>
  <c r="M134" i="48"/>
  <c r="L134" i="48"/>
  <c r="M133" i="48"/>
  <c r="L133" i="48"/>
  <c r="M132" i="48"/>
  <c r="L132" i="48"/>
  <c r="M131" i="48"/>
  <c r="L131" i="48"/>
  <c r="M130" i="48"/>
  <c r="L130" i="48"/>
  <c r="M129" i="48"/>
  <c r="L129" i="48"/>
  <c r="M128" i="48"/>
  <c r="L128" i="48"/>
  <c r="M127" i="48"/>
  <c r="L127" i="48"/>
  <c r="M126" i="48"/>
  <c r="L126" i="48"/>
  <c r="M125" i="48"/>
  <c r="L125" i="48"/>
  <c r="M124" i="48"/>
  <c r="L124" i="48"/>
  <c r="M123" i="48"/>
  <c r="L123" i="48"/>
  <c r="M122" i="48"/>
  <c r="L122" i="48"/>
  <c r="M121" i="48"/>
  <c r="M120" i="48"/>
  <c r="M119" i="48"/>
  <c r="M118" i="48"/>
  <c r="M117" i="48"/>
  <c r="M116" i="48"/>
  <c r="M115" i="48"/>
  <c r="M114" i="48"/>
  <c r="M113" i="48"/>
  <c r="M112" i="48"/>
  <c r="M111" i="48"/>
  <c r="M110" i="48"/>
  <c r="M109" i="48"/>
  <c r="M108" i="48"/>
  <c r="M107" i="48"/>
  <c r="M106" i="48"/>
  <c r="M105" i="48"/>
  <c r="M104" i="48"/>
  <c r="M103" i="48"/>
  <c r="M102" i="48"/>
  <c r="M101" i="48"/>
  <c r="M100" i="48"/>
  <c r="M99" i="48"/>
  <c r="M98" i="48"/>
  <c r="M97" i="48"/>
  <c r="M96" i="48"/>
  <c r="M95" i="48"/>
  <c r="M94" i="48"/>
  <c r="M93" i="48"/>
  <c r="M92" i="48"/>
  <c r="M91" i="48"/>
  <c r="M90" i="48"/>
  <c r="M89" i="48"/>
  <c r="M88" i="48"/>
  <c r="M87" i="48"/>
  <c r="M86" i="48"/>
  <c r="M85" i="48"/>
  <c r="M84" i="48"/>
  <c r="M83" i="48"/>
  <c r="M82" i="48"/>
  <c r="M81" i="48"/>
  <c r="M80" i="48"/>
  <c r="M79" i="48"/>
  <c r="M78" i="48"/>
  <c r="M77" i="48"/>
  <c r="M76" i="48"/>
  <c r="M75" i="48"/>
  <c r="M74" i="48"/>
  <c r="M73" i="48"/>
  <c r="M72" i="48"/>
  <c r="M71" i="48"/>
  <c r="M70" i="48"/>
  <c r="M69" i="48"/>
  <c r="M68" i="48"/>
  <c r="M67" i="48"/>
  <c r="M66" i="48"/>
  <c r="M65" i="48"/>
  <c r="M64" i="48"/>
  <c r="M63" i="48"/>
  <c r="M62" i="48"/>
  <c r="M61" i="48"/>
  <c r="M60" i="48"/>
  <c r="M59" i="48"/>
  <c r="M58" i="48"/>
  <c r="M57" i="48" l="1"/>
  <c r="K2056" i="48" l="1"/>
  <c r="K555" i="48"/>
  <c r="K554" i="48"/>
  <c r="K553" i="48"/>
  <c r="K552" i="48"/>
  <c r="K551" i="48"/>
  <c r="K550" i="48"/>
  <c r="K549" i="48"/>
  <c r="K548" i="48"/>
  <c r="K547" i="48"/>
  <c r="K546" i="48"/>
  <c r="K545" i="48"/>
  <c r="K544" i="48"/>
  <c r="K543" i="48"/>
  <c r="K542" i="48"/>
  <c r="K541" i="48"/>
  <c r="K540" i="48"/>
  <c r="K539" i="48"/>
  <c r="K538" i="48"/>
  <c r="K537" i="48"/>
  <c r="K536" i="48"/>
  <c r="K535" i="48"/>
  <c r="K534" i="48"/>
  <c r="K533" i="48"/>
  <c r="K532" i="48"/>
  <c r="K531" i="48"/>
  <c r="K530" i="48"/>
  <c r="K529" i="48"/>
  <c r="K528" i="48"/>
  <c r="K527" i="48"/>
  <c r="K526" i="48"/>
  <c r="K525" i="48"/>
  <c r="K524" i="48"/>
  <c r="K523" i="48"/>
  <c r="K522" i="48"/>
  <c r="K521" i="48"/>
  <c r="K520" i="48"/>
  <c r="K519" i="48"/>
  <c r="K518" i="48"/>
  <c r="K517" i="48"/>
  <c r="K516" i="48"/>
  <c r="K515" i="48"/>
  <c r="K514" i="48"/>
  <c r="K513" i="48"/>
  <c r="K512" i="48"/>
  <c r="K511" i="48"/>
  <c r="K510" i="48"/>
  <c r="K509" i="48"/>
  <c r="K508" i="48"/>
  <c r="K507" i="48"/>
  <c r="K506" i="48"/>
  <c r="K505" i="48"/>
  <c r="K504" i="48"/>
  <c r="K503" i="48"/>
  <c r="K502" i="48"/>
  <c r="K501" i="48"/>
  <c r="K500" i="48"/>
  <c r="K499" i="48"/>
  <c r="K498" i="48"/>
  <c r="K497" i="48"/>
  <c r="K496" i="48"/>
  <c r="K495" i="48"/>
  <c r="K494" i="48"/>
  <c r="K493" i="48"/>
  <c r="K492" i="48"/>
  <c r="K491" i="48"/>
  <c r="K490" i="48"/>
  <c r="K489" i="48"/>
  <c r="K488" i="48"/>
  <c r="K487" i="48"/>
  <c r="K486" i="48"/>
  <c r="K485" i="48"/>
  <c r="K484" i="48"/>
  <c r="K483" i="48"/>
  <c r="K482" i="48"/>
  <c r="K481" i="48"/>
  <c r="K480" i="48"/>
  <c r="K479" i="48"/>
  <c r="K478" i="48"/>
  <c r="K477" i="48"/>
  <c r="K476" i="48"/>
  <c r="K475" i="48"/>
  <c r="K474" i="48"/>
  <c r="K473" i="48"/>
  <c r="K472" i="48"/>
  <c r="K471" i="48"/>
  <c r="K470" i="48"/>
  <c r="K469" i="48"/>
  <c r="K468" i="48"/>
  <c r="K467" i="48"/>
  <c r="K466" i="48"/>
  <c r="K465" i="48"/>
  <c r="K464" i="48"/>
  <c r="K463" i="48"/>
  <c r="K462" i="48"/>
  <c r="K461" i="48"/>
  <c r="K460" i="48"/>
  <c r="K459" i="48"/>
  <c r="K458" i="48"/>
  <c r="K457" i="48"/>
  <c r="K456" i="48"/>
  <c r="K455" i="48"/>
  <c r="K454" i="48"/>
  <c r="K453" i="48"/>
  <c r="K452" i="48"/>
  <c r="K451" i="48"/>
  <c r="K450" i="48"/>
  <c r="K449" i="48"/>
  <c r="K448" i="48"/>
  <c r="K447" i="48"/>
  <c r="K446" i="48"/>
  <c r="K445" i="48"/>
  <c r="K444" i="48"/>
  <c r="K443" i="48"/>
  <c r="K442" i="48"/>
  <c r="K441" i="48"/>
  <c r="K440" i="48"/>
  <c r="K439" i="48"/>
  <c r="K438" i="48"/>
  <c r="K437" i="48"/>
  <c r="K436" i="48"/>
  <c r="K435" i="48"/>
  <c r="K434" i="48"/>
  <c r="K433" i="48"/>
  <c r="K432" i="48"/>
  <c r="K431" i="48"/>
  <c r="K430" i="48"/>
  <c r="K429" i="48"/>
  <c r="K428" i="48"/>
  <c r="K427" i="48"/>
  <c r="K426" i="48"/>
  <c r="K425" i="48"/>
  <c r="K424" i="48"/>
  <c r="K423" i="48"/>
  <c r="K422" i="48"/>
  <c r="K421" i="48"/>
  <c r="K420" i="48"/>
  <c r="K419" i="48"/>
  <c r="K418" i="48"/>
  <c r="K417" i="48"/>
  <c r="K416" i="48"/>
  <c r="K415" i="48"/>
  <c r="K414" i="48"/>
  <c r="K413" i="48"/>
  <c r="K412" i="48"/>
  <c r="K411" i="48"/>
  <c r="K410" i="48"/>
  <c r="K409" i="48"/>
  <c r="K408" i="48"/>
  <c r="K407" i="48"/>
  <c r="K406" i="48"/>
  <c r="K405" i="48"/>
  <c r="K404" i="48"/>
  <c r="K403" i="48"/>
  <c r="K402" i="48"/>
  <c r="K401" i="48"/>
  <c r="K400" i="48"/>
  <c r="K399" i="48"/>
  <c r="K398" i="48"/>
  <c r="K397" i="48"/>
  <c r="K396" i="48"/>
  <c r="K395" i="48"/>
  <c r="K394" i="48"/>
  <c r="K393" i="48"/>
  <c r="K392" i="48"/>
  <c r="K391" i="48"/>
  <c r="K390" i="48"/>
  <c r="K389" i="48"/>
  <c r="K388" i="48"/>
  <c r="K387" i="48"/>
  <c r="K386" i="48"/>
  <c r="K385" i="48"/>
  <c r="K384" i="48"/>
  <c r="K383" i="48"/>
  <c r="K382" i="48"/>
  <c r="K381" i="48"/>
  <c r="K380" i="48"/>
  <c r="K379" i="48"/>
  <c r="K378" i="48"/>
  <c r="K377" i="48"/>
  <c r="K376" i="48"/>
  <c r="K375" i="48"/>
  <c r="K374" i="48"/>
  <c r="K373" i="48"/>
  <c r="K372" i="48"/>
  <c r="K371" i="48"/>
  <c r="K370" i="48"/>
  <c r="K369" i="48"/>
  <c r="K368" i="48"/>
  <c r="K367" i="48"/>
  <c r="K366" i="48"/>
  <c r="K365" i="48"/>
  <c r="K364" i="48"/>
  <c r="K363" i="48"/>
  <c r="K362" i="48"/>
  <c r="K361" i="48"/>
  <c r="K360" i="48"/>
  <c r="K359" i="48"/>
  <c r="K358" i="48"/>
  <c r="K357" i="48"/>
  <c r="K356" i="48"/>
  <c r="K355" i="48"/>
  <c r="K354" i="48"/>
  <c r="K353" i="48"/>
  <c r="K352" i="48"/>
  <c r="K351" i="48"/>
  <c r="K350" i="48"/>
  <c r="K349" i="48"/>
  <c r="K348" i="48"/>
  <c r="K347" i="48"/>
  <c r="K346" i="48"/>
  <c r="K345" i="48"/>
  <c r="K344" i="48"/>
  <c r="K343" i="48"/>
  <c r="K342" i="48"/>
  <c r="K341" i="48"/>
  <c r="K340" i="48"/>
  <c r="K339" i="48"/>
  <c r="K338" i="48"/>
  <c r="K337" i="48"/>
  <c r="K336" i="48"/>
  <c r="K335" i="48"/>
  <c r="K334" i="48"/>
  <c r="K333" i="48"/>
  <c r="K332" i="48"/>
  <c r="K331" i="48"/>
  <c r="K330" i="48"/>
  <c r="K329" i="48"/>
  <c r="K328" i="48"/>
  <c r="K327" i="48"/>
  <c r="K326" i="48"/>
  <c r="K325" i="48"/>
  <c r="K324" i="48"/>
  <c r="K323" i="48"/>
  <c r="K322" i="48"/>
  <c r="K321" i="48"/>
  <c r="K320" i="48"/>
  <c r="K319" i="48"/>
  <c r="K318" i="48"/>
  <c r="K317" i="48"/>
  <c r="K316" i="48"/>
  <c r="K315" i="48"/>
  <c r="K314" i="48"/>
  <c r="K313" i="48"/>
  <c r="K312" i="48"/>
  <c r="K311" i="48"/>
  <c r="K310" i="48"/>
  <c r="K309" i="48"/>
  <c r="K308" i="48"/>
  <c r="K307" i="48"/>
  <c r="K306" i="48"/>
  <c r="K305" i="48"/>
  <c r="K304" i="48"/>
  <c r="K303" i="48"/>
  <c r="K302" i="48"/>
  <c r="K301" i="48"/>
  <c r="K300" i="48"/>
  <c r="K299" i="48"/>
  <c r="K298" i="48"/>
  <c r="K297" i="48"/>
  <c r="K296" i="48"/>
  <c r="K295" i="48"/>
  <c r="K294" i="48"/>
  <c r="K293" i="48"/>
  <c r="K292" i="48"/>
  <c r="K291" i="48"/>
  <c r="K290" i="48"/>
  <c r="K289" i="48"/>
  <c r="K288" i="48"/>
  <c r="K287" i="48"/>
  <c r="K286" i="48"/>
  <c r="K285" i="48"/>
  <c r="K284" i="48"/>
  <c r="K283" i="48"/>
  <c r="K282" i="48"/>
  <c r="K281" i="48"/>
  <c r="K280" i="48"/>
  <c r="K279" i="48"/>
  <c r="K278" i="48"/>
  <c r="K277" i="48"/>
  <c r="K276" i="48"/>
  <c r="K275" i="48"/>
  <c r="K274" i="48"/>
  <c r="K273" i="48"/>
  <c r="K272" i="48"/>
  <c r="K271" i="48"/>
  <c r="K270" i="48"/>
  <c r="K269" i="48"/>
  <c r="K268" i="48"/>
  <c r="K267" i="48"/>
  <c r="K266" i="48"/>
  <c r="K265" i="48"/>
  <c r="K264" i="48"/>
  <c r="K263" i="48"/>
  <c r="K262" i="48"/>
  <c r="K261" i="48"/>
  <c r="K260" i="48"/>
  <c r="K259" i="48"/>
  <c r="K258" i="48"/>
  <c r="K257" i="48"/>
  <c r="K256" i="48"/>
  <c r="K255" i="48"/>
  <c r="K254" i="48"/>
  <c r="K253" i="48"/>
  <c r="K252" i="48"/>
  <c r="K251" i="48"/>
  <c r="K250" i="48"/>
  <c r="K249" i="48"/>
  <c r="K248" i="48"/>
  <c r="K247" i="48"/>
  <c r="K246" i="48"/>
  <c r="K245" i="48"/>
  <c r="K244" i="48"/>
  <c r="K243" i="48"/>
  <c r="K242" i="48"/>
  <c r="K241" i="48"/>
  <c r="K240" i="48"/>
  <c r="K239" i="48"/>
  <c r="K238" i="48"/>
  <c r="K237" i="48"/>
  <c r="K236" i="48"/>
  <c r="K235" i="48"/>
  <c r="K234" i="48"/>
  <c r="K233" i="48"/>
  <c r="K232" i="48"/>
  <c r="K231" i="48"/>
  <c r="K230" i="48"/>
  <c r="K229" i="48"/>
  <c r="K228" i="48"/>
  <c r="K227" i="48"/>
  <c r="K226" i="48"/>
  <c r="K225" i="48"/>
  <c r="K224" i="48"/>
  <c r="K223" i="48"/>
  <c r="K222" i="48"/>
  <c r="K221" i="48"/>
  <c r="K220" i="48"/>
  <c r="K219" i="48"/>
  <c r="K218" i="48"/>
  <c r="K217" i="48"/>
  <c r="K216" i="48"/>
  <c r="K215" i="48"/>
  <c r="K214" i="48"/>
  <c r="K213" i="48"/>
  <c r="K212" i="48"/>
  <c r="K211" i="48"/>
  <c r="K210" i="48"/>
  <c r="K209" i="48"/>
  <c r="K208" i="48"/>
  <c r="K207" i="48"/>
  <c r="K206" i="48"/>
  <c r="K205" i="48"/>
  <c r="K204" i="48"/>
  <c r="K203" i="48"/>
  <c r="K202" i="48"/>
  <c r="K201" i="48"/>
  <c r="K200" i="48"/>
  <c r="K199" i="48"/>
  <c r="K198" i="48"/>
  <c r="K197" i="48"/>
  <c r="K196" i="48"/>
  <c r="K195" i="48"/>
  <c r="K194" i="48"/>
  <c r="K193" i="48"/>
  <c r="K192" i="48"/>
  <c r="K191" i="48"/>
  <c r="K190" i="48"/>
  <c r="K189" i="48"/>
  <c r="K188" i="48"/>
  <c r="K187" i="48"/>
  <c r="K186" i="48"/>
  <c r="K185" i="48"/>
  <c r="K184" i="48"/>
  <c r="K183" i="48"/>
  <c r="K182" i="48"/>
  <c r="K181" i="48"/>
  <c r="K180" i="48"/>
  <c r="K179" i="48"/>
  <c r="K178" i="48"/>
  <c r="K177" i="48"/>
  <c r="K176" i="48"/>
  <c r="K175" i="48"/>
  <c r="K174" i="48"/>
  <c r="K173" i="48"/>
  <c r="K172" i="48"/>
  <c r="K171" i="48"/>
  <c r="K170" i="48"/>
  <c r="K169" i="48"/>
  <c r="K168" i="48"/>
  <c r="K167" i="48"/>
  <c r="K166" i="48"/>
  <c r="K165" i="48"/>
  <c r="K164" i="48"/>
  <c r="K163" i="48"/>
  <c r="K162" i="48"/>
  <c r="K161" i="48"/>
  <c r="K160" i="48"/>
  <c r="K159" i="48"/>
  <c r="K158" i="48"/>
  <c r="K157" i="48"/>
  <c r="K156" i="48"/>
  <c r="K155" i="48"/>
  <c r="K154" i="48"/>
  <c r="K153" i="48"/>
  <c r="K152" i="48"/>
  <c r="K151" i="48"/>
  <c r="K150" i="48"/>
  <c r="K149" i="48"/>
  <c r="K148" i="48"/>
  <c r="K147" i="48"/>
  <c r="K146" i="48"/>
  <c r="K145" i="48"/>
  <c r="K144" i="48"/>
  <c r="K143" i="48"/>
  <c r="K142" i="48"/>
  <c r="K141" i="48"/>
  <c r="K140" i="48"/>
  <c r="K139" i="48"/>
  <c r="K138" i="48"/>
  <c r="K137" i="48"/>
  <c r="K136" i="48"/>
  <c r="K135" i="48"/>
  <c r="K134" i="48"/>
  <c r="K133" i="48"/>
  <c r="K132" i="48"/>
  <c r="K131" i="48"/>
  <c r="K130" i="48"/>
  <c r="K129" i="48"/>
  <c r="K128" i="48"/>
  <c r="K127" i="48"/>
  <c r="K126" i="48"/>
  <c r="K125" i="48"/>
  <c r="K124" i="48"/>
  <c r="K123" i="48"/>
  <c r="K122" i="48"/>
  <c r="Q13" i="72" l="1"/>
  <c r="Q12" i="72"/>
  <c r="Q11" i="72"/>
  <c r="Q10" i="72"/>
  <c r="Q9" i="72"/>
  <c r="Q8" i="72"/>
  <c r="Q7" i="72"/>
  <c r="Q6" i="72"/>
  <c r="Q5" i="72"/>
  <c r="J42" i="49"/>
  <c r="F35" i="72" l="1"/>
  <c r="F35" i="46" s="1"/>
  <c r="F36" i="46"/>
  <c r="F8" i="12"/>
  <c r="F20" i="46"/>
  <c r="Q20" i="72"/>
  <c r="J36" i="49"/>
  <c r="H23" i="21"/>
  <c r="H24" i="21"/>
  <c r="H25" i="21"/>
  <c r="H26" i="21"/>
  <c r="H27" i="21"/>
  <c r="H28" i="21"/>
  <c r="H29" i="21"/>
  <c r="H30" i="21"/>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79" i="21"/>
  <c r="H80" i="21"/>
  <c r="H81" i="21"/>
  <c r="H82" i="21"/>
  <c r="H83" i="21"/>
  <c r="H84" i="21"/>
  <c r="H85" i="21"/>
  <c r="H86" i="21"/>
  <c r="H87" i="21"/>
  <c r="H88" i="21"/>
  <c r="H89" i="21"/>
  <c r="H90" i="21"/>
  <c r="H91" i="21"/>
  <c r="H92" i="21"/>
  <c r="H93" i="21"/>
  <c r="H94" i="21"/>
  <c r="H95" i="21"/>
  <c r="H96" i="21"/>
  <c r="H97" i="21"/>
  <c r="H98" i="21"/>
  <c r="H99" i="21"/>
  <c r="H100" i="21"/>
  <c r="H101" i="21"/>
  <c r="H102" i="21"/>
  <c r="H103" i="21"/>
  <c r="H104" i="21"/>
  <c r="H105" i="21"/>
  <c r="H106" i="21"/>
  <c r="H107" i="21"/>
  <c r="H108" i="21"/>
  <c r="H109" i="21"/>
  <c r="H110" i="21"/>
  <c r="H111" i="21"/>
  <c r="H112"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203" i="21"/>
  <c r="H5" i="21"/>
  <c r="H6" i="21"/>
  <c r="H7" i="21"/>
  <c r="H8" i="21"/>
  <c r="H9" i="21"/>
  <c r="H10" i="21"/>
  <c r="H11" i="21"/>
  <c r="H12" i="21"/>
  <c r="H13" i="21"/>
  <c r="H14" i="21"/>
  <c r="H15" i="21"/>
  <c r="H16" i="21"/>
  <c r="H17" i="21"/>
  <c r="H18" i="21"/>
  <c r="H19" i="21"/>
  <c r="H20" i="21"/>
  <c r="H21" i="21"/>
  <c r="H22" i="21"/>
  <c r="E4" i="12"/>
  <c r="F4" i="12"/>
  <c r="G4" i="12"/>
  <c r="H4" i="12"/>
  <c r="I4" i="12"/>
  <c r="J4" i="12"/>
  <c r="K4" i="12"/>
  <c r="L4" i="12"/>
  <c r="M4" i="12"/>
  <c r="N4" i="12"/>
  <c r="O4" i="12"/>
  <c r="P4" i="12"/>
  <c r="Q4" i="12"/>
  <c r="R4" i="12"/>
  <c r="S4" i="12"/>
  <c r="T4" i="12"/>
  <c r="U4" i="12"/>
  <c r="V4" i="12"/>
  <c r="W4" i="12"/>
  <c r="X4" i="12"/>
  <c r="Y4" i="12"/>
  <c r="Z4" i="12"/>
  <c r="AA4" i="12"/>
  <c r="AB4" i="12"/>
  <c r="AC4" i="12"/>
  <c r="AD4" i="12"/>
  <c r="AE4" i="12"/>
  <c r="AF4" i="12"/>
  <c r="AG4" i="12"/>
  <c r="AH4" i="12"/>
  <c r="AI4" i="12"/>
  <c r="AJ4" i="12"/>
  <c r="AK4" i="12"/>
  <c r="AL4" i="12"/>
  <c r="AM4" i="12"/>
  <c r="AN4" i="12"/>
  <c r="AO4" i="12"/>
  <c r="AP4" i="12"/>
  <c r="AQ4" i="12"/>
  <c r="AR4" i="12"/>
  <c r="AS4" i="12"/>
  <c r="AT4" i="12"/>
  <c r="AU4" i="12"/>
  <c r="AV4" i="12"/>
  <c r="AW4" i="12"/>
  <c r="AX4" i="12"/>
  <c r="AY4" i="12"/>
  <c r="AZ4" i="12"/>
  <c r="BA4" i="12"/>
  <c r="BB4" i="12"/>
  <c r="BC4" i="12"/>
  <c r="BD4" i="12"/>
  <c r="BE4" i="12"/>
  <c r="BF4" i="12"/>
  <c r="BG4" i="12"/>
  <c r="BH4" i="12"/>
  <c r="BI4" i="12"/>
  <c r="BJ4" i="12"/>
  <c r="BK4" i="12"/>
  <c r="BL4" i="12"/>
  <c r="BM4" i="12"/>
  <c r="BN4" i="12"/>
  <c r="BO4" i="12"/>
  <c r="BP4" i="12"/>
  <c r="BQ4" i="12"/>
  <c r="BR4" i="12"/>
  <c r="BS4" i="12"/>
  <c r="BT4" i="12"/>
  <c r="BU4" i="12"/>
  <c r="BV4" i="12"/>
  <c r="BW4" i="12"/>
  <c r="BX4" i="12"/>
  <c r="BY4" i="12"/>
  <c r="BZ4" i="12"/>
  <c r="CA4" i="12"/>
  <c r="CB4" i="12"/>
  <c r="CC4" i="12"/>
  <c r="CD4" i="12"/>
  <c r="CE4" i="12"/>
  <c r="CF4" i="12"/>
  <c r="CG4" i="12"/>
  <c r="CH4" i="12"/>
  <c r="CI4" i="12"/>
  <c r="CJ4" i="12"/>
  <c r="CK4" i="12"/>
  <c r="CL4" i="12"/>
  <c r="CM4" i="12"/>
  <c r="CN4" i="12"/>
  <c r="CO4" i="12"/>
  <c r="CP4" i="12"/>
  <c r="CQ4" i="12"/>
  <c r="CR4" i="12"/>
  <c r="CS4" i="12"/>
  <c r="CT4" i="12"/>
  <c r="CU4" i="12"/>
  <c r="CV4" i="12"/>
  <c r="CW4" i="12"/>
  <c r="CX4" i="12"/>
  <c r="CY4" i="12"/>
  <c r="CZ4" i="12"/>
  <c r="DA4" i="12"/>
  <c r="DB4" i="12"/>
  <c r="DC4" i="12"/>
  <c r="DD4" i="12"/>
  <c r="DE4" i="12"/>
  <c r="DF4" i="12"/>
  <c r="DG4" i="12"/>
  <c r="DH4" i="12"/>
  <c r="DI4" i="12"/>
  <c r="DJ4" i="12"/>
  <c r="DK4" i="12"/>
  <c r="DL4" i="12"/>
  <c r="DM4" i="12"/>
  <c r="DN4" i="12"/>
  <c r="DO4" i="12"/>
  <c r="DP4" i="12"/>
  <c r="DQ4" i="12"/>
  <c r="DR4" i="12"/>
  <c r="DS4" i="12"/>
  <c r="DT4" i="12"/>
  <c r="DU4" i="12"/>
  <c r="DV4" i="12"/>
  <c r="DW4" i="12"/>
  <c r="DX4" i="12"/>
  <c r="DY4" i="12"/>
  <c r="DZ4" i="12"/>
  <c r="EA4" i="12"/>
  <c r="EB4" i="12"/>
  <c r="EC4" i="12"/>
  <c r="ED4" i="12"/>
  <c r="EE4" i="12"/>
  <c r="EF4" i="12"/>
  <c r="EG4" i="12"/>
  <c r="EH4" i="12"/>
  <c r="EI4" i="12"/>
  <c r="EJ4" i="12"/>
  <c r="EK4" i="12"/>
  <c r="EL4" i="12"/>
  <c r="EM4" i="12"/>
  <c r="EN4" i="12"/>
  <c r="EO4" i="12"/>
  <c r="EP4" i="12"/>
  <c r="EQ4" i="12"/>
  <c r="ER4" i="12"/>
  <c r="ES4" i="12"/>
  <c r="ET4" i="12"/>
  <c r="EU4" i="12"/>
  <c r="FH4" i="12"/>
  <c r="GU4" i="12"/>
  <c r="E5" i="12"/>
  <c r="F5" i="12"/>
  <c r="G5" i="12"/>
  <c r="H5" i="12"/>
  <c r="I5" i="12"/>
  <c r="J5" i="12"/>
  <c r="K5" i="12"/>
  <c r="L5" i="12"/>
  <c r="M5" i="12"/>
  <c r="N5" i="12"/>
  <c r="O5" i="12"/>
  <c r="P5" i="12"/>
  <c r="Q5" i="12"/>
  <c r="R5" i="12"/>
  <c r="S5" i="12"/>
  <c r="T5" i="12"/>
  <c r="U5" i="12"/>
  <c r="V5" i="12"/>
  <c r="W5" i="12"/>
  <c r="X5" i="12"/>
  <c r="Y5" i="12"/>
  <c r="Z5" i="12"/>
  <c r="AA5" i="12"/>
  <c r="AB5" i="12"/>
  <c r="AC5" i="12"/>
  <c r="AD5" i="12"/>
  <c r="AE5" i="12"/>
  <c r="AF5" i="12"/>
  <c r="AG5" i="12"/>
  <c r="AH5" i="12"/>
  <c r="AI5" i="12"/>
  <c r="AJ5" i="12"/>
  <c r="AK5" i="12"/>
  <c r="AL5" i="12"/>
  <c r="AM5" i="12"/>
  <c r="AN5" i="12"/>
  <c r="AO5" i="12"/>
  <c r="AP5" i="12"/>
  <c r="AQ5" i="12"/>
  <c r="AR5" i="12"/>
  <c r="AS5" i="12"/>
  <c r="AT5" i="12"/>
  <c r="AU5" i="12"/>
  <c r="AV5" i="12"/>
  <c r="AW5" i="12"/>
  <c r="AX5" i="12"/>
  <c r="AY5" i="12"/>
  <c r="AZ5" i="12"/>
  <c r="BA5" i="12"/>
  <c r="BB5" i="12"/>
  <c r="BC5" i="12"/>
  <c r="BD5" i="12"/>
  <c r="BE5" i="12"/>
  <c r="BF5" i="12"/>
  <c r="BG5" i="12"/>
  <c r="BH5" i="12"/>
  <c r="BI5" i="12"/>
  <c r="BJ5" i="12"/>
  <c r="BK5" i="12"/>
  <c r="BL5" i="12"/>
  <c r="BM5" i="12"/>
  <c r="BN5" i="12"/>
  <c r="BO5" i="12"/>
  <c r="BP5" i="12"/>
  <c r="BQ5" i="12"/>
  <c r="BR5" i="12"/>
  <c r="BS5" i="12"/>
  <c r="BT5" i="12"/>
  <c r="BU5" i="12"/>
  <c r="BV5" i="12"/>
  <c r="BW5" i="12"/>
  <c r="BX5" i="12"/>
  <c r="BY5" i="12"/>
  <c r="BZ5" i="12"/>
  <c r="CA5" i="12"/>
  <c r="CB5" i="12"/>
  <c r="CC5" i="12"/>
  <c r="CD5" i="12"/>
  <c r="CE5" i="12"/>
  <c r="CF5" i="12"/>
  <c r="CG5" i="12"/>
  <c r="CH5" i="12"/>
  <c r="CI5" i="12"/>
  <c r="CJ5" i="12"/>
  <c r="CK5" i="12"/>
  <c r="CL5" i="12"/>
  <c r="CM5" i="12"/>
  <c r="CN5" i="12"/>
  <c r="CO5" i="12"/>
  <c r="CP5" i="12"/>
  <c r="CQ5" i="12"/>
  <c r="CR5" i="12"/>
  <c r="CS5" i="12"/>
  <c r="CT5" i="12"/>
  <c r="CU5" i="12"/>
  <c r="CV5" i="12"/>
  <c r="CW5" i="12"/>
  <c r="CX5" i="12"/>
  <c r="CY5" i="12"/>
  <c r="CZ5" i="12"/>
  <c r="DA5" i="12"/>
  <c r="DB5" i="12"/>
  <c r="DC5" i="12"/>
  <c r="DD5" i="12"/>
  <c r="DE5" i="12"/>
  <c r="DF5" i="12"/>
  <c r="DG5" i="12"/>
  <c r="DH5" i="12"/>
  <c r="DI5" i="12"/>
  <c r="DJ5" i="12"/>
  <c r="DK5" i="12"/>
  <c r="DL5" i="12"/>
  <c r="DM5" i="12"/>
  <c r="DN5" i="12"/>
  <c r="DO5" i="12"/>
  <c r="DP5" i="12"/>
  <c r="DQ5" i="12"/>
  <c r="DR5" i="12"/>
  <c r="DS5" i="12"/>
  <c r="DT5" i="12"/>
  <c r="DU5" i="12"/>
  <c r="DV5" i="12"/>
  <c r="DW5" i="12"/>
  <c r="DX5" i="12"/>
  <c r="DY5" i="12"/>
  <c r="DZ5" i="12"/>
  <c r="EA5" i="12"/>
  <c r="EB5" i="12"/>
  <c r="EC5" i="12"/>
  <c r="ED5" i="12"/>
  <c r="EE5" i="12"/>
  <c r="EF5" i="12"/>
  <c r="EG5" i="12"/>
  <c r="EH5" i="12"/>
  <c r="EI5" i="12"/>
  <c r="EJ5" i="12"/>
  <c r="EK5" i="12"/>
  <c r="EL5" i="12"/>
  <c r="EM5" i="12"/>
  <c r="EN5" i="12"/>
  <c r="EO5" i="12"/>
  <c r="EP5" i="12"/>
  <c r="EQ5" i="12"/>
  <c r="ER5" i="12"/>
  <c r="ES5" i="12"/>
  <c r="ET5" i="12"/>
  <c r="EU5" i="12"/>
  <c r="FH5" i="12"/>
  <c r="GU5" i="12"/>
  <c r="E6" i="12"/>
  <c r="F6" i="12"/>
  <c r="G6" i="12"/>
  <c r="H6" i="12"/>
  <c r="I6" i="12"/>
  <c r="J6" i="12"/>
  <c r="K6" i="12"/>
  <c r="L6" i="12"/>
  <c r="M6" i="12"/>
  <c r="N6" i="12"/>
  <c r="O6" i="12"/>
  <c r="P6" i="12"/>
  <c r="Q6" i="12"/>
  <c r="R6" i="12"/>
  <c r="S6" i="12"/>
  <c r="T6" i="12"/>
  <c r="U6" i="12"/>
  <c r="V6" i="12"/>
  <c r="W6" i="12"/>
  <c r="X6" i="12"/>
  <c r="Y6" i="12"/>
  <c r="Z6" i="12"/>
  <c r="AA6" i="12"/>
  <c r="AB6" i="12"/>
  <c r="AC6" i="12"/>
  <c r="AD6" i="12"/>
  <c r="AE6" i="12"/>
  <c r="AF6" i="12"/>
  <c r="AG6" i="12"/>
  <c r="AH6" i="12"/>
  <c r="AI6" i="12"/>
  <c r="AJ6" i="12"/>
  <c r="AK6" i="12"/>
  <c r="AL6" i="12"/>
  <c r="AM6" i="12"/>
  <c r="AN6" i="12"/>
  <c r="AO6" i="12"/>
  <c r="AP6" i="12"/>
  <c r="AQ6" i="12"/>
  <c r="AR6" i="12"/>
  <c r="AS6" i="12"/>
  <c r="AT6" i="12"/>
  <c r="AU6" i="12"/>
  <c r="AV6" i="12"/>
  <c r="AW6" i="12"/>
  <c r="AX6" i="12"/>
  <c r="AY6" i="12"/>
  <c r="AZ6" i="12"/>
  <c r="BA6" i="12"/>
  <c r="BB6" i="12"/>
  <c r="BC6" i="12"/>
  <c r="BD6" i="12"/>
  <c r="BE6" i="12"/>
  <c r="BF6" i="12"/>
  <c r="BG6" i="12"/>
  <c r="BH6" i="12"/>
  <c r="BI6" i="12"/>
  <c r="BJ6" i="12"/>
  <c r="BK6" i="12"/>
  <c r="BL6" i="12"/>
  <c r="BM6" i="12"/>
  <c r="BN6" i="12"/>
  <c r="BO6" i="12"/>
  <c r="BP6" i="12"/>
  <c r="BQ6" i="12"/>
  <c r="BR6" i="12"/>
  <c r="BS6" i="12"/>
  <c r="BT6" i="12"/>
  <c r="BU6" i="12"/>
  <c r="BV6" i="12"/>
  <c r="BW6" i="12"/>
  <c r="BX6" i="12"/>
  <c r="BY6" i="12"/>
  <c r="BZ6" i="12"/>
  <c r="CA6" i="12"/>
  <c r="CB6" i="12"/>
  <c r="CC6" i="12"/>
  <c r="CD6" i="12"/>
  <c r="CE6" i="12"/>
  <c r="CF6" i="12"/>
  <c r="CG6" i="12"/>
  <c r="CH6" i="12"/>
  <c r="CI6" i="12"/>
  <c r="CJ6" i="12"/>
  <c r="CK6" i="12"/>
  <c r="CL6" i="12"/>
  <c r="CM6" i="12"/>
  <c r="CN6" i="12"/>
  <c r="CO6" i="12"/>
  <c r="CP6" i="12"/>
  <c r="CQ6" i="12"/>
  <c r="CR6" i="12"/>
  <c r="CS6" i="12"/>
  <c r="CT6" i="12"/>
  <c r="CU6" i="12"/>
  <c r="CV6" i="12"/>
  <c r="CW6" i="12"/>
  <c r="CX6" i="12"/>
  <c r="CY6" i="12"/>
  <c r="CZ6" i="12"/>
  <c r="DA6" i="12"/>
  <c r="DB6" i="12"/>
  <c r="DC6" i="12"/>
  <c r="DD6" i="12"/>
  <c r="DE6" i="12"/>
  <c r="DF6" i="12"/>
  <c r="DG6" i="12"/>
  <c r="DH6" i="12"/>
  <c r="DI6" i="12"/>
  <c r="DJ6" i="12"/>
  <c r="DK6" i="12"/>
  <c r="DL6" i="12"/>
  <c r="DM6" i="12"/>
  <c r="DN6" i="12"/>
  <c r="DO6" i="12"/>
  <c r="DP6" i="12"/>
  <c r="DQ6" i="12"/>
  <c r="DR6" i="12"/>
  <c r="DS6" i="12"/>
  <c r="DT6" i="12"/>
  <c r="DU6" i="12"/>
  <c r="DV6" i="12"/>
  <c r="DW6" i="12"/>
  <c r="DX6" i="12"/>
  <c r="DY6" i="12"/>
  <c r="DZ6" i="12"/>
  <c r="EA6" i="12"/>
  <c r="EB6" i="12"/>
  <c r="EC6" i="12"/>
  <c r="ED6" i="12"/>
  <c r="EE6" i="12"/>
  <c r="EF6" i="12"/>
  <c r="EG6" i="12"/>
  <c r="EH6" i="12"/>
  <c r="EI6" i="12"/>
  <c r="EJ6" i="12"/>
  <c r="EK6" i="12"/>
  <c r="EL6" i="12"/>
  <c r="EM6" i="12"/>
  <c r="EN6" i="12"/>
  <c r="EO6" i="12"/>
  <c r="EP6" i="12"/>
  <c r="EQ6" i="12"/>
  <c r="ER6" i="12"/>
  <c r="ES6" i="12"/>
  <c r="ET6" i="12"/>
  <c r="EU6" i="12"/>
  <c r="FH6" i="12"/>
  <c r="GU6" i="12"/>
  <c r="C7" i="12"/>
  <c r="J43" i="49" s="1"/>
  <c r="D7" i="12"/>
  <c r="E7" i="12"/>
  <c r="F7" i="12"/>
  <c r="G7" i="12"/>
  <c r="H7" i="12"/>
  <c r="I7" i="12"/>
  <c r="J7" i="12"/>
  <c r="K7" i="12"/>
  <c r="L7" i="12"/>
  <c r="M7" i="12"/>
  <c r="N7" i="12"/>
  <c r="O7" i="12"/>
  <c r="P7" i="12"/>
  <c r="Q7" i="12"/>
  <c r="R7" i="12"/>
  <c r="S7" i="12"/>
  <c r="T7" i="12"/>
  <c r="U7" i="12"/>
  <c r="V7" i="12"/>
  <c r="W7" i="12"/>
  <c r="X7" i="12"/>
  <c r="Y7" i="12"/>
  <c r="Z7" i="12"/>
  <c r="AA7" i="12"/>
  <c r="AB7" i="12"/>
  <c r="AC7" i="12"/>
  <c r="AD7" i="12"/>
  <c r="AE7" i="12"/>
  <c r="AF7" i="12"/>
  <c r="AG7" i="12"/>
  <c r="AH7" i="12"/>
  <c r="AI7" i="12"/>
  <c r="AJ7" i="12"/>
  <c r="AK7" i="12"/>
  <c r="AL7" i="12"/>
  <c r="AM7" i="12"/>
  <c r="AN7" i="12"/>
  <c r="AO7" i="12"/>
  <c r="AP7" i="12"/>
  <c r="AQ7" i="12"/>
  <c r="AR7" i="12"/>
  <c r="AS7" i="12"/>
  <c r="AT7" i="12"/>
  <c r="AU7" i="12"/>
  <c r="AV7" i="12"/>
  <c r="AW7" i="12"/>
  <c r="AX7" i="12"/>
  <c r="AY7" i="12"/>
  <c r="AZ7" i="12"/>
  <c r="BA7" i="12"/>
  <c r="BB7" i="12"/>
  <c r="BC7" i="12"/>
  <c r="BD7" i="12"/>
  <c r="BE7" i="12"/>
  <c r="BF7" i="12"/>
  <c r="BG7" i="12"/>
  <c r="BH7" i="12"/>
  <c r="BI7" i="12"/>
  <c r="BJ7" i="12"/>
  <c r="BK7" i="12"/>
  <c r="BL7" i="12"/>
  <c r="BM7" i="12"/>
  <c r="BN7" i="12"/>
  <c r="BO7" i="12"/>
  <c r="BP7" i="12"/>
  <c r="BQ7" i="12"/>
  <c r="BR7" i="12"/>
  <c r="BS7" i="12"/>
  <c r="BT7" i="12"/>
  <c r="BU7" i="12"/>
  <c r="BV7" i="12"/>
  <c r="BW7" i="12"/>
  <c r="BX7" i="12"/>
  <c r="BY7" i="12"/>
  <c r="BZ7" i="12"/>
  <c r="CA7" i="12"/>
  <c r="CB7" i="12"/>
  <c r="CC7" i="12"/>
  <c r="CD7" i="12"/>
  <c r="CE7" i="12"/>
  <c r="CF7" i="12"/>
  <c r="CG7" i="12"/>
  <c r="CH7" i="12"/>
  <c r="CI7" i="12"/>
  <c r="CJ7" i="12"/>
  <c r="CK7" i="12"/>
  <c r="CL7" i="12"/>
  <c r="CM7" i="12"/>
  <c r="CN7" i="12"/>
  <c r="CO7" i="12"/>
  <c r="CP7" i="12"/>
  <c r="CQ7" i="12"/>
  <c r="CR7" i="12"/>
  <c r="CS7" i="12"/>
  <c r="CT7" i="12"/>
  <c r="CU7" i="12"/>
  <c r="CV7" i="12"/>
  <c r="CW7" i="12"/>
  <c r="CX7" i="12"/>
  <c r="CY7" i="12"/>
  <c r="CZ7" i="12"/>
  <c r="DA7" i="12"/>
  <c r="DB7" i="12"/>
  <c r="DC7" i="12"/>
  <c r="DD7" i="12"/>
  <c r="DE7" i="12"/>
  <c r="DF7" i="12"/>
  <c r="DG7" i="12"/>
  <c r="DH7" i="12"/>
  <c r="DI7" i="12"/>
  <c r="DJ7" i="12"/>
  <c r="DK7" i="12"/>
  <c r="DL7" i="12"/>
  <c r="DM7" i="12"/>
  <c r="DN7" i="12"/>
  <c r="DO7" i="12"/>
  <c r="DP7" i="12"/>
  <c r="DQ7" i="12"/>
  <c r="DR7" i="12"/>
  <c r="DS7" i="12"/>
  <c r="DT7" i="12"/>
  <c r="DU7" i="12"/>
  <c r="DV7" i="12"/>
  <c r="DW7" i="12"/>
  <c r="DX7" i="12"/>
  <c r="DY7" i="12"/>
  <c r="DZ7" i="12"/>
  <c r="EA7" i="12"/>
  <c r="EB7" i="12"/>
  <c r="EC7" i="12"/>
  <c r="ED7" i="12"/>
  <c r="EE7" i="12"/>
  <c r="EF7" i="12"/>
  <c r="EG7" i="12"/>
  <c r="EH7" i="12"/>
  <c r="EI7" i="12"/>
  <c r="EJ7" i="12"/>
  <c r="EK7" i="12"/>
  <c r="EL7" i="12"/>
  <c r="EM7" i="12"/>
  <c r="EN7" i="12"/>
  <c r="EO7" i="12"/>
  <c r="EP7" i="12"/>
  <c r="EQ7" i="12"/>
  <c r="ER7" i="12"/>
  <c r="ES7" i="12"/>
  <c r="ET7" i="12"/>
  <c r="EU7" i="12"/>
  <c r="FH7" i="12"/>
  <c r="GU7" i="12"/>
  <c r="C8" i="12"/>
  <c r="D8" i="12"/>
  <c r="E8" i="12"/>
  <c r="G8" i="12"/>
  <c r="H8" i="12"/>
  <c r="I8" i="12"/>
  <c r="J8" i="12"/>
  <c r="K8" i="12"/>
  <c r="L8" i="12"/>
  <c r="M8" i="12"/>
  <c r="N8" i="12"/>
  <c r="O8" i="12"/>
  <c r="P8" i="12"/>
  <c r="Q8" i="12"/>
  <c r="R8" i="12"/>
  <c r="S8" i="12"/>
  <c r="T8" i="12"/>
  <c r="U8" i="12"/>
  <c r="V8" i="12"/>
  <c r="W8" i="12"/>
  <c r="X8" i="12"/>
  <c r="Y8" i="12"/>
  <c r="Z8" i="12"/>
  <c r="AA8" i="12"/>
  <c r="AB8" i="12"/>
  <c r="AC8" i="12"/>
  <c r="AD8" i="12"/>
  <c r="AE8" i="12"/>
  <c r="AF8" i="12"/>
  <c r="AG8" i="12"/>
  <c r="AH8" i="12"/>
  <c r="AI8" i="12"/>
  <c r="AJ8" i="12"/>
  <c r="AK8" i="12"/>
  <c r="AL8" i="12"/>
  <c r="AM8" i="12"/>
  <c r="AN8" i="12"/>
  <c r="AO8" i="12"/>
  <c r="AP8" i="12"/>
  <c r="AQ8" i="12"/>
  <c r="AR8" i="12"/>
  <c r="AS8" i="12"/>
  <c r="AT8" i="12"/>
  <c r="AU8" i="12"/>
  <c r="AV8" i="12"/>
  <c r="AW8" i="12"/>
  <c r="AX8" i="12"/>
  <c r="AY8" i="12"/>
  <c r="AZ8" i="12"/>
  <c r="BA8" i="12"/>
  <c r="BB8" i="12"/>
  <c r="BC8" i="12"/>
  <c r="BD8" i="12"/>
  <c r="BE8" i="12"/>
  <c r="BF8" i="12"/>
  <c r="BG8" i="12"/>
  <c r="BH8" i="12"/>
  <c r="BI8" i="12"/>
  <c r="BJ8" i="12"/>
  <c r="BK8" i="12"/>
  <c r="BL8" i="12"/>
  <c r="BM8" i="12"/>
  <c r="BN8" i="12"/>
  <c r="BO8" i="12"/>
  <c r="BP8" i="12"/>
  <c r="BQ8" i="12"/>
  <c r="BR8" i="12"/>
  <c r="BS8" i="12"/>
  <c r="BT8" i="12"/>
  <c r="BU8" i="12"/>
  <c r="BV8" i="12"/>
  <c r="BW8" i="12"/>
  <c r="BX8" i="12"/>
  <c r="BY8" i="12"/>
  <c r="BZ8" i="12"/>
  <c r="CA8" i="12"/>
  <c r="CB8" i="12"/>
  <c r="CC8" i="12"/>
  <c r="CD8" i="12"/>
  <c r="CE8" i="12"/>
  <c r="CF8" i="12"/>
  <c r="CG8" i="12"/>
  <c r="CH8" i="12"/>
  <c r="CI8" i="12"/>
  <c r="CJ8" i="12"/>
  <c r="CK8" i="12"/>
  <c r="CL8" i="12"/>
  <c r="CM8" i="12"/>
  <c r="CN8" i="12"/>
  <c r="CO8" i="12"/>
  <c r="CP8" i="12"/>
  <c r="CQ8" i="12"/>
  <c r="CR8" i="12"/>
  <c r="CS8" i="12"/>
  <c r="CT8" i="12"/>
  <c r="CU8" i="12"/>
  <c r="CV8" i="12"/>
  <c r="CW8" i="12"/>
  <c r="CX8" i="12"/>
  <c r="CY8" i="12"/>
  <c r="CZ8" i="12"/>
  <c r="DA8" i="12"/>
  <c r="DB8" i="12"/>
  <c r="DC8" i="12"/>
  <c r="DD8" i="12"/>
  <c r="DE8" i="12"/>
  <c r="DF8" i="12"/>
  <c r="DG8" i="12"/>
  <c r="DH8" i="12"/>
  <c r="DI8" i="12"/>
  <c r="DJ8" i="12"/>
  <c r="DK8" i="12"/>
  <c r="DL8" i="12"/>
  <c r="DM8" i="12"/>
  <c r="DN8" i="12"/>
  <c r="DO8" i="12"/>
  <c r="DP8" i="12"/>
  <c r="DQ8" i="12"/>
  <c r="DR8" i="12"/>
  <c r="DS8" i="12"/>
  <c r="DT8" i="12"/>
  <c r="DU8" i="12"/>
  <c r="DV8" i="12"/>
  <c r="DW8" i="12"/>
  <c r="DX8" i="12"/>
  <c r="DY8" i="12"/>
  <c r="DZ8" i="12"/>
  <c r="EA8" i="12"/>
  <c r="EB8" i="12"/>
  <c r="EC8" i="12"/>
  <c r="ED8" i="12"/>
  <c r="EE8" i="12"/>
  <c r="EF8" i="12"/>
  <c r="EG8" i="12"/>
  <c r="EH8" i="12"/>
  <c r="EI8" i="12"/>
  <c r="EJ8" i="12"/>
  <c r="EK8" i="12"/>
  <c r="EL8" i="12"/>
  <c r="EM8" i="12"/>
  <c r="EN8" i="12"/>
  <c r="EO8" i="12"/>
  <c r="EP8" i="12"/>
  <c r="EQ8" i="12"/>
  <c r="ER8" i="12"/>
  <c r="ES8" i="12"/>
  <c r="ET8" i="12"/>
  <c r="EU8" i="12"/>
  <c r="FH8" i="12"/>
  <c r="GU8" i="12"/>
  <c r="Q4" i="46"/>
  <c r="Q5" i="46"/>
  <c r="C56" i="12" s="1"/>
  <c r="Q7" i="46"/>
  <c r="Q8" i="46"/>
  <c r="C58" i="12" s="1"/>
  <c r="Q9" i="46"/>
  <c r="Q10" i="46"/>
  <c r="Q11" i="46"/>
  <c r="C60" i="12" s="1"/>
  <c r="Q12" i="46"/>
  <c r="Q13" i="46"/>
  <c r="S20" i="46"/>
  <c r="T20" i="46"/>
  <c r="S21" i="46"/>
  <c r="R111" i="12" s="1"/>
  <c r="T21" i="46"/>
  <c r="S111" i="12" s="1"/>
  <c r="S22" i="46"/>
  <c r="R112" i="12" s="1"/>
  <c r="T22" i="46"/>
  <c r="S112" i="12" s="1"/>
  <c r="S23" i="46"/>
  <c r="R113" i="12" s="1"/>
  <c r="T23" i="46"/>
  <c r="S113" i="12" s="1"/>
  <c r="S24" i="46"/>
  <c r="R114" i="12" s="1"/>
  <c r="T24" i="46"/>
  <c r="S114" i="12" s="1"/>
  <c r="S26" i="46"/>
  <c r="R116" i="12" s="1"/>
  <c r="T26" i="46"/>
  <c r="S116" i="12" s="1"/>
  <c r="S27" i="46"/>
  <c r="R117" i="12" s="1"/>
  <c r="T27" i="46"/>
  <c r="S117" i="12" s="1"/>
  <c r="S28" i="46"/>
  <c r="R118" i="12" s="1"/>
  <c r="T28" i="46"/>
  <c r="S118" i="12" s="1"/>
  <c r="S29" i="46"/>
  <c r="R119" i="12" s="1"/>
  <c r="T29" i="46"/>
  <c r="S119" i="12" s="1"/>
  <c r="S31" i="46"/>
  <c r="R121" i="12" s="1"/>
  <c r="T31" i="46"/>
  <c r="S121" i="12" s="1"/>
  <c r="S32" i="46"/>
  <c r="R122" i="12" s="1"/>
  <c r="T32" i="46"/>
  <c r="S122" i="12" s="1"/>
  <c r="S33" i="46"/>
  <c r="R123" i="12" s="1"/>
  <c r="T33" i="46"/>
  <c r="S123" i="12" s="1"/>
  <c r="S34" i="46"/>
  <c r="R124" i="12" s="1"/>
  <c r="T34" i="46"/>
  <c r="S124" i="12" s="1"/>
  <c r="S37" i="46"/>
  <c r="T37" i="46"/>
  <c r="R20" i="72"/>
  <c r="Q21" i="72"/>
  <c r="R21" i="72"/>
  <c r="Q22" i="72"/>
  <c r="R22" i="72"/>
  <c r="Q23" i="72"/>
  <c r="R23" i="72"/>
  <c r="Q24" i="72"/>
  <c r="R24" i="72"/>
  <c r="Q26" i="72"/>
  <c r="R26" i="72"/>
  <c r="Q27" i="72"/>
  <c r="R27" i="72"/>
  <c r="Q28" i="72"/>
  <c r="R28" i="72"/>
  <c r="Q29" i="72"/>
  <c r="R29" i="72"/>
  <c r="Q31" i="72"/>
  <c r="R31" i="72"/>
  <c r="Q32" i="72"/>
  <c r="R32" i="72"/>
  <c r="Q33" i="72"/>
  <c r="R33" i="72"/>
  <c r="Q34" i="72"/>
  <c r="R34" i="72"/>
  <c r="G35" i="72"/>
  <c r="H35" i="72"/>
  <c r="I35" i="72"/>
  <c r="J35" i="72"/>
  <c r="K35" i="72"/>
  <c r="L35" i="72"/>
  <c r="M35" i="72"/>
  <c r="N35" i="72"/>
  <c r="O35" i="72"/>
  <c r="P35" i="72"/>
  <c r="Q37" i="72"/>
  <c r="R37" i="72"/>
  <c r="AH57" i="48"/>
  <c r="AI57" i="48"/>
  <c r="AH58" i="48"/>
  <c r="AI58" i="48"/>
  <c r="AH59" i="48"/>
  <c r="AI59" i="48"/>
  <c r="AH60" i="48"/>
  <c r="AI60" i="48"/>
  <c r="AH61" i="48"/>
  <c r="AI61" i="48"/>
  <c r="AH62" i="48"/>
  <c r="AI62" i="48"/>
  <c r="AH63" i="48"/>
  <c r="AI63" i="48"/>
  <c r="AH64" i="48"/>
  <c r="AI64" i="48"/>
  <c r="AH65" i="48"/>
  <c r="AI65" i="48"/>
  <c r="AH66" i="48"/>
  <c r="AI66" i="48"/>
  <c r="AH67" i="48"/>
  <c r="AI67" i="48"/>
  <c r="AJ67" i="48" s="1"/>
  <c r="AH68" i="48"/>
  <c r="AI68" i="48"/>
  <c r="AH69" i="48"/>
  <c r="AI69" i="48"/>
  <c r="AH70" i="48"/>
  <c r="AJ70" i="48" s="1"/>
  <c r="AI70" i="48"/>
  <c r="AH71" i="48"/>
  <c r="AI71" i="48"/>
  <c r="AH72" i="48"/>
  <c r="AI72" i="48"/>
  <c r="AH73" i="48"/>
  <c r="AI73" i="48"/>
  <c r="AH74" i="48"/>
  <c r="AI74" i="48"/>
  <c r="AH75" i="48"/>
  <c r="AI75" i="48"/>
  <c r="AH76" i="48"/>
  <c r="AI76" i="48"/>
  <c r="AH77" i="48"/>
  <c r="AI77" i="48"/>
  <c r="AH78" i="48"/>
  <c r="AJ78" i="48" s="1"/>
  <c r="AI78" i="48"/>
  <c r="AH79" i="48"/>
  <c r="AI79" i="48"/>
  <c r="AH80" i="48"/>
  <c r="AJ80" i="48" s="1"/>
  <c r="AI80" i="48"/>
  <c r="AH81" i="48"/>
  <c r="AI81" i="48"/>
  <c r="AH82" i="48"/>
  <c r="AJ82" i="48" s="1"/>
  <c r="AI82" i="48"/>
  <c r="AH83" i="48"/>
  <c r="AI83" i="48"/>
  <c r="AJ83" i="48" s="1"/>
  <c r="AH84" i="48"/>
  <c r="AJ84" i="48" s="1"/>
  <c r="AI84" i="48"/>
  <c r="AH85" i="48"/>
  <c r="AI85" i="48"/>
  <c r="AH86" i="48"/>
  <c r="AJ86" i="48" s="1"/>
  <c r="AI86" i="48"/>
  <c r="AH87" i="48"/>
  <c r="AI87" i="48"/>
  <c r="AH88" i="48"/>
  <c r="AJ88" i="48" s="1"/>
  <c r="AI88" i="48"/>
  <c r="AH89" i="48"/>
  <c r="AI89" i="48"/>
  <c r="AH90" i="48"/>
  <c r="AI90" i="48"/>
  <c r="AH91" i="48"/>
  <c r="AI91" i="48"/>
  <c r="AJ91" i="48" s="1"/>
  <c r="AH92" i="48"/>
  <c r="AI92" i="48"/>
  <c r="AH93" i="48"/>
  <c r="AI93" i="48"/>
  <c r="AH94" i="48"/>
  <c r="AJ94" i="48" s="1"/>
  <c r="AI94" i="48"/>
  <c r="AH95" i="48"/>
  <c r="AI95" i="48"/>
  <c r="AJ95" i="48" s="1"/>
  <c r="AH96" i="48"/>
  <c r="AJ96" i="48" s="1"/>
  <c r="AI96" i="48"/>
  <c r="AH97" i="48"/>
  <c r="AI97" i="48"/>
  <c r="AJ97" i="48" s="1"/>
  <c r="AH98" i="48"/>
  <c r="AJ98" i="48" s="1"/>
  <c r="AI98" i="48"/>
  <c r="AH99" i="48"/>
  <c r="AI99" i="48"/>
  <c r="AH100" i="48"/>
  <c r="AJ100" i="48" s="1"/>
  <c r="AI100" i="48"/>
  <c r="AH101" i="48"/>
  <c r="AI101" i="48"/>
  <c r="AH102" i="48"/>
  <c r="AJ102" i="48" s="1"/>
  <c r="AI102" i="48"/>
  <c r="AH103" i="48"/>
  <c r="AI103" i="48"/>
  <c r="AH104" i="48"/>
  <c r="AJ104" i="48" s="1"/>
  <c r="AI104" i="48"/>
  <c r="AH105" i="48"/>
  <c r="AI105" i="48"/>
  <c r="AH106" i="48"/>
  <c r="AI106" i="48"/>
  <c r="AH107" i="48"/>
  <c r="AI107" i="48"/>
  <c r="AH108" i="48"/>
  <c r="AI108" i="48"/>
  <c r="AH109" i="48"/>
  <c r="AI109" i="48"/>
  <c r="AJ109" i="48" s="1"/>
  <c r="AH110" i="48"/>
  <c r="AJ110" i="48" s="1"/>
  <c r="AI110" i="48"/>
  <c r="AH111" i="48"/>
  <c r="AI111" i="48"/>
  <c r="AH112" i="48"/>
  <c r="AJ112" i="48" s="1"/>
  <c r="AI112" i="48"/>
  <c r="AH113" i="48"/>
  <c r="AI113" i="48"/>
  <c r="AJ113" i="48" s="1"/>
  <c r="AH114" i="48"/>
  <c r="AJ114" i="48" s="1"/>
  <c r="AI114" i="48"/>
  <c r="AH115" i="48"/>
  <c r="AI115" i="48"/>
  <c r="AH116" i="48"/>
  <c r="AJ116" i="48" s="1"/>
  <c r="AI116" i="48"/>
  <c r="AH117" i="48"/>
  <c r="AI117" i="48"/>
  <c r="AH118" i="48"/>
  <c r="AI118" i="48"/>
  <c r="AH119" i="48"/>
  <c r="AI119" i="48"/>
  <c r="AH120" i="48"/>
  <c r="AI120" i="48"/>
  <c r="AH121" i="48"/>
  <c r="AI121" i="48"/>
  <c r="AH122" i="48"/>
  <c r="AJ122" i="48" s="1"/>
  <c r="AI122" i="48"/>
  <c r="AH123" i="48"/>
  <c r="AI123" i="48"/>
  <c r="AH124" i="48"/>
  <c r="AJ124" i="48" s="1"/>
  <c r="AI124" i="48"/>
  <c r="AH125" i="48"/>
  <c r="AJ125" i="48" s="1"/>
  <c r="AI125" i="48"/>
  <c r="AH126" i="48"/>
  <c r="AI126" i="48"/>
  <c r="AH127" i="48"/>
  <c r="AJ127" i="48" s="1"/>
  <c r="AI127" i="48"/>
  <c r="AH128" i="48"/>
  <c r="AI128" i="48"/>
  <c r="AJ128" i="48"/>
  <c r="AH129" i="48"/>
  <c r="AI129" i="48"/>
  <c r="AJ129" i="48"/>
  <c r="AH130" i="48"/>
  <c r="AJ130" i="48" s="1"/>
  <c r="AI130" i="48"/>
  <c r="AH131" i="48"/>
  <c r="AJ131" i="48" s="1"/>
  <c r="AI131" i="48"/>
  <c r="AH132" i="48"/>
  <c r="AI132" i="48"/>
  <c r="AJ132" i="48" s="1"/>
  <c r="AH133" i="48"/>
  <c r="AI133" i="48"/>
  <c r="AJ133" i="48"/>
  <c r="AH134" i="48"/>
  <c r="AJ134" i="48" s="1"/>
  <c r="AI134" i="48"/>
  <c r="AH135" i="48"/>
  <c r="AJ135" i="48" s="1"/>
  <c r="AI135" i="48"/>
  <c r="AH136" i="48"/>
  <c r="AI136" i="48"/>
  <c r="AJ136" i="48" s="1"/>
  <c r="AH137" i="48"/>
  <c r="AI137" i="48"/>
  <c r="AJ137" i="48"/>
  <c r="AH138" i="48"/>
  <c r="AJ138" i="48" s="1"/>
  <c r="AI138" i="48"/>
  <c r="AH139" i="48"/>
  <c r="AJ139" i="48" s="1"/>
  <c r="AI139" i="48"/>
  <c r="AH140" i="48"/>
  <c r="AI140" i="48"/>
  <c r="AJ140" i="48" s="1"/>
  <c r="AH141" i="48"/>
  <c r="AI141" i="48"/>
  <c r="AJ141" i="48"/>
  <c r="AH142" i="48"/>
  <c r="AJ142" i="48" s="1"/>
  <c r="AI142" i="48"/>
  <c r="AH143" i="48"/>
  <c r="AJ143" i="48" s="1"/>
  <c r="AI143" i="48"/>
  <c r="AH144" i="48"/>
  <c r="AI144" i="48"/>
  <c r="AJ144" i="48" s="1"/>
  <c r="AH145" i="48"/>
  <c r="AI145" i="48"/>
  <c r="AJ145" i="48"/>
  <c r="AH146" i="48"/>
  <c r="AJ146" i="48" s="1"/>
  <c r="AI146" i="48"/>
  <c r="AH147" i="48"/>
  <c r="AJ147" i="48" s="1"/>
  <c r="AI147" i="48"/>
  <c r="AH148" i="48"/>
  <c r="AI148" i="48"/>
  <c r="AJ148" i="48" s="1"/>
  <c r="AH149" i="48"/>
  <c r="AI149" i="48"/>
  <c r="AJ149" i="48"/>
  <c r="AH150" i="48"/>
  <c r="AJ150" i="48" s="1"/>
  <c r="AI150" i="48"/>
  <c r="AH151" i="48"/>
  <c r="AJ151" i="48" s="1"/>
  <c r="AI151" i="48"/>
  <c r="AH152" i="48"/>
  <c r="AI152" i="48"/>
  <c r="AJ152" i="48" s="1"/>
  <c r="AH153" i="48"/>
  <c r="AI153" i="48"/>
  <c r="AJ153" i="48"/>
  <c r="AH154" i="48"/>
  <c r="AJ154" i="48" s="1"/>
  <c r="AI154" i="48"/>
  <c r="AH155" i="48"/>
  <c r="AJ155" i="48" s="1"/>
  <c r="AI155" i="48"/>
  <c r="AH156" i="48"/>
  <c r="AI156" i="48"/>
  <c r="AJ156" i="48" s="1"/>
  <c r="AH157" i="48"/>
  <c r="AI157" i="48"/>
  <c r="AJ157" i="48"/>
  <c r="AH158" i="48"/>
  <c r="AJ158" i="48" s="1"/>
  <c r="AI158" i="48"/>
  <c r="AH159" i="48"/>
  <c r="AJ159" i="48" s="1"/>
  <c r="AI159" i="48"/>
  <c r="AH160" i="48"/>
  <c r="AI160" i="48"/>
  <c r="AJ160" i="48" s="1"/>
  <c r="AH161" i="48"/>
  <c r="AI161" i="48"/>
  <c r="AJ161" i="48"/>
  <c r="AH162" i="48"/>
  <c r="AJ162" i="48" s="1"/>
  <c r="AI162" i="48"/>
  <c r="AH163" i="48"/>
  <c r="AJ163" i="48" s="1"/>
  <c r="AI163" i="48"/>
  <c r="AH164" i="48"/>
  <c r="AI164" i="48"/>
  <c r="AJ164" i="48" s="1"/>
  <c r="AH165" i="48"/>
  <c r="AI165" i="48"/>
  <c r="AJ165" i="48"/>
  <c r="AH166" i="48"/>
  <c r="AJ166" i="48" s="1"/>
  <c r="AI166" i="48"/>
  <c r="AH167" i="48"/>
  <c r="AJ167" i="48" s="1"/>
  <c r="AI167" i="48"/>
  <c r="AH168" i="48"/>
  <c r="AI168" i="48"/>
  <c r="AJ168" i="48" s="1"/>
  <c r="AH169" i="48"/>
  <c r="AI169" i="48"/>
  <c r="AJ169" i="48"/>
  <c r="AH170" i="48"/>
  <c r="AJ170" i="48" s="1"/>
  <c r="AI170" i="48"/>
  <c r="AH171" i="48"/>
  <c r="AJ171" i="48" s="1"/>
  <c r="AI171" i="48"/>
  <c r="AH172" i="48"/>
  <c r="AI172" i="48"/>
  <c r="AJ172" i="48" s="1"/>
  <c r="AH173" i="48"/>
  <c r="AI173" i="48"/>
  <c r="AJ173" i="48"/>
  <c r="AH174" i="48"/>
  <c r="AJ174" i="48" s="1"/>
  <c r="AI174" i="48"/>
  <c r="AH175" i="48"/>
  <c r="AJ175" i="48" s="1"/>
  <c r="AI175" i="48"/>
  <c r="AH176" i="48"/>
  <c r="AI176" i="48"/>
  <c r="AJ176" i="48" s="1"/>
  <c r="AH177" i="48"/>
  <c r="AI177" i="48"/>
  <c r="AJ177" i="48"/>
  <c r="AH178" i="48"/>
  <c r="AJ178" i="48" s="1"/>
  <c r="AI178" i="48"/>
  <c r="AH179" i="48"/>
  <c r="AJ179" i="48" s="1"/>
  <c r="AI179" i="48"/>
  <c r="AH180" i="48"/>
  <c r="AI180" i="48"/>
  <c r="AJ180" i="48" s="1"/>
  <c r="AH181" i="48"/>
  <c r="AI181" i="48"/>
  <c r="AJ181" i="48"/>
  <c r="AH182" i="48"/>
  <c r="AJ182" i="48" s="1"/>
  <c r="AI182" i="48"/>
  <c r="AH183" i="48"/>
  <c r="AJ183" i="48" s="1"/>
  <c r="AI183" i="48"/>
  <c r="AH184" i="48"/>
  <c r="AI184" i="48"/>
  <c r="AJ184" i="48" s="1"/>
  <c r="AH185" i="48"/>
  <c r="AI185" i="48"/>
  <c r="AJ185" i="48"/>
  <c r="AH186" i="48"/>
  <c r="AJ186" i="48" s="1"/>
  <c r="AI186" i="48"/>
  <c r="AH187" i="48"/>
  <c r="AJ187" i="48" s="1"/>
  <c r="AI187" i="48"/>
  <c r="AH188" i="48"/>
  <c r="AI188" i="48"/>
  <c r="AJ188" i="48" s="1"/>
  <c r="AH189" i="48"/>
  <c r="AI189" i="48"/>
  <c r="AJ189" i="48"/>
  <c r="AH190" i="48"/>
  <c r="AJ190" i="48" s="1"/>
  <c r="AI190" i="48"/>
  <c r="AH191" i="48"/>
  <c r="AJ191" i="48" s="1"/>
  <c r="AI191" i="48"/>
  <c r="AH192" i="48"/>
  <c r="AI192" i="48"/>
  <c r="AJ192" i="48" s="1"/>
  <c r="AH193" i="48"/>
  <c r="AI193" i="48"/>
  <c r="AJ193" i="48"/>
  <c r="AH194" i="48"/>
  <c r="AJ194" i="48" s="1"/>
  <c r="AI194" i="48"/>
  <c r="AH195" i="48"/>
  <c r="AJ195" i="48" s="1"/>
  <c r="AI195" i="48"/>
  <c r="AH196" i="48"/>
  <c r="AI196" i="48"/>
  <c r="AJ196" i="48" s="1"/>
  <c r="AH197" i="48"/>
  <c r="AI197" i="48"/>
  <c r="AJ197" i="48"/>
  <c r="AH198" i="48"/>
  <c r="AJ198" i="48" s="1"/>
  <c r="AI198" i="48"/>
  <c r="AH199" i="48"/>
  <c r="AJ199" i="48" s="1"/>
  <c r="AI199" i="48"/>
  <c r="AH200" i="48"/>
  <c r="AI200" i="48"/>
  <c r="AJ200" i="48" s="1"/>
  <c r="AH201" i="48"/>
  <c r="AI201" i="48"/>
  <c r="AJ201" i="48"/>
  <c r="AH202" i="48"/>
  <c r="AJ202" i="48" s="1"/>
  <c r="AI202" i="48"/>
  <c r="AH203" i="48"/>
  <c r="AJ203" i="48" s="1"/>
  <c r="AI203" i="48"/>
  <c r="AH204" i="48"/>
  <c r="AI204" i="48"/>
  <c r="AJ204" i="48" s="1"/>
  <c r="AH205" i="48"/>
  <c r="AI205" i="48"/>
  <c r="AJ205" i="48"/>
  <c r="AH206" i="48"/>
  <c r="AJ206" i="48" s="1"/>
  <c r="AI206" i="48"/>
  <c r="AH207" i="48"/>
  <c r="AJ207" i="48" s="1"/>
  <c r="AI207" i="48"/>
  <c r="AH208" i="48"/>
  <c r="AI208" i="48"/>
  <c r="AJ208" i="48" s="1"/>
  <c r="AH209" i="48"/>
  <c r="AI209" i="48"/>
  <c r="AJ209" i="48"/>
  <c r="AH210" i="48"/>
  <c r="AJ210" i="48" s="1"/>
  <c r="AI210" i="48"/>
  <c r="AH211" i="48"/>
  <c r="AJ211" i="48" s="1"/>
  <c r="AI211" i="48"/>
  <c r="AH212" i="48"/>
  <c r="AI212" i="48"/>
  <c r="AJ212" i="48" s="1"/>
  <c r="AH213" i="48"/>
  <c r="AI213" i="48"/>
  <c r="AJ213" i="48"/>
  <c r="AH214" i="48"/>
  <c r="AJ214" i="48" s="1"/>
  <c r="AI214" i="48"/>
  <c r="AH215" i="48"/>
  <c r="AJ215" i="48" s="1"/>
  <c r="AI215" i="48"/>
  <c r="AH216" i="48"/>
  <c r="AI216" i="48"/>
  <c r="AJ216" i="48" s="1"/>
  <c r="AH217" i="48"/>
  <c r="AI217" i="48"/>
  <c r="AJ217" i="48"/>
  <c r="AH218" i="48"/>
  <c r="AJ218" i="48" s="1"/>
  <c r="AI218" i="48"/>
  <c r="AH219" i="48"/>
  <c r="AJ219" i="48" s="1"/>
  <c r="AI219" i="48"/>
  <c r="AH220" i="48"/>
  <c r="AI220" i="48"/>
  <c r="AJ220" i="48" s="1"/>
  <c r="AH221" i="48"/>
  <c r="AI221" i="48"/>
  <c r="AJ221" i="48"/>
  <c r="AH222" i="48"/>
  <c r="AJ222" i="48" s="1"/>
  <c r="AI222" i="48"/>
  <c r="AH223" i="48"/>
  <c r="AJ223" i="48" s="1"/>
  <c r="AI223" i="48"/>
  <c r="AH224" i="48"/>
  <c r="AI224" i="48"/>
  <c r="AJ224" i="48" s="1"/>
  <c r="AH225" i="48"/>
  <c r="AI225" i="48"/>
  <c r="AJ225" i="48"/>
  <c r="AH226" i="48"/>
  <c r="AJ226" i="48" s="1"/>
  <c r="AI226" i="48"/>
  <c r="AH227" i="48"/>
  <c r="AJ227" i="48" s="1"/>
  <c r="AI227" i="48"/>
  <c r="AH228" i="48"/>
  <c r="AI228" i="48"/>
  <c r="AJ228" i="48" s="1"/>
  <c r="AH229" i="48"/>
  <c r="AI229" i="48"/>
  <c r="AJ229" i="48"/>
  <c r="AH230" i="48"/>
  <c r="AJ230" i="48" s="1"/>
  <c r="AI230" i="48"/>
  <c r="AH231" i="48"/>
  <c r="AJ231" i="48" s="1"/>
  <c r="AI231" i="48"/>
  <c r="AH232" i="48"/>
  <c r="AI232" i="48"/>
  <c r="AJ232" i="48" s="1"/>
  <c r="AH233" i="48"/>
  <c r="AI233" i="48"/>
  <c r="AJ233" i="48"/>
  <c r="AH234" i="48"/>
  <c r="AJ234" i="48" s="1"/>
  <c r="AI234" i="48"/>
  <c r="AH235" i="48"/>
  <c r="AJ235" i="48" s="1"/>
  <c r="AI235" i="48"/>
  <c r="AH236" i="48"/>
  <c r="AI236" i="48"/>
  <c r="AJ236" i="48" s="1"/>
  <c r="AH237" i="48"/>
  <c r="AI237" i="48"/>
  <c r="AJ237" i="48"/>
  <c r="AH238" i="48"/>
  <c r="AJ238" i="48" s="1"/>
  <c r="AI238" i="48"/>
  <c r="AH239" i="48"/>
  <c r="AJ239" i="48" s="1"/>
  <c r="AI239" i="48"/>
  <c r="AH240" i="48"/>
  <c r="AI240" i="48"/>
  <c r="AJ240" i="48" s="1"/>
  <c r="AH241" i="48"/>
  <c r="AI241" i="48"/>
  <c r="AJ241" i="48"/>
  <c r="AH242" i="48"/>
  <c r="AJ242" i="48" s="1"/>
  <c r="AI242" i="48"/>
  <c r="AH243" i="48"/>
  <c r="AJ243" i="48" s="1"/>
  <c r="AI243" i="48"/>
  <c r="AH244" i="48"/>
  <c r="AI244" i="48"/>
  <c r="AJ244" i="48" s="1"/>
  <c r="AH245" i="48"/>
  <c r="AI245" i="48"/>
  <c r="AJ245" i="48"/>
  <c r="AH246" i="48"/>
  <c r="AJ246" i="48" s="1"/>
  <c r="AI246" i="48"/>
  <c r="AH247" i="48"/>
  <c r="AJ247" i="48" s="1"/>
  <c r="AI247" i="48"/>
  <c r="AH248" i="48"/>
  <c r="AI248" i="48"/>
  <c r="AJ248" i="48" s="1"/>
  <c r="AH249" i="48"/>
  <c r="AI249" i="48"/>
  <c r="AJ249" i="48"/>
  <c r="AH250" i="48"/>
  <c r="AJ250" i="48" s="1"/>
  <c r="AI250" i="48"/>
  <c r="AH251" i="48"/>
  <c r="AJ251" i="48" s="1"/>
  <c r="AI251" i="48"/>
  <c r="AH252" i="48"/>
  <c r="AI252" i="48"/>
  <c r="AJ252" i="48" s="1"/>
  <c r="AH253" i="48"/>
  <c r="AI253" i="48"/>
  <c r="AJ253" i="48"/>
  <c r="AH254" i="48"/>
  <c r="AJ254" i="48" s="1"/>
  <c r="AI254" i="48"/>
  <c r="AH255" i="48"/>
  <c r="AJ255" i="48" s="1"/>
  <c r="AI255" i="48"/>
  <c r="AH256" i="48"/>
  <c r="AI256" i="48"/>
  <c r="AJ256" i="48" s="1"/>
  <c r="AH257" i="48"/>
  <c r="AI257" i="48"/>
  <c r="AJ257" i="48"/>
  <c r="AH258" i="48"/>
  <c r="AJ258" i="48" s="1"/>
  <c r="AI258" i="48"/>
  <c r="AH259" i="48"/>
  <c r="AJ259" i="48" s="1"/>
  <c r="AI259" i="48"/>
  <c r="AH260" i="48"/>
  <c r="AI260" i="48"/>
  <c r="AJ260" i="48" s="1"/>
  <c r="AH261" i="48"/>
  <c r="AI261" i="48"/>
  <c r="AJ261" i="48"/>
  <c r="AH262" i="48"/>
  <c r="AJ262" i="48" s="1"/>
  <c r="AI262" i="48"/>
  <c r="AH263" i="48"/>
  <c r="AJ263" i="48" s="1"/>
  <c r="AI263" i="48"/>
  <c r="AH264" i="48"/>
  <c r="AI264" i="48"/>
  <c r="AJ264" i="48" s="1"/>
  <c r="AH265" i="48"/>
  <c r="AI265" i="48"/>
  <c r="AJ265" i="48"/>
  <c r="AH266" i="48"/>
  <c r="AJ266" i="48" s="1"/>
  <c r="AI266" i="48"/>
  <c r="AH267" i="48"/>
  <c r="AJ267" i="48" s="1"/>
  <c r="AI267" i="48"/>
  <c r="AH268" i="48"/>
  <c r="AI268" i="48"/>
  <c r="AJ268" i="48" s="1"/>
  <c r="AH269" i="48"/>
  <c r="AI269" i="48"/>
  <c r="AJ269" i="48"/>
  <c r="AH270" i="48"/>
  <c r="AJ270" i="48" s="1"/>
  <c r="AI270" i="48"/>
  <c r="AH271" i="48"/>
  <c r="AJ271" i="48" s="1"/>
  <c r="AI271" i="48"/>
  <c r="AH272" i="48"/>
  <c r="AI272" i="48"/>
  <c r="AJ272" i="48" s="1"/>
  <c r="AH273" i="48"/>
  <c r="AI273" i="48"/>
  <c r="AJ273" i="48"/>
  <c r="AH274" i="48"/>
  <c r="AJ274" i="48" s="1"/>
  <c r="AI274" i="48"/>
  <c r="AH275" i="48"/>
  <c r="AJ275" i="48" s="1"/>
  <c r="AI275" i="48"/>
  <c r="AH276" i="48"/>
  <c r="AI276" i="48"/>
  <c r="AJ276" i="48" s="1"/>
  <c r="AH277" i="48"/>
  <c r="AI277" i="48"/>
  <c r="AJ277" i="48"/>
  <c r="AH278" i="48"/>
  <c r="AJ278" i="48" s="1"/>
  <c r="AI278" i="48"/>
  <c r="AH279" i="48"/>
  <c r="AJ279" i="48" s="1"/>
  <c r="AI279" i="48"/>
  <c r="AH280" i="48"/>
  <c r="AI280" i="48"/>
  <c r="AJ280" i="48" s="1"/>
  <c r="AH281" i="48"/>
  <c r="AI281" i="48"/>
  <c r="AJ281" i="48"/>
  <c r="AH282" i="48"/>
  <c r="AJ282" i="48" s="1"/>
  <c r="AI282" i="48"/>
  <c r="AH283" i="48"/>
  <c r="AJ283" i="48" s="1"/>
  <c r="AI283" i="48"/>
  <c r="AH284" i="48"/>
  <c r="AI284" i="48"/>
  <c r="AJ284" i="48" s="1"/>
  <c r="AH285" i="48"/>
  <c r="AI285" i="48"/>
  <c r="AJ285" i="48"/>
  <c r="AH286" i="48"/>
  <c r="AJ286" i="48" s="1"/>
  <c r="AI286" i="48"/>
  <c r="AH287" i="48"/>
  <c r="AJ287" i="48" s="1"/>
  <c r="AI287" i="48"/>
  <c r="AH288" i="48"/>
  <c r="AI288" i="48"/>
  <c r="AJ288" i="48" s="1"/>
  <c r="AH289" i="48"/>
  <c r="AI289" i="48"/>
  <c r="AJ289" i="48"/>
  <c r="AH290" i="48"/>
  <c r="AJ290" i="48" s="1"/>
  <c r="AI290" i="48"/>
  <c r="AH291" i="48"/>
  <c r="AJ291" i="48" s="1"/>
  <c r="AI291" i="48"/>
  <c r="AH292" i="48"/>
  <c r="AI292" i="48"/>
  <c r="AJ292" i="48" s="1"/>
  <c r="AH293" i="48"/>
  <c r="AI293" i="48"/>
  <c r="AJ293" i="48"/>
  <c r="AH294" i="48"/>
  <c r="AJ294" i="48" s="1"/>
  <c r="AI294" i="48"/>
  <c r="AH295" i="48"/>
  <c r="AJ295" i="48" s="1"/>
  <c r="AI295" i="48"/>
  <c r="AH296" i="48"/>
  <c r="AI296" i="48"/>
  <c r="AJ296" i="48" s="1"/>
  <c r="AH297" i="48"/>
  <c r="AI297" i="48"/>
  <c r="AJ297" i="48"/>
  <c r="AH298" i="48"/>
  <c r="AJ298" i="48" s="1"/>
  <c r="AI298" i="48"/>
  <c r="AH299" i="48"/>
  <c r="AJ299" i="48" s="1"/>
  <c r="AI299" i="48"/>
  <c r="AH300" i="48"/>
  <c r="AI300" i="48"/>
  <c r="AJ300" i="48"/>
  <c r="AH301" i="48"/>
  <c r="AI301" i="48"/>
  <c r="AJ301" i="48"/>
  <c r="AH302" i="48"/>
  <c r="AI302" i="48"/>
  <c r="AJ302" i="48"/>
  <c r="AH303" i="48"/>
  <c r="AI303" i="48"/>
  <c r="AJ303" i="48"/>
  <c r="AH304" i="48"/>
  <c r="AI304" i="48"/>
  <c r="AJ304" i="48"/>
  <c r="AH305" i="48"/>
  <c r="AI305" i="48"/>
  <c r="AJ305" i="48"/>
  <c r="AH306" i="48"/>
  <c r="AI306" i="48"/>
  <c r="AJ306" i="48"/>
  <c r="AH307" i="48"/>
  <c r="AI307" i="48"/>
  <c r="AJ307" i="48"/>
  <c r="AH308" i="48"/>
  <c r="AI308" i="48"/>
  <c r="AJ308" i="48"/>
  <c r="AH309" i="48"/>
  <c r="AI309" i="48"/>
  <c r="AJ309" i="48"/>
  <c r="AH310" i="48"/>
  <c r="AI310" i="48"/>
  <c r="AJ310" i="48"/>
  <c r="AH311" i="48"/>
  <c r="AI311" i="48"/>
  <c r="AJ311" i="48"/>
  <c r="AH312" i="48"/>
  <c r="AI312" i="48"/>
  <c r="AJ312" i="48"/>
  <c r="AH313" i="48"/>
  <c r="AI313" i="48"/>
  <c r="AJ313" i="48"/>
  <c r="AH314" i="48"/>
  <c r="AI314" i="48"/>
  <c r="AJ314" i="48"/>
  <c r="AH315" i="48"/>
  <c r="AI315" i="48"/>
  <c r="AJ315" i="48"/>
  <c r="AH316" i="48"/>
  <c r="AI316" i="48"/>
  <c r="AJ316" i="48"/>
  <c r="AH317" i="48"/>
  <c r="AI317" i="48"/>
  <c r="AJ317" i="48"/>
  <c r="AH318" i="48"/>
  <c r="AI318" i="48"/>
  <c r="AJ318" i="48"/>
  <c r="AH319" i="48"/>
  <c r="AI319" i="48"/>
  <c r="AJ319" i="48"/>
  <c r="AH320" i="48"/>
  <c r="AI320" i="48"/>
  <c r="AJ320" i="48"/>
  <c r="AH321" i="48"/>
  <c r="AI321" i="48"/>
  <c r="AJ321" i="48"/>
  <c r="AH322" i="48"/>
  <c r="AI322" i="48"/>
  <c r="AJ322" i="48"/>
  <c r="AH323" i="48"/>
  <c r="AI323" i="48"/>
  <c r="AJ323" i="48"/>
  <c r="AH324" i="48"/>
  <c r="AI324" i="48"/>
  <c r="AJ324" i="48"/>
  <c r="AH325" i="48"/>
  <c r="AI325" i="48"/>
  <c r="AJ325" i="48"/>
  <c r="AH326" i="48"/>
  <c r="AI326" i="48"/>
  <c r="AJ326" i="48"/>
  <c r="AH327" i="48"/>
  <c r="AI327" i="48"/>
  <c r="AJ327" i="48"/>
  <c r="AH328" i="48"/>
  <c r="AI328" i="48"/>
  <c r="AJ328" i="48"/>
  <c r="AH329" i="48"/>
  <c r="AI329" i="48"/>
  <c r="AJ329" i="48"/>
  <c r="AH330" i="48"/>
  <c r="AI330" i="48"/>
  <c r="AJ330" i="48"/>
  <c r="AH331" i="48"/>
  <c r="AI331" i="48"/>
  <c r="AJ331" i="48"/>
  <c r="AH332" i="48"/>
  <c r="AI332" i="48"/>
  <c r="AJ332" i="48"/>
  <c r="AH333" i="48"/>
  <c r="AI333" i="48"/>
  <c r="AJ333" i="48"/>
  <c r="AH334" i="48"/>
  <c r="AI334" i="48"/>
  <c r="AJ334" i="48"/>
  <c r="AH335" i="48"/>
  <c r="AI335" i="48"/>
  <c r="AJ335" i="48"/>
  <c r="AH336" i="48"/>
  <c r="AI336" i="48"/>
  <c r="AJ336" i="48"/>
  <c r="AH337" i="48"/>
  <c r="AI337" i="48"/>
  <c r="AJ337" i="48"/>
  <c r="AH338" i="48"/>
  <c r="AI338" i="48"/>
  <c r="AJ338" i="48"/>
  <c r="AH339" i="48"/>
  <c r="AI339" i="48"/>
  <c r="AJ339" i="48"/>
  <c r="AH340" i="48"/>
  <c r="AI340" i="48"/>
  <c r="AJ340" i="48"/>
  <c r="AH341" i="48"/>
  <c r="AI341" i="48"/>
  <c r="AJ341" i="48"/>
  <c r="AH342" i="48"/>
  <c r="AI342" i="48"/>
  <c r="AJ342" i="48"/>
  <c r="AH343" i="48"/>
  <c r="AI343" i="48"/>
  <c r="AJ343" i="48"/>
  <c r="AH344" i="48"/>
  <c r="AI344" i="48"/>
  <c r="AJ344" i="48"/>
  <c r="AH345" i="48"/>
  <c r="AI345" i="48"/>
  <c r="AJ345" i="48"/>
  <c r="AH346" i="48"/>
  <c r="AI346" i="48"/>
  <c r="AJ346" i="48"/>
  <c r="AH347" i="48"/>
  <c r="AI347" i="48"/>
  <c r="AJ347" i="48"/>
  <c r="AH348" i="48"/>
  <c r="AI348" i="48"/>
  <c r="AJ348" i="48"/>
  <c r="AH349" i="48"/>
  <c r="AI349" i="48"/>
  <c r="AJ349" i="48"/>
  <c r="AH350" i="48"/>
  <c r="AI350" i="48"/>
  <c r="AJ350" i="48"/>
  <c r="AH351" i="48"/>
  <c r="AI351" i="48"/>
  <c r="AJ351" i="48"/>
  <c r="AH352" i="48"/>
  <c r="AI352" i="48"/>
  <c r="AJ352" i="48"/>
  <c r="AH353" i="48"/>
  <c r="AI353" i="48"/>
  <c r="AJ353" i="48"/>
  <c r="AH354" i="48"/>
  <c r="AI354" i="48"/>
  <c r="AJ354" i="48"/>
  <c r="AH355" i="48"/>
  <c r="AI355" i="48"/>
  <c r="AJ355" i="48"/>
  <c r="AH356" i="48"/>
  <c r="AI356" i="48"/>
  <c r="AJ356" i="48"/>
  <c r="AH357" i="48"/>
  <c r="AI357" i="48"/>
  <c r="AJ357" i="48"/>
  <c r="AH358" i="48"/>
  <c r="AI358" i="48"/>
  <c r="AJ358" i="48"/>
  <c r="AH359" i="48"/>
  <c r="AI359" i="48"/>
  <c r="AJ359" i="48"/>
  <c r="AH360" i="48"/>
  <c r="AI360" i="48"/>
  <c r="AJ360" i="48"/>
  <c r="AH361" i="48"/>
  <c r="AI361" i="48"/>
  <c r="AJ361" i="48"/>
  <c r="AH362" i="48"/>
  <c r="AI362" i="48"/>
  <c r="AJ362" i="48"/>
  <c r="AH363" i="48"/>
  <c r="AI363" i="48"/>
  <c r="AJ363" i="48"/>
  <c r="AH364" i="48"/>
  <c r="AI364" i="48"/>
  <c r="AJ364" i="48"/>
  <c r="AH365" i="48"/>
  <c r="AI365" i="48"/>
  <c r="AJ365" i="48"/>
  <c r="AH366" i="48"/>
  <c r="AI366" i="48"/>
  <c r="AJ366" i="48"/>
  <c r="AH367" i="48"/>
  <c r="AI367" i="48"/>
  <c r="AJ367" i="48"/>
  <c r="AH368" i="48"/>
  <c r="AI368" i="48"/>
  <c r="AJ368" i="48"/>
  <c r="AH369" i="48"/>
  <c r="AI369" i="48"/>
  <c r="AJ369" i="48"/>
  <c r="AH370" i="48"/>
  <c r="AI370" i="48"/>
  <c r="AJ370" i="48"/>
  <c r="AH371" i="48"/>
  <c r="AI371" i="48"/>
  <c r="AJ371" i="48"/>
  <c r="AH372" i="48"/>
  <c r="AI372" i="48"/>
  <c r="AJ372" i="48"/>
  <c r="AH373" i="48"/>
  <c r="AI373" i="48"/>
  <c r="AJ373" i="48"/>
  <c r="AH374" i="48"/>
  <c r="AI374" i="48"/>
  <c r="AJ374" i="48"/>
  <c r="AH375" i="48"/>
  <c r="AI375" i="48"/>
  <c r="AJ375" i="48"/>
  <c r="AH376" i="48"/>
  <c r="AI376" i="48"/>
  <c r="AJ376" i="48"/>
  <c r="AH377" i="48"/>
  <c r="AI377" i="48"/>
  <c r="AJ377" i="48"/>
  <c r="AH378" i="48"/>
  <c r="AI378" i="48"/>
  <c r="AJ378" i="48"/>
  <c r="AH379" i="48"/>
  <c r="AI379" i="48"/>
  <c r="AJ379" i="48"/>
  <c r="AH380" i="48"/>
  <c r="AI380" i="48"/>
  <c r="AJ380" i="48"/>
  <c r="AH381" i="48"/>
  <c r="AI381" i="48"/>
  <c r="AJ381" i="48"/>
  <c r="AH382" i="48"/>
  <c r="AI382" i="48"/>
  <c r="AJ382" i="48"/>
  <c r="AH383" i="48"/>
  <c r="AI383" i="48"/>
  <c r="AJ383" i="48"/>
  <c r="AH384" i="48"/>
  <c r="AI384" i="48"/>
  <c r="AJ384" i="48"/>
  <c r="AH385" i="48"/>
  <c r="AI385" i="48"/>
  <c r="AJ385" i="48"/>
  <c r="AH386" i="48"/>
  <c r="AI386" i="48"/>
  <c r="AJ386" i="48"/>
  <c r="AH387" i="48"/>
  <c r="AI387" i="48"/>
  <c r="AJ387" i="48"/>
  <c r="AH388" i="48"/>
  <c r="AI388" i="48"/>
  <c r="AJ388" i="48"/>
  <c r="AH389" i="48"/>
  <c r="AI389" i="48"/>
  <c r="AJ389" i="48"/>
  <c r="AH390" i="48"/>
  <c r="AI390" i="48"/>
  <c r="AJ390" i="48"/>
  <c r="AH391" i="48"/>
  <c r="AI391" i="48"/>
  <c r="AJ391" i="48"/>
  <c r="AH392" i="48"/>
  <c r="AI392" i="48"/>
  <c r="AJ392" i="48"/>
  <c r="AH393" i="48"/>
  <c r="AI393" i="48"/>
  <c r="AJ393" i="48"/>
  <c r="AH394" i="48"/>
  <c r="AI394" i="48"/>
  <c r="AJ394" i="48"/>
  <c r="AH395" i="48"/>
  <c r="AI395" i="48"/>
  <c r="AJ395" i="48"/>
  <c r="AH396" i="48"/>
  <c r="AI396" i="48"/>
  <c r="AJ396" i="48"/>
  <c r="AH397" i="48"/>
  <c r="AI397" i="48"/>
  <c r="AJ397" i="48"/>
  <c r="AH398" i="48"/>
  <c r="AI398" i="48"/>
  <c r="AJ398" i="48"/>
  <c r="AH399" i="48"/>
  <c r="AI399" i="48"/>
  <c r="AJ399" i="48"/>
  <c r="AH400" i="48"/>
  <c r="AI400" i="48"/>
  <c r="AJ400" i="48"/>
  <c r="AH401" i="48"/>
  <c r="AI401" i="48"/>
  <c r="AJ401" i="48"/>
  <c r="AH402" i="48"/>
  <c r="AI402" i="48"/>
  <c r="AJ402" i="48"/>
  <c r="AH403" i="48"/>
  <c r="AI403" i="48"/>
  <c r="AJ403" i="48"/>
  <c r="AH404" i="48"/>
  <c r="AI404" i="48"/>
  <c r="AJ404" i="48"/>
  <c r="AH405" i="48"/>
  <c r="AI405" i="48"/>
  <c r="AJ405" i="48"/>
  <c r="AH406" i="48"/>
  <c r="AI406" i="48"/>
  <c r="AJ406" i="48"/>
  <c r="AH407" i="48"/>
  <c r="AI407" i="48"/>
  <c r="AJ407" i="48"/>
  <c r="AH408" i="48"/>
  <c r="AI408" i="48"/>
  <c r="AJ408" i="48"/>
  <c r="AH409" i="48"/>
  <c r="AI409" i="48"/>
  <c r="AJ409" i="48"/>
  <c r="AH410" i="48"/>
  <c r="AI410" i="48"/>
  <c r="AJ410" i="48"/>
  <c r="AH411" i="48"/>
  <c r="AI411" i="48"/>
  <c r="AJ411" i="48"/>
  <c r="AH412" i="48"/>
  <c r="AI412" i="48"/>
  <c r="AJ412" i="48"/>
  <c r="AH413" i="48"/>
  <c r="AI413" i="48"/>
  <c r="AJ413" i="48"/>
  <c r="AH414" i="48"/>
  <c r="AI414" i="48"/>
  <c r="AJ414" i="48"/>
  <c r="AH415" i="48"/>
  <c r="AI415" i="48"/>
  <c r="AJ415" i="48"/>
  <c r="AH416" i="48"/>
  <c r="AI416" i="48"/>
  <c r="AJ416" i="48"/>
  <c r="AH417" i="48"/>
  <c r="AI417" i="48"/>
  <c r="AJ417" i="48"/>
  <c r="AH418" i="48"/>
  <c r="AI418" i="48"/>
  <c r="AJ418" i="48"/>
  <c r="AH419" i="48"/>
  <c r="AI419" i="48"/>
  <c r="AJ419" i="48"/>
  <c r="AH420" i="48"/>
  <c r="AI420" i="48"/>
  <c r="AJ420" i="48"/>
  <c r="AH421" i="48"/>
  <c r="AI421" i="48"/>
  <c r="AJ421" i="48"/>
  <c r="AH422" i="48"/>
  <c r="AI422" i="48"/>
  <c r="AJ422" i="48"/>
  <c r="AH423" i="48"/>
  <c r="AI423" i="48"/>
  <c r="AJ423" i="48"/>
  <c r="AH424" i="48"/>
  <c r="AI424" i="48"/>
  <c r="AJ424" i="48"/>
  <c r="AH425" i="48"/>
  <c r="AI425" i="48"/>
  <c r="AJ425" i="48"/>
  <c r="AH426" i="48"/>
  <c r="AI426" i="48"/>
  <c r="AJ426" i="48"/>
  <c r="AH427" i="48"/>
  <c r="AI427" i="48"/>
  <c r="AJ427" i="48"/>
  <c r="AH428" i="48"/>
  <c r="AI428" i="48"/>
  <c r="AJ428" i="48"/>
  <c r="AH429" i="48"/>
  <c r="AI429" i="48"/>
  <c r="AJ429" i="48"/>
  <c r="AH430" i="48"/>
  <c r="AI430" i="48"/>
  <c r="AJ430" i="48"/>
  <c r="AH431" i="48"/>
  <c r="AI431" i="48"/>
  <c r="AJ431" i="48"/>
  <c r="AH432" i="48"/>
  <c r="AI432" i="48"/>
  <c r="AJ432" i="48"/>
  <c r="AH433" i="48"/>
  <c r="AI433" i="48"/>
  <c r="AJ433" i="48"/>
  <c r="AH434" i="48"/>
  <c r="AI434" i="48"/>
  <c r="AJ434" i="48"/>
  <c r="AH435" i="48"/>
  <c r="AI435" i="48"/>
  <c r="AJ435" i="48"/>
  <c r="AH436" i="48"/>
  <c r="AI436" i="48"/>
  <c r="AJ436" i="48"/>
  <c r="AH437" i="48"/>
  <c r="AI437" i="48"/>
  <c r="AJ437" i="48"/>
  <c r="AH438" i="48"/>
  <c r="AI438" i="48"/>
  <c r="AJ438" i="48"/>
  <c r="AH439" i="48"/>
  <c r="AI439" i="48"/>
  <c r="AJ439" i="48"/>
  <c r="AH440" i="48"/>
  <c r="AI440" i="48"/>
  <c r="AJ440" i="48"/>
  <c r="AH441" i="48"/>
  <c r="AI441" i="48"/>
  <c r="AJ441" i="48"/>
  <c r="AH442" i="48"/>
  <c r="AI442" i="48"/>
  <c r="AJ442" i="48"/>
  <c r="AH443" i="48"/>
  <c r="AI443" i="48"/>
  <c r="AJ443" i="48"/>
  <c r="AH444" i="48"/>
  <c r="AI444" i="48"/>
  <c r="AJ444" i="48"/>
  <c r="AH445" i="48"/>
  <c r="AI445" i="48"/>
  <c r="AJ445" i="48"/>
  <c r="AH446" i="48"/>
  <c r="AI446" i="48"/>
  <c r="AJ446" i="48"/>
  <c r="AH447" i="48"/>
  <c r="AI447" i="48"/>
  <c r="AJ447" i="48"/>
  <c r="AH448" i="48"/>
  <c r="AI448" i="48"/>
  <c r="AJ448" i="48"/>
  <c r="AH449" i="48"/>
  <c r="AI449" i="48"/>
  <c r="AJ449" i="48"/>
  <c r="AH450" i="48"/>
  <c r="AI450" i="48"/>
  <c r="AJ450" i="48"/>
  <c r="AH451" i="48"/>
  <c r="AI451" i="48"/>
  <c r="AJ451" i="48"/>
  <c r="AH452" i="48"/>
  <c r="AI452" i="48"/>
  <c r="AJ452" i="48"/>
  <c r="AH453" i="48"/>
  <c r="AI453" i="48"/>
  <c r="AJ453" i="48"/>
  <c r="AH454" i="48"/>
  <c r="AI454" i="48"/>
  <c r="AJ454" i="48"/>
  <c r="AH455" i="48"/>
  <c r="AI455" i="48"/>
  <c r="AJ455" i="48"/>
  <c r="AH456" i="48"/>
  <c r="AI456" i="48"/>
  <c r="AJ456" i="48"/>
  <c r="AH457" i="48"/>
  <c r="AI457" i="48"/>
  <c r="AJ457" i="48"/>
  <c r="AH458" i="48"/>
  <c r="AI458" i="48"/>
  <c r="AJ458" i="48"/>
  <c r="AH459" i="48"/>
  <c r="AI459" i="48"/>
  <c r="AJ459" i="48"/>
  <c r="AH460" i="48"/>
  <c r="AI460" i="48"/>
  <c r="AJ460" i="48"/>
  <c r="AH461" i="48"/>
  <c r="AI461" i="48"/>
  <c r="AJ461" i="48"/>
  <c r="AH462" i="48"/>
  <c r="AI462" i="48"/>
  <c r="AJ462" i="48"/>
  <c r="AH463" i="48"/>
  <c r="AI463" i="48"/>
  <c r="AJ463" i="48"/>
  <c r="AH464" i="48"/>
  <c r="AI464" i="48"/>
  <c r="AJ464" i="48"/>
  <c r="AH465" i="48"/>
  <c r="AI465" i="48"/>
  <c r="AJ465" i="48"/>
  <c r="AH466" i="48"/>
  <c r="AI466" i="48"/>
  <c r="AJ466" i="48"/>
  <c r="AH467" i="48"/>
  <c r="AI467" i="48"/>
  <c r="AJ467" i="48"/>
  <c r="AH468" i="48"/>
  <c r="AI468" i="48"/>
  <c r="AJ468" i="48"/>
  <c r="AH469" i="48"/>
  <c r="AI469" i="48"/>
  <c r="AJ469" i="48"/>
  <c r="AH470" i="48"/>
  <c r="AI470" i="48"/>
  <c r="AJ470" i="48"/>
  <c r="AH471" i="48"/>
  <c r="AI471" i="48"/>
  <c r="AJ471" i="48"/>
  <c r="AH472" i="48"/>
  <c r="AI472" i="48"/>
  <c r="AJ472" i="48"/>
  <c r="AH473" i="48"/>
  <c r="AI473" i="48"/>
  <c r="AJ473" i="48"/>
  <c r="AH474" i="48"/>
  <c r="AI474" i="48"/>
  <c r="AJ474" i="48"/>
  <c r="AH475" i="48"/>
  <c r="AI475" i="48"/>
  <c r="AJ475" i="48"/>
  <c r="AH476" i="48"/>
  <c r="AI476" i="48"/>
  <c r="AJ476" i="48"/>
  <c r="AH477" i="48"/>
  <c r="AI477" i="48"/>
  <c r="AJ477" i="48"/>
  <c r="AH478" i="48"/>
  <c r="AI478" i="48"/>
  <c r="AJ478" i="48"/>
  <c r="AH479" i="48"/>
  <c r="AI479" i="48"/>
  <c r="AJ479" i="48"/>
  <c r="AH480" i="48"/>
  <c r="AI480" i="48"/>
  <c r="AJ480" i="48"/>
  <c r="AH481" i="48"/>
  <c r="AI481" i="48"/>
  <c r="AJ481" i="48"/>
  <c r="AH482" i="48"/>
  <c r="AI482" i="48"/>
  <c r="AJ482" i="48"/>
  <c r="AH483" i="48"/>
  <c r="AI483" i="48"/>
  <c r="AJ483" i="48"/>
  <c r="AH484" i="48"/>
  <c r="AI484" i="48"/>
  <c r="AJ484" i="48"/>
  <c r="AH485" i="48"/>
  <c r="AI485" i="48"/>
  <c r="AJ485" i="48"/>
  <c r="AH486" i="48"/>
  <c r="AI486" i="48"/>
  <c r="AJ486" i="48"/>
  <c r="AH487" i="48"/>
  <c r="AI487" i="48"/>
  <c r="AJ487" i="48"/>
  <c r="AH488" i="48"/>
  <c r="AI488" i="48"/>
  <c r="AJ488" i="48"/>
  <c r="AH489" i="48"/>
  <c r="AI489" i="48"/>
  <c r="AJ489" i="48"/>
  <c r="AH490" i="48"/>
  <c r="AI490" i="48"/>
  <c r="AJ490" i="48"/>
  <c r="AH491" i="48"/>
  <c r="AI491" i="48"/>
  <c r="AJ491" i="48"/>
  <c r="AH492" i="48"/>
  <c r="AI492" i="48"/>
  <c r="AJ492" i="48"/>
  <c r="AH493" i="48"/>
  <c r="AI493" i="48"/>
  <c r="AJ493" i="48"/>
  <c r="AH494" i="48"/>
  <c r="AI494" i="48"/>
  <c r="AJ494" i="48"/>
  <c r="AH495" i="48"/>
  <c r="AI495" i="48"/>
  <c r="AJ495" i="48"/>
  <c r="AH496" i="48"/>
  <c r="AI496" i="48"/>
  <c r="AJ496" i="48"/>
  <c r="AH497" i="48"/>
  <c r="AI497" i="48"/>
  <c r="AJ497" i="48"/>
  <c r="AH498" i="48"/>
  <c r="AI498" i="48"/>
  <c r="AJ498" i="48"/>
  <c r="AH499" i="48"/>
  <c r="AI499" i="48"/>
  <c r="AJ499" i="48"/>
  <c r="AH500" i="48"/>
  <c r="AI500" i="48"/>
  <c r="AJ500" i="48"/>
  <c r="AH501" i="48"/>
  <c r="AI501" i="48"/>
  <c r="AJ501" i="48"/>
  <c r="AH502" i="48"/>
  <c r="AI502" i="48"/>
  <c r="AJ502" i="48"/>
  <c r="AH503" i="48"/>
  <c r="AI503" i="48"/>
  <c r="AJ503" i="48"/>
  <c r="AH504" i="48"/>
  <c r="AI504" i="48"/>
  <c r="AJ504" i="48"/>
  <c r="AH505" i="48"/>
  <c r="AI505" i="48"/>
  <c r="AJ505" i="48"/>
  <c r="AH506" i="48"/>
  <c r="AI506" i="48"/>
  <c r="AJ506" i="48"/>
  <c r="AH507" i="48"/>
  <c r="AI507" i="48"/>
  <c r="AJ507" i="48"/>
  <c r="AH508" i="48"/>
  <c r="AI508" i="48"/>
  <c r="AJ508" i="48"/>
  <c r="AH509" i="48"/>
  <c r="AI509" i="48"/>
  <c r="AJ509" i="48"/>
  <c r="AH510" i="48"/>
  <c r="AI510" i="48"/>
  <c r="AJ510" i="48"/>
  <c r="AH511" i="48"/>
  <c r="AI511" i="48"/>
  <c r="AJ511" i="48"/>
  <c r="AH512" i="48"/>
  <c r="AI512" i="48"/>
  <c r="AJ512" i="48"/>
  <c r="AH513" i="48"/>
  <c r="AI513" i="48"/>
  <c r="AJ513" i="48"/>
  <c r="AH514" i="48"/>
  <c r="AI514" i="48"/>
  <c r="AJ514" i="48"/>
  <c r="AH515" i="48"/>
  <c r="AI515" i="48"/>
  <c r="AJ515" i="48"/>
  <c r="AH516" i="48"/>
  <c r="AI516" i="48"/>
  <c r="AJ516" i="48"/>
  <c r="AH517" i="48"/>
  <c r="AI517" i="48"/>
  <c r="AJ517" i="48"/>
  <c r="AH518" i="48"/>
  <c r="AI518" i="48"/>
  <c r="AJ518" i="48"/>
  <c r="AH519" i="48"/>
  <c r="AI519" i="48"/>
  <c r="AJ519" i="48"/>
  <c r="AH520" i="48"/>
  <c r="AI520" i="48"/>
  <c r="AJ520" i="48"/>
  <c r="AH521" i="48"/>
  <c r="AI521" i="48"/>
  <c r="AJ521" i="48"/>
  <c r="AH522" i="48"/>
  <c r="AI522" i="48"/>
  <c r="AJ522" i="48"/>
  <c r="AH523" i="48"/>
  <c r="AI523" i="48"/>
  <c r="AJ523" i="48"/>
  <c r="AH524" i="48"/>
  <c r="AI524" i="48"/>
  <c r="AJ524" i="48"/>
  <c r="AH525" i="48"/>
  <c r="AI525" i="48"/>
  <c r="AJ525" i="48"/>
  <c r="AH526" i="48"/>
  <c r="AI526" i="48"/>
  <c r="AJ526" i="48"/>
  <c r="AH527" i="48"/>
  <c r="AI527" i="48"/>
  <c r="AJ527" i="48"/>
  <c r="AH528" i="48"/>
  <c r="AI528" i="48"/>
  <c r="AJ528" i="48"/>
  <c r="AH529" i="48"/>
  <c r="AI529" i="48"/>
  <c r="AJ529" i="48"/>
  <c r="AH530" i="48"/>
  <c r="AI530" i="48"/>
  <c r="AJ530" i="48"/>
  <c r="AH531" i="48"/>
  <c r="AI531" i="48"/>
  <c r="AJ531" i="48"/>
  <c r="AH532" i="48"/>
  <c r="AI532" i="48"/>
  <c r="AJ532" i="48"/>
  <c r="AH533" i="48"/>
  <c r="AI533" i="48"/>
  <c r="AJ533" i="48"/>
  <c r="AH534" i="48"/>
  <c r="AI534" i="48"/>
  <c r="AJ534" i="48"/>
  <c r="AH535" i="48"/>
  <c r="AI535" i="48"/>
  <c r="AJ535" i="48"/>
  <c r="AH536" i="48"/>
  <c r="AI536" i="48"/>
  <c r="AJ536" i="48"/>
  <c r="AH537" i="48"/>
  <c r="AI537" i="48"/>
  <c r="AJ537" i="48"/>
  <c r="AH538" i="48"/>
  <c r="AI538" i="48"/>
  <c r="AJ538" i="48"/>
  <c r="AH539" i="48"/>
  <c r="AI539" i="48"/>
  <c r="AJ539" i="48"/>
  <c r="AH540" i="48"/>
  <c r="AI540" i="48"/>
  <c r="AJ540" i="48"/>
  <c r="AH541" i="48"/>
  <c r="AI541" i="48"/>
  <c r="AJ541" i="48"/>
  <c r="AH542" i="48"/>
  <c r="AI542" i="48"/>
  <c r="AJ542" i="48"/>
  <c r="AH543" i="48"/>
  <c r="AI543" i="48"/>
  <c r="AJ543" i="48"/>
  <c r="AH544" i="48"/>
  <c r="AI544" i="48"/>
  <c r="AJ544" i="48"/>
  <c r="AH545" i="48"/>
  <c r="AI545" i="48"/>
  <c r="AJ545" i="48"/>
  <c r="AH546" i="48"/>
  <c r="AI546" i="48"/>
  <c r="AJ546" i="48"/>
  <c r="AH547" i="48"/>
  <c r="AI547" i="48"/>
  <c r="AJ547" i="48"/>
  <c r="AH548" i="48"/>
  <c r="AI548" i="48"/>
  <c r="AJ548" i="48"/>
  <c r="AH549" i="48"/>
  <c r="AI549" i="48"/>
  <c r="AJ549" i="48"/>
  <c r="AH550" i="48"/>
  <c r="AI550" i="48"/>
  <c r="AJ550" i="48"/>
  <c r="AH551" i="48"/>
  <c r="AI551" i="48"/>
  <c r="AJ551" i="48"/>
  <c r="AH552" i="48"/>
  <c r="AI552" i="48"/>
  <c r="AJ552" i="48"/>
  <c r="AH553" i="48"/>
  <c r="AI553" i="48"/>
  <c r="AJ553" i="48"/>
  <c r="AH554" i="48"/>
  <c r="AI554" i="48"/>
  <c r="AJ554" i="48"/>
  <c r="AH555" i="48"/>
  <c r="AI555" i="48"/>
  <c r="AJ555" i="48"/>
  <c r="AH2056" i="48"/>
  <c r="AI2056" i="48"/>
  <c r="AJ2056" i="48"/>
  <c r="B4" i="21"/>
  <c r="H4" i="21" s="1"/>
  <c r="C4" i="21"/>
  <c r="D5" i="12" s="1"/>
  <c r="D4" i="21"/>
  <c r="D6" i="12" s="1"/>
  <c r="K38" i="49"/>
  <c r="J39" i="49"/>
  <c r="F21" i="46"/>
  <c r="U21" i="46" s="1"/>
  <c r="F22" i="46"/>
  <c r="U22" i="46" s="1"/>
  <c r="F32" i="46"/>
  <c r="U32" i="46" s="1"/>
  <c r="Q4" i="72"/>
  <c r="F34" i="46"/>
  <c r="U34" i="46" s="1"/>
  <c r="F33" i="46"/>
  <c r="U33" i="46" s="1"/>
  <c r="F37" i="46"/>
  <c r="U37" i="46" s="1"/>
  <c r="F26" i="46"/>
  <c r="U26" i="46" s="1"/>
  <c r="F27" i="46"/>
  <c r="U27" i="46" s="1"/>
  <c r="F31" i="46"/>
  <c r="U31" i="46" s="1"/>
  <c r="F28" i="46"/>
  <c r="U28" i="46" s="1"/>
  <c r="F29" i="46"/>
  <c r="U29" i="46" s="1"/>
  <c r="F24" i="46"/>
  <c r="U24" i="46" s="1"/>
  <c r="F23" i="46"/>
  <c r="U23" i="46" s="1"/>
  <c r="AJ93" i="48"/>
  <c r="AJ111" i="48"/>
  <c r="AJ73" i="48"/>
  <c r="AJ65" i="48"/>
  <c r="AJ71" i="48"/>
  <c r="AJ101" i="48"/>
  <c r="AJ99" i="48"/>
  <c r="AJ59" i="48"/>
  <c r="AJ115" i="48"/>
  <c r="AJ105" i="48"/>
  <c r="AJ89" i="48"/>
  <c r="S32" i="72" l="1"/>
  <c r="AJ76" i="48"/>
  <c r="AJ74" i="48"/>
  <c r="AJ72" i="48"/>
  <c r="AJ64" i="48"/>
  <c r="AJ126" i="48"/>
  <c r="AJ123" i="48"/>
  <c r="AJ107" i="48"/>
  <c r="AJ103" i="48"/>
  <c r="AJ87" i="48"/>
  <c r="AJ63" i="48"/>
  <c r="U20" i="46"/>
  <c r="S110" i="12"/>
  <c r="T36" i="46"/>
  <c r="T35" i="46"/>
  <c r="R36" i="72"/>
  <c r="S36" i="46"/>
  <c r="S35" i="46"/>
  <c r="Q36" i="72"/>
  <c r="S27" i="72"/>
  <c r="D4" i="12"/>
  <c r="S34" i="72"/>
  <c r="S29" i="72"/>
  <c r="S24" i="72"/>
  <c r="AJ79" i="48"/>
  <c r="AJ75" i="48"/>
  <c r="AJ90" i="48"/>
  <c r="AJ117" i="48"/>
  <c r="AJ85" i="48"/>
  <c r="AJ77" i="48"/>
  <c r="AJ120" i="48"/>
  <c r="R110" i="12"/>
  <c r="AJ121" i="48"/>
  <c r="AJ119" i="48"/>
  <c r="AJ81" i="48"/>
  <c r="AJ69" i="48"/>
  <c r="AJ118" i="48"/>
  <c r="AJ108" i="48"/>
  <c r="AJ106" i="48"/>
  <c r="AJ92" i="48"/>
  <c r="AJ62" i="48"/>
  <c r="AJ60" i="48"/>
  <c r="AJ58" i="48"/>
  <c r="AJ61" i="48"/>
  <c r="S37" i="72"/>
  <c r="S33" i="72"/>
  <c r="S28" i="72"/>
  <c r="S23" i="72"/>
  <c r="S21" i="72"/>
  <c r="AJ68" i="48"/>
  <c r="AJ66" i="48"/>
  <c r="S22" i="72"/>
  <c r="AJ57" i="48"/>
  <c r="U49" i="48"/>
  <c r="S31" i="72"/>
  <c r="S26" i="72"/>
  <c r="W49" i="48"/>
  <c r="E2" i="12" s="1"/>
  <c r="AC1" i="72"/>
  <c r="E16" i="46"/>
  <c r="Y17" i="46" s="1"/>
  <c r="R35" i="72"/>
  <c r="S20" i="72"/>
  <c r="Q35" i="72"/>
  <c r="H3" i="21"/>
  <c r="C2" i="48" s="1"/>
  <c r="S36" i="72" l="1"/>
  <c r="U36" i="46"/>
  <c r="U35" i="46"/>
  <c r="Q17" i="49"/>
  <c r="E3" i="46"/>
  <c r="U50" i="48"/>
  <c r="U48" i="48"/>
  <c r="S35" i="72"/>
  <c r="N2052" i="48" l="1"/>
  <c r="N2044" i="48"/>
  <c r="N2055" i="48"/>
  <c r="N2048" i="48"/>
  <c r="N2039" i="48"/>
  <c r="N2038" i="48"/>
  <c r="N2037" i="48"/>
  <c r="N2036" i="48"/>
  <c r="N2035" i="48"/>
  <c r="N2051" i="48"/>
  <c r="N2042" i="48"/>
  <c r="N2033" i="48"/>
  <c r="N2047" i="48"/>
  <c r="N2030" i="48"/>
  <c r="N2032" i="48"/>
  <c r="N2031" i="48"/>
  <c r="N2026" i="48"/>
  <c r="N2043" i="48"/>
  <c r="N2028" i="48"/>
  <c r="N2012" i="48"/>
  <c r="N2011" i="48"/>
  <c r="N2022" i="48"/>
  <c r="N2018" i="48"/>
  <c r="N2015" i="48"/>
  <c r="N2006" i="48"/>
  <c r="N2004" i="48"/>
  <c r="N2002" i="48"/>
  <c r="N2010" i="48"/>
  <c r="N2050" i="48"/>
  <c r="N2021" i="48"/>
  <c r="N2017" i="48"/>
  <c r="N2009" i="48"/>
  <c r="N2029" i="48"/>
  <c r="N2027" i="48"/>
  <c r="N2016" i="48"/>
  <c r="N2014" i="48"/>
  <c r="N2003" i="48"/>
  <c r="N1997" i="48"/>
  <c r="N1981" i="48"/>
  <c r="N1994" i="48"/>
  <c r="N1988" i="48"/>
  <c r="N1980" i="48"/>
  <c r="N2007" i="48"/>
  <c r="N1999" i="48"/>
  <c r="N1991" i="48"/>
  <c r="N1987" i="48"/>
  <c r="N2005" i="48"/>
  <c r="N1998" i="48"/>
  <c r="N1984" i="48"/>
  <c r="N2023" i="48"/>
  <c r="N1995" i="48"/>
  <c r="N1990" i="48"/>
  <c r="N2000" i="48"/>
  <c r="N1993" i="48"/>
  <c r="N1970" i="48"/>
  <c r="N1968" i="48"/>
  <c r="N1966" i="48"/>
  <c r="N1964" i="48"/>
  <c r="N2024" i="48"/>
  <c r="N2001" i="48"/>
  <c r="N1992" i="48"/>
  <c r="N1969" i="48"/>
  <c r="N1967" i="48"/>
  <c r="N1965" i="48"/>
  <c r="N1989" i="48"/>
  <c r="N1985" i="48"/>
  <c r="N1963" i="48"/>
  <c r="N1961" i="48"/>
  <c r="N1959" i="48"/>
  <c r="N1957" i="48"/>
  <c r="N1955" i="48"/>
  <c r="N1953" i="48"/>
  <c r="N1951" i="48"/>
  <c r="N1931" i="48"/>
  <c r="N1929" i="48"/>
  <c r="N1927" i="48"/>
  <c r="N1925" i="48"/>
  <c r="N1923" i="48"/>
  <c r="N1921" i="48"/>
  <c r="N1919" i="48"/>
  <c r="N1917" i="48"/>
  <c r="N1915" i="48"/>
  <c r="N1914" i="48"/>
  <c r="N1913" i="48"/>
  <c r="N1912" i="48"/>
  <c r="N1911" i="48"/>
  <c r="N1910" i="48"/>
  <c r="N1909" i="48"/>
  <c r="N1948" i="48"/>
  <c r="N1945" i="48"/>
  <c r="N1938" i="48"/>
  <c r="N2013" i="48"/>
  <c r="N1942" i="48"/>
  <c r="N1939" i="48"/>
  <c r="N1937" i="48"/>
  <c r="N1986" i="48"/>
  <c r="N1940" i="48"/>
  <c r="N1934" i="48"/>
  <c r="N2019" i="48"/>
  <c r="N2008" i="48"/>
  <c r="N1956" i="48"/>
  <c r="N1944" i="48"/>
  <c r="N1930" i="48"/>
  <c r="N1899" i="48"/>
  <c r="N1891" i="48"/>
  <c r="N2020" i="48"/>
  <c r="N1954" i="48"/>
  <c r="N1941" i="48"/>
  <c r="N1924" i="48"/>
  <c r="N1907" i="48"/>
  <c r="N1898" i="48"/>
  <c r="N1890" i="48"/>
  <c r="N1982" i="48"/>
  <c r="N1952" i="48"/>
  <c r="N1918" i="48"/>
  <c r="N1897" i="48"/>
  <c r="N1996" i="48"/>
  <c r="N1962" i="48"/>
  <c r="N1946" i="48"/>
  <c r="N1916" i="48"/>
  <c r="N1902" i="48"/>
  <c r="N1894" i="48"/>
  <c r="N1958" i="48"/>
  <c r="N1933" i="48"/>
  <c r="N1935" i="48"/>
  <c r="N1922" i="48"/>
  <c r="N1903" i="48"/>
  <c r="N1900" i="48"/>
  <c r="N1874" i="48"/>
  <c r="N1983" i="48"/>
  <c r="N1943" i="48"/>
  <c r="N1920" i="48"/>
  <c r="N1904" i="48"/>
  <c r="N1932" i="48"/>
  <c r="N1905" i="48"/>
  <c r="N1895" i="48"/>
  <c r="N1892" i="48"/>
  <c r="N1960" i="48"/>
  <c r="N1928" i="48"/>
  <c r="N1836" i="48"/>
  <c r="N1808" i="48"/>
  <c r="N1936" i="48"/>
  <c r="N1901" i="48"/>
  <c r="N1830" i="48"/>
  <c r="N1950" i="48"/>
  <c r="N1949" i="48"/>
  <c r="N1798" i="48"/>
  <c r="N1893" i="48"/>
  <c r="N1807" i="48"/>
  <c r="N1806" i="48"/>
  <c r="N1805" i="48"/>
  <c r="N1804" i="48"/>
  <c r="N1803" i="48"/>
  <c r="N1802" i="48"/>
  <c r="N1801" i="48"/>
  <c r="N1800" i="48"/>
  <c r="N1832" i="48"/>
  <c r="N1825" i="48"/>
  <c r="N1821" i="48"/>
  <c r="N1817" i="48"/>
  <c r="N1813" i="48"/>
  <c r="N1908" i="48"/>
  <c r="N1906" i="48"/>
  <c r="N1872" i="48"/>
  <c r="N1809" i="48"/>
  <c r="N1797" i="48"/>
  <c r="N1796" i="48"/>
  <c r="N1795" i="48"/>
  <c r="N1794" i="48"/>
  <c r="N1793" i="48"/>
  <c r="N1792" i="48"/>
  <c r="N1791" i="48"/>
  <c r="N1790" i="48"/>
  <c r="N1789" i="48"/>
  <c r="N1788" i="48"/>
  <c r="N1787" i="48"/>
  <c r="N1786" i="48"/>
  <c r="N1785" i="48"/>
  <c r="N1784" i="48"/>
  <c r="N1783" i="48"/>
  <c r="N1782" i="48"/>
  <c r="N1781" i="48"/>
  <c r="N1780" i="48"/>
  <c r="N1779" i="48"/>
  <c r="N1778" i="48"/>
  <c r="N1777" i="48"/>
  <c r="N1776" i="48"/>
  <c r="N1775" i="48"/>
  <c r="N1774" i="48"/>
  <c r="N1773" i="48"/>
  <c r="N1772" i="48"/>
  <c r="N1771" i="48"/>
  <c r="N1770" i="48"/>
  <c r="N1769" i="48"/>
  <c r="N1768" i="48"/>
  <c r="N1767" i="48"/>
  <c r="N1766" i="48"/>
  <c r="N1765" i="48"/>
  <c r="N1764" i="48"/>
  <c r="N1763" i="48"/>
  <c r="N1762" i="48"/>
  <c r="N1896" i="48"/>
  <c r="N1876" i="48"/>
  <c r="N1826" i="48"/>
  <c r="N1822" i="48"/>
  <c r="N1818" i="48"/>
  <c r="N1814" i="48"/>
  <c r="N1810" i="48"/>
  <c r="N1947" i="48"/>
  <c r="N1799" i="48"/>
  <c r="N1761" i="48"/>
  <c r="N1834" i="48"/>
  <c r="N1828" i="48"/>
  <c r="N1824" i="48"/>
  <c r="N1820" i="48"/>
  <c r="N1816" i="48"/>
  <c r="N1812" i="48"/>
  <c r="N1757" i="48"/>
  <c r="N1926" i="48"/>
  <c r="N1658" i="48"/>
  <c r="N1656" i="48"/>
  <c r="N1654" i="48"/>
  <c r="N1652" i="48"/>
  <c r="N1650" i="48"/>
  <c r="N1648" i="48"/>
  <c r="N1646" i="48"/>
  <c r="N1644" i="48"/>
  <c r="N1760" i="48"/>
  <c r="N1756" i="48"/>
  <c r="N1870" i="48"/>
  <c r="N1752" i="48"/>
  <c r="N1748" i="48"/>
  <c r="N1744" i="48"/>
  <c r="N1737" i="48"/>
  <c r="N1729" i="48"/>
  <c r="N1721" i="48"/>
  <c r="N1713" i="48"/>
  <c r="N1759" i="48"/>
  <c r="N1755" i="48"/>
  <c r="N1738" i="48"/>
  <c r="N1730" i="48"/>
  <c r="N1722" i="48"/>
  <c r="N1714" i="48"/>
  <c r="N1706" i="48"/>
  <c r="N1753" i="48"/>
  <c r="N1749" i="48"/>
  <c r="N1745" i="48"/>
  <c r="N1739" i="48"/>
  <c r="N1731" i="48"/>
  <c r="N1723" i="48"/>
  <c r="N1715" i="48"/>
  <c r="N1750" i="48"/>
  <c r="N1746" i="48"/>
  <c r="N1741" i="48"/>
  <c r="N1733" i="48"/>
  <c r="N1725" i="48"/>
  <c r="N1734" i="48"/>
  <c r="N1718" i="48"/>
  <c r="N1708" i="48"/>
  <c r="N1705" i="48"/>
  <c r="N1699" i="48"/>
  <c r="N1691" i="48"/>
  <c r="N1683" i="48"/>
  <c r="N1675" i="48"/>
  <c r="N1667" i="48"/>
  <c r="N1655" i="48"/>
  <c r="N1751" i="48"/>
  <c r="N1747" i="48"/>
  <c r="N1743" i="48"/>
  <c r="N1740" i="48"/>
  <c r="N1736" i="48"/>
  <c r="N1727" i="48"/>
  <c r="N1724" i="48"/>
  <c r="N1720" i="48"/>
  <c r="N1700" i="48"/>
  <c r="N1692" i="48"/>
  <c r="N1684" i="48"/>
  <c r="N1676" i="48"/>
  <c r="N1668" i="48"/>
  <c r="N1660" i="48"/>
  <c r="N1657" i="48"/>
  <c r="N1758" i="48"/>
  <c r="N1712" i="48"/>
  <c r="N1709" i="48"/>
  <c r="N1701" i="48"/>
  <c r="N1693" i="48"/>
  <c r="N1685" i="48"/>
  <c r="N1677" i="48"/>
  <c r="N1669" i="48"/>
  <c r="N1661" i="48"/>
  <c r="N1659" i="48"/>
  <c r="N1742" i="48"/>
  <c r="N1726" i="48"/>
  <c r="N1717" i="48"/>
  <c r="N1703" i="48"/>
  <c r="N1695" i="48"/>
  <c r="N1687" i="48"/>
  <c r="N1679" i="48"/>
  <c r="N1671" i="48"/>
  <c r="N1663" i="48"/>
  <c r="N1647" i="48"/>
  <c r="N1815" i="48"/>
  <c r="N1735" i="48"/>
  <c r="N1711" i="48"/>
  <c r="N1653" i="48"/>
  <c r="N1823" i="48"/>
  <c r="N1732" i="48"/>
  <c r="N1728" i="48"/>
  <c r="N1696" i="48"/>
  <c r="N1680" i="48"/>
  <c r="N1664" i="48"/>
  <c r="N1651" i="48"/>
  <c r="N1702" i="48"/>
  <c r="N1698" i="48"/>
  <c r="N1689" i="48"/>
  <c r="N1686" i="48"/>
  <c r="N1682" i="48"/>
  <c r="N1673" i="48"/>
  <c r="N1670" i="48"/>
  <c r="N1666" i="48"/>
  <c r="N1811" i="48"/>
  <c r="N1716" i="48"/>
  <c r="N1674" i="48"/>
  <c r="N1827" i="48"/>
  <c r="N1754" i="48"/>
  <c r="N1719" i="48"/>
  <c r="N1672" i="48"/>
  <c r="N1665" i="48"/>
  <c r="N1662" i="48"/>
  <c r="N1819" i="48"/>
  <c r="N1645" i="48"/>
  <c r="N1710" i="48"/>
  <c r="N1697" i="48"/>
  <c r="N1546" i="48"/>
  <c r="N1649" i="48"/>
  <c r="N1584" i="48"/>
  <c r="N1643" i="48"/>
  <c r="N1550" i="48"/>
  <c r="N1688" i="48"/>
  <c r="N1592" i="48"/>
  <c r="N1576" i="48"/>
  <c r="N1548" i="48"/>
  <c r="N1678" i="48"/>
  <c r="N1443" i="48"/>
  <c r="N1435" i="48"/>
  <c r="N1429" i="48"/>
  <c r="N1421" i="48"/>
  <c r="N1413" i="48"/>
  <c r="N1408" i="48"/>
  <c r="N1400" i="48"/>
  <c r="N1444" i="48"/>
  <c r="N1436" i="48"/>
  <c r="N1426" i="48"/>
  <c r="N1418" i="48"/>
  <c r="N1409" i="48"/>
  <c r="N1401" i="48"/>
  <c r="N1694" i="48"/>
  <c r="N1586" i="48"/>
  <c r="N1445" i="48"/>
  <c r="N1437" i="48"/>
  <c r="N1423" i="48"/>
  <c r="N1415" i="48"/>
  <c r="N1410" i="48"/>
  <c r="N1402" i="48"/>
  <c r="N1393" i="48"/>
  <c r="N1391" i="48"/>
  <c r="N1389" i="48"/>
  <c r="N1387" i="48"/>
  <c r="N1385" i="48"/>
  <c r="N1383" i="48"/>
  <c r="N1381" i="48"/>
  <c r="N1379" i="48"/>
  <c r="N1377" i="48"/>
  <c r="N1375" i="48"/>
  <c r="N1373" i="48"/>
  <c r="N1371" i="48"/>
  <c r="N1369" i="48"/>
  <c r="N1367" i="48"/>
  <c r="N1365" i="48"/>
  <c r="N1363" i="48"/>
  <c r="N1361" i="48"/>
  <c r="N1359" i="48"/>
  <c r="N1681" i="48"/>
  <c r="N1448" i="48"/>
  <c r="N1440" i="48"/>
  <c r="N1432" i="48"/>
  <c r="N1430" i="48"/>
  <c r="N1422" i="48"/>
  <c r="N1414" i="48"/>
  <c r="N1405" i="48"/>
  <c r="N1397" i="48"/>
  <c r="N1447" i="48"/>
  <c r="N1442" i="48"/>
  <c r="N1441" i="48"/>
  <c r="N1431" i="48"/>
  <c r="N1428" i="48"/>
  <c r="N1427" i="48"/>
  <c r="N1382" i="48"/>
  <c r="N1366" i="48"/>
  <c r="N1707" i="48"/>
  <c r="N1438" i="48"/>
  <c r="N1425" i="48"/>
  <c r="N1412" i="48"/>
  <c r="N1406" i="48"/>
  <c r="N1396" i="48"/>
  <c r="N1392" i="48"/>
  <c r="N1376" i="48"/>
  <c r="N1360" i="48"/>
  <c r="N1424" i="48"/>
  <c r="N1411" i="48"/>
  <c r="N1399" i="48"/>
  <c r="N1395" i="48"/>
  <c r="N1386" i="48"/>
  <c r="N1370" i="48"/>
  <c r="N1690" i="48"/>
  <c r="N1446" i="48"/>
  <c r="N1417" i="48"/>
  <c r="N1404" i="48"/>
  <c r="N1398" i="48"/>
  <c r="N1384" i="48"/>
  <c r="N1368" i="48"/>
  <c r="N1704" i="48"/>
  <c r="N1439" i="48"/>
  <c r="N1388" i="48"/>
  <c r="N1434" i="48"/>
  <c r="N1374" i="48"/>
  <c r="N1050" i="48"/>
  <c r="N1048" i="48"/>
  <c r="N1449" i="48"/>
  <c r="N1378" i="48"/>
  <c r="N1364" i="48"/>
  <c r="N1046" i="48"/>
  <c r="N1045" i="48"/>
  <c r="N1044" i="48"/>
  <c r="N1043" i="48"/>
  <c r="N1042" i="48"/>
  <c r="N1041" i="48"/>
  <c r="N1040" i="48"/>
  <c r="N1039" i="48"/>
  <c r="N1038" i="48"/>
  <c r="N1037" i="48"/>
  <c r="N1036" i="48"/>
  <c r="N1035" i="48"/>
  <c r="N1034" i="48"/>
  <c r="N1033" i="48"/>
  <c r="N1032" i="48"/>
  <c r="N1031" i="48"/>
  <c r="N1030" i="48"/>
  <c r="N1029" i="48"/>
  <c r="N1403" i="48"/>
  <c r="N1390" i="48"/>
  <c r="N1049" i="48"/>
  <c r="N1047" i="48"/>
  <c r="N1433" i="48"/>
  <c r="N1407" i="48"/>
  <c r="N1380" i="48"/>
  <c r="N1178" i="48"/>
  <c r="N1174" i="48"/>
  <c r="N1170" i="48"/>
  <c r="N1166" i="48"/>
  <c r="N1162" i="48"/>
  <c r="N1158" i="48"/>
  <c r="N1154" i="48"/>
  <c r="N1150" i="48"/>
  <c r="N1146" i="48"/>
  <c r="N1142" i="48"/>
  <c r="N1138" i="48"/>
  <c r="N1134" i="48"/>
  <c r="N1130" i="48"/>
  <c r="N1126" i="48"/>
  <c r="N1122" i="48"/>
  <c r="N1118" i="48"/>
  <c r="N1114" i="48"/>
  <c r="N1110" i="48"/>
  <c r="N1106" i="48"/>
  <c r="N1102" i="48"/>
  <c r="N1098" i="48"/>
  <c r="N1094" i="48"/>
  <c r="N1090" i="48"/>
  <c r="N1086" i="48"/>
  <c r="N1082" i="48"/>
  <c r="N1078" i="48"/>
  <c r="N1074" i="48"/>
  <c r="N1070" i="48"/>
  <c r="N1066" i="48"/>
  <c r="N1062" i="48"/>
  <c r="N1058" i="48"/>
  <c r="N1054" i="48"/>
  <c r="N1028" i="48"/>
  <c r="N1025" i="48"/>
  <c r="N1420" i="48"/>
  <c r="N1419" i="48"/>
  <c r="N1022" i="48"/>
  <c r="N1019" i="48"/>
  <c r="N1177" i="48"/>
  <c r="N1173" i="48"/>
  <c r="N1169" i="48"/>
  <c r="N1165" i="48"/>
  <c r="N1161" i="48"/>
  <c r="N1157" i="48"/>
  <c r="N1153" i="48"/>
  <c r="N1149" i="48"/>
  <c r="N1145" i="48"/>
  <c r="N1141" i="48"/>
  <c r="N1137" i="48"/>
  <c r="N1133" i="48"/>
  <c r="N1129" i="48"/>
  <c r="N1125" i="48"/>
  <c r="N1121" i="48"/>
  <c r="N1117" i="48"/>
  <c r="N1113" i="48"/>
  <c r="N1109" i="48"/>
  <c r="N1105" i="48"/>
  <c r="N1101" i="48"/>
  <c r="N1097" i="48"/>
  <c r="N1093" i="48"/>
  <c r="N1089" i="48"/>
  <c r="N1085" i="48"/>
  <c r="N1081" i="48"/>
  <c r="N1077" i="48"/>
  <c r="N1073" i="48"/>
  <c r="N1069" i="48"/>
  <c r="N1065" i="48"/>
  <c r="N1061" i="48"/>
  <c r="N1057" i="48"/>
  <c r="N1053" i="48"/>
  <c r="N1016" i="48"/>
  <c r="N1394" i="48"/>
  <c r="N1372" i="48"/>
  <c r="N1027" i="48"/>
  <c r="N1020" i="48"/>
  <c r="N1007" i="48"/>
  <c r="N1006" i="48"/>
  <c r="N991" i="48"/>
  <c r="N990" i="48"/>
  <c r="N975" i="48"/>
  <c r="N974" i="48"/>
  <c r="N964" i="48"/>
  <c r="N959" i="48"/>
  <c r="N958" i="48"/>
  <c r="N948" i="48"/>
  <c r="N943" i="48"/>
  <c r="N942" i="48"/>
  <c r="N932" i="48"/>
  <c r="N927" i="48"/>
  <c r="N926" i="48"/>
  <c r="N916" i="48"/>
  <c r="N911" i="48"/>
  <c r="N910" i="48"/>
  <c r="N900" i="48"/>
  <c r="N895" i="48"/>
  <c r="N894" i="48"/>
  <c r="N884" i="48"/>
  <c r="N879" i="48"/>
  <c r="N878" i="48"/>
  <c r="N868" i="48"/>
  <c r="N863" i="48"/>
  <c r="N862" i="48"/>
  <c r="N852" i="48"/>
  <c r="N844" i="48"/>
  <c r="N828" i="48"/>
  <c r="N1176" i="48"/>
  <c r="N1172" i="48"/>
  <c r="N1168" i="48"/>
  <c r="N1164" i="48"/>
  <c r="N1160" i="48"/>
  <c r="N1156" i="48"/>
  <c r="N1152" i="48"/>
  <c r="N1148" i="48"/>
  <c r="N1144" i="48"/>
  <c r="N1140" i="48"/>
  <c r="N1136" i="48"/>
  <c r="N1132" i="48"/>
  <c r="N1128" i="48"/>
  <c r="N1124" i="48"/>
  <c r="N1120" i="48"/>
  <c r="N1116" i="48"/>
  <c r="N1112" i="48"/>
  <c r="N1108" i="48"/>
  <c r="N1104" i="48"/>
  <c r="N1100" i="48"/>
  <c r="N1096" i="48"/>
  <c r="N1092" i="48"/>
  <c r="N1088" i="48"/>
  <c r="N1084" i="48"/>
  <c r="N1080" i="48"/>
  <c r="N1076" i="48"/>
  <c r="N1072" i="48"/>
  <c r="N1068" i="48"/>
  <c r="N1064" i="48"/>
  <c r="N1060" i="48"/>
  <c r="N1056" i="48"/>
  <c r="N1052" i="48"/>
  <c r="N1024" i="48"/>
  <c r="N1017" i="48"/>
  <c r="N1003" i="48"/>
  <c r="N987" i="48"/>
  <c r="N971" i="48"/>
  <c r="N955" i="48"/>
  <c r="N939" i="48"/>
  <c r="N923" i="48"/>
  <c r="N907" i="48"/>
  <c r="N891" i="48"/>
  <c r="N875" i="48"/>
  <c r="N859" i="48"/>
  <c r="N843" i="48"/>
  <c r="N827" i="48"/>
  <c r="N817" i="48"/>
  <c r="N801" i="48"/>
  <c r="N785" i="48"/>
  <c r="N769" i="48"/>
  <c r="N1021" i="48"/>
  <c r="N810" i="48"/>
  <c r="N806" i="48"/>
  <c r="N794" i="48"/>
  <c r="N790" i="48"/>
  <c r="N778" i="48"/>
  <c r="N774" i="48"/>
  <c r="N762" i="48"/>
  <c r="N681" i="48"/>
  <c r="N679" i="48"/>
  <c r="N677" i="48"/>
  <c r="N675" i="48"/>
  <c r="N1416" i="48"/>
  <c r="N1011" i="48"/>
  <c r="N995" i="48"/>
  <c r="N979" i="48"/>
  <c r="N963" i="48"/>
  <c r="N947" i="48"/>
  <c r="N931" i="48"/>
  <c r="N915" i="48"/>
  <c r="N899" i="48"/>
  <c r="N883" i="48"/>
  <c r="N867" i="48"/>
  <c r="N851" i="48"/>
  <c r="N835" i="48"/>
  <c r="N809" i="48"/>
  <c r="N793" i="48"/>
  <c r="N777" i="48"/>
  <c r="N761" i="48"/>
  <c r="N1450" i="48"/>
  <c r="N966" i="48"/>
  <c r="N902" i="48"/>
  <c r="N818" i="48"/>
  <c r="N786" i="48"/>
  <c r="N757" i="48"/>
  <c r="N753" i="48"/>
  <c r="N749" i="48"/>
  <c r="N745" i="48"/>
  <c r="N741" i="48"/>
  <c r="N737" i="48"/>
  <c r="N733" i="48"/>
  <c r="N729" i="48"/>
  <c r="N725" i="48"/>
  <c r="N721" i="48"/>
  <c r="N717" i="48"/>
  <c r="N713" i="48"/>
  <c r="N709" i="48"/>
  <c r="N705" i="48"/>
  <c r="N701" i="48"/>
  <c r="N697" i="48"/>
  <c r="N693" i="48"/>
  <c r="N689" i="48"/>
  <c r="N685" i="48"/>
  <c r="N664" i="48"/>
  <c r="N661" i="48"/>
  <c r="N644" i="48"/>
  <c r="N636" i="48"/>
  <c r="N628" i="48"/>
  <c r="N620" i="48"/>
  <c r="N612" i="48"/>
  <c r="N604" i="48"/>
  <c r="N596" i="48"/>
  <c r="N588" i="48"/>
  <c r="N580" i="48"/>
  <c r="N572" i="48"/>
  <c r="N564" i="48"/>
  <c r="N556" i="48"/>
  <c r="N1163" i="48"/>
  <c r="N1147" i="48"/>
  <c r="N1131" i="48"/>
  <c r="N1115" i="48"/>
  <c r="N1099" i="48"/>
  <c r="N1083" i="48"/>
  <c r="N1067" i="48"/>
  <c r="N1051" i="48"/>
  <c r="N999" i="48"/>
  <c r="N935" i="48"/>
  <c r="N871" i="48"/>
  <c r="N830" i="48"/>
  <c r="N658" i="48"/>
  <c r="N655" i="48"/>
  <c r="N645" i="48"/>
  <c r="N637" i="48"/>
  <c r="N629" i="48"/>
  <c r="N621" i="48"/>
  <c r="N613" i="48"/>
  <c r="N605" i="48"/>
  <c r="N597" i="48"/>
  <c r="N589" i="48"/>
  <c r="N581" i="48"/>
  <c r="N573" i="48"/>
  <c r="N565" i="48"/>
  <c r="N557" i="48"/>
  <c r="N1023" i="48"/>
  <c r="N1014" i="48"/>
  <c r="N988" i="48"/>
  <c r="N950" i="48"/>
  <c r="N924" i="48"/>
  <c r="N886" i="48"/>
  <c r="N860" i="48"/>
  <c r="N839" i="48"/>
  <c r="N758" i="48"/>
  <c r="N754" i="48"/>
  <c r="N750" i="48"/>
  <c r="N746" i="48"/>
  <c r="N742" i="48"/>
  <c r="N738" i="48"/>
  <c r="N734" i="48"/>
  <c r="N730" i="48"/>
  <c r="N726" i="48"/>
  <c r="N722" i="48"/>
  <c r="N718" i="48"/>
  <c r="N714" i="48"/>
  <c r="N710" i="48"/>
  <c r="N706" i="48"/>
  <c r="N702" i="48"/>
  <c r="N698" i="48"/>
  <c r="N694" i="48"/>
  <c r="N690" i="48"/>
  <c r="N686" i="48"/>
  <c r="N668" i="48"/>
  <c r="N665" i="48"/>
  <c r="N652" i="48"/>
  <c r="N646" i="48"/>
  <c r="N638" i="48"/>
  <c r="N630" i="48"/>
  <c r="N622" i="48"/>
  <c r="N614" i="48"/>
  <c r="N606" i="48"/>
  <c r="N598" i="48"/>
  <c r="N590" i="48"/>
  <c r="N582" i="48"/>
  <c r="N574" i="48"/>
  <c r="N566" i="48"/>
  <c r="N558" i="48"/>
  <c r="N1175" i="48"/>
  <c r="N1159" i="48"/>
  <c r="N1143" i="48"/>
  <c r="N1127" i="48"/>
  <c r="N1111" i="48"/>
  <c r="N1095" i="48"/>
  <c r="N1079" i="48"/>
  <c r="N1063" i="48"/>
  <c r="N1018" i="48"/>
  <c r="N998" i="48"/>
  <c r="N934" i="48"/>
  <c r="N870" i="48"/>
  <c r="N838" i="48"/>
  <c r="N823" i="48"/>
  <c r="N802" i="48"/>
  <c r="N770" i="48"/>
  <c r="N759" i="48"/>
  <c r="N755" i="48"/>
  <c r="N751" i="48"/>
  <c r="N747" i="48"/>
  <c r="N743" i="48"/>
  <c r="N739" i="48"/>
  <c r="N735" i="48"/>
  <c r="N731" i="48"/>
  <c r="N727" i="48"/>
  <c r="N723" i="48"/>
  <c r="N719" i="48"/>
  <c r="N715" i="48"/>
  <c r="N711" i="48"/>
  <c r="N707" i="48"/>
  <c r="N703" i="48"/>
  <c r="N699" i="48"/>
  <c r="N695" i="48"/>
  <c r="N691" i="48"/>
  <c r="N687" i="48"/>
  <c r="N683" i="48"/>
  <c r="N682" i="48"/>
  <c r="N669" i="48"/>
  <c r="N656" i="48"/>
  <c r="N653" i="48"/>
  <c r="N648" i="48"/>
  <c r="N640" i="48"/>
  <c r="N632" i="48"/>
  <c r="N624" i="48"/>
  <c r="N616" i="48"/>
  <c r="N608" i="48"/>
  <c r="N600" i="48"/>
  <c r="N592" i="48"/>
  <c r="N584" i="48"/>
  <c r="N576" i="48"/>
  <c r="N568" i="48"/>
  <c r="N560" i="48"/>
  <c r="N1171" i="48"/>
  <c r="N1155" i="48"/>
  <c r="N1139" i="48"/>
  <c r="N1123" i="48"/>
  <c r="N1107" i="48"/>
  <c r="N1091" i="48"/>
  <c r="N1075" i="48"/>
  <c r="N1059" i="48"/>
  <c r="N967" i="48"/>
  <c r="N1119" i="48"/>
  <c r="N1055" i="48"/>
  <c r="N919" i="48"/>
  <c r="N903" i="48"/>
  <c r="N657" i="48"/>
  <c r="N647" i="48"/>
  <c r="N631" i="48"/>
  <c r="N615" i="48"/>
  <c r="N599" i="48"/>
  <c r="N583" i="48"/>
  <c r="N567" i="48"/>
  <c r="N918" i="48"/>
  <c r="N678" i="48"/>
  <c r="N662" i="48"/>
  <c r="N654" i="48"/>
  <c r="N651" i="48"/>
  <c r="N650" i="48"/>
  <c r="N635" i="48"/>
  <c r="N634" i="48"/>
  <c r="N619" i="48"/>
  <c r="N618" i="48"/>
  <c r="N603" i="48"/>
  <c r="N602" i="48"/>
  <c r="N587" i="48"/>
  <c r="N586" i="48"/>
  <c r="N571" i="48"/>
  <c r="N570" i="48"/>
  <c r="N1167" i="48"/>
  <c r="N1103" i="48"/>
  <c r="N1026" i="48"/>
  <c r="N680" i="48"/>
  <c r="N676" i="48"/>
  <c r="N956" i="48"/>
  <c r="N951" i="48"/>
  <c r="N659" i="48"/>
  <c r="N641" i="48"/>
  <c r="N1151" i="48"/>
  <c r="N1087" i="48"/>
  <c r="N983" i="48"/>
  <c r="N982" i="48"/>
  <c r="N855" i="48"/>
  <c r="N831" i="48"/>
  <c r="N822" i="48"/>
  <c r="N798" i="48"/>
  <c r="N666" i="48"/>
  <c r="N639" i="48"/>
  <c r="N623" i="48"/>
  <c r="N607" i="48"/>
  <c r="N591" i="48"/>
  <c r="N575" i="48"/>
  <c r="N559" i="48"/>
  <c r="N1015" i="48"/>
  <c r="N854" i="48"/>
  <c r="N847" i="48"/>
  <c r="N814" i="48"/>
  <c r="N670" i="48"/>
  <c r="N667" i="48"/>
  <c r="N663" i="48"/>
  <c r="N643" i="48"/>
  <c r="N642" i="48"/>
  <c r="N1362" i="48"/>
  <c r="N766" i="48"/>
  <c r="N752" i="48"/>
  <c r="N720" i="48"/>
  <c r="N688" i="48"/>
  <c r="N660" i="48"/>
  <c r="N579" i="48"/>
  <c r="N569" i="48"/>
  <c r="N1071" i="48"/>
  <c r="N782" i="48"/>
  <c r="N732" i="48"/>
  <c r="N700" i="48"/>
  <c r="N633" i="48"/>
  <c r="N627" i="48"/>
  <c r="N617" i="48"/>
  <c r="N593" i="48"/>
  <c r="N562" i="48"/>
  <c r="N892" i="48"/>
  <c r="N846" i="48"/>
  <c r="N744" i="48"/>
  <c r="N712" i="48"/>
  <c r="N610" i="48"/>
  <c r="N887" i="48"/>
  <c r="N756" i="48"/>
  <c r="N724" i="48"/>
  <c r="N692" i="48"/>
  <c r="N595" i="48"/>
  <c r="N736" i="48"/>
  <c r="N704" i="48"/>
  <c r="N609" i="48"/>
  <c r="N578" i="48"/>
  <c r="N1135" i="48"/>
  <c r="N740" i="48"/>
  <c r="N708" i="48"/>
  <c r="N625" i="48"/>
  <c r="N594" i="48"/>
  <c r="N748" i="48"/>
  <c r="N611" i="48"/>
  <c r="N577" i="48"/>
  <c r="N696" i="48"/>
  <c r="N716" i="48"/>
  <c r="N649" i="48"/>
  <c r="N585" i="48"/>
  <c r="N563" i="48"/>
  <c r="N561" i="48"/>
  <c r="N684" i="48"/>
  <c r="N601" i="48"/>
  <c r="N728" i="48"/>
  <c r="N626" i="48"/>
  <c r="N826" i="48"/>
  <c r="N1012" i="48"/>
  <c r="N972" i="48"/>
  <c r="N889" i="48"/>
  <c r="N876" i="48"/>
  <c r="N949" i="48"/>
  <c r="N866" i="48"/>
  <c r="N799" i="48"/>
  <c r="N805" i="48"/>
  <c r="N1189" i="48"/>
  <c r="N771" i="48"/>
  <c r="N840" i="48"/>
  <c r="N968" i="48"/>
  <c r="N788" i="48"/>
  <c r="N865" i="48"/>
  <c r="N993" i="48"/>
  <c r="N763" i="48"/>
  <c r="N848" i="48"/>
  <c r="N976" i="48"/>
  <c r="N877" i="48"/>
  <c r="N941" i="48"/>
  <c r="N1005" i="48"/>
  <c r="N1624" i="48"/>
  <c r="N1347" i="48"/>
  <c r="N1250" i="48"/>
  <c r="N1225" i="48"/>
  <c r="N1298" i="48"/>
  <c r="N1217" i="48"/>
  <c r="N1213" i="48"/>
  <c r="N1294" i="48"/>
  <c r="N1358" i="48"/>
  <c r="N1234" i="48"/>
  <c r="N1292" i="48"/>
  <c r="N1356" i="48"/>
  <c r="N1223" i="48"/>
  <c r="N1289" i="48"/>
  <c r="N1353" i="48"/>
  <c r="N1207" i="48"/>
  <c r="N1288" i="48"/>
  <c r="N1352" i="48"/>
  <c r="N1229" i="48"/>
  <c r="N1287" i="48"/>
  <c r="N1351" i="48"/>
  <c r="N1491" i="48"/>
  <c r="N1523" i="48"/>
  <c r="N1558" i="48"/>
  <c r="N1614" i="48"/>
  <c r="N1632" i="48"/>
  <c r="N1488" i="48"/>
  <c r="N1520" i="48"/>
  <c r="N1588" i="48"/>
  <c r="N1563" i="48"/>
  <c r="N1470" i="48"/>
  <c r="N1502" i="48"/>
  <c r="N1534" i="48"/>
  <c r="N1561" i="48"/>
  <c r="N1461" i="48"/>
  <c r="N1493" i="48"/>
  <c r="N1525" i="48"/>
  <c r="N1583" i="48"/>
  <c r="N1579" i="48"/>
  <c r="N1610" i="48"/>
  <c r="N1597" i="48"/>
  <c r="N1623" i="48"/>
  <c r="N1630" i="48"/>
  <c r="N1865" i="48"/>
  <c r="N1855" i="48"/>
  <c r="N1849" i="48"/>
  <c r="N1868" i="48"/>
  <c r="N1842" i="48"/>
  <c r="N1878" i="48"/>
  <c r="N1979" i="48"/>
  <c r="N1977" i="48"/>
  <c r="N779" i="48"/>
  <c r="N1501" i="48"/>
  <c r="N1886" i="48"/>
  <c r="N908" i="48"/>
  <c r="N1570" i="48"/>
  <c r="N1537" i="48"/>
  <c r="N1848" i="48"/>
  <c r="N1607" i="48"/>
  <c r="N1862" i="48"/>
  <c r="N796" i="48"/>
  <c r="N1340" i="48"/>
  <c r="N1515" i="48"/>
  <c r="N1512" i="48"/>
  <c r="N1494" i="48"/>
  <c r="N1485" i="48"/>
  <c r="N1629" i="48"/>
  <c r="N1596" i="48"/>
  <c r="N1829" i="48"/>
  <c r="N1866" i="48"/>
  <c r="N841" i="48"/>
  <c r="N775" i="48"/>
  <c r="N768" i="48"/>
  <c r="N781" i="48"/>
  <c r="N832" i="48"/>
  <c r="N938" i="48"/>
  <c r="N1338" i="48"/>
  <c r="N1285" i="48"/>
  <c r="N1355" i="48"/>
  <c r="N1348" i="48"/>
  <c r="N1345" i="48"/>
  <c r="N1221" i="48"/>
  <c r="N1487" i="48"/>
  <c r="N1581" i="48"/>
  <c r="N1559" i="48"/>
  <c r="N1530" i="48"/>
  <c r="N1489" i="48"/>
  <c r="N1633" i="48"/>
  <c r="N1622" i="48"/>
  <c r="N1845" i="48"/>
  <c r="N2049" i="48"/>
  <c r="N1208" i="48"/>
  <c r="N836" i="48"/>
  <c r="N997" i="48"/>
  <c r="N933" i="48"/>
  <c r="N1302" i="48"/>
  <c r="N978" i="48"/>
  <c r="N901" i="48"/>
  <c r="N807" i="48"/>
  <c r="N853" i="48"/>
  <c r="N1209" i="48"/>
  <c r="N784" i="48"/>
  <c r="N856" i="48"/>
  <c r="N984" i="48"/>
  <c r="N797" i="48"/>
  <c r="N881" i="48"/>
  <c r="N1009" i="48"/>
  <c r="N776" i="48"/>
  <c r="N864" i="48"/>
  <c r="N992" i="48"/>
  <c r="N890" i="48"/>
  <c r="N954" i="48"/>
  <c r="N1331" i="48"/>
  <c r="N1227" i="48"/>
  <c r="N1201" i="48"/>
  <c r="N1270" i="48"/>
  <c r="N1236" i="48"/>
  <c r="N1301" i="48"/>
  <c r="N1228" i="48"/>
  <c r="N1224" i="48"/>
  <c r="N1307" i="48"/>
  <c r="N1179" i="48"/>
  <c r="N1242" i="48"/>
  <c r="N1300" i="48"/>
  <c r="N1453" i="48"/>
  <c r="N1231" i="48"/>
  <c r="N1297" i="48"/>
  <c r="N1452" i="48"/>
  <c r="N1222" i="48"/>
  <c r="N1296" i="48"/>
  <c r="N1454" i="48"/>
  <c r="N1237" i="48"/>
  <c r="N1295" i="48"/>
  <c r="N1463" i="48"/>
  <c r="N1495" i="48"/>
  <c r="N1527" i="48"/>
  <c r="N1562" i="48"/>
  <c r="N1556" i="48"/>
  <c r="N1460" i="48"/>
  <c r="N1492" i="48"/>
  <c r="N1524" i="48"/>
  <c r="N1589" i="48"/>
  <c r="N1567" i="48"/>
  <c r="N1474" i="48"/>
  <c r="N1506" i="48"/>
  <c r="N1538" i="48"/>
  <c r="N1565" i="48"/>
  <c r="N1465" i="48"/>
  <c r="N1497" i="48"/>
  <c r="N1529" i="48"/>
  <c r="N1591" i="48"/>
  <c r="N1587" i="48"/>
  <c r="N1615" i="48"/>
  <c r="N1605" i="48"/>
  <c r="N1637" i="48"/>
  <c r="N1638" i="48"/>
  <c r="N1839" i="48"/>
  <c r="N1859" i="48"/>
  <c r="N1840" i="48"/>
  <c r="N1880" i="48"/>
  <c r="N1846" i="48"/>
  <c r="N1882" i="48"/>
  <c r="N1973" i="48"/>
  <c r="N2040" i="48"/>
  <c r="N1000" i="48"/>
  <c r="N1290" i="48"/>
  <c r="N1314" i="48"/>
  <c r="N1240" i="48"/>
  <c r="N1310" i="48"/>
  <c r="N1248" i="48"/>
  <c r="N1308" i="48"/>
  <c r="N1180" i="48"/>
  <c r="N1305" i="48"/>
  <c r="N1456" i="48"/>
  <c r="N1230" i="48"/>
  <c r="N1304" i="48"/>
  <c r="N1245" i="48"/>
  <c r="N1303" i="48"/>
  <c r="N1467" i="48"/>
  <c r="N1499" i="48"/>
  <c r="N1531" i="48"/>
  <c r="N1560" i="48"/>
  <c r="N1464" i="48"/>
  <c r="N1496" i="48"/>
  <c r="N1528" i="48"/>
  <c r="N1599" i="48"/>
  <c r="N1571" i="48"/>
  <c r="N1510" i="48"/>
  <c r="N1542" i="48"/>
  <c r="N1569" i="48"/>
  <c r="N1469" i="48"/>
  <c r="N1533" i="48"/>
  <c r="N1612" i="48"/>
  <c r="N1616" i="48"/>
  <c r="N1611" i="48"/>
  <c r="N1642" i="48"/>
  <c r="N1847" i="48"/>
  <c r="N1857" i="48"/>
  <c r="N1863" i="48"/>
  <c r="N1881" i="48"/>
  <c r="N1850" i="48"/>
  <c r="N1975" i="48"/>
  <c r="N2053" i="48"/>
  <c r="N869" i="48"/>
  <c r="N673" i="48"/>
  <c r="N789" i="48"/>
  <c r="N1198" i="48"/>
  <c r="N965" i="48"/>
  <c r="N857" i="48"/>
  <c r="N917" i="48"/>
  <c r="N1261" i="48"/>
  <c r="N800" i="48"/>
  <c r="N888" i="48"/>
  <c r="N1246" i="48"/>
  <c r="N813" i="48"/>
  <c r="N913" i="48"/>
  <c r="N1214" i="48"/>
  <c r="N792" i="48"/>
  <c r="N896" i="48"/>
  <c r="N1185" i="48"/>
  <c r="N906" i="48"/>
  <c r="N970" i="48"/>
  <c r="N1200" i="48"/>
  <c r="N1254" i="48"/>
  <c r="N1216" i="48"/>
  <c r="N1299" i="48"/>
  <c r="N1253" i="48"/>
  <c r="N1317" i="48"/>
  <c r="N1244" i="48"/>
  <c r="N1259" i="48"/>
  <c r="N1323" i="48"/>
  <c r="N1195" i="48"/>
  <c r="N1252" i="48"/>
  <c r="N1316" i="48"/>
  <c r="N1188" i="48"/>
  <c r="N1249" i="48"/>
  <c r="N1313" i="48"/>
  <c r="N1458" i="48"/>
  <c r="N1238" i="48"/>
  <c r="N1312" i="48"/>
  <c r="N1186" i="48"/>
  <c r="N1247" i="48"/>
  <c r="N1311" i="48"/>
  <c r="N1471" i="48"/>
  <c r="N1503" i="48"/>
  <c r="N1535" i="48"/>
  <c r="N1564" i="48"/>
  <c r="N1468" i="48"/>
  <c r="N1500" i="48"/>
  <c r="N1532" i="48"/>
  <c r="N1455" i="48"/>
  <c r="N1575" i="48"/>
  <c r="N1514" i="48"/>
  <c r="N1549" i="48"/>
  <c r="N1573" i="48"/>
  <c r="N1473" i="48"/>
  <c r="N1505" i="48"/>
  <c r="N1626" i="48"/>
  <c r="N1625" i="48"/>
  <c r="N1621" i="48"/>
  <c r="N1620" i="48"/>
  <c r="N1619" i="48"/>
  <c r="N1853" i="48"/>
  <c r="N1877" i="48"/>
  <c r="N1867" i="48"/>
  <c r="N1884" i="48"/>
  <c r="N1974" i="48"/>
  <c r="N2025" i="48"/>
  <c r="N2046" i="48"/>
  <c r="N1508" i="48"/>
  <c r="N1545" i="48"/>
  <c r="N1613" i="48"/>
  <c r="N1641" i="48"/>
  <c r="N1833" i="48"/>
  <c r="N1888" i="48"/>
  <c r="N1971" i="48"/>
  <c r="N2041" i="48"/>
  <c r="N953" i="48"/>
  <c r="N885" i="48"/>
  <c r="N767" i="48"/>
  <c r="N996" i="48"/>
  <c r="N819" i="48"/>
  <c r="N845" i="48"/>
  <c r="N1325" i="48"/>
  <c r="N811" i="48"/>
  <c r="N861" i="48"/>
  <c r="N1277" i="48"/>
  <c r="N1182" i="48"/>
  <c r="N1282" i="48"/>
  <c r="N1346" i="48"/>
  <c r="N1278" i="48"/>
  <c r="N1276" i="48"/>
  <c r="N1273" i="48"/>
  <c r="N1191" i="48"/>
  <c r="N1336" i="48"/>
  <c r="N1271" i="48"/>
  <c r="N1483" i="48"/>
  <c r="N1594" i="48"/>
  <c r="N1544" i="48"/>
  <c r="N1462" i="48"/>
  <c r="N1553" i="48"/>
  <c r="N1577" i="48"/>
  <c r="N1606" i="48"/>
  <c r="N1843" i="48"/>
  <c r="N1860" i="48"/>
  <c r="N1976" i="48"/>
  <c r="N969" i="48"/>
  <c r="N837" i="48"/>
  <c r="N1010" i="48"/>
  <c r="N952" i="48"/>
  <c r="N977" i="48"/>
  <c r="N874" i="48"/>
  <c r="N1341" i="48"/>
  <c r="N1220" i="48"/>
  <c r="N1206" i="48"/>
  <c r="N1226" i="48"/>
  <c r="N1215" i="48"/>
  <c r="N1199" i="48"/>
  <c r="N1279" i="48"/>
  <c r="N1519" i="48"/>
  <c r="N1595" i="48"/>
  <c r="N1516" i="48"/>
  <c r="N1466" i="48"/>
  <c r="N1557" i="48"/>
  <c r="N1521" i="48"/>
  <c r="N1631" i="48"/>
  <c r="N1861" i="48"/>
  <c r="N1864" i="48"/>
  <c r="N1978" i="48"/>
  <c r="N815" i="48"/>
  <c r="N1001" i="48"/>
  <c r="N834" i="48"/>
  <c r="N671" i="48"/>
  <c r="N674" i="48"/>
  <c r="N1013" i="48"/>
  <c r="N930" i="48"/>
  <c r="N825" i="48"/>
  <c r="N882" i="48"/>
  <c r="N1322" i="48"/>
  <c r="N787" i="48"/>
  <c r="N872" i="48"/>
  <c r="N804" i="48"/>
  <c r="N897" i="48"/>
  <c r="N1184" i="48"/>
  <c r="N880" i="48"/>
  <c r="N1008" i="48"/>
  <c r="N893" i="48"/>
  <c r="N957" i="48"/>
  <c r="N1192" i="48"/>
  <c r="N1243" i="48"/>
  <c r="N1205" i="48"/>
  <c r="N1241" i="48"/>
  <c r="N1233" i="48"/>
  <c r="N1187" i="48"/>
  <c r="N1239" i="48"/>
  <c r="N1617" i="48"/>
  <c r="N1566" i="48"/>
  <c r="N1478" i="48"/>
  <c r="N1602" i="48"/>
  <c r="N1844" i="48"/>
  <c r="N842" i="48"/>
  <c r="N1482" i="48"/>
  <c r="N1854" i="48"/>
  <c r="N1835" i="48"/>
  <c r="N783" i="48"/>
  <c r="N1480" i="48"/>
  <c r="N1889" i="48"/>
  <c r="N873" i="48"/>
  <c r="N1873" i="48"/>
  <c r="N898" i="48"/>
  <c r="N764" i="48"/>
  <c r="N962" i="48"/>
  <c r="N791" i="48"/>
  <c r="N821" i="48"/>
  <c r="N672" i="48"/>
  <c r="N980" i="48"/>
  <c r="N921" i="48"/>
  <c r="N946" i="48"/>
  <c r="N1306" i="48"/>
  <c r="N803" i="48"/>
  <c r="N904" i="48"/>
  <c r="N1350" i="48"/>
  <c r="N820" i="48"/>
  <c r="N929" i="48"/>
  <c r="N1251" i="48"/>
  <c r="N795" i="48"/>
  <c r="N912" i="48"/>
  <c r="N1286" i="48"/>
  <c r="N909" i="48"/>
  <c r="N973" i="48"/>
  <c r="N1219" i="48"/>
  <c r="N1274" i="48"/>
  <c r="N1232" i="48"/>
  <c r="N1334" i="48"/>
  <c r="N1266" i="48"/>
  <c r="N1330" i="48"/>
  <c r="N1181" i="48"/>
  <c r="N1262" i="48"/>
  <c r="N1326" i="48"/>
  <c r="N1203" i="48"/>
  <c r="N1260" i="48"/>
  <c r="N1324" i="48"/>
  <c r="N1196" i="48"/>
  <c r="N1257" i="48"/>
  <c r="N1321" i="48"/>
  <c r="N1585" i="48"/>
  <c r="N1256" i="48"/>
  <c r="N1320" i="48"/>
  <c r="N1194" i="48"/>
  <c r="N1255" i="48"/>
  <c r="N1319" i="48"/>
  <c r="N1475" i="48"/>
  <c r="N1507" i="48"/>
  <c r="N1539" i="48"/>
  <c r="N1574" i="48"/>
  <c r="N1568" i="48"/>
  <c r="N1472" i="48"/>
  <c r="N1504" i="48"/>
  <c r="N1536" i="48"/>
  <c r="N1459" i="48"/>
  <c r="N1582" i="48"/>
  <c r="N1486" i="48"/>
  <c r="N1518" i="48"/>
  <c r="N1639" i="48"/>
  <c r="N1590" i="48"/>
  <c r="N1477" i="48"/>
  <c r="N1509" i="48"/>
  <c r="N1541" i="48"/>
  <c r="N1601" i="48"/>
  <c r="N1603" i="48"/>
  <c r="N1640" i="48"/>
  <c r="N1634" i="48"/>
  <c r="N1627" i="48"/>
  <c r="N1875" i="48"/>
  <c r="N1831" i="48"/>
  <c r="N1871" i="48"/>
  <c r="N1852" i="48"/>
  <c r="N1885" i="48"/>
  <c r="N1858" i="48"/>
  <c r="N1879" i="48"/>
  <c r="N1972" i="48"/>
  <c r="N2034" i="48"/>
  <c r="N1258" i="48"/>
  <c r="N833" i="48"/>
  <c r="N1004" i="48"/>
  <c r="N905" i="48"/>
  <c r="N850" i="48"/>
  <c r="N780" i="48"/>
  <c r="N994" i="48"/>
  <c r="N985" i="48"/>
  <c r="N981" i="48"/>
  <c r="N1315" i="48"/>
  <c r="N816" i="48"/>
  <c r="N920" i="48"/>
  <c r="N765" i="48"/>
  <c r="N829" i="48"/>
  <c r="N945" i="48"/>
  <c r="N1293" i="48"/>
  <c r="N808" i="48"/>
  <c r="N928" i="48"/>
  <c r="N858" i="48"/>
  <c r="N922" i="48"/>
  <c r="N986" i="48"/>
  <c r="N1235" i="48"/>
  <c r="N1283" i="48"/>
  <c r="N1309" i="48"/>
  <c r="N1354" i="48"/>
  <c r="N1269" i="48"/>
  <c r="N1333" i="48"/>
  <c r="N1190" i="48"/>
  <c r="N1275" i="48"/>
  <c r="N1339" i="48"/>
  <c r="N1211" i="48"/>
  <c r="N1268" i="48"/>
  <c r="N1332" i="48"/>
  <c r="N1204" i="48"/>
  <c r="N1265" i="48"/>
  <c r="N1329" i="48"/>
  <c r="N1183" i="48"/>
  <c r="N1264" i="48"/>
  <c r="N1328" i="48"/>
  <c r="N1202" i="48"/>
  <c r="N1263" i="48"/>
  <c r="N1327" i="48"/>
  <c r="N1479" i="48"/>
  <c r="N1511" i="48"/>
  <c r="N1543" i="48"/>
  <c r="N1578" i="48"/>
  <c r="N1572" i="48"/>
  <c r="N1476" i="48"/>
  <c r="N1540" i="48"/>
  <c r="N1547" i="48"/>
  <c r="N1636" i="48"/>
  <c r="N1490" i="48"/>
  <c r="N1522" i="48"/>
  <c r="N1457" i="48"/>
  <c r="N1481" i="48"/>
  <c r="N1513" i="48"/>
  <c r="N1618" i="48"/>
  <c r="N1598" i="48"/>
  <c r="N1635" i="48"/>
  <c r="N1837" i="48"/>
  <c r="N1856" i="48"/>
  <c r="N1883" i="48"/>
  <c r="N937" i="48"/>
  <c r="N812" i="48"/>
  <c r="N1267" i="48"/>
  <c r="N1357" i="48"/>
  <c r="N936" i="48"/>
  <c r="N772" i="48"/>
  <c r="N961" i="48"/>
  <c r="N944" i="48"/>
  <c r="N925" i="48"/>
  <c r="N989" i="48"/>
  <c r="N1318" i="48"/>
  <c r="N1451" i="48"/>
  <c r="N1197" i="48"/>
  <c r="N1342" i="48"/>
  <c r="N1218" i="48"/>
  <c r="N1212" i="48"/>
  <c r="N1337" i="48"/>
  <c r="N1272" i="48"/>
  <c r="N1210" i="48"/>
  <c r="N1335" i="48"/>
  <c r="N1552" i="48"/>
  <c r="N1580" i="48"/>
  <c r="N1555" i="48"/>
  <c r="N1526" i="48"/>
  <c r="N1609" i="48"/>
  <c r="N1517" i="48"/>
  <c r="N1600" i="48"/>
  <c r="N1869" i="48"/>
  <c r="N1841" i="48"/>
  <c r="N1887" i="48"/>
  <c r="N2045" i="48"/>
  <c r="N940" i="48"/>
  <c r="N914" i="48"/>
  <c r="N773" i="48"/>
  <c r="N824" i="48"/>
  <c r="N849" i="48"/>
  <c r="N760" i="48"/>
  <c r="N960" i="48"/>
  <c r="N1002" i="48"/>
  <c r="N1193" i="48"/>
  <c r="N1349" i="48"/>
  <c r="N1291" i="48"/>
  <c r="N1284" i="48"/>
  <c r="N1281" i="48"/>
  <c r="N1280" i="48"/>
  <c r="N1344" i="48"/>
  <c r="N1343" i="48"/>
  <c r="N1554" i="48"/>
  <c r="N1484" i="48"/>
  <c r="N1551" i="48"/>
  <c r="N1498" i="48"/>
  <c r="N1628" i="48"/>
  <c r="N1593" i="48"/>
  <c r="N1608" i="48"/>
  <c r="N1604" i="48"/>
  <c r="N1851" i="48"/>
  <c r="N1838" i="48"/>
  <c r="N2054" i="48"/>
  <c r="N320" i="48"/>
  <c r="N339" i="48"/>
  <c r="N231" i="48"/>
  <c r="N548" i="48"/>
  <c r="N124" i="48"/>
  <c r="N460" i="48"/>
  <c r="N58" i="48"/>
  <c r="N323" i="48"/>
  <c r="N111" i="48"/>
  <c r="N136" i="48"/>
  <c r="N535" i="48"/>
  <c r="N552" i="48"/>
  <c r="N116" i="48"/>
  <c r="N300" i="48"/>
  <c r="N499" i="48"/>
  <c r="N84" i="48"/>
  <c r="N319" i="48"/>
  <c r="N532" i="48"/>
  <c r="N435" i="48"/>
  <c r="N227" i="48"/>
  <c r="N346" i="48"/>
  <c r="N223" i="48"/>
  <c r="N247" i="48"/>
  <c r="N536" i="48"/>
  <c r="N115" i="48"/>
  <c r="N96" i="48"/>
  <c r="N88" i="48"/>
  <c r="N304" i="48"/>
  <c r="N252" i="48"/>
  <c r="N396" i="48"/>
  <c r="N284" i="48"/>
  <c r="N380" i="48"/>
  <c r="N98" i="48"/>
  <c r="N371" i="48"/>
  <c r="N104" i="48"/>
  <c r="N379" i="48"/>
  <c r="N348" i="48"/>
  <c r="N240" i="48"/>
  <c r="N216" i="48"/>
  <c r="N80" i="48"/>
  <c r="N168" i="48"/>
  <c r="N495" i="48"/>
  <c r="N279" i="48"/>
  <c r="N271" i="48"/>
  <c r="N251" i="48"/>
  <c r="N452" i="48"/>
  <c r="N184" i="48"/>
  <c r="N340" i="48"/>
  <c r="N540" i="48"/>
  <c r="N132" i="48"/>
  <c r="N95" i="48"/>
  <c r="N524" i="48"/>
  <c r="N520" i="48"/>
  <c r="N283" i="48"/>
  <c r="N506" i="48"/>
  <c r="N248" i="48"/>
  <c r="N75" i="48"/>
  <c r="N522" i="48"/>
  <c r="N106" i="48"/>
  <c r="N471" i="48"/>
  <c r="N236" i="48"/>
  <c r="N183" i="48"/>
  <c r="N467" i="48"/>
  <c r="N68" i="48"/>
  <c r="N555" i="48"/>
  <c r="N407" i="48"/>
  <c r="N192" i="48"/>
  <c r="N483" i="48"/>
  <c r="N456" i="48"/>
  <c r="N523" i="48"/>
  <c r="N296" i="48"/>
  <c r="N442" i="48"/>
  <c r="N151" i="48"/>
  <c r="N482" i="48"/>
  <c r="N178" i="48"/>
  <c r="N310" i="48"/>
  <c r="N156" i="48"/>
  <c r="N432" i="48"/>
  <c r="N239" i="48"/>
  <c r="N243" i="48"/>
  <c r="N208" i="48"/>
  <c r="N195" i="48"/>
  <c r="N484" i="48"/>
  <c r="N512" i="48"/>
  <c r="N363" i="48"/>
  <c r="N404" i="48"/>
  <c r="N159" i="48"/>
  <c r="N383" i="48"/>
  <c r="N426" i="48"/>
  <c r="N82" i="48"/>
  <c r="N330" i="48"/>
  <c r="N498" i="48"/>
  <c r="N282" i="48"/>
  <c r="N336" i="48"/>
  <c r="N516" i="48"/>
  <c r="N299" i="48"/>
  <c r="N202" i="48"/>
  <c r="N249" i="48"/>
  <c r="N113" i="48"/>
  <c r="N185" i="48"/>
  <c r="N281" i="48"/>
  <c r="N473" i="48"/>
  <c r="N554" i="48"/>
  <c r="N78" i="48"/>
  <c r="N122" i="48"/>
  <c r="N226" i="48"/>
  <c r="N466" i="48"/>
  <c r="N137" i="48"/>
  <c r="N433" i="48"/>
  <c r="N307" i="48"/>
  <c r="N343" i="48"/>
  <c r="N270" i="48"/>
  <c r="N232" i="48"/>
  <c r="N521" i="48"/>
  <c r="N187" i="48"/>
  <c r="N451" i="48"/>
  <c r="N474" i="48"/>
  <c r="N529" i="48"/>
  <c r="N464" i="48"/>
  <c r="N332" i="48"/>
  <c r="N180" i="48"/>
  <c r="N257" i="48"/>
  <c r="N255" i="48"/>
  <c r="N418" i="48"/>
  <c r="N71" i="48"/>
  <c r="N201" i="48"/>
  <c r="N108" i="48"/>
  <c r="N367" i="48"/>
  <c r="N127" i="48"/>
  <c r="N526" i="48"/>
  <c r="N327" i="48"/>
  <c r="N423" i="48"/>
  <c r="N107" i="48"/>
  <c r="N92" i="48"/>
  <c r="N272" i="48"/>
  <c r="N233" i="48"/>
  <c r="N450" i="48"/>
  <c r="N147" i="48"/>
  <c r="N368" i="48"/>
  <c r="N303" i="48"/>
  <c r="N241" i="48"/>
  <c r="N89" i="48"/>
  <c r="N209" i="48"/>
  <c r="N321" i="48"/>
  <c r="N481" i="48"/>
  <c r="N90" i="48"/>
  <c r="N154" i="48"/>
  <c r="N266" i="48"/>
  <c r="N518" i="48"/>
  <c r="N315" i="48"/>
  <c r="N280" i="48"/>
  <c r="N67" i="48"/>
  <c r="N172" i="48"/>
  <c r="N129" i="48"/>
  <c r="N275" i="48"/>
  <c r="N135" i="48"/>
  <c r="N155" i="48"/>
  <c r="N382" i="48"/>
  <c r="N204" i="48"/>
  <c r="N351" i="48"/>
  <c r="N182" i="48"/>
  <c r="N369" i="48"/>
  <c r="N443" i="48"/>
  <c r="N392" i="48"/>
  <c r="N123" i="48"/>
  <c r="N395" i="48"/>
  <c r="N230" i="48"/>
  <c r="N276" i="48"/>
  <c r="N153" i="48"/>
  <c r="N500" i="48"/>
  <c r="N152" i="48"/>
  <c r="N515" i="48"/>
  <c r="N290" i="48"/>
  <c r="N480" i="48"/>
  <c r="N217" i="48"/>
  <c r="N100" i="48"/>
  <c r="N508" i="48"/>
  <c r="N502" i="48"/>
  <c r="N268" i="48"/>
  <c r="N408" i="48"/>
  <c r="N264" i="48"/>
  <c r="N105" i="48"/>
  <c r="N353" i="48"/>
  <c r="N114" i="48"/>
  <c r="N402" i="48"/>
  <c r="N121" i="48"/>
  <c r="N441" i="48"/>
  <c r="N186" i="48"/>
  <c r="N547" i="48"/>
  <c r="N455" i="48"/>
  <c r="N262" i="48"/>
  <c r="N218" i="48"/>
  <c r="N436" i="48"/>
  <c r="N167" i="48"/>
  <c r="N384" i="48"/>
  <c r="N528" i="48"/>
  <c r="N211" i="48"/>
  <c r="N311" i="48"/>
  <c r="N91" i="48"/>
  <c r="N422" i="48"/>
  <c r="N344" i="48"/>
  <c r="N256" i="48"/>
  <c r="N148" i="48"/>
  <c r="N97" i="48"/>
  <c r="N170" i="48"/>
  <c r="N322" i="48"/>
  <c r="N103" i="48"/>
  <c r="N412" i="48"/>
  <c r="N210" i="48"/>
  <c r="N191" i="48"/>
  <c r="N394" i="48"/>
  <c r="N219" i="48"/>
  <c r="N86" i="48"/>
  <c r="N158" i="48"/>
  <c r="N238" i="48"/>
  <c r="N294" i="48"/>
  <c r="N334" i="48"/>
  <c r="N366" i="48"/>
  <c r="N430" i="48"/>
  <c r="N486" i="48"/>
  <c r="N199" i="48"/>
  <c r="N359" i="48"/>
  <c r="N215" i="48"/>
  <c r="N188" i="48"/>
  <c r="N316" i="48"/>
  <c r="N439" i="48"/>
  <c r="N60" i="48"/>
  <c r="N76" i="48"/>
  <c r="N424" i="48"/>
  <c r="N446" i="48"/>
  <c r="N93" i="48"/>
  <c r="N125" i="48"/>
  <c r="N173" i="48"/>
  <c r="N205" i="48"/>
  <c r="N245" i="48"/>
  <c r="N293" i="48"/>
  <c r="N333" i="48"/>
  <c r="N381" i="48"/>
  <c r="N413" i="48"/>
  <c r="N469" i="48"/>
  <c r="N501" i="48"/>
  <c r="N533" i="48"/>
  <c r="N265" i="48"/>
  <c r="N198" i="48"/>
  <c r="N134" i="48"/>
  <c r="N162" i="48"/>
  <c r="N360" i="48"/>
  <c r="N119" i="48"/>
  <c r="N267" i="48"/>
  <c r="N377" i="48"/>
  <c r="N297" i="48"/>
  <c r="N259" i="48"/>
  <c r="N458" i="48"/>
  <c r="N295" i="48"/>
  <c r="N306" i="48"/>
  <c r="N372" i="48"/>
  <c r="N449" i="48"/>
  <c r="N59" i="48"/>
  <c r="N399" i="48"/>
  <c r="N553" i="48"/>
  <c r="N543" i="48"/>
  <c r="N70" i="48"/>
  <c r="N166" i="48"/>
  <c r="N278" i="48"/>
  <c r="N326" i="48"/>
  <c r="N390" i="48"/>
  <c r="N462" i="48"/>
  <c r="N428" i="48"/>
  <c r="N490" i="48"/>
  <c r="N431" i="48"/>
  <c r="N542" i="48"/>
  <c r="N225" i="48"/>
  <c r="N406" i="48"/>
  <c r="N138" i="48"/>
  <c r="N101" i="48"/>
  <c r="N149" i="48"/>
  <c r="N197" i="48"/>
  <c r="N253" i="48"/>
  <c r="N317" i="48"/>
  <c r="N373" i="48"/>
  <c r="N421" i="48"/>
  <c r="N485" i="48"/>
  <c r="N525" i="48"/>
  <c r="N273" i="48"/>
  <c r="N354" i="48"/>
  <c r="N242" i="48"/>
  <c r="N329" i="48"/>
  <c r="N457" i="48"/>
  <c r="N361" i="48"/>
  <c r="N212" i="48"/>
  <c r="N375" i="48"/>
  <c r="N463" i="48"/>
  <c r="N139" i="48"/>
  <c r="N370" i="48"/>
  <c r="N203" i="48"/>
  <c r="N63" i="48"/>
  <c r="N387" i="48"/>
  <c r="N298" i="48"/>
  <c r="N288" i="48"/>
  <c r="N531" i="48"/>
  <c r="N355" i="48"/>
  <c r="N434" i="48"/>
  <c r="N102" i="48"/>
  <c r="N190" i="48"/>
  <c r="N286" i="48"/>
  <c r="N342" i="48"/>
  <c r="N398" i="48"/>
  <c r="N470" i="48"/>
  <c r="N128" i="48"/>
  <c r="N131" i="48"/>
  <c r="N362" i="48"/>
  <c r="N338" i="48"/>
  <c r="N260" i="48"/>
  <c r="N550" i="48"/>
  <c r="N324" i="48"/>
  <c r="N72" i="48"/>
  <c r="N415" i="48"/>
  <c r="N69" i="48"/>
  <c r="N109" i="48"/>
  <c r="N165" i="48"/>
  <c r="N221" i="48"/>
  <c r="N261" i="48"/>
  <c r="N325" i="48"/>
  <c r="N389" i="48"/>
  <c r="N429" i="48"/>
  <c r="N493" i="48"/>
  <c r="N489" i="48"/>
  <c r="N74" i="48"/>
  <c r="N538" i="48"/>
  <c r="N478" i="48"/>
  <c r="N258" i="48"/>
  <c r="N2056" i="48"/>
  <c r="N427" i="48"/>
  <c r="N468" i="48"/>
  <c r="N551" i="48"/>
  <c r="N440" i="48"/>
  <c r="N62" i="48"/>
  <c r="N254" i="48"/>
  <c r="N358" i="48"/>
  <c r="N510" i="48"/>
  <c r="N196" i="48"/>
  <c r="N534" i="48"/>
  <c r="N519" i="48"/>
  <c r="N77" i="48"/>
  <c r="N181" i="48"/>
  <c r="N269" i="48"/>
  <c r="N397" i="48"/>
  <c r="N509" i="48"/>
  <c r="N546" i="48"/>
  <c r="N133" i="48"/>
  <c r="N193" i="48"/>
  <c r="N289" i="48"/>
  <c r="N345" i="48"/>
  <c r="N417" i="48"/>
  <c r="N461" i="48"/>
  <c r="N420" i="48"/>
  <c r="N475" i="48"/>
  <c r="N491" i="48"/>
  <c r="N448" i="48"/>
  <c r="N314" i="48"/>
  <c r="N507" i="48"/>
  <c r="N511" i="48"/>
  <c r="N454" i="48"/>
  <c r="N200" i="48"/>
  <c r="N447" i="48"/>
  <c r="N492" i="48"/>
  <c r="N376" i="48"/>
  <c r="N244" i="48"/>
  <c r="N416" i="48"/>
  <c r="N246" i="48"/>
  <c r="N335" i="48"/>
  <c r="N150" i="48"/>
  <c r="N503" i="48"/>
  <c r="N235" i="48"/>
  <c r="N541" i="48"/>
  <c r="N331" i="48"/>
  <c r="N378" i="48"/>
  <c r="N347" i="48"/>
  <c r="N544" i="48"/>
  <c r="N126" i="48"/>
  <c r="N117" i="48"/>
  <c r="N229" i="48"/>
  <c r="N349" i="48"/>
  <c r="N453" i="48"/>
  <c r="N57" i="48"/>
  <c r="N65" i="48"/>
  <c r="N277" i="48"/>
  <c r="N393" i="48"/>
  <c r="N513" i="48"/>
  <c r="N308" i="48"/>
  <c r="N504" i="48"/>
  <c r="N291" i="48"/>
  <c r="N79" i="48"/>
  <c r="N143" i="48"/>
  <c r="N488" i="48"/>
  <c r="N64" i="48"/>
  <c r="N83" i="48"/>
  <c r="N352" i="48"/>
  <c r="N292" i="48"/>
  <c r="N527" i="48"/>
  <c r="N222" i="48"/>
  <c r="N224" i="48"/>
  <c r="N388" i="48"/>
  <c r="N179" i="48"/>
  <c r="N263" i="48"/>
  <c r="N530" i="48"/>
  <c r="N160" i="48"/>
  <c r="N164" i="48"/>
  <c r="N391" i="48"/>
  <c r="N313" i="48"/>
  <c r="N350" i="48"/>
  <c r="N207" i="48"/>
  <c r="N81" i="48"/>
  <c r="N237" i="48"/>
  <c r="N477" i="48"/>
  <c r="N73" i="48"/>
  <c r="N285" i="48"/>
  <c r="N401" i="48"/>
  <c r="N419" i="48"/>
  <c r="N99" i="48"/>
  <c r="N214" i="48"/>
  <c r="N144" i="48"/>
  <c r="N112" i="48"/>
  <c r="N505" i="48"/>
  <c r="N94" i="48"/>
  <c r="N411" i="48"/>
  <c r="N465" i="48"/>
  <c r="N356" i="48"/>
  <c r="N409" i="48"/>
  <c r="N171" i="48"/>
  <c r="N66" i="48"/>
  <c r="N220" i="48"/>
  <c r="N120" i="48"/>
  <c r="N130" i="48"/>
  <c r="N110" i="48"/>
  <c r="N302" i="48"/>
  <c r="N414" i="48"/>
  <c r="N403" i="48"/>
  <c r="N537" i="48"/>
  <c r="N118" i="48"/>
  <c r="N337" i="48"/>
  <c r="N85" i="48"/>
  <c r="N189" i="48"/>
  <c r="N309" i="48"/>
  <c r="N405" i="48"/>
  <c r="N517" i="48"/>
  <c r="N61" i="48"/>
  <c r="N157" i="48"/>
  <c r="N213" i="48"/>
  <c r="N301" i="48"/>
  <c r="N365" i="48"/>
  <c r="N425" i="48"/>
  <c r="N497" i="48"/>
  <c r="N228" i="48"/>
  <c r="N175" i="48"/>
  <c r="N163" i="48"/>
  <c r="N146" i="48"/>
  <c r="N444" i="48"/>
  <c r="N287" i="48"/>
  <c r="N410" i="48"/>
  <c r="N176" i="48"/>
  <c r="N514" i="48"/>
  <c r="N385" i="48"/>
  <c r="N479" i="48"/>
  <c r="N145" i="48"/>
  <c r="N161" i="48"/>
  <c r="N472" i="48"/>
  <c r="N328" i="48"/>
  <c r="N545" i="48"/>
  <c r="N140" i="48"/>
  <c r="N250" i="48"/>
  <c r="N142" i="48"/>
  <c r="N318" i="48"/>
  <c r="N438" i="48"/>
  <c r="N539" i="48"/>
  <c r="N549" i="48"/>
  <c r="N169" i="48"/>
  <c r="N305" i="48"/>
  <c r="N437" i="48"/>
  <c r="N476" i="48"/>
  <c r="N364" i="48"/>
  <c r="N206" i="48"/>
  <c r="N494" i="48"/>
  <c r="N496" i="48"/>
  <c r="N141" i="48"/>
  <c r="N357" i="48"/>
  <c r="N177" i="48"/>
  <c r="N341" i="48"/>
  <c r="N445" i="48"/>
  <c r="N274" i="48"/>
  <c r="N459" i="48"/>
  <c r="N174" i="48"/>
  <c r="N487" i="48"/>
  <c r="N386" i="48"/>
  <c r="N374" i="48"/>
  <c r="N234" i="48"/>
  <c r="N312" i="48"/>
  <c r="N194" i="48"/>
  <c r="N87" i="48"/>
  <c r="N400" i="48"/>
  <c r="Q1608" i="48" l="1"/>
  <c r="P1608" i="48"/>
  <c r="O1608" i="48"/>
  <c r="S1608" i="48"/>
  <c r="R1608" i="48"/>
  <c r="S1580" i="48"/>
  <c r="R1580" i="48"/>
  <c r="Q1580" i="48"/>
  <c r="O1580" i="48"/>
  <c r="P1580" i="48"/>
  <c r="O1511" i="48"/>
  <c r="R1511" i="48"/>
  <c r="S1511" i="48"/>
  <c r="Q1511" i="48"/>
  <c r="P1511" i="48"/>
  <c r="R920" i="48"/>
  <c r="Q920" i="48"/>
  <c r="P920" i="48"/>
  <c r="S920" i="48"/>
  <c r="O920" i="48"/>
  <c r="O1486" i="48"/>
  <c r="R1486" i="48"/>
  <c r="P1486" i="48"/>
  <c r="Q1486" i="48"/>
  <c r="S1486" i="48"/>
  <c r="R973" i="48"/>
  <c r="Q973" i="48"/>
  <c r="P973" i="48"/>
  <c r="S973" i="48"/>
  <c r="O973" i="48"/>
  <c r="O1478" i="48"/>
  <c r="R1478" i="48"/>
  <c r="P1478" i="48"/>
  <c r="Q1478" i="48"/>
  <c r="S1478" i="48"/>
  <c r="O1631" i="48"/>
  <c r="S1631" i="48"/>
  <c r="R1631" i="48"/>
  <c r="P1631" i="48"/>
  <c r="Q1631" i="48"/>
  <c r="Q1191" i="48"/>
  <c r="P1191" i="48"/>
  <c r="O1191" i="48"/>
  <c r="S1191" i="48"/>
  <c r="R1191" i="48"/>
  <c r="O1619" i="48"/>
  <c r="R1619" i="48"/>
  <c r="S1619" i="48"/>
  <c r="Q1619" i="48"/>
  <c r="P1619" i="48"/>
  <c r="Q1259" i="48"/>
  <c r="R1259" i="48"/>
  <c r="P1259" i="48"/>
  <c r="O1259" i="48"/>
  <c r="S1259" i="48"/>
  <c r="O1857" i="48"/>
  <c r="R1857" i="48"/>
  <c r="P1857" i="48"/>
  <c r="Q1857" i="48"/>
  <c r="S1857" i="48"/>
  <c r="Q1290" i="48"/>
  <c r="P1290" i="48"/>
  <c r="O1290" i="48"/>
  <c r="S1290" i="48"/>
  <c r="R1290" i="48"/>
  <c r="O1463" i="48"/>
  <c r="R1463" i="48"/>
  <c r="S1463" i="48"/>
  <c r="Q1463" i="48"/>
  <c r="P1463" i="48"/>
  <c r="R784" i="48"/>
  <c r="S784" i="48"/>
  <c r="Q784" i="48"/>
  <c r="P784" i="48"/>
  <c r="O784" i="48"/>
  <c r="O1866" i="48"/>
  <c r="R1866" i="48"/>
  <c r="S1866" i="48"/>
  <c r="Q1866" i="48"/>
  <c r="P1866" i="48"/>
  <c r="O1583" i="48"/>
  <c r="S1583" i="48"/>
  <c r="R1583" i="48"/>
  <c r="Q1583" i="48"/>
  <c r="P1583" i="48"/>
  <c r="Q1217" i="48"/>
  <c r="P1217" i="48"/>
  <c r="O1217" i="48"/>
  <c r="S1217" i="48"/>
  <c r="R1217" i="48"/>
  <c r="S561" i="48"/>
  <c r="R561" i="48"/>
  <c r="O561" i="48"/>
  <c r="P561" i="48"/>
  <c r="Q561" i="48"/>
  <c r="S633" i="48"/>
  <c r="R633" i="48"/>
  <c r="O633" i="48"/>
  <c r="P633" i="48"/>
  <c r="Q633" i="48"/>
  <c r="R855" i="48"/>
  <c r="Q855" i="48"/>
  <c r="P855" i="48"/>
  <c r="S855" i="48"/>
  <c r="O855" i="48"/>
  <c r="S599" i="48"/>
  <c r="R599" i="48"/>
  <c r="O599" i="48"/>
  <c r="Q599" i="48"/>
  <c r="P599" i="48"/>
  <c r="S669" i="48"/>
  <c r="P669" i="48"/>
  <c r="R669" i="48"/>
  <c r="Q669" i="48"/>
  <c r="O669" i="48"/>
  <c r="Q1095" i="48"/>
  <c r="P1095" i="48"/>
  <c r="O1095" i="48"/>
  <c r="S1095" i="48"/>
  <c r="R1095" i="48"/>
  <c r="S730" i="48"/>
  <c r="P730" i="48"/>
  <c r="R730" i="48"/>
  <c r="Q730" i="48"/>
  <c r="O730" i="48"/>
  <c r="R935" i="48"/>
  <c r="Q935" i="48"/>
  <c r="P935" i="48"/>
  <c r="S935" i="48"/>
  <c r="O935" i="48"/>
  <c r="S717" i="48"/>
  <c r="P717" i="48"/>
  <c r="R717" i="48"/>
  <c r="Q717" i="48"/>
  <c r="O717" i="48"/>
  <c r="R1416" i="48"/>
  <c r="O1416" i="48"/>
  <c r="Q1416" i="48"/>
  <c r="P1416" i="48"/>
  <c r="S1416" i="48"/>
  <c r="Q1056" i="48"/>
  <c r="P1056" i="48"/>
  <c r="O1056" i="48"/>
  <c r="S1056" i="48"/>
  <c r="R1056" i="48"/>
  <c r="R844" i="48"/>
  <c r="Q844" i="48"/>
  <c r="S844" i="48"/>
  <c r="P844" i="48"/>
  <c r="O844" i="48"/>
  <c r="S1394" i="48"/>
  <c r="R1394" i="48"/>
  <c r="O1394" i="48"/>
  <c r="P1394" i="48"/>
  <c r="Q1394" i="48"/>
  <c r="Q1173" i="48"/>
  <c r="P1173" i="48"/>
  <c r="O1173" i="48"/>
  <c r="S1173" i="48"/>
  <c r="R1173" i="48"/>
  <c r="Q1150" i="48"/>
  <c r="P1150" i="48"/>
  <c r="O1150" i="48"/>
  <c r="S1150" i="48"/>
  <c r="R1150" i="48"/>
  <c r="O1046" i="48"/>
  <c r="Q1046" i="48"/>
  <c r="P1046" i="48"/>
  <c r="S1046" i="48"/>
  <c r="R1046" i="48"/>
  <c r="S1707" i="48"/>
  <c r="P1707" i="48"/>
  <c r="R1707" i="48"/>
  <c r="Q1707" i="48"/>
  <c r="O1707" i="48"/>
  <c r="P1387" i="48"/>
  <c r="O1387" i="48"/>
  <c r="S1387" i="48"/>
  <c r="Q1387" i="48"/>
  <c r="R1387" i="48"/>
  <c r="S1584" i="48"/>
  <c r="R1584" i="48"/>
  <c r="Q1584" i="48"/>
  <c r="O1584" i="48"/>
  <c r="P1584" i="48"/>
  <c r="S1711" i="48"/>
  <c r="P1711" i="48"/>
  <c r="R1711" i="48"/>
  <c r="Q1711" i="48"/>
  <c r="O1711" i="48"/>
  <c r="S1675" i="48"/>
  <c r="P1675" i="48"/>
  <c r="R1675" i="48"/>
  <c r="Q1675" i="48"/>
  <c r="O1675" i="48"/>
  <c r="P1650" i="48"/>
  <c r="O1650" i="48"/>
  <c r="S1650" i="48"/>
  <c r="R1650" i="48"/>
  <c r="Q1650" i="48"/>
  <c r="S1771" i="48"/>
  <c r="P1771" i="48"/>
  <c r="O1771" i="48"/>
  <c r="R1771" i="48"/>
  <c r="Q1771" i="48"/>
  <c r="Q1817" i="48"/>
  <c r="P1817" i="48"/>
  <c r="O1817" i="48"/>
  <c r="S1817" i="48"/>
  <c r="R1817" i="48"/>
  <c r="Q1900" i="48"/>
  <c r="P1900" i="48"/>
  <c r="R1900" i="48"/>
  <c r="O1900" i="48"/>
  <c r="S1900" i="48"/>
  <c r="Q1986" i="48"/>
  <c r="P1986" i="48"/>
  <c r="S1986" i="48"/>
  <c r="R1986" i="48"/>
  <c r="O1986" i="48"/>
  <c r="P1965" i="48"/>
  <c r="S1965" i="48"/>
  <c r="R1965" i="48"/>
  <c r="O1965" i="48"/>
  <c r="Q1965" i="48"/>
  <c r="S2031" i="48"/>
  <c r="R2031" i="48"/>
  <c r="O2031" i="48"/>
  <c r="P2031" i="48"/>
  <c r="Q2031" i="48"/>
  <c r="O1593" i="48"/>
  <c r="S1593" i="48"/>
  <c r="Q1593" i="48"/>
  <c r="P1593" i="48"/>
  <c r="R1593" i="48"/>
  <c r="Q1280" i="48"/>
  <c r="R1280" i="48"/>
  <c r="P1280" i="48"/>
  <c r="O1280" i="48"/>
  <c r="S1280" i="48"/>
  <c r="R760" i="48"/>
  <c r="S760" i="48"/>
  <c r="Q760" i="48"/>
  <c r="P760" i="48"/>
  <c r="O760" i="48"/>
  <c r="O1841" i="48"/>
  <c r="R1841" i="48"/>
  <c r="Q1841" i="48"/>
  <c r="P1841" i="48"/>
  <c r="S1841" i="48"/>
  <c r="Q1552" i="48"/>
  <c r="P1552" i="48"/>
  <c r="O1552" i="48"/>
  <c r="S1552" i="48"/>
  <c r="R1552" i="48"/>
  <c r="S1197" i="48"/>
  <c r="R1197" i="48"/>
  <c r="O1197" i="48"/>
  <c r="Q1197" i="48"/>
  <c r="P1197" i="48"/>
  <c r="R936" i="48"/>
  <c r="Q936" i="48"/>
  <c r="P936" i="48"/>
  <c r="S936" i="48"/>
  <c r="O936" i="48"/>
  <c r="O1635" i="48"/>
  <c r="R1635" i="48"/>
  <c r="Q1635" i="48"/>
  <c r="P1635" i="48"/>
  <c r="S1635" i="48"/>
  <c r="O1636" i="48"/>
  <c r="S1636" i="48"/>
  <c r="R1636" i="48"/>
  <c r="Q1636" i="48"/>
  <c r="P1636" i="48"/>
  <c r="O1479" i="48"/>
  <c r="R1479" i="48"/>
  <c r="S1479" i="48"/>
  <c r="Q1479" i="48"/>
  <c r="P1479" i="48"/>
  <c r="Q1265" i="48"/>
  <c r="O1265" i="48"/>
  <c r="S1265" i="48"/>
  <c r="R1265" i="48"/>
  <c r="P1265" i="48"/>
  <c r="Q1333" i="48"/>
  <c r="S1333" i="48"/>
  <c r="R1333" i="48"/>
  <c r="O1333" i="48"/>
  <c r="P1333" i="48"/>
  <c r="R858" i="48"/>
  <c r="Q858" i="48"/>
  <c r="P858" i="48"/>
  <c r="S858" i="48"/>
  <c r="O858" i="48"/>
  <c r="R816" i="48"/>
  <c r="S816" i="48"/>
  <c r="Q816" i="48"/>
  <c r="P816" i="48"/>
  <c r="O816" i="48"/>
  <c r="R1004" i="48"/>
  <c r="Q1004" i="48"/>
  <c r="P1004" i="48"/>
  <c r="S1004" i="48"/>
  <c r="O1004" i="48"/>
  <c r="O1852" i="48"/>
  <c r="R1852" i="48"/>
  <c r="S1852" i="48"/>
  <c r="Q1852" i="48"/>
  <c r="P1852" i="48"/>
  <c r="R1601" i="48"/>
  <c r="Q1601" i="48"/>
  <c r="P1601" i="48"/>
  <c r="O1601" i="48"/>
  <c r="S1601" i="48"/>
  <c r="S1582" i="48"/>
  <c r="R1582" i="48"/>
  <c r="Q1582" i="48"/>
  <c r="O1582" i="48"/>
  <c r="P1582" i="48"/>
  <c r="O1507" i="48"/>
  <c r="R1507" i="48"/>
  <c r="S1507" i="48"/>
  <c r="Q1507" i="48"/>
  <c r="P1507" i="48"/>
  <c r="Q1321" i="48"/>
  <c r="O1321" i="48"/>
  <c r="S1321" i="48"/>
  <c r="R1321" i="48"/>
  <c r="P1321" i="48"/>
  <c r="S1181" i="48"/>
  <c r="R1181" i="48"/>
  <c r="O1181" i="48"/>
  <c r="Q1181" i="48"/>
  <c r="P1181" i="48"/>
  <c r="R909" i="48"/>
  <c r="Q909" i="48"/>
  <c r="P909" i="48"/>
  <c r="S909" i="48"/>
  <c r="O909" i="48"/>
  <c r="R904" i="48"/>
  <c r="Q904" i="48"/>
  <c r="P904" i="48"/>
  <c r="S904" i="48"/>
  <c r="O904" i="48"/>
  <c r="R791" i="48"/>
  <c r="S791" i="48"/>
  <c r="Q791" i="48"/>
  <c r="P791" i="48"/>
  <c r="O791" i="48"/>
  <c r="R783" i="48"/>
  <c r="S783" i="48"/>
  <c r="Q783" i="48"/>
  <c r="P783" i="48"/>
  <c r="O783" i="48"/>
  <c r="Q1566" i="48"/>
  <c r="P1566" i="48"/>
  <c r="O1566" i="48"/>
  <c r="S1566" i="48"/>
  <c r="R1566" i="48"/>
  <c r="S1192" i="48"/>
  <c r="R1192" i="48"/>
  <c r="Q1192" i="48"/>
  <c r="O1192" i="48"/>
  <c r="P1192" i="48"/>
  <c r="R872" i="48"/>
  <c r="Q872" i="48"/>
  <c r="P872" i="48"/>
  <c r="S872" i="48"/>
  <c r="O872" i="48"/>
  <c r="P671" i="48"/>
  <c r="Q671" i="48"/>
  <c r="O671" i="48"/>
  <c r="S671" i="48"/>
  <c r="R671" i="48"/>
  <c r="O1521" i="48"/>
  <c r="R1521" i="48"/>
  <c r="Q1521" i="48"/>
  <c r="P1521" i="48"/>
  <c r="S1521" i="48"/>
  <c r="O1215" i="48"/>
  <c r="R1215" i="48"/>
  <c r="Q1215" i="48"/>
  <c r="S1215" i="48"/>
  <c r="P1215" i="48"/>
  <c r="R1010" i="48"/>
  <c r="Q1010" i="48"/>
  <c r="P1010" i="48"/>
  <c r="S1010" i="48"/>
  <c r="O1010" i="48"/>
  <c r="Q1553" i="48"/>
  <c r="P1553" i="48"/>
  <c r="O1553" i="48"/>
  <c r="R1553" i="48"/>
  <c r="S1553" i="48"/>
  <c r="Q1273" i="48"/>
  <c r="O1273" i="48"/>
  <c r="S1273" i="48"/>
  <c r="R1273" i="48"/>
  <c r="P1273" i="48"/>
  <c r="R811" i="48"/>
  <c r="Q811" i="48"/>
  <c r="S811" i="48"/>
  <c r="P811" i="48"/>
  <c r="O811" i="48"/>
  <c r="R2041" i="48"/>
  <c r="O2041" i="48"/>
  <c r="S2041" i="48"/>
  <c r="P2041" i="48"/>
  <c r="Q2041" i="48"/>
  <c r="R2046" i="48"/>
  <c r="P2046" i="48"/>
  <c r="O2046" i="48"/>
  <c r="S2046" i="48"/>
  <c r="Q2046" i="48"/>
  <c r="O1620" i="48"/>
  <c r="S1620" i="48"/>
  <c r="R1620" i="48"/>
  <c r="Q1620" i="48"/>
  <c r="P1620" i="48"/>
  <c r="O1514" i="48"/>
  <c r="R1514" i="48"/>
  <c r="P1514" i="48"/>
  <c r="Q1514" i="48"/>
  <c r="S1514" i="48"/>
  <c r="O1503" i="48"/>
  <c r="R1503" i="48"/>
  <c r="S1503" i="48"/>
  <c r="Q1503" i="48"/>
  <c r="P1503" i="48"/>
  <c r="Q1313" i="48"/>
  <c r="O1313" i="48"/>
  <c r="S1313" i="48"/>
  <c r="R1313" i="48"/>
  <c r="P1313" i="48"/>
  <c r="S1244" i="48"/>
  <c r="R1244" i="48"/>
  <c r="O1244" i="48"/>
  <c r="Q1244" i="48"/>
  <c r="P1244" i="48"/>
  <c r="R906" i="48"/>
  <c r="Q906" i="48"/>
  <c r="P906" i="48"/>
  <c r="S906" i="48"/>
  <c r="O906" i="48"/>
  <c r="R888" i="48"/>
  <c r="Q888" i="48"/>
  <c r="P888" i="48"/>
  <c r="S888" i="48"/>
  <c r="O888" i="48"/>
  <c r="P673" i="48"/>
  <c r="Q673" i="48"/>
  <c r="O673" i="48"/>
  <c r="S673" i="48"/>
  <c r="R673" i="48"/>
  <c r="O1847" i="48"/>
  <c r="R1847" i="48"/>
  <c r="P1847" i="48"/>
  <c r="S1847" i="48"/>
  <c r="Q1847" i="48"/>
  <c r="O1542" i="48"/>
  <c r="R1542" i="48"/>
  <c r="P1542" i="48"/>
  <c r="Q1542" i="48"/>
  <c r="S1542" i="48"/>
  <c r="O1531" i="48"/>
  <c r="R1531" i="48"/>
  <c r="S1531" i="48"/>
  <c r="Q1531" i="48"/>
  <c r="P1531" i="48"/>
  <c r="Q1305" i="48"/>
  <c r="O1305" i="48"/>
  <c r="S1305" i="48"/>
  <c r="R1305" i="48"/>
  <c r="P1305" i="48"/>
  <c r="R1000" i="48"/>
  <c r="Q1000" i="48"/>
  <c r="P1000" i="48"/>
  <c r="S1000" i="48"/>
  <c r="O1000" i="48"/>
  <c r="O1839" i="48"/>
  <c r="R1839" i="48"/>
  <c r="P1839" i="48"/>
  <c r="Q1839" i="48"/>
  <c r="S1839" i="48"/>
  <c r="O1497" i="48"/>
  <c r="R1497" i="48"/>
  <c r="Q1497" i="48"/>
  <c r="P1497" i="48"/>
  <c r="S1497" i="48"/>
  <c r="O1524" i="48"/>
  <c r="R1524" i="48"/>
  <c r="S1524" i="48"/>
  <c r="Q1524" i="48"/>
  <c r="P1524" i="48"/>
  <c r="Q1295" i="48"/>
  <c r="P1295" i="48"/>
  <c r="S1295" i="48"/>
  <c r="R1295" i="48"/>
  <c r="O1295" i="48"/>
  <c r="O1453" i="48"/>
  <c r="R1453" i="48"/>
  <c r="P1453" i="48"/>
  <c r="S1453" i="48"/>
  <c r="Q1453" i="48"/>
  <c r="S1236" i="48"/>
  <c r="R1236" i="48"/>
  <c r="O1236" i="48"/>
  <c r="Q1236" i="48"/>
  <c r="P1236" i="48"/>
  <c r="R864" i="48"/>
  <c r="Q864" i="48"/>
  <c r="P864" i="48"/>
  <c r="S864" i="48"/>
  <c r="O864" i="48"/>
  <c r="P1209" i="48"/>
  <c r="O1209" i="48"/>
  <c r="S1209" i="48"/>
  <c r="R1209" i="48"/>
  <c r="Q1209" i="48"/>
  <c r="R836" i="48"/>
  <c r="Q836" i="48"/>
  <c r="S836" i="48"/>
  <c r="P836" i="48"/>
  <c r="O836" i="48"/>
  <c r="Q1559" i="48"/>
  <c r="P1559" i="48"/>
  <c r="O1559" i="48"/>
  <c r="S1559" i="48"/>
  <c r="R1559" i="48"/>
  <c r="Q1338" i="48"/>
  <c r="P1338" i="48"/>
  <c r="O1338" i="48"/>
  <c r="R1338" i="48"/>
  <c r="S1338" i="48"/>
  <c r="O1829" i="48"/>
  <c r="Q1829" i="48"/>
  <c r="P1829" i="48"/>
  <c r="S1829" i="48"/>
  <c r="R1829" i="48"/>
  <c r="R796" i="48"/>
  <c r="O796" i="48"/>
  <c r="S796" i="48"/>
  <c r="P796" i="48"/>
  <c r="Q796" i="48"/>
  <c r="O1501" i="48"/>
  <c r="R1501" i="48"/>
  <c r="Q1501" i="48"/>
  <c r="P1501" i="48"/>
  <c r="S1501" i="48"/>
  <c r="O1855" i="48"/>
  <c r="R1855" i="48"/>
  <c r="Q1855" i="48"/>
  <c r="P1855" i="48"/>
  <c r="S1855" i="48"/>
  <c r="O1525" i="48"/>
  <c r="R1525" i="48"/>
  <c r="Q1525" i="48"/>
  <c r="P1525" i="48"/>
  <c r="S1525" i="48"/>
  <c r="S1588" i="48"/>
  <c r="R1588" i="48"/>
  <c r="Q1588" i="48"/>
  <c r="O1588" i="48"/>
  <c r="P1588" i="48"/>
  <c r="Q1351" i="48"/>
  <c r="P1351" i="48"/>
  <c r="S1351" i="48"/>
  <c r="R1351" i="48"/>
  <c r="O1351" i="48"/>
  <c r="O1223" i="48"/>
  <c r="R1223" i="48"/>
  <c r="S1223" i="48"/>
  <c r="Q1223" i="48"/>
  <c r="P1223" i="48"/>
  <c r="Q1298" i="48"/>
  <c r="P1298" i="48"/>
  <c r="O1298" i="48"/>
  <c r="R1298" i="48"/>
  <c r="S1298" i="48"/>
  <c r="R976" i="48"/>
  <c r="Q976" i="48"/>
  <c r="P976" i="48"/>
  <c r="S976" i="48"/>
  <c r="O976" i="48"/>
  <c r="R771" i="48"/>
  <c r="Q771" i="48"/>
  <c r="S771" i="48"/>
  <c r="P771" i="48"/>
  <c r="O771" i="48"/>
  <c r="R972" i="48"/>
  <c r="Q972" i="48"/>
  <c r="P972" i="48"/>
  <c r="S972" i="48"/>
  <c r="O972" i="48"/>
  <c r="S563" i="48"/>
  <c r="R563" i="48"/>
  <c r="O563" i="48"/>
  <c r="P563" i="48"/>
  <c r="Q563" i="48"/>
  <c r="S594" i="48"/>
  <c r="R594" i="48"/>
  <c r="O594" i="48"/>
  <c r="Q594" i="48"/>
  <c r="P594" i="48"/>
  <c r="S736" i="48"/>
  <c r="P736" i="48"/>
  <c r="R736" i="48"/>
  <c r="Q736" i="48"/>
  <c r="O736" i="48"/>
  <c r="S744" i="48"/>
  <c r="P744" i="48"/>
  <c r="R744" i="48"/>
  <c r="Q744" i="48"/>
  <c r="O744" i="48"/>
  <c r="S700" i="48"/>
  <c r="P700" i="48"/>
  <c r="R700" i="48"/>
  <c r="Q700" i="48"/>
  <c r="O700" i="48"/>
  <c r="S720" i="48"/>
  <c r="P720" i="48"/>
  <c r="R720" i="48"/>
  <c r="Q720" i="48"/>
  <c r="O720" i="48"/>
  <c r="Q670" i="48"/>
  <c r="P670" i="48"/>
  <c r="O670" i="48"/>
  <c r="S670" i="48"/>
  <c r="R670" i="48"/>
  <c r="S607" i="48"/>
  <c r="R607" i="48"/>
  <c r="O607" i="48"/>
  <c r="Q607" i="48"/>
  <c r="P607" i="48"/>
  <c r="R982" i="48"/>
  <c r="Q982" i="48"/>
  <c r="P982" i="48"/>
  <c r="O982" i="48"/>
  <c r="S982" i="48"/>
  <c r="P676" i="48"/>
  <c r="S676" i="48"/>
  <c r="O676" i="48"/>
  <c r="R676" i="48"/>
  <c r="Q676" i="48"/>
  <c r="S587" i="48"/>
  <c r="R587" i="48"/>
  <c r="O587" i="48"/>
  <c r="P587" i="48"/>
  <c r="Q587" i="48"/>
  <c r="S651" i="48"/>
  <c r="P651" i="48"/>
  <c r="R651" i="48"/>
  <c r="O651" i="48"/>
  <c r="Q651" i="48"/>
  <c r="S615" i="48"/>
  <c r="R615" i="48"/>
  <c r="O615" i="48"/>
  <c r="Q615" i="48"/>
  <c r="P615" i="48"/>
  <c r="R967" i="48"/>
  <c r="Q967" i="48"/>
  <c r="P967" i="48"/>
  <c r="S967" i="48"/>
  <c r="O967" i="48"/>
  <c r="Q1171" i="48"/>
  <c r="P1171" i="48"/>
  <c r="O1171" i="48"/>
  <c r="S1171" i="48"/>
  <c r="R1171" i="48"/>
  <c r="S616" i="48"/>
  <c r="R616" i="48"/>
  <c r="O616" i="48"/>
  <c r="Q616" i="48"/>
  <c r="P616" i="48"/>
  <c r="P682" i="48"/>
  <c r="S682" i="48"/>
  <c r="O682" i="48"/>
  <c r="R682" i="48"/>
  <c r="Q682" i="48"/>
  <c r="S711" i="48"/>
  <c r="P711" i="48"/>
  <c r="R711" i="48"/>
  <c r="Q711" i="48"/>
  <c r="O711" i="48"/>
  <c r="S743" i="48"/>
  <c r="P743" i="48"/>
  <c r="R743" i="48"/>
  <c r="Q743" i="48"/>
  <c r="O743" i="48"/>
  <c r="R838" i="48"/>
  <c r="Q838" i="48"/>
  <c r="O838" i="48"/>
  <c r="S838" i="48"/>
  <c r="P838" i="48"/>
  <c r="Q1111" i="48"/>
  <c r="P1111" i="48"/>
  <c r="O1111" i="48"/>
  <c r="S1111" i="48"/>
  <c r="R1111" i="48"/>
  <c r="S582" i="48"/>
  <c r="R582" i="48"/>
  <c r="O582" i="48"/>
  <c r="Q582" i="48"/>
  <c r="P582" i="48"/>
  <c r="S646" i="48"/>
  <c r="R646" i="48"/>
  <c r="O646" i="48"/>
  <c r="Q646" i="48"/>
  <c r="P646" i="48"/>
  <c r="S702" i="48"/>
  <c r="P702" i="48"/>
  <c r="R702" i="48"/>
  <c r="Q702" i="48"/>
  <c r="O702" i="48"/>
  <c r="S734" i="48"/>
  <c r="P734" i="48"/>
  <c r="R734" i="48"/>
  <c r="Q734" i="48"/>
  <c r="O734" i="48"/>
  <c r="R860" i="48"/>
  <c r="Q860" i="48"/>
  <c r="P860" i="48"/>
  <c r="S860" i="48"/>
  <c r="O860" i="48"/>
  <c r="S565" i="48"/>
  <c r="R565" i="48"/>
  <c r="O565" i="48"/>
  <c r="P565" i="48"/>
  <c r="Q565" i="48"/>
  <c r="S629" i="48"/>
  <c r="R629" i="48"/>
  <c r="O629" i="48"/>
  <c r="P629" i="48"/>
  <c r="Q629" i="48"/>
  <c r="R999" i="48"/>
  <c r="Q999" i="48"/>
  <c r="P999" i="48"/>
  <c r="S999" i="48"/>
  <c r="O999" i="48"/>
  <c r="Q1163" i="48"/>
  <c r="P1163" i="48"/>
  <c r="O1163" i="48"/>
  <c r="S1163" i="48"/>
  <c r="R1163" i="48"/>
  <c r="S612" i="48"/>
  <c r="R612" i="48"/>
  <c r="O612" i="48"/>
  <c r="P612" i="48"/>
  <c r="Q612" i="48"/>
  <c r="S689" i="48"/>
  <c r="P689" i="48"/>
  <c r="R689" i="48"/>
  <c r="Q689" i="48"/>
  <c r="O689" i="48"/>
  <c r="S721" i="48"/>
  <c r="P721" i="48"/>
  <c r="R721" i="48"/>
  <c r="Q721" i="48"/>
  <c r="O721" i="48"/>
  <c r="S753" i="48"/>
  <c r="P753" i="48"/>
  <c r="R753" i="48"/>
  <c r="Q753" i="48"/>
  <c r="O753" i="48"/>
  <c r="R777" i="48"/>
  <c r="S777" i="48"/>
  <c r="O777" i="48"/>
  <c r="P777" i="48"/>
  <c r="Q777" i="48"/>
  <c r="R915" i="48"/>
  <c r="Q915" i="48"/>
  <c r="P915" i="48"/>
  <c r="S915" i="48"/>
  <c r="O915" i="48"/>
  <c r="P675" i="48"/>
  <c r="Q675" i="48"/>
  <c r="O675" i="48"/>
  <c r="S675" i="48"/>
  <c r="R675" i="48"/>
  <c r="R794" i="48"/>
  <c r="P794" i="48"/>
  <c r="Q794" i="48"/>
  <c r="O794" i="48"/>
  <c r="S794" i="48"/>
  <c r="R827" i="48"/>
  <c r="Q827" i="48"/>
  <c r="P827" i="48"/>
  <c r="O827" i="48"/>
  <c r="S827" i="48"/>
  <c r="R955" i="48"/>
  <c r="Q955" i="48"/>
  <c r="P955" i="48"/>
  <c r="S955" i="48"/>
  <c r="O955" i="48"/>
  <c r="Q1060" i="48"/>
  <c r="P1060" i="48"/>
  <c r="O1060" i="48"/>
  <c r="S1060" i="48"/>
  <c r="R1060" i="48"/>
  <c r="Q1092" i="48"/>
  <c r="P1092" i="48"/>
  <c r="O1092" i="48"/>
  <c r="S1092" i="48"/>
  <c r="R1092" i="48"/>
  <c r="Q1124" i="48"/>
  <c r="P1124" i="48"/>
  <c r="O1124" i="48"/>
  <c r="S1124" i="48"/>
  <c r="R1124" i="48"/>
  <c r="Q1156" i="48"/>
  <c r="P1156" i="48"/>
  <c r="O1156" i="48"/>
  <c r="S1156" i="48"/>
  <c r="R1156" i="48"/>
  <c r="R852" i="48"/>
  <c r="Q852" i="48"/>
  <c r="P852" i="48"/>
  <c r="S852" i="48"/>
  <c r="O852" i="48"/>
  <c r="R895" i="48"/>
  <c r="Q895" i="48"/>
  <c r="P895" i="48"/>
  <c r="S895" i="48"/>
  <c r="O895" i="48"/>
  <c r="R942" i="48"/>
  <c r="Q942" i="48"/>
  <c r="P942" i="48"/>
  <c r="O942" i="48"/>
  <c r="S942" i="48"/>
  <c r="R990" i="48"/>
  <c r="Q990" i="48"/>
  <c r="P990" i="48"/>
  <c r="O990" i="48"/>
  <c r="S990" i="48"/>
  <c r="Q1016" i="48"/>
  <c r="P1016" i="48"/>
  <c r="O1016" i="48"/>
  <c r="S1016" i="48"/>
  <c r="R1016" i="48"/>
  <c r="Q1081" i="48"/>
  <c r="P1081" i="48"/>
  <c r="O1081" i="48"/>
  <c r="S1081" i="48"/>
  <c r="R1081" i="48"/>
  <c r="Q1113" i="48"/>
  <c r="P1113" i="48"/>
  <c r="O1113" i="48"/>
  <c r="S1113" i="48"/>
  <c r="R1113" i="48"/>
  <c r="Q1145" i="48"/>
  <c r="P1145" i="48"/>
  <c r="O1145" i="48"/>
  <c r="S1145" i="48"/>
  <c r="R1145" i="48"/>
  <c r="Q1177" i="48"/>
  <c r="P1177" i="48"/>
  <c r="O1177" i="48"/>
  <c r="S1177" i="48"/>
  <c r="R1177" i="48"/>
  <c r="Q1058" i="48"/>
  <c r="P1058" i="48"/>
  <c r="O1058" i="48"/>
  <c r="S1058" i="48"/>
  <c r="R1058" i="48"/>
  <c r="Q1090" i="48"/>
  <c r="P1090" i="48"/>
  <c r="O1090" i="48"/>
  <c r="S1090" i="48"/>
  <c r="R1090" i="48"/>
  <c r="Q1122" i="48"/>
  <c r="P1122" i="48"/>
  <c r="O1122" i="48"/>
  <c r="S1122" i="48"/>
  <c r="R1122" i="48"/>
  <c r="Q1154" i="48"/>
  <c r="P1154" i="48"/>
  <c r="O1154" i="48"/>
  <c r="S1154" i="48"/>
  <c r="R1154" i="48"/>
  <c r="R1407" i="48"/>
  <c r="P1407" i="48"/>
  <c r="O1407" i="48"/>
  <c r="Q1407" i="48"/>
  <c r="S1407" i="48"/>
  <c r="O1031" i="48"/>
  <c r="Q1031" i="48"/>
  <c r="P1031" i="48"/>
  <c r="S1031" i="48"/>
  <c r="R1031" i="48"/>
  <c r="O1039" i="48"/>
  <c r="Q1039" i="48"/>
  <c r="P1039" i="48"/>
  <c r="S1039" i="48"/>
  <c r="R1039" i="48"/>
  <c r="S1364" i="48"/>
  <c r="R1364" i="48"/>
  <c r="O1364" i="48"/>
  <c r="Q1364" i="48"/>
  <c r="P1364" i="48"/>
  <c r="S1439" i="48"/>
  <c r="R1439" i="48"/>
  <c r="O1439" i="48"/>
  <c r="Q1439" i="48"/>
  <c r="P1439" i="48"/>
  <c r="S1690" i="48"/>
  <c r="P1690" i="48"/>
  <c r="R1690" i="48"/>
  <c r="Q1690" i="48"/>
  <c r="O1690" i="48"/>
  <c r="S1376" i="48"/>
  <c r="R1376" i="48"/>
  <c r="O1376" i="48"/>
  <c r="P1376" i="48"/>
  <c r="Q1376" i="48"/>
  <c r="S1366" i="48"/>
  <c r="R1366" i="48"/>
  <c r="O1366" i="48"/>
  <c r="P1366" i="48"/>
  <c r="Q1366" i="48"/>
  <c r="R1397" i="48"/>
  <c r="S1397" i="48"/>
  <c r="Q1397" i="48"/>
  <c r="P1397" i="48"/>
  <c r="O1397" i="48"/>
  <c r="S1681" i="48"/>
  <c r="P1681" i="48"/>
  <c r="R1681" i="48"/>
  <c r="Q1681" i="48"/>
  <c r="O1681" i="48"/>
  <c r="P1373" i="48"/>
  <c r="O1373" i="48"/>
  <c r="S1373" i="48"/>
  <c r="R1373" i="48"/>
  <c r="Q1373" i="48"/>
  <c r="P1389" i="48"/>
  <c r="O1389" i="48"/>
  <c r="S1389" i="48"/>
  <c r="R1389" i="48"/>
  <c r="Q1389" i="48"/>
  <c r="S1445" i="48"/>
  <c r="R1445" i="48"/>
  <c r="O1445" i="48"/>
  <c r="Q1445" i="48"/>
  <c r="P1445" i="48"/>
  <c r="S1444" i="48"/>
  <c r="R1444" i="48"/>
  <c r="O1444" i="48"/>
  <c r="P1444" i="48"/>
  <c r="Q1444" i="48"/>
  <c r="S1678" i="48"/>
  <c r="P1678" i="48"/>
  <c r="R1678" i="48"/>
  <c r="Q1678" i="48"/>
  <c r="O1678" i="48"/>
  <c r="P1649" i="48"/>
  <c r="S1649" i="48"/>
  <c r="R1649" i="48"/>
  <c r="O1649" i="48"/>
  <c r="Q1649" i="48"/>
  <c r="S1672" i="48"/>
  <c r="P1672" i="48"/>
  <c r="R1672" i="48"/>
  <c r="Q1672" i="48"/>
  <c r="O1672" i="48"/>
  <c r="S1670" i="48"/>
  <c r="P1670" i="48"/>
  <c r="R1670" i="48"/>
  <c r="Q1670" i="48"/>
  <c r="O1670" i="48"/>
  <c r="S1664" i="48"/>
  <c r="P1664" i="48"/>
  <c r="R1664" i="48"/>
  <c r="Q1664" i="48"/>
  <c r="O1664" i="48"/>
  <c r="S1735" i="48"/>
  <c r="P1735" i="48"/>
  <c r="R1735" i="48"/>
  <c r="Q1735" i="48"/>
  <c r="O1735" i="48"/>
  <c r="S1703" i="48"/>
  <c r="P1703" i="48"/>
  <c r="R1703" i="48"/>
  <c r="Q1703" i="48"/>
  <c r="O1703" i="48"/>
  <c r="S1685" i="48"/>
  <c r="P1685" i="48"/>
  <c r="R1685" i="48"/>
  <c r="Q1685" i="48"/>
  <c r="O1685" i="48"/>
  <c r="S1668" i="48"/>
  <c r="P1668" i="48"/>
  <c r="R1668" i="48"/>
  <c r="Q1668" i="48"/>
  <c r="O1668" i="48"/>
  <c r="S1736" i="48"/>
  <c r="P1736" i="48"/>
  <c r="R1736" i="48"/>
  <c r="Q1736" i="48"/>
  <c r="O1736" i="48"/>
  <c r="S1683" i="48"/>
  <c r="P1683" i="48"/>
  <c r="R1683" i="48"/>
  <c r="Q1683" i="48"/>
  <c r="O1683" i="48"/>
  <c r="S1733" i="48"/>
  <c r="P1733" i="48"/>
  <c r="R1733" i="48"/>
  <c r="Q1733" i="48"/>
  <c r="O1733" i="48"/>
  <c r="S1745" i="48"/>
  <c r="P1745" i="48"/>
  <c r="R1745" i="48"/>
  <c r="Q1745" i="48"/>
  <c r="O1745" i="48"/>
  <c r="P1755" i="48"/>
  <c r="R1755" i="48"/>
  <c r="Q1755" i="48"/>
  <c r="O1755" i="48"/>
  <c r="S1755" i="48"/>
  <c r="S1752" i="48"/>
  <c r="P1752" i="48"/>
  <c r="R1752" i="48"/>
  <c r="Q1752" i="48"/>
  <c r="O1752" i="48"/>
  <c r="P1652" i="48"/>
  <c r="O1652" i="48"/>
  <c r="S1652" i="48"/>
  <c r="R1652" i="48"/>
  <c r="Q1652" i="48"/>
  <c r="Q1820" i="48"/>
  <c r="P1820" i="48"/>
  <c r="O1820" i="48"/>
  <c r="S1820" i="48"/>
  <c r="R1820" i="48"/>
  <c r="Q1814" i="48"/>
  <c r="P1814" i="48"/>
  <c r="O1814" i="48"/>
  <c r="S1814" i="48"/>
  <c r="R1814" i="48"/>
  <c r="S1764" i="48"/>
  <c r="P1764" i="48"/>
  <c r="O1764" i="48"/>
  <c r="Q1764" i="48"/>
  <c r="R1764" i="48"/>
  <c r="S1772" i="48"/>
  <c r="P1772" i="48"/>
  <c r="O1772" i="48"/>
  <c r="Q1772" i="48"/>
  <c r="R1772" i="48"/>
  <c r="S1780" i="48"/>
  <c r="P1780" i="48"/>
  <c r="O1780" i="48"/>
  <c r="Q1780" i="48"/>
  <c r="R1780" i="48"/>
  <c r="S1788" i="48"/>
  <c r="P1788" i="48"/>
  <c r="O1788" i="48"/>
  <c r="Q1788" i="48"/>
  <c r="R1788" i="48"/>
  <c r="S1796" i="48"/>
  <c r="P1796" i="48"/>
  <c r="O1796" i="48"/>
  <c r="Q1796" i="48"/>
  <c r="R1796" i="48"/>
  <c r="Q1821" i="48"/>
  <c r="P1821" i="48"/>
  <c r="O1821" i="48"/>
  <c r="S1821" i="48"/>
  <c r="R1821" i="48"/>
  <c r="O1805" i="48"/>
  <c r="S1805" i="48"/>
  <c r="R1805" i="48"/>
  <c r="P1805" i="48"/>
  <c r="Q1805" i="48"/>
  <c r="P1901" i="48"/>
  <c r="S1901" i="48"/>
  <c r="O1901" i="48"/>
  <c r="R1901" i="48"/>
  <c r="Q1901" i="48"/>
  <c r="S1905" i="48"/>
  <c r="P1905" i="48"/>
  <c r="R1905" i="48"/>
  <c r="Q1905" i="48"/>
  <c r="O1905" i="48"/>
  <c r="P1903" i="48"/>
  <c r="S1903" i="48"/>
  <c r="R1903" i="48"/>
  <c r="Q1903" i="48"/>
  <c r="O1903" i="48"/>
  <c r="Q1946" i="48"/>
  <c r="P1946" i="48"/>
  <c r="O1946" i="48"/>
  <c r="S1946" i="48"/>
  <c r="R1946" i="48"/>
  <c r="Q1898" i="48"/>
  <c r="P1898" i="48"/>
  <c r="O1898" i="48"/>
  <c r="S1898" i="48"/>
  <c r="R1898" i="48"/>
  <c r="P1930" i="48"/>
  <c r="S1930" i="48"/>
  <c r="R1930" i="48"/>
  <c r="Q1930" i="48"/>
  <c r="O1930" i="48"/>
  <c r="P1937" i="48"/>
  <c r="Q1937" i="48"/>
  <c r="O1937" i="48"/>
  <c r="R1937" i="48"/>
  <c r="S1937" i="48"/>
  <c r="Q1910" i="48"/>
  <c r="S1910" i="48"/>
  <c r="R1910" i="48"/>
  <c r="P1910" i="48"/>
  <c r="O1910" i="48"/>
  <c r="P1921" i="48"/>
  <c r="R1921" i="48"/>
  <c r="Q1921" i="48"/>
  <c r="S1921" i="48"/>
  <c r="O1921" i="48"/>
  <c r="S1955" i="48"/>
  <c r="P1955" i="48"/>
  <c r="R1955" i="48"/>
  <c r="Q1955" i="48"/>
  <c r="O1955" i="48"/>
  <c r="P1967" i="48"/>
  <c r="S1967" i="48"/>
  <c r="R1967" i="48"/>
  <c r="Q1967" i="48"/>
  <c r="O1967" i="48"/>
  <c r="P1970" i="48"/>
  <c r="O1970" i="48"/>
  <c r="S1970" i="48"/>
  <c r="R1970" i="48"/>
  <c r="Q1970" i="48"/>
  <c r="Q2005" i="48"/>
  <c r="P2005" i="48"/>
  <c r="S2005" i="48"/>
  <c r="R2005" i="48"/>
  <c r="O2005" i="48"/>
  <c r="Q1981" i="48"/>
  <c r="R1981" i="48"/>
  <c r="P1981" i="48"/>
  <c r="O1981" i="48"/>
  <c r="S1981" i="48"/>
  <c r="Q2017" i="48"/>
  <c r="P2017" i="48"/>
  <c r="O2017" i="48"/>
  <c r="S2017" i="48"/>
  <c r="R2017" i="48"/>
  <c r="Q2018" i="48"/>
  <c r="P2018" i="48"/>
  <c r="O2018" i="48"/>
  <c r="S2018" i="48"/>
  <c r="R2018" i="48"/>
  <c r="S2032" i="48"/>
  <c r="R2032" i="48"/>
  <c r="O2032" i="48"/>
  <c r="Q2032" i="48"/>
  <c r="P2032" i="48"/>
  <c r="S2037" i="48"/>
  <c r="P2037" i="48"/>
  <c r="R2037" i="48"/>
  <c r="Q2037" i="48"/>
  <c r="O2037" i="48"/>
  <c r="O1628" i="48"/>
  <c r="S1628" i="48"/>
  <c r="Q1628" i="48"/>
  <c r="P1628" i="48"/>
  <c r="R1628" i="48"/>
  <c r="Q1281" i="48"/>
  <c r="O1281" i="48"/>
  <c r="S1281" i="48"/>
  <c r="R1281" i="48"/>
  <c r="P1281" i="48"/>
  <c r="R849" i="48"/>
  <c r="Q849" i="48"/>
  <c r="P849" i="48"/>
  <c r="O849" i="48"/>
  <c r="S849" i="48"/>
  <c r="O1869" i="48"/>
  <c r="Q1869" i="48"/>
  <c r="P1869" i="48"/>
  <c r="R1869" i="48"/>
  <c r="S1869" i="48"/>
  <c r="Q1335" i="48"/>
  <c r="P1335" i="48"/>
  <c r="S1335" i="48"/>
  <c r="R1335" i="48"/>
  <c r="O1335" i="48"/>
  <c r="O1451" i="48"/>
  <c r="R1451" i="48"/>
  <c r="Q1451" i="48"/>
  <c r="P1451" i="48"/>
  <c r="S1451" i="48"/>
  <c r="Q1357" i="48"/>
  <c r="S1357" i="48"/>
  <c r="R1357" i="48"/>
  <c r="P1357" i="48"/>
  <c r="O1357" i="48"/>
  <c r="O1598" i="48"/>
  <c r="S1598" i="48"/>
  <c r="R1598" i="48"/>
  <c r="Q1598" i="48"/>
  <c r="P1598" i="48"/>
  <c r="P1547" i="48"/>
  <c r="Q1547" i="48"/>
  <c r="O1547" i="48"/>
  <c r="S1547" i="48"/>
  <c r="R1547" i="48"/>
  <c r="Q1327" i="48"/>
  <c r="P1327" i="48"/>
  <c r="S1327" i="48"/>
  <c r="R1327" i="48"/>
  <c r="O1327" i="48"/>
  <c r="O1204" i="48"/>
  <c r="R1204" i="48"/>
  <c r="S1204" i="48"/>
  <c r="Q1204" i="48"/>
  <c r="P1204" i="48"/>
  <c r="Q1269" i="48"/>
  <c r="S1269" i="48"/>
  <c r="R1269" i="48"/>
  <c r="O1269" i="48"/>
  <c r="P1269" i="48"/>
  <c r="R928" i="48"/>
  <c r="Q928" i="48"/>
  <c r="P928" i="48"/>
  <c r="S928" i="48"/>
  <c r="O928" i="48"/>
  <c r="Q1315" i="48"/>
  <c r="R1315" i="48"/>
  <c r="P1315" i="48"/>
  <c r="O1315" i="48"/>
  <c r="S1315" i="48"/>
  <c r="R833" i="48"/>
  <c r="Q833" i="48"/>
  <c r="S833" i="48"/>
  <c r="O833" i="48"/>
  <c r="P833" i="48"/>
  <c r="O1871" i="48"/>
  <c r="Q1871" i="48"/>
  <c r="P1871" i="48"/>
  <c r="S1871" i="48"/>
  <c r="R1871" i="48"/>
  <c r="O1541" i="48"/>
  <c r="R1541" i="48"/>
  <c r="Q1541" i="48"/>
  <c r="P1541" i="48"/>
  <c r="S1541" i="48"/>
  <c r="O1459" i="48"/>
  <c r="R1459" i="48"/>
  <c r="S1459" i="48"/>
  <c r="Q1459" i="48"/>
  <c r="P1459" i="48"/>
  <c r="O1475" i="48"/>
  <c r="R1475" i="48"/>
  <c r="S1475" i="48"/>
  <c r="Q1475" i="48"/>
  <c r="P1475" i="48"/>
  <c r="Q1257" i="48"/>
  <c r="O1257" i="48"/>
  <c r="S1257" i="48"/>
  <c r="R1257" i="48"/>
  <c r="P1257" i="48"/>
  <c r="Q1330" i="48"/>
  <c r="P1330" i="48"/>
  <c r="O1330" i="48"/>
  <c r="R1330" i="48"/>
  <c r="S1330" i="48"/>
  <c r="Q1286" i="48"/>
  <c r="S1286" i="48"/>
  <c r="O1286" i="48"/>
  <c r="R1286" i="48"/>
  <c r="P1286" i="48"/>
  <c r="R803" i="48"/>
  <c r="Q803" i="48"/>
  <c r="S803" i="48"/>
  <c r="P803" i="48"/>
  <c r="O803" i="48"/>
  <c r="R962" i="48"/>
  <c r="Q962" i="48"/>
  <c r="P962" i="48"/>
  <c r="S962" i="48"/>
  <c r="O962" i="48"/>
  <c r="O1835" i="48"/>
  <c r="Q1835" i="48"/>
  <c r="P1835" i="48"/>
  <c r="S1835" i="48"/>
  <c r="R1835" i="48"/>
  <c r="O1617" i="48"/>
  <c r="Q1617" i="48"/>
  <c r="P1617" i="48"/>
  <c r="R1617" i="48"/>
  <c r="S1617" i="48"/>
  <c r="R957" i="48"/>
  <c r="Q957" i="48"/>
  <c r="P957" i="48"/>
  <c r="S957" i="48"/>
  <c r="O957" i="48"/>
  <c r="R787" i="48"/>
  <c r="Q787" i="48"/>
  <c r="S787" i="48"/>
  <c r="P787" i="48"/>
  <c r="O787" i="48"/>
  <c r="R834" i="48"/>
  <c r="Q834" i="48"/>
  <c r="P834" i="48"/>
  <c r="O834" i="48"/>
  <c r="S834" i="48"/>
  <c r="Q1557" i="48"/>
  <c r="P1557" i="48"/>
  <c r="O1557" i="48"/>
  <c r="R1557" i="48"/>
  <c r="S1557" i="48"/>
  <c r="R1226" i="48"/>
  <c r="Q1226" i="48"/>
  <c r="P1226" i="48"/>
  <c r="S1226" i="48"/>
  <c r="O1226" i="48"/>
  <c r="R837" i="48"/>
  <c r="Q837" i="48"/>
  <c r="O837" i="48"/>
  <c r="P837" i="48"/>
  <c r="S837" i="48"/>
  <c r="O1462" i="48"/>
  <c r="R1462" i="48"/>
  <c r="P1462" i="48"/>
  <c r="Q1462" i="48"/>
  <c r="S1462" i="48"/>
  <c r="Q1276" i="48"/>
  <c r="S1276" i="48"/>
  <c r="R1276" i="48"/>
  <c r="P1276" i="48"/>
  <c r="O1276" i="48"/>
  <c r="Q1325" i="48"/>
  <c r="S1325" i="48"/>
  <c r="R1325" i="48"/>
  <c r="O1325" i="48"/>
  <c r="P1325" i="48"/>
  <c r="Q1971" i="48"/>
  <c r="P1971" i="48"/>
  <c r="S1971" i="48"/>
  <c r="R1971" i="48"/>
  <c r="O1971" i="48"/>
  <c r="R2025" i="48"/>
  <c r="O2025" i="48"/>
  <c r="Q2025" i="48"/>
  <c r="P2025" i="48"/>
  <c r="S2025" i="48"/>
  <c r="O1621" i="48"/>
  <c r="Q1621" i="48"/>
  <c r="P1621" i="48"/>
  <c r="S1621" i="48"/>
  <c r="R1621" i="48"/>
  <c r="Q1575" i="48"/>
  <c r="P1575" i="48"/>
  <c r="O1575" i="48"/>
  <c r="S1575" i="48"/>
  <c r="R1575" i="48"/>
  <c r="O1471" i="48"/>
  <c r="R1471" i="48"/>
  <c r="S1471" i="48"/>
  <c r="Q1471" i="48"/>
  <c r="P1471" i="48"/>
  <c r="Q1249" i="48"/>
  <c r="O1249" i="48"/>
  <c r="S1249" i="48"/>
  <c r="R1249" i="48"/>
  <c r="P1249" i="48"/>
  <c r="Q1317" i="48"/>
  <c r="S1317" i="48"/>
  <c r="R1317" i="48"/>
  <c r="O1317" i="48"/>
  <c r="P1317" i="48"/>
  <c r="P1185" i="48"/>
  <c r="O1185" i="48"/>
  <c r="S1185" i="48"/>
  <c r="Q1185" i="48"/>
  <c r="R1185" i="48"/>
  <c r="R800" i="48"/>
  <c r="S800" i="48"/>
  <c r="Q800" i="48"/>
  <c r="P800" i="48"/>
  <c r="O800" i="48"/>
  <c r="R869" i="48"/>
  <c r="Q869" i="48"/>
  <c r="P869" i="48"/>
  <c r="S869" i="48"/>
  <c r="O869" i="48"/>
  <c r="O1642" i="48"/>
  <c r="R1642" i="48"/>
  <c r="Q1642" i="48"/>
  <c r="P1642" i="48"/>
  <c r="S1642" i="48"/>
  <c r="O1510" i="48"/>
  <c r="R1510" i="48"/>
  <c r="P1510" i="48"/>
  <c r="Q1510" i="48"/>
  <c r="S1510" i="48"/>
  <c r="O1499" i="48"/>
  <c r="R1499" i="48"/>
  <c r="S1499" i="48"/>
  <c r="Q1499" i="48"/>
  <c r="P1499" i="48"/>
  <c r="O1180" i="48"/>
  <c r="R1180" i="48"/>
  <c r="S1180" i="48"/>
  <c r="Q1180" i="48"/>
  <c r="P1180" i="48"/>
  <c r="R2040" i="48"/>
  <c r="S2040" i="48"/>
  <c r="Q2040" i="48"/>
  <c r="P2040" i="48"/>
  <c r="O2040" i="48"/>
  <c r="O1638" i="48"/>
  <c r="R1638" i="48"/>
  <c r="Q1638" i="48"/>
  <c r="P1638" i="48"/>
  <c r="S1638" i="48"/>
  <c r="O1465" i="48"/>
  <c r="R1465" i="48"/>
  <c r="Q1465" i="48"/>
  <c r="P1465" i="48"/>
  <c r="S1465" i="48"/>
  <c r="O1492" i="48"/>
  <c r="R1492" i="48"/>
  <c r="S1492" i="48"/>
  <c r="Q1492" i="48"/>
  <c r="P1492" i="48"/>
  <c r="S1237" i="48"/>
  <c r="P1237" i="48"/>
  <c r="Q1237" i="48"/>
  <c r="O1237" i="48"/>
  <c r="R1237" i="48"/>
  <c r="Q1300" i="48"/>
  <c r="S1300" i="48"/>
  <c r="R1300" i="48"/>
  <c r="P1300" i="48"/>
  <c r="O1300" i="48"/>
  <c r="Q1270" i="48"/>
  <c r="S1270" i="48"/>
  <c r="O1270" i="48"/>
  <c r="R1270" i="48"/>
  <c r="P1270" i="48"/>
  <c r="R776" i="48"/>
  <c r="S776" i="48"/>
  <c r="Q776" i="48"/>
  <c r="P776" i="48"/>
  <c r="O776" i="48"/>
  <c r="R853" i="48"/>
  <c r="Q853" i="48"/>
  <c r="P853" i="48"/>
  <c r="S853" i="48"/>
  <c r="O853" i="48"/>
  <c r="S1208" i="48"/>
  <c r="R1208" i="48"/>
  <c r="Q1208" i="48"/>
  <c r="O1208" i="48"/>
  <c r="P1208" i="48"/>
  <c r="O1581" i="48"/>
  <c r="S1581" i="48"/>
  <c r="P1581" i="48"/>
  <c r="R1581" i="48"/>
  <c r="Q1581" i="48"/>
  <c r="R938" i="48"/>
  <c r="Q938" i="48"/>
  <c r="P938" i="48"/>
  <c r="S938" i="48"/>
  <c r="O938" i="48"/>
  <c r="S1596" i="48"/>
  <c r="Q1596" i="48"/>
  <c r="P1596" i="48"/>
  <c r="O1596" i="48"/>
  <c r="R1596" i="48"/>
  <c r="O1862" i="48"/>
  <c r="R1862" i="48"/>
  <c r="S1862" i="48"/>
  <c r="Q1862" i="48"/>
  <c r="P1862" i="48"/>
  <c r="R779" i="48"/>
  <c r="Q779" i="48"/>
  <c r="S779" i="48"/>
  <c r="P779" i="48"/>
  <c r="O779" i="48"/>
  <c r="O1865" i="48"/>
  <c r="R1865" i="48"/>
  <c r="P1865" i="48"/>
  <c r="Q1865" i="48"/>
  <c r="S1865" i="48"/>
  <c r="O1493" i="48"/>
  <c r="R1493" i="48"/>
  <c r="Q1493" i="48"/>
  <c r="P1493" i="48"/>
  <c r="S1493" i="48"/>
  <c r="O1520" i="48"/>
  <c r="R1520" i="48"/>
  <c r="S1520" i="48"/>
  <c r="Q1520" i="48"/>
  <c r="P1520" i="48"/>
  <c r="Q1287" i="48"/>
  <c r="P1287" i="48"/>
  <c r="S1287" i="48"/>
  <c r="R1287" i="48"/>
  <c r="O1287" i="48"/>
  <c r="Q1356" i="48"/>
  <c r="S1356" i="48"/>
  <c r="R1356" i="48"/>
  <c r="P1356" i="48"/>
  <c r="O1356" i="48"/>
  <c r="Q1225" i="48"/>
  <c r="P1225" i="48"/>
  <c r="O1225" i="48"/>
  <c r="S1225" i="48"/>
  <c r="R1225" i="48"/>
  <c r="R848" i="48"/>
  <c r="Q848" i="48"/>
  <c r="P848" i="48"/>
  <c r="S848" i="48"/>
  <c r="O848" i="48"/>
  <c r="S1189" i="48"/>
  <c r="R1189" i="48"/>
  <c r="O1189" i="48"/>
  <c r="Q1189" i="48"/>
  <c r="P1189" i="48"/>
  <c r="R1012" i="48"/>
  <c r="Q1012" i="48"/>
  <c r="P1012" i="48"/>
  <c r="S1012" i="48"/>
  <c r="O1012" i="48"/>
  <c r="S585" i="48"/>
  <c r="R585" i="48"/>
  <c r="O585" i="48"/>
  <c r="P585" i="48"/>
  <c r="Q585" i="48"/>
  <c r="S625" i="48"/>
  <c r="R625" i="48"/>
  <c r="O625" i="48"/>
  <c r="P625" i="48"/>
  <c r="Q625" i="48"/>
  <c r="S595" i="48"/>
  <c r="R595" i="48"/>
  <c r="O595" i="48"/>
  <c r="P595" i="48"/>
  <c r="Q595" i="48"/>
  <c r="R846" i="48"/>
  <c r="Q846" i="48"/>
  <c r="O846" i="48"/>
  <c r="S846" i="48"/>
  <c r="P846" i="48"/>
  <c r="S732" i="48"/>
  <c r="P732" i="48"/>
  <c r="R732" i="48"/>
  <c r="Q732" i="48"/>
  <c r="O732" i="48"/>
  <c r="S752" i="48"/>
  <c r="P752" i="48"/>
  <c r="R752" i="48"/>
  <c r="Q752" i="48"/>
  <c r="O752" i="48"/>
  <c r="R814" i="48"/>
  <c r="Q814" i="48"/>
  <c r="P814" i="48"/>
  <c r="O814" i="48"/>
  <c r="S814" i="48"/>
  <c r="S623" i="48"/>
  <c r="R623" i="48"/>
  <c r="O623" i="48"/>
  <c r="Q623" i="48"/>
  <c r="P623" i="48"/>
  <c r="R983" i="48"/>
  <c r="Q983" i="48"/>
  <c r="P983" i="48"/>
  <c r="S983" i="48"/>
  <c r="O983" i="48"/>
  <c r="P680" i="48"/>
  <c r="S680" i="48"/>
  <c r="O680" i="48"/>
  <c r="Q680" i="48"/>
  <c r="R680" i="48"/>
  <c r="S602" i="48"/>
  <c r="R602" i="48"/>
  <c r="O602" i="48"/>
  <c r="Q602" i="48"/>
  <c r="P602" i="48"/>
  <c r="Q654" i="48"/>
  <c r="P654" i="48"/>
  <c r="O654" i="48"/>
  <c r="R654" i="48"/>
  <c r="S654" i="48"/>
  <c r="S631" i="48"/>
  <c r="R631" i="48"/>
  <c r="O631" i="48"/>
  <c r="Q631" i="48"/>
  <c r="P631" i="48"/>
  <c r="Q1059" i="48"/>
  <c r="P1059" i="48"/>
  <c r="O1059" i="48"/>
  <c r="S1059" i="48"/>
  <c r="R1059" i="48"/>
  <c r="S560" i="48"/>
  <c r="R560" i="48"/>
  <c r="O560" i="48"/>
  <c r="Q560" i="48"/>
  <c r="P560" i="48"/>
  <c r="S624" i="48"/>
  <c r="R624" i="48"/>
  <c r="O624" i="48"/>
  <c r="Q624" i="48"/>
  <c r="P624" i="48"/>
  <c r="S683" i="48"/>
  <c r="P683" i="48"/>
  <c r="R683" i="48"/>
  <c r="Q683" i="48"/>
  <c r="O683" i="48"/>
  <c r="S715" i="48"/>
  <c r="P715" i="48"/>
  <c r="R715" i="48"/>
  <c r="Q715" i="48"/>
  <c r="O715" i="48"/>
  <c r="S747" i="48"/>
  <c r="P747" i="48"/>
  <c r="R747" i="48"/>
  <c r="Q747" i="48"/>
  <c r="O747" i="48"/>
  <c r="R870" i="48"/>
  <c r="Q870" i="48"/>
  <c r="P870" i="48"/>
  <c r="O870" i="48"/>
  <c r="S870" i="48"/>
  <c r="Q1127" i="48"/>
  <c r="P1127" i="48"/>
  <c r="O1127" i="48"/>
  <c r="S1127" i="48"/>
  <c r="R1127" i="48"/>
  <c r="S590" i="48"/>
  <c r="R590" i="48"/>
  <c r="O590" i="48"/>
  <c r="Q590" i="48"/>
  <c r="P590" i="48"/>
  <c r="Q652" i="48"/>
  <c r="P652" i="48"/>
  <c r="O652" i="48"/>
  <c r="S652" i="48"/>
  <c r="R652" i="48"/>
  <c r="S706" i="48"/>
  <c r="P706" i="48"/>
  <c r="R706" i="48"/>
  <c r="Q706" i="48"/>
  <c r="O706" i="48"/>
  <c r="S738" i="48"/>
  <c r="P738" i="48"/>
  <c r="R738" i="48"/>
  <c r="Q738" i="48"/>
  <c r="O738" i="48"/>
  <c r="R886" i="48"/>
  <c r="Q886" i="48"/>
  <c r="P886" i="48"/>
  <c r="O886" i="48"/>
  <c r="S886" i="48"/>
  <c r="S573" i="48"/>
  <c r="R573" i="48"/>
  <c r="O573" i="48"/>
  <c r="P573" i="48"/>
  <c r="Q573" i="48"/>
  <c r="S637" i="48"/>
  <c r="R637" i="48"/>
  <c r="O637" i="48"/>
  <c r="P637" i="48"/>
  <c r="Q637" i="48"/>
  <c r="Q1051" i="48"/>
  <c r="P1051" i="48"/>
  <c r="O1051" i="48"/>
  <c r="S1051" i="48"/>
  <c r="R1051" i="48"/>
  <c r="S556" i="48"/>
  <c r="R556" i="48"/>
  <c r="O556" i="48"/>
  <c r="P556" i="48"/>
  <c r="Q556" i="48"/>
  <c r="S620" i="48"/>
  <c r="R620" i="48"/>
  <c r="O620" i="48"/>
  <c r="P620" i="48"/>
  <c r="Q620" i="48"/>
  <c r="S693" i="48"/>
  <c r="P693" i="48"/>
  <c r="R693" i="48"/>
  <c r="Q693" i="48"/>
  <c r="O693" i="48"/>
  <c r="S725" i="48"/>
  <c r="P725" i="48"/>
  <c r="R725" i="48"/>
  <c r="Q725" i="48"/>
  <c r="O725" i="48"/>
  <c r="S757" i="48"/>
  <c r="P757" i="48"/>
  <c r="R757" i="48"/>
  <c r="Q757" i="48"/>
  <c r="O757" i="48"/>
  <c r="R793" i="48"/>
  <c r="S793" i="48"/>
  <c r="O793" i="48"/>
  <c r="Q793" i="48"/>
  <c r="P793" i="48"/>
  <c r="R931" i="48"/>
  <c r="Q931" i="48"/>
  <c r="P931" i="48"/>
  <c r="S931" i="48"/>
  <c r="O931" i="48"/>
  <c r="P677" i="48"/>
  <c r="Q677" i="48"/>
  <c r="O677" i="48"/>
  <c r="S677" i="48"/>
  <c r="R677" i="48"/>
  <c r="R806" i="48"/>
  <c r="Q806" i="48"/>
  <c r="P806" i="48"/>
  <c r="O806" i="48"/>
  <c r="S806" i="48"/>
  <c r="R843" i="48"/>
  <c r="Q843" i="48"/>
  <c r="P843" i="48"/>
  <c r="O843" i="48"/>
  <c r="S843" i="48"/>
  <c r="R971" i="48"/>
  <c r="Q971" i="48"/>
  <c r="P971" i="48"/>
  <c r="S971" i="48"/>
  <c r="O971" i="48"/>
  <c r="Q1064" i="48"/>
  <c r="P1064" i="48"/>
  <c r="O1064" i="48"/>
  <c r="S1064" i="48"/>
  <c r="R1064" i="48"/>
  <c r="Q1096" i="48"/>
  <c r="P1096" i="48"/>
  <c r="O1096" i="48"/>
  <c r="S1096" i="48"/>
  <c r="R1096" i="48"/>
  <c r="Q1128" i="48"/>
  <c r="P1128" i="48"/>
  <c r="O1128" i="48"/>
  <c r="S1128" i="48"/>
  <c r="R1128" i="48"/>
  <c r="Q1160" i="48"/>
  <c r="P1160" i="48"/>
  <c r="O1160" i="48"/>
  <c r="S1160" i="48"/>
  <c r="R1160" i="48"/>
  <c r="R862" i="48"/>
  <c r="Q862" i="48"/>
  <c r="P862" i="48"/>
  <c r="O862" i="48"/>
  <c r="S862" i="48"/>
  <c r="R900" i="48"/>
  <c r="Q900" i="48"/>
  <c r="P900" i="48"/>
  <c r="S900" i="48"/>
  <c r="O900" i="48"/>
  <c r="R943" i="48"/>
  <c r="Q943" i="48"/>
  <c r="P943" i="48"/>
  <c r="S943" i="48"/>
  <c r="O943" i="48"/>
  <c r="R991" i="48"/>
  <c r="Q991" i="48"/>
  <c r="P991" i="48"/>
  <c r="S991" i="48"/>
  <c r="O991" i="48"/>
  <c r="Q1053" i="48"/>
  <c r="P1053" i="48"/>
  <c r="O1053" i="48"/>
  <c r="S1053" i="48"/>
  <c r="R1053" i="48"/>
  <c r="Q1085" i="48"/>
  <c r="P1085" i="48"/>
  <c r="O1085" i="48"/>
  <c r="S1085" i="48"/>
  <c r="R1085" i="48"/>
  <c r="Q1117" i="48"/>
  <c r="P1117" i="48"/>
  <c r="O1117" i="48"/>
  <c r="S1117" i="48"/>
  <c r="R1117" i="48"/>
  <c r="Q1149" i="48"/>
  <c r="P1149" i="48"/>
  <c r="O1149" i="48"/>
  <c r="S1149" i="48"/>
  <c r="R1149" i="48"/>
  <c r="S1019" i="48"/>
  <c r="P1019" i="48"/>
  <c r="O1019" i="48"/>
  <c r="R1019" i="48"/>
  <c r="Q1019" i="48"/>
  <c r="Q1062" i="48"/>
  <c r="P1062" i="48"/>
  <c r="O1062" i="48"/>
  <c r="S1062" i="48"/>
  <c r="R1062" i="48"/>
  <c r="Q1094" i="48"/>
  <c r="P1094" i="48"/>
  <c r="O1094" i="48"/>
  <c r="S1094" i="48"/>
  <c r="R1094" i="48"/>
  <c r="Q1126" i="48"/>
  <c r="P1126" i="48"/>
  <c r="O1126" i="48"/>
  <c r="S1126" i="48"/>
  <c r="R1126" i="48"/>
  <c r="Q1158" i="48"/>
  <c r="P1158" i="48"/>
  <c r="O1158" i="48"/>
  <c r="S1158" i="48"/>
  <c r="R1158" i="48"/>
  <c r="S1433" i="48"/>
  <c r="R1433" i="48"/>
  <c r="O1433" i="48"/>
  <c r="P1433" i="48"/>
  <c r="Q1433" i="48"/>
  <c r="O1032" i="48"/>
  <c r="Q1032" i="48"/>
  <c r="P1032" i="48"/>
  <c r="S1032" i="48"/>
  <c r="R1032" i="48"/>
  <c r="O1040" i="48"/>
  <c r="Q1040" i="48"/>
  <c r="P1040" i="48"/>
  <c r="S1040" i="48"/>
  <c r="R1040" i="48"/>
  <c r="S1378" i="48"/>
  <c r="R1378" i="48"/>
  <c r="O1378" i="48"/>
  <c r="P1378" i="48"/>
  <c r="Q1378" i="48"/>
  <c r="S1704" i="48"/>
  <c r="P1704" i="48"/>
  <c r="R1704" i="48"/>
  <c r="Q1704" i="48"/>
  <c r="O1704" i="48"/>
  <c r="S1370" i="48"/>
  <c r="R1370" i="48"/>
  <c r="O1370" i="48"/>
  <c r="Q1370" i="48"/>
  <c r="P1370" i="48"/>
  <c r="S1392" i="48"/>
  <c r="R1392" i="48"/>
  <c r="O1392" i="48"/>
  <c r="P1392" i="48"/>
  <c r="Q1392" i="48"/>
  <c r="S1382" i="48"/>
  <c r="R1382" i="48"/>
  <c r="O1382" i="48"/>
  <c r="Q1382" i="48"/>
  <c r="P1382" i="48"/>
  <c r="R1405" i="48"/>
  <c r="S1405" i="48"/>
  <c r="Q1405" i="48"/>
  <c r="P1405" i="48"/>
  <c r="O1405" i="48"/>
  <c r="P1359" i="48"/>
  <c r="O1359" i="48"/>
  <c r="S1359" i="48"/>
  <c r="R1359" i="48"/>
  <c r="Q1359" i="48"/>
  <c r="P1375" i="48"/>
  <c r="O1375" i="48"/>
  <c r="S1375" i="48"/>
  <c r="R1375" i="48"/>
  <c r="Q1375" i="48"/>
  <c r="P1391" i="48"/>
  <c r="O1391" i="48"/>
  <c r="S1391" i="48"/>
  <c r="R1391" i="48"/>
  <c r="Q1391" i="48"/>
  <c r="S1586" i="48"/>
  <c r="R1586" i="48"/>
  <c r="Q1586" i="48"/>
  <c r="O1586" i="48"/>
  <c r="P1586" i="48"/>
  <c r="R1400" i="48"/>
  <c r="Q1400" i="48"/>
  <c r="S1400" i="48"/>
  <c r="P1400" i="48"/>
  <c r="O1400" i="48"/>
  <c r="P1548" i="48"/>
  <c r="S1548" i="48"/>
  <c r="O1548" i="48"/>
  <c r="R1548" i="48"/>
  <c r="Q1548" i="48"/>
  <c r="P1546" i="48"/>
  <c r="S1546" i="48"/>
  <c r="O1546" i="48"/>
  <c r="Q1546" i="48"/>
  <c r="R1546" i="48"/>
  <c r="S1719" i="48"/>
  <c r="P1719" i="48"/>
  <c r="R1719" i="48"/>
  <c r="Q1719" i="48"/>
  <c r="O1719" i="48"/>
  <c r="S1673" i="48"/>
  <c r="P1673" i="48"/>
  <c r="R1673" i="48"/>
  <c r="Q1673" i="48"/>
  <c r="O1673" i="48"/>
  <c r="S1680" i="48"/>
  <c r="P1680" i="48"/>
  <c r="R1680" i="48"/>
  <c r="Q1680" i="48"/>
  <c r="O1680" i="48"/>
  <c r="Q1815" i="48"/>
  <c r="P1815" i="48"/>
  <c r="O1815" i="48"/>
  <c r="S1815" i="48"/>
  <c r="R1815" i="48"/>
  <c r="S1717" i="48"/>
  <c r="P1717" i="48"/>
  <c r="R1717" i="48"/>
  <c r="Q1717" i="48"/>
  <c r="O1717" i="48"/>
  <c r="S1693" i="48"/>
  <c r="P1693" i="48"/>
  <c r="R1693" i="48"/>
  <c r="Q1693" i="48"/>
  <c r="O1693" i="48"/>
  <c r="S1676" i="48"/>
  <c r="P1676" i="48"/>
  <c r="R1676" i="48"/>
  <c r="Q1676" i="48"/>
  <c r="O1676" i="48"/>
  <c r="S1740" i="48"/>
  <c r="P1740" i="48"/>
  <c r="R1740" i="48"/>
  <c r="Q1740" i="48"/>
  <c r="O1740" i="48"/>
  <c r="S1691" i="48"/>
  <c r="P1691" i="48"/>
  <c r="R1691" i="48"/>
  <c r="Q1691" i="48"/>
  <c r="O1691" i="48"/>
  <c r="S1741" i="48"/>
  <c r="P1741" i="48"/>
  <c r="R1741" i="48"/>
  <c r="Q1741" i="48"/>
  <c r="O1741" i="48"/>
  <c r="S1749" i="48"/>
  <c r="P1749" i="48"/>
  <c r="R1749" i="48"/>
  <c r="Q1749" i="48"/>
  <c r="O1749" i="48"/>
  <c r="P1759" i="48"/>
  <c r="R1759" i="48"/>
  <c r="Q1759" i="48"/>
  <c r="O1759" i="48"/>
  <c r="S1759" i="48"/>
  <c r="O1870" i="48"/>
  <c r="S1870" i="48"/>
  <c r="P1870" i="48"/>
  <c r="R1870" i="48"/>
  <c r="Q1870" i="48"/>
  <c r="P1654" i="48"/>
  <c r="O1654" i="48"/>
  <c r="S1654" i="48"/>
  <c r="Q1654" i="48"/>
  <c r="R1654" i="48"/>
  <c r="Q1824" i="48"/>
  <c r="P1824" i="48"/>
  <c r="O1824" i="48"/>
  <c r="S1824" i="48"/>
  <c r="R1824" i="48"/>
  <c r="Q1818" i="48"/>
  <c r="P1818" i="48"/>
  <c r="O1818" i="48"/>
  <c r="S1818" i="48"/>
  <c r="R1818" i="48"/>
  <c r="S1765" i="48"/>
  <c r="P1765" i="48"/>
  <c r="O1765" i="48"/>
  <c r="R1765" i="48"/>
  <c r="Q1765" i="48"/>
  <c r="S1773" i="48"/>
  <c r="P1773" i="48"/>
  <c r="O1773" i="48"/>
  <c r="R1773" i="48"/>
  <c r="Q1773" i="48"/>
  <c r="S1781" i="48"/>
  <c r="P1781" i="48"/>
  <c r="O1781" i="48"/>
  <c r="R1781" i="48"/>
  <c r="Q1781" i="48"/>
  <c r="S1789" i="48"/>
  <c r="P1789" i="48"/>
  <c r="O1789" i="48"/>
  <c r="R1789" i="48"/>
  <c r="Q1789" i="48"/>
  <c r="S1797" i="48"/>
  <c r="P1797" i="48"/>
  <c r="O1797" i="48"/>
  <c r="R1797" i="48"/>
  <c r="Q1797" i="48"/>
  <c r="Q1825" i="48"/>
  <c r="P1825" i="48"/>
  <c r="O1825" i="48"/>
  <c r="S1825" i="48"/>
  <c r="R1825" i="48"/>
  <c r="O1806" i="48"/>
  <c r="S1806" i="48"/>
  <c r="R1806" i="48"/>
  <c r="Q1806" i="48"/>
  <c r="P1806" i="48"/>
  <c r="Q1936" i="48"/>
  <c r="P1936" i="48"/>
  <c r="S1936" i="48"/>
  <c r="R1936" i="48"/>
  <c r="O1936" i="48"/>
  <c r="Q1932" i="48"/>
  <c r="P1932" i="48"/>
  <c r="R1932" i="48"/>
  <c r="O1932" i="48"/>
  <c r="S1932" i="48"/>
  <c r="P1922" i="48"/>
  <c r="S1922" i="48"/>
  <c r="R1922" i="48"/>
  <c r="Q1922" i="48"/>
  <c r="O1922" i="48"/>
  <c r="S1962" i="48"/>
  <c r="P1962" i="48"/>
  <c r="R1962" i="48"/>
  <c r="Q1962" i="48"/>
  <c r="O1962" i="48"/>
  <c r="S1907" i="48"/>
  <c r="P1907" i="48"/>
  <c r="O1907" i="48"/>
  <c r="Q1907" i="48"/>
  <c r="R1907" i="48"/>
  <c r="Q1944" i="48"/>
  <c r="P1944" i="48"/>
  <c r="O1944" i="48"/>
  <c r="S1944" i="48"/>
  <c r="R1944" i="48"/>
  <c r="S1939" i="48"/>
  <c r="P1939" i="48"/>
  <c r="Q1939" i="48"/>
  <c r="O1939" i="48"/>
  <c r="R1939" i="48"/>
  <c r="Q1911" i="48"/>
  <c r="R1911" i="48"/>
  <c r="S1911" i="48"/>
  <c r="P1911" i="48"/>
  <c r="O1911" i="48"/>
  <c r="P1923" i="48"/>
  <c r="R1923" i="48"/>
  <c r="S1923" i="48"/>
  <c r="Q1923" i="48"/>
  <c r="O1923" i="48"/>
  <c r="S1957" i="48"/>
  <c r="P1957" i="48"/>
  <c r="R1957" i="48"/>
  <c r="Q1957" i="48"/>
  <c r="O1957" i="48"/>
  <c r="P1969" i="48"/>
  <c r="S1969" i="48"/>
  <c r="R1969" i="48"/>
  <c r="Q1969" i="48"/>
  <c r="O1969" i="48"/>
  <c r="Q1993" i="48"/>
  <c r="P1993" i="48"/>
  <c r="O1993" i="48"/>
  <c r="S1993" i="48"/>
  <c r="R1993" i="48"/>
  <c r="Q1987" i="48"/>
  <c r="R1987" i="48"/>
  <c r="P1987" i="48"/>
  <c r="S1987" i="48"/>
  <c r="O1987" i="48"/>
  <c r="Q1997" i="48"/>
  <c r="P1997" i="48"/>
  <c r="O1997" i="48"/>
  <c r="R1997" i="48"/>
  <c r="S1997" i="48"/>
  <c r="Q2021" i="48"/>
  <c r="P2021" i="48"/>
  <c r="O2021" i="48"/>
  <c r="S2021" i="48"/>
  <c r="R2021" i="48"/>
  <c r="Q2022" i="48"/>
  <c r="P2022" i="48"/>
  <c r="O2022" i="48"/>
  <c r="S2022" i="48"/>
  <c r="R2022" i="48"/>
  <c r="S2030" i="48"/>
  <c r="R2030" i="48"/>
  <c r="O2030" i="48"/>
  <c r="Q2030" i="48"/>
  <c r="P2030" i="48"/>
  <c r="S2038" i="48"/>
  <c r="P2038" i="48"/>
  <c r="R2038" i="48"/>
  <c r="Q2038" i="48"/>
  <c r="O2038" i="48"/>
  <c r="R960" i="48"/>
  <c r="Q960" i="48"/>
  <c r="P960" i="48"/>
  <c r="S960" i="48"/>
  <c r="O960" i="48"/>
  <c r="R772" i="48"/>
  <c r="O772" i="48"/>
  <c r="S772" i="48"/>
  <c r="P772" i="48"/>
  <c r="Q772" i="48"/>
  <c r="Q1329" i="48"/>
  <c r="O1329" i="48"/>
  <c r="S1329" i="48"/>
  <c r="R1329" i="48"/>
  <c r="P1329" i="48"/>
  <c r="R905" i="48"/>
  <c r="Q905" i="48"/>
  <c r="P905" i="48"/>
  <c r="O905" i="48"/>
  <c r="S905" i="48"/>
  <c r="O1539" i="48"/>
  <c r="R1539" i="48"/>
  <c r="S1539" i="48"/>
  <c r="Q1539" i="48"/>
  <c r="P1539" i="48"/>
  <c r="Q1350" i="48"/>
  <c r="S1350" i="48"/>
  <c r="O1350" i="48"/>
  <c r="R1350" i="48"/>
  <c r="P1350" i="48"/>
  <c r="S1243" i="48"/>
  <c r="R1243" i="48"/>
  <c r="Q1243" i="48"/>
  <c r="P1243" i="48"/>
  <c r="O1243" i="48"/>
  <c r="Q1199" i="48"/>
  <c r="S1199" i="48"/>
  <c r="O1199" i="48"/>
  <c r="P1199" i="48"/>
  <c r="R1199" i="48"/>
  <c r="R861" i="48"/>
  <c r="Q861" i="48"/>
  <c r="P861" i="48"/>
  <c r="S861" i="48"/>
  <c r="O861" i="48"/>
  <c r="P1549" i="48"/>
  <c r="Q1549" i="48"/>
  <c r="O1549" i="48"/>
  <c r="R1549" i="48"/>
  <c r="S1549" i="48"/>
  <c r="R970" i="48"/>
  <c r="Q970" i="48"/>
  <c r="P970" i="48"/>
  <c r="S970" i="48"/>
  <c r="O970" i="48"/>
  <c r="Q1569" i="48"/>
  <c r="P1569" i="48"/>
  <c r="O1569" i="48"/>
  <c r="R1569" i="48"/>
  <c r="S1569" i="48"/>
  <c r="O1859" i="48"/>
  <c r="R1859" i="48"/>
  <c r="Q1859" i="48"/>
  <c r="P1859" i="48"/>
  <c r="S1859" i="48"/>
  <c r="O1231" i="48"/>
  <c r="R1231" i="48"/>
  <c r="Q1231" i="48"/>
  <c r="S1231" i="48"/>
  <c r="P1231" i="48"/>
  <c r="R997" i="48"/>
  <c r="Q997" i="48"/>
  <c r="P997" i="48"/>
  <c r="S997" i="48"/>
  <c r="O997" i="48"/>
  <c r="Q1340" i="48"/>
  <c r="S1340" i="48"/>
  <c r="R1340" i="48"/>
  <c r="P1340" i="48"/>
  <c r="O1340" i="48"/>
  <c r="Q1563" i="48"/>
  <c r="P1563" i="48"/>
  <c r="O1563" i="48"/>
  <c r="S1563" i="48"/>
  <c r="R1563" i="48"/>
  <c r="R877" i="48"/>
  <c r="Q877" i="48"/>
  <c r="P877" i="48"/>
  <c r="S877" i="48"/>
  <c r="O877" i="48"/>
  <c r="S748" i="48"/>
  <c r="P748" i="48"/>
  <c r="R748" i="48"/>
  <c r="Q748" i="48"/>
  <c r="O748" i="48"/>
  <c r="S688" i="48"/>
  <c r="P688" i="48"/>
  <c r="R688" i="48"/>
  <c r="Q688" i="48"/>
  <c r="O688" i="48"/>
  <c r="R956" i="48"/>
  <c r="Q956" i="48"/>
  <c r="P956" i="48"/>
  <c r="S956" i="48"/>
  <c r="O956" i="48"/>
  <c r="Q1119" i="48"/>
  <c r="P1119" i="48"/>
  <c r="O1119" i="48"/>
  <c r="S1119" i="48"/>
  <c r="R1119" i="48"/>
  <c r="S707" i="48"/>
  <c r="P707" i="48"/>
  <c r="R707" i="48"/>
  <c r="Q707" i="48"/>
  <c r="O707" i="48"/>
  <c r="S698" i="48"/>
  <c r="P698" i="48"/>
  <c r="R698" i="48"/>
  <c r="Q698" i="48"/>
  <c r="O698" i="48"/>
  <c r="S621" i="48"/>
  <c r="R621" i="48"/>
  <c r="O621" i="48"/>
  <c r="P621" i="48"/>
  <c r="Q621" i="48"/>
  <c r="S685" i="48"/>
  <c r="P685" i="48"/>
  <c r="R685" i="48"/>
  <c r="Q685" i="48"/>
  <c r="O685" i="48"/>
  <c r="R899" i="48"/>
  <c r="Q899" i="48"/>
  <c r="P899" i="48"/>
  <c r="S899" i="48"/>
  <c r="O899" i="48"/>
  <c r="R939" i="48"/>
  <c r="Q939" i="48"/>
  <c r="P939" i="48"/>
  <c r="S939" i="48"/>
  <c r="O939" i="48"/>
  <c r="Q1152" i="48"/>
  <c r="P1152" i="48"/>
  <c r="O1152" i="48"/>
  <c r="S1152" i="48"/>
  <c r="R1152" i="48"/>
  <c r="R975" i="48"/>
  <c r="Q975" i="48"/>
  <c r="P975" i="48"/>
  <c r="S975" i="48"/>
  <c r="O975" i="48"/>
  <c r="Q1141" i="48"/>
  <c r="P1141" i="48"/>
  <c r="O1141" i="48"/>
  <c r="S1141" i="48"/>
  <c r="R1141" i="48"/>
  <c r="Q1118" i="48"/>
  <c r="P1118" i="48"/>
  <c r="O1118" i="48"/>
  <c r="S1118" i="48"/>
  <c r="R1118" i="48"/>
  <c r="O1038" i="48"/>
  <c r="Q1038" i="48"/>
  <c r="P1038" i="48"/>
  <c r="S1038" i="48"/>
  <c r="R1038" i="48"/>
  <c r="S1360" i="48"/>
  <c r="R1360" i="48"/>
  <c r="O1360" i="48"/>
  <c r="P1360" i="48"/>
  <c r="Q1360" i="48"/>
  <c r="P1371" i="48"/>
  <c r="O1371" i="48"/>
  <c r="S1371" i="48"/>
  <c r="Q1371" i="48"/>
  <c r="R1371" i="48"/>
  <c r="S1443" i="48"/>
  <c r="R1443" i="48"/>
  <c r="O1443" i="48"/>
  <c r="Q1443" i="48"/>
  <c r="P1443" i="48"/>
  <c r="P1651" i="48"/>
  <c r="S1651" i="48"/>
  <c r="R1651" i="48"/>
  <c r="Q1651" i="48"/>
  <c r="O1651" i="48"/>
  <c r="S1660" i="48"/>
  <c r="P1660" i="48"/>
  <c r="R1660" i="48"/>
  <c r="Q1660" i="48"/>
  <c r="O1660" i="48"/>
  <c r="S1739" i="48"/>
  <c r="P1739" i="48"/>
  <c r="R1739" i="48"/>
  <c r="Q1739" i="48"/>
  <c r="O1739" i="48"/>
  <c r="Q1816" i="48"/>
  <c r="P1816" i="48"/>
  <c r="O1816" i="48"/>
  <c r="S1816" i="48"/>
  <c r="R1816" i="48"/>
  <c r="S1779" i="48"/>
  <c r="P1779" i="48"/>
  <c r="O1779" i="48"/>
  <c r="R1779" i="48"/>
  <c r="Q1779" i="48"/>
  <c r="O1804" i="48"/>
  <c r="S1804" i="48"/>
  <c r="R1804" i="48"/>
  <c r="Q1804" i="48"/>
  <c r="P1804" i="48"/>
  <c r="P1916" i="48"/>
  <c r="S1916" i="48"/>
  <c r="R1916" i="48"/>
  <c r="Q1916" i="48"/>
  <c r="O1916" i="48"/>
  <c r="Q1909" i="48"/>
  <c r="R1909" i="48"/>
  <c r="P1909" i="48"/>
  <c r="O1909" i="48"/>
  <c r="S1909" i="48"/>
  <c r="P1968" i="48"/>
  <c r="O1968" i="48"/>
  <c r="S1968" i="48"/>
  <c r="Q1968" i="48"/>
  <c r="R1968" i="48"/>
  <c r="S2036" i="48"/>
  <c r="P2036" i="48"/>
  <c r="R2036" i="48"/>
  <c r="Q2036" i="48"/>
  <c r="O2036" i="48"/>
  <c r="Q1284" i="48"/>
  <c r="S1284" i="48"/>
  <c r="R1284" i="48"/>
  <c r="P1284" i="48"/>
  <c r="O1284" i="48"/>
  <c r="S1210" i="48"/>
  <c r="P1210" i="48"/>
  <c r="R1210" i="48"/>
  <c r="Q1210" i="48"/>
  <c r="O1210" i="48"/>
  <c r="O1618" i="48"/>
  <c r="R1618" i="48"/>
  <c r="Q1618" i="48"/>
  <c r="S1618" i="48"/>
  <c r="P1618" i="48"/>
  <c r="Q1332" i="48"/>
  <c r="S1332" i="48"/>
  <c r="R1332" i="48"/>
  <c r="P1332" i="48"/>
  <c r="O1332" i="48"/>
  <c r="R981" i="48"/>
  <c r="Q981" i="48"/>
  <c r="P981" i="48"/>
  <c r="S981" i="48"/>
  <c r="O981" i="48"/>
  <c r="O1509" i="48"/>
  <c r="R1509" i="48"/>
  <c r="Q1509" i="48"/>
  <c r="P1509" i="48"/>
  <c r="S1509" i="48"/>
  <c r="O1196" i="48"/>
  <c r="R1196" i="48"/>
  <c r="S1196" i="48"/>
  <c r="Q1196" i="48"/>
  <c r="P1196" i="48"/>
  <c r="Q1306" i="48"/>
  <c r="P1306" i="48"/>
  <c r="O1306" i="48"/>
  <c r="S1306" i="48"/>
  <c r="R1306" i="48"/>
  <c r="O1239" i="48"/>
  <c r="R1239" i="48"/>
  <c r="S1239" i="48"/>
  <c r="Q1239" i="48"/>
  <c r="P1239" i="48"/>
  <c r="R1001" i="48"/>
  <c r="Q1001" i="48"/>
  <c r="P1001" i="48"/>
  <c r="O1001" i="48"/>
  <c r="S1001" i="48"/>
  <c r="R969" i="48"/>
  <c r="Q969" i="48"/>
  <c r="P969" i="48"/>
  <c r="O969" i="48"/>
  <c r="S969" i="48"/>
  <c r="R845" i="48"/>
  <c r="Q845" i="48"/>
  <c r="O845" i="48"/>
  <c r="P845" i="48"/>
  <c r="S845" i="48"/>
  <c r="O1625" i="48"/>
  <c r="S1625" i="48"/>
  <c r="R1625" i="48"/>
  <c r="Q1625" i="48"/>
  <c r="P1625" i="48"/>
  <c r="O1188" i="48"/>
  <c r="R1188" i="48"/>
  <c r="S1188" i="48"/>
  <c r="P1188" i="48"/>
  <c r="Q1188" i="48"/>
  <c r="Q1261" i="48"/>
  <c r="S1261" i="48"/>
  <c r="R1261" i="48"/>
  <c r="O1261" i="48"/>
  <c r="P1261" i="48"/>
  <c r="Q1571" i="48"/>
  <c r="P1571" i="48"/>
  <c r="O1571" i="48"/>
  <c r="S1571" i="48"/>
  <c r="R1571" i="48"/>
  <c r="R1973" i="48"/>
  <c r="Q1973" i="48"/>
  <c r="P1973" i="48"/>
  <c r="O1973" i="48"/>
  <c r="S1973" i="48"/>
  <c r="O1460" i="48"/>
  <c r="R1460" i="48"/>
  <c r="S1460" i="48"/>
  <c r="Q1460" i="48"/>
  <c r="P1460" i="48"/>
  <c r="P1201" i="48"/>
  <c r="O1201" i="48"/>
  <c r="S1201" i="48"/>
  <c r="Q1201" i="48"/>
  <c r="R1201" i="48"/>
  <c r="O1487" i="48"/>
  <c r="R1487" i="48"/>
  <c r="S1487" i="48"/>
  <c r="Q1487" i="48"/>
  <c r="P1487" i="48"/>
  <c r="P1607" i="48"/>
  <c r="O1607" i="48"/>
  <c r="R1607" i="48"/>
  <c r="Q1607" i="48"/>
  <c r="S1607" i="48"/>
  <c r="O1461" i="48"/>
  <c r="R1461" i="48"/>
  <c r="Q1461" i="48"/>
  <c r="P1461" i="48"/>
  <c r="S1461" i="48"/>
  <c r="Q1292" i="48"/>
  <c r="S1292" i="48"/>
  <c r="R1292" i="48"/>
  <c r="P1292" i="48"/>
  <c r="O1292" i="48"/>
  <c r="R805" i="48"/>
  <c r="P805" i="48"/>
  <c r="O805" i="48"/>
  <c r="S805" i="48"/>
  <c r="Q805" i="48"/>
  <c r="S708" i="48"/>
  <c r="P708" i="48"/>
  <c r="R708" i="48"/>
  <c r="Q708" i="48"/>
  <c r="O708" i="48"/>
  <c r="R782" i="48"/>
  <c r="Q782" i="48"/>
  <c r="P782" i="48"/>
  <c r="O782" i="48"/>
  <c r="S782" i="48"/>
  <c r="S639" i="48"/>
  <c r="R639" i="48"/>
  <c r="O639" i="48"/>
  <c r="Q639" i="48"/>
  <c r="P639" i="48"/>
  <c r="S603" i="48"/>
  <c r="R603" i="48"/>
  <c r="O603" i="48"/>
  <c r="P603" i="48"/>
  <c r="Q603" i="48"/>
  <c r="Q1075" i="48"/>
  <c r="P1075" i="48"/>
  <c r="O1075" i="48"/>
  <c r="S1075" i="48"/>
  <c r="R1075" i="48"/>
  <c r="S687" i="48"/>
  <c r="P687" i="48"/>
  <c r="R687" i="48"/>
  <c r="Q687" i="48"/>
  <c r="O687" i="48"/>
  <c r="R934" i="48"/>
  <c r="Q934" i="48"/>
  <c r="P934" i="48"/>
  <c r="O934" i="48"/>
  <c r="S934" i="48"/>
  <c r="S665" i="48"/>
  <c r="P665" i="48"/>
  <c r="Q665" i="48"/>
  <c r="O665" i="48"/>
  <c r="R665" i="48"/>
  <c r="R924" i="48"/>
  <c r="Q924" i="48"/>
  <c r="P924" i="48"/>
  <c r="S924" i="48"/>
  <c r="O924" i="48"/>
  <c r="Q1067" i="48"/>
  <c r="P1067" i="48"/>
  <c r="O1067" i="48"/>
  <c r="S1067" i="48"/>
  <c r="R1067" i="48"/>
  <c r="S697" i="48"/>
  <c r="P697" i="48"/>
  <c r="R697" i="48"/>
  <c r="Q697" i="48"/>
  <c r="O697" i="48"/>
  <c r="R809" i="48"/>
  <c r="S809" i="48"/>
  <c r="O809" i="48"/>
  <c r="Q809" i="48"/>
  <c r="P809" i="48"/>
  <c r="R810" i="48"/>
  <c r="P810" i="48"/>
  <c r="Q810" i="48"/>
  <c r="O810" i="48"/>
  <c r="S810" i="48"/>
  <c r="Q1068" i="48"/>
  <c r="P1068" i="48"/>
  <c r="O1068" i="48"/>
  <c r="S1068" i="48"/>
  <c r="R1068" i="48"/>
  <c r="Q1164" i="48"/>
  <c r="P1164" i="48"/>
  <c r="O1164" i="48"/>
  <c r="S1164" i="48"/>
  <c r="R1164" i="48"/>
  <c r="R948" i="48"/>
  <c r="Q948" i="48"/>
  <c r="P948" i="48"/>
  <c r="S948" i="48"/>
  <c r="O948" i="48"/>
  <c r="Q1089" i="48"/>
  <c r="P1089" i="48"/>
  <c r="O1089" i="48"/>
  <c r="S1089" i="48"/>
  <c r="R1089" i="48"/>
  <c r="Q1022" i="48"/>
  <c r="P1022" i="48"/>
  <c r="O1022" i="48"/>
  <c r="R1022" i="48"/>
  <c r="S1022" i="48"/>
  <c r="Q1130" i="48"/>
  <c r="P1130" i="48"/>
  <c r="O1130" i="48"/>
  <c r="S1130" i="48"/>
  <c r="R1130" i="48"/>
  <c r="O1033" i="48"/>
  <c r="Q1033" i="48"/>
  <c r="P1033" i="48"/>
  <c r="R1033" i="48"/>
  <c r="S1033" i="48"/>
  <c r="S1368" i="48"/>
  <c r="R1368" i="48"/>
  <c r="O1368" i="48"/>
  <c r="Q1368" i="48"/>
  <c r="P1368" i="48"/>
  <c r="R1427" i="48"/>
  <c r="O1427" i="48"/>
  <c r="P1427" i="48"/>
  <c r="S1427" i="48"/>
  <c r="Q1427" i="48"/>
  <c r="P1377" i="48"/>
  <c r="O1377" i="48"/>
  <c r="S1377" i="48"/>
  <c r="Q1377" i="48"/>
  <c r="R1377" i="48"/>
  <c r="R1408" i="48"/>
  <c r="Q1408" i="48"/>
  <c r="S1408" i="48"/>
  <c r="P1408" i="48"/>
  <c r="O1408" i="48"/>
  <c r="P1754" i="48"/>
  <c r="R1754" i="48"/>
  <c r="Q1754" i="48"/>
  <c r="O1754" i="48"/>
  <c r="S1754" i="48"/>
  <c r="P1647" i="48"/>
  <c r="S1647" i="48"/>
  <c r="R1647" i="48"/>
  <c r="Q1647" i="48"/>
  <c r="O1647" i="48"/>
  <c r="S1684" i="48"/>
  <c r="P1684" i="48"/>
  <c r="R1684" i="48"/>
  <c r="Q1684" i="48"/>
  <c r="O1684" i="48"/>
  <c r="S1746" i="48"/>
  <c r="P1746" i="48"/>
  <c r="R1746" i="48"/>
  <c r="Q1746" i="48"/>
  <c r="O1746" i="48"/>
  <c r="P1756" i="48"/>
  <c r="R1756" i="48"/>
  <c r="Q1756" i="48"/>
  <c r="O1756" i="48"/>
  <c r="S1756" i="48"/>
  <c r="Q1822" i="48"/>
  <c r="P1822" i="48"/>
  <c r="O1822" i="48"/>
  <c r="S1822" i="48"/>
  <c r="R1822" i="48"/>
  <c r="S1782" i="48"/>
  <c r="P1782" i="48"/>
  <c r="O1782" i="48"/>
  <c r="R1782" i="48"/>
  <c r="Q1782" i="48"/>
  <c r="O1832" i="48"/>
  <c r="S1832" i="48"/>
  <c r="P1832" i="48"/>
  <c r="Q1832" i="48"/>
  <c r="R1832" i="48"/>
  <c r="Q1904" i="48"/>
  <c r="P1904" i="48"/>
  <c r="S1904" i="48"/>
  <c r="R1904" i="48"/>
  <c r="O1904" i="48"/>
  <c r="P1924" i="48"/>
  <c r="S1924" i="48"/>
  <c r="R1924" i="48"/>
  <c r="Q1924" i="48"/>
  <c r="O1924" i="48"/>
  <c r="Q1912" i="48"/>
  <c r="S1912" i="48"/>
  <c r="R1912" i="48"/>
  <c r="P1912" i="48"/>
  <c r="O1912" i="48"/>
  <c r="Q1992" i="48"/>
  <c r="P1992" i="48"/>
  <c r="O1992" i="48"/>
  <c r="S1992" i="48"/>
  <c r="R1992" i="48"/>
  <c r="Q2003" i="48"/>
  <c r="P2003" i="48"/>
  <c r="S2003" i="48"/>
  <c r="R2003" i="48"/>
  <c r="O2003" i="48"/>
  <c r="O2011" i="48"/>
  <c r="S2011" i="48"/>
  <c r="Q2011" i="48"/>
  <c r="P2011" i="48"/>
  <c r="R2011" i="48"/>
  <c r="Q1291" i="48"/>
  <c r="R1291" i="48"/>
  <c r="P1291" i="48"/>
  <c r="O1291" i="48"/>
  <c r="S1291" i="48"/>
  <c r="Q1272" i="48"/>
  <c r="R1272" i="48"/>
  <c r="S1272" i="48"/>
  <c r="P1272" i="48"/>
  <c r="O1272" i="48"/>
  <c r="O1513" i="48"/>
  <c r="R1513" i="48"/>
  <c r="Q1513" i="48"/>
  <c r="P1513" i="48"/>
  <c r="S1513" i="48"/>
  <c r="Q1268" i="48"/>
  <c r="S1268" i="48"/>
  <c r="R1268" i="48"/>
  <c r="P1268" i="48"/>
  <c r="O1268" i="48"/>
  <c r="R985" i="48"/>
  <c r="Q985" i="48"/>
  <c r="P985" i="48"/>
  <c r="O985" i="48"/>
  <c r="S985" i="48"/>
  <c r="O1477" i="48"/>
  <c r="R1477" i="48"/>
  <c r="Q1477" i="48"/>
  <c r="P1477" i="48"/>
  <c r="S1477" i="48"/>
  <c r="Q1324" i="48"/>
  <c r="S1324" i="48"/>
  <c r="R1324" i="48"/>
  <c r="P1324" i="48"/>
  <c r="O1324" i="48"/>
  <c r="R946" i="48"/>
  <c r="Q946" i="48"/>
  <c r="P946" i="48"/>
  <c r="S946" i="48"/>
  <c r="O946" i="48"/>
  <c r="R1187" i="48"/>
  <c r="Q1187" i="48"/>
  <c r="P1187" i="48"/>
  <c r="S1187" i="48"/>
  <c r="O1187" i="48"/>
  <c r="R815" i="48"/>
  <c r="S815" i="48"/>
  <c r="Q815" i="48"/>
  <c r="P815" i="48"/>
  <c r="O815" i="48"/>
  <c r="S1976" i="48"/>
  <c r="R1976" i="48"/>
  <c r="O1976" i="48"/>
  <c r="P1976" i="48"/>
  <c r="Q1976" i="48"/>
  <c r="R819" i="48"/>
  <c r="Q819" i="48"/>
  <c r="S819" i="48"/>
  <c r="P819" i="48"/>
  <c r="O819" i="48"/>
  <c r="O1626" i="48"/>
  <c r="R1626" i="48"/>
  <c r="Q1626" i="48"/>
  <c r="S1626" i="48"/>
  <c r="P1626" i="48"/>
  <c r="Q1316" i="48"/>
  <c r="S1316" i="48"/>
  <c r="R1316" i="48"/>
  <c r="P1316" i="48"/>
  <c r="O1316" i="48"/>
  <c r="R917" i="48"/>
  <c r="Q917" i="48"/>
  <c r="P917" i="48"/>
  <c r="S917" i="48"/>
  <c r="O917" i="48"/>
  <c r="P1599" i="48"/>
  <c r="O1599" i="48"/>
  <c r="Q1599" i="48"/>
  <c r="S1599" i="48"/>
  <c r="R1599" i="48"/>
  <c r="O1882" i="48"/>
  <c r="R1882" i="48"/>
  <c r="P1882" i="48"/>
  <c r="S1882" i="48"/>
  <c r="Q1882" i="48"/>
  <c r="Q1556" i="48"/>
  <c r="P1556" i="48"/>
  <c r="O1556" i="48"/>
  <c r="R1556" i="48"/>
  <c r="S1556" i="48"/>
  <c r="S1227" i="48"/>
  <c r="R1227" i="48"/>
  <c r="Q1227" i="48"/>
  <c r="P1227" i="48"/>
  <c r="O1227" i="48"/>
  <c r="O1845" i="48"/>
  <c r="R1845" i="48"/>
  <c r="Q1845" i="48"/>
  <c r="P1845" i="48"/>
  <c r="S1845" i="48"/>
  <c r="R781" i="48"/>
  <c r="P781" i="48"/>
  <c r="O781" i="48"/>
  <c r="Q781" i="48"/>
  <c r="S781" i="48"/>
  <c r="S1979" i="48"/>
  <c r="R1979" i="48"/>
  <c r="Q1979" i="48"/>
  <c r="P1979" i="48"/>
  <c r="O1979" i="48"/>
  <c r="O1632" i="48"/>
  <c r="P1632" i="48"/>
  <c r="S1632" i="48"/>
  <c r="R1632" i="48"/>
  <c r="Q1632" i="48"/>
  <c r="Q1347" i="48"/>
  <c r="R1347" i="48"/>
  <c r="P1347" i="48"/>
  <c r="O1347" i="48"/>
  <c r="S1347" i="48"/>
  <c r="S626" i="48"/>
  <c r="R626" i="48"/>
  <c r="O626" i="48"/>
  <c r="Q626" i="48"/>
  <c r="P626" i="48"/>
  <c r="S724" i="48"/>
  <c r="P724" i="48"/>
  <c r="R724" i="48"/>
  <c r="Q724" i="48"/>
  <c r="O724" i="48"/>
  <c r="S1362" i="48"/>
  <c r="R1362" i="48"/>
  <c r="O1362" i="48"/>
  <c r="P1362" i="48"/>
  <c r="Q1362" i="48"/>
  <c r="Q1151" i="48"/>
  <c r="P1151" i="48"/>
  <c r="O1151" i="48"/>
  <c r="S1151" i="48"/>
  <c r="R1151" i="48"/>
  <c r="P678" i="48"/>
  <c r="S678" i="48"/>
  <c r="O678" i="48"/>
  <c r="R678" i="48"/>
  <c r="Q678" i="48"/>
  <c r="S576" i="48"/>
  <c r="R576" i="48"/>
  <c r="O576" i="48"/>
  <c r="Q576" i="48"/>
  <c r="P576" i="48"/>
  <c r="S755" i="48"/>
  <c r="P755" i="48"/>
  <c r="R755" i="48"/>
  <c r="Q755" i="48"/>
  <c r="O755" i="48"/>
  <c r="S606" i="48"/>
  <c r="R606" i="48"/>
  <c r="O606" i="48"/>
  <c r="Q606" i="48"/>
  <c r="P606" i="48"/>
  <c r="S746" i="48"/>
  <c r="P746" i="48"/>
  <c r="R746" i="48"/>
  <c r="Q746" i="48"/>
  <c r="O746" i="48"/>
  <c r="S655" i="48"/>
  <c r="P655" i="48"/>
  <c r="O655" i="48"/>
  <c r="R655" i="48"/>
  <c r="Q655" i="48"/>
  <c r="S636" i="48"/>
  <c r="R636" i="48"/>
  <c r="O636" i="48"/>
  <c r="P636" i="48"/>
  <c r="Q636" i="48"/>
  <c r="R818" i="48"/>
  <c r="P818" i="48"/>
  <c r="O818" i="48"/>
  <c r="S818" i="48"/>
  <c r="Q818" i="48"/>
  <c r="P681" i="48"/>
  <c r="Q681" i="48"/>
  <c r="O681" i="48"/>
  <c r="R681" i="48"/>
  <c r="S681" i="48"/>
  <c r="R1003" i="48"/>
  <c r="Q1003" i="48"/>
  <c r="P1003" i="48"/>
  <c r="S1003" i="48"/>
  <c r="O1003" i="48"/>
  <c r="Q1136" i="48"/>
  <c r="P1136" i="48"/>
  <c r="O1136" i="48"/>
  <c r="S1136" i="48"/>
  <c r="R1136" i="48"/>
  <c r="R911" i="48"/>
  <c r="Q911" i="48"/>
  <c r="P911" i="48"/>
  <c r="S911" i="48"/>
  <c r="O911" i="48"/>
  <c r="Q1061" i="48"/>
  <c r="P1061" i="48"/>
  <c r="O1061" i="48"/>
  <c r="S1061" i="48"/>
  <c r="R1061" i="48"/>
  <c r="Q1157" i="48"/>
  <c r="P1157" i="48"/>
  <c r="O1157" i="48"/>
  <c r="S1157" i="48"/>
  <c r="R1157" i="48"/>
  <c r="Q1102" i="48"/>
  <c r="P1102" i="48"/>
  <c r="O1102" i="48"/>
  <c r="S1102" i="48"/>
  <c r="R1102" i="48"/>
  <c r="P1049" i="48"/>
  <c r="O1049" i="48"/>
  <c r="S1049" i="48"/>
  <c r="R1049" i="48"/>
  <c r="Q1049" i="48"/>
  <c r="P1048" i="48"/>
  <c r="O1048" i="48"/>
  <c r="Q1048" i="48"/>
  <c r="R1048" i="48"/>
  <c r="S1048" i="48"/>
  <c r="R1406" i="48"/>
  <c r="S1406" i="48"/>
  <c r="O1406" i="48"/>
  <c r="P1406" i="48"/>
  <c r="Q1406" i="48"/>
  <c r="P1363" i="48"/>
  <c r="O1363" i="48"/>
  <c r="S1363" i="48"/>
  <c r="R1363" i="48"/>
  <c r="Q1363" i="48"/>
  <c r="R1401" i="48"/>
  <c r="O1401" i="48"/>
  <c r="S1401" i="48"/>
  <c r="Q1401" i="48"/>
  <c r="P1401" i="48"/>
  <c r="S1710" i="48"/>
  <c r="P1710" i="48"/>
  <c r="R1710" i="48"/>
  <c r="Q1710" i="48"/>
  <c r="O1710" i="48"/>
  <c r="S1728" i="48"/>
  <c r="P1728" i="48"/>
  <c r="R1728" i="48"/>
  <c r="Q1728" i="48"/>
  <c r="O1728" i="48"/>
  <c r="S1692" i="48"/>
  <c r="P1692" i="48"/>
  <c r="R1692" i="48"/>
  <c r="Q1692" i="48"/>
  <c r="O1692" i="48"/>
  <c r="S1750" i="48"/>
  <c r="P1750" i="48"/>
  <c r="R1750" i="48"/>
  <c r="Q1750" i="48"/>
  <c r="O1750" i="48"/>
  <c r="P1760" i="48"/>
  <c r="R1760" i="48"/>
  <c r="Q1760" i="48"/>
  <c r="O1760" i="48"/>
  <c r="S1760" i="48"/>
  <c r="Q1826" i="48"/>
  <c r="P1826" i="48"/>
  <c r="O1826" i="48"/>
  <c r="S1826" i="48"/>
  <c r="R1826" i="48"/>
  <c r="S1783" i="48"/>
  <c r="P1783" i="48"/>
  <c r="O1783" i="48"/>
  <c r="R1783" i="48"/>
  <c r="Q1783" i="48"/>
  <c r="O1800" i="48"/>
  <c r="S1800" i="48"/>
  <c r="R1800" i="48"/>
  <c r="Q1800" i="48"/>
  <c r="P1800" i="48"/>
  <c r="P1920" i="48"/>
  <c r="S1920" i="48"/>
  <c r="R1920" i="48"/>
  <c r="Q1920" i="48"/>
  <c r="O1920" i="48"/>
  <c r="S1941" i="48"/>
  <c r="P1941" i="48"/>
  <c r="Q1941" i="48"/>
  <c r="O1941" i="48"/>
  <c r="R1941" i="48"/>
  <c r="Q1913" i="48"/>
  <c r="R1913" i="48"/>
  <c r="O1913" i="48"/>
  <c r="S1913" i="48"/>
  <c r="P1913" i="48"/>
  <c r="Q2001" i="48"/>
  <c r="P2001" i="48"/>
  <c r="O2001" i="48"/>
  <c r="S2001" i="48"/>
  <c r="R2001" i="48"/>
  <c r="Q2014" i="48"/>
  <c r="P2014" i="48"/>
  <c r="O2014" i="48"/>
  <c r="S2014" i="48"/>
  <c r="R2014" i="48"/>
  <c r="P2010" i="48"/>
  <c r="O2010" i="48"/>
  <c r="S2010" i="48"/>
  <c r="R2010" i="48"/>
  <c r="Q2010" i="48"/>
  <c r="P2033" i="48"/>
  <c r="S2033" i="48"/>
  <c r="O2033" i="48"/>
  <c r="Q2033" i="48"/>
  <c r="R2033" i="48"/>
  <c r="O1838" i="48"/>
  <c r="P1838" i="48"/>
  <c r="S1838" i="48"/>
  <c r="R1838" i="48"/>
  <c r="Q1838" i="48"/>
  <c r="O1484" i="48"/>
  <c r="R1484" i="48"/>
  <c r="S1484" i="48"/>
  <c r="Q1484" i="48"/>
  <c r="P1484" i="48"/>
  <c r="Q1349" i="48"/>
  <c r="S1349" i="48"/>
  <c r="R1349" i="48"/>
  <c r="O1349" i="48"/>
  <c r="P1349" i="48"/>
  <c r="R914" i="48"/>
  <c r="Q914" i="48"/>
  <c r="P914" i="48"/>
  <c r="S914" i="48"/>
  <c r="O914" i="48"/>
  <c r="P1609" i="48"/>
  <c r="S1609" i="48"/>
  <c r="Q1609" i="48"/>
  <c r="O1609" i="48"/>
  <c r="R1609" i="48"/>
  <c r="Q1337" i="48"/>
  <c r="O1337" i="48"/>
  <c r="S1337" i="48"/>
  <c r="R1337" i="48"/>
  <c r="P1337" i="48"/>
  <c r="R925" i="48"/>
  <c r="Q925" i="48"/>
  <c r="P925" i="48"/>
  <c r="S925" i="48"/>
  <c r="O925" i="48"/>
  <c r="R937" i="48"/>
  <c r="Q937" i="48"/>
  <c r="P937" i="48"/>
  <c r="O937" i="48"/>
  <c r="S937" i="48"/>
  <c r="O1481" i="48"/>
  <c r="R1481" i="48"/>
  <c r="Q1481" i="48"/>
  <c r="P1481" i="48"/>
  <c r="S1481" i="48"/>
  <c r="Q1572" i="48"/>
  <c r="P1572" i="48"/>
  <c r="O1572" i="48"/>
  <c r="R1572" i="48"/>
  <c r="S1572" i="48"/>
  <c r="Q1328" i="48"/>
  <c r="R1328" i="48"/>
  <c r="P1328" i="48"/>
  <c r="S1328" i="48"/>
  <c r="O1328" i="48"/>
  <c r="R1211" i="48"/>
  <c r="Q1211" i="48"/>
  <c r="P1211" i="48"/>
  <c r="S1211" i="48"/>
  <c r="O1211" i="48"/>
  <c r="Q1283" i="48"/>
  <c r="R1283" i="48"/>
  <c r="P1283" i="48"/>
  <c r="O1283" i="48"/>
  <c r="S1283" i="48"/>
  <c r="R945" i="48"/>
  <c r="Q945" i="48"/>
  <c r="P945" i="48"/>
  <c r="O945" i="48"/>
  <c r="S945" i="48"/>
  <c r="R994" i="48"/>
  <c r="Q994" i="48"/>
  <c r="P994" i="48"/>
  <c r="S994" i="48"/>
  <c r="O994" i="48"/>
  <c r="R1972" i="48"/>
  <c r="O1972" i="48"/>
  <c r="S1972" i="48"/>
  <c r="P1972" i="48"/>
  <c r="Q1972" i="48"/>
  <c r="O1627" i="48"/>
  <c r="P1627" i="48"/>
  <c r="S1627" i="48"/>
  <c r="R1627" i="48"/>
  <c r="Q1627" i="48"/>
  <c r="S1590" i="48"/>
  <c r="R1590" i="48"/>
  <c r="Q1590" i="48"/>
  <c r="O1590" i="48"/>
  <c r="P1590" i="48"/>
  <c r="O1472" i="48"/>
  <c r="R1472" i="48"/>
  <c r="S1472" i="48"/>
  <c r="Q1472" i="48"/>
  <c r="P1472" i="48"/>
  <c r="S1194" i="48"/>
  <c r="P1194" i="48"/>
  <c r="R1194" i="48"/>
  <c r="Q1194" i="48"/>
  <c r="O1194" i="48"/>
  <c r="Q1260" i="48"/>
  <c r="S1260" i="48"/>
  <c r="R1260" i="48"/>
  <c r="P1260" i="48"/>
  <c r="O1260" i="48"/>
  <c r="P1232" i="48"/>
  <c r="O1232" i="48"/>
  <c r="S1232" i="48"/>
  <c r="R1232" i="48"/>
  <c r="Q1232" i="48"/>
  <c r="Q1251" i="48"/>
  <c r="R1251" i="48"/>
  <c r="P1251" i="48"/>
  <c r="O1251" i="48"/>
  <c r="S1251" i="48"/>
  <c r="R921" i="48"/>
  <c r="Q921" i="48"/>
  <c r="P921" i="48"/>
  <c r="O921" i="48"/>
  <c r="S921" i="48"/>
  <c r="O1873" i="48"/>
  <c r="Q1873" i="48"/>
  <c r="P1873" i="48"/>
  <c r="R1873" i="48"/>
  <c r="S1873" i="48"/>
  <c r="R842" i="48"/>
  <c r="Q842" i="48"/>
  <c r="P842" i="48"/>
  <c r="O842" i="48"/>
  <c r="S842" i="48"/>
  <c r="Q1233" i="48"/>
  <c r="P1233" i="48"/>
  <c r="O1233" i="48"/>
  <c r="S1233" i="48"/>
  <c r="R1233" i="48"/>
  <c r="R880" i="48"/>
  <c r="Q880" i="48"/>
  <c r="P880" i="48"/>
  <c r="S880" i="48"/>
  <c r="O880" i="48"/>
  <c r="R825" i="48"/>
  <c r="Q825" i="48"/>
  <c r="S825" i="48"/>
  <c r="P825" i="48"/>
  <c r="O825" i="48"/>
  <c r="S1978" i="48"/>
  <c r="R1978" i="48"/>
  <c r="Q1978" i="48"/>
  <c r="P1978" i="48"/>
  <c r="O1978" i="48"/>
  <c r="S1595" i="48"/>
  <c r="R1595" i="48"/>
  <c r="P1595" i="48"/>
  <c r="Q1595" i="48"/>
  <c r="O1595" i="48"/>
  <c r="Q1341" i="48"/>
  <c r="S1341" i="48"/>
  <c r="R1341" i="48"/>
  <c r="P1341" i="48"/>
  <c r="O1341" i="48"/>
  <c r="O1860" i="48"/>
  <c r="R1860" i="48"/>
  <c r="S1860" i="48"/>
  <c r="Q1860" i="48"/>
  <c r="P1860" i="48"/>
  <c r="O1483" i="48"/>
  <c r="R1483" i="48"/>
  <c r="S1483" i="48"/>
  <c r="Q1483" i="48"/>
  <c r="P1483" i="48"/>
  <c r="Q1282" i="48"/>
  <c r="P1282" i="48"/>
  <c r="O1282" i="48"/>
  <c r="R1282" i="48"/>
  <c r="S1282" i="48"/>
  <c r="R996" i="48"/>
  <c r="Q996" i="48"/>
  <c r="P996" i="48"/>
  <c r="S996" i="48"/>
  <c r="O996" i="48"/>
  <c r="O1641" i="48"/>
  <c r="Q1641" i="48"/>
  <c r="S1641" i="48"/>
  <c r="P1641" i="48"/>
  <c r="R1641" i="48"/>
  <c r="O1867" i="48"/>
  <c r="R1867" i="48"/>
  <c r="Q1867" i="48"/>
  <c r="P1867" i="48"/>
  <c r="S1867" i="48"/>
  <c r="O1505" i="48"/>
  <c r="R1505" i="48"/>
  <c r="Q1505" i="48"/>
  <c r="P1505" i="48"/>
  <c r="S1505" i="48"/>
  <c r="O1500" i="48"/>
  <c r="R1500" i="48"/>
  <c r="S1500" i="48"/>
  <c r="Q1500" i="48"/>
  <c r="P1500" i="48"/>
  <c r="S1186" i="48"/>
  <c r="P1186" i="48"/>
  <c r="R1186" i="48"/>
  <c r="Q1186" i="48"/>
  <c r="O1186" i="48"/>
  <c r="Q1252" i="48"/>
  <c r="S1252" i="48"/>
  <c r="R1252" i="48"/>
  <c r="P1252" i="48"/>
  <c r="O1252" i="48"/>
  <c r="P1216" i="48"/>
  <c r="O1216" i="48"/>
  <c r="S1216" i="48"/>
  <c r="R1216" i="48"/>
  <c r="Q1216" i="48"/>
  <c r="Q1214" i="48"/>
  <c r="P1214" i="48"/>
  <c r="O1214" i="48"/>
  <c r="S1214" i="48"/>
  <c r="R1214" i="48"/>
  <c r="R857" i="48"/>
  <c r="Q857" i="48"/>
  <c r="P857" i="48"/>
  <c r="O857" i="48"/>
  <c r="S857" i="48"/>
  <c r="O1850" i="48"/>
  <c r="R1850" i="48"/>
  <c r="S1850" i="48"/>
  <c r="Q1850" i="48"/>
  <c r="P1850" i="48"/>
  <c r="S1612" i="48"/>
  <c r="R1612" i="48"/>
  <c r="Q1612" i="48"/>
  <c r="O1612" i="48"/>
  <c r="P1612" i="48"/>
  <c r="O1528" i="48"/>
  <c r="R1528" i="48"/>
  <c r="S1528" i="48"/>
  <c r="Q1528" i="48"/>
  <c r="P1528" i="48"/>
  <c r="S1245" i="48"/>
  <c r="P1245" i="48"/>
  <c r="O1245" i="48"/>
  <c r="Q1245" i="48"/>
  <c r="R1245" i="48"/>
  <c r="Q1310" i="48"/>
  <c r="S1310" i="48"/>
  <c r="O1310" i="48"/>
  <c r="R1310" i="48"/>
  <c r="P1310" i="48"/>
  <c r="O1846" i="48"/>
  <c r="R1846" i="48"/>
  <c r="S1846" i="48"/>
  <c r="Q1846" i="48"/>
  <c r="P1846" i="48"/>
  <c r="O1615" i="48"/>
  <c r="R1615" i="48"/>
  <c r="S1615" i="48"/>
  <c r="Q1615" i="48"/>
  <c r="P1615" i="48"/>
  <c r="O1506" i="48"/>
  <c r="R1506" i="48"/>
  <c r="P1506" i="48"/>
  <c r="Q1506" i="48"/>
  <c r="S1506" i="48"/>
  <c r="Q1562" i="48"/>
  <c r="P1562" i="48"/>
  <c r="O1562" i="48"/>
  <c r="S1562" i="48"/>
  <c r="R1562" i="48"/>
  <c r="Q1222" i="48"/>
  <c r="P1222" i="48"/>
  <c r="R1222" i="48"/>
  <c r="S1222" i="48"/>
  <c r="O1222" i="48"/>
  <c r="Q1307" i="48"/>
  <c r="R1307" i="48"/>
  <c r="P1307" i="48"/>
  <c r="O1307" i="48"/>
  <c r="S1307" i="48"/>
  <c r="Q1331" i="48"/>
  <c r="R1331" i="48"/>
  <c r="P1331" i="48"/>
  <c r="O1331" i="48"/>
  <c r="S1331" i="48"/>
  <c r="R797" i="48"/>
  <c r="P797" i="48"/>
  <c r="O797" i="48"/>
  <c r="Q797" i="48"/>
  <c r="S797" i="48"/>
  <c r="R978" i="48"/>
  <c r="Q978" i="48"/>
  <c r="P978" i="48"/>
  <c r="S978" i="48"/>
  <c r="O978" i="48"/>
  <c r="O1622" i="48"/>
  <c r="S1622" i="48"/>
  <c r="Q1622" i="48"/>
  <c r="R1622" i="48"/>
  <c r="P1622" i="48"/>
  <c r="Q1345" i="48"/>
  <c r="O1345" i="48"/>
  <c r="S1345" i="48"/>
  <c r="R1345" i="48"/>
  <c r="P1345" i="48"/>
  <c r="R768" i="48"/>
  <c r="S768" i="48"/>
  <c r="Q768" i="48"/>
  <c r="P768" i="48"/>
  <c r="O768" i="48"/>
  <c r="O1494" i="48"/>
  <c r="R1494" i="48"/>
  <c r="P1494" i="48"/>
  <c r="Q1494" i="48"/>
  <c r="S1494" i="48"/>
  <c r="O1537" i="48"/>
  <c r="R1537" i="48"/>
  <c r="Q1537" i="48"/>
  <c r="P1537" i="48"/>
  <c r="S1537" i="48"/>
  <c r="O1878" i="48"/>
  <c r="R1878" i="48"/>
  <c r="P1878" i="48"/>
  <c r="S1878" i="48"/>
  <c r="Q1878" i="48"/>
  <c r="R1597" i="48"/>
  <c r="P1597" i="48"/>
  <c r="S1597" i="48"/>
  <c r="Q1597" i="48"/>
  <c r="O1597" i="48"/>
  <c r="O1534" i="48"/>
  <c r="R1534" i="48"/>
  <c r="P1534" i="48"/>
  <c r="Q1534" i="48"/>
  <c r="S1534" i="48"/>
  <c r="O1614" i="48"/>
  <c r="S1614" i="48"/>
  <c r="R1614" i="48"/>
  <c r="Q1614" i="48"/>
  <c r="P1614" i="48"/>
  <c r="Q1288" i="48"/>
  <c r="R1288" i="48"/>
  <c r="S1288" i="48"/>
  <c r="P1288" i="48"/>
  <c r="O1288" i="48"/>
  <c r="Q1358" i="48"/>
  <c r="S1358" i="48"/>
  <c r="O1358" i="48"/>
  <c r="R1358" i="48"/>
  <c r="P1358" i="48"/>
  <c r="O1624" i="48"/>
  <c r="P1624" i="48"/>
  <c r="R1624" i="48"/>
  <c r="Q1624" i="48"/>
  <c r="S1624" i="48"/>
  <c r="R865" i="48"/>
  <c r="Q865" i="48"/>
  <c r="P865" i="48"/>
  <c r="O865" i="48"/>
  <c r="S865" i="48"/>
  <c r="R866" i="48"/>
  <c r="Q866" i="48"/>
  <c r="P866" i="48"/>
  <c r="S866" i="48"/>
  <c r="O866" i="48"/>
  <c r="S728" i="48"/>
  <c r="P728" i="48"/>
  <c r="R728" i="48"/>
  <c r="Q728" i="48"/>
  <c r="O728" i="48"/>
  <c r="S696" i="48"/>
  <c r="P696" i="48"/>
  <c r="R696" i="48"/>
  <c r="Q696" i="48"/>
  <c r="O696" i="48"/>
  <c r="Q1135" i="48"/>
  <c r="P1135" i="48"/>
  <c r="O1135" i="48"/>
  <c r="S1135" i="48"/>
  <c r="R1135" i="48"/>
  <c r="S756" i="48"/>
  <c r="P756" i="48"/>
  <c r="R756" i="48"/>
  <c r="Q756" i="48"/>
  <c r="O756" i="48"/>
  <c r="S593" i="48"/>
  <c r="R593" i="48"/>
  <c r="O593" i="48"/>
  <c r="P593" i="48"/>
  <c r="Q593" i="48"/>
  <c r="S569" i="48"/>
  <c r="R569" i="48"/>
  <c r="O569" i="48"/>
  <c r="P569" i="48"/>
  <c r="Q569" i="48"/>
  <c r="S642" i="48"/>
  <c r="R642" i="48"/>
  <c r="O642" i="48"/>
  <c r="Q642" i="48"/>
  <c r="P642" i="48"/>
  <c r="S1015" i="48"/>
  <c r="P1015" i="48"/>
  <c r="Q1015" i="48"/>
  <c r="R1015" i="48"/>
  <c r="O1015" i="48"/>
  <c r="R798" i="48"/>
  <c r="Q798" i="48"/>
  <c r="P798" i="48"/>
  <c r="O798" i="48"/>
  <c r="S798" i="48"/>
  <c r="S641" i="48"/>
  <c r="R641" i="48"/>
  <c r="O641" i="48"/>
  <c r="P641" i="48"/>
  <c r="Q641" i="48"/>
  <c r="Q1167" i="48"/>
  <c r="P1167" i="48"/>
  <c r="O1167" i="48"/>
  <c r="S1167" i="48"/>
  <c r="R1167" i="48"/>
  <c r="S619" i="48"/>
  <c r="R619" i="48"/>
  <c r="O619" i="48"/>
  <c r="P619" i="48"/>
  <c r="Q619" i="48"/>
  <c r="R918" i="48"/>
  <c r="Q918" i="48"/>
  <c r="P918" i="48"/>
  <c r="O918" i="48"/>
  <c r="S918" i="48"/>
  <c r="R903" i="48"/>
  <c r="Q903" i="48"/>
  <c r="P903" i="48"/>
  <c r="S903" i="48"/>
  <c r="O903" i="48"/>
  <c r="Q1107" i="48"/>
  <c r="P1107" i="48"/>
  <c r="O1107" i="48"/>
  <c r="S1107" i="48"/>
  <c r="R1107" i="48"/>
  <c r="S584" i="48"/>
  <c r="R584" i="48"/>
  <c r="O584" i="48"/>
  <c r="Q584" i="48"/>
  <c r="P584" i="48"/>
  <c r="S648" i="48"/>
  <c r="R648" i="48"/>
  <c r="O648" i="48"/>
  <c r="Q648" i="48"/>
  <c r="P648" i="48"/>
  <c r="S695" i="48"/>
  <c r="P695" i="48"/>
  <c r="R695" i="48"/>
  <c r="Q695" i="48"/>
  <c r="O695" i="48"/>
  <c r="S727" i="48"/>
  <c r="P727" i="48"/>
  <c r="R727" i="48"/>
  <c r="Q727" i="48"/>
  <c r="O727" i="48"/>
  <c r="S759" i="48"/>
  <c r="P759" i="48"/>
  <c r="R759" i="48"/>
  <c r="Q759" i="48"/>
  <c r="O759" i="48"/>
  <c r="Q1018" i="48"/>
  <c r="P1018" i="48"/>
  <c r="O1018" i="48"/>
  <c r="S1018" i="48"/>
  <c r="R1018" i="48"/>
  <c r="Q1175" i="48"/>
  <c r="P1175" i="48"/>
  <c r="O1175" i="48"/>
  <c r="S1175" i="48"/>
  <c r="R1175" i="48"/>
  <c r="S614" i="48"/>
  <c r="R614" i="48"/>
  <c r="O614" i="48"/>
  <c r="Q614" i="48"/>
  <c r="P614" i="48"/>
  <c r="S686" i="48"/>
  <c r="P686" i="48"/>
  <c r="R686" i="48"/>
  <c r="Q686" i="48"/>
  <c r="O686" i="48"/>
  <c r="S718" i="48"/>
  <c r="P718" i="48"/>
  <c r="R718" i="48"/>
  <c r="Q718" i="48"/>
  <c r="O718" i="48"/>
  <c r="S750" i="48"/>
  <c r="P750" i="48"/>
  <c r="R750" i="48"/>
  <c r="Q750" i="48"/>
  <c r="O750" i="48"/>
  <c r="R988" i="48"/>
  <c r="Q988" i="48"/>
  <c r="P988" i="48"/>
  <c r="S988" i="48"/>
  <c r="O988" i="48"/>
  <c r="S597" i="48"/>
  <c r="R597" i="48"/>
  <c r="O597" i="48"/>
  <c r="P597" i="48"/>
  <c r="Q597" i="48"/>
  <c r="Q658" i="48"/>
  <c r="P658" i="48"/>
  <c r="O658" i="48"/>
  <c r="R658" i="48"/>
  <c r="S658" i="48"/>
  <c r="Q1099" i="48"/>
  <c r="P1099" i="48"/>
  <c r="O1099" i="48"/>
  <c r="S1099" i="48"/>
  <c r="R1099" i="48"/>
  <c r="S580" i="48"/>
  <c r="R580" i="48"/>
  <c r="O580" i="48"/>
  <c r="P580" i="48"/>
  <c r="Q580" i="48"/>
  <c r="S644" i="48"/>
  <c r="R644" i="48"/>
  <c r="O644" i="48"/>
  <c r="Q644" i="48"/>
  <c r="P644" i="48"/>
  <c r="S705" i="48"/>
  <c r="P705" i="48"/>
  <c r="R705" i="48"/>
  <c r="Q705" i="48"/>
  <c r="O705" i="48"/>
  <c r="S737" i="48"/>
  <c r="P737" i="48"/>
  <c r="R737" i="48"/>
  <c r="Q737" i="48"/>
  <c r="O737" i="48"/>
  <c r="R902" i="48"/>
  <c r="Q902" i="48"/>
  <c r="P902" i="48"/>
  <c r="O902" i="48"/>
  <c r="S902" i="48"/>
  <c r="R851" i="48"/>
  <c r="Q851" i="48"/>
  <c r="P851" i="48"/>
  <c r="S851" i="48"/>
  <c r="O851" i="48"/>
  <c r="R979" i="48"/>
  <c r="Q979" i="48"/>
  <c r="P979" i="48"/>
  <c r="S979" i="48"/>
  <c r="O979" i="48"/>
  <c r="R762" i="48"/>
  <c r="P762" i="48"/>
  <c r="Q762" i="48"/>
  <c r="O762" i="48"/>
  <c r="S762" i="48"/>
  <c r="R769" i="48"/>
  <c r="S769" i="48"/>
  <c r="O769" i="48"/>
  <c r="P769" i="48"/>
  <c r="Q769" i="48"/>
  <c r="R891" i="48"/>
  <c r="Q891" i="48"/>
  <c r="P891" i="48"/>
  <c r="S891" i="48"/>
  <c r="O891" i="48"/>
  <c r="S1017" i="48"/>
  <c r="P1017" i="48"/>
  <c r="R1017" i="48"/>
  <c r="Q1017" i="48"/>
  <c r="O1017" i="48"/>
  <c r="Q1076" i="48"/>
  <c r="P1076" i="48"/>
  <c r="O1076" i="48"/>
  <c r="S1076" i="48"/>
  <c r="R1076" i="48"/>
  <c r="Q1108" i="48"/>
  <c r="P1108" i="48"/>
  <c r="O1108" i="48"/>
  <c r="S1108" i="48"/>
  <c r="R1108" i="48"/>
  <c r="Q1140" i="48"/>
  <c r="P1140" i="48"/>
  <c r="O1140" i="48"/>
  <c r="S1140" i="48"/>
  <c r="R1140" i="48"/>
  <c r="Q1172" i="48"/>
  <c r="P1172" i="48"/>
  <c r="O1172" i="48"/>
  <c r="S1172" i="48"/>
  <c r="R1172" i="48"/>
  <c r="R878" i="48"/>
  <c r="Q878" i="48"/>
  <c r="P878" i="48"/>
  <c r="O878" i="48"/>
  <c r="S878" i="48"/>
  <c r="R916" i="48"/>
  <c r="Q916" i="48"/>
  <c r="P916" i="48"/>
  <c r="S916" i="48"/>
  <c r="O916" i="48"/>
  <c r="R959" i="48"/>
  <c r="Q959" i="48"/>
  <c r="P959" i="48"/>
  <c r="S959" i="48"/>
  <c r="O959" i="48"/>
  <c r="Q1020" i="48"/>
  <c r="P1020" i="48"/>
  <c r="O1020" i="48"/>
  <c r="S1020" i="48"/>
  <c r="R1020" i="48"/>
  <c r="Q1065" i="48"/>
  <c r="P1065" i="48"/>
  <c r="O1065" i="48"/>
  <c r="S1065" i="48"/>
  <c r="R1065" i="48"/>
  <c r="Q1097" i="48"/>
  <c r="P1097" i="48"/>
  <c r="O1097" i="48"/>
  <c r="S1097" i="48"/>
  <c r="R1097" i="48"/>
  <c r="Q1129" i="48"/>
  <c r="P1129" i="48"/>
  <c r="O1129" i="48"/>
  <c r="S1129" i="48"/>
  <c r="R1129" i="48"/>
  <c r="Q1161" i="48"/>
  <c r="P1161" i="48"/>
  <c r="O1161" i="48"/>
  <c r="S1161" i="48"/>
  <c r="R1161" i="48"/>
  <c r="R1420" i="48"/>
  <c r="O1420" i="48"/>
  <c r="S1420" i="48"/>
  <c r="Q1420" i="48"/>
  <c r="P1420" i="48"/>
  <c r="Q1074" i="48"/>
  <c r="P1074" i="48"/>
  <c r="O1074" i="48"/>
  <c r="S1074" i="48"/>
  <c r="R1074" i="48"/>
  <c r="Q1106" i="48"/>
  <c r="P1106" i="48"/>
  <c r="O1106" i="48"/>
  <c r="S1106" i="48"/>
  <c r="R1106" i="48"/>
  <c r="Q1138" i="48"/>
  <c r="P1138" i="48"/>
  <c r="O1138" i="48"/>
  <c r="S1138" i="48"/>
  <c r="R1138" i="48"/>
  <c r="Q1170" i="48"/>
  <c r="P1170" i="48"/>
  <c r="O1170" i="48"/>
  <c r="S1170" i="48"/>
  <c r="R1170" i="48"/>
  <c r="S1390" i="48"/>
  <c r="R1390" i="48"/>
  <c r="O1390" i="48"/>
  <c r="Q1390" i="48"/>
  <c r="P1390" i="48"/>
  <c r="O1035" i="48"/>
  <c r="Q1035" i="48"/>
  <c r="P1035" i="48"/>
  <c r="S1035" i="48"/>
  <c r="R1035" i="48"/>
  <c r="O1043" i="48"/>
  <c r="Q1043" i="48"/>
  <c r="P1043" i="48"/>
  <c r="S1043" i="48"/>
  <c r="R1043" i="48"/>
  <c r="P1050" i="48"/>
  <c r="O1050" i="48"/>
  <c r="Q1050" i="48"/>
  <c r="S1050" i="48"/>
  <c r="R1050" i="48"/>
  <c r="R1398" i="48"/>
  <c r="S1398" i="48"/>
  <c r="O1398" i="48"/>
  <c r="P1398" i="48"/>
  <c r="Q1398" i="48"/>
  <c r="R1399" i="48"/>
  <c r="P1399" i="48"/>
  <c r="Q1399" i="48"/>
  <c r="O1399" i="48"/>
  <c r="S1399" i="48"/>
  <c r="R1412" i="48"/>
  <c r="S1412" i="48"/>
  <c r="Q1412" i="48"/>
  <c r="P1412" i="48"/>
  <c r="O1412" i="48"/>
  <c r="S1431" i="48"/>
  <c r="R1431" i="48"/>
  <c r="O1431" i="48"/>
  <c r="Q1431" i="48"/>
  <c r="P1431" i="48"/>
  <c r="R1430" i="48"/>
  <c r="O1430" i="48"/>
  <c r="S1430" i="48"/>
  <c r="Q1430" i="48"/>
  <c r="P1430" i="48"/>
  <c r="P1365" i="48"/>
  <c r="O1365" i="48"/>
  <c r="S1365" i="48"/>
  <c r="R1365" i="48"/>
  <c r="Q1365" i="48"/>
  <c r="P1381" i="48"/>
  <c r="O1381" i="48"/>
  <c r="S1381" i="48"/>
  <c r="R1381" i="48"/>
  <c r="Q1381" i="48"/>
  <c r="R1410" i="48"/>
  <c r="P1410" i="48"/>
  <c r="O1410" i="48"/>
  <c r="Q1410" i="48"/>
  <c r="S1410" i="48"/>
  <c r="R1409" i="48"/>
  <c r="O1409" i="48"/>
  <c r="S1409" i="48"/>
  <c r="P1409" i="48"/>
  <c r="Q1409" i="48"/>
  <c r="R1421" i="48"/>
  <c r="O1421" i="48"/>
  <c r="S1421" i="48"/>
  <c r="Q1421" i="48"/>
  <c r="P1421" i="48"/>
  <c r="S1688" i="48"/>
  <c r="P1688" i="48"/>
  <c r="R1688" i="48"/>
  <c r="Q1688" i="48"/>
  <c r="O1688" i="48"/>
  <c r="P1645" i="48"/>
  <c r="S1645" i="48"/>
  <c r="R1645" i="48"/>
  <c r="Q1645" i="48"/>
  <c r="O1645" i="48"/>
  <c r="S1674" i="48"/>
  <c r="P1674" i="48"/>
  <c r="R1674" i="48"/>
  <c r="Q1674" i="48"/>
  <c r="O1674" i="48"/>
  <c r="S1689" i="48"/>
  <c r="P1689" i="48"/>
  <c r="R1689" i="48"/>
  <c r="Q1689" i="48"/>
  <c r="O1689" i="48"/>
  <c r="S1732" i="48"/>
  <c r="P1732" i="48"/>
  <c r="R1732" i="48"/>
  <c r="Q1732" i="48"/>
  <c r="O1732" i="48"/>
  <c r="S1671" i="48"/>
  <c r="P1671" i="48"/>
  <c r="R1671" i="48"/>
  <c r="Q1671" i="48"/>
  <c r="O1671" i="48"/>
  <c r="P1659" i="48"/>
  <c r="S1659" i="48"/>
  <c r="R1659" i="48"/>
  <c r="Q1659" i="48"/>
  <c r="O1659" i="48"/>
  <c r="S1712" i="48"/>
  <c r="P1712" i="48"/>
  <c r="R1712" i="48"/>
  <c r="Q1712" i="48"/>
  <c r="O1712" i="48"/>
  <c r="S1700" i="48"/>
  <c r="P1700" i="48"/>
  <c r="R1700" i="48"/>
  <c r="Q1700" i="48"/>
  <c r="O1700" i="48"/>
  <c r="S1751" i="48"/>
  <c r="P1751" i="48"/>
  <c r="R1751" i="48"/>
  <c r="Q1751" i="48"/>
  <c r="O1751" i="48"/>
  <c r="S1708" i="48"/>
  <c r="P1708" i="48"/>
  <c r="R1708" i="48"/>
  <c r="Q1708" i="48"/>
  <c r="O1708" i="48"/>
  <c r="S1715" i="48"/>
  <c r="P1715" i="48"/>
  <c r="R1715" i="48"/>
  <c r="Q1715" i="48"/>
  <c r="O1715" i="48"/>
  <c r="S1714" i="48"/>
  <c r="P1714" i="48"/>
  <c r="R1714" i="48"/>
  <c r="Q1714" i="48"/>
  <c r="O1714" i="48"/>
  <c r="S1729" i="48"/>
  <c r="P1729" i="48"/>
  <c r="R1729" i="48"/>
  <c r="Q1729" i="48"/>
  <c r="O1729" i="48"/>
  <c r="P1644" i="48"/>
  <c r="O1644" i="48"/>
  <c r="S1644" i="48"/>
  <c r="R1644" i="48"/>
  <c r="Q1644" i="48"/>
  <c r="P1926" i="48"/>
  <c r="S1926" i="48"/>
  <c r="R1926" i="48"/>
  <c r="Q1926" i="48"/>
  <c r="O1926" i="48"/>
  <c r="S1761" i="48"/>
  <c r="P1761" i="48"/>
  <c r="R1761" i="48"/>
  <c r="Q1761" i="48"/>
  <c r="O1761" i="48"/>
  <c r="O1876" i="48"/>
  <c r="S1876" i="48"/>
  <c r="P1876" i="48"/>
  <c r="Q1876" i="48"/>
  <c r="R1876" i="48"/>
  <c r="S1768" i="48"/>
  <c r="P1768" i="48"/>
  <c r="O1768" i="48"/>
  <c r="Q1768" i="48"/>
  <c r="R1768" i="48"/>
  <c r="S1776" i="48"/>
  <c r="P1776" i="48"/>
  <c r="O1776" i="48"/>
  <c r="Q1776" i="48"/>
  <c r="R1776" i="48"/>
  <c r="S1784" i="48"/>
  <c r="P1784" i="48"/>
  <c r="O1784" i="48"/>
  <c r="Q1784" i="48"/>
  <c r="R1784" i="48"/>
  <c r="S1792" i="48"/>
  <c r="P1792" i="48"/>
  <c r="O1792" i="48"/>
  <c r="Q1792" i="48"/>
  <c r="R1792" i="48"/>
  <c r="Q1906" i="48"/>
  <c r="P1906" i="48"/>
  <c r="O1906" i="48"/>
  <c r="S1906" i="48"/>
  <c r="R1906" i="48"/>
  <c r="O1801" i="48"/>
  <c r="S1801" i="48"/>
  <c r="R1801" i="48"/>
  <c r="P1801" i="48"/>
  <c r="Q1801" i="48"/>
  <c r="P1798" i="48"/>
  <c r="O1798" i="48"/>
  <c r="S1798" i="48"/>
  <c r="R1798" i="48"/>
  <c r="Q1798" i="48"/>
  <c r="P1928" i="48"/>
  <c r="S1928" i="48"/>
  <c r="R1928" i="48"/>
  <c r="Q1928" i="48"/>
  <c r="O1928" i="48"/>
  <c r="S1943" i="48"/>
  <c r="P1943" i="48"/>
  <c r="R1943" i="48"/>
  <c r="Q1943" i="48"/>
  <c r="O1943" i="48"/>
  <c r="S1958" i="48"/>
  <c r="P1958" i="48"/>
  <c r="R1958" i="48"/>
  <c r="Q1958" i="48"/>
  <c r="O1958" i="48"/>
  <c r="P1918" i="48"/>
  <c r="S1918" i="48"/>
  <c r="R1918" i="48"/>
  <c r="Q1918" i="48"/>
  <c r="O1918" i="48"/>
  <c r="S1954" i="48"/>
  <c r="P1954" i="48"/>
  <c r="R1954" i="48"/>
  <c r="Q1954" i="48"/>
  <c r="O1954" i="48"/>
  <c r="Q2019" i="48"/>
  <c r="P2019" i="48"/>
  <c r="O2019" i="48"/>
  <c r="S2019" i="48"/>
  <c r="R2019" i="48"/>
  <c r="Q1938" i="48"/>
  <c r="P1938" i="48"/>
  <c r="O1938" i="48"/>
  <c r="S1938" i="48"/>
  <c r="R1938" i="48"/>
  <c r="Q1914" i="48"/>
  <c r="S1914" i="48"/>
  <c r="R1914" i="48"/>
  <c r="P1914" i="48"/>
  <c r="O1914" i="48"/>
  <c r="P1929" i="48"/>
  <c r="R1929" i="48"/>
  <c r="S1929" i="48"/>
  <c r="Q1929" i="48"/>
  <c r="O1929" i="48"/>
  <c r="S1963" i="48"/>
  <c r="P1963" i="48"/>
  <c r="R1963" i="48"/>
  <c r="O1963" i="48"/>
  <c r="Q1963" i="48"/>
  <c r="Q2024" i="48"/>
  <c r="P2024" i="48"/>
  <c r="O2024" i="48"/>
  <c r="S2024" i="48"/>
  <c r="R2024" i="48"/>
  <c r="Q1995" i="48"/>
  <c r="P1995" i="48"/>
  <c r="O1995" i="48"/>
  <c r="R1995" i="48"/>
  <c r="S1995" i="48"/>
  <c r="Q2007" i="48"/>
  <c r="P2007" i="48"/>
  <c r="S2007" i="48"/>
  <c r="R2007" i="48"/>
  <c r="O2007" i="48"/>
  <c r="Q2016" i="48"/>
  <c r="P2016" i="48"/>
  <c r="O2016" i="48"/>
  <c r="S2016" i="48"/>
  <c r="R2016" i="48"/>
  <c r="Q2002" i="48"/>
  <c r="P2002" i="48"/>
  <c r="S2002" i="48"/>
  <c r="R2002" i="48"/>
  <c r="O2002" i="48"/>
  <c r="R2028" i="48"/>
  <c r="O2028" i="48"/>
  <c r="Q2028" i="48"/>
  <c r="P2028" i="48"/>
  <c r="S2028" i="48"/>
  <c r="R2042" i="48"/>
  <c r="S2042" i="48"/>
  <c r="O2042" i="48"/>
  <c r="Q2042" i="48"/>
  <c r="P2042" i="48"/>
  <c r="R2055" i="48"/>
  <c r="P2055" i="48"/>
  <c r="S2055" i="48"/>
  <c r="O2055" i="48"/>
  <c r="Q2055" i="48"/>
  <c r="Q1344" i="48"/>
  <c r="R1344" i="48"/>
  <c r="P1344" i="48"/>
  <c r="O1344" i="48"/>
  <c r="S1344" i="48"/>
  <c r="Q1342" i="48"/>
  <c r="S1342" i="48"/>
  <c r="O1342" i="48"/>
  <c r="R1342" i="48"/>
  <c r="P1342" i="48"/>
  <c r="O1490" i="48"/>
  <c r="R1490" i="48"/>
  <c r="P1490" i="48"/>
  <c r="Q1490" i="48"/>
  <c r="S1490" i="48"/>
  <c r="R922" i="48"/>
  <c r="Q922" i="48"/>
  <c r="P922" i="48"/>
  <c r="S922" i="48"/>
  <c r="O922" i="48"/>
  <c r="S1603" i="48"/>
  <c r="R1603" i="48"/>
  <c r="P1603" i="48"/>
  <c r="Q1603" i="48"/>
  <c r="O1603" i="48"/>
  <c r="Q1262" i="48"/>
  <c r="S1262" i="48"/>
  <c r="O1262" i="48"/>
  <c r="R1262" i="48"/>
  <c r="P1262" i="48"/>
  <c r="O1480" i="48"/>
  <c r="R1480" i="48"/>
  <c r="S1480" i="48"/>
  <c r="Q1480" i="48"/>
  <c r="P1480" i="48"/>
  <c r="P674" i="48"/>
  <c r="Q674" i="48"/>
  <c r="O674" i="48"/>
  <c r="S674" i="48"/>
  <c r="R674" i="48"/>
  <c r="O1577" i="48"/>
  <c r="S1577" i="48"/>
  <c r="Q1577" i="48"/>
  <c r="P1577" i="48"/>
  <c r="R1577" i="48"/>
  <c r="O1508" i="48"/>
  <c r="R1508" i="48"/>
  <c r="S1508" i="48"/>
  <c r="Q1508" i="48"/>
  <c r="P1508" i="48"/>
  <c r="O1458" i="48"/>
  <c r="R1458" i="48"/>
  <c r="P1458" i="48"/>
  <c r="S1458" i="48"/>
  <c r="Q1458" i="48"/>
  <c r="R789" i="48"/>
  <c r="P789" i="48"/>
  <c r="O789" i="48"/>
  <c r="S789" i="48"/>
  <c r="Q789" i="48"/>
  <c r="O1456" i="48"/>
  <c r="R1456" i="48"/>
  <c r="Q1456" i="48"/>
  <c r="P1456" i="48"/>
  <c r="S1456" i="48"/>
  <c r="O1589" i="48"/>
  <c r="S1589" i="48"/>
  <c r="P1589" i="48"/>
  <c r="Q1589" i="48"/>
  <c r="R1589" i="48"/>
  <c r="R992" i="48"/>
  <c r="Q992" i="48"/>
  <c r="P992" i="48"/>
  <c r="S992" i="48"/>
  <c r="O992" i="48"/>
  <c r="Q1285" i="48"/>
  <c r="S1285" i="48"/>
  <c r="R1285" i="48"/>
  <c r="O1285" i="48"/>
  <c r="P1285" i="48"/>
  <c r="O1849" i="48"/>
  <c r="R1849" i="48"/>
  <c r="Q1849" i="48"/>
  <c r="P1849" i="48"/>
  <c r="S1849" i="48"/>
  <c r="Q1289" i="48"/>
  <c r="O1289" i="48"/>
  <c r="S1289" i="48"/>
  <c r="R1289" i="48"/>
  <c r="P1289" i="48"/>
  <c r="R889" i="48"/>
  <c r="Q889" i="48"/>
  <c r="P889" i="48"/>
  <c r="O889" i="48"/>
  <c r="S889" i="48"/>
  <c r="S712" i="48"/>
  <c r="P712" i="48"/>
  <c r="R712" i="48"/>
  <c r="Q712" i="48"/>
  <c r="O712" i="48"/>
  <c r="S591" i="48"/>
  <c r="R591" i="48"/>
  <c r="O591" i="48"/>
  <c r="Q591" i="48"/>
  <c r="P591" i="48"/>
  <c r="S650" i="48"/>
  <c r="R650" i="48"/>
  <c r="O650" i="48"/>
  <c r="Q650" i="48"/>
  <c r="P650" i="48"/>
  <c r="S608" i="48"/>
  <c r="R608" i="48"/>
  <c r="O608" i="48"/>
  <c r="Q608" i="48"/>
  <c r="P608" i="48"/>
  <c r="R823" i="48"/>
  <c r="Q823" i="48"/>
  <c r="S823" i="48"/>
  <c r="P823" i="48"/>
  <c r="O823" i="48"/>
  <c r="S574" i="48"/>
  <c r="R574" i="48"/>
  <c r="O574" i="48"/>
  <c r="Q574" i="48"/>
  <c r="P574" i="48"/>
  <c r="R839" i="48"/>
  <c r="Q839" i="48"/>
  <c r="S839" i="48"/>
  <c r="P839" i="48"/>
  <c r="O839" i="48"/>
  <c r="Q1147" i="48"/>
  <c r="P1147" i="48"/>
  <c r="O1147" i="48"/>
  <c r="S1147" i="48"/>
  <c r="R1147" i="48"/>
  <c r="S749" i="48"/>
  <c r="P749" i="48"/>
  <c r="R749" i="48"/>
  <c r="Q749" i="48"/>
  <c r="O749" i="48"/>
  <c r="R790" i="48"/>
  <c r="Q790" i="48"/>
  <c r="P790" i="48"/>
  <c r="O790" i="48"/>
  <c r="S790" i="48"/>
  <c r="Q1088" i="48"/>
  <c r="P1088" i="48"/>
  <c r="O1088" i="48"/>
  <c r="S1088" i="48"/>
  <c r="R1088" i="48"/>
  <c r="R894" i="48"/>
  <c r="Q894" i="48"/>
  <c r="P894" i="48"/>
  <c r="O894" i="48"/>
  <c r="S894" i="48"/>
  <c r="Q1077" i="48"/>
  <c r="P1077" i="48"/>
  <c r="O1077" i="48"/>
  <c r="S1077" i="48"/>
  <c r="R1077" i="48"/>
  <c r="Q1054" i="48"/>
  <c r="P1054" i="48"/>
  <c r="O1054" i="48"/>
  <c r="S1054" i="48"/>
  <c r="R1054" i="48"/>
  <c r="S1380" i="48"/>
  <c r="R1380" i="48"/>
  <c r="O1380" i="48"/>
  <c r="Q1380" i="48"/>
  <c r="P1380" i="48"/>
  <c r="S1388" i="48"/>
  <c r="R1388" i="48"/>
  <c r="O1388" i="48"/>
  <c r="Q1388" i="48"/>
  <c r="P1388" i="48"/>
  <c r="S1447" i="48"/>
  <c r="R1447" i="48"/>
  <c r="O1447" i="48"/>
  <c r="Q1447" i="48"/>
  <c r="P1447" i="48"/>
  <c r="S1437" i="48"/>
  <c r="R1437" i="48"/>
  <c r="O1437" i="48"/>
  <c r="Q1437" i="48"/>
  <c r="P1437" i="48"/>
  <c r="S1665" i="48"/>
  <c r="P1665" i="48"/>
  <c r="R1665" i="48"/>
  <c r="Q1665" i="48"/>
  <c r="O1665" i="48"/>
  <c r="S1695" i="48"/>
  <c r="P1695" i="48"/>
  <c r="R1695" i="48"/>
  <c r="Q1695" i="48"/>
  <c r="O1695" i="48"/>
  <c r="S1727" i="48"/>
  <c r="P1727" i="48"/>
  <c r="R1727" i="48"/>
  <c r="Q1727" i="48"/>
  <c r="O1727" i="48"/>
  <c r="S1738" i="48"/>
  <c r="P1738" i="48"/>
  <c r="R1738" i="48"/>
  <c r="Q1738" i="48"/>
  <c r="O1738" i="48"/>
  <c r="S1763" i="48"/>
  <c r="P1763" i="48"/>
  <c r="O1763" i="48"/>
  <c r="R1763" i="48"/>
  <c r="Q1763" i="48"/>
  <c r="S1795" i="48"/>
  <c r="P1795" i="48"/>
  <c r="O1795" i="48"/>
  <c r="R1795" i="48"/>
  <c r="Q1795" i="48"/>
  <c r="P1895" i="48"/>
  <c r="S1895" i="48"/>
  <c r="R1895" i="48"/>
  <c r="Q1895" i="48"/>
  <c r="O1895" i="48"/>
  <c r="P1899" i="48"/>
  <c r="R1899" i="48"/>
  <c r="S1899" i="48"/>
  <c r="Q1899" i="48"/>
  <c r="O1899" i="48"/>
  <c r="S1953" i="48"/>
  <c r="P1953" i="48"/>
  <c r="R1953" i="48"/>
  <c r="O1953" i="48"/>
  <c r="Q1953" i="48"/>
  <c r="Q1994" i="48"/>
  <c r="P1994" i="48"/>
  <c r="O1994" i="48"/>
  <c r="R1994" i="48"/>
  <c r="S1994" i="48"/>
  <c r="Q2015" i="48"/>
  <c r="P2015" i="48"/>
  <c r="O2015" i="48"/>
  <c r="S2015" i="48"/>
  <c r="R2015" i="48"/>
  <c r="R824" i="48"/>
  <c r="Q824" i="48"/>
  <c r="S824" i="48"/>
  <c r="P824" i="48"/>
  <c r="O824" i="48"/>
  <c r="Q1318" i="48"/>
  <c r="S1318" i="48"/>
  <c r="O1318" i="48"/>
  <c r="R1318" i="48"/>
  <c r="P1318" i="48"/>
  <c r="O1540" i="48"/>
  <c r="R1540" i="48"/>
  <c r="S1540" i="48"/>
  <c r="Q1540" i="48"/>
  <c r="P1540" i="48"/>
  <c r="Q1354" i="48"/>
  <c r="P1354" i="48"/>
  <c r="O1354" i="48"/>
  <c r="S1354" i="48"/>
  <c r="R1354" i="48"/>
  <c r="Q1258" i="48"/>
  <c r="P1258" i="48"/>
  <c r="O1258" i="48"/>
  <c r="S1258" i="48"/>
  <c r="R1258" i="48"/>
  <c r="O1536" i="48"/>
  <c r="R1536" i="48"/>
  <c r="S1536" i="48"/>
  <c r="Q1536" i="48"/>
  <c r="P1536" i="48"/>
  <c r="Q1266" i="48"/>
  <c r="P1266" i="48"/>
  <c r="O1266" i="48"/>
  <c r="R1266" i="48"/>
  <c r="S1266" i="48"/>
  <c r="R764" i="48"/>
  <c r="O764" i="48"/>
  <c r="S764" i="48"/>
  <c r="P764" i="48"/>
  <c r="Q764" i="48"/>
  <c r="R893" i="48"/>
  <c r="Q893" i="48"/>
  <c r="P893" i="48"/>
  <c r="S893" i="48"/>
  <c r="O893" i="48"/>
  <c r="O1466" i="48"/>
  <c r="R1466" i="48"/>
  <c r="P1466" i="48"/>
  <c r="Q1466" i="48"/>
  <c r="S1466" i="48"/>
  <c r="O1544" i="48"/>
  <c r="R1544" i="48"/>
  <c r="S1544" i="48"/>
  <c r="Q1544" i="48"/>
  <c r="P1544" i="48"/>
  <c r="O1888" i="48"/>
  <c r="R1888" i="48"/>
  <c r="S1888" i="48"/>
  <c r="Q1888" i="48"/>
  <c r="P1888" i="48"/>
  <c r="O1455" i="48"/>
  <c r="R1455" i="48"/>
  <c r="S1455" i="48"/>
  <c r="Q1455" i="48"/>
  <c r="P1455" i="48"/>
  <c r="Q1253" i="48"/>
  <c r="S1253" i="48"/>
  <c r="R1253" i="48"/>
  <c r="O1253" i="48"/>
  <c r="P1253" i="48"/>
  <c r="R2053" i="48"/>
  <c r="S2053" i="48"/>
  <c r="Q2053" i="48"/>
  <c r="P2053" i="48"/>
  <c r="O2053" i="48"/>
  <c r="O1467" i="48"/>
  <c r="R1467" i="48"/>
  <c r="S1467" i="48"/>
  <c r="Q1467" i="48"/>
  <c r="P1467" i="48"/>
  <c r="O1637" i="48"/>
  <c r="Q1637" i="48"/>
  <c r="P1637" i="48"/>
  <c r="R1637" i="48"/>
  <c r="S1637" i="48"/>
  <c r="O1454" i="48"/>
  <c r="R1454" i="48"/>
  <c r="Q1454" i="48"/>
  <c r="P1454" i="48"/>
  <c r="S1454" i="48"/>
  <c r="R1009" i="48"/>
  <c r="Q1009" i="48"/>
  <c r="P1009" i="48"/>
  <c r="O1009" i="48"/>
  <c r="S1009" i="48"/>
  <c r="R2049" i="48"/>
  <c r="O2049" i="48"/>
  <c r="S2049" i="48"/>
  <c r="Q2049" i="48"/>
  <c r="P2049" i="48"/>
  <c r="O1629" i="48"/>
  <c r="Q1629" i="48"/>
  <c r="P1629" i="48"/>
  <c r="R1629" i="48"/>
  <c r="S1629" i="48"/>
  <c r="O1630" i="48"/>
  <c r="S1630" i="48"/>
  <c r="R1630" i="48"/>
  <c r="Q1630" i="48"/>
  <c r="P1630" i="48"/>
  <c r="S1229" i="48"/>
  <c r="P1229" i="48"/>
  <c r="O1229" i="48"/>
  <c r="Q1229" i="48"/>
  <c r="R1229" i="48"/>
  <c r="R763" i="48"/>
  <c r="Q763" i="48"/>
  <c r="S763" i="48"/>
  <c r="P763" i="48"/>
  <c r="O763" i="48"/>
  <c r="S649" i="48"/>
  <c r="R649" i="48"/>
  <c r="O649" i="48"/>
  <c r="P649" i="48"/>
  <c r="Q649" i="48"/>
  <c r="R892" i="48"/>
  <c r="Q892" i="48"/>
  <c r="P892" i="48"/>
  <c r="S892" i="48"/>
  <c r="O892" i="48"/>
  <c r="R847" i="48"/>
  <c r="Q847" i="48"/>
  <c r="S847" i="48"/>
  <c r="P847" i="48"/>
  <c r="O847" i="48"/>
  <c r="Q1026" i="48"/>
  <c r="P1026" i="48"/>
  <c r="O1026" i="48"/>
  <c r="S1026" i="48"/>
  <c r="R1026" i="48"/>
  <c r="S647" i="48"/>
  <c r="R647" i="48"/>
  <c r="O647" i="48"/>
  <c r="Q647" i="48"/>
  <c r="P647" i="48"/>
  <c r="S632" i="48"/>
  <c r="R632" i="48"/>
  <c r="O632" i="48"/>
  <c r="Q632" i="48"/>
  <c r="P632" i="48"/>
  <c r="S751" i="48"/>
  <c r="P751" i="48"/>
  <c r="R751" i="48"/>
  <c r="Q751" i="48"/>
  <c r="O751" i="48"/>
  <c r="S598" i="48"/>
  <c r="R598" i="48"/>
  <c r="O598" i="48"/>
  <c r="Q598" i="48"/>
  <c r="P598" i="48"/>
  <c r="S742" i="48"/>
  <c r="P742" i="48"/>
  <c r="R742" i="48"/>
  <c r="Q742" i="48"/>
  <c r="O742" i="48"/>
  <c r="S645" i="48"/>
  <c r="R645" i="48"/>
  <c r="O645" i="48"/>
  <c r="P645" i="48"/>
  <c r="Q645" i="48"/>
  <c r="S564" i="48"/>
  <c r="R564" i="48"/>
  <c r="O564" i="48"/>
  <c r="P564" i="48"/>
  <c r="Q564" i="48"/>
  <c r="S729" i="48"/>
  <c r="P729" i="48"/>
  <c r="R729" i="48"/>
  <c r="Q729" i="48"/>
  <c r="O729" i="48"/>
  <c r="R947" i="48"/>
  <c r="Q947" i="48"/>
  <c r="P947" i="48"/>
  <c r="S947" i="48"/>
  <c r="O947" i="48"/>
  <c r="R859" i="48"/>
  <c r="Q859" i="48"/>
  <c r="P859" i="48"/>
  <c r="S859" i="48"/>
  <c r="O859" i="48"/>
  <c r="Q1100" i="48"/>
  <c r="P1100" i="48"/>
  <c r="O1100" i="48"/>
  <c r="S1100" i="48"/>
  <c r="R1100" i="48"/>
  <c r="R863" i="48"/>
  <c r="Q863" i="48"/>
  <c r="P863" i="48"/>
  <c r="S863" i="48"/>
  <c r="O863" i="48"/>
  <c r="R1006" i="48"/>
  <c r="Q1006" i="48"/>
  <c r="P1006" i="48"/>
  <c r="O1006" i="48"/>
  <c r="S1006" i="48"/>
  <c r="Q1121" i="48"/>
  <c r="P1121" i="48"/>
  <c r="O1121" i="48"/>
  <c r="S1121" i="48"/>
  <c r="R1121" i="48"/>
  <c r="Q1066" i="48"/>
  <c r="P1066" i="48"/>
  <c r="O1066" i="48"/>
  <c r="S1066" i="48"/>
  <c r="R1066" i="48"/>
  <c r="Q1162" i="48"/>
  <c r="P1162" i="48"/>
  <c r="O1162" i="48"/>
  <c r="S1162" i="48"/>
  <c r="R1162" i="48"/>
  <c r="O1041" i="48"/>
  <c r="Q1041" i="48"/>
  <c r="P1041" i="48"/>
  <c r="R1041" i="48"/>
  <c r="S1041" i="48"/>
  <c r="S1386" i="48"/>
  <c r="R1386" i="48"/>
  <c r="O1386" i="48"/>
  <c r="Q1386" i="48"/>
  <c r="P1386" i="48"/>
  <c r="R1414" i="48"/>
  <c r="O1414" i="48"/>
  <c r="S1414" i="48"/>
  <c r="Q1414" i="48"/>
  <c r="P1414" i="48"/>
  <c r="P1393" i="48"/>
  <c r="O1393" i="48"/>
  <c r="S1393" i="48"/>
  <c r="R1393" i="48"/>
  <c r="Q1393" i="48"/>
  <c r="S1576" i="48"/>
  <c r="R1576" i="48"/>
  <c r="Q1576" i="48"/>
  <c r="O1576" i="48"/>
  <c r="P1576" i="48"/>
  <c r="S1682" i="48"/>
  <c r="P1682" i="48"/>
  <c r="R1682" i="48"/>
  <c r="Q1682" i="48"/>
  <c r="O1682" i="48"/>
  <c r="S1726" i="48"/>
  <c r="P1726" i="48"/>
  <c r="R1726" i="48"/>
  <c r="Q1726" i="48"/>
  <c r="O1726" i="48"/>
  <c r="S1743" i="48"/>
  <c r="P1743" i="48"/>
  <c r="R1743" i="48"/>
  <c r="Q1743" i="48"/>
  <c r="O1743" i="48"/>
  <c r="P1753" i="48"/>
  <c r="Q1753" i="48"/>
  <c r="S1753" i="48"/>
  <c r="R1753" i="48"/>
  <c r="O1753" i="48"/>
  <c r="P1656" i="48"/>
  <c r="O1656" i="48"/>
  <c r="R1656" i="48"/>
  <c r="S1656" i="48"/>
  <c r="Q1656" i="48"/>
  <c r="S1766" i="48"/>
  <c r="P1766" i="48"/>
  <c r="O1766" i="48"/>
  <c r="R1766" i="48"/>
  <c r="Q1766" i="48"/>
  <c r="S1790" i="48"/>
  <c r="P1790" i="48"/>
  <c r="O1790" i="48"/>
  <c r="R1790" i="48"/>
  <c r="Q1790" i="48"/>
  <c r="O1807" i="48"/>
  <c r="S1807" i="48"/>
  <c r="R1807" i="48"/>
  <c r="P1807" i="48"/>
  <c r="Q1807" i="48"/>
  <c r="P1935" i="48"/>
  <c r="S1935" i="48"/>
  <c r="R1935" i="48"/>
  <c r="Q1935" i="48"/>
  <c r="O1935" i="48"/>
  <c r="S1956" i="48"/>
  <c r="P1956" i="48"/>
  <c r="R1956" i="48"/>
  <c r="Q1956" i="48"/>
  <c r="O1956" i="48"/>
  <c r="P1925" i="48"/>
  <c r="R1925" i="48"/>
  <c r="O1925" i="48"/>
  <c r="Q1925" i="48"/>
  <c r="S1925" i="48"/>
  <c r="Q2000" i="48"/>
  <c r="P2000" i="48"/>
  <c r="O2000" i="48"/>
  <c r="S2000" i="48"/>
  <c r="R2000" i="48"/>
  <c r="R2050" i="48"/>
  <c r="S2050" i="48"/>
  <c r="O2050" i="48"/>
  <c r="Q2050" i="48"/>
  <c r="P2050" i="48"/>
  <c r="R2039" i="48"/>
  <c r="P2039" i="48"/>
  <c r="S2039" i="48"/>
  <c r="Q2039" i="48"/>
  <c r="O2039" i="48"/>
  <c r="R2054" i="48"/>
  <c r="P2054" i="48"/>
  <c r="O2054" i="48"/>
  <c r="S2054" i="48"/>
  <c r="Q2054" i="48"/>
  <c r="R773" i="48"/>
  <c r="P773" i="48"/>
  <c r="O773" i="48"/>
  <c r="Q773" i="48"/>
  <c r="S773" i="48"/>
  <c r="R989" i="48"/>
  <c r="Q989" i="48"/>
  <c r="P989" i="48"/>
  <c r="S989" i="48"/>
  <c r="O989" i="48"/>
  <c r="O1476" i="48"/>
  <c r="R1476" i="48"/>
  <c r="S1476" i="48"/>
  <c r="Q1476" i="48"/>
  <c r="P1476" i="48"/>
  <c r="Q1309" i="48"/>
  <c r="S1309" i="48"/>
  <c r="R1309" i="48"/>
  <c r="P1309" i="48"/>
  <c r="O1309" i="48"/>
  <c r="P2034" i="48"/>
  <c r="Q2034" i="48"/>
  <c r="O2034" i="48"/>
  <c r="S2034" i="48"/>
  <c r="R2034" i="48"/>
  <c r="O1504" i="48"/>
  <c r="R1504" i="48"/>
  <c r="S1504" i="48"/>
  <c r="Q1504" i="48"/>
  <c r="P1504" i="48"/>
  <c r="Q1334" i="48"/>
  <c r="S1334" i="48"/>
  <c r="O1334" i="48"/>
  <c r="R1334" i="48"/>
  <c r="P1334" i="48"/>
  <c r="O1482" i="48"/>
  <c r="R1482" i="48"/>
  <c r="P1482" i="48"/>
  <c r="Q1482" i="48"/>
  <c r="S1482" i="48"/>
  <c r="R882" i="48"/>
  <c r="Q882" i="48"/>
  <c r="P882" i="48"/>
  <c r="S882" i="48"/>
  <c r="O882" i="48"/>
  <c r="S1220" i="48"/>
  <c r="R1220" i="48"/>
  <c r="O1220" i="48"/>
  <c r="Q1220" i="48"/>
  <c r="P1220" i="48"/>
  <c r="Q1346" i="48"/>
  <c r="P1346" i="48"/>
  <c r="O1346" i="48"/>
  <c r="R1346" i="48"/>
  <c r="S1346" i="48"/>
  <c r="O1884" i="48"/>
  <c r="R1884" i="48"/>
  <c r="S1884" i="48"/>
  <c r="Q1884" i="48"/>
  <c r="P1884" i="48"/>
  <c r="Q1247" i="48"/>
  <c r="P1247" i="48"/>
  <c r="S1247" i="48"/>
  <c r="O1247" i="48"/>
  <c r="R1247" i="48"/>
  <c r="R792" i="48"/>
  <c r="S792" i="48"/>
  <c r="Q792" i="48"/>
  <c r="P792" i="48"/>
  <c r="O792" i="48"/>
  <c r="O1616" i="48"/>
  <c r="R1616" i="48"/>
  <c r="Q1616" i="48"/>
  <c r="P1616" i="48"/>
  <c r="S1616" i="48"/>
  <c r="Q1248" i="48"/>
  <c r="S1248" i="48"/>
  <c r="R1248" i="48"/>
  <c r="P1248" i="48"/>
  <c r="O1248" i="48"/>
  <c r="O1538" i="48"/>
  <c r="R1538" i="48"/>
  <c r="P1538" i="48"/>
  <c r="Q1538" i="48"/>
  <c r="S1538" i="48"/>
  <c r="R1179" i="48"/>
  <c r="Q1179" i="48"/>
  <c r="P1179" i="48"/>
  <c r="S1179" i="48"/>
  <c r="O1179" i="48"/>
  <c r="R881" i="48"/>
  <c r="Q881" i="48"/>
  <c r="P881" i="48"/>
  <c r="O881" i="48"/>
  <c r="S881" i="48"/>
  <c r="S1221" i="48"/>
  <c r="P1221" i="48"/>
  <c r="Q1221" i="48"/>
  <c r="O1221" i="48"/>
  <c r="R1221" i="48"/>
  <c r="O1848" i="48"/>
  <c r="R1848" i="48"/>
  <c r="S1848" i="48"/>
  <c r="Q1848" i="48"/>
  <c r="P1848" i="48"/>
  <c r="Q1561" i="48"/>
  <c r="P1561" i="48"/>
  <c r="O1561" i="48"/>
  <c r="R1561" i="48"/>
  <c r="S1561" i="48"/>
  <c r="R1234" i="48"/>
  <c r="Q1234" i="48"/>
  <c r="P1234" i="48"/>
  <c r="S1234" i="48"/>
  <c r="O1234" i="48"/>
  <c r="R799" i="48"/>
  <c r="S799" i="48"/>
  <c r="Q799" i="48"/>
  <c r="P799" i="48"/>
  <c r="O799" i="48"/>
  <c r="S740" i="48"/>
  <c r="P740" i="48"/>
  <c r="R740" i="48"/>
  <c r="Q740" i="48"/>
  <c r="O740" i="48"/>
  <c r="Q1071" i="48"/>
  <c r="P1071" i="48"/>
  <c r="O1071" i="48"/>
  <c r="S1071" i="48"/>
  <c r="R1071" i="48"/>
  <c r="Q666" i="48"/>
  <c r="P666" i="48"/>
  <c r="O666" i="48"/>
  <c r="R666" i="48"/>
  <c r="S666" i="48"/>
  <c r="S618" i="48"/>
  <c r="R618" i="48"/>
  <c r="O618" i="48"/>
  <c r="Q618" i="48"/>
  <c r="P618" i="48"/>
  <c r="Q1091" i="48"/>
  <c r="P1091" i="48"/>
  <c r="O1091" i="48"/>
  <c r="S1091" i="48"/>
  <c r="R1091" i="48"/>
  <c r="S691" i="48"/>
  <c r="P691" i="48"/>
  <c r="R691" i="48"/>
  <c r="Q691" i="48"/>
  <c r="O691" i="48"/>
  <c r="R998" i="48"/>
  <c r="Q998" i="48"/>
  <c r="P998" i="48"/>
  <c r="O998" i="48"/>
  <c r="S998" i="48"/>
  <c r="Q668" i="48"/>
  <c r="P668" i="48"/>
  <c r="O668" i="48"/>
  <c r="S668" i="48"/>
  <c r="R668" i="48"/>
  <c r="R950" i="48"/>
  <c r="Q950" i="48"/>
  <c r="P950" i="48"/>
  <c r="O950" i="48"/>
  <c r="S950" i="48"/>
  <c r="Q1083" i="48"/>
  <c r="P1083" i="48"/>
  <c r="O1083" i="48"/>
  <c r="S1083" i="48"/>
  <c r="R1083" i="48"/>
  <c r="S701" i="48"/>
  <c r="P701" i="48"/>
  <c r="R701" i="48"/>
  <c r="Q701" i="48"/>
  <c r="O701" i="48"/>
  <c r="R835" i="48"/>
  <c r="Q835" i="48"/>
  <c r="P835" i="48"/>
  <c r="S835" i="48"/>
  <c r="O835" i="48"/>
  <c r="S1021" i="48"/>
  <c r="P1021" i="48"/>
  <c r="O1021" i="48"/>
  <c r="R1021" i="48"/>
  <c r="Q1021" i="48"/>
  <c r="Q1072" i="48"/>
  <c r="P1072" i="48"/>
  <c r="O1072" i="48"/>
  <c r="S1072" i="48"/>
  <c r="R1072" i="48"/>
  <c r="Q1168" i="48"/>
  <c r="P1168" i="48"/>
  <c r="O1168" i="48"/>
  <c r="S1168" i="48"/>
  <c r="R1168" i="48"/>
  <c r="R958" i="48"/>
  <c r="Q958" i="48"/>
  <c r="P958" i="48"/>
  <c r="O958" i="48"/>
  <c r="S958" i="48"/>
  <c r="Q1093" i="48"/>
  <c r="P1093" i="48"/>
  <c r="O1093" i="48"/>
  <c r="S1093" i="48"/>
  <c r="R1093" i="48"/>
  <c r="R1419" i="48"/>
  <c r="O1419" i="48"/>
  <c r="P1419" i="48"/>
  <c r="S1419" i="48"/>
  <c r="Q1419" i="48"/>
  <c r="Q1134" i="48"/>
  <c r="P1134" i="48"/>
  <c r="O1134" i="48"/>
  <c r="S1134" i="48"/>
  <c r="R1134" i="48"/>
  <c r="O1034" i="48"/>
  <c r="Q1034" i="48"/>
  <c r="P1034" i="48"/>
  <c r="R1034" i="48"/>
  <c r="S1034" i="48"/>
  <c r="S1384" i="48"/>
  <c r="R1384" i="48"/>
  <c r="O1384" i="48"/>
  <c r="Q1384" i="48"/>
  <c r="P1384" i="48"/>
  <c r="R1428" i="48"/>
  <c r="O1428" i="48"/>
  <c r="S1428" i="48"/>
  <c r="Q1428" i="48"/>
  <c r="P1428" i="48"/>
  <c r="P1379" i="48"/>
  <c r="O1379" i="48"/>
  <c r="S1379" i="48"/>
  <c r="R1379" i="48"/>
  <c r="Q1379" i="48"/>
  <c r="R1413" i="48"/>
  <c r="O1413" i="48"/>
  <c r="S1413" i="48"/>
  <c r="P1413" i="48"/>
  <c r="Q1413" i="48"/>
  <c r="Q1827" i="48"/>
  <c r="P1827" i="48"/>
  <c r="O1827" i="48"/>
  <c r="S1827" i="48"/>
  <c r="R1827" i="48"/>
  <c r="S1663" i="48"/>
  <c r="P1663" i="48"/>
  <c r="R1663" i="48"/>
  <c r="Q1663" i="48"/>
  <c r="O1663" i="48"/>
  <c r="S1709" i="48"/>
  <c r="P1709" i="48"/>
  <c r="R1709" i="48"/>
  <c r="Q1709" i="48"/>
  <c r="O1709" i="48"/>
  <c r="S1705" i="48"/>
  <c r="P1705" i="48"/>
  <c r="R1705" i="48"/>
  <c r="Q1705" i="48"/>
  <c r="O1705" i="48"/>
  <c r="S1721" i="48"/>
  <c r="P1721" i="48"/>
  <c r="R1721" i="48"/>
  <c r="Q1721" i="48"/>
  <c r="O1721" i="48"/>
  <c r="O1834" i="48"/>
  <c r="S1834" i="48"/>
  <c r="P1834" i="48"/>
  <c r="R1834" i="48"/>
  <c r="Q1834" i="48"/>
  <c r="S1775" i="48"/>
  <c r="P1775" i="48"/>
  <c r="O1775" i="48"/>
  <c r="R1775" i="48"/>
  <c r="Q1775" i="48"/>
  <c r="O1872" i="48"/>
  <c r="S1872" i="48"/>
  <c r="P1872" i="48"/>
  <c r="R1872" i="48"/>
  <c r="Q1872" i="48"/>
  <c r="O1836" i="48"/>
  <c r="S1836" i="48"/>
  <c r="P1836" i="48"/>
  <c r="R1836" i="48"/>
  <c r="Q1836" i="48"/>
  <c r="P1897" i="48"/>
  <c r="Q1897" i="48"/>
  <c r="O1897" i="48"/>
  <c r="S1897" i="48"/>
  <c r="R1897" i="48"/>
  <c r="Q2013" i="48"/>
  <c r="P2013" i="48"/>
  <c r="O2013" i="48"/>
  <c r="S2013" i="48"/>
  <c r="R2013" i="48"/>
  <c r="S1961" i="48"/>
  <c r="P1961" i="48"/>
  <c r="R1961" i="48"/>
  <c r="Q1961" i="48"/>
  <c r="O1961" i="48"/>
  <c r="Q1999" i="48"/>
  <c r="P1999" i="48"/>
  <c r="O1999" i="48"/>
  <c r="S1999" i="48"/>
  <c r="R1999" i="48"/>
  <c r="R2048" i="48"/>
  <c r="S2048" i="48"/>
  <c r="Q2048" i="48"/>
  <c r="P2048" i="48"/>
  <c r="O2048" i="48"/>
  <c r="O1851" i="48"/>
  <c r="R1851" i="48"/>
  <c r="Q1851" i="48"/>
  <c r="P1851" i="48"/>
  <c r="S1851" i="48"/>
  <c r="Q1554" i="48"/>
  <c r="P1554" i="48"/>
  <c r="O1554" i="48"/>
  <c r="S1554" i="48"/>
  <c r="R1554" i="48"/>
  <c r="P1193" i="48"/>
  <c r="O1193" i="48"/>
  <c r="S1193" i="48"/>
  <c r="R1193" i="48"/>
  <c r="Q1193" i="48"/>
  <c r="R940" i="48"/>
  <c r="Q940" i="48"/>
  <c r="P940" i="48"/>
  <c r="S940" i="48"/>
  <c r="O940" i="48"/>
  <c r="O1526" i="48"/>
  <c r="R1526" i="48"/>
  <c r="P1526" i="48"/>
  <c r="Q1526" i="48"/>
  <c r="S1526" i="48"/>
  <c r="O1212" i="48"/>
  <c r="R1212" i="48"/>
  <c r="S1212" i="48"/>
  <c r="Q1212" i="48"/>
  <c r="P1212" i="48"/>
  <c r="R944" i="48"/>
  <c r="Q944" i="48"/>
  <c r="P944" i="48"/>
  <c r="S944" i="48"/>
  <c r="O944" i="48"/>
  <c r="O1883" i="48"/>
  <c r="R1883" i="48"/>
  <c r="Q1883" i="48"/>
  <c r="S1883" i="48"/>
  <c r="P1883" i="48"/>
  <c r="O1457" i="48"/>
  <c r="R1457" i="48"/>
  <c r="S1457" i="48"/>
  <c r="P1457" i="48"/>
  <c r="Q1457" i="48"/>
  <c r="S1578" i="48"/>
  <c r="R1578" i="48"/>
  <c r="Q1578" i="48"/>
  <c r="O1578" i="48"/>
  <c r="P1578" i="48"/>
  <c r="Q1264" i="48"/>
  <c r="R1264" i="48"/>
  <c r="P1264" i="48"/>
  <c r="S1264" i="48"/>
  <c r="O1264" i="48"/>
  <c r="Q1339" i="48"/>
  <c r="R1339" i="48"/>
  <c r="P1339" i="48"/>
  <c r="O1339" i="48"/>
  <c r="S1339" i="48"/>
  <c r="S1235" i="48"/>
  <c r="R1235" i="48"/>
  <c r="Q1235" i="48"/>
  <c r="O1235" i="48"/>
  <c r="P1235" i="48"/>
  <c r="R829" i="48"/>
  <c r="Q829" i="48"/>
  <c r="O829" i="48"/>
  <c r="P829" i="48"/>
  <c r="S829" i="48"/>
  <c r="R780" i="48"/>
  <c r="O780" i="48"/>
  <c r="S780" i="48"/>
  <c r="P780" i="48"/>
  <c r="Q780" i="48"/>
  <c r="O1879" i="48"/>
  <c r="R1879" i="48"/>
  <c r="Q1879" i="48"/>
  <c r="S1879" i="48"/>
  <c r="P1879" i="48"/>
  <c r="O1634" i="48"/>
  <c r="R1634" i="48"/>
  <c r="Q1634" i="48"/>
  <c r="S1634" i="48"/>
  <c r="P1634" i="48"/>
  <c r="O1639" i="48"/>
  <c r="S1639" i="48"/>
  <c r="R1639" i="48"/>
  <c r="Q1639" i="48"/>
  <c r="P1639" i="48"/>
  <c r="Q1568" i="48"/>
  <c r="P1568" i="48"/>
  <c r="O1568" i="48"/>
  <c r="R1568" i="48"/>
  <c r="S1568" i="48"/>
  <c r="Q1320" i="48"/>
  <c r="R1320" i="48"/>
  <c r="S1320" i="48"/>
  <c r="P1320" i="48"/>
  <c r="O1320" i="48"/>
  <c r="R1203" i="48"/>
  <c r="Q1203" i="48"/>
  <c r="P1203" i="48"/>
  <c r="S1203" i="48"/>
  <c r="O1203" i="48"/>
  <c r="Q1274" i="48"/>
  <c r="P1274" i="48"/>
  <c r="O1274" i="48"/>
  <c r="R1274" i="48"/>
  <c r="S1274" i="48"/>
  <c r="R929" i="48"/>
  <c r="Q929" i="48"/>
  <c r="P929" i="48"/>
  <c r="O929" i="48"/>
  <c r="S929" i="48"/>
  <c r="R980" i="48"/>
  <c r="Q980" i="48"/>
  <c r="P980" i="48"/>
  <c r="S980" i="48"/>
  <c r="O980" i="48"/>
  <c r="R873" i="48"/>
  <c r="Q873" i="48"/>
  <c r="P873" i="48"/>
  <c r="O873" i="48"/>
  <c r="S873" i="48"/>
  <c r="O1844" i="48"/>
  <c r="R1844" i="48"/>
  <c r="S1844" i="48"/>
  <c r="Q1844" i="48"/>
  <c r="P1844" i="48"/>
  <c r="Q1241" i="48"/>
  <c r="P1241" i="48"/>
  <c r="O1241" i="48"/>
  <c r="S1241" i="48"/>
  <c r="R1241" i="48"/>
  <c r="S1184" i="48"/>
  <c r="R1184" i="48"/>
  <c r="Q1184" i="48"/>
  <c r="P1184" i="48"/>
  <c r="O1184" i="48"/>
  <c r="R930" i="48"/>
  <c r="Q930" i="48"/>
  <c r="P930" i="48"/>
  <c r="S930" i="48"/>
  <c r="O930" i="48"/>
  <c r="O1864" i="48"/>
  <c r="R1864" i="48"/>
  <c r="S1864" i="48"/>
  <c r="Q1864" i="48"/>
  <c r="P1864" i="48"/>
  <c r="O1519" i="48"/>
  <c r="R1519" i="48"/>
  <c r="S1519" i="48"/>
  <c r="Q1519" i="48"/>
  <c r="P1519" i="48"/>
  <c r="R874" i="48"/>
  <c r="Q874" i="48"/>
  <c r="P874" i="48"/>
  <c r="S874" i="48"/>
  <c r="O874" i="48"/>
  <c r="O1843" i="48"/>
  <c r="R1843" i="48"/>
  <c r="P1843" i="48"/>
  <c r="S1843" i="48"/>
  <c r="Q1843" i="48"/>
  <c r="Q1271" i="48"/>
  <c r="P1271" i="48"/>
  <c r="S1271" i="48"/>
  <c r="R1271" i="48"/>
  <c r="O1271" i="48"/>
  <c r="Q1182" i="48"/>
  <c r="P1182" i="48"/>
  <c r="O1182" i="48"/>
  <c r="S1182" i="48"/>
  <c r="R1182" i="48"/>
  <c r="R767" i="48"/>
  <c r="S767" i="48"/>
  <c r="Q767" i="48"/>
  <c r="P767" i="48"/>
  <c r="O767" i="48"/>
  <c r="O1613" i="48"/>
  <c r="P1613" i="48"/>
  <c r="S1613" i="48"/>
  <c r="R1613" i="48"/>
  <c r="Q1613" i="48"/>
  <c r="O1877" i="48"/>
  <c r="Q1877" i="48"/>
  <c r="P1877" i="48"/>
  <c r="S1877" i="48"/>
  <c r="R1877" i="48"/>
  <c r="O1473" i="48"/>
  <c r="R1473" i="48"/>
  <c r="Q1473" i="48"/>
  <c r="P1473" i="48"/>
  <c r="S1473" i="48"/>
  <c r="O1468" i="48"/>
  <c r="R1468" i="48"/>
  <c r="S1468" i="48"/>
  <c r="Q1468" i="48"/>
  <c r="P1468" i="48"/>
  <c r="Q1312" i="48"/>
  <c r="R1312" i="48"/>
  <c r="P1312" i="48"/>
  <c r="S1312" i="48"/>
  <c r="O1312" i="48"/>
  <c r="R1195" i="48"/>
  <c r="Q1195" i="48"/>
  <c r="P1195" i="48"/>
  <c r="S1195" i="48"/>
  <c r="O1195" i="48"/>
  <c r="Q1254" i="48"/>
  <c r="S1254" i="48"/>
  <c r="O1254" i="48"/>
  <c r="R1254" i="48"/>
  <c r="P1254" i="48"/>
  <c r="R913" i="48"/>
  <c r="Q913" i="48"/>
  <c r="P913" i="48"/>
  <c r="O913" i="48"/>
  <c r="S913" i="48"/>
  <c r="R965" i="48"/>
  <c r="Q965" i="48"/>
  <c r="P965" i="48"/>
  <c r="S965" i="48"/>
  <c r="O965" i="48"/>
  <c r="O1881" i="48"/>
  <c r="R1881" i="48"/>
  <c r="S1881" i="48"/>
  <c r="Q1881" i="48"/>
  <c r="P1881" i="48"/>
  <c r="O1533" i="48"/>
  <c r="R1533" i="48"/>
  <c r="Q1533" i="48"/>
  <c r="P1533" i="48"/>
  <c r="S1533" i="48"/>
  <c r="O1496" i="48"/>
  <c r="R1496" i="48"/>
  <c r="S1496" i="48"/>
  <c r="Q1496" i="48"/>
  <c r="P1496" i="48"/>
  <c r="Q1304" i="48"/>
  <c r="R1304" i="48"/>
  <c r="S1304" i="48"/>
  <c r="P1304" i="48"/>
  <c r="O1304" i="48"/>
  <c r="P1240" i="48"/>
  <c r="O1240" i="48"/>
  <c r="S1240" i="48"/>
  <c r="R1240" i="48"/>
  <c r="Q1240" i="48"/>
  <c r="O1880" i="48"/>
  <c r="R1880" i="48"/>
  <c r="S1880" i="48"/>
  <c r="Q1880" i="48"/>
  <c r="P1880" i="48"/>
  <c r="O1587" i="48"/>
  <c r="S1587" i="48"/>
  <c r="R1587" i="48"/>
  <c r="P1587" i="48"/>
  <c r="Q1587" i="48"/>
  <c r="O1474" i="48"/>
  <c r="R1474" i="48"/>
  <c r="P1474" i="48"/>
  <c r="Q1474" i="48"/>
  <c r="S1474" i="48"/>
  <c r="O1527" i="48"/>
  <c r="R1527" i="48"/>
  <c r="S1527" i="48"/>
  <c r="Q1527" i="48"/>
  <c r="P1527" i="48"/>
  <c r="O1452" i="48"/>
  <c r="S1452" i="48"/>
  <c r="R1452" i="48"/>
  <c r="Q1452" i="48"/>
  <c r="P1452" i="48"/>
  <c r="P1224" i="48"/>
  <c r="O1224" i="48"/>
  <c r="S1224" i="48"/>
  <c r="R1224" i="48"/>
  <c r="Q1224" i="48"/>
  <c r="R954" i="48"/>
  <c r="Q954" i="48"/>
  <c r="P954" i="48"/>
  <c r="S954" i="48"/>
  <c r="O954" i="48"/>
  <c r="R984" i="48"/>
  <c r="Q984" i="48"/>
  <c r="P984" i="48"/>
  <c r="S984" i="48"/>
  <c r="O984" i="48"/>
  <c r="Q1302" i="48"/>
  <c r="S1302" i="48"/>
  <c r="O1302" i="48"/>
  <c r="R1302" i="48"/>
  <c r="P1302" i="48"/>
  <c r="O1633" i="48"/>
  <c r="S1633" i="48"/>
  <c r="Q1633" i="48"/>
  <c r="P1633" i="48"/>
  <c r="R1633" i="48"/>
  <c r="Q1348" i="48"/>
  <c r="S1348" i="48"/>
  <c r="R1348" i="48"/>
  <c r="P1348" i="48"/>
  <c r="O1348" i="48"/>
  <c r="R775" i="48"/>
  <c r="S775" i="48"/>
  <c r="Q775" i="48"/>
  <c r="P775" i="48"/>
  <c r="O775" i="48"/>
  <c r="O1512" i="48"/>
  <c r="R1512" i="48"/>
  <c r="S1512" i="48"/>
  <c r="Q1512" i="48"/>
  <c r="P1512" i="48"/>
  <c r="Q1570" i="48"/>
  <c r="P1570" i="48"/>
  <c r="O1570" i="48"/>
  <c r="S1570" i="48"/>
  <c r="R1570" i="48"/>
  <c r="O1842" i="48"/>
  <c r="R1842" i="48"/>
  <c r="S1842" i="48"/>
  <c r="Q1842" i="48"/>
  <c r="P1842" i="48"/>
  <c r="Q1610" i="48"/>
  <c r="R1610" i="48"/>
  <c r="P1610" i="48"/>
  <c r="O1610" i="48"/>
  <c r="S1610" i="48"/>
  <c r="O1502" i="48"/>
  <c r="R1502" i="48"/>
  <c r="P1502" i="48"/>
  <c r="Q1502" i="48"/>
  <c r="S1502" i="48"/>
  <c r="Q1558" i="48"/>
  <c r="P1558" i="48"/>
  <c r="O1558" i="48"/>
  <c r="S1558" i="48"/>
  <c r="R1558" i="48"/>
  <c r="Q1207" i="48"/>
  <c r="P1207" i="48"/>
  <c r="O1207" i="48"/>
  <c r="R1207" i="48"/>
  <c r="S1207" i="48"/>
  <c r="Q1294" i="48"/>
  <c r="S1294" i="48"/>
  <c r="O1294" i="48"/>
  <c r="R1294" i="48"/>
  <c r="P1294" i="48"/>
  <c r="R1005" i="48"/>
  <c r="Q1005" i="48"/>
  <c r="P1005" i="48"/>
  <c r="S1005" i="48"/>
  <c r="O1005" i="48"/>
  <c r="R788" i="48"/>
  <c r="O788" i="48"/>
  <c r="S788" i="48"/>
  <c r="P788" i="48"/>
  <c r="Q788" i="48"/>
  <c r="R949" i="48"/>
  <c r="Q949" i="48"/>
  <c r="P949" i="48"/>
  <c r="S949" i="48"/>
  <c r="O949" i="48"/>
  <c r="S601" i="48"/>
  <c r="R601" i="48"/>
  <c r="O601" i="48"/>
  <c r="P601" i="48"/>
  <c r="Q601" i="48"/>
  <c r="S577" i="48"/>
  <c r="R577" i="48"/>
  <c r="O577" i="48"/>
  <c r="P577" i="48"/>
  <c r="Q577" i="48"/>
  <c r="S578" i="48"/>
  <c r="R578" i="48"/>
  <c r="O578" i="48"/>
  <c r="Q578" i="48"/>
  <c r="P578" i="48"/>
  <c r="R887" i="48"/>
  <c r="Q887" i="48"/>
  <c r="P887" i="48"/>
  <c r="S887" i="48"/>
  <c r="O887" i="48"/>
  <c r="S617" i="48"/>
  <c r="R617" i="48"/>
  <c r="O617" i="48"/>
  <c r="P617" i="48"/>
  <c r="Q617" i="48"/>
  <c r="S579" i="48"/>
  <c r="R579" i="48"/>
  <c r="O579" i="48"/>
  <c r="P579" i="48"/>
  <c r="Q579" i="48"/>
  <c r="S643" i="48"/>
  <c r="R643" i="48"/>
  <c r="O643" i="48"/>
  <c r="Q643" i="48"/>
  <c r="P643" i="48"/>
  <c r="S559" i="48"/>
  <c r="R559" i="48"/>
  <c r="O559" i="48"/>
  <c r="Q559" i="48"/>
  <c r="P559" i="48"/>
  <c r="R822" i="48"/>
  <c r="Q822" i="48"/>
  <c r="O822" i="48"/>
  <c r="S822" i="48"/>
  <c r="P822" i="48"/>
  <c r="S659" i="48"/>
  <c r="P659" i="48"/>
  <c r="R659" i="48"/>
  <c r="Q659" i="48"/>
  <c r="O659" i="48"/>
  <c r="S570" i="48"/>
  <c r="R570" i="48"/>
  <c r="O570" i="48"/>
  <c r="Q570" i="48"/>
  <c r="P570" i="48"/>
  <c r="S634" i="48"/>
  <c r="R634" i="48"/>
  <c r="O634" i="48"/>
  <c r="Q634" i="48"/>
  <c r="P634" i="48"/>
  <c r="S567" i="48"/>
  <c r="R567" i="48"/>
  <c r="O567" i="48"/>
  <c r="Q567" i="48"/>
  <c r="P567" i="48"/>
  <c r="R919" i="48"/>
  <c r="Q919" i="48"/>
  <c r="P919" i="48"/>
  <c r="S919" i="48"/>
  <c r="O919" i="48"/>
  <c r="Q1123" i="48"/>
  <c r="P1123" i="48"/>
  <c r="O1123" i="48"/>
  <c r="S1123" i="48"/>
  <c r="R1123" i="48"/>
  <c r="S592" i="48"/>
  <c r="R592" i="48"/>
  <c r="O592" i="48"/>
  <c r="Q592" i="48"/>
  <c r="P592" i="48"/>
  <c r="S653" i="48"/>
  <c r="P653" i="48"/>
  <c r="R653" i="48"/>
  <c r="Q653" i="48"/>
  <c r="O653" i="48"/>
  <c r="S699" i="48"/>
  <c r="P699" i="48"/>
  <c r="R699" i="48"/>
  <c r="Q699" i="48"/>
  <c r="O699" i="48"/>
  <c r="S731" i="48"/>
  <c r="P731" i="48"/>
  <c r="R731" i="48"/>
  <c r="Q731" i="48"/>
  <c r="O731" i="48"/>
  <c r="R770" i="48"/>
  <c r="P770" i="48"/>
  <c r="O770" i="48"/>
  <c r="S770" i="48"/>
  <c r="Q770" i="48"/>
  <c r="Q1063" i="48"/>
  <c r="P1063" i="48"/>
  <c r="O1063" i="48"/>
  <c r="S1063" i="48"/>
  <c r="R1063" i="48"/>
  <c r="S558" i="48"/>
  <c r="R558" i="48"/>
  <c r="O558" i="48"/>
  <c r="Q558" i="48"/>
  <c r="P558" i="48"/>
  <c r="S622" i="48"/>
  <c r="R622" i="48"/>
  <c r="O622" i="48"/>
  <c r="Q622" i="48"/>
  <c r="P622" i="48"/>
  <c r="S690" i="48"/>
  <c r="P690" i="48"/>
  <c r="R690" i="48"/>
  <c r="Q690" i="48"/>
  <c r="O690" i="48"/>
  <c r="S722" i="48"/>
  <c r="P722" i="48"/>
  <c r="R722" i="48"/>
  <c r="Q722" i="48"/>
  <c r="O722" i="48"/>
  <c r="S754" i="48"/>
  <c r="P754" i="48"/>
  <c r="R754" i="48"/>
  <c r="Q754" i="48"/>
  <c r="O754" i="48"/>
  <c r="R1014" i="48"/>
  <c r="Q1014" i="48"/>
  <c r="P1014" i="48"/>
  <c r="O1014" i="48"/>
  <c r="S1014" i="48"/>
  <c r="S605" i="48"/>
  <c r="R605" i="48"/>
  <c r="O605" i="48"/>
  <c r="P605" i="48"/>
  <c r="Q605" i="48"/>
  <c r="R830" i="48"/>
  <c r="Q830" i="48"/>
  <c r="O830" i="48"/>
  <c r="S830" i="48"/>
  <c r="P830" i="48"/>
  <c r="Q1115" i="48"/>
  <c r="P1115" i="48"/>
  <c r="O1115" i="48"/>
  <c r="S1115" i="48"/>
  <c r="R1115" i="48"/>
  <c r="S588" i="48"/>
  <c r="R588" i="48"/>
  <c r="O588" i="48"/>
  <c r="P588" i="48"/>
  <c r="Q588" i="48"/>
  <c r="S661" i="48"/>
  <c r="P661" i="48"/>
  <c r="R661" i="48"/>
  <c r="O661" i="48"/>
  <c r="Q661" i="48"/>
  <c r="S709" i="48"/>
  <c r="P709" i="48"/>
  <c r="R709" i="48"/>
  <c r="Q709" i="48"/>
  <c r="O709" i="48"/>
  <c r="S741" i="48"/>
  <c r="P741" i="48"/>
  <c r="R741" i="48"/>
  <c r="Q741" i="48"/>
  <c r="O741" i="48"/>
  <c r="R966" i="48"/>
  <c r="Q966" i="48"/>
  <c r="P966" i="48"/>
  <c r="O966" i="48"/>
  <c r="S966" i="48"/>
  <c r="R867" i="48"/>
  <c r="Q867" i="48"/>
  <c r="P867" i="48"/>
  <c r="S867" i="48"/>
  <c r="O867" i="48"/>
  <c r="R995" i="48"/>
  <c r="Q995" i="48"/>
  <c r="P995" i="48"/>
  <c r="S995" i="48"/>
  <c r="O995" i="48"/>
  <c r="R774" i="48"/>
  <c r="Q774" i="48"/>
  <c r="P774" i="48"/>
  <c r="O774" i="48"/>
  <c r="S774" i="48"/>
  <c r="R785" i="48"/>
  <c r="S785" i="48"/>
  <c r="O785" i="48"/>
  <c r="P785" i="48"/>
  <c r="Q785" i="48"/>
  <c r="R907" i="48"/>
  <c r="Q907" i="48"/>
  <c r="P907" i="48"/>
  <c r="S907" i="48"/>
  <c r="O907" i="48"/>
  <c r="Q1024" i="48"/>
  <c r="P1024" i="48"/>
  <c r="O1024" i="48"/>
  <c r="R1024" i="48"/>
  <c r="S1024" i="48"/>
  <c r="Q1080" i="48"/>
  <c r="P1080" i="48"/>
  <c r="O1080" i="48"/>
  <c r="S1080" i="48"/>
  <c r="R1080" i="48"/>
  <c r="Q1112" i="48"/>
  <c r="P1112" i="48"/>
  <c r="O1112" i="48"/>
  <c r="S1112" i="48"/>
  <c r="R1112" i="48"/>
  <c r="Q1144" i="48"/>
  <c r="P1144" i="48"/>
  <c r="O1144" i="48"/>
  <c r="S1144" i="48"/>
  <c r="R1144" i="48"/>
  <c r="Q1176" i="48"/>
  <c r="P1176" i="48"/>
  <c r="O1176" i="48"/>
  <c r="S1176" i="48"/>
  <c r="R1176" i="48"/>
  <c r="R879" i="48"/>
  <c r="Q879" i="48"/>
  <c r="P879" i="48"/>
  <c r="S879" i="48"/>
  <c r="O879" i="48"/>
  <c r="R926" i="48"/>
  <c r="Q926" i="48"/>
  <c r="P926" i="48"/>
  <c r="O926" i="48"/>
  <c r="S926" i="48"/>
  <c r="R964" i="48"/>
  <c r="Q964" i="48"/>
  <c r="P964" i="48"/>
  <c r="S964" i="48"/>
  <c r="O964" i="48"/>
  <c r="S1027" i="48"/>
  <c r="P1027" i="48"/>
  <c r="R1027" i="48"/>
  <c r="Q1027" i="48"/>
  <c r="O1027" i="48"/>
  <c r="Q1069" i="48"/>
  <c r="P1069" i="48"/>
  <c r="O1069" i="48"/>
  <c r="S1069" i="48"/>
  <c r="R1069" i="48"/>
  <c r="Q1101" i="48"/>
  <c r="P1101" i="48"/>
  <c r="O1101" i="48"/>
  <c r="S1101" i="48"/>
  <c r="R1101" i="48"/>
  <c r="Q1133" i="48"/>
  <c r="P1133" i="48"/>
  <c r="O1133" i="48"/>
  <c r="S1133" i="48"/>
  <c r="R1133" i="48"/>
  <c r="Q1165" i="48"/>
  <c r="P1165" i="48"/>
  <c r="O1165" i="48"/>
  <c r="S1165" i="48"/>
  <c r="R1165" i="48"/>
  <c r="S1025" i="48"/>
  <c r="P1025" i="48"/>
  <c r="R1025" i="48"/>
  <c r="Q1025" i="48"/>
  <c r="O1025" i="48"/>
  <c r="Q1078" i="48"/>
  <c r="P1078" i="48"/>
  <c r="O1078" i="48"/>
  <c r="S1078" i="48"/>
  <c r="R1078" i="48"/>
  <c r="Q1110" i="48"/>
  <c r="P1110" i="48"/>
  <c r="O1110" i="48"/>
  <c r="S1110" i="48"/>
  <c r="R1110" i="48"/>
  <c r="Q1142" i="48"/>
  <c r="P1142" i="48"/>
  <c r="O1142" i="48"/>
  <c r="S1142" i="48"/>
  <c r="R1142" i="48"/>
  <c r="Q1174" i="48"/>
  <c r="P1174" i="48"/>
  <c r="O1174" i="48"/>
  <c r="S1174" i="48"/>
  <c r="R1174" i="48"/>
  <c r="R1403" i="48"/>
  <c r="Q1403" i="48"/>
  <c r="P1403" i="48"/>
  <c r="O1403" i="48"/>
  <c r="S1403" i="48"/>
  <c r="O1036" i="48"/>
  <c r="Q1036" i="48"/>
  <c r="P1036" i="48"/>
  <c r="R1036" i="48"/>
  <c r="S1036" i="48"/>
  <c r="O1044" i="48"/>
  <c r="Q1044" i="48"/>
  <c r="P1044" i="48"/>
  <c r="S1044" i="48"/>
  <c r="R1044" i="48"/>
  <c r="S1374" i="48"/>
  <c r="R1374" i="48"/>
  <c r="O1374" i="48"/>
  <c r="Q1374" i="48"/>
  <c r="P1374" i="48"/>
  <c r="R1404" i="48"/>
  <c r="S1404" i="48"/>
  <c r="Q1404" i="48"/>
  <c r="P1404" i="48"/>
  <c r="O1404" i="48"/>
  <c r="R1411" i="48"/>
  <c r="Q1411" i="48"/>
  <c r="P1411" i="48"/>
  <c r="O1411" i="48"/>
  <c r="S1411" i="48"/>
  <c r="R1425" i="48"/>
  <c r="O1425" i="48"/>
  <c r="S1425" i="48"/>
  <c r="Q1425" i="48"/>
  <c r="P1425" i="48"/>
  <c r="S1441" i="48"/>
  <c r="R1441" i="48"/>
  <c r="O1441" i="48"/>
  <c r="P1441" i="48"/>
  <c r="Q1441" i="48"/>
  <c r="S1432" i="48"/>
  <c r="R1432" i="48"/>
  <c r="O1432" i="48"/>
  <c r="Q1432" i="48"/>
  <c r="P1432" i="48"/>
  <c r="P1367" i="48"/>
  <c r="O1367" i="48"/>
  <c r="S1367" i="48"/>
  <c r="R1367" i="48"/>
  <c r="Q1367" i="48"/>
  <c r="P1383" i="48"/>
  <c r="O1383" i="48"/>
  <c r="S1383" i="48"/>
  <c r="R1383" i="48"/>
  <c r="Q1383" i="48"/>
  <c r="R1415" i="48"/>
  <c r="O1415" i="48"/>
  <c r="Q1415" i="48"/>
  <c r="P1415" i="48"/>
  <c r="S1415" i="48"/>
  <c r="R1418" i="48"/>
  <c r="O1418" i="48"/>
  <c r="P1418" i="48"/>
  <c r="Q1418" i="48"/>
  <c r="S1418" i="48"/>
  <c r="R1429" i="48"/>
  <c r="O1429" i="48"/>
  <c r="S1429" i="48"/>
  <c r="P1429" i="48"/>
  <c r="Q1429" i="48"/>
  <c r="P1550" i="48"/>
  <c r="S1550" i="48"/>
  <c r="O1550" i="48"/>
  <c r="R1550" i="48"/>
  <c r="Q1550" i="48"/>
  <c r="Q1819" i="48"/>
  <c r="P1819" i="48"/>
  <c r="O1819" i="48"/>
  <c r="S1819" i="48"/>
  <c r="R1819" i="48"/>
  <c r="S1716" i="48"/>
  <c r="P1716" i="48"/>
  <c r="R1716" i="48"/>
  <c r="Q1716" i="48"/>
  <c r="O1716" i="48"/>
  <c r="S1698" i="48"/>
  <c r="P1698" i="48"/>
  <c r="R1698" i="48"/>
  <c r="Q1698" i="48"/>
  <c r="O1698" i="48"/>
  <c r="Q1823" i="48"/>
  <c r="P1823" i="48"/>
  <c r="O1823" i="48"/>
  <c r="S1823" i="48"/>
  <c r="R1823" i="48"/>
  <c r="S1679" i="48"/>
  <c r="P1679" i="48"/>
  <c r="R1679" i="48"/>
  <c r="Q1679" i="48"/>
  <c r="O1679" i="48"/>
  <c r="S1661" i="48"/>
  <c r="P1661" i="48"/>
  <c r="R1661" i="48"/>
  <c r="Q1661" i="48"/>
  <c r="O1661" i="48"/>
  <c r="P1758" i="48"/>
  <c r="R1758" i="48"/>
  <c r="Q1758" i="48"/>
  <c r="O1758" i="48"/>
  <c r="S1758" i="48"/>
  <c r="S1720" i="48"/>
  <c r="P1720" i="48"/>
  <c r="R1720" i="48"/>
  <c r="Q1720" i="48"/>
  <c r="O1720" i="48"/>
  <c r="P1655" i="48"/>
  <c r="S1655" i="48"/>
  <c r="R1655" i="48"/>
  <c r="Q1655" i="48"/>
  <c r="O1655" i="48"/>
  <c r="S1718" i="48"/>
  <c r="P1718" i="48"/>
  <c r="R1718" i="48"/>
  <c r="Q1718" i="48"/>
  <c r="O1718" i="48"/>
  <c r="S1723" i="48"/>
  <c r="P1723" i="48"/>
  <c r="R1723" i="48"/>
  <c r="Q1723" i="48"/>
  <c r="O1723" i="48"/>
  <c r="S1722" i="48"/>
  <c r="P1722" i="48"/>
  <c r="R1722" i="48"/>
  <c r="Q1722" i="48"/>
  <c r="O1722" i="48"/>
  <c r="S1737" i="48"/>
  <c r="P1737" i="48"/>
  <c r="R1737" i="48"/>
  <c r="Q1737" i="48"/>
  <c r="O1737" i="48"/>
  <c r="P1646" i="48"/>
  <c r="O1646" i="48"/>
  <c r="Q1646" i="48"/>
  <c r="S1646" i="48"/>
  <c r="R1646" i="48"/>
  <c r="P1757" i="48"/>
  <c r="R1757" i="48"/>
  <c r="Q1757" i="48"/>
  <c r="O1757" i="48"/>
  <c r="S1757" i="48"/>
  <c r="S1799" i="48"/>
  <c r="R1799" i="48"/>
  <c r="O1799" i="48"/>
  <c r="P1799" i="48"/>
  <c r="Q1799" i="48"/>
  <c r="Q1896" i="48"/>
  <c r="P1896" i="48"/>
  <c r="S1896" i="48"/>
  <c r="R1896" i="48"/>
  <c r="O1896" i="48"/>
  <c r="S1769" i="48"/>
  <c r="P1769" i="48"/>
  <c r="O1769" i="48"/>
  <c r="R1769" i="48"/>
  <c r="Q1769" i="48"/>
  <c r="S1777" i="48"/>
  <c r="P1777" i="48"/>
  <c r="O1777" i="48"/>
  <c r="R1777" i="48"/>
  <c r="Q1777" i="48"/>
  <c r="S1785" i="48"/>
  <c r="P1785" i="48"/>
  <c r="O1785" i="48"/>
  <c r="R1785" i="48"/>
  <c r="Q1785" i="48"/>
  <c r="S1793" i="48"/>
  <c r="P1793" i="48"/>
  <c r="O1793" i="48"/>
  <c r="R1793" i="48"/>
  <c r="Q1793" i="48"/>
  <c r="Q1908" i="48"/>
  <c r="P1908" i="48"/>
  <c r="O1908" i="48"/>
  <c r="S1908" i="48"/>
  <c r="R1908" i="48"/>
  <c r="O1802" i="48"/>
  <c r="S1802" i="48"/>
  <c r="R1802" i="48"/>
  <c r="Q1802" i="48"/>
  <c r="P1802" i="48"/>
  <c r="S1949" i="48"/>
  <c r="P1949" i="48"/>
  <c r="R1949" i="48"/>
  <c r="Q1949" i="48"/>
  <c r="O1949" i="48"/>
  <c r="S1960" i="48"/>
  <c r="P1960" i="48"/>
  <c r="R1960" i="48"/>
  <c r="Q1960" i="48"/>
  <c r="O1960" i="48"/>
  <c r="Q1983" i="48"/>
  <c r="R1983" i="48"/>
  <c r="P1983" i="48"/>
  <c r="O1983" i="48"/>
  <c r="S1983" i="48"/>
  <c r="Q1894" i="48"/>
  <c r="P1894" i="48"/>
  <c r="S1894" i="48"/>
  <c r="R1894" i="48"/>
  <c r="O1894" i="48"/>
  <c r="S1952" i="48"/>
  <c r="P1952" i="48"/>
  <c r="R1952" i="48"/>
  <c r="Q1952" i="48"/>
  <c r="O1952" i="48"/>
  <c r="Q2020" i="48"/>
  <c r="P2020" i="48"/>
  <c r="O2020" i="48"/>
  <c r="S2020" i="48"/>
  <c r="R2020" i="48"/>
  <c r="Q1934" i="48"/>
  <c r="P1934" i="48"/>
  <c r="S1934" i="48"/>
  <c r="O1934" i="48"/>
  <c r="R1934" i="48"/>
  <c r="S1945" i="48"/>
  <c r="P1945" i="48"/>
  <c r="O1945" i="48"/>
  <c r="R1945" i="48"/>
  <c r="Q1945" i="48"/>
  <c r="P1915" i="48"/>
  <c r="R1915" i="48"/>
  <c r="S1915" i="48"/>
  <c r="O1915" i="48"/>
  <c r="Q1915" i="48"/>
  <c r="P1931" i="48"/>
  <c r="R1931" i="48"/>
  <c r="S1931" i="48"/>
  <c r="Q1931" i="48"/>
  <c r="O1931" i="48"/>
  <c r="Q1985" i="48"/>
  <c r="R1985" i="48"/>
  <c r="P1985" i="48"/>
  <c r="S1985" i="48"/>
  <c r="O1985" i="48"/>
  <c r="P1964" i="48"/>
  <c r="O1964" i="48"/>
  <c r="S1964" i="48"/>
  <c r="R1964" i="48"/>
  <c r="Q1964" i="48"/>
  <c r="Q2023" i="48"/>
  <c r="P2023" i="48"/>
  <c r="O2023" i="48"/>
  <c r="S2023" i="48"/>
  <c r="R2023" i="48"/>
  <c r="Q1980" i="48"/>
  <c r="P1980" i="48"/>
  <c r="O1980" i="48"/>
  <c r="S1980" i="48"/>
  <c r="R1980" i="48"/>
  <c r="R2027" i="48"/>
  <c r="O2027" i="48"/>
  <c r="S2027" i="48"/>
  <c r="Q2027" i="48"/>
  <c r="P2027" i="48"/>
  <c r="Q2004" i="48"/>
  <c r="P2004" i="48"/>
  <c r="S2004" i="48"/>
  <c r="R2004" i="48"/>
  <c r="O2004" i="48"/>
  <c r="R2043" i="48"/>
  <c r="Q2043" i="48"/>
  <c r="P2043" i="48"/>
  <c r="O2043" i="48"/>
  <c r="S2043" i="48"/>
  <c r="R2051" i="48"/>
  <c r="Q2051" i="48"/>
  <c r="P2051" i="48"/>
  <c r="O2051" i="48"/>
  <c r="S2051" i="48"/>
  <c r="R2044" i="48"/>
  <c r="Q2044" i="48"/>
  <c r="S2044" i="48"/>
  <c r="P2044" i="48"/>
  <c r="O2044" i="48"/>
  <c r="O1887" i="48"/>
  <c r="R1887" i="48"/>
  <c r="Q1887" i="48"/>
  <c r="S1887" i="48"/>
  <c r="P1887" i="48"/>
  <c r="O1837" i="48"/>
  <c r="Q1837" i="48"/>
  <c r="P1837" i="48"/>
  <c r="S1837" i="48"/>
  <c r="R1837" i="48"/>
  <c r="Q1190" i="48"/>
  <c r="P1190" i="48"/>
  <c r="O1190" i="48"/>
  <c r="S1190" i="48"/>
  <c r="R1190" i="48"/>
  <c r="O1885" i="48"/>
  <c r="R1885" i="48"/>
  <c r="S1885" i="48"/>
  <c r="Q1885" i="48"/>
  <c r="P1885" i="48"/>
  <c r="O1585" i="48"/>
  <c r="S1585" i="48"/>
  <c r="Q1585" i="48"/>
  <c r="P1585" i="48"/>
  <c r="R1585" i="48"/>
  <c r="R821" i="48"/>
  <c r="P821" i="48"/>
  <c r="O821" i="48"/>
  <c r="S821" i="48"/>
  <c r="Q821" i="48"/>
  <c r="R804" i="48"/>
  <c r="O804" i="48"/>
  <c r="S804" i="48"/>
  <c r="P804" i="48"/>
  <c r="Q804" i="48"/>
  <c r="R952" i="48"/>
  <c r="Q952" i="48"/>
  <c r="P952" i="48"/>
  <c r="S952" i="48"/>
  <c r="O952" i="48"/>
  <c r="R953" i="48"/>
  <c r="Q953" i="48"/>
  <c r="P953" i="48"/>
  <c r="O953" i="48"/>
  <c r="S953" i="48"/>
  <c r="O1535" i="48"/>
  <c r="R1535" i="48"/>
  <c r="S1535" i="48"/>
  <c r="Q1535" i="48"/>
  <c r="P1535" i="48"/>
  <c r="Q1246" i="48"/>
  <c r="P1246" i="48"/>
  <c r="O1246" i="48"/>
  <c r="S1246" i="48"/>
  <c r="R1246" i="48"/>
  <c r="Q1560" i="48"/>
  <c r="P1560" i="48"/>
  <c r="O1560" i="48"/>
  <c r="R1560" i="48"/>
  <c r="S1560" i="48"/>
  <c r="O1529" i="48"/>
  <c r="R1529" i="48"/>
  <c r="Q1529" i="48"/>
  <c r="P1529" i="48"/>
  <c r="S1529" i="48"/>
  <c r="Q1301" i="48"/>
  <c r="S1301" i="48"/>
  <c r="R1301" i="48"/>
  <c r="O1301" i="48"/>
  <c r="P1301" i="48"/>
  <c r="O1530" i="48"/>
  <c r="R1530" i="48"/>
  <c r="P1530" i="48"/>
  <c r="Q1530" i="48"/>
  <c r="S1530" i="48"/>
  <c r="O1886" i="48"/>
  <c r="R1886" i="48"/>
  <c r="P1886" i="48"/>
  <c r="S1886" i="48"/>
  <c r="Q1886" i="48"/>
  <c r="O1491" i="48"/>
  <c r="R1491" i="48"/>
  <c r="S1491" i="48"/>
  <c r="Q1491" i="48"/>
  <c r="P1491" i="48"/>
  <c r="R840" i="48"/>
  <c r="Q840" i="48"/>
  <c r="S840" i="48"/>
  <c r="P840" i="48"/>
  <c r="O840" i="48"/>
  <c r="S704" i="48"/>
  <c r="P704" i="48"/>
  <c r="R704" i="48"/>
  <c r="Q704" i="48"/>
  <c r="O704" i="48"/>
  <c r="S667" i="48"/>
  <c r="P667" i="48"/>
  <c r="R667" i="48"/>
  <c r="Q667" i="48"/>
  <c r="O667" i="48"/>
  <c r="S586" i="48"/>
  <c r="R586" i="48"/>
  <c r="O586" i="48"/>
  <c r="Q586" i="48"/>
  <c r="P586" i="48"/>
  <c r="Q1155" i="48"/>
  <c r="P1155" i="48"/>
  <c r="O1155" i="48"/>
  <c r="S1155" i="48"/>
  <c r="R1155" i="48"/>
  <c r="S739" i="48"/>
  <c r="P739" i="48"/>
  <c r="R739" i="48"/>
  <c r="Q739" i="48"/>
  <c r="O739" i="48"/>
  <c r="S638" i="48"/>
  <c r="R638" i="48"/>
  <c r="O638" i="48"/>
  <c r="Q638" i="48"/>
  <c r="P638" i="48"/>
  <c r="S557" i="48"/>
  <c r="R557" i="48"/>
  <c r="O557" i="48"/>
  <c r="P557" i="48"/>
  <c r="Q557" i="48"/>
  <c r="S604" i="48"/>
  <c r="R604" i="48"/>
  <c r="O604" i="48"/>
  <c r="P604" i="48"/>
  <c r="Q604" i="48"/>
  <c r="R761" i="48"/>
  <c r="S761" i="48"/>
  <c r="O761" i="48"/>
  <c r="Q761" i="48"/>
  <c r="P761" i="48"/>
  <c r="R817" i="48"/>
  <c r="S817" i="48"/>
  <c r="O817" i="48"/>
  <c r="P817" i="48"/>
  <c r="Q817" i="48"/>
  <c r="Q1120" i="48"/>
  <c r="P1120" i="48"/>
  <c r="O1120" i="48"/>
  <c r="S1120" i="48"/>
  <c r="R1120" i="48"/>
  <c r="R932" i="48"/>
  <c r="Q932" i="48"/>
  <c r="P932" i="48"/>
  <c r="S932" i="48"/>
  <c r="O932" i="48"/>
  <c r="Q1109" i="48"/>
  <c r="P1109" i="48"/>
  <c r="O1109" i="48"/>
  <c r="S1109" i="48"/>
  <c r="R1109" i="48"/>
  <c r="Q1086" i="48"/>
  <c r="P1086" i="48"/>
  <c r="O1086" i="48"/>
  <c r="S1086" i="48"/>
  <c r="R1086" i="48"/>
  <c r="O1030" i="48"/>
  <c r="Q1030" i="48"/>
  <c r="P1030" i="48"/>
  <c r="S1030" i="48"/>
  <c r="R1030" i="48"/>
  <c r="S1446" i="48"/>
  <c r="R1446" i="48"/>
  <c r="O1446" i="48"/>
  <c r="Q1446" i="48"/>
  <c r="P1446" i="48"/>
  <c r="S1448" i="48"/>
  <c r="R1448" i="48"/>
  <c r="O1448" i="48"/>
  <c r="Q1448" i="48"/>
  <c r="P1448" i="48"/>
  <c r="S1436" i="48"/>
  <c r="R1436" i="48"/>
  <c r="O1436" i="48"/>
  <c r="P1436" i="48"/>
  <c r="Q1436" i="48"/>
  <c r="S1666" i="48"/>
  <c r="P1666" i="48"/>
  <c r="R1666" i="48"/>
  <c r="Q1666" i="48"/>
  <c r="O1666" i="48"/>
  <c r="S1677" i="48"/>
  <c r="P1677" i="48"/>
  <c r="R1677" i="48"/>
  <c r="Q1677" i="48"/>
  <c r="O1677" i="48"/>
  <c r="S1725" i="48"/>
  <c r="P1725" i="48"/>
  <c r="R1725" i="48"/>
  <c r="Q1725" i="48"/>
  <c r="O1725" i="48"/>
  <c r="S1748" i="48"/>
  <c r="P1748" i="48"/>
  <c r="R1748" i="48"/>
  <c r="Q1748" i="48"/>
  <c r="O1748" i="48"/>
  <c r="Q1810" i="48"/>
  <c r="P1810" i="48"/>
  <c r="O1810" i="48"/>
  <c r="S1810" i="48"/>
  <c r="R1810" i="48"/>
  <c r="S1787" i="48"/>
  <c r="P1787" i="48"/>
  <c r="O1787" i="48"/>
  <c r="R1787" i="48"/>
  <c r="Q1787" i="48"/>
  <c r="O1830" i="48"/>
  <c r="S1830" i="48"/>
  <c r="P1830" i="48"/>
  <c r="Q1830" i="48"/>
  <c r="R1830" i="48"/>
  <c r="Q1890" i="48"/>
  <c r="P1890" i="48"/>
  <c r="O1890" i="48"/>
  <c r="R1890" i="48"/>
  <c r="S1890" i="48"/>
  <c r="P1919" i="48"/>
  <c r="R1919" i="48"/>
  <c r="Q1919" i="48"/>
  <c r="O1919" i="48"/>
  <c r="S1919" i="48"/>
  <c r="Q1998" i="48"/>
  <c r="P1998" i="48"/>
  <c r="O1998" i="48"/>
  <c r="S1998" i="48"/>
  <c r="R1998" i="48"/>
  <c r="Q2009" i="48"/>
  <c r="P2009" i="48"/>
  <c r="R2009" i="48"/>
  <c r="O2009" i="48"/>
  <c r="S2009" i="48"/>
  <c r="O1498" i="48"/>
  <c r="R1498" i="48"/>
  <c r="P1498" i="48"/>
  <c r="Q1498" i="48"/>
  <c r="S1498" i="48"/>
  <c r="Q1600" i="48"/>
  <c r="P1600" i="48"/>
  <c r="O1600" i="48"/>
  <c r="S1600" i="48"/>
  <c r="R1600" i="48"/>
  <c r="Q1267" i="48"/>
  <c r="R1267" i="48"/>
  <c r="P1267" i="48"/>
  <c r="O1267" i="48"/>
  <c r="S1267" i="48"/>
  <c r="Q1263" i="48"/>
  <c r="P1263" i="48"/>
  <c r="S1263" i="48"/>
  <c r="R1263" i="48"/>
  <c r="O1263" i="48"/>
  <c r="R808" i="48"/>
  <c r="S808" i="48"/>
  <c r="Q808" i="48"/>
  <c r="P808" i="48"/>
  <c r="O808" i="48"/>
  <c r="O1831" i="48"/>
  <c r="Q1831" i="48"/>
  <c r="P1831" i="48"/>
  <c r="S1831" i="48"/>
  <c r="R1831" i="48"/>
  <c r="Q1319" i="48"/>
  <c r="P1319" i="48"/>
  <c r="S1319" i="48"/>
  <c r="R1319" i="48"/>
  <c r="O1319" i="48"/>
  <c r="R912" i="48"/>
  <c r="Q912" i="48"/>
  <c r="P912" i="48"/>
  <c r="S912" i="48"/>
  <c r="O912" i="48"/>
  <c r="O1854" i="48"/>
  <c r="R1854" i="48"/>
  <c r="S1854" i="48"/>
  <c r="Q1854" i="48"/>
  <c r="P1854" i="48"/>
  <c r="Q1322" i="48"/>
  <c r="P1322" i="48"/>
  <c r="O1322" i="48"/>
  <c r="S1322" i="48"/>
  <c r="R1322" i="48"/>
  <c r="Q1206" i="48"/>
  <c r="P1206" i="48"/>
  <c r="O1206" i="48"/>
  <c r="S1206" i="48"/>
  <c r="R1206" i="48"/>
  <c r="Q1278" i="48"/>
  <c r="S1278" i="48"/>
  <c r="O1278" i="48"/>
  <c r="R1278" i="48"/>
  <c r="P1278" i="48"/>
  <c r="S1974" i="48"/>
  <c r="R1974" i="48"/>
  <c r="Q1974" i="48"/>
  <c r="P1974" i="48"/>
  <c r="O1974" i="48"/>
  <c r="Q1311" i="48"/>
  <c r="P1311" i="48"/>
  <c r="S1311" i="48"/>
  <c r="O1311" i="48"/>
  <c r="R1311" i="48"/>
  <c r="R896" i="48"/>
  <c r="Q896" i="48"/>
  <c r="P896" i="48"/>
  <c r="S896" i="48"/>
  <c r="O896" i="48"/>
  <c r="R1611" i="48"/>
  <c r="S1611" i="48"/>
  <c r="O1611" i="48"/>
  <c r="Q1611" i="48"/>
  <c r="P1611" i="48"/>
  <c r="Q1308" i="48"/>
  <c r="S1308" i="48"/>
  <c r="R1308" i="48"/>
  <c r="P1308" i="48"/>
  <c r="O1308" i="48"/>
  <c r="Q1565" i="48"/>
  <c r="P1565" i="48"/>
  <c r="O1565" i="48"/>
  <c r="R1565" i="48"/>
  <c r="S1565" i="48"/>
  <c r="R1242" i="48"/>
  <c r="Q1242" i="48"/>
  <c r="P1242" i="48"/>
  <c r="S1242" i="48"/>
  <c r="O1242" i="48"/>
  <c r="R807" i="48"/>
  <c r="S807" i="48"/>
  <c r="Q807" i="48"/>
  <c r="P807" i="48"/>
  <c r="O807" i="48"/>
  <c r="R832" i="48"/>
  <c r="Q832" i="48"/>
  <c r="S832" i="48"/>
  <c r="P832" i="48"/>
  <c r="O832" i="48"/>
  <c r="S1977" i="48"/>
  <c r="R1977" i="48"/>
  <c r="P1977" i="48"/>
  <c r="Q1977" i="48"/>
  <c r="O1977" i="48"/>
  <c r="O1488" i="48"/>
  <c r="R1488" i="48"/>
  <c r="S1488" i="48"/>
  <c r="Q1488" i="48"/>
  <c r="P1488" i="48"/>
  <c r="Q1250" i="48"/>
  <c r="S1250" i="48"/>
  <c r="O1250" i="48"/>
  <c r="R1250" i="48"/>
  <c r="P1250" i="48"/>
  <c r="R826" i="48"/>
  <c r="Q826" i="48"/>
  <c r="P826" i="48"/>
  <c r="O826" i="48"/>
  <c r="S826" i="48"/>
  <c r="S692" i="48"/>
  <c r="P692" i="48"/>
  <c r="R692" i="48"/>
  <c r="Q692" i="48"/>
  <c r="O692" i="48"/>
  <c r="R766" i="48"/>
  <c r="Q766" i="48"/>
  <c r="P766" i="48"/>
  <c r="O766" i="48"/>
  <c r="S766" i="48"/>
  <c r="Q1087" i="48"/>
  <c r="P1087" i="48"/>
  <c r="O1087" i="48"/>
  <c r="S1087" i="48"/>
  <c r="R1087" i="48"/>
  <c r="Q662" i="48"/>
  <c r="P662" i="48"/>
  <c r="O662" i="48"/>
  <c r="S662" i="48"/>
  <c r="R662" i="48"/>
  <c r="S568" i="48"/>
  <c r="R568" i="48"/>
  <c r="O568" i="48"/>
  <c r="Q568" i="48"/>
  <c r="P568" i="48"/>
  <c r="S719" i="48"/>
  <c r="P719" i="48"/>
  <c r="R719" i="48"/>
  <c r="Q719" i="48"/>
  <c r="O719" i="48"/>
  <c r="Q1143" i="48"/>
  <c r="P1143" i="48"/>
  <c r="O1143" i="48"/>
  <c r="S1143" i="48"/>
  <c r="R1143" i="48"/>
  <c r="S710" i="48"/>
  <c r="P710" i="48"/>
  <c r="R710" i="48"/>
  <c r="Q710" i="48"/>
  <c r="O710" i="48"/>
  <c r="S581" i="48"/>
  <c r="R581" i="48"/>
  <c r="O581" i="48"/>
  <c r="P581" i="48"/>
  <c r="Q581" i="48"/>
  <c r="S628" i="48"/>
  <c r="R628" i="48"/>
  <c r="O628" i="48"/>
  <c r="P628" i="48"/>
  <c r="Q628" i="48"/>
  <c r="R786" i="48"/>
  <c r="P786" i="48"/>
  <c r="O786" i="48"/>
  <c r="S786" i="48"/>
  <c r="Q786" i="48"/>
  <c r="P679" i="48"/>
  <c r="Q679" i="48"/>
  <c r="O679" i="48"/>
  <c r="S679" i="48"/>
  <c r="R679" i="48"/>
  <c r="R987" i="48"/>
  <c r="Q987" i="48"/>
  <c r="P987" i="48"/>
  <c r="S987" i="48"/>
  <c r="O987" i="48"/>
  <c r="Q1132" i="48"/>
  <c r="P1132" i="48"/>
  <c r="O1132" i="48"/>
  <c r="S1132" i="48"/>
  <c r="R1132" i="48"/>
  <c r="R910" i="48"/>
  <c r="Q910" i="48"/>
  <c r="P910" i="48"/>
  <c r="O910" i="48"/>
  <c r="S910" i="48"/>
  <c r="Q1057" i="48"/>
  <c r="P1057" i="48"/>
  <c r="O1057" i="48"/>
  <c r="S1057" i="48"/>
  <c r="R1057" i="48"/>
  <c r="Q1153" i="48"/>
  <c r="P1153" i="48"/>
  <c r="O1153" i="48"/>
  <c r="S1153" i="48"/>
  <c r="R1153" i="48"/>
  <c r="Q1098" i="48"/>
  <c r="P1098" i="48"/>
  <c r="O1098" i="48"/>
  <c r="S1098" i="48"/>
  <c r="R1098" i="48"/>
  <c r="P1047" i="48"/>
  <c r="O1047" i="48"/>
  <c r="S1047" i="48"/>
  <c r="Q1047" i="48"/>
  <c r="R1047" i="48"/>
  <c r="S1449" i="48"/>
  <c r="R1449" i="48"/>
  <c r="O1449" i="48"/>
  <c r="P1449" i="48"/>
  <c r="Q1449" i="48"/>
  <c r="R1396" i="48"/>
  <c r="S1396" i="48"/>
  <c r="Q1396" i="48"/>
  <c r="P1396" i="48"/>
  <c r="O1396" i="48"/>
  <c r="P1361" i="48"/>
  <c r="O1361" i="48"/>
  <c r="S1361" i="48"/>
  <c r="R1361" i="48"/>
  <c r="Q1361" i="48"/>
  <c r="S1694" i="48"/>
  <c r="P1694" i="48"/>
  <c r="R1694" i="48"/>
  <c r="Q1694" i="48"/>
  <c r="O1694" i="48"/>
  <c r="S1697" i="48"/>
  <c r="P1697" i="48"/>
  <c r="R1697" i="48"/>
  <c r="Q1697" i="48"/>
  <c r="O1697" i="48"/>
  <c r="S1696" i="48"/>
  <c r="P1696" i="48"/>
  <c r="R1696" i="48"/>
  <c r="Q1696" i="48"/>
  <c r="O1696" i="48"/>
  <c r="S1701" i="48"/>
  <c r="P1701" i="48"/>
  <c r="R1701" i="48"/>
  <c r="Q1701" i="48"/>
  <c r="O1701" i="48"/>
  <c r="S1699" i="48"/>
  <c r="P1699" i="48"/>
  <c r="R1699" i="48"/>
  <c r="Q1699" i="48"/>
  <c r="O1699" i="48"/>
  <c r="S1713" i="48"/>
  <c r="P1713" i="48"/>
  <c r="R1713" i="48"/>
  <c r="Q1713" i="48"/>
  <c r="O1713" i="48"/>
  <c r="O1828" i="48"/>
  <c r="S1828" i="48"/>
  <c r="P1828" i="48"/>
  <c r="R1828" i="48"/>
  <c r="Q1828" i="48"/>
  <c r="S1774" i="48"/>
  <c r="P1774" i="48"/>
  <c r="O1774" i="48"/>
  <c r="R1774" i="48"/>
  <c r="Q1774" i="48"/>
  <c r="P1809" i="48"/>
  <c r="O1809" i="48"/>
  <c r="S1809" i="48"/>
  <c r="R1809" i="48"/>
  <c r="Q1809" i="48"/>
  <c r="P1808" i="48"/>
  <c r="O1808" i="48"/>
  <c r="S1808" i="48"/>
  <c r="R1808" i="48"/>
  <c r="Q1808" i="48"/>
  <c r="Q1996" i="48"/>
  <c r="P1996" i="48"/>
  <c r="O1996" i="48"/>
  <c r="S1996" i="48"/>
  <c r="R1996" i="48"/>
  <c r="Q1942" i="48"/>
  <c r="P1942" i="48"/>
  <c r="O1942" i="48"/>
  <c r="S1942" i="48"/>
  <c r="R1942" i="48"/>
  <c r="S1959" i="48"/>
  <c r="P1959" i="48"/>
  <c r="R1959" i="48"/>
  <c r="Q1959" i="48"/>
  <c r="O1959" i="48"/>
  <c r="Q1991" i="48"/>
  <c r="P1991" i="48"/>
  <c r="O1991" i="48"/>
  <c r="S1991" i="48"/>
  <c r="R1991" i="48"/>
  <c r="R2047" i="48"/>
  <c r="P2047" i="48"/>
  <c r="S2047" i="48"/>
  <c r="Q2047" i="48"/>
  <c r="O2047" i="48"/>
  <c r="P1551" i="48"/>
  <c r="Q1551" i="48"/>
  <c r="O1551" i="48"/>
  <c r="R1551" i="48"/>
  <c r="S1551" i="48"/>
  <c r="O1517" i="48"/>
  <c r="R1517" i="48"/>
  <c r="Q1517" i="48"/>
  <c r="P1517" i="48"/>
  <c r="S1517" i="48"/>
  <c r="R812" i="48"/>
  <c r="O812" i="48"/>
  <c r="S812" i="48"/>
  <c r="P812" i="48"/>
  <c r="Q812" i="48"/>
  <c r="S1202" i="48"/>
  <c r="P1202" i="48"/>
  <c r="R1202" i="48"/>
  <c r="O1202" i="48"/>
  <c r="Q1202" i="48"/>
  <c r="Q1293" i="48"/>
  <c r="S1293" i="48"/>
  <c r="R1293" i="48"/>
  <c r="P1293" i="48"/>
  <c r="O1293" i="48"/>
  <c r="O1875" i="48"/>
  <c r="Q1875" i="48"/>
  <c r="P1875" i="48"/>
  <c r="S1875" i="48"/>
  <c r="R1875" i="48"/>
  <c r="Q1255" i="48"/>
  <c r="P1255" i="48"/>
  <c r="S1255" i="48"/>
  <c r="R1255" i="48"/>
  <c r="O1255" i="48"/>
  <c r="R795" i="48"/>
  <c r="Q795" i="48"/>
  <c r="S795" i="48"/>
  <c r="P795" i="48"/>
  <c r="O795" i="48"/>
  <c r="R898" i="48"/>
  <c r="Q898" i="48"/>
  <c r="P898" i="48"/>
  <c r="S898" i="48"/>
  <c r="O898" i="48"/>
  <c r="R1008" i="48"/>
  <c r="Q1008" i="48"/>
  <c r="P1008" i="48"/>
  <c r="S1008" i="48"/>
  <c r="O1008" i="48"/>
  <c r="O1516" i="48"/>
  <c r="R1516" i="48"/>
  <c r="S1516" i="48"/>
  <c r="Q1516" i="48"/>
  <c r="P1516" i="48"/>
  <c r="S1594" i="48"/>
  <c r="R1594" i="48"/>
  <c r="Q1594" i="48"/>
  <c r="O1594" i="48"/>
  <c r="P1594" i="48"/>
  <c r="O1833" i="48"/>
  <c r="Q1833" i="48"/>
  <c r="P1833" i="48"/>
  <c r="S1833" i="48"/>
  <c r="R1833" i="48"/>
  <c r="O1532" i="48"/>
  <c r="R1532" i="48"/>
  <c r="S1532" i="48"/>
  <c r="Q1532" i="48"/>
  <c r="P1532" i="48"/>
  <c r="Q1299" i="48"/>
  <c r="R1299" i="48"/>
  <c r="P1299" i="48"/>
  <c r="O1299" i="48"/>
  <c r="S1299" i="48"/>
  <c r="S1975" i="48"/>
  <c r="R1975" i="48"/>
  <c r="Q1975" i="48"/>
  <c r="P1975" i="48"/>
  <c r="O1975" i="48"/>
  <c r="Q1303" i="48"/>
  <c r="P1303" i="48"/>
  <c r="S1303" i="48"/>
  <c r="R1303" i="48"/>
  <c r="O1303" i="48"/>
  <c r="R1605" i="48"/>
  <c r="Q1605" i="48"/>
  <c r="P1605" i="48"/>
  <c r="O1605" i="48"/>
  <c r="S1605" i="48"/>
  <c r="Q1296" i="48"/>
  <c r="R1296" i="48"/>
  <c r="P1296" i="48"/>
  <c r="S1296" i="48"/>
  <c r="O1296" i="48"/>
  <c r="R901" i="48"/>
  <c r="Q901" i="48"/>
  <c r="P901" i="48"/>
  <c r="S901" i="48"/>
  <c r="O901" i="48"/>
  <c r="O1485" i="48"/>
  <c r="R1485" i="48"/>
  <c r="Q1485" i="48"/>
  <c r="P1485" i="48"/>
  <c r="S1485" i="48"/>
  <c r="O1623" i="48"/>
  <c r="S1623" i="48"/>
  <c r="R1623" i="48"/>
  <c r="Q1623" i="48"/>
  <c r="P1623" i="48"/>
  <c r="Q1352" i="48"/>
  <c r="R1352" i="48"/>
  <c r="S1352" i="48"/>
  <c r="P1352" i="48"/>
  <c r="O1352" i="48"/>
  <c r="R993" i="48"/>
  <c r="Q993" i="48"/>
  <c r="P993" i="48"/>
  <c r="O993" i="48"/>
  <c r="S993" i="48"/>
  <c r="S716" i="48"/>
  <c r="P716" i="48"/>
  <c r="R716" i="48"/>
  <c r="Q716" i="48"/>
  <c r="O716" i="48"/>
  <c r="S562" i="48"/>
  <c r="R562" i="48"/>
  <c r="O562" i="48"/>
  <c r="Q562" i="48"/>
  <c r="P562" i="48"/>
  <c r="R854" i="48"/>
  <c r="Q854" i="48"/>
  <c r="P854" i="48"/>
  <c r="O854" i="48"/>
  <c r="S854" i="48"/>
  <c r="Q1103" i="48"/>
  <c r="P1103" i="48"/>
  <c r="O1103" i="48"/>
  <c r="S1103" i="48"/>
  <c r="R1103" i="48"/>
  <c r="S657" i="48"/>
  <c r="P657" i="48"/>
  <c r="Q657" i="48"/>
  <c r="R657" i="48"/>
  <c r="O657" i="48"/>
  <c r="S640" i="48"/>
  <c r="R640" i="48"/>
  <c r="O640" i="48"/>
  <c r="Q640" i="48"/>
  <c r="P640" i="48"/>
  <c r="S723" i="48"/>
  <c r="P723" i="48"/>
  <c r="R723" i="48"/>
  <c r="Q723" i="48"/>
  <c r="O723" i="48"/>
  <c r="Q1159" i="48"/>
  <c r="P1159" i="48"/>
  <c r="O1159" i="48"/>
  <c r="S1159" i="48"/>
  <c r="R1159" i="48"/>
  <c r="S714" i="48"/>
  <c r="P714" i="48"/>
  <c r="R714" i="48"/>
  <c r="Q714" i="48"/>
  <c r="O714" i="48"/>
  <c r="S589" i="48"/>
  <c r="R589" i="48"/>
  <c r="O589" i="48"/>
  <c r="P589" i="48"/>
  <c r="Q589" i="48"/>
  <c r="S572" i="48"/>
  <c r="R572" i="48"/>
  <c r="O572" i="48"/>
  <c r="P572" i="48"/>
  <c r="Q572" i="48"/>
  <c r="S733" i="48"/>
  <c r="P733" i="48"/>
  <c r="R733" i="48"/>
  <c r="Q733" i="48"/>
  <c r="O733" i="48"/>
  <c r="R963" i="48"/>
  <c r="Q963" i="48"/>
  <c r="P963" i="48"/>
  <c r="S963" i="48"/>
  <c r="O963" i="48"/>
  <c r="R875" i="48"/>
  <c r="Q875" i="48"/>
  <c r="P875" i="48"/>
  <c r="S875" i="48"/>
  <c r="O875" i="48"/>
  <c r="Q1104" i="48"/>
  <c r="P1104" i="48"/>
  <c r="O1104" i="48"/>
  <c r="S1104" i="48"/>
  <c r="R1104" i="48"/>
  <c r="R868" i="48"/>
  <c r="Q868" i="48"/>
  <c r="P868" i="48"/>
  <c r="S868" i="48"/>
  <c r="O868" i="48"/>
  <c r="R1007" i="48"/>
  <c r="Q1007" i="48"/>
  <c r="P1007" i="48"/>
  <c r="S1007" i="48"/>
  <c r="O1007" i="48"/>
  <c r="Q1125" i="48"/>
  <c r="P1125" i="48"/>
  <c r="O1125" i="48"/>
  <c r="S1125" i="48"/>
  <c r="R1125" i="48"/>
  <c r="Q1070" i="48"/>
  <c r="P1070" i="48"/>
  <c r="O1070" i="48"/>
  <c r="S1070" i="48"/>
  <c r="R1070" i="48"/>
  <c r="Q1166" i="48"/>
  <c r="P1166" i="48"/>
  <c r="O1166" i="48"/>
  <c r="S1166" i="48"/>
  <c r="R1166" i="48"/>
  <c r="O1042" i="48"/>
  <c r="Q1042" i="48"/>
  <c r="P1042" i="48"/>
  <c r="R1042" i="48"/>
  <c r="S1042" i="48"/>
  <c r="R1395" i="48"/>
  <c r="Q1395" i="48"/>
  <c r="P1395" i="48"/>
  <c r="O1395" i="48"/>
  <c r="S1395" i="48"/>
  <c r="R1422" i="48"/>
  <c r="O1422" i="48"/>
  <c r="S1422" i="48"/>
  <c r="Q1422" i="48"/>
  <c r="P1422" i="48"/>
  <c r="R1402" i="48"/>
  <c r="P1402" i="48"/>
  <c r="O1402" i="48"/>
  <c r="Q1402" i="48"/>
  <c r="S1402" i="48"/>
  <c r="S1592" i="48"/>
  <c r="R1592" i="48"/>
  <c r="Q1592" i="48"/>
  <c r="O1592" i="48"/>
  <c r="P1592" i="48"/>
  <c r="S1686" i="48"/>
  <c r="P1686" i="48"/>
  <c r="R1686" i="48"/>
  <c r="Q1686" i="48"/>
  <c r="O1686" i="48"/>
  <c r="S1742" i="48"/>
  <c r="P1742" i="48"/>
  <c r="R1742" i="48"/>
  <c r="Q1742" i="48"/>
  <c r="O1742" i="48"/>
  <c r="S1747" i="48"/>
  <c r="P1747" i="48"/>
  <c r="R1747" i="48"/>
  <c r="Q1747" i="48"/>
  <c r="O1747" i="48"/>
  <c r="S1706" i="48"/>
  <c r="P1706" i="48"/>
  <c r="R1706" i="48"/>
  <c r="Q1706" i="48"/>
  <c r="O1706" i="48"/>
  <c r="P1658" i="48"/>
  <c r="O1658" i="48"/>
  <c r="S1658" i="48"/>
  <c r="R1658" i="48"/>
  <c r="Q1658" i="48"/>
  <c r="S1767" i="48"/>
  <c r="P1767" i="48"/>
  <c r="O1767" i="48"/>
  <c r="R1767" i="48"/>
  <c r="Q1767" i="48"/>
  <c r="S1791" i="48"/>
  <c r="P1791" i="48"/>
  <c r="O1791" i="48"/>
  <c r="R1791" i="48"/>
  <c r="Q1791" i="48"/>
  <c r="P1893" i="48"/>
  <c r="S1893" i="48"/>
  <c r="O1893" i="48"/>
  <c r="R1893" i="48"/>
  <c r="Q1893" i="48"/>
  <c r="P1933" i="48"/>
  <c r="S1933" i="48"/>
  <c r="O1933" i="48"/>
  <c r="R1933" i="48"/>
  <c r="Q1933" i="48"/>
  <c r="P2008" i="48"/>
  <c r="R2008" i="48"/>
  <c r="Q2008" i="48"/>
  <c r="O2008" i="48"/>
  <c r="S2008" i="48"/>
  <c r="P1927" i="48"/>
  <c r="R1927" i="48"/>
  <c r="O1927" i="48"/>
  <c r="S1927" i="48"/>
  <c r="Q1927" i="48"/>
  <c r="Q1990" i="48"/>
  <c r="P1990" i="48"/>
  <c r="O1990" i="48"/>
  <c r="S1990" i="48"/>
  <c r="R1990" i="48"/>
  <c r="O2012" i="48"/>
  <c r="S2012" i="48"/>
  <c r="R2012" i="48"/>
  <c r="Q2012" i="48"/>
  <c r="P2012" i="48"/>
  <c r="S1604" i="48"/>
  <c r="Q1604" i="48"/>
  <c r="O1604" i="48"/>
  <c r="P1604" i="48"/>
  <c r="R1604" i="48"/>
  <c r="Q1343" i="48"/>
  <c r="P1343" i="48"/>
  <c r="S1343" i="48"/>
  <c r="R1343" i="48"/>
  <c r="O1343" i="48"/>
  <c r="R1002" i="48"/>
  <c r="Q1002" i="48"/>
  <c r="P1002" i="48"/>
  <c r="S1002" i="48"/>
  <c r="O1002" i="48"/>
  <c r="R2045" i="48"/>
  <c r="S2045" i="48"/>
  <c r="Q2045" i="48"/>
  <c r="P2045" i="48"/>
  <c r="O2045" i="48"/>
  <c r="Q1555" i="48"/>
  <c r="P1555" i="48"/>
  <c r="O1555" i="48"/>
  <c r="S1555" i="48"/>
  <c r="R1555" i="48"/>
  <c r="R1218" i="48"/>
  <c r="Q1218" i="48"/>
  <c r="P1218" i="48"/>
  <c r="S1218" i="48"/>
  <c r="O1218" i="48"/>
  <c r="R961" i="48"/>
  <c r="Q961" i="48"/>
  <c r="P961" i="48"/>
  <c r="O961" i="48"/>
  <c r="S961" i="48"/>
  <c r="O1856" i="48"/>
  <c r="R1856" i="48"/>
  <c r="S1856" i="48"/>
  <c r="Q1856" i="48"/>
  <c r="P1856" i="48"/>
  <c r="O1522" i="48"/>
  <c r="R1522" i="48"/>
  <c r="P1522" i="48"/>
  <c r="Q1522" i="48"/>
  <c r="S1522" i="48"/>
  <c r="O1543" i="48"/>
  <c r="R1543" i="48"/>
  <c r="S1543" i="48"/>
  <c r="Q1543" i="48"/>
  <c r="P1543" i="48"/>
  <c r="Q1183" i="48"/>
  <c r="S1183" i="48"/>
  <c r="O1183" i="48"/>
  <c r="R1183" i="48"/>
  <c r="P1183" i="48"/>
  <c r="Q1275" i="48"/>
  <c r="R1275" i="48"/>
  <c r="P1275" i="48"/>
  <c r="O1275" i="48"/>
  <c r="S1275" i="48"/>
  <c r="R986" i="48"/>
  <c r="Q986" i="48"/>
  <c r="P986" i="48"/>
  <c r="S986" i="48"/>
  <c r="O986" i="48"/>
  <c r="R765" i="48"/>
  <c r="P765" i="48"/>
  <c r="O765" i="48"/>
  <c r="Q765" i="48"/>
  <c r="S765" i="48"/>
  <c r="R850" i="48"/>
  <c r="Q850" i="48"/>
  <c r="P850" i="48"/>
  <c r="S850" i="48"/>
  <c r="O850" i="48"/>
  <c r="O1858" i="48"/>
  <c r="R1858" i="48"/>
  <c r="S1858" i="48"/>
  <c r="Q1858" i="48"/>
  <c r="P1858" i="48"/>
  <c r="O1640" i="48"/>
  <c r="P1640" i="48"/>
  <c r="S1640" i="48"/>
  <c r="R1640" i="48"/>
  <c r="Q1640" i="48"/>
  <c r="O1518" i="48"/>
  <c r="R1518" i="48"/>
  <c r="P1518" i="48"/>
  <c r="Q1518" i="48"/>
  <c r="S1518" i="48"/>
  <c r="Q1574" i="48"/>
  <c r="P1574" i="48"/>
  <c r="O1574" i="48"/>
  <c r="S1574" i="48"/>
  <c r="R1574" i="48"/>
  <c r="Q1256" i="48"/>
  <c r="R1256" i="48"/>
  <c r="S1256" i="48"/>
  <c r="P1256" i="48"/>
  <c r="O1256" i="48"/>
  <c r="Q1326" i="48"/>
  <c r="S1326" i="48"/>
  <c r="O1326" i="48"/>
  <c r="R1326" i="48"/>
  <c r="P1326" i="48"/>
  <c r="S1219" i="48"/>
  <c r="R1219" i="48"/>
  <c r="Q1219" i="48"/>
  <c r="O1219" i="48"/>
  <c r="P1219" i="48"/>
  <c r="R820" i="48"/>
  <c r="O820" i="48"/>
  <c r="S820" i="48"/>
  <c r="P820" i="48"/>
  <c r="Q820" i="48"/>
  <c r="P672" i="48"/>
  <c r="Q672" i="48"/>
  <c r="O672" i="48"/>
  <c r="R672" i="48"/>
  <c r="S672" i="48"/>
  <c r="O1889" i="48"/>
  <c r="R1889" i="48"/>
  <c r="S1889" i="48"/>
  <c r="Q1889" i="48"/>
  <c r="P1889" i="48"/>
  <c r="S1602" i="48"/>
  <c r="R1602" i="48"/>
  <c r="Q1602" i="48"/>
  <c r="O1602" i="48"/>
  <c r="P1602" i="48"/>
  <c r="S1205" i="48"/>
  <c r="R1205" i="48"/>
  <c r="O1205" i="48"/>
  <c r="Q1205" i="48"/>
  <c r="P1205" i="48"/>
  <c r="R897" i="48"/>
  <c r="Q897" i="48"/>
  <c r="P897" i="48"/>
  <c r="O897" i="48"/>
  <c r="S897" i="48"/>
  <c r="R1013" i="48"/>
  <c r="Q1013" i="48"/>
  <c r="P1013" i="48"/>
  <c r="S1013" i="48"/>
  <c r="O1013" i="48"/>
  <c r="O1861" i="48"/>
  <c r="R1861" i="48"/>
  <c r="P1861" i="48"/>
  <c r="Q1861" i="48"/>
  <c r="S1861" i="48"/>
  <c r="Q1279" i="48"/>
  <c r="P1279" i="48"/>
  <c r="S1279" i="48"/>
  <c r="R1279" i="48"/>
  <c r="O1279" i="48"/>
  <c r="R977" i="48"/>
  <c r="Q977" i="48"/>
  <c r="P977" i="48"/>
  <c r="O977" i="48"/>
  <c r="S977" i="48"/>
  <c r="O1606" i="48"/>
  <c r="S1606" i="48"/>
  <c r="Q1606" i="48"/>
  <c r="R1606" i="48"/>
  <c r="P1606" i="48"/>
  <c r="Q1336" i="48"/>
  <c r="R1336" i="48"/>
  <c r="S1336" i="48"/>
  <c r="P1336" i="48"/>
  <c r="O1336" i="48"/>
  <c r="Q1277" i="48"/>
  <c r="S1277" i="48"/>
  <c r="R1277" i="48"/>
  <c r="P1277" i="48"/>
  <c r="O1277" i="48"/>
  <c r="R885" i="48"/>
  <c r="Q885" i="48"/>
  <c r="P885" i="48"/>
  <c r="S885" i="48"/>
  <c r="O885" i="48"/>
  <c r="P1545" i="48"/>
  <c r="Q1545" i="48"/>
  <c r="O1545" i="48"/>
  <c r="S1545" i="48"/>
  <c r="R1545" i="48"/>
  <c r="O1853" i="48"/>
  <c r="R1853" i="48"/>
  <c r="P1853" i="48"/>
  <c r="Q1853" i="48"/>
  <c r="S1853" i="48"/>
  <c r="Q1573" i="48"/>
  <c r="P1573" i="48"/>
  <c r="O1573" i="48"/>
  <c r="R1573" i="48"/>
  <c r="S1573" i="48"/>
  <c r="Q1564" i="48"/>
  <c r="P1564" i="48"/>
  <c r="O1564" i="48"/>
  <c r="R1564" i="48"/>
  <c r="S1564" i="48"/>
  <c r="Q1238" i="48"/>
  <c r="P1238" i="48"/>
  <c r="R1238" i="48"/>
  <c r="S1238" i="48"/>
  <c r="O1238" i="48"/>
  <c r="Q1323" i="48"/>
  <c r="R1323" i="48"/>
  <c r="P1323" i="48"/>
  <c r="O1323" i="48"/>
  <c r="S1323" i="48"/>
  <c r="S1200" i="48"/>
  <c r="R1200" i="48"/>
  <c r="Q1200" i="48"/>
  <c r="P1200" i="48"/>
  <c r="O1200" i="48"/>
  <c r="R813" i="48"/>
  <c r="P813" i="48"/>
  <c r="O813" i="48"/>
  <c r="Q813" i="48"/>
  <c r="S813" i="48"/>
  <c r="Q1198" i="48"/>
  <c r="P1198" i="48"/>
  <c r="O1198" i="48"/>
  <c r="S1198" i="48"/>
  <c r="R1198" i="48"/>
  <c r="O1863" i="48"/>
  <c r="R1863" i="48"/>
  <c r="Q1863" i="48"/>
  <c r="P1863" i="48"/>
  <c r="S1863" i="48"/>
  <c r="O1469" i="48"/>
  <c r="R1469" i="48"/>
  <c r="Q1469" i="48"/>
  <c r="P1469" i="48"/>
  <c r="S1469" i="48"/>
  <c r="O1464" i="48"/>
  <c r="R1464" i="48"/>
  <c r="S1464" i="48"/>
  <c r="Q1464" i="48"/>
  <c r="P1464" i="48"/>
  <c r="Q1230" i="48"/>
  <c r="R1230" i="48"/>
  <c r="P1230" i="48"/>
  <c r="O1230" i="48"/>
  <c r="S1230" i="48"/>
  <c r="Q1314" i="48"/>
  <c r="P1314" i="48"/>
  <c r="O1314" i="48"/>
  <c r="R1314" i="48"/>
  <c r="S1314" i="48"/>
  <c r="O1840" i="48"/>
  <c r="R1840" i="48"/>
  <c r="S1840" i="48"/>
  <c r="Q1840" i="48"/>
  <c r="P1840" i="48"/>
  <c r="O1591" i="48"/>
  <c r="S1591" i="48"/>
  <c r="R1591" i="48"/>
  <c r="Q1591" i="48"/>
  <c r="P1591" i="48"/>
  <c r="Q1567" i="48"/>
  <c r="P1567" i="48"/>
  <c r="O1567" i="48"/>
  <c r="S1567" i="48"/>
  <c r="R1567" i="48"/>
  <c r="O1495" i="48"/>
  <c r="R1495" i="48"/>
  <c r="S1495" i="48"/>
  <c r="Q1495" i="48"/>
  <c r="P1495" i="48"/>
  <c r="Q1297" i="48"/>
  <c r="O1297" i="48"/>
  <c r="S1297" i="48"/>
  <c r="R1297" i="48"/>
  <c r="P1297" i="48"/>
  <c r="S1228" i="48"/>
  <c r="R1228" i="48"/>
  <c r="O1228" i="48"/>
  <c r="Q1228" i="48"/>
  <c r="P1228" i="48"/>
  <c r="R890" i="48"/>
  <c r="Q890" i="48"/>
  <c r="P890" i="48"/>
  <c r="S890" i="48"/>
  <c r="O890" i="48"/>
  <c r="R856" i="48"/>
  <c r="Q856" i="48"/>
  <c r="P856" i="48"/>
  <c r="S856" i="48"/>
  <c r="O856" i="48"/>
  <c r="R933" i="48"/>
  <c r="Q933" i="48"/>
  <c r="P933" i="48"/>
  <c r="S933" i="48"/>
  <c r="O933" i="48"/>
  <c r="O1489" i="48"/>
  <c r="R1489" i="48"/>
  <c r="Q1489" i="48"/>
  <c r="P1489" i="48"/>
  <c r="S1489" i="48"/>
  <c r="Q1355" i="48"/>
  <c r="R1355" i="48"/>
  <c r="P1355" i="48"/>
  <c r="O1355" i="48"/>
  <c r="S1355" i="48"/>
  <c r="R841" i="48"/>
  <c r="Q841" i="48"/>
  <c r="S841" i="48"/>
  <c r="P841" i="48"/>
  <c r="O841" i="48"/>
  <c r="O1515" i="48"/>
  <c r="R1515" i="48"/>
  <c r="S1515" i="48"/>
  <c r="Q1515" i="48"/>
  <c r="P1515" i="48"/>
  <c r="R908" i="48"/>
  <c r="Q908" i="48"/>
  <c r="P908" i="48"/>
  <c r="S908" i="48"/>
  <c r="O908" i="48"/>
  <c r="O1868" i="48"/>
  <c r="R1868" i="48"/>
  <c r="S1868" i="48"/>
  <c r="Q1868" i="48"/>
  <c r="P1868" i="48"/>
  <c r="O1579" i="48"/>
  <c r="S1579" i="48"/>
  <c r="R1579" i="48"/>
  <c r="Q1579" i="48"/>
  <c r="P1579" i="48"/>
  <c r="O1470" i="48"/>
  <c r="R1470" i="48"/>
  <c r="P1470" i="48"/>
  <c r="Q1470" i="48"/>
  <c r="S1470" i="48"/>
  <c r="O1523" i="48"/>
  <c r="R1523" i="48"/>
  <c r="S1523" i="48"/>
  <c r="Q1523" i="48"/>
  <c r="P1523" i="48"/>
  <c r="Q1353" i="48"/>
  <c r="O1353" i="48"/>
  <c r="S1353" i="48"/>
  <c r="R1353" i="48"/>
  <c r="P1353" i="48"/>
  <c r="S1213" i="48"/>
  <c r="R1213" i="48"/>
  <c r="O1213" i="48"/>
  <c r="Q1213" i="48"/>
  <c r="P1213" i="48"/>
  <c r="R941" i="48"/>
  <c r="Q941" i="48"/>
  <c r="P941" i="48"/>
  <c r="S941" i="48"/>
  <c r="O941" i="48"/>
  <c r="R968" i="48"/>
  <c r="Q968" i="48"/>
  <c r="P968" i="48"/>
  <c r="S968" i="48"/>
  <c r="O968" i="48"/>
  <c r="R876" i="48"/>
  <c r="Q876" i="48"/>
  <c r="P876" i="48"/>
  <c r="S876" i="48"/>
  <c r="O876" i="48"/>
  <c r="S684" i="48"/>
  <c r="P684" i="48"/>
  <c r="R684" i="48"/>
  <c r="Q684" i="48"/>
  <c r="O684" i="48"/>
  <c r="S611" i="48"/>
  <c r="R611" i="48"/>
  <c r="O611" i="48"/>
  <c r="P611" i="48"/>
  <c r="Q611" i="48"/>
  <c r="S609" i="48"/>
  <c r="R609" i="48"/>
  <c r="O609" i="48"/>
  <c r="P609" i="48"/>
  <c r="Q609" i="48"/>
  <c r="S610" i="48"/>
  <c r="R610" i="48"/>
  <c r="O610" i="48"/>
  <c r="Q610" i="48"/>
  <c r="P610" i="48"/>
  <c r="S627" i="48"/>
  <c r="R627" i="48"/>
  <c r="O627" i="48"/>
  <c r="P627" i="48"/>
  <c r="Q627" i="48"/>
  <c r="Q660" i="48"/>
  <c r="P660" i="48"/>
  <c r="O660" i="48"/>
  <c r="S660" i="48"/>
  <c r="R660" i="48"/>
  <c r="S663" i="48"/>
  <c r="P663" i="48"/>
  <c r="R663" i="48"/>
  <c r="O663" i="48"/>
  <c r="Q663" i="48"/>
  <c r="S575" i="48"/>
  <c r="R575" i="48"/>
  <c r="O575" i="48"/>
  <c r="Q575" i="48"/>
  <c r="P575" i="48"/>
  <c r="R831" i="48"/>
  <c r="Q831" i="48"/>
  <c r="S831" i="48"/>
  <c r="P831" i="48"/>
  <c r="O831" i="48"/>
  <c r="R951" i="48"/>
  <c r="Q951" i="48"/>
  <c r="P951" i="48"/>
  <c r="S951" i="48"/>
  <c r="O951" i="48"/>
  <c r="S571" i="48"/>
  <c r="R571" i="48"/>
  <c r="O571" i="48"/>
  <c r="P571" i="48"/>
  <c r="Q571" i="48"/>
  <c r="S635" i="48"/>
  <c r="R635" i="48"/>
  <c r="O635" i="48"/>
  <c r="P635" i="48"/>
  <c r="Q635" i="48"/>
  <c r="S583" i="48"/>
  <c r="R583" i="48"/>
  <c r="O583" i="48"/>
  <c r="Q583" i="48"/>
  <c r="P583" i="48"/>
  <c r="Q1055" i="48"/>
  <c r="P1055" i="48"/>
  <c r="O1055" i="48"/>
  <c r="S1055" i="48"/>
  <c r="R1055" i="48"/>
  <c r="Q1139" i="48"/>
  <c r="P1139" i="48"/>
  <c r="O1139" i="48"/>
  <c r="S1139" i="48"/>
  <c r="R1139" i="48"/>
  <c r="S600" i="48"/>
  <c r="R600" i="48"/>
  <c r="O600" i="48"/>
  <c r="Q600" i="48"/>
  <c r="P600" i="48"/>
  <c r="Q656" i="48"/>
  <c r="P656" i="48"/>
  <c r="O656" i="48"/>
  <c r="S656" i="48"/>
  <c r="R656" i="48"/>
  <c r="S703" i="48"/>
  <c r="P703" i="48"/>
  <c r="R703" i="48"/>
  <c r="Q703" i="48"/>
  <c r="O703" i="48"/>
  <c r="S735" i="48"/>
  <c r="P735" i="48"/>
  <c r="R735" i="48"/>
  <c r="Q735" i="48"/>
  <c r="O735" i="48"/>
  <c r="R802" i="48"/>
  <c r="P802" i="48"/>
  <c r="O802" i="48"/>
  <c r="S802" i="48"/>
  <c r="Q802" i="48"/>
  <c r="Q1079" i="48"/>
  <c r="P1079" i="48"/>
  <c r="O1079" i="48"/>
  <c r="S1079" i="48"/>
  <c r="R1079" i="48"/>
  <c r="S566" i="48"/>
  <c r="R566" i="48"/>
  <c r="O566" i="48"/>
  <c r="Q566" i="48"/>
  <c r="P566" i="48"/>
  <c r="S630" i="48"/>
  <c r="R630" i="48"/>
  <c r="O630" i="48"/>
  <c r="Q630" i="48"/>
  <c r="P630" i="48"/>
  <c r="S694" i="48"/>
  <c r="P694" i="48"/>
  <c r="R694" i="48"/>
  <c r="Q694" i="48"/>
  <c r="O694" i="48"/>
  <c r="S726" i="48"/>
  <c r="P726" i="48"/>
  <c r="R726" i="48"/>
  <c r="Q726" i="48"/>
  <c r="O726" i="48"/>
  <c r="S758" i="48"/>
  <c r="P758" i="48"/>
  <c r="R758" i="48"/>
  <c r="Q758" i="48"/>
  <c r="O758" i="48"/>
  <c r="S1023" i="48"/>
  <c r="P1023" i="48"/>
  <c r="R1023" i="48"/>
  <c r="Q1023" i="48"/>
  <c r="O1023" i="48"/>
  <c r="S613" i="48"/>
  <c r="R613" i="48"/>
  <c r="O613" i="48"/>
  <c r="P613" i="48"/>
  <c r="Q613" i="48"/>
  <c r="R871" i="48"/>
  <c r="Q871" i="48"/>
  <c r="P871" i="48"/>
  <c r="S871" i="48"/>
  <c r="O871" i="48"/>
  <c r="Q1131" i="48"/>
  <c r="P1131" i="48"/>
  <c r="O1131" i="48"/>
  <c r="S1131" i="48"/>
  <c r="R1131" i="48"/>
  <c r="S596" i="48"/>
  <c r="R596" i="48"/>
  <c r="O596" i="48"/>
  <c r="P596" i="48"/>
  <c r="Q596" i="48"/>
  <c r="Q664" i="48"/>
  <c r="P664" i="48"/>
  <c r="O664" i="48"/>
  <c r="S664" i="48"/>
  <c r="R664" i="48"/>
  <c r="S713" i="48"/>
  <c r="P713" i="48"/>
  <c r="R713" i="48"/>
  <c r="Q713" i="48"/>
  <c r="O713" i="48"/>
  <c r="S745" i="48"/>
  <c r="P745" i="48"/>
  <c r="R745" i="48"/>
  <c r="Q745" i="48"/>
  <c r="O745" i="48"/>
  <c r="S1450" i="48"/>
  <c r="R1450" i="48"/>
  <c r="O1450" i="48"/>
  <c r="Q1450" i="48"/>
  <c r="P1450" i="48"/>
  <c r="R883" i="48"/>
  <c r="Q883" i="48"/>
  <c r="P883" i="48"/>
  <c r="S883" i="48"/>
  <c r="O883" i="48"/>
  <c r="R1011" i="48"/>
  <c r="Q1011" i="48"/>
  <c r="P1011" i="48"/>
  <c r="S1011" i="48"/>
  <c r="O1011" i="48"/>
  <c r="R778" i="48"/>
  <c r="P778" i="48"/>
  <c r="Q778" i="48"/>
  <c r="O778" i="48"/>
  <c r="S778" i="48"/>
  <c r="R801" i="48"/>
  <c r="S801" i="48"/>
  <c r="O801" i="48"/>
  <c r="P801" i="48"/>
  <c r="Q801" i="48"/>
  <c r="R923" i="48"/>
  <c r="Q923" i="48"/>
  <c r="P923" i="48"/>
  <c r="S923" i="48"/>
  <c r="O923" i="48"/>
  <c r="Q1052" i="48"/>
  <c r="P1052" i="48"/>
  <c r="O1052" i="48"/>
  <c r="S1052" i="48"/>
  <c r="R1052" i="48"/>
  <c r="Q1084" i="48"/>
  <c r="P1084" i="48"/>
  <c r="O1084" i="48"/>
  <c r="S1084" i="48"/>
  <c r="R1084" i="48"/>
  <c r="Q1116" i="48"/>
  <c r="P1116" i="48"/>
  <c r="O1116" i="48"/>
  <c r="S1116" i="48"/>
  <c r="R1116" i="48"/>
  <c r="Q1148" i="48"/>
  <c r="P1148" i="48"/>
  <c r="O1148" i="48"/>
  <c r="S1148" i="48"/>
  <c r="R1148" i="48"/>
  <c r="R828" i="48"/>
  <c r="Q828" i="48"/>
  <c r="S828" i="48"/>
  <c r="P828" i="48"/>
  <c r="O828" i="48"/>
  <c r="R884" i="48"/>
  <c r="Q884" i="48"/>
  <c r="P884" i="48"/>
  <c r="S884" i="48"/>
  <c r="O884" i="48"/>
  <c r="R927" i="48"/>
  <c r="Q927" i="48"/>
  <c r="P927" i="48"/>
  <c r="S927" i="48"/>
  <c r="O927" i="48"/>
  <c r="R974" i="48"/>
  <c r="Q974" i="48"/>
  <c r="P974" i="48"/>
  <c r="O974" i="48"/>
  <c r="S974" i="48"/>
  <c r="S1372" i="48"/>
  <c r="R1372" i="48"/>
  <c r="O1372" i="48"/>
  <c r="Q1372" i="48"/>
  <c r="P1372" i="48"/>
  <c r="Q1073" i="48"/>
  <c r="P1073" i="48"/>
  <c r="O1073" i="48"/>
  <c r="S1073" i="48"/>
  <c r="R1073" i="48"/>
  <c r="Q1105" i="48"/>
  <c r="P1105" i="48"/>
  <c r="O1105" i="48"/>
  <c r="S1105" i="48"/>
  <c r="R1105" i="48"/>
  <c r="Q1137" i="48"/>
  <c r="P1137" i="48"/>
  <c r="O1137" i="48"/>
  <c r="S1137" i="48"/>
  <c r="R1137" i="48"/>
  <c r="Q1169" i="48"/>
  <c r="P1169" i="48"/>
  <c r="O1169" i="48"/>
  <c r="S1169" i="48"/>
  <c r="R1169" i="48"/>
  <c r="Q1028" i="48"/>
  <c r="P1028" i="48"/>
  <c r="O1028" i="48"/>
  <c r="S1028" i="48"/>
  <c r="R1028" i="48"/>
  <c r="Q1082" i="48"/>
  <c r="P1082" i="48"/>
  <c r="O1082" i="48"/>
  <c r="S1082" i="48"/>
  <c r="R1082" i="48"/>
  <c r="Q1114" i="48"/>
  <c r="P1114" i="48"/>
  <c r="O1114" i="48"/>
  <c r="S1114" i="48"/>
  <c r="R1114" i="48"/>
  <c r="Q1146" i="48"/>
  <c r="P1146" i="48"/>
  <c r="O1146" i="48"/>
  <c r="S1146" i="48"/>
  <c r="R1146" i="48"/>
  <c r="Q1178" i="48"/>
  <c r="P1178" i="48"/>
  <c r="O1178" i="48"/>
  <c r="S1178" i="48"/>
  <c r="R1178" i="48"/>
  <c r="O1029" i="48"/>
  <c r="Q1029" i="48"/>
  <c r="P1029" i="48"/>
  <c r="R1029" i="48"/>
  <c r="S1029" i="48"/>
  <c r="O1037" i="48"/>
  <c r="Q1037" i="48"/>
  <c r="P1037" i="48"/>
  <c r="S1037" i="48"/>
  <c r="R1037" i="48"/>
  <c r="O1045" i="48"/>
  <c r="Q1045" i="48"/>
  <c r="P1045" i="48"/>
  <c r="R1045" i="48"/>
  <c r="S1045" i="48"/>
  <c r="S1434" i="48"/>
  <c r="R1434" i="48"/>
  <c r="O1434" i="48"/>
  <c r="Q1434" i="48"/>
  <c r="P1434" i="48"/>
  <c r="R1417" i="48"/>
  <c r="O1417" i="48"/>
  <c r="S1417" i="48"/>
  <c r="Q1417" i="48"/>
  <c r="P1417" i="48"/>
  <c r="R1424" i="48"/>
  <c r="O1424" i="48"/>
  <c r="Q1424" i="48"/>
  <c r="S1424" i="48"/>
  <c r="P1424" i="48"/>
  <c r="S1438" i="48"/>
  <c r="R1438" i="48"/>
  <c r="O1438" i="48"/>
  <c r="Q1438" i="48"/>
  <c r="P1438" i="48"/>
  <c r="S1442" i="48"/>
  <c r="R1442" i="48"/>
  <c r="O1442" i="48"/>
  <c r="Q1442" i="48"/>
  <c r="P1442" i="48"/>
  <c r="S1440" i="48"/>
  <c r="R1440" i="48"/>
  <c r="O1440" i="48"/>
  <c r="Q1440" i="48"/>
  <c r="P1440" i="48"/>
  <c r="P1369" i="48"/>
  <c r="O1369" i="48"/>
  <c r="S1369" i="48"/>
  <c r="Q1369" i="48"/>
  <c r="R1369" i="48"/>
  <c r="P1385" i="48"/>
  <c r="O1385" i="48"/>
  <c r="S1385" i="48"/>
  <c r="Q1385" i="48"/>
  <c r="R1385" i="48"/>
  <c r="R1423" i="48"/>
  <c r="O1423" i="48"/>
  <c r="Q1423" i="48"/>
  <c r="P1423" i="48"/>
  <c r="S1423" i="48"/>
  <c r="R1426" i="48"/>
  <c r="O1426" i="48"/>
  <c r="P1426" i="48"/>
  <c r="S1426" i="48"/>
  <c r="Q1426" i="48"/>
  <c r="S1435" i="48"/>
  <c r="R1435" i="48"/>
  <c r="O1435" i="48"/>
  <c r="Q1435" i="48"/>
  <c r="P1435" i="48"/>
  <c r="P1643" i="48"/>
  <c r="S1643" i="48"/>
  <c r="R1643" i="48"/>
  <c r="Q1643" i="48"/>
  <c r="O1643" i="48"/>
  <c r="S1662" i="48"/>
  <c r="P1662" i="48"/>
  <c r="R1662" i="48"/>
  <c r="Q1662" i="48"/>
  <c r="O1662" i="48"/>
  <c r="Q1811" i="48"/>
  <c r="P1811" i="48"/>
  <c r="O1811" i="48"/>
  <c r="S1811" i="48"/>
  <c r="R1811" i="48"/>
  <c r="S1702" i="48"/>
  <c r="P1702" i="48"/>
  <c r="R1702" i="48"/>
  <c r="Q1702" i="48"/>
  <c r="O1702" i="48"/>
  <c r="P1653" i="48"/>
  <c r="S1653" i="48"/>
  <c r="R1653" i="48"/>
  <c r="O1653" i="48"/>
  <c r="Q1653" i="48"/>
  <c r="S1687" i="48"/>
  <c r="P1687" i="48"/>
  <c r="R1687" i="48"/>
  <c r="Q1687" i="48"/>
  <c r="O1687" i="48"/>
  <c r="S1669" i="48"/>
  <c r="P1669" i="48"/>
  <c r="R1669" i="48"/>
  <c r="Q1669" i="48"/>
  <c r="O1669" i="48"/>
  <c r="P1657" i="48"/>
  <c r="S1657" i="48"/>
  <c r="R1657" i="48"/>
  <c r="O1657" i="48"/>
  <c r="Q1657" i="48"/>
  <c r="S1724" i="48"/>
  <c r="P1724" i="48"/>
  <c r="R1724" i="48"/>
  <c r="Q1724" i="48"/>
  <c r="O1724" i="48"/>
  <c r="S1667" i="48"/>
  <c r="P1667" i="48"/>
  <c r="R1667" i="48"/>
  <c r="Q1667" i="48"/>
  <c r="O1667" i="48"/>
  <c r="S1734" i="48"/>
  <c r="P1734" i="48"/>
  <c r="R1734" i="48"/>
  <c r="Q1734" i="48"/>
  <c r="O1734" i="48"/>
  <c r="S1731" i="48"/>
  <c r="P1731" i="48"/>
  <c r="R1731" i="48"/>
  <c r="Q1731" i="48"/>
  <c r="O1731" i="48"/>
  <c r="S1730" i="48"/>
  <c r="P1730" i="48"/>
  <c r="R1730" i="48"/>
  <c r="Q1730" i="48"/>
  <c r="O1730" i="48"/>
  <c r="S1744" i="48"/>
  <c r="P1744" i="48"/>
  <c r="R1744" i="48"/>
  <c r="Q1744" i="48"/>
  <c r="O1744" i="48"/>
  <c r="P1648" i="48"/>
  <c r="O1648" i="48"/>
  <c r="R1648" i="48"/>
  <c r="Q1648" i="48"/>
  <c r="S1648" i="48"/>
  <c r="Q1812" i="48"/>
  <c r="P1812" i="48"/>
  <c r="O1812" i="48"/>
  <c r="S1812" i="48"/>
  <c r="R1812" i="48"/>
  <c r="S1947" i="48"/>
  <c r="P1947" i="48"/>
  <c r="O1947" i="48"/>
  <c r="R1947" i="48"/>
  <c r="Q1947" i="48"/>
  <c r="S1762" i="48"/>
  <c r="P1762" i="48"/>
  <c r="O1762" i="48"/>
  <c r="R1762" i="48"/>
  <c r="Q1762" i="48"/>
  <c r="S1770" i="48"/>
  <c r="P1770" i="48"/>
  <c r="O1770" i="48"/>
  <c r="R1770" i="48"/>
  <c r="Q1770" i="48"/>
  <c r="S1778" i="48"/>
  <c r="P1778" i="48"/>
  <c r="O1778" i="48"/>
  <c r="R1778" i="48"/>
  <c r="Q1778" i="48"/>
  <c r="S1786" i="48"/>
  <c r="P1786" i="48"/>
  <c r="O1786" i="48"/>
  <c r="R1786" i="48"/>
  <c r="Q1786" i="48"/>
  <c r="S1794" i="48"/>
  <c r="P1794" i="48"/>
  <c r="O1794" i="48"/>
  <c r="R1794" i="48"/>
  <c r="Q1794" i="48"/>
  <c r="Q1813" i="48"/>
  <c r="P1813" i="48"/>
  <c r="O1813" i="48"/>
  <c r="S1813" i="48"/>
  <c r="R1813" i="48"/>
  <c r="O1803" i="48"/>
  <c r="S1803" i="48"/>
  <c r="R1803" i="48"/>
  <c r="P1803" i="48"/>
  <c r="Q1803" i="48"/>
  <c r="Q1950" i="48"/>
  <c r="P1950" i="48"/>
  <c r="O1950" i="48"/>
  <c r="R1950" i="48"/>
  <c r="S1950" i="48"/>
  <c r="Q1892" i="48"/>
  <c r="P1892" i="48"/>
  <c r="R1892" i="48"/>
  <c r="S1892" i="48"/>
  <c r="O1892" i="48"/>
  <c r="O1874" i="48"/>
  <c r="S1874" i="48"/>
  <c r="P1874" i="48"/>
  <c r="Q1874" i="48"/>
  <c r="R1874" i="48"/>
  <c r="Q1902" i="48"/>
  <c r="P1902" i="48"/>
  <c r="S1902" i="48"/>
  <c r="O1902" i="48"/>
  <c r="R1902" i="48"/>
  <c r="Q1982" i="48"/>
  <c r="P1982" i="48"/>
  <c r="R1982" i="48"/>
  <c r="O1982" i="48"/>
  <c r="S1982" i="48"/>
  <c r="P1891" i="48"/>
  <c r="R1891" i="48"/>
  <c r="Q1891" i="48"/>
  <c r="O1891" i="48"/>
  <c r="S1891" i="48"/>
  <c r="Q1940" i="48"/>
  <c r="P1940" i="48"/>
  <c r="O1940" i="48"/>
  <c r="R1940" i="48"/>
  <c r="S1940" i="48"/>
  <c r="Q1948" i="48"/>
  <c r="P1948" i="48"/>
  <c r="O1948" i="48"/>
  <c r="R1948" i="48"/>
  <c r="S1948" i="48"/>
  <c r="P1917" i="48"/>
  <c r="R1917" i="48"/>
  <c r="S1917" i="48"/>
  <c r="Q1917" i="48"/>
  <c r="O1917" i="48"/>
  <c r="S1951" i="48"/>
  <c r="P1951" i="48"/>
  <c r="R1951" i="48"/>
  <c r="Q1951" i="48"/>
  <c r="O1951" i="48"/>
  <c r="Q1989" i="48"/>
  <c r="R1989" i="48"/>
  <c r="P1989" i="48"/>
  <c r="O1989" i="48"/>
  <c r="S1989" i="48"/>
  <c r="P1966" i="48"/>
  <c r="O1966" i="48"/>
  <c r="S1966" i="48"/>
  <c r="Q1966" i="48"/>
  <c r="R1966" i="48"/>
  <c r="Q1984" i="48"/>
  <c r="P1984" i="48"/>
  <c r="S1984" i="48"/>
  <c r="R1984" i="48"/>
  <c r="O1984" i="48"/>
  <c r="Q1988" i="48"/>
  <c r="P1988" i="48"/>
  <c r="O1988" i="48"/>
  <c r="S1988" i="48"/>
  <c r="R1988" i="48"/>
  <c r="S2029" i="48"/>
  <c r="R2029" i="48"/>
  <c r="O2029" i="48"/>
  <c r="Q2029" i="48"/>
  <c r="P2029" i="48"/>
  <c r="Q2006" i="48"/>
  <c r="P2006" i="48"/>
  <c r="S2006" i="48"/>
  <c r="O2006" i="48"/>
  <c r="R2006" i="48"/>
  <c r="R2026" i="48"/>
  <c r="O2026" i="48"/>
  <c r="S2026" i="48"/>
  <c r="Q2026" i="48"/>
  <c r="P2026" i="48"/>
  <c r="S2035" i="48"/>
  <c r="P2035" i="48"/>
  <c r="R2035" i="48"/>
  <c r="Q2035" i="48"/>
  <c r="O2035" i="48"/>
  <c r="R2052" i="48"/>
  <c r="Q2052" i="48"/>
  <c r="P2052" i="48"/>
  <c r="S2052" i="48"/>
  <c r="O2052" i="48"/>
  <c r="O400" i="48"/>
  <c r="R400" i="48"/>
  <c r="Q400" i="48"/>
  <c r="P400" i="48"/>
  <c r="S400" i="48"/>
  <c r="P174" i="48"/>
  <c r="Q174" i="48"/>
  <c r="S174" i="48"/>
  <c r="R174" i="48"/>
  <c r="O174" i="48"/>
  <c r="Q496" i="48"/>
  <c r="P496" i="48"/>
  <c r="O496" i="48"/>
  <c r="S496" i="48"/>
  <c r="R496" i="48"/>
  <c r="O549" i="48"/>
  <c r="S549" i="48"/>
  <c r="P549" i="48"/>
  <c r="Q549" i="48"/>
  <c r="R549" i="48"/>
  <c r="P479" i="48"/>
  <c r="R479" i="48"/>
  <c r="O479" i="48"/>
  <c r="S479" i="48"/>
  <c r="Q479" i="48"/>
  <c r="P410" i="48"/>
  <c r="Q410" i="48"/>
  <c r="S410" i="48"/>
  <c r="R410" i="48"/>
  <c r="O410" i="48"/>
  <c r="O425" i="48"/>
  <c r="P425" i="48"/>
  <c r="Q425" i="48"/>
  <c r="R425" i="48"/>
  <c r="S425" i="48"/>
  <c r="S309" i="48"/>
  <c r="R309" i="48"/>
  <c r="P309" i="48"/>
  <c r="O309" i="48"/>
  <c r="Q309" i="48"/>
  <c r="R302" i="48"/>
  <c r="O302" i="48"/>
  <c r="P302" i="48"/>
  <c r="S302" i="48"/>
  <c r="Q302" i="48"/>
  <c r="O356" i="48"/>
  <c r="P356" i="48"/>
  <c r="Q356" i="48"/>
  <c r="R356" i="48"/>
  <c r="S356" i="48"/>
  <c r="R99" i="48"/>
  <c r="O99" i="48"/>
  <c r="S99" i="48"/>
  <c r="Q99" i="48"/>
  <c r="P99" i="48"/>
  <c r="O207" i="48"/>
  <c r="S207" i="48"/>
  <c r="Q207" i="48"/>
  <c r="P207" i="48"/>
  <c r="R207" i="48"/>
  <c r="Q179" i="48"/>
  <c r="S179" i="48"/>
  <c r="R179" i="48"/>
  <c r="O179" i="48"/>
  <c r="P179" i="48"/>
  <c r="R64" i="48"/>
  <c r="S64" i="48"/>
  <c r="O64" i="48"/>
  <c r="Q64" i="48"/>
  <c r="P64" i="48"/>
  <c r="P393" i="48"/>
  <c r="R393" i="48"/>
  <c r="O393" i="48"/>
  <c r="Q393" i="48"/>
  <c r="S393" i="48"/>
  <c r="O126" i="48"/>
  <c r="R126" i="48"/>
  <c r="P126" i="48"/>
  <c r="S126" i="48"/>
  <c r="Q126" i="48"/>
  <c r="O150" i="48"/>
  <c r="R150" i="48"/>
  <c r="S150" i="48"/>
  <c r="Q150" i="48"/>
  <c r="P150" i="48"/>
  <c r="O200" i="48"/>
  <c r="P200" i="48"/>
  <c r="S200" i="48"/>
  <c r="Q200" i="48"/>
  <c r="R200" i="48"/>
  <c r="S420" i="48"/>
  <c r="R420" i="48"/>
  <c r="P420" i="48"/>
  <c r="Q420" i="48"/>
  <c r="O420" i="48"/>
  <c r="P509" i="48"/>
  <c r="S509" i="48"/>
  <c r="R509" i="48"/>
  <c r="O509" i="48"/>
  <c r="Q509" i="48"/>
  <c r="P510" i="48"/>
  <c r="O510" i="48"/>
  <c r="R510" i="48"/>
  <c r="Q510" i="48"/>
  <c r="S510" i="48"/>
  <c r="R74" i="48"/>
  <c r="P74" i="48"/>
  <c r="S74" i="48"/>
  <c r="O74" i="48"/>
  <c r="Q74" i="48"/>
  <c r="R165" i="48"/>
  <c r="Q165" i="48"/>
  <c r="S165" i="48"/>
  <c r="O165" i="48"/>
  <c r="P165" i="48"/>
  <c r="O338" i="48"/>
  <c r="S338" i="48"/>
  <c r="Q338" i="48"/>
  <c r="R338" i="48"/>
  <c r="P338" i="48"/>
  <c r="Q190" i="48"/>
  <c r="S190" i="48"/>
  <c r="O190" i="48"/>
  <c r="R190" i="48"/>
  <c r="P190" i="48"/>
  <c r="R63" i="48"/>
  <c r="Q63" i="48"/>
  <c r="S63" i="48"/>
  <c r="P63" i="48"/>
  <c r="O63" i="48"/>
  <c r="S457" i="48"/>
  <c r="P457" i="48"/>
  <c r="R457" i="48"/>
  <c r="Q457" i="48"/>
  <c r="O457" i="48"/>
  <c r="R373" i="48"/>
  <c r="S373" i="48"/>
  <c r="P373" i="48"/>
  <c r="Q373" i="48"/>
  <c r="O373" i="48"/>
  <c r="O225" i="48"/>
  <c r="S225" i="48"/>
  <c r="Q225" i="48"/>
  <c r="R225" i="48"/>
  <c r="P225" i="48"/>
  <c r="S278" i="48"/>
  <c r="R278" i="48"/>
  <c r="O278" i="48"/>
  <c r="Q278" i="48"/>
  <c r="P278" i="48"/>
  <c r="Q372" i="48"/>
  <c r="S372" i="48"/>
  <c r="P372" i="48"/>
  <c r="O372" i="48"/>
  <c r="R372" i="48"/>
  <c r="O119" i="48"/>
  <c r="S119" i="48"/>
  <c r="P119" i="48"/>
  <c r="R119" i="48"/>
  <c r="Q119" i="48"/>
  <c r="R469" i="48"/>
  <c r="S469" i="48"/>
  <c r="P469" i="48"/>
  <c r="O469" i="48"/>
  <c r="Q469" i="48"/>
  <c r="S125" i="48"/>
  <c r="P125" i="48"/>
  <c r="Q125" i="48"/>
  <c r="R125" i="48"/>
  <c r="O125" i="48"/>
  <c r="S188" i="48"/>
  <c r="P188" i="48"/>
  <c r="R188" i="48"/>
  <c r="O188" i="48"/>
  <c r="Q188" i="48"/>
  <c r="S294" i="48"/>
  <c r="Q294" i="48"/>
  <c r="P294" i="48"/>
  <c r="R294" i="48"/>
  <c r="O294" i="48"/>
  <c r="O412" i="48"/>
  <c r="R412" i="48"/>
  <c r="S412" i="48"/>
  <c r="Q412" i="48"/>
  <c r="P412" i="48"/>
  <c r="O422" i="48"/>
  <c r="S422" i="48"/>
  <c r="R422" i="48"/>
  <c r="Q422" i="48"/>
  <c r="P422" i="48"/>
  <c r="Q528" i="48"/>
  <c r="R528" i="48"/>
  <c r="P528" i="48"/>
  <c r="O528" i="48"/>
  <c r="S528" i="48"/>
  <c r="R186" i="48"/>
  <c r="O186" i="48"/>
  <c r="S186" i="48"/>
  <c r="P186" i="48"/>
  <c r="Q186" i="48"/>
  <c r="P408" i="48"/>
  <c r="O408" i="48"/>
  <c r="R408" i="48"/>
  <c r="S408" i="48"/>
  <c r="Q408" i="48"/>
  <c r="S515" i="48"/>
  <c r="O515" i="48"/>
  <c r="Q515" i="48"/>
  <c r="R515" i="48"/>
  <c r="P515" i="48"/>
  <c r="O392" i="48"/>
  <c r="P392" i="48"/>
  <c r="S392" i="48"/>
  <c r="Q392" i="48"/>
  <c r="R392" i="48"/>
  <c r="S135" i="48"/>
  <c r="Q135" i="48"/>
  <c r="O135" i="48"/>
  <c r="P135" i="48"/>
  <c r="R135" i="48"/>
  <c r="S321" i="48"/>
  <c r="P321" i="48"/>
  <c r="R321" i="48"/>
  <c r="O321" i="48"/>
  <c r="Q321" i="48"/>
  <c r="P233" i="48"/>
  <c r="S233" i="48"/>
  <c r="R233" i="48"/>
  <c r="O233" i="48"/>
  <c r="Q233" i="48"/>
  <c r="R423" i="48"/>
  <c r="P423" i="48"/>
  <c r="O423" i="48"/>
  <c r="Q423" i="48"/>
  <c r="S423" i="48"/>
  <c r="S418" i="48"/>
  <c r="O418" i="48"/>
  <c r="P418" i="48"/>
  <c r="R418" i="48"/>
  <c r="Q418" i="48"/>
  <c r="S451" i="48"/>
  <c r="R451" i="48"/>
  <c r="Q451" i="48"/>
  <c r="O451" i="48"/>
  <c r="P451" i="48"/>
  <c r="Q78" i="48"/>
  <c r="P78" i="48"/>
  <c r="R78" i="48"/>
  <c r="S78" i="48"/>
  <c r="O78" i="48"/>
  <c r="R299" i="48"/>
  <c r="S299" i="48"/>
  <c r="Q299" i="48"/>
  <c r="P299" i="48"/>
  <c r="O299" i="48"/>
  <c r="O383" i="48"/>
  <c r="Q383" i="48"/>
  <c r="P383" i="48"/>
  <c r="S383" i="48"/>
  <c r="R383" i="48"/>
  <c r="R243" i="48"/>
  <c r="S243" i="48"/>
  <c r="O243" i="48"/>
  <c r="P243" i="48"/>
  <c r="Q243" i="48"/>
  <c r="S442" i="48"/>
  <c r="R442" i="48"/>
  <c r="O442" i="48"/>
  <c r="P442" i="48"/>
  <c r="Q442" i="48"/>
  <c r="O483" i="48"/>
  <c r="R483" i="48"/>
  <c r="Q483" i="48"/>
  <c r="S483" i="48"/>
  <c r="P483" i="48"/>
  <c r="S471" i="48"/>
  <c r="R471" i="48"/>
  <c r="O471" i="48"/>
  <c r="Q471" i="48"/>
  <c r="P471" i="48"/>
  <c r="R524" i="48"/>
  <c r="O524" i="48"/>
  <c r="S524" i="48"/>
  <c r="P524" i="48"/>
  <c r="Q524" i="48"/>
  <c r="S271" i="48"/>
  <c r="O271" i="48"/>
  <c r="P271" i="48"/>
  <c r="Q271" i="48"/>
  <c r="R271" i="48"/>
  <c r="R379" i="48"/>
  <c r="S379" i="48"/>
  <c r="P379" i="48"/>
  <c r="Q379" i="48"/>
  <c r="O379" i="48"/>
  <c r="S304" i="48"/>
  <c r="O304" i="48"/>
  <c r="P304" i="48"/>
  <c r="R304" i="48"/>
  <c r="Q304" i="48"/>
  <c r="P227" i="48"/>
  <c r="S227" i="48"/>
  <c r="O227" i="48"/>
  <c r="Q227" i="48"/>
  <c r="R227" i="48"/>
  <c r="Q552" i="48"/>
  <c r="O552" i="48"/>
  <c r="S552" i="48"/>
  <c r="R552" i="48"/>
  <c r="P552" i="48"/>
  <c r="R323" i="48"/>
  <c r="S323" i="48"/>
  <c r="P323" i="48"/>
  <c r="Q323" i="48"/>
  <c r="O323" i="48"/>
  <c r="Q87" i="48"/>
  <c r="S87" i="48"/>
  <c r="R87" i="48"/>
  <c r="O87" i="48"/>
  <c r="P87" i="48"/>
  <c r="P459" i="48"/>
  <c r="Q459" i="48"/>
  <c r="O459" i="48"/>
  <c r="R459" i="48"/>
  <c r="S459" i="48"/>
  <c r="Q494" i="48"/>
  <c r="S494" i="48"/>
  <c r="R494" i="48"/>
  <c r="P494" i="48"/>
  <c r="O494" i="48"/>
  <c r="S539" i="48"/>
  <c r="P539" i="48"/>
  <c r="O539" i="48"/>
  <c r="Q539" i="48"/>
  <c r="R539" i="48"/>
  <c r="Q472" i="48"/>
  <c r="O472" i="48"/>
  <c r="P472" i="48"/>
  <c r="S472" i="48"/>
  <c r="R472" i="48"/>
  <c r="R287" i="48"/>
  <c r="O287" i="48"/>
  <c r="Q287" i="48"/>
  <c r="P287" i="48"/>
  <c r="S287" i="48"/>
  <c r="R365" i="48"/>
  <c r="S365" i="48"/>
  <c r="Q365" i="48"/>
  <c r="P365" i="48"/>
  <c r="O365" i="48"/>
  <c r="Q189" i="48"/>
  <c r="O189" i="48"/>
  <c r="S189" i="48"/>
  <c r="R189" i="48"/>
  <c r="P189" i="48"/>
  <c r="Q110" i="48"/>
  <c r="O110" i="48"/>
  <c r="R110" i="48"/>
  <c r="P110" i="48"/>
  <c r="S110" i="48"/>
  <c r="P465" i="48"/>
  <c r="O465" i="48"/>
  <c r="Q465" i="48"/>
  <c r="S465" i="48"/>
  <c r="R465" i="48"/>
  <c r="O419" i="48"/>
  <c r="R419" i="48"/>
  <c r="S419" i="48"/>
  <c r="Q419" i="48"/>
  <c r="P419" i="48"/>
  <c r="Q350" i="48"/>
  <c r="R350" i="48"/>
  <c r="P350" i="48"/>
  <c r="S350" i="48"/>
  <c r="O350" i="48"/>
  <c r="R388" i="48"/>
  <c r="Q388" i="48"/>
  <c r="S388" i="48"/>
  <c r="O388" i="48"/>
  <c r="P388" i="48"/>
  <c r="P488" i="48"/>
  <c r="S488" i="48"/>
  <c r="Q488" i="48"/>
  <c r="R488" i="48"/>
  <c r="O488" i="48"/>
  <c r="P277" i="48"/>
  <c r="Q277" i="48"/>
  <c r="S277" i="48"/>
  <c r="R277" i="48"/>
  <c r="O277" i="48"/>
  <c r="O544" i="48"/>
  <c r="R544" i="48"/>
  <c r="S544" i="48"/>
  <c r="P544" i="48"/>
  <c r="Q544" i="48"/>
  <c r="S335" i="48"/>
  <c r="O335" i="48"/>
  <c r="R335" i="48"/>
  <c r="P335" i="48"/>
  <c r="Q335" i="48"/>
  <c r="P454" i="48"/>
  <c r="O454" i="48"/>
  <c r="R454" i="48"/>
  <c r="Q454" i="48"/>
  <c r="S454" i="48"/>
  <c r="Q461" i="48"/>
  <c r="S461" i="48"/>
  <c r="O461" i="48"/>
  <c r="P461" i="48"/>
  <c r="R461" i="48"/>
  <c r="O397" i="48"/>
  <c r="P397" i="48"/>
  <c r="S397" i="48"/>
  <c r="Q397" i="48"/>
  <c r="R397" i="48"/>
  <c r="Q358" i="48"/>
  <c r="P358" i="48"/>
  <c r="O358" i="48"/>
  <c r="R358" i="48"/>
  <c r="S358" i="48"/>
  <c r="O258" i="48"/>
  <c r="R258" i="48"/>
  <c r="Q258" i="48"/>
  <c r="P258" i="48"/>
  <c r="S258" i="48"/>
  <c r="S325" i="48"/>
  <c r="P325" i="48"/>
  <c r="Q325" i="48"/>
  <c r="O325" i="48"/>
  <c r="R325" i="48"/>
  <c r="P324" i="48"/>
  <c r="Q324" i="48"/>
  <c r="R324" i="48"/>
  <c r="O324" i="48"/>
  <c r="S324" i="48"/>
  <c r="S398" i="48"/>
  <c r="O398" i="48"/>
  <c r="P398" i="48"/>
  <c r="R398" i="48"/>
  <c r="Q398" i="48"/>
  <c r="R288" i="48"/>
  <c r="P288" i="48"/>
  <c r="O288" i="48"/>
  <c r="Q288" i="48"/>
  <c r="S288" i="48"/>
  <c r="O375" i="48"/>
  <c r="P375" i="48"/>
  <c r="Q375" i="48"/>
  <c r="S375" i="48"/>
  <c r="R375" i="48"/>
  <c r="P525" i="48"/>
  <c r="S525" i="48"/>
  <c r="Q525" i="48"/>
  <c r="R525" i="48"/>
  <c r="O525" i="48"/>
  <c r="Q101" i="48"/>
  <c r="O101" i="48"/>
  <c r="R101" i="48"/>
  <c r="S101" i="48"/>
  <c r="P101" i="48"/>
  <c r="O462" i="48"/>
  <c r="R462" i="48"/>
  <c r="Q462" i="48"/>
  <c r="P462" i="48"/>
  <c r="S462" i="48"/>
  <c r="R399" i="48"/>
  <c r="O399" i="48"/>
  <c r="Q399" i="48"/>
  <c r="S399" i="48"/>
  <c r="P399" i="48"/>
  <c r="O297" i="48"/>
  <c r="S297" i="48"/>
  <c r="P297" i="48"/>
  <c r="Q297" i="48"/>
  <c r="R297" i="48"/>
  <c r="S265" i="48"/>
  <c r="R265" i="48"/>
  <c r="Q265" i="48"/>
  <c r="P265" i="48"/>
  <c r="O265" i="48"/>
  <c r="R245" i="48"/>
  <c r="P245" i="48"/>
  <c r="Q245" i="48"/>
  <c r="S245" i="48"/>
  <c r="O245" i="48"/>
  <c r="S60" i="48"/>
  <c r="O60" i="48"/>
  <c r="Q60" i="48"/>
  <c r="R60" i="48"/>
  <c r="P60" i="48"/>
  <c r="R430" i="48"/>
  <c r="P430" i="48"/>
  <c r="O430" i="48"/>
  <c r="S430" i="48"/>
  <c r="Q430" i="48"/>
  <c r="S394" i="48"/>
  <c r="O394" i="48"/>
  <c r="P394" i="48"/>
  <c r="Q394" i="48"/>
  <c r="R394" i="48"/>
  <c r="S148" i="48"/>
  <c r="P148" i="48"/>
  <c r="O148" i="48"/>
  <c r="Q148" i="48"/>
  <c r="R148" i="48"/>
  <c r="S384" i="48"/>
  <c r="R384" i="48"/>
  <c r="O384" i="48"/>
  <c r="P384" i="48"/>
  <c r="Q384" i="48"/>
  <c r="P441" i="48"/>
  <c r="R441" i="48"/>
  <c r="O441" i="48"/>
  <c r="Q441" i="48"/>
  <c r="S441" i="48"/>
  <c r="Q268" i="48"/>
  <c r="P268" i="48"/>
  <c r="R268" i="48"/>
  <c r="S268" i="48"/>
  <c r="O268" i="48"/>
  <c r="R152" i="48"/>
  <c r="Q152" i="48"/>
  <c r="O152" i="48"/>
  <c r="P152" i="48"/>
  <c r="S152" i="48"/>
  <c r="R230" i="48"/>
  <c r="P230" i="48"/>
  <c r="O230" i="48"/>
  <c r="Q230" i="48"/>
  <c r="S230" i="48"/>
  <c r="S204" i="48"/>
  <c r="O204" i="48"/>
  <c r="Q204" i="48"/>
  <c r="R204" i="48"/>
  <c r="P204" i="48"/>
  <c r="S280" i="48"/>
  <c r="P280" i="48"/>
  <c r="R280" i="48"/>
  <c r="Q280" i="48"/>
  <c r="O280" i="48"/>
  <c r="R209" i="48"/>
  <c r="O209" i="48"/>
  <c r="P209" i="48"/>
  <c r="S209" i="48"/>
  <c r="Q209" i="48"/>
  <c r="R368" i="48"/>
  <c r="O368" i="48"/>
  <c r="P368" i="48"/>
  <c r="Q368" i="48"/>
  <c r="S368" i="48"/>
  <c r="S327" i="48"/>
  <c r="P327" i="48"/>
  <c r="O327" i="48"/>
  <c r="R327" i="48"/>
  <c r="Q327" i="48"/>
  <c r="P108" i="48"/>
  <c r="Q108" i="48"/>
  <c r="O108" i="48"/>
  <c r="R108" i="48"/>
  <c r="S108" i="48"/>
  <c r="S255" i="48"/>
  <c r="O255" i="48"/>
  <c r="P255" i="48"/>
  <c r="R255" i="48"/>
  <c r="Q255" i="48"/>
  <c r="S464" i="48"/>
  <c r="Q464" i="48"/>
  <c r="O464" i="48"/>
  <c r="R464" i="48"/>
  <c r="P464" i="48"/>
  <c r="Q187" i="48"/>
  <c r="O187" i="48"/>
  <c r="P187" i="48"/>
  <c r="S187" i="48"/>
  <c r="R187" i="48"/>
  <c r="P343" i="48"/>
  <c r="O343" i="48"/>
  <c r="S343" i="48"/>
  <c r="R343" i="48"/>
  <c r="Q343" i="48"/>
  <c r="S466" i="48"/>
  <c r="O466" i="48"/>
  <c r="P466" i="48"/>
  <c r="R466" i="48"/>
  <c r="Q466" i="48"/>
  <c r="Q554" i="48"/>
  <c r="P554" i="48"/>
  <c r="R554" i="48"/>
  <c r="S554" i="48"/>
  <c r="O554" i="48"/>
  <c r="R113" i="48"/>
  <c r="Q113" i="48"/>
  <c r="O113" i="48"/>
  <c r="S113" i="48"/>
  <c r="P113" i="48"/>
  <c r="O516" i="48"/>
  <c r="P516" i="48"/>
  <c r="R516" i="48"/>
  <c r="S516" i="48"/>
  <c r="Q516" i="48"/>
  <c r="Q330" i="48"/>
  <c r="R330" i="48"/>
  <c r="O330" i="48"/>
  <c r="P330" i="48"/>
  <c r="S330" i="48"/>
  <c r="Q159" i="48"/>
  <c r="R159" i="48"/>
  <c r="S159" i="48"/>
  <c r="O159" i="48"/>
  <c r="P159" i="48"/>
  <c r="R484" i="48"/>
  <c r="Q484" i="48"/>
  <c r="O484" i="48"/>
  <c r="S484" i="48"/>
  <c r="P484" i="48"/>
  <c r="R239" i="48"/>
  <c r="Q239" i="48"/>
  <c r="O239" i="48"/>
  <c r="P239" i="48"/>
  <c r="S239" i="48"/>
  <c r="O178" i="48"/>
  <c r="R178" i="48"/>
  <c r="Q178" i="48"/>
  <c r="P178" i="48"/>
  <c r="S178" i="48"/>
  <c r="R296" i="48"/>
  <c r="Q296" i="48"/>
  <c r="O296" i="48"/>
  <c r="S296" i="48"/>
  <c r="P296" i="48"/>
  <c r="S192" i="48"/>
  <c r="Q192" i="48"/>
  <c r="O192" i="48"/>
  <c r="R192" i="48"/>
  <c r="P192" i="48"/>
  <c r="S467" i="48"/>
  <c r="R467" i="48"/>
  <c r="O467" i="48"/>
  <c r="P467" i="48"/>
  <c r="Q467" i="48"/>
  <c r="O506" i="48"/>
  <c r="S506" i="48"/>
  <c r="R506" i="48"/>
  <c r="Q506" i="48"/>
  <c r="P506" i="48"/>
  <c r="S95" i="48"/>
  <c r="Q95" i="48"/>
  <c r="R95" i="48"/>
  <c r="O95" i="48"/>
  <c r="P95" i="48"/>
  <c r="S184" i="48"/>
  <c r="P184" i="48"/>
  <c r="O184" i="48"/>
  <c r="Q184" i="48"/>
  <c r="R184" i="48"/>
  <c r="R279" i="48"/>
  <c r="O279" i="48"/>
  <c r="P279" i="48"/>
  <c r="S279" i="48"/>
  <c r="Q279" i="48"/>
  <c r="O216" i="48"/>
  <c r="S216" i="48"/>
  <c r="P216" i="48"/>
  <c r="R216" i="48"/>
  <c r="Q216" i="48"/>
  <c r="P104" i="48"/>
  <c r="S104" i="48"/>
  <c r="O104" i="48"/>
  <c r="Q104" i="48"/>
  <c r="R104" i="48"/>
  <c r="Q284" i="48"/>
  <c r="S284" i="48"/>
  <c r="O284" i="48"/>
  <c r="R284" i="48"/>
  <c r="P284" i="48"/>
  <c r="Q88" i="48"/>
  <c r="S88" i="48"/>
  <c r="P88" i="48"/>
  <c r="O88" i="48"/>
  <c r="R88" i="48"/>
  <c r="R247" i="48"/>
  <c r="O247" i="48"/>
  <c r="P247" i="48"/>
  <c r="Q247" i="48"/>
  <c r="S247" i="48"/>
  <c r="R435" i="48"/>
  <c r="Q435" i="48"/>
  <c r="O435" i="48"/>
  <c r="P435" i="48"/>
  <c r="S435" i="48"/>
  <c r="S499" i="48"/>
  <c r="R499" i="48"/>
  <c r="O499" i="48"/>
  <c r="Q499" i="48"/>
  <c r="P499" i="48"/>
  <c r="R535" i="48"/>
  <c r="O535" i="48"/>
  <c r="Q535" i="48"/>
  <c r="P535" i="48"/>
  <c r="S535" i="48"/>
  <c r="S58" i="48"/>
  <c r="O58" i="48"/>
  <c r="R58" i="48"/>
  <c r="P58" i="48"/>
  <c r="Q58" i="48"/>
  <c r="S231" i="48"/>
  <c r="P231" i="48"/>
  <c r="Q231" i="48"/>
  <c r="O231" i="48"/>
  <c r="R231" i="48"/>
  <c r="Q234" i="48"/>
  <c r="P234" i="48"/>
  <c r="S234" i="48"/>
  <c r="R234" i="48"/>
  <c r="O234" i="48"/>
  <c r="S341" i="48"/>
  <c r="Q341" i="48"/>
  <c r="P341" i="48"/>
  <c r="R341" i="48"/>
  <c r="O341" i="48"/>
  <c r="Q476" i="48"/>
  <c r="S476" i="48"/>
  <c r="P476" i="48"/>
  <c r="O476" i="48"/>
  <c r="R476" i="48"/>
  <c r="O142" i="48"/>
  <c r="S142" i="48"/>
  <c r="P142" i="48"/>
  <c r="R142" i="48"/>
  <c r="Q142" i="48"/>
  <c r="S328" i="48"/>
  <c r="P328" i="48"/>
  <c r="O328" i="48"/>
  <c r="Q328" i="48"/>
  <c r="R328" i="48"/>
  <c r="P163" i="48"/>
  <c r="R163" i="48"/>
  <c r="O163" i="48"/>
  <c r="Q163" i="48"/>
  <c r="S163" i="48"/>
  <c r="Q157" i="48"/>
  <c r="O157" i="48"/>
  <c r="S157" i="48"/>
  <c r="P157" i="48"/>
  <c r="R157" i="48"/>
  <c r="O118" i="48"/>
  <c r="P118" i="48"/>
  <c r="R118" i="48"/>
  <c r="S118" i="48"/>
  <c r="Q118" i="48"/>
  <c r="S220" i="48"/>
  <c r="O220" i="48"/>
  <c r="P220" i="48"/>
  <c r="R220" i="48"/>
  <c r="Q220" i="48"/>
  <c r="P505" i="48"/>
  <c r="O505" i="48"/>
  <c r="Q505" i="48"/>
  <c r="S505" i="48"/>
  <c r="R505" i="48"/>
  <c r="P73" i="48"/>
  <c r="R73" i="48"/>
  <c r="Q73" i="48"/>
  <c r="O73" i="48"/>
  <c r="S73" i="48"/>
  <c r="R164" i="48"/>
  <c r="O164" i="48"/>
  <c r="Q164" i="48"/>
  <c r="P164" i="48"/>
  <c r="S164" i="48"/>
  <c r="P527" i="48"/>
  <c r="S527" i="48"/>
  <c r="R527" i="48"/>
  <c r="Q527" i="48"/>
  <c r="O527" i="48"/>
  <c r="Q291" i="48"/>
  <c r="P291" i="48"/>
  <c r="R291" i="48"/>
  <c r="O291" i="48"/>
  <c r="S291" i="48"/>
  <c r="R453" i="48"/>
  <c r="Q453" i="48"/>
  <c r="O453" i="48"/>
  <c r="S453" i="48"/>
  <c r="P453" i="48"/>
  <c r="P331" i="48"/>
  <c r="R331" i="48"/>
  <c r="Q331" i="48"/>
  <c r="S331" i="48"/>
  <c r="O331" i="48"/>
  <c r="Q244" i="48"/>
  <c r="P244" i="48"/>
  <c r="R244" i="48"/>
  <c r="O244" i="48"/>
  <c r="S244" i="48"/>
  <c r="S314" i="48"/>
  <c r="R314" i="48"/>
  <c r="P314" i="48"/>
  <c r="O314" i="48"/>
  <c r="Q314" i="48"/>
  <c r="P289" i="48"/>
  <c r="O289" i="48"/>
  <c r="S289" i="48"/>
  <c r="R289" i="48"/>
  <c r="Q289" i="48"/>
  <c r="Q77" i="48"/>
  <c r="S77" i="48"/>
  <c r="P77" i="48"/>
  <c r="R77" i="48"/>
  <c r="O77" i="48"/>
  <c r="Q440" i="48"/>
  <c r="S440" i="48"/>
  <c r="O440" i="48"/>
  <c r="P440" i="48"/>
  <c r="R440" i="48"/>
  <c r="S2056" i="48"/>
  <c r="O2056" i="48"/>
  <c r="Q2056" i="48"/>
  <c r="P2056" i="48"/>
  <c r="R2056" i="48"/>
  <c r="R389" i="48"/>
  <c r="P389" i="48"/>
  <c r="Q389" i="48"/>
  <c r="S389" i="48"/>
  <c r="O389" i="48"/>
  <c r="Q72" i="48"/>
  <c r="P72" i="48"/>
  <c r="S72" i="48"/>
  <c r="O72" i="48"/>
  <c r="R72" i="48"/>
  <c r="S470" i="48"/>
  <c r="O470" i="48"/>
  <c r="R470" i="48"/>
  <c r="Q470" i="48"/>
  <c r="P470" i="48"/>
  <c r="R531" i="48"/>
  <c r="Q531" i="48"/>
  <c r="S531" i="48"/>
  <c r="P531" i="48"/>
  <c r="O531" i="48"/>
  <c r="O463" i="48"/>
  <c r="P463" i="48"/>
  <c r="S463" i="48"/>
  <c r="R463" i="48"/>
  <c r="Q463" i="48"/>
  <c r="R273" i="48"/>
  <c r="Q273" i="48"/>
  <c r="S273" i="48"/>
  <c r="P273" i="48"/>
  <c r="O273" i="48"/>
  <c r="O149" i="48"/>
  <c r="R149" i="48"/>
  <c r="Q149" i="48"/>
  <c r="P149" i="48"/>
  <c r="S149" i="48"/>
  <c r="R428" i="48"/>
  <c r="S428" i="48"/>
  <c r="Q428" i="48"/>
  <c r="P428" i="48"/>
  <c r="O428" i="48"/>
  <c r="R553" i="48"/>
  <c r="S553" i="48"/>
  <c r="O553" i="48"/>
  <c r="Q553" i="48"/>
  <c r="P553" i="48"/>
  <c r="O259" i="48"/>
  <c r="P259" i="48"/>
  <c r="R259" i="48"/>
  <c r="Q259" i="48"/>
  <c r="S259" i="48"/>
  <c r="S198" i="48"/>
  <c r="P198" i="48"/>
  <c r="R198" i="48"/>
  <c r="O198" i="48"/>
  <c r="Q198" i="48"/>
  <c r="P293" i="48"/>
  <c r="Q293" i="48"/>
  <c r="R293" i="48"/>
  <c r="O293" i="48"/>
  <c r="S293" i="48"/>
  <c r="R76" i="48"/>
  <c r="S76" i="48"/>
  <c r="O76" i="48"/>
  <c r="Q76" i="48"/>
  <c r="P76" i="48"/>
  <c r="O486" i="48"/>
  <c r="S486" i="48"/>
  <c r="Q486" i="48"/>
  <c r="P486" i="48"/>
  <c r="R486" i="48"/>
  <c r="R219" i="48"/>
  <c r="Q219" i="48"/>
  <c r="P219" i="48"/>
  <c r="S219" i="48"/>
  <c r="O219" i="48"/>
  <c r="Q97" i="48"/>
  <c r="O97" i="48"/>
  <c r="S97" i="48"/>
  <c r="P97" i="48"/>
  <c r="R97" i="48"/>
  <c r="O218" i="48"/>
  <c r="S218" i="48"/>
  <c r="Q218" i="48"/>
  <c r="P218" i="48"/>
  <c r="R218" i="48"/>
  <c r="S114" i="48"/>
  <c r="Q114" i="48"/>
  <c r="O114" i="48"/>
  <c r="P114" i="48"/>
  <c r="R114" i="48"/>
  <c r="S100" i="48"/>
  <c r="Q100" i="48"/>
  <c r="O100" i="48"/>
  <c r="R100" i="48"/>
  <c r="P100" i="48"/>
  <c r="R276" i="48"/>
  <c r="O276" i="48"/>
  <c r="P276" i="48"/>
  <c r="Q276" i="48"/>
  <c r="S276" i="48"/>
  <c r="O351" i="48"/>
  <c r="P351" i="48"/>
  <c r="Q351" i="48"/>
  <c r="R351" i="48"/>
  <c r="S351" i="48"/>
  <c r="P67" i="48"/>
  <c r="O67" i="48"/>
  <c r="S67" i="48"/>
  <c r="R67" i="48"/>
  <c r="Q67" i="48"/>
  <c r="S266" i="48"/>
  <c r="R266" i="48"/>
  <c r="P266" i="48"/>
  <c r="O266" i="48"/>
  <c r="Q266" i="48"/>
  <c r="O303" i="48"/>
  <c r="Q303" i="48"/>
  <c r="R303" i="48"/>
  <c r="P303" i="48"/>
  <c r="S303" i="48"/>
  <c r="O367" i="48"/>
  <c r="Q367" i="48"/>
  <c r="R367" i="48"/>
  <c r="P367" i="48"/>
  <c r="S367" i="48"/>
  <c r="O332" i="48"/>
  <c r="R332" i="48"/>
  <c r="Q332" i="48"/>
  <c r="S332" i="48"/>
  <c r="P332" i="48"/>
  <c r="P270" i="48"/>
  <c r="R270" i="48"/>
  <c r="O270" i="48"/>
  <c r="S270" i="48"/>
  <c r="Q270" i="48"/>
  <c r="R137" i="48"/>
  <c r="S137" i="48"/>
  <c r="P137" i="48"/>
  <c r="Q137" i="48"/>
  <c r="O137" i="48"/>
  <c r="O185" i="48"/>
  <c r="R185" i="48"/>
  <c r="S185" i="48"/>
  <c r="Q185" i="48"/>
  <c r="P185" i="48"/>
  <c r="P498" i="48"/>
  <c r="S498" i="48"/>
  <c r="Q498" i="48"/>
  <c r="O498" i="48"/>
  <c r="R498" i="48"/>
  <c r="O512" i="48"/>
  <c r="P512" i="48"/>
  <c r="S512" i="48"/>
  <c r="R512" i="48"/>
  <c r="Q512" i="48"/>
  <c r="R310" i="48"/>
  <c r="P310" i="48"/>
  <c r="S310" i="48"/>
  <c r="O310" i="48"/>
  <c r="Q310" i="48"/>
  <c r="O68" i="48"/>
  <c r="S68" i="48"/>
  <c r="R68" i="48"/>
  <c r="P68" i="48"/>
  <c r="Q68" i="48"/>
  <c r="S248" i="48"/>
  <c r="O248" i="48"/>
  <c r="P248" i="48"/>
  <c r="R248" i="48"/>
  <c r="Q248" i="48"/>
  <c r="O340" i="48"/>
  <c r="Q340" i="48"/>
  <c r="S340" i="48"/>
  <c r="P340" i="48"/>
  <c r="R340" i="48"/>
  <c r="Q80" i="48"/>
  <c r="O80" i="48"/>
  <c r="R80" i="48"/>
  <c r="S80" i="48"/>
  <c r="P80" i="48"/>
  <c r="S380" i="48"/>
  <c r="O380" i="48"/>
  <c r="R380" i="48"/>
  <c r="Q380" i="48"/>
  <c r="P380" i="48"/>
  <c r="Q536" i="48"/>
  <c r="S536" i="48"/>
  <c r="P536" i="48"/>
  <c r="O536" i="48"/>
  <c r="R536" i="48"/>
  <c r="R84" i="48"/>
  <c r="P84" i="48"/>
  <c r="O84" i="48"/>
  <c r="S84" i="48"/>
  <c r="Q84" i="48"/>
  <c r="R548" i="48"/>
  <c r="S548" i="48"/>
  <c r="Q548" i="48"/>
  <c r="O548" i="48"/>
  <c r="P548" i="48"/>
  <c r="O374" i="48"/>
  <c r="P374" i="48"/>
  <c r="R374" i="48"/>
  <c r="S374" i="48"/>
  <c r="Q374" i="48"/>
  <c r="P177" i="48"/>
  <c r="S177" i="48"/>
  <c r="O177" i="48"/>
  <c r="R177" i="48"/>
  <c r="Q177" i="48"/>
  <c r="P437" i="48"/>
  <c r="S437" i="48"/>
  <c r="O437" i="48"/>
  <c r="R437" i="48"/>
  <c r="Q437" i="48"/>
  <c r="P250" i="48"/>
  <c r="S250" i="48"/>
  <c r="O250" i="48"/>
  <c r="R250" i="48"/>
  <c r="Q250" i="48"/>
  <c r="S385" i="48"/>
  <c r="P385" i="48"/>
  <c r="O385" i="48"/>
  <c r="R385" i="48"/>
  <c r="Q385" i="48"/>
  <c r="O175" i="48"/>
  <c r="P175" i="48"/>
  <c r="R175" i="48"/>
  <c r="Q175" i="48"/>
  <c r="S175" i="48"/>
  <c r="S61" i="48"/>
  <c r="O61" i="48"/>
  <c r="R61" i="48"/>
  <c r="Q61" i="48"/>
  <c r="P61" i="48"/>
  <c r="R537" i="48"/>
  <c r="Q537" i="48"/>
  <c r="S537" i="48"/>
  <c r="O537" i="48"/>
  <c r="P537" i="48"/>
  <c r="O66" i="48"/>
  <c r="P66" i="48"/>
  <c r="Q66" i="48"/>
  <c r="R66" i="48"/>
  <c r="S66" i="48"/>
  <c r="R112" i="48"/>
  <c r="S112" i="48"/>
  <c r="Q112" i="48"/>
  <c r="O112" i="48"/>
  <c r="P112" i="48"/>
  <c r="R477" i="48"/>
  <c r="S477" i="48"/>
  <c r="O477" i="48"/>
  <c r="Q477" i="48"/>
  <c r="P477" i="48"/>
  <c r="O160" i="48"/>
  <c r="Q160" i="48"/>
  <c r="S160" i="48"/>
  <c r="R160" i="48"/>
  <c r="P160" i="48"/>
  <c r="O292" i="48"/>
  <c r="R292" i="48"/>
  <c r="Q292" i="48"/>
  <c r="S292" i="48"/>
  <c r="P292" i="48"/>
  <c r="P504" i="48"/>
  <c r="R504" i="48"/>
  <c r="O504" i="48"/>
  <c r="Q504" i="48"/>
  <c r="S504" i="48"/>
  <c r="R349" i="48"/>
  <c r="S349" i="48"/>
  <c r="O349" i="48"/>
  <c r="Q349" i="48"/>
  <c r="P349" i="48"/>
  <c r="Q541" i="48"/>
  <c r="O541" i="48"/>
  <c r="R541" i="48"/>
  <c r="S541" i="48"/>
  <c r="P541" i="48"/>
  <c r="S376" i="48"/>
  <c r="R376" i="48"/>
  <c r="O376" i="48"/>
  <c r="P376" i="48"/>
  <c r="Q376" i="48"/>
  <c r="Q448" i="48"/>
  <c r="P448" i="48"/>
  <c r="R448" i="48"/>
  <c r="O448" i="48"/>
  <c r="S448" i="48"/>
  <c r="R193" i="48"/>
  <c r="Q193" i="48"/>
  <c r="S193" i="48"/>
  <c r="O193" i="48"/>
  <c r="P193" i="48"/>
  <c r="S519" i="48"/>
  <c r="P519" i="48"/>
  <c r="O519" i="48"/>
  <c r="R519" i="48"/>
  <c r="Q519" i="48"/>
  <c r="S551" i="48"/>
  <c r="O551" i="48"/>
  <c r="Q551" i="48"/>
  <c r="R551" i="48"/>
  <c r="P551" i="48"/>
  <c r="Q489" i="48"/>
  <c r="S489" i="48"/>
  <c r="O489" i="48"/>
  <c r="R489" i="48"/>
  <c r="P489" i="48"/>
  <c r="S109" i="48"/>
  <c r="O109" i="48"/>
  <c r="R109" i="48"/>
  <c r="P109" i="48"/>
  <c r="Q109" i="48"/>
  <c r="S362" i="48"/>
  <c r="P362" i="48"/>
  <c r="Q362" i="48"/>
  <c r="O362" i="48"/>
  <c r="R362" i="48"/>
  <c r="Q102" i="48"/>
  <c r="O102" i="48"/>
  <c r="R102" i="48"/>
  <c r="S102" i="48"/>
  <c r="P102" i="48"/>
  <c r="R203" i="48"/>
  <c r="P203" i="48"/>
  <c r="Q203" i="48"/>
  <c r="S203" i="48"/>
  <c r="O203" i="48"/>
  <c r="P329" i="48"/>
  <c r="S329" i="48"/>
  <c r="O329" i="48"/>
  <c r="R329" i="48"/>
  <c r="Q329" i="48"/>
  <c r="S317" i="48"/>
  <c r="P317" i="48"/>
  <c r="R317" i="48"/>
  <c r="O317" i="48"/>
  <c r="Q317" i="48"/>
  <c r="Q542" i="48"/>
  <c r="S542" i="48"/>
  <c r="R542" i="48"/>
  <c r="O542" i="48"/>
  <c r="P542" i="48"/>
  <c r="P166" i="48"/>
  <c r="Q166" i="48"/>
  <c r="S166" i="48"/>
  <c r="O166" i="48"/>
  <c r="R166" i="48"/>
  <c r="R306" i="48"/>
  <c r="Q306" i="48"/>
  <c r="S306" i="48"/>
  <c r="O306" i="48"/>
  <c r="P306" i="48"/>
  <c r="S360" i="48"/>
  <c r="Q360" i="48"/>
  <c r="R360" i="48"/>
  <c r="O360" i="48"/>
  <c r="P360" i="48"/>
  <c r="O413" i="48"/>
  <c r="Q413" i="48"/>
  <c r="R413" i="48"/>
  <c r="P413" i="48"/>
  <c r="S413" i="48"/>
  <c r="O93" i="48"/>
  <c r="S93" i="48"/>
  <c r="R93" i="48"/>
  <c r="Q93" i="48"/>
  <c r="P93" i="48"/>
  <c r="S215" i="48"/>
  <c r="R215" i="48"/>
  <c r="Q215" i="48"/>
  <c r="P215" i="48"/>
  <c r="O215" i="48"/>
  <c r="S238" i="48"/>
  <c r="R238" i="48"/>
  <c r="Q238" i="48"/>
  <c r="P238" i="48"/>
  <c r="O238" i="48"/>
  <c r="O103" i="48"/>
  <c r="P103" i="48"/>
  <c r="R103" i="48"/>
  <c r="Q103" i="48"/>
  <c r="S103" i="48"/>
  <c r="R91" i="48"/>
  <c r="Q91" i="48"/>
  <c r="P91" i="48"/>
  <c r="O91" i="48"/>
  <c r="S91" i="48"/>
  <c r="P262" i="48"/>
  <c r="Q262" i="48"/>
  <c r="S262" i="48"/>
  <c r="O262" i="48"/>
  <c r="R262" i="48"/>
  <c r="O353" i="48"/>
  <c r="S353" i="48"/>
  <c r="R353" i="48"/>
  <c r="P353" i="48"/>
  <c r="Q353" i="48"/>
  <c r="Q217" i="48"/>
  <c r="R217" i="48"/>
  <c r="S217" i="48"/>
  <c r="P217" i="48"/>
  <c r="O217" i="48"/>
  <c r="O443" i="48"/>
  <c r="Q443" i="48"/>
  <c r="R443" i="48"/>
  <c r="P443" i="48"/>
  <c r="S443" i="48"/>
  <c r="P275" i="48"/>
  <c r="S275" i="48"/>
  <c r="Q275" i="48"/>
  <c r="R275" i="48"/>
  <c r="O275" i="48"/>
  <c r="P154" i="48"/>
  <c r="O154" i="48"/>
  <c r="R154" i="48"/>
  <c r="Q154" i="48"/>
  <c r="S154" i="48"/>
  <c r="R272" i="48"/>
  <c r="S272" i="48"/>
  <c r="P272" i="48"/>
  <c r="Q272" i="48"/>
  <c r="O272" i="48"/>
  <c r="O106" i="48"/>
  <c r="P106" i="48"/>
  <c r="S106" i="48"/>
  <c r="Q106" i="48"/>
  <c r="R106" i="48"/>
  <c r="Q194" i="48"/>
  <c r="R194" i="48"/>
  <c r="P194" i="48"/>
  <c r="S194" i="48"/>
  <c r="O194" i="48"/>
  <c r="O386" i="48"/>
  <c r="Q386" i="48"/>
  <c r="P386" i="48"/>
  <c r="S386" i="48"/>
  <c r="R386" i="48"/>
  <c r="R274" i="48"/>
  <c r="O274" i="48"/>
  <c r="P274" i="48"/>
  <c r="S274" i="48"/>
  <c r="Q274" i="48"/>
  <c r="S357" i="48"/>
  <c r="R357" i="48"/>
  <c r="Q357" i="48"/>
  <c r="P357" i="48"/>
  <c r="O357" i="48"/>
  <c r="O206" i="48"/>
  <c r="R206" i="48"/>
  <c r="P206" i="48"/>
  <c r="Q206" i="48"/>
  <c r="S206" i="48"/>
  <c r="P305" i="48"/>
  <c r="R305" i="48"/>
  <c r="S305" i="48"/>
  <c r="Q305" i="48"/>
  <c r="O305" i="48"/>
  <c r="S438" i="48"/>
  <c r="Q438" i="48"/>
  <c r="R438" i="48"/>
  <c r="P438" i="48"/>
  <c r="O438" i="48"/>
  <c r="P140" i="48"/>
  <c r="R140" i="48"/>
  <c r="S140" i="48"/>
  <c r="O140" i="48"/>
  <c r="Q140" i="48"/>
  <c r="S161" i="48"/>
  <c r="P161" i="48"/>
  <c r="Q161" i="48"/>
  <c r="O161" i="48"/>
  <c r="R161" i="48"/>
  <c r="P514" i="48"/>
  <c r="R514" i="48"/>
  <c r="O514" i="48"/>
  <c r="Q514" i="48"/>
  <c r="S514" i="48"/>
  <c r="P444" i="48"/>
  <c r="Q444" i="48"/>
  <c r="O444" i="48"/>
  <c r="R444" i="48"/>
  <c r="S444" i="48"/>
  <c r="Q228" i="48"/>
  <c r="O228" i="48"/>
  <c r="P228" i="48"/>
  <c r="S228" i="48"/>
  <c r="R228" i="48"/>
  <c r="S301" i="48"/>
  <c r="P301" i="48"/>
  <c r="O301" i="48"/>
  <c r="R301" i="48"/>
  <c r="Q301" i="48"/>
  <c r="Q517" i="48"/>
  <c r="S517" i="48"/>
  <c r="R517" i="48"/>
  <c r="O517" i="48"/>
  <c r="P517" i="48"/>
  <c r="P85" i="48"/>
  <c r="O85" i="48"/>
  <c r="Q85" i="48"/>
  <c r="S85" i="48"/>
  <c r="R85" i="48"/>
  <c r="Q403" i="48"/>
  <c r="O403" i="48"/>
  <c r="S403" i="48"/>
  <c r="R403" i="48"/>
  <c r="P403" i="48"/>
  <c r="S130" i="48"/>
  <c r="P130" i="48"/>
  <c r="O130" i="48"/>
  <c r="Q130" i="48"/>
  <c r="R130" i="48"/>
  <c r="R171" i="48"/>
  <c r="S171" i="48"/>
  <c r="Q171" i="48"/>
  <c r="O171" i="48"/>
  <c r="P171" i="48"/>
  <c r="Q411" i="48"/>
  <c r="O411" i="48"/>
  <c r="R411" i="48"/>
  <c r="S411" i="48"/>
  <c r="P411" i="48"/>
  <c r="R144" i="48"/>
  <c r="P144" i="48"/>
  <c r="O144" i="48"/>
  <c r="Q144" i="48"/>
  <c r="S144" i="48"/>
  <c r="S401" i="48"/>
  <c r="P401" i="48"/>
  <c r="R401" i="48"/>
  <c r="Q401" i="48"/>
  <c r="O401" i="48"/>
  <c r="R237" i="48"/>
  <c r="O237" i="48"/>
  <c r="P237" i="48"/>
  <c r="Q237" i="48"/>
  <c r="S237" i="48"/>
  <c r="Q313" i="48"/>
  <c r="S313" i="48"/>
  <c r="O313" i="48"/>
  <c r="R313" i="48"/>
  <c r="P313" i="48"/>
  <c r="S530" i="48"/>
  <c r="Q530" i="48"/>
  <c r="O530" i="48"/>
  <c r="P530" i="48"/>
  <c r="R530" i="48"/>
  <c r="O224" i="48"/>
  <c r="Q224" i="48"/>
  <c r="P224" i="48"/>
  <c r="S224" i="48"/>
  <c r="R224" i="48"/>
  <c r="O352" i="48"/>
  <c r="P352" i="48"/>
  <c r="Q352" i="48"/>
  <c r="S352" i="48"/>
  <c r="R352" i="48"/>
  <c r="O143" i="48"/>
  <c r="R143" i="48"/>
  <c r="P143" i="48"/>
  <c r="S143" i="48"/>
  <c r="Q143" i="48"/>
  <c r="O308" i="48"/>
  <c r="Q308" i="48"/>
  <c r="P308" i="48"/>
  <c r="R308" i="48"/>
  <c r="S308" i="48"/>
  <c r="R65" i="48"/>
  <c r="Q65" i="48"/>
  <c r="S65" i="48"/>
  <c r="O65" i="48"/>
  <c r="P65" i="48"/>
  <c r="Q229" i="48"/>
  <c r="O229" i="48"/>
  <c r="P229" i="48"/>
  <c r="R229" i="48"/>
  <c r="S229" i="48"/>
  <c r="Q347" i="48"/>
  <c r="S347" i="48"/>
  <c r="O347" i="48"/>
  <c r="P347" i="48"/>
  <c r="R347" i="48"/>
  <c r="Q235" i="48"/>
  <c r="R235" i="48"/>
  <c r="S235" i="48"/>
  <c r="O235" i="48"/>
  <c r="P235" i="48"/>
  <c r="P246" i="48"/>
  <c r="S246" i="48"/>
  <c r="R246" i="48"/>
  <c r="O246" i="48"/>
  <c r="Q246" i="48"/>
  <c r="Q492" i="48"/>
  <c r="O492" i="48"/>
  <c r="P492" i="48"/>
  <c r="S492" i="48"/>
  <c r="R492" i="48"/>
  <c r="R511" i="48"/>
  <c r="S511" i="48"/>
  <c r="Q511" i="48"/>
  <c r="O511" i="48"/>
  <c r="P511" i="48"/>
  <c r="S491" i="48"/>
  <c r="R491" i="48"/>
  <c r="P491" i="48"/>
  <c r="O491" i="48"/>
  <c r="Q491" i="48"/>
  <c r="R417" i="48"/>
  <c r="S417" i="48"/>
  <c r="P417" i="48"/>
  <c r="O417" i="48"/>
  <c r="Q417" i="48"/>
  <c r="R133" i="48"/>
  <c r="P133" i="48"/>
  <c r="S133" i="48"/>
  <c r="Q133" i="48"/>
  <c r="O133" i="48"/>
  <c r="O269" i="48"/>
  <c r="P269" i="48"/>
  <c r="Q269" i="48"/>
  <c r="S269" i="48"/>
  <c r="R269" i="48"/>
  <c r="R534" i="48"/>
  <c r="Q534" i="48"/>
  <c r="S534" i="48"/>
  <c r="P534" i="48"/>
  <c r="O534" i="48"/>
  <c r="P254" i="48"/>
  <c r="S254" i="48"/>
  <c r="O254" i="48"/>
  <c r="Q254" i="48"/>
  <c r="R254" i="48"/>
  <c r="S468" i="48"/>
  <c r="O468" i="48"/>
  <c r="Q468" i="48"/>
  <c r="R468" i="48"/>
  <c r="P468" i="48"/>
  <c r="O478" i="48"/>
  <c r="P478" i="48"/>
  <c r="Q478" i="48"/>
  <c r="S478" i="48"/>
  <c r="R478" i="48"/>
  <c r="S493" i="48"/>
  <c r="P493" i="48"/>
  <c r="R493" i="48"/>
  <c r="Q493" i="48"/>
  <c r="O493" i="48"/>
  <c r="S261" i="48"/>
  <c r="O261" i="48"/>
  <c r="Q261" i="48"/>
  <c r="P261" i="48"/>
  <c r="R261" i="48"/>
  <c r="O69" i="48"/>
  <c r="Q69" i="48"/>
  <c r="P69" i="48"/>
  <c r="R69" i="48"/>
  <c r="S69" i="48"/>
  <c r="R550" i="48"/>
  <c r="S550" i="48"/>
  <c r="O550" i="48"/>
  <c r="P550" i="48"/>
  <c r="Q550" i="48"/>
  <c r="P131" i="48"/>
  <c r="S131" i="48"/>
  <c r="O131" i="48"/>
  <c r="Q131" i="48"/>
  <c r="R131" i="48"/>
  <c r="Q342" i="48"/>
  <c r="O342" i="48"/>
  <c r="S342" i="48"/>
  <c r="P342" i="48"/>
  <c r="R342" i="48"/>
  <c r="S434" i="48"/>
  <c r="R434" i="48"/>
  <c r="P434" i="48"/>
  <c r="Q434" i="48"/>
  <c r="O434" i="48"/>
  <c r="R298" i="48"/>
  <c r="S298" i="48"/>
  <c r="Q298" i="48"/>
  <c r="P298" i="48"/>
  <c r="O298" i="48"/>
  <c r="Q370" i="48"/>
  <c r="R370" i="48"/>
  <c r="P370" i="48"/>
  <c r="O370" i="48"/>
  <c r="S370" i="48"/>
  <c r="O212" i="48"/>
  <c r="Q212" i="48"/>
  <c r="S212" i="48"/>
  <c r="R212" i="48"/>
  <c r="P212" i="48"/>
  <c r="S242" i="48"/>
  <c r="P242" i="48"/>
  <c r="Q242" i="48"/>
  <c r="O242" i="48"/>
  <c r="R242" i="48"/>
  <c r="S485" i="48"/>
  <c r="O485" i="48"/>
  <c r="Q485" i="48"/>
  <c r="R485" i="48"/>
  <c r="P485" i="48"/>
  <c r="O253" i="48"/>
  <c r="S253" i="48"/>
  <c r="R253" i="48"/>
  <c r="Q253" i="48"/>
  <c r="P253" i="48"/>
  <c r="Q138" i="48"/>
  <c r="R138" i="48"/>
  <c r="O138" i="48"/>
  <c r="P138" i="48"/>
  <c r="S138" i="48"/>
  <c r="O431" i="48"/>
  <c r="P431" i="48"/>
  <c r="S431" i="48"/>
  <c r="R431" i="48"/>
  <c r="Q431" i="48"/>
  <c r="O390" i="48"/>
  <c r="R390" i="48"/>
  <c r="Q390" i="48"/>
  <c r="S390" i="48"/>
  <c r="P390" i="48"/>
  <c r="O70" i="48"/>
  <c r="P70" i="48"/>
  <c r="S70" i="48"/>
  <c r="Q70" i="48"/>
  <c r="R70" i="48"/>
  <c r="S59" i="48"/>
  <c r="Q59" i="48"/>
  <c r="O59" i="48"/>
  <c r="R59" i="48"/>
  <c r="P59" i="48"/>
  <c r="O295" i="48"/>
  <c r="Q295" i="48"/>
  <c r="R295" i="48"/>
  <c r="P295" i="48"/>
  <c r="S295" i="48"/>
  <c r="Q377" i="48"/>
  <c r="O377" i="48"/>
  <c r="S377" i="48"/>
  <c r="R377" i="48"/>
  <c r="P377" i="48"/>
  <c r="S162" i="48"/>
  <c r="O162" i="48"/>
  <c r="R162" i="48"/>
  <c r="Q162" i="48"/>
  <c r="P162" i="48"/>
  <c r="P533" i="48"/>
  <c r="O533" i="48"/>
  <c r="R533" i="48"/>
  <c r="Q533" i="48"/>
  <c r="S533" i="48"/>
  <c r="S381" i="48"/>
  <c r="Q381" i="48"/>
  <c r="O381" i="48"/>
  <c r="R381" i="48"/>
  <c r="P381" i="48"/>
  <c r="Q205" i="48"/>
  <c r="P205" i="48"/>
  <c r="O205" i="48"/>
  <c r="S205" i="48"/>
  <c r="R205" i="48"/>
  <c r="Q446" i="48"/>
  <c r="R446" i="48"/>
  <c r="P446" i="48"/>
  <c r="S446" i="48"/>
  <c r="O446" i="48"/>
  <c r="O439" i="48"/>
  <c r="Q439" i="48"/>
  <c r="S439" i="48"/>
  <c r="P439" i="48"/>
  <c r="R439" i="48"/>
  <c r="S359" i="48"/>
  <c r="O359" i="48"/>
  <c r="Q359" i="48"/>
  <c r="P359" i="48"/>
  <c r="R359" i="48"/>
  <c r="O366" i="48"/>
  <c r="Q366" i="48"/>
  <c r="S366" i="48"/>
  <c r="R366" i="48"/>
  <c r="P366" i="48"/>
  <c r="Q158" i="48"/>
  <c r="R158" i="48"/>
  <c r="S158" i="48"/>
  <c r="P158" i="48"/>
  <c r="O158" i="48"/>
  <c r="Q191" i="48"/>
  <c r="O191" i="48"/>
  <c r="R191" i="48"/>
  <c r="P191" i="48"/>
  <c r="S191" i="48"/>
  <c r="P322" i="48"/>
  <c r="O322" i="48"/>
  <c r="R322" i="48"/>
  <c r="Q322" i="48"/>
  <c r="S322" i="48"/>
  <c r="O256" i="48"/>
  <c r="R256" i="48"/>
  <c r="Q256" i="48"/>
  <c r="P256" i="48"/>
  <c r="S256" i="48"/>
  <c r="Q311" i="48"/>
  <c r="R311" i="48"/>
  <c r="P311" i="48"/>
  <c r="S311" i="48"/>
  <c r="O311" i="48"/>
  <c r="P167" i="48"/>
  <c r="S167" i="48"/>
  <c r="O167" i="48"/>
  <c r="Q167" i="48"/>
  <c r="R167" i="48"/>
  <c r="R455" i="48"/>
  <c r="S455" i="48"/>
  <c r="P455" i="48"/>
  <c r="O455" i="48"/>
  <c r="Q455" i="48"/>
  <c r="O121" i="48"/>
  <c r="S121" i="48"/>
  <c r="P121" i="48"/>
  <c r="Q121" i="48"/>
  <c r="R121" i="48"/>
  <c r="O105" i="48"/>
  <c r="R105" i="48"/>
  <c r="Q105" i="48"/>
  <c r="S105" i="48"/>
  <c r="P105" i="48"/>
  <c r="Q502" i="48"/>
  <c r="O502" i="48"/>
  <c r="R502" i="48"/>
  <c r="S502" i="48"/>
  <c r="P502" i="48"/>
  <c r="Q480" i="48"/>
  <c r="S480" i="48"/>
  <c r="P480" i="48"/>
  <c r="O480" i="48"/>
  <c r="R480" i="48"/>
  <c r="P500" i="48"/>
  <c r="R500" i="48"/>
  <c r="Q500" i="48"/>
  <c r="O500" i="48"/>
  <c r="S500" i="48"/>
  <c r="P395" i="48"/>
  <c r="Q395" i="48"/>
  <c r="S395" i="48"/>
  <c r="R395" i="48"/>
  <c r="O395" i="48"/>
  <c r="R369" i="48"/>
  <c r="P369" i="48"/>
  <c r="O369" i="48"/>
  <c r="Q369" i="48"/>
  <c r="S369" i="48"/>
  <c r="R382" i="48"/>
  <c r="S382" i="48"/>
  <c r="Q382" i="48"/>
  <c r="O382" i="48"/>
  <c r="P382" i="48"/>
  <c r="O129" i="48"/>
  <c r="Q129" i="48"/>
  <c r="R129" i="48"/>
  <c r="P129" i="48"/>
  <c r="S129" i="48"/>
  <c r="O315" i="48"/>
  <c r="P315" i="48"/>
  <c r="S315" i="48"/>
  <c r="Q315" i="48"/>
  <c r="R315" i="48"/>
  <c r="O90" i="48"/>
  <c r="S90" i="48"/>
  <c r="Q90" i="48"/>
  <c r="P90" i="48"/>
  <c r="R90" i="48"/>
  <c r="S89" i="48"/>
  <c r="R89" i="48"/>
  <c r="Q89" i="48"/>
  <c r="P89" i="48"/>
  <c r="O89" i="48"/>
  <c r="R147" i="48"/>
  <c r="Q147" i="48"/>
  <c r="P147" i="48"/>
  <c r="O147" i="48"/>
  <c r="S147" i="48"/>
  <c r="P92" i="48"/>
  <c r="R92" i="48"/>
  <c r="O92" i="48"/>
  <c r="Q92" i="48"/>
  <c r="S92" i="48"/>
  <c r="R526" i="48"/>
  <c r="S526" i="48"/>
  <c r="P526" i="48"/>
  <c r="O526" i="48"/>
  <c r="Q526" i="48"/>
  <c r="R201" i="48"/>
  <c r="S201" i="48"/>
  <c r="O201" i="48"/>
  <c r="Q201" i="48"/>
  <c r="P201" i="48"/>
  <c r="P257" i="48"/>
  <c r="Q257" i="48"/>
  <c r="S257" i="48"/>
  <c r="R257" i="48"/>
  <c r="O257" i="48"/>
  <c r="S529" i="48"/>
  <c r="P529" i="48"/>
  <c r="O529" i="48"/>
  <c r="R529" i="48"/>
  <c r="Q529" i="48"/>
  <c r="P521" i="48"/>
  <c r="R521" i="48"/>
  <c r="S521" i="48"/>
  <c r="Q521" i="48"/>
  <c r="O521" i="48"/>
  <c r="S307" i="48"/>
  <c r="P307" i="48"/>
  <c r="Q307" i="48"/>
  <c r="O307" i="48"/>
  <c r="R307" i="48"/>
  <c r="R226" i="48"/>
  <c r="O226" i="48"/>
  <c r="S226" i="48"/>
  <c r="Q226" i="48"/>
  <c r="P226" i="48"/>
  <c r="R473" i="48"/>
  <c r="S473" i="48"/>
  <c r="Q473" i="48"/>
  <c r="O473" i="48"/>
  <c r="P473" i="48"/>
  <c r="Q249" i="48"/>
  <c r="O249" i="48"/>
  <c r="P249" i="48"/>
  <c r="R249" i="48"/>
  <c r="S249" i="48"/>
  <c r="S336" i="48"/>
  <c r="Q336" i="48"/>
  <c r="P336" i="48"/>
  <c r="O336" i="48"/>
  <c r="R336" i="48"/>
  <c r="R82" i="48"/>
  <c r="Q82" i="48"/>
  <c r="P82" i="48"/>
  <c r="S82" i="48"/>
  <c r="O82" i="48"/>
  <c r="R404" i="48"/>
  <c r="O404" i="48"/>
  <c r="S404" i="48"/>
  <c r="P404" i="48"/>
  <c r="Q404" i="48"/>
  <c r="Q195" i="48"/>
  <c r="P195" i="48"/>
  <c r="R195" i="48"/>
  <c r="O195" i="48"/>
  <c r="S195" i="48"/>
  <c r="Q432" i="48"/>
  <c r="P432" i="48"/>
  <c r="O432" i="48"/>
  <c r="R432" i="48"/>
  <c r="S432" i="48"/>
  <c r="O482" i="48"/>
  <c r="S482" i="48"/>
  <c r="P482" i="48"/>
  <c r="Q482" i="48"/>
  <c r="R482" i="48"/>
  <c r="P523" i="48"/>
  <c r="R523" i="48"/>
  <c r="S523" i="48"/>
  <c r="O523" i="48"/>
  <c r="Q523" i="48"/>
  <c r="P407" i="48"/>
  <c r="S407" i="48"/>
  <c r="O407" i="48"/>
  <c r="Q407" i="48"/>
  <c r="R407" i="48"/>
  <c r="O183" i="48"/>
  <c r="P183" i="48"/>
  <c r="Q183" i="48"/>
  <c r="S183" i="48"/>
  <c r="R183" i="48"/>
  <c r="R522" i="48"/>
  <c r="S522" i="48"/>
  <c r="Q522" i="48"/>
  <c r="O522" i="48"/>
  <c r="P522" i="48"/>
  <c r="P283" i="48"/>
  <c r="O283" i="48"/>
  <c r="R283" i="48"/>
  <c r="Q283" i="48"/>
  <c r="S283" i="48"/>
  <c r="O132" i="48"/>
  <c r="R132" i="48"/>
  <c r="P132" i="48"/>
  <c r="Q132" i="48"/>
  <c r="S132" i="48"/>
  <c r="O452" i="48"/>
  <c r="P452" i="48"/>
  <c r="S452" i="48"/>
  <c r="R452" i="48"/>
  <c r="Q452" i="48"/>
  <c r="O495" i="48"/>
  <c r="Q495" i="48"/>
  <c r="R495" i="48"/>
  <c r="P495" i="48"/>
  <c r="S495" i="48"/>
  <c r="S240" i="48"/>
  <c r="Q240" i="48"/>
  <c r="O240" i="48"/>
  <c r="P240" i="48"/>
  <c r="R240" i="48"/>
  <c r="O371" i="48"/>
  <c r="S371" i="48"/>
  <c r="R371" i="48"/>
  <c r="Q371" i="48"/>
  <c r="P371" i="48"/>
  <c r="S396" i="48"/>
  <c r="O396" i="48"/>
  <c r="R396" i="48"/>
  <c r="P396" i="48"/>
  <c r="Q396" i="48"/>
  <c r="O96" i="48"/>
  <c r="Q96" i="48"/>
  <c r="S96" i="48"/>
  <c r="P96" i="48"/>
  <c r="R96" i="48"/>
  <c r="O223" i="48"/>
  <c r="Q223" i="48"/>
  <c r="P223" i="48"/>
  <c r="R223" i="48"/>
  <c r="S223" i="48"/>
  <c r="P532" i="48"/>
  <c r="O532" i="48"/>
  <c r="Q532" i="48"/>
  <c r="S532" i="48"/>
  <c r="R532" i="48"/>
  <c r="S300" i="48"/>
  <c r="R300" i="48"/>
  <c r="Q300" i="48"/>
  <c r="O300" i="48"/>
  <c r="P300" i="48"/>
  <c r="S136" i="48"/>
  <c r="Q136" i="48"/>
  <c r="R136" i="48"/>
  <c r="O136" i="48"/>
  <c r="P136" i="48"/>
  <c r="O460" i="48"/>
  <c r="R460" i="48"/>
  <c r="Q460" i="48"/>
  <c r="S460" i="48"/>
  <c r="P460" i="48"/>
  <c r="R339" i="48"/>
  <c r="O339" i="48"/>
  <c r="P339" i="48"/>
  <c r="Q339" i="48"/>
  <c r="S339" i="48"/>
  <c r="R312" i="48"/>
  <c r="S312" i="48"/>
  <c r="P312" i="48"/>
  <c r="Q312" i="48"/>
  <c r="O312" i="48"/>
  <c r="S487" i="48"/>
  <c r="P487" i="48"/>
  <c r="R487" i="48"/>
  <c r="O487" i="48"/>
  <c r="Q487" i="48"/>
  <c r="O445" i="48"/>
  <c r="R445" i="48"/>
  <c r="Q445" i="48"/>
  <c r="P445" i="48"/>
  <c r="S445" i="48"/>
  <c r="S141" i="48"/>
  <c r="R141" i="48"/>
  <c r="Q141" i="48"/>
  <c r="P141" i="48"/>
  <c r="O141" i="48"/>
  <c r="S364" i="48"/>
  <c r="Q364" i="48"/>
  <c r="P364" i="48"/>
  <c r="R364" i="48"/>
  <c r="O364" i="48"/>
  <c r="S169" i="48"/>
  <c r="P169" i="48"/>
  <c r="R169" i="48"/>
  <c r="O169" i="48"/>
  <c r="Q169" i="48"/>
  <c r="Q318" i="48"/>
  <c r="P318" i="48"/>
  <c r="S318" i="48"/>
  <c r="R318" i="48"/>
  <c r="O318" i="48"/>
  <c r="P545" i="48"/>
  <c r="R545" i="48"/>
  <c r="Q545" i="48"/>
  <c r="O545" i="48"/>
  <c r="S545" i="48"/>
  <c r="Q145" i="48"/>
  <c r="P145" i="48"/>
  <c r="R145" i="48"/>
  <c r="S145" i="48"/>
  <c r="O145" i="48"/>
  <c r="P176" i="48"/>
  <c r="R176" i="48"/>
  <c r="S176" i="48"/>
  <c r="Q176" i="48"/>
  <c r="O176" i="48"/>
  <c r="R146" i="48"/>
  <c r="S146" i="48"/>
  <c r="P146" i="48"/>
  <c r="Q146" i="48"/>
  <c r="O146" i="48"/>
  <c r="O497" i="48"/>
  <c r="R497" i="48"/>
  <c r="P497" i="48"/>
  <c r="Q497" i="48"/>
  <c r="S497" i="48"/>
  <c r="R213" i="48"/>
  <c r="S213" i="48"/>
  <c r="O213" i="48"/>
  <c r="P213" i="48"/>
  <c r="Q213" i="48"/>
  <c r="O405" i="48"/>
  <c r="R405" i="48"/>
  <c r="P405" i="48"/>
  <c r="S405" i="48"/>
  <c r="Q405" i="48"/>
  <c r="O337" i="48"/>
  <c r="Q337" i="48"/>
  <c r="R337" i="48"/>
  <c r="P337" i="48"/>
  <c r="S337" i="48"/>
  <c r="S414" i="48"/>
  <c r="R414" i="48"/>
  <c r="Q414" i="48"/>
  <c r="P414" i="48"/>
  <c r="O414" i="48"/>
  <c r="P120" i="48"/>
  <c r="R120" i="48"/>
  <c r="S120" i="48"/>
  <c r="Q120" i="48"/>
  <c r="O120" i="48"/>
  <c r="S409" i="48"/>
  <c r="R409" i="48"/>
  <c r="O409" i="48"/>
  <c r="Q409" i="48"/>
  <c r="P409" i="48"/>
  <c r="S94" i="48"/>
  <c r="R94" i="48"/>
  <c r="P94" i="48"/>
  <c r="Q94" i="48"/>
  <c r="O94" i="48"/>
  <c r="S214" i="48"/>
  <c r="P214" i="48"/>
  <c r="O214" i="48"/>
  <c r="R214" i="48"/>
  <c r="Q214" i="48"/>
  <c r="P285" i="48"/>
  <c r="O285" i="48"/>
  <c r="Q285" i="48"/>
  <c r="S285" i="48"/>
  <c r="R285" i="48"/>
  <c r="R81" i="48"/>
  <c r="S81" i="48"/>
  <c r="O81" i="48"/>
  <c r="Q81" i="48"/>
  <c r="P81" i="48"/>
  <c r="R391" i="48"/>
  <c r="P391" i="48"/>
  <c r="O391" i="48"/>
  <c r="Q391" i="48"/>
  <c r="S391" i="48"/>
  <c r="S263" i="48"/>
  <c r="Q263" i="48"/>
  <c r="O263" i="48"/>
  <c r="R263" i="48"/>
  <c r="P263" i="48"/>
  <c r="P222" i="48"/>
  <c r="Q222" i="48"/>
  <c r="R222" i="48"/>
  <c r="S222" i="48"/>
  <c r="O222" i="48"/>
  <c r="S83" i="48"/>
  <c r="P83" i="48"/>
  <c r="R83" i="48"/>
  <c r="O83" i="48"/>
  <c r="Q83" i="48"/>
  <c r="O79" i="48"/>
  <c r="S79" i="48"/>
  <c r="Q79" i="48"/>
  <c r="R79" i="48"/>
  <c r="P79" i="48"/>
  <c r="S513" i="48"/>
  <c r="P513" i="48"/>
  <c r="O513" i="48"/>
  <c r="Q513" i="48"/>
  <c r="R513" i="48"/>
  <c r="S57" i="48"/>
  <c r="O57" i="48"/>
  <c r="Q57" i="48"/>
  <c r="R57" i="48"/>
  <c r="P57" i="48"/>
  <c r="R117" i="48"/>
  <c r="P117" i="48"/>
  <c r="S117" i="48"/>
  <c r="Q117" i="48"/>
  <c r="O117" i="48"/>
  <c r="S378" i="48"/>
  <c r="R378" i="48"/>
  <c r="O378" i="48"/>
  <c r="P378" i="48"/>
  <c r="Q378" i="48"/>
  <c r="O503" i="48"/>
  <c r="Q503" i="48"/>
  <c r="R503" i="48"/>
  <c r="S503" i="48"/>
  <c r="P503" i="48"/>
  <c r="Q416" i="48"/>
  <c r="R416" i="48"/>
  <c r="O416" i="48"/>
  <c r="P416" i="48"/>
  <c r="S416" i="48"/>
  <c r="O447" i="48"/>
  <c r="P447" i="48"/>
  <c r="Q447" i="48"/>
  <c r="S447" i="48"/>
  <c r="R447" i="48"/>
  <c r="S507" i="48"/>
  <c r="Q507" i="48"/>
  <c r="R507" i="48"/>
  <c r="O507" i="48"/>
  <c r="P507" i="48"/>
  <c r="S475" i="48"/>
  <c r="Q475" i="48"/>
  <c r="R475" i="48"/>
  <c r="O475" i="48"/>
  <c r="P475" i="48"/>
  <c r="P345" i="48"/>
  <c r="Q345" i="48"/>
  <c r="R345" i="48"/>
  <c r="O345" i="48"/>
  <c r="S345" i="48"/>
  <c r="O546" i="48"/>
  <c r="P546" i="48"/>
  <c r="Q546" i="48"/>
  <c r="S546" i="48"/>
  <c r="R546" i="48"/>
  <c r="O181" i="48"/>
  <c r="Q181" i="48"/>
  <c r="R181" i="48"/>
  <c r="S181" i="48"/>
  <c r="P181" i="48"/>
  <c r="R196" i="48"/>
  <c r="S196" i="48"/>
  <c r="P196" i="48"/>
  <c r="O196" i="48"/>
  <c r="Q196" i="48"/>
  <c r="Q62" i="48"/>
  <c r="S62" i="48"/>
  <c r="O62" i="48"/>
  <c r="R62" i="48"/>
  <c r="P62" i="48"/>
  <c r="Q427" i="48"/>
  <c r="S427" i="48"/>
  <c r="P427" i="48"/>
  <c r="R427" i="48"/>
  <c r="O427" i="48"/>
  <c r="P538" i="48"/>
  <c r="R538" i="48"/>
  <c r="Q538" i="48"/>
  <c r="O538" i="48"/>
  <c r="S538" i="48"/>
  <c r="Q429" i="48"/>
  <c r="P429" i="48"/>
  <c r="O429" i="48"/>
  <c r="R429" i="48"/>
  <c r="S429" i="48"/>
  <c r="P221" i="48"/>
  <c r="S221" i="48"/>
  <c r="O221" i="48"/>
  <c r="R221" i="48"/>
  <c r="Q221" i="48"/>
  <c r="O415" i="48"/>
  <c r="S415" i="48"/>
  <c r="Q415" i="48"/>
  <c r="P415" i="48"/>
  <c r="R415" i="48"/>
  <c r="O260" i="48"/>
  <c r="Q260" i="48"/>
  <c r="R260" i="48"/>
  <c r="S260" i="48"/>
  <c r="P260" i="48"/>
  <c r="R128" i="48"/>
  <c r="O128" i="48"/>
  <c r="Q128" i="48"/>
  <c r="S128" i="48"/>
  <c r="P128" i="48"/>
  <c r="R286" i="48"/>
  <c r="O286" i="48"/>
  <c r="Q286" i="48"/>
  <c r="P286" i="48"/>
  <c r="S286" i="48"/>
  <c r="S355" i="48"/>
  <c r="R355" i="48"/>
  <c r="Q355" i="48"/>
  <c r="O355" i="48"/>
  <c r="P355" i="48"/>
  <c r="S387" i="48"/>
  <c r="R387" i="48"/>
  <c r="P387" i="48"/>
  <c r="O387" i="48"/>
  <c r="Q387" i="48"/>
  <c r="S139" i="48"/>
  <c r="O139" i="48"/>
  <c r="P139" i="48"/>
  <c r="R139" i="48"/>
  <c r="Q139" i="48"/>
  <c r="S361" i="48"/>
  <c r="O361" i="48"/>
  <c r="P361" i="48"/>
  <c r="Q361" i="48"/>
  <c r="R361" i="48"/>
  <c r="R354" i="48"/>
  <c r="O354" i="48"/>
  <c r="Q354" i="48"/>
  <c r="S354" i="48"/>
  <c r="P354" i="48"/>
  <c r="S421" i="48"/>
  <c r="P421" i="48"/>
  <c r="Q421" i="48"/>
  <c r="O421" i="48"/>
  <c r="R421" i="48"/>
  <c r="O197" i="48"/>
  <c r="P197" i="48"/>
  <c r="Q197" i="48"/>
  <c r="S197" i="48"/>
  <c r="R197" i="48"/>
  <c r="Q406" i="48"/>
  <c r="S406" i="48"/>
  <c r="P406" i="48"/>
  <c r="O406" i="48"/>
  <c r="R406" i="48"/>
  <c r="O490" i="48"/>
  <c r="S490" i="48"/>
  <c r="R490" i="48"/>
  <c r="Q490" i="48"/>
  <c r="P490" i="48"/>
  <c r="O326" i="48"/>
  <c r="R326" i="48"/>
  <c r="P326" i="48"/>
  <c r="Q326" i="48"/>
  <c r="S326" i="48"/>
  <c r="R543" i="48"/>
  <c r="P543" i="48"/>
  <c r="S543" i="48"/>
  <c r="O543" i="48"/>
  <c r="Q543" i="48"/>
  <c r="P449" i="48"/>
  <c r="O449" i="48"/>
  <c r="Q449" i="48"/>
  <c r="R449" i="48"/>
  <c r="S449" i="48"/>
  <c r="Q458" i="48"/>
  <c r="S458" i="48"/>
  <c r="O458" i="48"/>
  <c r="R458" i="48"/>
  <c r="P458" i="48"/>
  <c r="R267" i="48"/>
  <c r="Q267" i="48"/>
  <c r="O267" i="48"/>
  <c r="S267" i="48"/>
  <c r="P267" i="48"/>
  <c r="R134" i="48"/>
  <c r="P134" i="48"/>
  <c r="O134" i="48"/>
  <c r="Q134" i="48"/>
  <c r="S134" i="48"/>
  <c r="P501" i="48"/>
  <c r="O501" i="48"/>
  <c r="Q501" i="48"/>
  <c r="R501" i="48"/>
  <c r="S501" i="48"/>
  <c r="S333" i="48"/>
  <c r="P333" i="48"/>
  <c r="O333" i="48"/>
  <c r="Q333" i="48"/>
  <c r="R333" i="48"/>
  <c r="P173" i="48"/>
  <c r="S173" i="48"/>
  <c r="R173" i="48"/>
  <c r="O173" i="48"/>
  <c r="Q173" i="48"/>
  <c r="O424" i="48"/>
  <c r="R424" i="48"/>
  <c r="S424" i="48"/>
  <c r="P424" i="48"/>
  <c r="Q424" i="48"/>
  <c r="S316" i="48"/>
  <c r="P316" i="48"/>
  <c r="R316" i="48"/>
  <c r="O316" i="48"/>
  <c r="Q316" i="48"/>
  <c r="O199" i="48"/>
  <c r="P199" i="48"/>
  <c r="Q199" i="48"/>
  <c r="R199" i="48"/>
  <c r="S199" i="48"/>
  <c r="P334" i="48"/>
  <c r="S334" i="48"/>
  <c r="Q334" i="48"/>
  <c r="O334" i="48"/>
  <c r="R334" i="48"/>
  <c r="S86" i="48"/>
  <c r="P86" i="48"/>
  <c r="Q86" i="48"/>
  <c r="O86" i="48"/>
  <c r="R86" i="48"/>
  <c r="P210" i="48"/>
  <c r="S210" i="48"/>
  <c r="Q210" i="48"/>
  <c r="O210" i="48"/>
  <c r="R210" i="48"/>
  <c r="P170" i="48"/>
  <c r="O170" i="48"/>
  <c r="Q170" i="48"/>
  <c r="S170" i="48"/>
  <c r="R170" i="48"/>
  <c r="Q344" i="48"/>
  <c r="S344" i="48"/>
  <c r="R344" i="48"/>
  <c r="O344" i="48"/>
  <c r="P344" i="48"/>
  <c r="S211" i="48"/>
  <c r="P211" i="48"/>
  <c r="R211" i="48"/>
  <c r="O211" i="48"/>
  <c r="Q211" i="48"/>
  <c r="Q436" i="48"/>
  <c r="P436" i="48"/>
  <c r="O436" i="48"/>
  <c r="R436" i="48"/>
  <c r="S436" i="48"/>
  <c r="R547" i="48"/>
  <c r="O547" i="48"/>
  <c r="S547" i="48"/>
  <c r="P547" i="48"/>
  <c r="Q547" i="48"/>
  <c r="Q402" i="48"/>
  <c r="P402" i="48"/>
  <c r="R402" i="48"/>
  <c r="S402" i="48"/>
  <c r="O402" i="48"/>
  <c r="P264" i="48"/>
  <c r="O264" i="48"/>
  <c r="Q264" i="48"/>
  <c r="R264" i="48"/>
  <c r="S264" i="48"/>
  <c r="Q508" i="48"/>
  <c r="P508" i="48"/>
  <c r="O508" i="48"/>
  <c r="R508" i="48"/>
  <c r="S508" i="48"/>
  <c r="P290" i="48"/>
  <c r="O290" i="48"/>
  <c r="S290" i="48"/>
  <c r="Q290" i="48"/>
  <c r="R290" i="48"/>
  <c r="S153" i="48"/>
  <c r="R153" i="48"/>
  <c r="O153" i="48"/>
  <c r="P153" i="48"/>
  <c r="Q153" i="48"/>
  <c r="O123" i="48"/>
  <c r="R123" i="48"/>
  <c r="P123" i="48"/>
  <c r="S123" i="48"/>
  <c r="Q123" i="48"/>
  <c r="Q182" i="48"/>
  <c r="R182" i="48"/>
  <c r="P182" i="48"/>
  <c r="S182" i="48"/>
  <c r="O182" i="48"/>
  <c r="O155" i="48"/>
  <c r="P155" i="48"/>
  <c r="Q155" i="48"/>
  <c r="S155" i="48"/>
  <c r="R155" i="48"/>
  <c r="R172" i="48"/>
  <c r="O172" i="48"/>
  <c r="Q172" i="48"/>
  <c r="P172" i="48"/>
  <c r="S172" i="48"/>
  <c r="S518" i="48"/>
  <c r="R518" i="48"/>
  <c r="Q518" i="48"/>
  <c r="O518" i="48"/>
  <c r="P518" i="48"/>
  <c r="S481" i="48"/>
  <c r="R481" i="48"/>
  <c r="Q481" i="48"/>
  <c r="O481" i="48"/>
  <c r="P481" i="48"/>
  <c r="Q241" i="48"/>
  <c r="S241" i="48"/>
  <c r="O241" i="48"/>
  <c r="R241" i="48"/>
  <c r="P241" i="48"/>
  <c r="P450" i="48"/>
  <c r="Q450" i="48"/>
  <c r="S450" i="48"/>
  <c r="R450" i="48"/>
  <c r="O450" i="48"/>
  <c r="S107" i="48"/>
  <c r="P107" i="48"/>
  <c r="O107" i="48"/>
  <c r="Q107" i="48"/>
  <c r="R107" i="48"/>
  <c r="Q127" i="48"/>
  <c r="R127" i="48"/>
  <c r="P127" i="48"/>
  <c r="S127" i="48"/>
  <c r="O127" i="48"/>
  <c r="S71" i="48"/>
  <c r="Q71" i="48"/>
  <c r="O71" i="48"/>
  <c r="R71" i="48"/>
  <c r="P71" i="48"/>
  <c r="Q180" i="48"/>
  <c r="R180" i="48"/>
  <c r="O180" i="48"/>
  <c r="S180" i="48"/>
  <c r="P180" i="48"/>
  <c r="O474" i="48"/>
  <c r="S474" i="48"/>
  <c r="Q474" i="48"/>
  <c r="P474" i="48"/>
  <c r="R474" i="48"/>
  <c r="O232" i="48"/>
  <c r="P232" i="48"/>
  <c r="R232" i="48"/>
  <c r="S232" i="48"/>
  <c r="Q232" i="48"/>
  <c r="S433" i="48"/>
  <c r="Q433" i="48"/>
  <c r="R433" i="48"/>
  <c r="O433" i="48"/>
  <c r="P433" i="48"/>
  <c r="P122" i="48"/>
  <c r="O122" i="48"/>
  <c r="Q122" i="48"/>
  <c r="S122" i="48"/>
  <c r="R122" i="48"/>
  <c r="S281" i="48"/>
  <c r="R281" i="48"/>
  <c r="Q281" i="48"/>
  <c r="O281" i="48"/>
  <c r="P281" i="48"/>
  <c r="R202" i="48"/>
  <c r="O202" i="48"/>
  <c r="P202" i="48"/>
  <c r="Q202" i="48"/>
  <c r="S202" i="48"/>
  <c r="R282" i="48"/>
  <c r="P282" i="48"/>
  <c r="Q282" i="48"/>
  <c r="O282" i="48"/>
  <c r="S282" i="48"/>
  <c r="O426" i="48"/>
  <c r="P426" i="48"/>
  <c r="Q426" i="48"/>
  <c r="R426" i="48"/>
  <c r="S426" i="48"/>
  <c r="S363" i="48"/>
  <c r="O363" i="48"/>
  <c r="P363" i="48"/>
  <c r="Q363" i="48"/>
  <c r="R363" i="48"/>
  <c r="S208" i="48"/>
  <c r="O208" i="48"/>
  <c r="P208" i="48"/>
  <c r="Q208" i="48"/>
  <c r="R208" i="48"/>
  <c r="R156" i="48"/>
  <c r="Q156" i="48"/>
  <c r="O156" i="48"/>
  <c r="S156" i="48"/>
  <c r="P156" i="48"/>
  <c r="S151" i="48"/>
  <c r="R151" i="48"/>
  <c r="P151" i="48"/>
  <c r="O151" i="48"/>
  <c r="Q151" i="48"/>
  <c r="P456" i="48"/>
  <c r="O456" i="48"/>
  <c r="R456" i="48"/>
  <c r="Q456" i="48"/>
  <c r="S456" i="48"/>
  <c r="R555" i="48"/>
  <c r="S555" i="48"/>
  <c r="P555" i="48"/>
  <c r="O555" i="48"/>
  <c r="Q555" i="48"/>
  <c r="R236" i="48"/>
  <c r="Q236" i="48"/>
  <c r="S236" i="48"/>
  <c r="P236" i="48"/>
  <c r="O236" i="48"/>
  <c r="R75" i="48"/>
  <c r="O75" i="48"/>
  <c r="S75" i="48"/>
  <c r="P75" i="48"/>
  <c r="Q75" i="48"/>
  <c r="O520" i="48"/>
  <c r="R520" i="48"/>
  <c r="P520" i="48"/>
  <c r="Q520" i="48"/>
  <c r="S520" i="48"/>
  <c r="P540" i="48"/>
  <c r="S540" i="48"/>
  <c r="Q540" i="48"/>
  <c r="O540" i="48"/>
  <c r="R540" i="48"/>
  <c r="O251" i="48"/>
  <c r="P251" i="48"/>
  <c r="R251" i="48"/>
  <c r="Q251" i="48"/>
  <c r="S251" i="48"/>
  <c r="R168" i="48"/>
  <c r="O168" i="48"/>
  <c r="Q168" i="48"/>
  <c r="S168" i="48"/>
  <c r="P168" i="48"/>
  <c r="O348" i="48"/>
  <c r="Q348" i="48"/>
  <c r="S348" i="48"/>
  <c r="P348" i="48"/>
  <c r="R348" i="48"/>
  <c r="S98" i="48"/>
  <c r="Q98" i="48"/>
  <c r="R98" i="48"/>
  <c r="O98" i="48"/>
  <c r="P98" i="48"/>
  <c r="R252" i="48"/>
  <c r="S252" i="48"/>
  <c r="P252" i="48"/>
  <c r="O252" i="48"/>
  <c r="Q252" i="48"/>
  <c r="O115" i="48"/>
  <c r="R115" i="48"/>
  <c r="S115" i="48"/>
  <c r="Q115" i="48"/>
  <c r="P115" i="48"/>
  <c r="Q346" i="48"/>
  <c r="S346" i="48"/>
  <c r="O346" i="48"/>
  <c r="R346" i="48"/>
  <c r="P346" i="48"/>
  <c r="Q319" i="48"/>
  <c r="S319" i="48"/>
  <c r="P319" i="48"/>
  <c r="O319" i="48"/>
  <c r="R319" i="48"/>
  <c r="R116" i="48"/>
  <c r="S116" i="48"/>
  <c r="Q116" i="48"/>
  <c r="O116" i="48"/>
  <c r="P116" i="48"/>
  <c r="S111" i="48"/>
  <c r="R111" i="48"/>
  <c r="O111" i="48"/>
  <c r="Q111" i="48"/>
  <c r="P111" i="48"/>
  <c r="R124" i="48"/>
  <c r="O124" i="48"/>
  <c r="S124" i="48"/>
  <c r="P124" i="48"/>
  <c r="Q124" i="48"/>
  <c r="R320" i="48"/>
  <c r="O320" i="48"/>
  <c r="S320" i="48"/>
  <c r="Q320" i="48"/>
  <c r="P320" i="48"/>
  <c r="T844" i="48" l="1"/>
  <c r="T973" i="48"/>
  <c r="T746" i="48"/>
  <c r="T1196" i="48"/>
  <c r="T1192" i="48"/>
  <c r="T1931" i="48"/>
  <c r="T699" i="48"/>
  <c r="T659" i="48"/>
  <c r="T756" i="48"/>
  <c r="T1507" i="48"/>
  <c r="T1986" i="48"/>
  <c r="T1942" i="48"/>
  <c r="T840" i="48"/>
  <c r="T1823" i="48"/>
  <c r="T1857" i="48"/>
  <c r="T866" i="48"/>
  <c r="T1519" i="48"/>
  <c r="T966" i="48"/>
  <c r="T1194" i="48"/>
  <c r="T2019" i="48"/>
  <c r="T1014" i="48"/>
  <c r="T1612" i="48"/>
  <c r="T694" i="48"/>
  <c r="T558" i="48"/>
  <c r="T984" i="48"/>
  <c r="T965" i="48"/>
  <c r="T924" i="48"/>
  <c r="T997" i="48"/>
  <c r="T915" i="48"/>
  <c r="T821" i="48"/>
  <c r="T1949" i="48"/>
  <c r="T1142" i="48"/>
  <c r="T1496" i="48"/>
  <c r="T874" i="48"/>
  <c r="T1630" i="48"/>
  <c r="T1665" i="48"/>
  <c r="T946" i="48"/>
  <c r="T1832" i="48"/>
  <c r="T1089" i="48"/>
  <c r="T1804" i="48"/>
  <c r="T1321" i="48"/>
  <c r="T1333" i="48"/>
  <c r="T1478" i="48"/>
  <c r="T1030" i="48"/>
  <c r="T798" i="48"/>
  <c r="T1833" i="48"/>
  <c r="T1820" i="48"/>
  <c r="T941" i="48"/>
  <c r="T1523" i="48"/>
  <c r="T1567" i="48"/>
  <c r="T1464" i="48"/>
  <c r="T1198" i="48"/>
  <c r="T1623" i="48"/>
  <c r="T1532" i="48"/>
  <c r="T1697" i="48"/>
  <c r="T1854" i="48"/>
  <c r="T1748" i="48"/>
  <c r="T2016" i="48"/>
  <c r="T1954" i="48"/>
  <c r="T1798" i="48"/>
  <c r="T762" i="48"/>
  <c r="T1107" i="48"/>
  <c r="T1040" i="48"/>
  <c r="T991" i="48"/>
  <c r="T862" i="48"/>
  <c r="T1096" i="48"/>
  <c r="T971" i="48"/>
  <c r="T1167" i="48"/>
  <c r="T809" i="48"/>
  <c r="T1606" i="48"/>
  <c r="T843" i="48"/>
  <c r="T2018" i="48"/>
  <c r="T1007" i="48"/>
  <c r="T807" i="48"/>
  <c r="T1339" i="48"/>
  <c r="T944" i="48"/>
  <c r="T940" i="48"/>
  <c r="T1083" i="48"/>
  <c r="T1071" i="48"/>
  <c r="T1848" i="48"/>
  <c r="T1179" i="48"/>
  <c r="T2049" i="48"/>
  <c r="T1454" i="48"/>
  <c r="T2053" i="48"/>
  <c r="T2002" i="48"/>
  <c r="T1938" i="48"/>
  <c r="T1918" i="48"/>
  <c r="T970" i="48"/>
  <c r="T1329" i="48"/>
  <c r="T1987" i="48"/>
  <c r="T1969" i="48"/>
  <c r="T1907" i="48"/>
  <c r="T1922" i="48"/>
  <c r="T1673" i="48"/>
  <c r="T1548" i="48"/>
  <c r="T787" i="48"/>
  <c r="T1930" i="48"/>
  <c r="T1132" i="48"/>
  <c r="T1092" i="48"/>
  <c r="T1516" i="48"/>
  <c r="T901" i="48"/>
  <c r="T1877" i="48"/>
  <c r="T799" i="48"/>
  <c r="T863" i="48"/>
  <c r="T1077" i="48"/>
  <c r="T674" i="48"/>
  <c r="T959" i="48"/>
  <c r="T891" i="48"/>
  <c r="T1075" i="48"/>
  <c r="T688" i="48"/>
  <c r="T1563" i="48"/>
  <c r="T1870" i="48"/>
  <c r="T1717" i="48"/>
  <c r="T1226" i="48"/>
  <c r="T854" i="48"/>
  <c r="T1934" i="48"/>
  <c r="T653" i="48"/>
  <c r="T601" i="48"/>
  <c r="T580" i="48"/>
  <c r="T614" i="48"/>
  <c r="T1754" i="48"/>
  <c r="T1779" i="48"/>
  <c r="T1038" i="48"/>
  <c r="T1946" i="48"/>
  <c r="T1821" i="48"/>
  <c r="T1755" i="48"/>
  <c r="T811" i="48"/>
  <c r="T1552" i="48"/>
  <c r="T1619" i="48"/>
  <c r="T1724" i="48"/>
  <c r="T1643" i="48"/>
  <c r="T684" i="48"/>
  <c r="T1042" i="48"/>
  <c r="T1206" i="48"/>
  <c r="T785" i="48"/>
  <c r="T994" i="48"/>
  <c r="T969" i="48"/>
  <c r="T1509" i="48"/>
  <c r="T1557" i="48"/>
  <c r="T1707" i="48"/>
  <c r="T1648" i="48"/>
  <c r="T1662" i="48"/>
  <c r="T758" i="48"/>
  <c r="T977" i="48"/>
  <c r="T1874" i="48"/>
  <c r="T1029" i="48"/>
  <c r="T1055" i="48"/>
  <c r="T897" i="48"/>
  <c r="T1933" i="48"/>
  <c r="T1125" i="48"/>
  <c r="T1202" i="48"/>
  <c r="T1517" i="48"/>
  <c r="T1098" i="48"/>
  <c r="T662" i="48"/>
  <c r="T1301" i="48"/>
  <c r="T953" i="48"/>
  <c r="T1585" i="48"/>
  <c r="T1190" i="48"/>
  <c r="T1980" i="48"/>
  <c r="T1793" i="48"/>
  <c r="T1063" i="48"/>
  <c r="T1184" i="48"/>
  <c r="T873" i="48"/>
  <c r="T1193" i="48"/>
  <c r="T1309" i="48"/>
  <c r="T1354" i="48"/>
  <c r="T1895" i="48"/>
  <c r="T1447" i="48"/>
  <c r="T574" i="48"/>
  <c r="T1849" i="48"/>
  <c r="T2007" i="48"/>
  <c r="T1906" i="48"/>
  <c r="T1050" i="48"/>
  <c r="T1135" i="48"/>
  <c r="T728" i="48"/>
  <c r="T1214" i="48"/>
  <c r="T2011" i="48"/>
  <c r="T2003" i="48"/>
  <c r="T687" i="48"/>
  <c r="T1549" i="48"/>
  <c r="T1962" i="48"/>
  <c r="T1375" i="48"/>
  <c r="T1970" i="48"/>
  <c r="T771" i="48"/>
  <c r="T817" i="48"/>
  <c r="T1036" i="48"/>
  <c r="T709" i="48"/>
  <c r="T822" i="48"/>
  <c r="T1100" i="48"/>
  <c r="T625" i="48"/>
  <c r="T1764" i="48"/>
  <c r="T1039" i="48"/>
  <c r="T1046" i="48"/>
  <c r="T1159" i="48"/>
  <c r="T1826" i="48"/>
  <c r="T1773" i="48"/>
  <c r="T1178" i="48"/>
  <c r="T1777" i="48"/>
  <c r="T1646" i="48"/>
  <c r="T1723" i="48"/>
  <c r="T1069" i="48"/>
  <c r="T622" i="48"/>
  <c r="T1554" i="48"/>
  <c r="T1413" i="48"/>
  <c r="T2054" i="48"/>
  <c r="T2015" i="48"/>
  <c r="T1727" i="48"/>
  <c r="T790" i="48"/>
  <c r="T823" i="48"/>
  <c r="T608" i="48"/>
  <c r="T591" i="48"/>
  <c r="T1289" i="48"/>
  <c r="T842" i="48"/>
  <c r="T921" i="48"/>
  <c r="T1251" i="48"/>
  <c r="T1151" i="48"/>
  <c r="T1845" i="48"/>
  <c r="T707" i="48"/>
  <c r="T1569" i="48"/>
  <c r="T905" i="48"/>
  <c r="T1944" i="48"/>
  <c r="T1628" i="48"/>
  <c r="T612" i="48"/>
  <c r="T646" i="48"/>
  <c r="T1111" i="48"/>
  <c r="T1588" i="48"/>
  <c r="T1501" i="48"/>
  <c r="T1503" i="48"/>
  <c r="T1583" i="48"/>
  <c r="T2047" i="48"/>
  <c r="T2042" i="48"/>
  <c r="T981" i="48"/>
  <c r="T1335" i="48"/>
  <c r="T1917" i="48"/>
  <c r="T713" i="48"/>
  <c r="T1395" i="48"/>
  <c r="T572" i="48"/>
  <c r="T1271" i="48"/>
  <c r="T1283" i="48"/>
  <c r="T2046" i="48"/>
  <c r="T1667" i="48"/>
  <c r="T1470" i="48"/>
  <c r="T974" i="48"/>
  <c r="T1084" i="48"/>
  <c r="T923" i="48"/>
  <c r="T664" i="48"/>
  <c r="T1023" i="48"/>
  <c r="T735" i="48"/>
  <c r="T876" i="48"/>
  <c r="T885" i="48"/>
  <c r="T723" i="48"/>
  <c r="T896" i="48"/>
  <c r="T704" i="48"/>
  <c r="T1952" i="48"/>
  <c r="T1718" i="48"/>
  <c r="T605" i="48"/>
  <c r="T1576" i="48"/>
  <c r="T764" i="48"/>
  <c r="T1751" i="48"/>
  <c r="T1645" i="48"/>
  <c r="T1431" i="48"/>
  <c r="T768" i="48"/>
  <c r="T1345" i="48"/>
  <c r="T1850" i="48"/>
  <c r="T1152" i="48"/>
  <c r="T1382" i="48"/>
  <c r="T1127" i="48"/>
  <c r="T1642" i="48"/>
  <c r="T1921" i="48"/>
  <c r="T955" i="48"/>
  <c r="T794" i="48"/>
  <c r="T777" i="48"/>
  <c r="T967" i="48"/>
  <c r="T1305" i="48"/>
  <c r="T1313" i="48"/>
  <c r="T1553" i="48"/>
  <c r="T1601" i="48"/>
  <c r="T1037" i="48"/>
  <c r="T1533" i="48"/>
  <c r="T1838" i="48"/>
  <c r="T1019" i="48"/>
  <c r="T680" i="48"/>
  <c r="T1407" i="48"/>
  <c r="T1438" i="48"/>
  <c r="T1342" i="48"/>
  <c r="T1172" i="48"/>
  <c r="T1286" i="48"/>
  <c r="T1650" i="48"/>
  <c r="T1442" i="48"/>
  <c r="T703" i="48"/>
  <c r="T672" i="48"/>
  <c r="T1840" i="48"/>
  <c r="T1256" i="48"/>
  <c r="T1774" i="48"/>
  <c r="T826" i="48"/>
  <c r="T638" i="48"/>
  <c r="T1112" i="48"/>
  <c r="T830" i="48"/>
  <c r="T1254" i="48"/>
  <c r="T1639" i="48"/>
  <c r="T668" i="48"/>
  <c r="T2050" i="48"/>
  <c r="T1807" i="48"/>
  <c r="T1562" i="48"/>
  <c r="T1860" i="48"/>
  <c r="T1324" i="48"/>
  <c r="T1053" i="48"/>
  <c r="T943" i="48"/>
  <c r="T706" i="48"/>
  <c r="T624" i="48"/>
  <c r="T623" i="48"/>
  <c r="T1865" i="48"/>
  <c r="T1465" i="48"/>
  <c r="T1180" i="48"/>
  <c r="T1510" i="48"/>
  <c r="T1445" i="48"/>
  <c r="T1439" i="48"/>
  <c r="T1113" i="48"/>
  <c r="T895" i="48"/>
  <c r="T1124" i="48"/>
  <c r="T1209" i="48"/>
  <c r="T1000" i="48"/>
  <c r="T1244" i="48"/>
  <c r="T1304" i="48"/>
  <c r="T1195" i="48"/>
  <c r="T645" i="48"/>
  <c r="T1061" i="48"/>
  <c r="T1909" i="48"/>
  <c r="T1475" i="48"/>
  <c r="T1181" i="48"/>
  <c r="T858" i="48"/>
  <c r="T1173" i="48"/>
  <c r="T1095" i="48"/>
  <c r="T1947" i="48"/>
  <c r="T770" i="48"/>
  <c r="T1766" i="48"/>
  <c r="T1609" i="48"/>
  <c r="T1306" i="48"/>
  <c r="T1621" i="48"/>
  <c r="T1937" i="48"/>
  <c r="T1259" i="48"/>
  <c r="T1982" i="48"/>
  <c r="T1762" i="48"/>
  <c r="T1426" i="48"/>
  <c r="T1417" i="48"/>
  <c r="T1073" i="48"/>
  <c r="T884" i="48"/>
  <c r="T1489" i="48"/>
  <c r="T856" i="48"/>
  <c r="T1551" i="48"/>
  <c r="T1694" i="48"/>
  <c r="T1319" i="48"/>
  <c r="T1998" i="48"/>
  <c r="T1677" i="48"/>
  <c r="T1529" i="48"/>
  <c r="T1837" i="48"/>
  <c r="T1432" i="48"/>
  <c r="T1165" i="48"/>
  <c r="T1709" i="48"/>
  <c r="T1827" i="48"/>
  <c r="T1428" i="48"/>
  <c r="T1346" i="48"/>
  <c r="T2039" i="48"/>
  <c r="T1544" i="48"/>
  <c r="T641" i="48"/>
  <c r="T1136" i="48"/>
  <c r="T681" i="48"/>
  <c r="T678" i="48"/>
  <c r="T1347" i="48"/>
  <c r="T1632" i="48"/>
  <c r="T1556" i="48"/>
  <c r="T1626" i="48"/>
  <c r="T985" i="48"/>
  <c r="T603" i="48"/>
  <c r="T1487" i="48"/>
  <c r="T1094" i="48"/>
  <c r="T725" i="48"/>
  <c r="T738" i="48"/>
  <c r="T870" i="48"/>
  <c r="T683" i="48"/>
  <c r="T585" i="48"/>
  <c r="T779" i="48"/>
  <c r="T1276" i="48"/>
  <c r="T1901" i="48"/>
  <c r="T1814" i="48"/>
  <c r="T1031" i="48"/>
  <c r="T1145" i="48"/>
  <c r="T582" i="48"/>
  <c r="T1965" i="48"/>
  <c r="T1675" i="48"/>
  <c r="T1387" i="48"/>
  <c r="T1267" i="48"/>
  <c r="T1787" i="48"/>
  <c r="T1446" i="48"/>
  <c r="T1109" i="48"/>
  <c r="T557" i="48"/>
  <c r="T1123" i="48"/>
  <c r="T788" i="48"/>
  <c r="T1570" i="48"/>
  <c r="T1116" i="48"/>
  <c r="T1495" i="48"/>
  <c r="T1863" i="48"/>
  <c r="T813" i="48"/>
  <c r="T1045" i="48"/>
  <c r="T1902" i="48"/>
  <c r="T1669" i="48"/>
  <c r="T1137" i="48"/>
  <c r="T660" i="48"/>
  <c r="T1573" i="48"/>
  <c r="T1176" i="48"/>
  <c r="T1574" i="48"/>
  <c r="T1146" i="48"/>
  <c r="T1983" i="48"/>
  <c r="T1892" i="48"/>
  <c r="T2029" i="48"/>
  <c r="T1984" i="48"/>
  <c r="T1966" i="48"/>
  <c r="T1940" i="48"/>
  <c r="T1813" i="48"/>
  <c r="T1369" i="48"/>
  <c r="T1131" i="48"/>
  <c r="T610" i="48"/>
  <c r="T933" i="48"/>
  <c r="T1296" i="48"/>
  <c r="T767" i="48"/>
  <c r="T1105" i="48"/>
  <c r="T1011" i="48"/>
  <c r="T596" i="48"/>
  <c r="T613" i="48"/>
  <c r="T802" i="48"/>
  <c r="T656" i="48"/>
  <c r="T1213" i="48"/>
  <c r="T890" i="48"/>
  <c r="T1238" i="48"/>
  <c r="T1336" i="48"/>
  <c r="T1013" i="48"/>
  <c r="T1640" i="48"/>
  <c r="T961" i="48"/>
  <c r="T1218" i="48"/>
  <c r="T1927" i="48"/>
  <c r="T1747" i="48"/>
  <c r="T1422" i="48"/>
  <c r="T868" i="48"/>
  <c r="T932" i="48"/>
  <c r="T1155" i="48"/>
  <c r="T667" i="48"/>
  <c r="T2043" i="48"/>
  <c r="T1144" i="48"/>
  <c r="T995" i="48"/>
  <c r="T1452" i="48"/>
  <c r="T1182" i="48"/>
  <c r="T930" i="48"/>
  <c r="T1844" i="48"/>
  <c r="T2048" i="48"/>
  <c r="T916" i="48"/>
  <c r="T2026" i="48"/>
  <c r="T1950" i="48"/>
  <c r="T1778" i="48"/>
  <c r="T1028" i="48"/>
  <c r="T745" i="48"/>
  <c r="T871" i="48"/>
  <c r="T726" i="48"/>
  <c r="T630" i="48"/>
  <c r="T1139" i="48"/>
  <c r="T635" i="48"/>
  <c r="T951" i="48"/>
  <c r="T831" i="48"/>
  <c r="T663" i="48"/>
  <c r="T968" i="48"/>
  <c r="T1591" i="48"/>
  <c r="T1230" i="48"/>
  <c r="T1277" i="48"/>
  <c r="T820" i="48"/>
  <c r="T1828" i="48"/>
  <c r="T1396" i="48"/>
  <c r="T739" i="48"/>
  <c r="T1560" i="48"/>
  <c r="T804" i="48"/>
  <c r="T1885" i="48"/>
  <c r="T1802" i="48"/>
  <c r="T1757" i="48"/>
  <c r="T1758" i="48"/>
  <c r="T1044" i="48"/>
  <c r="T1403" i="48"/>
  <c r="T964" i="48"/>
  <c r="T1527" i="48"/>
  <c r="T1881" i="48"/>
  <c r="T1241" i="48"/>
  <c r="T1568" i="48"/>
  <c r="T829" i="48"/>
  <c r="T882" i="48"/>
  <c r="T824" i="48"/>
  <c r="T1953" i="48"/>
  <c r="T1738" i="48"/>
  <c r="T889" i="48"/>
  <c r="T1285" i="48"/>
  <c r="T1480" i="48"/>
  <c r="T1792" i="48"/>
  <c r="T1776" i="48"/>
  <c r="T1102" i="48"/>
  <c r="T671" i="48"/>
  <c r="T1566" i="48"/>
  <c r="T1240" i="48"/>
  <c r="T1312" i="48"/>
  <c r="T1473" i="48"/>
  <c r="T2036" i="48"/>
  <c r="T1660" i="48"/>
  <c r="T1443" i="48"/>
  <c r="T1788" i="48"/>
  <c r="T2052" i="48"/>
  <c r="T2035" i="48"/>
  <c r="T2006" i="48"/>
  <c r="T1989" i="48"/>
  <c r="T1951" i="48"/>
  <c r="T1948" i="48"/>
  <c r="T1803" i="48"/>
  <c r="T1812" i="48"/>
  <c r="T1734" i="48"/>
  <c r="T1657" i="48"/>
  <c r="T1082" i="48"/>
  <c r="T927" i="48"/>
  <c r="T1450" i="48"/>
  <c r="T1079" i="48"/>
  <c r="T600" i="48"/>
  <c r="T611" i="48"/>
  <c r="T1353" i="48"/>
  <c r="T908" i="48"/>
  <c r="T1355" i="48"/>
  <c r="T1297" i="48"/>
  <c r="T1853" i="48"/>
  <c r="T1205" i="48"/>
  <c r="T1889" i="48"/>
  <c r="T1518" i="48"/>
  <c r="T1543" i="48"/>
  <c r="T1343" i="48"/>
  <c r="T1791" i="48"/>
  <c r="T1592" i="48"/>
  <c r="T1402" i="48"/>
  <c r="T640" i="48"/>
  <c r="T993" i="48"/>
  <c r="T1485" i="48"/>
  <c r="T1975" i="48"/>
  <c r="T812" i="48"/>
  <c r="T1449" i="48"/>
  <c r="T786" i="48"/>
  <c r="T719" i="48"/>
  <c r="T1263" i="48"/>
  <c r="T1498" i="48"/>
  <c r="T643" i="48"/>
  <c r="T929" i="48"/>
  <c r="T835" i="48"/>
  <c r="T998" i="48"/>
  <c r="T618" i="48"/>
  <c r="T1221" i="48"/>
  <c r="T992" i="48"/>
  <c r="T1074" i="48"/>
  <c r="T937" i="48"/>
  <c r="T1239" i="48"/>
  <c r="T1284" i="48"/>
  <c r="T1141" i="48"/>
  <c r="T1910" i="48"/>
  <c r="T1435" i="48"/>
  <c r="T1372" i="48"/>
  <c r="T1515" i="48"/>
  <c r="T1002" i="48"/>
  <c r="T795" i="48"/>
  <c r="T1153" i="48"/>
  <c r="T1278" i="48"/>
  <c r="T774" i="48"/>
  <c r="T1786" i="48"/>
  <c r="T1770" i="48"/>
  <c r="T1730" i="48"/>
  <c r="T1653" i="48"/>
  <c r="T1811" i="48"/>
  <c r="T1385" i="48"/>
  <c r="T1440" i="48"/>
  <c r="T1424" i="48"/>
  <c r="T1114" i="48"/>
  <c r="T778" i="48"/>
  <c r="T883" i="48"/>
  <c r="T566" i="48"/>
  <c r="T583" i="48"/>
  <c r="T571" i="48"/>
  <c r="T1579" i="48"/>
  <c r="T841" i="48"/>
  <c r="T1469" i="48"/>
  <c r="T1545" i="48"/>
  <c r="T1861" i="48"/>
  <c r="T1522" i="48"/>
  <c r="T2045" i="48"/>
  <c r="T1686" i="48"/>
  <c r="T1104" i="48"/>
  <c r="T716" i="48"/>
  <c r="T1352" i="48"/>
  <c r="T1303" i="48"/>
  <c r="T1875" i="48"/>
  <c r="T1959" i="48"/>
  <c r="T1701" i="48"/>
  <c r="T910" i="48"/>
  <c r="T679" i="48"/>
  <c r="T832" i="48"/>
  <c r="T1120" i="48"/>
  <c r="T1985" i="48"/>
  <c r="T1785" i="48"/>
  <c r="T1722" i="48"/>
  <c r="T1698" i="48"/>
  <c r="T1819" i="48"/>
  <c r="T1418" i="48"/>
  <c r="T1367" i="48"/>
  <c r="T1441" i="48"/>
  <c r="T1078" i="48"/>
  <c r="T1027" i="48"/>
  <c r="T1474" i="48"/>
  <c r="T1897" i="48"/>
  <c r="T1034" i="48"/>
  <c r="T1168" i="48"/>
  <c r="T1247" i="48"/>
  <c r="T1884" i="48"/>
  <c r="T1220" i="48"/>
  <c r="T1097" i="48"/>
  <c r="T918" i="48"/>
  <c r="T593" i="48"/>
  <c r="T1148" i="48"/>
  <c r="T575" i="48"/>
  <c r="T1183" i="48"/>
  <c r="T1893" i="48"/>
  <c r="T1658" i="48"/>
  <c r="T714" i="48"/>
  <c r="T1696" i="48"/>
  <c r="T1311" i="48"/>
  <c r="T2023" i="48"/>
  <c r="T1988" i="48"/>
  <c r="T1891" i="48"/>
  <c r="T1794" i="48"/>
  <c r="T1744" i="48"/>
  <c r="T1731" i="48"/>
  <c r="T1687" i="48"/>
  <c r="T1702" i="48"/>
  <c r="T1423" i="48"/>
  <c r="T1434" i="48"/>
  <c r="T1169" i="48"/>
  <c r="T828" i="48"/>
  <c r="T1052" i="48"/>
  <c r="T801" i="48"/>
  <c r="T627" i="48"/>
  <c r="T609" i="48"/>
  <c r="T1868" i="48"/>
  <c r="T1228" i="48"/>
  <c r="T1314" i="48"/>
  <c r="T1200" i="48"/>
  <c r="T1323" i="48"/>
  <c r="T1564" i="48"/>
  <c r="T1279" i="48"/>
  <c r="T1219" i="48"/>
  <c r="T765" i="48"/>
  <c r="T1275" i="48"/>
  <c r="T1604" i="48"/>
  <c r="T1767" i="48"/>
  <c r="T1166" i="48"/>
  <c r="T963" i="48"/>
  <c r="T1103" i="48"/>
  <c r="T1299" i="48"/>
  <c r="T1594" i="48"/>
  <c r="T898" i="48"/>
  <c r="T1255" i="48"/>
  <c r="T808" i="48"/>
  <c r="T1246" i="48"/>
  <c r="T690" i="48"/>
  <c r="T919" i="48"/>
  <c r="T1005" i="48"/>
  <c r="T1558" i="48"/>
  <c r="T1512" i="48"/>
  <c r="T1633" i="48"/>
  <c r="T1879" i="48"/>
  <c r="T1264" i="48"/>
  <c r="T1883" i="48"/>
  <c r="T1851" i="48"/>
  <c r="T1775" i="48"/>
  <c r="T1379" i="48"/>
  <c r="T1384" i="48"/>
  <c r="T1419" i="48"/>
  <c r="T958" i="48"/>
  <c r="T1021" i="48"/>
  <c r="T1603" i="48"/>
  <c r="T2024" i="48"/>
  <c r="T1715" i="48"/>
  <c r="T1689" i="48"/>
  <c r="T1138" i="48"/>
  <c r="T759" i="48"/>
  <c r="T850" i="48"/>
  <c r="T986" i="48"/>
  <c r="T1990" i="48"/>
  <c r="T1706" i="48"/>
  <c r="T1742" i="48"/>
  <c r="T733" i="48"/>
  <c r="T589" i="48"/>
  <c r="T1605" i="48"/>
  <c r="T1008" i="48"/>
  <c r="T1699" i="48"/>
  <c r="T1047" i="48"/>
  <c r="T987" i="48"/>
  <c r="T581" i="48"/>
  <c r="T1143" i="48"/>
  <c r="T766" i="48"/>
  <c r="T692" i="48"/>
  <c r="T1488" i="48"/>
  <c r="T1611" i="48"/>
  <c r="T1974" i="48"/>
  <c r="T1830" i="48"/>
  <c r="T1086" i="48"/>
  <c r="T604" i="48"/>
  <c r="T1945" i="48"/>
  <c r="T2020" i="48"/>
  <c r="T1894" i="48"/>
  <c r="T1737" i="48"/>
  <c r="T1679" i="48"/>
  <c r="T1716" i="48"/>
  <c r="T1383" i="48"/>
  <c r="T1174" i="48"/>
  <c r="T926" i="48"/>
  <c r="T1024" i="48"/>
  <c r="T867" i="48"/>
  <c r="T634" i="48"/>
  <c r="T577" i="48"/>
  <c r="T949" i="48"/>
  <c r="T1207" i="48"/>
  <c r="T1502" i="48"/>
  <c r="T775" i="48"/>
  <c r="T1348" i="48"/>
  <c r="T1302" i="48"/>
  <c r="T1880" i="48"/>
  <c r="T1468" i="48"/>
  <c r="T1274" i="48"/>
  <c r="T1320" i="48"/>
  <c r="T1235" i="48"/>
  <c r="T1526" i="48"/>
  <c r="T1836" i="48"/>
  <c r="T1072" i="48"/>
  <c r="T1162" i="48"/>
  <c r="T729" i="48"/>
  <c r="T1026" i="48"/>
  <c r="T1637" i="48"/>
  <c r="T1088" i="48"/>
  <c r="T1456" i="48"/>
  <c r="T1995" i="48"/>
  <c r="T1099" i="48"/>
  <c r="T1175" i="48"/>
  <c r="T648" i="48"/>
  <c r="T696" i="48"/>
  <c r="T1358" i="48"/>
  <c r="T1537" i="48"/>
  <c r="T978" i="48"/>
  <c r="T1331" i="48"/>
  <c r="T1528" i="48"/>
  <c r="T996" i="48"/>
  <c r="T948" i="48"/>
  <c r="T1460" i="48"/>
  <c r="T1261" i="48"/>
  <c r="T1188" i="48"/>
  <c r="T602" i="48"/>
  <c r="T983" i="48"/>
  <c r="T595" i="48"/>
  <c r="T1581" i="48"/>
  <c r="T853" i="48"/>
  <c r="T1451" i="48"/>
  <c r="T864" i="48"/>
  <c r="T1010" i="48"/>
  <c r="T1602" i="48"/>
  <c r="T1326" i="48"/>
  <c r="T1858" i="48"/>
  <c r="T1856" i="48"/>
  <c r="T1555" i="48"/>
  <c r="T2012" i="48"/>
  <c r="T2008" i="48"/>
  <c r="T1070" i="48"/>
  <c r="T875" i="48"/>
  <c r="T657" i="48"/>
  <c r="T562" i="48"/>
  <c r="T1808" i="48"/>
  <c r="T1057" i="48"/>
  <c r="T628" i="48"/>
  <c r="T710" i="48"/>
  <c r="T1250" i="48"/>
  <c r="T1977" i="48"/>
  <c r="T1565" i="48"/>
  <c r="T1831" i="48"/>
  <c r="T1919" i="48"/>
  <c r="T1666" i="48"/>
  <c r="T1448" i="48"/>
  <c r="T761" i="48"/>
  <c r="T1491" i="48"/>
  <c r="T1530" i="48"/>
  <c r="T1915" i="48"/>
  <c r="T1769" i="48"/>
  <c r="T1133" i="48"/>
  <c r="T661" i="48"/>
  <c r="T1115" i="48"/>
  <c r="T731" i="48"/>
  <c r="T567" i="48"/>
  <c r="T617" i="48"/>
  <c r="T1294" i="48"/>
  <c r="T1224" i="48"/>
  <c r="T1504" i="48"/>
  <c r="T1121" i="48"/>
  <c r="T947" i="48"/>
  <c r="T892" i="48"/>
  <c r="T1540" i="48"/>
  <c r="T1795" i="48"/>
  <c r="T1388" i="48"/>
  <c r="T1054" i="48"/>
  <c r="T1147" i="48"/>
  <c r="T650" i="48"/>
  <c r="T1589" i="48"/>
  <c r="T769" i="48"/>
  <c r="T597" i="48"/>
  <c r="T1534" i="48"/>
  <c r="T1878" i="48"/>
  <c r="T934" i="48"/>
  <c r="T782" i="48"/>
  <c r="T845" i="48"/>
  <c r="T1158" i="48"/>
  <c r="T1064" i="48"/>
  <c r="T590" i="48"/>
  <c r="T1059" i="48"/>
  <c r="T1835" i="48"/>
  <c r="T1257" i="48"/>
  <c r="T888" i="48"/>
  <c r="T1866" i="48"/>
  <c r="T1293" i="48"/>
  <c r="T1991" i="48"/>
  <c r="T1996" i="48"/>
  <c r="T1809" i="48"/>
  <c r="T1713" i="48"/>
  <c r="T1361" i="48"/>
  <c r="T1242" i="48"/>
  <c r="T1308" i="48"/>
  <c r="T912" i="48"/>
  <c r="T1725" i="48"/>
  <c r="T1886" i="48"/>
  <c r="T952" i="48"/>
  <c r="T1887" i="48"/>
  <c r="T2051" i="48"/>
  <c r="T2004" i="48"/>
  <c r="T2027" i="48"/>
  <c r="T1960" i="48"/>
  <c r="T1799" i="48"/>
  <c r="T1720" i="48"/>
  <c r="T1661" i="48"/>
  <c r="T1429" i="48"/>
  <c r="T1411" i="48"/>
  <c r="T1374" i="48"/>
  <c r="T1025" i="48"/>
  <c r="T1080" i="48"/>
  <c r="T907" i="48"/>
  <c r="T741" i="48"/>
  <c r="T722" i="48"/>
  <c r="T570" i="48"/>
  <c r="T578" i="48"/>
  <c r="T1203" i="48"/>
  <c r="T1634" i="48"/>
  <c r="T1212" i="48"/>
  <c r="T1961" i="48"/>
  <c r="T1705" i="48"/>
  <c r="T1663" i="48"/>
  <c r="T701" i="48"/>
  <c r="T950" i="48"/>
  <c r="T666" i="48"/>
  <c r="T881" i="48"/>
  <c r="T1482" i="48"/>
  <c r="T1790" i="48"/>
  <c r="T1414" i="48"/>
  <c r="T751" i="48"/>
  <c r="T647" i="48"/>
  <c r="T763" i="48"/>
  <c r="T1229" i="48"/>
  <c r="T1629" i="48"/>
  <c r="T1455" i="48"/>
  <c r="T1466" i="48"/>
  <c r="T789" i="48"/>
  <c r="T1876" i="48"/>
  <c r="T1381" i="48"/>
  <c r="T1106" i="48"/>
  <c r="T1065" i="48"/>
  <c r="T1108" i="48"/>
  <c r="T1076" i="48"/>
  <c r="T979" i="48"/>
  <c r="T658" i="48"/>
  <c r="T1913" i="48"/>
  <c r="T1920" i="48"/>
  <c r="T1692" i="48"/>
  <c r="T1710" i="48"/>
  <c r="T1401" i="48"/>
  <c r="T1003" i="48"/>
  <c r="T655" i="48"/>
  <c r="T606" i="48"/>
  <c r="T724" i="48"/>
  <c r="T899" i="48"/>
  <c r="T748" i="48"/>
  <c r="T1199" i="48"/>
  <c r="T1806" i="48"/>
  <c r="T1781" i="48"/>
  <c r="T1765" i="48"/>
  <c r="T1160" i="48"/>
  <c r="T757" i="48"/>
  <c r="T652" i="48"/>
  <c r="T1016" i="48"/>
  <c r="T1453" i="48"/>
  <c r="T1542" i="48"/>
  <c r="T1514" i="48"/>
  <c r="T568" i="48"/>
  <c r="T1087" i="48"/>
  <c r="T1322" i="48"/>
  <c r="T1600" i="48"/>
  <c r="T2009" i="48"/>
  <c r="T1890" i="48"/>
  <c r="T1810" i="48"/>
  <c r="T1436" i="48"/>
  <c r="T586" i="48"/>
  <c r="T1535" i="48"/>
  <c r="T2044" i="48"/>
  <c r="T1964" i="48"/>
  <c r="T1908" i="48"/>
  <c r="T1896" i="48"/>
  <c r="T1655" i="48"/>
  <c r="T1550" i="48"/>
  <c r="T1415" i="48"/>
  <c r="T1425" i="48"/>
  <c r="T1404" i="48"/>
  <c r="T1110" i="48"/>
  <c r="T1101" i="48"/>
  <c r="T879" i="48"/>
  <c r="T588" i="48"/>
  <c r="T754" i="48"/>
  <c r="T592" i="48"/>
  <c r="T559" i="48"/>
  <c r="T579" i="48"/>
  <c r="T887" i="48"/>
  <c r="T1610" i="48"/>
  <c r="T1842" i="48"/>
  <c r="T954" i="48"/>
  <c r="T1587" i="48"/>
  <c r="T913" i="48"/>
  <c r="T1613" i="48"/>
  <c r="T980" i="48"/>
  <c r="T780" i="48"/>
  <c r="T1578" i="48"/>
  <c r="T1457" i="48"/>
  <c r="T1999" i="48"/>
  <c r="T1721" i="48"/>
  <c r="T1538" i="48"/>
  <c r="T1476" i="48"/>
  <c r="T773" i="48"/>
  <c r="T1393" i="48"/>
  <c r="T1041" i="48"/>
  <c r="T598" i="48"/>
  <c r="T1888" i="48"/>
  <c r="T922" i="48"/>
  <c r="T2028" i="48"/>
  <c r="T1958" i="48"/>
  <c r="T1768" i="48"/>
  <c r="T1761" i="48"/>
  <c r="T1708" i="48"/>
  <c r="T1700" i="48"/>
  <c r="T1674" i="48"/>
  <c r="T1688" i="48"/>
  <c r="T1421" i="48"/>
  <c r="T1430" i="48"/>
  <c r="T1412" i="48"/>
  <c r="T1390" i="48"/>
  <c r="T988" i="48"/>
  <c r="T1590" i="48"/>
  <c r="T1572" i="48"/>
  <c r="T2001" i="48"/>
  <c r="T1750" i="48"/>
  <c r="T1049" i="48"/>
  <c r="T636" i="48"/>
  <c r="T1362" i="48"/>
  <c r="T1227" i="48"/>
  <c r="T1976" i="48"/>
  <c r="T939" i="48"/>
  <c r="T1815" i="48"/>
  <c r="T620" i="48"/>
  <c r="T1735" i="48"/>
  <c r="T1156" i="48"/>
  <c r="T1729" i="48"/>
  <c r="T1671" i="48"/>
  <c r="T1410" i="48"/>
  <c r="T878" i="48"/>
  <c r="T686" i="48"/>
  <c r="T619" i="48"/>
  <c r="T1597" i="48"/>
  <c r="T1500" i="48"/>
  <c r="T917" i="48"/>
  <c r="T819" i="48"/>
  <c r="T1427" i="48"/>
  <c r="T1068" i="48"/>
  <c r="T1231" i="48"/>
  <c r="T1350" i="48"/>
  <c r="T1911" i="48"/>
  <c r="T938" i="48"/>
  <c r="T962" i="48"/>
  <c r="T1541" i="48"/>
  <c r="T928" i="48"/>
  <c r="T1547" i="48"/>
  <c r="T1981" i="48"/>
  <c r="T1652" i="48"/>
  <c r="T1685" i="48"/>
  <c r="T1444" i="48"/>
  <c r="T1690" i="48"/>
  <c r="T1364" i="48"/>
  <c r="T1351" i="48"/>
  <c r="T1855" i="48"/>
  <c r="T1559" i="48"/>
  <c r="T791" i="48"/>
  <c r="T1852" i="48"/>
  <c r="T1265" i="48"/>
  <c r="T633" i="48"/>
  <c r="T1091" i="48"/>
  <c r="T1234" i="48"/>
  <c r="T1616" i="48"/>
  <c r="T989" i="48"/>
  <c r="T1956" i="48"/>
  <c r="T1656" i="48"/>
  <c r="T1726" i="48"/>
  <c r="T1386" i="48"/>
  <c r="T859" i="48"/>
  <c r="T742" i="48"/>
  <c r="T1318" i="48"/>
  <c r="T1994" i="48"/>
  <c r="T1899" i="48"/>
  <c r="T749" i="48"/>
  <c r="T839" i="48"/>
  <c r="T712" i="48"/>
  <c r="T2055" i="48"/>
  <c r="T1929" i="48"/>
  <c r="T1801" i="48"/>
  <c r="T1644" i="48"/>
  <c r="T1714" i="48"/>
  <c r="T1659" i="48"/>
  <c r="T1732" i="48"/>
  <c r="T1409" i="48"/>
  <c r="T1365" i="48"/>
  <c r="T1398" i="48"/>
  <c r="T1035" i="48"/>
  <c r="T1420" i="48"/>
  <c r="T1129" i="48"/>
  <c r="T1020" i="48"/>
  <c r="T1017" i="48"/>
  <c r="T902" i="48"/>
  <c r="T737" i="48"/>
  <c r="T644" i="48"/>
  <c r="T1018" i="48"/>
  <c r="T569" i="48"/>
  <c r="T1288" i="48"/>
  <c r="T797" i="48"/>
  <c r="T1216" i="48"/>
  <c r="T880" i="48"/>
  <c r="T2014" i="48"/>
  <c r="T1800" i="48"/>
  <c r="T1760" i="48"/>
  <c r="T576" i="48"/>
  <c r="T1268" i="48"/>
  <c r="T1291" i="48"/>
  <c r="T1992" i="48"/>
  <c r="T1924" i="48"/>
  <c r="T1647" i="48"/>
  <c r="T1332" i="48"/>
  <c r="T1968" i="48"/>
  <c r="T1117" i="48"/>
  <c r="T1051" i="48"/>
  <c r="T1012" i="48"/>
  <c r="T1356" i="48"/>
  <c r="T776" i="48"/>
  <c r="T1492" i="48"/>
  <c r="T1185" i="48"/>
  <c r="T837" i="48"/>
  <c r="T957" i="48"/>
  <c r="T1327" i="48"/>
  <c r="T1598" i="48"/>
  <c r="T1122" i="48"/>
  <c r="T990" i="48"/>
  <c r="T651" i="48"/>
  <c r="T744" i="48"/>
  <c r="T1223" i="48"/>
  <c r="T1525" i="48"/>
  <c r="T1711" i="48"/>
  <c r="T935" i="48"/>
  <c r="T599" i="48"/>
  <c r="T1608" i="48"/>
  <c r="T1843" i="48"/>
  <c r="T1864" i="48"/>
  <c r="T2013" i="48"/>
  <c r="T1872" i="48"/>
  <c r="T1834" i="48"/>
  <c r="T1134" i="48"/>
  <c r="T691" i="48"/>
  <c r="T1248" i="48"/>
  <c r="T792" i="48"/>
  <c r="T1925" i="48"/>
  <c r="T1935" i="48"/>
  <c r="T1743" i="48"/>
  <c r="T1682" i="48"/>
  <c r="T1066" i="48"/>
  <c r="T632" i="48"/>
  <c r="T847" i="48"/>
  <c r="T1266" i="48"/>
  <c r="T1258" i="48"/>
  <c r="T1763" i="48"/>
  <c r="T1380" i="48"/>
  <c r="T1458" i="48"/>
  <c r="T1577" i="48"/>
  <c r="T1262" i="48"/>
  <c r="T1344" i="48"/>
  <c r="T1963" i="48"/>
  <c r="T1914" i="48"/>
  <c r="T1928" i="48"/>
  <c r="T1784" i="48"/>
  <c r="T1926" i="48"/>
  <c r="T1712" i="48"/>
  <c r="T705" i="48"/>
  <c r="T750" i="48"/>
  <c r="T695" i="48"/>
  <c r="T584" i="48"/>
  <c r="T642" i="48"/>
  <c r="T1614" i="48"/>
  <c r="T1622" i="48"/>
  <c r="T1615" i="48"/>
  <c r="T1310" i="48"/>
  <c r="T1252" i="48"/>
  <c r="T1867" i="48"/>
  <c r="T1282" i="48"/>
  <c r="T1211" i="48"/>
  <c r="T815" i="48"/>
  <c r="T1513" i="48"/>
  <c r="T1904" i="48"/>
  <c r="T1782" i="48"/>
  <c r="T805" i="48"/>
  <c r="T1607" i="48"/>
  <c r="T1571" i="48"/>
  <c r="T1818" i="48"/>
  <c r="T1740" i="48"/>
  <c r="T1693" i="48"/>
  <c r="T1546" i="48"/>
  <c r="T1359" i="48"/>
  <c r="T1392" i="48"/>
  <c r="T1032" i="48"/>
  <c r="T1126" i="48"/>
  <c r="T1237" i="48"/>
  <c r="T1638" i="48"/>
  <c r="T2025" i="48"/>
  <c r="T1325" i="48"/>
  <c r="T675" i="48"/>
  <c r="T999" i="48"/>
  <c r="T860" i="48"/>
  <c r="T700" i="48"/>
  <c r="T1338" i="48"/>
  <c r="T673" i="48"/>
  <c r="T906" i="48"/>
  <c r="T1479" i="48"/>
  <c r="T936" i="48"/>
  <c r="T1394" i="48"/>
  <c r="T1416" i="48"/>
  <c r="T669" i="48"/>
  <c r="T855" i="48"/>
  <c r="T1580" i="48"/>
  <c r="T1093" i="48"/>
  <c r="T740" i="48"/>
  <c r="T1561" i="48"/>
  <c r="T1334" i="48"/>
  <c r="T2034" i="48"/>
  <c r="T2000" i="48"/>
  <c r="T1753" i="48"/>
  <c r="T1006" i="48"/>
  <c r="T564" i="48"/>
  <c r="T649" i="48"/>
  <c r="T1009" i="48"/>
  <c r="T1467" i="48"/>
  <c r="T1253" i="48"/>
  <c r="T893" i="48"/>
  <c r="T1536" i="48"/>
  <c r="T1695" i="48"/>
  <c r="T1437" i="48"/>
  <c r="T894" i="48"/>
  <c r="T1508" i="48"/>
  <c r="T1490" i="48"/>
  <c r="T1943" i="48"/>
  <c r="T1399" i="48"/>
  <c r="T1043" i="48"/>
  <c r="T1170" i="48"/>
  <c r="T1161" i="48"/>
  <c r="T1140" i="48"/>
  <c r="T851" i="48"/>
  <c r="T718" i="48"/>
  <c r="T727" i="48"/>
  <c r="T903" i="48"/>
  <c r="T1015" i="48"/>
  <c r="T865" i="48"/>
  <c r="T1624" i="48"/>
  <c r="T1494" i="48"/>
  <c r="T1222" i="48"/>
  <c r="T1506" i="48"/>
  <c r="T1477" i="48"/>
  <c r="T1033" i="48"/>
  <c r="T685" i="48"/>
  <c r="T772" i="48"/>
  <c r="T1936" i="48"/>
  <c r="T1825" i="48"/>
  <c r="T1691" i="48"/>
  <c r="T1719" i="48"/>
  <c r="T1400" i="48"/>
  <c r="T1862" i="48"/>
  <c r="T1300" i="48"/>
  <c r="T849" i="48"/>
  <c r="T1955" i="48"/>
  <c r="T1903" i="48"/>
  <c r="T1772" i="48"/>
  <c r="T1649" i="48"/>
  <c r="T1171" i="48"/>
  <c r="T676" i="48"/>
  <c r="T670" i="48"/>
  <c r="T594" i="48"/>
  <c r="T972" i="48"/>
  <c r="T1295" i="48"/>
  <c r="T1847" i="48"/>
  <c r="T1215" i="48"/>
  <c r="T1636" i="48"/>
  <c r="T1280" i="48"/>
  <c r="T1593" i="48"/>
  <c r="T1584" i="48"/>
  <c r="T1307" i="48"/>
  <c r="T857" i="48"/>
  <c r="T1483" i="48"/>
  <c r="T1233" i="48"/>
  <c r="T1627" i="48"/>
  <c r="T1972" i="48"/>
  <c r="T945" i="48"/>
  <c r="T2010" i="48"/>
  <c r="T1406" i="48"/>
  <c r="T1882" i="48"/>
  <c r="T1912" i="48"/>
  <c r="T1746" i="48"/>
  <c r="T1377" i="48"/>
  <c r="T1164" i="48"/>
  <c r="T665" i="48"/>
  <c r="T1210" i="48"/>
  <c r="T1739" i="48"/>
  <c r="T1651" i="48"/>
  <c r="T621" i="48"/>
  <c r="T1119" i="48"/>
  <c r="T861" i="48"/>
  <c r="T960" i="48"/>
  <c r="T1997" i="48"/>
  <c r="T1789" i="48"/>
  <c r="T1654" i="48"/>
  <c r="T1749" i="48"/>
  <c r="T1405" i="48"/>
  <c r="T1062" i="48"/>
  <c r="T900" i="48"/>
  <c r="T1128" i="48"/>
  <c r="T715" i="48"/>
  <c r="T814" i="48"/>
  <c r="T846" i="48"/>
  <c r="T1520" i="48"/>
  <c r="T800" i="48"/>
  <c r="T834" i="48"/>
  <c r="T1617" i="48"/>
  <c r="T1871" i="48"/>
  <c r="T1204" i="48"/>
  <c r="T1281" i="48"/>
  <c r="T2032" i="48"/>
  <c r="T1752" i="48"/>
  <c r="T1668" i="48"/>
  <c r="T1703" i="48"/>
  <c r="T1678" i="48"/>
  <c r="T1389" i="48"/>
  <c r="T1376" i="48"/>
  <c r="T1090" i="48"/>
  <c r="T1081" i="48"/>
  <c r="T1060" i="48"/>
  <c r="T689" i="48"/>
  <c r="T702" i="48"/>
  <c r="T616" i="48"/>
  <c r="T615" i="48"/>
  <c r="T836" i="48"/>
  <c r="T1497" i="48"/>
  <c r="T1521" i="48"/>
  <c r="T909" i="48"/>
  <c r="T816" i="48"/>
  <c r="T1841" i="48"/>
  <c r="T1817" i="48"/>
  <c r="T1056" i="48"/>
  <c r="T1463" i="48"/>
  <c r="T1191" i="48"/>
  <c r="T920" i="48"/>
  <c r="T1505" i="48"/>
  <c r="T1641" i="48"/>
  <c r="T825" i="48"/>
  <c r="T1873" i="48"/>
  <c r="T1232" i="48"/>
  <c r="T1472" i="48"/>
  <c r="T2033" i="48"/>
  <c r="T1783" i="48"/>
  <c r="T1363" i="48"/>
  <c r="T626" i="48"/>
  <c r="T1979" i="48"/>
  <c r="T1756" i="48"/>
  <c r="T1684" i="48"/>
  <c r="T1368" i="48"/>
  <c r="T1022" i="48"/>
  <c r="T639" i="48"/>
  <c r="T1201" i="48"/>
  <c r="T1001" i="48"/>
  <c r="T877" i="48"/>
  <c r="T2022" i="48"/>
  <c r="T1759" i="48"/>
  <c r="T1741" i="48"/>
  <c r="T1680" i="48"/>
  <c r="T1370" i="48"/>
  <c r="T677" i="48"/>
  <c r="T637" i="48"/>
  <c r="T886" i="48"/>
  <c r="T560" i="48"/>
  <c r="T654" i="48"/>
  <c r="T1189" i="48"/>
  <c r="T1493" i="48"/>
  <c r="T1208" i="48"/>
  <c r="T2040" i="48"/>
  <c r="T1971" i="48"/>
  <c r="T1330" i="48"/>
  <c r="T1459" i="48"/>
  <c r="T2037" i="48"/>
  <c r="T1967" i="48"/>
  <c r="T1805" i="48"/>
  <c r="T1796" i="48"/>
  <c r="T1736" i="48"/>
  <c r="T1177" i="48"/>
  <c r="T942" i="48"/>
  <c r="T852" i="48"/>
  <c r="T721" i="48"/>
  <c r="T1163" i="48"/>
  <c r="T734" i="48"/>
  <c r="T607" i="48"/>
  <c r="T720" i="48"/>
  <c r="T1298" i="48"/>
  <c r="T2041" i="48"/>
  <c r="T872" i="48"/>
  <c r="T783" i="48"/>
  <c r="T760" i="48"/>
  <c r="T784" i="48"/>
  <c r="T1511" i="48"/>
  <c r="T1846" i="48"/>
  <c r="T1245" i="48"/>
  <c r="T1186" i="48"/>
  <c r="T1595" i="48"/>
  <c r="T1260" i="48"/>
  <c r="T1328" i="48"/>
  <c r="T1481" i="48"/>
  <c r="T925" i="48"/>
  <c r="T1337" i="48"/>
  <c r="T1349" i="48"/>
  <c r="T911" i="48"/>
  <c r="T818" i="48"/>
  <c r="T755" i="48"/>
  <c r="T1316" i="48"/>
  <c r="T1187" i="48"/>
  <c r="T1272" i="48"/>
  <c r="T1130" i="48"/>
  <c r="T1067" i="48"/>
  <c r="T1461" i="48"/>
  <c r="T1973" i="48"/>
  <c r="T1625" i="48"/>
  <c r="T1916" i="48"/>
  <c r="T1816" i="48"/>
  <c r="T1360" i="48"/>
  <c r="T1118" i="48"/>
  <c r="T698" i="48"/>
  <c r="T956" i="48"/>
  <c r="T1340" i="48"/>
  <c r="T1243" i="48"/>
  <c r="T1539" i="48"/>
  <c r="T2030" i="48"/>
  <c r="T1923" i="48"/>
  <c r="T1797" i="48"/>
  <c r="T1824" i="48"/>
  <c r="T1391" i="48"/>
  <c r="T1378" i="48"/>
  <c r="T1433" i="48"/>
  <c r="T1149" i="48"/>
  <c r="T793" i="48"/>
  <c r="T747" i="48"/>
  <c r="T631" i="48"/>
  <c r="T732" i="48"/>
  <c r="T1225" i="48"/>
  <c r="T1287" i="48"/>
  <c r="T1499" i="48"/>
  <c r="T869" i="48"/>
  <c r="T1249" i="48"/>
  <c r="T1575" i="48"/>
  <c r="T803" i="48"/>
  <c r="T1315" i="48"/>
  <c r="T2005" i="48"/>
  <c r="T1898" i="48"/>
  <c r="T1905" i="48"/>
  <c r="T1780" i="48"/>
  <c r="T1733" i="48"/>
  <c r="T1670" i="48"/>
  <c r="T1681" i="48"/>
  <c r="T1366" i="48"/>
  <c r="T1058" i="48"/>
  <c r="T565" i="48"/>
  <c r="T743" i="48"/>
  <c r="T682" i="48"/>
  <c r="T976" i="48"/>
  <c r="T1524" i="48"/>
  <c r="T1839" i="48"/>
  <c r="T1620" i="48"/>
  <c r="T1635" i="48"/>
  <c r="T1197" i="48"/>
  <c r="T717" i="48"/>
  <c r="T730" i="48"/>
  <c r="T1217" i="48"/>
  <c r="T1290" i="48"/>
  <c r="T1631" i="48"/>
  <c r="T1341" i="48"/>
  <c r="T1978" i="48"/>
  <c r="T914" i="48"/>
  <c r="T1484" i="48"/>
  <c r="T1941" i="48"/>
  <c r="T1728" i="48"/>
  <c r="T1048" i="48"/>
  <c r="T1157" i="48"/>
  <c r="T781" i="48"/>
  <c r="T1599" i="48"/>
  <c r="T1822" i="48"/>
  <c r="T1408" i="48"/>
  <c r="T810" i="48"/>
  <c r="T697" i="48"/>
  <c r="T708" i="48"/>
  <c r="T1292" i="48"/>
  <c r="T1618" i="48"/>
  <c r="T1371" i="48"/>
  <c r="T975" i="48"/>
  <c r="T1859" i="48"/>
  <c r="T2038" i="48"/>
  <c r="T2021" i="48"/>
  <c r="T1993" i="48"/>
  <c r="T1957" i="48"/>
  <c r="T1939" i="48"/>
  <c r="T1932" i="48"/>
  <c r="T1676" i="48"/>
  <c r="T1586" i="48"/>
  <c r="T1704" i="48"/>
  <c r="T1085" i="48"/>
  <c r="T806" i="48"/>
  <c r="T931" i="48"/>
  <c r="T693" i="48"/>
  <c r="T556" i="48"/>
  <c r="T573" i="48"/>
  <c r="T752" i="48"/>
  <c r="T848" i="48"/>
  <c r="T1596" i="48"/>
  <c r="T1270" i="48"/>
  <c r="T1317" i="48"/>
  <c r="T1471" i="48"/>
  <c r="T1462" i="48"/>
  <c r="T833" i="48"/>
  <c r="T1269" i="48"/>
  <c r="T1357" i="48"/>
  <c r="T1869" i="48"/>
  <c r="T2017" i="48"/>
  <c r="T1745" i="48"/>
  <c r="T1683" i="48"/>
  <c r="T1664" i="48"/>
  <c r="T1672" i="48"/>
  <c r="T1373" i="48"/>
  <c r="T1397" i="48"/>
  <c r="T1154" i="48"/>
  <c r="T827" i="48"/>
  <c r="T753" i="48"/>
  <c r="T629" i="48"/>
  <c r="T838" i="48"/>
  <c r="T711" i="48"/>
  <c r="T587" i="48"/>
  <c r="T982" i="48"/>
  <c r="T736" i="48"/>
  <c r="T563" i="48"/>
  <c r="T796" i="48"/>
  <c r="T1829" i="48"/>
  <c r="T1236" i="48"/>
  <c r="T1531" i="48"/>
  <c r="T1273" i="48"/>
  <c r="T904" i="48"/>
  <c r="T1582" i="48"/>
  <c r="T1004" i="48"/>
  <c r="T2031" i="48"/>
  <c r="T1900" i="48"/>
  <c r="T1771" i="48"/>
  <c r="T1150" i="48"/>
  <c r="T561" i="48"/>
  <c r="T1486" i="48"/>
  <c r="T408" i="48"/>
  <c r="T470" i="48"/>
  <c r="T294" i="48"/>
  <c r="T389" i="48"/>
  <c r="T289" i="48"/>
  <c r="T102" i="48"/>
  <c r="T225" i="48"/>
  <c r="T418" i="48"/>
  <c r="T509" i="48"/>
  <c r="T532" i="48"/>
  <c r="T499" i="48"/>
  <c r="T189" i="48"/>
  <c r="T524" i="48"/>
  <c r="T483" i="48"/>
  <c r="T442" i="48"/>
  <c r="T451" i="48"/>
  <c r="T423" i="48"/>
  <c r="T233" i="48"/>
  <c r="T431" i="48"/>
  <c r="T530" i="48"/>
  <c r="T114" i="48"/>
  <c r="T341" i="48"/>
  <c r="T93" i="48"/>
  <c r="T226" i="48"/>
  <c r="T256" i="48"/>
  <c r="T138" i="48"/>
  <c r="T254" i="48"/>
  <c r="T491" i="48"/>
  <c r="T492" i="48"/>
  <c r="T235" i="48"/>
  <c r="T229" i="48"/>
  <c r="T398" i="48"/>
  <c r="T452" i="48"/>
  <c r="T430" i="48"/>
  <c r="T142" i="48"/>
  <c r="T476" i="48"/>
  <c r="T535" i="48"/>
  <c r="T435" i="48"/>
  <c r="T368" i="48"/>
  <c r="T413" i="48"/>
  <c r="T548" i="48"/>
  <c r="T115" i="48"/>
  <c r="T252" i="48"/>
  <c r="T426" i="48"/>
  <c r="T202" i="48"/>
  <c r="T543" i="48"/>
  <c r="T406" i="48"/>
  <c r="T139" i="48"/>
  <c r="T300" i="48"/>
  <c r="T183" i="48"/>
  <c r="T523" i="48"/>
  <c r="T482" i="48"/>
  <c r="T249" i="48"/>
  <c r="T473" i="48"/>
  <c r="T201" i="48"/>
  <c r="T91" i="48"/>
  <c r="T536" i="48"/>
  <c r="T332" i="48"/>
  <c r="T198" i="48"/>
  <c r="T77" i="48"/>
  <c r="T296" i="48"/>
  <c r="T554" i="48"/>
  <c r="T108" i="48"/>
  <c r="T288" i="48"/>
  <c r="T324" i="48"/>
  <c r="T325" i="48"/>
  <c r="T392" i="48"/>
  <c r="T186" i="48"/>
  <c r="T469" i="48"/>
  <c r="T457" i="48"/>
  <c r="T111" i="48"/>
  <c r="T122" i="48"/>
  <c r="T180" i="48"/>
  <c r="T508" i="48"/>
  <c r="T547" i="48"/>
  <c r="T322" i="48"/>
  <c r="T130" i="48"/>
  <c r="T140" i="48"/>
  <c r="T217" i="48"/>
  <c r="T262" i="48"/>
  <c r="T504" i="48"/>
  <c r="T537" i="48"/>
  <c r="T61" i="48"/>
  <c r="T250" i="48"/>
  <c r="T553" i="48"/>
  <c r="T247" i="48"/>
  <c r="T184" i="48"/>
  <c r="T63" i="48"/>
  <c r="T489" i="48"/>
  <c r="T160" i="48"/>
  <c r="T340" i="48"/>
  <c r="T2056" i="48"/>
  <c r="T220" i="48"/>
  <c r="T87" i="48"/>
  <c r="T420" i="48"/>
  <c r="T302" i="48"/>
  <c r="T156" i="48"/>
  <c r="T363" i="48"/>
  <c r="T481" i="48"/>
  <c r="T94" i="48"/>
  <c r="T337" i="48"/>
  <c r="T213" i="48"/>
  <c r="T146" i="48"/>
  <c r="T545" i="48"/>
  <c r="T318" i="48"/>
  <c r="T460" i="48"/>
  <c r="T371" i="48"/>
  <c r="T283" i="48"/>
  <c r="T336" i="48"/>
  <c r="T129" i="48"/>
  <c r="T369" i="48"/>
  <c r="T167" i="48"/>
  <c r="T359" i="48"/>
  <c r="T205" i="48"/>
  <c r="T59" i="48"/>
  <c r="T261" i="48"/>
  <c r="T403" i="48"/>
  <c r="T85" i="48"/>
  <c r="T514" i="48"/>
  <c r="T272" i="48"/>
  <c r="T360" i="48"/>
  <c r="T306" i="48"/>
  <c r="T551" i="48"/>
  <c r="T66" i="48"/>
  <c r="T351" i="48"/>
  <c r="T100" i="48"/>
  <c r="T76" i="48"/>
  <c r="T293" i="48"/>
  <c r="T531" i="48"/>
  <c r="T440" i="48"/>
  <c r="T527" i="48"/>
  <c r="T164" i="48"/>
  <c r="T234" i="48"/>
  <c r="T95" i="48"/>
  <c r="T192" i="48"/>
  <c r="T484" i="48"/>
  <c r="T159" i="48"/>
  <c r="T113" i="48"/>
  <c r="T255" i="48"/>
  <c r="T394" i="48"/>
  <c r="T60" i="48"/>
  <c r="T399" i="48"/>
  <c r="T375" i="48"/>
  <c r="T461" i="48"/>
  <c r="T459" i="48"/>
  <c r="T552" i="48"/>
  <c r="T299" i="48"/>
  <c r="T125" i="48"/>
  <c r="T190" i="48"/>
  <c r="T64" i="48"/>
  <c r="T319" i="48"/>
  <c r="T251" i="48"/>
  <c r="T236" i="48"/>
  <c r="T151" i="48"/>
  <c r="T281" i="48"/>
  <c r="T182" i="48"/>
  <c r="T134" i="48"/>
  <c r="T458" i="48"/>
  <c r="T538" i="48"/>
  <c r="T427" i="48"/>
  <c r="T507" i="48"/>
  <c r="T447" i="48"/>
  <c r="T117" i="48"/>
  <c r="T57" i="48"/>
  <c r="T513" i="48"/>
  <c r="T263" i="48"/>
  <c r="T285" i="48"/>
  <c r="T214" i="48"/>
  <c r="T136" i="48"/>
  <c r="T96" i="48"/>
  <c r="T404" i="48"/>
  <c r="T89" i="48"/>
  <c r="T502" i="48"/>
  <c r="T70" i="48"/>
  <c r="T154" i="48"/>
  <c r="T112" i="48"/>
  <c r="T498" i="48"/>
  <c r="T185" i="48"/>
  <c r="T273" i="48"/>
  <c r="T505" i="48"/>
  <c r="T328" i="48"/>
  <c r="T88" i="48"/>
  <c r="T216" i="48"/>
  <c r="T343" i="48"/>
  <c r="T464" i="48"/>
  <c r="T265" i="48"/>
  <c r="T258" i="48"/>
  <c r="T277" i="48"/>
  <c r="T488" i="48"/>
  <c r="T350" i="48"/>
  <c r="T110" i="48"/>
  <c r="T287" i="48"/>
  <c r="T383" i="48"/>
  <c r="T99" i="48"/>
  <c r="T356" i="48"/>
  <c r="T496" i="48"/>
  <c r="T282" i="48"/>
  <c r="T232" i="48"/>
  <c r="T71" i="48"/>
  <c r="T402" i="48"/>
  <c r="T210" i="48"/>
  <c r="T449" i="48"/>
  <c r="T195" i="48"/>
  <c r="T526" i="48"/>
  <c r="T480" i="48"/>
  <c r="T313" i="48"/>
  <c r="T401" i="48"/>
  <c r="T171" i="48"/>
  <c r="T305" i="48"/>
  <c r="T275" i="48"/>
  <c r="T542" i="48"/>
  <c r="T193" i="48"/>
  <c r="T477" i="48"/>
  <c r="T437" i="48"/>
  <c r="T68" i="48"/>
  <c r="T512" i="48"/>
  <c r="T219" i="48"/>
  <c r="T314" i="48"/>
  <c r="T244" i="48"/>
  <c r="T330" i="48"/>
  <c r="T280" i="48"/>
  <c r="T245" i="48"/>
  <c r="T335" i="48"/>
  <c r="T135" i="48"/>
  <c r="T515" i="48"/>
  <c r="T188" i="48"/>
  <c r="T372" i="48"/>
  <c r="T278" i="48"/>
  <c r="T510" i="48"/>
  <c r="T150" i="48"/>
  <c r="T126" i="48"/>
  <c r="T207" i="48"/>
  <c r="T410" i="48"/>
  <c r="T174" i="48"/>
  <c r="T339" i="48"/>
  <c r="T443" i="48"/>
  <c r="T175" i="48"/>
  <c r="T303" i="48"/>
  <c r="T400" i="48"/>
  <c r="T290" i="48"/>
  <c r="T436" i="48"/>
  <c r="T445" i="48"/>
  <c r="T121" i="48"/>
  <c r="T69" i="48"/>
  <c r="T143" i="48"/>
  <c r="T525" i="48"/>
  <c r="T358" i="48"/>
  <c r="T98" i="48"/>
  <c r="T348" i="48"/>
  <c r="T208" i="48"/>
  <c r="T241" i="48"/>
  <c r="T405" i="48"/>
  <c r="T132" i="48"/>
  <c r="T212" i="48"/>
  <c r="T206" i="48"/>
  <c r="T194" i="48"/>
  <c r="T238" i="48"/>
  <c r="T177" i="48"/>
  <c r="T310" i="48"/>
  <c r="T67" i="48"/>
  <c r="T453" i="48"/>
  <c r="T291" i="48"/>
  <c r="T157" i="48"/>
  <c r="T231" i="48"/>
  <c r="T516" i="48"/>
  <c r="T441" i="48"/>
  <c r="T544" i="48"/>
  <c r="T388" i="48"/>
  <c r="T471" i="48"/>
  <c r="T78" i="48"/>
  <c r="T116" i="48"/>
  <c r="T346" i="48"/>
  <c r="T168" i="48"/>
  <c r="T540" i="48"/>
  <c r="T433" i="48"/>
  <c r="T450" i="48"/>
  <c r="T123" i="48"/>
  <c r="T354" i="48"/>
  <c r="T355" i="48"/>
  <c r="T128" i="48"/>
  <c r="T378" i="48"/>
  <c r="T83" i="48"/>
  <c r="T222" i="48"/>
  <c r="T391" i="48"/>
  <c r="T495" i="48"/>
  <c r="T82" i="48"/>
  <c r="T307" i="48"/>
  <c r="T521" i="48"/>
  <c r="T92" i="48"/>
  <c r="T147" i="48"/>
  <c r="T395" i="48"/>
  <c r="T390" i="48"/>
  <c r="T253" i="48"/>
  <c r="T485" i="48"/>
  <c r="T144" i="48"/>
  <c r="T301" i="48"/>
  <c r="T106" i="48"/>
  <c r="T215" i="48"/>
  <c r="T166" i="48"/>
  <c r="T203" i="48"/>
  <c r="T109" i="48"/>
  <c r="T541" i="48"/>
  <c r="T292" i="48"/>
  <c r="T248" i="48"/>
  <c r="T367" i="48"/>
  <c r="T276" i="48"/>
  <c r="T72" i="48"/>
  <c r="T331" i="48"/>
  <c r="T239" i="48"/>
  <c r="T230" i="48"/>
  <c r="T152" i="48"/>
  <c r="T419" i="48"/>
  <c r="T412" i="48"/>
  <c r="T179" i="48"/>
  <c r="T309" i="48"/>
  <c r="T549" i="48"/>
  <c r="T269" i="48"/>
  <c r="T386" i="48"/>
  <c r="T103" i="48"/>
  <c r="T297" i="48"/>
  <c r="BB297" i="48" s="1"/>
  <c r="T200" i="48"/>
  <c r="T320" i="48"/>
  <c r="T546" i="48"/>
  <c r="T176" i="48"/>
  <c r="T455" i="48"/>
  <c r="T158" i="48"/>
  <c r="T550" i="48"/>
  <c r="T161" i="48"/>
  <c r="T448" i="48"/>
  <c r="T374" i="48"/>
  <c r="T84" i="48"/>
  <c r="T124" i="48"/>
  <c r="T518" i="48"/>
  <c r="T155" i="48"/>
  <c r="T344" i="48"/>
  <c r="T334" i="48"/>
  <c r="T199" i="48"/>
  <c r="T173" i="48"/>
  <c r="T501" i="48"/>
  <c r="T197" i="48"/>
  <c r="T141" i="48"/>
  <c r="T223" i="48"/>
  <c r="T396" i="48"/>
  <c r="T533" i="48"/>
  <c r="T295" i="48"/>
  <c r="T534" i="48"/>
  <c r="T417" i="48"/>
  <c r="T246" i="48"/>
  <c r="T65" i="48"/>
  <c r="T308" i="48"/>
  <c r="T80" i="48"/>
  <c r="T486" i="48"/>
  <c r="T149" i="48"/>
  <c r="T118" i="48"/>
  <c r="T393" i="48"/>
  <c r="T425" i="48"/>
  <c r="T259" i="48"/>
  <c r="T58" i="48"/>
  <c r="T279" i="48"/>
  <c r="T506" i="48"/>
  <c r="T204" i="48"/>
  <c r="T268" i="48"/>
  <c r="T323" i="48"/>
  <c r="T304" i="48"/>
  <c r="T119" i="48"/>
  <c r="T165" i="48"/>
  <c r="T75" i="48"/>
  <c r="T555" i="48"/>
  <c r="T107" i="48"/>
  <c r="T264" i="48"/>
  <c r="T211" i="48"/>
  <c r="T316" i="48"/>
  <c r="T424" i="48"/>
  <c r="T333" i="48"/>
  <c r="T267" i="48"/>
  <c r="T326" i="48"/>
  <c r="T260" i="48"/>
  <c r="T221" i="48"/>
  <c r="T345" i="48"/>
  <c r="T503" i="48"/>
  <c r="T81" i="48"/>
  <c r="T409" i="48"/>
  <c r="T120" i="48"/>
  <c r="T145" i="48"/>
  <c r="T90" i="48"/>
  <c r="T500" i="48"/>
  <c r="T105" i="48"/>
  <c r="T366" i="48"/>
  <c r="T446" i="48"/>
  <c r="T381" i="48"/>
  <c r="T162" i="48"/>
  <c r="T242" i="48"/>
  <c r="T370" i="48"/>
  <c r="T298" i="48"/>
  <c r="T131" i="48"/>
  <c r="T493" i="48"/>
  <c r="T133" i="48"/>
  <c r="T511" i="48"/>
  <c r="T352" i="48"/>
  <c r="T411" i="48"/>
  <c r="T357" i="48"/>
  <c r="T274" i="48"/>
  <c r="T519" i="48"/>
  <c r="T349" i="48"/>
  <c r="T380" i="48"/>
  <c r="T270" i="48"/>
  <c r="T428" i="48"/>
  <c r="T463" i="48"/>
  <c r="T73" i="48"/>
  <c r="T467" i="48"/>
  <c r="T101" i="48"/>
  <c r="T365" i="48"/>
  <c r="T539" i="48"/>
  <c r="T494" i="48"/>
  <c r="T379" i="48"/>
  <c r="T271" i="48"/>
  <c r="T243" i="48"/>
  <c r="T321" i="48"/>
  <c r="T74" i="48"/>
  <c r="T479" i="48"/>
  <c r="T466" i="48"/>
  <c r="T327" i="48"/>
  <c r="T384" i="48"/>
  <c r="T397" i="48"/>
  <c r="T465" i="48"/>
  <c r="T227" i="48"/>
  <c r="T373" i="48"/>
  <c r="T520" i="48"/>
  <c r="T456" i="48"/>
  <c r="T474" i="48"/>
  <c r="T127" i="48"/>
  <c r="T172" i="48"/>
  <c r="T153" i="48"/>
  <c r="T170" i="48"/>
  <c r="T86" i="48"/>
  <c r="T490" i="48"/>
  <c r="T421" i="48"/>
  <c r="T361" i="48"/>
  <c r="T387" i="48"/>
  <c r="T286" i="48"/>
  <c r="T415" i="48"/>
  <c r="T429" i="48"/>
  <c r="T62" i="48"/>
  <c r="T196" i="48"/>
  <c r="T181" i="48"/>
  <c r="T475" i="48"/>
  <c r="T416" i="48"/>
  <c r="T79" i="48"/>
  <c r="T414" i="48"/>
  <c r="T497" i="48"/>
  <c r="T169" i="48"/>
  <c r="T364" i="48"/>
  <c r="T487" i="48"/>
  <c r="T312" i="48"/>
  <c r="T240" i="48"/>
  <c r="T522" i="48"/>
  <c r="T407" i="48"/>
  <c r="T432" i="48"/>
  <c r="T529" i="48"/>
  <c r="T257" i="48"/>
  <c r="T315" i="48"/>
  <c r="T382" i="48"/>
  <c r="T311" i="48"/>
  <c r="T191" i="48"/>
  <c r="T439" i="48"/>
  <c r="T377" i="48"/>
  <c r="T434" i="48"/>
  <c r="T342" i="48"/>
  <c r="T478" i="48"/>
  <c r="T468" i="48"/>
  <c r="T347" i="48"/>
  <c r="T224" i="48"/>
  <c r="T237" i="48"/>
  <c r="T517" i="48"/>
  <c r="T228" i="48"/>
  <c r="T444" i="48"/>
  <c r="T438" i="48"/>
  <c r="T353" i="48"/>
  <c r="T317" i="48"/>
  <c r="T329" i="48"/>
  <c r="T362" i="48"/>
  <c r="T376" i="48"/>
  <c r="T385" i="48"/>
  <c r="T137" i="48"/>
  <c r="T266" i="48"/>
  <c r="T218" i="48"/>
  <c r="T97" i="48"/>
  <c r="T163" i="48"/>
  <c r="T284" i="48"/>
  <c r="T104" i="48"/>
  <c r="T178" i="48"/>
  <c r="T187" i="48"/>
  <c r="T209" i="48"/>
  <c r="T148" i="48"/>
  <c r="T462" i="48"/>
  <c r="T454" i="48"/>
  <c r="T472" i="48"/>
  <c r="T528" i="48"/>
  <c r="T422" i="48"/>
  <c r="T338" i="48"/>
  <c r="BB472" i="48" l="1"/>
  <c r="AT472" i="48"/>
  <c r="BM472" i="48"/>
  <c r="AS472" i="48"/>
  <c r="BL472" i="48"/>
  <c r="AT362" i="48"/>
  <c r="BB362" i="48"/>
  <c r="AS362" i="48"/>
  <c r="BM362" i="48"/>
  <c r="BL362" i="48"/>
  <c r="BM237" i="48"/>
  <c r="AT237" i="48"/>
  <c r="BL237" i="48"/>
  <c r="AS237" i="48"/>
  <c r="AT439" i="48"/>
  <c r="AS439" i="48"/>
  <c r="BM439" i="48"/>
  <c r="BB439" i="48"/>
  <c r="BL439" i="48"/>
  <c r="BL487" i="48"/>
  <c r="AT487" i="48"/>
  <c r="AS487" i="48"/>
  <c r="BM487" i="48"/>
  <c r="BB487" i="48"/>
  <c r="AS415" i="48"/>
  <c r="BM415" i="48"/>
  <c r="BB415" i="48"/>
  <c r="BL415" i="48"/>
  <c r="AT415" i="48"/>
  <c r="BM421" i="48"/>
  <c r="AT421" i="48"/>
  <c r="BL421" i="48"/>
  <c r="AS421" i="48"/>
  <c r="BB421" i="48"/>
  <c r="BL153" i="48"/>
  <c r="AT153" i="48"/>
  <c r="AS153" i="48"/>
  <c r="BM153" i="48"/>
  <c r="BB456" i="48"/>
  <c r="AT456" i="48"/>
  <c r="BM456" i="48"/>
  <c r="AS456" i="48"/>
  <c r="BL456" i="48"/>
  <c r="BL465" i="48"/>
  <c r="BB465" i="48"/>
  <c r="AT465" i="48"/>
  <c r="BM465" i="48"/>
  <c r="AS465" i="48"/>
  <c r="BB466" i="48"/>
  <c r="BM466" i="48"/>
  <c r="AT466" i="48"/>
  <c r="BL466" i="48"/>
  <c r="AS466" i="48"/>
  <c r="AT243" i="48"/>
  <c r="BM243" i="48"/>
  <c r="AS243" i="48"/>
  <c r="BL243" i="48"/>
  <c r="AS539" i="48"/>
  <c r="BM539" i="48"/>
  <c r="BB539" i="48"/>
  <c r="BL539" i="48"/>
  <c r="AT539" i="48"/>
  <c r="BL73" i="48"/>
  <c r="AT73" i="48"/>
  <c r="AS73" i="48"/>
  <c r="BM73" i="48"/>
  <c r="BB380" i="48"/>
  <c r="AT380" i="48"/>
  <c r="BM380" i="48"/>
  <c r="AS380" i="48"/>
  <c r="BL380" i="48"/>
  <c r="BM357" i="48"/>
  <c r="AT357" i="48"/>
  <c r="BL357" i="48"/>
  <c r="AS357" i="48"/>
  <c r="BB357" i="48"/>
  <c r="BM133" i="48"/>
  <c r="AT133" i="48"/>
  <c r="BL133" i="48"/>
  <c r="AS133" i="48"/>
  <c r="BB370" i="48"/>
  <c r="BM370" i="48"/>
  <c r="AT370" i="48"/>
  <c r="BL370" i="48"/>
  <c r="AS370" i="48"/>
  <c r="BB446" i="48"/>
  <c r="AT446" i="48"/>
  <c r="BM446" i="48"/>
  <c r="AS446" i="48"/>
  <c r="BL446" i="48"/>
  <c r="BL90" i="48"/>
  <c r="AT90" i="48"/>
  <c r="AS90" i="48"/>
  <c r="BM90" i="48"/>
  <c r="BM81" i="48"/>
  <c r="AS81" i="48"/>
  <c r="BL81" i="48"/>
  <c r="AT81" i="48"/>
  <c r="AT260" i="48"/>
  <c r="BM260" i="48"/>
  <c r="AS260" i="48"/>
  <c r="BL260" i="48"/>
  <c r="BB424" i="48"/>
  <c r="AT424" i="48"/>
  <c r="BM424" i="48"/>
  <c r="AS424" i="48"/>
  <c r="BL424" i="48"/>
  <c r="BL107" i="48"/>
  <c r="AT107" i="48"/>
  <c r="AS107" i="48"/>
  <c r="BM107" i="48"/>
  <c r="BM119" i="48"/>
  <c r="BL119" i="48"/>
  <c r="AT119" i="48"/>
  <c r="AS119" i="48"/>
  <c r="BL204" i="48"/>
  <c r="AT204" i="48"/>
  <c r="BM204" i="48"/>
  <c r="AS204" i="48"/>
  <c r="BL259" i="48"/>
  <c r="AT259" i="48"/>
  <c r="BM259" i="48"/>
  <c r="AS259" i="48"/>
  <c r="BM149" i="48"/>
  <c r="AT149" i="48"/>
  <c r="BL149" i="48"/>
  <c r="AS149" i="48"/>
  <c r="AT65" i="48"/>
  <c r="BM65" i="48"/>
  <c r="AS65" i="48"/>
  <c r="BL65" i="48"/>
  <c r="AS295" i="48"/>
  <c r="BM295" i="48"/>
  <c r="BL295" i="48"/>
  <c r="AT295" i="48"/>
  <c r="BM141" i="48"/>
  <c r="AT141" i="48"/>
  <c r="BL141" i="48"/>
  <c r="AS141" i="48"/>
  <c r="BM199" i="48"/>
  <c r="BL199" i="48"/>
  <c r="AT199" i="48"/>
  <c r="AS199" i="48"/>
  <c r="BB518" i="48"/>
  <c r="AS518" i="48"/>
  <c r="BM518" i="48"/>
  <c r="BL518" i="48"/>
  <c r="AT518" i="48"/>
  <c r="BM448" i="48"/>
  <c r="AS448" i="48"/>
  <c r="BL448" i="48"/>
  <c r="BB448" i="48"/>
  <c r="AT448" i="48"/>
  <c r="AT455" i="48"/>
  <c r="AS455" i="48"/>
  <c r="BM455" i="48"/>
  <c r="BB455" i="48"/>
  <c r="BL455" i="48"/>
  <c r="BM269" i="48"/>
  <c r="AT269" i="48"/>
  <c r="BL269" i="48"/>
  <c r="AS269" i="48"/>
  <c r="BB412" i="48"/>
  <c r="AT412" i="48"/>
  <c r="BM412" i="48"/>
  <c r="AS412" i="48"/>
  <c r="BL412" i="48"/>
  <c r="AS367" i="48"/>
  <c r="BM367" i="48"/>
  <c r="BB367" i="48"/>
  <c r="BL367" i="48"/>
  <c r="AT367" i="48"/>
  <c r="BL106" i="48"/>
  <c r="AT106" i="48"/>
  <c r="AS106" i="48"/>
  <c r="BM106" i="48"/>
  <c r="BM253" i="48"/>
  <c r="AT253" i="48"/>
  <c r="BL253" i="48"/>
  <c r="AS253" i="48"/>
  <c r="AT495" i="48"/>
  <c r="BM495" i="48"/>
  <c r="AS495" i="48"/>
  <c r="BL495" i="48"/>
  <c r="BB495" i="48"/>
  <c r="BL123" i="48"/>
  <c r="AT123" i="48"/>
  <c r="AS123" i="48"/>
  <c r="BM123" i="48"/>
  <c r="BM168" i="48"/>
  <c r="AS168" i="48"/>
  <c r="BL168" i="48"/>
  <c r="AT168" i="48"/>
  <c r="BL516" i="48"/>
  <c r="AS516" i="48"/>
  <c r="BM516" i="48"/>
  <c r="BB516" i="48"/>
  <c r="AT516" i="48"/>
  <c r="BM238" i="48"/>
  <c r="BL238" i="48"/>
  <c r="AT238" i="48"/>
  <c r="AS238" i="48"/>
  <c r="AT132" i="48"/>
  <c r="BM132" i="48"/>
  <c r="AS132" i="48"/>
  <c r="BL132" i="48"/>
  <c r="AT143" i="48"/>
  <c r="AS143" i="48"/>
  <c r="BM143" i="48"/>
  <c r="BL143" i="48"/>
  <c r="AT175" i="48"/>
  <c r="AS175" i="48"/>
  <c r="BM175" i="48"/>
  <c r="BL175" i="48"/>
  <c r="AT510" i="48"/>
  <c r="BM510" i="48"/>
  <c r="BB510" i="48"/>
  <c r="AS510" i="48"/>
  <c r="BL510" i="48"/>
  <c r="BL280" i="48"/>
  <c r="AT280" i="48"/>
  <c r="BM280" i="48"/>
  <c r="AS280" i="48"/>
  <c r="BM480" i="48"/>
  <c r="AS480" i="48"/>
  <c r="BL480" i="48"/>
  <c r="BB480" i="48"/>
  <c r="AT480" i="48"/>
  <c r="BB338" i="48"/>
  <c r="BM338" i="48"/>
  <c r="AT338" i="48"/>
  <c r="BL338" i="48"/>
  <c r="AS338" i="48"/>
  <c r="AS454" i="48"/>
  <c r="BB454" i="48"/>
  <c r="BM454" i="48"/>
  <c r="BL454" i="48"/>
  <c r="AT454" i="48"/>
  <c r="AT187" i="48"/>
  <c r="AS187" i="48"/>
  <c r="BM187" i="48"/>
  <c r="BL187" i="48"/>
  <c r="BL163" i="48"/>
  <c r="AT163" i="48"/>
  <c r="BM163" i="48"/>
  <c r="AS163" i="48"/>
  <c r="BM137" i="48"/>
  <c r="BL137" i="48"/>
  <c r="AT137" i="48"/>
  <c r="AS137" i="48"/>
  <c r="BB329" i="48"/>
  <c r="AS329" i="48"/>
  <c r="BM329" i="48"/>
  <c r="BL329" i="48"/>
  <c r="AT329" i="48"/>
  <c r="BB444" i="48"/>
  <c r="AT444" i="48"/>
  <c r="BM444" i="48"/>
  <c r="AS444" i="48"/>
  <c r="BL444" i="48"/>
  <c r="AT224" i="48"/>
  <c r="BM224" i="48"/>
  <c r="AS224" i="48"/>
  <c r="BL224" i="48"/>
  <c r="AS342" i="48"/>
  <c r="BB342" i="48"/>
  <c r="BM342" i="48"/>
  <c r="BL342" i="48"/>
  <c r="AT342" i="48"/>
  <c r="BL191" i="48"/>
  <c r="AT191" i="48"/>
  <c r="AS191" i="48"/>
  <c r="BM191" i="48"/>
  <c r="AT257" i="48"/>
  <c r="BM257" i="48"/>
  <c r="AS257" i="48"/>
  <c r="BL257" i="48"/>
  <c r="AT522" i="48"/>
  <c r="BB522" i="48"/>
  <c r="AS522" i="48"/>
  <c r="BM522" i="48"/>
  <c r="BL522" i="48"/>
  <c r="BB364" i="48"/>
  <c r="AT364" i="48"/>
  <c r="BM364" i="48"/>
  <c r="AS364" i="48"/>
  <c r="BL364" i="48"/>
  <c r="AT79" i="48"/>
  <c r="AS79" i="48"/>
  <c r="BM79" i="48"/>
  <c r="BL79" i="48"/>
  <c r="AT196" i="48"/>
  <c r="BM196" i="48"/>
  <c r="AS196" i="48"/>
  <c r="BL196" i="48"/>
  <c r="BM286" i="48"/>
  <c r="BL286" i="48"/>
  <c r="AT286" i="48"/>
  <c r="AS286" i="48"/>
  <c r="BM490" i="48"/>
  <c r="BL490" i="48"/>
  <c r="AT490" i="48"/>
  <c r="BB490" i="48"/>
  <c r="AS490" i="48"/>
  <c r="BM172" i="48"/>
  <c r="AS172" i="48"/>
  <c r="BL172" i="48"/>
  <c r="AT172" i="48"/>
  <c r="BM520" i="48"/>
  <c r="AS520" i="48"/>
  <c r="BL520" i="48"/>
  <c r="BB520" i="48"/>
  <c r="AT520" i="48"/>
  <c r="BB397" i="48"/>
  <c r="AS397" i="48"/>
  <c r="BM397" i="48"/>
  <c r="BL397" i="48"/>
  <c r="AT397" i="48"/>
  <c r="AS479" i="48"/>
  <c r="BM479" i="48"/>
  <c r="BB479" i="48"/>
  <c r="BL479" i="48"/>
  <c r="AT479" i="48"/>
  <c r="BM271" i="48"/>
  <c r="AS271" i="48"/>
  <c r="BL271" i="48"/>
  <c r="AT271" i="48"/>
  <c r="BB365" i="48"/>
  <c r="AS365" i="48"/>
  <c r="BM365" i="48"/>
  <c r="BL365" i="48"/>
  <c r="AT365" i="48"/>
  <c r="AS463" i="48"/>
  <c r="BM463" i="48"/>
  <c r="BB463" i="48"/>
  <c r="BL463" i="48"/>
  <c r="AT463" i="48"/>
  <c r="BB349" i="48"/>
  <c r="AS349" i="48"/>
  <c r="BM349" i="48"/>
  <c r="BL349" i="48"/>
  <c r="AT349" i="48"/>
  <c r="AT411" i="48"/>
  <c r="AS411" i="48"/>
  <c r="BM411" i="48"/>
  <c r="BB411" i="48"/>
  <c r="BL411" i="48"/>
  <c r="BM493" i="48"/>
  <c r="AT493" i="48"/>
  <c r="BL493" i="48"/>
  <c r="AS493" i="48"/>
  <c r="BB493" i="48"/>
  <c r="BL242" i="48"/>
  <c r="AS242" i="48"/>
  <c r="BM242" i="48"/>
  <c r="AT242" i="48"/>
  <c r="BB366" i="48"/>
  <c r="AT366" i="48"/>
  <c r="BM366" i="48"/>
  <c r="AS366" i="48"/>
  <c r="BL366" i="48"/>
  <c r="BM145" i="48"/>
  <c r="AS145" i="48"/>
  <c r="BL145" i="48"/>
  <c r="AT145" i="48"/>
  <c r="AT503" i="48"/>
  <c r="AS503" i="48"/>
  <c r="BM503" i="48"/>
  <c r="BB503" i="48"/>
  <c r="BL503" i="48"/>
  <c r="AS326" i="48"/>
  <c r="BB326" i="48"/>
  <c r="BM326" i="48"/>
  <c r="BL326" i="48"/>
  <c r="AT326" i="48"/>
  <c r="BB316" i="48"/>
  <c r="AT316" i="48"/>
  <c r="BM316" i="48"/>
  <c r="AS316" i="48"/>
  <c r="BL316" i="48"/>
  <c r="AT555" i="48"/>
  <c r="BM555" i="48"/>
  <c r="AS555" i="48"/>
  <c r="BL555" i="48"/>
  <c r="BB555" i="48"/>
  <c r="BM304" i="48"/>
  <c r="AS304" i="48"/>
  <c r="BL304" i="48"/>
  <c r="BB304" i="48"/>
  <c r="AT304" i="48"/>
  <c r="BL506" i="48"/>
  <c r="AT506" i="48"/>
  <c r="BB506" i="48"/>
  <c r="AS506" i="48"/>
  <c r="BM506" i="48"/>
  <c r="BB425" i="48"/>
  <c r="AS425" i="48"/>
  <c r="BM425" i="48"/>
  <c r="BL425" i="48"/>
  <c r="AT425" i="48"/>
  <c r="BL486" i="48"/>
  <c r="BB486" i="48"/>
  <c r="AT486" i="48"/>
  <c r="BM486" i="48"/>
  <c r="AS486" i="48"/>
  <c r="BM246" i="48"/>
  <c r="BL246" i="48"/>
  <c r="AT246" i="48"/>
  <c r="AS246" i="48"/>
  <c r="BM533" i="48"/>
  <c r="AT533" i="48"/>
  <c r="BL533" i="48"/>
  <c r="AS533" i="48"/>
  <c r="BB533" i="48"/>
  <c r="BL197" i="48"/>
  <c r="AS197" i="48"/>
  <c r="BM197" i="48"/>
  <c r="AT197" i="48"/>
  <c r="BB334" i="48"/>
  <c r="AT334" i="48"/>
  <c r="BM334" i="48"/>
  <c r="AS334" i="48"/>
  <c r="BL334" i="48"/>
  <c r="AT124" i="48"/>
  <c r="BM124" i="48"/>
  <c r="AS124" i="48"/>
  <c r="BL124" i="48"/>
  <c r="AT161" i="48"/>
  <c r="BM161" i="48"/>
  <c r="AS161" i="48"/>
  <c r="BL161" i="48"/>
  <c r="AT176" i="48"/>
  <c r="BM176" i="48"/>
  <c r="AS176" i="48"/>
  <c r="BL176" i="48"/>
  <c r="BM297" i="48"/>
  <c r="BL297" i="48"/>
  <c r="AT297" i="48"/>
  <c r="AS297" i="48"/>
  <c r="BA297" i="48" s="1"/>
  <c r="BM549" i="48"/>
  <c r="AT549" i="48"/>
  <c r="BL549" i="48"/>
  <c r="AS549" i="48"/>
  <c r="BB549" i="48"/>
  <c r="BM419" i="48"/>
  <c r="AS419" i="48"/>
  <c r="BL419" i="48"/>
  <c r="BB419" i="48"/>
  <c r="AT419" i="48"/>
  <c r="AT331" i="48"/>
  <c r="AS331" i="48"/>
  <c r="BM331" i="48"/>
  <c r="BB331" i="48"/>
  <c r="BL331" i="48"/>
  <c r="BL248" i="48"/>
  <c r="AT248" i="48"/>
  <c r="BM248" i="48"/>
  <c r="AS248" i="48"/>
  <c r="BM203" i="48"/>
  <c r="BL203" i="48"/>
  <c r="AT203" i="48"/>
  <c r="AS203" i="48"/>
  <c r="BM301" i="48"/>
  <c r="AT301" i="48"/>
  <c r="BL301" i="48"/>
  <c r="AS301" i="48"/>
  <c r="BB301" i="48"/>
  <c r="AS390" i="48"/>
  <c r="BB390" i="48"/>
  <c r="BM390" i="48"/>
  <c r="BL390" i="48"/>
  <c r="AT390" i="48"/>
  <c r="BB521" i="48"/>
  <c r="BM521" i="48"/>
  <c r="AT521" i="48"/>
  <c r="BL521" i="48"/>
  <c r="AS521" i="48"/>
  <c r="AT391" i="48"/>
  <c r="AS391" i="48"/>
  <c r="BM391" i="48"/>
  <c r="BB391" i="48"/>
  <c r="BL391" i="48"/>
  <c r="BL128" i="48"/>
  <c r="AT128" i="48"/>
  <c r="BM128" i="48"/>
  <c r="AS128" i="48"/>
  <c r="BB450" i="48"/>
  <c r="BM450" i="48"/>
  <c r="AT450" i="48"/>
  <c r="BL450" i="48"/>
  <c r="AS450" i="48"/>
  <c r="AT346" i="48"/>
  <c r="BB346" i="48"/>
  <c r="AS346" i="48"/>
  <c r="BM346" i="48"/>
  <c r="BL346" i="48"/>
  <c r="BL388" i="48"/>
  <c r="BB388" i="48"/>
  <c r="AT388" i="48"/>
  <c r="BM388" i="48"/>
  <c r="AS388" i="48"/>
  <c r="BM231" i="48"/>
  <c r="BL231" i="48"/>
  <c r="AT231" i="48"/>
  <c r="AS231" i="48"/>
  <c r="AT67" i="48"/>
  <c r="BM67" i="48"/>
  <c r="AS67" i="48"/>
  <c r="BL67" i="48"/>
  <c r="BL194" i="48"/>
  <c r="AS194" i="48"/>
  <c r="BM194" i="48"/>
  <c r="AT194" i="48"/>
  <c r="BM405" i="48"/>
  <c r="AT405" i="48"/>
  <c r="BL405" i="48"/>
  <c r="AS405" i="48"/>
  <c r="BB405" i="48"/>
  <c r="BM98" i="48"/>
  <c r="AT98" i="48"/>
  <c r="BL98" i="48"/>
  <c r="AS98" i="48"/>
  <c r="AS69" i="48"/>
  <c r="BM69" i="48"/>
  <c r="BL69" i="48"/>
  <c r="AT69" i="48"/>
  <c r="BL290" i="48"/>
  <c r="AS290" i="48"/>
  <c r="BM290" i="48"/>
  <c r="AT290" i="48"/>
  <c r="AT443" i="48"/>
  <c r="AS443" i="48"/>
  <c r="BM443" i="48"/>
  <c r="BB443" i="48"/>
  <c r="BL443" i="48"/>
  <c r="AS207" i="48"/>
  <c r="BM207" i="48"/>
  <c r="BL207" i="48"/>
  <c r="AT207" i="48"/>
  <c r="BM278" i="48"/>
  <c r="BL278" i="48"/>
  <c r="AT278" i="48"/>
  <c r="AS278" i="48"/>
  <c r="AS135" i="48"/>
  <c r="BM135" i="48"/>
  <c r="BL135" i="48"/>
  <c r="AT135" i="48"/>
  <c r="AT330" i="48"/>
  <c r="BB330" i="48"/>
  <c r="AS330" i="48"/>
  <c r="BM330" i="48"/>
  <c r="BL330" i="48"/>
  <c r="BL512" i="48"/>
  <c r="AS512" i="48"/>
  <c r="BM512" i="48"/>
  <c r="BB512" i="48"/>
  <c r="AT512" i="48"/>
  <c r="AT193" i="48"/>
  <c r="BM193" i="48"/>
  <c r="AS193" i="48"/>
  <c r="BL193" i="48"/>
  <c r="AS171" i="48"/>
  <c r="BM171" i="48"/>
  <c r="BL171" i="48"/>
  <c r="AT171" i="48"/>
  <c r="AT526" i="48"/>
  <c r="BM526" i="48"/>
  <c r="BB526" i="48"/>
  <c r="AS526" i="48"/>
  <c r="BL526" i="48"/>
  <c r="BB402" i="48"/>
  <c r="BM402" i="48"/>
  <c r="AT402" i="48"/>
  <c r="BL402" i="48"/>
  <c r="AS402" i="48"/>
  <c r="BM496" i="48"/>
  <c r="BB496" i="48"/>
  <c r="AT496" i="48"/>
  <c r="BL496" i="48"/>
  <c r="AS496" i="48"/>
  <c r="BL287" i="48"/>
  <c r="AT287" i="48"/>
  <c r="BM287" i="48"/>
  <c r="AS287" i="48"/>
  <c r="BM277" i="48"/>
  <c r="AT277" i="48"/>
  <c r="BL277" i="48"/>
  <c r="AS277" i="48"/>
  <c r="AT343" i="48"/>
  <c r="AS343" i="48"/>
  <c r="BM343" i="48"/>
  <c r="BB343" i="48"/>
  <c r="BL343" i="48"/>
  <c r="BL505" i="48"/>
  <c r="AS505" i="48"/>
  <c r="BB505" i="48"/>
  <c r="BM505" i="48"/>
  <c r="AT505" i="48"/>
  <c r="AT112" i="48"/>
  <c r="BM112" i="48"/>
  <c r="AS112" i="48"/>
  <c r="BL112" i="48"/>
  <c r="BL89" i="48"/>
  <c r="AT89" i="48"/>
  <c r="AS89" i="48"/>
  <c r="BM89" i="48"/>
  <c r="AS214" i="48"/>
  <c r="BM214" i="48"/>
  <c r="BL214" i="48"/>
  <c r="AT214" i="48"/>
  <c r="AT427" i="48"/>
  <c r="AS427" i="48"/>
  <c r="BM427" i="48"/>
  <c r="BB427" i="48"/>
  <c r="BL427" i="48"/>
  <c r="BL182" i="48"/>
  <c r="AT182" i="48"/>
  <c r="AS182" i="48"/>
  <c r="BM182" i="48"/>
  <c r="BL251" i="48"/>
  <c r="AT251" i="48"/>
  <c r="AS251" i="48"/>
  <c r="BM251" i="48"/>
  <c r="BM125" i="48"/>
  <c r="AT125" i="48"/>
  <c r="BL125" i="48"/>
  <c r="AS125" i="48"/>
  <c r="BB461" i="48"/>
  <c r="AS461" i="48"/>
  <c r="BM461" i="48"/>
  <c r="BL461" i="48"/>
  <c r="AT461" i="48"/>
  <c r="AT394" i="48"/>
  <c r="BB394" i="48"/>
  <c r="AS394" i="48"/>
  <c r="BM394" i="48"/>
  <c r="BL394" i="48"/>
  <c r="BL484" i="48"/>
  <c r="BB484" i="48"/>
  <c r="AT484" i="48"/>
  <c r="BM484" i="48"/>
  <c r="AS484" i="48"/>
  <c r="AT164" i="48"/>
  <c r="BM164" i="48"/>
  <c r="AS164" i="48"/>
  <c r="BL164" i="48"/>
  <c r="BM293" i="48"/>
  <c r="AT293" i="48"/>
  <c r="BL293" i="48"/>
  <c r="AS293" i="48"/>
  <c r="BL66" i="48"/>
  <c r="AS66" i="48"/>
  <c r="BM66" i="48"/>
  <c r="AT66" i="48"/>
  <c r="BL272" i="48"/>
  <c r="AT272" i="48"/>
  <c r="BM272" i="48"/>
  <c r="AS272" i="48"/>
  <c r="BM261" i="48"/>
  <c r="AT261" i="48"/>
  <c r="BL261" i="48"/>
  <c r="AS261" i="48"/>
  <c r="AS167" i="48"/>
  <c r="BM167" i="48"/>
  <c r="BL167" i="48"/>
  <c r="AT167" i="48"/>
  <c r="BL283" i="48"/>
  <c r="AT283" i="48"/>
  <c r="AS283" i="48"/>
  <c r="BM283" i="48"/>
  <c r="AT545" i="48"/>
  <c r="BM545" i="48"/>
  <c r="AS545" i="48"/>
  <c r="BL545" i="48"/>
  <c r="BB545" i="48"/>
  <c r="AT94" i="48"/>
  <c r="BM94" i="48"/>
  <c r="AS94" i="48"/>
  <c r="BL94" i="48"/>
  <c r="BB302" i="48"/>
  <c r="AS302" i="48"/>
  <c r="BM302" i="48"/>
  <c r="BL302" i="48"/>
  <c r="AT302" i="48"/>
  <c r="BM2056" i="48"/>
  <c r="AT2056" i="48"/>
  <c r="BL2056" i="48"/>
  <c r="AS2056" i="48"/>
  <c r="BB2056" i="48"/>
  <c r="BL63" i="48"/>
  <c r="AT63" i="48"/>
  <c r="AS63" i="48"/>
  <c r="BM63" i="48"/>
  <c r="BL250" i="48"/>
  <c r="AT250" i="48"/>
  <c r="BM250" i="48"/>
  <c r="AS250" i="48"/>
  <c r="BM262" i="48"/>
  <c r="BL262" i="48"/>
  <c r="AT262" i="48"/>
  <c r="AS262" i="48"/>
  <c r="BB322" i="48"/>
  <c r="BM322" i="48"/>
  <c r="AT322" i="48"/>
  <c r="BL322" i="48"/>
  <c r="AS322" i="48"/>
  <c r="BL122" i="48"/>
  <c r="AT122" i="48"/>
  <c r="BM122" i="48"/>
  <c r="AS122" i="48"/>
  <c r="AT186" i="48"/>
  <c r="BM186" i="48"/>
  <c r="AS186" i="48"/>
  <c r="BL186" i="48"/>
  <c r="AT288" i="48"/>
  <c r="BM288" i="48"/>
  <c r="AS288" i="48"/>
  <c r="BL288" i="48"/>
  <c r="BL77" i="48"/>
  <c r="AT77" i="48"/>
  <c r="AS77" i="48"/>
  <c r="BM77" i="48"/>
  <c r="BL91" i="48"/>
  <c r="AT91" i="48"/>
  <c r="AS91" i="48"/>
  <c r="BM91" i="48"/>
  <c r="BB482" i="48"/>
  <c r="BM482" i="48"/>
  <c r="AT482" i="48"/>
  <c r="BL482" i="48"/>
  <c r="AS482" i="48"/>
  <c r="AS139" i="48"/>
  <c r="BM139" i="48"/>
  <c r="BL139" i="48"/>
  <c r="AT139" i="48"/>
  <c r="AT426" i="48"/>
  <c r="BB426" i="48"/>
  <c r="AS426" i="48"/>
  <c r="BM426" i="48"/>
  <c r="BL426" i="48"/>
  <c r="BB413" i="48"/>
  <c r="AS413" i="48"/>
  <c r="BM413" i="48"/>
  <c r="BL413" i="48"/>
  <c r="AT413" i="48"/>
  <c r="BB476" i="48"/>
  <c r="AT476" i="48"/>
  <c r="BM476" i="48"/>
  <c r="AS476" i="48"/>
  <c r="BL476" i="48"/>
  <c r="BB398" i="48"/>
  <c r="AT398" i="48"/>
  <c r="BM398" i="48"/>
  <c r="AS398" i="48"/>
  <c r="BL398" i="48"/>
  <c r="BM491" i="48"/>
  <c r="BB491" i="48"/>
  <c r="BL491" i="48"/>
  <c r="AT491" i="48"/>
  <c r="AS491" i="48"/>
  <c r="BL226" i="48"/>
  <c r="AS226" i="48"/>
  <c r="BM226" i="48"/>
  <c r="AT226" i="48"/>
  <c r="BB530" i="48"/>
  <c r="AS530" i="48"/>
  <c r="BM530" i="48"/>
  <c r="BL530" i="48"/>
  <c r="AT530" i="48"/>
  <c r="BM451" i="48"/>
  <c r="AS451" i="48"/>
  <c r="BL451" i="48"/>
  <c r="BB451" i="48"/>
  <c r="AT451" i="48"/>
  <c r="BL189" i="48"/>
  <c r="AS189" i="48"/>
  <c r="BM189" i="48"/>
  <c r="AT189" i="48"/>
  <c r="BB418" i="48"/>
  <c r="BM418" i="48"/>
  <c r="AT418" i="48"/>
  <c r="BL418" i="48"/>
  <c r="AS418" i="48"/>
  <c r="BM389" i="48"/>
  <c r="AT389" i="48"/>
  <c r="BL389" i="48"/>
  <c r="AS389" i="48"/>
  <c r="BB389" i="48"/>
  <c r="BM1486" i="48"/>
  <c r="AS1486" i="48"/>
  <c r="BL1486" i="48"/>
  <c r="BB1486" i="48"/>
  <c r="AT1486" i="48"/>
  <c r="AS1900" i="48"/>
  <c r="BM1900" i="48"/>
  <c r="BB1900" i="48"/>
  <c r="BL1900" i="48"/>
  <c r="AT1900" i="48"/>
  <c r="AS904" i="48"/>
  <c r="AB904" i="48" s="1"/>
  <c r="BM904" i="48"/>
  <c r="BB904" i="48"/>
  <c r="BL904" i="48"/>
  <c r="AT904" i="48"/>
  <c r="BL1829" i="48"/>
  <c r="BB1829" i="48"/>
  <c r="AT1829" i="48"/>
  <c r="BM1829" i="48"/>
  <c r="AS1829" i="48"/>
  <c r="BL982" i="48"/>
  <c r="BB982" i="48"/>
  <c r="AT982" i="48"/>
  <c r="BM982" i="48"/>
  <c r="AS982" i="48"/>
  <c r="AS629" i="48"/>
  <c r="BM629" i="48"/>
  <c r="BB629" i="48"/>
  <c r="BL629" i="48"/>
  <c r="AT629" i="48"/>
  <c r="BL1397" i="48"/>
  <c r="AT1397" i="48"/>
  <c r="AS1397" i="48"/>
  <c r="BM1397" i="48"/>
  <c r="BB1397" i="48"/>
  <c r="BB1683" i="48"/>
  <c r="AT1683" i="48"/>
  <c r="BM1683" i="48"/>
  <c r="AS1683" i="48"/>
  <c r="BL1683" i="48"/>
  <c r="BL1357" i="48"/>
  <c r="BB1357" i="48"/>
  <c r="AT1357" i="48"/>
  <c r="AS1357" i="48"/>
  <c r="BM1357" i="48"/>
  <c r="BB1471" i="48"/>
  <c r="BM1471" i="48"/>
  <c r="AT1471" i="48"/>
  <c r="BL1471" i="48"/>
  <c r="AS1471" i="48"/>
  <c r="BM848" i="48"/>
  <c r="BB848" i="48"/>
  <c r="BL848" i="48"/>
  <c r="AT848" i="48"/>
  <c r="AS848" i="48"/>
  <c r="BL693" i="48"/>
  <c r="AT693" i="48"/>
  <c r="AS693" i="48"/>
  <c r="BM693" i="48"/>
  <c r="BB693" i="48"/>
  <c r="BL1704" i="48"/>
  <c r="AS1704" i="48"/>
  <c r="BB1704" i="48"/>
  <c r="BM1704" i="48"/>
  <c r="AT1704" i="48"/>
  <c r="BL1939" i="48"/>
  <c r="AS1939" i="48"/>
  <c r="AB1939" i="48" s="1"/>
  <c r="BB1939" i="48"/>
  <c r="AT1939" i="48"/>
  <c r="BM1939" i="48"/>
  <c r="AT2038" i="48"/>
  <c r="AS2038" i="48"/>
  <c r="BB2038" i="48"/>
  <c r="BM2038" i="48"/>
  <c r="BL2038" i="48"/>
  <c r="BB1618" i="48"/>
  <c r="BM1618" i="48"/>
  <c r="AT1618" i="48"/>
  <c r="BL1618" i="48"/>
  <c r="AS1618" i="48"/>
  <c r="BB810" i="48"/>
  <c r="BM810" i="48"/>
  <c r="AT810" i="48"/>
  <c r="BL810" i="48"/>
  <c r="AS810" i="48"/>
  <c r="BL781" i="48"/>
  <c r="AT781" i="48"/>
  <c r="AS781" i="48"/>
  <c r="BB781" i="48"/>
  <c r="BM781" i="48"/>
  <c r="AS1941" i="48"/>
  <c r="AB1941" i="48" s="1"/>
  <c r="BB1941" i="48"/>
  <c r="BM1941" i="48"/>
  <c r="BL1941" i="48"/>
  <c r="AT1941" i="48"/>
  <c r="BB1341" i="48"/>
  <c r="AT1341" i="48"/>
  <c r="AS1341" i="48"/>
  <c r="BM1341" i="48"/>
  <c r="BL1341" i="48"/>
  <c r="BL730" i="48"/>
  <c r="AS730" i="48"/>
  <c r="BB730" i="48"/>
  <c r="BM730" i="48"/>
  <c r="AT730" i="48"/>
  <c r="BB1620" i="48"/>
  <c r="AT1620" i="48"/>
  <c r="BM1620" i="48"/>
  <c r="AS1620" i="48"/>
  <c r="BL1620" i="48"/>
  <c r="BM682" i="48"/>
  <c r="AT682" i="48"/>
  <c r="BL682" i="48"/>
  <c r="AS682" i="48"/>
  <c r="BB682" i="48"/>
  <c r="BL1366" i="48"/>
  <c r="AT1366" i="48"/>
  <c r="BB1366" i="48"/>
  <c r="AS1366" i="48"/>
  <c r="BM1366" i="48"/>
  <c r="BM1780" i="48"/>
  <c r="AT1780" i="48"/>
  <c r="BB1780" i="48"/>
  <c r="AS1780" i="48"/>
  <c r="BL1780" i="48"/>
  <c r="AT1315" i="48"/>
  <c r="AS1315" i="48"/>
  <c r="BM1315" i="48"/>
  <c r="BB1315" i="48"/>
  <c r="BL1315" i="48"/>
  <c r="BM869" i="48"/>
  <c r="BB869" i="48"/>
  <c r="AT869" i="48"/>
  <c r="BL869" i="48"/>
  <c r="AS869" i="48"/>
  <c r="BM732" i="48"/>
  <c r="BL732" i="48"/>
  <c r="BB732" i="48"/>
  <c r="AT732" i="48"/>
  <c r="AS732" i="48"/>
  <c r="BM1149" i="48"/>
  <c r="AS1149" i="48"/>
  <c r="BL1149" i="48"/>
  <c r="BB1149" i="48"/>
  <c r="AT1149" i="48"/>
  <c r="BM1824" i="48"/>
  <c r="AT1824" i="48"/>
  <c r="BL1824" i="48"/>
  <c r="AS1824" i="48"/>
  <c r="BB1824" i="48"/>
  <c r="BM1539" i="48"/>
  <c r="BB1539" i="48"/>
  <c r="BL1539" i="48"/>
  <c r="AT1539" i="48"/>
  <c r="AS1539" i="48"/>
  <c r="BB698" i="48"/>
  <c r="BM698" i="48"/>
  <c r="AT698" i="48"/>
  <c r="BL698" i="48"/>
  <c r="AS698" i="48"/>
  <c r="AT1916" i="48"/>
  <c r="BB1916" i="48"/>
  <c r="AS1916" i="48"/>
  <c r="BM1916" i="48"/>
  <c r="BL1916" i="48"/>
  <c r="BM1067" i="48"/>
  <c r="BL1067" i="48"/>
  <c r="AT1067" i="48"/>
  <c r="BB1067" i="48"/>
  <c r="AS1067" i="48"/>
  <c r="BB1316" i="48"/>
  <c r="AT1316" i="48"/>
  <c r="BM1316" i="48"/>
  <c r="AS1316" i="48"/>
  <c r="BL1316" i="48"/>
  <c r="BB1349" i="48"/>
  <c r="AT1349" i="48"/>
  <c r="BM1349" i="48"/>
  <c r="AS1349" i="48"/>
  <c r="BL1349" i="48"/>
  <c r="BL1328" i="48"/>
  <c r="AT1328" i="48"/>
  <c r="BB1328" i="48"/>
  <c r="AS1328" i="48"/>
  <c r="BM1328" i="48"/>
  <c r="BM1245" i="48"/>
  <c r="AT1245" i="48"/>
  <c r="BL1245" i="48"/>
  <c r="AS1245" i="48"/>
  <c r="BB1245" i="48"/>
  <c r="AS760" i="48"/>
  <c r="BM760" i="48"/>
  <c r="BB760" i="48"/>
  <c r="BL760" i="48"/>
  <c r="AT760" i="48"/>
  <c r="BM1298" i="48"/>
  <c r="BL1298" i="48"/>
  <c r="AT1298" i="48"/>
  <c r="AS1298" i="48"/>
  <c r="BB1298" i="48"/>
  <c r="BB1163" i="48"/>
  <c r="BM1163" i="48"/>
  <c r="BL1163" i="48"/>
  <c r="AT1163" i="48"/>
  <c r="AS1163" i="48"/>
  <c r="BL1177" i="48"/>
  <c r="AS1177" i="48"/>
  <c r="BB1177" i="48"/>
  <c r="BM1177" i="48"/>
  <c r="AT1177" i="48"/>
  <c r="BB1967" i="48"/>
  <c r="BM1967" i="48"/>
  <c r="AT1967" i="48"/>
  <c r="AS1967" i="48"/>
  <c r="BL1967" i="48"/>
  <c r="BM1971" i="48"/>
  <c r="AT1971" i="48"/>
  <c r="BL1971" i="48"/>
  <c r="AS1971" i="48"/>
  <c r="BB1971" i="48"/>
  <c r="BM1189" i="48"/>
  <c r="AT1189" i="48"/>
  <c r="BL1189" i="48"/>
  <c r="AS1189" i="48"/>
  <c r="BB1189" i="48"/>
  <c r="AT637" i="48"/>
  <c r="AS637" i="48"/>
  <c r="BM637" i="48"/>
  <c r="BB637" i="48"/>
  <c r="BL637" i="48"/>
  <c r="BM1741" i="48"/>
  <c r="BL1741" i="48"/>
  <c r="AT1741" i="48"/>
  <c r="BB1741" i="48"/>
  <c r="AS1741" i="48"/>
  <c r="BB1001" i="48"/>
  <c r="AT1001" i="48"/>
  <c r="BM1001" i="48"/>
  <c r="AS1001" i="48"/>
  <c r="BL1001" i="48"/>
  <c r="BL1368" i="48"/>
  <c r="AT1368" i="48"/>
  <c r="BB1368" i="48"/>
  <c r="AS1368" i="48"/>
  <c r="BM1368" i="48"/>
  <c r="BL626" i="48"/>
  <c r="AS626" i="48"/>
  <c r="BB626" i="48"/>
  <c r="BM626" i="48"/>
  <c r="AT626" i="48"/>
  <c r="BL1472" i="48"/>
  <c r="AT1472" i="48"/>
  <c r="AS1472" i="48"/>
  <c r="BB1472" i="48"/>
  <c r="BM1472" i="48"/>
  <c r="BL1641" i="48"/>
  <c r="AS1641" i="48"/>
  <c r="BB1641" i="48"/>
  <c r="BM1641" i="48"/>
  <c r="AT1641" i="48"/>
  <c r="BL1463" i="48"/>
  <c r="AS1463" i="48"/>
  <c r="BB1463" i="48"/>
  <c r="BM1463" i="48"/>
  <c r="AT1463" i="48"/>
  <c r="BM816" i="48"/>
  <c r="BB816" i="48"/>
  <c r="BL816" i="48"/>
  <c r="AT816" i="48"/>
  <c r="AS816" i="48"/>
  <c r="BM836" i="48"/>
  <c r="BB836" i="48"/>
  <c r="BL836" i="48"/>
  <c r="AT836" i="48"/>
  <c r="AS836" i="48"/>
  <c r="BL689" i="48"/>
  <c r="AS689" i="48"/>
  <c r="BB689" i="48"/>
  <c r="BM689" i="48"/>
  <c r="AT689" i="48"/>
  <c r="BM1376" i="48"/>
  <c r="BL1376" i="48"/>
  <c r="AT1376" i="48"/>
  <c r="BB1376" i="48"/>
  <c r="AS1376" i="48"/>
  <c r="AT1668" i="48"/>
  <c r="BB1668" i="48"/>
  <c r="AS1668" i="48"/>
  <c r="AB1668" i="48" s="1"/>
  <c r="BM1668" i="48"/>
  <c r="BL1668" i="48"/>
  <c r="BB1204" i="48"/>
  <c r="AT1204" i="48"/>
  <c r="BM1204" i="48"/>
  <c r="AS1204" i="48"/>
  <c r="BL1204" i="48"/>
  <c r="BL800" i="48"/>
  <c r="AT800" i="48"/>
  <c r="AS800" i="48"/>
  <c r="BM800" i="48"/>
  <c r="BB800" i="48"/>
  <c r="BM715" i="48"/>
  <c r="BL715" i="48"/>
  <c r="AT715" i="48"/>
  <c r="AS715" i="48"/>
  <c r="BB715" i="48"/>
  <c r="BM1405" i="48"/>
  <c r="BB1405" i="48"/>
  <c r="BL1405" i="48"/>
  <c r="AT1405" i="48"/>
  <c r="AS1405" i="48"/>
  <c r="AS1997" i="48"/>
  <c r="BM1997" i="48"/>
  <c r="BB1997" i="48"/>
  <c r="BL1997" i="48"/>
  <c r="AT1997" i="48"/>
  <c r="BM621" i="48"/>
  <c r="BL621" i="48"/>
  <c r="AT621" i="48"/>
  <c r="AS621" i="48"/>
  <c r="BB621" i="48"/>
  <c r="AT665" i="48"/>
  <c r="BM665" i="48"/>
  <c r="AS665" i="48"/>
  <c r="AB665" i="48" s="1"/>
  <c r="BL665" i="48"/>
  <c r="BB665" i="48"/>
  <c r="BM1912" i="48"/>
  <c r="BL1912" i="48"/>
  <c r="BB1912" i="48"/>
  <c r="AT1912" i="48"/>
  <c r="AS1912" i="48"/>
  <c r="BL945" i="48"/>
  <c r="BB945" i="48"/>
  <c r="AT945" i="48"/>
  <c r="AS945" i="48"/>
  <c r="BM945" i="48"/>
  <c r="BM1483" i="48"/>
  <c r="AT1483" i="48"/>
  <c r="BL1483" i="48"/>
  <c r="AS1483" i="48"/>
  <c r="BB1483" i="48"/>
  <c r="BM1593" i="48"/>
  <c r="AT1593" i="48"/>
  <c r="BL1593" i="48"/>
  <c r="AS1593" i="48"/>
  <c r="BB1593" i="48"/>
  <c r="BL1847" i="48"/>
  <c r="AT1847" i="48"/>
  <c r="AS1847" i="48"/>
  <c r="BM1847" i="48"/>
  <c r="BB1847" i="48"/>
  <c r="BL670" i="48"/>
  <c r="AS670" i="48"/>
  <c r="BB670" i="48"/>
  <c r="BM670" i="48"/>
  <c r="AT670" i="48"/>
  <c r="BL1772" i="48"/>
  <c r="AT1772" i="48"/>
  <c r="AS1772" i="48"/>
  <c r="BB1772" i="48"/>
  <c r="BM1772" i="48"/>
  <c r="BL1300" i="48"/>
  <c r="BB1300" i="48"/>
  <c r="AT1300" i="48"/>
  <c r="BM1300" i="48"/>
  <c r="AS1300" i="48"/>
  <c r="BM1691" i="48"/>
  <c r="AS1691" i="48"/>
  <c r="BL1691" i="48"/>
  <c r="AT1691" i="48"/>
  <c r="BB1691" i="48"/>
  <c r="AS685" i="48"/>
  <c r="AB685" i="48" s="1"/>
  <c r="BB685" i="48"/>
  <c r="BM685" i="48"/>
  <c r="BL685" i="48"/>
  <c r="AT685" i="48"/>
  <c r="BB1222" i="48"/>
  <c r="BM1222" i="48"/>
  <c r="AT1222" i="48"/>
  <c r="BL1222" i="48"/>
  <c r="AS1222" i="48"/>
  <c r="AC1222" i="48" s="1"/>
  <c r="BC1222" i="48" s="1"/>
  <c r="BL1015" i="48"/>
  <c r="AT1015" i="48"/>
  <c r="BM1015" i="48"/>
  <c r="BB1015" i="48"/>
  <c r="AS1015" i="48"/>
  <c r="BL851" i="48"/>
  <c r="AT851" i="48"/>
  <c r="AS851" i="48"/>
  <c r="BB851" i="48"/>
  <c r="BM851" i="48"/>
  <c r="AT1043" i="48"/>
  <c r="BB1043" i="48"/>
  <c r="AS1043" i="48"/>
  <c r="BM1043" i="48"/>
  <c r="BL1043" i="48"/>
  <c r="BL1508" i="48"/>
  <c r="AT1508" i="48"/>
  <c r="BB1508" i="48"/>
  <c r="AS1508" i="48"/>
  <c r="BM1508" i="48"/>
  <c r="BM1536" i="48"/>
  <c r="AS1536" i="48"/>
  <c r="BL1536" i="48"/>
  <c r="BB1536" i="48"/>
  <c r="AT1536" i="48"/>
  <c r="BM1009" i="48"/>
  <c r="BB1009" i="48"/>
  <c r="AT1009" i="48"/>
  <c r="BL1009" i="48"/>
  <c r="AS1009" i="48"/>
  <c r="AT1753" i="48"/>
  <c r="BB1753" i="48"/>
  <c r="AS1753" i="48"/>
  <c r="BM1753" i="48"/>
  <c r="BL1753" i="48"/>
  <c r="BB1561" i="48"/>
  <c r="BM1561" i="48"/>
  <c r="AT1561" i="48"/>
  <c r="BL1561" i="48"/>
  <c r="AS1561" i="48"/>
  <c r="BM855" i="48"/>
  <c r="BL855" i="48"/>
  <c r="AT855" i="48"/>
  <c r="BB855" i="48"/>
  <c r="AS855" i="48"/>
  <c r="AS936" i="48"/>
  <c r="BM936" i="48"/>
  <c r="BB936" i="48"/>
  <c r="AT936" i="48"/>
  <c r="BL936" i="48"/>
  <c r="AS1338" i="48"/>
  <c r="BB1338" i="48"/>
  <c r="BM1338" i="48"/>
  <c r="BL1338" i="48"/>
  <c r="AT1338" i="48"/>
  <c r="BB675" i="48"/>
  <c r="BM675" i="48"/>
  <c r="BL675" i="48"/>
  <c r="AT675" i="48"/>
  <c r="AS675" i="48"/>
  <c r="AB675" i="48" s="1"/>
  <c r="BL1237" i="48"/>
  <c r="AS1237" i="48"/>
  <c r="BM1237" i="48"/>
  <c r="BB1237" i="48"/>
  <c r="AT1237" i="48"/>
  <c r="BL1359" i="48"/>
  <c r="BB1359" i="48"/>
  <c r="AT1359" i="48"/>
  <c r="BM1359" i="48"/>
  <c r="AS1359" i="48"/>
  <c r="BM1818" i="48"/>
  <c r="BL1818" i="48"/>
  <c r="BB1818" i="48"/>
  <c r="AT1818" i="48"/>
  <c r="AS1818" i="48"/>
  <c r="BL1782" i="48"/>
  <c r="AT1782" i="48"/>
  <c r="AS1782" i="48"/>
  <c r="BB1782" i="48"/>
  <c r="BM1782" i="48"/>
  <c r="AT1211" i="48"/>
  <c r="AS1211" i="48"/>
  <c r="BM1211" i="48"/>
  <c r="BB1211" i="48"/>
  <c r="BL1211" i="48"/>
  <c r="BM1310" i="48"/>
  <c r="AT1310" i="48"/>
  <c r="BL1310" i="48"/>
  <c r="AS1310" i="48"/>
  <c r="BB1310" i="48"/>
  <c r="BB642" i="48"/>
  <c r="BM642" i="48"/>
  <c r="AT642" i="48"/>
  <c r="BL642" i="48"/>
  <c r="AS642" i="48"/>
  <c r="BM705" i="48"/>
  <c r="AT705" i="48"/>
  <c r="BL705" i="48"/>
  <c r="AS705" i="48"/>
  <c r="BB705" i="48"/>
  <c r="AT1928" i="48"/>
  <c r="BM1928" i="48"/>
  <c r="BB1928" i="48"/>
  <c r="AS1928" i="48"/>
  <c r="BL1928" i="48"/>
  <c r="BB1262" i="48"/>
  <c r="BM1262" i="48"/>
  <c r="AT1262" i="48"/>
  <c r="BL1262" i="48"/>
  <c r="AS1262" i="48"/>
  <c r="BM1763" i="48"/>
  <c r="BB1763" i="48"/>
  <c r="AT1763" i="48"/>
  <c r="BL1763" i="48"/>
  <c r="AS1763" i="48"/>
  <c r="BL632" i="48"/>
  <c r="AT632" i="48"/>
  <c r="AS632" i="48"/>
  <c r="BM632" i="48"/>
  <c r="BB632" i="48"/>
  <c r="BB1935" i="48"/>
  <c r="AT1935" i="48"/>
  <c r="AS1935" i="48"/>
  <c r="BM1935" i="48"/>
  <c r="BL1935" i="48"/>
  <c r="AS691" i="48"/>
  <c r="BB691" i="48"/>
  <c r="BM691" i="48"/>
  <c r="BL691" i="48"/>
  <c r="AT691" i="48"/>
  <c r="BL2013" i="48"/>
  <c r="AT2013" i="48"/>
  <c r="BB2013" i="48"/>
  <c r="AS2013" i="48"/>
  <c r="BM2013" i="48"/>
  <c r="BM599" i="48"/>
  <c r="BL599" i="48"/>
  <c r="AT599" i="48"/>
  <c r="BB599" i="48"/>
  <c r="AS599" i="48"/>
  <c r="AS1223" i="48"/>
  <c r="BM1223" i="48"/>
  <c r="BB1223" i="48"/>
  <c r="BL1223" i="48"/>
  <c r="AT1223" i="48"/>
  <c r="BB1122" i="48"/>
  <c r="AT1122" i="48"/>
  <c r="BM1122" i="48"/>
  <c r="AS1122" i="48"/>
  <c r="BL1122" i="48"/>
  <c r="BL837" i="48"/>
  <c r="BB837" i="48"/>
  <c r="AT837" i="48"/>
  <c r="BM837" i="48"/>
  <c r="AS837" i="48"/>
  <c r="BL1356" i="48"/>
  <c r="AT1356" i="48"/>
  <c r="BB1356" i="48"/>
  <c r="AS1356" i="48"/>
  <c r="AC1356" i="48" s="1"/>
  <c r="BC1356" i="48" s="1"/>
  <c r="BM1356" i="48"/>
  <c r="AS1968" i="48"/>
  <c r="BM1968" i="48"/>
  <c r="BB1968" i="48"/>
  <c r="BL1968" i="48"/>
  <c r="AT1968" i="48"/>
  <c r="BM1992" i="48"/>
  <c r="BB1992" i="48"/>
  <c r="BL1992" i="48"/>
  <c r="AT1992" i="48"/>
  <c r="AS1992" i="48"/>
  <c r="BB1760" i="48"/>
  <c r="BM1760" i="48"/>
  <c r="AT1760" i="48"/>
  <c r="BL1760" i="48"/>
  <c r="AS1760" i="48"/>
  <c r="BM1216" i="48"/>
  <c r="AS1216" i="48"/>
  <c r="BL1216" i="48"/>
  <c r="BB1216" i="48"/>
  <c r="AT1216" i="48"/>
  <c r="BL1018" i="48"/>
  <c r="AS1018" i="48"/>
  <c r="BB1018" i="48"/>
  <c r="BM1018" i="48"/>
  <c r="AT1018" i="48"/>
  <c r="BB1017" i="48"/>
  <c r="AT1017" i="48"/>
  <c r="BM1017" i="48"/>
  <c r="AS1017" i="48"/>
  <c r="BL1017" i="48"/>
  <c r="AT1035" i="48"/>
  <c r="BB1035" i="48"/>
  <c r="AS1035" i="48"/>
  <c r="BM1035" i="48"/>
  <c r="BL1035" i="48"/>
  <c r="BB1732" i="48"/>
  <c r="AT1732" i="48"/>
  <c r="BM1732" i="48"/>
  <c r="AS1732" i="48"/>
  <c r="BL1732" i="48"/>
  <c r="BM1801" i="48"/>
  <c r="BL1801" i="48"/>
  <c r="AT1801" i="48"/>
  <c r="BB1801" i="48"/>
  <c r="AS1801" i="48"/>
  <c r="AS839" i="48"/>
  <c r="BB839" i="48"/>
  <c r="BM839" i="48"/>
  <c r="BL839" i="48"/>
  <c r="AT839" i="48"/>
  <c r="BB1318" i="48"/>
  <c r="BM1318" i="48"/>
  <c r="AT1318" i="48"/>
  <c r="BL1318" i="48"/>
  <c r="AS1318" i="48"/>
  <c r="AC1318" i="48" s="1"/>
  <c r="BC1318" i="48" s="1"/>
  <c r="AS1726" i="48"/>
  <c r="BM1726" i="48"/>
  <c r="BB1726" i="48"/>
  <c r="BL1726" i="48"/>
  <c r="AT1726" i="48"/>
  <c r="BB1616" i="48"/>
  <c r="AT1616" i="48"/>
  <c r="BM1616" i="48"/>
  <c r="AS1616" i="48"/>
  <c r="BL1616" i="48"/>
  <c r="BB1265" i="48"/>
  <c r="BM1265" i="48"/>
  <c r="AT1265" i="48"/>
  <c r="BL1265" i="48"/>
  <c r="AS1265" i="48"/>
  <c r="BM1855" i="48"/>
  <c r="BL1855" i="48"/>
  <c r="AT1855" i="48"/>
  <c r="BB1855" i="48"/>
  <c r="AS1855" i="48"/>
  <c r="BL1444" i="48"/>
  <c r="AS1444" i="48"/>
  <c r="BB1444" i="48"/>
  <c r="BM1444" i="48"/>
  <c r="AT1444" i="48"/>
  <c r="BM1547" i="48"/>
  <c r="BB1547" i="48"/>
  <c r="BL1547" i="48"/>
  <c r="AT1547" i="48"/>
  <c r="AS1547" i="48"/>
  <c r="BB938" i="48"/>
  <c r="AS938" i="48"/>
  <c r="AB938" i="48" s="1"/>
  <c r="BM938" i="48"/>
  <c r="AT938" i="48"/>
  <c r="BL938" i="48"/>
  <c r="BL1068" i="48"/>
  <c r="BB1068" i="48"/>
  <c r="AT1068" i="48"/>
  <c r="BM1068" i="48"/>
  <c r="AS1068" i="48"/>
  <c r="BB1500" i="48"/>
  <c r="AS1500" i="48"/>
  <c r="BM1500" i="48"/>
  <c r="BL1500" i="48"/>
  <c r="AT1500" i="48"/>
  <c r="BM878" i="48"/>
  <c r="AT878" i="48"/>
  <c r="BL878" i="48"/>
  <c r="AS878" i="48"/>
  <c r="BB878" i="48"/>
  <c r="BM1156" i="48"/>
  <c r="AS1156" i="48"/>
  <c r="BL1156" i="48"/>
  <c r="BB1156" i="48"/>
  <c r="AT1156" i="48"/>
  <c r="AT939" i="48"/>
  <c r="BB939" i="48"/>
  <c r="AS939" i="48"/>
  <c r="BM939" i="48"/>
  <c r="BL939" i="48"/>
  <c r="AT636" i="48"/>
  <c r="AS636" i="48"/>
  <c r="BM636" i="48"/>
  <c r="BL636" i="48"/>
  <c r="BB636" i="48"/>
  <c r="BB1572" i="48"/>
  <c r="AT1572" i="48"/>
  <c r="BM1572" i="48"/>
  <c r="AS1572" i="48"/>
  <c r="AC1572" i="48" s="1"/>
  <c r="BC1572" i="48" s="1"/>
  <c r="BL1572" i="48"/>
  <c r="BL1412" i="48"/>
  <c r="AS1412" i="48"/>
  <c r="AC1412" i="48" s="1"/>
  <c r="BC1412" i="48" s="1"/>
  <c r="BB1412" i="48"/>
  <c r="BM1412" i="48"/>
  <c r="AT1412" i="48"/>
  <c r="BM1674" i="48"/>
  <c r="AT1674" i="48"/>
  <c r="BL1674" i="48"/>
  <c r="AS1674" i="48"/>
  <c r="BB1674" i="48"/>
  <c r="BM1768" i="48"/>
  <c r="AS1768" i="48"/>
  <c r="BL1768" i="48"/>
  <c r="BB1768" i="48"/>
  <c r="AT1768" i="48"/>
  <c r="AS1888" i="48"/>
  <c r="BM1888" i="48"/>
  <c r="BB1888" i="48"/>
  <c r="BL1888" i="48"/>
  <c r="AT1888" i="48"/>
  <c r="AT773" i="48"/>
  <c r="BM773" i="48"/>
  <c r="AS773" i="48"/>
  <c r="BL773" i="48"/>
  <c r="BB773" i="48"/>
  <c r="AT1999" i="48"/>
  <c r="BM1999" i="48"/>
  <c r="BB1999" i="48"/>
  <c r="AS1999" i="48"/>
  <c r="BL1999" i="48"/>
  <c r="AS980" i="48"/>
  <c r="BM980" i="48"/>
  <c r="BB980" i="48"/>
  <c r="BL980" i="48"/>
  <c r="AT980" i="48"/>
  <c r="BM954" i="48"/>
  <c r="AT954" i="48"/>
  <c r="BL954" i="48"/>
  <c r="AS954" i="48"/>
  <c r="AB954" i="48" s="1"/>
  <c r="BB954" i="48"/>
  <c r="BB579" i="48"/>
  <c r="BM579" i="48"/>
  <c r="BL579" i="48"/>
  <c r="AT579" i="48"/>
  <c r="AS579" i="48"/>
  <c r="AT588" i="48"/>
  <c r="AS588" i="48"/>
  <c r="BM588" i="48"/>
  <c r="BL588" i="48"/>
  <c r="BB588" i="48"/>
  <c r="BM1404" i="48"/>
  <c r="BL1404" i="48"/>
  <c r="AT1404" i="48"/>
  <c r="AS1404" i="48"/>
  <c r="BB1404" i="48"/>
  <c r="BM1655" i="48"/>
  <c r="BB1655" i="48"/>
  <c r="BL1655" i="48"/>
  <c r="AT1655" i="48"/>
  <c r="AS1655" i="48"/>
  <c r="BM2044" i="48"/>
  <c r="BL2044" i="48"/>
  <c r="AT2044" i="48"/>
  <c r="BB2044" i="48"/>
  <c r="AS2044" i="48"/>
  <c r="BM1810" i="48"/>
  <c r="BB1810" i="48"/>
  <c r="BL1810" i="48"/>
  <c r="AT1810" i="48"/>
  <c r="AS1810" i="48"/>
  <c r="BM1322" i="48"/>
  <c r="BL1322" i="48"/>
  <c r="AT1322" i="48"/>
  <c r="AS1322" i="48"/>
  <c r="AC1322" i="48" s="1"/>
  <c r="BC1322" i="48" s="1"/>
  <c r="BB1322" i="48"/>
  <c r="BM1542" i="48"/>
  <c r="BL1542" i="48"/>
  <c r="AT1542" i="48"/>
  <c r="AS1542" i="48"/>
  <c r="BB1542" i="48"/>
  <c r="BL757" i="48"/>
  <c r="AT757" i="48"/>
  <c r="AS757" i="48"/>
  <c r="BM757" i="48"/>
  <c r="BB757" i="48"/>
  <c r="BM1806" i="48"/>
  <c r="BL1806" i="48"/>
  <c r="BB1806" i="48"/>
  <c r="AT1806" i="48"/>
  <c r="AS1806" i="48"/>
  <c r="AB1806" i="48" s="1"/>
  <c r="AT724" i="48"/>
  <c r="AS724" i="48"/>
  <c r="BM724" i="48"/>
  <c r="BL724" i="48"/>
  <c r="BB724" i="48"/>
  <c r="AS1401" i="48"/>
  <c r="BM1401" i="48"/>
  <c r="BB1401" i="48"/>
  <c r="BL1401" i="48"/>
  <c r="AT1401" i="48"/>
  <c r="BB1913" i="48"/>
  <c r="BM1913" i="48"/>
  <c r="BL1913" i="48"/>
  <c r="AT1913" i="48"/>
  <c r="AS1913" i="48"/>
  <c r="BM1108" i="48"/>
  <c r="BB1108" i="48"/>
  <c r="BL1108" i="48"/>
  <c r="AT1108" i="48"/>
  <c r="AS1108" i="48"/>
  <c r="AS1876" i="48"/>
  <c r="AB1876" i="48" s="1"/>
  <c r="BM1876" i="48"/>
  <c r="BB1876" i="48"/>
  <c r="BL1876" i="48"/>
  <c r="AT1876" i="48"/>
  <c r="BM1629" i="48"/>
  <c r="AT1629" i="48"/>
  <c r="BL1629" i="48"/>
  <c r="AS1629" i="48"/>
  <c r="AC1629" i="48" s="1"/>
  <c r="BC1629" i="48" s="1"/>
  <c r="BB1629" i="48"/>
  <c r="BM751" i="48"/>
  <c r="BL751" i="48"/>
  <c r="AT751" i="48"/>
  <c r="BB751" i="48"/>
  <c r="AS751" i="48"/>
  <c r="BM881" i="48"/>
  <c r="AS881" i="48"/>
  <c r="AC881" i="48" s="1"/>
  <c r="BC881" i="48" s="1"/>
  <c r="BL881" i="48"/>
  <c r="BB881" i="48"/>
  <c r="AT881" i="48"/>
  <c r="BL1663" i="48"/>
  <c r="AT1663" i="48"/>
  <c r="AS1663" i="48"/>
  <c r="BM1663" i="48"/>
  <c r="BB1663" i="48"/>
  <c r="BM1634" i="48"/>
  <c r="AT1634" i="48"/>
  <c r="BL1634" i="48"/>
  <c r="AS1634" i="48"/>
  <c r="BB1634" i="48"/>
  <c r="BM722" i="48"/>
  <c r="AT722" i="48"/>
  <c r="BL722" i="48"/>
  <c r="AS722" i="48"/>
  <c r="BB722" i="48"/>
  <c r="BM1025" i="48"/>
  <c r="BB1025" i="48"/>
  <c r="AT1025" i="48"/>
  <c r="BL1025" i="48"/>
  <c r="AS1025" i="48"/>
  <c r="BM1661" i="48"/>
  <c r="BB1661" i="48"/>
  <c r="AT1661" i="48"/>
  <c r="BL1661" i="48"/>
  <c r="AS1661" i="48"/>
  <c r="BM2027" i="48"/>
  <c r="AT2027" i="48"/>
  <c r="BL2027" i="48"/>
  <c r="AS2027" i="48"/>
  <c r="BB2027" i="48"/>
  <c r="BL952" i="48"/>
  <c r="BB952" i="48"/>
  <c r="AT952" i="48"/>
  <c r="AS952" i="48"/>
  <c r="BM952" i="48"/>
  <c r="BM1308" i="48"/>
  <c r="AS1308" i="48"/>
  <c r="BL1308" i="48"/>
  <c r="BB1308" i="48"/>
  <c r="AT1308" i="48"/>
  <c r="BL1809" i="48"/>
  <c r="AT1809" i="48"/>
  <c r="AS1809" i="48"/>
  <c r="BM1809" i="48"/>
  <c r="BB1809" i="48"/>
  <c r="BB1866" i="48"/>
  <c r="BM1866" i="48"/>
  <c r="BL1866" i="48"/>
  <c r="AT1866" i="48"/>
  <c r="AS1866" i="48"/>
  <c r="BB1059" i="48"/>
  <c r="AS1059" i="48"/>
  <c r="BM1059" i="48"/>
  <c r="BL1059" i="48"/>
  <c r="AT1059" i="48"/>
  <c r="AT845" i="48"/>
  <c r="AS845" i="48"/>
  <c r="BM845" i="48"/>
  <c r="BB845" i="48"/>
  <c r="BL845" i="48"/>
  <c r="BM1534" i="48"/>
  <c r="BL1534" i="48"/>
  <c r="AT1534" i="48"/>
  <c r="AS1534" i="48"/>
  <c r="BB1534" i="48"/>
  <c r="BL650" i="48"/>
  <c r="AS650" i="48"/>
  <c r="BB650" i="48"/>
  <c r="BM650" i="48"/>
  <c r="AT650" i="48"/>
  <c r="BB1795" i="48"/>
  <c r="AT1795" i="48"/>
  <c r="BL1795" i="48"/>
  <c r="BM1795" i="48"/>
  <c r="AS1795" i="48"/>
  <c r="BL1121" i="48"/>
  <c r="AS1121" i="48"/>
  <c r="BB1121" i="48"/>
  <c r="AT1121" i="48"/>
  <c r="BM1121" i="48"/>
  <c r="BM617" i="48"/>
  <c r="AS617" i="48"/>
  <c r="BL617" i="48"/>
  <c r="BB617" i="48"/>
  <c r="AT617" i="48"/>
  <c r="BM661" i="48"/>
  <c r="AS661" i="48"/>
  <c r="BL661" i="48"/>
  <c r="BB661" i="48"/>
  <c r="AT661" i="48"/>
  <c r="BB1530" i="48"/>
  <c r="BM1530" i="48"/>
  <c r="BL1530" i="48"/>
  <c r="AT1530" i="48"/>
  <c r="AS1530" i="48"/>
  <c r="BL1666" i="48"/>
  <c r="AT1666" i="48"/>
  <c r="BB1666" i="48"/>
  <c r="AS1666" i="48"/>
  <c r="BM1666" i="48"/>
  <c r="BM1977" i="48"/>
  <c r="BB1977" i="48"/>
  <c r="BL1977" i="48"/>
  <c r="AT1977" i="48"/>
  <c r="AS1977" i="48"/>
  <c r="AB1977" i="48" s="1"/>
  <c r="BM1057" i="48"/>
  <c r="BB1057" i="48"/>
  <c r="AT1057" i="48"/>
  <c r="BL1057" i="48"/>
  <c r="AS1057" i="48"/>
  <c r="AS875" i="48"/>
  <c r="BB875" i="48"/>
  <c r="BM875" i="48"/>
  <c r="BL875" i="48"/>
  <c r="AT875" i="48"/>
  <c r="BL1555" i="48"/>
  <c r="AT1555" i="48"/>
  <c r="AS1555" i="48"/>
  <c r="BM1555" i="48"/>
  <c r="BB1555" i="48"/>
  <c r="BB1602" i="48"/>
  <c r="BM1602" i="48"/>
  <c r="AT1602" i="48"/>
  <c r="BL1602" i="48"/>
  <c r="AS1602" i="48"/>
  <c r="BL853" i="48"/>
  <c r="AT853" i="48"/>
  <c r="AS853" i="48"/>
  <c r="BM853" i="48"/>
  <c r="BB853" i="48"/>
  <c r="BM602" i="48"/>
  <c r="AT602" i="48"/>
  <c r="BL602" i="48"/>
  <c r="AS602" i="48"/>
  <c r="BB602" i="48"/>
  <c r="AS948" i="48"/>
  <c r="BM948" i="48"/>
  <c r="BB948" i="48"/>
  <c r="BL948" i="48"/>
  <c r="AT948" i="48"/>
  <c r="BM978" i="48"/>
  <c r="AT978" i="48"/>
  <c r="BL978" i="48"/>
  <c r="AS978" i="48"/>
  <c r="BB978" i="48"/>
  <c r="BL648" i="48"/>
  <c r="AT648" i="48"/>
  <c r="AS648" i="48"/>
  <c r="BM648" i="48"/>
  <c r="BB648" i="48"/>
  <c r="BL1456" i="48"/>
  <c r="AT1456" i="48"/>
  <c r="AS1456" i="48"/>
  <c r="BB1456" i="48"/>
  <c r="BM1456" i="48"/>
  <c r="BM729" i="48"/>
  <c r="AT729" i="48"/>
  <c r="BL729" i="48"/>
  <c r="AS729" i="48"/>
  <c r="BB729" i="48"/>
  <c r="AT1526" i="48"/>
  <c r="BB1526" i="48"/>
  <c r="AS1526" i="48"/>
  <c r="BM1526" i="48"/>
  <c r="BL1526" i="48"/>
  <c r="BB1468" i="48"/>
  <c r="AS1468" i="48"/>
  <c r="BM1468" i="48"/>
  <c r="BL1468" i="48"/>
  <c r="AT1468" i="48"/>
  <c r="BL775" i="48"/>
  <c r="AT775" i="48"/>
  <c r="BB775" i="48"/>
  <c r="AS775" i="48"/>
  <c r="BM775" i="48"/>
  <c r="AT577" i="48"/>
  <c r="AS577" i="48"/>
  <c r="AC577" i="48" s="1"/>
  <c r="BC577" i="48" s="1"/>
  <c r="BM577" i="48"/>
  <c r="BB577" i="48"/>
  <c r="BL577" i="48"/>
  <c r="BL926" i="48"/>
  <c r="BB926" i="48"/>
  <c r="AT926" i="48"/>
  <c r="BM926" i="48"/>
  <c r="AS926" i="48"/>
  <c r="BL1679" i="48"/>
  <c r="BB1679" i="48"/>
  <c r="AT1679" i="48"/>
  <c r="BM1679" i="48"/>
  <c r="AS1679" i="48"/>
  <c r="BM1945" i="48"/>
  <c r="BL1945" i="48"/>
  <c r="AT1945" i="48"/>
  <c r="BB1945" i="48"/>
  <c r="AS1945" i="48"/>
  <c r="BM1974" i="48"/>
  <c r="BL1974" i="48"/>
  <c r="AT1974" i="48"/>
  <c r="BB1974" i="48"/>
  <c r="AS1974" i="48"/>
  <c r="BL766" i="48"/>
  <c r="AT766" i="48"/>
  <c r="AS766" i="48"/>
  <c r="BB766" i="48"/>
  <c r="BM766" i="48"/>
  <c r="AT1047" i="48"/>
  <c r="BM1047" i="48"/>
  <c r="BB1047" i="48"/>
  <c r="AS1047" i="48"/>
  <c r="AB1047" i="48" s="1"/>
  <c r="BL1047" i="48"/>
  <c r="AT589" i="48"/>
  <c r="BM589" i="48"/>
  <c r="AS589" i="48"/>
  <c r="BL589" i="48"/>
  <c r="BB589" i="48"/>
  <c r="BL1990" i="48"/>
  <c r="BB1990" i="48"/>
  <c r="BM1990" i="48"/>
  <c r="AT1990" i="48"/>
  <c r="AS1990" i="48"/>
  <c r="BM1138" i="48"/>
  <c r="AS1138" i="48"/>
  <c r="BL1138" i="48"/>
  <c r="BB1138" i="48"/>
  <c r="AT1138" i="48"/>
  <c r="AS1603" i="48"/>
  <c r="BM1603" i="48"/>
  <c r="BB1603" i="48"/>
  <c r="BL1603" i="48"/>
  <c r="AT1603" i="48"/>
  <c r="BB1384" i="48"/>
  <c r="BL1384" i="48"/>
  <c r="AT1384" i="48"/>
  <c r="AS1384" i="48"/>
  <c r="BM1384" i="48"/>
  <c r="BL1883" i="48"/>
  <c r="AS1883" i="48"/>
  <c r="AC1883" i="48" s="1"/>
  <c r="BC1883" i="48" s="1"/>
  <c r="BB1883" i="48"/>
  <c r="AT1883" i="48"/>
  <c r="BM1883" i="48"/>
  <c r="BM1512" i="48"/>
  <c r="AT1512" i="48"/>
  <c r="BL1512" i="48"/>
  <c r="AS1512" i="48"/>
  <c r="BB1512" i="48"/>
  <c r="BM690" i="48"/>
  <c r="AT690" i="48"/>
  <c r="BL690" i="48"/>
  <c r="AS690" i="48"/>
  <c r="BB690" i="48"/>
  <c r="BB898" i="48"/>
  <c r="BM898" i="48"/>
  <c r="AT898" i="48"/>
  <c r="BL898" i="48"/>
  <c r="AS898" i="48"/>
  <c r="BL963" i="48"/>
  <c r="AT963" i="48"/>
  <c r="BB963" i="48"/>
  <c r="AS963" i="48"/>
  <c r="BM963" i="48"/>
  <c r="AT1275" i="48"/>
  <c r="AS1275" i="48"/>
  <c r="BM1275" i="48"/>
  <c r="BB1275" i="48"/>
  <c r="BL1275" i="48"/>
  <c r="BM1564" i="48"/>
  <c r="AS1564" i="48"/>
  <c r="BL1564" i="48"/>
  <c r="BB1564" i="48"/>
  <c r="AT1564" i="48"/>
  <c r="BB1228" i="48"/>
  <c r="AT1228" i="48"/>
  <c r="BL1228" i="48"/>
  <c r="BM1228" i="48"/>
  <c r="AS1228" i="48"/>
  <c r="AT801" i="48"/>
  <c r="BM801" i="48"/>
  <c r="AS801" i="48"/>
  <c r="BL801" i="48"/>
  <c r="BB801" i="48"/>
  <c r="BB1434" i="48"/>
  <c r="AT1434" i="48"/>
  <c r="BM1434" i="48"/>
  <c r="AS1434" i="48"/>
  <c r="BL1434" i="48"/>
  <c r="BL1731" i="48"/>
  <c r="AS1731" i="48"/>
  <c r="BM1731" i="48"/>
  <c r="BB1731" i="48"/>
  <c r="AT1731" i="48"/>
  <c r="BM1988" i="48"/>
  <c r="BL1988" i="48"/>
  <c r="BB1988" i="48"/>
  <c r="AT1988" i="48"/>
  <c r="AS1988" i="48"/>
  <c r="BL714" i="48"/>
  <c r="AS714" i="48"/>
  <c r="AC714" i="48" s="1"/>
  <c r="BC714" i="48" s="1"/>
  <c r="BB714" i="48"/>
  <c r="BM714" i="48"/>
  <c r="AT714" i="48"/>
  <c r="BL575" i="48"/>
  <c r="AT575" i="48"/>
  <c r="AS575" i="48"/>
  <c r="BB575" i="48"/>
  <c r="BM575" i="48"/>
  <c r="BB1097" i="48"/>
  <c r="AT1097" i="48"/>
  <c r="BM1097" i="48"/>
  <c r="AS1097" i="48"/>
  <c r="AB1097" i="48" s="1"/>
  <c r="BL1097" i="48"/>
  <c r="BB1168" i="48"/>
  <c r="AT1168" i="48"/>
  <c r="BM1168" i="48"/>
  <c r="AS1168" i="48"/>
  <c r="BL1168" i="48"/>
  <c r="BL1027" i="48"/>
  <c r="AT1027" i="48"/>
  <c r="BB1027" i="48"/>
  <c r="AS1027" i="48"/>
  <c r="BM1027" i="48"/>
  <c r="BB1418" i="48"/>
  <c r="AT1418" i="48"/>
  <c r="BM1418" i="48"/>
  <c r="AS1418" i="48"/>
  <c r="BL1418" i="48"/>
  <c r="BB1785" i="48"/>
  <c r="BM1785" i="48"/>
  <c r="AT1785" i="48"/>
  <c r="AS1785" i="48"/>
  <c r="BL1785" i="48"/>
  <c r="BB679" i="48"/>
  <c r="AT679" i="48"/>
  <c r="BM679" i="48"/>
  <c r="AS679" i="48"/>
  <c r="BL679" i="48"/>
  <c r="BB1875" i="48"/>
  <c r="BM1875" i="48"/>
  <c r="BL1875" i="48"/>
  <c r="AT1875" i="48"/>
  <c r="AS1875" i="48"/>
  <c r="BL1104" i="48"/>
  <c r="AT1104" i="48"/>
  <c r="AS1104" i="48"/>
  <c r="BM1104" i="48"/>
  <c r="BB1104" i="48"/>
  <c r="BB1861" i="48"/>
  <c r="AT1861" i="48"/>
  <c r="BM1861" i="48"/>
  <c r="AS1861" i="48"/>
  <c r="BL1861" i="48"/>
  <c r="BM1579" i="48"/>
  <c r="BB1579" i="48"/>
  <c r="BL1579" i="48"/>
  <c r="AT1579" i="48"/>
  <c r="AS1579" i="48"/>
  <c r="BL883" i="48"/>
  <c r="AT883" i="48"/>
  <c r="AS883" i="48"/>
  <c r="BB883" i="48"/>
  <c r="BM883" i="48"/>
  <c r="BL1440" i="48"/>
  <c r="AT1440" i="48"/>
  <c r="AS1440" i="48"/>
  <c r="BB1440" i="48"/>
  <c r="BM1440" i="48"/>
  <c r="AS1730" i="48"/>
  <c r="BM1730" i="48"/>
  <c r="BB1730" i="48"/>
  <c r="BL1730" i="48"/>
  <c r="AT1730" i="48"/>
  <c r="BB1278" i="48"/>
  <c r="BM1278" i="48"/>
  <c r="AT1278" i="48"/>
  <c r="BL1278" i="48"/>
  <c r="AS1278" i="48"/>
  <c r="BM1515" i="48"/>
  <c r="AT1515" i="48"/>
  <c r="BL1515" i="48"/>
  <c r="AS1515" i="48"/>
  <c r="BB1515" i="48"/>
  <c r="BM1141" i="48"/>
  <c r="BB1141" i="48"/>
  <c r="AT1141" i="48"/>
  <c r="AS1141" i="48"/>
  <c r="BL1141" i="48"/>
  <c r="BM1074" i="48"/>
  <c r="AS1074" i="48"/>
  <c r="BL1074" i="48"/>
  <c r="BB1074" i="48"/>
  <c r="AT1074" i="48"/>
  <c r="BM998" i="48"/>
  <c r="AS998" i="48"/>
  <c r="BL998" i="48"/>
  <c r="BB998" i="48"/>
  <c r="AT998" i="48"/>
  <c r="BL1498" i="48"/>
  <c r="BB1498" i="48"/>
  <c r="AT1498" i="48"/>
  <c r="BM1498" i="48"/>
  <c r="AS1498" i="48"/>
  <c r="AC1498" i="48" s="1"/>
  <c r="BC1498" i="48" s="1"/>
  <c r="AS1449" i="48"/>
  <c r="BM1449" i="48"/>
  <c r="BB1449" i="48"/>
  <c r="BL1449" i="48"/>
  <c r="AT1449" i="48"/>
  <c r="BM993" i="48"/>
  <c r="BB993" i="48"/>
  <c r="AT993" i="48"/>
  <c r="BL993" i="48"/>
  <c r="AS993" i="48"/>
  <c r="BB1791" i="48"/>
  <c r="AT1791" i="48"/>
  <c r="BL1791" i="48"/>
  <c r="BM1791" i="48"/>
  <c r="AS1791" i="48"/>
  <c r="BB1889" i="48"/>
  <c r="AS1889" i="48"/>
  <c r="BM1889" i="48"/>
  <c r="BL1889" i="48"/>
  <c r="AT1889" i="48"/>
  <c r="BL1355" i="48"/>
  <c r="AT1355" i="48"/>
  <c r="AS1355" i="48"/>
  <c r="BM1355" i="48"/>
  <c r="BB1355" i="48"/>
  <c r="BM600" i="48"/>
  <c r="BB600" i="48"/>
  <c r="BL600" i="48"/>
  <c r="AT600" i="48"/>
  <c r="AS600" i="48"/>
  <c r="BM1082" i="48"/>
  <c r="BL1082" i="48"/>
  <c r="AT1082" i="48"/>
  <c r="BB1082" i="48"/>
  <c r="AS1082" i="48"/>
  <c r="BB1803" i="48"/>
  <c r="BM1803" i="48"/>
  <c r="BL1803" i="48"/>
  <c r="AT1803" i="48"/>
  <c r="AS1803" i="48"/>
  <c r="BL2006" i="48"/>
  <c r="AS2006" i="48"/>
  <c r="BM2006" i="48"/>
  <c r="BB2006" i="48"/>
  <c r="AT2006" i="48"/>
  <c r="BM1443" i="48"/>
  <c r="AT1443" i="48"/>
  <c r="BL1443" i="48"/>
  <c r="AS1443" i="48"/>
  <c r="AB1443" i="48" s="1"/>
  <c r="BB1443" i="48"/>
  <c r="BL1312" i="48"/>
  <c r="BB1312" i="48"/>
  <c r="AT1312" i="48"/>
  <c r="BM1312" i="48"/>
  <c r="AS1312" i="48"/>
  <c r="BL1102" i="48"/>
  <c r="AT1102" i="48"/>
  <c r="BB1102" i="48"/>
  <c r="AS1102" i="48"/>
  <c r="BM1102" i="48"/>
  <c r="BL1285" i="48"/>
  <c r="AS1285" i="48"/>
  <c r="BB1285" i="48"/>
  <c r="BM1285" i="48"/>
  <c r="AT1285" i="48"/>
  <c r="AS824" i="48"/>
  <c r="BM824" i="48"/>
  <c r="BB824" i="48"/>
  <c r="AT824" i="48"/>
  <c r="BL824" i="48"/>
  <c r="BB1241" i="48"/>
  <c r="BM1241" i="48"/>
  <c r="AT1241" i="48"/>
  <c r="BL1241" i="48"/>
  <c r="AS1241" i="48"/>
  <c r="BL1403" i="48"/>
  <c r="AS1403" i="48"/>
  <c r="AB1403" i="48" s="1"/>
  <c r="BB1403" i="48"/>
  <c r="BM1403" i="48"/>
  <c r="AT1403" i="48"/>
  <c r="BM1802" i="48"/>
  <c r="BL1802" i="48"/>
  <c r="BB1802" i="48"/>
  <c r="AS1802" i="48"/>
  <c r="AT1802" i="48"/>
  <c r="BB739" i="48"/>
  <c r="BM739" i="48"/>
  <c r="BL739" i="48"/>
  <c r="AT739" i="48"/>
  <c r="AS739" i="48"/>
  <c r="BL1277" i="48"/>
  <c r="AS1277" i="48"/>
  <c r="BB1277" i="48"/>
  <c r="BM1277" i="48"/>
  <c r="AT1277" i="48"/>
  <c r="BB663" i="48"/>
  <c r="AS663" i="48"/>
  <c r="AB663" i="48" s="1"/>
  <c r="BM663" i="48"/>
  <c r="BL663" i="48"/>
  <c r="AT663" i="48"/>
  <c r="BM1139" i="48"/>
  <c r="BL1139" i="48"/>
  <c r="AT1139" i="48"/>
  <c r="BB1139" i="48"/>
  <c r="AS1139" i="48"/>
  <c r="AC1139" i="48" s="1"/>
  <c r="BC1139" i="48" s="1"/>
  <c r="AT745" i="48"/>
  <c r="BM745" i="48"/>
  <c r="AS745" i="48"/>
  <c r="BL745" i="48"/>
  <c r="BB745" i="48"/>
  <c r="BB2026" i="48"/>
  <c r="AT2026" i="48"/>
  <c r="AS2026" i="48"/>
  <c r="AB2026" i="48" s="1"/>
  <c r="BM2026" i="48"/>
  <c r="BL2026" i="48"/>
  <c r="BM930" i="48"/>
  <c r="BL930" i="48"/>
  <c r="AT930" i="48"/>
  <c r="BB930" i="48"/>
  <c r="AS930" i="48"/>
  <c r="AB930" i="48" s="1"/>
  <c r="AS1144" i="48"/>
  <c r="BM1144" i="48"/>
  <c r="BB1144" i="48"/>
  <c r="BL1144" i="48"/>
  <c r="AT1144" i="48"/>
  <c r="BM932" i="48"/>
  <c r="BL932" i="48"/>
  <c r="BB932" i="48"/>
  <c r="AT932" i="48"/>
  <c r="AS932" i="48"/>
  <c r="BB1927" i="48"/>
  <c r="AS1927" i="48"/>
  <c r="BM1927" i="48"/>
  <c r="BL1927" i="48"/>
  <c r="AT1927" i="48"/>
  <c r="BM1013" i="48"/>
  <c r="BB1013" i="48"/>
  <c r="AT1013" i="48"/>
  <c r="BL1013" i="48"/>
  <c r="AS1013" i="48"/>
  <c r="BL1213" i="48"/>
  <c r="AS1213" i="48"/>
  <c r="BB1213" i="48"/>
  <c r="AT1213" i="48"/>
  <c r="BM1213" i="48"/>
  <c r="AT596" i="48"/>
  <c r="AS596" i="48"/>
  <c r="BM596" i="48"/>
  <c r="BL596" i="48"/>
  <c r="BB596" i="48"/>
  <c r="BB1296" i="48"/>
  <c r="AT1296" i="48"/>
  <c r="BM1296" i="48"/>
  <c r="AS1296" i="48"/>
  <c r="BL1296" i="48"/>
  <c r="BL1369" i="48"/>
  <c r="BB1369" i="48"/>
  <c r="AT1369" i="48"/>
  <c r="AS1369" i="48"/>
  <c r="BM1369" i="48"/>
  <c r="AT1984" i="48"/>
  <c r="AS1984" i="48"/>
  <c r="BM1984" i="48"/>
  <c r="BL1984" i="48"/>
  <c r="BB1984" i="48"/>
  <c r="BM1146" i="48"/>
  <c r="BL1146" i="48"/>
  <c r="AT1146" i="48"/>
  <c r="BB1146" i="48"/>
  <c r="AS1146" i="48"/>
  <c r="AS660" i="48"/>
  <c r="BM660" i="48"/>
  <c r="BL660" i="48"/>
  <c r="BB660" i="48"/>
  <c r="AT660" i="48"/>
  <c r="BM1045" i="48"/>
  <c r="BB1045" i="48"/>
  <c r="AT1045" i="48"/>
  <c r="BL1045" i="48"/>
  <c r="AS1045" i="48"/>
  <c r="AS1116" i="48"/>
  <c r="BM1116" i="48"/>
  <c r="BB1116" i="48"/>
  <c r="BL1116" i="48"/>
  <c r="AT1116" i="48"/>
  <c r="BB557" i="48"/>
  <c r="AS557" i="48"/>
  <c r="BM557" i="48"/>
  <c r="BL557" i="48"/>
  <c r="AT557" i="48"/>
  <c r="AT1267" i="48"/>
  <c r="AS1267" i="48"/>
  <c r="AC1267" i="48" s="1"/>
  <c r="BC1267" i="48" s="1"/>
  <c r="BM1267" i="48"/>
  <c r="BB1267" i="48"/>
  <c r="BL1267" i="48"/>
  <c r="BB582" i="48"/>
  <c r="BM582" i="48"/>
  <c r="AT582" i="48"/>
  <c r="BL582" i="48"/>
  <c r="AS582" i="48"/>
  <c r="AC582" i="48" s="1"/>
  <c r="BC582" i="48" s="1"/>
  <c r="BM1901" i="48"/>
  <c r="BL1901" i="48"/>
  <c r="AT1901" i="48"/>
  <c r="BB1901" i="48"/>
  <c r="AS1901" i="48"/>
  <c r="BB683" i="48"/>
  <c r="BM683" i="48"/>
  <c r="BL683" i="48"/>
  <c r="AT683" i="48"/>
  <c r="AS683" i="48"/>
  <c r="BL1094" i="48"/>
  <c r="BB1094" i="48"/>
  <c r="AT1094" i="48"/>
  <c r="BM1094" i="48"/>
  <c r="AS1094" i="48"/>
  <c r="BL1626" i="48"/>
  <c r="AS1626" i="48"/>
  <c r="BB1626" i="48"/>
  <c r="BM1626" i="48"/>
  <c r="AT1626" i="48"/>
  <c r="BL678" i="48"/>
  <c r="AT678" i="48"/>
  <c r="BB678" i="48"/>
  <c r="AS678" i="48"/>
  <c r="BM678" i="48"/>
  <c r="BM1544" i="48"/>
  <c r="AS1544" i="48"/>
  <c r="BL1544" i="48"/>
  <c r="BB1544" i="48"/>
  <c r="AT1544" i="48"/>
  <c r="AS1827" i="48"/>
  <c r="BL1827" i="48"/>
  <c r="AT1827" i="48"/>
  <c r="BB1827" i="48"/>
  <c r="BM1827" i="48"/>
  <c r="BB1837" i="48"/>
  <c r="AT1837" i="48"/>
  <c r="BM1837" i="48"/>
  <c r="AS1837" i="48"/>
  <c r="BL1837" i="48"/>
  <c r="AS1319" i="48"/>
  <c r="BM1319" i="48"/>
  <c r="BB1319" i="48"/>
  <c r="BL1319" i="48"/>
  <c r="AT1319" i="48"/>
  <c r="AT1489" i="48"/>
  <c r="BM1489" i="48"/>
  <c r="AS1489" i="48"/>
  <c r="BL1489" i="48"/>
  <c r="BB1489" i="48"/>
  <c r="BL1426" i="48"/>
  <c r="BB1426" i="48"/>
  <c r="AT1426" i="48"/>
  <c r="BM1426" i="48"/>
  <c r="AS1426" i="48"/>
  <c r="AS1937" i="48"/>
  <c r="AB1937" i="48" s="1"/>
  <c r="BM1937" i="48"/>
  <c r="BB1937" i="48"/>
  <c r="BL1937" i="48"/>
  <c r="AT1937" i="48"/>
  <c r="BL1766" i="48"/>
  <c r="AT1766" i="48"/>
  <c r="AS1766" i="48"/>
  <c r="BM1766" i="48"/>
  <c r="BB1766" i="48"/>
  <c r="BM1173" i="48"/>
  <c r="BL1173" i="48"/>
  <c r="AT1173" i="48"/>
  <c r="AS1173" i="48"/>
  <c r="BB1173" i="48"/>
  <c r="BM1909" i="48"/>
  <c r="BB1909" i="48"/>
  <c r="BL1909" i="48"/>
  <c r="AT1909" i="48"/>
  <c r="AS1909" i="48"/>
  <c r="BB1304" i="48"/>
  <c r="AT1304" i="48"/>
  <c r="BM1304" i="48"/>
  <c r="AS1304" i="48"/>
  <c r="BL1304" i="48"/>
  <c r="AT1124" i="48"/>
  <c r="AS1124" i="48"/>
  <c r="BM1124" i="48"/>
  <c r="BB1124" i="48"/>
  <c r="BL1124" i="48"/>
  <c r="BM1445" i="48"/>
  <c r="BB1445" i="48"/>
  <c r="BL1445" i="48"/>
  <c r="AT1445" i="48"/>
  <c r="AS1445" i="48"/>
  <c r="BM1865" i="48"/>
  <c r="AS1865" i="48"/>
  <c r="BL1865" i="48"/>
  <c r="BB1865" i="48"/>
  <c r="AT1865" i="48"/>
  <c r="BM943" i="48"/>
  <c r="BL943" i="48"/>
  <c r="AT943" i="48"/>
  <c r="BB943" i="48"/>
  <c r="AS943" i="48"/>
  <c r="BM1562" i="48"/>
  <c r="AT1562" i="48"/>
  <c r="BL1562" i="48"/>
  <c r="AS1562" i="48"/>
  <c r="AB1562" i="48" s="1"/>
  <c r="BB1562" i="48"/>
  <c r="AT1639" i="48"/>
  <c r="AS1639" i="48"/>
  <c r="BM1639" i="48"/>
  <c r="BB1639" i="48"/>
  <c r="BL1639" i="48"/>
  <c r="BM638" i="48"/>
  <c r="AT638" i="48"/>
  <c r="BL638" i="48"/>
  <c r="AS638" i="48"/>
  <c r="BB638" i="48"/>
  <c r="AT1840" i="48"/>
  <c r="BM1840" i="48"/>
  <c r="BL1840" i="48"/>
  <c r="AS1840" i="48"/>
  <c r="BB1840" i="48"/>
  <c r="BB1650" i="48"/>
  <c r="BM1650" i="48"/>
  <c r="AT1650" i="48"/>
  <c r="BL1650" i="48"/>
  <c r="AS1650" i="48"/>
  <c r="AB1650" i="48" s="1"/>
  <c r="BM1438" i="48"/>
  <c r="AS1438" i="48"/>
  <c r="BL1438" i="48"/>
  <c r="BB1438" i="48"/>
  <c r="AT1438" i="48"/>
  <c r="BL1838" i="48"/>
  <c r="AS1838" i="48"/>
  <c r="BB1838" i="48"/>
  <c r="AT1838" i="48"/>
  <c r="BM1838" i="48"/>
  <c r="AT1553" i="48"/>
  <c r="BM1553" i="48"/>
  <c r="AS1553" i="48"/>
  <c r="BL1553" i="48"/>
  <c r="BB1553" i="48"/>
  <c r="BL777" i="48"/>
  <c r="BB777" i="48"/>
  <c r="AT777" i="48"/>
  <c r="BM777" i="48"/>
  <c r="AS777" i="48"/>
  <c r="BB1642" i="48"/>
  <c r="BM1642" i="48"/>
  <c r="AT1642" i="48"/>
  <c r="BL1642" i="48"/>
  <c r="AS1642" i="48"/>
  <c r="BM1850" i="48"/>
  <c r="AT1850" i="48"/>
  <c r="BL1850" i="48"/>
  <c r="AS1850" i="48"/>
  <c r="BB1850" i="48"/>
  <c r="BB1645" i="48"/>
  <c r="BM1645" i="48"/>
  <c r="AT1645" i="48"/>
  <c r="BL1645" i="48"/>
  <c r="AS1645" i="48"/>
  <c r="AC1645" i="48" s="1"/>
  <c r="BC1645" i="48" s="1"/>
  <c r="AT605" i="48"/>
  <c r="BM605" i="48"/>
  <c r="AS605" i="48"/>
  <c r="BL605" i="48"/>
  <c r="BB605" i="48"/>
  <c r="BM896" i="48"/>
  <c r="BB896" i="48"/>
  <c r="BL896" i="48"/>
  <c r="AT896" i="48"/>
  <c r="AS896" i="48"/>
  <c r="BL735" i="48"/>
  <c r="BB735" i="48"/>
  <c r="AT735" i="48"/>
  <c r="BM735" i="48"/>
  <c r="AS735" i="48"/>
  <c r="AT1084" i="48"/>
  <c r="BM1084" i="48"/>
  <c r="AS1084" i="48"/>
  <c r="BL1084" i="48"/>
  <c r="BB1084" i="48"/>
  <c r="BM2046" i="48"/>
  <c r="BB2046" i="48"/>
  <c r="BL2046" i="48"/>
  <c r="AT2046" i="48"/>
  <c r="AS2046" i="48"/>
  <c r="BM1395" i="48"/>
  <c r="AT1395" i="48"/>
  <c r="BL1395" i="48"/>
  <c r="AS1395" i="48"/>
  <c r="BB1395" i="48"/>
  <c r="BM981" i="48"/>
  <c r="BB981" i="48"/>
  <c r="AT981" i="48"/>
  <c r="BL981" i="48"/>
  <c r="AS981" i="48"/>
  <c r="BB1503" i="48"/>
  <c r="BM1503" i="48"/>
  <c r="AT1503" i="48"/>
  <c r="BL1503" i="48"/>
  <c r="AS1503" i="48"/>
  <c r="BB646" i="48"/>
  <c r="BM646" i="48"/>
  <c r="AT646" i="48"/>
  <c r="BL646" i="48"/>
  <c r="AS646" i="48"/>
  <c r="BB905" i="48"/>
  <c r="AT905" i="48"/>
  <c r="BM905" i="48"/>
  <c r="AS905" i="48"/>
  <c r="BL905" i="48"/>
  <c r="AT1151" i="48"/>
  <c r="BM1151" i="48"/>
  <c r="BB1151" i="48"/>
  <c r="AS1151" i="48"/>
  <c r="BL1151" i="48"/>
  <c r="BB1289" i="48"/>
  <c r="BM1289" i="48"/>
  <c r="AT1289" i="48"/>
  <c r="BL1289" i="48"/>
  <c r="AS1289" i="48"/>
  <c r="BL790" i="48"/>
  <c r="AS790" i="48"/>
  <c r="BB790" i="48"/>
  <c r="BM790" i="48"/>
  <c r="AT790" i="48"/>
  <c r="BM1413" i="48"/>
  <c r="BB1413" i="48"/>
  <c r="BL1413" i="48"/>
  <c r="AT1413" i="48"/>
  <c r="AS1413" i="48"/>
  <c r="BL1723" i="48"/>
  <c r="BB1723" i="48"/>
  <c r="AT1723" i="48"/>
  <c r="BM1723" i="48"/>
  <c r="AS1723" i="48"/>
  <c r="BM1773" i="48"/>
  <c r="BL1773" i="48"/>
  <c r="AT1773" i="48"/>
  <c r="BB1773" i="48"/>
  <c r="AS1773" i="48"/>
  <c r="BB1039" i="48"/>
  <c r="AS1039" i="48"/>
  <c r="BM1039" i="48"/>
  <c r="BL1039" i="48"/>
  <c r="AT1039" i="48"/>
  <c r="BB822" i="48"/>
  <c r="AS822" i="48"/>
  <c r="BM822" i="48"/>
  <c r="BL822" i="48"/>
  <c r="AT822" i="48"/>
  <c r="BB771" i="48"/>
  <c r="BM771" i="48"/>
  <c r="BL771" i="48"/>
  <c r="AT771" i="48"/>
  <c r="AS771" i="48"/>
  <c r="BB1549" i="48"/>
  <c r="BM1549" i="48"/>
  <c r="AT1549" i="48"/>
  <c r="BL1549" i="48"/>
  <c r="AS1549" i="48"/>
  <c r="BB1214" i="48"/>
  <c r="BM1214" i="48"/>
  <c r="AT1214" i="48"/>
  <c r="BL1214" i="48"/>
  <c r="AS1214" i="48"/>
  <c r="BM1906" i="48"/>
  <c r="BL1906" i="48"/>
  <c r="AT1906" i="48"/>
  <c r="AS1906" i="48"/>
  <c r="BB1906" i="48"/>
  <c r="BM1447" i="48"/>
  <c r="AT1447" i="48"/>
  <c r="BL1447" i="48"/>
  <c r="AS1447" i="48"/>
  <c r="BB1447" i="48"/>
  <c r="BL1193" i="48"/>
  <c r="AS1193" i="48"/>
  <c r="AC1193" i="48" s="1"/>
  <c r="BC1193" i="48" s="1"/>
  <c r="BB1193" i="48"/>
  <c r="BM1193" i="48"/>
  <c r="AT1193" i="48"/>
  <c r="BB1793" i="48"/>
  <c r="AS1793" i="48"/>
  <c r="BM1793" i="48"/>
  <c r="BL1793" i="48"/>
  <c r="AT1793" i="48"/>
  <c r="BB953" i="48"/>
  <c r="AT953" i="48"/>
  <c r="BM953" i="48"/>
  <c r="AS953" i="48"/>
  <c r="BL953" i="48"/>
  <c r="BM1517" i="48"/>
  <c r="AS1517" i="48"/>
  <c r="BL1517" i="48"/>
  <c r="BB1517" i="48"/>
  <c r="AT1517" i="48"/>
  <c r="BM897" i="48"/>
  <c r="AS897" i="48"/>
  <c r="AB897" i="48" s="1"/>
  <c r="BL897" i="48"/>
  <c r="BB897" i="48"/>
  <c r="AT897" i="48"/>
  <c r="BL977" i="48"/>
  <c r="BB977" i="48"/>
  <c r="AT977" i="48"/>
  <c r="AS977" i="48"/>
  <c r="AC977" i="48" s="1"/>
  <c r="BC977" i="48" s="1"/>
  <c r="BM977" i="48"/>
  <c r="BB1707" i="48"/>
  <c r="AT1707" i="48"/>
  <c r="BM1707" i="48"/>
  <c r="AS1707" i="48"/>
  <c r="AB1707" i="48" s="1"/>
  <c r="BL1707" i="48"/>
  <c r="BM994" i="48"/>
  <c r="AS994" i="48"/>
  <c r="BL994" i="48"/>
  <c r="BB994" i="48"/>
  <c r="AT994" i="48"/>
  <c r="AS684" i="48"/>
  <c r="BM684" i="48"/>
  <c r="BL684" i="48"/>
  <c r="BB684" i="48"/>
  <c r="AT684" i="48"/>
  <c r="BB1552" i="48"/>
  <c r="AT1552" i="48"/>
  <c r="BM1552" i="48"/>
  <c r="AS1552" i="48"/>
  <c r="BL1552" i="48"/>
  <c r="BM1946" i="48"/>
  <c r="BB1946" i="48"/>
  <c r="BL1946" i="48"/>
  <c r="AT1946" i="48"/>
  <c r="AS1946" i="48"/>
  <c r="BM614" i="48"/>
  <c r="AT614" i="48"/>
  <c r="BL614" i="48"/>
  <c r="AS614" i="48"/>
  <c r="BB614" i="48"/>
  <c r="BM1934" i="48"/>
  <c r="BB1934" i="48"/>
  <c r="BL1934" i="48"/>
  <c r="AT1934" i="48"/>
  <c r="AS1934" i="48"/>
  <c r="BB1870" i="48"/>
  <c r="BM1870" i="48"/>
  <c r="BL1870" i="48"/>
  <c r="AT1870" i="48"/>
  <c r="AS1870" i="48"/>
  <c r="AS891" i="48"/>
  <c r="BB891" i="48"/>
  <c r="BM891" i="48"/>
  <c r="BL891" i="48"/>
  <c r="AT891" i="48"/>
  <c r="BB863" i="48"/>
  <c r="AT863" i="48"/>
  <c r="BM863" i="48"/>
  <c r="AS863" i="48"/>
  <c r="BL863" i="48"/>
  <c r="BB1516" i="48"/>
  <c r="AS1516" i="48"/>
  <c r="BM1516" i="48"/>
  <c r="BL1516" i="48"/>
  <c r="AT1516" i="48"/>
  <c r="BM787" i="48"/>
  <c r="BL787" i="48"/>
  <c r="AT787" i="48"/>
  <c r="AS787" i="48"/>
  <c r="BB787" i="48"/>
  <c r="BL1907" i="48"/>
  <c r="AT1907" i="48"/>
  <c r="BM1907" i="48"/>
  <c r="AS1907" i="48"/>
  <c r="BB1907" i="48"/>
  <c r="BB970" i="48"/>
  <c r="BM970" i="48"/>
  <c r="AT970" i="48"/>
  <c r="BL970" i="48"/>
  <c r="AS970" i="48"/>
  <c r="AS2053" i="48"/>
  <c r="BB2053" i="48"/>
  <c r="BM2053" i="48"/>
  <c r="BL2053" i="48"/>
  <c r="AT2053" i="48"/>
  <c r="BL1848" i="48"/>
  <c r="AT1848" i="48"/>
  <c r="AS1848" i="48"/>
  <c r="BB1848" i="48"/>
  <c r="BM1848" i="48"/>
  <c r="BM944" i="48"/>
  <c r="BL944" i="48"/>
  <c r="BB944" i="48"/>
  <c r="AT944" i="48"/>
  <c r="AS944" i="48"/>
  <c r="BL2018" i="48"/>
  <c r="AT2018" i="48"/>
  <c r="BM2018" i="48"/>
  <c r="AS2018" i="48"/>
  <c r="BB2018" i="48"/>
  <c r="AT1167" i="48"/>
  <c r="BM1167" i="48"/>
  <c r="AS1167" i="48"/>
  <c r="BL1167" i="48"/>
  <c r="BB1167" i="48"/>
  <c r="BM991" i="48"/>
  <c r="BB991" i="48"/>
  <c r="AS991" i="48"/>
  <c r="BL991" i="48"/>
  <c r="AT991" i="48"/>
  <c r="AS1798" i="48"/>
  <c r="BL1798" i="48"/>
  <c r="AT1798" i="48"/>
  <c r="BB1798" i="48"/>
  <c r="BM1798" i="48"/>
  <c r="BL1854" i="48"/>
  <c r="AS1854" i="48"/>
  <c r="BB1854" i="48"/>
  <c r="AT1854" i="48"/>
  <c r="BM1854" i="48"/>
  <c r="BB1198" i="48"/>
  <c r="BM1198" i="48"/>
  <c r="AT1198" i="48"/>
  <c r="BL1198" i="48"/>
  <c r="AS1198" i="48"/>
  <c r="BM941" i="48"/>
  <c r="BB941" i="48"/>
  <c r="AT941" i="48"/>
  <c r="BL941" i="48"/>
  <c r="AS941" i="48"/>
  <c r="BL1030" i="48"/>
  <c r="AS1030" i="48"/>
  <c r="BB1030" i="48"/>
  <c r="BM1030" i="48"/>
  <c r="AT1030" i="48"/>
  <c r="BL1804" i="48"/>
  <c r="AS1804" i="48"/>
  <c r="AB1804" i="48" s="1"/>
  <c r="BB1804" i="48"/>
  <c r="AT1804" i="48"/>
  <c r="BM1804" i="48"/>
  <c r="BL1665" i="48"/>
  <c r="BB1665" i="48"/>
  <c r="AT1665" i="48"/>
  <c r="AS1665" i="48"/>
  <c r="BM1665" i="48"/>
  <c r="AT1142" i="48"/>
  <c r="BM1142" i="48"/>
  <c r="AS1142" i="48"/>
  <c r="BL1142" i="48"/>
  <c r="BB1142" i="48"/>
  <c r="BM997" i="48"/>
  <c r="BB997" i="48"/>
  <c r="AT997" i="48"/>
  <c r="BL997" i="48"/>
  <c r="AS997" i="48"/>
  <c r="BB558" i="48"/>
  <c r="AT558" i="48"/>
  <c r="BM558" i="48"/>
  <c r="AS558" i="48"/>
  <c r="BL558" i="48"/>
  <c r="BL2019" i="48"/>
  <c r="AT2019" i="48"/>
  <c r="AS2019" i="48"/>
  <c r="BM2019" i="48"/>
  <c r="BB2019" i="48"/>
  <c r="BB866" i="48"/>
  <c r="BM866" i="48"/>
  <c r="AT866" i="48"/>
  <c r="BL866" i="48"/>
  <c r="AS866" i="48"/>
  <c r="AB866" i="48" s="1"/>
  <c r="AT1942" i="48"/>
  <c r="AS1942" i="48"/>
  <c r="BB1942" i="48"/>
  <c r="BM1942" i="48"/>
  <c r="BL1942" i="48"/>
  <c r="BB659" i="48"/>
  <c r="BM659" i="48"/>
  <c r="BL659" i="48"/>
  <c r="AT659" i="48"/>
  <c r="AS659" i="48"/>
  <c r="BB1196" i="48"/>
  <c r="AT1196" i="48"/>
  <c r="BM1196" i="48"/>
  <c r="AS1196" i="48"/>
  <c r="BL1196" i="48"/>
  <c r="AT284" i="48"/>
  <c r="BM284" i="48"/>
  <c r="AS284" i="48"/>
  <c r="BL284" i="48"/>
  <c r="AS438" i="48"/>
  <c r="BB438" i="48"/>
  <c r="BM438" i="48"/>
  <c r="BL438" i="48"/>
  <c r="AT438" i="48"/>
  <c r="AT407" i="48"/>
  <c r="AS407" i="48"/>
  <c r="BM407" i="48"/>
  <c r="BB407" i="48"/>
  <c r="BL407" i="48"/>
  <c r="BM181" i="48"/>
  <c r="AT181" i="48"/>
  <c r="BL181" i="48"/>
  <c r="AS181" i="48"/>
  <c r="BM178" i="48"/>
  <c r="AT178" i="48"/>
  <c r="BL178" i="48"/>
  <c r="AS178" i="48"/>
  <c r="BL385" i="48"/>
  <c r="BB385" i="48"/>
  <c r="AT385" i="48"/>
  <c r="BM385" i="48"/>
  <c r="AS385" i="48"/>
  <c r="AT347" i="48"/>
  <c r="AS347" i="48"/>
  <c r="BM347" i="48"/>
  <c r="BB347" i="48"/>
  <c r="BL347" i="48"/>
  <c r="AT311" i="48"/>
  <c r="AS311" i="48"/>
  <c r="BM311" i="48"/>
  <c r="BB311" i="48"/>
  <c r="BL311" i="48"/>
  <c r="AT240" i="48"/>
  <c r="BM240" i="48"/>
  <c r="AS240" i="48"/>
  <c r="BL240" i="48"/>
  <c r="BM416" i="48"/>
  <c r="AS416" i="48"/>
  <c r="BL416" i="48"/>
  <c r="BB416" i="48"/>
  <c r="AT416" i="48"/>
  <c r="BM387" i="48"/>
  <c r="AS387" i="48"/>
  <c r="BL387" i="48"/>
  <c r="BB387" i="48"/>
  <c r="AT387" i="48"/>
  <c r="BM127" i="48"/>
  <c r="BL127" i="48"/>
  <c r="AT127" i="48"/>
  <c r="AS127" i="48"/>
  <c r="BL74" i="48"/>
  <c r="AT74" i="48"/>
  <c r="AS74" i="48"/>
  <c r="BM74" i="48"/>
  <c r="BM101" i="48"/>
  <c r="AT101" i="48"/>
  <c r="BL101" i="48"/>
  <c r="AS101" i="48"/>
  <c r="BM352" i="48"/>
  <c r="AS352" i="48"/>
  <c r="BL352" i="48"/>
  <c r="BB352" i="48"/>
  <c r="AT352" i="48"/>
  <c r="BM162" i="48"/>
  <c r="AT162" i="48"/>
  <c r="BL162" i="48"/>
  <c r="AS162" i="48"/>
  <c r="BB345" i="48"/>
  <c r="AS345" i="48"/>
  <c r="BM345" i="48"/>
  <c r="BL345" i="48"/>
  <c r="AT345" i="48"/>
  <c r="BM211" i="48"/>
  <c r="AS211" i="48"/>
  <c r="BL211" i="48"/>
  <c r="AT211" i="48"/>
  <c r="BM279" i="48"/>
  <c r="BL279" i="48"/>
  <c r="AT279" i="48"/>
  <c r="AS279" i="48"/>
  <c r="AT80" i="48"/>
  <c r="BM80" i="48"/>
  <c r="AS80" i="48"/>
  <c r="BL80" i="48"/>
  <c r="BB501" i="48"/>
  <c r="BM501" i="48"/>
  <c r="AT501" i="48"/>
  <c r="BL501" i="48"/>
  <c r="AS501" i="48"/>
  <c r="BM84" i="48"/>
  <c r="AS84" i="48"/>
  <c r="BL84" i="48"/>
  <c r="AT84" i="48"/>
  <c r="BL103" i="48"/>
  <c r="AT103" i="48"/>
  <c r="AS103" i="48"/>
  <c r="BM103" i="48"/>
  <c r="AT152" i="48"/>
  <c r="BM152" i="48"/>
  <c r="AS152" i="48"/>
  <c r="BL152" i="48"/>
  <c r="BM166" i="48"/>
  <c r="BL166" i="48"/>
  <c r="AT166" i="48"/>
  <c r="AS166" i="48"/>
  <c r="AT395" i="48"/>
  <c r="AS395" i="48"/>
  <c r="BM395" i="48"/>
  <c r="BB395" i="48"/>
  <c r="BL395" i="48"/>
  <c r="BL222" i="48"/>
  <c r="AT222" i="48"/>
  <c r="AS222" i="48"/>
  <c r="BM222" i="48"/>
  <c r="AT116" i="48"/>
  <c r="BM116" i="48"/>
  <c r="AS116" i="48"/>
  <c r="BL116" i="48"/>
  <c r="BM157" i="48"/>
  <c r="AT157" i="48"/>
  <c r="BL157" i="48"/>
  <c r="AS157" i="48"/>
  <c r="AT241" i="48"/>
  <c r="BM241" i="48"/>
  <c r="AS241" i="48"/>
  <c r="BL241" i="48"/>
  <c r="BM121" i="48"/>
  <c r="BL121" i="48"/>
  <c r="AT121" i="48"/>
  <c r="AS121" i="48"/>
  <c r="BM339" i="48"/>
  <c r="AS339" i="48"/>
  <c r="BL339" i="48"/>
  <c r="BB339" i="48"/>
  <c r="AT339" i="48"/>
  <c r="BL372" i="48"/>
  <c r="BB372" i="48"/>
  <c r="AT372" i="48"/>
  <c r="BM372" i="48"/>
  <c r="AS372" i="48"/>
  <c r="AT244" i="48"/>
  <c r="BM244" i="48"/>
  <c r="AS244" i="48"/>
  <c r="BL244" i="48"/>
  <c r="AT68" i="48"/>
  <c r="BM68" i="48"/>
  <c r="AS68" i="48"/>
  <c r="BL68" i="48"/>
  <c r="AT542" i="48"/>
  <c r="BM542" i="48"/>
  <c r="BB542" i="48"/>
  <c r="AS542" i="48"/>
  <c r="BL542" i="48"/>
  <c r="AT195" i="48"/>
  <c r="BM195" i="48"/>
  <c r="AS195" i="48"/>
  <c r="BL195" i="48"/>
  <c r="BL71" i="48"/>
  <c r="AT71" i="48"/>
  <c r="AS71" i="48"/>
  <c r="BM71" i="48"/>
  <c r="BL356" i="48"/>
  <c r="BB356" i="48"/>
  <c r="AT356" i="48"/>
  <c r="BM356" i="48"/>
  <c r="AS356" i="48"/>
  <c r="BM110" i="48"/>
  <c r="BL110" i="48"/>
  <c r="AT110" i="48"/>
  <c r="AS110" i="48"/>
  <c r="BM258" i="48"/>
  <c r="AT258" i="48"/>
  <c r="BL258" i="48"/>
  <c r="AS258" i="48"/>
  <c r="AT216" i="48"/>
  <c r="BM216" i="48"/>
  <c r="AS216" i="48"/>
  <c r="BL216" i="48"/>
  <c r="AT273" i="48"/>
  <c r="BM273" i="48"/>
  <c r="AS273" i="48"/>
  <c r="BL273" i="48"/>
  <c r="BL154" i="48"/>
  <c r="AT154" i="48"/>
  <c r="AS154" i="48"/>
  <c r="BM154" i="48"/>
  <c r="BL404" i="48"/>
  <c r="BB404" i="48"/>
  <c r="AT404" i="48"/>
  <c r="BM404" i="48"/>
  <c r="AS404" i="48"/>
  <c r="BM285" i="48"/>
  <c r="AT285" i="48"/>
  <c r="BL285" i="48"/>
  <c r="AS285" i="48"/>
  <c r="BL117" i="48"/>
  <c r="AS117" i="48"/>
  <c r="BM117" i="48"/>
  <c r="AT117" i="48"/>
  <c r="BB538" i="48"/>
  <c r="AS538" i="48"/>
  <c r="BM538" i="48"/>
  <c r="BL538" i="48"/>
  <c r="AT538" i="48"/>
  <c r="BM281" i="48"/>
  <c r="BL281" i="48"/>
  <c r="AT281" i="48"/>
  <c r="AS281" i="48"/>
  <c r="AS319" i="48"/>
  <c r="BM319" i="48"/>
  <c r="BB319" i="48"/>
  <c r="BL319" i="48"/>
  <c r="AT319" i="48"/>
  <c r="BM299" i="48"/>
  <c r="BL299" i="48"/>
  <c r="AT299" i="48"/>
  <c r="AS299" i="48"/>
  <c r="AC299" i="48" s="1"/>
  <c r="AT375" i="48"/>
  <c r="AS375" i="48"/>
  <c r="AC375" i="48" s="1"/>
  <c r="BC375" i="48" s="1"/>
  <c r="BM375" i="48"/>
  <c r="BB375" i="48"/>
  <c r="BL375" i="48"/>
  <c r="BM255" i="48"/>
  <c r="BL255" i="48"/>
  <c r="AT255" i="48"/>
  <c r="AS255" i="48"/>
  <c r="AT192" i="48"/>
  <c r="BM192" i="48"/>
  <c r="AS192" i="48"/>
  <c r="BL192" i="48"/>
  <c r="BM527" i="48"/>
  <c r="AS527" i="48"/>
  <c r="AB527" i="48" s="1"/>
  <c r="BL527" i="48"/>
  <c r="BB527" i="48"/>
  <c r="AT527" i="48"/>
  <c r="AT76" i="48"/>
  <c r="BM76" i="48"/>
  <c r="AS76" i="48"/>
  <c r="BL76" i="48"/>
  <c r="AT551" i="48"/>
  <c r="BM551" i="48"/>
  <c r="AS551" i="48"/>
  <c r="BL551" i="48"/>
  <c r="BB551" i="48"/>
  <c r="AT514" i="48"/>
  <c r="BB514" i="48"/>
  <c r="AS514" i="48"/>
  <c r="BM514" i="48"/>
  <c r="BL514" i="48"/>
  <c r="BM59" i="48"/>
  <c r="BL59" i="48"/>
  <c r="AT59" i="48"/>
  <c r="AS59" i="48"/>
  <c r="BL369" i="48"/>
  <c r="BB369" i="48"/>
  <c r="AT369" i="48"/>
  <c r="BM369" i="48"/>
  <c r="AS369" i="48"/>
  <c r="BM371" i="48"/>
  <c r="AS371" i="48"/>
  <c r="BL371" i="48"/>
  <c r="BB371" i="48"/>
  <c r="AT371" i="48"/>
  <c r="BM146" i="48"/>
  <c r="AT146" i="48"/>
  <c r="BL146" i="48"/>
  <c r="AS146" i="48"/>
  <c r="BL481" i="48"/>
  <c r="BB481" i="48"/>
  <c r="AT481" i="48"/>
  <c r="BM481" i="48"/>
  <c r="AS481" i="48"/>
  <c r="BL420" i="48"/>
  <c r="BB420" i="48"/>
  <c r="AT420" i="48"/>
  <c r="BM420" i="48"/>
  <c r="AS420" i="48"/>
  <c r="BL340" i="48"/>
  <c r="BB340" i="48"/>
  <c r="AT340" i="48"/>
  <c r="BM340" i="48"/>
  <c r="AS340" i="48"/>
  <c r="AT184" i="48"/>
  <c r="BM184" i="48"/>
  <c r="AS184" i="48"/>
  <c r="BL184" i="48"/>
  <c r="BM61" i="48"/>
  <c r="BL61" i="48"/>
  <c r="AT61" i="48"/>
  <c r="AS61" i="48"/>
  <c r="AS217" i="48"/>
  <c r="BM217" i="48"/>
  <c r="BL217" i="48"/>
  <c r="AT217" i="48"/>
  <c r="BM547" i="48"/>
  <c r="AS547" i="48"/>
  <c r="BL547" i="48"/>
  <c r="BB547" i="48"/>
  <c r="AT547" i="48"/>
  <c r="BL111" i="48"/>
  <c r="AT111" i="48"/>
  <c r="BM111" i="48"/>
  <c r="AS111" i="48"/>
  <c r="BB392" i="48"/>
  <c r="AT392" i="48"/>
  <c r="BM392" i="48"/>
  <c r="AS392" i="48"/>
  <c r="BL392" i="48"/>
  <c r="AT108" i="48"/>
  <c r="BM108" i="48"/>
  <c r="AS108" i="48"/>
  <c r="BL108" i="48"/>
  <c r="BM198" i="48"/>
  <c r="BL198" i="48"/>
  <c r="AT198" i="48"/>
  <c r="AS198" i="48"/>
  <c r="BM201" i="48"/>
  <c r="BL201" i="48"/>
  <c r="AT201" i="48"/>
  <c r="AS201" i="48"/>
  <c r="AT523" i="48"/>
  <c r="AS523" i="48"/>
  <c r="BM523" i="48"/>
  <c r="BB523" i="48"/>
  <c r="BL523" i="48"/>
  <c r="AS406" i="48"/>
  <c r="BB406" i="48"/>
  <c r="BM406" i="48"/>
  <c r="BL406" i="48"/>
  <c r="AT406" i="48"/>
  <c r="AT252" i="48"/>
  <c r="BM252" i="48"/>
  <c r="AS252" i="48"/>
  <c r="BL252" i="48"/>
  <c r="BM368" i="48"/>
  <c r="AS368" i="48"/>
  <c r="BL368" i="48"/>
  <c r="BB368" i="48"/>
  <c r="AT368" i="48"/>
  <c r="AT142" i="48"/>
  <c r="AS142" i="48"/>
  <c r="BM142" i="48"/>
  <c r="BL142" i="48"/>
  <c r="BL229" i="48"/>
  <c r="AS229" i="48"/>
  <c r="BM229" i="48"/>
  <c r="AT229" i="48"/>
  <c r="BM254" i="48"/>
  <c r="BL254" i="48"/>
  <c r="AT254" i="48"/>
  <c r="AS254" i="48"/>
  <c r="BL93" i="48"/>
  <c r="AT93" i="48"/>
  <c r="AS93" i="48"/>
  <c r="BM93" i="48"/>
  <c r="AS431" i="48"/>
  <c r="BM431" i="48"/>
  <c r="BB431" i="48"/>
  <c r="BL431" i="48"/>
  <c r="AT431" i="48"/>
  <c r="AT442" i="48"/>
  <c r="BB442" i="48"/>
  <c r="AS442" i="48"/>
  <c r="BM442" i="48"/>
  <c r="BL442" i="48"/>
  <c r="AT499" i="48"/>
  <c r="BM499" i="48"/>
  <c r="AS499" i="48"/>
  <c r="BL499" i="48"/>
  <c r="BB499" i="48"/>
  <c r="AT225" i="48"/>
  <c r="BM225" i="48"/>
  <c r="AS225" i="48"/>
  <c r="BL225" i="48"/>
  <c r="BM294" i="48"/>
  <c r="BL294" i="48"/>
  <c r="AT294" i="48"/>
  <c r="AS294" i="48"/>
  <c r="BM561" i="48"/>
  <c r="AT561" i="48"/>
  <c r="BL561" i="48"/>
  <c r="AS561" i="48"/>
  <c r="BB561" i="48"/>
  <c r="BB2031" i="48"/>
  <c r="AT2031" i="48"/>
  <c r="AS2031" i="48"/>
  <c r="BM2031" i="48"/>
  <c r="BL2031" i="48"/>
  <c r="BB1273" i="48"/>
  <c r="BM1273" i="48"/>
  <c r="AT1273" i="48"/>
  <c r="BL1273" i="48"/>
  <c r="AS1273" i="48"/>
  <c r="AT796" i="48"/>
  <c r="AS796" i="48"/>
  <c r="BM796" i="48"/>
  <c r="BL796" i="48"/>
  <c r="BB796" i="48"/>
  <c r="AS587" i="48"/>
  <c r="BB587" i="48"/>
  <c r="BM587" i="48"/>
  <c r="BL587" i="48"/>
  <c r="AT587" i="48"/>
  <c r="BL753" i="48"/>
  <c r="AS753" i="48"/>
  <c r="BB753" i="48"/>
  <c r="BM753" i="48"/>
  <c r="AT753" i="48"/>
  <c r="BM1373" i="48"/>
  <c r="BL1373" i="48"/>
  <c r="BB1373" i="48"/>
  <c r="AT1373" i="48"/>
  <c r="AS1373" i="48"/>
  <c r="BM1745" i="48"/>
  <c r="BL1745" i="48"/>
  <c r="AT1745" i="48"/>
  <c r="BB1745" i="48"/>
  <c r="AS1745" i="48"/>
  <c r="BL1269" i="48"/>
  <c r="AS1269" i="48"/>
  <c r="BB1269" i="48"/>
  <c r="BM1269" i="48"/>
  <c r="AT1269" i="48"/>
  <c r="BL1317" i="48"/>
  <c r="AS1317" i="48"/>
  <c r="BB1317" i="48"/>
  <c r="BM1317" i="48"/>
  <c r="AT1317" i="48"/>
  <c r="BM752" i="48"/>
  <c r="BB752" i="48"/>
  <c r="BL752" i="48"/>
  <c r="AT752" i="48"/>
  <c r="AS752" i="48"/>
  <c r="BM931" i="48"/>
  <c r="BL931" i="48"/>
  <c r="AT931" i="48"/>
  <c r="AS931" i="48"/>
  <c r="BB931" i="48"/>
  <c r="BB1586" i="48"/>
  <c r="AS1586" i="48"/>
  <c r="BM1586" i="48"/>
  <c r="BL1586" i="48"/>
  <c r="AT1586" i="48"/>
  <c r="AT1957" i="48"/>
  <c r="BB1957" i="48"/>
  <c r="AS1957" i="48"/>
  <c r="BM1957" i="48"/>
  <c r="BL1957" i="48"/>
  <c r="BL1859" i="48"/>
  <c r="AS1859" i="48"/>
  <c r="BB1859" i="48"/>
  <c r="AT1859" i="48"/>
  <c r="BM1859" i="48"/>
  <c r="BB1292" i="48"/>
  <c r="AT1292" i="48"/>
  <c r="BM1292" i="48"/>
  <c r="AS1292" i="48"/>
  <c r="BL1292" i="48"/>
  <c r="BL1408" i="48"/>
  <c r="AT1408" i="48"/>
  <c r="AS1408" i="48"/>
  <c r="BB1408" i="48"/>
  <c r="BM1408" i="48"/>
  <c r="BM1157" i="48"/>
  <c r="BB1157" i="48"/>
  <c r="AT1157" i="48"/>
  <c r="AS1157" i="48"/>
  <c r="AC1157" i="48" s="1"/>
  <c r="BC1157" i="48" s="1"/>
  <c r="BL1157" i="48"/>
  <c r="BB1484" i="48"/>
  <c r="AS1484" i="48"/>
  <c r="BM1484" i="48"/>
  <c r="BL1484" i="48"/>
  <c r="AT1484" i="48"/>
  <c r="AS1631" i="48"/>
  <c r="BM1631" i="48"/>
  <c r="BB1631" i="48"/>
  <c r="BL1631" i="48"/>
  <c r="AT1631" i="48"/>
  <c r="AS717" i="48"/>
  <c r="BB717" i="48"/>
  <c r="BM717" i="48"/>
  <c r="BL717" i="48"/>
  <c r="AT717" i="48"/>
  <c r="BL1839" i="48"/>
  <c r="AT1839" i="48"/>
  <c r="BB1839" i="48"/>
  <c r="AS1839" i="48"/>
  <c r="BM1839" i="48"/>
  <c r="BB743" i="48"/>
  <c r="AT743" i="48"/>
  <c r="BM743" i="48"/>
  <c r="AS743" i="48"/>
  <c r="BL743" i="48"/>
  <c r="BL1681" i="48"/>
  <c r="BB1681" i="48"/>
  <c r="AT1681" i="48"/>
  <c r="BM1681" i="48"/>
  <c r="AS1681" i="48"/>
  <c r="BL1905" i="48"/>
  <c r="AT1905" i="48"/>
  <c r="BM1905" i="48"/>
  <c r="AS1905" i="48"/>
  <c r="BB1905" i="48"/>
  <c r="BB803" i="48"/>
  <c r="BM803" i="48"/>
  <c r="BL803" i="48"/>
  <c r="AT803" i="48"/>
  <c r="AS803" i="48"/>
  <c r="BM1499" i="48"/>
  <c r="AT1499" i="48"/>
  <c r="BL1499" i="48"/>
  <c r="AS1499" i="48"/>
  <c r="BB1499" i="48"/>
  <c r="AT631" i="48"/>
  <c r="BB631" i="48"/>
  <c r="AS631" i="48"/>
  <c r="BM631" i="48"/>
  <c r="BL631" i="48"/>
  <c r="AS1433" i="48"/>
  <c r="BM1433" i="48"/>
  <c r="BB1433" i="48"/>
  <c r="BL1433" i="48"/>
  <c r="AT1433" i="48"/>
  <c r="BB1797" i="48"/>
  <c r="BM1797" i="48"/>
  <c r="AS1797" i="48"/>
  <c r="BL1797" i="48"/>
  <c r="AT1797" i="48"/>
  <c r="BL1243" i="48"/>
  <c r="AT1243" i="48"/>
  <c r="AS1243" i="48"/>
  <c r="BM1243" i="48"/>
  <c r="BB1243" i="48"/>
  <c r="BM1118" i="48"/>
  <c r="BL1118" i="48"/>
  <c r="AT1118" i="48"/>
  <c r="AS1118" i="48"/>
  <c r="BB1118" i="48"/>
  <c r="BM1625" i="48"/>
  <c r="AT1625" i="48"/>
  <c r="BL1625" i="48"/>
  <c r="AS1625" i="48"/>
  <c r="BB1625" i="48"/>
  <c r="BL1130" i="48"/>
  <c r="AT1130" i="48"/>
  <c r="BB1130" i="48"/>
  <c r="AS1130" i="48"/>
  <c r="BM1130" i="48"/>
  <c r="AS755" i="48"/>
  <c r="BB755" i="48"/>
  <c r="BM755" i="48"/>
  <c r="BL755" i="48"/>
  <c r="AT755" i="48"/>
  <c r="AS1337" i="48"/>
  <c r="BM1337" i="48"/>
  <c r="BL1337" i="48"/>
  <c r="BB1337" i="48"/>
  <c r="AT1337" i="48"/>
  <c r="BB1260" i="48"/>
  <c r="AT1260" i="48"/>
  <c r="BM1260" i="48"/>
  <c r="AS1260" i="48"/>
  <c r="BL1260" i="48"/>
  <c r="BB1846" i="48"/>
  <c r="BM1846" i="48"/>
  <c r="BL1846" i="48"/>
  <c r="AT1846" i="48"/>
  <c r="AS1846" i="48"/>
  <c r="AC1846" i="48" s="1"/>
  <c r="BC1846" i="48" s="1"/>
  <c r="BB783" i="48"/>
  <c r="AS783" i="48"/>
  <c r="BM783" i="48"/>
  <c r="BL783" i="48"/>
  <c r="AT783" i="48"/>
  <c r="BL720" i="48"/>
  <c r="AT720" i="48"/>
  <c r="AS720" i="48"/>
  <c r="BM720" i="48"/>
  <c r="BB720" i="48"/>
  <c r="BL721" i="48"/>
  <c r="AT721" i="48"/>
  <c r="AS721" i="48"/>
  <c r="BM721" i="48"/>
  <c r="BB721" i="48"/>
  <c r="BL1736" i="48"/>
  <c r="BB1736" i="48"/>
  <c r="AT1736" i="48"/>
  <c r="BM1736" i="48"/>
  <c r="AS1736" i="48"/>
  <c r="AT2037" i="48"/>
  <c r="BM2037" i="48"/>
  <c r="AS2037" i="48"/>
  <c r="BL2037" i="48"/>
  <c r="BB2037" i="48"/>
  <c r="BM2040" i="48"/>
  <c r="AT2040" i="48"/>
  <c r="BL2040" i="48"/>
  <c r="AS2040" i="48"/>
  <c r="BB2040" i="48"/>
  <c r="BL654" i="48"/>
  <c r="AS654" i="48"/>
  <c r="BB654" i="48"/>
  <c r="BM654" i="48"/>
  <c r="AT654" i="48"/>
  <c r="AT677" i="48"/>
  <c r="AS677" i="48"/>
  <c r="BM677" i="48"/>
  <c r="BB677" i="48"/>
  <c r="BL677" i="48"/>
  <c r="BM1759" i="48"/>
  <c r="BB1759" i="48"/>
  <c r="AT1759" i="48"/>
  <c r="BL1759" i="48"/>
  <c r="AS1759" i="48"/>
  <c r="BB1201" i="48"/>
  <c r="BM1201" i="48"/>
  <c r="AT1201" i="48"/>
  <c r="BL1201" i="48"/>
  <c r="AS1201" i="48"/>
  <c r="BM1684" i="48"/>
  <c r="AT1684" i="48"/>
  <c r="BL1684" i="48"/>
  <c r="AS1684" i="48"/>
  <c r="BB1684" i="48"/>
  <c r="BM1363" i="48"/>
  <c r="BB1363" i="48"/>
  <c r="BL1363" i="48"/>
  <c r="AT1363" i="48"/>
  <c r="AS1363" i="48"/>
  <c r="BM1232" i="48"/>
  <c r="AS1232" i="48"/>
  <c r="AT1232" i="48"/>
  <c r="BL1232" i="48"/>
  <c r="BB1232" i="48"/>
  <c r="AT1505" i="48"/>
  <c r="BM1505" i="48"/>
  <c r="AS1505" i="48"/>
  <c r="AC1505" i="48" s="1"/>
  <c r="BC1505" i="48" s="1"/>
  <c r="BL1505" i="48"/>
  <c r="BB1505" i="48"/>
  <c r="BM1056" i="48"/>
  <c r="BB1056" i="48"/>
  <c r="BL1056" i="48"/>
  <c r="AT1056" i="48"/>
  <c r="AS1056" i="48"/>
  <c r="BM909" i="48"/>
  <c r="BB909" i="48"/>
  <c r="AT909" i="48"/>
  <c r="BL909" i="48"/>
  <c r="AS909" i="48"/>
  <c r="BM615" i="48"/>
  <c r="BL615" i="48"/>
  <c r="AT615" i="48"/>
  <c r="BB615" i="48"/>
  <c r="AS615" i="48"/>
  <c r="AS1060" i="48"/>
  <c r="BM1060" i="48"/>
  <c r="BB1060" i="48"/>
  <c r="BL1060" i="48"/>
  <c r="AT1060" i="48"/>
  <c r="BM1389" i="48"/>
  <c r="BB1389" i="48"/>
  <c r="BL1389" i="48"/>
  <c r="AS1389" i="48"/>
  <c r="AT1389" i="48"/>
  <c r="BB1752" i="48"/>
  <c r="AT1752" i="48"/>
  <c r="BM1752" i="48"/>
  <c r="AS1752" i="48"/>
  <c r="BL1752" i="48"/>
  <c r="AT1871" i="48"/>
  <c r="BB1871" i="48"/>
  <c r="AS1871" i="48"/>
  <c r="BM1871" i="48"/>
  <c r="BL1871" i="48"/>
  <c r="BL1520" i="48"/>
  <c r="AS1520" i="48"/>
  <c r="BB1520" i="48"/>
  <c r="BM1520" i="48"/>
  <c r="AT1520" i="48"/>
  <c r="BL1128" i="48"/>
  <c r="AT1128" i="48"/>
  <c r="AS1128" i="48"/>
  <c r="BM1128" i="48"/>
  <c r="BB1128" i="48"/>
  <c r="BB1749" i="48"/>
  <c r="AS1749" i="48"/>
  <c r="BM1749" i="48"/>
  <c r="BL1749" i="48"/>
  <c r="AT1749" i="48"/>
  <c r="AT960" i="48"/>
  <c r="AS960" i="48"/>
  <c r="BM960" i="48"/>
  <c r="BB960" i="48"/>
  <c r="BL960" i="48"/>
  <c r="AT1651" i="48"/>
  <c r="AS1651" i="48"/>
  <c r="BM1651" i="48"/>
  <c r="BB1651" i="48"/>
  <c r="BL1651" i="48"/>
  <c r="AS1164" i="48"/>
  <c r="AC1164" i="48" s="1"/>
  <c r="BC1164" i="48" s="1"/>
  <c r="BB1164" i="48"/>
  <c r="BM1164" i="48"/>
  <c r="BL1164" i="48"/>
  <c r="AT1164" i="48"/>
  <c r="BM1882" i="48"/>
  <c r="AT1882" i="48"/>
  <c r="AS1882" i="48"/>
  <c r="BL1882" i="48"/>
  <c r="BB1882" i="48"/>
  <c r="BM1972" i="48"/>
  <c r="BL1972" i="48"/>
  <c r="BB1972" i="48"/>
  <c r="AT1972" i="48"/>
  <c r="AS1972" i="48"/>
  <c r="BM857" i="48"/>
  <c r="AS857" i="48"/>
  <c r="BL857" i="48"/>
  <c r="BB857" i="48"/>
  <c r="AT857" i="48"/>
  <c r="BM1280" i="48"/>
  <c r="AS1280" i="48"/>
  <c r="AC1280" i="48" s="1"/>
  <c r="BC1280" i="48" s="1"/>
  <c r="BL1280" i="48"/>
  <c r="BB1280" i="48"/>
  <c r="AT1280" i="48"/>
  <c r="AT1295" i="48"/>
  <c r="AS1295" i="48"/>
  <c r="AC1295" i="48" s="1"/>
  <c r="BC1295" i="48" s="1"/>
  <c r="BM1295" i="48"/>
  <c r="BB1295" i="48"/>
  <c r="BL1295" i="48"/>
  <c r="AS676" i="48"/>
  <c r="BM676" i="48"/>
  <c r="BB676" i="48"/>
  <c r="BL676" i="48"/>
  <c r="AT676" i="48"/>
  <c r="AT1903" i="48"/>
  <c r="BB1903" i="48"/>
  <c r="AS1903" i="48"/>
  <c r="AB1903" i="48" s="1"/>
  <c r="BM1903" i="48"/>
  <c r="BL1903" i="48"/>
  <c r="BM1862" i="48"/>
  <c r="AT1862" i="48"/>
  <c r="BL1862" i="48"/>
  <c r="AS1862" i="48"/>
  <c r="BB1862" i="48"/>
  <c r="BB1825" i="48"/>
  <c r="AS1825" i="48"/>
  <c r="BM1825" i="48"/>
  <c r="BL1825" i="48"/>
  <c r="AT1825" i="48"/>
  <c r="BM1033" i="48"/>
  <c r="AS1033" i="48"/>
  <c r="BL1033" i="48"/>
  <c r="BB1033" i="48"/>
  <c r="AT1033" i="48"/>
  <c r="BB1494" i="48"/>
  <c r="AT1494" i="48"/>
  <c r="BM1494" i="48"/>
  <c r="AS1494" i="48"/>
  <c r="BL1494" i="48"/>
  <c r="BB903" i="48"/>
  <c r="AS903" i="48"/>
  <c r="BM903" i="48"/>
  <c r="BL903" i="48"/>
  <c r="AT903" i="48"/>
  <c r="BM1140" i="48"/>
  <c r="BB1140" i="48"/>
  <c r="BL1140" i="48"/>
  <c r="AT1140" i="48"/>
  <c r="AS1140" i="48"/>
  <c r="BM1399" i="48"/>
  <c r="AT1399" i="48"/>
  <c r="BL1399" i="48"/>
  <c r="AS1399" i="48"/>
  <c r="BB1399" i="48"/>
  <c r="BM894" i="48"/>
  <c r="AT894" i="48"/>
  <c r="BL894" i="48"/>
  <c r="AS894" i="48"/>
  <c r="BB894" i="48"/>
  <c r="BB893" i="48"/>
  <c r="AT893" i="48"/>
  <c r="BM893" i="48"/>
  <c r="AS893" i="48"/>
  <c r="BL893" i="48"/>
  <c r="BM649" i="48"/>
  <c r="AT649" i="48"/>
  <c r="BL649" i="48"/>
  <c r="AS649" i="48"/>
  <c r="BB649" i="48"/>
  <c r="AS2000" i="48"/>
  <c r="BB2000" i="48"/>
  <c r="BM2000" i="48"/>
  <c r="BL2000" i="48"/>
  <c r="AT2000" i="48"/>
  <c r="AS740" i="48"/>
  <c r="BM740" i="48"/>
  <c r="BB740" i="48"/>
  <c r="BL740" i="48"/>
  <c r="AT740" i="48"/>
  <c r="BB669" i="48"/>
  <c r="BM669" i="48"/>
  <c r="BL669" i="48"/>
  <c r="AT669" i="48"/>
  <c r="AS669" i="48"/>
  <c r="BL1479" i="48"/>
  <c r="AS1479" i="48"/>
  <c r="BB1479" i="48"/>
  <c r="BM1479" i="48"/>
  <c r="AT1479" i="48"/>
  <c r="BL700" i="48"/>
  <c r="BB700" i="48"/>
  <c r="AT700" i="48"/>
  <c r="AS700" i="48"/>
  <c r="AB700" i="48" s="1"/>
  <c r="BM700" i="48"/>
  <c r="BB1325" i="48"/>
  <c r="BM1325" i="48"/>
  <c r="AT1325" i="48"/>
  <c r="BL1325" i="48"/>
  <c r="AS1325" i="48"/>
  <c r="BL1126" i="48"/>
  <c r="BB1126" i="48"/>
  <c r="AT1126" i="48"/>
  <c r="BM1126" i="48"/>
  <c r="AS1126" i="48"/>
  <c r="BL1546" i="48"/>
  <c r="AT1546" i="48"/>
  <c r="AS1546" i="48"/>
  <c r="BB1546" i="48"/>
  <c r="BM1546" i="48"/>
  <c r="BL1571" i="48"/>
  <c r="AT1571" i="48"/>
  <c r="AS1571" i="48"/>
  <c r="BM1571" i="48"/>
  <c r="BB1571" i="48"/>
  <c r="AT1904" i="48"/>
  <c r="AS1904" i="48"/>
  <c r="AB1904" i="48" s="1"/>
  <c r="BM1904" i="48"/>
  <c r="BL1904" i="48"/>
  <c r="BB1904" i="48"/>
  <c r="AT1282" i="48"/>
  <c r="BB1282" i="48"/>
  <c r="AS1282" i="48"/>
  <c r="BM1282" i="48"/>
  <c r="BL1282" i="48"/>
  <c r="BL1615" i="48"/>
  <c r="AT1615" i="48"/>
  <c r="AS1615" i="48"/>
  <c r="BM1615" i="48"/>
  <c r="BB1615" i="48"/>
  <c r="BL584" i="48"/>
  <c r="AT584" i="48"/>
  <c r="AS584" i="48"/>
  <c r="BM584" i="48"/>
  <c r="BB584" i="48"/>
  <c r="BM1712" i="48"/>
  <c r="BL1712" i="48"/>
  <c r="AT1712" i="48"/>
  <c r="AS1712" i="48"/>
  <c r="BB1712" i="48"/>
  <c r="BL1914" i="48"/>
  <c r="AS1914" i="48"/>
  <c r="AC1914" i="48" s="1"/>
  <c r="BC1914" i="48" s="1"/>
  <c r="BB1914" i="48"/>
  <c r="BM1914" i="48"/>
  <c r="AT1914" i="48"/>
  <c r="BM1577" i="48"/>
  <c r="AT1577" i="48"/>
  <c r="BL1577" i="48"/>
  <c r="AS1577" i="48"/>
  <c r="BB1577" i="48"/>
  <c r="BL1258" i="48"/>
  <c r="AT1258" i="48"/>
  <c r="BB1258" i="48"/>
  <c r="AS1258" i="48"/>
  <c r="BM1258" i="48"/>
  <c r="BM1066" i="48"/>
  <c r="AT1066" i="48"/>
  <c r="BL1066" i="48"/>
  <c r="AS1066" i="48"/>
  <c r="BB1066" i="48"/>
  <c r="AT1925" i="48"/>
  <c r="BM1925" i="48"/>
  <c r="BL1925" i="48"/>
  <c r="AS1925" i="48"/>
  <c r="BB1925" i="48"/>
  <c r="BL1134" i="48"/>
  <c r="AT1134" i="48"/>
  <c r="BB1134" i="48"/>
  <c r="AS1134" i="48"/>
  <c r="BM1134" i="48"/>
  <c r="AS1864" i="48"/>
  <c r="BM1864" i="48"/>
  <c r="BB1864" i="48"/>
  <c r="BL1864" i="48"/>
  <c r="AT1864" i="48"/>
  <c r="BB935" i="48"/>
  <c r="AS935" i="48"/>
  <c r="BM935" i="48"/>
  <c r="BL935" i="48"/>
  <c r="AT935" i="48"/>
  <c r="BL744" i="48"/>
  <c r="AT744" i="48"/>
  <c r="AS744" i="48"/>
  <c r="BM744" i="48"/>
  <c r="BB744" i="48"/>
  <c r="BL1598" i="48"/>
  <c r="AT1598" i="48"/>
  <c r="BB1598" i="48"/>
  <c r="AS1598" i="48"/>
  <c r="AB1598" i="48" s="1"/>
  <c r="BM1598" i="48"/>
  <c r="BL1185" i="48"/>
  <c r="AS1185" i="48"/>
  <c r="BB1185" i="48"/>
  <c r="AT1185" i="48"/>
  <c r="BM1185" i="48"/>
  <c r="BM1012" i="48"/>
  <c r="BB1012" i="48"/>
  <c r="BL1012" i="48"/>
  <c r="AT1012" i="48"/>
  <c r="AS1012" i="48"/>
  <c r="AT1332" i="48"/>
  <c r="BB1332" i="48"/>
  <c r="AS1332" i="48"/>
  <c r="BM1332" i="48"/>
  <c r="BL1332" i="48"/>
  <c r="BL1291" i="48"/>
  <c r="AT1291" i="48"/>
  <c r="AS1291" i="48"/>
  <c r="BM1291" i="48"/>
  <c r="BB1291" i="48"/>
  <c r="BL1800" i="48"/>
  <c r="AS1800" i="48"/>
  <c r="BB1800" i="48"/>
  <c r="BM1800" i="48"/>
  <c r="AT1800" i="48"/>
  <c r="AT797" i="48"/>
  <c r="AS797" i="48"/>
  <c r="BM797" i="48"/>
  <c r="BB797" i="48"/>
  <c r="BL797" i="48"/>
  <c r="BL644" i="48"/>
  <c r="BB644" i="48"/>
  <c r="AT644" i="48"/>
  <c r="AS644" i="48"/>
  <c r="BM644" i="48"/>
  <c r="AT1020" i="48"/>
  <c r="BM1020" i="48"/>
  <c r="AS1020" i="48"/>
  <c r="BL1020" i="48"/>
  <c r="BB1020" i="48"/>
  <c r="BB1398" i="48"/>
  <c r="AT1398" i="48"/>
  <c r="BM1398" i="48"/>
  <c r="AS1398" i="48"/>
  <c r="BL1398" i="48"/>
  <c r="BM1659" i="48"/>
  <c r="BB1659" i="48"/>
  <c r="BL1659" i="48"/>
  <c r="AT1659" i="48"/>
  <c r="AS1659" i="48"/>
  <c r="BM1929" i="48"/>
  <c r="AS1929" i="48"/>
  <c r="BL1929" i="48"/>
  <c r="BB1929" i="48"/>
  <c r="AT1929" i="48"/>
  <c r="AS749" i="48"/>
  <c r="BB749" i="48"/>
  <c r="BM749" i="48"/>
  <c r="BL749" i="48"/>
  <c r="AT749" i="48"/>
  <c r="BL742" i="48"/>
  <c r="AT742" i="48"/>
  <c r="BB742" i="48"/>
  <c r="AS742" i="48"/>
  <c r="BM742" i="48"/>
  <c r="BM1656" i="48"/>
  <c r="BL1656" i="48"/>
  <c r="AT1656" i="48"/>
  <c r="BB1656" i="48"/>
  <c r="AS1656" i="48"/>
  <c r="AT1234" i="48"/>
  <c r="BM1234" i="48"/>
  <c r="BB1234" i="48"/>
  <c r="AS1234" i="48"/>
  <c r="BL1234" i="48"/>
  <c r="AT1852" i="48"/>
  <c r="AS1852" i="48"/>
  <c r="BB1852" i="48"/>
  <c r="BM1852" i="48"/>
  <c r="BL1852" i="48"/>
  <c r="AT1351" i="48"/>
  <c r="AS1351" i="48"/>
  <c r="BM1351" i="48"/>
  <c r="BB1351" i="48"/>
  <c r="BL1351" i="48"/>
  <c r="BB1685" i="48"/>
  <c r="BM1685" i="48"/>
  <c r="AT1685" i="48"/>
  <c r="AS1685" i="48"/>
  <c r="BL1685" i="48"/>
  <c r="BM928" i="48"/>
  <c r="BB928" i="48"/>
  <c r="BL928" i="48"/>
  <c r="AT928" i="48"/>
  <c r="AS928" i="48"/>
  <c r="BM1911" i="48"/>
  <c r="AT1911" i="48"/>
  <c r="BL1911" i="48"/>
  <c r="AS1911" i="48"/>
  <c r="BB1911" i="48"/>
  <c r="BM1427" i="48"/>
  <c r="AT1427" i="48"/>
  <c r="BL1427" i="48"/>
  <c r="AS1427" i="48"/>
  <c r="AB1427" i="48" s="1"/>
  <c r="BB1427" i="48"/>
  <c r="BL1597" i="48"/>
  <c r="AS1597" i="48"/>
  <c r="BB1597" i="48"/>
  <c r="BM1597" i="48"/>
  <c r="AT1597" i="48"/>
  <c r="BL1410" i="48"/>
  <c r="BB1410" i="48"/>
  <c r="AT1410" i="48"/>
  <c r="BM1410" i="48"/>
  <c r="AS1410" i="48"/>
  <c r="BM1735" i="48"/>
  <c r="BB1735" i="48"/>
  <c r="AT1735" i="48"/>
  <c r="BL1735" i="48"/>
  <c r="AS1735" i="48"/>
  <c r="BM1976" i="48"/>
  <c r="BB1976" i="48"/>
  <c r="BL1976" i="48"/>
  <c r="AT1976" i="48"/>
  <c r="AS1976" i="48"/>
  <c r="BL1049" i="48"/>
  <c r="BB1049" i="48"/>
  <c r="AT1049" i="48"/>
  <c r="BM1049" i="48"/>
  <c r="AS1049" i="48"/>
  <c r="BL1590" i="48"/>
  <c r="AT1590" i="48"/>
  <c r="BB1590" i="48"/>
  <c r="AS1590" i="48"/>
  <c r="BM1590" i="48"/>
  <c r="BL1430" i="48"/>
  <c r="BB1430" i="48"/>
  <c r="AT1430" i="48"/>
  <c r="BM1430" i="48"/>
  <c r="AS1430" i="48"/>
  <c r="AC1430" i="48" s="1"/>
  <c r="BC1430" i="48" s="1"/>
  <c r="BL1700" i="48"/>
  <c r="BB1700" i="48"/>
  <c r="AT1700" i="48"/>
  <c r="AS1700" i="48"/>
  <c r="BM1700" i="48"/>
  <c r="AT1958" i="48"/>
  <c r="AS1958" i="48"/>
  <c r="BB1958" i="48"/>
  <c r="BM1958" i="48"/>
  <c r="BL1958" i="48"/>
  <c r="BM598" i="48"/>
  <c r="BL598" i="48"/>
  <c r="AT598" i="48"/>
  <c r="AS598" i="48"/>
  <c r="BB598" i="48"/>
  <c r="BL1476" i="48"/>
  <c r="AT1476" i="48"/>
  <c r="BB1476" i="48"/>
  <c r="AS1476" i="48"/>
  <c r="AC1476" i="48" s="1"/>
  <c r="BC1476" i="48" s="1"/>
  <c r="BM1476" i="48"/>
  <c r="AT1457" i="48"/>
  <c r="BM1457" i="48"/>
  <c r="AS1457" i="48"/>
  <c r="BL1457" i="48"/>
  <c r="BB1457" i="48"/>
  <c r="BB1613" i="48"/>
  <c r="BM1613" i="48"/>
  <c r="AT1613" i="48"/>
  <c r="BL1613" i="48"/>
  <c r="AS1613" i="48"/>
  <c r="BL1842" i="48"/>
  <c r="AS1842" i="48"/>
  <c r="BB1842" i="48"/>
  <c r="BM1842" i="48"/>
  <c r="AT1842" i="48"/>
  <c r="BM559" i="48"/>
  <c r="AS559" i="48"/>
  <c r="BL559" i="48"/>
  <c r="BB559" i="48"/>
  <c r="AT559" i="48"/>
  <c r="BM879" i="48"/>
  <c r="BL879" i="48"/>
  <c r="AT879" i="48"/>
  <c r="BB879" i="48"/>
  <c r="AS879" i="48"/>
  <c r="AB879" i="48" s="1"/>
  <c r="BM1425" i="48"/>
  <c r="BB1425" i="48"/>
  <c r="BL1425" i="48"/>
  <c r="AT1425" i="48"/>
  <c r="AS1425" i="48"/>
  <c r="AT1896" i="48"/>
  <c r="AS1896" i="48"/>
  <c r="BB1896" i="48"/>
  <c r="BM1896" i="48"/>
  <c r="BL1896" i="48"/>
  <c r="BM1535" i="48"/>
  <c r="BB1535" i="48"/>
  <c r="BL1535" i="48"/>
  <c r="AT1535" i="48"/>
  <c r="AS1535" i="48"/>
  <c r="BL1890" i="48"/>
  <c r="AS1890" i="48"/>
  <c r="BB1890" i="48"/>
  <c r="BM1890" i="48"/>
  <c r="AT1890" i="48"/>
  <c r="AT1087" i="48"/>
  <c r="BB1087" i="48"/>
  <c r="AS1087" i="48"/>
  <c r="AB1087" i="48" s="1"/>
  <c r="BM1087" i="48"/>
  <c r="BL1087" i="48"/>
  <c r="BM1453" i="48"/>
  <c r="BB1453" i="48"/>
  <c r="BL1453" i="48"/>
  <c r="AT1453" i="48"/>
  <c r="AS1453" i="48"/>
  <c r="BM1160" i="48"/>
  <c r="AS1160" i="48"/>
  <c r="BL1160" i="48"/>
  <c r="BB1160" i="48"/>
  <c r="AT1160" i="48"/>
  <c r="AS1199" i="48"/>
  <c r="BM1199" i="48"/>
  <c r="BB1199" i="48"/>
  <c r="BL1199" i="48"/>
  <c r="AT1199" i="48"/>
  <c r="BL606" i="48"/>
  <c r="AS606" i="48"/>
  <c r="BB606" i="48"/>
  <c r="BM606" i="48"/>
  <c r="AT606" i="48"/>
  <c r="BM1710" i="48"/>
  <c r="BB1710" i="48"/>
  <c r="BL1710" i="48"/>
  <c r="AT1710" i="48"/>
  <c r="AS1710" i="48"/>
  <c r="BM658" i="48"/>
  <c r="AT658" i="48"/>
  <c r="BL658" i="48"/>
  <c r="AS658" i="48"/>
  <c r="BB658" i="48"/>
  <c r="BB1065" i="48"/>
  <c r="AT1065" i="48"/>
  <c r="BM1065" i="48"/>
  <c r="AS1065" i="48"/>
  <c r="BL1065" i="48"/>
  <c r="AS789" i="48"/>
  <c r="BM789" i="48"/>
  <c r="BB789" i="48"/>
  <c r="BL789" i="48"/>
  <c r="AT789" i="48"/>
  <c r="BL1229" i="48"/>
  <c r="AS1229" i="48"/>
  <c r="BB1229" i="48"/>
  <c r="AT1229" i="48"/>
  <c r="BM1229" i="48"/>
  <c r="BL1414" i="48"/>
  <c r="BB1414" i="48"/>
  <c r="AT1414" i="48"/>
  <c r="BM1414" i="48"/>
  <c r="AS1414" i="48"/>
  <c r="BL666" i="48"/>
  <c r="AS666" i="48"/>
  <c r="BB666" i="48"/>
  <c r="BM666" i="48"/>
  <c r="AT666" i="48"/>
  <c r="BL1705" i="48"/>
  <c r="AT1705" i="48"/>
  <c r="AS1705" i="48"/>
  <c r="AC1705" i="48" s="1"/>
  <c r="BC1705" i="48" s="1"/>
  <c r="BM1705" i="48"/>
  <c r="BB1705" i="48"/>
  <c r="AT1203" i="48"/>
  <c r="AS1203" i="48"/>
  <c r="BM1203" i="48"/>
  <c r="BB1203" i="48"/>
  <c r="BL1203" i="48"/>
  <c r="AT741" i="48"/>
  <c r="AS741" i="48"/>
  <c r="AC741" i="48" s="1"/>
  <c r="BC741" i="48" s="1"/>
  <c r="BM741" i="48"/>
  <c r="BB741" i="48"/>
  <c r="BL741" i="48"/>
  <c r="BB1374" i="48"/>
  <c r="BM1374" i="48"/>
  <c r="BL1374" i="48"/>
  <c r="AT1374" i="48"/>
  <c r="AS1374" i="48"/>
  <c r="BB1720" i="48"/>
  <c r="AT1720" i="48"/>
  <c r="AS1720" i="48"/>
  <c r="BM1720" i="48"/>
  <c r="BL1720" i="48"/>
  <c r="BB2004" i="48"/>
  <c r="AT2004" i="48"/>
  <c r="BM2004" i="48"/>
  <c r="AS2004" i="48"/>
  <c r="BL2004" i="48"/>
  <c r="BM1886" i="48"/>
  <c r="AT1886" i="48"/>
  <c r="AS1886" i="48"/>
  <c r="BL1886" i="48"/>
  <c r="BB1886" i="48"/>
  <c r="BL1242" i="48"/>
  <c r="AT1242" i="48"/>
  <c r="BB1242" i="48"/>
  <c r="BM1242" i="48"/>
  <c r="AS1242" i="48"/>
  <c r="AS1996" i="48"/>
  <c r="BM1996" i="48"/>
  <c r="BB1996" i="48"/>
  <c r="BL1996" i="48"/>
  <c r="AT1996" i="48"/>
  <c r="BM888" i="48"/>
  <c r="BB888" i="48"/>
  <c r="BL888" i="48"/>
  <c r="AT888" i="48"/>
  <c r="AS888" i="48"/>
  <c r="BL590" i="48"/>
  <c r="AS590" i="48"/>
  <c r="AC590" i="48" s="1"/>
  <c r="BC590" i="48" s="1"/>
  <c r="BB590" i="48"/>
  <c r="BM590" i="48"/>
  <c r="AT590" i="48"/>
  <c r="BM782" i="48"/>
  <c r="AT782" i="48"/>
  <c r="BL782" i="48"/>
  <c r="AS782" i="48"/>
  <c r="BB782" i="48"/>
  <c r="BL597" i="48"/>
  <c r="AT597" i="48"/>
  <c r="AS597" i="48"/>
  <c r="BB597" i="48"/>
  <c r="BM597" i="48"/>
  <c r="BB1147" i="48"/>
  <c r="AS1147" i="48"/>
  <c r="BM1147" i="48"/>
  <c r="BL1147" i="48"/>
  <c r="AT1147" i="48"/>
  <c r="BM1540" i="48"/>
  <c r="AS1540" i="48"/>
  <c r="BL1540" i="48"/>
  <c r="BB1540" i="48"/>
  <c r="AT1540" i="48"/>
  <c r="BL1504" i="48"/>
  <c r="AT1504" i="48"/>
  <c r="AS1504" i="48"/>
  <c r="BB1504" i="48"/>
  <c r="BM1504" i="48"/>
  <c r="AS567" i="48"/>
  <c r="BM567" i="48"/>
  <c r="BL567" i="48"/>
  <c r="BB567" i="48"/>
  <c r="AT567" i="48"/>
  <c r="BB1133" i="48"/>
  <c r="AT1133" i="48"/>
  <c r="BM1133" i="48"/>
  <c r="AS1133" i="48"/>
  <c r="BL1133" i="48"/>
  <c r="BL1491" i="48"/>
  <c r="AS1491" i="48"/>
  <c r="BB1491" i="48"/>
  <c r="BM1491" i="48"/>
  <c r="AT1491" i="48"/>
  <c r="BL1919" i="48"/>
  <c r="AS1919" i="48"/>
  <c r="BB1919" i="48"/>
  <c r="AT1919" i="48"/>
  <c r="BM1919" i="48"/>
  <c r="BL1250" i="48"/>
  <c r="AT1250" i="48"/>
  <c r="BB1250" i="48"/>
  <c r="AS1250" i="48"/>
  <c r="BM1250" i="48"/>
  <c r="BB1808" i="48"/>
  <c r="BL1808" i="48"/>
  <c r="AT1808" i="48"/>
  <c r="AS1808" i="48"/>
  <c r="BM1808" i="48"/>
  <c r="BL1070" i="48"/>
  <c r="AT1070" i="48"/>
  <c r="BB1070" i="48"/>
  <c r="AS1070" i="48"/>
  <c r="BM1070" i="48"/>
  <c r="BM1856" i="48"/>
  <c r="BB1856" i="48"/>
  <c r="BL1856" i="48"/>
  <c r="AT1856" i="48"/>
  <c r="AS1856" i="48"/>
  <c r="BM1010" i="48"/>
  <c r="AS1010" i="48"/>
  <c r="BL1010" i="48"/>
  <c r="BB1010" i="48"/>
  <c r="AT1010" i="48"/>
  <c r="BM1581" i="48"/>
  <c r="AT1581" i="48"/>
  <c r="BL1581" i="48"/>
  <c r="AS1581" i="48"/>
  <c r="BB1581" i="48"/>
  <c r="BB1188" i="48"/>
  <c r="AT1188" i="48"/>
  <c r="BM1188" i="48"/>
  <c r="AS1188" i="48"/>
  <c r="AB1188" i="48" s="1"/>
  <c r="BL1188" i="48"/>
  <c r="BL996" i="48"/>
  <c r="BB996" i="48"/>
  <c r="AT996" i="48"/>
  <c r="BM996" i="48"/>
  <c r="AS996" i="48"/>
  <c r="BL1537" i="48"/>
  <c r="BB1537" i="48"/>
  <c r="AT1537" i="48"/>
  <c r="BM1537" i="48"/>
  <c r="AS1537" i="48"/>
  <c r="AT1175" i="48"/>
  <c r="AS1175" i="48"/>
  <c r="AC1175" i="48" s="1"/>
  <c r="BC1175" i="48" s="1"/>
  <c r="BM1175" i="48"/>
  <c r="BB1175" i="48"/>
  <c r="BL1175" i="48"/>
  <c r="AT1088" i="48"/>
  <c r="AS1088" i="48"/>
  <c r="BM1088" i="48"/>
  <c r="BB1088" i="48"/>
  <c r="BL1088" i="48"/>
  <c r="BM1162" i="48"/>
  <c r="BL1162" i="48"/>
  <c r="AT1162" i="48"/>
  <c r="AS1162" i="48"/>
  <c r="AB1162" i="48" s="1"/>
  <c r="BB1162" i="48"/>
  <c r="AT1235" i="48"/>
  <c r="BM1235" i="48"/>
  <c r="BB1235" i="48"/>
  <c r="BL1235" i="48"/>
  <c r="AS1235" i="48"/>
  <c r="BL1880" i="48"/>
  <c r="BB1880" i="48"/>
  <c r="BM1880" i="48"/>
  <c r="AT1880" i="48"/>
  <c r="AS1880" i="48"/>
  <c r="BM1502" i="48"/>
  <c r="AS1502" i="48"/>
  <c r="BL1502" i="48"/>
  <c r="BB1502" i="48"/>
  <c r="AT1502" i="48"/>
  <c r="BM634" i="48"/>
  <c r="AT634" i="48"/>
  <c r="BL634" i="48"/>
  <c r="AS634" i="48"/>
  <c r="BB634" i="48"/>
  <c r="BB1174" i="48"/>
  <c r="BM1174" i="48"/>
  <c r="AT1174" i="48"/>
  <c r="AS1174" i="48"/>
  <c r="BL1174" i="48"/>
  <c r="BL1737" i="48"/>
  <c r="AT1737" i="48"/>
  <c r="BB1737" i="48"/>
  <c r="AS1737" i="48"/>
  <c r="BM1737" i="48"/>
  <c r="AT604" i="48"/>
  <c r="AS604" i="48"/>
  <c r="AC604" i="48" s="1"/>
  <c r="BC604" i="48" s="1"/>
  <c r="BM604" i="48"/>
  <c r="BL604" i="48"/>
  <c r="BB604" i="48"/>
  <c r="AS1611" i="48"/>
  <c r="BM1611" i="48"/>
  <c r="BB1611" i="48"/>
  <c r="BL1611" i="48"/>
  <c r="AT1611" i="48"/>
  <c r="BB1143" i="48"/>
  <c r="AS1143" i="48"/>
  <c r="BM1143" i="48"/>
  <c r="BL1143" i="48"/>
  <c r="AT1143" i="48"/>
  <c r="BM1699" i="48"/>
  <c r="BB1699" i="48"/>
  <c r="AT1699" i="48"/>
  <c r="BL1699" i="48"/>
  <c r="AS1699" i="48"/>
  <c r="BL733" i="48"/>
  <c r="BB733" i="48"/>
  <c r="AT733" i="48"/>
  <c r="BM733" i="48"/>
  <c r="AS733" i="48"/>
  <c r="BM986" i="48"/>
  <c r="AT986" i="48"/>
  <c r="BL986" i="48"/>
  <c r="AS986" i="48"/>
  <c r="BB986" i="48"/>
  <c r="BB1689" i="48"/>
  <c r="AS1689" i="48"/>
  <c r="BM1689" i="48"/>
  <c r="BL1689" i="48"/>
  <c r="AT1689" i="48"/>
  <c r="BB1021" i="48"/>
  <c r="AT1021" i="48"/>
  <c r="BM1021" i="48"/>
  <c r="AS1021" i="48"/>
  <c r="BL1021" i="48"/>
  <c r="AS1379" i="48"/>
  <c r="BM1379" i="48"/>
  <c r="BL1379" i="48"/>
  <c r="BB1379" i="48"/>
  <c r="AT1379" i="48"/>
  <c r="BM1264" i="48"/>
  <c r="AS1264" i="48"/>
  <c r="BL1264" i="48"/>
  <c r="BB1264" i="48"/>
  <c r="AT1264" i="48"/>
  <c r="BM1558" i="48"/>
  <c r="BL1558" i="48"/>
  <c r="AT1558" i="48"/>
  <c r="BB1558" i="48"/>
  <c r="AS1558" i="48"/>
  <c r="BB1246" i="48"/>
  <c r="BM1246" i="48"/>
  <c r="AT1246" i="48"/>
  <c r="BL1246" i="48"/>
  <c r="AS1246" i="48"/>
  <c r="BB1594" i="48"/>
  <c r="BM1594" i="48"/>
  <c r="AT1594" i="48"/>
  <c r="BL1594" i="48"/>
  <c r="AS1594" i="48"/>
  <c r="BL1166" i="48"/>
  <c r="AT1166" i="48"/>
  <c r="BB1166" i="48"/>
  <c r="AS1166" i="48"/>
  <c r="BM1166" i="48"/>
  <c r="AT765" i="48"/>
  <c r="BM765" i="48"/>
  <c r="AS765" i="48"/>
  <c r="BL765" i="48"/>
  <c r="BB765" i="48"/>
  <c r="BM1323" i="48"/>
  <c r="BB1323" i="48"/>
  <c r="BL1323" i="48"/>
  <c r="AT1323" i="48"/>
  <c r="AS1323" i="48"/>
  <c r="BM1868" i="48"/>
  <c r="BB1868" i="48"/>
  <c r="BL1868" i="48"/>
  <c r="AT1868" i="48"/>
  <c r="AS1868" i="48"/>
  <c r="BM1052" i="48"/>
  <c r="AS1052" i="48"/>
  <c r="BL1052" i="48"/>
  <c r="BB1052" i="48"/>
  <c r="AT1052" i="48"/>
  <c r="BB1423" i="48"/>
  <c r="BM1423" i="48"/>
  <c r="AT1423" i="48"/>
  <c r="BL1423" i="48"/>
  <c r="AS1423" i="48"/>
  <c r="BM1744" i="48"/>
  <c r="BL1744" i="48"/>
  <c r="AT1744" i="48"/>
  <c r="BB1744" i="48"/>
  <c r="AS1744" i="48"/>
  <c r="BM2023" i="48"/>
  <c r="BL2023" i="48"/>
  <c r="BB2023" i="48"/>
  <c r="AT2023" i="48"/>
  <c r="AS2023" i="48"/>
  <c r="AC2023" i="48" s="1"/>
  <c r="BC2023" i="48" s="1"/>
  <c r="BM1658" i="48"/>
  <c r="AT1658" i="48"/>
  <c r="BL1658" i="48"/>
  <c r="AS1658" i="48"/>
  <c r="BB1658" i="48"/>
  <c r="AS1148" i="48"/>
  <c r="BM1148" i="48"/>
  <c r="BB1148" i="48"/>
  <c r="BL1148" i="48"/>
  <c r="AT1148" i="48"/>
  <c r="BB1220" i="48"/>
  <c r="AT1220" i="48"/>
  <c r="BM1220" i="48"/>
  <c r="AS1220" i="48"/>
  <c r="BL1220" i="48"/>
  <c r="BB1034" i="48"/>
  <c r="BM1034" i="48"/>
  <c r="AT1034" i="48"/>
  <c r="BL1034" i="48"/>
  <c r="AS1034" i="48"/>
  <c r="BM1078" i="48"/>
  <c r="AS1078" i="48"/>
  <c r="BL1078" i="48"/>
  <c r="BB1078" i="48"/>
  <c r="AT1078" i="48"/>
  <c r="BL1819" i="48"/>
  <c r="BB1819" i="48"/>
  <c r="AS1819" i="48"/>
  <c r="BM1819" i="48"/>
  <c r="AT1819" i="48"/>
  <c r="AT1985" i="48"/>
  <c r="AS1985" i="48"/>
  <c r="BB1985" i="48"/>
  <c r="BM1985" i="48"/>
  <c r="BL1985" i="48"/>
  <c r="BL910" i="48"/>
  <c r="BB910" i="48"/>
  <c r="AT910" i="48"/>
  <c r="BM910" i="48"/>
  <c r="AS910" i="48"/>
  <c r="AB910" i="48" s="1"/>
  <c r="BL1303" i="48"/>
  <c r="AT1303" i="48"/>
  <c r="AS1303" i="48"/>
  <c r="BM1303" i="48"/>
  <c r="BB1303" i="48"/>
  <c r="BM1686" i="48"/>
  <c r="AS1686" i="48"/>
  <c r="BL1686" i="48"/>
  <c r="BB1686" i="48"/>
  <c r="AT1686" i="48"/>
  <c r="BB1545" i="48"/>
  <c r="BM1545" i="48"/>
  <c r="AT1545" i="48"/>
  <c r="BL1545" i="48"/>
  <c r="AS1545" i="48"/>
  <c r="AC1545" i="48" s="1"/>
  <c r="BC1545" i="48" s="1"/>
  <c r="BM571" i="48"/>
  <c r="BB571" i="48"/>
  <c r="BL571" i="48"/>
  <c r="AT571" i="48"/>
  <c r="AS571" i="48"/>
  <c r="BM778" i="48"/>
  <c r="AT778" i="48"/>
  <c r="BL778" i="48"/>
  <c r="AS778" i="48"/>
  <c r="AB778" i="48" s="1"/>
  <c r="BB778" i="48"/>
  <c r="AS1385" i="48"/>
  <c r="BL1385" i="48"/>
  <c r="BB1385" i="48"/>
  <c r="BM1385" i="48"/>
  <c r="AT1385" i="48"/>
  <c r="BL1770" i="48"/>
  <c r="AT1770" i="48"/>
  <c r="AS1770" i="48"/>
  <c r="BM1770" i="48"/>
  <c r="BB1770" i="48"/>
  <c r="BM1153" i="48"/>
  <c r="BB1153" i="48"/>
  <c r="AT1153" i="48"/>
  <c r="BL1153" i="48"/>
  <c r="AS1153" i="48"/>
  <c r="BM1372" i="48"/>
  <c r="BL1372" i="48"/>
  <c r="AT1372" i="48"/>
  <c r="BB1372" i="48"/>
  <c r="AS1372" i="48"/>
  <c r="AC1372" i="48" s="1"/>
  <c r="BC1372" i="48" s="1"/>
  <c r="BB1284" i="48"/>
  <c r="AT1284" i="48"/>
  <c r="BM1284" i="48"/>
  <c r="AS1284" i="48"/>
  <c r="BL1284" i="48"/>
  <c r="BL992" i="48"/>
  <c r="BB992" i="48"/>
  <c r="AT992" i="48"/>
  <c r="AS992" i="48"/>
  <c r="BM992" i="48"/>
  <c r="BL835" i="48"/>
  <c r="AT835" i="48"/>
  <c r="AS835" i="48"/>
  <c r="BB835" i="48"/>
  <c r="BM835" i="48"/>
  <c r="AS1263" i="48"/>
  <c r="BM1263" i="48"/>
  <c r="BB1263" i="48"/>
  <c r="BL1263" i="48"/>
  <c r="AT1263" i="48"/>
  <c r="BL812" i="48"/>
  <c r="BB812" i="48"/>
  <c r="AT812" i="48"/>
  <c r="AS812" i="48"/>
  <c r="BM812" i="48"/>
  <c r="BM640" i="48"/>
  <c r="BB640" i="48"/>
  <c r="BL640" i="48"/>
  <c r="AT640" i="48"/>
  <c r="AS640" i="48"/>
  <c r="AT1343" i="48"/>
  <c r="BM1343" i="48"/>
  <c r="AS1343" i="48"/>
  <c r="BL1343" i="48"/>
  <c r="BB1343" i="48"/>
  <c r="BL1205" i="48"/>
  <c r="AS1205" i="48"/>
  <c r="BB1205" i="48"/>
  <c r="BM1205" i="48"/>
  <c r="AT1205" i="48"/>
  <c r="AT908" i="48"/>
  <c r="AS908" i="48"/>
  <c r="BM908" i="48"/>
  <c r="BL908" i="48"/>
  <c r="BB908" i="48"/>
  <c r="BM1079" i="48"/>
  <c r="BL1079" i="48"/>
  <c r="AT1079" i="48"/>
  <c r="AS1079" i="48"/>
  <c r="BB1079" i="48"/>
  <c r="BB1657" i="48"/>
  <c r="BM1657" i="48"/>
  <c r="AT1657" i="48"/>
  <c r="BL1657" i="48"/>
  <c r="AS1657" i="48"/>
  <c r="BM1948" i="48"/>
  <c r="AT1948" i="48"/>
  <c r="AS1948" i="48"/>
  <c r="AC1948" i="48" s="1"/>
  <c r="BC1948" i="48" s="1"/>
  <c r="BL1948" i="48"/>
  <c r="BB1948" i="48"/>
  <c r="BB2035" i="48"/>
  <c r="BM2035" i="48"/>
  <c r="BL2035" i="48"/>
  <c r="AT2035" i="48"/>
  <c r="AS2035" i="48"/>
  <c r="BM1660" i="48"/>
  <c r="BL1660" i="48"/>
  <c r="AT1660" i="48"/>
  <c r="BB1660" i="48"/>
  <c r="AS1660" i="48"/>
  <c r="BM1240" i="48"/>
  <c r="AS1240" i="48"/>
  <c r="BL1240" i="48"/>
  <c r="BB1240" i="48"/>
  <c r="AT1240" i="48"/>
  <c r="BB1776" i="48"/>
  <c r="BL1776" i="48"/>
  <c r="AT1776" i="48"/>
  <c r="AS1776" i="48"/>
  <c r="BM1776" i="48"/>
  <c r="BM889" i="48"/>
  <c r="BB889" i="48"/>
  <c r="AT889" i="48"/>
  <c r="BL889" i="48"/>
  <c r="AS889" i="48"/>
  <c r="BB882" i="48"/>
  <c r="BM882" i="48"/>
  <c r="AT882" i="48"/>
  <c r="AS882" i="48"/>
  <c r="BL882" i="48"/>
  <c r="BL1881" i="48"/>
  <c r="AT1881" i="48"/>
  <c r="AS1881" i="48"/>
  <c r="BM1881" i="48"/>
  <c r="BB1881" i="48"/>
  <c r="AT1044" i="48"/>
  <c r="AS1044" i="48"/>
  <c r="BM1044" i="48"/>
  <c r="BB1044" i="48"/>
  <c r="BL1044" i="48"/>
  <c r="BL1885" i="48"/>
  <c r="AT1885" i="48"/>
  <c r="AS1885" i="48"/>
  <c r="BM1885" i="48"/>
  <c r="BB1885" i="48"/>
  <c r="AS1396" i="48"/>
  <c r="BB1396" i="48"/>
  <c r="BM1396" i="48"/>
  <c r="BL1396" i="48"/>
  <c r="AT1396" i="48"/>
  <c r="BB1230" i="48"/>
  <c r="BL1230" i="48"/>
  <c r="AS1230" i="48"/>
  <c r="BM1230" i="48"/>
  <c r="AT1230" i="48"/>
  <c r="BM831" i="48"/>
  <c r="AS831" i="48"/>
  <c r="BL831" i="48"/>
  <c r="AT831" i="48"/>
  <c r="BB831" i="48"/>
  <c r="AS630" i="48"/>
  <c r="BB630" i="48"/>
  <c r="BM630" i="48"/>
  <c r="BL630" i="48"/>
  <c r="AT630" i="48"/>
  <c r="BL1028" i="48"/>
  <c r="AT1028" i="48"/>
  <c r="AS1028" i="48"/>
  <c r="BM1028" i="48"/>
  <c r="BB1028" i="48"/>
  <c r="BM916" i="48"/>
  <c r="BL916" i="48"/>
  <c r="BB916" i="48"/>
  <c r="AT916" i="48"/>
  <c r="AS916" i="48"/>
  <c r="BB1182" i="48"/>
  <c r="BM1182" i="48"/>
  <c r="AT1182" i="48"/>
  <c r="BL1182" i="48"/>
  <c r="AS1182" i="48"/>
  <c r="BM2043" i="48"/>
  <c r="AT2043" i="48"/>
  <c r="BL2043" i="48"/>
  <c r="AS2043" i="48"/>
  <c r="BB2043" i="48"/>
  <c r="BM868" i="48"/>
  <c r="BB868" i="48"/>
  <c r="BL868" i="48"/>
  <c r="AT868" i="48"/>
  <c r="AS868" i="48"/>
  <c r="AT1218" i="48"/>
  <c r="BB1218" i="48"/>
  <c r="AS1218" i="48"/>
  <c r="BM1218" i="48"/>
  <c r="BL1218" i="48"/>
  <c r="BB1336" i="48"/>
  <c r="AS1336" i="48"/>
  <c r="BM1336" i="48"/>
  <c r="BL1336" i="48"/>
  <c r="AT1336" i="48"/>
  <c r="BM656" i="48"/>
  <c r="BB656" i="48"/>
  <c r="BL656" i="48"/>
  <c r="AT656" i="48"/>
  <c r="AS656" i="48"/>
  <c r="BM1011" i="48"/>
  <c r="BL1011" i="48"/>
  <c r="AT1011" i="48"/>
  <c r="BB1011" i="48"/>
  <c r="AS1011" i="48"/>
  <c r="BM933" i="48"/>
  <c r="BB933" i="48"/>
  <c r="AT933" i="48"/>
  <c r="BL933" i="48"/>
  <c r="AS933" i="48"/>
  <c r="BL1813" i="48"/>
  <c r="AT1813" i="48"/>
  <c r="AS1813" i="48"/>
  <c r="BM1813" i="48"/>
  <c r="BB1813" i="48"/>
  <c r="BB2029" i="48"/>
  <c r="BM2029" i="48"/>
  <c r="BL2029" i="48"/>
  <c r="AT2029" i="48"/>
  <c r="AS2029" i="48"/>
  <c r="BM1574" i="48"/>
  <c r="BL1574" i="48"/>
  <c r="AT1574" i="48"/>
  <c r="BB1574" i="48"/>
  <c r="AS1574" i="48"/>
  <c r="BM1137" i="48"/>
  <c r="BB1137" i="48"/>
  <c r="AT1137" i="48"/>
  <c r="BL1137" i="48"/>
  <c r="AS1137" i="48"/>
  <c r="AB1137" i="48" s="1"/>
  <c r="BM813" i="48"/>
  <c r="BL813" i="48"/>
  <c r="AT813" i="48"/>
  <c r="AS813" i="48"/>
  <c r="BB813" i="48"/>
  <c r="AT1570" i="48"/>
  <c r="BB1570" i="48"/>
  <c r="AS1570" i="48"/>
  <c r="AB1570" i="48" s="1"/>
  <c r="BM1570" i="48"/>
  <c r="BL1570" i="48"/>
  <c r="BM1109" i="48"/>
  <c r="BB1109" i="48"/>
  <c r="AT1109" i="48"/>
  <c r="AS1109" i="48"/>
  <c r="BL1109" i="48"/>
  <c r="BB1387" i="48"/>
  <c r="BM1387" i="48"/>
  <c r="AT1387" i="48"/>
  <c r="BL1387" i="48"/>
  <c r="AS1387" i="48"/>
  <c r="BM1145" i="48"/>
  <c r="AS1145" i="48"/>
  <c r="BL1145" i="48"/>
  <c r="AT1145" i="48"/>
  <c r="BB1145" i="48"/>
  <c r="BB1276" i="48"/>
  <c r="AT1276" i="48"/>
  <c r="BM1276" i="48"/>
  <c r="AS1276" i="48"/>
  <c r="BL1276" i="48"/>
  <c r="AT870" i="48"/>
  <c r="BM870" i="48"/>
  <c r="AS870" i="48"/>
  <c r="BL870" i="48"/>
  <c r="BB870" i="48"/>
  <c r="BB1487" i="48"/>
  <c r="BM1487" i="48"/>
  <c r="AT1487" i="48"/>
  <c r="BL1487" i="48"/>
  <c r="AS1487" i="48"/>
  <c r="AB1487" i="48" s="1"/>
  <c r="BB1556" i="48"/>
  <c r="AT1556" i="48"/>
  <c r="BM1556" i="48"/>
  <c r="AS1556" i="48"/>
  <c r="BL1556" i="48"/>
  <c r="AT681" i="48"/>
  <c r="BM681" i="48"/>
  <c r="AS681" i="48"/>
  <c r="BL681" i="48"/>
  <c r="BB681" i="48"/>
  <c r="AT2039" i="48"/>
  <c r="BM2039" i="48"/>
  <c r="AS2039" i="48"/>
  <c r="BL2039" i="48"/>
  <c r="BB2039" i="48"/>
  <c r="BM1709" i="48"/>
  <c r="BL1709" i="48"/>
  <c r="BB1709" i="48"/>
  <c r="AT1709" i="48"/>
  <c r="AS1709" i="48"/>
  <c r="AC1709" i="48" s="1"/>
  <c r="BC1709" i="48" s="1"/>
  <c r="BM1529" i="48"/>
  <c r="AS1529" i="48"/>
  <c r="BL1529" i="48"/>
  <c r="BB1529" i="48"/>
  <c r="AT1529" i="48"/>
  <c r="AT1694" i="48"/>
  <c r="AS1694" i="48"/>
  <c r="BM1694" i="48"/>
  <c r="BL1694" i="48"/>
  <c r="BB1694" i="48"/>
  <c r="BM884" i="48"/>
  <c r="BB884" i="48"/>
  <c r="BL884" i="48"/>
  <c r="AT884" i="48"/>
  <c r="AS884" i="48"/>
  <c r="BM1762" i="48"/>
  <c r="BB1762" i="48"/>
  <c r="BL1762" i="48"/>
  <c r="AT1762" i="48"/>
  <c r="AS1762" i="48"/>
  <c r="BL1621" i="48"/>
  <c r="AS1621" i="48"/>
  <c r="BB1621" i="48"/>
  <c r="BM1621" i="48"/>
  <c r="AT1621" i="48"/>
  <c r="BM770" i="48"/>
  <c r="AT770" i="48"/>
  <c r="BL770" i="48"/>
  <c r="AS770" i="48"/>
  <c r="AB770" i="48" s="1"/>
  <c r="BB770" i="48"/>
  <c r="BB858" i="48"/>
  <c r="BM858" i="48"/>
  <c r="AT858" i="48"/>
  <c r="BL858" i="48"/>
  <c r="AS858" i="48"/>
  <c r="AB858" i="48" s="1"/>
  <c r="BL1061" i="48"/>
  <c r="AS1061" i="48"/>
  <c r="BM1061" i="48"/>
  <c r="BB1061" i="48"/>
  <c r="AT1061" i="48"/>
  <c r="BB1244" i="48"/>
  <c r="AT1244" i="48"/>
  <c r="BM1244" i="48"/>
  <c r="AS1244" i="48"/>
  <c r="BL1244" i="48"/>
  <c r="BM895" i="48"/>
  <c r="BL895" i="48"/>
  <c r="AT895" i="48"/>
  <c r="BB895" i="48"/>
  <c r="AS895" i="48"/>
  <c r="BB1510" i="48"/>
  <c r="AT1510" i="48"/>
  <c r="BM1510" i="48"/>
  <c r="AS1510" i="48"/>
  <c r="BL1510" i="48"/>
  <c r="AT623" i="48"/>
  <c r="BB623" i="48"/>
  <c r="AS623" i="48"/>
  <c r="BM623" i="48"/>
  <c r="BL623" i="48"/>
  <c r="BL1053" i="48"/>
  <c r="BB1053" i="48"/>
  <c r="AT1053" i="48"/>
  <c r="BM1053" i="48"/>
  <c r="AS1053" i="48"/>
  <c r="AC1053" i="48" s="1"/>
  <c r="BC1053" i="48" s="1"/>
  <c r="BM1807" i="48"/>
  <c r="BB1807" i="48"/>
  <c r="BL1807" i="48"/>
  <c r="AS1807" i="48"/>
  <c r="AB1807" i="48" s="1"/>
  <c r="AT1807" i="48"/>
  <c r="BB1254" i="48"/>
  <c r="BM1254" i="48"/>
  <c r="AT1254" i="48"/>
  <c r="BL1254" i="48"/>
  <c r="AS1254" i="48"/>
  <c r="BL826" i="48"/>
  <c r="AS826" i="48"/>
  <c r="BB826" i="48"/>
  <c r="BM826" i="48"/>
  <c r="AT826" i="48"/>
  <c r="BM672" i="48"/>
  <c r="BB672" i="48"/>
  <c r="BL672" i="48"/>
  <c r="AT672" i="48"/>
  <c r="AS672" i="48"/>
  <c r="BB1286" i="48"/>
  <c r="BM1286" i="48"/>
  <c r="AT1286" i="48"/>
  <c r="BL1286" i="48"/>
  <c r="AS1286" i="48"/>
  <c r="BB1407" i="48"/>
  <c r="BM1407" i="48"/>
  <c r="AT1407" i="48"/>
  <c r="BL1407" i="48"/>
  <c r="AS1407" i="48"/>
  <c r="BL1533" i="48"/>
  <c r="BB1533" i="48"/>
  <c r="AT1533" i="48"/>
  <c r="BM1533" i="48"/>
  <c r="AS1533" i="48"/>
  <c r="BM1313" i="48"/>
  <c r="AT1313" i="48"/>
  <c r="BL1313" i="48"/>
  <c r="AS1313" i="48"/>
  <c r="BB1313" i="48"/>
  <c r="BM794" i="48"/>
  <c r="AT794" i="48"/>
  <c r="BL794" i="48"/>
  <c r="AS794" i="48"/>
  <c r="BB794" i="48"/>
  <c r="BL1127" i="48"/>
  <c r="AT1127" i="48"/>
  <c r="BB1127" i="48"/>
  <c r="AS1127" i="48"/>
  <c r="BM1127" i="48"/>
  <c r="BB1345" i="48"/>
  <c r="AT1345" i="48"/>
  <c r="BM1345" i="48"/>
  <c r="AS1345" i="48"/>
  <c r="BL1345" i="48"/>
  <c r="BL1751" i="48"/>
  <c r="AS1751" i="48"/>
  <c r="BM1751" i="48"/>
  <c r="BB1751" i="48"/>
  <c r="AT1751" i="48"/>
  <c r="AS1718" i="48"/>
  <c r="BM1718" i="48"/>
  <c r="BB1718" i="48"/>
  <c r="BL1718" i="48"/>
  <c r="AT1718" i="48"/>
  <c r="AS723" i="48"/>
  <c r="BB723" i="48"/>
  <c r="BM723" i="48"/>
  <c r="BL723" i="48"/>
  <c r="AT723" i="48"/>
  <c r="AT1023" i="48"/>
  <c r="BB1023" i="48"/>
  <c r="AS1023" i="48"/>
  <c r="BM1023" i="48"/>
  <c r="BL1023" i="48"/>
  <c r="BM974" i="48"/>
  <c r="AS974" i="48"/>
  <c r="BL974" i="48"/>
  <c r="BB974" i="48"/>
  <c r="AT974" i="48"/>
  <c r="AT1283" i="48"/>
  <c r="AS1283" i="48"/>
  <c r="BM1283" i="48"/>
  <c r="BB1283" i="48"/>
  <c r="BL1283" i="48"/>
  <c r="AT713" i="48"/>
  <c r="BM713" i="48"/>
  <c r="AS713" i="48"/>
  <c r="BL713" i="48"/>
  <c r="BB713" i="48"/>
  <c r="BB2042" i="48"/>
  <c r="BM2042" i="48"/>
  <c r="AT2042" i="48"/>
  <c r="BL2042" i="48"/>
  <c r="AS2042" i="48"/>
  <c r="AS1501" i="48"/>
  <c r="BM1501" i="48"/>
  <c r="BB1501" i="48"/>
  <c r="BL1501" i="48"/>
  <c r="AT1501" i="48"/>
  <c r="BL612" i="48"/>
  <c r="BB612" i="48"/>
  <c r="AT612" i="48"/>
  <c r="AS612" i="48"/>
  <c r="AC612" i="48" s="1"/>
  <c r="BC612" i="48" s="1"/>
  <c r="BM612" i="48"/>
  <c r="BB1569" i="48"/>
  <c r="BM1569" i="48"/>
  <c r="AT1569" i="48"/>
  <c r="BL1569" i="48"/>
  <c r="AS1569" i="48"/>
  <c r="BL1251" i="48"/>
  <c r="AT1251" i="48"/>
  <c r="AS1251" i="48"/>
  <c r="BM1251" i="48"/>
  <c r="BB1251" i="48"/>
  <c r="BL591" i="48"/>
  <c r="AT591" i="48"/>
  <c r="BB591" i="48"/>
  <c r="AS591" i="48"/>
  <c r="BM591" i="48"/>
  <c r="BM1727" i="48"/>
  <c r="AS1727" i="48"/>
  <c r="BL1727" i="48"/>
  <c r="BB1727" i="48"/>
  <c r="AT1727" i="48"/>
  <c r="AS1554" i="48"/>
  <c r="BB1554" i="48"/>
  <c r="BM1554" i="48"/>
  <c r="BL1554" i="48"/>
  <c r="AT1554" i="48"/>
  <c r="BL1646" i="48"/>
  <c r="AT1646" i="48"/>
  <c r="AS1646" i="48"/>
  <c r="BB1646" i="48"/>
  <c r="BM1646" i="48"/>
  <c r="BB1826" i="48"/>
  <c r="AT1826" i="48"/>
  <c r="BM1826" i="48"/>
  <c r="AS1826" i="48"/>
  <c r="BL1826" i="48"/>
  <c r="AT1764" i="48"/>
  <c r="BM1764" i="48"/>
  <c r="AS1764" i="48"/>
  <c r="AC1764" i="48" s="1"/>
  <c r="BC1764" i="48" s="1"/>
  <c r="BL1764" i="48"/>
  <c r="BB1764" i="48"/>
  <c r="AS709" i="48"/>
  <c r="AC709" i="48" s="1"/>
  <c r="BC709" i="48" s="1"/>
  <c r="BM709" i="48"/>
  <c r="BB709" i="48"/>
  <c r="BL709" i="48"/>
  <c r="AT709" i="48"/>
  <c r="BB1970" i="48"/>
  <c r="BM1970" i="48"/>
  <c r="BL1970" i="48"/>
  <c r="AT1970" i="48"/>
  <c r="AS1970" i="48"/>
  <c r="BM687" i="48"/>
  <c r="BL687" i="48"/>
  <c r="AT687" i="48"/>
  <c r="BB687" i="48"/>
  <c r="AS687" i="48"/>
  <c r="BL728" i="48"/>
  <c r="AT728" i="48"/>
  <c r="AS728" i="48"/>
  <c r="AC728" i="48" s="1"/>
  <c r="BC728" i="48" s="1"/>
  <c r="BM728" i="48"/>
  <c r="BB728" i="48"/>
  <c r="BM2007" i="48"/>
  <c r="BB2007" i="48"/>
  <c r="BL2007" i="48"/>
  <c r="AT2007" i="48"/>
  <c r="AS2007" i="48"/>
  <c r="BL1895" i="48"/>
  <c r="AT1895" i="48"/>
  <c r="AS1895" i="48"/>
  <c r="BM1895" i="48"/>
  <c r="BB1895" i="48"/>
  <c r="BM873" i="48"/>
  <c r="BB873" i="48"/>
  <c r="AT873" i="48"/>
  <c r="BL873" i="48"/>
  <c r="AS873" i="48"/>
  <c r="AB873" i="48" s="1"/>
  <c r="BM1980" i="48"/>
  <c r="BB1980" i="48"/>
  <c r="BL1980" i="48"/>
  <c r="AT1980" i="48"/>
  <c r="AS1980" i="48"/>
  <c r="BM1301" i="48"/>
  <c r="AT1301" i="48"/>
  <c r="BL1301" i="48"/>
  <c r="AS1301" i="48"/>
  <c r="BB1301" i="48"/>
  <c r="AT1202" i="48"/>
  <c r="BB1202" i="48"/>
  <c r="AS1202" i="48"/>
  <c r="BM1202" i="48"/>
  <c r="BL1202" i="48"/>
  <c r="BM1055" i="48"/>
  <c r="BL1055" i="48"/>
  <c r="AT1055" i="48"/>
  <c r="BB1055" i="48"/>
  <c r="AS1055" i="48"/>
  <c r="AB1055" i="48" s="1"/>
  <c r="BM758" i="48"/>
  <c r="AT758" i="48"/>
  <c r="BL758" i="48"/>
  <c r="AS758" i="48"/>
  <c r="AB758" i="48" s="1"/>
  <c r="BB758" i="48"/>
  <c r="BM1557" i="48"/>
  <c r="AT1557" i="48"/>
  <c r="BL1557" i="48"/>
  <c r="AS1557" i="48"/>
  <c r="BB1557" i="48"/>
  <c r="AT785" i="48"/>
  <c r="BM785" i="48"/>
  <c r="AS785" i="48"/>
  <c r="BL785" i="48"/>
  <c r="BB785" i="48"/>
  <c r="AS1643" i="48"/>
  <c r="BM1643" i="48"/>
  <c r="BB1643" i="48"/>
  <c r="BL1643" i="48"/>
  <c r="AT1643" i="48"/>
  <c r="BL811" i="48"/>
  <c r="AT811" i="48"/>
  <c r="AS811" i="48"/>
  <c r="AB811" i="48" s="1"/>
  <c r="BB811" i="48"/>
  <c r="BM811" i="48"/>
  <c r="BM1038" i="48"/>
  <c r="BL1038" i="48"/>
  <c r="AT1038" i="48"/>
  <c r="BB1038" i="48"/>
  <c r="AS1038" i="48"/>
  <c r="AS580" i="48"/>
  <c r="BM580" i="48"/>
  <c r="BL580" i="48"/>
  <c r="BB580" i="48"/>
  <c r="AT580" i="48"/>
  <c r="BM854" i="48"/>
  <c r="BL854" i="48"/>
  <c r="AT854" i="48"/>
  <c r="AS854" i="48"/>
  <c r="BB854" i="48"/>
  <c r="BM1563" i="48"/>
  <c r="BB1563" i="48"/>
  <c r="BL1563" i="48"/>
  <c r="AT1563" i="48"/>
  <c r="AS1563" i="48"/>
  <c r="AT959" i="48"/>
  <c r="BB959" i="48"/>
  <c r="AS959" i="48"/>
  <c r="BM959" i="48"/>
  <c r="BL959" i="48"/>
  <c r="BB799" i="48"/>
  <c r="AT799" i="48"/>
  <c r="BM799" i="48"/>
  <c r="AS799" i="48"/>
  <c r="BL799" i="48"/>
  <c r="AT1092" i="48"/>
  <c r="BM1092" i="48"/>
  <c r="AS1092" i="48"/>
  <c r="AB1092" i="48" s="1"/>
  <c r="BL1092" i="48"/>
  <c r="BB1092" i="48"/>
  <c r="BL1548" i="48"/>
  <c r="BB1548" i="48"/>
  <c r="AT1548" i="48"/>
  <c r="BM1548" i="48"/>
  <c r="AS1548" i="48"/>
  <c r="BM1969" i="48"/>
  <c r="AS1969" i="48"/>
  <c r="AB1969" i="48" s="1"/>
  <c r="BL1969" i="48"/>
  <c r="BB1969" i="48"/>
  <c r="AT1969" i="48"/>
  <c r="BM1918" i="48"/>
  <c r="AT1918" i="48"/>
  <c r="AS1918" i="48"/>
  <c r="BL1918" i="48"/>
  <c r="BB1918" i="48"/>
  <c r="BM1454" i="48"/>
  <c r="AS1454" i="48"/>
  <c r="BL1454" i="48"/>
  <c r="BB1454" i="48"/>
  <c r="AT1454" i="48"/>
  <c r="BL1071" i="48"/>
  <c r="AT1071" i="48"/>
  <c r="BB1071" i="48"/>
  <c r="AS1071" i="48"/>
  <c r="AC1071" i="48" s="1"/>
  <c r="BC1071" i="48" s="1"/>
  <c r="BM1071" i="48"/>
  <c r="AT1339" i="48"/>
  <c r="AS1339" i="48"/>
  <c r="BM1339" i="48"/>
  <c r="BB1339" i="48"/>
  <c r="BL1339" i="48"/>
  <c r="BB843" i="48"/>
  <c r="BM843" i="48"/>
  <c r="BL843" i="48"/>
  <c r="AT843" i="48"/>
  <c r="AS843" i="48"/>
  <c r="AC843" i="48" s="1"/>
  <c r="BC843" i="48" s="1"/>
  <c r="AT971" i="48"/>
  <c r="BB971" i="48"/>
  <c r="AS971" i="48"/>
  <c r="BM971" i="48"/>
  <c r="BL971" i="48"/>
  <c r="AS1040" i="48"/>
  <c r="BM1040" i="48"/>
  <c r="BB1040" i="48"/>
  <c r="BL1040" i="48"/>
  <c r="AT1040" i="48"/>
  <c r="AS1954" i="48"/>
  <c r="BM1954" i="48"/>
  <c r="BB1954" i="48"/>
  <c r="BL1954" i="48"/>
  <c r="AT1954" i="48"/>
  <c r="AT1697" i="48"/>
  <c r="BB1697" i="48"/>
  <c r="AS1697" i="48"/>
  <c r="BM1697" i="48"/>
  <c r="BL1697" i="48"/>
  <c r="BM1464" i="48"/>
  <c r="BL1464" i="48"/>
  <c r="AT1464" i="48"/>
  <c r="AS1464" i="48"/>
  <c r="AB1464" i="48" s="1"/>
  <c r="BB1464" i="48"/>
  <c r="BM1820" i="48"/>
  <c r="AT1820" i="48"/>
  <c r="BB1820" i="48"/>
  <c r="AS1820" i="48"/>
  <c r="AB1820" i="48" s="1"/>
  <c r="BL1820" i="48"/>
  <c r="BB1478" i="48"/>
  <c r="AT1478" i="48"/>
  <c r="BM1478" i="48"/>
  <c r="AS1478" i="48"/>
  <c r="BL1478" i="48"/>
  <c r="BM1089" i="48"/>
  <c r="BB1089" i="48"/>
  <c r="AT1089" i="48"/>
  <c r="BL1089" i="48"/>
  <c r="AS1089" i="48"/>
  <c r="AB1089" i="48" s="1"/>
  <c r="BB1630" i="48"/>
  <c r="BM1630" i="48"/>
  <c r="BL1630" i="48"/>
  <c r="AT1630" i="48"/>
  <c r="AS1630" i="48"/>
  <c r="BB1949" i="48"/>
  <c r="AS1949" i="48"/>
  <c r="BM1949" i="48"/>
  <c r="AT1949" i="48"/>
  <c r="BL1949" i="48"/>
  <c r="AT924" i="48"/>
  <c r="AS924" i="48"/>
  <c r="AB924" i="48" s="1"/>
  <c r="BM924" i="48"/>
  <c r="BL924" i="48"/>
  <c r="BB924" i="48"/>
  <c r="BM694" i="48"/>
  <c r="AT694" i="48"/>
  <c r="BL694" i="48"/>
  <c r="AS694" i="48"/>
  <c r="AB694" i="48" s="1"/>
  <c r="BB694" i="48"/>
  <c r="BL1194" i="48"/>
  <c r="AT1194" i="48"/>
  <c r="BB1194" i="48"/>
  <c r="AS1194" i="48"/>
  <c r="BM1194" i="48"/>
  <c r="BL1857" i="48"/>
  <c r="AT1857" i="48"/>
  <c r="BM1857" i="48"/>
  <c r="AS1857" i="48"/>
  <c r="AC1857" i="48" s="1"/>
  <c r="BC1857" i="48" s="1"/>
  <c r="BB1857" i="48"/>
  <c r="BM1986" i="48"/>
  <c r="AT1986" i="48"/>
  <c r="BL1986" i="48"/>
  <c r="AS1986" i="48"/>
  <c r="BB1986" i="48"/>
  <c r="BL699" i="48"/>
  <c r="AT699" i="48"/>
  <c r="AS699" i="48"/>
  <c r="BB699" i="48"/>
  <c r="BM699" i="48"/>
  <c r="BM746" i="48"/>
  <c r="AT746" i="48"/>
  <c r="BL746" i="48"/>
  <c r="AS746" i="48"/>
  <c r="AB746" i="48" s="1"/>
  <c r="BB746" i="48"/>
  <c r="BM266" i="48"/>
  <c r="AS266" i="48"/>
  <c r="BL266" i="48"/>
  <c r="AT266" i="48"/>
  <c r="BB478" i="48"/>
  <c r="AT478" i="48"/>
  <c r="BM478" i="48"/>
  <c r="AS478" i="48"/>
  <c r="BL478" i="48"/>
  <c r="AT315" i="48"/>
  <c r="AS315" i="48"/>
  <c r="BM315" i="48"/>
  <c r="BB315" i="48"/>
  <c r="BL315" i="48"/>
  <c r="BB414" i="48"/>
  <c r="AT414" i="48"/>
  <c r="BM414" i="48"/>
  <c r="AS414" i="48"/>
  <c r="BL414" i="48"/>
  <c r="AS422" i="48"/>
  <c r="BB422" i="48"/>
  <c r="BM422" i="48"/>
  <c r="BL422" i="48"/>
  <c r="AT422" i="48"/>
  <c r="BB462" i="48"/>
  <c r="AT462" i="48"/>
  <c r="BM462" i="48"/>
  <c r="AS462" i="48"/>
  <c r="BL462" i="48"/>
  <c r="BM97" i="48"/>
  <c r="AS97" i="48"/>
  <c r="BL97" i="48"/>
  <c r="AT97" i="48"/>
  <c r="BB317" i="48"/>
  <c r="AS317" i="48"/>
  <c r="BM317" i="48"/>
  <c r="BL317" i="48"/>
  <c r="AT317" i="48"/>
  <c r="AT228" i="48"/>
  <c r="BM228" i="48"/>
  <c r="AS228" i="48"/>
  <c r="BL228" i="48"/>
  <c r="BB434" i="48"/>
  <c r="BM434" i="48"/>
  <c r="AT434" i="48"/>
  <c r="BL434" i="48"/>
  <c r="AS434" i="48"/>
  <c r="AT529" i="48"/>
  <c r="BM529" i="48"/>
  <c r="AS529" i="48"/>
  <c r="BL529" i="48"/>
  <c r="BB529" i="48"/>
  <c r="BM169" i="48"/>
  <c r="BL169" i="48"/>
  <c r="AT169" i="48"/>
  <c r="AS169" i="48"/>
  <c r="BL62" i="48"/>
  <c r="AT62" i="48"/>
  <c r="BM62" i="48"/>
  <c r="AS62" i="48"/>
  <c r="BL86" i="48"/>
  <c r="AT86" i="48"/>
  <c r="AS86" i="48"/>
  <c r="BM86" i="48"/>
  <c r="BM373" i="48"/>
  <c r="AT373" i="48"/>
  <c r="BL373" i="48"/>
  <c r="AS373" i="48"/>
  <c r="BB373" i="48"/>
  <c r="BM384" i="48"/>
  <c r="AS384" i="48"/>
  <c r="BL384" i="48"/>
  <c r="BB384" i="48"/>
  <c r="AT384" i="48"/>
  <c r="AT379" i="48"/>
  <c r="AS379" i="48"/>
  <c r="BM379" i="48"/>
  <c r="BB379" i="48"/>
  <c r="BL379" i="48"/>
  <c r="BB428" i="48"/>
  <c r="AT428" i="48"/>
  <c r="BM428" i="48"/>
  <c r="AS428" i="48"/>
  <c r="BL428" i="48"/>
  <c r="AS519" i="48"/>
  <c r="BM519" i="48"/>
  <c r="BB519" i="48"/>
  <c r="BL519" i="48"/>
  <c r="AT519" i="48"/>
  <c r="BL131" i="48"/>
  <c r="AT131" i="48"/>
  <c r="BM131" i="48"/>
  <c r="AS131" i="48"/>
  <c r="BL105" i="48"/>
  <c r="AT105" i="48"/>
  <c r="AS105" i="48"/>
  <c r="BM105" i="48"/>
  <c r="BL120" i="48"/>
  <c r="AT120" i="48"/>
  <c r="BM120" i="48"/>
  <c r="AS120" i="48"/>
  <c r="BM267" i="48"/>
  <c r="BL267" i="48"/>
  <c r="AT267" i="48"/>
  <c r="AS267" i="48"/>
  <c r="BL75" i="48"/>
  <c r="AT75" i="48"/>
  <c r="AS75" i="48"/>
  <c r="BM75" i="48"/>
  <c r="BM323" i="48"/>
  <c r="AS323" i="48"/>
  <c r="BL323" i="48"/>
  <c r="BB323" i="48"/>
  <c r="AT323" i="48"/>
  <c r="BB393" i="48"/>
  <c r="AS393" i="48"/>
  <c r="BM393" i="48"/>
  <c r="BL393" i="48"/>
  <c r="AT393" i="48"/>
  <c r="BL417" i="48"/>
  <c r="BB417" i="48"/>
  <c r="AT417" i="48"/>
  <c r="BM417" i="48"/>
  <c r="AS417" i="48"/>
  <c r="BB396" i="48"/>
  <c r="AT396" i="48"/>
  <c r="BM396" i="48"/>
  <c r="AS396" i="48"/>
  <c r="BL396" i="48"/>
  <c r="BB344" i="48"/>
  <c r="AT344" i="48"/>
  <c r="BM344" i="48"/>
  <c r="AS344" i="48"/>
  <c r="BL344" i="48"/>
  <c r="BL550" i="48"/>
  <c r="AT550" i="48"/>
  <c r="BM550" i="48"/>
  <c r="BB550" i="48"/>
  <c r="AS550" i="48"/>
  <c r="BB546" i="48"/>
  <c r="AS546" i="48"/>
  <c r="BM546" i="48"/>
  <c r="BL546" i="48"/>
  <c r="AT546" i="48"/>
  <c r="BM309" i="48"/>
  <c r="AT309" i="48"/>
  <c r="BL309" i="48"/>
  <c r="AS309" i="48"/>
  <c r="BB309" i="48"/>
  <c r="AT72" i="48"/>
  <c r="BM72" i="48"/>
  <c r="AS72" i="48"/>
  <c r="BL72" i="48"/>
  <c r="AT292" i="48"/>
  <c r="BM292" i="48"/>
  <c r="AS292" i="48"/>
  <c r="BL292" i="48"/>
  <c r="AT144" i="48"/>
  <c r="BM144" i="48"/>
  <c r="AS144" i="48"/>
  <c r="BL144" i="48"/>
  <c r="BM307" i="48"/>
  <c r="AS307" i="48"/>
  <c r="BL307" i="48"/>
  <c r="BB307" i="48"/>
  <c r="AT307" i="48"/>
  <c r="BM355" i="48"/>
  <c r="AS355" i="48"/>
  <c r="BL355" i="48"/>
  <c r="BB355" i="48"/>
  <c r="AT355" i="48"/>
  <c r="BL433" i="48"/>
  <c r="BB433" i="48"/>
  <c r="AT433" i="48"/>
  <c r="BM433" i="48"/>
  <c r="AS433" i="48"/>
  <c r="BM544" i="48"/>
  <c r="BB544" i="48"/>
  <c r="AT544" i="48"/>
  <c r="BL544" i="48"/>
  <c r="AS544" i="48"/>
  <c r="AS310" i="48"/>
  <c r="BB310" i="48"/>
  <c r="BM310" i="48"/>
  <c r="BL310" i="48"/>
  <c r="AT310" i="48"/>
  <c r="AS206" i="48"/>
  <c r="BM206" i="48"/>
  <c r="BL206" i="48"/>
  <c r="AT206" i="48"/>
  <c r="AS358" i="48"/>
  <c r="BB358" i="48"/>
  <c r="BM358" i="48"/>
  <c r="BL358" i="48"/>
  <c r="AT358" i="48"/>
  <c r="BM400" i="48"/>
  <c r="AS400" i="48"/>
  <c r="BL400" i="48"/>
  <c r="BB400" i="48"/>
  <c r="AT400" i="48"/>
  <c r="BM126" i="48"/>
  <c r="BL126" i="48"/>
  <c r="AT126" i="48"/>
  <c r="AS126" i="48"/>
  <c r="AS335" i="48"/>
  <c r="BM335" i="48"/>
  <c r="BB335" i="48"/>
  <c r="BL335" i="48"/>
  <c r="AT335" i="48"/>
  <c r="BL401" i="48"/>
  <c r="BB401" i="48"/>
  <c r="AT401" i="48"/>
  <c r="BM401" i="48"/>
  <c r="AS401" i="48"/>
  <c r="BM528" i="48"/>
  <c r="BB528" i="48"/>
  <c r="AT528" i="48"/>
  <c r="BL528" i="48"/>
  <c r="AS528" i="48"/>
  <c r="BM148" i="48"/>
  <c r="AS148" i="48"/>
  <c r="BL148" i="48"/>
  <c r="AT148" i="48"/>
  <c r="AT104" i="48"/>
  <c r="BM104" i="48"/>
  <c r="AS104" i="48"/>
  <c r="BL104" i="48"/>
  <c r="AT218" i="48"/>
  <c r="AS218" i="48"/>
  <c r="BM218" i="48"/>
  <c r="BL218" i="48"/>
  <c r="BB376" i="48"/>
  <c r="AT376" i="48"/>
  <c r="BM376" i="48"/>
  <c r="AS376" i="48"/>
  <c r="BL376" i="48"/>
  <c r="BL353" i="48"/>
  <c r="BB353" i="48"/>
  <c r="AT353" i="48"/>
  <c r="BM353" i="48"/>
  <c r="AS353" i="48"/>
  <c r="BM517" i="48"/>
  <c r="AT517" i="48"/>
  <c r="BL517" i="48"/>
  <c r="AS517" i="48"/>
  <c r="BB517" i="48"/>
  <c r="BL468" i="48"/>
  <c r="BB468" i="48"/>
  <c r="AT468" i="48"/>
  <c r="BM468" i="48"/>
  <c r="AS468" i="48"/>
  <c r="BB377" i="48"/>
  <c r="AS377" i="48"/>
  <c r="BM377" i="48"/>
  <c r="BL377" i="48"/>
  <c r="AT377" i="48"/>
  <c r="BB382" i="48"/>
  <c r="AT382" i="48"/>
  <c r="BM382" i="48"/>
  <c r="AS382" i="48"/>
  <c r="BL382" i="48"/>
  <c r="BM432" i="48"/>
  <c r="AS432" i="48"/>
  <c r="BL432" i="48"/>
  <c r="BB432" i="48"/>
  <c r="AT432" i="48"/>
  <c r="BB312" i="48"/>
  <c r="AT312" i="48"/>
  <c r="BM312" i="48"/>
  <c r="AS312" i="48"/>
  <c r="BL312" i="48"/>
  <c r="BL497" i="48"/>
  <c r="BB497" i="48"/>
  <c r="AT497" i="48"/>
  <c r="BM497" i="48"/>
  <c r="AS497" i="48"/>
  <c r="AT475" i="48"/>
  <c r="AS475" i="48"/>
  <c r="BM475" i="48"/>
  <c r="BB475" i="48"/>
  <c r="BL475" i="48"/>
  <c r="BB429" i="48"/>
  <c r="AS429" i="48"/>
  <c r="BM429" i="48"/>
  <c r="BL429" i="48"/>
  <c r="AT429" i="48"/>
  <c r="BB361" i="48"/>
  <c r="AS361" i="48"/>
  <c r="BM361" i="48"/>
  <c r="BL361" i="48"/>
  <c r="AT361" i="48"/>
  <c r="AS170" i="48"/>
  <c r="BM170" i="48"/>
  <c r="BL170" i="48"/>
  <c r="AT170" i="48"/>
  <c r="AT474" i="48"/>
  <c r="BB474" i="48"/>
  <c r="AS474" i="48"/>
  <c r="BM474" i="48"/>
  <c r="BL474" i="48"/>
  <c r="AT227" i="48"/>
  <c r="BM227" i="48"/>
  <c r="AS227" i="48"/>
  <c r="BL227" i="48"/>
  <c r="AT327" i="48"/>
  <c r="AS327" i="48"/>
  <c r="BM327" i="48"/>
  <c r="BB327" i="48"/>
  <c r="BL327" i="48"/>
  <c r="BL321" i="48"/>
  <c r="BB321" i="48"/>
  <c r="AT321" i="48"/>
  <c r="BM321" i="48"/>
  <c r="AS321" i="48"/>
  <c r="BL494" i="48"/>
  <c r="AT494" i="48"/>
  <c r="BM494" i="48"/>
  <c r="BB494" i="48"/>
  <c r="AS494" i="48"/>
  <c r="BM467" i="48"/>
  <c r="AS467" i="48"/>
  <c r="BL467" i="48"/>
  <c r="BB467" i="48"/>
  <c r="AT467" i="48"/>
  <c r="AS270" i="48"/>
  <c r="BM270" i="48"/>
  <c r="BL270" i="48"/>
  <c r="AT270" i="48"/>
  <c r="BM274" i="48"/>
  <c r="AT274" i="48"/>
  <c r="BL274" i="48"/>
  <c r="AS274" i="48"/>
  <c r="AT511" i="48"/>
  <c r="BM511" i="48"/>
  <c r="AS511" i="48"/>
  <c r="BL511" i="48"/>
  <c r="BB511" i="48"/>
  <c r="BM298" i="48"/>
  <c r="AS298" i="48"/>
  <c r="BL298" i="48"/>
  <c r="AT298" i="48"/>
  <c r="BB381" i="48"/>
  <c r="AS381" i="48"/>
  <c r="BM381" i="48"/>
  <c r="BL381" i="48"/>
  <c r="AT381" i="48"/>
  <c r="BM500" i="48"/>
  <c r="BB500" i="48"/>
  <c r="AT500" i="48"/>
  <c r="BL500" i="48"/>
  <c r="AS500" i="48"/>
  <c r="BB409" i="48"/>
  <c r="AS409" i="48"/>
  <c r="BM409" i="48"/>
  <c r="BL409" i="48"/>
  <c r="AT409" i="48"/>
  <c r="BL221" i="48"/>
  <c r="AS221" i="48"/>
  <c r="BM221" i="48"/>
  <c r="AT221" i="48"/>
  <c r="BB333" i="48"/>
  <c r="AS333" i="48"/>
  <c r="BM333" i="48"/>
  <c r="BL333" i="48"/>
  <c r="AT333" i="48"/>
  <c r="BM264" i="48"/>
  <c r="AS264" i="48"/>
  <c r="BL264" i="48"/>
  <c r="AT264" i="48"/>
  <c r="BM165" i="48"/>
  <c r="AT165" i="48"/>
  <c r="BL165" i="48"/>
  <c r="AS165" i="48"/>
  <c r="BL268" i="48"/>
  <c r="AT268" i="48"/>
  <c r="BM268" i="48"/>
  <c r="AS268" i="48"/>
  <c r="BM58" i="48"/>
  <c r="BL58" i="48"/>
  <c r="AT58" i="48"/>
  <c r="AS58" i="48"/>
  <c r="BM118" i="48"/>
  <c r="BL118" i="48"/>
  <c r="AT118" i="48"/>
  <c r="AS118" i="48"/>
  <c r="BL308" i="48"/>
  <c r="BB308" i="48"/>
  <c r="AT308" i="48"/>
  <c r="BM308" i="48"/>
  <c r="AS308" i="48"/>
  <c r="BM534" i="48"/>
  <c r="BL534" i="48"/>
  <c r="AT534" i="48"/>
  <c r="BB534" i="48"/>
  <c r="AS534" i="48"/>
  <c r="BL223" i="48"/>
  <c r="AT223" i="48"/>
  <c r="AS223" i="48"/>
  <c r="BM223" i="48"/>
  <c r="BM173" i="48"/>
  <c r="AT173" i="48"/>
  <c r="BL173" i="48"/>
  <c r="AS173" i="48"/>
  <c r="BL155" i="48"/>
  <c r="AT155" i="48"/>
  <c r="AS155" i="48"/>
  <c r="BM155" i="48"/>
  <c r="AS374" i="48"/>
  <c r="BB374" i="48"/>
  <c r="BM374" i="48"/>
  <c r="BL374" i="48"/>
  <c r="AT374" i="48"/>
  <c r="BM158" i="48"/>
  <c r="BL158" i="48"/>
  <c r="AT158" i="48"/>
  <c r="AS158" i="48"/>
  <c r="BM320" i="48"/>
  <c r="AS320" i="48"/>
  <c r="BL320" i="48"/>
  <c r="BB320" i="48"/>
  <c r="AT320" i="48"/>
  <c r="BB386" i="48"/>
  <c r="BM386" i="48"/>
  <c r="AT386" i="48"/>
  <c r="BL386" i="48"/>
  <c r="AS386" i="48"/>
  <c r="AT179" i="48"/>
  <c r="BM179" i="48"/>
  <c r="AS179" i="48"/>
  <c r="BL179" i="48"/>
  <c r="BM230" i="48"/>
  <c r="BL230" i="48"/>
  <c r="AT230" i="48"/>
  <c r="AS230" i="48"/>
  <c r="AT276" i="48"/>
  <c r="BM276" i="48"/>
  <c r="AS276" i="48"/>
  <c r="BL276" i="48"/>
  <c r="BB541" i="48"/>
  <c r="BM541" i="48"/>
  <c r="AT541" i="48"/>
  <c r="BL541" i="48"/>
  <c r="AS541" i="48"/>
  <c r="AT215" i="48"/>
  <c r="AS215" i="48"/>
  <c r="BM215" i="48"/>
  <c r="BL215" i="48"/>
  <c r="BM485" i="48"/>
  <c r="BL485" i="48"/>
  <c r="AT485" i="48"/>
  <c r="BB485" i="48"/>
  <c r="AS485" i="48"/>
  <c r="AT147" i="48"/>
  <c r="BM147" i="48"/>
  <c r="AS147" i="48"/>
  <c r="BL147" i="48"/>
  <c r="BM82" i="48"/>
  <c r="AT82" i="48"/>
  <c r="BL82" i="48"/>
  <c r="AS82" i="48"/>
  <c r="AT83" i="48"/>
  <c r="BM83" i="48"/>
  <c r="AS83" i="48"/>
  <c r="BL83" i="48"/>
  <c r="BB354" i="48"/>
  <c r="BM354" i="48"/>
  <c r="AT354" i="48"/>
  <c r="BL354" i="48"/>
  <c r="AS354" i="48"/>
  <c r="BM540" i="48"/>
  <c r="AS540" i="48"/>
  <c r="BL540" i="48"/>
  <c r="BB540" i="48"/>
  <c r="AT540" i="48"/>
  <c r="AT78" i="48"/>
  <c r="BM78" i="48"/>
  <c r="AS78" i="48"/>
  <c r="BL78" i="48"/>
  <c r="BB441" i="48"/>
  <c r="AS441" i="48"/>
  <c r="BM441" i="48"/>
  <c r="BL441" i="48"/>
  <c r="AT441" i="48"/>
  <c r="BL291" i="48"/>
  <c r="AT291" i="48"/>
  <c r="AS291" i="48"/>
  <c r="BM291" i="48"/>
  <c r="BM177" i="48"/>
  <c r="AS177" i="48"/>
  <c r="BL177" i="48"/>
  <c r="AT177" i="48"/>
  <c r="BL212" i="48"/>
  <c r="AT212" i="48"/>
  <c r="BM212" i="48"/>
  <c r="AS212" i="48"/>
  <c r="BM208" i="48"/>
  <c r="AS208" i="48"/>
  <c r="BL208" i="48"/>
  <c r="AT208" i="48"/>
  <c r="BB525" i="48"/>
  <c r="BM525" i="48"/>
  <c r="AT525" i="48"/>
  <c r="BL525" i="48"/>
  <c r="AS525" i="48"/>
  <c r="BB445" i="48"/>
  <c r="AS445" i="48"/>
  <c r="BM445" i="48"/>
  <c r="BL445" i="48"/>
  <c r="AT445" i="48"/>
  <c r="AS303" i="48"/>
  <c r="BM303" i="48"/>
  <c r="BB303" i="48"/>
  <c r="BL303" i="48"/>
  <c r="AT303" i="48"/>
  <c r="AT174" i="48"/>
  <c r="AS174" i="48"/>
  <c r="BM174" i="48"/>
  <c r="BL174" i="48"/>
  <c r="BL150" i="48"/>
  <c r="AT150" i="48"/>
  <c r="AS150" i="48"/>
  <c r="BM150" i="48"/>
  <c r="AT188" i="48"/>
  <c r="BM188" i="48"/>
  <c r="AS188" i="48"/>
  <c r="BL188" i="48"/>
  <c r="BL245" i="48"/>
  <c r="AS245" i="48"/>
  <c r="BM245" i="48"/>
  <c r="AT245" i="48"/>
  <c r="AT314" i="48"/>
  <c r="BB314" i="48"/>
  <c r="AS314" i="48"/>
  <c r="BM314" i="48"/>
  <c r="BL314" i="48"/>
  <c r="BM437" i="48"/>
  <c r="AT437" i="48"/>
  <c r="BL437" i="48"/>
  <c r="AS437" i="48"/>
  <c r="BB437" i="48"/>
  <c r="BL275" i="48"/>
  <c r="AT275" i="48"/>
  <c r="BM275" i="48"/>
  <c r="AS275" i="48"/>
  <c r="BB313" i="48"/>
  <c r="AS313" i="48"/>
  <c r="BM313" i="48"/>
  <c r="BL313" i="48"/>
  <c r="AT313" i="48"/>
  <c r="BL449" i="48"/>
  <c r="BB449" i="48"/>
  <c r="AT449" i="48"/>
  <c r="BM449" i="48"/>
  <c r="AS449" i="48"/>
  <c r="BL232" i="48"/>
  <c r="AT232" i="48"/>
  <c r="BM232" i="48"/>
  <c r="AS232" i="48"/>
  <c r="AT99" i="48"/>
  <c r="BM99" i="48"/>
  <c r="AS99" i="48"/>
  <c r="BL99" i="48"/>
  <c r="BB350" i="48"/>
  <c r="AT350" i="48"/>
  <c r="BM350" i="48"/>
  <c r="AS350" i="48"/>
  <c r="BL350" i="48"/>
  <c r="BM265" i="48"/>
  <c r="BL265" i="48"/>
  <c r="AT265" i="48"/>
  <c r="AS265" i="48"/>
  <c r="AT88" i="48"/>
  <c r="BM88" i="48"/>
  <c r="AS88" i="48"/>
  <c r="BL88" i="48"/>
  <c r="BL185" i="48"/>
  <c r="AT185" i="48"/>
  <c r="AS185" i="48"/>
  <c r="BM185" i="48"/>
  <c r="BL70" i="48"/>
  <c r="AT70" i="48"/>
  <c r="AS70" i="48"/>
  <c r="BM70" i="48"/>
  <c r="AT96" i="48"/>
  <c r="BM96" i="48"/>
  <c r="AS96" i="48"/>
  <c r="BL96" i="48"/>
  <c r="AS263" i="48"/>
  <c r="BM263" i="48"/>
  <c r="BL263" i="48"/>
  <c r="AT263" i="48"/>
  <c r="AS447" i="48"/>
  <c r="BM447" i="48"/>
  <c r="BB447" i="48"/>
  <c r="BL447" i="48"/>
  <c r="AT447" i="48"/>
  <c r="AT458" i="48"/>
  <c r="BB458" i="48"/>
  <c r="AS458" i="48"/>
  <c r="BM458" i="48"/>
  <c r="BL458" i="48"/>
  <c r="BL151" i="48"/>
  <c r="AT151" i="48"/>
  <c r="AS151" i="48"/>
  <c r="BM151" i="48"/>
  <c r="AT64" i="48"/>
  <c r="BM64" i="48"/>
  <c r="AS64" i="48"/>
  <c r="BL64" i="48"/>
  <c r="BB552" i="48"/>
  <c r="AT552" i="48"/>
  <c r="BM552" i="48"/>
  <c r="AS552" i="48"/>
  <c r="BL552" i="48"/>
  <c r="AS399" i="48"/>
  <c r="BM399" i="48"/>
  <c r="BB399" i="48"/>
  <c r="BL399" i="48"/>
  <c r="AT399" i="48"/>
  <c r="AT113" i="48"/>
  <c r="BM113" i="48"/>
  <c r="AS113" i="48"/>
  <c r="BL113" i="48"/>
  <c r="AT95" i="48"/>
  <c r="AS95" i="48"/>
  <c r="BM95" i="48"/>
  <c r="BL95" i="48"/>
  <c r="BB440" i="48"/>
  <c r="AT440" i="48"/>
  <c r="BM440" i="48"/>
  <c r="AS440" i="48"/>
  <c r="BL440" i="48"/>
  <c r="BM100" i="48"/>
  <c r="AS100" i="48"/>
  <c r="BL100" i="48"/>
  <c r="AT100" i="48"/>
  <c r="BB306" i="48"/>
  <c r="BM306" i="48"/>
  <c r="AT306" i="48"/>
  <c r="BL306" i="48"/>
  <c r="AS306" i="48"/>
  <c r="BM85" i="48"/>
  <c r="AT85" i="48"/>
  <c r="BL85" i="48"/>
  <c r="AS85" i="48"/>
  <c r="BM205" i="48"/>
  <c r="AT205" i="48"/>
  <c r="BL205" i="48"/>
  <c r="AS205" i="48"/>
  <c r="AT129" i="48"/>
  <c r="BM129" i="48"/>
  <c r="AS129" i="48"/>
  <c r="BL129" i="48"/>
  <c r="BB460" i="48"/>
  <c r="AT460" i="48"/>
  <c r="BM460" i="48"/>
  <c r="AS460" i="48"/>
  <c r="BL460" i="48"/>
  <c r="BM213" i="48"/>
  <c r="AT213" i="48"/>
  <c r="BL213" i="48"/>
  <c r="AS213" i="48"/>
  <c r="AT363" i="48"/>
  <c r="AS363" i="48"/>
  <c r="BM363" i="48"/>
  <c r="BB363" i="48"/>
  <c r="BL363" i="48"/>
  <c r="BL87" i="48"/>
  <c r="AT87" i="48"/>
  <c r="AS87" i="48"/>
  <c r="BM87" i="48"/>
  <c r="BL160" i="48"/>
  <c r="AT160" i="48"/>
  <c r="BM160" i="48"/>
  <c r="AS160" i="48"/>
  <c r="BM247" i="48"/>
  <c r="BL247" i="48"/>
  <c r="AT247" i="48"/>
  <c r="AS247" i="48"/>
  <c r="BM537" i="48"/>
  <c r="AT537" i="48"/>
  <c r="BL537" i="48"/>
  <c r="AS537" i="48"/>
  <c r="BB537" i="48"/>
  <c r="BM140" i="48"/>
  <c r="AS140" i="48"/>
  <c r="BL140" i="48"/>
  <c r="AT140" i="48"/>
  <c r="BM508" i="48"/>
  <c r="BB508" i="48"/>
  <c r="AT508" i="48"/>
  <c r="BL508" i="48"/>
  <c r="AS508" i="48"/>
  <c r="BB457" i="48"/>
  <c r="AS457" i="48"/>
  <c r="BM457" i="48"/>
  <c r="BL457" i="48"/>
  <c r="AT457" i="48"/>
  <c r="BM325" i="48"/>
  <c r="AT325" i="48"/>
  <c r="BL325" i="48"/>
  <c r="AS325" i="48"/>
  <c r="BB325" i="48"/>
  <c r="BL554" i="48"/>
  <c r="AT554" i="48"/>
  <c r="BB554" i="48"/>
  <c r="AS554" i="48"/>
  <c r="BM554" i="48"/>
  <c r="BB332" i="48"/>
  <c r="AT332" i="48"/>
  <c r="BM332" i="48"/>
  <c r="AS332" i="48"/>
  <c r="BL332" i="48"/>
  <c r="BB473" i="48"/>
  <c r="AS473" i="48"/>
  <c r="BM473" i="48"/>
  <c r="BL473" i="48"/>
  <c r="AT473" i="48"/>
  <c r="BL183" i="48"/>
  <c r="AT183" i="48"/>
  <c r="AS183" i="48"/>
  <c r="BM183" i="48"/>
  <c r="BM543" i="48"/>
  <c r="AS543" i="48"/>
  <c r="BL543" i="48"/>
  <c r="BB543" i="48"/>
  <c r="AT543" i="48"/>
  <c r="AT115" i="48"/>
  <c r="BM115" i="48"/>
  <c r="AS115" i="48"/>
  <c r="BL115" i="48"/>
  <c r="BM435" i="48"/>
  <c r="AS435" i="48"/>
  <c r="BL435" i="48"/>
  <c r="BB435" i="48"/>
  <c r="AT435" i="48"/>
  <c r="BB430" i="48"/>
  <c r="AT430" i="48"/>
  <c r="BM430" i="48"/>
  <c r="AS430" i="48"/>
  <c r="BL430" i="48"/>
  <c r="BL235" i="48"/>
  <c r="AT235" i="48"/>
  <c r="AS235" i="48"/>
  <c r="BM235" i="48"/>
  <c r="AS138" i="48"/>
  <c r="BM138" i="48"/>
  <c r="BL138" i="48"/>
  <c r="AT138" i="48"/>
  <c r="BM341" i="48"/>
  <c r="AT341" i="48"/>
  <c r="BL341" i="48"/>
  <c r="AS341" i="48"/>
  <c r="BB341" i="48"/>
  <c r="BM233" i="48"/>
  <c r="BL233" i="48"/>
  <c r="AT233" i="48"/>
  <c r="AS233" i="48"/>
  <c r="BM483" i="48"/>
  <c r="AS483" i="48"/>
  <c r="BL483" i="48"/>
  <c r="BB483" i="48"/>
  <c r="AT483" i="48"/>
  <c r="BM532" i="48"/>
  <c r="BB532" i="48"/>
  <c r="AT532" i="48"/>
  <c r="BL532" i="48"/>
  <c r="AS532" i="48"/>
  <c r="AC532" i="48" s="1"/>
  <c r="BC532" i="48" s="1"/>
  <c r="BL102" i="48"/>
  <c r="AT102" i="48"/>
  <c r="AS102" i="48"/>
  <c r="BM102" i="48"/>
  <c r="AS470" i="48"/>
  <c r="BB470" i="48"/>
  <c r="BM470" i="48"/>
  <c r="BL470" i="48"/>
  <c r="AT470" i="48"/>
  <c r="BB1150" i="48"/>
  <c r="BM1150" i="48"/>
  <c r="AT1150" i="48"/>
  <c r="BL1150" i="48"/>
  <c r="AS1150" i="48"/>
  <c r="AC1150" i="48" s="1"/>
  <c r="BC1150" i="48" s="1"/>
  <c r="BL1004" i="48"/>
  <c r="BB1004" i="48"/>
  <c r="AT1004" i="48"/>
  <c r="BM1004" i="48"/>
  <c r="AS1004" i="48"/>
  <c r="AC1004" i="48" s="1"/>
  <c r="BC1004" i="48" s="1"/>
  <c r="AS1531" i="48"/>
  <c r="AC1531" i="48" s="1"/>
  <c r="BC1531" i="48" s="1"/>
  <c r="BM1531" i="48"/>
  <c r="BL1531" i="48"/>
  <c r="BB1531" i="48"/>
  <c r="AT1531" i="48"/>
  <c r="BM563" i="48"/>
  <c r="BL563" i="48"/>
  <c r="BB563" i="48"/>
  <c r="AT563" i="48"/>
  <c r="AS563" i="48"/>
  <c r="BB711" i="48"/>
  <c r="AT711" i="48"/>
  <c r="BM711" i="48"/>
  <c r="AS711" i="48"/>
  <c r="BL711" i="48"/>
  <c r="BM827" i="48"/>
  <c r="BL827" i="48"/>
  <c r="AT827" i="48"/>
  <c r="AS827" i="48"/>
  <c r="AC827" i="48" s="1"/>
  <c r="BC827" i="48" s="1"/>
  <c r="BB827" i="48"/>
  <c r="BL1672" i="48"/>
  <c r="AT1672" i="48"/>
  <c r="BB1672" i="48"/>
  <c r="AS1672" i="48"/>
  <c r="AB1672" i="48" s="1"/>
  <c r="BM1672" i="48"/>
  <c r="BL2017" i="48"/>
  <c r="BB2017" i="48"/>
  <c r="AS2017" i="48"/>
  <c r="BM2017" i="48"/>
  <c r="AT2017" i="48"/>
  <c r="BM833" i="48"/>
  <c r="AS833" i="48"/>
  <c r="AB833" i="48" s="1"/>
  <c r="BL833" i="48"/>
  <c r="BB833" i="48"/>
  <c r="AT833" i="48"/>
  <c r="BB1270" i="48"/>
  <c r="BM1270" i="48"/>
  <c r="AT1270" i="48"/>
  <c r="BL1270" i="48"/>
  <c r="AS1270" i="48"/>
  <c r="BM573" i="48"/>
  <c r="BB573" i="48"/>
  <c r="BL573" i="48"/>
  <c r="AT573" i="48"/>
  <c r="AS573" i="48"/>
  <c r="AC573" i="48" s="1"/>
  <c r="BC573" i="48" s="1"/>
  <c r="BL806" i="48"/>
  <c r="AT806" i="48"/>
  <c r="BB806" i="48"/>
  <c r="AS806" i="48"/>
  <c r="BM806" i="48"/>
  <c r="BM1676" i="48"/>
  <c r="BL1676" i="48"/>
  <c r="AT1676" i="48"/>
  <c r="BB1676" i="48"/>
  <c r="AS1676" i="48"/>
  <c r="BB1993" i="48"/>
  <c r="AT1993" i="48"/>
  <c r="AS1993" i="48"/>
  <c r="BM1993" i="48"/>
  <c r="BL1993" i="48"/>
  <c r="BM975" i="48"/>
  <c r="BL975" i="48"/>
  <c r="AT975" i="48"/>
  <c r="BB975" i="48"/>
  <c r="AS975" i="48"/>
  <c r="AC975" i="48" s="1"/>
  <c r="BC975" i="48" s="1"/>
  <c r="BM708" i="48"/>
  <c r="BB708" i="48"/>
  <c r="BL708" i="48"/>
  <c r="AT708" i="48"/>
  <c r="AS708" i="48"/>
  <c r="AS1822" i="48"/>
  <c r="BM1822" i="48"/>
  <c r="BL1822" i="48"/>
  <c r="AT1822" i="48"/>
  <c r="BB1822" i="48"/>
  <c r="BM1048" i="48"/>
  <c r="AS1048" i="48"/>
  <c r="AC1048" i="48" s="1"/>
  <c r="BC1048" i="48" s="1"/>
  <c r="BL1048" i="48"/>
  <c r="BB1048" i="48"/>
  <c r="AT1048" i="48"/>
  <c r="BM914" i="48"/>
  <c r="BL914" i="48"/>
  <c r="AT914" i="48"/>
  <c r="BB914" i="48"/>
  <c r="AS914" i="48"/>
  <c r="BL1290" i="48"/>
  <c r="AT1290" i="48"/>
  <c r="AS1290" i="48"/>
  <c r="BB1290" i="48"/>
  <c r="BM1290" i="48"/>
  <c r="BL1197" i="48"/>
  <c r="AS1197" i="48"/>
  <c r="BB1197" i="48"/>
  <c r="BM1197" i="48"/>
  <c r="AT1197" i="48"/>
  <c r="BM1524" i="48"/>
  <c r="AS1524" i="48"/>
  <c r="AC1524" i="48" s="1"/>
  <c r="BC1524" i="48" s="1"/>
  <c r="BL1524" i="48"/>
  <c r="BB1524" i="48"/>
  <c r="AT1524" i="48"/>
  <c r="BB565" i="48"/>
  <c r="BM565" i="48"/>
  <c r="AT565" i="48"/>
  <c r="BL565" i="48"/>
  <c r="AS565" i="48"/>
  <c r="AC565" i="48" s="1"/>
  <c r="BC565" i="48" s="1"/>
  <c r="BL1670" i="48"/>
  <c r="AS1670" i="48"/>
  <c r="AC1670" i="48" s="1"/>
  <c r="BC1670" i="48" s="1"/>
  <c r="BB1670" i="48"/>
  <c r="BM1670" i="48"/>
  <c r="AT1670" i="48"/>
  <c r="BM1898" i="48"/>
  <c r="BB1898" i="48"/>
  <c r="AT1898" i="48"/>
  <c r="BL1898" i="48"/>
  <c r="AS1898" i="48"/>
  <c r="BM1575" i="48"/>
  <c r="BL1575" i="48"/>
  <c r="BB1575" i="48"/>
  <c r="AT1575" i="48"/>
  <c r="AS1575" i="48"/>
  <c r="AS1287" i="48"/>
  <c r="BM1287" i="48"/>
  <c r="BB1287" i="48"/>
  <c r="BL1287" i="48"/>
  <c r="AT1287" i="48"/>
  <c r="BB747" i="48"/>
  <c r="BM747" i="48"/>
  <c r="BL747" i="48"/>
  <c r="AT747" i="48"/>
  <c r="AS747" i="48"/>
  <c r="BB1378" i="48"/>
  <c r="BM1378" i="48"/>
  <c r="AT1378" i="48"/>
  <c r="BL1378" i="48"/>
  <c r="AS1378" i="48"/>
  <c r="BL1923" i="48"/>
  <c r="AS1923" i="48"/>
  <c r="BB1923" i="48"/>
  <c r="AT1923" i="48"/>
  <c r="BM1923" i="48"/>
  <c r="AT1340" i="48"/>
  <c r="BB1340" i="48"/>
  <c r="AS1340" i="48"/>
  <c r="BM1340" i="48"/>
  <c r="BL1340" i="48"/>
  <c r="BL1360" i="48"/>
  <c r="AT1360" i="48"/>
  <c r="BB1360" i="48"/>
  <c r="AS1360" i="48"/>
  <c r="AC1360" i="48" s="1"/>
  <c r="BC1360" i="48" s="1"/>
  <c r="BM1360" i="48"/>
  <c r="BL1973" i="48"/>
  <c r="BB1973" i="48"/>
  <c r="AT1973" i="48"/>
  <c r="AS1973" i="48"/>
  <c r="BM1973" i="48"/>
  <c r="BM1272" i="48"/>
  <c r="AS1272" i="48"/>
  <c r="AB1272" i="48" s="1"/>
  <c r="BL1272" i="48"/>
  <c r="BB1272" i="48"/>
  <c r="AT1272" i="48"/>
  <c r="BL818" i="48"/>
  <c r="AS818" i="48"/>
  <c r="BB818" i="48"/>
  <c r="BM818" i="48"/>
  <c r="AT818" i="48"/>
  <c r="BM925" i="48"/>
  <c r="BB925" i="48"/>
  <c r="AT925" i="48"/>
  <c r="BL925" i="48"/>
  <c r="AS925" i="48"/>
  <c r="AT1595" i="48"/>
  <c r="AS1595" i="48"/>
  <c r="BM1595" i="48"/>
  <c r="BB1595" i="48"/>
  <c r="BL1595" i="48"/>
  <c r="AS1511" i="48"/>
  <c r="BB1511" i="48"/>
  <c r="BM1511" i="48"/>
  <c r="BL1511" i="48"/>
  <c r="AT1511" i="48"/>
  <c r="BM872" i="48"/>
  <c r="BB872" i="48"/>
  <c r="BL872" i="48"/>
  <c r="AT872" i="48"/>
  <c r="AS872" i="48"/>
  <c r="AB872" i="48" s="1"/>
  <c r="BL607" i="48"/>
  <c r="AT607" i="48"/>
  <c r="BB607" i="48"/>
  <c r="AS607" i="48"/>
  <c r="AC607" i="48" s="1"/>
  <c r="BC607" i="48" s="1"/>
  <c r="BM607" i="48"/>
  <c r="BL852" i="48"/>
  <c r="BB852" i="48"/>
  <c r="AT852" i="48"/>
  <c r="AS852" i="48"/>
  <c r="BM852" i="48"/>
  <c r="BM1796" i="48"/>
  <c r="AT1796" i="48"/>
  <c r="BL1796" i="48"/>
  <c r="AS1796" i="48"/>
  <c r="BB1796" i="48"/>
  <c r="BL1459" i="48"/>
  <c r="AS1459" i="48"/>
  <c r="BB1459" i="48"/>
  <c r="BM1459" i="48"/>
  <c r="AT1459" i="48"/>
  <c r="BM1208" i="48"/>
  <c r="AS1208" i="48"/>
  <c r="BL1208" i="48"/>
  <c r="BB1208" i="48"/>
  <c r="AT1208" i="48"/>
  <c r="BL560" i="48"/>
  <c r="BB560" i="48"/>
  <c r="AT560" i="48"/>
  <c r="BM560" i="48"/>
  <c r="AS560" i="48"/>
  <c r="BM1370" i="48"/>
  <c r="BL1370" i="48"/>
  <c r="AT1370" i="48"/>
  <c r="AS1370" i="48"/>
  <c r="BB1370" i="48"/>
  <c r="BM2022" i="48"/>
  <c r="BB2022" i="48"/>
  <c r="BL2022" i="48"/>
  <c r="AT2022" i="48"/>
  <c r="AS2022" i="48"/>
  <c r="BM639" i="48"/>
  <c r="BL639" i="48"/>
  <c r="AT639" i="48"/>
  <c r="BB639" i="48"/>
  <c r="AS639" i="48"/>
  <c r="BL1756" i="48"/>
  <c r="BB1756" i="48"/>
  <c r="AT1756" i="48"/>
  <c r="BM1756" i="48"/>
  <c r="AS1756" i="48"/>
  <c r="AC1756" i="48" s="1"/>
  <c r="BC1756" i="48" s="1"/>
  <c r="BB1783" i="48"/>
  <c r="AT1783" i="48"/>
  <c r="BM1783" i="48"/>
  <c r="AS1783" i="48"/>
  <c r="BL1783" i="48"/>
  <c r="AT1873" i="48"/>
  <c r="BB1873" i="48"/>
  <c r="AS1873" i="48"/>
  <c r="AB1873" i="48" s="1"/>
  <c r="BM1873" i="48"/>
  <c r="BL1873" i="48"/>
  <c r="AS920" i="48"/>
  <c r="BM920" i="48"/>
  <c r="BB920" i="48"/>
  <c r="AT920" i="48"/>
  <c r="BL920" i="48"/>
  <c r="BM1817" i="48"/>
  <c r="BL1817" i="48"/>
  <c r="BB1817" i="48"/>
  <c r="AT1817" i="48"/>
  <c r="AS1817" i="48"/>
  <c r="BM1521" i="48"/>
  <c r="BL1521" i="48"/>
  <c r="AT1521" i="48"/>
  <c r="AS1521" i="48"/>
  <c r="BB1521" i="48"/>
  <c r="BM616" i="48"/>
  <c r="BB616" i="48"/>
  <c r="BL616" i="48"/>
  <c r="AT616" i="48"/>
  <c r="AS616" i="48"/>
  <c r="AC616" i="48" s="1"/>
  <c r="BC616" i="48" s="1"/>
  <c r="BL1081" i="48"/>
  <c r="BB1081" i="48"/>
  <c r="AT1081" i="48"/>
  <c r="BM1081" i="48"/>
  <c r="AS1081" i="48"/>
  <c r="BM1678" i="48"/>
  <c r="BB1678" i="48"/>
  <c r="BL1678" i="48"/>
  <c r="AT1678" i="48"/>
  <c r="AS1678" i="48"/>
  <c r="AT2032" i="48"/>
  <c r="BB2032" i="48"/>
  <c r="AS2032" i="48"/>
  <c r="BM2032" i="48"/>
  <c r="BL2032" i="48"/>
  <c r="BM1617" i="48"/>
  <c r="AT1617" i="48"/>
  <c r="BL1617" i="48"/>
  <c r="AS1617" i="48"/>
  <c r="BB1617" i="48"/>
  <c r="BM846" i="48"/>
  <c r="AT846" i="48"/>
  <c r="BL846" i="48"/>
  <c r="AS846" i="48"/>
  <c r="BB846" i="48"/>
  <c r="BM900" i="48"/>
  <c r="BB900" i="48"/>
  <c r="BL900" i="48"/>
  <c r="AT900" i="48"/>
  <c r="AS900" i="48"/>
  <c r="BM1654" i="48"/>
  <c r="BL1654" i="48"/>
  <c r="AT1654" i="48"/>
  <c r="AS1654" i="48"/>
  <c r="BB1654" i="48"/>
  <c r="BB861" i="48"/>
  <c r="AT861" i="48"/>
  <c r="BM861" i="48"/>
  <c r="AS861" i="48"/>
  <c r="AB861" i="48" s="1"/>
  <c r="BL861" i="48"/>
  <c r="BB1739" i="48"/>
  <c r="AT1739" i="48"/>
  <c r="BM1739" i="48"/>
  <c r="AS1739" i="48"/>
  <c r="BL1739" i="48"/>
  <c r="BL1377" i="48"/>
  <c r="BB1377" i="48"/>
  <c r="AT1377" i="48"/>
  <c r="BM1377" i="48"/>
  <c r="AS1377" i="48"/>
  <c r="AC1377" i="48" s="1"/>
  <c r="BC1377" i="48" s="1"/>
  <c r="BM1406" i="48"/>
  <c r="AS1406" i="48"/>
  <c r="BL1406" i="48"/>
  <c r="BB1406" i="48"/>
  <c r="AT1406" i="48"/>
  <c r="BL1627" i="48"/>
  <c r="AT1627" i="48"/>
  <c r="AS1627" i="48"/>
  <c r="AC1627" i="48" s="1"/>
  <c r="BC1627" i="48" s="1"/>
  <c r="BM1627" i="48"/>
  <c r="BB1627" i="48"/>
  <c r="AS1307" i="48"/>
  <c r="BM1307" i="48"/>
  <c r="BB1307" i="48"/>
  <c r="BL1307" i="48"/>
  <c r="AT1307" i="48"/>
  <c r="BL1636" i="48"/>
  <c r="BB1636" i="48"/>
  <c r="AT1636" i="48"/>
  <c r="BM1636" i="48"/>
  <c r="AS1636" i="48"/>
  <c r="BL972" i="48"/>
  <c r="AT972" i="48"/>
  <c r="AS972" i="48"/>
  <c r="BM972" i="48"/>
  <c r="BB972" i="48"/>
  <c r="BM1171" i="48"/>
  <c r="AS1171" i="48"/>
  <c r="BL1171" i="48"/>
  <c r="BB1171" i="48"/>
  <c r="AT1171" i="48"/>
  <c r="BM1955" i="48"/>
  <c r="AS1955" i="48"/>
  <c r="AB1955" i="48" s="1"/>
  <c r="BL1955" i="48"/>
  <c r="BB1955" i="48"/>
  <c r="AT1955" i="48"/>
  <c r="BB1400" i="48"/>
  <c r="BM1400" i="48"/>
  <c r="BL1400" i="48"/>
  <c r="AT1400" i="48"/>
  <c r="AS1400" i="48"/>
  <c r="AC1400" i="48" s="1"/>
  <c r="BC1400" i="48" s="1"/>
  <c r="AT1936" i="48"/>
  <c r="BM1936" i="48"/>
  <c r="AS1936" i="48"/>
  <c r="BL1936" i="48"/>
  <c r="BB1936" i="48"/>
  <c r="AT1477" i="48"/>
  <c r="BM1477" i="48"/>
  <c r="AS1477" i="48"/>
  <c r="BL1477" i="48"/>
  <c r="BB1477" i="48"/>
  <c r="BL1624" i="48"/>
  <c r="BB1624" i="48"/>
  <c r="AT1624" i="48"/>
  <c r="BM1624" i="48"/>
  <c r="AS1624" i="48"/>
  <c r="BB727" i="48"/>
  <c r="AT727" i="48"/>
  <c r="BM727" i="48"/>
  <c r="AS727" i="48"/>
  <c r="BL727" i="48"/>
  <c r="BL1161" i="48"/>
  <c r="BB1161" i="48"/>
  <c r="AT1161" i="48"/>
  <c r="AS1161" i="48"/>
  <c r="BM1161" i="48"/>
  <c r="BB1943" i="48"/>
  <c r="AT1943" i="48"/>
  <c r="BM1943" i="48"/>
  <c r="AS1943" i="48"/>
  <c r="BL1943" i="48"/>
  <c r="BM1437" i="48"/>
  <c r="BB1437" i="48"/>
  <c r="BL1437" i="48"/>
  <c r="AT1437" i="48"/>
  <c r="AS1437" i="48"/>
  <c r="BM1253" i="48"/>
  <c r="AT1253" i="48"/>
  <c r="BL1253" i="48"/>
  <c r="AS1253" i="48"/>
  <c r="BB1253" i="48"/>
  <c r="BM564" i="48"/>
  <c r="AS564" i="48"/>
  <c r="AB564" i="48" s="1"/>
  <c r="BL564" i="48"/>
  <c r="BB564" i="48"/>
  <c r="AT564" i="48"/>
  <c r="BM2034" i="48"/>
  <c r="BB2034" i="48"/>
  <c r="AT2034" i="48"/>
  <c r="BL2034" i="48"/>
  <c r="AS2034" i="48"/>
  <c r="BM1093" i="48"/>
  <c r="BB1093" i="48"/>
  <c r="AT1093" i="48"/>
  <c r="BL1093" i="48"/>
  <c r="AS1093" i="48"/>
  <c r="BB1416" i="48"/>
  <c r="AS1416" i="48"/>
  <c r="AC1416" i="48" s="1"/>
  <c r="BC1416" i="48" s="1"/>
  <c r="BM1416" i="48"/>
  <c r="BL1416" i="48"/>
  <c r="AT1416" i="48"/>
  <c r="BB906" i="48"/>
  <c r="AS906" i="48"/>
  <c r="BM906" i="48"/>
  <c r="BL906" i="48"/>
  <c r="AT906" i="48"/>
  <c r="BB860" i="48"/>
  <c r="AT860" i="48"/>
  <c r="BM860" i="48"/>
  <c r="AS860" i="48"/>
  <c r="BL860" i="48"/>
  <c r="BM2025" i="48"/>
  <c r="BL2025" i="48"/>
  <c r="AT2025" i="48"/>
  <c r="AS2025" i="48"/>
  <c r="AC2025" i="48" s="1"/>
  <c r="BC2025" i="48" s="1"/>
  <c r="BB2025" i="48"/>
  <c r="AT1032" i="48"/>
  <c r="BM1032" i="48"/>
  <c r="AS1032" i="48"/>
  <c r="AB1032" i="48" s="1"/>
  <c r="BL1032" i="48"/>
  <c r="BB1032" i="48"/>
  <c r="AT1693" i="48"/>
  <c r="BB1693" i="48"/>
  <c r="AS1693" i="48"/>
  <c r="BM1693" i="48"/>
  <c r="BL1693" i="48"/>
  <c r="AT1607" i="48"/>
  <c r="AS1607" i="48"/>
  <c r="BM1607" i="48"/>
  <c r="BB1607" i="48"/>
  <c r="BL1607" i="48"/>
  <c r="BM1513" i="48"/>
  <c r="BB1513" i="48"/>
  <c r="BL1513" i="48"/>
  <c r="AT1513" i="48"/>
  <c r="AS1513" i="48"/>
  <c r="BM1867" i="48"/>
  <c r="AT1867" i="48"/>
  <c r="BL1867" i="48"/>
  <c r="AS1867" i="48"/>
  <c r="BB1867" i="48"/>
  <c r="BM1622" i="48"/>
  <c r="BL1622" i="48"/>
  <c r="AT1622" i="48"/>
  <c r="AS1622" i="48"/>
  <c r="BB1622" i="48"/>
  <c r="BB695" i="48"/>
  <c r="AS695" i="48"/>
  <c r="BM695" i="48"/>
  <c r="BL695" i="48"/>
  <c r="AT695" i="48"/>
  <c r="BB1926" i="48"/>
  <c r="AT1926" i="48"/>
  <c r="BM1926" i="48"/>
  <c r="AS1926" i="48"/>
  <c r="BL1926" i="48"/>
  <c r="BM1963" i="48"/>
  <c r="AS1963" i="48"/>
  <c r="BL1963" i="48"/>
  <c r="AT1963" i="48"/>
  <c r="BB1963" i="48"/>
  <c r="BB1458" i="48"/>
  <c r="AT1458" i="48"/>
  <c r="BM1458" i="48"/>
  <c r="AS1458" i="48"/>
  <c r="BL1458" i="48"/>
  <c r="AT1266" i="48"/>
  <c r="BB1266" i="48"/>
  <c r="AS1266" i="48"/>
  <c r="BM1266" i="48"/>
  <c r="BL1266" i="48"/>
  <c r="BL1682" i="48"/>
  <c r="BM1682" i="48"/>
  <c r="AT1682" i="48"/>
  <c r="AS1682" i="48"/>
  <c r="AC1682" i="48" s="1"/>
  <c r="BC1682" i="48" s="1"/>
  <c r="BB1682" i="48"/>
  <c r="BM792" i="48"/>
  <c r="BB792" i="48"/>
  <c r="BL792" i="48"/>
  <c r="AT792" i="48"/>
  <c r="AS792" i="48"/>
  <c r="BM1834" i="48"/>
  <c r="AT1834" i="48"/>
  <c r="BL1834" i="48"/>
  <c r="AS1834" i="48"/>
  <c r="BB1834" i="48"/>
  <c r="BB1843" i="48"/>
  <c r="BM1843" i="48"/>
  <c r="AT1843" i="48"/>
  <c r="AS1843" i="48"/>
  <c r="BL1843" i="48"/>
  <c r="BL1711" i="48"/>
  <c r="AT1711" i="48"/>
  <c r="BM1711" i="48"/>
  <c r="AS1711" i="48"/>
  <c r="BB1711" i="48"/>
  <c r="BM651" i="48"/>
  <c r="BL651" i="48"/>
  <c r="AT651" i="48"/>
  <c r="AS651" i="48"/>
  <c r="BB651" i="48"/>
  <c r="BL1327" i="48"/>
  <c r="AT1327" i="48"/>
  <c r="AS1327" i="48"/>
  <c r="BM1327" i="48"/>
  <c r="BB1327" i="48"/>
  <c r="BL1492" i="48"/>
  <c r="AT1492" i="48"/>
  <c r="BB1492" i="48"/>
  <c r="AS1492" i="48"/>
  <c r="BM1492" i="48"/>
  <c r="BB1051" i="48"/>
  <c r="AS1051" i="48"/>
  <c r="BM1051" i="48"/>
  <c r="BL1051" i="48"/>
  <c r="AT1051" i="48"/>
  <c r="BL1647" i="48"/>
  <c r="AT1647" i="48"/>
  <c r="AS1647" i="48"/>
  <c r="BM1647" i="48"/>
  <c r="BB1647" i="48"/>
  <c r="BB1268" i="48"/>
  <c r="AT1268" i="48"/>
  <c r="BM1268" i="48"/>
  <c r="AS1268" i="48"/>
  <c r="AC1268" i="48" s="1"/>
  <c r="BC1268" i="48" s="1"/>
  <c r="BL1268" i="48"/>
  <c r="BL2014" i="48"/>
  <c r="AT2014" i="48"/>
  <c r="BB2014" i="48"/>
  <c r="AS2014" i="48"/>
  <c r="BM2014" i="48"/>
  <c r="BM1288" i="48"/>
  <c r="AS1288" i="48"/>
  <c r="BL1288" i="48"/>
  <c r="BB1288" i="48"/>
  <c r="AT1288" i="48"/>
  <c r="BB737" i="48"/>
  <c r="BM737" i="48"/>
  <c r="AT737" i="48"/>
  <c r="BL737" i="48"/>
  <c r="AS737" i="48"/>
  <c r="BB1129" i="48"/>
  <c r="AT1129" i="48"/>
  <c r="BM1129" i="48"/>
  <c r="AS1129" i="48"/>
  <c r="BL1129" i="48"/>
  <c r="BL1365" i="48"/>
  <c r="BB1365" i="48"/>
  <c r="AT1365" i="48"/>
  <c r="BM1365" i="48"/>
  <c r="AS1365" i="48"/>
  <c r="BM1714" i="48"/>
  <c r="BB1714" i="48"/>
  <c r="BL1714" i="48"/>
  <c r="AT1714" i="48"/>
  <c r="AS1714" i="48"/>
  <c r="AT2055" i="48"/>
  <c r="BB2055" i="48"/>
  <c r="AS2055" i="48"/>
  <c r="AC2055" i="48" s="1"/>
  <c r="BC2055" i="48" s="1"/>
  <c r="BM2055" i="48"/>
  <c r="BL2055" i="48"/>
  <c r="BB1899" i="48"/>
  <c r="BM1899" i="48"/>
  <c r="AT1899" i="48"/>
  <c r="AS1899" i="48"/>
  <c r="BL1899" i="48"/>
  <c r="BL859" i="48"/>
  <c r="AT859" i="48"/>
  <c r="AS859" i="48"/>
  <c r="BB859" i="48"/>
  <c r="BM859" i="48"/>
  <c r="BB1956" i="48"/>
  <c r="BM1956" i="48"/>
  <c r="BL1956" i="48"/>
  <c r="AT1956" i="48"/>
  <c r="AS1956" i="48"/>
  <c r="BL1091" i="48"/>
  <c r="AT1091" i="48"/>
  <c r="BB1091" i="48"/>
  <c r="AS1091" i="48"/>
  <c r="BM1091" i="48"/>
  <c r="BL791" i="48"/>
  <c r="AT791" i="48"/>
  <c r="BB791" i="48"/>
  <c r="AS791" i="48"/>
  <c r="BM791" i="48"/>
  <c r="BM1364" i="48"/>
  <c r="BL1364" i="48"/>
  <c r="AT1364" i="48"/>
  <c r="BB1364" i="48"/>
  <c r="AS1364" i="48"/>
  <c r="AB1364" i="48" s="1"/>
  <c r="BB1652" i="48"/>
  <c r="AT1652" i="48"/>
  <c r="BM1652" i="48"/>
  <c r="AS1652" i="48"/>
  <c r="AB1652" i="48" s="1"/>
  <c r="BL1652" i="48"/>
  <c r="BL1541" i="48"/>
  <c r="BB1541" i="48"/>
  <c r="AT1541" i="48"/>
  <c r="BM1541" i="48"/>
  <c r="AS1541" i="48"/>
  <c r="AT1350" i="48"/>
  <c r="BB1350" i="48"/>
  <c r="AS1350" i="48"/>
  <c r="BM1350" i="48"/>
  <c r="BL1350" i="48"/>
  <c r="BM819" i="48"/>
  <c r="BL819" i="48"/>
  <c r="AT819" i="48"/>
  <c r="AS819" i="48"/>
  <c r="BB819" i="48"/>
  <c r="BL619" i="48"/>
  <c r="AT619" i="48"/>
  <c r="AS619" i="48"/>
  <c r="AB619" i="48" s="1"/>
  <c r="BB619" i="48"/>
  <c r="BM619" i="48"/>
  <c r="BL1671" i="48"/>
  <c r="AT1671" i="48"/>
  <c r="AS1671" i="48"/>
  <c r="BM1671" i="48"/>
  <c r="BB1671" i="48"/>
  <c r="BL620" i="48"/>
  <c r="BB620" i="48"/>
  <c r="AT620" i="48"/>
  <c r="AS620" i="48"/>
  <c r="BM620" i="48"/>
  <c r="BM1227" i="48"/>
  <c r="AS1227" i="48"/>
  <c r="AT1227" i="48"/>
  <c r="BB1227" i="48"/>
  <c r="BL1227" i="48"/>
  <c r="AS1750" i="48"/>
  <c r="BM1750" i="48"/>
  <c r="BB1750" i="48"/>
  <c r="BL1750" i="48"/>
  <c r="AT1750" i="48"/>
  <c r="AS988" i="48"/>
  <c r="AB988" i="48" s="1"/>
  <c r="BM988" i="48"/>
  <c r="BB988" i="48"/>
  <c r="BL988" i="48"/>
  <c r="AT988" i="48"/>
  <c r="BM1421" i="48"/>
  <c r="BB1421" i="48"/>
  <c r="BL1421" i="48"/>
  <c r="AT1421" i="48"/>
  <c r="AS1421" i="48"/>
  <c r="BM1708" i="48"/>
  <c r="AT1708" i="48"/>
  <c r="BL1708" i="48"/>
  <c r="AS1708" i="48"/>
  <c r="BB1708" i="48"/>
  <c r="BM2028" i="48"/>
  <c r="BL2028" i="48"/>
  <c r="BB2028" i="48"/>
  <c r="AT2028" i="48"/>
  <c r="AS2028" i="48"/>
  <c r="AB2028" i="48" s="1"/>
  <c r="BL1041" i="48"/>
  <c r="AS1041" i="48"/>
  <c r="AC1041" i="48" s="1"/>
  <c r="BC1041" i="48" s="1"/>
  <c r="BM1041" i="48"/>
  <c r="BB1041" i="48"/>
  <c r="AT1041" i="48"/>
  <c r="BM1538" i="48"/>
  <c r="BL1538" i="48"/>
  <c r="AT1538" i="48"/>
  <c r="AS1538" i="48"/>
  <c r="BB1538" i="48"/>
  <c r="BL1578" i="48"/>
  <c r="AS1578" i="48"/>
  <c r="BB1578" i="48"/>
  <c r="BM1578" i="48"/>
  <c r="AT1578" i="48"/>
  <c r="BL913" i="48"/>
  <c r="BB913" i="48"/>
  <c r="AT913" i="48"/>
  <c r="BM913" i="48"/>
  <c r="AS913" i="48"/>
  <c r="BB1610" i="48"/>
  <c r="BM1610" i="48"/>
  <c r="AT1610" i="48"/>
  <c r="BL1610" i="48"/>
  <c r="AS1610" i="48"/>
  <c r="BM592" i="48"/>
  <c r="BB592" i="48"/>
  <c r="BL592" i="48"/>
  <c r="AT592" i="48"/>
  <c r="AS592" i="48"/>
  <c r="BB1101" i="48"/>
  <c r="AT1101" i="48"/>
  <c r="BM1101" i="48"/>
  <c r="AS1101" i="48"/>
  <c r="BL1101" i="48"/>
  <c r="BM1415" i="48"/>
  <c r="AT1415" i="48"/>
  <c r="BL1415" i="48"/>
  <c r="AS1415" i="48"/>
  <c r="AC1415" i="48" s="1"/>
  <c r="BC1415" i="48" s="1"/>
  <c r="BB1415" i="48"/>
  <c r="BM1908" i="48"/>
  <c r="BB1908" i="48"/>
  <c r="BL1908" i="48"/>
  <c r="AT1908" i="48"/>
  <c r="AS1908" i="48"/>
  <c r="BM586" i="48"/>
  <c r="AT586" i="48"/>
  <c r="BL586" i="48"/>
  <c r="AS586" i="48"/>
  <c r="BB586" i="48"/>
  <c r="BB2009" i="48"/>
  <c r="AT2009" i="48"/>
  <c r="AS2009" i="48"/>
  <c r="AB2009" i="48" s="1"/>
  <c r="BM2009" i="48"/>
  <c r="BL2009" i="48"/>
  <c r="BL568" i="48"/>
  <c r="AS568" i="48"/>
  <c r="BM568" i="48"/>
  <c r="BB568" i="48"/>
  <c r="AT568" i="48"/>
  <c r="AT1016" i="48"/>
  <c r="BM1016" i="48"/>
  <c r="AS1016" i="48"/>
  <c r="BL1016" i="48"/>
  <c r="BB1016" i="48"/>
  <c r="AS1765" i="48"/>
  <c r="AC1765" i="48" s="1"/>
  <c r="BC1765" i="48" s="1"/>
  <c r="BB1765" i="48"/>
  <c r="BM1765" i="48"/>
  <c r="BL1765" i="48"/>
  <c r="AT1765" i="48"/>
  <c r="AS748" i="48"/>
  <c r="BM748" i="48"/>
  <c r="BL748" i="48"/>
  <c r="BB748" i="48"/>
  <c r="AT748" i="48"/>
  <c r="BL655" i="48"/>
  <c r="AT655" i="48"/>
  <c r="BB655" i="48"/>
  <c r="AS655" i="48"/>
  <c r="AB655" i="48" s="1"/>
  <c r="BM655" i="48"/>
  <c r="BB1692" i="48"/>
  <c r="AT1692" i="48"/>
  <c r="AS1692" i="48"/>
  <c r="BM1692" i="48"/>
  <c r="BL1692" i="48"/>
  <c r="BB979" i="48"/>
  <c r="AS979" i="48"/>
  <c r="BM979" i="48"/>
  <c r="BL979" i="48"/>
  <c r="AT979" i="48"/>
  <c r="BM1106" i="48"/>
  <c r="AS1106" i="48"/>
  <c r="BL1106" i="48"/>
  <c r="BB1106" i="48"/>
  <c r="AT1106" i="48"/>
  <c r="BL1466" i="48"/>
  <c r="BB1466" i="48"/>
  <c r="AT1466" i="48"/>
  <c r="BM1466" i="48"/>
  <c r="AS1466" i="48"/>
  <c r="BL763" i="48"/>
  <c r="AT763" i="48"/>
  <c r="AS763" i="48"/>
  <c r="AC763" i="48" s="1"/>
  <c r="BC763" i="48" s="1"/>
  <c r="BB763" i="48"/>
  <c r="BM763" i="48"/>
  <c r="BL1790" i="48"/>
  <c r="AT1790" i="48"/>
  <c r="AS1790" i="48"/>
  <c r="BM1790" i="48"/>
  <c r="BB1790" i="48"/>
  <c r="BL950" i="48"/>
  <c r="BB950" i="48"/>
  <c r="AT950" i="48"/>
  <c r="BM950" i="48"/>
  <c r="AS950" i="48"/>
  <c r="AC950" i="48" s="1"/>
  <c r="BC950" i="48" s="1"/>
  <c r="BB1961" i="48"/>
  <c r="BM1961" i="48"/>
  <c r="AT1961" i="48"/>
  <c r="BL1961" i="48"/>
  <c r="AS1961" i="48"/>
  <c r="AC1961" i="48" s="1"/>
  <c r="BC1961" i="48" s="1"/>
  <c r="BM578" i="48"/>
  <c r="AT578" i="48"/>
  <c r="BL578" i="48"/>
  <c r="AS578" i="48"/>
  <c r="BB578" i="48"/>
  <c r="AT907" i="48"/>
  <c r="BB907" i="48"/>
  <c r="AS907" i="48"/>
  <c r="AC907" i="48" s="1"/>
  <c r="BC907" i="48" s="1"/>
  <c r="BM907" i="48"/>
  <c r="BL907" i="48"/>
  <c r="BM1411" i="48"/>
  <c r="AT1411" i="48"/>
  <c r="BL1411" i="48"/>
  <c r="AS1411" i="48"/>
  <c r="AC1411" i="48" s="1"/>
  <c r="BC1411" i="48" s="1"/>
  <c r="BB1411" i="48"/>
  <c r="BB1799" i="48"/>
  <c r="AT1799" i="48"/>
  <c r="BM1799" i="48"/>
  <c r="AS1799" i="48"/>
  <c r="BL1799" i="48"/>
  <c r="BM2051" i="48"/>
  <c r="AS2051" i="48"/>
  <c r="AB2051" i="48" s="1"/>
  <c r="BL2051" i="48"/>
  <c r="BB2051" i="48"/>
  <c r="AT2051" i="48"/>
  <c r="BB1725" i="48"/>
  <c r="AS1725" i="48"/>
  <c r="BM1725" i="48"/>
  <c r="BL1725" i="48"/>
  <c r="AT1725" i="48"/>
  <c r="BB1361" i="48"/>
  <c r="AT1361" i="48"/>
  <c r="BM1361" i="48"/>
  <c r="AS1361" i="48"/>
  <c r="AC1361" i="48" s="1"/>
  <c r="BC1361" i="48" s="1"/>
  <c r="BL1361" i="48"/>
  <c r="BL1991" i="48"/>
  <c r="AT1991" i="48"/>
  <c r="BB1991" i="48"/>
  <c r="AS1991" i="48"/>
  <c r="BM1991" i="48"/>
  <c r="BL1257" i="48"/>
  <c r="AS1257" i="48"/>
  <c r="BB1257" i="48"/>
  <c r="BM1257" i="48"/>
  <c r="AT1257" i="48"/>
  <c r="BL1064" i="48"/>
  <c r="BB1064" i="48"/>
  <c r="AT1064" i="48"/>
  <c r="BM1064" i="48"/>
  <c r="AS1064" i="48"/>
  <c r="AB1064" i="48" s="1"/>
  <c r="AT934" i="48"/>
  <c r="BM934" i="48"/>
  <c r="AS934" i="48"/>
  <c r="AB934" i="48" s="1"/>
  <c r="BL934" i="48"/>
  <c r="BB934" i="48"/>
  <c r="BB769" i="48"/>
  <c r="BM769" i="48"/>
  <c r="AT769" i="48"/>
  <c r="BL769" i="48"/>
  <c r="AS769" i="48"/>
  <c r="AB769" i="48" s="1"/>
  <c r="BM1054" i="48"/>
  <c r="BL1054" i="48"/>
  <c r="AT1054" i="48"/>
  <c r="BB1054" i="48"/>
  <c r="AS1054" i="48"/>
  <c r="AC1054" i="48" s="1"/>
  <c r="BC1054" i="48" s="1"/>
  <c r="BL892" i="48"/>
  <c r="AT892" i="48"/>
  <c r="AS892" i="48"/>
  <c r="BM892" i="48"/>
  <c r="BB892" i="48"/>
  <c r="BM1224" i="48"/>
  <c r="AS1224" i="48"/>
  <c r="BL1224" i="48"/>
  <c r="BB1224" i="48"/>
  <c r="AT1224" i="48"/>
  <c r="BM731" i="48"/>
  <c r="BL731" i="48"/>
  <c r="AT731" i="48"/>
  <c r="AS731" i="48"/>
  <c r="BB731" i="48"/>
  <c r="BB1769" i="48"/>
  <c r="BM1769" i="48"/>
  <c r="AT1769" i="48"/>
  <c r="BL1769" i="48"/>
  <c r="AS1769" i="48"/>
  <c r="AT761" i="48"/>
  <c r="BM761" i="48"/>
  <c r="AS761" i="48"/>
  <c r="BL761" i="48"/>
  <c r="BB761" i="48"/>
  <c r="BM1831" i="48"/>
  <c r="BL1831" i="48"/>
  <c r="AT1831" i="48"/>
  <c r="BB1831" i="48"/>
  <c r="AS1831" i="48"/>
  <c r="BB710" i="48"/>
  <c r="AS710" i="48"/>
  <c r="BM710" i="48"/>
  <c r="BL710" i="48"/>
  <c r="AT710" i="48"/>
  <c r="BM562" i="48"/>
  <c r="BB562" i="48"/>
  <c r="AS562" i="48"/>
  <c r="BL562" i="48"/>
  <c r="AT562" i="48"/>
  <c r="BM2008" i="48"/>
  <c r="BB2008" i="48"/>
  <c r="BL2008" i="48"/>
  <c r="AT2008" i="48"/>
  <c r="AS2008" i="48"/>
  <c r="AB2008" i="48" s="1"/>
  <c r="BM1858" i="48"/>
  <c r="AT1858" i="48"/>
  <c r="AS1858" i="48"/>
  <c r="BL1858" i="48"/>
  <c r="BB1858" i="48"/>
  <c r="AS864" i="48"/>
  <c r="AB864" i="48" s="1"/>
  <c r="BM864" i="48"/>
  <c r="BB864" i="48"/>
  <c r="BL864" i="48"/>
  <c r="AT864" i="48"/>
  <c r="AS595" i="48"/>
  <c r="BB595" i="48"/>
  <c r="BM595" i="48"/>
  <c r="BL595" i="48"/>
  <c r="AT595" i="48"/>
  <c r="BL1261" i="48"/>
  <c r="AS1261" i="48"/>
  <c r="BB1261" i="48"/>
  <c r="BM1261" i="48"/>
  <c r="AT1261" i="48"/>
  <c r="BB1528" i="48"/>
  <c r="AT1528" i="48"/>
  <c r="BM1528" i="48"/>
  <c r="AS1528" i="48"/>
  <c r="BL1528" i="48"/>
  <c r="BM1358" i="48"/>
  <c r="BL1358" i="48"/>
  <c r="AT1358" i="48"/>
  <c r="AS1358" i="48"/>
  <c r="BB1358" i="48"/>
  <c r="BL1099" i="48"/>
  <c r="AT1099" i="48"/>
  <c r="BB1099" i="48"/>
  <c r="AS1099" i="48"/>
  <c r="BM1099" i="48"/>
  <c r="BM1637" i="48"/>
  <c r="AT1637" i="48"/>
  <c r="BL1637" i="48"/>
  <c r="AS1637" i="48"/>
  <c r="BB1637" i="48"/>
  <c r="BL1072" i="48"/>
  <c r="AT1072" i="48"/>
  <c r="AS1072" i="48"/>
  <c r="BM1072" i="48"/>
  <c r="BB1072" i="48"/>
  <c r="BB1320" i="48"/>
  <c r="AS1320" i="48"/>
  <c r="BM1320" i="48"/>
  <c r="BL1320" i="48"/>
  <c r="AT1320" i="48"/>
  <c r="BL1302" i="48"/>
  <c r="AS1302" i="48"/>
  <c r="AC1302" i="48" s="1"/>
  <c r="BC1302" i="48" s="1"/>
  <c r="BB1302" i="48"/>
  <c r="BM1302" i="48"/>
  <c r="AT1302" i="48"/>
  <c r="AS1207" i="48"/>
  <c r="AC1207" i="48" s="1"/>
  <c r="BC1207" i="48" s="1"/>
  <c r="BM1207" i="48"/>
  <c r="BB1207" i="48"/>
  <c r="BL1207" i="48"/>
  <c r="AT1207" i="48"/>
  <c r="BL867" i="48"/>
  <c r="AT867" i="48"/>
  <c r="AS867" i="48"/>
  <c r="AB867" i="48" s="1"/>
  <c r="BB867" i="48"/>
  <c r="BM867" i="48"/>
  <c r="BM1383" i="48"/>
  <c r="AT1383" i="48"/>
  <c r="BB1383" i="48"/>
  <c r="AS1383" i="48"/>
  <c r="AC1383" i="48" s="1"/>
  <c r="BC1383" i="48" s="1"/>
  <c r="BL1383" i="48"/>
  <c r="BB1894" i="48"/>
  <c r="BM1894" i="48"/>
  <c r="BL1894" i="48"/>
  <c r="AT1894" i="48"/>
  <c r="AS1894" i="48"/>
  <c r="BB1086" i="48"/>
  <c r="AS1086" i="48"/>
  <c r="BM1086" i="48"/>
  <c r="BL1086" i="48"/>
  <c r="AT1086" i="48"/>
  <c r="BL1488" i="48"/>
  <c r="AT1488" i="48"/>
  <c r="AS1488" i="48"/>
  <c r="BB1488" i="48"/>
  <c r="BM1488" i="48"/>
  <c r="BM581" i="48"/>
  <c r="AS581" i="48"/>
  <c r="AC581" i="48" s="1"/>
  <c r="BC581" i="48" s="1"/>
  <c r="BL581" i="48"/>
  <c r="BB581" i="48"/>
  <c r="AT581" i="48"/>
  <c r="BL1008" i="48"/>
  <c r="AT1008" i="48"/>
  <c r="AS1008" i="48"/>
  <c r="BM1008" i="48"/>
  <c r="BB1008" i="48"/>
  <c r="BM1742" i="48"/>
  <c r="BB1742" i="48"/>
  <c r="BL1742" i="48"/>
  <c r="AT1742" i="48"/>
  <c r="AS1742" i="48"/>
  <c r="BB850" i="48"/>
  <c r="BM850" i="48"/>
  <c r="AT850" i="48"/>
  <c r="BL850" i="48"/>
  <c r="AS850" i="48"/>
  <c r="AB850" i="48" s="1"/>
  <c r="BB1715" i="48"/>
  <c r="BM1715" i="48"/>
  <c r="AT1715" i="48"/>
  <c r="BL1715" i="48"/>
  <c r="AS1715" i="48"/>
  <c r="AB1715" i="48" s="1"/>
  <c r="BB958" i="48"/>
  <c r="AT958" i="48"/>
  <c r="BM958" i="48"/>
  <c r="AS958" i="48"/>
  <c r="AB958" i="48" s="1"/>
  <c r="BL958" i="48"/>
  <c r="BM1775" i="48"/>
  <c r="AS1775" i="48"/>
  <c r="AB1775" i="48" s="1"/>
  <c r="BL1775" i="48"/>
  <c r="BB1775" i="48"/>
  <c r="AT1775" i="48"/>
  <c r="BM1879" i="48"/>
  <c r="BL1879" i="48"/>
  <c r="AT1879" i="48"/>
  <c r="BB1879" i="48"/>
  <c r="AS1879" i="48"/>
  <c r="BB1005" i="48"/>
  <c r="AT1005" i="48"/>
  <c r="BM1005" i="48"/>
  <c r="AS1005" i="48"/>
  <c r="AB1005" i="48" s="1"/>
  <c r="BL1005" i="48"/>
  <c r="BM808" i="48"/>
  <c r="BL808" i="48"/>
  <c r="AT808" i="48"/>
  <c r="AS808" i="48"/>
  <c r="BB808" i="48"/>
  <c r="BM1299" i="48"/>
  <c r="BB1299" i="48"/>
  <c r="BL1299" i="48"/>
  <c r="AT1299" i="48"/>
  <c r="AS1299" i="48"/>
  <c r="AC1299" i="48" s="1"/>
  <c r="BC1299" i="48" s="1"/>
  <c r="BM1767" i="48"/>
  <c r="BB1767" i="48"/>
  <c r="AT1767" i="48"/>
  <c r="BL1767" i="48"/>
  <c r="AS1767" i="48"/>
  <c r="AT1219" i="48"/>
  <c r="AS1219" i="48"/>
  <c r="AB1219" i="48" s="1"/>
  <c r="BM1219" i="48"/>
  <c r="BB1219" i="48"/>
  <c r="BL1219" i="48"/>
  <c r="BM1200" i="48"/>
  <c r="AS1200" i="48"/>
  <c r="AC1200" i="48" s="1"/>
  <c r="BC1200" i="48" s="1"/>
  <c r="BL1200" i="48"/>
  <c r="AT1200" i="48"/>
  <c r="BB1200" i="48"/>
  <c r="BM609" i="48"/>
  <c r="BB609" i="48"/>
  <c r="BL609" i="48"/>
  <c r="AT609" i="48"/>
  <c r="AS609" i="48"/>
  <c r="AC609" i="48" s="1"/>
  <c r="BC609" i="48" s="1"/>
  <c r="BM828" i="48"/>
  <c r="BL828" i="48"/>
  <c r="BB828" i="48"/>
  <c r="AT828" i="48"/>
  <c r="AS828" i="48"/>
  <c r="BL1702" i="48"/>
  <c r="AT1702" i="48"/>
  <c r="BM1702" i="48"/>
  <c r="AS1702" i="48"/>
  <c r="AC1702" i="48" s="1"/>
  <c r="BC1702" i="48" s="1"/>
  <c r="BB1702" i="48"/>
  <c r="BL1794" i="48"/>
  <c r="AT1794" i="48"/>
  <c r="AS1794" i="48"/>
  <c r="AC1794" i="48" s="1"/>
  <c r="BC1794" i="48" s="1"/>
  <c r="BM1794" i="48"/>
  <c r="BB1794" i="48"/>
  <c r="BM1311" i="48"/>
  <c r="BB1311" i="48"/>
  <c r="BL1311" i="48"/>
  <c r="AT1311" i="48"/>
  <c r="AS1311" i="48"/>
  <c r="BM1893" i="48"/>
  <c r="BL1893" i="48"/>
  <c r="BB1893" i="48"/>
  <c r="AT1893" i="48"/>
  <c r="AS1893" i="48"/>
  <c r="AC1893" i="48" s="1"/>
  <c r="BC1893" i="48" s="1"/>
  <c r="BL593" i="48"/>
  <c r="BB593" i="48"/>
  <c r="AT593" i="48"/>
  <c r="BM593" i="48"/>
  <c r="AS593" i="48"/>
  <c r="AC593" i="48" s="1"/>
  <c r="BC593" i="48" s="1"/>
  <c r="BL1884" i="48"/>
  <c r="AT1884" i="48"/>
  <c r="BM1884" i="48"/>
  <c r="AS1884" i="48"/>
  <c r="AB1884" i="48" s="1"/>
  <c r="BB1884" i="48"/>
  <c r="AT1897" i="48"/>
  <c r="BB1897" i="48"/>
  <c r="AS1897" i="48"/>
  <c r="BM1897" i="48"/>
  <c r="BL1897" i="48"/>
  <c r="BM1441" i="48"/>
  <c r="BB1441" i="48"/>
  <c r="BL1441" i="48"/>
  <c r="AT1441" i="48"/>
  <c r="AS1441" i="48"/>
  <c r="AB1441" i="48" s="1"/>
  <c r="AT1698" i="48"/>
  <c r="AS1698" i="48"/>
  <c r="AB1698" i="48" s="1"/>
  <c r="BB1698" i="48"/>
  <c r="BM1698" i="48"/>
  <c r="BL1698" i="48"/>
  <c r="AS1120" i="48"/>
  <c r="AC1120" i="48" s="1"/>
  <c r="BC1120" i="48" s="1"/>
  <c r="BM1120" i="48"/>
  <c r="BB1120" i="48"/>
  <c r="BL1120" i="48"/>
  <c r="AT1120" i="48"/>
  <c r="BL1701" i="48"/>
  <c r="AT1701" i="48"/>
  <c r="BB1701" i="48"/>
  <c r="AS1701" i="48"/>
  <c r="AC1701" i="48" s="1"/>
  <c r="BC1701" i="48" s="1"/>
  <c r="BM1701" i="48"/>
  <c r="AT1352" i="48"/>
  <c r="BB1352" i="48"/>
  <c r="AS1352" i="48"/>
  <c r="BM1352" i="48"/>
  <c r="BL1352" i="48"/>
  <c r="BM2045" i="48"/>
  <c r="AS2045" i="48"/>
  <c r="BL2045" i="48"/>
  <c r="BB2045" i="48"/>
  <c r="AT2045" i="48"/>
  <c r="AS1469" i="48"/>
  <c r="AC1469" i="48" s="1"/>
  <c r="BC1469" i="48" s="1"/>
  <c r="BM1469" i="48"/>
  <c r="BB1469" i="48"/>
  <c r="BL1469" i="48"/>
  <c r="AT1469" i="48"/>
  <c r="AT583" i="48"/>
  <c r="BB583" i="48"/>
  <c r="AS583" i="48"/>
  <c r="BM583" i="48"/>
  <c r="BL583" i="48"/>
  <c r="BM1114" i="48"/>
  <c r="BL1114" i="48"/>
  <c r="AT1114" i="48"/>
  <c r="BB1114" i="48"/>
  <c r="AS1114" i="48"/>
  <c r="BB1811" i="48"/>
  <c r="BM1811" i="48"/>
  <c r="BL1811" i="48"/>
  <c r="AT1811" i="48"/>
  <c r="AS1811" i="48"/>
  <c r="AB1811" i="48" s="1"/>
  <c r="AS1786" i="48"/>
  <c r="BM1786" i="48"/>
  <c r="BL1786" i="48"/>
  <c r="AT1786" i="48"/>
  <c r="BB1786" i="48"/>
  <c r="AS795" i="48"/>
  <c r="BB795" i="48"/>
  <c r="BM795" i="48"/>
  <c r="BL795" i="48"/>
  <c r="AT795" i="48"/>
  <c r="BL1435" i="48"/>
  <c r="AS1435" i="48"/>
  <c r="BB1435" i="48"/>
  <c r="BM1435" i="48"/>
  <c r="AT1435" i="48"/>
  <c r="AS1239" i="48"/>
  <c r="BL1239" i="48"/>
  <c r="BM1239" i="48"/>
  <c r="AT1239" i="48"/>
  <c r="BB1239" i="48"/>
  <c r="BL1221" i="48"/>
  <c r="AS1221" i="48"/>
  <c r="BB1221" i="48"/>
  <c r="BM1221" i="48"/>
  <c r="AT1221" i="48"/>
  <c r="BL929" i="48"/>
  <c r="BB929" i="48"/>
  <c r="AT929" i="48"/>
  <c r="AS929" i="48"/>
  <c r="AB929" i="48" s="1"/>
  <c r="BM929" i="48"/>
  <c r="BB719" i="48"/>
  <c r="AT719" i="48"/>
  <c r="BM719" i="48"/>
  <c r="AS719" i="48"/>
  <c r="BL719" i="48"/>
  <c r="BL1975" i="48"/>
  <c r="BB1975" i="48"/>
  <c r="AT1975" i="48"/>
  <c r="AS1975" i="48"/>
  <c r="AC1975" i="48" s="1"/>
  <c r="BC1975" i="48" s="1"/>
  <c r="BM1975" i="48"/>
  <c r="BB1402" i="48"/>
  <c r="AT1402" i="48"/>
  <c r="BM1402" i="48"/>
  <c r="AS1402" i="48"/>
  <c r="AB1402" i="48" s="1"/>
  <c r="BL1402" i="48"/>
  <c r="BM1543" i="48"/>
  <c r="BB1543" i="48"/>
  <c r="BL1543" i="48"/>
  <c r="AT1543" i="48"/>
  <c r="AS1543" i="48"/>
  <c r="BB1853" i="48"/>
  <c r="AT1853" i="48"/>
  <c r="BM1853" i="48"/>
  <c r="AS1853" i="48"/>
  <c r="BL1853" i="48"/>
  <c r="BB1353" i="48"/>
  <c r="AT1353" i="48"/>
  <c r="AS1353" i="48"/>
  <c r="AB1353" i="48" s="1"/>
  <c r="BM1353" i="48"/>
  <c r="BL1353" i="48"/>
  <c r="BB1450" i="48"/>
  <c r="AT1450" i="48"/>
  <c r="BM1450" i="48"/>
  <c r="AS1450" i="48"/>
  <c r="BL1450" i="48"/>
  <c r="AT1734" i="48"/>
  <c r="AS1734" i="48"/>
  <c r="BM1734" i="48"/>
  <c r="BB1734" i="48"/>
  <c r="BL1734" i="48"/>
  <c r="BL1951" i="48"/>
  <c r="BB1951" i="48"/>
  <c r="AT1951" i="48"/>
  <c r="BM1951" i="48"/>
  <c r="AS1951" i="48"/>
  <c r="BB2052" i="48"/>
  <c r="BM2052" i="48"/>
  <c r="BL2052" i="48"/>
  <c r="AT2052" i="48"/>
  <c r="AS2052" i="48"/>
  <c r="BL2036" i="48"/>
  <c r="AT2036" i="48"/>
  <c r="AS2036" i="48"/>
  <c r="AC2036" i="48" s="1"/>
  <c r="BC2036" i="48" s="1"/>
  <c r="BM2036" i="48"/>
  <c r="BB2036" i="48"/>
  <c r="BM1566" i="48"/>
  <c r="AT1566" i="48"/>
  <c r="BL1566" i="48"/>
  <c r="AS1566" i="48"/>
  <c r="AC1566" i="48" s="1"/>
  <c r="BC1566" i="48" s="1"/>
  <c r="BB1566" i="48"/>
  <c r="BM1792" i="48"/>
  <c r="AT1792" i="48"/>
  <c r="BL1792" i="48"/>
  <c r="AS1792" i="48"/>
  <c r="AC1792" i="48" s="1"/>
  <c r="BC1792" i="48" s="1"/>
  <c r="BB1792" i="48"/>
  <c r="BL1738" i="48"/>
  <c r="AT1738" i="48"/>
  <c r="AS1738" i="48"/>
  <c r="AC1738" i="48" s="1"/>
  <c r="BC1738" i="48" s="1"/>
  <c r="BM1738" i="48"/>
  <c r="BB1738" i="48"/>
  <c r="BM829" i="48"/>
  <c r="BB829" i="48"/>
  <c r="BL829" i="48"/>
  <c r="AT829" i="48"/>
  <c r="AS829" i="48"/>
  <c r="AC829" i="48" s="1"/>
  <c r="BC829" i="48" s="1"/>
  <c r="AT1527" i="48"/>
  <c r="AS1527" i="48"/>
  <c r="AB1527" i="48" s="1"/>
  <c r="BM1527" i="48"/>
  <c r="BB1527" i="48"/>
  <c r="BL1527" i="48"/>
  <c r="AS1758" i="48"/>
  <c r="BM1758" i="48"/>
  <c r="BB1758" i="48"/>
  <c r="BL1758" i="48"/>
  <c r="AT1758" i="48"/>
  <c r="AS804" i="48"/>
  <c r="AB804" i="48" s="1"/>
  <c r="BM804" i="48"/>
  <c r="BB804" i="48"/>
  <c r="BL804" i="48"/>
  <c r="AT804" i="48"/>
  <c r="AT1828" i="48"/>
  <c r="AS1828" i="48"/>
  <c r="AB1828" i="48" s="1"/>
  <c r="BM1828" i="48"/>
  <c r="BL1828" i="48"/>
  <c r="BB1828" i="48"/>
  <c r="BL1591" i="48"/>
  <c r="AT1591" i="48"/>
  <c r="AS1591" i="48"/>
  <c r="AC1591" i="48" s="1"/>
  <c r="BC1591" i="48" s="1"/>
  <c r="BM1591" i="48"/>
  <c r="BB1591" i="48"/>
  <c r="BL951" i="48"/>
  <c r="AT951" i="48"/>
  <c r="BB951" i="48"/>
  <c r="AS951" i="48"/>
  <c r="BM951" i="48"/>
  <c r="BL726" i="48"/>
  <c r="AT726" i="48"/>
  <c r="BB726" i="48"/>
  <c r="AS726" i="48"/>
  <c r="AB726" i="48" s="1"/>
  <c r="BM726" i="48"/>
  <c r="BM1778" i="48"/>
  <c r="BL1778" i="48"/>
  <c r="BB1778" i="48"/>
  <c r="AS1778" i="48"/>
  <c r="AC1778" i="48" s="1"/>
  <c r="BC1778" i="48" s="1"/>
  <c r="AT1778" i="48"/>
  <c r="BM2048" i="48"/>
  <c r="AT2048" i="48"/>
  <c r="BL2048" i="48"/>
  <c r="AS2048" i="48"/>
  <c r="AC2048" i="48" s="1"/>
  <c r="BC2048" i="48" s="1"/>
  <c r="BB2048" i="48"/>
  <c r="BM1452" i="48"/>
  <c r="BL1452" i="48"/>
  <c r="AT1452" i="48"/>
  <c r="AS1452" i="48"/>
  <c r="AC1452" i="48" s="1"/>
  <c r="BC1452" i="48" s="1"/>
  <c r="BB1452" i="48"/>
  <c r="BM667" i="48"/>
  <c r="BL667" i="48"/>
  <c r="AT667" i="48"/>
  <c r="AS667" i="48"/>
  <c r="BB667" i="48"/>
  <c r="BM1422" i="48"/>
  <c r="AS1422" i="48"/>
  <c r="AB1422" i="48" s="1"/>
  <c r="BL1422" i="48"/>
  <c r="BB1422" i="48"/>
  <c r="AT1422" i="48"/>
  <c r="BB961" i="48"/>
  <c r="AT961" i="48"/>
  <c r="BM961" i="48"/>
  <c r="AS961" i="48"/>
  <c r="AB961" i="48" s="1"/>
  <c r="BL961" i="48"/>
  <c r="BB1238" i="48"/>
  <c r="BL1238" i="48"/>
  <c r="AS1238" i="48"/>
  <c r="AC1238" i="48" s="1"/>
  <c r="BC1238" i="48" s="1"/>
  <c r="AT1238" i="48"/>
  <c r="BM1238" i="48"/>
  <c r="BM802" i="48"/>
  <c r="AT802" i="48"/>
  <c r="BL802" i="48"/>
  <c r="AS802" i="48"/>
  <c r="AB802" i="48" s="1"/>
  <c r="BB802" i="48"/>
  <c r="BM1105" i="48"/>
  <c r="BB1105" i="48"/>
  <c r="AT1105" i="48"/>
  <c r="BL1105" i="48"/>
  <c r="AS1105" i="48"/>
  <c r="AB1105" i="48" s="1"/>
  <c r="BB610" i="48"/>
  <c r="BM610" i="48"/>
  <c r="AT610" i="48"/>
  <c r="BL610" i="48"/>
  <c r="AS610" i="48"/>
  <c r="AC610" i="48" s="1"/>
  <c r="BC610" i="48" s="1"/>
  <c r="BB1940" i="48"/>
  <c r="BM1940" i="48"/>
  <c r="AT1940" i="48"/>
  <c r="BL1940" i="48"/>
  <c r="AS1940" i="48"/>
  <c r="AB1940" i="48" s="1"/>
  <c r="BM1892" i="48"/>
  <c r="BB1892" i="48"/>
  <c r="BL1892" i="48"/>
  <c r="AT1892" i="48"/>
  <c r="AS1892" i="48"/>
  <c r="AB1892" i="48" s="1"/>
  <c r="BB1176" i="48"/>
  <c r="AT1176" i="48"/>
  <c r="BM1176" i="48"/>
  <c r="AS1176" i="48"/>
  <c r="AB1176" i="48" s="1"/>
  <c r="BL1176" i="48"/>
  <c r="BB1669" i="48"/>
  <c r="AT1669" i="48"/>
  <c r="BM1669" i="48"/>
  <c r="AS1669" i="48"/>
  <c r="AB1669" i="48" s="1"/>
  <c r="BL1669" i="48"/>
  <c r="BB1863" i="48"/>
  <c r="BM1863" i="48"/>
  <c r="AT1863" i="48"/>
  <c r="AS1863" i="48"/>
  <c r="BL1863" i="48"/>
  <c r="BM788" i="48"/>
  <c r="BB788" i="48"/>
  <c r="BL788" i="48"/>
  <c r="AT788" i="48"/>
  <c r="AS788" i="48"/>
  <c r="AC788" i="48" s="1"/>
  <c r="BC788" i="48" s="1"/>
  <c r="BL1446" i="48"/>
  <c r="BB1446" i="48"/>
  <c r="AT1446" i="48"/>
  <c r="BM1446" i="48"/>
  <c r="AS1446" i="48"/>
  <c r="AB1446" i="48" s="1"/>
  <c r="BM1675" i="48"/>
  <c r="BB1675" i="48"/>
  <c r="BL1675" i="48"/>
  <c r="AT1675" i="48"/>
  <c r="AS1675" i="48"/>
  <c r="AB1675" i="48" s="1"/>
  <c r="AT1031" i="48"/>
  <c r="BM1031" i="48"/>
  <c r="BB1031" i="48"/>
  <c r="AS1031" i="48"/>
  <c r="AB1031" i="48" s="1"/>
  <c r="BL1031" i="48"/>
  <c r="AS779" i="48"/>
  <c r="AB779" i="48" s="1"/>
  <c r="BB779" i="48"/>
  <c r="BM779" i="48"/>
  <c r="BL779" i="48"/>
  <c r="AT779" i="48"/>
  <c r="BM738" i="48"/>
  <c r="AT738" i="48"/>
  <c r="BL738" i="48"/>
  <c r="AS738" i="48"/>
  <c r="BB738" i="48"/>
  <c r="AS603" i="48"/>
  <c r="BB603" i="48"/>
  <c r="BM603" i="48"/>
  <c r="BL603" i="48"/>
  <c r="AT603" i="48"/>
  <c r="BM1632" i="48"/>
  <c r="AS1632" i="48"/>
  <c r="AC1632" i="48" s="1"/>
  <c r="BC1632" i="48" s="1"/>
  <c r="BL1632" i="48"/>
  <c r="BB1632" i="48"/>
  <c r="AT1632" i="48"/>
  <c r="BL1136" i="48"/>
  <c r="AT1136" i="48"/>
  <c r="AS1136" i="48"/>
  <c r="AC1136" i="48" s="1"/>
  <c r="BC1136" i="48" s="1"/>
  <c r="BM1136" i="48"/>
  <c r="BB1136" i="48"/>
  <c r="BL1346" i="48"/>
  <c r="AS1346" i="48"/>
  <c r="AC1346" i="48" s="1"/>
  <c r="BC1346" i="48" s="1"/>
  <c r="BB1346" i="48"/>
  <c r="BM1346" i="48"/>
  <c r="AT1346" i="48"/>
  <c r="BL1165" i="48"/>
  <c r="AT1165" i="48"/>
  <c r="AS1165" i="48"/>
  <c r="AB1165" i="48" s="1"/>
  <c r="BB1165" i="48"/>
  <c r="BM1165" i="48"/>
  <c r="BL1677" i="48"/>
  <c r="BB1677" i="48"/>
  <c r="AT1677" i="48"/>
  <c r="BM1677" i="48"/>
  <c r="AS1677" i="48"/>
  <c r="BL1551" i="48"/>
  <c r="AT1551" i="48"/>
  <c r="AS1551" i="48"/>
  <c r="AC1551" i="48" s="1"/>
  <c r="BC1551" i="48" s="1"/>
  <c r="BM1551" i="48"/>
  <c r="BB1551" i="48"/>
  <c r="BM1073" i="48"/>
  <c r="BB1073" i="48"/>
  <c r="AT1073" i="48"/>
  <c r="BL1073" i="48"/>
  <c r="AS1073" i="48"/>
  <c r="BB1982" i="48"/>
  <c r="AS1982" i="48"/>
  <c r="AB1982" i="48" s="1"/>
  <c r="AT1982" i="48"/>
  <c r="BM1982" i="48"/>
  <c r="BL1982" i="48"/>
  <c r="BB1306" i="48"/>
  <c r="BM1306" i="48"/>
  <c r="BL1306" i="48"/>
  <c r="AT1306" i="48"/>
  <c r="AS1306" i="48"/>
  <c r="AB1306" i="48" s="1"/>
  <c r="BL1947" i="48"/>
  <c r="AT1947" i="48"/>
  <c r="BM1947" i="48"/>
  <c r="AS1947" i="48"/>
  <c r="BB1947" i="48"/>
  <c r="BM1181" i="48"/>
  <c r="AT1181" i="48"/>
  <c r="BL1181" i="48"/>
  <c r="AS1181" i="48"/>
  <c r="AC1181" i="48" s="1"/>
  <c r="BC1181" i="48" s="1"/>
  <c r="BB1181" i="48"/>
  <c r="BM645" i="48"/>
  <c r="BL645" i="48"/>
  <c r="AT645" i="48"/>
  <c r="AS645" i="48"/>
  <c r="BB645" i="48"/>
  <c r="BL1000" i="48"/>
  <c r="BB1000" i="48"/>
  <c r="AT1000" i="48"/>
  <c r="BM1000" i="48"/>
  <c r="AS1000" i="48"/>
  <c r="AC1000" i="48" s="1"/>
  <c r="BC1000" i="48" s="1"/>
  <c r="BM1113" i="48"/>
  <c r="AS1113" i="48"/>
  <c r="BL1113" i="48"/>
  <c r="BB1113" i="48"/>
  <c r="AT1113" i="48"/>
  <c r="BB1180" i="48"/>
  <c r="AT1180" i="48"/>
  <c r="BM1180" i="48"/>
  <c r="AS1180" i="48"/>
  <c r="BL1180" i="48"/>
  <c r="BL624" i="48"/>
  <c r="AT624" i="48"/>
  <c r="AS624" i="48"/>
  <c r="AC624" i="48" s="1"/>
  <c r="BC624" i="48" s="1"/>
  <c r="BM624" i="48"/>
  <c r="BB624" i="48"/>
  <c r="BM1324" i="48"/>
  <c r="BL1324" i="48"/>
  <c r="AT1324" i="48"/>
  <c r="BB1324" i="48"/>
  <c r="AS1324" i="48"/>
  <c r="AS2050" i="48"/>
  <c r="AB2050" i="48" s="1"/>
  <c r="BM2050" i="48"/>
  <c r="BB2050" i="48"/>
  <c r="BL2050" i="48"/>
  <c r="AT2050" i="48"/>
  <c r="BM830" i="48"/>
  <c r="BL830" i="48"/>
  <c r="AT830" i="48"/>
  <c r="BB830" i="48"/>
  <c r="AS830" i="48"/>
  <c r="AB830" i="48" s="1"/>
  <c r="BM1774" i="48"/>
  <c r="BB1774" i="48"/>
  <c r="AS1774" i="48"/>
  <c r="AB1774" i="48" s="1"/>
  <c r="BL1774" i="48"/>
  <c r="AT1774" i="48"/>
  <c r="BB703" i="48"/>
  <c r="AT703" i="48"/>
  <c r="BM703" i="48"/>
  <c r="AS703" i="48"/>
  <c r="BL703" i="48"/>
  <c r="BL1172" i="48"/>
  <c r="BB1172" i="48"/>
  <c r="AT1172" i="48"/>
  <c r="AS1172" i="48"/>
  <c r="AB1172" i="48" s="1"/>
  <c r="BM1172" i="48"/>
  <c r="BL680" i="48"/>
  <c r="AT680" i="48"/>
  <c r="AS680" i="48"/>
  <c r="AC680" i="48" s="1"/>
  <c r="BC680" i="48" s="1"/>
  <c r="BM680" i="48"/>
  <c r="BB680" i="48"/>
  <c r="BM1037" i="48"/>
  <c r="AS1037" i="48"/>
  <c r="BL1037" i="48"/>
  <c r="BB1037" i="48"/>
  <c r="AT1037" i="48"/>
  <c r="BM1305" i="48"/>
  <c r="AT1305" i="48"/>
  <c r="BL1305" i="48"/>
  <c r="AS1305" i="48"/>
  <c r="BB1305" i="48"/>
  <c r="BM955" i="48"/>
  <c r="BL955" i="48"/>
  <c r="AT955" i="48"/>
  <c r="AS955" i="48"/>
  <c r="AC955" i="48" s="1"/>
  <c r="BC955" i="48" s="1"/>
  <c r="BB955" i="48"/>
  <c r="BM1382" i="48"/>
  <c r="AS1382" i="48"/>
  <c r="AT1382" i="48"/>
  <c r="BL1382" i="48"/>
  <c r="BB1382" i="48"/>
  <c r="BM768" i="48"/>
  <c r="BB768" i="48"/>
  <c r="BL768" i="48"/>
  <c r="AT768" i="48"/>
  <c r="AS768" i="48"/>
  <c r="AB768" i="48" s="1"/>
  <c r="BL764" i="48"/>
  <c r="BB764" i="48"/>
  <c r="AT764" i="48"/>
  <c r="AS764" i="48"/>
  <c r="AB764" i="48" s="1"/>
  <c r="BM764" i="48"/>
  <c r="BM1952" i="48"/>
  <c r="AT1952" i="48"/>
  <c r="BL1952" i="48"/>
  <c r="BB1952" i="48"/>
  <c r="AS1952" i="48"/>
  <c r="AB1952" i="48" s="1"/>
  <c r="BM885" i="48"/>
  <c r="BB885" i="48"/>
  <c r="AT885" i="48"/>
  <c r="BL885" i="48"/>
  <c r="AS885" i="48"/>
  <c r="AC885" i="48" s="1"/>
  <c r="BC885" i="48" s="1"/>
  <c r="AS664" i="48"/>
  <c r="BM664" i="48"/>
  <c r="BB664" i="48"/>
  <c r="BL664" i="48"/>
  <c r="AT664" i="48"/>
  <c r="BM1470" i="48"/>
  <c r="AS1470" i="48"/>
  <c r="BL1470" i="48"/>
  <c r="BB1470" i="48"/>
  <c r="AT1470" i="48"/>
  <c r="AS1271" i="48"/>
  <c r="BM1271" i="48"/>
  <c r="BB1271" i="48"/>
  <c r="BL1271" i="48"/>
  <c r="AT1271" i="48"/>
  <c r="BL1917" i="48"/>
  <c r="AT1917" i="48"/>
  <c r="AS1917" i="48"/>
  <c r="AB1917" i="48" s="1"/>
  <c r="BM1917" i="48"/>
  <c r="BB1917" i="48"/>
  <c r="BL2047" i="48"/>
  <c r="BB2047" i="48"/>
  <c r="AT2047" i="48"/>
  <c r="BM2047" i="48"/>
  <c r="AS2047" i="48"/>
  <c r="AB2047" i="48" s="1"/>
  <c r="BB1588" i="48"/>
  <c r="AT1588" i="48"/>
  <c r="BM1588" i="48"/>
  <c r="AS1588" i="48"/>
  <c r="BL1588" i="48"/>
  <c r="BB1628" i="48"/>
  <c r="AT1628" i="48"/>
  <c r="BM1628" i="48"/>
  <c r="AS1628" i="48"/>
  <c r="AC1628" i="48" s="1"/>
  <c r="BC1628" i="48" s="1"/>
  <c r="BL1628" i="48"/>
  <c r="BM707" i="48"/>
  <c r="BL707" i="48"/>
  <c r="AT707" i="48"/>
  <c r="AS707" i="48"/>
  <c r="AC707" i="48" s="1"/>
  <c r="BC707" i="48" s="1"/>
  <c r="BB707" i="48"/>
  <c r="BB921" i="48"/>
  <c r="AT921" i="48"/>
  <c r="BM921" i="48"/>
  <c r="AS921" i="48"/>
  <c r="BL921" i="48"/>
  <c r="BM608" i="48"/>
  <c r="BB608" i="48"/>
  <c r="BL608" i="48"/>
  <c r="AT608" i="48"/>
  <c r="AS608" i="48"/>
  <c r="BL2015" i="48"/>
  <c r="BB2015" i="48"/>
  <c r="AT2015" i="48"/>
  <c r="AS2015" i="48"/>
  <c r="AC2015" i="48" s="1"/>
  <c r="BC2015" i="48" s="1"/>
  <c r="BM2015" i="48"/>
  <c r="BB622" i="48"/>
  <c r="BM622" i="48"/>
  <c r="AT622" i="48"/>
  <c r="BL622" i="48"/>
  <c r="AS622" i="48"/>
  <c r="AC622" i="48" s="1"/>
  <c r="BC622" i="48" s="1"/>
  <c r="BM1777" i="48"/>
  <c r="AT1777" i="48"/>
  <c r="BL1777" i="48"/>
  <c r="AS1777" i="48"/>
  <c r="BB1777" i="48"/>
  <c r="BB1159" i="48"/>
  <c r="AS1159" i="48"/>
  <c r="BM1159" i="48"/>
  <c r="BL1159" i="48"/>
  <c r="AT1159" i="48"/>
  <c r="BM625" i="48"/>
  <c r="AT625" i="48"/>
  <c r="BL625" i="48"/>
  <c r="AS625" i="48"/>
  <c r="AB625" i="48" s="1"/>
  <c r="BB625" i="48"/>
  <c r="AT1036" i="48"/>
  <c r="BM1036" i="48"/>
  <c r="AS1036" i="48"/>
  <c r="AB1036" i="48" s="1"/>
  <c r="BL1036" i="48"/>
  <c r="BB1036" i="48"/>
  <c r="BM1375" i="48"/>
  <c r="AS1375" i="48"/>
  <c r="BL1375" i="48"/>
  <c r="BB1375" i="48"/>
  <c r="AT1375" i="48"/>
  <c r="AT2003" i="48"/>
  <c r="BB2003" i="48"/>
  <c r="AS2003" i="48"/>
  <c r="BM2003" i="48"/>
  <c r="BL2003" i="48"/>
  <c r="BL1135" i="48"/>
  <c r="AT1135" i="48"/>
  <c r="BB1135" i="48"/>
  <c r="AS1135" i="48"/>
  <c r="AC1135" i="48" s="1"/>
  <c r="BC1135" i="48" s="1"/>
  <c r="BM1135" i="48"/>
  <c r="BB1849" i="48"/>
  <c r="AT1849" i="48"/>
  <c r="BM1849" i="48"/>
  <c r="AS1849" i="48"/>
  <c r="BL1849" i="48"/>
  <c r="BL1354" i="48"/>
  <c r="AT1354" i="48"/>
  <c r="AS1354" i="48"/>
  <c r="AC1354" i="48" s="1"/>
  <c r="BC1354" i="48" s="1"/>
  <c r="BB1354" i="48"/>
  <c r="BM1354" i="48"/>
  <c r="BB1184" i="48"/>
  <c r="AT1184" i="48"/>
  <c r="BM1184" i="48"/>
  <c r="AS1184" i="48"/>
  <c r="BL1184" i="48"/>
  <c r="BB1190" i="48"/>
  <c r="BM1190" i="48"/>
  <c r="AT1190" i="48"/>
  <c r="BL1190" i="48"/>
  <c r="AS1190" i="48"/>
  <c r="AC1190" i="48" s="1"/>
  <c r="BC1190" i="48" s="1"/>
  <c r="BB662" i="48"/>
  <c r="BM662" i="48"/>
  <c r="BL662" i="48"/>
  <c r="AT662" i="48"/>
  <c r="AS662" i="48"/>
  <c r="AC662" i="48" s="1"/>
  <c r="BC662" i="48" s="1"/>
  <c r="BM1125" i="48"/>
  <c r="BB1125" i="48"/>
  <c r="AT1125" i="48"/>
  <c r="BL1125" i="48"/>
  <c r="AS1125" i="48"/>
  <c r="AB1125" i="48" s="1"/>
  <c r="BM1029" i="48"/>
  <c r="BB1029" i="48"/>
  <c r="AT1029" i="48"/>
  <c r="BL1029" i="48"/>
  <c r="AS1029" i="48"/>
  <c r="BL1662" i="48"/>
  <c r="AT1662" i="48"/>
  <c r="AS1662" i="48"/>
  <c r="BB1662" i="48"/>
  <c r="BM1662" i="48"/>
  <c r="AT1509" i="48"/>
  <c r="BM1509" i="48"/>
  <c r="AS1509" i="48"/>
  <c r="BL1509" i="48"/>
  <c r="BB1509" i="48"/>
  <c r="BB1206" i="48"/>
  <c r="BM1206" i="48"/>
  <c r="AT1206" i="48"/>
  <c r="BL1206" i="48"/>
  <c r="AS1206" i="48"/>
  <c r="AC1206" i="48" s="1"/>
  <c r="BC1206" i="48" s="1"/>
  <c r="BM1724" i="48"/>
  <c r="AT1724" i="48"/>
  <c r="BL1724" i="48"/>
  <c r="AS1724" i="48"/>
  <c r="AB1724" i="48" s="1"/>
  <c r="BB1724" i="48"/>
  <c r="BM1755" i="48"/>
  <c r="BB1755" i="48"/>
  <c r="AT1755" i="48"/>
  <c r="BL1755" i="48"/>
  <c r="AS1755" i="48"/>
  <c r="BL1779" i="48"/>
  <c r="AT1779" i="48"/>
  <c r="BM1779" i="48"/>
  <c r="AS1779" i="48"/>
  <c r="BB1779" i="48"/>
  <c r="BL601" i="48"/>
  <c r="AS601" i="48"/>
  <c r="AC601" i="48" s="1"/>
  <c r="BC601" i="48" s="1"/>
  <c r="BB601" i="48"/>
  <c r="BM601" i="48"/>
  <c r="AT601" i="48"/>
  <c r="BL1226" i="48"/>
  <c r="BB1226" i="48"/>
  <c r="AT1226" i="48"/>
  <c r="BM1226" i="48"/>
  <c r="AS1226" i="48"/>
  <c r="BM688" i="48"/>
  <c r="BB688" i="48"/>
  <c r="BL688" i="48"/>
  <c r="AT688" i="48"/>
  <c r="AS688" i="48"/>
  <c r="BM674" i="48"/>
  <c r="AT674" i="48"/>
  <c r="BL674" i="48"/>
  <c r="AS674" i="48"/>
  <c r="AB674" i="48" s="1"/>
  <c r="BB674" i="48"/>
  <c r="BB1877" i="48"/>
  <c r="AS1877" i="48"/>
  <c r="AC1877" i="48" s="1"/>
  <c r="BC1877" i="48" s="1"/>
  <c r="BM1877" i="48"/>
  <c r="AT1877" i="48"/>
  <c r="BL1877" i="48"/>
  <c r="BL1132" i="48"/>
  <c r="AT1132" i="48"/>
  <c r="AS1132" i="48"/>
  <c r="BB1132" i="48"/>
  <c r="BM1132" i="48"/>
  <c r="BB1673" i="48"/>
  <c r="AT1673" i="48"/>
  <c r="BM1673" i="48"/>
  <c r="AS1673" i="48"/>
  <c r="AC1673" i="48" s="1"/>
  <c r="BC1673" i="48" s="1"/>
  <c r="BL1673" i="48"/>
  <c r="BM1987" i="48"/>
  <c r="BL1987" i="48"/>
  <c r="BB1987" i="48"/>
  <c r="AT1987" i="48"/>
  <c r="AS1987" i="48"/>
  <c r="AS1938" i="48"/>
  <c r="AB1938" i="48" s="1"/>
  <c r="BM1938" i="48"/>
  <c r="BB1938" i="48"/>
  <c r="BL1938" i="48"/>
  <c r="AT1938" i="48"/>
  <c r="BB2049" i="48"/>
  <c r="AS2049" i="48"/>
  <c r="AC2049" i="48" s="1"/>
  <c r="BC2049" i="48" s="1"/>
  <c r="BM2049" i="48"/>
  <c r="BL2049" i="48"/>
  <c r="AT2049" i="48"/>
  <c r="BL1083" i="48"/>
  <c r="AT1083" i="48"/>
  <c r="BM1083" i="48"/>
  <c r="BB1083" i="48"/>
  <c r="AS1083" i="48"/>
  <c r="AC1083" i="48" s="1"/>
  <c r="BC1083" i="48" s="1"/>
  <c r="BB807" i="48"/>
  <c r="AT807" i="48"/>
  <c r="BM807" i="48"/>
  <c r="AS807" i="48"/>
  <c r="AC807" i="48" s="1"/>
  <c r="BC807" i="48" s="1"/>
  <c r="BL807" i="48"/>
  <c r="AT1606" i="48"/>
  <c r="BB1606" i="48"/>
  <c r="AS1606" i="48"/>
  <c r="AC1606" i="48" s="1"/>
  <c r="BC1606" i="48" s="1"/>
  <c r="BM1606" i="48"/>
  <c r="BL1606" i="48"/>
  <c r="AT1096" i="48"/>
  <c r="BM1096" i="48"/>
  <c r="AS1096" i="48"/>
  <c r="BB1096" i="48"/>
  <c r="BL1096" i="48"/>
  <c r="BM1107" i="48"/>
  <c r="BL1107" i="48"/>
  <c r="AT1107" i="48"/>
  <c r="BB1107" i="48"/>
  <c r="AS1107" i="48"/>
  <c r="AC1107" i="48" s="1"/>
  <c r="BC1107" i="48" s="1"/>
  <c r="BM2016" i="48"/>
  <c r="BB2016" i="48"/>
  <c r="AT2016" i="48"/>
  <c r="BL2016" i="48"/>
  <c r="AS2016" i="48"/>
  <c r="AB2016" i="48" s="1"/>
  <c r="BM1532" i="48"/>
  <c r="AS1532" i="48"/>
  <c r="AC1532" i="48" s="1"/>
  <c r="BC1532" i="48" s="1"/>
  <c r="BL1532" i="48"/>
  <c r="BB1532" i="48"/>
  <c r="AT1532" i="48"/>
  <c r="BM1567" i="48"/>
  <c r="BB1567" i="48"/>
  <c r="BL1567" i="48"/>
  <c r="AT1567" i="48"/>
  <c r="AS1567" i="48"/>
  <c r="AC1567" i="48" s="1"/>
  <c r="BC1567" i="48" s="1"/>
  <c r="BL1833" i="48"/>
  <c r="BB1833" i="48"/>
  <c r="AT1833" i="48"/>
  <c r="BM1833" i="48"/>
  <c r="AS1833" i="48"/>
  <c r="AC1833" i="48" s="1"/>
  <c r="BC1833" i="48" s="1"/>
  <c r="BB1333" i="48"/>
  <c r="AT1333" i="48"/>
  <c r="BM1333" i="48"/>
  <c r="AS1333" i="48"/>
  <c r="AB1333" i="48" s="1"/>
  <c r="BL1333" i="48"/>
  <c r="BM1832" i="48"/>
  <c r="BB1832" i="48"/>
  <c r="BL1832" i="48"/>
  <c r="AT1832" i="48"/>
  <c r="AS1832" i="48"/>
  <c r="AB1832" i="48" s="1"/>
  <c r="AT874" i="48"/>
  <c r="BM874" i="48"/>
  <c r="AS874" i="48"/>
  <c r="BL874" i="48"/>
  <c r="BB874" i="48"/>
  <c r="AS821" i="48"/>
  <c r="AB821" i="48" s="1"/>
  <c r="BM821" i="48"/>
  <c r="BB821" i="48"/>
  <c r="BL821" i="48"/>
  <c r="AT821" i="48"/>
  <c r="BM965" i="48"/>
  <c r="BB965" i="48"/>
  <c r="AT965" i="48"/>
  <c r="BL965" i="48"/>
  <c r="AS965" i="48"/>
  <c r="BM1612" i="48"/>
  <c r="AS1612" i="48"/>
  <c r="AC1612" i="48" s="1"/>
  <c r="BC1612" i="48" s="1"/>
  <c r="BL1612" i="48"/>
  <c r="BB1612" i="48"/>
  <c r="AT1612" i="48"/>
  <c r="AT966" i="48"/>
  <c r="BM966" i="48"/>
  <c r="AS966" i="48"/>
  <c r="AB966" i="48" s="1"/>
  <c r="BL966" i="48"/>
  <c r="BB966" i="48"/>
  <c r="AT1823" i="48"/>
  <c r="AS1823" i="48"/>
  <c r="AC1823" i="48" s="1"/>
  <c r="BC1823" i="48" s="1"/>
  <c r="BL1823" i="48"/>
  <c r="BB1823" i="48"/>
  <c r="BM1823" i="48"/>
  <c r="BL1507" i="48"/>
  <c r="AS1507" i="48"/>
  <c r="AC1507" i="48" s="1"/>
  <c r="BC1507" i="48" s="1"/>
  <c r="BB1507" i="48"/>
  <c r="BM1507" i="48"/>
  <c r="AT1507" i="48"/>
  <c r="BB1931" i="48"/>
  <c r="AT1931" i="48"/>
  <c r="AS1931" i="48"/>
  <c r="AB1931" i="48" s="1"/>
  <c r="BM1931" i="48"/>
  <c r="BL1931" i="48"/>
  <c r="BM973" i="48"/>
  <c r="BB973" i="48"/>
  <c r="AT973" i="48"/>
  <c r="BL973" i="48"/>
  <c r="AS973" i="48"/>
  <c r="AC973" i="48" s="1"/>
  <c r="BC973" i="48" s="1"/>
  <c r="BL209" i="48"/>
  <c r="AT209" i="48"/>
  <c r="BM209" i="48"/>
  <c r="AS209" i="48"/>
  <c r="BL200" i="48"/>
  <c r="AT200" i="48"/>
  <c r="BM200" i="48"/>
  <c r="AS200" i="48"/>
  <c r="BL239" i="48"/>
  <c r="AT239" i="48"/>
  <c r="BM239" i="48"/>
  <c r="AS239" i="48"/>
  <c r="BM109" i="48"/>
  <c r="AT109" i="48"/>
  <c r="BL109" i="48"/>
  <c r="AS109" i="48"/>
  <c r="AT92" i="48"/>
  <c r="BM92" i="48"/>
  <c r="AS92" i="48"/>
  <c r="BL92" i="48"/>
  <c r="AT378" i="48"/>
  <c r="BB378" i="48"/>
  <c r="AS378" i="48"/>
  <c r="BM378" i="48"/>
  <c r="BL378" i="48"/>
  <c r="AT471" i="48"/>
  <c r="AS471" i="48"/>
  <c r="BM471" i="48"/>
  <c r="BB471" i="48"/>
  <c r="BL471" i="48"/>
  <c r="BM453" i="48"/>
  <c r="AT453" i="48"/>
  <c r="BL453" i="48"/>
  <c r="AS453" i="48"/>
  <c r="BB453" i="48"/>
  <c r="BB348" i="48"/>
  <c r="AT348" i="48"/>
  <c r="BM348" i="48"/>
  <c r="AS348" i="48"/>
  <c r="BL348" i="48"/>
  <c r="BL436" i="48"/>
  <c r="BB436" i="48"/>
  <c r="AT436" i="48"/>
  <c r="BM436" i="48"/>
  <c r="AS436" i="48"/>
  <c r="AT410" i="48"/>
  <c r="BB410" i="48"/>
  <c r="AS410" i="48"/>
  <c r="BM410" i="48"/>
  <c r="BL410" i="48"/>
  <c r="AT515" i="48"/>
  <c r="BM515" i="48"/>
  <c r="AS515" i="48"/>
  <c r="BL515" i="48"/>
  <c r="BB515" i="48"/>
  <c r="AT219" i="48"/>
  <c r="AS219" i="48"/>
  <c r="BM219" i="48"/>
  <c r="BL219" i="48"/>
  <c r="BB477" i="48"/>
  <c r="AS477" i="48"/>
  <c r="AC477" i="48" s="1"/>
  <c r="BC477" i="48" s="1"/>
  <c r="BM477" i="48"/>
  <c r="BL477" i="48"/>
  <c r="AT477" i="48"/>
  <c r="BL305" i="48"/>
  <c r="BB305" i="48"/>
  <c r="AT305" i="48"/>
  <c r="BM305" i="48"/>
  <c r="AS305" i="48"/>
  <c r="BM210" i="48"/>
  <c r="AT210" i="48"/>
  <c r="BL210" i="48"/>
  <c r="AS210" i="48"/>
  <c r="BL282" i="48"/>
  <c r="AT282" i="48"/>
  <c r="BM282" i="48"/>
  <c r="AS282" i="48"/>
  <c r="AS383" i="48"/>
  <c r="BM383" i="48"/>
  <c r="BB383" i="48"/>
  <c r="BL383" i="48"/>
  <c r="AT383" i="48"/>
  <c r="BB488" i="48"/>
  <c r="AT488" i="48"/>
  <c r="BM488" i="48"/>
  <c r="AS488" i="48"/>
  <c r="BL488" i="48"/>
  <c r="BM464" i="48"/>
  <c r="AS464" i="48"/>
  <c r="BL464" i="48"/>
  <c r="BB464" i="48"/>
  <c r="AT464" i="48"/>
  <c r="BB328" i="48"/>
  <c r="AT328" i="48"/>
  <c r="BM328" i="48"/>
  <c r="AS328" i="48"/>
  <c r="AC328" i="48" s="1"/>
  <c r="BC328" i="48" s="1"/>
  <c r="BL328" i="48"/>
  <c r="BL498" i="48"/>
  <c r="AT498" i="48"/>
  <c r="BB498" i="48"/>
  <c r="AS498" i="48"/>
  <c r="AB498" i="48" s="1"/>
  <c r="BM498" i="48"/>
  <c r="AT502" i="48"/>
  <c r="BB502" i="48"/>
  <c r="AS502" i="48"/>
  <c r="BM502" i="48"/>
  <c r="BL502" i="48"/>
  <c r="BM136" i="48"/>
  <c r="AS136" i="48"/>
  <c r="BL136" i="48"/>
  <c r="AT136" i="48"/>
  <c r="BB513" i="48"/>
  <c r="AT513" i="48"/>
  <c r="BM513" i="48"/>
  <c r="AS513" i="48"/>
  <c r="BL513" i="48"/>
  <c r="BL507" i="48"/>
  <c r="AT507" i="48"/>
  <c r="AS507" i="48"/>
  <c r="BM507" i="48"/>
  <c r="BB507" i="48"/>
  <c r="BM134" i="48"/>
  <c r="BL134" i="48"/>
  <c r="AT134" i="48"/>
  <c r="AS134" i="48"/>
  <c r="AT236" i="48"/>
  <c r="BM236" i="48"/>
  <c r="AS236" i="48"/>
  <c r="BL236" i="48"/>
  <c r="BL190" i="48"/>
  <c r="AT190" i="48"/>
  <c r="AS190" i="48"/>
  <c r="BM190" i="48"/>
  <c r="AT459" i="48"/>
  <c r="AS459" i="48"/>
  <c r="BM459" i="48"/>
  <c r="BB459" i="48"/>
  <c r="BL459" i="48"/>
  <c r="BL60" i="48"/>
  <c r="AT60" i="48"/>
  <c r="BM60" i="48"/>
  <c r="AS60" i="48"/>
  <c r="BM159" i="48"/>
  <c r="BL159" i="48"/>
  <c r="AT159" i="48"/>
  <c r="AS159" i="48"/>
  <c r="BL234" i="48"/>
  <c r="AT234" i="48"/>
  <c r="BM234" i="48"/>
  <c r="AS234" i="48"/>
  <c r="BM531" i="48"/>
  <c r="AS531" i="48"/>
  <c r="BL531" i="48"/>
  <c r="BB531" i="48"/>
  <c r="AT531" i="48"/>
  <c r="AS351" i="48"/>
  <c r="BM351" i="48"/>
  <c r="BB351" i="48"/>
  <c r="BL351" i="48"/>
  <c r="AT351" i="48"/>
  <c r="BB360" i="48"/>
  <c r="AT360" i="48"/>
  <c r="BM360" i="48"/>
  <c r="AS360" i="48"/>
  <c r="AB360" i="48" s="1"/>
  <c r="BL360" i="48"/>
  <c r="BM403" i="48"/>
  <c r="AS403" i="48"/>
  <c r="BL403" i="48"/>
  <c r="BB403" i="48"/>
  <c r="AT403" i="48"/>
  <c r="AT359" i="48"/>
  <c r="AS359" i="48"/>
  <c r="BM359" i="48"/>
  <c r="BB359" i="48"/>
  <c r="BL359" i="48"/>
  <c r="BM336" i="48"/>
  <c r="AS336" i="48"/>
  <c r="AB336" i="48" s="1"/>
  <c r="BL336" i="48"/>
  <c r="BB336" i="48"/>
  <c r="AT336" i="48"/>
  <c r="BB318" i="48"/>
  <c r="AT318" i="48"/>
  <c r="BM318" i="48"/>
  <c r="AS318" i="48"/>
  <c r="BL318" i="48"/>
  <c r="BL337" i="48"/>
  <c r="BB337" i="48"/>
  <c r="AT337" i="48"/>
  <c r="BM337" i="48"/>
  <c r="AS337" i="48"/>
  <c r="AT156" i="48"/>
  <c r="BM156" i="48"/>
  <c r="AS156" i="48"/>
  <c r="BL156" i="48"/>
  <c r="AT220" i="48"/>
  <c r="BM220" i="48"/>
  <c r="AS220" i="48"/>
  <c r="BL220" i="48"/>
  <c r="BM489" i="48"/>
  <c r="AT489" i="48"/>
  <c r="BL489" i="48"/>
  <c r="AS489" i="48"/>
  <c r="AB489" i="48" s="1"/>
  <c r="BB489" i="48"/>
  <c r="BL553" i="48"/>
  <c r="AS553" i="48"/>
  <c r="AC553" i="48" s="1"/>
  <c r="BC553" i="48" s="1"/>
  <c r="BB553" i="48"/>
  <c r="BM553" i="48"/>
  <c r="AT553" i="48"/>
  <c r="BB504" i="48"/>
  <c r="AT504" i="48"/>
  <c r="BM504" i="48"/>
  <c r="AS504" i="48"/>
  <c r="AB504" i="48" s="1"/>
  <c r="BL504" i="48"/>
  <c r="BM130" i="48"/>
  <c r="AT130" i="48"/>
  <c r="BL130" i="48"/>
  <c r="AS130" i="48"/>
  <c r="BM180" i="48"/>
  <c r="AS180" i="48"/>
  <c r="BL180" i="48"/>
  <c r="AT180" i="48"/>
  <c r="BM469" i="48"/>
  <c r="AT469" i="48"/>
  <c r="BL469" i="48"/>
  <c r="AS469" i="48"/>
  <c r="AB469" i="48" s="1"/>
  <c r="BB469" i="48"/>
  <c r="BL324" i="48"/>
  <c r="BB324" i="48"/>
  <c r="AT324" i="48"/>
  <c r="BM324" i="48"/>
  <c r="AS324" i="48"/>
  <c r="BM296" i="48"/>
  <c r="AS296" i="48"/>
  <c r="BL296" i="48"/>
  <c r="AT296" i="48"/>
  <c r="BL536" i="48"/>
  <c r="BB536" i="48"/>
  <c r="AT536" i="48"/>
  <c r="BM536" i="48"/>
  <c r="AS536" i="48"/>
  <c r="BM249" i="48"/>
  <c r="BL249" i="48"/>
  <c r="AT249" i="48"/>
  <c r="AS249" i="48"/>
  <c r="BL300" i="48"/>
  <c r="BB300" i="48"/>
  <c r="AT300" i="48"/>
  <c r="BM300" i="48"/>
  <c r="AS300" i="48"/>
  <c r="AC300" i="48" s="1"/>
  <c r="BC300" i="48" s="1"/>
  <c r="BM202" i="48"/>
  <c r="BL202" i="48"/>
  <c r="AT202" i="48"/>
  <c r="AS202" i="48"/>
  <c r="BM548" i="48"/>
  <c r="BB548" i="48"/>
  <c r="AT548" i="48"/>
  <c r="BL548" i="48"/>
  <c r="AS548" i="48"/>
  <c r="BM535" i="48"/>
  <c r="BB535" i="48"/>
  <c r="BL535" i="48"/>
  <c r="AT535" i="48"/>
  <c r="AS535" i="48"/>
  <c r="BL452" i="48"/>
  <c r="BB452" i="48"/>
  <c r="AT452" i="48"/>
  <c r="BM452" i="48"/>
  <c r="AS452" i="48"/>
  <c r="BM492" i="48"/>
  <c r="BB492" i="48"/>
  <c r="AT492" i="48"/>
  <c r="BL492" i="48"/>
  <c r="AS492" i="48"/>
  <c r="BL256" i="48"/>
  <c r="AT256" i="48"/>
  <c r="BM256" i="48"/>
  <c r="AS256" i="48"/>
  <c r="BL114" i="48"/>
  <c r="AS114" i="48"/>
  <c r="BM114" i="48"/>
  <c r="AT114" i="48"/>
  <c r="AT423" i="48"/>
  <c r="AS423" i="48"/>
  <c r="AB423" i="48" s="1"/>
  <c r="BM423" i="48"/>
  <c r="BB423" i="48"/>
  <c r="BL423" i="48"/>
  <c r="BM524" i="48"/>
  <c r="BB524" i="48"/>
  <c r="AT524" i="48"/>
  <c r="BL524" i="48"/>
  <c r="AS524" i="48"/>
  <c r="AB524" i="48" s="1"/>
  <c r="BL509" i="48"/>
  <c r="AS509" i="48"/>
  <c r="BB509" i="48"/>
  <c r="BM509" i="48"/>
  <c r="AT509" i="48"/>
  <c r="AT289" i="48"/>
  <c r="BM289" i="48"/>
  <c r="AS289" i="48"/>
  <c r="BL289" i="48"/>
  <c r="BB408" i="48"/>
  <c r="AT408" i="48"/>
  <c r="BM408" i="48"/>
  <c r="AS408" i="48"/>
  <c r="BL408" i="48"/>
  <c r="BB1771" i="48"/>
  <c r="AT1771" i="48"/>
  <c r="BM1771" i="48"/>
  <c r="AS1771" i="48"/>
  <c r="BL1771" i="48"/>
  <c r="BL1582" i="48"/>
  <c r="AS1582" i="48"/>
  <c r="BB1582" i="48"/>
  <c r="BM1582" i="48"/>
  <c r="AT1582" i="48"/>
  <c r="BB1236" i="48"/>
  <c r="AT1236" i="48"/>
  <c r="BL1236" i="48"/>
  <c r="BM1236" i="48"/>
  <c r="AS1236" i="48"/>
  <c r="AB1236" i="48" s="1"/>
  <c r="BM736" i="48"/>
  <c r="BB736" i="48"/>
  <c r="BL736" i="48"/>
  <c r="AT736" i="48"/>
  <c r="AS736" i="48"/>
  <c r="BM838" i="48"/>
  <c r="AT838" i="48"/>
  <c r="BL838" i="48"/>
  <c r="AS838" i="48"/>
  <c r="AB838" i="48" s="1"/>
  <c r="BB838" i="48"/>
  <c r="AT1154" i="48"/>
  <c r="BM1154" i="48"/>
  <c r="AS1154" i="48"/>
  <c r="AB1154" i="48" s="1"/>
  <c r="BL1154" i="48"/>
  <c r="BB1154" i="48"/>
  <c r="BL1664" i="48"/>
  <c r="AT1664" i="48"/>
  <c r="BB1664" i="48"/>
  <c r="AS1664" i="48"/>
  <c r="AB1664" i="48" s="1"/>
  <c r="BM1664" i="48"/>
  <c r="BM1869" i="48"/>
  <c r="BL1869" i="48"/>
  <c r="BB1869" i="48"/>
  <c r="AT1869" i="48"/>
  <c r="AS1869" i="48"/>
  <c r="BB1462" i="48"/>
  <c r="AT1462" i="48"/>
  <c r="BM1462" i="48"/>
  <c r="AS1462" i="48"/>
  <c r="BL1462" i="48"/>
  <c r="BB1596" i="48"/>
  <c r="AT1596" i="48"/>
  <c r="BM1596" i="48"/>
  <c r="AS1596" i="48"/>
  <c r="AB1596" i="48" s="1"/>
  <c r="BL1596" i="48"/>
  <c r="BB556" i="48"/>
  <c r="AT556" i="48"/>
  <c r="BM556" i="48"/>
  <c r="AS556" i="48"/>
  <c r="BL556" i="48"/>
  <c r="BB1085" i="48"/>
  <c r="AT1085" i="48"/>
  <c r="BM1085" i="48"/>
  <c r="AS1085" i="48"/>
  <c r="BL1085" i="48"/>
  <c r="BM1932" i="48"/>
  <c r="AT1932" i="48"/>
  <c r="BL1932" i="48"/>
  <c r="AS1932" i="48"/>
  <c r="AB1932" i="48" s="1"/>
  <c r="BB1932" i="48"/>
  <c r="BM2021" i="48"/>
  <c r="BL2021" i="48"/>
  <c r="AT2021" i="48"/>
  <c r="AS2021" i="48"/>
  <c r="AB2021" i="48" s="1"/>
  <c r="BB2021" i="48"/>
  <c r="BM1371" i="48"/>
  <c r="BB1371" i="48"/>
  <c r="BL1371" i="48"/>
  <c r="AT1371" i="48"/>
  <c r="AS1371" i="48"/>
  <c r="AC1371" i="48" s="1"/>
  <c r="BC1371" i="48" s="1"/>
  <c r="BM697" i="48"/>
  <c r="AT697" i="48"/>
  <c r="BL697" i="48"/>
  <c r="AS697" i="48"/>
  <c r="BB697" i="48"/>
  <c r="AT1599" i="48"/>
  <c r="BM1599" i="48"/>
  <c r="AS1599" i="48"/>
  <c r="BL1599" i="48"/>
  <c r="BB1599" i="48"/>
  <c r="BM1728" i="48"/>
  <c r="BL1728" i="48"/>
  <c r="AT1728" i="48"/>
  <c r="BB1728" i="48"/>
  <c r="AS1728" i="48"/>
  <c r="BM1978" i="48"/>
  <c r="AS1978" i="48"/>
  <c r="AB1978" i="48" s="1"/>
  <c r="BL1978" i="48"/>
  <c r="BB1978" i="48"/>
  <c r="AT1978" i="48"/>
  <c r="BB1217" i="48"/>
  <c r="BM1217" i="48"/>
  <c r="AT1217" i="48"/>
  <c r="AS1217" i="48"/>
  <c r="BL1217" i="48"/>
  <c r="BM1635" i="48"/>
  <c r="BB1635" i="48"/>
  <c r="BL1635" i="48"/>
  <c r="AT1635" i="48"/>
  <c r="AS1635" i="48"/>
  <c r="BM976" i="48"/>
  <c r="BL976" i="48"/>
  <c r="BB976" i="48"/>
  <c r="AT976" i="48"/>
  <c r="AS976" i="48"/>
  <c r="AT1058" i="48"/>
  <c r="BM1058" i="48"/>
  <c r="AS1058" i="48"/>
  <c r="AB1058" i="48" s="1"/>
  <c r="BL1058" i="48"/>
  <c r="BB1058" i="48"/>
  <c r="AT1733" i="48"/>
  <c r="BB1733" i="48"/>
  <c r="AS1733" i="48"/>
  <c r="BM1733" i="48"/>
  <c r="BL1733" i="48"/>
  <c r="AS2005" i="48"/>
  <c r="AC2005" i="48" s="1"/>
  <c r="BC2005" i="48" s="1"/>
  <c r="BM2005" i="48"/>
  <c r="BL2005" i="48"/>
  <c r="BB2005" i="48"/>
  <c r="AT2005" i="48"/>
  <c r="BL1249" i="48"/>
  <c r="AS1249" i="48"/>
  <c r="BB1249" i="48"/>
  <c r="BM1249" i="48"/>
  <c r="AT1249" i="48"/>
  <c r="BB1225" i="48"/>
  <c r="BM1225" i="48"/>
  <c r="AT1225" i="48"/>
  <c r="BL1225" i="48"/>
  <c r="AS1225" i="48"/>
  <c r="AC1225" i="48" s="1"/>
  <c r="BC1225" i="48" s="1"/>
  <c r="BL793" i="48"/>
  <c r="BB793" i="48"/>
  <c r="AT793" i="48"/>
  <c r="BM793" i="48"/>
  <c r="AS793" i="48"/>
  <c r="BB1391" i="48"/>
  <c r="BM1391" i="48"/>
  <c r="AT1391" i="48"/>
  <c r="BL1391" i="48"/>
  <c r="AS1391" i="48"/>
  <c r="BL2030" i="48"/>
  <c r="AS2030" i="48"/>
  <c r="AC2030" i="48" s="1"/>
  <c r="BC2030" i="48" s="1"/>
  <c r="BM2030" i="48"/>
  <c r="AT2030" i="48"/>
  <c r="BB2030" i="48"/>
  <c r="BM956" i="48"/>
  <c r="BB956" i="48"/>
  <c r="BL956" i="48"/>
  <c r="AT956" i="48"/>
  <c r="AS956" i="48"/>
  <c r="AB956" i="48" s="1"/>
  <c r="BM1816" i="48"/>
  <c r="AT1816" i="48"/>
  <c r="BL1816" i="48"/>
  <c r="AS1816" i="48"/>
  <c r="BB1816" i="48"/>
  <c r="AT1461" i="48"/>
  <c r="BM1461" i="48"/>
  <c r="AS1461" i="48"/>
  <c r="BL1461" i="48"/>
  <c r="BB1461" i="48"/>
  <c r="BL1187" i="48"/>
  <c r="AT1187" i="48"/>
  <c r="AS1187" i="48"/>
  <c r="BM1187" i="48"/>
  <c r="BB1187" i="48"/>
  <c r="BL911" i="48"/>
  <c r="AT911" i="48"/>
  <c r="BB911" i="48"/>
  <c r="AS911" i="48"/>
  <c r="AB911" i="48" s="1"/>
  <c r="BM911" i="48"/>
  <c r="BM1481" i="48"/>
  <c r="BB1481" i="48"/>
  <c r="BL1481" i="48"/>
  <c r="AT1481" i="48"/>
  <c r="AS1481" i="48"/>
  <c r="BL1186" i="48"/>
  <c r="AT1186" i="48"/>
  <c r="BB1186" i="48"/>
  <c r="AS1186" i="48"/>
  <c r="BM1186" i="48"/>
  <c r="AS784" i="48"/>
  <c r="BM784" i="48"/>
  <c r="BB784" i="48"/>
  <c r="BL784" i="48"/>
  <c r="AT784" i="48"/>
  <c r="BM2041" i="48"/>
  <c r="BB2041" i="48"/>
  <c r="AS2041" i="48"/>
  <c r="BL2041" i="48"/>
  <c r="AT2041" i="48"/>
  <c r="BM734" i="48"/>
  <c r="BL734" i="48"/>
  <c r="AT734" i="48"/>
  <c r="BB734" i="48"/>
  <c r="AS734" i="48"/>
  <c r="BM942" i="48"/>
  <c r="AS942" i="48"/>
  <c r="BL942" i="48"/>
  <c r="BB942" i="48"/>
  <c r="AT942" i="48"/>
  <c r="BM1805" i="48"/>
  <c r="BL1805" i="48"/>
  <c r="AT1805" i="48"/>
  <c r="BB1805" i="48"/>
  <c r="AS1805" i="48"/>
  <c r="AB1805" i="48" s="1"/>
  <c r="BB1330" i="48"/>
  <c r="BM1330" i="48"/>
  <c r="AT1330" i="48"/>
  <c r="BL1330" i="48"/>
  <c r="AS1330" i="48"/>
  <c r="AC1330" i="48" s="1"/>
  <c r="BC1330" i="48" s="1"/>
  <c r="AT1493" i="48"/>
  <c r="BM1493" i="48"/>
  <c r="AS1493" i="48"/>
  <c r="AB1493" i="48" s="1"/>
  <c r="BL1493" i="48"/>
  <c r="BB1493" i="48"/>
  <c r="AT886" i="48"/>
  <c r="BM886" i="48"/>
  <c r="AS886" i="48"/>
  <c r="BL886" i="48"/>
  <c r="BB886" i="48"/>
  <c r="BM1680" i="48"/>
  <c r="BL1680" i="48"/>
  <c r="AT1680" i="48"/>
  <c r="BB1680" i="48"/>
  <c r="AS1680" i="48"/>
  <c r="AB1680" i="48" s="1"/>
  <c r="BB877" i="48"/>
  <c r="AT877" i="48"/>
  <c r="BM877" i="48"/>
  <c r="AS877" i="48"/>
  <c r="BL877" i="48"/>
  <c r="BB1022" i="48"/>
  <c r="AS1022" i="48"/>
  <c r="AC1022" i="48" s="1"/>
  <c r="BC1022" i="48" s="1"/>
  <c r="BM1022" i="48"/>
  <c r="BL1022" i="48"/>
  <c r="AT1022" i="48"/>
  <c r="BM1979" i="48"/>
  <c r="BL1979" i="48"/>
  <c r="AT1979" i="48"/>
  <c r="AS1979" i="48"/>
  <c r="BB1979" i="48"/>
  <c r="AT2033" i="48"/>
  <c r="AS2033" i="48"/>
  <c r="AC2033" i="48" s="1"/>
  <c r="BC2033" i="48" s="1"/>
  <c r="BM2033" i="48"/>
  <c r="BL2033" i="48"/>
  <c r="BB2033" i="48"/>
  <c r="AT825" i="48"/>
  <c r="BM825" i="48"/>
  <c r="AS825" i="48"/>
  <c r="AC825" i="48" s="1"/>
  <c r="BC825" i="48" s="1"/>
  <c r="BL825" i="48"/>
  <c r="BB825" i="48"/>
  <c r="AT1191" i="48"/>
  <c r="AS1191" i="48"/>
  <c r="AB1191" i="48" s="1"/>
  <c r="BM1191" i="48"/>
  <c r="BB1191" i="48"/>
  <c r="BL1191" i="48"/>
  <c r="BB1841" i="48"/>
  <c r="AT1841" i="48"/>
  <c r="BM1841" i="48"/>
  <c r="AS1841" i="48"/>
  <c r="AB1841" i="48" s="1"/>
  <c r="BL1841" i="48"/>
  <c r="BM1497" i="48"/>
  <c r="BB1497" i="48"/>
  <c r="BL1497" i="48"/>
  <c r="AT1497" i="48"/>
  <c r="AS1497" i="48"/>
  <c r="BL702" i="48"/>
  <c r="AT702" i="48"/>
  <c r="BB702" i="48"/>
  <c r="AS702" i="48"/>
  <c r="AB702" i="48" s="1"/>
  <c r="BM702" i="48"/>
  <c r="BL1090" i="48"/>
  <c r="BB1090" i="48"/>
  <c r="AT1090" i="48"/>
  <c r="BM1090" i="48"/>
  <c r="AS1090" i="48"/>
  <c r="AB1090" i="48" s="1"/>
  <c r="BM1703" i="48"/>
  <c r="BB1703" i="48"/>
  <c r="AT1703" i="48"/>
  <c r="BL1703" i="48"/>
  <c r="AS1703" i="48"/>
  <c r="AC1703" i="48" s="1"/>
  <c r="BC1703" i="48" s="1"/>
  <c r="BB1281" i="48"/>
  <c r="BM1281" i="48"/>
  <c r="AT1281" i="48"/>
  <c r="BL1281" i="48"/>
  <c r="AS1281" i="48"/>
  <c r="BB834" i="48"/>
  <c r="BM834" i="48"/>
  <c r="AT834" i="48"/>
  <c r="AS834" i="48"/>
  <c r="AC834" i="48" s="1"/>
  <c r="BC834" i="48" s="1"/>
  <c r="BL834" i="48"/>
  <c r="BM814" i="48"/>
  <c r="BL814" i="48"/>
  <c r="AT814" i="48"/>
  <c r="AS814" i="48"/>
  <c r="AC814" i="48" s="1"/>
  <c r="BC814" i="48" s="1"/>
  <c r="BB814" i="48"/>
  <c r="BM1062" i="48"/>
  <c r="AT1062" i="48"/>
  <c r="BL1062" i="48"/>
  <c r="AS1062" i="48"/>
  <c r="BB1062" i="48"/>
  <c r="AT1789" i="48"/>
  <c r="BB1789" i="48"/>
  <c r="AS1789" i="48"/>
  <c r="AB1789" i="48" s="1"/>
  <c r="BM1789" i="48"/>
  <c r="BL1789" i="48"/>
  <c r="BB1119" i="48"/>
  <c r="AS1119" i="48"/>
  <c r="BM1119" i="48"/>
  <c r="BL1119" i="48"/>
  <c r="AT1119" i="48"/>
  <c r="AT1210" i="48"/>
  <c r="BB1210" i="48"/>
  <c r="AS1210" i="48"/>
  <c r="BM1210" i="48"/>
  <c r="BL1210" i="48"/>
  <c r="BM1746" i="48"/>
  <c r="BB1746" i="48"/>
  <c r="BL1746" i="48"/>
  <c r="AT1746" i="48"/>
  <c r="AS1746" i="48"/>
  <c r="AB1746" i="48" s="1"/>
  <c r="BM2010" i="48"/>
  <c r="BL2010" i="48"/>
  <c r="AT2010" i="48"/>
  <c r="AS2010" i="48"/>
  <c r="BB2010" i="48"/>
  <c r="BB1233" i="48"/>
  <c r="BM1233" i="48"/>
  <c r="AT1233" i="48"/>
  <c r="AS1233" i="48"/>
  <c r="BL1233" i="48"/>
  <c r="BL1584" i="48"/>
  <c r="BB1584" i="48"/>
  <c r="AT1584" i="48"/>
  <c r="BM1584" i="48"/>
  <c r="AS1584" i="48"/>
  <c r="AS1215" i="48"/>
  <c r="BM1215" i="48"/>
  <c r="BB1215" i="48"/>
  <c r="BL1215" i="48"/>
  <c r="AT1215" i="48"/>
  <c r="BM594" i="48"/>
  <c r="AT594" i="48"/>
  <c r="BL594" i="48"/>
  <c r="AS594" i="48"/>
  <c r="AB594" i="48" s="1"/>
  <c r="BB594" i="48"/>
  <c r="BM1649" i="48"/>
  <c r="AT1649" i="48"/>
  <c r="BL1649" i="48"/>
  <c r="AS1649" i="48"/>
  <c r="BB1649" i="48"/>
  <c r="BM849" i="48"/>
  <c r="AS849" i="48"/>
  <c r="AB849" i="48" s="1"/>
  <c r="BL849" i="48"/>
  <c r="BB849" i="48"/>
  <c r="AT849" i="48"/>
  <c r="BL1719" i="48"/>
  <c r="AS1719" i="48"/>
  <c r="BM1719" i="48"/>
  <c r="AT1719" i="48"/>
  <c r="BB1719" i="48"/>
  <c r="AS772" i="48"/>
  <c r="BM772" i="48"/>
  <c r="BB772" i="48"/>
  <c r="BL772" i="48"/>
  <c r="AT772" i="48"/>
  <c r="BB1506" i="48"/>
  <c r="AT1506" i="48"/>
  <c r="BM1506" i="48"/>
  <c r="AS1506" i="48"/>
  <c r="BL1506" i="48"/>
  <c r="BM865" i="48"/>
  <c r="AS865" i="48"/>
  <c r="BL865" i="48"/>
  <c r="BB865" i="48"/>
  <c r="AT865" i="48"/>
  <c r="BL718" i="48"/>
  <c r="AT718" i="48"/>
  <c r="BB718" i="48"/>
  <c r="AS718" i="48"/>
  <c r="BM718" i="48"/>
  <c r="BB1170" i="48"/>
  <c r="BM1170" i="48"/>
  <c r="AT1170" i="48"/>
  <c r="BL1170" i="48"/>
  <c r="AS1170" i="48"/>
  <c r="AC1170" i="48" s="1"/>
  <c r="BC1170" i="48" s="1"/>
  <c r="BB1490" i="48"/>
  <c r="AT1490" i="48"/>
  <c r="BM1490" i="48"/>
  <c r="AS1490" i="48"/>
  <c r="BL1490" i="48"/>
  <c r="BB1695" i="48"/>
  <c r="AT1695" i="48"/>
  <c r="BM1695" i="48"/>
  <c r="AS1695" i="48"/>
  <c r="BL1695" i="48"/>
  <c r="BM1467" i="48"/>
  <c r="AT1467" i="48"/>
  <c r="BL1467" i="48"/>
  <c r="AS1467" i="48"/>
  <c r="BB1467" i="48"/>
  <c r="BL1006" i="48"/>
  <c r="AT1006" i="48"/>
  <c r="BB1006" i="48"/>
  <c r="AS1006" i="48"/>
  <c r="AC1006" i="48" s="1"/>
  <c r="BC1006" i="48" s="1"/>
  <c r="BM1006" i="48"/>
  <c r="BB1334" i="48"/>
  <c r="AS1334" i="48"/>
  <c r="BM1334" i="48"/>
  <c r="BL1334" i="48"/>
  <c r="AT1334" i="48"/>
  <c r="BL1580" i="48"/>
  <c r="BB1580" i="48"/>
  <c r="AT1580" i="48"/>
  <c r="BM1580" i="48"/>
  <c r="AS1580" i="48"/>
  <c r="AC1580" i="48" s="1"/>
  <c r="BC1580" i="48" s="1"/>
  <c r="BL1394" i="48"/>
  <c r="BB1394" i="48"/>
  <c r="AT1394" i="48"/>
  <c r="BM1394" i="48"/>
  <c r="AS1394" i="48"/>
  <c r="AB1394" i="48" s="1"/>
  <c r="BB673" i="48"/>
  <c r="BM673" i="48"/>
  <c r="AT673" i="48"/>
  <c r="BL673" i="48"/>
  <c r="AS673" i="48"/>
  <c r="AB673" i="48" s="1"/>
  <c r="BM999" i="48"/>
  <c r="BL999" i="48"/>
  <c r="AT999" i="48"/>
  <c r="AS999" i="48"/>
  <c r="AC999" i="48" s="1"/>
  <c r="BC999" i="48" s="1"/>
  <c r="BB999" i="48"/>
  <c r="AS1638" i="48"/>
  <c r="BB1638" i="48"/>
  <c r="BM1638" i="48"/>
  <c r="BL1638" i="48"/>
  <c r="AT1638" i="48"/>
  <c r="BL1392" i="48"/>
  <c r="AT1392" i="48"/>
  <c r="AS1392" i="48"/>
  <c r="BB1392" i="48"/>
  <c r="BM1392" i="48"/>
  <c r="BM1740" i="48"/>
  <c r="AT1740" i="48"/>
  <c r="BL1740" i="48"/>
  <c r="AS1740" i="48"/>
  <c r="BB1740" i="48"/>
  <c r="AT805" i="48"/>
  <c r="AS805" i="48"/>
  <c r="AB805" i="48" s="1"/>
  <c r="BM805" i="48"/>
  <c r="BB805" i="48"/>
  <c r="BL805" i="48"/>
  <c r="BM815" i="48"/>
  <c r="AS815" i="48"/>
  <c r="BL815" i="48"/>
  <c r="BB815" i="48"/>
  <c r="AT815" i="48"/>
  <c r="BB1252" i="48"/>
  <c r="AT1252" i="48"/>
  <c r="BM1252" i="48"/>
  <c r="AS1252" i="48"/>
  <c r="AC1252" i="48" s="1"/>
  <c r="BC1252" i="48" s="1"/>
  <c r="BL1252" i="48"/>
  <c r="BL1614" i="48"/>
  <c r="AT1614" i="48"/>
  <c r="AS1614" i="48"/>
  <c r="AC1614" i="48" s="1"/>
  <c r="BC1614" i="48" s="1"/>
  <c r="BB1614" i="48"/>
  <c r="BM1614" i="48"/>
  <c r="BM750" i="48"/>
  <c r="AT750" i="48"/>
  <c r="BL750" i="48"/>
  <c r="AS750" i="48"/>
  <c r="BB750" i="48"/>
  <c r="BM1784" i="48"/>
  <c r="AT1784" i="48"/>
  <c r="BL1784" i="48"/>
  <c r="AS1784" i="48"/>
  <c r="BB1784" i="48"/>
  <c r="AT1344" i="48"/>
  <c r="BB1344" i="48"/>
  <c r="AS1344" i="48"/>
  <c r="BM1344" i="48"/>
  <c r="BL1344" i="48"/>
  <c r="AS1380" i="48"/>
  <c r="BB1380" i="48"/>
  <c r="BM1380" i="48"/>
  <c r="BL1380" i="48"/>
  <c r="AT1380" i="48"/>
  <c r="BM847" i="48"/>
  <c r="BL847" i="48"/>
  <c r="AT847" i="48"/>
  <c r="BB847" i="48"/>
  <c r="AS847" i="48"/>
  <c r="AB847" i="48" s="1"/>
  <c r="BL1743" i="48"/>
  <c r="BB1743" i="48"/>
  <c r="AT1743" i="48"/>
  <c r="BM1743" i="48"/>
  <c r="AS1743" i="48"/>
  <c r="BB1248" i="48"/>
  <c r="AT1248" i="48"/>
  <c r="BM1248" i="48"/>
  <c r="AS1248" i="48"/>
  <c r="AB1248" i="48" s="1"/>
  <c r="BL1248" i="48"/>
  <c r="AT1872" i="48"/>
  <c r="AS1872" i="48"/>
  <c r="AC1872" i="48" s="1"/>
  <c r="BC1872" i="48" s="1"/>
  <c r="BB1872" i="48"/>
  <c r="BM1872" i="48"/>
  <c r="BL1872" i="48"/>
  <c r="BB1608" i="48"/>
  <c r="AT1608" i="48"/>
  <c r="BM1608" i="48"/>
  <c r="AS1608" i="48"/>
  <c r="AC1608" i="48" s="1"/>
  <c r="BC1608" i="48" s="1"/>
  <c r="BL1608" i="48"/>
  <c r="BB1525" i="48"/>
  <c r="BM1525" i="48"/>
  <c r="AT1525" i="48"/>
  <c r="BL1525" i="48"/>
  <c r="AS1525" i="48"/>
  <c r="BM990" i="48"/>
  <c r="BL990" i="48"/>
  <c r="AT990" i="48"/>
  <c r="AS990" i="48"/>
  <c r="BB990" i="48"/>
  <c r="BL957" i="48"/>
  <c r="AS957" i="48"/>
  <c r="BM957" i="48"/>
  <c r="BB957" i="48"/>
  <c r="AT957" i="48"/>
  <c r="BM776" i="48"/>
  <c r="BB776" i="48"/>
  <c r="BL776" i="48"/>
  <c r="AT776" i="48"/>
  <c r="AS776" i="48"/>
  <c r="BM1117" i="48"/>
  <c r="AS1117" i="48"/>
  <c r="BL1117" i="48"/>
  <c r="BB1117" i="48"/>
  <c r="AT1117" i="48"/>
  <c r="BL1924" i="48"/>
  <c r="AT1924" i="48"/>
  <c r="BB1924" i="48"/>
  <c r="AS1924" i="48"/>
  <c r="BM1924" i="48"/>
  <c r="AT576" i="48"/>
  <c r="BM576" i="48"/>
  <c r="BB576" i="48"/>
  <c r="AS576" i="48"/>
  <c r="BL576" i="48"/>
  <c r="BM880" i="48"/>
  <c r="BB880" i="48"/>
  <c r="BL880" i="48"/>
  <c r="AT880" i="48"/>
  <c r="AS880" i="48"/>
  <c r="AC880" i="48" s="1"/>
  <c r="BC880" i="48" s="1"/>
  <c r="BM569" i="48"/>
  <c r="AT569" i="48"/>
  <c r="BL569" i="48"/>
  <c r="AS569" i="48"/>
  <c r="BB569" i="48"/>
  <c r="AT902" i="48"/>
  <c r="BM902" i="48"/>
  <c r="AS902" i="48"/>
  <c r="BL902" i="48"/>
  <c r="BB902" i="48"/>
  <c r="BM1420" i="48"/>
  <c r="BL1420" i="48"/>
  <c r="AT1420" i="48"/>
  <c r="AS1420" i="48"/>
  <c r="AB1420" i="48" s="1"/>
  <c r="BB1420" i="48"/>
  <c r="BM1409" i="48"/>
  <c r="BB1409" i="48"/>
  <c r="BL1409" i="48"/>
  <c r="AT1409" i="48"/>
  <c r="AS1409" i="48"/>
  <c r="BM1644" i="48"/>
  <c r="AS1644" i="48"/>
  <c r="AC1644" i="48" s="1"/>
  <c r="BC1644" i="48" s="1"/>
  <c r="BL1644" i="48"/>
  <c r="BB1644" i="48"/>
  <c r="AT1644" i="48"/>
  <c r="AS712" i="48"/>
  <c r="AC712" i="48" s="1"/>
  <c r="BC712" i="48" s="1"/>
  <c r="BM712" i="48"/>
  <c r="BB712" i="48"/>
  <c r="BL712" i="48"/>
  <c r="AT712" i="48"/>
  <c r="AT1994" i="48"/>
  <c r="BM1994" i="48"/>
  <c r="AS1994" i="48"/>
  <c r="BL1994" i="48"/>
  <c r="BB1994" i="48"/>
  <c r="BM1386" i="48"/>
  <c r="AS1386" i="48"/>
  <c r="BL1386" i="48"/>
  <c r="BB1386" i="48"/>
  <c r="AT1386" i="48"/>
  <c r="BM989" i="48"/>
  <c r="AS989" i="48"/>
  <c r="BL989" i="48"/>
  <c r="BB989" i="48"/>
  <c r="AT989" i="48"/>
  <c r="BL633" i="48"/>
  <c r="AT633" i="48"/>
  <c r="AS633" i="48"/>
  <c r="BM633" i="48"/>
  <c r="BB633" i="48"/>
  <c r="BM1559" i="48"/>
  <c r="BB1559" i="48"/>
  <c r="BL1559" i="48"/>
  <c r="AT1559" i="48"/>
  <c r="AS1559" i="48"/>
  <c r="AS1690" i="48"/>
  <c r="BM1690" i="48"/>
  <c r="BB1690" i="48"/>
  <c r="BL1690" i="48"/>
  <c r="AT1690" i="48"/>
  <c r="AS1981" i="48"/>
  <c r="BM1981" i="48"/>
  <c r="BB1981" i="48"/>
  <c r="BL1981" i="48"/>
  <c r="AT1981" i="48"/>
  <c r="BL962" i="48"/>
  <c r="AS962" i="48"/>
  <c r="BB962" i="48"/>
  <c r="AT962" i="48"/>
  <c r="BM962" i="48"/>
  <c r="AS1231" i="48"/>
  <c r="BL1231" i="48"/>
  <c r="BB1231" i="48"/>
  <c r="BM1231" i="48"/>
  <c r="AT1231" i="48"/>
  <c r="BM917" i="48"/>
  <c r="BB917" i="48"/>
  <c r="AT917" i="48"/>
  <c r="BL917" i="48"/>
  <c r="AS917" i="48"/>
  <c r="BM686" i="48"/>
  <c r="AT686" i="48"/>
  <c r="BL686" i="48"/>
  <c r="AS686" i="48"/>
  <c r="BB686" i="48"/>
  <c r="BB1729" i="48"/>
  <c r="AS1729" i="48"/>
  <c r="AB1729" i="48" s="1"/>
  <c r="BM1729" i="48"/>
  <c r="BL1729" i="48"/>
  <c r="AT1729" i="48"/>
  <c r="AT1815" i="48"/>
  <c r="BB1815" i="48"/>
  <c r="BM1815" i="48"/>
  <c r="BL1815" i="48"/>
  <c r="AS1815" i="48"/>
  <c r="AB1815" i="48" s="1"/>
  <c r="BM1362" i="48"/>
  <c r="AT1362" i="48"/>
  <c r="BL1362" i="48"/>
  <c r="AS1362" i="48"/>
  <c r="AB1362" i="48" s="1"/>
  <c r="BB1362" i="48"/>
  <c r="BM2001" i="48"/>
  <c r="AT2001" i="48"/>
  <c r="BL2001" i="48"/>
  <c r="AS2001" i="48"/>
  <c r="AB2001" i="48" s="1"/>
  <c r="BB2001" i="48"/>
  <c r="BM1390" i="48"/>
  <c r="AS1390" i="48"/>
  <c r="BL1390" i="48"/>
  <c r="BB1390" i="48"/>
  <c r="AT1390" i="48"/>
  <c r="BM1688" i="48"/>
  <c r="AT1688" i="48"/>
  <c r="BL1688" i="48"/>
  <c r="BB1688" i="48"/>
  <c r="AS1688" i="48"/>
  <c r="AB1688" i="48" s="1"/>
  <c r="BL1761" i="48"/>
  <c r="AT1761" i="48"/>
  <c r="AS1761" i="48"/>
  <c r="AB1761" i="48" s="1"/>
  <c r="BB1761" i="48"/>
  <c r="BM1761" i="48"/>
  <c r="BB922" i="48"/>
  <c r="AS922" i="48"/>
  <c r="AB922" i="48" s="1"/>
  <c r="BM922" i="48"/>
  <c r="BL922" i="48"/>
  <c r="AT922" i="48"/>
  <c r="BM1393" i="48"/>
  <c r="BB1393" i="48"/>
  <c r="BL1393" i="48"/>
  <c r="AT1393" i="48"/>
  <c r="AS1393" i="48"/>
  <c r="AB1393" i="48" s="1"/>
  <c r="AT1721" i="48"/>
  <c r="BB1721" i="48"/>
  <c r="AS1721" i="48"/>
  <c r="BM1721" i="48"/>
  <c r="BL1721" i="48"/>
  <c r="AT780" i="48"/>
  <c r="AS780" i="48"/>
  <c r="AB780" i="48" s="1"/>
  <c r="BM780" i="48"/>
  <c r="BL780" i="48"/>
  <c r="BB780" i="48"/>
  <c r="AS1587" i="48"/>
  <c r="AB1587" i="48" s="1"/>
  <c r="BM1587" i="48"/>
  <c r="BB1587" i="48"/>
  <c r="BL1587" i="48"/>
  <c r="AT1587" i="48"/>
  <c r="BL887" i="48"/>
  <c r="AS887" i="48"/>
  <c r="BB887" i="48"/>
  <c r="BM887" i="48"/>
  <c r="AT887" i="48"/>
  <c r="BM754" i="48"/>
  <c r="AT754" i="48"/>
  <c r="BL754" i="48"/>
  <c r="AS754" i="48"/>
  <c r="AC754" i="48" s="1"/>
  <c r="BC754" i="48" s="1"/>
  <c r="BB754" i="48"/>
  <c r="AT1110" i="48"/>
  <c r="BM1110" i="48"/>
  <c r="AS1110" i="48"/>
  <c r="BL1110" i="48"/>
  <c r="BB1110" i="48"/>
  <c r="AS1550" i="48"/>
  <c r="BB1550" i="48"/>
  <c r="BM1550" i="48"/>
  <c r="BL1550" i="48"/>
  <c r="AT1550" i="48"/>
  <c r="BB1964" i="48"/>
  <c r="AT1964" i="48"/>
  <c r="AS1964" i="48"/>
  <c r="BM1964" i="48"/>
  <c r="BL1964" i="48"/>
  <c r="BM1436" i="48"/>
  <c r="BL1436" i="48"/>
  <c r="AT1436" i="48"/>
  <c r="AS1436" i="48"/>
  <c r="AC1436" i="48" s="1"/>
  <c r="BC1436" i="48" s="1"/>
  <c r="BB1436" i="48"/>
  <c r="BB1600" i="48"/>
  <c r="AT1600" i="48"/>
  <c r="BM1600" i="48"/>
  <c r="AS1600" i="48"/>
  <c r="AC1600" i="48" s="1"/>
  <c r="BC1600" i="48" s="1"/>
  <c r="BL1600" i="48"/>
  <c r="BL1514" i="48"/>
  <c r="BB1514" i="48"/>
  <c r="AT1514" i="48"/>
  <c r="BM1514" i="48"/>
  <c r="AS1514" i="48"/>
  <c r="BM652" i="48"/>
  <c r="BB652" i="48"/>
  <c r="BL652" i="48"/>
  <c r="AT652" i="48"/>
  <c r="AS652" i="48"/>
  <c r="AC652" i="48" s="1"/>
  <c r="BC652" i="48" s="1"/>
  <c r="AS1781" i="48"/>
  <c r="AC1781" i="48" s="1"/>
  <c r="BC1781" i="48" s="1"/>
  <c r="BB1781" i="48"/>
  <c r="BL1781" i="48"/>
  <c r="AT1781" i="48"/>
  <c r="BM1781" i="48"/>
  <c r="BL899" i="48"/>
  <c r="AT899" i="48"/>
  <c r="AS899" i="48"/>
  <c r="AB899" i="48" s="1"/>
  <c r="BB899" i="48"/>
  <c r="BM899" i="48"/>
  <c r="BM1003" i="48"/>
  <c r="BL1003" i="48"/>
  <c r="AT1003" i="48"/>
  <c r="BB1003" i="48"/>
  <c r="AS1003" i="48"/>
  <c r="AB1003" i="48" s="1"/>
  <c r="AT1920" i="48"/>
  <c r="BB1920" i="48"/>
  <c r="BM1920" i="48"/>
  <c r="AS1920" i="48"/>
  <c r="AC1920" i="48" s="1"/>
  <c r="BC1920" i="48" s="1"/>
  <c r="BL1920" i="48"/>
  <c r="BM1076" i="48"/>
  <c r="BB1076" i="48"/>
  <c r="BL1076" i="48"/>
  <c r="AT1076" i="48"/>
  <c r="AS1076" i="48"/>
  <c r="BL1381" i="48"/>
  <c r="AT1381" i="48"/>
  <c r="BM1381" i="48"/>
  <c r="AS1381" i="48"/>
  <c r="BB1381" i="48"/>
  <c r="BB1455" i="48"/>
  <c r="BM1455" i="48"/>
  <c r="AT1455" i="48"/>
  <c r="BL1455" i="48"/>
  <c r="AS1455" i="48"/>
  <c r="AT647" i="48"/>
  <c r="BB647" i="48"/>
  <c r="AS647" i="48"/>
  <c r="BM647" i="48"/>
  <c r="BL647" i="48"/>
  <c r="BL1482" i="48"/>
  <c r="BB1482" i="48"/>
  <c r="AT1482" i="48"/>
  <c r="BM1482" i="48"/>
  <c r="AS1482" i="48"/>
  <c r="AC1482" i="48" s="1"/>
  <c r="BC1482" i="48" s="1"/>
  <c r="AT701" i="48"/>
  <c r="BM701" i="48"/>
  <c r="AS701" i="48"/>
  <c r="BL701" i="48"/>
  <c r="BB701" i="48"/>
  <c r="BB1212" i="48"/>
  <c r="AT1212" i="48"/>
  <c r="BM1212" i="48"/>
  <c r="AS1212" i="48"/>
  <c r="AB1212" i="48" s="1"/>
  <c r="BL1212" i="48"/>
  <c r="BM570" i="48"/>
  <c r="BB570" i="48"/>
  <c r="AS570" i="48"/>
  <c r="BL570" i="48"/>
  <c r="AT570" i="48"/>
  <c r="BM1080" i="48"/>
  <c r="BB1080" i="48"/>
  <c r="BL1080" i="48"/>
  <c r="AT1080" i="48"/>
  <c r="AS1080" i="48"/>
  <c r="BM1429" i="48"/>
  <c r="BB1429" i="48"/>
  <c r="BL1429" i="48"/>
  <c r="AT1429" i="48"/>
  <c r="AS1429" i="48"/>
  <c r="BL1960" i="48"/>
  <c r="AS1960" i="48"/>
  <c r="AC1960" i="48" s="1"/>
  <c r="BC1960" i="48" s="1"/>
  <c r="BB1960" i="48"/>
  <c r="AT1960" i="48"/>
  <c r="BM1960" i="48"/>
  <c r="BB1887" i="48"/>
  <c r="AS1887" i="48"/>
  <c r="AB1887" i="48" s="1"/>
  <c r="BM1887" i="48"/>
  <c r="AT1887" i="48"/>
  <c r="BL1887" i="48"/>
  <c r="BM912" i="48"/>
  <c r="BB912" i="48"/>
  <c r="BL912" i="48"/>
  <c r="AT912" i="48"/>
  <c r="AS912" i="48"/>
  <c r="BM1713" i="48"/>
  <c r="BL1713" i="48"/>
  <c r="AT1713" i="48"/>
  <c r="AS1713" i="48"/>
  <c r="BB1713" i="48"/>
  <c r="BM1293" i="48"/>
  <c r="AT1293" i="48"/>
  <c r="BL1293" i="48"/>
  <c r="AS1293" i="48"/>
  <c r="BB1293" i="48"/>
  <c r="BL1835" i="48"/>
  <c r="AS1835" i="48"/>
  <c r="BB1835" i="48"/>
  <c r="BM1835" i="48"/>
  <c r="AT1835" i="48"/>
  <c r="AT1158" i="48"/>
  <c r="BM1158" i="48"/>
  <c r="AS1158" i="48"/>
  <c r="AC1158" i="48" s="1"/>
  <c r="BC1158" i="48" s="1"/>
  <c r="BL1158" i="48"/>
  <c r="BB1158" i="48"/>
  <c r="BL1878" i="48"/>
  <c r="AS1878" i="48"/>
  <c r="AC1878" i="48" s="1"/>
  <c r="BC1878" i="48" s="1"/>
  <c r="BB1878" i="48"/>
  <c r="AT1878" i="48"/>
  <c r="BM1878" i="48"/>
  <c r="BL1589" i="48"/>
  <c r="AS1589" i="48"/>
  <c r="AB1589" i="48" s="1"/>
  <c r="BB1589" i="48"/>
  <c r="BM1589" i="48"/>
  <c r="AT1589" i="48"/>
  <c r="BL1388" i="48"/>
  <c r="AT1388" i="48"/>
  <c r="BB1388" i="48"/>
  <c r="AS1388" i="48"/>
  <c r="BM1388" i="48"/>
  <c r="BB947" i="48"/>
  <c r="AS947" i="48"/>
  <c r="BM947" i="48"/>
  <c r="BL947" i="48"/>
  <c r="AT947" i="48"/>
  <c r="BB1294" i="48"/>
  <c r="BM1294" i="48"/>
  <c r="AT1294" i="48"/>
  <c r="BL1294" i="48"/>
  <c r="AS1294" i="48"/>
  <c r="BB1115" i="48"/>
  <c r="AS1115" i="48"/>
  <c r="BM1115" i="48"/>
  <c r="BL1115" i="48"/>
  <c r="AT1115" i="48"/>
  <c r="BB1915" i="48"/>
  <c r="AT1915" i="48"/>
  <c r="AS1915" i="48"/>
  <c r="BM1915" i="48"/>
  <c r="BL1915" i="48"/>
  <c r="BB1448" i="48"/>
  <c r="AS1448" i="48"/>
  <c r="AB1448" i="48" s="1"/>
  <c r="BM1448" i="48"/>
  <c r="BL1448" i="48"/>
  <c r="AT1448" i="48"/>
  <c r="BB1565" i="48"/>
  <c r="BM1565" i="48"/>
  <c r="AT1565" i="48"/>
  <c r="BL1565" i="48"/>
  <c r="AS1565" i="48"/>
  <c r="BM628" i="48"/>
  <c r="BB628" i="48"/>
  <c r="BL628" i="48"/>
  <c r="AT628" i="48"/>
  <c r="AS628" i="48"/>
  <c r="AC628" i="48" s="1"/>
  <c r="BC628" i="48" s="1"/>
  <c r="BB657" i="48"/>
  <c r="BM657" i="48"/>
  <c r="AT657" i="48"/>
  <c r="BL657" i="48"/>
  <c r="AS657" i="48"/>
  <c r="AT2012" i="48"/>
  <c r="AS2012" i="48"/>
  <c r="AC2012" i="48" s="1"/>
  <c r="BC2012" i="48" s="1"/>
  <c r="BM2012" i="48"/>
  <c r="BB2012" i="48"/>
  <c r="BL2012" i="48"/>
  <c r="BL1326" i="48"/>
  <c r="AT1326" i="48"/>
  <c r="AS1326" i="48"/>
  <c r="AB1326" i="48" s="1"/>
  <c r="BB1326" i="48"/>
  <c r="BM1326" i="48"/>
  <c r="BL1451" i="48"/>
  <c r="AS1451" i="48"/>
  <c r="BB1451" i="48"/>
  <c r="BM1451" i="48"/>
  <c r="AT1451" i="48"/>
  <c r="BL983" i="48"/>
  <c r="AT983" i="48"/>
  <c r="BB983" i="48"/>
  <c r="AS983" i="48"/>
  <c r="AC983" i="48" s="1"/>
  <c r="BC983" i="48" s="1"/>
  <c r="BM983" i="48"/>
  <c r="BL1460" i="48"/>
  <c r="AT1460" i="48"/>
  <c r="BB1460" i="48"/>
  <c r="AS1460" i="48"/>
  <c r="AC1460" i="48" s="1"/>
  <c r="BC1460" i="48" s="1"/>
  <c r="BM1460" i="48"/>
  <c r="AT1331" i="48"/>
  <c r="AS1331" i="48"/>
  <c r="BM1331" i="48"/>
  <c r="BB1331" i="48"/>
  <c r="BL1331" i="48"/>
  <c r="AS696" i="48"/>
  <c r="AB696" i="48" s="1"/>
  <c r="BM696" i="48"/>
  <c r="BB696" i="48"/>
  <c r="BL696" i="48"/>
  <c r="AT696" i="48"/>
  <c r="BB1995" i="48"/>
  <c r="AS1995" i="48"/>
  <c r="AC1995" i="48" s="1"/>
  <c r="BC1995" i="48" s="1"/>
  <c r="BM1995" i="48"/>
  <c r="BL1995" i="48"/>
  <c r="AT1995" i="48"/>
  <c r="BL1026" i="48"/>
  <c r="BB1026" i="48"/>
  <c r="AT1026" i="48"/>
  <c r="BM1026" i="48"/>
  <c r="AS1026" i="48"/>
  <c r="AB1026" i="48" s="1"/>
  <c r="BL1836" i="48"/>
  <c r="AT1836" i="48"/>
  <c r="AS1836" i="48"/>
  <c r="AB1836" i="48" s="1"/>
  <c r="BM1836" i="48"/>
  <c r="BB1836" i="48"/>
  <c r="AT1274" i="48"/>
  <c r="BB1274" i="48"/>
  <c r="AS1274" i="48"/>
  <c r="BM1274" i="48"/>
  <c r="BL1274" i="48"/>
  <c r="BL1348" i="48"/>
  <c r="AT1348" i="48"/>
  <c r="BB1348" i="48"/>
  <c r="AS1348" i="48"/>
  <c r="BM1348" i="48"/>
  <c r="BM949" i="48"/>
  <c r="BB949" i="48"/>
  <c r="AT949" i="48"/>
  <c r="BL949" i="48"/>
  <c r="AS949" i="48"/>
  <c r="AT1024" i="48"/>
  <c r="AS1024" i="48"/>
  <c r="AB1024" i="48" s="1"/>
  <c r="BM1024" i="48"/>
  <c r="BB1024" i="48"/>
  <c r="BL1024" i="48"/>
  <c r="AT1716" i="48"/>
  <c r="BM1716" i="48"/>
  <c r="AS1716" i="48"/>
  <c r="BL1716" i="48"/>
  <c r="BB1716" i="48"/>
  <c r="BL2020" i="48"/>
  <c r="BB2020" i="48"/>
  <c r="AT2020" i="48"/>
  <c r="AS2020" i="48"/>
  <c r="BM2020" i="48"/>
  <c r="BM1830" i="48"/>
  <c r="BL1830" i="48"/>
  <c r="AT1830" i="48"/>
  <c r="BB1830" i="48"/>
  <c r="AS1830" i="48"/>
  <c r="BL692" i="48"/>
  <c r="AT692" i="48"/>
  <c r="AS692" i="48"/>
  <c r="BM692" i="48"/>
  <c r="BB692" i="48"/>
  <c r="BB987" i="48"/>
  <c r="AS987" i="48"/>
  <c r="BM987" i="48"/>
  <c r="BL987" i="48"/>
  <c r="AT987" i="48"/>
  <c r="BB1605" i="48"/>
  <c r="BM1605" i="48"/>
  <c r="AT1605" i="48"/>
  <c r="BL1605" i="48"/>
  <c r="AS1605" i="48"/>
  <c r="AC1605" i="48" s="1"/>
  <c r="BC1605" i="48" s="1"/>
  <c r="BL1706" i="48"/>
  <c r="AT1706" i="48"/>
  <c r="AS1706" i="48"/>
  <c r="BB1706" i="48"/>
  <c r="BM1706" i="48"/>
  <c r="BB759" i="48"/>
  <c r="AS759" i="48"/>
  <c r="AC759" i="48" s="1"/>
  <c r="BC759" i="48" s="1"/>
  <c r="BM759" i="48"/>
  <c r="BL759" i="48"/>
  <c r="AT759" i="48"/>
  <c r="BL2024" i="48"/>
  <c r="AS2024" i="48"/>
  <c r="BB2024" i="48"/>
  <c r="BM2024" i="48"/>
  <c r="AT2024" i="48"/>
  <c r="BL1419" i="48"/>
  <c r="AS1419" i="48"/>
  <c r="BB1419" i="48"/>
  <c r="BM1419" i="48"/>
  <c r="AT1419" i="48"/>
  <c r="BB1851" i="48"/>
  <c r="BM1851" i="48"/>
  <c r="BL1851" i="48"/>
  <c r="AT1851" i="48"/>
  <c r="AS1851" i="48"/>
  <c r="BB1633" i="48"/>
  <c r="BM1633" i="48"/>
  <c r="AT1633" i="48"/>
  <c r="BL1633" i="48"/>
  <c r="AS1633" i="48"/>
  <c r="BB919" i="48"/>
  <c r="AS919" i="48"/>
  <c r="BM919" i="48"/>
  <c r="BL919" i="48"/>
  <c r="AT919" i="48"/>
  <c r="AT1255" i="48"/>
  <c r="AS1255" i="48"/>
  <c r="BM1255" i="48"/>
  <c r="BB1255" i="48"/>
  <c r="BL1255" i="48"/>
  <c r="BL1103" i="48"/>
  <c r="AT1103" i="48"/>
  <c r="BB1103" i="48"/>
  <c r="AS1103" i="48"/>
  <c r="BM1103" i="48"/>
  <c r="BM1604" i="48"/>
  <c r="AS1604" i="48"/>
  <c r="AC1604" i="48" s="1"/>
  <c r="BC1604" i="48" s="1"/>
  <c r="BL1604" i="48"/>
  <c r="BB1604" i="48"/>
  <c r="AT1604" i="48"/>
  <c r="AS1279" i="48"/>
  <c r="BM1279" i="48"/>
  <c r="BB1279" i="48"/>
  <c r="BL1279" i="48"/>
  <c r="AT1279" i="48"/>
  <c r="AS1314" i="48"/>
  <c r="AC1314" i="48" s="1"/>
  <c r="BC1314" i="48" s="1"/>
  <c r="BB1314" i="48"/>
  <c r="BM1314" i="48"/>
  <c r="BL1314" i="48"/>
  <c r="AT1314" i="48"/>
  <c r="BM627" i="48"/>
  <c r="BL627" i="48"/>
  <c r="AT627" i="48"/>
  <c r="AS627" i="48"/>
  <c r="BB627" i="48"/>
  <c r="BL1169" i="48"/>
  <c r="AS1169" i="48"/>
  <c r="BB1169" i="48"/>
  <c r="BM1169" i="48"/>
  <c r="AT1169" i="48"/>
  <c r="BL1687" i="48"/>
  <c r="BB1687" i="48"/>
  <c r="AT1687" i="48"/>
  <c r="BM1687" i="48"/>
  <c r="AS1687" i="48"/>
  <c r="BM1891" i="48"/>
  <c r="BL1891" i="48"/>
  <c r="AT1891" i="48"/>
  <c r="AS1891" i="48"/>
  <c r="AB1891" i="48" s="1"/>
  <c r="BB1891" i="48"/>
  <c r="BB1696" i="48"/>
  <c r="AS1696" i="48"/>
  <c r="BM1696" i="48"/>
  <c r="BL1696" i="48"/>
  <c r="AT1696" i="48"/>
  <c r="AT1183" i="48"/>
  <c r="AS1183" i="48"/>
  <c r="AC1183" i="48" s="1"/>
  <c r="BC1183" i="48" s="1"/>
  <c r="BM1183" i="48"/>
  <c r="BB1183" i="48"/>
  <c r="BL1183" i="48"/>
  <c r="AT918" i="48"/>
  <c r="BM918" i="48"/>
  <c r="AS918" i="48"/>
  <c r="BL918" i="48"/>
  <c r="BB918" i="48"/>
  <c r="AT1247" i="48"/>
  <c r="AS1247" i="48"/>
  <c r="AC1247" i="48" s="1"/>
  <c r="BC1247" i="48" s="1"/>
  <c r="BM1247" i="48"/>
  <c r="BB1247" i="48"/>
  <c r="BL1247" i="48"/>
  <c r="BB1474" i="48"/>
  <c r="AT1474" i="48"/>
  <c r="BM1474" i="48"/>
  <c r="AS1474" i="48"/>
  <c r="AC1474" i="48" s="1"/>
  <c r="BC1474" i="48" s="1"/>
  <c r="BL1474" i="48"/>
  <c r="BL1367" i="48"/>
  <c r="AT1367" i="48"/>
  <c r="AS1367" i="48"/>
  <c r="AB1367" i="48" s="1"/>
  <c r="BM1367" i="48"/>
  <c r="BB1367" i="48"/>
  <c r="AT1722" i="48"/>
  <c r="AS1722" i="48"/>
  <c r="AB1722" i="48" s="1"/>
  <c r="BM1722" i="48"/>
  <c r="BL1722" i="48"/>
  <c r="BB1722" i="48"/>
  <c r="BM832" i="48"/>
  <c r="BB832" i="48"/>
  <c r="BL832" i="48"/>
  <c r="AT832" i="48"/>
  <c r="AS832" i="48"/>
  <c r="BB1959" i="48"/>
  <c r="AT1959" i="48"/>
  <c r="BM1959" i="48"/>
  <c r="AS1959" i="48"/>
  <c r="BL1959" i="48"/>
  <c r="BM716" i="48"/>
  <c r="BB716" i="48"/>
  <c r="BL716" i="48"/>
  <c r="AT716" i="48"/>
  <c r="AS716" i="48"/>
  <c r="BM1522" i="48"/>
  <c r="BL1522" i="48"/>
  <c r="AT1522" i="48"/>
  <c r="BB1522" i="48"/>
  <c r="AS1522" i="48"/>
  <c r="BB841" i="48"/>
  <c r="AT841" i="48"/>
  <c r="BM841" i="48"/>
  <c r="AS841" i="48"/>
  <c r="BL841" i="48"/>
  <c r="AT566" i="48"/>
  <c r="BM566" i="48"/>
  <c r="BB566" i="48"/>
  <c r="AS566" i="48"/>
  <c r="BL566" i="48"/>
  <c r="BL1424" i="48"/>
  <c r="AT1424" i="48"/>
  <c r="AS1424" i="48"/>
  <c r="BB1424" i="48"/>
  <c r="BM1424" i="48"/>
  <c r="BL1653" i="48"/>
  <c r="AS1653" i="48"/>
  <c r="BB1653" i="48"/>
  <c r="BM1653" i="48"/>
  <c r="AT1653" i="48"/>
  <c r="BL774" i="48"/>
  <c r="AS774" i="48"/>
  <c r="BB774" i="48"/>
  <c r="BM774" i="48"/>
  <c r="AT774" i="48"/>
  <c r="BM1002" i="48"/>
  <c r="AT1002" i="48"/>
  <c r="BL1002" i="48"/>
  <c r="AS1002" i="48"/>
  <c r="BB1002" i="48"/>
  <c r="BB1910" i="48"/>
  <c r="AT1910" i="48"/>
  <c r="AS1910" i="48"/>
  <c r="BM1910" i="48"/>
  <c r="BL1910" i="48"/>
  <c r="BB937" i="48"/>
  <c r="AT937" i="48"/>
  <c r="BM937" i="48"/>
  <c r="AS937" i="48"/>
  <c r="BL937" i="48"/>
  <c r="BB618" i="48"/>
  <c r="BM618" i="48"/>
  <c r="AT618" i="48"/>
  <c r="BL618" i="48"/>
  <c r="AS618" i="48"/>
  <c r="BL643" i="48"/>
  <c r="AT643" i="48"/>
  <c r="AS643" i="48"/>
  <c r="AC643" i="48" s="1"/>
  <c r="BC643" i="48" s="1"/>
  <c r="BB643" i="48"/>
  <c r="BM643" i="48"/>
  <c r="BL786" i="48"/>
  <c r="AS786" i="48"/>
  <c r="AB786" i="48" s="1"/>
  <c r="BB786" i="48"/>
  <c r="BM786" i="48"/>
  <c r="AT786" i="48"/>
  <c r="AS1485" i="48"/>
  <c r="BM1485" i="48"/>
  <c r="BB1485" i="48"/>
  <c r="BL1485" i="48"/>
  <c r="AT1485" i="48"/>
  <c r="BB1592" i="48"/>
  <c r="AT1592" i="48"/>
  <c r="BM1592" i="48"/>
  <c r="AS1592" i="48"/>
  <c r="BL1592" i="48"/>
  <c r="BL1518" i="48"/>
  <c r="BB1518" i="48"/>
  <c r="AT1518" i="48"/>
  <c r="BM1518" i="48"/>
  <c r="AS1518" i="48"/>
  <c r="BL1297" i="48"/>
  <c r="AS1297" i="48"/>
  <c r="BB1297" i="48"/>
  <c r="BM1297" i="48"/>
  <c r="AT1297" i="48"/>
  <c r="BL611" i="48"/>
  <c r="AT611" i="48"/>
  <c r="AS611" i="48"/>
  <c r="BB611" i="48"/>
  <c r="BM611" i="48"/>
  <c r="BL927" i="48"/>
  <c r="AT927" i="48"/>
  <c r="BB927" i="48"/>
  <c r="AS927" i="48"/>
  <c r="BM927" i="48"/>
  <c r="BL1812" i="48"/>
  <c r="AS1812" i="48"/>
  <c r="BB1812" i="48"/>
  <c r="AT1812" i="48"/>
  <c r="BM1812" i="48"/>
  <c r="BM1989" i="48"/>
  <c r="BB1989" i="48"/>
  <c r="BL1989" i="48"/>
  <c r="AT1989" i="48"/>
  <c r="AS1989" i="48"/>
  <c r="AC1989" i="48" s="1"/>
  <c r="BC1989" i="48" s="1"/>
  <c r="AS1788" i="48"/>
  <c r="AB1788" i="48" s="1"/>
  <c r="BB1788" i="48"/>
  <c r="AT1788" i="48"/>
  <c r="BM1788" i="48"/>
  <c r="BL1788" i="48"/>
  <c r="AT1473" i="48"/>
  <c r="BM1473" i="48"/>
  <c r="AS1473" i="48"/>
  <c r="AB1473" i="48" s="1"/>
  <c r="BL1473" i="48"/>
  <c r="BB1473" i="48"/>
  <c r="BL671" i="48"/>
  <c r="AT671" i="48"/>
  <c r="BB671" i="48"/>
  <c r="AS671" i="48"/>
  <c r="AB671" i="48" s="1"/>
  <c r="BM671" i="48"/>
  <c r="BM1480" i="48"/>
  <c r="BL1480" i="48"/>
  <c r="AT1480" i="48"/>
  <c r="AS1480" i="48"/>
  <c r="AB1480" i="48" s="1"/>
  <c r="BB1480" i="48"/>
  <c r="BB1953" i="48"/>
  <c r="BM1953" i="48"/>
  <c r="AT1953" i="48"/>
  <c r="AS1953" i="48"/>
  <c r="BL1953" i="48"/>
  <c r="BM1568" i="48"/>
  <c r="AS1568" i="48"/>
  <c r="AB1568" i="48" s="1"/>
  <c r="BL1568" i="48"/>
  <c r="BB1568" i="48"/>
  <c r="AT1568" i="48"/>
  <c r="BM964" i="48"/>
  <c r="BB964" i="48"/>
  <c r="BL964" i="48"/>
  <c r="AT964" i="48"/>
  <c r="AS964" i="48"/>
  <c r="BB1757" i="48"/>
  <c r="BM1757" i="48"/>
  <c r="AT1757" i="48"/>
  <c r="BL1757" i="48"/>
  <c r="AS1757" i="48"/>
  <c r="AC1757" i="48" s="1"/>
  <c r="BC1757" i="48" s="1"/>
  <c r="BM1560" i="48"/>
  <c r="AS1560" i="48"/>
  <c r="AC1560" i="48" s="1"/>
  <c r="BC1560" i="48" s="1"/>
  <c r="BL1560" i="48"/>
  <c r="BB1560" i="48"/>
  <c r="AT1560" i="48"/>
  <c r="BM820" i="48"/>
  <c r="BB820" i="48"/>
  <c r="BL820" i="48"/>
  <c r="AT820" i="48"/>
  <c r="AS820" i="48"/>
  <c r="AS968" i="48"/>
  <c r="AB968" i="48" s="1"/>
  <c r="BM968" i="48"/>
  <c r="BL968" i="48"/>
  <c r="BB968" i="48"/>
  <c r="AT968" i="48"/>
  <c r="AS635" i="48"/>
  <c r="BB635" i="48"/>
  <c r="BM635" i="48"/>
  <c r="BL635" i="48"/>
  <c r="AT635" i="48"/>
  <c r="BL871" i="48"/>
  <c r="AS871" i="48"/>
  <c r="BB871" i="48"/>
  <c r="BM871" i="48"/>
  <c r="AT871" i="48"/>
  <c r="BM1950" i="48"/>
  <c r="AS1950" i="48"/>
  <c r="BL1950" i="48"/>
  <c r="BB1950" i="48"/>
  <c r="AT1950" i="48"/>
  <c r="AS1844" i="48"/>
  <c r="AC1844" i="48" s="1"/>
  <c r="BC1844" i="48" s="1"/>
  <c r="BM1844" i="48"/>
  <c r="BB1844" i="48"/>
  <c r="BL1844" i="48"/>
  <c r="AT1844" i="48"/>
  <c r="BM995" i="48"/>
  <c r="BL995" i="48"/>
  <c r="AT995" i="48"/>
  <c r="BB995" i="48"/>
  <c r="AS995" i="48"/>
  <c r="AB995" i="48" s="1"/>
  <c r="BB1155" i="48"/>
  <c r="AS1155" i="48"/>
  <c r="BM1155" i="48"/>
  <c r="BL1155" i="48"/>
  <c r="AT1155" i="48"/>
  <c r="BM1747" i="48"/>
  <c r="BB1747" i="48"/>
  <c r="AT1747" i="48"/>
  <c r="BL1747" i="48"/>
  <c r="AS1747" i="48"/>
  <c r="AB1747" i="48" s="1"/>
  <c r="BB1640" i="48"/>
  <c r="AT1640" i="48"/>
  <c r="BM1640" i="48"/>
  <c r="AS1640" i="48"/>
  <c r="BL1640" i="48"/>
  <c r="AT890" i="48"/>
  <c r="BM890" i="48"/>
  <c r="AS890" i="48"/>
  <c r="AB890" i="48" s="1"/>
  <c r="BL890" i="48"/>
  <c r="BB890" i="48"/>
  <c r="AT613" i="48"/>
  <c r="BM613" i="48"/>
  <c r="AS613" i="48"/>
  <c r="AB613" i="48" s="1"/>
  <c r="BL613" i="48"/>
  <c r="BB613" i="48"/>
  <c r="BL767" i="48"/>
  <c r="AT767" i="48"/>
  <c r="BB767" i="48"/>
  <c r="AS767" i="48"/>
  <c r="BM767" i="48"/>
  <c r="BL1131" i="48"/>
  <c r="AT1131" i="48"/>
  <c r="BB1131" i="48"/>
  <c r="AS1131" i="48"/>
  <c r="BM1131" i="48"/>
  <c r="BM1966" i="48"/>
  <c r="AT1966" i="48"/>
  <c r="BL1966" i="48"/>
  <c r="AS1966" i="48"/>
  <c r="BB1966" i="48"/>
  <c r="AT1983" i="48"/>
  <c r="BB1983" i="48"/>
  <c r="AS1983" i="48"/>
  <c r="AC1983" i="48" s="1"/>
  <c r="BC1983" i="48" s="1"/>
  <c r="BM1983" i="48"/>
  <c r="BL1983" i="48"/>
  <c r="BM1573" i="48"/>
  <c r="AT1573" i="48"/>
  <c r="BL1573" i="48"/>
  <c r="AS1573" i="48"/>
  <c r="BB1573" i="48"/>
  <c r="BB1902" i="48"/>
  <c r="BM1902" i="48"/>
  <c r="AT1902" i="48"/>
  <c r="BL1902" i="48"/>
  <c r="AS1902" i="48"/>
  <c r="AB1902" i="48" s="1"/>
  <c r="BL1495" i="48"/>
  <c r="AS1495" i="48"/>
  <c r="BB1495" i="48"/>
  <c r="BM1495" i="48"/>
  <c r="AT1495" i="48"/>
  <c r="AT1123" i="48"/>
  <c r="BB1123" i="48"/>
  <c r="AS1123" i="48"/>
  <c r="AB1123" i="48" s="1"/>
  <c r="BM1123" i="48"/>
  <c r="BL1123" i="48"/>
  <c r="BB1787" i="48"/>
  <c r="AT1787" i="48"/>
  <c r="BM1787" i="48"/>
  <c r="AS1787" i="48"/>
  <c r="AB1787" i="48" s="1"/>
  <c r="BL1787" i="48"/>
  <c r="AT1965" i="48"/>
  <c r="BB1965" i="48"/>
  <c r="AS1965" i="48"/>
  <c r="AC1965" i="48" s="1"/>
  <c r="BC1965" i="48" s="1"/>
  <c r="BM1965" i="48"/>
  <c r="BL1965" i="48"/>
  <c r="BL1814" i="48"/>
  <c r="BB1814" i="48"/>
  <c r="AT1814" i="48"/>
  <c r="BM1814" i="48"/>
  <c r="AS1814" i="48"/>
  <c r="BL585" i="48"/>
  <c r="AT585" i="48"/>
  <c r="AS585" i="48"/>
  <c r="AB585" i="48" s="1"/>
  <c r="BM585" i="48"/>
  <c r="BB585" i="48"/>
  <c r="AT725" i="48"/>
  <c r="AS725" i="48"/>
  <c r="AB725" i="48" s="1"/>
  <c r="BM725" i="48"/>
  <c r="BB725" i="48"/>
  <c r="BL725" i="48"/>
  <c r="BL985" i="48"/>
  <c r="BB985" i="48"/>
  <c r="AT985" i="48"/>
  <c r="BM985" i="48"/>
  <c r="AS985" i="48"/>
  <c r="AB985" i="48" s="1"/>
  <c r="BL1347" i="48"/>
  <c r="AT1347" i="48"/>
  <c r="AS1347" i="48"/>
  <c r="AB1347" i="48" s="1"/>
  <c r="BM1347" i="48"/>
  <c r="BB1347" i="48"/>
  <c r="BM641" i="48"/>
  <c r="AS641" i="48"/>
  <c r="AB641" i="48" s="1"/>
  <c r="BL641" i="48"/>
  <c r="BB641" i="48"/>
  <c r="AT641" i="48"/>
  <c r="BL1428" i="48"/>
  <c r="AS1428" i="48"/>
  <c r="AB1428" i="48" s="1"/>
  <c r="BB1428" i="48"/>
  <c r="BM1428" i="48"/>
  <c r="AT1428" i="48"/>
  <c r="BB1432" i="48"/>
  <c r="AS1432" i="48"/>
  <c r="AB1432" i="48" s="1"/>
  <c r="BM1432" i="48"/>
  <c r="BL1432" i="48"/>
  <c r="AT1432" i="48"/>
  <c r="BB1998" i="48"/>
  <c r="AS1998" i="48"/>
  <c r="AC1998" i="48" s="1"/>
  <c r="BC1998" i="48" s="1"/>
  <c r="BM1998" i="48"/>
  <c r="BL1998" i="48"/>
  <c r="AT1998" i="48"/>
  <c r="BM856" i="48"/>
  <c r="BB856" i="48"/>
  <c r="BL856" i="48"/>
  <c r="AT856" i="48"/>
  <c r="AS856" i="48"/>
  <c r="AB856" i="48" s="1"/>
  <c r="AS1417" i="48"/>
  <c r="AC1417" i="48" s="1"/>
  <c r="BC1417" i="48" s="1"/>
  <c r="BM1417" i="48"/>
  <c r="BB1417" i="48"/>
  <c r="BL1417" i="48"/>
  <c r="AT1417" i="48"/>
  <c r="AT1259" i="48"/>
  <c r="BM1259" i="48"/>
  <c r="AS1259" i="48"/>
  <c r="AC1259" i="48" s="1"/>
  <c r="BC1259" i="48" s="1"/>
  <c r="BL1259" i="48"/>
  <c r="BB1259" i="48"/>
  <c r="BL1609" i="48"/>
  <c r="AS1609" i="48"/>
  <c r="AB1609" i="48" s="1"/>
  <c r="BB1609" i="48"/>
  <c r="BM1609" i="48"/>
  <c r="AT1609" i="48"/>
  <c r="BL1095" i="48"/>
  <c r="AT1095" i="48"/>
  <c r="BB1095" i="48"/>
  <c r="AS1095" i="48"/>
  <c r="AC1095" i="48" s="1"/>
  <c r="BC1095" i="48" s="1"/>
  <c r="BM1095" i="48"/>
  <c r="BL1475" i="48"/>
  <c r="AS1475" i="48"/>
  <c r="BB1475" i="48"/>
  <c r="BM1475" i="48"/>
  <c r="AT1475" i="48"/>
  <c r="AT1195" i="48"/>
  <c r="BM1195" i="48"/>
  <c r="AS1195" i="48"/>
  <c r="AC1195" i="48" s="1"/>
  <c r="BC1195" i="48" s="1"/>
  <c r="BL1195" i="48"/>
  <c r="BB1195" i="48"/>
  <c r="BB1209" i="48"/>
  <c r="BM1209" i="48"/>
  <c r="AT1209" i="48"/>
  <c r="BL1209" i="48"/>
  <c r="AS1209" i="48"/>
  <c r="AB1209" i="48" s="1"/>
  <c r="BB1439" i="48"/>
  <c r="BM1439" i="48"/>
  <c r="AT1439" i="48"/>
  <c r="BL1439" i="48"/>
  <c r="AS1439" i="48"/>
  <c r="AB1439" i="48" s="1"/>
  <c r="BM1465" i="48"/>
  <c r="BB1465" i="48"/>
  <c r="BL1465" i="48"/>
  <c r="AT1465" i="48"/>
  <c r="AS1465" i="48"/>
  <c r="BL706" i="48"/>
  <c r="AS706" i="48"/>
  <c r="AB706" i="48" s="1"/>
  <c r="BB706" i="48"/>
  <c r="BM706" i="48"/>
  <c r="AT706" i="48"/>
  <c r="BL1860" i="48"/>
  <c r="AT1860" i="48"/>
  <c r="BM1860" i="48"/>
  <c r="AS1860" i="48"/>
  <c r="AC1860" i="48" s="1"/>
  <c r="BC1860" i="48" s="1"/>
  <c r="BB1860" i="48"/>
  <c r="BM668" i="48"/>
  <c r="BL668" i="48"/>
  <c r="BB668" i="48"/>
  <c r="AT668" i="48"/>
  <c r="AS668" i="48"/>
  <c r="AC668" i="48" s="1"/>
  <c r="BC668" i="48" s="1"/>
  <c r="AS1112" i="48"/>
  <c r="BM1112" i="48"/>
  <c r="BB1112" i="48"/>
  <c r="BL1112" i="48"/>
  <c r="AT1112" i="48"/>
  <c r="BB1256" i="48"/>
  <c r="AT1256" i="48"/>
  <c r="BM1256" i="48"/>
  <c r="AS1256" i="48"/>
  <c r="AB1256" i="48" s="1"/>
  <c r="BL1256" i="48"/>
  <c r="BL1442" i="48"/>
  <c r="BB1442" i="48"/>
  <c r="AT1442" i="48"/>
  <c r="BM1442" i="48"/>
  <c r="AS1442" i="48"/>
  <c r="AB1442" i="48" s="1"/>
  <c r="BL1342" i="48"/>
  <c r="AT1342" i="48"/>
  <c r="AS1342" i="48"/>
  <c r="AB1342" i="48" s="1"/>
  <c r="BB1342" i="48"/>
  <c r="BM1342" i="48"/>
  <c r="BL1019" i="48"/>
  <c r="AT1019" i="48"/>
  <c r="BB1019" i="48"/>
  <c r="AS1019" i="48"/>
  <c r="BM1019" i="48"/>
  <c r="BL1601" i="48"/>
  <c r="AS1601" i="48"/>
  <c r="AC1601" i="48" s="1"/>
  <c r="BC1601" i="48" s="1"/>
  <c r="BB1601" i="48"/>
  <c r="BM1601" i="48"/>
  <c r="AT1601" i="48"/>
  <c r="BB967" i="48"/>
  <c r="AS967" i="48"/>
  <c r="BM967" i="48"/>
  <c r="BL967" i="48"/>
  <c r="AT967" i="48"/>
  <c r="BL1921" i="48"/>
  <c r="AT1921" i="48"/>
  <c r="AS1921" i="48"/>
  <c r="AC1921" i="48" s="1"/>
  <c r="BC1921" i="48" s="1"/>
  <c r="BM1921" i="48"/>
  <c r="BB1921" i="48"/>
  <c r="BM1152" i="48"/>
  <c r="AS1152" i="48"/>
  <c r="AB1152" i="48" s="1"/>
  <c r="BL1152" i="48"/>
  <c r="BB1152" i="48"/>
  <c r="AT1152" i="48"/>
  <c r="BM1431" i="48"/>
  <c r="AT1431" i="48"/>
  <c r="BL1431" i="48"/>
  <c r="AS1431" i="48"/>
  <c r="AB1431" i="48" s="1"/>
  <c r="BB1431" i="48"/>
  <c r="BL1576" i="48"/>
  <c r="BB1576" i="48"/>
  <c r="AT1576" i="48"/>
  <c r="BM1576" i="48"/>
  <c r="AS1576" i="48"/>
  <c r="BL704" i="48"/>
  <c r="AT704" i="48"/>
  <c r="AS704" i="48"/>
  <c r="AC704" i="48" s="1"/>
  <c r="BC704" i="48" s="1"/>
  <c r="BM704" i="48"/>
  <c r="BB704" i="48"/>
  <c r="BL876" i="48"/>
  <c r="AT876" i="48"/>
  <c r="AS876" i="48"/>
  <c r="AB876" i="48" s="1"/>
  <c r="BB876" i="48"/>
  <c r="BM876" i="48"/>
  <c r="AT923" i="48"/>
  <c r="BB923" i="48"/>
  <c r="AS923" i="48"/>
  <c r="AB923" i="48" s="1"/>
  <c r="BM923" i="48"/>
  <c r="BL923" i="48"/>
  <c r="AT1667" i="48"/>
  <c r="BM1667" i="48"/>
  <c r="AS1667" i="48"/>
  <c r="AC1667" i="48" s="1"/>
  <c r="BC1667" i="48" s="1"/>
  <c r="BL1667" i="48"/>
  <c r="BB1667" i="48"/>
  <c r="BM572" i="48"/>
  <c r="BB572" i="48"/>
  <c r="AS572" i="48"/>
  <c r="AC572" i="48" s="1"/>
  <c r="BC572" i="48" s="1"/>
  <c r="BL572" i="48"/>
  <c r="AT572" i="48"/>
  <c r="AS1335" i="48"/>
  <c r="AC1335" i="48" s="1"/>
  <c r="BC1335" i="48" s="1"/>
  <c r="BM1335" i="48"/>
  <c r="BB1335" i="48"/>
  <c r="BL1335" i="48"/>
  <c r="AT1335" i="48"/>
  <c r="BM1583" i="48"/>
  <c r="BB1583" i="48"/>
  <c r="BL1583" i="48"/>
  <c r="AT1583" i="48"/>
  <c r="AS1583" i="48"/>
  <c r="AC1583" i="48" s="1"/>
  <c r="BC1583" i="48" s="1"/>
  <c r="BB1111" i="48"/>
  <c r="AS1111" i="48"/>
  <c r="AB1111" i="48" s="1"/>
  <c r="BM1111" i="48"/>
  <c r="BL1111" i="48"/>
  <c r="AT1111" i="48"/>
  <c r="BL1944" i="48"/>
  <c r="AS1944" i="48"/>
  <c r="AC1944" i="48" s="1"/>
  <c r="BC1944" i="48" s="1"/>
  <c r="BB1944" i="48"/>
  <c r="AT1944" i="48"/>
  <c r="BM1944" i="48"/>
  <c r="BM1845" i="48"/>
  <c r="AS1845" i="48"/>
  <c r="BL1845" i="48"/>
  <c r="BB1845" i="48"/>
  <c r="AT1845" i="48"/>
  <c r="BM842" i="48"/>
  <c r="AT842" i="48"/>
  <c r="BL842" i="48"/>
  <c r="AS842" i="48"/>
  <c r="AB842" i="48" s="1"/>
  <c r="BB842" i="48"/>
  <c r="BB823" i="48"/>
  <c r="AT823" i="48"/>
  <c r="BM823" i="48"/>
  <c r="AS823" i="48"/>
  <c r="BL823" i="48"/>
  <c r="AT2054" i="48"/>
  <c r="AS2054" i="48"/>
  <c r="AC2054" i="48" s="1"/>
  <c r="BC2054" i="48" s="1"/>
  <c r="BM2054" i="48"/>
  <c r="BB2054" i="48"/>
  <c r="BL2054" i="48"/>
  <c r="BB1069" i="48"/>
  <c r="AT1069" i="48"/>
  <c r="BM1069" i="48"/>
  <c r="AS1069" i="48"/>
  <c r="AC1069" i="48" s="1"/>
  <c r="BC1069" i="48" s="1"/>
  <c r="BL1069" i="48"/>
  <c r="BL1178" i="48"/>
  <c r="AT1178" i="48"/>
  <c r="BB1178" i="48"/>
  <c r="AS1178" i="48"/>
  <c r="AC1178" i="48" s="1"/>
  <c r="BC1178" i="48" s="1"/>
  <c r="BM1178" i="48"/>
  <c r="BB1046" i="48"/>
  <c r="BM1046" i="48"/>
  <c r="AT1046" i="48"/>
  <c r="BL1046" i="48"/>
  <c r="AS1046" i="48"/>
  <c r="BL1100" i="48"/>
  <c r="AT1100" i="48"/>
  <c r="AS1100" i="48"/>
  <c r="AC1100" i="48" s="1"/>
  <c r="BC1100" i="48" s="1"/>
  <c r="BM1100" i="48"/>
  <c r="BB1100" i="48"/>
  <c r="AS817" i="48"/>
  <c r="AC817" i="48" s="1"/>
  <c r="BC817" i="48" s="1"/>
  <c r="BM817" i="48"/>
  <c r="BB817" i="48"/>
  <c r="BL817" i="48"/>
  <c r="AT817" i="48"/>
  <c r="AS1962" i="48"/>
  <c r="AB1962" i="48" s="1"/>
  <c r="BM1962" i="48"/>
  <c r="BB1962" i="48"/>
  <c r="AT1962" i="48"/>
  <c r="BL1962" i="48"/>
  <c r="AS2011" i="48"/>
  <c r="BM2011" i="48"/>
  <c r="BB2011" i="48"/>
  <c r="BL2011" i="48"/>
  <c r="AT2011" i="48"/>
  <c r="BM1050" i="48"/>
  <c r="AT1050" i="48"/>
  <c r="BL1050" i="48"/>
  <c r="AS1050" i="48"/>
  <c r="AC1050" i="48" s="1"/>
  <c r="BC1050" i="48" s="1"/>
  <c r="BB1050" i="48"/>
  <c r="BB574" i="48"/>
  <c r="BM574" i="48"/>
  <c r="AT574" i="48"/>
  <c r="BL574" i="48"/>
  <c r="AS574" i="48"/>
  <c r="BB1309" i="48"/>
  <c r="BM1309" i="48"/>
  <c r="AT1309" i="48"/>
  <c r="BL1309" i="48"/>
  <c r="AS1309" i="48"/>
  <c r="AC1309" i="48" s="1"/>
  <c r="BC1309" i="48" s="1"/>
  <c r="BM1063" i="48"/>
  <c r="BB1063" i="48"/>
  <c r="AS1063" i="48"/>
  <c r="BL1063" i="48"/>
  <c r="AT1063" i="48"/>
  <c r="BM1585" i="48"/>
  <c r="AT1585" i="48"/>
  <c r="BL1585" i="48"/>
  <c r="AS1585" i="48"/>
  <c r="AB1585" i="48" s="1"/>
  <c r="BB1585" i="48"/>
  <c r="BL1098" i="48"/>
  <c r="AS1098" i="48"/>
  <c r="BB1098" i="48"/>
  <c r="AT1098" i="48"/>
  <c r="BM1098" i="48"/>
  <c r="BM1933" i="48"/>
  <c r="BB1933" i="48"/>
  <c r="BL1933" i="48"/>
  <c r="AT1933" i="48"/>
  <c r="AS1933" i="48"/>
  <c r="AB1933" i="48" s="1"/>
  <c r="BM1874" i="48"/>
  <c r="AT1874" i="48"/>
  <c r="BL1874" i="48"/>
  <c r="AS1874" i="48"/>
  <c r="BB1874" i="48"/>
  <c r="BB1648" i="48"/>
  <c r="AT1648" i="48"/>
  <c r="BM1648" i="48"/>
  <c r="AS1648" i="48"/>
  <c r="AC1648" i="48" s="1"/>
  <c r="BC1648" i="48" s="1"/>
  <c r="BL1648" i="48"/>
  <c r="BM969" i="48"/>
  <c r="AS969" i="48"/>
  <c r="BL969" i="48"/>
  <c r="BB969" i="48"/>
  <c r="AT969" i="48"/>
  <c r="BB1042" i="48"/>
  <c r="AT1042" i="48"/>
  <c r="BM1042" i="48"/>
  <c r="AS1042" i="48"/>
  <c r="AB1042" i="48" s="1"/>
  <c r="BL1042" i="48"/>
  <c r="AT1619" i="48"/>
  <c r="AS1619" i="48"/>
  <c r="BM1619" i="48"/>
  <c r="BB1619" i="48"/>
  <c r="BL1619" i="48"/>
  <c r="BB1821" i="48"/>
  <c r="AS1821" i="48"/>
  <c r="AC1821" i="48" s="1"/>
  <c r="BC1821" i="48" s="1"/>
  <c r="BM1821" i="48"/>
  <c r="AT1821" i="48"/>
  <c r="BL1821" i="48"/>
  <c r="AT1754" i="48"/>
  <c r="AS1754" i="48"/>
  <c r="AC1754" i="48" s="1"/>
  <c r="BC1754" i="48" s="1"/>
  <c r="BM1754" i="48"/>
  <c r="BL1754" i="48"/>
  <c r="BB1754" i="48"/>
  <c r="AS653" i="48"/>
  <c r="AC653" i="48" s="1"/>
  <c r="BC653" i="48" s="1"/>
  <c r="BM653" i="48"/>
  <c r="BB653" i="48"/>
  <c r="BL653" i="48"/>
  <c r="AT653" i="48"/>
  <c r="BB1717" i="48"/>
  <c r="AS1717" i="48"/>
  <c r="BM1717" i="48"/>
  <c r="BL1717" i="48"/>
  <c r="AT1717" i="48"/>
  <c r="BM1075" i="48"/>
  <c r="BL1075" i="48"/>
  <c r="AT1075" i="48"/>
  <c r="BB1075" i="48"/>
  <c r="AS1075" i="48"/>
  <c r="AC1075" i="48" s="1"/>
  <c r="BC1075" i="48" s="1"/>
  <c r="BM1077" i="48"/>
  <c r="BB1077" i="48"/>
  <c r="AT1077" i="48"/>
  <c r="BL1077" i="48"/>
  <c r="AS1077" i="48"/>
  <c r="AC1077" i="48" s="1"/>
  <c r="BC1077" i="48" s="1"/>
  <c r="BM901" i="48"/>
  <c r="BB901" i="48"/>
  <c r="AT901" i="48"/>
  <c r="AS901" i="48"/>
  <c r="AC901" i="48" s="1"/>
  <c r="BC901" i="48" s="1"/>
  <c r="BL901" i="48"/>
  <c r="BM1930" i="48"/>
  <c r="BL1930" i="48"/>
  <c r="AT1930" i="48"/>
  <c r="AS1930" i="48"/>
  <c r="BB1930" i="48"/>
  <c r="BM1922" i="48"/>
  <c r="AT1922" i="48"/>
  <c r="AS1922" i="48"/>
  <c r="AC1922" i="48" s="1"/>
  <c r="BC1922" i="48" s="1"/>
  <c r="BL1922" i="48"/>
  <c r="BB1922" i="48"/>
  <c r="BM1329" i="48"/>
  <c r="BL1329" i="48"/>
  <c r="AT1329" i="48"/>
  <c r="BB1329" i="48"/>
  <c r="AS1329" i="48"/>
  <c r="AB1329" i="48" s="1"/>
  <c r="BB2002" i="48"/>
  <c r="BM2002" i="48"/>
  <c r="BL2002" i="48"/>
  <c r="AT2002" i="48"/>
  <c r="AS2002" i="48"/>
  <c r="AC2002" i="48" s="1"/>
  <c r="BC2002" i="48" s="1"/>
  <c r="BL1179" i="48"/>
  <c r="AT1179" i="48"/>
  <c r="AS1179" i="48"/>
  <c r="BB1179" i="48"/>
  <c r="BM1179" i="48"/>
  <c r="BL940" i="48"/>
  <c r="AT940" i="48"/>
  <c r="AS940" i="48"/>
  <c r="AB940" i="48" s="1"/>
  <c r="BM940" i="48"/>
  <c r="BB940" i="48"/>
  <c r="BL1007" i="48"/>
  <c r="AT1007" i="48"/>
  <c r="BB1007" i="48"/>
  <c r="AS1007" i="48"/>
  <c r="BM1007" i="48"/>
  <c r="BM809" i="48"/>
  <c r="AS809" i="48"/>
  <c r="AB809" i="48" s="1"/>
  <c r="BL809" i="48"/>
  <c r="BB809" i="48"/>
  <c r="AT809" i="48"/>
  <c r="BB862" i="48"/>
  <c r="AS862" i="48"/>
  <c r="BM862" i="48"/>
  <c r="BL862" i="48"/>
  <c r="AT862" i="48"/>
  <c r="BB762" i="48"/>
  <c r="AS762" i="48"/>
  <c r="AB762" i="48" s="1"/>
  <c r="BM762" i="48"/>
  <c r="BL762" i="48"/>
  <c r="AT762" i="48"/>
  <c r="AT1748" i="48"/>
  <c r="BM1748" i="48"/>
  <c r="AS1748" i="48"/>
  <c r="AC1748" i="48" s="1"/>
  <c r="BC1748" i="48" s="1"/>
  <c r="BL1748" i="48"/>
  <c r="BB1748" i="48"/>
  <c r="BM1623" i="48"/>
  <c r="BB1623" i="48"/>
  <c r="BL1623" i="48"/>
  <c r="AT1623" i="48"/>
  <c r="AS1623" i="48"/>
  <c r="AC1623" i="48" s="1"/>
  <c r="BC1623" i="48" s="1"/>
  <c r="BM1523" i="48"/>
  <c r="BB1523" i="48"/>
  <c r="BL1523" i="48"/>
  <c r="AT1523" i="48"/>
  <c r="AS1523" i="48"/>
  <c r="AB1523" i="48" s="1"/>
  <c r="BL798" i="48"/>
  <c r="AT798" i="48"/>
  <c r="BB798" i="48"/>
  <c r="AS798" i="48"/>
  <c r="AC798" i="48" s="1"/>
  <c r="BC798" i="48" s="1"/>
  <c r="BM798" i="48"/>
  <c r="BL1321" i="48"/>
  <c r="AS1321" i="48"/>
  <c r="AB1321" i="48" s="1"/>
  <c r="BB1321" i="48"/>
  <c r="BM1321" i="48"/>
  <c r="AT1321" i="48"/>
  <c r="BM946" i="48"/>
  <c r="AT946" i="48"/>
  <c r="BL946" i="48"/>
  <c r="AS946" i="48"/>
  <c r="AC946" i="48" s="1"/>
  <c r="BC946" i="48" s="1"/>
  <c r="BB946" i="48"/>
  <c r="BM1496" i="48"/>
  <c r="BL1496" i="48"/>
  <c r="AT1496" i="48"/>
  <c r="AS1496" i="48"/>
  <c r="AB1496" i="48" s="1"/>
  <c r="BB1496" i="48"/>
  <c r="BM915" i="48"/>
  <c r="BL915" i="48"/>
  <c r="AT915" i="48"/>
  <c r="BB915" i="48"/>
  <c r="AS915" i="48"/>
  <c r="AB915" i="48" s="1"/>
  <c r="BM984" i="48"/>
  <c r="BB984" i="48"/>
  <c r="BL984" i="48"/>
  <c r="AT984" i="48"/>
  <c r="AS984" i="48"/>
  <c r="AB984" i="48" s="1"/>
  <c r="BM1014" i="48"/>
  <c r="AT1014" i="48"/>
  <c r="BL1014" i="48"/>
  <c r="AS1014" i="48"/>
  <c r="AC1014" i="48" s="1"/>
  <c r="BC1014" i="48" s="1"/>
  <c r="BB1014" i="48"/>
  <c r="BM1519" i="48"/>
  <c r="AT1519" i="48"/>
  <c r="BL1519" i="48"/>
  <c r="AS1519" i="48"/>
  <c r="BB1519" i="48"/>
  <c r="BL840" i="48"/>
  <c r="AT840" i="48"/>
  <c r="AS840" i="48"/>
  <c r="AC840" i="48" s="1"/>
  <c r="BC840" i="48" s="1"/>
  <c r="BM840" i="48"/>
  <c r="BB840" i="48"/>
  <c r="BL756" i="48"/>
  <c r="AT756" i="48"/>
  <c r="AS756" i="48"/>
  <c r="AB756" i="48" s="1"/>
  <c r="BM756" i="48"/>
  <c r="BB756" i="48"/>
  <c r="BB1192" i="48"/>
  <c r="AT1192" i="48"/>
  <c r="BM1192" i="48"/>
  <c r="AS1192" i="48"/>
  <c r="AC1192" i="48" s="1"/>
  <c r="BC1192" i="48" s="1"/>
  <c r="BL1192" i="48"/>
  <c r="AS844" i="48"/>
  <c r="AB844" i="48" s="1"/>
  <c r="BM844" i="48"/>
  <c r="BB844" i="48"/>
  <c r="AT844" i="48"/>
  <c r="BL844" i="48"/>
  <c r="BM57" i="48"/>
  <c r="BL57" i="48"/>
  <c r="AB828" i="48"/>
  <c r="AB1298" i="48"/>
  <c r="AC683" i="48"/>
  <c r="BC683" i="48" s="1"/>
  <c r="AC1990" i="48"/>
  <c r="BC1990" i="48" s="1"/>
  <c r="AC1027" i="48"/>
  <c r="BC1027" i="48" s="1"/>
  <c r="AC1211" i="48"/>
  <c r="BC1211" i="48" s="1"/>
  <c r="AB698" i="48"/>
  <c r="AB1168" i="48"/>
  <c r="AC790" i="48"/>
  <c r="BC790" i="48" s="1"/>
  <c r="AB1500" i="48"/>
  <c r="AB1216" i="48"/>
  <c r="AC1296" i="48"/>
  <c r="BC1296" i="48" s="1"/>
  <c r="AB980" i="48"/>
  <c r="AB1177" i="48"/>
  <c r="AB1526" i="48"/>
  <c r="AB1039" i="48"/>
  <c r="AB771" i="48"/>
  <c r="AB1694" i="48"/>
  <c r="AB1251" i="48"/>
  <c r="AB1693" i="48"/>
  <c r="AB710" i="48"/>
  <c r="AC1458" i="48"/>
  <c r="BC1458" i="48" s="1"/>
  <c r="AC1537" i="48"/>
  <c r="BC1537" i="48" s="1"/>
  <c r="AB561" i="48"/>
  <c r="AC1957" i="48"/>
  <c r="BC1957" i="48" s="1"/>
  <c r="AC1325" i="48"/>
  <c r="BC1325" i="48" s="1"/>
  <c r="AB1710" i="48"/>
  <c r="AC1028" i="48"/>
  <c r="BC1028" i="48" s="1"/>
  <c r="AC1491" i="48"/>
  <c r="BC1491" i="48" s="1"/>
  <c r="AC1021" i="48"/>
  <c r="BC1021" i="48" s="1"/>
  <c r="AC1546" i="48"/>
  <c r="BC1546" i="48" s="1"/>
  <c r="AC1230" i="48"/>
  <c r="BC1230" i="48" s="1"/>
  <c r="AB1260" i="48"/>
  <c r="AB1571" i="48"/>
  <c r="AB562" i="48"/>
  <c r="AB1607" i="48"/>
  <c r="AC1397" i="48"/>
  <c r="BC1397" i="48" s="1"/>
  <c r="AB1797" i="48"/>
  <c r="AC1797" i="48"/>
  <c r="BC1797" i="48" s="1"/>
  <c r="AB1791" i="48"/>
  <c r="AC1791" i="48"/>
  <c r="BC1791" i="48" s="1"/>
  <c r="AB651" i="48"/>
  <c r="AC651" i="48"/>
  <c r="BC651" i="48" s="1"/>
  <c r="AB1574" i="48"/>
  <c r="AC1574" i="48"/>
  <c r="BC1574" i="48" s="1"/>
  <c r="AB1004" i="48"/>
  <c r="AB563" i="48"/>
  <c r="AC563" i="48"/>
  <c r="BC563" i="48" s="1"/>
  <c r="AB1704" i="48"/>
  <c r="AC1704" i="48"/>
  <c r="BC1704" i="48" s="1"/>
  <c r="AC1993" i="48"/>
  <c r="BC1993" i="48" s="1"/>
  <c r="AB868" i="48"/>
  <c r="AC868" i="48"/>
  <c r="BC868" i="48" s="1"/>
  <c r="AB1175" i="48"/>
  <c r="AB1415" i="48"/>
  <c r="AC2028" i="48"/>
  <c r="BC2028" i="48" s="1"/>
  <c r="AB907" i="48"/>
  <c r="AC1631" i="48"/>
  <c r="BC1631" i="48" s="1"/>
  <c r="AB1631" i="48"/>
  <c r="AB1681" i="48"/>
  <c r="AC1681" i="48"/>
  <c r="BC1681" i="48" s="1"/>
  <c r="AB763" i="48"/>
  <c r="AB881" i="48"/>
  <c r="AC1952" i="48"/>
  <c r="BC1952" i="48" s="1"/>
  <c r="AB1025" i="48"/>
  <c r="AB1593" i="48"/>
  <c r="AB1857" i="48"/>
  <c r="AC1333" i="48"/>
  <c r="BC1333" i="48" s="1"/>
  <c r="AB1045" i="48"/>
  <c r="AC1045" i="48"/>
  <c r="BC1045" i="48" s="1"/>
  <c r="AB1051" i="48"/>
  <c r="AC1051" i="48"/>
  <c r="BC1051" i="48" s="1"/>
  <c r="AB1548" i="48"/>
  <c r="AC1548" i="48"/>
  <c r="BC1548" i="48" s="1"/>
  <c r="AB913" i="48"/>
  <c r="AC913" i="48"/>
  <c r="BC913" i="48" s="1"/>
  <c r="AC1345" i="48"/>
  <c r="BC1345" i="48" s="1"/>
  <c r="AB1345" i="48"/>
  <c r="AB1705" i="48"/>
  <c r="AC1886" i="48"/>
  <c r="BC1886" i="48" s="1"/>
  <c r="AB1886" i="48"/>
  <c r="AB730" i="48"/>
  <c r="AC1272" i="48"/>
  <c r="BC1272" i="48" s="1"/>
  <c r="AB1041" i="48"/>
  <c r="AB1975" i="48"/>
  <c r="AB1817" i="48"/>
  <c r="AC1817" i="48"/>
  <c r="BC1817" i="48" s="1"/>
  <c r="AC850" i="48"/>
  <c r="BC850" i="48" s="1"/>
  <c r="AC1286" i="48"/>
  <c r="BC1286" i="48" s="1"/>
  <c r="AB1286" i="48"/>
  <c r="AC1811" i="48"/>
  <c r="BC1811" i="48" s="1"/>
  <c r="AB852" i="48"/>
  <c r="AC852" i="48"/>
  <c r="BC852" i="48" s="1"/>
  <c r="AB2004" i="48"/>
  <c r="AC2004" i="48"/>
  <c r="BC2004" i="48" s="1"/>
  <c r="AC620" i="48"/>
  <c r="BC620" i="48" s="1"/>
  <c r="AB620" i="48"/>
  <c r="AB936" i="48"/>
  <c r="AC936" i="48"/>
  <c r="BC936" i="48" s="1"/>
  <c r="AB932" i="48"/>
  <c r="AC932" i="48"/>
  <c r="BC932" i="48" s="1"/>
  <c r="AB1745" i="48"/>
  <c r="AC1745" i="48"/>
  <c r="BC1745" i="48" s="1"/>
  <c r="AB1893" i="48"/>
  <c r="AC638" i="48"/>
  <c r="BC638" i="48" s="1"/>
  <c r="AB623" i="48"/>
  <c r="AC623" i="48"/>
  <c r="BC623" i="48" s="1"/>
  <c r="AC1555" i="48"/>
  <c r="BC1555" i="48" s="1"/>
  <c r="AC1867" i="48"/>
  <c r="BC1867" i="48" s="1"/>
  <c r="AB1867" i="48"/>
  <c r="AB896" i="48"/>
  <c r="AC896" i="48"/>
  <c r="BC896" i="48" s="1"/>
  <c r="AC1866" i="48"/>
  <c r="BC1866" i="48" s="1"/>
  <c r="AB1866" i="48"/>
  <c r="AC2018" i="48"/>
  <c r="BC2018" i="48" s="1"/>
  <c r="AB2018" i="48"/>
  <c r="AC1341" i="48"/>
  <c r="BC1341" i="48" s="1"/>
  <c r="AB1341" i="48"/>
  <c r="AB799" i="48"/>
  <c r="AC799" i="48"/>
  <c r="BC799" i="48" s="1"/>
  <c r="AC1218" i="48"/>
  <c r="BC1218" i="48" s="1"/>
  <c r="AC1510" i="48"/>
  <c r="BC1510" i="48" s="1"/>
  <c r="AB1510" i="48"/>
  <c r="AC1300" i="48"/>
  <c r="BC1300" i="48" s="1"/>
  <c r="AB1300" i="48"/>
  <c r="AB636" i="48"/>
  <c r="AC564" i="48"/>
  <c r="BC564" i="48" s="1"/>
  <c r="AC1146" i="48"/>
  <c r="BC1146" i="48" s="1"/>
  <c r="AB1146" i="48"/>
  <c r="AC1982" i="48"/>
  <c r="BC1982" i="48" s="1"/>
  <c r="AB855" i="48"/>
  <c r="AC855" i="48"/>
  <c r="BC855" i="48" s="1"/>
  <c r="AB974" i="48"/>
  <c r="AC974" i="48"/>
  <c r="BC974" i="48" s="1"/>
  <c r="AC781" i="48"/>
  <c r="BC781" i="48" s="1"/>
  <c r="AB1630" i="48"/>
  <c r="AB1674" i="48"/>
  <c r="AC1674" i="48"/>
  <c r="BC1674" i="48" s="1"/>
  <c r="AC1067" i="48"/>
  <c r="BC1067" i="48" s="1"/>
  <c r="AB1723" i="48"/>
  <c r="AC1723" i="48"/>
  <c r="BC1723" i="48" s="1"/>
  <c r="AC1579" i="48"/>
  <c r="BC1579" i="48" s="1"/>
  <c r="AB1163" i="48"/>
  <c r="AB1764" i="48"/>
  <c r="AC1956" i="48"/>
  <c r="BC1956" i="48" s="1"/>
  <c r="AB1277" i="48"/>
  <c r="AB843" i="48"/>
  <c r="AB1818" i="48"/>
  <c r="AC1818" i="48"/>
  <c r="BC1818" i="48" s="1"/>
  <c r="AB573" i="48"/>
  <c r="AB914" i="48"/>
  <c r="AC914" i="48"/>
  <c r="BC914" i="48" s="1"/>
  <c r="AC1980" i="48"/>
  <c r="BC1980" i="48" s="1"/>
  <c r="AB1372" i="48"/>
  <c r="AB950" i="48"/>
  <c r="AB1532" i="48"/>
  <c r="AB1109" i="48"/>
  <c r="AB1702" i="48"/>
  <c r="AC1538" i="48"/>
  <c r="BC1538" i="48" s="1"/>
  <c r="AB1538" i="48"/>
  <c r="AB1770" i="48"/>
  <c r="AC1770" i="48"/>
  <c r="BC1770" i="48" s="1"/>
  <c r="AC1624" i="48"/>
  <c r="BC1624" i="48" s="1"/>
  <c r="AB1624" i="48"/>
  <c r="AC558" i="48"/>
  <c r="BC558" i="48" s="1"/>
  <c r="AB558" i="48"/>
  <c r="AC1774" i="48"/>
  <c r="BC1774" i="48" s="1"/>
  <c r="AB1359" i="48"/>
  <c r="AC1359" i="48"/>
  <c r="BC1359" i="48" s="1"/>
  <c r="AB1038" i="48"/>
  <c r="AC1038" i="48"/>
  <c r="BC1038" i="48" s="1"/>
  <c r="AB2036" i="48"/>
  <c r="AB695" i="48"/>
  <c r="AC695" i="48"/>
  <c r="BC695" i="48" s="1"/>
  <c r="AB2013" i="48"/>
  <c r="AC2013" i="48"/>
  <c r="BC2013" i="48" s="1"/>
  <c r="AB991" i="48"/>
  <c r="AC1710" i="48"/>
  <c r="BC1710" i="48" s="1"/>
  <c r="AC1156" i="48"/>
  <c r="BC1156" i="48" s="1"/>
  <c r="AB1156" i="48"/>
  <c r="AB895" i="48"/>
  <c r="AC895" i="48"/>
  <c r="BC895" i="48" s="1"/>
  <c r="AC1464" i="48"/>
  <c r="BC1464" i="48" s="1"/>
  <c r="AB1945" i="48"/>
  <c r="AC1945" i="48"/>
  <c r="BC1945" i="48" s="1"/>
  <c r="AC1973" i="48"/>
  <c r="BC1973" i="48" s="1"/>
  <c r="AB1918" i="48"/>
  <c r="AC1918" i="48"/>
  <c r="BC1918" i="48" s="1"/>
  <c r="AB1655" i="48"/>
  <c r="AC1655" i="48"/>
  <c r="BC1655" i="48" s="1"/>
  <c r="AB724" i="48"/>
  <c r="AC724" i="48"/>
  <c r="BC724" i="48" s="1"/>
  <c r="AC811" i="48"/>
  <c r="BC811" i="48" s="1"/>
  <c r="AB1048" i="48"/>
  <c r="AC1807" i="48"/>
  <c r="BC1807" i="48" s="1"/>
  <c r="AC1355" i="48"/>
  <c r="BC1355" i="48" s="1"/>
  <c r="AB1355" i="48"/>
  <c r="AB1949" i="48"/>
  <c r="AC1949" i="48"/>
  <c r="BC1949" i="48" s="1"/>
  <c r="AC1984" i="48"/>
  <c r="BC1984" i="48" s="1"/>
  <c r="AB888" i="48"/>
  <c r="AC1108" i="48"/>
  <c r="BC1108" i="48" s="1"/>
  <c r="AB1108" i="48"/>
  <c r="AB882" i="48"/>
  <c r="AC882" i="48"/>
  <c r="BC882" i="48" s="1"/>
  <c r="AC1154" i="48"/>
  <c r="BC1154" i="48" s="1"/>
  <c r="AB752" i="48"/>
  <c r="AC752" i="48"/>
  <c r="BC752" i="48" s="1"/>
  <c r="AC1859" i="48"/>
  <c r="BC1859" i="48" s="1"/>
  <c r="AB1859" i="48"/>
  <c r="AC596" i="48"/>
  <c r="BC596" i="48" s="1"/>
  <c r="AB596" i="48"/>
  <c r="AB1699" i="48"/>
  <c r="AC1699" i="48"/>
  <c r="BC1699" i="48" s="1"/>
  <c r="AB747" i="48"/>
  <c r="AC747" i="48"/>
  <c r="BC747" i="48" s="1"/>
  <c r="AB952" i="48"/>
  <c r="AC952" i="48"/>
  <c r="BC952" i="48" s="1"/>
  <c r="AC1609" i="48"/>
  <c r="BC1609" i="48" s="1"/>
  <c r="AC1854" i="48"/>
  <c r="BC1854" i="48" s="1"/>
  <c r="AB1854" i="48"/>
  <c r="AC1986" i="48"/>
  <c r="BC1986" i="48" s="1"/>
  <c r="AB1986" i="48"/>
  <c r="AB1895" i="48"/>
  <c r="AC1895" i="48"/>
  <c r="BC1895" i="48" s="1"/>
  <c r="AB1697" i="48"/>
  <c r="AC1697" i="48"/>
  <c r="BC1697" i="48" s="1"/>
  <c r="AB1079" i="48"/>
  <c r="AC1079" i="48"/>
  <c r="BC1079" i="48" s="1"/>
  <c r="AB699" i="48"/>
  <c r="AC699" i="48"/>
  <c r="BC699" i="48" s="1"/>
  <c r="AC1603" i="48"/>
  <c r="BC1603" i="48" s="1"/>
  <c r="AB1603" i="48"/>
  <c r="AC1668" i="48"/>
  <c r="BC1668" i="48" s="1"/>
  <c r="AB1663" i="48"/>
  <c r="AC1663" i="48"/>
  <c r="BC1663" i="48" s="1"/>
  <c r="AB787" i="48"/>
  <c r="AC787" i="48"/>
  <c r="BC787" i="48" s="1"/>
  <c r="AB863" i="48"/>
  <c r="AC863" i="48"/>
  <c r="BC863" i="48" s="1"/>
  <c r="AC1544" i="48"/>
  <c r="BC1544" i="48" s="1"/>
  <c r="AB1544" i="48"/>
  <c r="AB1765" i="48"/>
  <c r="AC1508" i="48"/>
  <c r="BC1508" i="48" s="1"/>
  <c r="AB785" i="48"/>
  <c r="AB1426" i="48"/>
  <c r="AC1426" i="48"/>
  <c r="BC1426" i="48" s="1"/>
  <c r="AC1547" i="48"/>
  <c r="BC1547" i="48" s="1"/>
  <c r="AC1196" i="48"/>
  <c r="BC1196" i="48" s="1"/>
  <c r="AB1196" i="48"/>
  <c r="AB1936" i="48"/>
  <c r="AC1936" i="48"/>
  <c r="BC1936" i="48" s="1"/>
  <c r="AB1909" i="48"/>
  <c r="AC1909" i="48"/>
  <c r="BC1909" i="48" s="1"/>
  <c r="AB1107" i="48"/>
  <c r="AB1553" i="48"/>
  <c r="AB753" i="48"/>
  <c r="AC753" i="48"/>
  <c r="BC753" i="48" s="1"/>
  <c r="AC1312" i="48"/>
  <c r="BC1312" i="48" s="1"/>
  <c r="AB1312" i="48"/>
  <c r="AC1128" i="48"/>
  <c r="BC1128" i="48" s="1"/>
  <c r="AB1128" i="48"/>
  <c r="AB1961" i="48"/>
  <c r="AC1494" i="48"/>
  <c r="BC1494" i="48" s="1"/>
  <c r="AB1494" i="48"/>
  <c r="AB567" i="48"/>
  <c r="AC567" i="48"/>
  <c r="BC567" i="48" s="1"/>
  <c r="AB955" i="48"/>
  <c r="AC1820" i="48"/>
  <c r="BC1820" i="48" s="1"/>
  <c r="AB997" i="48"/>
  <c r="AC997" i="48"/>
  <c r="BC997" i="48" s="1"/>
  <c r="AC770" i="48"/>
  <c r="BC770" i="48" s="1"/>
  <c r="AC1484" i="48"/>
  <c r="BC1484" i="48" s="1"/>
  <c r="AB1484" i="48"/>
  <c r="AC1447" i="48"/>
  <c r="BC1447" i="48" s="1"/>
  <c r="AB1447" i="48"/>
  <c r="AC1208" i="48"/>
  <c r="BC1208" i="48" s="1"/>
  <c r="AB1208" i="48"/>
  <c r="AC859" i="48"/>
  <c r="BC859" i="48" s="1"/>
  <c r="AB1071" i="48"/>
  <c r="AB1731" i="48"/>
  <c r="AC1731" i="48"/>
  <c r="BC1731" i="48" s="1"/>
  <c r="AC600" i="48"/>
  <c r="BC600" i="48" s="1"/>
  <c r="AB600" i="48"/>
  <c r="AC2037" i="48"/>
  <c r="BC2037" i="48" s="1"/>
  <c r="AC586" i="48"/>
  <c r="BC586" i="48" s="1"/>
  <c r="AB586" i="48"/>
  <c r="AB1749" i="48"/>
  <c r="AC1749" i="48"/>
  <c r="BC1749" i="48" s="1"/>
  <c r="AC1753" i="48"/>
  <c r="BC1753" i="48" s="1"/>
  <c r="AB1753" i="48"/>
  <c r="AB1758" i="48"/>
  <c r="AC606" i="48"/>
  <c r="BC606" i="48" s="1"/>
  <c r="AB705" i="48"/>
  <c r="AC758" i="48"/>
  <c r="BC758" i="48" s="1"/>
  <c r="AC675" i="48"/>
  <c r="BC675" i="48" s="1"/>
  <c r="AB1942" i="48"/>
  <c r="AC1942" i="48"/>
  <c r="BC1942" i="48" s="1"/>
  <c r="AC1052" i="48"/>
  <c r="BC1052" i="48" s="1"/>
  <c r="AB1052" i="48"/>
  <c r="AB1563" i="48"/>
  <c r="AC1563" i="48"/>
  <c r="BC1563" i="48" s="1"/>
  <c r="AB735" i="48"/>
  <c r="AC1049" i="48"/>
  <c r="BC1049" i="48" s="1"/>
  <c r="AB1614" i="48"/>
  <c r="AB1946" i="48"/>
  <c r="AB963" i="48"/>
  <c r="AB1628" i="48"/>
  <c r="AB1040" i="48"/>
  <c r="AC1040" i="48"/>
  <c r="BC1040" i="48" s="1"/>
  <c r="AC2019" i="48"/>
  <c r="BC2019" i="48" s="1"/>
  <c r="AB2019" i="48"/>
  <c r="AB1127" i="48"/>
  <c r="AC1127" i="48"/>
  <c r="BC1127" i="48" s="1"/>
  <c r="AB807" i="48"/>
  <c r="AC1084" i="48"/>
  <c r="BC1084" i="48" s="1"/>
  <c r="AB972" i="48"/>
  <c r="AC972" i="48"/>
  <c r="BC972" i="48" s="1"/>
  <c r="AB835" i="48"/>
  <c r="AC835" i="48"/>
  <c r="BC835" i="48" s="1"/>
  <c r="AC1486" i="48"/>
  <c r="BC1486" i="48" s="1"/>
  <c r="AB1486" i="48"/>
  <c r="AC2031" i="48"/>
  <c r="BC2031" i="48" s="1"/>
  <c r="AB848" i="48"/>
  <c r="AC848" i="48"/>
  <c r="BC848" i="48" s="1"/>
  <c r="AB1676" i="48"/>
  <c r="AC1676" i="48"/>
  <c r="BC1676" i="48" s="1"/>
  <c r="AC1336" i="48"/>
  <c r="BC1336" i="48" s="1"/>
  <c r="AB1336" i="48"/>
  <c r="AB1143" i="48"/>
  <c r="AB565" i="48"/>
  <c r="AC1118" i="48"/>
  <c r="BC1118" i="48" s="1"/>
  <c r="AB1118" i="48"/>
  <c r="AB818" i="48"/>
  <c r="AC818" i="48"/>
  <c r="BC818" i="48" s="1"/>
  <c r="AB979" i="48"/>
  <c r="AB659" i="48"/>
  <c r="AC659" i="48"/>
  <c r="BC659" i="48" s="1"/>
  <c r="AB1646" i="48"/>
  <c r="AC1646" i="48"/>
  <c r="BC1646" i="48" s="1"/>
  <c r="AC1228" i="48"/>
  <c r="BC1228" i="48" s="1"/>
  <c r="AB1228" i="48"/>
  <c r="AB741" i="48"/>
  <c r="AC1488" i="48"/>
  <c r="BC1488" i="48" s="1"/>
  <c r="AB1488" i="48"/>
  <c r="AC1707" i="48"/>
  <c r="BC1707" i="48" s="1"/>
  <c r="AB680" i="48"/>
  <c r="AB891" i="48"/>
  <c r="AC891" i="48"/>
  <c r="BC891" i="48" s="1"/>
  <c r="AC1385" i="48"/>
  <c r="BC1385" i="48" s="1"/>
  <c r="AB1385" i="48"/>
  <c r="AB607" i="48"/>
  <c r="AB677" i="48"/>
  <c r="AC677" i="48"/>
  <c r="BC677" i="48" s="1"/>
  <c r="AB1230" i="48"/>
  <c r="AB794" i="48"/>
  <c r="AC794" i="48"/>
  <c r="BC794" i="48" s="1"/>
  <c r="AC1327" i="48"/>
  <c r="BC1327" i="48" s="1"/>
  <c r="AB1327" i="48"/>
  <c r="AB1660" i="48"/>
  <c r="AC1517" i="48"/>
  <c r="BC1517" i="48" s="1"/>
  <c r="AB1517" i="48"/>
  <c r="AB1395" i="48"/>
  <c r="AC1636" i="48"/>
  <c r="BC1636" i="48" s="1"/>
  <c r="AB1636" i="48"/>
  <c r="AC1237" i="48"/>
  <c r="BC1237" i="48" s="1"/>
  <c r="AB1237" i="48"/>
  <c r="AB1763" i="48"/>
  <c r="AC1763" i="48"/>
  <c r="BC1763" i="48" s="1"/>
  <c r="AB1351" i="48"/>
  <c r="AB1572" i="48"/>
  <c r="AB1129" i="48"/>
  <c r="AC1129" i="48"/>
  <c r="BC1129" i="48" s="1"/>
  <c r="AC484" i="48"/>
  <c r="BC484" i="48" s="1"/>
  <c r="AC322" i="48"/>
  <c r="BC322" i="48" s="1"/>
  <c r="AB306" i="48"/>
  <c r="AC394" i="48"/>
  <c r="BC394" i="48" s="1"/>
  <c r="AC443" i="48"/>
  <c r="BC443" i="48" s="1"/>
  <c r="AC498" i="48"/>
  <c r="BC498" i="48" s="1"/>
  <c r="AC527" i="48"/>
  <c r="BC527" i="48" s="1"/>
  <c r="AB510" i="48"/>
  <c r="AC510" i="48"/>
  <c r="BC510" i="48" s="1"/>
  <c r="AS57" i="48"/>
  <c r="AT57" i="48"/>
  <c r="AA49" i="48"/>
  <c r="AA48" i="48"/>
  <c r="AA50" i="48"/>
  <c r="AC861" i="48" l="1"/>
  <c r="BC861" i="48" s="1"/>
  <c r="AC1876" i="48"/>
  <c r="BC1876" i="48" s="1"/>
  <c r="AB1280" i="48"/>
  <c r="AB707" i="48"/>
  <c r="AC1884" i="48"/>
  <c r="BC1884" i="48" s="1"/>
  <c r="AB1604" i="48"/>
  <c r="AB1452" i="48"/>
  <c r="AC1788" i="48"/>
  <c r="BC1788" i="48" s="1"/>
  <c r="AB1591" i="48"/>
  <c r="AC1089" i="48"/>
  <c r="BC1089" i="48" s="1"/>
  <c r="AB1738" i="48"/>
  <c r="AC1650" i="48"/>
  <c r="BC1650" i="48" s="1"/>
  <c r="AB1629" i="48"/>
  <c r="AB1193" i="48"/>
  <c r="AC958" i="48"/>
  <c r="BC958" i="48" s="1"/>
  <c r="AC1724" i="48"/>
  <c r="BC1724" i="48" s="1"/>
  <c r="AB1883" i="48"/>
  <c r="AC1353" i="48"/>
  <c r="BC1353" i="48" s="1"/>
  <c r="AC1903" i="48"/>
  <c r="BC1903" i="48" s="1"/>
  <c r="AB1361" i="48"/>
  <c r="AC1680" i="48"/>
  <c r="BC1680" i="48" s="1"/>
  <c r="AB1299" i="48"/>
  <c r="AB553" i="48"/>
  <c r="AC1789" i="48"/>
  <c r="BC1789" i="48" s="1"/>
  <c r="AB983" i="48"/>
  <c r="AC1176" i="48"/>
  <c r="BC1176" i="48" s="1"/>
  <c r="AB1580" i="48"/>
  <c r="AC1064" i="48"/>
  <c r="BC1064" i="48" s="1"/>
  <c r="AB1183" i="48"/>
  <c r="AC804" i="48"/>
  <c r="BC804" i="48" s="1"/>
  <c r="AC780" i="48"/>
  <c r="BC780" i="48" s="1"/>
  <c r="AC1165" i="48"/>
  <c r="BC1165" i="48" s="1"/>
  <c r="AB1195" i="48"/>
  <c r="AB477" i="48"/>
  <c r="AB1778" i="48"/>
  <c r="AB759" i="48"/>
  <c r="AB788" i="48"/>
  <c r="AC1891" i="48"/>
  <c r="BC1891" i="48" s="1"/>
  <c r="AC821" i="48"/>
  <c r="BC821" i="48" s="1"/>
  <c r="AB643" i="48"/>
  <c r="AB814" i="48"/>
  <c r="AB880" i="48"/>
  <c r="AC1917" i="48"/>
  <c r="BC1917" i="48" s="1"/>
  <c r="AC805" i="48"/>
  <c r="BC805" i="48" s="1"/>
  <c r="AC873" i="48"/>
  <c r="BC873" i="48" s="1"/>
  <c r="AC674" i="48"/>
  <c r="BC674" i="48" s="1"/>
  <c r="AB2025" i="48"/>
  <c r="AC655" i="48"/>
  <c r="BC655" i="48" s="1"/>
  <c r="AB1190" i="48"/>
  <c r="AC1441" i="48"/>
  <c r="BC1441" i="48" s="1"/>
  <c r="AC2050" i="48"/>
  <c r="BC2050" i="48" s="1"/>
  <c r="AB1371" i="48"/>
  <c r="AB628" i="48"/>
  <c r="AB1181" i="48"/>
  <c r="AC726" i="48"/>
  <c r="BC726" i="48" s="1"/>
  <c r="AB2055" i="48"/>
  <c r="AB975" i="48"/>
  <c r="AC1306" i="48"/>
  <c r="BC1306" i="48" s="1"/>
  <c r="AB1673" i="48"/>
  <c r="AC625" i="48"/>
  <c r="BC625" i="48" s="1"/>
  <c r="AC879" i="48"/>
  <c r="BC879" i="48" s="1"/>
  <c r="AB1682" i="48"/>
  <c r="AB604" i="48"/>
  <c r="AC1978" i="48"/>
  <c r="BC1978" i="48" s="1"/>
  <c r="AC1024" i="48"/>
  <c r="BC1024" i="48" s="1"/>
  <c r="AB593" i="48"/>
  <c r="AB601" i="48"/>
  <c r="AC1775" i="48"/>
  <c r="BC1775" i="48" s="1"/>
  <c r="AB1330" i="48"/>
  <c r="AC1055" i="48"/>
  <c r="BC1055" i="48" s="1"/>
  <c r="AB1567" i="48"/>
  <c r="AC360" i="48"/>
  <c r="BC360" i="48" s="1"/>
  <c r="AC1172" i="48"/>
  <c r="BC1172" i="48" s="1"/>
  <c r="AB1965" i="48"/>
  <c r="AC1005" i="48"/>
  <c r="BC1005" i="48" s="1"/>
  <c r="AB1612" i="48"/>
  <c r="AB668" i="48"/>
  <c r="AB1605" i="48"/>
  <c r="AC1446" i="48"/>
  <c r="BC1446" i="48" s="1"/>
  <c r="AB829" i="48"/>
  <c r="AC830" i="48"/>
  <c r="BC830" i="48" s="1"/>
  <c r="AB1823" i="48"/>
  <c r="AB1120" i="48"/>
  <c r="AC1236" i="48"/>
  <c r="BC1236" i="48" s="1"/>
  <c r="AB328" i="48"/>
  <c r="AC847" i="48"/>
  <c r="BC847" i="48" s="1"/>
  <c r="AC1448" i="48"/>
  <c r="BC1448" i="48" s="1"/>
  <c r="AC1036" i="48"/>
  <c r="BC1036" i="48" s="1"/>
  <c r="AC802" i="48"/>
  <c r="BC802" i="48" s="1"/>
  <c r="AB1524" i="48"/>
  <c r="AC1940" i="48"/>
  <c r="BC1940" i="48" s="1"/>
  <c r="AC872" i="48"/>
  <c r="BC872" i="48" s="1"/>
  <c r="AB1794" i="48"/>
  <c r="AB1531" i="48"/>
  <c r="AB612" i="48"/>
  <c r="AB1000" i="48"/>
  <c r="AC336" i="48"/>
  <c r="BC336" i="48" s="1"/>
  <c r="AB973" i="48"/>
  <c r="AB1877" i="48"/>
  <c r="AB1135" i="48"/>
  <c r="AB1083" i="48"/>
  <c r="AC1585" i="48"/>
  <c r="BC1585" i="48" s="1"/>
  <c r="AB2015" i="48"/>
  <c r="AB1922" i="48"/>
  <c r="AC1209" i="48"/>
  <c r="BC1209" i="48" s="1"/>
  <c r="AC2001" i="48"/>
  <c r="BC2001" i="48" s="1"/>
  <c r="AB798" i="48"/>
  <c r="AC1473" i="48"/>
  <c r="BC1473" i="48" s="1"/>
  <c r="AB1648" i="48"/>
  <c r="AB1989" i="48"/>
  <c r="AB2012" i="48"/>
  <c r="AC1442" i="48"/>
  <c r="BC1442" i="48" s="1"/>
  <c r="AC995" i="48"/>
  <c r="BC995" i="48" s="1"/>
  <c r="AC809" i="48"/>
  <c r="BC809" i="48" s="1"/>
  <c r="AB1095" i="48"/>
  <c r="AC1432" i="48"/>
  <c r="BC1432" i="48" s="1"/>
  <c r="AB1050" i="48"/>
  <c r="AB1748" i="48"/>
  <c r="AC1422" i="48"/>
  <c r="BC1422" i="48" s="1"/>
  <c r="AC911" i="48"/>
  <c r="BC911" i="48" s="1"/>
  <c r="AC1125" i="48"/>
  <c r="BC1125" i="48" s="1"/>
  <c r="AC833" i="48"/>
  <c r="BC833" i="48" s="1"/>
  <c r="AB1302" i="48"/>
  <c r="AB1136" i="48"/>
  <c r="AC1031" i="48"/>
  <c r="BC1031" i="48" s="1"/>
  <c r="AC585" i="48"/>
  <c r="BC585" i="48" s="1"/>
  <c r="AC1672" i="48"/>
  <c r="BC1672" i="48" s="1"/>
  <c r="AC764" i="48"/>
  <c r="BC764" i="48" s="1"/>
  <c r="AB1995" i="48"/>
  <c r="AB999" i="48"/>
  <c r="AC844" i="48"/>
  <c r="BC844" i="48" s="1"/>
  <c r="AB609" i="48"/>
  <c r="AC756" i="48"/>
  <c r="BC756" i="48" s="1"/>
  <c r="AC706" i="48"/>
  <c r="BC706" i="48" s="1"/>
  <c r="AB1601" i="48"/>
  <c r="AC904" i="48"/>
  <c r="BC904" i="48" s="1"/>
  <c r="AB1252" i="48"/>
  <c r="AB1833" i="48"/>
  <c r="AC779" i="48"/>
  <c r="BC779" i="48" s="1"/>
  <c r="AC769" i="48"/>
  <c r="BC769" i="48" s="1"/>
  <c r="AC1715" i="48"/>
  <c r="BC1715" i="48" s="1"/>
  <c r="AC1841" i="48"/>
  <c r="BC1841" i="48" s="1"/>
  <c r="AB2049" i="48"/>
  <c r="AC838" i="48"/>
  <c r="BC838" i="48" s="1"/>
  <c r="AB1606" i="48"/>
  <c r="AC1931" i="48"/>
  <c r="BC1931" i="48" s="1"/>
  <c r="AB1354" i="48"/>
  <c r="AC864" i="48"/>
  <c r="BC864" i="48" s="1"/>
  <c r="AB1632" i="48"/>
  <c r="AB300" i="48"/>
  <c r="AC1902" i="48"/>
  <c r="BC1902" i="48" s="1"/>
  <c r="AC934" i="48"/>
  <c r="BC934" i="48" s="1"/>
  <c r="AC1806" i="48"/>
  <c r="BC1806" i="48" s="1"/>
  <c r="AC899" i="48"/>
  <c r="BC899" i="48" s="1"/>
  <c r="AB885" i="48"/>
  <c r="AC2009" i="48"/>
  <c r="BC2009" i="48" s="1"/>
  <c r="AC867" i="48"/>
  <c r="BC867" i="48" s="1"/>
  <c r="AC858" i="48"/>
  <c r="BC858" i="48" s="1"/>
  <c r="AC1904" i="48"/>
  <c r="BC1904" i="48" s="1"/>
  <c r="AC930" i="48"/>
  <c r="BC930" i="48" s="1"/>
  <c r="AB977" i="48"/>
  <c r="AC1487" i="48"/>
  <c r="BC1487" i="48" s="1"/>
  <c r="AC1787" i="48"/>
  <c r="BC1787" i="48" s="1"/>
  <c r="AC910" i="48"/>
  <c r="BC910" i="48" s="1"/>
  <c r="AC1439" i="48"/>
  <c r="BC1439" i="48" s="1"/>
  <c r="AB2002" i="48"/>
  <c r="AC1087" i="48"/>
  <c r="BC1087" i="48" s="1"/>
  <c r="AC1493" i="48"/>
  <c r="BC1493" i="48" s="1"/>
  <c r="AB1259" i="48"/>
  <c r="AB1551" i="48"/>
  <c r="AC1111" i="48"/>
  <c r="BC1111" i="48" s="1"/>
  <c r="AC1570" i="48"/>
  <c r="BC1570" i="48" s="1"/>
  <c r="AC2008" i="48"/>
  <c r="BC2008" i="48" s="1"/>
  <c r="AB1206" i="48"/>
  <c r="AB1346" i="48"/>
  <c r="AC786" i="48"/>
  <c r="BC786" i="48" s="1"/>
  <c r="AC702" i="48"/>
  <c r="BC702" i="48" s="1"/>
  <c r="AB1914" i="48"/>
  <c r="AC1962" i="48"/>
  <c r="BC1962" i="48" s="1"/>
  <c r="AC1393" i="48"/>
  <c r="BC1393" i="48" s="1"/>
  <c r="AC1688" i="48"/>
  <c r="BC1688" i="48" s="1"/>
  <c r="AC1219" i="48"/>
  <c r="BC1219" i="48" s="1"/>
  <c r="AC961" i="48"/>
  <c r="BC961" i="48" s="1"/>
  <c r="AC1480" i="48"/>
  <c r="BC1480" i="48" s="1"/>
  <c r="AC1105" i="48"/>
  <c r="BC1105" i="48" s="1"/>
  <c r="AC1256" i="48"/>
  <c r="BC1256" i="48" s="1"/>
  <c r="AB1701" i="48"/>
  <c r="AC1347" i="48"/>
  <c r="BC1347" i="48" s="1"/>
  <c r="AB1309" i="48"/>
  <c r="AC2021" i="48"/>
  <c r="BC2021" i="48" s="1"/>
  <c r="AB1600" i="48"/>
  <c r="AB1583" i="48"/>
  <c r="AC1362" i="48"/>
  <c r="BC1362" i="48" s="1"/>
  <c r="AB1054" i="48"/>
  <c r="AB1314" i="48"/>
  <c r="AB712" i="48"/>
  <c r="AC890" i="48"/>
  <c r="BC890" i="48" s="1"/>
  <c r="AB653" i="48"/>
  <c r="AB1482" i="48"/>
  <c r="AC968" i="48"/>
  <c r="BC968" i="48" s="1"/>
  <c r="AB1560" i="48"/>
  <c r="AB1860" i="48"/>
  <c r="AC1342" i="48"/>
  <c r="BC1342" i="48" s="1"/>
  <c r="AB1335" i="48"/>
  <c r="AB704" i="48"/>
  <c r="AC922" i="48"/>
  <c r="BC922" i="48" s="1"/>
  <c r="AC1321" i="48"/>
  <c r="BC1321" i="48" s="1"/>
  <c r="AB1100" i="48"/>
  <c r="AC1428" i="48"/>
  <c r="BC1428" i="48" s="1"/>
  <c r="AC1568" i="48"/>
  <c r="BC1568" i="48" s="1"/>
  <c r="AC1669" i="48"/>
  <c r="BC1669" i="48" s="1"/>
  <c r="AB1944" i="48"/>
  <c r="AB622" i="48"/>
  <c r="AB1983" i="48"/>
  <c r="AC849" i="48"/>
  <c r="BC849" i="48" s="1"/>
  <c r="AC1746" i="48"/>
  <c r="BC1746" i="48" s="1"/>
  <c r="AB1821" i="48"/>
  <c r="AC1431" i="48"/>
  <c r="BC1431" i="48" s="1"/>
  <c r="AB1318" i="48"/>
  <c r="AB1645" i="48"/>
  <c r="AC923" i="48"/>
  <c r="BC923" i="48" s="1"/>
  <c r="AB1469" i="48"/>
  <c r="AB1498" i="48"/>
  <c r="AB1998" i="48"/>
  <c r="AB375" i="48"/>
  <c r="AC1761" i="48"/>
  <c r="BC1761" i="48" s="1"/>
  <c r="AB709" i="48"/>
  <c r="AB1192" i="48"/>
  <c r="AB662" i="48"/>
  <c r="AB946" i="48"/>
  <c r="AC856" i="48"/>
  <c r="BC856" i="48" s="1"/>
  <c r="AB1178" i="48"/>
  <c r="AC2016" i="48"/>
  <c r="BC2016" i="48" s="1"/>
  <c r="AB1670" i="48"/>
  <c r="AB1400" i="48"/>
  <c r="AB1460" i="48"/>
  <c r="AB1356" i="48"/>
  <c r="AB581" i="48"/>
  <c r="AB1756" i="48"/>
  <c r="AB1164" i="48"/>
  <c r="AC1937" i="48"/>
  <c r="BC1937" i="48" s="1"/>
  <c r="AC1698" i="48"/>
  <c r="BC1698" i="48" s="1"/>
  <c r="AC1587" i="48"/>
  <c r="BC1587" i="48" s="1"/>
  <c r="AC1596" i="48"/>
  <c r="BC1596" i="48" s="1"/>
  <c r="AB1158" i="48"/>
  <c r="AC685" i="48"/>
  <c r="BC685" i="48" s="1"/>
  <c r="AC1394" i="48"/>
  <c r="BC1394" i="48" s="1"/>
  <c r="AB1960" i="48"/>
  <c r="AB827" i="48"/>
  <c r="AC929" i="48"/>
  <c r="BC929" i="48" s="1"/>
  <c r="AC1003" i="48"/>
  <c r="BC1003" i="48" s="1"/>
  <c r="AC671" i="48"/>
  <c r="BC671" i="48" s="1"/>
  <c r="AC988" i="48"/>
  <c r="BC988" i="48" s="1"/>
  <c r="AC1804" i="48"/>
  <c r="BC1804" i="48" s="1"/>
  <c r="AB901" i="48"/>
  <c r="AB1377" i="48"/>
  <c r="AB2048" i="48"/>
  <c r="AC915" i="48"/>
  <c r="BC915" i="48" s="1"/>
  <c r="AC938" i="48"/>
  <c r="BC938" i="48" s="1"/>
  <c r="AC966" i="48"/>
  <c r="BC966" i="48" s="1"/>
  <c r="AB1436" i="48"/>
  <c r="AB1412" i="48"/>
  <c r="AC1836" i="48"/>
  <c r="BC1836" i="48" s="1"/>
  <c r="AB1150" i="48"/>
  <c r="AC694" i="48"/>
  <c r="BC694" i="48" s="1"/>
  <c r="AC1589" i="48"/>
  <c r="BC1589" i="48" s="1"/>
  <c r="AB1077" i="48"/>
  <c r="AB2005" i="48"/>
  <c r="AC746" i="48"/>
  <c r="BC746" i="48" s="1"/>
  <c r="AB577" i="48"/>
  <c r="AC1664" i="48"/>
  <c r="BC1664" i="48" s="1"/>
  <c r="AC1938" i="48"/>
  <c r="BC1938" i="48" s="1"/>
  <c r="AC524" i="48"/>
  <c r="BC524" i="48" s="1"/>
  <c r="AC778" i="48"/>
  <c r="BC778" i="48" s="1"/>
  <c r="AB1411" i="48"/>
  <c r="AB1792" i="48"/>
  <c r="AC1933" i="48"/>
  <c r="BC1933" i="48" s="1"/>
  <c r="AC2047" i="48"/>
  <c r="BC2047" i="48" s="1"/>
  <c r="AC1137" i="48"/>
  <c r="BC1137" i="48" s="1"/>
  <c r="AC2051" i="48"/>
  <c r="BC2051" i="48" s="1"/>
  <c r="AB728" i="48"/>
  <c r="AB1754" i="48"/>
  <c r="AC1123" i="48"/>
  <c r="BC1123" i="48" s="1"/>
  <c r="AB2023" i="48"/>
  <c r="AB1416" i="48"/>
  <c r="AC700" i="48"/>
  <c r="BC700" i="48" s="1"/>
  <c r="AB1623" i="48"/>
  <c r="AC985" i="48"/>
  <c r="BC985" i="48" s="1"/>
  <c r="AC866" i="48"/>
  <c r="BC866" i="48" s="1"/>
  <c r="AC1443" i="48"/>
  <c r="BC1443" i="48" s="1"/>
  <c r="AC1832" i="48"/>
  <c r="BC1832" i="48" s="1"/>
  <c r="AC725" i="48"/>
  <c r="BC725" i="48" s="1"/>
  <c r="AB572" i="48"/>
  <c r="AC1805" i="48"/>
  <c r="BC1805" i="48" s="1"/>
  <c r="AC1729" i="48"/>
  <c r="BC1729" i="48" s="1"/>
  <c r="AC1496" i="48"/>
  <c r="BC1496" i="48" s="1"/>
  <c r="AC940" i="48"/>
  <c r="BC940" i="48" s="1"/>
  <c r="AB840" i="48"/>
  <c r="AB1207" i="48"/>
  <c r="AC619" i="48"/>
  <c r="BC619" i="48" s="1"/>
  <c r="AB1417" i="48"/>
  <c r="AC1815" i="48"/>
  <c r="BC1815" i="48" s="1"/>
  <c r="AC1675" i="48"/>
  <c r="BC1675" i="48" s="1"/>
  <c r="AC1969" i="48"/>
  <c r="BC1969" i="48" s="1"/>
  <c r="AC897" i="48"/>
  <c r="BC897" i="48" s="1"/>
  <c r="AC768" i="48"/>
  <c r="BC768" i="48" s="1"/>
  <c r="AC663" i="48"/>
  <c r="BC663" i="48" s="1"/>
  <c r="AB1507" i="48"/>
  <c r="AB1222" i="48"/>
  <c r="AC924" i="48"/>
  <c r="BC924" i="48" s="1"/>
  <c r="AB1014" i="48"/>
  <c r="AC842" i="48"/>
  <c r="BC842" i="48" s="1"/>
  <c r="AB1075" i="48"/>
  <c r="AC762" i="48"/>
  <c r="BC762" i="48" s="1"/>
  <c r="BK57" i="48"/>
  <c r="AB1667" i="48"/>
  <c r="AB825" i="48"/>
  <c r="AC1191" i="48"/>
  <c r="BC1191" i="48" s="1"/>
  <c r="AC641" i="48"/>
  <c r="BC641" i="48" s="1"/>
  <c r="AC1042" i="48"/>
  <c r="BC1042" i="48" s="1"/>
  <c r="AB2054" i="48"/>
  <c r="AB1921" i="48"/>
  <c r="AC1326" i="48"/>
  <c r="BC1326" i="48" s="1"/>
  <c r="AB1781" i="48"/>
  <c r="AB1703" i="48"/>
  <c r="AB1022" i="48"/>
  <c r="AB297" i="48"/>
  <c r="BD1519" i="48"/>
  <c r="BJ1519" i="48"/>
  <c r="BJ984" i="48"/>
  <c r="BD984" i="48"/>
  <c r="BK915" i="48"/>
  <c r="AZ915" i="48"/>
  <c r="AV915" i="48"/>
  <c r="BA915" i="48"/>
  <c r="AX915" i="48"/>
  <c r="AY915" i="48"/>
  <c r="AW915" i="48"/>
  <c r="AU915" i="48"/>
  <c r="BD762" i="48"/>
  <c r="BJ762" i="48"/>
  <c r="AX862" i="48"/>
  <c r="AW862" i="48"/>
  <c r="AZ862" i="48"/>
  <c r="AU862" i="48"/>
  <c r="AV862" i="48"/>
  <c r="BA862" i="48"/>
  <c r="BK862" i="48"/>
  <c r="AY862" i="48"/>
  <c r="BK1007" i="48"/>
  <c r="AV1007" i="48"/>
  <c r="AZ1007" i="48"/>
  <c r="BA1007" i="48"/>
  <c r="AU1007" i="48"/>
  <c r="AX1007" i="48"/>
  <c r="AY1007" i="48"/>
  <c r="AW1007" i="48"/>
  <c r="BJ1179" i="48"/>
  <c r="BD1179" i="48"/>
  <c r="BD901" i="48"/>
  <c r="BJ901" i="48"/>
  <c r="BK1075" i="48"/>
  <c r="AZ1075" i="48"/>
  <c r="AV1075" i="48"/>
  <c r="BA1075" i="48"/>
  <c r="AY1075" i="48"/>
  <c r="AX1075" i="48"/>
  <c r="AW1075" i="48"/>
  <c r="AU1075" i="48"/>
  <c r="BK1717" i="48"/>
  <c r="AZ1717" i="48"/>
  <c r="AV1717" i="48"/>
  <c r="AY1717" i="48"/>
  <c r="AX1717" i="48"/>
  <c r="AW1717" i="48"/>
  <c r="BA1717" i="48"/>
  <c r="AU1717" i="48"/>
  <c r="BA1619" i="48"/>
  <c r="BK1619" i="48"/>
  <c r="AY1619" i="48"/>
  <c r="AX1619" i="48"/>
  <c r="AV1619" i="48"/>
  <c r="AZ1619" i="48"/>
  <c r="AU1619" i="48"/>
  <c r="AW1619" i="48"/>
  <c r="BD1874" i="48"/>
  <c r="BJ1874" i="48"/>
  <c r="BD1098" i="48"/>
  <c r="BJ1098" i="48"/>
  <c r="BD1309" i="48"/>
  <c r="BJ1309" i="48"/>
  <c r="BA1069" i="48"/>
  <c r="BK1069" i="48"/>
  <c r="AU1069" i="48"/>
  <c r="AY1069" i="48"/>
  <c r="AX1069" i="48"/>
  <c r="AZ1069" i="48"/>
  <c r="AV1069" i="48"/>
  <c r="AW1069" i="48"/>
  <c r="BJ2054" i="48"/>
  <c r="BD2054" i="48"/>
  <c r="BJ823" i="48"/>
  <c r="BD823" i="48"/>
  <c r="BK1111" i="48"/>
  <c r="AZ1111" i="48"/>
  <c r="AV1111" i="48"/>
  <c r="BA1111" i="48"/>
  <c r="AU1111" i="48"/>
  <c r="AW1111" i="48"/>
  <c r="AX1111" i="48"/>
  <c r="AY1111" i="48"/>
  <c r="BJ572" i="48"/>
  <c r="BD572" i="48"/>
  <c r="BK923" i="48"/>
  <c r="AZ923" i="48"/>
  <c r="AV923" i="48"/>
  <c r="BA923" i="48"/>
  <c r="AX923" i="48"/>
  <c r="AU923" i="48"/>
  <c r="AY923" i="48"/>
  <c r="AW923" i="48"/>
  <c r="BK967" i="48"/>
  <c r="AZ967" i="48"/>
  <c r="AV967" i="48"/>
  <c r="BA967" i="48"/>
  <c r="AX967" i="48"/>
  <c r="AU967" i="48"/>
  <c r="AW967" i="48"/>
  <c r="AY967" i="48"/>
  <c r="BK1019" i="48"/>
  <c r="AV1019" i="48"/>
  <c r="AZ1019" i="48"/>
  <c r="BA1019" i="48"/>
  <c r="AX1019" i="48"/>
  <c r="AU1019" i="48"/>
  <c r="AY1019" i="48"/>
  <c r="AW1019" i="48"/>
  <c r="AX668" i="48"/>
  <c r="AV668" i="48"/>
  <c r="AU668" i="48"/>
  <c r="BK668" i="48"/>
  <c r="AZ668" i="48"/>
  <c r="AY668" i="48"/>
  <c r="AW668" i="48"/>
  <c r="BA668" i="48"/>
  <c r="BJ1860" i="48"/>
  <c r="BD1860" i="48"/>
  <c r="BJ1465" i="48"/>
  <c r="BD1465" i="48"/>
  <c r="BA1439" i="48"/>
  <c r="AX1439" i="48"/>
  <c r="AY1439" i="48"/>
  <c r="AW1439" i="48"/>
  <c r="BK1439" i="48"/>
  <c r="AV1439" i="48"/>
  <c r="AZ1439" i="48"/>
  <c r="AU1439" i="48"/>
  <c r="BA1195" i="48"/>
  <c r="BK1195" i="48"/>
  <c r="AZ1195" i="48"/>
  <c r="AU1195" i="48"/>
  <c r="AY1195" i="48"/>
  <c r="AX1195" i="48"/>
  <c r="AV1195" i="48"/>
  <c r="AW1195" i="48"/>
  <c r="BA1609" i="48"/>
  <c r="AX1609" i="48"/>
  <c r="BK1609" i="48"/>
  <c r="AZ1609" i="48"/>
  <c r="AW1609" i="48"/>
  <c r="AU1609" i="48"/>
  <c r="AP1609" i="48" s="1"/>
  <c r="AY1609" i="48"/>
  <c r="AV1609" i="48"/>
  <c r="BA1259" i="48"/>
  <c r="BK1259" i="48"/>
  <c r="AZ1259" i="48"/>
  <c r="AU1259" i="48"/>
  <c r="AY1259" i="48"/>
  <c r="AX1259" i="48"/>
  <c r="AV1259" i="48"/>
  <c r="AW1259" i="48"/>
  <c r="AX856" i="48"/>
  <c r="AV856" i="48"/>
  <c r="AU856" i="48"/>
  <c r="AZ856" i="48"/>
  <c r="BK856" i="48"/>
  <c r="AY856" i="48"/>
  <c r="AW856" i="48"/>
  <c r="BA856" i="48"/>
  <c r="BA1998" i="48"/>
  <c r="AW1998" i="48"/>
  <c r="AV1998" i="48"/>
  <c r="AX1998" i="48"/>
  <c r="BK1998" i="48"/>
  <c r="AY1998" i="48"/>
  <c r="AZ1998" i="48"/>
  <c r="AU1998" i="48"/>
  <c r="BD641" i="48"/>
  <c r="BJ641" i="48"/>
  <c r="BJ1347" i="48"/>
  <c r="BD1347" i="48"/>
  <c r="BD985" i="48"/>
  <c r="BJ985" i="48"/>
  <c r="BA1965" i="48"/>
  <c r="AW1965" i="48"/>
  <c r="AY1965" i="48"/>
  <c r="AZ1965" i="48"/>
  <c r="AU1965" i="48"/>
  <c r="AV1965" i="48"/>
  <c r="AX1965" i="48"/>
  <c r="BK1965" i="48"/>
  <c r="BA1787" i="48"/>
  <c r="AY1787" i="48"/>
  <c r="AU1787" i="48"/>
  <c r="BK1787" i="48"/>
  <c r="AX1787" i="48"/>
  <c r="AZ1787" i="48"/>
  <c r="AV1787" i="48"/>
  <c r="AW1787" i="48"/>
  <c r="BJ1123" i="48"/>
  <c r="BD1123" i="48"/>
  <c r="BA1495" i="48"/>
  <c r="AX1495" i="48"/>
  <c r="AZ1495" i="48"/>
  <c r="AU1495" i="48"/>
  <c r="AK1495" i="48" s="1"/>
  <c r="AY1495" i="48"/>
  <c r="AW1495" i="48"/>
  <c r="BK1495" i="48"/>
  <c r="AV1495" i="48"/>
  <c r="BD1902" i="48"/>
  <c r="BJ1902" i="48"/>
  <c r="BA1573" i="48"/>
  <c r="AX1573" i="48"/>
  <c r="AY1573" i="48"/>
  <c r="AV1573" i="48"/>
  <c r="BK1573" i="48"/>
  <c r="AZ1573" i="48"/>
  <c r="AU1573" i="48"/>
  <c r="AW1573" i="48"/>
  <c r="BJ1983" i="48"/>
  <c r="BD1983" i="48"/>
  <c r="BD1966" i="48"/>
  <c r="BJ1966" i="48"/>
  <c r="AW767" i="48"/>
  <c r="AV767" i="48"/>
  <c r="BA767" i="48"/>
  <c r="AX767" i="48"/>
  <c r="BK767" i="48"/>
  <c r="AZ767" i="48"/>
  <c r="AY767" i="48"/>
  <c r="AU767" i="48"/>
  <c r="AP767" i="48" s="1"/>
  <c r="BD613" i="48"/>
  <c r="BJ613" i="48"/>
  <c r="BJ1155" i="48"/>
  <c r="BD1155" i="48"/>
  <c r="BJ871" i="48"/>
  <c r="BD871" i="48"/>
  <c r="BJ820" i="48"/>
  <c r="BD820" i="48"/>
  <c r="BJ1560" i="48"/>
  <c r="BD1560" i="48"/>
  <c r="BA1788" i="48"/>
  <c r="AX1788" i="48"/>
  <c r="BK1788" i="48"/>
  <c r="AV1788" i="48"/>
  <c r="AZ1788" i="48"/>
  <c r="AU1788" i="48"/>
  <c r="AW1788" i="48"/>
  <c r="AY1788" i="48"/>
  <c r="BK927" i="48"/>
  <c r="AV927" i="48"/>
  <c r="AZ927" i="48"/>
  <c r="BA927" i="48"/>
  <c r="AU927" i="48"/>
  <c r="AP927" i="48" s="1"/>
  <c r="AY927" i="48"/>
  <c r="AX927" i="48"/>
  <c r="AW927" i="48"/>
  <c r="BA1297" i="48"/>
  <c r="AX1297" i="48"/>
  <c r="AY1297" i="48"/>
  <c r="AV1297" i="48"/>
  <c r="BK1297" i="48"/>
  <c r="AZ1297" i="48"/>
  <c r="AW1297" i="48"/>
  <c r="AU1297" i="48"/>
  <c r="BJ1518" i="48"/>
  <c r="BD1518" i="48"/>
  <c r="BA1592" i="48"/>
  <c r="BK1592" i="48"/>
  <c r="AU1592" i="48"/>
  <c r="AP1592" i="48" s="1"/>
  <c r="AY1592" i="48"/>
  <c r="AX1592" i="48"/>
  <c r="AZ1592" i="48"/>
  <c r="AW1592" i="48"/>
  <c r="AV1592" i="48"/>
  <c r="BJ1485" i="48"/>
  <c r="BD1485" i="48"/>
  <c r="BA1485" i="48"/>
  <c r="AX1485" i="48"/>
  <c r="AV1485" i="48"/>
  <c r="AZ1485" i="48"/>
  <c r="AU1485" i="48"/>
  <c r="BK1485" i="48"/>
  <c r="AY1485" i="48"/>
  <c r="AW1485" i="48"/>
  <c r="AX786" i="48"/>
  <c r="AV786" i="48"/>
  <c r="BA786" i="48"/>
  <c r="BK786" i="48"/>
  <c r="AY786" i="48"/>
  <c r="AZ786" i="48"/>
  <c r="AU786" i="48"/>
  <c r="AW786" i="48"/>
  <c r="BA643" i="48"/>
  <c r="AW643" i="48"/>
  <c r="AX643" i="48"/>
  <c r="BK643" i="48"/>
  <c r="AZ643" i="48"/>
  <c r="AV643" i="48"/>
  <c r="AY643" i="48"/>
  <c r="AU643" i="48"/>
  <c r="BD1910" i="48"/>
  <c r="BJ1910" i="48"/>
  <c r="BD1653" i="48"/>
  <c r="BJ1653" i="48"/>
  <c r="BJ1424" i="48"/>
  <c r="BD1424" i="48"/>
  <c r="BA841" i="48"/>
  <c r="BK841" i="48"/>
  <c r="AU841" i="48"/>
  <c r="AY841" i="48"/>
  <c r="AX841" i="48"/>
  <c r="AV841" i="48"/>
  <c r="AZ841" i="48"/>
  <c r="AW841" i="48"/>
  <c r="AW1522" i="48"/>
  <c r="BA1522" i="48"/>
  <c r="AV1522" i="48"/>
  <c r="AY1522" i="48"/>
  <c r="AU1522" i="48"/>
  <c r="AX1522" i="48"/>
  <c r="BK1522" i="48"/>
  <c r="AZ1522" i="48"/>
  <c r="BJ832" i="48"/>
  <c r="BD832" i="48"/>
  <c r="BJ1722" i="48"/>
  <c r="BD1722" i="48"/>
  <c r="BJ1367" i="48"/>
  <c r="BD1367" i="48"/>
  <c r="BD918" i="48"/>
  <c r="BJ918" i="48"/>
  <c r="BA1183" i="48"/>
  <c r="BK1183" i="48"/>
  <c r="AY1183" i="48"/>
  <c r="AX1183" i="48"/>
  <c r="AV1183" i="48"/>
  <c r="AZ1183" i="48"/>
  <c r="AU1183" i="48"/>
  <c r="AW1183" i="48"/>
  <c r="BA1891" i="48"/>
  <c r="AW1891" i="48"/>
  <c r="AZ1891" i="48"/>
  <c r="AU1891" i="48"/>
  <c r="AL1891" i="48" s="1"/>
  <c r="AV1891" i="48"/>
  <c r="AX1891" i="48"/>
  <c r="BK1891" i="48"/>
  <c r="AY1891" i="48"/>
  <c r="BA1687" i="48"/>
  <c r="AX1687" i="48"/>
  <c r="BK1687" i="48"/>
  <c r="AU1687" i="48"/>
  <c r="AO1687" i="48" s="1"/>
  <c r="AY1687" i="48"/>
  <c r="AV1687" i="48"/>
  <c r="AZ1687" i="48"/>
  <c r="AW1687" i="48"/>
  <c r="BA1169" i="48"/>
  <c r="AY1169" i="48"/>
  <c r="AZ1169" i="48"/>
  <c r="AU1169" i="48"/>
  <c r="AV1169" i="48"/>
  <c r="AX1169" i="48"/>
  <c r="BK1169" i="48"/>
  <c r="AW1169" i="48"/>
  <c r="BJ627" i="48"/>
  <c r="BD627" i="48"/>
  <c r="BJ1279" i="48"/>
  <c r="BD1279" i="48"/>
  <c r="BA1279" i="48"/>
  <c r="AX1279" i="48"/>
  <c r="AV1279" i="48"/>
  <c r="AZ1279" i="48"/>
  <c r="AU1279" i="48"/>
  <c r="BK1279" i="48"/>
  <c r="AY1279" i="48"/>
  <c r="AW1279" i="48"/>
  <c r="BA1604" i="48"/>
  <c r="AY1604" i="48"/>
  <c r="AX1604" i="48"/>
  <c r="BK1604" i="48"/>
  <c r="AU1604" i="48"/>
  <c r="AV1604" i="48"/>
  <c r="AZ1604" i="48"/>
  <c r="AW1604" i="48"/>
  <c r="BJ919" i="48"/>
  <c r="BD919" i="48"/>
  <c r="BJ2024" i="48"/>
  <c r="BD2024" i="48"/>
  <c r="AW759" i="48"/>
  <c r="BA759" i="48"/>
  <c r="AV759" i="48"/>
  <c r="AY759" i="48"/>
  <c r="AU759" i="48"/>
  <c r="AX759" i="48"/>
  <c r="BK759" i="48"/>
  <c r="AZ759" i="48"/>
  <c r="BA1706" i="48"/>
  <c r="AZ1706" i="48"/>
  <c r="AU1706" i="48"/>
  <c r="AL1706" i="48" s="1"/>
  <c r="BK1706" i="48"/>
  <c r="AY1706" i="48"/>
  <c r="AX1706" i="48"/>
  <c r="AV1706" i="48"/>
  <c r="AW1706" i="48"/>
  <c r="BJ987" i="48"/>
  <c r="BD987" i="48"/>
  <c r="BJ692" i="48"/>
  <c r="BD692" i="48"/>
  <c r="BD1830" i="48"/>
  <c r="BJ1830" i="48"/>
  <c r="BA2020" i="48"/>
  <c r="AV2020" i="48"/>
  <c r="AZ2020" i="48"/>
  <c r="AX2020" i="48"/>
  <c r="BK2020" i="48"/>
  <c r="AW2020" i="48"/>
  <c r="AU2020" i="48"/>
  <c r="AY2020" i="48"/>
  <c r="BD1716" i="48"/>
  <c r="BJ1716" i="48"/>
  <c r="BA1024" i="48"/>
  <c r="BK1024" i="48"/>
  <c r="AY1024" i="48"/>
  <c r="AX1024" i="48"/>
  <c r="AV1024" i="48"/>
  <c r="AZ1024" i="48"/>
  <c r="AU1024" i="48"/>
  <c r="AW1024" i="48"/>
  <c r="BD949" i="48"/>
  <c r="BJ949" i="48"/>
  <c r="AX1348" i="48"/>
  <c r="AU1348" i="48"/>
  <c r="AO1348" i="48" s="1"/>
  <c r="BK1348" i="48"/>
  <c r="AY1348" i="48"/>
  <c r="AZ1348" i="48"/>
  <c r="AW1348" i="48"/>
  <c r="BA1348" i="48"/>
  <c r="AV1348" i="48"/>
  <c r="BJ1274" i="48"/>
  <c r="BD1274" i="48"/>
  <c r="BJ1836" i="48"/>
  <c r="BD1836" i="48"/>
  <c r="BD1026" i="48"/>
  <c r="BJ1026" i="48"/>
  <c r="BJ696" i="48"/>
  <c r="BD696" i="48"/>
  <c r="AX696" i="48"/>
  <c r="BK696" i="48"/>
  <c r="AY696" i="48"/>
  <c r="AV696" i="48"/>
  <c r="AU696" i="48"/>
  <c r="AZ696" i="48"/>
  <c r="BA696" i="48"/>
  <c r="AW696" i="48"/>
  <c r="BA1331" i="48"/>
  <c r="BK1331" i="48"/>
  <c r="AY1331" i="48"/>
  <c r="AX1331" i="48"/>
  <c r="AV1331" i="48"/>
  <c r="AZ1331" i="48"/>
  <c r="AU1331" i="48"/>
  <c r="AW1331" i="48"/>
  <c r="BK983" i="48"/>
  <c r="AV983" i="48"/>
  <c r="AZ983" i="48"/>
  <c r="BA983" i="48"/>
  <c r="AX983" i="48"/>
  <c r="AU983" i="48"/>
  <c r="AW983" i="48"/>
  <c r="AY983" i="48"/>
  <c r="BD1451" i="48"/>
  <c r="BJ1451" i="48"/>
  <c r="BJ1326" i="48"/>
  <c r="BD1326" i="48"/>
  <c r="AX628" i="48"/>
  <c r="AV628" i="48"/>
  <c r="AU628" i="48"/>
  <c r="AZ628" i="48"/>
  <c r="BK628" i="48"/>
  <c r="AY628" i="48"/>
  <c r="AW628" i="48"/>
  <c r="BA628" i="48"/>
  <c r="BJ1115" i="48"/>
  <c r="BD1115" i="48"/>
  <c r="AW1388" i="48"/>
  <c r="AV1388" i="48"/>
  <c r="BK1388" i="48"/>
  <c r="AZ1388" i="48"/>
  <c r="AY1388" i="48"/>
  <c r="AU1388" i="48"/>
  <c r="AX1388" i="48"/>
  <c r="BA1388" i="48"/>
  <c r="BD1589" i="48"/>
  <c r="BJ1589" i="48"/>
  <c r="BA1878" i="48"/>
  <c r="AX1878" i="48"/>
  <c r="BK1878" i="48"/>
  <c r="AU1878" i="48"/>
  <c r="AN1878" i="48" s="1"/>
  <c r="AV1878" i="48"/>
  <c r="AW1878" i="48"/>
  <c r="AY1878" i="48"/>
  <c r="AZ1878" i="48"/>
  <c r="BA1158" i="48"/>
  <c r="AW1158" i="48"/>
  <c r="AZ1158" i="48"/>
  <c r="AU1158" i="48"/>
  <c r="AV1158" i="48"/>
  <c r="AX1158" i="48"/>
  <c r="BK1158" i="48"/>
  <c r="AY1158" i="48"/>
  <c r="BJ1887" i="48"/>
  <c r="BD1887" i="48"/>
  <c r="BJ1482" i="48"/>
  <c r="BD1482" i="48"/>
  <c r="BA1455" i="48"/>
  <c r="AX1455" i="48"/>
  <c r="AY1455" i="48"/>
  <c r="AW1455" i="48"/>
  <c r="BK1455" i="48"/>
  <c r="AV1455" i="48"/>
  <c r="AZ1455" i="48"/>
  <c r="AU1455" i="48"/>
  <c r="AN1455" i="48" s="1"/>
  <c r="BJ1381" i="48"/>
  <c r="BD1381" i="48"/>
  <c r="BK1920" i="48"/>
  <c r="AV1920" i="48"/>
  <c r="AZ1920" i="48"/>
  <c r="BA1920" i="48"/>
  <c r="AU1920" i="48"/>
  <c r="AK1920" i="48" s="1"/>
  <c r="AX1920" i="48"/>
  <c r="AY1920" i="48"/>
  <c r="AW1920" i="48"/>
  <c r="BK1003" i="48"/>
  <c r="AZ1003" i="48"/>
  <c r="AV1003" i="48"/>
  <c r="BA1003" i="48"/>
  <c r="AX1003" i="48"/>
  <c r="AU1003" i="48"/>
  <c r="AN1003" i="48" s="1"/>
  <c r="AY1003" i="48"/>
  <c r="AW1003" i="48"/>
  <c r="BJ899" i="48"/>
  <c r="BD899" i="48"/>
  <c r="BJ652" i="48"/>
  <c r="BD652" i="48"/>
  <c r="BA1514" i="48"/>
  <c r="AX1514" i="48"/>
  <c r="BK1514" i="48"/>
  <c r="AU1514" i="48"/>
  <c r="AY1514" i="48"/>
  <c r="AV1514" i="48"/>
  <c r="AW1514" i="48"/>
  <c r="AZ1514" i="48"/>
  <c r="BJ1600" i="48"/>
  <c r="BD1600" i="48"/>
  <c r="BJ1436" i="48"/>
  <c r="BD1436" i="48"/>
  <c r="BJ1550" i="48"/>
  <c r="BD1550" i="48"/>
  <c r="AW1550" i="48"/>
  <c r="BA1550" i="48"/>
  <c r="AX1550" i="48"/>
  <c r="BK1550" i="48"/>
  <c r="AZ1550" i="48"/>
  <c r="AV1550" i="48"/>
  <c r="AY1550" i="48"/>
  <c r="AU1550" i="48"/>
  <c r="BJ1587" i="48"/>
  <c r="BD1587" i="48"/>
  <c r="AX1587" i="48"/>
  <c r="BK1587" i="48"/>
  <c r="AY1587" i="48"/>
  <c r="AV1587" i="48"/>
  <c r="AU1587" i="48"/>
  <c r="AZ1587" i="48"/>
  <c r="AW1587" i="48"/>
  <c r="BA1587" i="48"/>
  <c r="AX780" i="48"/>
  <c r="BK780" i="48"/>
  <c r="AZ780" i="48"/>
  <c r="AY780" i="48"/>
  <c r="AV780" i="48"/>
  <c r="AU780" i="48"/>
  <c r="AW780" i="48"/>
  <c r="BA780" i="48"/>
  <c r="BK1721" i="48"/>
  <c r="AZ1721" i="48"/>
  <c r="AV1721" i="48"/>
  <c r="AW1721" i="48"/>
  <c r="AX1721" i="48"/>
  <c r="AU1721" i="48"/>
  <c r="BA1721" i="48"/>
  <c r="AY1721" i="48"/>
  <c r="BJ1393" i="48"/>
  <c r="BD1393" i="48"/>
  <c r="BD922" i="48"/>
  <c r="BJ922" i="48"/>
  <c r="BJ1761" i="48"/>
  <c r="BD1761" i="48"/>
  <c r="BJ1362" i="48"/>
  <c r="BD1362" i="48"/>
  <c r="BD962" i="48"/>
  <c r="BJ962" i="48"/>
  <c r="BD1981" i="48"/>
  <c r="BJ1981" i="48"/>
  <c r="BA1981" i="48"/>
  <c r="AX1981" i="48"/>
  <c r="AV1981" i="48"/>
  <c r="AZ1981" i="48"/>
  <c r="AY1981" i="48"/>
  <c r="BK1981" i="48"/>
  <c r="AU1981" i="48"/>
  <c r="AW1981" i="48"/>
  <c r="BD989" i="48"/>
  <c r="BJ989" i="48"/>
  <c r="BA1386" i="48"/>
  <c r="AY1386" i="48"/>
  <c r="BK1386" i="48"/>
  <c r="AU1386" i="48"/>
  <c r="AP1386" i="48" s="1"/>
  <c r="AX1386" i="48"/>
  <c r="AV1386" i="48"/>
  <c r="AZ1386" i="48"/>
  <c r="AW1386" i="48"/>
  <c r="AZ1994" i="48"/>
  <c r="AU1994" i="48"/>
  <c r="AN1994" i="48" s="1"/>
  <c r="AV1994" i="48"/>
  <c r="AX1994" i="48"/>
  <c r="BK1994" i="48"/>
  <c r="BA1994" i="48"/>
  <c r="AY1994" i="48"/>
  <c r="AW1994" i="48"/>
  <c r="BJ1644" i="48"/>
  <c r="BD1644" i="48"/>
  <c r="BJ1420" i="48"/>
  <c r="BD1420" i="48"/>
  <c r="BK1924" i="48"/>
  <c r="AV1924" i="48"/>
  <c r="AZ1924" i="48"/>
  <c r="BA1924" i="48"/>
  <c r="AU1924" i="48"/>
  <c r="AY1924" i="48"/>
  <c r="AW1924" i="48"/>
  <c r="AX1924" i="48"/>
  <c r="BD1117" i="48"/>
  <c r="BJ1117" i="48"/>
  <c r="BA990" i="48"/>
  <c r="AW990" i="48"/>
  <c r="AY990" i="48"/>
  <c r="AZ990" i="48"/>
  <c r="AU990" i="48"/>
  <c r="AV990" i="48"/>
  <c r="AX990" i="48"/>
  <c r="BK990" i="48"/>
  <c r="AX1525" i="48"/>
  <c r="AW1525" i="48"/>
  <c r="AY1525" i="48"/>
  <c r="AZ1525" i="48"/>
  <c r="AU1525" i="48"/>
  <c r="AV1525" i="48"/>
  <c r="BA1525" i="48"/>
  <c r="BK1525" i="48"/>
  <c r="BJ1608" i="48"/>
  <c r="BD1608" i="48"/>
  <c r="BA1248" i="48"/>
  <c r="AY1248" i="48"/>
  <c r="AX1248" i="48"/>
  <c r="BK1248" i="48"/>
  <c r="AU1248" i="48"/>
  <c r="AV1248" i="48"/>
  <c r="AZ1248" i="48"/>
  <c r="AW1248" i="48"/>
  <c r="BA1743" i="48"/>
  <c r="AX1743" i="48"/>
  <c r="BK1743" i="48"/>
  <c r="AU1743" i="48"/>
  <c r="AP1743" i="48" s="1"/>
  <c r="AY1743" i="48"/>
  <c r="AV1743" i="48"/>
  <c r="AZ1743" i="48"/>
  <c r="AW1743" i="48"/>
  <c r="BD750" i="48"/>
  <c r="BJ750" i="48"/>
  <c r="BA1614" i="48"/>
  <c r="AW1614" i="48"/>
  <c r="AV1614" i="48"/>
  <c r="AX1614" i="48"/>
  <c r="BK1614" i="48"/>
  <c r="AY1614" i="48"/>
  <c r="AZ1614" i="48"/>
  <c r="AU1614" i="48"/>
  <c r="BA1252" i="48"/>
  <c r="BK1252" i="48"/>
  <c r="AU1252" i="48"/>
  <c r="AY1252" i="48"/>
  <c r="AX1252" i="48"/>
  <c r="AZ1252" i="48"/>
  <c r="AW1252" i="48"/>
  <c r="AV1252" i="48"/>
  <c r="BJ815" i="48"/>
  <c r="BD815" i="48"/>
  <c r="BA805" i="48"/>
  <c r="BK805" i="48"/>
  <c r="AY805" i="48"/>
  <c r="AX805" i="48"/>
  <c r="AV805" i="48"/>
  <c r="AZ805" i="48"/>
  <c r="AU805" i="48"/>
  <c r="AW805" i="48"/>
  <c r="BJ1638" i="48"/>
  <c r="BD1638" i="48"/>
  <c r="BA1638" i="48"/>
  <c r="AW1638" i="48"/>
  <c r="BK1638" i="48"/>
  <c r="AY1638" i="48"/>
  <c r="AZ1638" i="48"/>
  <c r="AU1638" i="48"/>
  <c r="AV1638" i="48"/>
  <c r="AX1638" i="48"/>
  <c r="BD673" i="48"/>
  <c r="BJ673" i="48"/>
  <c r="BA1580" i="48"/>
  <c r="AX1580" i="48"/>
  <c r="BK1580" i="48"/>
  <c r="AU1580" i="48"/>
  <c r="AY1580" i="48"/>
  <c r="AV1580" i="48"/>
  <c r="AZ1580" i="48"/>
  <c r="AW1580" i="48"/>
  <c r="BA1334" i="48"/>
  <c r="AW1334" i="48"/>
  <c r="AV1334" i="48"/>
  <c r="AX1334" i="48"/>
  <c r="BK1334" i="48"/>
  <c r="AY1334" i="48"/>
  <c r="AZ1334" i="48"/>
  <c r="AU1334" i="48"/>
  <c r="AM1334" i="48" s="1"/>
  <c r="BA1467" i="48"/>
  <c r="AX1467" i="48"/>
  <c r="AU1467" i="48"/>
  <c r="AY1467" i="48"/>
  <c r="BK1467" i="48"/>
  <c r="AV1467" i="48"/>
  <c r="AZ1467" i="48"/>
  <c r="AW1467" i="48"/>
  <c r="BJ1490" i="48"/>
  <c r="BD1490" i="48"/>
  <c r="BJ1170" i="48"/>
  <c r="BD1170" i="48"/>
  <c r="AX718" i="48"/>
  <c r="AW718" i="48"/>
  <c r="AZ718" i="48"/>
  <c r="AU718" i="48"/>
  <c r="AV718" i="48"/>
  <c r="BA718" i="48"/>
  <c r="BK718" i="48"/>
  <c r="AY718" i="48"/>
  <c r="BD865" i="48"/>
  <c r="BJ865" i="48"/>
  <c r="BJ1506" i="48"/>
  <c r="BD1506" i="48"/>
  <c r="BD1719" i="48"/>
  <c r="BJ1719" i="48"/>
  <c r="BD849" i="48"/>
  <c r="BJ849" i="48"/>
  <c r="BD1649" i="48"/>
  <c r="BJ1649" i="48"/>
  <c r="BA1584" i="48"/>
  <c r="AX1584" i="48"/>
  <c r="BK1584" i="48"/>
  <c r="AU1584" i="48"/>
  <c r="AY1584" i="48"/>
  <c r="AV1584" i="48"/>
  <c r="AW1584" i="48"/>
  <c r="AZ1584" i="48"/>
  <c r="BJ2010" i="48"/>
  <c r="BD2010" i="48"/>
  <c r="BJ1746" i="48"/>
  <c r="BD1746" i="48"/>
  <c r="BJ1210" i="48"/>
  <c r="BD1210" i="48"/>
  <c r="BK1119" i="48"/>
  <c r="AZ1119" i="48"/>
  <c r="AV1119" i="48"/>
  <c r="BA1119" i="48"/>
  <c r="AU1119" i="48"/>
  <c r="AO1119" i="48" s="1"/>
  <c r="AX1119" i="48"/>
  <c r="AY1119" i="48"/>
  <c r="AW1119" i="48"/>
  <c r="AW1789" i="48"/>
  <c r="BA1789" i="48"/>
  <c r="BK1789" i="48"/>
  <c r="AY1789" i="48"/>
  <c r="AZ1789" i="48"/>
  <c r="AU1789" i="48"/>
  <c r="AK1789" i="48" s="1"/>
  <c r="AV1789" i="48"/>
  <c r="AX1789" i="48"/>
  <c r="AW1062" i="48"/>
  <c r="BA1062" i="48"/>
  <c r="AY1062" i="48"/>
  <c r="AZ1062" i="48"/>
  <c r="AU1062" i="48"/>
  <c r="AM1062" i="48" s="1"/>
  <c r="AV1062" i="48"/>
  <c r="AX1062" i="48"/>
  <c r="BK1062" i="48"/>
  <c r="BD1281" i="48"/>
  <c r="BJ1281" i="48"/>
  <c r="AZ1090" i="48"/>
  <c r="AU1090" i="48"/>
  <c r="AK1090" i="48" s="1"/>
  <c r="AV1090" i="48"/>
  <c r="AX1090" i="48"/>
  <c r="BK1090" i="48"/>
  <c r="BA1090" i="48"/>
  <c r="AY1090" i="48"/>
  <c r="AW1090" i="48"/>
  <c r="BD702" i="48"/>
  <c r="BJ702" i="48"/>
  <c r="BA1841" i="48"/>
  <c r="AY1841" i="48"/>
  <c r="BK1841" i="48"/>
  <c r="AX1841" i="48"/>
  <c r="AU1841" i="48"/>
  <c r="AV1841" i="48"/>
  <c r="AZ1841" i="48"/>
  <c r="AW1841" i="48"/>
  <c r="BJ1191" i="48"/>
  <c r="BD1191" i="48"/>
  <c r="BK1979" i="48"/>
  <c r="AZ1979" i="48"/>
  <c r="AV1979" i="48"/>
  <c r="AY1979" i="48"/>
  <c r="AW1979" i="48"/>
  <c r="AX1979" i="48"/>
  <c r="BA1979" i="48"/>
  <c r="AU1979" i="48"/>
  <c r="BD1022" i="48"/>
  <c r="BJ1022" i="48"/>
  <c r="BD877" i="48"/>
  <c r="BJ877" i="48"/>
  <c r="BD1680" i="48"/>
  <c r="BJ1680" i="48"/>
  <c r="BJ1493" i="48"/>
  <c r="BD1493" i="48"/>
  <c r="BJ1805" i="48"/>
  <c r="BD1805" i="48"/>
  <c r="AW734" i="48"/>
  <c r="AX734" i="48"/>
  <c r="AV734" i="48"/>
  <c r="BA734" i="48"/>
  <c r="BK734" i="48"/>
  <c r="AY734" i="48"/>
  <c r="AZ734" i="48"/>
  <c r="AU734" i="48"/>
  <c r="AW1186" i="48"/>
  <c r="BA1186" i="48"/>
  <c r="BK1186" i="48"/>
  <c r="AY1186" i="48"/>
  <c r="AZ1186" i="48"/>
  <c r="AU1186" i="48"/>
  <c r="AV1186" i="48"/>
  <c r="AX1186" i="48"/>
  <c r="BA1481" i="48"/>
  <c r="AV1481" i="48"/>
  <c r="AZ1481" i="48"/>
  <c r="AU1481" i="48"/>
  <c r="BK1481" i="48"/>
  <c r="AY1481" i="48"/>
  <c r="AX1481" i="48"/>
  <c r="AW1481" i="48"/>
  <c r="BJ911" i="48"/>
  <c r="BD911" i="48"/>
  <c r="BA1187" i="48"/>
  <c r="AZ1187" i="48"/>
  <c r="AU1187" i="48"/>
  <c r="BK1187" i="48"/>
  <c r="AY1187" i="48"/>
  <c r="AX1187" i="48"/>
  <c r="AV1187" i="48"/>
  <c r="AW1187" i="48"/>
  <c r="BA793" i="48"/>
  <c r="AV793" i="48"/>
  <c r="BK793" i="48"/>
  <c r="AZ793" i="48"/>
  <c r="AU793" i="48"/>
  <c r="AY793" i="48"/>
  <c r="AX793" i="48"/>
  <c r="AW793" i="48"/>
  <c r="BJ1733" i="48"/>
  <c r="BD1733" i="48"/>
  <c r="BJ1635" i="48"/>
  <c r="BD1635" i="48"/>
  <c r="AV1978" i="48"/>
  <c r="AX1978" i="48"/>
  <c r="BK1978" i="48"/>
  <c r="BA1978" i="48"/>
  <c r="AY1978" i="48"/>
  <c r="AW1978" i="48"/>
  <c r="AZ1978" i="48"/>
  <c r="AU1978" i="48"/>
  <c r="AM1978" i="48" s="1"/>
  <c r="BD1728" i="48"/>
  <c r="BJ1728" i="48"/>
  <c r="BJ2021" i="48"/>
  <c r="BD2021" i="48"/>
  <c r="BA1932" i="48"/>
  <c r="AZ1932" i="48"/>
  <c r="AW1932" i="48"/>
  <c r="AV1932" i="48"/>
  <c r="BK1932" i="48"/>
  <c r="AY1932" i="48"/>
  <c r="AU1932" i="48"/>
  <c r="AX1932" i="48"/>
  <c r="BD556" i="48"/>
  <c r="BJ556" i="48"/>
  <c r="BA1462" i="48"/>
  <c r="AY1462" i="48"/>
  <c r="AX1462" i="48"/>
  <c r="BK1462" i="48"/>
  <c r="AU1462" i="48"/>
  <c r="AV1462" i="48"/>
  <c r="AW1462" i="48"/>
  <c r="AZ1462" i="48"/>
  <c r="AX1869" i="48"/>
  <c r="AY1869" i="48"/>
  <c r="AU1869" i="48"/>
  <c r="BK1869" i="48"/>
  <c r="AW1869" i="48"/>
  <c r="AV1869" i="48"/>
  <c r="BA1869" i="48"/>
  <c r="AZ1869" i="48"/>
  <c r="BJ1664" i="48"/>
  <c r="BD1664" i="48"/>
  <c r="AY1154" i="48"/>
  <c r="AW1154" i="48"/>
  <c r="AZ1154" i="48"/>
  <c r="AU1154" i="48"/>
  <c r="AV1154" i="48"/>
  <c r="AX1154" i="48"/>
  <c r="BK1154" i="48"/>
  <c r="BA1154" i="48"/>
  <c r="BA838" i="48"/>
  <c r="AX838" i="48"/>
  <c r="AY838" i="48"/>
  <c r="AZ838" i="48"/>
  <c r="AU838" i="48"/>
  <c r="AV838" i="48"/>
  <c r="AW838" i="48"/>
  <c r="BK838" i="48"/>
  <c r="AX736" i="48"/>
  <c r="AU736" i="48"/>
  <c r="AP736" i="48" s="1"/>
  <c r="AZ736" i="48"/>
  <c r="BK736" i="48"/>
  <c r="AY736" i="48"/>
  <c r="AV736" i="48"/>
  <c r="AW736" i="48"/>
  <c r="BA736" i="48"/>
  <c r="BJ1236" i="48"/>
  <c r="BD1236" i="48"/>
  <c r="BA1771" i="48"/>
  <c r="BK1771" i="48"/>
  <c r="AU1771" i="48"/>
  <c r="AY1771" i="48"/>
  <c r="AX1771" i="48"/>
  <c r="AV1771" i="48"/>
  <c r="AZ1771" i="48"/>
  <c r="AW1771" i="48"/>
  <c r="BJ423" i="48"/>
  <c r="BD423" i="48"/>
  <c r="AX114" i="48"/>
  <c r="AV114" i="48"/>
  <c r="BK114" i="48"/>
  <c r="AY114" i="48"/>
  <c r="AU114" i="48"/>
  <c r="AO114" i="48" s="1"/>
  <c r="AP114" i="48" s="1"/>
  <c r="AZ114" i="48"/>
  <c r="AW114" i="48"/>
  <c r="BA452" i="48"/>
  <c r="AX452" i="48"/>
  <c r="BK452" i="48"/>
  <c r="AU452" i="48"/>
  <c r="AN452" i="48" s="1"/>
  <c r="AY452" i="48"/>
  <c r="AW452" i="48"/>
  <c r="AV452" i="48"/>
  <c r="AZ452" i="48"/>
  <c r="BD548" i="48"/>
  <c r="BJ548" i="48"/>
  <c r="BA300" i="48"/>
  <c r="AX300" i="48"/>
  <c r="BK300" i="48"/>
  <c r="AU300" i="48"/>
  <c r="AP300" i="48" s="1"/>
  <c r="AY300" i="48"/>
  <c r="AV300" i="48"/>
  <c r="AZ300" i="48"/>
  <c r="AW300" i="48"/>
  <c r="BD536" i="48"/>
  <c r="BJ536" i="48"/>
  <c r="BA324" i="48"/>
  <c r="AX324" i="48"/>
  <c r="BK324" i="48"/>
  <c r="AU324" i="48"/>
  <c r="AY324" i="48"/>
  <c r="AW324" i="48"/>
  <c r="AV324" i="48"/>
  <c r="AZ324" i="48"/>
  <c r="BD469" i="48"/>
  <c r="BJ469" i="48"/>
  <c r="AY130" i="48"/>
  <c r="AW130" i="48"/>
  <c r="AU130" i="48"/>
  <c r="AX130" i="48"/>
  <c r="AV130" i="48"/>
  <c r="BK130" i="48"/>
  <c r="AZ130" i="48"/>
  <c r="BA553" i="48"/>
  <c r="AW553" i="48"/>
  <c r="AY553" i="48"/>
  <c r="AZ553" i="48"/>
  <c r="AU553" i="48"/>
  <c r="AV553" i="48"/>
  <c r="AX553" i="48"/>
  <c r="BK553" i="48"/>
  <c r="AY220" i="48"/>
  <c r="AX220" i="48"/>
  <c r="BK220" i="48"/>
  <c r="AU220" i="48"/>
  <c r="AV220" i="48"/>
  <c r="AZ220" i="48"/>
  <c r="AW220" i="48"/>
  <c r="BJ359" i="48"/>
  <c r="BD359" i="48"/>
  <c r="BA403" i="48"/>
  <c r="AX403" i="48"/>
  <c r="AV403" i="48"/>
  <c r="BK403" i="48"/>
  <c r="AZ403" i="48"/>
  <c r="AU403" i="48"/>
  <c r="AM403" i="48" s="1"/>
  <c r="AY403" i="48"/>
  <c r="AW403" i="48"/>
  <c r="BJ531" i="48"/>
  <c r="BD531" i="48"/>
  <c r="BJ459" i="48"/>
  <c r="BD459" i="48"/>
  <c r="BD513" i="48"/>
  <c r="BJ513" i="48"/>
  <c r="BD328" i="48"/>
  <c r="BJ328" i="48"/>
  <c r="BA488" i="48"/>
  <c r="BK488" i="48"/>
  <c r="AU488" i="48"/>
  <c r="AY488" i="48"/>
  <c r="AX488" i="48"/>
  <c r="AV488" i="48"/>
  <c r="AZ488" i="48"/>
  <c r="AW488" i="48"/>
  <c r="BJ383" i="48"/>
  <c r="BD383" i="48"/>
  <c r="BA383" i="48"/>
  <c r="AX383" i="48"/>
  <c r="AV383" i="48"/>
  <c r="AZ383" i="48"/>
  <c r="AU383" i="48"/>
  <c r="AM383" i="48" s="1"/>
  <c r="BK383" i="48"/>
  <c r="AY383" i="48"/>
  <c r="AW383" i="48"/>
  <c r="BD477" i="48"/>
  <c r="BJ477" i="48"/>
  <c r="BK219" i="48"/>
  <c r="AY219" i="48"/>
  <c r="AX219" i="48"/>
  <c r="AV219" i="48"/>
  <c r="AZ219" i="48"/>
  <c r="AU219" i="48"/>
  <c r="AW219" i="48"/>
  <c r="BA515" i="48"/>
  <c r="AY515" i="48"/>
  <c r="AX515" i="48"/>
  <c r="AV515" i="48"/>
  <c r="BK515" i="48"/>
  <c r="AZ515" i="48"/>
  <c r="AU515" i="48"/>
  <c r="AW515" i="48"/>
  <c r="BA436" i="48"/>
  <c r="AX436" i="48"/>
  <c r="BK436" i="48"/>
  <c r="AU436" i="48"/>
  <c r="AY436" i="48"/>
  <c r="AW436" i="48"/>
  <c r="AV436" i="48"/>
  <c r="AZ436" i="48"/>
  <c r="BD348" i="48"/>
  <c r="BJ348" i="48"/>
  <c r="BJ378" i="48"/>
  <c r="BD378" i="48"/>
  <c r="AX200" i="48"/>
  <c r="BK200" i="48"/>
  <c r="AU200" i="48"/>
  <c r="AY200" i="48"/>
  <c r="AV200" i="48"/>
  <c r="AZ200" i="48"/>
  <c r="AW200" i="48"/>
  <c r="BD973" i="48"/>
  <c r="BJ973" i="48"/>
  <c r="BD1507" i="48"/>
  <c r="BJ1507" i="48"/>
  <c r="BA1823" i="48"/>
  <c r="BK1823" i="48"/>
  <c r="AY1823" i="48"/>
  <c r="AX1823" i="48"/>
  <c r="AU1823" i="48"/>
  <c r="AK1823" i="48" s="1"/>
  <c r="AZ1823" i="48"/>
  <c r="AV1823" i="48"/>
  <c r="AW1823" i="48"/>
  <c r="AZ966" i="48"/>
  <c r="AU966" i="48"/>
  <c r="AV966" i="48"/>
  <c r="AX966" i="48"/>
  <c r="BK966" i="48"/>
  <c r="BA966" i="48"/>
  <c r="AY966" i="48"/>
  <c r="AW966" i="48"/>
  <c r="BA965" i="48"/>
  <c r="BK965" i="48"/>
  <c r="AX965" i="48"/>
  <c r="AU965" i="48"/>
  <c r="AK965" i="48" s="1"/>
  <c r="AY965" i="48"/>
  <c r="AV965" i="48"/>
  <c r="AZ965" i="48"/>
  <c r="AW965" i="48"/>
  <c r="BK874" i="48"/>
  <c r="AW874" i="48"/>
  <c r="AY874" i="48"/>
  <c r="AZ874" i="48"/>
  <c r="AU874" i="48"/>
  <c r="AK874" i="48" s="1"/>
  <c r="BA874" i="48"/>
  <c r="AV874" i="48"/>
  <c r="AX874" i="48"/>
  <c r="BJ1832" i="48"/>
  <c r="BD1832" i="48"/>
  <c r="BA2016" i="48"/>
  <c r="AV2016" i="48"/>
  <c r="AZ2016" i="48"/>
  <c r="AX2016" i="48"/>
  <c r="BK2016" i="48"/>
  <c r="AU2016" i="48"/>
  <c r="AY2016" i="48"/>
  <c r="AW2016" i="48"/>
  <c r="BA1096" i="48"/>
  <c r="BK1096" i="48"/>
  <c r="AZ1096" i="48"/>
  <c r="AU1096" i="48"/>
  <c r="AM1096" i="48" s="1"/>
  <c r="AY1096" i="48"/>
  <c r="AX1096" i="48"/>
  <c r="AV1096" i="48"/>
  <c r="AW1096" i="48"/>
  <c r="BJ1083" i="48"/>
  <c r="BD1083" i="48"/>
  <c r="BK1987" i="48"/>
  <c r="AZ1987" i="48"/>
  <c r="AV1987" i="48"/>
  <c r="AX1987" i="48"/>
  <c r="AU1987" i="48"/>
  <c r="AW1987" i="48"/>
  <c r="AY1987" i="48"/>
  <c r="BA1987" i="48"/>
  <c r="BD1673" i="48"/>
  <c r="BJ1673" i="48"/>
  <c r="BA1132" i="48"/>
  <c r="AZ1132" i="48"/>
  <c r="AU1132" i="48"/>
  <c r="BK1132" i="48"/>
  <c r="AY1132" i="48"/>
  <c r="AX1132" i="48"/>
  <c r="AV1132" i="48"/>
  <c r="AW1132" i="48"/>
  <c r="BJ1877" i="48"/>
  <c r="BD1877" i="48"/>
  <c r="BJ1226" i="48"/>
  <c r="BD1226" i="48"/>
  <c r="BJ1509" i="48"/>
  <c r="BD1509" i="48"/>
  <c r="BJ1662" i="48"/>
  <c r="BD1662" i="48"/>
  <c r="BD1029" i="48"/>
  <c r="BJ1029" i="48"/>
  <c r="AX662" i="48"/>
  <c r="AW662" i="48"/>
  <c r="BK662" i="48"/>
  <c r="AY662" i="48"/>
  <c r="AZ662" i="48"/>
  <c r="AU662" i="48"/>
  <c r="AV662" i="48"/>
  <c r="BA662" i="48"/>
  <c r="BJ1135" i="48"/>
  <c r="BD1135" i="48"/>
  <c r="BK2003" i="48"/>
  <c r="AZ2003" i="48"/>
  <c r="AV2003" i="48"/>
  <c r="AX2003" i="48"/>
  <c r="AU2003" i="48"/>
  <c r="AW2003" i="48"/>
  <c r="AY2003" i="48"/>
  <c r="BA2003" i="48"/>
  <c r="BJ1036" i="48"/>
  <c r="BD1036" i="48"/>
  <c r="BD625" i="48"/>
  <c r="BJ625" i="48"/>
  <c r="AV1777" i="48"/>
  <c r="AX1777" i="48"/>
  <c r="BK1777" i="48"/>
  <c r="BA1777" i="48"/>
  <c r="AY1777" i="48"/>
  <c r="AW1777" i="48"/>
  <c r="AZ1777" i="48"/>
  <c r="AU1777" i="48"/>
  <c r="AL1777" i="48" s="1"/>
  <c r="AX622" i="48"/>
  <c r="AW622" i="48"/>
  <c r="AZ622" i="48"/>
  <c r="AU622" i="48"/>
  <c r="AV622" i="48"/>
  <c r="BA622" i="48"/>
  <c r="BK622" i="48"/>
  <c r="AY622" i="48"/>
  <c r="BA921" i="48"/>
  <c r="AY921" i="48"/>
  <c r="AX921" i="48"/>
  <c r="BK921" i="48"/>
  <c r="AU921" i="48"/>
  <c r="AW921" i="48"/>
  <c r="AV921" i="48"/>
  <c r="AZ921" i="48"/>
  <c r="BJ1628" i="48"/>
  <c r="BD1628" i="48"/>
  <c r="BA885" i="48"/>
  <c r="BK885" i="48"/>
  <c r="AX885" i="48"/>
  <c r="AU885" i="48"/>
  <c r="AP885" i="48" s="1"/>
  <c r="AY885" i="48"/>
  <c r="AV885" i="48"/>
  <c r="AZ885" i="48"/>
  <c r="AW885" i="48"/>
  <c r="BD1952" i="48"/>
  <c r="BJ1952" i="48"/>
  <c r="BJ764" i="48"/>
  <c r="BD764" i="48"/>
  <c r="BJ768" i="48"/>
  <c r="BD768" i="48"/>
  <c r="AX830" i="48"/>
  <c r="AW830" i="48"/>
  <c r="BK830" i="48"/>
  <c r="AY830" i="48"/>
  <c r="AZ830" i="48"/>
  <c r="AU830" i="48"/>
  <c r="AN830" i="48" s="1"/>
  <c r="AV830" i="48"/>
  <c r="BA830" i="48"/>
  <c r="BJ1324" i="48"/>
  <c r="BD1324" i="48"/>
  <c r="BA1113" i="48"/>
  <c r="AY1113" i="48"/>
  <c r="AX1113" i="48"/>
  <c r="BK1113" i="48"/>
  <c r="AU1113" i="48"/>
  <c r="AW1113" i="48"/>
  <c r="AV1113" i="48"/>
  <c r="AZ1113" i="48"/>
  <c r="BJ1000" i="48"/>
  <c r="BD1000" i="48"/>
  <c r="BA645" i="48"/>
  <c r="AZ645" i="48"/>
  <c r="AU645" i="48"/>
  <c r="AY645" i="48"/>
  <c r="BK645" i="48"/>
  <c r="AX645" i="48"/>
  <c r="AV645" i="48"/>
  <c r="AW645" i="48"/>
  <c r="BJ1947" i="48"/>
  <c r="BD1947" i="48"/>
  <c r="BA1073" i="48"/>
  <c r="AU1073" i="48"/>
  <c r="AY1073" i="48"/>
  <c r="BK1073" i="48"/>
  <c r="AX1073" i="48"/>
  <c r="AV1073" i="48"/>
  <c r="AZ1073" i="48"/>
  <c r="AW1073" i="48"/>
  <c r="BJ1551" i="48"/>
  <c r="BD1551" i="48"/>
  <c r="BJ1677" i="48"/>
  <c r="BD1677" i="48"/>
  <c r="BJ1346" i="48"/>
  <c r="BD1346" i="48"/>
  <c r="BJ1136" i="48"/>
  <c r="BD1136" i="48"/>
  <c r="BJ1675" i="48"/>
  <c r="BD1675" i="48"/>
  <c r="BA1446" i="48"/>
  <c r="AX1446" i="48"/>
  <c r="BK1446" i="48"/>
  <c r="AU1446" i="48"/>
  <c r="AY1446" i="48"/>
  <c r="AV1446" i="48"/>
  <c r="AZ1446" i="48"/>
  <c r="AW1446" i="48"/>
  <c r="BJ1863" i="48"/>
  <c r="BD1863" i="48"/>
  <c r="BA1669" i="48"/>
  <c r="AZ1669" i="48"/>
  <c r="AX1669" i="48"/>
  <c r="AV1669" i="48"/>
  <c r="BK1669" i="48"/>
  <c r="AU1669" i="48"/>
  <c r="AY1669" i="48"/>
  <c r="AW1669" i="48"/>
  <c r="BJ1940" i="48"/>
  <c r="BD1940" i="48"/>
  <c r="BA1105" i="48"/>
  <c r="AU1105" i="48"/>
  <c r="AL1105" i="48" s="1"/>
  <c r="AY1105" i="48"/>
  <c r="AX1105" i="48"/>
  <c r="BK1105" i="48"/>
  <c r="AV1105" i="48"/>
  <c r="AZ1105" i="48"/>
  <c r="AW1105" i="48"/>
  <c r="BD802" i="48"/>
  <c r="BJ802" i="48"/>
  <c r="AZ1238" i="48"/>
  <c r="AU1238" i="48"/>
  <c r="AN1238" i="48" s="1"/>
  <c r="AV1238" i="48"/>
  <c r="AX1238" i="48"/>
  <c r="BK1238" i="48"/>
  <c r="BA1238" i="48"/>
  <c r="AY1238" i="48"/>
  <c r="AW1238" i="48"/>
  <c r="BA961" i="48"/>
  <c r="AY961" i="48"/>
  <c r="AX961" i="48"/>
  <c r="BK961" i="48"/>
  <c r="AU961" i="48"/>
  <c r="AV961" i="48"/>
  <c r="AW961" i="48"/>
  <c r="AZ961" i="48"/>
  <c r="BJ1422" i="48"/>
  <c r="BD1422" i="48"/>
  <c r="BJ1452" i="48"/>
  <c r="BD1452" i="48"/>
  <c r="BA2048" i="48"/>
  <c r="AX2048" i="48"/>
  <c r="AU2048" i="48"/>
  <c r="AY2048" i="48"/>
  <c r="BK2048" i="48"/>
  <c r="AV2048" i="48"/>
  <c r="AZ2048" i="48"/>
  <c r="AW2048" i="48"/>
  <c r="BJ1778" i="48"/>
  <c r="BD1778" i="48"/>
  <c r="BD726" i="48"/>
  <c r="BJ726" i="48"/>
  <c r="BJ1828" i="48"/>
  <c r="BD1828" i="48"/>
  <c r="BA829" i="48"/>
  <c r="AV829" i="48"/>
  <c r="AZ829" i="48"/>
  <c r="AU829" i="48"/>
  <c r="BK829" i="48"/>
  <c r="AY829" i="48"/>
  <c r="AX829" i="48"/>
  <c r="AW829" i="48"/>
  <c r="BJ1738" i="48"/>
  <c r="BD1738" i="48"/>
  <c r="BK1566" i="48"/>
  <c r="BA1566" i="48"/>
  <c r="AY1566" i="48"/>
  <c r="AW1566" i="48"/>
  <c r="AZ1566" i="48"/>
  <c r="AU1566" i="48"/>
  <c r="AP1566" i="48" s="1"/>
  <c r="AV1566" i="48"/>
  <c r="AX1566" i="48"/>
  <c r="BJ1951" i="48"/>
  <c r="BD1951" i="48"/>
  <c r="BD1353" i="48"/>
  <c r="BJ1353" i="48"/>
  <c r="BJ1543" i="48"/>
  <c r="BD1543" i="48"/>
  <c r="BA929" i="48"/>
  <c r="AX929" i="48"/>
  <c r="BK929" i="48"/>
  <c r="AU929" i="48"/>
  <c r="AY929" i="48"/>
  <c r="AV929" i="48"/>
  <c r="AW929" i="48"/>
  <c r="AZ929" i="48"/>
  <c r="BD1221" i="48"/>
  <c r="BJ1221" i="48"/>
  <c r="AX1786" i="48"/>
  <c r="BK1786" i="48"/>
  <c r="AY1786" i="48"/>
  <c r="AV1786" i="48"/>
  <c r="AZ1786" i="48"/>
  <c r="AU1786" i="48"/>
  <c r="AW1786" i="48"/>
  <c r="BA1786" i="48"/>
  <c r="BD1114" i="48"/>
  <c r="BJ1114" i="48"/>
  <c r="BJ1469" i="48"/>
  <c r="BD1469" i="48"/>
  <c r="BA1469" i="48"/>
  <c r="AX1469" i="48"/>
  <c r="AV1469" i="48"/>
  <c r="AZ1469" i="48"/>
  <c r="AU1469" i="48"/>
  <c r="BK1469" i="48"/>
  <c r="AY1469" i="48"/>
  <c r="AW1469" i="48"/>
  <c r="BA2045" i="48"/>
  <c r="AW2045" i="48"/>
  <c r="AV2045" i="48"/>
  <c r="AX2045" i="48"/>
  <c r="BK2045" i="48"/>
  <c r="AZ2045" i="48"/>
  <c r="AY2045" i="48"/>
  <c r="AU2045" i="48"/>
  <c r="AX1352" i="48"/>
  <c r="BK1352" i="48"/>
  <c r="AY1352" i="48"/>
  <c r="AU1352" i="48"/>
  <c r="AZ1352" i="48"/>
  <c r="BA1352" i="48"/>
  <c r="AV1352" i="48"/>
  <c r="AW1352" i="48"/>
  <c r="BK1701" i="48"/>
  <c r="AV1701" i="48"/>
  <c r="AZ1701" i="48"/>
  <c r="AY1701" i="48"/>
  <c r="AX1701" i="48"/>
  <c r="AW1701" i="48"/>
  <c r="BA1701" i="48"/>
  <c r="AU1701" i="48"/>
  <c r="AN1701" i="48" s="1"/>
  <c r="BJ1120" i="48"/>
  <c r="BD1120" i="48"/>
  <c r="BA1120" i="48"/>
  <c r="AX1120" i="48"/>
  <c r="AV1120" i="48"/>
  <c r="AZ1120" i="48"/>
  <c r="AU1120" i="48"/>
  <c r="BK1120" i="48"/>
  <c r="AY1120" i="48"/>
  <c r="AW1120" i="48"/>
  <c r="BA1698" i="48"/>
  <c r="BK1698" i="48"/>
  <c r="AY1698" i="48"/>
  <c r="AX1698" i="48"/>
  <c r="AZ1698" i="48"/>
  <c r="AV1698" i="48"/>
  <c r="AU1698" i="48"/>
  <c r="AW1698" i="48"/>
  <c r="BJ1311" i="48"/>
  <c r="BD1311" i="48"/>
  <c r="BJ1702" i="48"/>
  <c r="BD1702" i="48"/>
  <c r="BD609" i="48"/>
  <c r="BJ609" i="48"/>
  <c r="BA1219" i="48"/>
  <c r="BK1219" i="48"/>
  <c r="AY1219" i="48"/>
  <c r="AX1219" i="48"/>
  <c r="AV1219" i="48"/>
  <c r="AU1219" i="48"/>
  <c r="AZ1219" i="48"/>
  <c r="AW1219" i="48"/>
  <c r="BD1767" i="48"/>
  <c r="BJ1767" i="48"/>
  <c r="BJ1299" i="48"/>
  <c r="BD1299" i="48"/>
  <c r="BD1005" i="48"/>
  <c r="BJ1005" i="48"/>
  <c r="BJ1879" i="48"/>
  <c r="BD1879" i="48"/>
  <c r="BD850" i="48"/>
  <c r="BJ850" i="48"/>
  <c r="BJ1742" i="48"/>
  <c r="BD1742" i="48"/>
  <c r="BA581" i="48"/>
  <c r="AX581" i="48"/>
  <c r="AV581" i="48"/>
  <c r="BK581" i="48"/>
  <c r="AZ581" i="48"/>
  <c r="AU581" i="48"/>
  <c r="AY581" i="48"/>
  <c r="AW581" i="48"/>
  <c r="AW1488" i="48"/>
  <c r="BA1488" i="48"/>
  <c r="AY1488" i="48"/>
  <c r="AZ1488" i="48"/>
  <c r="AU1488" i="48"/>
  <c r="AV1488" i="48"/>
  <c r="AX1488" i="48"/>
  <c r="BK1488" i="48"/>
  <c r="BA1894" i="48"/>
  <c r="AX1894" i="48"/>
  <c r="BK1894" i="48"/>
  <c r="AU1894" i="48"/>
  <c r="AO1894" i="48" s="1"/>
  <c r="AV1894" i="48"/>
  <c r="AW1894" i="48"/>
  <c r="AY1894" i="48"/>
  <c r="AZ1894" i="48"/>
  <c r="BD1383" i="48"/>
  <c r="BJ1383" i="48"/>
  <c r="BA867" i="48"/>
  <c r="AZ867" i="48"/>
  <c r="BK867" i="48"/>
  <c r="AW867" i="48"/>
  <c r="AY867" i="48"/>
  <c r="AV867" i="48"/>
  <c r="AU867" i="48"/>
  <c r="AX867" i="48"/>
  <c r="BJ1302" i="48"/>
  <c r="BD1302" i="48"/>
  <c r="AX1320" i="48"/>
  <c r="AY1320" i="48"/>
  <c r="AU1320" i="48"/>
  <c r="BK1320" i="48"/>
  <c r="AW1320" i="48"/>
  <c r="AV1320" i="48"/>
  <c r="BA1320" i="48"/>
  <c r="AZ1320" i="48"/>
  <c r="BA1072" i="48"/>
  <c r="AZ1072" i="48"/>
  <c r="AU1072" i="48"/>
  <c r="AK1072" i="48" s="1"/>
  <c r="BK1072" i="48"/>
  <c r="AY1072" i="48"/>
  <c r="AX1072" i="48"/>
  <c r="AV1072" i="48"/>
  <c r="AW1072" i="48"/>
  <c r="BA1637" i="48"/>
  <c r="AX1637" i="48"/>
  <c r="AY1637" i="48"/>
  <c r="AV1637" i="48"/>
  <c r="BK1637" i="48"/>
  <c r="AZ1637" i="48"/>
  <c r="AU1637" i="48"/>
  <c r="AW1637" i="48"/>
  <c r="BJ595" i="48"/>
  <c r="BD595" i="48"/>
  <c r="AW595" i="48"/>
  <c r="AY595" i="48"/>
  <c r="AU595" i="48"/>
  <c r="AX595" i="48"/>
  <c r="AV595" i="48"/>
  <c r="BK595" i="48"/>
  <c r="AZ595" i="48"/>
  <c r="BA595" i="48"/>
  <c r="BA1858" i="48"/>
  <c r="AX1858" i="48"/>
  <c r="AY1858" i="48"/>
  <c r="AV1858" i="48"/>
  <c r="BK1858" i="48"/>
  <c r="AZ1858" i="48"/>
  <c r="AW1858" i="48"/>
  <c r="AU1858" i="48"/>
  <c r="BD2008" i="48"/>
  <c r="BJ2008" i="48"/>
  <c r="BJ562" i="48"/>
  <c r="BD562" i="48"/>
  <c r="AX710" i="48"/>
  <c r="AW710" i="48"/>
  <c r="BK710" i="48"/>
  <c r="AY710" i="48"/>
  <c r="AZ710" i="48"/>
  <c r="AU710" i="48"/>
  <c r="AV710" i="48"/>
  <c r="BA710" i="48"/>
  <c r="BJ1831" i="48"/>
  <c r="BD1831" i="48"/>
  <c r="AZ1769" i="48"/>
  <c r="BK1769" i="48"/>
  <c r="AW1769" i="48"/>
  <c r="AY1769" i="48"/>
  <c r="AV1769" i="48"/>
  <c r="AU1769" i="48"/>
  <c r="BA1769" i="48"/>
  <c r="AX1769" i="48"/>
  <c r="AW1054" i="48"/>
  <c r="BA1054" i="48"/>
  <c r="BK1054" i="48"/>
  <c r="AY1054" i="48"/>
  <c r="AZ1054" i="48"/>
  <c r="AU1054" i="48"/>
  <c r="AV1054" i="48"/>
  <c r="AX1054" i="48"/>
  <c r="AY934" i="48"/>
  <c r="AW934" i="48"/>
  <c r="AZ934" i="48"/>
  <c r="AU934" i="48"/>
  <c r="AV934" i="48"/>
  <c r="AX934" i="48"/>
  <c r="BK934" i="48"/>
  <c r="BA934" i="48"/>
  <c r="BD1257" i="48"/>
  <c r="BJ1257" i="48"/>
  <c r="BJ1991" i="48"/>
  <c r="BD1991" i="48"/>
  <c r="BJ2051" i="48"/>
  <c r="BD2051" i="48"/>
  <c r="BJ1799" i="48"/>
  <c r="BD1799" i="48"/>
  <c r="BD950" i="48"/>
  <c r="BJ950" i="48"/>
  <c r="BJ655" i="48"/>
  <c r="BD655" i="48"/>
  <c r="BJ1016" i="48"/>
  <c r="BD1016" i="48"/>
  <c r="BA568" i="48"/>
  <c r="AY568" i="48"/>
  <c r="BK568" i="48"/>
  <c r="AX568" i="48"/>
  <c r="AU568" i="48"/>
  <c r="AZ568" i="48"/>
  <c r="AW568" i="48"/>
  <c r="AV568" i="48"/>
  <c r="AX2009" i="48"/>
  <c r="AW2009" i="48"/>
  <c r="AV2009" i="48"/>
  <c r="BA2009" i="48"/>
  <c r="BK2009" i="48"/>
  <c r="AY2009" i="48"/>
  <c r="AZ2009" i="48"/>
  <c r="AU2009" i="48"/>
  <c r="AX586" i="48"/>
  <c r="AV586" i="48"/>
  <c r="BA586" i="48"/>
  <c r="AW586" i="48"/>
  <c r="BK586" i="48"/>
  <c r="AY586" i="48"/>
  <c r="AZ586" i="48"/>
  <c r="AU586" i="48"/>
  <c r="AX1908" i="48"/>
  <c r="AU1908" i="48"/>
  <c r="AP1908" i="48" s="1"/>
  <c r="AZ1908" i="48"/>
  <c r="BK1908" i="48"/>
  <c r="AY1908" i="48"/>
  <c r="AV1908" i="48"/>
  <c r="AW1908" i="48"/>
  <c r="BA1908" i="48"/>
  <c r="BD1415" i="48"/>
  <c r="BJ1415" i="48"/>
  <c r="BJ592" i="48"/>
  <c r="BD592" i="48"/>
  <c r="AY1610" i="48"/>
  <c r="AW1610" i="48"/>
  <c r="AZ1610" i="48"/>
  <c r="AU1610" i="48"/>
  <c r="AV1610" i="48"/>
  <c r="AX1610" i="48"/>
  <c r="BK1610" i="48"/>
  <c r="BA1610" i="48"/>
  <c r="AW1538" i="48"/>
  <c r="BA1538" i="48"/>
  <c r="AX1538" i="48"/>
  <c r="BK1538" i="48"/>
  <c r="AZ1538" i="48"/>
  <c r="AY1538" i="48"/>
  <c r="AV1538" i="48"/>
  <c r="AU1538" i="48"/>
  <c r="BD1041" i="48"/>
  <c r="BJ1041" i="48"/>
  <c r="BJ1421" i="48"/>
  <c r="BD1421" i="48"/>
  <c r="BJ988" i="48"/>
  <c r="BD988" i="48"/>
  <c r="BA988" i="48"/>
  <c r="AX988" i="48"/>
  <c r="AV988" i="48"/>
  <c r="AZ988" i="48"/>
  <c r="AU988" i="48"/>
  <c r="AY988" i="48"/>
  <c r="BK988" i="48"/>
  <c r="AW988" i="48"/>
  <c r="BJ1227" i="48"/>
  <c r="BD1227" i="48"/>
  <c r="AX620" i="48"/>
  <c r="AU620" i="48"/>
  <c r="BK620" i="48"/>
  <c r="AZ620" i="48"/>
  <c r="AY620" i="48"/>
  <c r="AV620" i="48"/>
  <c r="AW620" i="48"/>
  <c r="BA620" i="48"/>
  <c r="BJ619" i="48"/>
  <c r="BD619" i="48"/>
  <c r="BJ819" i="48"/>
  <c r="BD819" i="48"/>
  <c r="AX1541" i="48"/>
  <c r="AV1541" i="48"/>
  <c r="BA1541" i="48"/>
  <c r="BK1541" i="48"/>
  <c r="AY1541" i="48"/>
  <c r="AW1541" i="48"/>
  <c r="AZ1541" i="48"/>
  <c r="AU1541" i="48"/>
  <c r="BJ1652" i="48"/>
  <c r="BD1652" i="48"/>
  <c r="BJ1364" i="48"/>
  <c r="BD1364" i="48"/>
  <c r="AW791" i="48"/>
  <c r="AV791" i="48"/>
  <c r="BA791" i="48"/>
  <c r="AY791" i="48"/>
  <c r="AU791" i="48"/>
  <c r="AM791" i="48" s="1"/>
  <c r="AX791" i="48"/>
  <c r="BK791" i="48"/>
  <c r="AZ791" i="48"/>
  <c r="BA859" i="48"/>
  <c r="AW859" i="48"/>
  <c r="BK859" i="48"/>
  <c r="AZ859" i="48"/>
  <c r="AY859" i="48"/>
  <c r="AU859" i="48"/>
  <c r="AL859" i="48" s="1"/>
  <c r="AX859" i="48"/>
  <c r="AV859" i="48"/>
  <c r="BA1899" i="48"/>
  <c r="AW1899" i="48"/>
  <c r="AY1899" i="48"/>
  <c r="AZ1899" i="48"/>
  <c r="AU1899" i="48"/>
  <c r="AV1899" i="48"/>
  <c r="AX1899" i="48"/>
  <c r="BK1899" i="48"/>
  <c r="BJ2055" i="48"/>
  <c r="BD2055" i="48"/>
  <c r="BD1365" i="48"/>
  <c r="BJ1365" i="48"/>
  <c r="BA1129" i="48"/>
  <c r="BK1129" i="48"/>
  <c r="AU1129" i="48"/>
  <c r="AY1129" i="48"/>
  <c r="AX1129" i="48"/>
  <c r="AW1129" i="48"/>
  <c r="AV1129" i="48"/>
  <c r="AZ1129" i="48"/>
  <c r="BA737" i="48"/>
  <c r="BK737" i="48"/>
  <c r="AV737" i="48"/>
  <c r="AZ737" i="48"/>
  <c r="AU737" i="48"/>
  <c r="AY737" i="48"/>
  <c r="AX737" i="48"/>
  <c r="AW737" i="48"/>
  <c r="BA1288" i="48"/>
  <c r="AY1288" i="48"/>
  <c r="AX1288" i="48"/>
  <c r="BK1288" i="48"/>
  <c r="AU1288" i="48"/>
  <c r="AM1288" i="48" s="1"/>
  <c r="AW1288" i="48"/>
  <c r="AV1288" i="48"/>
  <c r="AZ1288" i="48"/>
  <c r="BA1268" i="48"/>
  <c r="AY1268" i="48"/>
  <c r="AX1268" i="48"/>
  <c r="BK1268" i="48"/>
  <c r="AU1268" i="48"/>
  <c r="AZ1268" i="48"/>
  <c r="AW1268" i="48"/>
  <c r="AV1268" i="48"/>
  <c r="BK1051" i="48"/>
  <c r="AZ1051" i="48"/>
  <c r="AV1051" i="48"/>
  <c r="BA1051" i="48"/>
  <c r="AX1051" i="48"/>
  <c r="AU1051" i="48"/>
  <c r="AY1051" i="48"/>
  <c r="AW1051" i="48"/>
  <c r="BD1711" i="48"/>
  <c r="BJ1711" i="48"/>
  <c r="BJ1843" i="48"/>
  <c r="BD1843" i="48"/>
  <c r="BA1834" i="48"/>
  <c r="AX1834" i="48"/>
  <c r="AU1834" i="48"/>
  <c r="AY1834" i="48"/>
  <c r="AV1834" i="48"/>
  <c r="BK1834" i="48"/>
  <c r="AZ1834" i="48"/>
  <c r="AW1834" i="48"/>
  <c r="AX792" i="48"/>
  <c r="AU792" i="48"/>
  <c r="AZ792" i="48"/>
  <c r="BK792" i="48"/>
  <c r="AY792" i="48"/>
  <c r="AV792" i="48"/>
  <c r="BA792" i="48"/>
  <c r="AW792" i="48"/>
  <c r="BA1266" i="48"/>
  <c r="AW1266" i="48"/>
  <c r="AZ1266" i="48"/>
  <c r="AU1266" i="48"/>
  <c r="AV1266" i="48"/>
  <c r="AX1266" i="48"/>
  <c r="BK1266" i="48"/>
  <c r="AY1266" i="48"/>
  <c r="BA1458" i="48"/>
  <c r="AY1458" i="48"/>
  <c r="AX1458" i="48"/>
  <c r="BK1458" i="48"/>
  <c r="AU1458" i="48"/>
  <c r="AZ1458" i="48"/>
  <c r="AV1458" i="48"/>
  <c r="AW1458" i="48"/>
  <c r="BD1926" i="48"/>
  <c r="BJ1926" i="48"/>
  <c r="BA1622" i="48"/>
  <c r="AW1622" i="48"/>
  <c r="AZ1622" i="48"/>
  <c r="AU1622" i="48"/>
  <c r="AP1622" i="48" s="1"/>
  <c r="AV1622" i="48"/>
  <c r="AX1622" i="48"/>
  <c r="BK1622" i="48"/>
  <c r="AY1622" i="48"/>
  <c r="BJ1032" i="48"/>
  <c r="BD1032" i="48"/>
  <c r="BJ1416" i="48"/>
  <c r="BD1416" i="48"/>
  <c r="BD2034" i="48"/>
  <c r="BJ2034" i="48"/>
  <c r="AW1161" i="48"/>
  <c r="AY1161" i="48"/>
  <c r="BK1161" i="48"/>
  <c r="AU1161" i="48"/>
  <c r="BA1161" i="48"/>
  <c r="AZ1161" i="48"/>
  <c r="AV1161" i="48"/>
  <c r="AX1161" i="48"/>
  <c r="BA1477" i="48"/>
  <c r="BK1477" i="48"/>
  <c r="AZ1477" i="48"/>
  <c r="AU1477" i="48"/>
  <c r="AY1477" i="48"/>
  <c r="AX1477" i="48"/>
  <c r="AV1477" i="48"/>
  <c r="AW1477" i="48"/>
  <c r="AW1400" i="48"/>
  <c r="AV1400" i="48"/>
  <c r="BK1400" i="48"/>
  <c r="AZ1400" i="48"/>
  <c r="AY1400" i="48"/>
  <c r="AU1400" i="48"/>
  <c r="AM1400" i="48" s="1"/>
  <c r="AX1400" i="48"/>
  <c r="BA1400" i="48"/>
  <c r="BA1955" i="48"/>
  <c r="AY1955" i="48"/>
  <c r="AX1955" i="48"/>
  <c r="BK1955" i="48"/>
  <c r="AU1955" i="48"/>
  <c r="AV1955" i="48"/>
  <c r="AZ1955" i="48"/>
  <c r="AW1955" i="48"/>
  <c r="BA1636" i="48"/>
  <c r="AX1636" i="48"/>
  <c r="BK1636" i="48"/>
  <c r="AU1636" i="48"/>
  <c r="AY1636" i="48"/>
  <c r="AV1636" i="48"/>
  <c r="AZ1636" i="48"/>
  <c r="AW1636" i="48"/>
  <c r="BA1627" i="48"/>
  <c r="AZ1627" i="48"/>
  <c r="AU1627" i="48"/>
  <c r="BK1627" i="48"/>
  <c r="AY1627" i="48"/>
  <c r="AX1627" i="48"/>
  <c r="AV1627" i="48"/>
  <c r="AW1627" i="48"/>
  <c r="BA1377" i="48"/>
  <c r="AX1377" i="48"/>
  <c r="AV1377" i="48"/>
  <c r="AZ1377" i="48"/>
  <c r="BK1377" i="48"/>
  <c r="AU1377" i="48"/>
  <c r="AK1377" i="48" s="1"/>
  <c r="AY1377" i="48"/>
  <c r="AW1377" i="48"/>
  <c r="BD1739" i="48"/>
  <c r="BJ1739" i="48"/>
  <c r="BA1654" i="48"/>
  <c r="AW1654" i="48"/>
  <c r="AZ1654" i="48"/>
  <c r="AU1654" i="48"/>
  <c r="AN1654" i="48" s="1"/>
  <c r="AV1654" i="48"/>
  <c r="AX1654" i="48"/>
  <c r="BK1654" i="48"/>
  <c r="AY1654" i="48"/>
  <c r="AX900" i="48"/>
  <c r="AU900" i="48"/>
  <c r="AZ900" i="48"/>
  <c r="BK900" i="48"/>
  <c r="AY900" i="48"/>
  <c r="AV900" i="48"/>
  <c r="AW900" i="48"/>
  <c r="BA900" i="48"/>
  <c r="BD846" i="48"/>
  <c r="BJ846" i="48"/>
  <c r="AX1678" i="48"/>
  <c r="AU1678" i="48"/>
  <c r="AL1678" i="48" s="1"/>
  <c r="AZ1678" i="48"/>
  <c r="BK1678" i="48"/>
  <c r="AY1678" i="48"/>
  <c r="AV1678" i="48"/>
  <c r="AW1678" i="48"/>
  <c r="BA1678" i="48"/>
  <c r="BA1521" i="48"/>
  <c r="AU1521" i="48"/>
  <c r="AP1521" i="48" s="1"/>
  <c r="AY1521" i="48"/>
  <c r="AX1521" i="48"/>
  <c r="AV1521" i="48"/>
  <c r="AW1521" i="48"/>
  <c r="AZ1521" i="48"/>
  <c r="BK1521" i="48"/>
  <c r="BA1817" i="48"/>
  <c r="AW1817" i="48"/>
  <c r="AZ1817" i="48"/>
  <c r="AU1817" i="48"/>
  <c r="AV1817" i="48"/>
  <c r="AX1817" i="48"/>
  <c r="BK1817" i="48"/>
  <c r="AY1817" i="48"/>
  <c r="AX1873" i="48"/>
  <c r="BK1873" i="48"/>
  <c r="AY1873" i="48"/>
  <c r="AU1873" i="48"/>
  <c r="AV1873" i="48"/>
  <c r="AW1873" i="48"/>
  <c r="AZ1873" i="48"/>
  <c r="BA1873" i="48"/>
  <c r="BA1783" i="48"/>
  <c r="BK1783" i="48"/>
  <c r="AU1783" i="48"/>
  <c r="AP1783" i="48" s="1"/>
  <c r="AX1783" i="48"/>
  <c r="AY1783" i="48"/>
  <c r="AZ1783" i="48"/>
  <c r="AW1783" i="48"/>
  <c r="AV1783" i="48"/>
  <c r="AY1756" i="48"/>
  <c r="BA1756" i="48"/>
  <c r="AZ1756" i="48"/>
  <c r="AU1756" i="48"/>
  <c r="AP1756" i="48" s="1"/>
  <c r="AV1756" i="48"/>
  <c r="AX1756" i="48"/>
  <c r="BK1756" i="48"/>
  <c r="AW1756" i="48"/>
  <c r="BA1370" i="48"/>
  <c r="AW1370" i="48"/>
  <c r="AV1370" i="48"/>
  <c r="AX1370" i="48"/>
  <c r="BK1370" i="48"/>
  <c r="AY1370" i="48"/>
  <c r="AZ1370" i="48"/>
  <c r="AU1370" i="48"/>
  <c r="BA560" i="48"/>
  <c r="AX560" i="48"/>
  <c r="BK560" i="48"/>
  <c r="AU560" i="48"/>
  <c r="AY560" i="48"/>
  <c r="AZ560" i="48"/>
  <c r="AW560" i="48"/>
  <c r="AV560" i="48"/>
  <c r="BA1208" i="48"/>
  <c r="AY1208" i="48"/>
  <c r="AX1208" i="48"/>
  <c r="BK1208" i="48"/>
  <c r="AU1208" i="48"/>
  <c r="AW1208" i="48"/>
  <c r="AV1208" i="48"/>
  <c r="AZ1208" i="48"/>
  <c r="BA1796" i="48"/>
  <c r="AX1796" i="48"/>
  <c r="BK1796" i="48"/>
  <c r="AW1796" i="48"/>
  <c r="AU1796" i="48"/>
  <c r="AL1796" i="48" s="1"/>
  <c r="AV1796" i="48"/>
  <c r="AY1796" i="48"/>
  <c r="AZ1796" i="48"/>
  <c r="BJ607" i="48"/>
  <c r="BD607" i="48"/>
  <c r="BJ1595" i="48"/>
  <c r="BD1595" i="48"/>
  <c r="BJ1360" i="48"/>
  <c r="BD1360" i="48"/>
  <c r="AX1340" i="48"/>
  <c r="BK1340" i="48"/>
  <c r="AY1340" i="48"/>
  <c r="AU1340" i="48"/>
  <c r="AK1340" i="48" s="1"/>
  <c r="AZ1340" i="48"/>
  <c r="AW1340" i="48"/>
  <c r="AV1340" i="48"/>
  <c r="BA1340" i="48"/>
  <c r="BD1923" i="48"/>
  <c r="BJ1923" i="48"/>
  <c r="AZ1378" i="48"/>
  <c r="AU1378" i="48"/>
  <c r="AM1378" i="48" s="1"/>
  <c r="AV1378" i="48"/>
  <c r="AX1378" i="48"/>
  <c r="BK1378" i="48"/>
  <c r="BA1378" i="48"/>
  <c r="AY1378" i="48"/>
  <c r="AW1378" i="48"/>
  <c r="BJ1575" i="48"/>
  <c r="BD1575" i="48"/>
  <c r="BA1898" i="48"/>
  <c r="AZ1898" i="48"/>
  <c r="AX1898" i="48"/>
  <c r="AV1898" i="48"/>
  <c r="BK1898" i="48"/>
  <c r="AU1898" i="48"/>
  <c r="AY1898" i="48"/>
  <c r="AW1898" i="48"/>
  <c r="BK1670" i="48"/>
  <c r="BA1670" i="48"/>
  <c r="AY1670" i="48"/>
  <c r="AW1670" i="48"/>
  <c r="AZ1670" i="48"/>
  <c r="AU1670" i="48"/>
  <c r="AV1670" i="48"/>
  <c r="AX1670" i="48"/>
  <c r="BD565" i="48"/>
  <c r="BJ565" i="48"/>
  <c r="BD1197" i="48"/>
  <c r="BJ1197" i="48"/>
  <c r="BJ1290" i="48"/>
  <c r="BD1290" i="48"/>
  <c r="BD914" i="48"/>
  <c r="BJ914" i="48"/>
  <c r="AX1822" i="48"/>
  <c r="BK1822" i="48"/>
  <c r="AY1822" i="48"/>
  <c r="AV1822" i="48"/>
  <c r="AZ1822" i="48"/>
  <c r="AU1822" i="48"/>
  <c r="AW1822" i="48"/>
  <c r="BA1822" i="48"/>
  <c r="BJ975" i="48"/>
  <c r="BD975" i="48"/>
  <c r="AX1676" i="48"/>
  <c r="AY1676" i="48"/>
  <c r="AU1676" i="48"/>
  <c r="BK1676" i="48"/>
  <c r="AV1676" i="48"/>
  <c r="AW1676" i="48"/>
  <c r="AZ1676" i="48"/>
  <c r="BA1676" i="48"/>
  <c r="BD806" i="48"/>
  <c r="BJ806" i="48"/>
  <c r="BD833" i="48"/>
  <c r="BJ833" i="48"/>
  <c r="AW827" i="48"/>
  <c r="AU827" i="48"/>
  <c r="AN827" i="48" s="1"/>
  <c r="AX827" i="48"/>
  <c r="AV827" i="48"/>
  <c r="BK827" i="48"/>
  <c r="AZ827" i="48"/>
  <c r="AY827" i="48"/>
  <c r="BA827" i="48"/>
  <c r="BA1150" i="48"/>
  <c r="AV1150" i="48"/>
  <c r="AX1150" i="48"/>
  <c r="BK1150" i="48"/>
  <c r="AY1150" i="48"/>
  <c r="AZ1150" i="48"/>
  <c r="AU1150" i="48"/>
  <c r="AW1150" i="48"/>
  <c r="AW102" i="48"/>
  <c r="AY102" i="48"/>
  <c r="AU102" i="48"/>
  <c r="AX102" i="48"/>
  <c r="BK102" i="48"/>
  <c r="AZ102" i="48"/>
  <c r="AV102" i="48"/>
  <c r="BJ483" i="48"/>
  <c r="BD483" i="48"/>
  <c r="BJ430" i="48"/>
  <c r="BD430" i="48"/>
  <c r="BJ543" i="48"/>
  <c r="BD543" i="48"/>
  <c r="BA332" i="48"/>
  <c r="AY332" i="48"/>
  <c r="AX332" i="48"/>
  <c r="BK332" i="48"/>
  <c r="AU332" i="48"/>
  <c r="AV332" i="48"/>
  <c r="AZ332" i="48"/>
  <c r="AW332" i="48"/>
  <c r="BD325" i="48"/>
  <c r="BJ325" i="48"/>
  <c r="BD537" i="48"/>
  <c r="BJ537" i="48"/>
  <c r="BA363" i="48"/>
  <c r="BK363" i="48"/>
  <c r="AY363" i="48"/>
  <c r="AX363" i="48"/>
  <c r="AV363" i="48"/>
  <c r="AZ363" i="48"/>
  <c r="AU363" i="48"/>
  <c r="AW363" i="48"/>
  <c r="BA460" i="48"/>
  <c r="AY460" i="48"/>
  <c r="AX460" i="48"/>
  <c r="BK460" i="48"/>
  <c r="AU460" i="48"/>
  <c r="AV460" i="48"/>
  <c r="AZ460" i="48"/>
  <c r="AW460" i="48"/>
  <c r="BD440" i="48"/>
  <c r="BJ440" i="48"/>
  <c r="BJ399" i="48"/>
  <c r="BD399" i="48"/>
  <c r="BA399" i="48"/>
  <c r="AX399" i="48"/>
  <c r="AV399" i="48"/>
  <c r="AZ399" i="48"/>
  <c r="AU399" i="48"/>
  <c r="BK399" i="48"/>
  <c r="AY399" i="48"/>
  <c r="AW399" i="48"/>
  <c r="BD552" i="48"/>
  <c r="BJ552" i="48"/>
  <c r="BJ458" i="48"/>
  <c r="BD458" i="48"/>
  <c r="AY96" i="48"/>
  <c r="AX96" i="48"/>
  <c r="BK96" i="48"/>
  <c r="AU96" i="48"/>
  <c r="AZ96" i="48"/>
  <c r="AW96" i="48"/>
  <c r="AV96" i="48"/>
  <c r="BD313" i="48"/>
  <c r="BJ313" i="48"/>
  <c r="AW150" i="48"/>
  <c r="AU150" i="48"/>
  <c r="AX150" i="48"/>
  <c r="BK150" i="48"/>
  <c r="AZ150" i="48"/>
  <c r="AY150" i="48"/>
  <c r="AV150" i="48"/>
  <c r="BJ303" i="48"/>
  <c r="BD303" i="48"/>
  <c r="BA303" i="48"/>
  <c r="AX303" i="48"/>
  <c r="AV303" i="48"/>
  <c r="AZ303" i="48"/>
  <c r="AU303" i="48"/>
  <c r="BK303" i="48"/>
  <c r="AY303" i="48"/>
  <c r="AW303" i="48"/>
  <c r="AX445" i="48"/>
  <c r="AW445" i="48"/>
  <c r="AZ445" i="48"/>
  <c r="AU445" i="48"/>
  <c r="AV445" i="48"/>
  <c r="BA445" i="48"/>
  <c r="BK445" i="48"/>
  <c r="AY445" i="48"/>
  <c r="BD525" i="48"/>
  <c r="BJ525" i="48"/>
  <c r="AX212" i="48"/>
  <c r="BK212" i="48"/>
  <c r="AU212" i="48"/>
  <c r="AY212" i="48"/>
  <c r="AW212" i="48"/>
  <c r="AV212" i="48"/>
  <c r="AZ212" i="48"/>
  <c r="AW177" i="48"/>
  <c r="BK177" i="48"/>
  <c r="AY177" i="48"/>
  <c r="AX177" i="48"/>
  <c r="AZ177" i="48"/>
  <c r="AU177" i="48"/>
  <c r="AV177" i="48"/>
  <c r="AZ291" i="48"/>
  <c r="AU291" i="48"/>
  <c r="BK291" i="48"/>
  <c r="AY291" i="48"/>
  <c r="AX291" i="48"/>
  <c r="AV291" i="48"/>
  <c r="AW291" i="48"/>
  <c r="BA540" i="48"/>
  <c r="AY540" i="48"/>
  <c r="AX540" i="48"/>
  <c r="BK540" i="48"/>
  <c r="AU540" i="48"/>
  <c r="AW540" i="48"/>
  <c r="AV540" i="48"/>
  <c r="AZ540" i="48"/>
  <c r="BJ354" i="48"/>
  <c r="BD354" i="48"/>
  <c r="AU82" i="48"/>
  <c r="AV82" i="48"/>
  <c r="AZ82" i="48"/>
  <c r="AW82" i="48"/>
  <c r="AX82" i="48"/>
  <c r="BK82" i="48"/>
  <c r="AY82" i="48"/>
  <c r="BD485" i="48"/>
  <c r="BJ485" i="48"/>
  <c r="BA541" i="48"/>
  <c r="AZ541" i="48"/>
  <c r="AU541" i="48"/>
  <c r="AV541" i="48"/>
  <c r="AX541" i="48"/>
  <c r="BK541" i="48"/>
  <c r="AY541" i="48"/>
  <c r="AW541" i="48"/>
  <c r="BA386" i="48"/>
  <c r="AZ386" i="48"/>
  <c r="AY386" i="48"/>
  <c r="AV386" i="48"/>
  <c r="AU386" i="48"/>
  <c r="AW386" i="48"/>
  <c r="AX386" i="48"/>
  <c r="BK386" i="48"/>
  <c r="BA320" i="48"/>
  <c r="AY320" i="48"/>
  <c r="AX320" i="48"/>
  <c r="BK320" i="48"/>
  <c r="AU320" i="48"/>
  <c r="AZ320" i="48"/>
  <c r="AW320" i="48"/>
  <c r="AV320" i="48"/>
  <c r="AZ223" i="48"/>
  <c r="AU223" i="48"/>
  <c r="BK223" i="48"/>
  <c r="AY223" i="48"/>
  <c r="AX223" i="48"/>
  <c r="AV223" i="48"/>
  <c r="AW223" i="48"/>
  <c r="BA308" i="48"/>
  <c r="AX308" i="48"/>
  <c r="BK308" i="48"/>
  <c r="AU308" i="48"/>
  <c r="AY308" i="48"/>
  <c r="AW308" i="48"/>
  <c r="AV308" i="48"/>
  <c r="AZ308" i="48"/>
  <c r="AY264" i="48"/>
  <c r="AX264" i="48"/>
  <c r="BK264" i="48"/>
  <c r="AU264" i="48"/>
  <c r="AV264" i="48"/>
  <c r="AZ264" i="48"/>
  <c r="AW264" i="48"/>
  <c r="BD409" i="48"/>
  <c r="BJ409" i="48"/>
  <c r="BJ511" i="48"/>
  <c r="BD511" i="48"/>
  <c r="BK494" i="48"/>
  <c r="AZ494" i="48"/>
  <c r="AV494" i="48"/>
  <c r="AX494" i="48"/>
  <c r="AW494" i="48"/>
  <c r="BA494" i="48"/>
  <c r="AU494" i="48"/>
  <c r="AY494" i="48"/>
  <c r="BJ474" i="48"/>
  <c r="BD474" i="48"/>
  <c r="AW170" i="48"/>
  <c r="AV170" i="48"/>
  <c r="BK170" i="48"/>
  <c r="AZ170" i="48"/>
  <c r="AY170" i="48"/>
  <c r="AU170" i="48"/>
  <c r="AX170" i="48"/>
  <c r="BJ475" i="48"/>
  <c r="BD475" i="48"/>
  <c r="AX377" i="48"/>
  <c r="AW377" i="48"/>
  <c r="AZ377" i="48"/>
  <c r="AU377" i="48"/>
  <c r="AV377" i="48"/>
  <c r="BA377" i="48"/>
  <c r="BK377" i="48"/>
  <c r="AY377" i="48"/>
  <c r="BD468" i="48"/>
  <c r="BJ468" i="48"/>
  <c r="AW517" i="48"/>
  <c r="BA517" i="48"/>
  <c r="AX517" i="48"/>
  <c r="BK517" i="48"/>
  <c r="AZ517" i="48"/>
  <c r="AY517" i="48"/>
  <c r="AV517" i="48"/>
  <c r="AU517" i="48"/>
  <c r="AV353" i="48"/>
  <c r="BA353" i="48"/>
  <c r="AW353" i="48"/>
  <c r="AX353" i="48"/>
  <c r="BK353" i="48"/>
  <c r="AY353" i="48"/>
  <c r="AZ353" i="48"/>
  <c r="AU353" i="48"/>
  <c r="BD376" i="48"/>
  <c r="BJ376" i="48"/>
  <c r="AW218" i="48"/>
  <c r="AV218" i="48"/>
  <c r="AY218" i="48"/>
  <c r="AU218" i="48"/>
  <c r="AX218" i="48"/>
  <c r="BK218" i="48"/>
  <c r="AZ218" i="48"/>
  <c r="BK104" i="48"/>
  <c r="AU104" i="48"/>
  <c r="AY104" i="48"/>
  <c r="AX104" i="48"/>
  <c r="AV104" i="48"/>
  <c r="AZ104" i="48"/>
  <c r="AW104" i="48"/>
  <c r="BD401" i="48"/>
  <c r="BJ401" i="48"/>
  <c r="AW126" i="48"/>
  <c r="AV126" i="48"/>
  <c r="AX126" i="48"/>
  <c r="BK126" i="48"/>
  <c r="AZ126" i="48"/>
  <c r="AY126" i="48"/>
  <c r="AU126" i="48"/>
  <c r="BA400" i="48"/>
  <c r="AY400" i="48"/>
  <c r="AX400" i="48"/>
  <c r="BK400" i="48"/>
  <c r="AU400" i="48"/>
  <c r="AZ400" i="48"/>
  <c r="AW400" i="48"/>
  <c r="AV400" i="48"/>
  <c r="BJ310" i="48"/>
  <c r="BD310" i="48"/>
  <c r="AW310" i="48"/>
  <c r="AU310" i="48"/>
  <c r="AV310" i="48"/>
  <c r="AX310" i="48"/>
  <c r="BK310" i="48"/>
  <c r="AZ310" i="48"/>
  <c r="AY310" i="48"/>
  <c r="BA310" i="48"/>
  <c r="BD433" i="48"/>
  <c r="BJ433" i="48"/>
  <c r="BJ307" i="48"/>
  <c r="BD307" i="48"/>
  <c r="BK72" i="48"/>
  <c r="AU72" i="48"/>
  <c r="AY72" i="48"/>
  <c r="AX72" i="48"/>
  <c r="AV72" i="48"/>
  <c r="AZ72" i="48"/>
  <c r="AW72" i="48"/>
  <c r="BK546" i="48"/>
  <c r="AZ546" i="48"/>
  <c r="AV546" i="48"/>
  <c r="AX546" i="48"/>
  <c r="AU546" i="48"/>
  <c r="AW546" i="48"/>
  <c r="AY546" i="48"/>
  <c r="BA546" i="48"/>
  <c r="BA344" i="48"/>
  <c r="AY344" i="48"/>
  <c r="AX344" i="48"/>
  <c r="BK344" i="48"/>
  <c r="AU344" i="48"/>
  <c r="AV344" i="48"/>
  <c r="AZ344" i="48"/>
  <c r="AW344" i="48"/>
  <c r="AX105" i="48"/>
  <c r="AW105" i="48"/>
  <c r="AY105" i="48"/>
  <c r="AZ105" i="48"/>
  <c r="AU105" i="48"/>
  <c r="AV105" i="48"/>
  <c r="BK105" i="48"/>
  <c r="AV131" i="48"/>
  <c r="BK131" i="48"/>
  <c r="AZ131" i="48"/>
  <c r="AU131" i="48"/>
  <c r="AY131" i="48"/>
  <c r="AX131" i="48"/>
  <c r="AW131" i="48"/>
  <c r="BD384" i="48"/>
  <c r="BJ384" i="48"/>
  <c r="BD373" i="48"/>
  <c r="BJ373" i="48"/>
  <c r="AW86" i="48"/>
  <c r="AZ86" i="48"/>
  <c r="BK86" i="48"/>
  <c r="AY86" i="48"/>
  <c r="AV86" i="48"/>
  <c r="AU86" i="48"/>
  <c r="AX86" i="48"/>
  <c r="AX169" i="48"/>
  <c r="AW169" i="48"/>
  <c r="BK169" i="48"/>
  <c r="AY169" i="48"/>
  <c r="AZ169" i="48"/>
  <c r="AU169" i="48"/>
  <c r="AV169" i="48"/>
  <c r="BJ434" i="48"/>
  <c r="BD434" i="48"/>
  <c r="AY228" i="48"/>
  <c r="AX228" i="48"/>
  <c r="BK228" i="48"/>
  <c r="AU228" i="48"/>
  <c r="AW228" i="48"/>
  <c r="AV228" i="48"/>
  <c r="AZ228" i="48"/>
  <c r="BD317" i="48"/>
  <c r="BJ317" i="48"/>
  <c r="BK97" i="48"/>
  <c r="AY97" i="48"/>
  <c r="AW97" i="48"/>
  <c r="AX97" i="48"/>
  <c r="AZ97" i="48"/>
  <c r="AU97" i="48"/>
  <c r="AV97" i="48"/>
  <c r="BA315" i="48"/>
  <c r="BK315" i="48"/>
  <c r="AY315" i="48"/>
  <c r="AX315" i="48"/>
  <c r="AV315" i="48"/>
  <c r="AZ315" i="48"/>
  <c r="AU315" i="48"/>
  <c r="AW315" i="48"/>
  <c r="BJ699" i="48"/>
  <c r="BD699" i="48"/>
  <c r="BA1857" i="48"/>
  <c r="AX1857" i="48"/>
  <c r="BK1857" i="48"/>
  <c r="AU1857" i="48"/>
  <c r="AL1857" i="48" s="1"/>
  <c r="AY1857" i="48"/>
  <c r="AV1857" i="48"/>
  <c r="AZ1857" i="48"/>
  <c r="AW1857" i="48"/>
  <c r="BD694" i="48"/>
  <c r="BJ694" i="48"/>
  <c r="BJ1949" i="48"/>
  <c r="BD1949" i="48"/>
  <c r="BA1630" i="48"/>
  <c r="AW1630" i="48"/>
  <c r="AY1630" i="48"/>
  <c r="AZ1630" i="48"/>
  <c r="AU1630" i="48"/>
  <c r="AV1630" i="48"/>
  <c r="AX1630" i="48"/>
  <c r="BK1630" i="48"/>
  <c r="BA1820" i="48"/>
  <c r="AX1820" i="48"/>
  <c r="AV1820" i="48"/>
  <c r="AU1820" i="48"/>
  <c r="AZ1820" i="48"/>
  <c r="AY1820" i="48"/>
  <c r="AW1820" i="48"/>
  <c r="BK1820" i="48"/>
  <c r="BJ971" i="48"/>
  <c r="BD971" i="48"/>
  <c r="BK1071" i="48"/>
  <c r="AV1071" i="48"/>
  <c r="AZ1071" i="48"/>
  <c r="BA1071" i="48"/>
  <c r="AU1071" i="48"/>
  <c r="AX1071" i="48"/>
  <c r="AY1071" i="48"/>
  <c r="AW1071" i="48"/>
  <c r="BJ1454" i="48"/>
  <c r="BD1454" i="48"/>
  <c r="BJ1918" i="48"/>
  <c r="BD1918" i="48"/>
  <c r="BJ1092" i="48"/>
  <c r="BD1092" i="48"/>
  <c r="BJ799" i="48"/>
  <c r="BD799" i="48"/>
  <c r="BK959" i="48"/>
  <c r="AZ959" i="48"/>
  <c r="AV959" i="48"/>
  <c r="BA959" i="48"/>
  <c r="AU959" i="48"/>
  <c r="AN959" i="48" s="1"/>
  <c r="AY959" i="48"/>
  <c r="AX959" i="48"/>
  <c r="AW959" i="48"/>
  <c r="BJ1563" i="48"/>
  <c r="BD1563" i="48"/>
  <c r="BD1038" i="48"/>
  <c r="BJ1038" i="48"/>
  <c r="BJ1643" i="48"/>
  <c r="BD1643" i="48"/>
  <c r="BA1643" i="48"/>
  <c r="AX1643" i="48"/>
  <c r="AV1643" i="48"/>
  <c r="AZ1643" i="48"/>
  <c r="AU1643" i="48"/>
  <c r="BK1643" i="48"/>
  <c r="AY1643" i="48"/>
  <c r="AW1643" i="48"/>
  <c r="AX758" i="48"/>
  <c r="AW758" i="48"/>
  <c r="AY758" i="48"/>
  <c r="AZ758" i="48"/>
  <c r="AU758" i="48"/>
  <c r="AV758" i="48"/>
  <c r="BA758" i="48"/>
  <c r="BK758" i="48"/>
  <c r="BK1055" i="48"/>
  <c r="AZ1055" i="48"/>
  <c r="AV1055" i="48"/>
  <c r="BA1055" i="48"/>
  <c r="AU1055" i="48"/>
  <c r="AX1055" i="48"/>
  <c r="AY1055" i="48"/>
  <c r="AW1055" i="48"/>
  <c r="BJ1980" i="48"/>
  <c r="BD1980" i="48"/>
  <c r="BA873" i="48"/>
  <c r="BK873" i="48"/>
  <c r="AX873" i="48"/>
  <c r="AU873" i="48"/>
  <c r="AY873" i="48"/>
  <c r="AV873" i="48"/>
  <c r="AZ873" i="48"/>
  <c r="AW873" i="48"/>
  <c r="BJ1895" i="48"/>
  <c r="BD1895" i="48"/>
  <c r="AW687" i="48"/>
  <c r="BA687" i="48"/>
  <c r="AV687" i="48"/>
  <c r="AU687" i="48"/>
  <c r="AN687" i="48" s="1"/>
  <c r="AX687" i="48"/>
  <c r="BK687" i="48"/>
  <c r="AZ687" i="48"/>
  <c r="AY687" i="48"/>
  <c r="BJ1646" i="48"/>
  <c r="BD1646" i="48"/>
  <c r="BJ1251" i="48"/>
  <c r="BD1251" i="48"/>
  <c r="BD1569" i="48"/>
  <c r="BJ1569" i="48"/>
  <c r="AX612" i="48"/>
  <c r="AU612" i="48"/>
  <c r="BK612" i="48"/>
  <c r="AZ612" i="48"/>
  <c r="AY612" i="48"/>
  <c r="AV612" i="48"/>
  <c r="AW612" i="48"/>
  <c r="BA612" i="48"/>
  <c r="BJ1501" i="48"/>
  <c r="BD1501" i="48"/>
  <c r="BA1501" i="48"/>
  <c r="AX1501" i="48"/>
  <c r="AV1501" i="48"/>
  <c r="AZ1501" i="48"/>
  <c r="AU1501" i="48"/>
  <c r="AM1501" i="48" s="1"/>
  <c r="BK1501" i="48"/>
  <c r="AY1501" i="48"/>
  <c r="AW1501" i="48"/>
  <c r="BA713" i="48"/>
  <c r="AY713" i="48"/>
  <c r="AX713" i="48"/>
  <c r="AV713" i="48"/>
  <c r="BK713" i="48"/>
  <c r="AZ713" i="48"/>
  <c r="AU713" i="48"/>
  <c r="AW713" i="48"/>
  <c r="BD974" i="48"/>
  <c r="BJ974" i="48"/>
  <c r="BD1751" i="48"/>
  <c r="BJ1751" i="48"/>
  <c r="BD1345" i="48"/>
  <c r="BJ1345" i="48"/>
  <c r="AX794" i="48"/>
  <c r="AY794" i="48"/>
  <c r="AZ794" i="48"/>
  <c r="AU794" i="48"/>
  <c r="AW794" i="48"/>
  <c r="AV794" i="48"/>
  <c r="BA794" i="48"/>
  <c r="BK794" i="48"/>
  <c r="BJ1407" i="48"/>
  <c r="BD1407" i="48"/>
  <c r="AX672" i="48"/>
  <c r="AU672" i="48"/>
  <c r="AZ672" i="48"/>
  <c r="BK672" i="48"/>
  <c r="AY672" i="48"/>
  <c r="AV672" i="48"/>
  <c r="AW672" i="48"/>
  <c r="BA672" i="48"/>
  <c r="BA826" i="48"/>
  <c r="AX826" i="48"/>
  <c r="AV826" i="48"/>
  <c r="AW826" i="48"/>
  <c r="BK826" i="48"/>
  <c r="AY826" i="48"/>
  <c r="AZ826" i="48"/>
  <c r="AU826" i="48"/>
  <c r="BJ1254" i="48"/>
  <c r="BD1254" i="48"/>
  <c r="BA1807" i="48"/>
  <c r="AV1807" i="48"/>
  <c r="AZ1807" i="48"/>
  <c r="AU1807" i="48"/>
  <c r="AY1807" i="48"/>
  <c r="AX1807" i="48"/>
  <c r="BK1807" i="48"/>
  <c r="AW1807" i="48"/>
  <c r="BA1053" i="48"/>
  <c r="AX1053" i="48"/>
  <c r="BK1053" i="48"/>
  <c r="AU1053" i="48"/>
  <c r="AO1053" i="48" s="1"/>
  <c r="AY1053" i="48"/>
  <c r="AZ1053" i="48"/>
  <c r="AV1053" i="48"/>
  <c r="AW1053" i="48"/>
  <c r="BA1061" i="48"/>
  <c r="AY1061" i="48"/>
  <c r="BK1061" i="48"/>
  <c r="AX1061" i="48"/>
  <c r="AU1061" i="48"/>
  <c r="AV1061" i="48"/>
  <c r="AW1061" i="48"/>
  <c r="AZ1061" i="48"/>
  <c r="BD858" i="48"/>
  <c r="BJ858" i="48"/>
  <c r="AX770" i="48"/>
  <c r="AV770" i="48"/>
  <c r="BA770" i="48"/>
  <c r="BK770" i="48"/>
  <c r="AY770" i="48"/>
  <c r="AZ770" i="48"/>
  <c r="AU770" i="48"/>
  <c r="AW770" i="48"/>
  <c r="BD1621" i="48"/>
  <c r="BJ1621" i="48"/>
  <c r="BD1529" i="48"/>
  <c r="BJ1529" i="48"/>
  <c r="AX2039" i="48"/>
  <c r="AV2039" i="48"/>
  <c r="AU2039" i="48"/>
  <c r="AW2039" i="48"/>
  <c r="AY2039" i="48"/>
  <c r="BK2039" i="48"/>
  <c r="AZ2039" i="48"/>
  <c r="BA2039" i="48"/>
  <c r="AZ870" i="48"/>
  <c r="AU870" i="48"/>
  <c r="AV870" i="48"/>
  <c r="AX870" i="48"/>
  <c r="BK870" i="48"/>
  <c r="AW870" i="48"/>
  <c r="AY870" i="48"/>
  <c r="BA870" i="48"/>
  <c r="BA1276" i="48"/>
  <c r="AY1276" i="48"/>
  <c r="AX1276" i="48"/>
  <c r="BK1276" i="48"/>
  <c r="AU1276" i="48"/>
  <c r="AW1276" i="48"/>
  <c r="AV1276" i="48"/>
  <c r="AZ1276" i="48"/>
  <c r="BD1109" i="48"/>
  <c r="BJ1109" i="48"/>
  <c r="BJ1574" i="48"/>
  <c r="BD1574" i="48"/>
  <c r="BJ2029" i="48"/>
  <c r="BD2029" i="48"/>
  <c r="BJ1011" i="48"/>
  <c r="BD1011" i="48"/>
  <c r="BJ656" i="48"/>
  <c r="BD656" i="48"/>
  <c r="BJ1336" i="48"/>
  <c r="BD1336" i="48"/>
  <c r="AX2043" i="48"/>
  <c r="AZ2043" i="48"/>
  <c r="BA2043" i="48"/>
  <c r="AV2043" i="48"/>
  <c r="AU2043" i="48"/>
  <c r="AW2043" i="48"/>
  <c r="AY2043" i="48"/>
  <c r="BK2043" i="48"/>
  <c r="AV1182" i="48"/>
  <c r="AX1182" i="48"/>
  <c r="BK1182" i="48"/>
  <c r="BA1182" i="48"/>
  <c r="AY1182" i="48"/>
  <c r="AW1182" i="48"/>
  <c r="AZ1182" i="48"/>
  <c r="AU1182" i="48"/>
  <c r="AM1182" i="48" s="1"/>
  <c r="BA1028" i="48"/>
  <c r="AZ1028" i="48"/>
  <c r="AU1028" i="48"/>
  <c r="BK1028" i="48"/>
  <c r="AY1028" i="48"/>
  <c r="AX1028" i="48"/>
  <c r="AV1028" i="48"/>
  <c r="AW1028" i="48"/>
  <c r="BJ1044" i="48"/>
  <c r="BD1044" i="48"/>
  <c r="BJ1881" i="48"/>
  <c r="BD1881" i="48"/>
  <c r="BD882" i="48"/>
  <c r="BJ882" i="48"/>
  <c r="BA1240" i="48"/>
  <c r="AY1240" i="48"/>
  <c r="BK1240" i="48"/>
  <c r="AU1240" i="48"/>
  <c r="AM1240" i="48" s="1"/>
  <c r="AX1240" i="48"/>
  <c r="AW1240" i="48"/>
  <c r="AV1240" i="48"/>
  <c r="AZ1240" i="48"/>
  <c r="BJ1660" i="48"/>
  <c r="BD1660" i="48"/>
  <c r="BD2035" i="48"/>
  <c r="BJ2035" i="48"/>
  <c r="BJ1079" i="48"/>
  <c r="BD1079" i="48"/>
  <c r="BD1205" i="48"/>
  <c r="BJ1205" i="48"/>
  <c r="AX812" i="48"/>
  <c r="AU812" i="48"/>
  <c r="BK812" i="48"/>
  <c r="AZ812" i="48"/>
  <c r="AY812" i="48"/>
  <c r="AV812" i="48"/>
  <c r="AW812" i="48"/>
  <c r="BA812" i="48"/>
  <c r="BJ1263" i="48"/>
  <c r="BD1263" i="48"/>
  <c r="BA1263" i="48"/>
  <c r="AX1263" i="48"/>
  <c r="AV1263" i="48"/>
  <c r="AZ1263" i="48"/>
  <c r="AU1263" i="48"/>
  <c r="BK1263" i="48"/>
  <c r="AY1263" i="48"/>
  <c r="AW1263" i="48"/>
  <c r="BJ835" i="48"/>
  <c r="BD835" i="48"/>
  <c r="BJ992" i="48"/>
  <c r="BD992" i="48"/>
  <c r="BA1284" i="48"/>
  <c r="AY1284" i="48"/>
  <c r="AX1284" i="48"/>
  <c r="BK1284" i="48"/>
  <c r="AU1284" i="48"/>
  <c r="AL1284" i="48" s="1"/>
  <c r="AZ1284" i="48"/>
  <c r="AW1284" i="48"/>
  <c r="AV1284" i="48"/>
  <c r="AX1372" i="48"/>
  <c r="AY1372" i="48"/>
  <c r="AU1372" i="48"/>
  <c r="BK1372" i="48"/>
  <c r="AZ1372" i="48"/>
  <c r="AW1372" i="48"/>
  <c r="AV1372" i="48"/>
  <c r="BA1372" i="48"/>
  <c r="AX1770" i="48"/>
  <c r="AZ1770" i="48"/>
  <c r="BK1770" i="48"/>
  <c r="AY1770" i="48"/>
  <c r="AV1770" i="48"/>
  <c r="AU1770" i="48"/>
  <c r="AK1770" i="48" s="1"/>
  <c r="AW1770" i="48"/>
  <c r="BA1770" i="48"/>
  <c r="BD1545" i="48"/>
  <c r="BJ1545" i="48"/>
  <c r="BD1078" i="48"/>
  <c r="BJ1078" i="48"/>
  <c r="BD1744" i="48"/>
  <c r="BJ1744" i="48"/>
  <c r="BJ1052" i="48"/>
  <c r="BD1052" i="48"/>
  <c r="BJ1246" i="48"/>
  <c r="BD1246" i="48"/>
  <c r="BJ1264" i="48"/>
  <c r="BD1264" i="48"/>
  <c r="BD1699" i="48"/>
  <c r="BJ1699" i="48"/>
  <c r="BJ1611" i="48"/>
  <c r="BD1611" i="48"/>
  <c r="BA1611" i="48"/>
  <c r="AX1611" i="48"/>
  <c r="AV1611" i="48"/>
  <c r="AZ1611" i="48"/>
  <c r="AU1611" i="48"/>
  <c r="BK1611" i="48"/>
  <c r="AY1611" i="48"/>
  <c r="AW1611" i="48"/>
  <c r="AX604" i="48"/>
  <c r="BK604" i="48"/>
  <c r="AZ604" i="48"/>
  <c r="AY604" i="48"/>
  <c r="AV604" i="48"/>
  <c r="AU604" i="48"/>
  <c r="AK604" i="48" s="1"/>
  <c r="AW604" i="48"/>
  <c r="BA604" i="48"/>
  <c r="AZ1174" i="48"/>
  <c r="AU1174" i="48"/>
  <c r="AV1174" i="48"/>
  <c r="AX1174" i="48"/>
  <c r="BK1174" i="48"/>
  <c r="BA1174" i="48"/>
  <c r="AY1174" i="48"/>
  <c r="AW1174" i="48"/>
  <c r="BA1502" i="48"/>
  <c r="AY1502" i="48"/>
  <c r="AX1502" i="48"/>
  <c r="BK1502" i="48"/>
  <c r="AU1502" i="48"/>
  <c r="AO1502" i="48" s="1"/>
  <c r="AV1502" i="48"/>
  <c r="AW1502" i="48"/>
  <c r="AZ1502" i="48"/>
  <c r="BA1088" i="48"/>
  <c r="BK1088" i="48"/>
  <c r="AY1088" i="48"/>
  <c r="AX1088" i="48"/>
  <c r="AV1088" i="48"/>
  <c r="AZ1088" i="48"/>
  <c r="AU1088" i="48"/>
  <c r="AW1088" i="48"/>
  <c r="BA996" i="48"/>
  <c r="AV996" i="48"/>
  <c r="BK996" i="48"/>
  <c r="AZ996" i="48"/>
  <c r="AU996" i="48"/>
  <c r="AK996" i="48" s="1"/>
  <c r="AY996" i="48"/>
  <c r="AX996" i="48"/>
  <c r="AW996" i="48"/>
  <c r="BJ1188" i="48"/>
  <c r="BD1188" i="48"/>
  <c r="BA1856" i="48"/>
  <c r="AV1856" i="48"/>
  <c r="AZ1856" i="48"/>
  <c r="AU1856" i="48"/>
  <c r="AY1856" i="48"/>
  <c r="AX1856" i="48"/>
  <c r="BK1856" i="48"/>
  <c r="AW1856" i="48"/>
  <c r="BD1070" i="48"/>
  <c r="BJ1070" i="48"/>
  <c r="BD1808" i="48"/>
  <c r="BJ1808" i="48"/>
  <c r="AW1250" i="48"/>
  <c r="BA1250" i="48"/>
  <c r="BK1250" i="48"/>
  <c r="AY1250" i="48"/>
  <c r="AZ1250" i="48"/>
  <c r="AU1250" i="48"/>
  <c r="AP1250" i="48" s="1"/>
  <c r="AV1250" i="48"/>
  <c r="AX1250" i="48"/>
  <c r="BA1491" i="48"/>
  <c r="AX1491" i="48"/>
  <c r="BK1491" i="48"/>
  <c r="AV1491" i="48"/>
  <c r="AZ1491" i="48"/>
  <c r="AW1491" i="48"/>
  <c r="AU1491" i="48"/>
  <c r="AY1491" i="48"/>
  <c r="BA1540" i="48"/>
  <c r="AY1540" i="48"/>
  <c r="AX1540" i="48"/>
  <c r="BK1540" i="48"/>
  <c r="AU1540" i="48"/>
  <c r="AM1540" i="48" s="1"/>
  <c r="AV1540" i="48"/>
  <c r="AZ1540" i="48"/>
  <c r="AW1540" i="48"/>
  <c r="AX590" i="48"/>
  <c r="AW590" i="48"/>
  <c r="BK590" i="48"/>
  <c r="AY590" i="48"/>
  <c r="AZ590" i="48"/>
  <c r="AU590" i="48"/>
  <c r="AP590" i="48" s="1"/>
  <c r="AV590" i="48"/>
  <c r="BA590" i="48"/>
  <c r="BA1242" i="48"/>
  <c r="AW1242" i="48"/>
  <c r="AY1242" i="48"/>
  <c r="AZ1242" i="48"/>
  <c r="AU1242" i="48"/>
  <c r="AV1242" i="48"/>
  <c r="AX1242" i="48"/>
  <c r="BK1242" i="48"/>
  <c r="BD1886" i="48"/>
  <c r="BJ1886" i="48"/>
  <c r="BA1374" i="48"/>
  <c r="AV1374" i="48"/>
  <c r="AX1374" i="48"/>
  <c r="BK1374" i="48"/>
  <c r="AY1374" i="48"/>
  <c r="AZ1374" i="48"/>
  <c r="AU1374" i="48"/>
  <c r="AM1374" i="48" s="1"/>
  <c r="AW1374" i="48"/>
  <c r="BA741" i="48"/>
  <c r="BK741" i="48"/>
  <c r="AY741" i="48"/>
  <c r="AX741" i="48"/>
  <c r="AV741" i="48"/>
  <c r="AZ741" i="48"/>
  <c r="AU741" i="48"/>
  <c r="AO741" i="48" s="1"/>
  <c r="AW741" i="48"/>
  <c r="BD666" i="48"/>
  <c r="BJ666" i="48"/>
  <c r="BD658" i="48"/>
  <c r="BJ658" i="48"/>
  <c r="BJ1199" i="48"/>
  <c r="BD1199" i="48"/>
  <c r="BA1199" i="48"/>
  <c r="AX1199" i="48"/>
  <c r="AV1199" i="48"/>
  <c r="AZ1199" i="48"/>
  <c r="AU1199" i="48"/>
  <c r="BK1199" i="48"/>
  <c r="AY1199" i="48"/>
  <c r="AW1199" i="48"/>
  <c r="BA1160" i="48"/>
  <c r="AX1160" i="48"/>
  <c r="AV1160" i="48"/>
  <c r="BK1160" i="48"/>
  <c r="AZ1160" i="48"/>
  <c r="AU1160" i="48"/>
  <c r="AM1160" i="48" s="1"/>
  <c r="AY1160" i="48"/>
  <c r="AW1160" i="48"/>
  <c r="BD1890" i="48"/>
  <c r="BJ1890" i="48"/>
  <c r="BJ1425" i="48"/>
  <c r="BD1425" i="48"/>
  <c r="BA879" i="48"/>
  <c r="AZ879" i="48"/>
  <c r="AY879" i="48"/>
  <c r="AV879" i="48"/>
  <c r="AU879" i="48"/>
  <c r="AK879" i="48" s="1"/>
  <c r="AX879" i="48"/>
  <c r="BK879" i="48"/>
  <c r="AW879" i="48"/>
  <c r="BA559" i="48"/>
  <c r="AX559" i="48"/>
  <c r="AV559" i="48"/>
  <c r="BK559" i="48"/>
  <c r="AZ559" i="48"/>
  <c r="AU559" i="48"/>
  <c r="AY559" i="48"/>
  <c r="AW559" i="48"/>
  <c r="BJ1457" i="48"/>
  <c r="BD1457" i="48"/>
  <c r="BJ1476" i="48"/>
  <c r="BD1476" i="48"/>
  <c r="BD598" i="48"/>
  <c r="BJ598" i="48"/>
  <c r="AX1976" i="48"/>
  <c r="AU1976" i="48"/>
  <c r="AZ1976" i="48"/>
  <c r="AY1976" i="48"/>
  <c r="AV1976" i="48"/>
  <c r="BK1976" i="48"/>
  <c r="AW1976" i="48"/>
  <c r="BA1976" i="48"/>
  <c r="BJ1410" i="48"/>
  <c r="BD1410" i="48"/>
  <c r="BJ1911" i="48"/>
  <c r="BD1911" i="48"/>
  <c r="AW1685" i="48"/>
  <c r="AV1685" i="48"/>
  <c r="BK1685" i="48"/>
  <c r="AZ1685" i="48"/>
  <c r="BA1685" i="48"/>
  <c r="AY1685" i="48"/>
  <c r="AU1685" i="48"/>
  <c r="AK1685" i="48" s="1"/>
  <c r="AX1685" i="48"/>
  <c r="BJ1351" i="48"/>
  <c r="BD1351" i="48"/>
  <c r="BA1852" i="48"/>
  <c r="BK1852" i="48"/>
  <c r="AY1852" i="48"/>
  <c r="AX1852" i="48"/>
  <c r="AZ1852" i="48"/>
  <c r="AV1852" i="48"/>
  <c r="AU1852" i="48"/>
  <c r="AK1852" i="48" s="1"/>
  <c r="AW1852" i="48"/>
  <c r="BJ1659" i="48"/>
  <c r="BD1659" i="48"/>
  <c r="BJ644" i="48"/>
  <c r="BD644" i="48"/>
  <c r="BD1800" i="48"/>
  <c r="BJ1800" i="48"/>
  <c r="BJ1291" i="48"/>
  <c r="BD1291" i="48"/>
  <c r="AX1332" i="48"/>
  <c r="BK1332" i="48"/>
  <c r="AY1332" i="48"/>
  <c r="AU1332" i="48"/>
  <c r="AZ1332" i="48"/>
  <c r="AW1332" i="48"/>
  <c r="BA1332" i="48"/>
  <c r="AV1332" i="48"/>
  <c r="BJ1012" i="48"/>
  <c r="BD1012" i="48"/>
  <c r="BJ1598" i="48"/>
  <c r="BD1598" i="48"/>
  <c r="AX744" i="48"/>
  <c r="AZ744" i="48"/>
  <c r="BK744" i="48"/>
  <c r="AY744" i="48"/>
  <c r="AV744" i="48"/>
  <c r="AU744" i="48"/>
  <c r="BA744" i="48"/>
  <c r="AW744" i="48"/>
  <c r="BJ1864" i="48"/>
  <c r="BD1864" i="48"/>
  <c r="BA1864" i="48"/>
  <c r="AX1864" i="48"/>
  <c r="AV1864" i="48"/>
  <c r="AU1864" i="48"/>
  <c r="BK1864" i="48"/>
  <c r="AZ1864" i="48"/>
  <c r="AY1864" i="48"/>
  <c r="AW1864" i="48"/>
  <c r="BD1134" i="48"/>
  <c r="BJ1134" i="48"/>
  <c r="BA1066" i="48"/>
  <c r="AW1066" i="48"/>
  <c r="AZ1066" i="48"/>
  <c r="AU1066" i="48"/>
  <c r="AV1066" i="48"/>
  <c r="AX1066" i="48"/>
  <c r="BK1066" i="48"/>
  <c r="AY1066" i="48"/>
  <c r="BD1577" i="48"/>
  <c r="BJ1577" i="48"/>
  <c r="AW1712" i="48"/>
  <c r="BA1712" i="48"/>
  <c r="AZ1712" i="48"/>
  <c r="AU1712" i="48"/>
  <c r="AO1712" i="48" s="1"/>
  <c r="AV1712" i="48"/>
  <c r="AX1712" i="48"/>
  <c r="BK1712" i="48"/>
  <c r="AY1712" i="48"/>
  <c r="BJ1615" i="48"/>
  <c r="BD1615" i="48"/>
  <c r="BA1282" i="48"/>
  <c r="AW1282" i="48"/>
  <c r="BK1282" i="48"/>
  <c r="AY1282" i="48"/>
  <c r="AZ1282" i="48"/>
  <c r="AU1282" i="48"/>
  <c r="AV1282" i="48"/>
  <c r="AX1282" i="48"/>
  <c r="BJ1546" i="48"/>
  <c r="BD1546" i="48"/>
  <c r="BD1126" i="48"/>
  <c r="BJ1126" i="48"/>
  <c r="BA1479" i="48"/>
  <c r="AX1479" i="48"/>
  <c r="AZ1479" i="48"/>
  <c r="AU1479" i="48"/>
  <c r="AY1479" i="48"/>
  <c r="AW1479" i="48"/>
  <c r="BK1479" i="48"/>
  <c r="AV1479" i="48"/>
  <c r="BJ2000" i="48"/>
  <c r="BD2000" i="48"/>
  <c r="AX2000" i="48"/>
  <c r="BK2000" i="48"/>
  <c r="AY2000" i="48"/>
  <c r="AV2000" i="48"/>
  <c r="AZ2000" i="48"/>
  <c r="AU2000" i="48"/>
  <c r="AL2000" i="48" s="1"/>
  <c r="AW2000" i="48"/>
  <c r="BA2000" i="48"/>
  <c r="BD649" i="48"/>
  <c r="BJ649" i="48"/>
  <c r="BA894" i="48"/>
  <c r="BK894" i="48"/>
  <c r="AW894" i="48"/>
  <c r="AY894" i="48"/>
  <c r="AZ894" i="48"/>
  <c r="AU894" i="48"/>
  <c r="AV894" i="48"/>
  <c r="AX894" i="48"/>
  <c r="BA1494" i="48"/>
  <c r="AY1494" i="48"/>
  <c r="AX1494" i="48"/>
  <c r="BK1494" i="48"/>
  <c r="AU1494" i="48"/>
  <c r="AV1494" i="48"/>
  <c r="AW1494" i="48"/>
  <c r="AZ1494" i="48"/>
  <c r="BD1033" i="48"/>
  <c r="BJ1033" i="48"/>
  <c r="AX1825" i="48"/>
  <c r="BK1825" i="48"/>
  <c r="AZ1825" i="48"/>
  <c r="BA1825" i="48"/>
  <c r="AV1825" i="48"/>
  <c r="AU1825" i="48"/>
  <c r="AW1825" i="48"/>
  <c r="AY1825" i="48"/>
  <c r="BJ676" i="48"/>
  <c r="BD676" i="48"/>
  <c r="AX676" i="48"/>
  <c r="BK676" i="48"/>
  <c r="AY676" i="48"/>
  <c r="AV676" i="48"/>
  <c r="AU676" i="48"/>
  <c r="AO676" i="48" s="1"/>
  <c r="AZ676" i="48"/>
  <c r="AW676" i="48"/>
  <c r="BA676" i="48"/>
  <c r="BA1295" i="48"/>
  <c r="BK1295" i="48"/>
  <c r="AY1295" i="48"/>
  <c r="AX1295" i="48"/>
  <c r="AV1295" i="48"/>
  <c r="AZ1295" i="48"/>
  <c r="AU1295" i="48"/>
  <c r="AW1295" i="48"/>
  <c r="AX1972" i="48"/>
  <c r="AV1972" i="48"/>
  <c r="AU1972" i="48"/>
  <c r="BK1972" i="48"/>
  <c r="AZ1972" i="48"/>
  <c r="AY1972" i="48"/>
  <c r="AW1972" i="48"/>
  <c r="BA1972" i="48"/>
  <c r="BD1882" i="48"/>
  <c r="BJ1882" i="48"/>
  <c r="BJ960" i="48"/>
  <c r="BD960" i="48"/>
  <c r="BK1749" i="48"/>
  <c r="AZ1749" i="48"/>
  <c r="AV1749" i="48"/>
  <c r="AY1749" i="48"/>
  <c r="AX1749" i="48"/>
  <c r="AW1749" i="48"/>
  <c r="BA1749" i="48"/>
  <c r="AU1749" i="48"/>
  <c r="BA1128" i="48"/>
  <c r="AZ1128" i="48"/>
  <c r="AU1128" i="48"/>
  <c r="BK1128" i="48"/>
  <c r="AY1128" i="48"/>
  <c r="AX1128" i="48"/>
  <c r="AV1128" i="48"/>
  <c r="AW1128" i="48"/>
  <c r="BJ1871" i="48"/>
  <c r="BD1871" i="48"/>
  <c r="BD1752" i="48"/>
  <c r="BJ1752" i="48"/>
  <c r="AW615" i="48"/>
  <c r="BA615" i="48"/>
  <c r="AV615" i="48"/>
  <c r="BK615" i="48"/>
  <c r="AZ615" i="48"/>
  <c r="AY615" i="48"/>
  <c r="AU615" i="48"/>
  <c r="AN615" i="48" s="1"/>
  <c r="AX615" i="48"/>
  <c r="BA1759" i="48"/>
  <c r="AY1759" i="48"/>
  <c r="BK1759" i="48"/>
  <c r="AX1759" i="48"/>
  <c r="AU1759" i="48"/>
  <c r="AV1759" i="48"/>
  <c r="AW1759" i="48"/>
  <c r="AZ1759" i="48"/>
  <c r="BA677" i="48"/>
  <c r="BK677" i="48"/>
  <c r="AY677" i="48"/>
  <c r="AX677" i="48"/>
  <c r="AV677" i="48"/>
  <c r="AZ677" i="48"/>
  <c r="AU677" i="48"/>
  <c r="AM677" i="48" s="1"/>
  <c r="AW677" i="48"/>
  <c r="AW2040" i="48"/>
  <c r="AY2040" i="48"/>
  <c r="AU2040" i="48"/>
  <c r="AZ2040" i="48"/>
  <c r="AV2040" i="48"/>
  <c r="AX2040" i="48"/>
  <c r="BA2040" i="48"/>
  <c r="BK2040" i="48"/>
  <c r="BJ2037" i="48"/>
  <c r="BD2037" i="48"/>
  <c r="BA721" i="48"/>
  <c r="AZ721" i="48"/>
  <c r="AU721" i="48"/>
  <c r="BK721" i="48"/>
  <c r="AY721" i="48"/>
  <c r="AX721" i="48"/>
  <c r="AV721" i="48"/>
  <c r="AW721" i="48"/>
  <c r="BJ783" i="48"/>
  <c r="BD783" i="48"/>
  <c r="BJ755" i="48"/>
  <c r="BD755" i="48"/>
  <c r="AW755" i="48"/>
  <c r="AU755" i="48"/>
  <c r="AV755" i="48"/>
  <c r="AX755" i="48"/>
  <c r="BA755" i="48"/>
  <c r="BK755" i="48"/>
  <c r="AZ755" i="48"/>
  <c r="AY755" i="48"/>
  <c r="BD1130" i="48"/>
  <c r="BJ1130" i="48"/>
  <c r="BA1118" i="48"/>
  <c r="AW1118" i="48"/>
  <c r="AY1118" i="48"/>
  <c r="AZ1118" i="48"/>
  <c r="AU1118" i="48"/>
  <c r="AV1118" i="48"/>
  <c r="AX1118" i="48"/>
  <c r="BK1118" i="48"/>
  <c r="BJ1839" i="48"/>
  <c r="BD1839" i="48"/>
  <c r="BJ1484" i="48"/>
  <c r="BD1484" i="48"/>
  <c r="AW1408" i="48"/>
  <c r="BA1408" i="48"/>
  <c r="AV1408" i="48"/>
  <c r="AX1408" i="48"/>
  <c r="BK1408" i="48"/>
  <c r="AY1408" i="48"/>
  <c r="AZ1408" i="48"/>
  <c r="AU1408" i="48"/>
  <c r="BA1292" i="48"/>
  <c r="BK1292" i="48"/>
  <c r="AU1292" i="48"/>
  <c r="AY1292" i="48"/>
  <c r="AX1292" i="48"/>
  <c r="AW1292" i="48"/>
  <c r="AV1292" i="48"/>
  <c r="AZ1292" i="48"/>
  <c r="BK931" i="48"/>
  <c r="AZ931" i="48"/>
  <c r="AV931" i="48"/>
  <c r="BA931" i="48"/>
  <c r="AX931" i="48"/>
  <c r="AY931" i="48"/>
  <c r="AW931" i="48"/>
  <c r="AU931" i="48"/>
  <c r="AX752" i="48"/>
  <c r="AV752" i="48"/>
  <c r="AU752" i="48"/>
  <c r="AZ752" i="48"/>
  <c r="BK752" i="48"/>
  <c r="AY752" i="48"/>
  <c r="AW752" i="48"/>
  <c r="BA752" i="48"/>
  <c r="BA1317" i="48"/>
  <c r="AX1317" i="48"/>
  <c r="BK1317" i="48"/>
  <c r="AZ1317" i="48"/>
  <c r="AU1317" i="48"/>
  <c r="AO1317" i="48" s="1"/>
  <c r="AY1317" i="48"/>
  <c r="AV1317" i="48"/>
  <c r="AW1317" i="48"/>
  <c r="BA1373" i="48"/>
  <c r="AX1373" i="48"/>
  <c r="AV1373" i="48"/>
  <c r="AZ1373" i="48"/>
  <c r="BK1373" i="48"/>
  <c r="AU1373" i="48"/>
  <c r="AY1373" i="48"/>
  <c r="AW1373" i="48"/>
  <c r="BA753" i="48"/>
  <c r="AX753" i="48"/>
  <c r="BK753" i="48"/>
  <c r="AV753" i="48"/>
  <c r="AZ753" i="48"/>
  <c r="AU753" i="48"/>
  <c r="AY753" i="48"/>
  <c r="AW753" i="48"/>
  <c r="BA1273" i="48"/>
  <c r="AX1273" i="48"/>
  <c r="AU1273" i="48"/>
  <c r="AK1273" i="48" s="1"/>
  <c r="AY1273" i="48"/>
  <c r="AV1273" i="48"/>
  <c r="BK1273" i="48"/>
  <c r="AZ1273" i="48"/>
  <c r="AW1273" i="48"/>
  <c r="BD2031" i="48"/>
  <c r="BJ2031" i="48"/>
  <c r="AW442" i="48"/>
  <c r="AV442" i="48"/>
  <c r="AY442" i="48"/>
  <c r="AU442" i="48"/>
  <c r="AX442" i="48"/>
  <c r="BA442" i="48"/>
  <c r="BK442" i="48"/>
  <c r="AZ442" i="48"/>
  <c r="BD368" i="48"/>
  <c r="BJ368" i="48"/>
  <c r="AW201" i="48"/>
  <c r="AX201" i="48"/>
  <c r="AV201" i="48"/>
  <c r="BK201" i="48"/>
  <c r="AY201" i="48"/>
  <c r="AZ201" i="48"/>
  <c r="AU201" i="48"/>
  <c r="BA392" i="48"/>
  <c r="AY392" i="48"/>
  <c r="AX392" i="48"/>
  <c r="BK392" i="48"/>
  <c r="AU392" i="48"/>
  <c r="AV392" i="48"/>
  <c r="AZ392" i="48"/>
  <c r="AW392" i="48"/>
  <c r="AV111" i="48"/>
  <c r="BK111" i="48"/>
  <c r="AZ111" i="48"/>
  <c r="AU111" i="48"/>
  <c r="AY111" i="48"/>
  <c r="AX111" i="48"/>
  <c r="AW111" i="48"/>
  <c r="BA547" i="48"/>
  <c r="AX547" i="48"/>
  <c r="AV547" i="48"/>
  <c r="BK547" i="48"/>
  <c r="AZ547" i="48"/>
  <c r="AU547" i="48"/>
  <c r="AY547" i="48"/>
  <c r="AW547" i="48"/>
  <c r="BD420" i="48"/>
  <c r="BJ420" i="48"/>
  <c r="AV146" i="48"/>
  <c r="BK146" i="48"/>
  <c r="AY146" i="48"/>
  <c r="AU146" i="48"/>
  <c r="AW146" i="48"/>
  <c r="AZ146" i="48"/>
  <c r="AX146" i="48"/>
  <c r="BA371" i="48"/>
  <c r="AX371" i="48"/>
  <c r="AV371" i="48"/>
  <c r="BK371" i="48"/>
  <c r="AZ371" i="48"/>
  <c r="AU371" i="48"/>
  <c r="AY371" i="48"/>
  <c r="AW371" i="48"/>
  <c r="BD369" i="48"/>
  <c r="BJ369" i="48"/>
  <c r="BJ514" i="48"/>
  <c r="BD514" i="48"/>
  <c r="BJ319" i="48"/>
  <c r="BD319" i="48"/>
  <c r="BA319" i="48"/>
  <c r="AX319" i="48"/>
  <c r="AV319" i="48"/>
  <c r="AZ319" i="48"/>
  <c r="AU319" i="48"/>
  <c r="BK319" i="48"/>
  <c r="AY319" i="48"/>
  <c r="AW319" i="48"/>
  <c r="AW273" i="48"/>
  <c r="AV273" i="48"/>
  <c r="BK273" i="48"/>
  <c r="AX273" i="48"/>
  <c r="AY273" i="48"/>
  <c r="AZ273" i="48"/>
  <c r="AU273" i="48"/>
  <c r="AY68" i="48"/>
  <c r="AX68" i="48"/>
  <c r="BK68" i="48"/>
  <c r="AU68" i="48"/>
  <c r="AW68" i="48"/>
  <c r="AV68" i="48"/>
  <c r="AZ68" i="48"/>
  <c r="AW222" i="48"/>
  <c r="AV222" i="48"/>
  <c r="AY222" i="48"/>
  <c r="AU222" i="48"/>
  <c r="AX222" i="48"/>
  <c r="BK222" i="48"/>
  <c r="AZ222" i="48"/>
  <c r="BJ395" i="48"/>
  <c r="BD395" i="48"/>
  <c r="AX345" i="48"/>
  <c r="AW345" i="48"/>
  <c r="AY345" i="48"/>
  <c r="AZ345" i="48"/>
  <c r="AU345" i="48"/>
  <c r="AV345" i="48"/>
  <c r="BA345" i="48"/>
  <c r="BK345" i="48"/>
  <c r="AX101" i="48"/>
  <c r="BK101" i="48"/>
  <c r="AY101" i="48"/>
  <c r="AZ101" i="48"/>
  <c r="AU101" i="48"/>
  <c r="AW101" i="48"/>
  <c r="AV101" i="48"/>
  <c r="BD416" i="48"/>
  <c r="BJ416" i="48"/>
  <c r="BK385" i="48"/>
  <c r="AX385" i="48"/>
  <c r="AY385" i="48"/>
  <c r="AZ385" i="48"/>
  <c r="AU385" i="48"/>
  <c r="AV385" i="48"/>
  <c r="BA385" i="48"/>
  <c r="AW385" i="48"/>
  <c r="BJ438" i="48"/>
  <c r="BD438" i="48"/>
  <c r="AW438" i="48"/>
  <c r="AU438" i="48"/>
  <c r="AV438" i="48"/>
  <c r="AX438" i="48"/>
  <c r="BK438" i="48"/>
  <c r="AZ438" i="48"/>
  <c r="AY438" i="48"/>
  <c r="BA438" i="48"/>
  <c r="BJ659" i="48"/>
  <c r="BD659" i="48"/>
  <c r="BJ1942" i="48"/>
  <c r="BD1942" i="48"/>
  <c r="AX2019" i="48"/>
  <c r="AU2019" i="48"/>
  <c r="BK2019" i="48"/>
  <c r="AY2019" i="48"/>
  <c r="AV2019" i="48"/>
  <c r="AW2019" i="48"/>
  <c r="AZ2019" i="48"/>
  <c r="BA2019" i="48"/>
  <c r="BK558" i="48"/>
  <c r="AZ558" i="48"/>
  <c r="AW558" i="48"/>
  <c r="AV558" i="48"/>
  <c r="AX558" i="48"/>
  <c r="AU558" i="48"/>
  <c r="AO558" i="48" s="1"/>
  <c r="BA558" i="48"/>
  <c r="AY558" i="48"/>
  <c r="BA997" i="48"/>
  <c r="AU997" i="48"/>
  <c r="AY997" i="48"/>
  <c r="BK997" i="48"/>
  <c r="AX997" i="48"/>
  <c r="AV997" i="48"/>
  <c r="AW997" i="48"/>
  <c r="AZ997" i="48"/>
  <c r="BD1665" i="48"/>
  <c r="BJ1665" i="48"/>
  <c r="BD1804" i="48"/>
  <c r="BJ1804" i="48"/>
  <c r="BD1030" i="48"/>
  <c r="BJ1030" i="48"/>
  <c r="BJ1198" i="48"/>
  <c r="BD1198" i="48"/>
  <c r="BD1854" i="48"/>
  <c r="BJ1854" i="48"/>
  <c r="AX1798" i="48"/>
  <c r="BK1798" i="48"/>
  <c r="AY1798" i="48"/>
  <c r="AV1798" i="48"/>
  <c r="AZ1798" i="48"/>
  <c r="AU1798" i="48"/>
  <c r="AW1798" i="48"/>
  <c r="BA1798" i="48"/>
  <c r="BA1167" i="48"/>
  <c r="BK1167" i="48"/>
  <c r="AZ1167" i="48"/>
  <c r="AU1167" i="48"/>
  <c r="AP1167" i="48" s="1"/>
  <c r="AY1167" i="48"/>
  <c r="AX1167" i="48"/>
  <c r="AV1167" i="48"/>
  <c r="AW1167" i="48"/>
  <c r="BA2018" i="48"/>
  <c r="AZ2018" i="48"/>
  <c r="AU2018" i="48"/>
  <c r="AN2018" i="48" s="1"/>
  <c r="BK2018" i="48"/>
  <c r="AY2018" i="48"/>
  <c r="AX2018" i="48"/>
  <c r="AV2018" i="48"/>
  <c r="AW2018" i="48"/>
  <c r="AX944" i="48"/>
  <c r="AV944" i="48"/>
  <c r="AU944" i="48"/>
  <c r="BK944" i="48"/>
  <c r="AZ944" i="48"/>
  <c r="AY944" i="48"/>
  <c r="BA944" i="48"/>
  <c r="AW944" i="48"/>
  <c r="BJ1848" i="48"/>
  <c r="BD1848" i="48"/>
  <c r="BA863" i="48"/>
  <c r="AW863" i="48"/>
  <c r="AV863" i="48"/>
  <c r="AU863" i="48"/>
  <c r="AX863" i="48"/>
  <c r="BK863" i="48"/>
  <c r="AZ863" i="48"/>
  <c r="AY863" i="48"/>
  <c r="BJ891" i="48"/>
  <c r="BD891" i="48"/>
  <c r="BA891" i="48"/>
  <c r="AY891" i="48"/>
  <c r="AV891" i="48"/>
  <c r="AZ891" i="48"/>
  <c r="AU891" i="48"/>
  <c r="AK891" i="48" s="1"/>
  <c r="AX891" i="48"/>
  <c r="BK891" i="48"/>
  <c r="AW891" i="48"/>
  <c r="AX614" i="48"/>
  <c r="AW614" i="48"/>
  <c r="BK614" i="48"/>
  <c r="AY614" i="48"/>
  <c r="AZ614" i="48"/>
  <c r="AU614" i="48"/>
  <c r="AP614" i="48" s="1"/>
  <c r="AV614" i="48"/>
  <c r="BA614" i="48"/>
  <c r="BA1946" i="48"/>
  <c r="AV1946" i="48"/>
  <c r="AZ1946" i="48"/>
  <c r="AU1946" i="48"/>
  <c r="AY1946" i="48"/>
  <c r="AX1946" i="48"/>
  <c r="BK1946" i="48"/>
  <c r="AW1946" i="48"/>
  <c r="BD1552" i="48"/>
  <c r="BJ1552" i="48"/>
  <c r="AV1793" i="48"/>
  <c r="AX1793" i="48"/>
  <c r="BK1793" i="48"/>
  <c r="BA1793" i="48"/>
  <c r="AY1793" i="48"/>
  <c r="AW1793" i="48"/>
  <c r="AZ1793" i="48"/>
  <c r="AU1793" i="48"/>
  <c r="BA1447" i="48"/>
  <c r="AX1447" i="48"/>
  <c r="AY1447" i="48"/>
  <c r="AZ1447" i="48"/>
  <c r="BK1447" i="48"/>
  <c r="AW1447" i="48"/>
  <c r="AU1447" i="48"/>
  <c r="AV1447" i="48"/>
  <c r="BD1549" i="48"/>
  <c r="BJ1549" i="48"/>
  <c r="BJ771" i="48"/>
  <c r="BD771" i="48"/>
  <c r="BD822" i="48"/>
  <c r="BJ822" i="48"/>
  <c r="BK1039" i="48"/>
  <c r="AZ1039" i="48"/>
  <c r="AV1039" i="48"/>
  <c r="BA1039" i="48"/>
  <c r="AU1039" i="48"/>
  <c r="AP1039" i="48" s="1"/>
  <c r="AX1039" i="48"/>
  <c r="AY1039" i="48"/>
  <c r="AW1039" i="48"/>
  <c r="BJ1773" i="48"/>
  <c r="BD1773" i="48"/>
  <c r="AX1413" i="48"/>
  <c r="AU1413" i="48"/>
  <c r="AZ1413" i="48"/>
  <c r="BK1413" i="48"/>
  <c r="AY1413" i="48"/>
  <c r="AV1413" i="48"/>
  <c r="AW1413" i="48"/>
  <c r="BA1413" i="48"/>
  <c r="AX790" i="48"/>
  <c r="AW790" i="48"/>
  <c r="AY790" i="48"/>
  <c r="AZ790" i="48"/>
  <c r="AU790" i="48"/>
  <c r="AN790" i="48" s="1"/>
  <c r="AV790" i="48"/>
  <c r="BA790" i="48"/>
  <c r="BK790" i="48"/>
  <c r="BD1289" i="48"/>
  <c r="BJ1289" i="48"/>
  <c r="BK1151" i="48"/>
  <c r="AZ1151" i="48"/>
  <c r="AV1151" i="48"/>
  <c r="BA1151" i="48"/>
  <c r="AU1151" i="48"/>
  <c r="AX1151" i="48"/>
  <c r="AY1151" i="48"/>
  <c r="AW1151" i="48"/>
  <c r="BD1503" i="48"/>
  <c r="BJ1503" i="48"/>
  <c r="BA1084" i="48"/>
  <c r="BK1084" i="48"/>
  <c r="AZ1084" i="48"/>
  <c r="AU1084" i="48"/>
  <c r="AY1084" i="48"/>
  <c r="AX1084" i="48"/>
  <c r="AV1084" i="48"/>
  <c r="AW1084" i="48"/>
  <c r="AX896" i="48"/>
  <c r="AV896" i="48"/>
  <c r="AU896" i="48"/>
  <c r="AZ896" i="48"/>
  <c r="BK896" i="48"/>
  <c r="AY896" i="48"/>
  <c r="AW896" i="48"/>
  <c r="BA896" i="48"/>
  <c r="BD1645" i="48"/>
  <c r="BJ1645" i="48"/>
  <c r="BA1850" i="48"/>
  <c r="AX1850" i="48"/>
  <c r="AU1850" i="48"/>
  <c r="AY1850" i="48"/>
  <c r="AV1850" i="48"/>
  <c r="BK1850" i="48"/>
  <c r="AZ1850" i="48"/>
  <c r="AW1850" i="48"/>
  <c r="AY1642" i="48"/>
  <c r="AW1642" i="48"/>
  <c r="AZ1642" i="48"/>
  <c r="AU1642" i="48"/>
  <c r="AV1642" i="48"/>
  <c r="AX1642" i="48"/>
  <c r="BK1642" i="48"/>
  <c r="BA1642" i="48"/>
  <c r="AX1553" i="48"/>
  <c r="AV1553" i="48"/>
  <c r="BA1553" i="48"/>
  <c r="BK1553" i="48"/>
  <c r="AW1553" i="48"/>
  <c r="AY1553" i="48"/>
  <c r="AZ1553" i="48"/>
  <c r="AU1553" i="48"/>
  <c r="AP1553" i="48" s="1"/>
  <c r="BD1838" i="48"/>
  <c r="BJ1838" i="48"/>
  <c r="BJ1438" i="48"/>
  <c r="BD1438" i="48"/>
  <c r="AX638" i="48"/>
  <c r="AW638" i="48"/>
  <c r="AZ638" i="48"/>
  <c r="AU638" i="48"/>
  <c r="AN638" i="48" s="1"/>
  <c r="AV638" i="48"/>
  <c r="BA638" i="48"/>
  <c r="BK638" i="48"/>
  <c r="AY638" i="48"/>
  <c r="BJ1639" i="48"/>
  <c r="BD1639" i="48"/>
  <c r="BJ1562" i="48"/>
  <c r="BD1562" i="48"/>
  <c r="BJ943" i="48"/>
  <c r="BD943" i="48"/>
  <c r="AX1445" i="48"/>
  <c r="AU1445" i="48"/>
  <c r="AN1445" i="48" s="1"/>
  <c r="AZ1445" i="48"/>
  <c r="BK1445" i="48"/>
  <c r="AY1445" i="48"/>
  <c r="AV1445" i="48"/>
  <c r="AW1445" i="48"/>
  <c r="BA1445" i="48"/>
  <c r="BA1124" i="48"/>
  <c r="BK1124" i="48"/>
  <c r="AY1124" i="48"/>
  <c r="AX1124" i="48"/>
  <c r="AV1124" i="48"/>
  <c r="AZ1124" i="48"/>
  <c r="AU1124" i="48"/>
  <c r="AW1124" i="48"/>
  <c r="BJ1909" i="48"/>
  <c r="BD1909" i="48"/>
  <c r="BJ1766" i="48"/>
  <c r="BD1766" i="48"/>
  <c r="BJ1489" i="48"/>
  <c r="BD1489" i="48"/>
  <c r="BD1544" i="48"/>
  <c r="BJ1544" i="48"/>
  <c r="BD678" i="48"/>
  <c r="BJ678" i="48"/>
  <c r="AW683" i="48"/>
  <c r="AU683" i="48"/>
  <c r="AM683" i="48" s="1"/>
  <c r="AX683" i="48"/>
  <c r="AZ683" i="48"/>
  <c r="BK683" i="48"/>
  <c r="BA683" i="48"/>
  <c r="AY683" i="48"/>
  <c r="AV683" i="48"/>
  <c r="BD582" i="48"/>
  <c r="BJ582" i="48"/>
  <c r="BD557" i="48"/>
  <c r="BJ557" i="48"/>
  <c r="BD1045" i="48"/>
  <c r="BJ1045" i="48"/>
  <c r="BA1146" i="48"/>
  <c r="AW1146" i="48"/>
  <c r="AY1146" i="48"/>
  <c r="AZ1146" i="48"/>
  <c r="AU1146" i="48"/>
  <c r="AL1146" i="48" s="1"/>
  <c r="AV1146" i="48"/>
  <c r="AX1146" i="48"/>
  <c r="BK1146" i="48"/>
  <c r="AX1984" i="48"/>
  <c r="BK1984" i="48"/>
  <c r="AZ1984" i="48"/>
  <c r="AY1984" i="48"/>
  <c r="AV1984" i="48"/>
  <c r="AU1984" i="48"/>
  <c r="AW1984" i="48"/>
  <c r="BA1984" i="48"/>
  <c r="BD1369" i="48"/>
  <c r="BJ1369" i="48"/>
  <c r="BA1296" i="48"/>
  <c r="AY1296" i="48"/>
  <c r="AX1296" i="48"/>
  <c r="BK1296" i="48"/>
  <c r="AU1296" i="48"/>
  <c r="AK1296" i="48" s="1"/>
  <c r="AV1296" i="48"/>
  <c r="AZ1296" i="48"/>
  <c r="AW1296" i="48"/>
  <c r="BJ596" i="48"/>
  <c r="BD596" i="48"/>
  <c r="BA1213" i="48"/>
  <c r="AX1213" i="48"/>
  <c r="AU1213" i="48"/>
  <c r="AO1213" i="48" s="1"/>
  <c r="AW1213" i="48"/>
  <c r="AY1213" i="48"/>
  <c r="AV1213" i="48"/>
  <c r="BK1213" i="48"/>
  <c r="AZ1213" i="48"/>
  <c r="BD1013" i="48"/>
  <c r="BJ1013" i="48"/>
  <c r="AX932" i="48"/>
  <c r="AV932" i="48"/>
  <c r="AU932" i="48"/>
  <c r="BK932" i="48"/>
  <c r="AZ932" i="48"/>
  <c r="AY932" i="48"/>
  <c r="AW932" i="48"/>
  <c r="BA932" i="48"/>
  <c r="BD930" i="48"/>
  <c r="BJ930" i="48"/>
  <c r="BD745" i="48"/>
  <c r="BJ745" i="48"/>
  <c r="AW739" i="48"/>
  <c r="AY739" i="48"/>
  <c r="BA739" i="48"/>
  <c r="AV739" i="48"/>
  <c r="AU739" i="48"/>
  <c r="AN739" i="48" s="1"/>
  <c r="AX739" i="48"/>
  <c r="BK739" i="48"/>
  <c r="AZ739" i="48"/>
  <c r="AX824" i="48"/>
  <c r="BK824" i="48"/>
  <c r="AY824" i="48"/>
  <c r="AV824" i="48"/>
  <c r="AU824" i="48"/>
  <c r="AO824" i="48" s="1"/>
  <c r="AZ824" i="48"/>
  <c r="BA824" i="48"/>
  <c r="AW824" i="48"/>
  <c r="BA1285" i="48"/>
  <c r="AX1285" i="48"/>
  <c r="BK1285" i="48"/>
  <c r="AZ1285" i="48"/>
  <c r="AU1285" i="48"/>
  <c r="AO1285" i="48" s="1"/>
  <c r="AW1285" i="48"/>
  <c r="AY1285" i="48"/>
  <c r="AV1285" i="48"/>
  <c r="AZ2006" i="48"/>
  <c r="AX2006" i="48"/>
  <c r="BK2006" i="48"/>
  <c r="AW2006" i="48"/>
  <c r="AY2006" i="48"/>
  <c r="AV2006" i="48"/>
  <c r="AU2006" i="48"/>
  <c r="BA2006" i="48"/>
  <c r="AX600" i="48"/>
  <c r="AV600" i="48"/>
  <c r="AU600" i="48"/>
  <c r="AZ600" i="48"/>
  <c r="BK600" i="48"/>
  <c r="AY600" i="48"/>
  <c r="BA600" i="48"/>
  <c r="AW600" i="48"/>
  <c r="BJ1355" i="48"/>
  <c r="BD1355" i="48"/>
  <c r="BA993" i="48"/>
  <c r="AU993" i="48"/>
  <c r="AM993" i="48" s="1"/>
  <c r="AY993" i="48"/>
  <c r="AX993" i="48"/>
  <c r="BK993" i="48"/>
  <c r="AV993" i="48"/>
  <c r="AZ993" i="48"/>
  <c r="AW993" i="48"/>
  <c r="BJ1498" i="48"/>
  <c r="BD1498" i="48"/>
  <c r="BD1074" i="48"/>
  <c r="BJ1074" i="48"/>
  <c r="BJ1730" i="48"/>
  <c r="BD1730" i="48"/>
  <c r="BA1730" i="48"/>
  <c r="AX1730" i="48"/>
  <c r="AV1730" i="48"/>
  <c r="AZ1730" i="48"/>
  <c r="AU1730" i="48"/>
  <c r="BK1730" i="48"/>
  <c r="AY1730" i="48"/>
  <c r="AW1730" i="48"/>
  <c r="BJ1440" i="48"/>
  <c r="BD1440" i="48"/>
  <c r="BA883" i="48"/>
  <c r="AZ883" i="48"/>
  <c r="AX883" i="48"/>
  <c r="BK883" i="48"/>
  <c r="AW883" i="48"/>
  <c r="AY883" i="48"/>
  <c r="AV883" i="48"/>
  <c r="AU883" i="48"/>
  <c r="BJ1579" i="48"/>
  <c r="BD1579" i="48"/>
  <c r="BJ1104" i="48"/>
  <c r="BD1104" i="48"/>
  <c r="AV679" i="48"/>
  <c r="BA679" i="48"/>
  <c r="AW679" i="48"/>
  <c r="BK679" i="48"/>
  <c r="AZ679" i="48"/>
  <c r="AY679" i="48"/>
  <c r="AU679" i="48"/>
  <c r="AM679" i="48" s="1"/>
  <c r="AX679" i="48"/>
  <c r="BJ1418" i="48"/>
  <c r="BD1418" i="48"/>
  <c r="BA1168" i="48"/>
  <c r="AY1168" i="48"/>
  <c r="AX1168" i="48"/>
  <c r="AU1168" i="48"/>
  <c r="BK1168" i="48"/>
  <c r="AV1168" i="48"/>
  <c r="AZ1168" i="48"/>
  <c r="AW1168" i="48"/>
  <c r="BJ575" i="48"/>
  <c r="BD575" i="48"/>
  <c r="BJ1988" i="48"/>
  <c r="BD1988" i="48"/>
  <c r="BD1731" i="48"/>
  <c r="BJ1731" i="48"/>
  <c r="BJ1434" i="48"/>
  <c r="BD1434" i="48"/>
  <c r="BA801" i="48"/>
  <c r="BK801" i="48"/>
  <c r="AZ801" i="48"/>
  <c r="AU801" i="48"/>
  <c r="AK801" i="48" s="1"/>
  <c r="AY801" i="48"/>
  <c r="AX801" i="48"/>
  <c r="AV801" i="48"/>
  <c r="AW801" i="48"/>
  <c r="BJ1564" i="48"/>
  <c r="BD1564" i="48"/>
  <c r="BA1275" i="48"/>
  <c r="BK1275" i="48"/>
  <c r="AY1275" i="48"/>
  <c r="AX1275" i="48"/>
  <c r="AV1275" i="48"/>
  <c r="AZ1275" i="48"/>
  <c r="AU1275" i="48"/>
  <c r="AO1275" i="48" s="1"/>
  <c r="AW1275" i="48"/>
  <c r="BJ1512" i="48"/>
  <c r="BD1512" i="48"/>
  <c r="AW1384" i="48"/>
  <c r="AV1384" i="48"/>
  <c r="BK1384" i="48"/>
  <c r="AZ1384" i="48"/>
  <c r="AY1384" i="48"/>
  <c r="AU1384" i="48"/>
  <c r="AX1384" i="48"/>
  <c r="BA1384" i="48"/>
  <c r="BJ1603" i="48"/>
  <c r="BD1603" i="48"/>
  <c r="BA1603" i="48"/>
  <c r="AX1603" i="48"/>
  <c r="AV1603" i="48"/>
  <c r="AZ1603" i="48"/>
  <c r="AU1603" i="48"/>
  <c r="BK1603" i="48"/>
  <c r="AY1603" i="48"/>
  <c r="AW1603" i="48"/>
  <c r="BK1138" i="48"/>
  <c r="BA1138" i="48"/>
  <c r="AY1138" i="48"/>
  <c r="AW1138" i="48"/>
  <c r="AZ1138" i="48"/>
  <c r="AU1138" i="48"/>
  <c r="AV1138" i="48"/>
  <c r="AX1138" i="48"/>
  <c r="BJ1047" i="48"/>
  <c r="BD1047" i="48"/>
  <c r="BD766" i="48"/>
  <c r="BJ766" i="48"/>
  <c r="BD1974" i="48"/>
  <c r="BJ1974" i="48"/>
  <c r="BA1679" i="48"/>
  <c r="AX1679" i="48"/>
  <c r="BK1679" i="48"/>
  <c r="AU1679" i="48"/>
  <c r="AY1679" i="48"/>
  <c r="AV1679" i="48"/>
  <c r="AZ1679" i="48"/>
  <c r="AW1679" i="48"/>
  <c r="AW775" i="48"/>
  <c r="AV775" i="48"/>
  <c r="BA775" i="48"/>
  <c r="AY775" i="48"/>
  <c r="AU775" i="48"/>
  <c r="AX775" i="48"/>
  <c r="BK775" i="48"/>
  <c r="AZ775" i="48"/>
  <c r="BJ1468" i="48"/>
  <c r="BD1468" i="48"/>
  <c r="BD978" i="48"/>
  <c r="BJ978" i="48"/>
  <c r="AX602" i="48"/>
  <c r="AV602" i="48"/>
  <c r="BA602" i="48"/>
  <c r="BK602" i="48"/>
  <c r="AY602" i="48"/>
  <c r="AZ602" i="48"/>
  <c r="AU602" i="48"/>
  <c r="AW602" i="48"/>
  <c r="AX1555" i="48"/>
  <c r="AZ1555" i="48"/>
  <c r="BK1555" i="48"/>
  <c r="AY1555" i="48"/>
  <c r="AV1555" i="48"/>
  <c r="AU1555" i="48"/>
  <c r="AW1555" i="48"/>
  <c r="BA1555" i="48"/>
  <c r="BA1057" i="48"/>
  <c r="BK1057" i="48"/>
  <c r="AX1057" i="48"/>
  <c r="AU1057" i="48"/>
  <c r="AP1057" i="48" s="1"/>
  <c r="AY1057" i="48"/>
  <c r="AV1057" i="48"/>
  <c r="AZ1057" i="48"/>
  <c r="AW1057" i="48"/>
  <c r="BJ1530" i="48"/>
  <c r="BD1530" i="48"/>
  <c r="BD661" i="48"/>
  <c r="BJ661" i="48"/>
  <c r="BA617" i="48"/>
  <c r="AX617" i="48"/>
  <c r="AV617" i="48"/>
  <c r="BK617" i="48"/>
  <c r="AZ617" i="48"/>
  <c r="AU617" i="48"/>
  <c r="AP617" i="48" s="1"/>
  <c r="AY617" i="48"/>
  <c r="AW617" i="48"/>
  <c r="BD650" i="48"/>
  <c r="BJ650" i="48"/>
  <c r="BA1866" i="48"/>
  <c r="AX1866" i="48"/>
  <c r="AU1866" i="48"/>
  <c r="AP1866" i="48" s="1"/>
  <c r="AY1866" i="48"/>
  <c r="AV1866" i="48"/>
  <c r="BK1866" i="48"/>
  <c r="AZ1866" i="48"/>
  <c r="AW1866" i="48"/>
  <c r="BJ1809" i="48"/>
  <c r="BD1809" i="48"/>
  <c r="AX952" i="48"/>
  <c r="AU952" i="48"/>
  <c r="AL952" i="48" s="1"/>
  <c r="BK952" i="48"/>
  <c r="AZ952" i="48"/>
  <c r="AY952" i="48"/>
  <c r="AV952" i="48"/>
  <c r="BA952" i="48"/>
  <c r="AW952" i="48"/>
  <c r="BD1025" i="48"/>
  <c r="BJ1025" i="48"/>
  <c r="AX722" i="48"/>
  <c r="BK722" i="48"/>
  <c r="AY722" i="48"/>
  <c r="AZ722" i="48"/>
  <c r="AU722" i="48"/>
  <c r="AV722" i="48"/>
  <c r="BA722" i="48"/>
  <c r="AW722" i="48"/>
  <c r="BJ1663" i="48"/>
  <c r="BD1663" i="48"/>
  <c r="BJ1913" i="48"/>
  <c r="BD1913" i="48"/>
  <c r="BJ1401" i="48"/>
  <c r="BD1401" i="48"/>
  <c r="AX1401" i="48"/>
  <c r="BK1401" i="48"/>
  <c r="AY1401" i="48"/>
  <c r="AV1401" i="48"/>
  <c r="AU1401" i="48"/>
  <c r="AK1401" i="48" s="1"/>
  <c r="AZ1401" i="48"/>
  <c r="AW1401" i="48"/>
  <c r="BA1401" i="48"/>
  <c r="AX724" i="48"/>
  <c r="BK724" i="48"/>
  <c r="AZ724" i="48"/>
  <c r="AY724" i="48"/>
  <c r="AV724" i="48"/>
  <c r="AU724" i="48"/>
  <c r="AW724" i="48"/>
  <c r="BA724" i="48"/>
  <c r="BA1655" i="48"/>
  <c r="AV1655" i="48"/>
  <c r="AZ1655" i="48"/>
  <c r="AU1655" i="48"/>
  <c r="AO1655" i="48" s="1"/>
  <c r="BK1655" i="48"/>
  <c r="AY1655" i="48"/>
  <c r="AX1655" i="48"/>
  <c r="AW1655" i="48"/>
  <c r="BJ579" i="48"/>
  <c r="BD579" i="48"/>
  <c r="BJ1888" i="48"/>
  <c r="BD1888" i="48"/>
  <c r="BA1888" i="48"/>
  <c r="AX1888" i="48"/>
  <c r="AV1888" i="48"/>
  <c r="AU1888" i="48"/>
  <c r="BK1888" i="48"/>
  <c r="AZ1888" i="48"/>
  <c r="AY1888" i="48"/>
  <c r="AW1888" i="48"/>
  <c r="AZ1768" i="48"/>
  <c r="AU1768" i="48"/>
  <c r="AV1768" i="48"/>
  <c r="AX1768" i="48"/>
  <c r="BK1768" i="48"/>
  <c r="AW1768" i="48"/>
  <c r="AY1768" i="48"/>
  <c r="BA1768" i="48"/>
  <c r="AX636" i="48"/>
  <c r="BK636" i="48"/>
  <c r="AZ636" i="48"/>
  <c r="AY636" i="48"/>
  <c r="AV636" i="48"/>
  <c r="AU636" i="48"/>
  <c r="AW636" i="48"/>
  <c r="BA636" i="48"/>
  <c r="BK939" i="48"/>
  <c r="AZ939" i="48"/>
  <c r="AV939" i="48"/>
  <c r="BA939" i="48"/>
  <c r="AX939" i="48"/>
  <c r="AU939" i="48"/>
  <c r="AK939" i="48" s="1"/>
  <c r="AY939" i="48"/>
  <c r="AW939" i="48"/>
  <c r="BA1500" i="48"/>
  <c r="AW1500" i="48"/>
  <c r="AY1500" i="48"/>
  <c r="AZ1500" i="48"/>
  <c r="AU1500" i="48"/>
  <c r="AP1500" i="48" s="1"/>
  <c r="AV1500" i="48"/>
  <c r="AX1500" i="48"/>
  <c r="BK1500" i="48"/>
  <c r="BJ1068" i="48"/>
  <c r="BD1068" i="48"/>
  <c r="BD938" i="48"/>
  <c r="BJ938" i="48"/>
  <c r="AX1547" i="48"/>
  <c r="AU1547" i="48"/>
  <c r="AM1547" i="48" s="1"/>
  <c r="AZ1547" i="48"/>
  <c r="BK1547" i="48"/>
  <c r="AY1547" i="48"/>
  <c r="AV1547" i="48"/>
  <c r="AW1547" i="48"/>
  <c r="BA1547" i="48"/>
  <c r="AV1444" i="48"/>
  <c r="AX1444" i="48"/>
  <c r="BK1444" i="48"/>
  <c r="BA1444" i="48"/>
  <c r="AY1444" i="48"/>
  <c r="AW1444" i="48"/>
  <c r="AZ1444" i="48"/>
  <c r="AU1444" i="48"/>
  <c r="BJ1855" i="48"/>
  <c r="BD1855" i="48"/>
  <c r="BJ1318" i="48"/>
  <c r="BD1318" i="48"/>
  <c r="BA1801" i="48"/>
  <c r="AW1801" i="48"/>
  <c r="AZ1801" i="48"/>
  <c r="AU1801" i="48"/>
  <c r="AV1801" i="48"/>
  <c r="AX1801" i="48"/>
  <c r="BK1801" i="48"/>
  <c r="AY1801" i="48"/>
  <c r="BD1732" i="48"/>
  <c r="BJ1732" i="48"/>
  <c r="BK1035" i="48"/>
  <c r="AZ1035" i="48"/>
  <c r="AV1035" i="48"/>
  <c r="BA1035" i="48"/>
  <c r="AX1035" i="48"/>
  <c r="AU1035" i="48"/>
  <c r="AY1035" i="48"/>
  <c r="AW1035" i="48"/>
  <c r="BA1017" i="48"/>
  <c r="AY1017" i="48"/>
  <c r="AX1017" i="48"/>
  <c r="BK1017" i="48"/>
  <c r="AU1017" i="48"/>
  <c r="AL1017" i="48" s="1"/>
  <c r="AW1017" i="48"/>
  <c r="AV1017" i="48"/>
  <c r="AZ1017" i="48"/>
  <c r="BD1018" i="48"/>
  <c r="BJ1018" i="48"/>
  <c r="BA1216" i="48"/>
  <c r="AY1216" i="48"/>
  <c r="AX1216" i="48"/>
  <c r="BK1216" i="48"/>
  <c r="AU1216" i="48"/>
  <c r="AN1216" i="48" s="1"/>
  <c r="AV1216" i="48"/>
  <c r="AZ1216" i="48"/>
  <c r="AW1216" i="48"/>
  <c r="BD1760" i="48"/>
  <c r="BJ1760" i="48"/>
  <c r="BJ1992" i="48"/>
  <c r="BD1992" i="48"/>
  <c r="BJ1968" i="48"/>
  <c r="BD1968" i="48"/>
  <c r="BA1968" i="48"/>
  <c r="AX1968" i="48"/>
  <c r="AV1968" i="48"/>
  <c r="AU1968" i="48"/>
  <c r="BK1968" i="48"/>
  <c r="AZ1968" i="48"/>
  <c r="AY1968" i="48"/>
  <c r="AW1968" i="48"/>
  <c r="BJ1356" i="48"/>
  <c r="BD1356" i="48"/>
  <c r="BD837" i="48"/>
  <c r="BJ837" i="48"/>
  <c r="AZ1122" i="48"/>
  <c r="AU1122" i="48"/>
  <c r="AN1122" i="48" s="1"/>
  <c r="AV1122" i="48"/>
  <c r="AX1122" i="48"/>
  <c r="BK1122" i="48"/>
  <c r="BA1122" i="48"/>
  <c r="AY1122" i="48"/>
  <c r="AW1122" i="48"/>
  <c r="BJ1223" i="48"/>
  <c r="BD1223" i="48"/>
  <c r="BA1223" i="48"/>
  <c r="AX1223" i="48"/>
  <c r="AV1223" i="48"/>
  <c r="AZ1223" i="48"/>
  <c r="AU1223" i="48"/>
  <c r="AN1223" i="48" s="1"/>
  <c r="BK1223" i="48"/>
  <c r="AY1223" i="48"/>
  <c r="AW1223" i="48"/>
  <c r="BJ632" i="48"/>
  <c r="BD632" i="48"/>
  <c r="BD1763" i="48"/>
  <c r="BJ1763" i="48"/>
  <c r="BJ1928" i="48"/>
  <c r="BD1928" i="48"/>
  <c r="BD705" i="48"/>
  <c r="BJ705" i="48"/>
  <c r="BD642" i="48"/>
  <c r="BJ642" i="48"/>
  <c r="AZ1310" i="48"/>
  <c r="AU1310" i="48"/>
  <c r="AV1310" i="48"/>
  <c r="AX1310" i="48"/>
  <c r="BK1310" i="48"/>
  <c r="BA1310" i="48"/>
  <c r="AY1310" i="48"/>
  <c r="AW1310" i="48"/>
  <c r="BJ1211" i="48"/>
  <c r="BD1211" i="48"/>
  <c r="BJ1782" i="48"/>
  <c r="BD1782" i="48"/>
  <c r="BD1237" i="48"/>
  <c r="BJ1237" i="48"/>
  <c r="BJ936" i="48"/>
  <c r="BD936" i="48"/>
  <c r="AW855" i="48"/>
  <c r="BA855" i="48"/>
  <c r="AV855" i="48"/>
  <c r="AX855" i="48"/>
  <c r="BK855" i="48"/>
  <c r="AZ855" i="48"/>
  <c r="AY855" i="48"/>
  <c r="AU855" i="48"/>
  <c r="AZ1753" i="48"/>
  <c r="AV1753" i="48"/>
  <c r="BA1753" i="48"/>
  <c r="BK1753" i="48"/>
  <c r="AX1753" i="48"/>
  <c r="AU1753" i="48"/>
  <c r="AW1753" i="48"/>
  <c r="AY1753" i="48"/>
  <c r="BD1536" i="48"/>
  <c r="BJ1536" i="48"/>
  <c r="BJ1508" i="48"/>
  <c r="BD1508" i="48"/>
  <c r="BK1043" i="48"/>
  <c r="AZ1043" i="48"/>
  <c r="AV1043" i="48"/>
  <c r="BA1043" i="48"/>
  <c r="AY1043" i="48"/>
  <c r="AX1043" i="48"/>
  <c r="AW1043" i="48"/>
  <c r="AU1043" i="48"/>
  <c r="AL1043" i="48" s="1"/>
  <c r="BK1015" i="48"/>
  <c r="AZ1015" i="48"/>
  <c r="AV1015" i="48"/>
  <c r="BA1015" i="48"/>
  <c r="AU1015" i="48"/>
  <c r="AW1015" i="48"/>
  <c r="AX1015" i="48"/>
  <c r="AY1015" i="48"/>
  <c r="BD1691" i="48"/>
  <c r="BJ1691" i="48"/>
  <c r="BA1300" i="48"/>
  <c r="AX1300" i="48"/>
  <c r="BK1300" i="48"/>
  <c r="AU1300" i="48"/>
  <c r="AY1300" i="48"/>
  <c r="AZ1300" i="48"/>
  <c r="AW1300" i="48"/>
  <c r="AV1300" i="48"/>
  <c r="BD1772" i="48"/>
  <c r="BJ1772" i="48"/>
  <c r="BD1483" i="48"/>
  <c r="BJ1483" i="48"/>
  <c r="BJ945" i="48"/>
  <c r="BD945" i="48"/>
  <c r="BJ1912" i="48"/>
  <c r="BD1912" i="48"/>
  <c r="BD665" i="48"/>
  <c r="BJ665" i="48"/>
  <c r="BJ1405" i="48"/>
  <c r="BD1405" i="48"/>
  <c r="BJ800" i="48"/>
  <c r="BD800" i="48"/>
  <c r="AX1376" i="48"/>
  <c r="AY1376" i="48"/>
  <c r="AU1376" i="48"/>
  <c r="AK1376" i="48" s="1"/>
  <c r="BK1376" i="48"/>
  <c r="AZ1376" i="48"/>
  <c r="AW1376" i="48"/>
  <c r="BA1376" i="48"/>
  <c r="AV1376" i="48"/>
  <c r="BA689" i="48"/>
  <c r="AX689" i="48"/>
  <c r="BK689" i="48"/>
  <c r="AV689" i="48"/>
  <c r="AZ689" i="48"/>
  <c r="AU689" i="48"/>
  <c r="AY689" i="48"/>
  <c r="AW689" i="48"/>
  <c r="BJ816" i="48"/>
  <c r="BD816" i="48"/>
  <c r="BD1463" i="48"/>
  <c r="BJ1463" i="48"/>
  <c r="BA1641" i="48"/>
  <c r="AX1641" i="48"/>
  <c r="BK1641" i="48"/>
  <c r="AZ1641" i="48"/>
  <c r="AW1641" i="48"/>
  <c r="AU1641" i="48"/>
  <c r="AN1641" i="48" s="1"/>
  <c r="AY1641" i="48"/>
  <c r="AV1641" i="48"/>
  <c r="AW1472" i="48"/>
  <c r="BA1472" i="48"/>
  <c r="AV1472" i="48"/>
  <c r="AX1472" i="48"/>
  <c r="BK1472" i="48"/>
  <c r="AY1472" i="48"/>
  <c r="AZ1472" i="48"/>
  <c r="AU1472" i="48"/>
  <c r="BD1001" i="48"/>
  <c r="BJ1001" i="48"/>
  <c r="BJ1741" i="48"/>
  <c r="BD1741" i="48"/>
  <c r="BJ1971" i="48"/>
  <c r="BD1971" i="48"/>
  <c r="BJ1967" i="48"/>
  <c r="BD1967" i="48"/>
  <c r="AW1163" i="48"/>
  <c r="AV1163" i="48"/>
  <c r="AX1163" i="48"/>
  <c r="AZ1163" i="48"/>
  <c r="BK1163" i="48"/>
  <c r="AU1163" i="48"/>
  <c r="AO1163" i="48" s="1"/>
  <c r="BA1163" i="48"/>
  <c r="AY1163" i="48"/>
  <c r="BA1245" i="48"/>
  <c r="AX1245" i="48"/>
  <c r="AU1245" i="48"/>
  <c r="AO1245" i="48" s="1"/>
  <c r="AW1245" i="48"/>
  <c r="AY1245" i="48"/>
  <c r="AV1245" i="48"/>
  <c r="BK1245" i="48"/>
  <c r="AZ1245" i="48"/>
  <c r="BD1349" i="48"/>
  <c r="BJ1349" i="48"/>
  <c r="BJ1916" i="48"/>
  <c r="BD1916" i="48"/>
  <c r="AV1824" i="48"/>
  <c r="AY1824" i="48"/>
  <c r="AU1824" i="48"/>
  <c r="AP1824" i="48" s="1"/>
  <c r="AW1824" i="48"/>
  <c r="AZ1824" i="48"/>
  <c r="AX1824" i="48"/>
  <c r="BK1824" i="48"/>
  <c r="BA1824" i="48"/>
  <c r="BD1149" i="48"/>
  <c r="BJ1149" i="48"/>
  <c r="BD869" i="48"/>
  <c r="BJ869" i="48"/>
  <c r="BJ1366" i="48"/>
  <c r="BD1366" i="48"/>
  <c r="BA1620" i="48"/>
  <c r="AY1620" i="48"/>
  <c r="AX1620" i="48"/>
  <c r="BK1620" i="48"/>
  <c r="AU1620" i="48"/>
  <c r="AP1620" i="48" s="1"/>
  <c r="AV1620" i="48"/>
  <c r="AZ1620" i="48"/>
  <c r="AW1620" i="48"/>
  <c r="BD730" i="48"/>
  <c r="BJ730" i="48"/>
  <c r="BD1341" i="48"/>
  <c r="BJ1341" i="48"/>
  <c r="AX810" i="48"/>
  <c r="AZ810" i="48"/>
  <c r="AU810" i="48"/>
  <c r="AW810" i="48"/>
  <c r="AV810" i="48"/>
  <c r="BA810" i="48"/>
  <c r="BK810" i="48"/>
  <c r="AY810" i="48"/>
  <c r="BD1939" i="48"/>
  <c r="BJ1939" i="48"/>
  <c r="BD1704" i="48"/>
  <c r="BJ1704" i="48"/>
  <c r="BD693" i="48"/>
  <c r="BJ693" i="48"/>
  <c r="BD1683" i="48"/>
  <c r="BJ1683" i="48"/>
  <c r="AX1397" i="48"/>
  <c r="AZ1397" i="48"/>
  <c r="BK1397" i="48"/>
  <c r="AY1397" i="48"/>
  <c r="AV1397" i="48"/>
  <c r="AU1397" i="48"/>
  <c r="AW1397" i="48"/>
  <c r="BA1397" i="48"/>
  <c r="AY982" i="48"/>
  <c r="AW982" i="48"/>
  <c r="AZ982" i="48"/>
  <c r="AU982" i="48"/>
  <c r="AV982" i="48"/>
  <c r="AX982" i="48"/>
  <c r="BK982" i="48"/>
  <c r="BA982" i="48"/>
  <c r="BJ1486" i="48"/>
  <c r="BD1486" i="48"/>
  <c r="BD389" i="48"/>
  <c r="BJ389" i="48"/>
  <c r="BJ418" i="48"/>
  <c r="BD418" i="48"/>
  <c r="BJ451" i="48"/>
  <c r="BD451" i="48"/>
  <c r="BK530" i="48"/>
  <c r="AZ530" i="48"/>
  <c r="AV530" i="48"/>
  <c r="BA530" i="48"/>
  <c r="AX530" i="48"/>
  <c r="AU530" i="48"/>
  <c r="AY530" i="48"/>
  <c r="AW530" i="48"/>
  <c r="BJ491" i="48"/>
  <c r="BD491" i="48"/>
  <c r="BD476" i="48"/>
  <c r="BJ476" i="48"/>
  <c r="AX139" i="48"/>
  <c r="AV139" i="48"/>
  <c r="AZ139" i="48"/>
  <c r="BJ139" i="48" s="1"/>
  <c r="AU139" i="48"/>
  <c r="BK139" i="48"/>
  <c r="AY139" i="48"/>
  <c r="AW139" i="48"/>
  <c r="BD139" i="48" s="1"/>
  <c r="AZ91" i="48"/>
  <c r="AU91" i="48"/>
  <c r="BK91" i="48"/>
  <c r="AY91" i="48"/>
  <c r="AX91" i="48"/>
  <c r="AV91" i="48"/>
  <c r="AW91" i="48"/>
  <c r="AX77" i="48"/>
  <c r="AW77" i="48"/>
  <c r="AV77" i="48"/>
  <c r="BK77" i="48"/>
  <c r="AY77" i="48"/>
  <c r="AZ77" i="48"/>
  <c r="AU77" i="48"/>
  <c r="AO77" i="48" s="1"/>
  <c r="AP77" i="48" s="1"/>
  <c r="AW262" i="48"/>
  <c r="AX262" i="48"/>
  <c r="BK262" i="48"/>
  <c r="AZ262" i="48"/>
  <c r="AY262" i="48"/>
  <c r="AU262" i="48"/>
  <c r="AV262" i="48"/>
  <c r="AZ63" i="48"/>
  <c r="AU63" i="48"/>
  <c r="AO63" i="48" s="1"/>
  <c r="AP63" i="48" s="1"/>
  <c r="BK63" i="48"/>
  <c r="AY63" i="48"/>
  <c r="AX63" i="48"/>
  <c r="AV63" i="48"/>
  <c r="AW63" i="48"/>
  <c r="BA2056" i="48"/>
  <c r="AX2056" i="48"/>
  <c r="BK2056" i="48"/>
  <c r="AV2056" i="48"/>
  <c r="AW2056" i="48"/>
  <c r="AU2056" i="48"/>
  <c r="AK2056" i="48" s="1"/>
  <c r="AZ2056" i="48"/>
  <c r="AY2056" i="48"/>
  <c r="BJ302" i="48"/>
  <c r="BD302" i="48"/>
  <c r="AY545" i="48"/>
  <c r="BA545" i="48"/>
  <c r="AZ545" i="48"/>
  <c r="AU545" i="48"/>
  <c r="AM545" i="48" s="1"/>
  <c r="AV545" i="48"/>
  <c r="AX545" i="48"/>
  <c r="BK545" i="48"/>
  <c r="AW545" i="48"/>
  <c r="AX167" i="48"/>
  <c r="AV167" i="48"/>
  <c r="AZ167" i="48"/>
  <c r="BJ167" i="48" s="1"/>
  <c r="AU167" i="48"/>
  <c r="BK167" i="48"/>
  <c r="AY167" i="48"/>
  <c r="AW167" i="48"/>
  <c r="BD167" i="48" s="1"/>
  <c r="BD484" i="48"/>
  <c r="BJ484" i="48"/>
  <c r="BD461" i="48"/>
  <c r="BJ461" i="48"/>
  <c r="AZ251" i="48"/>
  <c r="AU251" i="48"/>
  <c r="BK251" i="48"/>
  <c r="AY251" i="48"/>
  <c r="AX251" i="48"/>
  <c r="AV251" i="48"/>
  <c r="AW251" i="48"/>
  <c r="BJ427" i="48"/>
  <c r="BD427" i="48"/>
  <c r="BK112" i="48"/>
  <c r="AU112" i="48"/>
  <c r="AY112" i="48"/>
  <c r="AX112" i="48"/>
  <c r="AZ112" i="48"/>
  <c r="AW112" i="48"/>
  <c r="AV112" i="48"/>
  <c r="BD505" i="48"/>
  <c r="BJ505" i="48"/>
  <c r="BA343" i="48"/>
  <c r="BK343" i="48"/>
  <c r="AY343" i="48"/>
  <c r="AX343" i="48"/>
  <c r="AV343" i="48"/>
  <c r="AZ343" i="48"/>
  <c r="AU343" i="48"/>
  <c r="AK343" i="48" s="1"/>
  <c r="AW343" i="48"/>
  <c r="BA496" i="48"/>
  <c r="AY496" i="48"/>
  <c r="BK496" i="48"/>
  <c r="AX496" i="48"/>
  <c r="AU496" i="48"/>
  <c r="AZ496" i="48"/>
  <c r="AW496" i="48"/>
  <c r="AV496" i="48"/>
  <c r="BA512" i="48"/>
  <c r="AY512" i="48"/>
  <c r="BK512" i="48"/>
  <c r="AX512" i="48"/>
  <c r="AU512" i="48"/>
  <c r="AZ512" i="48"/>
  <c r="AW512" i="48"/>
  <c r="AV512" i="48"/>
  <c r="AW330" i="48"/>
  <c r="AV330" i="48"/>
  <c r="AY330" i="48"/>
  <c r="BA330" i="48"/>
  <c r="AU330" i="48"/>
  <c r="AX330" i="48"/>
  <c r="BK330" i="48"/>
  <c r="AZ330" i="48"/>
  <c r="AZ278" i="48"/>
  <c r="AW278" i="48"/>
  <c r="AU278" i="48"/>
  <c r="AX278" i="48"/>
  <c r="BK278" i="48"/>
  <c r="AY278" i="48"/>
  <c r="AV278" i="48"/>
  <c r="BD388" i="48"/>
  <c r="BJ388" i="48"/>
  <c r="BK450" i="48"/>
  <c r="BA450" i="48"/>
  <c r="AV450" i="48"/>
  <c r="AY450" i="48"/>
  <c r="AZ450" i="48"/>
  <c r="AW450" i="48"/>
  <c r="AU450" i="48"/>
  <c r="AX450" i="48"/>
  <c r="BJ390" i="48"/>
  <c r="BD390" i="48"/>
  <c r="AW390" i="48"/>
  <c r="AU390" i="48"/>
  <c r="AX390" i="48"/>
  <c r="BK390" i="48"/>
  <c r="AZ390" i="48"/>
  <c r="BA390" i="48"/>
  <c r="AV390" i="48"/>
  <c r="AY390" i="48"/>
  <c r="BD301" i="48"/>
  <c r="BJ301" i="48"/>
  <c r="BJ331" i="48"/>
  <c r="BD331" i="48"/>
  <c r="BA419" i="48"/>
  <c r="AX419" i="48"/>
  <c r="AV419" i="48"/>
  <c r="BK419" i="48"/>
  <c r="AZ419" i="48"/>
  <c r="AU419" i="48"/>
  <c r="AY419" i="48"/>
  <c r="AW419" i="48"/>
  <c r="BA334" i="48"/>
  <c r="AW334" i="48"/>
  <c r="AV334" i="48"/>
  <c r="BK334" i="48"/>
  <c r="AZ334" i="48"/>
  <c r="AY334" i="48"/>
  <c r="AU334" i="48"/>
  <c r="AX334" i="48"/>
  <c r="BD533" i="48"/>
  <c r="BJ533" i="48"/>
  <c r="BD425" i="48"/>
  <c r="BJ425" i="48"/>
  <c r="BJ506" i="48"/>
  <c r="BD506" i="48"/>
  <c r="AZ242" i="48"/>
  <c r="AX242" i="48"/>
  <c r="AV242" i="48"/>
  <c r="BK242" i="48"/>
  <c r="AY242" i="48"/>
  <c r="AW242" i="48"/>
  <c r="AU242" i="48"/>
  <c r="BD349" i="48"/>
  <c r="BJ349" i="48"/>
  <c r="BJ479" i="48"/>
  <c r="BD479" i="48"/>
  <c r="BA479" i="48"/>
  <c r="AX479" i="48"/>
  <c r="AV479" i="48"/>
  <c r="AZ479" i="48"/>
  <c r="AU479" i="48"/>
  <c r="BK479" i="48"/>
  <c r="AY479" i="48"/>
  <c r="AW479" i="48"/>
  <c r="AX397" i="48"/>
  <c r="AW397" i="48"/>
  <c r="BK397" i="48"/>
  <c r="AY397" i="48"/>
  <c r="AZ397" i="48"/>
  <c r="AU397" i="48"/>
  <c r="AV397" i="48"/>
  <c r="BA397" i="48"/>
  <c r="BK490" i="48"/>
  <c r="AZ490" i="48"/>
  <c r="AV490" i="48"/>
  <c r="BA490" i="48"/>
  <c r="AY490" i="48"/>
  <c r="AX490" i="48"/>
  <c r="AW490" i="48"/>
  <c r="AU490" i="48"/>
  <c r="BJ342" i="48"/>
  <c r="BD342" i="48"/>
  <c r="AW342" i="48"/>
  <c r="AX342" i="48"/>
  <c r="AV342" i="48"/>
  <c r="BK342" i="48"/>
  <c r="AZ342" i="48"/>
  <c r="AY342" i="48"/>
  <c r="AU342" i="48"/>
  <c r="BA342" i="48"/>
  <c r="AX137" i="48"/>
  <c r="AW137" i="48"/>
  <c r="AY137" i="48"/>
  <c r="AZ137" i="48"/>
  <c r="AU137" i="48"/>
  <c r="AV137" i="48"/>
  <c r="BK137" i="48"/>
  <c r="AU338" i="48"/>
  <c r="AX338" i="48"/>
  <c r="BA338" i="48"/>
  <c r="AV338" i="48"/>
  <c r="BK338" i="48"/>
  <c r="AZ338" i="48"/>
  <c r="AY338" i="48"/>
  <c r="AW338" i="48"/>
  <c r="BA480" i="48"/>
  <c r="AY480" i="48"/>
  <c r="AX480" i="48"/>
  <c r="BK480" i="48"/>
  <c r="AU480" i="48"/>
  <c r="AZ480" i="48"/>
  <c r="AW480" i="48"/>
  <c r="AV480" i="48"/>
  <c r="BK510" i="48"/>
  <c r="AV510" i="48"/>
  <c r="AZ510" i="48"/>
  <c r="AX510" i="48"/>
  <c r="BA510" i="48"/>
  <c r="AW510" i="48"/>
  <c r="AU510" i="48"/>
  <c r="AL510" i="48" s="1"/>
  <c r="AY510" i="48"/>
  <c r="BK143" i="48"/>
  <c r="AY143" i="48"/>
  <c r="AX143" i="48"/>
  <c r="AV143" i="48"/>
  <c r="AZ143" i="48"/>
  <c r="AU143" i="48"/>
  <c r="AW143" i="48"/>
  <c r="BD516" i="48"/>
  <c r="BJ516" i="48"/>
  <c r="AY168" i="48"/>
  <c r="AX168" i="48"/>
  <c r="BK168" i="48"/>
  <c r="AU168" i="48"/>
  <c r="AV168" i="48"/>
  <c r="AZ168" i="48"/>
  <c r="AW168" i="48"/>
  <c r="AZ123" i="48"/>
  <c r="AU123" i="48"/>
  <c r="BK123" i="48"/>
  <c r="AY123" i="48"/>
  <c r="AX123" i="48"/>
  <c r="AV123" i="48"/>
  <c r="AW123" i="48"/>
  <c r="BA412" i="48"/>
  <c r="AY412" i="48"/>
  <c r="AX412" i="48"/>
  <c r="BK412" i="48"/>
  <c r="AU412" i="48"/>
  <c r="AV412" i="48"/>
  <c r="AZ412" i="48"/>
  <c r="AW412" i="48"/>
  <c r="BA455" i="48"/>
  <c r="BK455" i="48"/>
  <c r="AY455" i="48"/>
  <c r="AX455" i="48"/>
  <c r="AV455" i="48"/>
  <c r="AZ455" i="48"/>
  <c r="AU455" i="48"/>
  <c r="AW455" i="48"/>
  <c r="AV199" i="48"/>
  <c r="AZ199" i="48"/>
  <c r="AU199" i="48"/>
  <c r="BK199" i="48"/>
  <c r="AY199" i="48"/>
  <c r="AX199" i="48"/>
  <c r="AW199" i="48"/>
  <c r="AX149" i="48"/>
  <c r="AY149" i="48"/>
  <c r="AZ149" i="48"/>
  <c r="AU149" i="48"/>
  <c r="AV149" i="48"/>
  <c r="AW149" i="48"/>
  <c r="BK149" i="48"/>
  <c r="BD424" i="48"/>
  <c r="BJ424" i="48"/>
  <c r="BJ446" i="48"/>
  <c r="BD446" i="48"/>
  <c r="BJ370" i="48"/>
  <c r="BD370" i="48"/>
  <c r="AX133" i="48"/>
  <c r="AZ133" i="48"/>
  <c r="AU133" i="48"/>
  <c r="AW133" i="48"/>
  <c r="AV133" i="48"/>
  <c r="BK133" i="48"/>
  <c r="AY133" i="48"/>
  <c r="BD380" i="48"/>
  <c r="BJ380" i="48"/>
  <c r="BD465" i="48"/>
  <c r="BJ465" i="48"/>
  <c r="BA456" i="48"/>
  <c r="AY456" i="48"/>
  <c r="AX456" i="48"/>
  <c r="BK456" i="48"/>
  <c r="AU456" i="48"/>
  <c r="AV456" i="48"/>
  <c r="AZ456" i="48"/>
  <c r="AW456" i="48"/>
  <c r="BD421" i="48"/>
  <c r="BJ421" i="48"/>
  <c r="BJ439" i="48"/>
  <c r="BD439" i="48"/>
  <c r="AW362" i="48"/>
  <c r="AV362" i="48"/>
  <c r="AY362" i="48"/>
  <c r="BA362" i="48"/>
  <c r="AU362" i="48"/>
  <c r="AX362" i="48"/>
  <c r="BK362" i="48"/>
  <c r="AZ362" i="48"/>
  <c r="BA472" i="48"/>
  <c r="AY472" i="48"/>
  <c r="AX472" i="48"/>
  <c r="BK472" i="48"/>
  <c r="AU472" i="48"/>
  <c r="AV472" i="48"/>
  <c r="AZ472" i="48"/>
  <c r="AW472" i="48"/>
  <c r="AX844" i="48"/>
  <c r="BK844" i="48"/>
  <c r="AY844" i="48"/>
  <c r="AV844" i="48"/>
  <c r="AU844" i="48"/>
  <c r="AL844" i="48" s="1"/>
  <c r="AZ844" i="48"/>
  <c r="AW844" i="48"/>
  <c r="BA844" i="48"/>
  <c r="BJ1192" i="48"/>
  <c r="BD1192" i="48"/>
  <c r="AX756" i="48"/>
  <c r="AZ756" i="48"/>
  <c r="BK756" i="48"/>
  <c r="AY756" i="48"/>
  <c r="AV756" i="48"/>
  <c r="AU756" i="48"/>
  <c r="AP756" i="48" s="1"/>
  <c r="AW756" i="48"/>
  <c r="BA756" i="48"/>
  <c r="BD1014" i="48"/>
  <c r="BJ1014" i="48"/>
  <c r="BD946" i="48"/>
  <c r="BJ946" i="48"/>
  <c r="AX798" i="48"/>
  <c r="AW798" i="48"/>
  <c r="AV798" i="48"/>
  <c r="BA798" i="48"/>
  <c r="BK798" i="48"/>
  <c r="AY798" i="48"/>
  <c r="AZ798" i="48"/>
  <c r="AU798" i="48"/>
  <c r="AX1523" i="48"/>
  <c r="AV1523" i="48"/>
  <c r="AU1523" i="48"/>
  <c r="AZ1523" i="48"/>
  <c r="BK1523" i="48"/>
  <c r="AY1523" i="48"/>
  <c r="BA1523" i="48"/>
  <c r="AW1523" i="48"/>
  <c r="AZ1748" i="48"/>
  <c r="AU1748" i="48"/>
  <c r="AO1748" i="48" s="1"/>
  <c r="AV1748" i="48"/>
  <c r="AX1748" i="48"/>
  <c r="BK1748" i="48"/>
  <c r="BA1748" i="48"/>
  <c r="AY1748" i="48"/>
  <c r="AW1748" i="48"/>
  <c r="BD862" i="48"/>
  <c r="BJ862" i="48"/>
  <c r="BA809" i="48"/>
  <c r="AX809" i="48"/>
  <c r="AV809" i="48"/>
  <c r="BK809" i="48"/>
  <c r="AZ809" i="48"/>
  <c r="AU809" i="48"/>
  <c r="AY809" i="48"/>
  <c r="AW809" i="48"/>
  <c r="BD1329" i="48"/>
  <c r="BJ1329" i="48"/>
  <c r="BD1077" i="48"/>
  <c r="BJ1077" i="48"/>
  <c r="BJ1717" i="48"/>
  <c r="BD1717" i="48"/>
  <c r="BJ1821" i="48"/>
  <c r="BD1821" i="48"/>
  <c r="BJ1619" i="48"/>
  <c r="BD1619" i="48"/>
  <c r="BD1042" i="48"/>
  <c r="BJ1042" i="48"/>
  <c r="BA1648" i="48"/>
  <c r="BK1648" i="48"/>
  <c r="AU1648" i="48"/>
  <c r="AY1648" i="48"/>
  <c r="AX1648" i="48"/>
  <c r="AW1648" i="48"/>
  <c r="AV1648" i="48"/>
  <c r="AZ1648" i="48"/>
  <c r="BA1585" i="48"/>
  <c r="AX1585" i="48"/>
  <c r="AY1585" i="48"/>
  <c r="BK1585" i="48"/>
  <c r="AV1585" i="48"/>
  <c r="AZ1585" i="48"/>
  <c r="AW1585" i="48"/>
  <c r="AU1585" i="48"/>
  <c r="AL1585" i="48" s="1"/>
  <c r="BJ1063" i="48"/>
  <c r="BD1063" i="48"/>
  <c r="BD574" i="48"/>
  <c r="BJ574" i="48"/>
  <c r="BA1050" i="48"/>
  <c r="AW1050" i="48"/>
  <c r="AV1050" i="48"/>
  <c r="AX1050" i="48"/>
  <c r="BK1050" i="48"/>
  <c r="AY1050" i="48"/>
  <c r="AZ1050" i="48"/>
  <c r="AU1050" i="48"/>
  <c r="AM1050" i="48" s="1"/>
  <c r="BJ2011" i="48"/>
  <c r="BD2011" i="48"/>
  <c r="AX2011" i="48"/>
  <c r="BK2011" i="48"/>
  <c r="AY2011" i="48"/>
  <c r="AV2011" i="48"/>
  <c r="AU2011" i="48"/>
  <c r="AM2011" i="48" s="1"/>
  <c r="AZ2011" i="48"/>
  <c r="AW2011" i="48"/>
  <c r="BA2011" i="48"/>
  <c r="AW1046" i="48"/>
  <c r="BA1046" i="48"/>
  <c r="AZ1046" i="48"/>
  <c r="AU1046" i="48"/>
  <c r="AO1046" i="48" s="1"/>
  <c r="AV1046" i="48"/>
  <c r="AX1046" i="48"/>
  <c r="BK1046" i="48"/>
  <c r="AY1046" i="48"/>
  <c r="BJ1178" i="48"/>
  <c r="BD1178" i="48"/>
  <c r="BD842" i="48"/>
  <c r="BJ842" i="48"/>
  <c r="BD1944" i="48"/>
  <c r="BJ1944" i="48"/>
  <c r="BJ1111" i="48"/>
  <c r="BD1111" i="48"/>
  <c r="BJ1667" i="48"/>
  <c r="BD1667" i="48"/>
  <c r="AX876" i="48"/>
  <c r="AZ876" i="48"/>
  <c r="BK876" i="48"/>
  <c r="AY876" i="48"/>
  <c r="AV876" i="48"/>
  <c r="AU876" i="48"/>
  <c r="AW876" i="48"/>
  <c r="BA876" i="48"/>
  <c r="BA1576" i="48"/>
  <c r="AX1576" i="48"/>
  <c r="BK1576" i="48"/>
  <c r="AU1576" i="48"/>
  <c r="AP1576" i="48" s="1"/>
  <c r="AY1576" i="48"/>
  <c r="AV1576" i="48"/>
  <c r="AZ1576" i="48"/>
  <c r="AW1576" i="48"/>
  <c r="BD1431" i="48"/>
  <c r="BJ1431" i="48"/>
  <c r="BJ967" i="48"/>
  <c r="BD967" i="48"/>
  <c r="BA1601" i="48"/>
  <c r="AX1601" i="48"/>
  <c r="AU1601" i="48"/>
  <c r="AY1601" i="48"/>
  <c r="AV1601" i="48"/>
  <c r="BK1601" i="48"/>
  <c r="AZ1601" i="48"/>
  <c r="AW1601" i="48"/>
  <c r="BA1442" i="48"/>
  <c r="AX1442" i="48"/>
  <c r="BK1442" i="48"/>
  <c r="AU1442" i="48"/>
  <c r="AP1442" i="48" s="1"/>
  <c r="AY1442" i="48"/>
  <c r="AV1442" i="48"/>
  <c r="AZ1442" i="48"/>
  <c r="AW1442" i="48"/>
  <c r="BJ1256" i="48"/>
  <c r="BD1256" i="48"/>
  <c r="BJ668" i="48"/>
  <c r="BD668" i="48"/>
  <c r="AX706" i="48"/>
  <c r="BK706" i="48"/>
  <c r="AW706" i="48"/>
  <c r="AY706" i="48"/>
  <c r="AZ706" i="48"/>
  <c r="AU706" i="48"/>
  <c r="AV706" i="48"/>
  <c r="BA706" i="48"/>
  <c r="BA1209" i="48"/>
  <c r="AX1209" i="48"/>
  <c r="AU1209" i="48"/>
  <c r="AN1209" i="48" s="1"/>
  <c r="AY1209" i="48"/>
  <c r="AV1209" i="48"/>
  <c r="BK1209" i="48"/>
  <c r="AZ1209" i="48"/>
  <c r="AW1209" i="48"/>
  <c r="BK1095" i="48"/>
  <c r="AV1095" i="48"/>
  <c r="AZ1095" i="48"/>
  <c r="BA1095" i="48"/>
  <c r="AU1095" i="48"/>
  <c r="AW1095" i="48"/>
  <c r="AX1095" i="48"/>
  <c r="AY1095" i="48"/>
  <c r="BD1609" i="48"/>
  <c r="BJ1609" i="48"/>
  <c r="BJ856" i="48"/>
  <c r="BD856" i="48"/>
  <c r="BD1998" i="48"/>
  <c r="BJ1998" i="48"/>
  <c r="BA1432" i="48"/>
  <c r="AW1432" i="48"/>
  <c r="AY1432" i="48"/>
  <c r="AZ1432" i="48"/>
  <c r="AU1432" i="48"/>
  <c r="AV1432" i="48"/>
  <c r="AX1432" i="48"/>
  <c r="BK1432" i="48"/>
  <c r="AX1814" i="48"/>
  <c r="AU1814" i="48"/>
  <c r="AP1814" i="48" s="1"/>
  <c r="BK1814" i="48"/>
  <c r="AZ1814" i="48"/>
  <c r="AV1814" i="48"/>
  <c r="AY1814" i="48"/>
  <c r="AW1814" i="48"/>
  <c r="BA1814" i="48"/>
  <c r="BD1495" i="48"/>
  <c r="BJ1495" i="48"/>
  <c r="BJ1131" i="48"/>
  <c r="BD1131" i="48"/>
  <c r="BD890" i="48"/>
  <c r="BJ890" i="48"/>
  <c r="BJ1640" i="48"/>
  <c r="BD1640" i="48"/>
  <c r="BD1747" i="48"/>
  <c r="BJ1747" i="48"/>
  <c r="BK995" i="48"/>
  <c r="AZ995" i="48"/>
  <c r="AV995" i="48"/>
  <c r="BA995" i="48"/>
  <c r="AY995" i="48"/>
  <c r="AX995" i="48"/>
  <c r="AW995" i="48"/>
  <c r="AU995" i="48"/>
  <c r="AN995" i="48" s="1"/>
  <c r="BJ635" i="48"/>
  <c r="BD635" i="48"/>
  <c r="BA635" i="48"/>
  <c r="AW635" i="48"/>
  <c r="AY635" i="48"/>
  <c r="AU635" i="48"/>
  <c r="AX635" i="48"/>
  <c r="BK635" i="48"/>
  <c r="AZ635" i="48"/>
  <c r="AV635" i="48"/>
  <c r="AZ1757" i="48"/>
  <c r="AY1757" i="48"/>
  <c r="AV1757" i="48"/>
  <c r="AU1757" i="48"/>
  <c r="BA1757" i="48"/>
  <c r="AX1757" i="48"/>
  <c r="BK1757" i="48"/>
  <c r="AW1757" i="48"/>
  <c r="AZ1953" i="48"/>
  <c r="AU1953" i="48"/>
  <c r="AM1953" i="48" s="1"/>
  <c r="AV1953" i="48"/>
  <c r="AX1953" i="48"/>
  <c r="BK1953" i="48"/>
  <c r="BA1953" i="48"/>
  <c r="AY1953" i="48"/>
  <c r="AW1953" i="48"/>
  <c r="BJ671" i="48"/>
  <c r="BD671" i="48"/>
  <c r="BA1473" i="48"/>
  <c r="BK1473" i="48"/>
  <c r="AZ1473" i="48"/>
  <c r="AU1473" i="48"/>
  <c r="AO1473" i="48" s="1"/>
  <c r="AY1473" i="48"/>
  <c r="AX1473" i="48"/>
  <c r="AV1473" i="48"/>
  <c r="AW1473" i="48"/>
  <c r="BA1989" i="48"/>
  <c r="AV1989" i="48"/>
  <c r="AZ1989" i="48"/>
  <c r="AU1989" i="48"/>
  <c r="AK1989" i="48" s="1"/>
  <c r="BK1989" i="48"/>
  <c r="AY1989" i="48"/>
  <c r="AX1989" i="48"/>
  <c r="AW1989" i="48"/>
  <c r="BA1812" i="48"/>
  <c r="AX1812" i="48"/>
  <c r="AY1812" i="48"/>
  <c r="AW1812" i="48"/>
  <c r="BK1812" i="48"/>
  <c r="AV1812" i="48"/>
  <c r="AU1812" i="48"/>
  <c r="AO1812" i="48" s="1"/>
  <c r="AZ1812" i="48"/>
  <c r="BD1297" i="48"/>
  <c r="BJ1297" i="48"/>
  <c r="BD786" i="48"/>
  <c r="BJ786" i="48"/>
  <c r="BJ643" i="48"/>
  <c r="BD643" i="48"/>
  <c r="BD618" i="48"/>
  <c r="BJ618" i="48"/>
  <c r="BA937" i="48"/>
  <c r="AY937" i="48"/>
  <c r="AX937" i="48"/>
  <c r="BK937" i="48"/>
  <c r="AU937" i="48"/>
  <c r="AL937" i="48" s="1"/>
  <c r="AW937" i="48"/>
  <c r="AV937" i="48"/>
  <c r="AZ937" i="48"/>
  <c r="BD1002" i="48"/>
  <c r="BJ1002" i="48"/>
  <c r="AX716" i="48"/>
  <c r="AV716" i="48"/>
  <c r="AU716" i="48"/>
  <c r="AK716" i="48" s="1"/>
  <c r="AZ716" i="48"/>
  <c r="BK716" i="48"/>
  <c r="AY716" i="48"/>
  <c r="AW716" i="48"/>
  <c r="BA716" i="48"/>
  <c r="BJ1959" i="48"/>
  <c r="BD1959" i="48"/>
  <c r="BJ1474" i="48"/>
  <c r="BD1474" i="48"/>
  <c r="BJ1183" i="48"/>
  <c r="BD1183" i="48"/>
  <c r="BA1696" i="48"/>
  <c r="AW1696" i="48"/>
  <c r="BK1696" i="48"/>
  <c r="AY1696" i="48"/>
  <c r="AZ1696" i="48"/>
  <c r="AU1696" i="48"/>
  <c r="AV1696" i="48"/>
  <c r="AX1696" i="48"/>
  <c r="BJ1891" i="48"/>
  <c r="BD1891" i="48"/>
  <c r="BD1169" i="48"/>
  <c r="BJ1169" i="48"/>
  <c r="BJ1604" i="48"/>
  <c r="BD1604" i="48"/>
  <c r="BJ1103" i="48"/>
  <c r="BD1103" i="48"/>
  <c r="BA1633" i="48"/>
  <c r="AX1633" i="48"/>
  <c r="AU1633" i="48"/>
  <c r="AY1633" i="48"/>
  <c r="AV1633" i="48"/>
  <c r="BK1633" i="48"/>
  <c r="AZ1633" i="48"/>
  <c r="AW1633" i="48"/>
  <c r="BJ759" i="48"/>
  <c r="BD759" i="48"/>
  <c r="BJ1706" i="48"/>
  <c r="BD1706" i="48"/>
  <c r="BD1605" i="48"/>
  <c r="BJ1605" i="48"/>
  <c r="BD2020" i="48"/>
  <c r="BJ2020" i="48"/>
  <c r="BJ1024" i="48"/>
  <c r="BD1024" i="48"/>
  <c r="BJ1331" i="48"/>
  <c r="BD1331" i="48"/>
  <c r="BJ1460" i="48"/>
  <c r="BD1460" i="48"/>
  <c r="BA2012" i="48"/>
  <c r="BK2012" i="48"/>
  <c r="AY2012" i="48"/>
  <c r="AX2012" i="48"/>
  <c r="AV2012" i="48"/>
  <c r="AZ2012" i="48"/>
  <c r="AU2012" i="48"/>
  <c r="AK2012" i="48" s="1"/>
  <c r="AW2012" i="48"/>
  <c r="BD657" i="48"/>
  <c r="BJ657" i="48"/>
  <c r="BJ628" i="48"/>
  <c r="BD628" i="48"/>
  <c r="BA1565" i="48"/>
  <c r="AX1565" i="48"/>
  <c r="AY1565" i="48"/>
  <c r="BK1565" i="48"/>
  <c r="AW1565" i="48"/>
  <c r="AV1565" i="48"/>
  <c r="AU1565" i="48"/>
  <c r="AZ1565" i="48"/>
  <c r="BA1448" i="48"/>
  <c r="AW1448" i="48"/>
  <c r="AV1448" i="48"/>
  <c r="AX1448" i="48"/>
  <c r="BK1448" i="48"/>
  <c r="AY1448" i="48"/>
  <c r="AZ1448" i="48"/>
  <c r="AU1448" i="48"/>
  <c r="BK1915" i="48"/>
  <c r="BA1915" i="48"/>
  <c r="AY1915" i="48"/>
  <c r="AW1915" i="48"/>
  <c r="AZ1915" i="48"/>
  <c r="AU1915" i="48"/>
  <c r="AN1915" i="48" s="1"/>
  <c r="AV1915" i="48"/>
  <c r="AX1915" i="48"/>
  <c r="AZ1294" i="48"/>
  <c r="AU1294" i="48"/>
  <c r="AM1294" i="48" s="1"/>
  <c r="AV1294" i="48"/>
  <c r="AX1294" i="48"/>
  <c r="BK1294" i="48"/>
  <c r="BA1294" i="48"/>
  <c r="AY1294" i="48"/>
  <c r="AW1294" i="48"/>
  <c r="BK947" i="48"/>
  <c r="AZ947" i="48"/>
  <c r="AV947" i="48"/>
  <c r="BA947" i="48"/>
  <c r="AX947" i="48"/>
  <c r="AY947" i="48"/>
  <c r="AW947" i="48"/>
  <c r="AU947" i="48"/>
  <c r="BA1293" i="48"/>
  <c r="AX1293" i="48"/>
  <c r="AU1293" i="48"/>
  <c r="AW1293" i="48"/>
  <c r="AY1293" i="48"/>
  <c r="AV1293" i="48"/>
  <c r="BK1293" i="48"/>
  <c r="AZ1293" i="48"/>
  <c r="BD1960" i="48"/>
  <c r="BJ1960" i="48"/>
  <c r="AX1429" i="48"/>
  <c r="AU1429" i="48"/>
  <c r="AZ1429" i="48"/>
  <c r="BK1429" i="48"/>
  <c r="AY1429" i="48"/>
  <c r="AV1429" i="48"/>
  <c r="AW1429" i="48"/>
  <c r="BA1429" i="48"/>
  <c r="BK570" i="48"/>
  <c r="AZ570" i="48"/>
  <c r="AV570" i="48"/>
  <c r="AW570" i="48"/>
  <c r="AY570" i="48"/>
  <c r="AX570" i="48"/>
  <c r="BA570" i="48"/>
  <c r="AU570" i="48"/>
  <c r="AM570" i="48" s="1"/>
  <c r="BA1212" i="48"/>
  <c r="AY1212" i="48"/>
  <c r="AX1212" i="48"/>
  <c r="BK1212" i="48"/>
  <c r="AU1212" i="48"/>
  <c r="AW1212" i="48"/>
  <c r="AV1212" i="48"/>
  <c r="AZ1212" i="48"/>
  <c r="BD701" i="48"/>
  <c r="BJ701" i="48"/>
  <c r="AW647" i="48"/>
  <c r="BA647" i="48"/>
  <c r="AV647" i="48"/>
  <c r="BK647" i="48"/>
  <c r="AZ647" i="48"/>
  <c r="AY647" i="48"/>
  <c r="AU647" i="48"/>
  <c r="AN647" i="48" s="1"/>
  <c r="AX647" i="48"/>
  <c r="BA1964" i="48"/>
  <c r="AX1964" i="48"/>
  <c r="BK1964" i="48"/>
  <c r="AW1964" i="48"/>
  <c r="AU1964" i="48"/>
  <c r="AV1964" i="48"/>
  <c r="AY1964" i="48"/>
  <c r="AZ1964" i="48"/>
  <c r="BD1110" i="48"/>
  <c r="BJ1110" i="48"/>
  <c r="BD754" i="48"/>
  <c r="BJ754" i="48"/>
  <c r="BJ780" i="48"/>
  <c r="BD780" i="48"/>
  <c r="BD1688" i="48"/>
  <c r="BJ1688" i="48"/>
  <c r="BA2001" i="48"/>
  <c r="AY2001" i="48"/>
  <c r="AX2001" i="48"/>
  <c r="BK2001" i="48"/>
  <c r="AV2001" i="48"/>
  <c r="AU2001" i="48"/>
  <c r="AM2001" i="48" s="1"/>
  <c r="AZ2001" i="48"/>
  <c r="AW2001" i="48"/>
  <c r="AX686" i="48"/>
  <c r="AW686" i="48"/>
  <c r="AZ686" i="48"/>
  <c r="AU686" i="48"/>
  <c r="AV686" i="48"/>
  <c r="BA686" i="48"/>
  <c r="BK686" i="48"/>
  <c r="AY686" i="48"/>
  <c r="BA917" i="48"/>
  <c r="BK917" i="48"/>
  <c r="AX917" i="48"/>
  <c r="AU917" i="48"/>
  <c r="AY917" i="48"/>
  <c r="AV917" i="48"/>
  <c r="AZ917" i="48"/>
  <c r="AW917" i="48"/>
  <c r="BJ1690" i="48"/>
  <c r="BD1690" i="48"/>
  <c r="BA1690" i="48"/>
  <c r="AX1690" i="48"/>
  <c r="AV1690" i="48"/>
  <c r="AZ1690" i="48"/>
  <c r="AY1690" i="48"/>
  <c r="AU1690" i="48"/>
  <c r="BK1690" i="48"/>
  <c r="AW1690" i="48"/>
  <c r="BA633" i="48"/>
  <c r="AZ633" i="48"/>
  <c r="AU633" i="48"/>
  <c r="AK633" i="48" s="1"/>
  <c r="BK633" i="48"/>
  <c r="AY633" i="48"/>
  <c r="AX633" i="48"/>
  <c r="AV633" i="48"/>
  <c r="AW633" i="48"/>
  <c r="BD1386" i="48"/>
  <c r="BJ1386" i="48"/>
  <c r="AX1409" i="48"/>
  <c r="AU1409" i="48"/>
  <c r="AP1409" i="48" s="1"/>
  <c r="AZ1409" i="48"/>
  <c r="BK1409" i="48"/>
  <c r="AY1409" i="48"/>
  <c r="AV1409" i="48"/>
  <c r="AW1409" i="48"/>
  <c r="BA1409" i="48"/>
  <c r="AY902" i="48"/>
  <c r="AW902" i="48"/>
  <c r="AZ902" i="48"/>
  <c r="AU902" i="48"/>
  <c r="AO902" i="48" s="1"/>
  <c r="AV902" i="48"/>
  <c r="AX902" i="48"/>
  <c r="BK902" i="48"/>
  <c r="BA902" i="48"/>
  <c r="BA569" i="48"/>
  <c r="BK569" i="48"/>
  <c r="AY569" i="48"/>
  <c r="AZ569" i="48"/>
  <c r="AU569" i="48"/>
  <c r="AM569" i="48" s="1"/>
  <c r="AW569" i="48"/>
  <c r="AV569" i="48"/>
  <c r="AX569" i="48"/>
  <c r="AX880" i="48"/>
  <c r="AV880" i="48"/>
  <c r="AU880" i="48"/>
  <c r="AL880" i="48" s="1"/>
  <c r="AZ880" i="48"/>
  <c r="AY880" i="48"/>
  <c r="BK880" i="48"/>
  <c r="AW880" i="48"/>
  <c r="BA880" i="48"/>
  <c r="AX776" i="48"/>
  <c r="AU776" i="48"/>
  <c r="AP776" i="48" s="1"/>
  <c r="AZ776" i="48"/>
  <c r="BK776" i="48"/>
  <c r="AY776" i="48"/>
  <c r="AV776" i="48"/>
  <c r="BA776" i="48"/>
  <c r="AW776" i="48"/>
  <c r="BA957" i="48"/>
  <c r="AY957" i="48"/>
  <c r="BK957" i="48"/>
  <c r="AX957" i="48"/>
  <c r="AU957" i="48"/>
  <c r="AV957" i="48"/>
  <c r="AZ957" i="48"/>
  <c r="AW957" i="48"/>
  <c r="BD990" i="48"/>
  <c r="BJ990" i="48"/>
  <c r="BA1872" i="48"/>
  <c r="BK1872" i="48"/>
  <c r="AY1872" i="48"/>
  <c r="AX1872" i="48"/>
  <c r="AZ1872" i="48"/>
  <c r="AV1872" i="48"/>
  <c r="AU1872" i="48"/>
  <c r="AW1872" i="48"/>
  <c r="AW847" i="48"/>
  <c r="BA847" i="48"/>
  <c r="AV847" i="48"/>
  <c r="AY847" i="48"/>
  <c r="AU847" i="48"/>
  <c r="AX847" i="48"/>
  <c r="BK847" i="48"/>
  <c r="AZ847" i="48"/>
  <c r="AX1344" i="48"/>
  <c r="BK1344" i="48"/>
  <c r="AY1344" i="48"/>
  <c r="AU1344" i="48"/>
  <c r="AO1344" i="48" s="1"/>
  <c r="AZ1344" i="48"/>
  <c r="AW1344" i="48"/>
  <c r="BA1344" i="48"/>
  <c r="AV1344" i="48"/>
  <c r="BA1784" i="48"/>
  <c r="AX1784" i="48"/>
  <c r="BK1784" i="48"/>
  <c r="AV1784" i="48"/>
  <c r="AW1784" i="48"/>
  <c r="AU1784" i="48"/>
  <c r="AZ1784" i="48"/>
  <c r="AY1784" i="48"/>
  <c r="BJ1614" i="48"/>
  <c r="BD1614" i="48"/>
  <c r="BD805" i="48"/>
  <c r="BJ805" i="48"/>
  <c r="BD1740" i="48"/>
  <c r="BJ1740" i="48"/>
  <c r="AW1392" i="48"/>
  <c r="AV1392" i="48"/>
  <c r="BK1392" i="48"/>
  <c r="AZ1392" i="48"/>
  <c r="AY1392" i="48"/>
  <c r="AU1392" i="48"/>
  <c r="AO1392" i="48" s="1"/>
  <c r="AX1392" i="48"/>
  <c r="BA1392" i="48"/>
  <c r="BD1394" i="48"/>
  <c r="BJ1394" i="48"/>
  <c r="BJ1334" i="48"/>
  <c r="BD1334" i="48"/>
  <c r="BD1006" i="48"/>
  <c r="BJ1006" i="48"/>
  <c r="BA1695" i="48"/>
  <c r="AY1695" i="48"/>
  <c r="BK1695" i="48"/>
  <c r="AX1695" i="48"/>
  <c r="AU1695" i="48"/>
  <c r="AV1695" i="48"/>
  <c r="AZ1695" i="48"/>
  <c r="AW1695" i="48"/>
  <c r="BD594" i="48"/>
  <c r="BJ594" i="48"/>
  <c r="BJ1119" i="48"/>
  <c r="BD1119" i="48"/>
  <c r="AX814" i="48"/>
  <c r="AW814" i="48"/>
  <c r="BK814" i="48"/>
  <c r="AY814" i="48"/>
  <c r="AZ814" i="48"/>
  <c r="AU814" i="48"/>
  <c r="AV814" i="48"/>
  <c r="BA814" i="48"/>
  <c r="BD1703" i="48"/>
  <c r="BJ1703" i="48"/>
  <c r="BD825" i="48"/>
  <c r="BJ825" i="48"/>
  <c r="BA2033" i="48"/>
  <c r="BK2033" i="48"/>
  <c r="AY2033" i="48"/>
  <c r="AX2033" i="48"/>
  <c r="AV2033" i="48"/>
  <c r="AU2033" i="48"/>
  <c r="AN2033" i="48" s="1"/>
  <c r="AZ2033" i="48"/>
  <c r="AW2033" i="48"/>
  <c r="BJ1979" i="48"/>
  <c r="BD1979" i="48"/>
  <c r="BK886" i="48"/>
  <c r="AW886" i="48"/>
  <c r="AY886" i="48"/>
  <c r="BA886" i="48"/>
  <c r="AZ886" i="48"/>
  <c r="AU886" i="48"/>
  <c r="AV886" i="48"/>
  <c r="AX886" i="48"/>
  <c r="AZ1330" i="48"/>
  <c r="AU1330" i="48"/>
  <c r="AM1330" i="48" s="1"/>
  <c r="AV1330" i="48"/>
  <c r="AX1330" i="48"/>
  <c r="BK1330" i="48"/>
  <c r="BA1330" i="48"/>
  <c r="AY1330" i="48"/>
  <c r="AW1330" i="48"/>
  <c r="BJ2041" i="48"/>
  <c r="BD2041" i="48"/>
  <c r="BJ1481" i="48"/>
  <c r="BD1481" i="48"/>
  <c r="BJ1187" i="48"/>
  <c r="BD1187" i="48"/>
  <c r="BA1461" i="48"/>
  <c r="BK1461" i="48"/>
  <c r="AZ1461" i="48"/>
  <c r="AU1461" i="48"/>
  <c r="AO1461" i="48" s="1"/>
  <c r="AY1461" i="48"/>
  <c r="AX1461" i="48"/>
  <c r="AV1461" i="48"/>
  <c r="AW1461" i="48"/>
  <c r="BA1816" i="48"/>
  <c r="AX1816" i="48"/>
  <c r="BK1816" i="48"/>
  <c r="AV1816" i="48"/>
  <c r="AW1816" i="48"/>
  <c r="AU1816" i="48"/>
  <c r="AZ1816" i="48"/>
  <c r="AY1816" i="48"/>
  <c r="AX956" i="48"/>
  <c r="AV956" i="48"/>
  <c r="AU956" i="48"/>
  <c r="AZ956" i="48"/>
  <c r="BK956" i="48"/>
  <c r="AY956" i="48"/>
  <c r="AW956" i="48"/>
  <c r="BA956" i="48"/>
  <c r="BA2030" i="48"/>
  <c r="AY2030" i="48"/>
  <c r="BK2030" i="48"/>
  <c r="AX2030" i="48"/>
  <c r="AU2030" i="48"/>
  <c r="AZ2030" i="48"/>
  <c r="AW2030" i="48"/>
  <c r="AV2030" i="48"/>
  <c r="BD1391" i="48"/>
  <c r="BJ1391" i="48"/>
  <c r="BA1225" i="48"/>
  <c r="AX1225" i="48"/>
  <c r="AU1225" i="48"/>
  <c r="AN1225" i="48" s="1"/>
  <c r="AY1225" i="48"/>
  <c r="AV1225" i="48"/>
  <c r="BK1225" i="48"/>
  <c r="AZ1225" i="48"/>
  <c r="AW1225" i="48"/>
  <c r="BA1249" i="48"/>
  <c r="AX1249" i="48"/>
  <c r="AY1249" i="48"/>
  <c r="AV1249" i="48"/>
  <c r="BK1249" i="48"/>
  <c r="AZ1249" i="48"/>
  <c r="AW1249" i="48"/>
  <c r="AU1249" i="48"/>
  <c r="BD1058" i="48"/>
  <c r="BJ1058" i="48"/>
  <c r="BA1217" i="48"/>
  <c r="AX1217" i="48"/>
  <c r="AY1217" i="48"/>
  <c r="AV1217" i="48"/>
  <c r="BK1217" i="48"/>
  <c r="AZ1217" i="48"/>
  <c r="AW1217" i="48"/>
  <c r="AU1217" i="48"/>
  <c r="AO1217" i="48" s="1"/>
  <c r="BD1978" i="48"/>
  <c r="BJ1978" i="48"/>
  <c r="BA1599" i="48"/>
  <c r="BK1599" i="48"/>
  <c r="AZ1599" i="48"/>
  <c r="AU1599" i="48"/>
  <c r="AY1599" i="48"/>
  <c r="AX1599" i="48"/>
  <c r="AV1599" i="48"/>
  <c r="AW1599" i="48"/>
  <c r="BA697" i="48"/>
  <c r="AY697" i="48"/>
  <c r="AX697" i="48"/>
  <c r="BK697" i="48"/>
  <c r="AV697" i="48"/>
  <c r="AZ697" i="48"/>
  <c r="AU697" i="48"/>
  <c r="AW697" i="48"/>
  <c r="BA1371" i="48"/>
  <c r="AV1371" i="48"/>
  <c r="AZ1371" i="48"/>
  <c r="AU1371" i="48"/>
  <c r="BK1371" i="48"/>
  <c r="AY1371" i="48"/>
  <c r="AX1371" i="48"/>
  <c r="AW1371" i="48"/>
  <c r="BA1085" i="48"/>
  <c r="AY1085" i="48"/>
  <c r="AX1085" i="48"/>
  <c r="BK1085" i="48"/>
  <c r="AU1085" i="48"/>
  <c r="AZ1085" i="48"/>
  <c r="AV1085" i="48"/>
  <c r="AW1085" i="48"/>
  <c r="BJ1596" i="48"/>
  <c r="BD1596" i="48"/>
  <c r="BJ1869" i="48"/>
  <c r="BD1869" i="48"/>
  <c r="BJ736" i="48"/>
  <c r="BD736" i="48"/>
  <c r="BA1236" i="48"/>
  <c r="AX1236" i="48"/>
  <c r="BK1236" i="48"/>
  <c r="AY1236" i="48"/>
  <c r="AU1236" i="48"/>
  <c r="AZ1236" i="48"/>
  <c r="AW1236" i="48"/>
  <c r="AV1236" i="48"/>
  <c r="BK1582" i="48"/>
  <c r="BA1582" i="48"/>
  <c r="AY1582" i="48"/>
  <c r="AW1582" i="48"/>
  <c r="AZ1582" i="48"/>
  <c r="AU1582" i="48"/>
  <c r="AV1582" i="48"/>
  <c r="AX1582" i="48"/>
  <c r="BA408" i="48"/>
  <c r="AY408" i="48"/>
  <c r="AX408" i="48"/>
  <c r="BK408" i="48"/>
  <c r="AU408" i="48"/>
  <c r="AV408" i="48"/>
  <c r="AZ408" i="48"/>
  <c r="AW408" i="48"/>
  <c r="BA509" i="48"/>
  <c r="AY509" i="48"/>
  <c r="AZ509" i="48"/>
  <c r="AU509" i="48"/>
  <c r="AL509" i="48" s="1"/>
  <c r="AV509" i="48"/>
  <c r="AX509" i="48"/>
  <c r="BK509" i="48"/>
  <c r="AW509" i="48"/>
  <c r="BD524" i="48"/>
  <c r="BJ524" i="48"/>
  <c r="BJ114" i="48"/>
  <c r="BD114" i="48"/>
  <c r="BD492" i="48"/>
  <c r="BJ492" i="48"/>
  <c r="BA535" i="48"/>
  <c r="AV535" i="48"/>
  <c r="AZ535" i="48"/>
  <c r="AU535" i="48"/>
  <c r="AN535" i="48" s="1"/>
  <c r="BK535" i="48"/>
  <c r="AY535" i="48"/>
  <c r="AX535" i="48"/>
  <c r="AW535" i="48"/>
  <c r="AW249" i="48"/>
  <c r="AX249" i="48"/>
  <c r="AZ249" i="48"/>
  <c r="AU249" i="48"/>
  <c r="AV249" i="48"/>
  <c r="BK249" i="48"/>
  <c r="AY249" i="48"/>
  <c r="AY180" i="48"/>
  <c r="AX180" i="48"/>
  <c r="BK180" i="48"/>
  <c r="AU180" i="48"/>
  <c r="AO180" i="48" s="1"/>
  <c r="AP180" i="48" s="1"/>
  <c r="AW180" i="48"/>
  <c r="AV180" i="48"/>
  <c r="AZ180" i="48"/>
  <c r="BA504" i="48"/>
  <c r="AY504" i="48"/>
  <c r="AX504" i="48"/>
  <c r="BK504" i="48"/>
  <c r="AU504" i="48"/>
  <c r="AN504" i="48" s="1"/>
  <c r="AV504" i="48"/>
  <c r="AZ504" i="48"/>
  <c r="AW504" i="48"/>
  <c r="BD553" i="48"/>
  <c r="BJ553" i="48"/>
  <c r="BD489" i="48"/>
  <c r="BJ489" i="48"/>
  <c r="BK156" i="48"/>
  <c r="AU156" i="48"/>
  <c r="AY156" i="48"/>
  <c r="AX156" i="48"/>
  <c r="AV156" i="48"/>
  <c r="AZ156" i="48"/>
  <c r="AW156" i="48"/>
  <c r="BK337" i="48"/>
  <c r="AW337" i="48"/>
  <c r="AY337" i="48"/>
  <c r="BA337" i="48"/>
  <c r="AZ337" i="48"/>
  <c r="AU337" i="48"/>
  <c r="AX337" i="48"/>
  <c r="AV337" i="48"/>
  <c r="BJ318" i="48"/>
  <c r="BD318" i="48"/>
  <c r="BJ403" i="48"/>
  <c r="BD403" i="48"/>
  <c r="BD360" i="48"/>
  <c r="BJ360" i="48"/>
  <c r="AW234" i="48"/>
  <c r="AV234" i="48"/>
  <c r="AU234" i="48"/>
  <c r="AX234" i="48"/>
  <c r="BK234" i="48"/>
  <c r="AZ234" i="48"/>
  <c r="AY234" i="48"/>
  <c r="AY136" i="48"/>
  <c r="AX136" i="48"/>
  <c r="BK136" i="48"/>
  <c r="AU136" i="48"/>
  <c r="AP136" i="48" s="1"/>
  <c r="AV136" i="48"/>
  <c r="AZ136" i="48"/>
  <c r="AW136" i="48"/>
  <c r="BK502" i="48"/>
  <c r="AZ502" i="48"/>
  <c r="AV502" i="48"/>
  <c r="AU502" i="48"/>
  <c r="AW502" i="48"/>
  <c r="AY502" i="48"/>
  <c r="BA502" i="48"/>
  <c r="AX502" i="48"/>
  <c r="BK498" i="48"/>
  <c r="AV498" i="48"/>
  <c r="AZ498" i="48"/>
  <c r="AW498" i="48"/>
  <c r="AX498" i="48"/>
  <c r="AU498" i="48"/>
  <c r="AM498" i="48" s="1"/>
  <c r="BA498" i="48"/>
  <c r="AY498" i="48"/>
  <c r="BA464" i="48"/>
  <c r="AY464" i="48"/>
  <c r="AX464" i="48"/>
  <c r="BK464" i="48"/>
  <c r="AU464" i="48"/>
  <c r="AM464" i="48" s="1"/>
  <c r="AZ464" i="48"/>
  <c r="AW464" i="48"/>
  <c r="AV464" i="48"/>
  <c r="AW282" i="48"/>
  <c r="AV282" i="48"/>
  <c r="BK282" i="48"/>
  <c r="AZ282" i="48"/>
  <c r="AY282" i="48"/>
  <c r="AU282" i="48"/>
  <c r="AX282" i="48"/>
  <c r="BD305" i="48"/>
  <c r="BJ305" i="48"/>
  <c r="BJ219" i="48"/>
  <c r="BD219" i="48"/>
  <c r="AW410" i="48"/>
  <c r="AV410" i="48"/>
  <c r="AX410" i="48"/>
  <c r="BK410" i="48"/>
  <c r="AZ410" i="48"/>
  <c r="AY410" i="48"/>
  <c r="BA410" i="48"/>
  <c r="AU410" i="48"/>
  <c r="BD453" i="48"/>
  <c r="BJ453" i="48"/>
  <c r="AW209" i="48"/>
  <c r="AV209" i="48"/>
  <c r="BK209" i="48"/>
  <c r="AY209" i="48"/>
  <c r="AZ209" i="48"/>
  <c r="AU209" i="48"/>
  <c r="AX209" i="48"/>
  <c r="AW1931" i="48"/>
  <c r="AX1931" i="48"/>
  <c r="BK1931" i="48"/>
  <c r="AZ1931" i="48"/>
  <c r="AY1931" i="48"/>
  <c r="AU1931" i="48"/>
  <c r="AV1931" i="48"/>
  <c r="BA1931" i="48"/>
  <c r="BJ1823" i="48"/>
  <c r="BD1823" i="48"/>
  <c r="BD821" i="48"/>
  <c r="BJ821" i="48"/>
  <c r="BA821" i="48"/>
  <c r="AX821" i="48"/>
  <c r="AV821" i="48"/>
  <c r="AZ821" i="48"/>
  <c r="AU821" i="48"/>
  <c r="AK821" i="48" s="1"/>
  <c r="BK821" i="48"/>
  <c r="AY821" i="48"/>
  <c r="AW821" i="48"/>
  <c r="BA1333" i="48"/>
  <c r="AZ1333" i="48"/>
  <c r="AX1333" i="48"/>
  <c r="AV1333" i="48"/>
  <c r="BK1333" i="48"/>
  <c r="AU1333" i="48"/>
  <c r="AO1333" i="48" s="1"/>
  <c r="AY1333" i="48"/>
  <c r="AW1333" i="48"/>
  <c r="BA1833" i="48"/>
  <c r="AX1833" i="48"/>
  <c r="BK1833" i="48"/>
  <c r="AU1833" i="48"/>
  <c r="AY1833" i="48"/>
  <c r="AW1833" i="48"/>
  <c r="AV1833" i="48"/>
  <c r="AZ1833" i="48"/>
  <c r="BK1107" i="48"/>
  <c r="AZ1107" i="48"/>
  <c r="AV1107" i="48"/>
  <c r="BA1107" i="48"/>
  <c r="AY1107" i="48"/>
  <c r="AX1107" i="48"/>
  <c r="AW1107" i="48"/>
  <c r="AU1107" i="48"/>
  <c r="AN1107" i="48" s="1"/>
  <c r="BA1606" i="48"/>
  <c r="AW1606" i="48"/>
  <c r="BK1606" i="48"/>
  <c r="AY1606" i="48"/>
  <c r="AZ1606" i="48"/>
  <c r="AU1606" i="48"/>
  <c r="AV1606" i="48"/>
  <c r="AX1606" i="48"/>
  <c r="AV807" i="48"/>
  <c r="BA807" i="48"/>
  <c r="AW807" i="48"/>
  <c r="AU807" i="48"/>
  <c r="AX807" i="48"/>
  <c r="BK807" i="48"/>
  <c r="AZ807" i="48"/>
  <c r="AY807" i="48"/>
  <c r="BK1083" i="48"/>
  <c r="AZ1083" i="48"/>
  <c r="AV1083" i="48"/>
  <c r="BA1083" i="48"/>
  <c r="AX1083" i="48"/>
  <c r="AU1083" i="48"/>
  <c r="AM1083" i="48" s="1"/>
  <c r="AY1083" i="48"/>
  <c r="AW1083" i="48"/>
  <c r="BA2049" i="48"/>
  <c r="AW2049" i="48"/>
  <c r="BK2049" i="48"/>
  <c r="AY2049" i="48"/>
  <c r="AZ2049" i="48"/>
  <c r="AU2049" i="48"/>
  <c r="AL2049" i="48" s="1"/>
  <c r="AV2049" i="48"/>
  <c r="AX2049" i="48"/>
  <c r="BJ1987" i="48"/>
  <c r="BD1987" i="48"/>
  <c r="BJ1132" i="48"/>
  <c r="BD1132" i="48"/>
  <c r="BA674" i="48"/>
  <c r="AX674" i="48"/>
  <c r="BK674" i="48"/>
  <c r="AW674" i="48"/>
  <c r="AY674" i="48"/>
  <c r="AZ674" i="48"/>
  <c r="AU674" i="48"/>
  <c r="AV674" i="48"/>
  <c r="AX688" i="48"/>
  <c r="AV688" i="48"/>
  <c r="AU688" i="48"/>
  <c r="AZ688" i="48"/>
  <c r="BK688" i="48"/>
  <c r="AY688" i="48"/>
  <c r="AW688" i="48"/>
  <c r="BA688" i="48"/>
  <c r="BA1779" i="48"/>
  <c r="AX1779" i="48"/>
  <c r="BK1779" i="48"/>
  <c r="AU1779" i="48"/>
  <c r="AP1779" i="48" s="1"/>
  <c r="AY1779" i="48"/>
  <c r="AZ1779" i="48"/>
  <c r="AW1779" i="48"/>
  <c r="AV1779" i="48"/>
  <c r="BA1755" i="48"/>
  <c r="AY1755" i="48"/>
  <c r="BK1755" i="48"/>
  <c r="AX1755" i="48"/>
  <c r="AU1755" i="48"/>
  <c r="AP1755" i="48" s="1"/>
  <c r="AV1755" i="48"/>
  <c r="AZ1755" i="48"/>
  <c r="AW1755" i="48"/>
  <c r="BD1724" i="48"/>
  <c r="BJ1724" i="48"/>
  <c r="BJ1206" i="48"/>
  <c r="BD1206" i="48"/>
  <c r="BD1125" i="48"/>
  <c r="BJ1125" i="48"/>
  <c r="BD662" i="48"/>
  <c r="BJ662" i="48"/>
  <c r="AV1190" i="48"/>
  <c r="AX1190" i="48"/>
  <c r="BK1190" i="48"/>
  <c r="BA1190" i="48"/>
  <c r="AY1190" i="48"/>
  <c r="AW1190" i="48"/>
  <c r="AZ1190" i="48"/>
  <c r="AU1190" i="48"/>
  <c r="BJ1184" i="48"/>
  <c r="BD1184" i="48"/>
  <c r="BA1354" i="48"/>
  <c r="AW1354" i="48"/>
  <c r="BK1354" i="48"/>
  <c r="AY1354" i="48"/>
  <c r="AZ1354" i="48"/>
  <c r="AU1354" i="48"/>
  <c r="AV1354" i="48"/>
  <c r="AX1354" i="48"/>
  <c r="BA1849" i="48"/>
  <c r="BK1849" i="48"/>
  <c r="AU1849" i="48"/>
  <c r="AO1849" i="48" s="1"/>
  <c r="AY1849" i="48"/>
  <c r="AX1849" i="48"/>
  <c r="AW1849" i="48"/>
  <c r="AV1849" i="48"/>
  <c r="AZ1849" i="48"/>
  <c r="BK1159" i="48"/>
  <c r="AZ1159" i="48"/>
  <c r="AV1159" i="48"/>
  <c r="BA1159" i="48"/>
  <c r="AU1159" i="48"/>
  <c r="AW1159" i="48"/>
  <c r="AX1159" i="48"/>
  <c r="AY1159" i="48"/>
  <c r="AW707" i="48"/>
  <c r="BK707" i="48"/>
  <c r="AZ707" i="48"/>
  <c r="AY707" i="48"/>
  <c r="AV707" i="48"/>
  <c r="AU707" i="48"/>
  <c r="BA707" i="48"/>
  <c r="AX707" i="48"/>
  <c r="BJ1588" i="48"/>
  <c r="BD1588" i="48"/>
  <c r="BJ2047" i="48"/>
  <c r="BD2047" i="48"/>
  <c r="BJ1271" i="48"/>
  <c r="BD1271" i="48"/>
  <c r="BA1271" i="48"/>
  <c r="AX1271" i="48"/>
  <c r="AV1271" i="48"/>
  <c r="AZ1271" i="48"/>
  <c r="AU1271" i="48"/>
  <c r="AP1271" i="48" s="1"/>
  <c r="BK1271" i="48"/>
  <c r="AY1271" i="48"/>
  <c r="AW1271" i="48"/>
  <c r="BA1470" i="48"/>
  <c r="AY1470" i="48"/>
  <c r="AX1470" i="48"/>
  <c r="BK1470" i="48"/>
  <c r="AU1470" i="48"/>
  <c r="AN1470" i="48" s="1"/>
  <c r="AV1470" i="48"/>
  <c r="AW1470" i="48"/>
  <c r="AZ1470" i="48"/>
  <c r="BA1952" i="48"/>
  <c r="AX1952" i="48"/>
  <c r="AU1952" i="48"/>
  <c r="AK1952" i="48" s="1"/>
  <c r="AV1952" i="48"/>
  <c r="AW1952" i="48"/>
  <c r="AY1952" i="48"/>
  <c r="AZ1952" i="48"/>
  <c r="BK1952" i="48"/>
  <c r="BD1305" i="48"/>
  <c r="BJ1305" i="48"/>
  <c r="BJ703" i="48"/>
  <c r="BD703" i="48"/>
  <c r="AX1774" i="48"/>
  <c r="AV1774" i="48"/>
  <c r="AU1774" i="48"/>
  <c r="BK1774" i="48"/>
  <c r="AZ1774" i="48"/>
  <c r="AY1774" i="48"/>
  <c r="AW1774" i="48"/>
  <c r="BA1774" i="48"/>
  <c r="BJ2050" i="48"/>
  <c r="BD2050" i="48"/>
  <c r="BA2050" i="48"/>
  <c r="AX2050" i="48"/>
  <c r="AV2050" i="48"/>
  <c r="AZ2050" i="48"/>
  <c r="AU2050" i="48"/>
  <c r="AN2050" i="48" s="1"/>
  <c r="BK2050" i="48"/>
  <c r="AY2050" i="48"/>
  <c r="AW2050" i="48"/>
  <c r="AX624" i="48"/>
  <c r="AZ624" i="48"/>
  <c r="BK624" i="48"/>
  <c r="AY624" i="48"/>
  <c r="AV624" i="48"/>
  <c r="AU624" i="48"/>
  <c r="AW624" i="48"/>
  <c r="BA624" i="48"/>
  <c r="BA1180" i="48"/>
  <c r="BK1180" i="48"/>
  <c r="AU1180" i="48"/>
  <c r="AO1180" i="48" s="1"/>
  <c r="AY1180" i="48"/>
  <c r="AX1180" i="48"/>
  <c r="AW1180" i="48"/>
  <c r="AV1180" i="48"/>
  <c r="AZ1180" i="48"/>
  <c r="BD1113" i="48"/>
  <c r="BJ1113" i="48"/>
  <c r="BD645" i="48"/>
  <c r="BJ645" i="48"/>
  <c r="BA1181" i="48"/>
  <c r="AX1181" i="48"/>
  <c r="AU1181" i="48"/>
  <c r="AO1181" i="48" s="1"/>
  <c r="AW1181" i="48"/>
  <c r="AY1181" i="48"/>
  <c r="AV1181" i="48"/>
  <c r="BK1181" i="48"/>
  <c r="AZ1181" i="48"/>
  <c r="BD1982" i="48"/>
  <c r="BJ1982" i="48"/>
  <c r="AX1165" i="48"/>
  <c r="AW1165" i="48"/>
  <c r="AZ1165" i="48"/>
  <c r="AU1165" i="48"/>
  <c r="AV1165" i="48"/>
  <c r="BA1165" i="48"/>
  <c r="BK1165" i="48"/>
  <c r="AY1165" i="48"/>
  <c r="BA1632" i="48"/>
  <c r="AY1632" i="48"/>
  <c r="AX1632" i="48"/>
  <c r="BK1632" i="48"/>
  <c r="AU1632" i="48"/>
  <c r="AP1632" i="48" s="1"/>
  <c r="AW1632" i="48"/>
  <c r="AV1632" i="48"/>
  <c r="AZ1632" i="48"/>
  <c r="BA738" i="48"/>
  <c r="AX738" i="48"/>
  <c r="AZ738" i="48"/>
  <c r="AU738" i="48"/>
  <c r="AV738" i="48"/>
  <c r="BK738" i="48"/>
  <c r="AY738" i="48"/>
  <c r="AW738" i="48"/>
  <c r="BJ779" i="48"/>
  <c r="BD779" i="48"/>
  <c r="AW779" i="48"/>
  <c r="AY779" i="48"/>
  <c r="AU779" i="48"/>
  <c r="AN779" i="48" s="1"/>
  <c r="AX779" i="48"/>
  <c r="BA779" i="48"/>
  <c r="AV779" i="48"/>
  <c r="BK779" i="48"/>
  <c r="AZ779" i="48"/>
  <c r="AX788" i="48"/>
  <c r="AV788" i="48"/>
  <c r="AU788" i="48"/>
  <c r="AO788" i="48" s="1"/>
  <c r="AZ788" i="48"/>
  <c r="BK788" i="48"/>
  <c r="AY788" i="48"/>
  <c r="AW788" i="48"/>
  <c r="BA788" i="48"/>
  <c r="BA1176" i="48"/>
  <c r="AY1176" i="48"/>
  <c r="AX1176" i="48"/>
  <c r="BK1176" i="48"/>
  <c r="AU1176" i="48"/>
  <c r="AM1176" i="48" s="1"/>
  <c r="AW1176" i="48"/>
  <c r="AV1176" i="48"/>
  <c r="AZ1176" i="48"/>
  <c r="BA1892" i="48"/>
  <c r="AV1892" i="48"/>
  <c r="AZ1892" i="48"/>
  <c r="AU1892" i="48"/>
  <c r="AK1892" i="48" s="1"/>
  <c r="BK1892" i="48"/>
  <c r="AY1892" i="48"/>
  <c r="AX1892" i="48"/>
  <c r="AW1892" i="48"/>
  <c r="BD610" i="48"/>
  <c r="BJ610" i="48"/>
  <c r="AX1778" i="48"/>
  <c r="AV1778" i="48"/>
  <c r="AU1778" i="48"/>
  <c r="AZ1778" i="48"/>
  <c r="AY1778" i="48"/>
  <c r="BK1778" i="48"/>
  <c r="AW1778" i="48"/>
  <c r="BA1778" i="48"/>
  <c r="BJ951" i="48"/>
  <c r="BD951" i="48"/>
  <c r="BA1591" i="48"/>
  <c r="AZ1591" i="48"/>
  <c r="AU1591" i="48"/>
  <c r="AP1591" i="48" s="1"/>
  <c r="BK1591" i="48"/>
  <c r="AY1591" i="48"/>
  <c r="AX1591" i="48"/>
  <c r="AV1591" i="48"/>
  <c r="AW1591" i="48"/>
  <c r="BJ804" i="48"/>
  <c r="BD804" i="48"/>
  <c r="AX804" i="48"/>
  <c r="BK804" i="48"/>
  <c r="AY804" i="48"/>
  <c r="AV804" i="48"/>
  <c r="AU804" i="48"/>
  <c r="AO804" i="48" s="1"/>
  <c r="AZ804" i="48"/>
  <c r="AW804" i="48"/>
  <c r="BA804" i="48"/>
  <c r="BD829" i="48"/>
  <c r="BJ829" i="48"/>
  <c r="BD1792" i="48"/>
  <c r="BJ1792" i="48"/>
  <c r="BA2052" i="48"/>
  <c r="AX2052" i="48"/>
  <c r="AY2052" i="48"/>
  <c r="AW2052" i="48"/>
  <c r="BK2052" i="48"/>
  <c r="AV2052" i="48"/>
  <c r="AZ2052" i="48"/>
  <c r="AU2052" i="48"/>
  <c r="BA1450" i="48"/>
  <c r="AY1450" i="48"/>
  <c r="AX1450" i="48"/>
  <c r="BK1450" i="48"/>
  <c r="AU1450" i="48"/>
  <c r="AV1450" i="48"/>
  <c r="AZ1450" i="48"/>
  <c r="AW1450" i="48"/>
  <c r="BJ1853" i="48"/>
  <c r="BD1853" i="48"/>
  <c r="BA1402" i="48"/>
  <c r="AY1402" i="48"/>
  <c r="AX1402" i="48"/>
  <c r="BK1402" i="48"/>
  <c r="AU1402" i="48"/>
  <c r="AV1402" i="48"/>
  <c r="AZ1402" i="48"/>
  <c r="AW1402" i="48"/>
  <c r="BJ719" i="48"/>
  <c r="BD719" i="48"/>
  <c r="BD929" i="48"/>
  <c r="BJ929" i="48"/>
  <c r="BA1239" i="48"/>
  <c r="AX1239" i="48"/>
  <c r="AZ1239" i="48"/>
  <c r="AU1239" i="48"/>
  <c r="AO1239" i="48" s="1"/>
  <c r="AV1239" i="48"/>
  <c r="BK1239" i="48"/>
  <c r="AY1239" i="48"/>
  <c r="AW1239" i="48"/>
  <c r="BA1435" i="48"/>
  <c r="AX1435" i="48"/>
  <c r="AY1435" i="48"/>
  <c r="BK1435" i="48"/>
  <c r="AV1435" i="48"/>
  <c r="AU1435" i="48"/>
  <c r="AP1435" i="48" s="1"/>
  <c r="AZ1435" i="48"/>
  <c r="AW1435" i="48"/>
  <c r="BJ1786" i="48"/>
  <c r="BD1786" i="48"/>
  <c r="BA1811" i="48"/>
  <c r="AV1811" i="48"/>
  <c r="AZ1811" i="48"/>
  <c r="AU1811" i="48"/>
  <c r="AX1811" i="48"/>
  <c r="BK1811" i="48"/>
  <c r="AY1811" i="48"/>
  <c r="AW1811" i="48"/>
  <c r="AW583" i="48"/>
  <c r="BA583" i="48"/>
  <c r="AV583" i="48"/>
  <c r="AU583" i="48"/>
  <c r="AM583" i="48" s="1"/>
  <c r="AX583" i="48"/>
  <c r="BK583" i="48"/>
  <c r="AZ583" i="48"/>
  <c r="AY583" i="48"/>
  <c r="BJ2045" i="48"/>
  <c r="BD2045" i="48"/>
  <c r="BJ1698" i="48"/>
  <c r="BD1698" i="48"/>
  <c r="AX1897" i="48"/>
  <c r="BK1897" i="48"/>
  <c r="AY1897" i="48"/>
  <c r="AU1897" i="48"/>
  <c r="AW1897" i="48"/>
  <c r="BA1897" i="48"/>
  <c r="AV1897" i="48"/>
  <c r="AZ1897" i="48"/>
  <c r="BA1884" i="48"/>
  <c r="AZ1884" i="48"/>
  <c r="AU1884" i="48"/>
  <c r="BK1884" i="48"/>
  <c r="AY1884" i="48"/>
  <c r="AX1884" i="48"/>
  <c r="AV1884" i="48"/>
  <c r="AW1884" i="48"/>
  <c r="BA593" i="48"/>
  <c r="AV593" i="48"/>
  <c r="BK593" i="48"/>
  <c r="AZ593" i="48"/>
  <c r="AU593" i="48"/>
  <c r="AL593" i="48" s="1"/>
  <c r="AY593" i="48"/>
  <c r="AX593" i="48"/>
  <c r="AW593" i="48"/>
  <c r="BJ1200" i="48"/>
  <c r="BD1200" i="48"/>
  <c r="BJ1219" i="48"/>
  <c r="BD1219" i="48"/>
  <c r="AX808" i="48"/>
  <c r="AZ808" i="48"/>
  <c r="BK808" i="48"/>
  <c r="AY808" i="48"/>
  <c r="AV808" i="48"/>
  <c r="AU808" i="48"/>
  <c r="BA808" i="48"/>
  <c r="AW808" i="48"/>
  <c r="AY958" i="48"/>
  <c r="AW958" i="48"/>
  <c r="AZ958" i="48"/>
  <c r="AU958" i="48"/>
  <c r="AV958" i="48"/>
  <c r="AX958" i="48"/>
  <c r="BK958" i="48"/>
  <c r="BA958" i="48"/>
  <c r="BA1715" i="48"/>
  <c r="BK1715" i="48"/>
  <c r="AX1715" i="48"/>
  <c r="AU1715" i="48"/>
  <c r="AY1715" i="48"/>
  <c r="AZ1715" i="48"/>
  <c r="AW1715" i="48"/>
  <c r="AV1715" i="48"/>
  <c r="BD581" i="48"/>
  <c r="BJ581" i="48"/>
  <c r="BJ1488" i="48"/>
  <c r="BD1488" i="48"/>
  <c r="BD1894" i="48"/>
  <c r="BJ1894" i="48"/>
  <c r="BJ867" i="48"/>
  <c r="BD867" i="48"/>
  <c r="BJ1320" i="48"/>
  <c r="BD1320" i="48"/>
  <c r="BJ1072" i="48"/>
  <c r="BD1072" i="48"/>
  <c r="BK1099" i="48"/>
  <c r="AV1099" i="48"/>
  <c r="AZ1099" i="48"/>
  <c r="BA1099" i="48"/>
  <c r="AX1099" i="48"/>
  <c r="AU1099" i="48"/>
  <c r="AY1099" i="48"/>
  <c r="AW1099" i="48"/>
  <c r="BD1528" i="48"/>
  <c r="BJ1528" i="48"/>
  <c r="BJ864" i="48"/>
  <c r="BD864" i="48"/>
  <c r="BA864" i="48"/>
  <c r="AX864" i="48"/>
  <c r="AV864" i="48"/>
  <c r="AZ864" i="48"/>
  <c r="AU864" i="48"/>
  <c r="AM864" i="48" s="1"/>
  <c r="BK864" i="48"/>
  <c r="AY864" i="48"/>
  <c r="AW864" i="48"/>
  <c r="BD1858" i="48"/>
  <c r="BJ1858" i="48"/>
  <c r="BD710" i="48"/>
  <c r="BJ710" i="48"/>
  <c r="BA761" i="48"/>
  <c r="AY761" i="48"/>
  <c r="AX761" i="48"/>
  <c r="AV761" i="48"/>
  <c r="BK761" i="48"/>
  <c r="AZ761" i="48"/>
  <c r="AU761" i="48"/>
  <c r="AW761" i="48"/>
  <c r="BA1224" i="48"/>
  <c r="AY1224" i="48"/>
  <c r="AX1224" i="48"/>
  <c r="BK1224" i="48"/>
  <c r="AU1224" i="48"/>
  <c r="AW1224" i="48"/>
  <c r="AV1224" i="48"/>
  <c r="AZ1224" i="48"/>
  <c r="AX892" i="48"/>
  <c r="AZ892" i="48"/>
  <c r="BK892" i="48"/>
  <c r="AY892" i="48"/>
  <c r="AV892" i="48"/>
  <c r="AU892" i="48"/>
  <c r="AW892" i="48"/>
  <c r="BA892" i="48"/>
  <c r="BA769" i="48"/>
  <c r="BK769" i="48"/>
  <c r="AV769" i="48"/>
  <c r="AZ769" i="48"/>
  <c r="AU769" i="48"/>
  <c r="AL769" i="48" s="1"/>
  <c r="AY769" i="48"/>
  <c r="AX769" i="48"/>
  <c r="AW769" i="48"/>
  <c r="BJ1064" i="48"/>
  <c r="BD1064" i="48"/>
  <c r="BD1361" i="48"/>
  <c r="BJ1361" i="48"/>
  <c r="BD1411" i="48"/>
  <c r="BJ1411" i="48"/>
  <c r="BK907" i="48"/>
  <c r="AZ907" i="48"/>
  <c r="AV907" i="48"/>
  <c r="BA907" i="48"/>
  <c r="AX907" i="48"/>
  <c r="AU907" i="48"/>
  <c r="AY907" i="48"/>
  <c r="AW907" i="48"/>
  <c r="AX578" i="48"/>
  <c r="AV578" i="48"/>
  <c r="AU578" i="48"/>
  <c r="AW578" i="48"/>
  <c r="AY578" i="48"/>
  <c r="BK578" i="48"/>
  <c r="AZ578" i="48"/>
  <c r="BA578" i="48"/>
  <c r="AZ1961" i="48"/>
  <c r="AU1961" i="48"/>
  <c r="AV1961" i="48"/>
  <c r="AX1961" i="48"/>
  <c r="BK1961" i="48"/>
  <c r="BA1961" i="48"/>
  <c r="AY1961" i="48"/>
  <c r="AW1961" i="48"/>
  <c r="AX1790" i="48"/>
  <c r="AZ1790" i="48"/>
  <c r="BK1790" i="48"/>
  <c r="AY1790" i="48"/>
  <c r="AU1790" i="48"/>
  <c r="AV1790" i="48"/>
  <c r="AW1790" i="48"/>
  <c r="BA1790" i="48"/>
  <c r="BA1466" i="48"/>
  <c r="AX1466" i="48"/>
  <c r="BK1466" i="48"/>
  <c r="AU1466" i="48"/>
  <c r="AY1466" i="48"/>
  <c r="AV1466" i="48"/>
  <c r="AW1466" i="48"/>
  <c r="AZ1466" i="48"/>
  <c r="BK1106" i="48"/>
  <c r="BA1106" i="48"/>
  <c r="AY1106" i="48"/>
  <c r="AW1106" i="48"/>
  <c r="AZ1106" i="48"/>
  <c r="AU1106" i="48"/>
  <c r="AV1106" i="48"/>
  <c r="AX1106" i="48"/>
  <c r="BD568" i="48"/>
  <c r="BJ568" i="48"/>
  <c r="BD2009" i="48"/>
  <c r="BJ2009" i="48"/>
  <c r="BJ1908" i="48"/>
  <c r="BD1908" i="48"/>
  <c r="BD1101" i="48"/>
  <c r="BJ1101" i="48"/>
  <c r="BA913" i="48"/>
  <c r="AX913" i="48"/>
  <c r="BK913" i="48"/>
  <c r="AU913" i="48"/>
  <c r="AY913" i="48"/>
  <c r="AV913" i="48"/>
  <c r="AW913" i="48"/>
  <c r="AZ913" i="48"/>
  <c r="BA1578" i="48"/>
  <c r="AY1578" i="48"/>
  <c r="AZ1578" i="48"/>
  <c r="AU1578" i="48"/>
  <c r="AW1578" i="48"/>
  <c r="AV1578" i="48"/>
  <c r="AX1578" i="48"/>
  <c r="BK1578" i="48"/>
  <c r="BJ1538" i="48"/>
  <c r="BD1538" i="48"/>
  <c r="BK2028" i="48"/>
  <c r="AZ2028" i="48"/>
  <c r="AV2028" i="48"/>
  <c r="BA2028" i="48"/>
  <c r="AX2028" i="48"/>
  <c r="AU2028" i="48"/>
  <c r="AO2028" i="48" s="1"/>
  <c r="AW2028" i="48"/>
  <c r="AY2028" i="48"/>
  <c r="BD1708" i="48"/>
  <c r="BJ1708" i="48"/>
  <c r="BJ1750" i="48"/>
  <c r="BD1750" i="48"/>
  <c r="BA1750" i="48"/>
  <c r="AX1750" i="48"/>
  <c r="AV1750" i="48"/>
  <c r="AZ1750" i="48"/>
  <c r="AU1750" i="48"/>
  <c r="AL1750" i="48" s="1"/>
  <c r="BK1750" i="48"/>
  <c r="AY1750" i="48"/>
  <c r="AW1750" i="48"/>
  <c r="BA1227" i="48"/>
  <c r="BK1227" i="48"/>
  <c r="AZ1227" i="48"/>
  <c r="AU1227" i="48"/>
  <c r="AX1227" i="48"/>
  <c r="AY1227" i="48"/>
  <c r="AV1227" i="48"/>
  <c r="AW1227" i="48"/>
  <c r="BJ620" i="48"/>
  <c r="BD620" i="48"/>
  <c r="BA1350" i="48"/>
  <c r="AW1350" i="48"/>
  <c r="BK1350" i="48"/>
  <c r="AY1350" i="48"/>
  <c r="AZ1350" i="48"/>
  <c r="AU1350" i="48"/>
  <c r="AP1350" i="48" s="1"/>
  <c r="AV1350" i="48"/>
  <c r="AX1350" i="48"/>
  <c r="BK1091" i="48"/>
  <c r="AV1091" i="48"/>
  <c r="AZ1091" i="48"/>
  <c r="BA1091" i="48"/>
  <c r="AY1091" i="48"/>
  <c r="AX1091" i="48"/>
  <c r="AW1091" i="48"/>
  <c r="AU1091" i="48"/>
  <c r="BA1956" i="48"/>
  <c r="AX1956" i="48"/>
  <c r="AU1956" i="48"/>
  <c r="AM1956" i="48" s="1"/>
  <c r="AV1956" i="48"/>
  <c r="AY1956" i="48"/>
  <c r="AZ1956" i="48"/>
  <c r="BK1956" i="48"/>
  <c r="AW1956" i="48"/>
  <c r="BJ859" i="48"/>
  <c r="BD859" i="48"/>
  <c r="BJ1899" i="48"/>
  <c r="BD1899" i="48"/>
  <c r="BA1714" i="48"/>
  <c r="AV1714" i="48"/>
  <c r="AZ1714" i="48"/>
  <c r="AU1714" i="48"/>
  <c r="AM1714" i="48" s="1"/>
  <c r="BK1714" i="48"/>
  <c r="AY1714" i="48"/>
  <c r="AX1714" i="48"/>
  <c r="AW1714" i="48"/>
  <c r="BJ1288" i="48"/>
  <c r="BD1288" i="48"/>
  <c r="BJ2014" i="48"/>
  <c r="BD2014" i="48"/>
  <c r="BJ1051" i="48"/>
  <c r="BD1051" i="48"/>
  <c r="BJ1492" i="48"/>
  <c r="BD1492" i="48"/>
  <c r="BA1327" i="48"/>
  <c r="AZ1327" i="48"/>
  <c r="AU1327" i="48"/>
  <c r="AL1327" i="48" s="1"/>
  <c r="BK1327" i="48"/>
  <c r="AY1327" i="48"/>
  <c r="AX1327" i="48"/>
  <c r="AV1327" i="48"/>
  <c r="AW1327" i="48"/>
  <c r="BA651" i="48"/>
  <c r="AW651" i="48"/>
  <c r="AX651" i="48"/>
  <c r="BK651" i="48"/>
  <c r="AZ651" i="48"/>
  <c r="AY651" i="48"/>
  <c r="AU651" i="48"/>
  <c r="AN651" i="48" s="1"/>
  <c r="AV651" i="48"/>
  <c r="BJ792" i="48"/>
  <c r="BD792" i="48"/>
  <c r="BJ1963" i="48"/>
  <c r="BD1963" i="48"/>
  <c r="AW695" i="48"/>
  <c r="BA695" i="48"/>
  <c r="AV695" i="48"/>
  <c r="BK695" i="48"/>
  <c r="AZ695" i="48"/>
  <c r="AY695" i="48"/>
  <c r="AU695" i="48"/>
  <c r="AP695" i="48" s="1"/>
  <c r="AX695" i="48"/>
  <c r="BJ1622" i="48"/>
  <c r="BD1622" i="48"/>
  <c r="AV1867" i="48"/>
  <c r="AX1867" i="48"/>
  <c r="BK1867" i="48"/>
  <c r="BA1867" i="48"/>
  <c r="AY1867" i="48"/>
  <c r="AW1867" i="48"/>
  <c r="AZ1867" i="48"/>
  <c r="AU1867" i="48"/>
  <c r="BA1513" i="48"/>
  <c r="AV1513" i="48"/>
  <c r="AZ1513" i="48"/>
  <c r="AU1513" i="48"/>
  <c r="AM1513" i="48" s="1"/>
  <c r="BK1513" i="48"/>
  <c r="AY1513" i="48"/>
  <c r="AX1513" i="48"/>
  <c r="AW1513" i="48"/>
  <c r="BA1607" i="48"/>
  <c r="BK1607" i="48"/>
  <c r="AY1607" i="48"/>
  <c r="AX1607" i="48"/>
  <c r="AV1607" i="48"/>
  <c r="AZ1607" i="48"/>
  <c r="AU1607" i="48"/>
  <c r="AW1607" i="48"/>
  <c r="BK1693" i="48"/>
  <c r="AZ1693" i="48"/>
  <c r="AV1693" i="48"/>
  <c r="AU1693" i="48"/>
  <c r="AW1693" i="48"/>
  <c r="AY1693" i="48"/>
  <c r="BA1693" i="48"/>
  <c r="AX1693" i="48"/>
  <c r="BJ860" i="48"/>
  <c r="BD860" i="48"/>
  <c r="BA1093" i="48"/>
  <c r="AY1093" i="48"/>
  <c r="BK1093" i="48"/>
  <c r="AX1093" i="48"/>
  <c r="AU1093" i="48"/>
  <c r="AK1093" i="48" s="1"/>
  <c r="AV1093" i="48"/>
  <c r="AW1093" i="48"/>
  <c r="AZ1093" i="48"/>
  <c r="BA1253" i="48"/>
  <c r="AX1253" i="48"/>
  <c r="BK1253" i="48"/>
  <c r="AZ1253" i="48"/>
  <c r="AU1253" i="48"/>
  <c r="AO1253" i="48" s="1"/>
  <c r="AW1253" i="48"/>
  <c r="AY1253" i="48"/>
  <c r="AV1253" i="48"/>
  <c r="AX1437" i="48"/>
  <c r="AV1437" i="48"/>
  <c r="AU1437" i="48"/>
  <c r="AM1437" i="48" s="1"/>
  <c r="AZ1437" i="48"/>
  <c r="BK1437" i="48"/>
  <c r="AY1437" i="48"/>
  <c r="AW1437" i="48"/>
  <c r="BA1437" i="48"/>
  <c r="BD1943" i="48"/>
  <c r="BJ1943" i="48"/>
  <c r="BD1161" i="48"/>
  <c r="BJ1161" i="48"/>
  <c r="AV727" i="48"/>
  <c r="BA727" i="48"/>
  <c r="AW727" i="48"/>
  <c r="AY727" i="48"/>
  <c r="AU727" i="48"/>
  <c r="AX727" i="48"/>
  <c r="BK727" i="48"/>
  <c r="AZ727" i="48"/>
  <c r="BA1624" i="48"/>
  <c r="AX1624" i="48"/>
  <c r="BK1624" i="48"/>
  <c r="AU1624" i="48"/>
  <c r="AY1624" i="48"/>
  <c r="AZ1624" i="48"/>
  <c r="AW1624" i="48"/>
  <c r="AV1624" i="48"/>
  <c r="BA1936" i="48"/>
  <c r="AZ1936" i="48"/>
  <c r="AW1936" i="48"/>
  <c r="AV1936" i="48"/>
  <c r="AX1936" i="48"/>
  <c r="BK1936" i="48"/>
  <c r="AY1936" i="48"/>
  <c r="AU1936" i="48"/>
  <c r="BJ1400" i="48"/>
  <c r="BD1400" i="48"/>
  <c r="BJ1955" i="48"/>
  <c r="BD1955" i="48"/>
  <c r="BA1171" i="48"/>
  <c r="AX1171" i="48"/>
  <c r="AV1171" i="48"/>
  <c r="BK1171" i="48"/>
  <c r="AZ1171" i="48"/>
  <c r="AU1171" i="48"/>
  <c r="AY1171" i="48"/>
  <c r="AW1171" i="48"/>
  <c r="AX972" i="48"/>
  <c r="AZ972" i="48"/>
  <c r="BK972" i="48"/>
  <c r="AY972" i="48"/>
  <c r="AV972" i="48"/>
  <c r="AU972" i="48"/>
  <c r="AW972" i="48"/>
  <c r="BA972" i="48"/>
  <c r="BJ1307" i="48"/>
  <c r="BD1307" i="48"/>
  <c r="BA1307" i="48"/>
  <c r="AX1307" i="48"/>
  <c r="AV1307" i="48"/>
  <c r="AZ1307" i="48"/>
  <c r="AU1307" i="48"/>
  <c r="AK1307" i="48" s="1"/>
  <c r="BK1307" i="48"/>
  <c r="AY1307" i="48"/>
  <c r="AW1307" i="48"/>
  <c r="BJ1627" i="48"/>
  <c r="BD1627" i="48"/>
  <c r="BD861" i="48"/>
  <c r="BJ861" i="48"/>
  <c r="BJ1654" i="48"/>
  <c r="BD1654" i="48"/>
  <c r="BJ900" i="48"/>
  <c r="BD900" i="48"/>
  <c r="BD1617" i="48"/>
  <c r="BJ1617" i="48"/>
  <c r="BK2032" i="48"/>
  <c r="AZ2032" i="48"/>
  <c r="AV2032" i="48"/>
  <c r="AW2032" i="48"/>
  <c r="BA2032" i="48"/>
  <c r="AX2032" i="48"/>
  <c r="AU2032" i="48"/>
  <c r="AY2032" i="48"/>
  <c r="BJ1678" i="48"/>
  <c r="BD1678" i="48"/>
  <c r="BA1081" i="48"/>
  <c r="AX1081" i="48"/>
  <c r="BK1081" i="48"/>
  <c r="AU1081" i="48"/>
  <c r="AY1081" i="48"/>
  <c r="AW1081" i="48"/>
  <c r="AV1081" i="48"/>
  <c r="AZ1081" i="48"/>
  <c r="BD1521" i="48"/>
  <c r="BJ1521" i="48"/>
  <c r="BJ1817" i="48"/>
  <c r="BD1817" i="48"/>
  <c r="AX920" i="48"/>
  <c r="BK920" i="48"/>
  <c r="AY920" i="48"/>
  <c r="AV920" i="48"/>
  <c r="AU920" i="48"/>
  <c r="AN920" i="48" s="1"/>
  <c r="AZ920" i="48"/>
  <c r="BA920" i="48"/>
  <c r="AW920" i="48"/>
  <c r="AW639" i="48"/>
  <c r="BA639" i="48"/>
  <c r="AV639" i="48"/>
  <c r="AU639" i="48"/>
  <c r="AL639" i="48" s="1"/>
  <c r="AX639" i="48"/>
  <c r="BK639" i="48"/>
  <c r="AZ639" i="48"/>
  <c r="AY639" i="48"/>
  <c r="BJ1370" i="48"/>
  <c r="BD1370" i="48"/>
  <c r="BJ1208" i="48"/>
  <c r="BD1208" i="48"/>
  <c r="BA1459" i="48"/>
  <c r="AX1459" i="48"/>
  <c r="BK1459" i="48"/>
  <c r="AV1459" i="48"/>
  <c r="AZ1459" i="48"/>
  <c r="AW1459" i="48"/>
  <c r="AU1459" i="48"/>
  <c r="AL1459" i="48" s="1"/>
  <c r="AY1459" i="48"/>
  <c r="AX852" i="48"/>
  <c r="AU852" i="48"/>
  <c r="BK852" i="48"/>
  <c r="AZ852" i="48"/>
  <c r="AY852" i="48"/>
  <c r="AV852" i="48"/>
  <c r="AW852" i="48"/>
  <c r="BA852" i="48"/>
  <c r="BA925" i="48"/>
  <c r="AY925" i="48"/>
  <c r="BK925" i="48"/>
  <c r="AX925" i="48"/>
  <c r="AU925" i="48"/>
  <c r="AV925" i="48"/>
  <c r="AZ925" i="48"/>
  <c r="AW925" i="48"/>
  <c r="AX818" i="48"/>
  <c r="AZ818" i="48"/>
  <c r="AU818" i="48"/>
  <c r="AV818" i="48"/>
  <c r="BK818" i="48"/>
  <c r="AW818" i="48"/>
  <c r="AY818" i="48"/>
  <c r="BA818" i="48"/>
  <c r="BA1973" i="48"/>
  <c r="AX1973" i="48"/>
  <c r="BK1973" i="48"/>
  <c r="AU1973" i="48"/>
  <c r="AY1973" i="48"/>
  <c r="AZ1973" i="48"/>
  <c r="AV1973" i="48"/>
  <c r="AW1973" i="48"/>
  <c r="AW747" i="48"/>
  <c r="AX747" i="48"/>
  <c r="BK747" i="48"/>
  <c r="AZ747" i="48"/>
  <c r="AY747" i="48"/>
  <c r="AV747" i="48"/>
  <c r="AU747" i="48"/>
  <c r="BA747" i="48"/>
  <c r="BJ1670" i="48"/>
  <c r="BD1670" i="48"/>
  <c r="BJ1822" i="48"/>
  <c r="BD1822" i="48"/>
  <c r="AX708" i="48"/>
  <c r="AV708" i="48"/>
  <c r="AU708" i="48"/>
  <c r="AL708" i="48" s="1"/>
  <c r="AZ708" i="48"/>
  <c r="BK708" i="48"/>
  <c r="AY708" i="48"/>
  <c r="AW708" i="48"/>
  <c r="BA708" i="48"/>
  <c r="BA1993" i="48"/>
  <c r="BK1993" i="48"/>
  <c r="AV1993" i="48"/>
  <c r="AZ1993" i="48"/>
  <c r="AU1993" i="48"/>
  <c r="AL1993" i="48" s="1"/>
  <c r="AY1993" i="48"/>
  <c r="AX1993" i="48"/>
  <c r="AW1993" i="48"/>
  <c r="BJ1270" i="48"/>
  <c r="BD1270" i="48"/>
  <c r="BJ2017" i="48"/>
  <c r="BD2017" i="48"/>
  <c r="BJ1672" i="48"/>
  <c r="BD1672" i="48"/>
  <c r="BJ827" i="48"/>
  <c r="BD827" i="48"/>
  <c r="BA711" i="48"/>
  <c r="AW711" i="48"/>
  <c r="AV711" i="48"/>
  <c r="BK711" i="48"/>
  <c r="AZ711" i="48"/>
  <c r="AY711" i="48"/>
  <c r="AU711" i="48"/>
  <c r="AX711" i="48"/>
  <c r="AX563" i="48"/>
  <c r="AV563" i="48"/>
  <c r="AU563" i="48"/>
  <c r="AM563" i="48" s="1"/>
  <c r="BK563" i="48"/>
  <c r="AZ563" i="48"/>
  <c r="AY563" i="48"/>
  <c r="AW563" i="48"/>
  <c r="BA563" i="48"/>
  <c r="BJ1004" i="48"/>
  <c r="BD1004" i="48"/>
  <c r="BJ470" i="48"/>
  <c r="BD470" i="48"/>
  <c r="AW470" i="48"/>
  <c r="AX470" i="48"/>
  <c r="AV470" i="48"/>
  <c r="BK470" i="48"/>
  <c r="AZ470" i="48"/>
  <c r="BA470" i="48"/>
  <c r="AY470" i="48"/>
  <c r="AU470" i="48"/>
  <c r="BJ102" i="48"/>
  <c r="BD102" i="48"/>
  <c r="BD532" i="48"/>
  <c r="BJ532" i="48"/>
  <c r="AW233" i="48"/>
  <c r="AX233" i="48"/>
  <c r="AZ233" i="48"/>
  <c r="AU233" i="48"/>
  <c r="AO233" i="48" s="1"/>
  <c r="AV233" i="48"/>
  <c r="BK233" i="48"/>
  <c r="AY233" i="48"/>
  <c r="BD341" i="48"/>
  <c r="BJ341" i="48"/>
  <c r="BA435" i="48"/>
  <c r="AX435" i="48"/>
  <c r="AV435" i="48"/>
  <c r="BK435" i="48"/>
  <c r="AZ435" i="48"/>
  <c r="AU435" i="48"/>
  <c r="AY435" i="48"/>
  <c r="AW435" i="48"/>
  <c r="BK115" i="48"/>
  <c r="AZ115" i="48"/>
  <c r="AU115" i="48"/>
  <c r="AY115" i="48"/>
  <c r="AX115" i="48"/>
  <c r="AV115" i="48"/>
  <c r="AW115" i="48"/>
  <c r="AX473" i="48"/>
  <c r="AW473" i="48"/>
  <c r="AV473" i="48"/>
  <c r="BA473" i="48"/>
  <c r="BK473" i="48"/>
  <c r="AY473" i="48"/>
  <c r="AZ473" i="48"/>
  <c r="AU473" i="48"/>
  <c r="BK554" i="48"/>
  <c r="AV554" i="48"/>
  <c r="AZ554" i="48"/>
  <c r="BA554" i="48"/>
  <c r="AY554" i="48"/>
  <c r="AX554" i="48"/>
  <c r="AW554" i="48"/>
  <c r="AU554" i="48"/>
  <c r="AX457" i="48"/>
  <c r="AW457" i="48"/>
  <c r="AZ457" i="48"/>
  <c r="AU457" i="48"/>
  <c r="AM457" i="48" s="1"/>
  <c r="AV457" i="48"/>
  <c r="BA457" i="48"/>
  <c r="BK457" i="48"/>
  <c r="AY457" i="48"/>
  <c r="BD508" i="48"/>
  <c r="BJ508" i="48"/>
  <c r="BJ363" i="48"/>
  <c r="BD363" i="48"/>
  <c r="AW129" i="48"/>
  <c r="BK129" i="48"/>
  <c r="AY129" i="48"/>
  <c r="AZ129" i="48"/>
  <c r="AU129" i="48"/>
  <c r="AV129" i="48"/>
  <c r="AX129" i="48"/>
  <c r="BJ306" i="48"/>
  <c r="BD306" i="48"/>
  <c r="BK95" i="48"/>
  <c r="AY95" i="48"/>
  <c r="AX95" i="48"/>
  <c r="AV95" i="48"/>
  <c r="AZ95" i="48"/>
  <c r="AU95" i="48"/>
  <c r="AO95" i="48" s="1"/>
  <c r="AP95" i="48" s="1"/>
  <c r="AW95" i="48"/>
  <c r="BK113" i="48"/>
  <c r="AY113" i="48"/>
  <c r="AZ113" i="48"/>
  <c r="AU113" i="48"/>
  <c r="AX113" i="48"/>
  <c r="AV113" i="48"/>
  <c r="AW113" i="48"/>
  <c r="AZ151" i="48"/>
  <c r="AU151" i="48"/>
  <c r="BK151" i="48"/>
  <c r="AY151" i="48"/>
  <c r="AX151" i="48"/>
  <c r="AV151" i="48"/>
  <c r="AW151" i="48"/>
  <c r="BJ447" i="48"/>
  <c r="BD447" i="48"/>
  <c r="BA447" i="48"/>
  <c r="AX447" i="48"/>
  <c r="AV447" i="48"/>
  <c r="AZ447" i="48"/>
  <c r="AU447" i="48"/>
  <c r="BK447" i="48"/>
  <c r="AY447" i="48"/>
  <c r="AW447" i="48"/>
  <c r="BA350" i="48"/>
  <c r="AW350" i="48"/>
  <c r="AV350" i="48"/>
  <c r="AU350" i="48"/>
  <c r="AX350" i="48"/>
  <c r="BK350" i="48"/>
  <c r="AZ350" i="48"/>
  <c r="AY350" i="48"/>
  <c r="BD449" i="48"/>
  <c r="BJ449" i="48"/>
  <c r="AV275" i="48"/>
  <c r="BK275" i="48"/>
  <c r="AZ275" i="48"/>
  <c r="AU275" i="48"/>
  <c r="AY275" i="48"/>
  <c r="AX275" i="48"/>
  <c r="AW275" i="48"/>
  <c r="BD437" i="48"/>
  <c r="BJ437" i="48"/>
  <c r="AW314" i="48"/>
  <c r="AV314" i="48"/>
  <c r="AY314" i="48"/>
  <c r="AU314" i="48"/>
  <c r="AP314" i="48" s="1"/>
  <c r="AX314" i="48"/>
  <c r="BA314" i="48"/>
  <c r="BK314" i="48"/>
  <c r="AZ314" i="48"/>
  <c r="BJ150" i="48"/>
  <c r="BD150" i="48"/>
  <c r="AW174" i="48"/>
  <c r="AV174" i="48"/>
  <c r="AY174" i="48"/>
  <c r="AU174" i="48"/>
  <c r="AX174" i="48"/>
  <c r="BK174" i="48"/>
  <c r="AZ174" i="48"/>
  <c r="BD445" i="48"/>
  <c r="BJ445" i="48"/>
  <c r="BD177" i="48"/>
  <c r="BJ177" i="48"/>
  <c r="BJ291" i="48"/>
  <c r="BD291" i="48"/>
  <c r="AV78" i="48"/>
  <c r="AW78" i="48"/>
  <c r="AX78" i="48"/>
  <c r="BK78" i="48"/>
  <c r="AZ78" i="48"/>
  <c r="AY78" i="48"/>
  <c r="AU78" i="48"/>
  <c r="BD540" i="48"/>
  <c r="BJ540" i="48"/>
  <c r="AY83" i="48"/>
  <c r="AX83" i="48"/>
  <c r="AV83" i="48"/>
  <c r="BK83" i="48"/>
  <c r="AZ83" i="48"/>
  <c r="AU83" i="48"/>
  <c r="AW83" i="48"/>
  <c r="AY179" i="48"/>
  <c r="AX179" i="48"/>
  <c r="AV179" i="48"/>
  <c r="BK179" i="48"/>
  <c r="AZ179" i="48"/>
  <c r="AU179" i="48"/>
  <c r="AW179" i="48"/>
  <c r="BD320" i="48"/>
  <c r="BJ320" i="48"/>
  <c r="AX173" i="48"/>
  <c r="AW173" i="48"/>
  <c r="AY173" i="48"/>
  <c r="AZ173" i="48"/>
  <c r="AU173" i="48"/>
  <c r="AV173" i="48"/>
  <c r="BK173" i="48"/>
  <c r="BJ223" i="48"/>
  <c r="BD223" i="48"/>
  <c r="BJ534" i="48"/>
  <c r="BD534" i="48"/>
  <c r="AX165" i="48"/>
  <c r="AV165" i="48"/>
  <c r="AW165" i="48"/>
  <c r="BK165" i="48"/>
  <c r="AY165" i="48"/>
  <c r="AZ165" i="48"/>
  <c r="AU165" i="48"/>
  <c r="BD264" i="48"/>
  <c r="BJ264" i="48"/>
  <c r="AX333" i="48"/>
  <c r="AW333" i="48"/>
  <c r="BK333" i="48"/>
  <c r="AY333" i="48"/>
  <c r="AZ333" i="48"/>
  <c r="AU333" i="48"/>
  <c r="AV333" i="48"/>
  <c r="BA333" i="48"/>
  <c r="BA500" i="48"/>
  <c r="AY500" i="48"/>
  <c r="BK500" i="48"/>
  <c r="AX500" i="48"/>
  <c r="AU500" i="48"/>
  <c r="AV500" i="48"/>
  <c r="AZ500" i="48"/>
  <c r="AW500" i="48"/>
  <c r="AX381" i="48"/>
  <c r="AW381" i="48"/>
  <c r="AZ381" i="48"/>
  <c r="AU381" i="48"/>
  <c r="AV381" i="48"/>
  <c r="BA381" i="48"/>
  <c r="BK381" i="48"/>
  <c r="AY381" i="48"/>
  <c r="AW270" i="48"/>
  <c r="AV270" i="48"/>
  <c r="BK270" i="48"/>
  <c r="AZ270" i="48"/>
  <c r="AY270" i="48"/>
  <c r="AU270" i="48"/>
  <c r="AX270" i="48"/>
  <c r="AZ321" i="48"/>
  <c r="AU321" i="48"/>
  <c r="AW321" i="48"/>
  <c r="AX321" i="48"/>
  <c r="AV321" i="48"/>
  <c r="BA321" i="48"/>
  <c r="BK321" i="48"/>
  <c r="AY321" i="48"/>
  <c r="BA327" i="48"/>
  <c r="BK327" i="48"/>
  <c r="AY327" i="48"/>
  <c r="AX327" i="48"/>
  <c r="AV327" i="48"/>
  <c r="AZ327" i="48"/>
  <c r="AU327" i="48"/>
  <c r="AW327" i="48"/>
  <c r="BK227" i="48"/>
  <c r="AZ227" i="48"/>
  <c r="AU227" i="48"/>
  <c r="AY227" i="48"/>
  <c r="AX227" i="48"/>
  <c r="AV227" i="48"/>
  <c r="AW227" i="48"/>
  <c r="BJ170" i="48"/>
  <c r="BD170" i="48"/>
  <c r="AX361" i="48"/>
  <c r="AW361" i="48"/>
  <c r="AY361" i="48"/>
  <c r="AZ361" i="48"/>
  <c r="AU361" i="48"/>
  <c r="AV361" i="48"/>
  <c r="BA361" i="48"/>
  <c r="BK361" i="48"/>
  <c r="AX497" i="48"/>
  <c r="BA497" i="48"/>
  <c r="BK497" i="48"/>
  <c r="AZ497" i="48"/>
  <c r="AY497" i="48"/>
  <c r="AV497" i="48"/>
  <c r="AU497" i="48"/>
  <c r="AW497" i="48"/>
  <c r="BD312" i="48"/>
  <c r="BJ312" i="48"/>
  <c r="BA382" i="48"/>
  <c r="AW382" i="48"/>
  <c r="AV382" i="48"/>
  <c r="AU382" i="48"/>
  <c r="AX382" i="48"/>
  <c r="BK382" i="48"/>
  <c r="AZ382" i="48"/>
  <c r="AY382" i="48"/>
  <c r="BD377" i="48"/>
  <c r="BJ377" i="48"/>
  <c r="BA528" i="48"/>
  <c r="BK528" i="48"/>
  <c r="AX528" i="48"/>
  <c r="AU528" i="48"/>
  <c r="AY528" i="48"/>
  <c r="AZ528" i="48"/>
  <c r="AW528" i="48"/>
  <c r="AV528" i="48"/>
  <c r="BD400" i="48"/>
  <c r="BJ400" i="48"/>
  <c r="BA544" i="48"/>
  <c r="BK544" i="48"/>
  <c r="AX544" i="48"/>
  <c r="AU544" i="48"/>
  <c r="AY544" i="48"/>
  <c r="AZ544" i="48"/>
  <c r="AW544" i="48"/>
  <c r="AV544" i="48"/>
  <c r="AX309" i="48"/>
  <c r="AZ309" i="48"/>
  <c r="AU309" i="48"/>
  <c r="AV309" i="48"/>
  <c r="BA309" i="48"/>
  <c r="BK309" i="48"/>
  <c r="AY309" i="48"/>
  <c r="AW309" i="48"/>
  <c r="BJ546" i="48"/>
  <c r="BD546" i="48"/>
  <c r="BJ550" i="48"/>
  <c r="BD550" i="48"/>
  <c r="BA396" i="48"/>
  <c r="AY396" i="48"/>
  <c r="AX396" i="48"/>
  <c r="BK396" i="48"/>
  <c r="AU396" i="48"/>
  <c r="AV396" i="48"/>
  <c r="AZ396" i="48"/>
  <c r="AW396" i="48"/>
  <c r="BK417" i="48"/>
  <c r="AX417" i="48"/>
  <c r="AY417" i="48"/>
  <c r="AZ417" i="48"/>
  <c r="AU417" i="48"/>
  <c r="BA417" i="48"/>
  <c r="AW417" i="48"/>
  <c r="AV417" i="48"/>
  <c r="AX393" i="48"/>
  <c r="AW393" i="48"/>
  <c r="AZ393" i="48"/>
  <c r="AU393" i="48"/>
  <c r="AV393" i="48"/>
  <c r="BA393" i="48"/>
  <c r="BK393" i="48"/>
  <c r="AY393" i="48"/>
  <c r="AV267" i="48"/>
  <c r="AZ267" i="48"/>
  <c r="AU267" i="48"/>
  <c r="BK267" i="48"/>
  <c r="AY267" i="48"/>
  <c r="AX267" i="48"/>
  <c r="AW267" i="48"/>
  <c r="BJ519" i="48"/>
  <c r="BD519" i="48"/>
  <c r="BA519" i="48"/>
  <c r="AX519" i="48"/>
  <c r="AV519" i="48"/>
  <c r="AZ519" i="48"/>
  <c r="AU519" i="48"/>
  <c r="BK519" i="48"/>
  <c r="AY519" i="48"/>
  <c r="AW519" i="48"/>
  <c r="BD428" i="48"/>
  <c r="BJ428" i="48"/>
  <c r="BJ86" i="48"/>
  <c r="BD86" i="48"/>
  <c r="BD529" i="48"/>
  <c r="BJ529" i="48"/>
  <c r="BD97" i="48"/>
  <c r="BJ97" i="48"/>
  <c r="BJ462" i="48"/>
  <c r="BD462" i="48"/>
  <c r="BA414" i="48"/>
  <c r="AW414" i="48"/>
  <c r="AV414" i="48"/>
  <c r="AU414" i="48"/>
  <c r="AX414" i="48"/>
  <c r="BK414" i="48"/>
  <c r="AZ414" i="48"/>
  <c r="AY414" i="48"/>
  <c r="BJ315" i="48"/>
  <c r="BD315" i="48"/>
  <c r="BJ478" i="48"/>
  <c r="BD478" i="48"/>
  <c r="AX746" i="48"/>
  <c r="AV746" i="48"/>
  <c r="BA746" i="48"/>
  <c r="BK746" i="48"/>
  <c r="AW746" i="48"/>
  <c r="AY746" i="48"/>
  <c r="AZ746" i="48"/>
  <c r="AU746" i="48"/>
  <c r="BD1986" i="48"/>
  <c r="BJ1986" i="48"/>
  <c r="AW1194" i="48"/>
  <c r="BA1194" i="48"/>
  <c r="AV1194" i="48"/>
  <c r="AX1194" i="48"/>
  <c r="BK1194" i="48"/>
  <c r="AY1194" i="48"/>
  <c r="AZ1194" i="48"/>
  <c r="AU1194" i="48"/>
  <c r="AX924" i="48"/>
  <c r="BK924" i="48"/>
  <c r="AZ924" i="48"/>
  <c r="AY924" i="48"/>
  <c r="AV924" i="48"/>
  <c r="AU924" i="48"/>
  <c r="AW924" i="48"/>
  <c r="BA924" i="48"/>
  <c r="BJ1630" i="48"/>
  <c r="BD1630" i="48"/>
  <c r="BA1089" i="48"/>
  <c r="AY1089" i="48"/>
  <c r="BK1089" i="48"/>
  <c r="AX1089" i="48"/>
  <c r="AU1089" i="48"/>
  <c r="AP1089" i="48" s="1"/>
  <c r="AV1089" i="48"/>
  <c r="AZ1089" i="48"/>
  <c r="AW1089" i="48"/>
  <c r="BJ1478" i="48"/>
  <c r="BD1478" i="48"/>
  <c r="AW1464" i="48"/>
  <c r="BA1464" i="48"/>
  <c r="BK1464" i="48"/>
  <c r="AY1464" i="48"/>
  <c r="AZ1464" i="48"/>
  <c r="AU1464" i="48"/>
  <c r="AV1464" i="48"/>
  <c r="AX1464" i="48"/>
  <c r="BJ1697" i="48"/>
  <c r="BD1697" i="48"/>
  <c r="AW843" i="48"/>
  <c r="AU843" i="48"/>
  <c r="BA843" i="48"/>
  <c r="AV843" i="48"/>
  <c r="AX843" i="48"/>
  <c r="BK843" i="48"/>
  <c r="AZ843" i="48"/>
  <c r="AY843" i="48"/>
  <c r="BA1339" i="48"/>
  <c r="BK1339" i="48"/>
  <c r="AY1339" i="48"/>
  <c r="AX1339" i="48"/>
  <c r="AV1339" i="48"/>
  <c r="AZ1339" i="48"/>
  <c r="AU1339" i="48"/>
  <c r="AW1339" i="48"/>
  <c r="BA1969" i="48"/>
  <c r="AY1969" i="48"/>
  <c r="AX1969" i="48"/>
  <c r="BK1969" i="48"/>
  <c r="AU1969" i="48"/>
  <c r="AN1969" i="48" s="1"/>
  <c r="AV1969" i="48"/>
  <c r="AW1969" i="48"/>
  <c r="AZ1969" i="48"/>
  <c r="BD1548" i="48"/>
  <c r="BJ1548" i="48"/>
  <c r="AX854" i="48"/>
  <c r="AW854" i="48"/>
  <c r="AV854" i="48"/>
  <c r="BA854" i="48"/>
  <c r="BK854" i="48"/>
  <c r="AY854" i="48"/>
  <c r="AZ854" i="48"/>
  <c r="AU854" i="48"/>
  <c r="BJ580" i="48"/>
  <c r="BD580" i="48"/>
  <c r="AX580" i="48"/>
  <c r="AY580" i="48"/>
  <c r="AV580" i="48"/>
  <c r="AU580" i="48"/>
  <c r="AP580" i="48" s="1"/>
  <c r="BK580" i="48"/>
  <c r="AZ580" i="48"/>
  <c r="AW580" i="48"/>
  <c r="BA580" i="48"/>
  <c r="BA811" i="48"/>
  <c r="AW811" i="48"/>
  <c r="AU811" i="48"/>
  <c r="AX811" i="48"/>
  <c r="AV811" i="48"/>
  <c r="BK811" i="48"/>
  <c r="AZ811" i="48"/>
  <c r="AY811" i="48"/>
  <c r="BD785" i="48"/>
  <c r="BJ785" i="48"/>
  <c r="BD1557" i="48"/>
  <c r="BJ1557" i="48"/>
  <c r="BJ1202" i="48"/>
  <c r="BD1202" i="48"/>
  <c r="BD1301" i="48"/>
  <c r="BJ1301" i="48"/>
  <c r="AX728" i="48"/>
  <c r="AZ728" i="48"/>
  <c r="BK728" i="48"/>
  <c r="AY728" i="48"/>
  <c r="AV728" i="48"/>
  <c r="AU728" i="48"/>
  <c r="BA728" i="48"/>
  <c r="AW728" i="48"/>
  <c r="BA1970" i="48"/>
  <c r="AZ1970" i="48"/>
  <c r="AU1970" i="48"/>
  <c r="AV1970" i="48"/>
  <c r="AX1970" i="48"/>
  <c r="BK1970" i="48"/>
  <c r="AW1970" i="48"/>
  <c r="AY1970" i="48"/>
  <c r="BA1764" i="48"/>
  <c r="AY1764" i="48"/>
  <c r="AZ1764" i="48"/>
  <c r="AU1764" i="48"/>
  <c r="AP1764" i="48" s="1"/>
  <c r="AV1764" i="48"/>
  <c r="AX1764" i="48"/>
  <c r="BK1764" i="48"/>
  <c r="AW1764" i="48"/>
  <c r="BA1826" i="48"/>
  <c r="AV1826" i="48"/>
  <c r="AW1826" i="48"/>
  <c r="BK1826" i="48"/>
  <c r="AY1826" i="48"/>
  <c r="AU1826" i="48"/>
  <c r="AX1826" i="48"/>
  <c r="AZ1826" i="48"/>
  <c r="AW591" i="48"/>
  <c r="AV591" i="48"/>
  <c r="BA591" i="48"/>
  <c r="BK591" i="48"/>
  <c r="AZ591" i="48"/>
  <c r="AY591" i="48"/>
  <c r="AU591" i="48"/>
  <c r="AX591" i="48"/>
  <c r="BJ612" i="48"/>
  <c r="BD612" i="48"/>
  <c r="BA2042" i="48"/>
  <c r="BK2042" i="48"/>
  <c r="AV2042" i="48"/>
  <c r="AZ2042" i="48"/>
  <c r="AU2042" i="48"/>
  <c r="AY2042" i="48"/>
  <c r="AX2042" i="48"/>
  <c r="AW2042" i="48"/>
  <c r="BJ1023" i="48"/>
  <c r="BD1023" i="48"/>
  <c r="BJ1127" i="48"/>
  <c r="BD1127" i="48"/>
  <c r="BA1313" i="48"/>
  <c r="AX1313" i="48"/>
  <c r="AY1313" i="48"/>
  <c r="AV1313" i="48"/>
  <c r="BK1313" i="48"/>
  <c r="AZ1313" i="48"/>
  <c r="AU1313" i="48"/>
  <c r="AK1313" i="48" s="1"/>
  <c r="AW1313" i="48"/>
  <c r="AX1533" i="48"/>
  <c r="AV1533" i="48"/>
  <c r="BA1533" i="48"/>
  <c r="AW1533" i="48"/>
  <c r="BK1533" i="48"/>
  <c r="AY1533" i="48"/>
  <c r="AZ1533" i="48"/>
  <c r="AU1533" i="48"/>
  <c r="BJ1286" i="48"/>
  <c r="BD1286" i="48"/>
  <c r="BJ672" i="48"/>
  <c r="BD672" i="48"/>
  <c r="BD826" i="48"/>
  <c r="BJ826" i="48"/>
  <c r="BJ623" i="48"/>
  <c r="BD623" i="48"/>
  <c r="BJ1510" i="48"/>
  <c r="BD1510" i="48"/>
  <c r="BJ895" i="48"/>
  <c r="BD895" i="48"/>
  <c r="BA1244" i="48"/>
  <c r="BK1244" i="48"/>
  <c r="AU1244" i="48"/>
  <c r="AN1244" i="48" s="1"/>
  <c r="AY1244" i="48"/>
  <c r="AX1244" i="48"/>
  <c r="AW1244" i="48"/>
  <c r="AV1244" i="48"/>
  <c r="AZ1244" i="48"/>
  <c r="BD1061" i="48"/>
  <c r="BJ1061" i="48"/>
  <c r="AX1762" i="48"/>
  <c r="AU1762" i="48"/>
  <c r="AZ1762" i="48"/>
  <c r="BK1762" i="48"/>
  <c r="AY1762" i="48"/>
  <c r="AV1762" i="48"/>
  <c r="AW1762" i="48"/>
  <c r="BA1762" i="48"/>
  <c r="BK1709" i="48"/>
  <c r="AZ1709" i="48"/>
  <c r="AV1709" i="48"/>
  <c r="AU1709" i="48"/>
  <c r="AW1709" i="48"/>
  <c r="AY1709" i="48"/>
  <c r="BA1709" i="48"/>
  <c r="AX1709" i="48"/>
  <c r="BA681" i="48"/>
  <c r="BK681" i="48"/>
  <c r="AZ681" i="48"/>
  <c r="AU681" i="48"/>
  <c r="AM681" i="48" s="1"/>
  <c r="AY681" i="48"/>
  <c r="AX681" i="48"/>
  <c r="AV681" i="48"/>
  <c r="AW681" i="48"/>
  <c r="BA1556" i="48"/>
  <c r="BK1556" i="48"/>
  <c r="AU1556" i="48"/>
  <c r="AY1556" i="48"/>
  <c r="AX1556" i="48"/>
  <c r="AV1556" i="48"/>
  <c r="AZ1556" i="48"/>
  <c r="AW1556" i="48"/>
  <c r="BA1487" i="48"/>
  <c r="AX1487" i="48"/>
  <c r="AY1487" i="48"/>
  <c r="AW1487" i="48"/>
  <c r="BK1487" i="48"/>
  <c r="AV1487" i="48"/>
  <c r="AZ1487" i="48"/>
  <c r="AU1487" i="48"/>
  <c r="BD1145" i="48"/>
  <c r="BJ1145" i="48"/>
  <c r="AX1387" i="48"/>
  <c r="AW1387" i="48"/>
  <c r="BK1387" i="48"/>
  <c r="AY1387" i="48"/>
  <c r="AZ1387" i="48"/>
  <c r="AU1387" i="48"/>
  <c r="AM1387" i="48" s="1"/>
  <c r="AV1387" i="48"/>
  <c r="BA1387" i="48"/>
  <c r="BA1570" i="48"/>
  <c r="AW1570" i="48"/>
  <c r="AY1570" i="48"/>
  <c r="AZ1570" i="48"/>
  <c r="AU1570" i="48"/>
  <c r="AN1570" i="48" s="1"/>
  <c r="AV1570" i="48"/>
  <c r="AX1570" i="48"/>
  <c r="BK1570" i="48"/>
  <c r="BA813" i="48"/>
  <c r="AZ813" i="48"/>
  <c r="AU813" i="48"/>
  <c r="AY813" i="48"/>
  <c r="BK813" i="48"/>
  <c r="AX813" i="48"/>
  <c r="AV813" i="48"/>
  <c r="AW813" i="48"/>
  <c r="BA1137" i="48"/>
  <c r="AU1137" i="48"/>
  <c r="AY1137" i="48"/>
  <c r="BK1137" i="48"/>
  <c r="AX1137" i="48"/>
  <c r="AV1137" i="48"/>
  <c r="AZ1137" i="48"/>
  <c r="AW1137" i="48"/>
  <c r="BA933" i="48"/>
  <c r="BK933" i="48"/>
  <c r="AX933" i="48"/>
  <c r="AU933" i="48"/>
  <c r="AN933" i="48" s="1"/>
  <c r="AY933" i="48"/>
  <c r="AV933" i="48"/>
  <c r="AZ933" i="48"/>
  <c r="AW933" i="48"/>
  <c r="BJ1218" i="48"/>
  <c r="BD1218" i="48"/>
  <c r="AX916" i="48"/>
  <c r="AV916" i="48"/>
  <c r="AU916" i="48"/>
  <c r="BK916" i="48"/>
  <c r="AZ916" i="48"/>
  <c r="AY916" i="48"/>
  <c r="AW916" i="48"/>
  <c r="BA916" i="48"/>
  <c r="BJ1028" i="48"/>
  <c r="BD1028" i="48"/>
  <c r="BJ831" i="48"/>
  <c r="BD831" i="48"/>
  <c r="BJ1230" i="48"/>
  <c r="BD1230" i="48"/>
  <c r="AX1885" i="48"/>
  <c r="AU1885" i="48"/>
  <c r="BK1885" i="48"/>
  <c r="AY1885" i="48"/>
  <c r="AW1885" i="48"/>
  <c r="AV1885" i="48"/>
  <c r="BA1885" i="48"/>
  <c r="AZ1885" i="48"/>
  <c r="BD889" i="48"/>
  <c r="BJ889" i="48"/>
  <c r="BA1776" i="48"/>
  <c r="AX1776" i="48"/>
  <c r="BK1776" i="48"/>
  <c r="AZ1776" i="48"/>
  <c r="AU1776" i="48"/>
  <c r="AN1776" i="48" s="1"/>
  <c r="AY1776" i="48"/>
  <c r="AV1776" i="48"/>
  <c r="AW1776" i="48"/>
  <c r="BJ1240" i="48"/>
  <c r="BD1240" i="48"/>
  <c r="BA1657" i="48"/>
  <c r="AX1657" i="48"/>
  <c r="BK1657" i="48"/>
  <c r="AV1657" i="48"/>
  <c r="AW1657" i="48"/>
  <c r="AZ1657" i="48"/>
  <c r="AU1657" i="48"/>
  <c r="AM1657" i="48" s="1"/>
  <c r="AY1657" i="48"/>
  <c r="BJ1343" i="48"/>
  <c r="BD1343" i="48"/>
  <c r="BJ812" i="48"/>
  <c r="BD812" i="48"/>
  <c r="BA1153" i="48"/>
  <c r="BK1153" i="48"/>
  <c r="AX1153" i="48"/>
  <c r="AU1153" i="48"/>
  <c r="AY1153" i="48"/>
  <c r="AV1153" i="48"/>
  <c r="AZ1153" i="48"/>
  <c r="AW1153" i="48"/>
  <c r="BJ1770" i="48"/>
  <c r="BD1770" i="48"/>
  <c r="AX778" i="48"/>
  <c r="AY778" i="48"/>
  <c r="AZ778" i="48"/>
  <c r="AU778" i="48"/>
  <c r="AW778" i="48"/>
  <c r="AV778" i="48"/>
  <c r="BA778" i="48"/>
  <c r="BK778" i="48"/>
  <c r="BK571" i="48"/>
  <c r="AV571" i="48"/>
  <c r="AU571" i="48"/>
  <c r="AZ571" i="48"/>
  <c r="AY571" i="48"/>
  <c r="AX571" i="48"/>
  <c r="AW571" i="48"/>
  <c r="BA571" i="48"/>
  <c r="AY910" i="48"/>
  <c r="AW910" i="48"/>
  <c r="AZ910" i="48"/>
  <c r="AU910" i="48"/>
  <c r="AP910" i="48" s="1"/>
  <c r="AV910" i="48"/>
  <c r="AX910" i="48"/>
  <c r="BK910" i="48"/>
  <c r="BA910" i="48"/>
  <c r="BA1985" i="48"/>
  <c r="BK1985" i="48"/>
  <c r="AY1985" i="48"/>
  <c r="AX1985" i="48"/>
  <c r="AZ1985" i="48"/>
  <c r="AV1985" i="48"/>
  <c r="AU1985" i="48"/>
  <c r="AW1985" i="48"/>
  <c r="BA1819" i="48"/>
  <c r="AV1819" i="48"/>
  <c r="BK1819" i="48"/>
  <c r="AZ1819" i="48"/>
  <c r="AU1819" i="48"/>
  <c r="AY1819" i="48"/>
  <c r="AX1819" i="48"/>
  <c r="AW1819" i="48"/>
  <c r="BA1034" i="48"/>
  <c r="AW1034" i="48"/>
  <c r="BK1034" i="48"/>
  <c r="AY1034" i="48"/>
  <c r="AZ1034" i="48"/>
  <c r="AU1034" i="48"/>
  <c r="AV1034" i="48"/>
  <c r="AX1034" i="48"/>
  <c r="BJ1220" i="48"/>
  <c r="BD1220" i="48"/>
  <c r="BA1658" i="48"/>
  <c r="AV1658" i="48"/>
  <c r="AX1658" i="48"/>
  <c r="BK1658" i="48"/>
  <c r="AW1658" i="48"/>
  <c r="AY1658" i="48"/>
  <c r="AZ1658" i="48"/>
  <c r="AU1658" i="48"/>
  <c r="BA2023" i="48"/>
  <c r="AZ2023" i="48"/>
  <c r="AW2023" i="48"/>
  <c r="AU2023" i="48"/>
  <c r="AX2023" i="48"/>
  <c r="BK2023" i="48"/>
  <c r="AV2023" i="48"/>
  <c r="AY2023" i="48"/>
  <c r="BD1423" i="48"/>
  <c r="BJ1423" i="48"/>
  <c r="BA1868" i="48"/>
  <c r="AV1868" i="48"/>
  <c r="AZ1868" i="48"/>
  <c r="AU1868" i="48"/>
  <c r="AM1868" i="48" s="1"/>
  <c r="BK1868" i="48"/>
  <c r="AY1868" i="48"/>
  <c r="AX1868" i="48"/>
  <c r="AW1868" i="48"/>
  <c r="BA765" i="48"/>
  <c r="BK765" i="48"/>
  <c r="AZ765" i="48"/>
  <c r="AU765" i="48"/>
  <c r="AY765" i="48"/>
  <c r="AX765" i="48"/>
  <c r="AV765" i="48"/>
  <c r="AW765" i="48"/>
  <c r="AW1166" i="48"/>
  <c r="AV1166" i="48"/>
  <c r="BA1166" i="48"/>
  <c r="AU1166" i="48"/>
  <c r="AX1166" i="48"/>
  <c r="BK1166" i="48"/>
  <c r="AZ1166" i="48"/>
  <c r="AY1166" i="48"/>
  <c r="AY1594" i="48"/>
  <c r="AW1594" i="48"/>
  <c r="AZ1594" i="48"/>
  <c r="AU1594" i="48"/>
  <c r="AV1594" i="48"/>
  <c r="AX1594" i="48"/>
  <c r="BK1594" i="48"/>
  <c r="BA1594" i="48"/>
  <c r="BJ1558" i="48"/>
  <c r="BD1558" i="48"/>
  <c r="BD1379" i="48"/>
  <c r="BJ1379" i="48"/>
  <c r="BA1379" i="48"/>
  <c r="AW1379" i="48"/>
  <c r="AV1379" i="48"/>
  <c r="AY1379" i="48"/>
  <c r="AU1379" i="48"/>
  <c r="AN1379" i="48" s="1"/>
  <c r="AZ1379" i="48"/>
  <c r="AX1379" i="48"/>
  <c r="BK1379" i="48"/>
  <c r="BD1021" i="48"/>
  <c r="BJ1021" i="48"/>
  <c r="BA986" i="48"/>
  <c r="AW986" i="48"/>
  <c r="AV986" i="48"/>
  <c r="AX986" i="48"/>
  <c r="BK986" i="48"/>
  <c r="AY986" i="48"/>
  <c r="AZ986" i="48"/>
  <c r="AU986" i="48"/>
  <c r="AP986" i="48" s="1"/>
  <c r="BA733" i="48"/>
  <c r="AV733" i="48"/>
  <c r="BK733" i="48"/>
  <c r="AZ733" i="48"/>
  <c r="AU733" i="48"/>
  <c r="AY733" i="48"/>
  <c r="AX733" i="48"/>
  <c r="AW733" i="48"/>
  <c r="BJ604" i="48"/>
  <c r="BD604" i="48"/>
  <c r="BJ1737" i="48"/>
  <c r="BD1737" i="48"/>
  <c r="BJ1174" i="48"/>
  <c r="BD1174" i="48"/>
  <c r="AX634" i="48"/>
  <c r="AV634" i="48"/>
  <c r="BA634" i="48"/>
  <c r="BK634" i="48"/>
  <c r="AY634" i="48"/>
  <c r="AW634" i="48"/>
  <c r="AZ634" i="48"/>
  <c r="AU634" i="48"/>
  <c r="AL634" i="48" s="1"/>
  <c r="BJ1502" i="48"/>
  <c r="BD1502" i="48"/>
  <c r="AX1162" i="48"/>
  <c r="AU1162" i="48"/>
  <c r="AZ1162" i="48"/>
  <c r="AW1162" i="48"/>
  <c r="BK1162" i="48"/>
  <c r="BA1162" i="48"/>
  <c r="AY1162" i="48"/>
  <c r="AV1162" i="48"/>
  <c r="BJ1088" i="48"/>
  <c r="BD1088" i="48"/>
  <c r="BA1175" i="48"/>
  <c r="BK1175" i="48"/>
  <c r="AY1175" i="48"/>
  <c r="AX1175" i="48"/>
  <c r="AV1175" i="48"/>
  <c r="AZ1175" i="48"/>
  <c r="AU1175" i="48"/>
  <c r="AW1175" i="48"/>
  <c r="BJ1537" i="48"/>
  <c r="BD1537" i="48"/>
  <c r="BD1581" i="48"/>
  <c r="BJ1581" i="48"/>
  <c r="BJ1856" i="48"/>
  <c r="BD1856" i="48"/>
  <c r="BD1919" i="48"/>
  <c r="BJ1919" i="48"/>
  <c r="BD1491" i="48"/>
  <c r="BJ1491" i="48"/>
  <c r="BD1133" i="48"/>
  <c r="BJ1133" i="48"/>
  <c r="BD1540" i="48"/>
  <c r="BJ1540" i="48"/>
  <c r="BK1147" i="48"/>
  <c r="AZ1147" i="48"/>
  <c r="AV1147" i="48"/>
  <c r="BA1147" i="48"/>
  <c r="AX1147" i="48"/>
  <c r="AU1147" i="48"/>
  <c r="AL1147" i="48" s="1"/>
  <c r="AY1147" i="48"/>
  <c r="AW1147" i="48"/>
  <c r="BA597" i="48"/>
  <c r="AY597" i="48"/>
  <c r="BK597" i="48"/>
  <c r="AX597" i="48"/>
  <c r="AV597" i="48"/>
  <c r="AZ597" i="48"/>
  <c r="AU597" i="48"/>
  <c r="AK597" i="48" s="1"/>
  <c r="AW597" i="48"/>
  <c r="AX782" i="48"/>
  <c r="AW782" i="48"/>
  <c r="AV782" i="48"/>
  <c r="BA782" i="48"/>
  <c r="BK782" i="48"/>
  <c r="AY782" i="48"/>
  <c r="AZ782" i="48"/>
  <c r="AU782" i="48"/>
  <c r="AO782" i="48" s="1"/>
  <c r="BD590" i="48"/>
  <c r="BJ590" i="48"/>
  <c r="BJ2004" i="48"/>
  <c r="BD2004" i="48"/>
  <c r="BA1720" i="48"/>
  <c r="AZ1720" i="48"/>
  <c r="AU1720" i="48"/>
  <c r="AM1720" i="48" s="1"/>
  <c r="AW1720" i="48"/>
  <c r="AV1720" i="48"/>
  <c r="AX1720" i="48"/>
  <c r="BK1720" i="48"/>
  <c r="AY1720" i="48"/>
  <c r="BJ1374" i="48"/>
  <c r="BD1374" i="48"/>
  <c r="BD741" i="48"/>
  <c r="BJ741" i="48"/>
  <c r="BA1203" i="48"/>
  <c r="BK1203" i="48"/>
  <c r="AY1203" i="48"/>
  <c r="AX1203" i="48"/>
  <c r="AV1203" i="48"/>
  <c r="AZ1203" i="48"/>
  <c r="AU1203" i="48"/>
  <c r="AM1203" i="48" s="1"/>
  <c r="AW1203" i="48"/>
  <c r="BK1705" i="48"/>
  <c r="AV1705" i="48"/>
  <c r="AZ1705" i="48"/>
  <c r="AW1705" i="48"/>
  <c r="AX1705" i="48"/>
  <c r="AU1705" i="48"/>
  <c r="BA1705" i="48"/>
  <c r="AY1705" i="48"/>
  <c r="BA1414" i="48"/>
  <c r="AX1414" i="48"/>
  <c r="BK1414" i="48"/>
  <c r="AU1414" i="48"/>
  <c r="AY1414" i="48"/>
  <c r="AV1414" i="48"/>
  <c r="AZ1414" i="48"/>
  <c r="AW1414" i="48"/>
  <c r="BA1229" i="48"/>
  <c r="AX1229" i="48"/>
  <c r="AU1229" i="48"/>
  <c r="AO1229" i="48" s="1"/>
  <c r="AW1229" i="48"/>
  <c r="AY1229" i="48"/>
  <c r="AV1229" i="48"/>
  <c r="BK1229" i="48"/>
  <c r="AZ1229" i="48"/>
  <c r="BA1065" i="48"/>
  <c r="BK1065" i="48"/>
  <c r="AU1065" i="48"/>
  <c r="AL1065" i="48" s="1"/>
  <c r="AY1065" i="48"/>
  <c r="AX1065" i="48"/>
  <c r="AW1065" i="48"/>
  <c r="AV1065" i="48"/>
  <c r="AZ1065" i="48"/>
  <c r="BJ1160" i="48"/>
  <c r="BD1160" i="48"/>
  <c r="BK1087" i="48"/>
  <c r="AZ1087" i="48"/>
  <c r="AV1087" i="48"/>
  <c r="BA1087" i="48"/>
  <c r="AU1087" i="48"/>
  <c r="AX1087" i="48"/>
  <c r="AY1087" i="48"/>
  <c r="AW1087" i="48"/>
  <c r="AX1535" i="48"/>
  <c r="AV1535" i="48"/>
  <c r="AU1535" i="48"/>
  <c r="AZ1535" i="48"/>
  <c r="BK1535" i="48"/>
  <c r="AY1535" i="48"/>
  <c r="AW1535" i="48"/>
  <c r="BA1535" i="48"/>
  <c r="BA1896" i="48"/>
  <c r="BK1896" i="48"/>
  <c r="AZ1896" i="48"/>
  <c r="AU1896" i="48"/>
  <c r="AY1896" i="48"/>
  <c r="AX1896" i="48"/>
  <c r="AV1896" i="48"/>
  <c r="AW1896" i="48"/>
  <c r="BJ559" i="48"/>
  <c r="BD559" i="48"/>
  <c r="BA1842" i="48"/>
  <c r="AX1842" i="48"/>
  <c r="AY1842" i="48"/>
  <c r="AV1842" i="48"/>
  <c r="BK1842" i="48"/>
  <c r="AZ1842" i="48"/>
  <c r="AW1842" i="48"/>
  <c r="AU1842" i="48"/>
  <c r="BD1613" i="48"/>
  <c r="BJ1613" i="48"/>
  <c r="BK1700" i="48"/>
  <c r="BA1700" i="48"/>
  <c r="AY1700" i="48"/>
  <c r="AW1700" i="48"/>
  <c r="AZ1700" i="48"/>
  <c r="AU1700" i="48"/>
  <c r="AV1700" i="48"/>
  <c r="AX1700" i="48"/>
  <c r="BA1430" i="48"/>
  <c r="AX1430" i="48"/>
  <c r="BK1430" i="48"/>
  <c r="AU1430" i="48"/>
  <c r="AY1430" i="48"/>
  <c r="AV1430" i="48"/>
  <c r="AZ1430" i="48"/>
  <c r="AW1430" i="48"/>
  <c r="BJ1590" i="48"/>
  <c r="BD1590" i="48"/>
  <c r="BJ1049" i="48"/>
  <c r="BD1049" i="48"/>
  <c r="BJ1976" i="48"/>
  <c r="BD1976" i="48"/>
  <c r="BA1735" i="48"/>
  <c r="AY1735" i="48"/>
  <c r="BK1735" i="48"/>
  <c r="AX1735" i="48"/>
  <c r="AU1735" i="48"/>
  <c r="AM1735" i="48" s="1"/>
  <c r="AV1735" i="48"/>
  <c r="AZ1735" i="48"/>
  <c r="AW1735" i="48"/>
  <c r="BA1427" i="48"/>
  <c r="AX1427" i="48"/>
  <c r="AY1427" i="48"/>
  <c r="AV1427" i="48"/>
  <c r="BK1427" i="48"/>
  <c r="AZ1427" i="48"/>
  <c r="AW1427" i="48"/>
  <c r="AU1427" i="48"/>
  <c r="BJ1685" i="48"/>
  <c r="BD1685" i="48"/>
  <c r="BJ1852" i="48"/>
  <c r="BD1852" i="48"/>
  <c r="BJ1656" i="48"/>
  <c r="BD1656" i="48"/>
  <c r="AX742" i="48"/>
  <c r="AW742" i="48"/>
  <c r="AY742" i="48"/>
  <c r="AZ742" i="48"/>
  <c r="AU742" i="48"/>
  <c r="AK742" i="48" s="1"/>
  <c r="AV742" i="48"/>
  <c r="BA742" i="48"/>
  <c r="BK742" i="48"/>
  <c r="BD749" i="48"/>
  <c r="BJ749" i="48"/>
  <c r="BA749" i="48"/>
  <c r="BK749" i="48"/>
  <c r="AX749" i="48"/>
  <c r="AV749" i="48"/>
  <c r="AZ749" i="48"/>
  <c r="AU749" i="48"/>
  <c r="AL749" i="48" s="1"/>
  <c r="AY749" i="48"/>
  <c r="AW749" i="48"/>
  <c r="BA1929" i="48"/>
  <c r="AX1929" i="48"/>
  <c r="AV1929" i="48"/>
  <c r="AZ1929" i="48"/>
  <c r="AY1929" i="48"/>
  <c r="BK1929" i="48"/>
  <c r="AU1929" i="48"/>
  <c r="AP1929" i="48" s="1"/>
  <c r="AW1929" i="48"/>
  <c r="BA1398" i="48"/>
  <c r="BK1398" i="48"/>
  <c r="AU1398" i="48"/>
  <c r="AY1398" i="48"/>
  <c r="AX1398" i="48"/>
  <c r="AV1398" i="48"/>
  <c r="AW1398" i="48"/>
  <c r="AZ1398" i="48"/>
  <c r="BJ1020" i="48"/>
  <c r="BD1020" i="48"/>
  <c r="BD1185" i="48"/>
  <c r="BJ1185" i="48"/>
  <c r="BJ744" i="48"/>
  <c r="BD744" i="48"/>
  <c r="AW1258" i="48"/>
  <c r="BA1258" i="48"/>
  <c r="AV1258" i="48"/>
  <c r="AX1258" i="48"/>
  <c r="BK1258" i="48"/>
  <c r="AY1258" i="48"/>
  <c r="AZ1258" i="48"/>
  <c r="AU1258" i="48"/>
  <c r="BA1914" i="48"/>
  <c r="AX1914" i="48"/>
  <c r="AY1914" i="48"/>
  <c r="AZ1914" i="48"/>
  <c r="BK1914" i="48"/>
  <c r="AW1914" i="48"/>
  <c r="AU1914" i="48"/>
  <c r="AL1914" i="48" s="1"/>
  <c r="AV1914" i="48"/>
  <c r="BD1712" i="48"/>
  <c r="BJ1712" i="48"/>
  <c r="BD1325" i="48"/>
  <c r="BJ1325" i="48"/>
  <c r="AX700" i="48"/>
  <c r="AU700" i="48"/>
  <c r="AK700" i="48" s="1"/>
  <c r="BK700" i="48"/>
  <c r="AZ700" i="48"/>
  <c r="AY700" i="48"/>
  <c r="AV700" i="48"/>
  <c r="AW700" i="48"/>
  <c r="BA700" i="48"/>
  <c r="BD1479" i="48"/>
  <c r="BJ1479" i="48"/>
  <c r="BJ893" i="48"/>
  <c r="BD893" i="48"/>
  <c r="AX1399" i="48"/>
  <c r="AW1399" i="48"/>
  <c r="BK1399" i="48"/>
  <c r="AY1399" i="48"/>
  <c r="AZ1399" i="48"/>
  <c r="AU1399" i="48"/>
  <c r="AV1399" i="48"/>
  <c r="BA1399" i="48"/>
  <c r="BA1140" i="48"/>
  <c r="AV1140" i="48"/>
  <c r="AZ1140" i="48"/>
  <c r="AU1140" i="48"/>
  <c r="AN1140" i="48" s="1"/>
  <c r="BK1140" i="48"/>
  <c r="AY1140" i="48"/>
  <c r="AX1140" i="48"/>
  <c r="AW1140" i="48"/>
  <c r="BK903" i="48"/>
  <c r="AZ903" i="48"/>
  <c r="AV903" i="48"/>
  <c r="BA903" i="48"/>
  <c r="AX903" i="48"/>
  <c r="AU903" i="48"/>
  <c r="AM903" i="48" s="1"/>
  <c r="AW903" i="48"/>
  <c r="AY903" i="48"/>
  <c r="BD1825" i="48"/>
  <c r="BJ1825" i="48"/>
  <c r="BD1862" i="48"/>
  <c r="BJ1862" i="48"/>
  <c r="AW1903" i="48"/>
  <c r="BA1903" i="48"/>
  <c r="AV1903" i="48"/>
  <c r="AY1903" i="48"/>
  <c r="AZ1903" i="48"/>
  <c r="AU1903" i="48"/>
  <c r="AX1903" i="48"/>
  <c r="BK1903" i="48"/>
  <c r="BJ1295" i="48"/>
  <c r="BD1295" i="48"/>
  <c r="BA1280" i="48"/>
  <c r="AY1280" i="48"/>
  <c r="AX1280" i="48"/>
  <c r="BK1280" i="48"/>
  <c r="AU1280" i="48"/>
  <c r="AV1280" i="48"/>
  <c r="AZ1280" i="48"/>
  <c r="AW1280" i="48"/>
  <c r="BJ1972" i="48"/>
  <c r="BD1972" i="48"/>
  <c r="BJ1749" i="48"/>
  <c r="BD1749" i="48"/>
  <c r="BJ1128" i="48"/>
  <c r="BD1128" i="48"/>
  <c r="BA909" i="48"/>
  <c r="AY909" i="48"/>
  <c r="BK909" i="48"/>
  <c r="AX909" i="48"/>
  <c r="AU909" i="48"/>
  <c r="AV909" i="48"/>
  <c r="AZ909" i="48"/>
  <c r="AW909" i="48"/>
  <c r="BA1505" i="48"/>
  <c r="BK1505" i="48"/>
  <c r="AZ1505" i="48"/>
  <c r="AU1505" i="48"/>
  <c r="AY1505" i="48"/>
  <c r="AX1505" i="48"/>
  <c r="AV1505" i="48"/>
  <c r="AW1505" i="48"/>
  <c r="BA1363" i="48"/>
  <c r="AV1363" i="48"/>
  <c r="AZ1363" i="48"/>
  <c r="AU1363" i="48"/>
  <c r="BK1363" i="48"/>
  <c r="AY1363" i="48"/>
  <c r="AX1363" i="48"/>
  <c r="AW1363" i="48"/>
  <c r="BD1684" i="48"/>
  <c r="BJ1684" i="48"/>
  <c r="BD1201" i="48"/>
  <c r="BJ1201" i="48"/>
  <c r="BD677" i="48"/>
  <c r="BJ677" i="48"/>
  <c r="AX654" i="48"/>
  <c r="AW654" i="48"/>
  <c r="AZ654" i="48"/>
  <c r="AU654" i="48"/>
  <c r="AO654" i="48" s="1"/>
  <c r="AV654" i="48"/>
  <c r="BA654" i="48"/>
  <c r="BK654" i="48"/>
  <c r="AY654" i="48"/>
  <c r="BA1736" i="48"/>
  <c r="AW1736" i="48"/>
  <c r="AY1736" i="48"/>
  <c r="AZ1736" i="48"/>
  <c r="AU1736" i="48"/>
  <c r="AV1736" i="48"/>
  <c r="AX1736" i="48"/>
  <c r="BK1736" i="48"/>
  <c r="BD721" i="48"/>
  <c r="BJ721" i="48"/>
  <c r="AX720" i="48"/>
  <c r="AZ720" i="48"/>
  <c r="BK720" i="48"/>
  <c r="AY720" i="48"/>
  <c r="AV720" i="48"/>
  <c r="AU720" i="48"/>
  <c r="AW720" i="48"/>
  <c r="BA720" i="48"/>
  <c r="BA1846" i="48"/>
  <c r="AX1846" i="48"/>
  <c r="BK1846" i="48"/>
  <c r="AZ1846" i="48"/>
  <c r="AU1846" i="48"/>
  <c r="AN1846" i="48" s="1"/>
  <c r="AW1846" i="48"/>
  <c r="AY1846" i="48"/>
  <c r="AV1846" i="48"/>
  <c r="BJ1260" i="48"/>
  <c r="BD1260" i="48"/>
  <c r="BD1625" i="48"/>
  <c r="BJ1625" i="48"/>
  <c r="BD1118" i="48"/>
  <c r="BJ1118" i="48"/>
  <c r="BJ1797" i="48"/>
  <c r="BD1797" i="48"/>
  <c r="AW631" i="48"/>
  <c r="BA631" i="48"/>
  <c r="AV631" i="48"/>
  <c r="BK631" i="48"/>
  <c r="AZ631" i="48"/>
  <c r="AY631" i="48"/>
  <c r="AU631" i="48"/>
  <c r="AX631" i="48"/>
  <c r="BA1499" i="48"/>
  <c r="AX1499" i="48"/>
  <c r="AU1499" i="48"/>
  <c r="AY1499" i="48"/>
  <c r="BK1499" i="48"/>
  <c r="AV1499" i="48"/>
  <c r="AZ1499" i="48"/>
  <c r="AW1499" i="48"/>
  <c r="AW803" i="48"/>
  <c r="AY803" i="48"/>
  <c r="AU803" i="48"/>
  <c r="BA803" i="48"/>
  <c r="AX803" i="48"/>
  <c r="BK803" i="48"/>
  <c r="AZ803" i="48"/>
  <c r="AV803" i="48"/>
  <c r="BD1905" i="48"/>
  <c r="BJ1905" i="48"/>
  <c r="BJ1681" i="48"/>
  <c r="BD1681" i="48"/>
  <c r="AV743" i="48"/>
  <c r="BA743" i="48"/>
  <c r="AW743" i="48"/>
  <c r="AY743" i="48"/>
  <c r="AU743" i="48"/>
  <c r="AN743" i="48" s="1"/>
  <c r="AX743" i="48"/>
  <c r="BK743" i="48"/>
  <c r="AZ743" i="48"/>
  <c r="BJ1408" i="48"/>
  <c r="BD1408" i="48"/>
  <c r="BJ1859" i="48"/>
  <c r="BD1859" i="48"/>
  <c r="BJ1957" i="48"/>
  <c r="BD1957" i="48"/>
  <c r="BA1586" i="48"/>
  <c r="AW1586" i="48"/>
  <c r="AZ1586" i="48"/>
  <c r="AU1586" i="48"/>
  <c r="AV1586" i="48"/>
  <c r="AX1586" i="48"/>
  <c r="BK1586" i="48"/>
  <c r="AY1586" i="48"/>
  <c r="BJ931" i="48"/>
  <c r="BD931" i="48"/>
  <c r="BJ752" i="48"/>
  <c r="BD752" i="48"/>
  <c r="BD1317" i="48"/>
  <c r="BJ1317" i="48"/>
  <c r="BA1269" i="48"/>
  <c r="AX1269" i="48"/>
  <c r="BK1269" i="48"/>
  <c r="AZ1269" i="48"/>
  <c r="AU1269" i="48"/>
  <c r="AN1269" i="48" s="1"/>
  <c r="AW1269" i="48"/>
  <c r="AY1269" i="48"/>
  <c r="AV1269" i="48"/>
  <c r="BJ1745" i="48"/>
  <c r="BD1745" i="48"/>
  <c r="BD1373" i="48"/>
  <c r="BJ1373" i="48"/>
  <c r="BD753" i="48"/>
  <c r="BJ753" i="48"/>
  <c r="BD561" i="48"/>
  <c r="BJ561" i="48"/>
  <c r="BJ499" i="48"/>
  <c r="BD499" i="48"/>
  <c r="AX93" i="48"/>
  <c r="AW93" i="48"/>
  <c r="AY93" i="48"/>
  <c r="AZ93" i="48"/>
  <c r="AU93" i="48"/>
  <c r="AV93" i="48"/>
  <c r="BK93" i="48"/>
  <c r="AW254" i="48"/>
  <c r="AV254" i="48"/>
  <c r="BK254" i="48"/>
  <c r="AZ254" i="48"/>
  <c r="AY254" i="48"/>
  <c r="AU254" i="48"/>
  <c r="AX254" i="48"/>
  <c r="AX229" i="48"/>
  <c r="BK229" i="48"/>
  <c r="AY229" i="48"/>
  <c r="AZ229" i="48"/>
  <c r="AU229" i="48"/>
  <c r="AW229" i="48"/>
  <c r="AV229" i="48"/>
  <c r="AW142" i="48"/>
  <c r="AV142" i="48"/>
  <c r="AY142" i="48"/>
  <c r="AU142" i="48"/>
  <c r="AX142" i="48"/>
  <c r="BK142" i="48"/>
  <c r="AZ142" i="48"/>
  <c r="BJ547" i="48"/>
  <c r="BD547" i="48"/>
  <c r="AX217" i="48"/>
  <c r="AW217" i="48"/>
  <c r="AY217" i="48"/>
  <c r="AZ217" i="48"/>
  <c r="AU217" i="48"/>
  <c r="AP217" i="48" s="1"/>
  <c r="AV217" i="48"/>
  <c r="BK217" i="48"/>
  <c r="BK184" i="48"/>
  <c r="AU184" i="48"/>
  <c r="AY184" i="48"/>
  <c r="AX184" i="48"/>
  <c r="AV184" i="48"/>
  <c r="AZ184" i="48"/>
  <c r="AW184" i="48"/>
  <c r="BA340" i="48"/>
  <c r="AX340" i="48"/>
  <c r="BK340" i="48"/>
  <c r="AU340" i="48"/>
  <c r="AK340" i="48" s="1"/>
  <c r="AY340" i="48"/>
  <c r="AW340" i="48"/>
  <c r="AV340" i="48"/>
  <c r="AZ340" i="48"/>
  <c r="BD481" i="48"/>
  <c r="BJ481" i="48"/>
  <c r="BJ371" i="48"/>
  <c r="BD371" i="48"/>
  <c r="BJ551" i="48"/>
  <c r="BD551" i="48"/>
  <c r="BK192" i="48"/>
  <c r="AU192" i="48"/>
  <c r="AY192" i="48"/>
  <c r="AX192" i="48"/>
  <c r="AZ192" i="48"/>
  <c r="AW192" i="48"/>
  <c r="AV192" i="48"/>
  <c r="AX255" i="48"/>
  <c r="BK255" i="48"/>
  <c r="AZ255" i="48"/>
  <c r="AY255" i="48"/>
  <c r="AV255" i="48"/>
  <c r="AU255" i="48"/>
  <c r="AW255" i="48"/>
  <c r="BA375" i="48"/>
  <c r="BK375" i="48"/>
  <c r="AY375" i="48"/>
  <c r="AX375" i="48"/>
  <c r="AV375" i="48"/>
  <c r="AZ375" i="48"/>
  <c r="AU375" i="48"/>
  <c r="AN375" i="48" s="1"/>
  <c r="AW375" i="48"/>
  <c r="AW281" i="48"/>
  <c r="AX281" i="48"/>
  <c r="BK281" i="48"/>
  <c r="AY281" i="48"/>
  <c r="AZ281" i="48"/>
  <c r="AU281" i="48"/>
  <c r="AV281" i="48"/>
  <c r="BK538" i="48"/>
  <c r="AZ538" i="48"/>
  <c r="AV538" i="48"/>
  <c r="BA538" i="48"/>
  <c r="AY538" i="48"/>
  <c r="AX538" i="48"/>
  <c r="AW538" i="48"/>
  <c r="AU538" i="48"/>
  <c r="AN538" i="48" s="1"/>
  <c r="AX285" i="48"/>
  <c r="AW285" i="48"/>
  <c r="BK285" i="48"/>
  <c r="AY285" i="48"/>
  <c r="AZ285" i="48"/>
  <c r="AU285" i="48"/>
  <c r="AV285" i="48"/>
  <c r="BA404" i="48"/>
  <c r="AX404" i="48"/>
  <c r="BK404" i="48"/>
  <c r="AU404" i="48"/>
  <c r="AP404" i="48" s="1"/>
  <c r="AY404" i="48"/>
  <c r="AW404" i="48"/>
  <c r="AV404" i="48"/>
  <c r="AZ404" i="48"/>
  <c r="AY216" i="48"/>
  <c r="AX216" i="48"/>
  <c r="BK216" i="48"/>
  <c r="AU216" i="48"/>
  <c r="AV216" i="48"/>
  <c r="AZ216" i="48"/>
  <c r="AW216" i="48"/>
  <c r="BD356" i="48"/>
  <c r="BJ356" i="48"/>
  <c r="AY244" i="48"/>
  <c r="AX244" i="48"/>
  <c r="BK244" i="48"/>
  <c r="AU244" i="48"/>
  <c r="AW244" i="48"/>
  <c r="AV244" i="48"/>
  <c r="AZ244" i="48"/>
  <c r="BA372" i="48"/>
  <c r="AX372" i="48"/>
  <c r="BK372" i="48"/>
  <c r="AU372" i="48"/>
  <c r="AY372" i="48"/>
  <c r="AW372" i="48"/>
  <c r="AV372" i="48"/>
  <c r="AZ372" i="48"/>
  <c r="BA339" i="48"/>
  <c r="AX339" i="48"/>
  <c r="AV339" i="48"/>
  <c r="BK339" i="48"/>
  <c r="AZ339" i="48"/>
  <c r="AU339" i="48"/>
  <c r="AY339" i="48"/>
  <c r="AW339" i="48"/>
  <c r="AW166" i="48"/>
  <c r="AY166" i="48"/>
  <c r="AU166" i="48"/>
  <c r="AV166" i="48"/>
  <c r="AX166" i="48"/>
  <c r="BK166" i="48"/>
  <c r="AZ166" i="48"/>
  <c r="AZ103" i="48"/>
  <c r="AU103" i="48"/>
  <c r="BK103" i="48"/>
  <c r="AY103" i="48"/>
  <c r="AX103" i="48"/>
  <c r="AV103" i="48"/>
  <c r="AW103" i="48"/>
  <c r="AW501" i="48"/>
  <c r="BA501" i="48"/>
  <c r="BK501" i="48"/>
  <c r="AY501" i="48"/>
  <c r="AZ501" i="48"/>
  <c r="AU501" i="48"/>
  <c r="AV501" i="48"/>
  <c r="AX501" i="48"/>
  <c r="BD345" i="48"/>
  <c r="BJ345" i="48"/>
  <c r="BA311" i="48"/>
  <c r="BK311" i="48"/>
  <c r="AY311" i="48"/>
  <c r="AX311" i="48"/>
  <c r="AV311" i="48"/>
  <c r="AZ311" i="48"/>
  <c r="AU311" i="48"/>
  <c r="AW311" i="48"/>
  <c r="AU178" i="48"/>
  <c r="AV178" i="48"/>
  <c r="AX178" i="48"/>
  <c r="BK178" i="48"/>
  <c r="AZ178" i="48"/>
  <c r="AW178" i="48"/>
  <c r="AY178" i="48"/>
  <c r="BJ1196" i="48"/>
  <c r="BD1196" i="48"/>
  <c r="BA866" i="48"/>
  <c r="AY866" i="48"/>
  <c r="AZ866" i="48"/>
  <c r="AU866" i="48"/>
  <c r="AO866" i="48" s="1"/>
  <c r="AV866" i="48"/>
  <c r="AX866" i="48"/>
  <c r="BK866" i="48"/>
  <c r="AW866" i="48"/>
  <c r="BJ2019" i="48"/>
  <c r="BD2019" i="48"/>
  <c r="BD1142" i="48"/>
  <c r="BJ1142" i="48"/>
  <c r="BA941" i="48"/>
  <c r="AU941" i="48"/>
  <c r="AY941" i="48"/>
  <c r="BK941" i="48"/>
  <c r="AX941" i="48"/>
  <c r="AV941" i="48"/>
  <c r="AZ941" i="48"/>
  <c r="AW941" i="48"/>
  <c r="BJ991" i="48"/>
  <c r="BD991" i="48"/>
  <c r="BJ944" i="48"/>
  <c r="BD944" i="48"/>
  <c r="BD970" i="48"/>
  <c r="BJ970" i="48"/>
  <c r="AW1907" i="48"/>
  <c r="AV1907" i="48"/>
  <c r="BA1907" i="48"/>
  <c r="AU1907" i="48"/>
  <c r="AX1907" i="48"/>
  <c r="BK1907" i="48"/>
  <c r="AZ1907" i="48"/>
  <c r="AY1907" i="48"/>
  <c r="BA1516" i="48"/>
  <c r="AW1516" i="48"/>
  <c r="AZ1516" i="48"/>
  <c r="AU1516" i="48"/>
  <c r="AV1516" i="48"/>
  <c r="AX1516" i="48"/>
  <c r="BK1516" i="48"/>
  <c r="AY1516" i="48"/>
  <c r="BA1870" i="48"/>
  <c r="AX1870" i="48"/>
  <c r="AU1870" i="48"/>
  <c r="AW1870" i="48"/>
  <c r="AY1870" i="48"/>
  <c r="BK1870" i="48"/>
  <c r="AV1870" i="48"/>
  <c r="AZ1870" i="48"/>
  <c r="BJ1946" i="48"/>
  <c r="BD1946" i="48"/>
  <c r="BA1707" i="48"/>
  <c r="BK1707" i="48"/>
  <c r="AU1707" i="48"/>
  <c r="AY1707" i="48"/>
  <c r="AX1707" i="48"/>
  <c r="AW1707" i="48"/>
  <c r="AV1707" i="48"/>
  <c r="AZ1707" i="48"/>
  <c r="BA897" i="48"/>
  <c r="AY897" i="48"/>
  <c r="AX897" i="48"/>
  <c r="BK897" i="48"/>
  <c r="AU897" i="48"/>
  <c r="AO897" i="48" s="1"/>
  <c r="AV897" i="48"/>
  <c r="AW897" i="48"/>
  <c r="AZ897" i="48"/>
  <c r="BA953" i="48"/>
  <c r="BK953" i="48"/>
  <c r="AU953" i="48"/>
  <c r="AL953" i="48" s="1"/>
  <c r="AY953" i="48"/>
  <c r="AX953" i="48"/>
  <c r="AW953" i="48"/>
  <c r="AV953" i="48"/>
  <c r="AZ953" i="48"/>
  <c r="BJ1793" i="48"/>
  <c r="BD1793" i="48"/>
  <c r="BA1193" i="48"/>
  <c r="AX1193" i="48"/>
  <c r="AU1193" i="48"/>
  <c r="AN1193" i="48" s="1"/>
  <c r="AY1193" i="48"/>
  <c r="AV1193" i="48"/>
  <c r="BK1193" i="48"/>
  <c r="AZ1193" i="48"/>
  <c r="AW1193" i="48"/>
  <c r="AW1906" i="48"/>
  <c r="AX1906" i="48"/>
  <c r="AZ1906" i="48"/>
  <c r="AU1906" i="48"/>
  <c r="AK1906" i="48" s="1"/>
  <c r="AV1906" i="48"/>
  <c r="BA1906" i="48"/>
  <c r="BK1906" i="48"/>
  <c r="AY1906" i="48"/>
  <c r="AV1214" i="48"/>
  <c r="AX1214" i="48"/>
  <c r="BK1214" i="48"/>
  <c r="BA1214" i="48"/>
  <c r="AY1214" i="48"/>
  <c r="AW1214" i="48"/>
  <c r="AZ1214" i="48"/>
  <c r="AU1214" i="48"/>
  <c r="BJ1039" i="48"/>
  <c r="BD1039" i="48"/>
  <c r="BD1723" i="48"/>
  <c r="BJ1723" i="48"/>
  <c r="BJ1413" i="48"/>
  <c r="BD1413" i="48"/>
  <c r="BD790" i="48"/>
  <c r="BJ790" i="48"/>
  <c r="BA905" i="48"/>
  <c r="AY905" i="48"/>
  <c r="AX905" i="48"/>
  <c r="AU905" i="48"/>
  <c r="AP905" i="48" s="1"/>
  <c r="BK905" i="48"/>
  <c r="AW905" i="48"/>
  <c r="AV905" i="48"/>
  <c r="AZ905" i="48"/>
  <c r="AX646" i="48"/>
  <c r="AW646" i="48"/>
  <c r="BK646" i="48"/>
  <c r="AY646" i="48"/>
  <c r="AZ646" i="48"/>
  <c r="AU646" i="48"/>
  <c r="AP646" i="48" s="1"/>
  <c r="AV646" i="48"/>
  <c r="BA646" i="48"/>
  <c r="BD981" i="48"/>
  <c r="BJ981" i="48"/>
  <c r="AX1395" i="48"/>
  <c r="AW1395" i="48"/>
  <c r="BK1395" i="48"/>
  <c r="AY1395" i="48"/>
  <c r="AZ1395" i="48"/>
  <c r="AU1395" i="48"/>
  <c r="AV1395" i="48"/>
  <c r="BA1395" i="48"/>
  <c r="BA2046" i="48"/>
  <c r="AV2046" i="48"/>
  <c r="AZ2046" i="48"/>
  <c r="AU2046" i="48"/>
  <c r="AK2046" i="48" s="1"/>
  <c r="BK2046" i="48"/>
  <c r="AY2046" i="48"/>
  <c r="AX2046" i="48"/>
  <c r="AW2046" i="48"/>
  <c r="BJ735" i="48"/>
  <c r="BD735" i="48"/>
  <c r="BJ896" i="48"/>
  <c r="BD896" i="48"/>
  <c r="BD605" i="48"/>
  <c r="BJ605" i="48"/>
  <c r="BA777" i="48"/>
  <c r="AV777" i="48"/>
  <c r="BK777" i="48"/>
  <c r="AZ777" i="48"/>
  <c r="AU777" i="48"/>
  <c r="AY777" i="48"/>
  <c r="AX777" i="48"/>
  <c r="AW777" i="48"/>
  <c r="AV1650" i="48"/>
  <c r="AX1650" i="48"/>
  <c r="BK1650" i="48"/>
  <c r="BA1650" i="48"/>
  <c r="AY1650" i="48"/>
  <c r="AW1650" i="48"/>
  <c r="AZ1650" i="48"/>
  <c r="AU1650" i="48"/>
  <c r="BJ1445" i="48"/>
  <c r="BD1445" i="48"/>
  <c r="BJ1124" i="48"/>
  <c r="BD1124" i="48"/>
  <c r="BJ1304" i="48"/>
  <c r="BD1304" i="48"/>
  <c r="AX1173" i="48"/>
  <c r="AZ1173" i="48"/>
  <c r="AU1173" i="48"/>
  <c r="AO1173" i="48" s="1"/>
  <c r="AV1173" i="48"/>
  <c r="BA1173" i="48"/>
  <c r="BK1173" i="48"/>
  <c r="AW1173" i="48"/>
  <c r="AY1173" i="48"/>
  <c r="BJ1426" i="48"/>
  <c r="BD1426" i="48"/>
  <c r="BJ1319" i="48"/>
  <c r="BD1319" i="48"/>
  <c r="BA1319" i="48"/>
  <c r="AX1319" i="48"/>
  <c r="AV1319" i="48"/>
  <c r="AZ1319" i="48"/>
  <c r="AU1319" i="48"/>
  <c r="BK1319" i="48"/>
  <c r="AY1319" i="48"/>
  <c r="AW1319" i="48"/>
  <c r="BJ1837" i="48"/>
  <c r="BD1837" i="48"/>
  <c r="BJ1827" i="48"/>
  <c r="BD1827" i="48"/>
  <c r="AY1626" i="48"/>
  <c r="AW1626" i="48"/>
  <c r="AZ1626" i="48"/>
  <c r="AU1626" i="48"/>
  <c r="AV1626" i="48"/>
  <c r="AX1626" i="48"/>
  <c r="BK1626" i="48"/>
  <c r="BA1626" i="48"/>
  <c r="BD1094" i="48"/>
  <c r="BJ1094" i="48"/>
  <c r="BJ683" i="48"/>
  <c r="BD683" i="48"/>
  <c r="AX1901" i="48"/>
  <c r="AU1901" i="48"/>
  <c r="AY1901" i="48"/>
  <c r="BA1901" i="48"/>
  <c r="BK1901" i="48"/>
  <c r="AV1901" i="48"/>
  <c r="AZ1901" i="48"/>
  <c r="AW1901" i="48"/>
  <c r="BJ1116" i="48"/>
  <c r="BD1116" i="48"/>
  <c r="BA1116" i="48"/>
  <c r="AX1116" i="48"/>
  <c r="AV1116" i="48"/>
  <c r="AZ1116" i="48"/>
  <c r="AU1116" i="48"/>
  <c r="AP1116" i="48" s="1"/>
  <c r="AY1116" i="48"/>
  <c r="BK1116" i="48"/>
  <c r="AW1116" i="48"/>
  <c r="BJ1984" i="48"/>
  <c r="BD1984" i="48"/>
  <c r="BJ932" i="48"/>
  <c r="BD932" i="48"/>
  <c r="BJ1144" i="48"/>
  <c r="BD1144" i="48"/>
  <c r="BA1144" i="48"/>
  <c r="AX1144" i="48"/>
  <c r="AV1144" i="48"/>
  <c r="AZ1144" i="48"/>
  <c r="AU1144" i="48"/>
  <c r="BK1144" i="48"/>
  <c r="AY1144" i="48"/>
  <c r="AW1144" i="48"/>
  <c r="BA2026" i="48"/>
  <c r="AX2026" i="48"/>
  <c r="AY2026" i="48"/>
  <c r="BK2026" i="48"/>
  <c r="AW2026" i="48"/>
  <c r="AV2026" i="48"/>
  <c r="AU2026" i="48"/>
  <c r="AZ2026" i="48"/>
  <c r="BK1139" i="48"/>
  <c r="AZ1139" i="48"/>
  <c r="AV1139" i="48"/>
  <c r="BA1139" i="48"/>
  <c r="AY1139" i="48"/>
  <c r="AX1139" i="48"/>
  <c r="AW1139" i="48"/>
  <c r="AU1139" i="48"/>
  <c r="AW663" i="48"/>
  <c r="BA663" i="48"/>
  <c r="AV663" i="48"/>
  <c r="BK663" i="48"/>
  <c r="AZ663" i="48"/>
  <c r="AY663" i="48"/>
  <c r="AU663" i="48"/>
  <c r="AX663" i="48"/>
  <c r="BJ739" i="48"/>
  <c r="BD739" i="48"/>
  <c r="BJ1802" i="48"/>
  <c r="BD1802" i="48"/>
  <c r="BA1403" i="48"/>
  <c r="AX1403" i="48"/>
  <c r="AY1403" i="48"/>
  <c r="BK1403" i="48"/>
  <c r="AV1403" i="48"/>
  <c r="AU1403" i="48"/>
  <c r="AM1403" i="48" s="1"/>
  <c r="AZ1403" i="48"/>
  <c r="AW1403" i="48"/>
  <c r="BD1241" i="48"/>
  <c r="BJ1241" i="48"/>
  <c r="BJ824" i="48"/>
  <c r="BD824" i="48"/>
  <c r="BD1285" i="48"/>
  <c r="BJ1285" i="48"/>
  <c r="BD1102" i="48"/>
  <c r="BJ1102" i="48"/>
  <c r="BJ1312" i="48"/>
  <c r="BD1312" i="48"/>
  <c r="BA1443" i="48"/>
  <c r="AX1443" i="48"/>
  <c r="AY1443" i="48"/>
  <c r="AV1443" i="48"/>
  <c r="BK1443" i="48"/>
  <c r="AZ1443" i="48"/>
  <c r="AW1443" i="48"/>
  <c r="AU1443" i="48"/>
  <c r="BJ2006" i="48"/>
  <c r="BD2006" i="48"/>
  <c r="BD1082" i="48"/>
  <c r="BJ1082" i="48"/>
  <c r="BJ600" i="48"/>
  <c r="BD600" i="48"/>
  <c r="AX1889" i="48"/>
  <c r="AY1889" i="48"/>
  <c r="BK1889" i="48"/>
  <c r="AU1889" i="48"/>
  <c r="AK1889" i="48" s="1"/>
  <c r="AV1889" i="48"/>
  <c r="AW1889" i="48"/>
  <c r="AZ1889" i="48"/>
  <c r="BA1889" i="48"/>
  <c r="BJ1449" i="48"/>
  <c r="BD1449" i="48"/>
  <c r="AX1449" i="48"/>
  <c r="BK1449" i="48"/>
  <c r="AY1449" i="48"/>
  <c r="AV1449" i="48"/>
  <c r="AU1449" i="48"/>
  <c r="AZ1449" i="48"/>
  <c r="AW1449" i="48"/>
  <c r="BA1449" i="48"/>
  <c r="BD1515" i="48"/>
  <c r="BJ1515" i="48"/>
  <c r="BJ1278" i="48"/>
  <c r="BD1278" i="48"/>
  <c r="BJ883" i="48"/>
  <c r="BD883" i="48"/>
  <c r="BA1861" i="48"/>
  <c r="BK1861" i="48"/>
  <c r="AU1861" i="48"/>
  <c r="AN1861" i="48" s="1"/>
  <c r="AY1861" i="48"/>
  <c r="AX1861" i="48"/>
  <c r="AZ1861" i="48"/>
  <c r="AW1861" i="48"/>
  <c r="AV1861" i="48"/>
  <c r="BA1785" i="48"/>
  <c r="AW1785" i="48"/>
  <c r="BK1785" i="48"/>
  <c r="AY1785" i="48"/>
  <c r="AZ1785" i="48"/>
  <c r="AU1785" i="48"/>
  <c r="AV1785" i="48"/>
  <c r="AX1785" i="48"/>
  <c r="BJ1027" i="48"/>
  <c r="BD1027" i="48"/>
  <c r="BA1097" i="48"/>
  <c r="AY1097" i="48"/>
  <c r="AX1097" i="48"/>
  <c r="BK1097" i="48"/>
  <c r="AU1097" i="48"/>
  <c r="AN1097" i="48" s="1"/>
  <c r="AW1097" i="48"/>
  <c r="AV1097" i="48"/>
  <c r="AZ1097" i="48"/>
  <c r="AX714" i="48"/>
  <c r="AZ714" i="48"/>
  <c r="AU714" i="48"/>
  <c r="AV714" i="48"/>
  <c r="BA714" i="48"/>
  <c r="BK714" i="48"/>
  <c r="AW714" i="48"/>
  <c r="AY714" i="48"/>
  <c r="BJ1275" i="48"/>
  <c r="BD1275" i="48"/>
  <c r="BJ963" i="48"/>
  <c r="BD963" i="48"/>
  <c r="BD898" i="48"/>
  <c r="BJ898" i="48"/>
  <c r="AX690" i="48"/>
  <c r="AZ690" i="48"/>
  <c r="AU690" i="48"/>
  <c r="AP690" i="48" s="1"/>
  <c r="AW690" i="48"/>
  <c r="AV690" i="48"/>
  <c r="BK690" i="48"/>
  <c r="AY690" i="48"/>
  <c r="BA690" i="48"/>
  <c r="AV1883" i="48"/>
  <c r="AX1883" i="48"/>
  <c r="BK1883" i="48"/>
  <c r="BA1883" i="48"/>
  <c r="AY1883" i="48"/>
  <c r="AW1883" i="48"/>
  <c r="AZ1883" i="48"/>
  <c r="AU1883" i="48"/>
  <c r="AK1883" i="48" s="1"/>
  <c r="BJ1384" i="48"/>
  <c r="BD1384" i="48"/>
  <c r="BD1138" i="48"/>
  <c r="BJ1138" i="48"/>
  <c r="BA589" i="48"/>
  <c r="AY589" i="48"/>
  <c r="AX589" i="48"/>
  <c r="AV589" i="48"/>
  <c r="BK589" i="48"/>
  <c r="AZ589" i="48"/>
  <c r="AU589" i="48"/>
  <c r="AW589" i="48"/>
  <c r="BK1047" i="48"/>
  <c r="AZ1047" i="48"/>
  <c r="AV1047" i="48"/>
  <c r="BA1047" i="48"/>
  <c r="AU1047" i="48"/>
  <c r="AW1047" i="48"/>
  <c r="AX1047" i="48"/>
  <c r="AY1047" i="48"/>
  <c r="BJ1945" i="48"/>
  <c r="BD1945" i="48"/>
  <c r="AY926" i="48"/>
  <c r="AW926" i="48"/>
  <c r="AZ926" i="48"/>
  <c r="AU926" i="48"/>
  <c r="AV926" i="48"/>
  <c r="AX926" i="48"/>
  <c r="BK926" i="48"/>
  <c r="BA926" i="48"/>
  <c r="BA577" i="48"/>
  <c r="BK577" i="48"/>
  <c r="AY577" i="48"/>
  <c r="AX577" i="48"/>
  <c r="AV577" i="48"/>
  <c r="AZ577" i="48"/>
  <c r="AU577" i="48"/>
  <c r="AW577" i="48"/>
  <c r="BJ1526" i="48"/>
  <c r="BD1526" i="48"/>
  <c r="BD729" i="48"/>
  <c r="BJ729" i="48"/>
  <c r="AW1456" i="48"/>
  <c r="BA1456" i="48"/>
  <c r="AY1456" i="48"/>
  <c r="AZ1456" i="48"/>
  <c r="AU1456" i="48"/>
  <c r="AL1456" i="48" s="1"/>
  <c r="AV1456" i="48"/>
  <c r="AX1456" i="48"/>
  <c r="BK1456" i="48"/>
  <c r="AY1602" i="48"/>
  <c r="AW1602" i="48"/>
  <c r="AZ1602" i="48"/>
  <c r="AU1602" i="48"/>
  <c r="AV1602" i="48"/>
  <c r="AX1602" i="48"/>
  <c r="BK1602" i="48"/>
  <c r="BA1602" i="48"/>
  <c r="BJ1555" i="48"/>
  <c r="BD1555" i="48"/>
  <c r="BA1977" i="48"/>
  <c r="AV1977" i="48"/>
  <c r="AU1977" i="48"/>
  <c r="AM1977" i="48" s="1"/>
  <c r="BK1977" i="48"/>
  <c r="AY1977" i="48"/>
  <c r="AX1977" i="48"/>
  <c r="AZ1977" i="48"/>
  <c r="AW1977" i="48"/>
  <c r="BJ1666" i="48"/>
  <c r="BD1666" i="48"/>
  <c r="BD617" i="48"/>
  <c r="BJ617" i="48"/>
  <c r="BA1121" i="48"/>
  <c r="AY1121" i="48"/>
  <c r="BK1121" i="48"/>
  <c r="AX1121" i="48"/>
  <c r="AU1121" i="48"/>
  <c r="AO1121" i="48" s="1"/>
  <c r="AV1121" i="48"/>
  <c r="AZ1121" i="48"/>
  <c r="AW1121" i="48"/>
  <c r="BA845" i="48"/>
  <c r="BK845" i="48"/>
  <c r="AY845" i="48"/>
  <c r="AX845" i="48"/>
  <c r="AV845" i="48"/>
  <c r="AZ845" i="48"/>
  <c r="AU845" i="48"/>
  <c r="AW845" i="48"/>
  <c r="BD1866" i="48"/>
  <c r="BJ1866" i="48"/>
  <c r="BA1308" i="48"/>
  <c r="AY1308" i="48"/>
  <c r="AX1308" i="48"/>
  <c r="BK1308" i="48"/>
  <c r="AU1308" i="48"/>
  <c r="AP1308" i="48" s="1"/>
  <c r="AW1308" i="48"/>
  <c r="AV1308" i="48"/>
  <c r="AZ1308" i="48"/>
  <c r="BJ952" i="48"/>
  <c r="BD952" i="48"/>
  <c r="BA2027" i="48"/>
  <c r="AW2027" i="48"/>
  <c r="AV2027" i="48"/>
  <c r="AX2027" i="48"/>
  <c r="BK2027" i="48"/>
  <c r="AY2027" i="48"/>
  <c r="AZ2027" i="48"/>
  <c r="AU2027" i="48"/>
  <c r="AP2027" i="48" s="1"/>
  <c r="BA1661" i="48"/>
  <c r="AX1661" i="48"/>
  <c r="AV1661" i="48"/>
  <c r="AZ1661" i="48"/>
  <c r="BK1661" i="48"/>
  <c r="AU1661" i="48"/>
  <c r="AW1661" i="48"/>
  <c r="AY1661" i="48"/>
  <c r="AY1634" i="48"/>
  <c r="AW1634" i="48"/>
  <c r="AZ1634" i="48"/>
  <c r="AU1634" i="48"/>
  <c r="AO1634" i="48" s="1"/>
  <c r="AV1634" i="48"/>
  <c r="AX1634" i="48"/>
  <c r="BK1634" i="48"/>
  <c r="BA1634" i="48"/>
  <c r="BA881" i="48"/>
  <c r="AY881" i="48"/>
  <c r="AX881" i="48"/>
  <c r="BK881" i="48"/>
  <c r="AU881" i="48"/>
  <c r="AV881" i="48"/>
  <c r="AW881" i="48"/>
  <c r="AZ881" i="48"/>
  <c r="BJ751" i="48"/>
  <c r="BD751" i="48"/>
  <c r="BA1629" i="48"/>
  <c r="AX1629" i="48"/>
  <c r="AU1629" i="48"/>
  <c r="AW1629" i="48"/>
  <c r="AY1629" i="48"/>
  <c r="AV1629" i="48"/>
  <c r="BK1629" i="48"/>
  <c r="AZ1629" i="48"/>
  <c r="BJ1876" i="48"/>
  <c r="BD1876" i="48"/>
  <c r="BA1876" i="48"/>
  <c r="AX1876" i="48"/>
  <c r="AV1876" i="48"/>
  <c r="AZ1876" i="48"/>
  <c r="AY1876" i="48"/>
  <c r="AU1876" i="48"/>
  <c r="AN1876" i="48" s="1"/>
  <c r="BK1876" i="48"/>
  <c r="AW1876" i="48"/>
  <c r="BJ724" i="48"/>
  <c r="BD724" i="48"/>
  <c r="BA757" i="48"/>
  <c r="AZ757" i="48"/>
  <c r="AU757" i="48"/>
  <c r="AM757" i="48" s="1"/>
  <c r="BK757" i="48"/>
  <c r="AY757" i="48"/>
  <c r="AX757" i="48"/>
  <c r="AV757" i="48"/>
  <c r="AW757" i="48"/>
  <c r="AW1542" i="48"/>
  <c r="BA1542" i="48"/>
  <c r="AV1542" i="48"/>
  <c r="AX1542" i="48"/>
  <c r="BK1542" i="48"/>
  <c r="AZ1542" i="48"/>
  <c r="AY1542" i="48"/>
  <c r="AU1542" i="48"/>
  <c r="BD2044" i="48"/>
  <c r="BJ2044" i="48"/>
  <c r="BJ1655" i="48"/>
  <c r="BD1655" i="48"/>
  <c r="AX588" i="48"/>
  <c r="BK588" i="48"/>
  <c r="AZ588" i="48"/>
  <c r="AY588" i="48"/>
  <c r="AV588" i="48"/>
  <c r="AU588" i="48"/>
  <c r="AK588" i="48" s="1"/>
  <c r="AW588" i="48"/>
  <c r="BA588" i="48"/>
  <c r="BA954" i="48"/>
  <c r="AW954" i="48"/>
  <c r="AV954" i="48"/>
  <c r="AX954" i="48"/>
  <c r="BK954" i="48"/>
  <c r="AY954" i="48"/>
  <c r="AZ954" i="48"/>
  <c r="AU954" i="48"/>
  <c r="AM954" i="48" s="1"/>
  <c r="BJ980" i="48"/>
  <c r="BD980" i="48"/>
  <c r="AX980" i="48"/>
  <c r="BK980" i="48"/>
  <c r="AY980" i="48"/>
  <c r="AV980" i="48"/>
  <c r="AU980" i="48"/>
  <c r="AN980" i="48" s="1"/>
  <c r="AZ980" i="48"/>
  <c r="AW980" i="48"/>
  <c r="BA980" i="48"/>
  <c r="BA773" i="48"/>
  <c r="AY773" i="48"/>
  <c r="AX773" i="48"/>
  <c r="AV773" i="48"/>
  <c r="BK773" i="48"/>
  <c r="AZ773" i="48"/>
  <c r="AU773" i="48"/>
  <c r="AP773" i="48" s="1"/>
  <c r="AW773" i="48"/>
  <c r="BD1768" i="48"/>
  <c r="BJ1768" i="48"/>
  <c r="BJ1674" i="48"/>
  <c r="BD1674" i="48"/>
  <c r="BA1572" i="48"/>
  <c r="BK1572" i="48"/>
  <c r="AU1572" i="48"/>
  <c r="AY1572" i="48"/>
  <c r="AX1572" i="48"/>
  <c r="AV1572" i="48"/>
  <c r="AZ1572" i="48"/>
  <c r="AW1572" i="48"/>
  <c r="BJ636" i="48"/>
  <c r="BD636" i="48"/>
  <c r="BA878" i="48"/>
  <c r="AZ878" i="48"/>
  <c r="AU878" i="48"/>
  <c r="AV878" i="48"/>
  <c r="AX878" i="48"/>
  <c r="BK878" i="48"/>
  <c r="AW878" i="48"/>
  <c r="AY878" i="48"/>
  <c r="BJ1500" i="48"/>
  <c r="BD1500" i="48"/>
  <c r="BJ1547" i="48"/>
  <c r="BD1547" i="48"/>
  <c r="BJ1444" i="48"/>
  <c r="BD1444" i="48"/>
  <c r="BD1265" i="48"/>
  <c r="BJ1265" i="48"/>
  <c r="BA1616" i="48"/>
  <c r="BK1616" i="48"/>
  <c r="AU1616" i="48"/>
  <c r="AY1616" i="48"/>
  <c r="AX1616" i="48"/>
  <c r="AW1616" i="48"/>
  <c r="AV1616" i="48"/>
  <c r="AZ1616" i="48"/>
  <c r="BJ1726" i="48"/>
  <c r="BD1726" i="48"/>
  <c r="BA1726" i="48"/>
  <c r="AX1726" i="48"/>
  <c r="AV1726" i="48"/>
  <c r="AZ1726" i="48"/>
  <c r="AU1726" i="48"/>
  <c r="AN1726" i="48" s="1"/>
  <c r="BK1726" i="48"/>
  <c r="AY1726" i="48"/>
  <c r="AW1726" i="48"/>
  <c r="BJ1216" i="48"/>
  <c r="BD1216" i="48"/>
  <c r="AW599" i="48"/>
  <c r="BA599" i="48"/>
  <c r="AV599" i="48"/>
  <c r="AX599" i="48"/>
  <c r="BK599" i="48"/>
  <c r="AZ599" i="48"/>
  <c r="AY599" i="48"/>
  <c r="AU599" i="48"/>
  <c r="BD2013" i="48"/>
  <c r="BJ2013" i="48"/>
  <c r="BJ1262" i="48"/>
  <c r="BD1262" i="48"/>
  <c r="BK1928" i="48"/>
  <c r="AZ1928" i="48"/>
  <c r="AV1928" i="48"/>
  <c r="BA1928" i="48"/>
  <c r="AX1928" i="48"/>
  <c r="AY1928" i="48"/>
  <c r="AW1928" i="48"/>
  <c r="AU1928" i="48"/>
  <c r="BJ1359" i="48"/>
  <c r="BD1359" i="48"/>
  <c r="AW675" i="48"/>
  <c r="AU675" i="48"/>
  <c r="AX675" i="48"/>
  <c r="AV675" i="48"/>
  <c r="BK675" i="48"/>
  <c r="AZ675" i="48"/>
  <c r="AY675" i="48"/>
  <c r="BA675" i="48"/>
  <c r="BA1561" i="48"/>
  <c r="AX1561" i="48"/>
  <c r="AY1561" i="48"/>
  <c r="AZ1561" i="48"/>
  <c r="AW1561" i="48"/>
  <c r="BK1561" i="48"/>
  <c r="AU1561" i="48"/>
  <c r="AV1561" i="48"/>
  <c r="BD1009" i="48"/>
  <c r="BJ1009" i="48"/>
  <c r="AW851" i="48"/>
  <c r="AY851" i="48"/>
  <c r="AU851" i="48"/>
  <c r="AX851" i="48"/>
  <c r="BA851" i="48"/>
  <c r="AV851" i="48"/>
  <c r="BK851" i="48"/>
  <c r="AZ851" i="48"/>
  <c r="AV1222" i="48"/>
  <c r="AX1222" i="48"/>
  <c r="BK1222" i="48"/>
  <c r="BA1222" i="48"/>
  <c r="AY1222" i="48"/>
  <c r="AW1222" i="48"/>
  <c r="AZ1222" i="48"/>
  <c r="AU1222" i="48"/>
  <c r="AX670" i="48"/>
  <c r="AW670" i="48"/>
  <c r="AZ670" i="48"/>
  <c r="AU670" i="48"/>
  <c r="AV670" i="48"/>
  <c r="BA670" i="48"/>
  <c r="BK670" i="48"/>
  <c r="AY670" i="48"/>
  <c r="BA1847" i="48"/>
  <c r="AW1847" i="48"/>
  <c r="BK1847" i="48"/>
  <c r="AY1847" i="48"/>
  <c r="AZ1847" i="48"/>
  <c r="AU1847" i="48"/>
  <c r="AP1847" i="48" s="1"/>
  <c r="AV1847" i="48"/>
  <c r="AX1847" i="48"/>
  <c r="BA1593" i="48"/>
  <c r="AX1593" i="48"/>
  <c r="BK1593" i="48"/>
  <c r="AZ1593" i="48"/>
  <c r="AW1593" i="48"/>
  <c r="AU1593" i="48"/>
  <c r="AN1593" i="48" s="1"/>
  <c r="AY1593" i="48"/>
  <c r="AV1593" i="48"/>
  <c r="AW715" i="48"/>
  <c r="AU715" i="48"/>
  <c r="AM715" i="48" s="1"/>
  <c r="AX715" i="48"/>
  <c r="BA715" i="48"/>
  <c r="BK715" i="48"/>
  <c r="AZ715" i="48"/>
  <c r="AY715" i="48"/>
  <c r="AV715" i="48"/>
  <c r="BJ1204" i="48"/>
  <c r="BD1204" i="48"/>
  <c r="AX1668" i="48"/>
  <c r="BK1668" i="48"/>
  <c r="AY1668" i="48"/>
  <c r="AU1668" i="48"/>
  <c r="AO1668" i="48" s="1"/>
  <c r="AW1668" i="48"/>
  <c r="BA1668" i="48"/>
  <c r="AV1668" i="48"/>
  <c r="AZ1668" i="48"/>
  <c r="BD689" i="48"/>
  <c r="BJ689" i="48"/>
  <c r="BD1641" i="48"/>
  <c r="BJ1641" i="48"/>
  <c r="BJ1472" i="48"/>
  <c r="BD1472" i="48"/>
  <c r="AX1368" i="48"/>
  <c r="AU1368" i="48"/>
  <c r="AL1368" i="48" s="1"/>
  <c r="BK1368" i="48"/>
  <c r="AY1368" i="48"/>
  <c r="AZ1368" i="48"/>
  <c r="BA1368" i="48"/>
  <c r="AV1368" i="48"/>
  <c r="AW1368" i="48"/>
  <c r="BA1189" i="48"/>
  <c r="AX1189" i="48"/>
  <c r="BK1189" i="48"/>
  <c r="AZ1189" i="48"/>
  <c r="AU1189" i="48"/>
  <c r="AW1189" i="48"/>
  <c r="AY1189" i="48"/>
  <c r="AV1189" i="48"/>
  <c r="BJ1163" i="48"/>
  <c r="BD1163" i="48"/>
  <c r="AX1328" i="48"/>
  <c r="AU1328" i="48"/>
  <c r="BK1328" i="48"/>
  <c r="AY1328" i="48"/>
  <c r="AV1328" i="48"/>
  <c r="AZ1328" i="48"/>
  <c r="AW1328" i="48"/>
  <c r="BA1328" i="48"/>
  <c r="BJ1316" i="48"/>
  <c r="BD1316" i="48"/>
  <c r="BJ1067" i="48"/>
  <c r="BD1067" i="48"/>
  <c r="AX698" i="48"/>
  <c r="AY698" i="48"/>
  <c r="AZ698" i="48"/>
  <c r="AU698" i="48"/>
  <c r="AK698" i="48" s="1"/>
  <c r="AV698" i="48"/>
  <c r="BA698" i="48"/>
  <c r="AW698" i="48"/>
  <c r="BK698" i="48"/>
  <c r="AX732" i="48"/>
  <c r="AV732" i="48"/>
  <c r="AU732" i="48"/>
  <c r="AN732" i="48" s="1"/>
  <c r="BK732" i="48"/>
  <c r="AZ732" i="48"/>
  <c r="AY732" i="48"/>
  <c r="AW732" i="48"/>
  <c r="BA732" i="48"/>
  <c r="BA1780" i="48"/>
  <c r="AX1780" i="48"/>
  <c r="BK1780" i="48"/>
  <c r="AW1780" i="48"/>
  <c r="AU1780" i="48"/>
  <c r="AO1780" i="48" s="1"/>
  <c r="AV1780" i="48"/>
  <c r="AY1780" i="48"/>
  <c r="AZ1780" i="48"/>
  <c r="BD682" i="48"/>
  <c r="BJ682" i="48"/>
  <c r="BA781" i="48"/>
  <c r="AY781" i="48"/>
  <c r="BK781" i="48"/>
  <c r="AX781" i="48"/>
  <c r="AV781" i="48"/>
  <c r="AZ781" i="48"/>
  <c r="AU781" i="48"/>
  <c r="AW781" i="48"/>
  <c r="AY1618" i="48"/>
  <c r="AW1618" i="48"/>
  <c r="AZ1618" i="48"/>
  <c r="AU1618" i="48"/>
  <c r="AV1618" i="48"/>
  <c r="AX1618" i="48"/>
  <c r="BK1618" i="48"/>
  <c r="BA1618" i="48"/>
  <c r="BA2038" i="48"/>
  <c r="BK2038" i="48"/>
  <c r="AY2038" i="48"/>
  <c r="AX2038" i="48"/>
  <c r="AZ2038" i="48"/>
  <c r="AV2038" i="48"/>
  <c r="AU2038" i="48"/>
  <c r="AW2038" i="48"/>
  <c r="BD1471" i="48"/>
  <c r="BJ1471" i="48"/>
  <c r="BA1357" i="48"/>
  <c r="AV1357" i="48"/>
  <c r="AZ1357" i="48"/>
  <c r="AX1357" i="48"/>
  <c r="BK1357" i="48"/>
  <c r="AU1357" i="48"/>
  <c r="AY1357" i="48"/>
  <c r="AW1357" i="48"/>
  <c r="BJ1397" i="48"/>
  <c r="BD1397" i="48"/>
  <c r="BA1829" i="48"/>
  <c r="BK1829" i="48"/>
  <c r="AU1829" i="48"/>
  <c r="AY1829" i="48"/>
  <c r="AX1829" i="48"/>
  <c r="AZ1829" i="48"/>
  <c r="AW1829" i="48"/>
  <c r="AV1829" i="48"/>
  <c r="BJ530" i="48"/>
  <c r="BD530" i="48"/>
  <c r="AV226" i="48"/>
  <c r="AZ226" i="48"/>
  <c r="AY226" i="48"/>
  <c r="AU226" i="48"/>
  <c r="AX226" i="48"/>
  <c r="AW226" i="48"/>
  <c r="BK226" i="48"/>
  <c r="BA398" i="48"/>
  <c r="AW398" i="48"/>
  <c r="AV398" i="48"/>
  <c r="BK398" i="48"/>
  <c r="AZ398" i="48"/>
  <c r="AY398" i="48"/>
  <c r="AU398" i="48"/>
  <c r="AX398" i="48"/>
  <c r="AX413" i="48"/>
  <c r="AW413" i="48"/>
  <c r="AZ413" i="48"/>
  <c r="AU413" i="48"/>
  <c r="AV413" i="48"/>
  <c r="BA413" i="48"/>
  <c r="BK413" i="48"/>
  <c r="AY413" i="48"/>
  <c r="AW426" i="48"/>
  <c r="AV426" i="48"/>
  <c r="BK426" i="48"/>
  <c r="AZ426" i="48"/>
  <c r="BA426" i="48"/>
  <c r="AY426" i="48"/>
  <c r="AU426" i="48"/>
  <c r="AO426" i="48" s="1"/>
  <c r="AX426" i="48"/>
  <c r="BA482" i="48"/>
  <c r="AU482" i="48"/>
  <c r="AZ482" i="48"/>
  <c r="AX482" i="48"/>
  <c r="AW482" i="48"/>
  <c r="BK482" i="48"/>
  <c r="AY482" i="48"/>
  <c r="AV482" i="48"/>
  <c r="BJ91" i="48"/>
  <c r="BD91" i="48"/>
  <c r="BK288" i="48"/>
  <c r="AU288" i="48"/>
  <c r="AY288" i="48"/>
  <c r="AX288" i="48"/>
  <c r="AZ288" i="48"/>
  <c r="AW288" i="48"/>
  <c r="AV288" i="48"/>
  <c r="BJ322" i="48"/>
  <c r="BD322" i="48"/>
  <c r="BJ262" i="48"/>
  <c r="BD262" i="48"/>
  <c r="AW250" i="48"/>
  <c r="AV250" i="48"/>
  <c r="AU250" i="48"/>
  <c r="AX250" i="48"/>
  <c r="BK250" i="48"/>
  <c r="AZ250" i="48"/>
  <c r="AY250" i="48"/>
  <c r="BJ63" i="48"/>
  <c r="BD63" i="48"/>
  <c r="AZ283" i="48"/>
  <c r="AU283" i="48"/>
  <c r="BK283" i="48"/>
  <c r="AY283" i="48"/>
  <c r="AX283" i="48"/>
  <c r="AV283" i="48"/>
  <c r="AW283" i="48"/>
  <c r="AX293" i="48"/>
  <c r="AZ293" i="48"/>
  <c r="AU293" i="48"/>
  <c r="AV293" i="48"/>
  <c r="BK293" i="48"/>
  <c r="AW293" i="48"/>
  <c r="AY293" i="48"/>
  <c r="AW394" i="48"/>
  <c r="AV394" i="48"/>
  <c r="AU394" i="48"/>
  <c r="AO394" i="48" s="1"/>
  <c r="BA394" i="48"/>
  <c r="AX394" i="48"/>
  <c r="BK394" i="48"/>
  <c r="AZ394" i="48"/>
  <c r="AY394" i="48"/>
  <c r="BJ251" i="48"/>
  <c r="BD251" i="48"/>
  <c r="AW182" i="48"/>
  <c r="AX182" i="48"/>
  <c r="AZ182" i="48"/>
  <c r="BK182" i="48"/>
  <c r="AY182" i="48"/>
  <c r="AU182" i="48"/>
  <c r="AV182" i="48"/>
  <c r="AW214" i="48"/>
  <c r="BD214" i="48" s="1"/>
  <c r="AY214" i="48"/>
  <c r="AU214" i="48"/>
  <c r="AV214" i="48"/>
  <c r="AX214" i="48"/>
  <c r="BK214" i="48"/>
  <c r="AZ214" i="48"/>
  <c r="BJ214" i="48" s="1"/>
  <c r="BJ343" i="48"/>
  <c r="BD343" i="48"/>
  <c r="BA402" i="48"/>
  <c r="AX402" i="48"/>
  <c r="BK402" i="48"/>
  <c r="AY402" i="48"/>
  <c r="AZ402" i="48"/>
  <c r="AU402" i="48"/>
  <c r="AN402" i="48" s="1"/>
  <c r="AV402" i="48"/>
  <c r="AW402" i="48"/>
  <c r="BD512" i="48"/>
  <c r="BJ512" i="48"/>
  <c r="AX207" i="48"/>
  <c r="AV207" i="48"/>
  <c r="AZ207" i="48"/>
  <c r="BJ207" i="48" s="1"/>
  <c r="AU207" i="48"/>
  <c r="BK207" i="48"/>
  <c r="AY207" i="48"/>
  <c r="AW207" i="48"/>
  <c r="BD207" i="48" s="1"/>
  <c r="BA443" i="48"/>
  <c r="BK443" i="48"/>
  <c r="AY443" i="48"/>
  <c r="AX443" i="48"/>
  <c r="AV443" i="48"/>
  <c r="AZ443" i="48"/>
  <c r="AU443" i="48"/>
  <c r="AL443" i="48" s="1"/>
  <c r="AW443" i="48"/>
  <c r="AV98" i="48"/>
  <c r="AZ98" i="48"/>
  <c r="AU98" i="48"/>
  <c r="AX98" i="48"/>
  <c r="BK98" i="48"/>
  <c r="AW98" i="48"/>
  <c r="AY98" i="48"/>
  <c r="BD405" i="48"/>
  <c r="BJ405" i="48"/>
  <c r="AV231" i="48"/>
  <c r="AZ231" i="48"/>
  <c r="AU231" i="48"/>
  <c r="BK231" i="48"/>
  <c r="AY231" i="48"/>
  <c r="AX231" i="48"/>
  <c r="AW231" i="48"/>
  <c r="AW346" i="48"/>
  <c r="AV346" i="48"/>
  <c r="AY346" i="48"/>
  <c r="AU346" i="48"/>
  <c r="AX346" i="48"/>
  <c r="BA346" i="48"/>
  <c r="BK346" i="48"/>
  <c r="AZ346" i="48"/>
  <c r="AX128" i="48"/>
  <c r="BK128" i="48"/>
  <c r="AU128" i="48"/>
  <c r="AY128" i="48"/>
  <c r="AZ128" i="48"/>
  <c r="AW128" i="48"/>
  <c r="AV128" i="48"/>
  <c r="BA391" i="48"/>
  <c r="BK391" i="48"/>
  <c r="AY391" i="48"/>
  <c r="AX391" i="48"/>
  <c r="AV391" i="48"/>
  <c r="AZ391" i="48"/>
  <c r="AU391" i="48"/>
  <c r="AW391" i="48"/>
  <c r="BD521" i="48"/>
  <c r="BJ521" i="48"/>
  <c r="BJ419" i="48"/>
  <c r="BD419" i="48"/>
  <c r="BD549" i="48"/>
  <c r="BJ549" i="48"/>
  <c r="AY176" i="48"/>
  <c r="AX176" i="48"/>
  <c r="BK176" i="48"/>
  <c r="AU176" i="48"/>
  <c r="AZ176" i="48"/>
  <c r="AW176" i="48"/>
  <c r="AV176" i="48"/>
  <c r="BJ486" i="48"/>
  <c r="BD486" i="48"/>
  <c r="BA304" i="48"/>
  <c r="AY304" i="48"/>
  <c r="AX304" i="48"/>
  <c r="BK304" i="48"/>
  <c r="AU304" i="48"/>
  <c r="AZ304" i="48"/>
  <c r="AW304" i="48"/>
  <c r="AV304" i="48"/>
  <c r="BA555" i="48"/>
  <c r="BK555" i="48"/>
  <c r="AZ555" i="48"/>
  <c r="AU555" i="48"/>
  <c r="AY555" i="48"/>
  <c r="AX555" i="48"/>
  <c r="AV555" i="48"/>
  <c r="AW555" i="48"/>
  <c r="BA316" i="48"/>
  <c r="AY316" i="48"/>
  <c r="AX316" i="48"/>
  <c r="BK316" i="48"/>
  <c r="AU316" i="48"/>
  <c r="AV316" i="48"/>
  <c r="AZ316" i="48"/>
  <c r="AW316" i="48"/>
  <c r="BJ326" i="48"/>
  <c r="BD326" i="48"/>
  <c r="AW326" i="48"/>
  <c r="BK326" i="48"/>
  <c r="AZ326" i="48"/>
  <c r="AY326" i="48"/>
  <c r="AU326" i="48"/>
  <c r="AV326" i="48"/>
  <c r="AX326" i="48"/>
  <c r="BA326" i="48"/>
  <c r="BA503" i="48"/>
  <c r="BK503" i="48"/>
  <c r="AY503" i="48"/>
  <c r="AX503" i="48"/>
  <c r="AV503" i="48"/>
  <c r="AZ503" i="48"/>
  <c r="AU503" i="48"/>
  <c r="AW503" i="48"/>
  <c r="BA366" i="48"/>
  <c r="AW366" i="48"/>
  <c r="AV366" i="48"/>
  <c r="BK366" i="48"/>
  <c r="AZ366" i="48"/>
  <c r="AY366" i="48"/>
  <c r="AU366" i="48"/>
  <c r="AX366" i="48"/>
  <c r="BJ242" i="48"/>
  <c r="BD242" i="48"/>
  <c r="BD493" i="48"/>
  <c r="BJ493" i="48"/>
  <c r="BJ463" i="48"/>
  <c r="BD463" i="48"/>
  <c r="BA463" i="48"/>
  <c r="AX463" i="48"/>
  <c r="AV463" i="48"/>
  <c r="AZ463" i="48"/>
  <c r="AU463" i="48"/>
  <c r="BK463" i="48"/>
  <c r="AY463" i="48"/>
  <c r="AW463" i="48"/>
  <c r="AX365" i="48"/>
  <c r="AW365" i="48"/>
  <c r="BK365" i="48"/>
  <c r="AY365" i="48"/>
  <c r="AZ365" i="48"/>
  <c r="AU365" i="48"/>
  <c r="AV365" i="48"/>
  <c r="BA365" i="48"/>
  <c r="BD397" i="48"/>
  <c r="BJ397" i="48"/>
  <c r="BA520" i="48"/>
  <c r="AY520" i="48"/>
  <c r="AX520" i="48"/>
  <c r="BK520" i="48"/>
  <c r="AU520" i="48"/>
  <c r="AV520" i="48"/>
  <c r="AZ520" i="48"/>
  <c r="AW520" i="48"/>
  <c r="AW286" i="48"/>
  <c r="AV286" i="48"/>
  <c r="BK286" i="48"/>
  <c r="AZ286" i="48"/>
  <c r="AY286" i="48"/>
  <c r="AU286" i="48"/>
  <c r="AX286" i="48"/>
  <c r="BA364" i="48"/>
  <c r="AY364" i="48"/>
  <c r="AX364" i="48"/>
  <c r="BK364" i="48"/>
  <c r="AU364" i="48"/>
  <c r="AV364" i="48"/>
  <c r="AZ364" i="48"/>
  <c r="AW364" i="48"/>
  <c r="BJ522" i="48"/>
  <c r="BD522" i="48"/>
  <c r="AZ191" i="48"/>
  <c r="AU191" i="48"/>
  <c r="BK191" i="48"/>
  <c r="AY191" i="48"/>
  <c r="AX191" i="48"/>
  <c r="AV191" i="48"/>
  <c r="AW191" i="48"/>
  <c r="BD444" i="48"/>
  <c r="BJ444" i="48"/>
  <c r="AV163" i="48"/>
  <c r="BK163" i="48"/>
  <c r="AZ163" i="48"/>
  <c r="AU163" i="48"/>
  <c r="AY163" i="48"/>
  <c r="AX163" i="48"/>
  <c r="AW163" i="48"/>
  <c r="BK187" i="48"/>
  <c r="AY187" i="48"/>
  <c r="AX187" i="48"/>
  <c r="AV187" i="48"/>
  <c r="AZ187" i="48"/>
  <c r="AU187" i="48"/>
  <c r="AW187" i="48"/>
  <c r="BD480" i="48"/>
  <c r="BJ480" i="48"/>
  <c r="BJ143" i="48"/>
  <c r="BD143" i="48"/>
  <c r="BD168" i="48"/>
  <c r="BJ168" i="48"/>
  <c r="BJ123" i="48"/>
  <c r="BD123" i="48"/>
  <c r="BA495" i="48"/>
  <c r="BK495" i="48"/>
  <c r="AZ495" i="48"/>
  <c r="AU495" i="48"/>
  <c r="AY495" i="48"/>
  <c r="AX495" i="48"/>
  <c r="AV495" i="48"/>
  <c r="AW495" i="48"/>
  <c r="AX253" i="48"/>
  <c r="AW253" i="48"/>
  <c r="BK253" i="48"/>
  <c r="AY253" i="48"/>
  <c r="AZ253" i="48"/>
  <c r="AU253" i="48"/>
  <c r="AV253" i="48"/>
  <c r="AX269" i="48"/>
  <c r="AW269" i="48"/>
  <c r="BK269" i="48"/>
  <c r="AY269" i="48"/>
  <c r="AZ269" i="48"/>
  <c r="AU269" i="48"/>
  <c r="AV269" i="48"/>
  <c r="BJ455" i="48"/>
  <c r="BD455" i="48"/>
  <c r="BA448" i="48"/>
  <c r="AY448" i="48"/>
  <c r="AX448" i="48"/>
  <c r="BK448" i="48"/>
  <c r="AU448" i="48"/>
  <c r="AZ448" i="48"/>
  <c r="AW448" i="48"/>
  <c r="AV448" i="48"/>
  <c r="BJ199" i="48"/>
  <c r="BD199" i="48"/>
  <c r="AX141" i="48"/>
  <c r="AW141" i="48"/>
  <c r="AY141" i="48"/>
  <c r="AZ141" i="48"/>
  <c r="AU141" i="48"/>
  <c r="AV141" i="48"/>
  <c r="BK141" i="48"/>
  <c r="AW65" i="48"/>
  <c r="AY65" i="48"/>
  <c r="AZ65" i="48"/>
  <c r="AU65" i="48"/>
  <c r="AX65" i="48"/>
  <c r="AV65" i="48"/>
  <c r="BK65" i="48"/>
  <c r="AV259" i="48"/>
  <c r="BK259" i="48"/>
  <c r="AZ259" i="48"/>
  <c r="AU259" i="48"/>
  <c r="AY259" i="48"/>
  <c r="AX259" i="48"/>
  <c r="AW259" i="48"/>
  <c r="AV90" i="48"/>
  <c r="AW90" i="48"/>
  <c r="AX90" i="48"/>
  <c r="BK90" i="48"/>
  <c r="AZ90" i="48"/>
  <c r="AY90" i="48"/>
  <c r="AU90" i="48"/>
  <c r="AX357" i="48"/>
  <c r="AV357" i="48"/>
  <c r="BA357" i="48"/>
  <c r="BK357" i="48"/>
  <c r="AW357" i="48"/>
  <c r="AY357" i="48"/>
  <c r="AZ357" i="48"/>
  <c r="AU357" i="48"/>
  <c r="AV466" i="48"/>
  <c r="AY466" i="48"/>
  <c r="BA466" i="48"/>
  <c r="AZ466" i="48"/>
  <c r="AU466" i="48"/>
  <c r="AX466" i="48"/>
  <c r="BK466" i="48"/>
  <c r="AW466" i="48"/>
  <c r="AX153" i="48"/>
  <c r="AW153" i="48"/>
  <c r="AV153" i="48"/>
  <c r="BK153" i="48"/>
  <c r="AY153" i="48"/>
  <c r="AZ153" i="48"/>
  <c r="AU153" i="48"/>
  <c r="BA487" i="48"/>
  <c r="AZ487" i="48"/>
  <c r="AU487" i="48"/>
  <c r="BK487" i="48"/>
  <c r="AY487" i="48"/>
  <c r="AX487" i="48"/>
  <c r="AV487" i="48"/>
  <c r="AW487" i="48"/>
  <c r="BJ844" i="48"/>
  <c r="BD844" i="48"/>
  <c r="BJ756" i="48"/>
  <c r="BD756" i="48"/>
  <c r="AX840" i="48"/>
  <c r="AZ840" i="48"/>
  <c r="BK840" i="48"/>
  <c r="AY840" i="48"/>
  <c r="AV840" i="48"/>
  <c r="AU840" i="48"/>
  <c r="AW840" i="48"/>
  <c r="BA840" i="48"/>
  <c r="BA1519" i="48"/>
  <c r="AX1519" i="48"/>
  <c r="AY1519" i="48"/>
  <c r="AW1519" i="48"/>
  <c r="BK1519" i="48"/>
  <c r="AV1519" i="48"/>
  <c r="AZ1519" i="48"/>
  <c r="AU1519" i="48"/>
  <c r="BJ915" i="48"/>
  <c r="BD915" i="48"/>
  <c r="AW1496" i="48"/>
  <c r="BA1496" i="48"/>
  <c r="BK1496" i="48"/>
  <c r="AY1496" i="48"/>
  <c r="AZ1496" i="48"/>
  <c r="AU1496" i="48"/>
  <c r="AV1496" i="48"/>
  <c r="AX1496" i="48"/>
  <c r="BA1321" i="48"/>
  <c r="AX1321" i="48"/>
  <c r="AZ1321" i="48"/>
  <c r="AU1321" i="48"/>
  <c r="AY1321" i="48"/>
  <c r="BK1321" i="48"/>
  <c r="AV1321" i="48"/>
  <c r="AW1321" i="48"/>
  <c r="BJ1523" i="48"/>
  <c r="BD1523" i="48"/>
  <c r="BA1623" i="48"/>
  <c r="AV1623" i="48"/>
  <c r="AZ1623" i="48"/>
  <c r="AU1623" i="48"/>
  <c r="AP1623" i="48" s="1"/>
  <c r="BK1623" i="48"/>
  <c r="AY1623" i="48"/>
  <c r="AX1623" i="48"/>
  <c r="AW1623" i="48"/>
  <c r="BD809" i="48"/>
  <c r="BJ809" i="48"/>
  <c r="BJ1007" i="48"/>
  <c r="BD1007" i="48"/>
  <c r="AX940" i="48"/>
  <c r="AZ940" i="48"/>
  <c r="BK940" i="48"/>
  <c r="AY940" i="48"/>
  <c r="AV940" i="48"/>
  <c r="AU940" i="48"/>
  <c r="AM940" i="48" s="1"/>
  <c r="AW940" i="48"/>
  <c r="BA940" i="48"/>
  <c r="BA2002" i="48"/>
  <c r="AW2002" i="48"/>
  <c r="AV2002" i="48"/>
  <c r="AX2002" i="48"/>
  <c r="BK2002" i="48"/>
  <c r="AY2002" i="48"/>
  <c r="AZ2002" i="48"/>
  <c r="AU2002" i="48"/>
  <c r="BA1922" i="48"/>
  <c r="AX1922" i="48"/>
  <c r="AY1922" i="48"/>
  <c r="BK1922" i="48"/>
  <c r="AV1922" i="48"/>
  <c r="AZ1922" i="48"/>
  <c r="AU1922" i="48"/>
  <c r="AW1922" i="48"/>
  <c r="BA1930" i="48"/>
  <c r="AX1930" i="48"/>
  <c r="AU1930" i="48"/>
  <c r="AY1930" i="48"/>
  <c r="AZ1930" i="48"/>
  <c r="BK1930" i="48"/>
  <c r="AW1930" i="48"/>
  <c r="AV1930" i="48"/>
  <c r="BJ1075" i="48"/>
  <c r="BD1075" i="48"/>
  <c r="BD653" i="48"/>
  <c r="BJ653" i="48"/>
  <c r="BA653" i="48"/>
  <c r="AX653" i="48"/>
  <c r="AV653" i="48"/>
  <c r="AZ653" i="48"/>
  <c r="AU653" i="48"/>
  <c r="AK653" i="48" s="1"/>
  <c r="BK653" i="48"/>
  <c r="AY653" i="48"/>
  <c r="AW653" i="48"/>
  <c r="AX1754" i="48"/>
  <c r="BK1754" i="48"/>
  <c r="AZ1754" i="48"/>
  <c r="AY1754" i="48"/>
  <c r="AV1754" i="48"/>
  <c r="AU1754" i="48"/>
  <c r="AW1754" i="48"/>
  <c r="BA1754" i="48"/>
  <c r="BA969" i="48"/>
  <c r="AY969" i="48"/>
  <c r="AX969" i="48"/>
  <c r="BK969" i="48"/>
  <c r="AU969" i="48"/>
  <c r="AN969" i="48" s="1"/>
  <c r="AW969" i="48"/>
  <c r="AV969" i="48"/>
  <c r="AZ969" i="48"/>
  <c r="BA1874" i="48"/>
  <c r="AX1874" i="48"/>
  <c r="AY1874" i="48"/>
  <c r="BK1874" i="48"/>
  <c r="AW1874" i="48"/>
  <c r="AV1874" i="48"/>
  <c r="AU1874" i="48"/>
  <c r="AZ1874" i="48"/>
  <c r="AX1933" i="48"/>
  <c r="AV1933" i="48"/>
  <c r="BA1933" i="48"/>
  <c r="AU1933" i="48"/>
  <c r="BK1933" i="48"/>
  <c r="AZ1933" i="48"/>
  <c r="AY1933" i="48"/>
  <c r="AW1933" i="48"/>
  <c r="BA1098" i="48"/>
  <c r="AW1098" i="48"/>
  <c r="BK1098" i="48"/>
  <c r="AY1098" i="48"/>
  <c r="AZ1098" i="48"/>
  <c r="AU1098" i="48"/>
  <c r="AV1098" i="48"/>
  <c r="AX1098" i="48"/>
  <c r="BA1309" i="48"/>
  <c r="AX1309" i="48"/>
  <c r="AU1309" i="48"/>
  <c r="AY1309" i="48"/>
  <c r="AV1309" i="48"/>
  <c r="BK1309" i="48"/>
  <c r="AZ1309" i="48"/>
  <c r="AW1309" i="48"/>
  <c r="BA1962" i="48"/>
  <c r="AX1962" i="48"/>
  <c r="AV1962" i="48"/>
  <c r="AZ1962" i="48"/>
  <c r="AY1962" i="48"/>
  <c r="AU1962" i="48"/>
  <c r="BK1962" i="48"/>
  <c r="AW1962" i="48"/>
  <c r="BA1100" i="48"/>
  <c r="AZ1100" i="48"/>
  <c r="AU1100" i="48"/>
  <c r="AN1100" i="48" s="1"/>
  <c r="BK1100" i="48"/>
  <c r="AY1100" i="48"/>
  <c r="AX1100" i="48"/>
  <c r="AV1100" i="48"/>
  <c r="AW1100" i="48"/>
  <c r="BD1069" i="48"/>
  <c r="BJ1069" i="48"/>
  <c r="BA823" i="48"/>
  <c r="AW823" i="48"/>
  <c r="AV823" i="48"/>
  <c r="AU823" i="48"/>
  <c r="AX823" i="48"/>
  <c r="BK823" i="48"/>
  <c r="AZ823" i="48"/>
  <c r="AY823" i="48"/>
  <c r="BA1845" i="48"/>
  <c r="AY1845" i="48"/>
  <c r="AX1845" i="48"/>
  <c r="BK1845" i="48"/>
  <c r="AU1845" i="48"/>
  <c r="AZ1845" i="48"/>
  <c r="AW1845" i="48"/>
  <c r="AV1845" i="48"/>
  <c r="AX1583" i="48"/>
  <c r="AU1583" i="48"/>
  <c r="AK1583" i="48" s="1"/>
  <c r="AZ1583" i="48"/>
  <c r="BK1583" i="48"/>
  <c r="AY1583" i="48"/>
  <c r="AV1583" i="48"/>
  <c r="AW1583" i="48"/>
  <c r="BA1583" i="48"/>
  <c r="AX572" i="48"/>
  <c r="BA572" i="48"/>
  <c r="BK572" i="48"/>
  <c r="AV572" i="48"/>
  <c r="AZ572" i="48"/>
  <c r="AY572" i="48"/>
  <c r="AW572" i="48"/>
  <c r="AU572" i="48"/>
  <c r="AP572" i="48" s="1"/>
  <c r="BJ923" i="48"/>
  <c r="BD923" i="48"/>
  <c r="BJ876" i="48"/>
  <c r="BD876" i="48"/>
  <c r="AX704" i="48"/>
  <c r="AZ704" i="48"/>
  <c r="BK704" i="48"/>
  <c r="AY704" i="48"/>
  <c r="AV704" i="48"/>
  <c r="AU704" i="48"/>
  <c r="AW704" i="48"/>
  <c r="BA704" i="48"/>
  <c r="BA1152" i="48"/>
  <c r="AX1152" i="48"/>
  <c r="AV1152" i="48"/>
  <c r="BK1152" i="48"/>
  <c r="AZ1152" i="48"/>
  <c r="AU1152" i="48"/>
  <c r="AY1152" i="48"/>
  <c r="AW1152" i="48"/>
  <c r="BA1921" i="48"/>
  <c r="AY1921" i="48"/>
  <c r="BK1921" i="48"/>
  <c r="AX1921" i="48"/>
  <c r="AV1921" i="48"/>
  <c r="AU1921" i="48"/>
  <c r="AK1921" i="48" s="1"/>
  <c r="AZ1921" i="48"/>
  <c r="AW1921" i="48"/>
  <c r="BD1601" i="48"/>
  <c r="BJ1601" i="48"/>
  <c r="BJ1019" i="48"/>
  <c r="BD1019" i="48"/>
  <c r="BA1342" i="48"/>
  <c r="AY1342" i="48"/>
  <c r="AZ1342" i="48"/>
  <c r="AU1342" i="48"/>
  <c r="AW1342" i="48"/>
  <c r="AV1342" i="48"/>
  <c r="AX1342" i="48"/>
  <c r="BK1342" i="48"/>
  <c r="BA1860" i="48"/>
  <c r="AZ1860" i="48"/>
  <c r="AU1860" i="48"/>
  <c r="AP1860" i="48" s="1"/>
  <c r="BK1860" i="48"/>
  <c r="AY1860" i="48"/>
  <c r="AX1860" i="48"/>
  <c r="AV1860" i="48"/>
  <c r="AW1860" i="48"/>
  <c r="BD706" i="48"/>
  <c r="BJ706" i="48"/>
  <c r="BD1439" i="48"/>
  <c r="BJ1439" i="48"/>
  <c r="BJ1195" i="48"/>
  <c r="BD1195" i="48"/>
  <c r="BA1475" i="48"/>
  <c r="AX1475" i="48"/>
  <c r="BK1475" i="48"/>
  <c r="AV1475" i="48"/>
  <c r="AZ1475" i="48"/>
  <c r="AW1475" i="48"/>
  <c r="AU1475" i="48"/>
  <c r="AY1475" i="48"/>
  <c r="BJ1259" i="48"/>
  <c r="BD1259" i="48"/>
  <c r="BJ1432" i="48"/>
  <c r="BD1432" i="48"/>
  <c r="AV1428" i="48"/>
  <c r="AX1428" i="48"/>
  <c r="BK1428" i="48"/>
  <c r="BA1428" i="48"/>
  <c r="AY1428" i="48"/>
  <c r="AW1428" i="48"/>
  <c r="AZ1428" i="48"/>
  <c r="AU1428" i="48"/>
  <c r="AN1428" i="48" s="1"/>
  <c r="BA985" i="48"/>
  <c r="AX985" i="48"/>
  <c r="BK985" i="48"/>
  <c r="AU985" i="48"/>
  <c r="AK985" i="48" s="1"/>
  <c r="AY985" i="48"/>
  <c r="AW985" i="48"/>
  <c r="AV985" i="48"/>
  <c r="AZ985" i="48"/>
  <c r="BA725" i="48"/>
  <c r="BK725" i="48"/>
  <c r="AY725" i="48"/>
  <c r="AX725" i="48"/>
  <c r="AV725" i="48"/>
  <c r="AZ725" i="48"/>
  <c r="AU725" i="48"/>
  <c r="AO725" i="48" s="1"/>
  <c r="AW725" i="48"/>
  <c r="BA585" i="48"/>
  <c r="AZ585" i="48"/>
  <c r="AU585" i="48"/>
  <c r="BK585" i="48"/>
  <c r="AY585" i="48"/>
  <c r="AX585" i="48"/>
  <c r="AV585" i="48"/>
  <c r="AW585" i="48"/>
  <c r="BJ1965" i="48"/>
  <c r="BD1965" i="48"/>
  <c r="BJ1787" i="48"/>
  <c r="BD1787" i="48"/>
  <c r="BK1123" i="48"/>
  <c r="AZ1123" i="48"/>
  <c r="AV1123" i="48"/>
  <c r="BA1123" i="48"/>
  <c r="AY1123" i="48"/>
  <c r="AX1123" i="48"/>
  <c r="AW1123" i="48"/>
  <c r="AU1123" i="48"/>
  <c r="AP1123" i="48" s="1"/>
  <c r="BK1902" i="48"/>
  <c r="AW1902" i="48"/>
  <c r="AU1902" i="48"/>
  <c r="BA1902" i="48"/>
  <c r="AY1902" i="48"/>
  <c r="AZ1902" i="48"/>
  <c r="AV1902" i="48"/>
  <c r="AX1902" i="48"/>
  <c r="BD1573" i="48"/>
  <c r="BJ1573" i="48"/>
  <c r="BK1983" i="48"/>
  <c r="AZ1983" i="48"/>
  <c r="AV1983" i="48"/>
  <c r="AW1983" i="48"/>
  <c r="AU1983" i="48"/>
  <c r="BA1983" i="48"/>
  <c r="AX1983" i="48"/>
  <c r="AY1983" i="48"/>
  <c r="BA1966" i="48"/>
  <c r="AZ1966" i="48"/>
  <c r="AW1966" i="48"/>
  <c r="AV1966" i="48"/>
  <c r="AX1966" i="48"/>
  <c r="BK1966" i="48"/>
  <c r="AY1966" i="48"/>
  <c r="AU1966" i="48"/>
  <c r="AP1966" i="48" s="1"/>
  <c r="BJ767" i="48"/>
  <c r="BD767" i="48"/>
  <c r="BA613" i="48"/>
  <c r="BK613" i="48"/>
  <c r="AZ613" i="48"/>
  <c r="AU613" i="48"/>
  <c r="AY613" i="48"/>
  <c r="AX613" i="48"/>
  <c r="AV613" i="48"/>
  <c r="AW613" i="48"/>
  <c r="BJ1844" i="48"/>
  <c r="BD1844" i="48"/>
  <c r="BA1844" i="48"/>
  <c r="AX1844" i="48"/>
  <c r="AV1844" i="48"/>
  <c r="AU1844" i="48"/>
  <c r="AK1844" i="48" s="1"/>
  <c r="BK1844" i="48"/>
  <c r="AZ1844" i="48"/>
  <c r="AY1844" i="48"/>
  <c r="AW1844" i="48"/>
  <c r="BA1950" i="48"/>
  <c r="AX1950" i="48"/>
  <c r="AV1950" i="48"/>
  <c r="BK1950" i="48"/>
  <c r="AU1950" i="48"/>
  <c r="AN1950" i="48" s="1"/>
  <c r="AZ1950" i="48"/>
  <c r="AY1950" i="48"/>
  <c r="AW1950" i="48"/>
  <c r="BJ968" i="48"/>
  <c r="BD968" i="48"/>
  <c r="AX968" i="48"/>
  <c r="AY968" i="48"/>
  <c r="AV968" i="48"/>
  <c r="AU968" i="48"/>
  <c r="BK968" i="48"/>
  <c r="AZ968" i="48"/>
  <c r="BA968" i="48"/>
  <c r="AW968" i="48"/>
  <c r="AX964" i="48"/>
  <c r="AU964" i="48"/>
  <c r="AL964" i="48" s="1"/>
  <c r="AZ964" i="48"/>
  <c r="BK964" i="48"/>
  <c r="AY964" i="48"/>
  <c r="AV964" i="48"/>
  <c r="AW964" i="48"/>
  <c r="BA964" i="48"/>
  <c r="BA1568" i="48"/>
  <c r="AY1568" i="48"/>
  <c r="AX1568" i="48"/>
  <c r="BK1568" i="48"/>
  <c r="AU1568" i="48"/>
  <c r="AO1568" i="48" s="1"/>
  <c r="AV1568" i="48"/>
  <c r="AW1568" i="48"/>
  <c r="AZ1568" i="48"/>
  <c r="BJ1953" i="48"/>
  <c r="BD1953" i="48"/>
  <c r="AW1480" i="48"/>
  <c r="BA1480" i="48"/>
  <c r="AZ1480" i="48"/>
  <c r="AU1480" i="48"/>
  <c r="AV1480" i="48"/>
  <c r="AX1480" i="48"/>
  <c r="BK1480" i="48"/>
  <c r="AY1480" i="48"/>
  <c r="BD1788" i="48"/>
  <c r="BJ1788" i="48"/>
  <c r="BD1989" i="48"/>
  <c r="BJ1989" i="48"/>
  <c r="BJ927" i="48"/>
  <c r="BD927" i="48"/>
  <c r="AW611" i="48"/>
  <c r="AY611" i="48"/>
  <c r="AU611" i="48"/>
  <c r="BA611" i="48"/>
  <c r="AV611" i="48"/>
  <c r="AX611" i="48"/>
  <c r="BK611" i="48"/>
  <c r="AZ611" i="48"/>
  <c r="BA1518" i="48"/>
  <c r="AX1518" i="48"/>
  <c r="BK1518" i="48"/>
  <c r="AU1518" i="48"/>
  <c r="AN1518" i="48" s="1"/>
  <c r="AY1518" i="48"/>
  <c r="AV1518" i="48"/>
  <c r="AW1518" i="48"/>
  <c r="AZ1518" i="48"/>
  <c r="BJ1592" i="48"/>
  <c r="BD1592" i="48"/>
  <c r="AX774" i="48"/>
  <c r="AW774" i="48"/>
  <c r="AY774" i="48"/>
  <c r="AZ774" i="48"/>
  <c r="AU774" i="48"/>
  <c r="AV774" i="48"/>
  <c r="BA774" i="48"/>
  <c r="BK774" i="48"/>
  <c r="BJ566" i="48"/>
  <c r="BD566" i="48"/>
  <c r="BD841" i="48"/>
  <c r="BJ841" i="48"/>
  <c r="BJ1522" i="48"/>
  <c r="BD1522" i="48"/>
  <c r="BJ716" i="48"/>
  <c r="BD716" i="48"/>
  <c r="BA1247" i="48"/>
  <c r="BK1247" i="48"/>
  <c r="AY1247" i="48"/>
  <c r="AX1247" i="48"/>
  <c r="AV1247" i="48"/>
  <c r="AZ1247" i="48"/>
  <c r="AU1247" i="48"/>
  <c r="AO1247" i="48" s="1"/>
  <c r="AW1247" i="48"/>
  <c r="AY918" i="48"/>
  <c r="AW918" i="48"/>
  <c r="AZ918" i="48"/>
  <c r="AU918" i="48"/>
  <c r="AV918" i="48"/>
  <c r="AX918" i="48"/>
  <c r="BK918" i="48"/>
  <c r="BA918" i="48"/>
  <c r="BD1696" i="48"/>
  <c r="BJ1696" i="48"/>
  <c r="BD1687" i="48"/>
  <c r="BJ1687" i="48"/>
  <c r="BA1255" i="48"/>
  <c r="BK1255" i="48"/>
  <c r="AY1255" i="48"/>
  <c r="AX1255" i="48"/>
  <c r="AV1255" i="48"/>
  <c r="AZ1255" i="48"/>
  <c r="AU1255" i="48"/>
  <c r="AO1255" i="48" s="1"/>
  <c r="AW1255" i="48"/>
  <c r="AZ1851" i="48"/>
  <c r="AU1851" i="48"/>
  <c r="AO1851" i="48" s="1"/>
  <c r="AV1851" i="48"/>
  <c r="AX1851" i="48"/>
  <c r="BK1851" i="48"/>
  <c r="BA1851" i="48"/>
  <c r="AY1851" i="48"/>
  <c r="AW1851" i="48"/>
  <c r="BA1419" i="48"/>
  <c r="AX1419" i="48"/>
  <c r="AY1419" i="48"/>
  <c r="BK1419" i="48"/>
  <c r="AV1419" i="48"/>
  <c r="AU1419" i="48"/>
  <c r="AZ1419" i="48"/>
  <c r="AW1419" i="48"/>
  <c r="AW1830" i="48"/>
  <c r="AX1830" i="48"/>
  <c r="AZ1830" i="48"/>
  <c r="AU1830" i="48"/>
  <c r="AN1830" i="48" s="1"/>
  <c r="AV1830" i="48"/>
  <c r="BA1830" i="48"/>
  <c r="BK1830" i="48"/>
  <c r="AY1830" i="48"/>
  <c r="BK1716" i="48"/>
  <c r="BA1716" i="48"/>
  <c r="AY1716" i="48"/>
  <c r="AW1716" i="48"/>
  <c r="AZ1716" i="48"/>
  <c r="AU1716" i="48"/>
  <c r="AV1716" i="48"/>
  <c r="AX1716" i="48"/>
  <c r="BA949" i="48"/>
  <c r="AY949" i="48"/>
  <c r="BK949" i="48"/>
  <c r="AX949" i="48"/>
  <c r="AU949" i="48"/>
  <c r="AV949" i="48"/>
  <c r="AZ949" i="48"/>
  <c r="AW949" i="48"/>
  <c r="BJ1348" i="48"/>
  <c r="BD1348" i="48"/>
  <c r="BA1274" i="48"/>
  <c r="AW1274" i="48"/>
  <c r="AY1274" i="48"/>
  <c r="AZ1274" i="48"/>
  <c r="AU1274" i="48"/>
  <c r="AL1274" i="48" s="1"/>
  <c r="AV1274" i="48"/>
  <c r="AX1274" i="48"/>
  <c r="BK1274" i="48"/>
  <c r="AV1026" i="48"/>
  <c r="AX1026" i="48"/>
  <c r="BK1026" i="48"/>
  <c r="BA1026" i="48"/>
  <c r="AY1026" i="48"/>
  <c r="AW1026" i="48"/>
  <c r="AZ1026" i="48"/>
  <c r="AU1026" i="48"/>
  <c r="BK1995" i="48"/>
  <c r="AZ1995" i="48"/>
  <c r="AV1995" i="48"/>
  <c r="AY1995" i="48"/>
  <c r="AW1995" i="48"/>
  <c r="AX1995" i="48"/>
  <c r="BA1995" i="48"/>
  <c r="AU1995" i="48"/>
  <c r="BJ983" i="48"/>
  <c r="BD983" i="48"/>
  <c r="BD2012" i="48"/>
  <c r="BJ2012" i="48"/>
  <c r="BJ1448" i="48"/>
  <c r="BD1448" i="48"/>
  <c r="BD1915" i="48"/>
  <c r="BJ1915" i="48"/>
  <c r="BJ947" i="48"/>
  <c r="BD947" i="48"/>
  <c r="BJ1388" i="48"/>
  <c r="BD1388" i="48"/>
  <c r="BD1878" i="48"/>
  <c r="BJ1878" i="48"/>
  <c r="BD1158" i="48"/>
  <c r="BJ1158" i="48"/>
  <c r="AV1835" i="48"/>
  <c r="AX1835" i="48"/>
  <c r="BK1835" i="48"/>
  <c r="BA1835" i="48"/>
  <c r="AY1835" i="48"/>
  <c r="AW1835" i="48"/>
  <c r="AZ1835" i="48"/>
  <c r="AU1835" i="48"/>
  <c r="BK1713" i="48"/>
  <c r="AZ1713" i="48"/>
  <c r="AV1713" i="48"/>
  <c r="AX1713" i="48"/>
  <c r="AU1713" i="48"/>
  <c r="AK1713" i="48" s="1"/>
  <c r="AY1713" i="48"/>
  <c r="AW1713" i="48"/>
  <c r="BA1713" i="48"/>
  <c r="AX912" i="48"/>
  <c r="AU912" i="48"/>
  <c r="AK912" i="48" s="1"/>
  <c r="AZ912" i="48"/>
  <c r="BK912" i="48"/>
  <c r="AY912" i="48"/>
  <c r="AV912" i="48"/>
  <c r="BA912" i="48"/>
  <c r="AW912" i="48"/>
  <c r="BA1887" i="48"/>
  <c r="AW1887" i="48"/>
  <c r="BK1887" i="48"/>
  <c r="AY1887" i="48"/>
  <c r="AZ1887" i="48"/>
  <c r="AU1887" i="48"/>
  <c r="AV1887" i="48"/>
  <c r="AX1887" i="48"/>
  <c r="BJ1429" i="48"/>
  <c r="BD1429" i="48"/>
  <c r="BA1080" i="48"/>
  <c r="AV1080" i="48"/>
  <c r="AZ1080" i="48"/>
  <c r="AU1080" i="48"/>
  <c r="BK1080" i="48"/>
  <c r="AY1080" i="48"/>
  <c r="AX1080" i="48"/>
  <c r="AW1080" i="48"/>
  <c r="BA1482" i="48"/>
  <c r="AX1482" i="48"/>
  <c r="BK1482" i="48"/>
  <c r="AU1482" i="48"/>
  <c r="AY1482" i="48"/>
  <c r="AV1482" i="48"/>
  <c r="AW1482" i="48"/>
  <c r="AZ1482" i="48"/>
  <c r="BD1455" i="48"/>
  <c r="BJ1455" i="48"/>
  <c r="AX1381" i="48"/>
  <c r="AZ1381" i="48"/>
  <c r="AY1381" i="48"/>
  <c r="BK1381" i="48"/>
  <c r="AV1381" i="48"/>
  <c r="AU1381" i="48"/>
  <c r="AO1381" i="48" s="1"/>
  <c r="AW1381" i="48"/>
  <c r="BA1381" i="48"/>
  <c r="BA1076" i="48"/>
  <c r="AV1076" i="48"/>
  <c r="AZ1076" i="48"/>
  <c r="AU1076" i="48"/>
  <c r="AP1076" i="48" s="1"/>
  <c r="BK1076" i="48"/>
  <c r="AY1076" i="48"/>
  <c r="AX1076" i="48"/>
  <c r="AW1076" i="48"/>
  <c r="BJ1003" i="48"/>
  <c r="BD1003" i="48"/>
  <c r="BA1781" i="48"/>
  <c r="BK1781" i="48"/>
  <c r="AW1781" i="48"/>
  <c r="AY1781" i="48"/>
  <c r="AZ1781" i="48"/>
  <c r="AU1781" i="48"/>
  <c r="AN1781" i="48" s="1"/>
  <c r="AV1781" i="48"/>
  <c r="AX1781" i="48"/>
  <c r="BJ1514" i="48"/>
  <c r="BD1514" i="48"/>
  <c r="BA1600" i="48"/>
  <c r="AY1600" i="48"/>
  <c r="AX1600" i="48"/>
  <c r="BK1600" i="48"/>
  <c r="AU1600" i="48"/>
  <c r="AL1600" i="48" s="1"/>
  <c r="AW1600" i="48"/>
  <c r="AV1600" i="48"/>
  <c r="AZ1600" i="48"/>
  <c r="BD1964" i="48"/>
  <c r="BJ1964" i="48"/>
  <c r="BK887" i="48"/>
  <c r="AW887" i="48"/>
  <c r="AY887" i="48"/>
  <c r="AV887" i="48"/>
  <c r="AU887" i="48"/>
  <c r="BA887" i="48"/>
  <c r="AX887" i="48"/>
  <c r="AZ887" i="48"/>
  <c r="BJ1721" i="48"/>
  <c r="BD1721" i="48"/>
  <c r="AW1688" i="48"/>
  <c r="BA1688" i="48"/>
  <c r="BK1688" i="48"/>
  <c r="AY1688" i="48"/>
  <c r="AZ1688" i="48"/>
  <c r="AU1688" i="48"/>
  <c r="AL1688" i="48" s="1"/>
  <c r="AV1688" i="48"/>
  <c r="AX1688" i="48"/>
  <c r="BA1390" i="48"/>
  <c r="AY1390" i="48"/>
  <c r="AX1390" i="48"/>
  <c r="BK1390" i="48"/>
  <c r="AU1390" i="48"/>
  <c r="AN1390" i="48" s="1"/>
  <c r="AV1390" i="48"/>
  <c r="AZ1390" i="48"/>
  <c r="AW1390" i="48"/>
  <c r="AZ1362" i="48"/>
  <c r="AU1362" i="48"/>
  <c r="AV1362" i="48"/>
  <c r="AX1362" i="48"/>
  <c r="BK1362" i="48"/>
  <c r="BA1362" i="48"/>
  <c r="AY1362" i="48"/>
  <c r="AW1362" i="48"/>
  <c r="BA1815" i="48"/>
  <c r="BK1815" i="48"/>
  <c r="AZ1815" i="48"/>
  <c r="AU1815" i="48"/>
  <c r="AY1815" i="48"/>
  <c r="AX1815" i="48"/>
  <c r="AV1815" i="48"/>
  <c r="AW1815" i="48"/>
  <c r="BJ1815" i="48"/>
  <c r="BD1815" i="48"/>
  <c r="BK1729" i="48"/>
  <c r="AZ1729" i="48"/>
  <c r="AV1729" i="48"/>
  <c r="AX1729" i="48"/>
  <c r="AU1729" i="48"/>
  <c r="AK1729" i="48" s="1"/>
  <c r="AY1729" i="48"/>
  <c r="AW1729" i="48"/>
  <c r="BA1729" i="48"/>
  <c r="BJ1231" i="48"/>
  <c r="BD1231" i="48"/>
  <c r="BA1231" i="48"/>
  <c r="AX1231" i="48"/>
  <c r="AZ1231" i="48"/>
  <c r="AU1231" i="48"/>
  <c r="AY1231" i="48"/>
  <c r="AV1231" i="48"/>
  <c r="BK1231" i="48"/>
  <c r="AW1231" i="48"/>
  <c r="BA962" i="48"/>
  <c r="AW962" i="48"/>
  <c r="AZ962" i="48"/>
  <c r="AU962" i="48"/>
  <c r="AV962" i="48"/>
  <c r="AX962" i="48"/>
  <c r="BK962" i="48"/>
  <c r="AY962" i="48"/>
  <c r="AX1559" i="48"/>
  <c r="AV1559" i="48"/>
  <c r="AU1559" i="48"/>
  <c r="AK1559" i="48" s="1"/>
  <c r="AZ1559" i="48"/>
  <c r="BK1559" i="48"/>
  <c r="AY1559" i="48"/>
  <c r="AW1559" i="48"/>
  <c r="BA1559" i="48"/>
  <c r="BD633" i="48"/>
  <c r="BJ633" i="48"/>
  <c r="BD1994" i="48"/>
  <c r="BJ1994" i="48"/>
  <c r="BJ1409" i="48"/>
  <c r="BD1409" i="48"/>
  <c r="BJ880" i="48"/>
  <c r="BD880" i="48"/>
  <c r="BJ576" i="48"/>
  <c r="BD576" i="48"/>
  <c r="BJ1924" i="48"/>
  <c r="BD1924" i="48"/>
  <c r="BJ776" i="48"/>
  <c r="BD776" i="48"/>
  <c r="BD957" i="48"/>
  <c r="BJ957" i="48"/>
  <c r="BD1525" i="48"/>
  <c r="BJ1525" i="48"/>
  <c r="BA1608" i="48"/>
  <c r="AY1608" i="48"/>
  <c r="AX1608" i="48"/>
  <c r="BK1608" i="48"/>
  <c r="AU1608" i="48"/>
  <c r="AZ1608" i="48"/>
  <c r="AW1608" i="48"/>
  <c r="AV1608" i="48"/>
  <c r="BJ1872" i="48"/>
  <c r="BD1872" i="48"/>
  <c r="BJ1248" i="48"/>
  <c r="BD1248" i="48"/>
  <c r="BD1743" i="48"/>
  <c r="BJ1743" i="48"/>
  <c r="BJ1380" i="48"/>
  <c r="BD1380" i="48"/>
  <c r="AW1380" i="48"/>
  <c r="AV1380" i="48"/>
  <c r="BK1380" i="48"/>
  <c r="AZ1380" i="48"/>
  <c r="AY1380" i="48"/>
  <c r="AU1380" i="48"/>
  <c r="AK1380" i="48" s="1"/>
  <c r="AX1380" i="48"/>
  <c r="BA1380" i="48"/>
  <c r="AX750" i="48"/>
  <c r="AW750" i="48"/>
  <c r="AV750" i="48"/>
  <c r="BA750" i="48"/>
  <c r="BK750" i="48"/>
  <c r="AY750" i="48"/>
  <c r="AZ750" i="48"/>
  <c r="AU750" i="48"/>
  <c r="AN750" i="48" s="1"/>
  <c r="BJ1252" i="48"/>
  <c r="BD1252" i="48"/>
  <c r="BJ1392" i="48"/>
  <c r="BD1392" i="48"/>
  <c r="BK999" i="48"/>
  <c r="AZ999" i="48"/>
  <c r="AV999" i="48"/>
  <c r="BA999" i="48"/>
  <c r="AU999" i="48"/>
  <c r="AW999" i="48"/>
  <c r="AX999" i="48"/>
  <c r="AY999" i="48"/>
  <c r="BA673" i="48"/>
  <c r="BK673" i="48"/>
  <c r="AV673" i="48"/>
  <c r="AZ673" i="48"/>
  <c r="AU673" i="48"/>
  <c r="AK673" i="48" s="1"/>
  <c r="AY673" i="48"/>
  <c r="AX673" i="48"/>
  <c r="AW673" i="48"/>
  <c r="BJ1580" i="48"/>
  <c r="BD1580" i="48"/>
  <c r="BD1467" i="48"/>
  <c r="BJ1467" i="48"/>
  <c r="BA1490" i="48"/>
  <c r="AY1490" i="48"/>
  <c r="AX1490" i="48"/>
  <c r="BK1490" i="48"/>
  <c r="AU1490" i="48"/>
  <c r="AZ1490" i="48"/>
  <c r="AV1490" i="48"/>
  <c r="AW1490" i="48"/>
  <c r="AX1170" i="48"/>
  <c r="BK1170" i="48"/>
  <c r="AW1170" i="48"/>
  <c r="AZ1170" i="48"/>
  <c r="AY1170" i="48"/>
  <c r="AV1170" i="48"/>
  <c r="AU1170" i="48"/>
  <c r="AP1170" i="48" s="1"/>
  <c r="BA1170" i="48"/>
  <c r="BD718" i="48"/>
  <c r="BJ718" i="48"/>
  <c r="BA1506" i="48"/>
  <c r="AY1506" i="48"/>
  <c r="AX1506" i="48"/>
  <c r="BK1506" i="48"/>
  <c r="AU1506" i="48"/>
  <c r="AK1506" i="48" s="1"/>
  <c r="AZ1506" i="48"/>
  <c r="AV1506" i="48"/>
  <c r="AW1506" i="48"/>
  <c r="BJ772" i="48"/>
  <c r="BD772" i="48"/>
  <c r="AX772" i="48"/>
  <c r="BK772" i="48"/>
  <c r="AY772" i="48"/>
  <c r="AV772" i="48"/>
  <c r="AU772" i="48"/>
  <c r="AM772" i="48" s="1"/>
  <c r="AZ772" i="48"/>
  <c r="AW772" i="48"/>
  <c r="BA772" i="48"/>
  <c r="BA1719" i="48"/>
  <c r="AY1719" i="48"/>
  <c r="BK1719" i="48"/>
  <c r="AX1719" i="48"/>
  <c r="AU1719" i="48"/>
  <c r="AL1719" i="48" s="1"/>
  <c r="AV1719" i="48"/>
  <c r="AZ1719" i="48"/>
  <c r="AW1719" i="48"/>
  <c r="BA1649" i="48"/>
  <c r="AX1649" i="48"/>
  <c r="AU1649" i="48"/>
  <c r="AL1649" i="48" s="1"/>
  <c r="AY1649" i="48"/>
  <c r="AV1649" i="48"/>
  <c r="BK1649" i="48"/>
  <c r="AZ1649" i="48"/>
  <c r="AW1649" i="48"/>
  <c r="BJ1584" i="48"/>
  <c r="BD1584" i="48"/>
  <c r="BA1233" i="48"/>
  <c r="AX1233" i="48"/>
  <c r="AY1233" i="48"/>
  <c r="AV1233" i="48"/>
  <c r="BK1233" i="48"/>
  <c r="AZ1233" i="48"/>
  <c r="AW1233" i="48"/>
  <c r="AU1233" i="48"/>
  <c r="BA1210" i="48"/>
  <c r="AW1210" i="48"/>
  <c r="AY1210" i="48"/>
  <c r="AZ1210" i="48"/>
  <c r="AU1210" i="48"/>
  <c r="AN1210" i="48" s="1"/>
  <c r="AV1210" i="48"/>
  <c r="AX1210" i="48"/>
  <c r="BK1210" i="48"/>
  <c r="BJ1789" i="48"/>
  <c r="BD1789" i="48"/>
  <c r="BD1062" i="48"/>
  <c r="BJ1062" i="48"/>
  <c r="BD814" i="48"/>
  <c r="BJ814" i="48"/>
  <c r="AX834" i="48"/>
  <c r="AV834" i="48"/>
  <c r="BA834" i="48"/>
  <c r="BK834" i="48"/>
  <c r="AW834" i="48"/>
  <c r="AY834" i="48"/>
  <c r="AZ834" i="48"/>
  <c r="AU834" i="48"/>
  <c r="BA1281" i="48"/>
  <c r="AX1281" i="48"/>
  <c r="AY1281" i="48"/>
  <c r="AV1281" i="48"/>
  <c r="BK1281" i="48"/>
  <c r="AZ1281" i="48"/>
  <c r="AW1281" i="48"/>
  <c r="AU1281" i="48"/>
  <c r="BD1090" i="48"/>
  <c r="BJ1090" i="48"/>
  <c r="AX702" i="48"/>
  <c r="AW702" i="48"/>
  <c r="AZ702" i="48"/>
  <c r="AU702" i="48"/>
  <c r="AV702" i="48"/>
  <c r="BA702" i="48"/>
  <c r="BK702" i="48"/>
  <c r="AY702" i="48"/>
  <c r="BA1497" i="48"/>
  <c r="AV1497" i="48"/>
  <c r="AZ1497" i="48"/>
  <c r="AU1497" i="48"/>
  <c r="AP1497" i="48" s="1"/>
  <c r="BK1497" i="48"/>
  <c r="AY1497" i="48"/>
  <c r="AX1497" i="48"/>
  <c r="AW1497" i="48"/>
  <c r="BJ1841" i="48"/>
  <c r="BD1841" i="48"/>
  <c r="BJ2033" i="48"/>
  <c r="BD2033" i="48"/>
  <c r="BA877" i="48"/>
  <c r="BK877" i="48"/>
  <c r="AU877" i="48"/>
  <c r="AY877" i="48"/>
  <c r="AX877" i="48"/>
  <c r="AV877" i="48"/>
  <c r="AZ877" i="48"/>
  <c r="AW877" i="48"/>
  <c r="AW1680" i="48"/>
  <c r="AX1680" i="48"/>
  <c r="AV1680" i="48"/>
  <c r="BA1680" i="48"/>
  <c r="BK1680" i="48"/>
  <c r="AY1680" i="48"/>
  <c r="AZ1680" i="48"/>
  <c r="AU1680" i="48"/>
  <c r="AM1680" i="48" s="1"/>
  <c r="BA1493" i="48"/>
  <c r="BK1493" i="48"/>
  <c r="AZ1493" i="48"/>
  <c r="AU1493" i="48"/>
  <c r="AY1493" i="48"/>
  <c r="AX1493" i="48"/>
  <c r="AV1493" i="48"/>
  <c r="AW1493" i="48"/>
  <c r="BA1805" i="48"/>
  <c r="AW1805" i="48"/>
  <c r="BK1805" i="48"/>
  <c r="AY1805" i="48"/>
  <c r="AZ1805" i="48"/>
  <c r="AU1805" i="48"/>
  <c r="AV1805" i="48"/>
  <c r="AX1805" i="48"/>
  <c r="AY942" i="48"/>
  <c r="AW942" i="48"/>
  <c r="AZ942" i="48"/>
  <c r="AU942" i="48"/>
  <c r="AV942" i="48"/>
  <c r="AX942" i="48"/>
  <c r="BK942" i="48"/>
  <c r="BA942" i="48"/>
  <c r="BD734" i="48"/>
  <c r="BJ734" i="48"/>
  <c r="BJ784" i="48"/>
  <c r="BD784" i="48"/>
  <c r="AX784" i="48"/>
  <c r="BK784" i="48"/>
  <c r="AY784" i="48"/>
  <c r="AV784" i="48"/>
  <c r="AU784" i="48"/>
  <c r="AO784" i="48" s="1"/>
  <c r="AZ784" i="48"/>
  <c r="AW784" i="48"/>
  <c r="BA784" i="48"/>
  <c r="BJ1186" i="48"/>
  <c r="BD1186" i="48"/>
  <c r="BK911" i="48"/>
  <c r="AV911" i="48"/>
  <c r="AZ911" i="48"/>
  <c r="BA911" i="48"/>
  <c r="AU911" i="48"/>
  <c r="AY911" i="48"/>
  <c r="AX911" i="48"/>
  <c r="AW911" i="48"/>
  <c r="BJ956" i="48"/>
  <c r="BD956" i="48"/>
  <c r="BD793" i="48"/>
  <c r="BJ793" i="48"/>
  <c r="BD1249" i="48"/>
  <c r="BJ1249" i="48"/>
  <c r="BK1733" i="48"/>
  <c r="AZ1733" i="48"/>
  <c r="AV1733" i="48"/>
  <c r="AY1733" i="48"/>
  <c r="AX1733" i="48"/>
  <c r="AW1733" i="48"/>
  <c r="BA1733" i="48"/>
  <c r="AU1733" i="48"/>
  <c r="AL1733" i="48" s="1"/>
  <c r="AX976" i="48"/>
  <c r="AV976" i="48"/>
  <c r="AU976" i="48"/>
  <c r="BK976" i="48"/>
  <c r="AZ976" i="48"/>
  <c r="AY976" i="48"/>
  <c r="BA976" i="48"/>
  <c r="AW976" i="48"/>
  <c r="BD1217" i="48"/>
  <c r="BJ1217" i="48"/>
  <c r="BA1728" i="48"/>
  <c r="AW1728" i="48"/>
  <c r="AV1728" i="48"/>
  <c r="AX1728" i="48"/>
  <c r="BK1728" i="48"/>
  <c r="AY1728" i="48"/>
  <c r="AZ1728" i="48"/>
  <c r="AU1728" i="48"/>
  <c r="AK1728" i="48" s="1"/>
  <c r="BJ1371" i="48"/>
  <c r="BD1371" i="48"/>
  <c r="BJ1932" i="48"/>
  <c r="BD1932" i="48"/>
  <c r="BA556" i="48"/>
  <c r="AY556" i="48"/>
  <c r="AX556" i="48"/>
  <c r="BK556" i="48"/>
  <c r="AU556" i="48"/>
  <c r="AK556" i="48" s="1"/>
  <c r="AW556" i="48"/>
  <c r="AV556" i="48"/>
  <c r="AZ556" i="48"/>
  <c r="BJ1462" i="48"/>
  <c r="BD1462" i="48"/>
  <c r="AX1664" i="48"/>
  <c r="AU1664" i="48"/>
  <c r="AP1664" i="48" s="1"/>
  <c r="BK1664" i="48"/>
  <c r="AY1664" i="48"/>
  <c r="AW1664" i="48"/>
  <c r="AV1664" i="48"/>
  <c r="BA1664" i="48"/>
  <c r="AZ1664" i="48"/>
  <c r="BD1154" i="48"/>
  <c r="BJ1154" i="48"/>
  <c r="BD838" i="48"/>
  <c r="BJ838" i="48"/>
  <c r="BJ1582" i="48"/>
  <c r="BD1582" i="48"/>
  <c r="BJ1771" i="48"/>
  <c r="BD1771" i="48"/>
  <c r="BD509" i="48"/>
  <c r="BJ509" i="48"/>
  <c r="AX256" i="48"/>
  <c r="BK256" i="48"/>
  <c r="AU256" i="48"/>
  <c r="AY256" i="48"/>
  <c r="AZ256" i="48"/>
  <c r="BJ256" i="48" s="1"/>
  <c r="AW256" i="48"/>
  <c r="BD256" i="48" s="1"/>
  <c r="AV256" i="48"/>
  <c r="BD452" i="48"/>
  <c r="BJ452" i="48"/>
  <c r="BJ535" i="48"/>
  <c r="BD535" i="48"/>
  <c r="BA548" i="48"/>
  <c r="BK548" i="48"/>
  <c r="AX548" i="48"/>
  <c r="AU548" i="48"/>
  <c r="AK548" i="48" s="1"/>
  <c r="AY548" i="48"/>
  <c r="AV548" i="48"/>
  <c r="AZ548" i="48"/>
  <c r="AW548" i="48"/>
  <c r="BD300" i="48"/>
  <c r="BJ300" i="48"/>
  <c r="BA536" i="48"/>
  <c r="AX536" i="48"/>
  <c r="BK536" i="48"/>
  <c r="AU536" i="48"/>
  <c r="AY536" i="48"/>
  <c r="AV536" i="48"/>
  <c r="AZ536" i="48"/>
  <c r="AW536" i="48"/>
  <c r="AY296" i="48"/>
  <c r="AX296" i="48"/>
  <c r="BK296" i="48"/>
  <c r="AU296" i="48"/>
  <c r="BB296" i="48" s="1"/>
  <c r="AV296" i="48"/>
  <c r="AZ296" i="48"/>
  <c r="AW296" i="48"/>
  <c r="BD324" i="48"/>
  <c r="BJ324" i="48"/>
  <c r="AX469" i="48"/>
  <c r="AV469" i="48"/>
  <c r="BA469" i="48"/>
  <c r="BK469" i="48"/>
  <c r="AY469" i="48"/>
  <c r="AZ469" i="48"/>
  <c r="AU469" i="48"/>
  <c r="AW469" i="48"/>
  <c r="BD180" i="48"/>
  <c r="BJ180" i="48"/>
  <c r="BJ130" i="48"/>
  <c r="BD130" i="48"/>
  <c r="BD220" i="48"/>
  <c r="BJ220" i="48"/>
  <c r="BA336" i="48"/>
  <c r="AY336" i="48"/>
  <c r="AX336" i="48"/>
  <c r="BK336" i="48"/>
  <c r="AU336" i="48"/>
  <c r="AO336" i="48" s="1"/>
  <c r="AZ336" i="48"/>
  <c r="AW336" i="48"/>
  <c r="AV336" i="48"/>
  <c r="AV159" i="48"/>
  <c r="AZ159" i="48"/>
  <c r="AU159" i="48"/>
  <c r="AO159" i="48" s="1"/>
  <c r="BK159" i="48"/>
  <c r="AY159" i="48"/>
  <c r="AX159" i="48"/>
  <c r="AW159" i="48"/>
  <c r="AW190" i="48"/>
  <c r="BD190" i="48" s="1"/>
  <c r="AV190" i="48"/>
  <c r="BK190" i="48"/>
  <c r="AZ190" i="48"/>
  <c r="BJ190" i="48" s="1"/>
  <c r="AY190" i="48"/>
  <c r="AU190" i="48"/>
  <c r="AX190" i="48"/>
  <c r="BA507" i="48"/>
  <c r="AZ507" i="48"/>
  <c r="AU507" i="48"/>
  <c r="BK507" i="48"/>
  <c r="AY507" i="48"/>
  <c r="AX507" i="48"/>
  <c r="AV507" i="48"/>
  <c r="AW507" i="48"/>
  <c r="AW513" i="48"/>
  <c r="AV513" i="48"/>
  <c r="AU513" i="48"/>
  <c r="BA513" i="48"/>
  <c r="AX513" i="48"/>
  <c r="BK513" i="48"/>
  <c r="AZ513" i="48"/>
  <c r="AY513" i="48"/>
  <c r="BD136" i="48"/>
  <c r="BJ136" i="48"/>
  <c r="BA328" i="48"/>
  <c r="AY328" i="48"/>
  <c r="AX328" i="48"/>
  <c r="BK328" i="48"/>
  <c r="AU328" i="48"/>
  <c r="AK328" i="48" s="1"/>
  <c r="AV328" i="48"/>
  <c r="AZ328" i="48"/>
  <c r="AW328" i="48"/>
  <c r="BD464" i="48"/>
  <c r="BJ464" i="48"/>
  <c r="BD488" i="48"/>
  <c r="BJ488" i="48"/>
  <c r="AX210" i="48"/>
  <c r="AZ210" i="48"/>
  <c r="BJ210" i="48" s="1"/>
  <c r="AW210" i="48"/>
  <c r="BD210" i="48" s="1"/>
  <c r="BK210" i="48"/>
  <c r="AY210" i="48"/>
  <c r="AV210" i="48"/>
  <c r="AU210" i="48"/>
  <c r="AP210" i="48" s="1"/>
  <c r="BJ515" i="48"/>
  <c r="BD515" i="48"/>
  <c r="BD436" i="48"/>
  <c r="BJ436" i="48"/>
  <c r="BA348" i="48"/>
  <c r="AY348" i="48"/>
  <c r="AX348" i="48"/>
  <c r="BK348" i="48"/>
  <c r="AU348" i="48"/>
  <c r="AV348" i="48"/>
  <c r="AZ348" i="48"/>
  <c r="AW348" i="48"/>
  <c r="BA471" i="48"/>
  <c r="BK471" i="48"/>
  <c r="AY471" i="48"/>
  <c r="AX471" i="48"/>
  <c r="AV471" i="48"/>
  <c r="AZ471" i="48"/>
  <c r="AU471" i="48"/>
  <c r="AW471" i="48"/>
  <c r="AW378" i="48"/>
  <c r="AV378" i="48"/>
  <c r="AU378" i="48"/>
  <c r="AX378" i="48"/>
  <c r="BK378" i="48"/>
  <c r="AZ378" i="48"/>
  <c r="BA378" i="48"/>
  <c r="AY378" i="48"/>
  <c r="BK92" i="48"/>
  <c r="AU92" i="48"/>
  <c r="AY92" i="48"/>
  <c r="AX92" i="48"/>
  <c r="AV92" i="48"/>
  <c r="AZ92" i="48"/>
  <c r="BJ92" i="48" s="1"/>
  <c r="AW92" i="48"/>
  <c r="BD92" i="48" s="1"/>
  <c r="BD200" i="48"/>
  <c r="BJ200" i="48"/>
  <c r="BA973" i="48"/>
  <c r="AU973" i="48"/>
  <c r="AY973" i="48"/>
  <c r="AX973" i="48"/>
  <c r="BK973" i="48"/>
  <c r="AV973" i="48"/>
  <c r="AZ973" i="48"/>
  <c r="AW973" i="48"/>
  <c r="BD1931" i="48"/>
  <c r="BJ1931" i="48"/>
  <c r="BD966" i="48"/>
  <c r="BJ966" i="48"/>
  <c r="BA1612" i="48"/>
  <c r="AY1612" i="48"/>
  <c r="AX1612" i="48"/>
  <c r="BK1612" i="48"/>
  <c r="AU1612" i="48"/>
  <c r="AW1612" i="48"/>
  <c r="AV1612" i="48"/>
  <c r="AZ1612" i="48"/>
  <c r="BD965" i="48"/>
  <c r="BJ965" i="48"/>
  <c r="BD874" i="48"/>
  <c r="BJ874" i="48"/>
  <c r="AX1567" i="48"/>
  <c r="AV1567" i="48"/>
  <c r="AU1567" i="48"/>
  <c r="AO1567" i="48" s="1"/>
  <c r="AZ1567" i="48"/>
  <c r="BK1567" i="48"/>
  <c r="AY1567" i="48"/>
  <c r="AW1567" i="48"/>
  <c r="BA1567" i="48"/>
  <c r="BA1532" i="48"/>
  <c r="AY1532" i="48"/>
  <c r="AX1532" i="48"/>
  <c r="BK1532" i="48"/>
  <c r="AU1532" i="48"/>
  <c r="AV1532" i="48"/>
  <c r="AZ1532" i="48"/>
  <c r="AW1532" i="48"/>
  <c r="BD2016" i="48"/>
  <c r="BJ2016" i="48"/>
  <c r="BJ1096" i="48"/>
  <c r="BD1096" i="48"/>
  <c r="BJ2049" i="48"/>
  <c r="BD2049" i="48"/>
  <c r="BA1673" i="48"/>
  <c r="AV1673" i="48"/>
  <c r="AZ1673" i="48"/>
  <c r="AX1673" i="48"/>
  <c r="BK1673" i="48"/>
  <c r="AW1673" i="48"/>
  <c r="AU1673" i="48"/>
  <c r="AK1673" i="48" s="1"/>
  <c r="AY1673" i="48"/>
  <c r="AX1877" i="48"/>
  <c r="AY1877" i="48"/>
  <c r="AU1877" i="48"/>
  <c r="BK1877" i="48"/>
  <c r="AZ1877" i="48"/>
  <c r="AW1877" i="48"/>
  <c r="BA1877" i="48"/>
  <c r="AV1877" i="48"/>
  <c r="BJ688" i="48"/>
  <c r="BD688" i="48"/>
  <c r="AW1226" i="48"/>
  <c r="BA1226" i="48"/>
  <c r="AV1226" i="48"/>
  <c r="AX1226" i="48"/>
  <c r="BK1226" i="48"/>
  <c r="AY1226" i="48"/>
  <c r="AZ1226" i="48"/>
  <c r="AU1226" i="48"/>
  <c r="BA601" i="48"/>
  <c r="AX601" i="48"/>
  <c r="BK601" i="48"/>
  <c r="AV601" i="48"/>
  <c r="AZ601" i="48"/>
  <c r="AU601" i="48"/>
  <c r="AY601" i="48"/>
  <c r="AW601" i="48"/>
  <c r="BA1509" i="48"/>
  <c r="BK1509" i="48"/>
  <c r="AZ1509" i="48"/>
  <c r="AU1509" i="48"/>
  <c r="AP1509" i="48" s="1"/>
  <c r="AY1509" i="48"/>
  <c r="AX1509" i="48"/>
  <c r="AV1509" i="48"/>
  <c r="AW1509" i="48"/>
  <c r="BA1029" i="48"/>
  <c r="AU1029" i="48"/>
  <c r="AK1029" i="48" s="1"/>
  <c r="AY1029" i="48"/>
  <c r="BK1029" i="48"/>
  <c r="AX1029" i="48"/>
  <c r="AV1029" i="48"/>
  <c r="AW1029" i="48"/>
  <c r="AZ1029" i="48"/>
  <c r="BJ1354" i="48"/>
  <c r="BD1354" i="48"/>
  <c r="BK1135" i="48"/>
  <c r="AV1135" i="48"/>
  <c r="AZ1135" i="48"/>
  <c r="BA1135" i="48"/>
  <c r="AU1135" i="48"/>
  <c r="AO1135" i="48" s="1"/>
  <c r="AX1135" i="48"/>
  <c r="AY1135" i="48"/>
  <c r="AW1135" i="48"/>
  <c r="BJ2003" i="48"/>
  <c r="BD2003" i="48"/>
  <c r="BA1375" i="48"/>
  <c r="AX1375" i="48"/>
  <c r="AV1375" i="48"/>
  <c r="BK1375" i="48"/>
  <c r="AZ1375" i="48"/>
  <c r="AU1375" i="48"/>
  <c r="AL1375" i="48" s="1"/>
  <c r="AY1375" i="48"/>
  <c r="AW1375" i="48"/>
  <c r="BA1036" i="48"/>
  <c r="AY1036" i="48"/>
  <c r="AX1036" i="48"/>
  <c r="AV1036" i="48"/>
  <c r="BK1036" i="48"/>
  <c r="AZ1036" i="48"/>
  <c r="AU1036" i="48"/>
  <c r="AK1036" i="48" s="1"/>
  <c r="AW1036" i="48"/>
  <c r="BA625" i="48"/>
  <c r="AZ625" i="48"/>
  <c r="AU625" i="48"/>
  <c r="AM625" i="48" s="1"/>
  <c r="AY625" i="48"/>
  <c r="AX625" i="48"/>
  <c r="BK625" i="48"/>
  <c r="AV625" i="48"/>
  <c r="AW625" i="48"/>
  <c r="BJ1159" i="48"/>
  <c r="BD1159" i="48"/>
  <c r="BJ1777" i="48"/>
  <c r="BD1777" i="48"/>
  <c r="BD622" i="48"/>
  <c r="BJ622" i="48"/>
  <c r="AX2015" i="48"/>
  <c r="AU2015" i="48"/>
  <c r="AN2015" i="48" s="1"/>
  <c r="BK2015" i="48"/>
  <c r="AZ2015" i="48"/>
  <c r="AY2015" i="48"/>
  <c r="AV2015" i="48"/>
  <c r="AW2015" i="48"/>
  <c r="BA2015" i="48"/>
  <c r="AX608" i="48"/>
  <c r="AU608" i="48"/>
  <c r="AZ608" i="48"/>
  <c r="BK608" i="48"/>
  <c r="AY608" i="48"/>
  <c r="AV608" i="48"/>
  <c r="AW608" i="48"/>
  <c r="BA608" i="48"/>
  <c r="BD921" i="48"/>
  <c r="BJ921" i="48"/>
  <c r="BJ707" i="48"/>
  <c r="BD707" i="48"/>
  <c r="BA1628" i="48"/>
  <c r="BK1628" i="48"/>
  <c r="AU1628" i="48"/>
  <c r="AY1628" i="48"/>
  <c r="AX1628" i="48"/>
  <c r="AW1628" i="48"/>
  <c r="AV1628" i="48"/>
  <c r="AZ1628" i="48"/>
  <c r="BA1917" i="48"/>
  <c r="AY1917" i="48"/>
  <c r="BK1917" i="48"/>
  <c r="AX1917" i="48"/>
  <c r="AV1917" i="48"/>
  <c r="AU1917" i="48"/>
  <c r="AZ1917" i="48"/>
  <c r="AW1917" i="48"/>
  <c r="BJ1470" i="48"/>
  <c r="BD1470" i="48"/>
  <c r="BD885" i="48"/>
  <c r="BJ885" i="48"/>
  <c r="BD1382" i="48"/>
  <c r="BJ1382" i="48"/>
  <c r="BK955" i="48"/>
  <c r="AZ955" i="48"/>
  <c r="AV955" i="48"/>
  <c r="BA955" i="48"/>
  <c r="AX955" i="48"/>
  <c r="AU955" i="48"/>
  <c r="AY955" i="48"/>
  <c r="AW955" i="48"/>
  <c r="BA1037" i="48"/>
  <c r="AY1037" i="48"/>
  <c r="AX1037" i="48"/>
  <c r="BK1037" i="48"/>
  <c r="AU1037" i="48"/>
  <c r="AZ1037" i="48"/>
  <c r="AV1037" i="48"/>
  <c r="AW1037" i="48"/>
  <c r="AX680" i="48"/>
  <c r="AZ680" i="48"/>
  <c r="BK680" i="48"/>
  <c r="AY680" i="48"/>
  <c r="AV680" i="48"/>
  <c r="AU680" i="48"/>
  <c r="AK680" i="48" s="1"/>
  <c r="BA680" i="48"/>
  <c r="AW680" i="48"/>
  <c r="BA1172" i="48"/>
  <c r="AX1172" i="48"/>
  <c r="BK1172" i="48"/>
  <c r="AU1172" i="48"/>
  <c r="AY1172" i="48"/>
  <c r="AZ1172" i="48"/>
  <c r="AW1172" i="48"/>
  <c r="AV1172" i="48"/>
  <c r="BD830" i="48"/>
  <c r="BJ830" i="48"/>
  <c r="AX1324" i="48"/>
  <c r="AY1324" i="48"/>
  <c r="AU1324" i="48"/>
  <c r="BK1324" i="48"/>
  <c r="AV1324" i="48"/>
  <c r="AW1324" i="48"/>
  <c r="AZ1324" i="48"/>
  <c r="BA1324" i="48"/>
  <c r="BJ624" i="48"/>
  <c r="BD624" i="48"/>
  <c r="BA1000" i="48"/>
  <c r="AV1000" i="48"/>
  <c r="BK1000" i="48"/>
  <c r="AZ1000" i="48"/>
  <c r="AU1000" i="48"/>
  <c r="AK1000" i="48" s="1"/>
  <c r="AY1000" i="48"/>
  <c r="AX1000" i="48"/>
  <c r="AW1000" i="48"/>
  <c r="BA1947" i="48"/>
  <c r="AX1947" i="48"/>
  <c r="BK1947" i="48"/>
  <c r="AU1947" i="48"/>
  <c r="AY1947" i="48"/>
  <c r="AZ1947" i="48"/>
  <c r="AW1947" i="48"/>
  <c r="AV1947" i="48"/>
  <c r="BA1306" i="48"/>
  <c r="AW1306" i="48"/>
  <c r="AY1306" i="48"/>
  <c r="AZ1306" i="48"/>
  <c r="AU1306" i="48"/>
  <c r="AO1306" i="48" s="1"/>
  <c r="AV1306" i="48"/>
  <c r="AX1306" i="48"/>
  <c r="BK1306" i="48"/>
  <c r="BA1982" i="48"/>
  <c r="AW1982" i="48"/>
  <c r="AY1982" i="48"/>
  <c r="AZ1982" i="48"/>
  <c r="AU1982" i="48"/>
  <c r="AV1982" i="48"/>
  <c r="AX1982" i="48"/>
  <c r="BK1982" i="48"/>
  <c r="BD1073" i="48"/>
  <c r="BJ1073" i="48"/>
  <c r="AZ1677" i="48"/>
  <c r="AY1677" i="48"/>
  <c r="AV1677" i="48"/>
  <c r="BA1677" i="48"/>
  <c r="AU1677" i="48"/>
  <c r="AO1677" i="48" s="1"/>
  <c r="BK1677" i="48"/>
  <c r="AX1677" i="48"/>
  <c r="AW1677" i="48"/>
  <c r="BD1165" i="48"/>
  <c r="BJ1165" i="48"/>
  <c r="BJ1632" i="48"/>
  <c r="BD1632" i="48"/>
  <c r="BJ1031" i="48"/>
  <c r="BD1031" i="48"/>
  <c r="BJ1446" i="48"/>
  <c r="BD1446" i="48"/>
  <c r="BJ788" i="48"/>
  <c r="BD788" i="48"/>
  <c r="BD1669" i="48"/>
  <c r="BJ1669" i="48"/>
  <c r="BJ1892" i="48"/>
  <c r="BD1892" i="48"/>
  <c r="AV1940" i="48"/>
  <c r="BA1940" i="48"/>
  <c r="AZ1940" i="48"/>
  <c r="AW1940" i="48"/>
  <c r="AU1940" i="48"/>
  <c r="AM1940" i="48" s="1"/>
  <c r="AX1940" i="48"/>
  <c r="BK1940" i="48"/>
  <c r="AY1940" i="48"/>
  <c r="BD1105" i="48"/>
  <c r="BJ1105" i="48"/>
  <c r="BA802" i="48"/>
  <c r="AX802" i="48"/>
  <c r="AY802" i="48"/>
  <c r="AZ802" i="48"/>
  <c r="AU802" i="48"/>
  <c r="AO802" i="48" s="1"/>
  <c r="AV802" i="48"/>
  <c r="AW802" i="48"/>
  <c r="BK802" i="48"/>
  <c r="BD961" i="48"/>
  <c r="BJ961" i="48"/>
  <c r="AW667" i="48"/>
  <c r="AU667" i="48"/>
  <c r="AO667" i="48" s="1"/>
  <c r="BA667" i="48"/>
  <c r="AX667" i="48"/>
  <c r="BK667" i="48"/>
  <c r="AZ667" i="48"/>
  <c r="AY667" i="48"/>
  <c r="AV667" i="48"/>
  <c r="BD2048" i="48"/>
  <c r="BJ2048" i="48"/>
  <c r="AX726" i="48"/>
  <c r="AW726" i="48"/>
  <c r="AY726" i="48"/>
  <c r="AZ726" i="48"/>
  <c r="AU726" i="48"/>
  <c r="AM726" i="48" s="1"/>
  <c r="AV726" i="48"/>
  <c r="BA726" i="48"/>
  <c r="BK726" i="48"/>
  <c r="BJ1591" i="48"/>
  <c r="BD1591" i="48"/>
  <c r="BJ1758" i="48"/>
  <c r="BD1758" i="48"/>
  <c r="AX1758" i="48"/>
  <c r="BK1758" i="48"/>
  <c r="AY1758" i="48"/>
  <c r="AV1758" i="48"/>
  <c r="AU1758" i="48"/>
  <c r="AM1758" i="48" s="1"/>
  <c r="AZ1758" i="48"/>
  <c r="AW1758" i="48"/>
  <c r="BA1758" i="48"/>
  <c r="BA1527" i="48"/>
  <c r="BK1527" i="48"/>
  <c r="AY1527" i="48"/>
  <c r="AX1527" i="48"/>
  <c r="AV1527" i="48"/>
  <c r="AZ1527" i="48"/>
  <c r="AU1527" i="48"/>
  <c r="AW1527" i="48"/>
  <c r="BJ1566" i="48"/>
  <c r="BD1566" i="48"/>
  <c r="AW2036" i="48"/>
  <c r="BK2036" i="48"/>
  <c r="AV2036" i="48"/>
  <c r="AY2036" i="48"/>
  <c r="BA2036" i="48"/>
  <c r="AU2036" i="48"/>
  <c r="AZ2036" i="48"/>
  <c r="AX2036" i="48"/>
  <c r="BD2052" i="48"/>
  <c r="BJ2052" i="48"/>
  <c r="BA1951" i="48"/>
  <c r="AX1951" i="48"/>
  <c r="BK1951" i="48"/>
  <c r="AU1951" i="48"/>
  <c r="AY1951" i="48"/>
  <c r="AW1951" i="48"/>
  <c r="AV1951" i="48"/>
  <c r="AZ1951" i="48"/>
  <c r="BA1734" i="48"/>
  <c r="BK1734" i="48"/>
  <c r="AY1734" i="48"/>
  <c r="AX1734" i="48"/>
  <c r="AV1734" i="48"/>
  <c r="AZ1734" i="48"/>
  <c r="AU1734" i="48"/>
  <c r="AW1734" i="48"/>
  <c r="BK1975" i="48"/>
  <c r="AZ1975" i="48"/>
  <c r="AV1975" i="48"/>
  <c r="AU1975" i="48"/>
  <c r="AX1975" i="48"/>
  <c r="AY1975" i="48"/>
  <c r="AW1975" i="48"/>
  <c r="BA1975" i="48"/>
  <c r="BJ1239" i="48"/>
  <c r="BD1239" i="48"/>
  <c r="BD1435" i="48"/>
  <c r="BJ1435" i="48"/>
  <c r="BJ1811" i="48"/>
  <c r="BD1811" i="48"/>
  <c r="BA1114" i="48"/>
  <c r="AW1114" i="48"/>
  <c r="AV1114" i="48"/>
  <c r="AX1114" i="48"/>
  <c r="BK1114" i="48"/>
  <c r="AY1114" i="48"/>
  <c r="AZ1114" i="48"/>
  <c r="AU1114" i="48"/>
  <c r="BJ1352" i="48"/>
  <c r="BD1352" i="48"/>
  <c r="BJ1701" i="48"/>
  <c r="BD1701" i="48"/>
  <c r="AX1441" i="48"/>
  <c r="AU1441" i="48"/>
  <c r="AZ1441" i="48"/>
  <c r="BK1441" i="48"/>
  <c r="AY1441" i="48"/>
  <c r="AV1441" i="48"/>
  <c r="AW1441" i="48"/>
  <c r="BA1441" i="48"/>
  <c r="AX1893" i="48"/>
  <c r="AY1893" i="48"/>
  <c r="AU1893" i="48"/>
  <c r="AP1893" i="48" s="1"/>
  <c r="BK1893" i="48"/>
  <c r="AZ1893" i="48"/>
  <c r="AW1893" i="48"/>
  <c r="BA1893" i="48"/>
  <c r="AV1893" i="48"/>
  <c r="AX1794" i="48"/>
  <c r="AZ1794" i="48"/>
  <c r="BK1794" i="48"/>
  <c r="AY1794" i="48"/>
  <c r="AU1794" i="48"/>
  <c r="AL1794" i="48" s="1"/>
  <c r="AV1794" i="48"/>
  <c r="AW1794" i="48"/>
  <c r="BA1794" i="48"/>
  <c r="BA1702" i="48"/>
  <c r="AZ1702" i="48"/>
  <c r="AU1702" i="48"/>
  <c r="AK1702" i="48" s="1"/>
  <c r="BK1702" i="48"/>
  <c r="AY1702" i="48"/>
  <c r="AX1702" i="48"/>
  <c r="AV1702" i="48"/>
  <c r="AW1702" i="48"/>
  <c r="AX828" i="48"/>
  <c r="AV828" i="48"/>
  <c r="AU828" i="48"/>
  <c r="AN828" i="48" s="1"/>
  <c r="BK828" i="48"/>
  <c r="AZ828" i="48"/>
  <c r="AY828" i="48"/>
  <c r="AW828" i="48"/>
  <c r="BA828" i="48"/>
  <c r="BA1767" i="48"/>
  <c r="AU1767" i="48"/>
  <c r="AY1767" i="48"/>
  <c r="BK1767" i="48"/>
  <c r="AX1767" i="48"/>
  <c r="AV1767" i="48"/>
  <c r="AZ1767" i="48"/>
  <c r="AW1767" i="48"/>
  <c r="BJ808" i="48"/>
  <c r="BD808" i="48"/>
  <c r="BA1005" i="48"/>
  <c r="BK1005" i="48"/>
  <c r="AU1005" i="48"/>
  <c r="AY1005" i="48"/>
  <c r="AX1005" i="48"/>
  <c r="AZ1005" i="48"/>
  <c r="AV1005" i="48"/>
  <c r="AW1005" i="48"/>
  <c r="AW1879" i="48"/>
  <c r="BA1879" i="48"/>
  <c r="AV1879" i="48"/>
  <c r="AX1879" i="48"/>
  <c r="BK1879" i="48"/>
  <c r="AY1879" i="48"/>
  <c r="AZ1879" i="48"/>
  <c r="AU1879" i="48"/>
  <c r="BA1775" i="48"/>
  <c r="AY1775" i="48"/>
  <c r="AX1775" i="48"/>
  <c r="AU1775" i="48"/>
  <c r="AK1775" i="48" s="1"/>
  <c r="BK1775" i="48"/>
  <c r="AZ1775" i="48"/>
  <c r="AW1775" i="48"/>
  <c r="AV1775" i="48"/>
  <c r="BA850" i="48"/>
  <c r="AX850" i="48"/>
  <c r="AZ850" i="48"/>
  <c r="AU850" i="48"/>
  <c r="AV850" i="48"/>
  <c r="AW850" i="48"/>
  <c r="BK850" i="48"/>
  <c r="AY850" i="48"/>
  <c r="BA1008" i="48"/>
  <c r="AZ1008" i="48"/>
  <c r="AU1008" i="48"/>
  <c r="AM1008" i="48" s="1"/>
  <c r="BK1008" i="48"/>
  <c r="AY1008" i="48"/>
  <c r="AX1008" i="48"/>
  <c r="AV1008" i="48"/>
  <c r="AW1008" i="48"/>
  <c r="BA1086" i="48"/>
  <c r="AW1086" i="48"/>
  <c r="AV1086" i="48"/>
  <c r="AX1086" i="48"/>
  <c r="BK1086" i="48"/>
  <c r="AY1086" i="48"/>
  <c r="AZ1086" i="48"/>
  <c r="AU1086" i="48"/>
  <c r="AM1086" i="48" s="1"/>
  <c r="AX1383" i="48"/>
  <c r="AW1383" i="48"/>
  <c r="BK1383" i="48"/>
  <c r="AY1383" i="48"/>
  <c r="AZ1383" i="48"/>
  <c r="AU1383" i="48"/>
  <c r="AV1383" i="48"/>
  <c r="BA1383" i="48"/>
  <c r="BD1637" i="48"/>
  <c r="BJ1637" i="48"/>
  <c r="BA1358" i="48"/>
  <c r="BK1358" i="48"/>
  <c r="AW1358" i="48"/>
  <c r="AY1358" i="48"/>
  <c r="AZ1358" i="48"/>
  <c r="AU1358" i="48"/>
  <c r="AV1358" i="48"/>
  <c r="AX1358" i="48"/>
  <c r="BA1261" i="48"/>
  <c r="AX1261" i="48"/>
  <c r="AU1261" i="48"/>
  <c r="AO1261" i="48" s="1"/>
  <c r="AW1261" i="48"/>
  <c r="AY1261" i="48"/>
  <c r="AV1261" i="48"/>
  <c r="BK1261" i="48"/>
  <c r="AZ1261" i="48"/>
  <c r="BK562" i="48"/>
  <c r="AZ562" i="48"/>
  <c r="AV562" i="48"/>
  <c r="AW562" i="48"/>
  <c r="AX562" i="48"/>
  <c r="AU562" i="48"/>
  <c r="AO562" i="48" s="1"/>
  <c r="BA562" i="48"/>
  <c r="AY562" i="48"/>
  <c r="AW1831" i="48"/>
  <c r="AV1831" i="48"/>
  <c r="AU1831" i="48"/>
  <c r="BA1831" i="48"/>
  <c r="AX1831" i="48"/>
  <c r="BK1831" i="48"/>
  <c r="AZ1831" i="48"/>
  <c r="AY1831" i="48"/>
  <c r="BJ1769" i="48"/>
  <c r="BD1769" i="48"/>
  <c r="AW731" i="48"/>
  <c r="AU731" i="48"/>
  <c r="AX731" i="48"/>
  <c r="BK731" i="48"/>
  <c r="AZ731" i="48"/>
  <c r="BA731" i="48"/>
  <c r="AV731" i="48"/>
  <c r="AY731" i="48"/>
  <c r="BJ1224" i="48"/>
  <c r="BD1224" i="48"/>
  <c r="BJ892" i="48"/>
  <c r="BD892" i="48"/>
  <c r="BD1054" i="48"/>
  <c r="BJ1054" i="48"/>
  <c r="BD934" i="48"/>
  <c r="BJ934" i="48"/>
  <c r="BK1991" i="48"/>
  <c r="AV1991" i="48"/>
  <c r="AZ1991" i="48"/>
  <c r="AU1991" i="48"/>
  <c r="AX1991" i="48"/>
  <c r="AY1991" i="48"/>
  <c r="AW1991" i="48"/>
  <c r="BA1991" i="48"/>
  <c r="BK1725" i="48"/>
  <c r="AZ1725" i="48"/>
  <c r="AV1725" i="48"/>
  <c r="AU1725" i="48"/>
  <c r="AW1725" i="48"/>
  <c r="AY1725" i="48"/>
  <c r="BA1725" i="48"/>
  <c r="AX1725" i="48"/>
  <c r="BA1799" i="48"/>
  <c r="AY1799" i="48"/>
  <c r="BK1799" i="48"/>
  <c r="AX1799" i="48"/>
  <c r="AU1799" i="48"/>
  <c r="AL1799" i="48" s="1"/>
  <c r="AZ1799" i="48"/>
  <c r="AW1799" i="48"/>
  <c r="AV1799" i="48"/>
  <c r="AV950" i="48"/>
  <c r="AX950" i="48"/>
  <c r="BK950" i="48"/>
  <c r="BA950" i="48"/>
  <c r="AY950" i="48"/>
  <c r="AW950" i="48"/>
  <c r="AZ950" i="48"/>
  <c r="AU950" i="48"/>
  <c r="BJ1790" i="48"/>
  <c r="BD1790" i="48"/>
  <c r="AW763" i="48"/>
  <c r="AY763" i="48"/>
  <c r="BA763" i="48"/>
  <c r="AU763" i="48"/>
  <c r="AN763" i="48" s="1"/>
  <c r="AX763" i="48"/>
  <c r="AV763" i="48"/>
  <c r="BK763" i="48"/>
  <c r="AZ763" i="48"/>
  <c r="BD1106" i="48"/>
  <c r="BJ1106" i="48"/>
  <c r="BK979" i="48"/>
  <c r="AZ979" i="48"/>
  <c r="AV979" i="48"/>
  <c r="BA979" i="48"/>
  <c r="AX979" i="48"/>
  <c r="AY979" i="48"/>
  <c r="AW979" i="48"/>
  <c r="AU979" i="48"/>
  <c r="BA1692" i="48"/>
  <c r="AW1692" i="48"/>
  <c r="AY1692" i="48"/>
  <c r="AZ1692" i="48"/>
  <c r="AU1692" i="48"/>
  <c r="AP1692" i="48" s="1"/>
  <c r="AV1692" i="48"/>
  <c r="AX1692" i="48"/>
  <c r="BK1692" i="48"/>
  <c r="AW655" i="48"/>
  <c r="AV655" i="48"/>
  <c r="BA655" i="48"/>
  <c r="AU655" i="48"/>
  <c r="AX655" i="48"/>
  <c r="BK655" i="48"/>
  <c r="AZ655" i="48"/>
  <c r="AY655" i="48"/>
  <c r="BJ748" i="48"/>
  <c r="BD748" i="48"/>
  <c r="AX748" i="48"/>
  <c r="AY748" i="48"/>
  <c r="AV748" i="48"/>
  <c r="AU748" i="48"/>
  <c r="BK748" i="48"/>
  <c r="AZ748" i="48"/>
  <c r="AW748" i="48"/>
  <c r="BA748" i="48"/>
  <c r="BA1016" i="48"/>
  <c r="BK1016" i="48"/>
  <c r="AZ1016" i="48"/>
  <c r="AU1016" i="48"/>
  <c r="AY1016" i="48"/>
  <c r="AX1016" i="48"/>
  <c r="AV1016" i="48"/>
  <c r="AW1016" i="48"/>
  <c r="BD586" i="48"/>
  <c r="BJ586" i="48"/>
  <c r="BA1415" i="48"/>
  <c r="AX1415" i="48"/>
  <c r="AY1415" i="48"/>
  <c r="AZ1415" i="48"/>
  <c r="BK1415" i="48"/>
  <c r="AW1415" i="48"/>
  <c r="AU1415" i="48"/>
  <c r="AV1415" i="48"/>
  <c r="BJ1610" i="48"/>
  <c r="BD1610" i="48"/>
  <c r="BJ1578" i="48"/>
  <c r="BD1578" i="48"/>
  <c r="BJ2028" i="48"/>
  <c r="BD2028" i="48"/>
  <c r="BA1671" i="48"/>
  <c r="AZ1671" i="48"/>
  <c r="AU1671" i="48"/>
  <c r="AN1671" i="48" s="1"/>
  <c r="BK1671" i="48"/>
  <c r="AY1671" i="48"/>
  <c r="AX1671" i="48"/>
  <c r="AV1671" i="48"/>
  <c r="AW1671" i="48"/>
  <c r="BD1541" i="48"/>
  <c r="BJ1541" i="48"/>
  <c r="BA1652" i="48"/>
  <c r="AY1652" i="48"/>
  <c r="AX1652" i="48"/>
  <c r="BK1652" i="48"/>
  <c r="AU1652" i="48"/>
  <c r="AP1652" i="48" s="1"/>
  <c r="AV1652" i="48"/>
  <c r="AZ1652" i="48"/>
  <c r="AW1652" i="48"/>
  <c r="AX1364" i="48"/>
  <c r="AY1364" i="48"/>
  <c r="AU1364" i="48"/>
  <c r="BK1364" i="48"/>
  <c r="AZ1364" i="48"/>
  <c r="AW1364" i="48"/>
  <c r="BA1364" i="48"/>
  <c r="AV1364" i="48"/>
  <c r="BJ791" i="48"/>
  <c r="BD791" i="48"/>
  <c r="BD1956" i="48"/>
  <c r="BJ1956" i="48"/>
  <c r="AX2055" i="48"/>
  <c r="BK2055" i="48"/>
  <c r="AY2055" i="48"/>
  <c r="AU2055" i="48"/>
  <c r="AZ2055" i="48"/>
  <c r="BA2055" i="48"/>
  <c r="AV2055" i="48"/>
  <c r="AW2055" i="48"/>
  <c r="BJ1714" i="48"/>
  <c r="BD1714" i="48"/>
  <c r="BA1365" i="48"/>
  <c r="AX1365" i="48"/>
  <c r="AV1365" i="48"/>
  <c r="AZ1365" i="48"/>
  <c r="BK1365" i="48"/>
  <c r="AU1365" i="48"/>
  <c r="AO1365" i="48" s="1"/>
  <c r="AY1365" i="48"/>
  <c r="AW1365" i="48"/>
  <c r="BD1129" i="48"/>
  <c r="BJ1129" i="48"/>
  <c r="BD737" i="48"/>
  <c r="BJ737" i="48"/>
  <c r="BJ1268" i="48"/>
  <c r="BD1268" i="48"/>
  <c r="BA1647" i="48"/>
  <c r="AZ1647" i="48"/>
  <c r="AU1647" i="48"/>
  <c r="AO1647" i="48" s="1"/>
  <c r="BK1647" i="48"/>
  <c r="AY1647" i="48"/>
  <c r="AX1647" i="48"/>
  <c r="AV1647" i="48"/>
  <c r="AW1647" i="48"/>
  <c r="BJ1327" i="48"/>
  <c r="BD1327" i="48"/>
  <c r="BJ651" i="48"/>
  <c r="BD651" i="48"/>
  <c r="BA1711" i="48"/>
  <c r="AX1711" i="48"/>
  <c r="BK1711" i="48"/>
  <c r="AU1711" i="48"/>
  <c r="AL1711" i="48" s="1"/>
  <c r="AY1711" i="48"/>
  <c r="AV1711" i="48"/>
  <c r="AZ1711" i="48"/>
  <c r="AW1711" i="48"/>
  <c r="BD1834" i="48"/>
  <c r="BJ1834" i="48"/>
  <c r="BA1682" i="48"/>
  <c r="BK1682" i="48"/>
  <c r="AZ1682" i="48"/>
  <c r="AU1682" i="48"/>
  <c r="AO1682" i="48" s="1"/>
  <c r="AY1682" i="48"/>
  <c r="AX1682" i="48"/>
  <c r="AV1682" i="48"/>
  <c r="AW1682" i="48"/>
  <c r="BJ1266" i="48"/>
  <c r="BD1266" i="48"/>
  <c r="BJ1458" i="48"/>
  <c r="BD1458" i="48"/>
  <c r="BA1926" i="48"/>
  <c r="AY1926" i="48"/>
  <c r="BK1926" i="48"/>
  <c r="AX1926" i="48"/>
  <c r="AU1926" i="48"/>
  <c r="AV1926" i="48"/>
  <c r="AW1926" i="48"/>
  <c r="AZ1926" i="48"/>
  <c r="BJ695" i="48"/>
  <c r="BD695" i="48"/>
  <c r="BJ1513" i="48"/>
  <c r="BD1513" i="48"/>
  <c r="BJ1607" i="48"/>
  <c r="BD1607" i="48"/>
  <c r="BA1032" i="48"/>
  <c r="AY1032" i="48"/>
  <c r="AX1032" i="48"/>
  <c r="AV1032" i="48"/>
  <c r="BK1032" i="48"/>
  <c r="AZ1032" i="48"/>
  <c r="AU1032" i="48"/>
  <c r="AW1032" i="48"/>
  <c r="BA2025" i="48"/>
  <c r="AZ2025" i="48"/>
  <c r="AU2025" i="48"/>
  <c r="AL2025" i="48" s="1"/>
  <c r="AY2025" i="48"/>
  <c r="AX2025" i="48"/>
  <c r="AV2025" i="48"/>
  <c r="BK2025" i="48"/>
  <c r="AW2025" i="48"/>
  <c r="BA906" i="48"/>
  <c r="AW906" i="48"/>
  <c r="AY906" i="48"/>
  <c r="AZ906" i="48"/>
  <c r="AU906" i="48"/>
  <c r="AK906" i="48" s="1"/>
  <c r="AV906" i="48"/>
  <c r="AX906" i="48"/>
  <c r="BK906" i="48"/>
  <c r="BA2034" i="48"/>
  <c r="AY2034" i="48"/>
  <c r="BK2034" i="48"/>
  <c r="AX2034" i="48"/>
  <c r="AU2034" i="48"/>
  <c r="AP2034" i="48" s="1"/>
  <c r="AV2034" i="48"/>
  <c r="AZ2034" i="48"/>
  <c r="AW2034" i="48"/>
  <c r="BA564" i="48"/>
  <c r="AY564" i="48"/>
  <c r="AX564" i="48"/>
  <c r="BK564" i="48"/>
  <c r="AU564" i="48"/>
  <c r="AK564" i="48" s="1"/>
  <c r="AV564" i="48"/>
  <c r="AZ564" i="48"/>
  <c r="AW564" i="48"/>
  <c r="BJ1437" i="48"/>
  <c r="BD1437" i="48"/>
  <c r="BJ1477" i="48"/>
  <c r="BD1477" i="48"/>
  <c r="BJ1171" i="48"/>
  <c r="BD1171" i="48"/>
  <c r="BJ972" i="48"/>
  <c r="BD972" i="48"/>
  <c r="BJ1636" i="48"/>
  <c r="BD1636" i="48"/>
  <c r="BA1406" i="48"/>
  <c r="AY1406" i="48"/>
  <c r="AX1406" i="48"/>
  <c r="BK1406" i="48"/>
  <c r="AU1406" i="48"/>
  <c r="AV1406" i="48"/>
  <c r="AW1406" i="48"/>
  <c r="AZ1406" i="48"/>
  <c r="BD1377" i="48"/>
  <c r="BJ1377" i="48"/>
  <c r="BA1739" i="48"/>
  <c r="BK1739" i="48"/>
  <c r="AU1739" i="48"/>
  <c r="AY1739" i="48"/>
  <c r="AX1739" i="48"/>
  <c r="AW1739" i="48"/>
  <c r="AV1739" i="48"/>
  <c r="AZ1739" i="48"/>
  <c r="AX846" i="48"/>
  <c r="AW846" i="48"/>
  <c r="AY846" i="48"/>
  <c r="AZ846" i="48"/>
  <c r="AU846" i="48"/>
  <c r="AV846" i="48"/>
  <c r="BA846" i="48"/>
  <c r="BK846" i="48"/>
  <c r="AX616" i="48"/>
  <c r="AV616" i="48"/>
  <c r="AU616" i="48"/>
  <c r="AZ616" i="48"/>
  <c r="BK616" i="48"/>
  <c r="AY616" i="48"/>
  <c r="BA616" i="48"/>
  <c r="AW616" i="48"/>
  <c r="BJ920" i="48"/>
  <c r="BD920" i="48"/>
  <c r="BJ1873" i="48"/>
  <c r="BD1873" i="48"/>
  <c r="BJ1783" i="48"/>
  <c r="BD1783" i="48"/>
  <c r="BD1756" i="48"/>
  <c r="BJ1756" i="48"/>
  <c r="AZ2022" i="48"/>
  <c r="AV2022" i="48"/>
  <c r="BA2022" i="48"/>
  <c r="AU2022" i="48"/>
  <c r="AP2022" i="48" s="1"/>
  <c r="BK2022" i="48"/>
  <c r="AY2022" i="48"/>
  <c r="AX2022" i="48"/>
  <c r="AW2022" i="48"/>
  <c r="BD560" i="48"/>
  <c r="BJ560" i="48"/>
  <c r="BD1459" i="48"/>
  <c r="BJ1459" i="48"/>
  <c r="BD1796" i="48"/>
  <c r="BJ1796" i="48"/>
  <c r="BJ852" i="48"/>
  <c r="BD852" i="48"/>
  <c r="AW607" i="48"/>
  <c r="AV607" i="48"/>
  <c r="BA607" i="48"/>
  <c r="AY607" i="48"/>
  <c r="AU607" i="48"/>
  <c r="AO607" i="48" s="1"/>
  <c r="AX607" i="48"/>
  <c r="BK607" i="48"/>
  <c r="AZ607" i="48"/>
  <c r="AX872" i="48"/>
  <c r="AU872" i="48"/>
  <c r="AZ872" i="48"/>
  <c r="BK872" i="48"/>
  <c r="AY872" i="48"/>
  <c r="AV872" i="48"/>
  <c r="AW872" i="48"/>
  <c r="BA872" i="48"/>
  <c r="BD818" i="48"/>
  <c r="BJ818" i="48"/>
  <c r="BA1272" i="48"/>
  <c r="AY1272" i="48"/>
  <c r="AX1272" i="48"/>
  <c r="BK1272" i="48"/>
  <c r="AU1272" i="48"/>
  <c r="AM1272" i="48" s="1"/>
  <c r="AW1272" i="48"/>
  <c r="AV1272" i="48"/>
  <c r="AZ1272" i="48"/>
  <c r="BD1973" i="48"/>
  <c r="BJ1973" i="48"/>
  <c r="AX1360" i="48"/>
  <c r="AU1360" i="48"/>
  <c r="BK1360" i="48"/>
  <c r="AY1360" i="48"/>
  <c r="AZ1360" i="48"/>
  <c r="AW1360" i="48"/>
  <c r="BA1360" i="48"/>
  <c r="AV1360" i="48"/>
  <c r="BJ1340" i="48"/>
  <c r="BD1340" i="48"/>
  <c r="BA1923" i="48"/>
  <c r="AW1923" i="48"/>
  <c r="AZ1923" i="48"/>
  <c r="AU1923" i="48"/>
  <c r="AV1923" i="48"/>
  <c r="AX1923" i="48"/>
  <c r="BK1923" i="48"/>
  <c r="AY1923" i="48"/>
  <c r="BJ1378" i="48"/>
  <c r="BD1378" i="48"/>
  <c r="BJ747" i="48"/>
  <c r="BD747" i="48"/>
  <c r="BJ1287" i="48"/>
  <c r="BD1287" i="48"/>
  <c r="BA1287" i="48"/>
  <c r="AX1287" i="48"/>
  <c r="AV1287" i="48"/>
  <c r="AZ1287" i="48"/>
  <c r="AU1287" i="48"/>
  <c r="AO1287" i="48" s="1"/>
  <c r="BK1287" i="48"/>
  <c r="AY1287" i="48"/>
  <c r="AW1287" i="48"/>
  <c r="BD1898" i="48"/>
  <c r="BJ1898" i="48"/>
  <c r="AW565" i="48"/>
  <c r="BA565" i="48"/>
  <c r="BK565" i="48"/>
  <c r="AZ565" i="48"/>
  <c r="AY565" i="48"/>
  <c r="AV565" i="48"/>
  <c r="AU565" i="48"/>
  <c r="AP565" i="48" s="1"/>
  <c r="AX565" i="48"/>
  <c r="BA1524" i="48"/>
  <c r="AY1524" i="48"/>
  <c r="AX1524" i="48"/>
  <c r="BK1524" i="48"/>
  <c r="AU1524" i="48"/>
  <c r="AV1524" i="48"/>
  <c r="AZ1524" i="48"/>
  <c r="AW1524" i="48"/>
  <c r="AW914" i="48"/>
  <c r="BA914" i="48"/>
  <c r="BK914" i="48"/>
  <c r="AY914" i="48"/>
  <c r="AZ914" i="48"/>
  <c r="AU914" i="48"/>
  <c r="AV914" i="48"/>
  <c r="AX914" i="48"/>
  <c r="BA1048" i="48"/>
  <c r="AX1048" i="48"/>
  <c r="AV1048" i="48"/>
  <c r="BK1048" i="48"/>
  <c r="AZ1048" i="48"/>
  <c r="AU1048" i="48"/>
  <c r="AY1048" i="48"/>
  <c r="AW1048" i="48"/>
  <c r="BJ708" i="48"/>
  <c r="BD708" i="48"/>
  <c r="BK975" i="48"/>
  <c r="AZ975" i="48"/>
  <c r="AV975" i="48"/>
  <c r="BA975" i="48"/>
  <c r="AU975" i="48"/>
  <c r="AM975" i="48" s="1"/>
  <c r="AY975" i="48"/>
  <c r="AX975" i="48"/>
  <c r="AW975" i="48"/>
  <c r="BD1993" i="48"/>
  <c r="BJ1993" i="48"/>
  <c r="BJ1676" i="48"/>
  <c r="BD1676" i="48"/>
  <c r="AX806" i="48"/>
  <c r="AW806" i="48"/>
  <c r="AZ806" i="48"/>
  <c r="AU806" i="48"/>
  <c r="AV806" i="48"/>
  <c r="BA806" i="48"/>
  <c r="BK806" i="48"/>
  <c r="AY806" i="48"/>
  <c r="BA573" i="48"/>
  <c r="AV573" i="48"/>
  <c r="AZ573" i="48"/>
  <c r="AU573" i="48"/>
  <c r="BK573" i="48"/>
  <c r="AY573" i="48"/>
  <c r="AX573" i="48"/>
  <c r="AW573" i="48"/>
  <c r="BJ563" i="48"/>
  <c r="BD563" i="48"/>
  <c r="BJ1531" i="48"/>
  <c r="BD1531" i="48"/>
  <c r="AX1531" i="48"/>
  <c r="AY1531" i="48"/>
  <c r="AV1531" i="48"/>
  <c r="AU1531" i="48"/>
  <c r="BK1531" i="48"/>
  <c r="AZ1531" i="48"/>
  <c r="AW1531" i="48"/>
  <c r="BA1531" i="48"/>
  <c r="BD1150" i="48"/>
  <c r="BJ1150" i="48"/>
  <c r="AW138" i="48"/>
  <c r="AV138" i="48"/>
  <c r="AY138" i="48"/>
  <c r="AU138" i="48"/>
  <c r="AX138" i="48"/>
  <c r="BK138" i="48"/>
  <c r="AZ138" i="48"/>
  <c r="AZ235" i="48"/>
  <c r="AU235" i="48"/>
  <c r="BK235" i="48"/>
  <c r="AY235" i="48"/>
  <c r="AX235" i="48"/>
  <c r="AV235" i="48"/>
  <c r="AW235" i="48"/>
  <c r="BA430" i="48"/>
  <c r="AW430" i="48"/>
  <c r="AV430" i="48"/>
  <c r="BK430" i="48"/>
  <c r="AZ430" i="48"/>
  <c r="AY430" i="48"/>
  <c r="AU430" i="48"/>
  <c r="AX430" i="48"/>
  <c r="BJ435" i="48"/>
  <c r="BD435" i="48"/>
  <c r="BD473" i="48"/>
  <c r="BJ473" i="48"/>
  <c r="BD332" i="48"/>
  <c r="BJ332" i="48"/>
  <c r="AX325" i="48"/>
  <c r="BK325" i="48"/>
  <c r="AY325" i="48"/>
  <c r="AW325" i="48"/>
  <c r="AZ325" i="48"/>
  <c r="AU325" i="48"/>
  <c r="AV325" i="48"/>
  <c r="BA325" i="48"/>
  <c r="BD457" i="48"/>
  <c r="BJ457" i="48"/>
  <c r="BA537" i="48"/>
  <c r="AW537" i="48"/>
  <c r="BK537" i="48"/>
  <c r="AY537" i="48"/>
  <c r="AZ537" i="48"/>
  <c r="AU537" i="48"/>
  <c r="AP537" i="48" s="1"/>
  <c r="AV537" i="48"/>
  <c r="AX537" i="48"/>
  <c r="AV247" i="48"/>
  <c r="AZ247" i="48"/>
  <c r="AU247" i="48"/>
  <c r="BK247" i="48"/>
  <c r="AY247" i="48"/>
  <c r="AX247" i="48"/>
  <c r="AW247" i="48"/>
  <c r="AZ87" i="48"/>
  <c r="AU87" i="48"/>
  <c r="AO87" i="48" s="1"/>
  <c r="AP87" i="48" s="1"/>
  <c r="BK87" i="48"/>
  <c r="AY87" i="48"/>
  <c r="AX87" i="48"/>
  <c r="AV87" i="48"/>
  <c r="AW87" i="48"/>
  <c r="BD460" i="48"/>
  <c r="BJ460" i="48"/>
  <c r="AX205" i="48"/>
  <c r="AW205" i="48"/>
  <c r="BD205" i="48" s="1"/>
  <c r="AZ205" i="48"/>
  <c r="BJ205" i="48" s="1"/>
  <c r="AU205" i="48"/>
  <c r="AV205" i="48"/>
  <c r="BK205" i="48"/>
  <c r="AY205" i="48"/>
  <c r="AX85" i="48"/>
  <c r="BK85" i="48"/>
  <c r="AW85" i="48"/>
  <c r="BD85" i="48" s="1"/>
  <c r="AY85" i="48"/>
  <c r="AZ85" i="48"/>
  <c r="BJ85" i="48" s="1"/>
  <c r="AU85" i="48"/>
  <c r="AO85" i="48" s="1"/>
  <c r="AP85" i="48" s="1"/>
  <c r="AV85" i="48"/>
  <c r="BA440" i="48"/>
  <c r="AY440" i="48"/>
  <c r="AX440" i="48"/>
  <c r="BK440" i="48"/>
  <c r="AU440" i="48"/>
  <c r="AV440" i="48"/>
  <c r="AZ440" i="48"/>
  <c r="AW440" i="48"/>
  <c r="BJ95" i="48"/>
  <c r="BD95" i="48"/>
  <c r="BA552" i="48"/>
  <c r="AY552" i="48"/>
  <c r="AX552" i="48"/>
  <c r="BK552" i="48"/>
  <c r="AU552" i="48"/>
  <c r="AV552" i="48"/>
  <c r="AZ552" i="48"/>
  <c r="AW552" i="48"/>
  <c r="BJ151" i="48"/>
  <c r="BD151" i="48"/>
  <c r="AW458" i="48"/>
  <c r="AV458" i="48"/>
  <c r="AU458" i="48"/>
  <c r="AP458" i="48" s="1"/>
  <c r="BA458" i="48"/>
  <c r="AX458" i="48"/>
  <c r="BK458" i="48"/>
  <c r="AZ458" i="48"/>
  <c r="AY458" i="48"/>
  <c r="AX263" i="48"/>
  <c r="AV263" i="48"/>
  <c r="AZ263" i="48"/>
  <c r="BJ263" i="48" s="1"/>
  <c r="AU263" i="48"/>
  <c r="BK263" i="48"/>
  <c r="AY263" i="48"/>
  <c r="AW263" i="48"/>
  <c r="BD263" i="48" s="1"/>
  <c r="BD96" i="48"/>
  <c r="BJ96" i="48"/>
  <c r="AW70" i="48"/>
  <c r="AX70" i="48"/>
  <c r="AZ70" i="48"/>
  <c r="BK70" i="48"/>
  <c r="AY70" i="48"/>
  <c r="AU70" i="48"/>
  <c r="AO70" i="48" s="1"/>
  <c r="AV70" i="48"/>
  <c r="AX185" i="48"/>
  <c r="AW185" i="48"/>
  <c r="BD185" i="48" s="1"/>
  <c r="AZ185" i="48"/>
  <c r="BJ185" i="48" s="1"/>
  <c r="AU185" i="48"/>
  <c r="AV185" i="48"/>
  <c r="BK185" i="48"/>
  <c r="AY185" i="48"/>
  <c r="AX232" i="48"/>
  <c r="BK232" i="48"/>
  <c r="AU232" i="48"/>
  <c r="AY232" i="48"/>
  <c r="AV232" i="48"/>
  <c r="AZ232" i="48"/>
  <c r="BJ232" i="48" s="1"/>
  <c r="AW232" i="48"/>
  <c r="BD232" i="48" s="1"/>
  <c r="AY188" i="48"/>
  <c r="AX188" i="48"/>
  <c r="BK188" i="48"/>
  <c r="AU188" i="48"/>
  <c r="AV188" i="48"/>
  <c r="AZ188" i="48"/>
  <c r="BJ188" i="48" s="1"/>
  <c r="AW188" i="48"/>
  <c r="BD188" i="48" s="1"/>
  <c r="BA525" i="48"/>
  <c r="BK525" i="48"/>
  <c r="AY525" i="48"/>
  <c r="AZ525" i="48"/>
  <c r="AU525" i="48"/>
  <c r="AV525" i="48"/>
  <c r="AX525" i="48"/>
  <c r="AW525" i="48"/>
  <c r="AY208" i="48"/>
  <c r="AX208" i="48"/>
  <c r="BK208" i="48"/>
  <c r="AU208" i="48"/>
  <c r="AZ208" i="48"/>
  <c r="AW208" i="48"/>
  <c r="AV208" i="48"/>
  <c r="BD212" i="48"/>
  <c r="BJ212" i="48"/>
  <c r="AX441" i="48"/>
  <c r="AW441" i="48"/>
  <c r="AY441" i="48"/>
  <c r="AZ441" i="48"/>
  <c r="AU441" i="48"/>
  <c r="AV441" i="48"/>
  <c r="BA441" i="48"/>
  <c r="BK441" i="48"/>
  <c r="BA354" i="48"/>
  <c r="BK354" i="48"/>
  <c r="AZ354" i="48"/>
  <c r="AY354" i="48"/>
  <c r="AV354" i="48"/>
  <c r="AW354" i="48"/>
  <c r="AU354" i="48"/>
  <c r="AX354" i="48"/>
  <c r="BJ82" i="48"/>
  <c r="BD82" i="48"/>
  <c r="AW485" i="48"/>
  <c r="AX485" i="48"/>
  <c r="AZ485" i="48"/>
  <c r="AU485" i="48"/>
  <c r="AV485" i="48"/>
  <c r="BA485" i="48"/>
  <c r="BK485" i="48"/>
  <c r="AY485" i="48"/>
  <c r="BK215" i="48"/>
  <c r="AY215" i="48"/>
  <c r="AX215" i="48"/>
  <c r="AV215" i="48"/>
  <c r="AZ215" i="48"/>
  <c r="AU215" i="48"/>
  <c r="AW215" i="48"/>
  <c r="BD541" i="48"/>
  <c r="BJ541" i="48"/>
  <c r="BK276" i="48"/>
  <c r="AU276" i="48"/>
  <c r="AY276" i="48"/>
  <c r="AX276" i="48"/>
  <c r="AW276" i="48"/>
  <c r="BD276" i="48" s="1"/>
  <c r="AV276" i="48"/>
  <c r="AZ276" i="48"/>
  <c r="BJ276" i="48" s="1"/>
  <c r="BJ386" i="48"/>
  <c r="BD386" i="48"/>
  <c r="AW158" i="48"/>
  <c r="BD158" i="48" s="1"/>
  <c r="AV158" i="48"/>
  <c r="AX158" i="48"/>
  <c r="BK158" i="48"/>
  <c r="AZ158" i="48"/>
  <c r="BJ158" i="48" s="1"/>
  <c r="AY158" i="48"/>
  <c r="AU158" i="48"/>
  <c r="AZ155" i="48"/>
  <c r="AU155" i="48"/>
  <c r="BK155" i="48"/>
  <c r="AY155" i="48"/>
  <c r="AX155" i="48"/>
  <c r="AV155" i="48"/>
  <c r="AW155" i="48"/>
  <c r="BD308" i="48"/>
  <c r="BJ308" i="48"/>
  <c r="AW118" i="48"/>
  <c r="AX118" i="48"/>
  <c r="AV118" i="48"/>
  <c r="BK118" i="48"/>
  <c r="AZ118" i="48"/>
  <c r="AY118" i="48"/>
  <c r="AU118" i="48"/>
  <c r="AW58" i="48"/>
  <c r="BD58" i="48" s="1"/>
  <c r="AV58" i="48"/>
  <c r="BK58" i="48"/>
  <c r="AZ58" i="48"/>
  <c r="BJ58" i="48" s="1"/>
  <c r="AY58" i="48"/>
  <c r="AU58" i="48"/>
  <c r="AX58" i="48"/>
  <c r="BD333" i="48"/>
  <c r="BJ333" i="48"/>
  <c r="AX221" i="48"/>
  <c r="AW221" i="48"/>
  <c r="AY221" i="48"/>
  <c r="AZ221" i="48"/>
  <c r="AU221" i="48"/>
  <c r="AV221" i="48"/>
  <c r="BK221" i="48"/>
  <c r="BD381" i="48"/>
  <c r="BJ381" i="48"/>
  <c r="AW298" i="48"/>
  <c r="AV298" i="48"/>
  <c r="BK298" i="48"/>
  <c r="AZ298" i="48"/>
  <c r="AY298" i="48"/>
  <c r="AU298" i="48"/>
  <c r="AX298" i="48"/>
  <c r="BA511" i="48"/>
  <c r="AY511" i="48"/>
  <c r="AX511" i="48"/>
  <c r="AV511" i="48"/>
  <c r="BK511" i="48"/>
  <c r="AZ511" i="48"/>
  <c r="AU511" i="48"/>
  <c r="AW511" i="48"/>
  <c r="AX274" i="48"/>
  <c r="BK274" i="48"/>
  <c r="AZ274" i="48"/>
  <c r="BJ274" i="48" s="1"/>
  <c r="AY274" i="48"/>
  <c r="AV274" i="48"/>
  <c r="AW274" i="48"/>
  <c r="BD274" i="48" s="1"/>
  <c r="AU274" i="48"/>
  <c r="BJ270" i="48"/>
  <c r="BD270" i="48"/>
  <c r="BA467" i="48"/>
  <c r="AX467" i="48"/>
  <c r="AV467" i="48"/>
  <c r="BK467" i="48"/>
  <c r="AZ467" i="48"/>
  <c r="AU467" i="48"/>
  <c r="AY467" i="48"/>
  <c r="AW467" i="48"/>
  <c r="BJ327" i="48"/>
  <c r="BD327" i="48"/>
  <c r="AW474" i="48"/>
  <c r="AV474" i="48"/>
  <c r="AX474" i="48"/>
  <c r="BK474" i="48"/>
  <c r="AZ474" i="48"/>
  <c r="AY474" i="48"/>
  <c r="BA474" i="48"/>
  <c r="AU474" i="48"/>
  <c r="BD361" i="48"/>
  <c r="BJ361" i="48"/>
  <c r="AX429" i="48"/>
  <c r="AW429" i="48"/>
  <c r="BK429" i="48"/>
  <c r="AY429" i="48"/>
  <c r="AZ429" i="48"/>
  <c r="AU429" i="48"/>
  <c r="AV429" i="48"/>
  <c r="BA429" i="48"/>
  <c r="BA432" i="48"/>
  <c r="AY432" i="48"/>
  <c r="AX432" i="48"/>
  <c r="BK432" i="48"/>
  <c r="AU432" i="48"/>
  <c r="AZ432" i="48"/>
  <c r="AW432" i="48"/>
  <c r="AV432" i="48"/>
  <c r="BA468" i="48"/>
  <c r="AX468" i="48"/>
  <c r="BK468" i="48"/>
  <c r="AU468" i="48"/>
  <c r="AY468" i="48"/>
  <c r="AW468" i="48"/>
  <c r="AV468" i="48"/>
  <c r="AZ468" i="48"/>
  <c r="BD517" i="48"/>
  <c r="BJ517" i="48"/>
  <c r="BD353" i="48"/>
  <c r="BJ353" i="48"/>
  <c r="BA376" i="48"/>
  <c r="AY376" i="48"/>
  <c r="AX376" i="48"/>
  <c r="BK376" i="48"/>
  <c r="AU376" i="48"/>
  <c r="AV376" i="48"/>
  <c r="AZ376" i="48"/>
  <c r="AW376" i="48"/>
  <c r="BJ218" i="48"/>
  <c r="BD218" i="48"/>
  <c r="BD104" i="48"/>
  <c r="BJ104" i="48"/>
  <c r="AW401" i="48"/>
  <c r="AZ401" i="48"/>
  <c r="AU401" i="48"/>
  <c r="AK401" i="48" s="1"/>
  <c r="AV401" i="48"/>
  <c r="BA401" i="48"/>
  <c r="BK401" i="48"/>
  <c r="AX401" i="48"/>
  <c r="AY401" i="48"/>
  <c r="BJ126" i="48"/>
  <c r="BD126" i="48"/>
  <c r="BJ358" i="48"/>
  <c r="BD358" i="48"/>
  <c r="AW358" i="48"/>
  <c r="AX358" i="48"/>
  <c r="BK358" i="48"/>
  <c r="AZ358" i="48"/>
  <c r="AY358" i="48"/>
  <c r="AV358" i="48"/>
  <c r="AU358" i="48"/>
  <c r="BA358" i="48"/>
  <c r="AW206" i="48"/>
  <c r="AV206" i="48"/>
  <c r="AU206" i="48"/>
  <c r="AX206" i="48"/>
  <c r="BK206" i="48"/>
  <c r="AZ206" i="48"/>
  <c r="AY206" i="48"/>
  <c r="AW433" i="48"/>
  <c r="AZ433" i="48"/>
  <c r="AU433" i="48"/>
  <c r="AV433" i="48"/>
  <c r="BK433" i="48"/>
  <c r="AX433" i="48"/>
  <c r="BA433" i="48"/>
  <c r="AY433" i="48"/>
  <c r="BA355" i="48"/>
  <c r="AX355" i="48"/>
  <c r="AV355" i="48"/>
  <c r="BK355" i="48"/>
  <c r="AZ355" i="48"/>
  <c r="AU355" i="48"/>
  <c r="AY355" i="48"/>
  <c r="AW355" i="48"/>
  <c r="AY144" i="48"/>
  <c r="AX144" i="48"/>
  <c r="BK144" i="48"/>
  <c r="AU144" i="48"/>
  <c r="AZ144" i="48"/>
  <c r="BJ144" i="48" s="1"/>
  <c r="AW144" i="48"/>
  <c r="BD144" i="48" s="1"/>
  <c r="AV144" i="48"/>
  <c r="BD72" i="48"/>
  <c r="BJ72" i="48"/>
  <c r="BK550" i="48"/>
  <c r="AZ550" i="48"/>
  <c r="AV550" i="48"/>
  <c r="AU550" i="48"/>
  <c r="AW550" i="48"/>
  <c r="AY550" i="48"/>
  <c r="BA550" i="48"/>
  <c r="AX550" i="48"/>
  <c r="BD344" i="48"/>
  <c r="BJ344" i="48"/>
  <c r="BD393" i="48"/>
  <c r="BJ393" i="48"/>
  <c r="BA323" i="48"/>
  <c r="AX323" i="48"/>
  <c r="AV323" i="48"/>
  <c r="BK323" i="48"/>
  <c r="AZ323" i="48"/>
  <c r="AU323" i="48"/>
  <c r="AY323" i="48"/>
  <c r="AW323" i="48"/>
  <c r="AZ75" i="48"/>
  <c r="AU75" i="48"/>
  <c r="BK75" i="48"/>
  <c r="AY75" i="48"/>
  <c r="AX75" i="48"/>
  <c r="AV75" i="48"/>
  <c r="AW75" i="48"/>
  <c r="BJ267" i="48"/>
  <c r="BD267" i="48"/>
  <c r="AX120" i="48"/>
  <c r="BK120" i="48"/>
  <c r="AU120" i="48"/>
  <c r="AY120" i="48"/>
  <c r="AV120" i="48"/>
  <c r="AZ120" i="48"/>
  <c r="BJ120" i="48" s="1"/>
  <c r="AW120" i="48"/>
  <c r="BD120" i="48" s="1"/>
  <c r="BD105" i="48"/>
  <c r="BJ105" i="48"/>
  <c r="BJ131" i="48"/>
  <c r="BD131" i="48"/>
  <c r="BA379" i="48"/>
  <c r="BK379" i="48"/>
  <c r="AY379" i="48"/>
  <c r="AX379" i="48"/>
  <c r="AV379" i="48"/>
  <c r="AZ379" i="48"/>
  <c r="AU379" i="48"/>
  <c r="AW379" i="48"/>
  <c r="AX373" i="48"/>
  <c r="AZ373" i="48"/>
  <c r="AU373" i="48"/>
  <c r="AV373" i="48"/>
  <c r="BA373" i="48"/>
  <c r="BK373" i="48"/>
  <c r="AY373" i="48"/>
  <c r="AW373" i="48"/>
  <c r="BD169" i="48"/>
  <c r="BJ169" i="48"/>
  <c r="BA434" i="48"/>
  <c r="AX434" i="48"/>
  <c r="BK434" i="48"/>
  <c r="AZ434" i="48"/>
  <c r="AV434" i="48"/>
  <c r="AY434" i="48"/>
  <c r="AU434" i="48"/>
  <c r="AW434" i="48"/>
  <c r="BD228" i="48"/>
  <c r="BJ228" i="48"/>
  <c r="AW266" i="48"/>
  <c r="AV266" i="48"/>
  <c r="AX266" i="48"/>
  <c r="BK266" i="48"/>
  <c r="AZ266" i="48"/>
  <c r="AY266" i="48"/>
  <c r="AU266" i="48"/>
  <c r="BJ1857" i="48"/>
  <c r="BD1857" i="48"/>
  <c r="AX694" i="48"/>
  <c r="AW694" i="48"/>
  <c r="BK694" i="48"/>
  <c r="AY694" i="48"/>
  <c r="AZ694" i="48"/>
  <c r="AU694" i="48"/>
  <c r="AK694" i="48" s="1"/>
  <c r="AV694" i="48"/>
  <c r="BA694" i="48"/>
  <c r="BJ924" i="48"/>
  <c r="BD924" i="48"/>
  <c r="BA1949" i="48"/>
  <c r="AW1949" i="48"/>
  <c r="AV1949" i="48"/>
  <c r="AX1949" i="48"/>
  <c r="BK1949" i="48"/>
  <c r="AY1949" i="48"/>
  <c r="AZ1949" i="48"/>
  <c r="AU1949" i="48"/>
  <c r="AP1949" i="48" s="1"/>
  <c r="BD1820" i="48"/>
  <c r="BJ1820" i="48"/>
  <c r="BJ1464" i="48"/>
  <c r="BD1464" i="48"/>
  <c r="BJ1954" i="48"/>
  <c r="BD1954" i="48"/>
  <c r="BA1954" i="48"/>
  <c r="AX1954" i="48"/>
  <c r="AV1954" i="48"/>
  <c r="AU1954" i="48"/>
  <c r="AO1954" i="48" s="1"/>
  <c r="BK1954" i="48"/>
  <c r="AZ1954" i="48"/>
  <c r="AY1954" i="48"/>
  <c r="AW1954" i="48"/>
  <c r="BK971" i="48"/>
  <c r="AZ971" i="48"/>
  <c r="AV971" i="48"/>
  <c r="BA971" i="48"/>
  <c r="AX971" i="48"/>
  <c r="AU971" i="48"/>
  <c r="AY971" i="48"/>
  <c r="AW971" i="48"/>
  <c r="BJ843" i="48"/>
  <c r="BD843" i="48"/>
  <c r="BJ1339" i="48"/>
  <c r="BD1339" i="48"/>
  <c r="BJ1071" i="48"/>
  <c r="BD1071" i="48"/>
  <c r="BD1969" i="48"/>
  <c r="BJ1969" i="48"/>
  <c r="BA1092" i="48"/>
  <c r="BK1092" i="48"/>
  <c r="AZ1092" i="48"/>
  <c r="AU1092" i="48"/>
  <c r="AK1092" i="48" s="1"/>
  <c r="AY1092" i="48"/>
  <c r="AX1092" i="48"/>
  <c r="AV1092" i="48"/>
  <c r="AW1092" i="48"/>
  <c r="AV799" i="48"/>
  <c r="BA799" i="48"/>
  <c r="AW799" i="48"/>
  <c r="AX799" i="48"/>
  <c r="BK799" i="48"/>
  <c r="AZ799" i="48"/>
  <c r="AY799" i="48"/>
  <c r="AU799" i="48"/>
  <c r="BJ959" i="48"/>
  <c r="BD959" i="48"/>
  <c r="BD854" i="48"/>
  <c r="BJ854" i="48"/>
  <c r="BA1038" i="48"/>
  <c r="AW1038" i="48"/>
  <c r="AZ1038" i="48"/>
  <c r="AU1038" i="48"/>
  <c r="AV1038" i="48"/>
  <c r="AX1038" i="48"/>
  <c r="BK1038" i="48"/>
  <c r="AY1038" i="48"/>
  <c r="BJ811" i="48"/>
  <c r="BD811" i="48"/>
  <c r="BD758" i="48"/>
  <c r="BJ758" i="48"/>
  <c r="BJ1055" i="48"/>
  <c r="BD1055" i="48"/>
  <c r="BD873" i="48"/>
  <c r="BJ873" i="48"/>
  <c r="AX2007" i="48"/>
  <c r="AU2007" i="48"/>
  <c r="AP2007" i="48" s="1"/>
  <c r="AZ2007" i="48"/>
  <c r="BK2007" i="48"/>
  <c r="AY2007" i="48"/>
  <c r="AV2007" i="48"/>
  <c r="AW2007" i="48"/>
  <c r="BA2007" i="48"/>
  <c r="BJ728" i="48"/>
  <c r="BD728" i="48"/>
  <c r="BJ687" i="48"/>
  <c r="BD687" i="48"/>
  <c r="BD1970" i="48"/>
  <c r="BJ1970" i="48"/>
  <c r="BD709" i="48"/>
  <c r="BJ709" i="48"/>
  <c r="BA709" i="48"/>
  <c r="AX709" i="48"/>
  <c r="AV709" i="48"/>
  <c r="AZ709" i="48"/>
  <c r="AU709" i="48"/>
  <c r="BK709" i="48"/>
  <c r="AY709" i="48"/>
  <c r="AW709" i="48"/>
  <c r="BJ1554" i="48"/>
  <c r="BD1554" i="48"/>
  <c r="AW1554" i="48"/>
  <c r="BA1554" i="48"/>
  <c r="AX1554" i="48"/>
  <c r="BK1554" i="48"/>
  <c r="AZ1554" i="48"/>
  <c r="AY1554" i="48"/>
  <c r="AV1554" i="48"/>
  <c r="AU1554" i="48"/>
  <c r="BA1727" i="48"/>
  <c r="AY1727" i="48"/>
  <c r="AX1727" i="48"/>
  <c r="BK1727" i="48"/>
  <c r="AU1727" i="48"/>
  <c r="AM1727" i="48" s="1"/>
  <c r="AV1727" i="48"/>
  <c r="AZ1727" i="48"/>
  <c r="AW1727" i="48"/>
  <c r="BA1569" i="48"/>
  <c r="AX1569" i="48"/>
  <c r="AY1569" i="48"/>
  <c r="BK1569" i="48"/>
  <c r="AV1569" i="48"/>
  <c r="AZ1569" i="48"/>
  <c r="AW1569" i="48"/>
  <c r="AU1569" i="48"/>
  <c r="AL1569" i="48" s="1"/>
  <c r="BD713" i="48"/>
  <c r="BJ713" i="48"/>
  <c r="BA1283" i="48"/>
  <c r="BK1283" i="48"/>
  <c r="AY1283" i="48"/>
  <c r="AX1283" i="48"/>
  <c r="AV1283" i="48"/>
  <c r="AZ1283" i="48"/>
  <c r="AU1283" i="48"/>
  <c r="AO1283" i="48" s="1"/>
  <c r="AW1283" i="48"/>
  <c r="BJ723" i="48"/>
  <c r="BD723" i="48"/>
  <c r="AW723" i="48"/>
  <c r="BK723" i="48"/>
  <c r="AZ723" i="48"/>
  <c r="BA723" i="48"/>
  <c r="AV723" i="48"/>
  <c r="AY723" i="48"/>
  <c r="AU723" i="48"/>
  <c r="AX723" i="48"/>
  <c r="BA1345" i="48"/>
  <c r="AZ1345" i="48"/>
  <c r="AX1345" i="48"/>
  <c r="AV1345" i="48"/>
  <c r="BK1345" i="48"/>
  <c r="AU1345" i="48"/>
  <c r="AY1345" i="48"/>
  <c r="AW1345" i="48"/>
  <c r="BD794" i="48"/>
  <c r="BJ794" i="48"/>
  <c r="BA1407" i="48"/>
  <c r="AX1407" i="48"/>
  <c r="AY1407" i="48"/>
  <c r="AW1407" i="48"/>
  <c r="BK1407" i="48"/>
  <c r="AV1407" i="48"/>
  <c r="AZ1407" i="48"/>
  <c r="AU1407" i="48"/>
  <c r="AV1254" i="48"/>
  <c r="AX1254" i="48"/>
  <c r="BK1254" i="48"/>
  <c r="BA1254" i="48"/>
  <c r="AY1254" i="48"/>
  <c r="AW1254" i="48"/>
  <c r="AZ1254" i="48"/>
  <c r="AU1254" i="48"/>
  <c r="AN1254" i="48" s="1"/>
  <c r="BD1053" i="48"/>
  <c r="BJ1053" i="48"/>
  <c r="AX858" i="48"/>
  <c r="AZ858" i="48"/>
  <c r="AU858" i="48"/>
  <c r="AV858" i="48"/>
  <c r="BA858" i="48"/>
  <c r="BK858" i="48"/>
  <c r="AW858" i="48"/>
  <c r="AY858" i="48"/>
  <c r="BD770" i="48"/>
  <c r="BJ770" i="48"/>
  <c r="BJ1762" i="48"/>
  <c r="BD1762" i="48"/>
  <c r="AX884" i="48"/>
  <c r="AU884" i="48"/>
  <c r="AZ884" i="48"/>
  <c r="BK884" i="48"/>
  <c r="AY884" i="48"/>
  <c r="AV884" i="48"/>
  <c r="AW884" i="48"/>
  <c r="BA884" i="48"/>
  <c r="BA1694" i="48"/>
  <c r="BK1694" i="48"/>
  <c r="AY1694" i="48"/>
  <c r="AX1694" i="48"/>
  <c r="AV1694" i="48"/>
  <c r="AU1694" i="48"/>
  <c r="AZ1694" i="48"/>
  <c r="AW1694" i="48"/>
  <c r="BJ1709" i="48"/>
  <c r="BD1709" i="48"/>
  <c r="BD2039" i="48"/>
  <c r="BJ2039" i="48"/>
  <c r="BD870" i="48"/>
  <c r="BJ870" i="48"/>
  <c r="BJ1276" i="48"/>
  <c r="BD1276" i="48"/>
  <c r="BD813" i="48"/>
  <c r="BJ813" i="48"/>
  <c r="BA1574" i="48"/>
  <c r="AW1574" i="48"/>
  <c r="BK1574" i="48"/>
  <c r="AY1574" i="48"/>
  <c r="AZ1574" i="48"/>
  <c r="AU1574" i="48"/>
  <c r="AV1574" i="48"/>
  <c r="AX1574" i="48"/>
  <c r="AW1813" i="48"/>
  <c r="BA1813" i="48"/>
  <c r="BK1813" i="48"/>
  <c r="AY1813" i="48"/>
  <c r="AZ1813" i="48"/>
  <c r="AU1813" i="48"/>
  <c r="AN1813" i="48" s="1"/>
  <c r="AV1813" i="48"/>
  <c r="AX1813" i="48"/>
  <c r="BK1011" i="48"/>
  <c r="AZ1011" i="48"/>
  <c r="AV1011" i="48"/>
  <c r="BA1011" i="48"/>
  <c r="AY1011" i="48"/>
  <c r="AX1011" i="48"/>
  <c r="AW1011" i="48"/>
  <c r="AU1011" i="48"/>
  <c r="AL1011" i="48" s="1"/>
  <c r="AX868" i="48"/>
  <c r="AU868" i="48"/>
  <c r="AZ868" i="48"/>
  <c r="BK868" i="48"/>
  <c r="AY868" i="48"/>
  <c r="AV868" i="48"/>
  <c r="AW868" i="48"/>
  <c r="BA868" i="48"/>
  <c r="BD2043" i="48"/>
  <c r="BJ2043" i="48"/>
  <c r="BJ1182" i="48"/>
  <c r="BD1182" i="48"/>
  <c r="BJ916" i="48"/>
  <c r="BD916" i="48"/>
  <c r="BJ1396" i="48"/>
  <c r="BD1396" i="48"/>
  <c r="AW1396" i="48"/>
  <c r="AV1396" i="48"/>
  <c r="BK1396" i="48"/>
  <c r="AZ1396" i="48"/>
  <c r="AY1396" i="48"/>
  <c r="AU1396" i="48"/>
  <c r="AX1396" i="48"/>
  <c r="BA1396" i="48"/>
  <c r="BJ1885" i="48"/>
  <c r="BD1885" i="48"/>
  <c r="BD1776" i="48"/>
  <c r="BJ1776" i="48"/>
  <c r="AX1660" i="48"/>
  <c r="AY1660" i="48"/>
  <c r="AU1660" i="48"/>
  <c r="AO1660" i="48" s="1"/>
  <c r="BK1660" i="48"/>
  <c r="AV1660" i="48"/>
  <c r="AW1660" i="48"/>
  <c r="AZ1660" i="48"/>
  <c r="BA1660" i="48"/>
  <c r="BA1948" i="48"/>
  <c r="AX1948" i="48"/>
  <c r="BK1948" i="48"/>
  <c r="AW1948" i="48"/>
  <c r="AU1948" i="48"/>
  <c r="AV1948" i="48"/>
  <c r="AY1948" i="48"/>
  <c r="AZ1948" i="48"/>
  <c r="AX908" i="48"/>
  <c r="BK908" i="48"/>
  <c r="AZ908" i="48"/>
  <c r="AY908" i="48"/>
  <c r="AV908" i="48"/>
  <c r="AU908" i="48"/>
  <c r="AW908" i="48"/>
  <c r="BA908" i="48"/>
  <c r="AX640" i="48"/>
  <c r="AV640" i="48"/>
  <c r="AU640" i="48"/>
  <c r="AO640" i="48" s="1"/>
  <c r="AZ640" i="48"/>
  <c r="BK640" i="48"/>
  <c r="AY640" i="48"/>
  <c r="AW640" i="48"/>
  <c r="BA640" i="48"/>
  <c r="BJ1284" i="48"/>
  <c r="BD1284" i="48"/>
  <c r="BJ1372" i="48"/>
  <c r="BD1372" i="48"/>
  <c r="BJ571" i="48"/>
  <c r="BD571" i="48"/>
  <c r="AX1545" i="48"/>
  <c r="AW1545" i="48"/>
  <c r="AV1545" i="48"/>
  <c r="BA1545" i="48"/>
  <c r="BK1545" i="48"/>
  <c r="AY1545" i="48"/>
  <c r="AZ1545" i="48"/>
  <c r="AU1545" i="48"/>
  <c r="BA1686" i="48"/>
  <c r="AX1686" i="48"/>
  <c r="AV1686" i="48"/>
  <c r="BK1686" i="48"/>
  <c r="AU1686" i="48"/>
  <c r="AZ1686" i="48"/>
  <c r="AY1686" i="48"/>
  <c r="AW1686" i="48"/>
  <c r="BA1303" i="48"/>
  <c r="AZ1303" i="48"/>
  <c r="AU1303" i="48"/>
  <c r="BK1303" i="48"/>
  <c r="AY1303" i="48"/>
  <c r="AX1303" i="48"/>
  <c r="AV1303" i="48"/>
  <c r="AW1303" i="48"/>
  <c r="BD1985" i="48"/>
  <c r="BJ1985" i="48"/>
  <c r="BD2023" i="48"/>
  <c r="BJ2023" i="48"/>
  <c r="AW1744" i="48"/>
  <c r="BA1744" i="48"/>
  <c r="BK1744" i="48"/>
  <c r="AY1744" i="48"/>
  <c r="AZ1744" i="48"/>
  <c r="AU1744" i="48"/>
  <c r="AV1744" i="48"/>
  <c r="AX1744" i="48"/>
  <c r="BJ1868" i="48"/>
  <c r="BD1868" i="48"/>
  <c r="BA1323" i="48"/>
  <c r="AV1323" i="48"/>
  <c r="AZ1323" i="48"/>
  <c r="AU1323" i="48"/>
  <c r="BK1323" i="48"/>
  <c r="AY1323" i="48"/>
  <c r="AX1323" i="48"/>
  <c r="AW1323" i="48"/>
  <c r="AV1246" i="48"/>
  <c r="AX1246" i="48"/>
  <c r="BK1246" i="48"/>
  <c r="BA1246" i="48"/>
  <c r="AY1246" i="48"/>
  <c r="AW1246" i="48"/>
  <c r="AZ1246" i="48"/>
  <c r="AU1246" i="48"/>
  <c r="AK1246" i="48" s="1"/>
  <c r="BK1689" i="48"/>
  <c r="AZ1689" i="48"/>
  <c r="AV1689" i="48"/>
  <c r="AW1689" i="48"/>
  <c r="AX1689" i="48"/>
  <c r="AU1689" i="48"/>
  <c r="BA1689" i="48"/>
  <c r="AY1689" i="48"/>
  <c r="BA1699" i="48"/>
  <c r="AY1699" i="48"/>
  <c r="AX1699" i="48"/>
  <c r="AU1699" i="48"/>
  <c r="BK1699" i="48"/>
  <c r="AZ1699" i="48"/>
  <c r="AW1699" i="48"/>
  <c r="AV1699" i="48"/>
  <c r="BK1143" i="48"/>
  <c r="AZ1143" i="48"/>
  <c r="AV1143" i="48"/>
  <c r="BA1143" i="48"/>
  <c r="AU1143" i="48"/>
  <c r="AW1143" i="48"/>
  <c r="AX1143" i="48"/>
  <c r="AY1143" i="48"/>
  <c r="BA1880" i="48"/>
  <c r="AV1880" i="48"/>
  <c r="BK1880" i="48"/>
  <c r="AZ1880" i="48"/>
  <c r="AU1880" i="48"/>
  <c r="AY1880" i="48"/>
  <c r="AX1880" i="48"/>
  <c r="AW1880" i="48"/>
  <c r="BJ1162" i="48"/>
  <c r="BD1162" i="48"/>
  <c r="BJ1175" i="48"/>
  <c r="BD1175" i="48"/>
  <c r="BJ996" i="48"/>
  <c r="BD996" i="48"/>
  <c r="BA1188" i="48"/>
  <c r="BK1188" i="48"/>
  <c r="AU1188" i="48"/>
  <c r="AY1188" i="48"/>
  <c r="AX1188" i="48"/>
  <c r="AZ1188" i="48"/>
  <c r="AW1188" i="48"/>
  <c r="AV1188" i="48"/>
  <c r="AZ1010" i="48"/>
  <c r="AU1010" i="48"/>
  <c r="AN1010" i="48" s="1"/>
  <c r="AV1010" i="48"/>
  <c r="AX1010" i="48"/>
  <c r="BK1010" i="48"/>
  <c r="BA1010" i="48"/>
  <c r="AY1010" i="48"/>
  <c r="AW1010" i="48"/>
  <c r="BA1070" i="48"/>
  <c r="AW1070" i="48"/>
  <c r="AZ1070" i="48"/>
  <c r="AU1070" i="48"/>
  <c r="AV1070" i="48"/>
  <c r="AX1070" i="48"/>
  <c r="BK1070" i="48"/>
  <c r="AY1070" i="48"/>
  <c r="BJ1250" i="48"/>
  <c r="BD1250" i="48"/>
  <c r="AW1504" i="48"/>
  <c r="BA1504" i="48"/>
  <c r="AV1504" i="48"/>
  <c r="AX1504" i="48"/>
  <c r="BK1504" i="48"/>
  <c r="AY1504" i="48"/>
  <c r="AZ1504" i="48"/>
  <c r="AU1504" i="48"/>
  <c r="BJ1147" i="48"/>
  <c r="BD1147" i="48"/>
  <c r="BD597" i="48"/>
  <c r="BJ597" i="48"/>
  <c r="AX888" i="48"/>
  <c r="AU888" i="48"/>
  <c r="AZ888" i="48"/>
  <c r="BK888" i="48"/>
  <c r="AY888" i="48"/>
  <c r="AV888" i="48"/>
  <c r="AW888" i="48"/>
  <c r="BA888" i="48"/>
  <c r="BD1720" i="48"/>
  <c r="BJ1720" i="48"/>
  <c r="BJ1203" i="48"/>
  <c r="BD1203" i="48"/>
  <c r="BJ1705" i="48"/>
  <c r="BD1705" i="48"/>
  <c r="AX658" i="48"/>
  <c r="AV658" i="48"/>
  <c r="BA658" i="48"/>
  <c r="AW658" i="48"/>
  <c r="BK658" i="48"/>
  <c r="AY658" i="48"/>
  <c r="AZ658" i="48"/>
  <c r="AU658" i="48"/>
  <c r="BA1710" i="48"/>
  <c r="AV1710" i="48"/>
  <c r="AZ1710" i="48"/>
  <c r="AU1710" i="48"/>
  <c r="AY1710" i="48"/>
  <c r="AX1710" i="48"/>
  <c r="BK1710" i="48"/>
  <c r="AW1710" i="48"/>
  <c r="AX606" i="48"/>
  <c r="AW606" i="48"/>
  <c r="AY606" i="48"/>
  <c r="AZ606" i="48"/>
  <c r="AU606" i="48"/>
  <c r="AM606" i="48" s="1"/>
  <c r="AV606" i="48"/>
  <c r="BA606" i="48"/>
  <c r="BK606" i="48"/>
  <c r="AX1453" i="48"/>
  <c r="AV1453" i="48"/>
  <c r="AU1453" i="48"/>
  <c r="AZ1453" i="48"/>
  <c r="BK1453" i="48"/>
  <c r="AY1453" i="48"/>
  <c r="AW1453" i="48"/>
  <c r="BA1453" i="48"/>
  <c r="BJ1535" i="48"/>
  <c r="BD1535" i="48"/>
  <c r="BJ1896" i="48"/>
  <c r="BD1896" i="48"/>
  <c r="BJ879" i="48"/>
  <c r="BD879" i="48"/>
  <c r="BD1842" i="48"/>
  <c r="BJ1842" i="48"/>
  <c r="BA1457" i="48"/>
  <c r="BK1457" i="48"/>
  <c r="AZ1457" i="48"/>
  <c r="AU1457" i="48"/>
  <c r="AY1457" i="48"/>
  <c r="AX1457" i="48"/>
  <c r="AV1457" i="48"/>
  <c r="AW1457" i="48"/>
  <c r="AW1476" i="48"/>
  <c r="BA1476" i="48"/>
  <c r="BK1476" i="48"/>
  <c r="AY1476" i="48"/>
  <c r="AZ1476" i="48"/>
  <c r="AU1476" i="48"/>
  <c r="AN1476" i="48" s="1"/>
  <c r="AV1476" i="48"/>
  <c r="AX1476" i="48"/>
  <c r="BA1958" i="48"/>
  <c r="BK1958" i="48"/>
  <c r="AY1958" i="48"/>
  <c r="AX1958" i="48"/>
  <c r="AZ1958" i="48"/>
  <c r="AV1958" i="48"/>
  <c r="AU1958" i="48"/>
  <c r="AW1958" i="48"/>
  <c r="BD1700" i="48"/>
  <c r="BJ1700" i="48"/>
  <c r="BA1410" i="48"/>
  <c r="AX1410" i="48"/>
  <c r="BK1410" i="48"/>
  <c r="AU1410" i="48"/>
  <c r="AO1410" i="48" s="1"/>
  <c r="AY1410" i="48"/>
  <c r="AV1410" i="48"/>
  <c r="AZ1410" i="48"/>
  <c r="AW1410" i="48"/>
  <c r="BA1597" i="48"/>
  <c r="AX1597" i="48"/>
  <c r="AU1597" i="48"/>
  <c r="AK1597" i="48" s="1"/>
  <c r="AW1597" i="48"/>
  <c r="AY1597" i="48"/>
  <c r="AV1597" i="48"/>
  <c r="BK1597" i="48"/>
  <c r="AZ1597" i="48"/>
  <c r="AZ1911" i="48"/>
  <c r="AU1911" i="48"/>
  <c r="AL1911" i="48" s="1"/>
  <c r="AV1911" i="48"/>
  <c r="AX1911" i="48"/>
  <c r="BK1911" i="48"/>
  <c r="BA1911" i="48"/>
  <c r="AY1911" i="48"/>
  <c r="AW1911" i="48"/>
  <c r="AX928" i="48"/>
  <c r="AU928" i="48"/>
  <c r="AP928" i="48" s="1"/>
  <c r="AZ928" i="48"/>
  <c r="BK928" i="48"/>
  <c r="AY928" i="48"/>
  <c r="AV928" i="48"/>
  <c r="BA928" i="48"/>
  <c r="AW928" i="48"/>
  <c r="BJ1234" i="48"/>
  <c r="BD1234" i="48"/>
  <c r="BJ1929" i="48"/>
  <c r="BD1929" i="48"/>
  <c r="BA797" i="48"/>
  <c r="BK797" i="48"/>
  <c r="AY797" i="48"/>
  <c r="AX797" i="48"/>
  <c r="AV797" i="48"/>
  <c r="AZ797" i="48"/>
  <c r="AU797" i="48"/>
  <c r="AO797" i="48" s="1"/>
  <c r="AW797" i="48"/>
  <c r="BJ1332" i="48"/>
  <c r="BD1332" i="48"/>
  <c r="AW1598" i="48"/>
  <c r="BA1598" i="48"/>
  <c r="AY1598" i="48"/>
  <c r="AZ1598" i="48"/>
  <c r="AU1598" i="48"/>
  <c r="AL1598" i="48" s="1"/>
  <c r="AV1598" i="48"/>
  <c r="AX1598" i="48"/>
  <c r="BK1598" i="48"/>
  <c r="BK935" i="48"/>
  <c r="AZ935" i="48"/>
  <c r="AV935" i="48"/>
  <c r="BA935" i="48"/>
  <c r="AX935" i="48"/>
  <c r="AU935" i="48"/>
  <c r="AW935" i="48"/>
  <c r="AY935" i="48"/>
  <c r="BA1134" i="48"/>
  <c r="AW1134" i="48"/>
  <c r="AZ1134" i="48"/>
  <c r="AU1134" i="48"/>
  <c r="AN1134" i="48" s="1"/>
  <c r="AV1134" i="48"/>
  <c r="AX1134" i="48"/>
  <c r="BK1134" i="48"/>
  <c r="AY1134" i="48"/>
  <c r="BJ1925" i="48"/>
  <c r="BD1925" i="48"/>
  <c r="BD1066" i="48"/>
  <c r="BJ1066" i="48"/>
  <c r="BA1577" i="48"/>
  <c r="AX1577" i="48"/>
  <c r="AY1577" i="48"/>
  <c r="AZ1577" i="48"/>
  <c r="AW1577" i="48"/>
  <c r="BK1577" i="48"/>
  <c r="AU1577" i="48"/>
  <c r="AV1577" i="48"/>
  <c r="BD1914" i="48"/>
  <c r="BJ1914" i="48"/>
  <c r="AX584" i="48"/>
  <c r="AZ584" i="48"/>
  <c r="BK584" i="48"/>
  <c r="AY584" i="48"/>
  <c r="AV584" i="48"/>
  <c r="AU584" i="48"/>
  <c r="AP584" i="48" s="1"/>
  <c r="BA584" i="48"/>
  <c r="AW584" i="48"/>
  <c r="BJ1282" i="48"/>
  <c r="BD1282" i="48"/>
  <c r="AX1904" i="48"/>
  <c r="BK1904" i="48"/>
  <c r="AZ1904" i="48"/>
  <c r="AY1904" i="48"/>
  <c r="AV1904" i="48"/>
  <c r="AU1904" i="48"/>
  <c r="AO1904" i="48" s="1"/>
  <c r="AW1904" i="48"/>
  <c r="BA1904" i="48"/>
  <c r="AX1571" i="48"/>
  <c r="AZ1571" i="48"/>
  <c r="BK1571" i="48"/>
  <c r="AY1571" i="48"/>
  <c r="AV1571" i="48"/>
  <c r="AU1571" i="48"/>
  <c r="AP1571" i="48" s="1"/>
  <c r="AW1571" i="48"/>
  <c r="BA1571" i="48"/>
  <c r="BA1126" i="48"/>
  <c r="AY1126" i="48"/>
  <c r="AZ1126" i="48"/>
  <c r="AU1126" i="48"/>
  <c r="AW1126" i="48"/>
  <c r="AV1126" i="48"/>
  <c r="AX1126" i="48"/>
  <c r="BK1126" i="48"/>
  <c r="BJ700" i="48"/>
  <c r="BD700" i="48"/>
  <c r="BA669" i="48"/>
  <c r="AV669" i="48"/>
  <c r="AZ669" i="48"/>
  <c r="AU669" i="48"/>
  <c r="AO669" i="48" s="1"/>
  <c r="AY669" i="48"/>
  <c r="BK669" i="48"/>
  <c r="AX669" i="48"/>
  <c r="AW669" i="48"/>
  <c r="BA649" i="48"/>
  <c r="AZ649" i="48"/>
  <c r="AU649" i="48"/>
  <c r="AM649" i="48" s="1"/>
  <c r="AY649" i="48"/>
  <c r="AX649" i="48"/>
  <c r="BK649" i="48"/>
  <c r="AV649" i="48"/>
  <c r="AW649" i="48"/>
  <c r="BD894" i="48"/>
  <c r="BJ894" i="48"/>
  <c r="BJ1140" i="48"/>
  <c r="BD1140" i="48"/>
  <c r="BJ903" i="48"/>
  <c r="BD903" i="48"/>
  <c r="BJ1494" i="48"/>
  <c r="BD1494" i="48"/>
  <c r="BJ1280" i="48"/>
  <c r="BD1280" i="48"/>
  <c r="BA857" i="48"/>
  <c r="AX857" i="48"/>
  <c r="AV857" i="48"/>
  <c r="BK857" i="48"/>
  <c r="AZ857" i="48"/>
  <c r="AU857" i="48"/>
  <c r="AY857" i="48"/>
  <c r="AW857" i="48"/>
  <c r="BJ1164" i="48"/>
  <c r="BD1164" i="48"/>
  <c r="BA1164" i="48"/>
  <c r="BK1164" i="48"/>
  <c r="AX1164" i="48"/>
  <c r="AV1164" i="48"/>
  <c r="AZ1164" i="48"/>
  <c r="AU1164" i="48"/>
  <c r="AY1164" i="48"/>
  <c r="AW1164" i="48"/>
  <c r="BA1651" i="48"/>
  <c r="BK1651" i="48"/>
  <c r="AY1651" i="48"/>
  <c r="AX1651" i="48"/>
  <c r="AV1651" i="48"/>
  <c r="AZ1651" i="48"/>
  <c r="AU1651" i="48"/>
  <c r="AM1651" i="48" s="1"/>
  <c r="AW1651" i="48"/>
  <c r="BA1520" i="48"/>
  <c r="AW1520" i="48"/>
  <c r="AY1520" i="48"/>
  <c r="AZ1520" i="48"/>
  <c r="AU1520" i="48"/>
  <c r="AV1520" i="48"/>
  <c r="AX1520" i="48"/>
  <c r="BK1520" i="48"/>
  <c r="BA1871" i="48"/>
  <c r="AW1871" i="48"/>
  <c r="AZ1871" i="48"/>
  <c r="AU1871" i="48"/>
  <c r="AV1871" i="48"/>
  <c r="AX1871" i="48"/>
  <c r="BK1871" i="48"/>
  <c r="AY1871" i="48"/>
  <c r="BA1752" i="48"/>
  <c r="BK1752" i="48"/>
  <c r="AY1752" i="48"/>
  <c r="AZ1752" i="48"/>
  <c r="AU1752" i="48"/>
  <c r="AW1752" i="48"/>
  <c r="AV1752" i="48"/>
  <c r="AX1752" i="48"/>
  <c r="BJ1389" i="48"/>
  <c r="BD1389" i="48"/>
  <c r="BJ615" i="48"/>
  <c r="BD615" i="48"/>
  <c r="BA1056" i="48"/>
  <c r="AV1056" i="48"/>
  <c r="AZ1056" i="48"/>
  <c r="AU1056" i="48"/>
  <c r="AN1056" i="48" s="1"/>
  <c r="BK1056" i="48"/>
  <c r="AY1056" i="48"/>
  <c r="AX1056" i="48"/>
  <c r="AW1056" i="48"/>
  <c r="BJ1232" i="48"/>
  <c r="BD1232" i="48"/>
  <c r="BJ1363" i="48"/>
  <c r="BD1363" i="48"/>
  <c r="BD1759" i="48"/>
  <c r="BJ1759" i="48"/>
  <c r="BD654" i="48"/>
  <c r="BJ654" i="48"/>
  <c r="BJ2040" i="48"/>
  <c r="BD2040" i="48"/>
  <c r="AX2037" i="48"/>
  <c r="BK2037" i="48"/>
  <c r="AV2037" i="48"/>
  <c r="BA2037" i="48"/>
  <c r="AW2037" i="48"/>
  <c r="AU2037" i="48"/>
  <c r="AY2037" i="48"/>
  <c r="AZ2037" i="48"/>
  <c r="BJ720" i="48"/>
  <c r="BD720" i="48"/>
  <c r="BD1846" i="48"/>
  <c r="BJ1846" i="48"/>
  <c r="BA1130" i="48"/>
  <c r="AW1130" i="48"/>
  <c r="AZ1130" i="48"/>
  <c r="AU1130" i="48"/>
  <c r="AN1130" i="48" s="1"/>
  <c r="AV1130" i="48"/>
  <c r="AX1130" i="48"/>
  <c r="BK1130" i="48"/>
  <c r="AY1130" i="48"/>
  <c r="BA1243" i="48"/>
  <c r="AZ1243" i="48"/>
  <c r="AU1243" i="48"/>
  <c r="BK1243" i="48"/>
  <c r="AY1243" i="48"/>
  <c r="AX1243" i="48"/>
  <c r="AV1243" i="48"/>
  <c r="AW1243" i="48"/>
  <c r="BJ1433" i="48"/>
  <c r="BD1433" i="48"/>
  <c r="AX1433" i="48"/>
  <c r="BK1433" i="48"/>
  <c r="AY1433" i="48"/>
  <c r="AV1433" i="48"/>
  <c r="AU1433" i="48"/>
  <c r="AZ1433" i="48"/>
  <c r="AW1433" i="48"/>
  <c r="BA1433" i="48"/>
  <c r="BJ803" i="48"/>
  <c r="BD803" i="48"/>
  <c r="AW1839" i="48"/>
  <c r="BA1839" i="48"/>
  <c r="AY1839" i="48"/>
  <c r="AZ1839" i="48"/>
  <c r="AU1839" i="48"/>
  <c r="AP1839" i="48" s="1"/>
  <c r="AV1839" i="48"/>
  <c r="AX1839" i="48"/>
  <c r="BK1839" i="48"/>
  <c r="BD717" i="48"/>
  <c r="BJ717" i="48"/>
  <c r="BA717" i="48"/>
  <c r="BK717" i="48"/>
  <c r="AX717" i="48"/>
  <c r="AV717" i="48"/>
  <c r="AZ717" i="48"/>
  <c r="AU717" i="48"/>
  <c r="AY717" i="48"/>
  <c r="AW717" i="48"/>
  <c r="BA1157" i="48"/>
  <c r="BK1157" i="48"/>
  <c r="AX1157" i="48"/>
  <c r="AU1157" i="48"/>
  <c r="AY1157" i="48"/>
  <c r="AV1157" i="48"/>
  <c r="AW1157" i="48"/>
  <c r="AZ1157" i="48"/>
  <c r="BJ1292" i="48"/>
  <c r="BD1292" i="48"/>
  <c r="BJ1586" i="48"/>
  <c r="BD1586" i="48"/>
  <c r="BD1269" i="48"/>
  <c r="BJ1269" i="48"/>
  <c r="BJ587" i="48"/>
  <c r="BD587" i="48"/>
  <c r="AW587" i="48"/>
  <c r="AX587" i="48"/>
  <c r="BA587" i="48"/>
  <c r="BK587" i="48"/>
  <c r="AZ587" i="48"/>
  <c r="AV587" i="48"/>
  <c r="AY587" i="48"/>
  <c r="AU587" i="48"/>
  <c r="AK587" i="48" s="1"/>
  <c r="AX796" i="48"/>
  <c r="BK796" i="48"/>
  <c r="AZ796" i="48"/>
  <c r="AY796" i="48"/>
  <c r="AV796" i="48"/>
  <c r="AU796" i="48"/>
  <c r="AW796" i="48"/>
  <c r="BA796" i="48"/>
  <c r="BD1273" i="48"/>
  <c r="BJ1273" i="48"/>
  <c r="AV225" i="48"/>
  <c r="AW225" i="48"/>
  <c r="BD225" i="48" s="1"/>
  <c r="BK225" i="48"/>
  <c r="AX225" i="48"/>
  <c r="AY225" i="48"/>
  <c r="AZ225" i="48"/>
  <c r="BJ225" i="48" s="1"/>
  <c r="AU225" i="48"/>
  <c r="BJ442" i="48"/>
  <c r="BD442" i="48"/>
  <c r="BD229" i="48"/>
  <c r="BJ229" i="48"/>
  <c r="BK252" i="48"/>
  <c r="AU252" i="48"/>
  <c r="AY252" i="48"/>
  <c r="AX252" i="48"/>
  <c r="AV252" i="48"/>
  <c r="AZ252" i="48"/>
  <c r="BJ252" i="48" s="1"/>
  <c r="AW252" i="48"/>
  <c r="BD252" i="48" s="1"/>
  <c r="BJ406" i="48"/>
  <c r="BD406" i="48"/>
  <c r="AW406" i="48"/>
  <c r="AY406" i="48"/>
  <c r="AV406" i="48"/>
  <c r="AU406" i="48"/>
  <c r="BA406" i="48"/>
  <c r="AX406" i="48"/>
  <c r="BK406" i="48"/>
  <c r="AZ406" i="48"/>
  <c r="BA523" i="48"/>
  <c r="BK523" i="48"/>
  <c r="AY523" i="48"/>
  <c r="AX523" i="48"/>
  <c r="AV523" i="48"/>
  <c r="AZ523" i="48"/>
  <c r="AU523" i="48"/>
  <c r="AW523" i="48"/>
  <c r="BD201" i="48"/>
  <c r="BJ201" i="48"/>
  <c r="AW198" i="48"/>
  <c r="BK198" i="48"/>
  <c r="AZ198" i="48"/>
  <c r="AV198" i="48"/>
  <c r="AY198" i="48"/>
  <c r="AU198" i="48"/>
  <c r="AX198" i="48"/>
  <c r="BD392" i="48"/>
  <c r="BJ392" i="48"/>
  <c r="BJ111" i="48"/>
  <c r="BD111" i="48"/>
  <c r="BD217" i="48"/>
  <c r="BJ217" i="48"/>
  <c r="BA420" i="48"/>
  <c r="AX420" i="48"/>
  <c r="BK420" i="48"/>
  <c r="AU420" i="48"/>
  <c r="AM420" i="48" s="1"/>
  <c r="AY420" i="48"/>
  <c r="AW420" i="48"/>
  <c r="AV420" i="48"/>
  <c r="AZ420" i="48"/>
  <c r="BJ146" i="48"/>
  <c r="BD146" i="48"/>
  <c r="AW369" i="48"/>
  <c r="AY369" i="48"/>
  <c r="AZ369" i="48"/>
  <c r="AU369" i="48"/>
  <c r="AV369" i="48"/>
  <c r="AX369" i="48"/>
  <c r="BA369" i="48"/>
  <c r="BK369" i="48"/>
  <c r="BK514" i="48"/>
  <c r="AZ514" i="48"/>
  <c r="AV514" i="48"/>
  <c r="AW514" i="48"/>
  <c r="AX514" i="48"/>
  <c r="BA514" i="48"/>
  <c r="AU514" i="48"/>
  <c r="AK514" i="48" s="1"/>
  <c r="AY514" i="48"/>
  <c r="BA527" i="48"/>
  <c r="AX527" i="48"/>
  <c r="AV527" i="48"/>
  <c r="BK527" i="48"/>
  <c r="AZ527" i="48"/>
  <c r="AU527" i="48"/>
  <c r="AY527" i="48"/>
  <c r="AW527" i="48"/>
  <c r="BJ255" i="48"/>
  <c r="BD255" i="48"/>
  <c r="BJ375" i="48"/>
  <c r="BD375" i="48"/>
  <c r="BJ538" i="48"/>
  <c r="BD538" i="48"/>
  <c r="AX117" i="48"/>
  <c r="AV117" i="48"/>
  <c r="BK117" i="48"/>
  <c r="AY117" i="48"/>
  <c r="AZ117" i="48"/>
  <c r="AU117" i="48"/>
  <c r="AW117" i="48"/>
  <c r="BD273" i="48"/>
  <c r="BJ273" i="48"/>
  <c r="AY258" i="48"/>
  <c r="AU258" i="48"/>
  <c r="AZ258" i="48"/>
  <c r="BJ258" i="48" s="1"/>
  <c r="AX258" i="48"/>
  <c r="AW258" i="48"/>
  <c r="BD258" i="48" s="1"/>
  <c r="BK258" i="48"/>
  <c r="AV258" i="48"/>
  <c r="AW110" i="48"/>
  <c r="BD110" i="48" s="1"/>
  <c r="AV110" i="48"/>
  <c r="AX110" i="48"/>
  <c r="BK110" i="48"/>
  <c r="AZ110" i="48"/>
  <c r="BJ110" i="48" s="1"/>
  <c r="AY110" i="48"/>
  <c r="AU110" i="48"/>
  <c r="AZ71" i="48"/>
  <c r="AU71" i="48"/>
  <c r="BK71" i="48"/>
  <c r="AY71" i="48"/>
  <c r="AX71" i="48"/>
  <c r="AV71" i="48"/>
  <c r="AW71" i="48"/>
  <c r="BJ542" i="48"/>
  <c r="BD542" i="48"/>
  <c r="BD68" i="48"/>
  <c r="BJ68" i="48"/>
  <c r="BJ339" i="48"/>
  <c r="BD339" i="48"/>
  <c r="BK241" i="48"/>
  <c r="AY241" i="48"/>
  <c r="AX241" i="48"/>
  <c r="AZ241" i="48"/>
  <c r="BJ241" i="48" s="1"/>
  <c r="AU241" i="48"/>
  <c r="AV241" i="48"/>
  <c r="AW241" i="48"/>
  <c r="BD241" i="48" s="1"/>
  <c r="AX157" i="48"/>
  <c r="AW157" i="48"/>
  <c r="BD157" i="48" s="1"/>
  <c r="AV157" i="48"/>
  <c r="BK157" i="48"/>
  <c r="AY157" i="48"/>
  <c r="AZ157" i="48"/>
  <c r="BJ157" i="48" s="1"/>
  <c r="AU157" i="48"/>
  <c r="BJ222" i="48"/>
  <c r="BD222" i="48"/>
  <c r="BJ166" i="48"/>
  <c r="BD166" i="48"/>
  <c r="BJ103" i="48"/>
  <c r="BD103" i="48"/>
  <c r="BA352" i="48"/>
  <c r="AY352" i="48"/>
  <c r="AX352" i="48"/>
  <c r="BK352" i="48"/>
  <c r="AU352" i="48"/>
  <c r="AZ352" i="48"/>
  <c r="AW352" i="48"/>
  <c r="AV352" i="48"/>
  <c r="BD101" i="48"/>
  <c r="BJ101" i="48"/>
  <c r="AV74" i="48"/>
  <c r="AW74" i="48"/>
  <c r="BD74" i="48" s="1"/>
  <c r="AY74" i="48"/>
  <c r="AU74" i="48"/>
  <c r="AX74" i="48"/>
  <c r="BK74" i="48"/>
  <c r="AZ74" i="48"/>
  <c r="BJ74" i="48" s="1"/>
  <c r="AV127" i="48"/>
  <c r="AZ127" i="48"/>
  <c r="AU127" i="48"/>
  <c r="BK127" i="48"/>
  <c r="AY127" i="48"/>
  <c r="AX127" i="48"/>
  <c r="AW127" i="48"/>
  <c r="BA387" i="48"/>
  <c r="AX387" i="48"/>
  <c r="AV387" i="48"/>
  <c r="BK387" i="48"/>
  <c r="AZ387" i="48"/>
  <c r="AU387" i="48"/>
  <c r="AY387" i="48"/>
  <c r="AW387" i="48"/>
  <c r="BK240" i="48"/>
  <c r="AU240" i="48"/>
  <c r="AY240" i="48"/>
  <c r="AX240" i="48"/>
  <c r="AZ240" i="48"/>
  <c r="BJ240" i="48" s="1"/>
  <c r="AW240" i="48"/>
  <c r="BD240" i="48" s="1"/>
  <c r="AV240" i="48"/>
  <c r="BJ311" i="48"/>
  <c r="BD311" i="48"/>
  <c r="BA347" i="48"/>
  <c r="BK347" i="48"/>
  <c r="AY347" i="48"/>
  <c r="AX347" i="48"/>
  <c r="AV347" i="48"/>
  <c r="AZ347" i="48"/>
  <c r="AU347" i="48"/>
  <c r="AW347" i="48"/>
  <c r="BD385" i="48"/>
  <c r="BJ385" i="48"/>
  <c r="AX181" i="48"/>
  <c r="AV181" i="48"/>
  <c r="BK181" i="48"/>
  <c r="AY181" i="48"/>
  <c r="AW181" i="48"/>
  <c r="BD181" i="48" s="1"/>
  <c r="AZ181" i="48"/>
  <c r="BJ181" i="48" s="1"/>
  <c r="AU181" i="48"/>
  <c r="BA407" i="48"/>
  <c r="BK407" i="48"/>
  <c r="AY407" i="48"/>
  <c r="AX407" i="48"/>
  <c r="AV407" i="48"/>
  <c r="AZ407" i="48"/>
  <c r="AU407" i="48"/>
  <c r="AW407" i="48"/>
  <c r="BK284" i="48"/>
  <c r="AU284" i="48"/>
  <c r="AY284" i="48"/>
  <c r="AX284" i="48"/>
  <c r="AV284" i="48"/>
  <c r="AZ284" i="48"/>
  <c r="BJ284" i="48" s="1"/>
  <c r="AW284" i="48"/>
  <c r="BD284" i="48" s="1"/>
  <c r="BJ558" i="48"/>
  <c r="BD558" i="48"/>
  <c r="BD997" i="48"/>
  <c r="BJ997" i="48"/>
  <c r="BA1804" i="48"/>
  <c r="AX1804" i="48"/>
  <c r="AV1804" i="48"/>
  <c r="AU1804" i="48"/>
  <c r="AZ1804" i="48"/>
  <c r="AY1804" i="48"/>
  <c r="AW1804" i="48"/>
  <c r="BK1804" i="48"/>
  <c r="AV1198" i="48"/>
  <c r="AX1198" i="48"/>
  <c r="BK1198" i="48"/>
  <c r="BA1198" i="48"/>
  <c r="AY1198" i="48"/>
  <c r="AW1198" i="48"/>
  <c r="AZ1198" i="48"/>
  <c r="AU1198" i="48"/>
  <c r="BA1854" i="48"/>
  <c r="AX1854" i="48"/>
  <c r="AU1854" i="48"/>
  <c r="AW1854" i="48"/>
  <c r="AY1854" i="48"/>
  <c r="AV1854" i="48"/>
  <c r="BK1854" i="48"/>
  <c r="AZ1854" i="48"/>
  <c r="BJ1798" i="48"/>
  <c r="BD1798" i="48"/>
  <c r="BJ1167" i="48"/>
  <c r="BD1167" i="48"/>
  <c r="BJ2018" i="48"/>
  <c r="BD2018" i="48"/>
  <c r="BJ2053" i="48"/>
  <c r="BD2053" i="48"/>
  <c r="BA2053" i="48"/>
  <c r="AW2053" i="48"/>
  <c r="AY2053" i="48"/>
  <c r="AZ2053" i="48"/>
  <c r="AU2053" i="48"/>
  <c r="AK2053" i="48" s="1"/>
  <c r="AV2053" i="48"/>
  <c r="AX2053" i="48"/>
  <c r="BK2053" i="48"/>
  <c r="AW787" i="48"/>
  <c r="AX787" i="48"/>
  <c r="AV787" i="48"/>
  <c r="BK787" i="48"/>
  <c r="AZ787" i="48"/>
  <c r="BA787" i="48"/>
  <c r="AY787" i="48"/>
  <c r="AU787" i="48"/>
  <c r="BJ1516" i="48"/>
  <c r="BD1516" i="48"/>
  <c r="BJ863" i="48"/>
  <c r="BD863" i="48"/>
  <c r="BD1870" i="48"/>
  <c r="BJ1870" i="48"/>
  <c r="BA1934" i="48"/>
  <c r="AV1934" i="48"/>
  <c r="AZ1934" i="48"/>
  <c r="AU1934" i="48"/>
  <c r="AY1934" i="48"/>
  <c r="AX1934" i="48"/>
  <c r="BK1934" i="48"/>
  <c r="AW1934" i="48"/>
  <c r="BD614" i="48"/>
  <c r="BJ614" i="48"/>
  <c r="BA1552" i="48"/>
  <c r="BK1552" i="48"/>
  <c r="AU1552" i="48"/>
  <c r="AY1552" i="48"/>
  <c r="AX1552" i="48"/>
  <c r="AV1552" i="48"/>
  <c r="AZ1552" i="48"/>
  <c r="AW1552" i="48"/>
  <c r="BJ684" i="48"/>
  <c r="BD684" i="48"/>
  <c r="AX684" i="48"/>
  <c r="AY684" i="48"/>
  <c r="AV684" i="48"/>
  <c r="AU684" i="48"/>
  <c r="AP684" i="48" s="1"/>
  <c r="BK684" i="48"/>
  <c r="AZ684" i="48"/>
  <c r="AW684" i="48"/>
  <c r="BA684" i="48"/>
  <c r="AY994" i="48"/>
  <c r="AW994" i="48"/>
  <c r="AZ994" i="48"/>
  <c r="AU994" i="48"/>
  <c r="AV994" i="48"/>
  <c r="AX994" i="48"/>
  <c r="BK994" i="48"/>
  <c r="BA994" i="48"/>
  <c r="BA977" i="48"/>
  <c r="AX977" i="48"/>
  <c r="BK977" i="48"/>
  <c r="AU977" i="48"/>
  <c r="AK977" i="48" s="1"/>
  <c r="AY977" i="48"/>
  <c r="AV977" i="48"/>
  <c r="AW977" i="48"/>
  <c r="AZ977" i="48"/>
  <c r="BD897" i="48"/>
  <c r="BJ897" i="48"/>
  <c r="BA1517" i="48"/>
  <c r="AX1517" i="48"/>
  <c r="AV1517" i="48"/>
  <c r="BK1517" i="48"/>
  <c r="AZ1517" i="48"/>
  <c r="AU1517" i="48"/>
  <c r="AY1517" i="48"/>
  <c r="AW1517" i="48"/>
  <c r="BD1193" i="48"/>
  <c r="BJ1193" i="48"/>
  <c r="BD1447" i="48"/>
  <c r="BJ1447" i="48"/>
  <c r="BD1906" i="48"/>
  <c r="BJ1906" i="48"/>
  <c r="AX1549" i="48"/>
  <c r="AV1549" i="48"/>
  <c r="BA1549" i="48"/>
  <c r="AW1549" i="48"/>
  <c r="BK1549" i="48"/>
  <c r="AY1549" i="48"/>
  <c r="AZ1549" i="48"/>
  <c r="AU1549" i="48"/>
  <c r="AW1773" i="48"/>
  <c r="BA1773" i="48"/>
  <c r="AV1773" i="48"/>
  <c r="AX1773" i="48"/>
  <c r="BK1773" i="48"/>
  <c r="AY1773" i="48"/>
  <c r="AZ1773" i="48"/>
  <c r="AU1773" i="48"/>
  <c r="BA1289" i="48"/>
  <c r="AX1289" i="48"/>
  <c r="AU1289" i="48"/>
  <c r="AP1289" i="48" s="1"/>
  <c r="AY1289" i="48"/>
  <c r="AV1289" i="48"/>
  <c r="BK1289" i="48"/>
  <c r="AZ1289" i="48"/>
  <c r="AW1289" i="48"/>
  <c r="BA1503" i="48"/>
  <c r="AX1503" i="48"/>
  <c r="AY1503" i="48"/>
  <c r="AW1503" i="48"/>
  <c r="BK1503" i="48"/>
  <c r="AV1503" i="48"/>
  <c r="AZ1503" i="48"/>
  <c r="AU1503" i="48"/>
  <c r="AO1503" i="48" s="1"/>
  <c r="BJ2046" i="48"/>
  <c r="BD2046" i="48"/>
  <c r="BJ1084" i="48"/>
  <c r="BD1084" i="48"/>
  <c r="BA1645" i="48"/>
  <c r="AX1645" i="48"/>
  <c r="AU1645" i="48"/>
  <c r="AW1645" i="48"/>
  <c r="AY1645" i="48"/>
  <c r="AV1645" i="48"/>
  <c r="BK1645" i="48"/>
  <c r="AZ1645" i="48"/>
  <c r="BD1850" i="48"/>
  <c r="BJ1850" i="48"/>
  <c r="BJ1642" i="48"/>
  <c r="BD1642" i="48"/>
  <c r="BD1553" i="48"/>
  <c r="BJ1553" i="48"/>
  <c r="BA1838" i="48"/>
  <c r="AX1838" i="48"/>
  <c r="AU1838" i="48"/>
  <c r="AK1838" i="48" s="1"/>
  <c r="AW1838" i="48"/>
  <c r="AY1838" i="48"/>
  <c r="AV1838" i="48"/>
  <c r="BK1838" i="48"/>
  <c r="AZ1838" i="48"/>
  <c r="BJ1840" i="48"/>
  <c r="BD1840" i="48"/>
  <c r="BD638" i="48"/>
  <c r="BJ638" i="48"/>
  <c r="BA1562" i="48"/>
  <c r="AV1562" i="48"/>
  <c r="AX1562" i="48"/>
  <c r="BK1562" i="48"/>
  <c r="AY1562" i="48"/>
  <c r="AW1562" i="48"/>
  <c r="AZ1562" i="48"/>
  <c r="AU1562" i="48"/>
  <c r="AP1562" i="48" s="1"/>
  <c r="BK943" i="48"/>
  <c r="AZ943" i="48"/>
  <c r="AV943" i="48"/>
  <c r="BA943" i="48"/>
  <c r="AU943" i="48"/>
  <c r="AK943" i="48" s="1"/>
  <c r="AY943" i="48"/>
  <c r="AX943" i="48"/>
  <c r="AW943" i="48"/>
  <c r="BA1865" i="48"/>
  <c r="AY1865" i="48"/>
  <c r="AX1865" i="48"/>
  <c r="BK1865" i="48"/>
  <c r="AU1865" i="48"/>
  <c r="AM1865" i="48" s="1"/>
  <c r="AW1865" i="48"/>
  <c r="AV1865" i="48"/>
  <c r="AZ1865" i="48"/>
  <c r="BD1173" i="48"/>
  <c r="BJ1173" i="48"/>
  <c r="BJ1937" i="48"/>
  <c r="BD1937" i="48"/>
  <c r="AX1937" i="48"/>
  <c r="AY1937" i="48"/>
  <c r="AV1937" i="48"/>
  <c r="AU1937" i="48"/>
  <c r="AK1937" i="48" s="1"/>
  <c r="BK1937" i="48"/>
  <c r="BA1937" i="48"/>
  <c r="AZ1937" i="48"/>
  <c r="AW1937" i="48"/>
  <c r="BA1489" i="48"/>
  <c r="BK1489" i="48"/>
  <c r="AZ1489" i="48"/>
  <c r="AU1489" i="48"/>
  <c r="AY1489" i="48"/>
  <c r="AX1489" i="48"/>
  <c r="AV1489" i="48"/>
  <c r="AW1489" i="48"/>
  <c r="AX678" i="48"/>
  <c r="AW678" i="48"/>
  <c r="BK678" i="48"/>
  <c r="AY678" i="48"/>
  <c r="AZ678" i="48"/>
  <c r="AU678" i="48"/>
  <c r="AV678" i="48"/>
  <c r="BA678" i="48"/>
  <c r="BJ1626" i="48"/>
  <c r="BD1626" i="48"/>
  <c r="AX582" i="48"/>
  <c r="AW582" i="48"/>
  <c r="AZ582" i="48"/>
  <c r="AU582" i="48"/>
  <c r="AV582" i="48"/>
  <c r="BA582" i="48"/>
  <c r="BK582" i="48"/>
  <c r="AY582" i="48"/>
  <c r="BA1267" i="48"/>
  <c r="BK1267" i="48"/>
  <c r="AY1267" i="48"/>
  <c r="AX1267" i="48"/>
  <c r="AV1267" i="48"/>
  <c r="AZ1267" i="48"/>
  <c r="AU1267" i="48"/>
  <c r="AO1267" i="48" s="1"/>
  <c r="AW1267" i="48"/>
  <c r="BA1045" i="48"/>
  <c r="AY1045" i="48"/>
  <c r="BK1045" i="48"/>
  <c r="AX1045" i="48"/>
  <c r="AU1045" i="48"/>
  <c r="AV1045" i="48"/>
  <c r="AW1045" i="48"/>
  <c r="AZ1045" i="48"/>
  <c r="BD1146" i="48"/>
  <c r="BJ1146" i="48"/>
  <c r="BJ1296" i="48"/>
  <c r="BD1296" i="48"/>
  <c r="BD1213" i="48"/>
  <c r="BJ1213" i="48"/>
  <c r="BA1013" i="48"/>
  <c r="BK1013" i="48"/>
  <c r="AX1013" i="48"/>
  <c r="AU1013" i="48"/>
  <c r="AY1013" i="48"/>
  <c r="AV1013" i="48"/>
  <c r="AW1013" i="48"/>
  <c r="AZ1013" i="48"/>
  <c r="BA1927" i="48"/>
  <c r="AW1927" i="48"/>
  <c r="BK1927" i="48"/>
  <c r="AY1927" i="48"/>
  <c r="AZ1927" i="48"/>
  <c r="AU1927" i="48"/>
  <c r="AV1927" i="48"/>
  <c r="AX1927" i="48"/>
  <c r="AW930" i="48"/>
  <c r="BA930" i="48"/>
  <c r="AZ930" i="48"/>
  <c r="AU930" i="48"/>
  <c r="AV930" i="48"/>
  <c r="AX930" i="48"/>
  <c r="BK930" i="48"/>
  <c r="AY930" i="48"/>
  <c r="BD2026" i="48"/>
  <c r="BJ2026" i="48"/>
  <c r="BA745" i="48"/>
  <c r="BK745" i="48"/>
  <c r="AZ745" i="48"/>
  <c r="AU745" i="48"/>
  <c r="AY745" i="48"/>
  <c r="AX745" i="48"/>
  <c r="AV745" i="48"/>
  <c r="AW745" i="48"/>
  <c r="BJ663" i="48"/>
  <c r="BD663" i="48"/>
  <c r="BA1277" i="48"/>
  <c r="AX1277" i="48"/>
  <c r="AU1277" i="48"/>
  <c r="AW1277" i="48"/>
  <c r="AY1277" i="48"/>
  <c r="AV1277" i="48"/>
  <c r="BK1277" i="48"/>
  <c r="AZ1277" i="48"/>
  <c r="AX1802" i="48"/>
  <c r="AV1802" i="48"/>
  <c r="AU1802" i="48"/>
  <c r="AZ1802" i="48"/>
  <c r="AY1802" i="48"/>
  <c r="BK1802" i="48"/>
  <c r="AW1802" i="48"/>
  <c r="BA1802" i="48"/>
  <c r="BD1403" i="48"/>
  <c r="BJ1403" i="48"/>
  <c r="BA1803" i="48"/>
  <c r="AV1803" i="48"/>
  <c r="AZ1803" i="48"/>
  <c r="AU1803" i="48"/>
  <c r="AN1803" i="48" s="1"/>
  <c r="AX1803" i="48"/>
  <c r="BK1803" i="48"/>
  <c r="AY1803" i="48"/>
  <c r="AW1803" i="48"/>
  <c r="BJ1889" i="48"/>
  <c r="BD1889" i="48"/>
  <c r="BJ1791" i="48"/>
  <c r="BD1791" i="48"/>
  <c r="BD993" i="48"/>
  <c r="BJ993" i="48"/>
  <c r="BA1498" i="48"/>
  <c r="AX1498" i="48"/>
  <c r="BK1498" i="48"/>
  <c r="AU1498" i="48"/>
  <c r="AY1498" i="48"/>
  <c r="AV1498" i="48"/>
  <c r="AW1498" i="48"/>
  <c r="AZ1498" i="48"/>
  <c r="BA998" i="48"/>
  <c r="AY998" i="48"/>
  <c r="AZ998" i="48"/>
  <c r="AU998" i="48"/>
  <c r="AW998" i="48"/>
  <c r="AV998" i="48"/>
  <c r="AX998" i="48"/>
  <c r="BK998" i="48"/>
  <c r="BA1141" i="48"/>
  <c r="BK1141" i="48"/>
  <c r="AX1141" i="48"/>
  <c r="AU1141" i="48"/>
  <c r="AY1141" i="48"/>
  <c r="AV1141" i="48"/>
  <c r="AW1141" i="48"/>
  <c r="AZ1141" i="48"/>
  <c r="BA1875" i="48"/>
  <c r="AW1875" i="48"/>
  <c r="BK1875" i="48"/>
  <c r="AY1875" i="48"/>
  <c r="AZ1875" i="48"/>
  <c r="AU1875" i="48"/>
  <c r="AO1875" i="48" s="1"/>
  <c r="AV1875" i="48"/>
  <c r="AX1875" i="48"/>
  <c r="BJ679" i="48"/>
  <c r="BD679" i="48"/>
  <c r="BJ1785" i="48"/>
  <c r="BD1785" i="48"/>
  <c r="BA1418" i="48"/>
  <c r="AY1418" i="48"/>
  <c r="AX1418" i="48"/>
  <c r="BK1418" i="48"/>
  <c r="AU1418" i="48"/>
  <c r="AN1418" i="48" s="1"/>
  <c r="AV1418" i="48"/>
  <c r="AZ1418" i="48"/>
  <c r="AW1418" i="48"/>
  <c r="BD1168" i="48"/>
  <c r="BJ1168" i="48"/>
  <c r="BD714" i="48"/>
  <c r="BJ714" i="48"/>
  <c r="BA1434" i="48"/>
  <c r="AY1434" i="48"/>
  <c r="AX1434" i="48"/>
  <c r="BK1434" i="48"/>
  <c r="AU1434" i="48"/>
  <c r="AO1434" i="48" s="1"/>
  <c r="AV1434" i="48"/>
  <c r="AZ1434" i="48"/>
  <c r="AW1434" i="48"/>
  <c r="BD801" i="48"/>
  <c r="BJ801" i="48"/>
  <c r="BJ1228" i="48"/>
  <c r="BD1228" i="48"/>
  <c r="BA1512" i="48"/>
  <c r="AW1512" i="48"/>
  <c r="AZ1512" i="48"/>
  <c r="AU1512" i="48"/>
  <c r="AV1512" i="48"/>
  <c r="AX1512" i="48"/>
  <c r="BK1512" i="48"/>
  <c r="AY1512" i="48"/>
  <c r="BA1990" i="48"/>
  <c r="BK1990" i="48"/>
  <c r="AY1990" i="48"/>
  <c r="AW1990" i="48"/>
  <c r="AZ1990" i="48"/>
  <c r="AU1990" i="48"/>
  <c r="AV1990" i="48"/>
  <c r="AX1990" i="48"/>
  <c r="AW1974" i="48"/>
  <c r="BA1974" i="48"/>
  <c r="AZ1974" i="48"/>
  <c r="AU1974" i="48"/>
  <c r="AV1974" i="48"/>
  <c r="AX1974" i="48"/>
  <c r="BK1974" i="48"/>
  <c r="AY1974" i="48"/>
  <c r="BD1679" i="48"/>
  <c r="BJ1679" i="48"/>
  <c r="BJ577" i="48"/>
  <c r="BD577" i="48"/>
  <c r="BJ775" i="48"/>
  <c r="BD775" i="48"/>
  <c r="BJ1456" i="48"/>
  <c r="BD1456" i="48"/>
  <c r="AX648" i="48"/>
  <c r="AZ648" i="48"/>
  <c r="BK648" i="48"/>
  <c r="AY648" i="48"/>
  <c r="AV648" i="48"/>
  <c r="AU648" i="48"/>
  <c r="BA648" i="48"/>
  <c r="AW648" i="48"/>
  <c r="BA978" i="48"/>
  <c r="AW978" i="48"/>
  <c r="BK978" i="48"/>
  <c r="AY978" i="48"/>
  <c r="AZ978" i="48"/>
  <c r="AU978" i="48"/>
  <c r="AL978" i="48" s="1"/>
  <c r="AV978" i="48"/>
  <c r="AX978" i="48"/>
  <c r="BJ948" i="48"/>
  <c r="BD948" i="48"/>
  <c r="AX948" i="48"/>
  <c r="BK948" i="48"/>
  <c r="AY948" i="48"/>
  <c r="AV948" i="48"/>
  <c r="AU948" i="48"/>
  <c r="AZ948" i="48"/>
  <c r="AW948" i="48"/>
  <c r="BA948" i="48"/>
  <c r="BD602" i="48"/>
  <c r="BJ602" i="48"/>
  <c r="BA853" i="48"/>
  <c r="AZ853" i="48"/>
  <c r="AU853" i="48"/>
  <c r="BK853" i="48"/>
  <c r="AY853" i="48"/>
  <c r="AX853" i="48"/>
  <c r="AV853" i="48"/>
  <c r="AW853" i="48"/>
  <c r="BD1057" i="48"/>
  <c r="BJ1057" i="48"/>
  <c r="BD1977" i="48"/>
  <c r="BJ1977" i="48"/>
  <c r="BJ1795" i="48"/>
  <c r="BD1795" i="48"/>
  <c r="AW1534" i="48"/>
  <c r="BA1534" i="48"/>
  <c r="AX1534" i="48"/>
  <c r="BK1534" i="48"/>
  <c r="AZ1534" i="48"/>
  <c r="AV1534" i="48"/>
  <c r="AY1534" i="48"/>
  <c r="AU1534" i="48"/>
  <c r="AP1534" i="48" s="1"/>
  <c r="BD845" i="48"/>
  <c r="BJ845" i="48"/>
  <c r="BK1059" i="48"/>
  <c r="AZ1059" i="48"/>
  <c r="AV1059" i="48"/>
  <c r="BA1059" i="48"/>
  <c r="AY1059" i="48"/>
  <c r="AX1059" i="48"/>
  <c r="AW1059" i="48"/>
  <c r="AU1059" i="48"/>
  <c r="AN1059" i="48" s="1"/>
  <c r="BJ1308" i="48"/>
  <c r="BD1308" i="48"/>
  <c r="BA1025" i="48"/>
  <c r="AY1025" i="48"/>
  <c r="BK1025" i="48"/>
  <c r="AX1025" i="48"/>
  <c r="AU1025" i="48"/>
  <c r="AK1025" i="48" s="1"/>
  <c r="AV1025" i="48"/>
  <c r="AZ1025" i="48"/>
  <c r="AW1025" i="48"/>
  <c r="BD722" i="48"/>
  <c r="BJ722" i="48"/>
  <c r="BD881" i="48"/>
  <c r="BJ881" i="48"/>
  <c r="BA1108" i="48"/>
  <c r="AV1108" i="48"/>
  <c r="AZ1108" i="48"/>
  <c r="AU1108" i="48"/>
  <c r="BK1108" i="48"/>
  <c r="AY1108" i="48"/>
  <c r="AX1108" i="48"/>
  <c r="AW1108" i="48"/>
  <c r="AX1806" i="48"/>
  <c r="AV1806" i="48"/>
  <c r="AU1806" i="48"/>
  <c r="AL1806" i="48" s="1"/>
  <c r="AY1806" i="48"/>
  <c r="BK1806" i="48"/>
  <c r="AZ1806" i="48"/>
  <c r="AW1806" i="48"/>
  <c r="BA1806" i="48"/>
  <c r="BD757" i="48"/>
  <c r="BJ757" i="48"/>
  <c r="BJ1542" i="48"/>
  <c r="BD1542" i="48"/>
  <c r="BA1322" i="48"/>
  <c r="AZ1322" i="48"/>
  <c r="AU1322" i="48"/>
  <c r="AN1322" i="48" s="1"/>
  <c r="AV1322" i="48"/>
  <c r="AX1322" i="48"/>
  <c r="AW1322" i="48"/>
  <c r="BK1322" i="48"/>
  <c r="AY1322" i="48"/>
  <c r="AX1810" i="48"/>
  <c r="AU1810" i="48"/>
  <c r="AN1810" i="48" s="1"/>
  <c r="AZ1810" i="48"/>
  <c r="AY1810" i="48"/>
  <c r="AV1810" i="48"/>
  <c r="BK1810" i="48"/>
  <c r="BA1810" i="48"/>
  <c r="AW1810" i="48"/>
  <c r="BA1404" i="48"/>
  <c r="AW1404" i="48"/>
  <c r="AY1404" i="48"/>
  <c r="AZ1404" i="48"/>
  <c r="AU1404" i="48"/>
  <c r="AO1404" i="48" s="1"/>
  <c r="AV1404" i="48"/>
  <c r="AX1404" i="48"/>
  <c r="BK1404" i="48"/>
  <c r="BJ588" i="48"/>
  <c r="BD588" i="48"/>
  <c r="BJ1999" i="48"/>
  <c r="BD1999" i="48"/>
  <c r="AV1412" i="48"/>
  <c r="AX1412" i="48"/>
  <c r="BK1412" i="48"/>
  <c r="BA1412" i="48"/>
  <c r="AY1412" i="48"/>
  <c r="AW1412" i="48"/>
  <c r="AZ1412" i="48"/>
  <c r="AU1412" i="48"/>
  <c r="AK1412" i="48" s="1"/>
  <c r="BJ939" i="48"/>
  <c r="BD939" i="48"/>
  <c r="BA1156" i="48"/>
  <c r="AX1156" i="48"/>
  <c r="AV1156" i="48"/>
  <c r="BK1156" i="48"/>
  <c r="AZ1156" i="48"/>
  <c r="AU1156" i="48"/>
  <c r="AO1156" i="48" s="1"/>
  <c r="AY1156" i="48"/>
  <c r="AW1156" i="48"/>
  <c r="BA1068" i="48"/>
  <c r="AV1068" i="48"/>
  <c r="BK1068" i="48"/>
  <c r="AZ1068" i="48"/>
  <c r="AU1068" i="48"/>
  <c r="AM1068" i="48" s="1"/>
  <c r="AY1068" i="48"/>
  <c r="AX1068" i="48"/>
  <c r="AW1068" i="48"/>
  <c r="BA938" i="48"/>
  <c r="AW938" i="48"/>
  <c r="AY938" i="48"/>
  <c r="AZ938" i="48"/>
  <c r="AU938" i="48"/>
  <c r="AK938" i="48" s="1"/>
  <c r="AV938" i="48"/>
  <c r="AX938" i="48"/>
  <c r="BK938" i="48"/>
  <c r="BA1855" i="48"/>
  <c r="AW1855" i="48"/>
  <c r="AV1855" i="48"/>
  <c r="AX1855" i="48"/>
  <c r="BK1855" i="48"/>
  <c r="AY1855" i="48"/>
  <c r="AZ1855" i="48"/>
  <c r="AU1855" i="48"/>
  <c r="AK1855" i="48" s="1"/>
  <c r="AZ1318" i="48"/>
  <c r="AU1318" i="48"/>
  <c r="AV1318" i="48"/>
  <c r="AX1318" i="48"/>
  <c r="BK1318" i="48"/>
  <c r="BA1318" i="48"/>
  <c r="AY1318" i="48"/>
  <c r="AW1318" i="48"/>
  <c r="BJ1801" i="48"/>
  <c r="BD1801" i="48"/>
  <c r="AY1732" i="48"/>
  <c r="AW1732" i="48"/>
  <c r="AZ1732" i="48"/>
  <c r="AU1732" i="48"/>
  <c r="AN1732" i="48" s="1"/>
  <c r="AV1732" i="48"/>
  <c r="AX1732" i="48"/>
  <c r="BK1732" i="48"/>
  <c r="BA1732" i="48"/>
  <c r="BJ1035" i="48"/>
  <c r="BD1035" i="48"/>
  <c r="BJ1017" i="48"/>
  <c r="BD1017" i="48"/>
  <c r="BA1760" i="48"/>
  <c r="AY1760" i="48"/>
  <c r="AZ1760" i="48"/>
  <c r="AU1760" i="48"/>
  <c r="AM1760" i="48" s="1"/>
  <c r="AV1760" i="48"/>
  <c r="AX1760" i="48"/>
  <c r="BK1760" i="48"/>
  <c r="AW1760" i="48"/>
  <c r="AX1356" i="48"/>
  <c r="AU1356" i="48"/>
  <c r="BK1356" i="48"/>
  <c r="AY1356" i="48"/>
  <c r="AZ1356" i="48"/>
  <c r="AW1356" i="48"/>
  <c r="AV1356" i="48"/>
  <c r="BA1356" i="48"/>
  <c r="BA837" i="48"/>
  <c r="AX837" i="48"/>
  <c r="BK837" i="48"/>
  <c r="AU837" i="48"/>
  <c r="AY837" i="48"/>
  <c r="AV837" i="48"/>
  <c r="AW837" i="48"/>
  <c r="AZ837" i="48"/>
  <c r="BD1122" i="48"/>
  <c r="BJ1122" i="48"/>
  <c r="AW1935" i="48"/>
  <c r="AX1935" i="48"/>
  <c r="BK1935" i="48"/>
  <c r="AZ1935" i="48"/>
  <c r="AU1935" i="48"/>
  <c r="AP1935" i="48" s="1"/>
  <c r="AV1935" i="48"/>
  <c r="AY1935" i="48"/>
  <c r="BA1935" i="48"/>
  <c r="BA1763" i="48"/>
  <c r="BK1763" i="48"/>
  <c r="AX1763" i="48"/>
  <c r="AU1763" i="48"/>
  <c r="AY1763" i="48"/>
  <c r="AV1763" i="48"/>
  <c r="AZ1763" i="48"/>
  <c r="AW1763" i="48"/>
  <c r="BA705" i="48"/>
  <c r="AZ705" i="48"/>
  <c r="AU705" i="48"/>
  <c r="AY705" i="48"/>
  <c r="AX705" i="48"/>
  <c r="BK705" i="48"/>
  <c r="AV705" i="48"/>
  <c r="AW705" i="48"/>
  <c r="AX642" i="48"/>
  <c r="AV642" i="48"/>
  <c r="BA642" i="48"/>
  <c r="AW642" i="48"/>
  <c r="BK642" i="48"/>
  <c r="AY642" i="48"/>
  <c r="AZ642" i="48"/>
  <c r="AU642" i="48"/>
  <c r="BJ1310" i="48"/>
  <c r="BD1310" i="48"/>
  <c r="AX1818" i="48"/>
  <c r="AV1818" i="48"/>
  <c r="AU1818" i="48"/>
  <c r="AK1818" i="48" s="1"/>
  <c r="AY1818" i="48"/>
  <c r="BK1818" i="48"/>
  <c r="AZ1818" i="48"/>
  <c r="AW1818" i="48"/>
  <c r="BA1818" i="48"/>
  <c r="BJ675" i="48"/>
  <c r="BD675" i="48"/>
  <c r="BJ1338" i="48"/>
  <c r="BD1338" i="48"/>
  <c r="BA1338" i="48"/>
  <c r="AW1338" i="48"/>
  <c r="AY1338" i="48"/>
  <c r="AZ1338" i="48"/>
  <c r="AU1338" i="48"/>
  <c r="AV1338" i="48"/>
  <c r="AX1338" i="48"/>
  <c r="BK1338" i="48"/>
  <c r="BJ855" i="48"/>
  <c r="BD855" i="48"/>
  <c r="BJ1753" i="48"/>
  <c r="BD1753" i="48"/>
  <c r="AW1508" i="48"/>
  <c r="BA1508" i="48"/>
  <c r="BK1508" i="48"/>
  <c r="AY1508" i="48"/>
  <c r="AZ1508" i="48"/>
  <c r="AU1508" i="48"/>
  <c r="AV1508" i="48"/>
  <c r="AX1508" i="48"/>
  <c r="BJ1043" i="48"/>
  <c r="BD1043" i="48"/>
  <c r="BJ851" i="48"/>
  <c r="BD851" i="48"/>
  <c r="BD685" i="48"/>
  <c r="BJ685" i="48"/>
  <c r="BA685" i="48"/>
  <c r="BK685" i="48"/>
  <c r="AX685" i="48"/>
  <c r="AV685" i="48"/>
  <c r="AZ685" i="48"/>
  <c r="AU685" i="48"/>
  <c r="AO685" i="48" s="1"/>
  <c r="AY685" i="48"/>
  <c r="AW685" i="48"/>
  <c r="BA1691" i="48"/>
  <c r="AY1691" i="48"/>
  <c r="AX1691" i="48"/>
  <c r="AU1691" i="48"/>
  <c r="AO1691" i="48" s="1"/>
  <c r="BK1691" i="48"/>
  <c r="AW1691" i="48"/>
  <c r="AV1691" i="48"/>
  <c r="AZ1691" i="48"/>
  <c r="BJ1300" i="48"/>
  <c r="BD1300" i="48"/>
  <c r="BD670" i="48"/>
  <c r="BJ670" i="48"/>
  <c r="BJ1847" i="48"/>
  <c r="BD1847" i="48"/>
  <c r="BA1483" i="48"/>
  <c r="AX1483" i="48"/>
  <c r="AU1483" i="48"/>
  <c r="AO1483" i="48" s="1"/>
  <c r="AY1483" i="48"/>
  <c r="BK1483" i="48"/>
  <c r="AV1483" i="48"/>
  <c r="AZ1483" i="48"/>
  <c r="AW1483" i="48"/>
  <c r="BA665" i="48"/>
  <c r="AY665" i="48"/>
  <c r="AX665" i="48"/>
  <c r="AV665" i="48"/>
  <c r="BK665" i="48"/>
  <c r="AZ665" i="48"/>
  <c r="AU665" i="48"/>
  <c r="AP665" i="48" s="1"/>
  <c r="AW665" i="48"/>
  <c r="BA621" i="48"/>
  <c r="AZ621" i="48"/>
  <c r="AU621" i="48"/>
  <c r="AP621" i="48" s="1"/>
  <c r="AY621" i="48"/>
  <c r="BK621" i="48"/>
  <c r="AX621" i="48"/>
  <c r="AV621" i="48"/>
  <c r="AW621" i="48"/>
  <c r="BJ1997" i="48"/>
  <c r="BD1997" i="48"/>
  <c r="BA1997" i="48"/>
  <c r="AX1997" i="48"/>
  <c r="AV1997" i="48"/>
  <c r="AU1997" i="48"/>
  <c r="BK1997" i="48"/>
  <c r="AZ1997" i="48"/>
  <c r="AY1997" i="48"/>
  <c r="AW1997" i="48"/>
  <c r="BJ715" i="48"/>
  <c r="BD715" i="48"/>
  <c r="BJ1376" i="48"/>
  <c r="BD1376" i="48"/>
  <c r="AX836" i="48"/>
  <c r="AU836" i="48"/>
  <c r="AM836" i="48" s="1"/>
  <c r="AZ836" i="48"/>
  <c r="BK836" i="48"/>
  <c r="AY836" i="48"/>
  <c r="AV836" i="48"/>
  <c r="AW836" i="48"/>
  <c r="BA836" i="48"/>
  <c r="AX626" i="48"/>
  <c r="AY626" i="48"/>
  <c r="AW626" i="48"/>
  <c r="AZ626" i="48"/>
  <c r="AU626" i="48"/>
  <c r="AV626" i="48"/>
  <c r="BK626" i="48"/>
  <c r="BA626" i="48"/>
  <c r="BA1001" i="48"/>
  <c r="BK1001" i="48"/>
  <c r="AU1001" i="48"/>
  <c r="AN1001" i="48" s="1"/>
  <c r="AY1001" i="48"/>
  <c r="AX1001" i="48"/>
  <c r="AW1001" i="48"/>
  <c r="AV1001" i="48"/>
  <c r="AZ1001" i="48"/>
  <c r="BK1741" i="48"/>
  <c r="AZ1741" i="48"/>
  <c r="AV1741" i="48"/>
  <c r="AU1741" i="48"/>
  <c r="AW1741" i="48"/>
  <c r="AY1741" i="48"/>
  <c r="BA1741" i="48"/>
  <c r="AX1741" i="48"/>
  <c r="BA637" i="48"/>
  <c r="BK637" i="48"/>
  <c r="AY637" i="48"/>
  <c r="AX637" i="48"/>
  <c r="AV637" i="48"/>
  <c r="AZ637" i="48"/>
  <c r="AU637" i="48"/>
  <c r="AW637" i="48"/>
  <c r="AU1971" i="48"/>
  <c r="AN1971" i="48" s="1"/>
  <c r="BA1971" i="48"/>
  <c r="AX1971" i="48"/>
  <c r="BK1971" i="48"/>
  <c r="AW1971" i="48"/>
  <c r="AZ1971" i="48"/>
  <c r="AY1971" i="48"/>
  <c r="AV1971" i="48"/>
  <c r="BA1177" i="48"/>
  <c r="AX1177" i="48"/>
  <c r="AU1177" i="48"/>
  <c r="AM1177" i="48" s="1"/>
  <c r="AY1177" i="48"/>
  <c r="AV1177" i="48"/>
  <c r="BK1177" i="48"/>
  <c r="AZ1177" i="48"/>
  <c r="AW1177" i="48"/>
  <c r="BA1298" i="48"/>
  <c r="AW1298" i="48"/>
  <c r="AZ1298" i="48"/>
  <c r="AU1298" i="48"/>
  <c r="AK1298" i="48" s="1"/>
  <c r="AV1298" i="48"/>
  <c r="AX1298" i="48"/>
  <c r="BK1298" i="48"/>
  <c r="AY1298" i="48"/>
  <c r="BJ760" i="48"/>
  <c r="BD760" i="48"/>
  <c r="AX760" i="48"/>
  <c r="BK760" i="48"/>
  <c r="AY760" i="48"/>
  <c r="AV760" i="48"/>
  <c r="AU760" i="48"/>
  <c r="AZ760" i="48"/>
  <c r="BA760" i="48"/>
  <c r="AW760" i="48"/>
  <c r="BD1245" i="48"/>
  <c r="BJ1245" i="48"/>
  <c r="BA1349" i="48"/>
  <c r="AV1349" i="48"/>
  <c r="AZ1349" i="48"/>
  <c r="AX1349" i="48"/>
  <c r="BK1349" i="48"/>
  <c r="AU1349" i="48"/>
  <c r="AL1349" i="48" s="1"/>
  <c r="AY1349" i="48"/>
  <c r="AW1349" i="48"/>
  <c r="BK1916" i="48"/>
  <c r="AZ1916" i="48"/>
  <c r="AV1916" i="48"/>
  <c r="BA1916" i="48"/>
  <c r="AX1916" i="48"/>
  <c r="AU1916" i="48"/>
  <c r="AW1916" i="48"/>
  <c r="AY1916" i="48"/>
  <c r="AX1539" i="48"/>
  <c r="AV1539" i="48"/>
  <c r="AU1539" i="48"/>
  <c r="AZ1539" i="48"/>
  <c r="BK1539" i="48"/>
  <c r="AY1539" i="48"/>
  <c r="AW1539" i="48"/>
  <c r="BA1539" i="48"/>
  <c r="BJ1824" i="48"/>
  <c r="BD1824" i="48"/>
  <c r="BJ732" i="48"/>
  <c r="BD732" i="48"/>
  <c r="BA869" i="48"/>
  <c r="BK869" i="48"/>
  <c r="AX869" i="48"/>
  <c r="AU869" i="48"/>
  <c r="AY869" i="48"/>
  <c r="AV869" i="48"/>
  <c r="AZ869" i="48"/>
  <c r="AW869" i="48"/>
  <c r="BA1315" i="48"/>
  <c r="BK1315" i="48"/>
  <c r="AY1315" i="48"/>
  <c r="AX1315" i="48"/>
  <c r="AV1315" i="48"/>
  <c r="AZ1315" i="48"/>
  <c r="AU1315" i="48"/>
  <c r="AW1315" i="48"/>
  <c r="AW1366" i="48"/>
  <c r="BA1366" i="48"/>
  <c r="AY1366" i="48"/>
  <c r="AZ1366" i="48"/>
  <c r="AU1366" i="48"/>
  <c r="AV1366" i="48"/>
  <c r="AX1366" i="48"/>
  <c r="BK1366" i="48"/>
  <c r="BJ1620" i="48"/>
  <c r="BD1620" i="48"/>
  <c r="BJ1941" i="48"/>
  <c r="BD1941" i="48"/>
  <c r="AY1941" i="48"/>
  <c r="AV1941" i="48"/>
  <c r="AU1941" i="48"/>
  <c r="BA1941" i="48"/>
  <c r="AZ1941" i="48"/>
  <c r="AX1941" i="48"/>
  <c r="AW1941" i="48"/>
  <c r="BK1941" i="48"/>
  <c r="BD781" i="48"/>
  <c r="BJ781" i="48"/>
  <c r="BD810" i="48"/>
  <c r="BJ810" i="48"/>
  <c r="BJ2038" i="48"/>
  <c r="BD2038" i="48"/>
  <c r="AW1939" i="48"/>
  <c r="AX1939" i="48"/>
  <c r="AY1939" i="48"/>
  <c r="BK1939" i="48"/>
  <c r="AZ1939" i="48"/>
  <c r="AU1939" i="48"/>
  <c r="AV1939" i="48"/>
  <c r="BA1939" i="48"/>
  <c r="AX848" i="48"/>
  <c r="AV848" i="48"/>
  <c r="AU848" i="48"/>
  <c r="AO848" i="48" s="1"/>
  <c r="AZ848" i="48"/>
  <c r="BK848" i="48"/>
  <c r="AY848" i="48"/>
  <c r="BA848" i="48"/>
  <c r="AW848" i="48"/>
  <c r="BD1357" i="48"/>
  <c r="BJ1357" i="48"/>
  <c r="BA1683" i="48"/>
  <c r="BK1683" i="48"/>
  <c r="AU1683" i="48"/>
  <c r="AY1683" i="48"/>
  <c r="AX1683" i="48"/>
  <c r="AW1683" i="48"/>
  <c r="AV1683" i="48"/>
  <c r="AZ1683" i="48"/>
  <c r="BD982" i="48"/>
  <c r="BJ982" i="48"/>
  <c r="BJ904" i="48"/>
  <c r="BD904" i="48"/>
  <c r="AX904" i="48"/>
  <c r="BK904" i="48"/>
  <c r="AY904" i="48"/>
  <c r="AV904" i="48"/>
  <c r="AU904" i="48"/>
  <c r="AO904" i="48" s="1"/>
  <c r="AZ904" i="48"/>
  <c r="BA904" i="48"/>
  <c r="AW904" i="48"/>
  <c r="AX389" i="48"/>
  <c r="AZ389" i="48"/>
  <c r="AU389" i="48"/>
  <c r="AK389" i="48" s="1"/>
  <c r="AV389" i="48"/>
  <c r="BA389" i="48"/>
  <c r="AW389" i="48"/>
  <c r="BK389" i="48"/>
  <c r="AY389" i="48"/>
  <c r="AV418" i="48"/>
  <c r="BK418" i="48"/>
  <c r="BA418" i="48"/>
  <c r="AY418" i="48"/>
  <c r="AW418" i="48"/>
  <c r="AU418" i="48"/>
  <c r="AZ418" i="48"/>
  <c r="AX418" i="48"/>
  <c r="AX189" i="48"/>
  <c r="AW189" i="48"/>
  <c r="BK189" i="48"/>
  <c r="AY189" i="48"/>
  <c r="AZ189" i="48"/>
  <c r="AU189" i="48"/>
  <c r="AV189" i="48"/>
  <c r="BJ226" i="48"/>
  <c r="BD226" i="48"/>
  <c r="BA476" i="48"/>
  <c r="AY476" i="48"/>
  <c r="AX476" i="48"/>
  <c r="BK476" i="48"/>
  <c r="AU476" i="48"/>
  <c r="AK476" i="48" s="1"/>
  <c r="AV476" i="48"/>
  <c r="AZ476" i="48"/>
  <c r="AW476" i="48"/>
  <c r="BD413" i="48"/>
  <c r="BJ413" i="48"/>
  <c r="BD77" i="48"/>
  <c r="BJ77" i="48"/>
  <c r="AV186" i="48"/>
  <c r="AW186" i="48"/>
  <c r="BD186" i="48" s="1"/>
  <c r="AU186" i="48"/>
  <c r="AX186" i="48"/>
  <c r="BK186" i="48"/>
  <c r="AZ186" i="48"/>
  <c r="BJ186" i="48" s="1"/>
  <c r="AY186" i="48"/>
  <c r="AW122" i="48"/>
  <c r="BD122" i="48" s="1"/>
  <c r="AV122" i="48"/>
  <c r="AU122" i="48"/>
  <c r="AX122" i="48"/>
  <c r="BK122" i="48"/>
  <c r="AZ122" i="48"/>
  <c r="BJ122" i="48" s="1"/>
  <c r="AY122" i="48"/>
  <c r="BD2056" i="48"/>
  <c r="BJ2056" i="48"/>
  <c r="AV94" i="48"/>
  <c r="AW94" i="48"/>
  <c r="BD94" i="48" s="1"/>
  <c r="AY94" i="48"/>
  <c r="AU94" i="48"/>
  <c r="AX94" i="48"/>
  <c r="BK94" i="48"/>
  <c r="AZ94" i="48"/>
  <c r="BJ94" i="48" s="1"/>
  <c r="BD545" i="48"/>
  <c r="BJ545" i="48"/>
  <c r="BJ283" i="48"/>
  <c r="BD283" i="48"/>
  <c r="AX261" i="48"/>
  <c r="AY261" i="48"/>
  <c r="AZ261" i="48"/>
  <c r="BJ261" i="48" s="1"/>
  <c r="AU261" i="48"/>
  <c r="AV261" i="48"/>
  <c r="AW261" i="48"/>
  <c r="BD261" i="48" s="1"/>
  <c r="BK261" i="48"/>
  <c r="AX272" i="48"/>
  <c r="BK272" i="48"/>
  <c r="AU272" i="48"/>
  <c r="AY272" i="48"/>
  <c r="AZ272" i="48"/>
  <c r="BJ272" i="48" s="1"/>
  <c r="AW272" i="48"/>
  <c r="BD272" i="48" s="1"/>
  <c r="AV272" i="48"/>
  <c r="AZ66" i="48"/>
  <c r="BK66" i="48"/>
  <c r="AY66" i="48"/>
  <c r="AV66" i="48"/>
  <c r="AU66" i="48"/>
  <c r="AW66" i="48"/>
  <c r="AX66" i="48"/>
  <c r="BK164" i="48"/>
  <c r="AU164" i="48"/>
  <c r="AY164" i="48"/>
  <c r="AX164" i="48"/>
  <c r="AW164" i="48"/>
  <c r="BD164" i="48" s="1"/>
  <c r="AV164" i="48"/>
  <c r="AZ164" i="48"/>
  <c r="BJ164" i="48" s="1"/>
  <c r="BA484" i="48"/>
  <c r="AX484" i="48"/>
  <c r="BK484" i="48"/>
  <c r="AU484" i="48"/>
  <c r="AY484" i="48"/>
  <c r="AW484" i="48"/>
  <c r="AV484" i="48"/>
  <c r="AZ484" i="48"/>
  <c r="AX125" i="48"/>
  <c r="AW125" i="48"/>
  <c r="BD125" i="48" s="1"/>
  <c r="AV125" i="48"/>
  <c r="BK125" i="48"/>
  <c r="AY125" i="48"/>
  <c r="AZ125" i="48"/>
  <c r="BJ125" i="48" s="1"/>
  <c r="AU125" i="48"/>
  <c r="BJ182" i="48"/>
  <c r="BD182" i="48"/>
  <c r="BD112" i="48"/>
  <c r="BJ112" i="48"/>
  <c r="BD496" i="48"/>
  <c r="BJ496" i="48"/>
  <c r="BJ526" i="48"/>
  <c r="BD526" i="48"/>
  <c r="AZ193" i="48"/>
  <c r="BJ193" i="48" s="1"/>
  <c r="AU193" i="48"/>
  <c r="AV193" i="48"/>
  <c r="BK193" i="48"/>
  <c r="AW193" i="48"/>
  <c r="BD193" i="48" s="1"/>
  <c r="AX193" i="48"/>
  <c r="AY193" i="48"/>
  <c r="BJ330" i="48"/>
  <c r="BD330" i="48"/>
  <c r="BJ278" i="48"/>
  <c r="BD278" i="48"/>
  <c r="BJ443" i="48"/>
  <c r="BD443" i="48"/>
  <c r="AU290" i="48"/>
  <c r="AX290" i="48"/>
  <c r="BK290" i="48"/>
  <c r="AV290" i="48"/>
  <c r="AW290" i="48"/>
  <c r="AZ290" i="48"/>
  <c r="AY290" i="48"/>
  <c r="AX194" i="48"/>
  <c r="BK194" i="48"/>
  <c r="AY194" i="48"/>
  <c r="AZ194" i="48"/>
  <c r="AU194" i="48"/>
  <c r="AV194" i="48"/>
  <c r="AW194" i="48"/>
  <c r="BK67" i="48"/>
  <c r="AZ67" i="48"/>
  <c r="BJ67" i="48" s="1"/>
  <c r="AU67" i="48"/>
  <c r="AY67" i="48"/>
  <c r="AX67" i="48"/>
  <c r="AV67" i="48"/>
  <c r="AW67" i="48"/>
  <c r="BD67" i="48" s="1"/>
  <c r="BJ231" i="48"/>
  <c r="BD231" i="48"/>
  <c r="BA388" i="48"/>
  <c r="AX388" i="48"/>
  <c r="BK388" i="48"/>
  <c r="AU388" i="48"/>
  <c r="AY388" i="48"/>
  <c r="AW388" i="48"/>
  <c r="AV388" i="48"/>
  <c r="AZ388" i="48"/>
  <c r="BJ450" i="48"/>
  <c r="BD450" i="48"/>
  <c r="BJ391" i="48"/>
  <c r="BD391" i="48"/>
  <c r="AX301" i="48"/>
  <c r="AW301" i="48"/>
  <c r="BK301" i="48"/>
  <c r="AY301" i="48"/>
  <c r="AZ301" i="48"/>
  <c r="AU301" i="48"/>
  <c r="AV301" i="48"/>
  <c r="BA301" i="48"/>
  <c r="AV203" i="48"/>
  <c r="AZ203" i="48"/>
  <c r="AU203" i="48"/>
  <c r="BK203" i="48"/>
  <c r="AY203" i="48"/>
  <c r="AX203" i="48"/>
  <c r="AW203" i="48"/>
  <c r="AZ161" i="48"/>
  <c r="BJ161" i="48" s="1"/>
  <c r="AU161" i="48"/>
  <c r="AV161" i="48"/>
  <c r="BK161" i="48"/>
  <c r="AW161" i="48"/>
  <c r="BD161" i="48" s="1"/>
  <c r="AY161" i="48"/>
  <c r="AX161" i="48"/>
  <c r="BJ334" i="48"/>
  <c r="BD334" i="48"/>
  <c r="AW533" i="48"/>
  <c r="BA533" i="48"/>
  <c r="BK533" i="48"/>
  <c r="AY533" i="48"/>
  <c r="AZ533" i="48"/>
  <c r="AU533" i="48"/>
  <c r="AV533" i="48"/>
  <c r="AX533" i="48"/>
  <c r="BK506" i="48"/>
  <c r="AV506" i="48"/>
  <c r="AZ506" i="48"/>
  <c r="AY506" i="48"/>
  <c r="AW506" i="48"/>
  <c r="AX506" i="48"/>
  <c r="BA506" i="48"/>
  <c r="AU506" i="48"/>
  <c r="BD304" i="48"/>
  <c r="BJ304" i="48"/>
  <c r="BJ503" i="48"/>
  <c r="BD503" i="48"/>
  <c r="BK145" i="48"/>
  <c r="AW145" i="48"/>
  <c r="AY145" i="48"/>
  <c r="AX145" i="48"/>
  <c r="AZ145" i="48"/>
  <c r="AU145" i="48"/>
  <c r="AV145" i="48"/>
  <c r="BA411" i="48"/>
  <c r="BK411" i="48"/>
  <c r="AY411" i="48"/>
  <c r="AX411" i="48"/>
  <c r="AV411" i="48"/>
  <c r="AZ411" i="48"/>
  <c r="AU411" i="48"/>
  <c r="AW411" i="48"/>
  <c r="BD365" i="48"/>
  <c r="BJ365" i="48"/>
  <c r="AX271" i="48"/>
  <c r="AV271" i="48"/>
  <c r="BK271" i="48"/>
  <c r="AZ271" i="48"/>
  <c r="AU271" i="48"/>
  <c r="AY271" i="48"/>
  <c r="AW271" i="48"/>
  <c r="BD520" i="48"/>
  <c r="BJ520" i="48"/>
  <c r="AY172" i="48"/>
  <c r="AX172" i="48"/>
  <c r="BK172" i="48"/>
  <c r="AU172" i="48"/>
  <c r="AV172" i="48"/>
  <c r="AZ172" i="48"/>
  <c r="AW172" i="48"/>
  <c r="BJ490" i="48"/>
  <c r="BD490" i="48"/>
  <c r="BK79" i="48"/>
  <c r="AY79" i="48"/>
  <c r="AX79" i="48"/>
  <c r="AV79" i="48"/>
  <c r="AZ79" i="48"/>
  <c r="AU79" i="48"/>
  <c r="AW79" i="48"/>
  <c r="BJ191" i="48"/>
  <c r="BD191" i="48"/>
  <c r="BK224" i="48"/>
  <c r="AU224" i="48"/>
  <c r="AY224" i="48"/>
  <c r="AX224" i="48"/>
  <c r="AZ224" i="48"/>
  <c r="BJ224" i="48" s="1"/>
  <c r="AW224" i="48"/>
  <c r="BD224" i="48" s="1"/>
  <c r="AV224" i="48"/>
  <c r="AX329" i="48"/>
  <c r="AW329" i="48"/>
  <c r="AY329" i="48"/>
  <c r="AZ329" i="48"/>
  <c r="AU329" i="48"/>
  <c r="AV329" i="48"/>
  <c r="BA329" i="48"/>
  <c r="BK329" i="48"/>
  <c r="BD137" i="48"/>
  <c r="BJ137" i="48"/>
  <c r="BJ187" i="48"/>
  <c r="BD187" i="48"/>
  <c r="BJ338" i="48"/>
  <c r="BD338" i="48"/>
  <c r="AX280" i="48"/>
  <c r="BK280" i="48"/>
  <c r="AU280" i="48"/>
  <c r="AY280" i="48"/>
  <c r="AV280" i="48"/>
  <c r="AZ280" i="48"/>
  <c r="BJ280" i="48" s="1"/>
  <c r="AW280" i="48"/>
  <c r="BD280" i="48" s="1"/>
  <c r="AV106" i="48"/>
  <c r="AW106" i="48"/>
  <c r="BD106" i="48" s="1"/>
  <c r="AY106" i="48"/>
  <c r="AU106" i="48"/>
  <c r="AX106" i="48"/>
  <c r="BK106" i="48"/>
  <c r="AZ106" i="48"/>
  <c r="BJ106" i="48" s="1"/>
  <c r="BJ367" i="48"/>
  <c r="BD367" i="48"/>
  <c r="BA367" i="48"/>
  <c r="AX367" i="48"/>
  <c r="AV367" i="48"/>
  <c r="AZ367" i="48"/>
  <c r="AU367" i="48"/>
  <c r="BK367" i="48"/>
  <c r="AY367" i="48"/>
  <c r="AW367" i="48"/>
  <c r="BD412" i="48"/>
  <c r="BJ412" i="48"/>
  <c r="BD448" i="48"/>
  <c r="BJ448" i="48"/>
  <c r="BK518" i="48"/>
  <c r="AZ518" i="48"/>
  <c r="AV518" i="48"/>
  <c r="AW518" i="48"/>
  <c r="AU518" i="48"/>
  <c r="BA518" i="48"/>
  <c r="AY518" i="48"/>
  <c r="AX518" i="48"/>
  <c r="AX295" i="48"/>
  <c r="AV295" i="48"/>
  <c r="AZ295" i="48"/>
  <c r="BJ295" i="48" s="1"/>
  <c r="AU295" i="48"/>
  <c r="BK295" i="48"/>
  <c r="AY295" i="48"/>
  <c r="AW295" i="48"/>
  <c r="BD295" i="48" s="1"/>
  <c r="BD149" i="48"/>
  <c r="BJ149" i="48"/>
  <c r="AX204" i="48"/>
  <c r="BK204" i="48"/>
  <c r="AU204" i="48"/>
  <c r="AY204" i="48"/>
  <c r="AV204" i="48"/>
  <c r="AZ204" i="48"/>
  <c r="BJ204" i="48" s="1"/>
  <c r="AW204" i="48"/>
  <c r="BD204" i="48" s="1"/>
  <c r="AZ107" i="48"/>
  <c r="AU107" i="48"/>
  <c r="BK107" i="48"/>
  <c r="AY107" i="48"/>
  <c r="AX107" i="48"/>
  <c r="AV107" i="48"/>
  <c r="AW107" i="48"/>
  <c r="BA424" i="48"/>
  <c r="AY424" i="48"/>
  <c r="AX424" i="48"/>
  <c r="BK424" i="48"/>
  <c r="AU424" i="48"/>
  <c r="AV424" i="48"/>
  <c r="AZ424" i="48"/>
  <c r="AW424" i="48"/>
  <c r="AZ81" i="48"/>
  <c r="AU81" i="48"/>
  <c r="AV81" i="48"/>
  <c r="BK81" i="48"/>
  <c r="AY81" i="48"/>
  <c r="AW81" i="48"/>
  <c r="AX81" i="48"/>
  <c r="BA446" i="48"/>
  <c r="AW446" i="48"/>
  <c r="AV446" i="48"/>
  <c r="AU446" i="48"/>
  <c r="AX446" i="48"/>
  <c r="BK446" i="48"/>
  <c r="AZ446" i="48"/>
  <c r="AY446" i="48"/>
  <c r="BA370" i="48"/>
  <c r="BK370" i="48"/>
  <c r="AV370" i="48"/>
  <c r="AY370" i="48"/>
  <c r="AU370" i="48"/>
  <c r="AZ370" i="48"/>
  <c r="AX370" i="48"/>
  <c r="AW370" i="48"/>
  <c r="BD133" i="48"/>
  <c r="BJ133" i="48"/>
  <c r="BA380" i="48"/>
  <c r="AY380" i="48"/>
  <c r="AX380" i="48"/>
  <c r="BK380" i="48"/>
  <c r="AU380" i="48"/>
  <c r="AV380" i="48"/>
  <c r="AZ380" i="48"/>
  <c r="AW380" i="48"/>
  <c r="BK243" i="48"/>
  <c r="AZ243" i="48"/>
  <c r="BJ243" i="48" s="1"/>
  <c r="AU243" i="48"/>
  <c r="AY243" i="48"/>
  <c r="AX243" i="48"/>
  <c r="AV243" i="48"/>
  <c r="AW243" i="48"/>
  <c r="BD243" i="48" s="1"/>
  <c r="AV465" i="48"/>
  <c r="BA465" i="48"/>
  <c r="BK465" i="48"/>
  <c r="AY465" i="48"/>
  <c r="AX465" i="48"/>
  <c r="AZ465" i="48"/>
  <c r="AU465" i="48"/>
  <c r="AW465" i="48"/>
  <c r="BD456" i="48"/>
  <c r="BJ456" i="48"/>
  <c r="AX421" i="48"/>
  <c r="AV421" i="48"/>
  <c r="BA421" i="48"/>
  <c r="BK421" i="48"/>
  <c r="AW421" i="48"/>
  <c r="AY421" i="48"/>
  <c r="AZ421" i="48"/>
  <c r="AU421" i="48"/>
  <c r="BJ415" i="48"/>
  <c r="BD415" i="48"/>
  <c r="BA415" i="48"/>
  <c r="AX415" i="48"/>
  <c r="AV415" i="48"/>
  <c r="AZ415" i="48"/>
  <c r="AU415" i="48"/>
  <c r="BK415" i="48"/>
  <c r="AY415" i="48"/>
  <c r="AW415" i="48"/>
  <c r="BJ487" i="48"/>
  <c r="BD487" i="48"/>
  <c r="AX237" i="48"/>
  <c r="AW237" i="48"/>
  <c r="BD237" i="48" s="1"/>
  <c r="BK237" i="48"/>
  <c r="AY237" i="48"/>
  <c r="AZ237" i="48"/>
  <c r="BJ237" i="48" s="1"/>
  <c r="AU237" i="48"/>
  <c r="AV237" i="48"/>
  <c r="BJ362" i="48"/>
  <c r="BD362" i="48"/>
  <c r="BD472" i="48"/>
  <c r="BJ472" i="48"/>
  <c r="BA1192" i="48"/>
  <c r="AY1192" i="48"/>
  <c r="AX1192" i="48"/>
  <c r="BK1192" i="48"/>
  <c r="AU1192" i="48"/>
  <c r="AN1192" i="48" s="1"/>
  <c r="AW1192" i="48"/>
  <c r="AV1192" i="48"/>
  <c r="AZ1192" i="48"/>
  <c r="BJ840" i="48"/>
  <c r="BD840" i="48"/>
  <c r="AW1014" i="48"/>
  <c r="BA1014" i="48"/>
  <c r="BK1014" i="48"/>
  <c r="AY1014" i="48"/>
  <c r="AZ1014" i="48"/>
  <c r="AU1014" i="48"/>
  <c r="AN1014" i="48" s="1"/>
  <c r="AV1014" i="48"/>
  <c r="AX1014" i="48"/>
  <c r="AX984" i="48"/>
  <c r="AU984" i="48"/>
  <c r="AM984" i="48" s="1"/>
  <c r="AZ984" i="48"/>
  <c r="BK984" i="48"/>
  <c r="AY984" i="48"/>
  <c r="AV984" i="48"/>
  <c r="BA984" i="48"/>
  <c r="AW984" i="48"/>
  <c r="BJ1496" i="48"/>
  <c r="BD1496" i="48"/>
  <c r="BA946" i="48"/>
  <c r="AW946" i="48"/>
  <c r="BK946" i="48"/>
  <c r="AY946" i="48"/>
  <c r="AZ946" i="48"/>
  <c r="AU946" i="48"/>
  <c r="AN946" i="48" s="1"/>
  <c r="AV946" i="48"/>
  <c r="AX946" i="48"/>
  <c r="BD1321" i="48"/>
  <c r="BJ1321" i="48"/>
  <c r="BD798" i="48"/>
  <c r="BJ798" i="48"/>
  <c r="BJ1623" i="48"/>
  <c r="BD1623" i="48"/>
  <c r="BD1748" i="48"/>
  <c r="BJ1748" i="48"/>
  <c r="BA762" i="48"/>
  <c r="AX762" i="48"/>
  <c r="BK762" i="48"/>
  <c r="AY762" i="48"/>
  <c r="AW762" i="48"/>
  <c r="AZ762" i="48"/>
  <c r="AU762" i="48"/>
  <c r="AV762" i="48"/>
  <c r="BJ940" i="48"/>
  <c r="BD940" i="48"/>
  <c r="BA1179" i="48"/>
  <c r="AZ1179" i="48"/>
  <c r="AU1179" i="48"/>
  <c r="AN1179" i="48" s="1"/>
  <c r="BK1179" i="48"/>
  <c r="AY1179" i="48"/>
  <c r="AX1179" i="48"/>
  <c r="AV1179" i="48"/>
  <c r="AW1179" i="48"/>
  <c r="BD2002" i="48"/>
  <c r="BJ2002" i="48"/>
  <c r="BA1329" i="48"/>
  <c r="AV1329" i="48"/>
  <c r="AX1329" i="48"/>
  <c r="AY1329" i="48"/>
  <c r="BK1329" i="48"/>
  <c r="AU1329" i="48"/>
  <c r="AO1329" i="48" s="1"/>
  <c r="AZ1329" i="48"/>
  <c r="AW1329" i="48"/>
  <c r="BD1922" i="48"/>
  <c r="BJ1922" i="48"/>
  <c r="BJ1930" i="48"/>
  <c r="BD1930" i="48"/>
  <c r="BA901" i="48"/>
  <c r="BK901" i="48"/>
  <c r="AX901" i="48"/>
  <c r="AU901" i="48"/>
  <c r="AY901" i="48"/>
  <c r="AV901" i="48"/>
  <c r="AZ901" i="48"/>
  <c r="AW901" i="48"/>
  <c r="BA1077" i="48"/>
  <c r="BK1077" i="48"/>
  <c r="AX1077" i="48"/>
  <c r="AU1077" i="48"/>
  <c r="AY1077" i="48"/>
  <c r="AV1077" i="48"/>
  <c r="AW1077" i="48"/>
  <c r="AZ1077" i="48"/>
  <c r="BJ1754" i="48"/>
  <c r="BD1754" i="48"/>
  <c r="BA1821" i="48"/>
  <c r="AW1821" i="48"/>
  <c r="BK1821" i="48"/>
  <c r="AY1821" i="48"/>
  <c r="AZ1821" i="48"/>
  <c r="AU1821" i="48"/>
  <c r="AV1821" i="48"/>
  <c r="AX1821" i="48"/>
  <c r="AV1042" i="48"/>
  <c r="AX1042" i="48"/>
  <c r="BK1042" i="48"/>
  <c r="BA1042" i="48"/>
  <c r="AY1042" i="48"/>
  <c r="AW1042" i="48"/>
  <c r="AZ1042" i="48"/>
  <c r="AU1042" i="48"/>
  <c r="AP1042" i="48" s="1"/>
  <c r="BJ969" i="48"/>
  <c r="BD969" i="48"/>
  <c r="BJ1648" i="48"/>
  <c r="BD1648" i="48"/>
  <c r="BJ1933" i="48"/>
  <c r="BD1933" i="48"/>
  <c r="BD1585" i="48"/>
  <c r="BJ1585" i="48"/>
  <c r="BK1063" i="48"/>
  <c r="AZ1063" i="48"/>
  <c r="AV1063" i="48"/>
  <c r="BA1063" i="48"/>
  <c r="AU1063" i="48"/>
  <c r="AW1063" i="48"/>
  <c r="AX1063" i="48"/>
  <c r="AY1063" i="48"/>
  <c r="AX574" i="48"/>
  <c r="BK574" i="48"/>
  <c r="AZ574" i="48"/>
  <c r="BA574" i="48"/>
  <c r="AV574" i="48"/>
  <c r="AU574" i="48"/>
  <c r="AW574" i="48"/>
  <c r="AY574" i="48"/>
  <c r="BD1050" i="48"/>
  <c r="BJ1050" i="48"/>
  <c r="BJ1962" i="48"/>
  <c r="BD1962" i="48"/>
  <c r="BD817" i="48"/>
  <c r="BJ817" i="48"/>
  <c r="BA817" i="48"/>
  <c r="AX817" i="48"/>
  <c r="AV817" i="48"/>
  <c r="AZ817" i="48"/>
  <c r="AU817" i="48"/>
  <c r="AM817" i="48" s="1"/>
  <c r="AY817" i="48"/>
  <c r="BK817" i="48"/>
  <c r="AW817" i="48"/>
  <c r="BJ1100" i="48"/>
  <c r="BD1100" i="48"/>
  <c r="BD1046" i="48"/>
  <c r="BJ1046" i="48"/>
  <c r="AW1178" i="48"/>
  <c r="BA1178" i="48"/>
  <c r="AY1178" i="48"/>
  <c r="AZ1178" i="48"/>
  <c r="AU1178" i="48"/>
  <c r="AM1178" i="48" s="1"/>
  <c r="AV1178" i="48"/>
  <c r="AX1178" i="48"/>
  <c r="BK1178" i="48"/>
  <c r="BA2054" i="48"/>
  <c r="BK2054" i="48"/>
  <c r="AY2054" i="48"/>
  <c r="AX2054" i="48"/>
  <c r="AV2054" i="48"/>
  <c r="AZ2054" i="48"/>
  <c r="AU2054" i="48"/>
  <c r="AP2054" i="48" s="1"/>
  <c r="AW2054" i="48"/>
  <c r="AX842" i="48"/>
  <c r="AY842" i="48"/>
  <c r="BA842" i="48"/>
  <c r="AZ842" i="48"/>
  <c r="AU842" i="48"/>
  <c r="AK842" i="48" s="1"/>
  <c r="AV842" i="48"/>
  <c r="BK842" i="48"/>
  <c r="AW842" i="48"/>
  <c r="BJ1845" i="48"/>
  <c r="BD1845" i="48"/>
  <c r="AX1944" i="48"/>
  <c r="AW1944" i="48"/>
  <c r="AV1944" i="48"/>
  <c r="BA1944" i="48"/>
  <c r="BK1944" i="48"/>
  <c r="AY1944" i="48"/>
  <c r="AZ1944" i="48"/>
  <c r="AU1944" i="48"/>
  <c r="AK1944" i="48" s="1"/>
  <c r="BJ1583" i="48"/>
  <c r="BD1583" i="48"/>
  <c r="BJ1335" i="48"/>
  <c r="BD1335" i="48"/>
  <c r="BA1335" i="48"/>
  <c r="AX1335" i="48"/>
  <c r="AV1335" i="48"/>
  <c r="AZ1335" i="48"/>
  <c r="AU1335" i="48"/>
  <c r="BK1335" i="48"/>
  <c r="AY1335" i="48"/>
  <c r="AW1335" i="48"/>
  <c r="BA1667" i="48"/>
  <c r="BK1667" i="48"/>
  <c r="AZ1667" i="48"/>
  <c r="AU1667" i="48"/>
  <c r="AN1667" i="48" s="1"/>
  <c r="AY1667" i="48"/>
  <c r="AX1667" i="48"/>
  <c r="AV1667" i="48"/>
  <c r="AW1667" i="48"/>
  <c r="BJ704" i="48"/>
  <c r="BD704" i="48"/>
  <c r="BJ1576" i="48"/>
  <c r="BD1576" i="48"/>
  <c r="BA1431" i="48"/>
  <c r="AX1431" i="48"/>
  <c r="AY1431" i="48"/>
  <c r="AZ1431" i="48"/>
  <c r="BK1431" i="48"/>
  <c r="AW1431" i="48"/>
  <c r="AU1431" i="48"/>
  <c r="AO1431" i="48" s="1"/>
  <c r="AV1431" i="48"/>
  <c r="BJ1152" i="48"/>
  <c r="BD1152" i="48"/>
  <c r="BJ1921" i="48"/>
  <c r="BD1921" i="48"/>
  <c r="BJ1342" i="48"/>
  <c r="BD1342" i="48"/>
  <c r="BJ1442" i="48"/>
  <c r="BD1442" i="48"/>
  <c r="BA1256" i="48"/>
  <c r="AY1256" i="48"/>
  <c r="AX1256" i="48"/>
  <c r="BK1256" i="48"/>
  <c r="AU1256" i="48"/>
  <c r="AW1256" i="48"/>
  <c r="AV1256" i="48"/>
  <c r="AZ1256" i="48"/>
  <c r="BJ1112" i="48"/>
  <c r="BD1112" i="48"/>
  <c r="BA1112" i="48"/>
  <c r="AX1112" i="48"/>
  <c r="AV1112" i="48"/>
  <c r="AZ1112" i="48"/>
  <c r="AU1112" i="48"/>
  <c r="BK1112" i="48"/>
  <c r="AY1112" i="48"/>
  <c r="AW1112" i="48"/>
  <c r="BA1465" i="48"/>
  <c r="AV1465" i="48"/>
  <c r="AZ1465" i="48"/>
  <c r="AU1465" i="48"/>
  <c r="BK1465" i="48"/>
  <c r="AY1465" i="48"/>
  <c r="AX1465" i="48"/>
  <c r="AW1465" i="48"/>
  <c r="BD1209" i="48"/>
  <c r="BJ1209" i="48"/>
  <c r="BD1475" i="48"/>
  <c r="BJ1475" i="48"/>
  <c r="BJ1095" i="48"/>
  <c r="BD1095" i="48"/>
  <c r="BJ1417" i="48"/>
  <c r="BD1417" i="48"/>
  <c r="AX1417" i="48"/>
  <c r="BK1417" i="48"/>
  <c r="AY1417" i="48"/>
  <c r="AV1417" i="48"/>
  <c r="AU1417" i="48"/>
  <c r="AL1417" i="48" s="1"/>
  <c r="AZ1417" i="48"/>
  <c r="AW1417" i="48"/>
  <c r="BA1417" i="48"/>
  <c r="BJ1428" i="48"/>
  <c r="BD1428" i="48"/>
  <c r="BA641" i="48"/>
  <c r="AX641" i="48"/>
  <c r="AV641" i="48"/>
  <c r="BK641" i="48"/>
  <c r="AZ641" i="48"/>
  <c r="AU641" i="48"/>
  <c r="AL641" i="48" s="1"/>
  <c r="AY641" i="48"/>
  <c r="AW641" i="48"/>
  <c r="BA1347" i="48"/>
  <c r="AZ1347" i="48"/>
  <c r="AU1347" i="48"/>
  <c r="AN1347" i="48" s="1"/>
  <c r="BK1347" i="48"/>
  <c r="AY1347" i="48"/>
  <c r="AX1347" i="48"/>
  <c r="AV1347" i="48"/>
  <c r="AW1347" i="48"/>
  <c r="BD725" i="48"/>
  <c r="BJ725" i="48"/>
  <c r="BD585" i="48"/>
  <c r="BJ585" i="48"/>
  <c r="BJ1814" i="48"/>
  <c r="BD1814" i="48"/>
  <c r="BK1131" i="48"/>
  <c r="AV1131" i="48"/>
  <c r="AZ1131" i="48"/>
  <c r="BA1131" i="48"/>
  <c r="AX1131" i="48"/>
  <c r="AU1131" i="48"/>
  <c r="AN1131" i="48" s="1"/>
  <c r="AY1131" i="48"/>
  <c r="AW1131" i="48"/>
  <c r="AY890" i="48"/>
  <c r="AZ890" i="48"/>
  <c r="AU890" i="48"/>
  <c r="AP890" i="48" s="1"/>
  <c r="AV890" i="48"/>
  <c r="AX890" i="48"/>
  <c r="BK890" i="48"/>
  <c r="AW890" i="48"/>
  <c r="BA890" i="48"/>
  <c r="BA1640" i="48"/>
  <c r="AY1640" i="48"/>
  <c r="AX1640" i="48"/>
  <c r="BK1640" i="48"/>
  <c r="AU1640" i="48"/>
  <c r="AZ1640" i="48"/>
  <c r="AW1640" i="48"/>
  <c r="AV1640" i="48"/>
  <c r="BA1747" i="48"/>
  <c r="BK1747" i="48"/>
  <c r="AX1747" i="48"/>
  <c r="AU1747" i="48"/>
  <c r="AY1747" i="48"/>
  <c r="AZ1747" i="48"/>
  <c r="AW1747" i="48"/>
  <c r="AV1747" i="48"/>
  <c r="BK1155" i="48"/>
  <c r="AZ1155" i="48"/>
  <c r="AV1155" i="48"/>
  <c r="BA1155" i="48"/>
  <c r="AY1155" i="48"/>
  <c r="AX1155" i="48"/>
  <c r="AW1155" i="48"/>
  <c r="AU1155" i="48"/>
  <c r="AP1155" i="48" s="1"/>
  <c r="BJ995" i="48"/>
  <c r="BD995" i="48"/>
  <c r="BJ1950" i="48"/>
  <c r="BD1950" i="48"/>
  <c r="AX871" i="48"/>
  <c r="AZ871" i="48"/>
  <c r="BK871" i="48"/>
  <c r="AW871" i="48"/>
  <c r="AY871" i="48"/>
  <c r="AV871" i="48"/>
  <c r="AU871" i="48"/>
  <c r="BA871" i="48"/>
  <c r="AX820" i="48"/>
  <c r="AV820" i="48"/>
  <c r="AU820" i="48"/>
  <c r="AZ820" i="48"/>
  <c r="BK820" i="48"/>
  <c r="AY820" i="48"/>
  <c r="AW820" i="48"/>
  <c r="BA820" i="48"/>
  <c r="BA1560" i="48"/>
  <c r="AY1560" i="48"/>
  <c r="AX1560" i="48"/>
  <c r="BK1560" i="48"/>
  <c r="AU1560" i="48"/>
  <c r="AN1560" i="48" s="1"/>
  <c r="AV1560" i="48"/>
  <c r="AZ1560" i="48"/>
  <c r="AW1560" i="48"/>
  <c r="BJ1757" i="48"/>
  <c r="BD1757" i="48"/>
  <c r="BJ964" i="48"/>
  <c r="BD964" i="48"/>
  <c r="BJ1568" i="48"/>
  <c r="BD1568" i="48"/>
  <c r="BJ1480" i="48"/>
  <c r="BD1480" i="48"/>
  <c r="AW671" i="48"/>
  <c r="AV671" i="48"/>
  <c r="BA671" i="48"/>
  <c r="AU671" i="48"/>
  <c r="AX671" i="48"/>
  <c r="BK671" i="48"/>
  <c r="AZ671" i="48"/>
  <c r="AY671" i="48"/>
  <c r="BJ1473" i="48"/>
  <c r="BD1473" i="48"/>
  <c r="BD1812" i="48"/>
  <c r="BJ1812" i="48"/>
  <c r="BJ611" i="48"/>
  <c r="BD611" i="48"/>
  <c r="AX618" i="48"/>
  <c r="AV618" i="48"/>
  <c r="BA618" i="48"/>
  <c r="BK618" i="48"/>
  <c r="AY618" i="48"/>
  <c r="AW618" i="48"/>
  <c r="AZ618" i="48"/>
  <c r="AU618" i="48"/>
  <c r="AM618" i="48" s="1"/>
  <c r="BD937" i="48"/>
  <c r="BJ937" i="48"/>
  <c r="BA1910" i="48"/>
  <c r="AX1910" i="48"/>
  <c r="AU1910" i="48"/>
  <c r="AV1910" i="48"/>
  <c r="AW1910" i="48"/>
  <c r="AY1910" i="48"/>
  <c r="AZ1910" i="48"/>
  <c r="BK1910" i="48"/>
  <c r="BA1002" i="48"/>
  <c r="AW1002" i="48"/>
  <c r="AZ1002" i="48"/>
  <c r="AU1002" i="48"/>
  <c r="AV1002" i="48"/>
  <c r="AX1002" i="48"/>
  <c r="BK1002" i="48"/>
  <c r="AY1002" i="48"/>
  <c r="BD774" i="48"/>
  <c r="BJ774" i="48"/>
  <c r="BA1653" i="48"/>
  <c r="AX1653" i="48"/>
  <c r="AY1653" i="48"/>
  <c r="AV1653" i="48"/>
  <c r="BK1653" i="48"/>
  <c r="AZ1653" i="48"/>
  <c r="AU1653" i="48"/>
  <c r="AO1653" i="48" s="1"/>
  <c r="AW1653" i="48"/>
  <c r="AW1424" i="48"/>
  <c r="BA1424" i="48"/>
  <c r="AY1424" i="48"/>
  <c r="AZ1424" i="48"/>
  <c r="AU1424" i="48"/>
  <c r="AP1424" i="48" s="1"/>
  <c r="AV1424" i="48"/>
  <c r="AX1424" i="48"/>
  <c r="BK1424" i="48"/>
  <c r="BK566" i="48"/>
  <c r="AZ566" i="48"/>
  <c r="AV566" i="48"/>
  <c r="AU566" i="48"/>
  <c r="AK566" i="48" s="1"/>
  <c r="AY566" i="48"/>
  <c r="AW566" i="48"/>
  <c r="AX566" i="48"/>
  <c r="BA566" i="48"/>
  <c r="BA1959" i="48"/>
  <c r="AY1959" i="48"/>
  <c r="AX1959" i="48"/>
  <c r="AU1959" i="48"/>
  <c r="AP1959" i="48" s="1"/>
  <c r="BK1959" i="48"/>
  <c r="AV1959" i="48"/>
  <c r="AZ1959" i="48"/>
  <c r="AW1959" i="48"/>
  <c r="AX832" i="48"/>
  <c r="AV832" i="48"/>
  <c r="AU832" i="48"/>
  <c r="AK832" i="48" s="1"/>
  <c r="AZ832" i="48"/>
  <c r="BK832" i="48"/>
  <c r="AY832" i="48"/>
  <c r="AW832" i="48"/>
  <c r="BA832" i="48"/>
  <c r="BA1722" i="48"/>
  <c r="BK1722" i="48"/>
  <c r="AY1722" i="48"/>
  <c r="AX1722" i="48"/>
  <c r="AV1722" i="48"/>
  <c r="AU1722" i="48"/>
  <c r="AZ1722" i="48"/>
  <c r="AW1722" i="48"/>
  <c r="BA1367" i="48"/>
  <c r="AZ1367" i="48"/>
  <c r="AU1367" i="48"/>
  <c r="AL1367" i="48" s="1"/>
  <c r="BK1367" i="48"/>
  <c r="AY1367" i="48"/>
  <c r="AX1367" i="48"/>
  <c r="AV1367" i="48"/>
  <c r="AW1367" i="48"/>
  <c r="BA1474" i="48"/>
  <c r="AY1474" i="48"/>
  <c r="AX1474" i="48"/>
  <c r="BK1474" i="48"/>
  <c r="AU1474" i="48"/>
  <c r="AP1474" i="48" s="1"/>
  <c r="AZ1474" i="48"/>
  <c r="AV1474" i="48"/>
  <c r="AW1474" i="48"/>
  <c r="BJ1247" i="48"/>
  <c r="BD1247" i="48"/>
  <c r="AW627" i="48"/>
  <c r="AU627" i="48"/>
  <c r="AX627" i="48"/>
  <c r="AV627" i="48"/>
  <c r="BK627" i="48"/>
  <c r="AZ627" i="48"/>
  <c r="AY627" i="48"/>
  <c r="BA627" i="48"/>
  <c r="BJ1314" i="48"/>
  <c r="BD1314" i="48"/>
  <c r="BA1314" i="48"/>
  <c r="AW1314" i="48"/>
  <c r="BK1314" i="48"/>
  <c r="AY1314" i="48"/>
  <c r="AZ1314" i="48"/>
  <c r="AU1314" i="48"/>
  <c r="AP1314" i="48" s="1"/>
  <c r="AV1314" i="48"/>
  <c r="AX1314" i="48"/>
  <c r="BK1103" i="48"/>
  <c r="AV1103" i="48"/>
  <c r="AZ1103" i="48"/>
  <c r="BA1103" i="48"/>
  <c r="AU1103" i="48"/>
  <c r="AX1103" i="48"/>
  <c r="AY1103" i="48"/>
  <c r="AW1103" i="48"/>
  <c r="BJ1255" i="48"/>
  <c r="BD1255" i="48"/>
  <c r="BK919" i="48"/>
  <c r="AZ919" i="48"/>
  <c r="AV919" i="48"/>
  <c r="BA919" i="48"/>
  <c r="AX919" i="48"/>
  <c r="AU919" i="48"/>
  <c r="AW919" i="48"/>
  <c r="AY919" i="48"/>
  <c r="BD1633" i="48"/>
  <c r="BJ1633" i="48"/>
  <c r="BJ1851" i="48"/>
  <c r="BD1851" i="48"/>
  <c r="BD1419" i="48"/>
  <c r="BJ1419" i="48"/>
  <c r="AX2024" i="48"/>
  <c r="BA2024" i="48"/>
  <c r="BK2024" i="48"/>
  <c r="AY2024" i="48"/>
  <c r="AV2024" i="48"/>
  <c r="AU2024" i="48"/>
  <c r="AO2024" i="48" s="1"/>
  <c r="AZ2024" i="48"/>
  <c r="AW2024" i="48"/>
  <c r="BA1605" i="48"/>
  <c r="AX1605" i="48"/>
  <c r="AY1605" i="48"/>
  <c r="AV1605" i="48"/>
  <c r="BK1605" i="48"/>
  <c r="AZ1605" i="48"/>
  <c r="AU1605" i="48"/>
  <c r="AL1605" i="48" s="1"/>
  <c r="AW1605" i="48"/>
  <c r="BK987" i="48"/>
  <c r="AZ987" i="48"/>
  <c r="AV987" i="48"/>
  <c r="BA987" i="48"/>
  <c r="AX987" i="48"/>
  <c r="AU987" i="48"/>
  <c r="AY987" i="48"/>
  <c r="AW987" i="48"/>
  <c r="AX692" i="48"/>
  <c r="AZ692" i="48"/>
  <c r="BK692" i="48"/>
  <c r="AY692" i="48"/>
  <c r="AV692" i="48"/>
  <c r="AU692" i="48"/>
  <c r="AK692" i="48" s="1"/>
  <c r="AW692" i="48"/>
  <c r="BA692" i="48"/>
  <c r="BA1836" i="48"/>
  <c r="AZ1836" i="48"/>
  <c r="AU1836" i="48"/>
  <c r="AM1836" i="48" s="1"/>
  <c r="BK1836" i="48"/>
  <c r="AY1836" i="48"/>
  <c r="AX1836" i="48"/>
  <c r="AV1836" i="48"/>
  <c r="AW1836" i="48"/>
  <c r="BJ1995" i="48"/>
  <c r="BD1995" i="48"/>
  <c r="AW1460" i="48"/>
  <c r="BA1460" i="48"/>
  <c r="AZ1460" i="48"/>
  <c r="AU1460" i="48"/>
  <c r="AP1460" i="48" s="1"/>
  <c r="AV1460" i="48"/>
  <c r="AX1460" i="48"/>
  <c r="BK1460" i="48"/>
  <c r="AY1460" i="48"/>
  <c r="BA1451" i="48"/>
  <c r="AX1451" i="48"/>
  <c r="AY1451" i="48"/>
  <c r="BK1451" i="48"/>
  <c r="AV1451" i="48"/>
  <c r="AU1451" i="48"/>
  <c r="AO1451" i="48" s="1"/>
  <c r="AZ1451" i="48"/>
  <c r="AW1451" i="48"/>
  <c r="BA1326" i="48"/>
  <c r="AW1326" i="48"/>
  <c r="AZ1326" i="48"/>
  <c r="AU1326" i="48"/>
  <c r="AV1326" i="48"/>
  <c r="AX1326" i="48"/>
  <c r="BK1326" i="48"/>
  <c r="AY1326" i="48"/>
  <c r="BA657" i="48"/>
  <c r="BK657" i="48"/>
  <c r="AV657" i="48"/>
  <c r="AZ657" i="48"/>
  <c r="AU657" i="48"/>
  <c r="AL657" i="48" s="1"/>
  <c r="AY657" i="48"/>
  <c r="AX657" i="48"/>
  <c r="AW657" i="48"/>
  <c r="BD1565" i="48"/>
  <c r="BJ1565" i="48"/>
  <c r="BK1115" i="48"/>
  <c r="AZ1115" i="48"/>
  <c r="AV1115" i="48"/>
  <c r="BA1115" i="48"/>
  <c r="AX1115" i="48"/>
  <c r="AU1115" i="48"/>
  <c r="AL1115" i="48" s="1"/>
  <c r="AY1115" i="48"/>
  <c r="AW1115" i="48"/>
  <c r="BJ1294" i="48"/>
  <c r="BD1294" i="48"/>
  <c r="BA1589" i="48"/>
  <c r="AX1589" i="48"/>
  <c r="AY1589" i="48"/>
  <c r="AV1589" i="48"/>
  <c r="BK1589" i="48"/>
  <c r="AZ1589" i="48"/>
  <c r="AU1589" i="48"/>
  <c r="AW1589" i="48"/>
  <c r="BJ1835" i="48"/>
  <c r="BD1835" i="48"/>
  <c r="BD1293" i="48"/>
  <c r="BJ1293" i="48"/>
  <c r="BJ1713" i="48"/>
  <c r="BD1713" i="48"/>
  <c r="BJ912" i="48"/>
  <c r="BD912" i="48"/>
  <c r="BA1960" i="48"/>
  <c r="AX1960" i="48"/>
  <c r="AY1960" i="48"/>
  <c r="AZ1960" i="48"/>
  <c r="BK1960" i="48"/>
  <c r="AU1960" i="48"/>
  <c r="AN1960" i="48" s="1"/>
  <c r="AV1960" i="48"/>
  <c r="AW1960" i="48"/>
  <c r="BJ1080" i="48"/>
  <c r="BD1080" i="48"/>
  <c r="BJ570" i="48"/>
  <c r="BD570" i="48"/>
  <c r="BJ1212" i="48"/>
  <c r="BD1212" i="48"/>
  <c r="BA701" i="48"/>
  <c r="BK701" i="48"/>
  <c r="AZ701" i="48"/>
  <c r="AU701" i="48"/>
  <c r="AY701" i="48"/>
  <c r="AX701" i="48"/>
  <c r="AV701" i="48"/>
  <c r="AW701" i="48"/>
  <c r="BJ647" i="48"/>
  <c r="BD647" i="48"/>
  <c r="BJ1076" i="48"/>
  <c r="BD1076" i="48"/>
  <c r="BJ1920" i="48"/>
  <c r="BD1920" i="48"/>
  <c r="BA899" i="48"/>
  <c r="AZ899" i="48"/>
  <c r="AU899" i="48"/>
  <c r="AX899" i="48"/>
  <c r="BK899" i="48"/>
  <c r="AW899" i="48"/>
  <c r="AY899" i="48"/>
  <c r="AV899" i="48"/>
  <c r="BJ1781" i="48"/>
  <c r="BD1781" i="48"/>
  <c r="AX652" i="48"/>
  <c r="AV652" i="48"/>
  <c r="AU652" i="48"/>
  <c r="AO652" i="48" s="1"/>
  <c r="AZ652" i="48"/>
  <c r="BK652" i="48"/>
  <c r="AY652" i="48"/>
  <c r="AW652" i="48"/>
  <c r="BA652" i="48"/>
  <c r="BA1436" i="48"/>
  <c r="AW1436" i="48"/>
  <c r="AY1436" i="48"/>
  <c r="AZ1436" i="48"/>
  <c r="AU1436" i="48"/>
  <c r="AP1436" i="48" s="1"/>
  <c r="AV1436" i="48"/>
  <c r="AX1436" i="48"/>
  <c r="BK1436" i="48"/>
  <c r="BA1110" i="48"/>
  <c r="AZ1110" i="48"/>
  <c r="AU1110" i="48"/>
  <c r="AP1110" i="48" s="1"/>
  <c r="AV1110" i="48"/>
  <c r="AX1110" i="48"/>
  <c r="BK1110" i="48"/>
  <c r="AW1110" i="48"/>
  <c r="AY1110" i="48"/>
  <c r="BA754" i="48"/>
  <c r="AX754" i="48"/>
  <c r="AZ754" i="48"/>
  <c r="AU754" i="48"/>
  <c r="AP754" i="48" s="1"/>
  <c r="AV754" i="48"/>
  <c r="BK754" i="48"/>
  <c r="AY754" i="48"/>
  <c r="AW754" i="48"/>
  <c r="BJ887" i="48"/>
  <c r="BD887" i="48"/>
  <c r="AX1393" i="48"/>
  <c r="AU1393" i="48"/>
  <c r="AZ1393" i="48"/>
  <c r="BK1393" i="48"/>
  <c r="AY1393" i="48"/>
  <c r="AV1393" i="48"/>
  <c r="AW1393" i="48"/>
  <c r="BA1393" i="48"/>
  <c r="BA922" i="48"/>
  <c r="AW922" i="48"/>
  <c r="AV922" i="48"/>
  <c r="AX922" i="48"/>
  <c r="BK922" i="48"/>
  <c r="AY922" i="48"/>
  <c r="AZ922" i="48"/>
  <c r="AU922" i="48"/>
  <c r="AZ1761" i="48"/>
  <c r="BK1761" i="48"/>
  <c r="AW1761" i="48"/>
  <c r="AY1761" i="48"/>
  <c r="AV1761" i="48"/>
  <c r="AU1761" i="48"/>
  <c r="AL1761" i="48" s="1"/>
  <c r="BA1761" i="48"/>
  <c r="AX1761" i="48"/>
  <c r="BD1390" i="48"/>
  <c r="BJ1390" i="48"/>
  <c r="BD2001" i="48"/>
  <c r="BJ2001" i="48"/>
  <c r="BJ1729" i="48"/>
  <c r="BD1729" i="48"/>
  <c r="BD686" i="48"/>
  <c r="BJ686" i="48"/>
  <c r="BD917" i="48"/>
  <c r="BJ917" i="48"/>
  <c r="BJ1559" i="48"/>
  <c r="BD1559" i="48"/>
  <c r="BA989" i="48"/>
  <c r="AY989" i="48"/>
  <c r="AX989" i="48"/>
  <c r="BK989" i="48"/>
  <c r="AU989" i="48"/>
  <c r="AP989" i="48" s="1"/>
  <c r="AZ989" i="48"/>
  <c r="AV989" i="48"/>
  <c r="AW989" i="48"/>
  <c r="BJ712" i="48"/>
  <c r="BD712" i="48"/>
  <c r="AX712" i="48"/>
  <c r="BK712" i="48"/>
  <c r="AY712" i="48"/>
  <c r="AV712" i="48"/>
  <c r="AU712" i="48"/>
  <c r="AZ712" i="48"/>
  <c r="BA712" i="48"/>
  <c r="AW712" i="48"/>
  <c r="BA1644" i="48"/>
  <c r="AY1644" i="48"/>
  <c r="AX1644" i="48"/>
  <c r="BK1644" i="48"/>
  <c r="AU1644" i="48"/>
  <c r="AK1644" i="48" s="1"/>
  <c r="AW1644" i="48"/>
  <c r="AV1644" i="48"/>
  <c r="AZ1644" i="48"/>
  <c r="BA1420" i="48"/>
  <c r="AW1420" i="48"/>
  <c r="AV1420" i="48"/>
  <c r="AX1420" i="48"/>
  <c r="BK1420" i="48"/>
  <c r="AY1420" i="48"/>
  <c r="AZ1420" i="48"/>
  <c r="AU1420" i="48"/>
  <c r="AO1420" i="48" s="1"/>
  <c r="BD902" i="48"/>
  <c r="BJ902" i="48"/>
  <c r="BD569" i="48"/>
  <c r="BJ569" i="48"/>
  <c r="AX576" i="48"/>
  <c r="BK576" i="48"/>
  <c r="AV576" i="48"/>
  <c r="BA576" i="48"/>
  <c r="AU576" i="48"/>
  <c r="AZ576" i="48"/>
  <c r="AW576" i="48"/>
  <c r="AY576" i="48"/>
  <c r="BA1117" i="48"/>
  <c r="AY1117" i="48"/>
  <c r="AX1117" i="48"/>
  <c r="BK1117" i="48"/>
  <c r="AU1117" i="48"/>
  <c r="AZ1117" i="48"/>
  <c r="AV1117" i="48"/>
  <c r="AW1117" i="48"/>
  <c r="BJ847" i="48"/>
  <c r="BD847" i="48"/>
  <c r="BJ1344" i="48"/>
  <c r="BD1344" i="48"/>
  <c r="BD1784" i="48"/>
  <c r="BJ1784" i="48"/>
  <c r="BA815" i="48"/>
  <c r="AW815" i="48"/>
  <c r="AV815" i="48"/>
  <c r="BK815" i="48"/>
  <c r="AZ815" i="48"/>
  <c r="AY815" i="48"/>
  <c r="AU815" i="48"/>
  <c r="AX815" i="48"/>
  <c r="BA1740" i="48"/>
  <c r="AW1740" i="48"/>
  <c r="AZ1740" i="48"/>
  <c r="AU1740" i="48"/>
  <c r="AV1740" i="48"/>
  <c r="AX1740" i="48"/>
  <c r="BK1740" i="48"/>
  <c r="AY1740" i="48"/>
  <c r="BJ999" i="48"/>
  <c r="BD999" i="48"/>
  <c r="BA1394" i="48"/>
  <c r="AX1394" i="48"/>
  <c r="BK1394" i="48"/>
  <c r="AU1394" i="48"/>
  <c r="AM1394" i="48" s="1"/>
  <c r="AY1394" i="48"/>
  <c r="AV1394" i="48"/>
  <c r="AZ1394" i="48"/>
  <c r="AW1394" i="48"/>
  <c r="BA1006" i="48"/>
  <c r="AW1006" i="48"/>
  <c r="AZ1006" i="48"/>
  <c r="AU1006" i="48"/>
  <c r="AP1006" i="48" s="1"/>
  <c r="AV1006" i="48"/>
  <c r="AX1006" i="48"/>
  <c r="BK1006" i="48"/>
  <c r="AY1006" i="48"/>
  <c r="BD1695" i="48"/>
  <c r="BJ1695" i="48"/>
  <c r="BA865" i="48"/>
  <c r="AY865" i="48"/>
  <c r="AX865" i="48"/>
  <c r="BK865" i="48"/>
  <c r="AU865" i="48"/>
  <c r="AV865" i="48"/>
  <c r="AW865" i="48"/>
  <c r="AZ865" i="48"/>
  <c r="BA849" i="48"/>
  <c r="AX849" i="48"/>
  <c r="AV849" i="48"/>
  <c r="BK849" i="48"/>
  <c r="AZ849" i="48"/>
  <c r="AU849" i="48"/>
  <c r="AN849" i="48" s="1"/>
  <c r="AY849" i="48"/>
  <c r="AW849" i="48"/>
  <c r="AX594" i="48"/>
  <c r="AY594" i="48"/>
  <c r="AZ594" i="48"/>
  <c r="AU594" i="48"/>
  <c r="AW594" i="48"/>
  <c r="AV594" i="48"/>
  <c r="BA594" i="48"/>
  <c r="BK594" i="48"/>
  <c r="BJ1215" i="48"/>
  <c r="BD1215" i="48"/>
  <c r="BA1215" i="48"/>
  <c r="AX1215" i="48"/>
  <c r="AV1215" i="48"/>
  <c r="AZ1215" i="48"/>
  <c r="AU1215" i="48"/>
  <c r="AY1215" i="48"/>
  <c r="BK1215" i="48"/>
  <c r="AW1215" i="48"/>
  <c r="BD1233" i="48"/>
  <c r="BJ1233" i="48"/>
  <c r="AW2010" i="48"/>
  <c r="AV2010" i="48"/>
  <c r="AX2010" i="48"/>
  <c r="BA2010" i="48"/>
  <c r="BK2010" i="48"/>
  <c r="AZ2010" i="48"/>
  <c r="AY2010" i="48"/>
  <c r="AU2010" i="48"/>
  <c r="AO2010" i="48" s="1"/>
  <c r="BA1746" i="48"/>
  <c r="AV1746" i="48"/>
  <c r="AZ1746" i="48"/>
  <c r="AU1746" i="48"/>
  <c r="BK1746" i="48"/>
  <c r="AY1746" i="48"/>
  <c r="AX1746" i="48"/>
  <c r="AW1746" i="48"/>
  <c r="BD834" i="48"/>
  <c r="BJ834" i="48"/>
  <c r="BA1703" i="48"/>
  <c r="AU1703" i="48"/>
  <c r="BK1703" i="48"/>
  <c r="AY1703" i="48"/>
  <c r="AX1703" i="48"/>
  <c r="AV1703" i="48"/>
  <c r="AZ1703" i="48"/>
  <c r="AW1703" i="48"/>
  <c r="BJ1497" i="48"/>
  <c r="BD1497" i="48"/>
  <c r="BA1191" i="48"/>
  <c r="BK1191" i="48"/>
  <c r="AY1191" i="48"/>
  <c r="AX1191" i="48"/>
  <c r="AV1191" i="48"/>
  <c r="AU1191" i="48"/>
  <c r="AP1191" i="48" s="1"/>
  <c r="AZ1191" i="48"/>
  <c r="AW1191" i="48"/>
  <c r="BA825" i="48"/>
  <c r="AY825" i="48"/>
  <c r="AX825" i="48"/>
  <c r="AV825" i="48"/>
  <c r="BK825" i="48"/>
  <c r="AZ825" i="48"/>
  <c r="AU825" i="48"/>
  <c r="AW825" i="48"/>
  <c r="BA1022" i="48"/>
  <c r="AW1022" i="48"/>
  <c r="BK1022" i="48"/>
  <c r="AY1022" i="48"/>
  <c r="AZ1022" i="48"/>
  <c r="AU1022" i="48"/>
  <c r="AO1022" i="48" s="1"/>
  <c r="AV1022" i="48"/>
  <c r="AX1022" i="48"/>
  <c r="BD886" i="48"/>
  <c r="BJ886" i="48"/>
  <c r="BJ1330" i="48"/>
  <c r="BD1330" i="48"/>
  <c r="BD942" i="48"/>
  <c r="BJ942" i="48"/>
  <c r="AX2041" i="48"/>
  <c r="BA2041" i="48"/>
  <c r="BK2041" i="48"/>
  <c r="AV2041" i="48"/>
  <c r="AW2041" i="48"/>
  <c r="AZ2041" i="48"/>
  <c r="AY2041" i="48"/>
  <c r="AU2041" i="48"/>
  <c r="BJ1461" i="48"/>
  <c r="BD1461" i="48"/>
  <c r="BD1816" i="48"/>
  <c r="BJ1816" i="48"/>
  <c r="BD2030" i="48"/>
  <c r="BJ2030" i="48"/>
  <c r="AX1391" i="48"/>
  <c r="AW1391" i="48"/>
  <c r="BK1391" i="48"/>
  <c r="AY1391" i="48"/>
  <c r="AZ1391" i="48"/>
  <c r="AU1391" i="48"/>
  <c r="AO1391" i="48" s="1"/>
  <c r="AV1391" i="48"/>
  <c r="BA1391" i="48"/>
  <c r="BD1225" i="48"/>
  <c r="BJ1225" i="48"/>
  <c r="BJ2005" i="48"/>
  <c r="BD2005" i="48"/>
  <c r="BA2005" i="48"/>
  <c r="AW2005" i="48"/>
  <c r="AU2005" i="48"/>
  <c r="AY2005" i="48"/>
  <c r="AZ2005" i="48"/>
  <c r="AX2005" i="48"/>
  <c r="AV2005" i="48"/>
  <c r="BK2005" i="48"/>
  <c r="AY1058" i="48"/>
  <c r="AW1058" i="48"/>
  <c r="AZ1058" i="48"/>
  <c r="AU1058" i="48"/>
  <c r="AN1058" i="48" s="1"/>
  <c r="AV1058" i="48"/>
  <c r="AX1058" i="48"/>
  <c r="BK1058" i="48"/>
  <c r="BA1058" i="48"/>
  <c r="BJ976" i="48"/>
  <c r="BD976" i="48"/>
  <c r="BA1635" i="48"/>
  <c r="AV1635" i="48"/>
  <c r="AZ1635" i="48"/>
  <c r="AU1635" i="48"/>
  <c r="BK1635" i="48"/>
  <c r="AY1635" i="48"/>
  <c r="AX1635" i="48"/>
  <c r="AW1635" i="48"/>
  <c r="BJ1599" i="48"/>
  <c r="BD1599" i="48"/>
  <c r="BD697" i="48"/>
  <c r="BJ697" i="48"/>
  <c r="BA2021" i="48"/>
  <c r="AW2021" i="48"/>
  <c r="AZ2021" i="48"/>
  <c r="AU2021" i="48"/>
  <c r="AM2021" i="48" s="1"/>
  <c r="AV2021" i="48"/>
  <c r="AX2021" i="48"/>
  <c r="BK2021" i="48"/>
  <c r="AY2021" i="48"/>
  <c r="BD1085" i="48"/>
  <c r="BJ1085" i="48"/>
  <c r="BA1596" i="48"/>
  <c r="AY1596" i="48"/>
  <c r="AX1596" i="48"/>
  <c r="BK1596" i="48"/>
  <c r="AU1596" i="48"/>
  <c r="AP1596" i="48" s="1"/>
  <c r="AW1596" i="48"/>
  <c r="AV1596" i="48"/>
  <c r="AZ1596" i="48"/>
  <c r="BD408" i="48"/>
  <c r="BJ408" i="48"/>
  <c r="AY289" i="48"/>
  <c r="AZ289" i="48"/>
  <c r="BJ289" i="48" s="1"/>
  <c r="AU289" i="48"/>
  <c r="AO289" i="48" s="1"/>
  <c r="AW289" i="48"/>
  <c r="BD289" i="48" s="1"/>
  <c r="AX289" i="48"/>
  <c r="AV289" i="48"/>
  <c r="BK289" i="48"/>
  <c r="BA524" i="48"/>
  <c r="AY524" i="48"/>
  <c r="BK524" i="48"/>
  <c r="AX524" i="48"/>
  <c r="AU524" i="48"/>
  <c r="AO524" i="48" s="1"/>
  <c r="AW524" i="48"/>
  <c r="AV524" i="48"/>
  <c r="AZ524" i="48"/>
  <c r="BA423" i="48"/>
  <c r="BK423" i="48"/>
  <c r="AY423" i="48"/>
  <c r="AX423" i="48"/>
  <c r="AV423" i="48"/>
  <c r="AZ423" i="48"/>
  <c r="AU423" i="48"/>
  <c r="AK423" i="48" s="1"/>
  <c r="AW423" i="48"/>
  <c r="BA492" i="48"/>
  <c r="BK492" i="48"/>
  <c r="AX492" i="48"/>
  <c r="AU492" i="48"/>
  <c r="AK492" i="48" s="1"/>
  <c r="AY492" i="48"/>
  <c r="AW492" i="48"/>
  <c r="AV492" i="48"/>
  <c r="AZ492" i="48"/>
  <c r="AW202" i="48"/>
  <c r="BD202" i="48" s="1"/>
  <c r="AV202" i="48"/>
  <c r="AX202" i="48"/>
  <c r="BK202" i="48"/>
  <c r="AZ202" i="48"/>
  <c r="BJ202" i="48" s="1"/>
  <c r="AY202" i="48"/>
  <c r="AU202" i="48"/>
  <c r="AO202" i="48" s="1"/>
  <c r="AP202" i="48" s="1"/>
  <c r="BD249" i="48"/>
  <c r="BJ249" i="48"/>
  <c r="BD296" i="48"/>
  <c r="BJ296" i="48"/>
  <c r="BD504" i="48"/>
  <c r="BJ504" i="48"/>
  <c r="BA489" i="48"/>
  <c r="AW489" i="48"/>
  <c r="AX489" i="48"/>
  <c r="BK489" i="48"/>
  <c r="AZ489" i="48"/>
  <c r="AY489" i="48"/>
  <c r="AV489" i="48"/>
  <c r="AU489" i="48"/>
  <c r="AK489" i="48" s="1"/>
  <c r="BD156" i="48"/>
  <c r="BJ156" i="48"/>
  <c r="BD337" i="48"/>
  <c r="BJ337" i="48"/>
  <c r="BA318" i="48"/>
  <c r="AW318" i="48"/>
  <c r="AV318" i="48"/>
  <c r="AU318" i="48"/>
  <c r="AL318" i="48" s="1"/>
  <c r="AX318" i="48"/>
  <c r="BK318" i="48"/>
  <c r="AZ318" i="48"/>
  <c r="AY318" i="48"/>
  <c r="BD336" i="48"/>
  <c r="BJ336" i="48"/>
  <c r="BA359" i="48"/>
  <c r="BK359" i="48"/>
  <c r="AY359" i="48"/>
  <c r="AX359" i="48"/>
  <c r="AV359" i="48"/>
  <c r="AZ359" i="48"/>
  <c r="AU359" i="48"/>
  <c r="AW359" i="48"/>
  <c r="BA360" i="48"/>
  <c r="AY360" i="48"/>
  <c r="AX360" i="48"/>
  <c r="BK360" i="48"/>
  <c r="AU360" i="48"/>
  <c r="AN360" i="48" s="1"/>
  <c r="AV360" i="48"/>
  <c r="AZ360" i="48"/>
  <c r="AW360" i="48"/>
  <c r="BJ351" i="48"/>
  <c r="BD351" i="48"/>
  <c r="BA351" i="48"/>
  <c r="AX351" i="48"/>
  <c r="AV351" i="48"/>
  <c r="AZ351" i="48"/>
  <c r="AU351" i="48"/>
  <c r="BK351" i="48"/>
  <c r="AY351" i="48"/>
  <c r="AW351" i="48"/>
  <c r="BA531" i="48"/>
  <c r="AX531" i="48"/>
  <c r="AV531" i="48"/>
  <c r="BK531" i="48"/>
  <c r="AZ531" i="48"/>
  <c r="AU531" i="48"/>
  <c r="AY531" i="48"/>
  <c r="AW531" i="48"/>
  <c r="BJ234" i="48"/>
  <c r="BD234" i="48"/>
  <c r="BJ159" i="48"/>
  <c r="BD159" i="48"/>
  <c r="AX60" i="48"/>
  <c r="BK60" i="48"/>
  <c r="AU60" i="48"/>
  <c r="AY60" i="48"/>
  <c r="AV60" i="48"/>
  <c r="AZ60" i="48"/>
  <c r="BJ60" i="48" s="1"/>
  <c r="AW60" i="48"/>
  <c r="BD60" i="48" s="1"/>
  <c r="BA459" i="48"/>
  <c r="BK459" i="48"/>
  <c r="AY459" i="48"/>
  <c r="AX459" i="48"/>
  <c r="AV459" i="48"/>
  <c r="AZ459" i="48"/>
  <c r="AU459" i="48"/>
  <c r="AM459" i="48" s="1"/>
  <c r="AW459" i="48"/>
  <c r="BK236" i="48"/>
  <c r="AU236" i="48"/>
  <c r="AY236" i="48"/>
  <c r="AX236" i="48"/>
  <c r="AV236" i="48"/>
  <c r="AZ236" i="48"/>
  <c r="BJ236" i="48" s="1"/>
  <c r="AW236" i="48"/>
  <c r="BD236" i="48" s="1"/>
  <c r="AW134" i="48"/>
  <c r="BD134" i="48" s="1"/>
  <c r="AY134" i="48"/>
  <c r="AU134" i="48"/>
  <c r="AV134" i="48"/>
  <c r="AX134" i="48"/>
  <c r="BK134" i="48"/>
  <c r="AZ134" i="48"/>
  <c r="BJ134" i="48" s="1"/>
  <c r="BJ507" i="48"/>
  <c r="BD507" i="48"/>
  <c r="BJ502" i="48"/>
  <c r="BD502" i="48"/>
  <c r="BJ498" i="48"/>
  <c r="BD498" i="48"/>
  <c r="BJ282" i="48"/>
  <c r="BD282" i="48"/>
  <c r="AW305" i="48"/>
  <c r="AZ305" i="48"/>
  <c r="AU305" i="48"/>
  <c r="AV305" i="48"/>
  <c r="BK305" i="48"/>
  <c r="AX305" i="48"/>
  <c r="BA305" i="48"/>
  <c r="AY305" i="48"/>
  <c r="AX477" i="48"/>
  <c r="AW477" i="48"/>
  <c r="AZ477" i="48"/>
  <c r="AU477" i="48"/>
  <c r="AV477" i="48"/>
  <c r="BA477" i="48"/>
  <c r="BK477" i="48"/>
  <c r="AY477" i="48"/>
  <c r="BJ410" i="48"/>
  <c r="BD410" i="48"/>
  <c r="AX453" i="48"/>
  <c r="BK453" i="48"/>
  <c r="AY453" i="48"/>
  <c r="AW453" i="48"/>
  <c r="AZ453" i="48"/>
  <c r="AU453" i="48"/>
  <c r="AV453" i="48"/>
  <c r="BA453" i="48"/>
  <c r="BJ471" i="48"/>
  <c r="BD471" i="48"/>
  <c r="AX109" i="48"/>
  <c r="AW109" i="48"/>
  <c r="BD109" i="48" s="1"/>
  <c r="AV109" i="48"/>
  <c r="BK109" i="48"/>
  <c r="AY109" i="48"/>
  <c r="AZ109" i="48"/>
  <c r="BJ109" i="48" s="1"/>
  <c r="AU109" i="48"/>
  <c r="AV239" i="48"/>
  <c r="BK239" i="48"/>
  <c r="AZ239" i="48"/>
  <c r="BJ239" i="48" s="1"/>
  <c r="AU239" i="48"/>
  <c r="AY239" i="48"/>
  <c r="AX239" i="48"/>
  <c r="AW239" i="48"/>
  <c r="BD239" i="48" s="1"/>
  <c r="BD209" i="48"/>
  <c r="BJ209" i="48"/>
  <c r="BA1507" i="48"/>
  <c r="AX1507" i="48"/>
  <c r="BK1507" i="48"/>
  <c r="AV1507" i="48"/>
  <c r="AZ1507" i="48"/>
  <c r="AW1507" i="48"/>
  <c r="AU1507" i="48"/>
  <c r="AO1507" i="48" s="1"/>
  <c r="AY1507" i="48"/>
  <c r="BJ1612" i="48"/>
  <c r="BD1612" i="48"/>
  <c r="BA1832" i="48"/>
  <c r="AV1832" i="48"/>
  <c r="AZ1832" i="48"/>
  <c r="AU1832" i="48"/>
  <c r="AO1832" i="48" s="1"/>
  <c r="BK1832" i="48"/>
  <c r="AY1832" i="48"/>
  <c r="AX1832" i="48"/>
  <c r="AW1832" i="48"/>
  <c r="BD1333" i="48"/>
  <c r="BJ1333" i="48"/>
  <c r="BJ1833" i="48"/>
  <c r="BD1833" i="48"/>
  <c r="BJ1567" i="48"/>
  <c r="BD1567" i="48"/>
  <c r="BD1532" i="48"/>
  <c r="BJ1532" i="48"/>
  <c r="BJ1107" i="48"/>
  <c r="BD1107" i="48"/>
  <c r="BJ1606" i="48"/>
  <c r="BD1606" i="48"/>
  <c r="BJ807" i="48"/>
  <c r="BD807" i="48"/>
  <c r="BJ1938" i="48"/>
  <c r="BD1938" i="48"/>
  <c r="BA1938" i="48"/>
  <c r="AX1938" i="48"/>
  <c r="AV1938" i="48"/>
  <c r="AZ1938" i="48"/>
  <c r="AY1938" i="48"/>
  <c r="AU1938" i="48"/>
  <c r="BK1938" i="48"/>
  <c r="AW1938" i="48"/>
  <c r="BD674" i="48"/>
  <c r="BJ674" i="48"/>
  <c r="BD601" i="48"/>
  <c r="BJ601" i="48"/>
  <c r="BJ1779" i="48"/>
  <c r="BD1779" i="48"/>
  <c r="BD1755" i="48"/>
  <c r="BJ1755" i="48"/>
  <c r="BA1724" i="48"/>
  <c r="AW1724" i="48"/>
  <c r="AV1724" i="48"/>
  <c r="AX1724" i="48"/>
  <c r="BK1724" i="48"/>
  <c r="AY1724" i="48"/>
  <c r="AZ1724" i="48"/>
  <c r="AU1724" i="48"/>
  <c r="AN1724" i="48" s="1"/>
  <c r="AZ1206" i="48"/>
  <c r="AU1206" i="48"/>
  <c r="AV1206" i="48"/>
  <c r="AX1206" i="48"/>
  <c r="BK1206" i="48"/>
  <c r="BA1206" i="48"/>
  <c r="AY1206" i="48"/>
  <c r="AW1206" i="48"/>
  <c r="BA1662" i="48"/>
  <c r="AW1662" i="48"/>
  <c r="AY1662" i="48"/>
  <c r="AZ1662" i="48"/>
  <c r="AU1662" i="48"/>
  <c r="AN1662" i="48" s="1"/>
  <c r="AV1662" i="48"/>
  <c r="AX1662" i="48"/>
  <c r="BK1662" i="48"/>
  <c r="BA1125" i="48"/>
  <c r="AY1125" i="48"/>
  <c r="BK1125" i="48"/>
  <c r="AX1125" i="48"/>
  <c r="AU1125" i="48"/>
  <c r="AP1125" i="48" s="1"/>
  <c r="AV1125" i="48"/>
  <c r="AW1125" i="48"/>
  <c r="AZ1125" i="48"/>
  <c r="BJ1190" i="48"/>
  <c r="BD1190" i="48"/>
  <c r="BA1184" i="48"/>
  <c r="AY1184" i="48"/>
  <c r="AX1184" i="48"/>
  <c r="BK1184" i="48"/>
  <c r="AU1184" i="48"/>
  <c r="AV1184" i="48"/>
  <c r="AZ1184" i="48"/>
  <c r="AW1184" i="48"/>
  <c r="BJ1849" i="48"/>
  <c r="BD1849" i="48"/>
  <c r="BJ1375" i="48"/>
  <c r="BD1375" i="48"/>
  <c r="BJ2015" i="48"/>
  <c r="BD2015" i="48"/>
  <c r="BJ608" i="48"/>
  <c r="BD608" i="48"/>
  <c r="BA1588" i="48"/>
  <c r="AY1588" i="48"/>
  <c r="AX1588" i="48"/>
  <c r="BK1588" i="48"/>
  <c r="AU1588" i="48"/>
  <c r="AP1588" i="48" s="1"/>
  <c r="AV1588" i="48"/>
  <c r="AZ1588" i="48"/>
  <c r="AW1588" i="48"/>
  <c r="BA2047" i="48"/>
  <c r="AX2047" i="48"/>
  <c r="BK2047" i="48"/>
  <c r="AU2047" i="48"/>
  <c r="AY2047" i="48"/>
  <c r="AV2047" i="48"/>
  <c r="AW2047" i="48"/>
  <c r="AZ2047" i="48"/>
  <c r="BJ1917" i="48"/>
  <c r="BD1917" i="48"/>
  <c r="BJ664" i="48"/>
  <c r="BD664" i="48"/>
  <c r="AX664" i="48"/>
  <c r="BK664" i="48"/>
  <c r="AY664" i="48"/>
  <c r="AV664" i="48"/>
  <c r="AU664" i="48"/>
  <c r="AZ664" i="48"/>
  <c r="BA664" i="48"/>
  <c r="AW664" i="48"/>
  <c r="AX764" i="48"/>
  <c r="AU764" i="48"/>
  <c r="AL764" i="48" s="1"/>
  <c r="BK764" i="48"/>
  <c r="AZ764" i="48"/>
  <c r="AY764" i="48"/>
  <c r="AV764" i="48"/>
  <c r="AW764" i="48"/>
  <c r="BA764" i="48"/>
  <c r="AX768" i="48"/>
  <c r="AU768" i="48"/>
  <c r="AK768" i="48" s="1"/>
  <c r="AZ768" i="48"/>
  <c r="BK768" i="48"/>
  <c r="AY768" i="48"/>
  <c r="AV768" i="48"/>
  <c r="AW768" i="48"/>
  <c r="BA768" i="48"/>
  <c r="BA1382" i="48"/>
  <c r="BK1382" i="48"/>
  <c r="AU1382" i="48"/>
  <c r="AM1382" i="48" s="1"/>
  <c r="AY1382" i="48"/>
  <c r="AX1382" i="48"/>
  <c r="AV1382" i="48"/>
  <c r="AW1382" i="48"/>
  <c r="AZ1382" i="48"/>
  <c r="BJ955" i="48"/>
  <c r="BD955" i="48"/>
  <c r="BA1305" i="48"/>
  <c r="AX1305" i="48"/>
  <c r="AU1305" i="48"/>
  <c r="AO1305" i="48" s="1"/>
  <c r="AY1305" i="48"/>
  <c r="AV1305" i="48"/>
  <c r="BK1305" i="48"/>
  <c r="AZ1305" i="48"/>
  <c r="AW1305" i="48"/>
  <c r="BD1037" i="48"/>
  <c r="BJ1037" i="48"/>
  <c r="BJ680" i="48"/>
  <c r="BD680" i="48"/>
  <c r="BD1172" i="48"/>
  <c r="BJ1172" i="48"/>
  <c r="AV703" i="48"/>
  <c r="BA703" i="48"/>
  <c r="AW703" i="48"/>
  <c r="AU703" i="48"/>
  <c r="AX703" i="48"/>
  <c r="BK703" i="48"/>
  <c r="AZ703" i="48"/>
  <c r="AY703" i="48"/>
  <c r="BJ1774" i="48"/>
  <c r="BD1774" i="48"/>
  <c r="BJ1180" i="48"/>
  <c r="BD1180" i="48"/>
  <c r="BD1181" i="48"/>
  <c r="BJ1181" i="48"/>
  <c r="BJ1306" i="48"/>
  <c r="BD1306" i="48"/>
  <c r="AX1551" i="48"/>
  <c r="AZ1551" i="48"/>
  <c r="BK1551" i="48"/>
  <c r="AY1551" i="48"/>
  <c r="AV1551" i="48"/>
  <c r="AU1551" i="48"/>
  <c r="AW1551" i="48"/>
  <c r="BA1551" i="48"/>
  <c r="AZ1346" i="48"/>
  <c r="AU1346" i="48"/>
  <c r="AK1346" i="48" s="1"/>
  <c r="AV1346" i="48"/>
  <c r="AX1346" i="48"/>
  <c r="BK1346" i="48"/>
  <c r="BA1346" i="48"/>
  <c r="AY1346" i="48"/>
  <c r="AW1346" i="48"/>
  <c r="BA1136" i="48"/>
  <c r="AZ1136" i="48"/>
  <c r="AU1136" i="48"/>
  <c r="AK1136" i="48" s="1"/>
  <c r="BK1136" i="48"/>
  <c r="AY1136" i="48"/>
  <c r="AX1136" i="48"/>
  <c r="AV1136" i="48"/>
  <c r="AW1136" i="48"/>
  <c r="BJ603" i="48"/>
  <c r="BD603" i="48"/>
  <c r="AW603" i="48"/>
  <c r="AX603" i="48"/>
  <c r="AV603" i="48"/>
  <c r="BK603" i="48"/>
  <c r="AZ603" i="48"/>
  <c r="AY603" i="48"/>
  <c r="BA603" i="48"/>
  <c r="AU603" i="48"/>
  <c r="AP603" i="48" s="1"/>
  <c r="BD738" i="48"/>
  <c r="BJ738" i="48"/>
  <c r="BK1031" i="48"/>
  <c r="AV1031" i="48"/>
  <c r="AZ1031" i="48"/>
  <c r="BA1031" i="48"/>
  <c r="AU1031" i="48"/>
  <c r="AW1031" i="48"/>
  <c r="AX1031" i="48"/>
  <c r="AY1031" i="48"/>
  <c r="BA1675" i="48"/>
  <c r="AV1675" i="48"/>
  <c r="AZ1675" i="48"/>
  <c r="AU1675" i="48"/>
  <c r="BK1675" i="48"/>
  <c r="AY1675" i="48"/>
  <c r="AX1675" i="48"/>
  <c r="AW1675" i="48"/>
  <c r="BA1863" i="48"/>
  <c r="AW1863" i="48"/>
  <c r="AZ1863" i="48"/>
  <c r="AU1863" i="48"/>
  <c r="AV1863" i="48"/>
  <c r="AX1863" i="48"/>
  <c r="BK1863" i="48"/>
  <c r="AY1863" i="48"/>
  <c r="BJ1176" i="48"/>
  <c r="BD1176" i="48"/>
  <c r="AX610" i="48"/>
  <c r="AY610" i="48"/>
  <c r="AW610" i="48"/>
  <c r="AZ610" i="48"/>
  <c r="AU610" i="48"/>
  <c r="AP610" i="48" s="1"/>
  <c r="AV610" i="48"/>
  <c r="BA610" i="48"/>
  <c r="BK610" i="48"/>
  <c r="BJ1238" i="48"/>
  <c r="BD1238" i="48"/>
  <c r="BA1422" i="48"/>
  <c r="AY1422" i="48"/>
  <c r="AX1422" i="48"/>
  <c r="BK1422" i="48"/>
  <c r="AU1422" i="48"/>
  <c r="AV1422" i="48"/>
  <c r="AW1422" i="48"/>
  <c r="AZ1422" i="48"/>
  <c r="BJ667" i="48"/>
  <c r="BD667" i="48"/>
  <c r="BA1452" i="48"/>
  <c r="AW1452" i="48"/>
  <c r="AV1452" i="48"/>
  <c r="AX1452" i="48"/>
  <c r="BK1452" i="48"/>
  <c r="AY1452" i="48"/>
  <c r="AZ1452" i="48"/>
  <c r="AU1452" i="48"/>
  <c r="AP1452" i="48" s="1"/>
  <c r="BK951" i="48"/>
  <c r="AV951" i="48"/>
  <c r="AZ951" i="48"/>
  <c r="BA951" i="48"/>
  <c r="AX951" i="48"/>
  <c r="AU951" i="48"/>
  <c r="AW951" i="48"/>
  <c r="AY951" i="48"/>
  <c r="BA1828" i="48"/>
  <c r="BK1828" i="48"/>
  <c r="AY1828" i="48"/>
  <c r="AX1828" i="48"/>
  <c r="AZ1828" i="48"/>
  <c r="AV1828" i="48"/>
  <c r="AU1828" i="48"/>
  <c r="AW1828" i="48"/>
  <c r="BJ1527" i="48"/>
  <c r="BD1527" i="48"/>
  <c r="BA1738" i="48"/>
  <c r="AZ1738" i="48"/>
  <c r="AU1738" i="48"/>
  <c r="AL1738" i="48" s="1"/>
  <c r="BK1738" i="48"/>
  <c r="AY1738" i="48"/>
  <c r="AX1738" i="48"/>
  <c r="AV1738" i="48"/>
  <c r="AW1738" i="48"/>
  <c r="BA1792" i="48"/>
  <c r="AX1792" i="48"/>
  <c r="BK1792" i="48"/>
  <c r="AZ1792" i="48"/>
  <c r="AU1792" i="48"/>
  <c r="AM1792" i="48" s="1"/>
  <c r="AY1792" i="48"/>
  <c r="AV1792" i="48"/>
  <c r="AW1792" i="48"/>
  <c r="BJ2036" i="48"/>
  <c r="BD2036" i="48"/>
  <c r="BJ1734" i="48"/>
  <c r="BD1734" i="48"/>
  <c r="BJ1450" i="48"/>
  <c r="BD1450" i="48"/>
  <c r="BA1353" i="48"/>
  <c r="AZ1353" i="48"/>
  <c r="AX1353" i="48"/>
  <c r="AV1353" i="48"/>
  <c r="BK1353" i="48"/>
  <c r="AU1353" i="48"/>
  <c r="AY1353" i="48"/>
  <c r="AW1353" i="48"/>
  <c r="BA1853" i="48"/>
  <c r="AY1853" i="48"/>
  <c r="AX1853" i="48"/>
  <c r="AU1853" i="48"/>
  <c r="BK1853" i="48"/>
  <c r="AW1853" i="48"/>
  <c r="AV1853" i="48"/>
  <c r="AZ1853" i="48"/>
  <c r="AX1543" i="48"/>
  <c r="AV1543" i="48"/>
  <c r="AU1543" i="48"/>
  <c r="AZ1543" i="48"/>
  <c r="BK1543" i="48"/>
  <c r="AY1543" i="48"/>
  <c r="AW1543" i="48"/>
  <c r="BA1543" i="48"/>
  <c r="BJ1402" i="48"/>
  <c r="BD1402" i="48"/>
  <c r="BJ1975" i="48"/>
  <c r="BD1975" i="48"/>
  <c r="AV719" i="48"/>
  <c r="BA719" i="48"/>
  <c r="AW719" i="48"/>
  <c r="AU719" i="48"/>
  <c r="AL719" i="48" s="1"/>
  <c r="AX719" i="48"/>
  <c r="BK719" i="48"/>
  <c r="AZ719" i="48"/>
  <c r="AY719" i="48"/>
  <c r="BA1221" i="48"/>
  <c r="AX1221" i="48"/>
  <c r="BK1221" i="48"/>
  <c r="AZ1221" i="48"/>
  <c r="AU1221" i="48"/>
  <c r="AK1221" i="48" s="1"/>
  <c r="AW1221" i="48"/>
  <c r="AY1221" i="48"/>
  <c r="AV1221" i="48"/>
  <c r="BJ795" i="48"/>
  <c r="BD795" i="48"/>
  <c r="BA795" i="48"/>
  <c r="AW795" i="48"/>
  <c r="AX795" i="48"/>
  <c r="BK795" i="48"/>
  <c r="AZ795" i="48"/>
  <c r="AY795" i="48"/>
  <c r="AV795" i="48"/>
  <c r="AU795" i="48"/>
  <c r="BJ583" i="48"/>
  <c r="BD583" i="48"/>
  <c r="BJ1441" i="48"/>
  <c r="BD1441" i="48"/>
  <c r="BJ1897" i="48"/>
  <c r="BD1897" i="48"/>
  <c r="BJ1884" i="48"/>
  <c r="BD1884" i="48"/>
  <c r="BD593" i="48"/>
  <c r="BJ593" i="48"/>
  <c r="BJ1893" i="48"/>
  <c r="BD1893" i="48"/>
  <c r="BA1311" i="48"/>
  <c r="AV1311" i="48"/>
  <c r="AZ1311" i="48"/>
  <c r="AU1311" i="48"/>
  <c r="BK1311" i="48"/>
  <c r="AY1311" i="48"/>
  <c r="AX1311" i="48"/>
  <c r="AW1311" i="48"/>
  <c r="BJ1794" i="48"/>
  <c r="BD1794" i="48"/>
  <c r="BJ828" i="48"/>
  <c r="BD828" i="48"/>
  <c r="BA609" i="48"/>
  <c r="AV609" i="48"/>
  <c r="AZ609" i="48"/>
  <c r="AU609" i="48"/>
  <c r="AM609" i="48" s="1"/>
  <c r="BK609" i="48"/>
  <c r="AY609" i="48"/>
  <c r="AX609" i="48"/>
  <c r="AW609" i="48"/>
  <c r="BA1200" i="48"/>
  <c r="AY1200" i="48"/>
  <c r="AX1200" i="48"/>
  <c r="BK1200" i="48"/>
  <c r="AU1200" i="48"/>
  <c r="AV1200" i="48"/>
  <c r="AZ1200" i="48"/>
  <c r="AW1200" i="48"/>
  <c r="BA1299" i="48"/>
  <c r="AV1299" i="48"/>
  <c r="AZ1299" i="48"/>
  <c r="AU1299" i="48"/>
  <c r="AO1299" i="48" s="1"/>
  <c r="BK1299" i="48"/>
  <c r="AY1299" i="48"/>
  <c r="AX1299" i="48"/>
  <c r="AW1299" i="48"/>
  <c r="BJ1775" i="48"/>
  <c r="BD1775" i="48"/>
  <c r="BD958" i="48"/>
  <c r="BJ958" i="48"/>
  <c r="BD1715" i="48"/>
  <c r="BJ1715" i="48"/>
  <c r="BA1742" i="48"/>
  <c r="AV1742" i="48"/>
  <c r="AZ1742" i="48"/>
  <c r="AU1742" i="48"/>
  <c r="AM1742" i="48" s="1"/>
  <c r="BK1742" i="48"/>
  <c r="AY1742" i="48"/>
  <c r="AX1742" i="48"/>
  <c r="AW1742" i="48"/>
  <c r="BJ1008" i="48"/>
  <c r="BD1008" i="48"/>
  <c r="BD1086" i="48"/>
  <c r="BJ1086" i="48"/>
  <c r="BJ1207" i="48"/>
  <c r="BD1207" i="48"/>
  <c r="BA1207" i="48"/>
  <c r="AX1207" i="48"/>
  <c r="AV1207" i="48"/>
  <c r="AZ1207" i="48"/>
  <c r="AU1207" i="48"/>
  <c r="BK1207" i="48"/>
  <c r="AY1207" i="48"/>
  <c r="AW1207" i="48"/>
  <c r="AZ1302" i="48"/>
  <c r="AU1302" i="48"/>
  <c r="AV1302" i="48"/>
  <c r="AX1302" i="48"/>
  <c r="BK1302" i="48"/>
  <c r="BA1302" i="48"/>
  <c r="AY1302" i="48"/>
  <c r="AW1302" i="48"/>
  <c r="BJ1099" i="48"/>
  <c r="BD1099" i="48"/>
  <c r="BJ1358" i="48"/>
  <c r="BD1358" i="48"/>
  <c r="BA1528" i="48"/>
  <c r="AY1528" i="48"/>
  <c r="AX1528" i="48"/>
  <c r="BK1528" i="48"/>
  <c r="AU1528" i="48"/>
  <c r="AV1528" i="48"/>
  <c r="AW1528" i="48"/>
  <c r="AZ1528" i="48"/>
  <c r="BD1261" i="48"/>
  <c r="BJ1261" i="48"/>
  <c r="BA2008" i="48"/>
  <c r="AV2008" i="48"/>
  <c r="AZ2008" i="48"/>
  <c r="AU2008" i="48"/>
  <c r="AY2008" i="48"/>
  <c r="AX2008" i="48"/>
  <c r="BK2008" i="48"/>
  <c r="AW2008" i="48"/>
  <c r="BD761" i="48"/>
  <c r="BJ761" i="48"/>
  <c r="BJ731" i="48"/>
  <c r="BD731" i="48"/>
  <c r="BD769" i="48"/>
  <c r="BJ769" i="48"/>
  <c r="BA1064" i="48"/>
  <c r="AV1064" i="48"/>
  <c r="BK1064" i="48"/>
  <c r="AZ1064" i="48"/>
  <c r="AU1064" i="48"/>
  <c r="AY1064" i="48"/>
  <c r="AX1064" i="48"/>
  <c r="AW1064" i="48"/>
  <c r="BA1257" i="48"/>
  <c r="AX1257" i="48"/>
  <c r="AU1257" i="48"/>
  <c r="AM1257" i="48" s="1"/>
  <c r="AY1257" i="48"/>
  <c r="AV1257" i="48"/>
  <c r="BK1257" i="48"/>
  <c r="AZ1257" i="48"/>
  <c r="AW1257" i="48"/>
  <c r="BA1361" i="48"/>
  <c r="AV1361" i="48"/>
  <c r="AZ1361" i="48"/>
  <c r="AX1361" i="48"/>
  <c r="BK1361" i="48"/>
  <c r="AU1361" i="48"/>
  <c r="AK1361" i="48" s="1"/>
  <c r="AY1361" i="48"/>
  <c r="AW1361" i="48"/>
  <c r="BJ1725" i="48"/>
  <c r="BD1725" i="48"/>
  <c r="BA2051" i="48"/>
  <c r="AY2051" i="48"/>
  <c r="AX2051" i="48"/>
  <c r="BK2051" i="48"/>
  <c r="AU2051" i="48"/>
  <c r="AO2051" i="48" s="1"/>
  <c r="AV2051" i="48"/>
  <c r="AW2051" i="48"/>
  <c r="AZ2051" i="48"/>
  <c r="BA1411" i="48"/>
  <c r="AX1411" i="48"/>
  <c r="AY1411" i="48"/>
  <c r="AV1411" i="48"/>
  <c r="BK1411" i="48"/>
  <c r="AZ1411" i="48"/>
  <c r="AW1411" i="48"/>
  <c r="AU1411" i="48"/>
  <c r="AL1411" i="48" s="1"/>
  <c r="BJ907" i="48"/>
  <c r="BD907" i="48"/>
  <c r="BD578" i="48"/>
  <c r="BJ578" i="48"/>
  <c r="BJ1961" i="48"/>
  <c r="BD1961" i="48"/>
  <c r="BJ763" i="48"/>
  <c r="BD763" i="48"/>
  <c r="BJ1466" i="48"/>
  <c r="BD1466" i="48"/>
  <c r="BJ979" i="48"/>
  <c r="BD979" i="48"/>
  <c r="BD1692" i="48"/>
  <c r="BJ1692" i="48"/>
  <c r="BJ1765" i="48"/>
  <c r="BD1765" i="48"/>
  <c r="AZ1765" i="48"/>
  <c r="BK1765" i="48"/>
  <c r="AW1765" i="48"/>
  <c r="AY1765" i="48"/>
  <c r="AV1765" i="48"/>
  <c r="AU1765" i="48"/>
  <c r="BA1765" i="48"/>
  <c r="AX1765" i="48"/>
  <c r="BA1101" i="48"/>
  <c r="BK1101" i="48"/>
  <c r="AU1101" i="48"/>
  <c r="AY1101" i="48"/>
  <c r="AX1101" i="48"/>
  <c r="AZ1101" i="48"/>
  <c r="AV1101" i="48"/>
  <c r="AW1101" i="48"/>
  <c r="AX592" i="48"/>
  <c r="AU592" i="48"/>
  <c r="AZ592" i="48"/>
  <c r="BK592" i="48"/>
  <c r="AY592" i="48"/>
  <c r="AV592" i="48"/>
  <c r="AW592" i="48"/>
  <c r="BA592" i="48"/>
  <c r="BD913" i="48"/>
  <c r="BJ913" i="48"/>
  <c r="BA1041" i="48"/>
  <c r="AY1041" i="48"/>
  <c r="BK1041" i="48"/>
  <c r="AX1041" i="48"/>
  <c r="AU1041" i="48"/>
  <c r="AV1041" i="48"/>
  <c r="AZ1041" i="48"/>
  <c r="AW1041" i="48"/>
  <c r="BA1708" i="48"/>
  <c r="AW1708" i="48"/>
  <c r="BK1708" i="48"/>
  <c r="AY1708" i="48"/>
  <c r="AZ1708" i="48"/>
  <c r="AU1708" i="48"/>
  <c r="AV1708" i="48"/>
  <c r="AX1708" i="48"/>
  <c r="AX1421" i="48"/>
  <c r="AV1421" i="48"/>
  <c r="AU1421" i="48"/>
  <c r="AN1421" i="48" s="1"/>
  <c r="AZ1421" i="48"/>
  <c r="BK1421" i="48"/>
  <c r="AY1421" i="48"/>
  <c r="AW1421" i="48"/>
  <c r="BA1421" i="48"/>
  <c r="BJ1671" i="48"/>
  <c r="BD1671" i="48"/>
  <c r="AW619" i="48"/>
  <c r="AX619" i="48"/>
  <c r="BA619" i="48"/>
  <c r="BK619" i="48"/>
  <c r="AZ619" i="48"/>
  <c r="AY619" i="48"/>
  <c r="AU619" i="48"/>
  <c r="AV619" i="48"/>
  <c r="AW819" i="48"/>
  <c r="AX819" i="48"/>
  <c r="BK819" i="48"/>
  <c r="AZ819" i="48"/>
  <c r="BA819" i="48"/>
  <c r="AY819" i="48"/>
  <c r="AU819" i="48"/>
  <c r="AK819" i="48" s="1"/>
  <c r="AV819" i="48"/>
  <c r="BJ1350" i="48"/>
  <c r="BD1350" i="48"/>
  <c r="BJ1091" i="48"/>
  <c r="BD1091" i="48"/>
  <c r="BK2014" i="48"/>
  <c r="AV2014" i="48"/>
  <c r="AZ2014" i="48"/>
  <c r="AX2014" i="48"/>
  <c r="AU2014" i="48"/>
  <c r="AM2014" i="48" s="1"/>
  <c r="AW2014" i="48"/>
  <c r="AY2014" i="48"/>
  <c r="BA2014" i="48"/>
  <c r="BJ1647" i="48"/>
  <c r="BD1647" i="48"/>
  <c r="AW1492" i="48"/>
  <c r="BA1492" i="48"/>
  <c r="AZ1492" i="48"/>
  <c r="AU1492" i="48"/>
  <c r="AV1492" i="48"/>
  <c r="AX1492" i="48"/>
  <c r="BK1492" i="48"/>
  <c r="AY1492" i="48"/>
  <c r="AV1843" i="48"/>
  <c r="AX1843" i="48"/>
  <c r="BK1843" i="48"/>
  <c r="BA1843" i="48"/>
  <c r="AY1843" i="48"/>
  <c r="AW1843" i="48"/>
  <c r="AZ1843" i="48"/>
  <c r="AU1843" i="48"/>
  <c r="BJ1682" i="48"/>
  <c r="BD1682" i="48"/>
  <c r="BA1963" i="48"/>
  <c r="AY1963" i="48"/>
  <c r="AX1963" i="48"/>
  <c r="AU1963" i="48"/>
  <c r="BK1963" i="48"/>
  <c r="AZ1963" i="48"/>
  <c r="AW1963" i="48"/>
  <c r="AV1963" i="48"/>
  <c r="BJ1867" i="48"/>
  <c r="BD1867" i="48"/>
  <c r="BJ1693" i="48"/>
  <c r="BD1693" i="48"/>
  <c r="BJ2025" i="48"/>
  <c r="BD2025" i="48"/>
  <c r="AU860" i="48"/>
  <c r="AZ860" i="48"/>
  <c r="AV860" i="48"/>
  <c r="BA860" i="48"/>
  <c r="AY860" i="48"/>
  <c r="AW860" i="48"/>
  <c r="AX860" i="48"/>
  <c r="BK860" i="48"/>
  <c r="BD906" i="48"/>
  <c r="BJ906" i="48"/>
  <c r="BA1416" i="48"/>
  <c r="AW1416" i="48"/>
  <c r="AV1416" i="48"/>
  <c r="AX1416" i="48"/>
  <c r="BK1416" i="48"/>
  <c r="AY1416" i="48"/>
  <c r="AZ1416" i="48"/>
  <c r="AU1416" i="48"/>
  <c r="AP1416" i="48" s="1"/>
  <c r="BD1093" i="48"/>
  <c r="BJ1093" i="48"/>
  <c r="BD564" i="48"/>
  <c r="BJ564" i="48"/>
  <c r="BD1253" i="48"/>
  <c r="BJ1253" i="48"/>
  <c r="BA1943" i="48"/>
  <c r="AY1943" i="48"/>
  <c r="AX1943" i="48"/>
  <c r="AU1943" i="48"/>
  <c r="BK1943" i="48"/>
  <c r="AV1943" i="48"/>
  <c r="AW1943" i="48"/>
  <c r="AZ1943" i="48"/>
  <c r="BJ727" i="48"/>
  <c r="BD727" i="48"/>
  <c r="BJ1624" i="48"/>
  <c r="BD1624" i="48"/>
  <c r="BJ1936" i="48"/>
  <c r="BD1936" i="48"/>
  <c r="BJ1406" i="48"/>
  <c r="BD1406" i="48"/>
  <c r="BA861" i="48"/>
  <c r="AY861" i="48"/>
  <c r="AX861" i="48"/>
  <c r="AU861" i="48"/>
  <c r="BK861" i="48"/>
  <c r="AV861" i="48"/>
  <c r="AZ861" i="48"/>
  <c r="AW861" i="48"/>
  <c r="BA1617" i="48"/>
  <c r="AX1617" i="48"/>
  <c r="AU1617" i="48"/>
  <c r="AN1617" i="48" s="1"/>
  <c r="AY1617" i="48"/>
  <c r="AV1617" i="48"/>
  <c r="BK1617" i="48"/>
  <c r="AZ1617" i="48"/>
  <c r="AW1617" i="48"/>
  <c r="BJ2032" i="48"/>
  <c r="BD2032" i="48"/>
  <c r="BD1081" i="48"/>
  <c r="BJ1081" i="48"/>
  <c r="BJ616" i="48"/>
  <c r="BD616" i="48"/>
  <c r="BJ639" i="48"/>
  <c r="BD639" i="48"/>
  <c r="BD2022" i="48"/>
  <c r="BJ2022" i="48"/>
  <c r="BJ872" i="48"/>
  <c r="BD872" i="48"/>
  <c r="BD1511" i="48"/>
  <c r="BJ1511" i="48"/>
  <c r="BA1511" i="48"/>
  <c r="AX1511" i="48"/>
  <c r="AZ1511" i="48"/>
  <c r="AU1511" i="48"/>
  <c r="AK1511" i="48" s="1"/>
  <c r="AY1511" i="48"/>
  <c r="AW1511" i="48"/>
  <c r="BK1511" i="48"/>
  <c r="AV1511" i="48"/>
  <c r="BA1595" i="48"/>
  <c r="BK1595" i="48"/>
  <c r="AY1595" i="48"/>
  <c r="AX1595" i="48"/>
  <c r="AV1595" i="48"/>
  <c r="AZ1595" i="48"/>
  <c r="AU1595" i="48"/>
  <c r="AO1595" i="48" s="1"/>
  <c r="AW1595" i="48"/>
  <c r="BD925" i="48"/>
  <c r="BJ925" i="48"/>
  <c r="BJ1272" i="48"/>
  <c r="BD1272" i="48"/>
  <c r="AX1575" i="48"/>
  <c r="AV1575" i="48"/>
  <c r="AU1575" i="48"/>
  <c r="AO1575" i="48" s="1"/>
  <c r="BK1575" i="48"/>
  <c r="AZ1575" i="48"/>
  <c r="AY1575" i="48"/>
  <c r="AW1575" i="48"/>
  <c r="BA1575" i="48"/>
  <c r="BD1524" i="48"/>
  <c r="BJ1524" i="48"/>
  <c r="BA1197" i="48"/>
  <c r="AX1197" i="48"/>
  <c r="AU1197" i="48"/>
  <c r="AW1197" i="48"/>
  <c r="AY1197" i="48"/>
  <c r="AV1197" i="48"/>
  <c r="BK1197" i="48"/>
  <c r="AZ1197" i="48"/>
  <c r="BA1290" i="48"/>
  <c r="AW1290" i="48"/>
  <c r="AV1290" i="48"/>
  <c r="AX1290" i="48"/>
  <c r="BK1290" i="48"/>
  <c r="AY1290" i="48"/>
  <c r="AZ1290" i="48"/>
  <c r="AU1290" i="48"/>
  <c r="BJ1048" i="48"/>
  <c r="BD1048" i="48"/>
  <c r="BJ573" i="48"/>
  <c r="BD573" i="48"/>
  <c r="AZ1270" i="48"/>
  <c r="AU1270" i="48"/>
  <c r="AV1270" i="48"/>
  <c r="AX1270" i="48"/>
  <c r="BK1270" i="48"/>
  <c r="BA1270" i="48"/>
  <c r="AY1270" i="48"/>
  <c r="AW1270" i="48"/>
  <c r="BA833" i="48"/>
  <c r="AX833" i="48"/>
  <c r="AV833" i="48"/>
  <c r="BK833" i="48"/>
  <c r="AZ833" i="48"/>
  <c r="AU833" i="48"/>
  <c r="AK833" i="48" s="1"/>
  <c r="AY833" i="48"/>
  <c r="AW833" i="48"/>
  <c r="BA2017" i="48"/>
  <c r="AW2017" i="48"/>
  <c r="AY2017" i="48"/>
  <c r="AZ2017" i="48"/>
  <c r="AU2017" i="48"/>
  <c r="AV2017" i="48"/>
  <c r="AX2017" i="48"/>
  <c r="BK2017" i="48"/>
  <c r="AX1672" i="48"/>
  <c r="AU1672" i="48"/>
  <c r="AP1672" i="48" s="1"/>
  <c r="BK1672" i="48"/>
  <c r="AY1672" i="48"/>
  <c r="BA1672" i="48"/>
  <c r="AV1672" i="48"/>
  <c r="AZ1672" i="48"/>
  <c r="AW1672" i="48"/>
  <c r="BJ711" i="48"/>
  <c r="BD711" i="48"/>
  <c r="BA1004" i="48"/>
  <c r="AV1004" i="48"/>
  <c r="BK1004" i="48"/>
  <c r="AZ1004" i="48"/>
  <c r="AU1004" i="48"/>
  <c r="AN1004" i="48" s="1"/>
  <c r="AY1004" i="48"/>
  <c r="AX1004" i="48"/>
  <c r="AW1004" i="48"/>
  <c r="BA532" i="48"/>
  <c r="BK532" i="48"/>
  <c r="AX532" i="48"/>
  <c r="AU532" i="48"/>
  <c r="AO532" i="48" s="1"/>
  <c r="AY532" i="48"/>
  <c r="AV532" i="48"/>
  <c r="AZ532" i="48"/>
  <c r="AW532" i="48"/>
  <c r="BA483" i="48"/>
  <c r="AX483" i="48"/>
  <c r="AV483" i="48"/>
  <c r="BK483" i="48"/>
  <c r="AZ483" i="48"/>
  <c r="AU483" i="48"/>
  <c r="AO483" i="48" s="1"/>
  <c r="AY483" i="48"/>
  <c r="AW483" i="48"/>
  <c r="BD233" i="48"/>
  <c r="BJ233" i="48"/>
  <c r="AX341" i="48"/>
  <c r="AV341" i="48"/>
  <c r="BA341" i="48"/>
  <c r="BK341" i="48"/>
  <c r="AY341" i="48"/>
  <c r="AZ341" i="48"/>
  <c r="AU341" i="48"/>
  <c r="AW341" i="48"/>
  <c r="BJ138" i="48"/>
  <c r="BD138" i="48"/>
  <c r="BJ235" i="48"/>
  <c r="BD235" i="48"/>
  <c r="BJ115" i="48"/>
  <c r="BD115" i="48"/>
  <c r="BA543" i="48"/>
  <c r="AX543" i="48"/>
  <c r="AV543" i="48"/>
  <c r="BK543" i="48"/>
  <c r="AZ543" i="48"/>
  <c r="AU543" i="48"/>
  <c r="AY543" i="48"/>
  <c r="AW543" i="48"/>
  <c r="AZ183" i="48"/>
  <c r="BJ183" i="48" s="1"/>
  <c r="AU183" i="48"/>
  <c r="BK183" i="48"/>
  <c r="AY183" i="48"/>
  <c r="AX183" i="48"/>
  <c r="AV183" i="48"/>
  <c r="AW183" i="48"/>
  <c r="BD183" i="48" s="1"/>
  <c r="BJ554" i="48"/>
  <c r="BD554" i="48"/>
  <c r="BA508" i="48"/>
  <c r="AU508" i="48"/>
  <c r="AK508" i="48" s="1"/>
  <c r="AY508" i="48"/>
  <c r="BK508" i="48"/>
  <c r="AX508" i="48"/>
  <c r="AW508" i="48"/>
  <c r="AV508" i="48"/>
  <c r="AZ508" i="48"/>
  <c r="AY140" i="48"/>
  <c r="AX140" i="48"/>
  <c r="BK140" i="48"/>
  <c r="AU140" i="48"/>
  <c r="AV140" i="48"/>
  <c r="AZ140" i="48"/>
  <c r="BJ140" i="48" s="1"/>
  <c r="AW140" i="48"/>
  <c r="BD140" i="48" s="1"/>
  <c r="BJ247" i="48"/>
  <c r="BD247" i="48"/>
  <c r="AX160" i="48"/>
  <c r="BK160" i="48"/>
  <c r="AU160" i="48"/>
  <c r="AY160" i="48"/>
  <c r="AZ160" i="48"/>
  <c r="BJ160" i="48" s="1"/>
  <c r="AW160" i="48"/>
  <c r="BD160" i="48" s="1"/>
  <c r="AV160" i="48"/>
  <c r="BJ87" i="48"/>
  <c r="BD87" i="48"/>
  <c r="AX213" i="48"/>
  <c r="BK213" i="48"/>
  <c r="AW213" i="48"/>
  <c r="BD213" i="48" s="1"/>
  <c r="AY213" i="48"/>
  <c r="AZ213" i="48"/>
  <c r="BJ213" i="48" s="1"/>
  <c r="AU213" i="48"/>
  <c r="AV213" i="48"/>
  <c r="BD129" i="48"/>
  <c r="BJ129" i="48"/>
  <c r="BA306" i="48"/>
  <c r="AU306" i="48"/>
  <c r="AN306" i="48" s="1"/>
  <c r="AX306" i="48"/>
  <c r="AV306" i="48"/>
  <c r="AZ306" i="48"/>
  <c r="BK306" i="48"/>
  <c r="AY306" i="48"/>
  <c r="AW306" i="48"/>
  <c r="AY100" i="48"/>
  <c r="AX100" i="48"/>
  <c r="BK100" i="48"/>
  <c r="AU100" i="48"/>
  <c r="AO100" i="48" s="1"/>
  <c r="AP100" i="48" s="1"/>
  <c r="AW100" i="48"/>
  <c r="BD100" i="48" s="1"/>
  <c r="AV100" i="48"/>
  <c r="AZ100" i="48"/>
  <c r="BJ100" i="48" s="1"/>
  <c r="BD113" i="48"/>
  <c r="BJ113" i="48"/>
  <c r="BK64" i="48"/>
  <c r="AU64" i="48"/>
  <c r="AY64" i="48"/>
  <c r="AX64" i="48"/>
  <c r="AZ64" i="48"/>
  <c r="BJ64" i="48" s="1"/>
  <c r="AW64" i="48"/>
  <c r="BD64" i="48" s="1"/>
  <c r="AV64" i="48"/>
  <c r="BJ70" i="48"/>
  <c r="BD70" i="48"/>
  <c r="BK88" i="48"/>
  <c r="AU88" i="48"/>
  <c r="AO88" i="48" s="1"/>
  <c r="AP88" i="48" s="1"/>
  <c r="AY88" i="48"/>
  <c r="AX88" i="48"/>
  <c r="AV88" i="48"/>
  <c r="AZ88" i="48"/>
  <c r="BJ88" i="48" s="1"/>
  <c r="AW88" i="48"/>
  <c r="BD88" i="48" s="1"/>
  <c r="AX265" i="48"/>
  <c r="AW265" i="48"/>
  <c r="BD265" i="48" s="1"/>
  <c r="AV265" i="48"/>
  <c r="BK265" i="48"/>
  <c r="AY265" i="48"/>
  <c r="AZ265" i="48"/>
  <c r="BJ265" i="48" s="1"/>
  <c r="AU265" i="48"/>
  <c r="AP265" i="48" s="1"/>
  <c r="BJ350" i="48"/>
  <c r="BD350" i="48"/>
  <c r="AY99" i="48"/>
  <c r="AX99" i="48"/>
  <c r="AV99" i="48"/>
  <c r="BK99" i="48"/>
  <c r="AZ99" i="48"/>
  <c r="BJ99" i="48" s="1"/>
  <c r="AU99" i="48"/>
  <c r="AW99" i="48"/>
  <c r="BD99" i="48" s="1"/>
  <c r="AW449" i="48"/>
  <c r="BA449" i="48"/>
  <c r="AV449" i="48"/>
  <c r="AX449" i="48"/>
  <c r="BK449" i="48"/>
  <c r="AY449" i="48"/>
  <c r="AZ449" i="48"/>
  <c r="AU449" i="48"/>
  <c r="AO449" i="48" s="1"/>
  <c r="AX313" i="48"/>
  <c r="AW313" i="48"/>
  <c r="AY313" i="48"/>
  <c r="AZ313" i="48"/>
  <c r="AU313" i="48"/>
  <c r="AV313" i="48"/>
  <c r="BA313" i="48"/>
  <c r="BK313" i="48"/>
  <c r="BJ275" i="48"/>
  <c r="BD275" i="48"/>
  <c r="AX437" i="48"/>
  <c r="AZ437" i="48"/>
  <c r="AU437" i="48"/>
  <c r="AV437" i="48"/>
  <c r="BA437" i="48"/>
  <c r="BK437" i="48"/>
  <c r="AY437" i="48"/>
  <c r="AW437" i="48"/>
  <c r="BJ314" i="48"/>
  <c r="BD314" i="48"/>
  <c r="AX245" i="48"/>
  <c r="AY245" i="48"/>
  <c r="AZ245" i="48"/>
  <c r="BJ245" i="48" s="1"/>
  <c r="AU245" i="48"/>
  <c r="AV245" i="48"/>
  <c r="AW245" i="48"/>
  <c r="BD245" i="48" s="1"/>
  <c r="BK245" i="48"/>
  <c r="BJ174" i="48"/>
  <c r="BD174" i="48"/>
  <c r="BD208" i="48"/>
  <c r="BJ208" i="48"/>
  <c r="BD441" i="48"/>
  <c r="BJ441" i="48"/>
  <c r="BJ78" i="48"/>
  <c r="BD78" i="48"/>
  <c r="BJ83" i="48"/>
  <c r="BD83" i="48"/>
  <c r="AY147" i="48"/>
  <c r="AX147" i="48"/>
  <c r="AV147" i="48"/>
  <c r="BK147" i="48"/>
  <c r="AZ147" i="48"/>
  <c r="BJ147" i="48" s="1"/>
  <c r="AU147" i="48"/>
  <c r="AW147" i="48"/>
  <c r="BD147" i="48" s="1"/>
  <c r="BJ215" i="48"/>
  <c r="BD215" i="48"/>
  <c r="AW230" i="48"/>
  <c r="BD230" i="48" s="1"/>
  <c r="AY230" i="48"/>
  <c r="AU230" i="48"/>
  <c r="AX230" i="48"/>
  <c r="BK230" i="48"/>
  <c r="AZ230" i="48"/>
  <c r="BJ230" i="48" s="1"/>
  <c r="AV230" i="48"/>
  <c r="BJ179" i="48"/>
  <c r="BD179" i="48"/>
  <c r="BJ374" i="48"/>
  <c r="BD374" i="48"/>
  <c r="AW374" i="48"/>
  <c r="AU374" i="48"/>
  <c r="AV374" i="48"/>
  <c r="AX374" i="48"/>
  <c r="BK374" i="48"/>
  <c r="AZ374" i="48"/>
  <c r="BA374" i="48"/>
  <c r="AY374" i="48"/>
  <c r="BJ155" i="48"/>
  <c r="BD155" i="48"/>
  <c r="BD173" i="48"/>
  <c r="BJ173" i="48"/>
  <c r="BK534" i="48"/>
  <c r="AZ534" i="48"/>
  <c r="AV534" i="48"/>
  <c r="AU534" i="48"/>
  <c r="AW534" i="48"/>
  <c r="AY534" i="48"/>
  <c r="BA534" i="48"/>
  <c r="AX534" i="48"/>
  <c r="BJ118" i="48"/>
  <c r="BD118" i="48"/>
  <c r="AX268" i="48"/>
  <c r="BK268" i="48"/>
  <c r="AU268" i="48"/>
  <c r="AY268" i="48"/>
  <c r="AV268" i="48"/>
  <c r="AZ268" i="48"/>
  <c r="BJ268" i="48" s="1"/>
  <c r="AW268" i="48"/>
  <c r="BD268" i="48" s="1"/>
  <c r="BD165" i="48"/>
  <c r="BJ165" i="48"/>
  <c r="BD221" i="48"/>
  <c r="BJ221" i="48"/>
  <c r="AX409" i="48"/>
  <c r="AW409" i="48"/>
  <c r="AV409" i="48"/>
  <c r="BA409" i="48"/>
  <c r="BK409" i="48"/>
  <c r="AY409" i="48"/>
  <c r="AZ409" i="48"/>
  <c r="AU409" i="48"/>
  <c r="BD500" i="48"/>
  <c r="BJ500" i="48"/>
  <c r="BJ298" i="48"/>
  <c r="BD298" i="48"/>
  <c r="BJ467" i="48"/>
  <c r="BD467" i="48"/>
  <c r="BJ494" i="48"/>
  <c r="BD494" i="48"/>
  <c r="BD321" i="48"/>
  <c r="BJ321" i="48"/>
  <c r="BJ227" i="48"/>
  <c r="BD227" i="48"/>
  <c r="BD429" i="48"/>
  <c r="BJ429" i="48"/>
  <c r="BA475" i="48"/>
  <c r="BK475" i="48"/>
  <c r="AY475" i="48"/>
  <c r="AX475" i="48"/>
  <c r="AV475" i="48"/>
  <c r="AZ475" i="48"/>
  <c r="AU475" i="48"/>
  <c r="AW475" i="48"/>
  <c r="BD497" i="48"/>
  <c r="BJ497" i="48"/>
  <c r="BA312" i="48"/>
  <c r="AY312" i="48"/>
  <c r="AX312" i="48"/>
  <c r="BK312" i="48"/>
  <c r="AU312" i="48"/>
  <c r="AV312" i="48"/>
  <c r="AZ312" i="48"/>
  <c r="AW312" i="48"/>
  <c r="BD432" i="48"/>
  <c r="BJ432" i="48"/>
  <c r="BJ382" i="48"/>
  <c r="BD382" i="48"/>
  <c r="AY148" i="48"/>
  <c r="AX148" i="48"/>
  <c r="BK148" i="48"/>
  <c r="AU148" i="48"/>
  <c r="AW148" i="48"/>
  <c r="BD148" i="48" s="1"/>
  <c r="AV148" i="48"/>
  <c r="AZ148" i="48"/>
  <c r="BJ148" i="48" s="1"/>
  <c r="BD528" i="48"/>
  <c r="BJ528" i="48"/>
  <c r="BJ335" i="48"/>
  <c r="BD335" i="48"/>
  <c r="BA335" i="48"/>
  <c r="AX335" i="48"/>
  <c r="AV335" i="48"/>
  <c r="AZ335" i="48"/>
  <c r="AU335" i="48"/>
  <c r="AO335" i="48" s="1"/>
  <c r="BK335" i="48"/>
  <c r="AY335" i="48"/>
  <c r="AW335" i="48"/>
  <c r="BJ206" i="48"/>
  <c r="BD206" i="48"/>
  <c r="BD544" i="48"/>
  <c r="BJ544" i="48"/>
  <c r="BJ355" i="48"/>
  <c r="BD355" i="48"/>
  <c r="BA307" i="48"/>
  <c r="AX307" i="48"/>
  <c r="AV307" i="48"/>
  <c r="BK307" i="48"/>
  <c r="AZ307" i="48"/>
  <c r="AU307" i="48"/>
  <c r="AY307" i="48"/>
  <c r="AW307" i="48"/>
  <c r="BK292" i="48"/>
  <c r="AU292" i="48"/>
  <c r="AY292" i="48"/>
  <c r="AX292" i="48"/>
  <c r="AW292" i="48"/>
  <c r="BD292" i="48" s="1"/>
  <c r="AV292" i="48"/>
  <c r="AZ292" i="48"/>
  <c r="BJ292" i="48" s="1"/>
  <c r="BD309" i="48"/>
  <c r="BJ309" i="48"/>
  <c r="BD396" i="48"/>
  <c r="BJ396" i="48"/>
  <c r="BD417" i="48"/>
  <c r="BJ417" i="48"/>
  <c r="BJ323" i="48"/>
  <c r="BD323" i="48"/>
  <c r="BJ75" i="48"/>
  <c r="BD75" i="48"/>
  <c r="BA428" i="48"/>
  <c r="AY428" i="48"/>
  <c r="AX428" i="48"/>
  <c r="BK428" i="48"/>
  <c r="AU428" i="48"/>
  <c r="AV428" i="48"/>
  <c r="AZ428" i="48"/>
  <c r="AW428" i="48"/>
  <c r="BJ379" i="48"/>
  <c r="BD379" i="48"/>
  <c r="BA384" i="48"/>
  <c r="AY384" i="48"/>
  <c r="AX384" i="48"/>
  <c r="BK384" i="48"/>
  <c r="AU384" i="48"/>
  <c r="AZ384" i="48"/>
  <c r="AW384" i="48"/>
  <c r="AV384" i="48"/>
  <c r="AW62" i="48"/>
  <c r="BD62" i="48" s="1"/>
  <c r="AV62" i="48"/>
  <c r="AY62" i="48"/>
  <c r="AU62" i="48"/>
  <c r="AX62" i="48"/>
  <c r="BK62" i="48"/>
  <c r="AZ62" i="48"/>
  <c r="BJ62" i="48" s="1"/>
  <c r="AV529" i="48"/>
  <c r="AX529" i="48"/>
  <c r="AW529" i="48"/>
  <c r="BA529" i="48"/>
  <c r="BK529" i="48"/>
  <c r="AY529" i="48"/>
  <c r="AZ529" i="48"/>
  <c r="AU529" i="48"/>
  <c r="AX317" i="48"/>
  <c r="AW317" i="48"/>
  <c r="AZ317" i="48"/>
  <c r="AU317" i="48"/>
  <c r="AV317" i="48"/>
  <c r="BA317" i="48"/>
  <c r="BK317" i="48"/>
  <c r="AY317" i="48"/>
  <c r="BA462" i="48"/>
  <c r="AW462" i="48"/>
  <c r="AV462" i="48"/>
  <c r="BK462" i="48"/>
  <c r="AZ462" i="48"/>
  <c r="AY462" i="48"/>
  <c r="AU462" i="48"/>
  <c r="AX462" i="48"/>
  <c r="BJ422" i="48"/>
  <c r="BD422" i="48"/>
  <c r="AW422" i="48"/>
  <c r="AX422" i="48"/>
  <c r="BA422" i="48"/>
  <c r="BK422" i="48"/>
  <c r="AZ422" i="48"/>
  <c r="AY422" i="48"/>
  <c r="AV422" i="48"/>
  <c r="AU422" i="48"/>
  <c r="BJ414" i="48"/>
  <c r="BD414" i="48"/>
  <c r="BA478" i="48"/>
  <c r="AW478" i="48"/>
  <c r="AV478" i="48"/>
  <c r="AU478" i="48"/>
  <c r="AX478" i="48"/>
  <c r="BK478" i="48"/>
  <c r="AZ478" i="48"/>
  <c r="AY478" i="48"/>
  <c r="BJ266" i="48"/>
  <c r="BD266" i="48"/>
  <c r="BD746" i="48"/>
  <c r="BJ746" i="48"/>
  <c r="BA699" i="48"/>
  <c r="AW699" i="48"/>
  <c r="BK699" i="48"/>
  <c r="AZ699" i="48"/>
  <c r="AY699" i="48"/>
  <c r="AU699" i="48"/>
  <c r="AO699" i="48" s="1"/>
  <c r="AX699" i="48"/>
  <c r="AV699" i="48"/>
  <c r="BA1986" i="48"/>
  <c r="AW1986" i="48"/>
  <c r="BK1986" i="48"/>
  <c r="AY1986" i="48"/>
  <c r="AZ1986" i="48"/>
  <c r="AU1986" i="48"/>
  <c r="AO1986" i="48" s="1"/>
  <c r="AV1986" i="48"/>
  <c r="AX1986" i="48"/>
  <c r="BJ1194" i="48"/>
  <c r="BD1194" i="48"/>
  <c r="BD1089" i="48"/>
  <c r="BJ1089" i="48"/>
  <c r="BA1478" i="48"/>
  <c r="AY1478" i="48"/>
  <c r="AX1478" i="48"/>
  <c r="BK1478" i="48"/>
  <c r="AU1478" i="48"/>
  <c r="AL1478" i="48" s="1"/>
  <c r="AV1478" i="48"/>
  <c r="AW1478" i="48"/>
  <c r="AZ1478" i="48"/>
  <c r="BK1697" i="48"/>
  <c r="AZ1697" i="48"/>
  <c r="AV1697" i="48"/>
  <c r="AX1697" i="48"/>
  <c r="AU1697" i="48"/>
  <c r="AY1697" i="48"/>
  <c r="AW1697" i="48"/>
  <c r="BA1697" i="48"/>
  <c r="BJ1040" i="48"/>
  <c r="BD1040" i="48"/>
  <c r="BA1040" i="48"/>
  <c r="AX1040" i="48"/>
  <c r="AV1040" i="48"/>
  <c r="AZ1040" i="48"/>
  <c r="AU1040" i="48"/>
  <c r="AP1040" i="48" s="1"/>
  <c r="BK1040" i="48"/>
  <c r="AY1040" i="48"/>
  <c r="AW1040" i="48"/>
  <c r="BA1454" i="48"/>
  <c r="AY1454" i="48"/>
  <c r="AX1454" i="48"/>
  <c r="BK1454" i="48"/>
  <c r="AU1454" i="48"/>
  <c r="AO1454" i="48" s="1"/>
  <c r="AV1454" i="48"/>
  <c r="AW1454" i="48"/>
  <c r="AZ1454" i="48"/>
  <c r="BA1918" i="48"/>
  <c r="AX1918" i="48"/>
  <c r="AY1918" i="48"/>
  <c r="AV1918" i="48"/>
  <c r="AW1918" i="48"/>
  <c r="BK1918" i="48"/>
  <c r="AZ1918" i="48"/>
  <c r="AU1918" i="48"/>
  <c r="AM1918" i="48" s="1"/>
  <c r="BA1548" i="48"/>
  <c r="AX1548" i="48"/>
  <c r="BK1548" i="48"/>
  <c r="AU1548" i="48"/>
  <c r="AY1548" i="48"/>
  <c r="AV1548" i="48"/>
  <c r="AZ1548" i="48"/>
  <c r="AW1548" i="48"/>
  <c r="AX1563" i="48"/>
  <c r="AV1563" i="48"/>
  <c r="AU1563" i="48"/>
  <c r="AZ1563" i="48"/>
  <c r="BK1563" i="48"/>
  <c r="AY1563" i="48"/>
  <c r="AW1563" i="48"/>
  <c r="BA1563" i="48"/>
  <c r="BA785" i="48"/>
  <c r="AY785" i="48"/>
  <c r="AX785" i="48"/>
  <c r="AV785" i="48"/>
  <c r="BK785" i="48"/>
  <c r="AZ785" i="48"/>
  <c r="AU785" i="48"/>
  <c r="AW785" i="48"/>
  <c r="BA1557" i="48"/>
  <c r="AX1557" i="48"/>
  <c r="AY1557" i="48"/>
  <c r="AV1557" i="48"/>
  <c r="BK1557" i="48"/>
  <c r="AZ1557" i="48"/>
  <c r="AU1557" i="48"/>
  <c r="AM1557" i="48" s="1"/>
  <c r="AW1557" i="48"/>
  <c r="BA1202" i="48"/>
  <c r="AW1202" i="48"/>
  <c r="AZ1202" i="48"/>
  <c r="AU1202" i="48"/>
  <c r="AV1202" i="48"/>
  <c r="AX1202" i="48"/>
  <c r="BK1202" i="48"/>
  <c r="AY1202" i="48"/>
  <c r="BA1301" i="48"/>
  <c r="AX1301" i="48"/>
  <c r="BK1301" i="48"/>
  <c r="AZ1301" i="48"/>
  <c r="AU1301" i="48"/>
  <c r="AO1301" i="48" s="1"/>
  <c r="AW1301" i="48"/>
  <c r="AY1301" i="48"/>
  <c r="AV1301" i="48"/>
  <c r="AX1980" i="48"/>
  <c r="AV1980" i="48"/>
  <c r="AU1980" i="48"/>
  <c r="BK1980" i="48"/>
  <c r="AZ1980" i="48"/>
  <c r="AY1980" i="48"/>
  <c r="BA1980" i="48"/>
  <c r="AW1980" i="48"/>
  <c r="AW1895" i="48"/>
  <c r="BA1895" i="48"/>
  <c r="AY1895" i="48"/>
  <c r="AZ1895" i="48"/>
  <c r="AU1895" i="48"/>
  <c r="AN1895" i="48" s="1"/>
  <c r="AV1895" i="48"/>
  <c r="AX1895" i="48"/>
  <c r="BK1895" i="48"/>
  <c r="BJ2007" i="48"/>
  <c r="BD2007" i="48"/>
  <c r="BD1764" i="48"/>
  <c r="BJ1764" i="48"/>
  <c r="BJ1826" i="48"/>
  <c r="BD1826" i="48"/>
  <c r="BA1646" i="48"/>
  <c r="AW1646" i="48"/>
  <c r="AV1646" i="48"/>
  <c r="AX1646" i="48"/>
  <c r="BK1646" i="48"/>
  <c r="AY1646" i="48"/>
  <c r="AZ1646" i="48"/>
  <c r="AU1646" i="48"/>
  <c r="BD1727" i="48"/>
  <c r="BJ1727" i="48"/>
  <c r="BJ591" i="48"/>
  <c r="BD591" i="48"/>
  <c r="BA1251" i="48"/>
  <c r="AZ1251" i="48"/>
  <c r="AU1251" i="48"/>
  <c r="AL1251" i="48" s="1"/>
  <c r="BK1251" i="48"/>
  <c r="AY1251" i="48"/>
  <c r="AX1251" i="48"/>
  <c r="AV1251" i="48"/>
  <c r="AW1251" i="48"/>
  <c r="BJ2042" i="48"/>
  <c r="BD2042" i="48"/>
  <c r="BJ1283" i="48"/>
  <c r="BD1283" i="48"/>
  <c r="AV974" i="48"/>
  <c r="AX974" i="48"/>
  <c r="BK974" i="48"/>
  <c r="BA974" i="48"/>
  <c r="AY974" i="48"/>
  <c r="AW974" i="48"/>
  <c r="AZ974" i="48"/>
  <c r="AU974" i="48"/>
  <c r="BK1023" i="48"/>
  <c r="AZ1023" i="48"/>
  <c r="AV1023" i="48"/>
  <c r="BA1023" i="48"/>
  <c r="AU1023" i="48"/>
  <c r="AX1023" i="48"/>
  <c r="AY1023" i="48"/>
  <c r="AW1023" i="48"/>
  <c r="BJ1718" i="48"/>
  <c r="BD1718" i="48"/>
  <c r="BA1718" i="48"/>
  <c r="AX1718" i="48"/>
  <c r="AV1718" i="48"/>
  <c r="AZ1718" i="48"/>
  <c r="AY1718" i="48"/>
  <c r="AU1718" i="48"/>
  <c r="AO1718" i="48" s="1"/>
  <c r="BK1718" i="48"/>
  <c r="AW1718" i="48"/>
  <c r="BA1751" i="48"/>
  <c r="AY1751" i="48"/>
  <c r="BK1751" i="48"/>
  <c r="AX1751" i="48"/>
  <c r="AU1751" i="48"/>
  <c r="AM1751" i="48" s="1"/>
  <c r="AV1751" i="48"/>
  <c r="AZ1751" i="48"/>
  <c r="AW1751" i="48"/>
  <c r="BK1127" i="48"/>
  <c r="AV1127" i="48"/>
  <c r="AZ1127" i="48"/>
  <c r="BA1127" i="48"/>
  <c r="AU1127" i="48"/>
  <c r="AP1127" i="48" s="1"/>
  <c r="AW1127" i="48"/>
  <c r="AX1127" i="48"/>
  <c r="AY1127" i="48"/>
  <c r="BD1313" i="48"/>
  <c r="BJ1313" i="48"/>
  <c r="BJ1533" i="48"/>
  <c r="BD1533" i="48"/>
  <c r="AV1286" i="48"/>
  <c r="AX1286" i="48"/>
  <c r="BK1286" i="48"/>
  <c r="BA1286" i="48"/>
  <c r="AY1286" i="48"/>
  <c r="AW1286" i="48"/>
  <c r="AZ1286" i="48"/>
  <c r="AU1286" i="48"/>
  <c r="BJ1807" i="48"/>
  <c r="BD1807" i="48"/>
  <c r="AW623" i="48"/>
  <c r="BA623" i="48"/>
  <c r="AV623" i="48"/>
  <c r="AU623" i="48"/>
  <c r="AX623" i="48"/>
  <c r="BK623" i="48"/>
  <c r="AZ623" i="48"/>
  <c r="AY623" i="48"/>
  <c r="BA1510" i="48"/>
  <c r="AY1510" i="48"/>
  <c r="AX1510" i="48"/>
  <c r="BK1510" i="48"/>
  <c r="AU1510" i="48"/>
  <c r="AV1510" i="48"/>
  <c r="AW1510" i="48"/>
  <c r="AZ1510" i="48"/>
  <c r="BA895" i="48"/>
  <c r="AZ895" i="48"/>
  <c r="AX895" i="48"/>
  <c r="BK895" i="48"/>
  <c r="AW895" i="48"/>
  <c r="AY895" i="48"/>
  <c r="AV895" i="48"/>
  <c r="AU895" i="48"/>
  <c r="AM895" i="48" s="1"/>
  <c r="BJ1244" i="48"/>
  <c r="BD1244" i="48"/>
  <c r="BA1621" i="48"/>
  <c r="AX1621" i="48"/>
  <c r="AY1621" i="48"/>
  <c r="AV1621" i="48"/>
  <c r="BK1621" i="48"/>
  <c r="AZ1621" i="48"/>
  <c r="AU1621" i="48"/>
  <c r="AW1621" i="48"/>
  <c r="BJ884" i="48"/>
  <c r="BD884" i="48"/>
  <c r="BJ1694" i="48"/>
  <c r="BD1694" i="48"/>
  <c r="AX1529" i="48"/>
  <c r="AW1529" i="48"/>
  <c r="AV1529" i="48"/>
  <c r="BA1529" i="48"/>
  <c r="BK1529" i="48"/>
  <c r="AY1529" i="48"/>
  <c r="AZ1529" i="48"/>
  <c r="AU1529" i="48"/>
  <c r="BD681" i="48"/>
  <c r="BJ681" i="48"/>
  <c r="BJ1556" i="48"/>
  <c r="BD1556" i="48"/>
  <c r="BD1487" i="48"/>
  <c r="BJ1487" i="48"/>
  <c r="BA1145" i="48"/>
  <c r="AY1145" i="48"/>
  <c r="AX1145" i="48"/>
  <c r="BK1145" i="48"/>
  <c r="AU1145" i="48"/>
  <c r="AW1145" i="48"/>
  <c r="AV1145" i="48"/>
  <c r="AZ1145" i="48"/>
  <c r="BD1387" i="48"/>
  <c r="BJ1387" i="48"/>
  <c r="BA1109" i="48"/>
  <c r="BK1109" i="48"/>
  <c r="AX1109" i="48"/>
  <c r="AU1109" i="48"/>
  <c r="AL1109" i="48" s="1"/>
  <c r="AY1109" i="48"/>
  <c r="AV1109" i="48"/>
  <c r="AW1109" i="48"/>
  <c r="AZ1109" i="48"/>
  <c r="BJ1570" i="48"/>
  <c r="BD1570" i="48"/>
  <c r="BD1137" i="48"/>
  <c r="BJ1137" i="48"/>
  <c r="BA2029" i="48"/>
  <c r="AV2029" i="48"/>
  <c r="AZ2029" i="48"/>
  <c r="AU2029" i="48"/>
  <c r="AY2029" i="48"/>
  <c r="AX2029" i="48"/>
  <c r="BK2029" i="48"/>
  <c r="AW2029" i="48"/>
  <c r="BJ1813" i="48"/>
  <c r="BD1813" i="48"/>
  <c r="BD933" i="48"/>
  <c r="BJ933" i="48"/>
  <c r="AX656" i="48"/>
  <c r="AU656" i="48"/>
  <c r="AN656" i="48" s="1"/>
  <c r="AZ656" i="48"/>
  <c r="BK656" i="48"/>
  <c r="AY656" i="48"/>
  <c r="AV656" i="48"/>
  <c r="AW656" i="48"/>
  <c r="BA656" i="48"/>
  <c r="AX1336" i="48"/>
  <c r="AY1336" i="48"/>
  <c r="AU1336" i="48"/>
  <c r="BK1336" i="48"/>
  <c r="AZ1336" i="48"/>
  <c r="BA1336" i="48"/>
  <c r="AV1336" i="48"/>
  <c r="AW1336" i="48"/>
  <c r="BA1218" i="48"/>
  <c r="AW1218" i="48"/>
  <c r="BK1218" i="48"/>
  <c r="AY1218" i="48"/>
  <c r="AZ1218" i="48"/>
  <c r="AU1218" i="48"/>
  <c r="AV1218" i="48"/>
  <c r="AX1218" i="48"/>
  <c r="BJ868" i="48"/>
  <c r="BD868" i="48"/>
  <c r="BD630" i="48"/>
  <c r="BJ630" i="48"/>
  <c r="AX630" i="48"/>
  <c r="AW630" i="48"/>
  <c r="BK630" i="48"/>
  <c r="AY630" i="48"/>
  <c r="AZ630" i="48"/>
  <c r="AU630" i="48"/>
  <c r="AL630" i="48" s="1"/>
  <c r="AV630" i="48"/>
  <c r="BA630" i="48"/>
  <c r="BA831" i="48"/>
  <c r="AW831" i="48"/>
  <c r="AV831" i="48"/>
  <c r="BK831" i="48"/>
  <c r="AZ831" i="48"/>
  <c r="AY831" i="48"/>
  <c r="AU831" i="48"/>
  <c r="AX831" i="48"/>
  <c r="AV1230" i="48"/>
  <c r="AX1230" i="48"/>
  <c r="BK1230" i="48"/>
  <c r="BA1230" i="48"/>
  <c r="AY1230" i="48"/>
  <c r="AW1230" i="48"/>
  <c r="AZ1230" i="48"/>
  <c r="AU1230" i="48"/>
  <c r="AM1230" i="48" s="1"/>
  <c r="BA1044" i="48"/>
  <c r="BK1044" i="48"/>
  <c r="AY1044" i="48"/>
  <c r="AX1044" i="48"/>
  <c r="AV1044" i="48"/>
  <c r="AZ1044" i="48"/>
  <c r="AU1044" i="48"/>
  <c r="AW1044" i="48"/>
  <c r="AX1881" i="48"/>
  <c r="AU1881" i="48"/>
  <c r="BK1881" i="48"/>
  <c r="AY1881" i="48"/>
  <c r="AW1881" i="48"/>
  <c r="BA1881" i="48"/>
  <c r="AV1881" i="48"/>
  <c r="AZ1881" i="48"/>
  <c r="BA882" i="48"/>
  <c r="BK882" i="48"/>
  <c r="AW882" i="48"/>
  <c r="AY882" i="48"/>
  <c r="AZ882" i="48"/>
  <c r="AU882" i="48"/>
  <c r="AM882" i="48" s="1"/>
  <c r="AV882" i="48"/>
  <c r="AX882" i="48"/>
  <c r="BA889" i="48"/>
  <c r="BK889" i="48"/>
  <c r="AX889" i="48"/>
  <c r="AU889" i="48"/>
  <c r="AY889" i="48"/>
  <c r="AV889" i="48"/>
  <c r="AZ889" i="48"/>
  <c r="AW889" i="48"/>
  <c r="AW2035" i="48"/>
  <c r="BA2035" i="48"/>
  <c r="AY2035" i="48"/>
  <c r="AZ2035" i="48"/>
  <c r="AU2035" i="48"/>
  <c r="AK2035" i="48" s="1"/>
  <c r="AV2035" i="48"/>
  <c r="AX2035" i="48"/>
  <c r="BK2035" i="48"/>
  <c r="BD1948" i="48"/>
  <c r="BJ1948" i="48"/>
  <c r="BD1657" i="48"/>
  <c r="BJ1657" i="48"/>
  <c r="BK1079" i="48"/>
  <c r="AZ1079" i="48"/>
  <c r="AV1079" i="48"/>
  <c r="BA1079" i="48"/>
  <c r="AU1079" i="48"/>
  <c r="AL1079" i="48" s="1"/>
  <c r="AW1079" i="48"/>
  <c r="AX1079" i="48"/>
  <c r="AY1079" i="48"/>
  <c r="BJ908" i="48"/>
  <c r="BD908" i="48"/>
  <c r="BA1205" i="48"/>
  <c r="AX1205" i="48"/>
  <c r="BK1205" i="48"/>
  <c r="AZ1205" i="48"/>
  <c r="AU1205" i="48"/>
  <c r="AW1205" i="48"/>
  <c r="AY1205" i="48"/>
  <c r="AV1205" i="48"/>
  <c r="BA1343" i="48"/>
  <c r="BK1343" i="48"/>
  <c r="AZ1343" i="48"/>
  <c r="AU1343" i="48"/>
  <c r="AM1343" i="48" s="1"/>
  <c r="AY1343" i="48"/>
  <c r="AX1343" i="48"/>
  <c r="AV1343" i="48"/>
  <c r="AW1343" i="48"/>
  <c r="BJ640" i="48"/>
  <c r="BD640" i="48"/>
  <c r="AW835" i="48"/>
  <c r="AY835" i="48"/>
  <c r="AU835" i="48"/>
  <c r="BA835" i="48"/>
  <c r="AX835" i="48"/>
  <c r="AV835" i="48"/>
  <c r="BK835" i="48"/>
  <c r="AZ835" i="48"/>
  <c r="BA992" i="48"/>
  <c r="AV992" i="48"/>
  <c r="BK992" i="48"/>
  <c r="AZ992" i="48"/>
  <c r="AU992" i="48"/>
  <c r="AN992" i="48" s="1"/>
  <c r="AY992" i="48"/>
  <c r="AX992" i="48"/>
  <c r="AW992" i="48"/>
  <c r="BD1153" i="48"/>
  <c r="BJ1153" i="48"/>
  <c r="BJ1385" i="48"/>
  <c r="BD1385" i="48"/>
  <c r="AX1385" i="48"/>
  <c r="AY1385" i="48"/>
  <c r="AU1385" i="48"/>
  <c r="AV1385" i="48"/>
  <c r="BK1385" i="48"/>
  <c r="AZ1385" i="48"/>
  <c r="AW1385" i="48"/>
  <c r="BA1385" i="48"/>
  <c r="BD778" i="48"/>
  <c r="BJ778" i="48"/>
  <c r="BJ1686" i="48"/>
  <c r="BD1686" i="48"/>
  <c r="BJ1303" i="48"/>
  <c r="BD1303" i="48"/>
  <c r="BD910" i="48"/>
  <c r="BJ910" i="48"/>
  <c r="BJ1819" i="48"/>
  <c r="BD1819" i="48"/>
  <c r="BA1078" i="48"/>
  <c r="BK1078" i="48"/>
  <c r="AW1078" i="48"/>
  <c r="AY1078" i="48"/>
  <c r="AZ1078" i="48"/>
  <c r="AU1078" i="48"/>
  <c r="AV1078" i="48"/>
  <c r="AX1078" i="48"/>
  <c r="BD1034" i="48"/>
  <c r="BJ1034" i="48"/>
  <c r="BA1220" i="48"/>
  <c r="AY1220" i="48"/>
  <c r="AX1220" i="48"/>
  <c r="BK1220" i="48"/>
  <c r="AU1220" i="48"/>
  <c r="AN1220" i="48" s="1"/>
  <c r="AZ1220" i="48"/>
  <c r="AW1220" i="48"/>
  <c r="AV1220" i="48"/>
  <c r="BJ1148" i="48"/>
  <c r="BD1148" i="48"/>
  <c r="BA1148" i="48"/>
  <c r="AX1148" i="48"/>
  <c r="AV1148" i="48"/>
  <c r="AZ1148" i="48"/>
  <c r="AU1148" i="48"/>
  <c r="BK1148" i="48"/>
  <c r="AY1148" i="48"/>
  <c r="AW1148" i="48"/>
  <c r="BJ1658" i="48"/>
  <c r="BD1658" i="48"/>
  <c r="BA1423" i="48"/>
  <c r="AX1423" i="48"/>
  <c r="AY1423" i="48"/>
  <c r="AW1423" i="48"/>
  <c r="BK1423" i="48"/>
  <c r="AV1423" i="48"/>
  <c r="AZ1423" i="48"/>
  <c r="AU1423" i="48"/>
  <c r="BA1052" i="48"/>
  <c r="AX1052" i="48"/>
  <c r="AV1052" i="48"/>
  <c r="BK1052" i="48"/>
  <c r="AZ1052" i="48"/>
  <c r="AU1052" i="48"/>
  <c r="AK1052" i="48" s="1"/>
  <c r="AY1052" i="48"/>
  <c r="AW1052" i="48"/>
  <c r="BJ1323" i="48"/>
  <c r="BD1323" i="48"/>
  <c r="BD765" i="48"/>
  <c r="BJ765" i="48"/>
  <c r="BJ1166" i="48"/>
  <c r="BD1166" i="48"/>
  <c r="BJ1594" i="48"/>
  <c r="BD1594" i="48"/>
  <c r="BA1558" i="48"/>
  <c r="AW1558" i="48"/>
  <c r="AZ1558" i="48"/>
  <c r="AU1558" i="48"/>
  <c r="AL1558" i="48" s="1"/>
  <c r="AV1558" i="48"/>
  <c r="AX1558" i="48"/>
  <c r="BK1558" i="48"/>
  <c r="AY1558" i="48"/>
  <c r="BA1264" i="48"/>
  <c r="AY1264" i="48"/>
  <c r="AX1264" i="48"/>
  <c r="BK1264" i="48"/>
  <c r="AU1264" i="48"/>
  <c r="AO1264" i="48" s="1"/>
  <c r="AV1264" i="48"/>
  <c r="AZ1264" i="48"/>
  <c r="AW1264" i="48"/>
  <c r="BA1021" i="48"/>
  <c r="AY1021" i="48"/>
  <c r="AX1021" i="48"/>
  <c r="BK1021" i="48"/>
  <c r="AU1021" i="48"/>
  <c r="AZ1021" i="48"/>
  <c r="AV1021" i="48"/>
  <c r="AW1021" i="48"/>
  <c r="BJ1689" i="48"/>
  <c r="BD1689" i="48"/>
  <c r="BD986" i="48"/>
  <c r="BJ986" i="48"/>
  <c r="BD733" i="48"/>
  <c r="BJ733" i="48"/>
  <c r="BJ1143" i="48"/>
  <c r="BD1143" i="48"/>
  <c r="BK1737" i="48"/>
  <c r="AV1737" i="48"/>
  <c r="AZ1737" i="48"/>
  <c r="AW1737" i="48"/>
  <c r="AX1737" i="48"/>
  <c r="AU1737" i="48"/>
  <c r="AL1737" i="48" s="1"/>
  <c r="BA1737" i="48"/>
  <c r="AY1737" i="48"/>
  <c r="BD634" i="48"/>
  <c r="BJ634" i="48"/>
  <c r="BJ1880" i="48"/>
  <c r="BD1880" i="48"/>
  <c r="BA1235" i="48"/>
  <c r="BK1235" i="48"/>
  <c r="AY1235" i="48"/>
  <c r="AV1235" i="48"/>
  <c r="AX1235" i="48"/>
  <c r="AU1235" i="48"/>
  <c r="AZ1235" i="48"/>
  <c r="AW1235" i="48"/>
  <c r="BJ1235" i="48"/>
  <c r="BD1235" i="48"/>
  <c r="AX1537" i="48"/>
  <c r="AV1537" i="48"/>
  <c r="BA1537" i="48"/>
  <c r="BK1537" i="48"/>
  <c r="AW1537" i="48"/>
  <c r="AY1537" i="48"/>
  <c r="AZ1537" i="48"/>
  <c r="AU1537" i="48"/>
  <c r="BA1581" i="48"/>
  <c r="AX1581" i="48"/>
  <c r="AY1581" i="48"/>
  <c r="BK1581" i="48"/>
  <c r="AW1581" i="48"/>
  <c r="AV1581" i="48"/>
  <c r="AU1581" i="48"/>
  <c r="AZ1581" i="48"/>
  <c r="BD1010" i="48"/>
  <c r="BJ1010" i="48"/>
  <c r="BA1808" i="48"/>
  <c r="AX1808" i="48"/>
  <c r="AU1808" i="48"/>
  <c r="AZ1808" i="48"/>
  <c r="AY1808" i="48"/>
  <c r="BK1808" i="48"/>
  <c r="AV1808" i="48"/>
  <c r="AW1808" i="48"/>
  <c r="AW1919" i="48"/>
  <c r="BA1919" i="48"/>
  <c r="BK1919" i="48"/>
  <c r="AY1919" i="48"/>
  <c r="AZ1919" i="48"/>
  <c r="AU1919" i="48"/>
  <c r="AM1919" i="48" s="1"/>
  <c r="AV1919" i="48"/>
  <c r="AX1919" i="48"/>
  <c r="BA1133" i="48"/>
  <c r="BK1133" i="48"/>
  <c r="AU1133" i="48"/>
  <c r="AY1133" i="48"/>
  <c r="AX1133" i="48"/>
  <c r="AZ1133" i="48"/>
  <c r="AV1133" i="48"/>
  <c r="AW1133" i="48"/>
  <c r="BJ567" i="48"/>
  <c r="BD567" i="48"/>
  <c r="AX567" i="48"/>
  <c r="AY567" i="48"/>
  <c r="AV567" i="48"/>
  <c r="AU567" i="48"/>
  <c r="BK567" i="48"/>
  <c r="AZ567" i="48"/>
  <c r="AW567" i="48"/>
  <c r="BA567" i="48"/>
  <c r="BJ1504" i="48"/>
  <c r="BD1504" i="48"/>
  <c r="BD782" i="48"/>
  <c r="BJ782" i="48"/>
  <c r="BJ888" i="48"/>
  <c r="BD888" i="48"/>
  <c r="BJ1996" i="48"/>
  <c r="BD1996" i="48"/>
  <c r="AX1996" i="48"/>
  <c r="AY1996" i="48"/>
  <c r="AV1996" i="48"/>
  <c r="AZ1996" i="48"/>
  <c r="AU1996" i="48"/>
  <c r="BK1996" i="48"/>
  <c r="BA1996" i="48"/>
  <c r="AW1996" i="48"/>
  <c r="BJ1242" i="48"/>
  <c r="BD1242" i="48"/>
  <c r="BA1886" i="48"/>
  <c r="AX1886" i="48"/>
  <c r="AU1886" i="48"/>
  <c r="AW1886" i="48"/>
  <c r="AY1886" i="48"/>
  <c r="BK1886" i="48"/>
  <c r="AV1886" i="48"/>
  <c r="AZ1886" i="48"/>
  <c r="AZ2004" i="48"/>
  <c r="BK2004" i="48"/>
  <c r="AV2004" i="48"/>
  <c r="AU2004" i="48"/>
  <c r="BA2004" i="48"/>
  <c r="AW2004" i="48"/>
  <c r="AX2004" i="48"/>
  <c r="AY2004" i="48"/>
  <c r="AX666" i="48"/>
  <c r="AY666" i="48"/>
  <c r="AZ666" i="48"/>
  <c r="AU666" i="48"/>
  <c r="BA666" i="48"/>
  <c r="AV666" i="48"/>
  <c r="AW666" i="48"/>
  <c r="BK666" i="48"/>
  <c r="BJ1414" i="48"/>
  <c r="BD1414" i="48"/>
  <c r="BD1229" i="48"/>
  <c r="BJ1229" i="48"/>
  <c r="BD789" i="48"/>
  <c r="BJ789" i="48"/>
  <c r="BA789" i="48"/>
  <c r="AX789" i="48"/>
  <c r="AV789" i="48"/>
  <c r="AZ789" i="48"/>
  <c r="AU789" i="48"/>
  <c r="AO789" i="48" s="1"/>
  <c r="BK789" i="48"/>
  <c r="AY789" i="48"/>
  <c r="AW789" i="48"/>
  <c r="BD1065" i="48"/>
  <c r="BJ1065" i="48"/>
  <c r="BJ1710" i="48"/>
  <c r="BD1710" i="48"/>
  <c r="BD606" i="48"/>
  <c r="BJ606" i="48"/>
  <c r="BJ1453" i="48"/>
  <c r="BD1453" i="48"/>
  <c r="BJ1087" i="48"/>
  <c r="BD1087" i="48"/>
  <c r="BA1890" i="48"/>
  <c r="AX1890" i="48"/>
  <c r="AY1890" i="48"/>
  <c r="BK1890" i="48"/>
  <c r="AW1890" i="48"/>
  <c r="AV1890" i="48"/>
  <c r="AU1890" i="48"/>
  <c r="AZ1890" i="48"/>
  <c r="AX1425" i="48"/>
  <c r="AU1425" i="48"/>
  <c r="AZ1425" i="48"/>
  <c r="BK1425" i="48"/>
  <c r="AY1425" i="48"/>
  <c r="AV1425" i="48"/>
  <c r="AW1425" i="48"/>
  <c r="BA1425" i="48"/>
  <c r="BA1613" i="48"/>
  <c r="AX1613" i="48"/>
  <c r="AU1613" i="48"/>
  <c r="AP1613" i="48" s="1"/>
  <c r="AW1613" i="48"/>
  <c r="AY1613" i="48"/>
  <c r="AV1613" i="48"/>
  <c r="BK1613" i="48"/>
  <c r="AZ1613" i="48"/>
  <c r="AX598" i="48"/>
  <c r="AW598" i="48"/>
  <c r="AV598" i="48"/>
  <c r="BA598" i="48"/>
  <c r="BK598" i="48"/>
  <c r="AY598" i="48"/>
  <c r="AZ598" i="48"/>
  <c r="AU598" i="48"/>
  <c r="AN598" i="48" s="1"/>
  <c r="BJ1958" i="48"/>
  <c r="BD1958" i="48"/>
  <c r="BJ1430" i="48"/>
  <c r="BD1430" i="48"/>
  <c r="AW1590" i="48"/>
  <c r="BA1590" i="48"/>
  <c r="AZ1590" i="48"/>
  <c r="AU1590" i="48"/>
  <c r="AL1590" i="48" s="1"/>
  <c r="AV1590" i="48"/>
  <c r="AX1590" i="48"/>
  <c r="BK1590" i="48"/>
  <c r="AY1590" i="48"/>
  <c r="BA1049" i="48"/>
  <c r="AX1049" i="48"/>
  <c r="BK1049" i="48"/>
  <c r="AU1049" i="48"/>
  <c r="AP1049" i="48" s="1"/>
  <c r="AY1049" i="48"/>
  <c r="AW1049" i="48"/>
  <c r="AV1049" i="48"/>
  <c r="AZ1049" i="48"/>
  <c r="BD1735" i="48"/>
  <c r="BJ1735" i="48"/>
  <c r="BD1597" i="48"/>
  <c r="BJ1597" i="48"/>
  <c r="BD1427" i="48"/>
  <c r="BJ1427" i="48"/>
  <c r="BJ928" i="48"/>
  <c r="BD928" i="48"/>
  <c r="BA1351" i="48"/>
  <c r="BK1351" i="48"/>
  <c r="AY1351" i="48"/>
  <c r="AX1351" i="48"/>
  <c r="AV1351" i="48"/>
  <c r="AZ1351" i="48"/>
  <c r="AU1351" i="48"/>
  <c r="AN1351" i="48" s="1"/>
  <c r="AW1351" i="48"/>
  <c r="BA1234" i="48"/>
  <c r="AW1234" i="48"/>
  <c r="AZ1234" i="48"/>
  <c r="AU1234" i="48"/>
  <c r="AM1234" i="48" s="1"/>
  <c r="AV1234" i="48"/>
  <c r="AX1234" i="48"/>
  <c r="BK1234" i="48"/>
  <c r="AY1234" i="48"/>
  <c r="AX1656" i="48"/>
  <c r="AY1656" i="48"/>
  <c r="AU1656" i="48"/>
  <c r="BK1656" i="48"/>
  <c r="AZ1656" i="48"/>
  <c r="AW1656" i="48"/>
  <c r="AV1656" i="48"/>
  <c r="BA1656" i="48"/>
  <c r="BD742" i="48"/>
  <c r="BJ742" i="48"/>
  <c r="BA1659" i="48"/>
  <c r="AV1659" i="48"/>
  <c r="AZ1659" i="48"/>
  <c r="AU1659" i="48"/>
  <c r="AN1659" i="48" s="1"/>
  <c r="BK1659" i="48"/>
  <c r="AY1659" i="48"/>
  <c r="AX1659" i="48"/>
  <c r="AW1659" i="48"/>
  <c r="BD1398" i="48"/>
  <c r="BJ1398" i="48"/>
  <c r="BA1020" i="48"/>
  <c r="BK1020" i="48"/>
  <c r="AZ1020" i="48"/>
  <c r="AU1020" i="48"/>
  <c r="AY1020" i="48"/>
  <c r="AX1020" i="48"/>
  <c r="AV1020" i="48"/>
  <c r="AW1020" i="48"/>
  <c r="AX644" i="48"/>
  <c r="AU644" i="48"/>
  <c r="BK644" i="48"/>
  <c r="AZ644" i="48"/>
  <c r="AY644" i="48"/>
  <c r="AV644" i="48"/>
  <c r="AW644" i="48"/>
  <c r="BA644" i="48"/>
  <c r="BD797" i="48"/>
  <c r="BJ797" i="48"/>
  <c r="BA1800" i="48"/>
  <c r="AX1800" i="48"/>
  <c r="BK1800" i="48"/>
  <c r="AV1800" i="48"/>
  <c r="AW1800" i="48"/>
  <c r="AU1800" i="48"/>
  <c r="AN1800" i="48" s="1"/>
  <c r="AZ1800" i="48"/>
  <c r="AY1800" i="48"/>
  <c r="BA1291" i="48"/>
  <c r="AZ1291" i="48"/>
  <c r="AU1291" i="48"/>
  <c r="AO1291" i="48" s="1"/>
  <c r="BK1291" i="48"/>
  <c r="AY1291" i="48"/>
  <c r="AX1291" i="48"/>
  <c r="AV1291" i="48"/>
  <c r="AW1291" i="48"/>
  <c r="BA1012" i="48"/>
  <c r="AV1012" i="48"/>
  <c r="AZ1012" i="48"/>
  <c r="AU1012" i="48"/>
  <c r="AP1012" i="48" s="1"/>
  <c r="BK1012" i="48"/>
  <c r="AY1012" i="48"/>
  <c r="AX1012" i="48"/>
  <c r="AW1012" i="48"/>
  <c r="BA1185" i="48"/>
  <c r="AX1185" i="48"/>
  <c r="AY1185" i="48"/>
  <c r="AV1185" i="48"/>
  <c r="BK1185" i="48"/>
  <c r="AZ1185" i="48"/>
  <c r="AW1185" i="48"/>
  <c r="AU1185" i="48"/>
  <c r="BJ935" i="48"/>
  <c r="BD935" i="48"/>
  <c r="BA1925" i="48"/>
  <c r="BK1925" i="48"/>
  <c r="AZ1925" i="48"/>
  <c r="AU1925" i="48"/>
  <c r="AY1925" i="48"/>
  <c r="AX1925" i="48"/>
  <c r="AV1925" i="48"/>
  <c r="AW1925" i="48"/>
  <c r="BJ1258" i="48"/>
  <c r="BD1258" i="48"/>
  <c r="BJ584" i="48"/>
  <c r="BD584" i="48"/>
  <c r="BA1615" i="48"/>
  <c r="AZ1615" i="48"/>
  <c r="AU1615" i="48"/>
  <c r="BK1615" i="48"/>
  <c r="AY1615" i="48"/>
  <c r="AX1615" i="48"/>
  <c r="AV1615" i="48"/>
  <c r="AW1615" i="48"/>
  <c r="BJ1904" i="48"/>
  <c r="BD1904" i="48"/>
  <c r="BJ1571" i="48"/>
  <c r="BD1571" i="48"/>
  <c r="AW1546" i="48"/>
  <c r="BA1546" i="48"/>
  <c r="AX1546" i="48"/>
  <c r="AV1546" i="48"/>
  <c r="BK1546" i="48"/>
  <c r="AZ1546" i="48"/>
  <c r="AY1546" i="48"/>
  <c r="AU1546" i="48"/>
  <c r="AK1546" i="48" s="1"/>
  <c r="BA1325" i="48"/>
  <c r="AX1325" i="48"/>
  <c r="AU1325" i="48"/>
  <c r="AK1325" i="48" s="1"/>
  <c r="AZ1325" i="48"/>
  <c r="AY1325" i="48"/>
  <c r="BK1325" i="48"/>
  <c r="AV1325" i="48"/>
  <c r="AW1325" i="48"/>
  <c r="BD669" i="48"/>
  <c r="BJ669" i="48"/>
  <c r="BJ740" i="48"/>
  <c r="BD740" i="48"/>
  <c r="AX740" i="48"/>
  <c r="BK740" i="48"/>
  <c r="AY740" i="48"/>
  <c r="AV740" i="48"/>
  <c r="AU740" i="48"/>
  <c r="AO740" i="48" s="1"/>
  <c r="AZ740" i="48"/>
  <c r="AW740" i="48"/>
  <c r="BA740" i="48"/>
  <c r="BA893" i="48"/>
  <c r="BK893" i="48"/>
  <c r="AU893" i="48"/>
  <c r="AY893" i="48"/>
  <c r="AX893" i="48"/>
  <c r="AV893" i="48"/>
  <c r="AZ893" i="48"/>
  <c r="AW893" i="48"/>
  <c r="BD1399" i="48"/>
  <c r="BJ1399" i="48"/>
  <c r="BA1033" i="48"/>
  <c r="AY1033" i="48"/>
  <c r="AX1033" i="48"/>
  <c r="BK1033" i="48"/>
  <c r="AU1033" i="48"/>
  <c r="AM1033" i="48" s="1"/>
  <c r="AW1033" i="48"/>
  <c r="AV1033" i="48"/>
  <c r="AZ1033" i="48"/>
  <c r="BA1862" i="48"/>
  <c r="AX1862" i="48"/>
  <c r="BK1862" i="48"/>
  <c r="AZ1862" i="48"/>
  <c r="AU1862" i="48"/>
  <c r="AW1862" i="48"/>
  <c r="AY1862" i="48"/>
  <c r="AV1862" i="48"/>
  <c r="BJ1903" i="48"/>
  <c r="BD1903" i="48"/>
  <c r="BD857" i="48"/>
  <c r="BJ857" i="48"/>
  <c r="BA1882" i="48"/>
  <c r="AX1882" i="48"/>
  <c r="AU1882" i="48"/>
  <c r="AY1882" i="48"/>
  <c r="AV1882" i="48"/>
  <c r="BK1882" i="48"/>
  <c r="AZ1882" i="48"/>
  <c r="AW1882" i="48"/>
  <c r="BJ1651" i="48"/>
  <c r="BD1651" i="48"/>
  <c r="AX960" i="48"/>
  <c r="BK960" i="48"/>
  <c r="AZ960" i="48"/>
  <c r="AY960" i="48"/>
  <c r="AV960" i="48"/>
  <c r="AU960" i="48"/>
  <c r="AL960" i="48" s="1"/>
  <c r="BA960" i="48"/>
  <c r="AW960" i="48"/>
  <c r="BJ1520" i="48"/>
  <c r="BD1520" i="48"/>
  <c r="AX1389" i="48"/>
  <c r="AV1389" i="48"/>
  <c r="AU1389" i="48"/>
  <c r="AZ1389" i="48"/>
  <c r="BK1389" i="48"/>
  <c r="AY1389" i="48"/>
  <c r="AW1389" i="48"/>
  <c r="BA1389" i="48"/>
  <c r="BJ1060" i="48"/>
  <c r="BD1060" i="48"/>
  <c r="BA1060" i="48"/>
  <c r="AX1060" i="48"/>
  <c r="AV1060" i="48"/>
  <c r="AZ1060" i="48"/>
  <c r="AU1060" i="48"/>
  <c r="AK1060" i="48" s="1"/>
  <c r="BK1060" i="48"/>
  <c r="AY1060" i="48"/>
  <c r="AW1060" i="48"/>
  <c r="BD909" i="48"/>
  <c r="BJ909" i="48"/>
  <c r="BJ1056" i="48"/>
  <c r="BD1056" i="48"/>
  <c r="BJ1505" i="48"/>
  <c r="BD1505" i="48"/>
  <c r="BA1232" i="48"/>
  <c r="AY1232" i="48"/>
  <c r="BK1232" i="48"/>
  <c r="AU1232" i="48"/>
  <c r="AO1232" i="48" s="1"/>
  <c r="AX1232" i="48"/>
  <c r="AV1232" i="48"/>
  <c r="AZ1232" i="48"/>
  <c r="AW1232" i="48"/>
  <c r="AX1684" i="48"/>
  <c r="AW1684" i="48"/>
  <c r="BK1684" i="48"/>
  <c r="AY1684" i="48"/>
  <c r="AZ1684" i="48"/>
  <c r="AU1684" i="48"/>
  <c r="AL1684" i="48" s="1"/>
  <c r="AV1684" i="48"/>
  <c r="BA1684" i="48"/>
  <c r="BA1201" i="48"/>
  <c r="AX1201" i="48"/>
  <c r="AY1201" i="48"/>
  <c r="AV1201" i="48"/>
  <c r="BK1201" i="48"/>
  <c r="AZ1201" i="48"/>
  <c r="AW1201" i="48"/>
  <c r="AU1201" i="48"/>
  <c r="AM1201" i="48" s="1"/>
  <c r="BD1736" i="48"/>
  <c r="BJ1736" i="48"/>
  <c r="AW783" i="48"/>
  <c r="BA783" i="48"/>
  <c r="AV783" i="48"/>
  <c r="AX783" i="48"/>
  <c r="BK783" i="48"/>
  <c r="AZ783" i="48"/>
  <c r="AY783" i="48"/>
  <c r="AU783" i="48"/>
  <c r="AN783" i="48" s="1"/>
  <c r="BA1260" i="48"/>
  <c r="AY1260" i="48"/>
  <c r="AX1260" i="48"/>
  <c r="BK1260" i="48"/>
  <c r="AU1260" i="48"/>
  <c r="AW1260" i="48"/>
  <c r="AV1260" i="48"/>
  <c r="AZ1260" i="48"/>
  <c r="BD1337" i="48"/>
  <c r="BJ1337" i="48"/>
  <c r="BA1337" i="48"/>
  <c r="AZ1337" i="48"/>
  <c r="AX1337" i="48"/>
  <c r="AV1337" i="48"/>
  <c r="BK1337" i="48"/>
  <c r="AU1337" i="48"/>
  <c r="AY1337" i="48"/>
  <c r="AW1337" i="48"/>
  <c r="BA1625" i="48"/>
  <c r="AX1625" i="48"/>
  <c r="BK1625" i="48"/>
  <c r="AZ1625" i="48"/>
  <c r="AW1625" i="48"/>
  <c r="AU1625" i="48"/>
  <c r="AL1625" i="48" s="1"/>
  <c r="AY1625" i="48"/>
  <c r="AV1625" i="48"/>
  <c r="BJ1243" i="48"/>
  <c r="BD1243" i="48"/>
  <c r="BA1797" i="48"/>
  <c r="AZ1797" i="48"/>
  <c r="AU1797" i="48"/>
  <c r="AO1797" i="48" s="1"/>
  <c r="AV1797" i="48"/>
  <c r="AX1797" i="48"/>
  <c r="BK1797" i="48"/>
  <c r="AY1797" i="48"/>
  <c r="AW1797" i="48"/>
  <c r="BJ631" i="48"/>
  <c r="BD631" i="48"/>
  <c r="BD1499" i="48"/>
  <c r="BJ1499" i="48"/>
  <c r="BA1905" i="48"/>
  <c r="AZ1905" i="48"/>
  <c r="BK1905" i="48"/>
  <c r="AY1905" i="48"/>
  <c r="AX1905" i="48"/>
  <c r="AV1905" i="48"/>
  <c r="AU1905" i="48"/>
  <c r="AW1905" i="48"/>
  <c r="AW1681" i="48"/>
  <c r="AV1681" i="48"/>
  <c r="BA1681" i="48"/>
  <c r="AX1681" i="48"/>
  <c r="BK1681" i="48"/>
  <c r="AZ1681" i="48"/>
  <c r="AY1681" i="48"/>
  <c r="AU1681" i="48"/>
  <c r="BJ743" i="48"/>
  <c r="BD743" i="48"/>
  <c r="BJ1631" i="48"/>
  <c r="BD1631" i="48"/>
  <c r="BA1631" i="48"/>
  <c r="AX1631" i="48"/>
  <c r="AV1631" i="48"/>
  <c r="AZ1631" i="48"/>
  <c r="AU1631" i="48"/>
  <c r="AP1631" i="48" s="1"/>
  <c r="BK1631" i="48"/>
  <c r="AY1631" i="48"/>
  <c r="AW1631" i="48"/>
  <c r="BA1484" i="48"/>
  <c r="AW1484" i="48"/>
  <c r="AV1484" i="48"/>
  <c r="AX1484" i="48"/>
  <c r="BK1484" i="48"/>
  <c r="AY1484" i="48"/>
  <c r="AZ1484" i="48"/>
  <c r="AU1484" i="48"/>
  <c r="AP1484" i="48" s="1"/>
  <c r="BD1157" i="48"/>
  <c r="BJ1157" i="48"/>
  <c r="AV1859" i="48"/>
  <c r="AX1859" i="48"/>
  <c r="BK1859" i="48"/>
  <c r="BA1859" i="48"/>
  <c r="AY1859" i="48"/>
  <c r="AW1859" i="48"/>
  <c r="AZ1859" i="48"/>
  <c r="AU1859" i="48"/>
  <c r="AN1859" i="48" s="1"/>
  <c r="BA1957" i="48"/>
  <c r="AW1957" i="48"/>
  <c r="AZ1957" i="48"/>
  <c r="AU1957" i="48"/>
  <c r="AP1957" i="48" s="1"/>
  <c r="AV1957" i="48"/>
  <c r="AX1957" i="48"/>
  <c r="BK1957" i="48"/>
  <c r="AY1957" i="48"/>
  <c r="BK1745" i="48"/>
  <c r="AZ1745" i="48"/>
  <c r="AV1745" i="48"/>
  <c r="AX1745" i="48"/>
  <c r="AU1745" i="48"/>
  <c r="AN1745" i="48" s="1"/>
  <c r="AY1745" i="48"/>
  <c r="AW1745" i="48"/>
  <c r="BA1745" i="48"/>
  <c r="BJ796" i="48"/>
  <c r="BD796" i="48"/>
  <c r="BK2031" i="48"/>
  <c r="BA2031" i="48"/>
  <c r="AY2031" i="48"/>
  <c r="AW2031" i="48"/>
  <c r="AZ2031" i="48"/>
  <c r="AU2031" i="48"/>
  <c r="AK2031" i="48" s="1"/>
  <c r="AV2031" i="48"/>
  <c r="AX2031" i="48"/>
  <c r="BA561" i="48"/>
  <c r="AY561" i="48"/>
  <c r="AZ561" i="48"/>
  <c r="AU561" i="48"/>
  <c r="AP561" i="48" s="1"/>
  <c r="AV561" i="48"/>
  <c r="AX561" i="48"/>
  <c r="BK561" i="48"/>
  <c r="AW561" i="48"/>
  <c r="AW294" i="48"/>
  <c r="BD294" i="48" s="1"/>
  <c r="AU294" i="48"/>
  <c r="AX294" i="48"/>
  <c r="BK294" i="48"/>
  <c r="AZ294" i="48"/>
  <c r="BJ294" i="48" s="1"/>
  <c r="AY294" i="48"/>
  <c r="AV294" i="48"/>
  <c r="BA499" i="48"/>
  <c r="BK499" i="48"/>
  <c r="AZ499" i="48"/>
  <c r="AU499" i="48"/>
  <c r="AO499" i="48" s="1"/>
  <c r="AY499" i="48"/>
  <c r="AX499" i="48"/>
  <c r="AV499" i="48"/>
  <c r="AW499" i="48"/>
  <c r="BJ431" i="48"/>
  <c r="BD431" i="48"/>
  <c r="BA431" i="48"/>
  <c r="AX431" i="48"/>
  <c r="AV431" i="48"/>
  <c r="AZ431" i="48"/>
  <c r="AU431" i="48"/>
  <c r="BK431" i="48"/>
  <c r="AY431" i="48"/>
  <c r="AW431" i="48"/>
  <c r="BD93" i="48"/>
  <c r="BJ93" i="48"/>
  <c r="BJ254" i="48"/>
  <c r="BD254" i="48"/>
  <c r="BJ142" i="48"/>
  <c r="BD142" i="48"/>
  <c r="BA368" i="48"/>
  <c r="AY368" i="48"/>
  <c r="AX368" i="48"/>
  <c r="BK368" i="48"/>
  <c r="AU368" i="48"/>
  <c r="AL368" i="48" s="1"/>
  <c r="AZ368" i="48"/>
  <c r="AW368" i="48"/>
  <c r="AV368" i="48"/>
  <c r="BJ523" i="48"/>
  <c r="BD523" i="48"/>
  <c r="BJ198" i="48"/>
  <c r="BD198" i="48"/>
  <c r="BK108" i="48"/>
  <c r="AU108" i="48"/>
  <c r="AY108" i="48"/>
  <c r="AX108" i="48"/>
  <c r="AV108" i="48"/>
  <c r="AZ108" i="48"/>
  <c r="BJ108" i="48" s="1"/>
  <c r="AW108" i="48"/>
  <c r="BD108" i="48" s="1"/>
  <c r="AW61" i="48"/>
  <c r="BD61" i="48" s="1"/>
  <c r="AX61" i="48"/>
  <c r="AY61" i="48"/>
  <c r="AZ61" i="48"/>
  <c r="AU61" i="48"/>
  <c r="AO61" i="48" s="1"/>
  <c r="AP61" i="48" s="1"/>
  <c r="AV61" i="48"/>
  <c r="BK61" i="48"/>
  <c r="BD184" i="48"/>
  <c r="BJ184" i="48"/>
  <c r="BD340" i="48"/>
  <c r="BJ340" i="48"/>
  <c r="AY481" i="48"/>
  <c r="AX481" i="48"/>
  <c r="AZ481" i="48"/>
  <c r="AU481" i="48"/>
  <c r="AP481" i="48" s="1"/>
  <c r="AV481" i="48"/>
  <c r="AW481" i="48"/>
  <c r="BK481" i="48"/>
  <c r="BA481" i="48"/>
  <c r="AV59" i="48"/>
  <c r="AZ59" i="48"/>
  <c r="BJ59" i="48" s="1"/>
  <c r="AU59" i="48"/>
  <c r="BK59" i="48"/>
  <c r="AY59" i="48"/>
  <c r="AX59" i="48"/>
  <c r="AW59" i="48"/>
  <c r="BD59" i="48" s="1"/>
  <c r="BA551" i="48"/>
  <c r="BK551" i="48"/>
  <c r="AZ551" i="48"/>
  <c r="AU551" i="48"/>
  <c r="AY551" i="48"/>
  <c r="AX551" i="48"/>
  <c r="AV551" i="48"/>
  <c r="AW551" i="48"/>
  <c r="BK76" i="48"/>
  <c r="AU76" i="48"/>
  <c r="AY76" i="48"/>
  <c r="AX76" i="48"/>
  <c r="AV76" i="48"/>
  <c r="AZ76" i="48"/>
  <c r="BJ76" i="48" s="1"/>
  <c r="AW76" i="48"/>
  <c r="BD76" i="48" s="1"/>
  <c r="BJ527" i="48"/>
  <c r="BD527" i="48"/>
  <c r="BD192" i="48"/>
  <c r="BJ192" i="48"/>
  <c r="AV299" i="48"/>
  <c r="AZ299" i="48"/>
  <c r="BJ299" i="48" s="1"/>
  <c r="AU299" i="48"/>
  <c r="AO299" i="48" s="1"/>
  <c r="BK299" i="48"/>
  <c r="AY299" i="48"/>
  <c r="AX299" i="48"/>
  <c r="AW299" i="48"/>
  <c r="BD281" i="48"/>
  <c r="BJ281" i="48"/>
  <c r="BD117" i="48"/>
  <c r="BJ117" i="48"/>
  <c r="BD285" i="48"/>
  <c r="BJ285" i="48"/>
  <c r="BD404" i="48"/>
  <c r="BJ404" i="48"/>
  <c r="AV154" i="48"/>
  <c r="AW154" i="48"/>
  <c r="BD154" i="48" s="1"/>
  <c r="AX154" i="48"/>
  <c r="BK154" i="48"/>
  <c r="AZ154" i="48"/>
  <c r="BJ154" i="48" s="1"/>
  <c r="AY154" i="48"/>
  <c r="AU154" i="48"/>
  <c r="AO154" i="48" s="1"/>
  <c r="BD216" i="48"/>
  <c r="BJ216" i="48"/>
  <c r="BA356" i="48"/>
  <c r="AX356" i="48"/>
  <c r="BK356" i="48"/>
  <c r="AU356" i="48"/>
  <c r="AM356" i="48" s="1"/>
  <c r="AY356" i="48"/>
  <c r="AW356" i="48"/>
  <c r="AV356" i="48"/>
  <c r="AZ356" i="48"/>
  <c r="BJ71" i="48"/>
  <c r="BD71" i="48"/>
  <c r="BK195" i="48"/>
  <c r="AZ195" i="48"/>
  <c r="BJ195" i="48" s="1"/>
  <c r="AU195" i="48"/>
  <c r="AY195" i="48"/>
  <c r="AX195" i="48"/>
  <c r="AV195" i="48"/>
  <c r="AW195" i="48"/>
  <c r="BD195" i="48" s="1"/>
  <c r="BK542" i="48"/>
  <c r="AZ542" i="48"/>
  <c r="AV542" i="48"/>
  <c r="AX542" i="48"/>
  <c r="BA542" i="48"/>
  <c r="AU542" i="48"/>
  <c r="AW542" i="48"/>
  <c r="AY542" i="48"/>
  <c r="BD244" i="48"/>
  <c r="BJ244" i="48"/>
  <c r="BD372" i="48"/>
  <c r="BJ372" i="48"/>
  <c r="AW121" i="48"/>
  <c r="BD121" i="48" s="1"/>
  <c r="AX121" i="48"/>
  <c r="AZ121" i="48"/>
  <c r="BJ121" i="48" s="1"/>
  <c r="AU121" i="48"/>
  <c r="AV121" i="48"/>
  <c r="BK121" i="48"/>
  <c r="AY121" i="48"/>
  <c r="AY116" i="48"/>
  <c r="AX116" i="48"/>
  <c r="BK116" i="48"/>
  <c r="AU116" i="48"/>
  <c r="AW116" i="48"/>
  <c r="BD116" i="48" s="1"/>
  <c r="AV116" i="48"/>
  <c r="AZ116" i="48"/>
  <c r="BJ116" i="48" s="1"/>
  <c r="BA395" i="48"/>
  <c r="BK395" i="48"/>
  <c r="AY395" i="48"/>
  <c r="AX395" i="48"/>
  <c r="AV395" i="48"/>
  <c r="AZ395" i="48"/>
  <c r="AU395" i="48"/>
  <c r="AW395" i="48"/>
  <c r="BK152" i="48"/>
  <c r="AU152" i="48"/>
  <c r="AY152" i="48"/>
  <c r="AX152" i="48"/>
  <c r="AV152" i="48"/>
  <c r="AZ152" i="48"/>
  <c r="BJ152" i="48" s="1"/>
  <c r="AW152" i="48"/>
  <c r="BD152" i="48" s="1"/>
  <c r="AY84" i="48"/>
  <c r="AX84" i="48"/>
  <c r="BK84" i="48"/>
  <c r="AU84" i="48"/>
  <c r="AW84" i="48"/>
  <c r="BD84" i="48" s="1"/>
  <c r="AV84" i="48"/>
  <c r="AZ84" i="48"/>
  <c r="BJ84" i="48" s="1"/>
  <c r="BD501" i="48"/>
  <c r="BJ501" i="48"/>
  <c r="AY80" i="48"/>
  <c r="AX80" i="48"/>
  <c r="BK80" i="48"/>
  <c r="AU80" i="48"/>
  <c r="AZ80" i="48"/>
  <c r="BJ80" i="48" s="1"/>
  <c r="AW80" i="48"/>
  <c r="BD80" i="48" s="1"/>
  <c r="AV80" i="48"/>
  <c r="AV279" i="48"/>
  <c r="AZ279" i="48"/>
  <c r="BJ279" i="48" s="1"/>
  <c r="AU279" i="48"/>
  <c r="BK279" i="48"/>
  <c r="AY279" i="48"/>
  <c r="AX279" i="48"/>
  <c r="AW279" i="48"/>
  <c r="BD279" i="48" s="1"/>
  <c r="AX211" i="48"/>
  <c r="AV211" i="48"/>
  <c r="BK211" i="48"/>
  <c r="AZ211" i="48"/>
  <c r="BJ211" i="48" s="1"/>
  <c r="AU211" i="48"/>
  <c r="AY211" i="48"/>
  <c r="AW211" i="48"/>
  <c r="BD211" i="48" s="1"/>
  <c r="AZ162" i="48"/>
  <c r="BJ162" i="48" s="1"/>
  <c r="AX162" i="48"/>
  <c r="AW162" i="48"/>
  <c r="BD162" i="48" s="1"/>
  <c r="BK162" i="48"/>
  <c r="AY162" i="48"/>
  <c r="AU162" i="48"/>
  <c r="AV162" i="48"/>
  <c r="BD352" i="48"/>
  <c r="BJ352" i="48"/>
  <c r="BJ127" i="48"/>
  <c r="BD127" i="48"/>
  <c r="BJ387" i="48"/>
  <c r="BD387" i="48"/>
  <c r="BA416" i="48"/>
  <c r="AY416" i="48"/>
  <c r="AX416" i="48"/>
  <c r="BK416" i="48"/>
  <c r="AU416" i="48"/>
  <c r="AZ416" i="48"/>
  <c r="AW416" i="48"/>
  <c r="AV416" i="48"/>
  <c r="BJ347" i="48"/>
  <c r="BD347" i="48"/>
  <c r="BJ178" i="48"/>
  <c r="BD178" i="48"/>
  <c r="BJ407" i="48"/>
  <c r="BD407" i="48"/>
  <c r="BA1196" i="48"/>
  <c r="AY1196" i="48"/>
  <c r="AX1196" i="48"/>
  <c r="AU1196" i="48"/>
  <c r="BK1196" i="48"/>
  <c r="AW1196" i="48"/>
  <c r="AV1196" i="48"/>
  <c r="AZ1196" i="48"/>
  <c r="AW659" i="48"/>
  <c r="AX659" i="48"/>
  <c r="BK659" i="48"/>
  <c r="AZ659" i="48"/>
  <c r="BA659" i="48"/>
  <c r="AV659" i="48"/>
  <c r="AY659" i="48"/>
  <c r="AU659" i="48"/>
  <c r="AL659" i="48" s="1"/>
  <c r="BA1942" i="48"/>
  <c r="BK1942" i="48"/>
  <c r="AY1942" i="48"/>
  <c r="AX1942" i="48"/>
  <c r="AZ1942" i="48"/>
  <c r="AV1942" i="48"/>
  <c r="AU1942" i="48"/>
  <c r="AO1942" i="48" s="1"/>
  <c r="AW1942" i="48"/>
  <c r="BD866" i="48"/>
  <c r="BJ866" i="48"/>
  <c r="BA1142" i="48"/>
  <c r="BK1142" i="48"/>
  <c r="AW1142" i="48"/>
  <c r="AY1142" i="48"/>
  <c r="AZ1142" i="48"/>
  <c r="AU1142" i="48"/>
  <c r="AM1142" i="48" s="1"/>
  <c r="AV1142" i="48"/>
  <c r="AX1142" i="48"/>
  <c r="BA1665" i="48"/>
  <c r="AV1665" i="48"/>
  <c r="AZ1665" i="48"/>
  <c r="AX1665" i="48"/>
  <c r="BK1665" i="48"/>
  <c r="AU1665" i="48"/>
  <c r="AO1665" i="48" s="1"/>
  <c r="AY1665" i="48"/>
  <c r="AW1665" i="48"/>
  <c r="AW1030" i="48"/>
  <c r="BA1030" i="48"/>
  <c r="AV1030" i="48"/>
  <c r="AX1030" i="48"/>
  <c r="BK1030" i="48"/>
  <c r="AY1030" i="48"/>
  <c r="AZ1030" i="48"/>
  <c r="AU1030" i="48"/>
  <c r="AP1030" i="48" s="1"/>
  <c r="BD941" i="48"/>
  <c r="BJ941" i="48"/>
  <c r="BK991" i="48"/>
  <c r="AZ991" i="48"/>
  <c r="AV991" i="48"/>
  <c r="BA991" i="48"/>
  <c r="AU991" i="48"/>
  <c r="AX991" i="48"/>
  <c r="AY991" i="48"/>
  <c r="AW991" i="48"/>
  <c r="BA1848" i="48"/>
  <c r="AZ1848" i="48"/>
  <c r="AU1848" i="48"/>
  <c r="AK1848" i="48" s="1"/>
  <c r="BK1848" i="48"/>
  <c r="AY1848" i="48"/>
  <c r="AX1848" i="48"/>
  <c r="AV1848" i="48"/>
  <c r="AW1848" i="48"/>
  <c r="BA970" i="48"/>
  <c r="AW970" i="48"/>
  <c r="AY970" i="48"/>
  <c r="AZ970" i="48"/>
  <c r="AU970" i="48"/>
  <c r="AO970" i="48" s="1"/>
  <c r="AV970" i="48"/>
  <c r="AX970" i="48"/>
  <c r="BK970" i="48"/>
  <c r="BJ1907" i="48"/>
  <c r="BD1907" i="48"/>
  <c r="BJ787" i="48"/>
  <c r="BD787" i="48"/>
  <c r="BJ1934" i="48"/>
  <c r="BD1934" i="48"/>
  <c r="BD994" i="48"/>
  <c r="BJ994" i="48"/>
  <c r="BJ1707" i="48"/>
  <c r="BD1707" i="48"/>
  <c r="BD977" i="48"/>
  <c r="BJ977" i="48"/>
  <c r="BJ1517" i="48"/>
  <c r="BD1517" i="48"/>
  <c r="BD953" i="48"/>
  <c r="BJ953" i="48"/>
  <c r="BJ1214" i="48"/>
  <c r="BD1214" i="48"/>
  <c r="AW771" i="48"/>
  <c r="AX771" i="48"/>
  <c r="AV771" i="48"/>
  <c r="BK771" i="48"/>
  <c r="AZ771" i="48"/>
  <c r="AY771" i="48"/>
  <c r="AU771" i="48"/>
  <c r="AP771" i="48" s="1"/>
  <c r="BA771" i="48"/>
  <c r="AX822" i="48"/>
  <c r="AW822" i="48"/>
  <c r="AZ822" i="48"/>
  <c r="AU822" i="48"/>
  <c r="AN822" i="48" s="1"/>
  <c r="AV822" i="48"/>
  <c r="BA822" i="48"/>
  <c r="BK822" i="48"/>
  <c r="AY822" i="48"/>
  <c r="BA1723" i="48"/>
  <c r="AX1723" i="48"/>
  <c r="BK1723" i="48"/>
  <c r="AU1723" i="48"/>
  <c r="AM1723" i="48" s="1"/>
  <c r="AY1723" i="48"/>
  <c r="AW1723" i="48"/>
  <c r="AV1723" i="48"/>
  <c r="AZ1723" i="48"/>
  <c r="BJ1151" i="48"/>
  <c r="BD1151" i="48"/>
  <c r="BD905" i="48"/>
  <c r="BJ905" i="48"/>
  <c r="BD646" i="48"/>
  <c r="BJ646" i="48"/>
  <c r="BA981" i="48"/>
  <c r="AY981" i="48"/>
  <c r="BK981" i="48"/>
  <c r="AX981" i="48"/>
  <c r="AU981" i="48"/>
  <c r="AV981" i="48"/>
  <c r="AZ981" i="48"/>
  <c r="AW981" i="48"/>
  <c r="BD1395" i="48"/>
  <c r="BJ1395" i="48"/>
  <c r="AW735" i="48"/>
  <c r="AV735" i="48"/>
  <c r="BA735" i="48"/>
  <c r="AX735" i="48"/>
  <c r="BK735" i="48"/>
  <c r="AZ735" i="48"/>
  <c r="AY735" i="48"/>
  <c r="AU735" i="48"/>
  <c r="BA605" i="48"/>
  <c r="AY605" i="48"/>
  <c r="AX605" i="48"/>
  <c r="AV605" i="48"/>
  <c r="BK605" i="48"/>
  <c r="AZ605" i="48"/>
  <c r="AU605" i="48"/>
  <c r="AW605" i="48"/>
  <c r="BD777" i="48"/>
  <c r="BJ777" i="48"/>
  <c r="BA1438" i="48"/>
  <c r="AY1438" i="48"/>
  <c r="AX1438" i="48"/>
  <c r="BK1438" i="48"/>
  <c r="AU1438" i="48"/>
  <c r="AV1438" i="48"/>
  <c r="AW1438" i="48"/>
  <c r="AZ1438" i="48"/>
  <c r="BJ1650" i="48"/>
  <c r="BD1650" i="48"/>
  <c r="BA1840" i="48"/>
  <c r="BK1840" i="48"/>
  <c r="AZ1840" i="48"/>
  <c r="AU1840" i="48"/>
  <c r="AY1840" i="48"/>
  <c r="AX1840" i="48"/>
  <c r="AV1840" i="48"/>
  <c r="AW1840" i="48"/>
  <c r="BA1639" i="48"/>
  <c r="BK1639" i="48"/>
  <c r="AY1639" i="48"/>
  <c r="AX1639" i="48"/>
  <c r="AV1639" i="48"/>
  <c r="AZ1639" i="48"/>
  <c r="AU1639" i="48"/>
  <c r="AO1639" i="48" s="1"/>
  <c r="AW1639" i="48"/>
  <c r="BJ1865" i="48"/>
  <c r="BD1865" i="48"/>
  <c r="BA1304" i="48"/>
  <c r="BK1304" i="48"/>
  <c r="AU1304" i="48"/>
  <c r="AN1304" i="48" s="1"/>
  <c r="AY1304" i="48"/>
  <c r="AX1304" i="48"/>
  <c r="AW1304" i="48"/>
  <c r="AV1304" i="48"/>
  <c r="AZ1304" i="48"/>
  <c r="BA1909" i="48"/>
  <c r="AV1909" i="48"/>
  <c r="AZ1909" i="48"/>
  <c r="AU1909" i="48"/>
  <c r="AN1909" i="48" s="1"/>
  <c r="AY1909" i="48"/>
  <c r="AX1909" i="48"/>
  <c r="BK1909" i="48"/>
  <c r="AW1909" i="48"/>
  <c r="AX1766" i="48"/>
  <c r="AZ1766" i="48"/>
  <c r="BK1766" i="48"/>
  <c r="AY1766" i="48"/>
  <c r="AV1766" i="48"/>
  <c r="AU1766" i="48"/>
  <c r="AO1766" i="48" s="1"/>
  <c r="AW1766" i="48"/>
  <c r="BA1766" i="48"/>
  <c r="BA1426" i="48"/>
  <c r="AX1426" i="48"/>
  <c r="BK1426" i="48"/>
  <c r="AU1426" i="48"/>
  <c r="AK1426" i="48" s="1"/>
  <c r="AY1426" i="48"/>
  <c r="AV1426" i="48"/>
  <c r="AZ1426" i="48"/>
  <c r="AW1426" i="48"/>
  <c r="BA1837" i="48"/>
  <c r="BK1837" i="48"/>
  <c r="AU1837" i="48"/>
  <c r="AK1837" i="48" s="1"/>
  <c r="AY1837" i="48"/>
  <c r="AX1837" i="48"/>
  <c r="AW1837" i="48"/>
  <c r="AV1837" i="48"/>
  <c r="AZ1837" i="48"/>
  <c r="AX1827" i="48"/>
  <c r="BK1827" i="48"/>
  <c r="AZ1827" i="48"/>
  <c r="AV1827" i="48"/>
  <c r="BA1827" i="48"/>
  <c r="AU1827" i="48"/>
  <c r="AM1827" i="48" s="1"/>
  <c r="AW1827" i="48"/>
  <c r="AY1827" i="48"/>
  <c r="BA1544" i="48"/>
  <c r="AY1544" i="48"/>
  <c r="AX1544" i="48"/>
  <c r="BK1544" i="48"/>
  <c r="AU1544" i="48"/>
  <c r="AN1544" i="48" s="1"/>
  <c r="AV1544" i="48"/>
  <c r="AW1544" i="48"/>
  <c r="AZ1544" i="48"/>
  <c r="BA1094" i="48"/>
  <c r="AW1094" i="48"/>
  <c r="AV1094" i="48"/>
  <c r="AX1094" i="48"/>
  <c r="BK1094" i="48"/>
  <c r="AY1094" i="48"/>
  <c r="AZ1094" i="48"/>
  <c r="AU1094" i="48"/>
  <c r="AP1094" i="48" s="1"/>
  <c r="BJ1901" i="48"/>
  <c r="BD1901" i="48"/>
  <c r="BJ1267" i="48"/>
  <c r="BD1267" i="48"/>
  <c r="BA557" i="48"/>
  <c r="AW557" i="48"/>
  <c r="AX557" i="48"/>
  <c r="BK557" i="48"/>
  <c r="AZ557" i="48"/>
  <c r="AY557" i="48"/>
  <c r="AV557" i="48"/>
  <c r="AU557" i="48"/>
  <c r="AP557" i="48" s="1"/>
  <c r="BJ660" i="48"/>
  <c r="BD660" i="48"/>
  <c r="AX660" i="48"/>
  <c r="AY660" i="48"/>
  <c r="AV660" i="48"/>
  <c r="AU660" i="48"/>
  <c r="AN660" i="48" s="1"/>
  <c r="BK660" i="48"/>
  <c r="AZ660" i="48"/>
  <c r="AW660" i="48"/>
  <c r="BA660" i="48"/>
  <c r="BA1369" i="48"/>
  <c r="AV1369" i="48"/>
  <c r="AZ1369" i="48"/>
  <c r="AX1369" i="48"/>
  <c r="BK1369" i="48"/>
  <c r="AU1369" i="48"/>
  <c r="AM1369" i="48" s="1"/>
  <c r="AY1369" i="48"/>
  <c r="AW1369" i="48"/>
  <c r="AX596" i="48"/>
  <c r="BK596" i="48"/>
  <c r="AZ596" i="48"/>
  <c r="AY596" i="48"/>
  <c r="AV596" i="48"/>
  <c r="AU596" i="48"/>
  <c r="AO596" i="48" s="1"/>
  <c r="AW596" i="48"/>
  <c r="BA596" i="48"/>
  <c r="BD1927" i="48"/>
  <c r="BJ1927" i="48"/>
  <c r="BJ1139" i="48"/>
  <c r="BD1139" i="48"/>
  <c r="BD1277" i="48"/>
  <c r="BJ1277" i="48"/>
  <c r="BA1241" i="48"/>
  <c r="AX1241" i="48"/>
  <c r="AU1241" i="48"/>
  <c r="AY1241" i="48"/>
  <c r="AV1241" i="48"/>
  <c r="BK1241" i="48"/>
  <c r="AZ1241" i="48"/>
  <c r="AW1241" i="48"/>
  <c r="BA1102" i="48"/>
  <c r="AW1102" i="48"/>
  <c r="BK1102" i="48"/>
  <c r="AY1102" i="48"/>
  <c r="AZ1102" i="48"/>
  <c r="AU1102" i="48"/>
  <c r="AV1102" i="48"/>
  <c r="AX1102" i="48"/>
  <c r="BA1312" i="48"/>
  <c r="AX1312" i="48"/>
  <c r="BK1312" i="48"/>
  <c r="AU1312" i="48"/>
  <c r="AY1312" i="48"/>
  <c r="AV1312" i="48"/>
  <c r="AZ1312" i="48"/>
  <c r="AW1312" i="48"/>
  <c r="BD1443" i="48"/>
  <c r="BJ1443" i="48"/>
  <c r="BJ1803" i="48"/>
  <c r="BD1803" i="48"/>
  <c r="AW1082" i="48"/>
  <c r="BA1082" i="48"/>
  <c r="AY1082" i="48"/>
  <c r="AZ1082" i="48"/>
  <c r="AU1082" i="48"/>
  <c r="AV1082" i="48"/>
  <c r="AX1082" i="48"/>
  <c r="BK1082" i="48"/>
  <c r="BA1355" i="48"/>
  <c r="AZ1355" i="48"/>
  <c r="AU1355" i="48"/>
  <c r="AK1355" i="48" s="1"/>
  <c r="BK1355" i="48"/>
  <c r="AY1355" i="48"/>
  <c r="AX1355" i="48"/>
  <c r="AV1355" i="48"/>
  <c r="AW1355" i="48"/>
  <c r="BA1791" i="48"/>
  <c r="BK1791" i="48"/>
  <c r="AU1791" i="48"/>
  <c r="AN1791" i="48" s="1"/>
  <c r="AY1791" i="48"/>
  <c r="AX1791" i="48"/>
  <c r="AZ1791" i="48"/>
  <c r="AW1791" i="48"/>
  <c r="AV1791" i="48"/>
  <c r="BD998" i="48"/>
  <c r="BJ998" i="48"/>
  <c r="AZ1074" i="48"/>
  <c r="AU1074" i="48"/>
  <c r="AV1074" i="48"/>
  <c r="AX1074" i="48"/>
  <c r="BK1074" i="48"/>
  <c r="BA1074" i="48"/>
  <c r="AY1074" i="48"/>
  <c r="AW1074" i="48"/>
  <c r="BD1141" i="48"/>
  <c r="BJ1141" i="48"/>
  <c r="BA1515" i="48"/>
  <c r="AX1515" i="48"/>
  <c r="AU1515" i="48"/>
  <c r="AO1515" i="48" s="1"/>
  <c r="AY1515" i="48"/>
  <c r="BK1515" i="48"/>
  <c r="AV1515" i="48"/>
  <c r="AZ1515" i="48"/>
  <c r="AW1515" i="48"/>
  <c r="AV1278" i="48"/>
  <c r="AX1278" i="48"/>
  <c r="BK1278" i="48"/>
  <c r="BA1278" i="48"/>
  <c r="AY1278" i="48"/>
  <c r="AW1278" i="48"/>
  <c r="AZ1278" i="48"/>
  <c r="AU1278" i="48"/>
  <c r="AO1278" i="48" s="1"/>
  <c r="AW1440" i="48"/>
  <c r="BA1440" i="48"/>
  <c r="AV1440" i="48"/>
  <c r="AX1440" i="48"/>
  <c r="BK1440" i="48"/>
  <c r="AY1440" i="48"/>
  <c r="AZ1440" i="48"/>
  <c r="AU1440" i="48"/>
  <c r="AN1440" i="48" s="1"/>
  <c r="AX1579" i="48"/>
  <c r="AU1579" i="48"/>
  <c r="AM1579" i="48" s="1"/>
  <c r="AZ1579" i="48"/>
  <c r="BK1579" i="48"/>
  <c r="AY1579" i="48"/>
  <c r="AV1579" i="48"/>
  <c r="AW1579" i="48"/>
  <c r="BA1579" i="48"/>
  <c r="BJ1861" i="48"/>
  <c r="BD1861" i="48"/>
  <c r="BA1104" i="48"/>
  <c r="AZ1104" i="48"/>
  <c r="AU1104" i="48"/>
  <c r="AP1104" i="48" s="1"/>
  <c r="BK1104" i="48"/>
  <c r="AY1104" i="48"/>
  <c r="AX1104" i="48"/>
  <c r="AV1104" i="48"/>
  <c r="AW1104" i="48"/>
  <c r="BJ1875" i="48"/>
  <c r="BD1875" i="48"/>
  <c r="BK1027" i="48"/>
  <c r="AV1027" i="48"/>
  <c r="AZ1027" i="48"/>
  <c r="BA1027" i="48"/>
  <c r="AY1027" i="48"/>
  <c r="AX1027" i="48"/>
  <c r="AW1027" i="48"/>
  <c r="AU1027" i="48"/>
  <c r="AM1027" i="48" s="1"/>
  <c r="BJ1097" i="48"/>
  <c r="BD1097" i="48"/>
  <c r="AZ575" i="48"/>
  <c r="AW575" i="48"/>
  <c r="AX575" i="48"/>
  <c r="AY575" i="48"/>
  <c r="AU575" i="48"/>
  <c r="AV575" i="48"/>
  <c r="BK575" i="48"/>
  <c r="BA575" i="48"/>
  <c r="AX1988" i="48"/>
  <c r="AV1988" i="48"/>
  <c r="AU1988" i="48"/>
  <c r="AO1988" i="48" s="1"/>
  <c r="AZ1988" i="48"/>
  <c r="AY1988" i="48"/>
  <c r="BK1988" i="48"/>
  <c r="AW1988" i="48"/>
  <c r="BA1988" i="48"/>
  <c r="BA1731" i="48"/>
  <c r="AY1731" i="48"/>
  <c r="BK1731" i="48"/>
  <c r="AX1731" i="48"/>
  <c r="AU1731" i="48"/>
  <c r="AZ1731" i="48"/>
  <c r="AW1731" i="48"/>
  <c r="AV1731" i="48"/>
  <c r="BA1228" i="48"/>
  <c r="AX1228" i="48"/>
  <c r="AY1228" i="48"/>
  <c r="AU1228" i="48"/>
  <c r="AM1228" i="48" s="1"/>
  <c r="BK1228" i="48"/>
  <c r="AW1228" i="48"/>
  <c r="AV1228" i="48"/>
  <c r="AZ1228" i="48"/>
  <c r="BA1564" i="48"/>
  <c r="AY1564" i="48"/>
  <c r="AX1564" i="48"/>
  <c r="BK1564" i="48"/>
  <c r="AU1564" i="48"/>
  <c r="AP1564" i="48" s="1"/>
  <c r="AV1564" i="48"/>
  <c r="AZ1564" i="48"/>
  <c r="AW1564" i="48"/>
  <c r="BK963" i="48"/>
  <c r="AV963" i="48"/>
  <c r="AZ963" i="48"/>
  <c r="BA963" i="48"/>
  <c r="AX963" i="48"/>
  <c r="AY963" i="48"/>
  <c r="AW963" i="48"/>
  <c r="AU963" i="48"/>
  <c r="AM963" i="48" s="1"/>
  <c r="BA898" i="48"/>
  <c r="AV898" i="48"/>
  <c r="AX898" i="48"/>
  <c r="BK898" i="48"/>
  <c r="AW898" i="48"/>
  <c r="AY898" i="48"/>
  <c r="AZ898" i="48"/>
  <c r="AU898" i="48"/>
  <c r="AP898" i="48" s="1"/>
  <c r="BD690" i="48"/>
  <c r="BJ690" i="48"/>
  <c r="BJ1883" i="48"/>
  <c r="BD1883" i="48"/>
  <c r="BD1990" i="48"/>
  <c r="BJ1990" i="48"/>
  <c r="BD589" i="48"/>
  <c r="BJ589" i="48"/>
  <c r="AX766" i="48"/>
  <c r="AW766" i="48"/>
  <c r="AV766" i="48"/>
  <c r="BA766" i="48"/>
  <c r="BK766" i="48"/>
  <c r="AY766" i="48"/>
  <c r="AZ766" i="48"/>
  <c r="AU766" i="48"/>
  <c r="AN766" i="48" s="1"/>
  <c r="AW1945" i="48"/>
  <c r="AV1945" i="48"/>
  <c r="AU1945" i="48"/>
  <c r="AZ1945" i="48"/>
  <c r="AX1945" i="48"/>
  <c r="BK1945" i="48"/>
  <c r="BA1945" i="48"/>
  <c r="AY1945" i="48"/>
  <c r="BD926" i="48"/>
  <c r="BJ926" i="48"/>
  <c r="BA1468" i="48"/>
  <c r="AW1468" i="48"/>
  <c r="AY1468" i="48"/>
  <c r="AZ1468" i="48"/>
  <c r="AU1468" i="48"/>
  <c r="AV1468" i="48"/>
  <c r="AX1468" i="48"/>
  <c r="BK1468" i="48"/>
  <c r="AW1526" i="48"/>
  <c r="BA1526" i="48"/>
  <c r="AV1526" i="48"/>
  <c r="AY1526" i="48"/>
  <c r="AU1526" i="48"/>
  <c r="AX1526" i="48"/>
  <c r="BK1526" i="48"/>
  <c r="AZ1526" i="48"/>
  <c r="BA729" i="48"/>
  <c r="AZ729" i="48"/>
  <c r="AU729" i="48"/>
  <c r="AY729" i="48"/>
  <c r="AX729" i="48"/>
  <c r="BK729" i="48"/>
  <c r="AV729" i="48"/>
  <c r="AW729" i="48"/>
  <c r="BJ648" i="48"/>
  <c r="BD648" i="48"/>
  <c r="BD853" i="48"/>
  <c r="BJ853" i="48"/>
  <c r="BJ1602" i="48"/>
  <c r="BD1602" i="48"/>
  <c r="BJ875" i="48"/>
  <c r="BD875" i="48"/>
  <c r="BA875" i="48"/>
  <c r="AX875" i="48"/>
  <c r="BK875" i="48"/>
  <c r="AW875" i="48"/>
  <c r="AY875" i="48"/>
  <c r="AV875" i="48"/>
  <c r="AU875" i="48"/>
  <c r="AK875" i="48" s="1"/>
  <c r="AZ875" i="48"/>
  <c r="AW1666" i="48"/>
  <c r="BA1666" i="48"/>
  <c r="AV1666" i="48"/>
  <c r="AX1666" i="48"/>
  <c r="BK1666" i="48"/>
  <c r="AY1666" i="48"/>
  <c r="AZ1666" i="48"/>
  <c r="AU1666" i="48"/>
  <c r="AW1530" i="48"/>
  <c r="BA1530" i="48"/>
  <c r="AX1530" i="48"/>
  <c r="AV1530" i="48"/>
  <c r="BK1530" i="48"/>
  <c r="AZ1530" i="48"/>
  <c r="AY1530" i="48"/>
  <c r="AU1530" i="48"/>
  <c r="AM1530" i="48" s="1"/>
  <c r="BA661" i="48"/>
  <c r="AX661" i="48"/>
  <c r="AV661" i="48"/>
  <c r="BK661" i="48"/>
  <c r="AZ661" i="48"/>
  <c r="AU661" i="48"/>
  <c r="AM661" i="48" s="1"/>
  <c r="AY661" i="48"/>
  <c r="AW661" i="48"/>
  <c r="BD1121" i="48"/>
  <c r="BJ1121" i="48"/>
  <c r="BA1795" i="48"/>
  <c r="BK1795" i="48"/>
  <c r="AU1795" i="48"/>
  <c r="AL1795" i="48" s="1"/>
  <c r="AY1795" i="48"/>
  <c r="AX1795" i="48"/>
  <c r="AZ1795" i="48"/>
  <c r="AW1795" i="48"/>
  <c r="AV1795" i="48"/>
  <c r="AX650" i="48"/>
  <c r="AY650" i="48"/>
  <c r="AZ650" i="48"/>
  <c r="AU650" i="48"/>
  <c r="AN650" i="48" s="1"/>
  <c r="AV650" i="48"/>
  <c r="BA650" i="48"/>
  <c r="AW650" i="48"/>
  <c r="BK650" i="48"/>
  <c r="BJ1534" i="48"/>
  <c r="BD1534" i="48"/>
  <c r="BJ1059" i="48"/>
  <c r="BD1059" i="48"/>
  <c r="BA1809" i="48"/>
  <c r="AW1809" i="48"/>
  <c r="AZ1809" i="48"/>
  <c r="AU1809" i="48"/>
  <c r="AM1809" i="48" s="1"/>
  <c r="AV1809" i="48"/>
  <c r="AX1809" i="48"/>
  <c r="BK1809" i="48"/>
  <c r="AY1809" i="48"/>
  <c r="BD2027" i="48"/>
  <c r="BJ2027" i="48"/>
  <c r="BD1661" i="48"/>
  <c r="BJ1661" i="48"/>
  <c r="BJ1634" i="48"/>
  <c r="BD1634" i="48"/>
  <c r="BA1663" i="48"/>
  <c r="AZ1663" i="48"/>
  <c r="AU1663" i="48"/>
  <c r="AO1663" i="48" s="1"/>
  <c r="BK1663" i="48"/>
  <c r="AY1663" i="48"/>
  <c r="AX1663" i="48"/>
  <c r="AV1663" i="48"/>
  <c r="AW1663" i="48"/>
  <c r="AW751" i="48"/>
  <c r="BA751" i="48"/>
  <c r="AV751" i="48"/>
  <c r="AX751" i="48"/>
  <c r="BK751" i="48"/>
  <c r="AZ751" i="48"/>
  <c r="AY751" i="48"/>
  <c r="AU751" i="48"/>
  <c r="BD1629" i="48"/>
  <c r="BJ1629" i="48"/>
  <c r="BJ1108" i="48"/>
  <c r="BD1108" i="48"/>
  <c r="BA1913" i="48"/>
  <c r="AV1913" i="48"/>
  <c r="AZ1913" i="48"/>
  <c r="AU1913" i="48"/>
  <c r="AK1913" i="48" s="1"/>
  <c r="BK1913" i="48"/>
  <c r="AY1913" i="48"/>
  <c r="AX1913" i="48"/>
  <c r="AW1913" i="48"/>
  <c r="BJ1806" i="48"/>
  <c r="BD1806" i="48"/>
  <c r="BJ1322" i="48"/>
  <c r="BD1322" i="48"/>
  <c r="BJ1810" i="48"/>
  <c r="BD1810" i="48"/>
  <c r="AX2044" i="48"/>
  <c r="AW2044" i="48"/>
  <c r="AV2044" i="48"/>
  <c r="BA2044" i="48"/>
  <c r="BK2044" i="48"/>
  <c r="AY2044" i="48"/>
  <c r="AZ2044" i="48"/>
  <c r="AU2044" i="48"/>
  <c r="BJ1404" i="48"/>
  <c r="BD1404" i="48"/>
  <c r="AW579" i="48"/>
  <c r="AY579" i="48"/>
  <c r="AU579" i="48"/>
  <c r="AP579" i="48" s="1"/>
  <c r="BA579" i="48"/>
  <c r="AX579" i="48"/>
  <c r="BK579" i="48"/>
  <c r="AZ579" i="48"/>
  <c r="AV579" i="48"/>
  <c r="BD954" i="48"/>
  <c r="BJ954" i="48"/>
  <c r="BK1999" i="48"/>
  <c r="AZ1999" i="48"/>
  <c r="AV1999" i="48"/>
  <c r="AW1999" i="48"/>
  <c r="AU1999" i="48"/>
  <c r="AK1999" i="48" s="1"/>
  <c r="BA1999" i="48"/>
  <c r="AX1999" i="48"/>
  <c r="AY1999" i="48"/>
  <c r="BD773" i="48"/>
  <c r="BJ773" i="48"/>
  <c r="BA1674" i="48"/>
  <c r="AZ1674" i="48"/>
  <c r="AU1674" i="48"/>
  <c r="AK1674" i="48" s="1"/>
  <c r="AW1674" i="48"/>
  <c r="AV1674" i="48"/>
  <c r="AX1674" i="48"/>
  <c r="BK1674" i="48"/>
  <c r="AY1674" i="48"/>
  <c r="BJ1412" i="48"/>
  <c r="BD1412" i="48"/>
  <c r="BJ1572" i="48"/>
  <c r="BD1572" i="48"/>
  <c r="BJ1156" i="48"/>
  <c r="BD1156" i="48"/>
  <c r="BD878" i="48"/>
  <c r="BJ878" i="48"/>
  <c r="BA1265" i="48"/>
  <c r="AX1265" i="48"/>
  <c r="AY1265" i="48"/>
  <c r="AV1265" i="48"/>
  <c r="BK1265" i="48"/>
  <c r="AZ1265" i="48"/>
  <c r="AW1265" i="48"/>
  <c r="AU1265" i="48"/>
  <c r="AO1265" i="48" s="1"/>
  <c r="BJ1616" i="48"/>
  <c r="BD1616" i="48"/>
  <c r="BJ839" i="48"/>
  <c r="BD839" i="48"/>
  <c r="BA839" i="48"/>
  <c r="AW839" i="48"/>
  <c r="AU839" i="48"/>
  <c r="AO839" i="48" s="1"/>
  <c r="AX839" i="48"/>
  <c r="BK839" i="48"/>
  <c r="AZ839" i="48"/>
  <c r="AY839" i="48"/>
  <c r="AV839" i="48"/>
  <c r="BA1018" i="48"/>
  <c r="AW1018" i="48"/>
  <c r="AY1018" i="48"/>
  <c r="AZ1018" i="48"/>
  <c r="AU1018" i="48"/>
  <c r="AN1018" i="48" s="1"/>
  <c r="AV1018" i="48"/>
  <c r="AX1018" i="48"/>
  <c r="BK1018" i="48"/>
  <c r="AX1992" i="48"/>
  <c r="AU1992" i="48"/>
  <c r="AM1992" i="48" s="1"/>
  <c r="AZ1992" i="48"/>
  <c r="AY1992" i="48"/>
  <c r="AV1992" i="48"/>
  <c r="BK1992" i="48"/>
  <c r="AW1992" i="48"/>
  <c r="BA1992" i="48"/>
  <c r="BJ599" i="48"/>
  <c r="BD599" i="48"/>
  <c r="BA2013" i="48"/>
  <c r="AW2013" i="48"/>
  <c r="AV2013" i="48"/>
  <c r="AX2013" i="48"/>
  <c r="BK2013" i="48"/>
  <c r="AY2013" i="48"/>
  <c r="AZ2013" i="48"/>
  <c r="AU2013" i="48"/>
  <c r="AP2013" i="48" s="1"/>
  <c r="BJ691" i="48"/>
  <c r="BD691" i="48"/>
  <c r="AW691" i="48"/>
  <c r="AX691" i="48"/>
  <c r="BK691" i="48"/>
  <c r="AZ691" i="48"/>
  <c r="BA691" i="48"/>
  <c r="AV691" i="48"/>
  <c r="AY691" i="48"/>
  <c r="AU691" i="48"/>
  <c r="AN691" i="48" s="1"/>
  <c r="BD1935" i="48"/>
  <c r="BJ1935" i="48"/>
  <c r="AX632" i="48"/>
  <c r="AZ632" i="48"/>
  <c r="BK632" i="48"/>
  <c r="AY632" i="48"/>
  <c r="AV632" i="48"/>
  <c r="AU632" i="48"/>
  <c r="AM632" i="48" s="1"/>
  <c r="BA632" i="48"/>
  <c r="AW632" i="48"/>
  <c r="AV1262" i="48"/>
  <c r="AX1262" i="48"/>
  <c r="BK1262" i="48"/>
  <c r="BA1262" i="48"/>
  <c r="AY1262" i="48"/>
  <c r="AW1262" i="48"/>
  <c r="AZ1262" i="48"/>
  <c r="AU1262" i="48"/>
  <c r="BA1211" i="48"/>
  <c r="BK1211" i="48"/>
  <c r="AY1211" i="48"/>
  <c r="AX1211" i="48"/>
  <c r="AV1211" i="48"/>
  <c r="AZ1211" i="48"/>
  <c r="AU1211" i="48"/>
  <c r="AL1211" i="48" s="1"/>
  <c r="AW1211" i="48"/>
  <c r="AX1782" i="48"/>
  <c r="AZ1782" i="48"/>
  <c r="BK1782" i="48"/>
  <c r="AY1782" i="48"/>
  <c r="AV1782" i="48"/>
  <c r="AU1782" i="48"/>
  <c r="AW1782" i="48"/>
  <c r="BA1782" i="48"/>
  <c r="BJ1818" i="48"/>
  <c r="BD1818" i="48"/>
  <c r="BA1359" i="48"/>
  <c r="AV1359" i="48"/>
  <c r="BK1359" i="48"/>
  <c r="AZ1359" i="48"/>
  <c r="AU1359" i="48"/>
  <c r="AY1359" i="48"/>
  <c r="AX1359" i="48"/>
  <c r="AW1359" i="48"/>
  <c r="BA1237" i="48"/>
  <c r="AX1237" i="48"/>
  <c r="BK1237" i="48"/>
  <c r="AZ1237" i="48"/>
  <c r="AU1237" i="48"/>
  <c r="AP1237" i="48" s="1"/>
  <c r="AW1237" i="48"/>
  <c r="AY1237" i="48"/>
  <c r="AV1237" i="48"/>
  <c r="AX936" i="48"/>
  <c r="BK936" i="48"/>
  <c r="AY936" i="48"/>
  <c r="AV936" i="48"/>
  <c r="AU936" i="48"/>
  <c r="AK936" i="48" s="1"/>
  <c r="AZ936" i="48"/>
  <c r="BA936" i="48"/>
  <c r="AW936" i="48"/>
  <c r="BD1561" i="48"/>
  <c r="BJ1561" i="48"/>
  <c r="BA1009" i="48"/>
  <c r="AU1009" i="48"/>
  <c r="AM1009" i="48" s="1"/>
  <c r="AY1009" i="48"/>
  <c r="BK1009" i="48"/>
  <c r="AX1009" i="48"/>
  <c r="AV1009" i="48"/>
  <c r="AZ1009" i="48"/>
  <c r="AW1009" i="48"/>
  <c r="BA1536" i="48"/>
  <c r="AY1536" i="48"/>
  <c r="AX1536" i="48"/>
  <c r="BK1536" i="48"/>
  <c r="AU1536" i="48"/>
  <c r="AO1536" i="48" s="1"/>
  <c r="AV1536" i="48"/>
  <c r="AZ1536" i="48"/>
  <c r="AW1536" i="48"/>
  <c r="BJ1015" i="48"/>
  <c r="BD1015" i="48"/>
  <c r="BJ1222" i="48"/>
  <c r="BD1222" i="48"/>
  <c r="BA1772" i="48"/>
  <c r="AX1772" i="48"/>
  <c r="BK1772" i="48"/>
  <c r="AV1772" i="48"/>
  <c r="AZ1772" i="48"/>
  <c r="AU1772" i="48"/>
  <c r="AW1772" i="48"/>
  <c r="AY1772" i="48"/>
  <c r="BD1593" i="48"/>
  <c r="BJ1593" i="48"/>
  <c r="BA945" i="48"/>
  <c r="AX945" i="48"/>
  <c r="BK945" i="48"/>
  <c r="AU945" i="48"/>
  <c r="AK945" i="48" s="1"/>
  <c r="AY945" i="48"/>
  <c r="AV945" i="48"/>
  <c r="AW945" i="48"/>
  <c r="AZ945" i="48"/>
  <c r="AX1912" i="48"/>
  <c r="AV1912" i="48"/>
  <c r="AU1912" i="48"/>
  <c r="AO1912" i="48" s="1"/>
  <c r="AZ1912" i="48"/>
  <c r="AY1912" i="48"/>
  <c r="BK1912" i="48"/>
  <c r="BA1912" i="48"/>
  <c r="AW1912" i="48"/>
  <c r="BD621" i="48"/>
  <c r="BJ621" i="48"/>
  <c r="AX1405" i="48"/>
  <c r="AV1405" i="48"/>
  <c r="AU1405" i="48"/>
  <c r="AO1405" i="48" s="1"/>
  <c r="AZ1405" i="48"/>
  <c r="BK1405" i="48"/>
  <c r="AY1405" i="48"/>
  <c r="AW1405" i="48"/>
  <c r="BA1405" i="48"/>
  <c r="AX800" i="48"/>
  <c r="AZ800" i="48"/>
  <c r="BK800" i="48"/>
  <c r="AY800" i="48"/>
  <c r="AV800" i="48"/>
  <c r="AU800" i="48"/>
  <c r="AK800" i="48" s="1"/>
  <c r="AW800" i="48"/>
  <c r="BA800" i="48"/>
  <c r="BA1204" i="48"/>
  <c r="AY1204" i="48"/>
  <c r="AX1204" i="48"/>
  <c r="BK1204" i="48"/>
  <c r="AU1204" i="48"/>
  <c r="AO1204" i="48" s="1"/>
  <c r="AZ1204" i="48"/>
  <c r="AW1204" i="48"/>
  <c r="AV1204" i="48"/>
  <c r="BJ1668" i="48"/>
  <c r="BD1668" i="48"/>
  <c r="BJ836" i="48"/>
  <c r="BD836" i="48"/>
  <c r="AX816" i="48"/>
  <c r="AV816" i="48"/>
  <c r="AU816" i="48"/>
  <c r="AZ816" i="48"/>
  <c r="BK816" i="48"/>
  <c r="AY816" i="48"/>
  <c r="AW816" i="48"/>
  <c r="BA816" i="48"/>
  <c r="BA1463" i="48"/>
  <c r="AX1463" i="48"/>
  <c r="AZ1463" i="48"/>
  <c r="AU1463" i="48"/>
  <c r="AN1463" i="48" s="1"/>
  <c r="AY1463" i="48"/>
  <c r="AW1463" i="48"/>
  <c r="BK1463" i="48"/>
  <c r="AV1463" i="48"/>
  <c r="BD626" i="48"/>
  <c r="BJ626" i="48"/>
  <c r="BJ1368" i="48"/>
  <c r="BD1368" i="48"/>
  <c r="BD637" i="48"/>
  <c r="BJ637" i="48"/>
  <c r="BD1189" i="48"/>
  <c r="BJ1189" i="48"/>
  <c r="AW1967" i="48"/>
  <c r="BA1967" i="48"/>
  <c r="AX1967" i="48"/>
  <c r="AV1967" i="48"/>
  <c r="BK1967" i="48"/>
  <c r="AZ1967" i="48"/>
  <c r="AY1967" i="48"/>
  <c r="AU1967" i="48"/>
  <c r="BD1177" i="48"/>
  <c r="BJ1177" i="48"/>
  <c r="BJ1298" i="48"/>
  <c r="BD1298" i="48"/>
  <c r="BJ1328" i="48"/>
  <c r="BD1328" i="48"/>
  <c r="BA1316" i="48"/>
  <c r="AY1316" i="48"/>
  <c r="AX1316" i="48"/>
  <c r="BK1316" i="48"/>
  <c r="AU1316" i="48"/>
  <c r="AM1316" i="48" s="1"/>
  <c r="AZ1316" i="48"/>
  <c r="AW1316" i="48"/>
  <c r="AV1316" i="48"/>
  <c r="BK1067" i="48"/>
  <c r="AZ1067" i="48"/>
  <c r="AV1067" i="48"/>
  <c r="BA1067" i="48"/>
  <c r="AX1067" i="48"/>
  <c r="AU1067" i="48"/>
  <c r="AO1067" i="48" s="1"/>
  <c r="AY1067" i="48"/>
  <c r="AW1067" i="48"/>
  <c r="BD698" i="48"/>
  <c r="BJ698" i="48"/>
  <c r="BJ1539" i="48"/>
  <c r="BD1539" i="48"/>
  <c r="BA1149" i="48"/>
  <c r="AY1149" i="48"/>
  <c r="AX1149" i="48"/>
  <c r="BK1149" i="48"/>
  <c r="AU1149" i="48"/>
  <c r="AZ1149" i="48"/>
  <c r="AV1149" i="48"/>
  <c r="AW1149" i="48"/>
  <c r="BJ1315" i="48"/>
  <c r="BD1315" i="48"/>
  <c r="BD1780" i="48"/>
  <c r="BJ1780" i="48"/>
  <c r="AX682" i="48"/>
  <c r="AV682" i="48"/>
  <c r="BA682" i="48"/>
  <c r="BK682" i="48"/>
  <c r="AY682" i="48"/>
  <c r="AW682" i="48"/>
  <c r="AZ682" i="48"/>
  <c r="AU682" i="48"/>
  <c r="AK682" i="48" s="1"/>
  <c r="AX730" i="48"/>
  <c r="AY730" i="48"/>
  <c r="BA730" i="48"/>
  <c r="AZ730" i="48"/>
  <c r="AU730" i="48"/>
  <c r="AW730" i="48"/>
  <c r="AV730" i="48"/>
  <c r="BK730" i="48"/>
  <c r="BA1341" i="48"/>
  <c r="AZ1341" i="48"/>
  <c r="AX1341" i="48"/>
  <c r="AV1341" i="48"/>
  <c r="BK1341" i="48"/>
  <c r="AU1341" i="48"/>
  <c r="AO1341" i="48" s="1"/>
  <c r="AY1341" i="48"/>
  <c r="AW1341" i="48"/>
  <c r="BJ1618" i="48"/>
  <c r="BD1618" i="48"/>
  <c r="AW1704" i="48"/>
  <c r="BA1704" i="48"/>
  <c r="AV1704" i="48"/>
  <c r="AX1704" i="48"/>
  <c r="BK1704" i="48"/>
  <c r="AY1704" i="48"/>
  <c r="AZ1704" i="48"/>
  <c r="AU1704" i="48"/>
  <c r="BA693" i="48"/>
  <c r="AZ693" i="48"/>
  <c r="AU693" i="48"/>
  <c r="BK693" i="48"/>
  <c r="AY693" i="48"/>
  <c r="AX693" i="48"/>
  <c r="AV693" i="48"/>
  <c r="AW693" i="48"/>
  <c r="BJ848" i="48"/>
  <c r="BD848" i="48"/>
  <c r="BA1471" i="48"/>
  <c r="AX1471" i="48"/>
  <c r="AY1471" i="48"/>
  <c r="AW1471" i="48"/>
  <c r="BK1471" i="48"/>
  <c r="AV1471" i="48"/>
  <c r="AZ1471" i="48"/>
  <c r="AU1471" i="48"/>
  <c r="AK1471" i="48" s="1"/>
  <c r="BD629" i="48"/>
  <c r="BJ629" i="48"/>
  <c r="BA629" i="48"/>
  <c r="AX629" i="48"/>
  <c r="AV629" i="48"/>
  <c r="AZ629" i="48"/>
  <c r="AU629" i="48"/>
  <c r="AO629" i="48" s="1"/>
  <c r="BK629" i="48"/>
  <c r="AY629" i="48"/>
  <c r="AW629" i="48"/>
  <c r="BD1829" i="48"/>
  <c r="BJ1829" i="48"/>
  <c r="BJ1900" i="48"/>
  <c r="BD1900" i="48"/>
  <c r="BA1900" i="48"/>
  <c r="AX1900" i="48"/>
  <c r="AV1900" i="48"/>
  <c r="AU1900" i="48"/>
  <c r="AN1900" i="48" s="1"/>
  <c r="BK1900" i="48"/>
  <c r="AZ1900" i="48"/>
  <c r="AY1900" i="48"/>
  <c r="AW1900" i="48"/>
  <c r="BA1486" i="48"/>
  <c r="AY1486" i="48"/>
  <c r="AX1486" i="48"/>
  <c r="BK1486" i="48"/>
  <c r="AU1486" i="48"/>
  <c r="AV1486" i="48"/>
  <c r="AW1486" i="48"/>
  <c r="AZ1486" i="48"/>
  <c r="BD189" i="48"/>
  <c r="BJ189" i="48"/>
  <c r="BA451" i="48"/>
  <c r="AX451" i="48"/>
  <c r="AV451" i="48"/>
  <c r="BK451" i="48"/>
  <c r="AZ451" i="48"/>
  <c r="AU451" i="48"/>
  <c r="AL451" i="48" s="1"/>
  <c r="AY451" i="48"/>
  <c r="AW451" i="48"/>
  <c r="BA491" i="48"/>
  <c r="AV491" i="48"/>
  <c r="AZ491" i="48"/>
  <c r="AU491" i="48"/>
  <c r="BK491" i="48"/>
  <c r="AY491" i="48"/>
  <c r="AX491" i="48"/>
  <c r="AW491" i="48"/>
  <c r="BJ398" i="48"/>
  <c r="BD398" i="48"/>
  <c r="BJ426" i="48"/>
  <c r="BD426" i="48"/>
  <c r="BJ482" i="48"/>
  <c r="BD482" i="48"/>
  <c r="BD288" i="48"/>
  <c r="BJ288" i="48"/>
  <c r="AY322" i="48"/>
  <c r="BA322" i="48"/>
  <c r="AU322" i="48"/>
  <c r="AP322" i="48" s="1"/>
  <c r="AV322" i="48"/>
  <c r="AW322" i="48"/>
  <c r="AX322" i="48"/>
  <c r="BK322" i="48"/>
  <c r="AZ322" i="48"/>
  <c r="BJ250" i="48"/>
  <c r="BD250" i="48"/>
  <c r="AW302" i="48"/>
  <c r="BA302" i="48"/>
  <c r="AV302" i="48"/>
  <c r="BK302" i="48"/>
  <c r="AZ302" i="48"/>
  <c r="AY302" i="48"/>
  <c r="AU302" i="48"/>
  <c r="AL302" i="48" s="1"/>
  <c r="AX302" i="48"/>
  <c r="BJ66" i="48"/>
  <c r="BD66" i="48"/>
  <c r="BD293" i="48"/>
  <c r="BJ293" i="48"/>
  <c r="BJ394" i="48"/>
  <c r="BD394" i="48"/>
  <c r="AX461" i="48"/>
  <c r="AW461" i="48"/>
  <c r="BK461" i="48"/>
  <c r="AY461" i="48"/>
  <c r="AZ461" i="48"/>
  <c r="AU461" i="48"/>
  <c r="AV461" i="48"/>
  <c r="BA461" i="48"/>
  <c r="BA427" i="48"/>
  <c r="BK427" i="48"/>
  <c r="AY427" i="48"/>
  <c r="AX427" i="48"/>
  <c r="AV427" i="48"/>
  <c r="AZ427" i="48"/>
  <c r="AU427" i="48"/>
  <c r="AW427" i="48"/>
  <c r="AX89" i="48"/>
  <c r="AW89" i="48"/>
  <c r="BD89" i="48" s="1"/>
  <c r="AV89" i="48"/>
  <c r="BK89" i="48"/>
  <c r="AY89" i="48"/>
  <c r="AZ89" i="48"/>
  <c r="BJ89" i="48" s="1"/>
  <c r="AU89" i="48"/>
  <c r="BA505" i="48"/>
  <c r="AW505" i="48"/>
  <c r="BK505" i="48"/>
  <c r="AZ505" i="48"/>
  <c r="AY505" i="48"/>
  <c r="AV505" i="48"/>
  <c r="AU505" i="48"/>
  <c r="AL505" i="48" s="1"/>
  <c r="AX505" i="48"/>
  <c r="AX277" i="48"/>
  <c r="AZ277" i="48"/>
  <c r="BJ277" i="48" s="1"/>
  <c r="AU277" i="48"/>
  <c r="AV277" i="48"/>
  <c r="BK277" i="48"/>
  <c r="AW277" i="48"/>
  <c r="BD277" i="48" s="1"/>
  <c r="AY277" i="48"/>
  <c r="AV287" i="48"/>
  <c r="BK287" i="48"/>
  <c r="AZ287" i="48"/>
  <c r="BJ287" i="48" s="1"/>
  <c r="AU287" i="48"/>
  <c r="AY287" i="48"/>
  <c r="AX287" i="48"/>
  <c r="AW287" i="48"/>
  <c r="BD287" i="48" s="1"/>
  <c r="BJ402" i="48"/>
  <c r="BD402" i="48"/>
  <c r="BK526" i="48"/>
  <c r="AZ526" i="48"/>
  <c r="AV526" i="48"/>
  <c r="AW526" i="48"/>
  <c r="AX526" i="48"/>
  <c r="BA526" i="48"/>
  <c r="AU526" i="48"/>
  <c r="AP526" i="48" s="1"/>
  <c r="AY526" i="48"/>
  <c r="AX171" i="48"/>
  <c r="AV171" i="48"/>
  <c r="AZ171" i="48"/>
  <c r="BJ171" i="48" s="1"/>
  <c r="AU171" i="48"/>
  <c r="BK171" i="48"/>
  <c r="AY171" i="48"/>
  <c r="AW171" i="48"/>
  <c r="BD171" i="48" s="1"/>
  <c r="AX135" i="48"/>
  <c r="AV135" i="48"/>
  <c r="AZ135" i="48"/>
  <c r="AU135" i="48"/>
  <c r="AO135" i="48" s="1"/>
  <c r="AP135" i="48" s="1"/>
  <c r="BK135" i="48"/>
  <c r="AY135" i="48"/>
  <c r="AW135" i="48"/>
  <c r="BD135" i="48" s="1"/>
  <c r="BJ290" i="48"/>
  <c r="BD290" i="48"/>
  <c r="AX69" i="48"/>
  <c r="AZ69" i="48"/>
  <c r="BJ69" i="48" s="1"/>
  <c r="AU69" i="48"/>
  <c r="AV69" i="48"/>
  <c r="BK69" i="48"/>
  <c r="AW69" i="48"/>
  <c r="BD69" i="48" s="1"/>
  <c r="AY69" i="48"/>
  <c r="BJ98" i="48"/>
  <c r="BD98" i="48"/>
  <c r="AX405" i="48"/>
  <c r="AY405" i="48"/>
  <c r="AZ405" i="48"/>
  <c r="AU405" i="48"/>
  <c r="AV405" i="48"/>
  <c r="BA405" i="48"/>
  <c r="BK405" i="48"/>
  <c r="AW405" i="48"/>
  <c r="BJ194" i="48"/>
  <c r="BD194" i="48"/>
  <c r="BJ346" i="48"/>
  <c r="BD346" i="48"/>
  <c r="BD128" i="48"/>
  <c r="BJ128" i="48"/>
  <c r="BA521" i="48"/>
  <c r="AW521" i="48"/>
  <c r="AV521" i="48"/>
  <c r="AX521" i="48"/>
  <c r="BK521" i="48"/>
  <c r="AY521" i="48"/>
  <c r="AZ521" i="48"/>
  <c r="AU521" i="48"/>
  <c r="BJ203" i="48"/>
  <c r="BD203" i="48"/>
  <c r="AX248" i="48"/>
  <c r="BK248" i="48"/>
  <c r="AU248" i="48"/>
  <c r="AY248" i="48"/>
  <c r="AV248" i="48"/>
  <c r="AZ248" i="48"/>
  <c r="BJ248" i="48" s="1"/>
  <c r="AW248" i="48"/>
  <c r="BD248" i="48" s="1"/>
  <c r="BA331" i="48"/>
  <c r="BK331" i="48"/>
  <c r="AY331" i="48"/>
  <c r="AX331" i="48"/>
  <c r="AV331" i="48"/>
  <c r="AZ331" i="48"/>
  <c r="AU331" i="48"/>
  <c r="AW331" i="48"/>
  <c r="AW549" i="48"/>
  <c r="BA549" i="48"/>
  <c r="BK549" i="48"/>
  <c r="AY549" i="48"/>
  <c r="AZ549" i="48"/>
  <c r="AU549" i="48"/>
  <c r="AV549" i="48"/>
  <c r="AX549" i="48"/>
  <c r="AX297" i="48"/>
  <c r="AW297" i="48"/>
  <c r="BK297" i="48"/>
  <c r="AY297" i="48"/>
  <c r="AZ297" i="48"/>
  <c r="BJ297" i="48" s="1"/>
  <c r="AU297" i="48"/>
  <c r="AV297" i="48"/>
  <c r="BD176" i="48"/>
  <c r="BJ176" i="48"/>
  <c r="BK124" i="48"/>
  <c r="AU124" i="48"/>
  <c r="AY124" i="48"/>
  <c r="AX124" i="48"/>
  <c r="AV124" i="48"/>
  <c r="AZ124" i="48"/>
  <c r="BJ124" i="48" s="1"/>
  <c r="AW124" i="48"/>
  <c r="BD124" i="48" s="1"/>
  <c r="AX197" i="48"/>
  <c r="AV197" i="48"/>
  <c r="BK197" i="48"/>
  <c r="AY197" i="48"/>
  <c r="AZ197" i="48"/>
  <c r="BJ197" i="48" s="1"/>
  <c r="AU197" i="48"/>
  <c r="AW197" i="48"/>
  <c r="BD197" i="48" s="1"/>
  <c r="AW246" i="48"/>
  <c r="BD246" i="48" s="1"/>
  <c r="AX246" i="48"/>
  <c r="BK246" i="48"/>
  <c r="AY246" i="48"/>
  <c r="AU246" i="48"/>
  <c r="AZ246" i="48"/>
  <c r="BJ246" i="48" s="1"/>
  <c r="AV246" i="48"/>
  <c r="AW486" i="48"/>
  <c r="AV486" i="48"/>
  <c r="BA486" i="48"/>
  <c r="AU486" i="48"/>
  <c r="AX486" i="48"/>
  <c r="BK486" i="48"/>
  <c r="AZ486" i="48"/>
  <c r="AY486" i="48"/>
  <c r="AX425" i="48"/>
  <c r="AW425" i="48"/>
  <c r="BK425" i="48"/>
  <c r="AY425" i="48"/>
  <c r="AZ425" i="48"/>
  <c r="AU425" i="48"/>
  <c r="AV425" i="48"/>
  <c r="BA425" i="48"/>
  <c r="BJ555" i="48"/>
  <c r="BD555" i="48"/>
  <c r="BD316" i="48"/>
  <c r="BJ316" i="48"/>
  <c r="BD145" i="48"/>
  <c r="BJ145" i="48"/>
  <c r="BJ366" i="48"/>
  <c r="BD366" i="48"/>
  <c r="BA493" i="48"/>
  <c r="AZ493" i="48"/>
  <c r="AU493" i="48"/>
  <c r="AV493" i="48"/>
  <c r="AX493" i="48"/>
  <c r="BK493" i="48"/>
  <c r="AY493" i="48"/>
  <c r="AW493" i="48"/>
  <c r="BJ411" i="48"/>
  <c r="BD411" i="48"/>
  <c r="AX349" i="48"/>
  <c r="AW349" i="48"/>
  <c r="AZ349" i="48"/>
  <c r="AU349" i="48"/>
  <c r="AV349" i="48"/>
  <c r="BA349" i="48"/>
  <c r="BK349" i="48"/>
  <c r="AY349" i="48"/>
  <c r="BJ271" i="48"/>
  <c r="BD271" i="48"/>
  <c r="BD172" i="48"/>
  <c r="BJ172" i="48"/>
  <c r="BJ286" i="48"/>
  <c r="BD286" i="48"/>
  <c r="AY196" i="48"/>
  <c r="AX196" i="48"/>
  <c r="BK196" i="48"/>
  <c r="AU196" i="48"/>
  <c r="AW196" i="48"/>
  <c r="BD196" i="48" s="1"/>
  <c r="AV196" i="48"/>
  <c r="AZ196" i="48"/>
  <c r="BJ196" i="48" s="1"/>
  <c r="BJ79" i="48"/>
  <c r="BD79" i="48"/>
  <c r="BD364" i="48"/>
  <c r="BJ364" i="48"/>
  <c r="BK522" i="48"/>
  <c r="AZ522" i="48"/>
  <c r="AV522" i="48"/>
  <c r="AW522" i="48"/>
  <c r="AY522" i="48"/>
  <c r="BA522" i="48"/>
  <c r="AX522" i="48"/>
  <c r="AU522" i="48"/>
  <c r="AW257" i="48"/>
  <c r="BD257" i="48" s="1"/>
  <c r="AV257" i="48"/>
  <c r="BK257" i="48"/>
  <c r="AX257" i="48"/>
  <c r="AY257" i="48"/>
  <c r="AZ257" i="48"/>
  <c r="BJ257" i="48" s="1"/>
  <c r="AU257" i="48"/>
  <c r="BA444" i="48"/>
  <c r="AY444" i="48"/>
  <c r="AX444" i="48"/>
  <c r="BK444" i="48"/>
  <c r="AU444" i="48"/>
  <c r="AV444" i="48"/>
  <c r="AZ444" i="48"/>
  <c r="AW444" i="48"/>
  <c r="BD329" i="48"/>
  <c r="BJ329" i="48"/>
  <c r="BJ163" i="48"/>
  <c r="BD163" i="48"/>
  <c r="BJ454" i="48"/>
  <c r="BD454" i="48"/>
  <c r="AW454" i="48"/>
  <c r="BK454" i="48"/>
  <c r="AZ454" i="48"/>
  <c r="AY454" i="48"/>
  <c r="AU454" i="48"/>
  <c r="BA454" i="48"/>
  <c r="AV454" i="48"/>
  <c r="AX454" i="48"/>
  <c r="BJ510" i="48"/>
  <c r="BD510" i="48"/>
  <c r="BK175" i="48"/>
  <c r="AY175" i="48"/>
  <c r="AX175" i="48"/>
  <c r="AV175" i="48"/>
  <c r="AZ175" i="48"/>
  <c r="BJ175" i="48" s="1"/>
  <c r="AU175" i="48"/>
  <c r="AW175" i="48"/>
  <c r="BD175" i="48" s="1"/>
  <c r="BK132" i="48"/>
  <c r="AU132" i="48"/>
  <c r="AY132" i="48"/>
  <c r="AX132" i="48"/>
  <c r="AW132" i="48"/>
  <c r="BD132" i="48" s="1"/>
  <c r="AV132" i="48"/>
  <c r="AZ132" i="48"/>
  <c r="BJ132" i="48" s="1"/>
  <c r="AW238" i="48"/>
  <c r="BD238" i="48" s="1"/>
  <c r="AV238" i="48"/>
  <c r="BK238" i="48"/>
  <c r="AZ238" i="48"/>
  <c r="BJ238" i="48" s="1"/>
  <c r="AY238" i="48"/>
  <c r="AU238" i="48"/>
  <c r="AX238" i="48"/>
  <c r="BA516" i="48"/>
  <c r="AY516" i="48"/>
  <c r="BK516" i="48"/>
  <c r="AX516" i="48"/>
  <c r="AU516" i="48"/>
  <c r="AV516" i="48"/>
  <c r="AZ516" i="48"/>
  <c r="AW516" i="48"/>
  <c r="BJ495" i="48"/>
  <c r="BD495" i="48"/>
  <c r="BD253" i="48"/>
  <c r="BJ253" i="48"/>
  <c r="BD269" i="48"/>
  <c r="BJ269" i="48"/>
  <c r="BJ518" i="48"/>
  <c r="BD518" i="48"/>
  <c r="BD141" i="48"/>
  <c r="BJ141" i="48"/>
  <c r="BD65" i="48"/>
  <c r="BJ65" i="48"/>
  <c r="BJ259" i="48"/>
  <c r="BD259" i="48"/>
  <c r="AV119" i="48"/>
  <c r="AZ119" i="48"/>
  <c r="BJ119" i="48" s="1"/>
  <c r="AU119" i="48"/>
  <c r="BK119" i="48"/>
  <c r="AY119" i="48"/>
  <c r="AX119" i="48"/>
  <c r="AW119" i="48"/>
  <c r="BD119" i="48" s="1"/>
  <c r="BJ107" i="48"/>
  <c r="BD107" i="48"/>
  <c r="BK260" i="48"/>
  <c r="AU260" i="48"/>
  <c r="AY260" i="48"/>
  <c r="AX260" i="48"/>
  <c r="AW260" i="48"/>
  <c r="BD260" i="48" s="1"/>
  <c r="AV260" i="48"/>
  <c r="AZ260" i="48"/>
  <c r="BJ260" i="48" s="1"/>
  <c r="BD81" i="48"/>
  <c r="BJ81" i="48"/>
  <c r="BJ90" i="48"/>
  <c r="BD90" i="48"/>
  <c r="BD357" i="48"/>
  <c r="BJ357" i="48"/>
  <c r="AX73" i="48"/>
  <c r="AW73" i="48"/>
  <c r="BD73" i="48" s="1"/>
  <c r="AY73" i="48"/>
  <c r="AZ73" i="48"/>
  <c r="BJ73" i="48" s="1"/>
  <c r="AU73" i="48"/>
  <c r="AV73" i="48"/>
  <c r="BK73" i="48"/>
  <c r="BJ539" i="48"/>
  <c r="BD539" i="48"/>
  <c r="BA539" i="48"/>
  <c r="AX539" i="48"/>
  <c r="AV539" i="48"/>
  <c r="AZ539" i="48"/>
  <c r="AU539" i="48"/>
  <c r="BK539" i="48"/>
  <c r="AY539" i="48"/>
  <c r="AW539" i="48"/>
  <c r="BJ466" i="48"/>
  <c r="BD466" i="48"/>
  <c r="BD153" i="48"/>
  <c r="BJ153" i="48"/>
  <c r="BA439" i="48"/>
  <c r="BK439" i="48"/>
  <c r="AY439" i="48"/>
  <c r="AX439" i="48"/>
  <c r="AV439" i="48"/>
  <c r="AZ439" i="48"/>
  <c r="AU439" i="48"/>
  <c r="AW439" i="48"/>
  <c r="AB1947" i="48"/>
  <c r="AB1980" i="48"/>
  <c r="AB1683" i="48"/>
  <c r="AB1082" i="48"/>
  <c r="AB1618" i="48"/>
  <c r="AB2046" i="48"/>
  <c r="AC1440" i="48"/>
  <c r="BC1440" i="48" s="1"/>
  <c r="AB773" i="48"/>
  <c r="AB1661" i="48"/>
  <c r="AB1691" i="48"/>
  <c r="AC1691" i="48"/>
  <c r="BC1691" i="48" s="1"/>
  <c r="AC877" i="48"/>
  <c r="BC877" i="48" s="1"/>
  <c r="AB1649" i="48"/>
  <c r="AB2017" i="48"/>
  <c r="AC592" i="48"/>
  <c r="BC592" i="48" s="1"/>
  <c r="AB1268" i="48"/>
  <c r="AC1109" i="48"/>
  <c r="BC1109" i="48" s="1"/>
  <c r="AC836" i="48"/>
  <c r="BC836" i="48" s="1"/>
  <c r="AB836" i="48"/>
  <c r="AC1630" i="48"/>
  <c r="BC1630" i="48" s="1"/>
  <c r="AC1273" i="48"/>
  <c r="BC1273" i="48" s="1"/>
  <c r="AB1875" i="48"/>
  <c r="AB1555" i="48"/>
  <c r="AC2046" i="48"/>
  <c r="BC2046" i="48" s="1"/>
  <c r="AC1019" i="48"/>
  <c r="BC1019" i="48" s="1"/>
  <c r="AB1262" i="48"/>
  <c r="AB1418" i="48"/>
  <c r="AB2053" i="48"/>
  <c r="AC1472" i="48"/>
  <c r="BC1472" i="48" s="1"/>
  <c r="AB1267" i="48"/>
  <c r="AB874" i="48"/>
  <c r="AC1853" i="48"/>
  <c r="BC1853" i="48" s="1"/>
  <c r="AB1200" i="48"/>
  <c r="AB1627" i="48"/>
  <c r="AC956" i="48"/>
  <c r="BC956" i="48" s="1"/>
  <c r="AC1080" i="48"/>
  <c r="BC1080" i="48" s="1"/>
  <c r="AB1080" i="48"/>
  <c r="AC1058" i="48"/>
  <c r="BC1058" i="48" s="1"/>
  <c r="AC1163" i="48"/>
  <c r="BC1163" i="48" s="1"/>
  <c r="AB1879" i="48"/>
  <c r="AB817" i="48"/>
  <c r="AC1747" i="48"/>
  <c r="BC1747" i="48" s="1"/>
  <c r="AB941" i="48"/>
  <c r="AC1403" i="48"/>
  <c r="BC1403" i="48" s="1"/>
  <c r="AC1955" i="48"/>
  <c r="BC1955" i="48" s="1"/>
  <c r="AC730" i="48"/>
  <c r="BC730" i="48" s="1"/>
  <c r="AC1523" i="48"/>
  <c r="BC1523" i="48" s="1"/>
  <c r="AB1993" i="48"/>
  <c r="AC1535" i="48"/>
  <c r="BC1535" i="48" s="1"/>
  <c r="AC1414" i="48"/>
  <c r="BC1414" i="48" s="1"/>
  <c r="AB582" i="48"/>
  <c r="AB1053" i="48"/>
  <c r="AC941" i="48"/>
  <c r="BC941" i="48" s="1"/>
  <c r="AC1932" i="48"/>
  <c r="BC1932" i="48" s="1"/>
  <c r="AB1853" i="48"/>
  <c r="AC613" i="48"/>
  <c r="BC613" i="48" s="1"/>
  <c r="AC1894" i="48"/>
  <c r="BC1894" i="48" s="1"/>
  <c r="AB1017" i="48"/>
  <c r="AC783" i="48"/>
  <c r="BC783" i="48" s="1"/>
  <c r="AC1026" i="48"/>
  <c r="BC1026" i="48" s="1"/>
  <c r="AB1021" i="48"/>
  <c r="AB1948" i="48"/>
  <c r="AC1598" i="48"/>
  <c r="BC1598" i="48" s="1"/>
  <c r="AC1260" i="48"/>
  <c r="BC1260" i="48" s="1"/>
  <c r="AC1212" i="48"/>
  <c r="BC1212" i="48" s="1"/>
  <c r="AB1505" i="48"/>
  <c r="AC916" i="48"/>
  <c r="BC916" i="48" s="1"/>
  <c r="AB1234" i="48"/>
  <c r="AC1234" i="48"/>
  <c r="BC1234" i="48" s="1"/>
  <c r="AC1659" i="48"/>
  <c r="BC1659" i="48" s="1"/>
  <c r="AB1659" i="48"/>
  <c r="AB1170" i="48"/>
  <c r="AC594" i="48"/>
  <c r="BC594" i="48" s="1"/>
  <c r="AC1457" i="48"/>
  <c r="BC1457" i="48" s="1"/>
  <c r="AB1843" i="48"/>
  <c r="AC1843" i="48"/>
  <c r="BC1843" i="48" s="1"/>
  <c r="AC1970" i="48"/>
  <c r="BC1970" i="48" s="1"/>
  <c r="AB1970" i="48"/>
  <c r="AC1188" i="48"/>
  <c r="BC1188" i="48" s="1"/>
  <c r="AC771" i="48"/>
  <c r="BC771" i="48" s="1"/>
  <c r="AC888" i="48"/>
  <c r="BC888" i="48" s="1"/>
  <c r="AC1658" i="48"/>
  <c r="BC1658" i="48" s="1"/>
  <c r="AB1658" i="48"/>
  <c r="AB1491" i="48"/>
  <c r="AC1622" i="48"/>
  <c r="BC1622" i="48" s="1"/>
  <c r="AC1947" i="48"/>
  <c r="BC1947" i="48" s="1"/>
  <c r="AB1069" i="48"/>
  <c r="AB1295" i="48"/>
  <c r="AB877" i="48"/>
  <c r="AB1147" i="48"/>
  <c r="AC1534" i="48"/>
  <c r="BC1534" i="48" s="1"/>
  <c r="AC1530" i="48"/>
  <c r="BC1530" i="48" s="1"/>
  <c r="AB1296" i="48"/>
  <c r="AB1579" i="48"/>
  <c r="AC1649" i="48"/>
  <c r="BC1649" i="48" s="1"/>
  <c r="AB1067" i="48"/>
  <c r="AB1824" i="48"/>
  <c r="AB1783" i="48"/>
  <c r="AB781" i="48"/>
  <c r="AC1939" i="48"/>
  <c r="BC1939" i="48" s="1"/>
  <c r="AC636" i="48"/>
  <c r="BC636" i="48" s="1"/>
  <c r="AC1265" i="48"/>
  <c r="BC1265" i="48" s="1"/>
  <c r="AB1225" i="48"/>
  <c r="AB652" i="48"/>
  <c r="AB592" i="48"/>
  <c r="AC751" i="48"/>
  <c r="BC751" i="48" s="1"/>
  <c r="AB1322" i="48"/>
  <c r="AC2053" i="48"/>
  <c r="BC2053" i="48" s="1"/>
  <c r="AB1472" i="48"/>
  <c r="AC1851" i="48"/>
  <c r="BC1851" i="48" s="1"/>
  <c r="AB1273" i="48"/>
  <c r="AB1771" i="48"/>
  <c r="AC1030" i="48"/>
  <c r="BC1030" i="48" s="1"/>
  <c r="AC1033" i="48"/>
  <c r="BC1033" i="48" s="1"/>
  <c r="AC684" i="48"/>
  <c r="BC684" i="48" s="1"/>
  <c r="AB684" i="48"/>
  <c r="AC1593" i="48"/>
  <c r="BC1593" i="48" s="1"/>
  <c r="AC667" i="48"/>
  <c r="BC667" i="48" s="1"/>
  <c r="AC1661" i="48"/>
  <c r="BC1661" i="48" s="1"/>
  <c r="AB1621" i="48"/>
  <c r="AC782" i="48"/>
  <c r="BC782" i="48" s="1"/>
  <c r="AC874" i="48"/>
  <c r="BC874" i="48" s="1"/>
  <c r="AC1873" i="48"/>
  <c r="BC1873" i="48" s="1"/>
  <c r="AC1143" i="48"/>
  <c r="BC1143" i="48" s="1"/>
  <c r="AB916" i="48"/>
  <c r="AB1157" i="48"/>
  <c r="AC2026" i="48"/>
  <c r="BC2026" i="48" s="1"/>
  <c r="AB2014" i="48"/>
  <c r="AC2042" i="48"/>
  <c r="BC2042" i="48" s="1"/>
  <c r="AB1622" i="48"/>
  <c r="AB1973" i="48"/>
  <c r="AC1693" i="48"/>
  <c r="BC1693" i="48" s="1"/>
  <c r="AB1440" i="48"/>
  <c r="AB1534" i="48"/>
  <c r="AC1418" i="48"/>
  <c r="BC1418" i="48" s="1"/>
  <c r="AC1683" i="48"/>
  <c r="BC1683" i="48" s="1"/>
  <c r="AB949" i="48"/>
  <c r="AB1530" i="48"/>
  <c r="AC1783" i="48"/>
  <c r="BC1783" i="48" s="1"/>
  <c r="AB638" i="48"/>
  <c r="AB1283" i="48"/>
  <c r="AB610" i="48"/>
  <c r="AC944" i="48"/>
  <c r="BC944" i="48" s="1"/>
  <c r="AB1894" i="48"/>
  <c r="AC1011" i="48"/>
  <c r="BC1011" i="48" s="1"/>
  <c r="AC1771" i="48"/>
  <c r="BC1771" i="48" s="1"/>
  <c r="AB1030" i="48"/>
  <c r="AB1835" i="48"/>
  <c r="AB1751" i="48"/>
  <c r="AB782" i="48"/>
  <c r="AB723" i="48"/>
  <c r="AC1875" i="48"/>
  <c r="BC1875" i="48" s="1"/>
  <c r="AC984" i="48"/>
  <c r="BC984" i="48" s="1"/>
  <c r="AB1253" i="48"/>
  <c r="AB1337" i="48"/>
  <c r="AC1088" i="48"/>
  <c r="BC1088" i="48" s="1"/>
  <c r="AB1291" i="48"/>
  <c r="AC656" i="48"/>
  <c r="BC656" i="48" s="1"/>
  <c r="AB1485" i="48"/>
  <c r="AB1653" i="48"/>
  <c r="AC1279" i="48"/>
  <c r="BC1279" i="48" s="1"/>
  <c r="AC1733" i="48"/>
  <c r="BC1733" i="48" s="1"/>
  <c r="AB1733" i="48"/>
  <c r="AB1034" i="48"/>
  <c r="AC1221" i="48"/>
  <c r="BC1221" i="48" s="1"/>
  <c r="AB1221" i="48"/>
  <c r="AC580" i="48"/>
  <c r="BC580" i="48" s="1"/>
  <c r="AB580" i="48"/>
  <c r="AB1285" i="48"/>
  <c r="AB1483" i="48"/>
  <c r="AC1384" i="48"/>
  <c r="BC1384" i="48" s="1"/>
  <c r="AB851" i="48"/>
  <c r="AB1141" i="48"/>
  <c r="AB1144" i="48"/>
  <c r="AC1007" i="48"/>
  <c r="BC1007" i="48" s="1"/>
  <c r="AB701" i="48"/>
  <c r="AC902" i="48"/>
  <c r="BC902" i="48" s="1"/>
  <c r="AB942" i="48"/>
  <c r="AB1198" i="48"/>
  <c r="AC1974" i="48"/>
  <c r="BC1974" i="48" s="1"/>
  <c r="AB1974" i="48"/>
  <c r="AC971" i="48"/>
  <c r="BC971" i="48" s="1"/>
  <c r="AB1254" i="48"/>
  <c r="AC1626" i="48"/>
  <c r="BC1626" i="48" s="1"/>
  <c r="AC1928" i="48"/>
  <c r="BC1928" i="48" s="1"/>
  <c r="AB982" i="48"/>
  <c r="AB1242" i="48"/>
  <c r="AB1074" i="48"/>
  <c r="AB1204" i="48"/>
  <c r="AC1328" i="48"/>
  <c r="BC1328" i="48" s="1"/>
  <c r="AB1934" i="48"/>
  <c r="AC1395" i="48"/>
  <c r="BC1395" i="48" s="1"/>
  <c r="AB853" i="48"/>
  <c r="AC1870" i="48"/>
  <c r="BC1870" i="48" s="1"/>
  <c r="AB1870" i="48"/>
  <c r="AC1142" i="48"/>
  <c r="BC1142" i="48" s="1"/>
  <c r="AB1142" i="48"/>
  <c r="AC1456" i="48"/>
  <c r="BC1456" i="48" s="1"/>
  <c r="AB1456" i="48"/>
  <c r="AC767" i="48"/>
  <c r="BC767" i="48" s="1"/>
  <c r="AC1766" i="48"/>
  <c r="BC1766" i="48" s="1"/>
  <c r="AB1766" i="48"/>
  <c r="AB800" i="48"/>
  <c r="AC800" i="48"/>
  <c r="BC800" i="48" s="1"/>
  <c r="AC1828" i="48"/>
  <c r="BC1828" i="48" s="1"/>
  <c r="AB1573" i="48"/>
  <c r="AC1573" i="48"/>
  <c r="BC1573" i="48" s="1"/>
  <c r="AB1255" i="48"/>
  <c r="AC1255" i="48"/>
  <c r="BC1255" i="48" s="1"/>
  <c r="AB647" i="48"/>
  <c r="AC647" i="48"/>
  <c r="BC647" i="48" s="1"/>
  <c r="AB1462" i="48"/>
  <c r="AC1462" i="48"/>
  <c r="BC1462" i="48" s="1"/>
  <c r="AC1132" i="48"/>
  <c r="BC1132" i="48" s="1"/>
  <c r="AB1132" i="48"/>
  <c r="AC2003" i="48"/>
  <c r="BC2003" i="48" s="1"/>
  <c r="AB2003" i="48"/>
  <c r="AB608" i="48"/>
  <c r="AC608" i="48"/>
  <c r="BC608" i="48" s="1"/>
  <c r="AB1677" i="48"/>
  <c r="AC1677" i="48"/>
  <c r="BC1677" i="48" s="1"/>
  <c r="AC1767" i="48"/>
  <c r="BC1767" i="48" s="1"/>
  <c r="AB1767" i="48"/>
  <c r="AB1671" i="48"/>
  <c r="AB711" i="48"/>
  <c r="AB1046" i="48"/>
  <c r="AC1046" i="48"/>
  <c r="BC1046" i="48" s="1"/>
  <c r="AB1063" i="48"/>
  <c r="AC1063" i="48"/>
  <c r="BC1063" i="48" s="1"/>
  <c r="AB774" i="48"/>
  <c r="AC774" i="48"/>
  <c r="BC774" i="48" s="1"/>
  <c r="AB1388" i="48"/>
  <c r="AC1388" i="48"/>
  <c r="BC1388" i="48" s="1"/>
  <c r="AC979" i="48"/>
  <c r="BC979" i="48" s="1"/>
  <c r="AB1085" i="48"/>
  <c r="AC1085" i="48"/>
  <c r="BC1085" i="48" s="1"/>
  <c r="AB1171" i="48"/>
  <c r="AB803" i="48"/>
  <c r="AB1928" i="48"/>
  <c r="AC1653" i="48"/>
  <c r="BC1653" i="48" s="1"/>
  <c r="AC1204" i="48"/>
  <c r="BC1204" i="48" s="1"/>
  <c r="AC982" i="48"/>
  <c r="BC982" i="48" s="1"/>
  <c r="AB767" i="48"/>
  <c r="AB928" i="48"/>
  <c r="AB1384" i="48"/>
  <c r="AC853" i="48"/>
  <c r="BC853" i="48" s="1"/>
  <c r="AB1803" i="48"/>
  <c r="AB1184" i="48"/>
  <c r="AC681" i="48"/>
  <c r="BC681" i="48" s="1"/>
  <c r="AC1408" i="48"/>
  <c r="BC1408" i="48" s="1"/>
  <c r="AC750" i="48"/>
  <c r="BC750" i="48" s="1"/>
  <c r="AC1671" i="48"/>
  <c r="BC1671" i="48" s="1"/>
  <c r="AC1607" i="48"/>
  <c r="BC1607" i="48" s="1"/>
  <c r="AC1879" i="48"/>
  <c r="BC1879" i="48" s="1"/>
  <c r="AB616" i="48"/>
  <c r="AB765" i="48"/>
  <c r="AB559" i="48"/>
  <c r="AC559" i="48"/>
  <c r="BC559" i="48" s="1"/>
  <c r="AC1427" i="48"/>
  <c r="BC1427" i="48" s="1"/>
  <c r="AC949" i="48"/>
  <c r="BC949" i="48" s="1"/>
  <c r="AB1476" i="48"/>
  <c r="AC1283" i="48"/>
  <c r="BC1283" i="48" s="1"/>
  <c r="AB632" i="48"/>
  <c r="AC740" i="48"/>
  <c r="BC740" i="48" s="1"/>
  <c r="AB740" i="48"/>
  <c r="AC1017" i="48"/>
  <c r="BC1017" i="48" s="1"/>
  <c r="AC1025" i="48"/>
  <c r="BC1025" i="48" s="1"/>
  <c r="AB640" i="48"/>
  <c r="AC987" i="48"/>
  <c r="BC987" i="48" s="1"/>
  <c r="AC1751" i="48"/>
  <c r="BC1751" i="48" s="1"/>
  <c r="AC723" i="48"/>
  <c r="BC723" i="48" s="1"/>
  <c r="AB1397" i="48"/>
  <c r="AB1545" i="48"/>
  <c r="AB1218" i="48"/>
  <c r="AC1420" i="48"/>
  <c r="BC1420" i="48" s="1"/>
  <c r="AC632" i="48"/>
  <c r="BC632" i="48" s="1"/>
  <c r="AB1414" i="48"/>
  <c r="AB1396" i="48"/>
  <c r="AB1065" i="48"/>
  <c r="AC1239" i="48"/>
  <c r="BC1239" i="48" s="1"/>
  <c r="AB1239" i="48"/>
  <c r="AB777" i="48"/>
  <c r="AC777" i="48"/>
  <c r="BC777" i="48" s="1"/>
  <c r="AC1082" i="48"/>
  <c r="BC1082" i="48" s="1"/>
  <c r="AB751" i="48"/>
  <c r="AC1824" i="48"/>
  <c r="BC1824" i="48" s="1"/>
  <c r="AC1618" i="48"/>
  <c r="BC1618" i="48" s="1"/>
  <c r="AB1265" i="48"/>
  <c r="AC1912" i="48"/>
  <c r="BC1912" i="48" s="1"/>
  <c r="AB1912" i="48"/>
  <c r="AC773" i="48"/>
  <c r="BC773" i="48" s="1"/>
  <c r="AC1262" i="48"/>
  <c r="BC1262" i="48" s="1"/>
  <c r="AB1019" i="48"/>
  <c r="AB1910" i="48"/>
  <c r="AB667" i="48"/>
  <c r="AC1621" i="48"/>
  <c r="BC1621" i="48" s="1"/>
  <c r="AC1910" i="48"/>
  <c r="BC1910" i="48" s="1"/>
  <c r="AB944" i="48"/>
  <c r="AB1011" i="48"/>
  <c r="AB1033" i="48"/>
  <c r="AC1835" i="48"/>
  <c r="BC1835" i="48" s="1"/>
  <c r="AC2017" i="48"/>
  <c r="BC2017" i="48" s="1"/>
  <c r="AB403" i="48"/>
  <c r="AC318" i="48"/>
  <c r="BC318" i="48" s="1"/>
  <c r="AC737" i="48"/>
  <c r="BC737" i="48" s="1"/>
  <c r="AB737" i="48"/>
  <c r="AB560" i="48"/>
  <c r="AC560" i="48"/>
  <c r="BC560" i="48" s="1"/>
  <c r="AB1528" i="48"/>
  <c r="AB819" i="48"/>
  <c r="AC819" i="48"/>
  <c r="BC819" i="48" s="1"/>
  <c r="AB1340" i="48"/>
  <c r="AC1340" i="48"/>
  <c r="BC1340" i="48" s="1"/>
  <c r="AC1558" i="48"/>
  <c r="BC1558" i="48" s="1"/>
  <c r="AB1558" i="48"/>
  <c r="AB666" i="48"/>
  <c r="AC666" i="48"/>
  <c r="BC666" i="48" s="1"/>
  <c r="AC646" i="48"/>
  <c r="BC646" i="48" s="1"/>
  <c r="AB646" i="48"/>
  <c r="AC1528" i="48"/>
  <c r="BC1528" i="48" s="1"/>
  <c r="AC871" i="48"/>
  <c r="BC871" i="48" s="1"/>
  <c r="AB871" i="48"/>
  <c r="AC1522" i="48"/>
  <c r="BC1522" i="48" s="1"/>
  <c r="AB1522" i="48"/>
  <c r="AB1303" i="48"/>
  <c r="AC1303" i="48"/>
  <c r="BC1303" i="48" s="1"/>
  <c r="AC1776" i="48"/>
  <c r="BC1776" i="48" s="1"/>
  <c r="AB1776" i="48"/>
  <c r="AB1479" i="48"/>
  <c r="AP1479" i="48"/>
  <c r="AC1479" i="48"/>
  <c r="BC1479" i="48" s="1"/>
  <c r="AC1611" i="48"/>
  <c r="BC1611" i="48" s="1"/>
  <c r="AB1389" i="48"/>
  <c r="AC1389" i="48"/>
  <c r="BC1389" i="48" s="1"/>
  <c r="AC1070" i="48"/>
  <c r="BC1070" i="48" s="1"/>
  <c r="AB1559" i="48"/>
  <c r="AC1559" i="48"/>
  <c r="BC1559" i="48" s="1"/>
  <c r="AC1281" i="48"/>
  <c r="BC1281" i="48" s="1"/>
  <c r="AB1743" i="48"/>
  <c r="AB1752" i="48"/>
  <c r="AP1752" i="48"/>
  <c r="AC1752" i="48"/>
  <c r="BC1752" i="48" s="1"/>
  <c r="AC1758" i="48"/>
  <c r="BC1758" i="48" s="1"/>
  <c r="AB1061" i="48"/>
  <c r="AC1061" i="48"/>
  <c r="BC1061" i="48" s="1"/>
  <c r="AB605" i="48"/>
  <c r="AC605" i="48"/>
  <c r="BC605" i="48" s="1"/>
  <c r="AB679" i="48"/>
  <c r="AC679" i="48"/>
  <c r="BC679" i="48" s="1"/>
  <c r="AB1772" i="48"/>
  <c r="AC1772" i="48"/>
  <c r="BC1772" i="48" s="1"/>
  <c r="AC1449" i="48"/>
  <c r="BC1449" i="48" s="1"/>
  <c r="AB1950" i="48"/>
  <c r="AC1950" i="48"/>
  <c r="BC1950" i="48" s="1"/>
  <c r="AC570" i="48"/>
  <c r="BC570" i="48" s="1"/>
  <c r="AB718" i="48"/>
  <c r="AB887" i="48"/>
  <c r="AP887" i="48"/>
  <c r="AC1979" i="48"/>
  <c r="BC1979" i="48" s="1"/>
  <c r="AB1979" i="48"/>
  <c r="AB1662" i="48"/>
  <c r="AC1662" i="48"/>
  <c r="BC1662" i="48" s="1"/>
  <c r="AC645" i="48"/>
  <c r="BC645" i="48" s="1"/>
  <c r="AB645" i="48"/>
  <c r="AB1734" i="48"/>
  <c r="AC1734" i="48"/>
  <c r="BC1734" i="48" s="1"/>
  <c r="AC892" i="48"/>
  <c r="BC892" i="48" s="1"/>
  <c r="AB892" i="48"/>
  <c r="AC1529" i="48"/>
  <c r="BC1529" i="48" s="1"/>
  <c r="AC1013" i="48"/>
  <c r="BC1013" i="48" s="1"/>
  <c r="AC729" i="48"/>
  <c r="BC729" i="48" s="1"/>
  <c r="AC1078" i="48"/>
  <c r="BC1078" i="48" s="1"/>
  <c r="AC587" i="48"/>
  <c r="BC587" i="48" s="1"/>
  <c r="AB587" i="48"/>
  <c r="AB1357" i="48"/>
  <c r="AB1489" i="48"/>
  <c r="AC883" i="48"/>
  <c r="BC883" i="48" s="1"/>
  <c r="AB1576" i="48"/>
  <c r="AC1576" i="48"/>
  <c r="BC1576" i="48" s="1"/>
  <c r="AC1112" i="48"/>
  <c r="BC1112" i="48" s="1"/>
  <c r="AB1112" i="48"/>
  <c r="AB776" i="48"/>
  <c r="AC776" i="48"/>
  <c r="BC776" i="48" s="1"/>
  <c r="AC2022" i="48"/>
  <c r="BC2022" i="48" s="1"/>
  <c r="AB2022" i="48"/>
  <c r="AB1149" i="48"/>
  <c r="AB1449" i="48"/>
  <c r="AB1224" i="48"/>
  <c r="AC1282" i="48"/>
  <c r="BC1282" i="48" s="1"/>
  <c r="AC1194" i="48"/>
  <c r="BC1194" i="48" s="1"/>
  <c r="AB1848" i="48"/>
  <c r="AC1848" i="48"/>
  <c r="BC1848" i="48" s="1"/>
  <c r="AC969" i="48"/>
  <c r="BC969" i="48" s="1"/>
  <c r="AB969" i="48"/>
  <c r="AB1419" i="48"/>
  <c r="AC1419" i="48"/>
  <c r="BC1419" i="48" s="1"/>
  <c r="AC917" i="48"/>
  <c r="BC917" i="48" s="1"/>
  <c r="AB1073" i="48"/>
  <c r="AC1073" i="48"/>
  <c r="BC1073" i="48" s="1"/>
  <c r="AC1091" i="48"/>
  <c r="BC1091" i="48" s="1"/>
  <c r="AB1091" i="48"/>
  <c r="AB1519" i="48"/>
  <c r="AC1519" i="48"/>
  <c r="BC1519" i="48" s="1"/>
  <c r="AB1169" i="48"/>
  <c r="AC1119" i="48"/>
  <c r="BC1119" i="48" s="1"/>
  <c r="AB754" i="48"/>
  <c r="AC1595" i="48"/>
  <c r="BC1595" i="48" s="1"/>
  <c r="AC1363" i="48"/>
  <c r="BC1363" i="48" s="1"/>
  <c r="AB748" i="48"/>
  <c r="AC748" i="48"/>
  <c r="BC748" i="48" s="1"/>
  <c r="AO748" i="48"/>
  <c r="AB1793" i="48"/>
  <c r="AC1793" i="48"/>
  <c r="BC1793" i="48" s="1"/>
  <c r="AP1793" i="48"/>
  <c r="AB1827" i="48"/>
  <c r="AC1827" i="48"/>
  <c r="BC1827" i="48" s="1"/>
  <c r="AB1319" i="48"/>
  <c r="AC1319" i="48"/>
  <c r="BC1319" i="48" s="1"/>
  <c r="AB575" i="48"/>
  <c r="AC575" i="48"/>
  <c r="BC575" i="48" s="1"/>
  <c r="AC1717" i="48"/>
  <c r="BC1717" i="48" s="1"/>
  <c r="AB1717" i="48"/>
  <c r="AC1424" i="48"/>
  <c r="BC1424" i="48" s="1"/>
  <c r="AB1424" i="48"/>
  <c r="AB1381" i="48"/>
  <c r="AC1381" i="48"/>
  <c r="BC1381" i="48" s="1"/>
  <c r="AB1409" i="48"/>
  <c r="AC1409" i="48"/>
  <c r="BC1409" i="48" s="1"/>
  <c r="AB1392" i="48"/>
  <c r="AC1392" i="48"/>
  <c r="BC1392" i="48" s="1"/>
  <c r="AB1375" i="48"/>
  <c r="AC1375" i="48"/>
  <c r="BC1375" i="48" s="1"/>
  <c r="AC1543" i="48"/>
  <c r="BC1543" i="48" s="1"/>
  <c r="AB1543" i="48"/>
  <c r="AB1834" i="48"/>
  <c r="AC1834" i="48"/>
  <c r="BC1834" i="48" s="1"/>
  <c r="AB690" i="48"/>
  <c r="AC690" i="48"/>
  <c r="BC690" i="48" s="1"/>
  <c r="AB1954" i="48"/>
  <c r="AC1954" i="48"/>
  <c r="BC1954" i="48" s="1"/>
  <c r="AC1162" i="48"/>
  <c r="BC1162" i="48" s="1"/>
  <c r="AC1666" i="48"/>
  <c r="BC1666" i="48" s="1"/>
  <c r="AB1666" i="48"/>
  <c r="AC574" i="48"/>
  <c r="BC574" i="48" s="1"/>
  <c r="AB574" i="48"/>
  <c r="AB898" i="48"/>
  <c r="AC898" i="48"/>
  <c r="BC898" i="48" s="1"/>
  <c r="AP1475" i="48"/>
  <c r="AB1475" i="48"/>
  <c r="AC1475" i="48"/>
  <c r="BC1475" i="48" s="1"/>
  <c r="AC991" i="48"/>
  <c r="BC991" i="48" s="1"/>
  <c r="AC2011" i="48"/>
  <c r="BC2011" i="48" s="1"/>
  <c r="AB2011" i="48"/>
  <c r="AC832" i="48"/>
  <c r="BC832" i="48" s="1"/>
  <c r="AB832" i="48"/>
  <c r="AB556" i="48"/>
  <c r="AC1987" i="48"/>
  <c r="BC1987" i="48" s="1"/>
  <c r="AM1987" i="48"/>
  <c r="AB1987" i="48"/>
  <c r="AB1159" i="48"/>
  <c r="AC1159" i="48"/>
  <c r="BC1159" i="48" s="1"/>
  <c r="AP1159" i="48"/>
  <c r="AB738" i="48"/>
  <c r="AC738" i="48"/>
  <c r="BC738" i="48" s="1"/>
  <c r="AB1101" i="48"/>
  <c r="AC1101" i="48"/>
  <c r="BC1101" i="48" s="1"/>
  <c r="AC1822" i="48"/>
  <c r="BC1822" i="48" s="1"/>
  <c r="AB1822" i="48"/>
  <c r="AC1331" i="48"/>
  <c r="BC1331" i="48" s="1"/>
  <c r="AN1331" i="48"/>
  <c r="AB1331" i="48"/>
  <c r="AB509" i="48"/>
  <c r="AC1892" i="48"/>
  <c r="BC1892" i="48" s="1"/>
  <c r="AC828" i="48"/>
  <c r="BC828" i="48" s="1"/>
  <c r="AB1153" i="48"/>
  <c r="AB1678" i="48"/>
  <c r="AC1743" i="48"/>
  <c r="BC1743" i="48" s="1"/>
  <c r="AB1633" i="48"/>
  <c r="AB1847" i="48"/>
  <c r="AC1364" i="48"/>
  <c r="BC1364" i="48" s="1"/>
  <c r="AB1013" i="48"/>
  <c r="AB917" i="48"/>
  <c r="AB1332" i="48"/>
  <c r="AK1332" i="48"/>
  <c r="AC1332" i="48"/>
  <c r="BC1332" i="48" s="1"/>
  <c r="AB903" i="48"/>
  <c r="AB796" i="48"/>
  <c r="AC796" i="48"/>
  <c r="BC796" i="48" s="1"/>
  <c r="AC1684" i="48"/>
  <c r="BC1684" i="48" s="1"/>
  <c r="AB1684" i="48"/>
  <c r="AB1284" i="48"/>
  <c r="AC1284" i="48"/>
  <c r="BC1284" i="48" s="1"/>
  <c r="AB1625" i="48"/>
  <c r="AC1625" i="48"/>
  <c r="BC1625" i="48" s="1"/>
  <c r="AC1590" i="48"/>
  <c r="BC1590" i="48" s="1"/>
  <c r="AB1590" i="48"/>
  <c r="AC611" i="48"/>
  <c r="BC611" i="48" s="1"/>
  <c r="AC1696" i="48"/>
  <c r="BC1696" i="48" s="1"/>
  <c r="AB1696" i="48"/>
  <c r="AB1217" i="48"/>
  <c r="AB1202" i="48"/>
  <c r="AC1202" i="48"/>
  <c r="BC1202" i="48" s="1"/>
  <c r="AB1511" i="48"/>
  <c r="AC1511" i="48"/>
  <c r="BC1511" i="48" s="1"/>
  <c r="AC1023" i="48"/>
  <c r="BC1023" i="48" s="1"/>
  <c r="AB1023" i="48"/>
  <c r="AB1276" i="48"/>
  <c r="AC1276" i="48"/>
  <c r="BC1276" i="48" s="1"/>
  <c r="AB1124" i="48"/>
  <c r="AC1124" i="48"/>
  <c r="BC1124" i="48" s="1"/>
  <c r="AB875" i="48"/>
  <c r="AC875" i="48"/>
  <c r="BC875" i="48" s="1"/>
  <c r="AC757" i="48"/>
  <c r="BC757" i="48" s="1"/>
  <c r="AB757" i="48"/>
  <c r="AB1512" i="48"/>
  <c r="AC1512" i="48"/>
  <c r="BC1512" i="48" s="1"/>
  <c r="AC1294" i="48"/>
  <c r="BC1294" i="48" s="1"/>
  <c r="AB1294" i="48"/>
  <c r="AC1421" i="48"/>
  <c r="BC1421" i="48" s="1"/>
  <c r="AB1421" i="48"/>
  <c r="AB962" i="48"/>
  <c r="AC962" i="48"/>
  <c r="BC962" i="48" s="1"/>
  <c r="AC1777" i="48"/>
  <c r="BC1777" i="48" s="1"/>
  <c r="AB1777" i="48"/>
  <c r="AC1320" i="48"/>
  <c r="BC1320" i="48" s="1"/>
  <c r="AB1320" i="48"/>
  <c r="AC1799" i="48"/>
  <c r="BC1799" i="48" s="1"/>
  <c r="AB1799" i="48"/>
  <c r="AB1288" i="48"/>
  <c r="AC1288" i="48"/>
  <c r="BC1288" i="48" s="1"/>
  <c r="AC1035" i="48"/>
  <c r="BC1035" i="48" s="1"/>
  <c r="AB1035" i="48"/>
  <c r="AB648" i="48"/>
  <c r="AC648" i="48"/>
  <c r="BC648" i="48" s="1"/>
  <c r="AB1018" i="48"/>
  <c r="AC1018" i="48"/>
  <c r="BC1018" i="48" s="1"/>
  <c r="AB1167" i="48"/>
  <c r="AC1167" i="48"/>
  <c r="BC1167" i="48" s="1"/>
  <c r="AC654" i="48"/>
  <c r="BC654" i="48" s="1"/>
  <c r="AB654" i="48"/>
  <c r="AB1861" i="48"/>
  <c r="AB642" i="48"/>
  <c r="AC1149" i="48"/>
  <c r="BC1149" i="48" s="1"/>
  <c r="AC1946" i="48"/>
  <c r="BC1946" i="48" s="1"/>
  <c r="AC824" i="48"/>
  <c r="BC824" i="48" s="1"/>
  <c r="AB824" i="48"/>
  <c r="AB1043" i="48"/>
  <c r="AC1043" i="48"/>
  <c r="BC1043" i="48" s="1"/>
  <c r="AB1874" i="48"/>
  <c r="AC1349" i="48"/>
  <c r="BC1349" i="48" s="1"/>
  <c r="AB1349" i="48"/>
  <c r="AB1098" i="48"/>
  <c r="AC1098" i="48"/>
  <c r="BC1098" i="48" s="1"/>
  <c r="AC1152" i="48"/>
  <c r="BC1152" i="48" s="1"/>
  <c r="AC693" i="48"/>
  <c r="BC693" i="48" s="1"/>
  <c r="AB693" i="48"/>
  <c r="AB1382" i="48"/>
  <c r="AC1382" i="48"/>
  <c r="BC1382" i="48" s="1"/>
  <c r="AB1450" i="48"/>
  <c r="AC1450" i="48"/>
  <c r="BC1450" i="48" s="1"/>
  <c r="AB1099" i="48"/>
  <c r="AC1099" i="48"/>
  <c r="BC1099" i="48" s="1"/>
  <c r="AC903" i="48"/>
  <c r="BC903" i="48" s="1"/>
  <c r="AC718" i="48"/>
  <c r="BC718" i="48" s="1"/>
  <c r="AB1953" i="48"/>
  <c r="AC701" i="48"/>
  <c r="BC701" i="48" s="1"/>
  <c r="AB1566" i="48"/>
  <c r="AB1339" i="48"/>
  <c r="AC1339" i="48"/>
  <c r="BC1339" i="48" s="1"/>
  <c r="AC1845" i="48"/>
  <c r="BC1845" i="48" s="1"/>
  <c r="AB1845" i="48"/>
  <c r="AC1298" i="48"/>
  <c r="BC1298" i="48" s="1"/>
  <c r="AB1470" i="48"/>
  <c r="AC1470" i="48"/>
  <c r="BC1470" i="48" s="1"/>
  <c r="AB1435" i="48"/>
  <c r="AC1885" i="48"/>
  <c r="BC1885" i="48" s="1"/>
  <c r="AC1581" i="48"/>
  <c r="BC1581" i="48" s="1"/>
  <c r="AB631" i="48"/>
  <c r="AC631" i="48"/>
  <c r="BC631" i="48" s="1"/>
  <c r="AB1640" i="48"/>
  <c r="AC1959" i="48"/>
  <c r="BC1959" i="48" s="1"/>
  <c r="AM576" i="48"/>
  <c r="AC1727" i="48"/>
  <c r="BC1727" i="48" s="1"/>
  <c r="AB1727" i="48"/>
  <c r="AC1270" i="48"/>
  <c r="BC1270" i="48" s="1"/>
  <c r="AB1270" i="48"/>
  <c r="AB1709" i="48"/>
  <c r="AB1116" i="48"/>
  <c r="AC1116" i="48"/>
  <c r="BC1116" i="48" s="1"/>
  <c r="AC1526" i="48"/>
  <c r="BC1526" i="48" s="1"/>
  <c r="AC705" i="48"/>
  <c r="BC705" i="48" s="1"/>
  <c r="AM705" i="48"/>
  <c r="AC1245" i="48"/>
  <c r="BC1245" i="48" s="1"/>
  <c r="AB1245" i="48"/>
  <c r="AC626" i="48"/>
  <c r="BC626" i="48" s="1"/>
  <c r="AB626" i="48"/>
  <c r="AC698" i="48"/>
  <c r="BC698" i="48" s="1"/>
  <c r="AC1081" i="48"/>
  <c r="BC1081" i="48" s="1"/>
  <c r="AB1081" i="48"/>
  <c r="AB1964" i="48"/>
  <c r="AC1964" i="48"/>
  <c r="BC1964" i="48" s="1"/>
  <c r="AC990" i="48"/>
  <c r="BC990" i="48" s="1"/>
  <c r="AB990" i="48"/>
  <c r="AB886" i="48"/>
  <c r="AB921" i="48"/>
  <c r="AC921" i="48"/>
  <c r="BC921" i="48" s="1"/>
  <c r="AC953" i="48"/>
  <c r="BC953" i="48" s="1"/>
  <c r="AB953" i="48"/>
  <c r="AB1810" i="48"/>
  <c r="AC1810" i="48"/>
  <c r="BC1810" i="48" s="1"/>
  <c r="AB661" i="48"/>
  <c r="AC661" i="48"/>
  <c r="BC661" i="48" s="1"/>
  <c r="AC1223" i="48"/>
  <c r="BC1223" i="48" s="1"/>
  <c r="AB1223" i="48"/>
  <c r="AB1801" i="48"/>
  <c r="AC1801" i="48"/>
  <c r="BC1801" i="48" s="1"/>
  <c r="AC1369" i="48"/>
  <c r="BC1369" i="48" s="1"/>
  <c r="AB1369" i="48"/>
  <c r="AB1121" i="48"/>
  <c r="AC1121" i="48"/>
  <c r="BC1121" i="48" s="1"/>
  <c r="AC1967" i="48"/>
  <c r="BC1967" i="48" s="1"/>
  <c r="AB1967" i="48"/>
  <c r="AB1554" i="48"/>
  <c r="AC1554" i="48"/>
  <c r="BC1554" i="48" s="1"/>
  <c r="AB1569" i="48"/>
  <c r="AC1569" i="48"/>
  <c r="BC1569" i="48" s="1"/>
  <c r="AC745" i="48"/>
  <c r="BC745" i="48" s="1"/>
  <c r="AB745" i="48"/>
  <c r="AC1315" i="48"/>
  <c r="BC1315" i="48" s="1"/>
  <c r="AB1315" i="48"/>
  <c r="AB635" i="48"/>
  <c r="AC635" i="48"/>
  <c r="BC635" i="48" s="1"/>
  <c r="AC1096" i="48"/>
  <c r="BC1096" i="48" s="1"/>
  <c r="AB1096" i="48"/>
  <c r="AC1029" i="48"/>
  <c r="BC1029" i="48" s="1"/>
  <c r="AB1029" i="48"/>
  <c r="AC1588" i="48"/>
  <c r="BC1588" i="48" s="1"/>
  <c r="AB1588" i="48"/>
  <c r="AB1238" i="48"/>
  <c r="AC642" i="48"/>
  <c r="BC642" i="48" s="1"/>
  <c r="AB1194" i="48"/>
  <c r="AB1852" i="48"/>
  <c r="AB1027" i="48"/>
  <c r="AC1633" i="48"/>
  <c r="BC1633" i="48" s="1"/>
  <c r="AB1166" i="48"/>
  <c r="AB1281" i="48"/>
  <c r="AC2044" i="48"/>
  <c r="BC2044" i="48" s="1"/>
  <c r="AC556" i="48"/>
  <c r="BC556" i="48" s="1"/>
  <c r="AB611" i="48"/>
  <c r="AC1874" i="48"/>
  <c r="BC1874" i="48" s="1"/>
  <c r="AB1529" i="48"/>
  <c r="AB1324" i="48"/>
  <c r="AC887" i="48"/>
  <c r="BC887" i="48" s="1"/>
  <c r="AB1233" i="48"/>
  <c r="AB761" i="48"/>
  <c r="AL1608" i="48"/>
  <c r="AB1608" i="48"/>
  <c r="AC1367" i="48"/>
  <c r="BC1367" i="48" s="1"/>
  <c r="AB1599" i="48"/>
  <c r="AC1599" i="48"/>
  <c r="BC1599" i="48" s="1"/>
  <c r="AC965" i="48"/>
  <c r="BC965" i="48" s="1"/>
  <c r="AB965" i="48"/>
  <c r="AC1184" i="48"/>
  <c r="BC1184" i="48" s="1"/>
  <c r="AB1305" i="48"/>
  <c r="AC1305" i="48"/>
  <c r="BC1305" i="48" s="1"/>
  <c r="AC711" i="48"/>
  <c r="BC711" i="48" s="1"/>
  <c r="AB1465" i="48"/>
  <c r="AC1465" i="48"/>
  <c r="BC1465" i="48" s="1"/>
  <c r="AC1153" i="48"/>
  <c r="BC1153" i="48" s="1"/>
  <c r="AB729" i="48"/>
  <c r="AB1264" i="48"/>
  <c r="AB742" i="48"/>
  <c r="AB1002" i="48"/>
  <c r="AB719" i="48"/>
  <c r="AC719" i="48"/>
  <c r="BC719" i="48" s="1"/>
  <c r="AC1654" i="48"/>
  <c r="BC1654" i="48" s="1"/>
  <c r="AB1654" i="48"/>
  <c r="AC1575" i="48"/>
  <c r="BC1575" i="48" s="1"/>
  <c r="AB1575" i="48"/>
  <c r="AB1718" i="48"/>
  <c r="AC1718" i="48"/>
  <c r="BC1718" i="48" s="1"/>
  <c r="AC1471" i="48"/>
  <c r="BC1471" i="48" s="1"/>
  <c r="AB1471" i="48"/>
  <c r="AB2031" i="48"/>
  <c r="AC1847" i="48"/>
  <c r="BC1847" i="48" s="1"/>
  <c r="AB1344" i="48"/>
  <c r="AC1344" i="48"/>
  <c r="BC1344" i="48" s="1"/>
  <c r="AB1161" i="48"/>
  <c r="AC1161" i="48"/>
  <c r="BC1161" i="48" s="1"/>
  <c r="AB672" i="48"/>
  <c r="AC672" i="48"/>
  <c r="BC672" i="48" s="1"/>
  <c r="AO672" i="48"/>
  <c r="AB1516" i="48"/>
  <c r="AC1516" i="48"/>
  <c r="BC1516" i="48" s="1"/>
  <c r="AB1057" i="48"/>
  <c r="AC1057" i="48"/>
  <c r="BC1057" i="48" s="1"/>
  <c r="AB854" i="48"/>
  <c r="AC854" i="48"/>
  <c r="BC854" i="48" s="1"/>
  <c r="AB1438" i="48"/>
  <c r="AC1438" i="48"/>
  <c r="BC1438" i="48" s="1"/>
  <c r="AB714" i="48"/>
  <c r="AC869" i="48"/>
  <c r="BC869" i="48" s="1"/>
  <c r="AB869" i="48"/>
  <c r="AC1888" i="48"/>
  <c r="BC1888" i="48" s="1"/>
  <c r="AB1888" i="48"/>
  <c r="AB945" i="48"/>
  <c r="AC945" i="48"/>
  <c r="BC945" i="48" s="1"/>
  <c r="AB591" i="48"/>
  <c r="AC591" i="48"/>
  <c r="BC591" i="48" s="1"/>
  <c r="AB1391" i="48"/>
  <c r="AC1391" i="48"/>
  <c r="BC1391" i="48" s="1"/>
  <c r="AC1814" i="48"/>
  <c r="BC1814" i="48" s="1"/>
  <c r="AB1814" i="48"/>
  <c r="AB1849" i="48"/>
  <c r="AC1849" i="48"/>
  <c r="BC1849" i="48" s="1"/>
  <c r="AB859" i="48"/>
  <c r="AB1713" i="48"/>
  <c r="AC1713" i="48"/>
  <c r="BC1713" i="48" s="1"/>
  <c r="AC1217" i="48"/>
  <c r="BC1217" i="48" s="1"/>
  <c r="AB1274" i="48"/>
  <c r="AB1084" i="48"/>
  <c r="AB1611" i="48"/>
  <c r="AC886" i="48"/>
  <c r="BC886" i="48" s="1"/>
  <c r="AB1078" i="48"/>
  <c r="AC697" i="48"/>
  <c r="BC697" i="48" s="1"/>
  <c r="AB697" i="48"/>
  <c r="AB1728" i="48"/>
  <c r="AC1728" i="48"/>
  <c r="BC1728" i="48" s="1"/>
  <c r="AB743" i="48"/>
  <c r="AC743" i="48"/>
  <c r="BC743" i="48" s="1"/>
  <c r="AB1846" i="48"/>
  <c r="AC733" i="48"/>
  <c r="BC733" i="48" s="1"/>
  <c r="AB733" i="48"/>
  <c r="AB1115" i="48"/>
  <c r="AC1115" i="48"/>
  <c r="BC1115" i="48" s="1"/>
  <c r="AB569" i="48"/>
  <c r="AC815" i="48"/>
  <c r="BC815" i="48" s="1"/>
  <c r="AB815" i="48"/>
  <c r="AK815" i="48"/>
  <c r="AB1187" i="48"/>
  <c r="AC1187" i="48"/>
  <c r="BC1187" i="48" s="1"/>
  <c r="AC1651" i="48"/>
  <c r="BC1651" i="48" s="1"/>
  <c r="AB1651" i="48"/>
  <c r="AB1458" i="48"/>
  <c r="AB703" i="48"/>
  <c r="AC703" i="48"/>
  <c r="BC703" i="48" s="1"/>
  <c r="AN1943" i="48"/>
  <c r="AB1943" i="48"/>
  <c r="AC1943" i="48"/>
  <c r="BC1943" i="48" s="1"/>
  <c r="AC1694" i="48"/>
  <c r="BC1694" i="48" s="1"/>
  <c r="AL1694" i="48"/>
  <c r="AC1278" i="48"/>
  <c r="BC1278" i="48" s="1"/>
  <c r="AB1278" i="48"/>
  <c r="AB2044" i="48"/>
  <c r="AC981" i="48"/>
  <c r="BC981" i="48" s="1"/>
  <c r="AB981" i="48"/>
  <c r="AB589" i="48"/>
  <c r="AC589" i="48"/>
  <c r="BC589" i="48" s="1"/>
  <c r="AB1641" i="48"/>
  <c r="AC1641" i="48"/>
  <c r="BC1641" i="48" s="1"/>
  <c r="AC1602" i="48"/>
  <c r="BC1602" i="48" s="1"/>
  <c r="AB1602" i="48"/>
  <c r="AB926" i="48"/>
  <c r="AC926" i="48"/>
  <c r="BC926" i="48" s="1"/>
  <c r="AB1405" i="48"/>
  <c r="AC1405" i="48"/>
  <c r="BC1405" i="48" s="1"/>
  <c r="AB678" i="48"/>
  <c r="AC678" i="48"/>
  <c r="BC678" i="48" s="1"/>
  <c r="AC1168" i="48"/>
  <c r="BC1168" i="48" s="1"/>
  <c r="AC766" i="48"/>
  <c r="BC766" i="48" s="1"/>
  <c r="AB766" i="48"/>
  <c r="AC1971" i="48"/>
  <c r="BC1971" i="48" s="1"/>
  <c r="AB1971" i="48"/>
  <c r="AC1329" i="48"/>
  <c r="BC1329" i="48" s="1"/>
  <c r="AB657" i="48"/>
  <c r="AC657" i="48"/>
  <c r="BC657" i="48" s="1"/>
  <c r="AC1386" i="48"/>
  <c r="BC1386" i="48" s="1"/>
  <c r="AB1119" i="48"/>
  <c r="AC806" i="48"/>
  <c r="BC806" i="48" s="1"/>
  <c r="AB806" i="48"/>
  <c r="AB1897" i="48"/>
  <c r="AC1897" i="48"/>
  <c r="BC1897" i="48" s="1"/>
  <c r="AB1956" i="48"/>
  <c r="AC1406" i="48"/>
  <c r="BC1406" i="48" s="1"/>
  <c r="AB1406" i="48"/>
  <c r="AB1220" i="48"/>
  <c r="AC1220" i="48"/>
  <c r="BC1220" i="48" s="1"/>
  <c r="AB1549" i="48"/>
  <c r="AC1549" i="48"/>
  <c r="BC1549" i="48" s="1"/>
  <c r="AB2027" i="48"/>
  <c r="AC2027" i="48"/>
  <c r="BC2027" i="48" s="1"/>
  <c r="AC1635" i="48"/>
  <c r="BC1635" i="48" s="1"/>
  <c r="AB1635" i="48"/>
  <c r="AC1226" i="48"/>
  <c r="BC1226" i="48" s="1"/>
  <c r="AB1226" i="48"/>
  <c r="AC1324" i="48"/>
  <c r="BC1324" i="48" s="1"/>
  <c r="AC1617" i="48"/>
  <c r="BC1617" i="48" s="1"/>
  <c r="AB1617" i="48"/>
  <c r="AC1619" i="48"/>
  <c r="BC1619" i="48" s="1"/>
  <c r="AB1619" i="48"/>
  <c r="AC1186" i="48"/>
  <c r="BC1186" i="48" s="1"/>
  <c r="AB1186" i="48"/>
  <c r="AB570" i="48"/>
  <c r="AC569" i="48"/>
  <c r="BC569" i="48" s="1"/>
  <c r="AB883" i="48"/>
  <c r="AC908" i="48"/>
  <c r="BC908" i="48" s="1"/>
  <c r="AB744" i="48"/>
  <c r="AB1985" i="48"/>
  <c r="AB1174" i="48"/>
  <c r="AC1250" i="48"/>
  <c r="BC1250" i="48" s="1"/>
  <c r="AC1790" i="48"/>
  <c r="BC1790" i="48" s="1"/>
  <c r="AC639" i="48"/>
  <c r="BC639" i="48" s="1"/>
  <c r="AC1413" i="48"/>
  <c r="BC1413" i="48" s="1"/>
  <c r="AB970" i="48"/>
  <c r="AC970" i="48"/>
  <c r="BC970" i="48" s="1"/>
  <c r="AB716" i="48"/>
  <c r="AC716" i="48"/>
  <c r="BC716" i="48" s="1"/>
  <c r="AC1179" i="48"/>
  <c r="BC1179" i="48" s="1"/>
  <c r="AB1179" i="48"/>
  <c r="AB1180" i="48"/>
  <c r="AC1180" i="48"/>
  <c r="BC1180" i="48" s="1"/>
  <c r="AB1008" i="48"/>
  <c r="AC1008" i="48"/>
  <c r="BC1008" i="48" s="1"/>
  <c r="AB1106" i="48"/>
  <c r="AC1106" i="48"/>
  <c r="BC1106" i="48" s="1"/>
  <c r="AC1678" i="48"/>
  <c r="BC1678" i="48" s="1"/>
  <c r="AC967" i="48"/>
  <c r="BC967" i="48" s="1"/>
  <c r="AB967" i="48"/>
  <c r="AB1062" i="48"/>
  <c r="AB1070" i="48"/>
  <c r="AK967" i="48"/>
  <c r="AC1169" i="48"/>
  <c r="BC1169" i="48" s="1"/>
  <c r="AC1201" i="48"/>
  <c r="BC1201" i="48" s="1"/>
  <c r="AB1201" i="48"/>
  <c r="AC1905" i="48"/>
  <c r="BC1905" i="48" s="1"/>
  <c r="AC1039" i="48"/>
  <c r="BC1039" i="48" s="1"/>
  <c r="AB617" i="48"/>
  <c r="AC617" i="48"/>
  <c r="BC617" i="48" s="1"/>
  <c r="AB1508" i="48"/>
  <c r="AC980" i="48"/>
  <c r="BC980" i="48" s="1"/>
  <c r="AC621" i="48"/>
  <c r="BC621" i="48" s="1"/>
  <c r="AB621" i="48"/>
  <c r="AC1310" i="48"/>
  <c r="BC1310" i="48" s="1"/>
  <c r="AB1310" i="48"/>
  <c r="AC925" i="48"/>
  <c r="BC925" i="48" s="1"/>
  <c r="AB925" i="48"/>
  <c r="AB1690" i="48"/>
  <c r="AC1690" i="48"/>
  <c r="BC1690" i="48" s="1"/>
  <c r="AC1313" i="48"/>
  <c r="BC1313" i="48" s="1"/>
  <c r="AB1313" i="48"/>
  <c r="AC831" i="48"/>
  <c r="BC831" i="48" s="1"/>
  <c r="AC744" i="48"/>
  <c r="BC744" i="48" s="1"/>
  <c r="AC1907" i="48"/>
  <c r="BC1907" i="48" s="1"/>
  <c r="AC1274" i="48"/>
  <c r="BC1274" i="48" s="1"/>
  <c r="AC1062" i="48"/>
  <c r="BC1062" i="48" s="1"/>
  <c r="AC1357" i="48"/>
  <c r="BC1357" i="48" s="1"/>
  <c r="AB1049" i="48"/>
  <c r="AB1878" i="48"/>
  <c r="AC1489" i="48"/>
  <c r="BC1489" i="48" s="1"/>
  <c r="AB1386" i="48"/>
  <c r="AC1861" i="48"/>
  <c r="BC1861" i="48" s="1"/>
  <c r="AB1247" i="48"/>
  <c r="AC876" i="48"/>
  <c r="BC876" i="48" s="1"/>
  <c r="AC1402" i="48"/>
  <c r="BC1402" i="48" s="1"/>
  <c r="AC2020" i="48"/>
  <c r="BC2020" i="48" s="1"/>
  <c r="AB2020" i="48"/>
  <c r="AC1708" i="48"/>
  <c r="BC1708" i="48" s="1"/>
  <c r="AC1235" i="48"/>
  <c r="BC1235" i="48" s="1"/>
  <c r="AB1235" i="48"/>
  <c r="AB857" i="48"/>
  <c r="AC857" i="48"/>
  <c r="BC857" i="48" s="1"/>
  <c r="AB960" i="48"/>
  <c r="AC1203" i="48"/>
  <c r="BC1203" i="48" s="1"/>
  <c r="AB1203" i="48"/>
  <c r="AB1830" i="48"/>
  <c r="AC1830" i="48"/>
  <c r="BC1830" i="48" s="1"/>
  <c r="AC1813" i="48"/>
  <c r="BC1813" i="48" s="1"/>
  <c r="AB1813" i="48"/>
  <c r="AB606" i="48"/>
  <c r="AB736" i="48"/>
  <c r="AC736" i="48"/>
  <c r="BC736" i="48" s="1"/>
  <c r="AB1076" i="48"/>
  <c r="AL1784" i="48"/>
  <c r="AC1784" i="48"/>
  <c r="BC1784" i="48" s="1"/>
  <c r="AB1784" i="48"/>
  <c r="AB2010" i="48"/>
  <c r="AC2010" i="48"/>
  <c r="BC2010" i="48" s="1"/>
  <c r="AB630" i="48"/>
  <c r="AC630" i="48"/>
  <c r="BC630" i="48" s="1"/>
  <c r="AB1656" i="48"/>
  <c r="AC1656" i="48"/>
  <c r="BC1656" i="48" s="1"/>
  <c r="AB1750" i="48"/>
  <c r="AB1513" i="48"/>
  <c r="AB1533" i="48"/>
  <c r="AK1533" i="48"/>
  <c r="AC1533" i="48"/>
  <c r="BC1533" i="48" s="1"/>
  <c r="AC1762" i="48"/>
  <c r="BC1762" i="48" s="1"/>
  <c r="AB1762" i="48"/>
  <c r="AP1762" i="48"/>
  <c r="AC785" i="48"/>
  <c r="BC785" i="48" s="1"/>
  <c r="AO1277" i="48"/>
  <c r="AC1277" i="48"/>
  <c r="BC1277" i="48" s="1"/>
  <c r="AB1366" i="48"/>
  <c r="AC1366" i="48"/>
  <c r="BC1366" i="48" s="1"/>
  <c r="AC1122" i="48"/>
  <c r="BC1122" i="48" s="1"/>
  <c r="AB1122" i="48"/>
  <c r="AB1992" i="48"/>
  <c r="AC1992" i="48"/>
  <c r="BC1992" i="48" s="1"/>
  <c r="AB1009" i="48"/>
  <c r="AC1009" i="48"/>
  <c r="BC1009" i="48" s="1"/>
  <c r="AB732" i="48"/>
  <c r="AC732" i="48"/>
  <c r="BC732" i="48" s="1"/>
  <c r="AB862" i="48"/>
  <c r="AC862" i="48"/>
  <c r="BC862" i="48" s="1"/>
  <c r="AB1920" i="48"/>
  <c r="AB1261" i="48"/>
  <c r="AC1261" i="48"/>
  <c r="BC1261" i="48" s="1"/>
  <c r="AB846" i="48"/>
  <c r="AC846" i="48"/>
  <c r="BC846" i="48" s="1"/>
  <c r="AC878" i="48"/>
  <c r="BC878" i="48" s="1"/>
  <c r="AB878" i="48"/>
  <c r="AL878" i="48"/>
  <c r="AC1890" i="48"/>
  <c r="BC1890" i="48" s="1"/>
  <c r="AB1890" i="48"/>
  <c r="AB1780" i="48"/>
  <c r="AC1780" i="48"/>
  <c r="BC1780" i="48" s="1"/>
  <c r="AC557" i="48"/>
  <c r="BC557" i="48" s="1"/>
  <c r="AB557" i="48"/>
  <c r="AB682" i="48"/>
  <c r="AC682" i="48"/>
  <c r="BC682" i="48" s="1"/>
  <c r="AC359" i="48"/>
  <c r="BC359" i="48" s="1"/>
  <c r="AB1016" i="48"/>
  <c r="AP1016" i="48"/>
  <c r="AC1016" i="48"/>
  <c r="BC1016" i="48" s="1"/>
  <c r="AB1492" i="48"/>
  <c r="AC1492" i="48"/>
  <c r="BC1492" i="48" s="1"/>
  <c r="AB900" i="48"/>
  <c r="AC900" i="48"/>
  <c r="BC900" i="48" s="1"/>
  <c r="AB1287" i="48"/>
  <c r="AC1199" i="48"/>
  <c r="BC1199" i="48" s="1"/>
  <c r="AB1199" i="48"/>
  <c r="AB1972" i="48"/>
  <c r="AC1972" i="48"/>
  <c r="BC1972" i="48" s="1"/>
  <c r="AB1582" i="48"/>
  <c r="AP1582" i="48"/>
  <c r="AC1582" i="48"/>
  <c r="BC1582" i="48" s="1"/>
  <c r="AB1546" i="48"/>
  <c r="AB2033" i="48"/>
  <c r="AB1871" i="48"/>
  <c r="AC1871" i="48"/>
  <c r="BC1871" i="48" s="1"/>
  <c r="AC1373" i="48"/>
  <c r="BC1373" i="48" s="1"/>
  <c r="AB1744" i="48"/>
  <c r="AC1744" i="48"/>
  <c r="BC1744" i="48" s="1"/>
  <c r="AC584" i="48"/>
  <c r="BC584" i="48" s="1"/>
  <c r="AB584" i="48"/>
  <c r="AC1759" i="48"/>
  <c r="BC1759" i="48" s="1"/>
  <c r="AB1759" i="48"/>
  <c r="AB1103" i="48"/>
  <c r="AC1103" i="48"/>
  <c r="BC1103" i="48" s="1"/>
  <c r="AC673" i="48"/>
  <c r="BC673" i="48" s="1"/>
  <c r="AB627" i="48"/>
  <c r="AC627" i="48"/>
  <c r="BC627" i="48" s="1"/>
  <c r="AB1716" i="48"/>
  <c r="AC1716" i="48"/>
  <c r="BC1716" i="48" s="1"/>
  <c r="AB1638" i="48"/>
  <c r="AC1638" i="48"/>
  <c r="BC1638" i="48" s="1"/>
  <c r="AB1497" i="48"/>
  <c r="AC1497" i="48"/>
  <c r="BC1497" i="48" s="1"/>
  <c r="AB894" i="48"/>
  <c r="AC894" i="48"/>
  <c r="BC894" i="48" s="1"/>
  <c r="AK894" i="48"/>
  <c r="AC1899" i="48"/>
  <c r="BC1899" i="48" s="1"/>
  <c r="AB664" i="48"/>
  <c r="AC664" i="48"/>
  <c r="BC664" i="48" s="1"/>
  <c r="AB1509" i="48"/>
  <c r="AC1881" i="48"/>
  <c r="BC1881" i="48" s="1"/>
  <c r="AB1881" i="48"/>
  <c r="AB1984" i="48"/>
  <c r="AB1901" i="48"/>
  <c r="AC1901" i="48"/>
  <c r="BC1901" i="48" s="1"/>
  <c r="AC994" i="48"/>
  <c r="BC994" i="48" s="1"/>
  <c r="AC2006" i="48"/>
  <c r="BC2006" i="48" s="1"/>
  <c r="AB2006" i="48"/>
  <c r="AB1444" i="48"/>
  <c r="AC1444" i="48"/>
  <c r="BC1444" i="48" s="1"/>
  <c r="AB1561" i="48"/>
  <c r="AC1561" i="48"/>
  <c r="BC1561" i="48" s="1"/>
  <c r="AC1500" i="48"/>
  <c r="BC1500" i="48" s="1"/>
  <c r="AB1802" i="48"/>
  <c r="AL1802" i="48"/>
  <c r="AC1802" i="48"/>
  <c r="BC1802" i="48" s="1"/>
  <c r="AB1795" i="48"/>
  <c r="AC1795" i="48"/>
  <c r="BC1795" i="48" s="1"/>
  <c r="AB1001" i="48"/>
  <c r="AB1757" i="48"/>
  <c r="AC1592" i="48"/>
  <c r="BC1592" i="48" s="1"/>
  <c r="AB1592" i="48"/>
  <c r="AB692" i="48"/>
  <c r="AC692" i="48"/>
  <c r="BC692" i="48" s="1"/>
  <c r="AB583" i="48"/>
  <c r="AC583" i="48"/>
  <c r="BC583" i="48" s="1"/>
  <c r="AC1461" i="48"/>
  <c r="BC1461" i="48" s="1"/>
  <c r="AB1461" i="48"/>
  <c r="AB1334" i="48"/>
  <c r="AC1527" i="48"/>
  <c r="BC1527" i="48" s="1"/>
  <c r="AM1527" i="48"/>
  <c r="AB2045" i="48"/>
  <c r="AC2045" i="48"/>
  <c r="BC2045" i="48" s="1"/>
  <c r="AB1086" i="48"/>
  <c r="AC1086" i="48"/>
  <c r="BC1086" i="48" s="1"/>
  <c r="AC731" i="48"/>
  <c r="BC731" i="48" s="1"/>
  <c r="AB731" i="48"/>
  <c r="AB1466" i="48"/>
  <c r="AC1466" i="48"/>
  <c r="BC1466" i="48" s="1"/>
  <c r="AB1244" i="48"/>
  <c r="AC1968" i="48"/>
  <c r="BC1968" i="48" s="1"/>
  <c r="AB1968" i="48"/>
  <c r="AC1741" i="48"/>
  <c r="BC1741" i="48" s="1"/>
  <c r="AB1741" i="48"/>
  <c r="AC1679" i="48"/>
  <c r="BC1679" i="48" s="1"/>
  <c r="AB1679" i="48"/>
  <c r="AB1015" i="48"/>
  <c r="AC1015" i="48"/>
  <c r="BC1015" i="48" s="1"/>
  <c r="AB1586" i="48"/>
  <c r="AK1586" i="48"/>
  <c r="AC713" i="48"/>
  <c r="BC713" i="48" s="1"/>
  <c r="AB713" i="48"/>
  <c r="AC870" i="48"/>
  <c r="BC870" i="48" s="1"/>
  <c r="AB870" i="48"/>
  <c r="AB1773" i="48"/>
  <c r="AC1773" i="48"/>
  <c r="BC1773" i="48" s="1"/>
  <c r="AB1639" i="48"/>
  <c r="AC1639" i="48"/>
  <c r="BC1639" i="48" s="1"/>
  <c r="AC963" i="48"/>
  <c r="BC963" i="48" s="1"/>
  <c r="AB588" i="48"/>
  <c r="AC588" i="48"/>
  <c r="BC588" i="48" s="1"/>
  <c r="AB1760" i="48"/>
  <c r="AC1760" i="48"/>
  <c r="BC1760" i="48" s="1"/>
  <c r="AB1338" i="48"/>
  <c r="AC1338" i="48"/>
  <c r="BC1338" i="48" s="1"/>
  <c r="AB2038" i="48"/>
  <c r="AC2038" i="48"/>
  <c r="BC2038" i="48" s="1"/>
  <c r="AC1189" i="48"/>
  <c r="BC1189" i="48" s="1"/>
  <c r="AB1189" i="48"/>
  <c r="AC1642" i="48"/>
  <c r="BC1642" i="48" s="1"/>
  <c r="AB1642" i="48"/>
  <c r="AC1301" i="48"/>
  <c r="BC1301" i="48" s="1"/>
  <c r="AB1301" i="48"/>
  <c r="AB1289" i="48"/>
  <c r="AC1289" i="48"/>
  <c r="BC1289" i="48" s="1"/>
  <c r="AB801" i="48"/>
  <c r="AC801" i="48"/>
  <c r="BC801" i="48" s="1"/>
  <c r="AC845" i="48"/>
  <c r="BC845" i="48" s="1"/>
  <c r="AB837" i="48"/>
  <c r="AC837" i="48"/>
  <c r="BC837" i="48" s="1"/>
  <c r="AC1750" i="48"/>
  <c r="BC1750" i="48" s="1"/>
  <c r="AC1244" i="48"/>
  <c r="BC1244" i="48" s="1"/>
  <c r="AB994" i="48"/>
  <c r="AC1227" i="48"/>
  <c r="BC1227" i="48" s="1"/>
  <c r="AB1227" i="48"/>
  <c r="AC808" i="48"/>
  <c r="BC808" i="48" s="1"/>
  <c r="AN808" i="48"/>
  <c r="AB808" i="48"/>
  <c r="AC1257" i="48"/>
  <c r="BC1257" i="48" s="1"/>
  <c r="AB1257" i="48"/>
  <c r="AC1365" i="48"/>
  <c r="BC1365" i="48" s="1"/>
  <c r="AB1365" i="48"/>
  <c r="AB720" i="48"/>
  <c r="AC720" i="48"/>
  <c r="BC720" i="48" s="1"/>
  <c r="AL720" i="48"/>
  <c r="AC669" i="48"/>
  <c r="BC669" i="48" s="1"/>
  <c r="AB669" i="48"/>
  <c r="AB2037" i="48"/>
  <c r="AB1689" i="48"/>
  <c r="AC1689" i="48"/>
  <c r="BC1689" i="48" s="1"/>
  <c r="AB670" i="48"/>
  <c r="AC670" i="48"/>
  <c r="BC670" i="48" s="1"/>
  <c r="AB1708" i="48"/>
  <c r="AC1287" i="48"/>
  <c r="BC1287" i="48" s="1"/>
  <c r="AB318" i="48"/>
  <c r="AB452" i="48"/>
  <c r="AC403" i="48"/>
  <c r="BC403" i="48" s="1"/>
  <c r="AC826" i="48"/>
  <c r="BC826" i="48" s="1"/>
  <c r="AC337" i="48"/>
  <c r="BC337" i="48" s="1"/>
  <c r="AC1586" i="48"/>
  <c r="BC1586" i="48" s="1"/>
  <c r="AB845" i="48"/>
  <c r="AC1334" i="48"/>
  <c r="BC1334" i="48" s="1"/>
  <c r="AC1155" i="48"/>
  <c r="BC1155" i="48" s="1"/>
  <c r="AB1657" i="48"/>
  <c r="AB1467" i="48"/>
  <c r="AC1352" i="48"/>
  <c r="BC1352" i="48" s="1"/>
  <c r="AB1858" i="48"/>
  <c r="AC1224" i="48"/>
  <c r="BC1224" i="48" s="1"/>
  <c r="AB1541" i="48"/>
  <c r="AB1266" i="48"/>
  <c r="AC1266" i="48"/>
  <c r="BC1266" i="48" s="1"/>
  <c r="AB860" i="48"/>
  <c r="AC860" i="48"/>
  <c r="BC860" i="48" s="1"/>
  <c r="AC1378" i="48"/>
  <c r="BC1378" i="48" s="1"/>
  <c r="AC1197" i="48"/>
  <c r="BC1197" i="48" s="1"/>
  <c r="AB1812" i="48"/>
  <c r="AC1812" i="48"/>
  <c r="BC1812" i="48" s="1"/>
  <c r="AC1880" i="48"/>
  <c r="BC1880" i="48" s="1"/>
  <c r="AB1229" i="48"/>
  <c r="AC1229" i="48"/>
  <c r="BC1229" i="48" s="1"/>
  <c r="AB1398" i="48"/>
  <c r="AC1398" i="48"/>
  <c r="BC1398" i="48" s="1"/>
  <c r="AB1577" i="48"/>
  <c r="AC1577" i="48"/>
  <c r="BC1577" i="48" s="1"/>
  <c r="AB1160" i="48"/>
  <c r="AB1453" i="48"/>
  <c r="AP1453" i="48"/>
  <c r="AC931" i="48"/>
  <c r="BC931" i="48" s="1"/>
  <c r="AB931" i="48"/>
  <c r="AB1205" i="48"/>
  <c r="AC1842" i="48"/>
  <c r="BC1842" i="48" s="1"/>
  <c r="AB2000" i="48"/>
  <c r="AC1232" i="48"/>
  <c r="BC1232" i="48" s="1"/>
  <c r="AB1232" i="48"/>
  <c r="AB1325" i="48"/>
  <c r="AC1615" i="48"/>
  <c r="BC1615" i="48" s="1"/>
  <c r="AB935" i="48"/>
  <c r="AC1433" i="48"/>
  <c r="BC1433" i="48" s="1"/>
  <c r="AC1269" i="48"/>
  <c r="BC1269" i="48" s="1"/>
  <c r="AC1518" i="48"/>
  <c r="BC1518" i="48" s="1"/>
  <c r="AB1455" i="48"/>
  <c r="AC1721" i="48"/>
  <c r="BC1721" i="48" s="1"/>
  <c r="AB1721" i="48"/>
  <c r="AC1231" i="48"/>
  <c r="BC1231" i="48" s="1"/>
  <c r="AB1231" i="48"/>
  <c r="AC865" i="48"/>
  <c r="BC865" i="48" s="1"/>
  <c r="AC734" i="48"/>
  <c r="BC734" i="48" s="1"/>
  <c r="AB1113" i="48"/>
  <c r="AC1113" i="48"/>
  <c r="BC1113" i="48" s="1"/>
  <c r="AC1637" i="48"/>
  <c r="BC1637" i="48" s="1"/>
  <c r="AB1725" i="48"/>
  <c r="AC1725" i="48"/>
  <c r="BC1725" i="48" s="1"/>
  <c r="AC1093" i="48"/>
  <c r="BC1093" i="48" s="1"/>
  <c r="AB1093" i="48"/>
  <c r="AB1755" i="48"/>
  <c r="AC1755" i="48"/>
  <c r="BC1755" i="48" s="1"/>
  <c r="AB1711" i="48"/>
  <c r="AC1711" i="48"/>
  <c r="BC1711" i="48" s="1"/>
  <c r="AC1779" i="48"/>
  <c r="BC1779" i="48" s="1"/>
  <c r="AB1779" i="48"/>
  <c r="AC1951" i="48"/>
  <c r="BC1951" i="48" s="1"/>
  <c r="AB595" i="48"/>
  <c r="AP595" i="48"/>
  <c r="AC595" i="48"/>
  <c r="BC595" i="48" s="1"/>
  <c r="AC920" i="48"/>
  <c r="BC920" i="48" s="1"/>
  <c r="AB920" i="48"/>
  <c r="AB629" i="48"/>
  <c r="AC629" i="48"/>
  <c r="BC629" i="48" s="1"/>
  <c r="AC579" i="48"/>
  <c r="BC579" i="48" s="1"/>
  <c r="AB579" i="48"/>
  <c r="AB1829" i="48"/>
  <c r="AC1829" i="48"/>
  <c r="BC1829" i="48" s="1"/>
  <c r="AC1241" i="48"/>
  <c r="BC1241" i="48" s="1"/>
  <c r="AB1241" i="48"/>
  <c r="AC1434" i="48"/>
  <c r="BC1434" i="48" s="1"/>
  <c r="AB1059" i="48"/>
  <c r="AC1059" i="48"/>
  <c r="BC1059" i="48" s="1"/>
  <c r="AC1151" i="48"/>
  <c r="BC1151" i="48" s="1"/>
  <c r="AL1151" i="48"/>
  <c r="AB1151" i="48"/>
  <c r="AC1387" i="48"/>
  <c r="BC1387" i="48" s="1"/>
  <c r="AB1387" i="48"/>
  <c r="AC1850" i="48"/>
  <c r="BC1850" i="48" s="1"/>
  <c r="AB1850" i="48"/>
  <c r="AB1865" i="48"/>
  <c r="AC1865" i="48"/>
  <c r="BC1865" i="48" s="1"/>
  <c r="AB1139" i="48"/>
  <c r="AC775" i="48"/>
  <c r="BC775" i="48" s="1"/>
  <c r="AB775" i="48"/>
  <c r="AB1404" i="48"/>
  <c r="AC816" i="48"/>
  <c r="BC816" i="48" s="1"/>
  <c r="AB816" i="48"/>
  <c r="AB1900" i="48"/>
  <c r="AC1900" i="48"/>
  <c r="BC1900" i="48" s="1"/>
  <c r="AB1930" i="48"/>
  <c r="AC1930" i="48"/>
  <c r="BC1930" i="48" s="1"/>
  <c r="AN1930" i="48"/>
  <c r="AC823" i="48"/>
  <c r="BC823" i="48" s="1"/>
  <c r="AB1495" i="48"/>
  <c r="AC820" i="48"/>
  <c r="BC820" i="48" s="1"/>
  <c r="AO820" i="48"/>
  <c r="AC1297" i="48"/>
  <c r="BC1297" i="48" s="1"/>
  <c r="AB1297" i="48"/>
  <c r="AB1348" i="48"/>
  <c r="AC1348" i="48"/>
  <c r="BC1348" i="48" s="1"/>
  <c r="AB1565" i="48"/>
  <c r="AC1565" i="48"/>
  <c r="BC1565" i="48" s="1"/>
  <c r="AC1233" i="48"/>
  <c r="BC1233" i="48" s="1"/>
  <c r="AB2041" i="48"/>
  <c r="AC2041" i="48"/>
  <c r="BC2041" i="48" s="1"/>
  <c r="AB1924" i="48"/>
  <c r="AC1924" i="48"/>
  <c r="BC1924" i="48" s="1"/>
  <c r="AP1490" i="48"/>
  <c r="AC1490" i="48"/>
  <c r="BC1490" i="48" s="1"/>
  <c r="AB834" i="48"/>
  <c r="AC761" i="48"/>
  <c r="BC761" i="48" s="1"/>
  <c r="AC1652" i="48"/>
  <c r="BC1652" i="48" s="1"/>
  <c r="AB639" i="48"/>
  <c r="AC1796" i="48"/>
  <c r="BC1796" i="48" s="1"/>
  <c r="AB1796" i="48"/>
  <c r="AB650" i="48"/>
  <c r="AC650" i="48"/>
  <c r="BC650" i="48" s="1"/>
  <c r="AB1454" i="48"/>
  <c r="AB1145" i="48"/>
  <c r="AC1145" i="48"/>
  <c r="BC1145" i="48" s="1"/>
  <c r="AC1730" i="48"/>
  <c r="BC1730" i="48" s="1"/>
  <c r="AC1539" i="48"/>
  <c r="BC1539" i="48" s="1"/>
  <c r="AB1539" i="48"/>
  <c r="AB1826" i="48"/>
  <c r="AC1826" i="48"/>
  <c r="BC1826" i="48" s="1"/>
  <c r="AB2039" i="48"/>
  <c r="AC2039" i="48"/>
  <c r="BC2039" i="48" s="1"/>
  <c r="AB993" i="48"/>
  <c r="AC993" i="48"/>
  <c r="BC993" i="48" s="1"/>
  <c r="AB1542" i="48"/>
  <c r="AC1542" i="48"/>
  <c r="BC1542" i="48" s="1"/>
  <c r="AC715" i="48"/>
  <c r="BC715" i="48" s="1"/>
  <c r="AB715" i="48"/>
  <c r="AB1916" i="48"/>
  <c r="AC1916" i="48"/>
  <c r="BC1916" i="48" s="1"/>
  <c r="AB959" i="48"/>
  <c r="AB2007" i="48"/>
  <c r="AC2007" i="48"/>
  <c r="BC2007" i="48" s="1"/>
  <c r="AB884" i="48"/>
  <c r="AC884" i="48"/>
  <c r="BC884" i="48" s="1"/>
  <c r="AB598" i="48"/>
  <c r="AC598" i="48"/>
  <c r="BC598" i="48" s="1"/>
  <c r="AC948" i="48"/>
  <c r="BC948" i="48" s="1"/>
  <c r="AB948" i="48"/>
  <c r="AC939" i="48"/>
  <c r="BC939" i="48" s="1"/>
  <c r="AB939" i="48"/>
  <c r="AC1478" i="48"/>
  <c r="BC1478" i="48" s="1"/>
  <c r="AB1478" i="48"/>
  <c r="AC1263" i="48"/>
  <c r="BC1263" i="48" s="1"/>
  <c r="AB1263" i="48"/>
  <c r="AC755" i="48"/>
  <c r="BC755" i="48" s="1"/>
  <c r="AB755" i="48"/>
  <c r="AB1840" i="48"/>
  <c r="AC1840" i="48"/>
  <c r="BC1840" i="48" s="1"/>
  <c r="AN1047" i="48"/>
  <c r="AC1047" i="48"/>
  <c r="BC1047" i="48" s="1"/>
  <c r="AB1634" i="48"/>
  <c r="AC1634" i="48"/>
  <c r="BC1634" i="48" s="1"/>
  <c r="AB1376" i="48"/>
  <c r="AC1376" i="48"/>
  <c r="BC1376" i="48" s="1"/>
  <c r="AB1316" i="48"/>
  <c r="AC1316" i="48"/>
  <c r="BC1316" i="48" s="1"/>
  <c r="AC1174" i="48"/>
  <c r="BC1174" i="48" s="1"/>
  <c r="AB681" i="48"/>
  <c r="AB1250" i="48"/>
  <c r="AC1068" i="48"/>
  <c r="BC1068" i="48" s="1"/>
  <c r="AC1285" i="48"/>
  <c r="BC1285" i="48" s="1"/>
  <c r="AC906" i="48"/>
  <c r="BC906" i="48" s="1"/>
  <c r="AB1882" i="48"/>
  <c r="AB1626" i="48"/>
  <c r="AO2000" i="48"/>
  <c r="AC1953" i="48"/>
  <c r="BC1953" i="48" s="1"/>
  <c r="AB1665" i="48"/>
  <c r="AB734" i="48"/>
  <c r="AC1985" i="48"/>
  <c r="BC1985" i="48" s="1"/>
  <c r="AC978" i="48"/>
  <c r="BC978" i="48" s="1"/>
  <c r="AB1687" i="48"/>
  <c r="AB1006" i="48"/>
  <c r="AC1454" i="48"/>
  <c r="BC1454" i="48" s="1"/>
  <c r="AB1378" i="48"/>
  <c r="AB1197" i="48"/>
  <c r="AC1404" i="48"/>
  <c r="BC1404" i="48" s="1"/>
  <c r="AC1453" i="48"/>
  <c r="BC1453" i="48" s="1"/>
  <c r="AC1495" i="48"/>
  <c r="BC1495" i="48" s="1"/>
  <c r="AB1730" i="48"/>
  <c r="AB1929" i="48"/>
  <c r="AC1966" i="48"/>
  <c r="BC1966" i="48" s="1"/>
  <c r="AB1966" i="48"/>
  <c r="AC1887" i="48"/>
  <c r="BC1887" i="48" s="1"/>
  <c r="AC1311" i="48"/>
  <c r="BC1311" i="48" s="1"/>
  <c r="AP1311" i="48"/>
  <c r="AB1311" i="48"/>
  <c r="AC1248" i="48"/>
  <c r="BC1248" i="48" s="1"/>
  <c r="AB1506" i="48"/>
  <c r="AC1506" i="48"/>
  <c r="BC1506" i="48" s="1"/>
  <c r="AC1271" i="48"/>
  <c r="BC1271" i="48" s="1"/>
  <c r="AB1271" i="48"/>
  <c r="AB1742" i="48"/>
  <c r="AC1742" i="48"/>
  <c r="BC1742" i="48" s="1"/>
  <c r="AB822" i="48"/>
  <c r="AC822" i="48"/>
  <c r="BC822" i="48" s="1"/>
  <c r="AB637" i="48"/>
  <c r="AP1092" i="48"/>
  <c r="AB951" i="48"/>
  <c r="AC1292" i="48"/>
  <c r="BC1292" i="48" s="1"/>
  <c r="AC1913" i="48"/>
  <c r="BC1913" i="48" s="1"/>
  <c r="AC851" i="48"/>
  <c r="BC851" i="48" s="1"/>
  <c r="AN1768" i="48"/>
  <c r="AB927" i="48"/>
  <c r="AC1429" i="48"/>
  <c r="BC1429" i="48" s="1"/>
  <c r="AB1429" i="48"/>
  <c r="AC1739" i="48"/>
  <c r="BC1739" i="48" s="1"/>
  <c r="AN795" i="48"/>
  <c r="AB795" i="48"/>
  <c r="AC795" i="48"/>
  <c r="BC795" i="48" s="1"/>
  <c r="AB1837" i="48"/>
  <c r="AC1837" i="48"/>
  <c r="BC1837" i="48" s="1"/>
  <c r="AB1906" i="48"/>
  <c r="AC1906" i="48"/>
  <c r="BC1906" i="48" s="1"/>
  <c r="AB1616" i="48"/>
  <c r="AC1616" i="48"/>
  <c r="BC1616" i="48" s="1"/>
  <c r="AB1463" i="48"/>
  <c r="AC1463" i="48"/>
  <c r="BC1463" i="48" s="1"/>
  <c r="AB1557" i="48"/>
  <c r="AC1557" i="48"/>
  <c r="BC1557" i="48" s="1"/>
  <c r="AB1997" i="48"/>
  <c r="AC1997" i="48"/>
  <c r="BC1997" i="48" s="1"/>
  <c r="AN744" i="48"/>
  <c r="AC1032" i="48"/>
  <c r="BC1032" i="48" s="1"/>
  <c r="AC928" i="48"/>
  <c r="BC928" i="48" s="1"/>
  <c r="AC1253" i="48"/>
  <c r="BC1253" i="48" s="1"/>
  <c r="AC1198" i="48"/>
  <c r="BC1198" i="48" s="1"/>
  <c r="AC1034" i="48"/>
  <c r="BC1034" i="48" s="1"/>
  <c r="AB908" i="48"/>
  <c r="AB1210" i="48"/>
  <c r="AC1941" i="48"/>
  <c r="BC1941" i="48" s="1"/>
  <c r="AC1785" i="48"/>
  <c r="BC1785" i="48" s="1"/>
  <c r="AB1880" i="48"/>
  <c r="AC637" i="48"/>
  <c r="BC637" i="48" s="1"/>
  <c r="AC1141" i="48"/>
  <c r="BC1141" i="48" s="1"/>
  <c r="AB1490" i="48"/>
  <c r="AC959" i="48"/>
  <c r="BC959" i="48" s="1"/>
  <c r="AP1539" i="48"/>
  <c r="AB1700" i="48"/>
  <c r="AP1700" i="48"/>
  <c r="AB1155" i="48"/>
  <c r="AB1872" i="48"/>
  <c r="AC1988" i="48"/>
  <c r="BC1988" i="48" s="1"/>
  <c r="AC602" i="48"/>
  <c r="BC602" i="48" s="1"/>
  <c r="AB1915" i="48"/>
  <c r="AC1915" i="48"/>
  <c r="BC1915" i="48" s="1"/>
  <c r="AC618" i="48"/>
  <c r="BC618" i="48" s="1"/>
  <c r="AC1467" i="48"/>
  <c r="BC1467" i="48" s="1"/>
  <c r="AC1215" i="48"/>
  <c r="BC1215" i="48" s="1"/>
  <c r="AB1215" i="48"/>
  <c r="AB624" i="48"/>
  <c r="AB1383" i="48"/>
  <c r="AM1383" i="48"/>
  <c r="AB1714" i="48"/>
  <c r="AC1714" i="48"/>
  <c r="BC1714" i="48" s="1"/>
  <c r="AC687" i="48"/>
  <c r="BC687" i="48" s="1"/>
  <c r="AC1304" i="48"/>
  <c r="BC1304" i="48" s="1"/>
  <c r="AB1304" i="48"/>
  <c r="AC665" i="48"/>
  <c r="BC665" i="48" s="1"/>
  <c r="AC739" i="48"/>
  <c r="BC739" i="48" s="1"/>
  <c r="AB1889" i="48"/>
  <c r="AC1889" i="48"/>
  <c r="BC1889" i="48" s="1"/>
  <c r="AC1092" i="48"/>
  <c r="BC1092" i="48" s="1"/>
  <c r="AC1410" i="48"/>
  <c r="BC1410" i="48" s="1"/>
  <c r="AB1410" i="48"/>
  <c r="AC1097" i="48"/>
  <c r="BC1097" i="48" s="1"/>
  <c r="AC1173" i="48"/>
  <c r="BC1173" i="48" s="1"/>
  <c r="AB1173" i="48"/>
  <c r="AB1308" i="48"/>
  <c r="AC1855" i="48"/>
  <c r="BC1855" i="48" s="1"/>
  <c r="AB1855" i="48"/>
  <c r="AB1536" i="48"/>
  <c r="AC1536" i="48"/>
  <c r="BC1536" i="48" s="1"/>
  <c r="AB1407" i="48"/>
  <c r="AC1351" i="48"/>
  <c r="BC1351" i="48" s="1"/>
  <c r="AB906" i="48"/>
  <c r="AB1957" i="48"/>
  <c r="AC1166" i="48"/>
  <c r="BC1166" i="48" s="1"/>
  <c r="AB1990" i="48"/>
  <c r="AB1637" i="48"/>
  <c r="AB1114" i="48"/>
  <c r="AB1831" i="48"/>
  <c r="AC1240" i="48"/>
  <c r="BC1240" i="48" s="1"/>
  <c r="AC696" i="48"/>
  <c r="BC696" i="48" s="1"/>
  <c r="AP1117" i="48"/>
  <c r="AB1610" i="48"/>
  <c r="AC2032" i="48"/>
  <c r="BC2032" i="48" s="1"/>
  <c r="AC1483" i="48"/>
  <c r="BC1483" i="48" s="1"/>
  <c r="AC660" i="48"/>
  <c r="BC660" i="48" s="1"/>
  <c r="AC1732" i="48"/>
  <c r="BC1732" i="48" s="1"/>
  <c r="AB1732" i="48"/>
  <c r="AB841" i="48"/>
  <c r="AC841" i="48"/>
  <c r="BC841" i="48" s="1"/>
  <c r="AC708" i="48"/>
  <c r="BC708" i="48" s="1"/>
  <c r="AB708" i="48"/>
  <c r="AC633" i="48"/>
  <c r="BC633" i="48" s="1"/>
  <c r="AB633" i="48"/>
  <c r="AB1719" i="48"/>
  <c r="AC1719" i="48"/>
  <c r="BC1719" i="48" s="1"/>
  <c r="AC942" i="48"/>
  <c r="BC942" i="48" s="1"/>
  <c r="AB791" i="48"/>
  <c r="AC791" i="48"/>
  <c r="BC791" i="48" s="1"/>
  <c r="AB615" i="48"/>
  <c r="AB905" i="48"/>
  <c r="AC905" i="48"/>
  <c r="BC905" i="48" s="1"/>
  <c r="AB1935" i="48"/>
  <c r="AC1935" i="48"/>
  <c r="BC1935" i="48" s="1"/>
  <c r="AB971" i="48"/>
  <c r="AC1242" i="48"/>
  <c r="BC1242" i="48" s="1"/>
  <c r="AP1504" i="48"/>
  <c r="AB1504" i="48"/>
  <c r="AC1504" i="48"/>
  <c r="BC1504" i="48" s="1"/>
  <c r="AC1798" i="48"/>
  <c r="BC1798" i="48" s="1"/>
  <c r="AN1798" i="48"/>
  <c r="AB1798" i="48"/>
  <c r="AC1401" i="48"/>
  <c r="BC1401" i="48" s="1"/>
  <c r="AB1401" i="48"/>
  <c r="AC1185" i="48"/>
  <c r="BC1185" i="48" s="1"/>
  <c r="AC1171" i="48"/>
  <c r="BC1171" i="48" s="1"/>
  <c r="AO1395" i="48"/>
  <c r="AB1007" i="48"/>
  <c r="AC1144" i="48"/>
  <c r="BC1144" i="48" s="1"/>
  <c r="AB1282" i="48"/>
  <c r="AC1660" i="48"/>
  <c r="BC1660" i="48" s="1"/>
  <c r="AB1907" i="48"/>
  <c r="AB1088" i="48"/>
  <c r="AC1882" i="48"/>
  <c r="BC1882" i="48" s="1"/>
  <c r="AC1210" i="48"/>
  <c r="BC1210" i="48" s="1"/>
  <c r="AK853" i="48"/>
  <c r="AC735" i="48"/>
  <c r="BC735" i="48" s="1"/>
  <c r="AB618" i="48"/>
  <c r="AB656" i="48"/>
  <c r="AC1687" i="48"/>
  <c r="BC1687" i="48" s="1"/>
  <c r="AB1328" i="48"/>
  <c r="AC803" i="48"/>
  <c r="BC803" i="48" s="1"/>
  <c r="AC1254" i="48"/>
  <c r="BC1254" i="48" s="1"/>
  <c r="AB1790" i="48"/>
  <c r="AB1739" i="48"/>
  <c r="AB1434" i="48"/>
  <c r="AB1352" i="48"/>
  <c r="AC951" i="48"/>
  <c r="BC951" i="48" s="1"/>
  <c r="AC1819" i="48"/>
  <c r="BC1819" i="48" s="1"/>
  <c r="AB1240" i="48"/>
  <c r="AB660" i="48"/>
  <c r="AB1951" i="48"/>
  <c r="AB1994" i="48"/>
  <c r="AC1407" i="48"/>
  <c r="BC1407" i="48" s="1"/>
  <c r="AC615" i="48"/>
  <c r="BC615" i="48" s="1"/>
  <c r="AB820" i="48"/>
  <c r="AC927" i="48"/>
  <c r="BC927" i="48" s="1"/>
  <c r="AC1786" i="48"/>
  <c r="BC1786" i="48" s="1"/>
  <c r="AC1963" i="48"/>
  <c r="BC1963" i="48" s="1"/>
  <c r="AB1246" i="48"/>
  <c r="AB1457" i="48"/>
  <c r="AC2035" i="48"/>
  <c r="BC2035" i="48" s="1"/>
  <c r="AB1550" i="48"/>
  <c r="AB1644" i="48"/>
  <c r="AB1613" i="48"/>
  <c r="AC1358" i="48"/>
  <c r="BC1358" i="48" s="1"/>
  <c r="AC1275" i="48"/>
  <c r="BC1275" i="48" s="1"/>
  <c r="AB1838" i="48"/>
  <c r="AB1213" i="48"/>
  <c r="AB1809" i="48"/>
  <c r="AC1809" i="48"/>
  <c r="BC1809" i="48" s="1"/>
  <c r="AB1726" i="48"/>
  <c r="AC1923" i="48"/>
  <c r="BC1923" i="48" s="1"/>
  <c r="AB1923" i="48"/>
  <c r="AP1923" i="48"/>
  <c r="AC1390" i="48"/>
  <c r="BC1390" i="48" s="1"/>
  <c r="AB1390" i="48"/>
  <c r="AB688" i="48"/>
  <c r="AC688" i="48"/>
  <c r="BC688" i="48" s="1"/>
  <c r="AC1991" i="48"/>
  <c r="BC1991" i="48" s="1"/>
  <c r="AB1991" i="48"/>
  <c r="AB1307" i="48"/>
  <c r="AC1307" i="48"/>
  <c r="BC1307" i="48" s="1"/>
  <c r="AC1370" i="48"/>
  <c r="BC1370" i="48" s="1"/>
  <c r="AB1370" i="48"/>
  <c r="AB810" i="48"/>
  <c r="AC810" i="48"/>
  <c r="BC810" i="48" s="1"/>
  <c r="AB1102" i="48"/>
  <c r="AB1785" i="48"/>
  <c r="AB1547" i="48"/>
  <c r="AC1501" i="48"/>
  <c r="BC1501" i="48" s="1"/>
  <c r="AB1501" i="48"/>
  <c r="AB1515" i="48"/>
  <c r="AC1515" i="48"/>
  <c r="BC1515" i="48" s="1"/>
  <c r="AC1564" i="48"/>
  <c r="BC1564" i="48" s="1"/>
  <c r="AB1564" i="48"/>
  <c r="AB1211" i="48"/>
  <c r="AC717" i="48"/>
  <c r="BC717" i="48" s="1"/>
  <c r="AB717" i="48"/>
  <c r="AC1553" i="48"/>
  <c r="BC1553" i="48" s="1"/>
  <c r="AB683" i="48"/>
  <c r="AB1468" i="48"/>
  <c r="AC1468" i="48"/>
  <c r="BC1468" i="48" s="1"/>
  <c r="AB1368" i="48"/>
  <c r="AC710" i="48"/>
  <c r="BC710" i="48" s="1"/>
  <c r="AC1665" i="48"/>
  <c r="BC1665" i="48" s="1"/>
  <c r="AB1615" i="48"/>
  <c r="AB1433" i="48"/>
  <c r="AC1686" i="48"/>
  <c r="BC1686" i="48" s="1"/>
  <c r="AC1056" i="48"/>
  <c r="BC1056" i="48" s="1"/>
  <c r="AB1094" i="48"/>
  <c r="AC1782" i="48"/>
  <c r="BC1782" i="48" s="1"/>
  <c r="AB1782" i="48"/>
  <c r="AC691" i="48"/>
  <c r="BC691" i="48" s="1"/>
  <c r="AC1350" i="48"/>
  <c r="BC1350" i="48" s="1"/>
  <c r="AB1350" i="48"/>
  <c r="AC568" i="48"/>
  <c r="BC568" i="48" s="1"/>
  <c r="AB568" i="48"/>
  <c r="AB1110" i="48"/>
  <c r="AC1110" i="48"/>
  <c r="BC1110" i="48" s="1"/>
  <c r="AB902" i="48"/>
  <c r="AC2052" i="48"/>
  <c r="BC2052" i="48" s="1"/>
  <c r="AB2052" i="48"/>
  <c r="AC760" i="48"/>
  <c r="BC760" i="48" s="1"/>
  <c r="AB760" i="48"/>
  <c r="AC1643" i="48"/>
  <c r="BC1643" i="48" s="1"/>
  <c r="AB1643" i="48"/>
  <c r="AP1643" i="48"/>
  <c r="AB992" i="48"/>
  <c r="AC992" i="48"/>
  <c r="BC992" i="48" s="1"/>
  <c r="AB943" i="48"/>
  <c r="AC943" i="48"/>
  <c r="BC943" i="48" s="1"/>
  <c r="AB1999" i="48"/>
  <c r="AC1999" i="48"/>
  <c r="BC1999" i="48" s="1"/>
  <c r="AC1503" i="48"/>
  <c r="BC1503" i="48" s="1"/>
  <c r="AB1503" i="48"/>
  <c r="AC1074" i="48"/>
  <c r="BC1074" i="48" s="1"/>
  <c r="AP1976" i="48"/>
  <c r="AC1976" i="48"/>
  <c r="BC1976" i="48" s="1"/>
  <c r="AB1976" i="48"/>
  <c r="AB1556" i="48"/>
  <c r="AC1556" i="48"/>
  <c r="BC1556" i="48" s="1"/>
  <c r="AB1408" i="48"/>
  <c r="AC1934" i="48"/>
  <c r="BC1934" i="48" s="1"/>
  <c r="AB1445" i="48"/>
  <c r="AC1445" i="48"/>
  <c r="BC1445" i="48" s="1"/>
  <c r="AM1174" i="48"/>
  <c r="AB1185" i="48"/>
  <c r="AB1068" i="48"/>
  <c r="AB1413" i="48"/>
  <c r="AC2000" i="48"/>
  <c r="BC2000" i="48" s="1"/>
  <c r="AC954" i="48"/>
  <c r="BC954" i="48" s="1"/>
  <c r="AC1803" i="48"/>
  <c r="BC1803" i="48" s="1"/>
  <c r="AC1102" i="48"/>
  <c r="BC1102" i="48" s="1"/>
  <c r="AB750" i="48"/>
  <c r="AC1094" i="48"/>
  <c r="BC1094" i="48" s="1"/>
  <c r="AN810" i="48"/>
  <c r="AC1858" i="48"/>
  <c r="BC1858" i="48" s="1"/>
  <c r="AB865" i="48"/>
  <c r="AC1657" i="48"/>
  <c r="BC1657" i="48" s="1"/>
  <c r="AB823" i="48"/>
  <c r="AM1485" i="48"/>
  <c r="AC1368" i="48"/>
  <c r="BC1368" i="48" s="1"/>
  <c r="AB739" i="48"/>
  <c r="AB1896" i="48"/>
  <c r="AB687" i="48"/>
  <c r="AC1308" i="48"/>
  <c r="BC1308" i="48" s="1"/>
  <c r="AC1994" i="48"/>
  <c r="BC1994" i="48" s="1"/>
  <c r="AP1037" i="48"/>
  <c r="AC1205" i="48"/>
  <c r="BC1205" i="48" s="1"/>
  <c r="AB789" i="48"/>
  <c r="AB1594" i="48"/>
  <c r="AB1816" i="48"/>
  <c r="AC1816" i="48"/>
  <c r="BC1816" i="48" s="1"/>
  <c r="AC976" i="48"/>
  <c r="BC976" i="48" s="1"/>
  <c r="AB976" i="48"/>
  <c r="AC1246" i="48"/>
  <c r="BC1246" i="48" s="1"/>
  <c r="AC1737" i="48"/>
  <c r="BC1737" i="48" s="1"/>
  <c r="AB1066" i="48"/>
  <c r="AB1502" i="48"/>
  <c r="AC1502" i="48"/>
  <c r="BC1502" i="48" s="1"/>
  <c r="AC986" i="48"/>
  <c r="BC986" i="48" s="1"/>
  <c r="AB986" i="48"/>
  <c r="AC1700" i="48"/>
  <c r="BC1700" i="48" s="1"/>
  <c r="AC1839" i="48"/>
  <c r="BC1839" i="48" s="1"/>
  <c r="AB1839" i="48"/>
  <c r="AC957" i="48"/>
  <c r="BC957" i="48" s="1"/>
  <c r="AC561" i="48"/>
  <c r="BC561" i="48" s="1"/>
  <c r="AC1722" i="48"/>
  <c r="BC1722" i="48" s="1"/>
  <c r="AB1706" i="48"/>
  <c r="AB1293" i="48"/>
  <c r="AC1293" i="48"/>
  <c r="BC1293" i="48" s="1"/>
  <c r="AM1293" i="48"/>
  <c r="AC1550" i="48"/>
  <c r="BC1550" i="48" s="1"/>
  <c r="AB1695" i="48"/>
  <c r="AC1613" i="48"/>
  <c r="BC1613" i="48" s="1"/>
  <c r="AB2034" i="48"/>
  <c r="AC2034" i="48"/>
  <c r="BC2034" i="48" s="1"/>
  <c r="AC1521" i="48"/>
  <c r="BC1521" i="48" s="1"/>
  <c r="AB1521" i="48"/>
  <c r="AB2042" i="48"/>
  <c r="AC614" i="48"/>
  <c r="BC614" i="48" s="1"/>
  <c r="AC1562" i="48"/>
  <c r="BC1562" i="48" s="1"/>
  <c r="AB1988" i="48"/>
  <c r="AP1552" i="48"/>
  <c r="AB1552" i="48"/>
  <c r="AC998" i="48"/>
  <c r="BC998" i="48" s="1"/>
  <c r="AB998" i="48"/>
  <c r="AB1275" i="48"/>
  <c r="AC1620" i="48"/>
  <c r="BC1620" i="48" s="1"/>
  <c r="AB1597" i="48"/>
  <c r="AC1213" i="48"/>
  <c r="BC1213" i="48" s="1"/>
  <c r="AC1104" i="48"/>
  <c r="BC1104" i="48" s="1"/>
  <c r="AC1138" i="48"/>
  <c r="BC1138" i="48" s="1"/>
  <c r="AB1138" i="48"/>
  <c r="AC599" i="48"/>
  <c r="BC599" i="48" s="1"/>
  <c r="AM599" i="48"/>
  <c r="AB1856" i="48"/>
  <c r="AC1459" i="48"/>
  <c r="BC1459" i="48" s="1"/>
  <c r="AB614" i="48"/>
  <c r="AB1360" i="48"/>
  <c r="AC1066" i="48"/>
  <c r="BC1066" i="48" s="1"/>
  <c r="AB599" i="48"/>
  <c r="AC1706" i="48"/>
  <c r="BC1706" i="48" s="1"/>
  <c r="AB1249" i="48"/>
  <c r="AC933" i="48"/>
  <c r="BC933" i="48" s="1"/>
  <c r="AB909" i="48"/>
  <c r="AC784" i="48"/>
  <c r="BC784" i="48" s="1"/>
  <c r="AB1117" i="48"/>
  <c r="AC1437" i="48"/>
  <c r="BC1437" i="48" s="1"/>
  <c r="AB1437" i="48"/>
  <c r="AB1037" i="48"/>
  <c r="AC1037" i="48"/>
  <c r="BC1037" i="48" s="1"/>
  <c r="AB603" i="48"/>
  <c r="AC603" i="48"/>
  <c r="BC603" i="48" s="1"/>
  <c r="AC1610" i="48"/>
  <c r="BC1610" i="48" s="1"/>
  <c r="AN1610" i="48"/>
  <c r="AB1290" i="48"/>
  <c r="AN1290" i="48"/>
  <c r="AC1290" i="48"/>
  <c r="BC1290" i="48" s="1"/>
  <c r="AB2032" i="48"/>
  <c r="AB689" i="48"/>
  <c r="AC689" i="48"/>
  <c r="BC689" i="48" s="1"/>
  <c r="AB1214" i="48"/>
  <c r="AC1214" i="48"/>
  <c r="BC1214" i="48" s="1"/>
  <c r="AB1913" i="48"/>
  <c r="AC839" i="48"/>
  <c r="BC839" i="48" s="1"/>
  <c r="AB839" i="48"/>
  <c r="AC1177" i="48"/>
  <c r="BC1177" i="48" s="1"/>
  <c r="AC1977" i="48"/>
  <c r="BC1977" i="48" s="1"/>
  <c r="AC789" i="48"/>
  <c r="BC789" i="48" s="1"/>
  <c r="AB790" i="48"/>
  <c r="AC1768" i="48"/>
  <c r="BC1768" i="48" s="1"/>
  <c r="AB1768" i="48"/>
  <c r="AB691" i="48"/>
  <c r="AB978" i="48"/>
  <c r="AC1896" i="48"/>
  <c r="BC1896" i="48" s="1"/>
  <c r="AB1819" i="48"/>
  <c r="AB1963" i="48"/>
  <c r="AB644" i="48"/>
  <c r="AC1838" i="48"/>
  <c r="BC1838" i="48" s="1"/>
  <c r="AB1808" i="48"/>
  <c r="AB1104" i="48"/>
  <c r="AC459" i="48"/>
  <c r="BC459" i="48" s="1"/>
  <c r="AB783" i="48"/>
  <c r="AL602" i="48"/>
  <c r="AC1726" i="48"/>
  <c r="BC1726" i="48" s="1"/>
  <c r="AB1786" i="48"/>
  <c r="AB1358" i="48"/>
  <c r="AC1856" i="48"/>
  <c r="BC1856" i="48" s="1"/>
  <c r="AB1477" i="48"/>
  <c r="AC644" i="48"/>
  <c r="BC644" i="48" s="1"/>
  <c r="AC1808" i="48"/>
  <c r="BC1808" i="48" s="1"/>
  <c r="AB1620" i="48"/>
  <c r="AC1597" i="48"/>
  <c r="BC1597" i="48" s="1"/>
  <c r="AC1695" i="48"/>
  <c r="BC1695" i="48" s="1"/>
  <c r="AB1737" i="48"/>
  <c r="AB602" i="48"/>
  <c r="AC562" i="48"/>
  <c r="BC562" i="48" s="1"/>
  <c r="AC1929" i="48"/>
  <c r="BC1929" i="48" s="1"/>
  <c r="AC1477" i="48"/>
  <c r="BC1477" i="48" s="1"/>
  <c r="AB1459" i="48"/>
  <c r="AB2035" i="48"/>
  <c r="AB957" i="48"/>
  <c r="AC1552" i="48"/>
  <c r="BC1552" i="48" s="1"/>
  <c r="AB1148" i="48"/>
  <c r="AB1060" i="48"/>
  <c r="AC960" i="48"/>
  <c r="BC960" i="48" s="1"/>
  <c r="AB1373" i="48"/>
  <c r="AO1373" i="48"/>
  <c r="AC1076" i="48"/>
  <c r="BC1076" i="48" s="1"/>
  <c r="AC1513" i="48"/>
  <c r="BC1513" i="48" s="1"/>
  <c r="AC1509" i="48"/>
  <c r="BC1509" i="48" s="1"/>
  <c r="AL826" i="48"/>
  <c r="AB826" i="48"/>
  <c r="AC1251" i="48"/>
  <c r="BC1251" i="48" s="1"/>
  <c r="AB1996" i="48"/>
  <c r="AC1996" i="48"/>
  <c r="BC1996" i="48" s="1"/>
  <c r="AC1001" i="48"/>
  <c r="BC1001" i="48" s="1"/>
  <c r="AB727" i="48"/>
  <c r="AC727" i="48"/>
  <c r="BC727" i="48" s="1"/>
  <c r="AC1720" i="48"/>
  <c r="BC1720" i="48" s="1"/>
  <c r="AB1720" i="48"/>
  <c r="AB1010" i="48"/>
  <c r="AC1010" i="48"/>
  <c r="BC1010" i="48" s="1"/>
  <c r="AC721" i="48"/>
  <c r="BC721" i="48" s="1"/>
  <c r="AB721" i="48"/>
  <c r="AC2024" i="48"/>
  <c r="BC2024" i="48" s="1"/>
  <c r="AB2024" i="48"/>
  <c r="AC1065" i="48"/>
  <c r="BC1065" i="48" s="1"/>
  <c r="AC1800" i="48"/>
  <c r="BC1800" i="48" s="1"/>
  <c r="AB1800" i="48"/>
  <c r="AC640" i="48"/>
  <c r="BC640" i="48" s="1"/>
  <c r="AB1851" i="48"/>
  <c r="AC1396" i="48"/>
  <c r="BC1396" i="48" s="1"/>
  <c r="AC1126" i="48"/>
  <c r="BC1126" i="48" s="1"/>
  <c r="AB1126" i="48"/>
  <c r="AB1844" i="48"/>
  <c r="AB987" i="48"/>
  <c r="AB1535" i="48"/>
  <c r="AC1926" i="48"/>
  <c r="BC1926" i="48" s="1"/>
  <c r="AK1926" i="48"/>
  <c r="AB1926" i="48"/>
  <c r="AB1927" i="48"/>
  <c r="AC1927" i="48"/>
  <c r="BC1927" i="48" s="1"/>
  <c r="AC722" i="48"/>
  <c r="BC722" i="48" s="1"/>
  <c r="AB722" i="48"/>
  <c r="AC1216" i="48"/>
  <c r="BC1216" i="48" s="1"/>
  <c r="AC1148" i="48"/>
  <c r="BC1148" i="48" s="1"/>
  <c r="AB1899" i="48"/>
  <c r="AC1060" i="48"/>
  <c r="BC1060" i="48" s="1"/>
  <c r="AC765" i="48"/>
  <c r="BC765" i="48" s="1"/>
  <c r="AB1769" i="48"/>
  <c r="AC1769" i="48"/>
  <c r="BC1769" i="48" s="1"/>
  <c r="AB1243" i="48"/>
  <c r="AB1540" i="48"/>
  <c r="AC1825" i="48"/>
  <c r="BC1825" i="48" s="1"/>
  <c r="AB1825" i="48"/>
  <c r="AB1868" i="48"/>
  <c r="AC1868" i="48"/>
  <c r="BC1868" i="48" s="1"/>
  <c r="AB571" i="48"/>
  <c r="AB1012" i="48"/>
  <c r="AB566" i="48"/>
  <c r="AC566" i="48"/>
  <c r="BC566" i="48" s="1"/>
  <c r="AL918" i="48"/>
  <c r="AC634" i="48"/>
  <c r="BC634" i="48" s="1"/>
  <c r="AB634" i="48"/>
  <c r="AB1134" i="48"/>
  <c r="AB937" i="48"/>
  <c r="AC1380" i="48"/>
  <c r="BC1380" i="48" s="1"/>
  <c r="AC1090" i="48"/>
  <c r="BC1090" i="48" s="1"/>
  <c r="AB2043" i="48"/>
  <c r="AC1712" i="48"/>
  <c r="BC1712" i="48" s="1"/>
  <c r="AB1712" i="48"/>
  <c r="AB2029" i="48"/>
  <c r="AB1692" i="48"/>
  <c r="AC1692" i="48"/>
  <c r="BC1692" i="48" s="1"/>
  <c r="AC1130" i="48"/>
  <c r="BC1130" i="48" s="1"/>
  <c r="AB996" i="48"/>
  <c r="AB893" i="48"/>
  <c r="AC812" i="48"/>
  <c r="BC812" i="48" s="1"/>
  <c r="AB1028" i="48"/>
  <c r="AC1399" i="48"/>
  <c r="BC1399" i="48" s="1"/>
  <c r="AC749" i="48"/>
  <c r="BC749" i="48" s="1"/>
  <c r="AB749" i="48"/>
  <c r="AC964" i="48"/>
  <c r="BC964" i="48" s="1"/>
  <c r="AB1451" i="48"/>
  <c r="AC1451" i="48"/>
  <c r="BC1451" i="48" s="1"/>
  <c r="AB1740" i="48"/>
  <c r="AC1740" i="48"/>
  <c r="BC1740" i="48" s="1"/>
  <c r="AB2030" i="48"/>
  <c r="AB889" i="48"/>
  <c r="AB831" i="48"/>
  <c r="AB772" i="48"/>
  <c r="AB1525" i="48"/>
  <c r="AB1647" i="48"/>
  <c r="AC937" i="48"/>
  <c r="BC937" i="48" s="1"/>
  <c r="AB1317" i="48"/>
  <c r="AC996" i="48"/>
  <c r="BC996" i="48" s="1"/>
  <c r="AC989" i="48"/>
  <c r="BC989" i="48" s="1"/>
  <c r="AC2043" i="48"/>
  <c r="BC2043" i="48" s="1"/>
  <c r="AB1379" i="48"/>
  <c r="AO1825" i="48"/>
  <c r="AC1578" i="48"/>
  <c r="BC1578" i="48" s="1"/>
  <c r="AB1578" i="48"/>
  <c r="AC1958" i="48"/>
  <c r="BC1958" i="48" s="1"/>
  <c r="AB1323" i="48"/>
  <c r="AC1323" i="48"/>
  <c r="BC1323" i="48" s="1"/>
  <c r="AC1264" i="48"/>
  <c r="BC1264" i="48" s="1"/>
  <c r="AC742" i="48"/>
  <c r="BC742" i="48" s="1"/>
  <c r="AC1640" i="48"/>
  <c r="BC1640" i="48" s="1"/>
  <c r="AB1959" i="48"/>
  <c r="AB1363" i="48"/>
  <c r="AB1958" i="48"/>
  <c r="AC1012" i="48"/>
  <c r="BC1012" i="48" s="1"/>
  <c r="AB918" i="48"/>
  <c r="AC1911" i="48"/>
  <c r="BC1911" i="48" s="1"/>
  <c r="AC1317" i="48"/>
  <c r="BC1317" i="48" s="1"/>
  <c r="AB989" i="48"/>
  <c r="AC1134" i="48"/>
  <c r="BC1134" i="48" s="1"/>
  <c r="AB964" i="48"/>
  <c r="AC947" i="48"/>
  <c r="BC947" i="48" s="1"/>
  <c r="AC1114" i="48"/>
  <c r="BC1114" i="48" s="1"/>
  <c r="AC1072" i="48"/>
  <c r="BC1072" i="48" s="1"/>
  <c r="AB1072" i="48"/>
  <c r="AC1831" i="48"/>
  <c r="BC1831" i="48" s="1"/>
  <c r="AC1898" i="48"/>
  <c r="BC1898" i="48" s="1"/>
  <c r="AB1898" i="48"/>
  <c r="AB1343" i="48"/>
  <c r="AC1343" i="48"/>
  <c r="BC1343" i="48" s="1"/>
  <c r="AC1249" i="48"/>
  <c r="BC1249" i="48" s="1"/>
  <c r="AC1864" i="48"/>
  <c r="BC1864" i="48" s="1"/>
  <c r="AB933" i="48"/>
  <c r="AC649" i="48"/>
  <c r="BC649" i="48" s="1"/>
  <c r="AB649" i="48"/>
  <c r="AB1981" i="48"/>
  <c r="AP1981" i="48"/>
  <c r="AC1981" i="48"/>
  <c r="BC1981" i="48" s="1"/>
  <c r="AC909" i="48"/>
  <c r="BC909" i="48" s="1"/>
  <c r="AC1374" i="48"/>
  <c r="BC1374" i="48" s="1"/>
  <c r="AB1374" i="48"/>
  <c r="AC1869" i="48"/>
  <c r="BC1869" i="48" s="1"/>
  <c r="AB1869" i="48"/>
  <c r="AB1919" i="48"/>
  <c r="AC1919" i="48"/>
  <c r="BC1919" i="48" s="1"/>
  <c r="AB1258" i="48"/>
  <c r="AB1056" i="48"/>
  <c r="AC1337" i="48"/>
  <c r="BC1337" i="48" s="1"/>
  <c r="AB1292" i="48"/>
  <c r="AB1425" i="48"/>
  <c r="AC1425" i="48"/>
  <c r="BC1425" i="48" s="1"/>
  <c r="AC1291" i="48"/>
  <c r="BC1291" i="48" s="1"/>
  <c r="AC1140" i="48"/>
  <c r="BC1140" i="48" s="1"/>
  <c r="AB784" i="48"/>
  <c r="AC1485" i="48"/>
  <c r="BC1485" i="48" s="1"/>
  <c r="AB1279" i="48"/>
  <c r="AC1117" i="48"/>
  <c r="BC1117" i="48" s="1"/>
  <c r="AC1481" i="48"/>
  <c r="BC1481" i="48" s="1"/>
  <c r="AB1481" i="48"/>
  <c r="AB597" i="48"/>
  <c r="AC597" i="48"/>
  <c r="BC597" i="48" s="1"/>
  <c r="AM2040" i="48"/>
  <c r="AB2040" i="48"/>
  <c r="AC2040" i="48"/>
  <c r="BC2040" i="48" s="1"/>
  <c r="AB1908" i="48"/>
  <c r="AC1908" i="48"/>
  <c r="BC1908" i="48" s="1"/>
  <c r="AM792" i="48"/>
  <c r="AB792" i="48"/>
  <c r="AB1430" i="48"/>
  <c r="AC1736" i="48"/>
  <c r="BC1736" i="48" s="1"/>
  <c r="AB1736" i="48"/>
  <c r="AC1735" i="48"/>
  <c r="BC1735" i="48" s="1"/>
  <c r="AB1735" i="48"/>
  <c r="AB658" i="48"/>
  <c r="AC658" i="48"/>
  <c r="BC658" i="48" s="1"/>
  <c r="AB1044" i="48"/>
  <c r="AC1044" i="48"/>
  <c r="BC1044" i="48" s="1"/>
  <c r="AC1133" i="48"/>
  <c r="BC1133" i="48" s="1"/>
  <c r="AC1520" i="48"/>
  <c r="BC1520" i="48" s="1"/>
  <c r="AP1520" i="48"/>
  <c r="AC1131" i="48"/>
  <c r="BC1131" i="48" s="1"/>
  <c r="AC919" i="48"/>
  <c r="BC919" i="48" s="1"/>
  <c r="AB1584" i="48"/>
  <c r="AC1584" i="48"/>
  <c r="BC1584" i="48" s="1"/>
  <c r="AC1685" i="48"/>
  <c r="BC1685" i="48" s="1"/>
  <c r="AB1685" i="48"/>
  <c r="AC792" i="48"/>
  <c r="BC792" i="48" s="1"/>
  <c r="AC1435" i="48"/>
  <c r="BC1435" i="48" s="1"/>
  <c r="AC1571" i="48"/>
  <c r="BC1571" i="48" s="1"/>
  <c r="AB1862" i="48"/>
  <c r="AC1862" i="48"/>
  <c r="BC1862" i="48" s="1"/>
  <c r="AB813" i="48"/>
  <c r="AB797" i="48"/>
  <c r="AC797" i="48"/>
  <c r="BC797" i="48" s="1"/>
  <c r="AC1852" i="48"/>
  <c r="BC1852" i="48" s="1"/>
  <c r="AB1885" i="48"/>
  <c r="AB1581" i="48"/>
  <c r="AC1499" i="48"/>
  <c r="BC1499" i="48" s="1"/>
  <c r="AB1499" i="48"/>
  <c r="AC1379" i="48"/>
  <c r="BC1379" i="48" s="1"/>
  <c r="AB1905" i="48"/>
  <c r="AB1514" i="48"/>
  <c r="AC1514" i="48"/>
  <c r="BC1514" i="48" s="1"/>
  <c r="AK1514" i="48"/>
  <c r="AC576" i="48"/>
  <c r="BC576" i="48" s="1"/>
  <c r="AB576" i="48"/>
  <c r="AC2029" i="48"/>
  <c r="BC2029" i="48" s="1"/>
  <c r="AC813" i="48"/>
  <c r="BC813" i="48" s="1"/>
  <c r="AB919" i="48"/>
  <c r="AB459" i="48"/>
  <c r="AC1525" i="48"/>
  <c r="BC1525" i="48" s="1"/>
  <c r="AC793" i="48"/>
  <c r="BC793" i="48" s="1"/>
  <c r="AB1131" i="48"/>
  <c r="AC893" i="48"/>
  <c r="BC893" i="48" s="1"/>
  <c r="AC1540" i="48"/>
  <c r="BC1540" i="48" s="1"/>
  <c r="AC1243" i="48"/>
  <c r="BC1243" i="48" s="1"/>
  <c r="AK1578" i="48"/>
  <c r="AC1020" i="48"/>
  <c r="BC1020" i="48" s="1"/>
  <c r="AB1399" i="48"/>
  <c r="AM1769" i="48"/>
  <c r="AB1864" i="48"/>
  <c r="AB1140" i="48"/>
  <c r="AC578" i="48"/>
  <c r="BC578" i="48" s="1"/>
  <c r="AB578" i="48"/>
  <c r="AC2014" i="48"/>
  <c r="BC2014" i="48" s="1"/>
  <c r="AB1474" i="48"/>
  <c r="AB590" i="48"/>
  <c r="AB1182" i="48"/>
  <c r="AC1182" i="48"/>
  <c r="BC1182" i="48" s="1"/>
  <c r="AC889" i="48"/>
  <c r="BC889" i="48" s="1"/>
  <c r="AB1911" i="48"/>
  <c r="AC686" i="48"/>
  <c r="BC686" i="48" s="1"/>
  <c r="AB686" i="48"/>
  <c r="AN686" i="48"/>
  <c r="AB1537" i="48"/>
  <c r="AB1133" i="48"/>
  <c r="AC1863" i="48"/>
  <c r="BC1863" i="48" s="1"/>
  <c r="AB1863" i="48"/>
  <c r="AB1595" i="48"/>
  <c r="AB912" i="48"/>
  <c r="AC912" i="48"/>
  <c r="BC912" i="48" s="1"/>
  <c r="AC676" i="48"/>
  <c r="BC676" i="48" s="1"/>
  <c r="AB676" i="48"/>
  <c r="AB947" i="48"/>
  <c r="AC1647" i="48"/>
  <c r="BC1647" i="48" s="1"/>
  <c r="AP1243" i="48"/>
  <c r="AC918" i="48"/>
  <c r="BC918" i="48" s="1"/>
  <c r="AB1520" i="48"/>
  <c r="AB296" i="48"/>
  <c r="AC509" i="48"/>
  <c r="BC509" i="48" s="1"/>
  <c r="AC772" i="48"/>
  <c r="BC772" i="48" s="1"/>
  <c r="AC571" i="48"/>
  <c r="BC571" i="48" s="1"/>
  <c r="AB1130" i="48"/>
  <c r="AB793" i="48"/>
  <c r="AB812" i="48"/>
  <c r="AB1380" i="48"/>
  <c r="AP578" i="48"/>
  <c r="AC1002" i="48"/>
  <c r="BC1002" i="48" s="1"/>
  <c r="AB1020" i="48"/>
  <c r="AC1147" i="48"/>
  <c r="BC1147" i="48" s="1"/>
  <c r="AN947" i="48"/>
  <c r="AC1258" i="48"/>
  <c r="BC1258" i="48" s="1"/>
  <c r="AK1541" i="48"/>
  <c r="AC1541" i="48"/>
  <c r="BC1541" i="48" s="1"/>
  <c r="AB1686" i="48"/>
  <c r="AC1160" i="48"/>
  <c r="BC1160" i="48" s="1"/>
  <c r="AB1842" i="48"/>
  <c r="AB1925" i="48"/>
  <c r="AC1925" i="48"/>
  <c r="BC1925" i="48" s="1"/>
  <c r="AC1423" i="48"/>
  <c r="BC1423" i="48" s="1"/>
  <c r="AB1423" i="48"/>
  <c r="AC935" i="48"/>
  <c r="BC935" i="48" s="1"/>
  <c r="AB1269" i="48"/>
  <c r="AB1518" i="48"/>
  <c r="AC1455" i="48"/>
  <c r="BC1455" i="48" s="1"/>
  <c r="AC1594" i="48"/>
  <c r="BC1594" i="48" s="1"/>
  <c r="AL740" i="48"/>
  <c r="AP1535" i="48"/>
  <c r="AO1535" i="48"/>
  <c r="AN1535" i="48"/>
  <c r="AK1535" i="48"/>
  <c r="AM1535" i="48"/>
  <c r="AL1535" i="48"/>
  <c r="AP1517" i="48"/>
  <c r="AO1517" i="48"/>
  <c r="AN1517" i="48"/>
  <c r="AK1517" i="48"/>
  <c r="AM1517" i="48"/>
  <c r="AL1517" i="48"/>
  <c r="AP1253" i="48"/>
  <c r="AN731" i="48"/>
  <c r="AM731" i="48"/>
  <c r="AL731" i="48"/>
  <c r="AP731" i="48"/>
  <c r="AO731" i="48"/>
  <c r="AK731" i="48"/>
  <c r="AO1342" i="48"/>
  <c r="AN1342" i="48"/>
  <c r="AM1342" i="48"/>
  <c r="AL1342" i="48"/>
  <c r="AP1342" i="48"/>
  <c r="AK1342" i="48"/>
  <c r="AN1050" i="48"/>
  <c r="AP1854" i="48"/>
  <c r="AO1854" i="48"/>
  <c r="AN1854" i="48"/>
  <c r="AK1854" i="48"/>
  <c r="AL1854" i="48"/>
  <c r="AM1854" i="48"/>
  <c r="AO1453" i="48"/>
  <c r="AM1453" i="48"/>
  <c r="AL1453" i="48"/>
  <c r="AN1699" i="48"/>
  <c r="AM1699" i="48"/>
  <c r="AL1699" i="48"/>
  <c r="AP1699" i="48"/>
  <c r="AO1699" i="48"/>
  <c r="AK1699" i="48"/>
  <c r="AN1871" i="48"/>
  <c r="AP1331" i="48"/>
  <c r="AL1331" i="48"/>
  <c r="AM2009" i="48"/>
  <c r="AK2009" i="48"/>
  <c r="AO2009" i="48"/>
  <c r="AP2009" i="48"/>
  <c r="AN2009" i="48"/>
  <c r="AL2009" i="48"/>
  <c r="AN820" i="48"/>
  <c r="AP820" i="48"/>
  <c r="AK974" i="48"/>
  <c r="AN974" i="48"/>
  <c r="AM974" i="48"/>
  <c r="AP974" i="48"/>
  <c r="AO974" i="48"/>
  <c r="AL974" i="48"/>
  <c r="AL646" i="48"/>
  <c r="AM1144" i="48"/>
  <c r="AK1144" i="48"/>
  <c r="AP1034" i="48"/>
  <c r="AM1034" i="48"/>
  <c r="AK1034" i="48"/>
  <c r="AO1034" i="48"/>
  <c r="AN1034" i="48"/>
  <c r="AL1034" i="48"/>
  <c r="AL1920" i="48"/>
  <c r="AO591" i="48"/>
  <c r="AN591" i="48"/>
  <c r="AK774" i="48"/>
  <c r="AN774" i="48"/>
  <c r="AM774" i="48"/>
  <c r="AL774" i="48"/>
  <c r="AP774" i="48"/>
  <c r="AO774" i="48"/>
  <c r="AN1670" i="48"/>
  <c r="AM1670" i="48"/>
  <c r="AL1670" i="48"/>
  <c r="AP1670" i="48"/>
  <c r="AO1670" i="48"/>
  <c r="AK1670" i="48"/>
  <c r="AM1016" i="48"/>
  <c r="AO1016" i="48"/>
  <c r="AP1788" i="48"/>
  <c r="AK1142" i="48"/>
  <c r="AP1063" i="48"/>
  <c r="AM1063" i="48"/>
  <c r="AN1063" i="48"/>
  <c r="AO1063" i="48"/>
  <c r="AK1063" i="48"/>
  <c r="AL1063" i="48"/>
  <c r="AM1271" i="48"/>
  <c r="AL824" i="48"/>
  <c r="AM620" i="48"/>
  <c r="AL620" i="48"/>
  <c r="AK620" i="48"/>
  <c r="AP620" i="48"/>
  <c r="AN620" i="48"/>
  <c r="AO620" i="48"/>
  <c r="AP625" i="48"/>
  <c r="AN1927" i="48"/>
  <c r="AM1927" i="48"/>
  <c r="AO1927" i="48"/>
  <c r="AL1927" i="48"/>
  <c r="AP1927" i="48"/>
  <c r="AK1927" i="48"/>
  <c r="AP1045" i="48"/>
  <c r="AM1045" i="48"/>
  <c r="AK1045" i="48"/>
  <c r="AO1045" i="48"/>
  <c r="AN1045" i="48"/>
  <c r="AL1045" i="48"/>
  <c r="AP2016" i="48"/>
  <c r="AM2016" i="48"/>
  <c r="AN2016" i="48"/>
  <c r="AL2016" i="48"/>
  <c r="AO2016" i="48"/>
  <c r="AK2016" i="48"/>
  <c r="AM628" i="48"/>
  <c r="AL628" i="48"/>
  <c r="AK628" i="48"/>
  <c r="AP628" i="48"/>
  <c r="AN628" i="48"/>
  <c r="AO628" i="48"/>
  <c r="AO1248" i="48"/>
  <c r="AM1248" i="48"/>
  <c r="AP1248" i="48"/>
  <c r="AN1248" i="48"/>
  <c r="AL1248" i="48"/>
  <c r="AK1248" i="48"/>
  <c r="AK900" i="48"/>
  <c r="AN900" i="48"/>
  <c r="AP900" i="48"/>
  <c r="AO900" i="48"/>
  <c r="AM900" i="48"/>
  <c r="AL900" i="48"/>
  <c r="AK760" i="48"/>
  <c r="AN760" i="48"/>
  <c r="AP760" i="48"/>
  <c r="AO760" i="48"/>
  <c r="AM760" i="48"/>
  <c r="AL760" i="48"/>
  <c r="AO1850" i="48"/>
  <c r="AN1850" i="48"/>
  <c r="AK1850" i="48"/>
  <c r="AL1850" i="48"/>
  <c r="AK854" i="48"/>
  <c r="AN854" i="48"/>
  <c r="AM854" i="48"/>
  <c r="AO854" i="48"/>
  <c r="AP854" i="48"/>
  <c r="AL854" i="48"/>
  <c r="AM853" i="48"/>
  <c r="AN1749" i="48"/>
  <c r="AM1749" i="48"/>
  <c r="AL1749" i="48"/>
  <c r="AP1749" i="48"/>
  <c r="AO1749" i="48"/>
  <c r="AK1749" i="48"/>
  <c r="AN724" i="48"/>
  <c r="AM724" i="48"/>
  <c r="AL724" i="48"/>
  <c r="AP724" i="48"/>
  <c r="AO724" i="48"/>
  <c r="AK724" i="48"/>
  <c r="AK946" i="48"/>
  <c r="AO946" i="48"/>
  <c r="AL946" i="48"/>
  <c r="AM616" i="48"/>
  <c r="AL616" i="48"/>
  <c r="AK616" i="48"/>
  <c r="AP616" i="48"/>
  <c r="AN616" i="48"/>
  <c r="AO616" i="48"/>
  <c r="AL1245" i="48"/>
  <c r="AK762" i="48"/>
  <c r="AN762" i="48"/>
  <c r="AP762" i="48"/>
  <c r="AL762" i="48"/>
  <c r="AO762" i="48"/>
  <c r="AM762" i="48"/>
  <c r="AB515" i="48"/>
  <c r="AC515" i="48"/>
  <c r="BC515" i="48" s="1"/>
  <c r="AB535" i="48"/>
  <c r="AC535" i="48"/>
  <c r="BC535" i="48" s="1"/>
  <c r="AN1962" i="48"/>
  <c r="AM1962" i="48"/>
  <c r="AP1962" i="48"/>
  <c r="AK1962" i="48"/>
  <c r="AL1962" i="48"/>
  <c r="AO1962" i="48"/>
  <c r="AO1335" i="48"/>
  <c r="AN1335" i="48"/>
  <c r="AM1335" i="48"/>
  <c r="AP1335" i="48"/>
  <c r="AK1335" i="48"/>
  <c r="AL1335" i="48"/>
  <c r="AO906" i="48"/>
  <c r="AB359" i="48"/>
  <c r="AP1466" i="48"/>
  <c r="AO1466" i="48"/>
  <c r="AN1466" i="48"/>
  <c r="AK1466" i="48"/>
  <c r="AM1466" i="48"/>
  <c r="AL1466" i="48"/>
  <c r="AO1426" i="48"/>
  <c r="AP1103" i="48"/>
  <c r="AM1103" i="48"/>
  <c r="AM1125" i="48"/>
  <c r="AO1125" i="48"/>
  <c r="AK1125" i="48"/>
  <c r="AP1108" i="48"/>
  <c r="AM1108" i="48"/>
  <c r="AN1108" i="48"/>
  <c r="AK1108" i="48"/>
  <c r="AL1108" i="48"/>
  <c r="AO1108" i="48"/>
  <c r="AK814" i="48"/>
  <c r="AN814" i="48"/>
  <c r="AM814" i="48"/>
  <c r="AL814" i="48"/>
  <c r="AO814" i="48"/>
  <c r="AP814" i="48"/>
  <c r="AM1371" i="48"/>
  <c r="AN1371" i="48"/>
  <c r="AL1371" i="48"/>
  <c r="AO1371" i="48"/>
  <c r="AP1371" i="48"/>
  <c r="AK1371" i="48"/>
  <c r="AP1607" i="48"/>
  <c r="AN1700" i="48"/>
  <c r="AL1700" i="48"/>
  <c r="AP1054" i="48"/>
  <c r="AM1054" i="48"/>
  <c r="AN1054" i="48"/>
  <c r="AL1054" i="48"/>
  <c r="AK1054" i="48"/>
  <c r="AO1054" i="48"/>
  <c r="AN1910" i="48"/>
  <c r="AM1910" i="48"/>
  <c r="AL1910" i="48"/>
  <c r="AP1910" i="48"/>
  <c r="AO1910" i="48"/>
  <c r="AK1910" i="48"/>
  <c r="AO886" i="48"/>
  <c r="AK872" i="48"/>
  <c r="AN872" i="48"/>
  <c r="AL872" i="48"/>
  <c r="AP872" i="48"/>
  <c r="AM872" i="48"/>
  <c r="AO872" i="48"/>
  <c r="AM1414" i="48"/>
  <c r="AK1414" i="48"/>
  <c r="AP1414" i="48"/>
  <c r="AO1414" i="48"/>
  <c r="AN1414" i="48"/>
  <c r="AL1414" i="48"/>
  <c r="AM1373" i="48"/>
  <c r="AN1373" i="48"/>
  <c r="AL1373" i="48"/>
  <c r="AK1373" i="48"/>
  <c r="AO1236" i="48"/>
  <c r="AM1236" i="48"/>
  <c r="AP1236" i="48"/>
  <c r="AN1236" i="48"/>
  <c r="AL1236" i="48"/>
  <c r="AK1236" i="48"/>
  <c r="AM1754" i="48"/>
  <c r="AL1754" i="48"/>
  <c r="AK1754" i="48"/>
  <c r="AP1754" i="48"/>
  <c r="AN1754" i="48"/>
  <c r="AO1754" i="48"/>
  <c r="AN1907" i="48"/>
  <c r="AP1907" i="48"/>
  <c r="AO1907" i="48"/>
  <c r="AM1907" i="48"/>
  <c r="AL1907" i="48"/>
  <c r="AK1907" i="48"/>
  <c r="AN659" i="48"/>
  <c r="AN1650" i="48"/>
  <c r="AM1650" i="48"/>
  <c r="AK1650" i="48"/>
  <c r="AP1650" i="48"/>
  <c r="AO1650" i="48"/>
  <c r="AL1650" i="48"/>
  <c r="AN1903" i="48"/>
  <c r="AP1903" i="48"/>
  <c r="AO1903" i="48"/>
  <c r="AM1903" i="48"/>
  <c r="AK1903" i="48"/>
  <c r="AL1903" i="48"/>
  <c r="AL2040" i="48"/>
  <c r="AP2040" i="48"/>
  <c r="AO1266" i="48"/>
  <c r="AN1266" i="48"/>
  <c r="AM1266" i="48"/>
  <c r="AP1266" i="48"/>
  <c r="AL1266" i="48"/>
  <c r="AK1266" i="48"/>
  <c r="AP1038" i="48"/>
  <c r="AM1038" i="48"/>
  <c r="AK1038" i="48"/>
  <c r="AO1038" i="48"/>
  <c r="AN1038" i="48"/>
  <c r="AL1038" i="48"/>
  <c r="AK748" i="48"/>
  <c r="AM581" i="48"/>
  <c r="AN1787" i="48"/>
  <c r="AM1787" i="48"/>
  <c r="AL1787" i="48"/>
  <c r="AO1787" i="48"/>
  <c r="AK1787" i="48"/>
  <c r="AP1787" i="48"/>
  <c r="AK843" i="48"/>
  <c r="AN843" i="48"/>
  <c r="AM843" i="48"/>
  <c r="AP843" i="48"/>
  <c r="AO843" i="48"/>
  <c r="AL843" i="48"/>
  <c r="AN1932" i="48"/>
  <c r="AK1932" i="48"/>
  <c r="AO1932" i="48"/>
  <c r="AP1932" i="48"/>
  <c r="AL1932" i="48"/>
  <c r="AM1932" i="48"/>
  <c r="AC418" i="48"/>
  <c r="BC418" i="48" s="1"/>
  <c r="AB389" i="48"/>
  <c r="AC389" i="48"/>
  <c r="BC389" i="48" s="1"/>
  <c r="AB548" i="48"/>
  <c r="AC548" i="48"/>
  <c r="BC548" i="48" s="1"/>
  <c r="AP1032" i="48"/>
  <c r="AM1032" i="48"/>
  <c r="AK1032" i="48"/>
  <c r="AO1032" i="48"/>
  <c r="AL1032" i="48"/>
  <c r="AN1032" i="48"/>
  <c r="AK818" i="48"/>
  <c r="AN818" i="48"/>
  <c r="AP818" i="48"/>
  <c r="AL818" i="48"/>
  <c r="AO818" i="48"/>
  <c r="AM818" i="48"/>
  <c r="AP1143" i="48"/>
  <c r="AM1143" i="48"/>
  <c r="AN1143" i="48"/>
  <c r="AO1143" i="48"/>
  <c r="AK1143" i="48"/>
  <c r="AL1143" i="48"/>
  <c r="AN1676" i="48"/>
  <c r="AM1676" i="48"/>
  <c r="AL1676" i="48"/>
  <c r="AP1676" i="48"/>
  <c r="AO1676" i="48"/>
  <c r="AK1676" i="48"/>
  <c r="AN674" i="48"/>
  <c r="AK674" i="48"/>
  <c r="AO674" i="48"/>
  <c r="AP674" i="48"/>
  <c r="AL674" i="48"/>
  <c r="AM674" i="48"/>
  <c r="AP1628" i="48"/>
  <c r="AO1628" i="48"/>
  <c r="AN1628" i="48"/>
  <c r="AM1628" i="48"/>
  <c r="AL1628" i="48"/>
  <c r="AK1628" i="48"/>
  <c r="AK966" i="48"/>
  <c r="AN966" i="48"/>
  <c r="AM966" i="48"/>
  <c r="AO966" i="48"/>
  <c r="AP966" i="48"/>
  <c r="AL966" i="48"/>
  <c r="AK870" i="48"/>
  <c r="AN870" i="48"/>
  <c r="AM870" i="48"/>
  <c r="AO870" i="48"/>
  <c r="AP870" i="48"/>
  <c r="AL870" i="48"/>
  <c r="AO1212" i="48"/>
  <c r="AP1212" i="48"/>
  <c r="AL1212" i="48"/>
  <c r="AN1212" i="48"/>
  <c r="AM1212" i="48"/>
  <c r="AK1212" i="48"/>
  <c r="AN706" i="48"/>
  <c r="AM706" i="48"/>
  <c r="AL706" i="48"/>
  <c r="AP706" i="48"/>
  <c r="AO706" i="48"/>
  <c r="AK706" i="48"/>
  <c r="AO630" i="48"/>
  <c r="AN1744" i="48"/>
  <c r="AM1744" i="48"/>
  <c r="AL1744" i="48"/>
  <c r="AP1744" i="48"/>
  <c r="AO1744" i="48"/>
  <c r="AK1744" i="48"/>
  <c r="AP1157" i="48"/>
  <c r="AM1157" i="48"/>
  <c r="AN1157" i="48"/>
  <c r="AO1157" i="48"/>
  <c r="AL1157" i="48"/>
  <c r="AK1157" i="48"/>
  <c r="AP1491" i="48"/>
  <c r="AN1277" i="48"/>
  <c r="AM1277" i="48"/>
  <c r="AK1277" i="48"/>
  <c r="AL1277" i="48"/>
  <c r="AK781" i="48"/>
  <c r="AN781" i="48"/>
  <c r="AL781" i="48"/>
  <c r="AP781" i="48"/>
  <c r="AO781" i="48"/>
  <c r="AM781" i="48"/>
  <c r="AP1829" i="48"/>
  <c r="AM635" i="48"/>
  <c r="AL635" i="48"/>
  <c r="AK635" i="48"/>
  <c r="AP635" i="48"/>
  <c r="AO635" i="48"/>
  <c r="AN635" i="48"/>
  <c r="AC423" i="48"/>
  <c r="BC423" i="48" s="1"/>
  <c r="AP2023" i="48"/>
  <c r="AM2023" i="48"/>
  <c r="AN2023" i="48"/>
  <c r="AO2023" i="48"/>
  <c r="AL2023" i="48"/>
  <c r="AK2023" i="48"/>
  <c r="AP1834" i="48"/>
  <c r="AN1834" i="48"/>
  <c r="AM1834" i="48"/>
  <c r="AL1834" i="48"/>
  <c r="AK1834" i="48"/>
  <c r="AO1834" i="48"/>
  <c r="AN837" i="48"/>
  <c r="AB383" i="48"/>
  <c r="AC383" i="48"/>
  <c r="BC383" i="48" s="1"/>
  <c r="AP1055" i="48"/>
  <c r="AM1055" i="48"/>
  <c r="AN1055" i="48"/>
  <c r="AO1055" i="48"/>
  <c r="AK1055" i="48"/>
  <c r="AL1055" i="48"/>
  <c r="AK808" i="48"/>
  <c r="AM808" i="48"/>
  <c r="AL808" i="48"/>
  <c r="AL1591" i="48"/>
  <c r="AO1281" i="48"/>
  <c r="AN1281" i="48"/>
  <c r="AM1281" i="48"/>
  <c r="AL1281" i="48"/>
  <c r="AK1281" i="48"/>
  <c r="AP1281" i="48"/>
  <c r="AO1183" i="48"/>
  <c r="AP1183" i="48"/>
  <c r="AN1183" i="48"/>
  <c r="AK1183" i="48"/>
  <c r="AM1183" i="48"/>
  <c r="AL1183" i="48"/>
  <c r="AO800" i="48"/>
  <c r="AO1280" i="48"/>
  <c r="AN1280" i="48"/>
  <c r="AM1280" i="48"/>
  <c r="AK1280" i="48"/>
  <c r="AL1280" i="48"/>
  <c r="AP1280" i="48"/>
  <c r="AP1507" i="48"/>
  <c r="AN1507" i="48"/>
  <c r="AM1507" i="48"/>
  <c r="AN753" i="48"/>
  <c r="AM753" i="48"/>
  <c r="AL753" i="48"/>
  <c r="AP753" i="48"/>
  <c r="AO753" i="48"/>
  <c r="AK753" i="48"/>
  <c r="AC536" i="48"/>
  <c r="BC536" i="48" s="1"/>
  <c r="AB492" i="48"/>
  <c r="AP1174" i="48"/>
  <c r="AK1174" i="48"/>
  <c r="AO1174" i="48"/>
  <c r="AK923" i="48"/>
  <c r="AN923" i="48"/>
  <c r="AP923" i="48"/>
  <c r="AO923" i="48"/>
  <c r="AM923" i="48"/>
  <c r="AL923" i="48"/>
  <c r="AK858" i="48"/>
  <c r="AN858" i="48"/>
  <c r="AO858" i="48"/>
  <c r="AM858" i="48"/>
  <c r="AL858" i="48"/>
  <c r="AP858" i="48"/>
  <c r="AL805" i="48"/>
  <c r="AN1941" i="48"/>
  <c r="AP1941" i="48"/>
  <c r="AO1941" i="48"/>
  <c r="AM1941" i="48"/>
  <c r="AK1941" i="48"/>
  <c r="AL1941" i="48"/>
  <c r="AK1985" i="48"/>
  <c r="AN1985" i="48"/>
  <c r="AP1985" i="48"/>
  <c r="AO1985" i="48"/>
  <c r="AM1985" i="48"/>
  <c r="AL1985" i="48"/>
  <c r="AP1884" i="48"/>
  <c r="AO1884" i="48"/>
  <c r="AK1884" i="48"/>
  <c r="AN1884" i="48"/>
  <c r="AM1884" i="48"/>
  <c r="AL1884" i="48"/>
  <c r="AB356" i="48"/>
  <c r="AC356" i="48"/>
  <c r="BC356" i="48" s="1"/>
  <c r="AM1427" i="48"/>
  <c r="AK1427" i="48"/>
  <c r="AP1427" i="48"/>
  <c r="AL1427" i="48"/>
  <c r="AO1427" i="48"/>
  <c r="AN1427" i="48"/>
  <c r="AN1774" i="48"/>
  <c r="AM1774" i="48"/>
  <c r="AL1774" i="48"/>
  <c r="AO1774" i="48"/>
  <c r="AK1774" i="48"/>
  <c r="AP1774" i="48"/>
  <c r="AO1319" i="48"/>
  <c r="AN1319" i="48"/>
  <c r="AM1319" i="48"/>
  <c r="AP1319" i="48"/>
  <c r="AK1319" i="48"/>
  <c r="AL1319" i="48"/>
  <c r="AL1066" i="48"/>
  <c r="AK1066" i="48"/>
  <c r="AK932" i="48"/>
  <c r="AN932" i="48"/>
  <c r="AP932" i="48"/>
  <c r="AO932" i="48"/>
  <c r="AM932" i="48"/>
  <c r="AL932" i="48"/>
  <c r="AN1739" i="48"/>
  <c r="AM1739" i="48"/>
  <c r="AL1739" i="48"/>
  <c r="AP1739" i="48"/>
  <c r="AO1739" i="48"/>
  <c r="AK1739" i="48"/>
  <c r="AP1154" i="48"/>
  <c r="AM1154" i="48"/>
  <c r="AN1154" i="48"/>
  <c r="AL1154" i="48"/>
  <c r="AK1154" i="48"/>
  <c r="AO1154" i="48"/>
  <c r="AO1318" i="48"/>
  <c r="AN1318" i="48"/>
  <c r="AM1318" i="48"/>
  <c r="AL1318" i="48"/>
  <c r="AK1318" i="48"/>
  <c r="AP1318" i="48"/>
  <c r="AN1542" i="48"/>
  <c r="AK1542" i="48"/>
  <c r="AM1362" i="48"/>
  <c r="AO1362" i="48"/>
  <c r="AN1362" i="48"/>
  <c r="AL1362" i="48"/>
  <c r="AK1362" i="48"/>
  <c r="AP1362" i="48"/>
  <c r="AK1532" i="48"/>
  <c r="AK2047" i="48"/>
  <c r="AP2047" i="48"/>
  <c r="AO2047" i="48"/>
  <c r="AN2047" i="48"/>
  <c r="AL2047" i="48"/>
  <c r="AM2047" i="48"/>
  <c r="AP1514" i="48"/>
  <c r="AN1514" i="48"/>
  <c r="AM1514" i="48"/>
  <c r="AN1675" i="48"/>
  <c r="AM1675" i="48"/>
  <c r="AL1675" i="48"/>
  <c r="AP1675" i="48"/>
  <c r="AO1675" i="48"/>
  <c r="AK1675" i="48"/>
  <c r="AK852" i="48"/>
  <c r="AN852" i="48"/>
  <c r="AP852" i="48"/>
  <c r="AO852" i="48"/>
  <c r="AM852" i="48"/>
  <c r="AL852" i="48"/>
  <c r="AP1523" i="48"/>
  <c r="AO1523" i="48"/>
  <c r="AN1523" i="48"/>
  <c r="AK1523" i="48"/>
  <c r="AM1523" i="48"/>
  <c r="AL1523" i="48"/>
  <c r="AK881" i="48"/>
  <c r="AN881" i="48"/>
  <c r="AM881" i="48"/>
  <c r="AL881" i="48"/>
  <c r="AP881" i="48"/>
  <c r="AO881" i="48"/>
  <c r="AN1938" i="48"/>
  <c r="AK1938" i="48"/>
  <c r="AO1938" i="48"/>
  <c r="AM1938" i="48"/>
  <c r="AL1938" i="48"/>
  <c r="AP1938" i="48"/>
  <c r="AM585" i="48"/>
  <c r="AL585" i="48"/>
  <c r="AK585" i="48"/>
  <c r="AP585" i="48"/>
  <c r="AO585" i="48"/>
  <c r="AN585" i="48"/>
  <c r="AK794" i="48"/>
  <c r="AN794" i="48"/>
  <c r="AP794" i="48"/>
  <c r="AL794" i="48"/>
  <c r="AO794" i="48"/>
  <c r="AM794" i="48"/>
  <c r="AP1469" i="48"/>
  <c r="AO1469" i="48"/>
  <c r="AN1469" i="48"/>
  <c r="AK1469" i="48"/>
  <c r="AM1469" i="48"/>
  <c r="AL1469" i="48"/>
  <c r="AL1012" i="48"/>
  <c r="AK1153" i="48"/>
  <c r="AM1761" i="48"/>
  <c r="AP1761" i="48"/>
  <c r="AN1761" i="48"/>
  <c r="AN1084" i="48"/>
  <c r="AL1323" i="48"/>
  <c r="AN675" i="48"/>
  <c r="AM675" i="48"/>
  <c r="AL675" i="48"/>
  <c r="AK675" i="48"/>
  <c r="AP675" i="48"/>
  <c r="AO675" i="48"/>
  <c r="AP705" i="48"/>
  <c r="AM586" i="48"/>
  <c r="AL586" i="48"/>
  <c r="AK586" i="48"/>
  <c r="AP586" i="48"/>
  <c r="AO586" i="48"/>
  <c r="AN586" i="48"/>
  <c r="AM1243" i="48"/>
  <c r="AN1243" i="48"/>
  <c r="AK1243" i="48"/>
  <c r="AO1353" i="48"/>
  <c r="AN1353" i="48"/>
  <c r="AM1353" i="48"/>
  <c r="AL1353" i="48"/>
  <c r="AK1353" i="48"/>
  <c r="AP1353" i="48"/>
  <c r="AM1408" i="48"/>
  <c r="AK1408" i="48"/>
  <c r="AN1408" i="48"/>
  <c r="AP1408" i="48"/>
  <c r="AO1408" i="48"/>
  <c r="AL1408" i="48"/>
  <c r="AL1364" i="48"/>
  <c r="AP1364" i="48"/>
  <c r="AK1364" i="48"/>
  <c r="AO1600" i="48"/>
  <c r="AM637" i="48"/>
  <c r="AL637" i="48"/>
  <c r="AK637" i="48"/>
  <c r="AP637" i="48"/>
  <c r="AO1549" i="48"/>
  <c r="AO1222" i="48"/>
  <c r="AM1222" i="48"/>
  <c r="AL1222" i="48"/>
  <c r="AP1222" i="48"/>
  <c r="AK1222" i="48"/>
  <c r="AN1222" i="48"/>
  <c r="AK1972" i="48"/>
  <c r="AO1972" i="48"/>
  <c r="AN1972" i="48"/>
  <c r="AM1972" i="48"/>
  <c r="AL1972" i="48"/>
  <c r="AP1972" i="48"/>
  <c r="AO1352" i="48"/>
  <c r="AN1352" i="48"/>
  <c r="AM1352" i="48"/>
  <c r="AK1352" i="48"/>
  <c r="AL1352" i="48"/>
  <c r="AP1352" i="48"/>
  <c r="AP1841" i="48"/>
  <c r="AO1841" i="48"/>
  <c r="AK1841" i="48"/>
  <c r="AM1841" i="48"/>
  <c r="AL1841" i="48"/>
  <c r="AN1841" i="48"/>
  <c r="AN804" i="48"/>
  <c r="AK931" i="48"/>
  <c r="AN931" i="48"/>
  <c r="AP931" i="48"/>
  <c r="AO931" i="48"/>
  <c r="AM931" i="48"/>
  <c r="AL931" i="48"/>
  <c r="AP1172" i="48"/>
  <c r="AM1172" i="48"/>
  <c r="AN1172" i="48"/>
  <c r="AK1172" i="48"/>
  <c r="AL1172" i="48"/>
  <c r="AO1172" i="48"/>
  <c r="AL1470" i="48"/>
  <c r="AN834" i="48"/>
  <c r="AK838" i="48"/>
  <c r="AN838" i="48"/>
  <c r="AP838" i="48"/>
  <c r="AL838" i="48"/>
  <c r="AM838" i="48"/>
  <c r="AO838" i="48"/>
  <c r="AM1037" i="48"/>
  <c r="AK1037" i="48"/>
  <c r="AO1037" i="48"/>
  <c r="AL1037" i="48"/>
  <c r="AM1181" i="48"/>
  <c r="AP1845" i="48"/>
  <c r="AO1845" i="48"/>
  <c r="AK1845" i="48"/>
  <c r="AM1845" i="48"/>
  <c r="AL1845" i="48"/>
  <c r="AN1845" i="48"/>
  <c r="AP1480" i="48"/>
  <c r="AO1480" i="48"/>
  <c r="AN1480" i="48"/>
  <c r="AK1480" i="48"/>
  <c r="AL1480" i="48"/>
  <c r="AM1480" i="48"/>
  <c r="AO1620" i="48"/>
  <c r="AN1587" i="48"/>
  <c r="AP1587" i="48"/>
  <c r="AM1587" i="48"/>
  <c r="AK1587" i="48"/>
  <c r="AO1587" i="48"/>
  <c r="AL1587" i="48"/>
  <c r="AK829" i="48"/>
  <c r="AN829" i="48"/>
  <c r="AL829" i="48"/>
  <c r="AP829" i="48"/>
  <c r="AO829" i="48"/>
  <c r="AM829" i="48"/>
  <c r="AP1573" i="48"/>
  <c r="AN1573" i="48"/>
  <c r="AO1573" i="48"/>
  <c r="AK1573" i="48"/>
  <c r="AM1573" i="48"/>
  <c r="AL1573" i="48"/>
  <c r="AK856" i="48"/>
  <c r="AN856" i="48"/>
  <c r="AL856" i="48"/>
  <c r="AP856" i="48"/>
  <c r="AM856" i="48"/>
  <c r="AO856" i="48"/>
  <c r="AN1997" i="48"/>
  <c r="AK855" i="48"/>
  <c r="AN855" i="48"/>
  <c r="AO855" i="48"/>
  <c r="AL855" i="48"/>
  <c r="AM855" i="48"/>
  <c r="AP855" i="48"/>
  <c r="AM1915" i="48"/>
  <c r="AM636" i="48"/>
  <c r="AM559" i="48"/>
  <c r="AL559" i="48"/>
  <c r="AK559" i="48"/>
  <c r="AP559" i="48"/>
  <c r="AO559" i="48"/>
  <c r="AN559" i="48"/>
  <c r="AK799" i="48"/>
  <c r="AN799" i="48"/>
  <c r="AO799" i="48"/>
  <c r="AM799" i="48"/>
  <c r="AL799" i="48"/>
  <c r="AP799" i="48"/>
  <c r="AP1472" i="48"/>
  <c r="AO1472" i="48"/>
  <c r="AN1472" i="48"/>
  <c r="AK1472" i="48"/>
  <c r="AL1472" i="48"/>
  <c r="AM1472" i="48"/>
  <c r="AP1629" i="48"/>
  <c r="AO1629" i="48"/>
  <c r="AN1629" i="48"/>
  <c r="AL1629" i="48"/>
  <c r="AK1629" i="48"/>
  <c r="AM1629" i="48"/>
  <c r="AK876" i="48"/>
  <c r="AN876" i="48"/>
  <c r="AP876" i="48"/>
  <c r="AO876" i="48"/>
  <c r="AM876" i="48"/>
  <c r="AL876" i="48"/>
  <c r="AO1599" i="48"/>
  <c r="AN1599" i="48"/>
  <c r="AK1599" i="48"/>
  <c r="AP1599" i="48"/>
  <c r="AM1599" i="48"/>
  <c r="AL1599" i="48"/>
  <c r="AM1906" i="48"/>
  <c r="AO1015" i="48"/>
  <c r="AK1015" i="48"/>
  <c r="AK795" i="48"/>
  <c r="AP795" i="48"/>
  <c r="AO795" i="48"/>
  <c r="AN733" i="48"/>
  <c r="AM733" i="48"/>
  <c r="AL733" i="48"/>
  <c r="AP733" i="48"/>
  <c r="AO733" i="48"/>
  <c r="AK733" i="48"/>
  <c r="AL1751" i="48"/>
  <c r="AM2005" i="48"/>
  <c r="AO2005" i="48"/>
  <c r="AN2005" i="48"/>
  <c r="AL2005" i="48"/>
  <c r="AP2005" i="48"/>
  <c r="AK2005" i="48"/>
  <c r="AP1874" i="48"/>
  <c r="AN1874" i="48"/>
  <c r="AM1874" i="48"/>
  <c r="AL1874" i="48"/>
  <c r="AO1874" i="48"/>
  <c r="AK1874" i="48"/>
  <c r="AN2038" i="48"/>
  <c r="AM2038" i="48"/>
  <c r="AL2038" i="48"/>
  <c r="AK2038" i="48"/>
  <c r="AO2038" i="48"/>
  <c r="AP2038" i="48"/>
  <c r="AP1132" i="48"/>
  <c r="AM1132" i="48"/>
  <c r="AN1132" i="48"/>
  <c r="AK1132" i="48"/>
  <c r="AO1132" i="48"/>
  <c r="AL1132" i="48"/>
  <c r="AO651" i="48"/>
  <c r="AP1863" i="48"/>
  <c r="AO1863" i="48"/>
  <c r="AN1863" i="48"/>
  <c r="AK1863" i="48"/>
  <c r="AM1863" i="48"/>
  <c r="AL1863" i="48"/>
  <c r="AM1024" i="48"/>
  <c r="AK1024" i="48"/>
  <c r="AO1024" i="48"/>
  <c r="AP1024" i="48"/>
  <c r="AN1024" i="48"/>
  <c r="AL1024" i="48"/>
  <c r="AP1880" i="48"/>
  <c r="AO1880" i="48"/>
  <c r="AK1880" i="48"/>
  <c r="AN1880" i="48"/>
  <c r="AM1880" i="48"/>
  <c r="AL1880" i="48"/>
  <c r="AM1447" i="48"/>
  <c r="AL1447" i="48"/>
  <c r="AK1447" i="48"/>
  <c r="AP1447" i="48"/>
  <c r="AO1447" i="48"/>
  <c r="AN1447" i="48"/>
  <c r="AK1006" i="48"/>
  <c r="AM1006" i="48"/>
  <c r="AK988" i="48"/>
  <c r="AN988" i="48"/>
  <c r="AP988" i="48"/>
  <c r="AO988" i="48"/>
  <c r="AM988" i="48"/>
  <c r="AL988" i="48"/>
  <c r="AP1877" i="48"/>
  <c r="AM1877" i="48"/>
  <c r="AN1877" i="48"/>
  <c r="AL1877" i="48"/>
  <c r="AK1877" i="48"/>
  <c r="AO1877" i="48"/>
  <c r="AK2042" i="48"/>
  <c r="AO2042" i="48"/>
  <c r="AN2042" i="48"/>
  <c r="AM2042" i="48"/>
  <c r="AP2042" i="48"/>
  <c r="AL2042" i="48"/>
  <c r="AK1760" i="48"/>
  <c r="AP1760" i="48"/>
  <c r="AO1760" i="48"/>
  <c r="AN1975" i="48"/>
  <c r="AK929" i="48"/>
  <c r="AN929" i="48"/>
  <c r="AM929" i="48"/>
  <c r="AL929" i="48"/>
  <c r="AP929" i="48"/>
  <c r="AO929" i="48"/>
  <c r="AK595" i="48"/>
  <c r="AN722" i="48"/>
  <c r="AM722" i="48"/>
  <c r="AL722" i="48"/>
  <c r="AP722" i="48"/>
  <c r="AO722" i="48"/>
  <c r="AK722" i="48"/>
  <c r="AP1636" i="48"/>
  <c r="AO1636" i="48"/>
  <c r="AN1636" i="48"/>
  <c r="AL1636" i="48"/>
  <c r="AM1636" i="48"/>
  <c r="AK1636" i="48"/>
  <c r="AO1282" i="48"/>
  <c r="AN1282" i="48"/>
  <c r="AM1282" i="48"/>
  <c r="AP1282" i="48"/>
  <c r="AL1282" i="48"/>
  <c r="AK1282" i="48"/>
  <c r="AN1799" i="48"/>
  <c r="AO1357" i="48"/>
  <c r="AN1357" i="48"/>
  <c r="AM1357" i="48"/>
  <c r="AK1357" i="48"/>
  <c r="AP1357" i="48"/>
  <c r="AL1357" i="48"/>
  <c r="AM1667" i="48"/>
  <c r="AP1667" i="48"/>
  <c r="AK1667" i="48"/>
  <c r="AP2021" i="48"/>
  <c r="AN2021" i="48"/>
  <c r="AL2021" i="48"/>
  <c r="AO1219" i="48"/>
  <c r="AM1219" i="48"/>
  <c r="AP1219" i="48"/>
  <c r="AN1219" i="48"/>
  <c r="AL1219" i="48"/>
  <c r="AK1219" i="48"/>
  <c r="AO1303" i="48"/>
  <c r="AN1303" i="48"/>
  <c r="AM1303" i="48"/>
  <c r="AP1303" i="48"/>
  <c r="AK1303" i="48"/>
  <c r="AL1303" i="48"/>
  <c r="AK918" i="48"/>
  <c r="AN918" i="48"/>
  <c r="AM918" i="48"/>
  <c r="AP918" i="48"/>
  <c r="AP1244" i="48"/>
  <c r="AK978" i="48"/>
  <c r="AN978" i="48"/>
  <c r="AM978" i="48"/>
  <c r="AL815" i="48"/>
  <c r="AP815" i="48"/>
  <c r="AK1457" i="48"/>
  <c r="AL1454" i="48"/>
  <c r="AK961" i="48"/>
  <c r="AN961" i="48"/>
  <c r="AM961" i="48"/>
  <c r="AL961" i="48"/>
  <c r="AP961" i="48"/>
  <c r="AO961" i="48"/>
  <c r="AN1441" i="48"/>
  <c r="AM1895" i="48"/>
  <c r="AL1995" i="48"/>
  <c r="AK792" i="48"/>
  <c r="AN792" i="48"/>
  <c r="AO792" i="48"/>
  <c r="AP1477" i="48"/>
  <c r="AO1477" i="48"/>
  <c r="AN1477" i="48"/>
  <c r="AK1477" i="48"/>
  <c r="AM1477" i="48"/>
  <c r="AL1477" i="48"/>
  <c r="AP1527" i="48"/>
  <c r="AO1527" i="48"/>
  <c r="AK1527" i="48"/>
  <c r="AK864" i="48"/>
  <c r="AM1406" i="48"/>
  <c r="AK1406" i="48"/>
  <c r="AP1406" i="48"/>
  <c r="AO1406" i="48"/>
  <c r="AN1406" i="48"/>
  <c r="AL1406" i="48"/>
  <c r="AL894" i="48"/>
  <c r="AP1232" i="48"/>
  <c r="AN1965" i="48"/>
  <c r="AM1965" i="48"/>
  <c r="AP1965" i="48"/>
  <c r="AO1965" i="48"/>
  <c r="AK1965" i="48"/>
  <c r="AL1965" i="48"/>
  <c r="AL1444" i="48"/>
  <c r="AN1444" i="48"/>
  <c r="AL1801" i="48"/>
  <c r="AP1550" i="48"/>
  <c r="AK861" i="48"/>
  <c r="AN861" i="48"/>
  <c r="AP861" i="48"/>
  <c r="AL861" i="48"/>
  <c r="AO861" i="48"/>
  <c r="AM861" i="48"/>
  <c r="AN1089" i="48"/>
  <c r="AO1577" i="48"/>
  <c r="AK921" i="48"/>
  <c r="AP1161" i="48"/>
  <c r="AM1161" i="48"/>
  <c r="AN1161" i="48"/>
  <c r="AO1161" i="48"/>
  <c r="AL1161" i="48"/>
  <c r="AK1161" i="48"/>
  <c r="AK1987" i="48"/>
  <c r="AN1987" i="48"/>
  <c r="AO1987" i="48"/>
  <c r="AM857" i="48"/>
  <c r="AO857" i="48"/>
  <c r="AO1421" i="48"/>
  <c r="AK1815" i="48"/>
  <c r="AM1943" i="48"/>
  <c r="AK1943" i="48"/>
  <c r="AL1943" i="48"/>
  <c r="AO679" i="48"/>
  <c r="AM1420" i="48"/>
  <c r="AP1420" i="48"/>
  <c r="AN1420" i="48"/>
  <c r="AL1283" i="48"/>
  <c r="AM1019" i="48"/>
  <c r="AP1019" i="48"/>
  <c r="AO1019" i="48"/>
  <c r="AN1019" i="48"/>
  <c r="AL1019" i="48"/>
  <c r="AK1019" i="48"/>
  <c r="AO1755" i="48"/>
  <c r="AN1506" i="48"/>
  <c r="AM1443" i="48"/>
  <c r="AL1443" i="48"/>
  <c r="AK1443" i="48"/>
  <c r="AP1443" i="48"/>
  <c r="AN1443" i="48"/>
  <c r="AO1443" i="48"/>
  <c r="AM2006" i="48"/>
  <c r="AN2006" i="48"/>
  <c r="AP2006" i="48"/>
  <c r="AK2006" i="48"/>
  <c r="AO2006" i="48"/>
  <c r="AL2006" i="48"/>
  <c r="AM1759" i="48"/>
  <c r="AN1944" i="48"/>
  <c r="AO1944" i="48"/>
  <c r="AP1944" i="48"/>
  <c r="AP1955" i="48"/>
  <c r="AN1842" i="48"/>
  <c r="AL1842" i="48"/>
  <c r="AM1842" i="48"/>
  <c r="AL1776" i="48"/>
  <c r="AO1345" i="48"/>
  <c r="AN1345" i="48"/>
  <c r="AM1345" i="48"/>
  <c r="AL1345" i="48"/>
  <c r="AK1345" i="48"/>
  <c r="AP1345" i="48"/>
  <c r="AM1752" i="48"/>
  <c r="AL1752" i="48"/>
  <c r="AN1771" i="48"/>
  <c r="AM1771" i="48"/>
  <c r="AL1771" i="48"/>
  <c r="AO1771" i="48"/>
  <c r="AK1771" i="48"/>
  <c r="AP1771" i="48"/>
  <c r="AK1475" i="48"/>
  <c r="AM1475" i="48"/>
  <c r="AL1475" i="48"/>
  <c r="AK915" i="48"/>
  <c r="AN915" i="48"/>
  <c r="AP915" i="48"/>
  <c r="AO915" i="48"/>
  <c r="AM915" i="48"/>
  <c r="AL915" i="48"/>
  <c r="AM826" i="48"/>
  <c r="AO826" i="48"/>
  <c r="AP1926" i="48"/>
  <c r="AO1926" i="48"/>
  <c r="AL1926" i="48"/>
  <c r="AM1662" i="48"/>
  <c r="AP1662" i="48"/>
  <c r="AK1662" i="48"/>
  <c r="AN1931" i="48"/>
  <c r="AP1931" i="48"/>
  <c r="AO1931" i="48"/>
  <c r="AK1931" i="48"/>
  <c r="AM1931" i="48"/>
  <c r="AL1931" i="48"/>
  <c r="AN727" i="48"/>
  <c r="AM727" i="48"/>
  <c r="AL727" i="48"/>
  <c r="AP727" i="48"/>
  <c r="AO727" i="48"/>
  <c r="AK727" i="48"/>
  <c r="AK911" i="48"/>
  <c r="AN911" i="48"/>
  <c r="AO911" i="48"/>
  <c r="AM911" i="48"/>
  <c r="AL911" i="48"/>
  <c r="AP911" i="48"/>
  <c r="AN1391" i="48"/>
  <c r="AP1391" i="48"/>
  <c r="AO1091" i="48"/>
  <c r="AM686" i="48"/>
  <c r="AP686" i="48"/>
  <c r="AN1643" i="48"/>
  <c r="AM1643" i="48"/>
  <c r="AN723" i="48"/>
  <c r="AM723" i="48"/>
  <c r="AL723" i="48"/>
  <c r="AP723" i="48"/>
  <c r="AO723" i="48"/>
  <c r="AK723" i="48"/>
  <c r="AK1791" i="48"/>
  <c r="AN710" i="48"/>
  <c r="AM710" i="48"/>
  <c r="AL710" i="48"/>
  <c r="AP710" i="48"/>
  <c r="AO710" i="48"/>
  <c r="AK710" i="48"/>
  <c r="AK934" i="48"/>
  <c r="AN934" i="48"/>
  <c r="AM934" i="48"/>
  <c r="AO934" i="48"/>
  <c r="AP934" i="48"/>
  <c r="AL934" i="48"/>
  <c r="AN1790" i="48"/>
  <c r="AM1790" i="48"/>
  <c r="AL1790" i="48"/>
  <c r="AO1790" i="48"/>
  <c r="AK1790" i="48"/>
  <c r="AP1790" i="48"/>
  <c r="AP1524" i="48"/>
  <c r="AO1524" i="48"/>
  <c r="AN1524" i="48"/>
  <c r="AK1524" i="48"/>
  <c r="AL1524" i="48"/>
  <c r="AM1524" i="48"/>
  <c r="AM1278" i="48"/>
  <c r="AM612" i="48"/>
  <c r="AL612" i="48"/>
  <c r="AK612" i="48"/>
  <c r="AP612" i="48"/>
  <c r="AN612" i="48"/>
  <c r="AO612" i="48"/>
  <c r="AM738" i="48"/>
  <c r="AK913" i="48"/>
  <c r="AN913" i="48"/>
  <c r="AM913" i="48"/>
  <c r="AL913" i="48"/>
  <c r="AP913" i="48"/>
  <c r="AO913" i="48"/>
  <c r="AK1255" i="48"/>
  <c r="AC452" i="48"/>
  <c r="BC452" i="48" s="1"/>
  <c r="AL1488" i="48"/>
  <c r="AK1301" i="48"/>
  <c r="AO1617" i="48"/>
  <c r="AM1617" i="48"/>
  <c r="AK1617" i="48"/>
  <c r="AK873" i="48"/>
  <c r="AN873" i="48"/>
  <c r="AM873" i="48"/>
  <c r="AL873" i="48"/>
  <c r="AO873" i="48"/>
  <c r="AP873" i="48"/>
  <c r="AN711" i="48"/>
  <c r="AM711" i="48"/>
  <c r="AL711" i="48"/>
  <c r="AP711" i="48"/>
  <c r="AO711" i="48"/>
  <c r="AK711" i="48"/>
  <c r="AO1127" i="48"/>
  <c r="AK1983" i="48"/>
  <c r="AN1983" i="48"/>
  <c r="AM1983" i="48"/>
  <c r="AO1983" i="48"/>
  <c r="AP1983" i="48"/>
  <c r="AL1983" i="48"/>
  <c r="AM1713" i="48"/>
  <c r="AN887" i="48"/>
  <c r="AO887" i="48"/>
  <c r="AL887" i="48"/>
  <c r="AP1071" i="48"/>
  <c r="AK1071" i="48"/>
  <c r="AN1242" i="48"/>
  <c r="AO1990" i="48"/>
  <c r="AN1990" i="48"/>
  <c r="AM1990" i="48"/>
  <c r="AP1990" i="48"/>
  <c r="AL1990" i="48"/>
  <c r="AK1990" i="48"/>
  <c r="AK1909" i="48"/>
  <c r="AK847" i="48"/>
  <c r="AN847" i="48"/>
  <c r="AO847" i="48"/>
  <c r="AM847" i="48"/>
  <c r="AL847" i="48"/>
  <c r="AP847" i="48"/>
  <c r="AN1765" i="48"/>
  <c r="AM1765" i="48"/>
  <c r="AL1765" i="48"/>
  <c r="AO1765" i="48"/>
  <c r="AK1765" i="48"/>
  <c r="AP1765" i="48"/>
  <c r="AM739" i="48"/>
  <c r="AN1190" i="48"/>
  <c r="AP1802" i="48"/>
  <c r="AM1802" i="48"/>
  <c r="AO1802" i="48"/>
  <c r="AN1802" i="48"/>
  <c r="AM718" i="48"/>
  <c r="AK718" i="48"/>
  <c r="AP1870" i="48"/>
  <c r="AN1870" i="48"/>
  <c r="AM1870" i="48"/>
  <c r="AL1870" i="48"/>
  <c r="AK1870" i="48"/>
  <c r="AO1870" i="48"/>
  <c r="AM596" i="48"/>
  <c r="AK926" i="48"/>
  <c r="AN926" i="48"/>
  <c r="AM926" i="48"/>
  <c r="AP926" i="48"/>
  <c r="AO926" i="48"/>
  <c r="AL926" i="48"/>
  <c r="AM648" i="48"/>
  <c r="AL648" i="48"/>
  <c r="AK648" i="48"/>
  <c r="AP648" i="48"/>
  <c r="AN648" i="48"/>
  <c r="AO648" i="48"/>
  <c r="AP1533" i="48"/>
  <c r="AO1533" i="48"/>
  <c r="AN1533" i="48"/>
  <c r="AM1973" i="48"/>
  <c r="AP1464" i="48"/>
  <c r="AP1047" i="48"/>
  <c r="AO1047" i="48"/>
  <c r="AM1448" i="48"/>
  <c r="AL1448" i="48"/>
  <c r="AK1448" i="48"/>
  <c r="AP1448" i="48"/>
  <c r="AN1448" i="48"/>
  <c r="AO1448" i="48"/>
  <c r="AP1624" i="48"/>
  <c r="AO1624" i="48"/>
  <c r="AN1624" i="48"/>
  <c r="AK1624" i="48"/>
  <c r="AM1624" i="48"/>
  <c r="AL1624" i="48"/>
  <c r="AP1887" i="48"/>
  <c r="AO1887" i="48"/>
  <c r="AK1887" i="48"/>
  <c r="AM1887" i="48"/>
  <c r="AL1887" i="48"/>
  <c r="AN1887" i="48"/>
  <c r="AK942" i="48"/>
  <c r="AM582" i="48"/>
  <c r="AL582" i="48"/>
  <c r="AK582" i="48"/>
  <c r="AP582" i="48"/>
  <c r="AO582" i="48"/>
  <c r="AN582" i="48"/>
  <c r="AK877" i="48"/>
  <c r="AN877" i="48"/>
  <c r="AP877" i="48"/>
  <c r="AL877" i="48"/>
  <c r="AO877" i="48"/>
  <c r="AM877" i="48"/>
  <c r="AN1683" i="48"/>
  <c r="AM1683" i="48"/>
  <c r="AL1683" i="48"/>
  <c r="AP1683" i="48"/>
  <c r="AO1683" i="48"/>
  <c r="AK1683" i="48"/>
  <c r="AP1098" i="48"/>
  <c r="AM1098" i="48"/>
  <c r="AN1098" i="48"/>
  <c r="AL1098" i="48"/>
  <c r="AK1098" i="48"/>
  <c r="AO1098" i="48"/>
  <c r="AO2046" i="48"/>
  <c r="AN678" i="48"/>
  <c r="AM678" i="48"/>
  <c r="AP678" i="48"/>
  <c r="AK678" i="48"/>
  <c r="AL678" i="48"/>
  <c r="AO678" i="48"/>
  <c r="AM1738" i="48"/>
  <c r="AP1738" i="48"/>
  <c r="AK1738" i="48"/>
  <c r="AP1095" i="48"/>
  <c r="AM1095" i="48"/>
  <c r="AN1095" i="48"/>
  <c r="AO1095" i="48"/>
  <c r="AK1095" i="48"/>
  <c r="AL1095" i="48"/>
  <c r="AO1824" i="48"/>
  <c r="AO1315" i="48"/>
  <c r="AN1315" i="48"/>
  <c r="AM1315" i="48"/>
  <c r="AP1315" i="48"/>
  <c r="AL1315" i="48"/>
  <c r="AK1315" i="48"/>
  <c r="AK983" i="48"/>
  <c r="AN983" i="48"/>
  <c r="AO983" i="48"/>
  <c r="AL983" i="48"/>
  <c r="AP983" i="48"/>
  <c r="AM983" i="48"/>
  <c r="AO1300" i="48"/>
  <c r="AL1300" i="48"/>
  <c r="AM1960" i="48"/>
  <c r="AK1960" i="48"/>
  <c r="AO1960" i="48"/>
  <c r="AN832" i="48"/>
  <c r="AK896" i="48"/>
  <c r="AN896" i="48"/>
  <c r="AL896" i="48"/>
  <c r="AP896" i="48"/>
  <c r="AO896" i="48"/>
  <c r="AM896" i="48"/>
  <c r="AP1555" i="48"/>
  <c r="AN1555" i="48"/>
  <c r="AO1555" i="48"/>
  <c r="AK1555" i="48"/>
  <c r="AM1555" i="48"/>
  <c r="AL1555" i="48"/>
  <c r="AP1151" i="48"/>
  <c r="AM1151" i="48"/>
  <c r="AN1151" i="48"/>
  <c r="AK1151" i="48"/>
  <c r="AO1226" i="48"/>
  <c r="AM1226" i="48"/>
  <c r="AN1226" i="48"/>
  <c r="AL1226" i="48"/>
  <c r="AK1226" i="48"/>
  <c r="AP1226" i="48"/>
  <c r="AN672" i="48"/>
  <c r="AK672" i="48"/>
  <c r="AN1490" i="48"/>
  <c r="AK1490" i="48"/>
  <c r="AM1490" i="48"/>
  <c r="AK867" i="48"/>
  <c r="AN867" i="48"/>
  <c r="AP867" i="48"/>
  <c r="AO867" i="48"/>
  <c r="AM867" i="48"/>
  <c r="AL867" i="48"/>
  <c r="AL2051" i="48"/>
  <c r="AP2051" i="48"/>
  <c r="AN2051" i="48"/>
  <c r="AM1721" i="48"/>
  <c r="AK947" i="48"/>
  <c r="AL1851" i="48"/>
  <c r="AN728" i="48"/>
  <c r="AM728" i="48"/>
  <c r="AL728" i="48"/>
  <c r="AP728" i="48"/>
  <c r="AO728" i="48"/>
  <c r="AK728" i="48"/>
  <c r="AM878" i="48"/>
  <c r="AP878" i="48"/>
  <c r="AO878" i="48"/>
  <c r="AP1503" i="48"/>
  <c r="AM1503" i="48"/>
  <c r="AL1503" i="48"/>
  <c r="AO1310" i="48"/>
  <c r="AP1310" i="48"/>
  <c r="AL1333" i="48"/>
  <c r="AM1793" i="48"/>
  <c r="AL1793" i="48"/>
  <c r="AO1793" i="48"/>
  <c r="AK1793" i="48"/>
  <c r="AO1043" i="48"/>
  <c r="AL1981" i="48"/>
  <c r="AO1981" i="48"/>
  <c r="AM1981" i="48"/>
  <c r="AP1124" i="48"/>
  <c r="AM1124" i="48"/>
  <c r="AN1124" i="48"/>
  <c r="AK1124" i="48"/>
  <c r="AL1124" i="48"/>
  <c r="AO1124" i="48"/>
  <c r="AK1634" i="48"/>
  <c r="AM622" i="48"/>
  <c r="AL622" i="48"/>
  <c r="AK622" i="48"/>
  <c r="AP622" i="48"/>
  <c r="AO622" i="48"/>
  <c r="AN622" i="48"/>
  <c r="AM1354" i="48"/>
  <c r="AP1888" i="48"/>
  <c r="AP1978" i="48"/>
  <c r="AN563" i="48"/>
  <c r="AP977" i="48"/>
  <c r="AO1195" i="48"/>
  <c r="AN1195" i="48"/>
  <c r="AM1402" i="48"/>
  <c r="AK1402" i="48"/>
  <c r="AL1402" i="48"/>
  <c r="AP1402" i="48"/>
  <c r="AO1402" i="48"/>
  <c r="AN1402" i="48"/>
  <c r="AP1462" i="48"/>
  <c r="AO1462" i="48"/>
  <c r="AN1462" i="48"/>
  <c r="AK1462" i="48"/>
  <c r="AM1462" i="48"/>
  <c r="AL1462" i="48"/>
  <c r="AP2015" i="48"/>
  <c r="AN758" i="48"/>
  <c r="AM758" i="48"/>
  <c r="AL758" i="48"/>
  <c r="AP758" i="48"/>
  <c r="AO758" i="48"/>
  <c r="AK758" i="48"/>
  <c r="AK1344" i="48"/>
  <c r="AN1934" i="48"/>
  <c r="AK1934" i="48"/>
  <c r="AO1934" i="48"/>
  <c r="AL1934" i="48"/>
  <c r="AM1934" i="48"/>
  <c r="AP1934" i="48"/>
  <c r="AK863" i="48"/>
  <c r="AN863" i="48"/>
  <c r="AO863" i="48"/>
  <c r="AM863" i="48"/>
  <c r="AL863" i="48"/>
  <c r="AP863" i="48"/>
  <c r="AP1022" i="48"/>
  <c r="AO1394" i="48"/>
  <c r="AL1394" i="48"/>
  <c r="AP1394" i="48"/>
  <c r="AM1762" i="48"/>
  <c r="AL1762" i="48"/>
  <c r="AN1136" i="48"/>
  <c r="AO1324" i="48"/>
  <c r="AN1324" i="48"/>
  <c r="AM1324" i="48"/>
  <c r="AP1324" i="48"/>
  <c r="AK1324" i="48"/>
  <c r="AL1324" i="48"/>
  <c r="AK1285" i="48"/>
  <c r="AO1385" i="48"/>
  <c r="AO1026" i="48"/>
  <c r="AN1646" i="48"/>
  <c r="AM1646" i="48"/>
  <c r="AK1646" i="48"/>
  <c r="AO1646" i="48"/>
  <c r="AL1646" i="48"/>
  <c r="AP1646" i="48"/>
  <c r="AN1589" i="48"/>
  <c r="AP1589" i="48"/>
  <c r="AM1589" i="48"/>
  <c r="AL1589" i="48"/>
  <c r="AK1589" i="48"/>
  <c r="AO1589" i="48"/>
  <c r="AL967" i="48"/>
  <c r="AM967" i="48"/>
  <c r="AP967" i="48"/>
  <c r="AO953" i="48"/>
  <c r="AN709" i="48"/>
  <c r="AM709" i="48"/>
  <c r="AL709" i="48"/>
  <c r="AP709" i="48"/>
  <c r="AO709" i="48"/>
  <c r="AK709" i="48"/>
  <c r="AN1883" i="48"/>
  <c r="AP1820" i="48"/>
  <c r="AM1820" i="48"/>
  <c r="AO1820" i="48"/>
  <c r="AN1820" i="48"/>
  <c r="AL1820" i="48"/>
  <c r="AK1820" i="48"/>
  <c r="AN1291" i="48"/>
  <c r="AK1291" i="48"/>
  <c r="AM1964" i="48"/>
  <c r="AK1964" i="48"/>
  <c r="AO1964" i="48"/>
  <c r="AO1252" i="48"/>
  <c r="AN1252" i="48"/>
  <c r="AM1252" i="48"/>
  <c r="AP1252" i="48"/>
  <c r="AL1252" i="48"/>
  <c r="AK1252" i="48"/>
  <c r="AO1929" i="48"/>
  <c r="AP1603" i="48"/>
  <c r="AO1481" i="48"/>
  <c r="AN1481" i="48"/>
  <c r="AL1481" i="48"/>
  <c r="AN2022" i="48"/>
  <c r="AN1823" i="48"/>
  <c r="AO1608" i="48"/>
  <c r="AN1608" i="48"/>
  <c r="AM985" i="48"/>
  <c r="AL1843" i="48"/>
  <c r="AP2014" i="48"/>
  <c r="AN2014" i="48"/>
  <c r="AL2014" i="48"/>
  <c r="AL1849" i="48"/>
  <c r="AM1582" i="48"/>
  <c r="AL1582" i="48"/>
  <c r="AK1582" i="48"/>
  <c r="AK917" i="48"/>
  <c r="AN917" i="48"/>
  <c r="AP917" i="48"/>
  <c r="AL917" i="48"/>
  <c r="AM917" i="48"/>
  <c r="AO917" i="48"/>
  <c r="AP1492" i="48"/>
  <c r="AO1492" i="48"/>
  <c r="AN1492" i="48"/>
  <c r="AK1492" i="48"/>
  <c r="AL1492" i="48"/>
  <c r="AM1492" i="48"/>
  <c r="AL1949" i="48"/>
  <c r="AK786" i="48"/>
  <c r="AN786" i="48"/>
  <c r="AP786" i="48"/>
  <c r="AL786" i="48"/>
  <c r="AO786" i="48"/>
  <c r="AM786" i="48"/>
  <c r="AO1604" i="48"/>
  <c r="AN1604" i="48"/>
  <c r="AP1604" i="48"/>
  <c r="AL1604" i="48"/>
  <c r="AM1604" i="48"/>
  <c r="AK1604" i="48"/>
  <c r="AM631" i="48"/>
  <c r="AL631" i="48"/>
  <c r="AK631" i="48"/>
  <c r="AP631" i="48"/>
  <c r="AO631" i="48"/>
  <c r="AN631" i="48"/>
  <c r="AN2012" i="48"/>
  <c r="AP1069" i="48"/>
  <c r="AM1069" i="48"/>
  <c r="AN1069" i="48"/>
  <c r="AO1069" i="48"/>
  <c r="AL1069" i="48"/>
  <c r="AK1069" i="48"/>
  <c r="AM720" i="48"/>
  <c r="AO1383" i="48"/>
  <c r="AK1383" i="48"/>
  <c r="AL1383" i="48"/>
  <c r="AN1792" i="48"/>
  <c r="AM1534" i="48"/>
  <c r="AP1822" i="48"/>
  <c r="AM1822" i="48"/>
  <c r="AO1822" i="48"/>
  <c r="AN1822" i="48"/>
  <c r="AL1822" i="48"/>
  <c r="AK1822" i="48"/>
  <c r="AP1150" i="48"/>
  <c r="AM1150" i="48"/>
  <c r="AN1150" i="48"/>
  <c r="AL1150" i="48"/>
  <c r="AK1150" i="48"/>
  <c r="AO1150" i="48"/>
  <c r="AN1588" i="48"/>
  <c r="AP1637" i="48"/>
  <c r="AO1637" i="48"/>
  <c r="AN1637" i="48"/>
  <c r="AL1637" i="48"/>
  <c r="AK1637" i="48"/>
  <c r="AM1637" i="48"/>
  <c r="AO1783" i="48"/>
  <c r="AP1630" i="48"/>
  <c r="AO1630" i="48"/>
  <c r="AN1630" i="48"/>
  <c r="AM1630" i="48"/>
  <c r="AL1630" i="48"/>
  <c r="AK1630" i="48"/>
  <c r="AO1214" i="48"/>
  <c r="AK1214" i="48"/>
  <c r="AN1214" i="48"/>
  <c r="AP1214" i="48"/>
  <c r="AL1214" i="48"/>
  <c r="AM1214" i="48"/>
  <c r="AK1369" i="48"/>
  <c r="AO1541" i="48"/>
  <c r="AN1541" i="48"/>
  <c r="AM1541" i="48"/>
  <c r="AP1612" i="48"/>
  <c r="AO1612" i="48"/>
  <c r="AN1612" i="48"/>
  <c r="AM1612" i="48"/>
  <c r="AK1612" i="48"/>
  <c r="AL1612" i="48"/>
  <c r="AK1930" i="48"/>
  <c r="AP599" i="48"/>
  <c r="AO599" i="48"/>
  <c r="AN599" i="48"/>
  <c r="AP1627" i="48"/>
  <c r="AO1627" i="48"/>
  <c r="AN1627" i="48"/>
  <c r="AK1627" i="48"/>
  <c r="AM1627" i="48"/>
  <c r="AL1627" i="48"/>
  <c r="AL2043" i="48"/>
  <c r="AO2043" i="48"/>
  <c r="AM2043" i="48"/>
  <c r="AN2043" i="48"/>
  <c r="AK941" i="48"/>
  <c r="AN941" i="48"/>
  <c r="AP941" i="48"/>
  <c r="AL941" i="48"/>
  <c r="AO941" i="48"/>
  <c r="AM941" i="48"/>
  <c r="AK1460" i="48"/>
  <c r="AL1239" i="48"/>
  <c r="AN1685" i="48"/>
  <c r="AM1685" i="48"/>
  <c r="AL1685" i="48"/>
  <c r="AO1685" i="48"/>
  <c r="AO1601" i="48"/>
  <c r="AN1601" i="48"/>
  <c r="AM1601" i="48"/>
  <c r="AL1601" i="48"/>
  <c r="AK1601" i="48"/>
  <c r="AP1601" i="48"/>
  <c r="AL1575" i="48"/>
  <c r="AO1263" i="48"/>
  <c r="AN1263" i="48"/>
  <c r="AM1263" i="48"/>
  <c r="AP1263" i="48"/>
  <c r="AL1263" i="48"/>
  <c r="AK1263" i="48"/>
  <c r="AM1273" i="48"/>
  <c r="AP1051" i="48"/>
  <c r="AM1051" i="48"/>
  <c r="AN1051" i="48"/>
  <c r="AO1051" i="48"/>
  <c r="AK1051" i="48"/>
  <c r="AL1051" i="48"/>
  <c r="AO1976" i="48"/>
  <c r="AM1976" i="48"/>
  <c r="AN1976" i="48"/>
  <c r="AL897" i="48"/>
  <c r="AP1482" i="48"/>
  <c r="AO1482" i="48"/>
  <c r="AN1482" i="48"/>
  <c r="AK1482" i="48"/>
  <c r="AM1482" i="48"/>
  <c r="AL1482" i="48"/>
  <c r="AM1401" i="48"/>
  <c r="AP1556" i="48"/>
  <c r="AN1556" i="48"/>
  <c r="AO1556" i="48"/>
  <c r="AK1556" i="48"/>
  <c r="AL1556" i="48"/>
  <c r="AM1556" i="48"/>
  <c r="AP1565" i="48"/>
  <c r="AN1565" i="48"/>
  <c r="AO1565" i="48"/>
  <c r="AK1565" i="48"/>
  <c r="AM1565" i="48"/>
  <c r="AL1565" i="48"/>
  <c r="AP1120" i="48"/>
  <c r="AM1120" i="48"/>
  <c r="AN1120" i="48"/>
  <c r="AK1120" i="48"/>
  <c r="AO1120" i="48"/>
  <c r="AL1120" i="48"/>
  <c r="AO692" i="48"/>
  <c r="AP1616" i="48"/>
  <c r="AO1616" i="48"/>
  <c r="AN1616" i="48"/>
  <c r="AM1616" i="48"/>
  <c r="AL1616" i="48"/>
  <c r="AK1616" i="48"/>
  <c r="AP1773" i="48"/>
  <c r="AP1516" i="48"/>
  <c r="AO1516" i="48"/>
  <c r="AN1516" i="48"/>
  <c r="AK1516" i="48"/>
  <c r="AL1516" i="48"/>
  <c r="AM1516" i="48"/>
  <c r="AM1446" i="48"/>
  <c r="AL1446" i="48"/>
  <c r="AK1446" i="48"/>
  <c r="AP1446" i="48"/>
  <c r="AO1446" i="48"/>
  <c r="AN1446" i="48"/>
  <c r="AN1123" i="48"/>
  <c r="AM1058" i="48"/>
  <c r="AN1661" i="48"/>
  <c r="AM1661" i="48"/>
  <c r="AL1661" i="48"/>
  <c r="AP1661" i="48"/>
  <c r="AO1661" i="48"/>
  <c r="AK1661" i="48"/>
  <c r="AP2028" i="48"/>
  <c r="AK992" i="48"/>
  <c r="AO992" i="48"/>
  <c r="AK899" i="48"/>
  <c r="AN899" i="48"/>
  <c r="AP899" i="48"/>
  <c r="AO899" i="48"/>
  <c r="AM899" i="48"/>
  <c r="AL899" i="48"/>
  <c r="AL874" i="48"/>
  <c r="AP1080" i="48"/>
  <c r="AM1080" i="48"/>
  <c r="AN1080" i="48"/>
  <c r="AK1080" i="48"/>
  <c r="AO1080" i="48"/>
  <c r="AL1080" i="48"/>
  <c r="AP1875" i="48"/>
  <c r="AO1311" i="48"/>
  <c r="AM1311" i="48"/>
  <c r="AB2056" i="48"/>
  <c r="AB488" i="48"/>
  <c r="AC488" i="48"/>
  <c r="BC488" i="48" s="1"/>
  <c r="AC492" i="48"/>
  <c r="BC492" i="48" s="1"/>
  <c r="AC469" i="48"/>
  <c r="BC469" i="48" s="1"/>
  <c r="AB324" i="48"/>
  <c r="AC324" i="48"/>
  <c r="BC324" i="48" s="1"/>
  <c r="AO113" i="48"/>
  <c r="AB413" i="48"/>
  <c r="AC413" i="48"/>
  <c r="BC413" i="48" s="1"/>
  <c r="AC496" i="48"/>
  <c r="BC496" i="48" s="1"/>
  <c r="AC302" i="48"/>
  <c r="BC302" i="48" s="1"/>
  <c r="AB302" i="48"/>
  <c r="AC554" i="48"/>
  <c r="BC554" i="48" s="1"/>
  <c r="AK554" i="48"/>
  <c r="AK410" i="48"/>
  <c r="AB410" i="48"/>
  <c r="AP337" i="48"/>
  <c r="AN488" i="48"/>
  <c r="AC2056" i="48"/>
  <c r="BC2056" i="48" s="1"/>
  <c r="AC410" i="48"/>
  <c r="BC410" i="48" s="1"/>
  <c r="AB337" i="48"/>
  <c r="AO324" i="48"/>
  <c r="AB554" i="48"/>
  <c r="AC504" i="48"/>
  <c r="BC504" i="48" s="1"/>
  <c r="AC489" i="48"/>
  <c r="BC489" i="48" s="1"/>
  <c r="AB536" i="48"/>
  <c r="AB443" i="48"/>
  <c r="AB435" i="48"/>
  <c r="AB532" i="48"/>
  <c r="AO219" i="48"/>
  <c r="AB476" i="48"/>
  <c r="AC461" i="48"/>
  <c r="BC461" i="48" s="1"/>
  <c r="AC426" i="48"/>
  <c r="BC426" i="48" s="1"/>
  <c r="AB461" i="48"/>
  <c r="AB426" i="48"/>
  <c r="AC476" i="48"/>
  <c r="BC476" i="48" s="1"/>
  <c r="AO371" i="48"/>
  <c r="AC464" i="48"/>
  <c r="BC464" i="48" s="1"/>
  <c r="AC330" i="48"/>
  <c r="BC330" i="48" s="1"/>
  <c r="AP513" i="48"/>
  <c r="AM480" i="48"/>
  <c r="AB480" i="48"/>
  <c r="AB464" i="48"/>
  <c r="AC480" i="48"/>
  <c r="BC480" i="48" s="1"/>
  <c r="AO285" i="48"/>
  <c r="AB545" i="48"/>
  <c r="AB505" i="48"/>
  <c r="AO496" i="48"/>
  <c r="AC545" i="48"/>
  <c r="BC545" i="48" s="1"/>
  <c r="AB496" i="48"/>
  <c r="AC530" i="48"/>
  <c r="BC530" i="48" s="1"/>
  <c r="AB330" i="48"/>
  <c r="AB482" i="48"/>
  <c r="AC482" i="48"/>
  <c r="BC482" i="48" s="1"/>
  <c r="AC505" i="48"/>
  <c r="BC505" i="48" s="1"/>
  <c r="AC483" i="48"/>
  <c r="BC483" i="48" s="1"/>
  <c r="AC401" i="48"/>
  <c r="BC401" i="48" s="1"/>
  <c r="AB401" i="48"/>
  <c r="AC340" i="48"/>
  <c r="BC340" i="48" s="1"/>
  <c r="AP482" i="48"/>
  <c r="AC306" i="48"/>
  <c r="BC306" i="48" s="1"/>
  <c r="AC343" i="48"/>
  <c r="BC343" i="48" s="1"/>
  <c r="AB394" i="48"/>
  <c r="AB418" i="48"/>
  <c r="AC408" i="48"/>
  <c r="BC408" i="48" s="1"/>
  <c r="AO408" i="48"/>
  <c r="AC435" i="48"/>
  <c r="BC435" i="48" s="1"/>
  <c r="AK484" i="48"/>
  <c r="AM507" i="48"/>
  <c r="AM435" i="48"/>
  <c r="AX57" i="48"/>
  <c r="AW57" i="48"/>
  <c r="AB483" i="48"/>
  <c r="AB343" i="48"/>
  <c r="AB484" i="48"/>
  <c r="AP530" i="48"/>
  <c r="AB530" i="48"/>
  <c r="AB322" i="48"/>
  <c r="AK547" i="48"/>
  <c r="AB408" i="48"/>
  <c r="AO437" i="48"/>
  <c r="AB442" i="48"/>
  <c r="AC442" i="48"/>
  <c r="BC442" i="48" s="1"/>
  <c r="AK442" i="48"/>
  <c r="AB340" i="48"/>
  <c r="AZ57" i="48"/>
  <c r="AV57" i="48"/>
  <c r="AY57" i="48"/>
  <c r="AU57" i="48"/>
  <c r="AO134" i="48"/>
  <c r="AP460" i="48"/>
  <c r="AK512" i="48"/>
  <c r="AB352" i="48"/>
  <c r="AC352" i="48"/>
  <c r="BC352" i="48" s="1"/>
  <c r="AB416" i="48"/>
  <c r="AC416" i="48"/>
  <c r="BC416" i="48" s="1"/>
  <c r="AO498" i="48"/>
  <c r="AB540" i="48"/>
  <c r="AC540" i="48"/>
  <c r="BC540" i="48" s="1"/>
  <c r="AB304" i="48"/>
  <c r="AC304" i="48"/>
  <c r="BC304" i="48" s="1"/>
  <c r="AB503" i="48"/>
  <c r="AC503" i="48"/>
  <c r="BC503" i="48" s="1"/>
  <c r="AC493" i="48"/>
  <c r="BC493" i="48" s="1"/>
  <c r="AB493" i="48"/>
  <c r="AB520" i="48"/>
  <c r="AC520" i="48"/>
  <c r="BC520" i="48" s="1"/>
  <c r="AB453" i="48"/>
  <c r="AC453" i="48"/>
  <c r="BC453" i="48" s="1"/>
  <c r="AB395" i="48"/>
  <c r="AC395" i="48"/>
  <c r="BC395" i="48" s="1"/>
  <c r="AB396" i="48"/>
  <c r="AC396" i="48"/>
  <c r="BC396" i="48" s="1"/>
  <c r="AB446" i="48"/>
  <c r="AC446" i="48"/>
  <c r="BC446" i="48" s="1"/>
  <c r="AB421" i="48"/>
  <c r="AC421" i="48"/>
  <c r="BC421" i="48" s="1"/>
  <c r="AB487" i="48"/>
  <c r="AC487" i="48"/>
  <c r="BC487" i="48" s="1"/>
  <c r="AB478" i="48"/>
  <c r="AC478" i="48"/>
  <c r="BC478" i="48" s="1"/>
  <c r="AB550" i="48"/>
  <c r="AC550" i="48"/>
  <c r="BC550" i="48" s="1"/>
  <c r="AB377" i="48"/>
  <c r="AC377" i="48"/>
  <c r="BC377" i="48" s="1"/>
  <c r="AB303" i="48"/>
  <c r="AC303" i="48"/>
  <c r="BC303" i="48" s="1"/>
  <c r="AB440" i="48"/>
  <c r="AC440" i="48"/>
  <c r="BC440" i="48" s="1"/>
  <c r="AB449" i="48"/>
  <c r="AC449" i="48"/>
  <c r="BC449" i="48" s="1"/>
  <c r="AB542" i="48"/>
  <c r="AC542" i="48"/>
  <c r="BC542" i="48" s="1"/>
  <c r="AB502" i="48"/>
  <c r="AC502" i="48"/>
  <c r="BC502" i="48" s="1"/>
  <c r="AB332" i="48"/>
  <c r="AC332" i="48"/>
  <c r="BC332" i="48" s="1"/>
  <c r="AB363" i="48"/>
  <c r="AC363" i="48"/>
  <c r="BC363" i="48" s="1"/>
  <c r="AB313" i="48"/>
  <c r="AC313" i="48"/>
  <c r="BC313" i="48" s="1"/>
  <c r="AB445" i="48"/>
  <c r="AC445" i="48"/>
  <c r="BC445" i="48" s="1"/>
  <c r="AB310" i="48"/>
  <c r="AC310" i="48"/>
  <c r="BC310" i="48" s="1"/>
  <c r="AB388" i="48"/>
  <c r="AC388" i="48"/>
  <c r="BC388" i="48" s="1"/>
  <c r="AM509" i="48"/>
  <c r="AN392" i="48"/>
  <c r="AM392" i="48"/>
  <c r="AP392" i="48"/>
  <c r="AL392" i="48"/>
  <c r="AK392" i="48"/>
  <c r="AO392" i="48"/>
  <c r="AB428" i="48"/>
  <c r="AC428" i="48"/>
  <c r="BC428" i="48" s="1"/>
  <c r="AB379" i="48"/>
  <c r="AC379" i="48"/>
  <c r="BC379" i="48" s="1"/>
  <c r="AB384" i="48"/>
  <c r="AC384" i="48"/>
  <c r="BC384" i="48" s="1"/>
  <c r="AB311" i="48"/>
  <c r="AC311" i="48"/>
  <c r="BC311" i="48" s="1"/>
  <c r="AB347" i="48"/>
  <c r="AC347" i="48"/>
  <c r="BC347" i="48" s="1"/>
  <c r="AB317" i="48"/>
  <c r="AC317" i="48"/>
  <c r="BC317" i="48" s="1"/>
  <c r="AB405" i="48"/>
  <c r="AC405" i="48"/>
  <c r="BC405" i="48" s="1"/>
  <c r="AB308" i="48"/>
  <c r="AC308" i="48"/>
  <c r="BC308" i="48" s="1"/>
  <c r="AB349" i="48"/>
  <c r="AC349" i="48"/>
  <c r="BC349" i="48" s="1"/>
  <c r="AC365" i="48"/>
  <c r="BC365" i="48" s="1"/>
  <c r="AB365" i="48"/>
  <c r="AB479" i="48"/>
  <c r="AC479" i="48"/>
  <c r="BC479" i="48" s="1"/>
  <c r="AB364" i="48"/>
  <c r="AC364" i="48"/>
  <c r="BC364" i="48" s="1"/>
  <c r="AB444" i="48"/>
  <c r="AC444" i="48"/>
  <c r="BC444" i="48" s="1"/>
  <c r="AB338" i="48"/>
  <c r="AC338" i="48"/>
  <c r="BC338" i="48" s="1"/>
  <c r="AB441" i="48"/>
  <c r="AC441" i="48"/>
  <c r="BC441" i="48" s="1"/>
  <c r="AB433" i="48"/>
  <c r="AC433" i="48"/>
  <c r="BC433" i="48" s="1"/>
  <c r="AB309" i="48"/>
  <c r="AC309" i="48"/>
  <c r="BC309" i="48" s="1"/>
  <c r="AB386" i="48"/>
  <c r="AC386" i="48"/>
  <c r="BC386" i="48" s="1"/>
  <c r="AB334" i="48"/>
  <c r="AC334" i="48"/>
  <c r="BC334" i="48" s="1"/>
  <c r="AC533" i="48"/>
  <c r="BC533" i="48" s="1"/>
  <c r="AB533" i="48"/>
  <c r="AM527" i="48"/>
  <c r="AO527" i="48"/>
  <c r="AK527" i="48"/>
  <c r="AL527" i="48"/>
  <c r="AP527" i="48"/>
  <c r="AN527" i="48"/>
  <c r="AB424" i="48"/>
  <c r="AC424" i="48"/>
  <c r="BC424" i="48" s="1"/>
  <c r="AB380" i="48"/>
  <c r="AC380" i="48"/>
  <c r="BC380" i="48" s="1"/>
  <c r="AB466" i="48"/>
  <c r="AC466" i="48"/>
  <c r="BC466" i="48" s="1"/>
  <c r="AB456" i="48"/>
  <c r="AC456" i="48"/>
  <c r="BC456" i="48" s="1"/>
  <c r="AB315" i="48"/>
  <c r="AC315" i="48"/>
  <c r="BC315" i="48" s="1"/>
  <c r="AB438" i="48"/>
  <c r="AC438" i="48"/>
  <c r="BC438" i="48" s="1"/>
  <c r="AB333" i="48"/>
  <c r="AC333" i="48"/>
  <c r="BC333" i="48" s="1"/>
  <c r="AB494" i="48"/>
  <c r="AC494" i="48"/>
  <c r="BC494" i="48" s="1"/>
  <c r="AB312" i="48"/>
  <c r="AC312" i="48"/>
  <c r="BC312" i="48" s="1"/>
  <c r="AB353" i="48"/>
  <c r="AC353" i="48"/>
  <c r="BC353" i="48" s="1"/>
  <c r="AB348" i="48"/>
  <c r="AC348" i="48"/>
  <c r="BC348" i="48" s="1"/>
  <c r="AB521" i="48"/>
  <c r="AC521" i="48"/>
  <c r="BC521" i="48" s="1"/>
  <c r="AB320" i="48"/>
  <c r="AC320" i="48"/>
  <c r="BC320" i="48" s="1"/>
  <c r="AB531" i="48"/>
  <c r="AC531" i="48"/>
  <c r="BC531" i="48" s="1"/>
  <c r="AB402" i="48"/>
  <c r="AC402" i="48"/>
  <c r="BC402" i="48" s="1"/>
  <c r="AB552" i="48"/>
  <c r="AC552" i="48"/>
  <c r="BC552" i="48" s="1"/>
  <c r="AB460" i="48"/>
  <c r="AC460" i="48"/>
  <c r="BC460" i="48" s="1"/>
  <c r="AB325" i="48"/>
  <c r="AC325" i="48"/>
  <c r="BC325" i="48" s="1"/>
  <c r="AB319" i="48"/>
  <c r="AC319" i="48"/>
  <c r="BC319" i="48" s="1"/>
  <c r="AB538" i="48"/>
  <c r="AC538" i="48"/>
  <c r="BC538" i="48" s="1"/>
  <c r="AB335" i="48"/>
  <c r="AC335" i="48"/>
  <c r="BC335" i="48" s="1"/>
  <c r="AB427" i="48"/>
  <c r="AC427" i="48"/>
  <c r="BC427" i="48" s="1"/>
  <c r="AB526" i="48"/>
  <c r="AC526" i="48"/>
  <c r="BC526" i="48" s="1"/>
  <c r="AB507" i="48"/>
  <c r="AC507" i="48"/>
  <c r="BC507" i="48" s="1"/>
  <c r="AB305" i="48"/>
  <c r="AC305" i="48"/>
  <c r="BC305" i="48" s="1"/>
  <c r="AB420" i="48"/>
  <c r="AC420" i="48"/>
  <c r="BC420" i="48" s="1"/>
  <c r="AB462" i="48"/>
  <c r="AC462" i="48"/>
  <c r="BC462" i="48" s="1"/>
  <c r="AB500" i="48"/>
  <c r="AC500" i="48"/>
  <c r="BC500" i="48" s="1"/>
  <c r="AB432" i="48"/>
  <c r="AC432" i="48"/>
  <c r="BC432" i="48" s="1"/>
  <c r="AB346" i="48"/>
  <c r="AC346" i="48"/>
  <c r="BC346" i="48" s="1"/>
  <c r="AC301" i="48"/>
  <c r="BC301" i="48" s="1"/>
  <c r="AB301" i="48"/>
  <c r="AC549" i="48"/>
  <c r="BC549" i="48" s="1"/>
  <c r="AB549" i="48"/>
  <c r="AB339" i="48"/>
  <c r="AC339" i="48"/>
  <c r="BC339" i="48" s="1"/>
  <c r="AB447" i="48"/>
  <c r="AC447" i="48"/>
  <c r="BC447" i="48" s="1"/>
  <c r="AB399" i="48"/>
  <c r="AC399" i="48"/>
  <c r="BC399" i="48" s="1"/>
  <c r="AB368" i="48"/>
  <c r="AC368" i="48"/>
  <c r="BC368" i="48" s="1"/>
  <c r="AB351" i="48"/>
  <c r="AC351" i="48"/>
  <c r="BC351" i="48" s="1"/>
  <c r="AB431" i="48"/>
  <c r="AC431" i="48"/>
  <c r="BC431" i="48" s="1"/>
  <c r="AO262" i="48"/>
  <c r="AB436" i="48"/>
  <c r="AC436" i="48"/>
  <c r="BC436" i="48" s="1"/>
  <c r="AB544" i="48"/>
  <c r="AC544" i="48"/>
  <c r="BC544" i="48" s="1"/>
  <c r="AB378" i="48"/>
  <c r="AC378" i="48"/>
  <c r="BC378" i="48" s="1"/>
  <c r="AB367" i="48"/>
  <c r="AC367" i="48"/>
  <c r="BC367" i="48" s="1"/>
  <c r="AB519" i="48"/>
  <c r="AC519" i="48"/>
  <c r="BC519" i="48" s="1"/>
  <c r="AB434" i="48"/>
  <c r="AC434" i="48"/>
  <c r="BC434" i="48" s="1"/>
  <c r="AB358" i="48"/>
  <c r="AC358" i="48"/>
  <c r="BC358" i="48" s="1"/>
  <c r="AC501" i="48"/>
  <c r="BC501" i="48" s="1"/>
  <c r="AB501" i="48"/>
  <c r="AB486" i="48"/>
  <c r="AC486" i="48"/>
  <c r="BC486" i="48" s="1"/>
  <c r="AB411" i="48"/>
  <c r="AC411" i="48"/>
  <c r="BC411" i="48" s="1"/>
  <c r="AB397" i="48"/>
  <c r="AC397" i="48"/>
  <c r="BC397" i="48" s="1"/>
  <c r="AB329" i="48"/>
  <c r="AC329" i="48"/>
  <c r="BC329" i="48" s="1"/>
  <c r="AB454" i="48"/>
  <c r="AC454" i="48"/>
  <c r="BC454" i="48" s="1"/>
  <c r="AK336" i="48"/>
  <c r="AB355" i="48"/>
  <c r="AC355" i="48"/>
  <c r="BC355" i="48" s="1"/>
  <c r="AB307" i="48"/>
  <c r="AC307" i="48"/>
  <c r="BC307" i="48" s="1"/>
  <c r="AP359" i="48"/>
  <c r="AL359" i="48"/>
  <c r="AO359" i="48"/>
  <c r="AK359" i="48"/>
  <c r="AN359" i="48"/>
  <c r="AM359" i="48"/>
  <c r="AB417" i="48"/>
  <c r="AC417" i="48"/>
  <c r="BC417" i="48" s="1"/>
  <c r="AB425" i="48"/>
  <c r="AC425" i="48"/>
  <c r="BC425" i="48" s="1"/>
  <c r="AB370" i="48"/>
  <c r="AC370" i="48"/>
  <c r="BC370" i="48" s="1"/>
  <c r="AB357" i="48"/>
  <c r="AC357" i="48"/>
  <c r="BC357" i="48" s="1"/>
  <c r="AB415" i="48"/>
  <c r="AC415" i="48"/>
  <c r="BC415" i="48" s="1"/>
  <c r="AB414" i="48"/>
  <c r="AC414" i="48"/>
  <c r="BC414" i="48" s="1"/>
  <c r="AB439" i="48"/>
  <c r="AC439" i="48"/>
  <c r="BC439" i="48" s="1"/>
  <c r="AB472" i="48"/>
  <c r="AC472" i="48"/>
  <c r="BC472" i="48" s="1"/>
  <c r="AM318" i="48"/>
  <c r="AB393" i="48"/>
  <c r="AC393" i="48"/>
  <c r="BC393" i="48" s="1"/>
  <c r="AB409" i="48"/>
  <c r="AC409" i="48"/>
  <c r="BC409" i="48" s="1"/>
  <c r="AB381" i="48"/>
  <c r="AC381" i="48"/>
  <c r="BC381" i="48" s="1"/>
  <c r="AB511" i="48"/>
  <c r="AC511" i="48"/>
  <c r="BC511" i="48" s="1"/>
  <c r="AB327" i="48"/>
  <c r="AC327" i="48"/>
  <c r="BC327" i="48" s="1"/>
  <c r="AB474" i="48"/>
  <c r="AC474" i="48"/>
  <c r="BC474" i="48" s="1"/>
  <c r="AB361" i="48"/>
  <c r="AC361" i="48"/>
  <c r="BC361" i="48" s="1"/>
  <c r="AB475" i="48"/>
  <c r="AC475" i="48"/>
  <c r="BC475" i="48" s="1"/>
  <c r="AB382" i="48"/>
  <c r="AC382" i="48"/>
  <c r="BC382" i="48" s="1"/>
  <c r="AB468" i="48"/>
  <c r="AC468" i="48"/>
  <c r="BC468" i="48" s="1"/>
  <c r="AB450" i="48"/>
  <c r="AC450" i="48"/>
  <c r="BC450" i="48" s="1"/>
  <c r="AB391" i="48"/>
  <c r="AC391" i="48"/>
  <c r="BC391" i="48" s="1"/>
  <c r="AK383" i="48"/>
  <c r="AP236" i="48"/>
  <c r="AO236" i="48"/>
  <c r="AB372" i="48"/>
  <c r="AC372" i="48"/>
  <c r="BC372" i="48" s="1"/>
  <c r="AB537" i="48"/>
  <c r="AC537" i="48"/>
  <c r="BC537" i="48" s="1"/>
  <c r="AB458" i="48"/>
  <c r="AC458" i="48"/>
  <c r="BC458" i="48" s="1"/>
  <c r="AB398" i="48"/>
  <c r="AC398" i="48"/>
  <c r="BC398" i="48" s="1"/>
  <c r="AB437" i="48"/>
  <c r="AC437" i="48"/>
  <c r="BC437" i="48" s="1"/>
  <c r="AB451" i="48"/>
  <c r="AC451" i="48"/>
  <c r="BC451" i="48" s="1"/>
  <c r="AB350" i="48"/>
  <c r="AC350" i="48"/>
  <c r="BC350" i="48" s="1"/>
  <c r="AB512" i="48"/>
  <c r="AC512" i="48"/>
  <c r="BC512" i="48" s="1"/>
  <c r="AB551" i="48"/>
  <c r="AC551" i="48"/>
  <c r="BC551" i="48" s="1"/>
  <c r="AB470" i="48"/>
  <c r="AC470" i="48"/>
  <c r="BC470" i="48" s="1"/>
  <c r="AB406" i="48"/>
  <c r="AC406" i="48"/>
  <c r="BC406" i="48" s="1"/>
  <c r="AB499" i="48"/>
  <c r="AC499" i="48"/>
  <c r="BC499" i="48" s="1"/>
  <c r="AP510" i="48"/>
  <c r="AB514" i="48"/>
  <c r="AC514" i="48"/>
  <c r="BC514" i="48" s="1"/>
  <c r="AB523" i="48"/>
  <c r="AC523" i="48"/>
  <c r="BC523" i="48" s="1"/>
  <c r="AB341" i="48"/>
  <c r="AC341" i="48"/>
  <c r="BC341" i="48" s="1"/>
  <c r="AB430" i="48"/>
  <c r="AC430" i="48"/>
  <c r="BC430" i="48" s="1"/>
  <c r="AB543" i="48"/>
  <c r="AC543" i="48"/>
  <c r="BC543" i="48" s="1"/>
  <c r="AB314" i="48"/>
  <c r="AC314" i="48"/>
  <c r="BC314" i="48" s="1"/>
  <c r="AB392" i="48"/>
  <c r="AC392" i="48"/>
  <c r="BC392" i="48" s="1"/>
  <c r="AB371" i="48"/>
  <c r="AC371" i="48"/>
  <c r="BC371" i="48" s="1"/>
  <c r="AB404" i="48"/>
  <c r="AC404" i="48"/>
  <c r="BC404" i="48" s="1"/>
  <c r="AO418" i="48"/>
  <c r="AK418" i="48"/>
  <c r="AP418" i="48"/>
  <c r="AN418" i="48"/>
  <c r="AM418" i="48"/>
  <c r="AL418" i="48"/>
  <c r="AB495" i="48"/>
  <c r="AC495" i="48"/>
  <c r="BC495" i="48" s="1"/>
  <c r="AB387" i="48"/>
  <c r="AC387" i="48"/>
  <c r="BC387" i="48" s="1"/>
  <c r="AO489" i="48"/>
  <c r="AB455" i="48"/>
  <c r="AC455" i="48"/>
  <c r="BC455" i="48" s="1"/>
  <c r="AB344" i="48"/>
  <c r="AC344" i="48"/>
  <c r="BC344" i="48" s="1"/>
  <c r="AB316" i="48"/>
  <c r="AC316" i="48"/>
  <c r="BC316" i="48" s="1"/>
  <c r="AB366" i="48"/>
  <c r="AC366" i="48"/>
  <c r="BC366" i="48" s="1"/>
  <c r="AB490" i="48"/>
  <c r="AC490" i="48"/>
  <c r="BC490" i="48" s="1"/>
  <c r="AB342" i="48"/>
  <c r="AC342" i="48"/>
  <c r="BC342" i="48" s="1"/>
  <c r="AM553" i="48"/>
  <c r="AO553" i="48"/>
  <c r="AK553" i="48"/>
  <c r="AP553" i="48"/>
  <c r="AN553" i="48"/>
  <c r="AL553" i="48"/>
  <c r="AP524" i="48"/>
  <c r="AP299" i="48"/>
  <c r="AB539" i="48"/>
  <c r="AC539" i="48"/>
  <c r="BC539" i="48" s="1"/>
  <c r="AC429" i="48"/>
  <c r="BC429" i="48" s="1"/>
  <c r="AB429" i="48"/>
  <c r="AB376" i="48"/>
  <c r="AC376" i="48"/>
  <c r="BC376" i="48" s="1"/>
  <c r="AL328" i="48"/>
  <c r="AB491" i="48"/>
  <c r="AC491" i="48"/>
  <c r="BC491" i="48" s="1"/>
  <c r="AB516" i="48"/>
  <c r="AC516" i="48"/>
  <c r="BC516" i="48" s="1"/>
  <c r="AB471" i="48"/>
  <c r="AC471" i="48"/>
  <c r="BC471" i="48" s="1"/>
  <c r="AB546" i="48"/>
  <c r="AC546" i="48"/>
  <c r="BC546" i="48" s="1"/>
  <c r="AM477" i="48"/>
  <c r="AO477" i="48"/>
  <c r="AK477" i="48"/>
  <c r="AP477" i="48"/>
  <c r="AN477" i="48"/>
  <c r="AL477" i="48"/>
  <c r="AO93" i="48"/>
  <c r="AP93" i="48" s="1"/>
  <c r="AB323" i="48"/>
  <c r="AC323" i="48"/>
  <c r="BC323" i="48" s="1"/>
  <c r="AB345" i="48"/>
  <c r="AC345" i="48"/>
  <c r="BC345" i="48" s="1"/>
  <c r="AB373" i="48"/>
  <c r="AC373" i="48"/>
  <c r="BC373" i="48" s="1"/>
  <c r="AC529" i="48"/>
  <c r="BC529" i="48" s="1"/>
  <c r="AB529" i="48"/>
  <c r="AB385" i="48"/>
  <c r="AC385" i="48"/>
  <c r="BC385" i="48" s="1"/>
  <c r="AB422" i="48"/>
  <c r="AC422" i="48"/>
  <c r="BC422" i="48" s="1"/>
  <c r="AC525" i="48"/>
  <c r="BC525" i="48" s="1"/>
  <c r="AB525" i="48"/>
  <c r="AB354" i="48"/>
  <c r="AC354" i="48"/>
  <c r="BC354" i="48" s="1"/>
  <c r="AC485" i="48"/>
  <c r="BC485" i="48" s="1"/>
  <c r="AB485" i="48"/>
  <c r="AC541" i="48"/>
  <c r="BC541" i="48" s="1"/>
  <c r="AB541" i="48"/>
  <c r="AB331" i="48"/>
  <c r="AC331" i="48"/>
  <c r="BC331" i="48" s="1"/>
  <c r="AO280" i="48"/>
  <c r="AP280" i="48" s="1"/>
  <c r="AB448" i="48"/>
  <c r="AC448" i="48"/>
  <c r="BC448" i="48" s="1"/>
  <c r="AB534" i="48"/>
  <c r="AC534" i="48"/>
  <c r="BC534" i="48" s="1"/>
  <c r="AB506" i="48"/>
  <c r="AC506" i="48"/>
  <c r="BC506" i="48" s="1"/>
  <c r="AB555" i="48"/>
  <c r="AC555" i="48"/>
  <c r="BC555" i="48" s="1"/>
  <c r="AB326" i="48"/>
  <c r="AC326" i="48"/>
  <c r="BC326" i="48" s="1"/>
  <c r="AB463" i="48"/>
  <c r="AC463" i="48"/>
  <c r="BC463" i="48" s="1"/>
  <c r="AB522" i="48"/>
  <c r="AC522" i="48"/>
  <c r="BC522" i="48" s="1"/>
  <c r="AB419" i="48"/>
  <c r="AC419" i="48"/>
  <c r="BC419" i="48" s="1"/>
  <c r="AB412" i="48"/>
  <c r="AC412" i="48"/>
  <c r="BC412" i="48" s="1"/>
  <c r="AB374" i="48"/>
  <c r="AC374" i="48"/>
  <c r="BC374" i="48" s="1"/>
  <c r="AB465" i="48"/>
  <c r="AC465" i="48"/>
  <c r="BC465" i="48" s="1"/>
  <c r="AB407" i="48"/>
  <c r="AC407" i="48"/>
  <c r="BC407" i="48" s="1"/>
  <c r="AB362" i="48"/>
  <c r="AC362" i="48"/>
  <c r="BC362" i="48" s="1"/>
  <c r="AB518" i="48"/>
  <c r="AC518" i="48"/>
  <c r="BC518" i="48" s="1"/>
  <c r="AB467" i="48"/>
  <c r="AC467" i="48"/>
  <c r="BC467" i="48" s="1"/>
  <c r="AB321" i="48"/>
  <c r="AC321" i="48"/>
  <c r="BC321" i="48" s="1"/>
  <c r="AC497" i="48"/>
  <c r="BC497" i="48" s="1"/>
  <c r="AB497" i="48"/>
  <c r="AC517" i="48"/>
  <c r="BC517" i="48" s="1"/>
  <c r="AB517" i="48"/>
  <c r="AB528" i="48"/>
  <c r="AC528" i="48"/>
  <c r="BC528" i="48" s="1"/>
  <c r="AB390" i="48"/>
  <c r="AC390" i="48"/>
  <c r="BC390" i="48" s="1"/>
  <c r="AB369" i="48"/>
  <c r="AC369" i="48"/>
  <c r="BC369" i="48" s="1"/>
  <c r="AB457" i="48"/>
  <c r="AC457" i="48"/>
  <c r="BC457" i="48" s="1"/>
  <c r="AB508" i="48"/>
  <c r="AC508" i="48"/>
  <c r="BC508" i="48" s="1"/>
  <c r="AB473" i="48"/>
  <c r="AC473" i="48"/>
  <c r="BC473" i="48" s="1"/>
  <c r="AK515" i="48"/>
  <c r="AL515" i="48"/>
  <c r="AP515" i="48"/>
  <c r="AB547" i="48"/>
  <c r="AC547" i="48"/>
  <c r="BC547" i="48" s="1"/>
  <c r="AC481" i="48"/>
  <c r="BC481" i="48" s="1"/>
  <c r="AB481" i="48"/>
  <c r="AC513" i="48"/>
  <c r="BC513" i="48" s="1"/>
  <c r="AB513" i="48"/>
  <c r="AB400" i="48"/>
  <c r="AC400" i="48"/>
  <c r="BC400" i="48" s="1"/>
  <c r="BD57" i="48"/>
  <c r="AS55" i="48"/>
  <c r="AD51" i="48"/>
  <c r="AE51" i="48"/>
  <c r="AT55" i="48"/>
  <c r="AN510" i="48" l="1"/>
  <c r="AN383" i="48"/>
  <c r="AP318" i="48"/>
  <c r="AK498" i="48"/>
  <c r="AM449" i="48"/>
  <c r="AM1875" i="48"/>
  <c r="AP874" i="48"/>
  <c r="AN2028" i="48"/>
  <c r="AK763" i="48"/>
  <c r="AP897" i="48"/>
  <c r="AL1273" i="48"/>
  <c r="AK1239" i="48"/>
  <c r="AM610" i="48"/>
  <c r="AK1783" i="48"/>
  <c r="AL1534" i="48"/>
  <c r="AP1502" i="48"/>
  <c r="AL2012" i="48"/>
  <c r="AL1823" i="48"/>
  <c r="AP1547" i="48"/>
  <c r="AO1136" i="48"/>
  <c r="AL1022" i="48"/>
  <c r="AO1994" i="48"/>
  <c r="AM2015" i="48"/>
  <c r="AO977" i="48"/>
  <c r="AN1978" i="48"/>
  <c r="AN1043" i="48"/>
  <c r="AP1083" i="48"/>
  <c r="AP1349" i="48"/>
  <c r="AM617" i="48"/>
  <c r="AL524" i="48"/>
  <c r="AM489" i="48"/>
  <c r="AM510" i="48"/>
  <c r="AO383" i="48"/>
  <c r="AN318" i="48"/>
  <c r="AM874" i="48"/>
  <c r="AK2028" i="48"/>
  <c r="AM897" i="48"/>
  <c r="AN1273" i="48"/>
  <c r="AP1239" i="48"/>
  <c r="AL1783" i="48"/>
  <c r="AK1534" i="48"/>
  <c r="AO2012" i="48"/>
  <c r="AO1823" i="48"/>
  <c r="AK750" i="48"/>
  <c r="AP1136" i="48"/>
  <c r="AK1022" i="48"/>
  <c r="AL977" i="48"/>
  <c r="AO1978" i="48"/>
  <c r="AK1043" i="48"/>
  <c r="AP1333" i="48"/>
  <c r="AO849" i="48"/>
  <c r="AN524" i="48"/>
  <c r="AK510" i="48"/>
  <c r="AL383" i="48"/>
  <c r="AO874" i="48"/>
  <c r="AM2028" i="48"/>
  <c r="AO763" i="48"/>
  <c r="AN897" i="48"/>
  <c r="AO1273" i="48"/>
  <c r="AN1239" i="48"/>
  <c r="AM1783" i="48"/>
  <c r="AN1534" i="48"/>
  <c r="AL1502" i="48"/>
  <c r="AM2012" i="48"/>
  <c r="AM1823" i="48"/>
  <c r="AK1547" i="48"/>
  <c r="AO750" i="48"/>
  <c r="AK1994" i="48"/>
  <c r="AM977" i="48"/>
  <c r="AK1978" i="48"/>
  <c r="AM1043" i="48"/>
  <c r="AK1333" i="48"/>
  <c r="AL1083" i="48"/>
  <c r="AP1284" i="48"/>
  <c r="AM849" i="48"/>
  <c r="AM524" i="48"/>
  <c r="AO510" i="48"/>
  <c r="AP383" i="48"/>
  <c r="AL498" i="48"/>
  <c r="AN1875" i="48"/>
  <c r="AN874" i="48"/>
  <c r="AP763" i="48"/>
  <c r="AK897" i="48"/>
  <c r="AM1239" i="48"/>
  <c r="AN1246" i="48"/>
  <c r="AN1783" i="48"/>
  <c r="AO1534" i="48"/>
  <c r="AM1502" i="48"/>
  <c r="AP2012" i="48"/>
  <c r="AP1823" i="48"/>
  <c r="AL1547" i="48"/>
  <c r="AP750" i="48"/>
  <c r="AL1994" i="48"/>
  <c r="AO2015" i="48"/>
  <c r="AN977" i="48"/>
  <c r="AL1978" i="48"/>
  <c r="AP1043" i="48"/>
  <c r="AM1333" i="48"/>
  <c r="AL1509" i="48"/>
  <c r="AK1083" i="48"/>
  <c r="AM1284" i="48"/>
  <c r="AO1728" i="48"/>
  <c r="AK524" i="48"/>
  <c r="AK318" i="48"/>
  <c r="AN498" i="48"/>
  <c r="AL1875" i="48"/>
  <c r="AL763" i="48"/>
  <c r="AM939" i="48"/>
  <c r="AP1246" i="48"/>
  <c r="AK1502" i="48"/>
  <c r="AN1547" i="48"/>
  <c r="AL750" i="48"/>
  <c r="AP1994" i="48"/>
  <c r="AK2015" i="48"/>
  <c r="AN1333" i="48"/>
  <c r="AM1509" i="48"/>
  <c r="AO1083" i="48"/>
  <c r="AN1284" i="48"/>
  <c r="AP1728" i="48"/>
  <c r="AN1410" i="48"/>
  <c r="AO318" i="48"/>
  <c r="AP498" i="48"/>
  <c r="AN449" i="48"/>
  <c r="AK1875" i="48"/>
  <c r="AL2028" i="48"/>
  <c r="AM763" i="48"/>
  <c r="AP1273" i="48"/>
  <c r="AO939" i="48"/>
  <c r="AO610" i="48"/>
  <c r="AP1382" i="48"/>
  <c r="AN1502" i="48"/>
  <c r="AO1547" i="48"/>
  <c r="AM750" i="48"/>
  <c r="AM1994" i="48"/>
  <c r="AL2015" i="48"/>
  <c r="AK1509" i="48"/>
  <c r="AN1083" i="48"/>
  <c r="AK617" i="48"/>
  <c r="AK449" i="48"/>
  <c r="AP939" i="48"/>
  <c r="AK610" i="48"/>
  <c r="AL617" i="48"/>
  <c r="AP1772" i="48"/>
  <c r="AO1772" i="48"/>
  <c r="AP1312" i="48"/>
  <c r="AN1312" i="48"/>
  <c r="AO1196" i="48"/>
  <c r="AL1196" i="48"/>
  <c r="AM871" i="48"/>
  <c r="AP871" i="48"/>
  <c r="AP1005" i="48"/>
  <c r="AL1005" i="48"/>
  <c r="AO1005" i="48"/>
  <c r="AK1005" i="48"/>
  <c r="AN1734" i="48"/>
  <c r="AM1734" i="48"/>
  <c r="AP1734" i="48"/>
  <c r="AO1734" i="48"/>
  <c r="AK1734" i="48"/>
  <c r="AO1922" i="48"/>
  <c r="AL1922" i="48"/>
  <c r="AK1922" i="48"/>
  <c r="AN1922" i="48"/>
  <c r="AM1922" i="48"/>
  <c r="AN1785" i="48"/>
  <c r="AL1785" i="48"/>
  <c r="AO1785" i="48"/>
  <c r="AK1785" i="48"/>
  <c r="AK1175" i="48"/>
  <c r="AL1175" i="48"/>
  <c r="AP1175" i="48"/>
  <c r="AM1175" i="48"/>
  <c r="AN1175" i="48"/>
  <c r="AL1778" i="48"/>
  <c r="AO1778" i="48"/>
  <c r="AK1778" i="48"/>
  <c r="AN1778" i="48"/>
  <c r="AP156" i="48"/>
  <c r="AO156" i="48"/>
  <c r="AN1690" i="48"/>
  <c r="AM1690" i="48"/>
  <c r="AL1690" i="48"/>
  <c r="AO1690" i="48"/>
  <c r="AK1690" i="48"/>
  <c r="AM600" i="48"/>
  <c r="AL600" i="48"/>
  <c r="AP600" i="48"/>
  <c r="AN600" i="48"/>
  <c r="AO600" i="48"/>
  <c r="AK944" i="48"/>
  <c r="AL944" i="48"/>
  <c r="AP944" i="48"/>
  <c r="AO944" i="48"/>
  <c r="AM755" i="48"/>
  <c r="AL755" i="48"/>
  <c r="AP755" i="48"/>
  <c r="AK755" i="48"/>
  <c r="AK1856" i="48"/>
  <c r="AM1856" i="48"/>
  <c r="AL1856" i="48"/>
  <c r="AP1856" i="48"/>
  <c r="AO1856" i="48"/>
  <c r="AN581" i="48"/>
  <c r="AL581" i="48"/>
  <c r="AK581" i="48"/>
  <c r="AP581" i="48"/>
  <c r="AK1467" i="48"/>
  <c r="AM1467" i="48"/>
  <c r="AL1467" i="48"/>
  <c r="AP805" i="48"/>
  <c r="AO805" i="48"/>
  <c r="AM805" i="48"/>
  <c r="AK805" i="48"/>
  <c r="AN805" i="48"/>
  <c r="AK668" i="48"/>
  <c r="AO668" i="48"/>
  <c r="AP668" i="48"/>
  <c r="AL668" i="48"/>
  <c r="AM1111" i="48"/>
  <c r="AN1111" i="48"/>
  <c r="AO1111" i="48"/>
  <c r="AL1111" i="48"/>
  <c r="AP328" i="48"/>
  <c r="AL336" i="48"/>
  <c r="AL314" i="48"/>
  <c r="AP609" i="48"/>
  <c r="AM890" i="48"/>
  <c r="AL1096" i="48"/>
  <c r="AP1785" i="48"/>
  <c r="AM644" i="48"/>
  <c r="AP644" i="48"/>
  <c r="AN1843" i="48"/>
  <c r="AO1843" i="48"/>
  <c r="AP536" i="48"/>
  <c r="AK536" i="48"/>
  <c r="AM536" i="48"/>
  <c r="AN536" i="48"/>
  <c r="AL1729" i="48"/>
  <c r="AP1729" i="48"/>
  <c r="AO1729" i="48"/>
  <c r="AN1729" i="48"/>
  <c r="AL949" i="48"/>
  <c r="AM949" i="48"/>
  <c r="AO949" i="48"/>
  <c r="AK949" i="48"/>
  <c r="AN949" i="48"/>
  <c r="AP1309" i="48"/>
  <c r="AL1309" i="48"/>
  <c r="AO1309" i="48"/>
  <c r="AN1309" i="48"/>
  <c r="AM1309" i="48"/>
  <c r="AP1618" i="48"/>
  <c r="AO1618" i="48"/>
  <c r="AN1618" i="48"/>
  <c r="AL1618" i="48"/>
  <c r="AK1618" i="48"/>
  <c r="AM1928" i="48"/>
  <c r="AP1928" i="48"/>
  <c r="AO1928" i="48"/>
  <c r="AK1928" i="48"/>
  <c r="AK905" i="48"/>
  <c r="AM905" i="48"/>
  <c r="AL905" i="48"/>
  <c r="AO905" i="48"/>
  <c r="AM1339" i="48"/>
  <c r="AN1339" i="48"/>
  <c r="AN747" i="48"/>
  <c r="AM747" i="48"/>
  <c r="AP747" i="48"/>
  <c r="AO747" i="48"/>
  <c r="AK747" i="48"/>
  <c r="AO1607" i="48"/>
  <c r="AN1607" i="48"/>
  <c r="AK1607" i="48"/>
  <c r="AM1607" i="48"/>
  <c r="AL1607" i="48"/>
  <c r="AK809" i="48"/>
  <c r="AN809" i="48"/>
  <c r="AP809" i="48"/>
  <c r="AM809" i="48"/>
  <c r="AL809" i="48"/>
  <c r="AP604" i="48"/>
  <c r="AN604" i="48"/>
  <c r="AO604" i="48"/>
  <c r="AM604" i="48"/>
  <c r="AL604" i="48"/>
  <c r="AO1807" i="48"/>
  <c r="AN1807" i="48"/>
  <c r="AL1807" i="48"/>
  <c r="AP1807" i="48"/>
  <c r="AP1873" i="48"/>
  <c r="AM1873" i="48"/>
  <c r="AK1873" i="48"/>
  <c r="AN1873" i="48"/>
  <c r="AL1873" i="48"/>
  <c r="AO1238" i="48"/>
  <c r="AL1238" i="48"/>
  <c r="AP1238" i="48"/>
  <c r="AK1238" i="48"/>
  <c r="AM1073" i="48"/>
  <c r="AN1073" i="48"/>
  <c r="AO1073" i="48"/>
  <c r="AK1073" i="48"/>
  <c r="AN662" i="48"/>
  <c r="AK662" i="48"/>
  <c r="AP662" i="48"/>
  <c r="AL662" i="48"/>
  <c r="AM662" i="48"/>
  <c r="AL300" i="48"/>
  <c r="AK300" i="48"/>
  <c r="AO300" i="48"/>
  <c r="AN300" i="48"/>
  <c r="AM300" i="48"/>
  <c r="AO793" i="48"/>
  <c r="AL793" i="48"/>
  <c r="AM793" i="48"/>
  <c r="AK793" i="48"/>
  <c r="AN793" i="48"/>
  <c r="AP2020" i="48"/>
  <c r="AM2020" i="48"/>
  <c r="AK2020" i="48"/>
  <c r="AO2020" i="48"/>
  <c r="AL2020" i="48"/>
  <c r="AO296" i="48"/>
  <c r="AM328" i="48"/>
  <c r="AP336" i="48"/>
  <c r="AL1073" i="48"/>
  <c r="AM1238" i="48"/>
  <c r="AM1729" i="48"/>
  <c r="AO755" i="48"/>
  <c r="AM944" i="48"/>
  <c r="AL1436" i="48"/>
  <c r="AN905" i="48"/>
  <c r="AM1785" i="48"/>
  <c r="AP793" i="48"/>
  <c r="AO1873" i="48"/>
  <c r="AP1922" i="48"/>
  <c r="AK1807" i="48"/>
  <c r="AK1309" i="48"/>
  <c r="AN751" i="48"/>
  <c r="AO751" i="48"/>
  <c r="AP567" i="48"/>
  <c r="AL567" i="48"/>
  <c r="AK1215" i="48"/>
  <c r="AO1215" i="48"/>
  <c r="AM1424" i="48"/>
  <c r="AK1424" i="48"/>
  <c r="AN1424" i="48"/>
  <c r="AO1424" i="48"/>
  <c r="AL1424" i="48"/>
  <c r="AL1256" i="48"/>
  <c r="AN1256" i="48"/>
  <c r="AK1256" i="48"/>
  <c r="AM1958" i="48"/>
  <c r="AN1958" i="48"/>
  <c r="AK1958" i="48"/>
  <c r="AO1982" i="48"/>
  <c r="AN1982" i="48"/>
  <c r="AP1982" i="48"/>
  <c r="AL1982" i="48"/>
  <c r="AK1982" i="48"/>
  <c r="AM611" i="48"/>
  <c r="AK611" i="48"/>
  <c r="AP611" i="48"/>
  <c r="AO611" i="48"/>
  <c r="AM1970" i="48"/>
  <c r="AK1970" i="48"/>
  <c r="AL1970" i="48"/>
  <c r="AO1970" i="48"/>
  <c r="AM1770" i="48"/>
  <c r="AL1770" i="48"/>
  <c r="AO1770" i="48"/>
  <c r="AP1770" i="48"/>
  <c r="AL1053" i="48"/>
  <c r="AK1053" i="48"/>
  <c r="AP1053" i="48"/>
  <c r="AM1053" i="48"/>
  <c r="AN1053" i="48"/>
  <c r="AM1756" i="48"/>
  <c r="AL1756" i="48"/>
  <c r="AK1756" i="48"/>
  <c r="AO1756" i="48"/>
  <c r="AN1756" i="48"/>
  <c r="AP1538" i="48"/>
  <c r="AO1538" i="48"/>
  <c r="AN1538" i="48"/>
  <c r="AM1538" i="48"/>
  <c r="AL1538" i="48"/>
  <c r="AN1786" i="48"/>
  <c r="AO1786" i="48"/>
  <c r="AL1786" i="48"/>
  <c r="AO1669" i="48"/>
  <c r="AK1669" i="48"/>
  <c r="AN1669" i="48"/>
  <c r="AM1669" i="48"/>
  <c r="AL1669" i="48"/>
  <c r="AO990" i="48"/>
  <c r="AL990" i="48"/>
  <c r="AK990" i="48"/>
  <c r="AN990" i="48"/>
  <c r="AM990" i="48"/>
  <c r="AN1522" i="48"/>
  <c r="AK1522" i="48"/>
  <c r="AM1522" i="48"/>
  <c r="AP1522" i="48"/>
  <c r="AN328" i="48"/>
  <c r="AM336" i="48"/>
  <c r="AM1093" i="48"/>
  <c r="AN1770" i="48"/>
  <c r="AK1339" i="48"/>
  <c r="AP1073" i="48"/>
  <c r="AL1928" i="48"/>
  <c r="AM1000" i="48"/>
  <c r="AN1856" i="48"/>
  <c r="AP1778" i="48"/>
  <c r="AO809" i="48"/>
  <c r="AN755" i="48"/>
  <c r="AK1876" i="48"/>
  <c r="AP1027" i="48"/>
  <c r="AN944" i="48"/>
  <c r="AL1176" i="48"/>
  <c r="AL1522" i="48"/>
  <c r="AN611" i="48"/>
  <c r="AM668" i="48"/>
  <c r="AM1807" i="48"/>
  <c r="AN1185" i="48"/>
  <c r="AP1185" i="48"/>
  <c r="AK825" i="48"/>
  <c r="AN825" i="48"/>
  <c r="AO825" i="48"/>
  <c r="AL825" i="48"/>
  <c r="AM825" i="48"/>
  <c r="AN712" i="48"/>
  <c r="AL712" i="48"/>
  <c r="AP389" i="48"/>
  <c r="AL389" i="48"/>
  <c r="AO389" i="48"/>
  <c r="AN389" i="48"/>
  <c r="AM389" i="48"/>
  <c r="AM1025" i="48"/>
  <c r="AO1025" i="48"/>
  <c r="AN1025" i="48"/>
  <c r="AL1025" i="48"/>
  <c r="AN1948" i="48"/>
  <c r="AK1948" i="48"/>
  <c r="AP1948" i="48"/>
  <c r="AM1948" i="48"/>
  <c r="AL1948" i="48"/>
  <c r="AM1415" i="48"/>
  <c r="AK1415" i="48"/>
  <c r="AP1415" i="48"/>
  <c r="AL1415" i="48"/>
  <c r="AO1415" i="48"/>
  <c r="AL1532" i="48"/>
  <c r="AM1532" i="48"/>
  <c r="AP1532" i="48"/>
  <c r="AO1532" i="48"/>
  <c r="AN1532" i="48"/>
  <c r="AL999" i="48"/>
  <c r="AM999" i="48"/>
  <c r="AP999" i="48"/>
  <c r="AK999" i="48"/>
  <c r="AN999" i="48"/>
  <c r="AP1100" i="48"/>
  <c r="AM1100" i="48"/>
  <c r="AK1100" i="48"/>
  <c r="AO1100" i="48"/>
  <c r="AL1100" i="48"/>
  <c r="AK670" i="48"/>
  <c r="AL670" i="48"/>
  <c r="AP670" i="48"/>
  <c r="AL954" i="48"/>
  <c r="AP954" i="48"/>
  <c r="AK954" i="48"/>
  <c r="AN954" i="48"/>
  <c r="AO954" i="48"/>
  <c r="AN1906" i="48"/>
  <c r="AO1906" i="48"/>
  <c r="AL1906" i="48"/>
  <c r="AP1906" i="48"/>
  <c r="AN916" i="48"/>
  <c r="AP916" i="48"/>
  <c r="AO916" i="48"/>
  <c r="AL916" i="48"/>
  <c r="AK811" i="48"/>
  <c r="AM811" i="48"/>
  <c r="AL811" i="48"/>
  <c r="AP811" i="48"/>
  <c r="AO563" i="48"/>
  <c r="AL563" i="48"/>
  <c r="AK563" i="48"/>
  <c r="AP563" i="48"/>
  <c r="AL1952" i="48"/>
  <c r="AO1952" i="48"/>
  <c r="AN1952" i="48"/>
  <c r="AM1952" i="48"/>
  <c r="AP1952" i="48"/>
  <c r="AN1429" i="48"/>
  <c r="AO1429" i="48"/>
  <c r="AL1696" i="48"/>
  <c r="AN1696" i="48"/>
  <c r="AM1696" i="48"/>
  <c r="AP1046" i="48"/>
  <c r="AM1046" i="48"/>
  <c r="AK1046" i="48"/>
  <c r="AN1046" i="48"/>
  <c r="AL1046" i="48"/>
  <c r="AK798" i="48"/>
  <c r="AN798" i="48"/>
  <c r="AL798" i="48"/>
  <c r="AO798" i="48"/>
  <c r="AP798" i="48"/>
  <c r="AM1603" i="48"/>
  <c r="AK1603" i="48"/>
  <c r="AL1603" i="48"/>
  <c r="AO1603" i="48"/>
  <c r="AN1603" i="48"/>
  <c r="AP1146" i="48"/>
  <c r="AM1146" i="48"/>
  <c r="AN1146" i="48"/>
  <c r="AK1146" i="48"/>
  <c r="AO1146" i="48"/>
  <c r="AN560" i="48"/>
  <c r="AO560" i="48"/>
  <c r="AK560" i="48"/>
  <c r="AP1817" i="48"/>
  <c r="AO1817" i="48"/>
  <c r="AN1817" i="48"/>
  <c r="AL1817" i="48"/>
  <c r="AN759" i="48"/>
  <c r="AP759" i="48"/>
  <c r="AM759" i="48"/>
  <c r="AK759" i="48"/>
  <c r="AL759" i="48"/>
  <c r="AP296" i="48"/>
  <c r="AN336" i="48"/>
  <c r="AP990" i="48"/>
  <c r="AM1570" i="48"/>
  <c r="AM1982" i="48"/>
  <c r="AN1928" i="48"/>
  <c r="AP825" i="48"/>
  <c r="AP1025" i="48"/>
  <c r="AM1778" i="48"/>
  <c r="AO1403" i="48"/>
  <c r="AM916" i="48"/>
  <c r="AL673" i="48"/>
  <c r="AO1175" i="48"/>
  <c r="AO1522" i="48"/>
  <c r="AL611" i="48"/>
  <c r="AN668" i="48"/>
  <c r="AO2025" i="48"/>
  <c r="AN2025" i="48"/>
  <c r="AM2025" i="48"/>
  <c r="AK2025" i="48"/>
  <c r="AP2025" i="48"/>
  <c r="AP1940" i="48"/>
  <c r="AL1940" i="48"/>
  <c r="AN1940" i="48"/>
  <c r="AK1940" i="48"/>
  <c r="AO1940" i="48"/>
  <c r="AN1000" i="48"/>
  <c r="AL1000" i="48"/>
  <c r="AP1000" i="48"/>
  <c r="AO1000" i="48"/>
  <c r="AL1673" i="48"/>
  <c r="AP1673" i="48"/>
  <c r="AO1673" i="48"/>
  <c r="AN1673" i="48"/>
  <c r="AK725" i="48"/>
  <c r="AM725" i="48"/>
  <c r="AL725" i="48"/>
  <c r="AP725" i="48"/>
  <c r="AM1328" i="48"/>
  <c r="AK1328" i="48"/>
  <c r="AL1328" i="48"/>
  <c r="AO1328" i="48"/>
  <c r="AM1602" i="48"/>
  <c r="AL1602" i="48"/>
  <c r="AK1602" i="48"/>
  <c r="AO1602" i="48"/>
  <c r="AN1602" i="48"/>
  <c r="AL1253" i="48"/>
  <c r="AN1253" i="48"/>
  <c r="AM1253" i="48"/>
  <c r="AK1253" i="48"/>
  <c r="AK2050" i="48"/>
  <c r="AO2050" i="48"/>
  <c r="AM2050" i="48"/>
  <c r="AL2050" i="48"/>
  <c r="AP2050" i="48"/>
  <c r="AN902" i="48"/>
  <c r="AK902" i="48"/>
  <c r="AM902" i="48"/>
  <c r="AL902" i="48"/>
  <c r="AP2018" i="48"/>
  <c r="AM2018" i="48"/>
  <c r="AL2018" i="48"/>
  <c r="AK2018" i="48"/>
  <c r="AO2018" i="48"/>
  <c r="AN1777" i="48"/>
  <c r="AM1777" i="48"/>
  <c r="AO1777" i="48"/>
  <c r="AK1777" i="48"/>
  <c r="AP1777" i="48"/>
  <c r="AM1673" i="48"/>
  <c r="AP560" i="48"/>
  <c r="AN1415" i="48"/>
  <c r="AO999" i="48"/>
  <c r="AN670" i="48"/>
  <c r="AN725" i="48"/>
  <c r="AM1618" i="48"/>
  <c r="AK916" i="48"/>
  <c r="AL1306" i="48"/>
  <c r="AP1958" i="48"/>
  <c r="AO662" i="48"/>
  <c r="AK1817" i="48"/>
  <c r="AK1177" i="48"/>
  <c r="AO811" i="48"/>
  <c r="AN1467" i="48"/>
  <c r="AM1005" i="48"/>
  <c r="AL1734" i="48"/>
  <c r="AP1669" i="48"/>
  <c r="AP1459" i="48"/>
  <c r="AN1881" i="48"/>
  <c r="AK1881" i="48"/>
  <c r="AK1218" i="48"/>
  <c r="AO1218" i="48"/>
  <c r="AO592" i="48"/>
  <c r="AL592" i="48"/>
  <c r="AK1272" i="48"/>
  <c r="AL1272" i="48"/>
  <c r="AP1272" i="48"/>
  <c r="AO1272" i="48"/>
  <c r="AN1272" i="48"/>
  <c r="AO1794" i="48"/>
  <c r="AK1794" i="48"/>
  <c r="AP1794" i="48"/>
  <c r="AN1794" i="48"/>
  <c r="AM1794" i="48"/>
  <c r="AN1719" i="48"/>
  <c r="AP1719" i="48"/>
  <c r="AO1719" i="48"/>
  <c r="AO673" i="48"/>
  <c r="AP673" i="48"/>
  <c r="AM673" i="48"/>
  <c r="AN673" i="48"/>
  <c r="AP1950" i="48"/>
  <c r="AK1950" i="48"/>
  <c r="AO1950" i="48"/>
  <c r="AM1902" i="48"/>
  <c r="AK1902" i="48"/>
  <c r="AO1902" i="48"/>
  <c r="AL1902" i="48"/>
  <c r="AM1876" i="48"/>
  <c r="AL1876" i="48"/>
  <c r="AO1876" i="48"/>
  <c r="AP1876" i="48"/>
  <c r="AM1736" i="48"/>
  <c r="AN1736" i="48"/>
  <c r="AP1914" i="48"/>
  <c r="AO1914" i="48"/>
  <c r="AK1914" i="48"/>
  <c r="AN1914" i="48"/>
  <c r="AM1914" i="48"/>
  <c r="AP1570" i="48"/>
  <c r="AO1570" i="48"/>
  <c r="AK1570" i="48"/>
  <c r="AL1570" i="48"/>
  <c r="AK314" i="48"/>
  <c r="AM314" i="48"/>
  <c r="AO328" i="48"/>
  <c r="AL536" i="48"/>
  <c r="AK1538" i="48"/>
  <c r="AL556" i="48"/>
  <c r="AK600" i="48"/>
  <c r="AK1111" i="48"/>
  <c r="AM798" i="48"/>
  <c r="AM1817" i="48"/>
  <c r="AN811" i="48"/>
  <c r="AP1902" i="48"/>
  <c r="AP1602" i="48"/>
  <c r="AN1005" i="48"/>
  <c r="AP1328" i="48"/>
  <c r="AP1970" i="48"/>
  <c r="AK1647" i="48"/>
  <c r="AN623" i="48"/>
  <c r="AL623" i="48"/>
  <c r="AN1206" i="48"/>
  <c r="AO1206" i="48"/>
  <c r="AN1177" i="48"/>
  <c r="AO1177" i="48"/>
  <c r="AL1177" i="48"/>
  <c r="AP1177" i="48"/>
  <c r="AO1188" i="48"/>
  <c r="AP1188" i="48"/>
  <c r="AL1188" i="48"/>
  <c r="AN1188" i="48"/>
  <c r="AM1188" i="48"/>
  <c r="AN1008" i="48"/>
  <c r="AP1008" i="48"/>
  <c r="AK1306" i="48"/>
  <c r="AN1306" i="48"/>
  <c r="AM1306" i="48"/>
  <c r="AP1306" i="48"/>
  <c r="AP1403" i="48"/>
  <c r="AK1403" i="48"/>
  <c r="AN1403" i="48"/>
  <c r="AL1403" i="48"/>
  <c r="AP571" i="48"/>
  <c r="AM571" i="48"/>
  <c r="AN761" i="48"/>
  <c r="AK761" i="48"/>
  <c r="AN1176" i="48"/>
  <c r="AK1176" i="48"/>
  <c r="AO1176" i="48"/>
  <c r="AP1176" i="48"/>
  <c r="AO536" i="48"/>
  <c r="AP1690" i="48"/>
  <c r="AK1188" i="48"/>
  <c r="AN2020" i="48"/>
  <c r="AP949" i="48"/>
  <c r="AP1111" i="48"/>
  <c r="AO759" i="48"/>
  <c r="AL747" i="48"/>
  <c r="AM1566" i="48"/>
  <c r="AN1902" i="48"/>
  <c r="AO581" i="48"/>
  <c r="AN1218" i="48"/>
  <c r="AN1328" i="48"/>
  <c r="AN1970" i="48"/>
  <c r="AO1948" i="48"/>
  <c r="AL992" i="48"/>
  <c r="AN1575" i="48"/>
  <c r="AK1639" i="48"/>
  <c r="AK1792" i="48"/>
  <c r="AN1355" i="48"/>
  <c r="AL985" i="48"/>
  <c r="AL2022" i="48"/>
  <c r="AM1127" i="48"/>
  <c r="AL1301" i="48"/>
  <c r="AL1895" i="48"/>
  <c r="AN1454" i="48"/>
  <c r="AO1751" i="48"/>
  <c r="AL1631" i="48"/>
  <c r="AK1040" i="48"/>
  <c r="AO1058" i="48"/>
  <c r="AO1123" i="48"/>
  <c r="AN1033" i="48"/>
  <c r="AO1810" i="48"/>
  <c r="AM1304" i="48"/>
  <c r="AN1949" i="48"/>
  <c r="AP1291" i="48"/>
  <c r="AO928" i="48"/>
  <c r="AO1868" i="48"/>
  <c r="AL1127" i="48"/>
  <c r="AN1301" i="48"/>
  <c r="AP1895" i="48"/>
  <c r="AP1454" i="48"/>
  <c r="AN1751" i="48"/>
  <c r="AN1837" i="48"/>
  <c r="AO59" i="48"/>
  <c r="AP59" i="48" s="1"/>
  <c r="AP449" i="48"/>
  <c r="AP992" i="48"/>
  <c r="AN610" i="48"/>
  <c r="AL610" i="48"/>
  <c r="AK1382" i="48"/>
  <c r="AP1304" i="48"/>
  <c r="AP1355" i="48"/>
  <c r="AO2014" i="48"/>
  <c r="AM1291" i="48"/>
  <c r="AL1136" i="48"/>
  <c r="AM1136" i="48"/>
  <c r="AN1394" i="48"/>
  <c r="AN1022" i="48"/>
  <c r="AM1022" i="48"/>
  <c r="AM2051" i="48"/>
  <c r="AK2051" i="48"/>
  <c r="AP1960" i="48"/>
  <c r="AO1738" i="48"/>
  <c r="AN1738" i="48"/>
  <c r="AL849" i="48"/>
  <c r="AN1127" i="48"/>
  <c r="AL1617" i="48"/>
  <c r="AP1617" i="48"/>
  <c r="AM1301" i="48"/>
  <c r="AK1391" i="48"/>
  <c r="AL1662" i="48"/>
  <c r="AL1944" i="48"/>
  <c r="AL1420" i="48"/>
  <c r="AK1420" i="48"/>
  <c r="AL1421" i="48"/>
  <c r="AO1895" i="48"/>
  <c r="AM1454" i="48"/>
  <c r="AK1454" i="48"/>
  <c r="AO2021" i="48"/>
  <c r="AL1667" i="48"/>
  <c r="AP1751" i="48"/>
  <c r="AO1761" i="48"/>
  <c r="AK1507" i="48"/>
  <c r="AN1125" i="48"/>
  <c r="AL1040" i="48"/>
  <c r="AM946" i="48"/>
  <c r="AP1848" i="48"/>
  <c r="AL449" i="48"/>
  <c r="AM992" i="48"/>
  <c r="AO1304" i="48"/>
  <c r="AK2014" i="48"/>
  <c r="AL1291" i="48"/>
  <c r="AK1394" i="48"/>
  <c r="AL1960" i="48"/>
  <c r="AK1127" i="48"/>
  <c r="AP1301" i="48"/>
  <c r="AM1391" i="48"/>
  <c r="AO1662" i="48"/>
  <c r="AM1944" i="48"/>
  <c r="AP1421" i="48"/>
  <c r="AK1895" i="48"/>
  <c r="AK2021" i="48"/>
  <c r="AO1667" i="48"/>
  <c r="AN1006" i="48"/>
  <c r="AK1751" i="48"/>
  <c r="AN1942" i="48"/>
  <c r="AK1761" i="48"/>
  <c r="AL1507" i="48"/>
  <c r="AL1125" i="48"/>
  <c r="AM1220" i="48"/>
  <c r="AP946" i="48"/>
  <c r="AP1674" i="48"/>
  <c r="AM875" i="48"/>
  <c r="AP1999" i="48"/>
  <c r="AP1912" i="48"/>
  <c r="AN1079" i="48"/>
  <c r="AP1079" i="48"/>
  <c r="AL1304" i="48"/>
  <c r="AL1355" i="48"/>
  <c r="AO1674" i="48"/>
  <c r="AL875" i="48"/>
  <c r="AK1942" i="48"/>
  <c r="AL1999" i="48"/>
  <c r="AL1837" i="48"/>
  <c r="AP1220" i="48"/>
  <c r="AN1040" i="48"/>
  <c r="AO1848" i="48"/>
  <c r="AL2035" i="48"/>
  <c r="AP740" i="48"/>
  <c r="AK1304" i="48"/>
  <c r="AM1355" i="48"/>
  <c r="AP1791" i="48"/>
  <c r="AL1674" i="48"/>
  <c r="AO875" i="48"/>
  <c r="AK1631" i="48"/>
  <c r="AM1999" i="48"/>
  <c r="AO1837" i="48"/>
  <c r="AO1220" i="48"/>
  <c r="AO1040" i="48"/>
  <c r="AM740" i="48"/>
  <c r="AN2035" i="48"/>
  <c r="AM1674" i="48"/>
  <c r="AP875" i="48"/>
  <c r="AN1999" i="48"/>
  <c r="AM1837" i="48"/>
  <c r="AN740" i="48"/>
  <c r="AO1355" i="48"/>
  <c r="AO1791" i="48"/>
  <c r="AN1674" i="48"/>
  <c r="AN875" i="48"/>
  <c r="AL1942" i="48"/>
  <c r="AM1631" i="48"/>
  <c r="AO1999" i="48"/>
  <c r="AP1837" i="48"/>
  <c r="AM1040" i="48"/>
  <c r="AN1204" i="48"/>
  <c r="AK1663" i="48"/>
  <c r="AL1848" i="48"/>
  <c r="AL1791" i="48"/>
  <c r="AM1942" i="48"/>
  <c r="AN1631" i="48"/>
  <c r="AK1220" i="48"/>
  <c r="AK1204" i="48"/>
  <c r="AP1663" i="48"/>
  <c r="AM1848" i="48"/>
  <c r="AM1791" i="48"/>
  <c r="AP1942" i="48"/>
  <c r="AO1631" i="48"/>
  <c r="AL1220" i="48"/>
  <c r="AL1204" i="48"/>
  <c r="AM1663" i="48"/>
  <c r="AN1848" i="48"/>
  <c r="AK740" i="48"/>
  <c r="AP1204" i="48"/>
  <c r="AN1663" i="48"/>
  <c r="AO1094" i="48"/>
  <c r="AN1215" i="48"/>
  <c r="AL1094" i="48"/>
  <c r="AK1265" i="48"/>
  <c r="AL1644" i="48"/>
  <c r="AK1312" i="48"/>
  <c r="AP592" i="48"/>
  <c r="AM1196" i="48"/>
  <c r="AM1265" i="48"/>
  <c r="AM1052" i="48"/>
  <c r="AO712" i="48"/>
  <c r="AP1859" i="48"/>
  <c r="AN632" i="48"/>
  <c r="AP623" i="48"/>
  <c r="AL1299" i="48"/>
  <c r="AN609" i="48"/>
  <c r="AK1659" i="48"/>
  <c r="AN890" i="48"/>
  <c r="AN2054" i="48"/>
  <c r="AO1836" i="48"/>
  <c r="AM452" i="48"/>
  <c r="AK375" i="48"/>
  <c r="AL1597" i="48"/>
  <c r="AM1632" i="48"/>
  <c r="AK1652" i="48"/>
  <c r="AM1857" i="48"/>
  <c r="AP1340" i="48"/>
  <c r="AO1649" i="48"/>
  <c r="AM743" i="48"/>
  <c r="AL797" i="48"/>
  <c r="AO1068" i="48"/>
  <c r="AL1322" i="48"/>
  <c r="AM665" i="48"/>
  <c r="AN1567" i="48"/>
  <c r="AM1678" i="48"/>
  <c r="AP1327" i="48"/>
  <c r="AO588" i="48"/>
  <c r="AM1036" i="48"/>
  <c r="AM769" i="48"/>
  <c r="AP1400" i="48"/>
  <c r="AM859" i="48"/>
  <c r="AO1585" i="48"/>
  <c r="AN726" i="48"/>
  <c r="AL695" i="48"/>
  <c r="AL1651" i="48"/>
  <c r="AM1500" i="48"/>
  <c r="AM1250" i="48"/>
  <c r="AK1442" i="48"/>
  <c r="AN943" i="48"/>
  <c r="AO1702" i="48"/>
  <c r="AK1434" i="48"/>
  <c r="AM1039" i="48"/>
  <c r="AO1062" i="48"/>
  <c r="AN403" i="48"/>
  <c r="AP159" i="48"/>
  <c r="AN1893" i="48"/>
  <c r="AO1390" i="48"/>
  <c r="AO965" i="48"/>
  <c r="AP1377" i="48"/>
  <c r="AK743" i="48"/>
  <c r="AO975" i="48"/>
  <c r="AK2027" i="48"/>
  <c r="AL891" i="48"/>
  <c r="AK565" i="48"/>
  <c r="AN788" i="48"/>
  <c r="AK1660" i="48"/>
  <c r="AK1592" i="48"/>
  <c r="AO698" i="48"/>
  <c r="AK590" i="48"/>
  <c r="AL927" i="48"/>
  <c r="AO1105" i="48"/>
  <c r="AK827" i="48"/>
  <c r="AP1473" i="48"/>
  <c r="AL1409" i="48"/>
  <c r="AN1330" i="48"/>
  <c r="AK995" i="48"/>
  <c r="AN2001" i="48"/>
  <c r="AK830" i="48"/>
  <c r="AN1119" i="48"/>
  <c r="AK1894" i="48"/>
  <c r="AN776" i="48"/>
  <c r="AO1178" i="48"/>
  <c r="AM1223" i="48"/>
  <c r="AK779" i="48"/>
  <c r="AK828" i="48"/>
  <c r="AN885" i="48"/>
  <c r="AN1720" i="48"/>
  <c r="AK1969" i="48"/>
  <c r="AM1590" i="48"/>
  <c r="AM593" i="48"/>
  <c r="AM945" i="48"/>
  <c r="AL1009" i="48"/>
  <c r="AP945" i="48"/>
  <c r="AP154" i="48"/>
  <c r="AL839" i="48"/>
  <c r="AK1079" i="48"/>
  <c r="AO1079" i="48"/>
  <c r="AM1079" i="48"/>
  <c r="AL566" i="48"/>
  <c r="AL1912" i="48"/>
  <c r="AP839" i="48"/>
  <c r="AP1486" i="48"/>
  <c r="AO1486" i="48"/>
  <c r="AK1486" i="48"/>
  <c r="AM1486" i="48"/>
  <c r="AM729" i="48"/>
  <c r="AN729" i="48"/>
  <c r="AN1731" i="48"/>
  <c r="AM1731" i="48"/>
  <c r="AL1731" i="48"/>
  <c r="AP1731" i="48"/>
  <c r="AK1731" i="48"/>
  <c r="AP1241" i="48"/>
  <c r="AO1241" i="48"/>
  <c r="AM1241" i="48"/>
  <c r="AL1260" i="48"/>
  <c r="AO1260" i="48"/>
  <c r="AN1260" i="48"/>
  <c r="AM1260" i="48"/>
  <c r="AK1260" i="48"/>
  <c r="AO1882" i="48"/>
  <c r="AP1882" i="48"/>
  <c r="AN1021" i="48"/>
  <c r="AL1021" i="48"/>
  <c r="AK1021" i="48"/>
  <c r="AM1021" i="48"/>
  <c r="AO1021" i="48"/>
  <c r="AO1004" i="48"/>
  <c r="AM1004" i="48"/>
  <c r="AL1004" i="48"/>
  <c r="AK1004" i="48"/>
  <c r="AP1004" i="48"/>
  <c r="AP1221" i="48"/>
  <c r="AO1221" i="48"/>
  <c r="AN1221" i="48"/>
  <c r="AO1635" i="48"/>
  <c r="AN1635" i="48"/>
  <c r="AM1635" i="48"/>
  <c r="AK1191" i="48"/>
  <c r="AM1191" i="48"/>
  <c r="AL1191" i="48"/>
  <c r="AO1191" i="48"/>
  <c r="AN1191" i="48"/>
  <c r="AP849" i="48"/>
  <c r="AK849" i="48"/>
  <c r="AM1393" i="48"/>
  <c r="AN1393" i="48"/>
  <c r="AP1393" i="48"/>
  <c r="AK1393" i="48"/>
  <c r="AO1393" i="48"/>
  <c r="AL1393" i="48"/>
  <c r="AK754" i="48"/>
  <c r="AN754" i="48"/>
  <c r="AM754" i="48"/>
  <c r="AL754" i="48"/>
  <c r="AO754" i="48"/>
  <c r="AM701" i="48"/>
  <c r="AL701" i="48"/>
  <c r="AP701" i="48"/>
  <c r="AO701" i="48"/>
  <c r="AK701" i="48"/>
  <c r="AN701" i="48"/>
  <c r="AN919" i="48"/>
  <c r="AO919" i="48"/>
  <c r="AL919" i="48"/>
  <c r="AP919" i="48"/>
  <c r="AM919" i="48"/>
  <c r="AK919" i="48"/>
  <c r="AO1959" i="48"/>
  <c r="AL1959" i="48"/>
  <c r="AN1959" i="48"/>
  <c r="AM1959" i="48"/>
  <c r="AK1959" i="48"/>
  <c r="AK618" i="48"/>
  <c r="AP618" i="48"/>
  <c r="AO618" i="48"/>
  <c r="AN618" i="48"/>
  <c r="AL618" i="48"/>
  <c r="AK1042" i="48"/>
  <c r="AO1042" i="48"/>
  <c r="AN1042" i="48"/>
  <c r="AL1042" i="48"/>
  <c r="AM1042" i="48"/>
  <c r="AM1329" i="48"/>
  <c r="AL1329" i="48"/>
  <c r="AK1329" i="48"/>
  <c r="AP1329" i="48"/>
  <c r="AN1329" i="48"/>
  <c r="AK836" i="48"/>
  <c r="AN836" i="48"/>
  <c r="AP836" i="48"/>
  <c r="AO836" i="48"/>
  <c r="AL836" i="48"/>
  <c r="AN685" i="48"/>
  <c r="AM685" i="48"/>
  <c r="AL685" i="48"/>
  <c r="AP685" i="48"/>
  <c r="AK685" i="48"/>
  <c r="AL1732" i="48"/>
  <c r="AP1732" i="48"/>
  <c r="AO1732" i="48"/>
  <c r="AK1732" i="48"/>
  <c r="AM1732" i="48"/>
  <c r="AP1156" i="48"/>
  <c r="AM1156" i="48"/>
  <c r="AN1156" i="48"/>
  <c r="AK1156" i="48"/>
  <c r="AL1156" i="48"/>
  <c r="AO1412" i="48"/>
  <c r="AN1412" i="48"/>
  <c r="AL1412" i="48"/>
  <c r="AM1412" i="48"/>
  <c r="AP1412" i="48"/>
  <c r="AK1803" i="48"/>
  <c r="AP1803" i="48"/>
  <c r="AM1803" i="48"/>
  <c r="AO1803" i="48"/>
  <c r="AL1803" i="48"/>
  <c r="AM994" i="48"/>
  <c r="AO994" i="48"/>
  <c r="AK684" i="48"/>
  <c r="AN684" i="48"/>
  <c r="AM684" i="48"/>
  <c r="AL684" i="48"/>
  <c r="AO684" i="48"/>
  <c r="AL669" i="48"/>
  <c r="AN669" i="48"/>
  <c r="AM669" i="48"/>
  <c r="AM1904" i="48"/>
  <c r="AL1904" i="48"/>
  <c r="AN1904" i="48"/>
  <c r="AK1904" i="48"/>
  <c r="AP1904" i="48"/>
  <c r="AK935" i="48"/>
  <c r="AO935" i="48"/>
  <c r="AL1476" i="48"/>
  <c r="AM1476" i="48"/>
  <c r="AP1476" i="48"/>
  <c r="AO1476" i="48"/>
  <c r="AK1476" i="48"/>
  <c r="AK1011" i="48"/>
  <c r="AN1011" i="48"/>
  <c r="AP1011" i="48"/>
  <c r="AO1011" i="48"/>
  <c r="AM1011" i="48"/>
  <c r="AK884" i="48"/>
  <c r="AN884" i="48"/>
  <c r="AO884" i="48"/>
  <c r="AM884" i="48"/>
  <c r="AL1254" i="48"/>
  <c r="AK1254" i="48"/>
  <c r="AP1254" i="48"/>
  <c r="AO1254" i="48"/>
  <c r="AM1254" i="48"/>
  <c r="AN1092" i="48"/>
  <c r="AL1092" i="48"/>
  <c r="AN1954" i="48"/>
  <c r="AM1954" i="48"/>
  <c r="AP1954" i="48"/>
  <c r="AK1954" i="48"/>
  <c r="AL1954" i="48"/>
  <c r="AN1360" i="48"/>
  <c r="AM1360" i="48"/>
  <c r="AN1682" i="48"/>
  <c r="AM1682" i="48"/>
  <c r="AL1682" i="48"/>
  <c r="AP1682" i="48"/>
  <c r="AK1682" i="48"/>
  <c r="AP1114" i="48"/>
  <c r="AM1114" i="48"/>
  <c r="AN1114" i="48"/>
  <c r="AL1114" i="48"/>
  <c r="AK1114" i="48"/>
  <c r="AO1114" i="48"/>
  <c r="AP1947" i="48"/>
  <c r="AO1947" i="48"/>
  <c r="AM1947" i="48"/>
  <c r="AL1947" i="48"/>
  <c r="AK1947" i="48"/>
  <c r="AN1947" i="48"/>
  <c r="AN1917" i="48"/>
  <c r="AM1917" i="48"/>
  <c r="AO1917" i="48"/>
  <c r="AK1917" i="48"/>
  <c r="AP1917" i="48"/>
  <c r="AL1917" i="48"/>
  <c r="AM608" i="48"/>
  <c r="AL608" i="48"/>
  <c r="AK608" i="48"/>
  <c r="AP608" i="48"/>
  <c r="AN608" i="48"/>
  <c r="AO608" i="48"/>
  <c r="AK1664" i="48"/>
  <c r="AN1664" i="48"/>
  <c r="AM1664" i="48"/>
  <c r="AL1664" i="48"/>
  <c r="AO1664" i="48"/>
  <c r="AP1805" i="48"/>
  <c r="AM1805" i="48"/>
  <c r="AO1805" i="48"/>
  <c r="AN1805" i="48"/>
  <c r="AL1805" i="48"/>
  <c r="AK1805" i="48"/>
  <c r="AO1688" i="48"/>
  <c r="AK1688" i="48"/>
  <c r="AN1688" i="48"/>
  <c r="AM1688" i="48"/>
  <c r="AP1688" i="48"/>
  <c r="AM1844" i="48"/>
  <c r="AL1844" i="48"/>
  <c r="AP1844" i="48"/>
  <c r="AO1844" i="48"/>
  <c r="AN1844" i="48"/>
  <c r="AM1966" i="48"/>
  <c r="AK1966" i="48"/>
  <c r="AL1966" i="48"/>
  <c r="AO572" i="48"/>
  <c r="AM572" i="48"/>
  <c r="AL572" i="48"/>
  <c r="AK572" i="48"/>
  <c r="AN572" i="48"/>
  <c r="AK940" i="48"/>
  <c r="AN940" i="48"/>
  <c r="AP940" i="48"/>
  <c r="AO940" i="48"/>
  <c r="AL940" i="48"/>
  <c r="AN1321" i="48"/>
  <c r="AM1321" i="48"/>
  <c r="AL1321" i="48"/>
  <c r="AK1321" i="48"/>
  <c r="AP1321" i="48"/>
  <c r="AO1321" i="48"/>
  <c r="AN840" i="48"/>
  <c r="AO840" i="48"/>
  <c r="AP840" i="48"/>
  <c r="AL840" i="48"/>
  <c r="AM840" i="48"/>
  <c r="AK840" i="48"/>
  <c r="AN851" i="48"/>
  <c r="AO851" i="48"/>
  <c r="AK851" i="48"/>
  <c r="AO980" i="48"/>
  <c r="AM980" i="48"/>
  <c r="AL980" i="48"/>
  <c r="AK980" i="48"/>
  <c r="AP980" i="48"/>
  <c r="AP757" i="48"/>
  <c r="AO757" i="48"/>
  <c r="AK757" i="48"/>
  <c r="AN757" i="48"/>
  <c r="AL757" i="48"/>
  <c r="AK1121" i="48"/>
  <c r="AP1121" i="48"/>
  <c r="AM1121" i="48"/>
  <c r="AN1121" i="48"/>
  <c r="AL1121" i="48"/>
  <c r="AM577" i="48"/>
  <c r="AL577" i="48"/>
  <c r="AK577" i="48"/>
  <c r="AP577" i="48"/>
  <c r="AO577" i="48"/>
  <c r="AN577" i="48"/>
  <c r="AN714" i="48"/>
  <c r="AM714" i="48"/>
  <c r="AL714" i="48"/>
  <c r="AP714" i="48"/>
  <c r="AO714" i="48"/>
  <c r="AK714" i="48"/>
  <c r="AK1193" i="48"/>
  <c r="AP1193" i="48"/>
  <c r="AO1193" i="48"/>
  <c r="AM1193" i="48"/>
  <c r="AL1193" i="48"/>
  <c r="AP654" i="48"/>
  <c r="AM654" i="48"/>
  <c r="AN654" i="48"/>
  <c r="AK654" i="48"/>
  <c r="AL654" i="48"/>
  <c r="AK903" i="48"/>
  <c r="AO903" i="48"/>
  <c r="AL903" i="48"/>
  <c r="AP903" i="48"/>
  <c r="AN700" i="48"/>
  <c r="AM700" i="48"/>
  <c r="AL700" i="48"/>
  <c r="AP700" i="48"/>
  <c r="AO700" i="48"/>
  <c r="AK782" i="48"/>
  <c r="AN782" i="48"/>
  <c r="AM782" i="48"/>
  <c r="AL782" i="48"/>
  <c r="AP782" i="48"/>
  <c r="AK986" i="48"/>
  <c r="AN986" i="48"/>
  <c r="AO986" i="48"/>
  <c r="AM986" i="48"/>
  <c r="AL986" i="48"/>
  <c r="AM1658" i="48"/>
  <c r="AK1658" i="48"/>
  <c r="AP1658" i="48"/>
  <c r="AO1658" i="48"/>
  <c r="AL1658" i="48"/>
  <c r="AN1658" i="48"/>
  <c r="AP1153" i="48"/>
  <c r="AM1153" i="48"/>
  <c r="AN1153" i="48"/>
  <c r="AO1153" i="48"/>
  <c r="AL1153" i="48"/>
  <c r="AK1936" i="48"/>
  <c r="AO1936" i="48"/>
  <c r="AP1936" i="48"/>
  <c r="AM1936" i="48"/>
  <c r="AL1936" i="48"/>
  <c r="AN1936" i="48"/>
  <c r="AP1714" i="48"/>
  <c r="AO1714" i="48"/>
  <c r="AK1714" i="48"/>
  <c r="AN1714" i="48"/>
  <c r="AL1714" i="48"/>
  <c r="AL1091" i="48"/>
  <c r="AP1091" i="48"/>
  <c r="AM1091" i="48"/>
  <c r="AN1091" i="48"/>
  <c r="AK1091" i="48"/>
  <c r="AK1099" i="48"/>
  <c r="AL1099" i="48"/>
  <c r="AP1099" i="48"/>
  <c r="AO2049" i="48"/>
  <c r="AK2049" i="48"/>
  <c r="AP2049" i="48"/>
  <c r="AM2049" i="48"/>
  <c r="AN2049" i="48"/>
  <c r="AO1606" i="48"/>
  <c r="AN1606" i="48"/>
  <c r="AP1606" i="48"/>
  <c r="AM1606" i="48"/>
  <c r="AK1606" i="48"/>
  <c r="AL1606" i="48"/>
  <c r="AM697" i="48"/>
  <c r="AL697" i="48"/>
  <c r="AP697" i="48"/>
  <c r="AO697" i="48"/>
  <c r="AK697" i="48"/>
  <c r="AN697" i="48"/>
  <c r="AO1225" i="48"/>
  <c r="AM1225" i="48"/>
  <c r="AL1225" i="48"/>
  <c r="AK1225" i="48"/>
  <c r="AP1225" i="48"/>
  <c r="AP2030" i="48"/>
  <c r="AM2030" i="48"/>
  <c r="AM1695" i="48"/>
  <c r="AN1695" i="48"/>
  <c r="AO880" i="48"/>
  <c r="AM880" i="48"/>
  <c r="AK880" i="48"/>
  <c r="AN880" i="48"/>
  <c r="AP880" i="48"/>
  <c r="AM647" i="48"/>
  <c r="AL647" i="48"/>
  <c r="AK647" i="48"/>
  <c r="AP647" i="48"/>
  <c r="AO647" i="48"/>
  <c r="AO1293" i="48"/>
  <c r="AN1293" i="48"/>
  <c r="AP716" i="48"/>
  <c r="AN716" i="48"/>
  <c r="AO716" i="48"/>
  <c r="AK844" i="48"/>
  <c r="AN844" i="48"/>
  <c r="AP844" i="48"/>
  <c r="AO844" i="48"/>
  <c r="AM844" i="48"/>
  <c r="AM1397" i="48"/>
  <c r="AK1397" i="48"/>
  <c r="AP1397" i="48"/>
  <c r="AO1397" i="48"/>
  <c r="AN1397" i="48"/>
  <c r="AL1397" i="48"/>
  <c r="AP1968" i="48"/>
  <c r="AO1968" i="48"/>
  <c r="AL1968" i="48"/>
  <c r="AN1968" i="48"/>
  <c r="AK636" i="48"/>
  <c r="AP636" i="48"/>
  <c r="AN636" i="48"/>
  <c r="AO636" i="48"/>
  <c r="AL636" i="48"/>
  <c r="AM952" i="48"/>
  <c r="AO952" i="48"/>
  <c r="AK952" i="48"/>
  <c r="AN952" i="48"/>
  <c r="AP952" i="48"/>
  <c r="AM1384" i="48"/>
  <c r="AO1384" i="48"/>
  <c r="AN883" i="48"/>
  <c r="AP883" i="48"/>
  <c r="AN752" i="48"/>
  <c r="AM752" i="48"/>
  <c r="AL752" i="48"/>
  <c r="AP752" i="48"/>
  <c r="AO752" i="48"/>
  <c r="AK752" i="48"/>
  <c r="AL615" i="48"/>
  <c r="AK615" i="48"/>
  <c r="AM1128" i="48"/>
  <c r="AN1128" i="48"/>
  <c r="AK1128" i="48"/>
  <c r="AO1128" i="48"/>
  <c r="AL1128" i="48"/>
  <c r="AP1128" i="48"/>
  <c r="AO1295" i="48"/>
  <c r="AN1295" i="48"/>
  <c r="AM1295" i="48"/>
  <c r="AP1295" i="48"/>
  <c r="AL1295" i="48"/>
  <c r="AK1295" i="48"/>
  <c r="AL1852" i="48"/>
  <c r="AP1852" i="48"/>
  <c r="AO1852" i="48"/>
  <c r="AN1852" i="48"/>
  <c r="AM1852" i="48"/>
  <c r="AN1491" i="48"/>
  <c r="AK1491" i="48"/>
  <c r="AM1491" i="48"/>
  <c r="AL1491" i="48"/>
  <c r="AO1491" i="48"/>
  <c r="AN1611" i="48"/>
  <c r="AM1611" i="48"/>
  <c r="AO1276" i="48"/>
  <c r="AN1276" i="48"/>
  <c r="AM1276" i="48"/>
  <c r="AP1276" i="48"/>
  <c r="AK1276" i="48"/>
  <c r="AL1276" i="48"/>
  <c r="AP1501" i="48"/>
  <c r="AO1501" i="48"/>
  <c r="AN1501" i="48"/>
  <c r="AK1501" i="48"/>
  <c r="AL1501" i="48"/>
  <c r="AP1129" i="48"/>
  <c r="AM1129" i="48"/>
  <c r="AN1129" i="48"/>
  <c r="AO1129" i="48"/>
  <c r="AL1129" i="48"/>
  <c r="AK1129" i="48"/>
  <c r="AP1488" i="48"/>
  <c r="AO1488" i="48"/>
  <c r="AN1488" i="48"/>
  <c r="AK1488" i="48"/>
  <c r="AM1488" i="48"/>
  <c r="AN1698" i="48"/>
  <c r="AM1698" i="48"/>
  <c r="AL1698" i="48"/>
  <c r="AP1698" i="48"/>
  <c r="AO1698" i="48"/>
  <c r="AK1698" i="48"/>
  <c r="AM645" i="48"/>
  <c r="AL645" i="48"/>
  <c r="AK645" i="48"/>
  <c r="AP645" i="48"/>
  <c r="AO645" i="48"/>
  <c r="AN645" i="48"/>
  <c r="AM1113" i="48"/>
  <c r="AN1113" i="48"/>
  <c r="AL1113" i="48"/>
  <c r="AK1113" i="48"/>
  <c r="AP1113" i="48"/>
  <c r="AO1186" i="48"/>
  <c r="AP1186" i="48"/>
  <c r="AL1979" i="48"/>
  <c r="AK1979" i="48"/>
  <c r="AO1979" i="48"/>
  <c r="AP1979" i="48"/>
  <c r="AN1979" i="48"/>
  <c r="AM1979" i="48"/>
  <c r="AN1789" i="48"/>
  <c r="AM1789" i="48"/>
  <c r="AL1789" i="48"/>
  <c r="AO1789" i="48"/>
  <c r="AP1789" i="48"/>
  <c r="AM1584" i="48"/>
  <c r="AL1584" i="48"/>
  <c r="AK1584" i="48"/>
  <c r="AP1584" i="48"/>
  <c r="AO1584" i="48"/>
  <c r="AN1584" i="48"/>
  <c r="AP1614" i="48"/>
  <c r="AO1614" i="48"/>
  <c r="AN1614" i="48"/>
  <c r="AM1614" i="48"/>
  <c r="AL1614" i="48"/>
  <c r="AK1614" i="48"/>
  <c r="AP1169" i="48"/>
  <c r="AN1169" i="48"/>
  <c r="AL1169" i="48"/>
  <c r="AN1687" i="48"/>
  <c r="AM1687" i="48"/>
  <c r="AL1687" i="48"/>
  <c r="AP1687" i="48"/>
  <c r="AK1687" i="48"/>
  <c r="AN1891" i="48"/>
  <c r="AP1891" i="48"/>
  <c r="AO1891" i="48"/>
  <c r="AK1891" i="48"/>
  <c r="AM1891" i="48"/>
  <c r="AN1788" i="48"/>
  <c r="AM1788" i="48"/>
  <c r="AL1788" i="48"/>
  <c r="AO1788" i="48"/>
  <c r="AK1788" i="48"/>
  <c r="AK767" i="48"/>
  <c r="AN767" i="48"/>
  <c r="AO767" i="48"/>
  <c r="AM767" i="48"/>
  <c r="AL767" i="48"/>
  <c r="AO1609" i="48"/>
  <c r="AN1609" i="48"/>
  <c r="AK1609" i="48"/>
  <c r="AM1609" i="48"/>
  <c r="AL1609" i="48"/>
  <c r="AM839" i="48"/>
  <c r="AM1912" i="48"/>
  <c r="AO1731" i="48"/>
  <c r="AN1912" i="48"/>
  <c r="AP1260" i="48"/>
  <c r="AL1486" i="48"/>
  <c r="AK1912" i="48"/>
  <c r="AP1021" i="48"/>
  <c r="AK1241" i="48"/>
  <c r="AO638" i="48"/>
  <c r="AN749" i="48"/>
  <c r="AP1937" i="48"/>
  <c r="AO1623" i="48"/>
  <c r="AM741" i="48"/>
  <c r="AP1993" i="48"/>
  <c r="AN509" i="48"/>
  <c r="AM1993" i="48"/>
  <c r="AM1296" i="48"/>
  <c r="AP1849" i="48"/>
  <c r="AN1361" i="48"/>
  <c r="AO1883" i="48"/>
  <c r="AN1953" i="48"/>
  <c r="AO1511" i="48"/>
  <c r="AO1065" i="48"/>
  <c r="AP1216" i="48"/>
  <c r="AK739" i="48"/>
  <c r="AP1748" i="48"/>
  <c r="AM1832" i="48"/>
  <c r="AL1313" i="48"/>
  <c r="AN679" i="48"/>
  <c r="AL756" i="48"/>
  <c r="AO864" i="48"/>
  <c r="AL1915" i="48"/>
  <c r="AM1620" i="48"/>
  <c r="AO1470" i="48"/>
  <c r="AM1213" i="48"/>
  <c r="AN1591" i="48"/>
  <c r="AL1677" i="48"/>
  <c r="AP1568" i="48"/>
  <c r="AK1576" i="48"/>
  <c r="AN824" i="48"/>
  <c r="AP1050" i="48"/>
  <c r="AP509" i="48"/>
  <c r="AN1993" i="48"/>
  <c r="AN621" i="48"/>
  <c r="AO920" i="48"/>
  <c r="AN1296" i="48"/>
  <c r="AP1883" i="48"/>
  <c r="AN1065" i="48"/>
  <c r="AK1216" i="48"/>
  <c r="AK1824" i="48"/>
  <c r="AO739" i="48"/>
  <c r="AL1748" i="48"/>
  <c r="AP1776" i="48"/>
  <c r="AM1313" i="48"/>
  <c r="AK1089" i="48"/>
  <c r="AM756" i="48"/>
  <c r="AP864" i="48"/>
  <c r="AL651" i="48"/>
  <c r="AM564" i="48"/>
  <c r="AP1915" i="48"/>
  <c r="AK1620" i="48"/>
  <c r="AP1181" i="48"/>
  <c r="AP1470" i="48"/>
  <c r="AN1213" i="48"/>
  <c r="AK866" i="48"/>
  <c r="AN1677" i="48"/>
  <c r="AL1576" i="48"/>
  <c r="AK824" i="48"/>
  <c r="AK1229" i="48"/>
  <c r="AK1953" i="48"/>
  <c r="AL1401" i="48"/>
  <c r="AO1271" i="48"/>
  <c r="AN1634" i="48"/>
  <c r="AK509" i="48"/>
  <c r="AO1993" i="48"/>
  <c r="AO1401" i="48"/>
  <c r="AK1379" i="48"/>
  <c r="AM1392" i="48"/>
  <c r="AO1296" i="48"/>
  <c r="AL1929" i="48"/>
  <c r="AL1285" i="48"/>
  <c r="AP1344" i="48"/>
  <c r="AM1065" i="48"/>
  <c r="AM1216" i="48"/>
  <c r="AL1824" i="48"/>
  <c r="AL2046" i="48"/>
  <c r="AP739" i="48"/>
  <c r="AM1748" i="48"/>
  <c r="AK1776" i="48"/>
  <c r="AN1313" i="48"/>
  <c r="AL1089" i="48"/>
  <c r="AN756" i="48"/>
  <c r="AL864" i="48"/>
  <c r="AK651" i="48"/>
  <c r="AK1915" i="48"/>
  <c r="AL1620" i="48"/>
  <c r="AK1181" i="48"/>
  <c r="AL1846" i="48"/>
  <c r="AL1668" i="48"/>
  <c r="AM1576" i="48"/>
  <c r="AK1271" i="48"/>
  <c r="AK1593" i="48"/>
  <c r="AO509" i="48"/>
  <c r="AN1849" i="48"/>
  <c r="AP1285" i="48"/>
  <c r="AL1344" i="48"/>
  <c r="AP1065" i="48"/>
  <c r="AO1216" i="48"/>
  <c r="AN1824" i="48"/>
  <c r="AM2046" i="48"/>
  <c r="AL739" i="48"/>
  <c r="AP1713" i="48"/>
  <c r="AN1748" i="48"/>
  <c r="AO1776" i="48"/>
  <c r="AO1313" i="48"/>
  <c r="AP679" i="48"/>
  <c r="AO1089" i="48"/>
  <c r="AN864" i="48"/>
  <c r="AM651" i="48"/>
  <c r="AO1915" i="48"/>
  <c r="AN1620" i="48"/>
  <c r="AL1181" i="48"/>
  <c r="AK1591" i="48"/>
  <c r="AM1847" i="48"/>
  <c r="AL906" i="48"/>
  <c r="AN1668" i="48"/>
  <c r="AN1576" i="48"/>
  <c r="AN625" i="48"/>
  <c r="AO1593" i="48"/>
  <c r="AL1050" i="48"/>
  <c r="AN1755" i="48"/>
  <c r="AK1993" i="48"/>
  <c r="AP1296" i="48"/>
  <c r="AM1849" i="48"/>
  <c r="AL1883" i="48"/>
  <c r="AM1285" i="48"/>
  <c r="AM1344" i="48"/>
  <c r="AN1839" i="48"/>
  <c r="AM1824" i="48"/>
  <c r="AP2046" i="48"/>
  <c r="AN1287" i="48"/>
  <c r="AO1210" i="48"/>
  <c r="AM1776" i="48"/>
  <c r="AK679" i="48"/>
  <c r="AM1089" i="48"/>
  <c r="AK756" i="48"/>
  <c r="AM1244" i="48"/>
  <c r="AP651" i="48"/>
  <c r="AN1181" i="48"/>
  <c r="AM1470" i="48"/>
  <c r="AO1591" i="48"/>
  <c r="AM653" i="48"/>
  <c r="AM824" i="48"/>
  <c r="AO1050" i="48"/>
  <c r="AL1296" i="48"/>
  <c r="AK1849" i="48"/>
  <c r="AM1883" i="48"/>
  <c r="AP1953" i="48"/>
  <c r="AN1285" i="48"/>
  <c r="AN1344" i="48"/>
  <c r="AK1065" i="48"/>
  <c r="AL1216" i="48"/>
  <c r="AN2046" i="48"/>
  <c r="AP802" i="48"/>
  <c r="AM1274" i="48"/>
  <c r="AK1748" i="48"/>
  <c r="AP1313" i="48"/>
  <c r="AL679" i="48"/>
  <c r="AO756" i="48"/>
  <c r="AO1244" i="48"/>
  <c r="AK1470" i="48"/>
  <c r="AM1591" i="48"/>
  <c r="AP653" i="48"/>
  <c r="AO1576" i="48"/>
  <c r="AP824" i="48"/>
  <c r="AK1050" i="48"/>
  <c r="AL2034" i="48"/>
  <c r="AM2034" i="48"/>
  <c r="AK802" i="48"/>
  <c r="AO1274" i="48"/>
  <c r="AO1671" i="48"/>
  <c r="AM1135" i="48"/>
  <c r="AK452" i="48"/>
  <c r="AO375" i="48"/>
  <c r="AK403" i="48"/>
  <c r="AK1742" i="48"/>
  <c r="AP1597" i="48"/>
  <c r="AL1592" i="48"/>
  <c r="AN1894" i="48"/>
  <c r="AK776" i="48"/>
  <c r="AK1605" i="48"/>
  <c r="AL1632" i="48"/>
  <c r="AO1452" i="48"/>
  <c r="AM1390" i="48"/>
  <c r="AP1378" i="48"/>
  <c r="AP698" i="48"/>
  <c r="AO859" i="48"/>
  <c r="AM965" i="48"/>
  <c r="AK1068" i="48"/>
  <c r="AK1178" i="48"/>
  <c r="AL590" i="48"/>
  <c r="AM1585" i="48"/>
  <c r="AN1377" i="48"/>
  <c r="AO1223" i="48"/>
  <c r="AP1322" i="48"/>
  <c r="AM1652" i="48"/>
  <c r="AO1865" i="48"/>
  <c r="AN1368" i="48"/>
  <c r="AN1217" i="48"/>
  <c r="AO665" i="48"/>
  <c r="AM927" i="48"/>
  <c r="AK1857" i="48"/>
  <c r="AO1506" i="48"/>
  <c r="AN1105" i="48"/>
  <c r="AK1622" i="48"/>
  <c r="AM1340" i="48"/>
  <c r="AP1567" i="48"/>
  <c r="AO1170" i="48"/>
  <c r="AO1799" i="48"/>
  <c r="AK885" i="48"/>
  <c r="AM1560" i="48"/>
  <c r="AL1969" i="48"/>
  <c r="AN975" i="48"/>
  <c r="AM695" i="48"/>
  <c r="AK804" i="48"/>
  <c r="AN1409" i="48"/>
  <c r="AK1651" i="48"/>
  <c r="AL1500" i="48"/>
  <c r="AN1678" i="48"/>
  <c r="AO1250" i="48"/>
  <c r="AP1702" i="48"/>
  <c r="AK1701" i="48"/>
  <c r="AK1814" i="48"/>
  <c r="AO1724" i="48"/>
  <c r="AO1330" i="48"/>
  <c r="AM891" i="48"/>
  <c r="AP1649" i="48"/>
  <c r="AL565" i="48"/>
  <c r="AM1327" i="48"/>
  <c r="AN588" i="48"/>
  <c r="AN1245" i="48"/>
  <c r="AP1036" i="48"/>
  <c r="AO769" i="48"/>
  <c r="AN607" i="48"/>
  <c r="AK788" i="48"/>
  <c r="AO2001" i="48"/>
  <c r="AO1400" i="48"/>
  <c r="AL1442" i="48"/>
  <c r="AP1986" i="48"/>
  <c r="AM1119" i="48"/>
  <c r="AK1935" i="48"/>
  <c r="AM1660" i="48"/>
  <c r="AO403" i="48"/>
  <c r="AN649" i="48"/>
  <c r="AM1597" i="48"/>
  <c r="AM1592" i="48"/>
  <c r="AN1605" i="48"/>
  <c r="AK1632" i="48"/>
  <c r="AM1289" i="48"/>
  <c r="AK1378" i="48"/>
  <c r="AL698" i="48"/>
  <c r="AM1180" i="48"/>
  <c r="AP859" i="48"/>
  <c r="AL965" i="48"/>
  <c r="AN1068" i="48"/>
  <c r="AN1178" i="48"/>
  <c r="AK687" i="48"/>
  <c r="AM590" i="48"/>
  <c r="AP1585" i="48"/>
  <c r="AM1377" i="48"/>
  <c r="AM1322" i="48"/>
  <c r="AM1866" i="48"/>
  <c r="AN1652" i="48"/>
  <c r="AL1908" i="48"/>
  <c r="AL1434" i="48"/>
  <c r="AM1368" i="48"/>
  <c r="AP1217" i="48"/>
  <c r="AO1889" i="48"/>
  <c r="AN665" i="48"/>
  <c r="AO927" i="48"/>
  <c r="AN1857" i="48"/>
  <c r="AM821" i="48"/>
  <c r="AM1105" i="48"/>
  <c r="AM1622" i="48"/>
  <c r="AN1340" i="48"/>
  <c r="AK1170" i="48"/>
  <c r="AM1799" i="48"/>
  <c r="AP1654" i="48"/>
  <c r="AO1969" i="48"/>
  <c r="AN1341" i="48"/>
  <c r="AK975" i="48"/>
  <c r="AN695" i="48"/>
  <c r="AO1409" i="48"/>
  <c r="AN570" i="48"/>
  <c r="AP1651" i="48"/>
  <c r="AK1500" i="48"/>
  <c r="AP768" i="48"/>
  <c r="AL1702" i="48"/>
  <c r="AO1701" i="48"/>
  <c r="AL1814" i="48"/>
  <c r="AO891" i="48"/>
  <c r="AM1649" i="48"/>
  <c r="AM565" i="48"/>
  <c r="AK1727" i="48"/>
  <c r="AM938" i="48"/>
  <c r="AN1327" i="48"/>
  <c r="AP588" i="48"/>
  <c r="AP833" i="48"/>
  <c r="AK1245" i="48"/>
  <c r="AM1989" i="48"/>
  <c r="AP769" i="48"/>
  <c r="AP607" i="48"/>
  <c r="AL1400" i="48"/>
  <c r="AM1442" i="48"/>
  <c r="AK1437" i="48"/>
  <c r="AP1119" i="48"/>
  <c r="AO2053" i="48"/>
  <c r="AO1935" i="48"/>
  <c r="AN1660" i="48"/>
  <c r="AO1367" i="48"/>
  <c r="AP375" i="48"/>
  <c r="AP649" i="48"/>
  <c r="AN1592" i="48"/>
  <c r="AM1893" i="48"/>
  <c r="AO1605" i="48"/>
  <c r="AN1632" i="48"/>
  <c r="AN1289" i="48"/>
  <c r="AL1378" i="48"/>
  <c r="AM698" i="48"/>
  <c r="AK1180" i="48"/>
  <c r="AN859" i="48"/>
  <c r="AP965" i="48"/>
  <c r="AP1068" i="48"/>
  <c r="AO687" i="48"/>
  <c r="AN1585" i="48"/>
  <c r="AO1322" i="48"/>
  <c r="AL1866" i="48"/>
  <c r="AP779" i="48"/>
  <c r="AK1908" i="48"/>
  <c r="AK1062" i="48"/>
  <c r="AK1217" i="48"/>
  <c r="AL828" i="48"/>
  <c r="AP1889" i="48"/>
  <c r="AN927" i="48"/>
  <c r="AO1857" i="48"/>
  <c r="AO821" i="48"/>
  <c r="AP1105" i="48"/>
  <c r="AL1622" i="48"/>
  <c r="AO1340" i="48"/>
  <c r="AL1170" i="48"/>
  <c r="AP1799" i="48"/>
  <c r="AL827" i="48"/>
  <c r="AK1720" i="48"/>
  <c r="AL1473" i="48"/>
  <c r="AL1654" i="48"/>
  <c r="AP1969" i="48"/>
  <c r="AO1818" i="48"/>
  <c r="AO2027" i="48"/>
  <c r="AK726" i="48"/>
  <c r="AK1409" i="48"/>
  <c r="AN1500" i="48"/>
  <c r="AM1702" i="48"/>
  <c r="AP1701" i="48"/>
  <c r="AN1814" i="48"/>
  <c r="AP891" i="48"/>
  <c r="AN1649" i="48"/>
  <c r="AP1230" i="48"/>
  <c r="AO1727" i="48"/>
  <c r="AO938" i="48"/>
  <c r="AL995" i="48"/>
  <c r="AO1327" i="48"/>
  <c r="AM1192" i="48"/>
  <c r="AP1245" i="48"/>
  <c r="AO1989" i="48"/>
  <c r="AN769" i="48"/>
  <c r="AL607" i="48"/>
  <c r="AN1400" i="48"/>
  <c r="AM830" i="48"/>
  <c r="AN593" i="48"/>
  <c r="AK1110" i="48"/>
  <c r="AP2053" i="48"/>
  <c r="AN603" i="48"/>
  <c r="AP1506" i="48"/>
  <c r="AK649" i="48"/>
  <c r="AM1894" i="48"/>
  <c r="AK1893" i="48"/>
  <c r="AL776" i="48"/>
  <c r="AP1109" i="48"/>
  <c r="AO1632" i="48"/>
  <c r="AP1390" i="48"/>
  <c r="AO1289" i="48"/>
  <c r="AN1378" i="48"/>
  <c r="AN698" i="48"/>
  <c r="AN1180" i="48"/>
  <c r="AK859" i="48"/>
  <c r="AN965" i="48"/>
  <c r="AP687" i="48"/>
  <c r="AK1223" i="48"/>
  <c r="AL1160" i="48"/>
  <c r="AK1866" i="48"/>
  <c r="AO779" i="48"/>
  <c r="AN1908" i="48"/>
  <c r="AL1062" i="48"/>
  <c r="AL1217" i="48"/>
  <c r="AM828" i="48"/>
  <c r="AK927" i="48"/>
  <c r="AP1857" i="48"/>
  <c r="AM1461" i="48"/>
  <c r="AP821" i="48"/>
  <c r="AN1622" i="48"/>
  <c r="AL1567" i="48"/>
  <c r="AN1170" i="48"/>
  <c r="AO885" i="48"/>
  <c r="AO827" i="48"/>
  <c r="AO1720" i="48"/>
  <c r="AM1473" i="48"/>
  <c r="AO1654" i="48"/>
  <c r="AM1969" i="48"/>
  <c r="AM1818" i="48"/>
  <c r="AL2027" i="48"/>
  <c r="AO726" i="48"/>
  <c r="AP804" i="48"/>
  <c r="AM1409" i="48"/>
  <c r="AO1500" i="48"/>
  <c r="AK1678" i="48"/>
  <c r="AN1250" i="48"/>
  <c r="AM561" i="48"/>
  <c r="AN1702" i="48"/>
  <c r="AL1701" i="48"/>
  <c r="AO1814" i="48"/>
  <c r="AK1330" i="48"/>
  <c r="AN891" i="48"/>
  <c r="AL1727" i="48"/>
  <c r="AN938" i="48"/>
  <c r="AN1203" i="48"/>
  <c r="AM995" i="48"/>
  <c r="AM1245" i="48"/>
  <c r="AL1036" i="48"/>
  <c r="AL1989" i="48"/>
  <c r="AK769" i="48"/>
  <c r="AM607" i="48"/>
  <c r="AP788" i="48"/>
  <c r="AP2001" i="48"/>
  <c r="AK1400" i="48"/>
  <c r="AO830" i="48"/>
  <c r="AO593" i="48"/>
  <c r="AP1267" i="48"/>
  <c r="AL2053" i="48"/>
  <c r="AO452" i="48"/>
  <c r="AP452" i="48"/>
  <c r="AO210" i="48"/>
  <c r="AL649" i="48"/>
  <c r="AP1894" i="48"/>
  <c r="AL1893" i="48"/>
  <c r="AP652" i="48"/>
  <c r="AM776" i="48"/>
  <c r="AK1390" i="48"/>
  <c r="AO1378" i="48"/>
  <c r="AL1180" i="48"/>
  <c r="AL1234" i="48"/>
  <c r="AL687" i="48"/>
  <c r="AN590" i="48"/>
  <c r="AL1377" i="48"/>
  <c r="AL1223" i="48"/>
  <c r="AK1160" i="48"/>
  <c r="AN1866" i="48"/>
  <c r="AO1652" i="48"/>
  <c r="AK1367" i="48"/>
  <c r="AL779" i="48"/>
  <c r="AN1062" i="48"/>
  <c r="AM1217" i="48"/>
  <c r="AO828" i="48"/>
  <c r="AK1461" i="48"/>
  <c r="AL821" i="48"/>
  <c r="AO1622" i="48"/>
  <c r="AM1567" i="48"/>
  <c r="AM1170" i="48"/>
  <c r="AL1971" i="48"/>
  <c r="AM885" i="48"/>
  <c r="AP827" i="48"/>
  <c r="AP1720" i="48"/>
  <c r="AK1473" i="48"/>
  <c r="AK1654" i="48"/>
  <c r="AP1818" i="48"/>
  <c r="AP975" i="48"/>
  <c r="AM2027" i="48"/>
  <c r="AP726" i="48"/>
  <c r="AK695" i="48"/>
  <c r="AL804" i="48"/>
  <c r="AO1678" i="48"/>
  <c r="AL1250" i="48"/>
  <c r="AM1701" i="48"/>
  <c r="AM1814" i="48"/>
  <c r="AL1330" i="48"/>
  <c r="AN565" i="48"/>
  <c r="AN1727" i="48"/>
  <c r="AN657" i="48"/>
  <c r="AP1657" i="48"/>
  <c r="AO995" i="48"/>
  <c r="AK1598" i="48"/>
  <c r="AN1036" i="48"/>
  <c r="AP1989" i="48"/>
  <c r="AL788" i="48"/>
  <c r="AK2001" i="48"/>
  <c r="AN1442" i="48"/>
  <c r="AL830" i="48"/>
  <c r="AL1119" i="48"/>
  <c r="AP593" i="48"/>
  <c r="AM1267" i="48"/>
  <c r="AN2053" i="48"/>
  <c r="AL1461" i="48"/>
  <c r="AL375" i="48"/>
  <c r="AL452" i="48"/>
  <c r="AN548" i="48"/>
  <c r="AM375" i="48"/>
  <c r="AL1894" i="48"/>
  <c r="AO1893" i="48"/>
  <c r="AO776" i="48"/>
  <c r="AM797" i="48"/>
  <c r="AL1390" i="48"/>
  <c r="AP1180" i="48"/>
  <c r="AM687" i="48"/>
  <c r="AO590" i="48"/>
  <c r="AK1585" i="48"/>
  <c r="AO1377" i="48"/>
  <c r="AP1223" i="48"/>
  <c r="AO1866" i="48"/>
  <c r="AL1652" i="48"/>
  <c r="AM779" i="48"/>
  <c r="AP828" i="48"/>
  <c r="AN1461" i="48"/>
  <c r="AL1506" i="48"/>
  <c r="AL1723" i="48"/>
  <c r="AN821" i="48"/>
  <c r="AK1105" i="48"/>
  <c r="AL1340" i="48"/>
  <c r="AK1567" i="48"/>
  <c r="AK1799" i="48"/>
  <c r="AL885" i="48"/>
  <c r="AM827" i="48"/>
  <c r="AL1720" i="48"/>
  <c r="AN1473" i="48"/>
  <c r="AM1654" i="48"/>
  <c r="AL975" i="48"/>
  <c r="AN2027" i="48"/>
  <c r="AL726" i="48"/>
  <c r="AO695" i="48"/>
  <c r="AM804" i="48"/>
  <c r="AP1678" i="48"/>
  <c r="AK1250" i="48"/>
  <c r="AP1330" i="48"/>
  <c r="AK1649" i="48"/>
  <c r="AO565" i="48"/>
  <c r="AN699" i="48"/>
  <c r="AP995" i="48"/>
  <c r="AK1327" i="48"/>
  <c r="AN1598" i="48"/>
  <c r="AO1036" i="48"/>
  <c r="AN1989" i="48"/>
  <c r="AM788" i="48"/>
  <c r="AL2001" i="48"/>
  <c r="AO1442" i="48"/>
  <c r="AL842" i="48"/>
  <c r="AP830" i="48"/>
  <c r="AK1119" i="48"/>
  <c r="AK593" i="48"/>
  <c r="AN1267" i="48"/>
  <c r="AL943" i="48"/>
  <c r="AL665" i="48"/>
  <c r="AO1484" i="48"/>
  <c r="AN1346" i="48"/>
  <c r="AL822" i="48"/>
  <c r="AO1598" i="48"/>
  <c r="AK557" i="48"/>
  <c r="AK1530" i="48"/>
  <c r="AN596" i="48"/>
  <c r="AP1440" i="48"/>
  <c r="AM1957" i="48"/>
  <c r="AO882" i="48"/>
  <c r="AN1471" i="48"/>
  <c r="AO895" i="48"/>
  <c r="AM630" i="48"/>
  <c r="AK659" i="48"/>
  <c r="AM1426" i="48"/>
  <c r="AP1718" i="48"/>
  <c r="AP1142" i="48"/>
  <c r="AP1665" i="48"/>
  <c r="AO1957" i="48"/>
  <c r="AN557" i="48"/>
  <c r="AN1530" i="48"/>
  <c r="AP596" i="48"/>
  <c r="AK1278" i="48"/>
  <c r="AK1440" i="48"/>
  <c r="AN882" i="48"/>
  <c r="AO1471" i="48"/>
  <c r="AN895" i="48"/>
  <c r="AM659" i="48"/>
  <c r="AL1718" i="48"/>
  <c r="AL1665" i="48"/>
  <c r="AP656" i="48"/>
  <c r="AM557" i="48"/>
  <c r="AP1909" i="48"/>
  <c r="AP1278" i="48"/>
  <c r="AL1440" i="48"/>
  <c r="AL1232" i="48"/>
  <c r="AK882" i="48"/>
  <c r="AL800" i="48"/>
  <c r="AP1471" i="48"/>
  <c r="AK895" i="48"/>
  <c r="AO659" i="48"/>
  <c r="AM1718" i="48"/>
  <c r="AM1665" i="48"/>
  <c r="AL1369" i="48"/>
  <c r="AP1369" i="48"/>
  <c r="AO1530" i="48"/>
  <c r="AK596" i="48"/>
  <c r="AO1369" i="48"/>
  <c r="AP1530" i="48"/>
  <c r="AL596" i="48"/>
  <c r="AO1909" i="48"/>
  <c r="AL1278" i="48"/>
  <c r="AM1440" i="48"/>
  <c r="AN1232" i="48"/>
  <c r="AM800" i="48"/>
  <c r="AN630" i="48"/>
  <c r="AP659" i="48"/>
  <c r="AN1426" i="48"/>
  <c r="AN1718" i="48"/>
  <c r="AO1142" i="48"/>
  <c r="AN1665" i="48"/>
  <c r="AK1232" i="48"/>
  <c r="AP882" i="48"/>
  <c r="AN1012" i="48"/>
  <c r="AP800" i="48"/>
  <c r="AL1471" i="48"/>
  <c r="AP895" i="48"/>
  <c r="AP630" i="48"/>
  <c r="AL1426" i="48"/>
  <c r="AL1142" i="48"/>
  <c r="AN1278" i="48"/>
  <c r="AO557" i="48"/>
  <c r="AL1530" i="48"/>
  <c r="AM1909" i="48"/>
  <c r="AO1440" i="48"/>
  <c r="AM1232" i="48"/>
  <c r="AK656" i="48"/>
  <c r="AK1957" i="48"/>
  <c r="AL882" i="48"/>
  <c r="AN800" i="48"/>
  <c r="AM1471" i="48"/>
  <c r="AL895" i="48"/>
  <c r="AK630" i="48"/>
  <c r="AP1426" i="48"/>
  <c r="AK1718" i="48"/>
  <c r="AN1142" i="48"/>
  <c r="AK1665" i="48"/>
  <c r="AL1909" i="48"/>
  <c r="AN1369" i="48"/>
  <c r="AL1742" i="48"/>
  <c r="AO1411" i="48"/>
  <c r="AN1742" i="48"/>
  <c r="AM719" i="48"/>
  <c r="AK652" i="48"/>
  <c r="AO1109" i="48"/>
  <c r="AN1411" i="48"/>
  <c r="AP1605" i="48"/>
  <c r="AK1289" i="48"/>
  <c r="AP1178" i="48"/>
  <c r="AP1067" i="48"/>
  <c r="AN1596" i="48"/>
  <c r="AL2013" i="48"/>
  <c r="AP1560" i="48"/>
  <c r="AM1463" i="48"/>
  <c r="AL1818" i="48"/>
  <c r="AL1346" i="48"/>
  <c r="AN1651" i="48"/>
  <c r="AL768" i="48"/>
  <c r="AN561" i="48"/>
  <c r="AP938" i="48"/>
  <c r="AM657" i="48"/>
  <c r="AO1579" i="48"/>
  <c r="AP699" i="48"/>
  <c r="AP1192" i="48"/>
  <c r="AM1598" i="48"/>
  <c r="AM833" i="48"/>
  <c r="AM1800" i="48"/>
  <c r="AM1766" i="48"/>
  <c r="AO764" i="48"/>
  <c r="AM1030" i="48"/>
  <c r="AK1267" i="48"/>
  <c r="AN1935" i="48"/>
  <c r="AP1660" i="48"/>
  <c r="AO1234" i="48"/>
  <c r="AK1900" i="48"/>
  <c r="AN719" i="48"/>
  <c r="AN652" i="48"/>
  <c r="AN1109" i="48"/>
  <c r="AK1411" i="48"/>
  <c r="AM1605" i="48"/>
  <c r="AM1452" i="48"/>
  <c r="AL1289" i="48"/>
  <c r="AP1234" i="48"/>
  <c r="AL1068" i="48"/>
  <c r="AK1322" i="48"/>
  <c r="AO1596" i="48"/>
  <c r="AN2013" i="48"/>
  <c r="AK665" i="48"/>
  <c r="AN1809" i="48"/>
  <c r="AM1484" i="48"/>
  <c r="AL1341" i="48"/>
  <c r="AK1463" i="48"/>
  <c r="AN1818" i="48"/>
  <c r="AP1346" i="48"/>
  <c r="AM768" i="48"/>
  <c r="AO561" i="48"/>
  <c r="AL938" i="48"/>
  <c r="AO657" i="48"/>
  <c r="AK1579" i="48"/>
  <c r="AL699" i="48"/>
  <c r="AK1192" i="48"/>
  <c r="AP1598" i="48"/>
  <c r="AL833" i="48"/>
  <c r="AP1800" i="48"/>
  <c r="AN1766" i="48"/>
  <c r="AN764" i="48"/>
  <c r="AM1204" i="48"/>
  <c r="AK607" i="48"/>
  <c r="AL1663" i="48"/>
  <c r="AP842" i="48"/>
  <c r="AL1267" i="48"/>
  <c r="AL1660" i="48"/>
  <c r="AM1109" i="48"/>
  <c r="AM1411" i="48"/>
  <c r="AN1452" i="48"/>
  <c r="AK1234" i="48"/>
  <c r="AM2013" i="48"/>
  <c r="AP1723" i="48"/>
  <c r="AO1809" i="48"/>
  <c r="AN1484" i="48"/>
  <c r="AM1341" i="48"/>
  <c r="AP1463" i="48"/>
  <c r="AO1684" i="48"/>
  <c r="AM1346" i="48"/>
  <c r="AO768" i="48"/>
  <c r="AL561" i="48"/>
  <c r="AK1724" i="48"/>
  <c r="AP657" i="48"/>
  <c r="AN1579" i="48"/>
  <c r="AM699" i="48"/>
  <c r="AL1192" i="48"/>
  <c r="AO833" i="48"/>
  <c r="AK764" i="48"/>
  <c r="AK1986" i="48"/>
  <c r="AO842" i="48"/>
  <c r="AO1110" i="48"/>
  <c r="AO832" i="48"/>
  <c r="AO1742" i="48"/>
  <c r="AK719" i="48"/>
  <c r="AK1452" i="48"/>
  <c r="AL1900" i="48"/>
  <c r="AK1596" i="48"/>
  <c r="AL1560" i="48"/>
  <c r="AO1346" i="48"/>
  <c r="AN1827" i="48"/>
  <c r="AP1724" i="48"/>
  <c r="AL1230" i="48"/>
  <c r="AN1590" i="48"/>
  <c r="AO1192" i="48"/>
  <c r="AN1228" i="48"/>
  <c r="AN833" i="48"/>
  <c r="AO1918" i="48"/>
  <c r="AN1986" i="48"/>
  <c r="AM842" i="48"/>
  <c r="AL1110" i="48"/>
  <c r="AL1935" i="48"/>
  <c r="AP943" i="48"/>
  <c r="AM1971" i="48"/>
  <c r="AO265" i="48"/>
  <c r="AL652" i="48"/>
  <c r="AN1234" i="48"/>
  <c r="AN768" i="48"/>
  <c r="AP1742" i="48"/>
  <c r="AO719" i="48"/>
  <c r="AO943" i="48"/>
  <c r="AM652" i="48"/>
  <c r="AP1411" i="48"/>
  <c r="AL1452" i="48"/>
  <c r="AL1178" i="48"/>
  <c r="AO1900" i="48"/>
  <c r="AL1067" i="48"/>
  <c r="AM1596" i="48"/>
  <c r="AN1865" i="48"/>
  <c r="AK1560" i="48"/>
  <c r="AO1651" i="48"/>
  <c r="AO1827" i="48"/>
  <c r="AL1724" i="48"/>
  <c r="AN1486" i="48"/>
  <c r="AP1727" i="48"/>
  <c r="AL598" i="48"/>
  <c r="AP1228" i="48"/>
  <c r="AP1918" i="48"/>
  <c r="AM764" i="48"/>
  <c r="AN842" i="48"/>
  <c r="AM1049" i="48"/>
  <c r="AN1110" i="48"/>
  <c r="AM2053" i="48"/>
  <c r="AM1935" i="48"/>
  <c r="AK598" i="48"/>
  <c r="AK1067" i="48"/>
  <c r="AO1560" i="48"/>
  <c r="AM1724" i="48"/>
  <c r="AK657" i="48"/>
  <c r="AK699" i="48"/>
  <c r="AK1800" i="48"/>
  <c r="AP1766" i="48"/>
  <c r="AP764" i="48"/>
  <c r="AL1030" i="48"/>
  <c r="AM1110" i="48"/>
  <c r="AP719" i="48"/>
  <c r="AK1109" i="48"/>
  <c r="AL1596" i="48"/>
  <c r="AM1067" i="48"/>
  <c r="AP1865" i="48"/>
  <c r="AL1800" i="48"/>
  <c r="AK1766" i="48"/>
  <c r="AK1030" i="48"/>
  <c r="AP638" i="48"/>
  <c r="AO1014" i="48"/>
  <c r="AK1057" i="48"/>
  <c r="AN741" i="48"/>
  <c r="AO569" i="48"/>
  <c r="AK1455" i="48"/>
  <c r="AO1781" i="48"/>
  <c r="AN1613" i="48"/>
  <c r="AK638" i="48"/>
  <c r="AL1057" i="48"/>
  <c r="AO819" i="48"/>
  <c r="AO1455" i="48"/>
  <c r="AL1781" i="48"/>
  <c r="AL638" i="48"/>
  <c r="AO1057" i="48"/>
  <c r="AK583" i="48"/>
  <c r="AM1497" i="48"/>
  <c r="AK1779" i="48"/>
  <c r="AM638" i="48"/>
  <c r="AN1057" i="48"/>
  <c r="AN580" i="48"/>
  <c r="AL1003" i="48"/>
  <c r="AL1779" i="48"/>
  <c r="AK749" i="48"/>
  <c r="AM1057" i="48"/>
  <c r="AL879" i="48"/>
  <c r="AM1779" i="48"/>
  <c r="AO749" i="48"/>
  <c r="AK741" i="48"/>
  <c r="AK2011" i="48"/>
  <c r="AN1779" i="48"/>
  <c r="AM749" i="48"/>
  <c r="AN1977" i="48"/>
  <c r="AM783" i="48"/>
  <c r="AP783" i="48"/>
  <c r="AK783" i="48"/>
  <c r="AL783" i="48"/>
  <c r="AO1020" i="48"/>
  <c r="AL1020" i="48"/>
  <c r="AP1020" i="48"/>
  <c r="AN1020" i="48"/>
  <c r="AK1020" i="48"/>
  <c r="AP2004" i="48"/>
  <c r="AM2004" i="48"/>
  <c r="AN2004" i="48"/>
  <c r="AL2004" i="48"/>
  <c r="AM1423" i="48"/>
  <c r="AK1423" i="48"/>
  <c r="AP1423" i="48"/>
  <c r="AL1423" i="48"/>
  <c r="AP1078" i="48"/>
  <c r="AO1078" i="48"/>
  <c r="AN1078" i="48"/>
  <c r="AM889" i="48"/>
  <c r="AK889" i="48"/>
  <c r="AN889" i="48"/>
  <c r="AK1529" i="48"/>
  <c r="AM1529" i="48"/>
  <c r="AL1529" i="48"/>
  <c r="AP1529" i="48"/>
  <c r="AN1529" i="48"/>
  <c r="AO1286" i="48"/>
  <c r="AN1286" i="48"/>
  <c r="AM1286" i="48"/>
  <c r="AL1286" i="48"/>
  <c r="AP1286" i="48"/>
  <c r="AP1202" i="48"/>
  <c r="AN1202" i="48"/>
  <c r="AK1202" i="48"/>
  <c r="AM1202" i="48"/>
  <c r="AL1202" i="48"/>
  <c r="AO1202" i="48"/>
  <c r="AN1548" i="48"/>
  <c r="AM1548" i="48"/>
  <c r="AL1548" i="48"/>
  <c r="AO1548" i="48"/>
  <c r="AK1548" i="48"/>
  <c r="AK1672" i="48"/>
  <c r="AN1672" i="48"/>
  <c r="AM1672" i="48"/>
  <c r="AL1672" i="48"/>
  <c r="AO1672" i="48"/>
  <c r="AP1270" i="48"/>
  <c r="AN1270" i="48"/>
  <c r="AL1270" i="48"/>
  <c r="AL1511" i="48"/>
  <c r="AP1511" i="48"/>
  <c r="AN1511" i="48"/>
  <c r="AM1511" i="48"/>
  <c r="AO1416" i="48"/>
  <c r="AL1416" i="48"/>
  <c r="AK1416" i="48"/>
  <c r="AN1416" i="48"/>
  <c r="AL1361" i="48"/>
  <c r="AM1361" i="48"/>
  <c r="AP1361" i="48"/>
  <c r="AO1361" i="48"/>
  <c r="AM2008" i="48"/>
  <c r="AP2008" i="48"/>
  <c r="AO2008" i="48"/>
  <c r="AN2008" i="48"/>
  <c r="AK2008" i="48"/>
  <c r="AL2008" i="48"/>
  <c r="AN1302" i="48"/>
  <c r="AM1302" i="48"/>
  <c r="AL1302" i="48"/>
  <c r="AK1302" i="48"/>
  <c r="AP1302" i="48"/>
  <c r="AO1302" i="48"/>
  <c r="AO1853" i="48"/>
  <c r="AN1853" i="48"/>
  <c r="AL1853" i="48"/>
  <c r="AK1853" i="48"/>
  <c r="AM1853" i="48"/>
  <c r="AP1853" i="48"/>
  <c r="AP1551" i="48"/>
  <c r="AM1551" i="48"/>
  <c r="AL1551" i="48"/>
  <c r="AN1551" i="48"/>
  <c r="AO1551" i="48"/>
  <c r="AP1832" i="48"/>
  <c r="AN1832" i="48"/>
  <c r="AL1832" i="48"/>
  <c r="AK1832" i="48"/>
  <c r="AP360" i="48"/>
  <c r="AL360" i="48"/>
  <c r="AK360" i="48"/>
  <c r="AO360" i="48"/>
  <c r="AM360" i="48"/>
  <c r="AP1836" i="48"/>
  <c r="AN1836" i="48"/>
  <c r="AL1836" i="48"/>
  <c r="AK1836" i="48"/>
  <c r="AK1653" i="48"/>
  <c r="AN1653" i="48"/>
  <c r="AP1653" i="48"/>
  <c r="AL1653" i="48"/>
  <c r="AM1653" i="48"/>
  <c r="AO1640" i="48"/>
  <c r="AN1640" i="48"/>
  <c r="AK1640" i="48"/>
  <c r="AL1640" i="48"/>
  <c r="AM1640" i="48"/>
  <c r="AP1640" i="48"/>
  <c r="AP1347" i="48"/>
  <c r="AL1347" i="48"/>
  <c r="AK1347" i="48"/>
  <c r="AO1347" i="48"/>
  <c r="AM1347" i="48"/>
  <c r="AK1417" i="48"/>
  <c r="AP1417" i="48"/>
  <c r="AO1417" i="48"/>
  <c r="AN1417" i="48"/>
  <c r="AM1417" i="48"/>
  <c r="AP1112" i="48"/>
  <c r="AM1112" i="48"/>
  <c r="AN1112" i="48"/>
  <c r="AK1112" i="48"/>
  <c r="AO1112" i="48"/>
  <c r="AL1112" i="48"/>
  <c r="AM1431" i="48"/>
  <c r="AL1431" i="48"/>
  <c r="AK1431" i="48"/>
  <c r="AP1431" i="48"/>
  <c r="AN1431" i="48"/>
  <c r="AK817" i="48"/>
  <c r="AN817" i="48"/>
  <c r="AP817" i="48"/>
  <c r="AO817" i="48"/>
  <c r="AL817" i="48"/>
  <c r="AO1179" i="48"/>
  <c r="AL1179" i="48"/>
  <c r="AK1179" i="48"/>
  <c r="AP1179" i="48"/>
  <c r="AM1179" i="48"/>
  <c r="AK904" i="48"/>
  <c r="AN904" i="48"/>
  <c r="AP904" i="48"/>
  <c r="AL904" i="48"/>
  <c r="AM904" i="48"/>
  <c r="AK848" i="48"/>
  <c r="AN848" i="48"/>
  <c r="AL848" i="48"/>
  <c r="AP848" i="48"/>
  <c r="AM848" i="48"/>
  <c r="AP1366" i="48"/>
  <c r="AK1366" i="48"/>
  <c r="AM626" i="48"/>
  <c r="AL626" i="48"/>
  <c r="AK626" i="48"/>
  <c r="AP626" i="48"/>
  <c r="AM621" i="48"/>
  <c r="AL621" i="48"/>
  <c r="AK621" i="48"/>
  <c r="AO621" i="48"/>
  <c r="AK1483" i="48"/>
  <c r="AM1483" i="48"/>
  <c r="AL1483" i="48"/>
  <c r="AP1483" i="48"/>
  <c r="AN1483" i="48"/>
  <c r="AO1806" i="48"/>
  <c r="AP1806" i="48"/>
  <c r="AM1806" i="48"/>
  <c r="AN1806" i="48"/>
  <c r="AK1806" i="48"/>
  <c r="AL1418" i="48"/>
  <c r="AM1418" i="48"/>
  <c r="AK1418" i="48"/>
  <c r="AP1418" i="48"/>
  <c r="AO1418" i="48"/>
  <c r="AM1645" i="48"/>
  <c r="AP1645" i="48"/>
  <c r="AO1645" i="48"/>
  <c r="AL1645" i="48"/>
  <c r="AK1645" i="48"/>
  <c r="AN1645" i="48"/>
  <c r="AM1704" i="48"/>
  <c r="AL1704" i="48"/>
  <c r="AN1262" i="48"/>
  <c r="AM1262" i="48"/>
  <c r="AP1548" i="48"/>
  <c r="AK1286" i="48"/>
  <c r="AP1704" i="48"/>
  <c r="AL2044" i="48"/>
  <c r="AP2044" i="48"/>
  <c r="AN2044" i="48"/>
  <c r="AM2044" i="48"/>
  <c r="AK2044" i="48"/>
  <c r="AP1102" i="48"/>
  <c r="AN1102" i="48"/>
  <c r="AL1102" i="48"/>
  <c r="AK1102" i="48"/>
  <c r="AN735" i="48"/>
  <c r="AM735" i="48"/>
  <c r="AL735" i="48"/>
  <c r="AK735" i="48"/>
  <c r="AO2004" i="48"/>
  <c r="AN1681" i="48"/>
  <c r="AM1681" i="48"/>
  <c r="AL1681" i="48"/>
  <c r="AK1681" i="48"/>
  <c r="AM1625" i="48"/>
  <c r="AP1625" i="48"/>
  <c r="AO1625" i="48"/>
  <c r="AK1625" i="48"/>
  <c r="AM1078" i="48"/>
  <c r="AL1262" i="48"/>
  <c r="AK1551" i="48"/>
  <c r="AM461" i="48"/>
  <c r="AO461" i="48"/>
  <c r="AP461" i="48"/>
  <c r="AN1967" i="48"/>
  <c r="AP1967" i="48"/>
  <c r="AK1967" i="48"/>
  <c r="AM1967" i="48"/>
  <c r="AM898" i="48"/>
  <c r="AK898" i="48"/>
  <c r="AN898" i="48"/>
  <c r="AL898" i="48"/>
  <c r="AO1423" i="48"/>
  <c r="AO1529" i="48"/>
  <c r="AP661" i="48"/>
  <c r="AO661" i="48"/>
  <c r="AP963" i="48"/>
  <c r="AK963" i="48"/>
  <c r="AO963" i="48"/>
  <c r="AO660" i="48"/>
  <c r="AM660" i="48"/>
  <c r="AL660" i="48"/>
  <c r="AP660" i="48"/>
  <c r="AK660" i="48"/>
  <c r="AN1423" i="48"/>
  <c r="AM1020" i="48"/>
  <c r="AL766" i="48"/>
  <c r="AO766" i="48"/>
  <c r="AP766" i="48"/>
  <c r="AK766" i="48"/>
  <c r="AM766" i="48"/>
  <c r="AM1416" i="48"/>
  <c r="AM1843" i="48"/>
  <c r="AL1312" i="48"/>
  <c r="AN592" i="48"/>
  <c r="AO1201" i="48"/>
  <c r="AK969" i="48"/>
  <c r="AO1859" i="48"/>
  <c r="AO623" i="48"/>
  <c r="AO1713" i="48"/>
  <c r="AL802" i="48"/>
  <c r="AP1274" i="48"/>
  <c r="AP1210" i="48"/>
  <c r="AM1692" i="48"/>
  <c r="AN1644" i="48"/>
  <c r="AP1256" i="48"/>
  <c r="AL564" i="48"/>
  <c r="AN1135" i="48"/>
  <c r="AN1600" i="48"/>
  <c r="AK567" i="48"/>
  <c r="AL890" i="48"/>
  <c r="AK1196" i="48"/>
  <c r="AO945" i="48"/>
  <c r="AK1436" i="48"/>
  <c r="AP1265" i="48"/>
  <c r="AL653" i="48"/>
  <c r="AN1052" i="48"/>
  <c r="AL1218" i="48"/>
  <c r="AN866" i="48"/>
  <c r="AP1677" i="48"/>
  <c r="AP906" i="48"/>
  <c r="AK712" i="48"/>
  <c r="AO2054" i="48"/>
  <c r="AP1215" i="48"/>
  <c r="AN1568" i="48"/>
  <c r="AP1668" i="48"/>
  <c r="AK1206" i="48"/>
  <c r="AK646" i="48"/>
  <c r="AP1229" i="48"/>
  <c r="AK1287" i="48"/>
  <c r="AO1027" i="48"/>
  <c r="AN2034" i="48"/>
  <c r="AK1843" i="48"/>
  <c r="AM1312" i="48"/>
  <c r="AK592" i="48"/>
  <c r="AM1839" i="48"/>
  <c r="AO632" i="48"/>
  <c r="AK751" i="48"/>
  <c r="AK623" i="48"/>
  <c r="AP1287" i="48"/>
  <c r="AL1713" i="48"/>
  <c r="AN802" i="48"/>
  <c r="AN1274" i="48"/>
  <c r="AL1255" i="48"/>
  <c r="AK1094" i="48"/>
  <c r="AK1283" i="48"/>
  <c r="AK1299" i="48"/>
  <c r="AK1671" i="48"/>
  <c r="AK1772" i="48"/>
  <c r="AM1256" i="48"/>
  <c r="AP1135" i="48"/>
  <c r="AN644" i="48"/>
  <c r="AO609" i="48"/>
  <c r="AL1659" i="48"/>
  <c r="AM567" i="48"/>
  <c r="AO890" i="48"/>
  <c r="AN1196" i="48"/>
  <c r="AL945" i="48"/>
  <c r="AM1436" i="48"/>
  <c r="AL1265" i="48"/>
  <c r="AO653" i="48"/>
  <c r="AP1052" i="48"/>
  <c r="AM1218" i="48"/>
  <c r="AM1677" i="48"/>
  <c r="AN1847" i="48"/>
  <c r="AM906" i="48"/>
  <c r="AP712" i="48"/>
  <c r="AK2054" i="48"/>
  <c r="AM1215" i="48"/>
  <c r="AM1668" i="48"/>
  <c r="AO625" i="48"/>
  <c r="AL1593" i="48"/>
  <c r="AN1229" i="48"/>
  <c r="AP1843" i="48"/>
  <c r="AO1312" i="48"/>
  <c r="AM592" i="48"/>
  <c r="AL1859" i="48"/>
  <c r="AL1839" i="48"/>
  <c r="AP632" i="48"/>
  <c r="AP751" i="48"/>
  <c r="AM623" i="48"/>
  <c r="AN1713" i="48"/>
  <c r="AL1210" i="48"/>
  <c r="AP1255" i="48"/>
  <c r="AP1283" i="48"/>
  <c r="AP1299" i="48"/>
  <c r="AP1671" i="48"/>
  <c r="AL1772" i="48"/>
  <c r="AO1256" i="48"/>
  <c r="AO564" i="48"/>
  <c r="AK644" i="48"/>
  <c r="AK609" i="48"/>
  <c r="AO1659" i="48"/>
  <c r="AM1600" i="48"/>
  <c r="AM1185" i="48"/>
  <c r="AK890" i="48"/>
  <c r="AP1196" i="48"/>
  <c r="AN945" i="48"/>
  <c r="AN1265" i="48"/>
  <c r="AP1881" i="48"/>
  <c r="AN653" i="48"/>
  <c r="AP866" i="48"/>
  <c r="AL1847" i="48"/>
  <c r="AN906" i="48"/>
  <c r="AM712" i="48"/>
  <c r="AM1568" i="48"/>
  <c r="AK625" i="48"/>
  <c r="AM1206" i="48"/>
  <c r="AM1593" i="48"/>
  <c r="AK1343" i="48"/>
  <c r="AK1261" i="48"/>
  <c r="AN1201" i="48"/>
  <c r="AM1859" i="48"/>
  <c r="AK1839" i="48"/>
  <c r="AK632" i="48"/>
  <c r="AL751" i="48"/>
  <c r="AL1343" i="48"/>
  <c r="AK1210" i="48"/>
  <c r="AM1255" i="48"/>
  <c r="AM1283" i="48"/>
  <c r="AM1299" i="48"/>
  <c r="AL1671" i="48"/>
  <c r="AN564" i="48"/>
  <c r="AL1135" i="48"/>
  <c r="AL609" i="48"/>
  <c r="AP1659" i="48"/>
  <c r="AP1600" i="48"/>
  <c r="AN567" i="48"/>
  <c r="AO1185" i="48"/>
  <c r="AN1436" i="48"/>
  <c r="AL1052" i="48"/>
  <c r="AL866" i="48"/>
  <c r="AK1847" i="48"/>
  <c r="AL2054" i="48"/>
  <c r="AL1568" i="48"/>
  <c r="AL625" i="48"/>
  <c r="AP1206" i="48"/>
  <c r="AP1593" i="48"/>
  <c r="AK1201" i="48"/>
  <c r="AM1261" i="48"/>
  <c r="AL1201" i="48"/>
  <c r="AK1859" i="48"/>
  <c r="AO1839" i="48"/>
  <c r="AL632" i="48"/>
  <c r="AM751" i="48"/>
  <c r="AP1343" i="48"/>
  <c r="AM802" i="48"/>
  <c r="AK1274" i="48"/>
  <c r="AM1210" i="48"/>
  <c r="AN1255" i="48"/>
  <c r="AN1283" i="48"/>
  <c r="AN1299" i="48"/>
  <c r="AM1671" i="48"/>
  <c r="AP564" i="48"/>
  <c r="AK1135" i="48"/>
  <c r="AM1659" i="48"/>
  <c r="AK1600" i="48"/>
  <c r="AO567" i="48"/>
  <c r="AO1436" i="48"/>
  <c r="AO1052" i="48"/>
  <c r="AP1218" i="48"/>
  <c r="AM866" i="48"/>
  <c r="AK1677" i="48"/>
  <c r="AO1847" i="48"/>
  <c r="AM2054" i="48"/>
  <c r="AL1215" i="48"/>
  <c r="AK1568" i="48"/>
  <c r="AK1668" i="48"/>
  <c r="AL1206" i="48"/>
  <c r="AP969" i="48"/>
  <c r="AN970" i="48"/>
  <c r="AP1405" i="48"/>
  <c r="AM771" i="48"/>
  <c r="AP1900" i="48"/>
  <c r="AL661" i="48"/>
  <c r="AN661" i="48"/>
  <c r="AN1067" i="48"/>
  <c r="AO2013" i="48"/>
  <c r="AO1723" i="48"/>
  <c r="AN1723" i="48"/>
  <c r="AL1809" i="48"/>
  <c r="AP1809" i="48"/>
  <c r="AK1484" i="48"/>
  <c r="AP735" i="48"/>
  <c r="AL1078" i="48"/>
  <c r="AK1341" i="48"/>
  <c r="AL1463" i="48"/>
  <c r="AO1463" i="48"/>
  <c r="AO898" i="48"/>
  <c r="AN1684" i="48"/>
  <c r="AK822" i="48"/>
  <c r="AK561" i="48"/>
  <c r="AL1827" i="48"/>
  <c r="AP1827" i="48"/>
  <c r="AN1625" i="48"/>
  <c r="AN1230" i="48"/>
  <c r="AO1230" i="48"/>
  <c r="AO783" i="48"/>
  <c r="AO2044" i="48"/>
  <c r="AP1681" i="48"/>
  <c r="AL1579" i="48"/>
  <c r="AP1579" i="48"/>
  <c r="AL1228" i="48"/>
  <c r="AO1228" i="48"/>
  <c r="AO1704" i="48"/>
  <c r="AN1704" i="48"/>
  <c r="AO1800" i="48"/>
  <c r="AO1967" i="48"/>
  <c r="AO1992" i="48"/>
  <c r="AL1918" i="48"/>
  <c r="AN1918" i="48"/>
  <c r="AL1766" i="48"/>
  <c r="AL963" i="48"/>
  <c r="AN963" i="48"/>
  <c r="AP1262" i="48"/>
  <c r="AO1262" i="48"/>
  <c r="AO1030" i="48"/>
  <c r="AK2004" i="48"/>
  <c r="AM1986" i="48"/>
  <c r="AM822" i="48"/>
  <c r="AL1992" i="48"/>
  <c r="AP1033" i="48"/>
  <c r="AP1639" i="48"/>
  <c r="AK1544" i="48"/>
  <c r="AM1900" i="48"/>
  <c r="AK661" i="48"/>
  <c r="AK2013" i="48"/>
  <c r="AK1723" i="48"/>
  <c r="AK1809" i="48"/>
  <c r="AL1484" i="48"/>
  <c r="AO735" i="48"/>
  <c r="AK1078" i="48"/>
  <c r="AP1341" i="48"/>
  <c r="AK1827" i="48"/>
  <c r="AK1230" i="48"/>
  <c r="AO1681" i="48"/>
  <c r="AK1228" i="48"/>
  <c r="AK1704" i="48"/>
  <c r="AL1967" i="48"/>
  <c r="AK1918" i="48"/>
  <c r="AK1262" i="48"/>
  <c r="AN1030" i="48"/>
  <c r="AL1986" i="48"/>
  <c r="AP1365" i="48"/>
  <c r="AM1365" i="48"/>
  <c r="AL1365" i="48"/>
  <c r="AN1365" i="48"/>
  <c r="AK1365" i="48"/>
  <c r="AP2055" i="48"/>
  <c r="AL2055" i="48"/>
  <c r="AO2055" i="48"/>
  <c r="AK2055" i="48"/>
  <c r="AN2055" i="48"/>
  <c r="AM2055" i="48"/>
  <c r="AO655" i="48"/>
  <c r="AM655" i="48"/>
  <c r="AL655" i="48"/>
  <c r="AK655" i="48"/>
  <c r="AN655" i="48"/>
  <c r="AP655" i="48"/>
  <c r="AK979" i="48"/>
  <c r="AM979" i="48"/>
  <c r="AN979" i="48"/>
  <c r="AL979" i="48"/>
  <c r="AP979" i="48"/>
  <c r="AO979" i="48"/>
  <c r="AK950" i="48"/>
  <c r="AP950" i="48"/>
  <c r="AN950" i="48"/>
  <c r="AL950" i="48"/>
  <c r="AM950" i="48"/>
  <c r="AO950" i="48"/>
  <c r="AN1725" i="48"/>
  <c r="AP1725" i="48"/>
  <c r="AO1725" i="48"/>
  <c r="AL1725" i="48"/>
  <c r="AO1991" i="48"/>
  <c r="AL1991" i="48"/>
  <c r="AK1991" i="48"/>
  <c r="AP1991" i="48"/>
  <c r="AL1358" i="48"/>
  <c r="AO1358" i="48"/>
  <c r="AP1358" i="48"/>
  <c r="AN1358" i="48"/>
  <c r="AM1358" i="48"/>
  <c r="AK1358" i="48"/>
  <c r="AN850" i="48"/>
  <c r="AP850" i="48"/>
  <c r="AO850" i="48"/>
  <c r="AK850" i="48"/>
  <c r="AM850" i="48"/>
  <c r="AL850" i="48"/>
  <c r="AM1775" i="48"/>
  <c r="AP1775" i="48"/>
  <c r="AL1775" i="48"/>
  <c r="AO1879" i="48"/>
  <c r="AN1879" i="48"/>
  <c r="AK1879" i="48"/>
  <c r="AL1879" i="48"/>
  <c r="AP1879" i="48"/>
  <c r="AM1879" i="48"/>
  <c r="AO1767" i="48"/>
  <c r="AN1767" i="48"/>
  <c r="AK1767" i="48"/>
  <c r="AM1767" i="48"/>
  <c r="AP1767" i="48"/>
  <c r="AK1441" i="48"/>
  <c r="AP1441" i="48"/>
  <c r="AM1441" i="48"/>
  <c r="AO1441" i="48"/>
  <c r="AK1975" i="48"/>
  <c r="AM1975" i="48"/>
  <c r="AO1975" i="48"/>
  <c r="AL1975" i="48"/>
  <c r="AP1975" i="48"/>
  <c r="AN1951" i="48"/>
  <c r="AO1951" i="48"/>
  <c r="AK2036" i="48"/>
  <c r="AN2036" i="48"/>
  <c r="AO2036" i="48"/>
  <c r="AM2036" i="48"/>
  <c r="AP2036" i="48"/>
  <c r="AL2036" i="48"/>
  <c r="AM667" i="48"/>
  <c r="AN667" i="48"/>
  <c r="AK667" i="48"/>
  <c r="AP667" i="48"/>
  <c r="AL667" i="48"/>
  <c r="AN680" i="48"/>
  <c r="AO680" i="48"/>
  <c r="AM680" i="48"/>
  <c r="AL680" i="48"/>
  <c r="AO955" i="48"/>
  <c r="AK955" i="48"/>
  <c r="AM955" i="48"/>
  <c r="AN955" i="48"/>
  <c r="AL955" i="48"/>
  <c r="AP955" i="48"/>
  <c r="AP601" i="48"/>
  <c r="AM601" i="48"/>
  <c r="AO601" i="48"/>
  <c r="AK601" i="48"/>
  <c r="AN601" i="48"/>
  <c r="AL601" i="48"/>
  <c r="AN973" i="48"/>
  <c r="AM973" i="48"/>
  <c r="AP973" i="48"/>
  <c r="AL973" i="48"/>
  <c r="AN942" i="48"/>
  <c r="AO942" i="48"/>
  <c r="AL942" i="48"/>
  <c r="AN1493" i="48"/>
  <c r="AK1493" i="48"/>
  <c r="AP1493" i="48"/>
  <c r="AO1493" i="48"/>
  <c r="AM1493" i="48"/>
  <c r="AL1493" i="48"/>
  <c r="AL1680" i="48"/>
  <c r="AP1680" i="48"/>
  <c r="AN1680" i="48"/>
  <c r="AO1680" i="48"/>
  <c r="AO1497" i="48"/>
  <c r="AL1497" i="48"/>
  <c r="AN1497" i="48"/>
  <c r="AK1497" i="48"/>
  <c r="AP702" i="48"/>
  <c r="AN702" i="48"/>
  <c r="AO702" i="48"/>
  <c r="AM702" i="48"/>
  <c r="AK702" i="48"/>
  <c r="AM1233" i="48"/>
  <c r="AN1233" i="48"/>
  <c r="AO1233" i="48"/>
  <c r="AO962" i="48"/>
  <c r="AP962" i="48"/>
  <c r="AL1231" i="48"/>
  <c r="AM1231" i="48"/>
  <c r="AP1231" i="48"/>
  <c r="AO1815" i="48"/>
  <c r="AN1815" i="48"/>
  <c r="AP1815" i="48"/>
  <c r="AL1815" i="48"/>
  <c r="AM1835" i="48"/>
  <c r="AO1835" i="48"/>
  <c r="AN1835" i="48"/>
  <c r="AL1835" i="48"/>
  <c r="AM1995" i="48"/>
  <c r="AK1995" i="48"/>
  <c r="AO1995" i="48"/>
  <c r="AP1995" i="48"/>
  <c r="AL1026" i="48"/>
  <c r="AM1026" i="48"/>
  <c r="AK1026" i="48"/>
  <c r="AP1716" i="48"/>
  <c r="AN1716" i="48"/>
  <c r="AO1716" i="48"/>
  <c r="AM1716" i="48"/>
  <c r="AL1716" i="48"/>
  <c r="AK1716" i="48"/>
  <c r="AP1419" i="48"/>
  <c r="AO1419" i="48"/>
  <c r="AM1419" i="48"/>
  <c r="AN1851" i="48"/>
  <c r="AK1851" i="48"/>
  <c r="AP1851" i="48"/>
  <c r="AM1851" i="48"/>
  <c r="AL968" i="48"/>
  <c r="AP968" i="48"/>
  <c r="AK968" i="48"/>
  <c r="AM968" i="48"/>
  <c r="AL613" i="48"/>
  <c r="AN613" i="48"/>
  <c r="AP613" i="48"/>
  <c r="AM613" i="48"/>
  <c r="AK613" i="48"/>
  <c r="AO613" i="48"/>
  <c r="AK1428" i="48"/>
  <c r="AL1428" i="48"/>
  <c r="AP1428" i="48"/>
  <c r="AO1428" i="48"/>
  <c r="AM1921" i="48"/>
  <c r="AL1921" i="48"/>
  <c r="AO1921" i="48"/>
  <c r="AP1921" i="48"/>
  <c r="AM1152" i="48"/>
  <c r="AL1152" i="48"/>
  <c r="AN1152" i="48"/>
  <c r="AK1152" i="48"/>
  <c r="AO1152" i="48"/>
  <c r="AP1152" i="48"/>
  <c r="AP704" i="48"/>
  <c r="AN704" i="48"/>
  <c r="AO704" i="48"/>
  <c r="AK704" i="48"/>
  <c r="AM704" i="48"/>
  <c r="AL704" i="48"/>
  <c r="AM1583" i="48"/>
  <c r="AO1583" i="48"/>
  <c r="AN1583" i="48"/>
  <c r="AL1583" i="48"/>
  <c r="AL1933" i="48"/>
  <c r="AN1933" i="48"/>
  <c r="AM1933" i="48"/>
  <c r="AP1933" i="48"/>
  <c r="AO1933" i="48"/>
  <c r="AK1933" i="48"/>
  <c r="AO2002" i="48"/>
  <c r="AM2002" i="48"/>
  <c r="AL2002" i="48"/>
  <c r="AK2002" i="48"/>
  <c r="AN2002" i="48"/>
  <c r="AP2002" i="48"/>
  <c r="AN1623" i="48"/>
  <c r="AM1623" i="48"/>
  <c r="AO1496" i="48"/>
  <c r="AM1496" i="48"/>
  <c r="AN1496" i="48"/>
  <c r="AK1496" i="48"/>
  <c r="AM732" i="48"/>
  <c r="AK732" i="48"/>
  <c r="AL732" i="48"/>
  <c r="AP732" i="48"/>
  <c r="AP1561" i="48"/>
  <c r="AK1561" i="48"/>
  <c r="AL1561" i="48"/>
  <c r="AN1561" i="48"/>
  <c r="AK1572" i="48"/>
  <c r="AP1572" i="48"/>
  <c r="AL1572" i="48"/>
  <c r="AN1572" i="48"/>
  <c r="AO1572" i="48"/>
  <c r="AK773" i="48"/>
  <c r="AO773" i="48"/>
  <c r="AN773" i="48"/>
  <c r="AM773" i="48"/>
  <c r="AL773" i="48"/>
  <c r="AK845" i="48"/>
  <c r="AN845" i="48"/>
  <c r="AO1456" i="48"/>
  <c r="AN1456" i="48"/>
  <c r="AK1456" i="48"/>
  <c r="AP1456" i="48"/>
  <c r="AM1456" i="48"/>
  <c r="AP589" i="48"/>
  <c r="AM589" i="48"/>
  <c r="AO589" i="48"/>
  <c r="AL589" i="48"/>
  <c r="AK589" i="48"/>
  <c r="AN589" i="48"/>
  <c r="AN690" i="48"/>
  <c r="AO690" i="48"/>
  <c r="AM690" i="48"/>
  <c r="AK690" i="48"/>
  <c r="AL690" i="48"/>
  <c r="AO1097" i="48"/>
  <c r="AP1097" i="48"/>
  <c r="AL1097" i="48"/>
  <c r="AK1097" i="48"/>
  <c r="AM1097" i="48"/>
  <c r="AP1449" i="48"/>
  <c r="AM1449" i="48"/>
  <c r="AO1449" i="48"/>
  <c r="AN1449" i="48"/>
  <c r="AL1449" i="48"/>
  <c r="AK1449" i="48"/>
  <c r="AP663" i="48"/>
  <c r="AL663" i="48"/>
  <c r="AO663" i="48"/>
  <c r="AN663" i="48"/>
  <c r="AM663" i="48"/>
  <c r="AK663" i="48"/>
  <c r="AL2026" i="48"/>
  <c r="AK2026" i="48"/>
  <c r="AO2026" i="48"/>
  <c r="AN2026" i="48"/>
  <c r="AP2026" i="48"/>
  <c r="AM2026" i="48"/>
  <c r="AO777" i="48"/>
  <c r="AK777" i="48"/>
  <c r="AM777" i="48"/>
  <c r="AN777" i="48"/>
  <c r="AL777" i="48"/>
  <c r="AN953" i="48"/>
  <c r="AP953" i="48"/>
  <c r="AM953" i="48"/>
  <c r="AN1707" i="48"/>
  <c r="AO1707" i="48"/>
  <c r="AM1707" i="48"/>
  <c r="AK1707" i="48"/>
  <c r="AL1707" i="48"/>
  <c r="AP1707" i="48"/>
  <c r="AM1363" i="48"/>
  <c r="AP1363" i="48"/>
  <c r="AL1363" i="48"/>
  <c r="AK1505" i="48"/>
  <c r="AP1505" i="48"/>
  <c r="AM1505" i="48"/>
  <c r="AO1505" i="48"/>
  <c r="AL1505" i="48"/>
  <c r="AN1258" i="48"/>
  <c r="AK1258" i="48"/>
  <c r="AM1258" i="48"/>
  <c r="AP1258" i="48"/>
  <c r="AL1258" i="48"/>
  <c r="AO1258" i="48"/>
  <c r="AM1430" i="48"/>
  <c r="AP1430" i="48"/>
  <c r="AO1430" i="48"/>
  <c r="AL1430" i="48"/>
  <c r="AL1705" i="48"/>
  <c r="AP1705" i="48"/>
  <c r="AK1705" i="48"/>
  <c r="AN1705" i="48"/>
  <c r="AM1705" i="48"/>
  <c r="AO1705" i="48"/>
  <c r="AM1162" i="48"/>
  <c r="AO1162" i="48"/>
  <c r="AN1162" i="48"/>
  <c r="AK1162" i="48"/>
  <c r="AP1162" i="48"/>
  <c r="AL1162" i="48"/>
  <c r="AK765" i="48"/>
  <c r="AO765" i="48"/>
  <c r="AN765" i="48"/>
  <c r="AM765" i="48"/>
  <c r="AL765" i="48"/>
  <c r="AP765" i="48"/>
  <c r="AK910" i="48"/>
  <c r="AO910" i="48"/>
  <c r="AN910" i="48"/>
  <c r="AL910" i="48"/>
  <c r="AM910" i="48"/>
  <c r="AL778" i="48"/>
  <c r="AK778" i="48"/>
  <c r="AO778" i="48"/>
  <c r="AN778" i="48"/>
  <c r="AP778" i="48"/>
  <c r="AM778" i="48"/>
  <c r="AP1137" i="48"/>
  <c r="AL1137" i="48"/>
  <c r="AM1137" i="48"/>
  <c r="AK1137" i="48"/>
  <c r="AN1137" i="48"/>
  <c r="AO1137" i="48"/>
  <c r="AO1487" i="48"/>
  <c r="AL1487" i="48"/>
  <c r="AN1487" i="48"/>
  <c r="AK1487" i="48"/>
  <c r="AP1487" i="48"/>
  <c r="AM1487" i="48"/>
  <c r="AP1709" i="48"/>
  <c r="AN1709" i="48"/>
  <c r="AO1709" i="48"/>
  <c r="AL1709" i="48"/>
  <c r="AK1709" i="48"/>
  <c r="AM1709" i="48"/>
  <c r="AL1764" i="48"/>
  <c r="AO1764" i="48"/>
  <c r="AN1764" i="48"/>
  <c r="AK1764" i="48"/>
  <c r="AL580" i="48"/>
  <c r="AO580" i="48"/>
  <c r="AK580" i="48"/>
  <c r="AO1464" i="48"/>
  <c r="AM1464" i="48"/>
  <c r="AN1464" i="48"/>
  <c r="AK1464" i="48"/>
  <c r="AN924" i="48"/>
  <c r="AL924" i="48"/>
  <c r="AP924" i="48"/>
  <c r="AO924" i="48"/>
  <c r="AM924" i="48"/>
  <c r="AK924" i="48"/>
  <c r="AN746" i="48"/>
  <c r="AO746" i="48"/>
  <c r="AM746" i="48"/>
  <c r="AK746" i="48"/>
  <c r="AL746" i="48"/>
  <c r="AP746" i="48"/>
  <c r="AL1973" i="48"/>
  <c r="AK1973" i="48"/>
  <c r="AP1973" i="48"/>
  <c r="AO1973" i="48"/>
  <c r="AN1973" i="48"/>
  <c r="AM1081" i="48"/>
  <c r="AK1081" i="48"/>
  <c r="AN1081" i="48"/>
  <c r="AL1081" i="48"/>
  <c r="AP1081" i="48"/>
  <c r="AO1081" i="48"/>
  <c r="AO972" i="48"/>
  <c r="AK972" i="48"/>
  <c r="AM972" i="48"/>
  <c r="AP972" i="48"/>
  <c r="AL972" i="48"/>
  <c r="AN972" i="48"/>
  <c r="AP1171" i="48"/>
  <c r="AO1171" i="48"/>
  <c r="AL1171" i="48"/>
  <c r="AM1171" i="48"/>
  <c r="AN1171" i="48"/>
  <c r="AN1693" i="48"/>
  <c r="AO1693" i="48"/>
  <c r="AM1693" i="48"/>
  <c r="AK1693" i="48"/>
  <c r="AL1693" i="48"/>
  <c r="AP1693" i="48"/>
  <c r="AK1867" i="48"/>
  <c r="AP1867" i="48"/>
  <c r="AM1867" i="48"/>
  <c r="AO1867" i="48"/>
  <c r="AL1867" i="48"/>
  <c r="AN1867" i="48"/>
  <c r="AM1227" i="48"/>
  <c r="AO1227" i="48"/>
  <c r="AL1106" i="48"/>
  <c r="AP1106" i="48"/>
  <c r="AM1106" i="48"/>
  <c r="AN1106" i="48"/>
  <c r="AN1961" i="48"/>
  <c r="AO1961" i="48"/>
  <c r="AM1961" i="48"/>
  <c r="AL1961" i="48"/>
  <c r="AP1961" i="48"/>
  <c r="AK1961" i="48"/>
  <c r="AK907" i="48"/>
  <c r="AM907" i="48"/>
  <c r="AP907" i="48"/>
  <c r="AL907" i="48"/>
  <c r="AN907" i="48"/>
  <c r="AO907" i="48"/>
  <c r="AN1715" i="48"/>
  <c r="AO1715" i="48"/>
  <c r="AL1715" i="48"/>
  <c r="AM1715" i="48"/>
  <c r="AP1715" i="48"/>
  <c r="AK1715" i="48"/>
  <c r="AN958" i="48"/>
  <c r="AL958" i="48"/>
  <c r="AP958" i="48"/>
  <c r="AK958" i="48"/>
  <c r="AM958" i="48"/>
  <c r="AO958" i="48"/>
  <c r="AO1897" i="48"/>
  <c r="AM1897" i="48"/>
  <c r="AL1897" i="48"/>
  <c r="AK1897" i="48"/>
  <c r="AN1897" i="48"/>
  <c r="AP1897" i="48"/>
  <c r="AN1811" i="48"/>
  <c r="AP1811" i="48"/>
  <c r="AL1811" i="48"/>
  <c r="AM1811" i="48"/>
  <c r="AK1811" i="48"/>
  <c r="AO1811" i="48"/>
  <c r="AN1435" i="48"/>
  <c r="AK1435" i="48"/>
  <c r="AP738" i="48"/>
  <c r="AL738" i="48"/>
  <c r="AN1165" i="48"/>
  <c r="AO1165" i="48"/>
  <c r="AL1165" i="48"/>
  <c r="AK1165" i="48"/>
  <c r="AP1165" i="48"/>
  <c r="AM1165" i="48"/>
  <c r="AM624" i="48"/>
  <c r="AN624" i="48"/>
  <c r="AO624" i="48"/>
  <c r="AN707" i="48"/>
  <c r="AO707" i="48"/>
  <c r="AL707" i="48"/>
  <c r="AM707" i="48"/>
  <c r="AP707" i="48"/>
  <c r="AK707" i="48"/>
  <c r="AP1354" i="48"/>
  <c r="AO1354" i="48"/>
  <c r="AL1354" i="48"/>
  <c r="AN1354" i="48"/>
  <c r="AK1354" i="48"/>
  <c r="AL1190" i="48"/>
  <c r="AO1190" i="48"/>
  <c r="AM1190" i="48"/>
  <c r="AK1190" i="48"/>
  <c r="AP1190" i="48"/>
  <c r="AN807" i="48"/>
  <c r="AP807" i="48"/>
  <c r="AO807" i="48"/>
  <c r="AL807" i="48"/>
  <c r="AK807" i="48"/>
  <c r="AM807" i="48"/>
  <c r="AO1107" i="48"/>
  <c r="AP1107" i="48"/>
  <c r="AK1107" i="48"/>
  <c r="AM1107" i="48"/>
  <c r="AL1107" i="48"/>
  <c r="AN1833" i="48"/>
  <c r="AP1833" i="48"/>
  <c r="AK1833" i="48"/>
  <c r="AM1833" i="48"/>
  <c r="AL1833" i="48"/>
  <c r="AO1833" i="48"/>
  <c r="AP1085" i="48"/>
  <c r="AL1085" i="48"/>
  <c r="AO1085" i="48"/>
  <c r="AK1085" i="48"/>
  <c r="AM1085" i="48"/>
  <c r="AN1085" i="48"/>
  <c r="AO956" i="48"/>
  <c r="AK956" i="48"/>
  <c r="AM956" i="48"/>
  <c r="AN956" i="48"/>
  <c r="AP956" i="48"/>
  <c r="AL956" i="48"/>
  <c r="AN1872" i="48"/>
  <c r="AO1872" i="48"/>
  <c r="AM1872" i="48"/>
  <c r="AP1872" i="48"/>
  <c r="AL1872" i="48"/>
  <c r="AK1872" i="48"/>
  <c r="AL569" i="48"/>
  <c r="AN569" i="48"/>
  <c r="AK569" i="48"/>
  <c r="AP569" i="48"/>
  <c r="AP1964" i="48"/>
  <c r="AN1964" i="48"/>
  <c r="AL1964" i="48"/>
  <c r="AM1633" i="48"/>
  <c r="AP1633" i="48"/>
  <c r="AL1633" i="48"/>
  <c r="AO1633" i="48"/>
  <c r="AN1633" i="48"/>
  <c r="AK1633" i="48"/>
  <c r="AK1432" i="48"/>
  <c r="AM1432" i="48"/>
  <c r="AN1432" i="48"/>
  <c r="AL1432" i="48"/>
  <c r="AP1432" i="48"/>
  <c r="AO1432" i="48"/>
  <c r="AL1209" i="48"/>
  <c r="AO1209" i="48"/>
  <c r="AK1209" i="48"/>
  <c r="AM1209" i="48"/>
  <c r="AP1209" i="48"/>
  <c r="AO2011" i="48"/>
  <c r="AN2011" i="48"/>
  <c r="AP2011" i="48"/>
  <c r="AL2011" i="48"/>
  <c r="AP1648" i="48"/>
  <c r="AN1648" i="48"/>
  <c r="AO1648" i="48"/>
  <c r="AL1648" i="48"/>
  <c r="AM1648" i="48"/>
  <c r="AK1648" i="48"/>
  <c r="AM982" i="48"/>
  <c r="AO982" i="48"/>
  <c r="AL982" i="48"/>
  <c r="AK982" i="48"/>
  <c r="AP982" i="48"/>
  <c r="AN982" i="48"/>
  <c r="AM1163" i="48"/>
  <c r="AL1163" i="48"/>
  <c r="AN1163" i="48"/>
  <c r="AP1163" i="48"/>
  <c r="AK1163" i="48"/>
  <c r="AL1641" i="48"/>
  <c r="AP1641" i="48"/>
  <c r="AM1641" i="48"/>
  <c r="AO1641" i="48"/>
  <c r="AK1641" i="48"/>
  <c r="AP689" i="48"/>
  <c r="AN689" i="48"/>
  <c r="AN1300" i="48"/>
  <c r="AK1300" i="48"/>
  <c r="AM1300" i="48"/>
  <c r="AP1300" i="48"/>
  <c r="AO1753" i="48"/>
  <c r="AL1753" i="48"/>
  <c r="AN1753" i="48"/>
  <c r="AM1753" i="48"/>
  <c r="AP1753" i="48"/>
  <c r="AK1753" i="48"/>
  <c r="AN1310" i="48"/>
  <c r="AK1310" i="48"/>
  <c r="AM1310" i="48"/>
  <c r="AL1310" i="48"/>
  <c r="AL1122" i="48"/>
  <c r="AP1122" i="48"/>
  <c r="AK1122" i="48"/>
  <c r="AM1122" i="48"/>
  <c r="AO1122" i="48"/>
  <c r="AK1035" i="48"/>
  <c r="AO1035" i="48"/>
  <c r="AP1035" i="48"/>
  <c r="AN1035" i="48"/>
  <c r="AM1035" i="48"/>
  <c r="AL1035" i="48"/>
  <c r="AP1801" i="48"/>
  <c r="AK1801" i="48"/>
  <c r="AN1801" i="48"/>
  <c r="AK1444" i="48"/>
  <c r="AP1444" i="48"/>
  <c r="AM1444" i="48"/>
  <c r="AO1444" i="48"/>
  <c r="AO1888" i="48"/>
  <c r="AL1888" i="48"/>
  <c r="AN1655" i="48"/>
  <c r="AL1655" i="48"/>
  <c r="AM1655" i="48"/>
  <c r="AK1655" i="48"/>
  <c r="AP1655" i="48"/>
  <c r="AL1679" i="48"/>
  <c r="AP1679" i="48"/>
  <c r="AN1679" i="48"/>
  <c r="AO1679" i="48"/>
  <c r="AM1679" i="48"/>
  <c r="AK1679" i="48"/>
  <c r="AN1138" i="48"/>
  <c r="AL1138" i="48"/>
  <c r="AK1138" i="48"/>
  <c r="AL801" i="48"/>
  <c r="AN801" i="48"/>
  <c r="AP801" i="48"/>
  <c r="AM801" i="48"/>
  <c r="AM1168" i="48"/>
  <c r="AP1168" i="48"/>
  <c r="AL993" i="48"/>
  <c r="AK993" i="48"/>
  <c r="AP993" i="48"/>
  <c r="AN993" i="48"/>
  <c r="AO993" i="48"/>
  <c r="AP1984" i="48"/>
  <c r="AO1984" i="48"/>
  <c r="AK1984" i="48"/>
  <c r="AL1413" i="48"/>
  <c r="AN1413" i="48"/>
  <c r="AO1946" i="48"/>
  <c r="AM1946" i="48"/>
  <c r="AL1946" i="48"/>
  <c r="AP997" i="48"/>
  <c r="AL997" i="48"/>
  <c r="AO997" i="48"/>
  <c r="AK997" i="48"/>
  <c r="AN997" i="48"/>
  <c r="AM997" i="48"/>
  <c r="AL558" i="48"/>
  <c r="AN558" i="48"/>
  <c r="AK558" i="48"/>
  <c r="AM558" i="48"/>
  <c r="AP558" i="48"/>
  <c r="AP2019" i="48"/>
  <c r="AL2019" i="48"/>
  <c r="AM2019" i="48"/>
  <c r="AK2019" i="48"/>
  <c r="AN2019" i="48"/>
  <c r="AO2019" i="48"/>
  <c r="AP1118" i="48"/>
  <c r="AK1118" i="48"/>
  <c r="AM1118" i="48"/>
  <c r="AO1118" i="48"/>
  <c r="AL1118" i="48"/>
  <c r="AN1118" i="48"/>
  <c r="AK1759" i="48"/>
  <c r="AL1759" i="48"/>
  <c r="AO1494" i="48"/>
  <c r="AL1494" i="48"/>
  <c r="AN1494" i="48"/>
  <c r="AM1494" i="48"/>
  <c r="AK1494" i="48"/>
  <c r="AP1494" i="48"/>
  <c r="AN879" i="48"/>
  <c r="AP879" i="48"/>
  <c r="AO879" i="48"/>
  <c r="AM879" i="48"/>
  <c r="AL741" i="48"/>
  <c r="AP741" i="48"/>
  <c r="AL1242" i="48"/>
  <c r="AO1242" i="48"/>
  <c r="AK1242" i="48"/>
  <c r="AM1242" i="48"/>
  <c r="AP1242" i="48"/>
  <c r="AM1088" i="48"/>
  <c r="AL1088" i="48"/>
  <c r="AN1088" i="48"/>
  <c r="AO1088" i="48"/>
  <c r="AP1088" i="48"/>
  <c r="AK1088" i="48"/>
  <c r="AM1372" i="48"/>
  <c r="AK1372" i="48"/>
  <c r="AO1372" i="48"/>
  <c r="AP1372" i="48"/>
  <c r="AL1372" i="48"/>
  <c r="AN1372" i="48"/>
  <c r="AK2039" i="48"/>
  <c r="AL2039" i="48"/>
  <c r="AN770" i="48"/>
  <c r="AM770" i="48"/>
  <c r="AP770" i="48"/>
  <c r="AK770" i="48"/>
  <c r="AL770" i="48"/>
  <c r="AO770" i="48"/>
  <c r="AO1061" i="48"/>
  <c r="AP1061" i="48"/>
  <c r="AL1061" i="48"/>
  <c r="AM1061" i="48"/>
  <c r="AN1061" i="48"/>
  <c r="AK1061" i="48"/>
  <c r="AN713" i="48"/>
  <c r="AL713" i="48"/>
  <c r="AP713" i="48"/>
  <c r="AO713" i="48"/>
  <c r="AM1071" i="48"/>
  <c r="AL1071" i="48"/>
  <c r="AN1071" i="48"/>
  <c r="AO1071" i="48"/>
  <c r="AO1796" i="48"/>
  <c r="AN1796" i="48"/>
  <c r="AK1796" i="48"/>
  <c r="AM1796" i="48"/>
  <c r="AP1796" i="48"/>
  <c r="AM1208" i="48"/>
  <c r="AN1208" i="48"/>
  <c r="AL1208" i="48"/>
  <c r="AK1208" i="48"/>
  <c r="AP1208" i="48"/>
  <c r="AO1208" i="48"/>
  <c r="AK1955" i="48"/>
  <c r="AN1955" i="48"/>
  <c r="AO1955" i="48"/>
  <c r="AM1955" i="48"/>
  <c r="AL1955" i="48"/>
  <c r="AK1458" i="48"/>
  <c r="AP1458" i="48"/>
  <c r="AM1458" i="48"/>
  <c r="AL1458" i="48"/>
  <c r="AN1458" i="48"/>
  <c r="AO1458" i="48"/>
  <c r="AM1268" i="48"/>
  <c r="AP1268" i="48"/>
  <c r="AK1268" i="48"/>
  <c r="AO1268" i="48"/>
  <c r="AN1268" i="48"/>
  <c r="AL1268" i="48"/>
  <c r="AP737" i="48"/>
  <c r="AO737" i="48"/>
  <c r="AO1899" i="48"/>
  <c r="AP1899" i="48"/>
  <c r="AM1899" i="48"/>
  <c r="AN568" i="48"/>
  <c r="AM568" i="48"/>
  <c r="AL568" i="48"/>
  <c r="AP568" i="48"/>
  <c r="AO1320" i="48"/>
  <c r="AM1320" i="48"/>
  <c r="AP2048" i="48"/>
  <c r="AK2048" i="48"/>
  <c r="AO2048" i="48"/>
  <c r="AM2048" i="48"/>
  <c r="AL2048" i="48"/>
  <c r="AN2048" i="48"/>
  <c r="AM921" i="48"/>
  <c r="AN921" i="48"/>
  <c r="AO2003" i="48"/>
  <c r="AK2003" i="48"/>
  <c r="AN2003" i="48"/>
  <c r="AM2003" i="48"/>
  <c r="AL2003" i="48"/>
  <c r="AP2003" i="48"/>
  <c r="AK1481" i="48"/>
  <c r="AP1481" i="48"/>
  <c r="AM1481" i="48"/>
  <c r="AL718" i="48"/>
  <c r="AP718" i="48"/>
  <c r="AN718" i="48"/>
  <c r="AO718" i="48"/>
  <c r="AL1580" i="48"/>
  <c r="AK1580" i="48"/>
  <c r="AN1580" i="48"/>
  <c r="AP1580" i="48"/>
  <c r="AM1580" i="48"/>
  <c r="AO1580" i="48"/>
  <c r="AM1386" i="48"/>
  <c r="AN1386" i="48"/>
  <c r="AP1721" i="48"/>
  <c r="AO1721" i="48"/>
  <c r="AK1721" i="48"/>
  <c r="AO780" i="48"/>
  <c r="AK780" i="48"/>
  <c r="AP780" i="48"/>
  <c r="AN780" i="48"/>
  <c r="AL780" i="48"/>
  <c r="AM780" i="48"/>
  <c r="AN1550" i="48"/>
  <c r="AM1550" i="48"/>
  <c r="AP1003" i="48"/>
  <c r="AO1003" i="48"/>
  <c r="AK1003" i="48"/>
  <c r="AM1003" i="48"/>
  <c r="AN1158" i="48"/>
  <c r="AL1158" i="48"/>
  <c r="AP1158" i="48"/>
  <c r="AK1158" i="48"/>
  <c r="AM1158" i="48"/>
  <c r="AO1158" i="48"/>
  <c r="AM1878" i="48"/>
  <c r="AL1878" i="48"/>
  <c r="AN1388" i="48"/>
  <c r="AL1388" i="48"/>
  <c r="AO1388" i="48"/>
  <c r="AK1388" i="48"/>
  <c r="AP1388" i="48"/>
  <c r="AM1388" i="48"/>
  <c r="AK643" i="48"/>
  <c r="AP643" i="48"/>
  <c r="AL643" i="48"/>
  <c r="AO643" i="48"/>
  <c r="AN643" i="48"/>
  <c r="AM643" i="48"/>
  <c r="AO1998" i="48"/>
  <c r="AL1998" i="48"/>
  <c r="AN1998" i="48"/>
  <c r="AK1998" i="48"/>
  <c r="AM1998" i="48"/>
  <c r="AP1998" i="48"/>
  <c r="AO1259" i="48"/>
  <c r="AL1259" i="48"/>
  <c r="AN1259" i="48"/>
  <c r="AK1259" i="48"/>
  <c r="AM1259" i="48"/>
  <c r="AP1259" i="48"/>
  <c r="AL1195" i="48"/>
  <c r="AM1195" i="48"/>
  <c r="AK1195" i="48"/>
  <c r="AP1195" i="48"/>
  <c r="AP1439" i="48"/>
  <c r="AM1439" i="48"/>
  <c r="AO1439" i="48"/>
  <c r="AN1439" i="48"/>
  <c r="AL1439" i="48"/>
  <c r="AK1439" i="48"/>
  <c r="AO1717" i="48"/>
  <c r="AM1717" i="48"/>
  <c r="AL1717" i="48"/>
  <c r="AN1717" i="48"/>
  <c r="AP1717" i="48"/>
  <c r="AM1075" i="48"/>
  <c r="AL1075" i="48"/>
  <c r="AO1075" i="48"/>
  <c r="AN1075" i="48"/>
  <c r="AK1075" i="48"/>
  <c r="AP1075" i="48"/>
  <c r="AP693" i="48"/>
  <c r="AN693" i="48"/>
  <c r="AO693" i="48"/>
  <c r="AM693" i="48"/>
  <c r="AK693" i="48"/>
  <c r="AL693" i="48"/>
  <c r="AL1082" i="48"/>
  <c r="AP1082" i="48"/>
  <c r="AK1082" i="48"/>
  <c r="AM1082" i="48"/>
  <c r="AN1082" i="48"/>
  <c r="AO1082" i="48"/>
  <c r="AP893" i="48"/>
  <c r="AL893" i="48"/>
  <c r="AN893" i="48"/>
  <c r="AO893" i="48"/>
  <c r="AM893" i="48"/>
  <c r="AK893" i="48"/>
  <c r="AL1385" i="48"/>
  <c r="AM1385" i="48"/>
  <c r="AK1385" i="48"/>
  <c r="AK1980" i="48"/>
  <c r="AO1980" i="48"/>
  <c r="AP1980" i="48"/>
  <c r="AM1980" i="48"/>
  <c r="AN1980" i="48"/>
  <c r="AL1980" i="48"/>
  <c r="AO785" i="48"/>
  <c r="AM785" i="48"/>
  <c r="AL785" i="48"/>
  <c r="AP1101" i="48"/>
  <c r="AL1101" i="48"/>
  <c r="AM1101" i="48"/>
  <c r="AK1101" i="48"/>
  <c r="AN1101" i="48"/>
  <c r="AO1101" i="48"/>
  <c r="AO1207" i="48"/>
  <c r="AM1207" i="48"/>
  <c r="AP1207" i="48"/>
  <c r="AL1207" i="48"/>
  <c r="AK1207" i="48"/>
  <c r="AN1207" i="48"/>
  <c r="AM1422" i="48"/>
  <c r="AL1422" i="48"/>
  <c r="AK1422" i="48"/>
  <c r="AN1422" i="48"/>
  <c r="AP1422" i="48"/>
  <c r="AO1422" i="48"/>
  <c r="AK1031" i="48"/>
  <c r="AO1031" i="48"/>
  <c r="AP1031" i="48"/>
  <c r="AL1031" i="48"/>
  <c r="AM664" i="48"/>
  <c r="AN664" i="48"/>
  <c r="AK664" i="48"/>
  <c r="AO664" i="48"/>
  <c r="AM1002" i="48"/>
  <c r="AK1002" i="48"/>
  <c r="AL1002" i="48"/>
  <c r="AN1002" i="48"/>
  <c r="AP1002" i="48"/>
  <c r="AO1002" i="48"/>
  <c r="AO671" i="48"/>
  <c r="AM671" i="48"/>
  <c r="AP671" i="48"/>
  <c r="AL671" i="48"/>
  <c r="AN671" i="48"/>
  <c r="AK671" i="48"/>
  <c r="AM1747" i="48"/>
  <c r="AK1747" i="48"/>
  <c r="AL1747" i="48"/>
  <c r="AP1747" i="48"/>
  <c r="AN1939" i="48"/>
  <c r="AL1939" i="48"/>
  <c r="AP1939" i="48"/>
  <c r="AK1939" i="48"/>
  <c r="AM1939" i="48"/>
  <c r="AO1939" i="48"/>
  <c r="AN869" i="48"/>
  <c r="AO869" i="48"/>
  <c r="AL869" i="48"/>
  <c r="AK869" i="48"/>
  <c r="AP869" i="48"/>
  <c r="AM869" i="48"/>
  <c r="AM1298" i="48"/>
  <c r="AP1298" i="48"/>
  <c r="AO1298" i="48"/>
  <c r="AL1298" i="48"/>
  <c r="AL1741" i="48"/>
  <c r="AP1741" i="48"/>
  <c r="AK1741" i="48"/>
  <c r="AN1741" i="48"/>
  <c r="AM1741" i="48"/>
  <c r="AO1741" i="48"/>
  <c r="AO1508" i="48"/>
  <c r="AM1508" i="48"/>
  <c r="AN1508" i="48"/>
  <c r="AK1508" i="48"/>
  <c r="AL1508" i="48"/>
  <c r="AP1508" i="48"/>
  <c r="AP1855" i="48"/>
  <c r="AM1855" i="48"/>
  <c r="AO1855" i="48"/>
  <c r="AL1855" i="48"/>
  <c r="AN1855" i="48"/>
  <c r="AO1059" i="48"/>
  <c r="AP1059" i="48"/>
  <c r="AK1059" i="48"/>
  <c r="AM1059" i="48"/>
  <c r="AL1059" i="48"/>
  <c r="AO1974" i="48"/>
  <c r="AM1974" i="48"/>
  <c r="AN1512" i="48"/>
  <c r="AK1512" i="48"/>
  <c r="AP1512" i="48"/>
  <c r="AO1512" i="48"/>
  <c r="AM1512" i="48"/>
  <c r="AL1512" i="48"/>
  <c r="AP1141" i="48"/>
  <c r="AL1141" i="48"/>
  <c r="AM1141" i="48"/>
  <c r="AK1141" i="48"/>
  <c r="AN1141" i="48"/>
  <c r="AK930" i="48"/>
  <c r="AL930" i="48"/>
  <c r="AN930" i="48"/>
  <c r="AP930" i="48"/>
  <c r="AO930" i="48"/>
  <c r="AM930" i="48"/>
  <c r="AN1013" i="48"/>
  <c r="AO1013" i="48"/>
  <c r="AP1013" i="48"/>
  <c r="AK1013" i="48"/>
  <c r="AL1013" i="48"/>
  <c r="AM1013" i="48"/>
  <c r="AN1562" i="48"/>
  <c r="AM1562" i="48"/>
  <c r="AO1562" i="48"/>
  <c r="AK1562" i="48"/>
  <c r="AP787" i="48"/>
  <c r="AK787" i="48"/>
  <c r="AO787" i="48"/>
  <c r="AN787" i="48"/>
  <c r="AM787" i="48"/>
  <c r="AL787" i="48"/>
  <c r="AL796" i="48"/>
  <c r="AK796" i="48"/>
  <c r="AP796" i="48"/>
  <c r="AN796" i="48"/>
  <c r="AO796" i="48"/>
  <c r="AM796" i="48"/>
  <c r="AM1164" i="48"/>
  <c r="AL1164" i="48"/>
  <c r="AN1164" i="48"/>
  <c r="AK1164" i="48"/>
  <c r="AL1126" i="48"/>
  <c r="AM1126" i="48"/>
  <c r="AO1126" i="48"/>
  <c r="AP1126" i="48"/>
  <c r="AN1126" i="48"/>
  <c r="AK1126" i="48"/>
  <c r="AN1545" i="48"/>
  <c r="AO1545" i="48"/>
  <c r="AP1545" i="48"/>
  <c r="AL1545" i="48"/>
  <c r="AK1574" i="48"/>
  <c r="AP1574" i="48"/>
  <c r="AL1574" i="48"/>
  <c r="AN1574" i="48"/>
  <c r="AO1574" i="48"/>
  <c r="AM1574" i="48"/>
  <c r="AO1569" i="48"/>
  <c r="AK1569" i="48"/>
  <c r="AO971" i="48"/>
  <c r="AK971" i="48"/>
  <c r="AM971" i="48"/>
  <c r="AN971" i="48"/>
  <c r="AP971" i="48"/>
  <c r="AL971" i="48"/>
  <c r="AM573" i="48"/>
  <c r="AO573" i="48"/>
  <c r="AL573" i="48"/>
  <c r="AN573" i="48"/>
  <c r="AK573" i="48"/>
  <c r="AN806" i="48"/>
  <c r="AO806" i="48"/>
  <c r="AL806" i="48"/>
  <c r="AK806" i="48"/>
  <c r="AM806" i="48"/>
  <c r="AP806" i="48"/>
  <c r="AK914" i="48"/>
  <c r="AL914" i="48"/>
  <c r="AN914" i="48"/>
  <c r="AP914" i="48"/>
  <c r="AO914" i="48"/>
  <c r="AM914" i="48"/>
  <c r="AK1058" i="48"/>
  <c r="AL1014" i="48"/>
  <c r="AN641" i="48"/>
  <c r="AM730" i="48"/>
  <c r="AK730" i="48"/>
  <c r="AL730" i="48"/>
  <c r="AP730" i="48"/>
  <c r="AP1359" i="48"/>
  <c r="AM1359" i="48"/>
  <c r="AO1359" i="48"/>
  <c r="AL1359" i="48"/>
  <c r="AN1359" i="48"/>
  <c r="AK1359" i="48"/>
  <c r="AM1018" i="48"/>
  <c r="AO1018" i="48"/>
  <c r="AP1544" i="48"/>
  <c r="AL1544" i="48"/>
  <c r="AO1544" i="48"/>
  <c r="AM1544" i="48"/>
  <c r="AP605" i="48"/>
  <c r="AM605" i="48"/>
  <c r="AO605" i="48"/>
  <c r="AL605" i="48"/>
  <c r="AN605" i="48"/>
  <c r="AM1745" i="48"/>
  <c r="AK1745" i="48"/>
  <c r="AL1745" i="48"/>
  <c r="AP1745" i="48"/>
  <c r="AO1745" i="48"/>
  <c r="AM1862" i="48"/>
  <c r="AL1862" i="48"/>
  <c r="AP1615" i="48"/>
  <c r="AO1615" i="48"/>
  <c r="AL1656" i="48"/>
  <c r="AN1656" i="48"/>
  <c r="AL1890" i="48"/>
  <c r="AP1890" i="48"/>
  <c r="AK1148" i="48"/>
  <c r="AM1148" i="48"/>
  <c r="AO1148" i="48"/>
  <c r="AL1148" i="48"/>
  <c r="AP1148" i="48"/>
  <c r="AL1205" i="48"/>
  <c r="AO1205" i="48"/>
  <c r="AN1205" i="48"/>
  <c r="AP1044" i="48"/>
  <c r="AN1044" i="48"/>
  <c r="AK1044" i="48"/>
  <c r="AM1044" i="48"/>
  <c r="AO1044" i="48"/>
  <c r="AL1044" i="48"/>
  <c r="AL1621" i="48"/>
  <c r="AP1621" i="48"/>
  <c r="AK1621" i="48"/>
  <c r="AO1621" i="48"/>
  <c r="AN1621" i="48"/>
  <c r="AM1621" i="48"/>
  <c r="AP1510" i="48"/>
  <c r="AM1510" i="48"/>
  <c r="AO1510" i="48"/>
  <c r="AL1510" i="48"/>
  <c r="AN1510" i="48"/>
  <c r="AK1510" i="48"/>
  <c r="AN1563" i="48"/>
  <c r="AL1563" i="48"/>
  <c r="AO1563" i="48"/>
  <c r="AK1563" i="48"/>
  <c r="AM1563" i="48"/>
  <c r="AP1563" i="48"/>
  <c r="AM1697" i="48"/>
  <c r="AK1697" i="48"/>
  <c r="AL1697" i="48"/>
  <c r="AP1697" i="48"/>
  <c r="AN1697" i="48"/>
  <c r="AO1697" i="48"/>
  <c r="AM2017" i="48"/>
  <c r="AK2017" i="48"/>
  <c r="AN2017" i="48"/>
  <c r="AL2017" i="48"/>
  <c r="AP2017" i="48"/>
  <c r="AO2017" i="48"/>
  <c r="AN819" i="48"/>
  <c r="AL819" i="48"/>
  <c r="AM819" i="48"/>
  <c r="AP819" i="48"/>
  <c r="AP619" i="48"/>
  <c r="AM619" i="48"/>
  <c r="AO619" i="48"/>
  <c r="AL619" i="48"/>
  <c r="AK619" i="48"/>
  <c r="AN619" i="48"/>
  <c r="AK1528" i="48"/>
  <c r="AP1528" i="48"/>
  <c r="AL1528" i="48"/>
  <c r="AO1528" i="48"/>
  <c r="AM1528" i="48"/>
  <c r="AL1200" i="48"/>
  <c r="AK1200" i="48"/>
  <c r="AM1200" i="48"/>
  <c r="AP1200" i="48"/>
  <c r="AN1200" i="48"/>
  <c r="AO1200" i="48"/>
  <c r="AL1828" i="48"/>
  <c r="AP1828" i="48"/>
  <c r="AK1828" i="48"/>
  <c r="AN1828" i="48"/>
  <c r="AO1828" i="48"/>
  <c r="AM1828" i="48"/>
  <c r="AM1184" i="48"/>
  <c r="AK1184" i="48"/>
  <c r="AL594" i="48"/>
  <c r="AN594" i="48"/>
  <c r="AK594" i="48"/>
  <c r="AM594" i="48"/>
  <c r="AP594" i="48"/>
  <c r="AM1740" i="48"/>
  <c r="AK1740" i="48"/>
  <c r="AL1740" i="48"/>
  <c r="AP1740" i="48"/>
  <c r="AO1740" i="48"/>
  <c r="AN1740" i="48"/>
  <c r="AK922" i="48"/>
  <c r="AL922" i="48"/>
  <c r="AO922" i="48"/>
  <c r="AN922" i="48"/>
  <c r="AM922" i="48"/>
  <c r="AP922" i="48"/>
  <c r="AL987" i="48"/>
  <c r="AN987" i="48"/>
  <c r="AP987" i="48"/>
  <c r="AK987" i="48"/>
  <c r="AM987" i="48"/>
  <c r="AM1722" i="48"/>
  <c r="AN1722" i="48"/>
  <c r="AO1821" i="48"/>
  <c r="AP1821" i="48"/>
  <c r="AL1821" i="48"/>
  <c r="AN1821" i="48"/>
  <c r="AK1821" i="48"/>
  <c r="AM1821" i="48"/>
  <c r="AL901" i="48"/>
  <c r="AN901" i="48"/>
  <c r="AO901" i="48"/>
  <c r="AP901" i="48"/>
  <c r="AM901" i="48"/>
  <c r="AK901" i="48"/>
  <c r="AL984" i="48"/>
  <c r="AP984" i="48"/>
  <c r="AM642" i="48"/>
  <c r="AN642" i="48"/>
  <c r="AM1356" i="48"/>
  <c r="AP1356" i="48"/>
  <c r="AO1356" i="48"/>
  <c r="AK1356" i="48"/>
  <c r="AN1356" i="48"/>
  <c r="AL1356" i="48"/>
  <c r="AP1489" i="48"/>
  <c r="AM1489" i="48"/>
  <c r="AO1489" i="48"/>
  <c r="AL1489" i="48"/>
  <c r="AP1198" i="48"/>
  <c r="AO1198" i="48"/>
  <c r="AM1198" i="48"/>
  <c r="AK1198" i="48"/>
  <c r="AN1198" i="48"/>
  <c r="AL1198" i="48"/>
  <c r="AN717" i="48"/>
  <c r="AP717" i="48"/>
  <c r="AN928" i="48"/>
  <c r="AM928" i="48"/>
  <c r="AL928" i="48"/>
  <c r="AN1457" i="48"/>
  <c r="AP1457" i="48"/>
  <c r="AL1457" i="48"/>
  <c r="AO1457" i="48"/>
  <c r="AM1457" i="48"/>
  <c r="AP1710" i="48"/>
  <c r="AN1710" i="48"/>
  <c r="AO1710" i="48"/>
  <c r="AM1710" i="48"/>
  <c r="AL1710" i="48"/>
  <c r="AK1710" i="48"/>
  <c r="AP1070" i="48"/>
  <c r="AK1070" i="48"/>
  <c r="AM1070" i="48"/>
  <c r="AO1070" i="48"/>
  <c r="AN1070" i="48"/>
  <c r="AL1070" i="48"/>
  <c r="AN1689" i="48"/>
  <c r="AM1689" i="48"/>
  <c r="AP1689" i="48"/>
  <c r="AO908" i="48"/>
  <c r="AN908" i="48"/>
  <c r="AL908" i="48"/>
  <c r="AK908" i="48"/>
  <c r="AP908" i="48"/>
  <c r="AM908" i="48"/>
  <c r="AO868" i="48"/>
  <c r="AK868" i="48"/>
  <c r="AM868" i="48"/>
  <c r="AP868" i="48"/>
  <c r="AL868" i="48"/>
  <c r="AN868" i="48"/>
  <c r="AP1813" i="48"/>
  <c r="AL1813" i="48"/>
  <c r="AM1813" i="48"/>
  <c r="AK1813" i="48"/>
  <c r="AO1813" i="48"/>
  <c r="AP694" i="48"/>
  <c r="AN694" i="48"/>
  <c r="AO694" i="48"/>
  <c r="AM694" i="48"/>
  <c r="AL694" i="48"/>
  <c r="AO1531" i="48"/>
  <c r="AL1531" i="48"/>
  <c r="AN1531" i="48"/>
  <c r="AP1531" i="48"/>
  <c r="AK1531" i="48"/>
  <c r="AM1531" i="48"/>
  <c r="AO1048" i="48"/>
  <c r="AP1048" i="48"/>
  <c r="AN1048" i="48"/>
  <c r="AM1048" i="48"/>
  <c r="AL1048" i="48"/>
  <c r="AP1058" i="48"/>
  <c r="AP1575" i="48"/>
  <c r="AL1405" i="48"/>
  <c r="AK1588" i="48"/>
  <c r="AO1792" i="48"/>
  <c r="AM1949" i="48"/>
  <c r="AN771" i="48"/>
  <c r="AN984" i="48"/>
  <c r="AN1298" i="48"/>
  <c r="AM936" i="48"/>
  <c r="AN1184" i="48"/>
  <c r="AL1058" i="48"/>
  <c r="AL1123" i="48"/>
  <c r="AM1123" i="48"/>
  <c r="AN2024" i="48"/>
  <c r="AP1781" i="48"/>
  <c r="AM1781" i="48"/>
  <c r="AK1033" i="48"/>
  <c r="AK1575" i="48"/>
  <c r="AO1076" i="48"/>
  <c r="AL1613" i="48"/>
  <c r="AM1460" i="48"/>
  <c r="AO1460" i="48"/>
  <c r="AP749" i="48"/>
  <c r="AN1639" i="48"/>
  <c r="AN1405" i="48"/>
  <c r="AM1405" i="48"/>
  <c r="AP1810" i="48"/>
  <c r="AL1588" i="48"/>
  <c r="AP1014" i="48"/>
  <c r="AM1014" i="48"/>
  <c r="AL1792" i="48"/>
  <c r="AO1949" i="48"/>
  <c r="AO771" i="48"/>
  <c r="AK771" i="48"/>
  <c r="AO985" i="48"/>
  <c r="AN985" i="48"/>
  <c r="AO2022" i="48"/>
  <c r="AM2022" i="48"/>
  <c r="AN1569" i="48"/>
  <c r="AL1623" i="48"/>
  <c r="AK1489" i="48"/>
  <c r="AK953" i="48"/>
  <c r="AM580" i="48"/>
  <c r="AO1775" i="48"/>
  <c r="AP680" i="48"/>
  <c r="AK928" i="48"/>
  <c r="AK984" i="48"/>
  <c r="AN1505" i="48"/>
  <c r="AO968" i="48"/>
  <c r="AP777" i="48"/>
  <c r="AN1921" i="48"/>
  <c r="AM1764" i="48"/>
  <c r="AP573" i="48"/>
  <c r="AP1583" i="48"/>
  <c r="AO973" i="48"/>
  <c r="AN1528" i="48"/>
  <c r="AL1496" i="48"/>
  <c r="AK1430" i="48"/>
  <c r="AK1835" i="48"/>
  <c r="AO730" i="48"/>
  <c r="AM1815" i="48"/>
  <c r="AO1747" i="48"/>
  <c r="AM1545" i="48"/>
  <c r="AM1031" i="48"/>
  <c r="AN1995" i="48"/>
  <c r="AL1441" i="48"/>
  <c r="AM1428" i="48"/>
  <c r="AO1164" i="48"/>
  <c r="AO1149" i="48"/>
  <c r="AP1149" i="48"/>
  <c r="AN936" i="48"/>
  <c r="AO936" i="48"/>
  <c r="AL936" i="48"/>
  <c r="AP936" i="48"/>
  <c r="AK1237" i="48"/>
  <c r="AO1237" i="48"/>
  <c r="AN1237" i="48"/>
  <c r="AK1211" i="48"/>
  <c r="AP1211" i="48"/>
  <c r="AO1211" i="48"/>
  <c r="AN1211" i="48"/>
  <c r="AK1526" i="48"/>
  <c r="AP1526" i="48"/>
  <c r="AM1526" i="48"/>
  <c r="AO1526" i="48"/>
  <c r="AL1526" i="48"/>
  <c r="AN1526" i="48"/>
  <c r="AP1468" i="48"/>
  <c r="AN1468" i="48"/>
  <c r="AN1945" i="48"/>
  <c r="AL1945" i="48"/>
  <c r="AO1945" i="48"/>
  <c r="AP1945" i="48"/>
  <c r="AM1945" i="48"/>
  <c r="AK1945" i="48"/>
  <c r="AK1438" i="48"/>
  <c r="AM1438" i="48"/>
  <c r="AL1438" i="48"/>
  <c r="AN981" i="48"/>
  <c r="AO981" i="48"/>
  <c r="AP981" i="48"/>
  <c r="AM981" i="48"/>
  <c r="AK981" i="48"/>
  <c r="AM991" i="48"/>
  <c r="AK991" i="48"/>
  <c r="AL991" i="48"/>
  <c r="AN991" i="48"/>
  <c r="AP991" i="48"/>
  <c r="AN1797" i="48"/>
  <c r="AL1797" i="48"/>
  <c r="AM1797" i="48"/>
  <c r="AP1797" i="48"/>
  <c r="AL1886" i="48"/>
  <c r="AO1886" i="48"/>
  <c r="AM1886" i="48"/>
  <c r="AP1886" i="48"/>
  <c r="AK1886" i="48"/>
  <c r="AN1886" i="48"/>
  <c r="AK1996" i="48"/>
  <c r="AN1996" i="48"/>
  <c r="AM1133" i="48"/>
  <c r="AP1133" i="48"/>
  <c r="AO1133" i="48"/>
  <c r="AP1808" i="48"/>
  <c r="AN1808" i="48"/>
  <c r="AO1808" i="48"/>
  <c r="AK1808" i="48"/>
  <c r="AM835" i="48"/>
  <c r="AO835" i="48"/>
  <c r="AK835" i="48"/>
  <c r="AP835" i="48"/>
  <c r="AN835" i="48"/>
  <c r="AL835" i="48"/>
  <c r="AO1336" i="48"/>
  <c r="AP1336" i="48"/>
  <c r="AN1336" i="48"/>
  <c r="AL1336" i="48"/>
  <c r="AK1336" i="48"/>
  <c r="AM1336" i="48"/>
  <c r="AP1145" i="48"/>
  <c r="AL1145" i="48"/>
  <c r="AM1145" i="48"/>
  <c r="AK1145" i="48"/>
  <c r="AN1145" i="48"/>
  <c r="AO1145" i="48"/>
  <c r="AP1023" i="48"/>
  <c r="AO1023" i="48"/>
  <c r="AN1023" i="48"/>
  <c r="AL1023" i="48"/>
  <c r="AM1041" i="48"/>
  <c r="AL1041" i="48"/>
  <c r="AK1041" i="48"/>
  <c r="AN1041" i="48"/>
  <c r="AP1041" i="48"/>
  <c r="AO1041" i="48"/>
  <c r="AK1064" i="48"/>
  <c r="AP1064" i="48"/>
  <c r="AO1064" i="48"/>
  <c r="AM1064" i="48"/>
  <c r="AL1064" i="48"/>
  <c r="AP1543" i="48"/>
  <c r="AM1543" i="48"/>
  <c r="AO1543" i="48"/>
  <c r="AL1543" i="48"/>
  <c r="AN1543" i="48"/>
  <c r="AK1543" i="48"/>
  <c r="AN1703" i="48"/>
  <c r="AO1703" i="48"/>
  <c r="AM1703" i="48"/>
  <c r="AK1703" i="48"/>
  <c r="AL1703" i="48"/>
  <c r="AL1746" i="48"/>
  <c r="AN1746" i="48"/>
  <c r="AO1746" i="48"/>
  <c r="AP1746" i="48"/>
  <c r="AK1746" i="48"/>
  <c r="AM1746" i="48"/>
  <c r="AN1115" i="48"/>
  <c r="AO1115" i="48"/>
  <c r="AP1115" i="48"/>
  <c r="AK1115" i="48"/>
  <c r="AL1326" i="48"/>
  <c r="AO1326" i="48"/>
  <c r="AP1326" i="48"/>
  <c r="AK1326" i="48"/>
  <c r="AN1326" i="48"/>
  <c r="AO1314" i="48"/>
  <c r="AL1314" i="48"/>
  <c r="AN1314" i="48"/>
  <c r="AK1314" i="48"/>
  <c r="AM1314" i="48"/>
  <c r="AK641" i="48"/>
  <c r="AP641" i="48"/>
  <c r="AM641" i="48"/>
  <c r="AO641" i="48"/>
  <c r="AN1465" i="48"/>
  <c r="AK1465" i="48"/>
  <c r="AO1465" i="48"/>
  <c r="AM1465" i="48"/>
  <c r="AL1465" i="48"/>
  <c r="AP1465" i="48"/>
  <c r="AP1077" i="48"/>
  <c r="AL1077" i="48"/>
  <c r="AM1077" i="48"/>
  <c r="AK1077" i="48"/>
  <c r="AN1077" i="48"/>
  <c r="AP1997" i="48"/>
  <c r="AO1997" i="48"/>
  <c r="AL1997" i="48"/>
  <c r="AM1997" i="48"/>
  <c r="AK1997" i="48"/>
  <c r="AM1691" i="48"/>
  <c r="AK1691" i="48"/>
  <c r="AL1691" i="48"/>
  <c r="AP1691" i="48"/>
  <c r="AO1763" i="48"/>
  <c r="AN1763" i="48"/>
  <c r="AK1763" i="48"/>
  <c r="AM1763" i="48"/>
  <c r="AL1763" i="48"/>
  <c r="AP1763" i="48"/>
  <c r="AL998" i="48"/>
  <c r="AP998" i="48"/>
  <c r="AP1498" i="48"/>
  <c r="AO1498" i="48"/>
  <c r="AN1498" i="48"/>
  <c r="AK1498" i="48"/>
  <c r="AL1498" i="48"/>
  <c r="AM1937" i="48"/>
  <c r="AN1937" i="48"/>
  <c r="AL1937" i="48"/>
  <c r="AN1804" i="48"/>
  <c r="AP1804" i="48"/>
  <c r="AL1804" i="48"/>
  <c r="AM1804" i="48"/>
  <c r="AK1804" i="48"/>
  <c r="AL1134" i="48"/>
  <c r="AP1134" i="48"/>
  <c r="AM1134" i="48"/>
  <c r="AL888" i="48"/>
  <c r="AP888" i="48"/>
  <c r="AN888" i="48"/>
  <c r="AM888" i="48"/>
  <c r="AO888" i="48"/>
  <c r="AK888" i="48"/>
  <c r="AP692" i="48"/>
  <c r="AK970" i="48"/>
  <c r="AO1033" i="48"/>
  <c r="AM1575" i="48"/>
  <c r="AN1460" i="48"/>
  <c r="AM1639" i="48"/>
  <c r="AK1405" i="48"/>
  <c r="AM1810" i="48"/>
  <c r="AK1014" i="48"/>
  <c r="AL771" i="48"/>
  <c r="AM1569" i="48"/>
  <c r="AM1237" i="48"/>
  <c r="AP1703" i="48"/>
  <c r="AL1557" i="48"/>
  <c r="AO1804" i="48"/>
  <c r="AK1545" i="48"/>
  <c r="AN1031" i="48"/>
  <c r="AM1211" i="48"/>
  <c r="AL981" i="48"/>
  <c r="AM1326" i="48"/>
  <c r="AN1064" i="48"/>
  <c r="AK1123" i="48"/>
  <c r="AK2024" i="48"/>
  <c r="AK1781" i="48"/>
  <c r="AL1033" i="48"/>
  <c r="AL1076" i="48"/>
  <c r="AN1173" i="48"/>
  <c r="AK1613" i="48"/>
  <c r="AL1460" i="48"/>
  <c r="AL1639" i="48"/>
  <c r="AO1375" i="48"/>
  <c r="AM1588" i="48"/>
  <c r="AP1792" i="48"/>
  <c r="AK1949" i="48"/>
  <c r="AP985" i="48"/>
  <c r="AK2022" i="48"/>
  <c r="AP1569" i="48"/>
  <c r="AK1623" i="48"/>
  <c r="AN1489" i="48"/>
  <c r="AO1937" i="48"/>
  <c r="AN1775" i="48"/>
  <c r="AP1385" i="48"/>
  <c r="AL1237" i="48"/>
  <c r="AO984" i="48"/>
  <c r="AO991" i="48"/>
  <c r="AL1767" i="48"/>
  <c r="AN968" i="48"/>
  <c r="AO1077" i="48"/>
  <c r="AK1680" i="48"/>
  <c r="AL1562" i="48"/>
  <c r="AL1464" i="48"/>
  <c r="AK1048" i="48"/>
  <c r="AO1141" i="48"/>
  <c r="AO732" i="48"/>
  <c r="AK973" i="48"/>
  <c r="AP1233" i="48"/>
  <c r="AP1496" i="48"/>
  <c r="AN1691" i="48"/>
  <c r="AK1363" i="48"/>
  <c r="AK1797" i="48"/>
  <c r="AP1835" i="48"/>
  <c r="AN730" i="48"/>
  <c r="AK605" i="48"/>
  <c r="AL702" i="48"/>
  <c r="AN1747" i="48"/>
  <c r="AO1561" i="48"/>
  <c r="AM1115" i="48"/>
  <c r="AP1164" i="48"/>
  <c r="AM1615" i="48"/>
  <c r="AO594" i="48"/>
  <c r="AM1572" i="48"/>
  <c r="AO217" i="48"/>
  <c r="AO136" i="48"/>
  <c r="BD297" i="48"/>
  <c r="BD299" i="48"/>
  <c r="BJ135" i="48"/>
  <c r="BJ61" i="48"/>
  <c r="BA296" i="48"/>
  <c r="AC296" i="48" s="1"/>
  <c r="BC296" i="48" s="1"/>
  <c r="BG439" i="48"/>
  <c r="BF439" i="48"/>
  <c r="BE439" i="48"/>
  <c r="BH439" i="48"/>
  <c r="BG73" i="48"/>
  <c r="BE73" i="48"/>
  <c r="BB73" i="48" s="1"/>
  <c r="BF73" i="48"/>
  <c r="BH73" i="48"/>
  <c r="BH175" i="48"/>
  <c r="BF175" i="48"/>
  <c r="BE175" i="48"/>
  <c r="BG175" i="48"/>
  <c r="BH522" i="48"/>
  <c r="BG522" i="48"/>
  <c r="BE522" i="48"/>
  <c r="BF522" i="48"/>
  <c r="BG493" i="48"/>
  <c r="BE493" i="48"/>
  <c r="BH493" i="48"/>
  <c r="BF493" i="48"/>
  <c r="BG197" i="48"/>
  <c r="BE197" i="48"/>
  <c r="BB197" i="48" s="1"/>
  <c r="AB197" i="48" s="1"/>
  <c r="BF197" i="48"/>
  <c r="AK197" i="48" s="1"/>
  <c r="AL197" i="48" s="1"/>
  <c r="BF135" i="48"/>
  <c r="BG135" i="48"/>
  <c r="BH135" i="48"/>
  <c r="BE135" i="48"/>
  <c r="BH277" i="48"/>
  <c r="BG277" i="48"/>
  <c r="BE277" i="48"/>
  <c r="BF277" i="48"/>
  <c r="AM277" i="48" s="1"/>
  <c r="AN277" i="48" s="1"/>
  <c r="BE427" i="48"/>
  <c r="BG427" i="48"/>
  <c r="BH427" i="48"/>
  <c r="BF427" i="48"/>
  <c r="BG1486" i="48"/>
  <c r="BF1486" i="48"/>
  <c r="BE1486" i="48"/>
  <c r="BH1486" i="48"/>
  <c r="BE629" i="48"/>
  <c r="BG629" i="48"/>
  <c r="BF629" i="48"/>
  <c r="BH629" i="48"/>
  <c r="BE1341" i="48"/>
  <c r="BF1341" i="48"/>
  <c r="BG1341" i="48"/>
  <c r="BH1341" i="48"/>
  <c r="BE1149" i="48"/>
  <c r="BH1149" i="48"/>
  <c r="BG1149" i="48"/>
  <c r="BF1149" i="48"/>
  <c r="BH1067" i="48"/>
  <c r="BE1067" i="48"/>
  <c r="BG1067" i="48"/>
  <c r="BF1067" i="48"/>
  <c r="BG1316" i="48"/>
  <c r="BF1316" i="48"/>
  <c r="BE1316" i="48"/>
  <c r="BH1316" i="48"/>
  <c r="BF816" i="48"/>
  <c r="BE816" i="48"/>
  <c r="BG816" i="48"/>
  <c r="BH816" i="48"/>
  <c r="BH1405" i="48"/>
  <c r="BF1405" i="48"/>
  <c r="BE1405" i="48"/>
  <c r="BG1405" i="48"/>
  <c r="BF936" i="48"/>
  <c r="BG936" i="48"/>
  <c r="BH936" i="48"/>
  <c r="BE936" i="48"/>
  <c r="BF839" i="48"/>
  <c r="BE839" i="48"/>
  <c r="BH839" i="48"/>
  <c r="BG839" i="48"/>
  <c r="BE1265" i="48"/>
  <c r="BH1265" i="48"/>
  <c r="BG1265" i="48"/>
  <c r="BF1265" i="48"/>
  <c r="BF1674" i="48"/>
  <c r="BE1674" i="48"/>
  <c r="BH1674" i="48"/>
  <c r="BG1674" i="48"/>
  <c r="BF751" i="48"/>
  <c r="BE751" i="48"/>
  <c r="BH751" i="48"/>
  <c r="BG751" i="48"/>
  <c r="BH1663" i="48"/>
  <c r="BF1663" i="48"/>
  <c r="BE1663" i="48"/>
  <c r="BG1663" i="48"/>
  <c r="BG1530" i="48"/>
  <c r="BF1530" i="48"/>
  <c r="BE1530" i="48"/>
  <c r="BH1530" i="48"/>
  <c r="BE729" i="48"/>
  <c r="BG729" i="48"/>
  <c r="BF729" i="48"/>
  <c r="BH729" i="48"/>
  <c r="BG1945" i="48"/>
  <c r="BF1945" i="48"/>
  <c r="BE1945" i="48"/>
  <c r="BH1945" i="48"/>
  <c r="BG1228" i="48"/>
  <c r="BF1228" i="48"/>
  <c r="BE1228" i="48"/>
  <c r="BH1228" i="48"/>
  <c r="BF1988" i="48"/>
  <c r="BG1988" i="48"/>
  <c r="BH1988" i="48"/>
  <c r="BE1988" i="48"/>
  <c r="BF1791" i="48"/>
  <c r="BE1791" i="48"/>
  <c r="BH1791" i="48"/>
  <c r="BG1791" i="48"/>
  <c r="BH1355" i="48"/>
  <c r="BG1355" i="48"/>
  <c r="BF1355" i="48"/>
  <c r="BE1355" i="48"/>
  <c r="BF1766" i="48"/>
  <c r="BE1766" i="48"/>
  <c r="BH1766" i="48"/>
  <c r="BG1766" i="48"/>
  <c r="BG1723" i="48"/>
  <c r="BF1723" i="48"/>
  <c r="BE1723" i="48"/>
  <c r="BH1723" i="48"/>
  <c r="BH1848" i="48"/>
  <c r="BG1848" i="48"/>
  <c r="BF1848" i="48"/>
  <c r="BE1848" i="48"/>
  <c r="BH991" i="48"/>
  <c r="BF991" i="48"/>
  <c r="BE991" i="48"/>
  <c r="BG991" i="48"/>
  <c r="BE80" i="48"/>
  <c r="BG80" i="48"/>
  <c r="BF80" i="48"/>
  <c r="BF84" i="48"/>
  <c r="AM84" i="48" s="1"/>
  <c r="AN84" i="48" s="1"/>
  <c r="BG84" i="48"/>
  <c r="BE84" i="48"/>
  <c r="BB84" i="48" s="1"/>
  <c r="BH84" i="48"/>
  <c r="BF116" i="48"/>
  <c r="AK116" i="48" s="1"/>
  <c r="AL116" i="48" s="1"/>
  <c r="BG116" i="48"/>
  <c r="BE116" i="48"/>
  <c r="BB116" i="48" s="1"/>
  <c r="BH116" i="48"/>
  <c r="BG61" i="48"/>
  <c r="BF61" i="48"/>
  <c r="BH61" i="48" s="1"/>
  <c r="AM61" i="48" s="1"/>
  <c r="AN61" i="48" s="1"/>
  <c r="BE61" i="48"/>
  <c r="BH1745" i="48"/>
  <c r="BG1745" i="48"/>
  <c r="BF1745" i="48"/>
  <c r="BE1745" i="48"/>
  <c r="BH1631" i="48"/>
  <c r="BF1631" i="48"/>
  <c r="BE1631" i="48"/>
  <c r="BG1631" i="48"/>
  <c r="BE1337" i="48"/>
  <c r="BF1337" i="48"/>
  <c r="BG1337" i="48"/>
  <c r="BH1337" i="48"/>
  <c r="BG1260" i="48"/>
  <c r="BF1260" i="48"/>
  <c r="BE1260" i="48"/>
  <c r="BH1260" i="48"/>
  <c r="BE1201" i="48"/>
  <c r="BH1201" i="48"/>
  <c r="BG1201" i="48"/>
  <c r="BF1201" i="48"/>
  <c r="BF1060" i="48"/>
  <c r="BG1060" i="48"/>
  <c r="BE1060" i="48"/>
  <c r="BH1060" i="48"/>
  <c r="BE1325" i="48"/>
  <c r="BH1325" i="48"/>
  <c r="BG1325" i="48"/>
  <c r="BF1325" i="48"/>
  <c r="BE1185" i="48"/>
  <c r="BH1185" i="48"/>
  <c r="BG1185" i="48"/>
  <c r="BF1185" i="48"/>
  <c r="BH1291" i="48"/>
  <c r="BG1291" i="48"/>
  <c r="BF1291" i="48"/>
  <c r="BE1291" i="48"/>
  <c r="BH644" i="48"/>
  <c r="BG644" i="48"/>
  <c r="BF644" i="48"/>
  <c r="BE644" i="48"/>
  <c r="BE1049" i="48"/>
  <c r="BH1049" i="48"/>
  <c r="BG1049" i="48"/>
  <c r="BF1049" i="48"/>
  <c r="BF1613" i="48"/>
  <c r="BE1613" i="48"/>
  <c r="BH1613" i="48"/>
  <c r="BG1613" i="48"/>
  <c r="BH1890" i="48"/>
  <c r="BG1890" i="48"/>
  <c r="BF1890" i="48"/>
  <c r="BE1890" i="48"/>
  <c r="BH1886" i="48"/>
  <c r="BG1886" i="48"/>
  <c r="BF1886" i="48"/>
  <c r="BE1886" i="48"/>
  <c r="BF567" i="48"/>
  <c r="BG567" i="48"/>
  <c r="BH567" i="48"/>
  <c r="BE567" i="48"/>
  <c r="BH1808" i="48"/>
  <c r="BG1808" i="48"/>
  <c r="BF1808" i="48"/>
  <c r="BE1808" i="48"/>
  <c r="BF992" i="48"/>
  <c r="BG992" i="48"/>
  <c r="BH992" i="48"/>
  <c r="BE992" i="48"/>
  <c r="BH835" i="48"/>
  <c r="BE835" i="48"/>
  <c r="BG835" i="48"/>
  <c r="BF835" i="48"/>
  <c r="BE2035" i="48"/>
  <c r="BH2035" i="48"/>
  <c r="BG2035" i="48"/>
  <c r="BF2035" i="48"/>
  <c r="BE1881" i="48"/>
  <c r="BH1881" i="48"/>
  <c r="BG1881" i="48"/>
  <c r="BF1881" i="48"/>
  <c r="BF1109" i="48"/>
  <c r="BE1109" i="48"/>
  <c r="BH1109" i="48"/>
  <c r="BG1109" i="48"/>
  <c r="BE895" i="48"/>
  <c r="BG895" i="48"/>
  <c r="BF895" i="48"/>
  <c r="BH895" i="48"/>
  <c r="BF1718" i="48"/>
  <c r="BG1718" i="48"/>
  <c r="BH1718" i="48"/>
  <c r="BE1718" i="48"/>
  <c r="BH1023" i="48"/>
  <c r="BG1023" i="48"/>
  <c r="BF1023" i="48"/>
  <c r="BE1023" i="48"/>
  <c r="BH1251" i="48"/>
  <c r="BG1251" i="48"/>
  <c r="BF1251" i="48"/>
  <c r="BE1251" i="48"/>
  <c r="BH1895" i="48"/>
  <c r="BG1895" i="48"/>
  <c r="BF1895" i="48"/>
  <c r="BE1895" i="48"/>
  <c r="BE1301" i="48"/>
  <c r="BH1301" i="48"/>
  <c r="BG1301" i="48"/>
  <c r="BF1301" i="48"/>
  <c r="BH1563" i="48"/>
  <c r="BE1563" i="48"/>
  <c r="BG1563" i="48"/>
  <c r="BF1563" i="48"/>
  <c r="BG1454" i="48"/>
  <c r="BF1454" i="48"/>
  <c r="BE1454" i="48"/>
  <c r="BH1454" i="48"/>
  <c r="BF1040" i="48"/>
  <c r="BG1040" i="48"/>
  <c r="BH1040" i="48"/>
  <c r="BE1040" i="48"/>
  <c r="BH1697" i="48"/>
  <c r="BG1697" i="48"/>
  <c r="BF1697" i="48"/>
  <c r="BE1697" i="48"/>
  <c r="BE384" i="48"/>
  <c r="BH384" i="48"/>
  <c r="BG384" i="48"/>
  <c r="BF384" i="48"/>
  <c r="BF335" i="48"/>
  <c r="BH335" i="48"/>
  <c r="BE335" i="48"/>
  <c r="BG335" i="48"/>
  <c r="BF148" i="48"/>
  <c r="AM148" i="48" s="1"/>
  <c r="AN148" i="48" s="1"/>
  <c r="BG148" i="48"/>
  <c r="BE148" i="48"/>
  <c r="BB148" i="48" s="1"/>
  <c r="AB148" i="48" s="1"/>
  <c r="BE475" i="48"/>
  <c r="BG475" i="48"/>
  <c r="BH475" i="48"/>
  <c r="BF475" i="48"/>
  <c r="BH534" i="48"/>
  <c r="BG534" i="48"/>
  <c r="BF534" i="48"/>
  <c r="BE534" i="48"/>
  <c r="BF374" i="48"/>
  <c r="BH374" i="48"/>
  <c r="BE374" i="48"/>
  <c r="BG374" i="48"/>
  <c r="BH99" i="48"/>
  <c r="BE99" i="48"/>
  <c r="BG99" i="48"/>
  <c r="BF99" i="48"/>
  <c r="BE64" i="48"/>
  <c r="BB64" i="48" s="1"/>
  <c r="BG64" i="48"/>
  <c r="BF64" i="48"/>
  <c r="BH64" i="48" s="1"/>
  <c r="AM64" i="48" s="1"/>
  <c r="AN64" i="48" s="1"/>
  <c r="BF100" i="48"/>
  <c r="BG100" i="48"/>
  <c r="BE100" i="48"/>
  <c r="BB100" i="48" s="1"/>
  <c r="BH100" i="48"/>
  <c r="BH213" i="48"/>
  <c r="BG213" i="48"/>
  <c r="BE213" i="48"/>
  <c r="BF213" i="48"/>
  <c r="BH341" i="48"/>
  <c r="BE341" i="48"/>
  <c r="BF341" i="48"/>
  <c r="BG341" i="48"/>
  <c r="BF1004" i="48"/>
  <c r="BG1004" i="48"/>
  <c r="BH1004" i="48"/>
  <c r="BE1004" i="48"/>
  <c r="BG860" i="48"/>
  <c r="BF860" i="48"/>
  <c r="BE860" i="48"/>
  <c r="BH860" i="48"/>
  <c r="BH819" i="48"/>
  <c r="BE819" i="48"/>
  <c r="BG819" i="48"/>
  <c r="BF819" i="48"/>
  <c r="BH2051" i="48"/>
  <c r="BG2051" i="48"/>
  <c r="BF2051" i="48"/>
  <c r="BE2051" i="48"/>
  <c r="BE1221" i="48"/>
  <c r="BH1221" i="48"/>
  <c r="BG1221" i="48"/>
  <c r="BF1221" i="48"/>
  <c r="BF1543" i="48"/>
  <c r="BH1543" i="48"/>
  <c r="BE1543" i="48"/>
  <c r="BG1543" i="48"/>
  <c r="BE1853" i="48"/>
  <c r="BH1853" i="48"/>
  <c r="BG1853" i="48"/>
  <c r="BF1853" i="48"/>
  <c r="BG1738" i="48"/>
  <c r="BF1738" i="48"/>
  <c r="BH1738" i="48"/>
  <c r="BE1738" i="48"/>
  <c r="BE610" i="48"/>
  <c r="BF610" i="48"/>
  <c r="BH610" i="48"/>
  <c r="BG610" i="48"/>
  <c r="BF1136" i="48"/>
  <c r="BG1136" i="48"/>
  <c r="BH1136" i="48"/>
  <c r="BE1136" i="48"/>
  <c r="BE1551" i="48"/>
  <c r="BG1551" i="48"/>
  <c r="BF1551" i="48"/>
  <c r="BH1551" i="48"/>
  <c r="BG664" i="48"/>
  <c r="BF664" i="48"/>
  <c r="BH664" i="48"/>
  <c r="BE664" i="48"/>
  <c r="BH1125" i="48"/>
  <c r="BG1125" i="48"/>
  <c r="BF1125" i="48"/>
  <c r="BE1125" i="48"/>
  <c r="BE1662" i="48"/>
  <c r="BH1662" i="48"/>
  <c r="BG1662" i="48"/>
  <c r="BF1662" i="48"/>
  <c r="BE1938" i="48"/>
  <c r="BH1938" i="48"/>
  <c r="BG1938" i="48"/>
  <c r="BF1938" i="48"/>
  <c r="BF239" i="48"/>
  <c r="BE239" i="48"/>
  <c r="BG239" i="48"/>
  <c r="BG134" i="48"/>
  <c r="BF134" i="48"/>
  <c r="BE134" i="48"/>
  <c r="BB134" i="48" s="1"/>
  <c r="BH134" i="48"/>
  <c r="BF351" i="48"/>
  <c r="BE351" i="48"/>
  <c r="BG351" i="48"/>
  <c r="BH351" i="48"/>
  <c r="BG359" i="48"/>
  <c r="BH359" i="48"/>
  <c r="BF359" i="48"/>
  <c r="BE359" i="48"/>
  <c r="BE423" i="48"/>
  <c r="BG423" i="48"/>
  <c r="BH423" i="48"/>
  <c r="BF423" i="48"/>
  <c r="BF289" i="48"/>
  <c r="BE289" i="48"/>
  <c r="BH289" i="48"/>
  <c r="BG289" i="48"/>
  <c r="BG1596" i="48"/>
  <c r="BF1596" i="48"/>
  <c r="BE1596" i="48"/>
  <c r="BH1596" i="48"/>
  <c r="BF2041" i="48"/>
  <c r="BH2041" i="48"/>
  <c r="BG2041" i="48"/>
  <c r="BE2041" i="48"/>
  <c r="BE865" i="48"/>
  <c r="BH865" i="48"/>
  <c r="BG865" i="48"/>
  <c r="BF865" i="48"/>
  <c r="BE1117" i="48"/>
  <c r="BH1117" i="48"/>
  <c r="BG1117" i="48"/>
  <c r="BF1117" i="48"/>
  <c r="BE576" i="48"/>
  <c r="BF576" i="48"/>
  <c r="BG576" i="48"/>
  <c r="BH576" i="48"/>
  <c r="BF712" i="48"/>
  <c r="BE712" i="48"/>
  <c r="BG712" i="48"/>
  <c r="BH712" i="48"/>
  <c r="BH1110" i="48"/>
  <c r="BG1110" i="48"/>
  <c r="BF1110" i="48"/>
  <c r="BE1110" i="48"/>
  <c r="BG1960" i="48"/>
  <c r="BF1960" i="48"/>
  <c r="BE1960" i="48"/>
  <c r="BH1960" i="48"/>
  <c r="BH1115" i="48"/>
  <c r="BG1115" i="48"/>
  <c r="BF1115" i="48"/>
  <c r="BE1115" i="48"/>
  <c r="BE657" i="48"/>
  <c r="BG657" i="48"/>
  <c r="BF657" i="48"/>
  <c r="BH657" i="48"/>
  <c r="BF1836" i="48"/>
  <c r="BE1836" i="48"/>
  <c r="BH1836" i="48"/>
  <c r="BG1836" i="48"/>
  <c r="BH692" i="48"/>
  <c r="BG692" i="48"/>
  <c r="BF692" i="48"/>
  <c r="BE692" i="48"/>
  <c r="BH987" i="48"/>
  <c r="BG987" i="48"/>
  <c r="BF987" i="48"/>
  <c r="BE987" i="48"/>
  <c r="BF1605" i="48"/>
  <c r="BE1605" i="48"/>
  <c r="BH1605" i="48"/>
  <c r="BG1605" i="48"/>
  <c r="BG1474" i="48"/>
  <c r="BF1474" i="48"/>
  <c r="BE1474" i="48"/>
  <c r="BH1474" i="48"/>
  <c r="BH1367" i="48"/>
  <c r="BF1367" i="48"/>
  <c r="BE1367" i="48"/>
  <c r="BG1367" i="48"/>
  <c r="BH566" i="48"/>
  <c r="BE566" i="48"/>
  <c r="BF566" i="48"/>
  <c r="BG566" i="48"/>
  <c r="BF1653" i="48"/>
  <c r="BE1653" i="48"/>
  <c r="BH1653" i="48"/>
  <c r="BG1653" i="48"/>
  <c r="BH820" i="48"/>
  <c r="BF820" i="48"/>
  <c r="BE820" i="48"/>
  <c r="BG820" i="48"/>
  <c r="BG1347" i="48"/>
  <c r="BF1347" i="48"/>
  <c r="BE1347" i="48"/>
  <c r="BH1347" i="48"/>
  <c r="BF1112" i="48"/>
  <c r="BG1112" i="48"/>
  <c r="BH1112" i="48"/>
  <c r="BE1112" i="48"/>
  <c r="BH842" i="48"/>
  <c r="BG842" i="48"/>
  <c r="BE842" i="48"/>
  <c r="BF842" i="48"/>
  <c r="BH1178" i="48"/>
  <c r="BG1178" i="48"/>
  <c r="BF1178" i="48"/>
  <c r="BE1178" i="48"/>
  <c r="BE817" i="48"/>
  <c r="BG817" i="48"/>
  <c r="BF817" i="48"/>
  <c r="BH817" i="48"/>
  <c r="BH1063" i="48"/>
  <c r="BF1063" i="48"/>
  <c r="BE1063" i="48"/>
  <c r="BG1063" i="48"/>
  <c r="BF1077" i="48"/>
  <c r="BE1077" i="48"/>
  <c r="BH1077" i="48"/>
  <c r="BG1077" i="48"/>
  <c r="BH1179" i="48"/>
  <c r="BF1179" i="48"/>
  <c r="BE1179" i="48"/>
  <c r="BG1179" i="48"/>
  <c r="BG1192" i="48"/>
  <c r="BF1192" i="48"/>
  <c r="BE1192" i="48"/>
  <c r="BH1192" i="48"/>
  <c r="BE465" i="48"/>
  <c r="BH465" i="48"/>
  <c r="BG465" i="48"/>
  <c r="BF465" i="48"/>
  <c r="BF367" i="48"/>
  <c r="BH367" i="48"/>
  <c r="BE367" i="48"/>
  <c r="BG367" i="48"/>
  <c r="BG329" i="48"/>
  <c r="BE329" i="48"/>
  <c r="BF329" i="48"/>
  <c r="BH329" i="48"/>
  <c r="BF79" i="48"/>
  <c r="BE79" i="48"/>
  <c r="BG79" i="48"/>
  <c r="BE194" i="48"/>
  <c r="BB194" i="48" s="1"/>
  <c r="AB194" i="48" s="1"/>
  <c r="BG194" i="48"/>
  <c r="BF194" i="48"/>
  <c r="BE272" i="48"/>
  <c r="BG272" i="48"/>
  <c r="BF272" i="48"/>
  <c r="BH389" i="48"/>
  <c r="BG389" i="48"/>
  <c r="BE389" i="48"/>
  <c r="BF389" i="48"/>
  <c r="BF904" i="48"/>
  <c r="BG904" i="48"/>
  <c r="BH904" i="48"/>
  <c r="BE904" i="48"/>
  <c r="BH848" i="48"/>
  <c r="BF848" i="48"/>
  <c r="BE848" i="48"/>
  <c r="BG848" i="48"/>
  <c r="BH1315" i="48"/>
  <c r="BG1315" i="48"/>
  <c r="BF1315" i="48"/>
  <c r="BE1315" i="48"/>
  <c r="BE1916" i="48"/>
  <c r="BH1916" i="48"/>
  <c r="BG1916" i="48"/>
  <c r="BF1916" i="48"/>
  <c r="BH1971" i="48"/>
  <c r="BE1971" i="48"/>
  <c r="BG1971" i="48"/>
  <c r="BF1971" i="48"/>
  <c r="BE637" i="48"/>
  <c r="BF637" i="48"/>
  <c r="BG637" i="48"/>
  <c r="BH637" i="48"/>
  <c r="BH1741" i="48"/>
  <c r="BE1741" i="48"/>
  <c r="BG1741" i="48"/>
  <c r="BF1741" i="48"/>
  <c r="BE1997" i="48"/>
  <c r="BF1997" i="48"/>
  <c r="BG1997" i="48"/>
  <c r="BH1997" i="48"/>
  <c r="BH1338" i="48"/>
  <c r="BG1338" i="48"/>
  <c r="BF1338" i="48"/>
  <c r="BE1338" i="48"/>
  <c r="BE705" i="48"/>
  <c r="BG705" i="48"/>
  <c r="BF705" i="48"/>
  <c r="BH705" i="48"/>
  <c r="BE837" i="48"/>
  <c r="BH837" i="48"/>
  <c r="BF837" i="48"/>
  <c r="BG837" i="48"/>
  <c r="BH1404" i="48"/>
  <c r="BG1404" i="48"/>
  <c r="BF1404" i="48"/>
  <c r="BE1404" i="48"/>
  <c r="BH1059" i="48"/>
  <c r="BG1059" i="48"/>
  <c r="BF1059" i="48"/>
  <c r="BE1059" i="48"/>
  <c r="BE853" i="48"/>
  <c r="BF853" i="48"/>
  <c r="BG853" i="48"/>
  <c r="BH853" i="48"/>
  <c r="BH648" i="48"/>
  <c r="BG648" i="48"/>
  <c r="BF648" i="48"/>
  <c r="BE648" i="48"/>
  <c r="BF1045" i="48"/>
  <c r="BE1045" i="48"/>
  <c r="BH1045" i="48"/>
  <c r="BG1045" i="48"/>
  <c r="BH943" i="48"/>
  <c r="BG943" i="48"/>
  <c r="BF943" i="48"/>
  <c r="BE943" i="48"/>
  <c r="BF1645" i="48"/>
  <c r="BE1645" i="48"/>
  <c r="BH1645" i="48"/>
  <c r="BG1645" i="48"/>
  <c r="BE977" i="48"/>
  <c r="BH977" i="48"/>
  <c r="BG977" i="48"/>
  <c r="BF977" i="48"/>
  <c r="BE407" i="48"/>
  <c r="BH407" i="48"/>
  <c r="BF407" i="48"/>
  <c r="BG407" i="48"/>
  <c r="BE240" i="48"/>
  <c r="BH240" i="48"/>
  <c r="BG240" i="48"/>
  <c r="BF240" i="48"/>
  <c r="BG258" i="48"/>
  <c r="BF258" i="48"/>
  <c r="AM258" i="48" s="1"/>
  <c r="AN258" i="48" s="1"/>
  <c r="BE258" i="48"/>
  <c r="BF117" i="48"/>
  <c r="BG117" i="48"/>
  <c r="BE117" i="48"/>
  <c r="BB117" i="48" s="1"/>
  <c r="BF523" i="48"/>
  <c r="BG523" i="48"/>
  <c r="BE523" i="48"/>
  <c r="BH523" i="48"/>
  <c r="BF1839" i="48"/>
  <c r="BE1839" i="48"/>
  <c r="BH1839" i="48"/>
  <c r="BG1839" i="48"/>
  <c r="BF1433" i="48"/>
  <c r="BE1433" i="48"/>
  <c r="BH1433" i="48"/>
  <c r="BG1433" i="48"/>
  <c r="BE2037" i="48"/>
  <c r="BF2037" i="48"/>
  <c r="BH2037" i="48"/>
  <c r="BG2037" i="48"/>
  <c r="BF1651" i="48"/>
  <c r="BE1651" i="48"/>
  <c r="BH1651" i="48"/>
  <c r="BG1651" i="48"/>
  <c r="BE649" i="48"/>
  <c r="BG649" i="48"/>
  <c r="BF649" i="48"/>
  <c r="BH649" i="48"/>
  <c r="BF584" i="48"/>
  <c r="BE584" i="48"/>
  <c r="BG584" i="48"/>
  <c r="BH584" i="48"/>
  <c r="BH1577" i="48"/>
  <c r="BG1577" i="48"/>
  <c r="BF1577" i="48"/>
  <c r="BE1577" i="48"/>
  <c r="BH1598" i="48"/>
  <c r="BG1598" i="48"/>
  <c r="BF1598" i="48"/>
  <c r="BE1598" i="48"/>
  <c r="BE797" i="48"/>
  <c r="BF797" i="48"/>
  <c r="BG797" i="48"/>
  <c r="BH797" i="48"/>
  <c r="BH1453" i="48"/>
  <c r="BG1453" i="48"/>
  <c r="BF1453" i="48"/>
  <c r="BE1453" i="48"/>
  <c r="BG606" i="48"/>
  <c r="BF606" i="48"/>
  <c r="BE606" i="48"/>
  <c r="BH606" i="48"/>
  <c r="BH1143" i="48"/>
  <c r="BG1143" i="48"/>
  <c r="BF1143" i="48"/>
  <c r="BE1143" i="48"/>
  <c r="BH1699" i="48"/>
  <c r="BG1699" i="48"/>
  <c r="BF1699" i="48"/>
  <c r="BE1699" i="48"/>
  <c r="BH1689" i="48"/>
  <c r="BG1689" i="48"/>
  <c r="BF1689" i="48"/>
  <c r="BE1689" i="48"/>
  <c r="BG1011" i="48"/>
  <c r="BF1011" i="48"/>
  <c r="BE1011" i="48"/>
  <c r="BH1011" i="48"/>
  <c r="BH1283" i="48"/>
  <c r="BG1283" i="48"/>
  <c r="BF1283" i="48"/>
  <c r="BE1283" i="48"/>
  <c r="BH799" i="48"/>
  <c r="BG799" i="48"/>
  <c r="BF799" i="48"/>
  <c r="BE799" i="48"/>
  <c r="BH971" i="48"/>
  <c r="BF971" i="48"/>
  <c r="BE971" i="48"/>
  <c r="BG971" i="48"/>
  <c r="BG1954" i="48"/>
  <c r="BF1954" i="48"/>
  <c r="BE1954" i="48"/>
  <c r="BH1954" i="48"/>
  <c r="BG75" i="48"/>
  <c r="BF75" i="48"/>
  <c r="BE75" i="48"/>
  <c r="BH550" i="48"/>
  <c r="BG550" i="48"/>
  <c r="BE550" i="48"/>
  <c r="BF550" i="48"/>
  <c r="BH358" i="48"/>
  <c r="BE358" i="48"/>
  <c r="BG358" i="48"/>
  <c r="BF358" i="48"/>
  <c r="BF468" i="48"/>
  <c r="BG468" i="48"/>
  <c r="BE468" i="48"/>
  <c r="BH468" i="48"/>
  <c r="BF511" i="48"/>
  <c r="BG511" i="48"/>
  <c r="BH511" i="48"/>
  <c r="BE511" i="48"/>
  <c r="BG221" i="48"/>
  <c r="BF221" i="48"/>
  <c r="BE221" i="48"/>
  <c r="BH221" i="48"/>
  <c r="BE525" i="48"/>
  <c r="BH525" i="48"/>
  <c r="BF525" i="48"/>
  <c r="BG525" i="48"/>
  <c r="BF87" i="48"/>
  <c r="BH87" i="48"/>
  <c r="BG87" i="48"/>
  <c r="BE87" i="48"/>
  <c r="BG235" i="48"/>
  <c r="BF235" i="48"/>
  <c r="BE235" i="48"/>
  <c r="BB235" i="48" s="1"/>
  <c r="AB235" i="48" s="1"/>
  <c r="BF1287" i="48"/>
  <c r="BE1287" i="48"/>
  <c r="BH1287" i="48"/>
  <c r="BG1287" i="48"/>
  <c r="BF607" i="48"/>
  <c r="BE607" i="48"/>
  <c r="BH607" i="48"/>
  <c r="BG607" i="48"/>
  <c r="BF616" i="48"/>
  <c r="BE616" i="48"/>
  <c r="BG616" i="48"/>
  <c r="BH616" i="48"/>
  <c r="BH846" i="48"/>
  <c r="BG846" i="48"/>
  <c r="BE846" i="48"/>
  <c r="BF846" i="48"/>
  <c r="BG1739" i="48"/>
  <c r="BF1739" i="48"/>
  <c r="BE1739" i="48"/>
  <c r="BH1739" i="48"/>
  <c r="BH906" i="48"/>
  <c r="BG906" i="48"/>
  <c r="BF906" i="48"/>
  <c r="BE906" i="48"/>
  <c r="BE1671" i="48"/>
  <c r="BH1671" i="48"/>
  <c r="BG1671" i="48"/>
  <c r="BF1671" i="48"/>
  <c r="BF1415" i="48"/>
  <c r="BE1415" i="48"/>
  <c r="BH1415" i="48"/>
  <c r="BG1415" i="48"/>
  <c r="BH748" i="48"/>
  <c r="BE748" i="48"/>
  <c r="BG748" i="48"/>
  <c r="BF748" i="48"/>
  <c r="BE1692" i="48"/>
  <c r="BH1692" i="48"/>
  <c r="BG1692" i="48"/>
  <c r="BF1692" i="48"/>
  <c r="BH562" i="48"/>
  <c r="BE562" i="48"/>
  <c r="BF562" i="48"/>
  <c r="BG562" i="48"/>
  <c r="BF1702" i="48"/>
  <c r="BG1702" i="48"/>
  <c r="BH1702" i="48"/>
  <c r="BE1702" i="48"/>
  <c r="BH1794" i="48"/>
  <c r="BG1794" i="48"/>
  <c r="BF1794" i="48"/>
  <c r="BE1794" i="48"/>
  <c r="BF1951" i="48"/>
  <c r="BE1951" i="48"/>
  <c r="BH1951" i="48"/>
  <c r="BG1951" i="48"/>
  <c r="BE726" i="48"/>
  <c r="BH726" i="48"/>
  <c r="BG726" i="48"/>
  <c r="BF726" i="48"/>
  <c r="BF667" i="48"/>
  <c r="BH667" i="48"/>
  <c r="BE667" i="48"/>
  <c r="BG667" i="48"/>
  <c r="BG802" i="48"/>
  <c r="BE802" i="48"/>
  <c r="BF802" i="48"/>
  <c r="BH802" i="48"/>
  <c r="BF1947" i="48"/>
  <c r="BE1947" i="48"/>
  <c r="BH1947" i="48"/>
  <c r="BG1947" i="48"/>
  <c r="BG1172" i="48"/>
  <c r="BE1172" i="48"/>
  <c r="BH1172" i="48"/>
  <c r="BF1172" i="48"/>
  <c r="BE680" i="48"/>
  <c r="BH680" i="48"/>
  <c r="BG680" i="48"/>
  <c r="BF680" i="48"/>
  <c r="BE1037" i="48"/>
  <c r="BH1037" i="48"/>
  <c r="BG1037" i="48"/>
  <c r="BF1037" i="48"/>
  <c r="BH955" i="48"/>
  <c r="BG955" i="48"/>
  <c r="BF955" i="48"/>
  <c r="BE955" i="48"/>
  <c r="BG1628" i="48"/>
  <c r="BF1628" i="48"/>
  <c r="BE1628" i="48"/>
  <c r="BH1628" i="48"/>
  <c r="BF2015" i="48"/>
  <c r="BG2015" i="48"/>
  <c r="BH2015" i="48"/>
  <c r="BE2015" i="48"/>
  <c r="BE625" i="48"/>
  <c r="BG625" i="48"/>
  <c r="BF625" i="48"/>
  <c r="BH625" i="48"/>
  <c r="BF1036" i="48"/>
  <c r="BG1036" i="48"/>
  <c r="BH1036" i="48"/>
  <c r="BE1036" i="48"/>
  <c r="BF507" i="48"/>
  <c r="BG507" i="48"/>
  <c r="BH507" i="48"/>
  <c r="BE507" i="48"/>
  <c r="BE336" i="48"/>
  <c r="BH336" i="48"/>
  <c r="BG336" i="48"/>
  <c r="BF336" i="48"/>
  <c r="BH556" i="48"/>
  <c r="BF556" i="48"/>
  <c r="BE556" i="48"/>
  <c r="BG556" i="48"/>
  <c r="BH1733" i="48"/>
  <c r="BG1733" i="48"/>
  <c r="BF1733" i="48"/>
  <c r="BE1733" i="48"/>
  <c r="BF784" i="48"/>
  <c r="BE784" i="48"/>
  <c r="BG784" i="48"/>
  <c r="BH784" i="48"/>
  <c r="BE1233" i="48"/>
  <c r="BH1233" i="48"/>
  <c r="BG1233" i="48"/>
  <c r="BF1233" i="48"/>
  <c r="BG1506" i="48"/>
  <c r="BF1506" i="48"/>
  <c r="BE1506" i="48"/>
  <c r="BH1506" i="48"/>
  <c r="BG1170" i="48"/>
  <c r="BF1170" i="48"/>
  <c r="BH1170" i="48"/>
  <c r="BE1170" i="48"/>
  <c r="BE673" i="48"/>
  <c r="BG673" i="48"/>
  <c r="BF673" i="48"/>
  <c r="BH673" i="48"/>
  <c r="BG1380" i="48"/>
  <c r="BF1380" i="48"/>
  <c r="BH1380" i="48"/>
  <c r="BE1380" i="48"/>
  <c r="BH887" i="48"/>
  <c r="BE887" i="48"/>
  <c r="BG887" i="48"/>
  <c r="BF887" i="48"/>
  <c r="BF1381" i="48"/>
  <c r="BE1381" i="48"/>
  <c r="BH1381" i="48"/>
  <c r="BG1381" i="48"/>
  <c r="BG1482" i="48"/>
  <c r="BF1482" i="48"/>
  <c r="BE1482" i="48"/>
  <c r="BH1482" i="48"/>
  <c r="BH1713" i="48"/>
  <c r="BE1713" i="48"/>
  <c r="BG1713" i="48"/>
  <c r="BF1713" i="48"/>
  <c r="BG1995" i="48"/>
  <c r="BF1995" i="48"/>
  <c r="BE1995" i="48"/>
  <c r="BH1995" i="48"/>
  <c r="BE774" i="48"/>
  <c r="BH774" i="48"/>
  <c r="BG774" i="48"/>
  <c r="BF774" i="48"/>
  <c r="BF968" i="48"/>
  <c r="BG968" i="48"/>
  <c r="BH968" i="48"/>
  <c r="BE968" i="48"/>
  <c r="BF1902" i="48"/>
  <c r="BE1902" i="48"/>
  <c r="BG1902" i="48"/>
  <c r="BH1902" i="48"/>
  <c r="BG1123" i="48"/>
  <c r="BF1123" i="48"/>
  <c r="BE1123" i="48"/>
  <c r="BH1123" i="48"/>
  <c r="BE585" i="48"/>
  <c r="BF585" i="48"/>
  <c r="BG585" i="48"/>
  <c r="BH585" i="48"/>
  <c r="BE725" i="48"/>
  <c r="BF725" i="48"/>
  <c r="BG725" i="48"/>
  <c r="BH725" i="48"/>
  <c r="BF1100" i="48"/>
  <c r="BG1100" i="48"/>
  <c r="BH1100" i="48"/>
  <c r="BE1100" i="48"/>
  <c r="BH1933" i="48"/>
  <c r="BG1933" i="48"/>
  <c r="BE1933" i="48"/>
  <c r="BF1933" i="48"/>
  <c r="BG1922" i="48"/>
  <c r="BF1922" i="48"/>
  <c r="BE1922" i="48"/>
  <c r="BH1922" i="48"/>
  <c r="BF940" i="48"/>
  <c r="BG940" i="48"/>
  <c r="BH940" i="48"/>
  <c r="BE940" i="48"/>
  <c r="BH840" i="48"/>
  <c r="BF840" i="48"/>
  <c r="BE840" i="48"/>
  <c r="BG840" i="48"/>
  <c r="BG487" i="48"/>
  <c r="BF487" i="48"/>
  <c r="BE487" i="48"/>
  <c r="BH487" i="48"/>
  <c r="BG187" i="48"/>
  <c r="BF187" i="48"/>
  <c r="AM187" i="48" s="1"/>
  <c r="AN187" i="48" s="1"/>
  <c r="BE187" i="48"/>
  <c r="BB187" i="48" s="1"/>
  <c r="AB187" i="48" s="1"/>
  <c r="BF463" i="48"/>
  <c r="BE463" i="48"/>
  <c r="BH463" i="48"/>
  <c r="BG463" i="48"/>
  <c r="BF503" i="48"/>
  <c r="BG503" i="48"/>
  <c r="BE503" i="48"/>
  <c r="BH503" i="48"/>
  <c r="BF391" i="48"/>
  <c r="BE391" i="48"/>
  <c r="BH391" i="48"/>
  <c r="BG391" i="48"/>
  <c r="BE128" i="48"/>
  <c r="BB128" i="48" s="1"/>
  <c r="BH128" i="48"/>
  <c r="BG128" i="48"/>
  <c r="BF128" i="48"/>
  <c r="BH207" i="48"/>
  <c r="BE207" i="48"/>
  <c r="BB207" i="48" s="1"/>
  <c r="BG207" i="48"/>
  <c r="BF207" i="48"/>
  <c r="BH214" i="48"/>
  <c r="BG214" i="48"/>
  <c r="BF214" i="48"/>
  <c r="AM214" i="48" s="1"/>
  <c r="AN214" i="48" s="1"/>
  <c r="BE214" i="48"/>
  <c r="BE288" i="48"/>
  <c r="BB288" i="48" s="1"/>
  <c r="BH288" i="48"/>
  <c r="BG288" i="48"/>
  <c r="BF288" i="48"/>
  <c r="BE426" i="48"/>
  <c r="BG426" i="48"/>
  <c r="BF426" i="48"/>
  <c r="BH426" i="48"/>
  <c r="BG1829" i="48"/>
  <c r="BE1829" i="48"/>
  <c r="BH1829" i="48"/>
  <c r="BF1829" i="48"/>
  <c r="BE781" i="48"/>
  <c r="BG781" i="48"/>
  <c r="BF781" i="48"/>
  <c r="BH781" i="48"/>
  <c r="BE1780" i="48"/>
  <c r="BH1780" i="48"/>
  <c r="BG1780" i="48"/>
  <c r="BF1780" i="48"/>
  <c r="BE1668" i="48"/>
  <c r="BH1668" i="48"/>
  <c r="BG1668" i="48"/>
  <c r="BF1668" i="48"/>
  <c r="BH715" i="48"/>
  <c r="BE715" i="48"/>
  <c r="BG715" i="48"/>
  <c r="BF715" i="48"/>
  <c r="BH1561" i="48"/>
  <c r="BG1561" i="48"/>
  <c r="BF1561" i="48"/>
  <c r="BE1561" i="48"/>
  <c r="BH1928" i="48"/>
  <c r="BG1928" i="48"/>
  <c r="BF1928" i="48"/>
  <c r="BE1928" i="48"/>
  <c r="BF599" i="48"/>
  <c r="BE599" i="48"/>
  <c r="BH599" i="48"/>
  <c r="BG599" i="48"/>
  <c r="BF1726" i="48"/>
  <c r="BG1726" i="48"/>
  <c r="BH1726" i="48"/>
  <c r="BE1726" i="48"/>
  <c r="BE878" i="48"/>
  <c r="BH878" i="48"/>
  <c r="BG878" i="48"/>
  <c r="BF878" i="48"/>
  <c r="BE1542" i="48"/>
  <c r="BH1542" i="48"/>
  <c r="BG1542" i="48"/>
  <c r="BF1542" i="48"/>
  <c r="BE757" i="48"/>
  <c r="BG757" i="48"/>
  <c r="BF757" i="48"/>
  <c r="BH757" i="48"/>
  <c r="BH1876" i="48"/>
  <c r="BG1876" i="48"/>
  <c r="BF1876" i="48"/>
  <c r="BE1876" i="48"/>
  <c r="BE881" i="48"/>
  <c r="BH881" i="48"/>
  <c r="BG881" i="48"/>
  <c r="BF881" i="48"/>
  <c r="BE1661" i="48"/>
  <c r="BF1661" i="48"/>
  <c r="BH1661" i="48"/>
  <c r="BG1661" i="48"/>
  <c r="BE577" i="48"/>
  <c r="BG577" i="48"/>
  <c r="BF577" i="48"/>
  <c r="BH577" i="48"/>
  <c r="BE714" i="48"/>
  <c r="BF714" i="48"/>
  <c r="BH714" i="48"/>
  <c r="BG714" i="48"/>
  <c r="BF1449" i="48"/>
  <c r="BE1449" i="48"/>
  <c r="BH1449" i="48"/>
  <c r="BG1449" i="48"/>
  <c r="BF1443" i="48"/>
  <c r="BE1443" i="48"/>
  <c r="BH1443" i="48"/>
  <c r="BG1443" i="48"/>
  <c r="BG2026" i="48"/>
  <c r="BF2026" i="48"/>
  <c r="BE2026" i="48"/>
  <c r="BH2026" i="48"/>
  <c r="BF1144" i="48"/>
  <c r="BG1144" i="48"/>
  <c r="BH1144" i="48"/>
  <c r="BE1144" i="48"/>
  <c r="BG1319" i="48"/>
  <c r="BF1319" i="48"/>
  <c r="BE1319" i="48"/>
  <c r="BH1319" i="48"/>
  <c r="BE953" i="48"/>
  <c r="BH953" i="48"/>
  <c r="BG953" i="48"/>
  <c r="BF953" i="48"/>
  <c r="BE897" i="48"/>
  <c r="BH897" i="48"/>
  <c r="BG897" i="48"/>
  <c r="BF897" i="48"/>
  <c r="BG1707" i="48"/>
  <c r="BF1707" i="48"/>
  <c r="BE1707" i="48"/>
  <c r="BH1707" i="48"/>
  <c r="BF311" i="48"/>
  <c r="BE311" i="48"/>
  <c r="BG311" i="48"/>
  <c r="BH311" i="48"/>
  <c r="BF404" i="48"/>
  <c r="BG404" i="48"/>
  <c r="BE404" i="48"/>
  <c r="BH404" i="48"/>
  <c r="BF255" i="48"/>
  <c r="BE255" i="48"/>
  <c r="BA255" i="48" s="1"/>
  <c r="BG255" i="48"/>
  <c r="BF340" i="48"/>
  <c r="BG340" i="48"/>
  <c r="BE340" i="48"/>
  <c r="BH340" i="48"/>
  <c r="BE1269" i="48"/>
  <c r="BH1269" i="48"/>
  <c r="BG1269" i="48"/>
  <c r="BF1269" i="48"/>
  <c r="BG743" i="48"/>
  <c r="BF743" i="48"/>
  <c r="BE743" i="48"/>
  <c r="BH743" i="48"/>
  <c r="BH1846" i="48"/>
  <c r="BG1846" i="48"/>
  <c r="BF1846" i="48"/>
  <c r="BE1846" i="48"/>
  <c r="BH700" i="48"/>
  <c r="BF700" i="48"/>
  <c r="BE700" i="48"/>
  <c r="BG700" i="48"/>
  <c r="BF1914" i="48"/>
  <c r="BE1914" i="48"/>
  <c r="BH1914" i="48"/>
  <c r="BG1914" i="48"/>
  <c r="BH742" i="48"/>
  <c r="BG742" i="48"/>
  <c r="BF742" i="48"/>
  <c r="BE742" i="48"/>
  <c r="BF1427" i="48"/>
  <c r="BE1427" i="48"/>
  <c r="BH1427" i="48"/>
  <c r="BG1427" i="48"/>
  <c r="BF1842" i="48"/>
  <c r="BE1842" i="48"/>
  <c r="BH1842" i="48"/>
  <c r="BG1842" i="48"/>
  <c r="BH1535" i="48"/>
  <c r="BE1535" i="48"/>
  <c r="BG1535" i="48"/>
  <c r="BF1535" i="48"/>
  <c r="BH1203" i="48"/>
  <c r="BE1203" i="48"/>
  <c r="BG1203" i="48"/>
  <c r="BF1203" i="48"/>
  <c r="BE1720" i="48"/>
  <c r="BH1720" i="48"/>
  <c r="BG1720" i="48"/>
  <c r="BF1720" i="48"/>
  <c r="BE597" i="48"/>
  <c r="BG597" i="48"/>
  <c r="BF597" i="48"/>
  <c r="BH597" i="48"/>
  <c r="BH1147" i="48"/>
  <c r="BF1147" i="48"/>
  <c r="BE1147" i="48"/>
  <c r="BG1147" i="48"/>
  <c r="BG2023" i="48"/>
  <c r="BH2023" i="48"/>
  <c r="BF2023" i="48"/>
  <c r="BE2023" i="48"/>
  <c r="BE1819" i="48"/>
  <c r="BF1819" i="48"/>
  <c r="BG1819" i="48"/>
  <c r="BH1819" i="48"/>
  <c r="BG571" i="48"/>
  <c r="BH571" i="48"/>
  <c r="BE571" i="48"/>
  <c r="BF571" i="48"/>
  <c r="BF1657" i="48"/>
  <c r="BE1657" i="48"/>
  <c r="BH1657" i="48"/>
  <c r="BG1657" i="48"/>
  <c r="BH1776" i="48"/>
  <c r="BG1776" i="48"/>
  <c r="BF1776" i="48"/>
  <c r="BE1776" i="48"/>
  <c r="BG813" i="48"/>
  <c r="BF813" i="48"/>
  <c r="BE813" i="48"/>
  <c r="BH813" i="48"/>
  <c r="BE1313" i="48"/>
  <c r="BH1313" i="48"/>
  <c r="BG1313" i="48"/>
  <c r="BF1313" i="48"/>
  <c r="BG1826" i="48"/>
  <c r="BF1826" i="48"/>
  <c r="BE1826" i="48"/>
  <c r="BH1826" i="48"/>
  <c r="BF1969" i="48"/>
  <c r="BE1969" i="48"/>
  <c r="BH1969" i="48"/>
  <c r="BG1969" i="48"/>
  <c r="BF519" i="48"/>
  <c r="BG519" i="48"/>
  <c r="BE519" i="48"/>
  <c r="BH519" i="48"/>
  <c r="BH309" i="48"/>
  <c r="BG309" i="48"/>
  <c r="BE309" i="48"/>
  <c r="BF309" i="48"/>
  <c r="BE528" i="48"/>
  <c r="BG528" i="48"/>
  <c r="BH528" i="48"/>
  <c r="BF528" i="48"/>
  <c r="BH173" i="48"/>
  <c r="BG173" i="48"/>
  <c r="BF173" i="48"/>
  <c r="BE173" i="48"/>
  <c r="BB173" i="48" s="1"/>
  <c r="BE179" i="48"/>
  <c r="BB179" i="48" s="1"/>
  <c r="AB179" i="48" s="1"/>
  <c r="BG179" i="48"/>
  <c r="BF179" i="48"/>
  <c r="BE78" i="48"/>
  <c r="BB78" i="48" s="1"/>
  <c r="BG78" i="48"/>
  <c r="BF78" i="48"/>
  <c r="BG174" i="48"/>
  <c r="BF174" i="48"/>
  <c r="BE174" i="48"/>
  <c r="BH174" i="48"/>
  <c r="BE275" i="48"/>
  <c r="BB275" i="48" s="1"/>
  <c r="AB275" i="48" s="1"/>
  <c r="BG275" i="48"/>
  <c r="BF275" i="48"/>
  <c r="BF447" i="48"/>
  <c r="BE447" i="48"/>
  <c r="BG447" i="48"/>
  <c r="BH447" i="48"/>
  <c r="BG151" i="48"/>
  <c r="BE151" i="48"/>
  <c r="BF151" i="48"/>
  <c r="AM151" i="48" s="1"/>
  <c r="AN151" i="48" s="1"/>
  <c r="BH151" i="48"/>
  <c r="BE1993" i="48"/>
  <c r="BG1993" i="48"/>
  <c r="BF1993" i="48"/>
  <c r="BH1993" i="48"/>
  <c r="BH708" i="48"/>
  <c r="BG708" i="48"/>
  <c r="BF708" i="48"/>
  <c r="BE708" i="48"/>
  <c r="BE747" i="48"/>
  <c r="BG747" i="48"/>
  <c r="BF747" i="48"/>
  <c r="BH747" i="48"/>
  <c r="BH852" i="48"/>
  <c r="BE852" i="48"/>
  <c r="BG852" i="48"/>
  <c r="BF852" i="48"/>
  <c r="BE1081" i="48"/>
  <c r="BH1081" i="48"/>
  <c r="BG1081" i="48"/>
  <c r="BF1081" i="48"/>
  <c r="BE2032" i="48"/>
  <c r="BH2032" i="48"/>
  <c r="BG2032" i="48"/>
  <c r="BF2032" i="48"/>
  <c r="BH1307" i="48"/>
  <c r="BF1307" i="48"/>
  <c r="BE1307" i="48"/>
  <c r="BG1307" i="48"/>
  <c r="BF972" i="48"/>
  <c r="BG972" i="48"/>
  <c r="BH972" i="48"/>
  <c r="BE972" i="48"/>
  <c r="BG1936" i="48"/>
  <c r="BF1936" i="48"/>
  <c r="BH1936" i="48"/>
  <c r="BE1936" i="48"/>
  <c r="BG1624" i="48"/>
  <c r="BF1624" i="48"/>
  <c r="BE1624" i="48"/>
  <c r="BH1624" i="48"/>
  <c r="BH1327" i="48"/>
  <c r="BE1327" i="48"/>
  <c r="BG1327" i="48"/>
  <c r="BF1327" i="48"/>
  <c r="BG1956" i="48"/>
  <c r="BF1956" i="48"/>
  <c r="BE1956" i="48"/>
  <c r="BH1956" i="48"/>
  <c r="BF1750" i="48"/>
  <c r="BG1750" i="48"/>
  <c r="BH1750" i="48"/>
  <c r="BE1750" i="48"/>
  <c r="BH1790" i="48"/>
  <c r="BG1790" i="48"/>
  <c r="BF1790" i="48"/>
  <c r="BE1790" i="48"/>
  <c r="BH907" i="48"/>
  <c r="BF907" i="48"/>
  <c r="BE907" i="48"/>
  <c r="BG907" i="48"/>
  <c r="BE769" i="48"/>
  <c r="BG769" i="48"/>
  <c r="BF769" i="48"/>
  <c r="BH769" i="48"/>
  <c r="BG1224" i="48"/>
  <c r="BF1224" i="48"/>
  <c r="BE1224" i="48"/>
  <c r="BH1224" i="48"/>
  <c r="BE864" i="48"/>
  <c r="BG864" i="48"/>
  <c r="BF864" i="48"/>
  <c r="BH864" i="48"/>
  <c r="BE593" i="48"/>
  <c r="BG593" i="48"/>
  <c r="BF593" i="48"/>
  <c r="BH593" i="48"/>
  <c r="BE1897" i="48"/>
  <c r="BH1897" i="48"/>
  <c r="BG1897" i="48"/>
  <c r="BF1897" i="48"/>
  <c r="BH1591" i="48"/>
  <c r="BE1591" i="48"/>
  <c r="BG1591" i="48"/>
  <c r="BF1591" i="48"/>
  <c r="BH1778" i="48"/>
  <c r="BG1778" i="48"/>
  <c r="BF1778" i="48"/>
  <c r="BE1778" i="48"/>
  <c r="BG1632" i="48"/>
  <c r="BF1632" i="48"/>
  <c r="BE1632" i="48"/>
  <c r="BH1632" i="48"/>
  <c r="BG624" i="48"/>
  <c r="BH624" i="48"/>
  <c r="BF624" i="48"/>
  <c r="BE624" i="48"/>
  <c r="BG1470" i="48"/>
  <c r="BF1470" i="48"/>
  <c r="BE1470" i="48"/>
  <c r="BH1470" i="48"/>
  <c r="BG1271" i="48"/>
  <c r="BF1271" i="48"/>
  <c r="BE1271" i="48"/>
  <c r="BH1271" i="48"/>
  <c r="BH1159" i="48"/>
  <c r="BE1159" i="48"/>
  <c r="BG1159" i="48"/>
  <c r="BF1159" i="48"/>
  <c r="BF688" i="48"/>
  <c r="BG688" i="48"/>
  <c r="BE688" i="48"/>
  <c r="BH688" i="48"/>
  <c r="BE1833" i="48"/>
  <c r="BH1833" i="48"/>
  <c r="BG1833" i="48"/>
  <c r="BF1833" i="48"/>
  <c r="BE821" i="48"/>
  <c r="BG821" i="48"/>
  <c r="BF821" i="48"/>
  <c r="BH821" i="48"/>
  <c r="BF1931" i="48"/>
  <c r="BE1931" i="48"/>
  <c r="BG1931" i="48"/>
  <c r="BH1931" i="48"/>
  <c r="BE464" i="48"/>
  <c r="BH464" i="48"/>
  <c r="BG464" i="48"/>
  <c r="BF464" i="48"/>
  <c r="BH502" i="48"/>
  <c r="BG502" i="48"/>
  <c r="BF502" i="48"/>
  <c r="BE502" i="48"/>
  <c r="BF180" i="48"/>
  <c r="BG180" i="48"/>
  <c r="BE180" i="48"/>
  <c r="BA180" i="48" s="1"/>
  <c r="BH180" i="48"/>
  <c r="BG1236" i="48"/>
  <c r="BF1236" i="48"/>
  <c r="BE1236" i="48"/>
  <c r="BH1236" i="48"/>
  <c r="BE1217" i="48"/>
  <c r="BH1217" i="48"/>
  <c r="BG1217" i="48"/>
  <c r="BF1217" i="48"/>
  <c r="BH2030" i="48"/>
  <c r="BG2030" i="48"/>
  <c r="BF2030" i="48"/>
  <c r="BE2030" i="48"/>
  <c r="BH1392" i="48"/>
  <c r="BE1392" i="48"/>
  <c r="BG1392" i="48"/>
  <c r="BF1392" i="48"/>
  <c r="BE880" i="48"/>
  <c r="BG880" i="48"/>
  <c r="BF880" i="48"/>
  <c r="BH880" i="48"/>
  <c r="BH569" i="48"/>
  <c r="BF569" i="48"/>
  <c r="BG569" i="48"/>
  <c r="BE569" i="48"/>
  <c r="BE633" i="48"/>
  <c r="BF633" i="48"/>
  <c r="BG633" i="48"/>
  <c r="BH633" i="48"/>
  <c r="BH1964" i="48"/>
  <c r="BG1964" i="48"/>
  <c r="BF1964" i="48"/>
  <c r="BE1964" i="48"/>
  <c r="BH570" i="48"/>
  <c r="BG570" i="48"/>
  <c r="BE570" i="48"/>
  <c r="BF570" i="48"/>
  <c r="BF1293" i="48"/>
  <c r="BE1293" i="48"/>
  <c r="BH1293" i="48"/>
  <c r="BG1293" i="48"/>
  <c r="BF1565" i="48"/>
  <c r="BE1565" i="48"/>
  <c r="BH1565" i="48"/>
  <c r="BG1565" i="48"/>
  <c r="BH716" i="48"/>
  <c r="BF716" i="48"/>
  <c r="BE716" i="48"/>
  <c r="BG716" i="48"/>
  <c r="BH995" i="48"/>
  <c r="BG995" i="48"/>
  <c r="BF995" i="48"/>
  <c r="BE995" i="48"/>
  <c r="BH1814" i="48"/>
  <c r="BG1814" i="48"/>
  <c r="BF1814" i="48"/>
  <c r="BE1814" i="48"/>
  <c r="BG1432" i="48"/>
  <c r="BF1432" i="48"/>
  <c r="BE1432" i="48"/>
  <c r="BH1432" i="48"/>
  <c r="BF876" i="48"/>
  <c r="BE876" i="48"/>
  <c r="BG876" i="48"/>
  <c r="BH876" i="48"/>
  <c r="BG1585" i="48"/>
  <c r="BF1585" i="48"/>
  <c r="BE1585" i="48"/>
  <c r="BH1585" i="48"/>
  <c r="BG1523" i="48"/>
  <c r="BE1523" i="48"/>
  <c r="BH1523" i="48"/>
  <c r="BF1523" i="48"/>
  <c r="BH844" i="48"/>
  <c r="BF844" i="48"/>
  <c r="BE844" i="48"/>
  <c r="BG844" i="48"/>
  <c r="BF133" i="48"/>
  <c r="BG133" i="48"/>
  <c r="BE133" i="48"/>
  <c r="BH149" i="48"/>
  <c r="BG149" i="48"/>
  <c r="BE149" i="48"/>
  <c r="BB149" i="48" s="1"/>
  <c r="BF149" i="48"/>
  <c r="AK149" i="48" s="1"/>
  <c r="AL149" i="48" s="1"/>
  <c r="BH123" i="48"/>
  <c r="BG123" i="48"/>
  <c r="BF123" i="48"/>
  <c r="BE123" i="48"/>
  <c r="BG137" i="48"/>
  <c r="BF137" i="48"/>
  <c r="BE137" i="48"/>
  <c r="BB137" i="48" s="1"/>
  <c r="BH137" i="48"/>
  <c r="BE479" i="48"/>
  <c r="BG479" i="48"/>
  <c r="BF479" i="48"/>
  <c r="BH479" i="48"/>
  <c r="BE330" i="48"/>
  <c r="BG330" i="48"/>
  <c r="BF330" i="48"/>
  <c r="BH330" i="48"/>
  <c r="BE496" i="48"/>
  <c r="BG496" i="48"/>
  <c r="BH496" i="48"/>
  <c r="BF496" i="48"/>
  <c r="BH343" i="48"/>
  <c r="BE343" i="48"/>
  <c r="BG343" i="48"/>
  <c r="BF343" i="48"/>
  <c r="BF251" i="48"/>
  <c r="BE251" i="48"/>
  <c r="BB251" i="48" s="1"/>
  <c r="AB251" i="48" s="1"/>
  <c r="BG251" i="48"/>
  <c r="BG262" i="48"/>
  <c r="BF262" i="48"/>
  <c r="BE262" i="48"/>
  <c r="BF139" i="48"/>
  <c r="BE139" i="48"/>
  <c r="BG139" i="48"/>
  <c r="BG530" i="48"/>
  <c r="BH530" i="48"/>
  <c r="BF530" i="48"/>
  <c r="BE530" i="48"/>
  <c r="BF1397" i="48"/>
  <c r="BE1397" i="48"/>
  <c r="BH1397" i="48"/>
  <c r="BG1397" i="48"/>
  <c r="BE810" i="48"/>
  <c r="BF810" i="48"/>
  <c r="BH810" i="48"/>
  <c r="BG810" i="48"/>
  <c r="BF1245" i="48"/>
  <c r="BE1245" i="48"/>
  <c r="BH1245" i="48"/>
  <c r="BG1245" i="48"/>
  <c r="BF1163" i="48"/>
  <c r="BE1163" i="48"/>
  <c r="BH1163" i="48"/>
  <c r="BG1163" i="48"/>
  <c r="BH1641" i="48"/>
  <c r="BG1641" i="48"/>
  <c r="BF1641" i="48"/>
  <c r="BE1641" i="48"/>
  <c r="BG1300" i="48"/>
  <c r="BF1300" i="48"/>
  <c r="BE1300" i="48"/>
  <c r="BH1300" i="48"/>
  <c r="BE1017" i="48"/>
  <c r="BH1017" i="48"/>
  <c r="BG1017" i="48"/>
  <c r="BF1017" i="48"/>
  <c r="BH939" i="48"/>
  <c r="BF939" i="48"/>
  <c r="BE939" i="48"/>
  <c r="BG939" i="48"/>
  <c r="BH1888" i="48"/>
  <c r="BG1888" i="48"/>
  <c r="BF1888" i="48"/>
  <c r="BE1888" i="48"/>
  <c r="BF1401" i="48"/>
  <c r="BE1401" i="48"/>
  <c r="BH1401" i="48"/>
  <c r="BG1401" i="48"/>
  <c r="BE722" i="48"/>
  <c r="BF722" i="48"/>
  <c r="BH722" i="48"/>
  <c r="BG722" i="48"/>
  <c r="BH1555" i="48"/>
  <c r="BG1555" i="48"/>
  <c r="BF1555" i="48"/>
  <c r="BE1555" i="48"/>
  <c r="BE602" i="48"/>
  <c r="BF602" i="48"/>
  <c r="BH602" i="48"/>
  <c r="BG602" i="48"/>
  <c r="BH1603" i="48"/>
  <c r="BG1603" i="48"/>
  <c r="BF1603" i="48"/>
  <c r="BE1603" i="48"/>
  <c r="BH824" i="48"/>
  <c r="BF824" i="48"/>
  <c r="BE824" i="48"/>
  <c r="BG824" i="48"/>
  <c r="BF1213" i="48"/>
  <c r="BE1213" i="48"/>
  <c r="BH1213" i="48"/>
  <c r="BG1213" i="48"/>
  <c r="BH1146" i="48"/>
  <c r="BG1146" i="48"/>
  <c r="BF1146" i="48"/>
  <c r="BE1146" i="48"/>
  <c r="BE896" i="48"/>
  <c r="BG896" i="48"/>
  <c r="BF896" i="48"/>
  <c r="BH896" i="48"/>
  <c r="BH1151" i="48"/>
  <c r="BG1151" i="48"/>
  <c r="BF1151" i="48"/>
  <c r="BE1151" i="48"/>
  <c r="BH790" i="48"/>
  <c r="BG790" i="48"/>
  <c r="BF790" i="48"/>
  <c r="BE790" i="48"/>
  <c r="BH1039" i="48"/>
  <c r="BE1039" i="48"/>
  <c r="BG1039" i="48"/>
  <c r="BF1039" i="48"/>
  <c r="BF1447" i="48"/>
  <c r="BE1447" i="48"/>
  <c r="BH1447" i="48"/>
  <c r="BG1447" i="48"/>
  <c r="BH2018" i="48"/>
  <c r="BF2018" i="48"/>
  <c r="BE2018" i="48"/>
  <c r="BG2018" i="48"/>
  <c r="BH997" i="48"/>
  <c r="BG997" i="48"/>
  <c r="BF997" i="48"/>
  <c r="BE997" i="48"/>
  <c r="BH438" i="48"/>
  <c r="BE438" i="48"/>
  <c r="BG438" i="48"/>
  <c r="BF438" i="48"/>
  <c r="BG345" i="48"/>
  <c r="BF345" i="48"/>
  <c r="BE345" i="48"/>
  <c r="BH345" i="48"/>
  <c r="BF222" i="48"/>
  <c r="BE222" i="48"/>
  <c r="BB222" i="48" s="1"/>
  <c r="BH222" i="48"/>
  <c r="BG222" i="48"/>
  <c r="BF68" i="48"/>
  <c r="BG68" i="48"/>
  <c r="BE68" i="48"/>
  <c r="BB68" i="48" s="1"/>
  <c r="BH68" i="48"/>
  <c r="BF319" i="48"/>
  <c r="BE319" i="48"/>
  <c r="BG319" i="48"/>
  <c r="BH319" i="48"/>
  <c r="BH111" i="48"/>
  <c r="BF111" i="48"/>
  <c r="BE111" i="48"/>
  <c r="BB111" i="48" s="1"/>
  <c r="BG111" i="48"/>
  <c r="BE442" i="48"/>
  <c r="BG442" i="48"/>
  <c r="BF442" i="48"/>
  <c r="BH442" i="48"/>
  <c r="BH931" i="48"/>
  <c r="BE931" i="48"/>
  <c r="BG931" i="48"/>
  <c r="BF931" i="48"/>
  <c r="BE677" i="48"/>
  <c r="BG677" i="48"/>
  <c r="BF677" i="48"/>
  <c r="BH677" i="48"/>
  <c r="BF1128" i="48"/>
  <c r="BG1128" i="48"/>
  <c r="BH1128" i="48"/>
  <c r="BE1128" i="48"/>
  <c r="BG1749" i="48"/>
  <c r="BF1749" i="48"/>
  <c r="BE1749" i="48"/>
  <c r="BH1749" i="48"/>
  <c r="BG1295" i="48"/>
  <c r="BF1295" i="48"/>
  <c r="BE1295" i="48"/>
  <c r="BH1295" i="48"/>
  <c r="BH676" i="48"/>
  <c r="BG676" i="48"/>
  <c r="BF676" i="48"/>
  <c r="BE676" i="48"/>
  <c r="BF744" i="48"/>
  <c r="BE744" i="48"/>
  <c r="BH744" i="48"/>
  <c r="BG744" i="48"/>
  <c r="BH1685" i="48"/>
  <c r="BE1685" i="48"/>
  <c r="BG1685" i="48"/>
  <c r="BF1685" i="48"/>
  <c r="BE879" i="48"/>
  <c r="BF879" i="48"/>
  <c r="BH879" i="48"/>
  <c r="BG879" i="48"/>
  <c r="BF996" i="48"/>
  <c r="BG996" i="48"/>
  <c r="BE996" i="48"/>
  <c r="BH996" i="48"/>
  <c r="BG1502" i="48"/>
  <c r="BF1502" i="48"/>
  <c r="BE1502" i="48"/>
  <c r="BH1502" i="48"/>
  <c r="BH1611" i="48"/>
  <c r="BG1611" i="48"/>
  <c r="BF1611" i="48"/>
  <c r="BE1611" i="48"/>
  <c r="BF1263" i="48"/>
  <c r="BE1263" i="48"/>
  <c r="BH1263" i="48"/>
  <c r="BG1263" i="48"/>
  <c r="BG1276" i="48"/>
  <c r="BF1276" i="48"/>
  <c r="BE1276" i="48"/>
  <c r="BH1276" i="48"/>
  <c r="BE1053" i="48"/>
  <c r="BH1053" i="48"/>
  <c r="BG1053" i="48"/>
  <c r="BF1053" i="48"/>
  <c r="BH1501" i="48"/>
  <c r="BF1501" i="48"/>
  <c r="BE1501" i="48"/>
  <c r="BG1501" i="48"/>
  <c r="BG758" i="48"/>
  <c r="BF758" i="48"/>
  <c r="BE758" i="48"/>
  <c r="BH758" i="48"/>
  <c r="BH1643" i="48"/>
  <c r="BG1643" i="48"/>
  <c r="BF1643" i="48"/>
  <c r="BE1643" i="48"/>
  <c r="BH959" i="48"/>
  <c r="BG959" i="48"/>
  <c r="BF959" i="48"/>
  <c r="BE959" i="48"/>
  <c r="BG1630" i="48"/>
  <c r="BF1630" i="48"/>
  <c r="BE1630" i="48"/>
  <c r="BH1630" i="48"/>
  <c r="BF315" i="48"/>
  <c r="BH315" i="48"/>
  <c r="BE315" i="48"/>
  <c r="BG315" i="48"/>
  <c r="BF228" i="48"/>
  <c r="BG228" i="48"/>
  <c r="BE228" i="48"/>
  <c r="BB228" i="48" s="1"/>
  <c r="AB228" i="48" s="1"/>
  <c r="BG310" i="48"/>
  <c r="BF310" i="48"/>
  <c r="BH310" i="48"/>
  <c r="BE310" i="48"/>
  <c r="BF308" i="48"/>
  <c r="BG308" i="48"/>
  <c r="BE308" i="48"/>
  <c r="BH308" i="48"/>
  <c r="BE320" i="48"/>
  <c r="BH320" i="48"/>
  <c r="BG320" i="48"/>
  <c r="BF320" i="48"/>
  <c r="BH386" i="48"/>
  <c r="BG386" i="48"/>
  <c r="BF386" i="48"/>
  <c r="BE386" i="48"/>
  <c r="BE541" i="48"/>
  <c r="BH541" i="48"/>
  <c r="BG541" i="48"/>
  <c r="BF541" i="48"/>
  <c r="BH291" i="48"/>
  <c r="BE291" i="48"/>
  <c r="BB291" i="48" s="1"/>
  <c r="BG291" i="48"/>
  <c r="BF291" i="48"/>
  <c r="AK291" i="48" s="1"/>
  <c r="AL291" i="48" s="1"/>
  <c r="BG177" i="48"/>
  <c r="BF177" i="48"/>
  <c r="BE177" i="48"/>
  <c r="BB177" i="48" s="1"/>
  <c r="BH177" i="48"/>
  <c r="BG303" i="48"/>
  <c r="BH303" i="48"/>
  <c r="BF303" i="48"/>
  <c r="BE303" i="48"/>
  <c r="BF150" i="48"/>
  <c r="BE150" i="48"/>
  <c r="BA150" i="48" s="1"/>
  <c r="BG150" i="48"/>
  <c r="BF399" i="48"/>
  <c r="BE399" i="48"/>
  <c r="BH399" i="48"/>
  <c r="BG399" i="48"/>
  <c r="BE363" i="48"/>
  <c r="BH363" i="48"/>
  <c r="BG363" i="48"/>
  <c r="BF363" i="48"/>
  <c r="BE1898" i="48"/>
  <c r="BF1898" i="48"/>
  <c r="BH1898" i="48"/>
  <c r="BG1898" i="48"/>
  <c r="BE1796" i="48"/>
  <c r="BH1796" i="48"/>
  <c r="BG1796" i="48"/>
  <c r="BF1796" i="48"/>
  <c r="BG1208" i="48"/>
  <c r="BF1208" i="48"/>
  <c r="BE1208" i="48"/>
  <c r="BH1208" i="48"/>
  <c r="BE1377" i="48"/>
  <c r="BF1377" i="48"/>
  <c r="BG1377" i="48"/>
  <c r="BH1377" i="48"/>
  <c r="BH1400" i="48"/>
  <c r="BE1400" i="48"/>
  <c r="BG1400" i="48"/>
  <c r="BF1400" i="48"/>
  <c r="BG1288" i="48"/>
  <c r="BF1288" i="48"/>
  <c r="BE1288" i="48"/>
  <c r="BH1288" i="48"/>
  <c r="BE737" i="48"/>
  <c r="BG737" i="48"/>
  <c r="BF737" i="48"/>
  <c r="BH737" i="48"/>
  <c r="BE1129" i="48"/>
  <c r="BH1129" i="48"/>
  <c r="BG1129" i="48"/>
  <c r="BF1129" i="48"/>
  <c r="BG1899" i="48"/>
  <c r="BF1899" i="48"/>
  <c r="BE1899" i="48"/>
  <c r="BH1899" i="48"/>
  <c r="BE859" i="48"/>
  <c r="BH859" i="48"/>
  <c r="BG859" i="48"/>
  <c r="BF859" i="48"/>
  <c r="BG791" i="48"/>
  <c r="BF791" i="48"/>
  <c r="BE791" i="48"/>
  <c r="BH791" i="48"/>
  <c r="BH620" i="48"/>
  <c r="BF620" i="48"/>
  <c r="BE620" i="48"/>
  <c r="BG620" i="48"/>
  <c r="BF1637" i="48"/>
  <c r="BE1637" i="48"/>
  <c r="BH1637" i="48"/>
  <c r="BG1637" i="48"/>
  <c r="BF1072" i="48"/>
  <c r="BG1072" i="48"/>
  <c r="BH1072" i="48"/>
  <c r="BE1072" i="48"/>
  <c r="BF1120" i="48"/>
  <c r="BG1120" i="48"/>
  <c r="BH1120" i="48"/>
  <c r="BE1120" i="48"/>
  <c r="BG2045" i="48"/>
  <c r="BF2045" i="48"/>
  <c r="BE2045" i="48"/>
  <c r="BH2045" i="48"/>
  <c r="BE929" i="48"/>
  <c r="BH929" i="48"/>
  <c r="BG929" i="48"/>
  <c r="BF929" i="48"/>
  <c r="BE1669" i="48"/>
  <c r="BF1669" i="48"/>
  <c r="BH1669" i="48"/>
  <c r="BG1669" i="48"/>
  <c r="BE921" i="48"/>
  <c r="BH921" i="48"/>
  <c r="BG921" i="48"/>
  <c r="BF921" i="48"/>
  <c r="BH1987" i="48"/>
  <c r="BG1987" i="48"/>
  <c r="BF1987" i="48"/>
  <c r="BE1987" i="48"/>
  <c r="BE1823" i="48"/>
  <c r="BG1823" i="48"/>
  <c r="BF1823" i="48"/>
  <c r="BH1823" i="48"/>
  <c r="BF436" i="48"/>
  <c r="BG436" i="48"/>
  <c r="BE436" i="48"/>
  <c r="BH436" i="48"/>
  <c r="BF383" i="48"/>
  <c r="BE383" i="48"/>
  <c r="BG383" i="48"/>
  <c r="BH383" i="48"/>
  <c r="BE553" i="48"/>
  <c r="BH553" i="48"/>
  <c r="BF553" i="48"/>
  <c r="BG553" i="48"/>
  <c r="BF838" i="48"/>
  <c r="BH838" i="48"/>
  <c r="BG838" i="48"/>
  <c r="BE838" i="48"/>
  <c r="BE793" i="48"/>
  <c r="BG793" i="48"/>
  <c r="BF793" i="48"/>
  <c r="BH793" i="48"/>
  <c r="BH1119" i="48"/>
  <c r="BF1119" i="48"/>
  <c r="BE1119" i="48"/>
  <c r="BG1119" i="48"/>
  <c r="BG1584" i="48"/>
  <c r="BF1584" i="48"/>
  <c r="BE1584" i="48"/>
  <c r="BH1584" i="48"/>
  <c r="BE805" i="48"/>
  <c r="BG805" i="48"/>
  <c r="BF805" i="48"/>
  <c r="BH805" i="48"/>
  <c r="BG1525" i="48"/>
  <c r="BF1525" i="48"/>
  <c r="BE1525" i="48"/>
  <c r="BH1525" i="48"/>
  <c r="BF990" i="48"/>
  <c r="BE990" i="48"/>
  <c r="BH990" i="48"/>
  <c r="BG990" i="48"/>
  <c r="BE1981" i="48"/>
  <c r="BG1981" i="48"/>
  <c r="BF1981" i="48"/>
  <c r="BH1981" i="48"/>
  <c r="BG1514" i="48"/>
  <c r="BF1514" i="48"/>
  <c r="BE1514" i="48"/>
  <c r="BH1514" i="48"/>
  <c r="BG1388" i="48"/>
  <c r="BF1388" i="48"/>
  <c r="BH1388" i="48"/>
  <c r="BE1388" i="48"/>
  <c r="BG1331" i="48"/>
  <c r="BF1331" i="48"/>
  <c r="BE1331" i="48"/>
  <c r="BH1331" i="48"/>
  <c r="BG696" i="48"/>
  <c r="BF696" i="48"/>
  <c r="BH696" i="48"/>
  <c r="BE696" i="48"/>
  <c r="BH759" i="48"/>
  <c r="BG759" i="48"/>
  <c r="BF759" i="48"/>
  <c r="BE759" i="48"/>
  <c r="BG1279" i="48"/>
  <c r="BF1279" i="48"/>
  <c r="BE1279" i="48"/>
  <c r="BH1279" i="48"/>
  <c r="BE1522" i="48"/>
  <c r="BG1522" i="48"/>
  <c r="BF1522" i="48"/>
  <c r="BH1522" i="48"/>
  <c r="BG786" i="48"/>
  <c r="BE786" i="48"/>
  <c r="BF786" i="48"/>
  <c r="BH786" i="48"/>
  <c r="BE1297" i="48"/>
  <c r="BH1297" i="48"/>
  <c r="BG1297" i="48"/>
  <c r="BF1297" i="48"/>
  <c r="BE1965" i="48"/>
  <c r="BH1965" i="48"/>
  <c r="BG1965" i="48"/>
  <c r="BF1965" i="48"/>
  <c r="BG967" i="48"/>
  <c r="BF967" i="48"/>
  <c r="BE967" i="48"/>
  <c r="BH967" i="48"/>
  <c r="BH923" i="48"/>
  <c r="BG923" i="48"/>
  <c r="BF923" i="48"/>
  <c r="BE923" i="48"/>
  <c r="BH1619" i="48"/>
  <c r="BG1619" i="48"/>
  <c r="BF1619" i="48"/>
  <c r="BE1619" i="48"/>
  <c r="BE1717" i="48"/>
  <c r="BH1717" i="48"/>
  <c r="BG1717" i="48"/>
  <c r="BF1717" i="48"/>
  <c r="BG1075" i="48"/>
  <c r="BF1075" i="48"/>
  <c r="BE1075" i="48"/>
  <c r="BH1075" i="48"/>
  <c r="BF119" i="48"/>
  <c r="BG119" i="48"/>
  <c r="BE119" i="48"/>
  <c r="BE238" i="48"/>
  <c r="BG238" i="48"/>
  <c r="BF238" i="48"/>
  <c r="BH454" i="48"/>
  <c r="BE454" i="48"/>
  <c r="BG454" i="48"/>
  <c r="BF454" i="48"/>
  <c r="BG349" i="48"/>
  <c r="BF349" i="48"/>
  <c r="BE349" i="48"/>
  <c r="BH349" i="48"/>
  <c r="BF425" i="48"/>
  <c r="BH425" i="48"/>
  <c r="BG425" i="48"/>
  <c r="BE425" i="48"/>
  <c r="BF248" i="48"/>
  <c r="BE248" i="48"/>
  <c r="BH248" i="48"/>
  <c r="BG248" i="48"/>
  <c r="BF405" i="48"/>
  <c r="BH405" i="48"/>
  <c r="BG405" i="48"/>
  <c r="BE405" i="48"/>
  <c r="BH461" i="48"/>
  <c r="BG461" i="48"/>
  <c r="BF461" i="48"/>
  <c r="BE461" i="48"/>
  <c r="BH451" i="48"/>
  <c r="BG451" i="48"/>
  <c r="BF451" i="48"/>
  <c r="BE451" i="48"/>
  <c r="BG1704" i="48"/>
  <c r="BF1704" i="48"/>
  <c r="BE1704" i="48"/>
  <c r="BH1704" i="48"/>
  <c r="BF1463" i="48"/>
  <c r="BE1463" i="48"/>
  <c r="BH1463" i="48"/>
  <c r="BG1463" i="48"/>
  <c r="BF1536" i="48"/>
  <c r="BE1536" i="48"/>
  <c r="BH1536" i="48"/>
  <c r="BG1536" i="48"/>
  <c r="BE1009" i="48"/>
  <c r="BH1009" i="48"/>
  <c r="BG1009" i="48"/>
  <c r="BF1009" i="48"/>
  <c r="BH1262" i="48"/>
  <c r="BG1262" i="48"/>
  <c r="BF1262" i="48"/>
  <c r="BE1262" i="48"/>
  <c r="BH2013" i="48"/>
  <c r="BG2013" i="48"/>
  <c r="BF2013" i="48"/>
  <c r="BE2013" i="48"/>
  <c r="BG2044" i="48"/>
  <c r="BE2044" i="48"/>
  <c r="BF2044" i="48"/>
  <c r="BH2044" i="48"/>
  <c r="BG1809" i="48"/>
  <c r="BF1809" i="48"/>
  <c r="BE1809" i="48"/>
  <c r="BH1809" i="48"/>
  <c r="BE650" i="48"/>
  <c r="BF650" i="48"/>
  <c r="BH650" i="48"/>
  <c r="BG650" i="48"/>
  <c r="BE661" i="48"/>
  <c r="BF661" i="48"/>
  <c r="BG661" i="48"/>
  <c r="BH661" i="48"/>
  <c r="BF766" i="48"/>
  <c r="BH766" i="48"/>
  <c r="BG766" i="48"/>
  <c r="BE766" i="48"/>
  <c r="BE898" i="48"/>
  <c r="BH898" i="48"/>
  <c r="BG898" i="48"/>
  <c r="BF898" i="48"/>
  <c r="BH963" i="48"/>
  <c r="BE963" i="48"/>
  <c r="BG963" i="48"/>
  <c r="BF963" i="48"/>
  <c r="BF1564" i="48"/>
  <c r="BE1564" i="48"/>
  <c r="BH1564" i="48"/>
  <c r="BG1564" i="48"/>
  <c r="BF1102" i="48"/>
  <c r="BE1102" i="48"/>
  <c r="BH1102" i="48"/>
  <c r="BG1102" i="48"/>
  <c r="BH596" i="48"/>
  <c r="BE596" i="48"/>
  <c r="BG596" i="48"/>
  <c r="BF596" i="48"/>
  <c r="BE1369" i="48"/>
  <c r="BF1369" i="48"/>
  <c r="BG1369" i="48"/>
  <c r="BH1369" i="48"/>
  <c r="BH557" i="48"/>
  <c r="BF557" i="48"/>
  <c r="BG557" i="48"/>
  <c r="BE557" i="48"/>
  <c r="BH1840" i="48"/>
  <c r="BF1840" i="48"/>
  <c r="BE1840" i="48"/>
  <c r="BG1840" i="48"/>
  <c r="BG822" i="48"/>
  <c r="BF822" i="48"/>
  <c r="BE822" i="48"/>
  <c r="BH822" i="48"/>
  <c r="BE1030" i="48"/>
  <c r="BH1030" i="48"/>
  <c r="BG1030" i="48"/>
  <c r="BF1030" i="48"/>
  <c r="BF1665" i="48"/>
  <c r="BE1665" i="48"/>
  <c r="BG1665" i="48"/>
  <c r="BH1665" i="48"/>
  <c r="BF1942" i="48"/>
  <c r="BE1942" i="48"/>
  <c r="BH1942" i="48"/>
  <c r="BG1942" i="48"/>
  <c r="BE162" i="48"/>
  <c r="BB162" i="48" s="1"/>
  <c r="BG162" i="48"/>
  <c r="BF162" i="48"/>
  <c r="AK162" i="48" s="1"/>
  <c r="AL162" i="48" s="1"/>
  <c r="BH162" i="48"/>
  <c r="BH211" i="48"/>
  <c r="BF211" i="48"/>
  <c r="BE211" i="48"/>
  <c r="BB211" i="48" s="1"/>
  <c r="BG211" i="48"/>
  <c r="BF152" i="48"/>
  <c r="BE152" i="48"/>
  <c r="BG152" i="48"/>
  <c r="BE121" i="48"/>
  <c r="BG121" i="48"/>
  <c r="BF121" i="48"/>
  <c r="BF195" i="48"/>
  <c r="AK195" i="48" s="1"/>
  <c r="AL195" i="48" s="1"/>
  <c r="BE195" i="48"/>
  <c r="BG195" i="48"/>
  <c r="BE299" i="48"/>
  <c r="BB299" i="48" s="1"/>
  <c r="AB299" i="48" s="1"/>
  <c r="BG299" i="48"/>
  <c r="BF299" i="48"/>
  <c r="BF76" i="48"/>
  <c r="BG76" i="48"/>
  <c r="BE76" i="48"/>
  <c r="BF551" i="48"/>
  <c r="BG551" i="48"/>
  <c r="BE551" i="48"/>
  <c r="BH551" i="48"/>
  <c r="BF59" i="48"/>
  <c r="BH59" i="48" s="1"/>
  <c r="BE59" i="48"/>
  <c r="BG59" i="48"/>
  <c r="BF481" i="48"/>
  <c r="BE481" i="48"/>
  <c r="BH481" i="48"/>
  <c r="BG481" i="48"/>
  <c r="BF108" i="48"/>
  <c r="BE108" i="48"/>
  <c r="BB108" i="48" s="1"/>
  <c r="BH108" i="48"/>
  <c r="BG108" i="48"/>
  <c r="BF499" i="48"/>
  <c r="BG499" i="48"/>
  <c r="BE499" i="48"/>
  <c r="BH499" i="48"/>
  <c r="BH561" i="48"/>
  <c r="BG561" i="48"/>
  <c r="BF561" i="48"/>
  <c r="BE561" i="48"/>
  <c r="BH1484" i="48"/>
  <c r="BG1484" i="48"/>
  <c r="BF1484" i="48"/>
  <c r="BE1484" i="48"/>
  <c r="BF1684" i="48"/>
  <c r="BE1684" i="48"/>
  <c r="BH1684" i="48"/>
  <c r="BG1684" i="48"/>
  <c r="BF960" i="48"/>
  <c r="BG960" i="48"/>
  <c r="BH960" i="48"/>
  <c r="BE960" i="48"/>
  <c r="BE893" i="48"/>
  <c r="BH893" i="48"/>
  <c r="BG893" i="48"/>
  <c r="BF893" i="48"/>
  <c r="BF1925" i="48"/>
  <c r="BG1925" i="48"/>
  <c r="BH1925" i="48"/>
  <c r="BE1925" i="48"/>
  <c r="BF1020" i="48"/>
  <c r="BG1020" i="48"/>
  <c r="BH1020" i="48"/>
  <c r="BE1020" i="48"/>
  <c r="BE1234" i="48"/>
  <c r="BH1234" i="48"/>
  <c r="BG1234" i="48"/>
  <c r="BF1234" i="48"/>
  <c r="BE1590" i="48"/>
  <c r="BH1590" i="48"/>
  <c r="BG1590" i="48"/>
  <c r="BF1590" i="48"/>
  <c r="BG598" i="48"/>
  <c r="BF598" i="48"/>
  <c r="BE598" i="48"/>
  <c r="BH598" i="48"/>
  <c r="BH1425" i="48"/>
  <c r="BG1425" i="48"/>
  <c r="BF1425" i="48"/>
  <c r="BE1425" i="48"/>
  <c r="BE666" i="48"/>
  <c r="BF666" i="48"/>
  <c r="BH666" i="48"/>
  <c r="BG666" i="48"/>
  <c r="BH1235" i="48"/>
  <c r="BE1235" i="48"/>
  <c r="BG1235" i="48"/>
  <c r="BF1235" i="48"/>
  <c r="BH1737" i="48"/>
  <c r="BF1737" i="48"/>
  <c r="BE1737" i="48"/>
  <c r="BG1737" i="48"/>
  <c r="BG1264" i="48"/>
  <c r="BF1264" i="48"/>
  <c r="BE1264" i="48"/>
  <c r="BH1264" i="48"/>
  <c r="BH1558" i="48"/>
  <c r="BG1558" i="48"/>
  <c r="BF1558" i="48"/>
  <c r="BE1558" i="48"/>
  <c r="BH1423" i="48"/>
  <c r="BG1423" i="48"/>
  <c r="BF1423" i="48"/>
  <c r="BE1423" i="48"/>
  <c r="BE1078" i="48"/>
  <c r="BH1078" i="48"/>
  <c r="BG1078" i="48"/>
  <c r="BF1078" i="48"/>
  <c r="BE889" i="48"/>
  <c r="BH889" i="48"/>
  <c r="BG889" i="48"/>
  <c r="BF889" i="48"/>
  <c r="BH1230" i="48"/>
  <c r="BG1230" i="48"/>
  <c r="BF1230" i="48"/>
  <c r="BE1230" i="48"/>
  <c r="BH656" i="48"/>
  <c r="BG656" i="48"/>
  <c r="BF656" i="48"/>
  <c r="BE656" i="48"/>
  <c r="BF2029" i="48"/>
  <c r="BG2029" i="48"/>
  <c r="BH2029" i="48"/>
  <c r="BE2029" i="48"/>
  <c r="BH1529" i="48"/>
  <c r="BG1529" i="48"/>
  <c r="BF1529" i="48"/>
  <c r="BE1529" i="48"/>
  <c r="BE1286" i="48"/>
  <c r="BH1286" i="48"/>
  <c r="BG1286" i="48"/>
  <c r="BF1286" i="48"/>
  <c r="BH1127" i="48"/>
  <c r="BF1127" i="48"/>
  <c r="BE1127" i="48"/>
  <c r="BG1127" i="48"/>
  <c r="BE1751" i="48"/>
  <c r="BH1751" i="48"/>
  <c r="BG1751" i="48"/>
  <c r="BF1751" i="48"/>
  <c r="BG1202" i="48"/>
  <c r="BF1202" i="48"/>
  <c r="BE1202" i="48"/>
  <c r="BH1202" i="48"/>
  <c r="BF1548" i="48"/>
  <c r="BE1548" i="48"/>
  <c r="BH1548" i="48"/>
  <c r="BG1548" i="48"/>
  <c r="BH1918" i="48"/>
  <c r="BG1918" i="48"/>
  <c r="BF1918" i="48"/>
  <c r="BE1918" i="48"/>
  <c r="BH1986" i="48"/>
  <c r="BG1986" i="48"/>
  <c r="BF1986" i="48"/>
  <c r="BE1986" i="48"/>
  <c r="BG462" i="48"/>
  <c r="BF462" i="48"/>
  <c r="BE462" i="48"/>
  <c r="BH462" i="48"/>
  <c r="BE428" i="48"/>
  <c r="BH428" i="48"/>
  <c r="BG428" i="48"/>
  <c r="BF428" i="48"/>
  <c r="BH307" i="48"/>
  <c r="BF307" i="48"/>
  <c r="BE307" i="48"/>
  <c r="BG307" i="48"/>
  <c r="BF312" i="48"/>
  <c r="BE312" i="48"/>
  <c r="BH312" i="48"/>
  <c r="BG312" i="48"/>
  <c r="BF409" i="48"/>
  <c r="BH409" i="48"/>
  <c r="BG409" i="48"/>
  <c r="BE409" i="48"/>
  <c r="BF268" i="48"/>
  <c r="BE268" i="48"/>
  <c r="BG268" i="48"/>
  <c r="BH265" i="48"/>
  <c r="BG265" i="48"/>
  <c r="BE265" i="48"/>
  <c r="BF265" i="48"/>
  <c r="BF88" i="48"/>
  <c r="AM88" i="48" s="1"/>
  <c r="AN88" i="48" s="1"/>
  <c r="BE88" i="48"/>
  <c r="BH88" i="48"/>
  <c r="BG88" i="48"/>
  <c r="BE532" i="48"/>
  <c r="BG532" i="48"/>
  <c r="BH532" i="48"/>
  <c r="BF532" i="48"/>
  <c r="BE833" i="48"/>
  <c r="BF833" i="48"/>
  <c r="BG833" i="48"/>
  <c r="BH833" i="48"/>
  <c r="BG1270" i="48"/>
  <c r="BF1270" i="48"/>
  <c r="BE1270" i="48"/>
  <c r="BH1270" i="48"/>
  <c r="BH1511" i="48"/>
  <c r="BG1511" i="48"/>
  <c r="BF1511" i="48"/>
  <c r="BE1511" i="48"/>
  <c r="BE1416" i="48"/>
  <c r="BH1416" i="48"/>
  <c r="BG1416" i="48"/>
  <c r="BF1416" i="48"/>
  <c r="BH2014" i="48"/>
  <c r="BG2014" i="48"/>
  <c r="BF2014" i="48"/>
  <c r="BE2014" i="48"/>
  <c r="BE1708" i="48"/>
  <c r="BH1708" i="48"/>
  <c r="BG1708" i="48"/>
  <c r="BF1708" i="48"/>
  <c r="BG592" i="48"/>
  <c r="BH592" i="48"/>
  <c r="BF592" i="48"/>
  <c r="BE592" i="48"/>
  <c r="BE2008" i="48"/>
  <c r="BG2008" i="48"/>
  <c r="BF2008" i="48"/>
  <c r="BH2008" i="48"/>
  <c r="BG1302" i="48"/>
  <c r="BF1302" i="48"/>
  <c r="BE1302" i="48"/>
  <c r="BH1302" i="48"/>
  <c r="BG1742" i="48"/>
  <c r="BF1742" i="48"/>
  <c r="BH1742" i="48"/>
  <c r="BE1742" i="48"/>
  <c r="BH795" i="48"/>
  <c r="BG795" i="48"/>
  <c r="BF795" i="48"/>
  <c r="BE795" i="48"/>
  <c r="BH719" i="48"/>
  <c r="BG719" i="48"/>
  <c r="BF719" i="48"/>
  <c r="BE719" i="48"/>
  <c r="BF951" i="48"/>
  <c r="BE951" i="48"/>
  <c r="BH951" i="48"/>
  <c r="BG951" i="48"/>
  <c r="BH1452" i="48"/>
  <c r="BG1452" i="48"/>
  <c r="BF1452" i="48"/>
  <c r="BE1452" i="48"/>
  <c r="BF1346" i="48"/>
  <c r="BE1346" i="48"/>
  <c r="BH1346" i="48"/>
  <c r="BG1346" i="48"/>
  <c r="BG1305" i="48"/>
  <c r="BF1305" i="48"/>
  <c r="BE1305" i="48"/>
  <c r="BH1305" i="48"/>
  <c r="BE1724" i="48"/>
  <c r="BH1724" i="48"/>
  <c r="BG1724" i="48"/>
  <c r="BF1724" i="48"/>
  <c r="BG1832" i="48"/>
  <c r="BF1832" i="48"/>
  <c r="BE1832" i="48"/>
  <c r="BH1832" i="48"/>
  <c r="BF1507" i="48"/>
  <c r="BE1507" i="48"/>
  <c r="BH1507" i="48"/>
  <c r="BG1507" i="48"/>
  <c r="BH109" i="48"/>
  <c r="BG109" i="48"/>
  <c r="BF109" i="48"/>
  <c r="BE109" i="48"/>
  <c r="BB109" i="48" s="1"/>
  <c r="BE453" i="48"/>
  <c r="BF453" i="48"/>
  <c r="BH453" i="48"/>
  <c r="BG453" i="48"/>
  <c r="BG477" i="48"/>
  <c r="BF477" i="48"/>
  <c r="BE477" i="48"/>
  <c r="BH477" i="48"/>
  <c r="BG236" i="48"/>
  <c r="BF236" i="48"/>
  <c r="BE236" i="48"/>
  <c r="BE60" i="48"/>
  <c r="BB60" i="48" s="1"/>
  <c r="BF60" i="48"/>
  <c r="BH60" i="48" s="1"/>
  <c r="BG60" i="48"/>
  <c r="BH318" i="48"/>
  <c r="BG318" i="48"/>
  <c r="BF318" i="48"/>
  <c r="BE318" i="48"/>
  <c r="BG202" i="48"/>
  <c r="BF202" i="48"/>
  <c r="AM202" i="48" s="1"/>
  <c r="AN202" i="48" s="1"/>
  <c r="BH202" i="48"/>
  <c r="BE202" i="48"/>
  <c r="BE1058" i="48"/>
  <c r="BH1058" i="48"/>
  <c r="BG1058" i="48"/>
  <c r="BF1058" i="48"/>
  <c r="BF1191" i="48"/>
  <c r="BE1191" i="48"/>
  <c r="BH1191" i="48"/>
  <c r="BG1191" i="48"/>
  <c r="BF1746" i="48"/>
  <c r="BG1746" i="48"/>
  <c r="BH1746" i="48"/>
  <c r="BE1746" i="48"/>
  <c r="BE594" i="48"/>
  <c r="BF594" i="48"/>
  <c r="BH594" i="48"/>
  <c r="BG594" i="48"/>
  <c r="BH1740" i="48"/>
  <c r="BG1740" i="48"/>
  <c r="BF1740" i="48"/>
  <c r="BE1740" i="48"/>
  <c r="BH922" i="48"/>
  <c r="BG922" i="48"/>
  <c r="BF922" i="48"/>
  <c r="BE922" i="48"/>
  <c r="BG1393" i="48"/>
  <c r="BF1393" i="48"/>
  <c r="BE1393" i="48"/>
  <c r="BH1393" i="48"/>
  <c r="BH1326" i="48"/>
  <c r="BG1326" i="48"/>
  <c r="BF1326" i="48"/>
  <c r="BE1326" i="48"/>
  <c r="BE1451" i="48"/>
  <c r="BH1451" i="48"/>
  <c r="BG1451" i="48"/>
  <c r="BF1451" i="48"/>
  <c r="BH1460" i="48"/>
  <c r="BG1460" i="48"/>
  <c r="BF1460" i="48"/>
  <c r="BE1460" i="48"/>
  <c r="BH1314" i="48"/>
  <c r="BG1314" i="48"/>
  <c r="BF1314" i="48"/>
  <c r="BE1314" i="48"/>
  <c r="BE1002" i="48"/>
  <c r="BH1002" i="48"/>
  <c r="BG1002" i="48"/>
  <c r="BF1002" i="48"/>
  <c r="BF1910" i="48"/>
  <c r="BE1910" i="48"/>
  <c r="BH1910" i="48"/>
  <c r="BG1910" i="48"/>
  <c r="BH671" i="48"/>
  <c r="BG671" i="48"/>
  <c r="BF671" i="48"/>
  <c r="BE671" i="48"/>
  <c r="BH1560" i="48"/>
  <c r="BG1560" i="48"/>
  <c r="BF1560" i="48"/>
  <c r="BE1560" i="48"/>
  <c r="BH1131" i="48"/>
  <c r="BE1131" i="48"/>
  <c r="BG1131" i="48"/>
  <c r="BF1131" i="48"/>
  <c r="BE641" i="48"/>
  <c r="BG641" i="48"/>
  <c r="BF641" i="48"/>
  <c r="BH641" i="48"/>
  <c r="BH1465" i="48"/>
  <c r="BG1465" i="48"/>
  <c r="BF1465" i="48"/>
  <c r="BE1465" i="48"/>
  <c r="BE1821" i="48"/>
  <c r="BH1821" i="48"/>
  <c r="BG1821" i="48"/>
  <c r="BF1821" i="48"/>
  <c r="BE901" i="48"/>
  <c r="BH901" i="48"/>
  <c r="BG901" i="48"/>
  <c r="BF901" i="48"/>
  <c r="BG1329" i="48"/>
  <c r="BF1329" i="48"/>
  <c r="BE1329" i="48"/>
  <c r="BH1329" i="48"/>
  <c r="BG1014" i="48"/>
  <c r="BF1014" i="48"/>
  <c r="BE1014" i="48"/>
  <c r="BH1014" i="48"/>
  <c r="BF421" i="48"/>
  <c r="BH421" i="48"/>
  <c r="BG421" i="48"/>
  <c r="BE421" i="48"/>
  <c r="BH446" i="48"/>
  <c r="BG446" i="48"/>
  <c r="BF446" i="48"/>
  <c r="BE446" i="48"/>
  <c r="BG424" i="48"/>
  <c r="BE424" i="48"/>
  <c r="BH424" i="48"/>
  <c r="BF424" i="48"/>
  <c r="BG204" i="48"/>
  <c r="BE204" i="48"/>
  <c r="BB204" i="48" s="1"/>
  <c r="BH204" i="48"/>
  <c r="BF204" i="48"/>
  <c r="BF172" i="48"/>
  <c r="BE172" i="48"/>
  <c r="BB172" i="48" s="1"/>
  <c r="BH172" i="48"/>
  <c r="BG172" i="48"/>
  <c r="BE271" i="48"/>
  <c r="BB271" i="48" s="1"/>
  <c r="AB271" i="48" s="1"/>
  <c r="BG271" i="48"/>
  <c r="BF271" i="48"/>
  <c r="BH506" i="48"/>
  <c r="BE506" i="48"/>
  <c r="BF506" i="48"/>
  <c r="BG506" i="48"/>
  <c r="BF161" i="48"/>
  <c r="BE161" i="48"/>
  <c r="BG161" i="48"/>
  <c r="BF301" i="48"/>
  <c r="BE301" i="48"/>
  <c r="BH301" i="48"/>
  <c r="BG301" i="48"/>
  <c r="BH67" i="48"/>
  <c r="BE67" i="48"/>
  <c r="BB67" i="48" s="1"/>
  <c r="BG67" i="48"/>
  <c r="BF67" i="48"/>
  <c r="AK67" i="48" s="1"/>
  <c r="AL67" i="48" s="1"/>
  <c r="BF290" i="48"/>
  <c r="BE290" i="48"/>
  <c r="BH290" i="48"/>
  <c r="BG290" i="48"/>
  <c r="BG193" i="48"/>
  <c r="BF193" i="48"/>
  <c r="BE193" i="48"/>
  <c r="BG66" i="48"/>
  <c r="BF66" i="48"/>
  <c r="BH66" i="48" s="1"/>
  <c r="BE66" i="48"/>
  <c r="BE122" i="48"/>
  <c r="BB122" i="48" s="1"/>
  <c r="BG122" i="48"/>
  <c r="BF122" i="48"/>
  <c r="BE186" i="48"/>
  <c r="BG186" i="48"/>
  <c r="BF186" i="48"/>
  <c r="BE476" i="48"/>
  <c r="BH476" i="48"/>
  <c r="BG476" i="48"/>
  <c r="BF476" i="48"/>
  <c r="BG189" i="48"/>
  <c r="BF189" i="48"/>
  <c r="BE189" i="48"/>
  <c r="BB189" i="48" s="1"/>
  <c r="AB189" i="48" s="1"/>
  <c r="BH1941" i="48"/>
  <c r="BG1941" i="48"/>
  <c r="BE1941" i="48"/>
  <c r="BF1941" i="48"/>
  <c r="BE1483" i="48"/>
  <c r="BH1483" i="48"/>
  <c r="BG1483" i="48"/>
  <c r="BF1483" i="48"/>
  <c r="BE685" i="48"/>
  <c r="BF685" i="48"/>
  <c r="BG685" i="48"/>
  <c r="BH685" i="48"/>
  <c r="BE1760" i="48"/>
  <c r="BH1760" i="48"/>
  <c r="BG1760" i="48"/>
  <c r="BF1760" i="48"/>
  <c r="BG1732" i="48"/>
  <c r="BF1732" i="48"/>
  <c r="BE1732" i="48"/>
  <c r="BH1732" i="48"/>
  <c r="BH1318" i="48"/>
  <c r="BG1318" i="48"/>
  <c r="BF1318" i="48"/>
  <c r="BE1318" i="48"/>
  <c r="BF1156" i="48"/>
  <c r="BG1156" i="48"/>
  <c r="BE1156" i="48"/>
  <c r="BH1156" i="48"/>
  <c r="BE1412" i="48"/>
  <c r="BH1412" i="48"/>
  <c r="BG1412" i="48"/>
  <c r="BF1412" i="48"/>
  <c r="BH1810" i="48"/>
  <c r="BE1810" i="48"/>
  <c r="BG1810" i="48"/>
  <c r="BF1810" i="48"/>
  <c r="BF1108" i="48"/>
  <c r="BG1108" i="48"/>
  <c r="BE1108" i="48"/>
  <c r="BH1108" i="48"/>
  <c r="BE1025" i="48"/>
  <c r="BH1025" i="48"/>
  <c r="BG1025" i="48"/>
  <c r="BF1025" i="48"/>
  <c r="BF978" i="48"/>
  <c r="BE978" i="48"/>
  <c r="BH978" i="48"/>
  <c r="BG978" i="48"/>
  <c r="BE1990" i="48"/>
  <c r="BH1990" i="48"/>
  <c r="BG1990" i="48"/>
  <c r="BF1990" i="48"/>
  <c r="BH1875" i="48"/>
  <c r="BG1875" i="48"/>
  <c r="BF1875" i="48"/>
  <c r="BE1875" i="48"/>
  <c r="BE1803" i="48"/>
  <c r="BG1803" i="48"/>
  <c r="BF1803" i="48"/>
  <c r="BH1803" i="48"/>
  <c r="BE745" i="48"/>
  <c r="BG745" i="48"/>
  <c r="BF745" i="48"/>
  <c r="BH745" i="48"/>
  <c r="BF1927" i="48"/>
  <c r="BE1927" i="48"/>
  <c r="BH1927" i="48"/>
  <c r="BG1927" i="48"/>
  <c r="BH582" i="48"/>
  <c r="BG582" i="48"/>
  <c r="BF582" i="48"/>
  <c r="BE582" i="48"/>
  <c r="BH678" i="48"/>
  <c r="BG678" i="48"/>
  <c r="BE678" i="48"/>
  <c r="BF678" i="48"/>
  <c r="BH1503" i="48"/>
  <c r="BG1503" i="48"/>
  <c r="BF1503" i="48"/>
  <c r="BE1503" i="48"/>
  <c r="BG1289" i="48"/>
  <c r="BF1289" i="48"/>
  <c r="BE1289" i="48"/>
  <c r="BH1289" i="48"/>
  <c r="BF1773" i="48"/>
  <c r="BE1773" i="48"/>
  <c r="BH1773" i="48"/>
  <c r="BG1773" i="48"/>
  <c r="BF1549" i="48"/>
  <c r="BE1549" i="48"/>
  <c r="BH1549" i="48"/>
  <c r="BG1549" i="48"/>
  <c r="BH1517" i="48"/>
  <c r="BE1517" i="48"/>
  <c r="BG1517" i="48"/>
  <c r="BF1517" i="48"/>
  <c r="BH994" i="48"/>
  <c r="BG994" i="48"/>
  <c r="BF994" i="48"/>
  <c r="BE994" i="48"/>
  <c r="BE1934" i="48"/>
  <c r="BH1934" i="48"/>
  <c r="BG1934" i="48"/>
  <c r="BF1934" i="48"/>
  <c r="BF787" i="48"/>
  <c r="BH787" i="48"/>
  <c r="BE787" i="48"/>
  <c r="BG787" i="48"/>
  <c r="BE1804" i="48"/>
  <c r="BH1804" i="48"/>
  <c r="BG1804" i="48"/>
  <c r="BF1804" i="48"/>
  <c r="BH387" i="48"/>
  <c r="BG387" i="48"/>
  <c r="BF387" i="48"/>
  <c r="BE387" i="48"/>
  <c r="BE369" i="48"/>
  <c r="BH369" i="48"/>
  <c r="BG369" i="48"/>
  <c r="BF369" i="48"/>
  <c r="BG198" i="48"/>
  <c r="BF198" i="48"/>
  <c r="BE198" i="48"/>
  <c r="BH252" i="48"/>
  <c r="BG252" i="48"/>
  <c r="BF252" i="48"/>
  <c r="BE252" i="48"/>
  <c r="BB252" i="48" s="1"/>
  <c r="BH225" i="48"/>
  <c r="BE225" i="48"/>
  <c r="BB225" i="48" s="1"/>
  <c r="BG225" i="48"/>
  <c r="BF225" i="48"/>
  <c r="BH587" i="48"/>
  <c r="BE587" i="48"/>
  <c r="BG587" i="48"/>
  <c r="BF587" i="48"/>
  <c r="BE717" i="48"/>
  <c r="BG717" i="48"/>
  <c r="BF717" i="48"/>
  <c r="BH717" i="48"/>
  <c r="BE1130" i="48"/>
  <c r="BH1130" i="48"/>
  <c r="BG1130" i="48"/>
  <c r="BF1130" i="48"/>
  <c r="BH1164" i="48"/>
  <c r="BG1164" i="48"/>
  <c r="BF1164" i="48"/>
  <c r="BE1164" i="48"/>
  <c r="BG1126" i="48"/>
  <c r="BF1126" i="48"/>
  <c r="BE1126" i="48"/>
  <c r="BH1126" i="48"/>
  <c r="BH1904" i="48"/>
  <c r="BF1904" i="48"/>
  <c r="BE1904" i="48"/>
  <c r="BG1904" i="48"/>
  <c r="BF1134" i="48"/>
  <c r="BE1134" i="48"/>
  <c r="BH1134" i="48"/>
  <c r="BG1134" i="48"/>
  <c r="BE1911" i="48"/>
  <c r="BH1911" i="48"/>
  <c r="BG1911" i="48"/>
  <c r="BF1911" i="48"/>
  <c r="BH1457" i="48"/>
  <c r="BF1457" i="48"/>
  <c r="BE1457" i="48"/>
  <c r="BG1457" i="48"/>
  <c r="BG1710" i="48"/>
  <c r="BF1710" i="48"/>
  <c r="BH1710" i="48"/>
  <c r="BE1710" i="48"/>
  <c r="BE658" i="48"/>
  <c r="BF658" i="48"/>
  <c r="BH658" i="48"/>
  <c r="BG658" i="48"/>
  <c r="BF1070" i="48"/>
  <c r="BE1070" i="48"/>
  <c r="BH1070" i="48"/>
  <c r="BG1070" i="48"/>
  <c r="BG1545" i="48"/>
  <c r="BF1545" i="48"/>
  <c r="BE1545" i="48"/>
  <c r="BH1545" i="48"/>
  <c r="BH1813" i="48"/>
  <c r="BG1813" i="48"/>
  <c r="BF1813" i="48"/>
  <c r="BE1813" i="48"/>
  <c r="BG1574" i="48"/>
  <c r="BF1574" i="48"/>
  <c r="BE1574" i="48"/>
  <c r="BH1574" i="48"/>
  <c r="BF1694" i="48"/>
  <c r="BG1694" i="48"/>
  <c r="BH1694" i="48"/>
  <c r="BE1694" i="48"/>
  <c r="BG884" i="48"/>
  <c r="BH884" i="48"/>
  <c r="BF884" i="48"/>
  <c r="BE884" i="48"/>
  <c r="BH723" i="48"/>
  <c r="BE723" i="48"/>
  <c r="BG723" i="48"/>
  <c r="BF723" i="48"/>
  <c r="BF1727" i="48"/>
  <c r="BE1727" i="48"/>
  <c r="BH1727" i="48"/>
  <c r="BG1727" i="48"/>
  <c r="BF1949" i="48"/>
  <c r="BE1949" i="48"/>
  <c r="BH1949" i="48"/>
  <c r="BG1949" i="48"/>
  <c r="BE694" i="48"/>
  <c r="BH694" i="48"/>
  <c r="BG694" i="48"/>
  <c r="BF694" i="48"/>
  <c r="BF120" i="48"/>
  <c r="AK120" i="48" s="1"/>
  <c r="AL120" i="48" s="1"/>
  <c r="BE120" i="48"/>
  <c r="BB120" i="48" s="1"/>
  <c r="BG120" i="48"/>
  <c r="BH323" i="48"/>
  <c r="BG323" i="48"/>
  <c r="BF323" i="48"/>
  <c r="BE323" i="48"/>
  <c r="BH206" i="48"/>
  <c r="BG206" i="48"/>
  <c r="BF206" i="48"/>
  <c r="BE206" i="48"/>
  <c r="BB206" i="48" s="1"/>
  <c r="BF376" i="48"/>
  <c r="BE376" i="48"/>
  <c r="BH376" i="48"/>
  <c r="BG376" i="48"/>
  <c r="BE474" i="48"/>
  <c r="BG474" i="48"/>
  <c r="BF474" i="48"/>
  <c r="BH474" i="48"/>
  <c r="BE298" i="48"/>
  <c r="BG298" i="48"/>
  <c r="BF298" i="48"/>
  <c r="BE118" i="48"/>
  <c r="BB118" i="48" s="1"/>
  <c r="BG118" i="48"/>
  <c r="BF118" i="48"/>
  <c r="BF485" i="48"/>
  <c r="BH485" i="48"/>
  <c r="BG485" i="48"/>
  <c r="BE485" i="48"/>
  <c r="BF188" i="48"/>
  <c r="BE188" i="48"/>
  <c r="BB188" i="48" s="1"/>
  <c r="BH188" i="48"/>
  <c r="BG188" i="48"/>
  <c r="BF232" i="48"/>
  <c r="BE232" i="48"/>
  <c r="BB232" i="48" s="1"/>
  <c r="BH232" i="48"/>
  <c r="BG232" i="48"/>
  <c r="BF185" i="48"/>
  <c r="BH185" i="48"/>
  <c r="BG185" i="48"/>
  <c r="BE185" i="48"/>
  <c r="BB185" i="48" s="1"/>
  <c r="BG70" i="48"/>
  <c r="BF70" i="48"/>
  <c r="BH70" i="48" s="1"/>
  <c r="BE70" i="48"/>
  <c r="BG458" i="48"/>
  <c r="BF458" i="48"/>
  <c r="BH458" i="48"/>
  <c r="BE458" i="48"/>
  <c r="BG440" i="48"/>
  <c r="BE440" i="48"/>
  <c r="BH440" i="48"/>
  <c r="BF440" i="48"/>
  <c r="BH205" i="48"/>
  <c r="BG205" i="48"/>
  <c r="BE205" i="48"/>
  <c r="BF205" i="48"/>
  <c r="AK205" i="48" s="1"/>
  <c r="AL205" i="48" s="1"/>
  <c r="BE537" i="48"/>
  <c r="BH537" i="48"/>
  <c r="BF537" i="48"/>
  <c r="BG537" i="48"/>
  <c r="BE430" i="48"/>
  <c r="BH430" i="48"/>
  <c r="BG430" i="48"/>
  <c r="BF430" i="48"/>
  <c r="BE573" i="48"/>
  <c r="BH573" i="48"/>
  <c r="BF573" i="48"/>
  <c r="BG573" i="48"/>
  <c r="BE806" i="48"/>
  <c r="BH806" i="48"/>
  <c r="BG806" i="48"/>
  <c r="BF806" i="48"/>
  <c r="BF1048" i="48"/>
  <c r="BG1048" i="48"/>
  <c r="BH1048" i="48"/>
  <c r="BE1048" i="48"/>
  <c r="BF914" i="48"/>
  <c r="BE914" i="48"/>
  <c r="BH914" i="48"/>
  <c r="BG914" i="48"/>
  <c r="BF872" i="48"/>
  <c r="BH872" i="48"/>
  <c r="BE872" i="48"/>
  <c r="BG872" i="48"/>
  <c r="BF564" i="48"/>
  <c r="BE564" i="48"/>
  <c r="BG564" i="48"/>
  <c r="BH564" i="48"/>
  <c r="BH2034" i="48"/>
  <c r="BG2034" i="48"/>
  <c r="BF2034" i="48"/>
  <c r="BE2034" i="48"/>
  <c r="BF1711" i="48"/>
  <c r="BE1711" i="48"/>
  <c r="BH1711" i="48"/>
  <c r="BG1711" i="48"/>
  <c r="BG1652" i="48"/>
  <c r="BF1652" i="48"/>
  <c r="BE1652" i="48"/>
  <c r="BH1652" i="48"/>
  <c r="BF655" i="48"/>
  <c r="BE655" i="48"/>
  <c r="BH655" i="48"/>
  <c r="BG655" i="48"/>
  <c r="BG950" i="48"/>
  <c r="BF950" i="48"/>
  <c r="BE950" i="48"/>
  <c r="BH950" i="48"/>
  <c r="BH1991" i="48"/>
  <c r="BG1991" i="48"/>
  <c r="BF1991" i="48"/>
  <c r="BE1991" i="48"/>
  <c r="BF1358" i="48"/>
  <c r="BE1358" i="48"/>
  <c r="BH1358" i="48"/>
  <c r="BG1358" i="48"/>
  <c r="BF1086" i="48"/>
  <c r="BE1086" i="48"/>
  <c r="BH1086" i="48"/>
  <c r="BG1086" i="48"/>
  <c r="BG850" i="48"/>
  <c r="BE850" i="48"/>
  <c r="BF850" i="48"/>
  <c r="BH850" i="48"/>
  <c r="BG1879" i="48"/>
  <c r="BF1879" i="48"/>
  <c r="BE1879" i="48"/>
  <c r="BH1879" i="48"/>
  <c r="BH828" i="48"/>
  <c r="BG828" i="48"/>
  <c r="BF828" i="48"/>
  <c r="BE828" i="48"/>
  <c r="BE1893" i="48"/>
  <c r="BH1893" i="48"/>
  <c r="BG1893" i="48"/>
  <c r="BF1893" i="48"/>
  <c r="BG1324" i="48"/>
  <c r="BF1324" i="48"/>
  <c r="BE1324" i="48"/>
  <c r="BH1324" i="48"/>
  <c r="BG1917" i="48"/>
  <c r="BF1917" i="48"/>
  <c r="BH1917" i="48"/>
  <c r="BE1917" i="48"/>
  <c r="BG608" i="48"/>
  <c r="BF608" i="48"/>
  <c r="BE608" i="48"/>
  <c r="BH608" i="48"/>
  <c r="BH1375" i="48"/>
  <c r="BG1375" i="48"/>
  <c r="BF1375" i="48"/>
  <c r="BE1375" i="48"/>
  <c r="BH1135" i="48"/>
  <c r="BE1135" i="48"/>
  <c r="BG1135" i="48"/>
  <c r="BF1135" i="48"/>
  <c r="BE601" i="48"/>
  <c r="BF601" i="48"/>
  <c r="BG601" i="48"/>
  <c r="BH601" i="48"/>
  <c r="BE1673" i="48"/>
  <c r="BF1673" i="48"/>
  <c r="BH1673" i="48"/>
  <c r="BG1673" i="48"/>
  <c r="BF92" i="48"/>
  <c r="BE92" i="48"/>
  <c r="BH92" i="48"/>
  <c r="BG92" i="48"/>
  <c r="BF348" i="48"/>
  <c r="BE348" i="48"/>
  <c r="BH348" i="48"/>
  <c r="BG348" i="48"/>
  <c r="BF328" i="48"/>
  <c r="BE328" i="48"/>
  <c r="BH328" i="48"/>
  <c r="BG328" i="48"/>
  <c r="BG190" i="48"/>
  <c r="BF190" i="48"/>
  <c r="BE190" i="48"/>
  <c r="BB190" i="48" s="1"/>
  <c r="BH190" i="48"/>
  <c r="BF548" i="48"/>
  <c r="BE548" i="48"/>
  <c r="BG548" i="48"/>
  <c r="BH548" i="48"/>
  <c r="BH1728" i="48"/>
  <c r="BG1728" i="48"/>
  <c r="BF1728" i="48"/>
  <c r="BE1728" i="48"/>
  <c r="BF976" i="48"/>
  <c r="BG976" i="48"/>
  <c r="BH976" i="48"/>
  <c r="BE976" i="48"/>
  <c r="BF911" i="48"/>
  <c r="BE911" i="48"/>
  <c r="BH911" i="48"/>
  <c r="BG911" i="48"/>
  <c r="BG1805" i="48"/>
  <c r="BF1805" i="48"/>
  <c r="BE1805" i="48"/>
  <c r="BH1805" i="48"/>
  <c r="BG834" i="48"/>
  <c r="BE834" i="48"/>
  <c r="BF834" i="48"/>
  <c r="BH834" i="48"/>
  <c r="BG1649" i="48"/>
  <c r="BF1649" i="48"/>
  <c r="BE1649" i="48"/>
  <c r="BH1649" i="48"/>
  <c r="BE1719" i="48"/>
  <c r="BH1719" i="48"/>
  <c r="BG1719" i="48"/>
  <c r="BF1719" i="48"/>
  <c r="BH750" i="48"/>
  <c r="BG750" i="48"/>
  <c r="BE750" i="48"/>
  <c r="BF750" i="48"/>
  <c r="BF1362" i="48"/>
  <c r="BE1362" i="48"/>
  <c r="BH1362" i="48"/>
  <c r="BG1362" i="48"/>
  <c r="BE1688" i="48"/>
  <c r="BH1688" i="48"/>
  <c r="BG1688" i="48"/>
  <c r="BF1688" i="48"/>
  <c r="BF1080" i="48"/>
  <c r="BG1080" i="48"/>
  <c r="BH1080" i="48"/>
  <c r="BE1080" i="48"/>
  <c r="BG1887" i="48"/>
  <c r="BF1887" i="48"/>
  <c r="BE1887" i="48"/>
  <c r="BH1887" i="48"/>
  <c r="BE949" i="48"/>
  <c r="BH949" i="48"/>
  <c r="BG949" i="48"/>
  <c r="BF949" i="48"/>
  <c r="BG1830" i="48"/>
  <c r="BE1830" i="48"/>
  <c r="BF1830" i="48"/>
  <c r="BH1830" i="48"/>
  <c r="BE1419" i="48"/>
  <c r="BH1419" i="48"/>
  <c r="BG1419" i="48"/>
  <c r="BF1419" i="48"/>
  <c r="BF918" i="48"/>
  <c r="BE918" i="48"/>
  <c r="BH918" i="48"/>
  <c r="BG918" i="48"/>
  <c r="BF1480" i="48"/>
  <c r="BE1480" i="48"/>
  <c r="BH1480" i="48"/>
  <c r="BG1480" i="48"/>
  <c r="BF1475" i="48"/>
  <c r="BE1475" i="48"/>
  <c r="BH1475" i="48"/>
  <c r="BG1475" i="48"/>
  <c r="BF1342" i="48"/>
  <c r="BE1342" i="48"/>
  <c r="BH1342" i="48"/>
  <c r="BG1342" i="48"/>
  <c r="BF1921" i="48"/>
  <c r="BG1921" i="48"/>
  <c r="BE1921" i="48"/>
  <c r="BH1921" i="48"/>
  <c r="BH1583" i="48"/>
  <c r="BF1583" i="48"/>
  <c r="BE1583" i="48"/>
  <c r="BG1583" i="48"/>
  <c r="BH823" i="48"/>
  <c r="BG823" i="48"/>
  <c r="BF823" i="48"/>
  <c r="BE823" i="48"/>
  <c r="BF1098" i="48"/>
  <c r="BE1098" i="48"/>
  <c r="BH1098" i="48"/>
  <c r="BG1098" i="48"/>
  <c r="BH1930" i="48"/>
  <c r="BE1930" i="48"/>
  <c r="BG1930" i="48"/>
  <c r="BF1930" i="48"/>
  <c r="BE1321" i="48"/>
  <c r="BH1321" i="48"/>
  <c r="BG1321" i="48"/>
  <c r="BF1321" i="48"/>
  <c r="BE357" i="48"/>
  <c r="BF357" i="48"/>
  <c r="BH357" i="48"/>
  <c r="BG357" i="48"/>
  <c r="BF269" i="48"/>
  <c r="BE269" i="48"/>
  <c r="BG269" i="48"/>
  <c r="BH253" i="48"/>
  <c r="BG253" i="48"/>
  <c r="BF253" i="48"/>
  <c r="BE253" i="48"/>
  <c r="BH364" i="48"/>
  <c r="BG364" i="48"/>
  <c r="BF364" i="48"/>
  <c r="BE364" i="48"/>
  <c r="BG286" i="48"/>
  <c r="BF286" i="48"/>
  <c r="BE286" i="48"/>
  <c r="BB286" i="48" s="1"/>
  <c r="AB286" i="48" s="1"/>
  <c r="BE366" i="48"/>
  <c r="BH366" i="48"/>
  <c r="BG366" i="48"/>
  <c r="BF366" i="48"/>
  <c r="BF316" i="48"/>
  <c r="BE316" i="48"/>
  <c r="BH316" i="48"/>
  <c r="BG316" i="48"/>
  <c r="BF555" i="48"/>
  <c r="BG555" i="48"/>
  <c r="BE555" i="48"/>
  <c r="BH555" i="48"/>
  <c r="BG98" i="48"/>
  <c r="BF98" i="48"/>
  <c r="AK98" i="48" s="1"/>
  <c r="AL98" i="48" s="1"/>
  <c r="BE98" i="48"/>
  <c r="BE394" i="48"/>
  <c r="BG394" i="48"/>
  <c r="BF394" i="48"/>
  <c r="BH394" i="48"/>
  <c r="BF482" i="48"/>
  <c r="BE482" i="48"/>
  <c r="BH482" i="48"/>
  <c r="BG482" i="48"/>
  <c r="BG413" i="48"/>
  <c r="BF413" i="48"/>
  <c r="BE413" i="48"/>
  <c r="BH413" i="48"/>
  <c r="BE1357" i="48"/>
  <c r="BF1357" i="48"/>
  <c r="BG1357" i="48"/>
  <c r="BH1357" i="48"/>
  <c r="BE2038" i="48"/>
  <c r="BG2038" i="48"/>
  <c r="BH2038" i="48"/>
  <c r="BF2038" i="48"/>
  <c r="BF698" i="48"/>
  <c r="BH698" i="48"/>
  <c r="BG698" i="48"/>
  <c r="BE698" i="48"/>
  <c r="BG1368" i="48"/>
  <c r="BF1368" i="48"/>
  <c r="BE1368" i="48"/>
  <c r="BH1368" i="48"/>
  <c r="BG1847" i="48"/>
  <c r="BF1847" i="48"/>
  <c r="BE1847" i="48"/>
  <c r="BH1847" i="48"/>
  <c r="BG1572" i="48"/>
  <c r="BF1572" i="48"/>
  <c r="BE1572" i="48"/>
  <c r="BH1572" i="48"/>
  <c r="BH1634" i="48"/>
  <c r="BG1634" i="48"/>
  <c r="BF1634" i="48"/>
  <c r="BE1634" i="48"/>
  <c r="BE2027" i="48"/>
  <c r="BH2027" i="48"/>
  <c r="BG2027" i="48"/>
  <c r="BF2027" i="48"/>
  <c r="BE1121" i="48"/>
  <c r="BH1121" i="48"/>
  <c r="BG1121" i="48"/>
  <c r="BF1121" i="48"/>
  <c r="BG1977" i="48"/>
  <c r="BF1977" i="48"/>
  <c r="BE1977" i="48"/>
  <c r="BH1977" i="48"/>
  <c r="BF1883" i="48"/>
  <c r="BE1883" i="48"/>
  <c r="BH1883" i="48"/>
  <c r="BG1883" i="48"/>
  <c r="BE1889" i="48"/>
  <c r="BH1889" i="48"/>
  <c r="BG1889" i="48"/>
  <c r="BF1889" i="48"/>
  <c r="BE1403" i="48"/>
  <c r="BH1403" i="48"/>
  <c r="BG1403" i="48"/>
  <c r="BF1403" i="48"/>
  <c r="BE1901" i="48"/>
  <c r="BG1901" i="48"/>
  <c r="BF1901" i="48"/>
  <c r="BH1901" i="48"/>
  <c r="BH1626" i="48"/>
  <c r="BG1626" i="48"/>
  <c r="BF1626" i="48"/>
  <c r="BE1626" i="48"/>
  <c r="BH2046" i="48"/>
  <c r="BE2046" i="48"/>
  <c r="BG2046" i="48"/>
  <c r="BF2046" i="48"/>
  <c r="BF646" i="48"/>
  <c r="BH646" i="48"/>
  <c r="BG646" i="48"/>
  <c r="BE646" i="48"/>
  <c r="BE941" i="48"/>
  <c r="BH941" i="48"/>
  <c r="BG941" i="48"/>
  <c r="BF941" i="48"/>
  <c r="BF866" i="48"/>
  <c r="BE866" i="48"/>
  <c r="BH866" i="48"/>
  <c r="BG866" i="48"/>
  <c r="BE178" i="48"/>
  <c r="BB178" i="48" s="1"/>
  <c r="AB178" i="48" s="1"/>
  <c r="BG178" i="48"/>
  <c r="BF178" i="48"/>
  <c r="AK178" i="48" s="1"/>
  <c r="AL178" i="48" s="1"/>
  <c r="BH339" i="48"/>
  <c r="BF339" i="48"/>
  <c r="BE339" i="48"/>
  <c r="BG339" i="48"/>
  <c r="BG184" i="48"/>
  <c r="BE184" i="48"/>
  <c r="BB184" i="48" s="1"/>
  <c r="BH184" i="48"/>
  <c r="BF184" i="48"/>
  <c r="AK184" i="48" s="1"/>
  <c r="AL184" i="48" s="1"/>
  <c r="BF254" i="48"/>
  <c r="BE254" i="48"/>
  <c r="BB254" i="48" s="1"/>
  <c r="AB254" i="48" s="1"/>
  <c r="BG254" i="48"/>
  <c r="BE803" i="48"/>
  <c r="BG803" i="48"/>
  <c r="BF803" i="48"/>
  <c r="BH803" i="48"/>
  <c r="BE1499" i="48"/>
  <c r="BH1499" i="48"/>
  <c r="BG1499" i="48"/>
  <c r="BF1499" i="48"/>
  <c r="BG1363" i="48"/>
  <c r="BF1363" i="48"/>
  <c r="BE1363" i="48"/>
  <c r="BH1363" i="48"/>
  <c r="BH1505" i="48"/>
  <c r="BG1505" i="48"/>
  <c r="BF1505" i="48"/>
  <c r="BE1505" i="48"/>
  <c r="BE909" i="48"/>
  <c r="BH909" i="48"/>
  <c r="BG909" i="48"/>
  <c r="BF909" i="48"/>
  <c r="BF1140" i="48"/>
  <c r="BG1140" i="48"/>
  <c r="BE1140" i="48"/>
  <c r="BH1140" i="48"/>
  <c r="BH1258" i="48"/>
  <c r="BG1258" i="48"/>
  <c r="BF1258" i="48"/>
  <c r="BE1258" i="48"/>
  <c r="BE749" i="48"/>
  <c r="BF749" i="48"/>
  <c r="BG749" i="48"/>
  <c r="BH749" i="48"/>
  <c r="BE1430" i="48"/>
  <c r="BH1430" i="48"/>
  <c r="BG1430" i="48"/>
  <c r="BF1430" i="48"/>
  <c r="BH1896" i="48"/>
  <c r="BF1896" i="48"/>
  <c r="BE1896" i="48"/>
  <c r="BG1896" i="48"/>
  <c r="BE634" i="48"/>
  <c r="BF634" i="48"/>
  <c r="BH634" i="48"/>
  <c r="BG634" i="48"/>
  <c r="BG1594" i="48"/>
  <c r="BF1594" i="48"/>
  <c r="BE1594" i="48"/>
  <c r="BH1594" i="48"/>
  <c r="BE1166" i="48"/>
  <c r="BH1166" i="48"/>
  <c r="BG1166" i="48"/>
  <c r="BF1166" i="48"/>
  <c r="BE765" i="48"/>
  <c r="BG765" i="48"/>
  <c r="BF765" i="48"/>
  <c r="BH765" i="48"/>
  <c r="BF1868" i="48"/>
  <c r="BE1868" i="48"/>
  <c r="BH1868" i="48"/>
  <c r="BG1868" i="48"/>
  <c r="BH910" i="48"/>
  <c r="BG910" i="48"/>
  <c r="BF910" i="48"/>
  <c r="BE910" i="48"/>
  <c r="BG778" i="48"/>
  <c r="BE778" i="48"/>
  <c r="BF778" i="48"/>
  <c r="BH778" i="48"/>
  <c r="BH1387" i="48"/>
  <c r="BG1387" i="48"/>
  <c r="BF1387" i="48"/>
  <c r="BE1387" i="48"/>
  <c r="BH1487" i="48"/>
  <c r="BG1487" i="48"/>
  <c r="BF1487" i="48"/>
  <c r="BE1487" i="48"/>
  <c r="BG1556" i="48"/>
  <c r="BF1556" i="48"/>
  <c r="BE1556" i="48"/>
  <c r="BH1556" i="48"/>
  <c r="BE681" i="48"/>
  <c r="BG681" i="48"/>
  <c r="BF681" i="48"/>
  <c r="BH681" i="48"/>
  <c r="BH1762" i="48"/>
  <c r="BF1762" i="48"/>
  <c r="BE1762" i="48"/>
  <c r="BG1762" i="48"/>
  <c r="BE1764" i="48"/>
  <c r="BH1764" i="48"/>
  <c r="BG1764" i="48"/>
  <c r="BF1764" i="48"/>
  <c r="BF811" i="48"/>
  <c r="BE811" i="48"/>
  <c r="BH811" i="48"/>
  <c r="BG811" i="48"/>
  <c r="BF843" i="48"/>
  <c r="BH843" i="48"/>
  <c r="BE843" i="48"/>
  <c r="BG843" i="48"/>
  <c r="BG1464" i="48"/>
  <c r="BF1464" i="48"/>
  <c r="BE1464" i="48"/>
  <c r="BH1464" i="48"/>
  <c r="BE1089" i="48"/>
  <c r="BH1089" i="48"/>
  <c r="BG1089" i="48"/>
  <c r="BF1089" i="48"/>
  <c r="BF746" i="48"/>
  <c r="BH746" i="48"/>
  <c r="BG746" i="48"/>
  <c r="BE746" i="48"/>
  <c r="BF414" i="48"/>
  <c r="BE414" i="48"/>
  <c r="BH414" i="48"/>
  <c r="BG414" i="48"/>
  <c r="BH382" i="48"/>
  <c r="BG382" i="48"/>
  <c r="BF382" i="48"/>
  <c r="BE382" i="48"/>
  <c r="BH227" i="48"/>
  <c r="BE227" i="48"/>
  <c r="BG227" i="48"/>
  <c r="BF227" i="48"/>
  <c r="BE381" i="48"/>
  <c r="BH381" i="48"/>
  <c r="BG381" i="48"/>
  <c r="BF381" i="48"/>
  <c r="BH500" i="48"/>
  <c r="BG500" i="48"/>
  <c r="BF500" i="48"/>
  <c r="BE500" i="48"/>
  <c r="BF350" i="48"/>
  <c r="BE350" i="48"/>
  <c r="BH350" i="48"/>
  <c r="BG350" i="48"/>
  <c r="BF113" i="48"/>
  <c r="AM113" i="48" s="1"/>
  <c r="AN113" i="48" s="1"/>
  <c r="BE113" i="48"/>
  <c r="BG113" i="48"/>
  <c r="BH435" i="48"/>
  <c r="BF435" i="48"/>
  <c r="BE435" i="48"/>
  <c r="BG435" i="48"/>
  <c r="BG233" i="48"/>
  <c r="BF233" i="48"/>
  <c r="AK233" i="48" s="1"/>
  <c r="AL233" i="48" s="1"/>
  <c r="BE233" i="48"/>
  <c r="BE925" i="48"/>
  <c r="BH925" i="48"/>
  <c r="BG925" i="48"/>
  <c r="BF925" i="48"/>
  <c r="BG639" i="48"/>
  <c r="BF639" i="48"/>
  <c r="BE639" i="48"/>
  <c r="BH639" i="48"/>
  <c r="BH1171" i="48"/>
  <c r="BE1171" i="48"/>
  <c r="BG1171" i="48"/>
  <c r="BF1171" i="48"/>
  <c r="BH1513" i="48"/>
  <c r="BE1513" i="48"/>
  <c r="BG1513" i="48"/>
  <c r="BF1513" i="48"/>
  <c r="BE1867" i="48"/>
  <c r="BH1867" i="48"/>
  <c r="BG1867" i="48"/>
  <c r="BF1867" i="48"/>
  <c r="BG695" i="48"/>
  <c r="BF695" i="48"/>
  <c r="BE695" i="48"/>
  <c r="BH695" i="48"/>
  <c r="BE651" i="48"/>
  <c r="BH651" i="48"/>
  <c r="BG651" i="48"/>
  <c r="BF651" i="48"/>
  <c r="BH1350" i="48"/>
  <c r="BG1350" i="48"/>
  <c r="BF1350" i="48"/>
  <c r="BE1350" i="48"/>
  <c r="BH1227" i="48"/>
  <c r="BG1227" i="48"/>
  <c r="BF1227" i="48"/>
  <c r="BE1227" i="48"/>
  <c r="BE1106" i="48"/>
  <c r="BH1106" i="48"/>
  <c r="BG1106" i="48"/>
  <c r="BF1106" i="48"/>
  <c r="BH1961" i="48"/>
  <c r="BG1961" i="48"/>
  <c r="BF1961" i="48"/>
  <c r="BE1961" i="48"/>
  <c r="BH1099" i="48"/>
  <c r="BG1099" i="48"/>
  <c r="BF1099" i="48"/>
  <c r="BE1099" i="48"/>
  <c r="BE958" i="48"/>
  <c r="BH958" i="48"/>
  <c r="BG958" i="48"/>
  <c r="BF958" i="48"/>
  <c r="BH583" i="48"/>
  <c r="BG583" i="48"/>
  <c r="BF583" i="48"/>
  <c r="BE583" i="48"/>
  <c r="BE1811" i="48"/>
  <c r="BG1811" i="48"/>
  <c r="BF1811" i="48"/>
  <c r="BH1811" i="48"/>
  <c r="BG1450" i="48"/>
  <c r="BF1450" i="48"/>
  <c r="BE1450" i="48"/>
  <c r="BH1450" i="48"/>
  <c r="BF2052" i="48"/>
  <c r="BE2052" i="48"/>
  <c r="BH2052" i="48"/>
  <c r="BG2052" i="48"/>
  <c r="BF738" i="48"/>
  <c r="BH738" i="48"/>
  <c r="BG738" i="48"/>
  <c r="BE738" i="48"/>
  <c r="BF1165" i="48"/>
  <c r="BE1165" i="48"/>
  <c r="BH1165" i="48"/>
  <c r="BG1165" i="48"/>
  <c r="BE1952" i="48"/>
  <c r="BH1952" i="48"/>
  <c r="BG1952" i="48"/>
  <c r="BF1952" i="48"/>
  <c r="BH1354" i="48"/>
  <c r="BG1354" i="48"/>
  <c r="BF1354" i="48"/>
  <c r="BE1354" i="48"/>
  <c r="BG1190" i="48"/>
  <c r="BF1190" i="48"/>
  <c r="BE1190" i="48"/>
  <c r="BH1190" i="48"/>
  <c r="BE1755" i="48"/>
  <c r="BH1755" i="48"/>
  <c r="BG1755" i="48"/>
  <c r="BF1755" i="48"/>
  <c r="BF807" i="48"/>
  <c r="BE807" i="48"/>
  <c r="BH807" i="48"/>
  <c r="BG807" i="48"/>
  <c r="BE410" i="48"/>
  <c r="BG410" i="48"/>
  <c r="BF410" i="48"/>
  <c r="BH410" i="48"/>
  <c r="BF282" i="48"/>
  <c r="BH282" i="48"/>
  <c r="BE282" i="48"/>
  <c r="BB282" i="48" s="1"/>
  <c r="BG282" i="48"/>
  <c r="BG156" i="48"/>
  <c r="BE156" i="48"/>
  <c r="BA156" i="48" s="1"/>
  <c r="BH156" i="48"/>
  <c r="BF156" i="48"/>
  <c r="BF504" i="48"/>
  <c r="BE504" i="48"/>
  <c r="BH504" i="48"/>
  <c r="BG504" i="48"/>
  <c r="BF249" i="48"/>
  <c r="BG249" i="48"/>
  <c r="BE249" i="48"/>
  <c r="BB249" i="48" s="1"/>
  <c r="AB249" i="48" s="1"/>
  <c r="BE509" i="48"/>
  <c r="BH509" i="48"/>
  <c r="BF509" i="48"/>
  <c r="BG509" i="48"/>
  <c r="BE1582" i="48"/>
  <c r="BH1582" i="48"/>
  <c r="BG1582" i="48"/>
  <c r="BF1582" i="48"/>
  <c r="BH1371" i="48"/>
  <c r="BG1371" i="48"/>
  <c r="BF1371" i="48"/>
  <c r="BE1371" i="48"/>
  <c r="BH1599" i="48"/>
  <c r="BF1599" i="48"/>
  <c r="BE1599" i="48"/>
  <c r="BG1599" i="48"/>
  <c r="BG1225" i="48"/>
  <c r="BF1225" i="48"/>
  <c r="BE1225" i="48"/>
  <c r="BH1225" i="48"/>
  <c r="BG814" i="48"/>
  <c r="BE814" i="48"/>
  <c r="BF814" i="48"/>
  <c r="BH814" i="48"/>
  <c r="BF1344" i="48"/>
  <c r="BE1344" i="48"/>
  <c r="BH1344" i="48"/>
  <c r="BG1344" i="48"/>
  <c r="BH1872" i="48"/>
  <c r="BE1872" i="48"/>
  <c r="BG1872" i="48"/>
  <c r="BF1872" i="48"/>
  <c r="BE957" i="48"/>
  <c r="BH957" i="48"/>
  <c r="BG957" i="48"/>
  <c r="BF957" i="48"/>
  <c r="BG776" i="48"/>
  <c r="BH776" i="48"/>
  <c r="BF776" i="48"/>
  <c r="BE776" i="48"/>
  <c r="BH902" i="48"/>
  <c r="BG902" i="48"/>
  <c r="BF902" i="48"/>
  <c r="BE902" i="48"/>
  <c r="BH1409" i="48"/>
  <c r="BF1409" i="48"/>
  <c r="BE1409" i="48"/>
  <c r="BG1409" i="48"/>
  <c r="BE917" i="48"/>
  <c r="BH917" i="48"/>
  <c r="BG917" i="48"/>
  <c r="BF917" i="48"/>
  <c r="BG686" i="48"/>
  <c r="BF686" i="48"/>
  <c r="BE686" i="48"/>
  <c r="BH686" i="48"/>
  <c r="BE2001" i="48"/>
  <c r="BG2001" i="48"/>
  <c r="BF2001" i="48"/>
  <c r="BH2001" i="48"/>
  <c r="BH1448" i="48"/>
  <c r="BG1448" i="48"/>
  <c r="BF1448" i="48"/>
  <c r="BE1448" i="48"/>
  <c r="BE1696" i="48"/>
  <c r="BH1696" i="48"/>
  <c r="BG1696" i="48"/>
  <c r="BF1696" i="48"/>
  <c r="BF635" i="48"/>
  <c r="BE635" i="48"/>
  <c r="BH635" i="48"/>
  <c r="BG635" i="48"/>
  <c r="BE706" i="48"/>
  <c r="BF706" i="48"/>
  <c r="BH706" i="48"/>
  <c r="BG706" i="48"/>
  <c r="BF1046" i="48"/>
  <c r="BE1046" i="48"/>
  <c r="BH1046" i="48"/>
  <c r="BG1046" i="48"/>
  <c r="BE809" i="48"/>
  <c r="BG809" i="48"/>
  <c r="BF809" i="48"/>
  <c r="BH809" i="48"/>
  <c r="BH798" i="48"/>
  <c r="BG798" i="48"/>
  <c r="BF798" i="48"/>
  <c r="BE798" i="48"/>
  <c r="BG456" i="48"/>
  <c r="BE456" i="48"/>
  <c r="BH456" i="48"/>
  <c r="BF456" i="48"/>
  <c r="BE199" i="48"/>
  <c r="BB199" i="48" s="1"/>
  <c r="BH199" i="48"/>
  <c r="BG199" i="48"/>
  <c r="BF199" i="48"/>
  <c r="AK199" i="48" s="1"/>
  <c r="AL199" i="48" s="1"/>
  <c r="BE412" i="48"/>
  <c r="BH412" i="48"/>
  <c r="BG412" i="48"/>
  <c r="BF412" i="48"/>
  <c r="BE342" i="48"/>
  <c r="BG342" i="48"/>
  <c r="BF342" i="48"/>
  <c r="BH342" i="48"/>
  <c r="BG334" i="48"/>
  <c r="BF334" i="48"/>
  <c r="BE334" i="48"/>
  <c r="BH334" i="48"/>
  <c r="BG450" i="48"/>
  <c r="BF450" i="48"/>
  <c r="BH450" i="48"/>
  <c r="BE450" i="48"/>
  <c r="BH545" i="48"/>
  <c r="BF545" i="48"/>
  <c r="BG545" i="48"/>
  <c r="BE545" i="48"/>
  <c r="BG2056" i="48"/>
  <c r="BF2056" i="48"/>
  <c r="BE2056" i="48"/>
  <c r="BH2056" i="48"/>
  <c r="BE77" i="48"/>
  <c r="BB77" i="48" s="1"/>
  <c r="AB77" i="48" s="1"/>
  <c r="BF77" i="48"/>
  <c r="BG77" i="48"/>
  <c r="BH1472" i="48"/>
  <c r="BG1472" i="48"/>
  <c r="BF1472" i="48"/>
  <c r="BE1472" i="48"/>
  <c r="BG1768" i="48"/>
  <c r="BF1768" i="48"/>
  <c r="BE1768" i="48"/>
  <c r="BH1768" i="48"/>
  <c r="BH1866" i="48"/>
  <c r="BG1866" i="48"/>
  <c r="BF1866" i="48"/>
  <c r="BE1866" i="48"/>
  <c r="BE617" i="48"/>
  <c r="BG617" i="48"/>
  <c r="BF617" i="48"/>
  <c r="BH617" i="48"/>
  <c r="BE993" i="48"/>
  <c r="BH993" i="48"/>
  <c r="BG993" i="48"/>
  <c r="BF993" i="48"/>
  <c r="BG2006" i="48"/>
  <c r="BF2006" i="48"/>
  <c r="BH2006" i="48"/>
  <c r="BE2006" i="48"/>
  <c r="BF932" i="48"/>
  <c r="BG932" i="48"/>
  <c r="BH932" i="48"/>
  <c r="BE932" i="48"/>
  <c r="BF1984" i="48"/>
  <c r="BG1984" i="48"/>
  <c r="BH1984" i="48"/>
  <c r="BE1984" i="48"/>
  <c r="BH1445" i="48"/>
  <c r="BG1445" i="48"/>
  <c r="BF1445" i="48"/>
  <c r="BE1445" i="48"/>
  <c r="BF1084" i="48"/>
  <c r="BG1084" i="48"/>
  <c r="BH1084" i="48"/>
  <c r="BE1084" i="48"/>
  <c r="BH1413" i="48"/>
  <c r="BG1413" i="48"/>
  <c r="BF1413" i="48"/>
  <c r="BE1413" i="48"/>
  <c r="BE1793" i="48"/>
  <c r="BH1793" i="48"/>
  <c r="BG1793" i="48"/>
  <c r="BF1793" i="48"/>
  <c r="BG614" i="48"/>
  <c r="BF614" i="48"/>
  <c r="BE614" i="48"/>
  <c r="BH614" i="48"/>
  <c r="BF863" i="48"/>
  <c r="BE863" i="48"/>
  <c r="BH863" i="48"/>
  <c r="BG863" i="48"/>
  <c r="BF944" i="48"/>
  <c r="BG944" i="48"/>
  <c r="BH944" i="48"/>
  <c r="BE944" i="48"/>
  <c r="BF1798" i="48"/>
  <c r="BE1798" i="48"/>
  <c r="BH1798" i="48"/>
  <c r="BG1798" i="48"/>
  <c r="BG2019" i="48"/>
  <c r="BF2019" i="48"/>
  <c r="BE2019" i="48"/>
  <c r="BH2019" i="48"/>
  <c r="BE273" i="48"/>
  <c r="BB273" i="48" s="1"/>
  <c r="AB273" i="48" s="1"/>
  <c r="BG273" i="48"/>
  <c r="BF273" i="48"/>
  <c r="BH371" i="48"/>
  <c r="BF371" i="48"/>
  <c r="BE371" i="48"/>
  <c r="BG371" i="48"/>
  <c r="BG392" i="48"/>
  <c r="BE392" i="48"/>
  <c r="BH392" i="48"/>
  <c r="BF392" i="48"/>
  <c r="BH201" i="48"/>
  <c r="BG201" i="48"/>
  <c r="BF201" i="48"/>
  <c r="BE201" i="48"/>
  <c r="BE753" i="48"/>
  <c r="BF753" i="48"/>
  <c r="BG753" i="48"/>
  <c r="BH753" i="48"/>
  <c r="BH755" i="48"/>
  <c r="BE755" i="48"/>
  <c r="BG755" i="48"/>
  <c r="BF755" i="48"/>
  <c r="BF615" i="48"/>
  <c r="BE615" i="48"/>
  <c r="BH615" i="48"/>
  <c r="BG615" i="48"/>
  <c r="BF1972" i="48"/>
  <c r="BG1972" i="48"/>
  <c r="BH1972" i="48"/>
  <c r="BE1972" i="48"/>
  <c r="BG1825" i="48"/>
  <c r="BF1825" i="48"/>
  <c r="BE1825" i="48"/>
  <c r="BH1825" i="48"/>
  <c r="BE894" i="48"/>
  <c r="BH894" i="48"/>
  <c r="BG894" i="48"/>
  <c r="BF894" i="48"/>
  <c r="BF1282" i="48"/>
  <c r="BE1282" i="48"/>
  <c r="BH1282" i="48"/>
  <c r="BG1282" i="48"/>
  <c r="BE1712" i="48"/>
  <c r="BH1712" i="48"/>
  <c r="BG1712" i="48"/>
  <c r="BF1712" i="48"/>
  <c r="BG1332" i="48"/>
  <c r="BF1332" i="48"/>
  <c r="BE1332" i="48"/>
  <c r="BH1332" i="48"/>
  <c r="BG1852" i="48"/>
  <c r="BF1852" i="48"/>
  <c r="BE1852" i="48"/>
  <c r="BH1852" i="48"/>
  <c r="BF1976" i="48"/>
  <c r="BG1976" i="48"/>
  <c r="BH1976" i="48"/>
  <c r="BE1976" i="48"/>
  <c r="BF559" i="48"/>
  <c r="BG559" i="48"/>
  <c r="BH559" i="48"/>
  <c r="BE559" i="48"/>
  <c r="BF1160" i="48"/>
  <c r="BG1160" i="48"/>
  <c r="BH1160" i="48"/>
  <c r="BE1160" i="48"/>
  <c r="BE590" i="48"/>
  <c r="BH590" i="48"/>
  <c r="BG590" i="48"/>
  <c r="BF590" i="48"/>
  <c r="BF1491" i="48"/>
  <c r="BE1491" i="48"/>
  <c r="BH1491" i="48"/>
  <c r="BG1491" i="48"/>
  <c r="BH1250" i="48"/>
  <c r="BG1250" i="48"/>
  <c r="BF1250" i="48"/>
  <c r="BE1250" i="48"/>
  <c r="BH604" i="48"/>
  <c r="BF604" i="48"/>
  <c r="BE604" i="48"/>
  <c r="BG604" i="48"/>
  <c r="BH1182" i="48"/>
  <c r="BF1182" i="48"/>
  <c r="BE1182" i="48"/>
  <c r="BG1182" i="48"/>
  <c r="BH2039" i="48"/>
  <c r="BG2039" i="48"/>
  <c r="BF2039" i="48"/>
  <c r="BE2039" i="48"/>
  <c r="BG826" i="48"/>
  <c r="BE826" i="48"/>
  <c r="BF826" i="48"/>
  <c r="BH826" i="48"/>
  <c r="BE672" i="48"/>
  <c r="BG672" i="48"/>
  <c r="BH672" i="48"/>
  <c r="BF672" i="48"/>
  <c r="BH687" i="48"/>
  <c r="BG687" i="48"/>
  <c r="BF687" i="48"/>
  <c r="BE687" i="48"/>
  <c r="BE1857" i="48"/>
  <c r="BH1857" i="48"/>
  <c r="BG1857" i="48"/>
  <c r="BF1857" i="48"/>
  <c r="BG97" i="48"/>
  <c r="BF97" i="48"/>
  <c r="BE97" i="48"/>
  <c r="BA97" i="48" s="1"/>
  <c r="BH97" i="48"/>
  <c r="BE169" i="48"/>
  <c r="BH169" i="48"/>
  <c r="BG169" i="48"/>
  <c r="BF169" i="48"/>
  <c r="BF344" i="48"/>
  <c r="BE344" i="48"/>
  <c r="BH344" i="48"/>
  <c r="BG344" i="48"/>
  <c r="BF72" i="48"/>
  <c r="BE72" i="48"/>
  <c r="BH72" i="48"/>
  <c r="BG72" i="48"/>
  <c r="BG104" i="48"/>
  <c r="BE104" i="48"/>
  <c r="BF104" i="48"/>
  <c r="BG218" i="48"/>
  <c r="BF218" i="48"/>
  <c r="BH218" i="48"/>
  <c r="BE218" i="48"/>
  <c r="BH517" i="48"/>
  <c r="BF517" i="48"/>
  <c r="BG517" i="48"/>
  <c r="BE517" i="48"/>
  <c r="BF377" i="48"/>
  <c r="BH377" i="48"/>
  <c r="BG377" i="48"/>
  <c r="BE377" i="48"/>
  <c r="BG82" i="48"/>
  <c r="BF82" i="48"/>
  <c r="BE82" i="48"/>
  <c r="BB82" i="48" s="1"/>
  <c r="BE445" i="48"/>
  <c r="BH445" i="48"/>
  <c r="BG445" i="48"/>
  <c r="BF445" i="48"/>
  <c r="BF332" i="48"/>
  <c r="BE332" i="48"/>
  <c r="BH332" i="48"/>
  <c r="BG332" i="48"/>
  <c r="BG1676" i="48"/>
  <c r="BF1676" i="48"/>
  <c r="BE1676" i="48"/>
  <c r="BH1676" i="48"/>
  <c r="BH1822" i="48"/>
  <c r="BF1822" i="48"/>
  <c r="BE1822" i="48"/>
  <c r="BG1822" i="48"/>
  <c r="BH1670" i="48"/>
  <c r="BG1670" i="48"/>
  <c r="BF1670" i="48"/>
  <c r="BE1670" i="48"/>
  <c r="BF1340" i="48"/>
  <c r="BE1340" i="48"/>
  <c r="BH1340" i="48"/>
  <c r="BG1340" i="48"/>
  <c r="BG1370" i="48"/>
  <c r="BF1370" i="48"/>
  <c r="BE1370" i="48"/>
  <c r="BH1370" i="48"/>
  <c r="BH1756" i="48"/>
  <c r="BG1756" i="48"/>
  <c r="BF1756" i="48"/>
  <c r="BE1756" i="48"/>
  <c r="BE1873" i="48"/>
  <c r="BH1873" i="48"/>
  <c r="BG1873" i="48"/>
  <c r="BF1873" i="48"/>
  <c r="BH1817" i="48"/>
  <c r="BG1817" i="48"/>
  <c r="BF1817" i="48"/>
  <c r="BE1817" i="48"/>
  <c r="BE1521" i="48"/>
  <c r="BG1521" i="48"/>
  <c r="BF1521" i="48"/>
  <c r="BH1521" i="48"/>
  <c r="BH1678" i="48"/>
  <c r="BF1678" i="48"/>
  <c r="BE1678" i="48"/>
  <c r="BG1678" i="48"/>
  <c r="BG1636" i="48"/>
  <c r="BF1636" i="48"/>
  <c r="BE1636" i="48"/>
  <c r="BH1636" i="48"/>
  <c r="BF1955" i="48"/>
  <c r="BE1955" i="48"/>
  <c r="BH1955" i="48"/>
  <c r="BG1955" i="48"/>
  <c r="BH1477" i="48"/>
  <c r="BG1477" i="48"/>
  <c r="BF1477" i="48"/>
  <c r="BE1477" i="48"/>
  <c r="BG1266" i="48"/>
  <c r="BF1266" i="48"/>
  <c r="BE1266" i="48"/>
  <c r="BH1266" i="48"/>
  <c r="BG792" i="48"/>
  <c r="BF792" i="48"/>
  <c r="BH792" i="48"/>
  <c r="BE792" i="48"/>
  <c r="BH1834" i="48"/>
  <c r="BG1834" i="48"/>
  <c r="BF1834" i="48"/>
  <c r="BE1834" i="48"/>
  <c r="BF1541" i="48"/>
  <c r="BE1541" i="48"/>
  <c r="BH1541" i="48"/>
  <c r="BG1541" i="48"/>
  <c r="BG1610" i="48"/>
  <c r="BF1610" i="48"/>
  <c r="BE1610" i="48"/>
  <c r="BH1610" i="48"/>
  <c r="BH1908" i="48"/>
  <c r="BE1908" i="48"/>
  <c r="BG1908" i="48"/>
  <c r="BF1908" i="48"/>
  <c r="BE586" i="48"/>
  <c r="BF586" i="48"/>
  <c r="BH586" i="48"/>
  <c r="BG586" i="48"/>
  <c r="BE2009" i="48"/>
  <c r="BH2009" i="48"/>
  <c r="BG2009" i="48"/>
  <c r="BF2009" i="48"/>
  <c r="BG1054" i="48"/>
  <c r="BF1054" i="48"/>
  <c r="BE1054" i="48"/>
  <c r="BH1054" i="48"/>
  <c r="BF1769" i="48"/>
  <c r="BH1769" i="48"/>
  <c r="BE1769" i="48"/>
  <c r="BG1769" i="48"/>
  <c r="BH595" i="48"/>
  <c r="BE595" i="48"/>
  <c r="BG595" i="48"/>
  <c r="BF595" i="48"/>
  <c r="BE581" i="48"/>
  <c r="BF581" i="48"/>
  <c r="BG581" i="48"/>
  <c r="BH581" i="48"/>
  <c r="BG1352" i="48"/>
  <c r="BF1352" i="48"/>
  <c r="BE1352" i="48"/>
  <c r="BH1352" i="48"/>
  <c r="BH1786" i="48"/>
  <c r="BG1786" i="48"/>
  <c r="BF1786" i="48"/>
  <c r="BE1786" i="48"/>
  <c r="BG1566" i="48"/>
  <c r="BF1566" i="48"/>
  <c r="BE1566" i="48"/>
  <c r="BH1566" i="48"/>
  <c r="BE829" i="48"/>
  <c r="BF829" i="48"/>
  <c r="BG829" i="48"/>
  <c r="BH829" i="48"/>
  <c r="BE1238" i="48"/>
  <c r="BH1238" i="48"/>
  <c r="BG1238" i="48"/>
  <c r="BF1238" i="48"/>
  <c r="BE1105" i="48"/>
  <c r="BH1105" i="48"/>
  <c r="BG1105" i="48"/>
  <c r="BF1105" i="48"/>
  <c r="BE1446" i="48"/>
  <c r="BH1446" i="48"/>
  <c r="BG1446" i="48"/>
  <c r="BF1446" i="48"/>
  <c r="BG622" i="48"/>
  <c r="BE622" i="48"/>
  <c r="BF622" i="48"/>
  <c r="BH622" i="48"/>
  <c r="BE1777" i="48"/>
  <c r="BH1777" i="48"/>
  <c r="BG1777" i="48"/>
  <c r="BF1777" i="48"/>
  <c r="BG662" i="48"/>
  <c r="BE662" i="48"/>
  <c r="BF662" i="48"/>
  <c r="BH662" i="48"/>
  <c r="BF1096" i="48"/>
  <c r="BG1096" i="48"/>
  <c r="BH1096" i="48"/>
  <c r="BE1096" i="48"/>
  <c r="BE2016" i="48"/>
  <c r="BF2016" i="48"/>
  <c r="BH2016" i="48"/>
  <c r="BG2016" i="48"/>
  <c r="BH966" i="48"/>
  <c r="BG966" i="48"/>
  <c r="BF966" i="48"/>
  <c r="BE966" i="48"/>
  <c r="BH403" i="48"/>
  <c r="BF403" i="48"/>
  <c r="BE403" i="48"/>
  <c r="BG403" i="48"/>
  <c r="BG220" i="48"/>
  <c r="BE220" i="48"/>
  <c r="BB220" i="48" s="1"/>
  <c r="BH220" i="48"/>
  <c r="BF220" i="48"/>
  <c r="AM220" i="48" s="1"/>
  <c r="AN220" i="48" s="1"/>
  <c r="BG130" i="48"/>
  <c r="BF130" i="48"/>
  <c r="BE130" i="48"/>
  <c r="BB130" i="48" s="1"/>
  <c r="AB130" i="48" s="1"/>
  <c r="BH300" i="48"/>
  <c r="BG300" i="48"/>
  <c r="BF300" i="48"/>
  <c r="BE300" i="48"/>
  <c r="BG114" i="48"/>
  <c r="BF114" i="48"/>
  <c r="BH114" i="48"/>
  <c r="BE114" i="48"/>
  <c r="BB114" i="48" s="1"/>
  <c r="BH736" i="48"/>
  <c r="BF736" i="48"/>
  <c r="BE736" i="48"/>
  <c r="BG736" i="48"/>
  <c r="BH1154" i="48"/>
  <c r="BG1154" i="48"/>
  <c r="BF1154" i="48"/>
  <c r="BE1154" i="48"/>
  <c r="BF1978" i="48"/>
  <c r="BE1978" i="48"/>
  <c r="BH1978" i="48"/>
  <c r="BG1978" i="48"/>
  <c r="BH1186" i="48"/>
  <c r="BG1186" i="48"/>
  <c r="BF1186" i="48"/>
  <c r="BE1186" i="48"/>
  <c r="BE1789" i="48"/>
  <c r="BH1789" i="48"/>
  <c r="BG1789" i="48"/>
  <c r="BF1789" i="48"/>
  <c r="BG1614" i="48"/>
  <c r="BF1614" i="48"/>
  <c r="BE1614" i="48"/>
  <c r="BH1614" i="48"/>
  <c r="BF1994" i="48"/>
  <c r="BE1994" i="48"/>
  <c r="BH1994" i="48"/>
  <c r="BG1994" i="48"/>
  <c r="BH780" i="48"/>
  <c r="BE780" i="48"/>
  <c r="BG780" i="48"/>
  <c r="BF780" i="48"/>
  <c r="BE1550" i="48"/>
  <c r="BH1550" i="48"/>
  <c r="BG1550" i="48"/>
  <c r="BF1550" i="48"/>
  <c r="BH1920" i="48"/>
  <c r="BG1920" i="48"/>
  <c r="BF1920" i="48"/>
  <c r="BE1920" i="48"/>
  <c r="BG1348" i="48"/>
  <c r="BF1348" i="48"/>
  <c r="BE1348" i="48"/>
  <c r="BH1348" i="48"/>
  <c r="BG1604" i="48"/>
  <c r="BF1604" i="48"/>
  <c r="BE1604" i="48"/>
  <c r="BH1604" i="48"/>
  <c r="BH1169" i="48"/>
  <c r="BG1169" i="48"/>
  <c r="BF1169" i="48"/>
  <c r="BE1169" i="48"/>
  <c r="BE1687" i="48"/>
  <c r="BH1687" i="48"/>
  <c r="BG1687" i="48"/>
  <c r="BF1687" i="48"/>
  <c r="BH1891" i="48"/>
  <c r="BG1891" i="48"/>
  <c r="BF1891" i="48"/>
  <c r="BE1891" i="48"/>
  <c r="BE841" i="48"/>
  <c r="BH841" i="48"/>
  <c r="BF841" i="48"/>
  <c r="BG841" i="48"/>
  <c r="BF643" i="48"/>
  <c r="BE643" i="48"/>
  <c r="BH643" i="48"/>
  <c r="BG643" i="48"/>
  <c r="BE1788" i="48"/>
  <c r="BH1788" i="48"/>
  <c r="BG1788" i="48"/>
  <c r="BF1788" i="48"/>
  <c r="BH668" i="48"/>
  <c r="BF668" i="48"/>
  <c r="BE668" i="48"/>
  <c r="BG668" i="48"/>
  <c r="BF539" i="48"/>
  <c r="BG539" i="48"/>
  <c r="BH539" i="48"/>
  <c r="BE539" i="48"/>
  <c r="BF260" i="48"/>
  <c r="AK260" i="48" s="1"/>
  <c r="AL260" i="48" s="1"/>
  <c r="BG260" i="48"/>
  <c r="BE260" i="48"/>
  <c r="BF132" i="48"/>
  <c r="BG132" i="48"/>
  <c r="BE132" i="48"/>
  <c r="BF196" i="48"/>
  <c r="BG196" i="48"/>
  <c r="BE196" i="48"/>
  <c r="BB196" i="48" s="1"/>
  <c r="AB196" i="48" s="1"/>
  <c r="BH331" i="48"/>
  <c r="BF331" i="48"/>
  <c r="BE331" i="48"/>
  <c r="BG331" i="48"/>
  <c r="BF171" i="48"/>
  <c r="BE171" i="48"/>
  <c r="BG171" i="48"/>
  <c r="BH526" i="48"/>
  <c r="BG526" i="48"/>
  <c r="BF526" i="48"/>
  <c r="BE526" i="48"/>
  <c r="BH287" i="48"/>
  <c r="BG287" i="48"/>
  <c r="BF287" i="48"/>
  <c r="BE287" i="48"/>
  <c r="BE505" i="48"/>
  <c r="BH505" i="48"/>
  <c r="BF505" i="48"/>
  <c r="BG505" i="48"/>
  <c r="BH322" i="48"/>
  <c r="BG322" i="48"/>
  <c r="BF322" i="48"/>
  <c r="BE322" i="48"/>
  <c r="BH1900" i="48"/>
  <c r="BF1900" i="48"/>
  <c r="BE1900" i="48"/>
  <c r="BG1900" i="48"/>
  <c r="BE693" i="48"/>
  <c r="BG693" i="48"/>
  <c r="BF693" i="48"/>
  <c r="BH693" i="48"/>
  <c r="BH730" i="48"/>
  <c r="BG730" i="48"/>
  <c r="BE730" i="48"/>
  <c r="BF730" i="48"/>
  <c r="BG1967" i="48"/>
  <c r="BF1967" i="48"/>
  <c r="BE1967" i="48"/>
  <c r="BH1967" i="48"/>
  <c r="BG1204" i="48"/>
  <c r="BF1204" i="48"/>
  <c r="BE1204" i="48"/>
  <c r="BH1204" i="48"/>
  <c r="BH800" i="48"/>
  <c r="BG800" i="48"/>
  <c r="BF800" i="48"/>
  <c r="BE800" i="48"/>
  <c r="BH1912" i="48"/>
  <c r="BE1912" i="48"/>
  <c r="BG1912" i="48"/>
  <c r="BF1912" i="48"/>
  <c r="BE945" i="48"/>
  <c r="BH945" i="48"/>
  <c r="BG945" i="48"/>
  <c r="BF945" i="48"/>
  <c r="BE1237" i="48"/>
  <c r="BH1237" i="48"/>
  <c r="BG1237" i="48"/>
  <c r="BF1237" i="48"/>
  <c r="BH1359" i="48"/>
  <c r="BG1359" i="48"/>
  <c r="BF1359" i="48"/>
  <c r="BE1359" i="48"/>
  <c r="BF1782" i="48"/>
  <c r="BE1782" i="48"/>
  <c r="BH1782" i="48"/>
  <c r="BG1782" i="48"/>
  <c r="BH1211" i="48"/>
  <c r="BF1211" i="48"/>
  <c r="BE1211" i="48"/>
  <c r="BG1211" i="48"/>
  <c r="BH632" i="48"/>
  <c r="BF632" i="48"/>
  <c r="BE632" i="48"/>
  <c r="BG632" i="48"/>
  <c r="BE691" i="48"/>
  <c r="BG691" i="48"/>
  <c r="BF691" i="48"/>
  <c r="BH691" i="48"/>
  <c r="BH1018" i="48"/>
  <c r="BG1018" i="48"/>
  <c r="BF1018" i="48"/>
  <c r="BE1018" i="48"/>
  <c r="BH1999" i="48"/>
  <c r="BG1999" i="48"/>
  <c r="BF1999" i="48"/>
  <c r="BE1999" i="48"/>
  <c r="BE1795" i="48"/>
  <c r="BH1795" i="48"/>
  <c r="BG1795" i="48"/>
  <c r="BF1795" i="48"/>
  <c r="BE875" i="48"/>
  <c r="BH875" i="48"/>
  <c r="BG875" i="48"/>
  <c r="BF875" i="48"/>
  <c r="BF1526" i="48"/>
  <c r="BH1526" i="48"/>
  <c r="BE1526" i="48"/>
  <c r="BG1526" i="48"/>
  <c r="BH1468" i="48"/>
  <c r="BG1468" i="48"/>
  <c r="BF1468" i="48"/>
  <c r="BE1468" i="48"/>
  <c r="BH1731" i="48"/>
  <c r="BG1731" i="48"/>
  <c r="BF1731" i="48"/>
  <c r="BE1731" i="48"/>
  <c r="BF1104" i="48"/>
  <c r="BG1104" i="48"/>
  <c r="BH1104" i="48"/>
  <c r="BE1104" i="48"/>
  <c r="BE1082" i="48"/>
  <c r="BH1082" i="48"/>
  <c r="BG1082" i="48"/>
  <c r="BF1082" i="48"/>
  <c r="BH660" i="48"/>
  <c r="BG660" i="48"/>
  <c r="BF660" i="48"/>
  <c r="BE660" i="48"/>
  <c r="BF1544" i="48"/>
  <c r="BE1544" i="48"/>
  <c r="BH1544" i="48"/>
  <c r="BG1544" i="48"/>
  <c r="BE1837" i="48"/>
  <c r="BH1837" i="48"/>
  <c r="BG1837" i="48"/>
  <c r="BF1837" i="48"/>
  <c r="BG1304" i="48"/>
  <c r="BF1304" i="48"/>
  <c r="BE1304" i="48"/>
  <c r="BH1304" i="48"/>
  <c r="BH1639" i="48"/>
  <c r="BG1639" i="48"/>
  <c r="BF1639" i="48"/>
  <c r="BE1639" i="48"/>
  <c r="BG1438" i="48"/>
  <c r="BF1438" i="48"/>
  <c r="BE1438" i="48"/>
  <c r="BH1438" i="48"/>
  <c r="BE605" i="48"/>
  <c r="BG605" i="48"/>
  <c r="BF605" i="48"/>
  <c r="BH605" i="48"/>
  <c r="BG735" i="48"/>
  <c r="BF735" i="48"/>
  <c r="BE735" i="48"/>
  <c r="BH735" i="48"/>
  <c r="BG970" i="48"/>
  <c r="BF970" i="48"/>
  <c r="BE970" i="48"/>
  <c r="BH970" i="48"/>
  <c r="BH659" i="48"/>
  <c r="BE659" i="48"/>
  <c r="BG659" i="48"/>
  <c r="BF659" i="48"/>
  <c r="BG1196" i="48"/>
  <c r="BF1196" i="48"/>
  <c r="BE1196" i="48"/>
  <c r="BH1196" i="48"/>
  <c r="BE416" i="48"/>
  <c r="BH416" i="48"/>
  <c r="BG416" i="48"/>
  <c r="BF416" i="48"/>
  <c r="BF395" i="48"/>
  <c r="BE395" i="48"/>
  <c r="BG395" i="48"/>
  <c r="BH395" i="48"/>
  <c r="BH542" i="48"/>
  <c r="BE542" i="48"/>
  <c r="BG542" i="48"/>
  <c r="BF542" i="48"/>
  <c r="BF356" i="48"/>
  <c r="BG356" i="48"/>
  <c r="BE356" i="48"/>
  <c r="BH356" i="48"/>
  <c r="BE368" i="48"/>
  <c r="BH368" i="48"/>
  <c r="BG368" i="48"/>
  <c r="BF368" i="48"/>
  <c r="BG431" i="48"/>
  <c r="BH431" i="48"/>
  <c r="BF431" i="48"/>
  <c r="BE431" i="48"/>
  <c r="BE294" i="48"/>
  <c r="BB294" i="48" s="1"/>
  <c r="BG294" i="48"/>
  <c r="BF294" i="48"/>
  <c r="BH294" i="48"/>
  <c r="BE1681" i="48"/>
  <c r="BG1681" i="48"/>
  <c r="BF1681" i="48"/>
  <c r="BH1681" i="48"/>
  <c r="BE1905" i="48"/>
  <c r="BF1905" i="48"/>
  <c r="BG1905" i="48"/>
  <c r="BH1905" i="48"/>
  <c r="BE1797" i="48"/>
  <c r="BH1797" i="48"/>
  <c r="BG1797" i="48"/>
  <c r="BF1797" i="48"/>
  <c r="BF1625" i="48"/>
  <c r="BE1625" i="48"/>
  <c r="BH1625" i="48"/>
  <c r="BG1625" i="48"/>
  <c r="BG783" i="48"/>
  <c r="BF783" i="48"/>
  <c r="BE783" i="48"/>
  <c r="BH783" i="48"/>
  <c r="BG1389" i="48"/>
  <c r="BF1389" i="48"/>
  <c r="BE1389" i="48"/>
  <c r="BH1389" i="48"/>
  <c r="BH1862" i="48"/>
  <c r="BG1862" i="48"/>
  <c r="BF1862" i="48"/>
  <c r="BE1862" i="48"/>
  <c r="BE1033" i="48"/>
  <c r="BH1033" i="48"/>
  <c r="BG1033" i="48"/>
  <c r="BF1033" i="48"/>
  <c r="BH740" i="48"/>
  <c r="BF740" i="48"/>
  <c r="BE740" i="48"/>
  <c r="BG740" i="48"/>
  <c r="BF1546" i="48"/>
  <c r="BE1546" i="48"/>
  <c r="BH1546" i="48"/>
  <c r="BG1546" i="48"/>
  <c r="BH1615" i="48"/>
  <c r="BG1615" i="48"/>
  <c r="BF1615" i="48"/>
  <c r="BE1615" i="48"/>
  <c r="BH1351" i="48"/>
  <c r="BG1351" i="48"/>
  <c r="BF1351" i="48"/>
  <c r="BE1351" i="48"/>
  <c r="BE789" i="48"/>
  <c r="BG789" i="48"/>
  <c r="BF789" i="48"/>
  <c r="BH789" i="48"/>
  <c r="BF1996" i="48"/>
  <c r="BG1996" i="48"/>
  <c r="BH1996" i="48"/>
  <c r="BE1996" i="48"/>
  <c r="BE1133" i="48"/>
  <c r="BH1133" i="48"/>
  <c r="BG1133" i="48"/>
  <c r="BF1133" i="48"/>
  <c r="BF1581" i="48"/>
  <c r="BE1581" i="48"/>
  <c r="BH1581" i="48"/>
  <c r="BG1581" i="48"/>
  <c r="BE1021" i="48"/>
  <c r="BH1021" i="48"/>
  <c r="BG1021" i="48"/>
  <c r="BF1021" i="48"/>
  <c r="BF1148" i="48"/>
  <c r="BG1148" i="48"/>
  <c r="BH1148" i="48"/>
  <c r="BE1148" i="48"/>
  <c r="BG1220" i="48"/>
  <c r="BF1220" i="48"/>
  <c r="BE1220" i="48"/>
  <c r="BH1220" i="48"/>
  <c r="BG1385" i="48"/>
  <c r="BF1385" i="48"/>
  <c r="BE1385" i="48"/>
  <c r="BH1385" i="48"/>
  <c r="BE1205" i="48"/>
  <c r="BH1205" i="48"/>
  <c r="BG1205" i="48"/>
  <c r="BF1205" i="48"/>
  <c r="BH1079" i="48"/>
  <c r="BG1079" i="48"/>
  <c r="BF1079" i="48"/>
  <c r="BE1079" i="48"/>
  <c r="BF1044" i="48"/>
  <c r="BG1044" i="48"/>
  <c r="BE1044" i="48"/>
  <c r="BH1044" i="48"/>
  <c r="BE1145" i="48"/>
  <c r="BH1145" i="48"/>
  <c r="BG1145" i="48"/>
  <c r="BF1145" i="48"/>
  <c r="BF1621" i="48"/>
  <c r="BE1621" i="48"/>
  <c r="BH1621" i="48"/>
  <c r="BG1621" i="48"/>
  <c r="BG1510" i="48"/>
  <c r="BF1510" i="48"/>
  <c r="BE1510" i="48"/>
  <c r="BH1510" i="48"/>
  <c r="BF1557" i="48"/>
  <c r="BE1557" i="48"/>
  <c r="BH1557" i="48"/>
  <c r="BG1557" i="48"/>
  <c r="BE785" i="48"/>
  <c r="BF785" i="48"/>
  <c r="BG785" i="48"/>
  <c r="BH785" i="48"/>
  <c r="BG1478" i="48"/>
  <c r="BF1478" i="48"/>
  <c r="BE1478" i="48"/>
  <c r="BH1478" i="48"/>
  <c r="BF699" i="48"/>
  <c r="BE699" i="48"/>
  <c r="BH699" i="48"/>
  <c r="BG699" i="48"/>
  <c r="BF62" i="48"/>
  <c r="BE62" i="48"/>
  <c r="BH62" i="48"/>
  <c r="BG62" i="48"/>
  <c r="BF292" i="48"/>
  <c r="AM292" i="48" s="1"/>
  <c r="AN292" i="48" s="1"/>
  <c r="BG292" i="48"/>
  <c r="BE292" i="48"/>
  <c r="BH292" i="48"/>
  <c r="BE147" i="48"/>
  <c r="BG147" i="48"/>
  <c r="BF147" i="48"/>
  <c r="BE437" i="48"/>
  <c r="BF437" i="48"/>
  <c r="BH437" i="48"/>
  <c r="BG437" i="48"/>
  <c r="BH313" i="48"/>
  <c r="BG313" i="48"/>
  <c r="BF313" i="48"/>
  <c r="BE313" i="48"/>
  <c r="BE160" i="48"/>
  <c r="BB160" i="48" s="1"/>
  <c r="BH160" i="48"/>
  <c r="BG160" i="48"/>
  <c r="BF160" i="48"/>
  <c r="BH508" i="48"/>
  <c r="BF508" i="48"/>
  <c r="BE508" i="48"/>
  <c r="BG508" i="48"/>
  <c r="BE183" i="48"/>
  <c r="BB183" i="48" s="1"/>
  <c r="AB183" i="48" s="1"/>
  <c r="BG183" i="48"/>
  <c r="BF183" i="48"/>
  <c r="BF2017" i="48"/>
  <c r="BE2017" i="48"/>
  <c r="BH2017" i="48"/>
  <c r="BG2017" i="48"/>
  <c r="BF1197" i="48"/>
  <c r="BE1197" i="48"/>
  <c r="BH1197" i="48"/>
  <c r="BG1197" i="48"/>
  <c r="BH1595" i="48"/>
  <c r="BG1595" i="48"/>
  <c r="BF1595" i="48"/>
  <c r="BE1595" i="48"/>
  <c r="BG1943" i="48"/>
  <c r="BF1943" i="48"/>
  <c r="BE1943" i="48"/>
  <c r="BH1943" i="48"/>
  <c r="BF1963" i="48"/>
  <c r="BE1963" i="48"/>
  <c r="BH1963" i="48"/>
  <c r="BG1963" i="48"/>
  <c r="BH1421" i="48"/>
  <c r="BG1421" i="48"/>
  <c r="BF1421" i="48"/>
  <c r="BE1421" i="48"/>
  <c r="BE1101" i="48"/>
  <c r="BH1101" i="48"/>
  <c r="BG1101" i="48"/>
  <c r="BF1101" i="48"/>
  <c r="BF1411" i="48"/>
  <c r="BE1411" i="48"/>
  <c r="BH1411" i="48"/>
  <c r="BG1411" i="48"/>
  <c r="BF1064" i="48"/>
  <c r="BG1064" i="48"/>
  <c r="BH1064" i="48"/>
  <c r="BE1064" i="48"/>
  <c r="BF1528" i="48"/>
  <c r="BE1528" i="48"/>
  <c r="BH1528" i="48"/>
  <c r="BG1528" i="48"/>
  <c r="BG1207" i="48"/>
  <c r="BF1207" i="48"/>
  <c r="BE1207" i="48"/>
  <c r="BH1207" i="48"/>
  <c r="BE1353" i="48"/>
  <c r="BF1353" i="48"/>
  <c r="BG1353" i="48"/>
  <c r="BH1353" i="48"/>
  <c r="BH1792" i="48"/>
  <c r="BG1792" i="48"/>
  <c r="BF1792" i="48"/>
  <c r="BE1792" i="48"/>
  <c r="BG1422" i="48"/>
  <c r="BF1422" i="48"/>
  <c r="BE1422" i="48"/>
  <c r="BH1422" i="48"/>
  <c r="BF1382" i="48"/>
  <c r="BE1382" i="48"/>
  <c r="BH1382" i="48"/>
  <c r="BG1382" i="48"/>
  <c r="BH764" i="48"/>
  <c r="BE764" i="48"/>
  <c r="BG764" i="48"/>
  <c r="BF764" i="48"/>
  <c r="BH2047" i="48"/>
  <c r="BG2047" i="48"/>
  <c r="BF2047" i="48"/>
  <c r="BE2047" i="48"/>
  <c r="BH305" i="48"/>
  <c r="BG305" i="48"/>
  <c r="BF305" i="48"/>
  <c r="BE305" i="48"/>
  <c r="BF459" i="48"/>
  <c r="BE459" i="48"/>
  <c r="BG459" i="48"/>
  <c r="BH459" i="48"/>
  <c r="BH492" i="48"/>
  <c r="BF492" i="48"/>
  <c r="BE492" i="48"/>
  <c r="BG492" i="48"/>
  <c r="BG524" i="48"/>
  <c r="BF524" i="48"/>
  <c r="BE524" i="48"/>
  <c r="BH524" i="48"/>
  <c r="BE825" i="48"/>
  <c r="BG825" i="48"/>
  <c r="BF825" i="48"/>
  <c r="BH825" i="48"/>
  <c r="BE2010" i="48"/>
  <c r="BG2010" i="48"/>
  <c r="BF2010" i="48"/>
  <c r="BH2010" i="48"/>
  <c r="BG1215" i="48"/>
  <c r="BF1215" i="48"/>
  <c r="BE1215" i="48"/>
  <c r="BH1215" i="48"/>
  <c r="BG1644" i="48"/>
  <c r="BF1644" i="48"/>
  <c r="BE1644" i="48"/>
  <c r="BH1644" i="48"/>
  <c r="BE989" i="48"/>
  <c r="BH989" i="48"/>
  <c r="BG989" i="48"/>
  <c r="BF989" i="48"/>
  <c r="BH1436" i="48"/>
  <c r="BG1436" i="48"/>
  <c r="BF1436" i="48"/>
  <c r="BE1436" i="48"/>
  <c r="BH652" i="48"/>
  <c r="BF652" i="48"/>
  <c r="BE652" i="48"/>
  <c r="BG652" i="48"/>
  <c r="BH899" i="48"/>
  <c r="BE899" i="48"/>
  <c r="BG899" i="48"/>
  <c r="BF899" i="48"/>
  <c r="BF1589" i="48"/>
  <c r="BE1589" i="48"/>
  <c r="BH1589" i="48"/>
  <c r="BG1589" i="48"/>
  <c r="BF919" i="48"/>
  <c r="BE919" i="48"/>
  <c r="BH919" i="48"/>
  <c r="BG919" i="48"/>
  <c r="BF627" i="48"/>
  <c r="BH627" i="48"/>
  <c r="BE627" i="48"/>
  <c r="BG627" i="48"/>
  <c r="BH832" i="48"/>
  <c r="BF832" i="48"/>
  <c r="BE832" i="48"/>
  <c r="BG832" i="48"/>
  <c r="BH1424" i="48"/>
  <c r="BG1424" i="48"/>
  <c r="BF1424" i="48"/>
  <c r="BE1424" i="48"/>
  <c r="BF871" i="48"/>
  <c r="BH871" i="48"/>
  <c r="BE871" i="48"/>
  <c r="BG871" i="48"/>
  <c r="BH1155" i="48"/>
  <c r="BG1155" i="48"/>
  <c r="BF1155" i="48"/>
  <c r="BE1155" i="48"/>
  <c r="BE1747" i="48"/>
  <c r="BH1747" i="48"/>
  <c r="BG1747" i="48"/>
  <c r="BF1747" i="48"/>
  <c r="BG1640" i="48"/>
  <c r="BF1640" i="48"/>
  <c r="BE1640" i="48"/>
  <c r="BH1640" i="48"/>
  <c r="BG890" i="48"/>
  <c r="BF890" i="48"/>
  <c r="BE890" i="48"/>
  <c r="BH890" i="48"/>
  <c r="BF1417" i="48"/>
  <c r="BE1417" i="48"/>
  <c r="BH1417" i="48"/>
  <c r="BG1417" i="48"/>
  <c r="BG1256" i="48"/>
  <c r="BF1256" i="48"/>
  <c r="BE1256" i="48"/>
  <c r="BH1256" i="48"/>
  <c r="BF1431" i="48"/>
  <c r="BE1431" i="48"/>
  <c r="BH1431" i="48"/>
  <c r="BG1431" i="48"/>
  <c r="BH1335" i="48"/>
  <c r="BG1335" i="48"/>
  <c r="BF1335" i="48"/>
  <c r="BE1335" i="48"/>
  <c r="BH2054" i="48"/>
  <c r="BF2054" i="48"/>
  <c r="BE2054" i="48"/>
  <c r="BG2054" i="48"/>
  <c r="BE762" i="48"/>
  <c r="BF762" i="48"/>
  <c r="BH762" i="48"/>
  <c r="BG762" i="48"/>
  <c r="BE415" i="48"/>
  <c r="BG415" i="48"/>
  <c r="BF415" i="48"/>
  <c r="BH415" i="48"/>
  <c r="BG370" i="48"/>
  <c r="BF370" i="48"/>
  <c r="BE370" i="48"/>
  <c r="BH370" i="48"/>
  <c r="BH107" i="48"/>
  <c r="BG107" i="48"/>
  <c r="BE107" i="48"/>
  <c r="BF107" i="48"/>
  <c r="BH295" i="48"/>
  <c r="BG295" i="48"/>
  <c r="BF295" i="48"/>
  <c r="AM295" i="48" s="1"/>
  <c r="AN295" i="48" s="1"/>
  <c r="BE295" i="48"/>
  <c r="BB295" i="48" s="1"/>
  <c r="BH518" i="48"/>
  <c r="BG518" i="48"/>
  <c r="BE518" i="48"/>
  <c r="BF518" i="48"/>
  <c r="BE106" i="48"/>
  <c r="BG106" i="48"/>
  <c r="BF106" i="48"/>
  <c r="AM106" i="48" s="1"/>
  <c r="AN106" i="48" s="1"/>
  <c r="BE224" i="48"/>
  <c r="BH224" i="48"/>
  <c r="BG224" i="48"/>
  <c r="BF224" i="48"/>
  <c r="AM224" i="48" s="1"/>
  <c r="AN224" i="48" s="1"/>
  <c r="BF411" i="48"/>
  <c r="BE411" i="48"/>
  <c r="BH411" i="48"/>
  <c r="BG411" i="48"/>
  <c r="BG145" i="48"/>
  <c r="BF145" i="48"/>
  <c r="BE145" i="48"/>
  <c r="BF388" i="48"/>
  <c r="BG388" i="48"/>
  <c r="BE388" i="48"/>
  <c r="BH388" i="48"/>
  <c r="BF484" i="48"/>
  <c r="BG484" i="48"/>
  <c r="BE484" i="48"/>
  <c r="BH484" i="48"/>
  <c r="BF164" i="48"/>
  <c r="AK164" i="48" s="1"/>
  <c r="AL164" i="48" s="1"/>
  <c r="BG164" i="48"/>
  <c r="BE164" i="48"/>
  <c r="BH94" i="48"/>
  <c r="BG94" i="48"/>
  <c r="BF94" i="48"/>
  <c r="BE94" i="48"/>
  <c r="BG1683" i="48"/>
  <c r="BF1683" i="48"/>
  <c r="BE1683" i="48"/>
  <c r="BH1683" i="48"/>
  <c r="BF1366" i="48"/>
  <c r="BE1366" i="48"/>
  <c r="BH1366" i="48"/>
  <c r="BG1366" i="48"/>
  <c r="BF1539" i="48"/>
  <c r="BH1539" i="48"/>
  <c r="BE1539" i="48"/>
  <c r="BG1539" i="48"/>
  <c r="BE760" i="48"/>
  <c r="BG760" i="48"/>
  <c r="BH760" i="48"/>
  <c r="BF760" i="48"/>
  <c r="BE1001" i="48"/>
  <c r="BH1001" i="48"/>
  <c r="BG1001" i="48"/>
  <c r="BF1001" i="48"/>
  <c r="BE626" i="48"/>
  <c r="BF626" i="48"/>
  <c r="BH626" i="48"/>
  <c r="BG626" i="48"/>
  <c r="BE621" i="48"/>
  <c r="BF621" i="48"/>
  <c r="BG621" i="48"/>
  <c r="BH621" i="48"/>
  <c r="BE665" i="48"/>
  <c r="BG665" i="48"/>
  <c r="BF665" i="48"/>
  <c r="BH665" i="48"/>
  <c r="BG1691" i="48"/>
  <c r="BF1691" i="48"/>
  <c r="BE1691" i="48"/>
  <c r="BH1691" i="48"/>
  <c r="BH1818" i="48"/>
  <c r="BG1818" i="48"/>
  <c r="BF1818" i="48"/>
  <c r="BE1818" i="48"/>
  <c r="BE1935" i="48"/>
  <c r="BG1935" i="48"/>
  <c r="BH1935" i="48"/>
  <c r="BF1935" i="48"/>
  <c r="BG938" i="48"/>
  <c r="BF938" i="48"/>
  <c r="BE938" i="48"/>
  <c r="BH938" i="48"/>
  <c r="BF1068" i="48"/>
  <c r="BG1068" i="48"/>
  <c r="BH1068" i="48"/>
  <c r="BE1068" i="48"/>
  <c r="BH1322" i="48"/>
  <c r="BG1322" i="48"/>
  <c r="BF1322" i="48"/>
  <c r="BE1322" i="48"/>
  <c r="BH1806" i="48"/>
  <c r="BE1806" i="48"/>
  <c r="BG1806" i="48"/>
  <c r="BF1806" i="48"/>
  <c r="BG948" i="48"/>
  <c r="BF948" i="48"/>
  <c r="BH948" i="48"/>
  <c r="BE948" i="48"/>
  <c r="BF1141" i="48"/>
  <c r="BE1141" i="48"/>
  <c r="BH1141" i="48"/>
  <c r="BG1141" i="48"/>
  <c r="BG1498" i="48"/>
  <c r="BF1498" i="48"/>
  <c r="BE1498" i="48"/>
  <c r="BH1498" i="48"/>
  <c r="BH1802" i="48"/>
  <c r="BE1802" i="48"/>
  <c r="BG1802" i="48"/>
  <c r="BF1802" i="48"/>
  <c r="BF1277" i="48"/>
  <c r="BE1277" i="48"/>
  <c r="BH1277" i="48"/>
  <c r="BG1277" i="48"/>
  <c r="BF1013" i="48"/>
  <c r="BE1013" i="48"/>
  <c r="BH1013" i="48"/>
  <c r="BG1013" i="48"/>
  <c r="BH1267" i="48"/>
  <c r="BE1267" i="48"/>
  <c r="BG1267" i="48"/>
  <c r="BF1267" i="48"/>
  <c r="BE1865" i="48"/>
  <c r="BH1865" i="48"/>
  <c r="BG1865" i="48"/>
  <c r="BF1865" i="48"/>
  <c r="BG1838" i="48"/>
  <c r="BF1838" i="48"/>
  <c r="BE1838" i="48"/>
  <c r="BH1838" i="48"/>
  <c r="BH684" i="48"/>
  <c r="BF684" i="48"/>
  <c r="BE684" i="48"/>
  <c r="BG684" i="48"/>
  <c r="BG2053" i="48"/>
  <c r="BF2053" i="48"/>
  <c r="BE2053" i="48"/>
  <c r="BH2053" i="48"/>
  <c r="BG1854" i="48"/>
  <c r="BF1854" i="48"/>
  <c r="BE1854" i="48"/>
  <c r="BH1854" i="48"/>
  <c r="BG347" i="48"/>
  <c r="BH347" i="48"/>
  <c r="BF347" i="48"/>
  <c r="BE347" i="48"/>
  <c r="BE74" i="48"/>
  <c r="BG74" i="48"/>
  <c r="BF74" i="48"/>
  <c r="BH74" i="48"/>
  <c r="BE352" i="48"/>
  <c r="BH352" i="48"/>
  <c r="BG352" i="48"/>
  <c r="BF352" i="48"/>
  <c r="BF241" i="48"/>
  <c r="BG241" i="48"/>
  <c r="BE241" i="48"/>
  <c r="BG71" i="48"/>
  <c r="BF71" i="48"/>
  <c r="BE71" i="48"/>
  <c r="BB71" i="48" s="1"/>
  <c r="BH71" i="48"/>
  <c r="BG110" i="48"/>
  <c r="BF110" i="48"/>
  <c r="BE110" i="48"/>
  <c r="BB110" i="48" s="1"/>
  <c r="BG514" i="48"/>
  <c r="BE514" i="48"/>
  <c r="BH514" i="48"/>
  <c r="BF514" i="48"/>
  <c r="BF420" i="48"/>
  <c r="BG420" i="48"/>
  <c r="BE420" i="48"/>
  <c r="BH420" i="48"/>
  <c r="BE406" i="48"/>
  <c r="BG406" i="48"/>
  <c r="BF406" i="48"/>
  <c r="BH406" i="48"/>
  <c r="BF1157" i="48"/>
  <c r="BE1157" i="48"/>
  <c r="BH1157" i="48"/>
  <c r="BG1157" i="48"/>
  <c r="BH1243" i="48"/>
  <c r="BF1243" i="48"/>
  <c r="BE1243" i="48"/>
  <c r="BG1243" i="48"/>
  <c r="BE1752" i="48"/>
  <c r="BH1752" i="48"/>
  <c r="BG1752" i="48"/>
  <c r="BF1752" i="48"/>
  <c r="BE1520" i="48"/>
  <c r="BH1520" i="48"/>
  <c r="BG1520" i="48"/>
  <c r="BF1520" i="48"/>
  <c r="BH1571" i="48"/>
  <c r="BG1571" i="48"/>
  <c r="BF1571" i="48"/>
  <c r="BE1571" i="48"/>
  <c r="BH935" i="48"/>
  <c r="BG935" i="48"/>
  <c r="BF935" i="48"/>
  <c r="BE935" i="48"/>
  <c r="BF1597" i="48"/>
  <c r="BE1597" i="48"/>
  <c r="BH1597" i="48"/>
  <c r="BG1597" i="48"/>
  <c r="BG1188" i="48"/>
  <c r="BF1188" i="48"/>
  <c r="BE1188" i="48"/>
  <c r="BH1188" i="48"/>
  <c r="BH1880" i="48"/>
  <c r="BG1880" i="48"/>
  <c r="BF1880" i="48"/>
  <c r="BE1880" i="48"/>
  <c r="BG1303" i="48"/>
  <c r="BF1303" i="48"/>
  <c r="BE1303" i="48"/>
  <c r="BH1303" i="48"/>
  <c r="BH1686" i="48"/>
  <c r="BG1686" i="48"/>
  <c r="BF1686" i="48"/>
  <c r="BE1686" i="48"/>
  <c r="BG640" i="48"/>
  <c r="BF640" i="48"/>
  <c r="BH640" i="48"/>
  <c r="BE640" i="48"/>
  <c r="BH1948" i="48"/>
  <c r="BG1948" i="48"/>
  <c r="BF1948" i="48"/>
  <c r="BE1948" i="48"/>
  <c r="BG1396" i="48"/>
  <c r="BF1396" i="48"/>
  <c r="BH1396" i="48"/>
  <c r="BE1396" i="48"/>
  <c r="BE858" i="48"/>
  <c r="BF858" i="48"/>
  <c r="BH858" i="48"/>
  <c r="BG858" i="48"/>
  <c r="BE1345" i="48"/>
  <c r="BF1345" i="48"/>
  <c r="BG1345" i="48"/>
  <c r="BH1345" i="48"/>
  <c r="BG1569" i="48"/>
  <c r="BF1569" i="48"/>
  <c r="BE1569" i="48"/>
  <c r="BH1569" i="48"/>
  <c r="BE709" i="48"/>
  <c r="BG709" i="48"/>
  <c r="BF709" i="48"/>
  <c r="BH709" i="48"/>
  <c r="BG266" i="48"/>
  <c r="BF266" i="48"/>
  <c r="BE266" i="48"/>
  <c r="BG434" i="48"/>
  <c r="BF434" i="48"/>
  <c r="BH434" i="48"/>
  <c r="BE434" i="48"/>
  <c r="BG373" i="48"/>
  <c r="BE373" i="48"/>
  <c r="BF373" i="48"/>
  <c r="BH373" i="48"/>
  <c r="BE379" i="48"/>
  <c r="BG379" i="48"/>
  <c r="BF379" i="48"/>
  <c r="BH379" i="48"/>
  <c r="BE144" i="48"/>
  <c r="BB144" i="48" s="1"/>
  <c r="AB144" i="48" s="1"/>
  <c r="BG144" i="48"/>
  <c r="BF144" i="48"/>
  <c r="BH433" i="48"/>
  <c r="BG433" i="48"/>
  <c r="BF433" i="48"/>
  <c r="BE433" i="48"/>
  <c r="BE401" i="48"/>
  <c r="BH401" i="48"/>
  <c r="BG401" i="48"/>
  <c r="BF401" i="48"/>
  <c r="BE432" i="48"/>
  <c r="BH432" i="48"/>
  <c r="BG432" i="48"/>
  <c r="BF432" i="48"/>
  <c r="BG58" i="48"/>
  <c r="BF58" i="48"/>
  <c r="BH58" i="48"/>
  <c r="BE58" i="48"/>
  <c r="BF155" i="48"/>
  <c r="BE155" i="48"/>
  <c r="BG155" i="48"/>
  <c r="BH155" i="48"/>
  <c r="BG158" i="48"/>
  <c r="BF158" i="48"/>
  <c r="AM158" i="48" s="1"/>
  <c r="AN158" i="48" s="1"/>
  <c r="BE158" i="48"/>
  <c r="BB158" i="48" s="1"/>
  <c r="BH158" i="48"/>
  <c r="BF276" i="48"/>
  <c r="BG276" i="48"/>
  <c r="BE276" i="48"/>
  <c r="BH276" i="48"/>
  <c r="BH215" i="48"/>
  <c r="BF215" i="48"/>
  <c r="AM215" i="48" s="1"/>
  <c r="AN215" i="48" s="1"/>
  <c r="BG215" i="48"/>
  <c r="BE215" i="48"/>
  <c r="BF441" i="48"/>
  <c r="BH441" i="48"/>
  <c r="BG441" i="48"/>
  <c r="BE441" i="48"/>
  <c r="BE208" i="48"/>
  <c r="BB208" i="48" s="1"/>
  <c r="BH208" i="48"/>
  <c r="BG208" i="48"/>
  <c r="BF208" i="48"/>
  <c r="BE263" i="48"/>
  <c r="BA263" i="48" s="1"/>
  <c r="BG263" i="48"/>
  <c r="BF263" i="48"/>
  <c r="BH1531" i="48"/>
  <c r="BG1531" i="48"/>
  <c r="BF1531" i="48"/>
  <c r="BE1531" i="48"/>
  <c r="BF975" i="48"/>
  <c r="BE975" i="48"/>
  <c r="BH975" i="48"/>
  <c r="BG975" i="48"/>
  <c r="BH565" i="48"/>
  <c r="BF565" i="48"/>
  <c r="BG565" i="48"/>
  <c r="BE565" i="48"/>
  <c r="BG1272" i="48"/>
  <c r="BF1272" i="48"/>
  <c r="BE1272" i="48"/>
  <c r="BH1272" i="48"/>
  <c r="BG1406" i="48"/>
  <c r="BF1406" i="48"/>
  <c r="BE1406" i="48"/>
  <c r="BH1406" i="48"/>
  <c r="BF2025" i="48"/>
  <c r="BG2025" i="48"/>
  <c r="BE2025" i="48"/>
  <c r="BH2025" i="48"/>
  <c r="BF1032" i="48"/>
  <c r="BG1032" i="48"/>
  <c r="BH1032" i="48"/>
  <c r="BE1032" i="48"/>
  <c r="BG1926" i="48"/>
  <c r="BF1926" i="48"/>
  <c r="BE1926" i="48"/>
  <c r="BH1926" i="48"/>
  <c r="BH1647" i="48"/>
  <c r="BG1647" i="48"/>
  <c r="BF1647" i="48"/>
  <c r="BE1647" i="48"/>
  <c r="BF1365" i="48"/>
  <c r="BE1365" i="48"/>
  <c r="BG1365" i="48"/>
  <c r="BH1365" i="48"/>
  <c r="BH979" i="48"/>
  <c r="BG979" i="48"/>
  <c r="BF979" i="48"/>
  <c r="BE979" i="48"/>
  <c r="BF763" i="48"/>
  <c r="BH763" i="48"/>
  <c r="BE763" i="48"/>
  <c r="BG763" i="48"/>
  <c r="BG1799" i="48"/>
  <c r="BF1799" i="48"/>
  <c r="BE1799" i="48"/>
  <c r="BH1799" i="48"/>
  <c r="BH1725" i="48"/>
  <c r="BG1725" i="48"/>
  <c r="BF1725" i="48"/>
  <c r="BE1725" i="48"/>
  <c r="BF1261" i="48"/>
  <c r="BE1261" i="48"/>
  <c r="BH1261" i="48"/>
  <c r="BG1261" i="48"/>
  <c r="BF1008" i="48"/>
  <c r="BG1008" i="48"/>
  <c r="BH1008" i="48"/>
  <c r="BE1008" i="48"/>
  <c r="BF1775" i="48"/>
  <c r="BE1775" i="48"/>
  <c r="BH1775" i="48"/>
  <c r="BG1775" i="48"/>
  <c r="BE1005" i="48"/>
  <c r="BH1005" i="48"/>
  <c r="BG1005" i="48"/>
  <c r="BF1005" i="48"/>
  <c r="BH1975" i="48"/>
  <c r="BE1975" i="48"/>
  <c r="BG1975" i="48"/>
  <c r="BF1975" i="48"/>
  <c r="BF1734" i="48"/>
  <c r="BG1734" i="48"/>
  <c r="BH1734" i="48"/>
  <c r="BE1734" i="48"/>
  <c r="BH1527" i="48"/>
  <c r="BF1527" i="48"/>
  <c r="BE1527" i="48"/>
  <c r="BG1527" i="48"/>
  <c r="BH1758" i="48"/>
  <c r="BG1758" i="48"/>
  <c r="BF1758" i="48"/>
  <c r="BE1758" i="48"/>
  <c r="BH1982" i="48"/>
  <c r="BG1982" i="48"/>
  <c r="BF1982" i="48"/>
  <c r="BE1982" i="48"/>
  <c r="BH1306" i="48"/>
  <c r="BG1306" i="48"/>
  <c r="BF1306" i="48"/>
  <c r="BE1306" i="48"/>
  <c r="BF1000" i="48"/>
  <c r="BG1000" i="48"/>
  <c r="BH1000" i="48"/>
  <c r="BE1000" i="48"/>
  <c r="BH1029" i="48"/>
  <c r="BG1029" i="48"/>
  <c r="BF1029" i="48"/>
  <c r="BE1029" i="48"/>
  <c r="BH1567" i="48"/>
  <c r="BG1567" i="48"/>
  <c r="BF1567" i="48"/>
  <c r="BE1567" i="48"/>
  <c r="BG1612" i="48"/>
  <c r="BF1612" i="48"/>
  <c r="BE1612" i="48"/>
  <c r="BH1612" i="48"/>
  <c r="BE378" i="48"/>
  <c r="BG378" i="48"/>
  <c r="BF378" i="48"/>
  <c r="BH378" i="48"/>
  <c r="BG471" i="48"/>
  <c r="BE471" i="48"/>
  <c r="BH471" i="48"/>
  <c r="BF471" i="48"/>
  <c r="BH210" i="48"/>
  <c r="BG210" i="48"/>
  <c r="BF210" i="48"/>
  <c r="BE210" i="48"/>
  <c r="BF469" i="48"/>
  <c r="BH469" i="48"/>
  <c r="BG469" i="48"/>
  <c r="BE469" i="48"/>
  <c r="BE256" i="48"/>
  <c r="BA256" i="48" s="1"/>
  <c r="BG256" i="48"/>
  <c r="BF256" i="48"/>
  <c r="AM256" i="48" s="1"/>
  <c r="AN256" i="48" s="1"/>
  <c r="BH1664" i="48"/>
  <c r="BG1664" i="48"/>
  <c r="BF1664" i="48"/>
  <c r="BE1664" i="48"/>
  <c r="BE1281" i="48"/>
  <c r="BH1281" i="48"/>
  <c r="BG1281" i="48"/>
  <c r="BF1281" i="48"/>
  <c r="BH1210" i="48"/>
  <c r="BG1210" i="48"/>
  <c r="BF1210" i="48"/>
  <c r="BE1210" i="48"/>
  <c r="BH772" i="48"/>
  <c r="BF772" i="48"/>
  <c r="BE772" i="48"/>
  <c r="BG772" i="48"/>
  <c r="BG1490" i="48"/>
  <c r="BF1490" i="48"/>
  <c r="BE1490" i="48"/>
  <c r="BH1490" i="48"/>
  <c r="BH999" i="48"/>
  <c r="BF999" i="48"/>
  <c r="BE999" i="48"/>
  <c r="BG999" i="48"/>
  <c r="BG1608" i="48"/>
  <c r="BF1608" i="48"/>
  <c r="BE1608" i="48"/>
  <c r="BH1608" i="48"/>
  <c r="BH1559" i="48"/>
  <c r="BG1559" i="48"/>
  <c r="BF1559" i="48"/>
  <c r="BE1559" i="48"/>
  <c r="BH1729" i="48"/>
  <c r="BG1729" i="48"/>
  <c r="BF1729" i="48"/>
  <c r="BE1729" i="48"/>
  <c r="BG1600" i="48"/>
  <c r="BF1600" i="48"/>
  <c r="BE1600" i="48"/>
  <c r="BH1600" i="48"/>
  <c r="BH1274" i="48"/>
  <c r="BG1274" i="48"/>
  <c r="BF1274" i="48"/>
  <c r="BE1274" i="48"/>
  <c r="BF1255" i="48"/>
  <c r="BE1255" i="48"/>
  <c r="BH1255" i="48"/>
  <c r="BG1255" i="48"/>
  <c r="BG1247" i="48"/>
  <c r="BF1247" i="48"/>
  <c r="BE1247" i="48"/>
  <c r="BH1247" i="48"/>
  <c r="BG1518" i="48"/>
  <c r="BF1518" i="48"/>
  <c r="BE1518" i="48"/>
  <c r="BH1518" i="48"/>
  <c r="BH611" i="48"/>
  <c r="BE611" i="48"/>
  <c r="BG611" i="48"/>
  <c r="BF611" i="48"/>
  <c r="BG1568" i="48"/>
  <c r="BF1568" i="48"/>
  <c r="BE1568" i="48"/>
  <c r="BH1568" i="48"/>
  <c r="BH1950" i="48"/>
  <c r="BG1950" i="48"/>
  <c r="BF1950" i="48"/>
  <c r="BE1950" i="48"/>
  <c r="BF1844" i="48"/>
  <c r="BE1844" i="48"/>
  <c r="BH1844" i="48"/>
  <c r="BG1844" i="48"/>
  <c r="BE1966" i="48"/>
  <c r="BH1966" i="48"/>
  <c r="BG1966" i="48"/>
  <c r="BF1966" i="48"/>
  <c r="BH1983" i="48"/>
  <c r="BF1983" i="48"/>
  <c r="BE1983" i="48"/>
  <c r="BG1983" i="48"/>
  <c r="BE985" i="48"/>
  <c r="BH985" i="48"/>
  <c r="BG985" i="48"/>
  <c r="BF985" i="48"/>
  <c r="BF1860" i="48"/>
  <c r="BE1860" i="48"/>
  <c r="BH1860" i="48"/>
  <c r="BG1860" i="48"/>
  <c r="BE704" i="48"/>
  <c r="BH704" i="48"/>
  <c r="BG704" i="48"/>
  <c r="BF704" i="48"/>
  <c r="BE1845" i="48"/>
  <c r="BH1845" i="48"/>
  <c r="BG1845" i="48"/>
  <c r="BF1845" i="48"/>
  <c r="BG1962" i="48"/>
  <c r="BF1962" i="48"/>
  <c r="BE1962" i="48"/>
  <c r="BH1962" i="48"/>
  <c r="BH1874" i="48"/>
  <c r="BG1874" i="48"/>
  <c r="BF1874" i="48"/>
  <c r="BE1874" i="48"/>
  <c r="BE969" i="48"/>
  <c r="BH969" i="48"/>
  <c r="BG969" i="48"/>
  <c r="BF969" i="48"/>
  <c r="BE653" i="48"/>
  <c r="BG653" i="48"/>
  <c r="BF653" i="48"/>
  <c r="BH653" i="48"/>
  <c r="BF466" i="48"/>
  <c r="BE466" i="48"/>
  <c r="BH466" i="48"/>
  <c r="BG466" i="48"/>
  <c r="BE259" i="48"/>
  <c r="BB259" i="48" s="1"/>
  <c r="AB259" i="48" s="1"/>
  <c r="BG259" i="48"/>
  <c r="BF259" i="48"/>
  <c r="BG141" i="48"/>
  <c r="BE141" i="48"/>
  <c r="BF141" i="48"/>
  <c r="BE448" i="48"/>
  <c r="BH448" i="48"/>
  <c r="BG448" i="48"/>
  <c r="BF448" i="48"/>
  <c r="BH163" i="48"/>
  <c r="BF163" i="48"/>
  <c r="AM163" i="48" s="1"/>
  <c r="AN163" i="48" s="1"/>
  <c r="BE163" i="48"/>
  <c r="BB163" i="48" s="1"/>
  <c r="BG163" i="48"/>
  <c r="BE191" i="48"/>
  <c r="BG191" i="48"/>
  <c r="BH191" i="48"/>
  <c r="BF191" i="48"/>
  <c r="BE304" i="48"/>
  <c r="BH304" i="48"/>
  <c r="BG304" i="48"/>
  <c r="BF304" i="48"/>
  <c r="BE176" i="48"/>
  <c r="BB176" i="48" s="1"/>
  <c r="BH176" i="48"/>
  <c r="BG176" i="48"/>
  <c r="BF176" i="48"/>
  <c r="BF346" i="48"/>
  <c r="BH346" i="48"/>
  <c r="BE346" i="48"/>
  <c r="BG346" i="48"/>
  <c r="BF443" i="48"/>
  <c r="BH443" i="48"/>
  <c r="BE443" i="48"/>
  <c r="BG443" i="48"/>
  <c r="BF293" i="48"/>
  <c r="BH293" i="48"/>
  <c r="BG293" i="48"/>
  <c r="BE293" i="48"/>
  <c r="BE283" i="48"/>
  <c r="BG283" i="48"/>
  <c r="BF283" i="48"/>
  <c r="AM283" i="48" s="1"/>
  <c r="AN283" i="48" s="1"/>
  <c r="BE226" i="48"/>
  <c r="BB226" i="48" s="1"/>
  <c r="AB226" i="48" s="1"/>
  <c r="BG226" i="48"/>
  <c r="BF226" i="48"/>
  <c r="AM226" i="48" s="1"/>
  <c r="AN226" i="48" s="1"/>
  <c r="BG1328" i="48"/>
  <c r="BF1328" i="48"/>
  <c r="BE1328" i="48"/>
  <c r="BH1328" i="48"/>
  <c r="BE1189" i="48"/>
  <c r="BH1189" i="48"/>
  <c r="BG1189" i="48"/>
  <c r="BF1189" i="48"/>
  <c r="BH1593" i="48"/>
  <c r="BG1593" i="48"/>
  <c r="BF1593" i="48"/>
  <c r="BE1593" i="48"/>
  <c r="BE851" i="48"/>
  <c r="BG851" i="48"/>
  <c r="BF851" i="48"/>
  <c r="BH851" i="48"/>
  <c r="BH675" i="48"/>
  <c r="BE675" i="48"/>
  <c r="BG675" i="48"/>
  <c r="BF675" i="48"/>
  <c r="BG1616" i="48"/>
  <c r="BF1616" i="48"/>
  <c r="BE1616" i="48"/>
  <c r="BH1616" i="48"/>
  <c r="BE773" i="48"/>
  <c r="BG773" i="48"/>
  <c r="BF773" i="48"/>
  <c r="BH773" i="48"/>
  <c r="BF980" i="48"/>
  <c r="BG980" i="48"/>
  <c r="BH980" i="48"/>
  <c r="BE980" i="48"/>
  <c r="BF1629" i="48"/>
  <c r="BE1629" i="48"/>
  <c r="BH1629" i="48"/>
  <c r="BG1629" i="48"/>
  <c r="BG1308" i="48"/>
  <c r="BF1308" i="48"/>
  <c r="BE1308" i="48"/>
  <c r="BH1308" i="48"/>
  <c r="BE845" i="48"/>
  <c r="BG845" i="48"/>
  <c r="BF845" i="48"/>
  <c r="BH845" i="48"/>
  <c r="BH1456" i="48"/>
  <c r="BG1456" i="48"/>
  <c r="BF1456" i="48"/>
  <c r="BE1456" i="48"/>
  <c r="BH1047" i="48"/>
  <c r="BE1047" i="48"/>
  <c r="BG1047" i="48"/>
  <c r="BF1047" i="48"/>
  <c r="BE589" i="48"/>
  <c r="BG589" i="48"/>
  <c r="BF589" i="48"/>
  <c r="BH589" i="48"/>
  <c r="BF690" i="48"/>
  <c r="BH690" i="48"/>
  <c r="BG690" i="48"/>
  <c r="BE690" i="48"/>
  <c r="BE1097" i="48"/>
  <c r="BH1097" i="48"/>
  <c r="BG1097" i="48"/>
  <c r="BF1097" i="48"/>
  <c r="BE1861" i="48"/>
  <c r="BH1861" i="48"/>
  <c r="BG1861" i="48"/>
  <c r="BF1861" i="48"/>
  <c r="BE1139" i="48"/>
  <c r="BH1139" i="48"/>
  <c r="BG1139" i="48"/>
  <c r="BF1139" i="48"/>
  <c r="BG1116" i="48"/>
  <c r="BF1116" i="48"/>
  <c r="BH1116" i="48"/>
  <c r="BE1116" i="48"/>
  <c r="BE1173" i="48"/>
  <c r="BF1173" i="48"/>
  <c r="BH1173" i="48"/>
  <c r="BG1173" i="48"/>
  <c r="BE777" i="48"/>
  <c r="BG777" i="48"/>
  <c r="BF777" i="48"/>
  <c r="BH777" i="48"/>
  <c r="BE905" i="48"/>
  <c r="BH905" i="48"/>
  <c r="BG905" i="48"/>
  <c r="BF905" i="48"/>
  <c r="BH1870" i="48"/>
  <c r="BG1870" i="48"/>
  <c r="BF1870" i="48"/>
  <c r="BE1870" i="48"/>
  <c r="BH103" i="48"/>
  <c r="BG103" i="48"/>
  <c r="BF103" i="48"/>
  <c r="BE103" i="48"/>
  <c r="BB103" i="48" s="1"/>
  <c r="BF166" i="48"/>
  <c r="AM166" i="48" s="1"/>
  <c r="AN166" i="48" s="1"/>
  <c r="BE166" i="48"/>
  <c r="BB166" i="48" s="1"/>
  <c r="AB166" i="48" s="1"/>
  <c r="BG166" i="48"/>
  <c r="BF372" i="48"/>
  <c r="BG372" i="48"/>
  <c r="BE372" i="48"/>
  <c r="BH372" i="48"/>
  <c r="BF244" i="48"/>
  <c r="AK244" i="48" s="1"/>
  <c r="AL244" i="48" s="1"/>
  <c r="BG244" i="48"/>
  <c r="BE244" i="48"/>
  <c r="BA244" i="48" s="1"/>
  <c r="BH244" i="48"/>
  <c r="BH538" i="48"/>
  <c r="BG538" i="48"/>
  <c r="BF538" i="48"/>
  <c r="BE538" i="48"/>
  <c r="BH375" i="48"/>
  <c r="BG375" i="48"/>
  <c r="BF375" i="48"/>
  <c r="BE375" i="48"/>
  <c r="BE192" i="48"/>
  <c r="BG192" i="48"/>
  <c r="BF192" i="48"/>
  <c r="BH217" i="48"/>
  <c r="BG217" i="48"/>
  <c r="BF217" i="48"/>
  <c r="BE217" i="48"/>
  <c r="BG142" i="48"/>
  <c r="BF142" i="48"/>
  <c r="AM142" i="48" s="1"/>
  <c r="AN142" i="48" s="1"/>
  <c r="BE142" i="48"/>
  <c r="BB142" i="48" s="1"/>
  <c r="AB142" i="48" s="1"/>
  <c r="BF229" i="48"/>
  <c r="BH229" i="48"/>
  <c r="BG229" i="48"/>
  <c r="BE229" i="48"/>
  <c r="BE93" i="48"/>
  <c r="BA93" i="48" s="1"/>
  <c r="BH93" i="48"/>
  <c r="BG93" i="48"/>
  <c r="BF93" i="48"/>
  <c r="BE720" i="48"/>
  <c r="BG720" i="48"/>
  <c r="BH720" i="48"/>
  <c r="BF720" i="48"/>
  <c r="BF1736" i="48"/>
  <c r="BE1736" i="48"/>
  <c r="BH1736" i="48"/>
  <c r="BG1736" i="48"/>
  <c r="BF903" i="48"/>
  <c r="BE903" i="48"/>
  <c r="BH903" i="48"/>
  <c r="BG903" i="48"/>
  <c r="BF1398" i="48"/>
  <c r="BE1398" i="48"/>
  <c r="BH1398" i="48"/>
  <c r="BG1398" i="48"/>
  <c r="BF1929" i="48"/>
  <c r="BG1929" i="48"/>
  <c r="BH1929" i="48"/>
  <c r="BE1929" i="48"/>
  <c r="BH1087" i="48"/>
  <c r="BG1087" i="48"/>
  <c r="BF1087" i="48"/>
  <c r="BE1087" i="48"/>
  <c r="BE1065" i="48"/>
  <c r="BH1065" i="48"/>
  <c r="BG1065" i="48"/>
  <c r="BF1065" i="48"/>
  <c r="BF1229" i="48"/>
  <c r="BE1229" i="48"/>
  <c r="BH1229" i="48"/>
  <c r="BG1229" i="48"/>
  <c r="BG1175" i="48"/>
  <c r="BF1175" i="48"/>
  <c r="BE1175" i="48"/>
  <c r="BH1175" i="48"/>
  <c r="BE733" i="48"/>
  <c r="BG733" i="48"/>
  <c r="BF733" i="48"/>
  <c r="BH733" i="48"/>
  <c r="BH1379" i="48"/>
  <c r="BG1379" i="48"/>
  <c r="BF1379" i="48"/>
  <c r="BE1379" i="48"/>
  <c r="BE1885" i="48"/>
  <c r="BH1885" i="48"/>
  <c r="BG1885" i="48"/>
  <c r="BF1885" i="48"/>
  <c r="BH1570" i="48"/>
  <c r="BG1570" i="48"/>
  <c r="BF1570" i="48"/>
  <c r="BE1570" i="48"/>
  <c r="BH1709" i="48"/>
  <c r="BG1709" i="48"/>
  <c r="BF1709" i="48"/>
  <c r="BE1709" i="48"/>
  <c r="BG1244" i="48"/>
  <c r="BF1244" i="48"/>
  <c r="BE1244" i="48"/>
  <c r="BH1244" i="48"/>
  <c r="BE2042" i="48"/>
  <c r="BG2042" i="48"/>
  <c r="BF2042" i="48"/>
  <c r="BH2042" i="48"/>
  <c r="BE1970" i="48"/>
  <c r="BH1970" i="48"/>
  <c r="BG1970" i="48"/>
  <c r="BF1970" i="48"/>
  <c r="BH728" i="48"/>
  <c r="BF728" i="48"/>
  <c r="BE728" i="48"/>
  <c r="BG728" i="48"/>
  <c r="BH580" i="48"/>
  <c r="BF580" i="48"/>
  <c r="BE580" i="48"/>
  <c r="BG580" i="48"/>
  <c r="BH1339" i="48"/>
  <c r="BF1339" i="48"/>
  <c r="BE1339" i="48"/>
  <c r="BG1339" i="48"/>
  <c r="BH417" i="48"/>
  <c r="BE417" i="48"/>
  <c r="BG417" i="48"/>
  <c r="BF417" i="48"/>
  <c r="BE544" i="48"/>
  <c r="BH544" i="48"/>
  <c r="BG544" i="48"/>
  <c r="BF544" i="48"/>
  <c r="BE497" i="48"/>
  <c r="BH497" i="48"/>
  <c r="BG497" i="48"/>
  <c r="BF497" i="48"/>
  <c r="BG361" i="48"/>
  <c r="BE361" i="48"/>
  <c r="BF361" i="48"/>
  <c r="BH361" i="48"/>
  <c r="BH327" i="48"/>
  <c r="BG327" i="48"/>
  <c r="BF327" i="48"/>
  <c r="BE327" i="48"/>
  <c r="BH83" i="48"/>
  <c r="BF83" i="48"/>
  <c r="BE83" i="48"/>
  <c r="BG83" i="48"/>
  <c r="BG314" i="48"/>
  <c r="BF314" i="48"/>
  <c r="BH314" i="48"/>
  <c r="BE314" i="48"/>
  <c r="BG95" i="48"/>
  <c r="BH95" i="48"/>
  <c r="BF95" i="48"/>
  <c r="BE95" i="48"/>
  <c r="BE129" i="48"/>
  <c r="BH129" i="48"/>
  <c r="BG129" i="48"/>
  <c r="BF129" i="48"/>
  <c r="AK129" i="48" s="1"/>
  <c r="AL129" i="48" s="1"/>
  <c r="BF1973" i="48"/>
  <c r="BE1973" i="48"/>
  <c r="BH1973" i="48"/>
  <c r="BG1973" i="48"/>
  <c r="BG818" i="48"/>
  <c r="BE818" i="48"/>
  <c r="BF818" i="48"/>
  <c r="BH818" i="48"/>
  <c r="BF920" i="48"/>
  <c r="BG920" i="48"/>
  <c r="BH920" i="48"/>
  <c r="BE920" i="48"/>
  <c r="BF727" i="48"/>
  <c r="BE727" i="48"/>
  <c r="BH727" i="48"/>
  <c r="BG727" i="48"/>
  <c r="BH1437" i="48"/>
  <c r="BF1437" i="48"/>
  <c r="BE1437" i="48"/>
  <c r="BG1437" i="48"/>
  <c r="BE1253" i="48"/>
  <c r="BH1253" i="48"/>
  <c r="BG1253" i="48"/>
  <c r="BF1253" i="48"/>
  <c r="BE1093" i="48"/>
  <c r="BH1093" i="48"/>
  <c r="BG1093" i="48"/>
  <c r="BF1093" i="48"/>
  <c r="BH1693" i="48"/>
  <c r="BF1693" i="48"/>
  <c r="BE1693" i="48"/>
  <c r="BG1693" i="48"/>
  <c r="BH1607" i="48"/>
  <c r="BG1607" i="48"/>
  <c r="BF1607" i="48"/>
  <c r="BE1607" i="48"/>
  <c r="BH2028" i="48"/>
  <c r="BG2028" i="48"/>
  <c r="BF2028" i="48"/>
  <c r="BE2028" i="48"/>
  <c r="BE913" i="48"/>
  <c r="BH913" i="48"/>
  <c r="BG913" i="48"/>
  <c r="BF913" i="48"/>
  <c r="BG1466" i="48"/>
  <c r="BF1466" i="48"/>
  <c r="BE1466" i="48"/>
  <c r="BH1466" i="48"/>
  <c r="BF892" i="48"/>
  <c r="BE892" i="48"/>
  <c r="BG892" i="48"/>
  <c r="BH892" i="48"/>
  <c r="BE761" i="48"/>
  <c r="BF761" i="48"/>
  <c r="BG761" i="48"/>
  <c r="BH761" i="48"/>
  <c r="BH1715" i="48"/>
  <c r="BG1715" i="48"/>
  <c r="BF1715" i="48"/>
  <c r="BE1715" i="48"/>
  <c r="BH808" i="48"/>
  <c r="BG808" i="48"/>
  <c r="BF808" i="48"/>
  <c r="BE808" i="48"/>
  <c r="BF1884" i="48"/>
  <c r="BE1884" i="48"/>
  <c r="BH1884" i="48"/>
  <c r="BG1884" i="48"/>
  <c r="BH804" i="48"/>
  <c r="BF804" i="48"/>
  <c r="BE804" i="48"/>
  <c r="BG804" i="48"/>
  <c r="BG1176" i="48"/>
  <c r="BF1176" i="48"/>
  <c r="BE1176" i="48"/>
  <c r="BH1176" i="48"/>
  <c r="BH788" i="48"/>
  <c r="BF788" i="48"/>
  <c r="BE788" i="48"/>
  <c r="BG788" i="48"/>
  <c r="BG779" i="48"/>
  <c r="BF779" i="48"/>
  <c r="BH779" i="48"/>
  <c r="BE779" i="48"/>
  <c r="BF1181" i="48"/>
  <c r="BE1181" i="48"/>
  <c r="BH1181" i="48"/>
  <c r="BG1181" i="48"/>
  <c r="BG1180" i="48"/>
  <c r="BF1180" i="48"/>
  <c r="BE1180" i="48"/>
  <c r="BH1180" i="48"/>
  <c r="BH2050" i="48"/>
  <c r="BG2050" i="48"/>
  <c r="BF2050" i="48"/>
  <c r="BE2050" i="48"/>
  <c r="BE1849" i="48"/>
  <c r="BH1849" i="48"/>
  <c r="BG1849" i="48"/>
  <c r="BF1849" i="48"/>
  <c r="BE1779" i="48"/>
  <c r="BH1779" i="48"/>
  <c r="BG1779" i="48"/>
  <c r="BF1779" i="48"/>
  <c r="BG674" i="48"/>
  <c r="BE674" i="48"/>
  <c r="BF674" i="48"/>
  <c r="BH674" i="48"/>
  <c r="BH1083" i="48"/>
  <c r="BF1083" i="48"/>
  <c r="BE1083" i="48"/>
  <c r="BG1083" i="48"/>
  <c r="BE1107" i="48"/>
  <c r="BH1107" i="48"/>
  <c r="BG1107" i="48"/>
  <c r="BF1107" i="48"/>
  <c r="BF1333" i="48"/>
  <c r="BE1333" i="48"/>
  <c r="BG1333" i="48"/>
  <c r="BH1333" i="48"/>
  <c r="BH209" i="48"/>
  <c r="BG209" i="48"/>
  <c r="BF209" i="48"/>
  <c r="AM209" i="48" s="1"/>
  <c r="AN209" i="48" s="1"/>
  <c r="BE209" i="48"/>
  <c r="BB209" i="48" s="1"/>
  <c r="BE1085" i="48"/>
  <c r="BH1085" i="48"/>
  <c r="BG1085" i="48"/>
  <c r="BF1085" i="48"/>
  <c r="BE697" i="48"/>
  <c r="BG697" i="48"/>
  <c r="BF697" i="48"/>
  <c r="BH697" i="48"/>
  <c r="BE1249" i="48"/>
  <c r="BH1249" i="48"/>
  <c r="BG1249" i="48"/>
  <c r="BF1249" i="48"/>
  <c r="BF956" i="48"/>
  <c r="BG956" i="48"/>
  <c r="BH956" i="48"/>
  <c r="BE956" i="48"/>
  <c r="BG847" i="48"/>
  <c r="BF847" i="48"/>
  <c r="BE847" i="48"/>
  <c r="BH847" i="48"/>
  <c r="BF1690" i="48"/>
  <c r="BG1690" i="48"/>
  <c r="BH1690" i="48"/>
  <c r="BE1690" i="48"/>
  <c r="BG1212" i="48"/>
  <c r="BF1212" i="48"/>
  <c r="BE1212" i="48"/>
  <c r="BH1212" i="48"/>
  <c r="BH947" i="48"/>
  <c r="BG947" i="48"/>
  <c r="BF947" i="48"/>
  <c r="BE947" i="48"/>
  <c r="BE2012" i="48"/>
  <c r="BG2012" i="48"/>
  <c r="BF2012" i="48"/>
  <c r="BH2012" i="48"/>
  <c r="BE937" i="48"/>
  <c r="BH937" i="48"/>
  <c r="BG937" i="48"/>
  <c r="BF937" i="48"/>
  <c r="BE1812" i="48"/>
  <c r="BH1812" i="48"/>
  <c r="BG1812" i="48"/>
  <c r="BF1812" i="48"/>
  <c r="BF2011" i="48"/>
  <c r="BG2011" i="48"/>
  <c r="BH2011" i="48"/>
  <c r="BE2011" i="48"/>
  <c r="BG1648" i="48"/>
  <c r="BF1648" i="48"/>
  <c r="BE1648" i="48"/>
  <c r="BH1648" i="48"/>
  <c r="BH756" i="48"/>
  <c r="BF756" i="48"/>
  <c r="BE756" i="48"/>
  <c r="BG756" i="48"/>
  <c r="BE362" i="48"/>
  <c r="BG362" i="48"/>
  <c r="BF362" i="48"/>
  <c r="BH362" i="48"/>
  <c r="BH455" i="48"/>
  <c r="BF455" i="48"/>
  <c r="BE455" i="48"/>
  <c r="BG455" i="48"/>
  <c r="BH143" i="48"/>
  <c r="BF143" i="48"/>
  <c r="BE143" i="48"/>
  <c r="BB143" i="48" s="1"/>
  <c r="BG143" i="48"/>
  <c r="BE480" i="48"/>
  <c r="BH480" i="48"/>
  <c r="BG480" i="48"/>
  <c r="BF480" i="48"/>
  <c r="BF338" i="48"/>
  <c r="BH338" i="48"/>
  <c r="BE338" i="48"/>
  <c r="BG338" i="48"/>
  <c r="BH490" i="48"/>
  <c r="BG490" i="48"/>
  <c r="BE490" i="48"/>
  <c r="BF490" i="48"/>
  <c r="BE512" i="48"/>
  <c r="BH512" i="48"/>
  <c r="BG512" i="48"/>
  <c r="BF512" i="48"/>
  <c r="BE112" i="48"/>
  <c r="BH112" i="48"/>
  <c r="BG112" i="48"/>
  <c r="BF112" i="48"/>
  <c r="BG167" i="48"/>
  <c r="BH167" i="48"/>
  <c r="BF167" i="48"/>
  <c r="AK167" i="48" s="1"/>
  <c r="AL167" i="48" s="1"/>
  <c r="BE167" i="48"/>
  <c r="BB167" i="48" s="1"/>
  <c r="BG63" i="48"/>
  <c r="BF63" i="48"/>
  <c r="BH63" i="48" s="1"/>
  <c r="BE63" i="48"/>
  <c r="BH91" i="48"/>
  <c r="BF91" i="48"/>
  <c r="BE91" i="48"/>
  <c r="BG91" i="48"/>
  <c r="BH1015" i="48"/>
  <c r="BG1015" i="48"/>
  <c r="BF1015" i="48"/>
  <c r="BE1015" i="48"/>
  <c r="BF1043" i="48"/>
  <c r="BE1043" i="48"/>
  <c r="BH1043" i="48"/>
  <c r="BG1043" i="48"/>
  <c r="BF855" i="48"/>
  <c r="BE855" i="48"/>
  <c r="BH855" i="48"/>
  <c r="BG855" i="48"/>
  <c r="BF1223" i="48"/>
  <c r="BE1223" i="48"/>
  <c r="BH1223" i="48"/>
  <c r="BG1223" i="48"/>
  <c r="BH1968" i="48"/>
  <c r="BE1968" i="48"/>
  <c r="BG1968" i="48"/>
  <c r="BF1968" i="48"/>
  <c r="BH1035" i="48"/>
  <c r="BG1035" i="48"/>
  <c r="BF1035" i="48"/>
  <c r="BE1035" i="48"/>
  <c r="BH1500" i="48"/>
  <c r="BG1500" i="48"/>
  <c r="BF1500" i="48"/>
  <c r="BE1500" i="48"/>
  <c r="BF952" i="48"/>
  <c r="BG952" i="48"/>
  <c r="BH952" i="48"/>
  <c r="BE952" i="48"/>
  <c r="BH775" i="48"/>
  <c r="BG775" i="48"/>
  <c r="BF775" i="48"/>
  <c r="BE775" i="48"/>
  <c r="BH1384" i="48"/>
  <c r="BE1384" i="48"/>
  <c r="BG1384" i="48"/>
  <c r="BF1384" i="48"/>
  <c r="BH1275" i="48"/>
  <c r="BF1275" i="48"/>
  <c r="BE1275" i="48"/>
  <c r="BG1275" i="48"/>
  <c r="BH883" i="48"/>
  <c r="BG883" i="48"/>
  <c r="BF883" i="48"/>
  <c r="BE883" i="48"/>
  <c r="BF1730" i="48"/>
  <c r="BG1730" i="48"/>
  <c r="BH1730" i="48"/>
  <c r="BE1730" i="48"/>
  <c r="BF600" i="48"/>
  <c r="BH600" i="48"/>
  <c r="BE600" i="48"/>
  <c r="BG600" i="48"/>
  <c r="BE1285" i="48"/>
  <c r="BH1285" i="48"/>
  <c r="BG1285" i="48"/>
  <c r="BF1285" i="48"/>
  <c r="BE739" i="48"/>
  <c r="BG739" i="48"/>
  <c r="BF739" i="48"/>
  <c r="BH739" i="48"/>
  <c r="BF683" i="48"/>
  <c r="BE683" i="48"/>
  <c r="BH683" i="48"/>
  <c r="BG683" i="48"/>
  <c r="BF1124" i="48"/>
  <c r="BG1124" i="48"/>
  <c r="BE1124" i="48"/>
  <c r="BH1124" i="48"/>
  <c r="BF891" i="48"/>
  <c r="BE891" i="48"/>
  <c r="BH891" i="48"/>
  <c r="BG891" i="48"/>
  <c r="BH558" i="48"/>
  <c r="BF558" i="48"/>
  <c r="BG558" i="48"/>
  <c r="BE558" i="48"/>
  <c r="BH385" i="48"/>
  <c r="BG385" i="48"/>
  <c r="BF385" i="48"/>
  <c r="BE385" i="48"/>
  <c r="BE1373" i="48"/>
  <c r="BF1373" i="48"/>
  <c r="BG1373" i="48"/>
  <c r="BH1373" i="48"/>
  <c r="BE1317" i="48"/>
  <c r="BH1317" i="48"/>
  <c r="BG1317" i="48"/>
  <c r="BF1317" i="48"/>
  <c r="BH752" i="48"/>
  <c r="BF752" i="48"/>
  <c r="BE752" i="48"/>
  <c r="BG752" i="48"/>
  <c r="BG1292" i="48"/>
  <c r="BF1292" i="48"/>
  <c r="BE1292" i="48"/>
  <c r="BH1292" i="48"/>
  <c r="BF1118" i="48"/>
  <c r="BE1118" i="48"/>
  <c r="BH1118" i="48"/>
  <c r="BG1118" i="48"/>
  <c r="BE721" i="48"/>
  <c r="BG721" i="48"/>
  <c r="BF721" i="48"/>
  <c r="BH721" i="48"/>
  <c r="BH2040" i="48"/>
  <c r="BG2040" i="48"/>
  <c r="BF2040" i="48"/>
  <c r="BE2040" i="48"/>
  <c r="BE1759" i="48"/>
  <c r="BH1759" i="48"/>
  <c r="BG1759" i="48"/>
  <c r="BF1759" i="48"/>
  <c r="BG1494" i="48"/>
  <c r="BF1494" i="48"/>
  <c r="BE1494" i="48"/>
  <c r="BH1494" i="48"/>
  <c r="BH1864" i="48"/>
  <c r="BE1864" i="48"/>
  <c r="BG1864" i="48"/>
  <c r="BF1864" i="48"/>
  <c r="BF1199" i="48"/>
  <c r="BE1199" i="48"/>
  <c r="BH1199" i="48"/>
  <c r="BG1199" i="48"/>
  <c r="BE741" i="48"/>
  <c r="BG741" i="48"/>
  <c r="BF741" i="48"/>
  <c r="BH741" i="48"/>
  <c r="BH1374" i="48"/>
  <c r="BG1374" i="48"/>
  <c r="BF1374" i="48"/>
  <c r="BE1374" i="48"/>
  <c r="BH1242" i="48"/>
  <c r="BG1242" i="48"/>
  <c r="BF1242" i="48"/>
  <c r="BE1242" i="48"/>
  <c r="BF1088" i="48"/>
  <c r="BG1088" i="48"/>
  <c r="BH1088" i="48"/>
  <c r="BE1088" i="48"/>
  <c r="BE1770" i="48"/>
  <c r="BG1770" i="48"/>
  <c r="BH1770" i="48"/>
  <c r="BF1770" i="48"/>
  <c r="BG1284" i="48"/>
  <c r="BF1284" i="48"/>
  <c r="BE1284" i="48"/>
  <c r="BH1284" i="48"/>
  <c r="BH812" i="48"/>
  <c r="BG812" i="48"/>
  <c r="BF812" i="48"/>
  <c r="BE812" i="48"/>
  <c r="BG1240" i="48"/>
  <c r="BF1240" i="48"/>
  <c r="BE1240" i="48"/>
  <c r="BH1240" i="48"/>
  <c r="BF1028" i="48"/>
  <c r="BG1028" i="48"/>
  <c r="BE1028" i="48"/>
  <c r="BH1028" i="48"/>
  <c r="BE2043" i="48"/>
  <c r="BH2043" i="48"/>
  <c r="BG2043" i="48"/>
  <c r="BF2043" i="48"/>
  <c r="BF770" i="48"/>
  <c r="BH770" i="48"/>
  <c r="BG770" i="48"/>
  <c r="BE770" i="48"/>
  <c r="BH1061" i="48"/>
  <c r="BG1061" i="48"/>
  <c r="BF1061" i="48"/>
  <c r="BE1061" i="48"/>
  <c r="BE713" i="48"/>
  <c r="BG713" i="48"/>
  <c r="BF713" i="48"/>
  <c r="BH713" i="48"/>
  <c r="BH612" i="48"/>
  <c r="BG612" i="48"/>
  <c r="BF612" i="48"/>
  <c r="BE612" i="48"/>
  <c r="BH1055" i="48"/>
  <c r="BG1055" i="48"/>
  <c r="BF1055" i="48"/>
  <c r="BE1055" i="48"/>
  <c r="BF131" i="48"/>
  <c r="BE131" i="48"/>
  <c r="BB131" i="48" s="1"/>
  <c r="AB131" i="48" s="1"/>
  <c r="BG131" i="48"/>
  <c r="BG105" i="48"/>
  <c r="BF105" i="48"/>
  <c r="BE105" i="48"/>
  <c r="BH105" i="48"/>
  <c r="BG546" i="48"/>
  <c r="BH546" i="48"/>
  <c r="BE546" i="48"/>
  <c r="BF546" i="48"/>
  <c r="BE400" i="48"/>
  <c r="BH400" i="48"/>
  <c r="BG400" i="48"/>
  <c r="BF400" i="48"/>
  <c r="BG126" i="48"/>
  <c r="BF126" i="48"/>
  <c r="BE126" i="48"/>
  <c r="BH126" i="48"/>
  <c r="BE170" i="48"/>
  <c r="BG170" i="48"/>
  <c r="BF170" i="48"/>
  <c r="BH170" i="48"/>
  <c r="BH494" i="48"/>
  <c r="BE494" i="48"/>
  <c r="BG494" i="48"/>
  <c r="BF494" i="48"/>
  <c r="BH223" i="48"/>
  <c r="BF223" i="48"/>
  <c r="BE223" i="48"/>
  <c r="BG223" i="48"/>
  <c r="BH540" i="48"/>
  <c r="BF540" i="48"/>
  <c r="BE540" i="48"/>
  <c r="BG540" i="48"/>
  <c r="BF212" i="48"/>
  <c r="AM212" i="48" s="1"/>
  <c r="AN212" i="48" s="1"/>
  <c r="BG212" i="48"/>
  <c r="BE212" i="48"/>
  <c r="BB212" i="48" s="1"/>
  <c r="AB212" i="48" s="1"/>
  <c r="BE96" i="48"/>
  <c r="BB96" i="48" s="1"/>
  <c r="BH96" i="48"/>
  <c r="BG96" i="48"/>
  <c r="BF96" i="48"/>
  <c r="BH102" i="48"/>
  <c r="BG102" i="48"/>
  <c r="BF102" i="48"/>
  <c r="BE102" i="48"/>
  <c r="BF1150" i="48"/>
  <c r="BE1150" i="48"/>
  <c r="BH1150" i="48"/>
  <c r="BG1150" i="48"/>
  <c r="BG827" i="48"/>
  <c r="BF827" i="48"/>
  <c r="BH827" i="48"/>
  <c r="BE827" i="48"/>
  <c r="BE560" i="48"/>
  <c r="BG560" i="48"/>
  <c r="BH560" i="48"/>
  <c r="BF560" i="48"/>
  <c r="BE1783" i="48"/>
  <c r="BH1783" i="48"/>
  <c r="BG1783" i="48"/>
  <c r="BF1783" i="48"/>
  <c r="BH1627" i="48"/>
  <c r="BG1627" i="48"/>
  <c r="BF1627" i="48"/>
  <c r="BE1627" i="48"/>
  <c r="BG1161" i="48"/>
  <c r="BF1161" i="48"/>
  <c r="BE1161" i="48"/>
  <c r="BH1161" i="48"/>
  <c r="BG1458" i="48"/>
  <c r="BF1458" i="48"/>
  <c r="BE1458" i="48"/>
  <c r="BH1458" i="48"/>
  <c r="BH1051" i="48"/>
  <c r="BG1051" i="48"/>
  <c r="BF1051" i="48"/>
  <c r="BE1051" i="48"/>
  <c r="BG1268" i="48"/>
  <c r="BF1268" i="48"/>
  <c r="BE1268" i="48"/>
  <c r="BH1268" i="48"/>
  <c r="BF988" i="48"/>
  <c r="BG988" i="48"/>
  <c r="BH988" i="48"/>
  <c r="BE988" i="48"/>
  <c r="BE568" i="48"/>
  <c r="BG568" i="48"/>
  <c r="BH568" i="48"/>
  <c r="BF568" i="48"/>
  <c r="BE1858" i="48"/>
  <c r="BH1858" i="48"/>
  <c r="BG1858" i="48"/>
  <c r="BF1858" i="48"/>
  <c r="BG1320" i="48"/>
  <c r="BF1320" i="48"/>
  <c r="BE1320" i="48"/>
  <c r="BH1320" i="48"/>
  <c r="BE867" i="48"/>
  <c r="BG867" i="48"/>
  <c r="BH867" i="48"/>
  <c r="BF867" i="48"/>
  <c r="BH1894" i="48"/>
  <c r="BG1894" i="48"/>
  <c r="BF1894" i="48"/>
  <c r="BE1894" i="48"/>
  <c r="BG1488" i="48"/>
  <c r="BF1488" i="48"/>
  <c r="BE1488" i="48"/>
  <c r="BH1488" i="48"/>
  <c r="BH1469" i="48"/>
  <c r="BF1469" i="48"/>
  <c r="BE1469" i="48"/>
  <c r="BG1469" i="48"/>
  <c r="BE961" i="48"/>
  <c r="BH961" i="48"/>
  <c r="BG961" i="48"/>
  <c r="BF961" i="48"/>
  <c r="BE645" i="48"/>
  <c r="BF645" i="48"/>
  <c r="BG645" i="48"/>
  <c r="BH645" i="48"/>
  <c r="BE1113" i="48"/>
  <c r="BH1113" i="48"/>
  <c r="BG1113" i="48"/>
  <c r="BF1113" i="48"/>
  <c r="BH2003" i="48"/>
  <c r="BG2003" i="48"/>
  <c r="BF2003" i="48"/>
  <c r="BE2003" i="48"/>
  <c r="BG1132" i="48"/>
  <c r="BF1132" i="48"/>
  <c r="BH1132" i="48"/>
  <c r="BE1132" i="48"/>
  <c r="BG874" i="48"/>
  <c r="BF874" i="48"/>
  <c r="BE874" i="48"/>
  <c r="BH874" i="48"/>
  <c r="BF515" i="48"/>
  <c r="BG515" i="48"/>
  <c r="BH515" i="48"/>
  <c r="BE515" i="48"/>
  <c r="BG219" i="48"/>
  <c r="BH219" i="48"/>
  <c r="BF219" i="48"/>
  <c r="BE219" i="48"/>
  <c r="BB219" i="48" s="1"/>
  <c r="BF324" i="48"/>
  <c r="BG324" i="48"/>
  <c r="BE324" i="48"/>
  <c r="BH324" i="48"/>
  <c r="BF452" i="48"/>
  <c r="BG452" i="48"/>
  <c r="BE452" i="48"/>
  <c r="BH452" i="48"/>
  <c r="BE1869" i="48"/>
  <c r="BH1869" i="48"/>
  <c r="BG1869" i="48"/>
  <c r="BF1869" i="48"/>
  <c r="BG1462" i="48"/>
  <c r="BF1462" i="48"/>
  <c r="BE1462" i="48"/>
  <c r="BH1462" i="48"/>
  <c r="BH1932" i="48"/>
  <c r="BG1932" i="48"/>
  <c r="BF1932" i="48"/>
  <c r="BE1932" i="48"/>
  <c r="BH1187" i="48"/>
  <c r="BG1187" i="48"/>
  <c r="BF1187" i="48"/>
  <c r="BE1187" i="48"/>
  <c r="BF1979" i="48"/>
  <c r="BE1979" i="48"/>
  <c r="BH1979" i="48"/>
  <c r="BG1979" i="48"/>
  <c r="BG1062" i="48"/>
  <c r="BF1062" i="48"/>
  <c r="BE1062" i="48"/>
  <c r="BH1062" i="48"/>
  <c r="BG1252" i="48"/>
  <c r="BF1252" i="48"/>
  <c r="BE1252" i="48"/>
  <c r="BH1252" i="48"/>
  <c r="BH1721" i="48"/>
  <c r="BE1721" i="48"/>
  <c r="BG1721" i="48"/>
  <c r="BF1721" i="48"/>
  <c r="BH1587" i="48"/>
  <c r="BG1587" i="48"/>
  <c r="BF1587" i="48"/>
  <c r="BE1587" i="48"/>
  <c r="BH1003" i="48"/>
  <c r="BE1003" i="48"/>
  <c r="BG1003" i="48"/>
  <c r="BF1003" i="48"/>
  <c r="BH1878" i="48"/>
  <c r="BG1878" i="48"/>
  <c r="BF1878" i="48"/>
  <c r="BE1878" i="48"/>
  <c r="BH628" i="48"/>
  <c r="BG628" i="48"/>
  <c r="BF628" i="48"/>
  <c r="BE628" i="48"/>
  <c r="BF1024" i="48"/>
  <c r="BG1024" i="48"/>
  <c r="BH1024" i="48"/>
  <c r="BE1024" i="48"/>
  <c r="BG1706" i="48"/>
  <c r="BF1706" i="48"/>
  <c r="BH1706" i="48"/>
  <c r="BE1706" i="48"/>
  <c r="BE1183" i="48"/>
  <c r="BH1183" i="48"/>
  <c r="BG1183" i="48"/>
  <c r="BF1183" i="48"/>
  <c r="BH1485" i="48"/>
  <c r="BG1485" i="48"/>
  <c r="BF1485" i="48"/>
  <c r="BE1485" i="48"/>
  <c r="BG1592" i="48"/>
  <c r="BF1592" i="48"/>
  <c r="BE1592" i="48"/>
  <c r="BH1592" i="48"/>
  <c r="BH767" i="48"/>
  <c r="BG767" i="48"/>
  <c r="BF767" i="48"/>
  <c r="BE767" i="48"/>
  <c r="BF1573" i="48"/>
  <c r="BE1573" i="48"/>
  <c r="BH1573" i="48"/>
  <c r="BG1573" i="48"/>
  <c r="BE1787" i="48"/>
  <c r="BH1787" i="48"/>
  <c r="BG1787" i="48"/>
  <c r="BF1787" i="48"/>
  <c r="BH856" i="48"/>
  <c r="BF856" i="48"/>
  <c r="BE856" i="48"/>
  <c r="BG856" i="48"/>
  <c r="BE1609" i="48"/>
  <c r="BH1609" i="48"/>
  <c r="BG1609" i="48"/>
  <c r="BF1609" i="48"/>
  <c r="BH1111" i="48"/>
  <c r="BE1111" i="48"/>
  <c r="BG1111" i="48"/>
  <c r="BF1111" i="48"/>
  <c r="BE1069" i="48"/>
  <c r="BH1069" i="48"/>
  <c r="BG1069" i="48"/>
  <c r="BF1069" i="48"/>
  <c r="BH915" i="48"/>
  <c r="BG915" i="48"/>
  <c r="BF915" i="48"/>
  <c r="BE915" i="48"/>
  <c r="BF516" i="48"/>
  <c r="BE516" i="48"/>
  <c r="BG516" i="48"/>
  <c r="BH516" i="48"/>
  <c r="BE444" i="48"/>
  <c r="BH444" i="48"/>
  <c r="BG444" i="48"/>
  <c r="BF444" i="48"/>
  <c r="BE257" i="48"/>
  <c r="BG257" i="48"/>
  <c r="BF257" i="48"/>
  <c r="BG486" i="48"/>
  <c r="BF486" i="48"/>
  <c r="BH486" i="48"/>
  <c r="BE486" i="48"/>
  <c r="BG246" i="48"/>
  <c r="BF246" i="48"/>
  <c r="AK246" i="48" s="1"/>
  <c r="AL246" i="48" s="1"/>
  <c r="BE246" i="48"/>
  <c r="BF124" i="48"/>
  <c r="BE124" i="48"/>
  <c r="BH124" i="48"/>
  <c r="BG124" i="48"/>
  <c r="BE297" i="48"/>
  <c r="BG297" i="48"/>
  <c r="BF297" i="48"/>
  <c r="AK297" i="48" s="1"/>
  <c r="BH549" i="48"/>
  <c r="BF549" i="48"/>
  <c r="BG549" i="48"/>
  <c r="BE549" i="48"/>
  <c r="BF521" i="48"/>
  <c r="BG521" i="48"/>
  <c r="BE521" i="48"/>
  <c r="BH521" i="48"/>
  <c r="BH69" i="48"/>
  <c r="BG69" i="48"/>
  <c r="BE69" i="48"/>
  <c r="BF69" i="48"/>
  <c r="BE89" i="48"/>
  <c r="BB89" i="48" s="1"/>
  <c r="BH89" i="48"/>
  <c r="BG89" i="48"/>
  <c r="BF89" i="48"/>
  <c r="AK89" i="48" s="1"/>
  <c r="AL89" i="48" s="1"/>
  <c r="BE302" i="48"/>
  <c r="BH302" i="48"/>
  <c r="BG302" i="48"/>
  <c r="BF302" i="48"/>
  <c r="BF491" i="48"/>
  <c r="BG491" i="48"/>
  <c r="BH491" i="48"/>
  <c r="BE491" i="48"/>
  <c r="BH1471" i="48"/>
  <c r="BG1471" i="48"/>
  <c r="BF1471" i="48"/>
  <c r="BE1471" i="48"/>
  <c r="BG682" i="48"/>
  <c r="BE682" i="48"/>
  <c r="BF682" i="48"/>
  <c r="BH682" i="48"/>
  <c r="BE1772" i="48"/>
  <c r="BH1772" i="48"/>
  <c r="BG1772" i="48"/>
  <c r="BF1772" i="48"/>
  <c r="BF1992" i="48"/>
  <c r="BG1992" i="48"/>
  <c r="BH1992" i="48"/>
  <c r="BE1992" i="48"/>
  <c r="BH579" i="48"/>
  <c r="BE579" i="48"/>
  <c r="BG579" i="48"/>
  <c r="BF579" i="48"/>
  <c r="BG1913" i="48"/>
  <c r="BF1913" i="48"/>
  <c r="BE1913" i="48"/>
  <c r="BH1913" i="48"/>
  <c r="BG1666" i="48"/>
  <c r="BF1666" i="48"/>
  <c r="BE1666" i="48"/>
  <c r="BH1666" i="48"/>
  <c r="BG575" i="48"/>
  <c r="BF575" i="48"/>
  <c r="BE575" i="48"/>
  <c r="BH575" i="48"/>
  <c r="BG1027" i="48"/>
  <c r="BF1027" i="48"/>
  <c r="BE1027" i="48"/>
  <c r="BH1027" i="48"/>
  <c r="BH1579" i="48"/>
  <c r="BG1579" i="48"/>
  <c r="BF1579" i="48"/>
  <c r="BE1579" i="48"/>
  <c r="BH1440" i="48"/>
  <c r="BG1440" i="48"/>
  <c r="BF1440" i="48"/>
  <c r="BE1440" i="48"/>
  <c r="BE1278" i="48"/>
  <c r="BH1278" i="48"/>
  <c r="BG1278" i="48"/>
  <c r="BF1278" i="48"/>
  <c r="BE1515" i="48"/>
  <c r="BH1515" i="48"/>
  <c r="BG1515" i="48"/>
  <c r="BF1515" i="48"/>
  <c r="BH1074" i="48"/>
  <c r="BG1074" i="48"/>
  <c r="BF1074" i="48"/>
  <c r="BE1074" i="48"/>
  <c r="BG1312" i="48"/>
  <c r="BF1312" i="48"/>
  <c r="BE1312" i="48"/>
  <c r="BH1312" i="48"/>
  <c r="BG1241" i="48"/>
  <c r="BF1241" i="48"/>
  <c r="BE1241" i="48"/>
  <c r="BH1241" i="48"/>
  <c r="BG1094" i="48"/>
  <c r="BF1094" i="48"/>
  <c r="BE1094" i="48"/>
  <c r="BH1094" i="48"/>
  <c r="BF1827" i="48"/>
  <c r="BE1827" i="48"/>
  <c r="BG1827" i="48"/>
  <c r="BH1827" i="48"/>
  <c r="BE1426" i="48"/>
  <c r="BH1426" i="48"/>
  <c r="BG1426" i="48"/>
  <c r="BF1426" i="48"/>
  <c r="BE1909" i="48"/>
  <c r="BG1909" i="48"/>
  <c r="BF1909" i="48"/>
  <c r="BH1909" i="48"/>
  <c r="BE981" i="48"/>
  <c r="BH981" i="48"/>
  <c r="BG981" i="48"/>
  <c r="BF981" i="48"/>
  <c r="BE771" i="48"/>
  <c r="BG771" i="48"/>
  <c r="BF771" i="48"/>
  <c r="BH771" i="48"/>
  <c r="BG1142" i="48"/>
  <c r="BF1142" i="48"/>
  <c r="BE1142" i="48"/>
  <c r="BH1142" i="48"/>
  <c r="BG279" i="48"/>
  <c r="BF279" i="48"/>
  <c r="BE279" i="48"/>
  <c r="BE154" i="48"/>
  <c r="BG154" i="48"/>
  <c r="BF154" i="48"/>
  <c r="BH154" i="48"/>
  <c r="BH2031" i="48"/>
  <c r="BG2031" i="48"/>
  <c r="BF2031" i="48"/>
  <c r="BE2031" i="48"/>
  <c r="BE1957" i="48"/>
  <c r="BH1957" i="48"/>
  <c r="BG1957" i="48"/>
  <c r="BF1957" i="48"/>
  <c r="BG1859" i="48"/>
  <c r="BF1859" i="48"/>
  <c r="BE1859" i="48"/>
  <c r="BH1859" i="48"/>
  <c r="BG1232" i="48"/>
  <c r="BF1232" i="48"/>
  <c r="BE1232" i="48"/>
  <c r="BH1232" i="48"/>
  <c r="BH1882" i="48"/>
  <c r="BG1882" i="48"/>
  <c r="BF1882" i="48"/>
  <c r="BE1882" i="48"/>
  <c r="BF1012" i="48"/>
  <c r="BG1012" i="48"/>
  <c r="BE1012" i="48"/>
  <c r="BH1012" i="48"/>
  <c r="BG1800" i="48"/>
  <c r="BF1800" i="48"/>
  <c r="BE1800" i="48"/>
  <c r="BH1800" i="48"/>
  <c r="BH1659" i="48"/>
  <c r="BG1659" i="48"/>
  <c r="BF1659" i="48"/>
  <c r="BE1659" i="48"/>
  <c r="BG1656" i="48"/>
  <c r="BF1656" i="48"/>
  <c r="BE1656" i="48"/>
  <c r="BH1656" i="48"/>
  <c r="BE2004" i="48"/>
  <c r="BH2004" i="48"/>
  <c r="BG2004" i="48"/>
  <c r="BF2004" i="48"/>
  <c r="BG1919" i="48"/>
  <c r="BF1919" i="48"/>
  <c r="BE1919" i="48"/>
  <c r="BH1919" i="48"/>
  <c r="BG1537" i="48"/>
  <c r="BF1537" i="48"/>
  <c r="BE1537" i="48"/>
  <c r="BH1537" i="48"/>
  <c r="BF1052" i="48"/>
  <c r="BG1052" i="48"/>
  <c r="BH1052" i="48"/>
  <c r="BE1052" i="48"/>
  <c r="BH1343" i="48"/>
  <c r="BF1343" i="48"/>
  <c r="BE1343" i="48"/>
  <c r="BG1343" i="48"/>
  <c r="BG882" i="48"/>
  <c r="BF882" i="48"/>
  <c r="BE882" i="48"/>
  <c r="BH882" i="48"/>
  <c r="BG831" i="48"/>
  <c r="BF831" i="48"/>
  <c r="BE831" i="48"/>
  <c r="BH831" i="48"/>
  <c r="BE630" i="48"/>
  <c r="BH630" i="48"/>
  <c r="BG630" i="48"/>
  <c r="BF630" i="48"/>
  <c r="BF1218" i="48"/>
  <c r="BE1218" i="48"/>
  <c r="BH1218" i="48"/>
  <c r="BG1218" i="48"/>
  <c r="BG1336" i="48"/>
  <c r="BF1336" i="48"/>
  <c r="BE1336" i="48"/>
  <c r="BH1336" i="48"/>
  <c r="BH623" i="48"/>
  <c r="BG623" i="48"/>
  <c r="BF623" i="48"/>
  <c r="BE623" i="48"/>
  <c r="BG974" i="48"/>
  <c r="BF974" i="48"/>
  <c r="BE974" i="48"/>
  <c r="BH974" i="48"/>
  <c r="BG1646" i="48"/>
  <c r="BF1646" i="48"/>
  <c r="BE1646" i="48"/>
  <c r="BH1646" i="48"/>
  <c r="BF1980" i="48"/>
  <c r="BG1980" i="48"/>
  <c r="BH1980" i="48"/>
  <c r="BE1980" i="48"/>
  <c r="BF478" i="48"/>
  <c r="BE478" i="48"/>
  <c r="BH478" i="48"/>
  <c r="BG478" i="48"/>
  <c r="BE422" i="48"/>
  <c r="BG422" i="48"/>
  <c r="BF422" i="48"/>
  <c r="BH422" i="48"/>
  <c r="BE317" i="48"/>
  <c r="BH317" i="48"/>
  <c r="BG317" i="48"/>
  <c r="BF317" i="48"/>
  <c r="BG529" i="48"/>
  <c r="BE529" i="48"/>
  <c r="BH529" i="48"/>
  <c r="BF529" i="48"/>
  <c r="BH230" i="48"/>
  <c r="BG230" i="48"/>
  <c r="BF230" i="48"/>
  <c r="BE230" i="48"/>
  <c r="BG245" i="48"/>
  <c r="BE245" i="48"/>
  <c r="BF245" i="48"/>
  <c r="BH449" i="48"/>
  <c r="BG449" i="48"/>
  <c r="BF449" i="48"/>
  <c r="BE449" i="48"/>
  <c r="BH306" i="48"/>
  <c r="BG306" i="48"/>
  <c r="BF306" i="48"/>
  <c r="BE306" i="48"/>
  <c r="BF140" i="48"/>
  <c r="BE140" i="48"/>
  <c r="BG140" i="48"/>
  <c r="BF543" i="48"/>
  <c r="BG543" i="48"/>
  <c r="BH543" i="48"/>
  <c r="BE543" i="48"/>
  <c r="BH483" i="48"/>
  <c r="BG483" i="48"/>
  <c r="BF483" i="48"/>
  <c r="BE483" i="48"/>
  <c r="BG1672" i="48"/>
  <c r="BF1672" i="48"/>
  <c r="BE1672" i="48"/>
  <c r="BH1672" i="48"/>
  <c r="BH1290" i="48"/>
  <c r="BG1290" i="48"/>
  <c r="BF1290" i="48"/>
  <c r="BE1290" i="48"/>
  <c r="BH1575" i="48"/>
  <c r="BF1575" i="48"/>
  <c r="BE1575" i="48"/>
  <c r="BG1575" i="48"/>
  <c r="BG1617" i="48"/>
  <c r="BF1617" i="48"/>
  <c r="BE1617" i="48"/>
  <c r="BH1617" i="48"/>
  <c r="BF861" i="48"/>
  <c r="BE861" i="48"/>
  <c r="BH861" i="48"/>
  <c r="BG861" i="48"/>
  <c r="BE1843" i="48"/>
  <c r="BH1843" i="48"/>
  <c r="BG1843" i="48"/>
  <c r="BF1843" i="48"/>
  <c r="BF1492" i="48"/>
  <c r="BE1492" i="48"/>
  <c r="BH1492" i="48"/>
  <c r="BG1492" i="48"/>
  <c r="BH619" i="48"/>
  <c r="BE619" i="48"/>
  <c r="BG619" i="48"/>
  <c r="BF619" i="48"/>
  <c r="BE1041" i="48"/>
  <c r="BH1041" i="48"/>
  <c r="BG1041" i="48"/>
  <c r="BF1041" i="48"/>
  <c r="BF1765" i="48"/>
  <c r="BH1765" i="48"/>
  <c r="BE1765" i="48"/>
  <c r="BG1765" i="48"/>
  <c r="BF1361" i="48"/>
  <c r="BE1361" i="48"/>
  <c r="BG1361" i="48"/>
  <c r="BH1361" i="48"/>
  <c r="BG1257" i="48"/>
  <c r="BF1257" i="48"/>
  <c r="BE1257" i="48"/>
  <c r="BH1257" i="48"/>
  <c r="BH1299" i="48"/>
  <c r="BE1299" i="48"/>
  <c r="BG1299" i="48"/>
  <c r="BF1299" i="48"/>
  <c r="BG1200" i="48"/>
  <c r="BF1200" i="48"/>
  <c r="BE1200" i="48"/>
  <c r="BH1200" i="48"/>
  <c r="BE609" i="48"/>
  <c r="BG609" i="48"/>
  <c r="BF609" i="48"/>
  <c r="BH609" i="48"/>
  <c r="BG1311" i="48"/>
  <c r="BF1311" i="48"/>
  <c r="BE1311" i="48"/>
  <c r="BH1311" i="48"/>
  <c r="BE1828" i="48"/>
  <c r="BH1828" i="48"/>
  <c r="BF1828" i="48"/>
  <c r="BG1828" i="48"/>
  <c r="BG1863" i="48"/>
  <c r="BF1863" i="48"/>
  <c r="BE1863" i="48"/>
  <c r="BH1863" i="48"/>
  <c r="BH1675" i="48"/>
  <c r="BE1675" i="48"/>
  <c r="BG1675" i="48"/>
  <c r="BF1675" i="48"/>
  <c r="BH1031" i="48"/>
  <c r="BG1031" i="48"/>
  <c r="BF1031" i="48"/>
  <c r="BE1031" i="48"/>
  <c r="BH603" i="48"/>
  <c r="BE603" i="48"/>
  <c r="BG603" i="48"/>
  <c r="BF603" i="48"/>
  <c r="BF703" i="48"/>
  <c r="BE703" i="48"/>
  <c r="BH703" i="48"/>
  <c r="BG703" i="48"/>
  <c r="BF768" i="48"/>
  <c r="BE768" i="48"/>
  <c r="BH768" i="48"/>
  <c r="BG768" i="48"/>
  <c r="BG1588" i="48"/>
  <c r="BF1588" i="48"/>
  <c r="BE1588" i="48"/>
  <c r="BH1588" i="48"/>
  <c r="BG1184" i="48"/>
  <c r="BF1184" i="48"/>
  <c r="BE1184" i="48"/>
  <c r="BH1184" i="48"/>
  <c r="BF1206" i="48"/>
  <c r="BE1206" i="48"/>
  <c r="BH1206" i="48"/>
  <c r="BG1206" i="48"/>
  <c r="BF531" i="48"/>
  <c r="BG531" i="48"/>
  <c r="BH531" i="48"/>
  <c r="BE531" i="48"/>
  <c r="BG360" i="48"/>
  <c r="BE360" i="48"/>
  <c r="BH360" i="48"/>
  <c r="BF360" i="48"/>
  <c r="BE489" i="48"/>
  <c r="BH489" i="48"/>
  <c r="BF489" i="48"/>
  <c r="BG489" i="48"/>
  <c r="BE2021" i="48"/>
  <c r="BH2021" i="48"/>
  <c r="BG2021" i="48"/>
  <c r="BF2021" i="48"/>
  <c r="BE1635" i="48"/>
  <c r="BH1635" i="48"/>
  <c r="BG1635" i="48"/>
  <c r="BF1635" i="48"/>
  <c r="BG2005" i="48"/>
  <c r="BF2005" i="48"/>
  <c r="BE2005" i="48"/>
  <c r="BH2005" i="48"/>
  <c r="BF1391" i="48"/>
  <c r="BE1391" i="48"/>
  <c r="BH1391" i="48"/>
  <c r="BG1391" i="48"/>
  <c r="BG1022" i="48"/>
  <c r="BF1022" i="48"/>
  <c r="BE1022" i="48"/>
  <c r="BH1022" i="48"/>
  <c r="BE1703" i="48"/>
  <c r="BH1703" i="48"/>
  <c r="BG1703" i="48"/>
  <c r="BF1703" i="48"/>
  <c r="BE849" i="48"/>
  <c r="BG849" i="48"/>
  <c r="BF849" i="48"/>
  <c r="BH849" i="48"/>
  <c r="BF1006" i="48"/>
  <c r="BE1006" i="48"/>
  <c r="BH1006" i="48"/>
  <c r="BG1006" i="48"/>
  <c r="BF1394" i="48"/>
  <c r="BE1394" i="48"/>
  <c r="BH1394" i="48"/>
  <c r="BG1394" i="48"/>
  <c r="BF815" i="48"/>
  <c r="BE815" i="48"/>
  <c r="BH815" i="48"/>
  <c r="BG815" i="48"/>
  <c r="BF1420" i="48"/>
  <c r="BE1420" i="48"/>
  <c r="BH1420" i="48"/>
  <c r="BG1420" i="48"/>
  <c r="BE1761" i="48"/>
  <c r="BH1761" i="48"/>
  <c r="BG1761" i="48"/>
  <c r="BF1761" i="48"/>
  <c r="BG754" i="48"/>
  <c r="BE754" i="48"/>
  <c r="BF754" i="48"/>
  <c r="BH754" i="48"/>
  <c r="BE701" i="48"/>
  <c r="BG701" i="48"/>
  <c r="BF701" i="48"/>
  <c r="BH701" i="48"/>
  <c r="BH2024" i="48"/>
  <c r="BF2024" i="48"/>
  <c r="BG2024" i="48"/>
  <c r="BE2024" i="48"/>
  <c r="BH1103" i="48"/>
  <c r="BG1103" i="48"/>
  <c r="BF1103" i="48"/>
  <c r="BE1103" i="48"/>
  <c r="BF1722" i="48"/>
  <c r="BG1722" i="48"/>
  <c r="BH1722" i="48"/>
  <c r="BE1722" i="48"/>
  <c r="BF1959" i="48"/>
  <c r="BE1959" i="48"/>
  <c r="BH1959" i="48"/>
  <c r="BG1959" i="48"/>
  <c r="BE618" i="48"/>
  <c r="BF618" i="48"/>
  <c r="BH618" i="48"/>
  <c r="BG618" i="48"/>
  <c r="BH1667" i="48"/>
  <c r="BG1667" i="48"/>
  <c r="BF1667" i="48"/>
  <c r="BE1667" i="48"/>
  <c r="BE1944" i="48"/>
  <c r="BH1944" i="48"/>
  <c r="BG1944" i="48"/>
  <c r="BF1944" i="48"/>
  <c r="BE574" i="48"/>
  <c r="BH574" i="48"/>
  <c r="BG574" i="48"/>
  <c r="BF574" i="48"/>
  <c r="BE1042" i="48"/>
  <c r="BH1042" i="48"/>
  <c r="BG1042" i="48"/>
  <c r="BF1042" i="48"/>
  <c r="BH946" i="48"/>
  <c r="BG946" i="48"/>
  <c r="BF946" i="48"/>
  <c r="BE946" i="48"/>
  <c r="BF984" i="48"/>
  <c r="BG984" i="48"/>
  <c r="BH984" i="48"/>
  <c r="BE984" i="48"/>
  <c r="BF237" i="48"/>
  <c r="BE237" i="48"/>
  <c r="BH237" i="48"/>
  <c r="BG237" i="48"/>
  <c r="BH243" i="48"/>
  <c r="BE243" i="48"/>
  <c r="BG243" i="48"/>
  <c r="BF243" i="48"/>
  <c r="AK243" i="48" s="1"/>
  <c r="AL243" i="48" s="1"/>
  <c r="BH380" i="48"/>
  <c r="BG380" i="48"/>
  <c r="BF380" i="48"/>
  <c r="BE380" i="48"/>
  <c r="BE81" i="48"/>
  <c r="BG81" i="48"/>
  <c r="BF81" i="48"/>
  <c r="AK81" i="48" s="1"/>
  <c r="AL81" i="48" s="1"/>
  <c r="BF280" i="48"/>
  <c r="BE280" i="48"/>
  <c r="BG280" i="48"/>
  <c r="BH533" i="48"/>
  <c r="BF533" i="48"/>
  <c r="BG533" i="48"/>
  <c r="BE533" i="48"/>
  <c r="BF203" i="48"/>
  <c r="AK203" i="48" s="1"/>
  <c r="AL203" i="48" s="1"/>
  <c r="BE203" i="48"/>
  <c r="BH203" i="48"/>
  <c r="BG203" i="48"/>
  <c r="BH125" i="48"/>
  <c r="BG125" i="48"/>
  <c r="BF125" i="48"/>
  <c r="BE125" i="48"/>
  <c r="BB125" i="48" s="1"/>
  <c r="BF261" i="48"/>
  <c r="AM261" i="48" s="1"/>
  <c r="AN261" i="48" s="1"/>
  <c r="BG261" i="48"/>
  <c r="BE261" i="48"/>
  <c r="BF418" i="48"/>
  <c r="BE418" i="48"/>
  <c r="BH418" i="48"/>
  <c r="BG418" i="48"/>
  <c r="BF1939" i="48"/>
  <c r="BE1939" i="48"/>
  <c r="BG1939" i="48"/>
  <c r="BH1939" i="48"/>
  <c r="BE869" i="48"/>
  <c r="BH869" i="48"/>
  <c r="BG869" i="48"/>
  <c r="BF869" i="48"/>
  <c r="BE1349" i="48"/>
  <c r="BF1349" i="48"/>
  <c r="BG1349" i="48"/>
  <c r="BH1349" i="48"/>
  <c r="BE1298" i="48"/>
  <c r="BH1298" i="48"/>
  <c r="BG1298" i="48"/>
  <c r="BF1298" i="48"/>
  <c r="BG1177" i="48"/>
  <c r="BF1177" i="48"/>
  <c r="BE1177" i="48"/>
  <c r="BH1177" i="48"/>
  <c r="BH836" i="48"/>
  <c r="BE836" i="48"/>
  <c r="BG836" i="48"/>
  <c r="BF836" i="48"/>
  <c r="BE1508" i="48"/>
  <c r="BH1508" i="48"/>
  <c r="BG1508" i="48"/>
  <c r="BF1508" i="48"/>
  <c r="BF642" i="48"/>
  <c r="BH642" i="48"/>
  <c r="BG642" i="48"/>
  <c r="BE642" i="48"/>
  <c r="BE1763" i="48"/>
  <c r="BH1763" i="48"/>
  <c r="BG1763" i="48"/>
  <c r="BF1763" i="48"/>
  <c r="BF1356" i="48"/>
  <c r="BE1356" i="48"/>
  <c r="BH1356" i="48"/>
  <c r="BG1356" i="48"/>
  <c r="BE1855" i="48"/>
  <c r="BH1855" i="48"/>
  <c r="BG1855" i="48"/>
  <c r="BF1855" i="48"/>
  <c r="BE1534" i="48"/>
  <c r="BH1534" i="48"/>
  <c r="BG1534" i="48"/>
  <c r="BF1534" i="48"/>
  <c r="BF1974" i="48"/>
  <c r="BE1974" i="48"/>
  <c r="BH1974" i="48"/>
  <c r="BG1974" i="48"/>
  <c r="BH1512" i="48"/>
  <c r="BG1512" i="48"/>
  <c r="BF1512" i="48"/>
  <c r="BE1512" i="48"/>
  <c r="BG1434" i="48"/>
  <c r="BF1434" i="48"/>
  <c r="BE1434" i="48"/>
  <c r="BH1434" i="48"/>
  <c r="BG1418" i="48"/>
  <c r="BF1418" i="48"/>
  <c r="BE1418" i="48"/>
  <c r="BH1418" i="48"/>
  <c r="BG998" i="48"/>
  <c r="BF998" i="48"/>
  <c r="BE998" i="48"/>
  <c r="BH998" i="48"/>
  <c r="BE930" i="48"/>
  <c r="BH930" i="48"/>
  <c r="BG930" i="48"/>
  <c r="BF930" i="48"/>
  <c r="BH1489" i="48"/>
  <c r="BF1489" i="48"/>
  <c r="BE1489" i="48"/>
  <c r="BG1489" i="48"/>
  <c r="BE1937" i="48"/>
  <c r="BF1937" i="48"/>
  <c r="BH1937" i="48"/>
  <c r="BG1937" i="48"/>
  <c r="BF1562" i="48"/>
  <c r="BE1562" i="48"/>
  <c r="BH1562" i="48"/>
  <c r="BG1562" i="48"/>
  <c r="BF1552" i="48"/>
  <c r="BE1552" i="48"/>
  <c r="BH1552" i="48"/>
  <c r="BG1552" i="48"/>
  <c r="BH1198" i="48"/>
  <c r="BG1198" i="48"/>
  <c r="BF1198" i="48"/>
  <c r="BE1198" i="48"/>
  <c r="BF284" i="48"/>
  <c r="BE284" i="48"/>
  <c r="BG284" i="48"/>
  <c r="BF181" i="48"/>
  <c r="BH181" i="48"/>
  <c r="BG181" i="48"/>
  <c r="BE181" i="48"/>
  <c r="BE127" i="48"/>
  <c r="BB127" i="48" s="1"/>
  <c r="BG127" i="48"/>
  <c r="BH127" i="48"/>
  <c r="BF127" i="48"/>
  <c r="BG157" i="48"/>
  <c r="BF157" i="48"/>
  <c r="BE157" i="48"/>
  <c r="BF527" i="48"/>
  <c r="BG527" i="48"/>
  <c r="BH527" i="48"/>
  <c r="BE527" i="48"/>
  <c r="BH796" i="48"/>
  <c r="BE796" i="48"/>
  <c r="BG796" i="48"/>
  <c r="BF796" i="48"/>
  <c r="BF1056" i="48"/>
  <c r="BG1056" i="48"/>
  <c r="BH1056" i="48"/>
  <c r="BE1056" i="48"/>
  <c r="BG1871" i="48"/>
  <c r="BF1871" i="48"/>
  <c r="BE1871" i="48"/>
  <c r="BH1871" i="48"/>
  <c r="BE857" i="48"/>
  <c r="BG857" i="48"/>
  <c r="BF857" i="48"/>
  <c r="BH857" i="48"/>
  <c r="BE669" i="48"/>
  <c r="BF669" i="48"/>
  <c r="BG669" i="48"/>
  <c r="BH669" i="48"/>
  <c r="BF928" i="48"/>
  <c r="BG928" i="48"/>
  <c r="BH928" i="48"/>
  <c r="BE928" i="48"/>
  <c r="BE1410" i="48"/>
  <c r="BH1410" i="48"/>
  <c r="BG1410" i="48"/>
  <c r="BF1410" i="48"/>
  <c r="BH1958" i="48"/>
  <c r="BE1958" i="48"/>
  <c r="BG1958" i="48"/>
  <c r="BF1958" i="48"/>
  <c r="BG1476" i="48"/>
  <c r="BF1476" i="48"/>
  <c r="BE1476" i="48"/>
  <c r="BH1476" i="48"/>
  <c r="BF888" i="48"/>
  <c r="BH888" i="48"/>
  <c r="BE888" i="48"/>
  <c r="BG888" i="48"/>
  <c r="BF1504" i="48"/>
  <c r="BE1504" i="48"/>
  <c r="BH1504" i="48"/>
  <c r="BG1504" i="48"/>
  <c r="BG1010" i="48"/>
  <c r="BF1010" i="48"/>
  <c r="BE1010" i="48"/>
  <c r="BH1010" i="48"/>
  <c r="BH1246" i="48"/>
  <c r="BG1246" i="48"/>
  <c r="BF1246" i="48"/>
  <c r="BE1246" i="48"/>
  <c r="BH1323" i="48"/>
  <c r="BE1323" i="48"/>
  <c r="BG1323" i="48"/>
  <c r="BF1323" i="48"/>
  <c r="BG1744" i="48"/>
  <c r="BF1744" i="48"/>
  <c r="BE1744" i="48"/>
  <c r="BH1744" i="48"/>
  <c r="BF908" i="48"/>
  <c r="BG908" i="48"/>
  <c r="BH908" i="48"/>
  <c r="BE908" i="48"/>
  <c r="BG1660" i="48"/>
  <c r="BF1660" i="48"/>
  <c r="BE1660" i="48"/>
  <c r="BH1660" i="48"/>
  <c r="BG868" i="48"/>
  <c r="BH868" i="48"/>
  <c r="BF868" i="48"/>
  <c r="BE868" i="48"/>
  <c r="BH1254" i="48"/>
  <c r="BG1254" i="48"/>
  <c r="BF1254" i="48"/>
  <c r="BE1254" i="48"/>
  <c r="BH1407" i="48"/>
  <c r="BG1407" i="48"/>
  <c r="BF1407" i="48"/>
  <c r="BE1407" i="48"/>
  <c r="BH1554" i="48"/>
  <c r="BG1554" i="48"/>
  <c r="BF1554" i="48"/>
  <c r="BE1554" i="48"/>
  <c r="BF2007" i="48"/>
  <c r="BE2007" i="48"/>
  <c r="BG2007" i="48"/>
  <c r="BH2007" i="48"/>
  <c r="BE1038" i="48"/>
  <c r="BH1038" i="48"/>
  <c r="BG1038" i="48"/>
  <c r="BF1038" i="48"/>
  <c r="BF1092" i="48"/>
  <c r="BG1092" i="48"/>
  <c r="BE1092" i="48"/>
  <c r="BH1092" i="48"/>
  <c r="BH355" i="48"/>
  <c r="BG355" i="48"/>
  <c r="BF355" i="48"/>
  <c r="BE355" i="48"/>
  <c r="BF429" i="48"/>
  <c r="BE429" i="48"/>
  <c r="BH429" i="48"/>
  <c r="BG429" i="48"/>
  <c r="BH467" i="48"/>
  <c r="BF467" i="48"/>
  <c r="BE467" i="48"/>
  <c r="BG467" i="48"/>
  <c r="BE274" i="48"/>
  <c r="BG274" i="48"/>
  <c r="BF274" i="48"/>
  <c r="BH354" i="48"/>
  <c r="BG354" i="48"/>
  <c r="BF354" i="48"/>
  <c r="BE354" i="48"/>
  <c r="BF552" i="48"/>
  <c r="BE552" i="48"/>
  <c r="BH552" i="48"/>
  <c r="BG552" i="48"/>
  <c r="BG85" i="48"/>
  <c r="BE85" i="48"/>
  <c r="BB85" i="48" s="1"/>
  <c r="BF85" i="48"/>
  <c r="BH85" i="48"/>
  <c r="BF247" i="48"/>
  <c r="AK247" i="48" s="1"/>
  <c r="AL247" i="48" s="1"/>
  <c r="BE247" i="48"/>
  <c r="BB247" i="48" s="1"/>
  <c r="BG247" i="48"/>
  <c r="BH247" i="48"/>
  <c r="BH325" i="48"/>
  <c r="BG325" i="48"/>
  <c r="BE325" i="48"/>
  <c r="BF325" i="48"/>
  <c r="BF138" i="48"/>
  <c r="AK138" i="48" s="1"/>
  <c r="AL138" i="48" s="1"/>
  <c r="BH138" i="48"/>
  <c r="BE138" i="48"/>
  <c r="BG138" i="48"/>
  <c r="BG1524" i="48"/>
  <c r="BF1524" i="48"/>
  <c r="BE1524" i="48"/>
  <c r="BH1524" i="48"/>
  <c r="BH1923" i="48"/>
  <c r="BG1923" i="48"/>
  <c r="BF1923" i="48"/>
  <c r="BE1923" i="48"/>
  <c r="BG1360" i="48"/>
  <c r="BF1360" i="48"/>
  <c r="BE1360" i="48"/>
  <c r="BH1360" i="48"/>
  <c r="BH2022" i="48"/>
  <c r="BF2022" i="48"/>
  <c r="BE2022" i="48"/>
  <c r="BG2022" i="48"/>
  <c r="BG1682" i="48"/>
  <c r="BH1682" i="48"/>
  <c r="BF1682" i="48"/>
  <c r="BE1682" i="48"/>
  <c r="BH2055" i="48"/>
  <c r="BG2055" i="48"/>
  <c r="BF2055" i="48"/>
  <c r="BE2055" i="48"/>
  <c r="BG1364" i="48"/>
  <c r="BF1364" i="48"/>
  <c r="BE1364" i="48"/>
  <c r="BH1364" i="48"/>
  <c r="BF1016" i="48"/>
  <c r="BG1016" i="48"/>
  <c r="BH1016" i="48"/>
  <c r="BE1016" i="48"/>
  <c r="BH731" i="48"/>
  <c r="BE731" i="48"/>
  <c r="BG731" i="48"/>
  <c r="BF731" i="48"/>
  <c r="BF1831" i="48"/>
  <c r="BH1831" i="48"/>
  <c r="BE1831" i="48"/>
  <c r="BG1831" i="48"/>
  <c r="BF1383" i="48"/>
  <c r="BE1383" i="48"/>
  <c r="BH1383" i="48"/>
  <c r="BG1383" i="48"/>
  <c r="BE1767" i="48"/>
  <c r="BH1767" i="48"/>
  <c r="BG1767" i="48"/>
  <c r="BF1767" i="48"/>
  <c r="BH1441" i="48"/>
  <c r="BF1441" i="48"/>
  <c r="BE1441" i="48"/>
  <c r="BG1441" i="48"/>
  <c r="BG1114" i="48"/>
  <c r="BF1114" i="48"/>
  <c r="BE1114" i="48"/>
  <c r="BH1114" i="48"/>
  <c r="BH2036" i="48"/>
  <c r="BG2036" i="48"/>
  <c r="BF2036" i="48"/>
  <c r="BE2036" i="48"/>
  <c r="BH1940" i="48"/>
  <c r="BG1940" i="48"/>
  <c r="BF1940" i="48"/>
  <c r="BE1940" i="48"/>
  <c r="BH1677" i="48"/>
  <c r="BE1677" i="48"/>
  <c r="BG1677" i="48"/>
  <c r="BF1677" i="48"/>
  <c r="BH1509" i="48"/>
  <c r="BG1509" i="48"/>
  <c r="BF1509" i="48"/>
  <c r="BE1509" i="48"/>
  <c r="BH1226" i="48"/>
  <c r="BG1226" i="48"/>
  <c r="BF1226" i="48"/>
  <c r="BE1226" i="48"/>
  <c r="BE1877" i="48"/>
  <c r="BH1877" i="48"/>
  <c r="BG1877" i="48"/>
  <c r="BF1877" i="48"/>
  <c r="BF1532" i="48"/>
  <c r="BE1532" i="48"/>
  <c r="BH1532" i="48"/>
  <c r="BG1532" i="48"/>
  <c r="BE973" i="48"/>
  <c r="BH973" i="48"/>
  <c r="BG973" i="48"/>
  <c r="BF973" i="48"/>
  <c r="BE513" i="48"/>
  <c r="BH513" i="48"/>
  <c r="BF513" i="48"/>
  <c r="BG513" i="48"/>
  <c r="BE159" i="48"/>
  <c r="BA159" i="48" s="1"/>
  <c r="BG159" i="48"/>
  <c r="BH159" i="48"/>
  <c r="BF159" i="48"/>
  <c r="BF296" i="48"/>
  <c r="AK296" i="48" s="1"/>
  <c r="AL296" i="48" s="1"/>
  <c r="BE296" i="48"/>
  <c r="BG296" i="48"/>
  <c r="BF536" i="48"/>
  <c r="BE536" i="48"/>
  <c r="BH536" i="48"/>
  <c r="BG536" i="48"/>
  <c r="BE942" i="48"/>
  <c r="BH942" i="48"/>
  <c r="BG942" i="48"/>
  <c r="BF942" i="48"/>
  <c r="BH1493" i="48"/>
  <c r="BE1493" i="48"/>
  <c r="BG1493" i="48"/>
  <c r="BF1493" i="48"/>
  <c r="BF1680" i="48"/>
  <c r="BH1680" i="48"/>
  <c r="BG1680" i="48"/>
  <c r="BE1680" i="48"/>
  <c r="BE877" i="48"/>
  <c r="BH877" i="48"/>
  <c r="BG877" i="48"/>
  <c r="BF877" i="48"/>
  <c r="BH1497" i="48"/>
  <c r="BG1497" i="48"/>
  <c r="BF1497" i="48"/>
  <c r="BE1497" i="48"/>
  <c r="BH702" i="48"/>
  <c r="BG702" i="48"/>
  <c r="BE702" i="48"/>
  <c r="BF702" i="48"/>
  <c r="BG962" i="48"/>
  <c r="BF962" i="48"/>
  <c r="BE962" i="48"/>
  <c r="BH962" i="48"/>
  <c r="BF1231" i="48"/>
  <c r="BE1231" i="48"/>
  <c r="BH1231" i="48"/>
  <c r="BG1231" i="48"/>
  <c r="BE1815" i="48"/>
  <c r="BG1815" i="48"/>
  <c r="BF1815" i="48"/>
  <c r="BH1815" i="48"/>
  <c r="BF1390" i="48"/>
  <c r="BE1390" i="48"/>
  <c r="BH1390" i="48"/>
  <c r="BG1390" i="48"/>
  <c r="BE1781" i="48"/>
  <c r="BH1781" i="48"/>
  <c r="BG1781" i="48"/>
  <c r="BF1781" i="48"/>
  <c r="BF1076" i="48"/>
  <c r="BG1076" i="48"/>
  <c r="BE1076" i="48"/>
  <c r="BH1076" i="48"/>
  <c r="BF912" i="48"/>
  <c r="BG912" i="48"/>
  <c r="BH912" i="48"/>
  <c r="BE912" i="48"/>
  <c r="BG1835" i="48"/>
  <c r="BF1835" i="48"/>
  <c r="BE1835" i="48"/>
  <c r="BH1835" i="48"/>
  <c r="BE1026" i="48"/>
  <c r="BH1026" i="48"/>
  <c r="BG1026" i="48"/>
  <c r="BF1026" i="48"/>
  <c r="BG1716" i="48"/>
  <c r="BF1716" i="48"/>
  <c r="BE1716" i="48"/>
  <c r="BH1716" i="48"/>
  <c r="BH1851" i="48"/>
  <c r="BG1851" i="48"/>
  <c r="BF1851" i="48"/>
  <c r="BE1851" i="48"/>
  <c r="BG964" i="48"/>
  <c r="BF964" i="48"/>
  <c r="BH964" i="48"/>
  <c r="BE964" i="48"/>
  <c r="BE613" i="48"/>
  <c r="BG613" i="48"/>
  <c r="BF613" i="48"/>
  <c r="BH613" i="48"/>
  <c r="BH1428" i="48"/>
  <c r="BG1428" i="48"/>
  <c r="BF1428" i="48"/>
  <c r="BE1428" i="48"/>
  <c r="BF1152" i="48"/>
  <c r="BG1152" i="48"/>
  <c r="BH1152" i="48"/>
  <c r="BE1152" i="48"/>
  <c r="BF572" i="48"/>
  <c r="BG572" i="48"/>
  <c r="BH572" i="48"/>
  <c r="BE572" i="48"/>
  <c r="BF1309" i="48"/>
  <c r="BE1309" i="48"/>
  <c r="BH1309" i="48"/>
  <c r="BG1309" i="48"/>
  <c r="BH1754" i="48"/>
  <c r="BE1754" i="48"/>
  <c r="BG1754" i="48"/>
  <c r="BF1754" i="48"/>
  <c r="BF2002" i="48"/>
  <c r="BE2002" i="48"/>
  <c r="BH2002" i="48"/>
  <c r="BG2002" i="48"/>
  <c r="BH1623" i="48"/>
  <c r="BE1623" i="48"/>
  <c r="BG1623" i="48"/>
  <c r="BF1623" i="48"/>
  <c r="BE1496" i="48"/>
  <c r="BH1496" i="48"/>
  <c r="BG1496" i="48"/>
  <c r="BF1496" i="48"/>
  <c r="BH1519" i="48"/>
  <c r="BG1519" i="48"/>
  <c r="BF1519" i="48"/>
  <c r="BE1519" i="48"/>
  <c r="BG153" i="48"/>
  <c r="BF153" i="48"/>
  <c r="AK153" i="48" s="1"/>
  <c r="AL153" i="48" s="1"/>
  <c r="BE153" i="48"/>
  <c r="BB153" i="48" s="1"/>
  <c r="BH153" i="48"/>
  <c r="BF90" i="48"/>
  <c r="BH90" i="48"/>
  <c r="BE90" i="48"/>
  <c r="BB90" i="48" s="1"/>
  <c r="BG90" i="48"/>
  <c r="BG65" i="48"/>
  <c r="BF65" i="48"/>
  <c r="BH65" i="48" s="1"/>
  <c r="BE65" i="48"/>
  <c r="BB65" i="48" s="1"/>
  <c r="BF495" i="48"/>
  <c r="BG495" i="48"/>
  <c r="BE495" i="48"/>
  <c r="BH495" i="48"/>
  <c r="BF520" i="48"/>
  <c r="BE520" i="48"/>
  <c r="BH520" i="48"/>
  <c r="BG520" i="48"/>
  <c r="BF365" i="48"/>
  <c r="BE365" i="48"/>
  <c r="BH365" i="48"/>
  <c r="BG365" i="48"/>
  <c r="BG326" i="48"/>
  <c r="BF326" i="48"/>
  <c r="BH326" i="48"/>
  <c r="BE326" i="48"/>
  <c r="BE231" i="48"/>
  <c r="BG231" i="48"/>
  <c r="BF231" i="48"/>
  <c r="AM231" i="48" s="1"/>
  <c r="AN231" i="48" s="1"/>
  <c r="BH402" i="48"/>
  <c r="BG402" i="48"/>
  <c r="BF402" i="48"/>
  <c r="BE402" i="48"/>
  <c r="BF182" i="48"/>
  <c r="BH182" i="48"/>
  <c r="BE182" i="48"/>
  <c r="BB182" i="48" s="1"/>
  <c r="BG182" i="48"/>
  <c r="BE250" i="48"/>
  <c r="BG250" i="48"/>
  <c r="BF250" i="48"/>
  <c r="AM250" i="48" s="1"/>
  <c r="AN250" i="48" s="1"/>
  <c r="BG398" i="48"/>
  <c r="BF398" i="48"/>
  <c r="BE398" i="48"/>
  <c r="BH398" i="48"/>
  <c r="BH1618" i="48"/>
  <c r="BG1618" i="48"/>
  <c r="BF1618" i="48"/>
  <c r="BE1618" i="48"/>
  <c r="BH732" i="48"/>
  <c r="BE732" i="48"/>
  <c r="BG732" i="48"/>
  <c r="BF732" i="48"/>
  <c r="BH670" i="48"/>
  <c r="BG670" i="48"/>
  <c r="BE670" i="48"/>
  <c r="BF670" i="48"/>
  <c r="BE1222" i="48"/>
  <c r="BH1222" i="48"/>
  <c r="BG1222" i="48"/>
  <c r="BF1222" i="48"/>
  <c r="BE954" i="48"/>
  <c r="BH954" i="48"/>
  <c r="BG954" i="48"/>
  <c r="BF954" i="48"/>
  <c r="BH588" i="48"/>
  <c r="BG588" i="48"/>
  <c r="BF588" i="48"/>
  <c r="BE588" i="48"/>
  <c r="BH1602" i="48"/>
  <c r="BG1602" i="48"/>
  <c r="BF1602" i="48"/>
  <c r="BE1602" i="48"/>
  <c r="BH926" i="48"/>
  <c r="BG926" i="48"/>
  <c r="BF926" i="48"/>
  <c r="BE926" i="48"/>
  <c r="BE1785" i="48"/>
  <c r="BH1785" i="48"/>
  <c r="BG1785" i="48"/>
  <c r="BF1785" i="48"/>
  <c r="BH663" i="48"/>
  <c r="BG663" i="48"/>
  <c r="BF663" i="48"/>
  <c r="BE663" i="48"/>
  <c r="BG1650" i="48"/>
  <c r="BF1650" i="48"/>
  <c r="BE1650" i="48"/>
  <c r="BH1650" i="48"/>
  <c r="BH1395" i="48"/>
  <c r="BG1395" i="48"/>
  <c r="BF1395" i="48"/>
  <c r="BE1395" i="48"/>
  <c r="BF1214" i="48"/>
  <c r="BE1214" i="48"/>
  <c r="BH1214" i="48"/>
  <c r="BG1214" i="48"/>
  <c r="BE1906" i="48"/>
  <c r="BF1906" i="48"/>
  <c r="BH1906" i="48"/>
  <c r="BG1906" i="48"/>
  <c r="BG1193" i="48"/>
  <c r="BF1193" i="48"/>
  <c r="BE1193" i="48"/>
  <c r="BH1193" i="48"/>
  <c r="BE1516" i="48"/>
  <c r="BH1516" i="48"/>
  <c r="BG1516" i="48"/>
  <c r="BF1516" i="48"/>
  <c r="BH1907" i="48"/>
  <c r="BE1907" i="48"/>
  <c r="BG1907" i="48"/>
  <c r="BF1907" i="48"/>
  <c r="BG501" i="48"/>
  <c r="BE501" i="48"/>
  <c r="BH501" i="48"/>
  <c r="BF501" i="48"/>
  <c r="BF216" i="48"/>
  <c r="AM216" i="48" s="1"/>
  <c r="AN216" i="48" s="1"/>
  <c r="BE216" i="48"/>
  <c r="BH216" i="48"/>
  <c r="BG216" i="48"/>
  <c r="BE285" i="48"/>
  <c r="BG285" i="48"/>
  <c r="BF285" i="48"/>
  <c r="AM285" i="48" s="1"/>
  <c r="AN285" i="48" s="1"/>
  <c r="BG281" i="48"/>
  <c r="BF281" i="48"/>
  <c r="AM281" i="48" s="1"/>
  <c r="AN281" i="48" s="1"/>
  <c r="BE281" i="48"/>
  <c r="BB281" i="48" s="1"/>
  <c r="BH281" i="48"/>
  <c r="BE1586" i="48"/>
  <c r="BH1586" i="48"/>
  <c r="BG1586" i="48"/>
  <c r="BF1586" i="48"/>
  <c r="BF631" i="48"/>
  <c r="BE631" i="48"/>
  <c r="BH631" i="48"/>
  <c r="BG631" i="48"/>
  <c r="BH654" i="48"/>
  <c r="BG654" i="48"/>
  <c r="BF654" i="48"/>
  <c r="BE654" i="48"/>
  <c r="BG1280" i="48"/>
  <c r="BF1280" i="48"/>
  <c r="BE1280" i="48"/>
  <c r="BH1280" i="48"/>
  <c r="BE1903" i="48"/>
  <c r="BH1903" i="48"/>
  <c r="BG1903" i="48"/>
  <c r="BF1903" i="48"/>
  <c r="BF1399" i="48"/>
  <c r="BE1399" i="48"/>
  <c r="BH1399" i="48"/>
  <c r="BG1399" i="48"/>
  <c r="BE1735" i="48"/>
  <c r="BH1735" i="48"/>
  <c r="BG1735" i="48"/>
  <c r="BF1735" i="48"/>
  <c r="BF1700" i="48"/>
  <c r="BE1700" i="48"/>
  <c r="BH1700" i="48"/>
  <c r="BG1700" i="48"/>
  <c r="BE1414" i="48"/>
  <c r="BH1414" i="48"/>
  <c r="BG1414" i="48"/>
  <c r="BF1414" i="48"/>
  <c r="BH1705" i="48"/>
  <c r="BG1705" i="48"/>
  <c r="BF1705" i="48"/>
  <c r="BE1705" i="48"/>
  <c r="BE782" i="48"/>
  <c r="BH782" i="48"/>
  <c r="BG782" i="48"/>
  <c r="BF782" i="48"/>
  <c r="BG1162" i="48"/>
  <c r="BH1162" i="48"/>
  <c r="BF1162" i="48"/>
  <c r="BE1162" i="48"/>
  <c r="BH986" i="48"/>
  <c r="BG986" i="48"/>
  <c r="BF986" i="48"/>
  <c r="BE986" i="48"/>
  <c r="BE1658" i="48"/>
  <c r="BH1658" i="48"/>
  <c r="BG1658" i="48"/>
  <c r="BF1658" i="48"/>
  <c r="BH1034" i="48"/>
  <c r="BG1034" i="48"/>
  <c r="BF1034" i="48"/>
  <c r="BE1034" i="48"/>
  <c r="BE1985" i="48"/>
  <c r="BG1985" i="48"/>
  <c r="BF1985" i="48"/>
  <c r="BH1985" i="48"/>
  <c r="BE1153" i="48"/>
  <c r="BH1153" i="48"/>
  <c r="BG1153" i="48"/>
  <c r="BF1153" i="48"/>
  <c r="BF916" i="48"/>
  <c r="BG916" i="48"/>
  <c r="BH916" i="48"/>
  <c r="BE916" i="48"/>
  <c r="BE933" i="48"/>
  <c r="BH933" i="48"/>
  <c r="BG933" i="48"/>
  <c r="BF933" i="48"/>
  <c r="BE1137" i="48"/>
  <c r="BH1137" i="48"/>
  <c r="BG1137" i="48"/>
  <c r="BF1137" i="48"/>
  <c r="BF1533" i="48"/>
  <c r="BE1533" i="48"/>
  <c r="BH1533" i="48"/>
  <c r="BG1533" i="48"/>
  <c r="BF591" i="48"/>
  <c r="BE591" i="48"/>
  <c r="BH591" i="48"/>
  <c r="BG591" i="48"/>
  <c r="BG854" i="48"/>
  <c r="BF854" i="48"/>
  <c r="BE854" i="48"/>
  <c r="BH854" i="48"/>
  <c r="BF924" i="48"/>
  <c r="BG924" i="48"/>
  <c r="BH924" i="48"/>
  <c r="BE924" i="48"/>
  <c r="BH1194" i="48"/>
  <c r="BG1194" i="48"/>
  <c r="BF1194" i="48"/>
  <c r="BE1194" i="48"/>
  <c r="BG267" i="48"/>
  <c r="BF267" i="48"/>
  <c r="AK267" i="48" s="1"/>
  <c r="AL267" i="48" s="1"/>
  <c r="BH267" i="48"/>
  <c r="BE267" i="48"/>
  <c r="BB267" i="48" s="1"/>
  <c r="BF393" i="48"/>
  <c r="BH393" i="48"/>
  <c r="BG393" i="48"/>
  <c r="BE393" i="48"/>
  <c r="BH396" i="48"/>
  <c r="BG396" i="48"/>
  <c r="BF396" i="48"/>
  <c r="BE396" i="48"/>
  <c r="BH321" i="48"/>
  <c r="BG321" i="48"/>
  <c r="BF321" i="48"/>
  <c r="BE321" i="48"/>
  <c r="BE270" i="48"/>
  <c r="BG270" i="48"/>
  <c r="BF270" i="48"/>
  <c r="BH333" i="48"/>
  <c r="BG333" i="48"/>
  <c r="BF333" i="48"/>
  <c r="BE333" i="48"/>
  <c r="BF165" i="48"/>
  <c r="BH165" i="48"/>
  <c r="BG165" i="48"/>
  <c r="BE165" i="48"/>
  <c r="BB165" i="48" s="1"/>
  <c r="BH457" i="48"/>
  <c r="BG457" i="48"/>
  <c r="BE457" i="48"/>
  <c r="BF457" i="48"/>
  <c r="BH554" i="48"/>
  <c r="BE554" i="48"/>
  <c r="BF554" i="48"/>
  <c r="BG554" i="48"/>
  <c r="BG473" i="48"/>
  <c r="BE473" i="48"/>
  <c r="BF473" i="48"/>
  <c r="BH473" i="48"/>
  <c r="BH115" i="48"/>
  <c r="BF115" i="48"/>
  <c r="AM115" i="48" s="1"/>
  <c r="AN115" i="48" s="1"/>
  <c r="BE115" i="48"/>
  <c r="BB115" i="48" s="1"/>
  <c r="BG115" i="48"/>
  <c r="BE470" i="48"/>
  <c r="BG470" i="48"/>
  <c r="BF470" i="48"/>
  <c r="BH470" i="48"/>
  <c r="BF563" i="48"/>
  <c r="BG563" i="48"/>
  <c r="BE563" i="48"/>
  <c r="BH563" i="48"/>
  <c r="BH711" i="48"/>
  <c r="BG711" i="48"/>
  <c r="BF711" i="48"/>
  <c r="BE711" i="48"/>
  <c r="BF1459" i="48"/>
  <c r="BE1459" i="48"/>
  <c r="BH1459" i="48"/>
  <c r="BG1459" i="48"/>
  <c r="BF1714" i="48"/>
  <c r="BG1714" i="48"/>
  <c r="BH1714" i="48"/>
  <c r="BE1714" i="48"/>
  <c r="BG1091" i="48"/>
  <c r="BF1091" i="48"/>
  <c r="BE1091" i="48"/>
  <c r="BH1091" i="48"/>
  <c r="BH1578" i="48"/>
  <c r="BG1578" i="48"/>
  <c r="BF1578" i="48"/>
  <c r="BE1578" i="48"/>
  <c r="BE578" i="48"/>
  <c r="BH578" i="48"/>
  <c r="BG578" i="48"/>
  <c r="BF578" i="48"/>
  <c r="BE1435" i="48"/>
  <c r="BH1435" i="48"/>
  <c r="BG1435" i="48"/>
  <c r="BF1435" i="48"/>
  <c r="BG1239" i="48"/>
  <c r="BF1239" i="48"/>
  <c r="BE1239" i="48"/>
  <c r="BH1239" i="48"/>
  <c r="BG1402" i="48"/>
  <c r="BF1402" i="48"/>
  <c r="BE1402" i="48"/>
  <c r="BH1402" i="48"/>
  <c r="BH1892" i="48"/>
  <c r="BE1892" i="48"/>
  <c r="BG1892" i="48"/>
  <c r="BF1892" i="48"/>
  <c r="BH1774" i="48"/>
  <c r="BE1774" i="48"/>
  <c r="BG1774" i="48"/>
  <c r="BF1774" i="48"/>
  <c r="BH707" i="48"/>
  <c r="BE707" i="48"/>
  <c r="BG707" i="48"/>
  <c r="BF707" i="48"/>
  <c r="BH2049" i="48"/>
  <c r="BG2049" i="48"/>
  <c r="BF2049" i="48"/>
  <c r="BE2049" i="48"/>
  <c r="BH1606" i="48"/>
  <c r="BG1606" i="48"/>
  <c r="BF1606" i="48"/>
  <c r="BE1606" i="48"/>
  <c r="BE498" i="48"/>
  <c r="BH498" i="48"/>
  <c r="BG498" i="48"/>
  <c r="BF498" i="48"/>
  <c r="BG136" i="48"/>
  <c r="BE136" i="48"/>
  <c r="BH136" i="48"/>
  <c r="BF136" i="48"/>
  <c r="BG234" i="48"/>
  <c r="BF234" i="48"/>
  <c r="AK234" i="48" s="1"/>
  <c r="AL234" i="48" s="1"/>
  <c r="BH234" i="48"/>
  <c r="BE234" i="48"/>
  <c r="BB234" i="48" s="1"/>
  <c r="BG337" i="48"/>
  <c r="BF337" i="48"/>
  <c r="BE337" i="48"/>
  <c r="BH337" i="48"/>
  <c r="BF535" i="48"/>
  <c r="BG535" i="48"/>
  <c r="BE535" i="48"/>
  <c r="BH535" i="48"/>
  <c r="BG408" i="48"/>
  <c r="BE408" i="48"/>
  <c r="BH408" i="48"/>
  <c r="BF408" i="48"/>
  <c r="BG1816" i="48"/>
  <c r="BF1816" i="48"/>
  <c r="BE1816" i="48"/>
  <c r="BH1816" i="48"/>
  <c r="BH1461" i="48"/>
  <c r="BE1461" i="48"/>
  <c r="BG1461" i="48"/>
  <c r="BF1461" i="48"/>
  <c r="BF1330" i="48"/>
  <c r="BE1330" i="48"/>
  <c r="BH1330" i="48"/>
  <c r="BG1330" i="48"/>
  <c r="BG886" i="48"/>
  <c r="BF886" i="48"/>
  <c r="BE886" i="48"/>
  <c r="BH886" i="48"/>
  <c r="BF2033" i="48"/>
  <c r="BG2033" i="48"/>
  <c r="BH2033" i="48"/>
  <c r="BE2033" i="48"/>
  <c r="BF1695" i="48"/>
  <c r="BE1695" i="48"/>
  <c r="BH1695" i="48"/>
  <c r="BG1695" i="48"/>
  <c r="BG1784" i="48"/>
  <c r="BF1784" i="48"/>
  <c r="BE1784" i="48"/>
  <c r="BH1784" i="48"/>
  <c r="BH647" i="48"/>
  <c r="BG647" i="48"/>
  <c r="BF647" i="48"/>
  <c r="BE647" i="48"/>
  <c r="BH1429" i="48"/>
  <c r="BF1429" i="48"/>
  <c r="BE1429" i="48"/>
  <c r="BG1429" i="48"/>
  <c r="BH1294" i="48"/>
  <c r="BG1294" i="48"/>
  <c r="BF1294" i="48"/>
  <c r="BE1294" i="48"/>
  <c r="BG1915" i="48"/>
  <c r="BF1915" i="48"/>
  <c r="BE1915" i="48"/>
  <c r="BH1915" i="48"/>
  <c r="BG1633" i="48"/>
  <c r="BF1633" i="48"/>
  <c r="BE1633" i="48"/>
  <c r="BH1633" i="48"/>
  <c r="BE1989" i="48"/>
  <c r="BG1989" i="48"/>
  <c r="BF1989" i="48"/>
  <c r="BH1989" i="48"/>
  <c r="BH1473" i="48"/>
  <c r="BG1473" i="48"/>
  <c r="BF1473" i="48"/>
  <c r="BE1473" i="48"/>
  <c r="BF1953" i="48"/>
  <c r="BE1953" i="48"/>
  <c r="BH1953" i="48"/>
  <c r="BG1953" i="48"/>
  <c r="BF1757" i="48"/>
  <c r="BH1757" i="48"/>
  <c r="BE1757" i="48"/>
  <c r="BG1757" i="48"/>
  <c r="BH1095" i="48"/>
  <c r="BG1095" i="48"/>
  <c r="BF1095" i="48"/>
  <c r="BE1095" i="48"/>
  <c r="BG1209" i="48"/>
  <c r="BF1209" i="48"/>
  <c r="BE1209" i="48"/>
  <c r="BH1209" i="48"/>
  <c r="BE1442" i="48"/>
  <c r="BH1442" i="48"/>
  <c r="BG1442" i="48"/>
  <c r="BF1442" i="48"/>
  <c r="BG1601" i="48"/>
  <c r="BF1601" i="48"/>
  <c r="BE1601" i="48"/>
  <c r="BH1601" i="48"/>
  <c r="BH1576" i="48"/>
  <c r="BG1576" i="48"/>
  <c r="BF1576" i="48"/>
  <c r="BE1576" i="48"/>
  <c r="BG1050" i="48"/>
  <c r="BF1050" i="48"/>
  <c r="BE1050" i="48"/>
  <c r="BH1050" i="48"/>
  <c r="BF1748" i="48"/>
  <c r="BE1748" i="48"/>
  <c r="BH1748" i="48"/>
  <c r="BG1748" i="48"/>
  <c r="BG472" i="48"/>
  <c r="BE472" i="48"/>
  <c r="BH472" i="48"/>
  <c r="BF472" i="48"/>
  <c r="BF168" i="48"/>
  <c r="BE168" i="48"/>
  <c r="BH168" i="48"/>
  <c r="BG168" i="48"/>
  <c r="BH510" i="48"/>
  <c r="BF510" i="48"/>
  <c r="BE510" i="48"/>
  <c r="BG510" i="48"/>
  <c r="BH397" i="48"/>
  <c r="BG397" i="48"/>
  <c r="BF397" i="48"/>
  <c r="BE397" i="48"/>
  <c r="BE242" i="48"/>
  <c r="BG242" i="48"/>
  <c r="BF242" i="48"/>
  <c r="AK242" i="48" s="1"/>
  <c r="AL242" i="48" s="1"/>
  <c r="BH242" i="48"/>
  <c r="BH419" i="48"/>
  <c r="BG419" i="48"/>
  <c r="BF419" i="48"/>
  <c r="BE419" i="48"/>
  <c r="BG390" i="48"/>
  <c r="BF390" i="48"/>
  <c r="BH390" i="48"/>
  <c r="BE390" i="48"/>
  <c r="BG278" i="48"/>
  <c r="BF278" i="48"/>
  <c r="AK278" i="48" s="1"/>
  <c r="AL278" i="48" s="1"/>
  <c r="BE278" i="48"/>
  <c r="BB278" i="48" s="1"/>
  <c r="AB278" i="48" s="1"/>
  <c r="BH982" i="48"/>
  <c r="BG982" i="48"/>
  <c r="BF982" i="48"/>
  <c r="BE982" i="48"/>
  <c r="BG1620" i="48"/>
  <c r="BF1620" i="48"/>
  <c r="BE1620" i="48"/>
  <c r="BH1620" i="48"/>
  <c r="BH1824" i="48"/>
  <c r="BG1824" i="48"/>
  <c r="BF1824" i="48"/>
  <c r="BE1824" i="48"/>
  <c r="BE689" i="48"/>
  <c r="BF689" i="48"/>
  <c r="BG689" i="48"/>
  <c r="BH689" i="48"/>
  <c r="BE1376" i="48"/>
  <c r="BH1376" i="48"/>
  <c r="BG1376" i="48"/>
  <c r="BF1376" i="48"/>
  <c r="BE1753" i="48"/>
  <c r="BG1753" i="48"/>
  <c r="BF1753" i="48"/>
  <c r="BH1753" i="48"/>
  <c r="BE1310" i="48"/>
  <c r="BH1310" i="48"/>
  <c r="BG1310" i="48"/>
  <c r="BF1310" i="48"/>
  <c r="BH1122" i="48"/>
  <c r="BG1122" i="48"/>
  <c r="BF1122" i="48"/>
  <c r="BE1122" i="48"/>
  <c r="BG1216" i="48"/>
  <c r="BF1216" i="48"/>
  <c r="BE1216" i="48"/>
  <c r="BH1216" i="48"/>
  <c r="BH1801" i="48"/>
  <c r="BG1801" i="48"/>
  <c r="BF1801" i="48"/>
  <c r="BE1801" i="48"/>
  <c r="BH1444" i="48"/>
  <c r="BG1444" i="48"/>
  <c r="BF1444" i="48"/>
  <c r="BE1444" i="48"/>
  <c r="BG1547" i="48"/>
  <c r="BF1547" i="48"/>
  <c r="BH1547" i="48"/>
  <c r="BE1547" i="48"/>
  <c r="BH636" i="48"/>
  <c r="BF636" i="48"/>
  <c r="BE636" i="48"/>
  <c r="BG636" i="48"/>
  <c r="BH1655" i="48"/>
  <c r="BE1655" i="48"/>
  <c r="BG1655" i="48"/>
  <c r="BF1655" i="48"/>
  <c r="BH724" i="48"/>
  <c r="BF724" i="48"/>
  <c r="BE724" i="48"/>
  <c r="BG724" i="48"/>
  <c r="BE1057" i="48"/>
  <c r="BH1057" i="48"/>
  <c r="BG1057" i="48"/>
  <c r="BF1057" i="48"/>
  <c r="BG1679" i="48"/>
  <c r="BE1679" i="48"/>
  <c r="BH1679" i="48"/>
  <c r="BF1679" i="48"/>
  <c r="BF1138" i="48"/>
  <c r="BE1138" i="48"/>
  <c r="BH1138" i="48"/>
  <c r="BG1138" i="48"/>
  <c r="BE801" i="48"/>
  <c r="BF801" i="48"/>
  <c r="BG801" i="48"/>
  <c r="BH801" i="48"/>
  <c r="BE1168" i="48"/>
  <c r="BH1168" i="48"/>
  <c r="BG1168" i="48"/>
  <c r="BF1168" i="48"/>
  <c r="BH679" i="48"/>
  <c r="BG679" i="48"/>
  <c r="BF679" i="48"/>
  <c r="BE679" i="48"/>
  <c r="BG1296" i="48"/>
  <c r="BF1296" i="48"/>
  <c r="BE1296" i="48"/>
  <c r="BH1296" i="48"/>
  <c r="BH638" i="48"/>
  <c r="BG638" i="48"/>
  <c r="BE638" i="48"/>
  <c r="BF638" i="48"/>
  <c r="BH1553" i="48"/>
  <c r="BG1553" i="48"/>
  <c r="BF1553" i="48"/>
  <c r="BE1553" i="48"/>
  <c r="BF1642" i="48"/>
  <c r="BE1642" i="48"/>
  <c r="BH1642" i="48"/>
  <c r="BG1642" i="48"/>
  <c r="BH1850" i="48"/>
  <c r="BG1850" i="48"/>
  <c r="BF1850" i="48"/>
  <c r="BE1850" i="48"/>
  <c r="BG1946" i="48"/>
  <c r="BF1946" i="48"/>
  <c r="BE1946" i="48"/>
  <c r="BH1946" i="48"/>
  <c r="BH1167" i="48"/>
  <c r="BG1167" i="48"/>
  <c r="BF1167" i="48"/>
  <c r="BE1167" i="48"/>
  <c r="BG101" i="48"/>
  <c r="BE101" i="48"/>
  <c r="BF101" i="48"/>
  <c r="BG146" i="48"/>
  <c r="BF146" i="48"/>
  <c r="BE146" i="48"/>
  <c r="BF547" i="48"/>
  <c r="BG547" i="48"/>
  <c r="BH547" i="48"/>
  <c r="BE547" i="48"/>
  <c r="BG1273" i="48"/>
  <c r="BF1273" i="48"/>
  <c r="BE1273" i="48"/>
  <c r="BH1273" i="48"/>
  <c r="BF1408" i="48"/>
  <c r="BE1408" i="48"/>
  <c r="BH1408" i="48"/>
  <c r="BG1408" i="48"/>
  <c r="BF2000" i="48"/>
  <c r="BG2000" i="48"/>
  <c r="BH2000" i="48"/>
  <c r="BE2000" i="48"/>
  <c r="BF1479" i="48"/>
  <c r="BE1479" i="48"/>
  <c r="BH1479" i="48"/>
  <c r="BG1479" i="48"/>
  <c r="BG1066" i="48"/>
  <c r="BF1066" i="48"/>
  <c r="BE1066" i="48"/>
  <c r="BH1066" i="48"/>
  <c r="BF1540" i="48"/>
  <c r="BE1540" i="48"/>
  <c r="BH1540" i="48"/>
  <c r="BG1540" i="48"/>
  <c r="BH1856" i="48"/>
  <c r="BG1856" i="48"/>
  <c r="BF1856" i="48"/>
  <c r="BE1856" i="48"/>
  <c r="BE1174" i="48"/>
  <c r="BH1174" i="48"/>
  <c r="BG1174" i="48"/>
  <c r="BF1174" i="48"/>
  <c r="BF1372" i="48"/>
  <c r="BE1372" i="48"/>
  <c r="BH1372" i="48"/>
  <c r="BG1372" i="48"/>
  <c r="BH870" i="48"/>
  <c r="BG870" i="48"/>
  <c r="BF870" i="48"/>
  <c r="BE870" i="48"/>
  <c r="BE1807" i="48"/>
  <c r="BF1807" i="48"/>
  <c r="BG1807" i="48"/>
  <c r="BH1807" i="48"/>
  <c r="BF794" i="48"/>
  <c r="BH794" i="48"/>
  <c r="BG794" i="48"/>
  <c r="BE794" i="48"/>
  <c r="BE873" i="48"/>
  <c r="BH873" i="48"/>
  <c r="BG873" i="48"/>
  <c r="BF873" i="48"/>
  <c r="BH1071" i="48"/>
  <c r="BE1071" i="48"/>
  <c r="BG1071" i="48"/>
  <c r="BF1071" i="48"/>
  <c r="BE1820" i="48"/>
  <c r="BH1820" i="48"/>
  <c r="BG1820" i="48"/>
  <c r="BF1820" i="48"/>
  <c r="BE86" i="48"/>
  <c r="BG86" i="48"/>
  <c r="BF86" i="48"/>
  <c r="BH86" i="48"/>
  <c r="BE353" i="48"/>
  <c r="BH353" i="48"/>
  <c r="BG353" i="48"/>
  <c r="BF353" i="48"/>
  <c r="BG264" i="48"/>
  <c r="BE264" i="48"/>
  <c r="BF264" i="48"/>
  <c r="BE460" i="48"/>
  <c r="BH460" i="48"/>
  <c r="BG460" i="48"/>
  <c r="BF460" i="48"/>
  <c r="BE1378" i="48"/>
  <c r="BH1378" i="48"/>
  <c r="BG1378" i="48"/>
  <c r="BF1378" i="48"/>
  <c r="BG900" i="48"/>
  <c r="BH900" i="48"/>
  <c r="BF900" i="48"/>
  <c r="BE900" i="48"/>
  <c r="BE1654" i="48"/>
  <c r="BH1654" i="48"/>
  <c r="BG1654" i="48"/>
  <c r="BF1654" i="48"/>
  <c r="BG1622" i="48"/>
  <c r="BF1622" i="48"/>
  <c r="BE1622" i="48"/>
  <c r="BH1622" i="48"/>
  <c r="BG1538" i="48"/>
  <c r="BF1538" i="48"/>
  <c r="BE1538" i="48"/>
  <c r="BH1538" i="48"/>
  <c r="BH934" i="48"/>
  <c r="BG934" i="48"/>
  <c r="BF934" i="48"/>
  <c r="BE934" i="48"/>
  <c r="BG710" i="48"/>
  <c r="BF710" i="48"/>
  <c r="BE710" i="48"/>
  <c r="BH710" i="48"/>
  <c r="BH1219" i="48"/>
  <c r="BG1219" i="48"/>
  <c r="BF1219" i="48"/>
  <c r="BE1219" i="48"/>
  <c r="BF1698" i="48"/>
  <c r="BG1698" i="48"/>
  <c r="BH1698" i="48"/>
  <c r="BE1698" i="48"/>
  <c r="BE1701" i="48"/>
  <c r="BH1701" i="48"/>
  <c r="BG1701" i="48"/>
  <c r="BF1701" i="48"/>
  <c r="BG2048" i="48"/>
  <c r="BF2048" i="48"/>
  <c r="BE2048" i="48"/>
  <c r="BH2048" i="48"/>
  <c r="BE1073" i="48"/>
  <c r="BH1073" i="48"/>
  <c r="BG1073" i="48"/>
  <c r="BF1073" i="48"/>
  <c r="BE830" i="48"/>
  <c r="BH830" i="48"/>
  <c r="BG830" i="48"/>
  <c r="BF830" i="48"/>
  <c r="BE885" i="48"/>
  <c r="BH885" i="48"/>
  <c r="BG885" i="48"/>
  <c r="BF885" i="48"/>
  <c r="BE965" i="48"/>
  <c r="BH965" i="48"/>
  <c r="BG965" i="48"/>
  <c r="BF965" i="48"/>
  <c r="BF200" i="48"/>
  <c r="BE200" i="48"/>
  <c r="BH200" i="48"/>
  <c r="BG200" i="48"/>
  <c r="BF488" i="48"/>
  <c r="BE488" i="48"/>
  <c r="BH488" i="48"/>
  <c r="BG488" i="48"/>
  <c r="BE1771" i="48"/>
  <c r="BH1771" i="48"/>
  <c r="BG1771" i="48"/>
  <c r="BF1771" i="48"/>
  <c r="BH1481" i="48"/>
  <c r="BE1481" i="48"/>
  <c r="BG1481" i="48"/>
  <c r="BF1481" i="48"/>
  <c r="BG734" i="48"/>
  <c r="BF734" i="48"/>
  <c r="BE734" i="48"/>
  <c r="BH734" i="48"/>
  <c r="BE1841" i="48"/>
  <c r="BH1841" i="48"/>
  <c r="BG1841" i="48"/>
  <c r="BF1841" i="48"/>
  <c r="BE1090" i="48"/>
  <c r="BH1090" i="48"/>
  <c r="BG1090" i="48"/>
  <c r="BF1090" i="48"/>
  <c r="BE718" i="48"/>
  <c r="BH718" i="48"/>
  <c r="BG718" i="48"/>
  <c r="BF718" i="48"/>
  <c r="BE1467" i="48"/>
  <c r="BH1467" i="48"/>
  <c r="BG1467" i="48"/>
  <c r="BF1467" i="48"/>
  <c r="BH1334" i="48"/>
  <c r="BG1334" i="48"/>
  <c r="BF1334" i="48"/>
  <c r="BE1334" i="48"/>
  <c r="BG1580" i="48"/>
  <c r="BF1580" i="48"/>
  <c r="BE1580" i="48"/>
  <c r="BH1580" i="48"/>
  <c r="BF1638" i="48"/>
  <c r="BE1638" i="48"/>
  <c r="BH1638" i="48"/>
  <c r="BG1638" i="48"/>
  <c r="BF1743" i="48"/>
  <c r="BE1743" i="48"/>
  <c r="BH1743" i="48"/>
  <c r="BG1743" i="48"/>
  <c r="BG1248" i="48"/>
  <c r="BF1248" i="48"/>
  <c r="BE1248" i="48"/>
  <c r="BH1248" i="48"/>
  <c r="BH1924" i="48"/>
  <c r="BE1924" i="48"/>
  <c r="BG1924" i="48"/>
  <c r="BF1924" i="48"/>
  <c r="BF1386" i="48"/>
  <c r="BE1386" i="48"/>
  <c r="BH1386" i="48"/>
  <c r="BG1386" i="48"/>
  <c r="BH1455" i="48"/>
  <c r="BG1455" i="48"/>
  <c r="BF1455" i="48"/>
  <c r="BE1455" i="48"/>
  <c r="BG1158" i="48"/>
  <c r="BF1158" i="48"/>
  <c r="BE1158" i="48"/>
  <c r="BH1158" i="48"/>
  <c r="BH983" i="48"/>
  <c r="BG983" i="48"/>
  <c r="BF983" i="48"/>
  <c r="BE983" i="48"/>
  <c r="BE2020" i="48"/>
  <c r="BF2020" i="48"/>
  <c r="BH2020" i="48"/>
  <c r="BG2020" i="48"/>
  <c r="BF927" i="48"/>
  <c r="BE927" i="48"/>
  <c r="BH927" i="48"/>
  <c r="BG927" i="48"/>
  <c r="BF1495" i="48"/>
  <c r="BE1495" i="48"/>
  <c r="BH1495" i="48"/>
  <c r="BG1495" i="48"/>
  <c r="BE1998" i="48"/>
  <c r="BH1998" i="48"/>
  <c r="BG1998" i="48"/>
  <c r="BF1998" i="48"/>
  <c r="BH1259" i="48"/>
  <c r="BG1259" i="48"/>
  <c r="BF1259" i="48"/>
  <c r="BE1259" i="48"/>
  <c r="BH1195" i="48"/>
  <c r="BG1195" i="48"/>
  <c r="BF1195" i="48"/>
  <c r="BE1195" i="48"/>
  <c r="BH1439" i="48"/>
  <c r="BG1439" i="48"/>
  <c r="BF1439" i="48"/>
  <c r="BE1439" i="48"/>
  <c r="BH1019" i="48"/>
  <c r="BF1019" i="48"/>
  <c r="BE1019" i="48"/>
  <c r="BG1019" i="48"/>
  <c r="BH1007" i="48"/>
  <c r="BE1007" i="48"/>
  <c r="BG1007" i="48"/>
  <c r="BF1007" i="48"/>
  <c r="BG862" i="48"/>
  <c r="BF862" i="48"/>
  <c r="BE862" i="48"/>
  <c r="BH862" i="48"/>
  <c r="AP634" i="48"/>
  <c r="AO198" i="48"/>
  <c r="AP198" i="48" s="1"/>
  <c r="AO423" i="48"/>
  <c r="AN2040" i="48"/>
  <c r="AK2040" i="48"/>
  <c r="AP1373" i="48"/>
  <c r="AN1148" i="48"/>
  <c r="AL689" i="48"/>
  <c r="AO1445" i="48"/>
  <c r="AL851" i="48"/>
  <c r="AK1133" i="48"/>
  <c r="AL1229" i="48"/>
  <c r="AM1229" i="48"/>
  <c r="BE57" i="48"/>
  <c r="BA57" i="48" s="1"/>
  <c r="BG57" i="48"/>
  <c r="AO2040" i="48"/>
  <c r="AO689" i="48"/>
  <c r="BF57" i="48"/>
  <c r="AK57" i="48" s="1"/>
  <c r="AL57" i="48" s="1"/>
  <c r="BJ57" i="48"/>
  <c r="AP1537" i="48"/>
  <c r="AL1537" i="48"/>
  <c r="AK1407" i="48"/>
  <c r="AL1407" i="48"/>
  <c r="AK734" i="48"/>
  <c r="AM734" i="48"/>
  <c r="AL1925" i="48"/>
  <c r="AP1925" i="48"/>
  <c r="AP1577" i="48"/>
  <c r="AK1577" i="48"/>
  <c r="AL1189" i="48"/>
  <c r="AP1189" i="48"/>
  <c r="AM1757" i="48"/>
  <c r="AL1757" i="48"/>
  <c r="AO1795" i="48"/>
  <c r="AM1795" i="48"/>
  <c r="AP1795" i="48"/>
  <c r="AM627" i="48"/>
  <c r="AL627" i="48"/>
  <c r="AN1087" i="48"/>
  <c r="AP1087" i="48"/>
  <c r="AP682" i="48"/>
  <c r="AL682" i="48"/>
  <c r="AK857" i="48"/>
  <c r="AL857" i="48"/>
  <c r="AN857" i="48"/>
  <c r="AO1235" i="48"/>
  <c r="AL1235" i="48"/>
  <c r="AK1235" i="48"/>
  <c r="AN892" i="48"/>
  <c r="AL892" i="48"/>
  <c r="AP892" i="48"/>
  <c r="AO892" i="48"/>
  <c r="AK1084" i="48"/>
  <c r="AP1084" i="48"/>
  <c r="AO1084" i="48"/>
  <c r="AM1084" i="48"/>
  <c r="AL1084" i="48"/>
  <c r="AO1892" i="48"/>
  <c r="AP1892" i="48"/>
  <c r="AN1892" i="48"/>
  <c r="AM1892" i="48"/>
  <c r="AK676" i="48"/>
  <c r="AM676" i="48"/>
  <c r="AN1549" i="48"/>
  <c r="AK1549" i="48"/>
  <c r="AL1008" i="48"/>
  <c r="AK1008" i="48"/>
  <c r="AO1008" i="48"/>
  <c r="AO1386" i="48"/>
  <c r="AK1386" i="48"/>
  <c r="AL1386" i="48"/>
  <c r="AO1187" i="48"/>
  <c r="AN1187" i="48"/>
  <c r="AP2031" i="48"/>
  <c r="AM2031" i="48"/>
  <c r="AO2031" i="48"/>
  <c r="AL2031" i="48"/>
  <c r="AN2031" i="48"/>
  <c r="AM1305" i="48"/>
  <c r="AN1305" i="48"/>
  <c r="AL1184" i="48"/>
  <c r="AO1184" i="48"/>
  <c r="AP1184" i="48"/>
  <c r="AP1519" i="48"/>
  <c r="AM1519" i="48"/>
  <c r="AO1519" i="48"/>
  <c r="AL1519" i="48"/>
  <c r="AN1519" i="48"/>
  <c r="AN1743" i="48"/>
  <c r="AO1743" i="48"/>
  <c r="AM1743" i="48"/>
  <c r="AK1743" i="48"/>
  <c r="AL1743" i="48"/>
  <c r="AN1096" i="48"/>
  <c r="AK1096" i="48"/>
  <c r="AP1096" i="48"/>
  <c r="AO1096" i="48"/>
  <c r="AM745" i="48"/>
  <c r="AN745" i="48"/>
  <c r="AP1554" i="48"/>
  <c r="AN1554" i="48"/>
  <c r="AO1554" i="48"/>
  <c r="AK886" i="48"/>
  <c r="AP886" i="48"/>
  <c r="AN886" i="48"/>
  <c r="AL886" i="48"/>
  <c r="AM886" i="48"/>
  <c r="AO1270" i="48"/>
  <c r="AK1270" i="48"/>
  <c r="AM1270" i="48"/>
  <c r="AL642" i="48"/>
  <c r="AO642" i="48"/>
  <c r="AK642" i="48"/>
  <c r="AP642" i="48"/>
  <c r="AK1861" i="48"/>
  <c r="AP1861" i="48"/>
  <c r="AM1861" i="48"/>
  <c r="AO1861" i="48"/>
  <c r="AL1861" i="48"/>
  <c r="AL1018" i="48"/>
  <c r="AK1018" i="48"/>
  <c r="AP1018" i="48"/>
  <c r="AP1684" i="48"/>
  <c r="AM1684" i="48"/>
  <c r="AK1684" i="48"/>
  <c r="AM1169" i="48"/>
  <c r="AK1169" i="48"/>
  <c r="AO1169" i="48"/>
  <c r="AL1419" i="48"/>
  <c r="AK1419" i="48"/>
  <c r="AN1419" i="48"/>
  <c r="AK1288" i="48"/>
  <c r="AO1288" i="48"/>
  <c r="AL1288" i="48"/>
  <c r="AN1288" i="48"/>
  <c r="AP1288" i="48"/>
  <c r="AP587" i="48"/>
  <c r="AL587" i="48"/>
  <c r="AN1795" i="48"/>
  <c r="AP676" i="48"/>
  <c r="AM892" i="48"/>
  <c r="AN1956" i="48"/>
  <c r="AK1519" i="48"/>
  <c r="AP1825" i="48"/>
  <c r="AM1518" i="48"/>
  <c r="AN1307" i="48"/>
  <c r="AK2010" i="48"/>
  <c r="AM1925" i="48"/>
  <c r="AK892" i="48"/>
  <c r="AK1189" i="48"/>
  <c r="AN1235" i="48"/>
  <c r="AK1130" i="48"/>
  <c r="AL912" i="48"/>
  <c r="AP734" i="48"/>
  <c r="AK1795" i="48"/>
  <c r="AP1518" i="48"/>
  <c r="AM682" i="48"/>
  <c r="AP2010" i="48"/>
  <c r="AL1892" i="48"/>
  <c r="AM1087" i="48"/>
  <c r="AO1029" i="48"/>
  <c r="AP1694" i="48"/>
  <c r="AM483" i="48"/>
  <c r="AM537" i="48"/>
  <c r="AK504" i="48"/>
  <c r="AN401" i="48"/>
  <c r="AL853" i="48"/>
  <c r="AP1974" i="48"/>
  <c r="AO1539" i="48"/>
  <c r="AK1769" i="48"/>
  <c r="AK1171" i="48"/>
  <c r="AL1769" i="48"/>
  <c r="AO853" i="48"/>
  <c r="AO1240" i="48"/>
  <c r="AN1769" i="48"/>
  <c r="AM579" i="48"/>
  <c r="AO579" i="48"/>
  <c r="AL579" i="48"/>
  <c r="AN579" i="48"/>
  <c r="AK579" i="48"/>
  <c r="AL629" i="48"/>
  <c r="AN629" i="48"/>
  <c r="AK629" i="48"/>
  <c r="AP629" i="48"/>
  <c r="AN734" i="48"/>
  <c r="AO734" i="48"/>
  <c r="AL734" i="48"/>
  <c r="AO1231" i="48"/>
  <c r="AK1231" i="48"/>
  <c r="AN1231" i="48"/>
  <c r="AN1721" i="48"/>
  <c r="AL1721" i="48"/>
  <c r="AO1518" i="48"/>
  <c r="AL1518" i="48"/>
  <c r="AK1518" i="48"/>
  <c r="AN1925" i="48"/>
  <c r="AK1925" i="48"/>
  <c r="AO1925" i="48"/>
  <c r="AN1160" i="48"/>
  <c r="AP1160" i="48"/>
  <c r="AO1160" i="48"/>
  <c r="AM1577" i="48"/>
  <c r="AN1577" i="48"/>
  <c r="AL1577" i="48"/>
  <c r="AP1911" i="48"/>
  <c r="AK1911" i="48"/>
  <c r="AK1885" i="48"/>
  <c r="AM1885" i="48"/>
  <c r="AM813" i="48"/>
  <c r="AK813" i="48"/>
  <c r="AO909" i="48"/>
  <c r="AN909" i="48"/>
  <c r="AP1387" i="48"/>
  <c r="AN1387" i="48"/>
  <c r="AK1387" i="48"/>
  <c r="AN1297" i="48"/>
  <c r="AK1297" i="48"/>
  <c r="AN1626" i="48"/>
  <c r="AO1626" i="48"/>
  <c r="AM1350" i="48"/>
  <c r="AO1350" i="48"/>
  <c r="AK1350" i="48"/>
  <c r="AL683" i="48"/>
  <c r="AP683" i="48"/>
  <c r="AN683" i="48"/>
  <c r="AO683" i="48"/>
  <c r="AL633" i="48"/>
  <c r="AN633" i="48"/>
  <c r="AP633" i="48"/>
  <c r="AN1536" i="48"/>
  <c r="AP1536" i="48"/>
  <c r="AL1536" i="48"/>
  <c r="AO1308" i="48"/>
  <c r="AK1308" i="48"/>
  <c r="AM1308" i="48"/>
  <c r="AN1782" i="48"/>
  <c r="AL1782" i="48"/>
  <c r="AN2041" i="48"/>
  <c r="AK2041" i="48"/>
  <c r="AO1007" i="48"/>
  <c r="AN1007" i="48"/>
  <c r="AP1478" i="48"/>
  <c r="AM1478" i="48"/>
  <c r="AN1478" i="48"/>
  <c r="AO948" i="48"/>
  <c r="AK948" i="48"/>
  <c r="AM948" i="48"/>
  <c r="AN948" i="48"/>
  <c r="AL948" i="48"/>
  <c r="AO959" i="48"/>
  <c r="AK959" i="48"/>
  <c r="AL959" i="48"/>
  <c r="AN1730" i="48"/>
  <c r="AO1730" i="48"/>
  <c r="AL1730" i="48"/>
  <c r="AO639" i="48"/>
  <c r="AK639" i="48"/>
  <c r="AO548" i="48"/>
  <c r="AK603" i="48"/>
  <c r="AL1339" i="48"/>
  <c r="AO1339" i="48"/>
  <c r="AM2000" i="48"/>
  <c r="AM1130" i="48"/>
  <c r="AP744" i="48"/>
  <c r="AL1634" i="48"/>
  <c r="AP1634" i="48"/>
  <c r="AK1730" i="48"/>
  <c r="AM2041" i="48"/>
  <c r="AN1308" i="48"/>
  <c r="AL1350" i="48"/>
  <c r="AK1478" i="48"/>
  <c r="AM633" i="48"/>
  <c r="AN562" i="48"/>
  <c r="AM629" i="48"/>
  <c r="AK1626" i="48"/>
  <c r="AL1686" i="48"/>
  <c r="AN1686" i="48"/>
  <c r="AP912" i="48"/>
  <c r="AN912" i="48"/>
  <c r="AK1869" i="48"/>
  <c r="AM1869" i="48"/>
  <c r="AL459" i="48"/>
  <c r="AK249" i="48"/>
  <c r="AL249" i="48" s="1"/>
  <c r="AP545" i="48"/>
  <c r="AM1737" i="48"/>
  <c r="AM1798" i="48"/>
  <c r="AL603" i="48"/>
  <c r="AP1339" i="48"/>
  <c r="AP1130" i="48"/>
  <c r="AM744" i="48"/>
  <c r="AO1104" i="48"/>
  <c r="AM1634" i="48"/>
  <c r="AP1730" i="48"/>
  <c r="AP1885" i="48"/>
  <c r="AN1350" i="48"/>
  <c r="AO1478" i="48"/>
  <c r="AM1536" i="48"/>
  <c r="AM640" i="48"/>
  <c r="AP1376" i="48"/>
  <c r="AP1007" i="48"/>
  <c r="AP959" i="48"/>
  <c r="AO1387" i="48"/>
  <c r="AP948" i="48"/>
  <c r="AK860" i="48"/>
  <c r="AM860" i="48"/>
  <c r="AL1896" i="48"/>
  <c r="AN1896" i="48"/>
  <c r="AM789" i="48"/>
  <c r="AK789" i="48"/>
  <c r="AO1838" i="48"/>
  <c r="AM1838" i="48"/>
  <c r="AP1485" i="48"/>
  <c r="AL1485" i="48"/>
  <c r="AO1307" i="48"/>
  <c r="AL1307" i="48"/>
  <c r="AM1307" i="48"/>
  <c r="AO816" i="48"/>
  <c r="AK816" i="48"/>
  <c r="AM816" i="48"/>
  <c r="AN816" i="48"/>
  <c r="AL816" i="48"/>
  <c r="AL791" i="48"/>
  <c r="AO791" i="48"/>
  <c r="AP708" i="48"/>
  <c r="AN708" i="48"/>
  <c r="AO708" i="48"/>
  <c r="AM708" i="48"/>
  <c r="AK708" i="48"/>
  <c r="AP1407" i="48"/>
  <c r="AM1407" i="48"/>
  <c r="AN1407" i="48"/>
  <c r="AL548" i="48"/>
  <c r="AK459" i="48"/>
  <c r="AO249" i="48"/>
  <c r="AN1737" i="48"/>
  <c r="AL1474" i="48"/>
  <c r="AP1977" i="48"/>
  <c r="AK2000" i="48"/>
  <c r="AO1130" i="48"/>
  <c r="AM1825" i="48"/>
  <c r="AM1730" i="48"/>
  <c r="AK1595" i="48"/>
  <c r="AM614" i="48"/>
  <c r="AK1404" i="48"/>
  <c r="AK1782" i="48"/>
  <c r="AL1308" i="48"/>
  <c r="AO1911" i="48"/>
  <c r="AK1536" i="48"/>
  <c r="AL860" i="48"/>
  <c r="AP1307" i="48"/>
  <c r="AO1090" i="48"/>
  <c r="AM959" i="48"/>
  <c r="AO633" i="48"/>
  <c r="AL1387" i="48"/>
  <c r="AP1869" i="48"/>
  <c r="AP639" i="48"/>
  <c r="AO1407" i="48"/>
  <c r="AK683" i="48"/>
  <c r="AP816" i="48"/>
  <c r="AL1243" i="48"/>
  <c r="AO1243" i="48"/>
  <c r="AK1269" i="48"/>
  <c r="AL1514" i="48"/>
  <c r="AO1514" i="48"/>
  <c r="AK2030" i="48"/>
  <c r="AO1769" i="48"/>
  <c r="AN2030" i="48"/>
  <c r="AN1240" i="48"/>
  <c r="AP1769" i="48"/>
  <c r="AL1626" i="48"/>
  <c r="AP1626" i="48"/>
  <c r="AM1626" i="48"/>
  <c r="AM192" i="48"/>
  <c r="AN192" i="48" s="1"/>
  <c r="AN335" i="48"/>
  <c r="AP302" i="48"/>
  <c r="AN571" i="48"/>
  <c r="AM578" i="48"/>
  <c r="AK689" i="48"/>
  <c r="AM689" i="48"/>
  <c r="AP851" i="48"/>
  <c r="AN1133" i="48"/>
  <c r="AK571" i="48"/>
  <c r="AM634" i="48"/>
  <c r="AM851" i="48"/>
  <c r="AL1133" i="48"/>
  <c r="AO996" i="48"/>
  <c r="AK578" i="48"/>
  <c r="AL1520" i="48"/>
  <c r="AK1520" i="48"/>
  <c r="AM666" i="48"/>
  <c r="AL666" i="48"/>
  <c r="AO146" i="48"/>
  <c r="AM556" i="48"/>
  <c r="AP1638" i="48"/>
  <c r="AN1638" i="48"/>
  <c r="AM1638" i="48"/>
  <c r="AK1638" i="48"/>
  <c r="AO1694" i="48"/>
  <c r="AK1694" i="48"/>
  <c r="AN737" i="48"/>
  <c r="AM737" i="48"/>
  <c r="AK254" i="48"/>
  <c r="AL254" i="48" s="1"/>
  <c r="AK1009" i="48"/>
  <c r="AN738" i="48"/>
  <c r="AP894" i="48"/>
  <c r="AL737" i="48"/>
  <c r="AN813" i="48"/>
  <c r="AL813" i="48"/>
  <c r="AP813" i="48"/>
  <c r="AO813" i="48"/>
  <c r="AO1138" i="48"/>
  <c r="AP1138" i="48"/>
  <c r="AN1564" i="48"/>
  <c r="AO1564" i="48"/>
  <c r="AK1564" i="48"/>
  <c r="AL1564" i="48"/>
  <c r="AM834" i="48"/>
  <c r="AO834" i="48"/>
  <c r="AN1812" i="48"/>
  <c r="AK1812" i="48"/>
  <c r="AN1086" i="48"/>
  <c r="AO1086" i="48"/>
  <c r="AP1871" i="48"/>
  <c r="AM1871" i="48"/>
  <c r="AO1871" i="48"/>
  <c r="AN703" i="48"/>
  <c r="AM703" i="48"/>
  <c r="AL703" i="48"/>
  <c r="AP703" i="48"/>
  <c r="AL1194" i="48"/>
  <c r="AO1194" i="48"/>
  <c r="AP1590" i="48"/>
  <c r="AO1590" i="48"/>
  <c r="AN314" i="48"/>
  <c r="AL403" i="48"/>
  <c r="AK1976" i="48"/>
  <c r="AN1597" i="48"/>
  <c r="AK1076" i="48"/>
  <c r="AN2007" i="48"/>
  <c r="AK1736" i="48"/>
  <c r="AM1459" i="48"/>
  <c r="AK1695" i="48"/>
  <c r="AP666" i="48"/>
  <c r="AM1331" i="48"/>
  <c r="AL1816" i="48"/>
  <c r="AN1816" i="48"/>
  <c r="AK1840" i="48"/>
  <c r="AN1840" i="48"/>
  <c r="AL1840" i="48"/>
  <c r="AN1916" i="48"/>
  <c r="AO1916" i="48"/>
  <c r="AL1916" i="48"/>
  <c r="AK1916" i="48"/>
  <c r="AO1197" i="48"/>
  <c r="AM1197" i="48"/>
  <c r="AL1197" i="48"/>
  <c r="AK1197" i="48"/>
  <c r="AN2037" i="48"/>
  <c r="AL2037" i="48"/>
  <c r="AK2037" i="48"/>
  <c r="AO2037" i="48"/>
  <c r="AM1015" i="48"/>
  <c r="AP1015" i="48"/>
  <c r="AN1015" i="48"/>
  <c r="AP1619" i="48"/>
  <c r="AO1619" i="48"/>
  <c r="AN1619" i="48"/>
  <c r="AM1619" i="48"/>
  <c r="AO1294" i="48"/>
  <c r="AN1294" i="48"/>
  <c r="AL883" i="48"/>
  <c r="AK883" i="48"/>
  <c r="AN646" i="48"/>
  <c r="AM646" i="48"/>
  <c r="AN435" i="48"/>
  <c r="AP403" i="48"/>
  <c r="AO174" i="48"/>
  <c r="AN839" i="48"/>
  <c r="AP970" i="48"/>
  <c r="AK1474" i="48"/>
  <c r="AL1976" i="48"/>
  <c r="AO1597" i="48"/>
  <c r="AN1076" i="48"/>
  <c r="AO1930" i="48"/>
  <c r="AL920" i="48"/>
  <c r="AO1159" i="48"/>
  <c r="AN1375" i="48"/>
  <c r="AL1246" i="48"/>
  <c r="AL1382" i="48"/>
  <c r="AP1392" i="48"/>
  <c r="AM560" i="48"/>
  <c r="AL1039" i="48"/>
  <c r="AL557" i="48"/>
  <c r="AP1608" i="48"/>
  <c r="AP785" i="48"/>
  <c r="AO556" i="48"/>
  <c r="AP1878" i="48"/>
  <c r="AO967" i="48"/>
  <c r="AL1351" i="48"/>
  <c r="AK1479" i="48"/>
  <c r="AN1104" i="48"/>
  <c r="AO969" i="48"/>
  <c r="AP1758" i="48"/>
  <c r="AM1888" i="48"/>
  <c r="AN1793" i="48"/>
  <c r="AN1509" i="48"/>
  <c r="AK878" i="48"/>
  <c r="AL672" i="48"/>
  <c r="AK1116" i="48"/>
  <c r="AM832" i="48"/>
  <c r="AO1349" i="48"/>
  <c r="AO743" i="48"/>
  <c r="AO1343" i="48"/>
  <c r="AN1367" i="48"/>
  <c r="AK1951" i="48"/>
  <c r="AK1557" i="48"/>
  <c r="AN1728" i="48"/>
  <c r="AM1782" i="48"/>
  <c r="AN1374" i="48"/>
  <c r="AP1062" i="48"/>
  <c r="AO1099" i="48"/>
  <c r="AL1889" i="48"/>
  <c r="AN1363" i="48"/>
  <c r="AL1643" i="48"/>
  <c r="AL2007" i="48"/>
  <c r="AN871" i="48"/>
  <c r="AP1293" i="48"/>
  <c r="AO584" i="48"/>
  <c r="AN1926" i="48"/>
  <c r="AN1475" i="48"/>
  <c r="AP1461" i="48"/>
  <c r="AO1736" i="48"/>
  <c r="AN1759" i="48"/>
  <c r="AO1943" i="48"/>
  <c r="AL716" i="48"/>
  <c r="AM1421" i="48"/>
  <c r="AO921" i="48"/>
  <c r="AK1696" i="48"/>
  <c r="AM1801" i="48"/>
  <c r="AN894" i="48"/>
  <c r="AK1459" i="48"/>
  <c r="AK1187" i="48"/>
  <c r="AN1911" i="48"/>
  <c r="AP1305" i="48"/>
  <c r="AM815" i="48"/>
  <c r="AN903" i="48"/>
  <c r="AK1027" i="48"/>
  <c r="AO889" i="48"/>
  <c r="AM595" i="48"/>
  <c r="AO729" i="48"/>
  <c r="AL1186" i="48"/>
  <c r="AN1772" i="48"/>
  <c r="AP860" i="48"/>
  <c r="AK1611" i="48"/>
  <c r="AM597" i="48"/>
  <c r="AO745" i="48"/>
  <c r="AO1695" i="48"/>
  <c r="AO1722" i="48"/>
  <c r="AM1559" i="48"/>
  <c r="AL1167" i="48"/>
  <c r="AN1325" i="48"/>
  <c r="AK1553" i="48"/>
  <c r="AK1711" i="48"/>
  <c r="AN1504" i="48"/>
  <c r="AL1381" i="48"/>
  <c r="AO666" i="48"/>
  <c r="AK1946" i="48"/>
  <c r="AL1768" i="48"/>
  <c r="AO736" i="48"/>
  <c r="AK1194" i="48"/>
  <c r="AM1264" i="48"/>
  <c r="AM1247" i="48"/>
  <c r="AP1029" i="48"/>
  <c r="AO1060" i="48"/>
  <c r="AM1297" i="48"/>
  <c r="AO703" i="48"/>
  <c r="AM1149" i="48"/>
  <c r="AP1251" i="48"/>
  <c r="AP2052" i="48"/>
  <c r="AO2052" i="48"/>
  <c r="AM2052" i="48"/>
  <c r="AO1144" i="48"/>
  <c r="AP1144" i="48"/>
  <c r="AN1882" i="48"/>
  <c r="AL1882" i="48"/>
  <c r="AO823" i="48"/>
  <c r="AP823" i="48"/>
  <c r="AM1376" i="48"/>
  <c r="AO1376" i="48"/>
  <c r="AN1376" i="48"/>
  <c r="AL1376" i="48"/>
  <c r="AL715" i="48"/>
  <c r="AP715" i="48"/>
  <c r="AO715" i="48"/>
  <c r="AK715" i="48"/>
  <c r="AN639" i="48"/>
  <c r="AM639" i="48"/>
  <c r="AO1189" i="48"/>
  <c r="AN1189" i="48"/>
  <c r="AM1189" i="48"/>
  <c r="AP1757" i="48"/>
  <c r="AO1757" i="48"/>
  <c r="AN1757" i="48"/>
  <c r="AK627" i="48"/>
  <c r="AP627" i="48"/>
  <c r="AO627" i="48"/>
  <c r="AN627" i="48"/>
  <c r="AO1087" i="48"/>
  <c r="AK1087" i="48"/>
  <c r="AL1087" i="48"/>
  <c r="AO682" i="48"/>
  <c r="AN682" i="48"/>
  <c r="AM1656" i="48"/>
  <c r="AK1656" i="48"/>
  <c r="AP1656" i="48"/>
  <c r="AO1656" i="48"/>
  <c r="AL676" i="48"/>
  <c r="AN676" i="48"/>
  <c r="AP1549" i="48"/>
  <c r="AM1549" i="48"/>
  <c r="AL1549" i="48"/>
  <c r="AP1956" i="48"/>
  <c r="AK1956" i="48"/>
  <c r="AL1956" i="48"/>
  <c r="AO1956" i="48"/>
  <c r="AP1438" i="48"/>
  <c r="AO1438" i="48"/>
  <c r="AN1438" i="48"/>
  <c r="AO1049" i="48"/>
  <c r="AN1049" i="48"/>
  <c r="AL1049" i="48"/>
  <c r="AK1049" i="48"/>
  <c r="AK576" i="48"/>
  <c r="AP576" i="48"/>
  <c r="AN576" i="48"/>
  <c r="AO576" i="48"/>
  <c r="AL1450" i="48"/>
  <c r="AK1450" i="48"/>
  <c r="AP1450" i="48"/>
  <c r="AN1450" i="48"/>
  <c r="AO1611" i="48"/>
  <c r="AK1168" i="48"/>
  <c r="AO1168" i="48"/>
  <c r="AL1168" i="48"/>
  <c r="AL1554" i="48"/>
  <c r="AM1554" i="48"/>
  <c r="AM1666" i="48"/>
  <c r="AL1666" i="48"/>
  <c r="AP1666" i="48"/>
  <c r="AO1666" i="48"/>
  <c r="AM532" i="48"/>
  <c r="AP1375" i="48"/>
  <c r="AK1878" i="48"/>
  <c r="AO1758" i="48"/>
  <c r="AL1728" i="48"/>
  <c r="AM1187" i="48"/>
  <c r="AM587" i="48"/>
  <c r="AP1056" i="48"/>
  <c r="AO1056" i="48"/>
  <c r="AL1056" i="48"/>
  <c r="AO2035" i="48"/>
  <c r="AP2035" i="48"/>
  <c r="AP1384" i="48"/>
  <c r="AK1384" i="48"/>
  <c r="AK1139" i="48"/>
  <c r="AL1139" i="48"/>
  <c r="AP1858" i="48"/>
  <c r="AM1858" i="48"/>
  <c r="AO1103" i="48"/>
  <c r="AK1103" i="48"/>
  <c r="AL1103" i="48"/>
  <c r="AM2033" i="48"/>
  <c r="AL2033" i="48"/>
  <c r="AO2033" i="48"/>
  <c r="AK2033" i="48"/>
  <c r="AP1846" i="48"/>
  <c r="AO1846" i="48"/>
  <c r="AO705" i="48"/>
  <c r="AK705" i="48"/>
  <c r="AL1495" i="48"/>
  <c r="AP1495" i="48"/>
  <c r="AO1389" i="48"/>
  <c r="AL1389" i="48"/>
  <c r="AK1389" i="48"/>
  <c r="AO254" i="48"/>
  <c r="AP476" i="48"/>
  <c r="AP920" i="48"/>
  <c r="AL560" i="48"/>
  <c r="AN1039" i="48"/>
  <c r="AN1758" i="48"/>
  <c r="AP1367" i="48"/>
  <c r="AO1284" i="48"/>
  <c r="AM1728" i="48"/>
  <c r="AK887" i="48"/>
  <c r="AO1363" i="48"/>
  <c r="AM1926" i="48"/>
  <c r="AO1801" i="48"/>
  <c r="AM1784" i="48"/>
  <c r="AK729" i="48"/>
  <c r="AL1559" i="48"/>
  <c r="AM1138" i="48"/>
  <c r="AP2033" i="48"/>
  <c r="AK736" i="48"/>
  <c r="AM1029" i="48"/>
  <c r="AM1495" i="48"/>
  <c r="AN1694" i="48"/>
  <c r="AL1074" i="48"/>
  <c r="AK1074" i="48"/>
  <c r="AL865" i="48"/>
  <c r="AK865" i="48"/>
  <c r="AM865" i="48"/>
  <c r="AO1203" i="48"/>
  <c r="AL1203" i="48"/>
  <c r="AK1203" i="48"/>
  <c r="AP1203" i="48"/>
  <c r="AK925" i="48"/>
  <c r="AN925" i="48"/>
  <c r="AP925" i="48"/>
  <c r="AL925" i="48"/>
  <c r="AK574" i="48"/>
  <c r="AP574" i="48"/>
  <c r="AO574" i="48"/>
  <c r="AN574" i="48"/>
  <c r="AO476" i="48"/>
  <c r="AK839" i="48"/>
  <c r="AL970" i="48"/>
  <c r="AN1474" i="48"/>
  <c r="AN1401" i="48"/>
  <c r="AM1076" i="48"/>
  <c r="AP1930" i="48"/>
  <c r="AN1159" i="48"/>
  <c r="AM1375" i="48"/>
  <c r="AM1246" i="48"/>
  <c r="AN1382" i="48"/>
  <c r="AL1392" i="48"/>
  <c r="AK1810" i="48"/>
  <c r="AO1039" i="48"/>
  <c r="AM1608" i="48"/>
  <c r="AN785" i="48"/>
  <c r="AN556" i="48"/>
  <c r="AL1953" i="48"/>
  <c r="AN967" i="48"/>
  <c r="AM1950" i="48"/>
  <c r="AP1351" i="48"/>
  <c r="AN1479" i="48"/>
  <c r="AM1104" i="48"/>
  <c r="AL969" i="48"/>
  <c r="AK1758" i="48"/>
  <c r="AN1888" i="48"/>
  <c r="AO1509" i="48"/>
  <c r="AM672" i="48"/>
  <c r="AN1116" i="48"/>
  <c r="AP832" i="48"/>
  <c r="AO1134" i="48"/>
  <c r="AP664" i="48"/>
  <c r="AP743" i="48"/>
  <c r="AN617" i="48"/>
  <c r="AM1367" i="48"/>
  <c r="AP1951" i="48"/>
  <c r="AL1533" i="48"/>
  <c r="AP1404" i="48"/>
  <c r="AM912" i="48"/>
  <c r="AN1099" i="48"/>
  <c r="AK738" i="48"/>
  <c r="AM1889" i="48"/>
  <c r="AO1106" i="48"/>
  <c r="AK1643" i="48"/>
  <c r="AO626" i="48"/>
  <c r="AK871" i="48"/>
  <c r="AL1293" i="48"/>
  <c r="AN584" i="48"/>
  <c r="AO1475" i="48"/>
  <c r="AK1752" i="48"/>
  <c r="AP1736" i="48"/>
  <c r="AO1759" i="48"/>
  <c r="AP1943" i="48"/>
  <c r="AM716" i="48"/>
  <c r="AP1987" i="48"/>
  <c r="AP921" i="48"/>
  <c r="AO1696" i="48"/>
  <c r="AN1459" i="48"/>
  <c r="AL1187" i="48"/>
  <c r="AK1305" i="48"/>
  <c r="AO815" i="48"/>
  <c r="AK1244" i="48"/>
  <c r="AL1131" i="48"/>
  <c r="AL1027" i="48"/>
  <c r="AP889" i="48"/>
  <c r="AP729" i="48"/>
  <c r="AN587" i="48"/>
  <c r="AM1186" i="48"/>
  <c r="AN860" i="48"/>
  <c r="AP1611" i="48"/>
  <c r="AL1006" i="48"/>
  <c r="AP745" i="48"/>
  <c r="AP1695" i="48"/>
  <c r="AP1722" i="48"/>
  <c r="AO1325" i="48"/>
  <c r="AL1923" i="48"/>
  <c r="AN1553" i="48"/>
  <c r="AN705" i="48"/>
  <c r="AP1711" i="48"/>
  <c r="AO1504" i="48"/>
  <c r="AP1381" i="48"/>
  <c r="AK666" i="48"/>
  <c r="AK1830" i="48"/>
  <c r="AK1294" i="48"/>
  <c r="AM1194" i="48"/>
  <c r="AL1619" i="48"/>
  <c r="AK1846" i="48"/>
  <c r="AP1389" i="48"/>
  <c r="AN1348" i="48"/>
  <c r="AM1380" i="48"/>
  <c r="AL574" i="48"/>
  <c r="AL1060" i="48"/>
  <c r="AN1495" i="48"/>
  <c r="AK1666" i="48"/>
  <c r="AM925" i="48"/>
  <c r="AK1571" i="48"/>
  <c r="AO1571" i="48"/>
  <c r="AO1581" i="48"/>
  <c r="AN1581" i="48"/>
  <c r="AP1581" i="48"/>
  <c r="AK1581" i="48"/>
  <c r="AL1292" i="48"/>
  <c r="AN1292" i="48"/>
  <c r="AP1292" i="48"/>
  <c r="AM1249" i="48"/>
  <c r="AN1249" i="48"/>
  <c r="AK989" i="48"/>
  <c r="AO989" i="48"/>
  <c r="AP960" i="48"/>
  <c r="AK960" i="48"/>
  <c r="AP1213" i="48"/>
  <c r="AK1213" i="48"/>
  <c r="AK976" i="48"/>
  <c r="AP976" i="48"/>
  <c r="AO976" i="48"/>
  <c r="AM976" i="48"/>
  <c r="AM1370" i="48"/>
  <c r="AN1370" i="48"/>
  <c r="AP1542" i="48"/>
  <c r="AM1542" i="48"/>
  <c r="AM696" i="48"/>
  <c r="AN696" i="48"/>
  <c r="AO696" i="48"/>
  <c r="AK696" i="48"/>
  <c r="AP1467" i="48"/>
  <c r="AO1467" i="48"/>
  <c r="AN1539" i="48"/>
  <c r="AK1539" i="48"/>
  <c r="AM1539" i="48"/>
  <c r="AL1539" i="48"/>
  <c r="AN1974" i="48"/>
  <c r="AL1974" i="48"/>
  <c r="AO1966" i="48"/>
  <c r="AN1966" i="48"/>
  <c r="AM1850" i="48"/>
  <c r="AP1850" i="48"/>
  <c r="AO637" i="48"/>
  <c r="AN637" i="48"/>
  <c r="AL845" i="48"/>
  <c r="AP845" i="48"/>
  <c r="AO845" i="48"/>
  <c r="AM845" i="48"/>
  <c r="AM588" i="48"/>
  <c r="AL588" i="48"/>
  <c r="AM1167" i="48"/>
  <c r="AN1167" i="48"/>
  <c r="AO1167" i="48"/>
  <c r="AK1167" i="48"/>
  <c r="AK1349" i="48"/>
  <c r="AK2045" i="48"/>
  <c r="AO2045" i="48"/>
  <c r="AL846" i="48"/>
  <c r="AK846" i="48"/>
  <c r="AP846" i="48"/>
  <c r="AO1332" i="48"/>
  <c r="AN1332" i="48"/>
  <c r="AM1332" i="48"/>
  <c r="AP1332" i="48"/>
  <c r="AN1166" i="48"/>
  <c r="AL1166" i="48"/>
  <c r="AK1166" i="48"/>
  <c r="AO1166" i="48"/>
  <c r="AL1479" i="48"/>
  <c r="AN1762" i="48"/>
  <c r="AL1116" i="48"/>
  <c r="AM1349" i="48"/>
  <c r="AL871" i="48"/>
  <c r="AN1752" i="48"/>
  <c r="AK1971" i="48"/>
  <c r="AL1332" i="48"/>
  <c r="AN566" i="48"/>
  <c r="AM566" i="48"/>
  <c r="AO717" i="48"/>
  <c r="AK717" i="48"/>
  <c r="AM1829" i="48"/>
  <c r="AO1829" i="48"/>
  <c r="AO1334" i="48"/>
  <c r="AL1334" i="48"/>
  <c r="AP1334" i="48"/>
  <c r="AN1920" i="48"/>
  <c r="AM1920" i="48"/>
  <c r="AP1920" i="48"/>
  <c r="AO1920" i="48"/>
  <c r="AN736" i="48"/>
  <c r="AM736" i="48"/>
  <c r="AM1364" i="48"/>
  <c r="AO1364" i="48"/>
  <c r="AK1320" i="48"/>
  <c r="AP1320" i="48"/>
  <c r="AL1320" i="48"/>
  <c r="AL1149" i="48"/>
  <c r="AK1149" i="48"/>
  <c r="AK962" i="48"/>
  <c r="AN962" i="48"/>
  <c r="AK1331" i="48"/>
  <c r="AO1331" i="48"/>
  <c r="AM575" i="48"/>
  <c r="AL575" i="48"/>
  <c r="AK575" i="48"/>
  <c r="AP575" i="48"/>
  <c r="AP249" i="48"/>
  <c r="AM1474" i="48"/>
  <c r="AK1375" i="48"/>
  <c r="AN1582" i="48"/>
  <c r="AM1479" i="48"/>
  <c r="AO1116" i="48"/>
  <c r="AN1349" i="48"/>
  <c r="AN1343" i="48"/>
  <c r="AO871" i="48"/>
  <c r="AP1187" i="48"/>
  <c r="AM1911" i="48"/>
  <c r="AO860" i="48"/>
  <c r="AN1320" i="48"/>
  <c r="AM1846" i="48"/>
  <c r="AK703" i="48"/>
  <c r="AM1117" i="48"/>
  <c r="AO1117" i="48"/>
  <c r="AO775" i="48"/>
  <c r="AN775" i="48"/>
  <c r="AP775" i="48"/>
  <c r="AP1224" i="48"/>
  <c r="AO1224" i="48"/>
  <c r="AK1224" i="48"/>
  <c r="AL1257" i="48"/>
  <c r="AO1257" i="48"/>
  <c r="AL1247" i="48"/>
  <c r="AN1247" i="48"/>
  <c r="AP1247" i="48"/>
  <c r="AK1247" i="48"/>
  <c r="AN1566" i="48"/>
  <c r="AO1566" i="48"/>
  <c r="AK1566" i="48"/>
  <c r="AL1566" i="48"/>
  <c r="AL324" i="48"/>
  <c r="AL435" i="48"/>
  <c r="AP254" i="48"/>
  <c r="AK130" i="48"/>
  <c r="AL130" i="48" s="1"/>
  <c r="AO272" i="48"/>
  <c r="AP272" i="48" s="1"/>
  <c r="AM254" i="48"/>
  <c r="AN254" i="48" s="1"/>
  <c r="AO130" i="48"/>
  <c r="AP130" i="48" s="1"/>
  <c r="AN489" i="48"/>
  <c r="AO314" i="48"/>
  <c r="AN537" i="48"/>
  <c r="AM249" i="48"/>
  <c r="AN249" i="48" s="1"/>
  <c r="AP423" i="48"/>
  <c r="AO1737" i="48"/>
  <c r="AM970" i="48"/>
  <c r="AO1474" i="48"/>
  <c r="AP1401" i="48"/>
  <c r="AL1173" i="48"/>
  <c r="AO1592" i="48"/>
  <c r="AK1610" i="48"/>
  <c r="AM1930" i="48"/>
  <c r="AM1159" i="48"/>
  <c r="AO1798" i="48"/>
  <c r="AO1246" i="48"/>
  <c r="AO1382" i="48"/>
  <c r="AN1392" i="48"/>
  <c r="AL1810" i="48"/>
  <c r="AO1588" i="48"/>
  <c r="AK1039" i="48"/>
  <c r="AO1582" i="48"/>
  <c r="AK1608" i="48"/>
  <c r="AK785" i="48"/>
  <c r="AP556" i="48"/>
  <c r="AO1953" i="48"/>
  <c r="AL1950" i="48"/>
  <c r="AM1351" i="48"/>
  <c r="AL1825" i="48"/>
  <c r="AO1479" i="48"/>
  <c r="AM969" i="48"/>
  <c r="AL1758" i="48"/>
  <c r="AK1888" i="48"/>
  <c r="AK1227" i="48"/>
  <c r="AP672" i="48"/>
  <c r="AM1116" i="48"/>
  <c r="AL832" i="48"/>
  <c r="AK1134" i="48"/>
  <c r="AL664" i="48"/>
  <c r="AL743" i="48"/>
  <c r="AO617" i="48"/>
  <c r="AK1284" i="48"/>
  <c r="AM1533" i="48"/>
  <c r="AK1802" i="48"/>
  <c r="AN1404" i="48"/>
  <c r="AM887" i="48"/>
  <c r="AO912" i="48"/>
  <c r="AN1860" i="48"/>
  <c r="AM1099" i="48"/>
  <c r="AO738" i="48"/>
  <c r="AN1889" i="48"/>
  <c r="AK1106" i="48"/>
  <c r="AO1643" i="48"/>
  <c r="AN626" i="48"/>
  <c r="AL1391" i="48"/>
  <c r="AK1293" i="48"/>
  <c r="AO1752" i="48"/>
  <c r="AL1736" i="48"/>
  <c r="AP1759" i="48"/>
  <c r="AK1316" i="48"/>
  <c r="AL1987" i="48"/>
  <c r="AL921" i="48"/>
  <c r="AP1696" i="48"/>
  <c r="AO1459" i="48"/>
  <c r="AL1305" i="48"/>
  <c r="AN815" i="48"/>
  <c r="AL1244" i="48"/>
  <c r="AO761" i="48"/>
  <c r="AO1131" i="48"/>
  <c r="AL1957" i="48"/>
  <c r="AN1027" i="48"/>
  <c r="AP1971" i="48"/>
  <c r="AL889" i="48"/>
  <c r="AL729" i="48"/>
  <c r="AO587" i="48"/>
  <c r="AN1186" i="48"/>
  <c r="AK1717" i="48"/>
  <c r="AL1611" i="48"/>
  <c r="AO1006" i="48"/>
  <c r="AL745" i="48"/>
  <c r="AL1695" i="48"/>
  <c r="AL1722" i="48"/>
  <c r="AO1958" i="48"/>
  <c r="AM1581" i="48"/>
  <c r="AM1166" i="48"/>
  <c r="AN1334" i="48"/>
  <c r="AN666" i="48"/>
  <c r="AO1830" i="48"/>
  <c r="AN823" i="48"/>
  <c r="AP1294" i="48"/>
  <c r="AN575" i="48"/>
  <c r="AL736" i="48"/>
  <c r="AN715" i="48"/>
  <c r="AN1194" i="48"/>
  <c r="AK1619" i="48"/>
  <c r="AO1450" i="48"/>
  <c r="AM883" i="48"/>
  <c r="AO1638" i="48"/>
  <c r="AP1370" i="48"/>
  <c r="AN1389" i="48"/>
  <c r="AO1733" i="48"/>
  <c r="AM574" i="48"/>
  <c r="AM650" i="48"/>
  <c r="AO566" i="48"/>
  <c r="AO1495" i="48"/>
  <c r="AN1666" i="48"/>
  <c r="AL962" i="48"/>
  <c r="AO1010" i="48"/>
  <c r="AL717" i="48"/>
  <c r="AK1871" i="48"/>
  <c r="AO925" i="48"/>
  <c r="AL1384" i="48"/>
  <c r="AL1901" i="48"/>
  <c r="AN1901" i="48"/>
  <c r="AO1901" i="48"/>
  <c r="AK1635" i="48"/>
  <c r="AP1635" i="48"/>
  <c r="AN1029" i="48"/>
  <c r="AL1029" i="48"/>
  <c r="AP1559" i="48"/>
  <c r="AN1559" i="48"/>
  <c r="AO1559" i="48"/>
  <c r="AL1159" i="48"/>
  <c r="AP1784" i="48"/>
  <c r="AL576" i="48"/>
  <c r="AM1694" i="48"/>
  <c r="AP1686" i="48"/>
  <c r="AO1686" i="48"/>
  <c r="AK1686" i="48"/>
  <c r="AP1060" i="48"/>
  <c r="AM1060" i="48"/>
  <c r="AN1060" i="48"/>
  <c r="AM1726" i="48"/>
  <c r="AL1726" i="48"/>
  <c r="AP1726" i="48"/>
  <c r="AO1726" i="48"/>
  <c r="AL1504" i="48"/>
  <c r="AM1504" i="48"/>
  <c r="AN1913" i="48"/>
  <c r="AM1913" i="48"/>
  <c r="AL1642" i="48"/>
  <c r="AK1642" i="48"/>
  <c r="AL606" i="48"/>
  <c r="AK606" i="48"/>
  <c r="AP606" i="48"/>
  <c r="AO606" i="48"/>
  <c r="AP1946" i="48"/>
  <c r="AN1946" i="48"/>
  <c r="AM591" i="48"/>
  <c r="AL591" i="48"/>
  <c r="AK591" i="48"/>
  <c r="AP591" i="48"/>
  <c r="AM1381" i="48"/>
  <c r="AN1381" i="48"/>
  <c r="AN748" i="48"/>
  <c r="AM748" i="48"/>
  <c r="AL748" i="48"/>
  <c r="AP748" i="48"/>
  <c r="AL570" i="48"/>
  <c r="AK570" i="48"/>
  <c r="AP570" i="48"/>
  <c r="AO570" i="48"/>
  <c r="AP1558" i="48"/>
  <c r="AN1558" i="48"/>
  <c r="AO1558" i="48"/>
  <c r="AK1558" i="48"/>
  <c r="AK1159" i="48"/>
  <c r="AK1392" i="48"/>
  <c r="AO1878" i="48"/>
  <c r="AN878" i="48"/>
  <c r="AK1421" i="48"/>
  <c r="AM894" i="48"/>
  <c r="AN1957" i="48"/>
  <c r="AO1971" i="48"/>
  <c r="AK1186" i="48"/>
  <c r="AM1772" i="48"/>
  <c r="AK745" i="48"/>
  <c r="AK1722" i="48"/>
  <c r="AN1364" i="48"/>
  <c r="AL705" i="48"/>
  <c r="AK1504" i="48"/>
  <c r="AK1381" i="48"/>
  <c r="AM2035" i="48"/>
  <c r="AN1149" i="48"/>
  <c r="AM2029" i="48"/>
  <c r="AK2029" i="48"/>
  <c r="AO841" i="48"/>
  <c r="AM841" i="48"/>
  <c r="AK1924" i="48"/>
  <c r="AN1924" i="48"/>
  <c r="AM1924" i="48"/>
  <c r="AP1924" i="48"/>
  <c r="AL1924" i="48"/>
  <c r="AK1348" i="48"/>
  <c r="AM1348" i="48"/>
  <c r="AL1348" i="48"/>
  <c r="AN1890" i="48"/>
  <c r="AK1890" i="48"/>
  <c r="AO1890" i="48"/>
  <c r="AM1890" i="48"/>
  <c r="AK1023" i="48"/>
  <c r="AM1023" i="48"/>
  <c r="AM130" i="48"/>
  <c r="AN130" i="48" s="1"/>
  <c r="AP324" i="48"/>
  <c r="AK537" i="48"/>
  <c r="AP504" i="48"/>
  <c r="AK720" i="48"/>
  <c r="AK1762" i="48"/>
  <c r="AL1227" i="48"/>
  <c r="AN1316" i="48"/>
  <c r="AM656" i="48"/>
  <c r="AL1958" i="48"/>
  <c r="AL1015" i="48"/>
  <c r="AK737" i="48"/>
  <c r="AP1166" i="48"/>
  <c r="AP1830" i="48"/>
  <c r="AN1155" i="48"/>
  <c r="AK1554" i="48"/>
  <c r="AM1686" i="48"/>
  <c r="AL1294" i="48"/>
  <c r="AO575" i="48"/>
  <c r="AN606" i="48"/>
  <c r="AP1194" i="48"/>
  <c r="AK1590" i="48"/>
  <c r="AM1450" i="48"/>
  <c r="AO883" i="48"/>
  <c r="AL1370" i="48"/>
  <c r="AM1389" i="48"/>
  <c r="AL989" i="48"/>
  <c r="AN1103" i="48"/>
  <c r="AM1733" i="48"/>
  <c r="AL1635" i="48"/>
  <c r="AK1757" i="48"/>
  <c r="AK1974" i="48"/>
  <c r="AP566" i="48"/>
  <c r="AK1056" i="48"/>
  <c r="AK1726" i="48"/>
  <c r="AM1564" i="48"/>
  <c r="AN1168" i="48"/>
  <c r="AP909" i="48"/>
  <c r="AM962" i="48"/>
  <c r="AO646" i="48"/>
  <c r="AM1558" i="48"/>
  <c r="AM717" i="48"/>
  <c r="AL1871" i="48"/>
  <c r="AN1384" i="48"/>
  <c r="AK408" i="48"/>
  <c r="AK325" i="48"/>
  <c r="AM325" i="48"/>
  <c r="AK862" i="48"/>
  <c r="AO862" i="48"/>
  <c r="AN423" i="48"/>
  <c r="AL423" i="48"/>
  <c r="AN372" i="48"/>
  <c r="AL372" i="48"/>
  <c r="AM523" i="48"/>
  <c r="AL523" i="48"/>
  <c r="AK142" i="48"/>
  <c r="AL142" i="48" s="1"/>
  <c r="AP469" i="48"/>
  <c r="AK469" i="48"/>
  <c r="AM1708" i="48"/>
  <c r="AL1708" i="48"/>
  <c r="AO1708" i="48"/>
  <c r="AP1708" i="48"/>
  <c r="AP677" i="48"/>
  <c r="AL862" i="48"/>
  <c r="AP2039" i="48"/>
  <c r="AO2039" i="48"/>
  <c r="AM2039" i="48"/>
  <c r="AN2039" i="48"/>
  <c r="AL1826" i="48"/>
  <c r="AK1826" i="48"/>
  <c r="AO1826" i="48"/>
  <c r="AM1755" i="48"/>
  <c r="AL1755" i="48"/>
  <c r="AK1755" i="48"/>
  <c r="AL1433" i="48"/>
  <c r="AK1433" i="48"/>
  <c r="AO1433" i="48"/>
  <c r="AP1433" i="48"/>
  <c r="AP1205" i="48"/>
  <c r="AK1205" i="48"/>
  <c r="AM1205" i="48"/>
  <c r="AO1689" i="48"/>
  <c r="AK1689" i="48"/>
  <c r="AL1689" i="48"/>
  <c r="AN1338" i="48"/>
  <c r="AL1338" i="48"/>
  <c r="AM1338" i="48"/>
  <c r="AP1338" i="48"/>
  <c r="AM1773" i="48"/>
  <c r="AL1773" i="48"/>
  <c r="AO1773" i="48"/>
  <c r="AL1586" i="48"/>
  <c r="AN1586" i="48"/>
  <c r="AM1586" i="48"/>
  <c r="AP1586" i="48"/>
  <c r="AN692" i="48"/>
  <c r="AM692" i="48"/>
  <c r="AL692" i="48"/>
  <c r="AP1546" i="48"/>
  <c r="AO1546" i="48"/>
  <c r="AO1199" i="48"/>
  <c r="AK1199" i="48"/>
  <c r="AP1199" i="48"/>
  <c r="AN1199" i="48"/>
  <c r="AL1780" i="48"/>
  <c r="AN1780" i="48"/>
  <c r="AM1780" i="48"/>
  <c r="AP1780" i="48"/>
  <c r="AM1366" i="48"/>
  <c r="AL1366" i="48"/>
  <c r="AO1366" i="48"/>
  <c r="AN1366" i="48"/>
  <c r="AP1513" i="48"/>
  <c r="AO1513" i="48"/>
  <c r="AL1513" i="48"/>
  <c r="AN1750" i="48"/>
  <c r="AM1750" i="48"/>
  <c r="AO1750" i="48"/>
  <c r="AN2010" i="48"/>
  <c r="AM2010" i="48"/>
  <c r="AL2010" i="48"/>
  <c r="AM423" i="48"/>
  <c r="AK1773" i="48"/>
  <c r="AK1513" i="48"/>
  <c r="AL1546" i="48"/>
  <c r="AL677" i="48"/>
  <c r="AN1826" i="48"/>
  <c r="AP862" i="48"/>
  <c r="AL1199" i="48"/>
  <c r="AK1708" i="48"/>
  <c r="AL624" i="48"/>
  <c r="AK624" i="48"/>
  <c r="AP624" i="48"/>
  <c r="AK920" i="48"/>
  <c r="AM920" i="48"/>
  <c r="AP597" i="48"/>
  <c r="AO597" i="48"/>
  <c r="AN597" i="48"/>
  <c r="AL597" i="48"/>
  <c r="AL1374" i="48"/>
  <c r="AK1374" i="48"/>
  <c r="AP1374" i="48"/>
  <c r="AO1374" i="48"/>
  <c r="AM761" i="48"/>
  <c r="AL761" i="48"/>
  <c r="AP761" i="48"/>
  <c r="AO1351" i="48"/>
  <c r="AK1351" i="48"/>
  <c r="AP1557" i="48"/>
  <c r="AN1557" i="48"/>
  <c r="AO1557" i="48"/>
  <c r="AP1429" i="48"/>
  <c r="AM1429" i="48"/>
  <c r="AK1429" i="48"/>
  <c r="AL1429" i="48"/>
  <c r="AP1913" i="48"/>
  <c r="AO1913" i="48"/>
  <c r="AL1913" i="48"/>
  <c r="AM2007" i="48"/>
  <c r="AK2007" i="48"/>
  <c r="AO2007" i="48"/>
  <c r="AP834" i="48"/>
  <c r="AK834" i="48"/>
  <c r="AL834" i="48"/>
  <c r="AP1139" i="48"/>
  <c r="AM1139" i="48"/>
  <c r="AN1139" i="48"/>
  <c r="AO1139" i="48"/>
  <c r="AL1865" i="48"/>
  <c r="AK1865" i="48"/>
  <c r="AN1829" i="48"/>
  <c r="AL1829" i="48"/>
  <c r="AK1829" i="48"/>
  <c r="AM1711" i="48"/>
  <c r="AN1711" i="48"/>
  <c r="AO1711" i="48"/>
  <c r="AN1093" i="48"/>
  <c r="AO1093" i="48"/>
  <c r="AL1093" i="48"/>
  <c r="AP1093" i="48"/>
  <c r="AL1615" i="48"/>
  <c r="AK1615" i="48"/>
  <c r="AN1615" i="48"/>
  <c r="AL1325" i="48"/>
  <c r="AP1325" i="48"/>
  <c r="AM1325" i="48"/>
  <c r="AM1812" i="48"/>
  <c r="AP1812" i="48"/>
  <c r="AL1812" i="48"/>
  <c r="AO1858" i="48"/>
  <c r="AN1858" i="48"/>
  <c r="AK1858" i="48"/>
  <c r="AL1858" i="48"/>
  <c r="AL837" i="48"/>
  <c r="AP837" i="48"/>
  <c r="AM837" i="48"/>
  <c r="AO837" i="48"/>
  <c r="AK837" i="48"/>
  <c r="AP1642" i="48"/>
  <c r="AO1642" i="48"/>
  <c r="AN1642" i="48"/>
  <c r="AM1642" i="48"/>
  <c r="AN2045" i="48"/>
  <c r="AM2045" i="48"/>
  <c r="AP2045" i="48"/>
  <c r="AL2045" i="48"/>
  <c r="AP408" i="48"/>
  <c r="AN1773" i="48"/>
  <c r="AN1513" i="48"/>
  <c r="AM1546" i="48"/>
  <c r="AM1826" i="48"/>
  <c r="AM862" i="48"/>
  <c r="AK1338" i="48"/>
  <c r="AK1750" i="48"/>
  <c r="AM1199" i="48"/>
  <c r="AN1708" i="48"/>
  <c r="AN461" i="48"/>
  <c r="AL461" i="48"/>
  <c r="AK461" i="48"/>
  <c r="AN1433" i="48"/>
  <c r="AP174" i="48"/>
  <c r="AN1026" i="48"/>
  <c r="AP1026" i="48"/>
  <c r="AO686" i="48"/>
  <c r="AK686" i="48"/>
  <c r="AL686" i="48"/>
  <c r="AP2029" i="48"/>
  <c r="AN2029" i="48"/>
  <c r="AO2029" i="48"/>
  <c r="AL2029" i="48"/>
  <c r="AL489" i="48"/>
  <c r="AP489" i="48"/>
  <c r="AM1435" i="48"/>
  <c r="AL1435" i="48"/>
  <c r="AO1435" i="48"/>
  <c r="AM1131" i="48"/>
  <c r="AP1131" i="48"/>
  <c r="AK1131" i="48"/>
  <c r="AK1733" i="48"/>
  <c r="AN1733" i="48"/>
  <c r="AP1733" i="48"/>
  <c r="AN1869" i="48"/>
  <c r="AO1869" i="48"/>
  <c r="AL1869" i="48"/>
  <c r="AO1380" i="48"/>
  <c r="AN1380" i="48"/>
  <c r="AL1380" i="48"/>
  <c r="AP1380" i="48"/>
  <c r="AK1264" i="48"/>
  <c r="AL1264" i="48"/>
  <c r="AP1264" i="48"/>
  <c r="AN1264" i="48"/>
  <c r="AK1825" i="48"/>
  <c r="AN1825" i="48"/>
  <c r="AO1537" i="48"/>
  <c r="AN1537" i="48"/>
  <c r="AM1537" i="48"/>
  <c r="AK1537" i="48"/>
  <c r="AK964" i="48"/>
  <c r="AN964" i="48"/>
  <c r="AP964" i="48"/>
  <c r="AO964" i="48"/>
  <c r="AK937" i="48"/>
  <c r="AN937" i="48"/>
  <c r="AP1010" i="48"/>
  <c r="AK1010" i="48"/>
  <c r="AM1010" i="48"/>
  <c r="AL1010" i="48"/>
  <c r="AL640" i="48"/>
  <c r="AN640" i="48"/>
  <c r="AK640" i="48"/>
  <c r="AP640" i="48"/>
  <c r="AO1251" i="48"/>
  <c r="AN1251" i="48"/>
  <c r="AM1251" i="48"/>
  <c r="AK1251" i="48"/>
  <c r="AM584" i="48"/>
  <c r="AL584" i="48"/>
  <c r="AK584" i="48"/>
  <c r="AL1104" i="48"/>
  <c r="AK1104" i="48"/>
  <c r="AM562" i="48"/>
  <c r="AL562" i="48"/>
  <c r="AK562" i="48"/>
  <c r="AP562" i="48"/>
  <c r="AN789" i="48"/>
  <c r="AL789" i="48"/>
  <c r="AP789" i="48"/>
  <c r="AL1610" i="48"/>
  <c r="AP1610" i="48"/>
  <c r="AM1610" i="48"/>
  <c r="AO1610" i="48"/>
  <c r="AM909" i="48"/>
  <c r="AK909" i="48"/>
  <c r="AL909" i="48"/>
  <c r="AL1838" i="48"/>
  <c r="AP1838" i="48"/>
  <c r="AN1838" i="48"/>
  <c r="AK1737" i="48"/>
  <c r="AP1737" i="48"/>
  <c r="AP1816" i="48"/>
  <c r="AM1816" i="48"/>
  <c r="AO1816" i="48"/>
  <c r="AK1816" i="48"/>
  <c r="AO1485" i="48"/>
  <c r="AN1485" i="48"/>
  <c r="AK1485" i="48"/>
  <c r="AO1155" i="48"/>
  <c r="AK1155" i="48"/>
  <c r="AL1155" i="48"/>
  <c r="AM1155" i="48"/>
  <c r="AP1297" i="48"/>
  <c r="AO1297" i="48"/>
  <c r="AL1297" i="48"/>
  <c r="AL1977" i="48"/>
  <c r="AK1977" i="48"/>
  <c r="AO1977" i="48"/>
  <c r="AM603" i="48"/>
  <c r="AO603" i="48"/>
  <c r="AM1553" i="48"/>
  <c r="AL1553" i="48"/>
  <c r="AO1553" i="48"/>
  <c r="AO1923" i="48"/>
  <c r="AN1923" i="48"/>
  <c r="AM1923" i="48"/>
  <c r="AK1923" i="48"/>
  <c r="AL650" i="48"/>
  <c r="AK650" i="48"/>
  <c r="AO650" i="48"/>
  <c r="AP650" i="48"/>
  <c r="AK1395" i="48"/>
  <c r="AN1395" i="48"/>
  <c r="AP1395" i="48"/>
  <c r="AL1395" i="48"/>
  <c r="AM1395" i="48"/>
  <c r="AK1860" i="48"/>
  <c r="AM1860" i="48"/>
  <c r="AL1860" i="48"/>
  <c r="AO1860" i="48"/>
  <c r="AL1798" i="48"/>
  <c r="AK1798" i="48"/>
  <c r="AP1798" i="48"/>
  <c r="AK791" i="48"/>
  <c r="AN791" i="48"/>
  <c r="AP791" i="48"/>
  <c r="AP841" i="48"/>
  <c r="AK841" i="48"/>
  <c r="AN841" i="48"/>
  <c r="AL841" i="48"/>
  <c r="AL1117" i="48"/>
  <c r="AK1117" i="48"/>
  <c r="AN1117" i="48"/>
  <c r="AM1404" i="48"/>
  <c r="AL1404" i="48"/>
  <c r="AP1173" i="48"/>
  <c r="AM1173" i="48"/>
  <c r="AK1173" i="48"/>
  <c r="AP1074" i="48"/>
  <c r="AN1074" i="48"/>
  <c r="AM1074" i="48"/>
  <c r="AO1074" i="48"/>
  <c r="AP1782" i="48"/>
  <c r="AO1782" i="48"/>
  <c r="AP1840" i="48"/>
  <c r="AO1840" i="48"/>
  <c r="AM1840" i="48"/>
  <c r="AO744" i="48"/>
  <c r="AK744" i="48"/>
  <c r="AL744" i="48"/>
  <c r="AO1768" i="48"/>
  <c r="AK1768" i="48"/>
  <c r="AP1768" i="48"/>
  <c r="AM1768" i="48"/>
  <c r="AP957" i="48"/>
  <c r="AM957" i="48"/>
  <c r="AL957" i="48"/>
  <c r="AO957" i="48"/>
  <c r="AK957" i="48"/>
  <c r="AN957" i="48"/>
  <c r="AL681" i="48"/>
  <c r="AK681" i="48"/>
  <c r="AP681" i="48"/>
  <c r="AO681" i="48"/>
  <c r="AN681" i="48"/>
  <c r="AP583" i="48"/>
  <c r="AO583" i="48"/>
  <c r="AN583" i="48"/>
  <c r="AL583" i="48"/>
  <c r="AN994" i="48"/>
  <c r="AK994" i="48"/>
  <c r="AL994" i="48"/>
  <c r="AP994" i="48"/>
  <c r="AO677" i="48"/>
  <c r="AK677" i="48"/>
  <c r="AM408" i="48"/>
  <c r="AN1546" i="48"/>
  <c r="AN677" i="48"/>
  <c r="AP1826" i="48"/>
  <c r="AN862" i="48"/>
  <c r="AO1586" i="48"/>
  <c r="AO1338" i="48"/>
  <c r="AK1780" i="48"/>
  <c r="AP1750" i="48"/>
  <c r="AM1433" i="48"/>
  <c r="AK288" i="48"/>
  <c r="AL288" i="48" s="1"/>
  <c r="AO288" i="48"/>
  <c r="AP288" i="48" s="1"/>
  <c r="AM288" i="48"/>
  <c r="AN288" i="48" s="1"/>
  <c r="AP1842" i="48"/>
  <c r="AO1842" i="48"/>
  <c r="AK1842" i="48"/>
  <c r="AN1868" i="48"/>
  <c r="AP1868" i="48"/>
  <c r="AO772" i="48"/>
  <c r="AK772" i="48"/>
  <c r="AN772" i="48"/>
  <c r="AP797" i="48"/>
  <c r="AK797" i="48"/>
  <c r="AN797" i="48"/>
  <c r="AL1337" i="48"/>
  <c r="AK1337" i="48"/>
  <c r="AM515" i="48"/>
  <c r="AO515" i="48"/>
  <c r="AN515" i="48"/>
  <c r="AO1399" i="48"/>
  <c r="AL1399" i="48"/>
  <c r="AN1399" i="48"/>
  <c r="AN1521" i="48"/>
  <c r="AK1521" i="48"/>
  <c r="AP810" i="48"/>
  <c r="AL810" i="48"/>
  <c r="AO810" i="48"/>
  <c r="AM810" i="48"/>
  <c r="AK810" i="48"/>
  <c r="AM1445" i="48"/>
  <c r="AP1445" i="48"/>
  <c r="AL1445" i="48"/>
  <c r="AK1445" i="48"/>
  <c r="AN2052" i="48"/>
  <c r="AK2052" i="48"/>
  <c r="AL2052" i="48"/>
  <c r="AK1468" i="48"/>
  <c r="AL1468" i="48"/>
  <c r="AM1468" i="48"/>
  <c r="AO1468" i="48"/>
  <c r="AN1515" i="48"/>
  <c r="AK1515" i="48"/>
  <c r="AL1515" i="48"/>
  <c r="AM1515" i="48"/>
  <c r="AP1515" i="48"/>
  <c r="AL688" i="48"/>
  <c r="AP688" i="48"/>
  <c r="AO688" i="48"/>
  <c r="AK688" i="48"/>
  <c r="AN688" i="48"/>
  <c r="AM688" i="48"/>
  <c r="AO1550" i="48"/>
  <c r="AK1550" i="48"/>
  <c r="AL1550" i="48"/>
  <c r="AN1929" i="48"/>
  <c r="AM1929" i="48"/>
  <c r="AK1929" i="48"/>
  <c r="AM1413" i="48"/>
  <c r="AO1413" i="48"/>
  <c r="AK1413" i="48"/>
  <c r="AP1413" i="48"/>
  <c r="AP1437" i="48"/>
  <c r="AO1437" i="48"/>
  <c r="AN1437" i="48"/>
  <c r="AL1437" i="48"/>
  <c r="AM1410" i="48"/>
  <c r="AP1410" i="48"/>
  <c r="AK1410" i="48"/>
  <c r="AL1410" i="48"/>
  <c r="AN1311" i="48"/>
  <c r="AP2024" i="48"/>
  <c r="AO649" i="48"/>
  <c r="AO2034" i="48"/>
  <c r="AM1613" i="48"/>
  <c r="AP1685" i="48"/>
  <c r="AL939" i="48"/>
  <c r="AO1779" i="48"/>
  <c r="AM943" i="48"/>
  <c r="AL1930" i="48"/>
  <c r="AN720" i="48"/>
  <c r="AN1261" i="48"/>
  <c r="AO1102" i="48"/>
  <c r="AP2000" i="48"/>
  <c r="AO1762" i="48"/>
  <c r="AP1201" i="48"/>
  <c r="AO670" i="48"/>
  <c r="AL1490" i="48"/>
  <c r="AO1151" i="48"/>
  <c r="AP2041" i="48"/>
  <c r="AN1009" i="48"/>
  <c r="AM1047" i="48"/>
  <c r="AL1951" i="48"/>
  <c r="AO1908" i="48"/>
  <c r="AM1287" i="48"/>
  <c r="AM1434" i="48"/>
  <c r="AO1368" i="48"/>
  <c r="AO801" i="48"/>
  <c r="AP1647" i="48"/>
  <c r="AL1808" i="48"/>
  <c r="AK1719" i="48"/>
  <c r="AN1430" i="48"/>
  <c r="AP884" i="48"/>
  <c r="AM1506" i="48"/>
  <c r="AO1316" i="48"/>
  <c r="AP857" i="48"/>
  <c r="AM1644" i="48"/>
  <c r="AM1561" i="48"/>
  <c r="AO894" i="48"/>
  <c r="AN1527" i="48"/>
  <c r="AP792" i="48"/>
  <c r="AO978" i="48"/>
  <c r="AO918" i="48"/>
  <c r="AO656" i="48"/>
  <c r="AN1784" i="48"/>
  <c r="AM1498" i="48"/>
  <c r="AL595" i="48"/>
  <c r="AN1760" i="48"/>
  <c r="AN1984" i="48"/>
  <c r="AO1092" i="48"/>
  <c r="AK713" i="48"/>
  <c r="AO987" i="48"/>
  <c r="AL1581" i="48"/>
  <c r="AK568" i="48"/>
  <c r="AN1037" i="48"/>
  <c r="AO644" i="48"/>
  <c r="AP902" i="48"/>
  <c r="AK1882" i="48"/>
  <c r="AK1012" i="48"/>
  <c r="AO571" i="48"/>
  <c r="AK1007" i="48"/>
  <c r="AL1185" i="48"/>
  <c r="AP822" i="48"/>
  <c r="AK1725" i="48"/>
  <c r="AK1334" i="48"/>
  <c r="AK669" i="48"/>
  <c r="AL1542" i="48"/>
  <c r="AN846" i="48"/>
  <c r="AP1197" i="48"/>
  <c r="AL1221" i="48"/>
  <c r="AO2030" i="48"/>
  <c r="AN1571" i="48"/>
  <c r="AL1213" i="48"/>
  <c r="AM615" i="48"/>
  <c r="AL1241" i="48"/>
  <c r="AK823" i="48"/>
  <c r="AP1277" i="48"/>
  <c r="AK775" i="48"/>
  <c r="AM598" i="48"/>
  <c r="AN1257" i="48"/>
  <c r="AO1881" i="48"/>
  <c r="AO1113" i="48"/>
  <c r="AM1786" i="48"/>
  <c r="AL1638" i="48"/>
  <c r="AL578" i="48"/>
  <c r="AK1370" i="48"/>
  <c r="AN960" i="48"/>
  <c r="AP1348" i="48"/>
  <c r="AM1700" i="48"/>
  <c r="AN1992" i="48"/>
  <c r="AM989" i="48"/>
  <c r="AM1292" i="48"/>
  <c r="AP1901" i="48"/>
  <c r="AM1224" i="48"/>
  <c r="AL1271" i="48"/>
  <c r="AO1924" i="48"/>
  <c r="AK1016" i="48"/>
  <c r="AM1520" i="48"/>
  <c r="AP2037" i="48"/>
  <c r="AN1144" i="48"/>
  <c r="AK820" i="48"/>
  <c r="AP1086" i="48"/>
  <c r="AP996" i="48"/>
  <c r="AN865" i="48"/>
  <c r="AL571" i="48"/>
  <c r="AN1520" i="48"/>
  <c r="AK287" i="48"/>
  <c r="AL287" i="48" s="1"/>
  <c r="AK1311" i="48"/>
  <c r="AM2024" i="48"/>
  <c r="AO1613" i="48"/>
  <c r="AN939" i="48"/>
  <c r="AK599" i="48"/>
  <c r="AP1383" i="48"/>
  <c r="AO720" i="48"/>
  <c r="AP1261" i="48"/>
  <c r="AM1102" i="48"/>
  <c r="AN2000" i="48"/>
  <c r="AN1981" i="48"/>
  <c r="AK1503" i="48"/>
  <c r="AL947" i="48"/>
  <c r="AN1227" i="48"/>
  <c r="AO1490" i="48"/>
  <c r="AO2041" i="48"/>
  <c r="AP942" i="48"/>
  <c r="AO1009" i="48"/>
  <c r="AK1047" i="48"/>
  <c r="AM1951" i="48"/>
  <c r="AN1434" i="48"/>
  <c r="AK1368" i="48"/>
  <c r="AK1233" i="48"/>
  <c r="AM1808" i="48"/>
  <c r="AM1719" i="48"/>
  <c r="AN1094" i="48"/>
  <c r="AL1316" i="48"/>
  <c r="AP1644" i="48"/>
  <c r="AK1784" i="48"/>
  <c r="AN595" i="48"/>
  <c r="AL1760" i="48"/>
  <c r="AL1984" i="48"/>
  <c r="AM1092" i="48"/>
  <c r="AM713" i="48"/>
  <c r="AL795" i="48"/>
  <c r="AM1991" i="48"/>
  <c r="AL644" i="48"/>
  <c r="AM1012" i="48"/>
  <c r="AL1007" i="48"/>
  <c r="AM1725" i="48"/>
  <c r="AP669" i="48"/>
  <c r="AO1542" i="48"/>
  <c r="AM846" i="48"/>
  <c r="AN1197" i="48"/>
  <c r="AM1221" i="48"/>
  <c r="AL2030" i="48"/>
  <c r="AL1174" i="48"/>
  <c r="AL1830" i="48"/>
  <c r="AL1571" i="48"/>
  <c r="AO615" i="48"/>
  <c r="AL823" i="48"/>
  <c r="AO808" i="48"/>
  <c r="AK1968" i="48"/>
  <c r="AL775" i="48"/>
  <c r="AO598" i="48"/>
  <c r="AP1257" i="48"/>
  <c r="AL1881" i="48"/>
  <c r="AP1786" i="48"/>
  <c r="AO578" i="48"/>
  <c r="AO1370" i="48"/>
  <c r="AM960" i="48"/>
  <c r="AK1700" i="48"/>
  <c r="AP1992" i="48"/>
  <c r="AN989" i="48"/>
  <c r="AP696" i="48"/>
  <c r="AP1916" i="48"/>
  <c r="AP853" i="48"/>
  <c r="AK1901" i="48"/>
  <c r="AN1224" i="48"/>
  <c r="AN1271" i="48"/>
  <c r="AL1016" i="48"/>
  <c r="AP1240" i="48"/>
  <c r="AO1520" i="48"/>
  <c r="AM2037" i="48"/>
  <c r="AL820" i="48"/>
  <c r="AL976" i="48"/>
  <c r="AK1086" i="48"/>
  <c r="AN1453" i="48"/>
  <c r="AP1235" i="48"/>
  <c r="AO865" i="48"/>
  <c r="AL1240" i="48"/>
  <c r="AO287" i="48"/>
  <c r="AP287" i="48" s="1"/>
  <c r="AL1311" i="48"/>
  <c r="AL2024" i="48"/>
  <c r="AK2034" i="48"/>
  <c r="AL599" i="48"/>
  <c r="AN1383" i="48"/>
  <c r="AP720" i="48"/>
  <c r="AL1261" i="48"/>
  <c r="AM670" i="48"/>
  <c r="AK1981" i="48"/>
  <c r="AN1503" i="48"/>
  <c r="AO947" i="48"/>
  <c r="AP1227" i="48"/>
  <c r="AL2041" i="48"/>
  <c r="AM942" i="48"/>
  <c r="AP1009" i="48"/>
  <c r="AL1047" i="48"/>
  <c r="AM1908" i="48"/>
  <c r="AL1287" i="48"/>
  <c r="AP1434" i="48"/>
  <c r="AP1368" i="48"/>
  <c r="AL1233" i="48"/>
  <c r="AM1094" i="48"/>
  <c r="AL884" i="48"/>
  <c r="AP1316" i="48"/>
  <c r="AO1644" i="48"/>
  <c r="AL1527" i="48"/>
  <c r="AL792" i="48"/>
  <c r="AP978" i="48"/>
  <c r="AL656" i="48"/>
  <c r="AO1784" i="48"/>
  <c r="AO595" i="48"/>
  <c r="AM1984" i="48"/>
  <c r="AM795" i="48"/>
  <c r="AO568" i="48"/>
  <c r="AN1991" i="48"/>
  <c r="AM1882" i="48"/>
  <c r="AO1012" i="48"/>
  <c r="AM1007" i="48"/>
  <c r="AK1185" i="48"/>
  <c r="AO822" i="48"/>
  <c r="AO846" i="48"/>
  <c r="AN1174" i="48"/>
  <c r="AM1830" i="48"/>
  <c r="AM1571" i="48"/>
  <c r="AP615" i="48"/>
  <c r="AN1241" i="48"/>
  <c r="AM823" i="48"/>
  <c r="AP808" i="48"/>
  <c r="AM1968" i="48"/>
  <c r="AM775" i="48"/>
  <c r="AP598" i="48"/>
  <c r="AK1257" i="48"/>
  <c r="AM1881" i="48"/>
  <c r="AK1786" i="48"/>
  <c r="AN578" i="48"/>
  <c r="AO960" i="48"/>
  <c r="AO1700" i="48"/>
  <c r="AK1992" i="48"/>
  <c r="AL696" i="48"/>
  <c r="AM1916" i="48"/>
  <c r="AN853" i="48"/>
  <c r="AM1901" i="48"/>
  <c r="AL1224" i="48"/>
  <c r="AN1016" i="48"/>
  <c r="AK1240" i="48"/>
  <c r="AL1144" i="48"/>
  <c r="AM820" i="48"/>
  <c r="AN976" i="48"/>
  <c r="AL1086" i="48"/>
  <c r="AK1453" i="48"/>
  <c r="AM1235" i="48"/>
  <c r="AP865" i="48"/>
  <c r="AM996" i="48"/>
  <c r="AO282" i="48"/>
  <c r="AP282" i="48" s="1"/>
  <c r="AP262" i="48"/>
  <c r="AN459" i="48"/>
  <c r="AM1455" i="48"/>
  <c r="AP1735" i="48"/>
  <c r="AL1317" i="48"/>
  <c r="AL1552" i="48"/>
  <c r="AP1182" i="48"/>
  <c r="AL1182" i="48"/>
  <c r="AK1182" i="48"/>
  <c r="AL1451" i="48"/>
  <c r="AP1451" i="48"/>
  <c r="AK1451" i="48"/>
  <c r="AN1905" i="48"/>
  <c r="AP1905" i="48"/>
  <c r="AK1905" i="48"/>
  <c r="AK658" i="48"/>
  <c r="AO658" i="48"/>
  <c r="AP658" i="48"/>
  <c r="AM658" i="48"/>
  <c r="AO1337" i="48"/>
  <c r="AN1337" i="48"/>
  <c r="AM1337" i="48"/>
  <c r="AP1337" i="48"/>
  <c r="AP1864" i="48"/>
  <c r="AO1864" i="48"/>
  <c r="AM1864" i="48"/>
  <c r="AO1323" i="48"/>
  <c r="AN1323" i="48"/>
  <c r="AM1323" i="48"/>
  <c r="AK1323" i="48"/>
  <c r="AP1028" i="48"/>
  <c r="AM1028" i="48"/>
  <c r="AK1028" i="48"/>
  <c r="AL1028" i="48"/>
  <c r="AO1540" i="48"/>
  <c r="AN1540" i="48"/>
  <c r="AK1540" i="48"/>
  <c r="AL1540" i="48"/>
  <c r="AP1017" i="48"/>
  <c r="AO1017" i="48"/>
  <c r="AN1017" i="48"/>
  <c r="AK1017" i="48"/>
  <c r="AK1963" i="48"/>
  <c r="AO1963" i="48"/>
  <c r="AL1963" i="48"/>
  <c r="AM1963" i="48"/>
  <c r="AK602" i="48"/>
  <c r="AP602" i="48"/>
  <c r="AO602" i="48"/>
  <c r="AN602" i="48"/>
  <c r="AM602" i="48"/>
  <c r="AM691" i="48"/>
  <c r="AL691" i="48"/>
  <c r="AP691" i="48"/>
  <c r="AO691" i="48"/>
  <c r="AL2032" i="48"/>
  <c r="AK2032" i="48"/>
  <c r="AP2032" i="48"/>
  <c r="AO2032" i="48"/>
  <c r="AM1290" i="48"/>
  <c r="AP1290" i="48"/>
  <c r="AL1290" i="48"/>
  <c r="AK1290" i="48"/>
  <c r="AO1290" i="48"/>
  <c r="AM933" i="48"/>
  <c r="AO933" i="48"/>
  <c r="AP933" i="48"/>
  <c r="AO1521" i="48"/>
  <c r="AM1521" i="48"/>
  <c r="AP1706" i="48"/>
  <c r="AO1706" i="48"/>
  <c r="AK1706" i="48"/>
  <c r="AM1706" i="48"/>
  <c r="AP496" i="48"/>
  <c r="AM335" i="48"/>
  <c r="AP548" i="48"/>
  <c r="AM262" i="48"/>
  <c r="AN262" i="48" s="1"/>
  <c r="AP459" i="48"/>
  <c r="AL1130" i="48"/>
  <c r="AN1385" i="48"/>
  <c r="AK1868" i="48"/>
  <c r="AO614" i="48"/>
  <c r="AM1317" i="48"/>
  <c r="AP1578" i="48"/>
  <c r="AK933" i="48"/>
  <c r="AK1988" i="48"/>
  <c r="AM1552" i="48"/>
  <c r="AK691" i="48"/>
  <c r="AP1323" i="48"/>
  <c r="AN1706" i="48"/>
  <c r="AP1540" i="48"/>
  <c r="AM1017" i="48"/>
  <c r="AL935" i="48"/>
  <c r="AM935" i="48"/>
  <c r="AP935" i="48"/>
  <c r="AN935" i="48"/>
  <c r="AL1541" i="48"/>
  <c r="AP1541" i="48"/>
  <c r="AM947" i="48"/>
  <c r="AP947" i="48"/>
  <c r="AM1595" i="48"/>
  <c r="AN1595" i="48"/>
  <c r="AP1595" i="48"/>
  <c r="AM831" i="48"/>
  <c r="AK831" i="48"/>
  <c r="AN831" i="48"/>
  <c r="AO831" i="48"/>
  <c r="AN1885" i="48"/>
  <c r="AL1885" i="48"/>
  <c r="AO1885" i="48"/>
  <c r="AN1279" i="48"/>
  <c r="AL1279" i="48"/>
  <c r="AP803" i="48"/>
  <c r="AO803" i="48"/>
  <c r="AL803" i="48"/>
  <c r="AP1831" i="48"/>
  <c r="AM1831" i="48"/>
  <c r="AP742" i="48"/>
  <c r="AO742" i="48"/>
  <c r="AO812" i="48"/>
  <c r="AL812" i="48"/>
  <c r="AP812" i="48"/>
  <c r="AM812" i="48"/>
  <c r="AK812" i="48"/>
  <c r="AO1692" i="48"/>
  <c r="AK1692" i="48"/>
  <c r="AL1692" i="48"/>
  <c r="AP2043" i="48"/>
  <c r="AK2043" i="48"/>
  <c r="AO634" i="48"/>
  <c r="AN634" i="48"/>
  <c r="AK634" i="48"/>
  <c r="AN721" i="48"/>
  <c r="AM721" i="48"/>
  <c r="AO721" i="48"/>
  <c r="AM1001" i="48"/>
  <c r="AL1001" i="48"/>
  <c r="AO1001" i="48"/>
  <c r="AP1001" i="48"/>
  <c r="AK1001" i="48"/>
  <c r="AP1996" i="48"/>
  <c r="AL1996" i="48"/>
  <c r="AM1996" i="48"/>
  <c r="AK826" i="48"/>
  <c r="AN826" i="48"/>
  <c r="AP826" i="48"/>
  <c r="AL1899" i="48"/>
  <c r="AN1899" i="48"/>
  <c r="AK1899" i="48"/>
  <c r="AL1360" i="48"/>
  <c r="AP1360" i="48"/>
  <c r="AK1360" i="48"/>
  <c r="AO1360" i="48"/>
  <c r="AP1819" i="48"/>
  <c r="AM1819" i="48"/>
  <c r="AO1819" i="48"/>
  <c r="AN1819" i="48"/>
  <c r="AK1657" i="48"/>
  <c r="AN1657" i="48"/>
  <c r="AO1657" i="48"/>
  <c r="AK784" i="48"/>
  <c r="AN784" i="48"/>
  <c r="AP784" i="48"/>
  <c r="AL784" i="48"/>
  <c r="AK1919" i="48"/>
  <c r="AN1919" i="48"/>
  <c r="AP1919" i="48"/>
  <c r="AK998" i="48"/>
  <c r="AN998" i="48"/>
  <c r="AM998" i="48"/>
  <c r="AO998" i="48"/>
  <c r="AP1066" i="48"/>
  <c r="AM1066" i="48"/>
  <c r="AN1066" i="48"/>
  <c r="AO1066" i="48"/>
  <c r="AL371" i="48"/>
  <c r="AP335" i="48"/>
  <c r="AP1898" i="48"/>
  <c r="AN1898" i="48"/>
  <c r="AM1898" i="48"/>
  <c r="AO951" i="48"/>
  <c r="AL951" i="48"/>
  <c r="AP951" i="48"/>
  <c r="AM951" i="48"/>
  <c r="AK951" i="48"/>
  <c r="AO1525" i="48"/>
  <c r="AN1525" i="48"/>
  <c r="AK1525" i="48"/>
  <c r="AM1525" i="48"/>
  <c r="AL1735" i="48"/>
  <c r="AO1735" i="48"/>
  <c r="AK1735" i="48"/>
  <c r="AN1735" i="48"/>
  <c r="AN1317" i="48"/>
  <c r="AK1317" i="48"/>
  <c r="AP1317" i="48"/>
  <c r="AK1396" i="48"/>
  <c r="AO1396" i="48"/>
  <c r="AN1396" i="48"/>
  <c r="AL1396" i="48"/>
  <c r="AL614" i="48"/>
  <c r="AK614" i="48"/>
  <c r="AN614" i="48"/>
  <c r="AK1896" i="48"/>
  <c r="AO1896" i="48"/>
  <c r="AP1896" i="48"/>
  <c r="AM1896" i="48"/>
  <c r="AM790" i="48"/>
  <c r="AL790" i="48"/>
  <c r="AP790" i="48"/>
  <c r="AO790" i="48"/>
  <c r="AK790" i="48"/>
  <c r="AO1425" i="48"/>
  <c r="AN1425" i="48"/>
  <c r="AL1425" i="48"/>
  <c r="AK1425" i="48"/>
  <c r="AP1275" i="48"/>
  <c r="AL1275" i="48"/>
  <c r="AK1275" i="48"/>
  <c r="AN1275" i="48"/>
  <c r="AK1552" i="48"/>
  <c r="AO1552" i="48"/>
  <c r="AN1552" i="48"/>
  <c r="AN1988" i="48"/>
  <c r="AM1988" i="48"/>
  <c r="AP1988" i="48"/>
  <c r="AL1988" i="48"/>
  <c r="AP488" i="48"/>
  <c r="AP483" i="48"/>
  <c r="AM548" i="48"/>
  <c r="AL457" i="48"/>
  <c r="AO459" i="48"/>
  <c r="AO401" i="48"/>
  <c r="AM1379" i="48"/>
  <c r="AP772" i="48"/>
  <c r="AN1182" i="48"/>
  <c r="AL1864" i="48"/>
  <c r="AN1692" i="48"/>
  <c r="AK1862" i="48"/>
  <c r="AN951" i="48"/>
  <c r="AL1090" i="48"/>
  <c r="AN1028" i="48"/>
  <c r="AO1996" i="48"/>
  <c r="AL1898" i="48"/>
  <c r="AL1905" i="48"/>
  <c r="AL1455" i="48"/>
  <c r="AP1455" i="48"/>
  <c r="AK483" i="48"/>
  <c r="AP306" i="48"/>
  <c r="AP401" i="48"/>
  <c r="AL772" i="48"/>
  <c r="AK1279" i="48"/>
  <c r="AO1182" i="48"/>
  <c r="AK1864" i="48"/>
  <c r="AK721" i="48"/>
  <c r="AL1072" i="48"/>
  <c r="AN2032" i="48"/>
  <c r="AL658" i="48"/>
  <c r="AP1425" i="48"/>
  <c r="AO1028" i="48"/>
  <c r="AP1963" i="48"/>
  <c r="AO1898" i="48"/>
  <c r="AM1905" i="48"/>
  <c r="AO1279" i="48"/>
  <c r="AP831" i="48"/>
  <c r="AK1831" i="48"/>
  <c r="AN1864" i="48"/>
  <c r="AP721" i="48"/>
  <c r="AO1072" i="48"/>
  <c r="AM2032" i="48"/>
  <c r="AN658" i="48"/>
  <c r="AK1819" i="48"/>
  <c r="AM1425" i="48"/>
  <c r="AL1919" i="48"/>
  <c r="AN812" i="48"/>
  <c r="AP1396" i="48"/>
  <c r="AN1963" i="48"/>
  <c r="AK1898" i="48"/>
  <c r="AL1525" i="48"/>
  <c r="AM1451" i="48"/>
  <c r="AK1712" i="48"/>
  <c r="AO1905" i="48"/>
  <c r="AL1868" i="48"/>
  <c r="AL1521" i="48"/>
  <c r="AL1595" i="48"/>
  <c r="AL831" i="48"/>
  <c r="AL933" i="48"/>
  <c r="AM1275" i="48"/>
  <c r="AL721" i="48"/>
  <c r="AL1819" i="48"/>
  <c r="AM784" i="48"/>
  <c r="AO1919" i="48"/>
  <c r="AM1396" i="48"/>
  <c r="AL1657" i="48"/>
  <c r="AP1525" i="48"/>
  <c r="AN1451" i="48"/>
  <c r="AP1499" i="48"/>
  <c r="AM1499" i="48"/>
  <c r="AP1140" i="48"/>
  <c r="AM1140" i="48"/>
  <c r="AO1140" i="48"/>
  <c r="AK322" i="48"/>
  <c r="AO435" i="48"/>
  <c r="AM324" i="48"/>
  <c r="AK337" i="48"/>
  <c r="AL545" i="48"/>
  <c r="AO325" i="48"/>
  <c r="AN507" i="48"/>
  <c r="AL1499" i="48"/>
  <c r="AM1594" i="48"/>
  <c r="AL1594" i="48"/>
  <c r="AO1594" i="48"/>
  <c r="AP1594" i="48"/>
  <c r="AL1269" i="48"/>
  <c r="AM1269" i="48"/>
  <c r="AP1269" i="48"/>
  <c r="AL1398" i="48"/>
  <c r="AN1398" i="48"/>
  <c r="AK1398" i="48"/>
  <c r="AP1398" i="48"/>
  <c r="AO1398" i="48"/>
  <c r="AP1147" i="48"/>
  <c r="AM1147" i="48"/>
  <c r="AN1578" i="48"/>
  <c r="AO1578" i="48"/>
  <c r="AN324" i="48"/>
  <c r="AO337" i="48"/>
  <c r="AN545" i="48"/>
  <c r="AL325" i="48"/>
  <c r="AL507" i="48"/>
  <c r="AP343" i="48"/>
  <c r="AP1379" i="48"/>
  <c r="AK1147" i="48"/>
  <c r="AL1578" i="48"/>
  <c r="AK1499" i="48"/>
  <c r="AO1269" i="48"/>
  <c r="AP426" i="48"/>
  <c r="AL2056" i="48"/>
  <c r="AM1578" i="48"/>
  <c r="AN1499" i="48"/>
  <c r="AK1594" i="48"/>
  <c r="AM488" i="48"/>
  <c r="AO192" i="48"/>
  <c r="AM410" i="48"/>
  <c r="AL335" i="48"/>
  <c r="AP499" i="48"/>
  <c r="AL469" i="48"/>
  <c r="AN2056" i="48"/>
  <c r="AK252" i="48"/>
  <c r="AL252" i="48" s="1"/>
  <c r="AK545" i="48"/>
  <c r="AL1379" i="48"/>
  <c r="AN1147" i="48"/>
  <c r="AO1499" i="48"/>
  <c r="AN1594" i="48"/>
  <c r="AP937" i="48"/>
  <c r="AM937" i="48"/>
  <c r="AO937" i="48"/>
  <c r="AK1399" i="48"/>
  <c r="AP1399" i="48"/>
  <c r="AM1399" i="48"/>
  <c r="AO1147" i="48"/>
  <c r="AK488" i="48"/>
  <c r="AN410" i="48"/>
  <c r="AO2056" i="48"/>
  <c r="AK324" i="48"/>
  <c r="AO545" i="48"/>
  <c r="AO1379" i="48"/>
  <c r="AP192" i="48"/>
  <c r="AO410" i="48"/>
  <c r="AO469" i="48"/>
  <c r="AN512" i="48"/>
  <c r="AN532" i="48"/>
  <c r="AL1140" i="48"/>
  <c r="AO1292" i="48"/>
  <c r="AK1292" i="48"/>
  <c r="AP1249" i="48"/>
  <c r="AL1249" i="48"/>
  <c r="AO1249" i="48"/>
  <c r="AK1249" i="48"/>
  <c r="AN1647" i="48"/>
  <c r="AM1647" i="48"/>
  <c r="AL1647" i="48"/>
  <c r="AK1140" i="48"/>
  <c r="AM1398" i="48"/>
  <c r="AM1090" i="48"/>
  <c r="AN1090" i="48"/>
  <c r="AP1090" i="48"/>
  <c r="AM1279" i="48"/>
  <c r="AP1279" i="48"/>
  <c r="AN803" i="48"/>
  <c r="AM803" i="48"/>
  <c r="AK803" i="48"/>
  <c r="AL1831" i="48"/>
  <c r="AO1831" i="48"/>
  <c r="AN1831" i="48"/>
  <c r="AM1072" i="48"/>
  <c r="AN1072" i="48"/>
  <c r="AP1072" i="48"/>
  <c r="AM742" i="48"/>
  <c r="AL742" i="48"/>
  <c r="AN742" i="48"/>
  <c r="AO1862" i="48"/>
  <c r="AN1862" i="48"/>
  <c r="AP1862" i="48"/>
  <c r="AM1712" i="48"/>
  <c r="AL1712" i="48"/>
  <c r="AP1712" i="48"/>
  <c r="AN1712" i="48"/>
  <c r="AL996" i="48"/>
  <c r="AM964" i="48"/>
  <c r="AN996" i="48"/>
  <c r="AM1056" i="48"/>
  <c r="AM482" i="48"/>
  <c r="AO356" i="48"/>
  <c r="AP535" i="48"/>
  <c r="AM469" i="48"/>
  <c r="AN457" i="48"/>
  <c r="AK282" i="48"/>
  <c r="AL282" i="48" s="1"/>
  <c r="AN302" i="48"/>
  <c r="AO182" i="48"/>
  <c r="AP182" i="48" s="1"/>
  <c r="AM504" i="48"/>
  <c r="AO507" i="48"/>
  <c r="AO216" i="48"/>
  <c r="AM302" i="48"/>
  <c r="AL535" i="48"/>
  <c r="AL484" i="48"/>
  <c r="AK175" i="48"/>
  <c r="AL175" i="48" s="1"/>
  <c r="AK356" i="48"/>
  <c r="AO175" i="48"/>
  <c r="AP175" i="48" s="1"/>
  <c r="AL356" i="48"/>
  <c r="AP457" i="48"/>
  <c r="AP356" i="48"/>
  <c r="AK535" i="48"/>
  <c r="AK457" i="48"/>
  <c r="AL476" i="48"/>
  <c r="U31" i="72" a="1"/>
  <c r="AO535" i="48"/>
  <c r="AO457" i="48"/>
  <c r="AM484" i="48"/>
  <c r="AK302" i="48"/>
  <c r="AM175" i="48"/>
  <c r="AN175" i="48" s="1"/>
  <c r="AN356" i="48"/>
  <c r="AM535" i="48"/>
  <c r="AP368" i="48"/>
  <c r="AN469" i="48"/>
  <c r="AM282" i="48"/>
  <c r="AN282" i="48" s="1"/>
  <c r="AM476" i="48"/>
  <c r="AO484" i="48"/>
  <c r="AM437" i="48"/>
  <c r="AO302" i="48"/>
  <c r="AP216" i="48"/>
  <c r="AO514" i="48"/>
  <c r="AN476" i="48"/>
  <c r="AO251" i="48"/>
  <c r="AP251" i="48" s="1"/>
  <c r="AL306" i="48"/>
  <c r="AO278" i="48"/>
  <c r="AP278" i="48" s="1"/>
  <c r="AP113" i="48"/>
  <c r="AK100" i="48"/>
  <c r="AL100" i="48" s="1"/>
  <c r="AK77" i="48"/>
  <c r="AL77" i="48" s="1"/>
  <c r="BB57" i="48"/>
  <c r="AB57" i="48" s="1"/>
  <c r="AK94" i="48"/>
  <c r="AL94" i="48" s="1"/>
  <c r="AB122" i="48"/>
  <c r="AO122" i="48"/>
  <c r="AP122" i="48" s="1"/>
  <c r="AO256" i="48"/>
  <c r="AP256" i="48"/>
  <c r="AP492" i="48"/>
  <c r="AN413" i="48"/>
  <c r="AO413" i="48"/>
  <c r="AP413" i="48"/>
  <c r="AL413" i="48"/>
  <c r="AM443" i="48"/>
  <c r="AP443" i="48"/>
  <c r="AO443" i="48"/>
  <c r="AN443" i="48"/>
  <c r="AK443" i="48"/>
  <c r="AK538" i="48"/>
  <c r="AL538" i="48"/>
  <c r="AP538" i="48"/>
  <c r="AM538" i="48"/>
  <c r="AP186" i="48"/>
  <c r="AO186" i="48"/>
  <c r="AM186" i="48"/>
  <c r="AN186" i="48" s="1"/>
  <c r="AO142" i="48"/>
  <c r="AP142" i="48" s="1"/>
  <c r="AM201" i="48"/>
  <c r="AN201" i="48" s="1"/>
  <c r="AP201" i="48"/>
  <c r="AM189" i="48"/>
  <c r="AN189" i="48" s="1"/>
  <c r="AO189" i="48"/>
  <c r="AP189" i="48" s="1"/>
  <c r="AK189" i="48"/>
  <c r="AL189" i="48" s="1"/>
  <c r="AM508" i="48"/>
  <c r="AN508" i="48"/>
  <c r="AO508" i="48"/>
  <c r="AL508" i="48"/>
  <c r="AO538" i="48"/>
  <c r="AO94" i="48"/>
  <c r="AP94" i="48" s="1"/>
  <c r="AK413" i="48"/>
  <c r="AP473" i="48"/>
  <c r="AK473" i="48"/>
  <c r="AK285" i="48"/>
  <c r="AL285" i="48" s="1"/>
  <c r="AP285" i="48"/>
  <c r="AM100" i="48"/>
  <c r="AN100" i="48" s="1"/>
  <c r="AO281" i="48"/>
  <c r="AP281" i="48" s="1"/>
  <c r="AO184" i="48"/>
  <c r="AP184" i="48" s="1"/>
  <c r="AM554" i="48"/>
  <c r="AO554" i="48"/>
  <c r="AP554" i="48"/>
  <c r="AN554" i="48"/>
  <c r="AM492" i="48"/>
  <c r="AO492" i="48"/>
  <c r="AN492" i="48"/>
  <c r="AL492" i="48"/>
  <c r="AM184" i="48"/>
  <c r="AN184" i="48" s="1"/>
  <c r="AP394" i="48"/>
  <c r="AL394" i="48"/>
  <c r="AN394" i="48"/>
  <c r="AK394" i="48"/>
  <c r="AK68" i="48"/>
  <c r="AL68" i="48" s="1"/>
  <c r="AP508" i="48"/>
  <c r="AL554" i="48"/>
  <c r="AM413" i="48"/>
  <c r="AM394" i="48"/>
  <c r="AO201" i="48"/>
  <c r="AK186" i="48"/>
  <c r="AL186" i="48" s="1"/>
  <c r="AK64" i="48"/>
  <c r="AL64" i="48" s="1"/>
  <c r="AL488" i="48"/>
  <c r="AO488" i="48"/>
  <c r="AP410" i="48"/>
  <c r="AK335" i="48"/>
  <c r="AO283" i="48"/>
  <c r="AP283" i="48" s="1"/>
  <c r="AK480" i="48"/>
  <c r="AM2056" i="48"/>
  <c r="AK245" i="48"/>
  <c r="AL245" i="48" s="1"/>
  <c r="AL504" i="48"/>
  <c r="AO504" i="48"/>
  <c r="AO306" i="48"/>
  <c r="AM306" i="48"/>
  <c r="AK91" i="48"/>
  <c r="AL91" i="48" s="1"/>
  <c r="AM91" i="48"/>
  <c r="AN91" i="48" s="1"/>
  <c r="AM337" i="48"/>
  <c r="AL337" i="48"/>
  <c r="AN325" i="48"/>
  <c r="AP325" i="48"/>
  <c r="AO220" i="48"/>
  <c r="AP220" i="48" s="1"/>
  <c r="AK219" i="48"/>
  <c r="AL219" i="48" s="1"/>
  <c r="AP219" i="48"/>
  <c r="AM219" i="48"/>
  <c r="AN219" i="48" s="1"/>
  <c r="AO64" i="48"/>
  <c r="AP64" i="48" s="1"/>
  <c r="AP464" i="48"/>
  <c r="AO150" i="48"/>
  <c r="AL410" i="48"/>
  <c r="AP2056" i="48"/>
  <c r="AK306" i="48"/>
  <c r="AO91" i="48"/>
  <c r="AP91" i="48" s="1"/>
  <c r="AN337" i="48"/>
  <c r="AK272" i="48"/>
  <c r="AL272" i="48" s="1"/>
  <c r="AL482" i="48"/>
  <c r="AK482" i="48"/>
  <c r="AO368" i="48"/>
  <c r="AM368" i="48"/>
  <c r="AK523" i="48"/>
  <c r="AM426" i="48"/>
  <c r="AM122" i="48"/>
  <c r="AN122" i="48" s="1"/>
  <c r="AN322" i="48"/>
  <c r="AM272" i="48"/>
  <c r="AN272" i="48" s="1"/>
  <c r="AN496" i="48"/>
  <c r="AO110" i="48"/>
  <c r="AP110" i="48" s="1"/>
  <c r="AN482" i="48"/>
  <c r="AO482" i="48"/>
  <c r="AM213" i="48"/>
  <c r="AN213" i="48" s="1"/>
  <c r="AK513" i="48"/>
  <c r="AM499" i="48"/>
  <c r="AK368" i="48"/>
  <c r="AN368" i="48"/>
  <c r="AN514" i="48"/>
  <c r="AO250" i="48"/>
  <c r="AP250" i="48" s="1"/>
  <c r="AN523" i="48"/>
  <c r="AO523" i="48"/>
  <c r="AL426" i="48"/>
  <c r="AK426" i="48"/>
  <c r="AN437" i="48"/>
  <c r="AP70" i="48"/>
  <c r="AP146" i="48"/>
  <c r="AP532" i="48"/>
  <c r="AK532" i="48"/>
  <c r="AM322" i="48"/>
  <c r="AO139" i="48"/>
  <c r="AL513" i="48"/>
  <c r="AL499" i="48"/>
  <c r="AK402" i="48"/>
  <c r="AP261" i="48"/>
  <c r="AO322" i="48"/>
  <c r="AK496" i="48"/>
  <c r="AO513" i="48"/>
  <c r="AO244" i="48"/>
  <c r="AP244" i="48" s="1"/>
  <c r="AM514" i="48"/>
  <c r="AP523" i="48"/>
  <c r="AN426" i="48"/>
  <c r="AP437" i="48"/>
  <c r="AK458" i="48"/>
  <c r="AK122" i="48"/>
  <c r="AL122" i="48" s="1"/>
  <c r="AL532" i="48"/>
  <c r="AK96" i="48"/>
  <c r="AL96" i="48" s="1"/>
  <c r="AL408" i="48"/>
  <c r="AM496" i="48"/>
  <c r="AK435" i="48"/>
  <c r="AK251" i="48"/>
  <c r="AL251" i="48" s="1"/>
  <c r="AL483" i="48"/>
  <c r="AP480" i="48"/>
  <c r="AO164" i="48"/>
  <c r="AP164" i="48" s="1"/>
  <c r="AP514" i="48"/>
  <c r="AN484" i="48"/>
  <c r="AM371" i="48"/>
  <c r="AL537" i="48"/>
  <c r="AO537" i="48"/>
  <c r="AP233" i="48"/>
  <c r="AL512" i="48"/>
  <c r="AO252" i="48"/>
  <c r="AP252" i="48" s="1"/>
  <c r="AM252" i="48"/>
  <c r="AN252" i="48" s="1"/>
  <c r="AM401" i="48"/>
  <c r="AL401" i="48"/>
  <c r="AK507" i="48"/>
  <c r="AN343" i="48"/>
  <c r="AM289" i="48"/>
  <c r="AN289" i="48" s="1"/>
  <c r="AO207" i="48"/>
  <c r="AP207" i="48" s="1"/>
  <c r="AN408" i="48"/>
  <c r="AK464" i="48"/>
  <c r="AL496" i="48"/>
  <c r="AP435" i="48"/>
  <c r="AM251" i="48"/>
  <c r="AN251" i="48" s="1"/>
  <c r="AN483" i="48"/>
  <c r="AL514" i="48"/>
  <c r="AP372" i="48"/>
  <c r="AO473" i="48"/>
  <c r="AP484" i="48"/>
  <c r="AO512" i="48"/>
  <c r="AP507" i="48"/>
  <c r="AM343" i="48"/>
  <c r="AL464" i="48"/>
  <c r="AL480" i="48"/>
  <c r="AO480" i="48"/>
  <c r="AN371" i="48"/>
  <c r="AP371" i="48"/>
  <c r="AK207" i="48"/>
  <c r="AL207" i="48" s="1"/>
  <c r="AL322" i="48"/>
  <c r="AN464" i="48"/>
  <c r="AK213" i="48"/>
  <c r="AL213" i="48" s="1"/>
  <c r="AO213" i="48"/>
  <c r="AP213" i="48" s="1"/>
  <c r="AO96" i="48"/>
  <c r="AP96" i="48" s="1"/>
  <c r="AK214" i="48"/>
  <c r="AL214" i="48" s="1"/>
  <c r="AN513" i="48"/>
  <c r="AM513" i="48"/>
  <c r="AK499" i="48"/>
  <c r="AN480" i="48"/>
  <c r="AO167" i="48"/>
  <c r="AK371" i="48"/>
  <c r="AL458" i="48"/>
  <c r="AO464" i="48"/>
  <c r="AO261" i="48"/>
  <c r="AM207" i="48"/>
  <c r="AN207" i="48" s="1"/>
  <c r="AK451" i="48"/>
  <c r="AN499" i="48"/>
  <c r="AP167" i="48"/>
  <c r="AL473" i="48"/>
  <c r="AO255" i="48"/>
  <c r="AM458" i="48"/>
  <c r="AL330" i="48"/>
  <c r="AO330" i="48"/>
  <c r="AN330" i="48"/>
  <c r="AK330" i="48"/>
  <c r="AM330" i="48"/>
  <c r="AO526" i="48"/>
  <c r="AN526" i="48"/>
  <c r="AK526" i="48"/>
  <c r="AL526" i="48"/>
  <c r="AM526" i="48"/>
  <c r="AL547" i="48"/>
  <c r="AM547" i="48"/>
  <c r="AP547" i="48"/>
  <c r="AO547" i="48"/>
  <c r="AN547" i="48"/>
  <c r="AO89" i="48"/>
  <c r="AP89" i="48" s="1"/>
  <c r="AO140" i="48"/>
  <c r="AP140" i="48" s="1"/>
  <c r="AK140" i="48"/>
  <c r="AL140" i="48" s="1"/>
  <c r="AM94" i="48"/>
  <c r="AN94" i="48" s="1"/>
  <c r="AM402" i="48"/>
  <c r="AO402" i="48"/>
  <c r="AL402" i="48"/>
  <c r="AP402" i="48"/>
  <c r="AP340" i="48"/>
  <c r="AN340" i="48"/>
  <c r="AO340" i="48"/>
  <c r="AL340" i="48"/>
  <c r="AK193" i="48"/>
  <c r="AL193" i="48" s="1"/>
  <c r="AO193" i="48"/>
  <c r="AP193" i="48" s="1"/>
  <c r="AP398" i="48"/>
  <c r="AO398" i="48"/>
  <c r="AL398" i="48"/>
  <c r="AN398" i="48"/>
  <c r="AO188" i="48"/>
  <c r="AP188" i="48" s="1"/>
  <c r="AK188" i="48"/>
  <c r="AL188" i="48" s="1"/>
  <c r="AM340" i="48"/>
  <c r="AM188" i="48"/>
  <c r="AN188" i="48" s="1"/>
  <c r="AK398" i="48"/>
  <c r="AP134" i="48"/>
  <c r="AK134" i="48"/>
  <c r="AL134" i="48" s="1"/>
  <c r="AP235" i="48"/>
  <c r="AO235" i="48"/>
  <c r="AK235" i="48"/>
  <c r="AL235" i="48" s="1"/>
  <c r="AO277" i="48"/>
  <c r="AP277" i="48" s="1"/>
  <c r="AM481" i="48"/>
  <c r="AN481" i="48"/>
  <c r="AK481" i="48"/>
  <c r="AO481" i="48"/>
  <c r="AL481" i="48"/>
  <c r="AK505" i="48"/>
  <c r="AP505" i="48"/>
  <c r="AM505" i="48"/>
  <c r="AN505" i="48"/>
  <c r="AM111" i="48"/>
  <c r="AN111" i="48" s="1"/>
  <c r="AO111" i="48"/>
  <c r="AP111" i="48" s="1"/>
  <c r="AM442" i="48"/>
  <c r="AO442" i="48"/>
  <c r="AN442" i="48"/>
  <c r="AP442" i="48"/>
  <c r="AO76" i="48"/>
  <c r="AP76" i="48" s="1"/>
  <c r="AK110" i="48"/>
  <c r="AL110" i="48" s="1"/>
  <c r="AP330" i="48"/>
  <c r="AO505" i="48"/>
  <c r="AM193" i="48"/>
  <c r="AN193" i="48" s="1"/>
  <c r="AL442" i="48"/>
  <c r="AM398" i="48"/>
  <c r="AM150" i="48"/>
  <c r="AN150" i="48" s="1"/>
  <c r="AP150" i="48"/>
  <c r="AP139" i="48"/>
  <c r="AO214" i="48"/>
  <c r="AP214" i="48" s="1"/>
  <c r="AO68" i="48"/>
  <c r="AP68" i="48" s="1"/>
  <c r="AN473" i="48"/>
  <c r="AM473" i="48"/>
  <c r="AN458" i="48"/>
  <c r="AO458" i="48"/>
  <c r="AO99" i="48"/>
  <c r="AP99" i="48" s="1"/>
  <c r="AK139" i="48"/>
  <c r="AL139" i="48" s="1"/>
  <c r="AO151" i="48"/>
  <c r="AP151" i="48" s="1"/>
  <c r="AO226" i="48"/>
  <c r="AP226" i="48" s="1"/>
  <c r="AO552" i="48"/>
  <c r="AL552" i="48"/>
  <c r="AK552" i="48"/>
  <c r="AP552" i="48"/>
  <c r="AM552" i="48"/>
  <c r="AO57" i="48"/>
  <c r="AP57" i="48" s="1"/>
  <c r="AK66" i="48"/>
  <c r="AL66" i="48" s="1"/>
  <c r="AP319" i="48"/>
  <c r="AN319" i="48"/>
  <c r="AL319" i="48"/>
  <c r="AM319" i="48"/>
  <c r="AO319" i="48"/>
  <c r="AM543" i="48"/>
  <c r="AP543" i="48"/>
  <c r="AO543" i="48"/>
  <c r="AN543" i="48"/>
  <c r="AK543" i="48"/>
  <c r="AO530" i="48"/>
  <c r="AN530" i="48"/>
  <c r="AM530" i="48"/>
  <c r="AK530" i="48"/>
  <c r="AL530" i="48"/>
  <c r="AK319" i="48"/>
  <c r="AN552" i="48"/>
  <c r="AK99" i="48"/>
  <c r="AL99" i="48" s="1"/>
  <c r="AK263" i="48"/>
  <c r="AL263" i="48" s="1"/>
  <c r="AM263" i="48"/>
  <c r="AN263" i="48" s="1"/>
  <c r="AO263" i="48"/>
  <c r="AP263" i="48" s="1"/>
  <c r="AM460" i="48"/>
  <c r="AN460" i="48"/>
  <c r="AO460" i="48"/>
  <c r="AL460" i="48"/>
  <c r="AL404" i="48"/>
  <c r="AK404" i="48"/>
  <c r="AN404" i="48"/>
  <c r="AO404" i="48"/>
  <c r="AM404" i="48"/>
  <c r="AL350" i="48"/>
  <c r="AN350" i="48"/>
  <c r="AO350" i="48"/>
  <c r="AM350" i="48"/>
  <c r="AK350" i="48"/>
  <c r="AM99" i="48"/>
  <c r="AN99" i="48" s="1"/>
  <c r="AP350" i="48"/>
  <c r="AL543" i="48"/>
  <c r="AK460" i="48"/>
  <c r="AP420" i="48"/>
  <c r="AK372" i="48"/>
  <c r="AM372" i="48"/>
  <c r="AO245" i="48"/>
  <c r="AP245" i="48" s="1"/>
  <c r="AM512" i="48"/>
  <c r="AL343" i="48"/>
  <c r="AO343" i="48"/>
  <c r="AO420" i="48"/>
  <c r="AO372" i="48"/>
  <c r="AM245" i="48"/>
  <c r="AN245" i="48" s="1"/>
  <c r="AP512" i="48"/>
  <c r="AN451" i="48"/>
  <c r="AO451" i="48"/>
  <c r="AO66" i="48"/>
  <c r="AP66" i="48" s="1"/>
  <c r="AK289" i="48"/>
  <c r="AL289" i="48" s="1"/>
  <c r="AP451" i="48"/>
  <c r="AM451" i="48"/>
  <c r="AK277" i="48"/>
  <c r="AL277" i="48" s="1"/>
  <c r="AN420" i="48"/>
  <c r="AM235" i="48"/>
  <c r="AN235" i="48" s="1"/>
  <c r="AP255" i="48"/>
  <c r="AK437" i="48"/>
  <c r="AM134" i="48"/>
  <c r="AN134" i="48" s="1"/>
  <c r="AM294" i="48"/>
  <c r="AN294" i="48" s="1"/>
  <c r="AK294" i="48"/>
  <c r="AL294" i="48" s="1"/>
  <c r="AO294" i="48"/>
  <c r="AP294" i="48" s="1"/>
  <c r="AP289" i="48"/>
  <c r="AK420" i="48"/>
  <c r="AM255" i="48"/>
  <c r="AN255" i="48" s="1"/>
  <c r="AL420" i="48"/>
  <c r="AL437" i="48"/>
  <c r="AO474" i="48"/>
  <c r="AK474" i="48"/>
  <c r="AM474" i="48"/>
  <c r="AP474" i="48"/>
  <c r="AN474" i="48"/>
  <c r="AL474" i="48"/>
  <c r="AO166" i="48"/>
  <c r="AP166" i="48" s="1"/>
  <c r="AK166" i="48"/>
  <c r="AL166" i="48" s="1"/>
  <c r="AN390" i="48"/>
  <c r="AM390" i="48"/>
  <c r="AP390" i="48"/>
  <c r="AL390" i="48"/>
  <c r="AO390" i="48"/>
  <c r="AK390" i="48"/>
  <c r="AP327" i="48"/>
  <c r="AL327" i="48"/>
  <c r="AO327" i="48"/>
  <c r="AK327" i="48"/>
  <c r="AN327" i="48"/>
  <c r="AM327" i="48"/>
  <c r="AM465" i="48"/>
  <c r="AO465" i="48"/>
  <c r="AK465" i="48"/>
  <c r="AP465" i="48"/>
  <c r="AN465" i="48"/>
  <c r="AL465" i="48"/>
  <c r="AP357" i="48"/>
  <c r="AL357" i="48"/>
  <c r="AO357" i="48"/>
  <c r="AK357" i="48"/>
  <c r="AN357" i="48"/>
  <c r="AM357" i="48"/>
  <c r="AM453" i="48"/>
  <c r="AO453" i="48"/>
  <c r="AK453" i="48"/>
  <c r="AP453" i="48"/>
  <c r="AN453" i="48"/>
  <c r="AL453" i="48"/>
  <c r="AP405" i="48"/>
  <c r="AL405" i="48"/>
  <c r="AO405" i="48"/>
  <c r="AK405" i="48"/>
  <c r="AN405" i="48"/>
  <c r="AM405" i="48"/>
  <c r="AP347" i="48"/>
  <c r="AL347" i="48"/>
  <c r="AO347" i="48"/>
  <c r="AK347" i="48"/>
  <c r="AN347" i="48"/>
  <c r="AM347" i="48"/>
  <c r="AO279" i="48"/>
  <c r="AP279" i="48" s="1"/>
  <c r="AK279" i="48"/>
  <c r="AL279" i="48" s="1"/>
  <c r="AM279" i="48"/>
  <c r="AN279" i="48" s="1"/>
  <c r="AP333" i="48"/>
  <c r="AL333" i="48"/>
  <c r="AO333" i="48"/>
  <c r="AK333" i="48"/>
  <c r="AN333" i="48"/>
  <c r="AM333" i="48"/>
  <c r="AM228" i="48"/>
  <c r="AN228" i="48" s="1"/>
  <c r="AK228" i="48"/>
  <c r="AL228" i="48" s="1"/>
  <c r="AO228" i="48"/>
  <c r="AP228" i="48" s="1"/>
  <c r="AP298" i="48"/>
  <c r="AO298" i="48"/>
  <c r="AK298" i="48"/>
  <c r="AL298" i="48" s="1"/>
  <c r="AM181" i="48"/>
  <c r="AN181" i="48" s="1"/>
  <c r="AO181" i="48"/>
  <c r="AP181" i="48" s="1"/>
  <c r="AK181" i="48"/>
  <c r="AL181" i="48" s="1"/>
  <c r="AM539" i="48"/>
  <c r="AO539" i="48"/>
  <c r="AK539" i="48"/>
  <c r="AL539" i="48"/>
  <c r="AP539" i="48"/>
  <c r="AN539" i="48"/>
  <c r="AN386" i="48"/>
  <c r="AM386" i="48"/>
  <c r="AP386" i="48"/>
  <c r="AL386" i="48"/>
  <c r="AK386" i="48"/>
  <c r="AO386" i="48"/>
  <c r="AM276" i="48"/>
  <c r="AN276" i="48" s="1"/>
  <c r="AK276" i="48"/>
  <c r="AL276" i="48" s="1"/>
  <c r="AO276" i="48"/>
  <c r="AP276" i="48" s="1"/>
  <c r="AM485" i="48"/>
  <c r="AO485" i="48"/>
  <c r="AK485" i="48"/>
  <c r="AP485" i="48"/>
  <c r="AN485" i="48"/>
  <c r="AL485" i="48"/>
  <c r="AP311" i="48"/>
  <c r="AL311" i="48"/>
  <c r="AO311" i="48"/>
  <c r="AK311" i="48"/>
  <c r="AN311" i="48"/>
  <c r="AM311" i="48"/>
  <c r="AM177" i="48"/>
  <c r="AN177" i="48" s="1"/>
  <c r="AO177" i="48"/>
  <c r="AP177" i="48" s="1"/>
  <c r="AK177" i="48"/>
  <c r="AL177" i="48" s="1"/>
  <c r="AP275" i="48"/>
  <c r="AO275" i="48"/>
  <c r="AK275" i="48"/>
  <c r="AL275" i="48" s="1"/>
  <c r="AM275" i="48"/>
  <c r="AN275" i="48" s="1"/>
  <c r="AM160" i="48"/>
  <c r="AN160" i="48" s="1"/>
  <c r="AO160" i="48"/>
  <c r="AP160" i="48" s="1"/>
  <c r="AK160" i="48"/>
  <c r="AL160" i="48" s="1"/>
  <c r="AO542" i="48"/>
  <c r="AK542" i="48"/>
  <c r="AM542" i="48"/>
  <c r="AP542" i="48"/>
  <c r="AN542" i="48"/>
  <c r="AL542" i="48"/>
  <c r="AM551" i="48"/>
  <c r="AO551" i="48"/>
  <c r="AK551" i="48"/>
  <c r="AL551" i="48"/>
  <c r="AP551" i="48"/>
  <c r="AN551" i="48"/>
  <c r="AN400" i="48"/>
  <c r="AM400" i="48"/>
  <c r="AP400" i="48"/>
  <c r="AL400" i="48"/>
  <c r="AK400" i="48"/>
  <c r="AO400" i="48"/>
  <c r="AO293" i="48"/>
  <c r="AP293" i="48" s="1"/>
  <c r="AK293" i="48"/>
  <c r="AL293" i="48" s="1"/>
  <c r="AM293" i="48"/>
  <c r="AN293" i="48" s="1"/>
  <c r="AP341" i="48"/>
  <c r="AL341" i="48"/>
  <c r="AO341" i="48"/>
  <c r="AK341" i="48"/>
  <c r="AN341" i="48"/>
  <c r="AM341" i="48"/>
  <c r="AM447" i="48"/>
  <c r="AO447" i="48"/>
  <c r="AK447" i="48"/>
  <c r="AL447" i="48"/>
  <c r="AP447" i="48"/>
  <c r="AN447" i="48"/>
  <c r="AM126" i="48"/>
  <c r="AN126" i="48" s="1"/>
  <c r="AN332" i="48"/>
  <c r="AM332" i="48"/>
  <c r="AP332" i="48"/>
  <c r="AL332" i="48"/>
  <c r="AO332" i="48"/>
  <c r="AK332" i="48"/>
  <c r="AO502" i="48"/>
  <c r="AK502" i="48"/>
  <c r="AM502" i="48"/>
  <c r="AP502" i="48"/>
  <c r="AN502" i="48"/>
  <c r="AL502" i="48"/>
  <c r="AP273" i="48"/>
  <c r="AO273" i="48"/>
  <c r="AK273" i="48"/>
  <c r="AL273" i="48" s="1"/>
  <c r="AM273" i="48"/>
  <c r="AN273" i="48" s="1"/>
  <c r="AP138" i="48"/>
  <c r="AO138" i="48"/>
  <c r="AP377" i="48"/>
  <c r="AL377" i="48"/>
  <c r="AO377" i="48"/>
  <c r="AK377" i="48"/>
  <c r="AN377" i="48"/>
  <c r="AM377" i="48"/>
  <c r="AN382" i="48"/>
  <c r="AM382" i="48"/>
  <c r="AP382" i="48"/>
  <c r="AL382" i="48"/>
  <c r="AO382" i="48"/>
  <c r="AK382" i="48"/>
  <c r="AM475" i="48"/>
  <c r="AO475" i="48"/>
  <c r="AK475" i="48"/>
  <c r="AL475" i="48"/>
  <c r="AP475" i="48"/>
  <c r="AN475" i="48"/>
  <c r="AM467" i="48"/>
  <c r="AO467" i="48"/>
  <c r="AK467" i="48"/>
  <c r="AL467" i="48"/>
  <c r="AP467" i="48"/>
  <c r="AN467" i="48"/>
  <c r="AP90" i="48"/>
  <c r="AO90" i="48"/>
  <c r="AO259" i="48"/>
  <c r="AP259" i="48" s="1"/>
  <c r="AK259" i="48"/>
  <c r="AL259" i="48" s="1"/>
  <c r="AM259" i="48"/>
  <c r="AN259" i="48" s="1"/>
  <c r="AP144" i="48"/>
  <c r="AM144" i="48"/>
  <c r="AN144" i="48" s="1"/>
  <c r="AO144" i="48"/>
  <c r="AK144" i="48"/>
  <c r="AL144" i="48" s="1"/>
  <c r="AO454" i="48"/>
  <c r="AK454" i="48"/>
  <c r="AM454" i="48"/>
  <c r="AP454" i="48"/>
  <c r="AN454" i="48"/>
  <c r="AL454" i="48"/>
  <c r="AP172" i="48"/>
  <c r="AM172" i="48"/>
  <c r="AN172" i="48" s="1"/>
  <c r="AO172" i="48"/>
  <c r="AK172" i="48"/>
  <c r="AL172" i="48" s="1"/>
  <c r="AO520" i="48"/>
  <c r="AK520" i="48"/>
  <c r="AM520" i="48"/>
  <c r="AN520" i="48"/>
  <c r="AL520" i="48"/>
  <c r="AP520" i="48"/>
  <c r="AP349" i="48"/>
  <c r="AL349" i="48"/>
  <c r="AO349" i="48"/>
  <c r="AK349" i="48"/>
  <c r="AN349" i="48"/>
  <c r="AM349" i="48"/>
  <c r="AO145" i="48"/>
  <c r="AM145" i="48"/>
  <c r="AN145" i="48" s="1"/>
  <c r="AK145" i="48"/>
  <c r="AL145" i="48" s="1"/>
  <c r="AP145" i="48"/>
  <c r="AN304" i="48"/>
  <c r="AM304" i="48"/>
  <c r="AP304" i="48"/>
  <c r="AL304" i="48"/>
  <c r="AK304" i="48"/>
  <c r="AO304" i="48"/>
  <c r="AO215" i="48"/>
  <c r="AP215" i="48" s="1"/>
  <c r="AM238" i="48"/>
  <c r="AN238" i="48" s="1"/>
  <c r="AO238" i="48"/>
  <c r="AP238" i="48" s="1"/>
  <c r="AK238" i="48"/>
  <c r="AL238" i="48" s="1"/>
  <c r="AN358" i="48"/>
  <c r="AM358" i="48"/>
  <c r="AP358" i="48"/>
  <c r="AL358" i="48"/>
  <c r="AO358" i="48"/>
  <c r="AK358" i="48"/>
  <c r="AP385" i="48"/>
  <c r="AL385" i="48"/>
  <c r="AO385" i="48"/>
  <c r="AK385" i="48"/>
  <c r="AN385" i="48"/>
  <c r="AM385" i="48"/>
  <c r="AO416" i="48"/>
  <c r="AK416" i="48"/>
  <c r="AL416" i="48"/>
  <c r="AP416" i="48"/>
  <c r="AN416" i="48"/>
  <c r="AM416" i="48"/>
  <c r="AO74" i="48"/>
  <c r="AP74" i="48" s="1"/>
  <c r="AM141" i="48"/>
  <c r="AN141" i="48" s="1"/>
  <c r="AK141" i="48"/>
  <c r="AL141" i="48" s="1"/>
  <c r="AP141" i="48"/>
  <c r="AO141" i="48"/>
  <c r="AP197" i="48"/>
  <c r="AO197" i="48"/>
  <c r="AO155" i="48"/>
  <c r="AP155" i="48" s="1"/>
  <c r="AK155" i="48"/>
  <c r="AL155" i="48" s="1"/>
  <c r="AM155" i="48"/>
  <c r="AN155" i="48" s="1"/>
  <c r="AP239" i="48"/>
  <c r="AO239" i="48"/>
  <c r="AK239" i="48"/>
  <c r="AL239" i="48" s="1"/>
  <c r="AM239" i="48"/>
  <c r="AN239" i="48" s="1"/>
  <c r="AO544" i="48"/>
  <c r="AK544" i="48"/>
  <c r="AM544" i="48"/>
  <c r="AN544" i="48"/>
  <c r="AL544" i="48"/>
  <c r="AP544" i="48"/>
  <c r="AM549" i="48"/>
  <c r="AO549" i="48"/>
  <c r="AK549" i="48"/>
  <c r="AP549" i="48"/>
  <c r="AN549" i="48"/>
  <c r="AL549" i="48"/>
  <c r="AP353" i="48"/>
  <c r="AL353" i="48"/>
  <c r="AO353" i="48"/>
  <c r="AK353" i="48"/>
  <c r="AN353" i="48"/>
  <c r="AM353" i="48"/>
  <c r="AP361" i="48"/>
  <c r="AL361" i="48"/>
  <c r="AO361" i="48"/>
  <c r="AK361" i="48"/>
  <c r="AN361" i="48"/>
  <c r="AM361" i="48"/>
  <c r="AP381" i="48"/>
  <c r="AL381" i="48"/>
  <c r="AO381" i="48"/>
  <c r="AK381" i="48"/>
  <c r="AN381" i="48"/>
  <c r="AM381" i="48"/>
  <c r="AO518" i="48"/>
  <c r="AK518" i="48"/>
  <c r="AM518" i="48"/>
  <c r="AP518" i="48"/>
  <c r="AN518" i="48"/>
  <c r="AL518" i="48"/>
  <c r="AO237" i="48"/>
  <c r="AP237" i="48" s="1"/>
  <c r="AK237" i="48"/>
  <c r="AL237" i="48" s="1"/>
  <c r="AM237" i="48"/>
  <c r="AN237" i="48" s="1"/>
  <c r="AO466" i="48"/>
  <c r="AK466" i="48"/>
  <c r="AM466" i="48"/>
  <c r="AP466" i="48"/>
  <c r="AN466" i="48"/>
  <c r="AL466" i="48"/>
  <c r="AO204" i="48"/>
  <c r="AP204" i="48" s="1"/>
  <c r="AK204" i="48"/>
  <c r="AL204" i="48" s="1"/>
  <c r="AM204" i="48"/>
  <c r="AN204" i="48" s="1"/>
  <c r="AN396" i="48"/>
  <c r="AM396" i="48"/>
  <c r="AP396" i="48"/>
  <c r="AL396" i="48"/>
  <c r="AO396" i="48"/>
  <c r="AK396" i="48"/>
  <c r="AK292" i="48"/>
  <c r="AL292" i="48" s="1"/>
  <c r="AO292" i="48"/>
  <c r="AP292" i="48" s="1"/>
  <c r="AP329" i="48"/>
  <c r="AL329" i="48"/>
  <c r="AO329" i="48"/>
  <c r="AK329" i="48"/>
  <c r="AN329" i="48"/>
  <c r="AM329" i="48"/>
  <c r="AP271" i="48"/>
  <c r="AO271" i="48"/>
  <c r="AK271" i="48"/>
  <c r="AL271" i="48" s="1"/>
  <c r="AM271" i="48"/>
  <c r="AN271" i="48" s="1"/>
  <c r="AM411" i="48"/>
  <c r="AO411" i="48"/>
  <c r="AN411" i="48"/>
  <c r="AL411" i="48"/>
  <c r="AK411" i="48"/>
  <c r="AP411" i="48"/>
  <c r="AO506" i="48"/>
  <c r="AK506" i="48"/>
  <c r="AM506" i="48"/>
  <c r="AP506" i="48"/>
  <c r="AN506" i="48"/>
  <c r="AL506" i="48"/>
  <c r="AO223" i="48"/>
  <c r="AP223" i="48" s="1"/>
  <c r="AK223" i="48"/>
  <c r="AL223" i="48" s="1"/>
  <c r="AM223" i="48"/>
  <c r="AN223" i="48" s="1"/>
  <c r="AM455" i="48"/>
  <c r="AO455" i="48"/>
  <c r="AK455" i="48"/>
  <c r="AL455" i="48"/>
  <c r="AP455" i="48"/>
  <c r="AN455" i="48"/>
  <c r="AM147" i="48"/>
  <c r="AN147" i="48" s="1"/>
  <c r="AO147" i="48"/>
  <c r="AP147" i="48" s="1"/>
  <c r="AK147" i="48"/>
  <c r="AL147" i="48" s="1"/>
  <c r="AP132" i="48"/>
  <c r="AO132" i="48"/>
  <c r="AK132" i="48"/>
  <c r="AL132" i="48" s="1"/>
  <c r="AM132" i="48"/>
  <c r="AN132" i="48" s="1"/>
  <c r="AM525" i="48"/>
  <c r="AO525" i="48"/>
  <c r="AK525" i="48"/>
  <c r="AP525" i="48"/>
  <c r="AN525" i="48"/>
  <c r="AL525" i="48"/>
  <c r="AO434" i="48"/>
  <c r="AK434" i="48"/>
  <c r="AM434" i="48"/>
  <c r="AP434" i="48"/>
  <c r="AN434" i="48"/>
  <c r="AL434" i="48"/>
  <c r="AN352" i="48"/>
  <c r="AM352" i="48"/>
  <c r="AP352" i="48"/>
  <c r="AL352" i="48"/>
  <c r="AK352" i="48"/>
  <c r="AO352" i="48"/>
  <c r="AO106" i="48"/>
  <c r="AP106" i="48" s="1"/>
  <c r="AM471" i="48"/>
  <c r="AO471" i="48"/>
  <c r="AK471" i="48"/>
  <c r="AL471" i="48"/>
  <c r="AP471" i="48"/>
  <c r="AN471" i="48"/>
  <c r="AP227" i="48"/>
  <c r="AO227" i="48"/>
  <c r="AK227" i="48"/>
  <c r="AL227" i="48" s="1"/>
  <c r="AM227" i="48"/>
  <c r="AN227" i="48" s="1"/>
  <c r="AM270" i="48"/>
  <c r="AN270" i="48" s="1"/>
  <c r="AP270" i="48"/>
  <c r="AO270" i="48"/>
  <c r="AK270" i="48"/>
  <c r="AL270" i="48" s="1"/>
  <c r="AP221" i="48"/>
  <c r="AO221" i="48"/>
  <c r="AK221" i="48"/>
  <c r="AL221" i="48" s="1"/>
  <c r="AM221" i="48"/>
  <c r="AN221" i="48" s="1"/>
  <c r="AP315" i="48"/>
  <c r="AL315" i="48"/>
  <c r="AO315" i="48"/>
  <c r="AK315" i="48"/>
  <c r="AN315" i="48"/>
  <c r="AM315" i="48"/>
  <c r="AO118" i="48"/>
  <c r="AP118" i="48" s="1"/>
  <c r="AN374" i="48"/>
  <c r="AM374" i="48"/>
  <c r="AP374" i="48"/>
  <c r="AL374" i="48"/>
  <c r="AO374" i="48"/>
  <c r="AK374" i="48"/>
  <c r="AO158" i="48"/>
  <c r="AP158" i="48" s="1"/>
  <c r="AK158" i="48"/>
  <c r="AL158" i="48" s="1"/>
  <c r="AM196" i="48"/>
  <c r="AN196" i="48" s="1"/>
  <c r="AO196" i="48"/>
  <c r="AP196" i="48" s="1"/>
  <c r="AK196" i="48"/>
  <c r="AL196" i="48" s="1"/>
  <c r="AO490" i="48"/>
  <c r="AK490" i="48"/>
  <c r="AM490" i="48"/>
  <c r="AP490" i="48"/>
  <c r="AN490" i="48"/>
  <c r="AL490" i="48"/>
  <c r="AN308" i="48"/>
  <c r="AM308" i="48"/>
  <c r="AP308" i="48"/>
  <c r="AL308" i="48"/>
  <c r="AO308" i="48"/>
  <c r="AK308" i="48"/>
  <c r="AO540" i="48"/>
  <c r="AK540" i="48"/>
  <c r="AM540" i="48"/>
  <c r="AN540" i="48"/>
  <c r="AL540" i="48"/>
  <c r="AP540" i="48"/>
  <c r="AO69" i="48"/>
  <c r="AP69" i="48" s="1"/>
  <c r="AM169" i="48"/>
  <c r="AN169" i="48" s="1"/>
  <c r="AO169" i="48"/>
  <c r="AK169" i="48"/>
  <c r="AL169" i="48" s="1"/>
  <c r="AP169" i="48"/>
  <c r="AO101" i="48"/>
  <c r="AP101" i="48"/>
  <c r="AK131" i="48"/>
  <c r="AL131" i="48" s="1"/>
  <c r="AM131" i="48"/>
  <c r="AN131" i="48" s="1"/>
  <c r="AO131" i="48"/>
  <c r="AP131" i="48" s="1"/>
  <c r="AO109" i="48"/>
  <c r="AP109" i="48" s="1"/>
  <c r="AP104" i="48"/>
  <c r="AO104" i="48"/>
  <c r="AM511" i="48"/>
  <c r="AO511" i="48"/>
  <c r="AK511" i="48"/>
  <c r="AL511" i="48"/>
  <c r="AP511" i="48"/>
  <c r="AN511" i="48"/>
  <c r="AO550" i="48"/>
  <c r="AK550" i="48"/>
  <c r="AM550" i="48"/>
  <c r="AP550" i="48"/>
  <c r="AN550" i="48"/>
  <c r="AL550" i="48"/>
  <c r="AM284" i="48"/>
  <c r="AN284" i="48" s="1"/>
  <c r="AP284" i="48"/>
  <c r="AK284" i="48"/>
  <c r="AL284" i="48" s="1"/>
  <c r="AO284" i="48"/>
  <c r="AO153" i="48"/>
  <c r="AP153" i="48"/>
  <c r="AP107" i="48"/>
  <c r="AO107" i="48"/>
  <c r="AM286" i="48"/>
  <c r="AN286" i="48" s="1"/>
  <c r="AP286" i="48"/>
  <c r="AO286" i="48"/>
  <c r="AK286" i="48"/>
  <c r="AL286" i="48" s="1"/>
  <c r="AP365" i="48"/>
  <c r="AL365" i="48"/>
  <c r="AO365" i="48"/>
  <c r="AK365" i="48"/>
  <c r="AN365" i="48"/>
  <c r="AM365" i="48"/>
  <c r="AM501" i="48"/>
  <c r="AO501" i="48"/>
  <c r="AK501" i="48"/>
  <c r="AP501" i="48"/>
  <c r="AN501" i="48"/>
  <c r="AL501" i="48"/>
  <c r="AM240" i="48"/>
  <c r="AN240" i="48" s="1"/>
  <c r="AP240" i="48"/>
  <c r="AK240" i="48"/>
  <c r="AL240" i="48" s="1"/>
  <c r="AO240" i="48"/>
  <c r="AP387" i="48"/>
  <c r="AL387" i="48"/>
  <c r="AO387" i="48"/>
  <c r="AK387" i="48"/>
  <c r="AN387" i="48"/>
  <c r="AM387" i="48"/>
  <c r="AP323" i="48"/>
  <c r="AL323" i="48"/>
  <c r="AO323" i="48"/>
  <c r="AK323" i="48"/>
  <c r="AN323" i="48"/>
  <c r="AM323" i="48"/>
  <c r="AO253" i="48"/>
  <c r="AP253" i="48" s="1"/>
  <c r="AK253" i="48"/>
  <c r="AL253" i="48" s="1"/>
  <c r="AM253" i="48"/>
  <c r="AN253" i="48" s="1"/>
  <c r="AP168" i="48"/>
  <c r="AO168" i="48"/>
  <c r="AK168" i="48"/>
  <c r="AL168" i="48" s="1"/>
  <c r="AM168" i="48"/>
  <c r="AN168" i="48" s="1"/>
  <c r="AO71" i="48"/>
  <c r="AP71" i="48" s="1"/>
  <c r="AO125" i="48"/>
  <c r="AP125" i="48" s="1"/>
  <c r="AM531" i="48"/>
  <c r="AO531" i="48"/>
  <c r="AK531" i="48"/>
  <c r="AL531" i="48"/>
  <c r="AP531" i="48"/>
  <c r="AN531" i="48"/>
  <c r="AP190" i="48"/>
  <c r="AM190" i="48"/>
  <c r="AN190" i="48" s="1"/>
  <c r="AO190" i="48"/>
  <c r="AK190" i="48"/>
  <c r="AL190" i="48" s="1"/>
  <c r="AO112" i="48"/>
  <c r="AP112" i="48" s="1"/>
  <c r="AO102" i="48"/>
  <c r="AP102" i="48" s="1"/>
  <c r="AP234" i="48"/>
  <c r="AO234" i="48"/>
  <c r="AO195" i="48"/>
  <c r="AP195" i="48"/>
  <c r="AP339" i="48"/>
  <c r="AL339" i="48"/>
  <c r="AO339" i="48"/>
  <c r="AK339" i="48"/>
  <c r="AN339" i="48"/>
  <c r="AM339" i="48"/>
  <c r="AN406" i="48"/>
  <c r="AM406" i="48"/>
  <c r="AP406" i="48"/>
  <c r="AL406" i="48"/>
  <c r="AO406" i="48"/>
  <c r="AK406" i="48"/>
  <c r="AO126" i="48"/>
  <c r="AP126" i="48" s="1"/>
  <c r="AK126" i="48"/>
  <c r="AL126" i="48" s="1"/>
  <c r="AP351" i="48"/>
  <c r="AL351" i="48"/>
  <c r="AO351" i="48"/>
  <c r="AK351" i="48"/>
  <c r="AN351" i="48"/>
  <c r="AM351" i="48"/>
  <c r="AN376" i="48"/>
  <c r="AM376" i="48"/>
  <c r="AP376" i="48"/>
  <c r="AL376" i="48"/>
  <c r="AK376" i="48"/>
  <c r="AO376" i="48"/>
  <c r="AM264" i="48"/>
  <c r="AN264" i="48" s="1"/>
  <c r="AK264" i="48"/>
  <c r="AL264" i="48" s="1"/>
  <c r="AO264" i="48"/>
  <c r="AP264" i="48" s="1"/>
  <c r="AO516" i="48"/>
  <c r="AK516" i="48"/>
  <c r="AM516" i="48"/>
  <c r="AN516" i="48"/>
  <c r="AL516" i="48"/>
  <c r="AP516" i="48"/>
  <c r="AP295" i="48"/>
  <c r="AO295" i="48"/>
  <c r="AK295" i="48"/>
  <c r="AL295" i="48" s="1"/>
  <c r="AP242" i="48"/>
  <c r="AO242" i="48"/>
  <c r="AO92" i="48"/>
  <c r="AP92" i="48" s="1"/>
  <c r="AO257" i="48"/>
  <c r="AP257" i="48" s="1"/>
  <c r="AK257" i="48"/>
  <c r="AL257" i="48" s="1"/>
  <c r="AM257" i="48"/>
  <c r="AN257" i="48" s="1"/>
  <c r="AN354" i="48"/>
  <c r="AM354" i="48"/>
  <c r="AP354" i="48"/>
  <c r="AL354" i="48"/>
  <c r="AK354" i="48"/>
  <c r="AO354" i="48"/>
  <c r="AP246" i="48"/>
  <c r="AO246" i="48"/>
  <c r="AN310" i="48"/>
  <c r="AM310" i="48"/>
  <c r="AP310" i="48"/>
  <c r="AL310" i="48"/>
  <c r="AO310" i="48"/>
  <c r="AK310" i="48"/>
  <c r="AM206" i="48"/>
  <c r="AN206" i="48" s="1"/>
  <c r="AO206" i="48"/>
  <c r="AP206" i="48" s="1"/>
  <c r="AK206" i="48"/>
  <c r="AL206" i="48" s="1"/>
  <c r="AO165" i="48"/>
  <c r="AP165" i="48" s="1"/>
  <c r="AM165" i="48"/>
  <c r="AN165" i="48" s="1"/>
  <c r="AK165" i="48"/>
  <c r="AL165" i="48" s="1"/>
  <c r="AO243" i="48"/>
  <c r="AP243" i="48" s="1"/>
  <c r="AO424" i="48"/>
  <c r="AK424" i="48"/>
  <c r="AM424" i="48"/>
  <c r="AN424" i="48"/>
  <c r="AL424" i="48"/>
  <c r="AP424" i="48"/>
  <c r="AN338" i="48"/>
  <c r="AM338" i="48"/>
  <c r="AP338" i="48"/>
  <c r="AL338" i="48"/>
  <c r="AK338" i="48"/>
  <c r="AO338" i="48"/>
  <c r="AM493" i="48"/>
  <c r="AO493" i="48"/>
  <c r="AK493" i="48"/>
  <c r="AP493" i="48"/>
  <c r="AN493" i="48"/>
  <c r="AL493" i="48"/>
  <c r="AO486" i="48"/>
  <c r="AK486" i="48"/>
  <c r="AM486" i="48"/>
  <c r="AP486" i="48"/>
  <c r="AN486" i="48"/>
  <c r="AL486" i="48"/>
  <c r="AP269" i="48"/>
  <c r="AO269" i="48"/>
  <c r="AK269" i="48"/>
  <c r="AL269" i="48" s="1"/>
  <c r="AM269" i="48"/>
  <c r="AN269" i="48" s="1"/>
  <c r="AN388" i="48"/>
  <c r="AM388" i="48"/>
  <c r="AP388" i="48"/>
  <c r="AL388" i="48"/>
  <c r="AO388" i="48"/>
  <c r="AK388" i="48"/>
  <c r="AM230" i="48"/>
  <c r="AN230" i="48" s="1"/>
  <c r="AO230" i="48"/>
  <c r="AP230" i="48" s="1"/>
  <c r="AK230" i="48"/>
  <c r="AL230" i="48" s="1"/>
  <c r="AP321" i="48"/>
  <c r="AL321" i="48"/>
  <c r="AO321" i="48"/>
  <c r="AK321" i="48"/>
  <c r="AN321" i="48"/>
  <c r="AM321" i="48"/>
  <c r="AO84" i="48"/>
  <c r="AP84" i="48" s="1"/>
  <c r="AP73" i="48"/>
  <c r="AO73" i="48"/>
  <c r="AM433" i="48"/>
  <c r="AO433" i="48"/>
  <c r="AK433" i="48"/>
  <c r="AP433" i="48"/>
  <c r="AN433" i="48"/>
  <c r="AL433" i="48"/>
  <c r="AM191" i="48"/>
  <c r="AN191" i="48" s="1"/>
  <c r="AK191" i="48"/>
  <c r="AL191" i="48" s="1"/>
  <c r="AO191" i="48"/>
  <c r="AP191" i="48" s="1"/>
  <c r="AO534" i="48"/>
  <c r="AK534" i="48"/>
  <c r="AM534" i="48"/>
  <c r="AP534" i="48"/>
  <c r="AN534" i="48"/>
  <c r="AL534" i="48"/>
  <c r="AO179" i="48"/>
  <c r="AP179" i="48" s="1"/>
  <c r="AM179" i="48"/>
  <c r="AN179" i="48" s="1"/>
  <c r="AK179" i="48"/>
  <c r="AL179" i="48" s="1"/>
  <c r="AO462" i="48"/>
  <c r="AK462" i="48"/>
  <c r="AM462" i="48"/>
  <c r="AP462" i="48"/>
  <c r="AN462" i="48"/>
  <c r="AL462" i="48"/>
  <c r="AP86" i="48"/>
  <c r="AO86" i="48"/>
  <c r="AP120" i="48"/>
  <c r="AO120" i="48"/>
  <c r="AP212" i="48"/>
  <c r="AO212" i="48"/>
  <c r="AK212" i="48"/>
  <c r="AL212" i="48" s="1"/>
  <c r="AN346" i="48"/>
  <c r="AM346" i="48"/>
  <c r="AP346" i="48"/>
  <c r="AL346" i="48"/>
  <c r="AK346" i="48"/>
  <c r="AO346" i="48"/>
  <c r="AM218" i="48"/>
  <c r="AN218" i="48" s="1"/>
  <c r="AO218" i="48"/>
  <c r="AP218" i="48" s="1"/>
  <c r="AK218" i="48"/>
  <c r="AL218" i="48" s="1"/>
  <c r="AO199" i="48"/>
  <c r="AP199" i="48"/>
  <c r="AM415" i="48"/>
  <c r="AL415" i="48"/>
  <c r="AP415" i="48"/>
  <c r="AK415" i="48"/>
  <c r="AO415" i="48"/>
  <c r="AN415" i="48"/>
  <c r="AP307" i="48"/>
  <c r="AL307" i="48"/>
  <c r="AO307" i="48"/>
  <c r="AK307" i="48"/>
  <c r="AN307" i="48"/>
  <c r="AM307" i="48"/>
  <c r="AP231" i="48"/>
  <c r="AO231" i="48"/>
  <c r="AK231" i="48"/>
  <c r="AL231" i="48" s="1"/>
  <c r="AN344" i="48"/>
  <c r="AM344" i="48"/>
  <c r="AP344" i="48"/>
  <c r="AL344" i="48"/>
  <c r="AK344" i="48"/>
  <c r="AO344" i="48"/>
  <c r="AO67" i="48"/>
  <c r="AP67" i="48" s="1"/>
  <c r="AO97" i="48"/>
  <c r="AP97" i="48"/>
  <c r="AM529" i="48"/>
  <c r="AO529" i="48"/>
  <c r="AK529" i="48"/>
  <c r="AP529" i="48"/>
  <c r="AN529" i="48"/>
  <c r="AL529" i="48"/>
  <c r="AP373" i="48"/>
  <c r="AL373" i="48"/>
  <c r="AO373" i="48"/>
  <c r="AK373" i="48"/>
  <c r="AN373" i="48"/>
  <c r="AM373" i="48"/>
  <c r="AM519" i="48"/>
  <c r="AO519" i="48"/>
  <c r="AK519" i="48"/>
  <c r="AL519" i="48"/>
  <c r="AP519" i="48"/>
  <c r="AN519" i="48"/>
  <c r="AO162" i="48"/>
  <c r="AP162" i="48" s="1"/>
  <c r="AP345" i="48"/>
  <c r="AL345" i="48"/>
  <c r="AO345" i="48"/>
  <c r="AK345" i="48"/>
  <c r="AN345" i="48"/>
  <c r="AM345" i="48"/>
  <c r="AM208" i="48"/>
  <c r="AN208" i="48" s="1"/>
  <c r="AO208" i="48"/>
  <c r="AP208" i="48" s="1"/>
  <c r="AK208" i="48"/>
  <c r="AL208" i="48" s="1"/>
  <c r="AO436" i="48"/>
  <c r="AK436" i="48"/>
  <c r="AM436" i="48"/>
  <c r="AN436" i="48"/>
  <c r="AL436" i="48"/>
  <c r="AP436" i="48"/>
  <c r="AO450" i="48"/>
  <c r="AK450" i="48"/>
  <c r="AM450" i="48"/>
  <c r="AP450" i="48"/>
  <c r="AN450" i="48"/>
  <c r="AL450" i="48"/>
  <c r="AN348" i="48"/>
  <c r="AM348" i="48"/>
  <c r="AP348" i="48"/>
  <c r="AL348" i="48"/>
  <c r="AO348" i="48"/>
  <c r="AK348" i="48"/>
  <c r="AK133" i="48"/>
  <c r="AL133" i="48" s="1"/>
  <c r="AM133" i="48"/>
  <c r="AN133" i="48" s="1"/>
  <c r="AO133" i="48"/>
  <c r="AP133" i="48" s="1"/>
  <c r="AN370" i="48"/>
  <c r="AM370" i="48"/>
  <c r="AP370" i="48"/>
  <c r="AL370" i="48"/>
  <c r="AK370" i="48"/>
  <c r="AO370" i="48"/>
  <c r="AO81" i="48"/>
  <c r="AP81" i="48"/>
  <c r="AM441" i="48"/>
  <c r="AO441" i="48"/>
  <c r="AK441" i="48"/>
  <c r="AP441" i="48"/>
  <c r="AN441" i="48"/>
  <c r="AL441" i="48"/>
  <c r="AO163" i="48"/>
  <c r="AP163" i="48" s="1"/>
  <c r="AK163" i="48"/>
  <c r="AL163" i="48" s="1"/>
  <c r="AO224" i="48"/>
  <c r="AP224" i="48" s="1"/>
  <c r="AP397" i="48"/>
  <c r="AL397" i="48"/>
  <c r="AO397" i="48"/>
  <c r="AK397" i="48"/>
  <c r="AN397" i="48"/>
  <c r="AM397" i="48"/>
  <c r="AP317" i="48"/>
  <c r="AL317" i="48"/>
  <c r="AO317" i="48"/>
  <c r="AK317" i="48"/>
  <c r="AN317" i="48"/>
  <c r="AM317" i="48"/>
  <c r="AP379" i="48"/>
  <c r="AL379" i="48"/>
  <c r="AO379" i="48"/>
  <c r="AK379" i="48"/>
  <c r="AN379" i="48"/>
  <c r="AM379" i="48"/>
  <c r="AO75" i="48"/>
  <c r="AP75" i="48" s="1"/>
  <c r="AP152" i="48"/>
  <c r="AO152" i="48"/>
  <c r="AK152" i="48"/>
  <c r="AL152" i="48" s="1"/>
  <c r="AM152" i="48"/>
  <c r="AN152" i="48" s="1"/>
  <c r="AN378" i="48"/>
  <c r="AM378" i="48"/>
  <c r="AP378" i="48"/>
  <c r="AL378" i="48"/>
  <c r="AK378" i="48"/>
  <c r="AO378" i="48"/>
  <c r="AP241" i="48"/>
  <c r="AO241" i="48"/>
  <c r="AK241" i="48"/>
  <c r="AL241" i="48" s="1"/>
  <c r="AM241" i="48"/>
  <c r="AN241" i="48" s="1"/>
  <c r="AM445" i="48"/>
  <c r="AO445" i="48"/>
  <c r="AK445" i="48"/>
  <c r="AP445" i="48"/>
  <c r="AN445" i="48"/>
  <c r="AL445" i="48"/>
  <c r="AM290" i="48"/>
  <c r="AN290" i="48" s="1"/>
  <c r="AO290" i="48"/>
  <c r="AP290" i="48" s="1"/>
  <c r="AK290" i="48"/>
  <c r="AL290" i="48" s="1"/>
  <c r="AM171" i="48"/>
  <c r="AN171" i="48" s="1"/>
  <c r="AP171" i="48"/>
  <c r="AO171" i="48"/>
  <c r="AK171" i="48"/>
  <c r="AL171" i="48" s="1"/>
  <c r="AP229" i="48"/>
  <c r="AO229" i="48"/>
  <c r="AK229" i="48"/>
  <c r="AL229" i="48" s="1"/>
  <c r="AM229" i="48"/>
  <c r="AN229" i="48" s="1"/>
  <c r="AP303" i="48"/>
  <c r="AL303" i="48"/>
  <c r="AO303" i="48"/>
  <c r="AK303" i="48"/>
  <c r="AN303" i="48"/>
  <c r="AM303" i="48"/>
  <c r="AO470" i="48"/>
  <c r="AK470" i="48"/>
  <c r="AM470" i="48"/>
  <c r="AP470" i="48"/>
  <c r="AN470" i="48"/>
  <c r="AL470" i="48"/>
  <c r="AP108" i="48"/>
  <c r="AO108" i="48"/>
  <c r="AP247" i="48"/>
  <c r="AO247" i="48"/>
  <c r="AP399" i="48"/>
  <c r="AL399" i="48"/>
  <c r="AO399" i="48"/>
  <c r="AK399" i="48"/>
  <c r="AN399" i="48"/>
  <c r="AM399" i="48"/>
  <c r="AO115" i="48"/>
  <c r="AP115" i="48" s="1"/>
  <c r="AP363" i="48"/>
  <c r="AL363" i="48"/>
  <c r="AO363" i="48"/>
  <c r="AK363" i="48"/>
  <c r="AN363" i="48"/>
  <c r="AM363" i="48"/>
  <c r="AM232" i="48"/>
  <c r="AN232" i="48" s="1"/>
  <c r="AP232" i="48"/>
  <c r="AK232" i="48"/>
  <c r="AL232" i="48" s="1"/>
  <c r="AO232" i="48"/>
  <c r="AO430" i="48"/>
  <c r="AK430" i="48"/>
  <c r="AM430" i="48"/>
  <c r="AP430" i="48"/>
  <c r="AN430" i="48"/>
  <c r="AL430" i="48"/>
  <c r="AK183" i="48"/>
  <c r="AL183" i="48" s="1"/>
  <c r="AM183" i="48"/>
  <c r="AN183" i="48" s="1"/>
  <c r="AP183" i="48"/>
  <c r="AO183" i="48"/>
  <c r="AO129" i="48"/>
  <c r="AP129" i="48" s="1"/>
  <c r="AO258" i="48"/>
  <c r="AP258" i="48" s="1"/>
  <c r="AM491" i="48"/>
  <c r="AO491" i="48"/>
  <c r="AK491" i="48"/>
  <c r="AL491" i="48"/>
  <c r="AP491" i="48"/>
  <c r="AN491" i="48"/>
  <c r="AO440" i="48"/>
  <c r="AK440" i="48"/>
  <c r="AM440" i="48"/>
  <c r="AN440" i="48"/>
  <c r="AL440" i="48"/>
  <c r="AP440" i="48"/>
  <c r="AO225" i="48"/>
  <c r="AP225" i="48" s="1"/>
  <c r="AK225" i="48"/>
  <c r="AL225" i="48" s="1"/>
  <c r="AM225" i="48"/>
  <c r="AN225" i="48" s="1"/>
  <c r="AM417" i="48"/>
  <c r="AP417" i="48"/>
  <c r="AK417" i="48"/>
  <c r="AO417" i="48"/>
  <c r="AN417" i="48"/>
  <c r="AL417" i="48"/>
  <c r="AO124" i="48"/>
  <c r="AP124" i="48" s="1"/>
  <c r="AM211" i="48"/>
  <c r="AN211" i="48" s="1"/>
  <c r="AO211" i="48"/>
  <c r="AP211" i="48" s="1"/>
  <c r="AK211" i="48"/>
  <c r="AL211" i="48" s="1"/>
  <c r="AO148" i="48"/>
  <c r="AP148" i="48" s="1"/>
  <c r="AO500" i="48"/>
  <c r="AK500" i="48"/>
  <c r="AM500" i="48"/>
  <c r="AN500" i="48"/>
  <c r="AL500" i="48"/>
  <c r="AP500" i="48"/>
  <c r="AO478" i="48"/>
  <c r="AK478" i="48"/>
  <c r="AM478" i="48"/>
  <c r="AP478" i="48"/>
  <c r="AN478" i="48"/>
  <c r="AL478" i="48"/>
  <c r="AM161" i="48"/>
  <c r="AN161" i="48" s="1"/>
  <c r="AK161" i="48"/>
  <c r="AL161" i="48" s="1"/>
  <c r="AO161" i="48"/>
  <c r="AP161" i="48" s="1"/>
  <c r="AO522" i="48"/>
  <c r="AK522" i="48"/>
  <c r="AM522" i="48"/>
  <c r="AP522" i="48"/>
  <c r="AN522" i="48"/>
  <c r="AL522" i="48"/>
  <c r="AO121" i="48"/>
  <c r="AP121" i="48" s="1"/>
  <c r="AM248" i="48"/>
  <c r="AN248" i="48" s="1"/>
  <c r="AK248" i="48"/>
  <c r="AL248" i="48" s="1"/>
  <c r="AO248" i="48"/>
  <c r="AP248" i="48" s="1"/>
  <c r="AO187" i="48"/>
  <c r="AP187" i="48" s="1"/>
  <c r="AN384" i="48"/>
  <c r="AM384" i="48"/>
  <c r="AP384" i="48"/>
  <c r="AL384" i="48"/>
  <c r="AK384" i="48"/>
  <c r="AO384" i="48"/>
  <c r="AN362" i="48"/>
  <c r="AM362" i="48"/>
  <c r="AP362" i="48"/>
  <c r="AL362" i="48"/>
  <c r="AK362" i="48"/>
  <c r="AO362" i="48"/>
  <c r="AO412" i="48"/>
  <c r="AK412" i="48"/>
  <c r="AN412" i="48"/>
  <c r="AM412" i="48"/>
  <c r="AL412" i="48"/>
  <c r="AP412" i="48"/>
  <c r="AO72" i="48"/>
  <c r="AP72" i="48" s="1"/>
  <c r="AP395" i="48"/>
  <c r="AL395" i="48"/>
  <c r="AO395" i="48"/>
  <c r="AK395" i="48"/>
  <c r="AN395" i="48"/>
  <c r="AM395" i="48"/>
  <c r="AP83" i="48"/>
  <c r="AO83" i="48"/>
  <c r="AP178" i="48"/>
  <c r="AM178" i="48"/>
  <c r="AN178" i="48" s="1"/>
  <c r="AO178" i="48"/>
  <c r="AM143" i="48"/>
  <c r="AN143" i="48" s="1"/>
  <c r="AK143" i="48"/>
  <c r="AL143" i="48" s="1"/>
  <c r="AP143" i="48"/>
  <c r="AO143" i="48"/>
  <c r="AP391" i="48"/>
  <c r="AL391" i="48"/>
  <c r="AO391" i="48"/>
  <c r="AK391" i="48"/>
  <c r="AN391" i="48"/>
  <c r="AM391" i="48"/>
  <c r="AO128" i="48"/>
  <c r="AP128" i="48" s="1"/>
  <c r="AM266" i="48"/>
  <c r="AN266" i="48" s="1"/>
  <c r="AP266" i="48"/>
  <c r="AO266" i="48"/>
  <c r="AK266" i="48"/>
  <c r="AL266" i="48" s="1"/>
  <c r="AO448" i="48"/>
  <c r="AK448" i="48"/>
  <c r="AM448" i="48"/>
  <c r="AN448" i="48"/>
  <c r="AL448" i="48"/>
  <c r="AP448" i="48"/>
  <c r="AO82" i="48"/>
  <c r="AP82" i="48" s="1"/>
  <c r="AO422" i="48"/>
  <c r="AK422" i="48"/>
  <c r="AM422" i="48"/>
  <c r="AP422" i="48"/>
  <c r="AN422" i="48"/>
  <c r="AL422" i="48"/>
  <c r="AO546" i="48"/>
  <c r="AK546" i="48"/>
  <c r="AM546" i="48"/>
  <c r="AP546" i="48"/>
  <c r="AN546" i="48"/>
  <c r="AL546" i="48"/>
  <c r="AM521" i="48"/>
  <c r="AO521" i="48"/>
  <c r="AK521" i="48"/>
  <c r="AP521" i="48"/>
  <c r="AN521" i="48"/>
  <c r="AL521" i="48"/>
  <c r="AO468" i="48"/>
  <c r="AK468" i="48"/>
  <c r="AM468" i="48"/>
  <c r="AN468" i="48"/>
  <c r="AL468" i="48"/>
  <c r="AP468" i="48"/>
  <c r="AM170" i="48"/>
  <c r="AN170" i="48" s="1"/>
  <c r="AO170" i="48"/>
  <c r="AP170" i="48" s="1"/>
  <c r="AK170" i="48"/>
  <c r="AL170" i="48" s="1"/>
  <c r="AM274" i="48"/>
  <c r="AN274" i="48" s="1"/>
  <c r="AP274" i="48"/>
  <c r="AO274" i="48"/>
  <c r="AK274" i="48"/>
  <c r="AL274" i="48" s="1"/>
  <c r="AM407" i="48"/>
  <c r="AL407" i="48"/>
  <c r="AP407" i="48"/>
  <c r="AK407" i="48"/>
  <c r="AO407" i="48"/>
  <c r="AN407" i="48"/>
  <c r="AO414" i="48"/>
  <c r="AK414" i="48"/>
  <c r="AM414" i="48"/>
  <c r="AL414" i="48"/>
  <c r="AP414" i="48"/>
  <c r="AN414" i="48"/>
  <c r="AM260" i="48"/>
  <c r="AN260" i="48" s="1"/>
  <c r="AO260" i="48"/>
  <c r="AP260" i="48" s="1"/>
  <c r="AO297" i="48"/>
  <c r="AP297" i="48" s="1"/>
  <c r="AL297" i="48"/>
  <c r="AP267" i="48"/>
  <c r="AO267" i="48"/>
  <c r="AM176" i="48"/>
  <c r="AN176" i="48" s="1"/>
  <c r="AO176" i="48"/>
  <c r="AP176" i="48" s="1"/>
  <c r="AK176" i="48"/>
  <c r="AL176" i="48" s="1"/>
  <c r="AO78" i="48"/>
  <c r="AP78" i="48" s="1"/>
  <c r="AO194" i="48"/>
  <c r="AP194" i="48" s="1"/>
  <c r="AK194" i="48"/>
  <c r="AL194" i="48" s="1"/>
  <c r="AM194" i="48"/>
  <c r="AN194" i="48" s="1"/>
  <c r="AN320" i="48"/>
  <c r="AM320" i="48"/>
  <c r="AP320" i="48"/>
  <c r="AL320" i="48"/>
  <c r="AK320" i="48"/>
  <c r="AO320" i="48"/>
  <c r="AM497" i="48"/>
  <c r="AO497" i="48"/>
  <c r="AK497" i="48"/>
  <c r="AP497" i="48"/>
  <c r="AN497" i="48"/>
  <c r="AL497" i="48"/>
  <c r="AM429" i="48"/>
  <c r="AO429" i="48"/>
  <c r="AK429" i="48"/>
  <c r="AP429" i="48"/>
  <c r="AN429" i="48"/>
  <c r="AL429" i="48"/>
  <c r="AO456" i="48"/>
  <c r="AK456" i="48"/>
  <c r="AM456" i="48"/>
  <c r="AN456" i="48"/>
  <c r="AL456" i="48"/>
  <c r="AP456" i="48"/>
  <c r="AO446" i="48"/>
  <c r="AK446" i="48"/>
  <c r="AM446" i="48"/>
  <c r="AP446" i="48"/>
  <c r="AN446" i="48"/>
  <c r="AL446" i="48"/>
  <c r="AP98" i="48"/>
  <c r="AO98" i="48"/>
  <c r="AP301" i="48"/>
  <c r="AL301" i="48"/>
  <c r="AO301" i="48"/>
  <c r="AK301" i="48"/>
  <c r="AN301" i="48"/>
  <c r="AM301" i="48"/>
  <c r="AO291" i="48"/>
  <c r="AP291" i="48" s="1"/>
  <c r="AM517" i="48"/>
  <c r="AO517" i="48"/>
  <c r="AK517" i="48"/>
  <c r="AP517" i="48"/>
  <c r="AN517" i="48"/>
  <c r="AL517" i="48"/>
  <c r="AM409" i="48"/>
  <c r="AP409" i="48"/>
  <c r="AK409" i="48"/>
  <c r="AO409" i="48"/>
  <c r="AN409" i="48"/>
  <c r="AL409" i="48"/>
  <c r="AM268" i="48"/>
  <c r="AN268" i="48" s="1"/>
  <c r="AP268" i="48"/>
  <c r="AK268" i="48"/>
  <c r="AL268" i="48" s="1"/>
  <c r="AO268" i="48"/>
  <c r="AP393" i="48"/>
  <c r="AL393" i="48"/>
  <c r="AO393" i="48"/>
  <c r="AK393" i="48"/>
  <c r="AN393" i="48"/>
  <c r="AM393" i="48"/>
  <c r="AM425" i="48"/>
  <c r="AO425" i="48"/>
  <c r="AK425" i="48"/>
  <c r="AP425" i="48"/>
  <c r="AN425" i="48"/>
  <c r="AL425" i="48"/>
  <c r="AM419" i="48"/>
  <c r="AO419" i="48"/>
  <c r="AN419" i="48"/>
  <c r="AL419" i="48"/>
  <c r="AK419" i="48"/>
  <c r="AP419" i="48"/>
  <c r="AP355" i="48"/>
  <c r="AL355" i="48"/>
  <c r="AO355" i="48"/>
  <c r="AK355" i="48"/>
  <c r="AN355" i="48"/>
  <c r="AM355" i="48"/>
  <c r="AO116" i="48"/>
  <c r="AP116" i="48" s="1"/>
  <c r="AM479" i="48"/>
  <c r="AO479" i="48"/>
  <c r="AK479" i="48"/>
  <c r="AL479" i="48"/>
  <c r="AP479" i="48"/>
  <c r="AN479" i="48"/>
  <c r="AM555" i="48"/>
  <c r="AO555" i="48"/>
  <c r="AK555" i="48"/>
  <c r="AL555" i="48"/>
  <c r="AP555" i="48"/>
  <c r="AN555" i="48"/>
  <c r="AO200" i="48"/>
  <c r="AP200" i="48" s="1"/>
  <c r="AK200" i="48"/>
  <c r="AL200" i="48" s="1"/>
  <c r="AM200" i="48"/>
  <c r="AN200" i="48" s="1"/>
  <c r="AM541" i="48"/>
  <c r="AO541" i="48"/>
  <c r="AK541" i="48"/>
  <c r="AP541" i="48"/>
  <c r="AN541" i="48"/>
  <c r="AL541" i="48"/>
  <c r="AO103" i="48"/>
  <c r="AP103" i="48" s="1"/>
  <c r="AM495" i="48"/>
  <c r="AO495" i="48"/>
  <c r="AK495" i="48"/>
  <c r="AL495" i="48"/>
  <c r="AP495" i="48"/>
  <c r="AN495" i="48"/>
  <c r="AO494" i="48"/>
  <c r="AK494" i="48"/>
  <c r="AM494" i="48"/>
  <c r="AP494" i="48"/>
  <c r="AN494" i="48"/>
  <c r="AL494" i="48"/>
  <c r="AO472" i="48"/>
  <c r="AK472" i="48"/>
  <c r="AM472" i="48"/>
  <c r="AN472" i="48"/>
  <c r="AL472" i="48"/>
  <c r="AP472" i="48"/>
  <c r="AM439" i="48"/>
  <c r="AO439" i="48"/>
  <c r="AK439" i="48"/>
  <c r="AL439" i="48"/>
  <c r="AP439" i="48"/>
  <c r="AN439" i="48"/>
  <c r="AN380" i="48"/>
  <c r="AM380" i="48"/>
  <c r="AP380" i="48"/>
  <c r="AL380" i="48"/>
  <c r="AO380" i="48"/>
  <c r="AK380" i="48"/>
  <c r="AP309" i="48"/>
  <c r="AL309" i="48"/>
  <c r="AO309" i="48"/>
  <c r="AK309" i="48"/>
  <c r="AN309" i="48"/>
  <c r="AM309" i="48"/>
  <c r="AM222" i="48"/>
  <c r="AN222" i="48" s="1"/>
  <c r="AO222" i="48"/>
  <c r="AP222" i="48" s="1"/>
  <c r="AK222" i="48"/>
  <c r="AL222" i="48" s="1"/>
  <c r="AM137" i="48"/>
  <c r="AN137" i="48" s="1"/>
  <c r="AO137" i="48"/>
  <c r="AP137" i="48"/>
  <c r="AK137" i="48"/>
  <c r="AL137" i="48" s="1"/>
  <c r="AN364" i="48"/>
  <c r="AM364" i="48"/>
  <c r="AP364" i="48"/>
  <c r="AL364" i="48"/>
  <c r="AO364" i="48"/>
  <c r="AK364" i="48"/>
  <c r="AM463" i="48"/>
  <c r="AO463" i="48"/>
  <c r="AK463" i="48"/>
  <c r="AL463" i="48"/>
  <c r="AP463" i="48"/>
  <c r="AN463" i="48"/>
  <c r="AN326" i="48"/>
  <c r="AM326" i="48"/>
  <c r="AP326" i="48"/>
  <c r="AL326" i="48"/>
  <c r="AO326" i="48"/>
  <c r="AK326" i="48"/>
  <c r="AN316" i="48"/>
  <c r="AM316" i="48"/>
  <c r="AP316" i="48"/>
  <c r="AL316" i="48"/>
  <c r="AO316" i="48"/>
  <c r="AK316" i="48"/>
  <c r="AO428" i="48"/>
  <c r="AK428" i="48"/>
  <c r="AM428" i="48"/>
  <c r="AN428" i="48"/>
  <c r="AL428" i="48"/>
  <c r="AP428" i="48"/>
  <c r="AO105" i="48"/>
  <c r="AP105" i="48" s="1"/>
  <c r="AM157" i="48"/>
  <c r="AN157" i="48" s="1"/>
  <c r="AO157" i="48"/>
  <c r="AP157" i="48" s="1"/>
  <c r="AK157" i="48"/>
  <c r="AL157" i="48" s="1"/>
  <c r="AO528" i="48"/>
  <c r="AK528" i="48"/>
  <c r="AM528" i="48"/>
  <c r="AN528" i="48"/>
  <c r="AL528" i="48"/>
  <c r="AP528" i="48"/>
  <c r="AO438" i="48"/>
  <c r="AK438" i="48"/>
  <c r="AM438" i="48"/>
  <c r="AP438" i="48"/>
  <c r="AN438" i="48"/>
  <c r="AL438" i="48"/>
  <c r="AM487" i="48"/>
  <c r="AO487" i="48"/>
  <c r="AK487" i="48"/>
  <c r="AL487" i="48"/>
  <c r="AP487" i="48"/>
  <c r="AN487" i="48"/>
  <c r="AM421" i="48"/>
  <c r="AO421" i="48"/>
  <c r="AK421" i="48"/>
  <c r="AP421" i="48"/>
  <c r="AN421" i="48"/>
  <c r="AL421" i="48"/>
  <c r="AO119" i="48"/>
  <c r="AP119" i="48" s="1"/>
  <c r="AN334" i="48"/>
  <c r="AM334" i="48"/>
  <c r="AP334" i="48"/>
  <c r="AL334" i="48"/>
  <c r="AO334" i="48"/>
  <c r="AK334" i="48"/>
  <c r="AO444" i="48"/>
  <c r="AK444" i="48"/>
  <c r="AM444" i="48"/>
  <c r="AN444" i="48"/>
  <c r="AL444" i="48"/>
  <c r="AP444" i="48"/>
  <c r="AN342" i="48"/>
  <c r="AM342" i="48"/>
  <c r="AP342" i="48"/>
  <c r="AL342" i="48"/>
  <c r="AO342" i="48"/>
  <c r="AK342" i="48"/>
  <c r="AN366" i="48"/>
  <c r="AM366" i="48"/>
  <c r="AP366" i="48"/>
  <c r="AL366" i="48"/>
  <c r="AO366" i="48"/>
  <c r="AK366" i="48"/>
  <c r="AP331" i="48"/>
  <c r="AL331" i="48"/>
  <c r="AO331" i="48"/>
  <c r="AK331" i="48"/>
  <c r="AN331" i="48"/>
  <c r="AM331" i="48"/>
  <c r="AP367" i="48"/>
  <c r="AL367" i="48"/>
  <c r="AO367" i="48"/>
  <c r="AK367" i="48"/>
  <c r="AN367" i="48"/>
  <c r="AM367" i="48"/>
  <c r="AO123" i="48"/>
  <c r="AP123" i="48" s="1"/>
  <c r="AO203" i="48"/>
  <c r="AP203" i="48" s="1"/>
  <c r="AO432" i="48"/>
  <c r="AK432" i="48"/>
  <c r="AM432" i="48"/>
  <c r="AN432" i="48"/>
  <c r="AL432" i="48"/>
  <c r="AP432" i="48"/>
  <c r="AN312" i="48"/>
  <c r="AM312" i="48"/>
  <c r="AP312" i="48"/>
  <c r="AL312" i="48"/>
  <c r="AK312" i="48"/>
  <c r="AO312" i="48"/>
  <c r="AO209" i="48"/>
  <c r="AP209" i="48" s="1"/>
  <c r="AP149" i="48"/>
  <c r="AO149" i="48"/>
  <c r="AM533" i="48"/>
  <c r="AO533" i="48"/>
  <c r="AK533" i="48"/>
  <c r="AP533" i="48"/>
  <c r="AN533" i="48"/>
  <c r="AL533" i="48"/>
  <c r="AO79" i="48"/>
  <c r="AP79" i="48" s="1"/>
  <c r="AM503" i="48"/>
  <c r="AO503" i="48"/>
  <c r="AK503" i="48"/>
  <c r="AL503" i="48"/>
  <c r="AP503" i="48"/>
  <c r="AN503" i="48"/>
  <c r="AO80" i="48"/>
  <c r="AP80" i="48" s="1"/>
  <c r="AO127" i="48"/>
  <c r="AP127" i="48" s="1"/>
  <c r="AM173" i="48"/>
  <c r="AN173" i="48" s="1"/>
  <c r="AK173" i="48"/>
  <c r="AL173" i="48" s="1"/>
  <c r="AP173" i="48"/>
  <c r="AO173" i="48"/>
  <c r="AP369" i="48"/>
  <c r="AL369" i="48"/>
  <c r="AO369" i="48"/>
  <c r="AK369" i="48"/>
  <c r="AN369" i="48"/>
  <c r="AM369" i="48"/>
  <c r="AM205" i="48"/>
  <c r="AN205" i="48" s="1"/>
  <c r="AP205" i="48"/>
  <c r="AO205" i="48"/>
  <c r="AO185" i="48"/>
  <c r="AK185" i="48"/>
  <c r="AL185" i="48" s="1"/>
  <c r="AM185" i="48"/>
  <c r="AN185" i="48" s="1"/>
  <c r="AP185" i="48"/>
  <c r="AM108" i="48"/>
  <c r="AN108" i="48" s="1"/>
  <c r="AK108" i="48"/>
  <c r="AL108" i="48" s="1"/>
  <c r="AM431" i="48"/>
  <c r="AO431" i="48"/>
  <c r="AK431" i="48"/>
  <c r="AL431" i="48"/>
  <c r="AP431" i="48"/>
  <c r="AN431" i="48"/>
  <c r="AP313" i="48"/>
  <c r="AL313" i="48"/>
  <c r="AO313" i="48"/>
  <c r="AK313" i="48"/>
  <c r="AN313" i="48"/>
  <c r="AM313" i="48"/>
  <c r="AK117" i="48"/>
  <c r="AL117" i="48" s="1"/>
  <c r="AM117" i="48"/>
  <c r="AN117" i="48" s="1"/>
  <c r="AP117" i="48"/>
  <c r="AO117" i="48"/>
  <c r="AP305" i="48"/>
  <c r="AL305" i="48"/>
  <c r="AO305" i="48"/>
  <c r="AK305" i="48"/>
  <c r="AN305" i="48"/>
  <c r="AM305" i="48"/>
  <c r="AM427" i="48"/>
  <c r="AO427" i="48"/>
  <c r="AK427" i="48"/>
  <c r="AL427" i="48"/>
  <c r="AP427" i="48"/>
  <c r="AN427" i="48"/>
  <c r="AO62" i="48"/>
  <c r="AP62" i="48" s="1"/>
  <c r="AO60" i="48"/>
  <c r="AP60" i="48" s="1"/>
  <c r="AO58" i="48"/>
  <c r="AP58" i="48" s="1"/>
  <c r="AO65" i="48"/>
  <c r="AP65" i="48" s="1"/>
  <c r="X33" i="46"/>
  <c r="Y33" i="46"/>
  <c r="Y32" i="46"/>
  <c r="X32" i="46"/>
  <c r="X34" i="46"/>
  <c r="X21" i="46"/>
  <c r="Y21" i="46"/>
  <c r="Y22" i="46"/>
  <c r="X20" i="46"/>
  <c r="Y20" i="46"/>
  <c r="X22" i="46"/>
  <c r="Y34" i="46"/>
  <c r="U20" i="72" a="1"/>
  <c r="U20" i="72" s="1"/>
  <c r="AM102" i="48"/>
  <c r="AN102" i="48" s="1"/>
  <c r="AK102" i="48"/>
  <c r="AL102" i="48" s="1"/>
  <c r="EU13" i="12"/>
  <c r="CM19" i="12"/>
  <c r="EO24" i="12"/>
  <c r="EU26" i="12"/>
  <c r="CS16" i="12"/>
  <c r="EB20" i="12"/>
  <c r="EA19" i="12"/>
  <c r="AD12" i="12"/>
  <c r="AS17" i="12"/>
  <c r="BQ23" i="12"/>
  <c r="BH29" i="12"/>
  <c r="D22" i="12"/>
  <c r="BP24" i="12"/>
  <c r="DN18" i="12"/>
  <c r="ES14" i="12"/>
  <c r="BG20" i="12"/>
  <c r="DY19" i="12"/>
  <c r="M19" i="12"/>
  <c r="CE16" i="12"/>
  <c r="AK24" i="12"/>
  <c r="DJ30" i="12"/>
  <c r="DF22" i="12"/>
  <c r="AM18" i="12"/>
  <c r="DU21" i="12"/>
  <c r="EC21" i="12"/>
  <c r="G23" i="12"/>
  <c r="CY29" i="12"/>
  <c r="DZ22" i="12"/>
  <c r="X19" i="12"/>
  <c r="CE24" i="12"/>
  <c r="AK20" i="12"/>
  <c r="DJ14" i="12"/>
  <c r="DO22" i="12"/>
  <c r="CJ19" i="12"/>
  <c r="CC18" i="12"/>
  <c r="BD27" i="12"/>
  <c r="BW11" i="12"/>
  <c r="ED30" i="12"/>
  <c r="AA24" i="12"/>
  <c r="DS17" i="12"/>
  <c r="AQ14" i="12"/>
  <c r="GU24" i="12"/>
  <c r="CA18" i="12"/>
  <c r="U22" i="12"/>
  <c r="CF14" i="12"/>
  <c r="ES20" i="12"/>
  <c r="BT21" i="12"/>
  <c r="DU13" i="12"/>
  <c r="CP12" i="12"/>
  <c r="AW15" i="12"/>
  <c r="DV18" i="12"/>
  <c r="I15" i="12"/>
  <c r="CT14" i="12"/>
  <c r="DD18" i="12"/>
  <c r="EF12" i="12"/>
  <c r="AL20" i="12"/>
  <c r="AQ10" i="12"/>
  <c r="W28" i="12"/>
  <c r="DK21" i="12"/>
  <c r="BC30" i="12"/>
  <c r="ED13" i="12"/>
  <c r="BN12" i="12"/>
  <c r="AP22" i="12"/>
  <c r="AC24" i="12"/>
  <c r="BW18" i="12"/>
  <c r="AY27" i="12"/>
  <c r="DC15" i="12"/>
  <c r="DQ21" i="12"/>
  <c r="AY17" i="12"/>
  <c r="ER25" i="12"/>
  <c r="AB26" i="12"/>
  <c r="M15" i="12"/>
  <c r="DT16" i="12"/>
  <c r="BG23" i="12"/>
  <c r="AA10" i="12"/>
  <c r="BB28" i="12"/>
  <c r="DO23" i="12"/>
  <c r="BZ25" i="12"/>
  <c r="DW28" i="12"/>
  <c r="ER28" i="12"/>
  <c r="G13" i="12"/>
  <c r="DM24" i="12"/>
  <c r="BT19" i="12"/>
  <c r="CG29" i="12"/>
  <c r="EE11" i="12"/>
  <c r="BV12" i="12"/>
  <c r="CZ12" i="12"/>
  <c r="M21" i="12"/>
  <c r="AI27" i="12"/>
  <c r="EK20" i="12"/>
  <c r="DG11" i="12"/>
  <c r="CO22" i="12"/>
  <c r="AZ14" i="12"/>
  <c r="EG26" i="12"/>
  <c r="EB22" i="12"/>
  <c r="BC29" i="12"/>
  <c r="CK30" i="12"/>
  <c r="D29" i="12"/>
  <c r="EK26" i="12"/>
  <c r="EL19" i="12"/>
  <c r="CV30" i="12"/>
  <c r="EH20" i="12"/>
  <c r="BZ19" i="12"/>
  <c r="AN25" i="12"/>
  <c r="EF22" i="12"/>
  <c r="CB14" i="12"/>
  <c r="CT22" i="12"/>
  <c r="EE20" i="12"/>
  <c r="DD12" i="12"/>
  <c r="DB18" i="12"/>
  <c r="O19" i="12"/>
  <c r="CY23" i="12"/>
  <c r="F24" i="12"/>
  <c r="FH20" i="12"/>
  <c r="CH30" i="12"/>
  <c r="N29" i="12"/>
  <c r="BG28" i="12"/>
  <c r="CS14" i="12"/>
  <c r="CP10" i="12"/>
  <c r="CN13" i="12"/>
  <c r="AV15" i="12"/>
  <c r="K14" i="12"/>
  <c r="E28" i="12"/>
  <c r="CI16" i="12"/>
  <c r="DS22" i="12"/>
  <c r="X28" i="12"/>
  <c r="DX16" i="12"/>
  <c r="DZ12" i="12"/>
  <c r="BF17" i="12"/>
  <c r="BO19" i="12"/>
  <c r="DV20" i="12"/>
  <c r="CB26" i="12"/>
  <c r="AI15" i="12"/>
  <c r="DN16" i="12"/>
  <c r="BC21" i="12"/>
  <c r="I10" i="12"/>
  <c r="BO26" i="12"/>
  <c r="EO15" i="12"/>
  <c r="CJ15" i="12"/>
  <c r="ER18" i="12"/>
  <c r="AH18" i="12"/>
  <c r="BU29" i="12"/>
  <c r="P15" i="12"/>
  <c r="BN16" i="12"/>
  <c r="CT13" i="12"/>
  <c r="V15" i="12"/>
  <c r="BL14" i="12"/>
  <c r="J10" i="12"/>
  <c r="CC27" i="12"/>
  <c r="BQ10" i="12"/>
  <c r="BL29" i="12"/>
  <c r="DF18" i="12"/>
  <c r="DP26" i="12"/>
  <c r="EK29" i="12"/>
  <c r="BY19" i="12"/>
  <c r="BA22" i="12"/>
  <c r="AK16" i="12"/>
  <c r="DV25" i="12"/>
  <c r="BV22" i="12"/>
  <c r="E21" i="12"/>
  <c r="DQ13" i="12"/>
  <c r="D28" i="12"/>
  <c r="BI30" i="12"/>
  <c r="BV17" i="12"/>
  <c r="EL13" i="12"/>
  <c r="BP28" i="12"/>
  <c r="BK24" i="12"/>
  <c r="N22" i="12"/>
  <c r="ET28" i="12"/>
  <c r="AZ24" i="12"/>
  <c r="BI16" i="12"/>
  <c r="BM22" i="12"/>
  <c r="Y10" i="12"/>
  <c r="AK26" i="12"/>
  <c r="AP20" i="12"/>
  <c r="EL10" i="12"/>
  <c r="DP28" i="12"/>
  <c r="BU18" i="12"/>
  <c r="EJ13" i="12"/>
  <c r="E20" i="12"/>
  <c r="BF10" i="12"/>
  <c r="BX16" i="12"/>
  <c r="BE11" i="12"/>
  <c r="DB12" i="12"/>
  <c r="BS25" i="12"/>
  <c r="CG17" i="12"/>
  <c r="EN12" i="12"/>
  <c r="EO19" i="12"/>
  <c r="CL11" i="12"/>
  <c r="EF16" i="12"/>
  <c r="AO16" i="12"/>
  <c r="CH14" i="12"/>
  <c r="DM23" i="12"/>
  <c r="EM13" i="12"/>
  <c r="CV21" i="12"/>
  <c r="CV17" i="12"/>
  <c r="BT28" i="12"/>
  <c r="CR25" i="12"/>
  <c r="AG23" i="12"/>
  <c r="DA20" i="12"/>
  <c r="R29" i="12"/>
  <c r="DC11" i="12"/>
  <c r="AA23" i="12"/>
  <c r="BZ15" i="12"/>
  <c r="BC15" i="12"/>
  <c r="AX26" i="12"/>
  <c r="DG10" i="12"/>
  <c r="AS23" i="12"/>
  <c r="D20" i="12"/>
  <c r="AH12" i="12"/>
  <c r="Y18" i="12"/>
  <c r="DP24" i="12"/>
  <c r="AO25" i="12"/>
  <c r="BK23" i="12"/>
  <c r="AJ21" i="12"/>
  <c r="BV19" i="12"/>
  <c r="CW24" i="12"/>
  <c r="CU29" i="12"/>
  <c r="AX17" i="12"/>
  <c r="CP16" i="12"/>
  <c r="R18" i="12"/>
  <c r="CY17" i="12"/>
  <c r="FH22" i="12"/>
  <c r="DF28" i="12"/>
  <c r="CJ17" i="12"/>
  <c r="Q12" i="12"/>
  <c r="CJ18" i="12"/>
  <c r="AZ27" i="12"/>
  <c r="R19" i="12"/>
  <c r="CF19" i="12"/>
  <c r="DY22" i="12"/>
  <c r="AT11" i="12"/>
  <c r="N25" i="12"/>
  <c r="CE13" i="12"/>
  <c r="BS28" i="12"/>
  <c r="I16" i="12"/>
  <c r="BF13" i="12"/>
  <c r="X30" i="12"/>
  <c r="CD29" i="12"/>
  <c r="EF29" i="12"/>
  <c r="CI18" i="12"/>
  <c r="BT26" i="12"/>
  <c r="AK28" i="12"/>
  <c r="S13" i="12"/>
  <c r="AM20" i="12"/>
  <c r="CF28" i="12"/>
  <c r="EH30" i="12"/>
  <c r="EI25" i="12"/>
  <c r="BN18" i="12"/>
  <c r="EE21" i="12"/>
  <c r="N14" i="12"/>
  <c r="CT20" i="12"/>
  <c r="J18" i="12"/>
  <c r="CU10" i="12"/>
  <c r="O29" i="12"/>
  <c r="DQ11" i="12"/>
  <c r="AR15" i="12"/>
  <c r="AN28" i="12"/>
  <c r="AP24" i="12"/>
  <c r="ET19" i="12"/>
  <c r="CA21" i="12"/>
  <c r="CE19" i="12"/>
  <c r="DQ12" i="12"/>
  <c r="DH30" i="12"/>
  <c r="AT29" i="12"/>
  <c r="AE15" i="12"/>
  <c r="EI23" i="12"/>
  <c r="E29" i="12"/>
  <c r="DF24" i="12"/>
  <c r="J24" i="12"/>
  <c r="EO21" i="12"/>
  <c r="AY29" i="12"/>
  <c r="CV14" i="12"/>
  <c r="AQ17" i="12"/>
  <c r="CB22" i="12"/>
  <c r="CC15" i="12"/>
  <c r="CU11" i="12"/>
  <c r="DM29" i="12"/>
  <c r="BF19" i="12"/>
  <c r="AF16" i="12"/>
  <c r="CM24" i="12"/>
  <c r="BD28" i="12"/>
  <c r="DE29" i="12"/>
  <c r="Y14" i="12"/>
  <c r="AY22" i="12"/>
  <c r="DO13" i="12"/>
  <c r="EN10" i="12"/>
  <c r="CX11" i="12"/>
  <c r="BI14" i="12"/>
  <c r="EP22" i="12"/>
  <c r="DN26" i="12"/>
  <c r="BV25" i="12"/>
  <c r="Q29" i="12"/>
  <c r="CX27" i="12"/>
  <c r="CP20" i="12"/>
  <c r="AU22" i="12"/>
  <c r="T27" i="12"/>
  <c r="DL16" i="12"/>
  <c r="BC19" i="12"/>
  <c r="CE20" i="12"/>
  <c r="CR24" i="12"/>
  <c r="DU30" i="12"/>
  <c r="W27" i="12"/>
  <c r="EH15" i="12"/>
  <c r="CS30" i="12"/>
  <c r="CR28" i="12"/>
  <c r="U26" i="12"/>
  <c r="AC22" i="12"/>
  <c r="O26" i="12"/>
  <c r="AW24" i="12"/>
  <c r="E24" i="12"/>
  <c r="AJ26" i="12"/>
  <c r="DE23" i="12"/>
  <c r="F29" i="12"/>
  <c r="CQ27" i="12"/>
  <c r="DH22" i="12"/>
  <c r="EM28" i="12"/>
  <c r="CU28" i="12"/>
  <c r="CD23" i="12"/>
  <c r="BV21" i="12"/>
  <c r="AW26" i="12"/>
  <c r="AT27" i="12"/>
  <c r="BH28" i="12"/>
  <c r="EM25" i="12"/>
  <c r="CS13" i="12"/>
  <c r="AL19" i="12"/>
  <c r="BF15" i="12"/>
  <c r="CW26" i="12"/>
  <c r="T10" i="12"/>
  <c r="CC25" i="12"/>
  <c r="AD24" i="12"/>
  <c r="N17" i="12"/>
  <c r="BZ27" i="12"/>
  <c r="EJ23" i="12"/>
  <c r="DW20" i="12"/>
  <c r="CT18" i="12"/>
  <c r="AW10" i="12"/>
  <c r="DO27" i="12"/>
  <c r="DZ21" i="12"/>
  <c r="CI23" i="12"/>
  <c r="AI14" i="12"/>
  <c r="BH22" i="12"/>
  <c r="BA19" i="12"/>
  <c r="DZ13" i="12"/>
  <c r="T29" i="12"/>
  <c r="BN10" i="12"/>
  <c r="I21" i="12"/>
  <c r="J25" i="12"/>
  <c r="DW12" i="12"/>
  <c r="AJ12" i="12"/>
  <c r="CH11" i="12"/>
  <c r="AO28" i="12"/>
  <c r="EQ24" i="12"/>
  <c r="EA12" i="12"/>
  <c r="DX10" i="12"/>
  <c r="BL12" i="12"/>
  <c r="CH17" i="12"/>
  <c r="BH18" i="12"/>
  <c r="J30" i="12"/>
  <c r="AW30" i="12"/>
  <c r="CQ29" i="12"/>
  <c r="EC28" i="12"/>
  <c r="CO14" i="12"/>
  <c r="H16" i="12"/>
  <c r="CC26" i="12"/>
  <c r="AK29" i="12"/>
  <c r="DD17" i="12"/>
  <c r="AR30" i="12"/>
  <c r="CA11" i="12"/>
  <c r="BM29" i="12"/>
  <c r="Q27" i="12"/>
  <c r="ET30" i="12"/>
  <c r="M16" i="12"/>
  <c r="ET10" i="12"/>
  <c r="CF25" i="12"/>
  <c r="BB10" i="12"/>
  <c r="EF15" i="12"/>
  <c r="DS20" i="12"/>
  <c r="AC28" i="12"/>
  <c r="BU10" i="12"/>
  <c r="S23" i="12"/>
  <c r="D16" i="12"/>
  <c r="BS16" i="12"/>
  <c r="ED22" i="12"/>
  <c r="DN21" i="12"/>
  <c r="BY16" i="12"/>
  <c r="AT25" i="12"/>
  <c r="BF25" i="12"/>
  <c r="M18" i="12"/>
  <c r="BH13" i="12"/>
  <c r="L12" i="12"/>
  <c r="CO16" i="12"/>
  <c r="CZ16" i="12"/>
  <c r="DI27" i="12"/>
  <c r="AN23" i="12"/>
  <c r="ET25" i="12"/>
  <c r="AI13" i="12"/>
  <c r="DK30" i="12"/>
  <c r="D14" i="12"/>
  <c r="CC24" i="12"/>
  <c r="CP21" i="12"/>
  <c r="CK12" i="12"/>
  <c r="BK29" i="12"/>
  <c r="CM25" i="12"/>
  <c r="CJ29" i="12"/>
  <c r="S18" i="12"/>
  <c r="AK21" i="12"/>
  <c r="CE21" i="12"/>
  <c r="EM29" i="12"/>
  <c r="BG10" i="12"/>
  <c r="CC21" i="12"/>
  <c r="EP26" i="12"/>
  <c r="AH14" i="12"/>
  <c r="CO10" i="12"/>
  <c r="S29" i="12"/>
  <c r="K24" i="12"/>
  <c r="V20" i="12"/>
  <c r="DO26" i="12"/>
  <c r="ER26" i="12"/>
  <c r="AX28" i="12"/>
  <c r="CG19" i="12"/>
  <c r="AN22" i="12"/>
  <c r="DM13" i="12"/>
  <c r="DS11" i="12"/>
  <c r="AU25" i="12"/>
  <c r="P20" i="12"/>
  <c r="CH24" i="12"/>
  <c r="Z17" i="12"/>
  <c r="CT23" i="12"/>
  <c r="AJ11" i="12"/>
  <c r="AG28" i="12"/>
  <c r="S25" i="12"/>
  <c r="BK25" i="12"/>
  <c r="AJ28" i="12"/>
  <c r="CF26" i="12"/>
  <c r="I11" i="12"/>
  <c r="W24" i="12"/>
  <c r="EN27" i="12"/>
  <c r="CG10" i="12"/>
  <c r="ES15" i="12"/>
  <c r="CC14" i="12"/>
  <c r="AN19" i="12"/>
  <c r="DZ17" i="12"/>
  <c r="AH22" i="12"/>
  <c r="BX28" i="12"/>
  <c r="EQ28" i="12"/>
  <c r="DN28" i="12"/>
  <c r="Z10" i="12"/>
  <c r="DO19" i="12"/>
  <c r="Y11" i="12"/>
  <c r="ES12" i="12"/>
  <c r="V29" i="12"/>
  <c r="DE13" i="12"/>
  <c r="AS21" i="12"/>
  <c r="AW21" i="12"/>
  <c r="DT17" i="12"/>
  <c r="EC25" i="12"/>
  <c r="EP13" i="12"/>
  <c r="CJ16" i="12"/>
  <c r="DG24" i="12"/>
  <c r="AU12" i="12"/>
  <c r="AI21" i="12"/>
  <c r="BU24" i="12"/>
  <c r="N18" i="12"/>
  <c r="GU26" i="12"/>
  <c r="EJ18" i="12"/>
  <c r="W29" i="12"/>
  <c r="BM23" i="12"/>
  <c r="BK20" i="12"/>
  <c r="Q28" i="12"/>
  <c r="CI20" i="12"/>
  <c r="BD23" i="12"/>
  <c r="BH24" i="12"/>
  <c r="BH20" i="12"/>
  <c r="DO17" i="12"/>
  <c r="AU15" i="12"/>
  <c r="BZ20" i="12"/>
  <c r="EI11" i="12"/>
  <c r="AL18" i="12"/>
  <c r="BS20" i="12"/>
  <c r="AW17" i="12"/>
  <c r="EC10" i="12"/>
  <c r="BM18" i="12"/>
  <c r="AA13" i="12"/>
  <c r="W13" i="12"/>
  <c r="BX13" i="12"/>
  <c r="CO27" i="12"/>
  <c r="DZ15" i="12"/>
  <c r="W15" i="12"/>
  <c r="AC12" i="12"/>
  <c r="BM13" i="12"/>
  <c r="AN10" i="12"/>
  <c r="DW27" i="12"/>
  <c r="DH19" i="12"/>
  <c r="DN20" i="12"/>
  <c r="DY24" i="12"/>
  <c r="EM19" i="12"/>
  <c r="CI29" i="12"/>
  <c r="DL11" i="12"/>
  <c r="AK12" i="12"/>
  <c r="CY28" i="12"/>
  <c r="DH14" i="12"/>
  <c r="AS29" i="12"/>
  <c r="V24" i="12"/>
  <c r="DP16" i="12"/>
  <c r="CI15" i="12"/>
  <c r="AU10" i="12"/>
  <c r="CP11" i="12"/>
  <c r="AR21" i="12"/>
  <c r="DL29" i="12"/>
  <c r="BV26" i="12"/>
  <c r="CB11" i="12"/>
  <c r="BO21" i="12"/>
  <c r="BO13" i="12"/>
  <c r="BR12" i="12"/>
  <c r="AH30" i="12"/>
  <c r="EF25" i="12"/>
  <c r="CM12" i="12"/>
  <c r="AQ22" i="12"/>
  <c r="EI13" i="12"/>
  <c r="AO15" i="12"/>
  <c r="BJ30" i="12"/>
  <c r="BS15" i="12"/>
  <c r="CE11" i="12"/>
  <c r="AP23" i="12"/>
  <c r="BS27" i="12"/>
  <c r="AC13" i="12"/>
  <c r="CA29" i="12"/>
  <c r="AU28" i="12"/>
  <c r="AP14" i="12"/>
  <c r="BE30" i="12"/>
  <c r="DW16" i="12"/>
  <c r="BR30" i="12"/>
  <c r="EQ19" i="12"/>
  <c r="AD30" i="12"/>
  <c r="EG19" i="12"/>
  <c r="CW17" i="12"/>
  <c r="CX10" i="12"/>
  <c r="BR17" i="12"/>
  <c r="CM29" i="12"/>
  <c r="Y12" i="12"/>
  <c r="ET12" i="12"/>
  <c r="CW27" i="12"/>
  <c r="DG18" i="12"/>
  <c r="BM26" i="12"/>
  <c r="EP25" i="12"/>
  <c r="EH18" i="12"/>
  <c r="AR25" i="12"/>
  <c r="R12" i="12"/>
  <c r="CQ22" i="12"/>
  <c r="DO29" i="12"/>
  <c r="BR16" i="12"/>
  <c r="DU10" i="12"/>
  <c r="AL12" i="12"/>
  <c r="BQ27" i="12"/>
  <c r="EI30" i="12"/>
  <c r="BQ13" i="12"/>
  <c r="AY21" i="12"/>
  <c r="D27" i="12"/>
  <c r="DR22" i="12"/>
  <c r="CQ17" i="12"/>
  <c r="CR21" i="12"/>
  <c r="FH21" i="12"/>
  <c r="CZ28" i="12"/>
  <c r="EI24" i="12"/>
  <c r="BF16" i="12"/>
  <c r="EH14" i="12"/>
  <c r="AL30" i="12"/>
  <c r="S16" i="12"/>
  <c r="BB26" i="12"/>
  <c r="DA21" i="12"/>
  <c r="BN11" i="12"/>
  <c r="Z25" i="12"/>
  <c r="BH14" i="12"/>
  <c r="BF14" i="12"/>
  <c r="AX10" i="12"/>
  <c r="BZ30" i="12"/>
  <c r="BE17" i="12"/>
  <c r="AP29" i="12"/>
  <c r="DK20" i="12"/>
  <c r="EI29" i="12"/>
  <c r="DU15" i="12"/>
  <c r="L14" i="12"/>
  <c r="AA17" i="12"/>
  <c r="CL25" i="12"/>
  <c r="DM25" i="12"/>
  <c r="Q23" i="12"/>
  <c r="AE27" i="12"/>
  <c r="BR21" i="12"/>
  <c r="DR20" i="12"/>
  <c r="Z13" i="12"/>
  <c r="CS11" i="12"/>
  <c r="V16" i="12"/>
  <c r="BN28" i="12"/>
  <c r="CW12" i="12"/>
  <c r="EK24" i="12"/>
  <c r="CF16" i="12"/>
  <c r="H22" i="12"/>
  <c r="AV28" i="12"/>
  <c r="DG19" i="12"/>
  <c r="EQ27" i="12"/>
  <c r="DT10" i="12"/>
  <c r="BC16" i="12"/>
  <c r="CJ25" i="12"/>
  <c r="EB26" i="12"/>
  <c r="DL17" i="12"/>
  <c r="CP13" i="12"/>
  <c r="Z14" i="12"/>
  <c r="EG23" i="12"/>
  <c r="DE27" i="12"/>
  <c r="AU17" i="12"/>
  <c r="BM14" i="12"/>
  <c r="DD23" i="12"/>
  <c r="EK12" i="12"/>
  <c r="CK13" i="12"/>
  <c r="EG10" i="12"/>
  <c r="CU19" i="12"/>
  <c r="AV14" i="12"/>
  <c r="CX14" i="12"/>
  <c r="CW30" i="12"/>
  <c r="CP24" i="12"/>
  <c r="AW19" i="12"/>
  <c r="EO12" i="12"/>
  <c r="EI20" i="12"/>
  <c r="EB12" i="12"/>
  <c r="P19" i="12"/>
  <c r="DD27" i="12"/>
  <c r="BL19" i="12"/>
  <c r="CV27" i="12"/>
  <c r="DE10" i="12"/>
  <c r="AZ23" i="12"/>
  <c r="EH22" i="12"/>
  <c r="EH12" i="12"/>
  <c r="EI19" i="12"/>
  <c r="DA11" i="12"/>
  <c r="AR22" i="12"/>
  <c r="BR27" i="12"/>
  <c r="DJ16" i="12"/>
  <c r="AT28" i="12"/>
  <c r="FH28" i="12"/>
  <c r="Y13" i="12"/>
  <c r="AE29" i="12"/>
  <c r="AY19" i="12"/>
  <c r="AH26" i="12"/>
  <c r="CN20" i="12"/>
  <c r="BY10" i="12"/>
  <c r="AF27" i="12"/>
  <c r="W23" i="12"/>
  <c r="AW11" i="12"/>
  <c r="DO16" i="12"/>
  <c r="AW27" i="12"/>
  <c r="AD17" i="12"/>
  <c r="H15" i="12"/>
  <c r="DZ24" i="12"/>
  <c r="CN17" i="12"/>
  <c r="D10" i="12"/>
  <c r="AC29" i="12"/>
  <c r="X12" i="12"/>
  <c r="CK22" i="12"/>
  <c r="AV29" i="12"/>
  <c r="DT19" i="12"/>
  <c r="DE30" i="12"/>
  <c r="CJ13" i="12"/>
  <c r="G26" i="12"/>
  <c r="CA19" i="12"/>
  <c r="ES18" i="12"/>
  <c r="DC18" i="12"/>
  <c r="BQ26" i="12"/>
  <c r="V21" i="12"/>
  <c r="CY30" i="12"/>
  <c r="CZ27" i="12"/>
  <c r="BJ20" i="12"/>
  <c r="AK10" i="12"/>
  <c r="AN11" i="12"/>
  <c r="BW24" i="12"/>
  <c r="BC23" i="12"/>
  <c r="AN13" i="12"/>
  <c r="BD14" i="12"/>
  <c r="AE25" i="12"/>
  <c r="BP29" i="12"/>
  <c r="J19" i="12"/>
  <c r="CT27" i="12"/>
  <c r="DI28" i="12"/>
  <c r="BC12" i="12"/>
  <c r="GU12" i="12"/>
  <c r="DZ16" i="12"/>
  <c r="AM25" i="12"/>
  <c r="W16" i="12"/>
  <c r="DX28" i="12"/>
  <c r="R30" i="12"/>
  <c r="BU26" i="12"/>
  <c r="BX23" i="12"/>
  <c r="DO21" i="12"/>
  <c r="BI27" i="12"/>
  <c r="CM18" i="12"/>
  <c r="AZ21" i="12"/>
  <c r="EK15" i="12"/>
  <c r="AE10" i="12"/>
  <c r="K27" i="12"/>
  <c r="DX22" i="12"/>
  <c r="DG23" i="12"/>
  <c r="DE24" i="12"/>
  <c r="DF26" i="12"/>
  <c r="CU23" i="12"/>
  <c r="CZ18" i="12"/>
  <c r="S10" i="12"/>
  <c r="EE22" i="12"/>
  <c r="AY14" i="12"/>
  <c r="EM12" i="12"/>
  <c r="AE24" i="12"/>
  <c r="CC17" i="12"/>
  <c r="DA26" i="12"/>
  <c r="DT21" i="12"/>
  <c r="BO10" i="12"/>
  <c r="CF17" i="12"/>
  <c r="BM10" i="12"/>
  <c r="BY27" i="12"/>
  <c r="EL14" i="12"/>
  <c r="Z11" i="12"/>
  <c r="AI29" i="12"/>
  <c r="AR28" i="12"/>
  <c r="CR16" i="12"/>
  <c r="EU12" i="12"/>
  <c r="BU22" i="12"/>
  <c r="AA27" i="12"/>
  <c r="CE18" i="12"/>
  <c r="AG25" i="12"/>
  <c r="CB20" i="12"/>
  <c r="CN15" i="12"/>
  <c r="H28" i="12"/>
  <c r="CE26" i="12"/>
  <c r="CO18" i="12"/>
  <c r="BD26" i="12"/>
  <c r="BK12" i="12"/>
  <c r="CQ13" i="12"/>
  <c r="CJ30" i="12"/>
  <c r="AP26" i="12"/>
  <c r="DZ29" i="12"/>
  <c r="CL21" i="12"/>
  <c r="BK10" i="12"/>
  <c r="EC23" i="12"/>
  <c r="G11" i="12"/>
  <c r="K29" i="12"/>
  <c r="BZ18" i="12"/>
  <c r="Q20" i="12"/>
  <c r="DS27" i="12"/>
  <c r="FH10" i="12"/>
  <c r="BV30" i="12"/>
  <c r="AT18" i="12"/>
  <c r="CT16" i="12"/>
  <c r="EO30" i="12"/>
  <c r="AD18" i="12"/>
  <c r="DA30" i="12"/>
  <c r="CG12" i="12"/>
  <c r="CT19" i="12"/>
  <c r="CX29" i="12"/>
  <c r="DM15" i="12"/>
  <c r="CI13" i="12"/>
  <c r="EH23" i="12"/>
  <c r="FH18" i="12"/>
  <c r="DL15" i="12"/>
  <c r="T25" i="12"/>
  <c r="ES13" i="12"/>
  <c r="AV22" i="12"/>
  <c r="BH16" i="12"/>
  <c r="GU15" i="12"/>
  <c r="AS24" i="12"/>
  <c r="DC29" i="12"/>
  <c r="CR14" i="12"/>
  <c r="CQ16" i="12"/>
  <c r="DG13" i="12"/>
  <c r="CZ11" i="12"/>
  <c r="AR23" i="12"/>
  <c r="EH25" i="12"/>
  <c r="AD19" i="12"/>
  <c r="BE16" i="12"/>
  <c r="EK25" i="12"/>
  <c r="EM30" i="12"/>
  <c r="BB23" i="12"/>
  <c r="DZ27" i="12"/>
  <c r="AZ30" i="12"/>
  <c r="U10" i="12"/>
  <c r="CI24" i="12"/>
  <c r="EC19" i="12"/>
  <c r="BJ22" i="12"/>
  <c r="AT26" i="12"/>
  <c r="BW26" i="12"/>
  <c r="BN23" i="12"/>
  <c r="DN14" i="12"/>
  <c r="DX17" i="12"/>
  <c r="EQ20" i="12"/>
  <c r="CX15" i="12"/>
  <c r="G28" i="12"/>
  <c r="E15" i="12"/>
  <c r="V26" i="12"/>
  <c r="AY25" i="12"/>
  <c r="BQ20" i="12"/>
  <c r="M22" i="12"/>
  <c r="AM12" i="12"/>
  <c r="R22" i="12"/>
  <c r="BP30" i="12"/>
  <c r="W26" i="12"/>
  <c r="CF13" i="12"/>
  <c r="BS21" i="12"/>
  <c r="BE14" i="12"/>
  <c r="BF29" i="12"/>
  <c r="CF20" i="12"/>
  <c r="CM22" i="12"/>
  <c r="BR24" i="12"/>
  <c r="CX17" i="12"/>
  <c r="DM18" i="12"/>
  <c r="CA14" i="12"/>
  <c r="CJ26" i="12"/>
  <c r="CP18" i="12"/>
  <c r="BQ29" i="12"/>
  <c r="BO11" i="12"/>
  <c r="K13" i="12"/>
  <c r="DM28" i="12"/>
  <c r="AI19" i="12"/>
  <c r="BJ11" i="12"/>
  <c r="CD11" i="12"/>
  <c r="BF21" i="12"/>
  <c r="S12" i="12"/>
  <c r="CO28" i="12"/>
  <c r="EL22" i="12"/>
  <c r="J17" i="12"/>
  <c r="EJ25" i="12"/>
  <c r="E16" i="12"/>
  <c r="EI21" i="12"/>
  <c r="AR19" i="12"/>
  <c r="DR23" i="12"/>
  <c r="DB15" i="12"/>
  <c r="ET23" i="12"/>
  <c r="CP22" i="12"/>
  <c r="K30" i="12"/>
  <c r="EM15" i="12"/>
  <c r="J21" i="12"/>
  <c r="X21" i="12"/>
  <c r="AD21" i="12"/>
  <c r="FH12" i="12"/>
  <c r="H12" i="12"/>
  <c r="DW11" i="12"/>
  <c r="EC15" i="12"/>
  <c r="DA25" i="12"/>
  <c r="AS14" i="12"/>
  <c r="CA15" i="12"/>
  <c r="D17" i="12"/>
  <c r="BM11" i="12"/>
  <c r="EN21" i="12"/>
  <c r="BE20" i="12"/>
  <c r="CF21" i="12"/>
  <c r="BJ14" i="12"/>
  <c r="BM16" i="12"/>
  <c r="CV20" i="12"/>
  <c r="AY15" i="12"/>
  <c r="DU14" i="12"/>
  <c r="F14" i="12"/>
  <c r="EP21" i="12"/>
  <c r="AA20" i="12"/>
  <c r="AZ19" i="12"/>
  <c r="DW14" i="12"/>
  <c r="ER22" i="12"/>
  <c r="CK15" i="12"/>
  <c r="ED27" i="12"/>
  <c r="CR15" i="12"/>
  <c r="DN13" i="12"/>
  <c r="AE23" i="12"/>
  <c r="CS24" i="12"/>
  <c r="ED17" i="12"/>
  <c r="EP23" i="12"/>
  <c r="Q24" i="12"/>
  <c r="DB19" i="12"/>
  <c r="BT13" i="12"/>
  <c r="EK17" i="12"/>
  <c r="F12" i="12"/>
  <c r="CZ30" i="12"/>
  <c r="CE25" i="12"/>
  <c r="BB13" i="12"/>
  <c r="EF19" i="12"/>
  <c r="S22" i="12"/>
  <c r="CP28" i="12"/>
  <c r="BC11" i="12"/>
  <c r="EA10" i="12"/>
  <c r="DF25" i="12"/>
  <c r="N26" i="12"/>
  <c r="AX24" i="12"/>
  <c r="DA22" i="12"/>
  <c r="DV21" i="12"/>
  <c r="DU12" i="12"/>
  <c r="AK27" i="12"/>
  <c r="CK11" i="12"/>
  <c r="H27" i="12"/>
  <c r="AZ10" i="12"/>
  <c r="AY13" i="12"/>
  <c r="EP18" i="12"/>
  <c r="AQ11" i="12"/>
  <c r="EP10" i="12"/>
  <c r="X17" i="12"/>
  <c r="DV19" i="12"/>
  <c r="CN18" i="12"/>
  <c r="Q25" i="12"/>
  <c r="CQ10" i="12"/>
  <c r="EU27" i="12"/>
  <c r="BB21" i="12"/>
  <c r="EO14" i="12"/>
  <c r="AD11" i="12"/>
  <c r="BB25" i="12"/>
  <c r="CW21" i="12"/>
  <c r="DY13" i="12"/>
  <c r="AT15" i="12"/>
  <c r="CD19" i="12"/>
  <c r="BC20" i="12"/>
  <c r="BE28" i="12"/>
  <c r="W12" i="12"/>
  <c r="AV30" i="12"/>
  <c r="CN10" i="12"/>
  <c r="DP17" i="12"/>
  <c r="DR30" i="12"/>
  <c r="O25" i="12"/>
  <c r="BE10" i="12"/>
  <c r="DX30" i="12"/>
  <c r="M20" i="12"/>
  <c r="AU21" i="12"/>
  <c r="AD10" i="12"/>
  <c r="U28" i="12"/>
  <c r="CG23" i="12"/>
  <c r="DR19" i="12"/>
  <c r="AX22" i="12"/>
  <c r="Q26" i="12"/>
  <c r="BC25" i="12"/>
  <c r="CF23" i="12"/>
  <c r="AK15" i="12"/>
  <c r="CU14" i="12"/>
  <c r="AH20" i="12"/>
  <c r="EJ10" i="12"/>
  <c r="P16" i="12"/>
  <c r="AU13" i="12"/>
  <c r="DH15" i="12"/>
  <c r="DW30" i="12"/>
  <c r="Y22" i="12"/>
  <c r="AF23" i="12"/>
  <c r="BG29" i="12"/>
  <c r="BV11" i="12"/>
  <c r="DF10" i="12"/>
  <c r="CY25" i="12"/>
  <c r="DK22" i="12"/>
  <c r="BI26" i="12"/>
  <c r="EQ25" i="12"/>
  <c r="BZ12" i="12"/>
  <c r="O11" i="12"/>
  <c r="EC26" i="12"/>
  <c r="DX14" i="12"/>
  <c r="DG15" i="12"/>
  <c r="EE15" i="12"/>
  <c r="BB27" i="12"/>
  <c r="CG11" i="12"/>
  <c r="BV20" i="12"/>
  <c r="DW24" i="12"/>
  <c r="CC13" i="12"/>
  <c r="O12" i="12"/>
  <c r="EF28" i="12"/>
  <c r="CK27" i="12"/>
  <c r="DK28" i="12"/>
  <c r="EE27" i="12"/>
  <c r="CY11" i="12"/>
  <c r="T16" i="12"/>
  <c r="BM28" i="12"/>
  <c r="AG26" i="12"/>
  <c r="CC23" i="12"/>
  <c r="F23" i="12"/>
  <c r="T19" i="12"/>
  <c r="DR21" i="12"/>
  <c r="AN30" i="12"/>
  <c r="DF15" i="12"/>
  <c r="BC27" i="12"/>
  <c r="W14" i="12"/>
  <c r="AO27" i="12"/>
  <c r="L26" i="12"/>
  <c r="Q13" i="12"/>
  <c r="EC16" i="12"/>
  <c r="CG15" i="12"/>
  <c r="EU21" i="12"/>
  <c r="FH16" i="12"/>
  <c r="EG12" i="12"/>
  <c r="BP17" i="12"/>
  <c r="EL25" i="12"/>
  <c r="L17" i="12"/>
  <c r="L21" i="12"/>
  <c r="ED28" i="12"/>
  <c r="AK13" i="12"/>
  <c r="I13" i="12"/>
  <c r="CV10" i="12"/>
  <c r="BZ17" i="12"/>
  <c r="BX10" i="12"/>
  <c r="CV24" i="12"/>
  <c r="Y19" i="12"/>
  <c r="K23" i="12"/>
  <c r="EE14" i="12"/>
  <c r="F21" i="12"/>
  <c r="G30" i="12"/>
  <c r="AE14" i="12"/>
  <c r="AY20" i="12"/>
  <c r="CY19" i="12"/>
  <c r="BU21" i="12"/>
  <c r="CH21" i="12"/>
  <c r="EO22" i="12"/>
  <c r="CB24" i="12"/>
  <c r="AV20" i="12"/>
  <c r="DD11" i="12"/>
  <c r="CA24" i="12"/>
  <c r="AG18" i="12"/>
  <c r="BV29" i="12"/>
  <c r="BD21" i="12"/>
  <c r="BW29" i="12"/>
  <c r="BG11" i="12"/>
  <c r="BR11" i="12"/>
  <c r="S17" i="12"/>
  <c r="CL16" i="12"/>
  <c r="G10" i="12"/>
  <c r="ET27" i="12"/>
  <c r="AT22" i="12"/>
  <c r="DV26" i="12"/>
  <c r="AR17" i="12"/>
  <c r="AK30" i="12"/>
  <c r="ED26" i="12"/>
  <c r="BP26" i="12"/>
  <c r="AH17" i="12"/>
  <c r="AE28" i="12"/>
  <c r="CY22" i="12"/>
  <c r="CN12" i="12"/>
  <c r="EQ13" i="12"/>
  <c r="DV30" i="12"/>
  <c r="BQ18" i="12"/>
  <c r="CK20" i="12"/>
  <c r="DU20" i="12"/>
  <c r="CB12" i="12"/>
  <c r="DE20" i="12"/>
  <c r="GU13" i="12"/>
  <c r="DB24" i="12"/>
  <c r="EC27" i="12"/>
  <c r="DX29" i="12"/>
  <c r="BC24" i="12"/>
  <c r="AI20" i="12"/>
  <c r="EU18" i="12"/>
  <c r="EP12" i="12"/>
  <c r="DZ18" i="12"/>
  <c r="EM18" i="12"/>
  <c r="CX19" i="12"/>
  <c r="BT17" i="12"/>
  <c r="T22" i="12"/>
  <c r="EA20" i="12"/>
  <c r="BR14" i="12"/>
  <c r="CR18" i="12"/>
  <c r="BI13" i="12"/>
  <c r="CT11" i="12"/>
  <c r="EN15" i="12"/>
  <c r="E18" i="12"/>
  <c r="AK14" i="12"/>
  <c r="EP17" i="12"/>
  <c r="AP16" i="12"/>
  <c r="CS22" i="12"/>
  <c r="AU23" i="12"/>
  <c r="DV14" i="12"/>
  <c r="AA26" i="12"/>
  <c r="AD13" i="12"/>
  <c r="EJ29" i="12"/>
  <c r="DU28" i="12"/>
  <c r="DU27" i="12"/>
  <c r="DW18" i="12"/>
  <c r="EN16" i="12"/>
  <c r="DK19" i="12"/>
  <c r="AL15" i="12"/>
  <c r="CS17" i="12"/>
  <c r="BX29" i="12"/>
  <c r="CK16" i="12"/>
  <c r="P13" i="12"/>
  <c r="BR20" i="12"/>
  <c r="AO14" i="12"/>
  <c r="AX13" i="12"/>
  <c r="I12" i="12"/>
  <c r="H24" i="12"/>
  <c r="AE30" i="12"/>
  <c r="AG13" i="12"/>
  <c r="T26" i="12"/>
  <c r="BZ22" i="12"/>
  <c r="H23" i="12"/>
  <c r="BP14" i="12"/>
  <c r="DT28" i="12"/>
  <c r="CU18" i="12"/>
  <c r="CA12" i="12"/>
  <c r="ED14" i="12"/>
  <c r="CT28" i="12"/>
  <c r="BC18" i="12"/>
  <c r="DQ29" i="12"/>
  <c r="BT24" i="12"/>
  <c r="BN25" i="12"/>
  <c r="EL30" i="12"/>
  <c r="BG18" i="12"/>
  <c r="DT29" i="12"/>
  <c r="AC20" i="12"/>
  <c r="CC16" i="12"/>
  <c r="BF24" i="12"/>
  <c r="BP10" i="12"/>
  <c r="EU28" i="12"/>
  <c r="DD25" i="12"/>
  <c r="M25" i="12"/>
  <c r="DM19" i="12"/>
  <c r="BW28" i="12"/>
  <c r="EP24" i="12"/>
  <c r="J27" i="12"/>
  <c r="CV13" i="12"/>
  <c r="DD21" i="12"/>
  <c r="DI29" i="12"/>
  <c r="FH25" i="12"/>
  <c r="BS19" i="12"/>
  <c r="BI19" i="12"/>
  <c r="BB17" i="12"/>
  <c r="DK13" i="12"/>
  <c r="DF20" i="12"/>
  <c r="GU22" i="12"/>
  <c r="BP18" i="12"/>
  <c r="EK30" i="12"/>
  <c r="EG25" i="12"/>
  <c r="CO29" i="12"/>
  <c r="CN19" i="12"/>
  <c r="AR18" i="12"/>
  <c r="DI20" i="12"/>
  <c r="AQ28" i="12"/>
  <c r="DC10" i="12"/>
  <c r="DN19" i="12"/>
  <c r="EU29" i="12"/>
  <c r="F19" i="12"/>
  <c r="Y23" i="12"/>
  <c r="DG20" i="12"/>
  <c r="CD20" i="12"/>
  <c r="GU25" i="12"/>
  <c r="EQ14" i="12"/>
  <c r="BY26" i="12"/>
  <c r="I22" i="12"/>
  <c r="AL26" i="12"/>
  <c r="S26" i="12"/>
  <c r="CD24" i="12"/>
  <c r="BF27" i="12"/>
  <c r="CQ18" i="12"/>
  <c r="EI10" i="12"/>
  <c r="U21" i="12"/>
  <c r="CN21" i="12"/>
  <c r="BS18" i="12"/>
  <c r="CQ20" i="12"/>
  <c r="F18" i="12"/>
  <c r="DK16" i="12"/>
  <c r="DQ27" i="12"/>
  <c r="FH23" i="12"/>
  <c r="DG12" i="12"/>
  <c r="BS12" i="12"/>
  <c r="AE21" i="12"/>
  <c r="BL30" i="12"/>
  <c r="ER13" i="12"/>
  <c r="DT14" i="12"/>
  <c r="BR18" i="12"/>
  <c r="CE12" i="12"/>
  <c r="AS18" i="12"/>
  <c r="AD22" i="12"/>
  <c r="AA14" i="12"/>
  <c r="AI25" i="12"/>
  <c r="AQ15" i="12"/>
  <c r="ET26" i="12"/>
  <c r="AB13" i="12"/>
  <c r="CQ25" i="12"/>
  <c r="AI17" i="12"/>
  <c r="CY12" i="12"/>
  <c r="BO14" i="12"/>
  <c r="DH23" i="12"/>
  <c r="Q16" i="12"/>
  <c r="FH11" i="12"/>
  <c r="L16" i="12"/>
  <c r="CG22" i="12"/>
  <c r="F16" i="12"/>
  <c r="AW25" i="12"/>
  <c r="CW18" i="12"/>
  <c r="V25" i="12"/>
  <c r="BX20" i="12"/>
  <c r="W17" i="12"/>
  <c r="U17" i="12"/>
  <c r="P28" i="12"/>
  <c r="EA22" i="12"/>
  <c r="BS23" i="12"/>
  <c r="AP25" i="12"/>
  <c r="CK14" i="12"/>
  <c r="BT11" i="12"/>
  <c r="DB20" i="12"/>
  <c r="CI25" i="12"/>
  <c r="CI26" i="12"/>
  <c r="BF22" i="12"/>
  <c r="F10" i="12"/>
  <c r="BV14" i="12"/>
  <c r="ES25" i="12"/>
  <c r="U27" i="12"/>
  <c r="CA30" i="12"/>
  <c r="CU26" i="12"/>
  <c r="CI10" i="12"/>
  <c r="BB11" i="12"/>
  <c r="DK27" i="12"/>
  <c r="BJ21" i="12"/>
  <c r="CI27" i="12"/>
  <c r="AT16" i="12"/>
  <c r="CZ19" i="12"/>
  <c r="X26" i="12"/>
  <c r="EU24" i="12"/>
  <c r="BK27" i="12"/>
  <c r="AG11" i="12"/>
  <c r="I26" i="12"/>
  <c r="CY26" i="12"/>
  <c r="CJ28" i="12"/>
  <c r="DZ26" i="12"/>
  <c r="BA24" i="12"/>
  <c r="DK14" i="12"/>
  <c r="DJ10" i="12"/>
  <c r="BQ17" i="12"/>
  <c r="BX24" i="12"/>
  <c r="BL28" i="12"/>
  <c r="DA10" i="12"/>
  <c r="X13" i="12"/>
  <c r="EQ26" i="12"/>
  <c r="CX25" i="12"/>
  <c r="BD11" i="12"/>
  <c r="AK22" i="12"/>
  <c r="BB15" i="12"/>
  <c r="DV28" i="12"/>
  <c r="DB28" i="12"/>
  <c r="DR16" i="12"/>
  <c r="CG21" i="12"/>
  <c r="E27" i="12"/>
  <c r="D30" i="12"/>
  <c r="ET22" i="12"/>
  <c r="P12" i="12"/>
  <c r="E30" i="12"/>
  <c r="CO13" i="12"/>
  <c r="AF11" i="12"/>
  <c r="CD26" i="12"/>
  <c r="AY16" i="12"/>
  <c r="DR15" i="12"/>
  <c r="CZ25" i="12"/>
  <c r="CM23" i="12"/>
  <c r="BL22" i="12"/>
  <c r="DJ18" i="12"/>
  <c r="DW17" i="12"/>
  <c r="AJ24" i="12"/>
  <c r="O21" i="12"/>
  <c r="FH27" i="12"/>
  <c r="AX30" i="12"/>
  <c r="CH15" i="12"/>
  <c r="EI27" i="12"/>
  <c r="EJ11" i="12"/>
  <c r="AX11" i="12"/>
  <c r="EL16" i="12"/>
  <c r="CT26" i="12"/>
  <c r="DX26" i="12"/>
  <c r="DY23" i="12"/>
  <c r="BA29" i="12"/>
  <c r="ES11" i="12"/>
  <c r="CR30" i="12"/>
  <c r="AW28" i="12"/>
  <c r="CR11" i="12"/>
  <c r="EE12" i="12"/>
  <c r="BM27" i="12"/>
  <c r="BL24" i="12"/>
  <c r="CA10" i="12"/>
  <c r="M12" i="12"/>
  <c r="AN21" i="12"/>
  <c r="Y25" i="12"/>
  <c r="P30" i="12"/>
  <c r="AC30" i="12"/>
  <c r="CZ24" i="12"/>
  <c r="BK26" i="12"/>
  <c r="DM10" i="12"/>
  <c r="CL30" i="12"/>
  <c r="AD16" i="12"/>
  <c r="CU12" i="12"/>
  <c r="EN26" i="12"/>
  <c r="EM23" i="12"/>
  <c r="E22" i="12"/>
  <c r="AX19" i="12"/>
  <c r="CY10" i="12"/>
  <c r="EF14" i="12"/>
  <c r="DM11" i="12"/>
  <c r="BO30" i="12"/>
  <c r="AT21" i="12"/>
  <c r="BS30" i="12"/>
  <c r="AJ22" i="12"/>
  <c r="CA25" i="12"/>
  <c r="EL29" i="12"/>
  <c r="DC26" i="12"/>
  <c r="CW16" i="12"/>
  <c r="BR10" i="12"/>
  <c r="CA13" i="12"/>
  <c r="CA22" i="12"/>
  <c r="EI18" i="12"/>
  <c r="BI12" i="12"/>
  <c r="R10" i="12"/>
  <c r="CU25" i="12"/>
  <c r="DD26" i="12"/>
  <c r="CD14" i="12"/>
  <c r="AP27" i="12"/>
  <c r="AC26" i="12"/>
  <c r="Z26" i="12"/>
  <c r="DZ23" i="12"/>
  <c r="EB18" i="12"/>
  <c r="M13" i="12"/>
  <c r="AG19" i="12"/>
  <c r="EC13" i="12"/>
  <c r="AR20" i="12"/>
  <c r="AC10" i="12"/>
  <c r="GU11" i="12"/>
  <c r="EU25" i="12"/>
  <c r="AN17" i="12"/>
  <c r="ED24" i="12"/>
  <c r="BY21" i="12"/>
  <c r="BU13" i="12"/>
  <c r="DA29" i="12"/>
  <c r="J13" i="12"/>
  <c r="CU15" i="12"/>
  <c r="AM27" i="12"/>
  <c r="BY17" i="12"/>
  <c r="AN29" i="12"/>
  <c r="F15" i="12"/>
  <c r="V23" i="12"/>
  <c r="AP10" i="12"/>
  <c r="DL25" i="12"/>
  <c r="AZ25" i="12"/>
  <c r="CO25" i="12"/>
  <c r="AO13" i="12"/>
  <c r="BO24" i="12"/>
  <c r="DY11" i="12"/>
  <c r="DC30" i="12"/>
  <c r="L20" i="12"/>
  <c r="ED16" i="12"/>
  <c r="BH25" i="12"/>
  <c r="Z27" i="12"/>
  <c r="BA20" i="12"/>
  <c r="DX13" i="12"/>
  <c r="AG24" i="12"/>
  <c r="FH29" i="12"/>
  <c r="DS30" i="12"/>
  <c r="CF22" i="12"/>
  <c r="O23" i="12"/>
  <c r="DY18" i="12"/>
  <c r="BV10" i="12"/>
  <c r="DF14" i="12"/>
  <c r="EA29" i="12"/>
  <c r="EC17" i="12"/>
  <c r="BD10" i="12"/>
  <c r="BG24" i="12"/>
  <c r="K20" i="12"/>
  <c r="V12" i="12"/>
  <c r="AB16" i="12"/>
  <c r="ED25" i="12"/>
  <c r="AU24" i="12"/>
  <c r="H18" i="12"/>
  <c r="CL27" i="12"/>
  <c r="AW16" i="12"/>
  <c r="U18" i="12"/>
  <c r="CR26" i="12"/>
  <c r="W19" i="12"/>
  <c r="BO17" i="12"/>
  <c r="DB10" i="12"/>
  <c r="AI26" i="12"/>
  <c r="Z24" i="12"/>
  <c r="AQ19" i="12"/>
  <c r="N24" i="12"/>
  <c r="BR28" i="12"/>
  <c r="DO12" i="12"/>
  <c r="EB27" i="12"/>
  <c r="CU13" i="12"/>
  <c r="BZ11" i="12"/>
  <c r="K19" i="12"/>
  <c r="EH29" i="12"/>
  <c r="AD15" i="12"/>
  <c r="CF29" i="12"/>
  <c r="CJ12" i="12"/>
  <c r="EJ15" i="12"/>
  <c r="CP29" i="12"/>
  <c r="CS21" i="12"/>
  <c r="AL11" i="12"/>
  <c r="EB17" i="12"/>
  <c r="AA12" i="12"/>
  <c r="CN16" i="12"/>
  <c r="J12" i="12"/>
  <c r="CM26" i="12"/>
  <c r="AW23" i="12"/>
  <c r="CH10" i="12"/>
  <c r="EB29" i="12"/>
  <c r="CO24" i="12"/>
  <c r="DK23" i="12"/>
  <c r="DQ10" i="12"/>
  <c r="CS23" i="12"/>
  <c r="AT10" i="12"/>
  <c r="DO25" i="12"/>
  <c r="DJ22" i="12"/>
  <c r="H17" i="12"/>
  <c r="CO11" i="12"/>
  <c r="DE22" i="12"/>
  <c r="CW10" i="12"/>
  <c r="CM13" i="12"/>
  <c r="EA27" i="12"/>
  <c r="AM14" i="12"/>
  <c r="EC14" i="12"/>
  <c r="G27" i="12"/>
  <c r="EL18" i="12"/>
  <c r="CJ24" i="12"/>
  <c r="BX19" i="12"/>
  <c r="Y20" i="12"/>
  <c r="R26" i="12"/>
  <c r="CQ24" i="12"/>
  <c r="DV11" i="12"/>
  <c r="BW21" i="12"/>
  <c r="DP18" i="12"/>
  <c r="DS21" i="12"/>
  <c r="AZ16" i="12"/>
  <c r="BP22" i="12"/>
  <c r="EO16" i="12"/>
  <c r="EE17" i="12"/>
  <c r="V28" i="12"/>
  <c r="DO18" i="12"/>
  <c r="BK19" i="12"/>
  <c r="BU23" i="12"/>
  <c r="CW13" i="12"/>
  <c r="DM21" i="12"/>
  <c r="DO30" i="12"/>
  <c r="FH24" i="12"/>
  <c r="CS15" i="12"/>
  <c r="AP15" i="12"/>
  <c r="BC13" i="12"/>
  <c r="BO29" i="12"/>
  <c r="EG14" i="12"/>
  <c r="DG21" i="12"/>
  <c r="DI30" i="12"/>
  <c r="BC26" i="12"/>
  <c r="BR19" i="12"/>
  <c r="BU20" i="12"/>
  <c r="CS27" i="12"/>
  <c r="EP29" i="12"/>
  <c r="DP20" i="12"/>
  <c r="CU24" i="12"/>
  <c r="BN17" i="12"/>
  <c r="L28" i="12"/>
  <c r="BB24" i="12"/>
  <c r="BG30" i="12"/>
  <c r="AY28" i="12"/>
  <c r="EN23" i="12"/>
  <c r="CR20" i="12"/>
  <c r="D21" i="12"/>
  <c r="AD25" i="12"/>
  <c r="DK12" i="12"/>
  <c r="DT22" i="12"/>
  <c r="EA14" i="12"/>
  <c r="DT13" i="12"/>
  <c r="Z30" i="12"/>
  <c r="L29" i="12"/>
  <c r="EU16" i="12"/>
  <c r="CD17" i="12"/>
  <c r="DL10" i="12"/>
  <c r="AL16" i="12"/>
  <c r="DK18" i="12"/>
  <c r="EH24" i="12"/>
  <c r="CO17" i="12"/>
  <c r="DQ24" i="12"/>
  <c r="AJ20" i="12"/>
  <c r="DS16" i="12"/>
  <c r="ES17" i="12"/>
  <c r="BL15" i="12"/>
  <c r="DQ22" i="12"/>
  <c r="I24" i="12"/>
  <c r="AI28" i="12"/>
  <c r="EL21" i="12"/>
  <c r="EU23" i="12"/>
  <c r="AH28" i="12"/>
  <c r="BZ16" i="12"/>
  <c r="CO21" i="12"/>
  <c r="BB20" i="12"/>
  <c r="BJ26" i="12"/>
  <c r="DD20" i="12"/>
  <c r="EC11" i="12"/>
  <c r="V17" i="12"/>
  <c r="AJ16" i="12"/>
  <c r="T12" i="12"/>
  <c r="CK29" i="12"/>
  <c r="DH29" i="12"/>
  <c r="EA24" i="12"/>
  <c r="BY30" i="12"/>
  <c r="CC10" i="12"/>
  <c r="BW20" i="12"/>
  <c r="DN22" i="12"/>
  <c r="X29" i="12"/>
  <c r="DE11" i="12"/>
  <c r="DC21" i="12"/>
  <c r="CC22" i="12"/>
  <c r="DN25" i="12"/>
  <c r="BA11" i="12"/>
  <c r="CL26" i="12"/>
  <c r="CV26" i="12"/>
  <c r="EO23" i="12"/>
  <c r="CL23" i="12"/>
  <c r="BP11" i="12"/>
  <c r="BD16" i="12"/>
  <c r="N23" i="12"/>
  <c r="DW23" i="12"/>
  <c r="I18" i="12"/>
  <c r="AZ26" i="12"/>
  <c r="CS29" i="12"/>
  <c r="DH12" i="12"/>
  <c r="CD22" i="12"/>
  <c r="AA18" i="12"/>
  <c r="AF30" i="12"/>
  <c r="EL28" i="12"/>
  <c r="BP16" i="12"/>
  <c r="DJ19" i="12"/>
  <c r="DM30" i="12"/>
  <c r="Y17" i="12"/>
  <c r="AZ17" i="12"/>
  <c r="DL13" i="12"/>
  <c r="AG15" i="12"/>
  <c r="DM26" i="12"/>
  <c r="DU19" i="12"/>
  <c r="DQ18" i="12"/>
  <c r="AL23" i="12"/>
  <c r="DY29" i="12"/>
  <c r="DH18" i="12"/>
  <c r="BD22" i="12"/>
  <c r="O20" i="12"/>
  <c r="H19" i="12"/>
  <c r="DF27" i="12"/>
  <c r="H13" i="12"/>
  <c r="AL14" i="12"/>
  <c r="EQ21" i="12"/>
  <c r="AO20" i="12"/>
  <c r="CA20" i="12"/>
  <c r="CF24" i="12"/>
  <c r="EI15" i="12"/>
  <c r="U11" i="12"/>
  <c r="Q10" i="12"/>
  <c r="BH12" i="12"/>
  <c r="BW27" i="12"/>
  <c r="CD16" i="12"/>
  <c r="DD24" i="12"/>
  <c r="CP27" i="12"/>
  <c r="W22" i="12"/>
  <c r="DW22" i="12"/>
  <c r="BA14" i="12"/>
  <c r="Z21" i="12"/>
  <c r="ER21" i="12"/>
  <c r="AN24" i="12"/>
  <c r="CB17" i="12"/>
  <c r="CW29" i="12"/>
  <c r="G15" i="12"/>
  <c r="DC22" i="12"/>
  <c r="EA16" i="12"/>
  <c r="AL29" i="12"/>
  <c r="EE10" i="12"/>
  <c r="U24" i="12"/>
  <c r="BJ19" i="12"/>
  <c r="DK29" i="12"/>
  <c r="CK19" i="12"/>
  <c r="EG18" i="12"/>
  <c r="AE12" i="12"/>
  <c r="BI21" i="12"/>
  <c r="BD12" i="12"/>
  <c r="CT24" i="12"/>
  <c r="GU19" i="12"/>
  <c r="BS11" i="12"/>
  <c r="BX14" i="12"/>
  <c r="AF28" i="12"/>
  <c r="P10" i="12"/>
  <c r="G21" i="12"/>
  <c r="BP27" i="12"/>
  <c r="ET16" i="12"/>
  <c r="N12" i="12"/>
  <c r="S30" i="12"/>
  <c r="BJ25" i="12"/>
  <c r="CT15" i="12"/>
  <c r="AT19" i="12"/>
  <c r="CR10" i="12"/>
  <c r="EG24" i="12"/>
  <c r="AA15" i="12"/>
  <c r="AZ28" i="12"/>
  <c r="AD23" i="12"/>
  <c r="DV12" i="12"/>
  <c r="BH23" i="12"/>
  <c r="CO12" i="12"/>
  <c r="S28" i="12"/>
  <c r="BT27" i="12"/>
  <c r="AU30" i="12"/>
  <c r="AU20" i="12"/>
  <c r="EA11" i="12"/>
  <c r="X27" i="12"/>
  <c r="CU21" i="12"/>
  <c r="EG28" i="12"/>
  <c r="AM16" i="12"/>
  <c r="BT23" i="12"/>
  <c r="BN20" i="12"/>
  <c r="DB16" i="12"/>
  <c r="BI25" i="12"/>
  <c r="G20" i="12"/>
  <c r="AL10" i="12"/>
  <c r="EM17" i="12"/>
  <c r="EK21" i="12"/>
  <c r="DP12" i="12"/>
  <c r="CL22" i="12"/>
  <c r="AH11" i="12"/>
  <c r="V18" i="12"/>
  <c r="AO22" i="12"/>
  <c r="BG21" i="12"/>
  <c r="EQ22" i="12"/>
  <c r="AO23" i="12"/>
  <c r="AC23" i="12"/>
  <c r="V22" i="12"/>
  <c r="AB28" i="12"/>
  <c r="EC20" i="12"/>
  <c r="DD16" i="12"/>
  <c r="EA28" i="12"/>
  <c r="BT20" i="12"/>
  <c r="CM14" i="12"/>
  <c r="CL14" i="12"/>
  <c r="AR26" i="12"/>
  <c r="BJ13" i="12"/>
  <c r="DF12" i="12"/>
  <c r="BW25" i="12"/>
  <c r="BD25" i="12"/>
  <c r="S27" i="12"/>
  <c r="DE21" i="12"/>
  <c r="CM16" i="12"/>
  <c r="DA24" i="12"/>
  <c r="S20" i="12"/>
  <c r="EE30" i="12"/>
  <c r="DG27" i="12"/>
  <c r="CJ10" i="12"/>
  <c r="CX16" i="12"/>
  <c r="AQ24" i="12"/>
  <c r="CL29" i="12"/>
  <c r="DS24" i="12"/>
  <c r="AY10" i="12"/>
  <c r="DU23" i="12"/>
  <c r="AA22" i="12"/>
  <c r="AC19" i="12"/>
  <c r="K18" i="12"/>
  <c r="BU30" i="12"/>
  <c r="DY20" i="12"/>
  <c r="BN14" i="12"/>
  <c r="V10" i="12"/>
  <c r="DY10" i="12"/>
  <c r="CV29" i="12"/>
  <c r="CR12" i="12"/>
  <c r="CS25" i="12"/>
  <c r="Z18" i="12"/>
  <c r="CK18" i="12"/>
  <c r="BW16" i="12"/>
  <c r="CN22" i="12"/>
  <c r="DY15" i="12"/>
  <c r="AW22" i="12"/>
  <c r="EB10" i="12"/>
  <c r="D23" i="12"/>
  <c r="Y29" i="12"/>
  <c r="DH17" i="12"/>
  <c r="DA23" i="12"/>
  <c r="DU11" i="12"/>
  <c r="EF17" i="12"/>
  <c r="BW13" i="12"/>
  <c r="AV17" i="12"/>
  <c r="DM17" i="12"/>
  <c r="BI11" i="12"/>
  <c r="BM19" i="12"/>
  <c r="BU17" i="12"/>
  <c r="BK11" i="12"/>
  <c r="BZ10" i="12"/>
  <c r="CH16" i="12"/>
  <c r="D26" i="12"/>
  <c r="DT11" i="12"/>
  <c r="EM22" i="12"/>
  <c r="ET14" i="12"/>
  <c r="Q11" i="12"/>
  <c r="BM12" i="12"/>
  <c r="AW13" i="12"/>
  <c r="CX23" i="12"/>
  <c r="AY30" i="12"/>
  <c r="DR10" i="12"/>
  <c r="AX12" i="12"/>
  <c r="Y28" i="12"/>
  <c r="W10" i="12"/>
  <c r="EL17" i="12"/>
  <c r="BH21" i="12"/>
  <c r="EH26" i="12"/>
  <c r="CN27" i="12"/>
  <c r="O14" i="12"/>
  <c r="AX27" i="12"/>
  <c r="AA28" i="12"/>
  <c r="BW30" i="12"/>
  <c r="EP27" i="12"/>
  <c r="F11" i="12"/>
  <c r="BD17" i="12"/>
  <c r="CE17" i="12"/>
  <c r="AB12" i="12"/>
  <c r="AI22" i="12"/>
  <c r="EQ29" i="12"/>
  <c r="DG30" i="12"/>
  <c r="CL19" i="12"/>
  <c r="EF23" i="12"/>
  <c r="E26" i="12"/>
  <c r="CZ21" i="12"/>
  <c r="DA19" i="12"/>
  <c r="CK26" i="12"/>
  <c r="GU10" i="12"/>
  <c r="AX14" i="12"/>
  <c r="AV16" i="12"/>
  <c r="DR18" i="12"/>
  <c r="AM22" i="12"/>
  <c r="EN19" i="12"/>
  <c r="CF10" i="12"/>
  <c r="AB25" i="12"/>
  <c r="I20" i="12"/>
  <c r="BV27" i="12"/>
  <c r="I27" i="12"/>
  <c r="O18" i="12"/>
  <c r="DE14" i="12"/>
  <c r="DN15" i="12"/>
  <c r="DQ19" i="12"/>
  <c r="EE19" i="12"/>
  <c r="AY18" i="12"/>
  <c r="AM30" i="12"/>
  <c r="N15" i="12"/>
  <c r="U25" i="12"/>
  <c r="DV24" i="12"/>
  <c r="EG16" i="12"/>
  <c r="DB23" i="12"/>
  <c r="EL23" i="12"/>
  <c r="AP17" i="12"/>
  <c r="X18" i="12"/>
  <c r="T18" i="12"/>
  <c r="T17" i="12"/>
  <c r="CW11" i="12"/>
  <c r="BF11" i="12"/>
  <c r="AE17" i="12"/>
  <c r="AN15" i="12"/>
  <c r="CH13" i="12"/>
  <c r="G18" i="12"/>
  <c r="AW20" i="12"/>
  <c r="CZ23" i="12"/>
  <c r="G29" i="12"/>
  <c r="BG16" i="12"/>
  <c r="BD24" i="12"/>
  <c r="H11" i="12"/>
  <c r="DY17" i="12"/>
  <c r="D13" i="12"/>
  <c r="DG25" i="12"/>
  <c r="EP15" i="12"/>
  <c r="BT25" i="12"/>
  <c r="ET15" i="12"/>
  <c r="M26" i="12"/>
  <c r="DB14" i="12"/>
  <c r="AG27" i="12"/>
  <c r="CY18" i="12"/>
  <c r="DS18" i="12"/>
  <c r="EA15" i="12"/>
  <c r="AV26" i="12"/>
  <c r="EU10" i="12"/>
  <c r="CP15" i="12"/>
  <c r="BS26" i="12"/>
  <c r="G24" i="12"/>
  <c r="EE23" i="12"/>
  <c r="DW29" i="12"/>
  <c r="DT24" i="12"/>
  <c r="EN20" i="12"/>
  <c r="L18" i="12"/>
  <c r="BJ12" i="12"/>
  <c r="CO30" i="12"/>
  <c r="AL22" i="12"/>
  <c r="AU11" i="12"/>
  <c r="EL12" i="12"/>
  <c r="AN12" i="12"/>
  <c r="EB13" i="12"/>
  <c r="ET13" i="12"/>
  <c r="DM20" i="12"/>
  <c r="K22" i="12"/>
  <c r="AD20" i="12"/>
  <c r="AC11" i="12"/>
  <c r="DN27" i="12"/>
  <c r="BK14" i="12"/>
  <c r="ED18" i="12"/>
  <c r="DS10" i="12"/>
  <c r="T28" i="12"/>
  <c r="DI24" i="12"/>
  <c r="D11" i="12"/>
  <c r="EI17" i="12"/>
  <c r="X20" i="12"/>
  <c r="BH26" i="12"/>
  <c r="AB10" i="12"/>
  <c r="DA17" i="12"/>
  <c r="CC11" i="12"/>
  <c r="AU19" i="12"/>
  <c r="BD30" i="12"/>
  <c r="CW25" i="12"/>
  <c r="EF21" i="12"/>
  <c r="U20" i="12"/>
  <c r="ED21" i="12"/>
  <c r="DF30" i="12"/>
  <c r="BI20" i="12"/>
  <c r="EO25" i="12"/>
  <c r="AC25" i="12"/>
  <c r="FH17" i="12"/>
  <c r="ER20" i="12"/>
  <c r="DM16" i="12"/>
  <c r="AF14" i="12"/>
  <c r="DJ11" i="12"/>
  <c r="AB29" i="12"/>
  <c r="AB14" i="12"/>
  <c r="R15" i="12"/>
  <c r="AS13" i="12"/>
  <c r="BN30" i="12"/>
  <c r="N28" i="12"/>
  <c r="CN30" i="12"/>
  <c r="AH13" i="12"/>
  <c r="EF20" i="12"/>
  <c r="BC28" i="12"/>
  <c r="CI14" i="12"/>
  <c r="DC19" i="12"/>
  <c r="W21" i="12"/>
  <c r="DS26" i="12"/>
  <c r="DX18" i="12"/>
  <c r="DE15" i="12"/>
  <c r="T14" i="12"/>
  <c r="BA28" i="12"/>
  <c r="DQ23" i="12"/>
  <c r="DL23" i="12"/>
  <c r="BL26" i="12"/>
  <c r="CJ20" i="12"/>
  <c r="DI12" i="12"/>
  <c r="BC10" i="12"/>
  <c r="AI23" i="12"/>
  <c r="CU30" i="12"/>
  <c r="BH15" i="12"/>
  <c r="DZ30" i="12"/>
  <c r="CI30" i="12"/>
  <c r="EJ16" i="12"/>
  <c r="DQ30" i="12"/>
  <c r="Y27" i="12"/>
  <c r="BY12" i="12"/>
  <c r="EB24" i="12"/>
  <c r="ER30" i="12"/>
  <c r="BE25" i="12"/>
  <c r="DB21" i="12"/>
  <c r="AG22" i="12"/>
  <c r="X15" i="12"/>
  <c r="Q15" i="12"/>
  <c r="EJ17" i="12"/>
  <c r="EU30" i="12"/>
  <c r="AF17" i="12"/>
  <c r="EJ12" i="12"/>
  <c r="DR26" i="12"/>
  <c r="AC27" i="12"/>
  <c r="BJ17" i="12"/>
  <c r="AB23" i="12"/>
  <c r="Z29" i="12"/>
  <c r="CD10" i="12"/>
  <c r="BT14" i="12"/>
  <c r="AH21" i="12"/>
  <c r="AV11" i="12"/>
  <c r="EK19" i="12"/>
  <c r="EF11" i="12"/>
  <c r="CH19" i="12"/>
  <c r="DP13" i="12"/>
  <c r="AO10" i="12"/>
  <c r="DN17" i="12"/>
  <c r="EH17" i="12"/>
  <c r="AM13" i="12"/>
  <c r="CH20" i="12"/>
  <c r="O15" i="12"/>
  <c r="P23" i="12"/>
  <c r="K26" i="12"/>
  <c r="Z15" i="12"/>
  <c r="AF15" i="12"/>
  <c r="BB19" i="12"/>
  <c r="CH27" i="12"/>
  <c r="AB20" i="12"/>
  <c r="CJ14" i="12"/>
  <c r="CV12" i="12"/>
  <c r="EQ23" i="12"/>
  <c r="ED23" i="12"/>
  <c r="CB28" i="12"/>
  <c r="D25" i="12"/>
  <c r="CR23" i="12"/>
  <c r="EQ18" i="12"/>
  <c r="BN27" i="12"/>
  <c r="W11" i="12"/>
  <c r="DK25" i="12"/>
  <c r="J16" i="12"/>
  <c r="DK11" i="12"/>
  <c r="EM10" i="12"/>
  <c r="BG19" i="12"/>
  <c r="EL15" i="12"/>
  <c r="CL17" i="12"/>
  <c r="DF17" i="12"/>
  <c r="T13" i="12"/>
  <c r="DL26" i="12"/>
  <c r="P27" i="12"/>
  <c r="BI18" i="12"/>
  <c r="BK15" i="12"/>
  <c r="CM10" i="12"/>
  <c r="CH29" i="12"/>
  <c r="EP20" i="12"/>
  <c r="AJ18" i="12"/>
  <c r="EU17" i="12"/>
  <c r="EJ20" i="12"/>
  <c r="AQ27" i="12"/>
  <c r="EQ10" i="12"/>
  <c r="BE13" i="12"/>
  <c r="CQ19" i="12"/>
  <c r="BV13" i="12"/>
  <c r="AY26" i="12"/>
  <c r="J11" i="12"/>
  <c r="AG10" i="12"/>
  <c r="M23" i="12"/>
  <c r="AK18" i="12"/>
  <c r="EN17" i="12"/>
  <c r="EE18" i="12"/>
  <c r="CN23" i="12"/>
  <c r="EA30" i="12"/>
  <c r="EK16" i="12"/>
  <c r="DF19" i="12"/>
  <c r="CP25" i="12"/>
  <c r="AA29" i="12"/>
  <c r="AD14" i="12"/>
  <c r="DF13" i="12"/>
  <c r="AQ18" i="12"/>
  <c r="DZ19" i="12"/>
  <c r="AZ13" i="12"/>
  <c r="AE19" i="12"/>
  <c r="BA13" i="12"/>
  <c r="BT16" i="12"/>
  <c r="K11" i="12"/>
  <c r="AN16" i="12"/>
  <c r="BJ28" i="12"/>
  <c r="CQ15" i="12"/>
  <c r="BR25" i="12"/>
  <c r="P26" i="12"/>
  <c r="EI12" i="12"/>
  <c r="EQ16" i="12"/>
  <c r="CX24" i="12"/>
  <c r="AF29" i="12"/>
  <c r="CW20" i="12"/>
  <c r="BH19" i="12"/>
  <c r="CX20" i="12"/>
  <c r="R11" i="12"/>
  <c r="U12" i="12"/>
  <c r="AB19" i="12"/>
  <c r="AC16" i="12"/>
  <c r="CD13" i="12"/>
  <c r="BP23" i="12"/>
  <c r="EC12" i="12"/>
  <c r="D15" i="12"/>
  <c r="CB23" i="12"/>
  <c r="M10" i="12"/>
  <c r="DL27" i="12"/>
  <c r="BA15" i="12"/>
  <c r="R28" i="12"/>
  <c r="BP19" i="12"/>
  <c r="Y26" i="12"/>
  <c r="AG21" i="12"/>
  <c r="EB23" i="12"/>
  <c r="BT22" i="12"/>
  <c r="EK23" i="12"/>
  <c r="DU18" i="12"/>
  <c r="BD29" i="12"/>
  <c r="DC17" i="12"/>
  <c r="DB13" i="12"/>
  <c r="X22" i="12"/>
  <c r="EP19" i="12"/>
  <c r="DJ26" i="12"/>
  <c r="CJ11" i="12"/>
  <c r="DK26" i="12"/>
  <c r="ES16" i="12"/>
  <c r="BJ27" i="12"/>
  <c r="BO27" i="12"/>
  <c r="P11" i="12"/>
  <c r="F25" i="12"/>
  <c r="X11" i="12"/>
  <c r="DH28" i="12"/>
  <c r="E14" i="12"/>
  <c r="AF19" i="12"/>
  <c r="CB15" i="12"/>
  <c r="ET29" i="12"/>
  <c r="AE11" i="12"/>
  <c r="EO13" i="12"/>
  <c r="EG30" i="12"/>
  <c r="S19" i="12"/>
  <c r="M30" i="12"/>
  <c r="AB22" i="12"/>
  <c r="GU20" i="12"/>
  <c r="BZ29" i="12"/>
  <c r="DS29" i="12"/>
  <c r="EJ24" i="12"/>
  <c r="BQ21" i="12"/>
  <c r="DC14" i="12"/>
  <c r="K12" i="12"/>
  <c r="BG12" i="12"/>
  <c r="CJ27" i="12"/>
  <c r="AJ13" i="12"/>
  <c r="CI19" i="12"/>
  <c r="DT25" i="12"/>
  <c r="DD13" i="12"/>
  <c r="DC27" i="12"/>
  <c r="S14" i="12"/>
  <c r="CG14" i="12"/>
  <c r="EU11" i="12"/>
  <c r="AR16" i="12"/>
  <c r="AX20" i="12"/>
  <c r="CS19" i="12"/>
  <c r="EQ30" i="12"/>
  <c r="BH11" i="12"/>
  <c r="DX12" i="12"/>
  <c r="EU22" i="12"/>
  <c r="EJ22" i="12"/>
  <c r="BQ12" i="12"/>
  <c r="AH19" i="12"/>
  <c r="BU15" i="12"/>
  <c r="CO26" i="12"/>
  <c r="CI11" i="12"/>
  <c r="AD29" i="12"/>
  <c r="CX30" i="12"/>
  <c r="BX15" i="12"/>
  <c r="AP21" i="12"/>
  <c r="N13" i="12"/>
  <c r="T11" i="12"/>
  <c r="AT23" i="12"/>
  <c r="CT30" i="12"/>
  <c r="BW17" i="12"/>
  <c r="Z23" i="12"/>
  <c r="EP11" i="12"/>
  <c r="GU21" i="12"/>
  <c r="ED29" i="12"/>
  <c r="DS14" i="12"/>
  <c r="CA27" i="12"/>
  <c r="CI12" i="12"/>
  <c r="DX24" i="12"/>
  <c r="FH15" i="12"/>
  <c r="ES19" i="12"/>
  <c r="CH28" i="12"/>
  <c r="CA28" i="12"/>
  <c r="CZ13" i="12"/>
  <c r="CH22" i="12"/>
  <c r="CL13" i="12"/>
  <c r="BQ11" i="12"/>
  <c r="CV25" i="12"/>
  <c r="EC30" i="12"/>
  <c r="N21" i="12"/>
  <c r="BM30" i="12"/>
  <c r="DY26" i="12"/>
  <c r="AJ30" i="12"/>
  <c r="DY25" i="12"/>
  <c r="EA26" i="12"/>
  <c r="EB15" i="12"/>
  <c r="EA23" i="12"/>
  <c r="DC16" i="12"/>
  <c r="L13" i="12"/>
  <c r="DE19" i="12"/>
  <c r="CY27" i="12"/>
  <c r="U30" i="12"/>
  <c r="DY21" i="12"/>
  <c r="CD12" i="12"/>
  <c r="H30" i="12"/>
  <c r="EE13" i="12"/>
  <c r="J26" i="12"/>
  <c r="DX27" i="12"/>
  <c r="BK30" i="12"/>
  <c r="Z16" i="12"/>
  <c r="EN28" i="12"/>
  <c r="AQ29" i="12"/>
  <c r="BK28" i="12"/>
  <c r="L22" i="12"/>
  <c r="CP23" i="12"/>
  <c r="AN18" i="12"/>
  <c r="EO17" i="12"/>
  <c r="AI16" i="12"/>
  <c r="BX30" i="12"/>
  <c r="CH12" i="12"/>
  <c r="DB27" i="12"/>
  <c r="AB27" i="12"/>
  <c r="AL24" i="12"/>
  <c r="DR27" i="12"/>
  <c r="AG16" i="12"/>
  <c r="DK17" i="12"/>
  <c r="DV16" i="12"/>
  <c r="DV23" i="12"/>
  <c r="AB24" i="12"/>
  <c r="ES28" i="12"/>
  <c r="BC22" i="12"/>
  <c r="BQ14" i="12"/>
  <c r="CN14" i="12"/>
  <c r="P17" i="12"/>
  <c r="BW10" i="12"/>
  <c r="AS20" i="12"/>
  <c r="L25" i="12"/>
  <c r="CX18" i="12"/>
  <c r="CX28" i="12"/>
  <c r="DP11" i="12"/>
  <c r="BY20" i="12"/>
  <c r="EJ21" i="12"/>
  <c r="I25" i="12"/>
  <c r="Q17" i="12"/>
  <c r="AC21" i="12"/>
  <c r="AH15" i="12"/>
  <c r="EA17" i="12"/>
  <c r="DL19" i="12"/>
  <c r="BE29" i="12"/>
  <c r="CE10" i="12"/>
  <c r="AH24" i="12"/>
  <c r="FH13" i="12"/>
  <c r="Q18" i="12"/>
  <c r="V27" i="12"/>
  <c r="BJ15" i="12"/>
  <c r="G16" i="12"/>
  <c r="CO23" i="12"/>
  <c r="L30" i="12"/>
  <c r="ET21" i="12"/>
  <c r="DS25" i="12"/>
  <c r="EB25" i="12"/>
  <c r="DX11" i="12"/>
  <c r="DG28" i="12"/>
  <c r="CK28" i="12"/>
  <c r="AP19" i="12"/>
  <c r="EQ11" i="12"/>
  <c r="CC29" i="12"/>
  <c r="DR14" i="12"/>
  <c r="DQ15" i="12"/>
  <c r="EG11" i="12"/>
  <c r="Z28" i="12"/>
  <c r="CY15" i="12"/>
  <c r="DI11" i="12"/>
  <c r="AM15" i="12"/>
  <c r="BW19" i="12"/>
  <c r="EK14" i="12"/>
  <c r="CN25" i="12"/>
  <c r="DQ14" i="12"/>
  <c r="BL17" i="12"/>
  <c r="BJ24" i="12"/>
  <c r="DG22" i="12"/>
  <c r="BU12" i="12"/>
  <c r="DQ28" i="12"/>
  <c r="CY21" i="12"/>
  <c r="BL27" i="12"/>
  <c r="BN21" i="12"/>
  <c r="CV16" i="12"/>
  <c r="BI22" i="12"/>
  <c r="BA26" i="12"/>
  <c r="AU14" i="12"/>
  <c r="CW23" i="12"/>
  <c r="BD20" i="12"/>
  <c r="E12" i="12"/>
  <c r="AE26" i="12"/>
  <c r="CI21" i="12"/>
  <c r="AV27" i="12"/>
  <c r="CN29" i="12"/>
  <c r="CT10" i="12"/>
  <c r="DV17" i="12"/>
  <c r="AO26" i="12"/>
  <c r="DZ11" i="12"/>
  <c r="T20" i="12"/>
  <c r="DH11" i="12"/>
  <c r="DI14" i="12"/>
  <c r="AZ18" i="12"/>
  <c r="AR12" i="12"/>
  <c r="Z20" i="12"/>
  <c r="CO20" i="12"/>
  <c r="AK23" i="12"/>
  <c r="DQ16" i="12"/>
  <c r="CQ11" i="12"/>
  <c r="AB11" i="12"/>
  <c r="CJ21" i="12"/>
  <c r="DG17" i="12"/>
  <c r="BP21" i="12"/>
  <c r="AP28" i="12"/>
  <c r="BL16" i="12"/>
  <c r="DJ24" i="12"/>
  <c r="U19" i="12"/>
  <c r="CG28" i="12"/>
  <c r="E25" i="12"/>
  <c r="BF12" i="12"/>
  <c r="EQ17" i="12"/>
  <c r="BF26" i="12"/>
  <c r="ER11" i="12"/>
  <c r="CY13" i="12"/>
  <c r="AH25" i="12"/>
  <c r="R14" i="12"/>
  <c r="CY24" i="12"/>
  <c r="BE24" i="12"/>
  <c r="BW22" i="12"/>
  <c r="CD27" i="12"/>
  <c r="BB16" i="12"/>
  <c r="BV18" i="12"/>
  <c r="AF24" i="12"/>
  <c r="CO15" i="12"/>
  <c r="DV29" i="12"/>
  <c r="BN26" i="12"/>
  <c r="AX16" i="12"/>
  <c r="ES26" i="12"/>
  <c r="BA17" i="12"/>
  <c r="AV18" i="12"/>
  <c r="L24" i="12"/>
  <c r="DR17" i="12"/>
  <c r="CZ17" i="12"/>
  <c r="J23" i="12"/>
  <c r="BE12" i="12"/>
  <c r="CK23" i="12"/>
  <c r="K25" i="12"/>
  <c r="EG21" i="12"/>
  <c r="CS12" i="12"/>
  <c r="BY18" i="12"/>
  <c r="AA16" i="12"/>
  <c r="DN12" i="12"/>
  <c r="DD30" i="12"/>
  <c r="CX26" i="12"/>
  <c r="S15" i="12"/>
  <c r="DG16" i="12"/>
  <c r="DP10" i="12"/>
  <c r="AQ20" i="12"/>
  <c r="AM17" i="12"/>
  <c r="CB30" i="12"/>
  <c r="AW12" i="12"/>
  <c r="BO12" i="12"/>
  <c r="BT30" i="12"/>
  <c r="CL24" i="12"/>
  <c r="I17" i="12"/>
  <c r="CI17" i="12"/>
  <c r="ES23" i="12"/>
  <c r="CF27" i="12"/>
  <c r="EN22" i="12"/>
  <c r="BK13" i="12"/>
  <c r="BH30" i="12"/>
  <c r="DW10" i="12"/>
  <c r="AP11" i="12"/>
  <c r="CJ22" i="12"/>
  <c r="D12" i="12"/>
  <c r="L23" i="12"/>
  <c r="CR19" i="12"/>
  <c r="AU27" i="12"/>
  <c r="AN27" i="12"/>
  <c r="CC12" i="12"/>
  <c r="EP14" i="12"/>
  <c r="K17" i="12"/>
  <c r="EN11" i="12"/>
  <c r="DP15" i="12"/>
  <c r="DS15" i="12"/>
  <c r="AP30" i="12"/>
  <c r="EF18" i="12"/>
  <c r="EN29" i="12"/>
  <c r="DF11" i="12"/>
  <c r="EB11" i="12"/>
  <c r="DK24" i="12"/>
  <c r="D18" i="12"/>
  <c r="CK24" i="12"/>
  <c r="DP14" i="12"/>
  <c r="EK10" i="12"/>
  <c r="FH14" i="12"/>
  <c r="CC19" i="12"/>
  <c r="W30" i="12"/>
  <c r="EH28" i="12"/>
  <c r="BG26" i="12"/>
  <c r="DV27" i="12"/>
  <c r="P29" i="12"/>
  <c r="GU17" i="12"/>
  <c r="CU27" i="12"/>
  <c r="EH16" i="12"/>
  <c r="CW22" i="12"/>
  <c r="W20" i="12"/>
  <c r="CZ15" i="12"/>
  <c r="P14" i="12"/>
  <c r="CF18" i="12"/>
  <c r="BK18" i="12"/>
  <c r="L15" i="12"/>
  <c r="BV24" i="12"/>
  <c r="DD29" i="12"/>
  <c r="DA12" i="12"/>
  <c r="CP14" i="12"/>
  <c r="Y21" i="12"/>
  <c r="EG20" i="12"/>
  <c r="DU26" i="12"/>
  <c r="DX15" i="12"/>
  <c r="DI25" i="12"/>
  <c r="DO24" i="12"/>
  <c r="EK11" i="12"/>
  <c r="CC20" i="12"/>
  <c r="CM11" i="12"/>
  <c r="BA16" i="12"/>
  <c r="G25" i="12"/>
  <c r="EP28" i="12"/>
  <c r="D24" i="12"/>
  <c r="BZ23" i="12"/>
  <c r="AJ29" i="12"/>
  <c r="EF30" i="12"/>
  <c r="AZ12" i="12"/>
  <c r="AS30" i="12"/>
  <c r="ES29" i="12"/>
  <c r="DE28" i="12"/>
  <c r="DT27" i="12"/>
  <c r="U14" i="12"/>
  <c r="I28" i="12"/>
  <c r="CW15" i="12"/>
  <c r="DF21" i="12"/>
  <c r="AF25" i="12"/>
  <c r="BU28" i="12"/>
  <c r="O24" i="12"/>
  <c r="AA25" i="12"/>
  <c r="CO19" i="12"/>
  <c r="DK15" i="12"/>
  <c r="ER14" i="12"/>
  <c r="V19" i="12"/>
  <c r="AD28" i="12"/>
  <c r="BT12" i="12"/>
  <c r="O10" i="12"/>
  <c r="DS13" i="12"/>
  <c r="EM26" i="12"/>
  <c r="BO20" i="12"/>
  <c r="AH10" i="12"/>
  <c r="DT26" i="12"/>
  <c r="N19" i="12"/>
  <c r="CW19" i="12"/>
  <c r="AJ23" i="12"/>
  <c r="DB29" i="12"/>
  <c r="BY15" i="12"/>
  <c r="DL20" i="12"/>
  <c r="R24" i="12"/>
  <c r="EG17" i="12"/>
  <c r="BX25" i="12"/>
  <c r="AL21" i="12"/>
  <c r="CR29" i="12"/>
  <c r="I14" i="12"/>
  <c r="M24" i="12"/>
  <c r="X24" i="12"/>
  <c r="O27" i="12"/>
  <c r="BE15" i="12"/>
  <c r="AS27" i="12"/>
  <c r="BG22" i="12"/>
  <c r="AQ13" i="12"/>
  <c r="GU23" i="12"/>
  <c r="AM24" i="12"/>
  <c r="EC18" i="12"/>
  <c r="BC17" i="12"/>
  <c r="AB17" i="12"/>
  <c r="DR29" i="12"/>
  <c r="CS28" i="12"/>
  <c r="DY16" i="12"/>
  <c r="ER10" i="12"/>
  <c r="ET17" i="12"/>
  <c r="BQ16" i="12"/>
  <c r="AN20" i="12"/>
  <c r="EG27" i="12"/>
  <c r="DY30" i="12"/>
  <c r="DJ28" i="12"/>
  <c r="EG22" i="12"/>
  <c r="AM23" i="12"/>
  <c r="DO15" i="12"/>
  <c r="AE13" i="12"/>
  <c r="CM17" i="12"/>
  <c r="EJ19" i="12"/>
  <c r="AI12" i="12"/>
  <c r="AL25" i="12"/>
  <c r="BL11" i="12"/>
  <c r="AX15" i="12"/>
  <c r="AU18" i="12"/>
  <c r="DJ23" i="12"/>
  <c r="N27" i="12"/>
  <c r="CR22" i="12"/>
  <c r="CK21" i="12"/>
  <c r="AS25" i="12"/>
  <c r="AX29" i="12"/>
  <c r="DL28" i="12"/>
  <c r="DJ20" i="12"/>
  <c r="T23" i="12"/>
  <c r="R16" i="12"/>
  <c r="EH21" i="12"/>
  <c r="CT21" i="12"/>
  <c r="EL24" i="12"/>
  <c r="EN13" i="12"/>
  <c r="AM21" i="12"/>
  <c r="CS18" i="12"/>
  <c r="BI28" i="12"/>
  <c r="DJ17" i="12"/>
  <c r="CN28" i="12"/>
  <c r="DE17" i="12"/>
  <c r="FH19" i="12"/>
  <c r="DO28" i="12"/>
  <c r="M14" i="12"/>
  <c r="AW29" i="12"/>
  <c r="BQ15" i="12"/>
  <c r="BF18" i="12"/>
  <c r="AV21" i="12"/>
  <c r="ED20" i="12"/>
  <c r="AH16" i="12"/>
  <c r="AJ25" i="12"/>
  <c r="BI24" i="12"/>
  <c r="AQ25" i="12"/>
  <c r="DH27" i="12"/>
  <c r="EB21" i="12"/>
  <c r="DU25" i="12"/>
  <c r="CG13" i="12"/>
  <c r="CN24" i="12"/>
  <c r="DV13" i="12"/>
  <c r="AJ14" i="12"/>
  <c r="GU27" i="12"/>
  <c r="EO27" i="12"/>
  <c r="N11" i="12"/>
  <c r="EA13" i="12"/>
  <c r="V11" i="12"/>
  <c r="CU22" i="12"/>
  <c r="AJ17" i="12"/>
  <c r="BI10" i="12"/>
  <c r="EF10" i="12"/>
  <c r="M17" i="12"/>
  <c r="EN18" i="12"/>
  <c r="BG15" i="12"/>
  <c r="N30" i="12"/>
  <c r="DU24" i="12"/>
  <c r="X25" i="12"/>
  <c r="BV28" i="12"/>
  <c r="DT18" i="12"/>
  <c r="J22" i="12"/>
  <c r="AS10" i="12"/>
  <c r="CE15" i="12"/>
  <c r="EG13" i="12"/>
  <c r="BX17" i="12"/>
  <c r="CV23" i="12"/>
  <c r="AM11" i="12"/>
  <c r="CB27" i="12"/>
  <c r="BO25" i="12"/>
  <c r="BB18" i="12"/>
  <c r="BY28" i="12"/>
  <c r="BN22" i="12"/>
  <c r="DM27" i="12"/>
  <c r="AJ27" i="12"/>
  <c r="DI19" i="12"/>
  <c r="DJ25" i="12"/>
  <c r="M28" i="12"/>
  <c r="CE22" i="12"/>
  <c r="BZ21" i="12"/>
  <c r="EO10" i="12"/>
  <c r="DL14" i="12"/>
  <c r="BX11" i="12"/>
  <c r="DB25" i="12"/>
  <c r="DY12" i="12"/>
  <c r="AB30" i="12"/>
  <c r="BR26" i="12"/>
  <c r="BS24" i="12"/>
  <c r="BG13" i="12"/>
  <c r="BD13" i="12"/>
  <c r="N10" i="12"/>
  <c r="E17" i="12"/>
  <c r="AY24" i="12"/>
  <c r="CG20" i="12"/>
  <c r="EJ27" i="12"/>
  <c r="BX22" i="12"/>
  <c r="AF18" i="12"/>
  <c r="CW28" i="12"/>
  <c r="AO30" i="12"/>
  <c r="X23" i="12"/>
  <c r="AP13" i="12"/>
  <c r="CZ29" i="12"/>
  <c r="AT14" i="12"/>
  <c r="AM10" i="12"/>
  <c r="DW15" i="12"/>
  <c r="O30" i="12"/>
  <c r="AU29" i="12"/>
  <c r="ET11" i="12"/>
  <c r="J20" i="12"/>
  <c r="BK22" i="12"/>
  <c r="V14" i="12"/>
  <c r="BR15" i="12"/>
  <c r="CM30" i="12"/>
  <c r="DJ12" i="12"/>
  <c r="AS19" i="12"/>
  <c r="AX18" i="12"/>
  <c r="DB11" i="12"/>
  <c r="N16" i="12"/>
  <c r="BL25" i="12"/>
  <c r="BM17" i="12"/>
  <c r="AE16" i="12"/>
  <c r="CQ14" i="12"/>
  <c r="CH26" i="12"/>
  <c r="BG14" i="12"/>
  <c r="CR13" i="12"/>
  <c r="DO20" i="12"/>
  <c r="T21" i="12"/>
  <c r="CF12" i="12"/>
  <c r="EK18" i="12"/>
  <c r="DZ20" i="12"/>
  <c r="K21" i="12"/>
  <c r="P18" i="12"/>
  <c r="AT24" i="12"/>
  <c r="CE27" i="12"/>
  <c r="AZ22" i="12"/>
  <c r="DV10" i="12"/>
  <c r="BT29" i="12"/>
  <c r="DU17" i="12"/>
  <c r="CC30" i="12"/>
  <c r="AS16" i="12"/>
  <c r="CN11" i="12"/>
  <c r="EU15" i="12"/>
  <c r="CQ21" i="12"/>
  <c r="BF28" i="12"/>
  <c r="BP12" i="12"/>
  <c r="DR28" i="12"/>
  <c r="EK13" i="12"/>
  <c r="CR17" i="12"/>
  <c r="AT13" i="12"/>
  <c r="AU16" i="12"/>
  <c r="DR24" i="12"/>
  <c r="CR27" i="12"/>
  <c r="CF11" i="12"/>
  <c r="DV22" i="12"/>
  <c r="DM12" i="12"/>
  <c r="Z22" i="12"/>
  <c r="DH20" i="12"/>
  <c r="DD10" i="12"/>
  <c r="CA16" i="12"/>
  <c r="ET20" i="12"/>
  <c r="ED12" i="12"/>
  <c r="BO22" i="12"/>
  <c r="AN26" i="12"/>
  <c r="DL12" i="12"/>
  <c r="BD15" i="12"/>
  <c r="BQ24" i="12"/>
  <c r="EQ15" i="12"/>
  <c r="DS12" i="12"/>
  <c r="BY22" i="12"/>
  <c r="BF30" i="12"/>
  <c r="BS14" i="12"/>
  <c r="DX21" i="12"/>
  <c r="BH17" i="12"/>
  <c r="EE28" i="12"/>
  <c r="DC23" i="12"/>
  <c r="DM14" i="12"/>
  <c r="F17" i="12"/>
  <c r="AV19" i="12"/>
  <c r="BM15" i="12"/>
  <c r="CQ26" i="12"/>
  <c r="DY28" i="12"/>
  <c r="CP17" i="12"/>
  <c r="AI10" i="12"/>
  <c r="BA10" i="12"/>
  <c r="AT30" i="12"/>
  <c r="EH13" i="12"/>
  <c r="BR22" i="12"/>
  <c r="AK71" i="48"/>
  <c r="AL71" i="48" s="1"/>
  <c r="AK73" i="48"/>
  <c r="AL73" i="48" s="1"/>
  <c r="AK92" i="48"/>
  <c r="AL92" i="48" s="1"/>
  <c r="AM92" i="48"/>
  <c r="AN92" i="48" s="1"/>
  <c r="AM124" i="48"/>
  <c r="AN124" i="48" s="1"/>
  <c r="AK65" i="48"/>
  <c r="AL65" i="48" s="1"/>
  <c r="AM109" i="48"/>
  <c r="AN109" i="48" s="1"/>
  <c r="AK104" i="48"/>
  <c r="AL104" i="48" s="1"/>
  <c r="AM104" i="48"/>
  <c r="AN104" i="48" s="1"/>
  <c r="AK79" i="48"/>
  <c r="AL79" i="48" s="1"/>
  <c r="AK83" i="48"/>
  <c r="AL83" i="48" s="1"/>
  <c r="AK119" i="48"/>
  <c r="AL119" i="48" s="1"/>
  <c r="AK69" i="48"/>
  <c r="AL69" i="48" s="1"/>
  <c r="U21" i="72" a="1"/>
  <c r="U21" i="72" s="1"/>
  <c r="U22" i="72" a="1"/>
  <c r="U22" i="72" s="1"/>
  <c r="U32" i="72" a="1"/>
  <c r="U32" i="72" s="1"/>
  <c r="U34" i="72" a="1"/>
  <c r="U34" i="72" s="1"/>
  <c r="U33" i="72" a="1"/>
  <c r="U33" i="72" s="1"/>
  <c r="AM90" i="48"/>
  <c r="AN90" i="48" s="1"/>
  <c r="AK90" i="48"/>
  <c r="AL90" i="48" s="1"/>
  <c r="AK82" i="48"/>
  <c r="AL82" i="48" s="1"/>
  <c r="AK74" i="48"/>
  <c r="AL74" i="48" s="1"/>
  <c r="AM101" i="48"/>
  <c r="AN101" i="48" s="1"/>
  <c r="AK123" i="48"/>
  <c r="AL123" i="48" s="1"/>
  <c r="AM123" i="48"/>
  <c r="AN123" i="48" s="1"/>
  <c r="AK107" i="48"/>
  <c r="AL107" i="48" s="1"/>
  <c r="AK75" i="48"/>
  <c r="AL75" i="48" s="1"/>
  <c r="AK128" i="48"/>
  <c r="AL128" i="48" s="1"/>
  <c r="AM105" i="48"/>
  <c r="AN105" i="48" s="1"/>
  <c r="AK105" i="48"/>
  <c r="AL105" i="48" s="1"/>
  <c r="AK121" i="48"/>
  <c r="AL121" i="48" s="1"/>
  <c r="U4" i="72"/>
  <c r="E4" i="46" s="1"/>
  <c r="S4" i="46" s="1"/>
  <c r="AD50" i="48"/>
  <c r="AK72" i="48"/>
  <c r="AL72" i="48" s="1"/>
  <c r="AK80" i="48"/>
  <c r="AL80" i="48" s="1"/>
  <c r="AM62" i="48" l="1"/>
  <c r="AN62" i="48" s="1"/>
  <c r="AM98" i="48"/>
  <c r="AN98" i="48" s="1"/>
  <c r="AM149" i="48"/>
  <c r="AN149" i="48" s="1"/>
  <c r="AM203" i="48"/>
  <c r="AN203" i="48" s="1"/>
  <c r="AK187" i="48"/>
  <c r="AL187" i="48" s="1"/>
  <c r="AK148" i="48"/>
  <c r="AL148" i="48" s="1"/>
  <c r="AK258" i="48"/>
  <c r="AL258" i="48" s="1"/>
  <c r="AM247" i="48"/>
  <c r="AN247" i="48" s="1"/>
  <c r="AM162" i="48"/>
  <c r="AN162" i="48" s="1"/>
  <c r="AM195" i="48"/>
  <c r="AN195" i="48" s="1"/>
  <c r="AK215" i="48"/>
  <c r="AL215" i="48" s="1"/>
  <c r="AM120" i="48"/>
  <c r="AN120" i="48" s="1"/>
  <c r="AK209" i="48"/>
  <c r="AL209" i="48" s="1"/>
  <c r="AM291" i="48"/>
  <c r="AN291" i="48" s="1"/>
  <c r="AK115" i="48"/>
  <c r="AL115" i="48" s="1"/>
  <c r="AK224" i="48"/>
  <c r="AL224" i="48" s="1"/>
  <c r="AM199" i="48"/>
  <c r="AN199" i="48" s="1"/>
  <c r="AM246" i="48"/>
  <c r="AN246" i="48" s="1"/>
  <c r="AM197" i="48"/>
  <c r="AN197" i="48" s="1"/>
  <c r="AM138" i="48"/>
  <c r="AN138" i="48" s="1"/>
  <c r="AM164" i="48"/>
  <c r="AN164" i="48" s="1"/>
  <c r="AK113" i="48"/>
  <c r="AL113" i="48" s="1"/>
  <c r="AM233" i="48"/>
  <c r="AN233" i="48" s="1"/>
  <c r="BH150" i="48"/>
  <c r="BH139" i="48"/>
  <c r="AM267" i="48"/>
  <c r="AN267" i="48" s="1"/>
  <c r="AK283" i="48"/>
  <c r="AL283" i="48" s="1"/>
  <c r="BI624" i="48"/>
  <c r="AM243" i="48"/>
  <c r="AN243" i="48" s="1"/>
  <c r="AM242" i="48"/>
  <c r="AN242" i="48" s="1"/>
  <c r="BH80" i="48"/>
  <c r="AK250" i="48"/>
  <c r="AL250" i="48" s="1"/>
  <c r="AM153" i="48"/>
  <c r="AN153" i="48" s="1"/>
  <c r="AM167" i="48"/>
  <c r="AN167" i="48" s="1"/>
  <c r="AM89" i="48"/>
  <c r="AN89" i="48" s="1"/>
  <c r="AK220" i="48"/>
  <c r="AL220" i="48" s="1"/>
  <c r="BH259" i="48"/>
  <c r="BH110" i="48"/>
  <c r="BH82" i="48"/>
  <c r="AM234" i="48"/>
  <c r="AN234" i="48" s="1"/>
  <c r="AK226" i="48"/>
  <c r="AL226" i="48" s="1"/>
  <c r="AM278" i="48"/>
  <c r="AN278" i="48" s="1"/>
  <c r="BH145" i="48"/>
  <c r="BH152" i="48"/>
  <c r="BH193" i="48"/>
  <c r="BH120" i="48"/>
  <c r="BH274" i="48"/>
  <c r="BH157" i="48"/>
  <c r="BH189" i="48"/>
  <c r="BI890" i="48"/>
  <c r="BI1640" i="48"/>
  <c r="BI1644" i="48"/>
  <c r="BI1215" i="48"/>
  <c r="BI1422" i="48"/>
  <c r="BH117" i="48"/>
  <c r="BH272" i="48"/>
  <c r="AK281" i="48"/>
  <c r="AL281" i="48" s="1"/>
  <c r="BH146" i="48"/>
  <c r="BH270" i="48"/>
  <c r="BH76" i="48"/>
  <c r="BH133" i="48"/>
  <c r="BH254" i="48"/>
  <c r="BH269" i="48"/>
  <c r="BH231" i="48"/>
  <c r="BH238" i="48"/>
  <c r="BH261" i="48"/>
  <c r="BH81" i="48"/>
  <c r="BH297" i="48"/>
  <c r="AM297" i="48" s="1"/>
  <c r="AN297" i="48" s="1"/>
  <c r="BH246" i="48"/>
  <c r="BH283" i="48"/>
  <c r="BH256" i="48"/>
  <c r="BH178" i="48"/>
  <c r="BH98" i="48"/>
  <c r="BH118" i="48"/>
  <c r="BH271" i="48"/>
  <c r="BH236" i="48"/>
  <c r="BH299" i="48"/>
  <c r="AM299" i="48" s="1"/>
  <c r="AN299" i="48" s="1"/>
  <c r="BH75" i="48"/>
  <c r="BH194" i="48"/>
  <c r="BH197" i="48"/>
  <c r="BH279" i="48"/>
  <c r="BH257" i="48"/>
  <c r="BH192" i="48"/>
  <c r="BH77" i="48"/>
  <c r="BH275" i="48"/>
  <c r="BH258" i="48"/>
  <c r="AM146" i="48"/>
  <c r="AN146" i="48" s="1"/>
  <c r="AK280" i="48"/>
  <c r="AL280" i="48" s="1"/>
  <c r="BH141" i="48"/>
  <c r="BH241" i="48"/>
  <c r="BH106" i="48"/>
  <c r="BI1207" i="48"/>
  <c r="BI1943" i="48"/>
  <c r="BH132" i="48"/>
  <c r="BH104" i="48"/>
  <c r="BH249" i="48"/>
  <c r="BH233" i="48"/>
  <c r="BH144" i="48"/>
  <c r="BH266" i="48"/>
  <c r="BH147" i="48"/>
  <c r="BH130" i="48"/>
  <c r="BH273" i="48"/>
  <c r="BH122" i="48"/>
  <c r="BH268" i="48"/>
  <c r="BH195" i="48"/>
  <c r="BH262" i="48"/>
  <c r="BH235" i="48"/>
  <c r="BH79" i="48"/>
  <c r="BH142" i="48"/>
  <c r="BH226" i="48"/>
  <c r="BH263" i="48"/>
  <c r="BH183" i="48"/>
  <c r="BI1510" i="48"/>
  <c r="BH187" i="48"/>
  <c r="BH285" i="48"/>
  <c r="BH278" i="48"/>
  <c r="BH280" i="48"/>
  <c r="BH245" i="48"/>
  <c r="BH166" i="48"/>
  <c r="BH171" i="48"/>
  <c r="BH286" i="48"/>
  <c r="BH298" i="48"/>
  <c r="AM298" i="48" s="1"/>
  <c r="AN298" i="48" s="1"/>
  <c r="BI2044" i="48"/>
  <c r="BH119" i="48"/>
  <c r="BH251" i="48"/>
  <c r="BH255" i="48"/>
  <c r="BH239" i="48"/>
  <c r="BH264" i="48"/>
  <c r="BH101" i="48"/>
  <c r="BH284" i="48"/>
  <c r="BH260" i="48"/>
  <c r="BH186" i="48"/>
  <c r="BH161" i="48"/>
  <c r="BH121" i="48"/>
  <c r="BI530" i="48"/>
  <c r="BH78" i="48"/>
  <c r="BH131" i="48"/>
  <c r="BH140" i="48"/>
  <c r="BH212" i="48"/>
  <c r="BH164" i="48"/>
  <c r="BH196" i="48"/>
  <c r="BH113" i="48"/>
  <c r="BH198" i="48"/>
  <c r="BH228" i="48"/>
  <c r="BH179" i="48"/>
  <c r="BH148" i="48"/>
  <c r="BB242" i="48"/>
  <c r="BA242" i="48"/>
  <c r="BA270" i="48"/>
  <c r="BB270" i="48"/>
  <c r="AB270" i="48" s="1"/>
  <c r="BB285" i="48"/>
  <c r="AB285" i="48" s="1"/>
  <c r="BA285" i="48"/>
  <c r="AC156" i="48"/>
  <c r="BC156" i="48" s="1"/>
  <c r="AB156" i="48"/>
  <c r="BB264" i="48"/>
  <c r="AB264" i="48" s="1"/>
  <c r="BA264" i="48"/>
  <c r="BH250" i="48"/>
  <c r="BB200" i="48"/>
  <c r="BA200" i="48"/>
  <c r="BB86" i="48"/>
  <c r="BA86" i="48"/>
  <c r="BB231" i="48"/>
  <c r="AB231" i="48" s="1"/>
  <c r="BA231" i="48"/>
  <c r="AC231" i="48" s="1"/>
  <c r="BC231" i="48" s="1"/>
  <c r="AC159" i="48"/>
  <c r="BC159" i="48" s="1"/>
  <c r="AB159" i="48"/>
  <c r="AC93" i="48"/>
  <c r="BC93" i="48" s="1"/>
  <c r="AB93" i="48"/>
  <c r="AC180" i="48"/>
  <c r="BC180" i="48" s="1"/>
  <c r="AB180" i="48"/>
  <c r="BB101" i="48"/>
  <c r="BA101" i="48"/>
  <c r="BB168" i="48"/>
  <c r="BA168" i="48"/>
  <c r="AK136" i="48"/>
  <c r="AL136" i="48" s="1"/>
  <c r="BB136" i="48"/>
  <c r="BA136" i="48"/>
  <c r="AM136" i="48"/>
  <c r="AN136" i="48" s="1"/>
  <c r="BB216" i="48"/>
  <c r="BA216" i="48"/>
  <c r="AK216" i="48"/>
  <c r="AL216" i="48" s="1"/>
  <c r="BB250" i="48"/>
  <c r="AB250" i="48" s="1"/>
  <c r="BA250" i="48"/>
  <c r="AM182" i="48"/>
  <c r="AN182" i="48" s="1"/>
  <c r="AK182" i="48"/>
  <c r="AL182" i="48" s="1"/>
  <c r="AC244" i="48"/>
  <c r="BC244" i="48" s="1"/>
  <c r="AB244" i="48"/>
  <c r="BI2020" i="48"/>
  <c r="BI638" i="48"/>
  <c r="BI457" i="48"/>
  <c r="BI670" i="48"/>
  <c r="BI702" i="48"/>
  <c r="BI159" i="48"/>
  <c r="BI2022" i="48"/>
  <c r="BB157" i="48"/>
  <c r="AB157" i="48" s="1"/>
  <c r="BA157" i="48"/>
  <c r="BA181" i="48"/>
  <c r="BB181" i="48"/>
  <c r="AK261" i="48"/>
  <c r="AL261" i="48" s="1"/>
  <c r="BA261" i="48"/>
  <c r="BB261" i="48"/>
  <c r="AB261" i="48" s="1"/>
  <c r="BB230" i="48"/>
  <c r="BA230" i="48"/>
  <c r="BA279" i="48"/>
  <c r="BB279" i="48"/>
  <c r="AB279" i="48" s="1"/>
  <c r="BA246" i="48"/>
  <c r="BB246" i="48"/>
  <c r="AB246" i="48" s="1"/>
  <c r="BI867" i="48"/>
  <c r="BI568" i="48"/>
  <c r="BI560" i="48"/>
  <c r="BA102" i="48"/>
  <c r="AC102" i="48" s="1"/>
  <c r="BC102" i="48" s="1"/>
  <c r="BB102" i="48"/>
  <c r="BI1770" i="48"/>
  <c r="AK63" i="48"/>
  <c r="AL63" i="48" s="1"/>
  <c r="AM63" i="48"/>
  <c r="AN63" i="48" s="1"/>
  <c r="BB63" i="48"/>
  <c r="AM95" i="48"/>
  <c r="AN95" i="48" s="1"/>
  <c r="AK95" i="48"/>
  <c r="AL95" i="48" s="1"/>
  <c r="BA95" i="48"/>
  <c r="BB95" i="48"/>
  <c r="BB229" i="48"/>
  <c r="BA229" i="48"/>
  <c r="AK217" i="48"/>
  <c r="AL217" i="48" s="1"/>
  <c r="AM217" i="48"/>
  <c r="AN217" i="48" s="1"/>
  <c r="BB217" i="48"/>
  <c r="BA217" i="48"/>
  <c r="BA293" i="48"/>
  <c r="BB293" i="48"/>
  <c r="AM210" i="48"/>
  <c r="AN210" i="48" s="1"/>
  <c r="AK210" i="48"/>
  <c r="AL210" i="48" s="1"/>
  <c r="BB210" i="48"/>
  <c r="BA210" i="48"/>
  <c r="BB215" i="48"/>
  <c r="BA215" i="48"/>
  <c r="BB58" i="48"/>
  <c r="BA58" i="48"/>
  <c r="BB266" i="48"/>
  <c r="AB266" i="48" s="1"/>
  <c r="BA266" i="48"/>
  <c r="BB241" i="48"/>
  <c r="AB241" i="48" s="1"/>
  <c r="BA241" i="48"/>
  <c r="BB94" i="48"/>
  <c r="BA94" i="48"/>
  <c r="BA145" i="48"/>
  <c r="BB145" i="48"/>
  <c r="AB145" i="48" s="1"/>
  <c r="BI730" i="48"/>
  <c r="AM287" i="48"/>
  <c r="AN287" i="48" s="1"/>
  <c r="BB287" i="48"/>
  <c r="BA287" i="48"/>
  <c r="BA218" i="48"/>
  <c r="BB218" i="48"/>
  <c r="BI672" i="48"/>
  <c r="AK201" i="48"/>
  <c r="AL201" i="48" s="1"/>
  <c r="BB201" i="48"/>
  <c r="BA233" i="48"/>
  <c r="BB233" i="48"/>
  <c r="AB233" i="48" s="1"/>
  <c r="BB253" i="48"/>
  <c r="BA253" i="48"/>
  <c r="BA70" i="48"/>
  <c r="BB70" i="48"/>
  <c r="AM198" i="48"/>
  <c r="AN198" i="48" s="1"/>
  <c r="AK198" i="48"/>
  <c r="AL198" i="48" s="1"/>
  <c r="BB198" i="48"/>
  <c r="AB198" i="48" s="1"/>
  <c r="BA66" i="48"/>
  <c r="BB66" i="48"/>
  <c r="BB193" i="48"/>
  <c r="AB193" i="48" s="1"/>
  <c r="BA193" i="48"/>
  <c r="AK202" i="48"/>
  <c r="AL202" i="48" s="1"/>
  <c r="BB202" i="48"/>
  <c r="BA202" i="48"/>
  <c r="AK236" i="48"/>
  <c r="AL236" i="48" s="1"/>
  <c r="AM236" i="48"/>
  <c r="AN236" i="48" s="1"/>
  <c r="BB236" i="48"/>
  <c r="AB236" i="48" s="1"/>
  <c r="BA76" i="48"/>
  <c r="BB76" i="48"/>
  <c r="AK299" i="48"/>
  <c r="AL299" i="48" s="1"/>
  <c r="BB119" i="48"/>
  <c r="BA119" i="48"/>
  <c r="AK262" i="48"/>
  <c r="AL262" i="48" s="1"/>
  <c r="BB262" i="48"/>
  <c r="AB262" i="48" s="1"/>
  <c r="BA262" i="48"/>
  <c r="BB123" i="48"/>
  <c r="BA123" i="48"/>
  <c r="AB123" i="48" s="1"/>
  <c r="BA133" i="48"/>
  <c r="BB133" i="48"/>
  <c r="AB133" i="48" s="1"/>
  <c r="BA214" i="48"/>
  <c r="BB214" i="48"/>
  <c r="AK87" i="48"/>
  <c r="AL87" i="48" s="1"/>
  <c r="AM87" i="48"/>
  <c r="AN87" i="48" s="1"/>
  <c r="BB87" i="48"/>
  <c r="BB75" i="48"/>
  <c r="AC75" i="48" s="1"/>
  <c r="BC75" i="48" s="1"/>
  <c r="BA75" i="48"/>
  <c r="BA258" i="48"/>
  <c r="BB258" i="48"/>
  <c r="AB258" i="48" s="1"/>
  <c r="AM135" i="48"/>
  <c r="AN135" i="48" s="1"/>
  <c r="AK135" i="48"/>
  <c r="AL135" i="48" s="1"/>
  <c r="BA135" i="48"/>
  <c r="BB135" i="48"/>
  <c r="BA114" i="48"/>
  <c r="BA228" i="48"/>
  <c r="AC228" i="48" s="1"/>
  <c r="BC228" i="48" s="1"/>
  <c r="BA63" i="48"/>
  <c r="BA275" i="48"/>
  <c r="AC275" i="48" s="1"/>
  <c r="BC275" i="48" s="1"/>
  <c r="BA207" i="48"/>
  <c r="BA249" i="48"/>
  <c r="AC249" i="48" s="1"/>
  <c r="BC249" i="48" s="1"/>
  <c r="BA222" i="48"/>
  <c r="BA179" i="48"/>
  <c r="AC179" i="48" s="1"/>
  <c r="BC179" i="48" s="1"/>
  <c r="BA128" i="48"/>
  <c r="AB128" i="48" s="1"/>
  <c r="BA87" i="48"/>
  <c r="BA77" i="48"/>
  <c r="AC77" i="48" s="1"/>
  <c r="BC77" i="48" s="1"/>
  <c r="BA78" i="48"/>
  <c r="BA281" i="48"/>
  <c r="BA286" i="48"/>
  <c r="AC286" i="48" s="1"/>
  <c r="BC286" i="48" s="1"/>
  <c r="BA118" i="48"/>
  <c r="BA117" i="48"/>
  <c r="BA204" i="48"/>
  <c r="BA183" i="48"/>
  <c r="AC183" i="48" s="1"/>
  <c r="BC183" i="48" s="1"/>
  <c r="BA108" i="48"/>
  <c r="BA162" i="48"/>
  <c r="BA206" i="48"/>
  <c r="BA189" i="48"/>
  <c r="AC189" i="48" s="1"/>
  <c r="BC189" i="48" s="1"/>
  <c r="BA89" i="48"/>
  <c r="BA271" i="48"/>
  <c r="AC271" i="48" s="1"/>
  <c r="BC271" i="48" s="1"/>
  <c r="BA211" i="48"/>
  <c r="BB97" i="48"/>
  <c r="AK146" i="48"/>
  <c r="AL146" i="48" s="1"/>
  <c r="BA146" i="48"/>
  <c r="BB146" i="48"/>
  <c r="AB146" i="48" s="1"/>
  <c r="BH296" i="48"/>
  <c r="AM296" i="48" s="1"/>
  <c r="AN296" i="48" s="1"/>
  <c r="BA138" i="48"/>
  <c r="BB138" i="48"/>
  <c r="BB69" i="48"/>
  <c r="BA69" i="48"/>
  <c r="BA223" i="48"/>
  <c r="BB223" i="48"/>
  <c r="BB126" i="48"/>
  <c r="BA126" i="48"/>
  <c r="BB105" i="48"/>
  <c r="BA105" i="48"/>
  <c r="BA91" i="48"/>
  <c r="AB91" i="48" s="1"/>
  <c r="BB91" i="48"/>
  <c r="BA83" i="48"/>
  <c r="BB83" i="48"/>
  <c r="AM244" i="48"/>
  <c r="AN244" i="48" s="1"/>
  <c r="BB244" i="48"/>
  <c r="BA141" i="48"/>
  <c r="BB141" i="48"/>
  <c r="AB141" i="48" s="1"/>
  <c r="BA276" i="48"/>
  <c r="BB276" i="48"/>
  <c r="BB164" i="48"/>
  <c r="AB164" i="48" s="1"/>
  <c r="BA164" i="48"/>
  <c r="BB107" i="48"/>
  <c r="BA107" i="48"/>
  <c r="BB292" i="48"/>
  <c r="BA292" i="48"/>
  <c r="BA171" i="48"/>
  <c r="BB171" i="48"/>
  <c r="AB171" i="48" s="1"/>
  <c r="BA132" i="48"/>
  <c r="BB132" i="48"/>
  <c r="AB132" i="48" s="1"/>
  <c r="BA260" i="48"/>
  <c r="BB260" i="48"/>
  <c r="AB260" i="48" s="1"/>
  <c r="BA98" i="48"/>
  <c r="BB98" i="48"/>
  <c r="BA205" i="48"/>
  <c r="BB205" i="48"/>
  <c r="BI884" i="48"/>
  <c r="AM265" i="48"/>
  <c r="AN265" i="48" s="1"/>
  <c r="AK265" i="48"/>
  <c r="AL265" i="48" s="1"/>
  <c r="BB265" i="48"/>
  <c r="BA59" i="48"/>
  <c r="BB59" i="48"/>
  <c r="BA195" i="48"/>
  <c r="BB195" i="48"/>
  <c r="AB195" i="48" s="1"/>
  <c r="AM139" i="48"/>
  <c r="AN139" i="48" s="1"/>
  <c r="BB139" i="48"/>
  <c r="AB139" i="48" s="1"/>
  <c r="AK180" i="48"/>
  <c r="AL180" i="48" s="1"/>
  <c r="AM180" i="48"/>
  <c r="AN180" i="48" s="1"/>
  <c r="BB180" i="48"/>
  <c r="AM174" i="48"/>
  <c r="AN174" i="48" s="1"/>
  <c r="AK174" i="48"/>
  <c r="AL174" i="48" s="1"/>
  <c r="BB174" i="48"/>
  <c r="AK255" i="48"/>
  <c r="AL255" i="48" s="1"/>
  <c r="BB255" i="48"/>
  <c r="AB255" i="48" s="1"/>
  <c r="BB221" i="48"/>
  <c r="BA221" i="48"/>
  <c r="BB239" i="48"/>
  <c r="AB239" i="48" s="1"/>
  <c r="BA239" i="48"/>
  <c r="BB213" i="48"/>
  <c r="BA213" i="48"/>
  <c r="AK61" i="48"/>
  <c r="AL61" i="48" s="1"/>
  <c r="BB61" i="48"/>
  <c r="BA61" i="48"/>
  <c r="BB277" i="48"/>
  <c r="BA277" i="48"/>
  <c r="BB175" i="48"/>
  <c r="BA175" i="48"/>
  <c r="BA220" i="48"/>
  <c r="BA111" i="48"/>
  <c r="BA143" i="48"/>
  <c r="BA103" i="48"/>
  <c r="BA176" i="48"/>
  <c r="BA174" i="48"/>
  <c r="BA212" i="48"/>
  <c r="AC212" i="48" s="1"/>
  <c r="BC212" i="48" s="1"/>
  <c r="BA131" i="48"/>
  <c r="AC131" i="48" s="1"/>
  <c r="BC131" i="48" s="1"/>
  <c r="BA167" i="48"/>
  <c r="BA173" i="48"/>
  <c r="BA166" i="48"/>
  <c r="AC166" i="48" s="1"/>
  <c r="BC166" i="48" s="1"/>
  <c r="BA163" i="48"/>
  <c r="BA130" i="48"/>
  <c r="AC130" i="48" s="1"/>
  <c r="BC130" i="48" s="1"/>
  <c r="BA278" i="48"/>
  <c r="AC278" i="48" s="1"/>
  <c r="BC278" i="48" s="1"/>
  <c r="BA165" i="48"/>
  <c r="BA65" i="48"/>
  <c r="BA109" i="48"/>
  <c r="BA232" i="48"/>
  <c r="BA144" i="48"/>
  <c r="AC144" i="48" s="1"/>
  <c r="BC144" i="48" s="1"/>
  <c r="BA71" i="48"/>
  <c r="AB71" i="48" s="1"/>
  <c r="BA60" i="48"/>
  <c r="AB60" i="48" s="1"/>
  <c r="BA160" i="48"/>
  <c r="BA299" i="48"/>
  <c r="BC299" i="48" s="1"/>
  <c r="BA197" i="48"/>
  <c r="AC197" i="48" s="1"/>
  <c r="BC197" i="48" s="1"/>
  <c r="BA225" i="48"/>
  <c r="BA125" i="48"/>
  <c r="BB263" i="48"/>
  <c r="AB263" i="48" s="1"/>
  <c r="BA295" i="48"/>
  <c r="AM85" i="48"/>
  <c r="AN85" i="48" s="1"/>
  <c r="AK85" i="48"/>
  <c r="AL85" i="48" s="1"/>
  <c r="BA284" i="48"/>
  <c r="BB284" i="48"/>
  <c r="AB284" i="48" s="1"/>
  <c r="BA203" i="48"/>
  <c r="BB203" i="48"/>
  <c r="AM280" i="48"/>
  <c r="AN280" i="48" s="1"/>
  <c r="BB280" i="48"/>
  <c r="AB280" i="48" s="1"/>
  <c r="BA280" i="48"/>
  <c r="BB243" i="48"/>
  <c r="BA243" i="48"/>
  <c r="BA237" i="48"/>
  <c r="BB237" i="48"/>
  <c r="AM140" i="48"/>
  <c r="AN140" i="48" s="1"/>
  <c r="BA140" i="48"/>
  <c r="BB140" i="48"/>
  <c r="AB140" i="48" s="1"/>
  <c r="BA245" i="48"/>
  <c r="BB245" i="48"/>
  <c r="AB245" i="48" s="1"/>
  <c r="BA124" i="48"/>
  <c r="AB124" i="48" s="1"/>
  <c r="BB124" i="48"/>
  <c r="BB155" i="48"/>
  <c r="BA155" i="48"/>
  <c r="BA147" i="48"/>
  <c r="BB147" i="48"/>
  <c r="AB147" i="48" s="1"/>
  <c r="BA62" i="48"/>
  <c r="BB62" i="48"/>
  <c r="BI1385" i="48"/>
  <c r="BI1220" i="48"/>
  <c r="BA104" i="48"/>
  <c r="BB104" i="48"/>
  <c r="BB72" i="48"/>
  <c r="BA72" i="48"/>
  <c r="AB72" i="48" s="1"/>
  <c r="AM156" i="48"/>
  <c r="AN156" i="48" s="1"/>
  <c r="AK156" i="48"/>
  <c r="AL156" i="48" s="1"/>
  <c r="BB156" i="48"/>
  <c r="BB113" i="48"/>
  <c r="AB113" i="48" s="1"/>
  <c r="BA113" i="48"/>
  <c r="BA227" i="48"/>
  <c r="BB227" i="48"/>
  <c r="BB269" i="48"/>
  <c r="AB269" i="48" s="1"/>
  <c r="BA269" i="48"/>
  <c r="BB92" i="48"/>
  <c r="BA92" i="48"/>
  <c r="BB290" i="48"/>
  <c r="BA290" i="48"/>
  <c r="BB161" i="48"/>
  <c r="AB161" i="48" s="1"/>
  <c r="BA161" i="48"/>
  <c r="BB88" i="48"/>
  <c r="BA88" i="48"/>
  <c r="BA268" i="48"/>
  <c r="BB268" i="48"/>
  <c r="AB268" i="48" s="1"/>
  <c r="BA152" i="48"/>
  <c r="BB152" i="48"/>
  <c r="AB152" i="48" s="1"/>
  <c r="BA248" i="48"/>
  <c r="BB248" i="48"/>
  <c r="AK150" i="48"/>
  <c r="AL150" i="48" s="1"/>
  <c r="BB150" i="48"/>
  <c r="AB150" i="48" s="1"/>
  <c r="AK151" i="48"/>
  <c r="AL151" i="48" s="1"/>
  <c r="BB151" i="48"/>
  <c r="BB79" i="48"/>
  <c r="AC79" i="48" s="1"/>
  <c r="BC79" i="48" s="1"/>
  <c r="BA79" i="48"/>
  <c r="BA289" i="48"/>
  <c r="BB289" i="48"/>
  <c r="BB99" i="48"/>
  <c r="BA99" i="48"/>
  <c r="BA219" i="48"/>
  <c r="BA68" i="48"/>
  <c r="BA199" i="48"/>
  <c r="BA234" i="48"/>
  <c r="BA184" i="48"/>
  <c r="BA226" i="48"/>
  <c r="AC226" i="48" s="1"/>
  <c r="BC226" i="48" s="1"/>
  <c r="BA153" i="48"/>
  <c r="BA177" i="48"/>
  <c r="BA251" i="48"/>
  <c r="AC251" i="48" s="1"/>
  <c r="BC251" i="48" s="1"/>
  <c r="BA115" i="48"/>
  <c r="BA267" i="48"/>
  <c r="BA288" i="48"/>
  <c r="BA187" i="48"/>
  <c r="AC187" i="48" s="1"/>
  <c r="BC187" i="48" s="1"/>
  <c r="BA235" i="48"/>
  <c r="AC235" i="48" s="1"/>
  <c r="BC235" i="48" s="1"/>
  <c r="BA82" i="48"/>
  <c r="AC82" i="48" s="1"/>
  <c r="BC82" i="48" s="1"/>
  <c r="BA254" i="48"/>
  <c r="AC254" i="48" s="1"/>
  <c r="BC254" i="48" s="1"/>
  <c r="BA178" i="48"/>
  <c r="AC178" i="48" s="1"/>
  <c r="BC178" i="48" s="1"/>
  <c r="BA90" i="48"/>
  <c r="BA265" i="48"/>
  <c r="BA188" i="48"/>
  <c r="BA120" i="48"/>
  <c r="BA67" i="48"/>
  <c r="AC67" i="48" s="1"/>
  <c r="BC67" i="48" s="1"/>
  <c r="BA236" i="48"/>
  <c r="AC236" i="48" s="1"/>
  <c r="BC236" i="48" s="1"/>
  <c r="BA100" i="48"/>
  <c r="BA116" i="48"/>
  <c r="BA185" i="48"/>
  <c r="BA198" i="48"/>
  <c r="AC198" i="48" s="1"/>
  <c r="BC198" i="48" s="1"/>
  <c r="BA194" i="48"/>
  <c r="AC194" i="48" s="1"/>
  <c r="BC194" i="48" s="1"/>
  <c r="BA127" i="48"/>
  <c r="AB127" i="48" s="1"/>
  <c r="BA64" i="48"/>
  <c r="BA196" i="48"/>
  <c r="AC196" i="48" s="1"/>
  <c r="BC196" i="48" s="1"/>
  <c r="AM159" i="48"/>
  <c r="AN159" i="48" s="1"/>
  <c r="AK159" i="48"/>
  <c r="AL159" i="48" s="1"/>
  <c r="BB159" i="48"/>
  <c r="BB274" i="48"/>
  <c r="AB274" i="48" s="1"/>
  <c r="BA274" i="48"/>
  <c r="BA81" i="48"/>
  <c r="BB81" i="48"/>
  <c r="AM154" i="48"/>
  <c r="AN154" i="48" s="1"/>
  <c r="AK154" i="48"/>
  <c r="AL154" i="48" s="1"/>
  <c r="BB154" i="48"/>
  <c r="AC297" i="48"/>
  <c r="BC297" i="48" s="1"/>
  <c r="BA257" i="48"/>
  <c r="BB257" i="48"/>
  <c r="AB257" i="48" s="1"/>
  <c r="BB170" i="48"/>
  <c r="BA170" i="48"/>
  <c r="BA112" i="48"/>
  <c r="BB112" i="48"/>
  <c r="BB129" i="48"/>
  <c r="BA129" i="48"/>
  <c r="AB129" i="48" s="1"/>
  <c r="AK93" i="48"/>
  <c r="AL93" i="48" s="1"/>
  <c r="AM93" i="48"/>
  <c r="AN93" i="48" s="1"/>
  <c r="BB93" i="48"/>
  <c r="AK192" i="48"/>
  <c r="AL192" i="48" s="1"/>
  <c r="BB192" i="48"/>
  <c r="AB192" i="48" s="1"/>
  <c r="BA283" i="48"/>
  <c r="BB283" i="48"/>
  <c r="AB283" i="48" s="1"/>
  <c r="BA191" i="48"/>
  <c r="BB191" i="48"/>
  <c r="AK256" i="48"/>
  <c r="AL256" i="48" s="1"/>
  <c r="BB256" i="48"/>
  <c r="AB256" i="48" s="1"/>
  <c r="AC263" i="48"/>
  <c r="BC263" i="48" s="1"/>
  <c r="BA74" i="48"/>
  <c r="AB74" i="48" s="1"/>
  <c r="BB74" i="48"/>
  <c r="BB224" i="48"/>
  <c r="BA224" i="48"/>
  <c r="BA106" i="48"/>
  <c r="AC106" i="48" s="1"/>
  <c r="BC106" i="48" s="1"/>
  <c r="BB106" i="48"/>
  <c r="BA169" i="48"/>
  <c r="BB169" i="48"/>
  <c r="BB298" i="48"/>
  <c r="AB298" i="48" s="1"/>
  <c r="BA298" i="48"/>
  <c r="AC298" i="48" s="1"/>
  <c r="BC298" i="48" s="1"/>
  <c r="BB186" i="48"/>
  <c r="AB186" i="48" s="1"/>
  <c r="BA186" i="48"/>
  <c r="BB121" i="48"/>
  <c r="BA121" i="48"/>
  <c r="BB238" i="48"/>
  <c r="AB238" i="48" s="1"/>
  <c r="BA238" i="48"/>
  <c r="BB240" i="48"/>
  <c r="BA240" i="48"/>
  <c r="BB272" i="48"/>
  <c r="AB272" i="48" s="1"/>
  <c r="BA272" i="48"/>
  <c r="BA80" i="48"/>
  <c r="AC80" i="48" s="1"/>
  <c r="BC80" i="48" s="1"/>
  <c r="BB80" i="48"/>
  <c r="BA96" i="48"/>
  <c r="BA139" i="48"/>
  <c r="AC139" i="48" s="1"/>
  <c r="BC139" i="48" s="1"/>
  <c r="BA149" i="48"/>
  <c r="BA282" i="48"/>
  <c r="BA192" i="48"/>
  <c r="BA190" i="48"/>
  <c r="BA291" i="48"/>
  <c r="BA273" i="48"/>
  <c r="AC273" i="48" s="1"/>
  <c r="BC273" i="48" s="1"/>
  <c r="BA137" i="48"/>
  <c r="BA151" i="48"/>
  <c r="BA259" i="48"/>
  <c r="AC259" i="48" s="1"/>
  <c r="BC259" i="48" s="1"/>
  <c r="BA247" i="48"/>
  <c r="BA201" i="48"/>
  <c r="BA209" i="48"/>
  <c r="BA142" i="48"/>
  <c r="AC142" i="48" s="1"/>
  <c r="BC142" i="48" s="1"/>
  <c r="BA182" i="48"/>
  <c r="BA85" i="48"/>
  <c r="BA208" i="48"/>
  <c r="BA252" i="48"/>
  <c r="BA172" i="48"/>
  <c r="BA134" i="48"/>
  <c r="BA148" i="48"/>
  <c r="AC148" i="48" s="1"/>
  <c r="BC148" i="48" s="1"/>
  <c r="BA84" i="48"/>
  <c r="BA158" i="48"/>
  <c r="BA110" i="48"/>
  <c r="BA154" i="48"/>
  <c r="BA122" i="48"/>
  <c r="AC122" i="48" s="1"/>
  <c r="BC122" i="48" s="1"/>
  <c r="BA294" i="48"/>
  <c r="BA73" i="48"/>
  <c r="BI1998" i="48"/>
  <c r="BI1924" i="48"/>
  <c r="BI1467" i="48"/>
  <c r="BI718" i="48"/>
  <c r="BI1090" i="48"/>
  <c r="BI1841" i="48"/>
  <c r="BI1481" i="48"/>
  <c r="BI1771" i="48"/>
  <c r="BI965" i="48"/>
  <c r="BI885" i="48"/>
  <c r="BI830" i="48"/>
  <c r="BI1073" i="48"/>
  <c r="BI1701" i="48"/>
  <c r="BI1654" i="48"/>
  <c r="BI1378" i="48"/>
  <c r="BI460" i="48"/>
  <c r="BI353" i="48"/>
  <c r="BI1820" i="48"/>
  <c r="BI1071" i="48"/>
  <c r="BI873" i="48"/>
  <c r="BI1174" i="48"/>
  <c r="BI1168" i="48"/>
  <c r="BI1057" i="48"/>
  <c r="BI1655" i="48"/>
  <c r="BI1310" i="48"/>
  <c r="BI1376" i="48"/>
  <c r="BI1461" i="48"/>
  <c r="BI498" i="48"/>
  <c r="BI707" i="48"/>
  <c r="BI1774" i="48"/>
  <c r="BI1892" i="48"/>
  <c r="BI1435" i="48"/>
  <c r="BI578" i="48"/>
  <c r="BI270" i="48"/>
  <c r="BI1137" i="48"/>
  <c r="BI933" i="48"/>
  <c r="BI1153" i="48"/>
  <c r="BI1658" i="48"/>
  <c r="BI782" i="48"/>
  <c r="BI1414" i="48"/>
  <c r="BI1735" i="48"/>
  <c r="BI1586" i="48"/>
  <c r="BI285" i="48"/>
  <c r="BI1907" i="48"/>
  <c r="BI1516" i="48"/>
  <c r="BI732" i="48"/>
  <c r="BI231" i="48"/>
  <c r="BI1496" i="48"/>
  <c r="BI1623" i="48"/>
  <c r="BI1754" i="48"/>
  <c r="BI1026" i="48"/>
  <c r="BI1781" i="48"/>
  <c r="BI877" i="48"/>
  <c r="BI1493" i="48"/>
  <c r="BI942" i="48"/>
  <c r="BI973" i="48"/>
  <c r="BI1877" i="48"/>
  <c r="BI1767" i="48"/>
  <c r="BI274" i="48"/>
  <c r="BI1038" i="48"/>
  <c r="BI1323" i="48"/>
  <c r="BI1958" i="48"/>
  <c r="BI1410" i="48"/>
  <c r="BI796" i="48"/>
  <c r="BI930" i="48"/>
  <c r="BI1534" i="48"/>
  <c r="BI1855" i="48"/>
  <c r="BI1763" i="48"/>
  <c r="BI1508" i="48"/>
  <c r="BI836" i="48"/>
  <c r="BI1298" i="48"/>
  <c r="BI869" i="48"/>
  <c r="BI81" i="48"/>
  <c r="BI243" i="48"/>
  <c r="BI1042" i="48"/>
  <c r="BI574" i="48"/>
  <c r="BI1944" i="48"/>
  <c r="BI1703" i="48"/>
  <c r="BI1635" i="48"/>
  <c r="BI1299" i="48"/>
  <c r="BI1041" i="48"/>
  <c r="BI619" i="48"/>
  <c r="BI1843" i="48"/>
  <c r="BI630" i="48"/>
  <c r="BI981" i="48"/>
  <c r="BI1426" i="48"/>
  <c r="BI579" i="48"/>
  <c r="BI1772" i="48"/>
  <c r="BI302" i="48"/>
  <c r="BI257" i="48"/>
  <c r="BI444" i="48"/>
  <c r="BI1069" i="48"/>
  <c r="BI1111" i="48"/>
  <c r="BI1609" i="48"/>
  <c r="BI1787" i="48"/>
  <c r="BI1183" i="48"/>
  <c r="BI1003" i="48"/>
  <c r="BI1721" i="48"/>
  <c r="BI1869" i="48"/>
  <c r="BI1285" i="48"/>
  <c r="BI1384" i="48"/>
  <c r="BI1812" i="48"/>
  <c r="BI937" i="48"/>
  <c r="BI1249" i="48"/>
  <c r="BI1085" i="48"/>
  <c r="BI1107" i="48"/>
  <c r="BI1779" i="48"/>
  <c r="BI1849" i="48"/>
  <c r="BI913" i="48"/>
  <c r="BI1093" i="48"/>
  <c r="BI129" i="48"/>
  <c r="BI497" i="48"/>
  <c r="BI544" i="48"/>
  <c r="BI1970" i="48"/>
  <c r="BI1885" i="48"/>
  <c r="BI1065" i="48"/>
  <c r="BI93" i="48"/>
  <c r="BI192" i="48"/>
  <c r="BI905" i="48"/>
  <c r="BI1139" i="48"/>
  <c r="BI1861" i="48"/>
  <c r="BI1097" i="48"/>
  <c r="BI1047" i="48"/>
  <c r="BI675" i="48"/>
  <c r="BI1189" i="48"/>
  <c r="BI226" i="48"/>
  <c r="BI176" i="48"/>
  <c r="BI304" i="48"/>
  <c r="BI448" i="48"/>
  <c r="BI259" i="48"/>
  <c r="BI969" i="48"/>
  <c r="BI1845" i="48"/>
  <c r="BI704" i="48"/>
  <c r="BI985" i="48"/>
  <c r="BI1966" i="48"/>
  <c r="BI1281" i="48"/>
  <c r="BI256" i="48"/>
  <c r="BI1975" i="48"/>
  <c r="BI1005" i="48"/>
  <c r="BI263" i="48"/>
  <c r="BI208" i="48"/>
  <c r="BI432" i="48"/>
  <c r="BI401" i="48"/>
  <c r="BI144" i="48"/>
  <c r="BI1520" i="48"/>
  <c r="BI1752" i="48"/>
  <c r="BI352" i="48"/>
  <c r="BI1865" i="48"/>
  <c r="BI1802" i="48"/>
  <c r="BI1747" i="48"/>
  <c r="BI989" i="48"/>
  <c r="BI764" i="48"/>
  <c r="BI1101" i="48"/>
  <c r="BI183" i="48"/>
  <c r="BI147" i="48"/>
  <c r="BI1145" i="48"/>
  <c r="BI1205" i="48"/>
  <c r="BI1021" i="48"/>
  <c r="BI368" i="48"/>
  <c r="BI542" i="48"/>
  <c r="BI416" i="48"/>
  <c r="BI659" i="48"/>
  <c r="BI1837" i="48"/>
  <c r="BI1082" i="48"/>
  <c r="BI875" i="48"/>
  <c r="BI1237" i="48"/>
  <c r="BI945" i="48"/>
  <c r="BI1788" i="48"/>
  <c r="BI1687" i="48"/>
  <c r="BI1550" i="48"/>
  <c r="BI780" i="48"/>
  <c r="BI1789" i="48"/>
  <c r="BI220" i="48"/>
  <c r="BI1777" i="48"/>
  <c r="BI1446" i="48"/>
  <c r="BI1105" i="48"/>
  <c r="BI1238" i="48"/>
  <c r="BI595" i="48"/>
  <c r="BI2009" i="48"/>
  <c r="BI445" i="48"/>
  <c r="BI169" i="48"/>
  <c r="BI590" i="48"/>
  <c r="BI755" i="48"/>
  <c r="BI1793" i="48"/>
  <c r="BI993" i="48"/>
  <c r="BI412" i="48"/>
  <c r="BI199" i="48"/>
  <c r="BI1696" i="48"/>
  <c r="BI917" i="48"/>
  <c r="BI957" i="48"/>
  <c r="BI1872" i="48"/>
  <c r="BI1582" i="48"/>
  <c r="BI1755" i="48"/>
  <c r="BI1952" i="48"/>
  <c r="BI958" i="48"/>
  <c r="BI1106" i="48"/>
  <c r="BI651" i="48"/>
  <c r="BI1867" i="48"/>
  <c r="BI1513" i="48"/>
  <c r="BI1171" i="48"/>
  <c r="BI925" i="48"/>
  <c r="BI381" i="48"/>
  <c r="BI227" i="48"/>
  <c r="BI1430" i="48"/>
  <c r="BI909" i="48"/>
  <c r="BI1499" i="48"/>
  <c r="BI178" i="48"/>
  <c r="BI941" i="48"/>
  <c r="BI2046" i="48"/>
  <c r="BI1403" i="48"/>
  <c r="BI1889" i="48"/>
  <c r="BI1121" i="48"/>
  <c r="BI2027" i="48"/>
  <c r="BI366" i="48"/>
  <c r="BI1321" i="48"/>
  <c r="BI1930" i="48"/>
  <c r="BI1419" i="48"/>
  <c r="BI949" i="48"/>
  <c r="BI1688" i="48"/>
  <c r="BI1135" i="48"/>
  <c r="BI1893" i="48"/>
  <c r="BI806" i="48"/>
  <c r="BI430" i="48"/>
  <c r="BI440" i="48"/>
  <c r="BI694" i="48"/>
  <c r="BI565" i="48"/>
  <c r="BI215" i="48"/>
  <c r="BI785" i="48"/>
  <c r="BI1389" i="48"/>
  <c r="BI970" i="48"/>
  <c r="BI1438" i="48"/>
  <c r="BI1304" i="48"/>
  <c r="BI1204" i="48"/>
  <c r="BI1967" i="48"/>
  <c r="BI1604" i="48"/>
  <c r="BI1348" i="48"/>
  <c r="BI1614" i="48"/>
  <c r="BI114" i="48"/>
  <c r="BI749" i="48"/>
  <c r="BI1887" i="48"/>
  <c r="BI1649" i="48"/>
  <c r="BI1805" i="48"/>
  <c r="BI190" i="48"/>
  <c r="BI601" i="48"/>
  <c r="BI608" i="48"/>
  <c r="BI1917" i="48"/>
  <c r="BI1324" i="48"/>
  <c r="BI1879" i="48"/>
  <c r="BI950" i="48"/>
  <c r="BI458" i="48"/>
  <c r="BI70" i="48"/>
  <c r="BI1574" i="48"/>
  <c r="BI1911" i="48"/>
  <c r="BI1130" i="48"/>
  <c r="BI587" i="48"/>
  <c r="BI225" i="48"/>
  <c r="BI1990" i="48"/>
  <c r="BI1025" i="48"/>
  <c r="BI1810" i="48"/>
  <c r="BI1412" i="48"/>
  <c r="BI1760" i="48"/>
  <c r="BI1483" i="48"/>
  <c r="BI476" i="48"/>
  <c r="BI67" i="48"/>
  <c r="BI271" i="48"/>
  <c r="BI204" i="48"/>
  <c r="BI424" i="48"/>
  <c r="BI1002" i="48"/>
  <c r="BI1058" i="48"/>
  <c r="BI1724" i="48"/>
  <c r="BI1708" i="48"/>
  <c r="BI1416" i="48"/>
  <c r="BI1751" i="48"/>
  <c r="BI1286" i="48"/>
  <c r="BI889" i="48"/>
  <c r="BI1078" i="48"/>
  <c r="BI1235" i="48"/>
  <c r="BI1590" i="48"/>
  <c r="BI121" i="48"/>
  <c r="BI1030" i="48"/>
  <c r="BI963" i="48"/>
  <c r="BI898" i="48"/>
  <c r="BI454" i="48"/>
  <c r="BI238" i="48"/>
  <c r="BI1717" i="48"/>
  <c r="BI859" i="48"/>
  <c r="BI1400" i="48"/>
  <c r="BI1796" i="48"/>
  <c r="BI291" i="48"/>
  <c r="BI541" i="48"/>
  <c r="BI320" i="48"/>
  <c r="BI1685" i="48"/>
  <c r="BI931" i="48"/>
  <c r="BI438" i="48"/>
  <c r="BI343" i="48"/>
  <c r="BI1523" i="48"/>
  <c r="BI1217" i="48"/>
  <c r="BI464" i="48"/>
  <c r="BI1833" i="48"/>
  <c r="BI1159" i="48"/>
  <c r="BI1591" i="48"/>
  <c r="BI1327" i="48"/>
  <c r="BI2032" i="48"/>
  <c r="BI1081" i="48"/>
  <c r="BI275" i="48"/>
  <c r="BI78" i="48"/>
  <c r="BI1313" i="48"/>
  <c r="BI1720" i="48"/>
  <c r="BI1203" i="48"/>
  <c r="BI1535" i="48"/>
  <c r="BI1269" i="48"/>
  <c r="BI897" i="48"/>
  <c r="BI953" i="48"/>
  <c r="BI1542" i="48"/>
  <c r="BI878" i="48"/>
  <c r="BI715" i="48"/>
  <c r="BI1668" i="48"/>
  <c r="BI1829" i="48"/>
  <c r="BI207" i="48"/>
  <c r="BI774" i="48"/>
  <c r="BI1713" i="48"/>
  <c r="BI1233" i="48"/>
  <c r="BI336" i="48"/>
  <c r="BI1037" i="48"/>
  <c r="BI680" i="48"/>
  <c r="BI726" i="48"/>
  <c r="BI1671" i="48"/>
  <c r="BI358" i="48"/>
  <c r="BI977" i="48"/>
  <c r="BI1741" i="48"/>
  <c r="BI1971" i="48"/>
  <c r="BI1916" i="48"/>
  <c r="BI272" i="48"/>
  <c r="BI1117" i="48"/>
  <c r="BI865" i="48"/>
  <c r="BI1938" i="48"/>
  <c r="BI1662" i="48"/>
  <c r="BI1853" i="48"/>
  <c r="BI1221" i="48"/>
  <c r="BI819" i="48"/>
  <c r="BI64" i="48"/>
  <c r="BI99" i="48"/>
  <c r="BI384" i="48"/>
  <c r="BI1563" i="48"/>
  <c r="BI1301" i="48"/>
  <c r="BI1881" i="48"/>
  <c r="BI2035" i="48"/>
  <c r="BI835" i="48"/>
  <c r="BI1049" i="48"/>
  <c r="BI1265" i="48"/>
  <c r="BI1545" i="48"/>
  <c r="BI1710" i="48"/>
  <c r="BI1126" i="48"/>
  <c r="BI1289" i="48"/>
  <c r="BI1732" i="48"/>
  <c r="BI1014" i="48"/>
  <c r="BI1393" i="48"/>
  <c r="BI202" i="48"/>
  <c r="BI477" i="48"/>
  <c r="BI1832" i="48"/>
  <c r="BI1305" i="48"/>
  <c r="BI1742" i="48"/>
  <c r="BI1270" i="48"/>
  <c r="BI462" i="48"/>
  <c r="BI1202" i="48"/>
  <c r="BI2029" i="48"/>
  <c r="BI1264" i="48"/>
  <c r="BI76" i="48"/>
  <c r="BI822" i="48"/>
  <c r="BI557" i="48"/>
  <c r="BI1369" i="48"/>
  <c r="BI661" i="48"/>
  <c r="BI1809" i="48"/>
  <c r="BI1704" i="48"/>
  <c r="BI349" i="48"/>
  <c r="BI1075" i="48"/>
  <c r="BI967" i="48"/>
  <c r="BI1279" i="48"/>
  <c r="BI696" i="48"/>
  <c r="BI1331" i="48"/>
  <c r="BI1388" i="48"/>
  <c r="BI1514" i="48"/>
  <c r="BI1525" i="48"/>
  <c r="BI1584" i="48"/>
  <c r="BI2045" i="48"/>
  <c r="BI791" i="48"/>
  <c r="BI1899" i="48"/>
  <c r="BI1208" i="48"/>
  <c r="BI177" i="48"/>
  <c r="BI310" i="48"/>
  <c r="BI1630" i="48"/>
  <c r="BI1502" i="48"/>
  <c r="BI1295" i="48"/>
  <c r="BI1749" i="48"/>
  <c r="BI1128" i="48"/>
  <c r="BI345" i="48"/>
  <c r="BI262" i="48"/>
  <c r="BI137" i="48"/>
  <c r="BI1585" i="48"/>
  <c r="BI1236" i="48"/>
  <c r="BI1271" i="48"/>
  <c r="BI1470" i="48"/>
  <c r="BI1224" i="48"/>
  <c r="BI1750" i="48"/>
  <c r="BI1956" i="48"/>
  <c r="BI1826" i="48"/>
  <c r="BI813" i="48"/>
  <c r="BI743" i="48"/>
  <c r="BI1707" i="48"/>
  <c r="BI1319" i="48"/>
  <c r="BI2026" i="48"/>
  <c r="BI487" i="48"/>
  <c r="BI940" i="48"/>
  <c r="BI1922" i="48"/>
  <c r="BI1123" i="48"/>
  <c r="BI1995" i="48"/>
  <c r="BI1380" i="48"/>
  <c r="BI1170" i="48"/>
  <c r="BI1506" i="48"/>
  <c r="BI1628" i="48"/>
  <c r="BI1739" i="48"/>
  <c r="BI1011" i="48"/>
  <c r="BI258" i="48"/>
  <c r="BI637" i="48"/>
  <c r="BI576" i="48"/>
  <c r="BI1260" i="48"/>
  <c r="BI1337" i="48"/>
  <c r="BI61" i="48"/>
  <c r="BI1723" i="48"/>
  <c r="BI1228" i="48"/>
  <c r="BI1945" i="48"/>
  <c r="BI1530" i="48"/>
  <c r="BI1316" i="48"/>
  <c r="BI1486" i="48"/>
  <c r="BI439" i="48"/>
  <c r="BI1935" i="48"/>
  <c r="BI760" i="48"/>
  <c r="BI518" i="48"/>
  <c r="BI107" i="48"/>
  <c r="BI205" i="48"/>
  <c r="BI678" i="48"/>
  <c r="BI1941" i="48"/>
  <c r="BI299" i="48"/>
  <c r="BI1898" i="48"/>
  <c r="BI496" i="48"/>
  <c r="BI149" i="48"/>
  <c r="BI570" i="48"/>
  <c r="BI528" i="48"/>
  <c r="BI309" i="48"/>
  <c r="BI1933" i="48"/>
  <c r="BI550" i="48"/>
  <c r="BI786" i="48"/>
  <c r="BI303" i="48"/>
  <c r="BI1807" i="48"/>
  <c r="BI669" i="48"/>
  <c r="BI533" i="48"/>
  <c r="BI2024" i="48"/>
  <c r="BI549" i="48"/>
  <c r="BI761" i="48"/>
  <c r="BI581" i="48"/>
  <c r="BI517" i="48"/>
  <c r="BI753" i="48"/>
  <c r="BI545" i="48"/>
  <c r="BI633" i="48"/>
  <c r="BI725" i="48"/>
  <c r="BI794" i="48"/>
  <c r="BI247" i="48"/>
  <c r="BI2007" i="48"/>
  <c r="BI181" i="48"/>
  <c r="BI1939" i="48"/>
  <c r="BI261" i="48"/>
  <c r="BI770" i="48"/>
  <c r="BI293" i="48"/>
  <c r="BI441" i="48"/>
  <c r="BI377" i="48"/>
  <c r="BI249" i="48"/>
  <c r="BI746" i="48"/>
  <c r="BI698" i="48"/>
  <c r="BI79" i="48"/>
  <c r="BI712" i="48"/>
  <c r="BI2041" i="48"/>
  <c r="BI351" i="48"/>
  <c r="BI816" i="48"/>
  <c r="BI1439" i="48"/>
  <c r="BI1195" i="48"/>
  <c r="BI1259" i="48"/>
  <c r="BI983" i="48"/>
  <c r="BI1334" i="48"/>
  <c r="BI1219" i="48"/>
  <c r="BI934" i="48"/>
  <c r="BI86" i="48"/>
  <c r="BI1167" i="48"/>
  <c r="BI1850" i="48"/>
  <c r="BI1553" i="48"/>
  <c r="BI679" i="48"/>
  <c r="BI1444" i="48"/>
  <c r="BI1122" i="48"/>
  <c r="BI1753" i="48"/>
  <c r="BI1824" i="48"/>
  <c r="BI982" i="48"/>
  <c r="BI278" i="48"/>
  <c r="BI1576" i="48"/>
  <c r="BI1095" i="48"/>
  <c r="BI1473" i="48"/>
  <c r="BI1989" i="48"/>
  <c r="BI1294" i="48"/>
  <c r="BI647" i="48"/>
  <c r="BI1606" i="48"/>
  <c r="BI2049" i="48"/>
  <c r="BI1578" i="48"/>
  <c r="BI711" i="48"/>
  <c r="BI470" i="48"/>
  <c r="BI554" i="48"/>
  <c r="BI333" i="48"/>
  <c r="BI321" i="48"/>
  <c r="BI396" i="48"/>
  <c r="BI1034" i="48"/>
  <c r="BI1705" i="48"/>
  <c r="BI654" i="48"/>
  <c r="BI663" i="48"/>
  <c r="BI926" i="48"/>
  <c r="BI1602" i="48"/>
  <c r="BI588" i="48"/>
  <c r="BI1618" i="48"/>
  <c r="BI250" i="48"/>
  <c r="BI1226" i="48"/>
  <c r="BI1509" i="48"/>
  <c r="BI1940" i="48"/>
  <c r="BI2036" i="48"/>
  <c r="BI2055" i="48"/>
  <c r="BI354" i="48"/>
  <c r="BI355" i="48"/>
  <c r="BI489" i="48"/>
  <c r="BI1031" i="48"/>
  <c r="BI1828" i="48"/>
  <c r="BI609" i="48"/>
  <c r="BI1290" i="48"/>
  <c r="BI483" i="48"/>
  <c r="BI306" i="48"/>
  <c r="BI230" i="48"/>
  <c r="BI623" i="48"/>
  <c r="BI1659" i="48"/>
  <c r="BI1882" i="48"/>
  <c r="BI2031" i="48"/>
  <c r="BI154" i="48"/>
  <c r="BI771" i="48"/>
  <c r="BI1074" i="48"/>
  <c r="BI1440" i="48"/>
  <c r="BI1579" i="48"/>
  <c r="BI1471" i="48"/>
  <c r="BI767" i="48"/>
  <c r="BI1485" i="48"/>
  <c r="BI628" i="48"/>
  <c r="BI1878" i="48"/>
  <c r="BI1187" i="48"/>
  <c r="BI1932" i="48"/>
  <c r="BI2003" i="48"/>
  <c r="BI1894" i="48"/>
  <c r="BI1051" i="48"/>
  <c r="BI1627" i="48"/>
  <c r="BI102" i="48"/>
  <c r="BI170" i="48"/>
  <c r="BI1055" i="48"/>
  <c r="BI612" i="48"/>
  <c r="BI713" i="48"/>
  <c r="BI1061" i="48"/>
  <c r="BI812" i="48"/>
  <c r="BI1242" i="48"/>
  <c r="BI1374" i="48"/>
  <c r="BI741" i="48"/>
  <c r="BI2040" i="48"/>
  <c r="BI721" i="48"/>
  <c r="BI1373" i="48"/>
  <c r="BI385" i="48"/>
  <c r="BI739" i="48"/>
  <c r="BI883" i="48"/>
  <c r="BI1015" i="48"/>
  <c r="BI362" i="48"/>
  <c r="BI433" i="48"/>
  <c r="BI379" i="48"/>
  <c r="BI1948" i="48"/>
  <c r="BI1571" i="48"/>
  <c r="BI406" i="48"/>
  <c r="BI1322" i="48"/>
  <c r="BI1818" i="48"/>
  <c r="BI665" i="48"/>
  <c r="BI94" i="48"/>
  <c r="BI636" i="48"/>
  <c r="BI510" i="48"/>
  <c r="BI1429" i="48"/>
  <c r="BI115" i="48"/>
  <c r="BI1906" i="48"/>
  <c r="BI1441" i="48"/>
  <c r="BI467" i="48"/>
  <c r="BI1937" i="48"/>
  <c r="BI1489" i="48"/>
  <c r="BI618" i="48"/>
  <c r="BI1575" i="48"/>
  <c r="BI1343" i="48"/>
  <c r="BI856" i="48"/>
  <c r="BI143" i="48"/>
  <c r="BI1083" i="48"/>
  <c r="BI788" i="48"/>
  <c r="BI804" i="48"/>
  <c r="BI1693" i="48"/>
  <c r="BI1437" i="48"/>
  <c r="BI83" i="48"/>
  <c r="BI1339" i="48"/>
  <c r="BI580" i="48"/>
  <c r="BI728" i="48"/>
  <c r="BI1173" i="48"/>
  <c r="BI163" i="48"/>
  <c r="BI1983" i="48"/>
  <c r="BI999" i="48"/>
  <c r="BI772" i="48"/>
  <c r="BI1527" i="48"/>
  <c r="BI1243" i="48"/>
  <c r="BI684" i="48"/>
  <c r="BI762" i="48"/>
  <c r="BI2054" i="48"/>
  <c r="BI832" i="48"/>
  <c r="BI492" i="48"/>
  <c r="BI508" i="48"/>
  <c r="BI437" i="48"/>
  <c r="BI740" i="48"/>
  <c r="BI632" i="48"/>
  <c r="BI1211" i="48"/>
  <c r="BI1900" i="48"/>
  <c r="BI171" i="48"/>
  <c r="BI668" i="48"/>
  <c r="BI403" i="48"/>
  <c r="BI586" i="48"/>
  <c r="BI1678" i="48"/>
  <c r="BI1822" i="48"/>
  <c r="BI1182" i="48"/>
  <c r="BI371" i="48"/>
  <c r="BI77" i="48"/>
  <c r="BI706" i="48"/>
  <c r="BI1409" i="48"/>
  <c r="BI1599" i="48"/>
  <c r="BI435" i="48"/>
  <c r="BI1762" i="48"/>
  <c r="BI634" i="48"/>
  <c r="BI1896" i="48"/>
  <c r="BI339" i="48"/>
  <c r="BI357" i="48"/>
  <c r="BI1583" i="48"/>
  <c r="BI1495" i="48"/>
  <c r="BI927" i="48"/>
  <c r="BI1386" i="48"/>
  <c r="BI1743" i="48"/>
  <c r="BI1638" i="48"/>
  <c r="BI488" i="48"/>
  <c r="BI200" i="48"/>
  <c r="BI1698" i="48"/>
  <c r="BI1372" i="48"/>
  <c r="BI1540" i="48"/>
  <c r="BI1479" i="48"/>
  <c r="BI2000" i="48"/>
  <c r="BI1408" i="48"/>
  <c r="BI547" i="48"/>
  <c r="BI1642" i="48"/>
  <c r="BI1138" i="48"/>
  <c r="BI168" i="48"/>
  <c r="BI1748" i="48"/>
  <c r="BI1757" i="48"/>
  <c r="BI1953" i="48"/>
  <c r="BI1695" i="48"/>
  <c r="BI2033" i="48"/>
  <c r="BI1330" i="48"/>
  <c r="BI535" i="48"/>
  <c r="BI1459" i="48"/>
  <c r="BI563" i="48"/>
  <c r="BI165" i="48"/>
  <c r="BI393" i="48"/>
  <c r="BI924" i="48"/>
  <c r="BI591" i="48"/>
  <c r="BI1533" i="48"/>
  <c r="BI916" i="48"/>
  <c r="BI1700" i="48"/>
  <c r="BI1399" i="48"/>
  <c r="BI631" i="48"/>
  <c r="BI216" i="48"/>
  <c r="BI1214" i="48"/>
  <c r="BI182" i="48"/>
  <c r="BI365" i="48"/>
  <c r="BI520" i="48"/>
  <c r="BI495" i="48"/>
  <c r="BI90" i="48"/>
  <c r="BI2002" i="48"/>
  <c r="BI1309" i="48"/>
  <c r="BI572" i="48"/>
  <c r="BI1152" i="48"/>
  <c r="BI1076" i="48"/>
  <c r="BI1390" i="48"/>
  <c r="BI1231" i="48"/>
  <c r="BI1680" i="48"/>
  <c r="BI536" i="48"/>
  <c r="BI296" i="48"/>
  <c r="BI1532" i="48"/>
  <c r="BI1383" i="48"/>
  <c r="BI1831" i="48"/>
  <c r="BI1016" i="48"/>
  <c r="BI138" i="48"/>
  <c r="BI552" i="48"/>
  <c r="BI429" i="48"/>
  <c r="BI1092" i="48"/>
  <c r="BI908" i="48"/>
  <c r="BI1504" i="48"/>
  <c r="BI888" i="48"/>
  <c r="BI928" i="48"/>
  <c r="BI527" i="48"/>
  <c r="BI284" i="48"/>
  <c r="BI1552" i="48"/>
  <c r="BI1562" i="48"/>
  <c r="BI1974" i="48"/>
  <c r="BI1356" i="48"/>
  <c r="BI642" i="48"/>
  <c r="BI418" i="48"/>
  <c r="BI203" i="48"/>
  <c r="BI280" i="48"/>
  <c r="BI237" i="48"/>
  <c r="BI984" i="48"/>
  <c r="BI1959" i="48"/>
  <c r="BI1722" i="48"/>
  <c r="BI1420" i="48"/>
  <c r="BI815" i="48"/>
  <c r="BI1394" i="48"/>
  <c r="BI1006" i="48"/>
  <c r="BI1391" i="48"/>
  <c r="BI531" i="48"/>
  <c r="BI1206" i="48"/>
  <c r="BI768" i="48"/>
  <c r="BI703" i="48"/>
  <c r="BI1765" i="48"/>
  <c r="BI1492" i="48"/>
  <c r="BI861" i="48"/>
  <c r="BI543" i="48"/>
  <c r="BI140" i="48"/>
  <c r="BI478" i="48"/>
  <c r="BI1980" i="48"/>
  <c r="BI1218" i="48"/>
  <c r="BI1052" i="48"/>
  <c r="BI1012" i="48"/>
  <c r="BI1992" i="48"/>
  <c r="BI521" i="48"/>
  <c r="BI124" i="48"/>
  <c r="BI516" i="48"/>
  <c r="BI1573" i="48"/>
  <c r="BI1979" i="48"/>
  <c r="BI452" i="48"/>
  <c r="BI324" i="48"/>
  <c r="BI515" i="48"/>
  <c r="BI1150" i="48"/>
  <c r="BI212" i="48"/>
  <c r="BI1088" i="48"/>
  <c r="BI1199" i="48"/>
  <c r="BI1118" i="48"/>
  <c r="BI891" i="48"/>
  <c r="BI1124" i="48"/>
  <c r="BI683" i="48"/>
  <c r="BI600" i="48"/>
  <c r="BI1730" i="48"/>
  <c r="BI952" i="48"/>
  <c r="BI1223" i="48"/>
  <c r="BI855" i="48"/>
  <c r="BI1043" i="48"/>
  <c r="BI338" i="48"/>
  <c r="BI1690" i="48"/>
  <c r="BI956" i="48"/>
  <c r="BI1181" i="48"/>
  <c r="BI1884" i="48"/>
  <c r="BI892" i="48"/>
  <c r="BI727" i="48"/>
  <c r="BI920" i="48"/>
  <c r="BI1973" i="48"/>
  <c r="BI1229" i="48"/>
  <c r="BI1929" i="48"/>
  <c r="BI1398" i="48"/>
  <c r="BI903" i="48"/>
  <c r="BI1736" i="48"/>
  <c r="BI229" i="48"/>
  <c r="BI244" i="48"/>
  <c r="BI372" i="48"/>
  <c r="BI166" i="48"/>
  <c r="BI690" i="48"/>
  <c r="BI1629" i="48"/>
  <c r="BI980" i="48"/>
  <c r="BI443" i="48"/>
  <c r="BI346" i="48"/>
  <c r="BI466" i="48"/>
  <c r="BI1860" i="48"/>
  <c r="BI1844" i="48"/>
  <c r="BI1255" i="48"/>
  <c r="BI469" i="48"/>
  <c r="BI1000" i="48"/>
  <c r="BI1734" i="48"/>
  <c r="BI1775" i="48"/>
  <c r="BI1008" i="48"/>
  <c r="BI1261" i="48"/>
  <c r="BI763" i="48"/>
  <c r="BI1032" i="48"/>
  <c r="BI2025" i="48"/>
  <c r="BI975" i="48"/>
  <c r="BI276" i="48"/>
  <c r="BI155" i="48"/>
  <c r="BI1597" i="48"/>
  <c r="BI1157" i="48"/>
  <c r="BI420" i="48"/>
  <c r="BI1013" i="48"/>
  <c r="BI1277" i="48"/>
  <c r="BI1141" i="48"/>
  <c r="BI1068" i="48"/>
  <c r="BI1539" i="48"/>
  <c r="BI164" i="48"/>
  <c r="BI484" i="48"/>
  <c r="BI145" i="48"/>
  <c r="BI106" i="48"/>
  <c r="BI295" i="48"/>
  <c r="BI1335" i="48"/>
  <c r="BI1155" i="48"/>
  <c r="BI1436" i="48"/>
  <c r="BI825" i="48"/>
  <c r="BI305" i="48"/>
  <c r="BI2047" i="48"/>
  <c r="BI1792" i="48"/>
  <c r="BI1595" i="48"/>
  <c r="BI313" i="48"/>
  <c r="BI789" i="48"/>
  <c r="BI1351" i="48"/>
  <c r="BI1615" i="48"/>
  <c r="BI1862" i="48"/>
  <c r="BI1681" i="48"/>
  <c r="BI294" i="48"/>
  <c r="BI660" i="48"/>
  <c r="BI1731" i="48"/>
  <c r="BI1468" i="48"/>
  <c r="BI1999" i="48"/>
  <c r="BI1018" i="48"/>
  <c r="BI1359" i="48"/>
  <c r="BI800" i="48"/>
  <c r="BI693" i="48"/>
  <c r="BI322" i="48"/>
  <c r="BI505" i="48"/>
  <c r="BI287" i="48"/>
  <c r="BI526" i="48"/>
  <c r="BI1891" i="48"/>
  <c r="BI1169" i="48"/>
  <c r="BI300" i="48"/>
  <c r="BI966" i="48"/>
  <c r="BI1817" i="48"/>
  <c r="BI1756" i="48"/>
  <c r="BI687" i="48"/>
  <c r="BI1250" i="48"/>
  <c r="BI201" i="48"/>
  <c r="BI1413" i="48"/>
  <c r="BI1445" i="48"/>
  <c r="BI1354" i="48"/>
  <c r="BI1811" i="48"/>
  <c r="BI298" i="48"/>
  <c r="BI474" i="48"/>
  <c r="BI206" i="48"/>
  <c r="BI323" i="48"/>
  <c r="BI1813" i="48"/>
  <c r="BI1164" i="48"/>
  <c r="BI717" i="48"/>
  <c r="BI252" i="48"/>
  <c r="BI387" i="48"/>
  <c r="BI994" i="48"/>
  <c r="BI1503" i="48"/>
  <c r="BI582" i="48"/>
  <c r="BI745" i="48"/>
  <c r="BI1803" i="48"/>
  <c r="BI1875" i="48"/>
  <c r="BI189" i="48"/>
  <c r="BI186" i="48"/>
  <c r="BI446" i="48"/>
  <c r="BI1465" i="48"/>
  <c r="BI641" i="48"/>
  <c r="BI1560" i="48"/>
  <c r="BI671" i="48"/>
  <c r="BI1314" i="48"/>
  <c r="BI1460" i="48"/>
  <c r="BI1326" i="48"/>
  <c r="BI922" i="48"/>
  <c r="BI1740" i="48"/>
  <c r="BI318" i="48"/>
  <c r="BI60" i="48"/>
  <c r="BI236" i="48"/>
  <c r="BI109" i="48"/>
  <c r="BI1452" i="48"/>
  <c r="BI719" i="48"/>
  <c r="BI795" i="48"/>
  <c r="BI2008" i="48"/>
  <c r="BI2014" i="48"/>
  <c r="BI833" i="48"/>
  <c r="BI1986" i="48"/>
  <c r="BI656" i="48"/>
  <c r="BI1423" i="48"/>
  <c r="BI1484" i="48"/>
  <c r="BI561" i="48"/>
  <c r="BI594" i="48"/>
  <c r="BI453" i="48"/>
  <c r="BI1127" i="48"/>
  <c r="BI1737" i="48"/>
  <c r="BI666" i="48"/>
  <c r="BI195" i="48"/>
  <c r="BI211" i="48"/>
  <c r="BI1840" i="48"/>
  <c r="BI650" i="48"/>
  <c r="BI1119" i="48"/>
  <c r="BI620" i="48"/>
  <c r="BI1501" i="48"/>
  <c r="BI879" i="48"/>
  <c r="BI111" i="48"/>
  <c r="BI602" i="48"/>
  <c r="BI722" i="48"/>
  <c r="BI939" i="48"/>
  <c r="BI844" i="48"/>
  <c r="BI716" i="48"/>
  <c r="BI388" i="48"/>
  <c r="BI1431" i="48"/>
  <c r="BI1417" i="48"/>
  <c r="BI627" i="48"/>
  <c r="BI919" i="48"/>
  <c r="BI1528" i="48"/>
  <c r="BI1064" i="48"/>
  <c r="BI1963" i="48"/>
  <c r="BI1197" i="48"/>
  <c r="BI2017" i="48"/>
  <c r="BI292" i="48"/>
  <c r="BI62" i="48"/>
  <c r="BI699" i="48"/>
  <c r="BI1557" i="48"/>
  <c r="BI1044" i="48"/>
  <c r="BI1148" i="48"/>
  <c r="BI1996" i="48"/>
  <c r="BI1546" i="48"/>
  <c r="BI1625" i="48"/>
  <c r="BI356" i="48"/>
  <c r="BI395" i="48"/>
  <c r="BI1544" i="48"/>
  <c r="BI1104" i="48"/>
  <c r="BI1782" i="48"/>
  <c r="BI196" i="48"/>
  <c r="BI132" i="48"/>
  <c r="BI260" i="48"/>
  <c r="BI643" i="48"/>
  <c r="BI1994" i="48"/>
  <c r="BI1978" i="48"/>
  <c r="BI1096" i="48"/>
  <c r="BI1769" i="48"/>
  <c r="BI1541" i="48"/>
  <c r="BI1955" i="48"/>
  <c r="BI1340" i="48"/>
  <c r="BI332" i="48"/>
  <c r="BI72" i="48"/>
  <c r="BI344" i="48"/>
  <c r="BI1491" i="48"/>
  <c r="BI1160" i="48"/>
  <c r="BI559" i="48"/>
  <c r="BI1976" i="48"/>
  <c r="BI1282" i="48"/>
  <c r="BI1972" i="48"/>
  <c r="BI615" i="48"/>
  <c r="BI1798" i="48"/>
  <c r="BI944" i="48"/>
  <c r="BI863" i="48"/>
  <c r="BI1084" i="48"/>
  <c r="BI1984" i="48"/>
  <c r="BI932" i="48"/>
  <c r="BI1046" i="48"/>
  <c r="BI635" i="48"/>
  <c r="BI1344" i="48"/>
  <c r="BI504" i="48"/>
  <c r="BI282" i="48"/>
  <c r="BI807" i="48"/>
  <c r="BI1165" i="48"/>
  <c r="BI738" i="48"/>
  <c r="BI2052" i="48"/>
  <c r="BI113" i="48"/>
  <c r="BI350" i="48"/>
  <c r="BI414" i="48"/>
  <c r="BI843" i="48"/>
  <c r="BI811" i="48"/>
  <c r="BI1868" i="48"/>
  <c r="BI1140" i="48"/>
  <c r="BI254" i="48"/>
  <c r="BI866" i="48"/>
  <c r="BI646" i="48"/>
  <c r="BI1883" i="48"/>
  <c r="BI482" i="48"/>
  <c r="BI555" i="48"/>
  <c r="BI316" i="48"/>
  <c r="BI269" i="48"/>
  <c r="BI1098" i="48"/>
  <c r="BI1342" i="48"/>
  <c r="BI1475" i="48"/>
  <c r="BI1480" i="48"/>
  <c r="BI918" i="48"/>
  <c r="BI1362" i="48"/>
  <c r="BI911" i="48"/>
  <c r="BI548" i="48"/>
  <c r="BI328" i="48"/>
  <c r="BI348" i="48"/>
  <c r="BI92" i="48"/>
  <c r="BI1086" i="48"/>
  <c r="BI564" i="48"/>
  <c r="BI1048" i="48"/>
  <c r="BI1156" i="48"/>
  <c r="BI290" i="48"/>
  <c r="BI301" i="48"/>
  <c r="BI1191" i="48"/>
  <c r="BI1507" i="48"/>
  <c r="BI1346" i="48"/>
  <c r="BI88" i="48"/>
  <c r="BI268" i="48"/>
  <c r="BI409" i="48"/>
  <c r="BI312" i="48"/>
  <c r="BI1548" i="48"/>
  <c r="BI1020" i="48"/>
  <c r="BI1925" i="48"/>
  <c r="BI499" i="48"/>
  <c r="BI2013" i="48"/>
  <c r="BI1262" i="48"/>
  <c r="BI451" i="48"/>
  <c r="BI461" i="48"/>
  <c r="BI1619" i="48"/>
  <c r="BI923" i="48"/>
  <c r="BI1522" i="48"/>
  <c r="BI759" i="48"/>
  <c r="BI1981" i="48"/>
  <c r="BI793" i="48"/>
  <c r="BI1823" i="48"/>
  <c r="BI1987" i="48"/>
  <c r="BI737" i="48"/>
  <c r="BI386" i="48"/>
  <c r="BI1643" i="48"/>
  <c r="BI1611" i="48"/>
  <c r="BI676" i="48"/>
  <c r="BI997" i="48"/>
  <c r="BI790" i="48"/>
  <c r="BI1151" i="48"/>
  <c r="BI896" i="48"/>
  <c r="BI1146" i="48"/>
  <c r="BI1603" i="48"/>
  <c r="BI1888" i="48"/>
  <c r="BI1641" i="48"/>
  <c r="BI330" i="48"/>
  <c r="BI479" i="48"/>
  <c r="BI123" i="48"/>
  <c r="BI1814" i="48"/>
  <c r="BI995" i="48"/>
  <c r="BI1964" i="48"/>
  <c r="BI880" i="48"/>
  <c r="BI502" i="48"/>
  <c r="BI1778" i="48"/>
  <c r="BI593" i="48"/>
  <c r="BI864" i="48"/>
  <c r="BI769" i="48"/>
  <c r="BI747" i="48"/>
  <c r="BI708" i="48"/>
  <c r="BI1993" i="48"/>
  <c r="BI173" i="48"/>
  <c r="BI1776" i="48"/>
  <c r="BI742" i="48"/>
  <c r="BI1846" i="48"/>
  <c r="BI577" i="48"/>
  <c r="BI1876" i="48"/>
  <c r="BI757" i="48"/>
  <c r="BI1928" i="48"/>
  <c r="BI781" i="48"/>
  <c r="BI426" i="48"/>
  <c r="BI214" i="48"/>
  <c r="BI673" i="48"/>
  <c r="BI1733" i="48"/>
  <c r="BI625" i="48"/>
  <c r="BI955" i="48"/>
  <c r="BI1794" i="48"/>
  <c r="BI562" i="48"/>
  <c r="BI906" i="48"/>
  <c r="BI525" i="48"/>
  <c r="BI75" i="48"/>
  <c r="BI799" i="48"/>
  <c r="BI1283" i="48"/>
  <c r="BI1689" i="48"/>
  <c r="BI1699" i="48"/>
  <c r="BI1143" i="48"/>
  <c r="BI1453" i="48"/>
  <c r="BI797" i="48"/>
  <c r="BI1598" i="48"/>
  <c r="BI1577" i="48"/>
  <c r="BI649" i="48"/>
  <c r="BI407" i="48"/>
  <c r="BI943" i="48"/>
  <c r="BI648" i="48"/>
  <c r="BI566" i="48"/>
  <c r="BI1307" i="48"/>
  <c r="BI1147" i="48"/>
  <c r="BI255" i="48"/>
  <c r="BI714" i="48"/>
  <c r="BI840" i="48"/>
  <c r="BI2037" i="48"/>
  <c r="BI848" i="48"/>
  <c r="BI1179" i="48"/>
  <c r="BI1063" i="48"/>
  <c r="BI820" i="48"/>
  <c r="BI1367" i="48"/>
  <c r="BI239" i="48"/>
  <c r="BI610" i="48"/>
  <c r="BI1631" i="48"/>
  <c r="BI991" i="48"/>
  <c r="BI1663" i="48"/>
  <c r="BI1405" i="48"/>
  <c r="BI175" i="48"/>
  <c r="BI108" i="48"/>
  <c r="BI481" i="48"/>
  <c r="BI59" i="48"/>
  <c r="BI152" i="48"/>
  <c r="BI1942" i="48"/>
  <c r="BI1102" i="48"/>
  <c r="BI1564" i="48"/>
  <c r="BI766" i="48"/>
  <c r="BI405" i="48"/>
  <c r="BI838" i="48"/>
  <c r="BI383" i="48"/>
  <c r="BI436" i="48"/>
  <c r="BI1120" i="48"/>
  <c r="BI1072" i="48"/>
  <c r="BI1637" i="48"/>
  <c r="BI399" i="48"/>
  <c r="BI315" i="48"/>
  <c r="BI996" i="48"/>
  <c r="BI319" i="48"/>
  <c r="BI68" i="48"/>
  <c r="BI1447" i="48"/>
  <c r="BI1213" i="48"/>
  <c r="BI1163" i="48"/>
  <c r="BI1245" i="48"/>
  <c r="BI1931" i="48"/>
  <c r="BI688" i="48"/>
  <c r="BI972" i="48"/>
  <c r="BI447" i="48"/>
  <c r="BI519" i="48"/>
  <c r="BI1969" i="48"/>
  <c r="BI1657" i="48"/>
  <c r="BI1842" i="48"/>
  <c r="BI1427" i="48"/>
  <c r="BI1443" i="48"/>
  <c r="BI1449" i="48"/>
  <c r="BI1726" i="48"/>
  <c r="BI599" i="48"/>
  <c r="BI391" i="48"/>
  <c r="BI503" i="48"/>
  <c r="BI1100" i="48"/>
  <c r="BI968" i="48"/>
  <c r="BI1381" i="48"/>
  <c r="BI507" i="48"/>
  <c r="BI1036" i="48"/>
  <c r="BI2015" i="48"/>
  <c r="BI1947" i="48"/>
  <c r="BI667" i="48"/>
  <c r="BI1951" i="48"/>
  <c r="BI1702" i="48"/>
  <c r="BI1415" i="48"/>
  <c r="BI616" i="48"/>
  <c r="BI607" i="48"/>
  <c r="BI1287" i="48"/>
  <c r="BI87" i="48"/>
  <c r="BI468" i="48"/>
  <c r="BI1651" i="48"/>
  <c r="BI1839" i="48"/>
  <c r="BI117" i="48"/>
  <c r="BI1645" i="48"/>
  <c r="BI1045" i="48"/>
  <c r="BI904" i="48"/>
  <c r="BI367" i="48"/>
  <c r="BI1077" i="48"/>
  <c r="BI1112" i="48"/>
  <c r="BI1653" i="48"/>
  <c r="BI1605" i="48"/>
  <c r="BI1836" i="48"/>
  <c r="BI289" i="48"/>
  <c r="BI1136" i="48"/>
  <c r="BI1543" i="48"/>
  <c r="BI1004" i="48"/>
  <c r="BI100" i="48"/>
  <c r="BI374" i="48"/>
  <c r="BI148" i="48"/>
  <c r="BI335" i="48"/>
  <c r="BI1040" i="48"/>
  <c r="BI1109" i="48"/>
  <c r="BI992" i="48"/>
  <c r="BI567" i="48"/>
  <c r="BI1613" i="48"/>
  <c r="BI1766" i="48"/>
  <c r="BI1791" i="48"/>
  <c r="BI751" i="48"/>
  <c r="BI1674" i="48"/>
  <c r="BI839" i="48"/>
  <c r="BI1007" i="48"/>
  <c r="BI264" i="48"/>
  <c r="BI1679" i="48"/>
  <c r="BI472" i="48"/>
  <c r="BI1442" i="48"/>
  <c r="BI408" i="48"/>
  <c r="BI136" i="48"/>
  <c r="BI1903" i="48"/>
  <c r="BI501" i="48"/>
  <c r="BI1785" i="48"/>
  <c r="BI954" i="48"/>
  <c r="BI1222" i="48"/>
  <c r="BI1677" i="48"/>
  <c r="BI731" i="48"/>
  <c r="BI325" i="48"/>
  <c r="BI127" i="48"/>
  <c r="BI1761" i="48"/>
  <c r="BI2021" i="48"/>
  <c r="BI360" i="48"/>
  <c r="BI603" i="48"/>
  <c r="BI1675" i="48"/>
  <c r="BI529" i="48"/>
  <c r="BI317" i="48"/>
  <c r="BI2004" i="48"/>
  <c r="BI1957" i="48"/>
  <c r="BI1515" i="48"/>
  <c r="BI1278" i="48"/>
  <c r="BI89" i="48"/>
  <c r="BI69" i="48"/>
  <c r="BI297" i="48"/>
  <c r="BI1113" i="48"/>
  <c r="BI961" i="48"/>
  <c r="BI1858" i="48"/>
  <c r="BI1783" i="48"/>
  <c r="BI96" i="48"/>
  <c r="BI494" i="48"/>
  <c r="BI400" i="48"/>
  <c r="BI546" i="48"/>
  <c r="BI2043" i="48"/>
  <c r="BI1864" i="48"/>
  <c r="BI1759" i="48"/>
  <c r="BI1317" i="48"/>
  <c r="BI1968" i="48"/>
  <c r="BI112" i="48"/>
  <c r="BI512" i="48"/>
  <c r="BI490" i="48"/>
  <c r="BI480" i="48"/>
  <c r="BI1253" i="48"/>
  <c r="BI417" i="48"/>
  <c r="BI720" i="48"/>
  <c r="BI283" i="48"/>
  <c r="BI191" i="48"/>
  <c r="BI141" i="48"/>
  <c r="BI611" i="48"/>
  <c r="BI471" i="48"/>
  <c r="BI514" i="48"/>
  <c r="BI1267" i="48"/>
  <c r="BI1806" i="48"/>
  <c r="BI1001" i="48"/>
  <c r="BI224" i="48"/>
  <c r="BI899" i="48"/>
  <c r="BI160" i="48"/>
  <c r="BI1133" i="48"/>
  <c r="BI1033" i="48"/>
  <c r="BI1797" i="48"/>
  <c r="BI1795" i="48"/>
  <c r="BI1912" i="48"/>
  <c r="BI2016" i="48"/>
  <c r="BI1908" i="48"/>
  <c r="BI1873" i="48"/>
  <c r="BI104" i="48"/>
  <c r="BI1857" i="48"/>
  <c r="BI1712" i="48"/>
  <c r="BI894" i="48"/>
  <c r="BI392" i="48"/>
  <c r="BI273" i="48"/>
  <c r="BI456" i="48"/>
  <c r="BI156" i="48"/>
  <c r="BI1089" i="48"/>
  <c r="BI1764" i="48"/>
  <c r="BI1166" i="48"/>
  <c r="BI184" i="48"/>
  <c r="BI2038" i="48"/>
  <c r="BI750" i="48"/>
  <c r="BI1719" i="48"/>
  <c r="BI1673" i="48"/>
  <c r="BI118" i="48"/>
  <c r="BI723" i="48"/>
  <c r="BI369" i="48"/>
  <c r="BI1804" i="48"/>
  <c r="BI1934" i="48"/>
  <c r="BI1517" i="48"/>
  <c r="BI901" i="48"/>
  <c r="BI1821" i="48"/>
  <c r="BI1131" i="48"/>
  <c r="BI1451" i="48"/>
  <c r="BI532" i="48"/>
  <c r="BI265" i="48"/>
  <c r="BI428" i="48"/>
  <c r="BI1234" i="48"/>
  <c r="BI893" i="48"/>
  <c r="BI596" i="48"/>
  <c r="BI1009" i="48"/>
  <c r="BI1965" i="48"/>
  <c r="BI1297" i="48"/>
  <c r="BI921" i="48"/>
  <c r="BI1669" i="48"/>
  <c r="BI929" i="48"/>
  <c r="BI1129" i="48"/>
  <c r="BI363" i="48"/>
  <c r="BI1053" i="48"/>
  <c r="BI1039" i="48"/>
  <c r="BI1017" i="48"/>
  <c r="BI1392" i="48"/>
  <c r="BI1897" i="48"/>
  <c r="BI852" i="48"/>
  <c r="BI179" i="48"/>
  <c r="BI571" i="48"/>
  <c r="BI1661" i="48"/>
  <c r="BI881" i="48"/>
  <c r="BI1780" i="48"/>
  <c r="BI288" i="48"/>
  <c r="BI128" i="48"/>
  <c r="BI887" i="48"/>
  <c r="BI1172" i="48"/>
  <c r="BI1692" i="48"/>
  <c r="BI748" i="48"/>
  <c r="BI846" i="48"/>
  <c r="BI240" i="48"/>
  <c r="BI389" i="48"/>
  <c r="BI194" i="48"/>
  <c r="BI465" i="48"/>
  <c r="BI842" i="48"/>
  <c r="BI423" i="48"/>
  <c r="BI213" i="48"/>
  <c r="BI475" i="48"/>
  <c r="BI1185" i="48"/>
  <c r="BI1325" i="48"/>
  <c r="BI1201" i="48"/>
  <c r="BI80" i="48"/>
  <c r="BI1067" i="48"/>
  <c r="BI1149" i="48"/>
  <c r="BI427" i="48"/>
  <c r="BI277" i="48"/>
  <c r="BI197" i="48"/>
  <c r="BI493" i="48"/>
  <c r="BI522" i="48"/>
  <c r="BI1455" i="48"/>
  <c r="BI900" i="48"/>
  <c r="BI870" i="48"/>
  <c r="BI1856" i="48"/>
  <c r="BI101" i="48"/>
  <c r="BI801" i="48"/>
  <c r="BI1801" i="48"/>
  <c r="BI419" i="48"/>
  <c r="BI242" i="48"/>
  <c r="BI397" i="48"/>
  <c r="BI473" i="48"/>
  <c r="BI1194" i="48"/>
  <c r="BI1985" i="48"/>
  <c r="BI986" i="48"/>
  <c r="BI1162" i="48"/>
  <c r="BI1395" i="48"/>
  <c r="BI402" i="48"/>
  <c r="BI65" i="48"/>
  <c r="BI1519" i="48"/>
  <c r="BI1428" i="48"/>
  <c r="BI613" i="48"/>
  <c r="BI1851" i="48"/>
  <c r="BI1815" i="48"/>
  <c r="BI1497" i="48"/>
  <c r="BI513" i="48"/>
  <c r="BI1682" i="48"/>
  <c r="BI1923" i="48"/>
  <c r="BI85" i="48"/>
  <c r="BI1554" i="48"/>
  <c r="BI1407" i="48"/>
  <c r="BI1254" i="48"/>
  <c r="BI868" i="48"/>
  <c r="BI1246" i="48"/>
  <c r="BI857" i="48"/>
  <c r="BI157" i="48"/>
  <c r="BI1198" i="48"/>
  <c r="BI1512" i="48"/>
  <c r="BI1349" i="48"/>
  <c r="BI125" i="48"/>
  <c r="BI380" i="48"/>
  <c r="BI946" i="48"/>
  <c r="BI1667" i="48"/>
  <c r="BI1103" i="48"/>
  <c r="BI701" i="48"/>
  <c r="BI754" i="48"/>
  <c r="BI849" i="48"/>
  <c r="BI1361" i="48"/>
  <c r="BI449" i="48"/>
  <c r="BI245" i="48"/>
  <c r="BI422" i="48"/>
  <c r="BI1909" i="48"/>
  <c r="BI1827" i="48"/>
  <c r="BI682" i="48"/>
  <c r="BI915" i="48"/>
  <c r="BI1587" i="48"/>
  <c r="BI219" i="48"/>
  <c r="BI775" i="48"/>
  <c r="BI1500" i="48"/>
  <c r="BI1035" i="48"/>
  <c r="BI63" i="48"/>
  <c r="BI167" i="48"/>
  <c r="BI2012" i="48"/>
  <c r="BI947" i="48"/>
  <c r="BI697" i="48"/>
  <c r="BI209" i="48"/>
  <c r="BI1333" i="48"/>
  <c r="BI674" i="48"/>
  <c r="BI2050" i="48"/>
  <c r="BI808" i="48"/>
  <c r="BI1715" i="48"/>
  <c r="BI2028" i="48"/>
  <c r="BI1607" i="48"/>
  <c r="BI818" i="48"/>
  <c r="BI95" i="48"/>
  <c r="BI327" i="48"/>
  <c r="BI361" i="48"/>
  <c r="BI2042" i="48"/>
  <c r="BI1709" i="48"/>
  <c r="BI1570" i="48"/>
  <c r="BI1379" i="48"/>
  <c r="BI733" i="48"/>
  <c r="BI1087" i="48"/>
  <c r="BI217" i="48"/>
  <c r="BI375" i="48"/>
  <c r="BI538" i="48"/>
  <c r="BI103" i="48"/>
  <c r="BI1870" i="48"/>
  <c r="BI777" i="48"/>
  <c r="BI589" i="48"/>
  <c r="BI1456" i="48"/>
  <c r="BI845" i="48"/>
  <c r="BI773" i="48"/>
  <c r="BI851" i="48"/>
  <c r="BI1593" i="48"/>
  <c r="BI653" i="48"/>
  <c r="BI1874" i="48"/>
  <c r="BI1950" i="48"/>
  <c r="BI1274" i="48"/>
  <c r="BI1729" i="48"/>
  <c r="BI1559" i="48"/>
  <c r="BI1210" i="48"/>
  <c r="BI1664" i="48"/>
  <c r="BI210" i="48"/>
  <c r="BI378" i="48"/>
  <c r="BI1567" i="48"/>
  <c r="BI1029" i="48"/>
  <c r="BI1306" i="48"/>
  <c r="BI1982" i="48"/>
  <c r="BI1758" i="48"/>
  <c r="BI1725" i="48"/>
  <c r="BI979" i="48"/>
  <c r="BI1365" i="48"/>
  <c r="BI1647" i="48"/>
  <c r="BI1531" i="48"/>
  <c r="BI373" i="48"/>
  <c r="BI709" i="48"/>
  <c r="BI1345" i="48"/>
  <c r="BI1686" i="48"/>
  <c r="BI1880" i="48"/>
  <c r="BI935" i="48"/>
  <c r="BI74" i="48"/>
  <c r="BI347" i="48"/>
  <c r="BI415" i="48"/>
  <c r="BI1424" i="48"/>
  <c r="BI2010" i="48"/>
  <c r="BI1353" i="48"/>
  <c r="BI1421" i="48"/>
  <c r="BI1079" i="48"/>
  <c r="BI431" i="48"/>
  <c r="BI605" i="48"/>
  <c r="BI1639" i="48"/>
  <c r="BI691" i="48"/>
  <c r="BI841" i="48"/>
  <c r="BI1920" i="48"/>
  <c r="BI1186" i="48"/>
  <c r="BI1154" i="48"/>
  <c r="BI662" i="48"/>
  <c r="BI622" i="48"/>
  <c r="BI829" i="48"/>
  <c r="BI1786" i="48"/>
  <c r="BI1834" i="48"/>
  <c r="BI1477" i="48"/>
  <c r="BI1521" i="48"/>
  <c r="BI1670" i="48"/>
  <c r="BI826" i="48"/>
  <c r="BI2039" i="48"/>
  <c r="BI617" i="48"/>
  <c r="BI1866" i="48"/>
  <c r="BI1472" i="48"/>
  <c r="BI342" i="48"/>
  <c r="BI798" i="48"/>
  <c r="BI809" i="48"/>
  <c r="BI1448" i="48"/>
  <c r="BI2001" i="48"/>
  <c r="BI902" i="48"/>
  <c r="BI776" i="48"/>
  <c r="BI814" i="48"/>
  <c r="BI1371" i="48"/>
  <c r="BI509" i="48"/>
  <c r="BI410" i="48"/>
  <c r="BI583" i="48"/>
  <c r="BI1099" i="48"/>
  <c r="BI1961" i="48"/>
  <c r="BI1227" i="48"/>
  <c r="BI1350" i="48"/>
  <c r="BI233" i="48"/>
  <c r="BI500" i="48"/>
  <c r="BI382" i="48"/>
  <c r="BI681" i="48"/>
  <c r="BI1487" i="48"/>
  <c r="BI1387" i="48"/>
  <c r="BI778" i="48"/>
  <c r="BI910" i="48"/>
  <c r="BI765" i="48"/>
  <c r="BI1258" i="48"/>
  <c r="BI1505" i="48"/>
  <c r="BI803" i="48"/>
  <c r="BI1626" i="48"/>
  <c r="BI1901" i="48"/>
  <c r="BI1634" i="48"/>
  <c r="BI1357" i="48"/>
  <c r="BI394" i="48"/>
  <c r="BI286" i="48"/>
  <c r="BI364" i="48"/>
  <c r="BI253" i="48"/>
  <c r="BI823" i="48"/>
  <c r="BI1830" i="48"/>
  <c r="BI834" i="48"/>
  <c r="BI1728" i="48"/>
  <c r="BI1375" i="48"/>
  <c r="BI828" i="48"/>
  <c r="BI850" i="48"/>
  <c r="BI1991" i="48"/>
  <c r="BI2034" i="48"/>
  <c r="BI573" i="48"/>
  <c r="BI537" i="48"/>
  <c r="BI1318" i="48"/>
  <c r="BI122" i="48"/>
  <c r="BI66" i="48"/>
  <c r="BI193" i="48"/>
  <c r="BI506" i="48"/>
  <c r="BI592" i="48"/>
  <c r="BI1511" i="48"/>
  <c r="BI1918" i="48"/>
  <c r="BI1529" i="48"/>
  <c r="BI1230" i="48"/>
  <c r="BI1558" i="48"/>
  <c r="BI1425" i="48"/>
  <c r="BI162" i="48"/>
  <c r="BI1665" i="48"/>
  <c r="BI805" i="48"/>
  <c r="BI553" i="48"/>
  <c r="BI1377" i="48"/>
  <c r="BI959" i="48"/>
  <c r="BI677" i="48"/>
  <c r="BI442" i="48"/>
  <c r="BI1555" i="48"/>
  <c r="BI2030" i="48"/>
  <c r="BI821" i="48"/>
  <c r="BI1790" i="48"/>
  <c r="BI151" i="48"/>
  <c r="BI2023" i="48"/>
  <c r="BI597" i="48"/>
  <c r="BI1561" i="48"/>
  <c r="BI187" i="48"/>
  <c r="BI802" i="48"/>
  <c r="BI853" i="48"/>
  <c r="BI1059" i="48"/>
  <c r="BI1404" i="48"/>
  <c r="BI837" i="48"/>
  <c r="BI705" i="48"/>
  <c r="BI1338" i="48"/>
  <c r="BI1997" i="48"/>
  <c r="BI1315" i="48"/>
  <c r="BI329" i="48"/>
  <c r="BI817" i="48"/>
  <c r="BI1178" i="48"/>
  <c r="BI987" i="48"/>
  <c r="BI692" i="48"/>
  <c r="BI657" i="48"/>
  <c r="BI1115" i="48"/>
  <c r="BI1110" i="48"/>
  <c r="BI359" i="48"/>
  <c r="BI1125" i="48"/>
  <c r="BI1551" i="48"/>
  <c r="BI2051" i="48"/>
  <c r="BI341" i="48"/>
  <c r="BI534" i="48"/>
  <c r="BI1697" i="48"/>
  <c r="BI1895" i="48"/>
  <c r="BI1251" i="48"/>
  <c r="BI1023" i="48"/>
  <c r="BI895" i="48"/>
  <c r="BI1808" i="48"/>
  <c r="BI1886" i="48"/>
  <c r="BI1890" i="48"/>
  <c r="BI644" i="48"/>
  <c r="BI1291" i="48"/>
  <c r="BI1745" i="48"/>
  <c r="BI1848" i="48"/>
  <c r="BI1355" i="48"/>
  <c r="BI729" i="48"/>
  <c r="BI1341" i="48"/>
  <c r="BI629" i="48"/>
  <c r="BI73" i="48"/>
  <c r="BI862" i="48"/>
  <c r="BI1019" i="48"/>
  <c r="BI1158" i="48"/>
  <c r="BI1248" i="48"/>
  <c r="BI1580" i="48"/>
  <c r="BI734" i="48"/>
  <c r="BI2048" i="48"/>
  <c r="BI710" i="48"/>
  <c r="BI1538" i="48"/>
  <c r="BI1622" i="48"/>
  <c r="BI1066" i="48"/>
  <c r="BI1273" i="48"/>
  <c r="BI146" i="48"/>
  <c r="BI1946" i="48"/>
  <c r="BI1296" i="48"/>
  <c r="BI724" i="48"/>
  <c r="BI1547" i="48"/>
  <c r="BI1216" i="48"/>
  <c r="BI689" i="48"/>
  <c r="BI1620" i="48"/>
  <c r="BI390" i="48"/>
  <c r="BI1050" i="48"/>
  <c r="BI1601" i="48"/>
  <c r="BI1209" i="48"/>
  <c r="BI1633" i="48"/>
  <c r="BI1915" i="48"/>
  <c r="BI1784" i="48"/>
  <c r="BI886" i="48"/>
  <c r="BI1816" i="48"/>
  <c r="BI337" i="48"/>
  <c r="BI234" i="48"/>
  <c r="BI1402" i="48"/>
  <c r="BI1239" i="48"/>
  <c r="BI1091" i="48"/>
  <c r="BI1714" i="48"/>
  <c r="BI267" i="48"/>
  <c r="BI854" i="48"/>
  <c r="BI1280" i="48"/>
  <c r="BI281" i="48"/>
  <c r="BI1193" i="48"/>
  <c r="BI1650" i="48"/>
  <c r="BI398" i="48"/>
  <c r="BI326" i="48"/>
  <c r="BI153" i="48"/>
  <c r="BI964" i="48"/>
  <c r="BI1716" i="48"/>
  <c r="BI1835" i="48"/>
  <c r="BI912" i="48"/>
  <c r="BI962" i="48"/>
  <c r="BI1114" i="48"/>
  <c r="BI1364" i="48"/>
  <c r="BI1360" i="48"/>
  <c r="BI1524" i="48"/>
  <c r="BI1660" i="48"/>
  <c r="BI1744" i="48"/>
  <c r="BI1010" i="48"/>
  <c r="BI1476" i="48"/>
  <c r="BI1871" i="48"/>
  <c r="BI1056" i="48"/>
  <c r="BI998" i="48"/>
  <c r="BI1418" i="48"/>
  <c r="BI1434" i="48"/>
  <c r="BI1177" i="48"/>
  <c r="BI1022" i="48"/>
  <c r="BI2005" i="48"/>
  <c r="BI1184" i="48"/>
  <c r="BI1588" i="48"/>
  <c r="BI1863" i="48"/>
  <c r="BI1311" i="48"/>
  <c r="BI1200" i="48"/>
  <c r="BI1257" i="48"/>
  <c r="BI1617" i="48"/>
  <c r="BI1672" i="48"/>
  <c r="BI1646" i="48"/>
  <c r="BI974" i="48"/>
  <c r="BI1336" i="48"/>
  <c r="BI831" i="48"/>
  <c r="BI882" i="48"/>
  <c r="BI1537" i="48"/>
  <c r="BI1919" i="48"/>
  <c r="BI1656" i="48"/>
  <c r="BI1800" i="48"/>
  <c r="BI1232" i="48"/>
  <c r="BI1859" i="48"/>
  <c r="BI279" i="48"/>
  <c r="BI1142" i="48"/>
  <c r="BI1094" i="48"/>
  <c r="BI1241" i="48"/>
  <c r="BI1312" i="48"/>
  <c r="BI1027" i="48"/>
  <c r="BI575" i="48"/>
  <c r="BI1666" i="48"/>
  <c r="BI1913" i="48"/>
  <c r="BI491" i="48"/>
  <c r="BI246" i="48"/>
  <c r="BI486" i="48"/>
  <c r="BI1592" i="48"/>
  <c r="BI1706" i="48"/>
  <c r="BI1024" i="48"/>
  <c r="BI1252" i="48"/>
  <c r="BI1062" i="48"/>
  <c r="BI1462" i="48"/>
  <c r="BI874" i="48"/>
  <c r="BI1132" i="48"/>
  <c r="BI645" i="48"/>
  <c r="BI1469" i="48"/>
  <c r="BI1488" i="48"/>
  <c r="BI1320" i="48"/>
  <c r="BI988" i="48"/>
  <c r="BI1268" i="48"/>
  <c r="BI1458" i="48"/>
  <c r="BI1161" i="48"/>
  <c r="BI827" i="48"/>
  <c r="BI540" i="48"/>
  <c r="BI223" i="48"/>
  <c r="BI126" i="48"/>
  <c r="BI105" i="48"/>
  <c r="BI131" i="48"/>
  <c r="BI1028" i="48"/>
  <c r="BI1240" i="48"/>
  <c r="BI1284" i="48"/>
  <c r="BI1494" i="48"/>
  <c r="BI1292" i="48"/>
  <c r="BI752" i="48"/>
  <c r="BI558" i="48"/>
  <c r="BI1275" i="48"/>
  <c r="BI91" i="48"/>
  <c r="BI455" i="48"/>
  <c r="BI756" i="48"/>
  <c r="BI1648" i="48"/>
  <c r="BI2011" i="48"/>
  <c r="BI1212" i="48"/>
  <c r="BI847" i="48"/>
  <c r="BI1180" i="48"/>
  <c r="BI779" i="48"/>
  <c r="BI1176" i="48"/>
  <c r="BI1466" i="48"/>
  <c r="BI314" i="48"/>
  <c r="BI1244" i="48"/>
  <c r="BI1175" i="48"/>
  <c r="BI142" i="48"/>
  <c r="BI1116" i="48"/>
  <c r="BI1308" i="48"/>
  <c r="BI1616" i="48"/>
  <c r="BI1328" i="48"/>
  <c r="BI1962" i="48"/>
  <c r="BI1568" i="48"/>
  <c r="BI1518" i="48"/>
  <c r="BI1247" i="48"/>
  <c r="BI1600" i="48"/>
  <c r="BI1608" i="48"/>
  <c r="BI1490" i="48"/>
  <c r="BI1612" i="48"/>
  <c r="BI1799" i="48"/>
  <c r="BI1926" i="48"/>
  <c r="BI1406" i="48"/>
  <c r="BI1272" i="48"/>
  <c r="BI158" i="48"/>
  <c r="BI58" i="48"/>
  <c r="BI434" i="48"/>
  <c r="BI266" i="48"/>
  <c r="BI1569" i="48"/>
  <c r="BI858" i="48"/>
  <c r="BI1396" i="48"/>
  <c r="BI640" i="48"/>
  <c r="BI1303" i="48"/>
  <c r="BI1188" i="48"/>
  <c r="BI110" i="48"/>
  <c r="BI71" i="48"/>
  <c r="BI241" i="48"/>
  <c r="BI1854" i="48"/>
  <c r="BI2053" i="48"/>
  <c r="BI1838" i="48"/>
  <c r="BI1498" i="48"/>
  <c r="BI948" i="48"/>
  <c r="BI938" i="48"/>
  <c r="BI1691" i="48"/>
  <c r="BI621" i="48"/>
  <c r="BI626" i="48"/>
  <c r="BI1683" i="48"/>
  <c r="BI370" i="48"/>
  <c r="BI1256" i="48"/>
  <c r="BI652" i="48"/>
  <c r="BI524" i="48"/>
  <c r="BI1478" i="48"/>
  <c r="BI783" i="48"/>
  <c r="BI1905" i="48"/>
  <c r="BI1196" i="48"/>
  <c r="BI735" i="48"/>
  <c r="BI331" i="48"/>
  <c r="BI736" i="48"/>
  <c r="BI130" i="48"/>
  <c r="BI1566" i="48"/>
  <c r="BI1352" i="48"/>
  <c r="BI1054" i="48"/>
  <c r="BI1610" i="48"/>
  <c r="BI792" i="48"/>
  <c r="BI1266" i="48"/>
  <c r="BI1636" i="48"/>
  <c r="BI1370" i="48"/>
  <c r="BI1676" i="48"/>
  <c r="BI82" i="48"/>
  <c r="BI218" i="48"/>
  <c r="BI97" i="48"/>
  <c r="BI604" i="48"/>
  <c r="BI1852" i="48"/>
  <c r="BI1332" i="48"/>
  <c r="BI1825" i="48"/>
  <c r="BI2019" i="48"/>
  <c r="BI614" i="48"/>
  <c r="BI2006" i="48"/>
  <c r="BI1768" i="48"/>
  <c r="BI2056" i="48"/>
  <c r="BI450" i="48"/>
  <c r="BI334" i="48"/>
  <c r="BI686" i="48"/>
  <c r="BI1225" i="48"/>
  <c r="BI1190" i="48"/>
  <c r="BI1450" i="48"/>
  <c r="BI695" i="48"/>
  <c r="BI639" i="48"/>
  <c r="BI1464" i="48"/>
  <c r="BI1556" i="48"/>
  <c r="BI1594" i="48"/>
  <c r="BI1363" i="48"/>
  <c r="BI1977" i="48"/>
  <c r="BI1572" i="48"/>
  <c r="BI1847" i="48"/>
  <c r="BI1368" i="48"/>
  <c r="BI413" i="48"/>
  <c r="BI98" i="48"/>
  <c r="BI1652" i="48"/>
  <c r="BI658" i="48"/>
  <c r="BI1457" i="48"/>
  <c r="BI1904" i="48"/>
  <c r="BI198" i="48"/>
  <c r="BI1108" i="48"/>
  <c r="BI685" i="48"/>
  <c r="BI1329" i="48"/>
  <c r="BI1746" i="48"/>
  <c r="BI1302" i="48"/>
  <c r="BI307" i="48"/>
  <c r="BI598" i="48"/>
  <c r="BI119" i="48"/>
  <c r="BI1288" i="48"/>
  <c r="BI758" i="48"/>
  <c r="BI1276" i="48"/>
  <c r="BI2018" i="48"/>
  <c r="BI824" i="48"/>
  <c r="BI1300" i="48"/>
  <c r="BI810" i="48"/>
  <c r="BI139" i="48"/>
  <c r="BI1432" i="48"/>
  <c r="BI569" i="48"/>
  <c r="BI1632" i="48"/>
  <c r="BI907" i="48"/>
  <c r="BI1624" i="48"/>
  <c r="BI1936" i="48"/>
  <c r="BI174" i="48"/>
  <c r="BI1819" i="48"/>
  <c r="BI700" i="48"/>
  <c r="BI585" i="48"/>
  <c r="BI1482" i="48"/>
  <c r="BI556" i="48"/>
  <c r="BI235" i="48"/>
  <c r="BI221" i="48"/>
  <c r="BI1954" i="48"/>
  <c r="BI971" i="48"/>
  <c r="BI606" i="48"/>
  <c r="BI523" i="48"/>
  <c r="BI1192" i="48"/>
  <c r="BI1347" i="48"/>
  <c r="BI1474" i="48"/>
  <c r="BI1960" i="48"/>
  <c r="BI1596" i="48"/>
  <c r="BI134" i="48"/>
  <c r="BI664" i="48"/>
  <c r="BI1738" i="48"/>
  <c r="BI860" i="48"/>
  <c r="BI1454" i="48"/>
  <c r="BI1718" i="48"/>
  <c r="BI1366" i="48"/>
  <c r="BI411" i="48"/>
  <c r="BI871" i="48"/>
  <c r="BI1589" i="48"/>
  <c r="BI459" i="48"/>
  <c r="BI1382" i="48"/>
  <c r="BI1411" i="48"/>
  <c r="BI1621" i="48"/>
  <c r="BI1581" i="48"/>
  <c r="BI1526" i="48"/>
  <c r="BI539" i="48"/>
  <c r="BI1921" i="48"/>
  <c r="BI1080" i="48"/>
  <c r="BI976" i="48"/>
  <c r="BI1358" i="48"/>
  <c r="BI655" i="48"/>
  <c r="BI1711" i="48"/>
  <c r="BI872" i="48"/>
  <c r="BI914" i="48"/>
  <c r="BI185" i="48"/>
  <c r="BI232" i="48"/>
  <c r="BI188" i="48"/>
  <c r="BI485" i="48"/>
  <c r="BI376" i="48"/>
  <c r="BI120" i="48"/>
  <c r="BI1949" i="48"/>
  <c r="BI1727" i="48"/>
  <c r="BI1694" i="48"/>
  <c r="BI1070" i="48"/>
  <c r="BI1134" i="48"/>
  <c r="BI787" i="48"/>
  <c r="BI1549" i="48"/>
  <c r="BI1773" i="48"/>
  <c r="BI1927" i="48"/>
  <c r="BI978" i="48"/>
  <c r="BI161" i="48"/>
  <c r="BI172" i="48"/>
  <c r="BI421" i="48"/>
  <c r="BI1910" i="48"/>
  <c r="BI951" i="48"/>
  <c r="BI960" i="48"/>
  <c r="BI1684" i="48"/>
  <c r="BI551" i="48"/>
  <c r="BI1536" i="48"/>
  <c r="BI1463" i="48"/>
  <c r="BI248" i="48"/>
  <c r="BI425" i="48"/>
  <c r="BI990" i="48"/>
  <c r="BI150" i="48"/>
  <c r="BI308" i="48"/>
  <c r="BI228" i="48"/>
  <c r="BI1263" i="48"/>
  <c r="BI744" i="48"/>
  <c r="BI222" i="48"/>
  <c r="BI1401" i="48"/>
  <c r="BI1397" i="48"/>
  <c r="BI251" i="48"/>
  <c r="BI133" i="48"/>
  <c r="BI876" i="48"/>
  <c r="BI1565" i="48"/>
  <c r="BI1293" i="48"/>
  <c r="BI180" i="48"/>
  <c r="BI1914" i="48"/>
  <c r="BI340" i="48"/>
  <c r="BI404" i="48"/>
  <c r="BI311" i="48"/>
  <c r="BI1144" i="48"/>
  <c r="BI463" i="48"/>
  <c r="BI1902" i="48"/>
  <c r="BI784" i="48"/>
  <c r="BI511" i="48"/>
  <c r="BI584" i="48"/>
  <c r="BI1433" i="48"/>
  <c r="BI1060" i="48"/>
  <c r="BI116" i="48"/>
  <c r="BI84" i="48"/>
  <c r="BI1988" i="48"/>
  <c r="BI936" i="48"/>
  <c r="BI135" i="48"/>
  <c r="GB11" i="12"/>
  <c r="BH57" i="48"/>
  <c r="BI57" i="48"/>
  <c r="FE10" i="12"/>
  <c r="FG11" i="12"/>
  <c r="EY15" i="12"/>
  <c r="FG16" i="12"/>
  <c r="EY18" i="12"/>
  <c r="FC19" i="12"/>
  <c r="FG20" i="12"/>
  <c r="EY22" i="12"/>
  <c r="FC23" i="12"/>
  <c r="FG24" i="12"/>
  <c r="EY26" i="12"/>
  <c r="FC28" i="12"/>
  <c r="FK10" i="12"/>
  <c r="GK11" i="12"/>
  <c r="FG10" i="12"/>
  <c r="FG12" i="12"/>
  <c r="FC15" i="12"/>
  <c r="EV11" i="12"/>
  <c r="EZ12" i="12"/>
  <c r="FD13" i="12"/>
  <c r="EV15" i="12"/>
  <c r="EZ16" i="12"/>
  <c r="FD17" i="12"/>
  <c r="EV19" i="12"/>
  <c r="EZ20" i="12"/>
  <c r="FD21" i="12"/>
  <c r="EV23" i="12"/>
  <c r="EZ24" i="12"/>
  <c r="FD25" i="12"/>
  <c r="EZ27" i="12"/>
  <c r="EV30" i="12"/>
  <c r="FI11" i="12"/>
  <c r="FA12" i="12"/>
  <c r="FE16" i="12"/>
  <c r="EW18" i="12"/>
  <c r="FA19" i="12"/>
  <c r="FE20" i="12"/>
  <c r="EW22" i="12"/>
  <c r="FA23" i="12"/>
  <c r="FE24" i="12"/>
  <c r="EW26" i="12"/>
  <c r="EY28" i="12"/>
  <c r="FG30" i="12"/>
  <c r="GC11" i="12"/>
  <c r="FE12" i="12"/>
  <c r="FE14" i="12"/>
  <c r="EW16" i="12"/>
  <c r="EX11" i="12"/>
  <c r="FB12" i="12"/>
  <c r="FF13" i="12"/>
  <c r="EX15" i="12"/>
  <c r="FB16" i="12"/>
  <c r="FF17" i="12"/>
  <c r="EX19" i="12"/>
  <c r="FB20" i="12"/>
  <c r="FF21" i="12"/>
  <c r="EX23" i="12"/>
  <c r="FB24" i="12"/>
  <c r="FF25" i="12"/>
  <c r="FD27" i="12"/>
  <c r="EZ30" i="12"/>
  <c r="FQ11" i="12"/>
  <c r="EW27" i="12"/>
  <c r="FA28" i="12"/>
  <c r="FE29" i="12"/>
  <c r="FL10" i="12"/>
  <c r="GB10" i="12"/>
  <c r="FN11" i="12"/>
  <c r="GD11" i="12"/>
  <c r="FP12" i="12"/>
  <c r="GF12" i="12"/>
  <c r="FR13" i="12"/>
  <c r="GH13" i="12"/>
  <c r="FT14" i="12"/>
  <c r="GJ14" i="12"/>
  <c r="FW15" i="12"/>
  <c r="FO16" i="12"/>
  <c r="GJ16" i="12"/>
  <c r="GL17" i="12"/>
  <c r="FJ19" i="12"/>
  <c r="FM20" i="12"/>
  <c r="FQ22" i="12"/>
  <c r="FU24" i="12"/>
  <c r="FF27" i="12"/>
  <c r="EX29" i="12"/>
  <c r="FB30" i="12"/>
  <c r="FQ10" i="12"/>
  <c r="GG10" i="12"/>
  <c r="FS11" i="12"/>
  <c r="GI11" i="12"/>
  <c r="FU12" i="12"/>
  <c r="GK12" i="12"/>
  <c r="GA13" i="12"/>
  <c r="GC14" i="12"/>
  <c r="GI15" i="12"/>
  <c r="FW17" i="12"/>
  <c r="GA19" i="12"/>
  <c r="FW23" i="12"/>
  <c r="FL11" i="12"/>
  <c r="EW12" i="12"/>
  <c r="EY13" i="12"/>
  <c r="FG15" i="12"/>
  <c r="EY17" i="12"/>
  <c r="FC18" i="12"/>
  <c r="FG19" i="12"/>
  <c r="EY21" i="12"/>
  <c r="FC22" i="12"/>
  <c r="FG23" i="12"/>
  <c r="EY25" i="12"/>
  <c r="FC26" i="12"/>
  <c r="EY29" i="12"/>
  <c r="FS10" i="12"/>
  <c r="EW10" i="12"/>
  <c r="FC11" i="12"/>
  <c r="FC13" i="12"/>
  <c r="EV10" i="12"/>
  <c r="EZ11" i="12"/>
  <c r="FD12" i="12"/>
  <c r="EV14" i="12"/>
  <c r="EZ15" i="12"/>
  <c r="FD16" i="12"/>
  <c r="EV18" i="12"/>
  <c r="EZ19" i="12"/>
  <c r="FD20" i="12"/>
  <c r="EV22" i="12"/>
  <c r="EZ23" i="12"/>
  <c r="FD24" i="12"/>
  <c r="EV26" i="12"/>
  <c r="EV28" i="12"/>
  <c r="FD30" i="12"/>
  <c r="FY11" i="12"/>
  <c r="EW13" i="12"/>
  <c r="EW17" i="12"/>
  <c r="FA18" i="12"/>
  <c r="FE19" i="12"/>
  <c r="EW21" i="12"/>
  <c r="FA22" i="12"/>
  <c r="FE23" i="12"/>
  <c r="EW25" i="12"/>
  <c r="FA26" i="12"/>
  <c r="FG28" i="12"/>
  <c r="FO10" i="12"/>
  <c r="FO12" i="12"/>
  <c r="FA13" i="12"/>
  <c r="EW15" i="12"/>
  <c r="EX10" i="12"/>
  <c r="FB11" i="12"/>
  <c r="FF12" i="12"/>
  <c r="EX14" i="12"/>
  <c r="FB15" i="12"/>
  <c r="FF16" i="12"/>
  <c r="EX18" i="12"/>
  <c r="FB19" i="12"/>
  <c r="FF20" i="12"/>
  <c r="EX22" i="12"/>
  <c r="FB23" i="12"/>
  <c r="FF24" i="12"/>
  <c r="EX26" i="12"/>
  <c r="EZ28" i="12"/>
  <c r="FJ10" i="12"/>
  <c r="GG11" i="12"/>
  <c r="FA27" i="12"/>
  <c r="FE28" i="12"/>
  <c r="EW30" i="12"/>
  <c r="FP10" i="12"/>
  <c r="GF10" i="12"/>
  <c r="FR11" i="12"/>
  <c r="GH11" i="12"/>
  <c r="FT12" i="12"/>
  <c r="GJ12" i="12"/>
  <c r="FV13" i="12"/>
  <c r="GL13" i="12"/>
  <c r="FX14" i="12"/>
  <c r="FJ15" i="12"/>
  <c r="GC15" i="12"/>
  <c r="FT16" i="12"/>
  <c r="FN17" i="12"/>
  <c r="FP18" i="12"/>
  <c r="FR19" i="12"/>
  <c r="GC20" i="12"/>
  <c r="GG22" i="12"/>
  <c r="FF26" i="12"/>
  <c r="EX28" i="12"/>
  <c r="FB29" i="12"/>
  <c r="FF30" i="12"/>
  <c r="FU10" i="12"/>
  <c r="GK10" i="12"/>
  <c r="FW11" i="12"/>
  <c r="FI12" i="12"/>
  <c r="FY12" i="12"/>
  <c r="FK13" i="12"/>
  <c r="FI14" i="12"/>
  <c r="FK15" i="12"/>
  <c r="FU16" i="12"/>
  <c r="FQ18" i="12"/>
  <c r="GG20" i="12"/>
  <c r="FV10" i="12"/>
  <c r="FX11" i="12"/>
  <c r="FC10" i="12"/>
  <c r="FG13" i="12"/>
  <c r="EY16" i="12"/>
  <c r="FC17" i="12"/>
  <c r="FG18" i="12"/>
  <c r="EY20" i="12"/>
  <c r="FC21" i="12"/>
  <c r="FG22" i="12"/>
  <c r="EY24" i="12"/>
  <c r="FC25" i="12"/>
  <c r="EY27" i="12"/>
  <c r="FG29" i="12"/>
  <c r="GI10" i="12"/>
  <c r="FA11" i="12"/>
  <c r="EY12" i="12"/>
  <c r="EY14" i="12"/>
  <c r="EZ10" i="12"/>
  <c r="FD11" i="12"/>
  <c r="EV13" i="12"/>
  <c r="EZ14" i="12"/>
  <c r="FD15" i="12"/>
  <c r="EV17" i="12"/>
  <c r="EZ18" i="12"/>
  <c r="FD19" i="12"/>
  <c r="EV21" i="12"/>
  <c r="EZ22" i="12"/>
  <c r="FD23" i="12"/>
  <c r="EV25" i="12"/>
  <c r="EZ26" i="12"/>
  <c r="FD28" i="12"/>
  <c r="FN10" i="12"/>
  <c r="FK12" i="12"/>
  <c r="FE13" i="12"/>
  <c r="FA17" i="12"/>
  <c r="FE18" i="12"/>
  <c r="EW20" i="12"/>
  <c r="FA21" i="12"/>
  <c r="FE22" i="12"/>
  <c r="EW24" i="12"/>
  <c r="FA25" i="12"/>
  <c r="FG26" i="12"/>
  <c r="FC29" i="12"/>
  <c r="GA10" i="12"/>
  <c r="FA10" i="12"/>
  <c r="EW14" i="12"/>
  <c r="FA15" i="12"/>
  <c r="FB10" i="12"/>
  <c r="FF11" i="12"/>
  <c r="EX13" i="12"/>
  <c r="FB14" i="12"/>
  <c r="FF15" i="12"/>
  <c r="EX17" i="12"/>
  <c r="FB18" i="12"/>
  <c r="FF19" i="12"/>
  <c r="EX21" i="12"/>
  <c r="FB22" i="12"/>
  <c r="FF23" i="12"/>
  <c r="EX25" i="12"/>
  <c r="FB26" i="12"/>
  <c r="EV29" i="12"/>
  <c r="FR10" i="12"/>
  <c r="FS12" i="12"/>
  <c r="FE27" i="12"/>
  <c r="EW29" i="12"/>
  <c r="FA30" i="12"/>
  <c r="FT10" i="12"/>
  <c r="GJ10" i="12"/>
  <c r="FV11" i="12"/>
  <c r="GL11" i="12"/>
  <c r="FX12" i="12"/>
  <c r="FJ13" i="12"/>
  <c r="FZ13" i="12"/>
  <c r="FL14" i="12"/>
  <c r="GB14" i="12"/>
  <c r="FN15" i="12"/>
  <c r="GH15" i="12"/>
  <c r="FY16" i="12"/>
  <c r="FV17" i="12"/>
  <c r="FX18" i="12"/>
  <c r="FZ19" i="12"/>
  <c r="FO21" i="12"/>
  <c r="FS23" i="12"/>
  <c r="EX27" i="12"/>
  <c r="FB28" i="12"/>
  <c r="FF29" i="12"/>
  <c r="FI10" i="12"/>
  <c r="FY10" i="12"/>
  <c r="FK11" i="12"/>
  <c r="GA11" i="12"/>
  <c r="FM12" i="12"/>
  <c r="GC12" i="12"/>
  <c r="FS13" i="12"/>
  <c r="FM14" i="12"/>
  <c r="FO15" i="12"/>
  <c r="GA16" i="12"/>
  <c r="FY18" i="12"/>
  <c r="FS21" i="12"/>
  <c r="FZ10" i="12"/>
  <c r="GP29" i="12"/>
  <c r="GP27" i="12"/>
  <c r="GP25" i="12"/>
  <c r="GP23" i="12"/>
  <c r="GP21" i="12"/>
  <c r="GP19" i="12"/>
  <c r="GP17" i="12"/>
  <c r="GP15" i="12"/>
  <c r="GP13" i="12"/>
  <c r="GP11" i="12"/>
  <c r="GF30" i="12"/>
  <c r="FP30" i="12"/>
  <c r="GS29" i="12"/>
  <c r="GS27" i="12"/>
  <c r="GS25" i="12"/>
  <c r="GS23" i="12"/>
  <c r="GS21" i="12"/>
  <c r="GS19" i="12"/>
  <c r="GS17" i="12"/>
  <c r="GS15" i="12"/>
  <c r="GS13" i="12"/>
  <c r="GS11" i="12"/>
  <c r="GS31" i="12" s="1"/>
  <c r="GI30" i="12"/>
  <c r="FS30" i="12"/>
  <c r="GG29" i="12"/>
  <c r="FQ29" i="12"/>
  <c r="GE28" i="12"/>
  <c r="FO28" i="12"/>
  <c r="GC27" i="12"/>
  <c r="FM27" i="12"/>
  <c r="GA26" i="12"/>
  <c r="GN29" i="12"/>
  <c r="GN27" i="12"/>
  <c r="GN25" i="12"/>
  <c r="GN23" i="12"/>
  <c r="GN21" i="12"/>
  <c r="GN19" i="12"/>
  <c r="GN17" i="12"/>
  <c r="GN15" i="12"/>
  <c r="GN13" i="12"/>
  <c r="GN11" i="12"/>
  <c r="GH30" i="12"/>
  <c r="FR30" i="12"/>
  <c r="GF29" i="12"/>
  <c r="FP29" i="12"/>
  <c r="GD28" i="12"/>
  <c r="FN28" i="12"/>
  <c r="GB27" i="12"/>
  <c r="FL27" i="12"/>
  <c r="FZ26" i="12"/>
  <c r="GM29" i="12"/>
  <c r="GM27" i="12"/>
  <c r="GM25" i="12"/>
  <c r="GM23" i="12"/>
  <c r="GM21" i="12"/>
  <c r="GM19" i="12"/>
  <c r="GM17" i="12"/>
  <c r="GM15" i="12"/>
  <c r="GM31" i="12" s="1"/>
  <c r="GM13" i="12"/>
  <c r="GM11" i="12"/>
  <c r="GG30" i="12"/>
  <c r="FQ30" i="12"/>
  <c r="GL29" i="12"/>
  <c r="GG28" i="12"/>
  <c r="GE27" i="12"/>
  <c r="GC26" i="12"/>
  <c r="FK26" i="12"/>
  <c r="FY25" i="12"/>
  <c r="FI25" i="12"/>
  <c r="FW24" i="12"/>
  <c r="GK23" i="12"/>
  <c r="FU23" i="12"/>
  <c r="GI22" i="12"/>
  <c r="FS22" i="12"/>
  <c r="GG21" i="12"/>
  <c r="FQ21" i="12"/>
  <c r="GE20" i="12"/>
  <c r="FO20" i="12"/>
  <c r="GC19" i="12"/>
  <c r="FM19" i="12"/>
  <c r="GA18" i="12"/>
  <c r="FK18" i="12"/>
  <c r="FY17" i="12"/>
  <c r="FI17" i="12"/>
  <c r="FJ29" i="12"/>
  <c r="GL27" i="12"/>
  <c r="GJ26" i="12"/>
  <c r="FN26" i="12"/>
  <c r="GB25" i="12"/>
  <c r="FL25" i="12"/>
  <c r="FZ24" i="12"/>
  <c r="FJ24" i="12"/>
  <c r="FX23" i="12"/>
  <c r="GL22" i="12"/>
  <c r="FV22" i="12"/>
  <c r="GJ21" i="12"/>
  <c r="FT21" i="12"/>
  <c r="GH20" i="12"/>
  <c r="FR20" i="12"/>
  <c r="GF19" i="12"/>
  <c r="FP19" i="12"/>
  <c r="GD18" i="12"/>
  <c r="FN18" i="12"/>
  <c r="GB17" i="12"/>
  <c r="FL17" i="12"/>
  <c r="FZ16" i="12"/>
  <c r="FJ16" i="12"/>
  <c r="FX15" i="12"/>
  <c r="FO29" i="12"/>
  <c r="FM28" i="12"/>
  <c r="FK27" i="12"/>
  <c r="FQ26" i="12"/>
  <c r="GE25" i="12"/>
  <c r="FO25" i="12"/>
  <c r="FV29" i="12"/>
  <c r="FT28" i="12"/>
  <c r="FR27" i="12"/>
  <c r="FT26" i="12"/>
  <c r="GH25" i="12"/>
  <c r="FR25" i="12"/>
  <c r="GF24" i="12"/>
  <c r="FP24" i="12"/>
  <c r="GD23" i="12"/>
  <c r="FN23" i="12"/>
  <c r="GB22" i="12"/>
  <c r="FL22" i="12"/>
  <c r="FZ21" i="12"/>
  <c r="FJ21" i="12"/>
  <c r="FX20" i="12"/>
  <c r="GG24" i="12"/>
  <c r="GC22" i="12"/>
  <c r="FY20" i="12"/>
  <c r="FO19" i="12"/>
  <c r="FM18" i="12"/>
  <c r="FK17" i="12"/>
  <c r="FS16" i="12"/>
  <c r="GA15" i="12"/>
  <c r="FI15" i="12"/>
  <c r="FW14" i="12"/>
  <c r="GK13" i="12"/>
  <c r="FU13" i="12"/>
  <c r="GI12" i="12"/>
  <c r="GC24" i="12"/>
  <c r="FY22" i="12"/>
  <c r="FU20" i="12"/>
  <c r="FN19" i="12"/>
  <c r="FL18" i="12"/>
  <c r="FJ17" i="12"/>
  <c r="FQ16" i="12"/>
  <c r="FZ15" i="12"/>
  <c r="GL14" i="12"/>
  <c r="FV14" i="12"/>
  <c r="GJ13" i="12"/>
  <c r="FT13" i="12"/>
  <c r="GH12" i="12"/>
  <c r="FR12" i="12"/>
  <c r="GF11" i="12"/>
  <c r="FP11" i="12"/>
  <c r="GD10" i="12"/>
  <c r="FI24" i="12"/>
  <c r="GI21" i="12"/>
  <c r="GI19" i="12"/>
  <c r="GG18" i="12"/>
  <c r="GE17" i="12"/>
  <c r="GF16" i="12"/>
  <c r="FK16" i="12"/>
  <c r="FS15" i="12"/>
  <c r="GG14" i="12"/>
  <c r="FQ14" i="12"/>
  <c r="GE13" i="12"/>
  <c r="FO13" i="12"/>
  <c r="GT30" i="12"/>
  <c r="GT28" i="12"/>
  <c r="GT26" i="12"/>
  <c r="GT24" i="12"/>
  <c r="GT22" i="12"/>
  <c r="GT20" i="12"/>
  <c r="GT18" i="12"/>
  <c r="GT16" i="12"/>
  <c r="GT14" i="12"/>
  <c r="GT12" i="12"/>
  <c r="GT10" i="12"/>
  <c r="GB30" i="12"/>
  <c r="FL30" i="12"/>
  <c r="GO29" i="12"/>
  <c r="GO27" i="12"/>
  <c r="GO25" i="12"/>
  <c r="GO23" i="12"/>
  <c r="GO21" i="12"/>
  <c r="GO19" i="12"/>
  <c r="GO17" i="12"/>
  <c r="GO15" i="12"/>
  <c r="GO13" i="12"/>
  <c r="GO11" i="12"/>
  <c r="GE30" i="12"/>
  <c r="FO30" i="12"/>
  <c r="GC29" i="12"/>
  <c r="FM29" i="12"/>
  <c r="GA28" i="12"/>
  <c r="FK28" i="12"/>
  <c r="FY27" i="12"/>
  <c r="FI27" i="12"/>
  <c r="GR30" i="12"/>
  <c r="GR28" i="12"/>
  <c r="GR26" i="12"/>
  <c r="GR24" i="12"/>
  <c r="GR22" i="12"/>
  <c r="GR20" i="12"/>
  <c r="GR18" i="12"/>
  <c r="GR16" i="12"/>
  <c r="GR14" i="12"/>
  <c r="GR12" i="12"/>
  <c r="GR10" i="12"/>
  <c r="GD30" i="12"/>
  <c r="FN30" i="12"/>
  <c r="GB29" i="12"/>
  <c r="FL29" i="12"/>
  <c r="FZ28" i="12"/>
  <c r="FJ28" i="12"/>
  <c r="FX27" i="12"/>
  <c r="GL26" i="12"/>
  <c r="GQ30" i="12"/>
  <c r="GQ28" i="12"/>
  <c r="GQ26" i="12"/>
  <c r="GQ24" i="12"/>
  <c r="GQ22" i="12"/>
  <c r="GQ20" i="12"/>
  <c r="GQ18" i="12"/>
  <c r="GQ16" i="12"/>
  <c r="GQ14" i="12"/>
  <c r="GQ12" i="12"/>
  <c r="GQ10" i="12"/>
  <c r="GC30" i="12"/>
  <c r="FM30" i="12"/>
  <c r="GA29" i="12"/>
  <c r="FY28" i="12"/>
  <c r="FW27" i="12"/>
  <c r="FW26" i="12"/>
  <c r="GK25" i="12"/>
  <c r="FU25" i="12"/>
  <c r="GI24" i="12"/>
  <c r="FS24" i="12"/>
  <c r="GG23" i="12"/>
  <c r="FQ23" i="12"/>
  <c r="GE22" i="12"/>
  <c r="FO22" i="12"/>
  <c r="GC21" i="12"/>
  <c r="FM21" i="12"/>
  <c r="GA20" i="12"/>
  <c r="FK20" i="12"/>
  <c r="FY19" i="12"/>
  <c r="FI19" i="12"/>
  <c r="FW18" i="12"/>
  <c r="GK17" i="12"/>
  <c r="FU17" i="12"/>
  <c r="GH29" i="12"/>
  <c r="GF28" i="12"/>
  <c r="GD27" i="12"/>
  <c r="GB26" i="12"/>
  <c r="FJ26" i="12"/>
  <c r="FX25" i="12"/>
  <c r="GL24" i="12"/>
  <c r="FV24" i="12"/>
  <c r="GJ23" i="12"/>
  <c r="FT23" i="12"/>
  <c r="GH22" i="12"/>
  <c r="FR22" i="12"/>
  <c r="GF21" i="12"/>
  <c r="FP21" i="12"/>
  <c r="GD20" i="12"/>
  <c r="FN20" i="12"/>
  <c r="GB19" i="12"/>
  <c r="FL19" i="12"/>
  <c r="FZ18" i="12"/>
  <c r="FJ18" i="12"/>
  <c r="FX17" i="12"/>
  <c r="GL16" i="12"/>
  <c r="FV16" i="12"/>
  <c r="GJ15" i="12"/>
  <c r="FT15" i="12"/>
  <c r="GK28" i="12"/>
  <c r="GI27" i="12"/>
  <c r="GG26" i="12"/>
  <c r="FM26" i="12"/>
  <c r="GA25" i="12"/>
  <c r="FK25" i="12"/>
  <c r="FN29" i="12"/>
  <c r="FL28" i="12"/>
  <c r="FJ27" i="12"/>
  <c r="FP26" i="12"/>
  <c r="GD25" i="12"/>
  <c r="FN25" i="12"/>
  <c r="GB24" i="12"/>
  <c r="FL24" i="12"/>
  <c r="FZ23" i="12"/>
  <c r="FJ23" i="12"/>
  <c r="FX22" i="12"/>
  <c r="GL21" i="12"/>
  <c r="FV21" i="12"/>
  <c r="GJ20" i="12"/>
  <c r="FT20" i="12"/>
  <c r="FQ24" i="12"/>
  <c r="FM22" i="12"/>
  <c r="FI20" i="12"/>
  <c r="GK18" i="12"/>
  <c r="GI17" i="12"/>
  <c r="GI16" i="12"/>
  <c r="FM16" i="12"/>
  <c r="FV15" i="12"/>
  <c r="GI14" i="12"/>
  <c r="FS14" i="12"/>
  <c r="GG13" i="12"/>
  <c r="FQ13" i="12"/>
  <c r="GE12" i="12"/>
  <c r="FM24" i="12"/>
  <c r="FI22" i="12"/>
  <c r="GL19" i="12"/>
  <c r="GJ18" i="12"/>
  <c r="GH17" i="12"/>
  <c r="GG16" i="12"/>
  <c r="FL16" i="12"/>
  <c r="FU15" i="12"/>
  <c r="GH14" i="12"/>
  <c r="FR14" i="12"/>
  <c r="GF13" i="12"/>
  <c r="FP13" i="12"/>
  <c r="GD12" i="12"/>
  <c r="FN12" i="12"/>
  <c r="GP30" i="12"/>
  <c r="GP28" i="12"/>
  <c r="GP26" i="12"/>
  <c r="GP24" i="12"/>
  <c r="GP22" i="12"/>
  <c r="GP20" i="12"/>
  <c r="GP18" i="12"/>
  <c r="GP16" i="12"/>
  <c r="GP14" i="12"/>
  <c r="GP12" i="12"/>
  <c r="GP10" i="12"/>
  <c r="FX30" i="12"/>
  <c r="GS30" i="12"/>
  <c r="GS28" i="12"/>
  <c r="GS26" i="12"/>
  <c r="GS24" i="12"/>
  <c r="GS22" i="12"/>
  <c r="GS20" i="12"/>
  <c r="GS18" i="12"/>
  <c r="GS16" i="12"/>
  <c r="GS14" i="12"/>
  <c r="GS12" i="12"/>
  <c r="GS10" i="12"/>
  <c r="GA30" i="12"/>
  <c r="FK30" i="12"/>
  <c r="FY29" i="12"/>
  <c r="FI29" i="12"/>
  <c r="FW28" i="12"/>
  <c r="GK27" i="12"/>
  <c r="FU27" i="12"/>
  <c r="GI26" i="12"/>
  <c r="GN30" i="12"/>
  <c r="GN28" i="12"/>
  <c r="GN26" i="12"/>
  <c r="GN24" i="12"/>
  <c r="GN22" i="12"/>
  <c r="GN20" i="12"/>
  <c r="GN18" i="12"/>
  <c r="GN16" i="12"/>
  <c r="GN14" i="12"/>
  <c r="GN12" i="12"/>
  <c r="GN10" i="12"/>
  <c r="GN31" i="12" s="1"/>
  <c r="FZ30" i="12"/>
  <c r="FJ30" i="12"/>
  <c r="FX29" i="12"/>
  <c r="GL28" i="12"/>
  <c r="FV28" i="12"/>
  <c r="GJ27" i="12"/>
  <c r="FT27" i="12"/>
  <c r="GH26" i="12"/>
  <c r="GM30" i="12"/>
  <c r="GM28" i="12"/>
  <c r="GM26" i="12"/>
  <c r="GM24" i="12"/>
  <c r="GM22" i="12"/>
  <c r="GM20" i="12"/>
  <c r="GM18" i="12"/>
  <c r="GM16" i="12"/>
  <c r="GM14" i="12"/>
  <c r="GM12" i="12"/>
  <c r="GM10" i="12"/>
  <c r="FY30" i="12"/>
  <c r="FI30" i="12"/>
  <c r="FS29" i="12"/>
  <c r="FQ28" i="12"/>
  <c r="FO27" i="12"/>
  <c r="FS26" i="12"/>
  <c r="GG25" i="12"/>
  <c r="FQ25" i="12"/>
  <c r="GE24" i="12"/>
  <c r="FO24" i="12"/>
  <c r="GC23" i="12"/>
  <c r="FM23" i="12"/>
  <c r="GA22" i="12"/>
  <c r="FK22" i="12"/>
  <c r="FY21" i="12"/>
  <c r="FI21" i="12"/>
  <c r="FW20" i="12"/>
  <c r="GK19" i="12"/>
  <c r="FU19" i="12"/>
  <c r="GI18" i="12"/>
  <c r="FS18" i="12"/>
  <c r="GG17" i="12"/>
  <c r="FQ17" i="12"/>
  <c r="FZ29" i="12"/>
  <c r="FX28" i="12"/>
  <c r="FV27" i="12"/>
  <c r="FV26" i="12"/>
  <c r="GJ25" i="12"/>
  <c r="FT25" i="12"/>
  <c r="GH24" i="12"/>
  <c r="FR24" i="12"/>
  <c r="GF23" i="12"/>
  <c r="FP23" i="12"/>
  <c r="GD22" i="12"/>
  <c r="FN22" i="12"/>
  <c r="GB21" i="12"/>
  <c r="FL21" i="12"/>
  <c r="FZ20" i="12"/>
  <c r="FJ20" i="12"/>
  <c r="FX19" i="12"/>
  <c r="GL18" i="12"/>
  <c r="FV18" i="12"/>
  <c r="GJ17" i="12"/>
  <c r="FT17" i="12"/>
  <c r="GH16" i="12"/>
  <c r="FR16" i="12"/>
  <c r="GF15" i="12"/>
  <c r="GE29" i="12"/>
  <c r="GC28" i="12"/>
  <c r="GA27" i="12"/>
  <c r="FY26" i="12"/>
  <c r="FI26" i="12"/>
  <c r="FW25" i="12"/>
  <c r="GK24" i="12"/>
  <c r="GJ28" i="12"/>
  <c r="GH27" i="12"/>
  <c r="GF26" i="12"/>
  <c r="FL26" i="12"/>
  <c r="FZ25" i="12"/>
  <c r="FJ25" i="12"/>
  <c r="FX24" i="12"/>
  <c r="GL23" i="12"/>
  <c r="FV23" i="12"/>
  <c r="GJ22" i="12"/>
  <c r="FT22" i="12"/>
  <c r="GH21" i="12"/>
  <c r="FR21" i="12"/>
  <c r="GF20" i="12"/>
  <c r="FP20" i="12"/>
  <c r="GE23" i="12"/>
  <c r="GA21" i="12"/>
  <c r="GE19" i="12"/>
  <c r="GC18" i="12"/>
  <c r="GA17" i="12"/>
  <c r="GC16" i="12"/>
  <c r="GL15" i="12"/>
  <c r="FQ15" i="12"/>
  <c r="GE14" i="12"/>
  <c r="FO14" i="12"/>
  <c r="GC13" i="12"/>
  <c r="FM13" i="12"/>
  <c r="GA12" i="12"/>
  <c r="GA23" i="12"/>
  <c r="FW21" i="12"/>
  <c r="GD19" i="12"/>
  <c r="GB18" i="12"/>
  <c r="FZ17" i="12"/>
  <c r="GB16" i="12"/>
  <c r="GK15" i="12"/>
  <c r="FP15" i="12"/>
  <c r="GD14" i="12"/>
  <c r="FN14" i="12"/>
  <c r="GB13" i="12"/>
  <c r="FL13" i="12"/>
  <c r="FZ12" i="12"/>
  <c r="FJ12" i="12"/>
  <c r="GT29" i="12"/>
  <c r="GT27" i="12"/>
  <c r="GT25" i="12"/>
  <c r="GT23" i="12"/>
  <c r="GT21" i="12"/>
  <c r="GT19" i="12"/>
  <c r="GT17" i="12"/>
  <c r="GT15" i="12"/>
  <c r="GT13" i="12"/>
  <c r="GT11" i="12"/>
  <c r="GJ30" i="12"/>
  <c r="FT30" i="12"/>
  <c r="GO30" i="12"/>
  <c r="GO28" i="12"/>
  <c r="GO26" i="12"/>
  <c r="GO24" i="12"/>
  <c r="GO22" i="12"/>
  <c r="GO20" i="12"/>
  <c r="GO18" i="12"/>
  <c r="GO16" i="12"/>
  <c r="GO14" i="12"/>
  <c r="GO12" i="12"/>
  <c r="GO10" i="12"/>
  <c r="FW30" i="12"/>
  <c r="GK29" i="12"/>
  <c r="FU29" i="12"/>
  <c r="GI28" i="12"/>
  <c r="FS28" i="12"/>
  <c r="GG27" i="12"/>
  <c r="FQ27" i="12"/>
  <c r="GE26" i="12"/>
  <c r="GR29" i="12"/>
  <c r="GR27" i="12"/>
  <c r="GR25" i="12"/>
  <c r="GR23" i="12"/>
  <c r="GR21" i="12"/>
  <c r="GR19" i="12"/>
  <c r="GR17" i="12"/>
  <c r="GR15" i="12"/>
  <c r="GR13" i="12"/>
  <c r="GR11" i="12"/>
  <c r="GR31" i="12" s="1"/>
  <c r="GL30" i="12"/>
  <c r="FV30" i="12"/>
  <c r="GJ29" i="12"/>
  <c r="FT29" i="12"/>
  <c r="GH28" i="12"/>
  <c r="FR28" i="12"/>
  <c r="GF27" i="12"/>
  <c r="FP27" i="12"/>
  <c r="GD26" i="12"/>
  <c r="GQ29" i="12"/>
  <c r="GQ27" i="12"/>
  <c r="GQ25" i="12"/>
  <c r="GQ23" i="12"/>
  <c r="GQ21" i="12"/>
  <c r="GQ19" i="12"/>
  <c r="GQ17" i="12"/>
  <c r="GQ15" i="12"/>
  <c r="GQ13" i="12"/>
  <c r="GQ11" i="12"/>
  <c r="GK30" i="12"/>
  <c r="FU30" i="12"/>
  <c r="GI29" i="12"/>
  <c r="FK29" i="12"/>
  <c r="FI28" i="12"/>
  <c r="GK26" i="12"/>
  <c r="FO26" i="12"/>
  <c r="GC25" i="12"/>
  <c r="FM25" i="12"/>
  <c r="GA24" i="12"/>
  <c r="FK24" i="12"/>
  <c r="FY23" i="12"/>
  <c r="FI23" i="12"/>
  <c r="FW22" i="12"/>
  <c r="GK21" i="12"/>
  <c r="FU21" i="12"/>
  <c r="GI20" i="12"/>
  <c r="FS20" i="12"/>
  <c r="GG19" i="12"/>
  <c r="FQ19" i="12"/>
  <c r="GE18" i="12"/>
  <c r="FO18" i="12"/>
  <c r="GC17" i="12"/>
  <c r="FM17" i="12"/>
  <c r="FR29" i="12"/>
  <c r="FP28" i="12"/>
  <c r="FN27" i="12"/>
  <c r="FR26" i="12"/>
  <c r="GF25" i="12"/>
  <c r="FP25" i="12"/>
  <c r="GD24" i="12"/>
  <c r="FN24" i="12"/>
  <c r="GB23" i="12"/>
  <c r="FL23" i="12"/>
  <c r="FZ22" i="12"/>
  <c r="FJ22" i="12"/>
  <c r="FX21" i="12"/>
  <c r="GL20" i="12"/>
  <c r="FV20" i="12"/>
  <c r="GJ19" i="12"/>
  <c r="FT19" i="12"/>
  <c r="GH18" i="12"/>
  <c r="FR18" i="12"/>
  <c r="GF17" i="12"/>
  <c r="FP17" i="12"/>
  <c r="GD16" i="12"/>
  <c r="FN16" i="12"/>
  <c r="GB15" i="12"/>
  <c r="FW29" i="12"/>
  <c r="FU28" i="12"/>
  <c r="FS27" i="12"/>
  <c r="FU26" i="12"/>
  <c r="GI25" i="12"/>
  <c r="FS25" i="12"/>
  <c r="GD29" i="12"/>
  <c r="GB28" i="12"/>
  <c r="FZ27" i="12"/>
  <c r="FX26" i="12"/>
  <c r="GL25" i="12"/>
  <c r="FV25" i="12"/>
  <c r="GJ24" i="12"/>
  <c r="FT24" i="12"/>
  <c r="GH23" i="12"/>
  <c r="FR23" i="12"/>
  <c r="GF22" i="12"/>
  <c r="FP22" i="12"/>
  <c r="GD21" i="12"/>
  <c r="FN21" i="12"/>
  <c r="GB20" i="12"/>
  <c r="FL20" i="12"/>
  <c r="FO23" i="12"/>
  <c r="FK21" i="12"/>
  <c r="FW19" i="12"/>
  <c r="FU18" i="12"/>
  <c r="FS17" i="12"/>
  <c r="FX16" i="12"/>
  <c r="GG15" i="12"/>
  <c r="FM15" i="12"/>
  <c r="GA14" i="12"/>
  <c r="FK14" i="12"/>
  <c r="FY13" i="12"/>
  <c r="FI13" i="12"/>
  <c r="FW12" i="12"/>
  <c r="FK23" i="12"/>
  <c r="GK20" i="12"/>
  <c r="FV19" i="12"/>
  <c r="FT18" i="12"/>
  <c r="FR17" i="12"/>
  <c r="FW16" i="12"/>
  <c r="GE15" i="12"/>
  <c r="FL15" i="12"/>
  <c r="FZ14" i="12"/>
  <c r="FJ14" i="12"/>
  <c r="FX13" i="12"/>
  <c r="GL12" i="12"/>
  <c r="FV12" i="12"/>
  <c r="GJ11" i="12"/>
  <c r="FT11" i="12"/>
  <c r="GH10" i="12"/>
  <c r="FY24" i="12"/>
  <c r="FU22" i="12"/>
  <c r="FQ20" i="12"/>
  <c r="FK19" i="12"/>
  <c r="FI18" i="12"/>
  <c r="GK16" i="12"/>
  <c r="FP16" i="12"/>
  <c r="FY15" i="12"/>
  <c r="GK14" i="12"/>
  <c r="FU14" i="12"/>
  <c r="GI13" i="12"/>
  <c r="EY11" i="12"/>
  <c r="FC14" i="12"/>
  <c r="FC16" i="12"/>
  <c r="FG17" i="12"/>
  <c r="EY19" i="12"/>
  <c r="FC20" i="12"/>
  <c r="FG21" i="12"/>
  <c r="EY23" i="12"/>
  <c r="FC24" i="12"/>
  <c r="FG25" i="12"/>
  <c r="FG27" i="12"/>
  <c r="FC30" i="12"/>
  <c r="FU11" i="12"/>
  <c r="EY10" i="12"/>
  <c r="FC12" i="12"/>
  <c r="FG14" i="12"/>
  <c r="FD10" i="12"/>
  <c r="EV12" i="12"/>
  <c r="EZ13" i="12"/>
  <c r="FD14" i="12"/>
  <c r="EV16" i="12"/>
  <c r="EZ17" i="12"/>
  <c r="FD18" i="12"/>
  <c r="EV20" i="12"/>
  <c r="EZ21" i="12"/>
  <c r="FD22" i="12"/>
  <c r="EV24" i="12"/>
  <c r="EZ25" i="12"/>
  <c r="FD26" i="12"/>
  <c r="EZ29" i="12"/>
  <c r="FW10" i="12"/>
  <c r="EW11" i="12"/>
  <c r="FA16" i="12"/>
  <c r="FE17" i="12"/>
  <c r="EW19" i="12"/>
  <c r="FA20" i="12"/>
  <c r="FE21" i="12"/>
  <c r="EW23" i="12"/>
  <c r="FA24" i="12"/>
  <c r="FE25" i="12"/>
  <c r="FC27" i="12"/>
  <c r="EY30" i="12"/>
  <c r="FM11" i="12"/>
  <c r="FE11" i="12"/>
  <c r="FA14" i="12"/>
  <c r="FE15" i="12"/>
  <c r="FF10" i="12"/>
  <c r="EX12" i="12"/>
  <c r="FB13" i="12"/>
  <c r="FF14" i="12"/>
  <c r="EX16" i="12"/>
  <c r="FB17" i="12"/>
  <c r="FF18" i="12"/>
  <c r="EX20" i="12"/>
  <c r="FB21" i="12"/>
  <c r="FF22" i="12"/>
  <c r="EX24" i="12"/>
  <c r="FB25" i="12"/>
  <c r="EV27" i="12"/>
  <c r="FD29" i="12"/>
  <c r="GE10" i="12"/>
  <c r="FE26" i="12"/>
  <c r="EW28" i="12"/>
  <c r="FA29" i="12"/>
  <c r="FE30" i="12"/>
  <c r="FX10" i="12"/>
  <c r="FJ11" i="12"/>
  <c r="FZ11" i="12"/>
  <c r="FL12" i="12"/>
  <c r="GB12" i="12"/>
  <c r="FN13" i="12"/>
  <c r="GD13" i="12"/>
  <c r="FP14" i="12"/>
  <c r="GF14" i="12"/>
  <c r="FR15" i="12"/>
  <c r="FI16" i="12"/>
  <c r="GE16" i="12"/>
  <c r="GD17" i="12"/>
  <c r="GF18" i="12"/>
  <c r="GH19" i="12"/>
  <c r="GE21" i="12"/>
  <c r="GI23" i="12"/>
  <c r="FB27" i="12"/>
  <c r="FF28" i="12"/>
  <c r="EX30" i="12"/>
  <c r="FM10" i="12"/>
  <c r="GC10" i="12"/>
  <c r="FO11" i="12"/>
  <c r="GE11" i="12"/>
  <c r="FQ12" i="12"/>
  <c r="GG12" i="12"/>
  <c r="GG31" i="12" s="1"/>
  <c r="FW13" i="12"/>
  <c r="FY14" i="12"/>
  <c r="GD15" i="12"/>
  <c r="FO17" i="12"/>
  <c r="FS19" i="12"/>
  <c r="GK22" i="12"/>
  <c r="GL10" i="12"/>
  <c r="FA31" i="12"/>
  <c r="GP31" i="12"/>
  <c r="CN39" i="12"/>
  <c r="DU36" i="12"/>
  <c r="DE41" i="12"/>
  <c r="BF43" i="12"/>
  <c r="DS45" i="12"/>
  <c r="BS45" i="12"/>
  <c r="BJ37" i="12"/>
  <c r="CI43" i="12"/>
  <c r="BU40" i="12"/>
  <c r="AD35" i="12"/>
  <c r="DO43" i="12"/>
  <c r="I42" i="12"/>
  <c r="DB40" i="12"/>
  <c r="BR40" i="12"/>
  <c r="BQ37" i="12"/>
  <c r="AO37" i="12"/>
  <c r="DV43" i="12"/>
  <c r="CB43" i="12"/>
  <c r="J40" i="12"/>
  <c r="DP39" i="12"/>
  <c r="BZ42" i="12"/>
  <c r="AP44" i="12"/>
  <c r="S44" i="12"/>
  <c r="ED43" i="12"/>
  <c r="CK35" i="12"/>
  <c r="R43" i="12"/>
  <c r="FH45" i="12"/>
  <c r="CG41" i="12"/>
  <c r="J35" i="12"/>
  <c r="CN43" i="12"/>
  <c r="CA35" i="12"/>
  <c r="AU44" i="12"/>
  <c r="CD44" i="12"/>
  <c r="AX40" i="12"/>
  <c r="AC40" i="12"/>
  <c r="L40" i="12"/>
  <c r="AI43" i="12"/>
  <c r="ET37" i="12"/>
  <c r="BO43" i="12"/>
  <c r="CU38" i="12"/>
  <c r="CS35" i="12"/>
  <c r="DP40" i="12"/>
  <c r="AH38" i="12"/>
  <c r="EU45" i="12"/>
  <c r="H35" i="12"/>
  <c r="U37" i="12"/>
  <c r="AA38" i="12"/>
  <c r="EU41" i="12"/>
  <c r="BA43" i="12"/>
  <c r="EA42" i="12"/>
  <c r="CF44" i="12"/>
  <c r="CN38" i="12"/>
  <c r="DD38" i="12"/>
  <c r="X42" i="12"/>
  <c r="AO45" i="12"/>
  <c r="CF38" i="12"/>
  <c r="EK39" i="12"/>
  <c r="CA45" i="12"/>
  <c r="I36" i="12"/>
  <c r="DQ43" i="12"/>
  <c r="CR42" i="12"/>
  <c r="BX41" i="12"/>
  <c r="DP35" i="12"/>
  <c r="AE45" i="12"/>
  <c r="N36" i="12"/>
  <c r="DJ43" i="12"/>
  <c r="AV45" i="12"/>
  <c r="U38" i="12"/>
  <c r="BB36" i="12"/>
  <c r="AL35" i="12"/>
  <c r="DX35" i="12"/>
  <c r="E37" i="12"/>
  <c r="CU43" i="12"/>
  <c r="DC35" i="12"/>
  <c r="EB36" i="12"/>
  <c r="BF35" i="12"/>
  <c r="DC37" i="12"/>
  <c r="AH42" i="12"/>
  <c r="W42" i="12"/>
  <c r="BN43" i="12"/>
  <c r="U40" i="12"/>
  <c r="AI39" i="12"/>
  <c r="BY42" i="12"/>
  <c r="BE45" i="12"/>
  <c r="CC36" i="12"/>
  <c r="AT43" i="12"/>
  <c r="CZ42" i="12"/>
  <c r="EE40" i="12"/>
  <c r="CK44" i="12"/>
  <c r="DZ45" i="12"/>
  <c r="R35" i="12"/>
  <c r="V44" i="12"/>
  <c r="AH45" i="12"/>
  <c r="V38" i="12"/>
  <c r="U44" i="12"/>
  <c r="AI41" i="12"/>
  <c r="BC36" i="12"/>
  <c r="DS38" i="12"/>
  <c r="EP35" i="12"/>
  <c r="BC37" i="12"/>
  <c r="EQ45" i="12"/>
  <c r="O41" i="12"/>
  <c r="BQ36" i="12"/>
  <c r="AT40" i="12"/>
  <c r="ER35" i="12"/>
  <c r="T41" i="12"/>
  <c r="DN37" i="12"/>
  <c r="CP40" i="12"/>
  <c r="T39" i="12"/>
  <c r="DO42" i="12"/>
  <c r="AO43" i="12"/>
  <c r="BL45" i="12"/>
  <c r="DG39" i="12"/>
  <c r="AS39" i="12"/>
  <c r="AP37" i="12"/>
  <c r="AG40" i="12"/>
  <c r="EE41" i="12"/>
  <c r="EF45" i="12"/>
  <c r="DM40" i="12"/>
  <c r="CI40" i="12"/>
  <c r="S43" i="12"/>
  <c r="EI43" i="12"/>
  <c r="CK40" i="12"/>
  <c r="DP44" i="12"/>
  <c r="AZ39" i="12"/>
  <c r="BU36" i="12"/>
  <c r="BZ41" i="12"/>
  <c r="AW38" i="12"/>
  <c r="AA42" i="12"/>
  <c r="AS38" i="12"/>
  <c r="AB44" i="12"/>
  <c r="CI45" i="12"/>
  <c r="BI41" i="12"/>
  <c r="AN35" i="12"/>
  <c r="DB39" i="12"/>
  <c r="GU40" i="12"/>
  <c r="AD44" i="12"/>
  <c r="BX45" i="12"/>
  <c r="DV42" i="12"/>
  <c r="DI41" i="12"/>
  <c r="DL39" i="12"/>
  <c r="CC38" i="12"/>
  <c r="AF38" i="12"/>
  <c r="BH44" i="12"/>
  <c r="G39" i="12"/>
  <c r="AR35" i="12"/>
  <c r="AS45" i="12"/>
  <c r="V36" i="12"/>
  <c r="ES41" i="12"/>
  <c r="EK45" i="12"/>
  <c r="CC40" i="12"/>
  <c r="AM45" i="12"/>
  <c r="AL41" i="12"/>
  <c r="AZ40" i="12"/>
  <c r="CI39" i="12"/>
  <c r="BV42" i="12"/>
  <c r="ED44" i="12"/>
  <c r="I40" i="12"/>
  <c r="BR35" i="12"/>
  <c r="CD42" i="12"/>
  <c r="R37" i="12"/>
  <c r="DY39" i="12"/>
  <c r="M35" i="12"/>
  <c r="AC41" i="12"/>
  <c r="BQ38" i="12"/>
  <c r="EL44" i="12"/>
  <c r="CY43" i="12"/>
  <c r="CA44" i="12"/>
  <c r="D35" i="12"/>
  <c r="AT41" i="12"/>
  <c r="DC43" i="12"/>
  <c r="CU41" i="12"/>
  <c r="AW35" i="12"/>
  <c r="AS41" i="12"/>
  <c r="Q44" i="12"/>
  <c r="AA43" i="12"/>
  <c r="CH37" i="12"/>
  <c r="DJ37" i="12"/>
  <c r="CY44" i="12"/>
  <c r="CR40" i="12"/>
  <c r="DT37" i="12"/>
  <c r="X41" i="12"/>
  <c r="BF41" i="12"/>
  <c r="BH36" i="12"/>
  <c r="BS37" i="12"/>
  <c r="CU42" i="12"/>
  <c r="CP36" i="12"/>
  <c r="DZ40" i="12"/>
  <c r="BK45" i="12"/>
  <c r="EN40" i="12"/>
  <c r="BP41" i="12"/>
  <c r="BM43" i="12"/>
  <c r="F42" i="12"/>
  <c r="P43" i="12"/>
  <c r="EO35" i="12"/>
  <c r="DB43" i="12"/>
  <c r="FH42" i="12"/>
  <c r="DZ35" i="12"/>
  <c r="AY35" i="12"/>
  <c r="DY41" i="12"/>
  <c r="CO41" i="12"/>
  <c r="BV41" i="12"/>
  <c r="CN37" i="12"/>
  <c r="BY44" i="12"/>
  <c r="DL45" i="12"/>
  <c r="CP43" i="12"/>
  <c r="GN44" i="12"/>
  <c r="CR43" i="12"/>
  <c r="CZ38" i="12"/>
  <c r="AN41" i="12"/>
  <c r="AV39" i="12"/>
  <c r="AQ36" i="12"/>
  <c r="BO39" i="12"/>
  <c r="J45" i="12"/>
  <c r="BO36" i="12"/>
  <c r="BP45" i="12"/>
  <c r="CA36" i="12"/>
  <c r="W45" i="12"/>
  <c r="BZ40" i="12"/>
  <c r="T35" i="12"/>
  <c r="BU38" i="12"/>
  <c r="BU42" i="12"/>
  <c r="DH45" i="12"/>
  <c r="AH40" i="12"/>
  <c r="DD37" i="12"/>
  <c r="CB41" i="12"/>
  <c r="DV36" i="12"/>
  <c r="DW45" i="12"/>
  <c r="BV43" i="12"/>
  <c r="DQ41" i="12"/>
  <c r="AS43" i="12"/>
  <c r="BN40" i="12"/>
  <c r="DW37" i="12"/>
  <c r="BL36" i="12"/>
  <c r="EB44" i="12"/>
  <c r="AX38" i="12"/>
  <c r="AU40" i="12"/>
  <c r="AB40" i="12"/>
  <c r="DT38" i="12"/>
  <c r="AR40" i="12"/>
  <c r="DI42" i="12"/>
  <c r="CM37" i="12"/>
  <c r="DB38" i="12"/>
  <c r="DE40" i="12"/>
  <c r="Z41" i="12"/>
  <c r="BM40" i="12"/>
  <c r="AW43" i="12"/>
  <c r="CM40" i="12"/>
  <c r="DD42" i="12"/>
  <c r="CD41" i="12"/>
  <c r="AQ35" i="12"/>
  <c r="R41" i="12"/>
  <c r="DK39" i="12"/>
  <c r="DW44" i="12"/>
  <c r="CS39" i="12"/>
  <c r="AZ45" i="12"/>
  <c r="BY38" i="12"/>
  <c r="BP43" i="12"/>
  <c r="DC45" i="12"/>
  <c r="BI36" i="12"/>
  <c r="V45" i="12"/>
  <c r="CS42" i="12"/>
  <c r="CT44" i="12"/>
  <c r="BF40" i="12"/>
  <c r="AC43" i="12"/>
  <c r="CX39" i="12"/>
  <c r="CA40" i="12"/>
  <c r="DW39" i="12"/>
  <c r="EQ38" i="12"/>
  <c r="BA37" i="12"/>
  <c r="DT45" i="12"/>
  <c r="BL40" i="12"/>
  <c r="BF45" i="12"/>
  <c r="CO35" i="12"/>
  <c r="DH44" i="12"/>
  <c r="EC42" i="12"/>
  <c r="BX36" i="12"/>
  <c r="EC37" i="12"/>
  <c r="DN44" i="12"/>
  <c r="BB38" i="12"/>
  <c r="AE37" i="12"/>
  <c r="CG42" i="12"/>
  <c r="BD44" i="12"/>
  <c r="DL38" i="12"/>
  <c r="D44" i="12"/>
  <c r="EK36" i="12"/>
  <c r="AE39" i="12"/>
  <c r="EN41" i="12"/>
  <c r="ER37" i="12"/>
  <c r="DA45" i="12"/>
  <c r="CC42" i="12"/>
  <c r="AN37" i="12"/>
  <c r="CH35" i="12"/>
  <c r="BG43" i="12"/>
  <c r="EB38" i="12"/>
  <c r="G35" i="12"/>
  <c r="AP40" i="12"/>
  <c r="AV37" i="12"/>
  <c r="AD41" i="12"/>
  <c r="CV39" i="12"/>
  <c r="BV45" i="12"/>
  <c r="AY39" i="12"/>
  <c r="Y42" i="12"/>
  <c r="DK35" i="12"/>
  <c r="P35" i="12"/>
  <c r="EC38" i="12"/>
  <c r="BE39" i="12"/>
  <c r="EO41" i="12"/>
  <c r="BN45" i="12"/>
  <c r="DX42" i="12"/>
  <c r="AQ37" i="12"/>
  <c r="F40" i="12"/>
  <c r="EE43" i="12"/>
  <c r="DP41" i="12"/>
  <c r="EJ39" i="12"/>
  <c r="BT44" i="12"/>
  <c r="EF38" i="12"/>
  <c r="EK42" i="12"/>
  <c r="ES37" i="12"/>
  <c r="BV38" i="12"/>
  <c r="EE44" i="12"/>
  <c r="FH36" i="12"/>
  <c r="CP44" i="12"/>
  <c r="L38" i="12"/>
  <c r="BH43" i="12"/>
  <c r="BX39" i="12"/>
  <c r="CR41" i="12"/>
  <c r="X37" i="12"/>
  <c r="Z45" i="12"/>
  <c r="M39" i="12"/>
  <c r="BW39" i="12"/>
  <c r="DA42" i="12"/>
  <c r="CG40" i="12"/>
  <c r="CF40" i="12"/>
  <c r="BB44" i="12"/>
  <c r="EJ35" i="12"/>
  <c r="AQ44" i="12"/>
  <c r="AO38" i="12"/>
  <c r="CP41" i="12"/>
  <c r="CD36" i="12"/>
  <c r="DY44" i="12"/>
  <c r="BG36" i="12"/>
  <c r="CL38" i="12"/>
  <c r="AY45" i="12"/>
  <c r="DN41" i="12"/>
  <c r="V39" i="12"/>
  <c r="BV39" i="12"/>
  <c r="DR43" i="12"/>
  <c r="BW45" i="12"/>
  <c r="BO41" i="12"/>
  <c r="EC41" i="12"/>
  <c r="BD42" i="12"/>
  <c r="AF36" i="12"/>
  <c r="DS42" i="12"/>
  <c r="AK39" i="12"/>
  <c r="DU42" i="12"/>
  <c r="CE44" i="12"/>
  <c r="U35" i="12"/>
  <c r="T44" i="12"/>
  <c r="AW36" i="12"/>
  <c r="BH37" i="12"/>
  <c r="F43" i="12"/>
  <c r="T45" i="12"/>
  <c r="DN38" i="12"/>
  <c r="BP38" i="12"/>
  <c r="BQ41" i="12"/>
  <c r="BL41" i="12"/>
  <c r="DK40" i="12"/>
  <c r="BP40" i="12"/>
  <c r="CZ35" i="12"/>
  <c r="BQ40" i="12"/>
  <c r="ER44" i="12"/>
  <c r="CA37" i="12"/>
  <c r="ES40" i="12"/>
  <c r="L36" i="12"/>
  <c r="EB45" i="12"/>
  <c r="AE43" i="12"/>
  <c r="DH43" i="12"/>
  <c r="AM39" i="12"/>
  <c r="EF41" i="12"/>
  <c r="CU37" i="12"/>
  <c r="X44" i="12"/>
  <c r="EU40" i="12"/>
  <c r="DF45" i="12"/>
  <c r="ED35" i="12"/>
  <c r="CL39" i="12"/>
  <c r="BG41" i="12"/>
  <c r="BO44" i="12"/>
  <c r="AG41" i="12"/>
  <c r="EI45" i="12"/>
  <c r="N41" i="12"/>
  <c r="F38" i="12"/>
  <c r="V40" i="12"/>
  <c r="DV37" i="12"/>
  <c r="AO40" i="12"/>
  <c r="CL37" i="12"/>
  <c r="CU44" i="12"/>
  <c r="BC41" i="12"/>
  <c r="AX36" i="12"/>
  <c r="H40" i="12"/>
  <c r="GU41" i="12"/>
  <c r="N45" i="12"/>
  <c r="DL42" i="12"/>
  <c r="EL36" i="12"/>
  <c r="AL43" i="12"/>
  <c r="R39" i="12"/>
  <c r="CV37" i="12"/>
  <c r="CQ41" i="12"/>
  <c r="V35" i="12"/>
  <c r="DO36" i="12"/>
  <c r="BC45" i="12"/>
  <c r="CV44" i="12"/>
  <c r="M42" i="12"/>
  <c r="AN39" i="12"/>
  <c r="BQ44" i="12"/>
  <c r="CR44" i="12"/>
  <c r="DR44" i="12"/>
  <c r="DC38" i="12"/>
  <c r="BN38" i="12"/>
  <c r="Q45" i="12"/>
  <c r="CD39" i="12"/>
  <c r="BK39" i="12"/>
  <c r="BH41" i="12"/>
  <c r="DH40" i="12"/>
  <c r="CX40" i="12"/>
  <c r="BU45" i="12"/>
  <c r="CY36" i="12"/>
  <c r="BI38" i="12"/>
  <c r="ED45" i="12"/>
  <c r="G40" i="12"/>
  <c r="CB39" i="12"/>
  <c r="CW35" i="12"/>
  <c r="AP36" i="12"/>
  <c r="BA42" i="12"/>
  <c r="DK41" i="12"/>
  <c r="EJ40" i="12"/>
  <c r="DT36" i="12"/>
  <c r="CW45" i="12"/>
  <c r="CB36" i="12"/>
  <c r="DU44" i="12"/>
  <c r="S39" i="12"/>
  <c r="W37" i="12"/>
  <c r="CH39" i="12"/>
  <c r="M44" i="12"/>
  <c r="DI39" i="12"/>
  <c r="AH36" i="12"/>
  <c r="EM36" i="12"/>
  <c r="DX40" i="12"/>
  <c r="AI40" i="12"/>
  <c r="EQ35" i="12"/>
  <c r="EU43" i="12"/>
  <c r="BY45" i="12"/>
  <c r="BO38" i="12"/>
  <c r="BD39" i="12"/>
  <c r="F36" i="12"/>
  <c r="BX40" i="12"/>
  <c r="S37" i="12"/>
  <c r="CF35" i="12"/>
  <c r="BV44" i="12"/>
  <c r="DH37" i="12"/>
  <c r="T37" i="12"/>
  <c r="CC41" i="12"/>
  <c r="AF35" i="12"/>
  <c r="CS36" i="12"/>
  <c r="BL37" i="12"/>
  <c r="CQ40" i="12"/>
  <c r="AJ44" i="12"/>
  <c r="DU35" i="12"/>
  <c r="BH40" i="12"/>
  <c r="DB37" i="12"/>
  <c r="EA44" i="12"/>
  <c r="AN42" i="12"/>
  <c r="V37" i="12"/>
  <c r="AT36" i="12"/>
  <c r="EL37" i="12"/>
  <c r="AC45" i="12"/>
  <c r="AY41" i="12"/>
  <c r="BQ45" i="12"/>
  <c r="BW41" i="12"/>
  <c r="DJ42" i="12"/>
  <c r="CV45" i="12"/>
  <c r="BP35" i="12"/>
  <c r="CN41" i="12"/>
  <c r="L44" i="12"/>
  <c r="DJ35" i="12"/>
  <c r="K40" i="12"/>
  <c r="CI41" i="12"/>
  <c r="DO37" i="12"/>
  <c r="AT37" i="12"/>
  <c r="AF40" i="12"/>
  <c r="ER39" i="12"/>
  <c r="AB39" i="12"/>
  <c r="AR42" i="12"/>
  <c r="CQ39" i="12"/>
  <c r="CK45" i="12"/>
  <c r="EK41" i="12"/>
  <c r="BB42" i="12"/>
  <c r="CM45" i="12"/>
  <c r="AM35" i="12"/>
  <c r="DO38" i="12"/>
  <c r="ET39" i="12"/>
  <c r="GU35" i="12"/>
  <c r="BX44" i="12"/>
  <c r="BB37" i="12"/>
  <c r="DF39" i="12"/>
  <c r="DF37" i="12"/>
  <c r="DU40" i="12"/>
  <c r="Y36" i="12"/>
  <c r="DI44" i="12"/>
  <c r="EM42" i="12"/>
  <c r="EM38" i="12"/>
  <c r="AM44" i="12"/>
  <c r="AF41" i="12"/>
  <c r="BF42" i="12"/>
  <c r="E41" i="12"/>
  <c r="EA45" i="12"/>
  <c r="CT40" i="12"/>
  <c r="DY37" i="12"/>
  <c r="ES42" i="12"/>
  <c r="AK41" i="12"/>
  <c r="CJ45" i="12"/>
  <c r="CR37" i="12"/>
  <c r="EF35" i="12"/>
  <c r="CH41" i="12"/>
  <c r="AA37" i="12"/>
  <c r="EO38" i="12"/>
  <c r="AW44" i="12"/>
  <c r="FH40" i="12"/>
  <c r="Y40" i="12"/>
  <c r="DL43" i="12"/>
  <c r="EL39" i="12"/>
  <c r="EE35" i="12"/>
  <c r="EI44" i="12"/>
  <c r="AB36" i="12"/>
  <c r="BX42" i="12"/>
  <c r="DN42" i="12"/>
  <c r="EB39" i="12"/>
  <c r="EG45" i="12"/>
  <c r="BI43" i="12"/>
  <c r="CB42" i="12"/>
  <c r="EI40" i="12"/>
  <c r="EG44" i="12"/>
  <c r="DC39" i="12"/>
  <c r="DG40" i="12"/>
  <c r="BJ40" i="12"/>
  <c r="BB35" i="12"/>
  <c r="CZ45" i="12"/>
  <c r="AO36" i="12"/>
  <c r="EQ40" i="12"/>
  <c r="AJ43" i="12"/>
  <c r="G45" i="12"/>
  <c r="BL42" i="12"/>
  <c r="F45" i="12"/>
  <c r="DJ45" i="12"/>
  <c r="BD38" i="12"/>
  <c r="EE39" i="12"/>
  <c r="AN36" i="12"/>
  <c r="J42" i="12"/>
  <c r="N44" i="12"/>
  <c r="DJ39" i="12"/>
  <c r="EH45" i="12"/>
  <c r="BF37" i="12"/>
  <c r="EL43" i="12"/>
  <c r="BY37" i="12"/>
  <c r="BS36" i="12"/>
  <c r="AC35" i="12"/>
  <c r="EG35" i="12"/>
  <c r="BK36" i="12"/>
  <c r="AU42" i="12"/>
  <c r="T36" i="12"/>
  <c r="BW43" i="12"/>
  <c r="BE44" i="12"/>
  <c r="Y45" i="12"/>
  <c r="T40" i="12"/>
  <c r="BO35" i="12"/>
  <c r="DU39" i="12"/>
  <c r="BO42" i="12"/>
  <c r="DD35" i="12"/>
  <c r="AM40" i="12"/>
  <c r="BV40" i="12"/>
  <c r="GU36" i="12"/>
  <c r="AR45" i="12"/>
  <c r="EL35" i="12"/>
  <c r="BM35" i="12"/>
  <c r="CA42" i="12"/>
  <c r="ER42" i="12"/>
  <c r="AC44" i="12"/>
  <c r="DP45" i="12"/>
  <c r="CF42" i="12"/>
  <c r="DS39" i="12"/>
  <c r="AZ38" i="12"/>
  <c r="O43" i="12"/>
  <c r="BN41" i="12"/>
  <c r="EH36" i="12"/>
  <c r="EF40" i="12"/>
  <c r="AN40" i="12"/>
  <c r="AX37" i="12"/>
  <c r="DG38" i="12"/>
  <c r="U39" i="12"/>
  <c r="BB45" i="12"/>
  <c r="DF38" i="12"/>
  <c r="EM35" i="12"/>
  <c r="CP39" i="12"/>
  <c r="AQ38" i="12"/>
  <c r="D40" i="12"/>
  <c r="BB43" i="12"/>
  <c r="D42" i="12"/>
  <c r="EF37" i="12"/>
  <c r="U45" i="12"/>
  <c r="BZ45" i="12"/>
  <c r="CH44" i="12"/>
  <c r="BD36" i="12"/>
  <c r="AU43" i="12"/>
  <c r="DE39" i="12"/>
  <c r="EN45" i="12"/>
  <c r="ED41" i="12"/>
  <c r="AM36" i="12"/>
  <c r="EU35" i="12"/>
  <c r="CA43" i="12"/>
  <c r="DF44" i="12"/>
  <c r="AK37" i="12"/>
  <c r="CO38" i="12"/>
  <c r="DX36" i="12"/>
  <c r="AA36" i="12"/>
  <c r="ER36" i="12"/>
  <c r="CT45" i="12"/>
  <c r="H41" i="12"/>
  <c r="EL41" i="12"/>
  <c r="AZ36" i="12"/>
  <c r="EB40" i="12"/>
  <c r="AB38" i="12"/>
  <c r="AD40" i="12"/>
  <c r="FH44" i="12"/>
  <c r="J41" i="12"/>
  <c r="AW39" i="12"/>
  <c r="DB44" i="12"/>
  <c r="GU39" i="12"/>
  <c r="F39" i="12"/>
  <c r="AJ35" i="12"/>
  <c r="EG40" i="12"/>
  <c r="AV40" i="12"/>
  <c r="DJ36" i="12"/>
  <c r="DZ36" i="12"/>
  <c r="BP37" i="12"/>
  <c r="CH40" i="12"/>
  <c r="ET40" i="12"/>
  <c r="DS40" i="12"/>
  <c r="BU37" i="12"/>
  <c r="BU41" i="12"/>
  <c r="I38" i="12"/>
  <c r="AO42" i="12"/>
  <c r="DE38" i="12"/>
  <c r="Y37" i="12"/>
  <c r="DI36" i="12"/>
  <c r="CQ36" i="12"/>
  <c r="BT39" i="12"/>
  <c r="CF43" i="12"/>
  <c r="BU44" i="12"/>
  <c r="CJ39" i="12"/>
  <c r="ET44" i="12"/>
  <c r="CB38" i="12"/>
  <c r="AX44" i="12"/>
  <c r="AF45" i="12"/>
  <c r="BJ41" i="12"/>
  <c r="FF44" i="12"/>
  <c r="FO38" i="12"/>
  <c r="FS40" i="12"/>
  <c r="GC42" i="12"/>
  <c r="FR45" i="12"/>
  <c r="GJ37" i="12"/>
  <c r="FC37" i="12"/>
  <c r="EY44" i="12"/>
  <c r="FN37" i="12"/>
  <c r="FR39" i="12"/>
  <c r="GP42" i="12"/>
  <c r="FD39" i="12"/>
  <c r="EV45" i="12"/>
  <c r="GC36" i="12"/>
  <c r="GG38" i="12"/>
  <c r="GK40" i="12"/>
  <c r="FT43" i="12"/>
  <c r="GT35" i="12"/>
  <c r="FJ36" i="12"/>
  <c r="FF36" i="12"/>
  <c r="FO41" i="12"/>
  <c r="EW37" i="12"/>
  <c r="FA42" i="12"/>
  <c r="GB35" i="12"/>
  <c r="GF37" i="12"/>
  <c r="GJ39" i="12"/>
  <c r="FN42" i="12"/>
  <c r="GE44" i="12"/>
  <c r="FE42" i="12"/>
  <c r="FT40" i="12"/>
  <c r="FB36" i="12"/>
  <c r="FF41" i="12"/>
  <c r="FU35" i="12"/>
  <c r="FY37" i="12"/>
  <c r="GC39" i="12"/>
  <c r="GJ41" i="12"/>
  <c r="FV44" i="12"/>
  <c r="FA39" i="12"/>
  <c r="FR40" i="12"/>
  <c r="EX42" i="12"/>
  <c r="GG41" i="12"/>
  <c r="FC38" i="12"/>
  <c r="FG43" i="12"/>
  <c r="FP36" i="12"/>
  <c r="FT38" i="12"/>
  <c r="FX40" i="12"/>
  <c r="GI42" i="12"/>
  <c r="FY45" i="12"/>
  <c r="EZ39" i="12"/>
  <c r="FD44" i="12"/>
  <c r="GG36" i="12"/>
  <c r="GK38" i="12"/>
  <c r="FK41" i="12"/>
  <c r="FX43" i="12"/>
  <c r="GO37" i="12"/>
  <c r="FY43" i="12"/>
  <c r="GQ37" i="12"/>
  <c r="GF42" i="12"/>
  <c r="FK45" i="12"/>
  <c r="GS35" i="12"/>
  <c r="GO43" i="12"/>
  <c r="FM44" i="12"/>
  <c r="GS36" i="12"/>
  <c r="GO36" i="12"/>
  <c r="GP35" i="12"/>
  <c r="GR44" i="12"/>
  <c r="GM40" i="12"/>
  <c r="GN37" i="12"/>
  <c r="GN45" i="12"/>
  <c r="DT40" i="12"/>
  <c r="AG39" i="12"/>
  <c r="EE37" i="12"/>
  <c r="DF35" i="12"/>
  <c r="AJ39" i="12"/>
  <c r="DY35" i="12"/>
  <c r="DH36" i="12"/>
  <c r="AG38" i="12"/>
  <c r="EO36" i="12"/>
  <c r="DG45" i="12"/>
  <c r="BF39" i="12"/>
  <c r="AG44" i="12"/>
  <c r="EL45" i="12"/>
  <c r="AG37" i="12"/>
  <c r="M41" i="12"/>
  <c r="EB42" i="12"/>
  <c r="EJ45" i="12"/>
  <c r="CS45" i="12"/>
  <c r="EM39" i="12"/>
  <c r="ED37" i="12"/>
  <c r="S35" i="12"/>
  <c r="FH37" i="12"/>
  <c r="Y35" i="12"/>
  <c r="AE41" i="12"/>
  <c r="CY37" i="12"/>
  <c r="AS36" i="12"/>
  <c r="DJ40" i="12"/>
  <c r="Z39" i="12"/>
  <c r="O39" i="12"/>
  <c r="ES39" i="12"/>
  <c r="FI35" i="12"/>
  <c r="FW38" i="12"/>
  <c r="GA40" i="12"/>
  <c r="GL42" i="12"/>
  <c r="GB45" i="12"/>
  <c r="GF39" i="12"/>
  <c r="FC39" i="12"/>
  <c r="FC45" i="12"/>
  <c r="FV37" i="12"/>
  <c r="FZ39" i="12"/>
  <c r="EV35" i="12"/>
  <c r="EZ40" i="12"/>
  <c r="FD45" i="12"/>
  <c r="GK36" i="12"/>
  <c r="FK39" i="12"/>
  <c r="FP41" i="12"/>
  <c r="GC43" i="12"/>
  <c r="GT38" i="12"/>
  <c r="FL37" i="12"/>
  <c r="FF38" i="12"/>
  <c r="FL42" i="12"/>
  <c r="FE37" i="12"/>
  <c r="EW43" i="12"/>
  <c r="GJ35" i="12"/>
  <c r="FJ38" i="12"/>
  <c r="FN40" i="12"/>
  <c r="FW42" i="12"/>
  <c r="FL45" i="12"/>
  <c r="FX35" i="12"/>
  <c r="GB40" i="12"/>
  <c r="EX37" i="12"/>
  <c r="FB42" i="12"/>
  <c r="GC35" i="12"/>
  <c r="GG37" i="12"/>
  <c r="GK39" i="12"/>
  <c r="FO42" i="12"/>
  <c r="GG44" i="12"/>
  <c r="FE40" i="12"/>
  <c r="FL41" i="12"/>
  <c r="EX44" i="12"/>
  <c r="FI43" i="12"/>
  <c r="EY39" i="12"/>
  <c r="FC44" i="12"/>
  <c r="FX36" i="12"/>
  <c r="GB38" i="12"/>
  <c r="GF40" i="12"/>
  <c r="FN43" i="12"/>
  <c r="GI45" i="12"/>
  <c r="EV40" i="12"/>
  <c r="EZ45" i="12"/>
  <c r="FK37" i="12"/>
  <c r="FO39" i="12"/>
  <c r="FT41" i="12"/>
  <c r="GG43" i="12"/>
  <c r="GR40" i="12"/>
  <c r="GJ43" i="12"/>
  <c r="GO41" i="12"/>
  <c r="FJ43" i="12"/>
  <c r="FT45" i="12"/>
  <c r="GT37" i="12"/>
  <c r="GR45" i="12"/>
  <c r="FU44" i="12"/>
  <c r="GO38" i="12"/>
  <c r="GP37" i="12"/>
  <c r="GQ36" i="12"/>
  <c r="GS44" i="12"/>
  <c r="GM41" i="12"/>
  <c r="GN38" i="12"/>
  <c r="GG35" i="12"/>
  <c r="GE38" i="12"/>
  <c r="GI40" i="12"/>
  <c r="FQ43" i="12"/>
  <c r="GQ35" i="12"/>
  <c r="FB43" i="12"/>
  <c r="FG40" i="12"/>
  <c r="FJ35" i="12"/>
  <c r="GD37" i="12"/>
  <c r="GH39" i="12"/>
  <c r="FD35" i="12"/>
  <c r="EV41" i="12"/>
  <c r="FK35" i="12"/>
  <c r="FO37" i="12"/>
  <c r="FS39" i="12"/>
  <c r="FY41" i="12"/>
  <c r="FI44" i="12"/>
  <c r="GP43" i="12"/>
  <c r="FN38" i="12"/>
  <c r="EY36" i="12"/>
  <c r="FS43" i="12"/>
  <c r="FA38" i="12"/>
  <c r="FE43" i="12"/>
  <c r="FN36" i="12"/>
  <c r="FR38" i="12"/>
  <c r="FV40" i="12"/>
  <c r="GG42" i="12"/>
  <c r="FV45" i="12"/>
  <c r="FZ36" i="12"/>
  <c r="FX41" i="12"/>
  <c r="FF37" i="12"/>
  <c r="EX43" i="12"/>
  <c r="GK35" i="12"/>
  <c r="FK38" i="12"/>
  <c r="FO40" i="12"/>
  <c r="FY42" i="12"/>
  <c r="FM45" i="12"/>
  <c r="EW44" i="12"/>
  <c r="FU41" i="12"/>
  <c r="FY35" i="12"/>
  <c r="GB44" i="12"/>
  <c r="FG39" i="12"/>
  <c r="EY45" i="12"/>
  <c r="GF36" i="12"/>
  <c r="GJ38" i="12"/>
  <c r="FJ41" i="12"/>
  <c r="FW43" i="12"/>
  <c r="GT36" i="12"/>
  <c r="FD40" i="12"/>
  <c r="FO35" i="12"/>
  <c r="FS37" i="12"/>
  <c r="FW39" i="12"/>
  <c r="GC41" i="12"/>
  <c r="FO44" i="12"/>
  <c r="FA41" i="12"/>
  <c r="FP44" i="12"/>
  <c r="FN41" i="12"/>
  <c r="FR43" i="12"/>
  <c r="GC45" i="12"/>
  <c r="GQ40" i="12"/>
  <c r="GR36" i="12"/>
  <c r="GC44" i="12"/>
  <c r="GS39" i="12"/>
  <c r="GQ38" i="12"/>
  <c r="GR37" i="12"/>
  <c r="GQ45" i="12"/>
  <c r="GM42" i="12"/>
  <c r="GN39" i="12"/>
  <c r="H38" i="12"/>
  <c r="DG44" i="12"/>
  <c r="EA43" i="12"/>
  <c r="K35" i="12"/>
  <c r="AB41" i="12"/>
  <c r="AC42" i="12"/>
  <c r="DM37" i="12"/>
  <c r="CF41" i="12"/>
  <c r="EI38" i="12"/>
  <c r="BY40" i="12"/>
  <c r="DL35" i="12"/>
  <c r="R45" i="12"/>
  <c r="DS35" i="12"/>
  <c r="DS36" i="12"/>
  <c r="BN37" i="12"/>
  <c r="AD38" i="12"/>
  <c r="DQ37" i="12"/>
  <c r="Q41" i="12"/>
  <c r="AC38" i="12"/>
  <c r="AA40" i="12"/>
  <c r="EZ35" i="12"/>
  <c r="FS36" i="12"/>
  <c r="FI39" i="12"/>
  <c r="FM41" i="12"/>
  <c r="GA43" i="12"/>
  <c r="GP38" i="12"/>
  <c r="FB45" i="12"/>
  <c r="FG42" i="12"/>
  <c r="FZ35" i="12"/>
  <c r="GL37" i="12"/>
  <c r="FL40" i="12"/>
  <c r="EZ36" i="12"/>
  <c r="FD41" i="12"/>
  <c r="FS35" i="12"/>
  <c r="FW37" i="12"/>
  <c r="GA39" i="12"/>
  <c r="GH41" i="12"/>
  <c r="FS44" i="12"/>
  <c r="FE36" i="12"/>
  <c r="GL38" i="12"/>
  <c r="EY38" i="12"/>
  <c r="FR44" i="12"/>
  <c r="EW39" i="12"/>
  <c r="FA44" i="12"/>
  <c r="FV36" i="12"/>
  <c r="FZ38" i="12"/>
  <c r="GD40" i="12"/>
  <c r="FL43" i="12"/>
  <c r="GG45" i="12"/>
  <c r="GB37" i="12"/>
  <c r="FU42" i="12"/>
  <c r="FB38" i="12"/>
  <c r="FF43" i="12"/>
  <c r="FO36" i="12"/>
  <c r="FS38" i="12"/>
  <c r="FW40" i="12"/>
  <c r="GH42" i="12"/>
  <c r="FX45" i="12"/>
  <c r="FP35" i="12"/>
  <c r="FS42" i="12"/>
  <c r="GI36" i="12"/>
  <c r="EY35" i="12"/>
  <c r="FC40" i="12"/>
  <c r="FG45" i="12"/>
  <c r="FJ37" i="12"/>
  <c r="FN39" i="12"/>
  <c r="FS41" i="12"/>
  <c r="GF43" i="12"/>
  <c r="GP40" i="12"/>
  <c r="EZ41" i="12"/>
  <c r="FW35" i="12"/>
  <c r="GA37" i="12"/>
  <c r="GE39" i="12"/>
  <c r="FI42" i="12"/>
  <c r="FY44" i="12"/>
  <c r="FA43" i="12"/>
  <c r="FZ44" i="12"/>
  <c r="FV41" i="12"/>
  <c r="FZ43" i="12"/>
  <c r="GL45" i="12"/>
  <c r="GO45" i="12"/>
  <c r="GM38" i="12"/>
  <c r="GK44" i="12"/>
  <c r="GR41" i="12"/>
  <c r="GR39" i="12"/>
  <c r="GS38" i="12"/>
  <c r="GT41" i="12"/>
  <c r="GM43" i="12"/>
  <c r="GN40" i="12"/>
  <c r="P39" i="12"/>
  <c r="AM43" i="12"/>
  <c r="N42" i="12"/>
  <c r="DW40" i="12"/>
  <c r="AZ35" i="12"/>
  <c r="CF37" i="12"/>
  <c r="CB40" i="12"/>
  <c r="BK42" i="12"/>
  <c r="DR35" i="12"/>
  <c r="EI35" i="12"/>
  <c r="AU41" i="12"/>
  <c r="AU35" i="12"/>
  <c r="H37" i="12"/>
  <c r="AT39" i="12"/>
  <c r="AS44" i="12"/>
  <c r="CY35" i="12"/>
  <c r="CW44" i="12"/>
  <c r="CY38" i="12"/>
  <c r="I37" i="12"/>
  <c r="BD40" i="12"/>
  <c r="ED39" i="12"/>
  <c r="DH41" i="12"/>
  <c r="DV40" i="12"/>
  <c r="N35" i="12"/>
  <c r="AT45" i="12"/>
  <c r="CG35" i="12"/>
  <c r="DG36" i="12"/>
  <c r="F35" i="12"/>
  <c r="BB39" i="12"/>
  <c r="BT41" i="12"/>
  <c r="EP38" i="12"/>
  <c r="BX38" i="12"/>
  <c r="EH44" i="12"/>
  <c r="AG35" i="12"/>
  <c r="I43" i="12"/>
  <c r="EC45" i="12"/>
  <c r="AX43" i="12"/>
  <c r="BK35" i="12"/>
  <c r="CH38" i="12"/>
  <c r="CV40" i="12"/>
  <c r="AV41" i="12"/>
  <c r="DJ44" i="12"/>
  <c r="BT35" i="12"/>
  <c r="EI41" i="12"/>
  <c r="EN43" i="12"/>
  <c r="O45" i="12"/>
  <c r="CV42" i="12"/>
  <c r="EN35" i="12"/>
  <c r="EH41" i="12"/>
  <c r="GU44" i="12"/>
  <c r="CT42" i="12"/>
  <c r="CI42" i="12"/>
  <c r="GU37" i="12"/>
  <c r="V43" i="12"/>
  <c r="DJ38" i="12"/>
  <c r="AC36" i="12"/>
  <c r="AZ42" i="12"/>
  <c r="EN44" i="12"/>
  <c r="AF42" i="12"/>
  <c r="DM42" i="12"/>
  <c r="AL39" i="12"/>
  <c r="T42" i="12"/>
  <c r="AL38" i="12"/>
  <c r="CA38" i="12"/>
  <c r="DF43" i="12"/>
  <c r="DT41" i="12"/>
  <c r="DT43" i="12"/>
  <c r="CC39" i="12"/>
  <c r="AL36" i="12"/>
  <c r="GU42" i="12"/>
  <c r="Q35" i="12"/>
  <c r="CM44" i="12"/>
  <c r="CH45" i="12"/>
  <c r="O36" i="12"/>
  <c r="CR38" i="12"/>
  <c r="CU39" i="12"/>
  <c r="V42" i="12"/>
  <c r="K41" i="12"/>
  <c r="CS43" i="12"/>
  <c r="BI37" i="12"/>
  <c r="G41" i="12"/>
  <c r="DK37" i="12"/>
  <c r="AF43" i="12"/>
  <c r="F44" i="12"/>
  <c r="DD45" i="12"/>
  <c r="BU43" i="12"/>
  <c r="ED38" i="12"/>
  <c r="X35" i="12"/>
  <c r="CW36" i="12"/>
  <c r="BK44" i="12"/>
  <c r="CZ39" i="12"/>
  <c r="DR38" i="12"/>
  <c r="EH43" i="12"/>
  <c r="AM38" i="12"/>
  <c r="BZ43" i="12"/>
  <c r="CB35" i="12"/>
  <c r="EA41" i="12"/>
  <c r="CG39" i="12"/>
  <c r="BS39" i="12"/>
  <c r="K39" i="12"/>
  <c r="CU45" i="12"/>
  <c r="CJ35" i="12"/>
  <c r="BD41" i="12"/>
  <c r="EU39" i="12"/>
  <c r="BU35" i="12"/>
  <c r="DK44" i="12"/>
  <c r="M36" i="12"/>
  <c r="AN43" i="12"/>
  <c r="AM41" i="12"/>
  <c r="AE35" i="12"/>
  <c r="EC39" i="12"/>
  <c r="L45" i="12"/>
  <c r="EA38" i="12"/>
  <c r="BT37" i="12"/>
  <c r="DA35" i="12"/>
  <c r="DA44" i="12"/>
  <c r="BQ39" i="12"/>
  <c r="CR36" i="12"/>
  <c r="AX41" i="12"/>
  <c r="AO39" i="12"/>
  <c r="AL45" i="12"/>
  <c r="D43" i="12"/>
  <c r="EM45" i="12"/>
  <c r="CK36" i="12"/>
  <c r="DM38" i="12"/>
  <c r="DH38" i="12"/>
  <c r="E44" i="12"/>
  <c r="L41" i="12"/>
  <c r="BC44" i="12"/>
  <c r="FH41" i="12"/>
  <c r="E39" i="12"/>
  <c r="AY40" i="12"/>
  <c r="CE36" i="12"/>
  <c r="ER45" i="12"/>
  <c r="DI43" i="12"/>
  <c r="BN39" i="12"/>
  <c r="BH35" i="12"/>
  <c r="CW41" i="12"/>
  <c r="CC43" i="12"/>
  <c r="AV38" i="12"/>
  <c r="N37" i="12"/>
  <c r="AE36" i="12"/>
  <c r="ER41" i="12"/>
  <c r="EX38" i="12"/>
  <c r="GA36" i="12"/>
  <c r="FQ39" i="12"/>
  <c r="FW41" i="12"/>
  <c r="GK43" i="12"/>
  <c r="GO42" i="12"/>
  <c r="FQ35" i="12"/>
  <c r="FG44" i="12"/>
  <c r="GH35" i="12"/>
  <c r="FP38" i="12"/>
  <c r="GL43" i="12"/>
  <c r="EV37" i="12"/>
  <c r="EZ42" i="12"/>
  <c r="GA35" i="12"/>
  <c r="GE37" i="12"/>
  <c r="GI39" i="12"/>
  <c r="FM42" i="12"/>
  <c r="GD44" i="12"/>
  <c r="EW38" i="12"/>
  <c r="FJ40" i="12"/>
  <c r="EY40" i="12"/>
  <c r="GD45" i="12"/>
  <c r="FE39" i="12"/>
  <c r="EW45" i="12"/>
  <c r="GD36" i="12"/>
  <c r="GH38" i="12"/>
  <c r="GL40" i="12"/>
  <c r="FU43" i="12"/>
  <c r="GM36" i="12"/>
  <c r="GD38" i="12"/>
  <c r="GB43" i="12"/>
  <c r="EX39" i="12"/>
  <c r="FB44" i="12"/>
  <c r="FW36" i="12"/>
  <c r="GA38" i="12"/>
  <c r="GE40" i="12"/>
  <c r="FM43" i="12"/>
  <c r="GH45" i="12"/>
  <c r="FR36" i="12"/>
  <c r="EX36" i="12"/>
  <c r="FG36" i="12"/>
  <c r="FG35" i="12"/>
  <c r="EY41" i="12"/>
  <c r="FN35" i="12"/>
  <c r="FR37" i="12"/>
  <c r="FV39" i="12"/>
  <c r="GB41" i="12"/>
  <c r="FL44" i="12"/>
  <c r="FD36" i="12"/>
  <c r="EV42" i="12"/>
  <c r="GE35" i="12"/>
  <c r="GI37" i="12"/>
  <c r="FI40" i="12"/>
  <c r="FR42" i="12"/>
  <c r="GI44" i="12"/>
  <c r="FA45" i="12"/>
  <c r="GJ44" i="12"/>
  <c r="GD41" i="12"/>
  <c r="GH43" i="12"/>
  <c r="GM37" i="12"/>
  <c r="GP45" i="12"/>
  <c r="GQ39" i="12"/>
  <c r="FO45" i="12"/>
  <c r="GR43" i="12"/>
  <c r="GT40" i="12"/>
  <c r="GT39" i="12"/>
  <c r="GT42" i="12"/>
  <c r="GM44" i="12"/>
  <c r="GN41" i="12"/>
  <c r="BP39" i="12"/>
  <c r="CE38" i="12"/>
  <c r="BT40" i="12"/>
  <c r="CE45" i="12"/>
  <c r="CF45" i="12"/>
  <c r="DW41" i="12"/>
  <c r="ER38" i="12"/>
  <c r="CJ37" i="12"/>
  <c r="BZ44" i="12"/>
  <c r="BO40" i="12"/>
  <c r="AS37" i="12"/>
  <c r="EF44" i="12"/>
  <c r="CV35" i="12"/>
  <c r="BM44" i="12"/>
  <c r="BW38" i="12"/>
  <c r="BS44" i="12"/>
  <c r="BN36" i="12"/>
  <c r="DC36" i="12"/>
  <c r="AG42" i="12"/>
  <c r="ES38" i="12"/>
  <c r="S42" i="12"/>
  <c r="DF42" i="12"/>
  <c r="EJ41" i="12"/>
  <c r="BR36" i="12"/>
  <c r="BX35" i="12"/>
  <c r="BS35" i="12"/>
  <c r="BR39" i="12"/>
  <c r="T43" i="12"/>
  <c r="BQ43" i="12"/>
  <c r="BH42" i="12"/>
  <c r="BW40" i="12"/>
  <c r="DX38" i="12"/>
  <c r="CR35" i="12"/>
  <c r="AU45" i="12"/>
  <c r="CY42" i="12"/>
  <c r="BY36" i="12"/>
  <c r="DE35" i="12"/>
  <c r="L35" i="12"/>
  <c r="K42" i="12"/>
  <c r="AW41" i="12"/>
  <c r="AB35" i="12"/>
  <c r="DA36" i="12"/>
  <c r="CC37" i="12"/>
  <c r="DW43" i="12"/>
  <c r="CN44" i="12"/>
  <c r="BI35" i="12"/>
  <c r="AH37" i="12"/>
  <c r="E40" i="12"/>
  <c r="AJ38" i="12"/>
  <c r="AW40" i="12"/>
  <c r="AS35" i="12"/>
  <c r="CL41" i="12"/>
  <c r="GU38" i="12"/>
  <c r="FH39" i="12"/>
  <c r="DX43" i="12"/>
  <c r="BW44" i="12"/>
  <c r="EX40" i="12"/>
  <c r="FM37" i="12"/>
  <c r="FY39" i="12"/>
  <c r="GF41" i="12"/>
  <c r="FQ44" i="12"/>
  <c r="EW36" i="12"/>
  <c r="FK36" i="12"/>
  <c r="FL36" i="12"/>
  <c r="FT36" i="12"/>
  <c r="FX38" i="12"/>
  <c r="FS45" i="12"/>
  <c r="FD37" i="12"/>
  <c r="EV43" i="12"/>
  <c r="GI35" i="12"/>
  <c r="FI38" i="12"/>
  <c r="FM40" i="12"/>
  <c r="FV42" i="12"/>
  <c r="FJ45" i="12"/>
  <c r="EW40" i="12"/>
  <c r="GH40" i="12"/>
  <c r="FC41" i="12"/>
  <c r="EW35" i="12"/>
  <c r="FA40" i="12"/>
  <c r="FE45" i="12"/>
  <c r="GL36" i="12"/>
  <c r="FL39" i="12"/>
  <c r="FQ41" i="12"/>
  <c r="GD43" i="12"/>
  <c r="GM39" i="12"/>
  <c r="FX39" i="12"/>
  <c r="FI45" i="12"/>
  <c r="FF39" i="12"/>
  <c r="EX45" i="12"/>
  <c r="GE36" i="12"/>
  <c r="GI38" i="12"/>
  <c r="FI41" i="12"/>
  <c r="FV43" i="12"/>
  <c r="GP36" i="12"/>
  <c r="FT37" i="12"/>
  <c r="FB37" i="12"/>
  <c r="FG38" i="12"/>
  <c r="FC36" i="12"/>
  <c r="FG41" i="12"/>
  <c r="FV35" i="12"/>
  <c r="FZ37" i="12"/>
  <c r="GD39" i="12"/>
  <c r="GK41" i="12"/>
  <c r="FX44" i="12"/>
  <c r="EZ37" i="12"/>
  <c r="FD42" i="12"/>
  <c r="FI36" i="12"/>
  <c r="FM38" i="12"/>
  <c r="FQ40" i="12"/>
  <c r="GA42" i="12"/>
  <c r="FP45" i="12"/>
  <c r="GB42" i="12"/>
  <c r="FQ45" i="12"/>
  <c r="GL41" i="12"/>
  <c r="FN44" i="12"/>
  <c r="GP39" i="12"/>
  <c r="GS37" i="12"/>
  <c r="GQ41" i="12"/>
  <c r="FW45" i="12"/>
  <c r="GS41" i="12"/>
  <c r="GQ42" i="12"/>
  <c r="GP41" i="12"/>
  <c r="GT43" i="12"/>
  <c r="GM45" i="12"/>
  <c r="GN42" i="12"/>
  <c r="CU35" i="12"/>
  <c r="DY36" i="12"/>
  <c r="E38" i="12"/>
  <c r="AL37" i="12"/>
  <c r="AP39" i="12"/>
  <c r="FB41" i="12"/>
  <c r="GC37" i="12"/>
  <c r="GG39" i="12"/>
  <c r="FK42" i="12"/>
  <c r="GA44" i="12"/>
  <c r="GF35" i="12"/>
  <c r="FU37" i="12"/>
  <c r="GD42" i="12"/>
  <c r="GB36" i="12"/>
  <c r="GF38" i="12"/>
  <c r="GR35" i="12"/>
  <c r="EZ38" i="12"/>
  <c r="FD43" i="12"/>
  <c r="FM36" i="12"/>
  <c r="FQ38" i="12"/>
  <c r="FU40" i="12"/>
  <c r="GE42" i="12"/>
  <c r="FU45" i="12"/>
  <c r="EW42" i="12"/>
  <c r="FJ42" i="12"/>
  <c r="FC43" i="12"/>
  <c r="FE35" i="12"/>
  <c r="EW41" i="12"/>
  <c r="FL35" i="12"/>
  <c r="FP37" i="12"/>
  <c r="FT39" i="12"/>
  <c r="FZ41" i="12"/>
  <c r="FJ44" i="12"/>
  <c r="EV36" i="12"/>
  <c r="FZ40" i="12"/>
  <c r="EX35" i="12"/>
  <c r="FB40" i="12"/>
  <c r="FF45" i="12"/>
  <c r="FI37" i="12"/>
  <c r="FM39" i="12"/>
  <c r="FR41" i="12"/>
  <c r="GE43" i="12"/>
  <c r="GO40" i="12"/>
  <c r="FV38" i="12"/>
  <c r="FB39" i="12"/>
  <c r="EY42" i="12"/>
  <c r="EY37" i="12"/>
  <c r="FC42" i="12"/>
  <c r="GD35" i="12"/>
  <c r="GH37" i="12"/>
  <c r="GL39" i="12"/>
  <c r="FQ42" i="12"/>
  <c r="GH44" i="12"/>
  <c r="EV38" i="12"/>
  <c r="EZ43" i="12"/>
  <c r="FQ36" i="12"/>
  <c r="FU38" i="12"/>
  <c r="FY40" i="12"/>
  <c r="GJ42" i="12"/>
  <c r="FZ45" i="12"/>
  <c r="GK42" i="12"/>
  <c r="GA45" i="12"/>
  <c r="FP42" i="12"/>
  <c r="FW44" i="12"/>
  <c r="GR42" i="12"/>
  <c r="GO39" i="12"/>
  <c r="GQ43" i="12"/>
  <c r="GE45" i="12"/>
  <c r="GS43" i="12"/>
  <c r="GO44" i="12"/>
  <c r="GS42" i="12"/>
  <c r="GT44" i="12"/>
  <c r="GN35" i="12"/>
  <c r="GN43" i="12"/>
  <c r="BR37" i="12"/>
  <c r="CE41" i="12"/>
  <c r="N38" i="12"/>
  <c r="DK42" i="12"/>
  <c r="CK39" i="12"/>
  <c r="EP40" i="12"/>
  <c r="DR45" i="12"/>
  <c r="DN39" i="12"/>
  <c r="BD35" i="12"/>
  <c r="X40" i="12"/>
  <c r="DB42" i="12"/>
  <c r="CV43" i="12"/>
  <c r="DH42" i="12"/>
  <c r="ED42" i="12"/>
  <c r="AK42" i="12"/>
  <c r="BA41" i="12"/>
  <c r="ES45" i="12"/>
  <c r="FF42" i="12"/>
  <c r="GK37" i="12"/>
  <c r="FK40" i="12"/>
  <c r="FT42" i="12"/>
  <c r="GL44" i="12"/>
  <c r="GH36" i="12"/>
  <c r="FC35" i="12"/>
  <c r="FE38" i="12"/>
  <c r="GJ36" i="12"/>
  <c r="FJ39" i="12"/>
  <c r="GR38" i="12"/>
  <c r="EV39" i="12"/>
  <c r="EZ44" i="12"/>
  <c r="FU36" i="12"/>
  <c r="FY38" i="12"/>
  <c r="GC40" i="12"/>
  <c r="FK43" i="12"/>
  <c r="GF45" i="12"/>
  <c r="FE44" i="12"/>
  <c r="FB35" i="12"/>
  <c r="FR35" i="12"/>
  <c r="FA36" i="12"/>
  <c r="FE41" i="12"/>
  <c r="FT35" i="12"/>
  <c r="FX37" i="12"/>
  <c r="GB39" i="12"/>
  <c r="GI41" i="12"/>
  <c r="FT44" i="12"/>
  <c r="FA35" i="12"/>
  <c r="GE41" i="12"/>
  <c r="FF35" i="12"/>
  <c r="EX41" i="12"/>
  <c r="FM35" i="12"/>
  <c r="FQ37" i="12"/>
  <c r="FU39" i="12"/>
  <c r="GA41" i="12"/>
  <c r="FK44" i="12"/>
  <c r="FA37" i="12"/>
  <c r="FP39" i="12"/>
  <c r="FF40" i="12"/>
  <c r="GJ40" i="12"/>
  <c r="FG37" i="12"/>
  <c r="EY43" i="12"/>
  <c r="GL35" i="12"/>
  <c r="FL38" i="12"/>
  <c r="FP40" i="12"/>
  <c r="FZ42" i="12"/>
  <c r="FN45" i="12"/>
  <c r="FD38" i="12"/>
  <c r="EV44" i="12"/>
  <c r="FY36" i="12"/>
  <c r="GC38" i="12"/>
  <c r="GG40" i="12"/>
  <c r="FO43" i="12"/>
  <c r="GJ45" i="12"/>
  <c r="FP43" i="12"/>
  <c r="GK45" i="12"/>
  <c r="FX42" i="12"/>
  <c r="GF44" i="12"/>
  <c r="GP44" i="12"/>
  <c r="GS40" i="12"/>
  <c r="GI43" i="12"/>
  <c r="GO35" i="12"/>
  <c r="GM35" i="12"/>
  <c r="GS45" i="12"/>
  <c r="GQ44" i="12"/>
  <c r="GT45" i="12"/>
  <c r="GN36" i="12"/>
  <c r="EK35" i="12"/>
  <c r="DG43" i="12"/>
  <c r="DF41" i="12"/>
  <c r="U36" i="12"/>
  <c r="DA41" i="12"/>
  <c r="EL42" i="12"/>
  <c r="DX37" i="12"/>
  <c r="AU39" i="12"/>
  <c r="CC35" i="12"/>
  <c r="DZ44" i="12"/>
  <c r="DI35" i="12"/>
  <c r="DR39" i="12"/>
  <c r="DK38" i="12"/>
  <c r="AR39" i="12"/>
  <c r="AC37" i="12"/>
  <c r="BD43" i="12"/>
  <c r="EN38" i="12"/>
  <c r="DX41" i="12"/>
  <c r="Z40" i="12"/>
  <c r="AN38" i="12"/>
  <c r="I45" i="12"/>
  <c r="EQ43" i="12"/>
  <c r="AK45" i="12"/>
  <c r="DT44" i="12"/>
  <c r="AM42" i="12"/>
  <c r="DP43" i="12"/>
  <c r="CE43" i="12"/>
  <c r="DO44" i="12"/>
  <c r="BZ39" i="12"/>
  <c r="AV42" i="12"/>
  <c r="CX44" i="12"/>
  <c r="DS37" i="12"/>
  <c r="BP42" i="12"/>
  <c r="EL40" i="12"/>
  <c r="AD39" i="12"/>
  <c r="BM37" i="12"/>
  <c r="EJ44" i="12"/>
  <c r="CL43" i="12"/>
  <c r="AR37" i="12"/>
  <c r="AQ39" i="12"/>
  <c r="Q43" i="12"/>
  <c r="DN43" i="12"/>
  <c r="DR37" i="12"/>
  <c r="EP37" i="12"/>
  <c r="CY41" i="12"/>
  <c r="BK43" i="12"/>
  <c r="CX41" i="12"/>
  <c r="ET42" i="12"/>
  <c r="P40" i="12"/>
  <c r="EH39" i="12"/>
  <c r="DR40" i="12"/>
  <c r="M43" i="12"/>
  <c r="BX37" i="12"/>
  <c r="AO41" i="12"/>
  <c r="EJ43" i="12"/>
  <c r="BQ42" i="12"/>
  <c r="CF39" i="12"/>
  <c r="T38" i="12"/>
  <c r="CZ44" i="12"/>
  <c r="DL40" i="12"/>
  <c r="CN36" i="12"/>
  <c r="CE42" i="12"/>
  <c r="CN40" i="12"/>
  <c r="FH38" i="12"/>
  <c r="X43" i="12"/>
  <c r="CC45" i="12"/>
  <c r="F41" i="12"/>
  <c r="CY39" i="12"/>
  <c r="J43" i="12"/>
  <c r="CM42" i="12"/>
  <c r="F37" i="12"/>
  <c r="DE45" i="12"/>
  <c r="J37" i="12"/>
  <c r="DM35" i="12"/>
  <c r="AB45" i="12"/>
  <c r="EH42" i="12"/>
  <c r="BS40" i="12"/>
  <c r="CX43" i="12"/>
  <c r="AU36" i="12"/>
  <c r="ES36" i="12"/>
  <c r="CL36" i="12"/>
  <c r="S38" i="12"/>
  <c r="G37" i="12"/>
  <c r="DY40" i="12"/>
  <c r="Q40" i="12"/>
  <c r="AP42" i="12"/>
  <c r="DC40" i="12"/>
  <c r="Z42" i="12"/>
  <c r="AE40" i="12"/>
  <c r="DO45" i="12"/>
  <c r="BV36" i="12"/>
  <c r="CN35" i="12"/>
  <c r="DW42" i="12"/>
  <c r="BN42" i="12"/>
  <c r="Z44" i="12"/>
  <c r="AM37" i="12"/>
  <c r="AB43" i="12"/>
  <c r="DB45" i="12"/>
  <c r="AH41" i="12"/>
  <c r="DU45" i="12"/>
  <c r="DQ40" i="12"/>
  <c r="BE42" i="12"/>
  <c r="CT41" i="12"/>
  <c r="DD43" i="12"/>
  <c r="DJ41" i="12"/>
  <c r="DC44" i="12"/>
  <c r="W40" i="12"/>
  <c r="DM41" i="12"/>
  <c r="CL40" i="12"/>
  <c r="DA39" i="12"/>
  <c r="AH43" i="12"/>
  <c r="CV36" i="12"/>
  <c r="AW42" i="12"/>
  <c r="S41" i="12"/>
  <c r="BA38" i="12"/>
  <c r="R40" i="12"/>
  <c r="AE38" i="12"/>
  <c r="W35" i="12"/>
  <c r="CM38" i="12"/>
  <c r="AI36" i="12"/>
  <c r="D38" i="12"/>
  <c r="V41" i="12"/>
  <c r="AO44" i="12"/>
  <c r="BJ35" i="12"/>
  <c r="X36" i="12"/>
  <c r="ES43" i="12"/>
  <c r="AS42" i="12"/>
  <c r="BF38" i="12"/>
  <c r="EJ42" i="12"/>
  <c r="EU44" i="12"/>
  <c r="K36" i="12"/>
  <c r="AX35" i="12"/>
  <c r="DI38" i="12"/>
  <c r="D36" i="12"/>
  <c r="BA39" i="12"/>
  <c r="BJ42" i="12"/>
  <c r="CK38" i="12"/>
  <c r="AN45" i="12"/>
  <c r="H45" i="12"/>
  <c r="G43" i="12"/>
  <c r="CE37" i="12"/>
  <c r="I39" i="12"/>
  <c r="AR43" i="12"/>
  <c r="EI42" i="12"/>
  <c r="AR41" i="12"/>
  <c r="AR38" i="12"/>
  <c r="CK43" i="12"/>
  <c r="CZ40" i="12"/>
  <c r="AY43" i="12"/>
  <c r="AB37" i="12"/>
  <c r="CZ36" i="12"/>
  <c r="E36" i="12"/>
  <c r="EM37" i="12"/>
  <c r="BA44" i="12"/>
  <c r="CI44" i="12"/>
  <c r="CT36" i="12"/>
  <c r="CG37" i="12"/>
  <c r="DZ37" i="12"/>
  <c r="CO42" i="12"/>
  <c r="CL44" i="12"/>
  <c r="EO37" i="12"/>
  <c r="EJ37" i="12"/>
  <c r="EA40" i="12"/>
  <c r="ET36" i="12"/>
  <c r="EE38" i="12"/>
  <c r="CR39" i="12"/>
  <c r="AD45" i="12"/>
  <c r="BE37" i="12"/>
  <c r="P38" i="12"/>
  <c r="AY38" i="12"/>
  <c r="DO39" i="12"/>
  <c r="BY43" i="12"/>
  <c r="CZ37" i="12"/>
  <c r="BS38" i="12"/>
  <c r="AU38" i="12"/>
  <c r="BG37" i="12"/>
  <c r="BD45" i="12"/>
  <c r="H39" i="12"/>
  <c r="CD40" i="12"/>
  <c r="AP41" i="12"/>
  <c r="BI42" i="12"/>
  <c r="EH37" i="12"/>
  <c r="CS38" i="12"/>
  <c r="BG39" i="12"/>
  <c r="AA35" i="12"/>
  <c r="M45" i="12"/>
  <c r="AJ36" i="12"/>
  <c r="G42" i="12"/>
  <c r="DG42" i="12"/>
  <c r="DU43" i="12"/>
  <c r="CL42" i="12"/>
  <c r="DE37" i="12"/>
  <c r="EG37" i="12"/>
  <c r="CP42" i="12"/>
  <c r="DS44" i="12"/>
  <c r="AK36" i="12"/>
  <c r="BP44" i="12"/>
  <c r="CT37" i="12"/>
  <c r="AE44" i="12"/>
  <c r="DG41" i="12"/>
  <c r="BC35" i="12"/>
  <c r="CX45" i="12"/>
  <c r="AD36" i="12"/>
  <c r="BL44" i="12"/>
  <c r="BU39" i="12"/>
  <c r="EB35" i="12"/>
  <c r="BO45" i="12"/>
  <c r="AW37" i="12"/>
  <c r="DQ44" i="12"/>
  <c r="BE36" i="12"/>
  <c r="AG36" i="12"/>
  <c r="CO40" i="12"/>
  <c r="Q42" i="12"/>
  <c r="ES35" i="12"/>
  <c r="EK37" i="12"/>
  <c r="EL38" i="12"/>
  <c r="DR42" i="12"/>
  <c r="BS41" i="12"/>
  <c r="R44" i="12"/>
  <c r="AY42" i="12"/>
  <c r="I41" i="12"/>
  <c r="I35" i="12"/>
  <c r="K43" i="12"/>
  <c r="EE45" i="12"/>
  <c r="BZ36" i="12"/>
  <c r="CQ35" i="12"/>
  <c r="EH35" i="12"/>
  <c r="BL38" i="12"/>
  <c r="L43" i="12"/>
  <c r="DN40" i="12"/>
  <c r="S36" i="12"/>
  <c r="DZ41" i="12"/>
  <c r="EC44" i="12"/>
  <c r="CE39" i="12"/>
  <c r="DP37" i="12"/>
  <c r="BC38" i="12"/>
  <c r="R38" i="12"/>
  <c r="CS37" i="12"/>
  <c r="CX37" i="12"/>
  <c r="S45" i="12"/>
  <c r="CD45" i="12"/>
  <c r="ET45" i="12"/>
  <c r="EO44" i="12"/>
  <c r="BE43" i="12"/>
  <c r="AH35" i="12"/>
  <c r="DU37" i="12"/>
  <c r="K38" i="12"/>
  <c r="BR44" i="12"/>
  <c r="BE41" i="12"/>
  <c r="DA37" i="12"/>
  <c r="CO44" i="12"/>
  <c r="AR44" i="12"/>
  <c r="Z43" i="12"/>
  <c r="DX44" i="12"/>
  <c r="CA41" i="12"/>
  <c r="E35" i="12"/>
  <c r="DV45" i="12"/>
  <c r="AI45" i="12"/>
  <c r="ER43" i="12"/>
  <c r="AY44" i="12"/>
  <c r="DS43" i="12"/>
  <c r="CG45" i="12"/>
  <c r="CM41" i="12"/>
  <c r="EG39" i="12"/>
  <c r="EK38" i="12"/>
  <c r="D41" i="12"/>
  <c r="DY45" i="12"/>
  <c r="BG38" i="12"/>
  <c r="BG35" i="12"/>
  <c r="EF42" i="12"/>
  <c r="FH43" i="12"/>
  <c r="CM36" i="12"/>
  <c r="R36" i="12"/>
  <c r="EH38" i="12"/>
  <c r="L39" i="12"/>
  <c r="W36" i="12"/>
  <c r="P42" i="12"/>
  <c r="DV35" i="12"/>
  <c r="DH39" i="12"/>
  <c r="BL35" i="12"/>
  <c r="DM43" i="12"/>
  <c r="GU45" i="12"/>
  <c r="BL39" i="12"/>
  <c r="EO45" i="12"/>
  <c r="AG43" i="12"/>
  <c r="P37" i="12"/>
  <c r="EP43" i="12"/>
  <c r="EF36" i="12"/>
  <c r="CE35" i="12"/>
  <c r="DF40" i="12"/>
  <c r="CW37" i="12"/>
  <c r="BM39" i="12"/>
  <c r="ET35" i="12"/>
  <c r="CX36" i="12"/>
  <c r="BR43" i="12"/>
  <c r="EM41" i="12"/>
  <c r="EP42" i="12"/>
  <c r="CY40" i="12"/>
  <c r="AW45" i="12"/>
  <c r="AA39" i="12"/>
  <c r="AD43" i="12"/>
  <c r="DD40" i="12"/>
  <c r="AK43" i="12"/>
  <c r="EA37" i="12"/>
  <c r="CD38" i="12"/>
  <c r="EG43" i="12"/>
  <c r="L42" i="12"/>
  <c r="DM44" i="12"/>
  <c r="EC35" i="12"/>
  <c r="P44" i="12"/>
  <c r="EC43" i="12"/>
  <c r="I44" i="12"/>
  <c r="AS40" i="12"/>
  <c r="DL44" i="12"/>
  <c r="CJ38" i="12"/>
  <c r="AQ41" i="12"/>
  <c r="AF44" i="12"/>
  <c r="CG43" i="12"/>
  <c r="EQ39" i="12"/>
  <c r="H43" i="12"/>
  <c r="BY41" i="12"/>
  <c r="BR42" i="12"/>
  <c r="CJ36" i="12"/>
  <c r="ES44" i="12"/>
  <c r="BM45" i="12"/>
  <c r="DT39" i="12"/>
  <c r="Y44" i="12"/>
  <c r="DS41" i="12"/>
  <c r="G38" i="12"/>
  <c r="CT43" i="12"/>
  <c r="BF36" i="12"/>
  <c r="EO39" i="12"/>
  <c r="CW42" i="12"/>
  <c r="BG45" i="12"/>
  <c r="EC40" i="12"/>
  <c r="DD44" i="12"/>
  <c r="AJ45" i="12"/>
  <c r="BM41" i="12"/>
  <c r="DL36" i="12"/>
  <c r="EB37" i="12"/>
  <c r="CW40" i="12"/>
  <c r="CV38" i="12"/>
  <c r="BT38" i="12"/>
  <c r="CK37" i="12"/>
  <c r="DD41" i="12"/>
  <c r="AK44" i="12"/>
  <c r="BV37" i="12"/>
  <c r="AJ42" i="12"/>
  <c r="U43" i="12"/>
  <c r="BT36" i="12"/>
  <c r="DV39" i="12"/>
  <c r="N43" i="12"/>
  <c r="Q38" i="12"/>
  <c r="CH43" i="12"/>
  <c r="BC40" i="12"/>
  <c r="BG40" i="12"/>
  <c r="BW37" i="12"/>
  <c r="ET38" i="12"/>
  <c r="BF44" i="12"/>
  <c r="AV36" i="12"/>
  <c r="AT35" i="12"/>
  <c r="Z36" i="12"/>
  <c r="M38" i="12"/>
  <c r="CE40" i="12"/>
  <c r="M40" i="12"/>
  <c r="CV41" i="12"/>
  <c r="BG44" i="12"/>
  <c r="AA45" i="12"/>
  <c r="DT35" i="12"/>
  <c r="EK43" i="12"/>
  <c r="BM36" i="12"/>
  <c r="EG41" i="12"/>
  <c r="DZ38" i="12"/>
  <c r="BZ35" i="12"/>
  <c r="AD37" i="12"/>
  <c r="AT38" i="12"/>
  <c r="L37" i="12"/>
  <c r="DE42" i="12"/>
  <c r="DL41" i="12"/>
  <c r="AZ41" i="12"/>
  <c r="N39" i="12"/>
  <c r="CG36" i="12"/>
  <c r="X45" i="12"/>
  <c r="EH40" i="12"/>
  <c r="BE40" i="12"/>
  <c r="CS44" i="12"/>
  <c r="U41" i="12"/>
  <c r="H44" i="12"/>
  <c r="ET43" i="12"/>
  <c r="DM45" i="12"/>
  <c r="DI40" i="12"/>
  <c r="AT42" i="12"/>
  <c r="EK40" i="12"/>
  <c r="CI38" i="12"/>
  <c r="GU43" i="12"/>
  <c r="EU42" i="12"/>
  <c r="EB43" i="12"/>
  <c r="CM39" i="12"/>
  <c r="P36" i="12"/>
  <c r="CA39" i="12"/>
  <c r="EG42" i="12"/>
  <c r="AQ40" i="12"/>
  <c r="Z35" i="12"/>
  <c r="EA36" i="12"/>
  <c r="DT42" i="12"/>
  <c r="DQ35" i="12"/>
  <c r="H42" i="12"/>
  <c r="BQ35" i="12"/>
  <c r="BR45" i="12"/>
  <c r="CP37" i="12"/>
  <c r="Y41" i="12"/>
  <c r="DQ38" i="12"/>
  <c r="CZ41" i="12"/>
  <c r="DV38" i="12"/>
  <c r="CQ37" i="12"/>
  <c r="AI44" i="12"/>
  <c r="BY35" i="12"/>
  <c r="AA41" i="12"/>
  <c r="DO40" i="12"/>
  <c r="BX43" i="12"/>
  <c r="DA38" i="12"/>
  <c r="U42" i="12"/>
  <c r="DK36" i="12"/>
  <c r="K45" i="12"/>
  <c r="DZ42" i="12"/>
  <c r="CH36" i="12"/>
  <c r="AH44" i="12"/>
  <c r="AX45" i="12"/>
  <c r="CJ42" i="12"/>
  <c r="CO37" i="12"/>
  <c r="G44" i="12"/>
  <c r="AF37" i="12"/>
  <c r="BZ37" i="12"/>
  <c r="X38" i="12"/>
  <c r="AY37" i="12"/>
  <c r="BM42" i="12"/>
  <c r="BV35" i="12"/>
  <c r="DB35" i="12"/>
  <c r="Y38" i="12"/>
  <c r="CX38" i="12"/>
  <c r="BJ39" i="12"/>
  <c r="DP36" i="12"/>
  <c r="CR45" i="12"/>
  <c r="J44" i="12"/>
  <c r="AH39" i="12"/>
  <c r="EE36" i="12"/>
  <c r="AK38" i="12"/>
  <c r="AI42" i="12"/>
  <c r="DF36" i="12"/>
  <c r="CU36" i="12"/>
  <c r="BE35" i="12"/>
  <c r="Q36" i="12"/>
  <c r="BA36" i="12"/>
  <c r="AQ43" i="12"/>
  <c r="BR41" i="12"/>
  <c r="AM79" i="48"/>
  <c r="AN79" i="48" s="1"/>
  <c r="AM65" i="48"/>
  <c r="AN65" i="48" s="1"/>
  <c r="AM76" i="48"/>
  <c r="AN76" i="48" s="1"/>
  <c r="AM82" i="48"/>
  <c r="AN82" i="48" s="1"/>
  <c r="AK88" i="48"/>
  <c r="AL88" i="48" s="1"/>
  <c r="AM70" i="48"/>
  <c r="AN70" i="48" s="1"/>
  <c r="AM77" i="48"/>
  <c r="AN77" i="48" s="1"/>
  <c r="AB92" i="48"/>
  <c r="AC123" i="48"/>
  <c r="BC123" i="48" s="1"/>
  <c r="AC73" i="48"/>
  <c r="BC73" i="48" s="1"/>
  <c r="AB73" i="48"/>
  <c r="AK78" i="48"/>
  <c r="AL78" i="48" s="1"/>
  <c r="AC60" i="48"/>
  <c r="BC60" i="48" s="1"/>
  <c r="AC69" i="48"/>
  <c r="BC69" i="48" s="1"/>
  <c r="AB69" i="48"/>
  <c r="AK60" i="48"/>
  <c r="AL60" i="48" s="1"/>
  <c r="AK127" i="48"/>
  <c r="AL127" i="48" s="1"/>
  <c r="AB80" i="48"/>
  <c r="AK118" i="48"/>
  <c r="AL118" i="48" s="1"/>
  <c r="AM121" i="48"/>
  <c r="AN121" i="48" s="1"/>
  <c r="AK86" i="48"/>
  <c r="AL86" i="48" s="1"/>
  <c r="AC83" i="48"/>
  <c r="BC83" i="48" s="1"/>
  <c r="AB83" i="48"/>
  <c r="AK109" i="48"/>
  <c r="AL109" i="48" s="1"/>
  <c r="AK124" i="48"/>
  <c r="AL124" i="48" s="1"/>
  <c r="AK125" i="48"/>
  <c r="AL125" i="48" s="1"/>
  <c r="AB75" i="48"/>
  <c r="AC124" i="48"/>
  <c r="BC124" i="48" s="1"/>
  <c r="AM125" i="48"/>
  <c r="AN125" i="48" s="1"/>
  <c r="AB78" i="48"/>
  <c r="AC78" i="48"/>
  <c r="BC78" i="48" s="1"/>
  <c r="AB82" i="48"/>
  <c r="AK58" i="48"/>
  <c r="AL58" i="48" s="1"/>
  <c r="AC62" i="48"/>
  <c r="BC62" i="48" s="1"/>
  <c r="AK111" i="48"/>
  <c r="AL111" i="48" s="1"/>
  <c r="AC113" i="48"/>
  <c r="BC113" i="48" s="1"/>
  <c r="AC115" i="48"/>
  <c r="BC115" i="48" s="1"/>
  <c r="AB115" i="48"/>
  <c r="AC92" i="48"/>
  <c r="BC92" i="48" s="1"/>
  <c r="AB67" i="48"/>
  <c r="AC127" i="48"/>
  <c r="BC127" i="48" s="1"/>
  <c r="AM86" i="48"/>
  <c r="AN86" i="48" s="1"/>
  <c r="AM97" i="48"/>
  <c r="AN97" i="48" s="1"/>
  <c r="AB106" i="48"/>
  <c r="AM103" i="48"/>
  <c r="AN103" i="48" s="1"/>
  <c r="AK84" i="48"/>
  <c r="AL84" i="48" s="1"/>
  <c r="CK17" i="12"/>
  <c r="DW25" i="12"/>
  <c r="BV23" i="12"/>
  <c r="DP30" i="12"/>
  <c r="ER16" i="12"/>
  <c r="BB14" i="12"/>
  <c r="V13" i="12"/>
  <c r="DP21" i="12"/>
  <c r="BZ13" i="12"/>
  <c r="BA30" i="12"/>
  <c r="CI28" i="12"/>
  <c r="BY24" i="12"/>
  <c r="EI26" i="12"/>
  <c r="CM21" i="12"/>
  <c r="BE27" i="12"/>
  <c r="M29" i="12"/>
  <c r="Y30" i="12"/>
  <c r="DF16" i="12"/>
  <c r="BN13" i="12"/>
  <c r="H26" i="12"/>
  <c r="CM28" i="12"/>
  <c r="EL20" i="12"/>
  <c r="F27" i="12"/>
  <c r="CT25" i="12"/>
  <c r="BX26" i="12"/>
  <c r="DG26" i="12"/>
  <c r="GU16" i="12"/>
  <c r="BN24" i="12"/>
  <c r="CH23" i="12"/>
  <c r="BX27" i="12"/>
  <c r="ER17" i="12"/>
  <c r="BX21" i="12"/>
  <c r="AO24" i="12"/>
  <c r="DC13" i="12"/>
  <c r="AR29" i="12"/>
  <c r="DF29" i="12"/>
  <c r="BY25" i="12"/>
  <c r="BQ30" i="12"/>
  <c r="DL18" i="12"/>
  <c r="CY16" i="12"/>
  <c r="BJ18" i="12"/>
  <c r="E23" i="12"/>
  <c r="CV19" i="12"/>
  <c r="BU11" i="12"/>
  <c r="CD15" i="12"/>
  <c r="DL21" i="12"/>
  <c r="DR25" i="12"/>
  <c r="CG25" i="12"/>
  <c r="DS23" i="12"/>
  <c r="AG17" i="12"/>
  <c r="DA14" i="12"/>
  <c r="ED19" i="12"/>
  <c r="CG30" i="12"/>
  <c r="DJ15" i="12"/>
  <c r="AO29" i="12"/>
  <c r="EH19" i="12"/>
  <c r="Q14" i="12"/>
  <c r="BH10" i="12"/>
  <c r="AD27" i="12"/>
  <c r="EI14" i="12"/>
  <c r="CG27" i="12"/>
  <c r="J15" i="12"/>
  <c r="E11" i="12"/>
  <c r="AL27" i="12"/>
  <c r="G22" i="12"/>
  <c r="AY23" i="12"/>
  <c r="AG30" i="12"/>
  <c r="BE19" i="12"/>
  <c r="ET18" i="12"/>
  <c r="ER24" i="12"/>
  <c r="EJ14" i="12"/>
  <c r="DH10" i="12"/>
  <c r="BD19" i="12"/>
  <c r="O28" i="12"/>
  <c r="BG25" i="12"/>
  <c r="BA25" i="12"/>
  <c r="EM20" i="12"/>
  <c r="AX21" i="12"/>
  <c r="EO20" i="12"/>
  <c r="EA21" i="12"/>
  <c r="F30" i="12"/>
  <c r="DA27" i="12"/>
  <c r="DW19" i="12"/>
  <c r="AR11" i="12"/>
  <c r="AZ15" i="12"/>
  <c r="AI11" i="12"/>
  <c r="DB22" i="12"/>
  <c r="H29" i="12"/>
  <c r="BE21" i="12"/>
  <c r="BM20" i="12"/>
  <c r="BM31" i="12" s="1"/>
  <c r="CP30" i="12"/>
  <c r="BU19" i="12"/>
  <c r="AW18" i="12"/>
  <c r="EU19" i="12"/>
  <c r="BQ19" i="12"/>
  <c r="CD18" i="12"/>
  <c r="L10" i="12"/>
  <c r="CB16" i="12"/>
  <c r="CN26" i="12"/>
  <c r="DE12" i="12"/>
  <c r="AF20" i="12"/>
  <c r="BN19" i="12"/>
  <c r="AZ20" i="12"/>
  <c r="BO15" i="12"/>
  <c r="BM21" i="12"/>
  <c r="L11" i="12"/>
  <c r="AH29" i="12"/>
  <c r="DD22" i="12"/>
  <c r="AR24" i="12"/>
  <c r="BS17" i="12"/>
  <c r="BI29" i="12"/>
  <c r="X10" i="12"/>
  <c r="F26" i="12"/>
  <c r="BW23" i="12"/>
  <c r="BW31" i="12" s="1"/>
  <c r="ED10" i="12"/>
  <c r="BJ29" i="12"/>
  <c r="M27" i="12"/>
  <c r="ES21" i="12"/>
  <c r="ES31" i="12" s="1"/>
  <c r="ES24" i="12"/>
  <c r="DZ10" i="12"/>
  <c r="AF12" i="12"/>
  <c r="X16" i="12"/>
  <c r="DX25" i="12"/>
  <c r="EI22" i="12"/>
  <c r="I29" i="12"/>
  <c r="BB12" i="12"/>
  <c r="CG16" i="12"/>
  <c r="BR23" i="12"/>
  <c r="EO29" i="12"/>
  <c r="AO21" i="12"/>
  <c r="AX23" i="12"/>
  <c r="W18" i="12"/>
  <c r="T30" i="12"/>
  <c r="CL28" i="12"/>
  <c r="BZ26" i="12"/>
  <c r="AV13" i="12"/>
  <c r="EF13" i="12"/>
  <c r="AJ19" i="12"/>
  <c r="R13" i="12"/>
  <c r="CG18" i="12"/>
  <c r="CD28" i="12"/>
  <c r="O22" i="12"/>
  <c r="BM25" i="12"/>
  <c r="DX20" i="12"/>
  <c r="AN14" i="12"/>
  <c r="BY29" i="12"/>
  <c r="CK10" i="12"/>
  <c r="BQ28" i="12"/>
  <c r="AF10" i="12"/>
  <c r="Q21" i="12"/>
  <c r="BW15" i="12"/>
  <c r="EM11" i="12"/>
  <c r="EB14" i="12"/>
  <c r="L19" i="12"/>
  <c r="BV16" i="12"/>
  <c r="AQ21" i="12"/>
  <c r="BJ10" i="12"/>
  <c r="EO18" i="12"/>
  <c r="BT10" i="12"/>
  <c r="DO14" i="12"/>
  <c r="AQ12" i="12"/>
  <c r="EH11" i="12"/>
  <c r="EH31" i="12" s="1"/>
  <c r="R25" i="12"/>
  <c r="DC12" i="12"/>
  <c r="AG20" i="12"/>
  <c r="AO17" i="12"/>
  <c r="DC24" i="12"/>
  <c r="CD30" i="12"/>
  <c r="T24" i="12"/>
  <c r="EH27" i="12"/>
  <c r="ER19" i="12"/>
  <c r="G14" i="12"/>
  <c r="EF24" i="12"/>
  <c r="BU27" i="12"/>
  <c r="EO26" i="12"/>
  <c r="DN23" i="12"/>
  <c r="O16" i="12"/>
  <c r="CV11" i="12"/>
  <c r="DW13" i="12"/>
  <c r="BX18" i="12"/>
  <c r="R27" i="12"/>
  <c r="CZ10" i="12"/>
  <c r="BP25" i="12"/>
  <c r="CY20" i="12"/>
  <c r="CT12" i="12"/>
  <c r="EK28" i="12"/>
  <c r="EI16" i="12"/>
  <c r="AV25" i="12"/>
  <c r="DE18" i="12"/>
  <c r="AL13" i="12"/>
  <c r="DB26" i="12"/>
  <c r="BG27" i="12"/>
  <c r="AQ30" i="12"/>
  <c r="EJ30" i="12"/>
  <c r="AZ29" i="12"/>
  <c r="EI28" i="12"/>
  <c r="AP18" i="12"/>
  <c r="I30" i="12"/>
  <c r="AC17" i="12"/>
  <c r="EN14" i="12"/>
  <c r="CF15" i="12"/>
  <c r="ER27" i="12"/>
  <c r="CX12" i="12"/>
  <c r="DZ14" i="12"/>
  <c r="AG14" i="12"/>
  <c r="DQ17" i="12"/>
  <c r="DQ31" i="12" s="1"/>
  <c r="CV22" i="12"/>
  <c r="P22" i="12"/>
  <c r="AF21" i="12"/>
  <c r="AO11" i="12"/>
  <c r="AO31" i="12" s="1"/>
  <c r="EJ28" i="12"/>
  <c r="I23" i="12"/>
  <c r="BM24" i="12"/>
  <c r="BE18" i="12"/>
  <c r="H14" i="12"/>
  <c r="DC28" i="12"/>
  <c r="BL18" i="12"/>
  <c r="EU14" i="12"/>
  <c r="EP30" i="12"/>
  <c r="CU20" i="12"/>
  <c r="AO12" i="12"/>
  <c r="CQ28" i="12"/>
  <c r="DG29" i="12"/>
  <c r="ER15" i="12"/>
  <c r="J29" i="12"/>
  <c r="Y24" i="12"/>
  <c r="Y31" i="12" s="1"/>
  <c r="AO18" i="12"/>
  <c r="GU28" i="12"/>
  <c r="Q19" i="12"/>
  <c r="K15" i="12"/>
  <c r="CI22" i="12"/>
  <c r="CE23" i="12"/>
  <c r="AS12" i="12"/>
  <c r="CH25" i="12"/>
  <c r="Q30" i="12"/>
  <c r="CQ30" i="12"/>
  <c r="M11" i="12"/>
  <c r="BG17" i="12"/>
  <c r="DI17" i="12"/>
  <c r="AY12" i="12"/>
  <c r="N20" i="12"/>
  <c r="EE25" i="12"/>
  <c r="CB18" i="12"/>
  <c r="BO18" i="12"/>
  <c r="DA18" i="12"/>
  <c r="DX19" i="12"/>
  <c r="BT18" i="12"/>
  <c r="DH13" i="12"/>
  <c r="E19" i="12"/>
  <c r="H21" i="12"/>
  <c r="BA12" i="12"/>
  <c r="F22" i="12"/>
  <c r="S21" i="12"/>
  <c r="H10" i="12"/>
  <c r="BI15" i="12"/>
  <c r="AZ11" i="12"/>
  <c r="ES22" i="12"/>
  <c r="DO11" i="12"/>
  <c r="AD26" i="12"/>
  <c r="DV15" i="12"/>
  <c r="DH16" i="12"/>
  <c r="CP19" i="12"/>
  <c r="DS19" i="12"/>
  <c r="GU14" i="12"/>
  <c r="CS10" i="12"/>
  <c r="BO23" i="12"/>
  <c r="DU29" i="12"/>
  <c r="AM29" i="12"/>
  <c r="GU29" i="12"/>
  <c r="AV23" i="12"/>
  <c r="CS20" i="12"/>
  <c r="DD19" i="12"/>
  <c r="EB28" i="12"/>
  <c r="EM21" i="12"/>
  <c r="D19" i="12"/>
  <c r="D31" i="12" s="1"/>
  <c r="BP13" i="12"/>
  <c r="BC14" i="12"/>
  <c r="ED11" i="12"/>
  <c r="AW14" i="12"/>
  <c r="AW31" i="12" s="1"/>
  <c r="AT12" i="12"/>
  <c r="DZ25" i="12"/>
  <c r="EQ12" i="12"/>
  <c r="EQ31" i="12" s="1"/>
  <c r="ES10" i="12"/>
  <c r="BL13" i="12"/>
  <c r="BA18" i="12"/>
  <c r="AS26" i="12"/>
  <c r="AO19" i="12"/>
  <c r="AE20" i="12"/>
  <c r="CU17" i="12"/>
  <c r="CZ22" i="12"/>
  <c r="DN10" i="12"/>
  <c r="CX22" i="12"/>
  <c r="FH26" i="12"/>
  <c r="DI15" i="12"/>
  <c r="BY14" i="12"/>
  <c r="AF26" i="12"/>
  <c r="BN29" i="12"/>
  <c r="DT20" i="12"/>
  <c r="BY11" i="12"/>
  <c r="AP12" i="12"/>
  <c r="AU26" i="12"/>
  <c r="U13" i="12"/>
  <c r="CL20" i="12"/>
  <c r="EL26" i="12"/>
  <c r="BI17" i="12"/>
  <c r="DL30" i="12"/>
  <c r="AY11" i="12"/>
  <c r="Y15" i="12"/>
  <c r="AM19" i="12"/>
  <c r="DN30" i="12"/>
  <c r="CB25" i="12"/>
  <c r="AQ26" i="12"/>
  <c r="AE18" i="12"/>
  <c r="H20" i="12"/>
  <c r="AG29" i="12"/>
  <c r="CM15" i="12"/>
  <c r="EE29" i="12"/>
  <c r="AL17" i="12"/>
  <c r="AB21" i="12"/>
  <c r="DN29" i="12"/>
  <c r="CM20" i="12"/>
  <c r="BF23" i="12"/>
  <c r="EE16" i="12"/>
  <c r="AC18" i="12"/>
  <c r="F20" i="12"/>
  <c r="EM14" i="12"/>
  <c r="BO16" i="12"/>
  <c r="DH25" i="12"/>
  <c r="CF30" i="12"/>
  <c r="K16" i="12"/>
  <c r="DY27" i="12"/>
  <c r="DT23" i="12"/>
  <c r="BY23" i="12"/>
  <c r="CE29" i="12"/>
  <c r="DQ20" i="12"/>
  <c r="ER23" i="12"/>
  <c r="U16" i="12"/>
  <c r="CE28" i="12"/>
  <c r="DD14" i="12"/>
  <c r="ED15" i="12"/>
  <c r="BA21" i="12"/>
  <c r="DQ25" i="12"/>
  <c r="CK25" i="12"/>
  <c r="DP19" i="12"/>
  <c r="BL20" i="12"/>
  <c r="O13" i="12"/>
  <c r="CT29" i="12"/>
  <c r="CZ14" i="12"/>
  <c r="EF27" i="12"/>
  <c r="DU16" i="12"/>
  <c r="J14" i="12"/>
  <c r="CE30" i="12"/>
  <c r="DB17" i="12"/>
  <c r="EP16" i="12"/>
  <c r="AT20" i="12"/>
  <c r="CL12" i="12"/>
  <c r="DW21" i="12"/>
  <c r="BB29" i="12"/>
  <c r="AM28" i="12"/>
  <c r="EO28" i="12"/>
  <c r="DA28" i="12"/>
  <c r="BE22" i="12"/>
  <c r="BQ22" i="12"/>
  <c r="CL15" i="12"/>
  <c r="DJ21" i="12"/>
  <c r="EK22" i="12"/>
  <c r="P25" i="12"/>
  <c r="EC29" i="12"/>
  <c r="R20" i="12"/>
  <c r="CX13" i="12"/>
  <c r="DW26" i="12"/>
  <c r="EM24" i="12"/>
  <c r="AA30" i="12"/>
  <c r="FH30" i="12"/>
  <c r="FH31" i="12" s="1"/>
  <c r="W25" i="12"/>
  <c r="W31" i="12" s="1"/>
  <c r="EA18" i="12"/>
  <c r="BU25" i="12"/>
  <c r="AC14" i="12"/>
  <c r="AC15" i="12"/>
  <c r="BZ24" i="12"/>
  <c r="CY14" i="12"/>
  <c r="AI24" i="12"/>
  <c r="DP23" i="12"/>
  <c r="EH10" i="12"/>
  <c r="DA16" i="12"/>
  <c r="U29" i="12"/>
  <c r="BF20" i="12"/>
  <c r="AB18" i="12"/>
  <c r="CQ23" i="12"/>
  <c r="BO28" i="12"/>
  <c r="EG15" i="12"/>
  <c r="DH21" i="12"/>
  <c r="EE24" i="12"/>
  <c r="AV12" i="12"/>
  <c r="AV31" i="12" s="1"/>
  <c r="CX21" i="12"/>
  <c r="DJ29" i="12"/>
  <c r="EE26" i="12"/>
  <c r="AI30" i="12"/>
  <c r="H25" i="12"/>
  <c r="DI21" i="12"/>
  <c r="EN25" i="12"/>
  <c r="AX25" i="12"/>
  <c r="GU18" i="12"/>
  <c r="F13" i="12"/>
  <c r="AK11" i="12"/>
  <c r="ES27" i="12"/>
  <c r="BR13" i="12"/>
  <c r="CP26" i="12"/>
  <c r="AE22" i="12"/>
  <c r="BX12" i="12"/>
  <c r="EC22" i="12"/>
  <c r="DD15" i="12"/>
  <c r="DY14" i="12"/>
  <c r="BU14" i="12"/>
  <c r="EB30" i="12"/>
  <c r="AS22" i="12"/>
  <c r="AS11" i="12"/>
  <c r="ER12" i="12"/>
  <c r="AR13" i="12"/>
  <c r="DZ28" i="12"/>
  <c r="I19" i="12"/>
  <c r="CE14" i="12"/>
  <c r="DI18" i="12"/>
  <c r="CA23" i="12"/>
  <c r="DT30" i="12"/>
  <c r="DE16" i="12"/>
  <c r="CB21" i="12"/>
  <c r="CL18" i="12"/>
  <c r="K10" i="12"/>
  <c r="BS10" i="12"/>
  <c r="BA23" i="12"/>
  <c r="DG14" i="12"/>
  <c r="DQ26" i="12"/>
  <c r="BD18" i="12"/>
  <c r="C18" i="12" s="1"/>
  <c r="BK16" i="12"/>
  <c r="S24" i="12"/>
  <c r="BA27" i="12"/>
  <c r="DR11" i="12"/>
  <c r="Y16" i="12"/>
  <c r="G12" i="12"/>
  <c r="DL24" i="12"/>
  <c r="DP29" i="12"/>
  <c r="EL11" i="12"/>
  <c r="EL27" i="12"/>
  <c r="AH27" i="12"/>
  <c r="DM22" i="12"/>
  <c r="DM31" i="12" s="1"/>
  <c r="AS15" i="12"/>
  <c r="AM127" i="48"/>
  <c r="AN127" i="48" s="1"/>
  <c r="AM118" i="48"/>
  <c r="AN118" i="48" s="1"/>
  <c r="AB81" i="48"/>
  <c r="AC81" i="48"/>
  <c r="BC81" i="48" s="1"/>
  <c r="AM116" i="48"/>
  <c r="AN116" i="48" s="1"/>
  <c r="AM128" i="48"/>
  <c r="AN128" i="48" s="1"/>
  <c r="AK101" i="48"/>
  <c r="AL101" i="48" s="1"/>
  <c r="AK97" i="48"/>
  <c r="AL97" i="48" s="1"/>
  <c r="AK106" i="48"/>
  <c r="AL106" i="48" s="1"/>
  <c r="AK103" i="48"/>
  <c r="AL103" i="48" s="1"/>
  <c r="AM107" i="48"/>
  <c r="AN107" i="48" s="1"/>
  <c r="AM74" i="48"/>
  <c r="AN74" i="48" s="1"/>
  <c r="AM119" i="48"/>
  <c r="AN119" i="48" s="1"/>
  <c r="AB65" i="48"/>
  <c r="AK62" i="48"/>
  <c r="AL62" i="48" s="1"/>
  <c r="AC88" i="48"/>
  <c r="BC88" i="48" s="1"/>
  <c r="AB88" i="48"/>
  <c r="AK114" i="48"/>
  <c r="AL114" i="48" s="1"/>
  <c r="AM114" i="48"/>
  <c r="AN114" i="48" s="1"/>
  <c r="AB110" i="48"/>
  <c r="AC110" i="48"/>
  <c r="BC110" i="48" s="1"/>
  <c r="ES30" i="12"/>
  <c r="AK112" i="48"/>
  <c r="AL112" i="48" s="1"/>
  <c r="AM112" i="48"/>
  <c r="AN112" i="48" s="1"/>
  <c r="AC66" i="48"/>
  <c r="BC66" i="48" s="1"/>
  <c r="AB66" i="48"/>
  <c r="EO11" i="12"/>
  <c r="EO31" i="12" s="1"/>
  <c r="CD25" i="12"/>
  <c r="Z12" i="12"/>
  <c r="G17" i="12"/>
  <c r="DU22" i="12"/>
  <c r="CB13" i="12"/>
  <c r="AI18" i="12"/>
  <c r="DS28" i="12"/>
  <c r="L27" i="12"/>
  <c r="F28" i="12"/>
  <c r="DI10" i="12"/>
  <c r="G19" i="12"/>
  <c r="BH27" i="12"/>
  <c r="T15" i="12"/>
  <c r="T31" i="12" s="1"/>
  <c r="AC108" i="48"/>
  <c r="BC108" i="48" s="1"/>
  <c r="AB108" i="48"/>
  <c r="AC91" i="48"/>
  <c r="BC91" i="48" s="1"/>
  <c r="AB102" i="48"/>
  <c r="AK76" i="48"/>
  <c r="AL76" i="48" s="1"/>
  <c r="AC96" i="48"/>
  <c r="BC96" i="48" s="1"/>
  <c r="AB96" i="48"/>
  <c r="AC70" i="48"/>
  <c r="BC70" i="48" s="1"/>
  <c r="AC117" i="48"/>
  <c r="BC117" i="48" s="1"/>
  <c r="AB117" i="48"/>
  <c r="CU16" i="12"/>
  <c r="CU31" i="12" s="1"/>
  <c r="BJ23" i="12"/>
  <c r="DJ13" i="12"/>
  <c r="CM27" i="12"/>
  <c r="CW14" i="12"/>
  <c r="CW31" i="12" s="1"/>
  <c r="AG12" i="12"/>
  <c r="BY13" i="12"/>
  <c r="DP25" i="12"/>
  <c r="BL10" i="12"/>
  <c r="BL31" i="12" s="1"/>
  <c r="DL22" i="12"/>
  <c r="EB16" i="12"/>
  <c r="BV15" i="12"/>
  <c r="DR12" i="12"/>
  <c r="DI23" i="12"/>
  <c r="BZ28" i="12"/>
  <c r="AK25" i="12"/>
  <c r="ET24" i="12"/>
  <c r="ET31" i="12" s="1"/>
  <c r="EM16" i="12"/>
  <c r="X14" i="12"/>
  <c r="DJ27" i="12"/>
  <c r="U23" i="12"/>
  <c r="E13" i="12"/>
  <c r="AM129" i="48"/>
  <c r="AN129" i="48" s="1"/>
  <c r="AC129" i="48"/>
  <c r="BC129" i="48" s="1"/>
  <c r="AM96" i="48"/>
  <c r="AN96" i="48" s="1"/>
  <c r="AM68" i="48"/>
  <c r="AN68" i="48" s="1"/>
  <c r="AK70" i="48"/>
  <c r="AL70" i="48" s="1"/>
  <c r="AC85" i="48"/>
  <c r="BC85" i="48" s="1"/>
  <c r="AB85" i="48"/>
  <c r="DK10" i="12"/>
  <c r="DK31" i="12" s="1"/>
  <c r="AV10" i="12"/>
  <c r="AA11" i="12"/>
  <c r="DC25" i="12"/>
  <c r="BI23" i="12"/>
  <c r="AL28" i="12"/>
  <c r="AV24" i="12"/>
  <c r="AT17" i="12"/>
  <c r="P24" i="12"/>
  <c r="AH23" i="12"/>
  <c r="BE23" i="12"/>
  <c r="CA17" i="12"/>
  <c r="CH18" i="12"/>
  <c r="AM110" i="48"/>
  <c r="AN110" i="48" s="1"/>
  <c r="DT12" i="12"/>
  <c r="CT17" i="12"/>
  <c r="DI22" i="12"/>
  <c r="BB30" i="12"/>
  <c r="DA13" i="12"/>
  <c r="AQ16" i="12"/>
  <c r="EB19" i="12"/>
  <c r="CZ20" i="12"/>
  <c r="DC20" i="12"/>
  <c r="DE25" i="12"/>
  <c r="O17" i="12"/>
  <c r="BK17" i="12"/>
  <c r="DO10" i="12"/>
  <c r="EA25" i="12"/>
  <c r="EA31" i="12" s="1"/>
  <c r="CV28" i="12"/>
  <c r="BP15" i="12"/>
  <c r="DH24" i="12"/>
  <c r="DP22" i="12"/>
  <c r="AK17" i="12"/>
  <c r="Q22" i="12"/>
  <c r="CQ12" i="12"/>
  <c r="CQ31" i="12" s="1"/>
  <c r="AK19" i="12"/>
  <c r="BS22" i="12"/>
  <c r="DN11" i="12"/>
  <c r="BE26" i="12"/>
  <c r="CD21" i="12"/>
  <c r="EF26" i="12"/>
  <c r="EF31" i="12" s="1"/>
  <c r="BS29" i="12"/>
  <c r="AF13" i="12"/>
  <c r="Z19" i="12"/>
  <c r="CV18" i="12"/>
  <c r="AA19" i="12"/>
  <c r="S11" i="12"/>
  <c r="DT15" i="12"/>
  <c r="DI16" i="12"/>
  <c r="DE26" i="12"/>
  <c r="DI26" i="12"/>
  <c r="BS13" i="12"/>
  <c r="BL23" i="12"/>
  <c r="CB29" i="12"/>
  <c r="R21" i="12"/>
  <c r="EJ26" i="12"/>
  <c r="EJ31" i="12" s="1"/>
  <c r="AA21" i="12"/>
  <c r="CZ26" i="12"/>
  <c r="EG29" i="12"/>
  <c r="DB30" i="12"/>
  <c r="CL10" i="12"/>
  <c r="BW12" i="12"/>
  <c r="AR10" i="12"/>
  <c r="BZ14" i="12"/>
  <c r="CJ23" i="12"/>
  <c r="CJ31" i="12" s="1"/>
  <c r="DX23" i="12"/>
  <c r="CB10" i="12"/>
  <c r="CB31" i="12" s="1"/>
  <c r="CC28" i="12"/>
  <c r="DF23" i="12"/>
  <c r="DI13" i="12"/>
  <c r="CA26" i="12"/>
  <c r="BB22" i="12"/>
  <c r="BT15" i="12"/>
  <c r="EU20" i="12"/>
  <c r="BR29" i="12"/>
  <c r="R23" i="12"/>
  <c r="BL21" i="12"/>
  <c r="BU16" i="12"/>
  <c r="K28" i="12"/>
  <c r="J28" i="12"/>
  <c r="AQ23" i="12"/>
  <c r="CB19" i="12"/>
  <c r="EC24" i="12"/>
  <c r="V30" i="12"/>
  <c r="V31" i="12" s="1"/>
  <c r="AJ15" i="12"/>
  <c r="BW14" i="12"/>
  <c r="AR27" i="12"/>
  <c r="CG24" i="12"/>
  <c r="AF22" i="12"/>
  <c r="EN24" i="12"/>
  <c r="DP27" i="12"/>
  <c r="BQ25" i="12"/>
  <c r="DN24" i="12"/>
  <c r="CS26" i="12"/>
  <c r="DD28" i="12"/>
  <c r="EN30" i="12"/>
  <c r="EN31" i="12" s="1"/>
  <c r="EK27" i="12"/>
  <c r="BP20" i="12"/>
  <c r="ER29" i="12"/>
  <c r="CV15" i="12"/>
  <c r="P21" i="12"/>
  <c r="AJ10" i="12"/>
  <c r="E10" i="12"/>
  <c r="DR13" i="12"/>
  <c r="U15" i="12"/>
  <c r="BK21" i="12"/>
  <c r="R17" i="12"/>
  <c r="AR14" i="12"/>
  <c r="DH26" i="12"/>
  <c r="EM27" i="12"/>
  <c r="CG26" i="12"/>
  <c r="AM26" i="12"/>
  <c r="BN15" i="12"/>
  <c r="AB15" i="12"/>
  <c r="DA15" i="12"/>
  <c r="AS28" i="12"/>
  <c r="GU30" i="12"/>
  <c r="BJ16" i="12"/>
  <c r="AM59" i="48"/>
  <c r="AN59" i="48" s="1"/>
  <c r="AK59" i="48"/>
  <c r="AL59" i="48" s="1"/>
  <c r="AB89" i="48"/>
  <c r="AC89" i="48"/>
  <c r="BC89" i="48" s="1"/>
  <c r="AC100" i="48"/>
  <c r="BC100" i="48" s="1"/>
  <c r="AB100" i="48"/>
  <c r="EP41" i="12"/>
  <c r="M37" i="12"/>
  <c r="DQ36" i="12"/>
  <c r="CI35" i="12"/>
  <c r="AO35" i="12"/>
  <c r="BZ38" i="12"/>
  <c r="D39" i="12"/>
  <c r="BA40" i="12"/>
  <c r="AN44" i="12"/>
  <c r="DP42" i="12"/>
  <c r="CZ43" i="12"/>
  <c r="CK42" i="12"/>
  <c r="AT44" i="12"/>
  <c r="Z37" i="12"/>
  <c r="CJ41" i="12"/>
  <c r="EU37" i="12"/>
  <c r="AX39" i="12"/>
  <c r="AK40" i="12"/>
  <c r="AI35" i="12"/>
  <c r="DN35" i="12"/>
  <c r="CW39" i="12"/>
  <c r="DD39" i="12"/>
  <c r="CQ45" i="12"/>
  <c r="ER40" i="12"/>
  <c r="DZ39" i="12"/>
  <c r="AP38" i="12"/>
  <c r="DP38" i="12"/>
  <c r="EM40" i="12"/>
  <c r="BA45" i="12"/>
  <c r="BK41" i="12"/>
  <c r="DR36" i="12"/>
  <c r="BT45" i="12"/>
  <c r="BW36" i="12"/>
  <c r="Q37" i="12"/>
  <c r="AQ42" i="12"/>
  <c r="BJ44" i="12"/>
  <c r="E45" i="12"/>
  <c r="BM38" i="12"/>
  <c r="EO43" i="12"/>
  <c r="R42" i="12"/>
  <c r="DY38" i="12"/>
  <c r="EU36" i="12"/>
  <c r="W43" i="12"/>
  <c r="BW42" i="12"/>
  <c r="CW38" i="12"/>
  <c r="BT43" i="12"/>
  <c r="EN36" i="12"/>
  <c r="DR41" i="12"/>
  <c r="CB45" i="12"/>
  <c r="CQ43" i="12"/>
  <c r="K44" i="12"/>
  <c r="CT35" i="12"/>
  <c r="DE36" i="12"/>
  <c r="EK44" i="12"/>
  <c r="DU38" i="12"/>
  <c r="EI39" i="12"/>
  <c r="EA39" i="12"/>
  <c r="AI38" i="12"/>
  <c r="CU40" i="12"/>
  <c r="J39" i="12"/>
  <c r="DD36" i="12"/>
  <c r="EM43" i="12"/>
  <c r="CO39" i="12"/>
  <c r="DZ43" i="12"/>
  <c r="DY43" i="12"/>
  <c r="DW35" i="12"/>
  <c r="DM36" i="12"/>
  <c r="EI37" i="12"/>
  <c r="BC42" i="12"/>
  <c r="H36" i="12"/>
  <c r="Y43" i="12"/>
  <c r="AV35" i="12"/>
  <c r="D45" i="12"/>
  <c r="AU37" i="12"/>
  <c r="EG38" i="12"/>
  <c r="DU41" i="12"/>
  <c r="CM43" i="12"/>
  <c r="DH35" i="12"/>
  <c r="EG36" i="12"/>
  <c r="DV44" i="12"/>
  <c r="AL40" i="12"/>
  <c r="CY45" i="12"/>
  <c r="K37" i="12"/>
  <c r="AJ37" i="12"/>
  <c r="EN39" i="12"/>
  <c r="AZ44" i="12"/>
  <c r="BK38" i="12"/>
  <c r="CO45" i="12"/>
  <c r="Y39" i="12"/>
  <c r="E43" i="12"/>
  <c r="BS42" i="12"/>
  <c r="BK40" i="12"/>
  <c r="EP39" i="12"/>
  <c r="FH35" i="12"/>
  <c r="BH38" i="12"/>
  <c r="BC43" i="12"/>
  <c r="DN45" i="12"/>
  <c r="DO41" i="12"/>
  <c r="CD43" i="12"/>
  <c r="BL43" i="12"/>
  <c r="AX42" i="12"/>
  <c r="CS41" i="12"/>
  <c r="BJ45" i="12"/>
  <c r="CO36" i="12"/>
  <c r="BI40" i="12"/>
  <c r="O42" i="12"/>
  <c r="W38" i="12"/>
  <c r="BB40" i="12"/>
  <c r="CK41" i="12"/>
  <c r="AJ40" i="12"/>
  <c r="AI37" i="12"/>
  <c r="DI37" i="12"/>
  <c r="CT38" i="12"/>
  <c r="CP45" i="12"/>
  <c r="ET41" i="12"/>
  <c r="AL42" i="12"/>
  <c r="CM35" i="12"/>
  <c r="DC42" i="12"/>
  <c r="BG42" i="12"/>
  <c r="AA44" i="12"/>
  <c r="AR36" i="12"/>
  <c r="BC39" i="12"/>
  <c r="BD37" i="12"/>
  <c r="BE38" i="12"/>
  <c r="EJ36" i="12"/>
  <c r="AG45" i="12"/>
  <c r="EU38" i="12"/>
  <c r="EJ38" i="12"/>
  <c r="EA35" i="12"/>
  <c r="P45" i="12"/>
  <c r="CN42" i="12"/>
  <c r="EQ36" i="12"/>
  <c r="DC41" i="12"/>
  <c r="CF36" i="12"/>
  <c r="CB44" i="12"/>
  <c r="EN37" i="12"/>
  <c r="O44" i="12"/>
  <c r="Q39" i="12"/>
  <c r="DX45" i="12"/>
  <c r="DG37" i="12"/>
  <c r="EQ37" i="12"/>
  <c r="AQ45" i="12"/>
  <c r="BT42" i="12"/>
  <c r="CQ38" i="12"/>
  <c r="DI45" i="12"/>
  <c r="AF39" i="12"/>
  <c r="AE42" i="12"/>
  <c r="CG38" i="12"/>
  <c r="BB41" i="12"/>
  <c r="CL35" i="12"/>
  <c r="EB41" i="12"/>
  <c r="DE43" i="12"/>
  <c r="AZ37" i="12"/>
  <c r="EM44" i="12"/>
  <c r="BO37" i="12"/>
  <c r="E42" i="12"/>
  <c r="DQ42" i="12"/>
  <c r="BI45" i="12"/>
  <c r="J36" i="12"/>
  <c r="DY42" i="12"/>
  <c r="DO35" i="12"/>
  <c r="AP35" i="12"/>
  <c r="DG35" i="12"/>
  <c r="ED36" i="12"/>
  <c r="CJ43" i="12"/>
  <c r="CH42" i="12"/>
  <c r="BW35" i="12"/>
  <c r="BN44" i="12"/>
  <c r="EF39" i="12"/>
  <c r="EF43" i="12"/>
  <c r="Z38" i="12"/>
  <c r="CT39" i="12"/>
  <c r="DX39" i="12"/>
  <c r="DN36" i="12"/>
  <c r="BJ36" i="12"/>
  <c r="DW38" i="12"/>
  <c r="BA35" i="12"/>
  <c r="BI39" i="12"/>
  <c r="EQ41" i="12"/>
  <c r="DQ39" i="12"/>
  <c r="EQ44" i="12"/>
  <c r="DQ45" i="12"/>
  <c r="AD42" i="12"/>
  <c r="EI36" i="12"/>
  <c r="AY36" i="12"/>
  <c r="P41" i="12"/>
  <c r="CS40" i="12"/>
  <c r="DK43" i="12"/>
  <c r="AJ41" i="12"/>
  <c r="DL37" i="12"/>
  <c r="G36" i="12"/>
  <c r="J38" i="12"/>
  <c r="EQ42" i="12"/>
  <c r="DE44" i="12"/>
  <c r="AV44" i="12"/>
  <c r="EP44" i="12"/>
  <c r="CQ42" i="12"/>
  <c r="BY39" i="12"/>
  <c r="EP36" i="12"/>
  <c r="ED40" i="12"/>
  <c r="X39" i="12"/>
  <c r="CD37" i="12"/>
  <c r="AK35" i="12"/>
  <c r="AB42" i="12"/>
  <c r="CJ44" i="12"/>
  <c r="AP45" i="12"/>
  <c r="DB36" i="12"/>
  <c r="CX35" i="12"/>
  <c r="W39" i="12"/>
  <c r="CN45" i="12"/>
  <c r="EC36" i="12"/>
  <c r="W41" i="12"/>
  <c r="EE42" i="12"/>
  <c r="O40" i="12"/>
  <c r="EN42" i="12"/>
  <c r="CJ40" i="12"/>
  <c r="BH39" i="12"/>
  <c r="CD35" i="12"/>
  <c r="EO40" i="12"/>
  <c r="BP36" i="12"/>
  <c r="BS43" i="12"/>
  <c r="DA43" i="12"/>
  <c r="BN35" i="12"/>
  <c r="D37" i="12"/>
  <c r="W44" i="12"/>
  <c r="CL45" i="12"/>
  <c r="DK45" i="12"/>
  <c r="BR38" i="12"/>
  <c r="CP35" i="12"/>
  <c r="AC39" i="12"/>
  <c r="CG44" i="12"/>
  <c r="BJ38" i="12"/>
  <c r="DW36" i="12"/>
  <c r="DV41" i="12"/>
  <c r="AL44" i="12"/>
  <c r="AP43" i="12"/>
  <c r="CW43" i="12"/>
  <c r="CI36" i="12"/>
  <c r="CC44" i="12"/>
  <c r="CO43" i="12"/>
  <c r="DA40" i="12"/>
  <c r="AV43" i="12"/>
  <c r="CX42" i="12"/>
  <c r="BI44" i="12"/>
  <c r="CB37" i="12"/>
  <c r="O37" i="12"/>
  <c r="O35" i="12"/>
  <c r="CP38" i="12"/>
  <c r="EO42" i="12"/>
  <c r="EP45" i="12"/>
  <c r="O38" i="12"/>
  <c r="BK37" i="12"/>
  <c r="BJ43" i="12"/>
  <c r="DM39" i="12"/>
  <c r="CQ44" i="12"/>
  <c r="BH45" i="12"/>
  <c r="S40" i="12"/>
  <c r="AZ43" i="12"/>
  <c r="N40" i="12"/>
  <c r="DB41" i="12"/>
  <c r="CI37" i="12"/>
  <c r="AM66" i="48"/>
  <c r="AN66" i="48" s="1"/>
  <c r="AM60" i="48"/>
  <c r="AN60" i="48" s="1"/>
  <c r="AC57" i="48"/>
  <c r="BC57" i="48" s="1"/>
  <c r="N31" i="12"/>
  <c r="CO31" i="12"/>
  <c r="CF31" i="12"/>
  <c r="CI31" i="12"/>
  <c r="DC31" i="12"/>
  <c r="AZ31" i="12"/>
  <c r="DZ31" i="12"/>
  <c r="E31" i="12"/>
  <c r="DV31" i="12"/>
  <c r="DH31" i="12"/>
  <c r="M31" i="12"/>
  <c r="BC31" i="12"/>
  <c r="EU31" i="12"/>
  <c r="AL31" i="12"/>
  <c r="AP31" i="12"/>
  <c r="CY31" i="12"/>
  <c r="CA31" i="12"/>
  <c r="AD31" i="12"/>
  <c r="CN31" i="12"/>
  <c r="AX31" i="12"/>
  <c r="AN31" i="12"/>
  <c r="L31" i="12"/>
  <c r="AB31" i="12"/>
  <c r="CC31" i="12"/>
  <c r="BR31" i="12"/>
  <c r="F31" i="12"/>
  <c r="AU31" i="12"/>
  <c r="BH31" i="12"/>
  <c r="AP51" i="48"/>
  <c r="U11" i="72" s="1"/>
  <c r="CR31" i="12"/>
  <c r="DA31" i="12"/>
  <c r="S31" i="12"/>
  <c r="AE31" i="12"/>
  <c r="EC31" i="12"/>
  <c r="DG31" i="12"/>
  <c r="I31" i="12"/>
  <c r="AM80" i="48"/>
  <c r="AN80" i="48" s="1"/>
  <c r="AM78" i="48"/>
  <c r="AN78" i="48" s="1"/>
  <c r="U37" i="72" a="1"/>
  <c r="U37" i="72" s="1"/>
  <c r="X37" i="46" a="1"/>
  <c r="X37" i="46" s="1"/>
  <c r="Y37" i="46" a="1"/>
  <c r="Y37" i="46" s="1"/>
  <c r="AM83" i="48"/>
  <c r="AN83" i="48" s="1"/>
  <c r="GL31" i="12" l="1"/>
  <c r="FQ31" i="12"/>
  <c r="FV31" i="12"/>
  <c r="BJ31" i="12"/>
  <c r="AH31" i="12"/>
  <c r="BY31" i="12"/>
  <c r="FL31" i="12"/>
  <c r="FS31" i="12"/>
  <c r="GH31" i="12"/>
  <c r="AB62" i="48"/>
  <c r="AB70" i="48"/>
  <c r="EI31" i="12"/>
  <c r="BZ31" i="12"/>
  <c r="DJ31" i="12"/>
  <c r="AB79" i="48"/>
  <c r="AC128" i="48"/>
  <c r="BC128" i="48" s="1"/>
  <c r="AC284" i="48"/>
  <c r="BC284" i="48" s="1"/>
  <c r="AC192" i="48"/>
  <c r="BC192" i="48" s="1"/>
  <c r="AC250" i="48"/>
  <c r="BC250" i="48" s="1"/>
  <c r="AC161" i="48"/>
  <c r="BC161" i="48" s="1"/>
  <c r="AC147" i="48"/>
  <c r="BC147" i="48" s="1"/>
  <c r="AC140" i="48"/>
  <c r="BC140" i="48" s="1"/>
  <c r="AC239" i="48"/>
  <c r="BC239" i="48" s="1"/>
  <c r="AC164" i="48"/>
  <c r="BC164" i="48" s="1"/>
  <c r="AC146" i="48"/>
  <c r="BC146" i="48" s="1"/>
  <c r="AC262" i="48"/>
  <c r="BC262" i="48" s="1"/>
  <c r="AC241" i="48"/>
  <c r="BC241" i="48" s="1"/>
  <c r="AC157" i="48"/>
  <c r="BC157" i="48" s="1"/>
  <c r="AC152" i="48"/>
  <c r="BC152" i="48" s="1"/>
  <c r="AC195" i="48"/>
  <c r="BC195" i="48" s="1"/>
  <c r="AC260" i="48"/>
  <c r="BC260" i="48" s="1"/>
  <c r="AC171" i="48"/>
  <c r="BC171" i="48" s="1"/>
  <c r="AC233" i="48"/>
  <c r="BC233" i="48" s="1"/>
  <c r="AC246" i="48"/>
  <c r="BC246" i="48" s="1"/>
  <c r="AC270" i="48"/>
  <c r="BC270" i="48" s="1"/>
  <c r="AL51" i="48"/>
  <c r="U5" i="72" s="1"/>
  <c r="U7" i="72" s="1"/>
  <c r="E7" i="46" s="1"/>
  <c r="S7" i="46" s="1"/>
  <c r="AC294" i="48"/>
  <c r="BC294" i="48" s="1"/>
  <c r="AB294" i="48"/>
  <c r="AC158" i="48"/>
  <c r="BC158" i="48" s="1"/>
  <c r="AB158" i="48"/>
  <c r="AC172" i="48"/>
  <c r="BC172" i="48" s="1"/>
  <c r="AB172" i="48"/>
  <c r="AC182" i="48"/>
  <c r="BC182" i="48" s="1"/>
  <c r="AB182" i="48"/>
  <c r="AC247" i="48"/>
  <c r="BC247" i="48" s="1"/>
  <c r="AB247" i="48"/>
  <c r="AC282" i="48"/>
  <c r="BC282" i="48" s="1"/>
  <c r="AB282" i="48"/>
  <c r="AC240" i="48"/>
  <c r="BC240" i="48" s="1"/>
  <c r="AB240" i="48"/>
  <c r="AC283" i="48"/>
  <c r="BC283" i="48" s="1"/>
  <c r="AC184" i="48"/>
  <c r="BC184" i="48" s="1"/>
  <c r="AB184" i="48"/>
  <c r="AC219" i="48"/>
  <c r="BC219" i="48" s="1"/>
  <c r="AB219" i="48"/>
  <c r="AB289" i="48"/>
  <c r="AC289" i="48"/>
  <c r="BC289" i="48" s="1"/>
  <c r="AB248" i="48"/>
  <c r="AC248" i="48"/>
  <c r="BC248" i="48" s="1"/>
  <c r="AC268" i="48"/>
  <c r="BC268" i="48" s="1"/>
  <c r="AB227" i="48"/>
  <c r="AC227" i="48"/>
  <c r="BC227" i="48" s="1"/>
  <c r="AC155" i="48"/>
  <c r="BC155" i="48" s="1"/>
  <c r="AB155" i="48"/>
  <c r="AB125" i="48"/>
  <c r="AC125" i="48"/>
  <c r="BC125" i="48" s="1"/>
  <c r="AC160" i="48"/>
  <c r="BC160" i="48" s="1"/>
  <c r="AB160" i="48"/>
  <c r="AC232" i="48"/>
  <c r="BC232" i="48" s="1"/>
  <c r="AB232" i="48"/>
  <c r="AC173" i="48"/>
  <c r="BC173" i="48" s="1"/>
  <c r="AB173" i="48"/>
  <c r="AC174" i="48"/>
  <c r="BC174" i="48" s="1"/>
  <c r="AB174" i="48"/>
  <c r="AC111" i="48"/>
  <c r="BC111" i="48" s="1"/>
  <c r="AB111" i="48"/>
  <c r="AC277" i="48"/>
  <c r="BC277" i="48" s="1"/>
  <c r="AB277" i="48"/>
  <c r="AB59" i="48"/>
  <c r="AC59" i="48"/>
  <c r="BC59" i="48" s="1"/>
  <c r="AC132" i="48"/>
  <c r="BC132" i="48" s="1"/>
  <c r="AC141" i="48"/>
  <c r="BC141" i="48" s="1"/>
  <c r="AC223" i="48"/>
  <c r="BC223" i="48" s="1"/>
  <c r="AB223" i="48"/>
  <c r="AB138" i="48"/>
  <c r="AC138" i="48"/>
  <c r="BC138" i="48" s="1"/>
  <c r="AC222" i="48"/>
  <c r="BC222" i="48" s="1"/>
  <c r="AB222" i="48"/>
  <c r="AB63" i="48"/>
  <c r="AC63" i="48"/>
  <c r="BC63" i="48" s="1"/>
  <c r="AC135" i="48"/>
  <c r="BC135" i="48" s="1"/>
  <c r="AB135" i="48"/>
  <c r="AC258" i="48"/>
  <c r="BC258" i="48" s="1"/>
  <c r="AC287" i="48"/>
  <c r="BC287" i="48" s="1"/>
  <c r="AB287" i="48"/>
  <c r="AB210" i="48"/>
  <c r="AC210" i="48"/>
  <c r="BC210" i="48" s="1"/>
  <c r="AC279" i="48"/>
  <c r="BC279" i="48" s="1"/>
  <c r="AC261" i="48"/>
  <c r="BC261" i="48" s="1"/>
  <c r="AC252" i="48"/>
  <c r="BC252" i="48" s="1"/>
  <c r="AB252" i="48"/>
  <c r="AC291" i="48"/>
  <c r="BC291" i="48" s="1"/>
  <c r="AB291" i="48"/>
  <c r="AC149" i="48"/>
  <c r="BC149" i="48" s="1"/>
  <c r="AB149" i="48"/>
  <c r="AC257" i="48"/>
  <c r="BC257" i="48" s="1"/>
  <c r="AC274" i="48"/>
  <c r="BC274" i="48" s="1"/>
  <c r="AC188" i="48"/>
  <c r="BC188" i="48" s="1"/>
  <c r="AB188" i="48"/>
  <c r="AC288" i="48"/>
  <c r="BC288" i="48" s="1"/>
  <c r="AB288" i="48"/>
  <c r="AC177" i="48"/>
  <c r="BC177" i="48" s="1"/>
  <c r="AB177" i="48"/>
  <c r="AC234" i="48"/>
  <c r="BC234" i="48" s="1"/>
  <c r="AB234" i="48"/>
  <c r="AB290" i="48"/>
  <c r="AC290" i="48"/>
  <c r="BC290" i="48" s="1"/>
  <c r="AC269" i="48"/>
  <c r="BC269" i="48" s="1"/>
  <c r="AC245" i="48"/>
  <c r="BC245" i="48" s="1"/>
  <c r="AC280" i="48"/>
  <c r="BC280" i="48" s="1"/>
  <c r="AC203" i="48"/>
  <c r="BC203" i="48" s="1"/>
  <c r="AB203" i="48"/>
  <c r="AC225" i="48"/>
  <c r="BC225" i="48" s="1"/>
  <c r="AB225" i="48"/>
  <c r="AC167" i="48"/>
  <c r="BC167" i="48" s="1"/>
  <c r="AB167" i="48"/>
  <c r="AC176" i="48"/>
  <c r="BC176" i="48" s="1"/>
  <c r="AB176" i="48"/>
  <c r="AC220" i="48"/>
  <c r="BC220" i="48" s="1"/>
  <c r="AB220" i="48"/>
  <c r="AC213" i="48"/>
  <c r="BC213" i="48" s="1"/>
  <c r="AB213" i="48"/>
  <c r="AB221" i="48"/>
  <c r="AC221" i="48"/>
  <c r="BC221" i="48" s="1"/>
  <c r="AB126" i="48"/>
  <c r="AC126" i="48"/>
  <c r="BC126" i="48" s="1"/>
  <c r="AB87" i="48"/>
  <c r="AC87" i="48"/>
  <c r="BC87" i="48" s="1"/>
  <c r="AC133" i="48"/>
  <c r="BC133" i="48" s="1"/>
  <c r="AC145" i="48"/>
  <c r="BC145" i="48" s="1"/>
  <c r="AB293" i="48"/>
  <c r="AC293" i="48"/>
  <c r="BC293" i="48" s="1"/>
  <c r="AC95" i="48"/>
  <c r="BC95" i="48" s="1"/>
  <c r="AB95" i="48"/>
  <c r="AC230" i="48"/>
  <c r="BC230" i="48" s="1"/>
  <c r="AB230" i="48"/>
  <c r="AC255" i="48"/>
  <c r="BC255" i="48" s="1"/>
  <c r="AC168" i="48"/>
  <c r="BC168" i="48" s="1"/>
  <c r="AB168" i="48"/>
  <c r="BN31" i="12"/>
  <c r="P31" i="12"/>
  <c r="C22" i="12"/>
  <c r="DF31" i="12"/>
  <c r="CL31" i="12"/>
  <c r="AA31" i="12"/>
  <c r="DR31" i="12"/>
  <c r="BD31" i="12"/>
  <c r="CE31" i="12"/>
  <c r="BX31" i="12"/>
  <c r="K31" i="12"/>
  <c r="DT31" i="12"/>
  <c r="DO31" i="12"/>
  <c r="BG31" i="12"/>
  <c r="FP31" i="12"/>
  <c r="AC154" i="48"/>
  <c r="BC154" i="48" s="1"/>
  <c r="AB154" i="48"/>
  <c r="AC208" i="48"/>
  <c r="BC208" i="48" s="1"/>
  <c r="AB208" i="48"/>
  <c r="AC209" i="48"/>
  <c r="BC209" i="48" s="1"/>
  <c r="AB209" i="48"/>
  <c r="AC151" i="48"/>
  <c r="BC151" i="48" s="1"/>
  <c r="AB151" i="48"/>
  <c r="AC190" i="48"/>
  <c r="BC190" i="48" s="1"/>
  <c r="AB190" i="48"/>
  <c r="AC272" i="48"/>
  <c r="BC272" i="48" s="1"/>
  <c r="AC238" i="48"/>
  <c r="BC238" i="48" s="1"/>
  <c r="AC186" i="48"/>
  <c r="BC186" i="48" s="1"/>
  <c r="AC224" i="48"/>
  <c r="BC224" i="48" s="1"/>
  <c r="AB224" i="48"/>
  <c r="AB191" i="48"/>
  <c r="AC191" i="48"/>
  <c r="BC191" i="48" s="1"/>
  <c r="AC170" i="48"/>
  <c r="BC170" i="48" s="1"/>
  <c r="AB170" i="48"/>
  <c r="AC265" i="48"/>
  <c r="BC265" i="48" s="1"/>
  <c r="AB265" i="48"/>
  <c r="AC267" i="48"/>
  <c r="BC267" i="48" s="1"/>
  <c r="AB267" i="48"/>
  <c r="AC153" i="48"/>
  <c r="BC153" i="48" s="1"/>
  <c r="AB153" i="48"/>
  <c r="AC199" i="48"/>
  <c r="BC199" i="48" s="1"/>
  <c r="AB199" i="48"/>
  <c r="AC237" i="48"/>
  <c r="BC237" i="48" s="1"/>
  <c r="AB237" i="48"/>
  <c r="AC295" i="48"/>
  <c r="BC295" i="48" s="1"/>
  <c r="AB295" i="48"/>
  <c r="AC163" i="48"/>
  <c r="BC163" i="48" s="1"/>
  <c r="AB163" i="48"/>
  <c r="AC175" i="48"/>
  <c r="BC175" i="48" s="1"/>
  <c r="AB175" i="48"/>
  <c r="AC61" i="48"/>
  <c r="BC61" i="48" s="1"/>
  <c r="AB61" i="48"/>
  <c r="AC205" i="48"/>
  <c r="BC205" i="48" s="1"/>
  <c r="AB205" i="48"/>
  <c r="AB276" i="48"/>
  <c r="AC276" i="48"/>
  <c r="BC276" i="48" s="1"/>
  <c r="AC211" i="48"/>
  <c r="BC211" i="48" s="1"/>
  <c r="AB211" i="48"/>
  <c r="AC206" i="48"/>
  <c r="BC206" i="48" s="1"/>
  <c r="AB206" i="48"/>
  <c r="AC204" i="48"/>
  <c r="BC204" i="48" s="1"/>
  <c r="AB204" i="48"/>
  <c r="AC281" i="48"/>
  <c r="BC281" i="48" s="1"/>
  <c r="AB281" i="48"/>
  <c r="AC207" i="48"/>
  <c r="BC207" i="48" s="1"/>
  <c r="AB207" i="48"/>
  <c r="AC193" i="48"/>
  <c r="BC193" i="48" s="1"/>
  <c r="AC266" i="48"/>
  <c r="BC266" i="48" s="1"/>
  <c r="AC215" i="48"/>
  <c r="BC215" i="48" s="1"/>
  <c r="AB215" i="48"/>
  <c r="AB217" i="48"/>
  <c r="AC217" i="48"/>
  <c r="BC217" i="48" s="1"/>
  <c r="AB229" i="48"/>
  <c r="AC229" i="48"/>
  <c r="BC229" i="48" s="1"/>
  <c r="AC150" i="48"/>
  <c r="BC150" i="48" s="1"/>
  <c r="AC136" i="48"/>
  <c r="BC136" i="48" s="1"/>
  <c r="AB136" i="48"/>
  <c r="AC264" i="48"/>
  <c r="BC264" i="48" s="1"/>
  <c r="AC285" i="48"/>
  <c r="BC285" i="48" s="1"/>
  <c r="AC242" i="48"/>
  <c r="BC242" i="48" s="1"/>
  <c r="AB242" i="48"/>
  <c r="AC134" i="48"/>
  <c r="BC134" i="48" s="1"/>
  <c r="AB134" i="48"/>
  <c r="AC201" i="48"/>
  <c r="BC201" i="48" s="1"/>
  <c r="AB201" i="48"/>
  <c r="AC137" i="48"/>
  <c r="BC137" i="48" s="1"/>
  <c r="AB137" i="48"/>
  <c r="AC169" i="48"/>
  <c r="BC169" i="48" s="1"/>
  <c r="AB169" i="48"/>
  <c r="AB64" i="48"/>
  <c r="AC64" i="48"/>
  <c r="BC64" i="48" s="1"/>
  <c r="AC185" i="48"/>
  <c r="BC185" i="48" s="1"/>
  <c r="AB185" i="48"/>
  <c r="AB68" i="48"/>
  <c r="AC68" i="48"/>
  <c r="BC68" i="48" s="1"/>
  <c r="AC243" i="48"/>
  <c r="BC243" i="48" s="1"/>
  <c r="AB243" i="48"/>
  <c r="AC165" i="48"/>
  <c r="BC165" i="48" s="1"/>
  <c r="AB165" i="48"/>
  <c r="AC143" i="48"/>
  <c r="BC143" i="48" s="1"/>
  <c r="AB143" i="48"/>
  <c r="AC292" i="48"/>
  <c r="BC292" i="48" s="1"/>
  <c r="AB292" i="48"/>
  <c r="AC162" i="48"/>
  <c r="BC162" i="48" s="1"/>
  <c r="AB162" i="48"/>
  <c r="AC214" i="48"/>
  <c r="BC214" i="48" s="1"/>
  <c r="AB214" i="48"/>
  <c r="AC202" i="48"/>
  <c r="BC202" i="48" s="1"/>
  <c r="AB202" i="48"/>
  <c r="AB253" i="48"/>
  <c r="AC253" i="48"/>
  <c r="BC253" i="48" s="1"/>
  <c r="AB218" i="48"/>
  <c r="AC218" i="48"/>
  <c r="BC218" i="48" s="1"/>
  <c r="AC181" i="48"/>
  <c r="BC181" i="48" s="1"/>
  <c r="AB181" i="48"/>
  <c r="AC256" i="48"/>
  <c r="BC256" i="48" s="1"/>
  <c r="AC216" i="48"/>
  <c r="BC216" i="48" s="1"/>
  <c r="AB216" i="48"/>
  <c r="AC200" i="48"/>
  <c r="BC200" i="48" s="1"/>
  <c r="AB200" i="48"/>
  <c r="BV31" i="12"/>
  <c r="AI31" i="12"/>
  <c r="Z31" i="12"/>
  <c r="GK31" i="12"/>
  <c r="FK31" i="12"/>
  <c r="FX31" i="12"/>
  <c r="GF31" i="12"/>
  <c r="FM31" i="12"/>
  <c r="FU31" i="12"/>
  <c r="GQ31" i="12"/>
  <c r="GT31" i="12"/>
  <c r="C14" i="12"/>
  <c r="EB31" i="12"/>
  <c r="C17" i="12"/>
  <c r="C30" i="12"/>
  <c r="C54" i="12" s="1"/>
  <c r="EK31" i="12"/>
  <c r="BB31" i="12"/>
  <c r="DU31" i="12"/>
  <c r="O31" i="12"/>
  <c r="EM31" i="12"/>
  <c r="C20" i="12"/>
  <c r="DL31" i="12"/>
  <c r="U31" i="12"/>
  <c r="C21" i="12"/>
  <c r="DX31" i="12"/>
  <c r="FO31" i="12"/>
  <c r="FI31" i="12"/>
  <c r="GD31" i="12"/>
  <c r="FZ31" i="12"/>
  <c r="EX31" i="12"/>
  <c r="FE31" i="12"/>
  <c r="EW31" i="12"/>
  <c r="EV31" i="12"/>
  <c r="FG31" i="12"/>
  <c r="EY31" i="12"/>
  <c r="CD31" i="12"/>
  <c r="CT31" i="12"/>
  <c r="FF31" i="12"/>
  <c r="FD31" i="12"/>
  <c r="GB31" i="12"/>
  <c r="FY31" i="12"/>
  <c r="FJ31" i="12"/>
  <c r="CV31" i="12"/>
  <c r="C28" i="12"/>
  <c r="C23" i="12"/>
  <c r="BS31" i="12"/>
  <c r="AK31" i="12"/>
  <c r="DP31" i="12"/>
  <c r="DE31" i="12"/>
  <c r="AQ31" i="12"/>
  <c r="CH31" i="12"/>
  <c r="C24" i="12"/>
  <c r="C13" i="12"/>
  <c r="GC31" i="12"/>
  <c r="X31" i="12"/>
  <c r="AF31" i="12"/>
  <c r="C15" i="12"/>
  <c r="C10" i="12"/>
  <c r="BU31" i="12"/>
  <c r="DI31" i="12"/>
  <c r="C12" i="12"/>
  <c r="Q31" i="12"/>
  <c r="BP31" i="12"/>
  <c r="CZ31" i="12"/>
  <c r="BE31" i="12"/>
  <c r="C11" i="12"/>
  <c r="CM31" i="12"/>
  <c r="G31" i="12"/>
  <c r="AS31" i="12"/>
  <c r="EL31" i="12"/>
  <c r="C16" i="12"/>
  <c r="BK31" i="12"/>
  <c r="BA31" i="12"/>
  <c r="AR31" i="12"/>
  <c r="GU31" i="12"/>
  <c r="C25" i="12"/>
  <c r="EG31" i="12"/>
  <c r="BF31" i="12"/>
  <c r="AC31" i="12"/>
  <c r="AM31" i="12"/>
  <c r="AT31" i="12"/>
  <c r="J31" i="12"/>
  <c r="DD31" i="12"/>
  <c r="DY31" i="12"/>
  <c r="BO31" i="12"/>
  <c r="EE31" i="12"/>
  <c r="C29" i="12"/>
  <c r="AY31" i="12"/>
  <c r="DN31" i="12"/>
  <c r="CS31" i="12"/>
  <c r="DS31" i="12"/>
  <c r="C26" i="12"/>
  <c r="BI31" i="12"/>
  <c r="EP31" i="12"/>
  <c r="CX31" i="12"/>
  <c r="DW31" i="12"/>
  <c r="ER31" i="12"/>
  <c r="BT31" i="12"/>
  <c r="CK31" i="12"/>
  <c r="R31" i="12"/>
  <c r="CG31" i="12"/>
  <c r="ED31" i="12"/>
  <c r="BQ31" i="12"/>
  <c r="CP31" i="12"/>
  <c r="DB31" i="12"/>
  <c r="AM57" i="48"/>
  <c r="AN57" i="48" s="1"/>
  <c r="AM58" i="48"/>
  <c r="AN58" i="48" s="1"/>
  <c r="GJ31" i="12"/>
  <c r="FB31" i="12"/>
  <c r="GA31" i="12"/>
  <c r="FN31" i="12"/>
  <c r="C19" i="12"/>
  <c r="AG31" i="12"/>
  <c r="AJ31" i="12"/>
  <c r="FW31" i="12"/>
  <c r="GO31" i="12"/>
  <c r="FT31" i="12"/>
  <c r="C27" i="12"/>
  <c r="FR31" i="12"/>
  <c r="EZ31" i="12"/>
  <c r="GI31" i="12"/>
  <c r="FC31" i="12"/>
  <c r="H31" i="12"/>
  <c r="GE31" i="12"/>
  <c r="AC58" i="48"/>
  <c r="BC58" i="48" s="1"/>
  <c r="AB58" i="48"/>
  <c r="AW46" i="12"/>
  <c r="V46" i="12"/>
  <c r="CR46" i="12"/>
  <c r="BU46" i="12"/>
  <c r="CN46" i="12"/>
  <c r="T46" i="12"/>
  <c r="FA46" i="12"/>
  <c r="CF46" i="12"/>
  <c r="AU46" i="12"/>
  <c r="FT46" i="12"/>
  <c r="GF46" i="12"/>
  <c r="ER46" i="12"/>
  <c r="GM46" i="12"/>
  <c r="DJ46" i="12"/>
  <c r="GD46" i="12"/>
  <c r="BQ46" i="12"/>
  <c r="FR46" i="12"/>
  <c r="FE46" i="12"/>
  <c r="FP46" i="12"/>
  <c r="FX46" i="12"/>
  <c r="GB46" i="12"/>
  <c r="CC46" i="12"/>
  <c r="GO46" i="12"/>
  <c r="FF46" i="12"/>
  <c r="FC46" i="12"/>
  <c r="FQ46" i="12"/>
  <c r="FS46" i="12"/>
  <c r="GN46" i="12"/>
  <c r="EW46" i="12"/>
  <c r="GI46" i="12"/>
  <c r="GA46" i="12"/>
  <c r="FK46" i="12"/>
  <c r="GQ46" i="12"/>
  <c r="EV46" i="12"/>
  <c r="GR46" i="12"/>
  <c r="F46" i="12"/>
  <c r="GL46" i="12"/>
  <c r="FB46" i="12"/>
  <c r="FV46" i="12"/>
  <c r="FN46" i="12"/>
  <c r="FW46" i="12"/>
  <c r="FD46" i="12"/>
  <c r="GC46" i="12"/>
  <c r="FI46" i="12"/>
  <c r="GS46" i="12"/>
  <c r="BF46" i="12"/>
  <c r="BO46" i="12"/>
  <c r="BD46" i="12"/>
  <c r="EE46" i="12"/>
  <c r="BZ46" i="12"/>
  <c r="GE46" i="12"/>
  <c r="EY46" i="12"/>
  <c r="FO46" i="12"/>
  <c r="GJ46" i="12"/>
  <c r="ES46" i="12"/>
  <c r="BV46" i="12"/>
  <c r="FL46" i="12"/>
  <c r="FG46" i="12"/>
  <c r="FZ46" i="12"/>
  <c r="EZ46" i="12"/>
  <c r="GK46" i="12"/>
  <c r="GG46" i="12"/>
  <c r="GT46" i="12"/>
  <c r="AX46" i="12"/>
  <c r="BY46" i="12"/>
  <c r="FM46" i="12"/>
  <c r="EX46" i="12"/>
  <c r="GH46" i="12"/>
  <c r="FY46" i="12"/>
  <c r="FJ46" i="12"/>
  <c r="GP46" i="12"/>
  <c r="FU46" i="12"/>
  <c r="AB46" i="12"/>
  <c r="Q46" i="12"/>
  <c r="BX46" i="12"/>
  <c r="DO46" i="12"/>
  <c r="DR46" i="12"/>
  <c r="D46" i="12"/>
  <c r="DP46" i="12"/>
  <c r="CY46" i="12"/>
  <c r="GU46" i="12"/>
  <c r="CE46" i="12"/>
  <c r="AN46" i="12"/>
  <c r="EB46" i="12"/>
  <c r="AC46" i="12"/>
  <c r="DF46" i="12"/>
  <c r="G46" i="12"/>
  <c r="CW46" i="12"/>
  <c r="CS46" i="12"/>
  <c r="ET46" i="12"/>
  <c r="CU46" i="12"/>
  <c r="AQ46" i="12"/>
  <c r="L46" i="12"/>
  <c r="U46" i="12"/>
  <c r="X46" i="12"/>
  <c r="AY46" i="12"/>
  <c r="BA46" i="12"/>
  <c r="AR46" i="12"/>
  <c r="DY46" i="12"/>
  <c r="EO46" i="12"/>
  <c r="DC46" i="12"/>
  <c r="CM46" i="12"/>
  <c r="AO46" i="12"/>
  <c r="CA46" i="12"/>
  <c r="EL46" i="12"/>
  <c r="AM46" i="12"/>
  <c r="EJ46" i="12"/>
  <c r="EG46" i="12"/>
  <c r="DB46" i="12"/>
  <c r="BK46" i="12"/>
  <c r="BI46" i="12"/>
  <c r="AP46" i="12"/>
  <c r="BR46" i="12"/>
  <c r="BP46" i="12"/>
  <c r="DK46" i="12"/>
  <c r="ED46" i="12"/>
  <c r="EQ46" i="12"/>
  <c r="BE46" i="12"/>
  <c r="DU46" i="12"/>
  <c r="EI46" i="12"/>
  <c r="Y46" i="12"/>
  <c r="DI46" i="12"/>
  <c r="CO46" i="12"/>
  <c r="AS46" i="12"/>
  <c r="DT46" i="12"/>
  <c r="I46" i="12"/>
  <c r="EA46" i="12"/>
  <c r="AL46" i="12"/>
  <c r="DZ46" i="12"/>
  <c r="R46" i="12"/>
  <c r="BM46" i="12"/>
  <c r="AD46" i="12"/>
  <c r="AH46" i="12"/>
  <c r="CH46" i="12"/>
  <c r="CB46" i="12"/>
  <c r="EN46" i="12"/>
  <c r="AF46" i="12"/>
  <c r="EH46" i="12"/>
  <c r="AT46" i="12"/>
  <c r="BG46" i="12"/>
  <c r="CV46" i="12"/>
  <c r="DS46" i="12"/>
  <c r="BL46" i="12"/>
  <c r="N46" i="12"/>
  <c r="CX46" i="12"/>
  <c r="EC46" i="12"/>
  <c r="AE46" i="12"/>
  <c r="DX46" i="12"/>
  <c r="K46" i="12"/>
  <c r="AI46" i="12"/>
  <c r="CZ46" i="12"/>
  <c r="DV46" i="12"/>
  <c r="P46" i="12"/>
  <c r="EF46" i="12"/>
  <c r="BC46" i="12"/>
  <c r="CP46" i="12"/>
  <c r="M46" i="12"/>
  <c r="S46" i="12"/>
  <c r="E46" i="12"/>
  <c r="AK46" i="12"/>
  <c r="AA46" i="12"/>
  <c r="DM46" i="12"/>
  <c r="DA46" i="12"/>
  <c r="DL46" i="12"/>
  <c r="AG46" i="12"/>
  <c r="FH46" i="12"/>
  <c r="DH46" i="12"/>
  <c r="H46" i="12"/>
  <c r="EK46" i="12"/>
  <c r="BT46" i="12"/>
  <c r="DD46" i="12"/>
  <c r="Z46" i="12"/>
  <c r="BJ46" i="12"/>
  <c r="BS46" i="12"/>
  <c r="CD46" i="12"/>
  <c r="DW46" i="12"/>
  <c r="CL46" i="12"/>
  <c r="AZ46" i="12"/>
  <c r="CQ46" i="12"/>
  <c r="CG46" i="12"/>
  <c r="AM71" i="48"/>
  <c r="AN71" i="48" s="1"/>
  <c r="AM75" i="48"/>
  <c r="AN75" i="48" s="1"/>
  <c r="AM72" i="48"/>
  <c r="AN72" i="48" s="1"/>
  <c r="AM69" i="48"/>
  <c r="AN69" i="48" s="1"/>
  <c r="AM67" i="48"/>
  <c r="AN67" i="48" s="1"/>
  <c r="AM81" i="48"/>
  <c r="AN81" i="48" s="1"/>
  <c r="AM73" i="48"/>
  <c r="AN73" i="48" s="1"/>
  <c r="AB99" i="48"/>
  <c r="AC99" i="48"/>
  <c r="BC99" i="48" s="1"/>
  <c r="AC112" i="48"/>
  <c r="BC112" i="48" s="1"/>
  <c r="AB112" i="48"/>
  <c r="AC116" i="48"/>
  <c r="BC116" i="48" s="1"/>
  <c r="AB116" i="48"/>
  <c r="AC109" i="48"/>
  <c r="BC109" i="48" s="1"/>
  <c r="AB109" i="48"/>
  <c r="AC101" i="48"/>
  <c r="BC101" i="48" s="1"/>
  <c r="AB101" i="48"/>
  <c r="EP46" i="12"/>
  <c r="DQ46" i="12"/>
  <c r="DG46" i="12"/>
  <c r="BB46" i="12"/>
  <c r="AJ46" i="12"/>
  <c r="J46" i="12"/>
  <c r="CT46" i="12"/>
  <c r="BW46" i="12"/>
  <c r="EM46" i="12"/>
  <c r="DN46" i="12"/>
  <c r="CK46" i="12"/>
  <c r="CI46" i="12"/>
  <c r="AC71" i="48"/>
  <c r="BC71" i="48" s="1"/>
  <c r="AC98" i="48"/>
  <c r="BC98" i="48" s="1"/>
  <c r="AB98" i="48"/>
  <c r="AC72" i="48"/>
  <c r="BC72" i="48" s="1"/>
  <c r="AC76" i="48"/>
  <c r="BC76" i="48" s="1"/>
  <c r="AB76" i="48"/>
  <c r="AC107" i="48"/>
  <c r="BC107" i="48" s="1"/>
  <c r="AB107" i="48"/>
  <c r="AC94" i="48"/>
  <c r="BC94" i="48" s="1"/>
  <c r="AB94" i="48"/>
  <c r="AC118" i="48"/>
  <c r="BC118" i="48" s="1"/>
  <c r="AB118" i="48"/>
  <c r="BH46" i="12"/>
  <c r="W46" i="12"/>
  <c r="AC103" i="48"/>
  <c r="BC103" i="48" s="1"/>
  <c r="AB103" i="48"/>
  <c r="AC86" i="48"/>
  <c r="BC86" i="48" s="1"/>
  <c r="AB86" i="48"/>
  <c r="AC104" i="48"/>
  <c r="BC104" i="48" s="1"/>
  <c r="AB104" i="48"/>
  <c r="AC121" i="48"/>
  <c r="BC121" i="48" s="1"/>
  <c r="AB121" i="48"/>
  <c r="CJ46" i="12"/>
  <c r="BN46" i="12"/>
  <c r="DE46" i="12"/>
  <c r="AV46" i="12"/>
  <c r="EU46" i="12"/>
  <c r="AC114" i="48"/>
  <c r="BC114" i="48" s="1"/>
  <c r="AB114" i="48"/>
  <c r="AC65" i="48"/>
  <c r="BC65" i="48" s="1"/>
  <c r="AC105" i="48"/>
  <c r="BC105" i="48" s="1"/>
  <c r="AB105" i="48"/>
  <c r="AC97" i="48"/>
  <c r="BC97" i="48" s="1"/>
  <c r="AB97" i="48"/>
  <c r="AC120" i="48"/>
  <c r="BC120" i="48" s="1"/>
  <c r="AB120" i="48"/>
  <c r="AC90" i="48"/>
  <c r="BC90" i="48" s="1"/>
  <c r="AB90" i="48"/>
  <c r="AC74" i="48"/>
  <c r="BC74" i="48" s="1"/>
  <c r="O46" i="12"/>
  <c r="AC84" i="48"/>
  <c r="AB84" i="48"/>
  <c r="AC119" i="48"/>
  <c r="BC119" i="48" s="1"/>
  <c r="AB119" i="48"/>
  <c r="E11" i="46"/>
  <c r="U12" i="72"/>
  <c r="E12" i="46" s="1"/>
  <c r="S12" i="46" s="1"/>
  <c r="U13" i="72"/>
  <c r="E13" i="46" s="1"/>
  <c r="S13" i="46" s="1"/>
  <c r="C49" i="12" l="1"/>
  <c r="C52" i="12"/>
  <c r="C51" i="12"/>
  <c r="U6" i="72"/>
  <c r="E6" i="46" s="1"/>
  <c r="S6" i="46" s="1"/>
  <c r="E5" i="46"/>
  <c r="S5" i="46" s="1"/>
  <c r="C53" i="12"/>
  <c r="C50" i="12"/>
  <c r="C31" i="12"/>
  <c r="J40" i="49" s="1"/>
  <c r="Y23" i="46"/>
  <c r="BC84" i="48"/>
  <c r="Y24" i="46" s="1"/>
  <c r="Y30" i="46"/>
  <c r="AN51" i="48"/>
  <c r="U8" i="72" s="1"/>
  <c r="B46" i="12"/>
  <c r="U23" i="72" a="1"/>
  <c r="U23" i="72" s="1"/>
  <c r="Y26" i="46"/>
  <c r="U29" i="72" a="1"/>
  <c r="U29" i="72" s="1"/>
  <c r="U28" i="72" a="1"/>
  <c r="U28" i="72" s="1"/>
  <c r="Y25" i="46"/>
  <c r="X25" i="46"/>
  <c r="U31" i="72"/>
  <c r="U26" i="72"/>
  <c r="X26" i="46"/>
  <c r="Y28" i="46"/>
  <c r="Y27" i="46"/>
  <c r="Y29" i="46"/>
  <c r="U30" i="72"/>
  <c r="X29" i="46"/>
  <c r="X28" i="46"/>
  <c r="X30" i="46"/>
  <c r="X27" i="46"/>
  <c r="Y31" i="46"/>
  <c r="X31" i="46"/>
  <c r="U24" i="72" a="1"/>
  <c r="U24" i="72" s="1"/>
  <c r="U27" i="72" a="1"/>
  <c r="U27" i="72" s="1"/>
  <c r="S11" i="46"/>
  <c r="C59" i="12"/>
  <c r="C55" i="12" l="1"/>
  <c r="X24" i="46"/>
  <c r="X23" i="46"/>
  <c r="U25" i="72"/>
  <c r="U43" i="72" s="1"/>
  <c r="U9" i="72"/>
  <c r="E9" i="46" s="1"/>
  <c r="S9" i="46" s="1"/>
  <c r="U10" i="72"/>
  <c r="E10" i="46" s="1"/>
  <c r="S10" i="46" s="1"/>
  <c r="E8" i="46"/>
  <c r="Y41" i="46"/>
  <c r="X41" i="46" l="1"/>
  <c r="C57" i="12"/>
  <c r="S8" i="46"/>
</calcChain>
</file>

<file path=xl/comments1.xml><?xml version="1.0" encoding="utf-8"?>
<comments xmlns="http://schemas.openxmlformats.org/spreadsheetml/2006/main">
  <authors>
    <author>企画部情報システム課</author>
    <author>moomin</author>
  </authors>
  <commentList>
    <comment ref="N25" authorId="0" shapeId="0">
      <text>
        <r>
          <rPr>
            <sz val="9"/>
            <color indexed="81"/>
            <rFont val="ＭＳ Ｐゴシック"/>
            <family val="3"/>
            <charset val="128"/>
          </rPr>
          <t>郵便番号を記載</t>
        </r>
      </text>
    </comment>
    <comment ref="N26" authorId="0" shapeId="0">
      <text>
        <r>
          <rPr>
            <sz val="9"/>
            <color indexed="81"/>
            <rFont val="ＭＳ Ｐゴシック"/>
            <family val="3"/>
            <charset val="128"/>
          </rPr>
          <t>住所を記載</t>
        </r>
      </text>
    </comment>
    <comment ref="N28" authorId="0" shapeId="0">
      <text>
        <r>
          <rPr>
            <sz val="9"/>
            <color indexed="81"/>
            <rFont val="ＭＳ Ｐゴシック"/>
            <family val="3"/>
            <charset val="128"/>
          </rPr>
          <t>名称のフリガナを記載</t>
        </r>
      </text>
    </comment>
    <comment ref="N29" authorId="1" shapeId="0">
      <text>
        <r>
          <rPr>
            <sz val="9"/>
            <color indexed="81"/>
            <rFont val="ＭＳ Ｐゴシック"/>
            <family val="3"/>
            <charset val="128"/>
          </rPr>
          <t>会社等の名称</t>
        </r>
      </text>
    </comment>
    <comment ref="N30" authorId="1" shapeId="0">
      <text>
        <r>
          <rPr>
            <sz val="9"/>
            <color indexed="81"/>
            <rFont val="ＭＳ Ｐゴシック"/>
            <family val="3"/>
            <charset val="128"/>
          </rPr>
          <t>代表者氏名（押印不要）</t>
        </r>
      </text>
    </comment>
    <comment ref="U42" authorId="1" shapeId="0">
      <text>
        <r>
          <rPr>
            <sz val="9"/>
            <color indexed="81"/>
            <rFont val="ＭＳ Ｐゴシック"/>
            <family val="3"/>
            <charset val="128"/>
          </rPr>
          <t>「【参考】産業分類」のシート『日本標準産業分類』から、該当の業種・番号を記載。
２つ以上の業種に該当する場合は、最も主となる業種１つを記載。</t>
        </r>
      </text>
    </comment>
    <comment ref="N44" authorId="0" shapeId="0">
      <text>
        <r>
          <rPr>
            <sz val="9"/>
            <color indexed="81"/>
            <rFont val="ＭＳ Ｐゴシック"/>
            <family val="3"/>
            <charset val="128"/>
          </rPr>
          <t>記載した担当者の所属、氏名を記載</t>
        </r>
      </text>
    </comment>
    <comment ref="N45" authorId="0" shapeId="0">
      <text>
        <r>
          <rPr>
            <sz val="9"/>
            <color indexed="81"/>
            <rFont val="ＭＳ Ｐゴシック"/>
            <family val="3"/>
            <charset val="128"/>
          </rPr>
          <t>電話番号を記載
内線がある場合は、内線番号を（　）で記載</t>
        </r>
      </text>
    </comment>
    <comment ref="N46" authorId="0" shapeId="0">
      <text>
        <r>
          <rPr>
            <sz val="9"/>
            <color indexed="81"/>
            <rFont val="ＭＳ Ｐゴシック"/>
            <family val="3"/>
            <charset val="128"/>
          </rPr>
          <t>FAX番号を記載</t>
        </r>
      </text>
    </comment>
    <comment ref="N47" authorId="0" shapeId="0">
      <text>
        <r>
          <rPr>
            <sz val="9"/>
            <color indexed="81"/>
            <rFont val="ＭＳ Ｐゴシック"/>
            <family val="3"/>
            <charset val="128"/>
          </rPr>
          <t>担当者のE-mailアドレスを記載</t>
        </r>
      </text>
    </comment>
  </commentList>
</comments>
</file>

<file path=xl/comments2.xml><?xml version="1.0" encoding="utf-8"?>
<comments xmlns="http://schemas.openxmlformats.org/spreadsheetml/2006/main">
  <authors>
    <author>企画部情報システム課</author>
    <author>moomin</author>
  </authors>
  <commentList>
    <comment ref="A3" authorId="0" shapeId="0">
      <text>
        <r>
          <rPr>
            <sz val="9"/>
            <color indexed="81"/>
            <rFont val="ＭＳ Ｐゴシック"/>
            <family val="3"/>
            <charset val="128"/>
          </rPr>
          <t>番号は変えないでください。</t>
        </r>
      </text>
    </comment>
    <comment ref="B3" authorId="1" shapeId="0">
      <text>
        <r>
          <rPr>
            <sz val="9"/>
            <color indexed="81"/>
            <rFont val="ＭＳ Ｐゴシック"/>
            <family val="3"/>
            <charset val="128"/>
          </rPr>
          <t>NOx・PM対策地域内のすべての事業所を記入してください。</t>
        </r>
      </text>
    </comment>
  </commentList>
</comments>
</file>

<file path=xl/comments3.xml><?xml version="1.0" encoding="utf-8"?>
<comments xmlns="http://schemas.openxmlformats.org/spreadsheetml/2006/main">
  <authors>
    <author>企画部情報システム課</author>
    <author>kamata</author>
    <author>moomin</author>
    <author>情報システム課契約リース物品</author>
  </authors>
  <commentList>
    <comment ref="CA1" authorId="0" shapeId="0">
      <text>
        <r>
          <rPr>
            <sz val="9"/>
            <color indexed="81"/>
            <rFont val="ＭＳ Ｐゴシック"/>
            <family val="3"/>
            <charset val="128"/>
          </rPr>
          <t>番号が昇順ではないのは、後から気づいて追加したためです。（すみません）</t>
        </r>
      </text>
    </comment>
    <comment ref="G53" authorId="1" shapeId="0">
      <text>
        <r>
          <rPr>
            <sz val="9"/>
            <color indexed="81"/>
            <rFont val="ＭＳ Ｐゴシック"/>
            <family val="3"/>
            <charset val="128"/>
          </rPr>
          <t xml:space="preserve">車両の使用を開始した年月が不明の場合は、車検証の登録年月。
</t>
        </r>
      </text>
    </comment>
    <comment ref="U56" authorId="0" shapeId="0">
      <text>
        <r>
          <rPr>
            <sz val="9"/>
            <color indexed="81"/>
            <rFont val="ＭＳ Ｐゴシック"/>
            <family val="3"/>
            <charset val="128"/>
          </rPr>
          <t>参考：例えば初度登録年月が平成15年３月の場合、半角で「h15.3.1」又は「2003/3/1」と入力しても、「平成15年３月」と表示されます。</t>
        </r>
      </text>
    </comment>
    <comment ref="V56" authorId="0" shapeId="0">
      <text>
        <r>
          <rPr>
            <sz val="9"/>
            <color indexed="81"/>
            <rFont val="ＭＳ Ｐゴシック"/>
            <family val="3"/>
            <charset val="128"/>
          </rPr>
          <t>リストから選択</t>
        </r>
      </text>
    </comment>
    <comment ref="W56" authorId="0" shapeId="0">
      <text>
        <r>
          <rPr>
            <sz val="9"/>
            <color indexed="81"/>
            <rFont val="ＭＳ Ｐゴシック"/>
            <family val="3"/>
            <charset val="128"/>
          </rPr>
          <t>リストから選択。
用途が「特種」の場合は、（　）でベース車両の種類を記入。
　例　特種（貨物ベース）
※ベース車両とは、特種自動車に改造する前の車両のことで、それが何ベースであるかは車検証の型式で判断してください。</t>
        </r>
      </text>
    </comment>
    <comment ref="X56" authorId="2" shapeId="0">
      <text>
        <r>
          <rPr>
            <sz val="9"/>
            <color indexed="81"/>
            <rFont val="ＭＳ Ｐゴシック"/>
            <family val="3"/>
            <charset val="128"/>
          </rPr>
          <t>車検証の型式欄に記載されたアルファベット記号を記入
例　KC－××××　→　ＫＣ　と記入
※必ず半角大文字で記入
※空白（スペース）は記入しないこと
※型式の記載のない車両については、「-（半角）」を記入</t>
        </r>
      </text>
    </comment>
    <comment ref="Z56" authorId="2" shapeId="0">
      <text>
        <r>
          <rPr>
            <sz val="9"/>
            <color indexed="81"/>
            <rFont val="ＭＳ Ｐゴシック"/>
            <family val="3"/>
            <charset val="128"/>
          </rPr>
          <t>車検証の車両総重量欄に２とおりの記載があるときは、大きい方を記入。
例　2715［2730］ｋｇ→2730kg</t>
        </r>
      </text>
    </comment>
    <comment ref="AA56" authorId="0" shapeId="0">
      <text>
        <r>
          <rPr>
            <sz val="9"/>
            <color indexed="81"/>
            <rFont val="ＭＳ Ｐゴシック"/>
            <family val="3"/>
            <charset val="128"/>
          </rPr>
          <t>リストから選択。
各種ハイブリッドは、車検証の備考欄に「ハイブリッド」と記されています。</t>
        </r>
      </text>
    </comment>
    <comment ref="AE56" authorId="0" shapeId="0">
      <text>
        <r>
          <rPr>
            <sz val="9"/>
            <color indexed="81"/>
            <rFont val="ＭＳ Ｐゴシック"/>
            <family val="3"/>
            <charset val="128"/>
          </rPr>
          <t>■燃料ごとの単位
ガソリン、軽油→L（リットル）
CNG（天然ガス）→m</t>
        </r>
        <r>
          <rPr>
            <vertAlign val="superscript"/>
            <sz val="9"/>
            <color indexed="81"/>
            <rFont val="ＭＳ Ｐゴシック"/>
            <family val="3"/>
            <charset val="128"/>
          </rPr>
          <t>3</t>
        </r>
        <r>
          <rPr>
            <sz val="9"/>
            <color indexed="81"/>
            <rFont val="ＭＳ Ｐゴシック"/>
            <family val="3"/>
            <charset val="128"/>
          </rPr>
          <t>（立方メートル）
LPG、メタノール→kg</t>
        </r>
      </text>
    </comment>
    <comment ref="AF56" authorId="2" shapeId="0">
      <text>
        <r>
          <rPr>
            <sz val="9"/>
            <color indexed="81"/>
            <rFont val="ＭＳ Ｐゴシック"/>
            <family val="3"/>
            <charset val="128"/>
          </rPr>
          <t>（こ）の排出ガス型式記号が
S・U・W・KA・KB・KC・KG・KJ・KK・KL・HA・HB・HC・HE・HF・HMのディーゼル車について、車検証備考欄に「NoxPM法対応変更あり」と記載があったら、「済」を選択入力。</t>
        </r>
      </text>
    </comment>
    <comment ref="AG56" authorId="2" shapeId="0">
      <text>
        <r>
          <rPr>
            <sz val="9"/>
            <color indexed="81"/>
            <rFont val="ＭＳ Ｐゴシック"/>
            <family val="3"/>
            <charset val="128"/>
          </rPr>
          <t xml:space="preserve">（こ）の排出ガス型式記号が
S・U・W・KA・KB・KC・KG・KJ・KK・KL・HA・HB・HC・HE・HF・HMのディーゼル車について、九都県市指定のステッカーがあり、「H17」の記載がある場合は、「済（H17有）」、
ステッカーに「H17」の記載がない場合、「済（H17無）」を選択入力。
</t>
        </r>
      </text>
    </comment>
    <comment ref="AH56" authorId="0" shapeId="0">
      <text>
        <r>
          <rPr>
            <b/>
            <sz val="9"/>
            <color indexed="81"/>
            <rFont val="ＭＳ Ｐゴシック"/>
            <family val="3"/>
            <charset val="128"/>
          </rPr>
          <t>自動入力に修正</t>
        </r>
      </text>
    </comment>
    <comment ref="AV56" authorId="2" shapeId="0">
      <text>
        <r>
          <rPr>
            <sz val="9"/>
            <color indexed="81"/>
            <rFont val="ＭＳ Ｐゴシック"/>
            <family val="3"/>
            <charset val="128"/>
          </rPr>
          <t>普通→１
小型→２</t>
        </r>
      </text>
    </comment>
    <comment ref="AW56" authorId="2" shapeId="0">
      <text>
        <r>
          <rPr>
            <sz val="9"/>
            <color indexed="81"/>
            <rFont val="ＭＳ Ｐゴシック"/>
            <family val="3"/>
            <charset val="128"/>
          </rPr>
          <t>乗用→１
特種（乗用）→２
乗合→３
特種（乗合）→４
貨物→５
特種（貨物）→６</t>
        </r>
      </text>
    </comment>
    <comment ref="AX56" authorId="2" shapeId="0">
      <text>
        <r>
          <rPr>
            <sz val="9"/>
            <color indexed="81"/>
            <rFont val="ＭＳ Ｐゴシック"/>
            <family val="3"/>
            <charset val="128"/>
          </rPr>
          <t>10人以下→１
11～29人→２
30人以上→３</t>
        </r>
      </text>
    </comment>
    <comment ref="AY56" authorId="2" shapeId="0">
      <text>
        <r>
          <rPr>
            <sz val="9"/>
            <color indexed="81"/>
            <rFont val="ＭＳ Ｐゴシック"/>
            <family val="3"/>
            <charset val="128"/>
          </rPr>
          <t>1.7以下→１
1.7超～2.5→２
2.5超～3.5→３
3.5超～8未満→４
8以上→５</t>
        </r>
      </text>
    </comment>
    <comment ref="AZ56" authorId="2" shapeId="0">
      <text>
        <r>
          <rPr>
            <sz val="9"/>
            <color indexed="81"/>
            <rFont val="ＭＳ Ｐゴシック"/>
            <family val="3"/>
            <charset val="128"/>
          </rPr>
          <t>ガソリン→1
ガソリン(ハイブリッド)→2
LPG→3
軽油→4
軽油（ハイブリッド)→5
ＣＮＧ→6
メタノール→7
電気→8
燃料電池→9
プラグインハイブリッド（軽油）→10
プラグインハイブリッド（ガソリン）→11</t>
        </r>
      </text>
    </comment>
    <comment ref="BC56" authorId="2" shapeId="0">
      <text>
        <r>
          <rPr>
            <sz val="9"/>
            <color indexed="81"/>
            <rFont val="ＭＳ Ｐゴシック"/>
            <family val="3"/>
            <charset val="128"/>
          </rPr>
          <t xml:space="preserve">－ 0
☆ 1
☆☆ 2
☆☆☆ 9
新☆☆☆ 3
新☆☆☆☆ 4
新長期 6
PM☆☆☆ 7
PM☆☆☆☆ 8
新☆（新長期） 11
ポスト新長期 10
</t>
        </r>
      </text>
    </comment>
    <comment ref="BD56" authorId="2" shapeId="0">
      <text>
        <r>
          <rPr>
            <sz val="9"/>
            <color indexed="81"/>
            <rFont val="ＭＳ Ｐゴシック"/>
            <family val="3"/>
            <charset val="128"/>
          </rPr>
          <t xml:space="preserve">普通貨物○-511～○-515
小型貨物○-521～○-525
大型バス○-331～○-335
小型バス○-312～○-325
特種○-10～○-50
乗用○-1
※○は事業所番号
</t>
        </r>
      </text>
    </comment>
    <comment ref="BE56" authorId="3" shapeId="0">
      <text>
        <r>
          <rPr>
            <sz val="9"/>
            <color indexed="81"/>
            <rFont val="ＭＳ Ｐゴシック"/>
            <family val="3"/>
            <charset val="128"/>
          </rPr>
          <t xml:space="preserve">ガソリン→１
ＣＮＧ→２
軽油→３
メタノール→４
LPG→５
電気・燃料電池→６
</t>
        </r>
      </text>
    </comment>
    <comment ref="BF56" authorId="2" shapeId="0">
      <text>
        <r>
          <rPr>
            <sz val="9"/>
            <color indexed="81"/>
            <rFont val="ＭＳ Ｐゴシック"/>
            <family val="3"/>
            <charset val="128"/>
          </rPr>
          <t>１０の位
　装着済→ 1X
　未装着→ 2X
　　－　   → 0X
１の位
  継続 → X1 
  新規 → X2 
  減車 → X3
  一時使用 → X4
 (減車済)  X5</t>
        </r>
      </text>
    </comment>
    <comment ref="BG56" authorId="2" shapeId="0">
      <text>
        <r>
          <rPr>
            <sz val="9"/>
            <color indexed="81"/>
            <rFont val="ＭＳ Ｐゴシック"/>
            <family val="3"/>
            <charset val="128"/>
          </rPr>
          <t xml:space="preserve">10の位
 装着済（H17有）→ 2X
 装着済（H17無）→ 3X
 未装着→ 4X
  － → 0X
１の位
  継続 → X1 
  新規 → X2 
  減車 → X3
  一時使用 → X4
 (減車済)  X5
</t>
        </r>
      </text>
    </comment>
    <comment ref="BH56" authorId="0" shapeId="0">
      <text>
        <r>
          <rPr>
            <sz val="9"/>
            <color indexed="81"/>
            <rFont val="ＭＳ Ｐゴシック"/>
            <family val="3"/>
            <charset val="128"/>
          </rPr>
          <t xml:space="preserve">10の位
　いずれかの低減装置を装着→1x
　どちらも未装備→2x
１の位
  継続 → X1 
  新規 → X2 
  減車 → X3
  一時使用 → X4
 (減車済)  X5
</t>
        </r>
      </text>
    </comment>
    <comment ref="BI56" authorId="0" shapeId="0">
      <text>
        <r>
          <rPr>
            <sz val="9"/>
            <color indexed="81"/>
            <rFont val="ＭＳ Ｐゴシック"/>
            <family val="3"/>
            <charset val="128"/>
          </rPr>
          <t>NOX・PM低減装置→１
PM低減装置（H17有）→２
PM低減装置（H17無）→３</t>
        </r>
      </text>
    </comment>
    <comment ref="BJ56" authorId="0" shapeId="0">
      <text>
        <r>
          <rPr>
            <sz val="9"/>
            <color indexed="81"/>
            <rFont val="ＭＳ Ｐゴシック"/>
            <family val="3"/>
            <charset val="128"/>
          </rPr>
          <t>事業場番号＆燃料区分１
○は事業場番号
ガソリン→○-1
ガソリン(ハイブリッド)→○-2
LPG→○-3
軽油→○-4
軽油（ハイブリッド)→○-5
ＣＮＧ→○-6
メタノール→○-7
電気→○-8
燃料電池→○-9
プラグインハイブリッド（軽油）→10
プラグインハイブリッド（ガソリン）→11</t>
        </r>
      </text>
    </comment>
    <comment ref="BK56" authorId="0" shapeId="0">
      <text>
        <r>
          <rPr>
            <sz val="9"/>
            <color indexed="81"/>
            <rFont val="ＭＳ Ｐゴシック"/>
            <family val="3"/>
            <charset val="128"/>
          </rPr>
          <t>車両の増減
 継続 1 
 新規 2 
 減車 3
 一時使用 4
( 減車済)  5</t>
        </r>
      </text>
    </comment>
  </commentList>
</comments>
</file>

<file path=xl/comments4.xml><?xml version="1.0" encoding="utf-8"?>
<comments xmlns="http://schemas.openxmlformats.org/spreadsheetml/2006/main">
  <authors>
    <author>作成者</author>
  </authors>
  <commentList>
    <comment ref="D3" authorId="0" shapeId="0">
      <text>
        <r>
          <rPr>
            <sz val="9"/>
            <color indexed="81"/>
            <rFont val="ＭＳ Ｐゴシック"/>
            <family val="3"/>
            <charset val="128"/>
          </rPr>
          <t>計画がある場合に該当する内容の項目分だけ○をつけてください。その他にある場合はその他にそれを記載してください。</t>
        </r>
      </text>
    </comment>
  </commentList>
</comments>
</file>

<file path=xl/comments5.xml><?xml version="1.0" encoding="utf-8"?>
<comments xmlns="http://schemas.openxmlformats.org/spreadsheetml/2006/main">
  <authors>
    <author>作成者</author>
  </authors>
  <commentList>
    <comment ref="S18"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6.xml><?xml version="1.0" encoding="utf-8"?>
<comments xmlns="http://schemas.openxmlformats.org/spreadsheetml/2006/main">
  <authors>
    <author>作成者</author>
  </authors>
  <commentList>
    <comment ref="D3" authorId="0" shapeId="0">
      <text>
        <r>
          <rPr>
            <sz val="9"/>
            <color indexed="81"/>
            <rFont val="ＭＳ Ｐゴシック"/>
            <family val="3"/>
            <charset val="128"/>
          </rPr>
          <t>実施した場合に該当する内容の項目分だけ○をつけてください。その他にある場合はその他にそれを記載してください。</t>
        </r>
      </text>
    </comment>
  </commentList>
</comments>
</file>

<file path=xl/comments7.xml><?xml version="1.0" encoding="utf-8"?>
<comments xmlns="http://schemas.openxmlformats.org/spreadsheetml/2006/main">
  <authors>
    <author>作成者</author>
  </authors>
  <commentList>
    <comment ref="U18"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8.xml><?xml version="1.0" encoding="utf-8"?>
<comments xmlns="http://schemas.openxmlformats.org/spreadsheetml/2006/main">
  <authors>
    <author>企画部情報システム課</author>
  </authors>
  <commentList>
    <comment ref="AI489" authorId="0" shapeId="0">
      <text>
        <r>
          <rPr>
            <sz val="9"/>
            <color indexed="81"/>
            <rFont val="ＭＳ Ｐゴシック"/>
            <family val="3"/>
            <charset val="128"/>
          </rPr>
          <t>8ｔ以上なので、3.5t以上と同じデータを記載している</t>
        </r>
      </text>
    </comment>
  </commentList>
</comments>
</file>

<file path=xl/sharedStrings.xml><?xml version="1.0" encoding="utf-8"?>
<sst xmlns="http://schemas.openxmlformats.org/spreadsheetml/2006/main" count="16893" uniqueCount="4527">
  <si>
    <t>平均燃費（km/L）</t>
    <rPh sb="0" eb="2">
      <t>ヘイキン</t>
    </rPh>
    <rPh sb="2" eb="4">
      <t>ネンピ</t>
    </rPh>
    <phoneticPr fontId="15"/>
  </si>
  <si>
    <t>1台あたりの平均</t>
    <rPh sb="1" eb="2">
      <t>ダイ</t>
    </rPh>
    <rPh sb="6" eb="8">
      <t>ヘイキン</t>
    </rPh>
    <phoneticPr fontId="15"/>
  </si>
  <si>
    <r>
      <t>1</t>
    </r>
    <r>
      <rPr>
        <sz val="11"/>
        <rFont val="ＭＳ Ｐゴシック"/>
        <family val="3"/>
        <charset val="128"/>
      </rPr>
      <t>km</t>
    </r>
    <r>
      <rPr>
        <sz val="11"/>
        <rFont val="ＭＳ Ｐゴシック"/>
        <family val="3"/>
        <charset val="128"/>
      </rPr>
      <t>あたりの平均</t>
    </r>
    <rPh sb="7" eb="9">
      <t>ヘイキン</t>
    </rPh>
    <phoneticPr fontId="15"/>
  </si>
  <si>
    <t>保有台数</t>
    <rPh sb="0" eb="2">
      <t>ホユウ</t>
    </rPh>
    <rPh sb="2" eb="4">
      <t>ダイスウ</t>
    </rPh>
    <phoneticPr fontId="2"/>
  </si>
  <si>
    <t>NOx排出量(kg)</t>
    <phoneticPr fontId="2"/>
  </si>
  <si>
    <t>PM排出量(kg)</t>
    <rPh sb="2" eb="5">
      <t>ハイシュツリョウ</t>
    </rPh>
    <phoneticPr fontId="2"/>
  </si>
  <si>
    <r>
      <t>CO</t>
    </r>
    <r>
      <rPr>
        <vertAlign val="subscript"/>
        <sz val="10"/>
        <rFont val="ＭＳ Ｐゴシック"/>
        <family val="3"/>
        <charset val="128"/>
      </rPr>
      <t>2</t>
    </r>
    <r>
      <rPr>
        <sz val="10"/>
        <rFont val="ＭＳ Ｐゴシック"/>
        <family val="3"/>
        <charset val="128"/>
      </rPr>
      <t>排出量(t)</t>
    </r>
    <rPh sb="3" eb="6">
      <t>ハイシュツリョウ</t>
    </rPh>
    <phoneticPr fontId="2"/>
  </si>
  <si>
    <t>事業所合計</t>
    <rPh sb="0" eb="3">
      <t>ジギョウショ</t>
    </rPh>
    <rPh sb="3" eb="5">
      <t>ゴウケイ</t>
    </rPh>
    <phoneticPr fontId="15"/>
  </si>
  <si>
    <t>計画事項</t>
    <rPh sb="0" eb="2">
      <t>ケイカク</t>
    </rPh>
    <rPh sb="2" eb="4">
      <t>ジコウ</t>
    </rPh>
    <phoneticPr fontId="2"/>
  </si>
  <si>
    <t>計画の有無</t>
    <rPh sb="0" eb="2">
      <t>ケイカク</t>
    </rPh>
    <rPh sb="3" eb="5">
      <t>ウム</t>
    </rPh>
    <phoneticPr fontId="2"/>
  </si>
  <si>
    <t>計画項目</t>
    <rPh sb="0" eb="2">
      <t>ケイカク</t>
    </rPh>
    <rPh sb="2" eb="4">
      <t>コウモク</t>
    </rPh>
    <phoneticPr fontId="2"/>
  </si>
  <si>
    <t>車両の有効利用の促進</t>
    <rPh sb="0" eb="2">
      <t>シャリョウ</t>
    </rPh>
    <rPh sb="3" eb="5">
      <t>ユウコウ</t>
    </rPh>
    <rPh sb="5" eb="7">
      <t>リヨウ</t>
    </rPh>
    <rPh sb="8" eb="10">
      <t>ソクシン</t>
    </rPh>
    <phoneticPr fontId="2"/>
  </si>
  <si>
    <t>適正運転の実施</t>
  </si>
  <si>
    <t>エコドライブマニュアルの作成、配布</t>
    <rPh sb="12" eb="14">
      <t>サクセイ</t>
    </rPh>
    <rPh sb="15" eb="17">
      <t>ハイフ</t>
    </rPh>
    <phoneticPr fontId="2"/>
  </si>
  <si>
    <t>エコドライブに関する教育、訓練の実施</t>
    <rPh sb="7" eb="8">
      <t>カン</t>
    </rPh>
    <rPh sb="10" eb="12">
      <t>キョウイク</t>
    </rPh>
    <rPh sb="13" eb="15">
      <t>クンレン</t>
    </rPh>
    <rPh sb="16" eb="18">
      <t>ジッシ</t>
    </rPh>
    <phoneticPr fontId="2"/>
  </si>
  <si>
    <t>エコドライブの実施(空ぶかし、急発進・急加速運転等の削減等)</t>
    <rPh sb="7" eb="9">
      <t>ジッシ</t>
    </rPh>
    <rPh sb="10" eb="11">
      <t>カラ</t>
    </rPh>
    <rPh sb="15" eb="18">
      <t>キュウハッシン</t>
    </rPh>
    <rPh sb="19" eb="22">
      <t>キュウカソク</t>
    </rPh>
    <rPh sb="22" eb="24">
      <t>ウンテン</t>
    </rPh>
    <rPh sb="24" eb="25">
      <t>トウ</t>
    </rPh>
    <rPh sb="26" eb="28">
      <t>サクゲン</t>
    </rPh>
    <rPh sb="28" eb="29">
      <t>トウ</t>
    </rPh>
    <phoneticPr fontId="2"/>
  </si>
  <si>
    <t>アイドリングストップの徹底</t>
    <phoneticPr fontId="2"/>
  </si>
  <si>
    <t>デジタル式運行記録計等の活用</t>
    <rPh sb="4" eb="5">
      <t>シキ</t>
    </rPh>
    <rPh sb="5" eb="7">
      <t>ウンコウ</t>
    </rPh>
    <rPh sb="7" eb="9">
      <t>キロク</t>
    </rPh>
    <rPh sb="9" eb="10">
      <t>ケイ</t>
    </rPh>
    <rPh sb="10" eb="11">
      <t>トウ</t>
    </rPh>
    <rPh sb="12" eb="14">
      <t>カツヨウ</t>
    </rPh>
    <phoneticPr fontId="2"/>
  </si>
  <si>
    <t>優良ドライバーの表彰</t>
    <rPh sb="0" eb="2">
      <t>ユウリョウ</t>
    </rPh>
    <rPh sb="8" eb="10">
      <t>ヒョウショウ</t>
    </rPh>
    <phoneticPr fontId="2"/>
  </si>
  <si>
    <t>その他（　　　　　　　　　　　　　　　　　　　　　　　　　　　　　　　　　　　　　）</t>
    <rPh sb="2" eb="3">
      <t>タ</t>
    </rPh>
    <phoneticPr fontId="2"/>
  </si>
  <si>
    <t>情報化の推進</t>
    <rPh sb="0" eb="3">
      <t>ジョウホウカ</t>
    </rPh>
    <rPh sb="4" eb="6">
      <t>スイシン</t>
    </rPh>
    <phoneticPr fontId="2"/>
  </si>
  <si>
    <t>車載端末、パソコンによる配車システムの導入・拡大</t>
    <rPh sb="0" eb="2">
      <t>シャサイ</t>
    </rPh>
    <rPh sb="2" eb="4">
      <t>タンマツ</t>
    </rPh>
    <rPh sb="12" eb="14">
      <t>ハイシャ</t>
    </rPh>
    <rPh sb="19" eb="21">
      <t>ドウニュウ</t>
    </rPh>
    <rPh sb="22" eb="24">
      <t>カクダイ</t>
    </rPh>
    <phoneticPr fontId="2"/>
  </si>
  <si>
    <t>燃費等の記録管理</t>
    <rPh sb="0" eb="2">
      <t>ネンピ</t>
    </rPh>
    <rPh sb="2" eb="3">
      <t>トウ</t>
    </rPh>
    <rPh sb="4" eb="6">
      <t>キロク</t>
    </rPh>
    <rPh sb="6" eb="8">
      <t>カンリ</t>
    </rPh>
    <phoneticPr fontId="2"/>
  </si>
  <si>
    <t>ＶＩＣＳ搭載カーナビゲーションシステム等による渋滞回避</t>
    <rPh sb="4" eb="6">
      <t>トウサイ</t>
    </rPh>
    <rPh sb="19" eb="20">
      <t>トウ</t>
    </rPh>
    <rPh sb="23" eb="25">
      <t>ジュウタイ</t>
    </rPh>
    <rPh sb="25" eb="27">
      <t>カイヒ</t>
    </rPh>
    <phoneticPr fontId="2"/>
  </si>
  <si>
    <t>ＥＴＣの導入　</t>
  </si>
  <si>
    <t>上記についての特記事項（独自の取組について記載してください）</t>
    <rPh sb="0" eb="2">
      <t>ジョウキ</t>
    </rPh>
    <rPh sb="7" eb="9">
      <t>トッキ</t>
    </rPh>
    <rPh sb="9" eb="11">
      <t>ジコウ</t>
    </rPh>
    <rPh sb="12" eb="14">
      <t>ドクジ</t>
    </rPh>
    <rPh sb="15" eb="17">
      <t>トリクミ</t>
    </rPh>
    <rPh sb="21" eb="23">
      <t>キサイ</t>
    </rPh>
    <phoneticPr fontId="2"/>
  </si>
  <si>
    <t>実施項目</t>
    <rPh sb="0" eb="2">
      <t>ジッシ</t>
    </rPh>
    <rPh sb="2" eb="4">
      <t>コウモク</t>
    </rPh>
    <phoneticPr fontId="2"/>
  </si>
  <si>
    <t>LPG</t>
    <phoneticPr fontId="2"/>
  </si>
  <si>
    <t>車両総重量区分</t>
    <rPh sb="0" eb="2">
      <t>シャリョウ</t>
    </rPh>
    <rPh sb="2" eb="3">
      <t>ソウ</t>
    </rPh>
    <rPh sb="3" eb="5">
      <t>ジュウリョウ</t>
    </rPh>
    <rPh sb="5" eb="7">
      <t>クブン</t>
    </rPh>
    <phoneticPr fontId="2"/>
  </si>
  <si>
    <t>プラグインハイブリッド（ガソリン）</t>
    <phoneticPr fontId="2"/>
  </si>
  <si>
    <t>新☆（新長期）</t>
    <rPh sb="0" eb="1">
      <t>シン</t>
    </rPh>
    <rPh sb="3" eb="4">
      <t>シン</t>
    </rPh>
    <rPh sb="4" eb="6">
      <t>チョウキ</t>
    </rPh>
    <phoneticPr fontId="2"/>
  </si>
  <si>
    <t>CNG</t>
    <phoneticPr fontId="2"/>
  </si>
  <si>
    <t>〒</t>
    <phoneticPr fontId="2"/>
  </si>
  <si>
    <t>住　所</t>
    <rPh sb="0" eb="3">
      <t>ジュウショ</t>
    </rPh>
    <phoneticPr fontId="2"/>
  </si>
  <si>
    <t>フリガナ</t>
    <phoneticPr fontId="2"/>
  </si>
  <si>
    <t>台</t>
    <rPh sb="0" eb="1">
      <t>ダイ</t>
    </rPh>
    <phoneticPr fontId="2"/>
  </si>
  <si>
    <t>業　種　名</t>
    <phoneticPr fontId="2"/>
  </si>
  <si>
    <t>番　号</t>
    <phoneticPr fontId="2"/>
  </si>
  <si>
    <t>従　業　員　数</t>
    <phoneticPr fontId="2"/>
  </si>
  <si>
    <t>担当者氏名及び連絡先</t>
    <phoneticPr fontId="2"/>
  </si>
  <si>
    <t xml:space="preserve">  ＦＡＸ</t>
    <phoneticPr fontId="2"/>
  </si>
  <si>
    <t xml:space="preserve">  Ｅメール</t>
    <phoneticPr fontId="2"/>
  </si>
  <si>
    <t>H12</t>
  </si>
  <si>
    <t>台数</t>
    <rPh sb="0" eb="2">
      <t>ダイスウ</t>
    </rPh>
    <phoneticPr fontId="2"/>
  </si>
  <si>
    <t>3.5t超</t>
    <rPh sb="4" eb="5">
      <t>チョウ</t>
    </rPh>
    <phoneticPr fontId="2"/>
  </si>
  <si>
    <t>1.7t以下</t>
    <rPh sb="4" eb="6">
      <t>イカ</t>
    </rPh>
    <phoneticPr fontId="2"/>
  </si>
  <si>
    <t>従業員数</t>
    <rPh sb="0" eb="2">
      <t>ジュウギョウ</t>
    </rPh>
    <rPh sb="2" eb="4">
      <t>インスウ</t>
    </rPh>
    <phoneticPr fontId="2"/>
  </si>
  <si>
    <t>車種</t>
    <rPh sb="0" eb="2">
      <t>シャシュ</t>
    </rPh>
    <phoneticPr fontId="2"/>
  </si>
  <si>
    <t>車両総重量</t>
    <rPh sb="0" eb="2">
      <t>シャリョウ</t>
    </rPh>
    <rPh sb="2" eb="5">
      <t>ソウジュウリョウ</t>
    </rPh>
    <phoneticPr fontId="2"/>
  </si>
  <si>
    <t>普通貨物自動車</t>
    <phoneticPr fontId="2"/>
  </si>
  <si>
    <t>1.7t以下</t>
    <rPh sb="4" eb="6">
      <t>イカ</t>
    </rPh>
    <phoneticPr fontId="2"/>
  </si>
  <si>
    <t>1.7t超～2.5t以下</t>
    <rPh sb="4" eb="5">
      <t>チョウ</t>
    </rPh>
    <rPh sb="10" eb="12">
      <t>イカ</t>
    </rPh>
    <phoneticPr fontId="2"/>
  </si>
  <si>
    <t>2.5t超～3.5t以下</t>
    <rPh sb="4" eb="5">
      <t>チョウ</t>
    </rPh>
    <rPh sb="10" eb="12">
      <t>イカ</t>
    </rPh>
    <phoneticPr fontId="2"/>
  </si>
  <si>
    <t>小型貨物自動車</t>
    <phoneticPr fontId="2"/>
  </si>
  <si>
    <t>大型バス</t>
    <phoneticPr fontId="2"/>
  </si>
  <si>
    <t>特種自動車</t>
    <phoneticPr fontId="2"/>
  </si>
  <si>
    <t>乗用自動車</t>
    <rPh sb="0" eb="2">
      <t>ジョウヨウ</t>
    </rPh>
    <rPh sb="2" eb="5">
      <t>ジドウシャ</t>
    </rPh>
    <phoneticPr fontId="2"/>
  </si>
  <si>
    <t>合計</t>
    <rPh sb="0" eb="2">
      <t>ゴウケイ</t>
    </rPh>
    <phoneticPr fontId="2"/>
  </si>
  <si>
    <t>合計</t>
    <rPh sb="0" eb="2">
      <t>ゴウケイ</t>
    </rPh>
    <phoneticPr fontId="2"/>
  </si>
  <si>
    <t>ハイブリッド(軽油）</t>
    <rPh sb="7" eb="9">
      <t>ケイユ</t>
    </rPh>
    <phoneticPr fontId="2"/>
  </si>
  <si>
    <t>後付け装置による排出係数</t>
    <rPh sb="0" eb="2">
      <t>アトヅ</t>
    </rPh>
    <rPh sb="3" eb="5">
      <t>ソウチ</t>
    </rPh>
    <rPh sb="8" eb="10">
      <t>ハイシュツ</t>
    </rPh>
    <rPh sb="10" eb="12">
      <t>ケイスウ</t>
    </rPh>
    <phoneticPr fontId="2"/>
  </si>
  <si>
    <t>NOX・PM低減装置</t>
    <rPh sb="6" eb="8">
      <t>テイゲン</t>
    </rPh>
    <rPh sb="8" eb="10">
      <t>ソウチ</t>
    </rPh>
    <phoneticPr fontId="2"/>
  </si>
  <si>
    <t>PM排出係数</t>
    <rPh sb="2" eb="4">
      <t>ハイシュツ</t>
    </rPh>
    <rPh sb="4" eb="6">
      <t>ケイスウ</t>
    </rPh>
    <phoneticPr fontId="2"/>
  </si>
  <si>
    <t>NOX排出係数</t>
    <rPh sb="3" eb="5">
      <t>ハイシュツ</t>
    </rPh>
    <rPh sb="5" eb="7">
      <t>ケイスウ</t>
    </rPh>
    <phoneticPr fontId="2"/>
  </si>
  <si>
    <t>H17無</t>
    <rPh sb="3" eb="4">
      <t>ナシ</t>
    </rPh>
    <phoneticPr fontId="2"/>
  </si>
  <si>
    <t>ディーゼル乗用車</t>
    <rPh sb="5" eb="7">
      <t>ジョウヨウ</t>
    </rPh>
    <rPh sb="7" eb="8">
      <t>シャ</t>
    </rPh>
    <phoneticPr fontId="2"/>
  </si>
  <si>
    <t>PM排出係数用</t>
    <rPh sb="2" eb="4">
      <t>ハイシュツ</t>
    </rPh>
    <rPh sb="4" eb="6">
      <t>ケイスウ</t>
    </rPh>
    <rPh sb="6" eb="7">
      <t>ヨウ</t>
    </rPh>
    <phoneticPr fontId="2"/>
  </si>
  <si>
    <t>済（H17有）</t>
    <rPh sb="0" eb="1">
      <t>スミ</t>
    </rPh>
    <rPh sb="5" eb="6">
      <t>ア</t>
    </rPh>
    <phoneticPr fontId="2"/>
  </si>
  <si>
    <t>済（H17無）</t>
    <rPh sb="0" eb="1">
      <t>スミ</t>
    </rPh>
    <rPh sb="5" eb="6">
      <t>ナ</t>
    </rPh>
    <phoneticPr fontId="2"/>
  </si>
  <si>
    <t>貨4軽LL</t>
  </si>
  <si>
    <t>貨4軽YL</t>
  </si>
  <si>
    <t>貨4軽UL</t>
  </si>
  <si>
    <t>貨4軽ZL</t>
  </si>
  <si>
    <t>貨4軽PA</t>
  </si>
  <si>
    <t>☆☆☆(PMのみ)</t>
  </si>
  <si>
    <t>貨4軽VA</t>
  </si>
  <si>
    <t>☆☆☆(PMのみ),ハイブリット</t>
  </si>
  <si>
    <t>貨4軽PB</t>
  </si>
  <si>
    <t>軽2</t>
    <rPh sb="0" eb="1">
      <t>ケイ</t>
    </rPh>
    <phoneticPr fontId="3"/>
  </si>
  <si>
    <t>☆☆☆☆（ＰＭのみ）</t>
  </si>
  <si>
    <t>貨4軽VB</t>
  </si>
  <si>
    <t>☆☆☆☆(PMのみ）,ハイブリット</t>
  </si>
  <si>
    <t>貨4軽PC</t>
  </si>
  <si>
    <t>☆(NOX),☆☆☆(PM)</t>
  </si>
  <si>
    <t>貨4軽VC</t>
  </si>
  <si>
    <t>☆(NOX),☆☆☆(PM),ハイブリット</t>
  </si>
  <si>
    <t>貨4軽PD</t>
  </si>
  <si>
    <t>☆(NOX),☆☆☆☆(PM)</t>
  </si>
  <si>
    <t>貨4軽VD</t>
  </si>
  <si>
    <t>☆(NOX),☆☆☆☆(PM),ハイブリット</t>
  </si>
  <si>
    <t>貨4軽PE</t>
  </si>
  <si>
    <t>☆☆(NOX),☆☆☆(PM)</t>
  </si>
  <si>
    <t>貨4軽VE</t>
  </si>
  <si>
    <t>☆☆(NOX),☆☆☆(PM),ハイブリット</t>
  </si>
  <si>
    <t>貨4軽PF</t>
  </si>
  <si>
    <t>☆☆(NOX),☆☆☆☆(PM)</t>
  </si>
  <si>
    <t>貨4軽VF</t>
  </si>
  <si>
    <t>☆☆(NOX),☆☆☆☆(PM),ハイブリット</t>
  </si>
  <si>
    <t>貨4軽PG</t>
  </si>
  <si>
    <t>☆☆☆(NOX),☆☆☆(PM)</t>
  </si>
  <si>
    <t>貨4軽VG</t>
  </si>
  <si>
    <t>☆☆☆(NOX),☆☆☆(PM),ハイブリット</t>
  </si>
  <si>
    <t>貨4軽PH</t>
  </si>
  <si>
    <t>☆☆☆(NOX),☆☆☆☆(PM)</t>
  </si>
  <si>
    <t>貨4軽VH</t>
  </si>
  <si>
    <t>☆☆☆(NOX),☆☆☆☆(PM),ハイブリット</t>
  </si>
  <si>
    <t>貨4軽TM</t>
  </si>
  <si>
    <t>貨4軽XM</t>
  </si>
  <si>
    <t>貨4軽LM</t>
  </si>
  <si>
    <t>貨4軽YM</t>
  </si>
  <si>
    <t>貨4軽UM</t>
  </si>
  <si>
    <t>貨4軽ZM</t>
  </si>
  <si>
    <t>貨4軽PJ</t>
  </si>
  <si>
    <t>貨4軽VJ</t>
  </si>
  <si>
    <t>貨4軽PK</t>
  </si>
  <si>
    <t>貨4軽VK</t>
  </si>
  <si>
    <t>貨4軽PL</t>
  </si>
  <si>
    <t>貨4軽VL</t>
  </si>
  <si>
    <t>貨4軽PM</t>
  </si>
  <si>
    <t>貨4軽VM</t>
  </si>
  <si>
    <t>貨4軽PN</t>
  </si>
  <si>
    <t>貨4軽VN</t>
  </si>
  <si>
    <t>貨4軽PP</t>
  </si>
  <si>
    <t>貨4軽VP</t>
  </si>
  <si>
    <t>貨4軽PQ</t>
  </si>
  <si>
    <t>貨4軽VQ</t>
  </si>
  <si>
    <t>貨4軽PR</t>
  </si>
  <si>
    <t>貨4軽VR</t>
  </si>
  <si>
    <t>貨4軽ADG</t>
  </si>
  <si>
    <t>貨4軽AKG</t>
  </si>
  <si>
    <t>貨4軽ACG</t>
  </si>
  <si>
    <t>貨4軽AJG</t>
  </si>
  <si>
    <t>貨4軽BCG</t>
  </si>
  <si>
    <t>貨4軽BJG</t>
  </si>
  <si>
    <t>貨4軽BDG</t>
  </si>
  <si>
    <t>貨4軽BKG</t>
  </si>
  <si>
    <t>貨4軽CCG</t>
  </si>
  <si>
    <t>貨4軽CJG</t>
  </si>
  <si>
    <t>貨4軽CDG</t>
  </si>
  <si>
    <t>貨4軽CKG</t>
  </si>
  <si>
    <t>貨4軽DCG</t>
  </si>
  <si>
    <t>貨4軽DJG</t>
  </si>
  <si>
    <t>貨4軽DDG</t>
  </si>
  <si>
    <t>貨4軽DKG</t>
  </si>
  <si>
    <t>貨4軽NCG</t>
  </si>
  <si>
    <t>新☆（優先）、ハイブリット</t>
    <rPh sb="0" eb="1">
      <t>シン</t>
    </rPh>
    <rPh sb="3" eb="5">
      <t>ユウセン</t>
    </rPh>
    <phoneticPr fontId="3"/>
  </si>
  <si>
    <t>貨4軽NJG</t>
  </si>
  <si>
    <t>貨4軽NDG</t>
  </si>
  <si>
    <t>貨4軽NKG</t>
  </si>
  <si>
    <t>貨4軽PCG</t>
  </si>
  <si>
    <t>貨4軽PJG</t>
  </si>
  <si>
    <t>貨4軽PDG</t>
  </si>
  <si>
    <t>貨4軽PKG</t>
  </si>
  <si>
    <t>貨4軽LDG</t>
  </si>
  <si>
    <t>貨4軽LKG</t>
  </si>
  <si>
    <t>貨4軽LCG</t>
  </si>
  <si>
    <t>貨4軽LJG</t>
  </si>
  <si>
    <t>貨4軽MDG</t>
  </si>
  <si>
    <t>貨4軽MKG</t>
  </si>
  <si>
    <t>貨4軽MCG</t>
  </si>
  <si>
    <t>貨4軽MJG</t>
  </si>
  <si>
    <t>貨4軽RDG</t>
  </si>
  <si>
    <t>貨4軽RKG</t>
  </si>
  <si>
    <t>貨4軽RCG</t>
  </si>
  <si>
    <t>貨4軽RJG</t>
  </si>
  <si>
    <t>貨4軽SDG</t>
  </si>
  <si>
    <t>貨4軽SKG</t>
  </si>
  <si>
    <t>貨4軽SCG</t>
  </si>
  <si>
    <t>貨4軽SJG</t>
  </si>
  <si>
    <t>貨1CTP</t>
  </si>
  <si>
    <t>バス貨物～1.7t(CNG)</t>
    <rPh sb="2" eb="4">
      <t>カモツ</t>
    </rPh>
    <phoneticPr fontId="3"/>
  </si>
  <si>
    <t>貨1C</t>
    <rPh sb="0" eb="1">
      <t>カ</t>
    </rPh>
    <phoneticPr fontId="3"/>
  </si>
  <si>
    <t>☆,CNG</t>
  </si>
  <si>
    <t>貨1CLP</t>
  </si>
  <si>
    <t>☆☆,CNG</t>
  </si>
  <si>
    <t>貨1CUP</t>
  </si>
  <si>
    <t>☆☆☆,CNG</t>
  </si>
  <si>
    <t>貨1CAFE</t>
  </si>
  <si>
    <t>CNG</t>
  </si>
  <si>
    <t>貨1CAEE</t>
  </si>
  <si>
    <t>CNG,ハイブリット</t>
  </si>
  <si>
    <t>貨1CBEE</t>
  </si>
  <si>
    <t>☆(優先),CNG,ハイブリット</t>
    <rPh sb="2" eb="4">
      <t>ユウセン</t>
    </rPh>
    <phoneticPr fontId="3"/>
  </si>
  <si>
    <t>貨1CBFE</t>
  </si>
  <si>
    <t>☆(優先),CNG</t>
    <rPh sb="2" eb="4">
      <t>ユウセン</t>
    </rPh>
    <phoneticPr fontId="3"/>
  </si>
  <si>
    <t>貨1CCEE</t>
  </si>
  <si>
    <t>☆☆☆(優先),CNG,ハイブリット</t>
    <rPh sb="4" eb="6">
      <t>ユウセン</t>
    </rPh>
    <phoneticPr fontId="3"/>
  </si>
  <si>
    <t>貨1CCFE</t>
  </si>
  <si>
    <t>☆☆☆(優先),CNG</t>
    <rPh sb="4" eb="6">
      <t>ユウセン</t>
    </rPh>
    <phoneticPr fontId="3"/>
  </si>
  <si>
    <t>貨1CDEE</t>
  </si>
  <si>
    <t>☆☆☆☆(優先),CNG,ハイブリット</t>
    <rPh sb="5" eb="7">
      <t>ユウセン</t>
    </rPh>
    <phoneticPr fontId="3"/>
  </si>
  <si>
    <t>貨1CDFE</t>
  </si>
  <si>
    <t>☆☆☆☆(優先),CNG</t>
    <rPh sb="5" eb="7">
      <t>ユウセン</t>
    </rPh>
    <phoneticPr fontId="3"/>
  </si>
  <si>
    <t>貨1CLFE</t>
  </si>
  <si>
    <t>貨1CLEE</t>
  </si>
  <si>
    <t>貨1CMFE</t>
  </si>
  <si>
    <t>貨1CMEE</t>
  </si>
  <si>
    <t>新☆☆☆,ハイブリット</t>
    <rPh sb="0" eb="1">
      <t>シン</t>
    </rPh>
    <phoneticPr fontId="3"/>
  </si>
  <si>
    <t>貨1CRFE</t>
  </si>
  <si>
    <t>貨1CREE</t>
  </si>
  <si>
    <t>新☆☆☆☆,ハイブリット</t>
    <rPh sb="0" eb="1">
      <t>シン</t>
    </rPh>
    <phoneticPr fontId="3"/>
  </si>
  <si>
    <t>貨2CTQ</t>
  </si>
  <si>
    <t>バス貨物1.7～2.5t(CNG)</t>
    <rPh sb="2" eb="4">
      <t>カモツ</t>
    </rPh>
    <phoneticPr fontId="3"/>
  </si>
  <si>
    <t>貨2C</t>
    <rPh sb="0" eb="1">
      <t>カ</t>
    </rPh>
    <phoneticPr fontId="3"/>
  </si>
  <si>
    <t>貨2CLQ</t>
  </si>
  <si>
    <t>貨2CUQ</t>
  </si>
  <si>
    <t>貨2CAFF</t>
  </si>
  <si>
    <t>貨2CAEF</t>
  </si>
  <si>
    <t>貨2CBEF</t>
  </si>
  <si>
    <t>貨2CBFF</t>
  </si>
  <si>
    <t>貨2CCEF</t>
  </si>
  <si>
    <t>貨2CCFF</t>
  </si>
  <si>
    <t>貨2CDEF</t>
  </si>
  <si>
    <t>貨2CDFF</t>
  </si>
  <si>
    <t>貨2CNEF</t>
  </si>
  <si>
    <t>貨2CNFF</t>
  </si>
  <si>
    <t>貨2CLFF</t>
  </si>
  <si>
    <t>貨2CLEF</t>
  </si>
  <si>
    <t>貨2CMFF</t>
  </si>
  <si>
    <t>貨2CMEF</t>
  </si>
  <si>
    <t>貨2CRFF</t>
  </si>
  <si>
    <t>貨2CREF</t>
  </si>
  <si>
    <t>貨3CTQ</t>
  </si>
  <si>
    <t>バス貨物2.5～3.5t(CNG)</t>
    <rPh sb="2" eb="4">
      <t>カモツ</t>
    </rPh>
    <phoneticPr fontId="3"/>
  </si>
  <si>
    <t>貨3C</t>
    <rPh sb="0" eb="1">
      <t>カ</t>
    </rPh>
    <phoneticPr fontId="3"/>
  </si>
  <si>
    <t>貨3CLQ</t>
  </si>
  <si>
    <t>貨3CUQ</t>
  </si>
  <si>
    <t>貨3CAFF</t>
  </si>
  <si>
    <t>貨3CAEF</t>
  </si>
  <si>
    <t>貨3CBEF</t>
  </si>
  <si>
    <t>貨3CBFF</t>
  </si>
  <si>
    <t>貨3CCEF</t>
  </si>
  <si>
    <t>貨3CCFF</t>
  </si>
  <si>
    <t>貨3CDEF</t>
  </si>
  <si>
    <t>貨3CDFF</t>
  </si>
  <si>
    <t>貨3CNEF</t>
  </si>
  <si>
    <t>貨3CNFF</t>
  </si>
  <si>
    <t>貨3CLFF</t>
  </si>
  <si>
    <t>貨3CLEF</t>
  </si>
  <si>
    <t>貨3CMFF</t>
  </si>
  <si>
    <t>貨3CMEF</t>
  </si>
  <si>
    <t>貨3CRFF</t>
  </si>
  <si>
    <t>貨3CREF</t>
  </si>
  <si>
    <t>低排出ガス区分（2）</t>
    <rPh sb="0" eb="3">
      <t>テイハイシュツ</t>
    </rPh>
    <rPh sb="5" eb="7">
      <t>クブン</t>
    </rPh>
    <phoneticPr fontId="2"/>
  </si>
  <si>
    <t>低排出ガス区分（1）</t>
    <rPh sb="0" eb="3">
      <t>テイハイシュツ</t>
    </rPh>
    <rPh sb="5" eb="7">
      <t>クブン</t>
    </rPh>
    <phoneticPr fontId="2"/>
  </si>
  <si>
    <t>低排出ガスレベル（1）</t>
    <rPh sb="0" eb="1">
      <t>テイ</t>
    </rPh>
    <rPh sb="1" eb="3">
      <t>ハイシュツ</t>
    </rPh>
    <phoneticPr fontId="2"/>
  </si>
  <si>
    <t>低排出ガスレベル（2）</t>
    <rPh sb="0" eb="3">
      <t>テイハイシュツ</t>
    </rPh>
    <phoneticPr fontId="3"/>
  </si>
  <si>
    <t>新長期</t>
    <rPh sb="0" eb="1">
      <t>シン</t>
    </rPh>
    <rPh sb="1" eb="3">
      <t>チョウキ</t>
    </rPh>
    <phoneticPr fontId="3"/>
  </si>
  <si>
    <t>ポスト新長期</t>
    <rPh sb="3" eb="4">
      <t>シン</t>
    </rPh>
    <rPh sb="4" eb="6">
      <t>チョウキ</t>
    </rPh>
    <phoneticPr fontId="3"/>
  </si>
  <si>
    <t>PM☆☆☆</t>
    <phoneticPr fontId="2"/>
  </si>
  <si>
    <t>PM☆☆☆☆</t>
    <phoneticPr fontId="2"/>
  </si>
  <si>
    <t>☆</t>
    <phoneticPr fontId="2"/>
  </si>
  <si>
    <t>☆☆</t>
    <phoneticPr fontId="2"/>
  </si>
  <si>
    <t>☆☆☆</t>
    <phoneticPr fontId="2"/>
  </si>
  <si>
    <t>新NOx☆</t>
    <rPh sb="0" eb="1">
      <t>シン</t>
    </rPh>
    <phoneticPr fontId="3"/>
  </si>
  <si>
    <t>☆及びPM☆☆☆</t>
    <rPh sb="1" eb="2">
      <t>オヨ</t>
    </rPh>
    <phoneticPr fontId="3"/>
  </si>
  <si>
    <t>☆及びPM☆☆☆☆</t>
    <rPh sb="1" eb="2">
      <t>オヨ</t>
    </rPh>
    <phoneticPr fontId="3"/>
  </si>
  <si>
    <t>☆☆及びPM☆☆☆</t>
    <rPh sb="2" eb="3">
      <t>オヨ</t>
    </rPh>
    <phoneticPr fontId="3"/>
  </si>
  <si>
    <t>☆☆及びPM☆☆☆☆</t>
    <rPh sb="2" eb="3">
      <t>オヨ</t>
    </rPh>
    <phoneticPr fontId="3"/>
  </si>
  <si>
    <t>☆☆☆及びPM☆☆☆</t>
    <rPh sb="3" eb="4">
      <t>オヨ</t>
    </rPh>
    <phoneticPr fontId="3"/>
  </si>
  <si>
    <t>☆☆☆及びPM☆☆☆☆</t>
    <rPh sb="3" eb="4">
      <t>オヨ</t>
    </rPh>
    <phoneticPr fontId="3"/>
  </si>
  <si>
    <t>（１）NOx・PM低減装置の装着車両</t>
    <rPh sb="9" eb="11">
      <t>テイゲン</t>
    </rPh>
    <rPh sb="11" eb="13">
      <t>ソウチ</t>
    </rPh>
    <rPh sb="14" eb="16">
      <t>ソウチャク</t>
    </rPh>
    <rPh sb="16" eb="18">
      <t>シャリョウ</t>
    </rPh>
    <phoneticPr fontId="2"/>
  </si>
  <si>
    <t>　NOx・PM低減装置の装着車両については、自動車NOx・PM法の排出基準をもとに設定した。</t>
    <rPh sb="7" eb="9">
      <t>テイゲン</t>
    </rPh>
    <rPh sb="9" eb="11">
      <t>ソウチ</t>
    </rPh>
    <rPh sb="12" eb="14">
      <t>ソウチャク</t>
    </rPh>
    <rPh sb="14" eb="16">
      <t>シャリョウ</t>
    </rPh>
    <rPh sb="22" eb="25">
      <t>ジドウシャ</t>
    </rPh>
    <rPh sb="31" eb="32">
      <t>ホウ</t>
    </rPh>
    <rPh sb="33" eb="35">
      <t>ハイシュツ</t>
    </rPh>
    <rPh sb="35" eb="37">
      <t>キジュン</t>
    </rPh>
    <rPh sb="41" eb="43">
      <t>セッテイ</t>
    </rPh>
    <phoneticPr fontId="2"/>
  </si>
  <si>
    <t>　1.7t以下</t>
    <rPh sb="5" eb="7">
      <t>イカ</t>
    </rPh>
    <phoneticPr fontId="2"/>
  </si>
  <si>
    <t>　1.7t超2.5t以下</t>
    <rPh sb="5" eb="6">
      <t>チョウ</t>
    </rPh>
    <rPh sb="10" eb="12">
      <t>イカ</t>
    </rPh>
    <phoneticPr fontId="2"/>
  </si>
  <si>
    <t>　2.5t超3.5t以下</t>
    <rPh sb="5" eb="6">
      <t>チョウ</t>
    </rPh>
    <rPh sb="10" eb="12">
      <t>イカ</t>
    </rPh>
    <phoneticPr fontId="2"/>
  </si>
  <si>
    <t>　3.5t超</t>
    <rPh sb="5" eb="6">
      <t>チョウ</t>
    </rPh>
    <phoneticPr fontId="2"/>
  </si>
  <si>
    <t>（２）PM低減装置の装着車両</t>
    <rPh sb="5" eb="7">
      <t>テイゲン</t>
    </rPh>
    <rPh sb="7" eb="9">
      <t>ソウチ</t>
    </rPh>
    <rPh sb="10" eb="12">
      <t>ソウチャク</t>
    </rPh>
    <rPh sb="12" eb="14">
      <t>シャリョウ</t>
    </rPh>
    <phoneticPr fontId="2"/>
  </si>
  <si>
    <t>　PM低減装置の装着車両については、８都県市の粒子状物質減少装置指定制度をもとに設定した。</t>
    <rPh sb="3" eb="5">
      <t>テイゲン</t>
    </rPh>
    <rPh sb="5" eb="7">
      <t>ソウチ</t>
    </rPh>
    <rPh sb="8" eb="10">
      <t>ソウチャク</t>
    </rPh>
    <rPh sb="10" eb="12">
      <t>シャリョウ</t>
    </rPh>
    <rPh sb="19" eb="21">
      <t>トケン</t>
    </rPh>
    <rPh sb="21" eb="22">
      <t>シ</t>
    </rPh>
    <rPh sb="23" eb="26">
      <t>リュウシジョウ</t>
    </rPh>
    <rPh sb="26" eb="28">
      <t>ブッシツ</t>
    </rPh>
    <rPh sb="28" eb="30">
      <t>ゲンショウ</t>
    </rPh>
    <rPh sb="30" eb="32">
      <t>ソウチ</t>
    </rPh>
    <rPh sb="32" eb="34">
      <t>シテイ</t>
    </rPh>
    <rPh sb="34" eb="35">
      <t>セイ</t>
    </rPh>
    <rPh sb="35" eb="36">
      <t>ド</t>
    </rPh>
    <rPh sb="40" eb="42">
      <t>セッテイ</t>
    </rPh>
    <phoneticPr fontId="2"/>
  </si>
  <si>
    <t>（ステッカーに「H17」表示なし）</t>
    <rPh sb="12" eb="14">
      <t>ヒョウジ</t>
    </rPh>
    <phoneticPr fontId="2"/>
  </si>
  <si>
    <t>（ステッカーに「H17」表示あり）</t>
    <rPh sb="12" eb="14">
      <t>ヒョウジ</t>
    </rPh>
    <phoneticPr fontId="2"/>
  </si>
  <si>
    <t>乗用(電気)</t>
    <rPh sb="0" eb="2">
      <t>ジョウヨウ</t>
    </rPh>
    <rPh sb="3" eb="5">
      <t>デンキ</t>
    </rPh>
    <phoneticPr fontId="3"/>
  </si>
  <si>
    <t>貨物～1.7t(電気)</t>
    <rPh sb="0" eb="2">
      <t>カモツ</t>
    </rPh>
    <rPh sb="8" eb="10">
      <t>デンキ</t>
    </rPh>
    <phoneticPr fontId="3"/>
  </si>
  <si>
    <t>貨物1.7～2.5t(電気)</t>
    <rPh sb="0" eb="2">
      <t>カモツ</t>
    </rPh>
    <rPh sb="11" eb="13">
      <t>デンキ</t>
    </rPh>
    <phoneticPr fontId="3"/>
  </si>
  <si>
    <t>貨物2.5～3.5t(電気)</t>
    <rPh sb="0" eb="1">
      <t>カ</t>
    </rPh>
    <rPh sb="1" eb="2">
      <t>ブツ</t>
    </rPh>
    <rPh sb="11" eb="13">
      <t>デンキ</t>
    </rPh>
    <phoneticPr fontId="3"/>
  </si>
  <si>
    <t>貨物3.5t～(電気)</t>
    <rPh sb="0" eb="2">
      <t>カモツ</t>
    </rPh>
    <rPh sb="8" eb="10">
      <t>デンキ</t>
    </rPh>
    <phoneticPr fontId="3"/>
  </si>
  <si>
    <t>PM低減</t>
    <rPh sb="2" eb="4">
      <t>テイゲン</t>
    </rPh>
    <phoneticPr fontId="2"/>
  </si>
  <si>
    <t>新☆☆☆☆</t>
    <rPh sb="0" eb="1">
      <t>シン</t>
    </rPh>
    <phoneticPr fontId="2"/>
  </si>
  <si>
    <t>新☆☆☆</t>
    <rPh sb="0" eb="1">
      <t>シン</t>
    </rPh>
    <phoneticPr fontId="2"/>
  </si>
  <si>
    <t>内　　　　　　　　　　　　　　　　　　　　　容</t>
    <rPh sb="0" eb="23">
      <t>ナイヨウ</t>
    </rPh>
    <phoneticPr fontId="2"/>
  </si>
  <si>
    <t>軽油</t>
    <rPh sb="0" eb="2">
      <t>ケイユ</t>
    </rPh>
    <phoneticPr fontId="15"/>
  </si>
  <si>
    <t>自動車使用管理計画・実績報告書</t>
    <rPh sb="7" eb="9">
      <t>ケイカク</t>
    </rPh>
    <rPh sb="10" eb="12">
      <t>ジッセキ</t>
    </rPh>
    <rPh sb="12" eb="15">
      <t>ホウコクショ</t>
    </rPh>
    <phoneticPr fontId="2"/>
  </si>
  <si>
    <t>初度登録年月</t>
    <rPh sb="0" eb="1">
      <t>ショ</t>
    </rPh>
    <rPh sb="1" eb="2">
      <t>ド</t>
    </rPh>
    <rPh sb="2" eb="4">
      <t>トウロク</t>
    </rPh>
    <rPh sb="4" eb="6">
      <t>ネンゲツ</t>
    </rPh>
    <phoneticPr fontId="2"/>
  </si>
  <si>
    <t>自動車の種別</t>
    <rPh sb="0" eb="3">
      <t>ジドウシャ</t>
    </rPh>
    <rPh sb="4" eb="6">
      <t>シュベツ</t>
    </rPh>
    <phoneticPr fontId="2"/>
  </si>
  <si>
    <t>用途</t>
    <rPh sb="0" eb="2">
      <t>ヨウト</t>
    </rPh>
    <phoneticPr fontId="2"/>
  </si>
  <si>
    <t>乗車定員</t>
    <rPh sb="0" eb="2">
      <t>ジョウシャ</t>
    </rPh>
    <rPh sb="2" eb="4">
      <t>テイイン</t>
    </rPh>
    <phoneticPr fontId="2"/>
  </si>
  <si>
    <t>燃料の種類</t>
    <rPh sb="0" eb="2">
      <t>ネンリョウ</t>
    </rPh>
    <rPh sb="3" eb="5">
      <t>シュルイ</t>
    </rPh>
    <phoneticPr fontId="2"/>
  </si>
  <si>
    <t>低公害車区分</t>
    <rPh sb="0" eb="3">
      <t>テイコウガイ</t>
    </rPh>
    <rPh sb="3" eb="4">
      <t>シャ</t>
    </rPh>
    <rPh sb="4" eb="6">
      <t>クブン</t>
    </rPh>
    <phoneticPr fontId="2"/>
  </si>
  <si>
    <t>排出ガス低減レベル</t>
    <rPh sb="0" eb="2">
      <t>ハイシュツ</t>
    </rPh>
    <rPh sb="4" eb="6">
      <t>テイゲン</t>
    </rPh>
    <phoneticPr fontId="2"/>
  </si>
  <si>
    <t>ＮＯｘ排出係数</t>
    <rPh sb="3" eb="5">
      <t>ハイシュツ</t>
    </rPh>
    <rPh sb="5" eb="7">
      <t>ケイスウ</t>
    </rPh>
    <phoneticPr fontId="2"/>
  </si>
  <si>
    <t>ＰＭ排出係数</t>
    <rPh sb="2" eb="4">
      <t>ハイシュツ</t>
    </rPh>
    <rPh sb="4" eb="6">
      <t>ケイスウ</t>
    </rPh>
    <phoneticPr fontId="2"/>
  </si>
  <si>
    <t>横浜</t>
    <rPh sb="0" eb="2">
      <t>ヨコハマ</t>
    </rPh>
    <phoneticPr fontId="2"/>
  </si>
  <si>
    <t>川崎</t>
    <rPh sb="0" eb="2">
      <t>カワサキ</t>
    </rPh>
    <phoneticPr fontId="2"/>
  </si>
  <si>
    <t>その他</t>
    <rPh sb="0" eb="3">
      <t>ソノタ</t>
    </rPh>
    <phoneticPr fontId="2"/>
  </si>
  <si>
    <t>自動車の種別</t>
    <rPh sb="0" eb="3">
      <t>ジドウシャ</t>
    </rPh>
    <rPh sb="4" eb="5">
      <t>シュ</t>
    </rPh>
    <rPh sb="5" eb="6">
      <t>ベツ</t>
    </rPh>
    <phoneticPr fontId="2"/>
  </si>
  <si>
    <t>定員</t>
    <rPh sb="0" eb="2">
      <t>テイイン</t>
    </rPh>
    <phoneticPr fontId="2"/>
  </si>
  <si>
    <t>KS</t>
  </si>
  <si>
    <t>HZ</t>
  </si>
  <si>
    <t>TL</t>
  </si>
  <si>
    <t>XL</t>
  </si>
  <si>
    <t>LL</t>
  </si>
  <si>
    <t>YL</t>
  </si>
  <si>
    <t>UL</t>
  </si>
  <si>
    <t>ZL</t>
  </si>
  <si>
    <t>VA</t>
  </si>
  <si>
    <t>PB</t>
  </si>
  <si>
    <t>VB</t>
  </si>
  <si>
    <t>PC</t>
  </si>
  <si>
    <t>VC</t>
  </si>
  <si>
    <t>PD</t>
  </si>
  <si>
    <t>VD</t>
  </si>
  <si>
    <t>PE</t>
  </si>
  <si>
    <t>VE</t>
  </si>
  <si>
    <t>PF</t>
  </si>
  <si>
    <t>VF</t>
  </si>
  <si>
    <t>PG</t>
  </si>
  <si>
    <t>VG</t>
  </si>
  <si>
    <t>PH</t>
  </si>
  <si>
    <t>VH</t>
  </si>
  <si>
    <t>TM</t>
  </si>
  <si>
    <t>XM</t>
  </si>
  <si>
    <t>LM</t>
  </si>
  <si>
    <t>YM</t>
  </si>
  <si>
    <t>UM</t>
  </si>
  <si>
    <t>ZM</t>
  </si>
  <si>
    <t>PJ</t>
  </si>
  <si>
    <t>VJ</t>
  </si>
  <si>
    <t>PK</t>
  </si>
  <si>
    <t>VK</t>
  </si>
  <si>
    <t>PL</t>
  </si>
  <si>
    <t>VL</t>
  </si>
  <si>
    <t>PM</t>
  </si>
  <si>
    <t>VM</t>
  </si>
  <si>
    <t>PN</t>
  </si>
  <si>
    <t>VN</t>
  </si>
  <si>
    <t>PP</t>
  </si>
  <si>
    <t>VP</t>
  </si>
  <si>
    <t>PQ</t>
  </si>
  <si>
    <t>VQ</t>
  </si>
  <si>
    <t>PR</t>
  </si>
  <si>
    <t>VR</t>
  </si>
  <si>
    <t>乗0LRBA</t>
  </si>
  <si>
    <t>乗0LRAA</t>
  </si>
  <si>
    <t>乗0LRLA</t>
  </si>
  <si>
    <t>乗0軽-</t>
  </si>
  <si>
    <t>乗用(軽油)</t>
    <rPh sb="0" eb="2">
      <t>ジョウヨウ</t>
    </rPh>
    <rPh sb="3" eb="5">
      <t>ケイユ</t>
    </rPh>
    <phoneticPr fontId="3"/>
  </si>
  <si>
    <t>乗0軽</t>
    <rPh sb="0" eb="1">
      <t>ジョウ</t>
    </rPh>
    <rPh sb="2" eb="3">
      <t>ケイ</t>
    </rPh>
    <phoneticPr fontId="3"/>
  </si>
  <si>
    <t>乗0軽K</t>
  </si>
  <si>
    <t>乗0軽N</t>
  </si>
  <si>
    <t>乗0軽P</t>
  </si>
  <si>
    <t>乗0軽Q</t>
  </si>
  <si>
    <t>乗0軽X</t>
  </si>
  <si>
    <t>乗0軽Y</t>
  </si>
  <si>
    <t>乗0軽KD</t>
  </si>
  <si>
    <t>乗0軽KE</t>
  </si>
  <si>
    <t>乗0軽HA</t>
  </si>
  <si>
    <t>乗0軽KH</t>
  </si>
  <si>
    <t>乗0軽HD</t>
  </si>
  <si>
    <t>乗0軽DA</t>
  </si>
  <si>
    <t>乗0軽WA</t>
  </si>
  <si>
    <t>乗0軽DB</t>
  </si>
  <si>
    <t>乗0軽WB</t>
  </si>
  <si>
    <t>乗0軽DC</t>
  </si>
  <si>
    <t>乗0軽WC</t>
  </si>
  <si>
    <t>乗0軽DK</t>
  </si>
  <si>
    <t>乗0軽WK</t>
  </si>
  <si>
    <t>乗0軽DL</t>
  </si>
  <si>
    <t>乗0軽WL</t>
  </si>
  <si>
    <t>乗0軽DM</t>
  </si>
  <si>
    <t>乗0軽WM</t>
  </si>
  <si>
    <t>乗0軽KM</t>
  </si>
  <si>
    <t>乗0軽HT</t>
  </si>
  <si>
    <t>乗0軽KN</t>
  </si>
  <si>
    <t>乗0軽HU</t>
  </si>
  <si>
    <t>乗0軽TF</t>
  </si>
  <si>
    <t>乗0軽XF</t>
  </si>
  <si>
    <t>乗0軽TG</t>
  </si>
  <si>
    <t>乗0軽XG</t>
  </si>
  <si>
    <t>乗0軽LF</t>
  </si>
  <si>
    <t>乗0軽YF</t>
  </si>
  <si>
    <t>乗0軽LG</t>
  </si>
  <si>
    <t>乗0軽YG</t>
  </si>
  <si>
    <t>乗0軽UF</t>
  </si>
  <si>
    <t>乗0軽ZF</t>
  </si>
  <si>
    <t>乗0軽UG</t>
  </si>
  <si>
    <t>乗0軽ZG</t>
  </si>
  <si>
    <t>乗0軽ADB</t>
  </si>
  <si>
    <t>乗0軽ADC</t>
  </si>
  <si>
    <t>乗0軽ACB</t>
  </si>
  <si>
    <t>乗0軽ACC</t>
  </si>
  <si>
    <t>乗0軽AMB</t>
  </si>
  <si>
    <t>乗0軽AMC</t>
  </si>
  <si>
    <t>乗0軽CCB</t>
  </si>
  <si>
    <t>乗0軽CCC</t>
  </si>
  <si>
    <t>乗0軽CDB</t>
  </si>
  <si>
    <t>乗0軽CDC</t>
  </si>
  <si>
    <t>乗0軽CMB</t>
  </si>
  <si>
    <t>乗0軽CMC</t>
  </si>
  <si>
    <t>乗0軽DCB</t>
  </si>
  <si>
    <t>乗0軽DCC</t>
  </si>
  <si>
    <t>乗0軽DDB</t>
  </si>
  <si>
    <t>乗0軽DDC</t>
  </si>
  <si>
    <t>乗0軽DMB</t>
  </si>
  <si>
    <t>乗0軽DMC</t>
  </si>
  <si>
    <t>乗0軽LDB</t>
  </si>
  <si>
    <t>乗0軽LDC</t>
  </si>
  <si>
    <t>乗0軽LCB</t>
  </si>
  <si>
    <t>乗0軽LCC</t>
  </si>
  <si>
    <t>乗0軽LMB</t>
  </si>
  <si>
    <t>乗0軽LMC</t>
  </si>
  <si>
    <t>乗0軽MDB</t>
  </si>
  <si>
    <t>乗0軽MDC</t>
  </si>
  <si>
    <t>乗0軽MCB</t>
  </si>
  <si>
    <t>乗0軽MCC</t>
  </si>
  <si>
    <t>乗0軽MMB</t>
  </si>
  <si>
    <t>乗0軽MMC</t>
  </si>
  <si>
    <t>乗0軽RDB</t>
  </si>
  <si>
    <t>乗0軽RDC</t>
  </si>
  <si>
    <t>乗0軽RCB</t>
  </si>
  <si>
    <t>乗0軽RCC</t>
  </si>
  <si>
    <t>乗0軽RMB</t>
  </si>
  <si>
    <t>乗0軽RMC</t>
  </si>
  <si>
    <t>乗0CTN</t>
  </si>
  <si>
    <t>乗用(CNG)</t>
    <rPh sb="0" eb="2">
      <t>ジョウヨウ</t>
    </rPh>
    <phoneticPr fontId="3"/>
  </si>
  <si>
    <t>乗0C</t>
    <rPh sb="0" eb="1">
      <t>ジョウ</t>
    </rPh>
    <phoneticPr fontId="3"/>
  </si>
  <si>
    <t>乗0CLN</t>
  </si>
  <si>
    <t>乗0CUN</t>
  </si>
  <si>
    <t>乗0CAFA</t>
  </si>
  <si>
    <t>乗0CAFB</t>
  </si>
  <si>
    <t>乗0CAEA</t>
  </si>
  <si>
    <t>乗0CAEB</t>
  </si>
  <si>
    <t>CNG、ハイブリット</t>
  </si>
  <si>
    <t>乗0CCEA</t>
  </si>
  <si>
    <t>乗0CCFA</t>
  </si>
  <si>
    <t>乗0CDEA</t>
  </si>
  <si>
    <t>乗0CDFA</t>
  </si>
  <si>
    <t>乗0CLFA</t>
  </si>
  <si>
    <t>乗0CLEA</t>
  </si>
  <si>
    <t>乗0CMFA</t>
  </si>
  <si>
    <t>乗0CMEA</t>
  </si>
  <si>
    <t>乗0CRFA</t>
  </si>
  <si>
    <t>乗0CREA</t>
  </si>
  <si>
    <t>乗0メTN</t>
  </si>
  <si>
    <t>乗用(メタノール)</t>
    <rPh sb="0" eb="2">
      <t>ジョウヨウ</t>
    </rPh>
    <phoneticPr fontId="3"/>
  </si>
  <si>
    <t>乗0メ</t>
    <rPh sb="0" eb="1">
      <t>ジョウ</t>
    </rPh>
    <phoneticPr fontId="3"/>
  </si>
  <si>
    <t>乗0メLN</t>
  </si>
  <si>
    <t>乗0メUN</t>
  </si>
  <si>
    <t>乗0メAHA</t>
  </si>
  <si>
    <t>乗0メAGA</t>
  </si>
  <si>
    <t>乗0メCGA</t>
  </si>
  <si>
    <t>乗0メCHA</t>
  </si>
  <si>
    <t>乗0メDGA</t>
  </si>
  <si>
    <t>乗0メDHA</t>
  </si>
  <si>
    <t>乗0メLHA</t>
  </si>
  <si>
    <t>乗0メLGA</t>
  </si>
  <si>
    <t>乗0メMHA</t>
  </si>
  <si>
    <t>乗0メMGA</t>
  </si>
  <si>
    <t>乗0メRHA</t>
  </si>
  <si>
    <t>乗0メRGA</t>
  </si>
  <si>
    <t>乗0電EA</t>
  </si>
  <si>
    <t>乗0電</t>
    <rPh sb="0" eb="1">
      <t>ジョウ</t>
    </rPh>
    <rPh sb="2" eb="3">
      <t>デン</t>
    </rPh>
    <phoneticPr fontId="3"/>
  </si>
  <si>
    <t>EA</t>
  </si>
  <si>
    <t>電</t>
    <rPh sb="0" eb="1">
      <t>デン</t>
    </rPh>
    <phoneticPr fontId="3"/>
  </si>
  <si>
    <t>貨1電EB</t>
  </si>
  <si>
    <t>貨1電</t>
    <rPh sb="2" eb="3">
      <t>デン</t>
    </rPh>
    <phoneticPr fontId="3"/>
  </si>
  <si>
    <t>EB</t>
  </si>
  <si>
    <t>貨2電EC</t>
  </si>
  <si>
    <t>貨2電</t>
    <rPh sb="2" eb="3">
      <t>デン</t>
    </rPh>
    <phoneticPr fontId="3"/>
  </si>
  <si>
    <t>EC</t>
  </si>
  <si>
    <t>貨3電EC</t>
  </si>
  <si>
    <t>貨3電</t>
    <rPh sb="2" eb="3">
      <t>デン</t>
    </rPh>
    <phoneticPr fontId="3"/>
  </si>
  <si>
    <t>貨4電ED</t>
  </si>
  <si>
    <t>貨4電</t>
    <rPh sb="2" eb="3">
      <t>デン</t>
    </rPh>
    <phoneticPr fontId="3"/>
  </si>
  <si>
    <t>ED</t>
  </si>
  <si>
    <t>達成率(%)</t>
    <rPh sb="0" eb="3">
      <t>タッセイリツ</t>
    </rPh>
    <phoneticPr fontId="15"/>
  </si>
  <si>
    <t>乗0電ZAA</t>
  </si>
  <si>
    <t>プラグインハイブリッド（軽油）</t>
    <rPh sb="12" eb="14">
      <t>ケイユ</t>
    </rPh>
    <phoneticPr fontId="2"/>
  </si>
  <si>
    <t>ＰＭ排出量合計(Kg)</t>
    <rPh sb="2" eb="4">
      <t>ハイシュツ</t>
    </rPh>
    <rPh sb="4" eb="5">
      <t>リョウ</t>
    </rPh>
    <rPh sb="5" eb="7">
      <t>ゴウケイ</t>
    </rPh>
    <phoneticPr fontId="2"/>
  </si>
  <si>
    <t>ＮＯｘ排出量合計(Kg)</t>
    <rPh sb="3" eb="5">
      <t>ハイシュツ</t>
    </rPh>
    <rPh sb="5" eb="6">
      <t>リョウ</t>
    </rPh>
    <rPh sb="6" eb="8">
      <t>ゴウケイ</t>
    </rPh>
    <phoneticPr fontId="2"/>
  </si>
  <si>
    <t>ガソリン</t>
    <phoneticPr fontId="15"/>
  </si>
  <si>
    <t>LPG</t>
    <phoneticPr fontId="15"/>
  </si>
  <si>
    <t>ハイブリッド(ガソリン）</t>
    <phoneticPr fontId="2"/>
  </si>
  <si>
    <t>電気自動車全て</t>
    <rPh sb="0" eb="2">
      <t>デンキ</t>
    </rPh>
    <rPh sb="2" eb="5">
      <t>ジドウシャ</t>
    </rPh>
    <rPh sb="5" eb="6">
      <t>スベ</t>
    </rPh>
    <phoneticPr fontId="3"/>
  </si>
  <si>
    <t>ZAA</t>
  </si>
  <si>
    <t>貨1電ZAB</t>
  </si>
  <si>
    <t>ZAB</t>
  </si>
  <si>
    <t>貨2電ZAB</t>
  </si>
  <si>
    <t>貨3電ZAB</t>
  </si>
  <si>
    <t>貨4電ZAB</t>
  </si>
  <si>
    <t>貨1電ZAC</t>
  </si>
  <si>
    <t>ZAC</t>
  </si>
  <si>
    <t>貨2電ZAC</t>
  </si>
  <si>
    <t>貨3電ZAC</t>
  </si>
  <si>
    <t>貨4電ZAC</t>
  </si>
  <si>
    <t>乗0燃電ZBA</t>
  </si>
  <si>
    <t>乗0燃電</t>
    <rPh sb="0" eb="1">
      <t>ジョウ</t>
    </rPh>
    <rPh sb="2" eb="3">
      <t>ネン</t>
    </rPh>
    <rPh sb="3" eb="4">
      <t>デン</t>
    </rPh>
    <phoneticPr fontId="3"/>
  </si>
  <si>
    <t>ZBA</t>
  </si>
  <si>
    <t>燃電</t>
    <rPh sb="0" eb="1">
      <t>ネン</t>
    </rPh>
    <rPh sb="1" eb="2">
      <t>デン</t>
    </rPh>
    <phoneticPr fontId="3"/>
  </si>
  <si>
    <t>貨1燃電ZBB</t>
  </si>
  <si>
    <t>貨1燃電</t>
    <rPh sb="3" eb="4">
      <t>デン</t>
    </rPh>
    <phoneticPr fontId="3"/>
  </si>
  <si>
    <t>ZBB</t>
  </si>
  <si>
    <t>貨2燃電ZBB</t>
  </si>
  <si>
    <t>貨2燃電</t>
    <rPh sb="3" eb="4">
      <t>デン</t>
    </rPh>
    <phoneticPr fontId="3"/>
  </si>
  <si>
    <t>貨3燃電ZBB</t>
  </si>
  <si>
    <t>貨3燃電</t>
    <rPh sb="3" eb="4">
      <t>デン</t>
    </rPh>
    <phoneticPr fontId="3"/>
  </si>
  <si>
    <t>貨4燃電ZBB</t>
  </si>
  <si>
    <t>貨4燃電</t>
    <rPh sb="3" eb="4">
      <t>デン</t>
    </rPh>
    <phoneticPr fontId="3"/>
  </si>
  <si>
    <t>貨1燃電ZBC</t>
  </si>
  <si>
    <t>ZBC</t>
  </si>
  <si>
    <t>貨2燃電ZBC</t>
  </si>
  <si>
    <t>貨3燃電ZBC</t>
  </si>
  <si>
    <t>貨4燃電ZBC</t>
  </si>
  <si>
    <t>ガソリン</t>
    <phoneticPr fontId="2"/>
  </si>
  <si>
    <t>燃料区分3</t>
    <rPh sb="0" eb="2">
      <t>ネンリョウ</t>
    </rPh>
    <rPh sb="2" eb="4">
      <t>クブン</t>
    </rPh>
    <phoneticPr fontId="2"/>
  </si>
  <si>
    <t>エタノール</t>
    <phoneticPr fontId="2"/>
  </si>
  <si>
    <t>☆</t>
  </si>
  <si>
    <t>☆☆</t>
  </si>
  <si>
    <t>☆☆☆</t>
  </si>
  <si>
    <t>新☆</t>
    <rPh sb="0" eb="1">
      <t>シン</t>
    </rPh>
    <phoneticPr fontId="3"/>
  </si>
  <si>
    <t>新☆☆☆</t>
    <rPh sb="0" eb="1">
      <t>シン</t>
    </rPh>
    <phoneticPr fontId="3"/>
  </si>
  <si>
    <t>新☆☆☆☆</t>
    <rPh sb="0" eb="1">
      <t>シン</t>
    </rPh>
    <phoneticPr fontId="3"/>
  </si>
  <si>
    <t>NAE</t>
  </si>
  <si>
    <t>NBE</t>
  </si>
  <si>
    <t>H21</t>
  </si>
  <si>
    <t>LBE</t>
  </si>
  <si>
    <t>LAE</t>
  </si>
  <si>
    <t>MBE</t>
  </si>
  <si>
    <t>MAE</t>
  </si>
  <si>
    <t>RBE</t>
  </si>
  <si>
    <t>RAE</t>
  </si>
  <si>
    <t>NAF</t>
  </si>
  <si>
    <t>NBF</t>
  </si>
  <si>
    <t>LBF</t>
  </si>
  <si>
    <t>LAF</t>
  </si>
  <si>
    <t>MBF</t>
  </si>
  <si>
    <t>MAF</t>
  </si>
  <si>
    <t>RBF</t>
  </si>
  <si>
    <t>RAF</t>
  </si>
  <si>
    <t>NAG</t>
  </si>
  <si>
    <t>NBG</t>
  </si>
  <si>
    <t>LBG</t>
  </si>
  <si>
    <t>LAG</t>
  </si>
  <si>
    <t>MBG</t>
  </si>
  <si>
    <t>MAG</t>
  </si>
  <si>
    <t>RBG</t>
  </si>
  <si>
    <t>RAG</t>
  </si>
  <si>
    <t>AKE</t>
  </si>
  <si>
    <t>AJE</t>
  </si>
  <si>
    <t>BJE</t>
  </si>
  <si>
    <t>BKE</t>
  </si>
  <si>
    <t>CJE</t>
  </si>
  <si>
    <t>CKE</t>
  </si>
  <si>
    <t>DJE</t>
  </si>
  <si>
    <t>DKE</t>
  </si>
  <si>
    <t>NCE</t>
  </si>
  <si>
    <t>NJE</t>
  </si>
  <si>
    <t>NDE</t>
  </si>
  <si>
    <t>NKE</t>
  </si>
  <si>
    <t>PCE</t>
  </si>
  <si>
    <t>新PM☆</t>
    <rPh sb="0" eb="1">
      <t>シン</t>
    </rPh>
    <phoneticPr fontId="3"/>
  </si>
  <si>
    <t>PJE</t>
  </si>
  <si>
    <t>PDE</t>
  </si>
  <si>
    <t>PKE</t>
  </si>
  <si>
    <t>LDE</t>
  </si>
  <si>
    <t>LKE</t>
  </si>
  <si>
    <t>LCE</t>
  </si>
  <si>
    <t>LJE</t>
  </si>
  <si>
    <t>MDE</t>
  </si>
  <si>
    <t>MKE</t>
  </si>
  <si>
    <t>MCE</t>
  </si>
  <si>
    <t>MJE</t>
  </si>
  <si>
    <t>RDE</t>
  </si>
  <si>
    <t>RKE</t>
  </si>
  <si>
    <t>RCE</t>
  </si>
  <si>
    <t>RJE</t>
  </si>
  <si>
    <t>AKF</t>
  </si>
  <si>
    <t>AJF</t>
  </si>
  <si>
    <t>BJF</t>
  </si>
  <si>
    <t>BKF</t>
  </si>
  <si>
    <t>CJF</t>
  </si>
  <si>
    <t>CKF</t>
  </si>
  <si>
    <t>DJF</t>
  </si>
  <si>
    <t>DKF</t>
  </si>
  <si>
    <t>NCF</t>
  </si>
  <si>
    <t>NJF</t>
  </si>
  <si>
    <t>NDF</t>
  </si>
  <si>
    <t>NKF</t>
  </si>
  <si>
    <t>PCF</t>
  </si>
  <si>
    <t>PJF</t>
  </si>
  <si>
    <t>PDF</t>
  </si>
  <si>
    <t>PKF</t>
  </si>
  <si>
    <t>H22</t>
  </si>
  <si>
    <t>SDF</t>
  </si>
  <si>
    <t>SKF</t>
  </si>
  <si>
    <t>SCF</t>
  </si>
  <si>
    <t>SJF</t>
  </si>
  <si>
    <t>LDF</t>
  </si>
  <si>
    <t>LKF</t>
  </si>
  <si>
    <t>LCF</t>
  </si>
  <si>
    <t>LJF</t>
  </si>
  <si>
    <t>MDF</t>
  </si>
  <si>
    <t>MKF</t>
  </si>
  <si>
    <t>MCF</t>
  </si>
  <si>
    <t>MJF</t>
  </si>
  <si>
    <t>RDF</t>
  </si>
  <si>
    <t>RKF</t>
  </si>
  <si>
    <t>RCF</t>
  </si>
  <si>
    <t>RJF</t>
  </si>
  <si>
    <t>PM☆☆☆</t>
  </si>
  <si>
    <t>PM☆☆☆☆</t>
  </si>
  <si>
    <t>AKG</t>
  </si>
  <si>
    <t>AJG</t>
  </si>
  <si>
    <t>BJG</t>
  </si>
  <si>
    <t>BKG</t>
  </si>
  <si>
    <t>CJG</t>
  </si>
  <si>
    <t>CKG</t>
  </si>
  <si>
    <t>DJG</t>
  </si>
  <si>
    <t>DKG</t>
  </si>
  <si>
    <t>NCG</t>
  </si>
  <si>
    <t>NJG</t>
  </si>
  <si>
    <t>NDG</t>
  </si>
  <si>
    <t>NKG</t>
  </si>
  <si>
    <t>PCG</t>
  </si>
  <si>
    <t>PJG</t>
  </si>
  <si>
    <t>PKG</t>
  </si>
  <si>
    <t>LDG</t>
  </si>
  <si>
    <t>LKG</t>
  </si>
  <si>
    <t>LCG</t>
  </si>
  <si>
    <t>LJG</t>
  </si>
  <si>
    <t>MDG</t>
  </si>
  <si>
    <t>PA</t>
  </si>
  <si>
    <t>PDG</t>
  </si>
  <si>
    <r>
      <t>CO</t>
    </r>
    <r>
      <rPr>
        <vertAlign val="subscript"/>
        <sz val="8"/>
        <rFont val="ＭＳ Ｐゴシック"/>
        <family val="3"/>
        <charset val="128"/>
      </rPr>
      <t>2</t>
    </r>
    <r>
      <rPr>
        <sz val="8"/>
        <rFont val="ＭＳ Ｐゴシック"/>
        <family val="3"/>
        <charset val="128"/>
      </rPr>
      <t>排出量合計(t)</t>
    </r>
    <rPh sb="3" eb="5">
      <t>ハイシュツ</t>
    </rPh>
    <rPh sb="5" eb="6">
      <t>リョウ</t>
    </rPh>
    <rPh sb="6" eb="8">
      <t>ゴウケイ</t>
    </rPh>
    <phoneticPr fontId="2"/>
  </si>
  <si>
    <t>削減率(%)</t>
    <rPh sb="0" eb="2">
      <t>サクゲン</t>
    </rPh>
    <rPh sb="2" eb="3">
      <t>リツ</t>
    </rPh>
    <phoneticPr fontId="15"/>
  </si>
  <si>
    <t>燃料電池（水素）</t>
    <rPh sb="0" eb="2">
      <t>ネンリョウ</t>
    </rPh>
    <rPh sb="2" eb="4">
      <t>デンチ</t>
    </rPh>
    <rPh sb="5" eb="7">
      <t>スイソ</t>
    </rPh>
    <phoneticPr fontId="2"/>
  </si>
  <si>
    <t>名称</t>
    <rPh sb="0" eb="2">
      <t>メイショウ</t>
    </rPh>
    <phoneticPr fontId="2"/>
  </si>
  <si>
    <t>九都</t>
  </si>
  <si>
    <t>軽油</t>
    <rPh sb="0" eb="2">
      <t>ケイユ</t>
    </rPh>
    <phoneticPr fontId="2"/>
  </si>
  <si>
    <t>電気</t>
    <rPh sb="0" eb="2">
      <t>デンキ</t>
    </rPh>
    <phoneticPr fontId="2"/>
  </si>
  <si>
    <t>メタノール</t>
    <phoneticPr fontId="2"/>
  </si>
  <si>
    <t>この表は、集計シート用で、印刷の必要はありません。</t>
    <rPh sb="2" eb="3">
      <t>ヒョウ</t>
    </rPh>
    <rPh sb="5" eb="7">
      <t>シュウケイ</t>
    </rPh>
    <rPh sb="10" eb="11">
      <t>ヨウ</t>
    </rPh>
    <rPh sb="13" eb="15">
      <t>インサツ</t>
    </rPh>
    <rPh sb="16" eb="18">
      <t>ヒツヨウ</t>
    </rPh>
    <phoneticPr fontId="2"/>
  </si>
  <si>
    <t>注2）排出ガス低減装置装着とは後付けした車両の台数とする。工場出荷段階で装着したものは含まない。</t>
  </si>
  <si>
    <t>ハイブリッド（軽油）</t>
    <rPh sb="7" eb="9">
      <t>ケイユ</t>
    </rPh>
    <phoneticPr fontId="2"/>
  </si>
  <si>
    <t>〒</t>
    <phoneticPr fontId="2"/>
  </si>
  <si>
    <t>　自動車から排出される窒素酸化物及び粒子状物質の特定地域における総量の削減等に関する特別措置法第33条または第34条に基づき、特定自動車の使用管理計画または実績報告書を次のとおり提出します。</t>
    <rPh sb="54" eb="55">
      <t>ダイ</t>
    </rPh>
    <rPh sb="57" eb="58">
      <t>ジョウ</t>
    </rPh>
    <rPh sb="78" eb="80">
      <t>ジッセキ</t>
    </rPh>
    <rPh sb="80" eb="83">
      <t>ホウコクショ</t>
    </rPh>
    <rPh sb="89" eb="91">
      <t>テイシュツ</t>
    </rPh>
    <phoneticPr fontId="2"/>
  </si>
  <si>
    <t>PM低減装置（PM排出係数）</t>
    <rPh sb="2" eb="4">
      <t>テイゲン</t>
    </rPh>
    <rPh sb="4" eb="6">
      <t>ソウチ</t>
    </rPh>
    <rPh sb="9" eb="11">
      <t>ハイシュツ</t>
    </rPh>
    <rPh sb="11" eb="13">
      <t>ケイスウ</t>
    </rPh>
    <phoneticPr fontId="3"/>
  </si>
  <si>
    <t>H17有</t>
    <rPh sb="3" eb="4">
      <t>ア</t>
    </rPh>
    <phoneticPr fontId="3"/>
  </si>
  <si>
    <t>新車代替又は減車</t>
    <rPh sb="0" eb="2">
      <t>シンシャ</t>
    </rPh>
    <rPh sb="2" eb="4">
      <t>ダイタイ</t>
    </rPh>
    <rPh sb="4" eb="5">
      <t>マタ</t>
    </rPh>
    <rPh sb="6" eb="8">
      <t>ゲンシャ</t>
    </rPh>
    <phoneticPr fontId="2"/>
  </si>
  <si>
    <t>減車</t>
    <rPh sb="0" eb="2">
      <t>ゲンシャ</t>
    </rPh>
    <phoneticPr fontId="2"/>
  </si>
  <si>
    <t>新車代替</t>
    <rPh sb="0" eb="2">
      <t>シンシャ</t>
    </rPh>
    <rPh sb="2" eb="4">
      <t>ダイタイ</t>
    </rPh>
    <phoneticPr fontId="2"/>
  </si>
  <si>
    <t xml:space="preserve">  所属･氏名</t>
    <rPh sb="2" eb="4">
      <t>ショゾク</t>
    </rPh>
    <rPh sb="5" eb="7">
      <t>シメイ</t>
    </rPh>
    <phoneticPr fontId="2"/>
  </si>
  <si>
    <t xml:space="preserve">  電　話</t>
    <rPh sb="2" eb="5">
      <t>デンワ</t>
    </rPh>
    <phoneticPr fontId="2"/>
  </si>
  <si>
    <t>参考資料１</t>
    <rPh sb="0" eb="2">
      <t>サンコウ</t>
    </rPh>
    <rPh sb="2" eb="4">
      <t>シリョウ</t>
    </rPh>
    <phoneticPr fontId="2"/>
  </si>
  <si>
    <t>日本標準産業分類　中分類</t>
    <rPh sb="0" eb="2">
      <t>ニホン</t>
    </rPh>
    <rPh sb="2" eb="4">
      <t>ヒョウジュン</t>
    </rPh>
    <rPh sb="4" eb="6">
      <t>サンギョウ</t>
    </rPh>
    <rPh sb="6" eb="8">
      <t>ブンルイ</t>
    </rPh>
    <rPh sb="9" eb="10">
      <t>チュウ</t>
    </rPh>
    <rPh sb="10" eb="12">
      <t>ブンルイ</t>
    </rPh>
    <phoneticPr fontId="2"/>
  </si>
  <si>
    <t>農業</t>
    <rPh sb="0" eb="2">
      <t>ノウギョウ</t>
    </rPh>
    <phoneticPr fontId="2"/>
  </si>
  <si>
    <t>繊維・衣服等卸売業</t>
    <rPh sb="0" eb="2">
      <t>センイ</t>
    </rPh>
    <rPh sb="3" eb="5">
      <t>イフク</t>
    </rPh>
    <rPh sb="5" eb="6">
      <t>トウ</t>
    </rPh>
    <rPh sb="6" eb="9">
      <t>オロシウリギョウ</t>
    </rPh>
    <phoneticPr fontId="2"/>
  </si>
  <si>
    <t>林業</t>
    <rPh sb="0" eb="2">
      <t>リンギョウ</t>
    </rPh>
    <phoneticPr fontId="2"/>
  </si>
  <si>
    <t>水産養殖業</t>
    <rPh sb="0" eb="2">
      <t>スイサン</t>
    </rPh>
    <rPh sb="2" eb="5">
      <t>ヨウショクギョウ</t>
    </rPh>
    <phoneticPr fontId="2"/>
  </si>
  <si>
    <t>機械器具卸売業</t>
    <rPh sb="0" eb="2">
      <t>キカイ</t>
    </rPh>
    <rPh sb="2" eb="4">
      <t>キグ</t>
    </rPh>
    <rPh sb="4" eb="6">
      <t>オロシウ</t>
    </rPh>
    <rPh sb="6" eb="7">
      <t>ギョウ</t>
    </rPh>
    <phoneticPr fontId="2"/>
  </si>
  <si>
    <t>その他の卸売業</t>
    <rPh sb="2" eb="3">
      <t>タ</t>
    </rPh>
    <rPh sb="4" eb="6">
      <t>オロシウ</t>
    </rPh>
    <rPh sb="6" eb="7">
      <t>ギョウ</t>
    </rPh>
    <phoneticPr fontId="2"/>
  </si>
  <si>
    <t>総合工事業</t>
    <rPh sb="0" eb="2">
      <t>ソウゴウ</t>
    </rPh>
    <rPh sb="2" eb="4">
      <t>コウジ</t>
    </rPh>
    <rPh sb="4" eb="5">
      <t>ギョウ</t>
    </rPh>
    <phoneticPr fontId="2"/>
  </si>
  <si>
    <t>各種商品小売業</t>
    <rPh sb="0" eb="2">
      <t>カクシュ</t>
    </rPh>
    <rPh sb="2" eb="4">
      <t>ショウヒン</t>
    </rPh>
    <rPh sb="4" eb="7">
      <t>コウリギョウ</t>
    </rPh>
    <phoneticPr fontId="2"/>
  </si>
  <si>
    <t>排出ガス低減レベル1</t>
    <rPh sb="0" eb="2">
      <t>ハイシュツ</t>
    </rPh>
    <rPh sb="4" eb="6">
      <t>テイゲン</t>
    </rPh>
    <phoneticPr fontId="2"/>
  </si>
  <si>
    <t>職別工事業（設備工事業を除く）</t>
    <rPh sb="0" eb="1">
      <t>ショク</t>
    </rPh>
    <rPh sb="1" eb="2">
      <t>ベツ</t>
    </rPh>
    <rPh sb="2" eb="4">
      <t>コウジ</t>
    </rPh>
    <rPh sb="4" eb="5">
      <t>ギョウ</t>
    </rPh>
    <rPh sb="6" eb="8">
      <t>セツビ</t>
    </rPh>
    <rPh sb="8" eb="10">
      <t>コウジ</t>
    </rPh>
    <rPh sb="10" eb="11">
      <t>ギョウ</t>
    </rPh>
    <rPh sb="12" eb="13">
      <t>ノゾ</t>
    </rPh>
    <phoneticPr fontId="2"/>
  </si>
  <si>
    <t>織物・衣服・身の回り品小売業</t>
    <rPh sb="0" eb="2">
      <t>オリモノ</t>
    </rPh>
    <rPh sb="3" eb="5">
      <t>イフク</t>
    </rPh>
    <rPh sb="6" eb="7">
      <t>ミ</t>
    </rPh>
    <rPh sb="8" eb="9">
      <t>マワ</t>
    </rPh>
    <rPh sb="10" eb="11">
      <t>ヒン</t>
    </rPh>
    <rPh sb="11" eb="14">
      <t>コウリギョウ</t>
    </rPh>
    <phoneticPr fontId="2"/>
  </si>
  <si>
    <t>設備工事業</t>
    <rPh sb="0" eb="2">
      <t>セツビ</t>
    </rPh>
    <rPh sb="2" eb="4">
      <t>コウジ</t>
    </rPh>
    <rPh sb="4" eb="5">
      <t>ギョウ</t>
    </rPh>
    <phoneticPr fontId="2"/>
  </si>
  <si>
    <t>飲食料品小売業</t>
    <rPh sb="0" eb="2">
      <t>インショク</t>
    </rPh>
    <rPh sb="2" eb="3">
      <t>ショクリョウ</t>
    </rPh>
    <rPh sb="3" eb="4">
      <t>ヒン</t>
    </rPh>
    <rPh sb="4" eb="7">
      <t>コウリギョウ</t>
    </rPh>
    <phoneticPr fontId="2"/>
  </si>
  <si>
    <t>食料品製造業</t>
    <rPh sb="0" eb="3">
      <t>ショクリョウヒン</t>
    </rPh>
    <rPh sb="3" eb="6">
      <t>セイゾウギョウ</t>
    </rPh>
    <phoneticPr fontId="2"/>
  </si>
  <si>
    <t>飲料・たばこ・飼料製造業</t>
    <rPh sb="0" eb="2">
      <t>インリョウ</t>
    </rPh>
    <rPh sb="7" eb="9">
      <t>シリョウ</t>
    </rPh>
    <rPh sb="9" eb="12">
      <t>セイゾウギョウ</t>
    </rPh>
    <phoneticPr fontId="2"/>
  </si>
  <si>
    <t>■備考欄</t>
    <rPh sb="1" eb="3">
      <t>ビコウ</t>
    </rPh>
    <rPh sb="3" eb="4">
      <t>ラン</t>
    </rPh>
    <phoneticPr fontId="2"/>
  </si>
  <si>
    <t>■事業所台帳</t>
    <rPh sb="1" eb="4">
      <t>ジギョウショ</t>
    </rPh>
    <rPh sb="4" eb="6">
      <t>ダイチョウ</t>
    </rPh>
    <phoneticPr fontId="2"/>
  </si>
  <si>
    <t>事業所番号</t>
    <rPh sb="0" eb="3">
      <t>ジギョウショ</t>
    </rPh>
    <rPh sb="3" eb="5">
      <t>バンゴウ</t>
    </rPh>
    <phoneticPr fontId="2"/>
  </si>
  <si>
    <t>事業所の名称</t>
    <rPh sb="0" eb="3">
      <t>ジギョウショ</t>
    </rPh>
    <rPh sb="4" eb="6">
      <t>メイショウ</t>
    </rPh>
    <phoneticPr fontId="2"/>
  </si>
  <si>
    <t>事業所の所在地</t>
    <rPh sb="0" eb="3">
      <t>ジギョウショ</t>
    </rPh>
    <rPh sb="4" eb="7">
      <t>ショザイチ</t>
    </rPh>
    <phoneticPr fontId="2"/>
  </si>
  <si>
    <t>事業所の連絡先</t>
    <rPh sb="0" eb="3">
      <t>ジギョウショ</t>
    </rPh>
    <rPh sb="4" eb="7">
      <t>レンラクサキ</t>
    </rPh>
    <phoneticPr fontId="2"/>
  </si>
  <si>
    <t>注2） 排出ガス低減装置装着とは後付けした車両の台数とする。工場出荷段階で装着したものは含まない。</t>
    <rPh sb="0" eb="1">
      <t>チュウ</t>
    </rPh>
    <rPh sb="4" eb="6">
      <t>ハイシュツ</t>
    </rPh>
    <rPh sb="8" eb="10">
      <t>テイゲン</t>
    </rPh>
    <rPh sb="10" eb="12">
      <t>ソウチ</t>
    </rPh>
    <rPh sb="12" eb="14">
      <t>ソウチャク</t>
    </rPh>
    <rPh sb="16" eb="18">
      <t>アトヅ</t>
    </rPh>
    <rPh sb="21" eb="23">
      <t>シャリョウ</t>
    </rPh>
    <rPh sb="24" eb="26">
      <t>ダイスウ</t>
    </rPh>
    <rPh sb="30" eb="32">
      <t>コウジョウ</t>
    </rPh>
    <rPh sb="32" eb="34">
      <t>シュッカ</t>
    </rPh>
    <rPh sb="34" eb="36">
      <t>ダンカイ</t>
    </rPh>
    <rPh sb="37" eb="39">
      <t>ソウチャク</t>
    </rPh>
    <rPh sb="44" eb="45">
      <t>フク</t>
    </rPh>
    <phoneticPr fontId="2"/>
  </si>
  <si>
    <t>天然ガス</t>
    <rPh sb="0" eb="2">
      <t>テンネン</t>
    </rPh>
    <phoneticPr fontId="2"/>
  </si>
  <si>
    <t>ハイブリッド</t>
    <phoneticPr fontId="2"/>
  </si>
  <si>
    <t>プラグインハイブリッド</t>
    <phoneticPr fontId="2"/>
  </si>
  <si>
    <t>新☆_x000D_
（新長期）</t>
  </si>
  <si>
    <t>ポスト新長期</t>
  </si>
  <si>
    <t>貨1ガ-</t>
  </si>
  <si>
    <t>バス貨物～1.7t(ガソリン・LPG)</t>
    <rPh sb="2" eb="4">
      <t>カモツ</t>
    </rPh>
    <phoneticPr fontId="3"/>
  </si>
  <si>
    <t>貨1ガ</t>
    <rPh sb="0" eb="1">
      <t>カ</t>
    </rPh>
    <phoneticPr fontId="3"/>
  </si>
  <si>
    <t>ガL3</t>
  </si>
  <si>
    <t>貨1ガH</t>
  </si>
  <si>
    <t>貨1ガJ</t>
  </si>
  <si>
    <t>貨1ガL</t>
  </si>
  <si>
    <t>貨1ガR</t>
  </si>
  <si>
    <t>貨1ガGG</t>
  </si>
  <si>
    <t>貨1ガHL</t>
  </si>
  <si>
    <t>ハ</t>
  </si>
  <si>
    <t>ハイブリット</t>
  </si>
  <si>
    <t>貨1ガGJ</t>
  </si>
  <si>
    <t>貨1ガHP</t>
  </si>
  <si>
    <t>貨1ガTB</t>
  </si>
  <si>
    <t>貨1ガXB</t>
  </si>
  <si>
    <t>☆(優先),ハイブリット</t>
    <rPh sb="2" eb="4">
      <t>ユウセン</t>
    </rPh>
    <phoneticPr fontId="3"/>
  </si>
  <si>
    <t>貨1ガLB</t>
  </si>
  <si>
    <t>貨1ガYB</t>
  </si>
  <si>
    <t>☆☆(優先),ハイブリット</t>
    <rPh sb="3" eb="5">
      <t>ユウセン</t>
    </rPh>
    <phoneticPr fontId="3"/>
  </si>
  <si>
    <t>貨1ガUB</t>
  </si>
  <si>
    <t>貨1ガZB</t>
  </si>
  <si>
    <t>☆☆☆(優先),ハイブリット</t>
    <rPh sb="4" eb="6">
      <t>ユウセン</t>
    </rPh>
    <phoneticPr fontId="3"/>
  </si>
  <si>
    <t>貨1ガABE</t>
  </si>
  <si>
    <t>貨1ガAAE</t>
  </si>
  <si>
    <t>貨1ガBAE</t>
  </si>
  <si>
    <t>貨1ガBBE</t>
  </si>
  <si>
    <t>貨1ガCAE</t>
  </si>
  <si>
    <t>貨1ガCBE</t>
  </si>
  <si>
    <t>ガL1</t>
  </si>
  <si>
    <t>貨1ガDAE</t>
  </si>
  <si>
    <t>貨1ガDBE</t>
  </si>
  <si>
    <t>ガL2</t>
  </si>
  <si>
    <t>貨1ガNAE</t>
  </si>
  <si>
    <t>貨1ガNBE</t>
  </si>
  <si>
    <t>貨1ガLBE</t>
  </si>
  <si>
    <t>貨1ガLAE</t>
  </si>
  <si>
    <t>貨1ガMBE</t>
  </si>
  <si>
    <t>貨1ガMAE</t>
  </si>
  <si>
    <t>新☆☆☆(優先),ハイブリット</t>
    <rPh sb="0" eb="1">
      <t>シン</t>
    </rPh>
    <rPh sb="5" eb="7">
      <t>ユウセン</t>
    </rPh>
    <phoneticPr fontId="3"/>
  </si>
  <si>
    <t>貨1ガRBE</t>
  </si>
  <si>
    <t>貨1ガRAE</t>
  </si>
  <si>
    <t>新☆☆☆☆(優先),ハイブリット</t>
    <rPh sb="0" eb="1">
      <t>シン</t>
    </rPh>
    <rPh sb="6" eb="8">
      <t>ユウセン</t>
    </rPh>
    <phoneticPr fontId="3"/>
  </si>
  <si>
    <t>貨2ガ-</t>
  </si>
  <si>
    <t>バス貨物1.7～2.5t(ガソリン・LPG)</t>
    <rPh sb="2" eb="4">
      <t>カモツ</t>
    </rPh>
    <phoneticPr fontId="3"/>
  </si>
  <si>
    <t>貨2ガ</t>
    <rPh sb="0" eb="1">
      <t>カ</t>
    </rPh>
    <phoneticPr fontId="3"/>
  </si>
  <si>
    <t>貨2ガH</t>
  </si>
  <si>
    <t>貨2ガJ</t>
  </si>
  <si>
    <t>貨2ガL</t>
  </si>
  <si>
    <t>貨2ガT</t>
  </si>
  <si>
    <t>貨2ガGA</t>
  </si>
  <si>
    <t>貨2ガGC</t>
  </si>
  <si>
    <t>貨2ガHG</t>
  </si>
  <si>
    <t>貨2ガGK</t>
  </si>
  <si>
    <t>貨2ガHQ</t>
  </si>
  <si>
    <t>貨2ガTC</t>
  </si>
  <si>
    <t>貨2ガXC</t>
  </si>
  <si>
    <t>貨2ガLC</t>
  </si>
  <si>
    <t>貨2ガYC</t>
  </si>
  <si>
    <t>貨2ガUC</t>
  </si>
  <si>
    <t>貨2ガZC</t>
  </si>
  <si>
    <t>貨2ガABF</t>
  </si>
  <si>
    <t>貨2ガAAF</t>
  </si>
  <si>
    <t>貨2ガBAF</t>
  </si>
  <si>
    <t>貨2ガBBF</t>
  </si>
  <si>
    <t>貨2ガCAF</t>
  </si>
  <si>
    <t>貨2ガCBF</t>
  </si>
  <si>
    <t>貨2ガDAF</t>
  </si>
  <si>
    <t>貨2ガDBF</t>
  </si>
  <si>
    <t>貨2ガNAF</t>
  </si>
  <si>
    <t>貨2ガNBF</t>
  </si>
  <si>
    <t>貨2ガLBF</t>
  </si>
  <si>
    <t>貨2ガLAF</t>
  </si>
  <si>
    <t>貨2ガMBF</t>
  </si>
  <si>
    <t>貨2ガMAF</t>
  </si>
  <si>
    <t>新☆☆☆（優先）,ハイブリット</t>
    <rPh sb="0" eb="1">
      <t>シン</t>
    </rPh>
    <rPh sb="5" eb="7">
      <t>ユウセン</t>
    </rPh>
    <phoneticPr fontId="3"/>
  </si>
  <si>
    <t>貨2ガRBF</t>
  </si>
  <si>
    <t>貨2ガRAF</t>
  </si>
  <si>
    <t>新☆☆☆☆（優先）,ハイブリット</t>
    <rPh sb="0" eb="1">
      <t>シン</t>
    </rPh>
    <rPh sb="6" eb="8">
      <t>ユウセン</t>
    </rPh>
    <phoneticPr fontId="3"/>
  </si>
  <si>
    <t>貨3ガ-</t>
  </si>
  <si>
    <t>バス貨物2.5～3.5t(ガソリン・LPG)</t>
    <rPh sb="2" eb="4">
      <t>カモツ</t>
    </rPh>
    <phoneticPr fontId="3"/>
  </si>
  <si>
    <t>貨3ガ</t>
    <rPh sb="0" eb="1">
      <t>カ</t>
    </rPh>
    <phoneticPr fontId="3"/>
  </si>
  <si>
    <t>貨3ガJ</t>
  </si>
  <si>
    <t>貨3ガM</t>
  </si>
  <si>
    <t>貨3ガT</t>
  </si>
  <si>
    <t>貨3ガZ</t>
  </si>
  <si>
    <t>貨3ガGB</t>
  </si>
  <si>
    <t>貨3ガGE</t>
  </si>
  <si>
    <t>貨3ガHJ</t>
  </si>
  <si>
    <t>貨3ガGK</t>
  </si>
  <si>
    <t>貨3ガHQ</t>
  </si>
  <si>
    <t>貨3ガTC</t>
  </si>
  <si>
    <t>貨3ガXC</t>
  </si>
  <si>
    <t>貨3ガLC</t>
  </si>
  <si>
    <t>貨3ガYC</t>
  </si>
  <si>
    <t>貨3ガUC</t>
  </si>
  <si>
    <t>貨3ガZC</t>
  </si>
  <si>
    <t>貨3ガABF</t>
  </si>
  <si>
    <t>貨3ガAAF</t>
  </si>
  <si>
    <t>貨3ガBAF</t>
  </si>
  <si>
    <t>貨3ガBBF</t>
  </si>
  <si>
    <t>貨3ガCAF</t>
  </si>
  <si>
    <t>貨3ガCBF</t>
  </si>
  <si>
    <t>貨3ガDAF</t>
  </si>
  <si>
    <t>貨3ガDBF</t>
  </si>
  <si>
    <t>貨3ガNAF</t>
  </si>
  <si>
    <t>貨3ガNBF</t>
  </si>
  <si>
    <t>貨3ガLBF</t>
  </si>
  <si>
    <t>貨3ガLAF</t>
  </si>
  <si>
    <t>貨3ガMBF</t>
  </si>
  <si>
    <t>貨3ガMAF</t>
  </si>
  <si>
    <t>貨3ガRBF</t>
  </si>
  <si>
    <t>貨3ガRAF</t>
  </si>
  <si>
    <t>貨4ガ-</t>
  </si>
  <si>
    <t>バス貨物3.5t～(ガソリン・LPG)</t>
    <rPh sb="2" eb="4">
      <t>カモツ</t>
    </rPh>
    <phoneticPr fontId="3"/>
  </si>
  <si>
    <t>貨4ガ</t>
    <rPh sb="0" eb="1">
      <t>カ</t>
    </rPh>
    <phoneticPr fontId="3"/>
  </si>
  <si>
    <t>貨4ガJ</t>
  </si>
  <si>
    <t>貨4ガM</t>
  </si>
  <si>
    <t>貨4ガT</t>
  </si>
  <si>
    <t>貨4ガZ</t>
  </si>
  <si>
    <t>貨4ガGB</t>
  </si>
  <si>
    <t>貨4ガGE</t>
  </si>
  <si>
    <t>貨4ガHJ</t>
  </si>
  <si>
    <t>貨4ガGL</t>
  </si>
  <si>
    <t>貨4ガHR</t>
  </si>
  <si>
    <t>貨4ガTD</t>
  </si>
  <si>
    <t>貨4ガXD</t>
  </si>
  <si>
    <t>貨4ガLD</t>
  </si>
  <si>
    <t>貨4ガYD</t>
  </si>
  <si>
    <t>貨4ガUD</t>
  </si>
  <si>
    <t>貨4ガZD</t>
  </si>
  <si>
    <t>貨4ガABG</t>
  </si>
  <si>
    <t>貨4ガAAG</t>
  </si>
  <si>
    <t>貨4ガBAG</t>
  </si>
  <si>
    <t>貨4ガBBG</t>
  </si>
  <si>
    <t>貨4ガCAG</t>
  </si>
  <si>
    <t>貨4ガCBG</t>
  </si>
  <si>
    <t>貨4ガDAG</t>
  </si>
  <si>
    <t>貨4ガDBG</t>
  </si>
  <si>
    <t>貨4ガNAG</t>
  </si>
  <si>
    <t>貨4ガNBG</t>
  </si>
  <si>
    <t>貨4ガLBG</t>
  </si>
  <si>
    <t>貨4ガLAG</t>
  </si>
  <si>
    <t>貨4ガMBG</t>
  </si>
  <si>
    <t>貨4ガMAG</t>
  </si>
  <si>
    <t>貨4ガRBG</t>
  </si>
  <si>
    <t>貨4ガRAG</t>
  </si>
  <si>
    <t>貨1L-</t>
  </si>
  <si>
    <t>貨1L</t>
    <rPh sb="0" eb="1">
      <t>カ</t>
    </rPh>
    <phoneticPr fontId="3"/>
  </si>
  <si>
    <t>貨1LH</t>
  </si>
  <si>
    <t>貨1LJ</t>
  </si>
  <si>
    <t>貨1LL</t>
  </si>
  <si>
    <t>貨1LR</t>
  </si>
  <si>
    <t>貨1LGG</t>
  </si>
  <si>
    <t>貨1LHL</t>
  </si>
  <si>
    <t>貨1LGJ</t>
  </si>
  <si>
    <t>貨1LHP</t>
  </si>
  <si>
    <t>貨1LTB</t>
  </si>
  <si>
    <t>貨1LXB</t>
  </si>
  <si>
    <t>貨1LLB</t>
  </si>
  <si>
    <t>貨1LYB</t>
  </si>
  <si>
    <t>貨1LUB</t>
  </si>
  <si>
    <t>貨1LZB</t>
  </si>
  <si>
    <t>貨1LABE</t>
  </si>
  <si>
    <t>貨1LAAE</t>
  </si>
  <si>
    <t>貨1LBAE</t>
  </si>
  <si>
    <t>貨1LBBE</t>
  </si>
  <si>
    <t>貨1LCAE</t>
  </si>
  <si>
    <t>貨1LCBE</t>
  </si>
  <si>
    <t>貨1LDAE</t>
  </si>
  <si>
    <t>貨1LDBE</t>
  </si>
  <si>
    <t>貨1LNAE</t>
  </si>
  <si>
    <t>貨1LNBE</t>
  </si>
  <si>
    <t>貨1LLBE</t>
  </si>
  <si>
    <t>貨1LLAE</t>
  </si>
  <si>
    <t>貨1LMBE</t>
  </si>
  <si>
    <t>貨1LMAE</t>
  </si>
  <si>
    <t>貨1LRBE</t>
  </si>
  <si>
    <t>貨1LRAE</t>
  </si>
  <si>
    <t>貨2L-</t>
  </si>
  <si>
    <t>貨2L</t>
    <rPh sb="0" eb="1">
      <t>カ</t>
    </rPh>
    <phoneticPr fontId="3"/>
  </si>
  <si>
    <t>貨2LH</t>
  </si>
  <si>
    <t>貨2LJ</t>
  </si>
  <si>
    <t>貨2LL</t>
  </si>
  <si>
    <t>貨2LT</t>
  </si>
  <si>
    <t>貨2LGA</t>
  </si>
  <si>
    <t>貨2LGC</t>
  </si>
  <si>
    <t>貨2LHG</t>
  </si>
  <si>
    <t>貨2LGK</t>
  </si>
  <si>
    <t>貨2LHQ</t>
  </si>
  <si>
    <t>貨2LTC</t>
  </si>
  <si>
    <t>貨2LXC</t>
  </si>
  <si>
    <t>貨2LLC</t>
  </si>
  <si>
    <t>貨2LYC</t>
  </si>
  <si>
    <t>貨2LUC</t>
  </si>
  <si>
    <t>貨2LZC</t>
  </si>
  <si>
    <t>貨2LABF</t>
  </si>
  <si>
    <t>貨2LAAF</t>
  </si>
  <si>
    <t>貨2LBAF</t>
  </si>
  <si>
    <t>貨2LBBF</t>
  </si>
  <si>
    <t>貨2LCAF</t>
  </si>
  <si>
    <t>貨2LCBF</t>
  </si>
  <si>
    <t>貨2LDAF</t>
  </si>
  <si>
    <t>貨2LDBF</t>
  </si>
  <si>
    <t>貨2LNAF</t>
  </si>
  <si>
    <t>貨2LNBF</t>
  </si>
  <si>
    <t>貨2LLBF</t>
  </si>
  <si>
    <t>貨2LLAF</t>
  </si>
  <si>
    <t>貨2LMBF</t>
  </si>
  <si>
    <t>貨2LMAF</t>
  </si>
  <si>
    <t>貨2LRBF</t>
  </si>
  <si>
    <t>貨2LRAF</t>
  </si>
  <si>
    <t>貨3L-</t>
  </si>
  <si>
    <t>貨3L</t>
    <rPh sb="0" eb="1">
      <t>カ</t>
    </rPh>
    <phoneticPr fontId="3"/>
  </si>
  <si>
    <t>貨3LJ</t>
  </si>
  <si>
    <t>貨3LM</t>
  </si>
  <si>
    <t>貨3LT</t>
  </si>
  <si>
    <t>貨3LZ</t>
  </si>
  <si>
    <t>貨3LGB</t>
  </si>
  <si>
    <t>貨3LGE</t>
  </si>
  <si>
    <t>貨3LHJ</t>
  </si>
  <si>
    <t>貨3LGK</t>
  </si>
  <si>
    <t>貨3LHQ</t>
  </si>
  <si>
    <t>貨3LTC</t>
  </si>
  <si>
    <t>貨3LXC</t>
  </si>
  <si>
    <t>貨3LLC</t>
  </si>
  <si>
    <t>貨3LYC</t>
  </si>
  <si>
    <t>貨3LUC</t>
  </si>
  <si>
    <t>貨3LZC</t>
  </si>
  <si>
    <t>貨3LABF</t>
  </si>
  <si>
    <t>貨3LAAF</t>
  </si>
  <si>
    <t>貨3LBAF</t>
  </si>
  <si>
    <t>貨3LBBF</t>
  </si>
  <si>
    <t>貨3LCAF</t>
  </si>
  <si>
    <t>貨3LCBF</t>
  </si>
  <si>
    <t>貨3LDAF</t>
  </si>
  <si>
    <t>貨3LDBF</t>
  </si>
  <si>
    <t>貨3LNAF</t>
  </si>
  <si>
    <t>貨3LNBF</t>
  </si>
  <si>
    <t>貨3LLBF</t>
  </si>
  <si>
    <t>貨3LLAF</t>
  </si>
  <si>
    <t>貨3LMBF</t>
  </si>
  <si>
    <t>貨3LMAF</t>
  </si>
  <si>
    <t>貨3LRBF</t>
  </si>
  <si>
    <t>貨3LRAF</t>
  </si>
  <si>
    <t>貨4L-</t>
  </si>
  <si>
    <t>貨4L</t>
    <rPh sb="0" eb="1">
      <t>カ</t>
    </rPh>
    <phoneticPr fontId="3"/>
  </si>
  <si>
    <t>貨4LJ</t>
  </si>
  <si>
    <t>貨4LM</t>
  </si>
  <si>
    <t>貨4LT</t>
  </si>
  <si>
    <t>貨4LZ</t>
  </si>
  <si>
    <t>貨4LGB</t>
  </si>
  <si>
    <t>貨4LGE</t>
  </si>
  <si>
    <t>貨4LHJ</t>
  </si>
  <si>
    <t>貨4LGL</t>
  </si>
  <si>
    <t>貨4LHR</t>
  </si>
  <si>
    <t>貨4LTD</t>
  </si>
  <si>
    <t>貨4LXD</t>
  </si>
  <si>
    <t>貨4LLD</t>
  </si>
  <si>
    <t>貨4LYD</t>
  </si>
  <si>
    <t>貨4LUD</t>
  </si>
  <si>
    <t>貨4LZD</t>
  </si>
  <si>
    <t>貨4LABG</t>
  </si>
  <si>
    <t>貨4LAAG</t>
  </si>
  <si>
    <t>貨4LBAG</t>
  </si>
  <si>
    <t>貨4LBBG</t>
  </si>
  <si>
    <t>貨4LCAG</t>
  </si>
  <si>
    <t>貨4LCBG</t>
  </si>
  <si>
    <t>貨4LDAG</t>
  </si>
  <si>
    <t>貨4LDBG</t>
  </si>
  <si>
    <t>貨4LNAG</t>
  </si>
  <si>
    <t>☆(優先）、ハイブリット</t>
    <rPh sb="2" eb="4">
      <t>ユウセン</t>
    </rPh>
    <phoneticPr fontId="3"/>
  </si>
  <si>
    <t>貨4LNBG</t>
  </si>
  <si>
    <t>貨4LLBG</t>
  </si>
  <si>
    <t>貨4LLAG</t>
  </si>
  <si>
    <t>貨4LMBG</t>
  </si>
  <si>
    <t>貨4LMAG</t>
  </si>
  <si>
    <t>貨4LRBG</t>
  </si>
  <si>
    <t>貨4LRAG</t>
  </si>
  <si>
    <t>貨1軽-</t>
  </si>
  <si>
    <t>バス貨物～1.7t(軽油)</t>
    <rPh sb="2" eb="4">
      <t>カモツ</t>
    </rPh>
    <rPh sb="10" eb="12">
      <t>ケイユ</t>
    </rPh>
    <phoneticPr fontId="3"/>
  </si>
  <si>
    <t>貨1軽</t>
    <rPh sb="0" eb="1">
      <t>カ</t>
    </rPh>
    <rPh sb="2" eb="3">
      <t>ケイ</t>
    </rPh>
    <phoneticPr fontId="3"/>
  </si>
  <si>
    <t>軽3</t>
    <rPh sb="0" eb="1">
      <t>ケイ</t>
    </rPh>
    <phoneticPr fontId="3"/>
  </si>
  <si>
    <t>貨1軽K</t>
  </si>
  <si>
    <t>貨1軽N</t>
  </si>
  <si>
    <t>貨1軽P</t>
  </si>
  <si>
    <t>貨1軽S</t>
  </si>
  <si>
    <t>貨1軽KA</t>
  </si>
  <si>
    <t>貨1軽KE</t>
  </si>
  <si>
    <t>貨1軽HA</t>
  </si>
  <si>
    <t>貨1軽KP</t>
  </si>
  <si>
    <t>貨1軽HW</t>
  </si>
  <si>
    <t>貨1軽TH</t>
  </si>
  <si>
    <t>貨1軽XH</t>
  </si>
  <si>
    <t>貨1軽LH</t>
  </si>
  <si>
    <t>貨1軽YH</t>
  </si>
  <si>
    <t>貨1軽UH</t>
  </si>
  <si>
    <t>貨1軽ZH</t>
  </si>
  <si>
    <t>貨1軽ADE</t>
  </si>
  <si>
    <t>軽新長</t>
    <rPh sb="0" eb="1">
      <t>ケイ</t>
    </rPh>
    <rPh sb="1" eb="2">
      <t>シン</t>
    </rPh>
    <rPh sb="2" eb="3">
      <t>チョウ</t>
    </rPh>
    <phoneticPr fontId="3"/>
  </si>
  <si>
    <t>貨1軽AKE</t>
  </si>
  <si>
    <t>貨1軽ACE</t>
  </si>
  <si>
    <t>貨1軽AJE</t>
  </si>
  <si>
    <t>貨1軽BCE</t>
  </si>
  <si>
    <t>貨1軽BJE</t>
  </si>
  <si>
    <t>貨1軽BDE</t>
  </si>
  <si>
    <t>貨1軽BKE</t>
  </si>
  <si>
    <t>貨1軽CCE</t>
  </si>
  <si>
    <t>貨1軽CJE</t>
  </si>
  <si>
    <t>☆☆☆(優先）、ハイブリット</t>
    <rPh sb="4" eb="6">
      <t>ユウセン</t>
    </rPh>
    <phoneticPr fontId="3"/>
  </si>
  <si>
    <t>貨1軽CDE</t>
  </si>
  <si>
    <t>貨1軽CKE</t>
  </si>
  <si>
    <t>貨1軽DCE</t>
  </si>
  <si>
    <t>☆☆☆☆(優先),ハイブリット</t>
    <rPh sb="5" eb="7">
      <t>ユウセン</t>
    </rPh>
    <phoneticPr fontId="3"/>
  </si>
  <si>
    <t>貨1軽DJE</t>
  </si>
  <si>
    <t>貨1軽DDE</t>
  </si>
  <si>
    <t>☆☆☆☆</t>
  </si>
  <si>
    <t>貨1軽DKE</t>
  </si>
  <si>
    <t>貨1軽NCE</t>
  </si>
  <si>
    <t>新☆(優先）、ハイブリット</t>
    <rPh sb="0" eb="1">
      <t>シン</t>
    </rPh>
    <rPh sb="3" eb="5">
      <t>ユウセン</t>
    </rPh>
    <phoneticPr fontId="3"/>
  </si>
  <si>
    <t>貨1軽NJE</t>
  </si>
  <si>
    <t>貨1軽NDE</t>
  </si>
  <si>
    <t>貨1軽NKE</t>
  </si>
  <si>
    <t>貨1軽PCE</t>
  </si>
  <si>
    <t>新PM☆(優先）、ハイブリット</t>
    <rPh sb="0" eb="1">
      <t>シン</t>
    </rPh>
    <rPh sb="5" eb="7">
      <t>ユウセン</t>
    </rPh>
    <phoneticPr fontId="3"/>
  </si>
  <si>
    <t>貨1軽PJE</t>
  </si>
  <si>
    <t>貨1軽PDE</t>
  </si>
  <si>
    <t>貨1軽PKE</t>
  </si>
  <si>
    <t>貨1軽LDE</t>
  </si>
  <si>
    <t>貨1軽LKE</t>
  </si>
  <si>
    <t>貨1軽LCE</t>
  </si>
  <si>
    <t>貨1軽LJE</t>
  </si>
  <si>
    <t>貨1軽MDE</t>
  </si>
  <si>
    <t>貨1軽MKE</t>
  </si>
  <si>
    <t>貨1軽MCE</t>
  </si>
  <si>
    <t>貨1軽MJE</t>
  </si>
  <si>
    <t>貨1軽RDE</t>
  </si>
  <si>
    <t>貨1軽RKE</t>
  </si>
  <si>
    <t>貨1軽RCE</t>
  </si>
  <si>
    <t>新☆☆☆☆(優先）,ハイブリット</t>
    <rPh sb="0" eb="1">
      <t>シン</t>
    </rPh>
    <rPh sb="6" eb="8">
      <t>ユウセン</t>
    </rPh>
    <phoneticPr fontId="3"/>
  </si>
  <si>
    <t>貨1軽RJE</t>
  </si>
  <si>
    <t>貨2軽-</t>
  </si>
  <si>
    <t>バス貨物1.7～2.5t(軽油)</t>
    <rPh sb="2" eb="4">
      <t>カモツ</t>
    </rPh>
    <rPh sb="13" eb="15">
      <t>ケイユ</t>
    </rPh>
    <phoneticPr fontId="3"/>
  </si>
  <si>
    <t>貨2軽</t>
    <rPh sb="0" eb="1">
      <t>カ</t>
    </rPh>
    <rPh sb="2" eb="3">
      <t>ケイ</t>
    </rPh>
    <phoneticPr fontId="3"/>
  </si>
  <si>
    <t>貨2軽K</t>
  </si>
  <si>
    <t>貨2軽N</t>
  </si>
  <si>
    <t>貨2軽P</t>
  </si>
  <si>
    <t>貨2軽S</t>
  </si>
  <si>
    <t>貨2軽KB</t>
  </si>
  <si>
    <t>貨2軽KF</t>
  </si>
  <si>
    <t>貨2軽HB</t>
  </si>
  <si>
    <t>貨2軽KJ</t>
  </si>
  <si>
    <t>貨2軽HE</t>
  </si>
  <si>
    <t>貨2軽DD</t>
  </si>
  <si>
    <t>貨2軽WD</t>
  </si>
  <si>
    <t>貨2軽DE</t>
  </si>
  <si>
    <t>貨2軽WE</t>
  </si>
  <si>
    <t>貨2軽DF</t>
  </si>
  <si>
    <t>貨2軽WF</t>
  </si>
  <si>
    <t>貨2軽DN</t>
  </si>
  <si>
    <t>貨2軽WN</t>
  </si>
  <si>
    <t>貨2軽DP</t>
  </si>
  <si>
    <t>貨2軽WP</t>
  </si>
  <si>
    <t>貨2軽DQ</t>
  </si>
  <si>
    <t>貨2軽WQ</t>
  </si>
  <si>
    <t>貨2軽KQ</t>
  </si>
  <si>
    <t>貨2軽HX</t>
  </si>
  <si>
    <t>貨2軽TJ</t>
  </si>
  <si>
    <t>貨2軽XJ</t>
  </si>
  <si>
    <t>貨2軽LJ</t>
  </si>
  <si>
    <t>貨2軽YJ</t>
  </si>
  <si>
    <t>貨2軽UJ</t>
  </si>
  <si>
    <t>貨2軽ZJ</t>
  </si>
  <si>
    <t>貨2軽ADF</t>
  </si>
  <si>
    <t>貨2軽AKF</t>
  </si>
  <si>
    <t>貨2軽ACF</t>
  </si>
  <si>
    <t>貨2軽AJF</t>
  </si>
  <si>
    <t>貨2軽BCF</t>
  </si>
  <si>
    <t>貨2軽BJF</t>
  </si>
  <si>
    <t>貨2軽BDF</t>
  </si>
  <si>
    <t>貨2軽BKF</t>
  </si>
  <si>
    <t>貨2軽CCF</t>
  </si>
  <si>
    <t>貨2軽CJF</t>
  </si>
  <si>
    <t>貨2軽CDF</t>
  </si>
  <si>
    <t>貨2軽CKF</t>
  </si>
  <si>
    <t>貨2軽DCF</t>
  </si>
  <si>
    <t>貨2軽DJF</t>
  </si>
  <si>
    <t>貨2軽DDF</t>
  </si>
  <si>
    <t>貨2軽DKF</t>
  </si>
  <si>
    <t>貨2軽NCF</t>
  </si>
  <si>
    <t>貨2軽NJF</t>
  </si>
  <si>
    <t>貨2軽NDF</t>
  </si>
  <si>
    <t>貨2軽NKF</t>
  </si>
  <si>
    <t>貨2軽PCF</t>
  </si>
  <si>
    <t>貨2軽PJF</t>
  </si>
  <si>
    <t>貨2軽PDF</t>
  </si>
  <si>
    <t>貨2軽PKF</t>
  </si>
  <si>
    <t>貨2軽SDF</t>
  </si>
  <si>
    <t>貨2軽SKF</t>
  </si>
  <si>
    <t>貨2軽SCF</t>
  </si>
  <si>
    <t>貨2軽SJF</t>
  </si>
  <si>
    <t>貨3軽-</t>
  </si>
  <si>
    <t>バス貨物2.5～3.5t(軽油)</t>
    <rPh sb="2" eb="4">
      <t>カモツ</t>
    </rPh>
    <rPh sb="13" eb="15">
      <t>ケイユ</t>
    </rPh>
    <phoneticPr fontId="3"/>
  </si>
  <si>
    <t>貨3軽</t>
    <rPh sb="0" eb="1">
      <t>カ</t>
    </rPh>
    <rPh sb="2" eb="3">
      <t>ケイ</t>
    </rPh>
    <phoneticPr fontId="3"/>
  </si>
  <si>
    <t>貨3軽K</t>
  </si>
  <si>
    <t>貨3軽N</t>
  </si>
  <si>
    <t>貨3軽P</t>
  </si>
  <si>
    <t>貨3軽S</t>
  </si>
  <si>
    <t>貨3軽U</t>
  </si>
  <si>
    <t>貨3軽KC</t>
  </si>
  <si>
    <t>貨3軽KG</t>
  </si>
  <si>
    <t>貨3軽HC</t>
  </si>
  <si>
    <t>貨3軽DG</t>
  </si>
  <si>
    <t>貨3軽WG</t>
  </si>
  <si>
    <t>貨3軽DH</t>
  </si>
  <si>
    <t>貨3軽WH</t>
  </si>
  <si>
    <t>貨3軽DJ</t>
  </si>
  <si>
    <t>貨3軽WJ</t>
  </si>
  <si>
    <t>貨3軽KR</t>
  </si>
  <si>
    <t>貨3軽HY</t>
  </si>
  <si>
    <t>貨3軽TK</t>
  </si>
  <si>
    <t>貨3軽XK</t>
  </si>
  <si>
    <t>貨3軽LK</t>
  </si>
  <si>
    <t>貨3軽YK</t>
  </si>
  <si>
    <t>貨3軽UK</t>
  </si>
  <si>
    <t>貨3軽ZK</t>
  </si>
  <si>
    <t>貨3軽ADF</t>
  </si>
  <si>
    <t>貨3軽AKF</t>
  </si>
  <si>
    <t>貨3軽ACF</t>
  </si>
  <si>
    <t>貨3軽AJF</t>
  </si>
  <si>
    <t>貨3軽BCF</t>
  </si>
  <si>
    <t>貨3軽BJF</t>
  </si>
  <si>
    <t>貨3軽BDF</t>
  </si>
  <si>
    <t>貨3軽BKF</t>
  </si>
  <si>
    <t>貨3軽CCF</t>
  </si>
  <si>
    <t>貨3軽CJF</t>
  </si>
  <si>
    <t>貨3軽CDF</t>
  </si>
  <si>
    <t>貨3軽CKF</t>
  </si>
  <si>
    <t>貨3軽DCF</t>
  </si>
  <si>
    <t>貨3軽DJF</t>
  </si>
  <si>
    <t>☆☆☆☆(優先）、ハイブリット</t>
    <rPh sb="5" eb="7">
      <t>ユウセン</t>
    </rPh>
    <phoneticPr fontId="3"/>
  </si>
  <si>
    <t>貨3軽DDF</t>
  </si>
  <si>
    <t>貨3軽DKF</t>
  </si>
  <si>
    <t>貨3軽NCF</t>
  </si>
  <si>
    <t>貨3軽NJF</t>
  </si>
  <si>
    <t>貨3軽NDF</t>
  </si>
  <si>
    <t>貨3軽NKF</t>
  </si>
  <si>
    <t>貨3軽PCF</t>
  </si>
  <si>
    <t>貨3軽PJF</t>
  </si>
  <si>
    <t>貨3軽PDF</t>
  </si>
  <si>
    <t>貨3軽PKF</t>
  </si>
  <si>
    <t>貨3軽LDF</t>
  </si>
  <si>
    <t>貨3軽LKF</t>
  </si>
  <si>
    <t>貨3軽LCF</t>
  </si>
  <si>
    <t>貨3軽LJF</t>
  </si>
  <si>
    <t>貨3軽MDF</t>
  </si>
  <si>
    <t>貨3軽MKF</t>
  </si>
  <si>
    <t>貨3軽MCF</t>
  </si>
  <si>
    <t>新☆☆☆(優先）,ハイブリット</t>
    <rPh sb="0" eb="1">
      <t>シン</t>
    </rPh>
    <rPh sb="5" eb="7">
      <t>ユウセン</t>
    </rPh>
    <phoneticPr fontId="3"/>
  </si>
  <si>
    <t>貨3軽MJF</t>
  </si>
  <si>
    <t>貨3軽RDF</t>
  </si>
  <si>
    <t>貨3軽RKF</t>
  </si>
  <si>
    <t>貨3軽RCF</t>
  </si>
  <si>
    <t>貨3軽RJF</t>
  </si>
  <si>
    <t>貨4軽-</t>
  </si>
  <si>
    <t>バス貨物3.5t～(軽油)</t>
    <rPh sb="2" eb="4">
      <t>カモツ</t>
    </rPh>
    <rPh sb="10" eb="12">
      <t>ケイユ</t>
    </rPh>
    <phoneticPr fontId="3"/>
  </si>
  <si>
    <t>貨4軽</t>
    <rPh sb="0" eb="1">
      <t>カ</t>
    </rPh>
    <rPh sb="2" eb="3">
      <t>ケイ</t>
    </rPh>
    <phoneticPr fontId="3"/>
  </si>
  <si>
    <t>貨4軽K</t>
  </si>
  <si>
    <t>貨4軽N</t>
  </si>
  <si>
    <t>貨4軽P</t>
  </si>
  <si>
    <t>貨4軽U</t>
  </si>
  <si>
    <t>貨4軽W</t>
  </si>
  <si>
    <t>貨4軽KC</t>
  </si>
  <si>
    <t>貨4軽KK</t>
  </si>
  <si>
    <t>貨4軽HF</t>
  </si>
  <si>
    <t>貨4軽KL</t>
  </si>
  <si>
    <t>貨4軽HM</t>
  </si>
  <si>
    <t>貨4軽DR</t>
  </si>
  <si>
    <t>貨4軽WR</t>
  </si>
  <si>
    <t>貨4軽DS</t>
  </si>
  <si>
    <t>貨4軽WS</t>
  </si>
  <si>
    <t>貨4軽DT</t>
  </si>
  <si>
    <t>軽1</t>
    <rPh sb="0" eb="1">
      <t>ケイ</t>
    </rPh>
    <phoneticPr fontId="3"/>
  </si>
  <si>
    <t>貨4軽WT</t>
  </si>
  <si>
    <t>貨4軽DU</t>
  </si>
  <si>
    <t>貨4軽WU</t>
  </si>
  <si>
    <t>貨4軽DV</t>
  </si>
  <si>
    <t>貨4軽WV</t>
  </si>
  <si>
    <t>QBE</t>
  </si>
  <si>
    <t>QAE</t>
  </si>
  <si>
    <t>新☆</t>
  </si>
  <si>
    <t>QBF</t>
  </si>
  <si>
    <t>QAF</t>
  </si>
  <si>
    <t>QBG</t>
  </si>
  <si>
    <t>QAG</t>
  </si>
  <si>
    <t>バス貨物～1.7t(LPG)</t>
  </si>
  <si>
    <t>バス貨物1.7～2.5t(LPG)</t>
  </si>
  <si>
    <t>バス貨物2.5～3.5t(LPG)</t>
  </si>
  <si>
    <t>バス貨物3.5t～(LPG)</t>
  </si>
  <si>
    <t>新☆☆☆</t>
  </si>
  <si>
    <t>新☆☆☆☆</t>
  </si>
  <si>
    <t>QDE</t>
  </si>
  <si>
    <t>QCE</t>
  </si>
  <si>
    <t>TDF</t>
  </si>
  <si>
    <t>TCF</t>
  </si>
  <si>
    <t>QDF</t>
  </si>
  <si>
    <t>QCF</t>
  </si>
  <si>
    <t>LPG</t>
  </si>
  <si>
    <t>LRG</t>
  </si>
  <si>
    <t>LNG</t>
  </si>
  <si>
    <t>LQG</t>
  </si>
  <si>
    <t>MPG</t>
  </si>
  <si>
    <t>MRG</t>
  </si>
  <si>
    <t>MNG</t>
  </si>
  <si>
    <t>MQG</t>
  </si>
  <si>
    <t>RPG</t>
  </si>
  <si>
    <t>RRG</t>
  </si>
  <si>
    <t>RNG</t>
  </si>
  <si>
    <t>RQG</t>
  </si>
  <si>
    <t>SPG</t>
  </si>
  <si>
    <t>SRG</t>
  </si>
  <si>
    <t>SNG</t>
  </si>
  <si>
    <t>SQG</t>
  </si>
  <si>
    <t>QDG</t>
  </si>
  <si>
    <t>QKG</t>
  </si>
  <si>
    <t>QPG</t>
  </si>
  <si>
    <t>QRG</t>
  </si>
  <si>
    <t>QCG</t>
  </si>
  <si>
    <t>QJG</t>
  </si>
  <si>
    <t>QNG</t>
  </si>
  <si>
    <t>QQG</t>
  </si>
  <si>
    <t>TDG</t>
  </si>
  <si>
    <t>TKG</t>
  </si>
  <si>
    <t>TPG</t>
  </si>
  <si>
    <t>TRG</t>
  </si>
  <si>
    <t>TCG</t>
  </si>
  <si>
    <t>TJG</t>
  </si>
  <si>
    <t>TNG</t>
  </si>
  <si>
    <t>TQG</t>
  </si>
  <si>
    <t>QFE</t>
  </si>
  <si>
    <t>QEE</t>
  </si>
  <si>
    <t>QFF</t>
  </si>
  <si>
    <t>QEF</t>
  </si>
  <si>
    <t>TFG</t>
  </si>
  <si>
    <t>TEG</t>
  </si>
  <si>
    <t>QFG</t>
  </si>
  <si>
    <t>QEG</t>
  </si>
  <si>
    <t>QHE</t>
  </si>
  <si>
    <t>QGE</t>
  </si>
  <si>
    <t>QHF</t>
  </si>
  <si>
    <t>QGF</t>
  </si>
  <si>
    <t>QHG</t>
  </si>
  <si>
    <t>QGG</t>
  </si>
  <si>
    <t>THG</t>
  </si>
  <si>
    <t>TGG</t>
  </si>
  <si>
    <t>QBA</t>
  </si>
  <si>
    <t>QAA</t>
  </si>
  <si>
    <t>QLA</t>
  </si>
  <si>
    <t>乗用(ガソリン)</t>
  </si>
  <si>
    <t>乗用(LPG)</t>
  </si>
  <si>
    <t>LDA</t>
  </si>
  <si>
    <t>LCA</t>
  </si>
  <si>
    <t>LMA</t>
  </si>
  <si>
    <t>FDB</t>
  </si>
  <si>
    <t>FDC</t>
  </si>
  <si>
    <t>FCA</t>
  </si>
  <si>
    <t>FCB</t>
  </si>
  <si>
    <t>FCC</t>
  </si>
  <si>
    <t>FMC</t>
  </si>
  <si>
    <t>MDA</t>
  </si>
  <si>
    <t>MCA</t>
  </si>
  <si>
    <t>MMA</t>
  </si>
  <si>
    <t>RDA</t>
  </si>
  <si>
    <t>RCA</t>
  </si>
  <si>
    <t>RMA</t>
  </si>
  <si>
    <t>QDA</t>
  </si>
  <si>
    <t>QDB</t>
  </si>
  <si>
    <t>QDC</t>
  </si>
  <si>
    <t>QCA</t>
  </si>
  <si>
    <t>QCB</t>
  </si>
  <si>
    <t>QCC</t>
  </si>
  <si>
    <t>QMA</t>
  </si>
  <si>
    <t>QMB</t>
  </si>
  <si>
    <t>QMC</t>
  </si>
  <si>
    <t>QFA</t>
  </si>
  <si>
    <t>QEA</t>
  </si>
  <si>
    <t>QHA</t>
  </si>
  <si>
    <t>QGA</t>
  </si>
  <si>
    <t>貨4軽DW</t>
  </si>
  <si>
    <t>貨4軽WW</t>
  </si>
  <si>
    <t>貨4軽KR</t>
  </si>
  <si>
    <t>貨4軽HY</t>
  </si>
  <si>
    <t>貨4軽KS</t>
  </si>
  <si>
    <t>貨4軽HZ</t>
  </si>
  <si>
    <t>貨4軽TL</t>
  </si>
  <si>
    <t>貨4軽XL</t>
  </si>
  <si>
    <t>ADG</t>
  </si>
  <si>
    <t>ACG</t>
  </si>
  <si>
    <t>BCG</t>
  </si>
  <si>
    <t>BDG</t>
  </si>
  <si>
    <t>CCG</t>
  </si>
  <si>
    <t>CDG</t>
  </si>
  <si>
    <t>DCG</t>
  </si>
  <si>
    <t>DDG</t>
  </si>
  <si>
    <t>車両総重量</t>
    <rPh sb="0" eb="2">
      <t>シャリョウ</t>
    </rPh>
    <rPh sb="2" eb="5">
      <t>ソウジュウリョウ</t>
    </rPh>
    <phoneticPr fontId="2"/>
  </si>
  <si>
    <t>燃料区分１</t>
    <rPh sb="0" eb="2">
      <t>ネンリョウ</t>
    </rPh>
    <rPh sb="2" eb="4">
      <t>クブン</t>
    </rPh>
    <phoneticPr fontId="2"/>
  </si>
  <si>
    <t>燃料区分２</t>
    <rPh sb="0" eb="2">
      <t>ネンリョウ</t>
    </rPh>
    <rPh sb="2" eb="4">
      <t>クブン</t>
    </rPh>
    <phoneticPr fontId="2"/>
  </si>
  <si>
    <t>減少台数</t>
    <rPh sb="2" eb="4">
      <t>ダイスウ</t>
    </rPh>
    <phoneticPr fontId="2"/>
  </si>
  <si>
    <t>軽油　 　　　　　　　　　（ハイブリッド除く）</t>
    <rPh sb="0" eb="2">
      <t>ケイユ</t>
    </rPh>
    <phoneticPr fontId="2"/>
  </si>
  <si>
    <t>新長期</t>
    <rPh sb="0" eb="1">
      <t>シン</t>
    </rPh>
    <rPh sb="1" eb="3">
      <t>チョウキ</t>
    </rPh>
    <phoneticPr fontId="2"/>
  </si>
  <si>
    <t>他</t>
    <rPh sb="0" eb="1">
      <t>ホカ</t>
    </rPh>
    <phoneticPr fontId="2"/>
  </si>
  <si>
    <t>「ガソリン」「軽油」など</t>
    <rPh sb="7" eb="9">
      <t>ケイユ</t>
    </rPh>
    <phoneticPr fontId="2"/>
  </si>
  <si>
    <t>貨4CTR</t>
  </si>
  <si>
    <t>バス貨物3.5t～(CNG)</t>
    <rPh sb="2" eb="4">
      <t>カモツ</t>
    </rPh>
    <phoneticPr fontId="3"/>
  </si>
  <si>
    <t>貨4C</t>
    <rPh sb="0" eb="1">
      <t>カ</t>
    </rPh>
    <phoneticPr fontId="3"/>
  </si>
  <si>
    <t>貨4CLR</t>
  </si>
  <si>
    <t>貨4CUR</t>
  </si>
  <si>
    <t>貨4CAFG</t>
  </si>
  <si>
    <t>貨4CAEG</t>
  </si>
  <si>
    <t>貨4CBEG</t>
  </si>
  <si>
    <t>貨4CBFG</t>
  </si>
  <si>
    <t>貨4CCEG</t>
  </si>
  <si>
    <t>貨4CCFG</t>
  </si>
  <si>
    <t>貨4CDEG</t>
  </si>
  <si>
    <t>貨4CDFG</t>
  </si>
  <si>
    <t>貨4CNEG</t>
  </si>
  <si>
    <t>貨4CNFG</t>
  </si>
  <si>
    <t>貨4CPEG</t>
  </si>
  <si>
    <t>貨4CPFG</t>
  </si>
  <si>
    <t>貨4CLFG</t>
  </si>
  <si>
    <t>貨4CLEG</t>
  </si>
  <si>
    <t>貨4CMFG</t>
  </si>
  <si>
    <t>貨4CMEG</t>
  </si>
  <si>
    <t>貨4CRFG</t>
  </si>
  <si>
    <t>貨4CREG</t>
  </si>
  <si>
    <t>貨4CSFG</t>
  </si>
  <si>
    <t>貨4CSEG</t>
  </si>
  <si>
    <t>貨1メTP</t>
  </si>
  <si>
    <t>バス貨物～1.7t(メタノール)</t>
    <rPh sb="2" eb="4">
      <t>カモツ</t>
    </rPh>
    <phoneticPr fontId="3"/>
  </si>
  <si>
    <t>貨1メ</t>
    <rPh sb="0" eb="1">
      <t>カ</t>
    </rPh>
    <phoneticPr fontId="3"/>
  </si>
  <si>
    <t>メ</t>
  </si>
  <si>
    <t>☆,メタノール</t>
  </si>
  <si>
    <t>貨1メLP</t>
  </si>
  <si>
    <t>☆☆,メタノール</t>
  </si>
  <si>
    <t>貨1メUP</t>
  </si>
  <si>
    <t>☆☆☆,メタノール</t>
  </si>
  <si>
    <t>貨1メAHE</t>
  </si>
  <si>
    <t>メタノール</t>
  </si>
  <si>
    <t>貨1メAGE</t>
  </si>
  <si>
    <t>メタノール,ハイブリット</t>
  </si>
  <si>
    <t>貨1メBGE</t>
  </si>
  <si>
    <t>☆(優先),メタノール,ハイブリット</t>
    <rPh sb="2" eb="4">
      <t>ユウセン</t>
    </rPh>
    <phoneticPr fontId="3"/>
  </si>
  <si>
    <t>貨1メBHE</t>
  </si>
  <si>
    <t>☆(優先),メタノール</t>
    <rPh sb="2" eb="4">
      <t>ユウセン</t>
    </rPh>
    <phoneticPr fontId="3"/>
  </si>
  <si>
    <t>貨1メCGE</t>
  </si>
  <si>
    <t>☆☆☆(優先),メタノール,ハイブリット</t>
    <rPh sb="4" eb="6">
      <t>ユウセン</t>
    </rPh>
    <phoneticPr fontId="3"/>
  </si>
  <si>
    <t>貨1メCHE</t>
  </si>
  <si>
    <t>☆☆☆(優先),メタノール</t>
    <rPh sb="4" eb="6">
      <t>ユウセン</t>
    </rPh>
    <phoneticPr fontId="3"/>
  </si>
  <si>
    <t>貨1メDGE</t>
  </si>
  <si>
    <t>☆☆☆☆(優先),メタノール,ハイブリット</t>
    <rPh sb="5" eb="7">
      <t>ユウセン</t>
    </rPh>
    <phoneticPr fontId="3"/>
  </si>
  <si>
    <t>貨1メDHE</t>
  </si>
  <si>
    <t>☆☆☆☆(優先),メタノール</t>
    <rPh sb="5" eb="7">
      <t>ユウセン</t>
    </rPh>
    <phoneticPr fontId="3"/>
  </si>
  <si>
    <t>貨1メLHE</t>
  </si>
  <si>
    <t>貨1メLGE</t>
  </si>
  <si>
    <t>貨1メMHE</t>
  </si>
  <si>
    <t>貨1メMGE</t>
  </si>
  <si>
    <t>貨1メRHE</t>
  </si>
  <si>
    <t>貨1メRGE</t>
  </si>
  <si>
    <t>貨2メTQ</t>
  </si>
  <si>
    <t>バス貨物1.7～2.5t(メタノール)</t>
    <rPh sb="2" eb="4">
      <t>カモツ</t>
    </rPh>
    <phoneticPr fontId="3"/>
  </si>
  <si>
    <t>貨2メ</t>
    <rPh sb="0" eb="1">
      <t>カ</t>
    </rPh>
    <phoneticPr fontId="3"/>
  </si>
  <si>
    <t>貨2メLQ</t>
  </si>
  <si>
    <t>貨2メUQ</t>
  </si>
  <si>
    <t>貨2メAHF</t>
  </si>
  <si>
    <t>貨2メAGF</t>
  </si>
  <si>
    <t>貨2メBGF</t>
  </si>
  <si>
    <t>貨2メBHF</t>
  </si>
  <si>
    <t>貨2メCGF</t>
  </si>
  <si>
    <t>貨2メCHF</t>
  </si>
  <si>
    <t>貨2メDGF</t>
  </si>
  <si>
    <t>貨2メDHF</t>
  </si>
  <si>
    <t>貨2メLHF</t>
  </si>
  <si>
    <t>貨2メLGF</t>
  </si>
  <si>
    <t>貨2メMHF</t>
  </si>
  <si>
    <t>貨2メMGF</t>
  </si>
  <si>
    <t>貨2メRHF</t>
  </si>
  <si>
    <t>貨2メRGF</t>
  </si>
  <si>
    <t>貨3メTQ</t>
  </si>
  <si>
    <t>バス貨物2.5～3.5t(メタノール)</t>
    <rPh sb="2" eb="4">
      <t>カモツ</t>
    </rPh>
    <phoneticPr fontId="3"/>
  </si>
  <si>
    <t>貨3メ</t>
    <rPh sb="0" eb="1">
      <t>カ</t>
    </rPh>
    <phoneticPr fontId="3"/>
  </si>
  <si>
    <t>貨3メLQ</t>
  </si>
  <si>
    <t>貨3メUQ</t>
  </si>
  <si>
    <t>貨3メAHF</t>
  </si>
  <si>
    <t>貨3メAGF</t>
  </si>
  <si>
    <t>貨3メBGF</t>
  </si>
  <si>
    <t>貨3メBHF</t>
  </si>
  <si>
    <t>貨3メCGF</t>
  </si>
  <si>
    <t>貨3メCHF</t>
  </si>
  <si>
    <t>貨3メDGF</t>
  </si>
  <si>
    <t>貨3メDHF</t>
  </si>
  <si>
    <t>貨3メLHF</t>
  </si>
  <si>
    <t>貨3メLGF</t>
  </si>
  <si>
    <t>貨3メMHF</t>
  </si>
  <si>
    <t>貨3メMGF</t>
  </si>
  <si>
    <t>貨3メRHF</t>
  </si>
  <si>
    <t>貨3メRGF</t>
  </si>
  <si>
    <t>貨4メTR</t>
  </si>
  <si>
    <t>バス貨物3.5t～(メタノール)</t>
    <rPh sb="2" eb="4">
      <t>カモツ</t>
    </rPh>
    <phoneticPr fontId="3"/>
  </si>
  <si>
    <t>貨4メ</t>
    <rPh sb="0" eb="1">
      <t>カ</t>
    </rPh>
    <phoneticPr fontId="3"/>
  </si>
  <si>
    <t>貨4メLR</t>
  </si>
  <si>
    <t>貨4メUR</t>
  </si>
  <si>
    <t>貨4メAHG</t>
  </si>
  <si>
    <t>貨4メAGG</t>
  </si>
  <si>
    <t>貨4メBGG</t>
  </si>
  <si>
    <t>貨4メBHG</t>
  </si>
  <si>
    <t>貨4メCGG</t>
  </si>
  <si>
    <t>貨4メCHG</t>
  </si>
  <si>
    <t>貨4メDGG</t>
  </si>
  <si>
    <t>貨4メDHG</t>
  </si>
  <si>
    <t>貨4メLHG</t>
  </si>
  <si>
    <t>貨4メLGG</t>
  </si>
  <si>
    <t>貨4メMHG</t>
  </si>
  <si>
    <t>貨4メMGG</t>
  </si>
  <si>
    <t>貨4メRHG</t>
  </si>
  <si>
    <t>貨4メRGG</t>
  </si>
  <si>
    <t>貨4メSHG</t>
  </si>
  <si>
    <t>貨4メSGG</t>
  </si>
  <si>
    <t>乗0ガ-</t>
  </si>
  <si>
    <t>乗用(ガソリン・LPG)</t>
    <rPh sb="0" eb="2">
      <t>ジョウヨウ</t>
    </rPh>
    <phoneticPr fontId="3"/>
  </si>
  <si>
    <t>乗0ガ</t>
    <rPh sb="0" eb="1">
      <t>ジョウ</t>
    </rPh>
    <phoneticPr fontId="3"/>
  </si>
  <si>
    <t>乗0ガA</t>
  </si>
  <si>
    <t>乗0ガB</t>
  </si>
  <si>
    <t>乗0ガC</t>
  </si>
  <si>
    <t>乗0ガE</t>
  </si>
  <si>
    <t>乗0ガGF</t>
  </si>
  <si>
    <t>乗0ガHK</t>
  </si>
  <si>
    <t>乗0ガGH</t>
  </si>
  <si>
    <t>乗0ガHN</t>
  </si>
  <si>
    <t>乗0ガTA</t>
  </si>
  <si>
    <t>乗0ガXA</t>
  </si>
  <si>
    <t>乗0ガLA</t>
  </si>
  <si>
    <t>乗0ガYA</t>
  </si>
  <si>
    <t>乗0ガUA</t>
  </si>
  <si>
    <t>乗0ガZA</t>
  </si>
  <si>
    <t>乗0ガABA</t>
  </si>
  <si>
    <t>乗0ガAAA</t>
  </si>
  <si>
    <t>乗0ガALA</t>
  </si>
  <si>
    <t>プハ</t>
  </si>
  <si>
    <t>プラグインハイブリット</t>
  </si>
  <si>
    <t>乗0ガCAA</t>
  </si>
  <si>
    <t>乗0ガCBA</t>
  </si>
  <si>
    <t>乗0ガCLA</t>
  </si>
  <si>
    <t>☆☆☆(優先),プラグインハイブリット</t>
    <rPh sb="4" eb="6">
      <t>ユウセン</t>
    </rPh>
    <phoneticPr fontId="3"/>
  </si>
  <si>
    <t>乗0ガDAA</t>
  </si>
  <si>
    <t>乗0ガDBA</t>
  </si>
  <si>
    <t>乗0ガDLA</t>
  </si>
  <si>
    <t>☆☆☆☆(優先),プラグインハイブリット</t>
    <rPh sb="5" eb="7">
      <t>ユウセン</t>
    </rPh>
    <phoneticPr fontId="3"/>
  </si>
  <si>
    <t>乗0ガLBA</t>
  </si>
  <si>
    <t>乗0ガLAA</t>
  </si>
  <si>
    <t>乗0ガMBA</t>
  </si>
  <si>
    <t>乗0ガMAA</t>
  </si>
  <si>
    <t>乗0ガMLA</t>
  </si>
  <si>
    <t>乗0ガRBA</t>
  </si>
  <si>
    <t>乗0ガRAA</t>
  </si>
  <si>
    <t>乗0ガRLA</t>
  </si>
  <si>
    <t>乗0L-</t>
  </si>
  <si>
    <t>乗0L</t>
    <rPh sb="0" eb="1">
      <t>ジョウ</t>
    </rPh>
    <phoneticPr fontId="3"/>
  </si>
  <si>
    <t>乗0LA</t>
  </si>
  <si>
    <t>乗0LB</t>
  </si>
  <si>
    <t>乗0LC</t>
  </si>
  <si>
    <t>乗0LE</t>
  </si>
  <si>
    <t>乗0LGF</t>
  </si>
  <si>
    <t>乗0LHK</t>
  </si>
  <si>
    <t>乗0LGH</t>
  </si>
  <si>
    <t>乗0LHN</t>
  </si>
  <si>
    <t>乗0LTA</t>
  </si>
  <si>
    <t>乗0LXA</t>
  </si>
  <si>
    <t>乗0LLA</t>
  </si>
  <si>
    <t>乗0LYA</t>
  </si>
  <si>
    <t>乗0LUA</t>
  </si>
  <si>
    <t>乗0LZA</t>
  </si>
  <si>
    <t>乗0LABA</t>
  </si>
  <si>
    <t>乗0LAAA</t>
  </si>
  <si>
    <t>乗0LALA</t>
  </si>
  <si>
    <t>乗0LCAA</t>
  </si>
  <si>
    <t>乗0LCBA</t>
  </si>
  <si>
    <t>乗0LCLA</t>
  </si>
  <si>
    <t>乗0LDAA</t>
  </si>
  <si>
    <t>乗0LDBA</t>
  </si>
  <si>
    <t>乗0LDLA</t>
  </si>
  <si>
    <t>乗0LLBA</t>
  </si>
  <si>
    <t>乗0LLAA</t>
  </si>
  <si>
    <t>乗0LLLA</t>
  </si>
  <si>
    <t>乗0LMBA</t>
  </si>
  <si>
    <t>乗0LMAA</t>
  </si>
  <si>
    <t>乗0LMLA</t>
  </si>
  <si>
    <t>MKG</t>
  </si>
  <si>
    <t>MCG</t>
  </si>
  <si>
    <t>MJG</t>
  </si>
  <si>
    <t>RDG</t>
  </si>
  <si>
    <t>RKG</t>
  </si>
  <si>
    <t>RCG</t>
  </si>
  <si>
    <t>RJG</t>
  </si>
  <si>
    <t>SDG</t>
  </si>
  <si>
    <t>SKG</t>
  </si>
  <si>
    <t>SCG</t>
  </si>
  <si>
    <t>SJG</t>
  </si>
  <si>
    <t>LFE</t>
  </si>
  <si>
    <t>LEE</t>
  </si>
  <si>
    <t>MFE</t>
  </si>
  <si>
    <t>MEE</t>
  </si>
  <si>
    <t>RFE</t>
  </si>
  <si>
    <t>REE</t>
  </si>
  <si>
    <t>NEF</t>
  </si>
  <si>
    <t>NFF</t>
  </si>
  <si>
    <t>LFF</t>
  </si>
  <si>
    <t>LEF</t>
  </si>
  <si>
    <t>MFF</t>
  </si>
  <si>
    <t>MEF</t>
  </si>
  <si>
    <t>RFF</t>
  </si>
  <si>
    <t>REF</t>
  </si>
  <si>
    <t>NEG</t>
  </si>
  <si>
    <t>NFG</t>
  </si>
  <si>
    <t>PEG</t>
  </si>
  <si>
    <t>PFG</t>
  </si>
  <si>
    <t>LFG</t>
  </si>
  <si>
    <t>LEG</t>
  </si>
  <si>
    <t>MFG</t>
  </si>
  <si>
    <t>MEG</t>
  </si>
  <si>
    <t>RFG</t>
  </si>
  <si>
    <t>REG</t>
  </si>
  <si>
    <t>SFG</t>
  </si>
  <si>
    <t>SEG</t>
  </si>
  <si>
    <t>LHE</t>
  </si>
  <si>
    <t>LGE</t>
  </si>
  <si>
    <t>MHE</t>
  </si>
  <si>
    <t>MGE</t>
  </si>
  <si>
    <t>RHE</t>
  </si>
  <si>
    <t>RGE</t>
  </si>
  <si>
    <t>LHF</t>
  </si>
  <si>
    <t>LGF</t>
  </si>
  <si>
    <t>MHF</t>
  </si>
  <si>
    <t>MGF</t>
  </si>
  <si>
    <t>RHF</t>
  </si>
  <si>
    <t>RGF</t>
  </si>
  <si>
    <t>LHG</t>
  </si>
  <si>
    <t>LGG</t>
  </si>
  <si>
    <t>MHG</t>
  </si>
  <si>
    <t>MGG</t>
  </si>
  <si>
    <t>RHG</t>
  </si>
  <si>
    <t>RGG</t>
  </si>
  <si>
    <t>SHG</t>
  </si>
  <si>
    <t>SGG</t>
  </si>
  <si>
    <t>ALA</t>
  </si>
  <si>
    <t>CLA</t>
  </si>
  <si>
    <t>DLA</t>
  </si>
  <si>
    <t>LBA</t>
  </si>
  <si>
    <t>LAA</t>
  </si>
  <si>
    <t>LLA</t>
  </si>
  <si>
    <t>MBA</t>
  </si>
  <si>
    <t>MAA</t>
  </si>
  <si>
    <t>MLA</t>
  </si>
  <si>
    <t>RBA</t>
  </si>
  <si>
    <t>RAA</t>
  </si>
  <si>
    <t>RLA</t>
  </si>
  <si>
    <t>AMB</t>
  </si>
  <si>
    <t>AMC</t>
  </si>
  <si>
    <t>CMB</t>
  </si>
  <si>
    <t>CMC</t>
  </si>
  <si>
    <t>DMB</t>
  </si>
  <si>
    <t>DMC</t>
  </si>
  <si>
    <t>LDB</t>
  </si>
  <si>
    <t>LDC</t>
  </si>
  <si>
    <t>LCB</t>
  </si>
  <si>
    <t>LCC</t>
  </si>
  <si>
    <t>LMB</t>
  </si>
  <si>
    <t>LMC</t>
  </si>
  <si>
    <t>MDB</t>
  </si>
  <si>
    <t>MDC</t>
  </si>
  <si>
    <t>MCB</t>
  </si>
  <si>
    <t>MCC</t>
  </si>
  <si>
    <t>MMB</t>
  </si>
  <si>
    <t>MMC</t>
  </si>
  <si>
    <t>RDB</t>
  </si>
  <si>
    <t>RDC</t>
  </si>
  <si>
    <t>RCB</t>
  </si>
  <si>
    <t>RCC</t>
  </si>
  <si>
    <t>RMB</t>
  </si>
  <si>
    <t>RMC</t>
  </si>
  <si>
    <t>AFB</t>
  </si>
  <si>
    <t>AEB</t>
  </si>
  <si>
    <t>LFA</t>
  </si>
  <si>
    <t>LEA</t>
  </si>
  <si>
    <t>MFA</t>
  </si>
  <si>
    <t>MEA</t>
  </si>
  <si>
    <t>RFA</t>
  </si>
  <si>
    <t>REA</t>
  </si>
  <si>
    <t>LHA</t>
  </si>
  <si>
    <t>LGA</t>
  </si>
  <si>
    <t>MHA</t>
  </si>
  <si>
    <t>MGA</t>
  </si>
  <si>
    <t>RHA</t>
  </si>
  <si>
    <t>RGA</t>
  </si>
  <si>
    <t>LPG</t>
    <phoneticPr fontId="2"/>
  </si>
  <si>
    <t>減車台数</t>
    <rPh sb="0" eb="2">
      <t>ゲンシャ</t>
    </rPh>
    <rPh sb="2" eb="4">
      <t>ダイスウ</t>
    </rPh>
    <phoneticPr fontId="2"/>
  </si>
  <si>
    <t>新規使用台数</t>
    <rPh sb="0" eb="2">
      <t>シンキ</t>
    </rPh>
    <rPh sb="2" eb="4">
      <t>シヨウ</t>
    </rPh>
    <rPh sb="4" eb="6">
      <t>ダイスウ</t>
    </rPh>
    <phoneticPr fontId="2"/>
  </si>
  <si>
    <t>貼り付け用</t>
    <rPh sb="0" eb="1">
      <t>ハ</t>
    </rPh>
    <rPh sb="2" eb="3">
      <t>ツ</t>
    </rPh>
    <rPh sb="4" eb="5">
      <t>ヨウ</t>
    </rPh>
    <phoneticPr fontId="2"/>
  </si>
  <si>
    <t>（あ）</t>
    <phoneticPr fontId="2"/>
  </si>
  <si>
    <t>（い）</t>
    <phoneticPr fontId="2"/>
  </si>
  <si>
    <t>（く）</t>
    <phoneticPr fontId="2"/>
  </si>
  <si>
    <t>（け）</t>
    <phoneticPr fontId="2"/>
  </si>
  <si>
    <t>（こ）</t>
    <phoneticPr fontId="2"/>
  </si>
  <si>
    <t>（さ）</t>
    <phoneticPr fontId="2"/>
  </si>
  <si>
    <t>（し）</t>
    <phoneticPr fontId="2"/>
  </si>
  <si>
    <t>（す）</t>
    <phoneticPr fontId="2"/>
  </si>
  <si>
    <t>（せ）</t>
    <phoneticPr fontId="2"/>
  </si>
  <si>
    <t>（そ）</t>
    <phoneticPr fontId="2"/>
  </si>
  <si>
    <t>（た）</t>
    <phoneticPr fontId="2"/>
  </si>
  <si>
    <t>（ち）</t>
    <phoneticPr fontId="2"/>
  </si>
  <si>
    <t>（つ）</t>
    <phoneticPr fontId="2"/>
  </si>
  <si>
    <t>（て）</t>
    <phoneticPr fontId="2"/>
  </si>
  <si>
    <t>（と）</t>
    <phoneticPr fontId="2"/>
  </si>
  <si>
    <t>（な）</t>
    <phoneticPr fontId="2"/>
  </si>
  <si>
    <t>（に）</t>
    <phoneticPr fontId="2"/>
  </si>
  <si>
    <t>（ぬ）</t>
    <phoneticPr fontId="2"/>
  </si>
  <si>
    <t>◎必須</t>
    <rPh sb="1" eb="3">
      <t>ヒッス</t>
    </rPh>
    <phoneticPr fontId="15"/>
  </si>
  <si>
    <t>日</t>
    <rPh sb="0" eb="1">
      <t>ニチ</t>
    </rPh>
    <phoneticPr fontId="2"/>
  </si>
  <si>
    <t>シート名</t>
    <rPh sb="3" eb="4">
      <t>メイ</t>
    </rPh>
    <phoneticPr fontId="15"/>
  </si>
  <si>
    <t>内容</t>
    <rPh sb="0" eb="2">
      <t>ナイヨウ</t>
    </rPh>
    <phoneticPr fontId="15"/>
  </si>
  <si>
    <t>事業所について</t>
    <rPh sb="0" eb="3">
      <t>ジギョウショ</t>
    </rPh>
    <phoneticPr fontId="15"/>
  </si>
  <si>
    <t>車両台帳</t>
    <rPh sb="0" eb="2">
      <t>シャリョウ</t>
    </rPh>
    <rPh sb="2" eb="4">
      <t>ダイチョウ</t>
    </rPh>
    <phoneticPr fontId="15"/>
  </si>
  <si>
    <t>実施項目</t>
    <rPh sb="0" eb="2">
      <t>ジッシ</t>
    </rPh>
    <rPh sb="2" eb="4">
      <t>コウモク</t>
    </rPh>
    <phoneticPr fontId="15"/>
  </si>
  <si>
    <t>計画項目</t>
    <rPh sb="0" eb="2">
      <t>ケイカク</t>
    </rPh>
    <rPh sb="2" eb="4">
      <t>コウモク</t>
    </rPh>
    <phoneticPr fontId="15"/>
  </si>
  <si>
    <t>■排出量の目標等</t>
    <rPh sb="1" eb="3">
      <t>ハイシュツ</t>
    </rPh>
    <rPh sb="3" eb="4">
      <t>リョウ</t>
    </rPh>
    <rPh sb="5" eb="8">
      <t>モクヒョウトウ</t>
    </rPh>
    <phoneticPr fontId="2"/>
  </si>
  <si>
    <t>■特定自動車代替計画、排出ガス低減装置装着計画</t>
    <rPh sb="1" eb="3">
      <t>トクテイ</t>
    </rPh>
    <rPh sb="8" eb="10">
      <t>ケイカク</t>
    </rPh>
    <rPh sb="11" eb="13">
      <t>ハイシュツ</t>
    </rPh>
    <rPh sb="15" eb="17">
      <t>テイゲン</t>
    </rPh>
    <rPh sb="17" eb="19">
      <t>ソウチ</t>
    </rPh>
    <rPh sb="19" eb="21">
      <t>ソウチャク</t>
    </rPh>
    <rPh sb="21" eb="23">
      <t>ケイカク</t>
    </rPh>
    <phoneticPr fontId="2"/>
  </si>
  <si>
    <t>■適正運転の実施等及び車両走行量の削減の計画</t>
    <rPh sb="1" eb="3">
      <t>テキセイ</t>
    </rPh>
    <rPh sb="3" eb="5">
      <t>ウンテン</t>
    </rPh>
    <rPh sb="6" eb="8">
      <t>ジッシ</t>
    </rPh>
    <rPh sb="8" eb="9">
      <t>トウ</t>
    </rPh>
    <rPh sb="9" eb="10">
      <t>オヨ</t>
    </rPh>
    <rPh sb="11" eb="13">
      <t>シャリョウ</t>
    </rPh>
    <rPh sb="13" eb="16">
      <t>ソウコウリョウ</t>
    </rPh>
    <rPh sb="17" eb="19">
      <t>サクゲン</t>
    </rPh>
    <rPh sb="20" eb="22">
      <t>ケイカク</t>
    </rPh>
    <phoneticPr fontId="2"/>
  </si>
  <si>
    <t>■特定自動車の状況</t>
    <rPh sb="1" eb="3">
      <t>トクテイ</t>
    </rPh>
    <rPh sb="3" eb="6">
      <t>ジドウシャ</t>
    </rPh>
    <rPh sb="7" eb="9">
      <t>ジョウキョウ</t>
    </rPh>
    <phoneticPr fontId="2"/>
  </si>
  <si>
    <t>■適正運転の実施等及び車両走行量の削減の実施状況</t>
    <rPh sb="1" eb="3">
      <t>テキセイ</t>
    </rPh>
    <rPh sb="3" eb="5">
      <t>ウンテン</t>
    </rPh>
    <rPh sb="6" eb="8">
      <t>ジッシ</t>
    </rPh>
    <rPh sb="8" eb="9">
      <t>トウ</t>
    </rPh>
    <rPh sb="9" eb="10">
      <t>オヨ</t>
    </rPh>
    <rPh sb="11" eb="13">
      <t>シャリョウ</t>
    </rPh>
    <rPh sb="13" eb="16">
      <t>ソウコウリョウ</t>
    </rPh>
    <rPh sb="17" eb="19">
      <t>サクゲン</t>
    </rPh>
    <rPh sb="20" eb="22">
      <t>ジッシ</t>
    </rPh>
    <rPh sb="22" eb="24">
      <t>ジョウキョウ</t>
    </rPh>
    <phoneticPr fontId="2"/>
  </si>
  <si>
    <t>■排出量の実績等（参考）</t>
    <rPh sb="1" eb="3">
      <t>ハイシュツ</t>
    </rPh>
    <rPh sb="3" eb="4">
      <t>リョウ</t>
    </rPh>
    <rPh sb="5" eb="8">
      <t>ジッセキナド</t>
    </rPh>
    <rPh sb="9" eb="11">
      <t>サンコウ</t>
    </rPh>
    <phoneticPr fontId="2"/>
  </si>
  <si>
    <t>■特定自動車代替、排出ガス低減装置装着状況（実績）</t>
    <rPh sb="1" eb="3">
      <t>トクテイ</t>
    </rPh>
    <rPh sb="3" eb="6">
      <t>ジドウシャ</t>
    </rPh>
    <rPh sb="6" eb="8">
      <t>ダイタイ</t>
    </rPh>
    <rPh sb="9" eb="11">
      <t>ハイシュツ</t>
    </rPh>
    <rPh sb="13" eb="15">
      <t>テイゲン</t>
    </rPh>
    <rPh sb="15" eb="17">
      <t>ソウチ</t>
    </rPh>
    <rPh sb="17" eb="19">
      <t>ソウチャク</t>
    </rPh>
    <rPh sb="19" eb="21">
      <t>ジョウキョウ</t>
    </rPh>
    <rPh sb="22" eb="24">
      <t>ジッセキ</t>
    </rPh>
    <phoneticPr fontId="2"/>
  </si>
  <si>
    <t>ハイブリッド(ガソリン)</t>
    <phoneticPr fontId="2"/>
  </si>
  <si>
    <t>ＣＮＧ</t>
    <phoneticPr fontId="15"/>
  </si>
  <si>
    <t>メタノール</t>
    <phoneticPr fontId="15"/>
  </si>
  <si>
    <t>平均燃費については、改善率(%)↓</t>
    <rPh sb="0" eb="2">
      <t>ヘイキン</t>
    </rPh>
    <rPh sb="2" eb="4">
      <t>ネンピ</t>
    </rPh>
    <rPh sb="10" eb="13">
      <t>カイゼンリツ</t>
    </rPh>
    <phoneticPr fontId="2"/>
  </si>
  <si>
    <t>・・・水色は「直接入力」または「プルダウン」から選択してください。</t>
    <rPh sb="3" eb="5">
      <t>ミズイロ</t>
    </rPh>
    <rPh sb="7" eb="9">
      <t>チョクセツ</t>
    </rPh>
    <rPh sb="9" eb="11">
      <t>ニュウリョク</t>
    </rPh>
    <rPh sb="24" eb="26">
      <t>センタク</t>
    </rPh>
    <phoneticPr fontId="2"/>
  </si>
  <si>
    <t>メタノール</t>
    <phoneticPr fontId="15"/>
  </si>
  <si>
    <t>自動車番号</t>
  </si>
  <si>
    <t>・・・白色は記入不要です。</t>
    <rPh sb="3" eb="4">
      <t>シロ</t>
    </rPh>
    <rPh sb="4" eb="5">
      <t>イロ</t>
    </rPh>
    <rPh sb="6" eb="8">
      <t>キニュウ</t>
    </rPh>
    <rPh sb="8" eb="10">
      <t>フヨウ</t>
    </rPh>
    <phoneticPr fontId="2"/>
  </si>
  <si>
    <t>・・・黄色は記入不要です。</t>
    <rPh sb="3" eb="5">
      <t>キイロ</t>
    </rPh>
    <rPh sb="6" eb="8">
      <t>キニュウ</t>
    </rPh>
    <rPh sb="8" eb="10">
      <t>フヨウ</t>
    </rPh>
    <phoneticPr fontId="2"/>
  </si>
  <si>
    <t>・・・灰色は記入不要です。</t>
    <rPh sb="3" eb="5">
      <t>ハイイロ</t>
    </rPh>
    <rPh sb="6" eb="8">
      <t>キニュウ</t>
    </rPh>
    <rPh sb="8" eb="10">
      <t>フヨウ</t>
    </rPh>
    <phoneticPr fontId="2"/>
  </si>
  <si>
    <t>（代表者肩書き　氏名）</t>
    <phoneticPr fontId="2"/>
  </si>
  <si>
    <t>使用本拠地の別</t>
    <rPh sb="0" eb="2">
      <t>シヨウ</t>
    </rPh>
    <rPh sb="2" eb="4">
      <t>ホンキョ</t>
    </rPh>
    <rPh sb="4" eb="5">
      <t>チ</t>
    </rPh>
    <rPh sb="6" eb="7">
      <t>ベツ</t>
    </rPh>
    <phoneticPr fontId="2"/>
  </si>
  <si>
    <t>定員の値</t>
    <rPh sb="0" eb="2">
      <t>テイイン</t>
    </rPh>
    <rPh sb="3" eb="4">
      <t>アタイ</t>
    </rPh>
    <phoneticPr fontId="2"/>
  </si>
  <si>
    <t>燃料電池</t>
    <rPh sb="0" eb="2">
      <t>ネンリョウ</t>
    </rPh>
    <rPh sb="2" eb="4">
      <t>デンチ</t>
    </rPh>
    <phoneticPr fontId="2"/>
  </si>
  <si>
    <t>うち排出ガス低減装置装着車の合計</t>
    <rPh sb="2" eb="4">
      <t>ハイシュツ</t>
    </rPh>
    <rPh sb="6" eb="8">
      <t>テイゲン</t>
    </rPh>
    <rPh sb="8" eb="10">
      <t>ソウチ</t>
    </rPh>
    <rPh sb="10" eb="12">
      <t>ソウチャク</t>
    </rPh>
    <rPh sb="12" eb="13">
      <t>シャ</t>
    </rPh>
    <phoneticPr fontId="2"/>
  </si>
  <si>
    <t>年</t>
    <rPh sb="0" eb="1">
      <t>ネン</t>
    </rPh>
    <phoneticPr fontId="2"/>
  </si>
  <si>
    <t>平成</t>
    <rPh sb="0" eb="2">
      <t>ヘイセイ</t>
    </rPh>
    <phoneticPr fontId="2"/>
  </si>
  <si>
    <t>合計</t>
    <rPh sb="0" eb="2">
      <t>ゴウケイ</t>
    </rPh>
    <phoneticPr fontId="2"/>
  </si>
  <si>
    <t>車両の維持管理</t>
    <rPh sb="0" eb="2">
      <t>シャリョウ</t>
    </rPh>
    <rPh sb="3" eb="5">
      <t>イジ</t>
    </rPh>
    <rPh sb="5" eb="7">
      <t>カンリ</t>
    </rPh>
    <phoneticPr fontId="2"/>
  </si>
  <si>
    <t>日常点検・整備マニュアルの作成、配布</t>
    <rPh sb="0" eb="2">
      <t>ニチジョウ</t>
    </rPh>
    <rPh sb="2" eb="4">
      <t>テンケン</t>
    </rPh>
    <rPh sb="5" eb="7">
      <t>セイビ</t>
    </rPh>
    <rPh sb="13" eb="15">
      <t>サクセイ</t>
    </rPh>
    <rPh sb="16" eb="18">
      <t>ハイフ</t>
    </rPh>
    <phoneticPr fontId="2"/>
  </si>
  <si>
    <t>日常点検・整備に関する教育、訓練の実施</t>
    <rPh sb="0" eb="2">
      <t>ニチジョウ</t>
    </rPh>
    <rPh sb="2" eb="4">
      <t>テンケン</t>
    </rPh>
    <rPh sb="5" eb="7">
      <t>セイビ</t>
    </rPh>
    <rPh sb="8" eb="9">
      <t>カン</t>
    </rPh>
    <rPh sb="11" eb="13">
      <t>キョウイク</t>
    </rPh>
    <rPh sb="14" eb="16">
      <t>クンレン</t>
    </rPh>
    <rPh sb="17" eb="19">
      <t>ジッシ</t>
    </rPh>
    <phoneticPr fontId="2"/>
  </si>
  <si>
    <t>日々の始業点検・定期点検の完全実施</t>
    <rPh sb="0" eb="2">
      <t>ヒビ</t>
    </rPh>
    <rPh sb="3" eb="5">
      <t>シギョウ</t>
    </rPh>
    <rPh sb="5" eb="7">
      <t>テンケン</t>
    </rPh>
    <rPh sb="8" eb="10">
      <t>テイキ</t>
    </rPh>
    <rPh sb="10" eb="12">
      <t>テンケン</t>
    </rPh>
    <rPh sb="13" eb="15">
      <t>カンゼン</t>
    </rPh>
    <rPh sb="15" eb="17">
      <t>ジッシ</t>
    </rPh>
    <phoneticPr fontId="2"/>
  </si>
  <si>
    <t>エアークリーナーの定期的な点検</t>
    <rPh sb="9" eb="12">
      <t>テイキテキ</t>
    </rPh>
    <rPh sb="13" eb="15">
      <t>テンケン</t>
    </rPh>
    <phoneticPr fontId="2"/>
  </si>
  <si>
    <t>運転日報の作成</t>
    <rPh sb="0" eb="2">
      <t>ウンテン</t>
    </rPh>
    <rPh sb="2" eb="4">
      <t>ニッポウ</t>
    </rPh>
    <rPh sb="5" eb="7">
      <t>サクセイ</t>
    </rPh>
    <phoneticPr fontId="2"/>
  </si>
  <si>
    <t>共同輸配送の促進</t>
    <rPh sb="0" eb="2">
      <t>キョウドウ</t>
    </rPh>
    <rPh sb="2" eb="3">
      <t>ユ</t>
    </rPh>
    <rPh sb="3" eb="5">
      <t>ハイソウ</t>
    </rPh>
    <rPh sb="6" eb="8">
      <t>ソクシン</t>
    </rPh>
    <phoneticPr fontId="2"/>
  </si>
  <si>
    <t>物資の集荷、仕分け業務の共同化（積載効率、輸送効率の向上）</t>
    <rPh sb="0" eb="2">
      <t>ブッシ</t>
    </rPh>
    <rPh sb="3" eb="5">
      <t>シュウカ</t>
    </rPh>
    <rPh sb="6" eb="8">
      <t>シワ</t>
    </rPh>
    <rPh sb="9" eb="11">
      <t>ギョウム</t>
    </rPh>
    <rPh sb="12" eb="14">
      <t>キョウドウ</t>
    </rPh>
    <rPh sb="14" eb="15">
      <t>カ</t>
    </rPh>
    <rPh sb="16" eb="18">
      <t>セキサイ</t>
    </rPh>
    <rPh sb="18" eb="20">
      <t>コウリツ</t>
    </rPh>
    <rPh sb="21" eb="23">
      <t>ユソウ</t>
    </rPh>
    <rPh sb="23" eb="25">
      <t>コウリツ</t>
    </rPh>
    <rPh sb="26" eb="28">
      <t>コウジョウ</t>
    </rPh>
    <phoneticPr fontId="2"/>
  </si>
  <si>
    <t>配送業務の共同化（輸送距離、使用車両の削減）</t>
    <rPh sb="0" eb="2">
      <t>ハイソウ</t>
    </rPh>
    <rPh sb="2" eb="4">
      <t>ギョウム</t>
    </rPh>
    <rPh sb="5" eb="7">
      <t>キョウドウ</t>
    </rPh>
    <rPh sb="7" eb="8">
      <t>カ</t>
    </rPh>
    <rPh sb="9" eb="11">
      <t>ユソウ</t>
    </rPh>
    <rPh sb="11" eb="13">
      <t>キョリ</t>
    </rPh>
    <rPh sb="14" eb="16">
      <t>シヨウ</t>
    </rPh>
    <rPh sb="16" eb="18">
      <t>シャリョウ</t>
    </rPh>
    <rPh sb="19" eb="21">
      <t>サクゲン</t>
    </rPh>
    <phoneticPr fontId="2"/>
  </si>
  <si>
    <t>帰り荷の確保</t>
    <rPh sb="0" eb="1">
      <t>カエ</t>
    </rPh>
    <rPh sb="2" eb="3">
      <t>ニ</t>
    </rPh>
    <rPh sb="4" eb="6">
      <t>カクホ</t>
    </rPh>
    <phoneticPr fontId="2"/>
  </si>
  <si>
    <t>配送と集荷を１台で実施できるように工夫</t>
    <rPh sb="0" eb="2">
      <t>ハイソウ</t>
    </rPh>
    <rPh sb="3" eb="5">
      <t>シュウカ</t>
    </rPh>
    <rPh sb="7" eb="8">
      <t>ダイ</t>
    </rPh>
    <rPh sb="9" eb="11">
      <t>ジッシ</t>
    </rPh>
    <rPh sb="17" eb="19">
      <t>クフウ</t>
    </rPh>
    <phoneticPr fontId="2"/>
  </si>
  <si>
    <t>ジャスト・イン・タイムサービスの改善</t>
    <rPh sb="16" eb="18">
      <t>カイゼン</t>
    </rPh>
    <phoneticPr fontId="2"/>
  </si>
  <si>
    <t>時間指定配送の回数の低減を要請</t>
    <rPh sb="0" eb="2">
      <t>ジカン</t>
    </rPh>
    <rPh sb="2" eb="4">
      <t>シテイ</t>
    </rPh>
    <rPh sb="4" eb="6">
      <t>ハイソウ</t>
    </rPh>
    <rPh sb="7" eb="9">
      <t>カイスウ</t>
    </rPh>
    <rPh sb="10" eb="12">
      <t>テイゲン</t>
    </rPh>
    <rPh sb="13" eb="15">
      <t>ヨウセイ</t>
    </rPh>
    <phoneticPr fontId="2"/>
  </si>
  <si>
    <t>受注時間と配送時間のルール化</t>
    <rPh sb="0" eb="2">
      <t>ジュチュウ</t>
    </rPh>
    <rPh sb="2" eb="4">
      <t>ジカン</t>
    </rPh>
    <rPh sb="5" eb="7">
      <t>ハイソウ</t>
    </rPh>
    <rPh sb="7" eb="9">
      <t>ジカン</t>
    </rPh>
    <rPh sb="13" eb="14">
      <t>カ</t>
    </rPh>
    <phoneticPr fontId="2"/>
  </si>
  <si>
    <t>受注時間と配送時間の設定（ルール化）</t>
    <rPh sb="0" eb="2">
      <t>ジュチュウ</t>
    </rPh>
    <rPh sb="2" eb="4">
      <t>ジカン</t>
    </rPh>
    <rPh sb="5" eb="7">
      <t>ハイソウ</t>
    </rPh>
    <rPh sb="7" eb="9">
      <t>ジカン</t>
    </rPh>
    <rPh sb="10" eb="12">
      <t>セッテイ</t>
    </rPh>
    <rPh sb="16" eb="17">
      <t>カ</t>
    </rPh>
    <phoneticPr fontId="2"/>
  </si>
  <si>
    <t>緊急配送をできるだけ避ける（随時配送の廃止）</t>
    <rPh sb="0" eb="2">
      <t>キンキュウ</t>
    </rPh>
    <rPh sb="2" eb="4">
      <t>ハイソウ</t>
    </rPh>
    <rPh sb="10" eb="11">
      <t>サ</t>
    </rPh>
    <rPh sb="14" eb="16">
      <t>ズイジ</t>
    </rPh>
    <rPh sb="16" eb="18">
      <t>ハイソウ</t>
    </rPh>
    <rPh sb="19" eb="21">
      <t>ハイシ</t>
    </rPh>
    <phoneticPr fontId="2"/>
  </si>
  <si>
    <t>検品の簡略化</t>
    <rPh sb="0" eb="1">
      <t>ケン</t>
    </rPh>
    <rPh sb="1" eb="2">
      <t>ヒン</t>
    </rPh>
    <rPh sb="3" eb="5">
      <t>カンリャク</t>
    </rPh>
    <rPh sb="5" eb="6">
      <t>カ</t>
    </rPh>
    <phoneticPr fontId="2"/>
  </si>
  <si>
    <t>検品のルーチン化による時間の短縮</t>
    <rPh sb="0" eb="1">
      <t>ケン</t>
    </rPh>
    <rPh sb="1" eb="2">
      <t>ヒン</t>
    </rPh>
    <rPh sb="7" eb="8">
      <t>カ</t>
    </rPh>
    <rPh sb="11" eb="13">
      <t>ジカン</t>
    </rPh>
    <rPh sb="14" eb="16">
      <t>タンシュク</t>
    </rPh>
    <phoneticPr fontId="2"/>
  </si>
  <si>
    <t>道路混雑時の輸配送の見直し等</t>
    <rPh sb="0" eb="2">
      <t>ドウロ</t>
    </rPh>
    <rPh sb="2" eb="4">
      <t>コンザツ</t>
    </rPh>
    <rPh sb="4" eb="5">
      <t>ジ</t>
    </rPh>
    <rPh sb="6" eb="7">
      <t>ユ</t>
    </rPh>
    <rPh sb="7" eb="9">
      <t>ハイソウ</t>
    </rPh>
    <rPh sb="10" eb="12">
      <t>ミナオ</t>
    </rPh>
    <rPh sb="13" eb="14">
      <t>ナド</t>
    </rPh>
    <phoneticPr fontId="2"/>
  </si>
  <si>
    <t>氏名　（又は　名称）</t>
    <rPh sb="0" eb="2">
      <t>シメイ</t>
    </rPh>
    <rPh sb="4" eb="5">
      <t>マタ</t>
    </rPh>
    <rPh sb="7" eb="9">
      <t>メイショウ</t>
    </rPh>
    <phoneticPr fontId="2"/>
  </si>
  <si>
    <t>１年間の給油量を燃料ごとの単位で記入（コメント参照）</t>
    <rPh sb="4" eb="6">
      <t>キュウユ</t>
    </rPh>
    <rPh sb="6" eb="7">
      <t>リョウ</t>
    </rPh>
    <rPh sb="8" eb="10">
      <t>ネンリョウ</t>
    </rPh>
    <rPh sb="23" eb="25">
      <t>サンショウ</t>
    </rPh>
    <phoneticPr fontId="2"/>
  </si>
  <si>
    <t>車両番号</t>
    <rPh sb="0" eb="2">
      <t>シャリョウ</t>
    </rPh>
    <rPh sb="2" eb="4">
      <t>バンゴウ</t>
    </rPh>
    <phoneticPr fontId="2"/>
  </si>
  <si>
    <t>NOx・PM低減</t>
    <rPh sb="6" eb="8">
      <t>テイゲン</t>
    </rPh>
    <phoneticPr fontId="2"/>
  </si>
  <si>
    <t>該当地域に「○」が入力されます</t>
    <rPh sb="0" eb="2">
      <t>ガイトウ</t>
    </rPh>
    <rPh sb="2" eb="4">
      <t>チイキ</t>
    </rPh>
    <rPh sb="9" eb="11">
      <t>ニュウリョク</t>
    </rPh>
    <phoneticPr fontId="2"/>
  </si>
  <si>
    <t>●セルの入力について</t>
    <rPh sb="4" eb="6">
      <t>ニュウリョク</t>
    </rPh>
    <phoneticPr fontId="15"/>
  </si>
  <si>
    <t>　セルの色で入力すべき場所を示しています。</t>
    <rPh sb="4" eb="5">
      <t>イロ</t>
    </rPh>
    <rPh sb="6" eb="8">
      <t>ニュウリョク</t>
    </rPh>
    <rPh sb="11" eb="13">
      <t>バショ</t>
    </rPh>
    <rPh sb="14" eb="15">
      <t>シメ</t>
    </rPh>
    <phoneticPr fontId="2"/>
  </si>
  <si>
    <t>●保存するときのファイル名について</t>
    <rPh sb="1" eb="3">
      <t>ホゾン</t>
    </rPh>
    <rPh sb="12" eb="13">
      <t>メイ</t>
    </rPh>
    <phoneticPr fontId="15"/>
  </si>
  <si>
    <t>朝夕ラッシュ時の配送を昼間配送に振替</t>
    <rPh sb="0" eb="2">
      <t>アサユウ</t>
    </rPh>
    <rPh sb="6" eb="7">
      <t>ジ</t>
    </rPh>
    <rPh sb="8" eb="10">
      <t>ハイソウ</t>
    </rPh>
    <rPh sb="11" eb="13">
      <t>ヒルマ</t>
    </rPh>
    <rPh sb="13" eb="15">
      <t>ハイソウ</t>
    </rPh>
    <rPh sb="16" eb="18">
      <t>フリカエ</t>
    </rPh>
    <phoneticPr fontId="2"/>
  </si>
  <si>
    <t>積載効率が低い土曜日、日曜日の車両使用の削減</t>
    <rPh sb="0" eb="2">
      <t>セキサイ</t>
    </rPh>
    <rPh sb="2" eb="4">
      <t>コウリツ</t>
    </rPh>
    <rPh sb="5" eb="6">
      <t>ヒク</t>
    </rPh>
    <rPh sb="7" eb="10">
      <t>ドヨウビ</t>
    </rPh>
    <rPh sb="11" eb="14">
      <t>ニチヨウビ</t>
    </rPh>
    <rPh sb="15" eb="17">
      <t>シャリョウ</t>
    </rPh>
    <rPh sb="17" eb="19">
      <t>シヨウ</t>
    </rPh>
    <rPh sb="20" eb="22">
      <t>サクゲン</t>
    </rPh>
    <phoneticPr fontId="2"/>
  </si>
  <si>
    <t>商品の標準化等</t>
    <rPh sb="0" eb="2">
      <t>ショウヒン</t>
    </rPh>
    <rPh sb="3" eb="6">
      <t>ヒョウジュンカ</t>
    </rPh>
    <rPh sb="6" eb="7">
      <t>ナド</t>
    </rPh>
    <phoneticPr fontId="2"/>
  </si>
  <si>
    <t>積み合わせを容易にするため商品荷姿を標準化</t>
    <rPh sb="0" eb="1">
      <t>ツ</t>
    </rPh>
    <rPh sb="2" eb="3">
      <t>ア</t>
    </rPh>
    <rPh sb="6" eb="8">
      <t>ヨウイ</t>
    </rPh>
    <rPh sb="13" eb="15">
      <t>ショウヒン</t>
    </rPh>
    <rPh sb="15" eb="16">
      <t>ニ</t>
    </rPh>
    <rPh sb="16" eb="17">
      <t>スガタ</t>
    </rPh>
    <rPh sb="18" eb="20">
      <t>ヒョウジュン</t>
    </rPh>
    <rPh sb="20" eb="21">
      <t>カ</t>
    </rPh>
    <phoneticPr fontId="2"/>
  </si>
  <si>
    <t>モーダルシフトの推進</t>
    <rPh sb="8" eb="10">
      <t>スイシン</t>
    </rPh>
    <phoneticPr fontId="2"/>
  </si>
  <si>
    <t>鉄道輸送の活用</t>
    <rPh sb="0" eb="2">
      <t>テツドウ</t>
    </rPh>
    <rPh sb="2" eb="4">
      <t>ユソウ</t>
    </rPh>
    <rPh sb="5" eb="7">
      <t>カツヨウ</t>
    </rPh>
    <phoneticPr fontId="2"/>
  </si>
  <si>
    <t>海運の活用</t>
    <rPh sb="0" eb="2">
      <t>カイウン</t>
    </rPh>
    <rPh sb="3" eb="5">
      <t>カツヨウ</t>
    </rPh>
    <phoneticPr fontId="2"/>
  </si>
  <si>
    <t>公共交通機関の利用の促進</t>
    <rPh sb="0" eb="2">
      <t>コウキョウ</t>
    </rPh>
    <rPh sb="2" eb="4">
      <t>コウツウ</t>
    </rPh>
    <rPh sb="4" eb="6">
      <t>キカン</t>
    </rPh>
    <rPh sb="7" eb="9">
      <t>リヨウ</t>
    </rPh>
    <rPh sb="10" eb="12">
      <t>ソクシン</t>
    </rPh>
    <phoneticPr fontId="2"/>
  </si>
  <si>
    <t>鉄道、バス等の公共交通機関の利用</t>
    <rPh sb="0" eb="2">
      <t>テツドウ</t>
    </rPh>
    <rPh sb="5" eb="6">
      <t>トウ</t>
    </rPh>
    <rPh sb="7" eb="9">
      <t>コウキョウ</t>
    </rPh>
    <rPh sb="9" eb="11">
      <t>コウツウ</t>
    </rPh>
    <rPh sb="11" eb="13">
      <t>キカン</t>
    </rPh>
    <rPh sb="14" eb="16">
      <t>リヨウ</t>
    </rPh>
    <phoneticPr fontId="2"/>
  </si>
  <si>
    <t>自転車、徒歩による移動</t>
    <rPh sb="0" eb="3">
      <t>ジテンシャ</t>
    </rPh>
    <rPh sb="4" eb="6">
      <t>トホ</t>
    </rPh>
    <rPh sb="9" eb="11">
      <t>イドウ</t>
    </rPh>
    <phoneticPr fontId="2"/>
  </si>
  <si>
    <t>マイカー通勤の禁止</t>
    <rPh sb="4" eb="6">
      <t>ツウキン</t>
    </rPh>
    <rPh sb="7" eb="9">
      <t>キンシ</t>
    </rPh>
    <phoneticPr fontId="2"/>
  </si>
  <si>
    <t>カーシェアリングの導入</t>
    <rPh sb="9" eb="11">
      <t>ドウニュウ</t>
    </rPh>
    <phoneticPr fontId="2"/>
  </si>
  <si>
    <t>物流施設の高度化、物流拠点の整備等</t>
    <rPh sb="0" eb="2">
      <t>ブツリュウ</t>
    </rPh>
    <rPh sb="2" eb="4">
      <t>シセツ</t>
    </rPh>
    <rPh sb="5" eb="8">
      <t>コウドカ</t>
    </rPh>
    <rPh sb="9" eb="11">
      <t>ブツリュウ</t>
    </rPh>
    <rPh sb="11" eb="13">
      <t>キョテン</t>
    </rPh>
    <rPh sb="14" eb="16">
      <t>セイビ</t>
    </rPh>
    <rPh sb="16" eb="17">
      <t>ナド</t>
    </rPh>
    <phoneticPr fontId="2"/>
  </si>
  <si>
    <t>既存施設の機械化・自動化など</t>
    <rPh sb="0" eb="2">
      <t>キゾン</t>
    </rPh>
    <rPh sb="2" eb="4">
      <t>シセツ</t>
    </rPh>
    <rPh sb="5" eb="7">
      <t>キカイ</t>
    </rPh>
    <rPh sb="7" eb="8">
      <t>カ</t>
    </rPh>
    <rPh sb="9" eb="12">
      <t>ジドウカ</t>
    </rPh>
    <phoneticPr fontId="2"/>
  </si>
  <si>
    <t>荷受け、仕分け業務の効率化のための物流拠点の整備</t>
    <rPh sb="0" eb="2">
      <t>ニウ</t>
    </rPh>
    <rPh sb="4" eb="6">
      <t>シワ</t>
    </rPh>
    <rPh sb="7" eb="9">
      <t>ギョウム</t>
    </rPh>
    <rPh sb="10" eb="13">
      <t>コウリツカ</t>
    </rPh>
    <rPh sb="17" eb="19">
      <t>ブツリュウ</t>
    </rPh>
    <rPh sb="19" eb="21">
      <t>キョテン</t>
    </rPh>
    <rPh sb="22" eb="24">
      <t>セイビ</t>
    </rPh>
    <phoneticPr fontId="2"/>
  </si>
  <si>
    <t>荷捌き場、駐停車場所、運転手控室などの整備</t>
    <rPh sb="0" eb="1">
      <t>ニ</t>
    </rPh>
    <rPh sb="1" eb="2">
      <t>サバ</t>
    </rPh>
    <rPh sb="3" eb="4">
      <t>ジョウ</t>
    </rPh>
    <rPh sb="5" eb="8">
      <t>チュウテイシャ</t>
    </rPh>
    <rPh sb="8" eb="10">
      <t>バショ</t>
    </rPh>
    <rPh sb="11" eb="14">
      <t>ウンテンシュ</t>
    </rPh>
    <rPh sb="14" eb="16">
      <t>ヒカエシツ</t>
    </rPh>
    <rPh sb="19" eb="21">
      <t>セイビ</t>
    </rPh>
    <phoneticPr fontId="2"/>
  </si>
  <si>
    <t>路上駐停車の自粛</t>
    <rPh sb="0" eb="2">
      <t>ロジョウ</t>
    </rPh>
    <rPh sb="2" eb="5">
      <t>チュウテイシャ</t>
    </rPh>
    <rPh sb="6" eb="8">
      <t>ジシュク</t>
    </rPh>
    <phoneticPr fontId="2"/>
  </si>
  <si>
    <t>その他</t>
    <rPh sb="2" eb="3">
      <t>タ</t>
    </rPh>
    <phoneticPr fontId="2"/>
  </si>
  <si>
    <t>ISO14001の認証を取得</t>
    <rPh sb="9" eb="11">
      <t>ニンショウ</t>
    </rPh>
    <rPh sb="12" eb="14">
      <t>シュトク</t>
    </rPh>
    <phoneticPr fontId="2"/>
  </si>
  <si>
    <t>エコアクション21等の環境マネジメントシステムの認証を取得</t>
    <rPh sb="9" eb="10">
      <t>トウ</t>
    </rPh>
    <rPh sb="11" eb="13">
      <t>カンキョウ</t>
    </rPh>
    <rPh sb="24" eb="26">
      <t>ニンショウ</t>
    </rPh>
    <rPh sb="27" eb="29">
      <t>シュトク</t>
    </rPh>
    <phoneticPr fontId="2"/>
  </si>
  <si>
    <t>グリーン経営認証の取得</t>
    <rPh sb="4" eb="6">
      <t>ケイエイ</t>
    </rPh>
    <rPh sb="6" eb="8">
      <t>ニンショウ</t>
    </rPh>
    <rPh sb="9" eb="11">
      <t>シュトク</t>
    </rPh>
    <phoneticPr fontId="2"/>
  </si>
  <si>
    <t>環境報告書の作成</t>
    <rPh sb="0" eb="2">
      <t>カンキョウ</t>
    </rPh>
    <rPh sb="2" eb="5">
      <t>ホウコクショ</t>
    </rPh>
    <rPh sb="6" eb="8">
      <t>サクセイ</t>
    </rPh>
    <phoneticPr fontId="2"/>
  </si>
  <si>
    <t>Ｄ自動車の種別</t>
    <rPh sb="1" eb="4">
      <t>ジドウシャ</t>
    </rPh>
    <rPh sb="5" eb="7">
      <t>シュベツ</t>
    </rPh>
    <phoneticPr fontId="2"/>
  </si>
  <si>
    <t>Ｅ用途</t>
    <rPh sb="1" eb="3">
      <t>ヨウト</t>
    </rPh>
    <phoneticPr fontId="2"/>
  </si>
  <si>
    <t>K燃料の種類</t>
    <rPh sb="1" eb="3">
      <t>ネンリョウ</t>
    </rPh>
    <rPh sb="4" eb="6">
      <t>シュルイ</t>
    </rPh>
    <phoneticPr fontId="2"/>
  </si>
  <si>
    <t>Ｌ低公害車区分</t>
    <rPh sb="1" eb="4">
      <t>テイコウガイ</t>
    </rPh>
    <rPh sb="4" eb="5">
      <t>シャ</t>
    </rPh>
    <rPh sb="5" eb="7">
      <t>クブン</t>
    </rPh>
    <phoneticPr fontId="2"/>
  </si>
  <si>
    <t>Ｍ排ｶﾞｽ低減ﾚﾍﾞﾙ</t>
    <rPh sb="1" eb="2">
      <t>ハイ</t>
    </rPh>
    <rPh sb="5" eb="7">
      <t>テイゲン</t>
    </rPh>
    <phoneticPr fontId="2"/>
  </si>
  <si>
    <t>番号</t>
    <rPh sb="0" eb="2">
      <t>バンゴウ</t>
    </rPh>
    <phoneticPr fontId="2"/>
  </si>
  <si>
    <t>－</t>
    <phoneticPr fontId="2"/>
  </si>
  <si>
    <t>普通</t>
    <rPh sb="0" eb="2">
      <t>フツウ</t>
    </rPh>
    <phoneticPr fontId="2"/>
  </si>
  <si>
    <t>乗用</t>
    <rPh sb="0" eb="2">
      <t>ジョウヨウ</t>
    </rPh>
    <phoneticPr fontId="2"/>
  </si>
  <si>
    <t>国土</t>
    <rPh sb="0" eb="2">
      <t>コクド</t>
    </rPh>
    <phoneticPr fontId="2"/>
  </si>
  <si>
    <t>済</t>
    <rPh sb="0" eb="1">
      <t>ス</t>
    </rPh>
    <phoneticPr fontId="2"/>
  </si>
  <si>
    <t>小型</t>
    <rPh sb="0" eb="2">
      <t>コガタ</t>
    </rPh>
    <phoneticPr fontId="2"/>
  </si>
  <si>
    <t>特種（乗用ベース）</t>
    <rPh sb="0" eb="2">
      <t>トクシュ</t>
    </rPh>
    <rPh sb="3" eb="5">
      <t>ジョウヨウシャ</t>
    </rPh>
    <phoneticPr fontId="2"/>
  </si>
  <si>
    <t>未</t>
    <rPh sb="0" eb="1">
      <t>ミ</t>
    </rPh>
    <phoneticPr fontId="2"/>
  </si>
  <si>
    <t>乗合</t>
    <rPh sb="0" eb="2">
      <t>ノリアイ</t>
    </rPh>
    <phoneticPr fontId="2"/>
  </si>
  <si>
    <t>特種（乗合ベース）</t>
    <rPh sb="0" eb="2">
      <t>トクシュ</t>
    </rPh>
    <rPh sb="3" eb="4">
      <t>ジョウヨウシャ</t>
    </rPh>
    <rPh sb="4" eb="5">
      <t>ア</t>
    </rPh>
    <phoneticPr fontId="2"/>
  </si>
  <si>
    <t>貨物</t>
    <rPh sb="0" eb="2">
      <t>カモツ</t>
    </rPh>
    <phoneticPr fontId="2"/>
  </si>
  <si>
    <t>特種（貨物ベース）</t>
    <rPh sb="0" eb="2">
      <t>トクシュ</t>
    </rPh>
    <rPh sb="3" eb="5">
      <t>カモツ</t>
    </rPh>
    <phoneticPr fontId="2"/>
  </si>
  <si>
    <t>■添付書類</t>
    <phoneticPr fontId="2"/>
  </si>
  <si>
    <t>●様式について</t>
    <rPh sb="1" eb="3">
      <t>ヨウシキ</t>
    </rPh>
    <phoneticPr fontId="15"/>
  </si>
  <si>
    <t>H10,H11</t>
  </si>
  <si>
    <t>H14</t>
  </si>
  <si>
    <t>H17</t>
  </si>
  <si>
    <t>ACF</t>
  </si>
  <si>
    <t>ADF</t>
  </si>
  <si>
    <t>H15</t>
  </si>
  <si>
    <t>BCF</t>
  </si>
  <si>
    <t>BDF</t>
  </si>
  <si>
    <t>CCF</t>
  </si>
  <si>
    <t>CDF</t>
  </si>
  <si>
    <t>DCF</t>
  </si>
  <si>
    <t>DDF</t>
  </si>
  <si>
    <t>H15,H16</t>
  </si>
  <si>
    <t>「普通」又は「小型」</t>
    <rPh sb="4" eb="5">
      <t>マタ</t>
    </rPh>
    <rPh sb="7" eb="9">
      <t>コガタ</t>
    </rPh>
    <phoneticPr fontId="2"/>
  </si>
  <si>
    <t>「乗用」「貨物」又は「特種」</t>
    <rPh sb="5" eb="7">
      <t>カモツ</t>
    </rPh>
    <rPh sb="8" eb="9">
      <t>マタ</t>
    </rPh>
    <rPh sb="11" eb="13">
      <t>トクシュ</t>
    </rPh>
    <phoneticPr fontId="2"/>
  </si>
  <si>
    <r>
      <t>O NO</t>
    </r>
    <r>
      <rPr>
        <vertAlign val="subscript"/>
        <sz val="11"/>
        <rFont val="ＭＳ Ｐゴシック"/>
        <family val="3"/>
        <charset val="128"/>
      </rPr>
      <t>X</t>
    </r>
    <r>
      <rPr>
        <sz val="11"/>
        <rFont val="ＭＳ Ｐゴシック"/>
        <family val="3"/>
        <charset val="128"/>
      </rPr>
      <t>・PM減少装置装着</t>
    </r>
    <rPh sb="8" eb="10">
      <t>ゲンショウ</t>
    </rPh>
    <rPh sb="10" eb="12">
      <t>ソウチ</t>
    </rPh>
    <rPh sb="12" eb="14">
      <t>ソウチャク</t>
    </rPh>
    <phoneticPr fontId="2"/>
  </si>
  <si>
    <t>P　PM減少装置装着</t>
    <rPh sb="4" eb="6">
      <t>ゲンショウ</t>
    </rPh>
    <rPh sb="6" eb="8">
      <t>ソウチ</t>
    </rPh>
    <rPh sb="8" eb="10">
      <t>ソウチャク</t>
    </rPh>
    <phoneticPr fontId="2"/>
  </si>
  <si>
    <t>その他の小売業</t>
    <rPh sb="2" eb="3">
      <t>タ</t>
    </rPh>
    <rPh sb="4" eb="7">
      <t>コウリギョウ</t>
    </rPh>
    <phoneticPr fontId="2"/>
  </si>
  <si>
    <t>銀行業</t>
    <rPh sb="0" eb="2">
      <t>ギンコウ</t>
    </rPh>
    <rPh sb="2" eb="3">
      <t>ギョウ</t>
    </rPh>
    <phoneticPr fontId="2"/>
  </si>
  <si>
    <t>木材・木製品製造業（家具を除く）</t>
    <rPh sb="0" eb="2">
      <t>モクザイ</t>
    </rPh>
    <rPh sb="3" eb="6">
      <t>モクセイヒン</t>
    </rPh>
    <rPh sb="6" eb="9">
      <t>セイゾウギョウ</t>
    </rPh>
    <rPh sb="10" eb="12">
      <t>カグ</t>
    </rPh>
    <rPh sb="13" eb="14">
      <t>ノゾ</t>
    </rPh>
    <phoneticPr fontId="2"/>
  </si>
  <si>
    <t>協同組織金融業</t>
    <rPh sb="0" eb="2">
      <t>キョウドウ</t>
    </rPh>
    <rPh sb="2" eb="4">
      <t>ソシキ</t>
    </rPh>
    <rPh sb="4" eb="7">
      <t>キンユウギョウ</t>
    </rPh>
    <phoneticPr fontId="2"/>
  </si>
  <si>
    <t>家具・装備品製造業</t>
    <rPh sb="0" eb="2">
      <t>カグ</t>
    </rPh>
    <rPh sb="3" eb="6">
      <t>ソウビヒン</t>
    </rPh>
    <rPh sb="6" eb="9">
      <t>セイゾウギョウ</t>
    </rPh>
    <phoneticPr fontId="2"/>
  </si>
  <si>
    <t>－</t>
  </si>
  <si>
    <t>パルプ・紙・紙加工品製造業</t>
    <rPh sb="4" eb="5">
      <t>カミ</t>
    </rPh>
    <rPh sb="6" eb="7">
      <t>カミ</t>
    </rPh>
    <rPh sb="7" eb="10">
      <t>カコウヒン</t>
    </rPh>
    <rPh sb="10" eb="13">
      <t>セイゾウギョウ</t>
    </rPh>
    <phoneticPr fontId="2"/>
  </si>
  <si>
    <t>印刷・同関連業</t>
    <rPh sb="0" eb="2">
      <t>インサツ</t>
    </rPh>
    <rPh sb="3" eb="4">
      <t>ドウ</t>
    </rPh>
    <rPh sb="4" eb="6">
      <t>カンレン</t>
    </rPh>
    <rPh sb="6" eb="7">
      <t>ギョウ</t>
    </rPh>
    <phoneticPr fontId="2"/>
  </si>
  <si>
    <t>化学工業</t>
    <rPh sb="0" eb="2">
      <t>カガク</t>
    </rPh>
    <rPh sb="2" eb="4">
      <t>コウギョウ</t>
    </rPh>
    <phoneticPr fontId="2"/>
  </si>
  <si>
    <t>石油製品・石炭製品製造業</t>
    <rPh sb="0" eb="2">
      <t>セキユ</t>
    </rPh>
    <rPh sb="2" eb="4">
      <t>セイヒン</t>
    </rPh>
    <rPh sb="5" eb="7">
      <t>セキタン</t>
    </rPh>
    <rPh sb="7" eb="9">
      <t>セイヒン</t>
    </rPh>
    <rPh sb="9" eb="12">
      <t>セイゾウギョウ</t>
    </rPh>
    <phoneticPr fontId="2"/>
  </si>
  <si>
    <t>保険業（保険媒介代理業、保険サービス業を含む）</t>
    <rPh sb="0" eb="2">
      <t>ホケン</t>
    </rPh>
    <rPh sb="2" eb="3">
      <t>ギョウ</t>
    </rPh>
    <rPh sb="4" eb="6">
      <t>ホケン</t>
    </rPh>
    <rPh sb="6" eb="8">
      <t>バイカイ</t>
    </rPh>
    <rPh sb="8" eb="10">
      <t>ダイリ</t>
    </rPh>
    <rPh sb="10" eb="11">
      <t>ギョウ</t>
    </rPh>
    <rPh sb="12" eb="14">
      <t>ホケン</t>
    </rPh>
    <rPh sb="18" eb="19">
      <t>ギョウ</t>
    </rPh>
    <rPh sb="20" eb="21">
      <t>フク</t>
    </rPh>
    <phoneticPr fontId="2"/>
  </si>
  <si>
    <t>プラスチック製品製造業（別掲を除く）</t>
    <rPh sb="6" eb="8">
      <t>セイヒン</t>
    </rPh>
    <rPh sb="8" eb="11">
      <t>セイゾウギョウ</t>
    </rPh>
    <rPh sb="12" eb="14">
      <t>ベッケイ</t>
    </rPh>
    <rPh sb="15" eb="16">
      <t>ノゾ</t>
    </rPh>
    <phoneticPr fontId="2"/>
  </si>
  <si>
    <t>不動産取引業</t>
    <rPh sb="0" eb="3">
      <t>フドウサン</t>
    </rPh>
    <rPh sb="3" eb="6">
      <t>トリヒキギョウ</t>
    </rPh>
    <phoneticPr fontId="2"/>
  </si>
  <si>
    <t>ゴム製品製造業</t>
    <rPh sb="2" eb="4">
      <t>セイヒン</t>
    </rPh>
    <rPh sb="4" eb="7">
      <t>セイゾウギョウ</t>
    </rPh>
    <phoneticPr fontId="2"/>
  </si>
  <si>
    <t>不動産賃貸業・管理業</t>
    <rPh sb="0" eb="3">
      <t>フドウサン</t>
    </rPh>
    <rPh sb="3" eb="6">
      <t>チンタイギョウ</t>
    </rPh>
    <rPh sb="7" eb="9">
      <t>カンリ</t>
    </rPh>
    <rPh sb="9" eb="10">
      <t>ギョウ</t>
    </rPh>
    <phoneticPr fontId="2"/>
  </si>
  <si>
    <t>なめし革・同製品・毛皮製造業</t>
    <rPh sb="3" eb="4">
      <t>カワ</t>
    </rPh>
    <rPh sb="5" eb="6">
      <t>ドウ</t>
    </rPh>
    <rPh sb="6" eb="8">
      <t>セイヒン</t>
    </rPh>
    <rPh sb="9" eb="11">
      <t>ケガワ</t>
    </rPh>
    <rPh sb="11" eb="14">
      <t>セイゾウギョウ</t>
    </rPh>
    <phoneticPr fontId="2"/>
  </si>
  <si>
    <t>窯業・土石製品製造業</t>
    <rPh sb="0" eb="2">
      <t>ヨウギョウ</t>
    </rPh>
    <rPh sb="3" eb="5">
      <t>ドセキ</t>
    </rPh>
    <rPh sb="5" eb="7">
      <t>セイヒン</t>
    </rPh>
    <rPh sb="7" eb="10">
      <t>セイゾウギョウ</t>
    </rPh>
    <phoneticPr fontId="2"/>
  </si>
  <si>
    <t>鉄鋼業</t>
    <rPh sb="0" eb="2">
      <t>テッコウ</t>
    </rPh>
    <rPh sb="2" eb="3">
      <t>ギョウ</t>
    </rPh>
    <phoneticPr fontId="2"/>
  </si>
  <si>
    <t>宿泊業</t>
    <rPh sb="0" eb="2">
      <t>シュクハク</t>
    </rPh>
    <rPh sb="2" eb="3">
      <t>ギョウ</t>
    </rPh>
    <phoneticPr fontId="2"/>
  </si>
  <si>
    <t>非鉄金属製造業</t>
    <rPh sb="0" eb="2">
      <t>ヒテツ</t>
    </rPh>
    <rPh sb="2" eb="4">
      <t>キンゾク</t>
    </rPh>
    <rPh sb="4" eb="7">
      <t>セイゾウギョウ</t>
    </rPh>
    <phoneticPr fontId="2"/>
  </si>
  <si>
    <t>医療業</t>
    <rPh sb="0" eb="2">
      <t>イリョウ</t>
    </rPh>
    <rPh sb="2" eb="3">
      <t>ギョウ</t>
    </rPh>
    <phoneticPr fontId="2"/>
  </si>
  <si>
    <t>金属製品製造業</t>
    <rPh sb="0" eb="2">
      <t>キンゾク</t>
    </rPh>
    <rPh sb="2" eb="4">
      <t>セイヒン</t>
    </rPh>
    <rPh sb="4" eb="7">
      <t>セイゾウギョウ</t>
    </rPh>
    <phoneticPr fontId="2"/>
  </si>
  <si>
    <t>保健衛生</t>
    <rPh sb="0" eb="2">
      <t>ホケン</t>
    </rPh>
    <rPh sb="2" eb="4">
      <t>エイセイ</t>
    </rPh>
    <phoneticPr fontId="2"/>
  </si>
  <si>
    <t>社会保険・社会福祉・介護事業</t>
    <rPh sb="0" eb="2">
      <t>シャカイ</t>
    </rPh>
    <rPh sb="2" eb="4">
      <t>ホケン</t>
    </rPh>
    <rPh sb="5" eb="7">
      <t>シャカイ</t>
    </rPh>
    <rPh sb="7" eb="9">
      <t>フクシ</t>
    </rPh>
    <rPh sb="10" eb="12">
      <t>カイゴ</t>
    </rPh>
    <rPh sb="12" eb="14">
      <t>ジギョウ</t>
    </rPh>
    <phoneticPr fontId="2"/>
  </si>
  <si>
    <t>電気機械器具製造業</t>
    <rPh sb="0" eb="2">
      <t>デンキ</t>
    </rPh>
    <rPh sb="2" eb="4">
      <t>キカイ</t>
    </rPh>
    <rPh sb="4" eb="6">
      <t>キグ</t>
    </rPh>
    <rPh sb="6" eb="9">
      <t>セイゾウギョウ</t>
    </rPh>
    <phoneticPr fontId="2"/>
  </si>
  <si>
    <t>学校教育</t>
    <rPh sb="0" eb="2">
      <t>ガッコウ</t>
    </rPh>
    <rPh sb="2" eb="4">
      <t>キョウイク</t>
    </rPh>
    <phoneticPr fontId="2"/>
  </si>
  <si>
    <t>情報通信機械器具製造業</t>
    <rPh sb="0" eb="2">
      <t>ジョウホウ</t>
    </rPh>
    <rPh sb="2" eb="4">
      <t>ツウシン</t>
    </rPh>
    <rPh sb="4" eb="6">
      <t>キカイ</t>
    </rPh>
    <rPh sb="6" eb="8">
      <t>キグ</t>
    </rPh>
    <rPh sb="8" eb="11">
      <t>セイゾウギョウ</t>
    </rPh>
    <phoneticPr fontId="2"/>
  </si>
  <si>
    <t>その他の教育、学習支援業</t>
    <rPh sb="2" eb="3">
      <t>タ</t>
    </rPh>
    <rPh sb="4" eb="6">
      <t>キョウイク</t>
    </rPh>
    <rPh sb="7" eb="9">
      <t>ガクシュウ</t>
    </rPh>
    <rPh sb="9" eb="11">
      <t>シエン</t>
    </rPh>
    <rPh sb="11" eb="12">
      <t>ギョウ</t>
    </rPh>
    <phoneticPr fontId="2"/>
  </si>
  <si>
    <t>輸送用機械器具製造業</t>
    <rPh sb="0" eb="3">
      <t>ユソウヨウ</t>
    </rPh>
    <rPh sb="3" eb="5">
      <t>キカイ</t>
    </rPh>
    <rPh sb="5" eb="7">
      <t>キグ</t>
    </rPh>
    <rPh sb="7" eb="10">
      <t>セイゾウギョウ</t>
    </rPh>
    <phoneticPr fontId="2"/>
  </si>
  <si>
    <t>協同組合（他に分類されないもの）</t>
    <rPh sb="0" eb="2">
      <t>キョウドウ</t>
    </rPh>
    <rPh sb="2" eb="4">
      <t>クミアイ</t>
    </rPh>
    <rPh sb="5" eb="6">
      <t>タ</t>
    </rPh>
    <rPh sb="7" eb="9">
      <t>ブンルイ</t>
    </rPh>
    <phoneticPr fontId="2"/>
  </si>
  <si>
    <t>専門サービス業（他に分類されないもの）</t>
    <rPh sb="0" eb="2">
      <t>センモン</t>
    </rPh>
    <rPh sb="6" eb="7">
      <t>ギョウ</t>
    </rPh>
    <rPh sb="8" eb="9">
      <t>タ</t>
    </rPh>
    <rPh sb="10" eb="16">
      <t>ブンルイサレナイモノ</t>
    </rPh>
    <phoneticPr fontId="2"/>
  </si>
  <si>
    <t>その他の製造業</t>
    <rPh sb="2" eb="3">
      <t>タ</t>
    </rPh>
    <rPh sb="4" eb="7">
      <t>セイゾウギョウ</t>
    </rPh>
    <phoneticPr fontId="2"/>
  </si>
  <si>
    <t>電気業</t>
    <rPh sb="0" eb="2">
      <t>デンキ</t>
    </rPh>
    <rPh sb="2" eb="3">
      <t>ギョウ</t>
    </rPh>
    <phoneticPr fontId="2"/>
  </si>
  <si>
    <t>洗濯・理容・美容・浴場業</t>
    <rPh sb="0" eb="2">
      <t>センタク</t>
    </rPh>
    <rPh sb="3" eb="5">
      <t>リヨウ</t>
    </rPh>
    <rPh sb="6" eb="8">
      <t>ビヨウ</t>
    </rPh>
    <rPh sb="9" eb="11">
      <t>ヨクジョウ</t>
    </rPh>
    <rPh sb="11" eb="12">
      <t>ギョウ</t>
    </rPh>
    <phoneticPr fontId="2"/>
  </si>
  <si>
    <t>ガス業</t>
    <rPh sb="2" eb="3">
      <t>ギョウ</t>
    </rPh>
    <phoneticPr fontId="2"/>
  </si>
  <si>
    <t>その他の生活関連サービス業</t>
    <rPh sb="0" eb="3">
      <t>ソノタ</t>
    </rPh>
    <rPh sb="4" eb="6">
      <t>セイカツ</t>
    </rPh>
    <rPh sb="6" eb="8">
      <t>カンレン</t>
    </rPh>
    <rPh sb="12" eb="13">
      <t>ギョウ</t>
    </rPh>
    <phoneticPr fontId="2"/>
  </si>
  <si>
    <t>熱供給業</t>
    <rPh sb="0" eb="1">
      <t>ネツ</t>
    </rPh>
    <rPh sb="1" eb="3">
      <t>キョウキュウ</t>
    </rPh>
    <rPh sb="3" eb="4">
      <t>ギョウ</t>
    </rPh>
    <phoneticPr fontId="2"/>
  </si>
  <si>
    <t>娯楽業</t>
    <rPh sb="0" eb="2">
      <t>ゴラク</t>
    </rPh>
    <rPh sb="2" eb="3">
      <t>ギョウ</t>
    </rPh>
    <phoneticPr fontId="2"/>
  </si>
  <si>
    <t>水道業</t>
    <rPh sb="0" eb="3">
      <t>スイドウギョウ</t>
    </rPh>
    <phoneticPr fontId="2"/>
  </si>
  <si>
    <t>廃棄物処理業</t>
    <rPh sb="0" eb="3">
      <t>ハイキブツ</t>
    </rPh>
    <rPh sb="3" eb="5">
      <t>ショリ</t>
    </rPh>
    <rPh sb="5" eb="6">
      <t>ギョウ</t>
    </rPh>
    <phoneticPr fontId="2"/>
  </si>
  <si>
    <t>通信業</t>
    <rPh sb="0" eb="3">
      <t>ツウシンギョウ</t>
    </rPh>
    <phoneticPr fontId="2"/>
  </si>
  <si>
    <t>自動車整備業</t>
    <rPh sb="0" eb="3">
      <t>ジドウシャ</t>
    </rPh>
    <rPh sb="3" eb="5">
      <t>セイビ</t>
    </rPh>
    <rPh sb="5" eb="6">
      <t>ギョウ</t>
    </rPh>
    <phoneticPr fontId="2"/>
  </si>
  <si>
    <t>（法人にあっては、名称及び代表者の氏名）</t>
    <phoneticPr fontId="2"/>
  </si>
  <si>
    <t>放送業</t>
    <rPh sb="0" eb="3">
      <t>ホウソウギョウ</t>
    </rPh>
    <phoneticPr fontId="2"/>
  </si>
  <si>
    <t>機械等修理業（別掲を除く）</t>
    <rPh sb="0" eb="2">
      <t>キカイ</t>
    </rPh>
    <rPh sb="2" eb="3">
      <t>トウ</t>
    </rPh>
    <rPh sb="3" eb="5">
      <t>シュウリ</t>
    </rPh>
    <rPh sb="5" eb="6">
      <t>ギョウ</t>
    </rPh>
    <rPh sb="7" eb="9">
      <t>ベッケイ</t>
    </rPh>
    <rPh sb="10" eb="11">
      <t>ノゾ</t>
    </rPh>
    <phoneticPr fontId="2"/>
  </si>
  <si>
    <t>NOX・PM低減装置装着区分&amp;減車</t>
    <rPh sb="6" eb="8">
      <t>テイゲン</t>
    </rPh>
    <rPh sb="8" eb="10">
      <t>ソウチ</t>
    </rPh>
    <rPh sb="10" eb="12">
      <t>ソウチャク</t>
    </rPh>
    <rPh sb="12" eb="14">
      <t>クブン</t>
    </rPh>
    <phoneticPr fontId="2"/>
  </si>
  <si>
    <t>PM低減装置装着区分&amp;減車</t>
    <rPh sb="2" eb="4">
      <t>テイゲン</t>
    </rPh>
    <rPh sb="4" eb="6">
      <t>ソウチ</t>
    </rPh>
    <rPh sb="6" eb="8">
      <t>ソウチャク</t>
    </rPh>
    <rPh sb="8" eb="10">
      <t>クブン</t>
    </rPh>
    <phoneticPr fontId="2"/>
  </si>
  <si>
    <t>低減装置装着有無＆減車</t>
    <rPh sb="0" eb="2">
      <t>テイゲン</t>
    </rPh>
    <rPh sb="2" eb="4">
      <t>ソウチ</t>
    </rPh>
    <rPh sb="4" eb="6">
      <t>ソウチャク</t>
    </rPh>
    <rPh sb="6" eb="8">
      <t>ウム</t>
    </rPh>
    <phoneticPr fontId="2"/>
  </si>
  <si>
    <t>情報サービス業</t>
    <rPh sb="0" eb="2">
      <t>ジョウホウ</t>
    </rPh>
    <rPh sb="6" eb="7">
      <t>ギョウ</t>
    </rPh>
    <phoneticPr fontId="2"/>
  </si>
  <si>
    <t>物品賃貸業</t>
    <rPh sb="0" eb="2">
      <t>ブッピン</t>
    </rPh>
    <rPh sb="2" eb="5">
      <t>チンタイギョウ</t>
    </rPh>
    <phoneticPr fontId="2"/>
  </si>
  <si>
    <t>インターネット附随サービス業</t>
    <rPh sb="7" eb="9">
      <t>フズイ</t>
    </rPh>
    <rPh sb="13" eb="14">
      <t>ギョウ</t>
    </rPh>
    <phoneticPr fontId="2"/>
  </si>
  <si>
    <t>広告業</t>
    <rPh sb="0" eb="2">
      <t>コウコク</t>
    </rPh>
    <rPh sb="2" eb="3">
      <t>ギョウ</t>
    </rPh>
    <phoneticPr fontId="2"/>
  </si>
  <si>
    <t>映像・音声・文字情報制作業</t>
    <rPh sb="0" eb="2">
      <t>エイゾウ</t>
    </rPh>
    <rPh sb="3" eb="5">
      <t>オンセイ</t>
    </rPh>
    <rPh sb="6" eb="8">
      <t>モジ</t>
    </rPh>
    <rPh sb="8" eb="10">
      <t>ジョウホウ</t>
    </rPh>
    <rPh sb="10" eb="11">
      <t>セイサク</t>
    </rPh>
    <rPh sb="11" eb="13">
      <t>サギョウ</t>
    </rPh>
    <phoneticPr fontId="2"/>
  </si>
  <si>
    <t>鉄道業</t>
    <rPh sb="0" eb="3">
      <t>テツドウギョウ</t>
    </rPh>
    <phoneticPr fontId="2"/>
  </si>
  <si>
    <t>政治・経済・文化団体</t>
    <rPh sb="0" eb="2">
      <t>セイジ</t>
    </rPh>
    <rPh sb="3" eb="5">
      <t>ケイザイ</t>
    </rPh>
    <rPh sb="6" eb="8">
      <t>ブンカ</t>
    </rPh>
    <rPh sb="8" eb="10">
      <t>ダンタイ</t>
    </rPh>
    <phoneticPr fontId="2"/>
  </si>
  <si>
    <t>道路旅客運送業</t>
    <rPh sb="0" eb="2">
      <t>ドウロ</t>
    </rPh>
    <rPh sb="2" eb="4">
      <t>リョカク</t>
    </rPh>
    <rPh sb="4" eb="7">
      <t>ウンソウギョウ</t>
    </rPh>
    <phoneticPr fontId="2"/>
  </si>
  <si>
    <t>宗教</t>
    <rPh sb="0" eb="2">
      <t>シュウキョウ</t>
    </rPh>
    <phoneticPr fontId="2"/>
  </si>
  <si>
    <t>道路貨物運送業</t>
    <rPh sb="0" eb="2">
      <t>ドウロ</t>
    </rPh>
    <rPh sb="2" eb="4">
      <t>カモツ</t>
    </rPh>
    <rPh sb="4" eb="7">
      <t>ウンソウギョウ</t>
    </rPh>
    <phoneticPr fontId="2"/>
  </si>
  <si>
    <t>その他のサービス業</t>
    <rPh sb="2" eb="3">
      <t>タ</t>
    </rPh>
    <rPh sb="8" eb="9">
      <t>ギョウ</t>
    </rPh>
    <phoneticPr fontId="2"/>
  </si>
  <si>
    <t>水運業</t>
    <rPh sb="0" eb="2">
      <t>スイウン</t>
    </rPh>
    <rPh sb="2" eb="3">
      <t>ギョウ</t>
    </rPh>
    <phoneticPr fontId="2"/>
  </si>
  <si>
    <t>外国公務</t>
    <rPh sb="0" eb="2">
      <t>ガイコク</t>
    </rPh>
    <rPh sb="2" eb="4">
      <t>コウム</t>
    </rPh>
    <phoneticPr fontId="2"/>
  </si>
  <si>
    <t>航空運輸業</t>
    <rPh sb="0" eb="2">
      <t>コウクウ</t>
    </rPh>
    <rPh sb="2" eb="5">
      <t>ウンユギョウ</t>
    </rPh>
    <phoneticPr fontId="2"/>
  </si>
  <si>
    <t>国家公務</t>
    <rPh sb="0" eb="2">
      <t>コッカ</t>
    </rPh>
    <rPh sb="2" eb="4">
      <t>コウム</t>
    </rPh>
    <phoneticPr fontId="2"/>
  </si>
  <si>
    <t>倉庫業</t>
    <rPh sb="0" eb="2">
      <t>ソウコ</t>
    </rPh>
    <rPh sb="2" eb="3">
      <t>ギョウ</t>
    </rPh>
    <phoneticPr fontId="2"/>
  </si>
  <si>
    <t>地方公務</t>
    <rPh sb="0" eb="2">
      <t>チホウ</t>
    </rPh>
    <rPh sb="2" eb="4">
      <t>コウム</t>
    </rPh>
    <phoneticPr fontId="2"/>
  </si>
  <si>
    <t>運輸に附帯するサービス業</t>
    <rPh sb="0" eb="2">
      <t>ウンユ</t>
    </rPh>
    <rPh sb="3" eb="5">
      <t>フタイ</t>
    </rPh>
    <rPh sb="11" eb="12">
      <t>ギョウ</t>
    </rPh>
    <phoneticPr fontId="2"/>
  </si>
  <si>
    <t>分類不能の産業</t>
    <rPh sb="0" eb="2">
      <t>ブンルイ</t>
    </rPh>
    <rPh sb="2" eb="4">
      <t>フノウ</t>
    </rPh>
    <rPh sb="5" eb="7">
      <t>サンギョウ</t>
    </rPh>
    <phoneticPr fontId="2"/>
  </si>
  <si>
    <t>他</t>
  </si>
  <si>
    <t>うち低公害車の合計</t>
  </si>
  <si>
    <t>新規使用台数</t>
  </si>
  <si>
    <t>合　　　計</t>
  </si>
  <si>
    <t>合計</t>
    <rPh sb="0" eb="2">
      <t>ゴウケイ</t>
    </rPh>
    <phoneticPr fontId="2"/>
  </si>
  <si>
    <t>従業員数</t>
    <rPh sb="0" eb="2">
      <t>ジュウギョウ</t>
    </rPh>
    <rPh sb="2" eb="3">
      <t>イン</t>
    </rPh>
    <rPh sb="3" eb="4">
      <t>スウ</t>
    </rPh>
    <phoneticPr fontId="2"/>
  </si>
  <si>
    <t>　神奈川県知事　殿</t>
  </si>
  <si>
    <t>人</t>
  </si>
  <si>
    <t>特定事業者の所在地</t>
  </si>
  <si>
    <t>使用する特定自動車の台数</t>
  </si>
  <si>
    <t>特定事業者の氏名又は名称</t>
  </si>
  <si>
    <t>H13</t>
  </si>
  <si>
    <t>H</t>
  </si>
  <si>
    <t>J</t>
  </si>
  <si>
    <t>L</t>
  </si>
  <si>
    <t>N</t>
  </si>
  <si>
    <t>P</t>
  </si>
  <si>
    <t>U</t>
  </si>
  <si>
    <t>W</t>
  </si>
  <si>
    <t>KK</t>
  </si>
  <si>
    <t>KL</t>
  </si>
  <si>
    <t>HF</t>
  </si>
  <si>
    <t>HM</t>
  </si>
  <si>
    <t>KR</t>
  </si>
  <si>
    <t>HY</t>
  </si>
  <si>
    <t>-</t>
  </si>
  <si>
    <t>HL</t>
  </si>
  <si>
    <t>GJ</t>
  </si>
  <si>
    <t>HP</t>
  </si>
  <si>
    <t>TP</t>
  </si>
  <si>
    <t>LP</t>
  </si>
  <si>
    <t>UP</t>
  </si>
  <si>
    <t>T</t>
  </si>
  <si>
    <t>GA</t>
  </si>
  <si>
    <t>GC</t>
  </si>
  <si>
    <t>HG</t>
  </si>
  <si>
    <t>GK</t>
  </si>
  <si>
    <t>HQ</t>
  </si>
  <si>
    <t>TQ</t>
  </si>
  <si>
    <t>LQ</t>
  </si>
  <si>
    <t>UQ</t>
  </si>
  <si>
    <t>M</t>
  </si>
  <si>
    <t>Z</t>
  </si>
  <si>
    <t>GB</t>
  </si>
  <si>
    <t>GE</t>
  </si>
  <si>
    <t>HJ</t>
  </si>
  <si>
    <t>K</t>
  </si>
  <si>
    <t>KC</t>
  </si>
  <si>
    <t>A</t>
  </si>
  <si>
    <t>B</t>
  </si>
  <si>
    <t>C</t>
  </si>
  <si>
    <t>E</t>
  </si>
  <si>
    <t>GF</t>
  </si>
  <si>
    <t>HK</t>
  </si>
  <si>
    <t>GH</t>
  </si>
  <si>
    <t>HN</t>
  </si>
  <si>
    <t>TA</t>
  </si>
  <si>
    <t>LA</t>
  </si>
  <si>
    <t>UA</t>
  </si>
  <si>
    <t>マイクロバス</t>
  </si>
  <si>
    <r>
      <t>ガソリン</t>
    </r>
    <r>
      <rPr>
        <sz val="11"/>
        <rFont val="ＭＳ Ｐゴシック"/>
        <family val="3"/>
        <charset val="128"/>
      </rPr>
      <t xml:space="preserve"> ・LPG（</t>
    </r>
    <r>
      <rPr>
        <sz val="11"/>
        <rFont val="ＭＳ Ｐゴシック"/>
        <family val="3"/>
        <charset val="128"/>
      </rPr>
      <t>ハイブリッド除く）</t>
    </r>
    <rPh sb="16" eb="17">
      <t>ノゾ</t>
    </rPh>
    <phoneticPr fontId="2"/>
  </si>
  <si>
    <t>区分</t>
  </si>
  <si>
    <t>年度</t>
  </si>
  <si>
    <t>型式</t>
  </si>
  <si>
    <t>ＮＯｘ排出係数</t>
  </si>
  <si>
    <t>ＰＭ排出係数</t>
  </si>
  <si>
    <t>CO2排出係数</t>
  </si>
  <si>
    <t>S50前</t>
  </si>
  <si>
    <t>1.7t以下</t>
  </si>
  <si>
    <t>g/km</t>
  </si>
  <si>
    <t>S54前</t>
  </si>
  <si>
    <t>S50</t>
  </si>
  <si>
    <t>S54</t>
  </si>
  <si>
    <t>S57,S58</t>
  </si>
  <si>
    <t>N,P</t>
  </si>
  <si>
    <t>S56</t>
  </si>
  <si>
    <t>S63</t>
  </si>
  <si>
    <t>S</t>
  </si>
  <si>
    <t>S63,H10</t>
  </si>
  <si>
    <t>R</t>
  </si>
  <si>
    <t>R,GG,HL</t>
  </si>
  <si>
    <t>H05</t>
  </si>
  <si>
    <t>KA</t>
  </si>
  <si>
    <t>GG</t>
  </si>
  <si>
    <t>GJ,HP</t>
  </si>
  <si>
    <t>H09</t>
  </si>
  <si>
    <t>KE,HA</t>
  </si>
  <si>
    <t>KP,HW</t>
  </si>
  <si>
    <t>1.7-2.5t</t>
  </si>
  <si>
    <t>TB</t>
  </si>
  <si>
    <t>XB</t>
  </si>
  <si>
    <t>LB</t>
  </si>
  <si>
    <t>H元</t>
  </si>
  <si>
    <t>YB</t>
  </si>
  <si>
    <t>H06,H10</t>
  </si>
  <si>
    <t>GA,GC,HG</t>
  </si>
  <si>
    <t>KB</t>
  </si>
  <si>
    <t>UB</t>
  </si>
  <si>
    <t>GK,HQ</t>
  </si>
  <si>
    <t>H09,H10</t>
  </si>
  <si>
    <t>KF,HB,KJ,HE</t>
  </si>
  <si>
    <t>ZB</t>
  </si>
  <si>
    <t>KQ,HX</t>
  </si>
  <si>
    <t>2.5-3.5t</t>
  </si>
  <si>
    <t>ABE</t>
  </si>
  <si>
    <t>AAE</t>
  </si>
  <si>
    <t>BAE</t>
  </si>
  <si>
    <t>S57</t>
  </si>
  <si>
    <t>BBE</t>
  </si>
  <si>
    <t>CAE</t>
  </si>
  <si>
    <t>H04</t>
  </si>
  <si>
    <t>S63,H元</t>
  </si>
  <si>
    <t>S,U</t>
  </si>
  <si>
    <t>CBE</t>
  </si>
  <si>
    <t>H07,H10</t>
  </si>
  <si>
    <t>GB,GE,HJ</t>
  </si>
  <si>
    <t>H06</t>
  </si>
  <si>
    <t>DAE</t>
  </si>
  <si>
    <t>KG,HC</t>
  </si>
  <si>
    <t>DBE</t>
  </si>
  <si>
    <t>KR,HY</t>
  </si>
  <si>
    <t>3.5t超</t>
  </si>
  <si>
    <t>g/km/t</t>
  </si>
  <si>
    <t>H元,H2</t>
  </si>
  <si>
    <t>U,W</t>
  </si>
  <si>
    <t>H6,H10</t>
  </si>
  <si>
    <t>GL,HR</t>
  </si>
  <si>
    <t>KK,HF,KL,HM</t>
  </si>
  <si>
    <t>KR,HY,KS,HZ</t>
  </si>
  <si>
    <t>TC</t>
  </si>
  <si>
    <t>S51</t>
  </si>
  <si>
    <t>B,C</t>
  </si>
  <si>
    <t>XC</t>
  </si>
  <si>
    <t>S53,H10</t>
  </si>
  <si>
    <t>E,GF,HK</t>
  </si>
  <si>
    <t>LC</t>
  </si>
  <si>
    <t>GH,HN</t>
  </si>
  <si>
    <t>S61,S62</t>
  </si>
  <si>
    <t>Q</t>
  </si>
  <si>
    <t>YC</t>
  </si>
  <si>
    <t>TA,XA</t>
  </si>
  <si>
    <t>H2,H4</t>
  </si>
  <si>
    <t>X,Y</t>
  </si>
  <si>
    <t>UC</t>
  </si>
  <si>
    <t>LA,YA</t>
  </si>
  <si>
    <t>H6</t>
  </si>
  <si>
    <t>KD</t>
  </si>
  <si>
    <t>ZC</t>
  </si>
  <si>
    <t>UA,ZA</t>
  </si>
  <si>
    <t>H9,H10</t>
  </si>
  <si>
    <t>KE,HA,KH,HD</t>
  </si>
  <si>
    <t>KM,HT,KN,HU</t>
  </si>
  <si>
    <t>ABF</t>
  </si>
  <si>
    <t>AAF</t>
  </si>
  <si>
    <t>BAF</t>
  </si>
  <si>
    <t>BBF</t>
  </si>
  <si>
    <t>CAF</t>
  </si>
  <si>
    <t>CBF</t>
  </si>
  <si>
    <t>DAF</t>
  </si>
  <si>
    <t>DBF</t>
  </si>
  <si>
    <t>H4</t>
  </si>
  <si>
    <t>H7,H10</t>
  </si>
  <si>
    <t>GL</t>
  </si>
  <si>
    <t>HR</t>
  </si>
  <si>
    <t>TD</t>
  </si>
  <si>
    <t>XD</t>
  </si>
  <si>
    <t>LD</t>
  </si>
  <si>
    <t>YD</t>
  </si>
  <si>
    <t>UD</t>
  </si>
  <si>
    <t>ZD</t>
  </si>
  <si>
    <t>ABG</t>
  </si>
  <si>
    <t>AAG</t>
  </si>
  <si>
    <t>BAG</t>
  </si>
  <si>
    <t>BBG</t>
  </si>
  <si>
    <t>CAG</t>
  </si>
  <si>
    <t>CBG</t>
  </si>
  <si>
    <t>DAG</t>
  </si>
  <si>
    <t>DBG</t>
  </si>
  <si>
    <t>バス貨物～1.7t(軽油)</t>
  </si>
  <si>
    <t>H5</t>
  </si>
  <si>
    <t>H9</t>
  </si>
  <si>
    <t>KE</t>
  </si>
  <si>
    <t>HA</t>
  </si>
  <si>
    <t>KP</t>
  </si>
  <si>
    <t>HW</t>
  </si>
  <si>
    <t>TH</t>
  </si>
  <si>
    <t>XH</t>
  </si>
  <si>
    <t>LH</t>
  </si>
  <si>
    <t>YH</t>
  </si>
  <si>
    <t>UH</t>
  </si>
  <si>
    <t>ZH</t>
  </si>
  <si>
    <t>ADE</t>
  </si>
  <si>
    <t>ACE</t>
  </si>
  <si>
    <t>BCE</t>
  </si>
  <si>
    <t>BDE</t>
  </si>
  <si>
    <t>CCE</t>
  </si>
  <si>
    <t>CDE</t>
  </si>
  <si>
    <t>DCE</t>
  </si>
  <si>
    <t>DDE</t>
  </si>
  <si>
    <t>バス貨物1.7～2.5t(軽油)</t>
  </si>
  <si>
    <t>H9・H10</t>
  </si>
  <si>
    <t>KF</t>
  </si>
  <si>
    <t>HB</t>
  </si>
  <si>
    <t>KJ</t>
  </si>
  <si>
    <t>HE</t>
  </si>
  <si>
    <t>DD</t>
  </si>
  <si>
    <t>WD</t>
  </si>
  <si>
    <t>DE</t>
  </si>
  <si>
    <t>WE</t>
  </si>
  <si>
    <t>DF</t>
  </si>
  <si>
    <t>WF</t>
  </si>
  <si>
    <t>DN</t>
  </si>
  <si>
    <t>WN</t>
  </si>
  <si>
    <t>DP</t>
  </si>
  <si>
    <t>WP</t>
  </si>
  <si>
    <t>DQ</t>
  </si>
  <si>
    <t>WQ</t>
  </si>
  <si>
    <t>KQ</t>
  </si>
  <si>
    <t>HX</t>
  </si>
  <si>
    <t>TJ</t>
  </si>
  <si>
    <t>XJ</t>
  </si>
  <si>
    <t>LJ</t>
  </si>
  <si>
    <t>YJ</t>
  </si>
  <si>
    <t>UJ</t>
  </si>
  <si>
    <t>ZJ</t>
  </si>
  <si>
    <t>バス貨物2.5～3.5t(軽油)</t>
  </si>
  <si>
    <t>KG</t>
  </si>
  <si>
    <t>HC</t>
  </si>
  <si>
    <t>DG</t>
  </si>
  <si>
    <t>WG</t>
  </si>
  <si>
    <t>DH</t>
  </si>
  <si>
    <t>WH</t>
  </si>
  <si>
    <t>DJ</t>
  </si>
  <si>
    <t>WJ</t>
  </si>
  <si>
    <t>TK</t>
  </si>
  <si>
    <t>XK</t>
  </si>
  <si>
    <t>LK</t>
  </si>
  <si>
    <t>YK</t>
  </si>
  <si>
    <t>UK</t>
  </si>
  <si>
    <t>ZK</t>
  </si>
  <si>
    <t>バス貨物3.5t～(軽油)</t>
  </si>
  <si>
    <t>H10</t>
  </si>
  <si>
    <t>DR</t>
  </si>
  <si>
    <t>WR</t>
  </si>
  <si>
    <t>DS</t>
  </si>
  <si>
    <t>WS</t>
  </si>
  <si>
    <t>DT</t>
  </si>
  <si>
    <t>WT</t>
  </si>
  <si>
    <t>H11</t>
  </si>
  <si>
    <t>DU</t>
  </si>
  <si>
    <t>WU</t>
  </si>
  <si>
    <t>DV</t>
  </si>
  <si>
    <t>WV</t>
  </si>
  <si>
    <t>DW</t>
  </si>
  <si>
    <t>WW</t>
  </si>
  <si>
    <t>バス貨物～1.7t(CNG)</t>
  </si>
  <si>
    <t>AFE</t>
  </si>
  <si>
    <t>AEE</t>
  </si>
  <si>
    <t>BEE</t>
  </si>
  <si>
    <t>BFE</t>
  </si>
  <si>
    <t>CEE</t>
  </si>
  <si>
    <t>CFE</t>
  </si>
  <si>
    <t>DEE</t>
  </si>
  <si>
    <t>DFE</t>
  </si>
  <si>
    <t>バス貨物1.7～2.5t(CNG)</t>
  </si>
  <si>
    <t>AFF</t>
  </si>
  <si>
    <t>AEF</t>
  </si>
  <si>
    <t>BEF</t>
  </si>
  <si>
    <t>BFF</t>
  </si>
  <si>
    <t>CEF</t>
  </si>
  <si>
    <t>CFF</t>
  </si>
  <si>
    <t>DEF</t>
  </si>
  <si>
    <t>DFF</t>
  </si>
  <si>
    <t>バス貨物2.5～3.5t(CNG)</t>
  </si>
  <si>
    <t>バス貨物3.5t～(CNG)</t>
  </si>
  <si>
    <t>TR</t>
  </si>
  <si>
    <t>LR</t>
  </si>
  <si>
    <t>UR</t>
  </si>
  <si>
    <t>AFG</t>
  </si>
  <si>
    <t>AEG</t>
  </si>
  <si>
    <t>BEG</t>
  </si>
  <si>
    <t>BFG</t>
  </si>
  <si>
    <t>CEG</t>
  </si>
  <si>
    <t>CFG</t>
  </si>
  <si>
    <t>DEG</t>
  </si>
  <si>
    <t>DFG</t>
  </si>
  <si>
    <t>バス貨物～1.7t(メタノール)</t>
  </si>
  <si>
    <t>AHE</t>
  </si>
  <si>
    <t>AGE</t>
  </si>
  <si>
    <t>BGE</t>
  </si>
  <si>
    <t>BHE</t>
  </si>
  <si>
    <t>CGE</t>
  </si>
  <si>
    <t>CHE</t>
  </si>
  <si>
    <t>DGE</t>
  </si>
  <si>
    <t>DHE</t>
  </si>
  <si>
    <t>バス貨物1.7～2.5t(メタノール)</t>
  </si>
  <si>
    <t>AHF</t>
  </si>
  <si>
    <t>AGF</t>
  </si>
  <si>
    <t>BGF</t>
  </si>
  <si>
    <t>BHF</t>
  </si>
  <si>
    <t>CGF</t>
  </si>
  <si>
    <t>CHF</t>
  </si>
  <si>
    <t>DGF</t>
  </si>
  <si>
    <t>DHF</t>
  </si>
  <si>
    <t>バス貨物2.5～3.5t(メタノール)</t>
  </si>
  <si>
    <t>バス貨物3.5t～(メタノール)</t>
  </si>
  <si>
    <t>AHG</t>
  </si>
  <si>
    <t>AGG</t>
  </si>
  <si>
    <t>BGG</t>
  </si>
  <si>
    <t>BHG</t>
  </si>
  <si>
    <t>CGG</t>
  </si>
  <si>
    <t>CHG</t>
  </si>
  <si>
    <t>DGG</t>
  </si>
  <si>
    <t>DHG</t>
  </si>
  <si>
    <t>XA</t>
  </si>
  <si>
    <t>YA</t>
  </si>
  <si>
    <t>ZA</t>
  </si>
  <si>
    <t>ABA</t>
  </si>
  <si>
    <t>AAA</t>
  </si>
  <si>
    <t>CAA</t>
  </si>
  <si>
    <t>CBA</t>
  </si>
  <si>
    <t>DAA</t>
  </si>
  <si>
    <t>DBA</t>
  </si>
  <si>
    <t>乗用(軽油)</t>
  </si>
  <si>
    <t>X</t>
  </si>
  <si>
    <t>Y</t>
  </si>
  <si>
    <t>KH</t>
  </si>
  <si>
    <t>HD</t>
  </si>
  <si>
    <t>DA</t>
  </si>
  <si>
    <t>WA</t>
  </si>
  <si>
    <t>DB</t>
  </si>
  <si>
    <t>WB</t>
  </si>
  <si>
    <t>DC</t>
  </si>
  <si>
    <t>WC</t>
  </si>
  <si>
    <t>DK</t>
  </si>
  <si>
    <t>WK</t>
  </si>
  <si>
    <t>DL</t>
  </si>
  <si>
    <t>WL</t>
  </si>
  <si>
    <t>DM</t>
  </si>
  <si>
    <t>WM</t>
  </si>
  <si>
    <t>KM</t>
  </si>
  <si>
    <t>HT</t>
  </si>
  <si>
    <t>KN</t>
  </si>
  <si>
    <t>HU</t>
  </si>
  <si>
    <t>TF</t>
  </si>
  <si>
    <t>XF</t>
  </si>
  <si>
    <t>TG</t>
  </si>
  <si>
    <t>XG</t>
  </si>
  <si>
    <t>LF</t>
  </si>
  <si>
    <t>YF</t>
  </si>
  <si>
    <t>LG</t>
  </si>
  <si>
    <t>YG</t>
  </si>
  <si>
    <t>UF</t>
  </si>
  <si>
    <t>ZF</t>
  </si>
  <si>
    <t>UG</t>
  </si>
  <si>
    <t>ZG</t>
  </si>
  <si>
    <t>ADB</t>
  </si>
  <si>
    <t>ADC</t>
  </si>
  <si>
    <t>ACB</t>
  </si>
  <si>
    <t>ACC</t>
  </si>
  <si>
    <t>CCB</t>
  </si>
  <si>
    <t>CCC</t>
  </si>
  <si>
    <t>CDB</t>
  </si>
  <si>
    <t>CDC</t>
  </si>
  <si>
    <t>DCB</t>
  </si>
  <si>
    <t>DCC</t>
  </si>
  <si>
    <t>DDB</t>
  </si>
  <si>
    <t>DDC</t>
  </si>
  <si>
    <t>TN</t>
  </si>
  <si>
    <t>乗用(CNG)</t>
  </si>
  <si>
    <t>LN</t>
  </si>
  <si>
    <t>UN</t>
  </si>
  <si>
    <t>AFA</t>
  </si>
  <si>
    <t>AEA</t>
  </si>
  <si>
    <t>CEA</t>
  </si>
  <si>
    <t>CFA</t>
  </si>
  <si>
    <t>DEA</t>
  </si>
  <si>
    <t>DFA</t>
  </si>
  <si>
    <t>乗用(メタノール)</t>
  </si>
  <si>
    <t>AHA</t>
  </si>
  <si>
    <t>AGA</t>
  </si>
  <si>
    <t>CGA</t>
  </si>
  <si>
    <t>CHA</t>
  </si>
  <si>
    <t>DGA</t>
  </si>
  <si>
    <t>DHA</t>
  </si>
  <si>
    <t>排出係数一覧</t>
    <rPh sb="0" eb="2">
      <t>ハイシュツ</t>
    </rPh>
    <rPh sb="2" eb="4">
      <t>ケイスウ</t>
    </rPh>
    <rPh sb="4" eb="6">
      <t>イチラン</t>
    </rPh>
    <phoneticPr fontId="2"/>
  </si>
  <si>
    <t>ガソリン・ＬＰＧ車の排出係数（NOx）</t>
    <rPh sb="8" eb="9">
      <t>シャ</t>
    </rPh>
    <rPh sb="10" eb="12">
      <t>ハイシュツ</t>
    </rPh>
    <rPh sb="12" eb="14">
      <t>ケイスウ</t>
    </rPh>
    <phoneticPr fontId="24"/>
  </si>
  <si>
    <t>ディーゼル車の排出係数（NOx,PM）</t>
    <rPh sb="5" eb="6">
      <t>シャ</t>
    </rPh>
    <rPh sb="7" eb="9">
      <t>ハイシュツ</t>
    </rPh>
    <rPh sb="9" eb="11">
      <t>ケイスウ</t>
    </rPh>
    <phoneticPr fontId="24"/>
  </si>
  <si>
    <t>排出係数一覧表(計算用)</t>
    <rPh sb="0" eb="2">
      <t>ハイシュツ</t>
    </rPh>
    <rPh sb="2" eb="4">
      <t>ケイスウ</t>
    </rPh>
    <rPh sb="4" eb="6">
      <t>イチラン</t>
    </rPh>
    <rPh sb="6" eb="7">
      <t>ヒョウ</t>
    </rPh>
    <rPh sb="8" eb="10">
      <t>ケイサン</t>
    </rPh>
    <rPh sb="10" eb="11">
      <t>ヨウ</t>
    </rPh>
    <phoneticPr fontId="24"/>
  </si>
  <si>
    <t>記号</t>
    <rPh sb="0" eb="2">
      <t>キゴウ</t>
    </rPh>
    <phoneticPr fontId="2"/>
  </si>
  <si>
    <t>区分</t>
    <rPh sb="0" eb="2">
      <t>クブン</t>
    </rPh>
    <phoneticPr fontId="2"/>
  </si>
  <si>
    <t>年度</t>
    <rPh sb="0" eb="2">
      <t>ネンド</t>
    </rPh>
    <phoneticPr fontId="2"/>
  </si>
  <si>
    <t>型式</t>
    <rPh sb="0" eb="2">
      <t>カタシキ</t>
    </rPh>
    <phoneticPr fontId="2"/>
  </si>
  <si>
    <t>CO2排出係数</t>
    <rPh sb="3" eb="5">
      <t>ハイシュツ</t>
    </rPh>
    <rPh sb="5" eb="7">
      <t>ケイスウ</t>
    </rPh>
    <phoneticPr fontId="2"/>
  </si>
  <si>
    <t>低公害分類</t>
    <rPh sb="0" eb="1">
      <t>テイ</t>
    </rPh>
    <rPh sb="1" eb="3">
      <t>コウガイ</t>
    </rPh>
    <rPh sb="3" eb="5">
      <t>ブンルイ</t>
    </rPh>
    <phoneticPr fontId="2"/>
  </si>
  <si>
    <t>注意事項(☆は車両の規制値に対して)</t>
    <rPh sb="0" eb="2">
      <t>チュウイ</t>
    </rPh>
    <rPh sb="2" eb="4">
      <t>ジコウ</t>
    </rPh>
    <rPh sb="7" eb="9">
      <t>シャリョウ</t>
    </rPh>
    <rPh sb="10" eb="12">
      <t>キセイ</t>
    </rPh>
    <rPh sb="12" eb="13">
      <t>チ</t>
    </rPh>
    <rPh sb="14" eb="15">
      <t>タイ</t>
    </rPh>
    <phoneticPr fontId="2"/>
  </si>
  <si>
    <t>車両総重量</t>
    <rPh sb="0" eb="2">
      <t>シャリョウ</t>
    </rPh>
    <rPh sb="2" eb="5">
      <t>ソウジュウリョウ</t>
    </rPh>
    <phoneticPr fontId="24"/>
  </si>
  <si>
    <t>規制年</t>
    <rPh sb="0" eb="2">
      <t>キセイ</t>
    </rPh>
    <rPh sb="2" eb="3">
      <t>ネン</t>
    </rPh>
    <phoneticPr fontId="24"/>
  </si>
  <si>
    <t>型式の識別記号</t>
    <rPh sb="0" eb="2">
      <t>カタシキ</t>
    </rPh>
    <rPh sb="3" eb="5">
      <t>シキベツ</t>
    </rPh>
    <rPh sb="5" eb="7">
      <t>キゴウ</t>
    </rPh>
    <phoneticPr fontId="24"/>
  </si>
  <si>
    <t>単位</t>
    <rPh sb="0" eb="2">
      <t>タンイ</t>
    </rPh>
    <phoneticPr fontId="24"/>
  </si>
  <si>
    <t>月</t>
    <rPh sb="0" eb="1">
      <t>ガツ</t>
    </rPh>
    <phoneticPr fontId="2"/>
  </si>
  <si>
    <t>昭和</t>
    <rPh sb="0" eb="2">
      <t>ショウワ</t>
    </rPh>
    <phoneticPr fontId="2"/>
  </si>
  <si>
    <t>C元号</t>
    <rPh sb="1" eb="3">
      <t>ゲンゴウ</t>
    </rPh>
    <phoneticPr fontId="2"/>
  </si>
  <si>
    <t>ＣＮＧ</t>
    <phoneticPr fontId="15"/>
  </si>
  <si>
    <t>実績を出す年度は？</t>
    <rPh sb="0" eb="2">
      <t>ジッセキ</t>
    </rPh>
    <rPh sb="3" eb="4">
      <t>ダ</t>
    </rPh>
    <rPh sb="5" eb="7">
      <t>ネンド</t>
    </rPh>
    <phoneticPr fontId="2"/>
  </si>
  <si>
    <t>乗用車</t>
    <rPh sb="0" eb="3">
      <t>ジョウヨウシャ</t>
    </rPh>
    <phoneticPr fontId="2"/>
  </si>
  <si>
    <t>乗用車</t>
    <rPh sb="0" eb="2">
      <t>ジョウヨウ</t>
    </rPh>
    <rPh sb="2" eb="3">
      <t>シャ</t>
    </rPh>
    <phoneticPr fontId="2"/>
  </si>
  <si>
    <t>注）後付け装置の装着車両の扱い</t>
    <rPh sb="0" eb="1">
      <t>チュウ</t>
    </rPh>
    <rPh sb="2" eb="4">
      <t>アトヅケ</t>
    </rPh>
    <rPh sb="5" eb="7">
      <t>ソウチ</t>
    </rPh>
    <rPh sb="8" eb="10">
      <t>ソウチャク</t>
    </rPh>
    <rPh sb="10" eb="12">
      <t>シャリョウ</t>
    </rPh>
    <rPh sb="13" eb="14">
      <t>アツカ</t>
    </rPh>
    <phoneticPr fontId="2"/>
  </si>
  <si>
    <t>ディーゼル乗用車</t>
    <rPh sb="5" eb="8">
      <t>ジョウヨウシャ</t>
    </rPh>
    <phoneticPr fontId="2"/>
  </si>
  <si>
    <t>バス・トラック等</t>
    <rPh sb="7" eb="8">
      <t>トウ</t>
    </rPh>
    <phoneticPr fontId="2"/>
  </si>
  <si>
    <t>バス・トラック等ディーゼル車</t>
    <rPh sb="7" eb="8">
      <t>トウ</t>
    </rPh>
    <rPh sb="13" eb="14">
      <t>シャ</t>
    </rPh>
    <phoneticPr fontId="2"/>
  </si>
  <si>
    <t>CO2の排出係数</t>
    <rPh sb="4" eb="6">
      <t>ハイシュツ</t>
    </rPh>
    <rPh sb="6" eb="8">
      <t>ケイスウ</t>
    </rPh>
    <phoneticPr fontId="24"/>
  </si>
  <si>
    <t>燃料</t>
    <rPh sb="0" eb="2">
      <t>ネンリョウ</t>
    </rPh>
    <phoneticPr fontId="2"/>
  </si>
  <si>
    <t>単位</t>
    <rPh sb="0" eb="2">
      <t>タンイ</t>
    </rPh>
    <phoneticPr fontId="2"/>
  </si>
  <si>
    <t>電気・燃料電池</t>
    <rPh sb="0" eb="2">
      <t>デンキ</t>
    </rPh>
    <rPh sb="3" eb="5">
      <t>ネンリョウ</t>
    </rPh>
    <rPh sb="5" eb="7">
      <t>デンチ</t>
    </rPh>
    <phoneticPr fontId="2"/>
  </si>
  <si>
    <t>被牽引車の台数</t>
    <rPh sb="0" eb="1">
      <t>ヒ</t>
    </rPh>
    <rPh sb="1" eb="4">
      <t>ケンインシャ</t>
    </rPh>
    <rPh sb="5" eb="7">
      <t>ダイスウ</t>
    </rPh>
    <phoneticPr fontId="2"/>
  </si>
  <si>
    <t>合　　計</t>
  </si>
  <si>
    <t>減少台数</t>
    <rPh sb="0" eb="2">
      <t>ゲンショウ</t>
    </rPh>
    <rPh sb="2" eb="4">
      <t>ダイスウ</t>
    </rPh>
    <phoneticPr fontId="2"/>
  </si>
  <si>
    <t>減少台数</t>
  </si>
  <si>
    <t>天然ガス</t>
  </si>
  <si>
    <t>ハイブリッド</t>
    <phoneticPr fontId="2"/>
  </si>
  <si>
    <t>プラグインハイブリッド</t>
    <phoneticPr fontId="2"/>
  </si>
  <si>
    <r>
      <t>ガソリン・L</t>
    </r>
    <r>
      <rPr>
        <sz val="11"/>
        <rFont val="ＭＳ Ｐゴシック"/>
        <family val="3"/>
        <charset val="128"/>
      </rPr>
      <t>PG</t>
    </r>
    <r>
      <rPr>
        <sz val="11"/>
        <rFont val="ＭＳ Ｐゴシック"/>
        <family val="3"/>
        <charset val="128"/>
      </rPr>
      <t>　</t>
    </r>
    <r>
      <rPr>
        <sz val="11"/>
        <rFont val="ＭＳ Ｐゴシック"/>
        <family val="3"/>
        <charset val="128"/>
      </rPr>
      <t xml:space="preserve"> （</t>
    </r>
    <r>
      <rPr>
        <sz val="11"/>
        <rFont val="ＭＳ Ｐゴシック"/>
        <family val="3"/>
        <charset val="128"/>
      </rPr>
      <t>ハイブリッド除く）</t>
    </r>
    <rPh sb="17" eb="18">
      <t>ノゾ</t>
    </rPh>
    <phoneticPr fontId="2"/>
  </si>
  <si>
    <t>軽油（ハイブリッド除く）</t>
    <rPh sb="0" eb="2">
      <t>ケイユ</t>
    </rPh>
    <phoneticPr fontId="2"/>
  </si>
  <si>
    <t>ポスト新長期</t>
    <rPh sb="3" eb="4">
      <t>シン</t>
    </rPh>
    <rPh sb="4" eb="6">
      <t>チョウキ</t>
    </rPh>
    <phoneticPr fontId="2"/>
  </si>
  <si>
    <t>事業所平均</t>
    <rPh sb="0" eb="3">
      <t>ジギョウショ</t>
    </rPh>
    <rPh sb="3" eb="5">
      <t>ヘイキン</t>
    </rPh>
    <phoneticPr fontId="2"/>
  </si>
  <si>
    <t>km/L</t>
    <phoneticPr fontId="2"/>
  </si>
  <si>
    <t>年度
（実績）</t>
  </si>
  <si>
    <t>月</t>
    <rPh sb="0" eb="1">
      <t>ガツ</t>
    </rPh>
    <phoneticPr fontId="2"/>
  </si>
  <si>
    <t>使用の本拠</t>
    <rPh sb="0" eb="2">
      <t>シヨウ</t>
    </rPh>
    <rPh sb="3" eb="5">
      <t>ホンキョ</t>
    </rPh>
    <phoneticPr fontId="2"/>
  </si>
  <si>
    <t>文字</t>
    <rPh sb="0" eb="2">
      <t>モジ</t>
    </rPh>
    <phoneticPr fontId="2"/>
  </si>
  <si>
    <t>指定番号</t>
    <rPh sb="0" eb="2">
      <t>シテイ</t>
    </rPh>
    <rPh sb="2" eb="4">
      <t>バンゴウ</t>
    </rPh>
    <phoneticPr fontId="2"/>
  </si>
  <si>
    <t>せ</t>
  </si>
  <si>
    <t>そ</t>
  </si>
  <si>
    <t>す</t>
  </si>
  <si>
    <t>も</t>
  </si>
  <si>
    <t>ぬ</t>
  </si>
  <si>
    <t>ね</t>
  </si>
  <si>
    <t>た</t>
  </si>
  <si>
    <t>ひ</t>
  </si>
  <si>
    <t>ま</t>
  </si>
  <si>
    <t>さ</t>
  </si>
  <si>
    <t>は</t>
  </si>
  <si>
    <t>ち</t>
  </si>
  <si>
    <t>事業所台帳より</t>
    <rPh sb="0" eb="3">
      <t>ジギョウショ</t>
    </rPh>
    <rPh sb="3" eb="5">
      <t>ダイチョウ</t>
    </rPh>
    <phoneticPr fontId="2"/>
  </si>
  <si>
    <t>排ガス規制識別番号</t>
    <rPh sb="0" eb="1">
      <t>ハイ</t>
    </rPh>
    <rPh sb="3" eb="5">
      <t>キセイ</t>
    </rPh>
    <rPh sb="5" eb="7">
      <t>シキベツ</t>
    </rPh>
    <rPh sb="7" eb="9">
      <t>バンゴウ</t>
    </rPh>
    <phoneticPr fontId="2"/>
  </si>
  <si>
    <t>計画書作成時（以降は、変更のあるとき）</t>
    <rPh sb="0" eb="3">
      <t>ケイカクショ</t>
    </rPh>
    <rPh sb="3" eb="5">
      <t>サクセイ</t>
    </rPh>
    <rPh sb="5" eb="6">
      <t>ジ</t>
    </rPh>
    <rPh sb="7" eb="9">
      <t>イコウ</t>
    </rPh>
    <rPh sb="11" eb="13">
      <t>ヘンコウ</t>
    </rPh>
    <phoneticPr fontId="15"/>
  </si>
  <si>
    <t>計画書作成時</t>
    <rPh sb="0" eb="2">
      <t>ケイカク</t>
    </rPh>
    <rPh sb="2" eb="3">
      <t>ショ</t>
    </rPh>
    <rPh sb="3" eb="6">
      <t>サクセイジ</t>
    </rPh>
    <phoneticPr fontId="15"/>
  </si>
  <si>
    <t>実績報告時</t>
    <rPh sb="0" eb="2">
      <t>ジッセキ</t>
    </rPh>
    <rPh sb="2" eb="4">
      <t>ホウコク</t>
    </rPh>
    <rPh sb="4" eb="5">
      <t>ジ</t>
    </rPh>
    <phoneticPr fontId="15"/>
  </si>
  <si>
    <t>計画書作成時・実績報告時</t>
    <rPh sb="0" eb="3">
      <t>ケイカクショ</t>
    </rPh>
    <rPh sb="3" eb="6">
      <t>サクセイジ</t>
    </rPh>
    <rPh sb="7" eb="9">
      <t>ジッセキ</t>
    </rPh>
    <rPh sb="9" eb="11">
      <t>ホウコク</t>
    </rPh>
    <rPh sb="11" eb="12">
      <t>ジ</t>
    </rPh>
    <phoneticPr fontId="15"/>
  </si>
  <si>
    <t>車両の増減</t>
    <rPh sb="0" eb="2">
      <t>シャリョウ</t>
    </rPh>
    <rPh sb="3" eb="5">
      <t>ゾウゲン</t>
    </rPh>
    <phoneticPr fontId="2"/>
  </si>
  <si>
    <t>新規</t>
  </si>
  <si>
    <t>減車</t>
  </si>
  <si>
    <t>一時使用</t>
    <rPh sb="0" eb="2">
      <t>イチジ</t>
    </rPh>
    <rPh sb="2" eb="4">
      <t>シヨウ</t>
    </rPh>
    <phoneticPr fontId="2"/>
  </si>
  <si>
    <t>減車
年月</t>
    <rPh sb="0" eb="2">
      <t>ゲンシャ</t>
    </rPh>
    <rPh sb="3" eb="5">
      <t>ネンゲツ</t>
    </rPh>
    <phoneticPr fontId="2"/>
  </si>
  <si>
    <t>（お）</t>
    <phoneticPr fontId="2"/>
  </si>
  <si>
    <t>（か）</t>
    <phoneticPr fontId="2"/>
  </si>
  <si>
    <t>（ね）</t>
    <phoneticPr fontId="2"/>
  </si>
  <si>
    <t>（の）</t>
    <phoneticPr fontId="2"/>
  </si>
  <si>
    <t>各車両の記録を確認して記載</t>
    <rPh sb="0" eb="3">
      <t>カクシャリョウ</t>
    </rPh>
    <rPh sb="4" eb="6">
      <t>キロク</t>
    </rPh>
    <rPh sb="7" eb="9">
      <t>カクニン</t>
    </rPh>
    <rPh sb="11" eb="13">
      <t>キサイ</t>
    </rPh>
    <phoneticPr fontId="2"/>
  </si>
  <si>
    <t>OK</t>
    <phoneticPr fontId="2"/>
  </si>
  <si>
    <t>※当該年度内での一時使用車両は、減少台数、新規使用台数にカウントされません。</t>
    <rPh sb="1" eb="3">
      <t>トウガイ</t>
    </rPh>
    <rPh sb="3" eb="5">
      <t>ネンド</t>
    </rPh>
    <rPh sb="5" eb="6">
      <t>ナイ</t>
    </rPh>
    <rPh sb="8" eb="10">
      <t>イチジ</t>
    </rPh>
    <rPh sb="10" eb="12">
      <t>シヨウ</t>
    </rPh>
    <rPh sb="12" eb="14">
      <t>シャリョウ</t>
    </rPh>
    <rPh sb="16" eb="18">
      <t>ゲンショウ</t>
    </rPh>
    <rPh sb="18" eb="20">
      <t>ダイスウ</t>
    </rPh>
    <rPh sb="21" eb="23">
      <t>シンキ</t>
    </rPh>
    <rPh sb="23" eb="25">
      <t>シヨウ</t>
    </rPh>
    <rPh sb="25" eb="27">
      <t>ダイスウ</t>
    </rPh>
    <phoneticPr fontId="2"/>
  </si>
  <si>
    <t>継続</t>
    <phoneticPr fontId="2"/>
  </si>
  <si>
    <t>(減車済)</t>
    <rPh sb="1" eb="3">
      <t>ゲンシャ</t>
    </rPh>
    <rPh sb="3" eb="4">
      <t>ス</t>
    </rPh>
    <phoneticPr fontId="2"/>
  </si>
  <si>
    <t>車両の増減</t>
    <rPh sb="0" eb="2">
      <t>シャリョウ</t>
    </rPh>
    <rPh sb="3" eb="5">
      <t>ゾウゲン</t>
    </rPh>
    <phoneticPr fontId="2"/>
  </si>
  <si>
    <t>年度内に車両存在</t>
    <rPh sb="0" eb="3">
      <t>ネンドナイ</t>
    </rPh>
    <rPh sb="4" eb="6">
      <t>シャリョウ</t>
    </rPh>
    <rPh sb="6" eb="8">
      <t>ソンザイ</t>
    </rPh>
    <phoneticPr fontId="2"/>
  </si>
  <si>
    <t>↓電気・燃料電池に対応していなかったので修正</t>
    <rPh sb="1" eb="3">
      <t>デンキ</t>
    </rPh>
    <rPh sb="4" eb="6">
      <t>ネンリョウ</t>
    </rPh>
    <rPh sb="6" eb="8">
      <t>デンチ</t>
    </rPh>
    <rPh sb="9" eb="11">
      <t>タイオウ</t>
    </rPh>
    <rPh sb="20" eb="22">
      <t>シュウセイ</t>
    </rPh>
    <phoneticPr fontId="2"/>
  </si>
  <si>
    <r>
      <t>別添</t>
    </r>
    <r>
      <rPr>
        <sz val="8"/>
        <color indexed="10"/>
        <rFont val="ＭＳ Ｐゴシック"/>
        <family val="3"/>
        <charset val="128"/>
      </rPr>
      <t>５</t>
    </r>
    <r>
      <rPr>
        <sz val="8"/>
        <rFont val="ＭＳ Ｐゴシック"/>
        <family val="3"/>
        <charset val="128"/>
      </rPr>
      <t>の事業場別燃料区分</t>
    </r>
    <rPh sb="0" eb="2">
      <t>ベッテン</t>
    </rPh>
    <rPh sb="4" eb="6">
      <t>ジギョウ</t>
    </rPh>
    <rPh sb="6" eb="7">
      <t>ジョウ</t>
    </rPh>
    <rPh sb="7" eb="8">
      <t>ベツ</t>
    </rPh>
    <rPh sb="8" eb="10">
      <t>ネンリョウ</t>
    </rPh>
    <rPh sb="10" eb="12">
      <t>クブン</t>
    </rPh>
    <phoneticPr fontId="2"/>
  </si>
  <si>
    <t>別添5の事業場ごと自動車区分</t>
    <rPh sb="0" eb="2">
      <t>ベッテン</t>
    </rPh>
    <rPh sb="4" eb="6">
      <t>ジギョウ</t>
    </rPh>
    <rPh sb="6" eb="7">
      <t>バ</t>
    </rPh>
    <rPh sb="9" eb="12">
      <t>ジドウシャ</t>
    </rPh>
    <rPh sb="12" eb="14">
      <t>クブン</t>
    </rPh>
    <phoneticPr fontId="2"/>
  </si>
  <si>
    <t>↓年度末に存在する車のみ表示</t>
    <rPh sb="1" eb="4">
      <t>ネンドマツ</t>
    </rPh>
    <rPh sb="5" eb="7">
      <t>ソンザイ</t>
    </rPh>
    <rPh sb="9" eb="10">
      <t>クルマ</t>
    </rPh>
    <rPh sb="12" eb="14">
      <t>ヒョウジ</t>
    </rPh>
    <phoneticPr fontId="2"/>
  </si>
  <si>
    <t>年度末に車両存在</t>
    <rPh sb="0" eb="3">
      <t>ネンドマツ</t>
    </rPh>
    <rPh sb="4" eb="6">
      <t>シャリョウ</t>
    </rPh>
    <rPh sb="6" eb="8">
      <t>ソンザイ</t>
    </rPh>
    <phoneticPr fontId="2"/>
  </si>
  <si>
    <t>NOx・PM低減装置</t>
    <phoneticPr fontId="2"/>
  </si>
  <si>
    <t>PM低減装置</t>
    <phoneticPr fontId="2"/>
  </si>
  <si>
    <t>軽油車のみ</t>
    <rPh sb="0" eb="2">
      <t>ケイユ</t>
    </rPh>
    <rPh sb="2" eb="3">
      <t>シャ</t>
    </rPh>
    <phoneticPr fontId="2"/>
  </si>
  <si>
    <t>燃料区分1</t>
    <rPh sb="0" eb="2">
      <t>ネンリョウ</t>
    </rPh>
    <rPh sb="2" eb="4">
      <t>クブン</t>
    </rPh>
    <phoneticPr fontId="2"/>
  </si>
  <si>
    <t>廃車</t>
    <rPh sb="0" eb="2">
      <t>ハイシャ</t>
    </rPh>
    <phoneticPr fontId="2"/>
  </si>
  <si>
    <t>減車計</t>
    <rPh sb="0" eb="2">
      <t>ゲンシャ</t>
    </rPh>
    <rPh sb="2" eb="3">
      <t>ケイ</t>
    </rPh>
    <phoneticPr fontId="2"/>
  </si>
  <si>
    <t>新規計</t>
    <rPh sb="0" eb="2">
      <t>シンキ</t>
    </rPh>
    <rPh sb="2" eb="3">
      <t>ケイ</t>
    </rPh>
    <phoneticPr fontId="2"/>
  </si>
  <si>
    <t>年度末台数</t>
    <rPh sb="0" eb="3">
      <t>ネンドマツ</t>
    </rPh>
    <rPh sb="3" eb="5">
      <t>ダイスウ</t>
    </rPh>
    <phoneticPr fontId="15"/>
  </si>
  <si>
    <t>↓別添５でのみ使用しているため、年度末に存在する車のみ表示</t>
    <rPh sb="1" eb="3">
      <t>ベッテン</t>
    </rPh>
    <rPh sb="7" eb="9">
      <t>シヨウ</t>
    </rPh>
    <phoneticPr fontId="2"/>
  </si>
  <si>
    <t>共通：車両が存在しない時は表示しないようにした</t>
    <rPh sb="0" eb="2">
      <t>キョウツウ</t>
    </rPh>
    <rPh sb="3" eb="5">
      <t>シャリョウ</t>
    </rPh>
    <rPh sb="6" eb="8">
      <t>ソンザイ</t>
    </rPh>
    <rPh sb="11" eb="12">
      <t>トキ</t>
    </rPh>
    <rPh sb="13" eb="15">
      <t>ヒョウジ</t>
    </rPh>
    <phoneticPr fontId="2"/>
  </si>
  <si>
    <t>名前</t>
    <rPh sb="0" eb="2">
      <t>ナマエ</t>
    </rPh>
    <phoneticPr fontId="2"/>
  </si>
  <si>
    <t>コメント</t>
    <phoneticPr fontId="2"/>
  </si>
  <si>
    <t>件数</t>
    <rPh sb="0" eb="2">
      <t>ケンスウ</t>
    </rPh>
    <phoneticPr fontId="2"/>
  </si>
  <si>
    <t>低減装置</t>
    <rPh sb="0" eb="2">
      <t>テイゲン</t>
    </rPh>
    <rPh sb="2" eb="4">
      <t>ソウチ</t>
    </rPh>
    <phoneticPr fontId="2"/>
  </si>
  <si>
    <t>別添3-2,4-2で使用</t>
    <rPh sb="0" eb="2">
      <t>ベッテン</t>
    </rPh>
    <rPh sb="10" eb="12">
      <t>シヨウ</t>
    </rPh>
    <phoneticPr fontId="2"/>
  </si>
  <si>
    <t>別添5で使用</t>
    <rPh sb="0" eb="2">
      <t>ベッテン</t>
    </rPh>
    <rPh sb="4" eb="6">
      <t>シヨウ</t>
    </rPh>
    <phoneticPr fontId="2"/>
  </si>
  <si>
    <t>相模</t>
    <rPh sb="0" eb="2">
      <t>サガミ</t>
    </rPh>
    <phoneticPr fontId="2"/>
  </si>
  <si>
    <t>川崎</t>
    <rPh sb="0" eb="2">
      <t>カワサキ</t>
    </rPh>
    <phoneticPr fontId="2"/>
  </si>
  <si>
    <t>ナンバー</t>
    <phoneticPr fontId="2"/>
  </si>
  <si>
    <t>横浜</t>
    <rPh sb="0" eb="2">
      <t>ヨコハマ</t>
    </rPh>
    <phoneticPr fontId="2"/>
  </si>
  <si>
    <t>湘南</t>
    <rPh sb="0" eb="2">
      <t>ショウナン</t>
    </rPh>
    <phoneticPr fontId="2"/>
  </si>
  <si>
    <t>つ</t>
  </si>
  <si>
    <t>て</t>
  </si>
  <si>
    <t>と</t>
  </si>
  <si>
    <t>な</t>
  </si>
  <si>
    <t>に</t>
  </si>
  <si>
    <t>の</t>
  </si>
  <si>
    <t>ふ</t>
  </si>
  <si>
    <t>ほ</t>
  </si>
  <si>
    <t>み</t>
  </si>
  <si>
    <t>む</t>
  </si>
  <si>
    <t>め</t>
  </si>
  <si>
    <t>や</t>
  </si>
  <si>
    <t>ゆ</t>
  </si>
  <si>
    <t>ら</t>
  </si>
  <si>
    <t>り</t>
  </si>
  <si>
    <t>る</t>
  </si>
  <si>
    <t>ナンバーの文字</t>
    <rPh sb="5" eb="7">
      <t>モジ</t>
    </rPh>
    <phoneticPr fontId="2"/>
  </si>
  <si>
    <t>れ</t>
    <phoneticPr fontId="2"/>
  </si>
  <si>
    <t>わ</t>
    <phoneticPr fontId="2"/>
  </si>
  <si>
    <t>ろ</t>
    <phoneticPr fontId="2"/>
  </si>
  <si>
    <t>事業所
番号</t>
    <rPh sb="0" eb="2">
      <t>ジギョウ</t>
    </rPh>
    <rPh sb="2" eb="3">
      <t>ショ</t>
    </rPh>
    <rPh sb="4" eb="6">
      <t>バンゴウ</t>
    </rPh>
    <phoneticPr fontId="2"/>
  </si>
  <si>
    <t>計画書（新規対象事業者）</t>
  </si>
  <si>
    <t>計画書（計画更新事業者）</t>
  </si>
  <si>
    <t>※選択して下さい</t>
    <rPh sb="1" eb="3">
      <t>センタク</t>
    </rPh>
    <rPh sb="5" eb="6">
      <t>クダ</t>
    </rPh>
    <phoneticPr fontId="2"/>
  </si>
  <si>
    <t>※別添１より（事業所数）</t>
    <rPh sb="1" eb="3">
      <t>ベッテン</t>
    </rPh>
    <rPh sb="7" eb="10">
      <t>ジギョウショ</t>
    </rPh>
    <rPh sb="10" eb="11">
      <t>スウ</t>
    </rPh>
    <phoneticPr fontId="2"/>
  </si>
  <si>
    <t>対象事業者になってから3ヶ月以内</t>
    <rPh sb="0" eb="2">
      <t>タイショウ</t>
    </rPh>
    <rPh sb="2" eb="5">
      <t>ジギョウシャ</t>
    </rPh>
    <rPh sb="13" eb="14">
      <t>ゲツ</t>
    </rPh>
    <rPh sb="14" eb="16">
      <t>イナイ</t>
    </rPh>
    <phoneticPr fontId="2"/>
  </si>
  <si>
    <t>計画書または実績報告書の提出時期</t>
    <rPh sb="0" eb="3">
      <t>ケイカクショ</t>
    </rPh>
    <rPh sb="6" eb="8">
      <t>ジッセキ</t>
    </rPh>
    <rPh sb="8" eb="11">
      <t>ホウコクショ</t>
    </rPh>
    <rPh sb="12" eb="14">
      <t>テイシュツ</t>
    </rPh>
    <rPh sb="14" eb="16">
      <t>ジキ</t>
    </rPh>
    <phoneticPr fontId="2"/>
  </si>
  <si>
    <t>報告内容による提出時期及び記載内容の違い</t>
    <rPh sb="0" eb="2">
      <t>ホウコク</t>
    </rPh>
    <rPh sb="2" eb="4">
      <t>ナイヨウ</t>
    </rPh>
    <rPh sb="7" eb="9">
      <t>テイシュツ</t>
    </rPh>
    <rPh sb="9" eb="11">
      <t>ジキ</t>
    </rPh>
    <rPh sb="11" eb="12">
      <t>オヨ</t>
    </rPh>
    <rPh sb="13" eb="15">
      <t>キサイ</t>
    </rPh>
    <rPh sb="15" eb="17">
      <t>ナイヨウ</t>
    </rPh>
    <rPh sb="18" eb="19">
      <t>チガ</t>
    </rPh>
    <phoneticPr fontId="2"/>
  </si>
  <si>
    <t>車両情報</t>
    <rPh sb="0" eb="2">
      <t>シャリョウ</t>
    </rPh>
    <rPh sb="2" eb="4">
      <t>ジョウホウ</t>
    </rPh>
    <phoneticPr fontId="2"/>
  </si>
  <si>
    <t>提出物の種類</t>
    <rPh sb="0" eb="3">
      <t>テイシュツブツ</t>
    </rPh>
    <rPh sb="4" eb="6">
      <t>シュルイ</t>
    </rPh>
    <phoneticPr fontId="2"/>
  </si>
  <si>
    <t>年</t>
    <rPh sb="0" eb="1">
      <t>ネン</t>
    </rPh>
    <phoneticPr fontId="2"/>
  </si>
  <si>
    <t>対象事業者になった時点</t>
    <rPh sb="0" eb="2">
      <t>タイショウ</t>
    </rPh>
    <rPh sb="2" eb="5">
      <t>ジギョウシャ</t>
    </rPh>
    <rPh sb="9" eb="11">
      <t>ジテン</t>
    </rPh>
    <phoneticPr fontId="2"/>
  </si>
  <si>
    <t>使用
開始
年月</t>
    <rPh sb="0" eb="2">
      <t>シヨウ</t>
    </rPh>
    <rPh sb="3" eb="5">
      <t>カイシ</t>
    </rPh>
    <rPh sb="6" eb="8">
      <t>ネンゲツ</t>
    </rPh>
    <phoneticPr fontId="2"/>
  </si>
  <si>
    <t>～</t>
    <phoneticPr fontId="2"/>
  </si>
  <si>
    <t>時点</t>
    <rPh sb="0" eb="2">
      <t>ジテン</t>
    </rPh>
    <phoneticPr fontId="2"/>
  </si>
  <si>
    <t>年度途中に対象となった</t>
    <rPh sb="0" eb="2">
      <t>ネンド</t>
    </rPh>
    <rPh sb="2" eb="4">
      <t>トチュウ</t>
    </rPh>
    <rPh sb="5" eb="7">
      <t>タイショウ</t>
    </rPh>
    <phoneticPr fontId="2"/>
  </si>
  <si>
    <t>車両の増減の判断期間</t>
    <rPh sb="0" eb="2">
      <t>シャリョウ</t>
    </rPh>
    <rPh sb="3" eb="5">
      <t>ゾウゲン</t>
    </rPh>
    <rPh sb="6" eb="8">
      <t>ハンダン</t>
    </rPh>
    <rPh sb="8" eb="10">
      <t>キカン</t>
    </rPh>
    <phoneticPr fontId="2"/>
  </si>
  <si>
    <t>②対象事業者となった年月</t>
    <rPh sb="1" eb="3">
      <t>タイショウ</t>
    </rPh>
    <rPh sb="3" eb="6">
      <t>ジギョウシャ</t>
    </rPh>
    <rPh sb="10" eb="12">
      <t>ネンゲツ</t>
    </rPh>
    <phoneticPr fontId="2"/>
  </si>
  <si>
    <t>①提出物の種類</t>
    <rPh sb="1" eb="4">
      <t>テイシュツブツ</t>
    </rPh>
    <rPh sb="5" eb="7">
      <t>シュルイ</t>
    </rPh>
    <phoneticPr fontId="2"/>
  </si>
  <si>
    <t>対象事業者となった年月の入力ミスチェック</t>
    <rPh sb="0" eb="2">
      <t>タイショウ</t>
    </rPh>
    <rPh sb="2" eb="5">
      <t>ジギョウシャ</t>
    </rPh>
    <rPh sb="9" eb="11">
      <t>ネンゲツ</t>
    </rPh>
    <rPh sb="12" eb="14">
      <t>ニュウリョク</t>
    </rPh>
    <phoneticPr fontId="2"/>
  </si>
  <si>
    <t>の直近１年分相当</t>
    <rPh sb="1" eb="3">
      <t>チョッキン</t>
    </rPh>
    <rPh sb="4" eb="6">
      <t>ネンブン</t>
    </rPh>
    <rPh sb="6" eb="8">
      <t>ソウトウ</t>
    </rPh>
    <phoneticPr fontId="2"/>
  </si>
  <si>
    <t>月末日付</t>
    <rPh sb="0" eb="2">
      <t>ゲツマツ</t>
    </rPh>
    <rPh sb="2" eb="4">
      <t>ヒヅケ</t>
    </rPh>
    <phoneticPr fontId="2"/>
  </si>
  <si>
    <t>明らかなエラー</t>
    <rPh sb="0" eb="1">
      <t>アキ</t>
    </rPh>
    <phoneticPr fontId="2"/>
  </si>
  <si>
    <t>減車済</t>
    <rPh sb="0" eb="2">
      <t>ゲンシャ</t>
    </rPh>
    <rPh sb="2" eb="3">
      <t>ズ</t>
    </rPh>
    <phoneticPr fontId="2"/>
  </si>
  <si>
    <t>減車</t>
    <rPh sb="0" eb="2">
      <t>ゲンシャ</t>
    </rPh>
    <phoneticPr fontId="2"/>
  </si>
  <si>
    <t>継続</t>
    <rPh sb="0" eb="2">
      <t>ケイゾク</t>
    </rPh>
    <phoneticPr fontId="2"/>
  </si>
  <si>
    <t>新規</t>
    <rPh sb="0" eb="2">
      <t>シンキ</t>
    </rPh>
    <phoneticPr fontId="2"/>
  </si>
  <si>
    <t>期間当初台数</t>
    <rPh sb="0" eb="2">
      <t>キカン</t>
    </rPh>
    <rPh sb="2" eb="4">
      <t>トウショ</t>
    </rPh>
    <rPh sb="4" eb="6">
      <t>ダイスウ</t>
    </rPh>
    <phoneticPr fontId="2"/>
  </si>
  <si>
    <t>期間末台数</t>
    <rPh sb="0" eb="2">
      <t>キカン</t>
    </rPh>
    <rPh sb="2" eb="3">
      <t>マツ</t>
    </rPh>
    <rPh sb="3" eb="5">
      <t>ダイスウ</t>
    </rPh>
    <phoneticPr fontId="2"/>
  </si>
  <si>
    <t>現在）</t>
    <rPh sb="0" eb="2">
      <t>ゲンザイ</t>
    </rPh>
    <phoneticPr fontId="2"/>
  </si>
  <si>
    <t>（</t>
    <phoneticPr fontId="2"/>
  </si>
  <si>
    <t>実績を出す年度</t>
    <rPh sb="0" eb="2">
      <t>ジッセキ</t>
    </rPh>
    <rPh sb="3" eb="4">
      <t>ダ</t>
    </rPh>
    <rPh sb="5" eb="7">
      <t>ネンド</t>
    </rPh>
    <phoneticPr fontId="2"/>
  </si>
  <si>
    <t>事業所台帳</t>
    <rPh sb="0" eb="3">
      <t>ジギョウショ</t>
    </rPh>
    <rPh sb="3" eb="5">
      <t>ダイチョウ</t>
    </rPh>
    <phoneticPr fontId="15"/>
  </si>
  <si>
    <t>計画1</t>
    <rPh sb="0" eb="2">
      <t>ケイカク</t>
    </rPh>
    <phoneticPr fontId="15"/>
  </si>
  <si>
    <t>計画2</t>
    <rPh sb="0" eb="2">
      <t>ケイカク</t>
    </rPh>
    <phoneticPr fontId="15"/>
  </si>
  <si>
    <t>実績1</t>
    <rPh sb="0" eb="2">
      <t>ジッセキ</t>
    </rPh>
    <phoneticPr fontId="15"/>
  </si>
  <si>
    <t>実績2</t>
    <rPh sb="0" eb="2">
      <t>ジッセキ</t>
    </rPh>
    <phoneticPr fontId="15"/>
  </si>
  <si>
    <t>事業所別車両状況</t>
    <rPh sb="0" eb="3">
      <t>ジギョウショ</t>
    </rPh>
    <rPh sb="3" eb="4">
      <t>ベツ</t>
    </rPh>
    <rPh sb="4" eb="6">
      <t>シャリョウ</t>
    </rPh>
    <rPh sb="6" eb="8">
      <t>ジョウキョウ</t>
    </rPh>
    <phoneticPr fontId="15"/>
  </si>
  <si>
    <t>（う）</t>
    <phoneticPr fontId="2"/>
  </si>
  <si>
    <t>（え）</t>
    <phoneticPr fontId="2"/>
  </si>
  <si>
    <t>（き）</t>
    <phoneticPr fontId="2"/>
  </si>
  <si>
    <t>車両情報　（い）～（お）、（き）～（す）、（つ）、（て）</t>
    <phoneticPr fontId="2"/>
  </si>
  <si>
    <t>車両の増減の判断期間　（か）</t>
    <rPh sb="8" eb="10">
      <t>キカン</t>
    </rPh>
    <phoneticPr fontId="2"/>
  </si>
  <si>
    <t>走行距離、給油量　（た）、（ち）</t>
    <phoneticPr fontId="2"/>
  </si>
  <si>
    <t>※行やセルの削除・移動は行わないで下さい。セルが赤またはピンク色の箇所は入力エラーです。入力値を確認してください。</t>
    <rPh sb="1" eb="2">
      <t>ギョウ</t>
    </rPh>
    <rPh sb="6" eb="8">
      <t>サクジョ</t>
    </rPh>
    <rPh sb="9" eb="11">
      <t>イドウ</t>
    </rPh>
    <rPh sb="12" eb="13">
      <t>オコナ</t>
    </rPh>
    <rPh sb="17" eb="18">
      <t>クダ</t>
    </rPh>
    <rPh sb="24" eb="25">
      <t>アカ</t>
    </rPh>
    <rPh sb="31" eb="32">
      <t>イロ</t>
    </rPh>
    <rPh sb="33" eb="35">
      <t>カショ</t>
    </rPh>
    <rPh sb="36" eb="38">
      <t>ニュウリョク</t>
    </rPh>
    <rPh sb="44" eb="47">
      <t>ニュウリョクチ</t>
    </rPh>
    <rPh sb="48" eb="50">
      <t>カクニン</t>
    </rPh>
    <phoneticPr fontId="2"/>
  </si>
  <si>
    <t>！エラー箇所</t>
    <rPh sb="4" eb="6">
      <t>カショ</t>
    </rPh>
    <phoneticPr fontId="15"/>
  </si>
  <si>
    <t>･･･使用開始年月または減車年月に誤りがあります。</t>
    <rPh sb="3" eb="5">
      <t>シヨウ</t>
    </rPh>
    <rPh sb="5" eb="7">
      <t>カイシ</t>
    </rPh>
    <rPh sb="7" eb="9">
      <t>ネンゲツ</t>
    </rPh>
    <rPh sb="12" eb="14">
      <t>ゲンシャ</t>
    </rPh>
    <rPh sb="14" eb="16">
      <t>ネンゲツ</t>
    </rPh>
    <rPh sb="17" eb="18">
      <t>アヤマ</t>
    </rPh>
    <phoneticPr fontId="15"/>
  </si>
  <si>
    <t>　報告内容（計画、実績）及び年度によって提出時期や記載内容が異なります（次表参照）。</t>
    <rPh sb="6" eb="8">
      <t>ケイカク</t>
    </rPh>
    <rPh sb="9" eb="11">
      <t>ジッセキ</t>
    </rPh>
    <rPh sb="12" eb="13">
      <t>オヨ</t>
    </rPh>
    <rPh sb="14" eb="16">
      <t>ネンド</t>
    </rPh>
    <rPh sb="30" eb="31">
      <t>コト</t>
    </rPh>
    <rPh sb="36" eb="38">
      <t>ツギヒョウ</t>
    </rPh>
    <rPh sb="38" eb="40">
      <t>サンショウ</t>
    </rPh>
    <phoneticPr fontId="15"/>
  </si>
  <si>
    <r>
      <t>　ファイル名を、</t>
    </r>
    <r>
      <rPr>
        <sz val="12"/>
        <color indexed="10"/>
        <rFont val="ＭＳ 明朝"/>
        <family val="1"/>
        <charset val="128"/>
      </rPr>
      <t>貴社のID（※1）</t>
    </r>
    <r>
      <rPr>
        <sz val="12"/>
        <rFont val="ＭＳ 明朝"/>
        <family val="1"/>
        <charset val="128"/>
      </rPr>
      <t>にして保存してください。</t>
    </r>
    <rPh sb="5" eb="6">
      <t>メイ</t>
    </rPh>
    <rPh sb="8" eb="10">
      <t>キシャ</t>
    </rPh>
    <rPh sb="20" eb="22">
      <t>ホゾン</t>
    </rPh>
    <phoneticPr fontId="15"/>
  </si>
  <si>
    <t>　※1　「j+数字4桁」になります。（依頼状の入っていた封筒の宛名ラベルに記載しています。）
　　　不明な場合は、「j9999」としてください。</t>
    <rPh sb="23" eb="24">
      <t>ハイ</t>
    </rPh>
    <rPh sb="31" eb="33">
      <t>アテナ</t>
    </rPh>
    <rPh sb="50" eb="52">
      <t>フメイ</t>
    </rPh>
    <rPh sb="53" eb="55">
      <t>バアイ</t>
    </rPh>
    <phoneticPr fontId="15"/>
  </si>
  <si>
    <t>実績（排出量、車両代替実績）</t>
    <rPh sb="0" eb="2">
      <t>ジッセキ</t>
    </rPh>
    <rPh sb="3" eb="5">
      <t>ハイシュツ</t>
    </rPh>
    <rPh sb="5" eb="6">
      <t>リョウ</t>
    </rPh>
    <rPh sb="7" eb="9">
      <t>シャリョウ</t>
    </rPh>
    <rPh sb="9" eb="11">
      <t>ダイタイ</t>
    </rPh>
    <rPh sb="11" eb="13">
      <t>ジッセキ</t>
    </rPh>
    <phoneticPr fontId="15"/>
  </si>
  <si>
    <t>計画（排出量、車両代替計画）</t>
    <rPh sb="0" eb="2">
      <t>ケイカク</t>
    </rPh>
    <rPh sb="3" eb="5">
      <t>ハイシュツ</t>
    </rPh>
    <rPh sb="5" eb="6">
      <t>リョウ</t>
    </rPh>
    <rPh sb="7" eb="9">
      <t>シャリョウ</t>
    </rPh>
    <rPh sb="9" eb="11">
      <t>ダイタイ</t>
    </rPh>
    <rPh sb="11" eb="13">
      <t>ケイカク</t>
    </rPh>
    <phoneticPr fontId="15"/>
  </si>
  <si>
    <t>事業所別集計表</t>
    <rPh sb="0" eb="3">
      <t>ジギョウショ</t>
    </rPh>
    <rPh sb="3" eb="4">
      <t>ベツ</t>
    </rPh>
    <rPh sb="4" eb="7">
      <t>シュウケイヒョウ</t>
    </rPh>
    <phoneticPr fontId="15"/>
  </si>
  <si>
    <t>記入不要（表示のみ）</t>
    <rPh sb="0" eb="2">
      <t>キニュウ</t>
    </rPh>
    <rPh sb="2" eb="4">
      <t>フヨウ</t>
    </rPh>
    <rPh sb="5" eb="7">
      <t>ヒョウジ</t>
    </rPh>
    <phoneticPr fontId="15"/>
  </si>
  <si>
    <t>備考（入力必要箇所の有無）</t>
    <rPh sb="0" eb="2">
      <t>ビコウ</t>
    </rPh>
    <rPh sb="3" eb="5">
      <t>ニュウリョク</t>
    </rPh>
    <rPh sb="5" eb="7">
      <t>ヒツヨウ</t>
    </rPh>
    <rPh sb="7" eb="9">
      <t>カショ</t>
    </rPh>
    <rPh sb="10" eb="12">
      <t>ウム</t>
    </rPh>
    <rPh sb="12" eb="13">
      <t>ネンド</t>
    </rPh>
    <phoneticPr fontId="15"/>
  </si>
  <si>
    <t>【表紙】</t>
    <rPh sb="1" eb="3">
      <t>ヒョウシ</t>
    </rPh>
    <phoneticPr fontId="15"/>
  </si>
  <si>
    <t>【参考】産業分類</t>
    <rPh sb="1" eb="3">
      <t>サンコウ</t>
    </rPh>
    <rPh sb="4" eb="6">
      <t>サンギョウ</t>
    </rPh>
    <rPh sb="6" eb="8">
      <t>ブンルイ</t>
    </rPh>
    <phoneticPr fontId="15"/>
  </si>
  <si>
    <t>【参考】排出係数</t>
    <rPh sb="1" eb="3">
      <t>サンコウ</t>
    </rPh>
    <rPh sb="4" eb="6">
      <t>ハイシュツ</t>
    </rPh>
    <rPh sb="6" eb="8">
      <t>ケイスウ</t>
    </rPh>
    <phoneticPr fontId="15"/>
  </si>
  <si>
    <t>排出係数一覧</t>
    <rPh sb="0" eb="2">
      <t>ハイシュツ</t>
    </rPh>
    <rPh sb="2" eb="4">
      <t>ケイスウ</t>
    </rPh>
    <rPh sb="4" eb="6">
      <t>イチラン</t>
    </rPh>
    <phoneticPr fontId="15"/>
  </si>
  <si>
    <t>記入不要（別のシートの計算で使用）</t>
    <rPh sb="0" eb="2">
      <t>キニュウ</t>
    </rPh>
    <rPh sb="2" eb="4">
      <t>フヨウ</t>
    </rPh>
    <rPh sb="5" eb="6">
      <t>ベツ</t>
    </rPh>
    <rPh sb="11" eb="13">
      <t>ケイサン</t>
    </rPh>
    <rPh sb="14" eb="16">
      <t>シヨウ</t>
    </rPh>
    <phoneticPr fontId="15"/>
  </si>
  <si>
    <t>記入不要（【表紙】に業種番号を入力する際に参照する）</t>
    <rPh sb="0" eb="2">
      <t>キニュウ</t>
    </rPh>
    <rPh sb="2" eb="4">
      <t>フヨウ</t>
    </rPh>
    <rPh sb="10" eb="12">
      <t>ギョウシュ</t>
    </rPh>
    <rPh sb="12" eb="14">
      <t>バンゴウ</t>
    </rPh>
    <rPh sb="15" eb="17">
      <t>ニュウリョク</t>
    </rPh>
    <rPh sb="19" eb="20">
      <t>サイ</t>
    </rPh>
    <rPh sb="21" eb="23">
      <t>サンショウ</t>
    </rPh>
    <phoneticPr fontId="15"/>
  </si>
  <si>
    <t>お問合せ先：</t>
    <rPh sb="1" eb="3">
      <t>トイアワ</t>
    </rPh>
    <rPh sb="4" eb="5">
      <t>サキ</t>
    </rPh>
    <phoneticPr fontId="15"/>
  </si>
  <si>
    <t>●操作の詳細は、「作成の手引き」をご覧下さい。</t>
    <rPh sb="1" eb="3">
      <t>ソウサ</t>
    </rPh>
    <rPh sb="4" eb="6">
      <t>ショウサイ</t>
    </rPh>
    <rPh sb="9" eb="11">
      <t>サクセイ</t>
    </rPh>
    <rPh sb="12" eb="14">
      <t>テビ</t>
    </rPh>
    <rPh sb="18" eb="19">
      <t>ラン</t>
    </rPh>
    <rPh sb="19" eb="20">
      <t>クダ</t>
    </rPh>
    <phoneticPr fontId="15"/>
  </si>
  <si>
    <t>車両の増減の
判断
（か）</t>
    <rPh sb="0" eb="2">
      <t>シャリョウ</t>
    </rPh>
    <rPh sb="3" eb="5">
      <t>ゾウゲン</t>
    </rPh>
    <rPh sb="7" eb="9">
      <t>ハンダン</t>
    </rPh>
    <phoneticPr fontId="2"/>
  </si>
  <si>
    <t>「車両台帳」の対象時期</t>
    <rPh sb="1" eb="3">
      <t>シャリョウ</t>
    </rPh>
    <rPh sb="3" eb="5">
      <t>ダイチョウ</t>
    </rPh>
    <rPh sb="7" eb="9">
      <t>タイショウ</t>
    </rPh>
    <rPh sb="9" eb="11">
      <t>ジキ</t>
    </rPh>
    <phoneticPr fontId="2"/>
  </si>
  <si>
    <t>車両情報
（い）～（お）、
（き）～（す）、
（つ）、（て）</t>
    <rPh sb="0" eb="2">
      <t>シャリョウ</t>
    </rPh>
    <rPh sb="2" eb="4">
      <t>ジョウホウ</t>
    </rPh>
    <phoneticPr fontId="2"/>
  </si>
  <si>
    <t>備　考</t>
    <rPh sb="0" eb="1">
      <t>ソナエ</t>
    </rPh>
    <rPh sb="2" eb="3">
      <t>コウ</t>
    </rPh>
    <phoneticPr fontId="2"/>
  </si>
  <si>
    <t>･･･入力値に誤りがあります。</t>
    <rPh sb="3" eb="6">
      <t>ニュウリョクチ</t>
    </rPh>
    <rPh sb="7" eb="8">
      <t>アヤマ</t>
    </rPh>
    <phoneticPr fontId="15"/>
  </si>
  <si>
    <t>表紙、事業所台帳、計画1、計画2にも入力して下さい。</t>
    <rPh sb="0" eb="2">
      <t>ヒョウシ</t>
    </rPh>
    <rPh sb="3" eb="6">
      <t>ジギョウショ</t>
    </rPh>
    <rPh sb="6" eb="8">
      <t>ダイチョウ</t>
    </rPh>
    <rPh sb="9" eb="11">
      <t>ケイカク</t>
    </rPh>
    <rPh sb="13" eb="15">
      <t>ケイカク</t>
    </rPh>
    <rPh sb="18" eb="20">
      <t>ニュウリョク</t>
    </rPh>
    <rPh sb="22" eb="23">
      <t>クダ</t>
    </rPh>
    <phoneticPr fontId="2"/>
  </si>
  <si>
    <t>車検証を確認して転記</t>
    <rPh sb="0" eb="3">
      <t>シャケンショウ</t>
    </rPh>
    <rPh sb="4" eb="6">
      <t>カクニン</t>
    </rPh>
    <rPh sb="8" eb="10">
      <t>テンキ</t>
    </rPh>
    <phoneticPr fontId="2"/>
  </si>
  <si>
    <t>事業所番号</t>
    <rPh sb="3" eb="5">
      <t>バンゴウ</t>
    </rPh>
    <phoneticPr fontId="2"/>
  </si>
  <si>
    <t>事業所の名称</t>
    <rPh sb="4" eb="6">
      <t>メイショウ</t>
    </rPh>
    <phoneticPr fontId="2"/>
  </si>
  <si>
    <t>事業所の所在地</t>
    <rPh sb="4" eb="7">
      <t>ショザイチ</t>
    </rPh>
    <phoneticPr fontId="2"/>
  </si>
  <si>
    <t>事業所の連絡先</t>
    <rPh sb="4" eb="7">
      <t>レンラクサキ</t>
    </rPh>
    <phoneticPr fontId="2"/>
  </si>
  <si>
    <t>年間燃料
給油量</t>
    <rPh sb="0" eb="2">
      <t>ネンカン</t>
    </rPh>
    <rPh sb="2" eb="4">
      <t>ネンリョウ</t>
    </rPh>
    <rPh sb="5" eb="7">
      <t>キュウユ</t>
    </rPh>
    <rPh sb="7" eb="8">
      <t>リョウ</t>
    </rPh>
    <phoneticPr fontId="2"/>
  </si>
  <si>
    <t>ＮＯｘ
排出係数</t>
    <rPh sb="4" eb="6">
      <t>ハイシュツ</t>
    </rPh>
    <rPh sb="6" eb="8">
      <t>ケイスウ</t>
    </rPh>
    <phoneticPr fontId="2"/>
  </si>
  <si>
    <t>ＰＭ
排出係数</t>
    <rPh sb="3" eb="5">
      <t>ハイシュツ</t>
    </rPh>
    <rPh sb="5" eb="7">
      <t>ケイスウ</t>
    </rPh>
    <phoneticPr fontId="2"/>
  </si>
  <si>
    <t>（Excel2003ではこのエラー表示は出ません）</t>
    <rPh sb="17" eb="19">
      <t>ヒョウジ</t>
    </rPh>
    <rPh sb="20" eb="21">
      <t>デ</t>
    </rPh>
    <phoneticPr fontId="15"/>
  </si>
  <si>
    <t>○値の貼付け</t>
    <rPh sb="1" eb="2">
      <t>アタイ</t>
    </rPh>
    <rPh sb="3" eb="4">
      <t>ハ</t>
    </rPh>
    <rPh sb="4" eb="5">
      <t>ツ</t>
    </rPh>
    <phoneticPr fontId="15"/>
  </si>
  <si>
    <t>↓値貼付け</t>
    <rPh sb="1" eb="2">
      <t>アタイ</t>
    </rPh>
    <rPh sb="2" eb="3">
      <t>ハ</t>
    </rPh>
    <rPh sb="3" eb="4">
      <t>ツ</t>
    </rPh>
    <phoneticPr fontId="15"/>
  </si>
  <si>
    <t>・・・車両台帳の入力後、「緑ハッチ」色のセルの値を</t>
    <rPh sb="3" eb="5">
      <t>シャリョウ</t>
    </rPh>
    <rPh sb="5" eb="7">
      <t>ダイチョウ</t>
    </rPh>
    <rPh sb="8" eb="10">
      <t>ニュウリョク</t>
    </rPh>
    <rPh sb="10" eb="11">
      <t>ゴ</t>
    </rPh>
    <rPh sb="13" eb="14">
      <t>ミドリ</t>
    </rPh>
    <rPh sb="18" eb="19">
      <t>イロ</t>
    </rPh>
    <rPh sb="23" eb="24">
      <t>アタイ</t>
    </rPh>
    <phoneticPr fontId="2"/>
  </si>
  <si>
    <t>（参考）値貼り付けの方法</t>
    <rPh sb="1" eb="3">
      <t>サンコウ</t>
    </rPh>
    <rPh sb="4" eb="5">
      <t>アタイ</t>
    </rPh>
    <rPh sb="5" eb="6">
      <t>ハ</t>
    </rPh>
    <rPh sb="7" eb="8">
      <t>ツ</t>
    </rPh>
    <rPh sb="10" eb="12">
      <t>ホウホウ</t>
    </rPh>
    <phoneticPr fontId="2"/>
  </si>
  <si>
    <t>「値貼り付け」とは、エクセルのデータをコピーする際、書式や数式ではなく、値のみをコピーする方法です。</t>
    <rPh sb="1" eb="2">
      <t>アタイ</t>
    </rPh>
    <rPh sb="2" eb="3">
      <t>ハ</t>
    </rPh>
    <rPh sb="4" eb="5">
      <t>ツ</t>
    </rPh>
    <rPh sb="24" eb="25">
      <t>サイ</t>
    </rPh>
    <rPh sb="26" eb="28">
      <t>ショシキ</t>
    </rPh>
    <rPh sb="29" eb="31">
      <t>スウシキ</t>
    </rPh>
    <rPh sb="36" eb="37">
      <t>アタイ</t>
    </rPh>
    <rPh sb="45" eb="47">
      <t>ホウホウ</t>
    </rPh>
    <phoneticPr fontId="2"/>
  </si>
  <si>
    <t>①</t>
    <phoneticPr fontId="2"/>
  </si>
  <si>
    <t>コピーの元となる値が示されている緑色ハッチのセルを選択します（複数選択可）。</t>
    <rPh sb="4" eb="5">
      <t>モト</t>
    </rPh>
    <rPh sb="8" eb="9">
      <t>アタイ</t>
    </rPh>
    <rPh sb="10" eb="11">
      <t>シメ</t>
    </rPh>
    <rPh sb="16" eb="18">
      <t>ミドリイロ</t>
    </rPh>
    <rPh sb="25" eb="27">
      <t>センタク</t>
    </rPh>
    <rPh sb="31" eb="33">
      <t>フクスウ</t>
    </rPh>
    <rPh sb="33" eb="35">
      <t>センタク</t>
    </rPh>
    <rPh sb="35" eb="36">
      <t>カ</t>
    </rPh>
    <phoneticPr fontId="2"/>
  </si>
  <si>
    <t>マウスを右クリックし、「コピー」をクリックします。</t>
    <rPh sb="4" eb="5">
      <t>ミギ</t>
    </rPh>
    <phoneticPr fontId="2"/>
  </si>
  <si>
    <t>②</t>
    <phoneticPr fontId="2"/>
  </si>
  <si>
    <t>「形式を選択して貼り付け」をクリックします。</t>
    <rPh sb="1" eb="3">
      <t>ケイシキ</t>
    </rPh>
    <rPh sb="4" eb="6">
      <t>センタク</t>
    </rPh>
    <rPh sb="8" eb="9">
      <t>ハ</t>
    </rPh>
    <rPh sb="10" eb="11">
      <t>ツ</t>
    </rPh>
    <phoneticPr fontId="2"/>
  </si>
  <si>
    <t>③</t>
    <phoneticPr fontId="2"/>
  </si>
  <si>
    <t>エクセルのバージョンにより、上記の画面が表示されない場合は、「形式を選択して貼り付け」</t>
    <rPh sb="14" eb="16">
      <t>ジョウキ</t>
    </rPh>
    <rPh sb="17" eb="19">
      <t>ガメン</t>
    </rPh>
    <rPh sb="20" eb="22">
      <t>ヒョウジ</t>
    </rPh>
    <rPh sb="26" eb="28">
      <t>バアイ</t>
    </rPh>
    <rPh sb="31" eb="33">
      <t>ケイシキ</t>
    </rPh>
    <rPh sb="34" eb="36">
      <t>センタク</t>
    </rPh>
    <rPh sb="38" eb="39">
      <t>ハ</t>
    </rPh>
    <rPh sb="40" eb="41">
      <t>ツ</t>
    </rPh>
    <phoneticPr fontId="2"/>
  </si>
  <si>
    <t>をクリックしたのち、「値」を選択、演算は「しない」を選んで「OK」をクリックします。</t>
    <rPh sb="11" eb="12">
      <t>アタイ</t>
    </rPh>
    <rPh sb="14" eb="16">
      <t>センタク</t>
    </rPh>
    <rPh sb="17" eb="19">
      <t>エンザン</t>
    </rPh>
    <rPh sb="26" eb="27">
      <t>エラ</t>
    </rPh>
    <phoneticPr fontId="2"/>
  </si>
  <si>
    <t>値のみが貼り付けられました。</t>
    <rPh sb="0" eb="1">
      <t>アタイ</t>
    </rPh>
    <rPh sb="4" eb="5">
      <t>ハ</t>
    </rPh>
    <rPh sb="6" eb="7">
      <t>ツ</t>
    </rPh>
    <phoneticPr fontId="2"/>
  </si>
  <si>
    <t>④</t>
    <phoneticPr fontId="2"/>
  </si>
  <si>
    <t>⑤</t>
    <phoneticPr fontId="2"/>
  </si>
  <si>
    <t>ここでは、シート名「計画2」または「実績2」において、緑色ハッチのセルの値を紫色ハッチのセルに</t>
    <rPh sb="8" eb="9">
      <t>メイ</t>
    </rPh>
    <rPh sb="10" eb="12">
      <t>ケイカク</t>
    </rPh>
    <rPh sb="18" eb="20">
      <t>ジッセキ</t>
    </rPh>
    <rPh sb="27" eb="29">
      <t>ミドリイロ</t>
    </rPh>
    <rPh sb="36" eb="37">
      <t>アタイ</t>
    </rPh>
    <rPh sb="38" eb="40">
      <t>ムラサキイロ</t>
    </rPh>
    <phoneticPr fontId="2"/>
  </si>
  <si>
    <t>「値貼り付け」する方法を説明します。</t>
    <rPh sb="9" eb="11">
      <t>ホウホウ</t>
    </rPh>
    <rPh sb="12" eb="14">
      <t>セツメイ</t>
    </rPh>
    <phoneticPr fontId="2"/>
  </si>
  <si>
    <t>続いて値の貼り付け「値」をクリックします。</t>
    <rPh sb="0" eb="1">
      <t>ツヅ</t>
    </rPh>
    <rPh sb="3" eb="4">
      <t>アタイ</t>
    </rPh>
    <rPh sb="5" eb="6">
      <t>ハ</t>
    </rPh>
    <rPh sb="7" eb="8">
      <t>ツ</t>
    </rPh>
    <rPh sb="10" eb="11">
      <t>アタイ</t>
    </rPh>
    <phoneticPr fontId="2"/>
  </si>
  <si>
    <t>各種商品卸売業</t>
    <rPh sb="0" eb="2">
      <t>カクシュ</t>
    </rPh>
    <rPh sb="2" eb="4">
      <t>ショウヒン</t>
    </rPh>
    <rPh sb="4" eb="6">
      <t>オロシウ</t>
    </rPh>
    <rPh sb="6" eb="7">
      <t>ギョウ</t>
    </rPh>
    <phoneticPr fontId="2"/>
  </si>
  <si>
    <t>漁業（水産養殖業は除く）</t>
    <rPh sb="0" eb="2">
      <t>ギョギョウ</t>
    </rPh>
    <rPh sb="3" eb="5">
      <t>スイサン</t>
    </rPh>
    <rPh sb="5" eb="8">
      <t>ヨウショクギョウ</t>
    </rPh>
    <rPh sb="9" eb="10">
      <t>ノゾ</t>
    </rPh>
    <phoneticPr fontId="2"/>
  </si>
  <si>
    <t>飲食料品卸売業</t>
    <rPh sb="0" eb="2">
      <t>インショク</t>
    </rPh>
    <rPh sb="2" eb="3">
      <t>リョウ</t>
    </rPh>
    <rPh sb="3" eb="4">
      <t>ヒン</t>
    </rPh>
    <rPh sb="4" eb="7">
      <t>オロシウリギョウ</t>
    </rPh>
    <phoneticPr fontId="2"/>
  </si>
  <si>
    <t>建築材料、鉱物・金属材料等卸売業</t>
    <rPh sb="0" eb="2">
      <t>ケンチク</t>
    </rPh>
    <rPh sb="2" eb="4">
      <t>ザイリョウ</t>
    </rPh>
    <rPh sb="5" eb="7">
      <t>コウブツ</t>
    </rPh>
    <rPh sb="8" eb="10">
      <t>キンゾク</t>
    </rPh>
    <rPh sb="10" eb="13">
      <t>ザイリョウナド</t>
    </rPh>
    <rPh sb="13" eb="16">
      <t>オロシウリギョウ</t>
    </rPh>
    <rPh sb="15" eb="16">
      <t>ギョウ</t>
    </rPh>
    <phoneticPr fontId="2"/>
  </si>
  <si>
    <t>鉱業、採石業、砂利採取業</t>
    <rPh sb="0" eb="2">
      <t>コウギョウ</t>
    </rPh>
    <rPh sb="3" eb="5">
      <t>サイセキ</t>
    </rPh>
    <rPh sb="5" eb="6">
      <t>ギョウ</t>
    </rPh>
    <rPh sb="7" eb="9">
      <t>ジャリ</t>
    </rPh>
    <rPh sb="9" eb="11">
      <t>サイシュ</t>
    </rPh>
    <rPh sb="11" eb="12">
      <t>ギョウ</t>
    </rPh>
    <phoneticPr fontId="2"/>
  </si>
  <si>
    <t>機械器具小売業</t>
    <rPh sb="0" eb="2">
      <t>キカイ</t>
    </rPh>
    <rPh sb="2" eb="4">
      <t>キグ</t>
    </rPh>
    <rPh sb="4" eb="6">
      <t>コウリ</t>
    </rPh>
    <rPh sb="6" eb="7">
      <t>ギョウ</t>
    </rPh>
    <phoneticPr fontId="2"/>
  </si>
  <si>
    <t>繊維工業</t>
    <rPh sb="0" eb="2">
      <t>センイ</t>
    </rPh>
    <rPh sb="2" eb="4">
      <t>コウギョウ</t>
    </rPh>
    <phoneticPr fontId="2"/>
  </si>
  <si>
    <t>無店舗小売業</t>
    <rPh sb="0" eb="3">
      <t>ムテンポ</t>
    </rPh>
    <rPh sb="3" eb="6">
      <t>コウリギョウ</t>
    </rPh>
    <phoneticPr fontId="15"/>
  </si>
  <si>
    <t>貸金業、クレジットカード業等非預金信用機関</t>
    <rPh sb="0" eb="1">
      <t>カシキン</t>
    </rPh>
    <rPh sb="1" eb="2">
      <t>キン</t>
    </rPh>
    <rPh sb="2" eb="3">
      <t>ギョウ</t>
    </rPh>
    <rPh sb="12" eb="13">
      <t>ギョウ</t>
    </rPh>
    <rPh sb="13" eb="14">
      <t>トウ</t>
    </rPh>
    <rPh sb="14" eb="15">
      <t>ヒ</t>
    </rPh>
    <rPh sb="15" eb="17">
      <t>ヨキン</t>
    </rPh>
    <rPh sb="17" eb="19">
      <t>シンヨウ</t>
    </rPh>
    <rPh sb="19" eb="21">
      <t>キカン</t>
    </rPh>
    <phoneticPr fontId="2"/>
  </si>
  <si>
    <t>金融商品取引業、商品先物取引業</t>
    <rPh sb="0" eb="2">
      <t>キンユウ</t>
    </rPh>
    <rPh sb="2" eb="4">
      <t>ショウヒン</t>
    </rPh>
    <rPh sb="4" eb="6">
      <t>トリヒキ</t>
    </rPh>
    <rPh sb="6" eb="7">
      <t>ギョウ</t>
    </rPh>
    <rPh sb="8" eb="10">
      <t>ショウヒン</t>
    </rPh>
    <rPh sb="10" eb="12">
      <t>サキモノ</t>
    </rPh>
    <rPh sb="12" eb="14">
      <t>トリヒキ</t>
    </rPh>
    <rPh sb="14" eb="15">
      <t>ギョウ</t>
    </rPh>
    <phoneticPr fontId="2"/>
  </si>
  <si>
    <t>補助的金融業等</t>
    <rPh sb="0" eb="3">
      <t>ホジョテキ</t>
    </rPh>
    <rPh sb="3" eb="6">
      <t>キンユウギョウ</t>
    </rPh>
    <rPh sb="6" eb="7">
      <t>トウ</t>
    </rPh>
    <phoneticPr fontId="2"/>
  </si>
  <si>
    <t>学術・開発研究機関</t>
    <rPh sb="0" eb="2">
      <t>ガクジュツ</t>
    </rPh>
    <rPh sb="3" eb="5">
      <t>カイハツ</t>
    </rPh>
    <rPh sb="5" eb="7">
      <t>ケンキュウ</t>
    </rPh>
    <rPh sb="7" eb="9">
      <t>キカン</t>
    </rPh>
    <phoneticPr fontId="2"/>
  </si>
  <si>
    <t>はん用機械器具製造業</t>
    <rPh sb="2" eb="3">
      <t>ヨウ</t>
    </rPh>
    <rPh sb="3" eb="5">
      <t>キカイ</t>
    </rPh>
    <rPh sb="5" eb="7">
      <t>キグ</t>
    </rPh>
    <rPh sb="7" eb="9">
      <t>セイゾウ</t>
    </rPh>
    <rPh sb="9" eb="10">
      <t>ギョウ</t>
    </rPh>
    <phoneticPr fontId="15"/>
  </si>
  <si>
    <t>技術サービス業（他に分類されないもの）</t>
    <rPh sb="0" eb="2">
      <t>ギジュツ</t>
    </rPh>
    <rPh sb="6" eb="7">
      <t>ギョウ</t>
    </rPh>
    <rPh sb="8" eb="9">
      <t>ホカ</t>
    </rPh>
    <rPh sb="10" eb="12">
      <t>ブンルイ</t>
    </rPh>
    <phoneticPr fontId="15"/>
  </si>
  <si>
    <t>生産用機械器具製造業</t>
    <rPh sb="0" eb="2">
      <t>セイサン</t>
    </rPh>
    <rPh sb="2" eb="3">
      <t>ヨウ</t>
    </rPh>
    <rPh sb="3" eb="5">
      <t>キカイ</t>
    </rPh>
    <rPh sb="5" eb="7">
      <t>キグ</t>
    </rPh>
    <rPh sb="7" eb="9">
      <t>セイゾウ</t>
    </rPh>
    <rPh sb="9" eb="10">
      <t>ギョウ</t>
    </rPh>
    <phoneticPr fontId="15"/>
  </si>
  <si>
    <t>業務用機械器具製造業</t>
    <rPh sb="0" eb="3">
      <t>ギョウムヨウ</t>
    </rPh>
    <rPh sb="3" eb="5">
      <t>キカイ</t>
    </rPh>
    <rPh sb="5" eb="7">
      <t>キグ</t>
    </rPh>
    <rPh sb="7" eb="9">
      <t>セイゾウ</t>
    </rPh>
    <rPh sb="9" eb="10">
      <t>ギョウ</t>
    </rPh>
    <phoneticPr fontId="15"/>
  </si>
  <si>
    <t>飲食店</t>
    <rPh sb="0" eb="2">
      <t>インショク</t>
    </rPh>
    <rPh sb="2" eb="3">
      <t>テン</t>
    </rPh>
    <phoneticPr fontId="2"/>
  </si>
  <si>
    <t>電子部品・デバイス・電子回路製造業</t>
    <rPh sb="0" eb="2">
      <t>デンシ</t>
    </rPh>
    <rPh sb="2" eb="4">
      <t>ブヒン</t>
    </rPh>
    <rPh sb="10" eb="12">
      <t>デンシ</t>
    </rPh>
    <rPh sb="12" eb="14">
      <t>カイロ</t>
    </rPh>
    <rPh sb="14" eb="17">
      <t>セイゾウギョウ</t>
    </rPh>
    <phoneticPr fontId="2"/>
  </si>
  <si>
    <t>持ち帰り・配達飲食サービス業</t>
    <rPh sb="0" eb="1">
      <t>モ</t>
    </rPh>
    <rPh sb="2" eb="3">
      <t>カエ</t>
    </rPh>
    <rPh sb="5" eb="7">
      <t>ハイタツ</t>
    </rPh>
    <rPh sb="7" eb="9">
      <t>インショク</t>
    </rPh>
    <rPh sb="13" eb="14">
      <t>ギョウ</t>
    </rPh>
    <phoneticPr fontId="15"/>
  </si>
  <si>
    <t>郵便局</t>
    <rPh sb="0" eb="3">
      <t>ユウビンキョク</t>
    </rPh>
    <phoneticPr fontId="2"/>
  </si>
  <si>
    <t>職業紹介・労働者派遣業</t>
    <rPh sb="0" eb="2">
      <t>ショクギョウ</t>
    </rPh>
    <rPh sb="2" eb="4">
      <t>ショウカイ</t>
    </rPh>
    <rPh sb="5" eb="8">
      <t>ロウドウシャ</t>
    </rPh>
    <rPh sb="8" eb="10">
      <t>ハケン</t>
    </rPh>
    <rPh sb="10" eb="11">
      <t>ギョウ</t>
    </rPh>
    <phoneticPr fontId="15"/>
  </si>
  <si>
    <t>その他の事業サービス業</t>
    <rPh sb="2" eb="3">
      <t>タ</t>
    </rPh>
    <rPh sb="4" eb="6">
      <t>ジギョウ</t>
    </rPh>
    <rPh sb="10" eb="11">
      <t>ギョウ</t>
    </rPh>
    <phoneticPr fontId="2"/>
  </si>
  <si>
    <t>郵便業（信書便事業を含む）</t>
    <rPh sb="0" eb="2">
      <t>ユウビン</t>
    </rPh>
    <rPh sb="2" eb="3">
      <t>ギョウ</t>
    </rPh>
    <rPh sb="4" eb="6">
      <t>シンショ</t>
    </rPh>
    <rPh sb="6" eb="7">
      <t>ビン</t>
    </rPh>
    <rPh sb="7" eb="9">
      <t>ジギョウ</t>
    </rPh>
    <rPh sb="10" eb="11">
      <t>フク</t>
    </rPh>
    <phoneticPr fontId="2"/>
  </si>
  <si>
    <t>（う）</t>
    <phoneticPr fontId="2"/>
  </si>
  <si>
    <t>使用の本拠～指定番号を結合したもの（チェック用）</t>
    <rPh sb="0" eb="2">
      <t>シヨウ</t>
    </rPh>
    <rPh sb="3" eb="5">
      <t>ホンキョ</t>
    </rPh>
    <rPh sb="6" eb="8">
      <t>シテイ</t>
    </rPh>
    <rPh sb="8" eb="10">
      <t>バンゴウ</t>
    </rPh>
    <rPh sb="11" eb="13">
      <t>ケツゴウ</t>
    </rPh>
    <rPh sb="22" eb="23">
      <t>ヨウ</t>
    </rPh>
    <phoneticPr fontId="2"/>
  </si>
  <si>
    <r>
      <t>注)走行距離当たりの単位はNOx,PMは(g/km),CO</t>
    </r>
    <r>
      <rPr>
        <vertAlign val="subscript"/>
        <sz val="12"/>
        <color indexed="10"/>
        <rFont val="ＭＳ Ｐゴシック"/>
        <family val="3"/>
        <charset val="128"/>
      </rPr>
      <t>2</t>
    </r>
    <r>
      <rPr>
        <sz val="12"/>
        <color indexed="10"/>
        <rFont val="ＭＳ Ｐゴシック"/>
        <family val="3"/>
        <charset val="128"/>
      </rPr>
      <t>は(kg/km)。</t>
    </r>
    <rPh sb="0" eb="1">
      <t>チュウ</t>
    </rPh>
    <rPh sb="2" eb="4">
      <t>ソウコウ</t>
    </rPh>
    <rPh sb="4" eb="6">
      <t>キョリ</t>
    </rPh>
    <rPh sb="6" eb="7">
      <t>ア</t>
    </rPh>
    <rPh sb="10" eb="12">
      <t>タンイ</t>
    </rPh>
    <phoneticPr fontId="2"/>
  </si>
  <si>
    <t>排出ガス（型式）記号</t>
    <rPh sb="1" eb="2">
      <t>シュツ</t>
    </rPh>
    <rPh sb="5" eb="7">
      <t>カタシキ</t>
    </rPh>
    <phoneticPr fontId="2"/>
  </si>
  <si>
    <t>計画作成時の実績</t>
    <rPh sb="0" eb="2">
      <t>ケイカク</t>
    </rPh>
    <rPh sb="2" eb="4">
      <t>サクセイ</t>
    </rPh>
    <rPh sb="4" eb="5">
      <t>ジ</t>
    </rPh>
    <rPh sb="6" eb="8">
      <t>ジッセキ</t>
    </rPh>
    <phoneticPr fontId="15"/>
  </si>
  <si>
    <t>計画作成時の台数</t>
    <rPh sb="0" eb="2">
      <t>ケイカク</t>
    </rPh>
    <rPh sb="2" eb="4">
      <t>サクセイ</t>
    </rPh>
    <rPh sb="4" eb="5">
      <t>ジ</t>
    </rPh>
    <rPh sb="6" eb="8">
      <t>ダイスウ</t>
    </rPh>
    <phoneticPr fontId="15"/>
  </si>
  <si>
    <t>計画作成時の台数</t>
    <rPh sb="0" eb="2">
      <t>ケイカク</t>
    </rPh>
    <rPh sb="2" eb="4">
      <t>サクセイ</t>
    </rPh>
    <rPh sb="4" eb="5">
      <t>ジ</t>
    </rPh>
    <rPh sb="6" eb="8">
      <t>ダイスウ</t>
    </rPh>
    <phoneticPr fontId="2"/>
  </si>
  <si>
    <t>実績報告書（2015年度実績）</t>
    <phoneticPr fontId="2"/>
  </si>
  <si>
    <t>西暦</t>
    <rPh sb="0" eb="2">
      <t>セイレキ</t>
    </rPh>
    <phoneticPr fontId="2"/>
  </si>
  <si>
    <t>西暦年</t>
    <rPh sb="0" eb="2">
      <t>セイレキ</t>
    </rPh>
    <rPh sb="2" eb="3">
      <t>ネン</t>
    </rPh>
    <phoneticPr fontId="2"/>
  </si>
  <si>
    <t>実施事項</t>
    <rPh sb="0" eb="2">
      <t>ジッシ</t>
    </rPh>
    <rPh sb="2" eb="4">
      <t>ジコウ</t>
    </rPh>
    <phoneticPr fontId="2"/>
  </si>
  <si>
    <t>実施の有無</t>
    <rPh sb="0" eb="2">
      <t>ジッシ</t>
    </rPh>
    <rPh sb="3" eb="5">
      <t>ウム</t>
    </rPh>
    <phoneticPr fontId="2"/>
  </si>
  <si>
    <t>あ</t>
    <phoneticPr fontId="2"/>
  </si>
  <si>
    <t>い</t>
    <phoneticPr fontId="2"/>
  </si>
  <si>
    <t>う</t>
    <phoneticPr fontId="2"/>
  </si>
  <si>
    <t>え</t>
    <phoneticPr fontId="2"/>
  </si>
  <si>
    <t>お</t>
    <phoneticPr fontId="2"/>
  </si>
  <si>
    <t>か</t>
    <phoneticPr fontId="2"/>
  </si>
  <si>
    <t>き</t>
    <phoneticPr fontId="2"/>
  </si>
  <si>
    <t>く</t>
    <phoneticPr fontId="2"/>
  </si>
  <si>
    <t>け</t>
    <phoneticPr fontId="2"/>
  </si>
  <si>
    <t>こ</t>
    <phoneticPr fontId="2"/>
  </si>
  <si>
    <t>よ</t>
    <phoneticPr fontId="2"/>
  </si>
  <si>
    <t>業種番号</t>
    <rPh sb="0" eb="2">
      <t>ギョウシュ</t>
    </rPh>
    <rPh sb="2" eb="4">
      <t>バンゴウ</t>
    </rPh>
    <phoneticPr fontId="2"/>
  </si>
  <si>
    <t>普通貨物自動車</t>
    <rPh sb="0" eb="2">
      <t>フツウ</t>
    </rPh>
    <rPh sb="2" eb="4">
      <t>カモツ</t>
    </rPh>
    <rPh sb="4" eb="7">
      <t>ジドウシャ</t>
    </rPh>
    <phoneticPr fontId="2"/>
  </si>
  <si>
    <t>小型貨物自動車</t>
    <rPh sb="0" eb="2">
      <t>コガタ</t>
    </rPh>
    <rPh sb="2" eb="4">
      <t>カモツ</t>
    </rPh>
    <rPh sb="4" eb="7">
      <t>ジドウシャ</t>
    </rPh>
    <phoneticPr fontId="2"/>
  </si>
  <si>
    <t>大型バス</t>
    <rPh sb="0" eb="2">
      <t>オオガタ</t>
    </rPh>
    <phoneticPr fontId="2"/>
  </si>
  <si>
    <t>マイクロバス</t>
    <phoneticPr fontId="2"/>
  </si>
  <si>
    <t>特種自動車</t>
    <rPh sb="0" eb="2">
      <t>トクシュ</t>
    </rPh>
    <rPh sb="2" eb="5">
      <t>ジドウシャ</t>
    </rPh>
    <phoneticPr fontId="2"/>
  </si>
  <si>
    <t>NOx排出量</t>
    <rPh sb="3" eb="5">
      <t>ハイシュツ</t>
    </rPh>
    <rPh sb="5" eb="6">
      <t>リョウ</t>
    </rPh>
    <phoneticPr fontId="2"/>
  </si>
  <si>
    <t>NOx排出量目標</t>
    <rPh sb="3" eb="5">
      <t>ハイシュツ</t>
    </rPh>
    <rPh sb="5" eb="6">
      <t>リョウ</t>
    </rPh>
    <rPh sb="6" eb="8">
      <t>モクヒョウ</t>
    </rPh>
    <phoneticPr fontId="2"/>
  </si>
  <si>
    <t>PM排出量</t>
    <rPh sb="2" eb="4">
      <t>ハイシュツ</t>
    </rPh>
    <rPh sb="4" eb="5">
      <t>リョウ</t>
    </rPh>
    <phoneticPr fontId="2"/>
  </si>
  <si>
    <t>PM排出量目標</t>
    <rPh sb="2" eb="4">
      <t>ハイシュツ</t>
    </rPh>
    <rPh sb="4" eb="5">
      <t>リョウ</t>
    </rPh>
    <rPh sb="5" eb="7">
      <t>モクヒョウ</t>
    </rPh>
    <phoneticPr fontId="2"/>
  </si>
  <si>
    <t>CO2排出量</t>
    <rPh sb="3" eb="5">
      <t>ハイシュツ</t>
    </rPh>
    <rPh sb="5" eb="6">
      <t>リョウ</t>
    </rPh>
    <phoneticPr fontId="2"/>
  </si>
  <si>
    <t>CO2排出量目標</t>
    <rPh sb="3" eb="5">
      <t>ハイシュツ</t>
    </rPh>
    <rPh sb="5" eb="6">
      <t>リョウ</t>
    </rPh>
    <rPh sb="6" eb="8">
      <t>モクヒョウ</t>
    </rPh>
    <phoneticPr fontId="2"/>
  </si>
  <si>
    <t>計画１</t>
    <rPh sb="0" eb="2">
      <t>ケイカク</t>
    </rPh>
    <phoneticPr fontId="2"/>
  </si>
  <si>
    <t>適正運転</t>
    <rPh sb="0" eb="2">
      <t>テキセイ</t>
    </rPh>
    <rPh sb="2" eb="4">
      <t>ウンテン</t>
    </rPh>
    <phoneticPr fontId="2"/>
  </si>
  <si>
    <t>維持管理</t>
    <rPh sb="0" eb="2">
      <t>イジ</t>
    </rPh>
    <rPh sb="2" eb="4">
      <t>カンリ</t>
    </rPh>
    <phoneticPr fontId="2"/>
  </si>
  <si>
    <t>共同輸配送</t>
    <rPh sb="0" eb="2">
      <t>キョウドウ</t>
    </rPh>
    <rPh sb="2" eb="3">
      <t>ユ</t>
    </rPh>
    <rPh sb="3" eb="5">
      <t>ハイソウ</t>
    </rPh>
    <phoneticPr fontId="2"/>
  </si>
  <si>
    <t>帰り荷</t>
    <rPh sb="0" eb="1">
      <t>カエ</t>
    </rPh>
    <rPh sb="2" eb="3">
      <t>ニ</t>
    </rPh>
    <phoneticPr fontId="2"/>
  </si>
  <si>
    <t>ｼﾞｬｽﾄｲﾝﾀｲﾑ</t>
    <phoneticPr fontId="2"/>
  </si>
  <si>
    <t>受注・配送時間</t>
    <rPh sb="0" eb="2">
      <t>ジュチュウ</t>
    </rPh>
    <rPh sb="3" eb="5">
      <t>ハイソウ</t>
    </rPh>
    <rPh sb="5" eb="7">
      <t>ジカン</t>
    </rPh>
    <phoneticPr fontId="2"/>
  </si>
  <si>
    <t>検品</t>
    <rPh sb="0" eb="2">
      <t>ケンピン</t>
    </rPh>
    <phoneticPr fontId="2"/>
  </si>
  <si>
    <t>混雑時見直し</t>
    <rPh sb="0" eb="2">
      <t>コンザツ</t>
    </rPh>
    <rPh sb="2" eb="3">
      <t>ジ</t>
    </rPh>
    <rPh sb="3" eb="5">
      <t>ミナオ</t>
    </rPh>
    <phoneticPr fontId="2"/>
  </si>
  <si>
    <t>商品の標準化</t>
    <rPh sb="0" eb="2">
      <t>ショウヒン</t>
    </rPh>
    <rPh sb="3" eb="6">
      <t>ヒョウジュンカ</t>
    </rPh>
    <phoneticPr fontId="2"/>
  </si>
  <si>
    <t>モーダルシフト</t>
    <phoneticPr fontId="2"/>
  </si>
  <si>
    <t>公共交通機関</t>
    <rPh sb="0" eb="2">
      <t>コウキョウ</t>
    </rPh>
    <rPh sb="2" eb="4">
      <t>コウツウ</t>
    </rPh>
    <rPh sb="4" eb="6">
      <t>キカン</t>
    </rPh>
    <phoneticPr fontId="2"/>
  </si>
  <si>
    <t>情報化</t>
    <rPh sb="0" eb="3">
      <t>ジョウホウカ</t>
    </rPh>
    <phoneticPr fontId="2"/>
  </si>
  <si>
    <t>拠点整備</t>
    <rPh sb="0" eb="2">
      <t>キョテン</t>
    </rPh>
    <rPh sb="2" eb="4">
      <t>セイビ</t>
    </rPh>
    <phoneticPr fontId="2"/>
  </si>
  <si>
    <t>実績１</t>
    <rPh sb="0" eb="2">
      <t>ジッセキ</t>
    </rPh>
    <phoneticPr fontId="2"/>
  </si>
  <si>
    <t>１年目</t>
    <rPh sb="1" eb="3">
      <t>ネンメ</t>
    </rPh>
    <phoneticPr fontId="2"/>
  </si>
  <si>
    <t>２年目</t>
    <rPh sb="1" eb="3">
      <t>ネンメ</t>
    </rPh>
    <phoneticPr fontId="2"/>
  </si>
  <si>
    <t>３年目</t>
    <rPh sb="1" eb="3">
      <t>ネンメ</t>
    </rPh>
    <phoneticPr fontId="2"/>
  </si>
  <si>
    <t>４年目</t>
    <rPh sb="1" eb="3">
      <t>ネンメ</t>
    </rPh>
    <phoneticPr fontId="2"/>
  </si>
  <si>
    <t>５年目</t>
    <rPh sb="1" eb="3">
      <t>ネンメ</t>
    </rPh>
    <phoneticPr fontId="2"/>
  </si>
  <si>
    <t>計画２</t>
    <rPh sb="0" eb="2">
      <t>ケイカク</t>
    </rPh>
    <phoneticPr fontId="2"/>
  </si>
  <si>
    <t>ハイブリッド</t>
    <phoneticPr fontId="2"/>
  </si>
  <si>
    <t>ﾌﾟﾗｸﾞｲﾝﾊｲﾌﾞﾘｯﾄﾞ</t>
    <phoneticPr fontId="2"/>
  </si>
  <si>
    <t>新☆☆☆☆☆</t>
    <rPh sb="0" eb="1">
      <t>シン</t>
    </rPh>
    <phoneticPr fontId="2"/>
  </si>
  <si>
    <t>H28・H30規制</t>
    <rPh sb="7" eb="9">
      <t>キセイ</t>
    </rPh>
    <phoneticPr fontId="2"/>
  </si>
  <si>
    <t>エタノール</t>
    <phoneticPr fontId="2"/>
  </si>
  <si>
    <t>実績２</t>
    <rPh sb="0" eb="2">
      <t>ジッセキ</t>
    </rPh>
    <phoneticPr fontId="2"/>
  </si>
  <si>
    <r>
      <t xml:space="preserve">新☆☆☆
</t>
    </r>
    <r>
      <rPr>
        <sz val="9"/>
        <rFont val="ＭＳ Ｐゴシック"/>
        <family val="3"/>
        <charset val="128"/>
      </rPr>
      <t>(</t>
    </r>
    <r>
      <rPr>
        <sz val="9"/>
        <color indexed="8"/>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3"/>
  </si>
  <si>
    <r>
      <t xml:space="preserve">新☆☆☆☆
</t>
    </r>
    <r>
      <rPr>
        <sz val="9"/>
        <color indexed="8"/>
        <rFont val="ＭＳ Ｐゴシック"/>
        <family val="3"/>
        <charset val="128"/>
      </rPr>
      <t>（ポスト新長期、新長期、H30規制）</t>
    </r>
    <rPh sb="0" eb="1">
      <t>シン</t>
    </rPh>
    <rPh sb="21" eb="23">
      <t>キセイ</t>
    </rPh>
    <phoneticPr fontId="3"/>
  </si>
  <si>
    <r>
      <t xml:space="preserve">新☆☆☆☆☆
</t>
    </r>
    <r>
      <rPr>
        <sz val="10"/>
        <color indexed="8"/>
        <rFont val="ＭＳ Ｐゴシック"/>
        <family val="3"/>
        <charset val="128"/>
      </rPr>
      <t>（H30規制）</t>
    </r>
    <rPh sb="0" eb="1">
      <t>シン</t>
    </rPh>
    <rPh sb="11" eb="13">
      <t>キセイ</t>
    </rPh>
    <phoneticPr fontId="3"/>
  </si>
  <si>
    <r>
      <t xml:space="preserve">新☆
</t>
    </r>
    <r>
      <rPr>
        <sz val="11"/>
        <rFont val="ＭＳ Ｐゴシック"/>
        <family val="3"/>
        <charset val="128"/>
      </rPr>
      <t>（新長期）</t>
    </r>
    <rPh sb="0" eb="1">
      <t>シン</t>
    </rPh>
    <rPh sb="4" eb="5">
      <t>シン</t>
    </rPh>
    <rPh sb="5" eb="7">
      <t>チョウキ</t>
    </rPh>
    <phoneticPr fontId="3"/>
  </si>
  <si>
    <t>H28・30規制</t>
    <rPh sb="6" eb="8">
      <t>キセイ</t>
    </rPh>
    <phoneticPr fontId="3"/>
  </si>
  <si>
    <r>
      <t xml:space="preserve">新☆☆☆
</t>
    </r>
    <r>
      <rPr>
        <sz val="9"/>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2"/>
  </si>
  <si>
    <r>
      <t xml:space="preserve">新☆☆☆☆
</t>
    </r>
    <r>
      <rPr>
        <sz val="9"/>
        <rFont val="ＭＳ Ｐゴシック"/>
        <family val="3"/>
        <charset val="128"/>
      </rPr>
      <t>（ポスト新長期、新長期、H30規制）</t>
    </r>
    <rPh sb="0" eb="1">
      <t>シン</t>
    </rPh>
    <rPh sb="10" eb="11">
      <t>シン</t>
    </rPh>
    <rPh sb="11" eb="13">
      <t>チョウキ</t>
    </rPh>
    <rPh sb="14" eb="15">
      <t>シン</t>
    </rPh>
    <rPh sb="15" eb="17">
      <t>チョウキ</t>
    </rPh>
    <rPh sb="21" eb="23">
      <t>キセイ</t>
    </rPh>
    <phoneticPr fontId="2"/>
  </si>
  <si>
    <t>新☆☆☆☆☆
（H30規制）</t>
    <rPh sb="0" eb="1">
      <t>シン</t>
    </rPh>
    <rPh sb="11" eb="13">
      <t>キセイ</t>
    </rPh>
    <phoneticPr fontId="2"/>
  </si>
  <si>
    <t>H28・30規制</t>
    <rPh sb="6" eb="8">
      <t>キセイ</t>
    </rPh>
    <phoneticPr fontId="2"/>
  </si>
  <si>
    <t>新☆</t>
    <rPh sb="0" eb="1">
      <t>シン</t>
    </rPh>
    <phoneticPr fontId="2"/>
  </si>
  <si>
    <t>H30</t>
  </si>
  <si>
    <t>3HE</t>
  </si>
  <si>
    <t>3GE</t>
  </si>
  <si>
    <t>3FE</t>
  </si>
  <si>
    <t>4HE</t>
  </si>
  <si>
    <t>3EE</t>
  </si>
  <si>
    <t>4GE</t>
  </si>
  <si>
    <t>4FE</t>
  </si>
  <si>
    <t>5HE</t>
  </si>
  <si>
    <t>4EE</t>
  </si>
  <si>
    <t>5GE</t>
  </si>
  <si>
    <t>5FE</t>
  </si>
  <si>
    <t>6HE</t>
  </si>
  <si>
    <t>5EE</t>
  </si>
  <si>
    <t>6GE</t>
  </si>
  <si>
    <t>6FE</t>
  </si>
  <si>
    <t>6EE</t>
  </si>
  <si>
    <t>バス貨物～1.7t(ガソリン)</t>
  </si>
  <si>
    <t>ALE</t>
  </si>
  <si>
    <t>CLE</t>
  </si>
  <si>
    <t>DLE</t>
  </si>
  <si>
    <t>LLE</t>
  </si>
  <si>
    <t>新PM☆</t>
    <rPh sb="0" eb="1">
      <t>シン</t>
    </rPh>
    <phoneticPr fontId="2"/>
  </si>
  <si>
    <t>MLE</t>
  </si>
  <si>
    <t>RLE</t>
  </si>
  <si>
    <t>QLE</t>
  </si>
  <si>
    <t>3BE</t>
  </si>
  <si>
    <t>3AE</t>
  </si>
  <si>
    <t>3LE</t>
  </si>
  <si>
    <t>4BE</t>
  </si>
  <si>
    <t>4AE</t>
  </si>
  <si>
    <t>4LE</t>
  </si>
  <si>
    <t>5BE</t>
  </si>
  <si>
    <t>5AE</t>
  </si>
  <si>
    <t>5LE</t>
  </si>
  <si>
    <t>6BE</t>
  </si>
  <si>
    <t>6AE</t>
  </si>
  <si>
    <t>6LE</t>
  </si>
  <si>
    <t>AME</t>
  </si>
  <si>
    <t>CME</t>
  </si>
  <si>
    <t>DME</t>
  </si>
  <si>
    <t>LME</t>
  </si>
  <si>
    <t>MME</t>
  </si>
  <si>
    <t>RME</t>
  </si>
  <si>
    <t>QME</t>
  </si>
  <si>
    <t>3DE</t>
  </si>
  <si>
    <t>3CE</t>
  </si>
  <si>
    <t>3ME</t>
  </si>
  <si>
    <t>4DE</t>
  </si>
  <si>
    <t>4CE</t>
  </si>
  <si>
    <t>4ME</t>
  </si>
  <si>
    <t>5DE</t>
  </si>
  <si>
    <t>5CE</t>
  </si>
  <si>
    <t>5ME</t>
  </si>
  <si>
    <t>6DE</t>
  </si>
  <si>
    <t>6CE</t>
  </si>
  <si>
    <t>6ME</t>
  </si>
  <si>
    <t>3HF</t>
  </si>
  <si>
    <t>3GF</t>
  </si>
  <si>
    <t>4HF</t>
  </si>
  <si>
    <t>3FF</t>
  </si>
  <si>
    <t>4GF</t>
  </si>
  <si>
    <t>3EF</t>
  </si>
  <si>
    <t>5HF</t>
  </si>
  <si>
    <t>4FF</t>
  </si>
  <si>
    <t>5GF</t>
  </si>
  <si>
    <t>4EF</t>
  </si>
  <si>
    <t>6HF</t>
  </si>
  <si>
    <t>5FF</t>
  </si>
  <si>
    <t>6GF</t>
  </si>
  <si>
    <t>5EF</t>
  </si>
  <si>
    <t>6FF</t>
  </si>
  <si>
    <t>6EF</t>
  </si>
  <si>
    <t>バス貨物1.7～2.5t(ガソリン)</t>
  </si>
  <si>
    <t>ALF</t>
  </si>
  <si>
    <t>CLF</t>
  </si>
  <si>
    <t>DLF</t>
  </si>
  <si>
    <t>LLF</t>
  </si>
  <si>
    <t>MLF</t>
  </si>
  <si>
    <t>RLF</t>
  </si>
  <si>
    <t>QLF</t>
  </si>
  <si>
    <t>3BF</t>
  </si>
  <si>
    <t>3AF</t>
  </si>
  <si>
    <t>3LF</t>
  </si>
  <si>
    <t>4BF</t>
  </si>
  <si>
    <t>4AF</t>
  </si>
  <si>
    <t>4LF</t>
  </si>
  <si>
    <t>5BF</t>
  </si>
  <si>
    <t>5AF</t>
  </si>
  <si>
    <t>5LF</t>
  </si>
  <si>
    <t>6BF</t>
  </si>
  <si>
    <t>6AF</t>
  </si>
  <si>
    <t>6LF</t>
  </si>
  <si>
    <t>AMF</t>
  </si>
  <si>
    <t>CMF</t>
  </si>
  <si>
    <t>DMF</t>
  </si>
  <si>
    <t>SMF</t>
  </si>
  <si>
    <t>TMF</t>
  </si>
  <si>
    <t>3DF</t>
  </si>
  <si>
    <t>3CF</t>
  </si>
  <si>
    <t>3MF</t>
  </si>
  <si>
    <t>4DF</t>
  </si>
  <si>
    <t>4CF</t>
  </si>
  <si>
    <t>4MF</t>
  </si>
  <si>
    <t>5DF</t>
  </si>
  <si>
    <t>5CF</t>
  </si>
  <si>
    <t>5MF</t>
  </si>
  <si>
    <t>6DF</t>
  </si>
  <si>
    <t>6CF</t>
  </si>
  <si>
    <t>6MF</t>
  </si>
  <si>
    <t>LMF</t>
  </si>
  <si>
    <t>MMF</t>
  </si>
  <si>
    <t>RMF</t>
  </si>
  <si>
    <t>QMF</t>
  </si>
  <si>
    <t>H28</t>
  </si>
  <si>
    <t>2HG</t>
  </si>
  <si>
    <t>2GG</t>
  </si>
  <si>
    <t>ALG</t>
  </si>
  <si>
    <t>BLG</t>
  </si>
  <si>
    <t>NLG</t>
  </si>
  <si>
    <t>PLG</t>
  </si>
  <si>
    <t>LLG</t>
  </si>
  <si>
    <t>MLG</t>
  </si>
  <si>
    <t>2FG</t>
  </si>
  <si>
    <t>RLG</t>
  </si>
  <si>
    <t>2EG</t>
  </si>
  <si>
    <t>QLG</t>
  </si>
  <si>
    <t>AMG</t>
  </si>
  <si>
    <t>BMG</t>
  </si>
  <si>
    <t>NMG</t>
  </si>
  <si>
    <t>PMG</t>
  </si>
  <si>
    <t>LTG</t>
  </si>
  <si>
    <t>LSG</t>
  </si>
  <si>
    <t>LMG</t>
  </si>
  <si>
    <t>MMG</t>
  </si>
  <si>
    <t>RMG</t>
  </si>
  <si>
    <t>QTG</t>
  </si>
  <si>
    <t>QSG</t>
  </si>
  <si>
    <t>QMG</t>
  </si>
  <si>
    <t>STG</t>
  </si>
  <si>
    <t>SSG</t>
  </si>
  <si>
    <t>SMG</t>
  </si>
  <si>
    <t>TTG</t>
  </si>
  <si>
    <t>TSG</t>
  </si>
  <si>
    <t>TMG</t>
  </si>
  <si>
    <t>2DG</t>
  </si>
  <si>
    <t>2KG</t>
  </si>
  <si>
    <t>2PG</t>
  </si>
  <si>
    <t>2RG</t>
  </si>
  <si>
    <t>2TG</t>
  </si>
  <si>
    <t>2CG</t>
  </si>
  <si>
    <t>2JG</t>
  </si>
  <si>
    <t>2NG</t>
  </si>
  <si>
    <t>2QG</t>
  </si>
  <si>
    <t>2SG</t>
  </si>
  <si>
    <t>2MG</t>
  </si>
  <si>
    <t>3HA</t>
  </si>
  <si>
    <t>3GA</t>
  </si>
  <si>
    <t>4HA</t>
  </si>
  <si>
    <t>4GA</t>
  </si>
  <si>
    <t>3FA</t>
  </si>
  <si>
    <t>5HA</t>
  </si>
  <si>
    <t>3EA</t>
  </si>
  <si>
    <t>5GA</t>
  </si>
  <si>
    <t>4FA</t>
  </si>
  <si>
    <t>6HA</t>
  </si>
  <si>
    <t>4EA</t>
  </si>
  <si>
    <t>6GA</t>
  </si>
  <si>
    <t>5FA</t>
  </si>
  <si>
    <t>5EA</t>
  </si>
  <si>
    <t>6FA</t>
  </si>
  <si>
    <t>6EA</t>
  </si>
  <si>
    <t>3BA</t>
  </si>
  <si>
    <t>3AA</t>
  </si>
  <si>
    <t>3LA</t>
  </si>
  <si>
    <t>4BA</t>
  </si>
  <si>
    <t>4AA</t>
  </si>
  <si>
    <t>4LA</t>
  </si>
  <si>
    <t>5BA</t>
  </si>
  <si>
    <t>5AA</t>
  </si>
  <si>
    <t>5LA</t>
  </si>
  <si>
    <t>6BA</t>
  </si>
  <si>
    <t>6AA</t>
  </si>
  <si>
    <t>6LA</t>
  </si>
  <si>
    <t>3DA</t>
  </si>
  <si>
    <t>3CA</t>
  </si>
  <si>
    <t>3MA</t>
  </si>
  <si>
    <t>4DA</t>
  </si>
  <si>
    <t>4CA</t>
  </si>
  <si>
    <t>4MA</t>
  </si>
  <si>
    <t>5DA</t>
  </si>
  <si>
    <t>5CA</t>
  </si>
  <si>
    <t>5MA</t>
  </si>
  <si>
    <t>6DA</t>
  </si>
  <si>
    <t>6CA</t>
  </si>
  <si>
    <t>6MA</t>
  </si>
  <si>
    <t>新☆（新長期）</t>
    <rPh sb="0" eb="1">
      <t>シン</t>
    </rPh>
    <rPh sb="3" eb="4">
      <t>シン</t>
    </rPh>
    <rPh sb="4" eb="6">
      <t>チョウキ</t>
    </rPh>
    <phoneticPr fontId="3"/>
  </si>
  <si>
    <t>排出ガス低減レベル1</t>
    <phoneticPr fontId="2"/>
  </si>
  <si>
    <t>OK</t>
    <phoneticPr fontId="2"/>
  </si>
  <si>
    <t>注1） 低公害車とは、天然ガス自動車、ハイブリッド自動車、プラグインハイブリッド自動車、電気自動車、メタノール自動車、燃料電池自動車、ガソリン自動車又はLPG自動車のうち新☆☆☆以上の低排出ガスレベルの認定車、ディーゼル自動車のうち新長期規制適合車・ポスト新長期規制適合車・平成28年規制適合車・平成30年規制適合車とする。</t>
    <phoneticPr fontId="2"/>
  </si>
  <si>
    <t>注1） 低公害車とは、天然ガス自動車、ハイブリッド自動車、プラグインハイブリッド自動車、電気自動車、メタノール自動車、燃料電池自動車、ガソリン自動車又はLPG自動車のうち新☆☆☆以上の低排出ガスレベルの認定車、ディーゼル自動車のうち新長期規制適合車・ポスト新長期規制適合車・平成28年規制適合車・平成30年規制適合車とする。</t>
    <phoneticPr fontId="2"/>
  </si>
  <si>
    <t>低公害車判別</t>
    <rPh sb="0" eb="3">
      <t>テイコウガイ</t>
    </rPh>
    <rPh sb="3" eb="4">
      <t>シャ</t>
    </rPh>
    <rPh sb="4" eb="6">
      <t>ハンベツ</t>
    </rPh>
    <phoneticPr fontId="2"/>
  </si>
  <si>
    <t>低公害車</t>
    <rPh sb="0" eb="3">
      <t>テイコウガイ</t>
    </rPh>
    <rPh sb="3" eb="4">
      <t>シャ</t>
    </rPh>
    <phoneticPr fontId="2"/>
  </si>
  <si>
    <t>－</t>
    <phoneticPr fontId="2"/>
  </si>
  <si>
    <t>☆</t>
    <phoneticPr fontId="2"/>
  </si>
  <si>
    <t>☆☆</t>
    <phoneticPr fontId="2"/>
  </si>
  <si>
    <t>☆☆☆</t>
    <phoneticPr fontId="2"/>
  </si>
  <si>
    <t>PM☆☆☆</t>
    <phoneticPr fontId="2"/>
  </si>
  <si>
    <t>PM☆☆☆☆</t>
    <phoneticPr fontId="2"/>
  </si>
  <si>
    <t>2016年4～6月</t>
    <rPh sb="4" eb="5">
      <t>ネン</t>
    </rPh>
    <rPh sb="8" eb="9">
      <t>ガツ</t>
    </rPh>
    <phoneticPr fontId="2"/>
  </si>
  <si>
    <t>2021年4～6月</t>
    <rPh sb="4" eb="5">
      <t>ネン</t>
    </rPh>
    <rPh sb="8" eb="9">
      <t>ガツ</t>
    </rPh>
    <phoneticPr fontId="2"/>
  </si>
  <si>
    <t>2020年度末時点</t>
    <rPh sb="4" eb="6">
      <t>ネンド</t>
    </rPh>
    <rPh sb="6" eb="7">
      <t>マツ</t>
    </rPh>
    <rPh sb="7" eb="9">
      <t>ジテン</t>
    </rPh>
    <phoneticPr fontId="2"/>
  </si>
  <si>
    <t>　様式の掲載URL　　http://www.pref.kanagawa.jp/docs/pf7/jidosha_kanri/</t>
    <rPh sb="1" eb="3">
      <t>ヨウシキ</t>
    </rPh>
    <rPh sb="4" eb="6">
      <t>ケイサイ</t>
    </rPh>
    <phoneticPr fontId="15"/>
  </si>
  <si>
    <t>バス貨物～1.7t(ガソリン)</t>
    <phoneticPr fontId="2"/>
  </si>
  <si>
    <t>バス貨物～1.7t(LPG)</t>
    <phoneticPr fontId="2"/>
  </si>
  <si>
    <t>バス貨物1.7～2.5t(ガソリン)</t>
    <phoneticPr fontId="2"/>
  </si>
  <si>
    <t>バス貨物1.7～2.5t(LPG)</t>
    <phoneticPr fontId="2"/>
  </si>
  <si>
    <t>－</t>
    <phoneticPr fontId="3"/>
  </si>
  <si>
    <t>バス貨物2.5～3.5t(ガソリン)</t>
    <phoneticPr fontId="2"/>
  </si>
  <si>
    <t>バス貨物2.5～3.5t(LPG)</t>
    <phoneticPr fontId="2"/>
  </si>
  <si>
    <t>バス貨物3.5t～(ガソリン)</t>
    <phoneticPr fontId="2"/>
  </si>
  <si>
    <t>バス貨物3.5t～(LPG)</t>
    <phoneticPr fontId="2"/>
  </si>
  <si>
    <t>バス貨物3.5t～(CNG)</t>
    <phoneticPr fontId="3"/>
  </si>
  <si>
    <t>乗用(ガソリン)</t>
    <phoneticPr fontId="2"/>
  </si>
  <si>
    <t>乗用(LPG)</t>
    <phoneticPr fontId="2"/>
  </si>
  <si>
    <t>FMB</t>
    <phoneticPr fontId="3"/>
  </si>
  <si>
    <t>提出物の種類（表紙上部で選択）</t>
    <rPh sb="0" eb="2">
      <t>テイシュツ</t>
    </rPh>
    <rPh sb="2" eb="3">
      <t>ブツ</t>
    </rPh>
    <rPh sb="4" eb="6">
      <t>シュルイ</t>
    </rPh>
    <rPh sb="7" eb="9">
      <t>ヒョウシ</t>
    </rPh>
    <rPh sb="9" eb="11">
      <t>ジョウブ</t>
    </rPh>
    <rPh sb="12" eb="14">
      <t>センタク</t>
    </rPh>
    <phoneticPr fontId="2"/>
  </si>
  <si>
    <t>計画書（新規対象事業者）(*1)</t>
    <phoneticPr fontId="2"/>
  </si>
  <si>
    <t>－
(表示上は全て継続扱い)</t>
    <phoneticPr fontId="2"/>
  </si>
  <si>
    <t>計画書（計画更新事業者）</t>
    <phoneticPr fontId="2"/>
  </si>
  <si>
    <t>2015年度末時点</t>
    <rPh sb="4" eb="6">
      <t>ネンド</t>
    </rPh>
    <rPh sb="6" eb="7">
      <t>マツ</t>
    </rPh>
    <rPh sb="7" eb="9">
      <t>ジテン</t>
    </rPh>
    <phoneticPr fontId="2"/>
  </si>
  <si>
    <t>対象事業者になった日の翌日から2015年度末日までの増減</t>
    <rPh sb="0" eb="2">
      <t>タイショウ</t>
    </rPh>
    <rPh sb="2" eb="5">
      <t>ジギョウシャ</t>
    </rPh>
    <rPh sb="9" eb="10">
      <t>ヒ</t>
    </rPh>
    <rPh sb="11" eb="13">
      <t>ヨクジツ</t>
    </rPh>
    <rPh sb="19" eb="21">
      <t>ネンド</t>
    </rPh>
    <rPh sb="21" eb="22">
      <t>マツ</t>
    </rPh>
    <rPh sb="22" eb="23">
      <t>ビ</t>
    </rPh>
    <rPh sb="26" eb="28">
      <t>ゾウゲン</t>
    </rPh>
    <phoneticPr fontId="2"/>
  </si>
  <si>
    <t>表紙、事業所台帳、実績1、実績2にも入力して下さい。</t>
    <phoneticPr fontId="2"/>
  </si>
  <si>
    <t>*1 新規対象事業者：神奈川県内に使用の本拠を有する自動車（軽自動車、二輪車、特殊自動車を除く）が30台以上となった事業者</t>
    <rPh sb="3" eb="5">
      <t>シンキ</t>
    </rPh>
    <rPh sb="5" eb="7">
      <t>タイショウ</t>
    </rPh>
    <rPh sb="7" eb="10">
      <t>ジギョウシャ</t>
    </rPh>
    <rPh sb="11" eb="14">
      <t>カナガワ</t>
    </rPh>
    <rPh sb="14" eb="16">
      <t>ケンナイ</t>
    </rPh>
    <rPh sb="17" eb="19">
      <t>シヨウ</t>
    </rPh>
    <rPh sb="20" eb="22">
      <t>ホンキョ</t>
    </rPh>
    <rPh sb="23" eb="24">
      <t>ユウ</t>
    </rPh>
    <rPh sb="26" eb="29">
      <t>ジドウシャ</t>
    </rPh>
    <rPh sb="30" eb="34">
      <t>ケイジドウシャ</t>
    </rPh>
    <rPh sb="35" eb="38">
      <t>ニリンシャ</t>
    </rPh>
    <rPh sb="39" eb="41">
      <t>トクシュ</t>
    </rPh>
    <rPh sb="41" eb="44">
      <t>ジドウシャ</t>
    </rPh>
    <rPh sb="45" eb="46">
      <t>ノゾ</t>
    </rPh>
    <rPh sb="51" eb="52">
      <t>ダイ</t>
    </rPh>
    <rPh sb="52" eb="54">
      <t>イジョウ</t>
    </rPh>
    <rPh sb="58" eb="61">
      <t>ジギョウシャ</t>
    </rPh>
    <phoneticPr fontId="2"/>
  </si>
  <si>
    <t>●入力するシートについて（計画書作成時と実績報告時で異なります）</t>
    <rPh sb="1" eb="3">
      <t>ニュウリョク</t>
    </rPh>
    <rPh sb="13" eb="16">
      <t>ケイカクショ</t>
    </rPh>
    <rPh sb="16" eb="19">
      <t>サクセイジ</t>
    </rPh>
    <rPh sb="20" eb="22">
      <t>ジッセキ</t>
    </rPh>
    <rPh sb="22" eb="24">
      <t>ホウコク</t>
    </rPh>
    <rPh sb="24" eb="25">
      <t>ジ</t>
    </rPh>
    <rPh sb="26" eb="27">
      <t>コト</t>
    </rPh>
    <phoneticPr fontId="15"/>
  </si>
  <si>
    <t>日本標準産業分類　中分類コード</t>
    <phoneticPr fontId="15"/>
  </si>
  <si>
    <t>（計画２、実績２シート）</t>
    <rPh sb="1" eb="3">
      <t>ケイカク</t>
    </rPh>
    <rPh sb="5" eb="7">
      <t>ジッセキ</t>
    </rPh>
    <phoneticPr fontId="15"/>
  </si>
  <si>
    <r>
      <t xml:space="preserve">      </t>
    </r>
    <r>
      <rPr>
        <sz val="11"/>
        <rFont val="ＭＳ Ｐゴシック"/>
        <family val="3"/>
        <charset val="128"/>
      </rPr>
      <t>「紫ハッチ」色のセルに</t>
    </r>
    <r>
      <rPr>
        <sz val="11"/>
        <rFont val="ＭＳ Ｐゴシック"/>
        <family val="3"/>
        <charset val="128"/>
      </rPr>
      <t xml:space="preserve"> </t>
    </r>
    <r>
      <rPr>
        <sz val="11"/>
        <rFont val="ＭＳ Ｐゴシック"/>
        <family val="3"/>
        <charset val="128"/>
      </rPr>
      <t>「値貼り付け」して下さい。</t>
    </r>
    <phoneticPr fontId="15"/>
  </si>
  <si>
    <t>　　　※　「値貼り付けの方法」シートを参照。</t>
    <rPh sb="6" eb="7">
      <t>アタイ</t>
    </rPh>
    <rPh sb="7" eb="8">
      <t>ハ</t>
    </rPh>
    <rPh sb="9" eb="10">
      <t>ツ</t>
    </rPh>
    <rPh sb="12" eb="14">
      <t>ホウホウ</t>
    </rPh>
    <rPh sb="19" eb="21">
      <t>サンショウ</t>
    </rPh>
    <phoneticPr fontId="15"/>
  </si>
  <si>
    <t>　　または空欄にすべき箇所にデータが入っています。</t>
    <phoneticPr fontId="15"/>
  </si>
  <si>
    <t>ERROR</t>
    <phoneticPr fontId="15"/>
  </si>
  <si>
    <t>TEL 045-210-1111　内線4182</t>
    <phoneticPr fontId="15"/>
  </si>
  <si>
    <t>コピー先（紫色ハッチ）のセルの一番左上にあたるセルを選択して右クリックし、</t>
    <rPh sb="3" eb="4">
      <t>サキ</t>
    </rPh>
    <rPh sb="5" eb="7">
      <t>ムラサキイロ</t>
    </rPh>
    <rPh sb="15" eb="17">
      <t>イチバン</t>
    </rPh>
    <rPh sb="17" eb="19">
      <t>ヒダリウエ</t>
    </rPh>
    <rPh sb="26" eb="28">
      <t>センタク</t>
    </rPh>
    <rPh sb="30" eb="31">
      <t>ミギ</t>
    </rPh>
    <phoneticPr fontId="2"/>
  </si>
  <si>
    <t>年間走行
距離</t>
    <rPh sb="0" eb="2">
      <t>ネンカン</t>
    </rPh>
    <rPh sb="2" eb="4">
      <t>ソウコウ</t>
    </rPh>
    <rPh sb="5" eb="7">
      <t>キョリ</t>
    </rPh>
    <phoneticPr fontId="2"/>
  </si>
  <si>
    <t>ＮＯｘ
排出量</t>
    <rPh sb="4" eb="6">
      <t>ハイシュツ</t>
    </rPh>
    <rPh sb="6" eb="7">
      <t>リョウ</t>
    </rPh>
    <phoneticPr fontId="2"/>
  </si>
  <si>
    <t>ＰＭ
排出量</t>
    <rPh sb="3" eb="5">
      <t>ハイシュツ</t>
    </rPh>
    <rPh sb="5" eb="6">
      <t>リョウ</t>
    </rPh>
    <phoneticPr fontId="2"/>
  </si>
  <si>
    <r>
      <t>ＣＯ</t>
    </r>
    <r>
      <rPr>
        <vertAlign val="subscript"/>
        <sz val="9"/>
        <rFont val="ＭＳ Ｐゴシック"/>
        <family val="3"/>
        <charset val="128"/>
      </rPr>
      <t xml:space="preserve">2
</t>
    </r>
    <r>
      <rPr>
        <sz val="9"/>
        <rFont val="ＭＳ Ｐゴシック"/>
        <family val="3"/>
        <charset val="128"/>
      </rPr>
      <t>排出係数</t>
    </r>
    <rPh sb="4" eb="6">
      <t>ハイシュツ</t>
    </rPh>
    <rPh sb="6" eb="8">
      <t>ケイスウ</t>
    </rPh>
    <phoneticPr fontId="2"/>
  </si>
  <si>
    <r>
      <t>ＣＯ</t>
    </r>
    <r>
      <rPr>
        <vertAlign val="subscript"/>
        <sz val="9"/>
        <rFont val="ＭＳ Ｐゴシック"/>
        <family val="3"/>
        <charset val="128"/>
      </rPr>
      <t xml:space="preserve">2
</t>
    </r>
    <r>
      <rPr>
        <sz val="9"/>
        <rFont val="ＭＳ Ｐゴシック"/>
        <family val="3"/>
        <charset val="128"/>
      </rPr>
      <t>排出量</t>
    </r>
    <rPh sb="4" eb="6">
      <t>ハイシュツ</t>
    </rPh>
    <rPh sb="6" eb="7">
      <t>リョウ</t>
    </rPh>
    <phoneticPr fontId="2"/>
  </si>
  <si>
    <t>各車両の記録を確認して記載</t>
    <rPh sb="0" eb="1">
      <t>カク</t>
    </rPh>
    <rPh sb="1" eb="3">
      <t>シャリョウ</t>
    </rPh>
    <rPh sb="4" eb="6">
      <t>キロク</t>
    </rPh>
    <rPh sb="7" eb="9">
      <t>カクニン</t>
    </rPh>
    <rPh sb="11" eb="13">
      <t>キサイ</t>
    </rPh>
    <phoneticPr fontId="2"/>
  </si>
  <si>
    <t>分類番号</t>
    <rPh sb="0" eb="2">
      <t>ブンルイ</t>
    </rPh>
    <rPh sb="2" eb="4">
      <t>バンゴウ</t>
    </rPh>
    <phoneticPr fontId="2"/>
  </si>
  <si>
    <t>型式のハイフンの前のアルファベット</t>
    <rPh sb="0" eb="2">
      <t>カタシキ</t>
    </rPh>
    <rPh sb="8" eb="9">
      <t>マエ</t>
    </rPh>
    <phoneticPr fontId="2"/>
  </si>
  <si>
    <t>kg単位</t>
    <rPh sb="2" eb="4">
      <t>タンイ</t>
    </rPh>
    <phoneticPr fontId="2"/>
  </si>
  <si>
    <t>km単位</t>
    <rPh sb="2" eb="4">
      <t>タンイ</t>
    </rPh>
    <phoneticPr fontId="2"/>
  </si>
  <si>
    <t>（kg）</t>
    <phoneticPr fontId="2"/>
  </si>
  <si>
    <t>（t）</t>
    <phoneticPr fontId="2"/>
  </si>
  <si>
    <t>事業所台帳、車両台帳、計画１、計画２、実績１、実績２、事業所別車両状況</t>
    <phoneticPr fontId="2"/>
  </si>
  <si>
    <t>(g/km,g/km/t)</t>
    <phoneticPr fontId="2"/>
  </si>
  <si>
    <t>(kg・CO2/L),CNGは(kg・CO2/m3)</t>
    <phoneticPr fontId="2"/>
  </si>
  <si>
    <t>ＮＯx</t>
    <phoneticPr fontId="24"/>
  </si>
  <si>
    <t>ＰＭ</t>
    <phoneticPr fontId="24"/>
  </si>
  <si>
    <t>トラック・バス</t>
    <phoneticPr fontId="2"/>
  </si>
  <si>
    <t>H17</t>
    <phoneticPr fontId="2"/>
  </si>
  <si>
    <t>AAE,ABE</t>
    <phoneticPr fontId="2"/>
  </si>
  <si>
    <t>ACE,ADE</t>
    <phoneticPr fontId="2"/>
  </si>
  <si>
    <t>AAF,ABF</t>
    <phoneticPr fontId="2"/>
  </si>
  <si>
    <t>ACF,ADF</t>
    <phoneticPr fontId="2"/>
  </si>
  <si>
    <t>バス貨物～1.7t(ガソリン)</t>
    <phoneticPr fontId="2"/>
  </si>
  <si>
    <t>バス貨物～1.7t(LPG)</t>
    <phoneticPr fontId="2"/>
  </si>
  <si>
    <t>H17</t>
    <phoneticPr fontId="2"/>
  </si>
  <si>
    <t>AAF,ABF</t>
    <phoneticPr fontId="2"/>
  </si>
  <si>
    <t>バス貨物～1.7t(ガソリン)</t>
    <phoneticPr fontId="2"/>
  </si>
  <si>
    <t>バス貨物～1.7t(LPG)</t>
    <phoneticPr fontId="2"/>
  </si>
  <si>
    <t>AAG,ABG</t>
    <phoneticPr fontId="2"/>
  </si>
  <si>
    <t>ACG,ADG</t>
    <phoneticPr fontId="2"/>
  </si>
  <si>
    <t>AAA</t>
    <phoneticPr fontId="2"/>
  </si>
  <si>
    <t>AAB,AAC</t>
    <phoneticPr fontId="2"/>
  </si>
  <si>
    <t>NOx：0.48g/km</t>
    <phoneticPr fontId="2"/>
  </si>
  <si>
    <t>PM：0.055g/km</t>
    <phoneticPr fontId="2"/>
  </si>
  <si>
    <t>PM：0.055g/km</t>
    <phoneticPr fontId="2"/>
  </si>
  <si>
    <t>NOx：0.48g/km</t>
    <phoneticPr fontId="2"/>
  </si>
  <si>
    <t>NOx：0.63g/km</t>
    <phoneticPr fontId="2"/>
  </si>
  <si>
    <t>PM：0.06g/km</t>
    <phoneticPr fontId="2"/>
  </si>
  <si>
    <t>NOx：0.63g/km</t>
    <phoneticPr fontId="2"/>
  </si>
  <si>
    <t>PM：0.06g/km</t>
    <phoneticPr fontId="2"/>
  </si>
  <si>
    <t>NOx：0.35g/km/t</t>
    <phoneticPr fontId="2"/>
  </si>
  <si>
    <t>PM：0.023g/km/t</t>
    <phoneticPr fontId="2"/>
  </si>
  <si>
    <t>カテゴリー１,２</t>
    <phoneticPr fontId="2"/>
  </si>
  <si>
    <t>カテゴリー３,４,５</t>
    <phoneticPr fontId="2"/>
  </si>
  <si>
    <t>0.080g/km</t>
    <phoneticPr fontId="2"/>
  </si>
  <si>
    <t>0.052g/km</t>
    <phoneticPr fontId="2"/>
  </si>
  <si>
    <t>0.090g/km</t>
    <phoneticPr fontId="2"/>
  </si>
  <si>
    <t>0.090g/km</t>
    <phoneticPr fontId="2"/>
  </si>
  <si>
    <t>0.060g/km</t>
    <phoneticPr fontId="2"/>
  </si>
  <si>
    <t>0.060g/km</t>
    <phoneticPr fontId="2"/>
  </si>
  <si>
    <t>バス貨物1.7～2.5t(LPG)</t>
    <phoneticPr fontId="2"/>
  </si>
  <si>
    <t>0.023g/km/t</t>
    <phoneticPr fontId="2"/>
  </si>
  <si>
    <t>0.017g/km/t</t>
    <phoneticPr fontId="2"/>
  </si>
  <si>
    <t>CO2</t>
    <phoneticPr fontId="2"/>
  </si>
  <si>
    <t>バス貨物1.7～2.5t(ガソリン)</t>
    <phoneticPr fontId="2"/>
  </si>
  <si>
    <r>
      <t>(kg・CO</t>
    </r>
    <r>
      <rPr>
        <vertAlign val="subscript"/>
        <sz val="9"/>
        <rFont val="ＭＳ Ｐゴシック"/>
        <family val="3"/>
        <charset val="128"/>
      </rPr>
      <t>2</t>
    </r>
    <r>
      <rPr>
        <sz val="9"/>
        <rFont val="ＭＳ Ｐゴシック"/>
        <family val="3"/>
        <charset val="128"/>
      </rPr>
      <t>/l)</t>
    </r>
    <phoneticPr fontId="2"/>
  </si>
  <si>
    <r>
      <t>(kg・CO</t>
    </r>
    <r>
      <rPr>
        <vertAlign val="subscript"/>
        <sz val="9"/>
        <rFont val="ＭＳ Ｐゴシック"/>
        <family val="3"/>
        <charset val="128"/>
      </rPr>
      <t>2</t>
    </r>
    <r>
      <rPr>
        <sz val="9"/>
        <rFont val="ＭＳ Ｐゴシック"/>
        <family val="3"/>
        <charset val="128"/>
      </rPr>
      <t>/l)</t>
    </r>
    <phoneticPr fontId="2"/>
  </si>
  <si>
    <t>LPG</t>
    <phoneticPr fontId="2"/>
  </si>
  <si>
    <r>
      <t>(kg・CO</t>
    </r>
    <r>
      <rPr>
        <vertAlign val="subscript"/>
        <sz val="9"/>
        <rFont val="ＭＳ Ｐゴシック"/>
        <family val="3"/>
        <charset val="128"/>
      </rPr>
      <t>2</t>
    </r>
    <r>
      <rPr>
        <sz val="9"/>
        <rFont val="ＭＳ Ｐゴシック"/>
        <family val="3"/>
        <charset val="128"/>
      </rPr>
      <t>/kg)</t>
    </r>
    <phoneticPr fontId="2"/>
  </si>
  <si>
    <t>CNG</t>
    <phoneticPr fontId="2"/>
  </si>
  <si>
    <r>
      <t>(kg・CO</t>
    </r>
    <r>
      <rPr>
        <vertAlign val="subscript"/>
        <sz val="9"/>
        <rFont val="ＭＳ Ｐゴシック"/>
        <family val="3"/>
        <charset val="128"/>
      </rPr>
      <t>2</t>
    </r>
    <r>
      <rPr>
        <sz val="9"/>
        <rFont val="ＭＳ Ｐゴシック"/>
        <family val="3"/>
        <charset val="128"/>
      </rPr>
      <t>/m</t>
    </r>
    <r>
      <rPr>
        <vertAlign val="superscript"/>
        <sz val="9"/>
        <rFont val="ＭＳ Ｐゴシック"/>
        <family val="3"/>
        <charset val="128"/>
      </rPr>
      <t>3</t>
    </r>
    <r>
      <rPr>
        <sz val="9"/>
        <rFont val="ＭＳ Ｐゴシック"/>
        <family val="3"/>
        <charset val="128"/>
      </rPr>
      <t>)</t>
    </r>
    <phoneticPr fontId="2"/>
  </si>
  <si>
    <t>バス貨物1.7～2.5t(ガソリン)</t>
    <phoneticPr fontId="2"/>
  </si>
  <si>
    <t>バス貨物1.7～2.5t(LPG)</t>
    <phoneticPr fontId="2"/>
  </si>
  <si>
    <r>
      <t>(kg・CO</t>
    </r>
    <r>
      <rPr>
        <vertAlign val="subscript"/>
        <sz val="9"/>
        <rFont val="ＭＳ Ｐゴシック"/>
        <family val="3"/>
        <charset val="128"/>
      </rPr>
      <t>2</t>
    </r>
    <r>
      <rPr>
        <sz val="9"/>
        <rFont val="ＭＳ Ｐゴシック"/>
        <family val="3"/>
        <charset val="128"/>
      </rPr>
      <t>/kwh)</t>
    </r>
    <phoneticPr fontId="2"/>
  </si>
  <si>
    <t>メタノール</t>
    <phoneticPr fontId="2"/>
  </si>
  <si>
    <t>バス貨物2.5～3.5t(LPG)</t>
    <phoneticPr fontId="2"/>
  </si>
  <si>
    <t>バス貨物2.5～3.5t(ガソリン)</t>
    <phoneticPr fontId="2"/>
  </si>
  <si>
    <t>バス貨物2.5～3.5t(ガソリン)</t>
    <phoneticPr fontId="2"/>
  </si>
  <si>
    <t>バス貨物2.5～3.5t(LPG)</t>
    <phoneticPr fontId="2"/>
  </si>
  <si>
    <t>バス貨物3.5t～(LPG)</t>
    <phoneticPr fontId="2"/>
  </si>
  <si>
    <t>バス貨物3.5t～(ガソリン)</t>
    <phoneticPr fontId="2"/>
  </si>
  <si>
    <t>バス貨物3.5t～(ガソリン)</t>
    <phoneticPr fontId="2"/>
  </si>
  <si>
    <t>バス貨物3.5t～(LPG)</t>
    <phoneticPr fontId="2"/>
  </si>
  <si>
    <t>☆</t>
    <phoneticPr fontId="3"/>
  </si>
  <si>
    <t>☆</t>
    <phoneticPr fontId="3"/>
  </si>
  <si>
    <t>乗用(ガソリン)</t>
    <phoneticPr fontId="2"/>
  </si>
  <si>
    <t>乗用(LPG)</t>
    <phoneticPr fontId="2"/>
  </si>
  <si>
    <t>乗用(ガソリン)</t>
    <phoneticPr fontId="2"/>
  </si>
  <si>
    <t>乗用(LPG)</t>
    <phoneticPr fontId="2"/>
  </si>
  <si>
    <t>FDA</t>
    <phoneticPr fontId="3"/>
  </si>
  <si>
    <t>FMA</t>
    <phoneticPr fontId="3"/>
  </si>
  <si>
    <t>バス貨物～1.7t</t>
    <phoneticPr fontId="2"/>
  </si>
  <si>
    <t>バス貨物1.7～2.5t</t>
    <phoneticPr fontId="2"/>
  </si>
  <si>
    <t>バス貨物2.5～3.5t</t>
    <phoneticPr fontId="2"/>
  </si>
  <si>
    <t>バス貨物3.5t～</t>
    <phoneticPr fontId="2"/>
  </si>
  <si>
    <t>バス貨物3.5t～</t>
    <phoneticPr fontId="2"/>
  </si>
  <si>
    <t>入力不可</t>
    <rPh sb="0" eb="2">
      <t>ニュウリョク</t>
    </rPh>
    <rPh sb="2" eb="4">
      <t>フカ</t>
    </rPh>
    <phoneticPr fontId="15"/>
  </si>
  <si>
    <t>　（「自動車使用管理計画　神奈川県」で検索してください。）</t>
    <phoneticPr fontId="15"/>
  </si>
  <si>
    <r>
      <t>　この様式は、</t>
    </r>
    <r>
      <rPr>
        <b/>
        <sz val="12"/>
        <rFont val="ＭＳ 明朝"/>
        <family val="1"/>
        <charset val="128"/>
      </rPr>
      <t>「200事業所・自動車2000台」</t>
    </r>
    <r>
      <rPr>
        <sz val="12"/>
        <rFont val="ＭＳ 明朝"/>
        <family val="1"/>
        <charset val="128"/>
      </rPr>
      <t>の事業者向けのものになります。</t>
    </r>
    <rPh sb="3" eb="5">
      <t>ヨウシキ</t>
    </rPh>
    <rPh sb="25" eb="28">
      <t>ジギョウシャ</t>
    </rPh>
    <rPh sb="28" eb="29">
      <t>ム</t>
    </rPh>
    <phoneticPr fontId="15"/>
  </si>
  <si>
    <t>　他にも、「150事業所・自動車500台」、「250事業所・自動車5,000台」、「250事業所・自動車10,000台」のものがあります。事業者の現状にあわせて選択してください。</t>
    <rPh sb="1" eb="2">
      <t>ホカ</t>
    </rPh>
    <rPh sb="26" eb="29">
      <t>ジギョウショ</t>
    </rPh>
    <rPh sb="30" eb="33">
      <t>ジドウシャ</t>
    </rPh>
    <rPh sb="38" eb="39">
      <t>ダイ</t>
    </rPh>
    <rPh sb="69" eb="72">
      <t>ジギョウシャ</t>
    </rPh>
    <rPh sb="73" eb="75">
      <t>ゲンジョウ</t>
    </rPh>
    <rPh sb="80" eb="82">
      <t>センタク</t>
    </rPh>
    <phoneticPr fontId="15"/>
  </si>
  <si>
    <t>2020年度の１年間の増減</t>
    <rPh sb="4" eb="6">
      <t>ネンド</t>
    </rPh>
    <rPh sb="8" eb="10">
      <t>ネンカン</t>
    </rPh>
    <rPh sb="11" eb="13">
      <t>ゾウゲン</t>
    </rPh>
    <phoneticPr fontId="2"/>
  </si>
  <si>
    <t>実績報告書（2021年度実績）</t>
    <phoneticPr fontId="15"/>
  </si>
  <si>
    <t>2022年4～6月</t>
    <rPh sb="4" eb="5">
      <t>ネン</t>
    </rPh>
    <rPh sb="8" eb="9">
      <t>ガツ</t>
    </rPh>
    <phoneticPr fontId="2"/>
  </si>
  <si>
    <t>2021年度末時点</t>
    <rPh sb="4" eb="6">
      <t>ネンド</t>
    </rPh>
    <rPh sb="6" eb="7">
      <t>マツ</t>
    </rPh>
    <rPh sb="7" eb="9">
      <t>ジテン</t>
    </rPh>
    <phoneticPr fontId="2"/>
  </si>
  <si>
    <t>2021年度の１年間の増減</t>
    <rPh sb="4" eb="6">
      <t>ネンド</t>
    </rPh>
    <rPh sb="8" eb="10">
      <t>ネンカン</t>
    </rPh>
    <rPh sb="11" eb="13">
      <t>ゾウゲン</t>
    </rPh>
    <phoneticPr fontId="2"/>
  </si>
  <si>
    <t>実績報告書（2022年度実績）</t>
    <phoneticPr fontId="15"/>
  </si>
  <si>
    <t>2023年4～6月</t>
    <rPh sb="4" eb="5">
      <t>ネン</t>
    </rPh>
    <rPh sb="8" eb="9">
      <t>ガツ</t>
    </rPh>
    <phoneticPr fontId="2"/>
  </si>
  <si>
    <t>2022年度末時点</t>
    <rPh sb="4" eb="6">
      <t>ネンド</t>
    </rPh>
    <rPh sb="6" eb="7">
      <t>マツ</t>
    </rPh>
    <rPh sb="7" eb="9">
      <t>ジテン</t>
    </rPh>
    <phoneticPr fontId="2"/>
  </si>
  <si>
    <t>2022年度の１年間の増減</t>
    <rPh sb="4" eb="6">
      <t>ネンド</t>
    </rPh>
    <rPh sb="8" eb="10">
      <t>ネンカン</t>
    </rPh>
    <phoneticPr fontId="2"/>
  </si>
  <si>
    <t>実績報告書（2023年度実績）</t>
    <phoneticPr fontId="15"/>
  </si>
  <si>
    <t>2024年4～6月</t>
    <rPh sb="4" eb="5">
      <t>ネン</t>
    </rPh>
    <rPh sb="8" eb="9">
      <t>ガツ</t>
    </rPh>
    <phoneticPr fontId="2"/>
  </si>
  <si>
    <t>2023年度末時点</t>
    <rPh sb="4" eb="6">
      <t>ネンド</t>
    </rPh>
    <rPh sb="6" eb="7">
      <t>マツ</t>
    </rPh>
    <rPh sb="7" eb="9">
      <t>ジテン</t>
    </rPh>
    <phoneticPr fontId="2"/>
  </si>
  <si>
    <t>2023年度の１年間の増減</t>
    <rPh sb="4" eb="6">
      <t>ネンド</t>
    </rPh>
    <rPh sb="8" eb="10">
      <t>ネンカン</t>
    </rPh>
    <phoneticPr fontId="2"/>
  </si>
  <si>
    <t>実績報告書（2024年度実績）</t>
    <phoneticPr fontId="15"/>
  </si>
  <si>
    <t>2025年4～6月</t>
    <rPh sb="4" eb="5">
      <t>ネン</t>
    </rPh>
    <rPh sb="8" eb="9">
      <t>ガツ</t>
    </rPh>
    <phoneticPr fontId="2"/>
  </si>
  <si>
    <t>2024年度末時点</t>
    <rPh sb="4" eb="6">
      <t>ネンド</t>
    </rPh>
    <rPh sb="6" eb="7">
      <t>マツ</t>
    </rPh>
    <rPh sb="7" eb="9">
      <t>ジテン</t>
    </rPh>
    <phoneticPr fontId="2"/>
  </si>
  <si>
    <t>2024年度の１年間の増減</t>
    <rPh sb="4" eb="6">
      <t>ネンド</t>
    </rPh>
    <rPh sb="8" eb="10">
      <t>ネンカン</t>
    </rPh>
    <phoneticPr fontId="2"/>
  </si>
  <si>
    <t>実績報告書（2025年度実績）</t>
    <phoneticPr fontId="15"/>
  </si>
  <si>
    <t>2026年4～6月</t>
    <rPh sb="4" eb="5">
      <t>ネン</t>
    </rPh>
    <rPh sb="8" eb="9">
      <t>ガツ</t>
    </rPh>
    <phoneticPr fontId="2"/>
  </si>
  <si>
    <t>2025年度末時点</t>
    <rPh sb="4" eb="6">
      <t>ネンド</t>
    </rPh>
    <rPh sb="6" eb="7">
      <t>マツ</t>
    </rPh>
    <rPh sb="7" eb="9">
      <t>ジテン</t>
    </rPh>
    <phoneticPr fontId="2"/>
  </si>
  <si>
    <t>2025年度の１年間の増減</t>
    <rPh sb="4" eb="6">
      <t>ネンド</t>
    </rPh>
    <rPh sb="8" eb="10">
      <t>ネンカン</t>
    </rPh>
    <phoneticPr fontId="2"/>
  </si>
  <si>
    <t>実績報告書（2021年度実績）</t>
    <phoneticPr fontId="2"/>
  </si>
  <si>
    <t>実績報告書（2022年度実績）</t>
    <phoneticPr fontId="2"/>
  </si>
  <si>
    <t>実績報告書（2025年度実績）</t>
    <phoneticPr fontId="2"/>
  </si>
  <si>
    <t>条件付き書式用</t>
    <rPh sb="0" eb="3">
      <t>ジョウケンツ</t>
    </rPh>
    <rPh sb="4" eb="6">
      <t>ショシキ</t>
    </rPh>
    <rPh sb="6" eb="7">
      <t>ヨウ</t>
    </rPh>
    <phoneticPr fontId="2"/>
  </si>
  <si>
    <t>令和○年○月</t>
    <rPh sb="0" eb="2">
      <t>レイワ</t>
    </rPh>
    <rPh sb="3" eb="4">
      <t>ネン</t>
    </rPh>
    <rPh sb="5" eb="6">
      <t>ガツ</t>
    </rPh>
    <phoneticPr fontId="2"/>
  </si>
  <si>
    <t>2025年度
（計画）</t>
    <phoneticPr fontId="15"/>
  </si>
  <si>
    <t>2025年度
（計画）</t>
    <phoneticPr fontId="2"/>
  </si>
  <si>
    <t>■自動車使用管理計画・実績報告書【2021年度～2025年度】</t>
    <rPh sb="1" eb="4">
      <t>ジドウシャ</t>
    </rPh>
    <rPh sb="4" eb="6">
      <t>シヨウ</t>
    </rPh>
    <rPh sb="6" eb="8">
      <t>カンリ</t>
    </rPh>
    <rPh sb="8" eb="10">
      <t>ケイカク</t>
    </rPh>
    <rPh sb="11" eb="13">
      <t>ジッセキ</t>
    </rPh>
    <rPh sb="13" eb="16">
      <t>ホウコクショ</t>
    </rPh>
    <phoneticPr fontId="15"/>
  </si>
  <si>
    <t>　計画書作成時から最終年度（2025年度）の実績報告まで、同じファイルを使用します。</t>
    <rPh sb="1" eb="4">
      <t>ケイカクショ</t>
    </rPh>
    <rPh sb="4" eb="7">
      <t>サクセイジ</t>
    </rPh>
    <rPh sb="9" eb="11">
      <t>サイシュウ</t>
    </rPh>
    <rPh sb="11" eb="13">
      <t>ネンド</t>
    </rPh>
    <rPh sb="18" eb="20">
      <t>ネンド</t>
    </rPh>
    <rPh sb="22" eb="24">
      <t>ジッセキ</t>
    </rPh>
    <rPh sb="24" eb="26">
      <t>ホウコク</t>
    </rPh>
    <rPh sb="29" eb="30">
      <t>オナ</t>
    </rPh>
    <rPh sb="36" eb="38">
      <t>シヨウ</t>
    </rPh>
    <phoneticPr fontId="15"/>
  </si>
  <si>
    <t>粒子状物質減少装置</t>
    <rPh sb="0" eb="3">
      <t>リュウシジョウ</t>
    </rPh>
    <rPh sb="3" eb="5">
      <t>ブッシツ</t>
    </rPh>
    <rPh sb="5" eb="7">
      <t>ゲンショウ</t>
    </rPh>
    <rPh sb="7" eb="9">
      <t>ソウチ</t>
    </rPh>
    <phoneticPr fontId="2"/>
  </si>
  <si>
    <t>該当するディーゼル車のみ入力</t>
    <rPh sb="0" eb="2">
      <t>ガイトウ</t>
    </rPh>
    <rPh sb="9" eb="10">
      <t>シャ</t>
    </rPh>
    <rPh sb="12" eb="14">
      <t>ニュウリョク</t>
    </rPh>
    <phoneticPr fontId="2"/>
  </si>
  <si>
    <t>該当するディーゼル車のみ入力</t>
    <rPh sb="0" eb="2">
      <t>ガイトウ</t>
    </rPh>
    <rPh sb="4" eb="10">
      <t>ンデ</t>
    </rPh>
    <rPh sb="12" eb="14">
      <t>ニュウリョク</t>
    </rPh>
    <phoneticPr fontId="2"/>
  </si>
  <si>
    <r>
      <rPr>
        <b/>
        <sz val="11"/>
        <rFont val="ＭＳ Ｐゴシック"/>
        <family val="3"/>
        <charset val="128"/>
      </rPr>
      <t>産業分類番号表　補足</t>
    </r>
    <r>
      <rPr>
        <sz val="11"/>
        <rFont val="ＭＳ Ｐゴシック"/>
        <family val="3"/>
        <charset val="128"/>
      </rPr>
      <t xml:space="preserve">
（１） 製造業（9～32）とは、「新たな製品の製造加工を行う事業所」や「新たな製品を主として卸売する事業所」を指します。
●製薬会社、化粧品会社⇒16化学工業
●暖房・調理装置製造（電気機械を除く）会社⇒24金属製品製造業
●事務機器、医療機器、測定器・分析機器、カメラの製造業⇒27業務用機械器具製造業
●携帯電話、テレビ・ビデオ、コンピューター製造会社⇒30情報通信機械器具製造業
●自動車、列車、船、飛行機、フォークリフト製造会社⇒31輸送用機械器具製造業
（２） 卸売業（50～55）とは、主として「小売業または他の卸売業に商品を販売する事業所」「産業用使用者に商品を大量もしくは多額に販売する事業所」「業務用に使用される商品を販売する事業所」などを指します。
●総合商社⇒50各種商品卸売業
●石油・ガスの卸売業⇒53建築材料、鉱物・金属材料等卸売業
●古紙・再生資源の卸売業⇒53建築材料、鉱物・金属材料等卸売業
●産業用機械器具の卸売業⇒54機械器具卸売業
●家庭用電気機械の卸売業⇒54機械器具卸売業
●自動車部品の卸売業⇒54機械器具卸売業
●医薬品や化粧品の卸売業⇒55その他の卸売業
●日用雑貨・住宅用器具の卸売業⇒55その他の卸売業
●紙や食品パッケージの卸売業⇒55その他の卸売業
</t>
    </r>
    <phoneticPr fontId="2"/>
  </si>
  <si>
    <t xml:space="preserve">（３） 小売業（56～61）とは、主として「個人用または家庭用消費のために商品を販売する事業所」「産業用使用者に商品を少量もしくは小額に販売する事業所」などを指します。
●百貨店やスーパー⇒56各種商品小売業
●コンビニエンスストア⇒58飲食料品小売業
●自動車販売、中古車販売⇒59機械器具小売業
●ガソリンスタンド⇒60その他の小売業
●書籍・文具店、新聞販売店⇒60その他の小売業
●ホームセンター、スポーツ用品店⇒60その他の小売業
（４） おもな金融商品を取扱う業種は次のとおり分類されます。
●銀行や信託銀行⇒62銀行業
●信用金庫⇒63協同組織金融業
●証券会社⇒65金融商品取引業、商品先物取引業
（５） おもなサービス業は次のとおり分類されます。
●ソフトウェア・ソリューションビジネス⇒39情報サービス業
●出版業⇒41映像・音声・文字情報制作業
●レンタカー、リース業⇒70物品賃貸業
●検査や設計を担う会社や団体⇒74技術サービス業
●冠婚葬祭業⇒79その他の生活関連サービス業
●自動車教習所⇒82その他の教育、学習支援業
●ビル・建物の管理メンテナンス業、警備業⇒92その他の事業サービス業
（６） 72の「専門サービス業」に該当する業種はおもに次のとおりです。（神奈川県内の特定事業者として該当する事業者はほとんどありません。）
法律事務所、司法書士事務所、行政書士事務所、税理士事務所、経営コンサルタント、デザイナー・芸術家、興信所　など
（７） 95の「その他のサービス業」に該当する業種はおもに次のとおりです。（神奈川県内の特定事業者として該当する事業者はほとんどありません。）
公会堂、文化会館、と畜場、卸売市場
</t>
    <phoneticPr fontId="2"/>
  </si>
  <si>
    <t>01　　農業</t>
    <phoneticPr fontId="2"/>
  </si>
  <si>
    <t>管理，補助的経済活動を行う事業所</t>
    <phoneticPr fontId="2"/>
  </si>
  <si>
    <t>主として管理事務を行う本社等</t>
    <phoneticPr fontId="2"/>
  </si>
  <si>
    <t>その他の管理，補助的経済活動を行う事業所</t>
    <phoneticPr fontId="2"/>
  </si>
  <si>
    <t>耕種農業</t>
    <phoneticPr fontId="2"/>
  </si>
  <si>
    <t>米作農業</t>
    <phoneticPr fontId="2"/>
  </si>
  <si>
    <t>米作以外の穀作農業</t>
  </si>
  <si>
    <t>野菜作農業（きのこ類の栽培を含む）</t>
  </si>
  <si>
    <t>果樹作農業</t>
  </si>
  <si>
    <t>花き作農業</t>
  </si>
  <si>
    <t>工芸農作物農業</t>
  </si>
  <si>
    <t>ばれいしょ・かんしょ作農業</t>
  </si>
  <si>
    <t>その他の耕種農業</t>
  </si>
  <si>
    <t>畜産農業酪農業</t>
  </si>
  <si>
    <t>肉用牛生産業</t>
  </si>
  <si>
    <t>養豚業</t>
  </si>
  <si>
    <t>養鶏業</t>
  </si>
  <si>
    <t>畜産類似業</t>
  </si>
  <si>
    <t>養蚕農業</t>
  </si>
  <si>
    <t>その他の畜産農業</t>
  </si>
  <si>
    <t>農業サービス業（園芸サービス業を除く）穀作サービス業</t>
  </si>
  <si>
    <t>野菜作・果樹作サービス業</t>
  </si>
  <si>
    <t>穀作，野菜作・果樹作以外の耕種サービス業</t>
  </si>
  <si>
    <t>畜産サービス業（獣医業を除く）</t>
  </si>
  <si>
    <t>園芸サービス業園芸サービス業</t>
  </si>
  <si>
    <t>02　　林業</t>
    <phoneticPr fontId="2"/>
  </si>
  <si>
    <t>育林業</t>
    <phoneticPr fontId="2"/>
  </si>
  <si>
    <t>素材生産業</t>
    <phoneticPr fontId="2"/>
  </si>
  <si>
    <t>特用林産物生産業（きのこ類の栽培を除く）</t>
    <phoneticPr fontId="2"/>
  </si>
  <si>
    <t>製薪炭業</t>
    <phoneticPr fontId="2"/>
  </si>
  <si>
    <t>その他の特用林産物生産業（きのこ類の栽培を除く）</t>
    <phoneticPr fontId="2"/>
  </si>
  <si>
    <t>林業サービス業</t>
    <phoneticPr fontId="2"/>
  </si>
  <si>
    <t>育林サービス業</t>
    <phoneticPr fontId="2"/>
  </si>
  <si>
    <t>素材生産サービス業</t>
    <phoneticPr fontId="2"/>
  </si>
  <si>
    <t>山林種苗生産サービス業</t>
    <phoneticPr fontId="2"/>
  </si>
  <si>
    <t>その他の林業サービス業</t>
    <phoneticPr fontId="2"/>
  </si>
  <si>
    <t>その他の林業</t>
    <phoneticPr fontId="2"/>
  </si>
  <si>
    <t>03　　漁業（水産養殖業を除く）</t>
    <phoneticPr fontId="2"/>
  </si>
  <si>
    <t>海面漁業</t>
    <phoneticPr fontId="2"/>
  </si>
  <si>
    <t>底びき網漁業</t>
    <phoneticPr fontId="2"/>
  </si>
  <si>
    <t>まき網漁業</t>
    <phoneticPr fontId="2"/>
  </si>
  <si>
    <t>刺網漁業</t>
    <phoneticPr fontId="2"/>
  </si>
  <si>
    <t>釣・はえ縄漁業</t>
    <phoneticPr fontId="2"/>
  </si>
  <si>
    <t>定置網漁業</t>
    <phoneticPr fontId="2"/>
  </si>
  <si>
    <t>地びき網・船びき網漁業</t>
    <phoneticPr fontId="2"/>
  </si>
  <si>
    <t>採貝・採藻業</t>
    <phoneticPr fontId="2"/>
  </si>
  <si>
    <t>捕鯨業</t>
    <phoneticPr fontId="2"/>
  </si>
  <si>
    <t>その他の海面漁業</t>
    <phoneticPr fontId="2"/>
  </si>
  <si>
    <t>内水面漁業</t>
    <phoneticPr fontId="2"/>
  </si>
  <si>
    <t>04　　水産養殖業</t>
    <phoneticPr fontId="2"/>
  </si>
  <si>
    <t>海面養殖業</t>
    <phoneticPr fontId="2"/>
  </si>
  <si>
    <t>魚類養殖業</t>
    <phoneticPr fontId="2"/>
  </si>
  <si>
    <t>貝類養殖業</t>
    <phoneticPr fontId="2"/>
  </si>
  <si>
    <t>藻類養殖業</t>
    <phoneticPr fontId="2"/>
  </si>
  <si>
    <t>真珠養殖業</t>
    <phoneticPr fontId="2"/>
  </si>
  <si>
    <t>種苗養殖業</t>
    <phoneticPr fontId="2"/>
  </si>
  <si>
    <t>その他の海面養殖業</t>
    <phoneticPr fontId="2"/>
  </si>
  <si>
    <t>内水面養殖業</t>
    <phoneticPr fontId="2"/>
  </si>
  <si>
    <t>05　　鉱業，採石業，砂利採取業</t>
    <phoneticPr fontId="2"/>
  </si>
  <si>
    <t>金属鉱業</t>
    <phoneticPr fontId="2"/>
  </si>
  <si>
    <t>金・銀鉱業</t>
    <phoneticPr fontId="2"/>
  </si>
  <si>
    <t>鉛・亜鉛鉱業</t>
    <phoneticPr fontId="2"/>
  </si>
  <si>
    <t>鉄鉱業</t>
    <phoneticPr fontId="2"/>
  </si>
  <si>
    <t>その他の金属鉱業</t>
    <phoneticPr fontId="2"/>
  </si>
  <si>
    <t>石炭・亜炭鉱業</t>
    <phoneticPr fontId="2"/>
  </si>
  <si>
    <t>石炭鉱業（石炭選別業を含む）</t>
    <phoneticPr fontId="2"/>
  </si>
  <si>
    <t>亜炭鉱業</t>
    <phoneticPr fontId="2"/>
  </si>
  <si>
    <t>原油・天然ガス鉱業</t>
    <phoneticPr fontId="2"/>
  </si>
  <si>
    <t>原油鉱業</t>
    <phoneticPr fontId="2"/>
  </si>
  <si>
    <t>天然ガス鉱業</t>
    <phoneticPr fontId="2"/>
  </si>
  <si>
    <t>採石業，砂・砂利・玉石採取業</t>
    <phoneticPr fontId="2"/>
  </si>
  <si>
    <t>花こう岩・同類似岩石採石業</t>
    <phoneticPr fontId="2"/>
  </si>
  <si>
    <t>石英粗面岩・同類似岩石採石業</t>
    <phoneticPr fontId="2"/>
  </si>
  <si>
    <t>安山岩・同類似岩石採石業</t>
    <phoneticPr fontId="2"/>
  </si>
  <si>
    <t>大理石採石業</t>
    <phoneticPr fontId="2"/>
  </si>
  <si>
    <t>ぎょう灰岩採石業</t>
    <phoneticPr fontId="2"/>
  </si>
  <si>
    <t>砂岩採石業</t>
    <phoneticPr fontId="2"/>
  </si>
  <si>
    <t>粘板岩採石業</t>
    <phoneticPr fontId="2"/>
  </si>
  <si>
    <t>砂・砂利・玉石採取業</t>
    <phoneticPr fontId="2"/>
  </si>
  <si>
    <t>その他の採石業，砂・砂利・玉石採取業</t>
    <phoneticPr fontId="2"/>
  </si>
  <si>
    <t>窯業原料用鉱物鉱業（耐火物・陶磁器・ガラス・セメント原料用に限る）</t>
    <phoneticPr fontId="2"/>
  </si>
  <si>
    <t>耐火粘土鉱業</t>
    <phoneticPr fontId="2"/>
  </si>
  <si>
    <t>ろう石鉱業</t>
    <phoneticPr fontId="2"/>
  </si>
  <si>
    <t>ドロマイト鉱業</t>
    <phoneticPr fontId="2"/>
  </si>
  <si>
    <t>長石鉱業</t>
    <phoneticPr fontId="2"/>
  </si>
  <si>
    <t>けい石鉱業</t>
    <phoneticPr fontId="2"/>
  </si>
  <si>
    <t>天然けい砂鉱業</t>
    <phoneticPr fontId="2"/>
  </si>
  <si>
    <t>石灰石鉱業</t>
    <phoneticPr fontId="2"/>
  </si>
  <si>
    <t>その他の窯業原料用鉱物鉱業</t>
    <phoneticPr fontId="2"/>
  </si>
  <si>
    <t>その他の鉱業</t>
    <phoneticPr fontId="2"/>
  </si>
  <si>
    <t>酸性白土鉱業</t>
    <phoneticPr fontId="2"/>
  </si>
  <si>
    <t>ベントナイト鉱業</t>
    <phoneticPr fontId="2"/>
  </si>
  <si>
    <t>けいそう土鉱業</t>
    <phoneticPr fontId="2"/>
  </si>
  <si>
    <t>滑石鉱業</t>
    <phoneticPr fontId="2"/>
  </si>
  <si>
    <t>他に分類されない鉱業</t>
    <phoneticPr fontId="2"/>
  </si>
  <si>
    <t>06　　総合工事業</t>
    <phoneticPr fontId="2"/>
  </si>
  <si>
    <t>一般土木建築工事業</t>
    <phoneticPr fontId="2"/>
  </si>
  <si>
    <t>土木工事業（舗装工事業を除く）</t>
    <phoneticPr fontId="2"/>
  </si>
  <si>
    <t>土木工事業(別掲を除く)</t>
    <phoneticPr fontId="2"/>
  </si>
  <si>
    <t>造園工事業</t>
    <phoneticPr fontId="2"/>
  </si>
  <si>
    <t>しゅんせつ工事業</t>
    <phoneticPr fontId="2"/>
  </si>
  <si>
    <t>舗装工事業</t>
    <phoneticPr fontId="2"/>
  </si>
  <si>
    <t>建築工事業(木造建築工事業を除く)</t>
    <phoneticPr fontId="2"/>
  </si>
  <si>
    <t>木造建築工事業</t>
    <phoneticPr fontId="2"/>
  </si>
  <si>
    <t>建築リフォーム工事業</t>
    <phoneticPr fontId="2"/>
  </si>
  <si>
    <t>07　　職別工事業(設備工事業を除く)</t>
    <phoneticPr fontId="2"/>
  </si>
  <si>
    <t>大工工事業</t>
    <phoneticPr fontId="2"/>
  </si>
  <si>
    <t>大工工事業(型枠大工工事業を除く)</t>
    <phoneticPr fontId="2"/>
  </si>
  <si>
    <t>型枠大工工事業</t>
    <phoneticPr fontId="2"/>
  </si>
  <si>
    <t>とび・土工・コンクリート工事業</t>
    <phoneticPr fontId="2"/>
  </si>
  <si>
    <t>とび工事業</t>
    <phoneticPr fontId="2"/>
  </si>
  <si>
    <t>土工・コンクリート工事業</t>
    <phoneticPr fontId="2"/>
  </si>
  <si>
    <t>特殊コンクリート工事業</t>
    <phoneticPr fontId="2"/>
  </si>
  <si>
    <t>鉄骨・鉄筋工事業</t>
    <phoneticPr fontId="2"/>
  </si>
  <si>
    <t>石工・れんが・タイル・ブロック工事業0741　　石工工事業</t>
    <phoneticPr fontId="2"/>
  </si>
  <si>
    <t>れんが工事業</t>
    <phoneticPr fontId="2"/>
  </si>
  <si>
    <t>タイル工事業</t>
    <phoneticPr fontId="2"/>
  </si>
  <si>
    <t>コンクリートブロック工事業</t>
    <phoneticPr fontId="2"/>
  </si>
  <si>
    <t>左官工事業</t>
    <phoneticPr fontId="2"/>
  </si>
  <si>
    <t>板金・金物工事業</t>
    <phoneticPr fontId="2"/>
  </si>
  <si>
    <t>金属製屋根工事業</t>
    <phoneticPr fontId="2"/>
  </si>
  <si>
    <t>板金工事業</t>
    <phoneticPr fontId="2"/>
  </si>
  <si>
    <t>建築金物工事業</t>
    <phoneticPr fontId="2"/>
  </si>
  <si>
    <t>塗装工事業</t>
    <phoneticPr fontId="2"/>
  </si>
  <si>
    <t>塗装工事業（道路標示・区画線工事業を除く）</t>
    <phoneticPr fontId="2"/>
  </si>
  <si>
    <t>道路標示・区画線工事業</t>
    <phoneticPr fontId="2"/>
  </si>
  <si>
    <t>床・内装工事業</t>
    <phoneticPr fontId="2"/>
  </si>
  <si>
    <t>内装工事業</t>
    <phoneticPr fontId="2"/>
  </si>
  <si>
    <t>その他の職別工事業</t>
    <phoneticPr fontId="2"/>
  </si>
  <si>
    <t>ガラス工事業</t>
    <phoneticPr fontId="2"/>
  </si>
  <si>
    <t>金属製建具工事業</t>
    <phoneticPr fontId="2"/>
  </si>
  <si>
    <t>木製建具工事業</t>
    <phoneticPr fontId="2"/>
  </si>
  <si>
    <t>屋根工事業（金属製屋根工事業を除く）</t>
    <phoneticPr fontId="2"/>
  </si>
  <si>
    <t>防水工事業</t>
    <phoneticPr fontId="2"/>
  </si>
  <si>
    <t>はつり・解体工事業</t>
    <phoneticPr fontId="2"/>
  </si>
  <si>
    <t>他に分類されない職別工事業</t>
    <phoneticPr fontId="2"/>
  </si>
  <si>
    <t>08　　設備工事業</t>
    <phoneticPr fontId="2"/>
  </si>
  <si>
    <t>電気工事業</t>
    <phoneticPr fontId="2"/>
  </si>
  <si>
    <t>一般電気工事業</t>
    <phoneticPr fontId="2"/>
  </si>
  <si>
    <t>電気配線工事業</t>
    <phoneticPr fontId="2"/>
  </si>
  <si>
    <t>電気通信・信号装置工事業</t>
    <phoneticPr fontId="2"/>
  </si>
  <si>
    <t>電気通信工事業（有線テレビジョン放送設備設置工事業を除く）</t>
    <phoneticPr fontId="2"/>
  </si>
  <si>
    <t>有線テレビジョン放送設備設置工事業</t>
    <phoneticPr fontId="2"/>
  </si>
  <si>
    <t>信号装置工事業</t>
    <phoneticPr fontId="2"/>
  </si>
  <si>
    <t>管工事業（さく井工事業を除く）</t>
    <phoneticPr fontId="2"/>
  </si>
  <si>
    <t>一般管工事業</t>
    <phoneticPr fontId="2"/>
  </si>
  <si>
    <t>冷暖房設備工事業</t>
    <phoneticPr fontId="2"/>
  </si>
  <si>
    <t>給排水・衛生設備工事業</t>
    <phoneticPr fontId="2"/>
  </si>
  <si>
    <t>その他の管工事業</t>
    <phoneticPr fontId="2"/>
  </si>
  <si>
    <t>機械器具設置工事業</t>
    <phoneticPr fontId="2"/>
  </si>
  <si>
    <t>機械器具設置工事業（昇降設備工事業を除く）</t>
    <phoneticPr fontId="2"/>
  </si>
  <si>
    <t>昇降設備工事業</t>
    <phoneticPr fontId="2"/>
  </si>
  <si>
    <t>その他の設備工事業</t>
    <phoneticPr fontId="2"/>
  </si>
  <si>
    <t>築炉工事業</t>
    <phoneticPr fontId="2"/>
  </si>
  <si>
    <t>熱絶縁工事業</t>
    <phoneticPr fontId="2"/>
  </si>
  <si>
    <t>道路標識設置工事業</t>
    <phoneticPr fontId="2"/>
  </si>
  <si>
    <t>さく井工事業</t>
    <phoneticPr fontId="2"/>
  </si>
  <si>
    <t>09　　食料品製造業</t>
    <phoneticPr fontId="2"/>
  </si>
  <si>
    <t>畜産食料品製造業</t>
    <phoneticPr fontId="2"/>
  </si>
  <si>
    <t>部分肉・冷凍肉製造業</t>
    <phoneticPr fontId="2"/>
  </si>
  <si>
    <t>肉加工品製造業</t>
    <phoneticPr fontId="2"/>
  </si>
  <si>
    <t>処理牛乳・乳飲料製造業</t>
    <phoneticPr fontId="2"/>
  </si>
  <si>
    <t>乳製品製造業（処理牛乳，乳飲料を除く）</t>
    <phoneticPr fontId="2"/>
  </si>
  <si>
    <t>その他の畜産食料品製造業</t>
    <phoneticPr fontId="2"/>
  </si>
  <si>
    <t>水産食料品製造業</t>
    <phoneticPr fontId="2"/>
  </si>
  <si>
    <t>水産缶詰・瓶詰製造業</t>
    <phoneticPr fontId="2"/>
  </si>
  <si>
    <t>海藻加工業</t>
    <phoneticPr fontId="2"/>
  </si>
  <si>
    <t>水産練製品製造業</t>
    <phoneticPr fontId="2"/>
  </si>
  <si>
    <t>塩干・塩蔵品製造業</t>
    <phoneticPr fontId="2"/>
  </si>
  <si>
    <t>冷凍水産物製造業</t>
    <phoneticPr fontId="2"/>
  </si>
  <si>
    <t>冷凍水産食品製造業</t>
    <phoneticPr fontId="2"/>
  </si>
  <si>
    <t>その他の水産食料品製造業</t>
    <phoneticPr fontId="2"/>
  </si>
  <si>
    <t>野菜缶詰・果実缶詰・農産保存食料品製造業</t>
    <phoneticPr fontId="2"/>
  </si>
  <si>
    <t>野菜缶詰・果実缶詰・農産保存食料品製造業（野菜漬物を除く）</t>
    <phoneticPr fontId="2"/>
  </si>
  <si>
    <t>野菜漬物製造業（缶詰，瓶詰，つぼ詰を除く）</t>
    <phoneticPr fontId="2"/>
  </si>
  <si>
    <t>調味料製造業</t>
    <phoneticPr fontId="2"/>
  </si>
  <si>
    <t>味そ製造業</t>
    <phoneticPr fontId="2"/>
  </si>
  <si>
    <t>しょう油・食用アミノ酸製造業</t>
    <phoneticPr fontId="2"/>
  </si>
  <si>
    <t>ソース製造業</t>
    <phoneticPr fontId="2"/>
  </si>
  <si>
    <t>食酢製造業</t>
    <phoneticPr fontId="2"/>
  </si>
  <si>
    <t>その他の調味料製造業</t>
    <phoneticPr fontId="2"/>
  </si>
  <si>
    <t>糖類製造業</t>
    <phoneticPr fontId="2"/>
  </si>
  <si>
    <t>砂糖製造業（砂糖精製業を除く）</t>
    <phoneticPr fontId="2"/>
  </si>
  <si>
    <t>砂糖精製業</t>
    <phoneticPr fontId="2"/>
  </si>
  <si>
    <t>ぶどう糖・水あめ・異性化糖製造業</t>
    <phoneticPr fontId="2"/>
  </si>
  <si>
    <t>精穀・製粉業</t>
    <phoneticPr fontId="2"/>
  </si>
  <si>
    <t>精米・精麦業</t>
    <phoneticPr fontId="2"/>
  </si>
  <si>
    <t>小麦粉製造業</t>
    <phoneticPr fontId="2"/>
  </si>
  <si>
    <t>その他の精穀・製粉業</t>
    <phoneticPr fontId="2"/>
  </si>
  <si>
    <t>パン・菓子製造業</t>
    <phoneticPr fontId="2"/>
  </si>
  <si>
    <t>パン製造業</t>
    <phoneticPr fontId="2"/>
  </si>
  <si>
    <t>生菓子製造業</t>
    <phoneticPr fontId="2"/>
  </si>
  <si>
    <t>ビスケット類・干菓子製造業</t>
    <phoneticPr fontId="2"/>
  </si>
  <si>
    <t>米菓製造業</t>
    <phoneticPr fontId="2"/>
  </si>
  <si>
    <t>その他のパン・菓子製造業</t>
    <phoneticPr fontId="2"/>
  </si>
  <si>
    <t>動植物油脂製造業</t>
    <phoneticPr fontId="2"/>
  </si>
  <si>
    <t>動植物油脂製造業（食用油脂加工業を除く）</t>
    <phoneticPr fontId="2"/>
  </si>
  <si>
    <t>食用油脂加工業</t>
    <phoneticPr fontId="2"/>
  </si>
  <si>
    <t>その他の食料品製造業</t>
    <phoneticPr fontId="2"/>
  </si>
  <si>
    <t>でんぷん製造業</t>
    <phoneticPr fontId="2"/>
  </si>
  <si>
    <t>めん類製造業</t>
    <phoneticPr fontId="2"/>
  </si>
  <si>
    <t>豆腐・油揚製造業</t>
    <phoneticPr fontId="2"/>
  </si>
  <si>
    <t>あん類製造業</t>
    <phoneticPr fontId="2"/>
  </si>
  <si>
    <t>冷凍調理食品製造業</t>
    <phoneticPr fontId="2"/>
  </si>
  <si>
    <t>そう（惣）菜製造業</t>
    <phoneticPr fontId="2"/>
  </si>
  <si>
    <t>すし・弁当・調理パン製造業</t>
    <phoneticPr fontId="2"/>
  </si>
  <si>
    <t>レトルト食品製造業</t>
    <phoneticPr fontId="2"/>
  </si>
  <si>
    <t>他に分類されない食料品製造業</t>
    <phoneticPr fontId="2"/>
  </si>
  <si>
    <t>10　　飲料・たばこ・飼料製造業</t>
    <phoneticPr fontId="2"/>
  </si>
  <si>
    <t>清涼飲料製造業</t>
    <phoneticPr fontId="2"/>
  </si>
  <si>
    <t>酒類製造業</t>
    <phoneticPr fontId="2"/>
  </si>
  <si>
    <t>果実酒製造業</t>
    <phoneticPr fontId="2"/>
  </si>
  <si>
    <t>ビール類製造業</t>
    <phoneticPr fontId="2"/>
  </si>
  <si>
    <t>清酒製造業</t>
    <phoneticPr fontId="2"/>
  </si>
  <si>
    <t>蒸留酒・混成酒製造業</t>
    <phoneticPr fontId="2"/>
  </si>
  <si>
    <t>茶・コーヒー製造業（清涼飲料を除く）</t>
    <phoneticPr fontId="2"/>
  </si>
  <si>
    <t>製茶業</t>
    <phoneticPr fontId="2"/>
  </si>
  <si>
    <t>コーヒー製造業</t>
    <phoneticPr fontId="2"/>
  </si>
  <si>
    <t>製氷業</t>
    <phoneticPr fontId="2"/>
  </si>
  <si>
    <t>たばこ製造業</t>
    <phoneticPr fontId="2"/>
  </si>
  <si>
    <t>たばこ製造業（葉たばこ処理業を除く)</t>
    <phoneticPr fontId="2"/>
  </si>
  <si>
    <t>葉たばこ処理業</t>
    <phoneticPr fontId="2"/>
  </si>
  <si>
    <t>飼料・有機質肥料製造業</t>
    <phoneticPr fontId="2"/>
  </si>
  <si>
    <t>配合飼料製造業</t>
    <phoneticPr fontId="2"/>
  </si>
  <si>
    <t>単体飼料製造業</t>
    <phoneticPr fontId="2"/>
  </si>
  <si>
    <t>有機質肥料製造業</t>
    <phoneticPr fontId="2"/>
  </si>
  <si>
    <t>11　　繊維工業</t>
    <phoneticPr fontId="2"/>
  </si>
  <si>
    <t>製糸業，紡績業，化学繊維・ねん糸等製造業</t>
    <phoneticPr fontId="2"/>
  </si>
  <si>
    <t>化学繊維製造業</t>
    <phoneticPr fontId="2"/>
  </si>
  <si>
    <t>炭素繊維製造業</t>
    <phoneticPr fontId="2"/>
  </si>
  <si>
    <t>綿紡績業</t>
    <phoneticPr fontId="2"/>
  </si>
  <si>
    <t>化学繊維紡績業</t>
    <phoneticPr fontId="2"/>
  </si>
  <si>
    <t>毛紡績業</t>
    <phoneticPr fontId="2"/>
  </si>
  <si>
    <t>ねん糸製造業（かさ高加工糸を除く）</t>
    <phoneticPr fontId="2"/>
  </si>
  <si>
    <t>かさ高加工糸製造業</t>
    <phoneticPr fontId="2"/>
  </si>
  <si>
    <t>その他の紡績業</t>
    <phoneticPr fontId="2"/>
  </si>
  <si>
    <t>織物業</t>
    <phoneticPr fontId="2"/>
  </si>
  <si>
    <t>綿・スフ織物業</t>
    <phoneticPr fontId="2"/>
  </si>
  <si>
    <t>絹・人絹織物業</t>
    <phoneticPr fontId="2"/>
  </si>
  <si>
    <t>毛織物業</t>
    <phoneticPr fontId="2"/>
  </si>
  <si>
    <t>麻織物業</t>
    <phoneticPr fontId="2"/>
  </si>
  <si>
    <t>細幅織物業</t>
    <phoneticPr fontId="2"/>
  </si>
  <si>
    <t>その他の織物業</t>
    <phoneticPr fontId="2"/>
  </si>
  <si>
    <t>ニット生地製造業</t>
    <phoneticPr fontId="2"/>
  </si>
  <si>
    <t>丸編ニット生地製造業</t>
    <phoneticPr fontId="2"/>
  </si>
  <si>
    <t>たて編ニット生地製造業</t>
    <phoneticPr fontId="2"/>
  </si>
  <si>
    <t>横編ニット生地製造業</t>
    <phoneticPr fontId="2"/>
  </si>
  <si>
    <t>染色整理業</t>
    <phoneticPr fontId="2"/>
  </si>
  <si>
    <t>綿・スフ・麻織物機械染色業</t>
    <phoneticPr fontId="2"/>
  </si>
  <si>
    <t>絹・人絹織物機械染色業</t>
    <phoneticPr fontId="2"/>
  </si>
  <si>
    <t>毛織物機械染色整理業</t>
    <phoneticPr fontId="2"/>
  </si>
  <si>
    <t>織物整理業</t>
    <phoneticPr fontId="2"/>
  </si>
  <si>
    <t>織物手加工染色整理業</t>
    <phoneticPr fontId="2"/>
  </si>
  <si>
    <t>綿状繊維・糸染色整理業</t>
    <phoneticPr fontId="2"/>
  </si>
  <si>
    <t>ニット・レース染色整理業</t>
    <phoneticPr fontId="2"/>
  </si>
  <si>
    <t>繊維雑品染色整理業</t>
    <phoneticPr fontId="2"/>
  </si>
  <si>
    <t>綱・網・レース・繊維粗製品製造業</t>
    <phoneticPr fontId="2"/>
  </si>
  <si>
    <t>綱製造業</t>
    <phoneticPr fontId="2"/>
  </si>
  <si>
    <t>漁網製造業</t>
    <phoneticPr fontId="2"/>
  </si>
  <si>
    <t>網地製造業（漁網を除く）</t>
    <phoneticPr fontId="2"/>
  </si>
  <si>
    <t>レース製造業</t>
    <phoneticPr fontId="2"/>
  </si>
  <si>
    <t>組ひも製造業</t>
    <phoneticPr fontId="2"/>
  </si>
  <si>
    <t>整毛業</t>
    <phoneticPr fontId="2"/>
  </si>
  <si>
    <t>フェルト・不織布製造業</t>
    <phoneticPr fontId="2"/>
  </si>
  <si>
    <t>上塗りした織物・防水した織物製造業</t>
    <phoneticPr fontId="2"/>
  </si>
  <si>
    <t>その他の繊維粗製品製造業</t>
    <phoneticPr fontId="2"/>
  </si>
  <si>
    <t>外衣・シャツ製造業（和式を除く）</t>
    <phoneticPr fontId="2"/>
  </si>
  <si>
    <t>織物製成人男子・少年服製造業（不織布製及びレース製を含む）</t>
    <phoneticPr fontId="2"/>
  </si>
  <si>
    <t>織物製成人女子・少女服製造業（不織布製及びレース製を含む）</t>
    <phoneticPr fontId="2"/>
  </si>
  <si>
    <t>織物製乳幼児服製造業（不織布製及びレース製を含む）</t>
    <phoneticPr fontId="2"/>
  </si>
  <si>
    <t>織物製シャツ製造業（不織布製及びレース製を含み、下着を除く）</t>
    <phoneticPr fontId="2"/>
  </si>
  <si>
    <t>織物製事務用・作業用・衛生用・スポーツ用衣服・学校服製造業（不織布製及びレース製を含む）</t>
    <phoneticPr fontId="2"/>
  </si>
  <si>
    <t>ニット製外衣製造業（アウターシャツ類，セーター類などを除く）</t>
    <phoneticPr fontId="2"/>
  </si>
  <si>
    <t>ニット製アウターシャツ類製造業</t>
    <phoneticPr fontId="2"/>
  </si>
  <si>
    <t>セーター類製造業</t>
    <phoneticPr fontId="2"/>
  </si>
  <si>
    <t>その他の外衣・シャツ製造業</t>
    <phoneticPr fontId="2"/>
  </si>
  <si>
    <t>下着類製造業</t>
    <phoneticPr fontId="2"/>
  </si>
  <si>
    <t>織物製下着製造業</t>
    <phoneticPr fontId="2"/>
  </si>
  <si>
    <t>ニット製下着製造業</t>
    <phoneticPr fontId="2"/>
  </si>
  <si>
    <t>織物製・ニット製寝着類製造業</t>
    <phoneticPr fontId="2"/>
  </si>
  <si>
    <t>補整着製造業</t>
    <phoneticPr fontId="2"/>
  </si>
  <si>
    <t>和装製品・その他の衣服・繊維製身の回り品製造業</t>
    <phoneticPr fontId="2"/>
  </si>
  <si>
    <t>和装製品製造業（足袋を含む）</t>
    <phoneticPr fontId="2"/>
  </si>
  <si>
    <t>ネクタイ製造業</t>
    <phoneticPr fontId="2"/>
  </si>
  <si>
    <t>スカーフ・マフラー・ハンカチーフ製造業</t>
    <phoneticPr fontId="2"/>
  </si>
  <si>
    <t>靴下製造業</t>
    <phoneticPr fontId="2"/>
  </si>
  <si>
    <t>手袋製造業</t>
    <phoneticPr fontId="2"/>
  </si>
  <si>
    <t>帽子製造業（帽体を含む）</t>
    <phoneticPr fontId="2"/>
  </si>
  <si>
    <t>他に分類されない衣服・繊維製身の回り品製造業</t>
    <phoneticPr fontId="2"/>
  </si>
  <si>
    <t>その他の繊維製品製造業</t>
    <phoneticPr fontId="2"/>
  </si>
  <si>
    <t>寝具製造業</t>
    <phoneticPr fontId="2"/>
  </si>
  <si>
    <t>毛布製造業</t>
    <phoneticPr fontId="2"/>
  </si>
  <si>
    <t>じゅうたん・その他の繊維製床敷物製造業</t>
    <phoneticPr fontId="2"/>
  </si>
  <si>
    <t>帆布製品製造業</t>
    <phoneticPr fontId="2"/>
  </si>
  <si>
    <t>繊維製袋製造業</t>
    <phoneticPr fontId="2"/>
  </si>
  <si>
    <t>刺しゅう業</t>
    <phoneticPr fontId="2"/>
  </si>
  <si>
    <t>タオル製造業</t>
    <phoneticPr fontId="2"/>
  </si>
  <si>
    <t>繊維製衛生材料製造業</t>
    <phoneticPr fontId="2"/>
  </si>
  <si>
    <t>他に分類されない繊維製品製造業</t>
    <phoneticPr fontId="2"/>
  </si>
  <si>
    <t>12　　木材・木製品製造業（家具を除く）</t>
    <phoneticPr fontId="2"/>
  </si>
  <si>
    <t>製材業，木製品製造業</t>
    <phoneticPr fontId="2"/>
  </si>
  <si>
    <t>一般製材業</t>
    <phoneticPr fontId="2"/>
  </si>
  <si>
    <t>単板（ベニヤ）製造業</t>
    <phoneticPr fontId="2"/>
  </si>
  <si>
    <t>木材チップ製造業</t>
    <phoneticPr fontId="2"/>
  </si>
  <si>
    <t>その他の特殊製材業</t>
    <phoneticPr fontId="2"/>
  </si>
  <si>
    <t>造作材・合板・建築用組立材料製造業</t>
    <phoneticPr fontId="2"/>
  </si>
  <si>
    <t>造作材製造業（建具を除く）</t>
    <phoneticPr fontId="2"/>
  </si>
  <si>
    <t>合板製造業</t>
    <phoneticPr fontId="2"/>
  </si>
  <si>
    <t>集成材製造業</t>
    <phoneticPr fontId="2"/>
  </si>
  <si>
    <t>建築用木製組立材料製造業</t>
    <phoneticPr fontId="2"/>
  </si>
  <si>
    <t>パーティクルボード製造業</t>
    <phoneticPr fontId="2"/>
  </si>
  <si>
    <t>繊維板製造業</t>
    <phoneticPr fontId="2"/>
  </si>
  <si>
    <t>銘木製造業</t>
    <phoneticPr fontId="2"/>
  </si>
  <si>
    <t>床板製造業</t>
    <phoneticPr fontId="2"/>
  </si>
  <si>
    <t>木製容器製造業（竹，とうを含む）</t>
    <phoneticPr fontId="2"/>
  </si>
  <si>
    <t>竹・とう・きりゅう等容器製造業</t>
    <phoneticPr fontId="2"/>
  </si>
  <si>
    <t>木箱製造業</t>
    <phoneticPr fontId="2"/>
  </si>
  <si>
    <t>たる・おけ製造業</t>
    <phoneticPr fontId="2"/>
  </si>
  <si>
    <t>その他の木製品製造業(竹，とうを含む)</t>
    <phoneticPr fontId="2"/>
  </si>
  <si>
    <t>木材薬品処理業</t>
    <phoneticPr fontId="2"/>
  </si>
  <si>
    <t>コルク加工基礎資材・コルク製品製造業</t>
    <phoneticPr fontId="2"/>
  </si>
  <si>
    <t>他に分類されない木製品製造業(竹，とうを含む)</t>
    <phoneticPr fontId="2"/>
  </si>
  <si>
    <t>13　　家具・装備品製造業</t>
    <phoneticPr fontId="2"/>
  </si>
  <si>
    <t>家具製造業</t>
    <phoneticPr fontId="2"/>
  </si>
  <si>
    <t>木製家具製造業（漆塗りを除く）</t>
    <phoneticPr fontId="2"/>
  </si>
  <si>
    <t>金属製家具製造業</t>
    <phoneticPr fontId="2"/>
  </si>
  <si>
    <t>マットレス・組スプリング製造業</t>
    <phoneticPr fontId="2"/>
  </si>
  <si>
    <t>宗教用具製造業</t>
    <phoneticPr fontId="2"/>
  </si>
  <si>
    <t>建具製造業</t>
    <phoneticPr fontId="2"/>
  </si>
  <si>
    <t>その他の家具・装備品製造業</t>
    <phoneticPr fontId="2"/>
  </si>
  <si>
    <t>事務所用・店舗用装備品製造業</t>
    <phoneticPr fontId="2"/>
  </si>
  <si>
    <t>窓用・扉用日よけ，日本びょうぶ等製造業</t>
    <phoneticPr fontId="2"/>
  </si>
  <si>
    <t>鏡縁・額縁製造業</t>
    <phoneticPr fontId="2"/>
  </si>
  <si>
    <t>他に分類されない家具・装備品製造業</t>
    <phoneticPr fontId="2"/>
  </si>
  <si>
    <t>14　　パルプ・紙・紙加工品製造業</t>
    <phoneticPr fontId="2"/>
  </si>
  <si>
    <t>パルプ製造業</t>
    <phoneticPr fontId="2"/>
  </si>
  <si>
    <t>紙製造業</t>
    <phoneticPr fontId="2"/>
  </si>
  <si>
    <t>洋紙製造業</t>
    <phoneticPr fontId="2"/>
  </si>
  <si>
    <t>板紙製造業</t>
    <phoneticPr fontId="2"/>
  </si>
  <si>
    <t>機械すき和紙製造業</t>
    <phoneticPr fontId="2"/>
  </si>
  <si>
    <t>手すき和紙製造業</t>
    <phoneticPr fontId="2"/>
  </si>
  <si>
    <t>加工紙製造業</t>
    <phoneticPr fontId="2"/>
  </si>
  <si>
    <t>塗工紙製造業（印刷用紙を除く）</t>
    <phoneticPr fontId="2"/>
  </si>
  <si>
    <t>段ボール製造業</t>
    <phoneticPr fontId="2"/>
  </si>
  <si>
    <t>壁紙・ふすま紙製造業</t>
    <phoneticPr fontId="2"/>
  </si>
  <si>
    <t>紙製品製造業</t>
    <phoneticPr fontId="2"/>
  </si>
  <si>
    <t>事務用・学用紙製品製造業</t>
    <phoneticPr fontId="2"/>
  </si>
  <si>
    <t>日用紙製品製造業</t>
    <phoneticPr fontId="2"/>
  </si>
  <si>
    <t>その他の紙製品製造業</t>
    <phoneticPr fontId="2"/>
  </si>
  <si>
    <t>紙製容器製造業</t>
    <phoneticPr fontId="2"/>
  </si>
  <si>
    <t>重包装紙袋製造業</t>
    <phoneticPr fontId="2"/>
  </si>
  <si>
    <t>角底紙袋製造業</t>
    <phoneticPr fontId="2"/>
  </si>
  <si>
    <t>段ボール箱製造業</t>
    <phoneticPr fontId="2"/>
  </si>
  <si>
    <t>紙器製造業</t>
    <phoneticPr fontId="2"/>
  </si>
  <si>
    <t>その他のパルプ・紙・紙加工品製造業</t>
    <phoneticPr fontId="2"/>
  </si>
  <si>
    <t>15　　印刷・同関連業</t>
    <phoneticPr fontId="2"/>
  </si>
  <si>
    <t>印刷業</t>
    <phoneticPr fontId="2"/>
  </si>
  <si>
    <t>オフセット印刷業（紙に対するもの）</t>
    <phoneticPr fontId="2"/>
  </si>
  <si>
    <t>オフセット印刷以外の印刷業（紙に対するもの）</t>
    <phoneticPr fontId="2"/>
  </si>
  <si>
    <t>紙以外の印刷業</t>
    <phoneticPr fontId="2"/>
  </si>
  <si>
    <t>製版業</t>
    <phoneticPr fontId="2"/>
  </si>
  <si>
    <t>製本業，印刷物加工業</t>
    <phoneticPr fontId="2"/>
  </si>
  <si>
    <t>製本業</t>
    <phoneticPr fontId="2"/>
  </si>
  <si>
    <t>印刷物加工業</t>
    <phoneticPr fontId="2"/>
  </si>
  <si>
    <t>印刷関連サービス業</t>
    <phoneticPr fontId="2"/>
  </si>
  <si>
    <t>16　　化学工業</t>
    <phoneticPr fontId="2"/>
  </si>
  <si>
    <t>化学肥料製造業</t>
    <phoneticPr fontId="2"/>
  </si>
  <si>
    <t>窒素質・りん酸質肥料製造業</t>
    <phoneticPr fontId="2"/>
  </si>
  <si>
    <t>複合肥料製造業</t>
    <phoneticPr fontId="2"/>
  </si>
  <si>
    <t>その他の化学肥料製造業</t>
    <phoneticPr fontId="2"/>
  </si>
  <si>
    <t>無機化学工業製品製造業</t>
    <phoneticPr fontId="2"/>
  </si>
  <si>
    <t>ソーダ工業</t>
    <phoneticPr fontId="2"/>
  </si>
  <si>
    <t>無機顔料製造業</t>
    <phoneticPr fontId="2"/>
  </si>
  <si>
    <t>圧縮ガス・液化ガス製造業</t>
    <phoneticPr fontId="2"/>
  </si>
  <si>
    <t>塩製造業</t>
    <phoneticPr fontId="2"/>
  </si>
  <si>
    <t>その他の無機化学工業製品製造業</t>
    <phoneticPr fontId="2"/>
  </si>
  <si>
    <t>有機化学工業製品製造業</t>
    <phoneticPr fontId="2"/>
  </si>
  <si>
    <t>石油化学系基礎製品製造業（一貫して生産される誘導品を含む）</t>
    <phoneticPr fontId="2"/>
  </si>
  <si>
    <t>脂肪族系中間物製造業（脂肪族系溶剤を含む）</t>
    <phoneticPr fontId="2"/>
  </si>
  <si>
    <t>発酵工業</t>
    <phoneticPr fontId="2"/>
  </si>
  <si>
    <t>環式中間物・合成染料・有機顔料製造業</t>
    <phoneticPr fontId="2"/>
  </si>
  <si>
    <t>プラスチック製造業</t>
    <phoneticPr fontId="2"/>
  </si>
  <si>
    <t>合成ゴム製造業</t>
    <phoneticPr fontId="2"/>
  </si>
  <si>
    <t>その他の有機化学工業製品製造業</t>
    <phoneticPr fontId="2"/>
  </si>
  <si>
    <t>油脂加工製品・石けん・合成洗剤・界面活性剤・塗料製造業</t>
    <phoneticPr fontId="2"/>
  </si>
  <si>
    <t>脂肪酸・硬化油・グリセリン製造業</t>
    <phoneticPr fontId="2"/>
  </si>
  <si>
    <t>石けん・合成洗剤製造業</t>
    <phoneticPr fontId="2"/>
  </si>
  <si>
    <t>界面活性剤製造業（石けん，合成洗剤を除く）</t>
    <phoneticPr fontId="2"/>
  </si>
  <si>
    <t>塗料製造業</t>
    <phoneticPr fontId="2"/>
  </si>
  <si>
    <t>印刷インキ製造業</t>
    <phoneticPr fontId="2"/>
  </si>
  <si>
    <t>洗浄剤・磨用剤製造業</t>
    <phoneticPr fontId="2"/>
  </si>
  <si>
    <t>ろうそく製造業</t>
    <phoneticPr fontId="2"/>
  </si>
  <si>
    <t>医薬品製造業</t>
    <phoneticPr fontId="2"/>
  </si>
  <si>
    <t>医薬品原薬製造業</t>
    <phoneticPr fontId="2"/>
  </si>
  <si>
    <t>医薬品製剤製造業</t>
    <phoneticPr fontId="2"/>
  </si>
  <si>
    <t>生物学的製剤製造業</t>
    <phoneticPr fontId="2"/>
  </si>
  <si>
    <t>生薬・漢方製剤製造業</t>
    <phoneticPr fontId="2"/>
  </si>
  <si>
    <t>動物用医薬品製造業</t>
    <phoneticPr fontId="2"/>
  </si>
  <si>
    <t>化粧品・歯磨・その他の化粧用調整品製造業</t>
    <phoneticPr fontId="2"/>
  </si>
  <si>
    <t>仕上用・皮膚用化粧品製造業（香水，オーデコロンを含む）</t>
    <phoneticPr fontId="2"/>
  </si>
  <si>
    <t>頭髪用化粧品製造業</t>
    <phoneticPr fontId="2"/>
  </si>
  <si>
    <t>その他の化粧品・歯磨・化粧用調整品製造業</t>
    <phoneticPr fontId="2"/>
  </si>
  <si>
    <t>その他の化学工業</t>
    <phoneticPr fontId="2"/>
  </si>
  <si>
    <t>火薬類製造業</t>
    <phoneticPr fontId="2"/>
  </si>
  <si>
    <t>農薬製造業</t>
    <phoneticPr fontId="2"/>
  </si>
  <si>
    <t>香料製造業</t>
    <phoneticPr fontId="2"/>
  </si>
  <si>
    <t>ゼラチン・接着剤製造業</t>
    <phoneticPr fontId="2"/>
  </si>
  <si>
    <t>写真感光材料製造業</t>
    <phoneticPr fontId="2"/>
  </si>
  <si>
    <t>天然樹脂製品・木材化学製品製造業</t>
    <phoneticPr fontId="2"/>
  </si>
  <si>
    <t>試薬製造業</t>
    <phoneticPr fontId="2"/>
  </si>
  <si>
    <t>他に分類されない化学工業製品製造業</t>
    <phoneticPr fontId="2"/>
  </si>
  <si>
    <t>17　　石油製品・石炭製品製造業</t>
    <phoneticPr fontId="2"/>
  </si>
  <si>
    <t>石油精製業</t>
    <phoneticPr fontId="2"/>
  </si>
  <si>
    <t>潤滑油・グリース製造業（石油精製業によらないもの）</t>
    <phoneticPr fontId="2"/>
  </si>
  <si>
    <t>コークス製造業</t>
    <phoneticPr fontId="2"/>
  </si>
  <si>
    <t>舗装材料製造業</t>
    <phoneticPr fontId="2"/>
  </si>
  <si>
    <t>その他の石油製品・石炭製品製造業</t>
    <phoneticPr fontId="2"/>
  </si>
  <si>
    <t>18　　プラスチック製品製造業（別掲を除く）</t>
    <phoneticPr fontId="2"/>
  </si>
  <si>
    <t>プラスチック板・棒・管・継手・異形押出製品製造業</t>
    <phoneticPr fontId="2"/>
  </si>
  <si>
    <t>プラスチック板・棒製造業</t>
    <phoneticPr fontId="2"/>
  </si>
  <si>
    <t>プラスチック管製造業</t>
    <phoneticPr fontId="2"/>
  </si>
  <si>
    <t>プラスチック継手製造業</t>
    <phoneticPr fontId="2"/>
  </si>
  <si>
    <t>プラスチック異形押出製品製造業</t>
    <phoneticPr fontId="2"/>
  </si>
  <si>
    <t>プラスチック板・棒・管・継手・異形押出製品加工業</t>
    <phoneticPr fontId="2"/>
  </si>
  <si>
    <t>プラスチックフィルム・シート・床材・合成皮革製造業</t>
    <phoneticPr fontId="2"/>
  </si>
  <si>
    <t>プラスチックフィルム製造業</t>
    <phoneticPr fontId="2"/>
  </si>
  <si>
    <t>プラスチックシート製造業</t>
    <phoneticPr fontId="2"/>
  </si>
  <si>
    <t>プラスチック床材製造業</t>
    <phoneticPr fontId="2"/>
  </si>
  <si>
    <t>合成皮革製造業</t>
    <phoneticPr fontId="2"/>
  </si>
  <si>
    <t>プラスチックフィルム・シート・床材・合成皮革加工業</t>
    <phoneticPr fontId="2"/>
  </si>
  <si>
    <t>工業用プラスチック製品製造業</t>
    <phoneticPr fontId="2"/>
  </si>
  <si>
    <t>電気機械器具用プラスチック製品製造業（加工業を除く）</t>
    <phoneticPr fontId="2"/>
  </si>
  <si>
    <t>輸送機械器具用プラスチック製品製造業（加工業を除く）</t>
    <phoneticPr fontId="2"/>
  </si>
  <si>
    <t>その他の工業用プラスチック製品製造業（加工業を除く）</t>
    <phoneticPr fontId="2"/>
  </si>
  <si>
    <t>工業用プラスチック製品加工業</t>
    <phoneticPr fontId="2"/>
  </si>
  <si>
    <t>発泡・強化プラスチック製品製造業</t>
    <phoneticPr fontId="2"/>
  </si>
  <si>
    <t>軟質プラスチック発泡製品製造業（半硬質性を含む）</t>
    <phoneticPr fontId="2"/>
  </si>
  <si>
    <t>硬質プラスチック発泡製品製造業</t>
    <phoneticPr fontId="2"/>
  </si>
  <si>
    <t>強化プラスチック製板・棒・管・継手製造業</t>
    <phoneticPr fontId="2"/>
  </si>
  <si>
    <t>強化プラスチック製容器・浴槽等製造業</t>
    <phoneticPr fontId="2"/>
  </si>
  <si>
    <t>発泡・強化プラスチック製品加工業</t>
    <phoneticPr fontId="2"/>
  </si>
  <si>
    <t>プラスチック成形材料製造業（廃プラスチックを含む）</t>
    <phoneticPr fontId="2"/>
  </si>
  <si>
    <t>プラスチック成形材料製造業</t>
    <phoneticPr fontId="2"/>
  </si>
  <si>
    <t>廃プラスチック製品製造業</t>
    <phoneticPr fontId="2"/>
  </si>
  <si>
    <t>その他のプラスチック製品製造業</t>
    <phoneticPr fontId="2"/>
  </si>
  <si>
    <t>プラスチック製日用雑貨・食卓用品製造業</t>
    <phoneticPr fontId="2"/>
  </si>
  <si>
    <t>プラスチック製容器製造業</t>
    <phoneticPr fontId="2"/>
  </si>
  <si>
    <t>他に分類されないプラスチック製品製造業</t>
    <phoneticPr fontId="2"/>
  </si>
  <si>
    <t>他に分類されないプラスチック製品加工業</t>
    <phoneticPr fontId="2"/>
  </si>
  <si>
    <t>19　　ゴム製品製造業</t>
    <phoneticPr fontId="2"/>
  </si>
  <si>
    <t>タイヤ・チューブ製造業</t>
    <phoneticPr fontId="2"/>
  </si>
  <si>
    <t>自動車タイヤ・チューブ製造業</t>
    <phoneticPr fontId="2"/>
  </si>
  <si>
    <t>その他のタイヤ・チューブ製造業</t>
    <phoneticPr fontId="2"/>
  </si>
  <si>
    <t>ゴム製・プラスチック製履物・同附属品製造業</t>
    <phoneticPr fontId="2"/>
  </si>
  <si>
    <t>ゴム製履物・同附属品製造業</t>
    <phoneticPr fontId="2"/>
  </si>
  <si>
    <t>プラスチック製履物・同附属品製造業</t>
    <phoneticPr fontId="2"/>
  </si>
  <si>
    <t>ゴムベルト・ゴムホース・工業用ゴム製品製造業</t>
    <phoneticPr fontId="2"/>
  </si>
  <si>
    <t>ゴムベルト製造業</t>
    <phoneticPr fontId="2"/>
  </si>
  <si>
    <t>ゴムホース製造業</t>
    <phoneticPr fontId="2"/>
  </si>
  <si>
    <t>工業用ゴム製品製造業</t>
    <phoneticPr fontId="2"/>
  </si>
  <si>
    <t>その他のゴム製品製造業</t>
    <phoneticPr fontId="2"/>
  </si>
  <si>
    <t>ゴム引布・同製品製造業</t>
    <phoneticPr fontId="2"/>
  </si>
  <si>
    <t>医療・衛生用ゴム製品製造業</t>
    <phoneticPr fontId="2"/>
  </si>
  <si>
    <t>ゴム練生地製造業</t>
    <phoneticPr fontId="2"/>
  </si>
  <si>
    <t>更生タイヤ製造業</t>
    <phoneticPr fontId="2"/>
  </si>
  <si>
    <t>再生ゴム製造業</t>
    <phoneticPr fontId="2"/>
  </si>
  <si>
    <t>他に分類されないゴム製品製造業</t>
    <phoneticPr fontId="2"/>
  </si>
  <si>
    <t>20　　なめし革・同製品・毛皮製造業</t>
    <phoneticPr fontId="2"/>
  </si>
  <si>
    <t>なめし革製造業</t>
    <phoneticPr fontId="2"/>
  </si>
  <si>
    <t>工業用革製品製造業（手袋を除く）</t>
    <phoneticPr fontId="2"/>
  </si>
  <si>
    <t>革製履物用材料・同附属品製造業</t>
    <phoneticPr fontId="2"/>
  </si>
  <si>
    <t>革製履物製造業</t>
    <phoneticPr fontId="2"/>
  </si>
  <si>
    <t>革製手袋製造業</t>
    <phoneticPr fontId="2"/>
  </si>
  <si>
    <t>かばん製造業</t>
    <phoneticPr fontId="2"/>
  </si>
  <si>
    <t>袋物製造業</t>
    <phoneticPr fontId="2"/>
  </si>
  <si>
    <t>袋物製造業（ハンドバッグを除く）</t>
    <phoneticPr fontId="2"/>
  </si>
  <si>
    <t>ハンドバッグ製造業</t>
    <phoneticPr fontId="2"/>
  </si>
  <si>
    <t>毛皮製造業</t>
    <phoneticPr fontId="2"/>
  </si>
  <si>
    <t>その他のなめし革製品製造業</t>
    <phoneticPr fontId="2"/>
  </si>
  <si>
    <t>21　　窯業・土石製品製造業</t>
    <phoneticPr fontId="2"/>
  </si>
  <si>
    <t>ガラス・同製品製造業</t>
    <phoneticPr fontId="2"/>
  </si>
  <si>
    <t>板ガラス製造業</t>
    <phoneticPr fontId="2"/>
  </si>
  <si>
    <t>板ガラス加工業</t>
    <phoneticPr fontId="2"/>
  </si>
  <si>
    <t>ガラス製加工素材製造業</t>
    <phoneticPr fontId="2"/>
  </si>
  <si>
    <t>ガラス容器製造業</t>
    <phoneticPr fontId="2"/>
  </si>
  <si>
    <t>理化学用・医療用ガラス器具製造業</t>
    <phoneticPr fontId="2"/>
  </si>
  <si>
    <t>卓上用・ちゅう房用ガラス器具製造業</t>
    <phoneticPr fontId="2"/>
  </si>
  <si>
    <t>ガラス繊維・同製品製造業</t>
    <phoneticPr fontId="2"/>
  </si>
  <si>
    <t>その他のガラス・同製品製造業</t>
    <phoneticPr fontId="2"/>
  </si>
  <si>
    <t>セメント・同製品製造業</t>
    <phoneticPr fontId="2"/>
  </si>
  <si>
    <t>セメント製造業</t>
    <phoneticPr fontId="2"/>
  </si>
  <si>
    <t>生コンクリート製造業</t>
    <phoneticPr fontId="2"/>
  </si>
  <si>
    <t>コンクリート製品製造業</t>
    <phoneticPr fontId="2"/>
  </si>
  <si>
    <t>その他のセメント製品製造業</t>
    <phoneticPr fontId="2"/>
  </si>
  <si>
    <t>建設用粘土製品製造業（陶磁器製を除く)</t>
    <phoneticPr fontId="2"/>
  </si>
  <si>
    <t>粘土かわら製造業</t>
    <phoneticPr fontId="2"/>
  </si>
  <si>
    <t>普通れんが製造業</t>
    <phoneticPr fontId="2"/>
  </si>
  <si>
    <t>その他の建設用粘土製品製造業</t>
    <phoneticPr fontId="2"/>
  </si>
  <si>
    <t>陶磁器・同関連製品製造業</t>
    <phoneticPr fontId="2"/>
  </si>
  <si>
    <t>衛生陶器製造業</t>
    <phoneticPr fontId="2"/>
  </si>
  <si>
    <t>食卓用・ちゅう房用陶磁器製造業</t>
    <phoneticPr fontId="2"/>
  </si>
  <si>
    <t>陶磁器製置物製造業</t>
    <phoneticPr fontId="2"/>
  </si>
  <si>
    <t>電気用陶磁器製造業</t>
    <phoneticPr fontId="2"/>
  </si>
  <si>
    <t>理化学用・工業用陶磁器製造業</t>
    <phoneticPr fontId="2"/>
  </si>
  <si>
    <t>陶磁器製タイル製造業</t>
    <phoneticPr fontId="2"/>
  </si>
  <si>
    <t>陶磁器絵付業</t>
    <phoneticPr fontId="2"/>
  </si>
  <si>
    <t>陶磁器用はい（坏）土製造業</t>
    <phoneticPr fontId="2"/>
  </si>
  <si>
    <t>その他の陶磁器・同関連製品製造業</t>
    <phoneticPr fontId="2"/>
  </si>
  <si>
    <t>耐火物製造業</t>
    <phoneticPr fontId="2"/>
  </si>
  <si>
    <t>耐火れんが製造業</t>
    <phoneticPr fontId="2"/>
  </si>
  <si>
    <t>不定形耐火物製造業</t>
    <phoneticPr fontId="2"/>
  </si>
  <si>
    <t>その他の耐火物製造業</t>
    <phoneticPr fontId="2"/>
  </si>
  <si>
    <t>炭素・黒鉛製品製造業</t>
    <phoneticPr fontId="2"/>
  </si>
  <si>
    <t>炭素質電極製造業</t>
    <phoneticPr fontId="2"/>
  </si>
  <si>
    <t>その他の炭素・黒鉛製品製造業</t>
    <phoneticPr fontId="2"/>
  </si>
  <si>
    <t>研磨材・同製品製造業</t>
    <phoneticPr fontId="2"/>
  </si>
  <si>
    <t>研磨材製造業</t>
    <phoneticPr fontId="2"/>
  </si>
  <si>
    <t>研削と石製造業</t>
    <phoneticPr fontId="2"/>
  </si>
  <si>
    <t>研磨布紙製造業</t>
    <phoneticPr fontId="2"/>
  </si>
  <si>
    <t>その他の研磨材・同製品製造業</t>
    <phoneticPr fontId="2"/>
  </si>
  <si>
    <t>骨材・石工品等製造業</t>
    <phoneticPr fontId="2"/>
  </si>
  <si>
    <t>砕石製造業</t>
    <phoneticPr fontId="2"/>
  </si>
  <si>
    <t>再生骨材製造業</t>
    <phoneticPr fontId="2"/>
  </si>
  <si>
    <t>人工骨材製造業</t>
    <phoneticPr fontId="2"/>
  </si>
  <si>
    <t>石工品製造業</t>
    <phoneticPr fontId="2"/>
  </si>
  <si>
    <t>けいそう土・同製品製造業</t>
    <phoneticPr fontId="2"/>
  </si>
  <si>
    <t>鉱物・土石粉砕等処理業</t>
    <phoneticPr fontId="2"/>
  </si>
  <si>
    <t>その他の窯業・土石製品製造業</t>
    <phoneticPr fontId="2"/>
  </si>
  <si>
    <t>ロックウール・同製品製造業</t>
    <phoneticPr fontId="2"/>
  </si>
  <si>
    <t>こう（膏）製品製造業</t>
    <phoneticPr fontId="2"/>
  </si>
  <si>
    <t>石灰製造業</t>
    <phoneticPr fontId="2"/>
  </si>
  <si>
    <t>鋳型製造業（中子を含む）</t>
    <phoneticPr fontId="2"/>
  </si>
  <si>
    <t>他に分類されない窯業・土石製品製造業</t>
    <phoneticPr fontId="2"/>
  </si>
  <si>
    <t>22　　鉄鋼業</t>
    <phoneticPr fontId="2"/>
  </si>
  <si>
    <t>製鉄業</t>
    <phoneticPr fontId="2"/>
  </si>
  <si>
    <t>高炉による製鉄業</t>
    <phoneticPr fontId="2"/>
  </si>
  <si>
    <t>高炉によらない製鉄業</t>
    <phoneticPr fontId="2"/>
  </si>
  <si>
    <t>フェロアロイ製造業</t>
    <phoneticPr fontId="2"/>
  </si>
  <si>
    <t>製鋼・製鋼圧延業</t>
    <phoneticPr fontId="2"/>
  </si>
  <si>
    <t>製鋼を行わない鋼材製造業（表面処理鋼材を除く）</t>
    <phoneticPr fontId="2"/>
  </si>
  <si>
    <t>熱間圧延業（鋼管，伸鉄を除く）</t>
    <phoneticPr fontId="2"/>
  </si>
  <si>
    <t>冷間圧延業（鋼管，伸鉄を除く）</t>
    <phoneticPr fontId="2"/>
  </si>
  <si>
    <t>冷間ロール成型形鋼製造業</t>
    <phoneticPr fontId="2"/>
  </si>
  <si>
    <t>鋼管製造業</t>
    <phoneticPr fontId="2"/>
  </si>
  <si>
    <t>伸鉄業</t>
    <phoneticPr fontId="2"/>
  </si>
  <si>
    <t>磨棒鋼製造業</t>
    <phoneticPr fontId="2"/>
  </si>
  <si>
    <t>引抜鋼管製造業</t>
    <phoneticPr fontId="2"/>
  </si>
  <si>
    <t>伸線業</t>
    <phoneticPr fontId="2"/>
  </si>
  <si>
    <t>その他の製鋼を行わない鋼材製造業（表面処理鋼材を除く)</t>
    <phoneticPr fontId="2"/>
  </si>
  <si>
    <t>表面処理鋼材製造業</t>
    <phoneticPr fontId="2"/>
  </si>
  <si>
    <t>亜鉛鉄板製造業</t>
    <phoneticPr fontId="2"/>
  </si>
  <si>
    <t>その他の表面処理鋼材製造業</t>
    <phoneticPr fontId="2"/>
  </si>
  <si>
    <t>鉄素形材製造業</t>
    <phoneticPr fontId="2"/>
  </si>
  <si>
    <t>銑鉄鋳物製造業（鋳鉄管，可鍛鋳鉄を除く）</t>
    <phoneticPr fontId="2"/>
  </si>
  <si>
    <t>可鍛鋳鉄製造業</t>
    <phoneticPr fontId="2"/>
  </si>
  <si>
    <t>鋳鋼製造業</t>
    <phoneticPr fontId="2"/>
  </si>
  <si>
    <t>鍛工品製造業</t>
    <phoneticPr fontId="2"/>
  </si>
  <si>
    <t>鍛鋼製造業</t>
    <phoneticPr fontId="2"/>
  </si>
  <si>
    <t>その他の鉄鋼業</t>
    <phoneticPr fontId="2"/>
  </si>
  <si>
    <t>鉄鋼シャースリット業</t>
    <phoneticPr fontId="2"/>
  </si>
  <si>
    <t>鉄スクラップ加工処理業</t>
    <phoneticPr fontId="2"/>
  </si>
  <si>
    <t>鋳鉄管製造業</t>
    <phoneticPr fontId="2"/>
  </si>
  <si>
    <t>他に分類されない鉄鋼業</t>
    <phoneticPr fontId="2"/>
  </si>
  <si>
    <t>23　　非鉄金属製造業</t>
    <phoneticPr fontId="2"/>
  </si>
  <si>
    <t>非鉄金属第1次製錬・精製業</t>
    <phoneticPr fontId="2"/>
  </si>
  <si>
    <t>銅第1次製錬・精製業</t>
    <phoneticPr fontId="2"/>
  </si>
  <si>
    <t>亜鉛第1次製錬・精製業</t>
    <phoneticPr fontId="2"/>
  </si>
  <si>
    <t>その他の非鉄金属第1次製錬・精製業</t>
    <phoneticPr fontId="2"/>
  </si>
  <si>
    <t>非鉄金属第2次製錬・精製業（非鉄金属合金製造業を含む）</t>
    <phoneticPr fontId="2"/>
  </si>
  <si>
    <t>鉛第2次製錬・精製業（鉛合金製造業を含む)</t>
    <phoneticPr fontId="2"/>
  </si>
  <si>
    <t>アルミニウム第2次製錬・精製業（アルミニウム合金製造業を含む）</t>
    <phoneticPr fontId="2"/>
  </si>
  <si>
    <t>その他の非鉄金属第2次製錬・精製業（非鉄金属合金製造業を含む）</t>
    <phoneticPr fontId="2"/>
  </si>
  <si>
    <t>非鉄金属・同合金圧延業（抽伸，押出しを含む）</t>
    <phoneticPr fontId="2"/>
  </si>
  <si>
    <t>伸銅品製造業</t>
    <phoneticPr fontId="2"/>
  </si>
  <si>
    <t>アルミニウム・同合金圧延業（抽伸，押出しを含む）</t>
    <phoneticPr fontId="2"/>
  </si>
  <si>
    <t>その他の非鉄金属・同合金圧延業（抽伸，押出しを含む）</t>
    <phoneticPr fontId="2"/>
  </si>
  <si>
    <t>電線・ケーブル製造業</t>
    <phoneticPr fontId="2"/>
  </si>
  <si>
    <t>電線・ケーブル製造業（光ファイバケーブルを除く）</t>
    <phoneticPr fontId="2"/>
  </si>
  <si>
    <t>光ファイバケーブル製造業（通信複合ケーブルを含む）</t>
    <phoneticPr fontId="2"/>
  </si>
  <si>
    <t>非鉄金属素形材製造業</t>
    <phoneticPr fontId="2"/>
  </si>
  <si>
    <t>銅・同合金鋳物製造業（ダイカストを除く）</t>
    <phoneticPr fontId="2"/>
  </si>
  <si>
    <t>非鉄金属鋳物製造業（銅・同合金鋳物及びダイカストを除く）</t>
    <phoneticPr fontId="2"/>
  </si>
  <si>
    <t>アルミニウム・同合金ダイカスト製造業</t>
    <phoneticPr fontId="2"/>
  </si>
  <si>
    <t>非鉄金属ダイカスト製造業（アルミニウム・同合金ダイカストを除く）</t>
    <phoneticPr fontId="2"/>
  </si>
  <si>
    <t>非鉄金属鍛造品製造業</t>
    <phoneticPr fontId="2"/>
  </si>
  <si>
    <t>その他の非鉄金属製造業</t>
    <phoneticPr fontId="2"/>
  </si>
  <si>
    <t>核燃料製造業</t>
    <phoneticPr fontId="2"/>
  </si>
  <si>
    <t>他に分類されない非鉄金属製造業</t>
    <phoneticPr fontId="2"/>
  </si>
  <si>
    <t>24　　金属製品製造業</t>
    <phoneticPr fontId="2"/>
  </si>
  <si>
    <t>ブリキ缶・その他のめっき板等製品製造業</t>
    <phoneticPr fontId="2"/>
  </si>
  <si>
    <t>洋食器・刃物・手道具・金物類製造業</t>
    <phoneticPr fontId="2"/>
  </si>
  <si>
    <t>洋食器製造業</t>
    <phoneticPr fontId="2"/>
  </si>
  <si>
    <t>機械刃物製造業</t>
    <phoneticPr fontId="2"/>
  </si>
  <si>
    <t>利器工匠具・手道具製造業（やすり，のこぎり，食卓用刃物を除く）</t>
    <phoneticPr fontId="2"/>
  </si>
  <si>
    <t>作業工具製造業</t>
    <phoneticPr fontId="2"/>
  </si>
  <si>
    <t>手引のこぎり・のこ刃製造業</t>
    <phoneticPr fontId="2"/>
  </si>
  <si>
    <t>農業用器具製造業（農業用機械を除く）</t>
    <phoneticPr fontId="2"/>
  </si>
  <si>
    <t>その他の金物類製造業</t>
    <phoneticPr fontId="2"/>
  </si>
  <si>
    <t>暖房・調理等装置,配管工事用附属品製造業</t>
    <phoneticPr fontId="2"/>
  </si>
  <si>
    <t>配管工事用附属品製造業（バルブ，コックを除く）</t>
    <phoneticPr fontId="2"/>
  </si>
  <si>
    <t>ガス機器・石油機器製造業</t>
    <phoneticPr fontId="2"/>
  </si>
  <si>
    <t>温風・温水暖房装置製造業</t>
    <phoneticPr fontId="2"/>
  </si>
  <si>
    <t>その他の暖房・調理装置製造業（電気機械器具，ガス機器，石油機器を除く）</t>
    <phoneticPr fontId="2"/>
  </si>
  <si>
    <t>建設用・建築用金属製品製造業（製缶板金業を含む)</t>
    <phoneticPr fontId="2"/>
  </si>
  <si>
    <t>鉄骨製造業</t>
    <phoneticPr fontId="2"/>
  </si>
  <si>
    <t>建設用金属製品製造業（鉄骨を除く）</t>
    <phoneticPr fontId="2"/>
  </si>
  <si>
    <t>金属製サッシ・ドア製造業</t>
    <phoneticPr fontId="2"/>
  </si>
  <si>
    <t>鉄骨系プレハブ住宅製造業</t>
    <phoneticPr fontId="2"/>
  </si>
  <si>
    <t>建築用金属製品製造業（サッシ，ドア，建築用金物を除く）</t>
    <phoneticPr fontId="2"/>
  </si>
  <si>
    <t>製缶板金業</t>
    <phoneticPr fontId="2"/>
  </si>
  <si>
    <t>金属素形材製品製造業</t>
    <phoneticPr fontId="2"/>
  </si>
  <si>
    <t>アルミニウム・同合金プレス製品製造業</t>
    <phoneticPr fontId="2"/>
  </si>
  <si>
    <t>金属プレス製品製造業（アルミニウム・同合金を除く）</t>
    <phoneticPr fontId="2"/>
  </si>
  <si>
    <t>粉末や金製品製造業</t>
    <phoneticPr fontId="2"/>
  </si>
  <si>
    <t>金属被覆・彫刻業，熱処理業（ほうろう鉄器を除く）</t>
    <phoneticPr fontId="2"/>
  </si>
  <si>
    <t>金属製品塗装業</t>
    <phoneticPr fontId="2"/>
  </si>
  <si>
    <t>溶融めっき業（表面処理鋼材製造業を除く）</t>
    <phoneticPr fontId="2"/>
  </si>
  <si>
    <t>金属彫刻業</t>
    <phoneticPr fontId="2"/>
  </si>
  <si>
    <t>電気めっき業（表面処理鋼材製造業を除く）</t>
    <phoneticPr fontId="2"/>
  </si>
  <si>
    <t>金属熱処理業</t>
    <phoneticPr fontId="2"/>
  </si>
  <si>
    <t>その他の金属表面処理業</t>
    <phoneticPr fontId="2"/>
  </si>
  <si>
    <t>金属線製品製造業（ねじ類を除く)</t>
    <phoneticPr fontId="2"/>
  </si>
  <si>
    <t>くぎ製造業</t>
    <phoneticPr fontId="2"/>
  </si>
  <si>
    <t>その他の金属線製品製造業</t>
    <phoneticPr fontId="2"/>
  </si>
  <si>
    <t>ボルト・ナット・リベット・小ねじ・木ねじ等製造業</t>
    <phoneticPr fontId="2"/>
  </si>
  <si>
    <t>その他の金属製品製造業</t>
    <phoneticPr fontId="2"/>
  </si>
  <si>
    <t>金庫製造業</t>
    <phoneticPr fontId="2"/>
  </si>
  <si>
    <t>金属製スプリング製造業</t>
    <phoneticPr fontId="2"/>
  </si>
  <si>
    <t>他に分類されない金属製品製造業</t>
    <phoneticPr fontId="2"/>
  </si>
  <si>
    <t>25　　はん用機械器具製造業</t>
    <phoneticPr fontId="2"/>
  </si>
  <si>
    <t>ボイラ・原動機製造業</t>
    <phoneticPr fontId="2"/>
  </si>
  <si>
    <t>ボイラ製造業</t>
    <phoneticPr fontId="2"/>
  </si>
  <si>
    <t>蒸気機関・タービン・水力タービン製造業（舶用を除く）</t>
    <phoneticPr fontId="2"/>
  </si>
  <si>
    <t>はん用内燃機関製造業</t>
    <phoneticPr fontId="2"/>
  </si>
  <si>
    <t>その他の原動機製造業</t>
    <phoneticPr fontId="2"/>
  </si>
  <si>
    <t>ポンプ・圧縮機器製造業</t>
    <phoneticPr fontId="2"/>
  </si>
  <si>
    <t>ポンプ・同装置製造業</t>
    <phoneticPr fontId="2"/>
  </si>
  <si>
    <t>空気圧縮機・ガス圧縮機・送風機製造業</t>
    <phoneticPr fontId="2"/>
  </si>
  <si>
    <t>油圧・空圧機器製造業</t>
    <phoneticPr fontId="2"/>
  </si>
  <si>
    <t>一般産業用機械・装置製造業</t>
    <phoneticPr fontId="2"/>
  </si>
  <si>
    <t>動力伝導装置製造業（玉軸受，ころ軸受を除く）</t>
    <phoneticPr fontId="2"/>
  </si>
  <si>
    <t>エレベータ・エスカレータ製造業</t>
    <phoneticPr fontId="2"/>
  </si>
  <si>
    <t>物流運搬設備製造業</t>
    <phoneticPr fontId="2"/>
  </si>
  <si>
    <t>工業窯炉製造業</t>
    <phoneticPr fontId="2"/>
  </si>
  <si>
    <t>冷凍機・温湿調整装置製造業</t>
    <phoneticPr fontId="2"/>
  </si>
  <si>
    <t>その他のはん用機械・同部分品製造業</t>
    <phoneticPr fontId="2"/>
  </si>
  <si>
    <t>消火器具・消火装置製造業</t>
    <phoneticPr fontId="2"/>
  </si>
  <si>
    <t>弁・同附属品製造業</t>
    <phoneticPr fontId="2"/>
  </si>
  <si>
    <t>パイプ加工・パイプ附属品加工業</t>
    <phoneticPr fontId="2"/>
  </si>
  <si>
    <t>玉軸受・ころ軸受製造業</t>
    <phoneticPr fontId="2"/>
  </si>
  <si>
    <t>ピストンリング製造業</t>
    <phoneticPr fontId="2"/>
  </si>
  <si>
    <t>他に分類されないはん用機械・装置製造業</t>
    <phoneticPr fontId="2"/>
  </si>
  <si>
    <t>各種機械・同部分品製造修理業（注文製造・修理）</t>
    <phoneticPr fontId="2"/>
  </si>
  <si>
    <t>26　　生産用機械器具製造業</t>
    <phoneticPr fontId="2"/>
  </si>
  <si>
    <t>農業用機械製造業（農業用器具を除く）</t>
    <phoneticPr fontId="2"/>
  </si>
  <si>
    <t>建設機械・鉱山機械製造業</t>
    <phoneticPr fontId="2"/>
  </si>
  <si>
    <t>繊維機械製造業</t>
    <phoneticPr fontId="2"/>
  </si>
  <si>
    <t>化学繊維機械・紡績機械製造業</t>
    <phoneticPr fontId="2"/>
  </si>
  <si>
    <t>製織機械・編組機械製造業</t>
    <phoneticPr fontId="2"/>
  </si>
  <si>
    <t>染色整理仕上機械製造業</t>
    <phoneticPr fontId="2"/>
  </si>
  <si>
    <t>繊維機械部分品・取付具・附属品製造業</t>
    <phoneticPr fontId="2"/>
  </si>
  <si>
    <t>縫製機械製造業</t>
    <phoneticPr fontId="2"/>
  </si>
  <si>
    <t>生活関連産業用機械製造業</t>
    <phoneticPr fontId="2"/>
  </si>
  <si>
    <t>食品機械・同装置製造業</t>
    <phoneticPr fontId="2"/>
  </si>
  <si>
    <t>木材加工機械製造業</t>
    <phoneticPr fontId="2"/>
  </si>
  <si>
    <t>パルプ装置・製紙機械製造業</t>
    <phoneticPr fontId="2"/>
  </si>
  <si>
    <t>印刷・製本・紙工機械製造業</t>
    <phoneticPr fontId="2"/>
  </si>
  <si>
    <t>包装・荷造機械製造業</t>
    <phoneticPr fontId="2"/>
  </si>
  <si>
    <t>基礎素材産業用機械製造業</t>
    <phoneticPr fontId="2"/>
  </si>
  <si>
    <t>鋳造装置製造業</t>
    <phoneticPr fontId="2"/>
  </si>
  <si>
    <t>化学機械・同装置製造業</t>
    <phoneticPr fontId="2"/>
  </si>
  <si>
    <t>プラスチック加工機械・同附属装置製造業</t>
    <phoneticPr fontId="2"/>
  </si>
  <si>
    <t>金属加工機械製造業</t>
    <phoneticPr fontId="2"/>
  </si>
  <si>
    <t>金属工作機械製造業</t>
    <phoneticPr fontId="2"/>
  </si>
  <si>
    <t>金属加工機械製造業（金属工作機械を除く）</t>
    <phoneticPr fontId="2"/>
  </si>
  <si>
    <t>金属工作機械用・金属加工機械用部分品・附属品製造業（機械工具，金型を除く）</t>
    <phoneticPr fontId="2"/>
  </si>
  <si>
    <t>機械工具製造業（粉末や金業を除く）</t>
    <phoneticPr fontId="2"/>
  </si>
  <si>
    <t>半導体製造装置製造業</t>
    <phoneticPr fontId="2"/>
  </si>
  <si>
    <t>フラットパネルディスプレイ製造装置製造業</t>
    <phoneticPr fontId="2"/>
  </si>
  <si>
    <t>その他の生産用機械・同部分品製造業</t>
    <phoneticPr fontId="2"/>
  </si>
  <si>
    <t>金属用金型・同部分品・附属品製造業</t>
    <phoneticPr fontId="2"/>
  </si>
  <si>
    <t>非金属用金型・同部分品・附属品製造業</t>
    <phoneticPr fontId="2"/>
  </si>
  <si>
    <t>真空装置・真空機器製造業</t>
    <phoneticPr fontId="2"/>
  </si>
  <si>
    <t>ロボット製造業</t>
    <phoneticPr fontId="2"/>
  </si>
  <si>
    <t>他に分類されない生産用機械・同部分品製造業</t>
    <phoneticPr fontId="2"/>
  </si>
  <si>
    <t>27　　業務用機械器具製造業</t>
    <phoneticPr fontId="2"/>
  </si>
  <si>
    <t>事務用機械器具製造業</t>
    <phoneticPr fontId="2"/>
  </si>
  <si>
    <t>複写機製造業</t>
    <phoneticPr fontId="2"/>
  </si>
  <si>
    <t>その他の事務用機械器具製造業</t>
    <phoneticPr fontId="2"/>
  </si>
  <si>
    <t>サービス用・娯楽用機械器具製造業</t>
    <phoneticPr fontId="2"/>
  </si>
  <si>
    <t>サービス用機械器具製造業</t>
    <phoneticPr fontId="2"/>
  </si>
  <si>
    <t>娯楽用機械製造業</t>
    <phoneticPr fontId="2"/>
  </si>
  <si>
    <t>自動販売機製造業</t>
    <phoneticPr fontId="2"/>
  </si>
  <si>
    <t>その他のサービス用・娯楽用機械器具製造業</t>
    <phoneticPr fontId="2"/>
  </si>
  <si>
    <t>計量器・測定器・分析機器・試験機・測量機械器具・理化学機械器具製造業</t>
    <phoneticPr fontId="2"/>
  </si>
  <si>
    <t>体積計製造業</t>
    <phoneticPr fontId="2"/>
  </si>
  <si>
    <t>はかり製造業</t>
    <phoneticPr fontId="2"/>
  </si>
  <si>
    <t>圧力計・流量計・液面計等製造業</t>
    <phoneticPr fontId="2"/>
  </si>
  <si>
    <t>精密測定器製造業</t>
    <phoneticPr fontId="2"/>
  </si>
  <si>
    <t>分析機器製造業</t>
    <phoneticPr fontId="2"/>
  </si>
  <si>
    <t>試験機製造業</t>
    <phoneticPr fontId="2"/>
  </si>
  <si>
    <t>測量機械器具製造業</t>
    <phoneticPr fontId="2"/>
  </si>
  <si>
    <t>理化学機械器具製造業</t>
    <phoneticPr fontId="2"/>
  </si>
  <si>
    <t>その他の計量器・測定器・分析機器・試験機・測量機械器具・理化学機械器具製造業</t>
    <phoneticPr fontId="2"/>
  </si>
  <si>
    <t>医療用機械器具・医療用品製造業</t>
    <phoneticPr fontId="2"/>
  </si>
  <si>
    <t>医療用機械器具製造業</t>
    <phoneticPr fontId="2"/>
  </si>
  <si>
    <t>歯科用機械器具製造業</t>
    <phoneticPr fontId="2"/>
  </si>
  <si>
    <t>医療用品製造業（動物用医療機械器具を含む）</t>
    <phoneticPr fontId="2"/>
  </si>
  <si>
    <t>歯科材料製造業</t>
    <phoneticPr fontId="2"/>
  </si>
  <si>
    <t>光学機械器具・レンズ製造業</t>
    <phoneticPr fontId="2"/>
  </si>
  <si>
    <t>顕微鏡・望遠鏡等製造業</t>
    <phoneticPr fontId="2"/>
  </si>
  <si>
    <t>写真機・映画用機械・同附属品製造業</t>
    <phoneticPr fontId="2"/>
  </si>
  <si>
    <t>武器製造業</t>
    <phoneticPr fontId="2"/>
  </si>
  <si>
    <t>28　　電子部品・デバイス・電子回路製造業</t>
    <phoneticPr fontId="2"/>
  </si>
  <si>
    <t>電子デバイス製造業</t>
    <phoneticPr fontId="2"/>
  </si>
  <si>
    <t>電子管製造業</t>
    <phoneticPr fontId="2"/>
  </si>
  <si>
    <t>光電変換素子製造業</t>
    <phoneticPr fontId="2"/>
  </si>
  <si>
    <t>半導体素子製造業（光電変換素子を除く）</t>
    <phoneticPr fontId="2"/>
  </si>
  <si>
    <t>集積回路製造業</t>
    <phoneticPr fontId="2"/>
  </si>
  <si>
    <t>液晶パネル・フラットパネル製造業</t>
    <phoneticPr fontId="2"/>
  </si>
  <si>
    <t>電子部品製造業</t>
    <phoneticPr fontId="2"/>
  </si>
  <si>
    <t>抵抗器・コンデンサ・変成器・複合部品製造業</t>
    <phoneticPr fontId="2"/>
  </si>
  <si>
    <t>音響部品・磁気ヘッド・小形モータ製造業</t>
    <phoneticPr fontId="2"/>
  </si>
  <si>
    <t>コネクタ・スイッチ・リレー製造業</t>
    <phoneticPr fontId="2"/>
  </si>
  <si>
    <t>記録メディア製造業</t>
    <phoneticPr fontId="2"/>
  </si>
  <si>
    <t>半導体メモリメディア製造業</t>
    <phoneticPr fontId="2"/>
  </si>
  <si>
    <t>光ディスク・磁気ディスク・磁気テープ製造業</t>
    <phoneticPr fontId="2"/>
  </si>
  <si>
    <t>電子回路製造業</t>
    <phoneticPr fontId="2"/>
  </si>
  <si>
    <t>電子回路実装基板製造業</t>
    <phoneticPr fontId="2"/>
  </si>
  <si>
    <t>ユニット部品製造業</t>
    <phoneticPr fontId="2"/>
  </si>
  <si>
    <t>電源ユニット・高周波ユニット・コントロールユニット製造業</t>
    <phoneticPr fontId="2"/>
  </si>
  <si>
    <t>その他のユニット部品製造業</t>
    <phoneticPr fontId="2"/>
  </si>
  <si>
    <t>その他の電子部品・デバイス・電子回路製造業</t>
    <phoneticPr fontId="2"/>
  </si>
  <si>
    <t>29　　電気機械器具製造業</t>
    <phoneticPr fontId="2"/>
  </si>
  <si>
    <t>発電用・送電用・配電用電気機械器具製造業</t>
    <phoneticPr fontId="2"/>
  </si>
  <si>
    <t>発電機・電動機・その他の回転電気機械製造業</t>
    <phoneticPr fontId="2"/>
  </si>
  <si>
    <t>変圧器類製造業（電子機器用を除く)</t>
    <phoneticPr fontId="2"/>
  </si>
  <si>
    <t>電力開閉装置製造業</t>
    <phoneticPr fontId="2"/>
  </si>
  <si>
    <t>配電盤・電力制御装置製造業</t>
    <phoneticPr fontId="2"/>
  </si>
  <si>
    <t>配線器具・配線附属品製造業</t>
    <phoneticPr fontId="2"/>
  </si>
  <si>
    <t>産業用電気機械器具製造業</t>
    <phoneticPr fontId="2"/>
  </si>
  <si>
    <t>電気溶接機製造業</t>
    <phoneticPr fontId="2"/>
  </si>
  <si>
    <t>内燃機関電装品製造業</t>
    <phoneticPr fontId="2"/>
  </si>
  <si>
    <t>その他の産業用電気機械器具製造業（車両用，船舶用を含む）</t>
    <phoneticPr fontId="2"/>
  </si>
  <si>
    <t>民生用電気機械器具製造業</t>
    <phoneticPr fontId="2"/>
  </si>
  <si>
    <t>ちゅう房機器製造業</t>
    <phoneticPr fontId="2"/>
  </si>
  <si>
    <t>空調・住宅関連機器製造業</t>
    <phoneticPr fontId="2"/>
  </si>
  <si>
    <t>衣料衛生関連機器製造業</t>
    <phoneticPr fontId="2"/>
  </si>
  <si>
    <t>その他の民生用電気機械器具製造業</t>
    <phoneticPr fontId="2"/>
  </si>
  <si>
    <t>電球・電気照明器具製造業</t>
    <phoneticPr fontId="2"/>
  </si>
  <si>
    <t>電球製造業</t>
    <phoneticPr fontId="2"/>
  </si>
  <si>
    <t>電気照明器具製造業</t>
    <phoneticPr fontId="2"/>
  </si>
  <si>
    <t>電池製造業</t>
    <phoneticPr fontId="2"/>
  </si>
  <si>
    <t>蓄電池製造業</t>
    <phoneticPr fontId="2"/>
  </si>
  <si>
    <t>一次電池（乾電池，湿電池）製造業</t>
    <phoneticPr fontId="2"/>
  </si>
  <si>
    <t>電子応用装置製造業</t>
    <phoneticPr fontId="2"/>
  </si>
  <si>
    <t>X線装置製造業</t>
    <phoneticPr fontId="2"/>
  </si>
  <si>
    <t>医療用電子応用装置製造業</t>
    <phoneticPr fontId="2"/>
  </si>
  <si>
    <t>その他の電子応用装置製造業</t>
    <phoneticPr fontId="2"/>
  </si>
  <si>
    <t>電気計測器製造業</t>
    <phoneticPr fontId="2"/>
  </si>
  <si>
    <t>電気計測器製造業（別掲を除く）</t>
    <phoneticPr fontId="2"/>
  </si>
  <si>
    <t>工業計器製造業</t>
    <phoneticPr fontId="2"/>
  </si>
  <si>
    <t>医療用計測器製造業</t>
    <phoneticPr fontId="2"/>
  </si>
  <si>
    <t>その他の電気機械器具製造業</t>
    <phoneticPr fontId="2"/>
  </si>
  <si>
    <t>30　　情報通信機械器具製造業</t>
    <phoneticPr fontId="2"/>
  </si>
  <si>
    <t>通信機械器具・同関連機械器具製造業</t>
    <phoneticPr fontId="2"/>
  </si>
  <si>
    <t>有線通信機械器具製造業</t>
    <phoneticPr fontId="2"/>
  </si>
  <si>
    <t>携帯電話機・PHS電話機製造業</t>
    <phoneticPr fontId="2"/>
  </si>
  <si>
    <t>無線通信機械器具製造業</t>
    <phoneticPr fontId="2"/>
  </si>
  <si>
    <t>ラジオ受信機・テレビジョン受信機製造業</t>
    <phoneticPr fontId="2"/>
  </si>
  <si>
    <t>交通信号保安装置製造業</t>
    <phoneticPr fontId="2"/>
  </si>
  <si>
    <t>その他の通信機械器具・同関連機械器具製造業</t>
    <phoneticPr fontId="2"/>
  </si>
  <si>
    <t>映像・音響機械器具製造業</t>
    <phoneticPr fontId="2"/>
  </si>
  <si>
    <t>ビデオ機器製造業</t>
    <phoneticPr fontId="2"/>
  </si>
  <si>
    <t>デジタルカメラ製造業</t>
    <phoneticPr fontId="2"/>
  </si>
  <si>
    <t>電気音響機械器具製造業</t>
    <phoneticPr fontId="2"/>
  </si>
  <si>
    <t>電子計算機・同附属装置製造業</t>
    <phoneticPr fontId="2"/>
  </si>
  <si>
    <t>電子計算機製造業（パーソナルコンピュータを除く）</t>
    <phoneticPr fontId="2"/>
  </si>
  <si>
    <t>パーソナルコンピュータ製造業</t>
    <phoneticPr fontId="2"/>
  </si>
  <si>
    <t>外部記憶装置製造業</t>
    <phoneticPr fontId="2"/>
  </si>
  <si>
    <t>印刷装置製造業</t>
    <phoneticPr fontId="2"/>
  </si>
  <si>
    <t>表示装置製造業</t>
    <phoneticPr fontId="2"/>
  </si>
  <si>
    <t>その他の附属装置製造業</t>
    <phoneticPr fontId="2"/>
  </si>
  <si>
    <t>31　　輸送用機械器具製造業</t>
    <phoneticPr fontId="2"/>
  </si>
  <si>
    <t>自動車・同附属品製造業</t>
    <phoneticPr fontId="2"/>
  </si>
  <si>
    <t>自動車製造業（二輪自動車を含む）</t>
    <phoneticPr fontId="2"/>
  </si>
  <si>
    <t>自動車車体・附随車製造業</t>
    <phoneticPr fontId="2"/>
  </si>
  <si>
    <t>自動車部分品・附属品製造業</t>
    <phoneticPr fontId="2"/>
  </si>
  <si>
    <t>鉄道車両・同部分品製造業</t>
    <phoneticPr fontId="2"/>
  </si>
  <si>
    <t>鉄道車両製造業</t>
    <phoneticPr fontId="2"/>
  </si>
  <si>
    <t>鉄道車両用部分品製造業</t>
    <phoneticPr fontId="2"/>
  </si>
  <si>
    <t>船舶製造・修理業，舶用機関製造業</t>
    <phoneticPr fontId="2"/>
  </si>
  <si>
    <t>船舶製造・修理業</t>
    <phoneticPr fontId="2"/>
  </si>
  <si>
    <t>船体ブロック製造業</t>
    <phoneticPr fontId="2"/>
  </si>
  <si>
    <t>舟艇製造・修理業</t>
    <phoneticPr fontId="2"/>
  </si>
  <si>
    <t>舶用機関製造業</t>
    <phoneticPr fontId="2"/>
  </si>
  <si>
    <t>航空機・同附属品製造業</t>
    <phoneticPr fontId="2"/>
  </si>
  <si>
    <t>航空機製造業</t>
    <phoneticPr fontId="2"/>
  </si>
  <si>
    <t>航空機用原動機製造業</t>
    <phoneticPr fontId="2"/>
  </si>
  <si>
    <t>その他の航空機部分品・補助装置製造業</t>
    <phoneticPr fontId="2"/>
  </si>
  <si>
    <t>産業用運搬車両・同部分品・附属品製造業</t>
    <phoneticPr fontId="2"/>
  </si>
  <si>
    <t>フォークリフトトラック・同部分品・附属品製造業</t>
    <phoneticPr fontId="2"/>
  </si>
  <si>
    <t>その他の産業用運搬車両・同部分品・附属品製造業</t>
    <phoneticPr fontId="2"/>
  </si>
  <si>
    <t>その他の輸送用機械器具製造業</t>
    <phoneticPr fontId="2"/>
  </si>
  <si>
    <t>自転車・同部分品製造業</t>
    <phoneticPr fontId="2"/>
  </si>
  <si>
    <t>他に分類されない輸送用機械器具製造業</t>
    <phoneticPr fontId="2"/>
  </si>
  <si>
    <t>32　　その他の製造業</t>
    <phoneticPr fontId="2"/>
  </si>
  <si>
    <t>貴金属・宝石製品製造業</t>
    <phoneticPr fontId="2"/>
  </si>
  <si>
    <t>貴金属・宝石製装身具（ジュエリー）製品製造業</t>
    <phoneticPr fontId="2"/>
  </si>
  <si>
    <t>貴金属・宝石製装身具（ジュエリー）附属品・同材料加工業</t>
    <phoneticPr fontId="2"/>
  </si>
  <si>
    <t>その他の貴金属製品製造業</t>
    <phoneticPr fontId="2"/>
  </si>
  <si>
    <t>装身具・装飾品・ボタン・同関連品製造業（貴金属・宝石製を除く）</t>
    <phoneticPr fontId="2"/>
  </si>
  <si>
    <t>装身具・装飾品製造業（貴金属・宝石製を除く）</t>
    <phoneticPr fontId="2"/>
  </si>
  <si>
    <t>造花・装飾用羽毛製造業</t>
    <phoneticPr fontId="2"/>
  </si>
  <si>
    <t>ボタン製造業</t>
    <phoneticPr fontId="2"/>
  </si>
  <si>
    <t>針・ピン・ホック・スナップ・同関連品製造業</t>
    <phoneticPr fontId="2"/>
  </si>
  <si>
    <t>その他の装身具・装飾品製造業</t>
    <phoneticPr fontId="2"/>
  </si>
  <si>
    <t>時計・同部分品製造業</t>
    <phoneticPr fontId="2"/>
  </si>
  <si>
    <t>楽器製造業</t>
    <phoneticPr fontId="2"/>
  </si>
  <si>
    <t>ピアノ製造業</t>
    <phoneticPr fontId="2"/>
  </si>
  <si>
    <t>その他の楽器・楽器部品・同材料製造業</t>
    <phoneticPr fontId="2"/>
  </si>
  <si>
    <t>がん具・運動用具製造業</t>
    <phoneticPr fontId="2"/>
  </si>
  <si>
    <t>娯楽用具・がん具製造業（人形を除く）</t>
    <phoneticPr fontId="2"/>
  </si>
  <si>
    <t>人形製造業</t>
    <phoneticPr fontId="2"/>
  </si>
  <si>
    <t>運動用具製造業</t>
    <phoneticPr fontId="2"/>
  </si>
  <si>
    <t>ペン・鉛筆・絵画用品・その他の事務用品製造業</t>
    <phoneticPr fontId="2"/>
  </si>
  <si>
    <t>万年筆・ペン類・鉛筆製造業</t>
    <phoneticPr fontId="2"/>
  </si>
  <si>
    <t>毛筆・絵画用品製造業（鉛筆を除く）</t>
    <phoneticPr fontId="2"/>
  </si>
  <si>
    <t>その他の事務用品製造業</t>
    <phoneticPr fontId="2"/>
  </si>
  <si>
    <t>漆器製造業</t>
    <phoneticPr fontId="2"/>
  </si>
  <si>
    <t>畳等生活雑貨製品製造業</t>
    <phoneticPr fontId="2"/>
  </si>
  <si>
    <t>麦わら・パナマ類帽子・わら工品製造業</t>
    <phoneticPr fontId="2"/>
  </si>
  <si>
    <t>畳製造業</t>
    <phoneticPr fontId="2"/>
  </si>
  <si>
    <t>うちわ・扇子・ちょうちん製造業</t>
    <phoneticPr fontId="2"/>
  </si>
  <si>
    <t>ほうき・ブラシ製造業</t>
    <phoneticPr fontId="2"/>
  </si>
  <si>
    <t>喫煙用具製造業（貴金属・宝石製を除く）</t>
    <phoneticPr fontId="2"/>
  </si>
  <si>
    <t>その他の生活雑貨製品製造業</t>
    <phoneticPr fontId="2"/>
  </si>
  <si>
    <t>他に分類されない製造業</t>
    <phoneticPr fontId="2"/>
  </si>
  <si>
    <t>煙火製造業</t>
    <phoneticPr fontId="2"/>
  </si>
  <si>
    <t>看板・標識機製造業</t>
    <phoneticPr fontId="2"/>
  </si>
  <si>
    <t>パレット製造業</t>
    <phoneticPr fontId="2"/>
  </si>
  <si>
    <t>モデル・模型製造業</t>
    <phoneticPr fontId="2"/>
  </si>
  <si>
    <t>工業用模型製造業</t>
    <phoneticPr fontId="2"/>
  </si>
  <si>
    <t>情報記録物製造業（新聞，書籍等の印刷物を除く）</t>
    <phoneticPr fontId="2"/>
  </si>
  <si>
    <t>眼鏡製造業（枠を含む）</t>
    <phoneticPr fontId="2"/>
  </si>
  <si>
    <t>他に分類されないその他の製造業</t>
    <phoneticPr fontId="2"/>
  </si>
  <si>
    <t>33　　電気業</t>
    <phoneticPr fontId="2"/>
  </si>
  <si>
    <t>電気業</t>
    <phoneticPr fontId="2"/>
  </si>
  <si>
    <t>発電所</t>
    <phoneticPr fontId="2"/>
  </si>
  <si>
    <t>変電所</t>
    <phoneticPr fontId="2"/>
  </si>
  <si>
    <t>34　　ガス業</t>
    <phoneticPr fontId="2"/>
  </si>
  <si>
    <t>ガス業</t>
    <phoneticPr fontId="2"/>
  </si>
  <si>
    <t>ガス製造工場</t>
    <phoneticPr fontId="2"/>
  </si>
  <si>
    <t>ガス供給所</t>
    <phoneticPr fontId="2"/>
  </si>
  <si>
    <t>35　　熱供給業</t>
    <phoneticPr fontId="2"/>
  </si>
  <si>
    <t>熱供給業</t>
    <phoneticPr fontId="2"/>
  </si>
  <si>
    <t>36　　水道業</t>
    <phoneticPr fontId="2"/>
  </si>
  <si>
    <t>上水道業</t>
    <phoneticPr fontId="2"/>
  </si>
  <si>
    <t>工業用水道業</t>
    <phoneticPr fontId="2"/>
  </si>
  <si>
    <t>下水道業</t>
    <phoneticPr fontId="2"/>
  </si>
  <si>
    <t>下水道処理施設維持管理業</t>
    <phoneticPr fontId="2"/>
  </si>
  <si>
    <t>下水道管路施設維持管理業</t>
    <phoneticPr fontId="2"/>
  </si>
  <si>
    <t>37　　通信業</t>
    <phoneticPr fontId="2"/>
  </si>
  <si>
    <t>固定電気通信業</t>
    <phoneticPr fontId="2"/>
  </si>
  <si>
    <t>地域電気通信業（有線放送電話業を除く）</t>
    <phoneticPr fontId="2"/>
  </si>
  <si>
    <t>長距離電気通信業</t>
    <phoneticPr fontId="2"/>
  </si>
  <si>
    <t>有線放送電話業</t>
    <phoneticPr fontId="2"/>
  </si>
  <si>
    <t>その他の固定電気通信業</t>
    <phoneticPr fontId="2"/>
  </si>
  <si>
    <t>移動電気通信業</t>
    <phoneticPr fontId="2"/>
  </si>
  <si>
    <t>電気通信に附帯するサービス業</t>
    <phoneticPr fontId="2"/>
  </si>
  <si>
    <t>38　　放送業</t>
    <phoneticPr fontId="2"/>
  </si>
  <si>
    <t>公共放送業（有線放送業を除く）</t>
    <phoneticPr fontId="2"/>
  </si>
  <si>
    <t>民間放送業（有線放送業を除く）</t>
    <phoneticPr fontId="2"/>
  </si>
  <si>
    <t>テレビジョン放送業（衛星放送業を除く）</t>
    <phoneticPr fontId="2"/>
  </si>
  <si>
    <t>ラジオ放送業（衛星放送業を除く）</t>
    <phoneticPr fontId="2"/>
  </si>
  <si>
    <t>衛星放送業</t>
    <phoneticPr fontId="2"/>
  </si>
  <si>
    <t>その他の民間放送業</t>
    <phoneticPr fontId="2"/>
  </si>
  <si>
    <t>有線放送業</t>
    <phoneticPr fontId="2"/>
  </si>
  <si>
    <t>有線テレビジョン放送業</t>
    <phoneticPr fontId="2"/>
  </si>
  <si>
    <t>有線ラジオ放送業</t>
    <phoneticPr fontId="2"/>
  </si>
  <si>
    <t>39　　情報サービス業</t>
    <phoneticPr fontId="2"/>
  </si>
  <si>
    <t>ソフトウェア業</t>
    <phoneticPr fontId="2"/>
  </si>
  <si>
    <t>受託開発ソフトウェア業</t>
    <phoneticPr fontId="2"/>
  </si>
  <si>
    <t>組込みソフトウェア業</t>
    <phoneticPr fontId="2"/>
  </si>
  <si>
    <t>パッケージソフトウェア業</t>
    <phoneticPr fontId="2"/>
  </si>
  <si>
    <t>ゲームソフトウェア業</t>
    <phoneticPr fontId="2"/>
  </si>
  <si>
    <t>情報処理・提供サービス業</t>
    <phoneticPr fontId="2"/>
  </si>
  <si>
    <t>情報処理サービス業</t>
    <phoneticPr fontId="2"/>
  </si>
  <si>
    <t>情報提供サービス業</t>
    <phoneticPr fontId="2"/>
  </si>
  <si>
    <t>市場調査・世論調査・社会調査業</t>
    <phoneticPr fontId="2"/>
  </si>
  <si>
    <t>その他の情報処理・提供サービス業</t>
    <phoneticPr fontId="2"/>
  </si>
  <si>
    <t>40　　インターネット附随サービス業</t>
    <phoneticPr fontId="2"/>
  </si>
  <si>
    <t>インターネット附随サービス業</t>
    <phoneticPr fontId="2"/>
  </si>
  <si>
    <t>ポータルサイト・サーバ運営業</t>
    <phoneticPr fontId="2"/>
  </si>
  <si>
    <t>アプリケーション・サービス・コンテンツ・プロバイダ</t>
    <phoneticPr fontId="2"/>
  </si>
  <si>
    <t>インターネット利用サポート業</t>
    <phoneticPr fontId="2"/>
  </si>
  <si>
    <t>41　　映像・音声・文字情報制作業</t>
    <phoneticPr fontId="2"/>
  </si>
  <si>
    <t>映像情報制作・配給業</t>
    <phoneticPr fontId="2"/>
  </si>
  <si>
    <t>映画・ビデオ制作業（テレビジョン番組制作業，アニメーション制作業を除く）</t>
    <phoneticPr fontId="2"/>
  </si>
  <si>
    <t>テレビジョン番組制作業（アニメーション制作業を除く）</t>
    <phoneticPr fontId="2"/>
  </si>
  <si>
    <t>アニメーション制作業</t>
    <phoneticPr fontId="2"/>
  </si>
  <si>
    <t>映画・ビデオ・テレビジョン番組配給業</t>
    <phoneticPr fontId="2"/>
  </si>
  <si>
    <t>音声情報制作業</t>
    <phoneticPr fontId="2"/>
  </si>
  <si>
    <t>レコード制作業</t>
    <phoneticPr fontId="2"/>
  </si>
  <si>
    <t>ラジオ番組制作業</t>
    <phoneticPr fontId="2"/>
  </si>
  <si>
    <t>新聞業</t>
    <phoneticPr fontId="2"/>
  </si>
  <si>
    <t>出版業</t>
    <phoneticPr fontId="2"/>
  </si>
  <si>
    <t>広告制作業</t>
    <phoneticPr fontId="2"/>
  </si>
  <si>
    <t>映像・音声・文字情報制作に附帯するサービス業</t>
    <phoneticPr fontId="2"/>
  </si>
  <si>
    <t>ニュース供給業</t>
    <phoneticPr fontId="2"/>
  </si>
  <si>
    <t>その他の映像・音声・文字情報制作に附帯するサービス業</t>
    <phoneticPr fontId="2"/>
  </si>
  <si>
    <t>42　　鉄道業</t>
    <phoneticPr fontId="2"/>
  </si>
  <si>
    <t>鉄道業</t>
    <phoneticPr fontId="2"/>
  </si>
  <si>
    <t>普通鉄道業</t>
    <phoneticPr fontId="2"/>
  </si>
  <si>
    <t>軌道業</t>
    <phoneticPr fontId="2"/>
  </si>
  <si>
    <t>地下鉄道業</t>
    <phoneticPr fontId="2"/>
  </si>
  <si>
    <t>モノレール鉄道業（地下鉄道業を除く）</t>
    <phoneticPr fontId="2"/>
  </si>
  <si>
    <t>案内軌条式鉄道業（地下鉄道業を除く）</t>
    <phoneticPr fontId="2"/>
  </si>
  <si>
    <t>鋼索鉄道業</t>
    <phoneticPr fontId="2"/>
  </si>
  <si>
    <t>索道業</t>
    <phoneticPr fontId="2"/>
  </si>
  <si>
    <t>その他の鉄道業</t>
    <phoneticPr fontId="2"/>
  </si>
  <si>
    <t>43　　道路旅客運送業</t>
    <phoneticPr fontId="2"/>
  </si>
  <si>
    <t>一般乗合旅客自動車運送業</t>
    <phoneticPr fontId="2"/>
  </si>
  <si>
    <t>一般乗用旅客自動車運送業</t>
    <phoneticPr fontId="2"/>
  </si>
  <si>
    <t>一般貸切旅客自動車運送業</t>
    <phoneticPr fontId="2"/>
  </si>
  <si>
    <t>その他の道路旅客運送業</t>
    <phoneticPr fontId="2"/>
  </si>
  <si>
    <t>特定旅客自動車運送業</t>
    <phoneticPr fontId="2"/>
  </si>
  <si>
    <t>他に分類されない道路旅客運送業</t>
    <phoneticPr fontId="2"/>
  </si>
  <si>
    <t>44　　道路貨物運送業</t>
    <phoneticPr fontId="2"/>
  </si>
  <si>
    <t>一般貨物自動車運送業</t>
    <phoneticPr fontId="2"/>
  </si>
  <si>
    <t>一般貨物自動車運送業（特別積合せ貨物運送業を除く）</t>
    <phoneticPr fontId="2"/>
  </si>
  <si>
    <t>特別積合せ貨物運送業</t>
    <phoneticPr fontId="2"/>
  </si>
  <si>
    <t>特定貨物自動車運送業</t>
    <phoneticPr fontId="2"/>
  </si>
  <si>
    <t>貨物軽自動車運送業</t>
    <phoneticPr fontId="2"/>
  </si>
  <si>
    <t>集配利用運送業</t>
    <phoneticPr fontId="2"/>
  </si>
  <si>
    <t>その他の道路貨物運送業</t>
    <phoneticPr fontId="2"/>
  </si>
  <si>
    <t>45　　水運業</t>
    <phoneticPr fontId="2"/>
  </si>
  <si>
    <t>外航海運業</t>
    <phoneticPr fontId="2"/>
  </si>
  <si>
    <t>外航旅客海運業</t>
    <phoneticPr fontId="2"/>
  </si>
  <si>
    <t>外航貨物海運業</t>
    <phoneticPr fontId="2"/>
  </si>
  <si>
    <t>沿海海運業</t>
    <phoneticPr fontId="2"/>
  </si>
  <si>
    <t>沿海旅客海運業</t>
    <phoneticPr fontId="2"/>
  </si>
  <si>
    <t>沿海貨物海運業</t>
    <phoneticPr fontId="2"/>
  </si>
  <si>
    <t>内陸水運業</t>
    <phoneticPr fontId="2"/>
  </si>
  <si>
    <t>港湾旅客海運業</t>
    <phoneticPr fontId="2"/>
  </si>
  <si>
    <t>河川水運業</t>
    <phoneticPr fontId="2"/>
  </si>
  <si>
    <t>湖沼水運業</t>
    <phoneticPr fontId="2"/>
  </si>
  <si>
    <t>船舶貸渡業</t>
    <phoneticPr fontId="2"/>
  </si>
  <si>
    <t>船舶貸渡業（内航船舶貸渡業を除く）</t>
    <phoneticPr fontId="2"/>
  </si>
  <si>
    <t>内航船舶貸渡業</t>
    <phoneticPr fontId="2"/>
  </si>
  <si>
    <t>46　　航空運輸業</t>
    <phoneticPr fontId="2"/>
  </si>
  <si>
    <t>航空運送業</t>
    <phoneticPr fontId="2"/>
  </si>
  <si>
    <t>航空機使用業（航空運送業を除く）</t>
    <phoneticPr fontId="2"/>
  </si>
  <si>
    <t>47　　倉庫業</t>
    <phoneticPr fontId="2"/>
  </si>
  <si>
    <t>倉庫業（冷蔵倉庫業を除く）</t>
    <phoneticPr fontId="2"/>
  </si>
  <si>
    <t>冷蔵倉庫業</t>
    <phoneticPr fontId="2"/>
  </si>
  <si>
    <t>48　　運輸に附帯するサービス業</t>
    <phoneticPr fontId="2"/>
  </si>
  <si>
    <t>港湾運送業</t>
    <phoneticPr fontId="2"/>
  </si>
  <si>
    <t>貨物運送取扱業（集配利用運送業を除く）</t>
    <phoneticPr fontId="2"/>
  </si>
  <si>
    <t>利用運送業（集配利用運送業を除く）</t>
    <phoneticPr fontId="2"/>
  </si>
  <si>
    <t>運送取次業</t>
    <phoneticPr fontId="2"/>
  </si>
  <si>
    <t>運送代理店</t>
    <phoneticPr fontId="2"/>
  </si>
  <si>
    <t>こん包業（組立こん包業を除く）</t>
    <phoneticPr fontId="2"/>
  </si>
  <si>
    <t>組立こん包業</t>
    <phoneticPr fontId="2"/>
  </si>
  <si>
    <t>運輸施設提供業</t>
    <phoneticPr fontId="2"/>
  </si>
  <si>
    <t>鉄道施設提供業</t>
    <phoneticPr fontId="2"/>
  </si>
  <si>
    <t>道路運送固定施設業</t>
    <phoneticPr fontId="2"/>
  </si>
  <si>
    <t>自動車ターミナル業</t>
    <phoneticPr fontId="2"/>
  </si>
  <si>
    <t>貨物荷扱固定施設業</t>
    <phoneticPr fontId="2"/>
  </si>
  <si>
    <t>桟橋泊きょ業</t>
    <phoneticPr fontId="2"/>
  </si>
  <si>
    <t>飛行場業</t>
    <phoneticPr fontId="2"/>
  </si>
  <si>
    <t>その他の運輸に附帯するサービス業</t>
    <phoneticPr fontId="2"/>
  </si>
  <si>
    <t>海運仲立業</t>
    <phoneticPr fontId="2"/>
  </si>
  <si>
    <t>他に分類されない運輸に附帯するサービス業</t>
    <phoneticPr fontId="2"/>
  </si>
  <si>
    <t>49　　郵便業（信書便事業を含む）</t>
    <phoneticPr fontId="2"/>
  </si>
  <si>
    <t>郵便業（信書便事業を含む）</t>
    <phoneticPr fontId="2"/>
  </si>
  <si>
    <t>50　　各種商品卸売業</t>
    <phoneticPr fontId="2"/>
  </si>
  <si>
    <t>自家用倉庫</t>
    <phoneticPr fontId="2"/>
  </si>
  <si>
    <t>各種商品卸売業</t>
    <phoneticPr fontId="2"/>
  </si>
  <si>
    <t>各種商品卸売業（従業者が常時100人以上のもの）</t>
    <phoneticPr fontId="2"/>
  </si>
  <si>
    <t>その他の各種商品卸売業</t>
    <phoneticPr fontId="2"/>
  </si>
  <si>
    <t>51　　繊維・衣服等卸売業</t>
    <phoneticPr fontId="2"/>
  </si>
  <si>
    <t>繊維品卸売業（衣服，身の回り品を除く）</t>
    <phoneticPr fontId="2"/>
  </si>
  <si>
    <t>繊維原料卸売業</t>
    <phoneticPr fontId="2"/>
  </si>
  <si>
    <t>糸卸売業</t>
    <phoneticPr fontId="2"/>
  </si>
  <si>
    <t>織物卸売業（室内装飾繊維品を除く）</t>
    <phoneticPr fontId="2"/>
  </si>
  <si>
    <t>衣服卸売業</t>
    <phoneticPr fontId="2"/>
  </si>
  <si>
    <t>男子服卸売業</t>
    <phoneticPr fontId="2"/>
  </si>
  <si>
    <t>婦人・子供服卸売業</t>
    <phoneticPr fontId="2"/>
  </si>
  <si>
    <t>下着類卸売業</t>
    <phoneticPr fontId="2"/>
  </si>
  <si>
    <t>その他の衣服卸売業</t>
    <phoneticPr fontId="2"/>
  </si>
  <si>
    <t>身の回り品卸売業</t>
    <phoneticPr fontId="2"/>
  </si>
  <si>
    <t>寝具類卸売業</t>
    <phoneticPr fontId="2"/>
  </si>
  <si>
    <t>靴・履物卸売業</t>
    <phoneticPr fontId="2"/>
  </si>
  <si>
    <t>かばん・袋物卸売業</t>
    <phoneticPr fontId="2"/>
  </si>
  <si>
    <t>その他の身の回り品卸売業</t>
    <phoneticPr fontId="2"/>
  </si>
  <si>
    <t>52　　飲食料品卸売業</t>
    <phoneticPr fontId="2"/>
  </si>
  <si>
    <t>農畜産物・水産物卸売業</t>
    <phoneticPr fontId="2"/>
  </si>
  <si>
    <t>米麦卸売業</t>
    <phoneticPr fontId="2"/>
  </si>
  <si>
    <t>雑穀・豆類卸売業</t>
    <phoneticPr fontId="2"/>
  </si>
  <si>
    <t>野菜卸売業</t>
    <phoneticPr fontId="2"/>
  </si>
  <si>
    <t>果実卸売業</t>
    <phoneticPr fontId="2"/>
  </si>
  <si>
    <t>食肉卸売業</t>
    <phoneticPr fontId="2"/>
  </si>
  <si>
    <t>生鮮魚介卸売業</t>
    <phoneticPr fontId="2"/>
  </si>
  <si>
    <t>その他の農畜産物・水産物卸売業</t>
    <phoneticPr fontId="2"/>
  </si>
  <si>
    <t>食料・飲料卸売業</t>
    <phoneticPr fontId="2"/>
  </si>
  <si>
    <t>砂糖・味そ・しょう油卸売業</t>
    <phoneticPr fontId="2"/>
  </si>
  <si>
    <t>酒類卸売業</t>
    <phoneticPr fontId="2"/>
  </si>
  <si>
    <t>乾物卸売業</t>
    <phoneticPr fontId="2"/>
  </si>
  <si>
    <t>菓子・パン類卸売業</t>
    <phoneticPr fontId="2"/>
  </si>
  <si>
    <t>飲料卸売業（別掲を除く）</t>
    <phoneticPr fontId="2"/>
  </si>
  <si>
    <t>茶類卸売業</t>
    <phoneticPr fontId="2"/>
  </si>
  <si>
    <t>牛乳・乳製品卸売業</t>
    <phoneticPr fontId="2"/>
  </si>
  <si>
    <t>その他の食料・飲料卸売業</t>
    <phoneticPr fontId="2"/>
  </si>
  <si>
    <t>53　　建築材料，鉱物・金属材料等卸売業</t>
    <phoneticPr fontId="2"/>
  </si>
  <si>
    <t>建築材料卸売業</t>
    <phoneticPr fontId="2"/>
  </si>
  <si>
    <t>木材・竹材卸売業</t>
    <phoneticPr fontId="2"/>
  </si>
  <si>
    <t>セメント卸売業</t>
    <phoneticPr fontId="2"/>
  </si>
  <si>
    <t>板ガラス卸売業</t>
    <phoneticPr fontId="2"/>
  </si>
  <si>
    <t>建築用金属製品卸売業（建築用金物を除く）</t>
    <phoneticPr fontId="2"/>
  </si>
  <si>
    <t>その他の建築材料卸売業</t>
    <phoneticPr fontId="2"/>
  </si>
  <si>
    <t>化学製品卸売業</t>
    <phoneticPr fontId="2"/>
  </si>
  <si>
    <t>塗料卸売業</t>
    <phoneticPr fontId="2"/>
  </si>
  <si>
    <t>プラスチック卸売業</t>
    <phoneticPr fontId="2"/>
  </si>
  <si>
    <t>その他の化学製品卸売業</t>
    <phoneticPr fontId="2"/>
  </si>
  <si>
    <t>石油・鉱物卸売業</t>
    <phoneticPr fontId="2"/>
  </si>
  <si>
    <t>石油卸売業</t>
    <phoneticPr fontId="2"/>
  </si>
  <si>
    <t>鉱物卸売業（石油を除く）</t>
    <phoneticPr fontId="2"/>
  </si>
  <si>
    <t>鉄鋼製品卸売業</t>
    <phoneticPr fontId="2"/>
  </si>
  <si>
    <t>鉄鋼粗製品卸売業</t>
    <phoneticPr fontId="2"/>
  </si>
  <si>
    <t>鉄鋼一次製品卸売業</t>
    <phoneticPr fontId="2"/>
  </si>
  <si>
    <t>その他の鉄鋼製品卸売業</t>
    <phoneticPr fontId="2"/>
  </si>
  <si>
    <t>非鉄金属卸売業</t>
    <phoneticPr fontId="2"/>
  </si>
  <si>
    <t>非鉄金属地金卸売業</t>
    <phoneticPr fontId="2"/>
  </si>
  <si>
    <t>非鉄金属製品卸売業</t>
    <phoneticPr fontId="2"/>
  </si>
  <si>
    <t>再生資源卸売業</t>
    <phoneticPr fontId="2"/>
  </si>
  <si>
    <t>空瓶・空缶等空容器卸売業</t>
    <phoneticPr fontId="2"/>
  </si>
  <si>
    <t>鉄スクラップ卸売業</t>
    <phoneticPr fontId="2"/>
  </si>
  <si>
    <t>非鉄金属スクラップ卸売業</t>
    <phoneticPr fontId="2"/>
  </si>
  <si>
    <t>古紙卸売業</t>
    <phoneticPr fontId="2"/>
  </si>
  <si>
    <t>その他の再生資源卸売業</t>
    <phoneticPr fontId="2"/>
  </si>
  <si>
    <t>54　　機械器具卸売業</t>
    <phoneticPr fontId="2"/>
  </si>
  <si>
    <t>産業機械器具卸売業</t>
    <phoneticPr fontId="2"/>
  </si>
  <si>
    <t>建設機械・鉱山機械卸売業</t>
    <phoneticPr fontId="2"/>
  </si>
  <si>
    <t>金属加工機械卸売業</t>
    <phoneticPr fontId="2"/>
  </si>
  <si>
    <t>事務用機械器具卸売業</t>
    <phoneticPr fontId="2"/>
  </si>
  <si>
    <t>その他の産業機械器具卸売業</t>
    <phoneticPr fontId="2"/>
  </si>
  <si>
    <t>自動車卸売業</t>
    <phoneticPr fontId="2"/>
  </si>
  <si>
    <t>自動車卸売業（二輪自動車を含む）</t>
    <phoneticPr fontId="2"/>
  </si>
  <si>
    <t>自動車部分品・附属品卸売業（中古品を除く）</t>
    <phoneticPr fontId="2"/>
  </si>
  <si>
    <t>自動車中古部品卸売業</t>
    <phoneticPr fontId="2"/>
  </si>
  <si>
    <t>電気機械器具卸売業</t>
    <phoneticPr fontId="2"/>
  </si>
  <si>
    <t>家庭用電気機械器具卸売業</t>
    <phoneticPr fontId="2"/>
  </si>
  <si>
    <t>電気機械器具卸売業（家庭用電気機械器具を除く）</t>
    <phoneticPr fontId="2"/>
  </si>
  <si>
    <t>その他の機械器具卸売業</t>
    <phoneticPr fontId="2"/>
  </si>
  <si>
    <t>輸送用機械器具卸売業（自動車を除く）</t>
    <phoneticPr fontId="2"/>
  </si>
  <si>
    <t>計量器・理化学機械器具・光学機械器具等卸売業</t>
    <rPh sb="0" eb="1">
      <t>ケイ</t>
    </rPh>
    <phoneticPr fontId="2"/>
  </si>
  <si>
    <t>医療用機械器具卸売業（歯科用機械器具を含む）</t>
    <phoneticPr fontId="2"/>
  </si>
  <si>
    <t>55　　その他の卸売業</t>
    <phoneticPr fontId="2"/>
  </si>
  <si>
    <t>家具・建具・じゅう器等卸売業</t>
    <phoneticPr fontId="2"/>
  </si>
  <si>
    <t>家具・建具卸売業</t>
    <phoneticPr fontId="2"/>
  </si>
  <si>
    <t>荒物卸売業</t>
    <phoneticPr fontId="2"/>
  </si>
  <si>
    <t>畳卸売業</t>
    <phoneticPr fontId="2"/>
  </si>
  <si>
    <t>室内装飾繊維品卸売業</t>
    <phoneticPr fontId="2"/>
  </si>
  <si>
    <t>陶磁器・ガラス器卸売業</t>
    <phoneticPr fontId="2"/>
  </si>
  <si>
    <t>その他のじゅう器卸売業</t>
    <phoneticPr fontId="2"/>
  </si>
  <si>
    <t>医薬品・化粧品等卸売業</t>
    <phoneticPr fontId="2"/>
  </si>
  <si>
    <t>医薬品卸売業</t>
    <phoneticPr fontId="2"/>
  </si>
  <si>
    <t>医療用品卸売業</t>
    <phoneticPr fontId="2"/>
  </si>
  <si>
    <t>化粧品卸売業</t>
    <phoneticPr fontId="2"/>
  </si>
  <si>
    <t>合成洗剤卸売業</t>
    <phoneticPr fontId="2"/>
  </si>
  <si>
    <t>紙・紙製品卸売業</t>
    <phoneticPr fontId="2"/>
  </si>
  <si>
    <t>紙卸売業</t>
    <phoneticPr fontId="2"/>
  </si>
  <si>
    <t>紙製品卸売業</t>
    <phoneticPr fontId="2"/>
  </si>
  <si>
    <t>他に分類されない卸売業</t>
    <phoneticPr fontId="2"/>
  </si>
  <si>
    <t>金物卸売業</t>
    <phoneticPr fontId="2"/>
  </si>
  <si>
    <t>肥料・飼料卸売業</t>
    <phoneticPr fontId="2"/>
  </si>
  <si>
    <t>スポーツ用品卸売業</t>
    <phoneticPr fontId="2"/>
  </si>
  <si>
    <t>娯楽用品・がん具卸売業</t>
    <phoneticPr fontId="2"/>
  </si>
  <si>
    <t>たばこ卸売業</t>
    <phoneticPr fontId="2"/>
  </si>
  <si>
    <t>ジュエリー製品卸売業</t>
    <phoneticPr fontId="2"/>
  </si>
  <si>
    <t>書籍・雑誌卸売業</t>
    <phoneticPr fontId="2"/>
  </si>
  <si>
    <t>代理商，仲立業</t>
    <phoneticPr fontId="2"/>
  </si>
  <si>
    <t>他に分類されないその他の卸売業</t>
    <phoneticPr fontId="2"/>
  </si>
  <si>
    <t>56　　各種商品小売業</t>
    <phoneticPr fontId="2"/>
  </si>
  <si>
    <t>百貨店，総合スーパー</t>
    <phoneticPr fontId="2"/>
  </si>
  <si>
    <t>その他の各種商品小売業（従業者が常時50人未満のもの）</t>
    <phoneticPr fontId="2"/>
  </si>
  <si>
    <t>57　　織物・衣服・身の回り品小売業</t>
    <phoneticPr fontId="2"/>
  </si>
  <si>
    <t>呉服・服地・寝具小売業</t>
    <phoneticPr fontId="2"/>
  </si>
  <si>
    <t>呉服・服地小売業</t>
    <phoneticPr fontId="2"/>
  </si>
  <si>
    <t>寝具小売業</t>
    <phoneticPr fontId="2"/>
  </si>
  <si>
    <t>男子服小売業</t>
    <phoneticPr fontId="2"/>
  </si>
  <si>
    <t>婦人・子供服小売業</t>
    <phoneticPr fontId="2"/>
  </si>
  <si>
    <t>婦人服小売業</t>
    <phoneticPr fontId="2"/>
  </si>
  <si>
    <t>子供服小売業</t>
    <phoneticPr fontId="2"/>
  </si>
  <si>
    <t>靴・履物小売業</t>
    <phoneticPr fontId="2"/>
  </si>
  <si>
    <t>靴小売業</t>
    <phoneticPr fontId="2"/>
  </si>
  <si>
    <t>履物小売業（靴を除く）</t>
    <phoneticPr fontId="2"/>
  </si>
  <si>
    <t>その他の織物・衣服・身の回り品小売業</t>
    <phoneticPr fontId="2"/>
  </si>
  <si>
    <t>かばん・袋物小売業</t>
    <phoneticPr fontId="2"/>
  </si>
  <si>
    <t>下着類小売業</t>
    <phoneticPr fontId="2"/>
  </si>
  <si>
    <t>洋品雑貨・小間物小売業</t>
    <phoneticPr fontId="2"/>
  </si>
  <si>
    <t>他に分類されない織物・衣服・身の回り品小売業</t>
    <phoneticPr fontId="2"/>
  </si>
  <si>
    <t>58　　飲食料品小売業</t>
    <phoneticPr fontId="2"/>
  </si>
  <si>
    <t>各種食料品小売業</t>
    <phoneticPr fontId="2"/>
  </si>
  <si>
    <t>野菜・果実小売業</t>
    <phoneticPr fontId="2"/>
  </si>
  <si>
    <t>野菜小売業</t>
    <phoneticPr fontId="2"/>
  </si>
  <si>
    <t>果実小売業</t>
    <phoneticPr fontId="2"/>
  </si>
  <si>
    <t>食肉小売業</t>
    <phoneticPr fontId="2"/>
  </si>
  <si>
    <t>食肉小売業（卵，鳥肉を除く）</t>
    <phoneticPr fontId="2"/>
  </si>
  <si>
    <t>卵・鳥肉小売業</t>
    <phoneticPr fontId="2"/>
  </si>
  <si>
    <t>鮮魚小売業</t>
    <phoneticPr fontId="2"/>
  </si>
  <si>
    <t>酒小売業</t>
    <phoneticPr fontId="2"/>
  </si>
  <si>
    <t>菓子・パン小売業</t>
    <phoneticPr fontId="2"/>
  </si>
  <si>
    <t>菓子小売業（製造小売）</t>
    <phoneticPr fontId="2"/>
  </si>
  <si>
    <t>菓子小売業（製造小売でないもの）</t>
    <phoneticPr fontId="2"/>
  </si>
  <si>
    <t>パン小売業（製造小売）</t>
    <phoneticPr fontId="2"/>
  </si>
  <si>
    <t>パン小売業（製造小売でないもの）</t>
    <phoneticPr fontId="2"/>
  </si>
  <si>
    <t>その他の飲食料品小売業</t>
    <phoneticPr fontId="2"/>
  </si>
  <si>
    <t>コンビニエンスストア（飲食料品を中心とするものに限る）</t>
    <phoneticPr fontId="2"/>
  </si>
  <si>
    <t>牛乳小売業</t>
    <phoneticPr fontId="2"/>
  </si>
  <si>
    <t>飲料小売業（別掲を除く）</t>
    <phoneticPr fontId="2"/>
  </si>
  <si>
    <t>茶類小売業</t>
    <phoneticPr fontId="2"/>
  </si>
  <si>
    <t>料理品小売業</t>
    <phoneticPr fontId="2"/>
  </si>
  <si>
    <t>米穀類小売業</t>
    <phoneticPr fontId="2"/>
  </si>
  <si>
    <t>豆腐・かまぼこ等加工食品小売業</t>
    <phoneticPr fontId="2"/>
  </si>
  <si>
    <t>乾物小売業</t>
    <phoneticPr fontId="2"/>
  </si>
  <si>
    <t>他に分類されない飲食料品小売業</t>
    <phoneticPr fontId="2"/>
  </si>
  <si>
    <t>59　　機械器具小売業</t>
    <phoneticPr fontId="2"/>
  </si>
  <si>
    <t>自動車小売業</t>
    <phoneticPr fontId="2"/>
  </si>
  <si>
    <t>自動車（新車）小売業</t>
    <phoneticPr fontId="2"/>
  </si>
  <si>
    <t>中古自動車小売業</t>
    <phoneticPr fontId="2"/>
  </si>
  <si>
    <t>自動車部分品・附属品小売業</t>
    <phoneticPr fontId="2"/>
  </si>
  <si>
    <t>二輪自動車小売業（原動機付自転車を含む）</t>
    <phoneticPr fontId="2"/>
  </si>
  <si>
    <t>自転車小売業</t>
    <phoneticPr fontId="2"/>
  </si>
  <si>
    <t>機械器具小売業（自動車，自転車を除く）</t>
    <phoneticPr fontId="2"/>
  </si>
  <si>
    <t>電気機械器具小売業（中古品を除く）</t>
    <phoneticPr fontId="2"/>
  </si>
  <si>
    <t>中古電気製品小売業</t>
    <phoneticPr fontId="2"/>
  </si>
  <si>
    <t>その他の機械器具小売業</t>
    <phoneticPr fontId="2"/>
  </si>
  <si>
    <t>60　　その他の小売業</t>
    <phoneticPr fontId="2"/>
  </si>
  <si>
    <t>家具・建具・畳小売業</t>
    <phoneticPr fontId="2"/>
  </si>
  <si>
    <t>家具小売業</t>
    <phoneticPr fontId="2"/>
  </si>
  <si>
    <t>建具小売業</t>
    <phoneticPr fontId="2"/>
  </si>
  <si>
    <t>畳小売業</t>
    <phoneticPr fontId="2"/>
  </si>
  <si>
    <t>宗教用具小売業</t>
    <phoneticPr fontId="2"/>
  </si>
  <si>
    <t>じゅう器小売業</t>
    <phoneticPr fontId="2"/>
  </si>
  <si>
    <t>金物小売業</t>
    <phoneticPr fontId="2"/>
  </si>
  <si>
    <t>荒物小売業</t>
    <phoneticPr fontId="2"/>
  </si>
  <si>
    <t>陶磁器・ガラス器小売業</t>
    <phoneticPr fontId="2"/>
  </si>
  <si>
    <t>他に分類されないじゅう器小売業</t>
    <phoneticPr fontId="2"/>
  </si>
  <si>
    <t>医薬品・化粧品小売業</t>
    <phoneticPr fontId="2"/>
  </si>
  <si>
    <t>ドラッグストア</t>
    <phoneticPr fontId="2"/>
  </si>
  <si>
    <t>医薬品小売業（調剤薬局を除く）</t>
    <phoneticPr fontId="2"/>
  </si>
  <si>
    <t>調剤薬局</t>
    <phoneticPr fontId="2"/>
  </si>
  <si>
    <t>化粧品小売業</t>
    <phoneticPr fontId="2"/>
  </si>
  <si>
    <t>農耕用品小売業</t>
    <phoneticPr fontId="2"/>
  </si>
  <si>
    <t>農業用機械器具小売業</t>
    <phoneticPr fontId="2"/>
  </si>
  <si>
    <t>苗・種子小売業</t>
    <phoneticPr fontId="2"/>
  </si>
  <si>
    <t>肥料・飼料小売業</t>
    <phoneticPr fontId="2"/>
  </si>
  <si>
    <t>燃料小売業</t>
    <phoneticPr fontId="2"/>
  </si>
  <si>
    <t>ガソリンスタンド</t>
    <phoneticPr fontId="2"/>
  </si>
  <si>
    <t>燃料小売業（ガソリンスタンドを除く）</t>
    <phoneticPr fontId="2"/>
  </si>
  <si>
    <t>書籍・文房具小売業</t>
    <phoneticPr fontId="2"/>
  </si>
  <si>
    <t>書籍・雑誌小売業（古本を除く）</t>
    <phoneticPr fontId="2"/>
  </si>
  <si>
    <t>古本小売業</t>
    <phoneticPr fontId="2"/>
  </si>
  <si>
    <t>新聞小売業</t>
    <phoneticPr fontId="2"/>
  </si>
  <si>
    <t>紙・文房具小売業</t>
    <phoneticPr fontId="2"/>
  </si>
  <si>
    <t>スポーツ用品・がん具・娯楽用品・楽器小売業</t>
    <phoneticPr fontId="2"/>
  </si>
  <si>
    <t>スポーツ用品小売業</t>
    <phoneticPr fontId="2"/>
  </si>
  <si>
    <t>がん具・娯楽用品小売業</t>
    <phoneticPr fontId="2"/>
  </si>
  <si>
    <t>楽器小売業</t>
    <phoneticPr fontId="2"/>
  </si>
  <si>
    <t>写真機・時計・眼鏡小売業</t>
    <phoneticPr fontId="2"/>
  </si>
  <si>
    <t>写真機・写真材料小売業</t>
    <phoneticPr fontId="2"/>
  </si>
  <si>
    <t>時計・眼鏡・光学機械小売業</t>
    <phoneticPr fontId="2"/>
  </si>
  <si>
    <t>他に分類されない小売業</t>
    <phoneticPr fontId="2"/>
  </si>
  <si>
    <t>ホームセンター</t>
    <phoneticPr fontId="2"/>
  </si>
  <si>
    <t>たばこ・喫煙具専門小売業</t>
    <phoneticPr fontId="2"/>
  </si>
  <si>
    <t>花・植木小売業</t>
    <phoneticPr fontId="2"/>
  </si>
  <si>
    <t>建築材料小売業</t>
    <phoneticPr fontId="2"/>
  </si>
  <si>
    <t>ジュエリー製品小売業</t>
    <phoneticPr fontId="2"/>
  </si>
  <si>
    <t>ペット・ペット用品小売業</t>
    <phoneticPr fontId="2"/>
  </si>
  <si>
    <t>骨とう品小売業</t>
    <phoneticPr fontId="2"/>
  </si>
  <si>
    <t>中古品小売業（骨とう品を除く）</t>
    <phoneticPr fontId="2"/>
  </si>
  <si>
    <t>他に分類されないその他の小売業</t>
    <phoneticPr fontId="2"/>
  </si>
  <si>
    <t>61　　無店舗小売業</t>
    <phoneticPr fontId="2"/>
  </si>
  <si>
    <t>通信販売・訪問販売小売業</t>
    <phoneticPr fontId="2"/>
  </si>
  <si>
    <t>無店舗小売業（各種商品小売）</t>
    <phoneticPr fontId="2"/>
  </si>
  <si>
    <t>無店舗小売業（織物・衣服・身の回り品小売）</t>
    <phoneticPr fontId="2"/>
  </si>
  <si>
    <t>無店舗小売業（飲食料品小売）</t>
    <phoneticPr fontId="2"/>
  </si>
  <si>
    <t>無店舗小売業（機械器具小売）</t>
    <phoneticPr fontId="2"/>
  </si>
  <si>
    <t>無店舗小売業（その他の小売）</t>
    <phoneticPr fontId="2"/>
  </si>
  <si>
    <t>自動販売機による小売業</t>
    <phoneticPr fontId="2"/>
  </si>
  <si>
    <t>その他の無店舗小売業</t>
    <phoneticPr fontId="2"/>
  </si>
  <si>
    <t>62　　銀行業</t>
    <phoneticPr fontId="2"/>
  </si>
  <si>
    <t>中央銀行</t>
    <phoneticPr fontId="2"/>
  </si>
  <si>
    <t>銀行（中央銀行を除く）</t>
    <phoneticPr fontId="2"/>
  </si>
  <si>
    <t>普通銀行</t>
    <phoneticPr fontId="2"/>
  </si>
  <si>
    <t>郵便貯金銀行</t>
    <phoneticPr fontId="2"/>
  </si>
  <si>
    <t>信託銀行</t>
    <phoneticPr fontId="2"/>
  </si>
  <si>
    <t>その他の銀行</t>
    <phoneticPr fontId="2"/>
  </si>
  <si>
    <t>63　　協同組織金融業</t>
    <phoneticPr fontId="2"/>
  </si>
  <si>
    <t>中小企業等金融業</t>
    <phoneticPr fontId="2"/>
  </si>
  <si>
    <t>信用金庫・同連合会</t>
    <phoneticPr fontId="2"/>
  </si>
  <si>
    <t>信用協同組合・同連合会</t>
    <phoneticPr fontId="2"/>
  </si>
  <si>
    <t>商工組合中央金庫</t>
    <phoneticPr fontId="2"/>
  </si>
  <si>
    <t>労働金庫・同連合会</t>
    <phoneticPr fontId="2"/>
  </si>
  <si>
    <t>農林水産金融業</t>
    <phoneticPr fontId="2"/>
  </si>
  <si>
    <t>農林中央金庫</t>
    <phoneticPr fontId="2"/>
  </si>
  <si>
    <t>信用農業協同組合連合会</t>
    <phoneticPr fontId="2"/>
  </si>
  <si>
    <t>信用漁業協同組合連合会，信用水産加工業協同組合連合会</t>
    <phoneticPr fontId="2"/>
  </si>
  <si>
    <t>農業協同組合</t>
    <phoneticPr fontId="2"/>
  </si>
  <si>
    <t>漁業協同組合，水産加工業協同組合</t>
    <phoneticPr fontId="2"/>
  </si>
  <si>
    <t>64　　貸金業，クレジットカード業等非預金信用機関</t>
    <phoneticPr fontId="2"/>
  </si>
  <si>
    <t>貸金業</t>
    <phoneticPr fontId="2"/>
  </si>
  <si>
    <t>消費者向け貸金業</t>
    <phoneticPr fontId="2"/>
  </si>
  <si>
    <t>事業者向け貸金業</t>
    <phoneticPr fontId="2"/>
  </si>
  <si>
    <t>質屋</t>
    <phoneticPr fontId="2"/>
  </si>
  <si>
    <t>クレジットカード業，割賦金融業</t>
    <phoneticPr fontId="2"/>
  </si>
  <si>
    <t>クレジットカード業</t>
    <phoneticPr fontId="2"/>
  </si>
  <si>
    <t>割賦金融業</t>
    <phoneticPr fontId="2"/>
  </si>
  <si>
    <t>その他の非預金信用機関</t>
    <phoneticPr fontId="2"/>
  </si>
  <si>
    <t>政府関係金融機関</t>
    <phoneticPr fontId="2"/>
  </si>
  <si>
    <t>住宅専門金融業</t>
    <phoneticPr fontId="2"/>
  </si>
  <si>
    <t>証券金融業</t>
    <phoneticPr fontId="2"/>
  </si>
  <si>
    <t>他に分類されない非預金信用機関</t>
    <phoneticPr fontId="2"/>
  </si>
  <si>
    <t>65　　金融商品取引業，商品先物取引業</t>
    <phoneticPr fontId="2"/>
  </si>
  <si>
    <t>金融商品取引業</t>
    <phoneticPr fontId="2"/>
  </si>
  <si>
    <t>金融商品取引業（投資助言・代理業・運用業，補助的金融商品取引業を除く）</t>
    <phoneticPr fontId="2"/>
  </si>
  <si>
    <t>投資助言・代理業</t>
    <phoneticPr fontId="2"/>
  </si>
  <si>
    <t>投資運用業</t>
    <phoneticPr fontId="2"/>
  </si>
  <si>
    <t>補助的金融商品取引業</t>
    <phoneticPr fontId="2"/>
  </si>
  <si>
    <t>商品先物取引業，商品投資顧問業</t>
    <phoneticPr fontId="2"/>
  </si>
  <si>
    <t>商品先物取引業</t>
    <phoneticPr fontId="2"/>
  </si>
  <si>
    <t>商品投資顧問業</t>
    <phoneticPr fontId="2"/>
  </si>
  <si>
    <t>その他の商品先物取引業，商品投資顧問業</t>
    <phoneticPr fontId="2"/>
  </si>
  <si>
    <t>66　　補助的金融業等</t>
    <phoneticPr fontId="2"/>
  </si>
  <si>
    <t>補助的金融業，金融附帯業</t>
    <phoneticPr fontId="2"/>
  </si>
  <si>
    <t>短資業</t>
    <phoneticPr fontId="2"/>
  </si>
  <si>
    <t>手形交換所</t>
    <phoneticPr fontId="2"/>
  </si>
  <si>
    <t>両替業</t>
    <phoneticPr fontId="2"/>
  </si>
  <si>
    <t>信用保証機関</t>
    <phoneticPr fontId="2"/>
  </si>
  <si>
    <t>信用保証再保険機関</t>
    <phoneticPr fontId="2"/>
  </si>
  <si>
    <t>預・貯金等保険機関</t>
    <phoneticPr fontId="2"/>
  </si>
  <si>
    <t>金融商品取引所</t>
    <phoneticPr fontId="2"/>
  </si>
  <si>
    <t>商品取引所</t>
    <phoneticPr fontId="2"/>
  </si>
  <si>
    <t>その他の補助的金融業，金融附帯業</t>
    <phoneticPr fontId="2"/>
  </si>
  <si>
    <t>信託業</t>
    <phoneticPr fontId="2"/>
  </si>
  <si>
    <t>運用型信託業</t>
    <phoneticPr fontId="2"/>
  </si>
  <si>
    <t>管理型信託業</t>
    <phoneticPr fontId="2"/>
  </si>
  <si>
    <t>金融代理業</t>
    <phoneticPr fontId="2"/>
  </si>
  <si>
    <t>金融商品仲介業</t>
    <phoneticPr fontId="2"/>
  </si>
  <si>
    <t>信託契約代理業</t>
    <phoneticPr fontId="2"/>
  </si>
  <si>
    <t>その他の金融代理業</t>
    <phoneticPr fontId="2"/>
  </si>
  <si>
    <t>67　　保険業（保険媒介代理業，保険サービス業を含む）</t>
    <phoneticPr fontId="2"/>
  </si>
  <si>
    <t>生命保険業</t>
    <phoneticPr fontId="2"/>
  </si>
  <si>
    <t>生命保険業（郵便保険業，生命保険再保険業を除く）</t>
    <phoneticPr fontId="2"/>
  </si>
  <si>
    <t>郵便保険業</t>
    <phoneticPr fontId="2"/>
  </si>
  <si>
    <t>生命保険再保険業</t>
    <phoneticPr fontId="2"/>
  </si>
  <si>
    <t>その他の生命保険業</t>
    <phoneticPr fontId="2"/>
  </si>
  <si>
    <t>損害保険業</t>
    <phoneticPr fontId="2"/>
  </si>
  <si>
    <t>損害保険業（損害保険再保険業を除く）</t>
    <phoneticPr fontId="2"/>
  </si>
  <si>
    <t>損害保険再保険業</t>
    <phoneticPr fontId="2"/>
  </si>
  <si>
    <t>その他の損害保険業</t>
    <phoneticPr fontId="2"/>
  </si>
  <si>
    <t>共済事業，少額短期保険業</t>
    <phoneticPr fontId="2"/>
  </si>
  <si>
    <t>共済事業（各種災害補償法によるもの）</t>
    <phoneticPr fontId="2"/>
  </si>
  <si>
    <t>共済事業（各種協同組合法等によるもの）</t>
    <phoneticPr fontId="2"/>
  </si>
  <si>
    <t>少額短期保険業</t>
    <phoneticPr fontId="2"/>
  </si>
  <si>
    <t>保険媒介代理業</t>
    <phoneticPr fontId="2"/>
  </si>
  <si>
    <t>生命保険媒介業</t>
    <phoneticPr fontId="2"/>
  </si>
  <si>
    <t>損害保険代理業</t>
    <phoneticPr fontId="2"/>
  </si>
  <si>
    <t>共済事業媒介代理業・少額短期保険代理業</t>
    <phoneticPr fontId="2"/>
  </si>
  <si>
    <t>保険サービス業</t>
    <phoneticPr fontId="2"/>
  </si>
  <si>
    <t>保険料率算出団体</t>
    <phoneticPr fontId="2"/>
  </si>
  <si>
    <t>損害査定業</t>
    <phoneticPr fontId="2"/>
  </si>
  <si>
    <t>その他の保険サービス業</t>
    <phoneticPr fontId="2"/>
  </si>
  <si>
    <t>68　　不動産取引業</t>
    <phoneticPr fontId="2"/>
  </si>
  <si>
    <t>建物売買業，土地売買業</t>
    <phoneticPr fontId="2"/>
  </si>
  <si>
    <t>建物売買業</t>
    <phoneticPr fontId="2"/>
  </si>
  <si>
    <t>土地売買業</t>
    <phoneticPr fontId="2"/>
  </si>
  <si>
    <t>不動産代理業・仲介業</t>
    <phoneticPr fontId="2"/>
  </si>
  <si>
    <t>69　　不動産賃貸業・管理業</t>
    <phoneticPr fontId="2"/>
  </si>
  <si>
    <t>不動産賃貸業（貸家業，貸間業を除く）</t>
    <phoneticPr fontId="2"/>
  </si>
  <si>
    <t>貸事務所業</t>
    <phoneticPr fontId="2"/>
  </si>
  <si>
    <t>土地賃貸業</t>
    <phoneticPr fontId="2"/>
  </si>
  <si>
    <t>その他の不動産賃貸業</t>
    <phoneticPr fontId="2"/>
  </si>
  <si>
    <t>貸家業，貸間業</t>
    <phoneticPr fontId="2"/>
  </si>
  <si>
    <t>貸家業</t>
    <phoneticPr fontId="2"/>
  </si>
  <si>
    <t>貸間業</t>
    <phoneticPr fontId="2"/>
  </si>
  <si>
    <t>駐車場業</t>
    <phoneticPr fontId="2"/>
  </si>
  <si>
    <t>不動産管理業</t>
    <phoneticPr fontId="2"/>
  </si>
  <si>
    <t>70　　物品賃貸業</t>
    <phoneticPr fontId="2"/>
  </si>
  <si>
    <t>各種物品賃貸業</t>
    <phoneticPr fontId="2"/>
  </si>
  <si>
    <t>総合リース業</t>
    <phoneticPr fontId="2"/>
  </si>
  <si>
    <t>その他の各種物品賃貸業</t>
    <phoneticPr fontId="2"/>
  </si>
  <si>
    <t>産業用機械器具賃貸業</t>
    <phoneticPr fontId="2"/>
  </si>
  <si>
    <t>産業用機械器具賃貸業（建設機械器具を除く）</t>
    <phoneticPr fontId="2"/>
  </si>
  <si>
    <t>建設機械器具賃貸業</t>
    <phoneticPr fontId="2"/>
  </si>
  <si>
    <t>事務用機械器具賃貸業</t>
    <phoneticPr fontId="2"/>
  </si>
  <si>
    <t>事務用機械器具賃貸業（電子計算機を除く）</t>
    <phoneticPr fontId="2"/>
  </si>
  <si>
    <t>電子計算機・同関連機器賃貸業</t>
    <phoneticPr fontId="2"/>
  </si>
  <si>
    <t>自動車賃貸業</t>
    <phoneticPr fontId="2"/>
  </si>
  <si>
    <t>スポーツ・娯楽用品賃貸業</t>
    <phoneticPr fontId="2"/>
  </si>
  <si>
    <t>その他の物品賃貸業</t>
    <phoneticPr fontId="2"/>
  </si>
  <si>
    <t>映画・演劇用品賃貸業</t>
    <phoneticPr fontId="2"/>
  </si>
  <si>
    <t>音楽・映像記録物賃貸業（別掲を除く）</t>
    <phoneticPr fontId="2"/>
  </si>
  <si>
    <t>貸衣しょう業（別掲を除く）</t>
    <phoneticPr fontId="2"/>
  </si>
  <si>
    <t>他に分類されない物品賃貸業</t>
    <phoneticPr fontId="2"/>
  </si>
  <si>
    <t>71　　学術・開発研究機関</t>
    <phoneticPr fontId="2"/>
  </si>
  <si>
    <t>自然科学研究所</t>
    <phoneticPr fontId="2"/>
  </si>
  <si>
    <t>理学研究所</t>
    <phoneticPr fontId="2"/>
  </si>
  <si>
    <t>工学研究所</t>
    <phoneticPr fontId="2"/>
  </si>
  <si>
    <t>農学研究所</t>
    <phoneticPr fontId="2"/>
  </si>
  <si>
    <t>医学・薬学研究所</t>
    <phoneticPr fontId="2"/>
  </si>
  <si>
    <t>人文・社会科学研究所</t>
    <phoneticPr fontId="2"/>
  </si>
  <si>
    <t>72　　専門サービス業（他に分類されないもの）</t>
    <phoneticPr fontId="2"/>
  </si>
  <si>
    <t>法律事務所，特許事務所</t>
    <phoneticPr fontId="2"/>
  </si>
  <si>
    <t>法律事務所</t>
    <phoneticPr fontId="2"/>
  </si>
  <si>
    <t>特許事務所</t>
    <phoneticPr fontId="2"/>
  </si>
  <si>
    <t>公証人役場，司法書士事務所，土地家屋調査士事務所</t>
    <phoneticPr fontId="2"/>
  </si>
  <si>
    <t>公証人役場，司法書士事務所</t>
    <phoneticPr fontId="2"/>
  </si>
  <si>
    <t>土地家屋調査士事務所</t>
    <phoneticPr fontId="2"/>
  </si>
  <si>
    <t>行政書士事務所</t>
    <phoneticPr fontId="2"/>
  </si>
  <si>
    <t>公認会計士事務所，税理士事務所</t>
    <phoneticPr fontId="2"/>
  </si>
  <si>
    <t>公認会計士事務所</t>
    <phoneticPr fontId="2"/>
  </si>
  <si>
    <t>税理士事務所</t>
    <phoneticPr fontId="2"/>
  </si>
  <si>
    <t>社会保険労務士事務所</t>
    <phoneticPr fontId="2"/>
  </si>
  <si>
    <t>デザイン業</t>
    <phoneticPr fontId="2"/>
  </si>
  <si>
    <t>著述・芸術家業</t>
    <phoneticPr fontId="2"/>
  </si>
  <si>
    <t>著述家業</t>
    <phoneticPr fontId="2"/>
  </si>
  <si>
    <t>芸術家業</t>
    <phoneticPr fontId="2"/>
  </si>
  <si>
    <t>経営コンサルタント業，純粋持株会社</t>
    <phoneticPr fontId="2"/>
  </si>
  <si>
    <t>経営コンサルタント業</t>
    <phoneticPr fontId="2"/>
  </si>
  <si>
    <t>純粋持株会社</t>
    <phoneticPr fontId="2"/>
  </si>
  <si>
    <t>その他の専門サービス業</t>
    <phoneticPr fontId="2"/>
  </si>
  <si>
    <t>興信所</t>
    <phoneticPr fontId="2"/>
  </si>
  <si>
    <t>翻訳業（著述家業を除く）</t>
    <phoneticPr fontId="2"/>
  </si>
  <si>
    <t>通訳業，通訳案内業</t>
    <phoneticPr fontId="2"/>
  </si>
  <si>
    <t>不動産鑑定業</t>
    <phoneticPr fontId="2"/>
  </si>
  <si>
    <t>他に分類されない専門サービス業</t>
    <phoneticPr fontId="2"/>
  </si>
  <si>
    <t>73　　広告業</t>
    <phoneticPr fontId="2"/>
  </si>
  <si>
    <t>広告業</t>
    <phoneticPr fontId="2"/>
  </si>
  <si>
    <t>74　　技術サービス業（他に分類されないもの）</t>
    <phoneticPr fontId="2"/>
  </si>
  <si>
    <t>獣医業</t>
    <phoneticPr fontId="2"/>
  </si>
  <si>
    <t>土木建築サービス業</t>
    <phoneticPr fontId="2"/>
  </si>
  <si>
    <t>建築設計業</t>
    <phoneticPr fontId="2"/>
  </si>
  <si>
    <t>測量業</t>
    <phoneticPr fontId="2"/>
  </si>
  <si>
    <t>その他の土木建築サービス業</t>
    <phoneticPr fontId="2"/>
  </si>
  <si>
    <t>機械設計業</t>
    <phoneticPr fontId="2"/>
  </si>
  <si>
    <t>商品・非破壊検査業</t>
    <phoneticPr fontId="2"/>
  </si>
  <si>
    <t>商品検査業</t>
    <phoneticPr fontId="2"/>
  </si>
  <si>
    <t>非破壊検査業</t>
    <phoneticPr fontId="2"/>
  </si>
  <si>
    <t>計量証明業</t>
    <phoneticPr fontId="2"/>
  </si>
  <si>
    <t>一般計量証明業</t>
    <phoneticPr fontId="2"/>
  </si>
  <si>
    <t>環境計量証明業</t>
    <phoneticPr fontId="2"/>
  </si>
  <si>
    <t>その他の計量証明業</t>
    <phoneticPr fontId="2"/>
  </si>
  <si>
    <t>写真業</t>
    <phoneticPr fontId="2"/>
  </si>
  <si>
    <t>写真業（商業写真業を除く）</t>
    <phoneticPr fontId="2"/>
  </si>
  <si>
    <t>商業写真業</t>
    <phoneticPr fontId="2"/>
  </si>
  <si>
    <t>その他の技術サービス業</t>
    <phoneticPr fontId="2"/>
  </si>
  <si>
    <t>75　　宿泊業</t>
    <phoneticPr fontId="2"/>
  </si>
  <si>
    <t>旅館，ホテル</t>
    <phoneticPr fontId="2"/>
  </si>
  <si>
    <t>簡易宿所</t>
    <phoneticPr fontId="2"/>
  </si>
  <si>
    <t>下宿業</t>
    <phoneticPr fontId="2"/>
  </si>
  <si>
    <t>その他の宿泊業</t>
    <phoneticPr fontId="2"/>
  </si>
  <si>
    <t>会社・団体の宿泊所</t>
    <phoneticPr fontId="2"/>
  </si>
  <si>
    <t>リゾートクラブ</t>
    <phoneticPr fontId="2"/>
  </si>
  <si>
    <t>他に分類されない宿泊業</t>
    <phoneticPr fontId="2"/>
  </si>
  <si>
    <t>76　　飲食店</t>
    <phoneticPr fontId="2"/>
  </si>
  <si>
    <t>食堂，レストラン（専門料理店を除く）</t>
    <phoneticPr fontId="2"/>
  </si>
  <si>
    <t>専門料理店</t>
    <phoneticPr fontId="2"/>
  </si>
  <si>
    <t>日本料理店</t>
    <phoneticPr fontId="2"/>
  </si>
  <si>
    <t>料亭</t>
    <phoneticPr fontId="2"/>
  </si>
  <si>
    <t>中華料理店</t>
    <phoneticPr fontId="2"/>
  </si>
  <si>
    <t>ラーメン店</t>
    <phoneticPr fontId="2"/>
  </si>
  <si>
    <t>焼肉店</t>
    <phoneticPr fontId="2"/>
  </si>
  <si>
    <t>その他の専門料理店</t>
    <phoneticPr fontId="2"/>
  </si>
  <si>
    <t>そば・うどん店</t>
    <phoneticPr fontId="2"/>
  </si>
  <si>
    <t>すし店</t>
    <phoneticPr fontId="2"/>
  </si>
  <si>
    <t>酒場，ビヤホール</t>
    <phoneticPr fontId="2"/>
  </si>
  <si>
    <t>バー，キャバレー，ナイトクラブ</t>
    <phoneticPr fontId="2"/>
  </si>
  <si>
    <t>喫茶店</t>
    <phoneticPr fontId="2"/>
  </si>
  <si>
    <t>その他の飲食店</t>
    <phoneticPr fontId="2"/>
  </si>
  <si>
    <t>ハンバーガー店</t>
    <phoneticPr fontId="2"/>
  </si>
  <si>
    <t>好み焼・焼きそば・たこ焼店</t>
    <phoneticPr fontId="2"/>
  </si>
  <si>
    <t>他に分類されない飲食店</t>
    <phoneticPr fontId="2"/>
  </si>
  <si>
    <t>77　　持ち帰り・配達飲食サービス業</t>
    <phoneticPr fontId="2"/>
  </si>
  <si>
    <t>持ち帰り飲食サービス業</t>
    <phoneticPr fontId="2"/>
  </si>
  <si>
    <t>配達飲食サービス業</t>
    <phoneticPr fontId="2"/>
  </si>
  <si>
    <t>78　　洗濯・理容・美容・浴場業</t>
    <phoneticPr fontId="2"/>
  </si>
  <si>
    <t>洗濯業</t>
    <phoneticPr fontId="2"/>
  </si>
  <si>
    <t>普通洗濯業</t>
    <phoneticPr fontId="2"/>
  </si>
  <si>
    <t>洗濯物取次業</t>
    <phoneticPr fontId="2"/>
  </si>
  <si>
    <t>リネンサプライ業</t>
    <phoneticPr fontId="2"/>
  </si>
  <si>
    <t>理容業</t>
    <phoneticPr fontId="2"/>
  </si>
  <si>
    <t>美容業</t>
    <phoneticPr fontId="2"/>
  </si>
  <si>
    <t>一般公衆浴場業</t>
    <phoneticPr fontId="2"/>
  </si>
  <si>
    <t>その他の公衆浴場業</t>
    <phoneticPr fontId="2"/>
  </si>
  <si>
    <t>その他の洗濯・理容・美容・浴場業</t>
    <phoneticPr fontId="2"/>
  </si>
  <si>
    <t>洗張・染物業</t>
    <phoneticPr fontId="2"/>
  </si>
  <si>
    <t>エステティック業</t>
    <phoneticPr fontId="2"/>
  </si>
  <si>
    <t>リラクゼーション業(手技を用いるもの)</t>
    <phoneticPr fontId="2"/>
  </si>
  <si>
    <t>ネイルサービス業</t>
    <phoneticPr fontId="2"/>
  </si>
  <si>
    <t>他に分類されない洗濯・理容・美容・浴場業</t>
    <phoneticPr fontId="2"/>
  </si>
  <si>
    <t>79　　その他の生活関連サービス業</t>
    <phoneticPr fontId="2"/>
  </si>
  <si>
    <t>旅行業</t>
    <phoneticPr fontId="2"/>
  </si>
  <si>
    <t>旅行業(旅行業者代理業を除く)</t>
    <phoneticPr fontId="2"/>
  </si>
  <si>
    <t>旅行業者代理業</t>
    <phoneticPr fontId="2"/>
  </si>
  <si>
    <t>家事サービス業</t>
    <phoneticPr fontId="2"/>
  </si>
  <si>
    <t>家事サービス業（住込みのもの）</t>
    <phoneticPr fontId="2"/>
  </si>
  <si>
    <t>家事サービス業（住込みでないもの）</t>
    <phoneticPr fontId="2"/>
  </si>
  <si>
    <t>衣服裁縫修理業</t>
    <phoneticPr fontId="2"/>
  </si>
  <si>
    <t>物品預り業</t>
    <phoneticPr fontId="2"/>
  </si>
  <si>
    <t>火葬・墓地管理業</t>
    <phoneticPr fontId="2"/>
  </si>
  <si>
    <t>火葬業</t>
    <phoneticPr fontId="2"/>
  </si>
  <si>
    <t>墓地管理業</t>
    <phoneticPr fontId="2"/>
  </si>
  <si>
    <t>冠婚葬祭業</t>
    <phoneticPr fontId="2"/>
  </si>
  <si>
    <t>葬儀業</t>
    <phoneticPr fontId="2"/>
  </si>
  <si>
    <t>結婚式場業</t>
    <phoneticPr fontId="2"/>
  </si>
  <si>
    <t>冠婚葬祭互助会</t>
    <phoneticPr fontId="2"/>
  </si>
  <si>
    <t>食品賃加工業</t>
    <phoneticPr fontId="2"/>
  </si>
  <si>
    <t>結婚相談業，結婚式場紹介業</t>
    <phoneticPr fontId="2"/>
  </si>
  <si>
    <t>写真プリント，現像・焼付業</t>
    <phoneticPr fontId="2"/>
  </si>
  <si>
    <t>他に分類されないその他の生活関連サービス業</t>
    <phoneticPr fontId="2"/>
  </si>
  <si>
    <t>80　　娯楽業</t>
    <phoneticPr fontId="2"/>
  </si>
  <si>
    <t>映画館</t>
    <phoneticPr fontId="2"/>
  </si>
  <si>
    <t>興行場（別掲を除く），興行団</t>
    <phoneticPr fontId="2"/>
  </si>
  <si>
    <t>劇場</t>
    <phoneticPr fontId="2"/>
  </si>
  <si>
    <t>興行場</t>
    <phoneticPr fontId="2"/>
  </si>
  <si>
    <t>劇団</t>
    <phoneticPr fontId="2"/>
  </si>
  <si>
    <t>楽団，舞踏団</t>
    <phoneticPr fontId="2"/>
  </si>
  <si>
    <t>演芸・スポーツ等興行団</t>
    <phoneticPr fontId="2"/>
  </si>
  <si>
    <t>競輪・競馬等の競走場，競技団</t>
    <phoneticPr fontId="2"/>
  </si>
  <si>
    <t>競輪場</t>
    <phoneticPr fontId="2"/>
  </si>
  <si>
    <t>競馬場</t>
    <phoneticPr fontId="2"/>
  </si>
  <si>
    <t>自動車・モータボートの競走場</t>
    <phoneticPr fontId="2"/>
  </si>
  <si>
    <t>競輪競技団</t>
    <phoneticPr fontId="2"/>
  </si>
  <si>
    <t>競馬競技団</t>
    <phoneticPr fontId="2"/>
  </si>
  <si>
    <t>自動車・モータボートの競技団</t>
    <phoneticPr fontId="2"/>
  </si>
  <si>
    <t>スポーツ施設提供業</t>
    <phoneticPr fontId="2"/>
  </si>
  <si>
    <t>スポーツ施設提供業（別掲を除く）</t>
    <phoneticPr fontId="2"/>
  </si>
  <si>
    <t>体育館</t>
    <phoneticPr fontId="2"/>
  </si>
  <si>
    <t>ゴルフ場</t>
    <phoneticPr fontId="2"/>
  </si>
  <si>
    <t>ゴルフ練習場</t>
    <phoneticPr fontId="2"/>
  </si>
  <si>
    <t>ボウリング場</t>
    <phoneticPr fontId="2"/>
  </si>
  <si>
    <t>テニス場</t>
    <phoneticPr fontId="2"/>
  </si>
  <si>
    <t>バッティング・テニス練習場</t>
    <phoneticPr fontId="2"/>
  </si>
  <si>
    <t>フィットネスクラブ</t>
    <phoneticPr fontId="2"/>
  </si>
  <si>
    <t>公園，遊園地</t>
    <phoneticPr fontId="2"/>
  </si>
  <si>
    <t>公園</t>
    <phoneticPr fontId="2"/>
  </si>
  <si>
    <t>遊園地（テーマパークを除く）</t>
    <phoneticPr fontId="2"/>
  </si>
  <si>
    <t>テーマパーク</t>
    <phoneticPr fontId="2"/>
  </si>
  <si>
    <t>遊戯場</t>
    <phoneticPr fontId="2"/>
  </si>
  <si>
    <t>ビリヤード場</t>
    <phoneticPr fontId="2"/>
  </si>
  <si>
    <t>囲碁・将棋所</t>
    <phoneticPr fontId="2"/>
  </si>
  <si>
    <t>マージャンクラブ</t>
    <phoneticPr fontId="2"/>
  </si>
  <si>
    <t>パチンコホール</t>
    <phoneticPr fontId="2"/>
  </si>
  <si>
    <t>ゲームセンター</t>
    <phoneticPr fontId="2"/>
  </si>
  <si>
    <t>その他の遊戯場</t>
    <phoneticPr fontId="2"/>
  </si>
  <si>
    <t>その他の娯楽業</t>
    <phoneticPr fontId="2"/>
  </si>
  <si>
    <t>ダンスホール</t>
    <phoneticPr fontId="2"/>
  </si>
  <si>
    <t>マリーナ業</t>
    <phoneticPr fontId="2"/>
  </si>
  <si>
    <t>遊漁船業</t>
    <phoneticPr fontId="2"/>
  </si>
  <si>
    <t>芸ぎ業</t>
    <phoneticPr fontId="2"/>
  </si>
  <si>
    <t>カラオケボックス業</t>
    <phoneticPr fontId="2"/>
  </si>
  <si>
    <t>娯楽に附帯するサービス業</t>
    <phoneticPr fontId="2"/>
  </si>
  <si>
    <t>他に分類されない娯楽業</t>
    <phoneticPr fontId="2"/>
  </si>
  <si>
    <t>81　　学校教育</t>
    <phoneticPr fontId="2"/>
  </si>
  <si>
    <t>幼稚園</t>
    <phoneticPr fontId="2"/>
  </si>
  <si>
    <t>小学校</t>
    <phoneticPr fontId="2"/>
  </si>
  <si>
    <t>中学校</t>
    <phoneticPr fontId="2"/>
  </si>
  <si>
    <t>高等学校</t>
    <phoneticPr fontId="2"/>
  </si>
  <si>
    <t>中等教育学校</t>
    <phoneticPr fontId="2"/>
  </si>
  <si>
    <t>特別支援学校</t>
    <phoneticPr fontId="2"/>
  </si>
  <si>
    <t>高等教育機関</t>
    <phoneticPr fontId="2"/>
  </si>
  <si>
    <t>大学</t>
    <phoneticPr fontId="2"/>
  </si>
  <si>
    <t>短期大学</t>
    <phoneticPr fontId="2"/>
  </si>
  <si>
    <t>高等専門学校</t>
    <phoneticPr fontId="2"/>
  </si>
  <si>
    <t>専修学校，各種学校</t>
    <phoneticPr fontId="2"/>
  </si>
  <si>
    <t>専修学校</t>
    <phoneticPr fontId="2"/>
  </si>
  <si>
    <t>各種学校</t>
    <phoneticPr fontId="2"/>
  </si>
  <si>
    <t>学校教育支援機関</t>
    <phoneticPr fontId="2"/>
  </si>
  <si>
    <t>幼保連携型認定こども園</t>
    <phoneticPr fontId="2"/>
  </si>
  <si>
    <t>82　　その他の教育，学習支援業</t>
    <phoneticPr fontId="2"/>
  </si>
  <si>
    <t>社会教育</t>
    <phoneticPr fontId="2"/>
  </si>
  <si>
    <t>公民館</t>
    <phoneticPr fontId="2"/>
  </si>
  <si>
    <t>図書館</t>
    <phoneticPr fontId="2"/>
  </si>
  <si>
    <t>博物館，美術館</t>
    <phoneticPr fontId="2"/>
  </si>
  <si>
    <t>動物園，植物園，水族館</t>
    <phoneticPr fontId="2"/>
  </si>
  <si>
    <t>青少年教育施設</t>
    <phoneticPr fontId="2"/>
  </si>
  <si>
    <t>社会通信教育</t>
    <phoneticPr fontId="2"/>
  </si>
  <si>
    <t>その他の社会教育</t>
    <phoneticPr fontId="2"/>
  </si>
  <si>
    <t>職業・教育支援施設</t>
    <phoneticPr fontId="2"/>
  </si>
  <si>
    <t>職員教育施設・支援業</t>
    <phoneticPr fontId="2"/>
  </si>
  <si>
    <t>職業訓練施設</t>
    <phoneticPr fontId="2"/>
  </si>
  <si>
    <t>その他の職業・教育支援施設</t>
    <phoneticPr fontId="2"/>
  </si>
  <si>
    <t>学習塾</t>
    <phoneticPr fontId="2"/>
  </si>
  <si>
    <t>教養・技能教授業</t>
    <phoneticPr fontId="2"/>
  </si>
  <si>
    <t>音楽教授業</t>
    <phoneticPr fontId="2"/>
  </si>
  <si>
    <t>書道教授業</t>
    <phoneticPr fontId="2"/>
  </si>
  <si>
    <t>生花・茶道教授業</t>
    <phoneticPr fontId="2"/>
  </si>
  <si>
    <t>そろばん教授業</t>
    <phoneticPr fontId="2"/>
  </si>
  <si>
    <t>外国語会話教授業</t>
    <phoneticPr fontId="2"/>
  </si>
  <si>
    <t>スポーツ・健康教授業</t>
    <phoneticPr fontId="2"/>
  </si>
  <si>
    <t>その他の教養・技能教授業</t>
    <phoneticPr fontId="2"/>
  </si>
  <si>
    <t>他に分類されない教育，学習支援業</t>
    <phoneticPr fontId="2"/>
  </si>
  <si>
    <t>83　　医療業</t>
    <phoneticPr fontId="2"/>
  </si>
  <si>
    <t>病院</t>
    <phoneticPr fontId="2"/>
  </si>
  <si>
    <t>一般病院</t>
    <phoneticPr fontId="2"/>
  </si>
  <si>
    <t>精神科病院</t>
    <phoneticPr fontId="2"/>
  </si>
  <si>
    <t>一般診療所</t>
    <phoneticPr fontId="2"/>
  </si>
  <si>
    <t>有床診療所</t>
    <phoneticPr fontId="2"/>
  </si>
  <si>
    <t>無床診療所</t>
    <phoneticPr fontId="2"/>
  </si>
  <si>
    <t>歯科診療所</t>
    <phoneticPr fontId="2"/>
  </si>
  <si>
    <t>助産・看護業</t>
    <phoneticPr fontId="2"/>
  </si>
  <si>
    <t>助産所</t>
    <phoneticPr fontId="2"/>
  </si>
  <si>
    <t>看護業</t>
    <phoneticPr fontId="2"/>
  </si>
  <si>
    <t>療術業</t>
    <phoneticPr fontId="2"/>
  </si>
  <si>
    <t>あん摩マッサージ指圧師・はり師・きゅう師・柔道整復師の施術所</t>
    <phoneticPr fontId="2"/>
  </si>
  <si>
    <t>その他の療術業</t>
    <phoneticPr fontId="2"/>
  </si>
  <si>
    <t>医療に附帯するサービス業</t>
    <phoneticPr fontId="2"/>
  </si>
  <si>
    <t>歯科技工所</t>
    <phoneticPr fontId="2"/>
  </si>
  <si>
    <t>その他の医療に附帯するサービス業</t>
    <phoneticPr fontId="2"/>
  </si>
  <si>
    <t>84　　保健衛生</t>
    <phoneticPr fontId="2"/>
  </si>
  <si>
    <t>保健所</t>
    <phoneticPr fontId="2"/>
  </si>
  <si>
    <t>健康相談施設</t>
    <phoneticPr fontId="2"/>
  </si>
  <si>
    <t>結核健康相談施設</t>
    <phoneticPr fontId="2"/>
  </si>
  <si>
    <t>精神保健相談施設</t>
    <phoneticPr fontId="2"/>
  </si>
  <si>
    <t>母子健康相談施設</t>
    <phoneticPr fontId="2"/>
  </si>
  <si>
    <t>その他の健康相談施設</t>
    <phoneticPr fontId="2"/>
  </si>
  <si>
    <t>その他の保健衛生</t>
    <phoneticPr fontId="2"/>
  </si>
  <si>
    <t>検疫所（動物検疫所，植物防疫所を除く）</t>
    <phoneticPr fontId="2"/>
  </si>
  <si>
    <t>検査業</t>
    <phoneticPr fontId="2"/>
  </si>
  <si>
    <t>消毒業</t>
    <phoneticPr fontId="2"/>
  </si>
  <si>
    <t>他に分類されない保健衛生</t>
    <phoneticPr fontId="2"/>
  </si>
  <si>
    <t>85　　社会保険・社会福祉・介護事業</t>
    <phoneticPr fontId="2"/>
  </si>
  <si>
    <t>社会保険事業団体</t>
    <phoneticPr fontId="2"/>
  </si>
  <si>
    <t>福祉事務所</t>
    <phoneticPr fontId="2"/>
  </si>
  <si>
    <t>児童福祉事業</t>
    <phoneticPr fontId="2"/>
  </si>
  <si>
    <t>保育所</t>
    <phoneticPr fontId="2"/>
  </si>
  <si>
    <t>その他の児童福祉事業</t>
    <phoneticPr fontId="2"/>
  </si>
  <si>
    <t>老人福祉・介護事業</t>
    <phoneticPr fontId="2"/>
  </si>
  <si>
    <t>特別養護老人ホーム</t>
    <phoneticPr fontId="2"/>
  </si>
  <si>
    <t>介護老人保健施設</t>
    <phoneticPr fontId="2"/>
  </si>
  <si>
    <t>通所・短期入所介護事業</t>
    <phoneticPr fontId="2"/>
  </si>
  <si>
    <t>訪問介護事業</t>
    <phoneticPr fontId="2"/>
  </si>
  <si>
    <t>認知症老人グループホーム</t>
    <phoneticPr fontId="2"/>
  </si>
  <si>
    <t>有料老人ホーム</t>
    <phoneticPr fontId="2"/>
  </si>
  <si>
    <t>その他の老人福祉・介護事業</t>
    <phoneticPr fontId="2"/>
  </si>
  <si>
    <t>障害者福祉事業</t>
    <phoneticPr fontId="2"/>
  </si>
  <si>
    <t>居住支援事業</t>
    <phoneticPr fontId="2"/>
  </si>
  <si>
    <t>その他の障害者福祉事業</t>
    <phoneticPr fontId="2"/>
  </si>
  <si>
    <t>その他の社会保険・社会福祉・介護事業</t>
    <phoneticPr fontId="2"/>
  </si>
  <si>
    <t>更生保護事業</t>
    <phoneticPr fontId="2"/>
  </si>
  <si>
    <t>他に分類されない社会保険・社会福祉・介護事業</t>
    <phoneticPr fontId="2"/>
  </si>
  <si>
    <t>86　　郵便局</t>
    <phoneticPr fontId="2"/>
  </si>
  <si>
    <t>郵便局</t>
    <phoneticPr fontId="2"/>
  </si>
  <si>
    <t>郵便局受託業</t>
    <phoneticPr fontId="2"/>
  </si>
  <si>
    <t>簡易郵便局</t>
    <phoneticPr fontId="2"/>
  </si>
  <si>
    <t>その他の郵便局受託業</t>
    <phoneticPr fontId="2"/>
  </si>
  <si>
    <t>87　　協同組合（他に分類されないもの）</t>
    <phoneticPr fontId="2"/>
  </si>
  <si>
    <t>農林水産業協同組合（他に分類されないもの）</t>
    <phoneticPr fontId="2"/>
  </si>
  <si>
    <t>農業協同組合（他に分類されないもの）</t>
    <phoneticPr fontId="2"/>
  </si>
  <si>
    <t>漁業協同組合（他に分類されないもの）</t>
    <phoneticPr fontId="2"/>
  </si>
  <si>
    <t>水産加工業協同組合（他に分類されないもの）</t>
    <phoneticPr fontId="2"/>
  </si>
  <si>
    <t>森林組合（他に分類されないもの）</t>
    <phoneticPr fontId="2"/>
  </si>
  <si>
    <t>事業協同組合（他に分類されないもの）</t>
    <phoneticPr fontId="2"/>
  </si>
  <si>
    <t>88　　廃棄物処理業</t>
    <phoneticPr fontId="2"/>
  </si>
  <si>
    <t>一般廃棄物処理業</t>
    <phoneticPr fontId="2"/>
  </si>
  <si>
    <t>し尿収集運搬業</t>
    <phoneticPr fontId="2"/>
  </si>
  <si>
    <t>し尿処分業</t>
    <phoneticPr fontId="2"/>
  </si>
  <si>
    <t>浄化槽清掃業</t>
    <phoneticPr fontId="2"/>
  </si>
  <si>
    <t>浄化槽保守点検業</t>
    <phoneticPr fontId="2"/>
  </si>
  <si>
    <t>ごみ収集運搬業</t>
    <phoneticPr fontId="2"/>
  </si>
  <si>
    <t>ごみ処分業</t>
    <phoneticPr fontId="2"/>
  </si>
  <si>
    <t>清掃事務所</t>
    <phoneticPr fontId="2"/>
  </si>
  <si>
    <t>産業廃棄物処理業</t>
    <phoneticPr fontId="2"/>
  </si>
  <si>
    <t>産業廃棄物収集運搬業</t>
    <phoneticPr fontId="2"/>
  </si>
  <si>
    <t>産業廃棄物処分業</t>
    <phoneticPr fontId="2"/>
  </si>
  <si>
    <t>特別管理産業廃棄物収集運搬業</t>
    <phoneticPr fontId="2"/>
  </si>
  <si>
    <t>特別管理産業廃棄物処分業</t>
    <phoneticPr fontId="2"/>
  </si>
  <si>
    <t>その他の廃棄物処理業</t>
    <phoneticPr fontId="2"/>
  </si>
  <si>
    <t>死亡獣畜取扱業</t>
    <phoneticPr fontId="2"/>
  </si>
  <si>
    <t>他に分類されない廃棄物処理業</t>
    <phoneticPr fontId="2"/>
  </si>
  <si>
    <t>89　　自動車整備業</t>
    <phoneticPr fontId="2"/>
  </si>
  <si>
    <t>自動車整備業</t>
    <phoneticPr fontId="2"/>
  </si>
  <si>
    <t>自動車一般整備業</t>
    <phoneticPr fontId="2"/>
  </si>
  <si>
    <t>その他の自動車整備業</t>
    <phoneticPr fontId="2"/>
  </si>
  <si>
    <t>90　　機械等修理業（別掲を除く）</t>
    <phoneticPr fontId="2"/>
  </si>
  <si>
    <t>機械修理業（電気機械器具を除く）</t>
    <phoneticPr fontId="2"/>
  </si>
  <si>
    <t>一般機械修理業（建設・鉱山機械を除く）</t>
    <phoneticPr fontId="2"/>
  </si>
  <si>
    <t>建設・鉱山機械整備業</t>
    <phoneticPr fontId="2"/>
  </si>
  <si>
    <t>電気機械器具修理業</t>
    <phoneticPr fontId="2"/>
  </si>
  <si>
    <t>表具業</t>
    <phoneticPr fontId="2"/>
  </si>
  <si>
    <t>その他の修理業</t>
    <phoneticPr fontId="2"/>
  </si>
  <si>
    <t>家具修理業</t>
    <phoneticPr fontId="2"/>
  </si>
  <si>
    <t>時計修理業</t>
    <phoneticPr fontId="2"/>
  </si>
  <si>
    <t>履物修理業</t>
    <phoneticPr fontId="2"/>
  </si>
  <si>
    <t>かじ業</t>
    <phoneticPr fontId="2"/>
  </si>
  <si>
    <t>他に分類されない修理業</t>
    <phoneticPr fontId="2"/>
  </si>
  <si>
    <t>91　　職業紹介・労働者派遣業</t>
    <phoneticPr fontId="2"/>
  </si>
  <si>
    <t>職業紹介業</t>
    <phoneticPr fontId="2"/>
  </si>
  <si>
    <t>労働者派遣業</t>
    <phoneticPr fontId="2"/>
  </si>
  <si>
    <t>92　　その他の事業サービス業</t>
    <phoneticPr fontId="2"/>
  </si>
  <si>
    <t>速記・ワープロ入力・複写業</t>
    <phoneticPr fontId="2"/>
  </si>
  <si>
    <t>速記・ワープロ入力業</t>
    <phoneticPr fontId="2"/>
  </si>
  <si>
    <t>複写業</t>
    <phoneticPr fontId="2"/>
  </si>
  <si>
    <t>建物サービス業</t>
    <phoneticPr fontId="2"/>
  </si>
  <si>
    <t>ビルメンテナンス業</t>
    <phoneticPr fontId="2"/>
  </si>
  <si>
    <t>その他の建物サービス業</t>
    <phoneticPr fontId="2"/>
  </si>
  <si>
    <t>警備業</t>
    <phoneticPr fontId="2"/>
  </si>
  <si>
    <t>他に分類されない事業サービス業</t>
    <phoneticPr fontId="2"/>
  </si>
  <si>
    <t>ディスプレイ業</t>
    <phoneticPr fontId="2"/>
  </si>
  <si>
    <t>産業用設備洗浄業</t>
    <phoneticPr fontId="2"/>
  </si>
  <si>
    <t>看板書き業</t>
    <phoneticPr fontId="2"/>
  </si>
  <si>
    <t>コールセンター業</t>
    <phoneticPr fontId="2"/>
  </si>
  <si>
    <t>他に分類されないその他の事業サービス業</t>
    <phoneticPr fontId="2"/>
  </si>
  <si>
    <t>93　　政治・経済・文化団体</t>
    <phoneticPr fontId="2"/>
  </si>
  <si>
    <t>経済団体</t>
    <phoneticPr fontId="2"/>
  </si>
  <si>
    <t>実業団体</t>
    <phoneticPr fontId="2"/>
  </si>
  <si>
    <t>同業団体</t>
    <phoneticPr fontId="2"/>
  </si>
  <si>
    <t>労働団体</t>
    <phoneticPr fontId="2"/>
  </si>
  <si>
    <t>学術・文化団体</t>
    <phoneticPr fontId="2"/>
  </si>
  <si>
    <t>学術団体</t>
    <phoneticPr fontId="2"/>
  </si>
  <si>
    <t>文化団体</t>
    <phoneticPr fontId="2"/>
  </si>
  <si>
    <t>政治団体</t>
    <phoneticPr fontId="2"/>
  </si>
  <si>
    <t>他に分類されない非営利的団体</t>
    <phoneticPr fontId="2"/>
  </si>
  <si>
    <t>94　　宗教</t>
    <phoneticPr fontId="2"/>
  </si>
  <si>
    <t>神道系宗教</t>
    <phoneticPr fontId="2"/>
  </si>
  <si>
    <t>神社，神道教会</t>
    <phoneticPr fontId="2"/>
  </si>
  <si>
    <t>教派事務所</t>
    <phoneticPr fontId="2"/>
  </si>
  <si>
    <t>仏教系宗教</t>
    <phoneticPr fontId="2"/>
  </si>
  <si>
    <t>寺院，仏教教会</t>
    <phoneticPr fontId="2"/>
  </si>
  <si>
    <t>宗派事務所</t>
    <phoneticPr fontId="2"/>
  </si>
  <si>
    <t>キリスト教系宗教</t>
    <phoneticPr fontId="2"/>
  </si>
  <si>
    <t>キリスト教教会，修道院</t>
    <phoneticPr fontId="2"/>
  </si>
  <si>
    <t>教団事務所</t>
    <phoneticPr fontId="2"/>
  </si>
  <si>
    <t>その他の宗教</t>
    <phoneticPr fontId="2"/>
  </si>
  <si>
    <t>その他の宗教の教会</t>
    <phoneticPr fontId="2"/>
  </si>
  <si>
    <t>その他の宗教の教団事務所</t>
    <phoneticPr fontId="2"/>
  </si>
  <si>
    <t>95　　その他のサービス業</t>
    <phoneticPr fontId="2"/>
  </si>
  <si>
    <t>集会場</t>
    <phoneticPr fontId="2"/>
  </si>
  <si>
    <t>と畜場</t>
    <phoneticPr fontId="2"/>
  </si>
  <si>
    <t>他に分類されないサービス業</t>
    <phoneticPr fontId="2"/>
  </si>
  <si>
    <t>96　　外国公務</t>
    <phoneticPr fontId="2"/>
  </si>
  <si>
    <t>外国公館</t>
    <phoneticPr fontId="2"/>
  </si>
  <si>
    <t>その他の外国公務</t>
    <phoneticPr fontId="2"/>
  </si>
  <si>
    <t>97　　国家公務</t>
    <phoneticPr fontId="2"/>
  </si>
  <si>
    <t>立法機関</t>
    <phoneticPr fontId="2"/>
  </si>
  <si>
    <t>司法機関</t>
    <phoneticPr fontId="2"/>
  </si>
  <si>
    <t>行政機関</t>
    <phoneticPr fontId="2"/>
  </si>
  <si>
    <t>98　　地方公務</t>
    <phoneticPr fontId="2"/>
  </si>
  <si>
    <t>都道府県機関</t>
    <phoneticPr fontId="2"/>
  </si>
  <si>
    <t>市町村機関</t>
    <phoneticPr fontId="2"/>
  </si>
  <si>
    <t>99　分類不能の産業</t>
    <phoneticPr fontId="2"/>
  </si>
  <si>
    <t>～</t>
    <phoneticPr fontId="2"/>
  </si>
  <si>
    <t>～</t>
    <phoneticPr fontId="2"/>
  </si>
  <si>
    <t>実績報告書（2020年度実績）</t>
    <phoneticPr fontId="2"/>
  </si>
  <si>
    <t>実績報告書（2023年度実績）</t>
    <phoneticPr fontId="2"/>
  </si>
  <si>
    <t>実績報告書（2024年度実績）</t>
    <phoneticPr fontId="2"/>
  </si>
  <si>
    <t>↓対象事業者となった年月（2019以前と入力した場合は便宜的に2019.12.31とした）</t>
    <rPh sb="1" eb="3">
      <t>タイショウ</t>
    </rPh>
    <rPh sb="3" eb="6">
      <t>ジギョウシャ</t>
    </rPh>
    <rPh sb="10" eb="12">
      <t>ネンゲツ</t>
    </rPh>
    <rPh sb="17" eb="19">
      <t>イゼン</t>
    </rPh>
    <rPh sb="20" eb="22">
      <t>ニュウリョク</t>
    </rPh>
    <rPh sb="24" eb="26">
      <t>バアイ</t>
    </rPh>
    <rPh sb="27" eb="30">
      <t>ベンギテキ</t>
    </rPh>
    <phoneticPr fontId="2"/>
  </si>
  <si>
    <t>新長期</t>
    <rPh sb="0" eb="3">
      <t>シンチョウキ</t>
    </rPh>
    <phoneticPr fontId="3"/>
  </si>
  <si>
    <t>神奈川県 環境農政局 環境部 環境課　大気・交通環境グループ</t>
    <rPh sb="15" eb="17">
      <t>カンキョウ</t>
    </rPh>
    <rPh sb="19" eb="21">
      <t>タイキ</t>
    </rPh>
    <rPh sb="22" eb="24">
      <t>コウツウ</t>
    </rPh>
    <rPh sb="24" eb="26">
      <t>カンキョウ</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</si>
</sst>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76" formatCode="0.000"/>
    <numFmt numFmtId="177" formatCode="0.00_ "/>
    <numFmt numFmtId="178" formatCode="0.00_);[Red]\(0.00\)"/>
    <numFmt numFmtId="179" formatCode="[$-411]ggge&quot;年&quot;m&quot;月&quot;"/>
    <numFmt numFmtId="180" formatCode="0_);[Red]\(0\)"/>
    <numFmt numFmtId="181" formatCode="0_ "/>
    <numFmt numFmtId="182" formatCode="#,##0_ "/>
    <numFmt numFmtId="183" formatCode="#,##0_);[Red]\(#,##0\)"/>
    <numFmt numFmtId="184" formatCode="&quot;平成&quot;0&quot;年度&quot;"/>
    <numFmt numFmtId="185" formatCode="#,##0.0_);[Red]\(#,##0.0\)"/>
    <numFmt numFmtId="186" formatCode="[&lt;=999]000;[&lt;=9999]000\-00;000\-0000"/>
    <numFmt numFmtId="187" formatCode="#,##0.00_ "/>
    <numFmt numFmtId="188" formatCode="#,##0.00_);[Red]\(#,##0.00\)"/>
    <numFmt numFmtId="189" formatCode="[$-411]ge\.m\.d;@"/>
    <numFmt numFmtId="190" formatCode="0&quot;年度&quot;"/>
    <numFmt numFmtId="191" formatCode="[$-F800]dddd\,\ mmmm\ dd\,\ yyyy"/>
  </numFmts>
  <fonts count="79">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14"/>
      <name val="ＭＳ Ｐゴシック"/>
      <family val="3"/>
      <charset val="128"/>
    </font>
    <font>
      <sz val="9"/>
      <name val="ＭＳ Ｐゴシック"/>
      <family val="3"/>
      <charset val="128"/>
    </font>
    <font>
      <sz val="8"/>
      <name val="ＭＳ Ｐ明朝"/>
      <family val="1"/>
      <charset val="128"/>
    </font>
    <font>
      <sz val="10.5"/>
      <name val="ＭＳ 明朝"/>
      <family val="1"/>
      <charset val="128"/>
    </font>
    <font>
      <sz val="14"/>
      <name val="ＭＳ 明朝"/>
      <family val="1"/>
      <charset val="128"/>
    </font>
    <font>
      <sz val="10"/>
      <name val="ＭＳ 明朝"/>
      <family val="1"/>
      <charset val="128"/>
    </font>
    <font>
      <sz val="9"/>
      <name val="ＭＳ 明朝"/>
      <family val="1"/>
      <charset val="128"/>
    </font>
    <font>
      <sz val="12"/>
      <name val="ＭＳ Ｐゴシック"/>
      <family val="3"/>
      <charset val="128"/>
    </font>
    <font>
      <sz val="9"/>
      <color indexed="81"/>
      <name val="ＭＳ Ｐゴシック"/>
      <family val="3"/>
      <charset val="128"/>
    </font>
    <font>
      <b/>
      <sz val="14"/>
      <name val="ＭＳ Ｐゴシック"/>
      <family val="3"/>
      <charset val="128"/>
    </font>
    <font>
      <sz val="6"/>
      <name val="ＭＳ 明朝"/>
      <family val="1"/>
      <charset val="128"/>
    </font>
    <font>
      <b/>
      <sz val="16"/>
      <name val="ＭＳ Ｐゴシック"/>
      <family val="3"/>
      <charset val="128"/>
    </font>
    <font>
      <sz val="8"/>
      <name val="ＭＳ 明朝"/>
      <family val="1"/>
      <charset val="128"/>
    </font>
    <font>
      <u/>
      <sz val="11"/>
      <color indexed="12"/>
      <name val="ＭＳ Ｐゴシック"/>
      <family val="3"/>
      <charset val="128"/>
    </font>
    <font>
      <sz val="11"/>
      <color indexed="10"/>
      <name val="ＭＳ Ｐゴシック"/>
      <family val="3"/>
      <charset val="128"/>
    </font>
    <font>
      <sz val="11"/>
      <name val="ＭＳ Ｐゴシック"/>
      <family val="3"/>
      <charset val="128"/>
    </font>
    <font>
      <vertAlign val="subscript"/>
      <sz val="8"/>
      <name val="ＭＳ Ｐゴシック"/>
      <family val="3"/>
      <charset val="128"/>
    </font>
    <font>
      <vertAlign val="subscript"/>
      <sz val="11"/>
      <name val="ＭＳ Ｐゴシック"/>
      <family val="3"/>
      <charset val="128"/>
    </font>
    <font>
      <b/>
      <sz val="9"/>
      <color indexed="81"/>
      <name val="ＭＳ Ｐゴシック"/>
      <family val="3"/>
      <charset val="128"/>
    </font>
    <font>
      <sz val="10.5"/>
      <name val="ＭＳ ゴシック"/>
      <family val="3"/>
      <charset val="128"/>
    </font>
    <font>
      <b/>
      <sz val="11"/>
      <name val="ＭＳ Ｐゴシック"/>
      <family val="3"/>
      <charset val="128"/>
    </font>
    <font>
      <sz val="12"/>
      <name val="ＭＳ 明朝"/>
      <family val="1"/>
      <charset val="128"/>
    </font>
    <font>
      <b/>
      <sz val="14"/>
      <color indexed="10"/>
      <name val="ＭＳ Ｐゴシック"/>
      <family val="3"/>
      <charset val="128"/>
    </font>
    <font>
      <vertAlign val="subscript"/>
      <sz val="10"/>
      <name val="ＭＳ Ｐゴシック"/>
      <family val="3"/>
      <charset val="128"/>
    </font>
    <font>
      <sz val="12"/>
      <color indexed="10"/>
      <name val="ＭＳ Ｐゴシック"/>
      <family val="3"/>
      <charset val="128"/>
    </font>
    <font>
      <sz val="11"/>
      <name val="ＭＳ 明朝"/>
      <family val="1"/>
      <charset val="128"/>
    </font>
    <font>
      <sz val="11"/>
      <color indexed="9"/>
      <name val="ＭＳ Ｐゴシック"/>
      <family val="3"/>
      <charset val="128"/>
    </font>
    <font>
      <b/>
      <sz val="10"/>
      <name val="ＭＳ Ｐゴシック"/>
      <family val="3"/>
      <charset val="128"/>
    </font>
    <font>
      <sz val="12"/>
      <color indexed="10"/>
      <name val="ＭＳ 明朝"/>
      <family val="1"/>
      <charset val="128"/>
    </font>
    <font>
      <sz val="11"/>
      <color indexed="22"/>
      <name val="ＭＳ Ｐゴシック"/>
      <family val="3"/>
      <charset val="128"/>
    </font>
    <font>
      <sz val="10"/>
      <color indexed="10"/>
      <name val="ＭＳ Ｐゴシック"/>
      <family val="3"/>
      <charset val="128"/>
    </font>
    <font>
      <sz val="8"/>
      <color indexed="10"/>
      <name val="ＭＳ Ｐゴシック"/>
      <family val="3"/>
      <charset val="128"/>
    </font>
    <font>
      <b/>
      <sz val="8"/>
      <name val="ＭＳ Ｐゴシック"/>
      <family val="3"/>
      <charset val="128"/>
    </font>
    <font>
      <u/>
      <sz val="10"/>
      <color indexed="12"/>
      <name val="ＭＳ Ｐゴシック"/>
      <family val="3"/>
      <charset val="128"/>
    </font>
    <font>
      <sz val="10.5"/>
      <name val="ＭＳ Ｐ明朝"/>
      <family val="1"/>
      <charset val="128"/>
    </font>
    <font>
      <b/>
      <sz val="12"/>
      <name val="ＭＳ Ｐゴシック"/>
      <family val="3"/>
      <charset val="128"/>
    </font>
    <font>
      <sz val="12"/>
      <name val="ＭＳ ゴシック"/>
      <family val="3"/>
      <charset val="128"/>
    </font>
    <font>
      <sz val="10"/>
      <name val="ＭＳ ゴシック"/>
      <family val="3"/>
      <charset val="128"/>
    </font>
    <font>
      <b/>
      <sz val="14"/>
      <name val="ＭＳ ゴシック"/>
      <family val="3"/>
      <charset val="128"/>
    </font>
    <font>
      <b/>
      <sz val="9"/>
      <name val="ＭＳ Ｐゴシック"/>
      <family val="3"/>
      <charset val="128"/>
    </font>
    <font>
      <sz val="7"/>
      <name val="ＭＳ Ｐゴシック"/>
      <family val="3"/>
      <charset val="128"/>
    </font>
    <font>
      <sz val="11"/>
      <name val="ＭＳ ゴシック"/>
      <family val="3"/>
      <charset val="128"/>
    </font>
    <font>
      <vertAlign val="superscript"/>
      <sz val="9"/>
      <color indexed="81"/>
      <name val="ＭＳ Ｐゴシック"/>
      <family val="3"/>
      <charset val="128"/>
    </font>
    <font>
      <sz val="9"/>
      <name val="ＭＳ ゴシック"/>
      <family val="3"/>
      <charset val="128"/>
    </font>
    <font>
      <b/>
      <sz val="12"/>
      <name val="ＭＳ 明朝"/>
      <family val="1"/>
      <charset val="128"/>
    </font>
    <font>
      <sz val="12"/>
      <color rgb="FF9C0006"/>
      <name val="ＭＳ 明朝"/>
      <family val="1"/>
      <charset val="128"/>
    </font>
    <font>
      <sz val="12"/>
      <color rgb="FFFF0000"/>
      <name val="ＭＳ 明朝"/>
      <family val="1"/>
      <charset val="128"/>
    </font>
    <font>
      <b/>
      <sz val="10.5"/>
      <color rgb="FFFF0000"/>
      <name val="ＭＳ 明朝"/>
      <family val="1"/>
      <charset val="128"/>
    </font>
    <font>
      <sz val="11"/>
      <color rgb="FFFF0000"/>
      <name val="ＭＳ Ｐゴシック"/>
      <family val="3"/>
      <charset val="128"/>
    </font>
    <font>
      <sz val="10.5"/>
      <color theme="1"/>
      <name val="ＭＳ 明朝"/>
      <family val="1"/>
      <charset val="128"/>
    </font>
    <font>
      <sz val="11"/>
      <color theme="1"/>
      <name val="ＭＳ Ｐゴシック"/>
      <family val="3"/>
      <charset val="128"/>
    </font>
    <font>
      <sz val="10.5"/>
      <color rgb="FFFF0000"/>
      <name val="ＭＳ Ｐ明朝"/>
      <family val="1"/>
      <charset val="128"/>
    </font>
    <font>
      <b/>
      <sz val="11"/>
      <color rgb="FFFF0000"/>
      <name val="ＭＳ Ｐゴシック"/>
      <family val="3"/>
      <charset val="128"/>
    </font>
    <font>
      <sz val="10.5"/>
      <name val="ＭＳ Ｐゴシック"/>
      <family val="3"/>
      <charset val="128"/>
      <scheme val="minor"/>
    </font>
    <font>
      <sz val="10"/>
      <color rgb="FFFF0000"/>
      <name val="ＭＳ Ｐゴシック"/>
      <family val="3"/>
      <charset val="128"/>
    </font>
    <font>
      <b/>
      <sz val="12"/>
      <color rgb="FFFF0000"/>
      <name val="ＭＳ Ｐゴシック"/>
      <family val="3"/>
      <charset val="128"/>
    </font>
    <font>
      <b/>
      <sz val="16"/>
      <color rgb="FFFF0000"/>
      <name val="ＭＳ Ｐゴシック"/>
      <family val="3"/>
      <charset val="128"/>
    </font>
    <font>
      <b/>
      <sz val="10"/>
      <color rgb="FFFF0000"/>
      <name val="ＭＳ Ｐゴシック"/>
      <family val="3"/>
      <charset val="128"/>
    </font>
    <font>
      <sz val="11"/>
      <name val="ＭＳ Ｐゴシック"/>
      <family val="3"/>
      <charset val="128"/>
      <scheme val="major"/>
    </font>
    <font>
      <sz val="12"/>
      <color rgb="FF9C0006"/>
      <name val="ＭＳ Ｐゴシック"/>
      <family val="3"/>
      <charset val="128"/>
      <scheme val="major"/>
    </font>
    <font>
      <sz val="8"/>
      <color rgb="FFFF0000"/>
      <name val="ＭＳ Ｐゴシック"/>
      <family val="3"/>
      <charset val="128"/>
    </font>
    <font>
      <b/>
      <sz val="8"/>
      <color rgb="FFFF0000"/>
      <name val="ＭＳ Ｐ明朝"/>
      <family val="1"/>
      <charset val="128"/>
    </font>
    <font>
      <sz val="8"/>
      <color theme="1"/>
      <name val="ＭＳ Ｐゴシック"/>
      <family val="3"/>
      <charset val="128"/>
    </font>
    <font>
      <sz val="10.5"/>
      <color theme="1"/>
      <name val="ＭＳ Ｐゴシック"/>
      <family val="3"/>
      <charset val="128"/>
    </font>
    <font>
      <sz val="6"/>
      <color rgb="FFFF0000"/>
      <name val="ＭＳ Ｐゴシック"/>
      <family val="3"/>
      <charset val="128"/>
    </font>
    <font>
      <sz val="11"/>
      <color theme="0"/>
      <name val="ＭＳ Ｐゴシック"/>
      <family val="3"/>
      <charset val="128"/>
    </font>
    <font>
      <sz val="10"/>
      <color rgb="FF0070C0"/>
      <name val="ＭＳ Ｐゴシック"/>
      <family val="3"/>
      <charset val="128"/>
    </font>
    <font>
      <vertAlign val="subscript"/>
      <sz val="12"/>
      <color indexed="10"/>
      <name val="ＭＳ Ｐゴシック"/>
      <family val="3"/>
      <charset val="128"/>
    </font>
    <font>
      <sz val="11"/>
      <color theme="3"/>
      <name val="ＭＳ Ｐゴシック"/>
      <family val="3"/>
      <charset val="128"/>
    </font>
    <font>
      <sz val="11"/>
      <color theme="8" tint="-0.499984740745262"/>
      <name val="ＭＳ Ｐゴシック"/>
      <family val="3"/>
      <charset val="128"/>
    </font>
    <font>
      <sz val="9"/>
      <color indexed="8"/>
      <name val="ＭＳ Ｐゴシック"/>
      <family val="3"/>
      <charset val="128"/>
    </font>
    <font>
      <sz val="10"/>
      <color indexed="8"/>
      <name val="ＭＳ Ｐゴシック"/>
      <family val="3"/>
      <charset val="128"/>
    </font>
    <font>
      <vertAlign val="subscript"/>
      <sz val="9"/>
      <name val="ＭＳ Ｐゴシック"/>
      <family val="3"/>
      <charset val="128"/>
    </font>
    <font>
      <vertAlign val="superscript"/>
      <sz val="9"/>
      <name val="ＭＳ Ｐゴシック"/>
      <family val="3"/>
      <charset val="128"/>
    </font>
  </fonts>
  <fills count="3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darkGrid">
        <fgColor indexed="43"/>
        <bgColor indexed="9"/>
      </patternFill>
    </fill>
    <fill>
      <patternFill patternType="lightGrid">
        <fgColor indexed="47"/>
        <bgColor indexed="9"/>
      </patternFill>
    </fill>
    <fill>
      <patternFill patternType="lightUp">
        <fgColor indexed="46"/>
        <bgColor indexed="9"/>
      </patternFill>
    </fill>
    <fill>
      <patternFill patternType="solid">
        <fgColor indexed="41"/>
        <bgColor indexed="9"/>
      </patternFill>
    </fill>
    <fill>
      <patternFill patternType="solid">
        <fgColor indexed="41"/>
        <bgColor indexed="41"/>
      </patternFill>
    </fill>
    <fill>
      <patternFill patternType="solid">
        <fgColor indexed="41"/>
        <bgColor indexed="64"/>
      </patternFill>
    </fill>
    <fill>
      <patternFill patternType="solid">
        <fgColor indexed="26"/>
        <bgColor indexed="64"/>
      </patternFill>
    </fill>
    <fill>
      <patternFill patternType="solid">
        <fgColor rgb="FFFFC7CE"/>
      </patternFill>
    </fill>
    <fill>
      <patternFill patternType="solid">
        <fgColor theme="1"/>
        <bgColor indexed="64"/>
      </patternFill>
    </fill>
    <fill>
      <patternFill patternType="darkGrid">
        <fgColor indexed="43"/>
        <bgColor theme="0" tint="-0.249977111117893"/>
      </patternFill>
    </fill>
    <fill>
      <patternFill patternType="solid">
        <fgColor theme="0" tint="-0.249977111117893"/>
        <bgColor indexed="41"/>
      </patternFill>
    </fill>
    <fill>
      <patternFill patternType="solid">
        <fgColor theme="0" tint="-0.14999847407452621"/>
        <bgColor indexed="64"/>
      </patternFill>
    </fill>
    <fill>
      <patternFill patternType="solid">
        <fgColor rgb="FFCCFFCC"/>
        <bgColor indexed="64"/>
      </patternFill>
    </fill>
    <fill>
      <patternFill patternType="solid">
        <fgColor rgb="FFFFFF00"/>
        <bgColor indexed="64"/>
      </patternFill>
    </fill>
    <fill>
      <patternFill patternType="solid">
        <fgColor rgb="FFCCFFFF"/>
        <bgColor indexed="64"/>
      </patternFill>
    </fill>
    <fill>
      <patternFill patternType="solid">
        <fgColor rgb="FFFF0000"/>
        <bgColor indexed="64"/>
      </patternFill>
    </fill>
    <fill>
      <patternFill patternType="solid">
        <fgColor rgb="FFFF99FF"/>
        <bgColor indexed="64"/>
      </patternFill>
    </fill>
    <fill>
      <patternFill patternType="solid">
        <fgColor rgb="FF66FFFF"/>
        <bgColor indexed="64"/>
      </patternFill>
    </fill>
    <fill>
      <patternFill patternType="solid">
        <fgColor rgb="FFFFCC66"/>
        <bgColor indexed="64"/>
      </patternFill>
    </fill>
    <fill>
      <patternFill patternType="solid">
        <fgColor rgb="FF99FF99"/>
        <bgColor indexed="64"/>
      </patternFill>
    </fill>
    <fill>
      <patternFill patternType="solid">
        <fgColor theme="0" tint="-0.249977111117893"/>
        <bgColor indexed="64"/>
      </patternFill>
    </fill>
    <fill>
      <patternFill patternType="lightUp">
        <fgColor rgb="FF00B050"/>
        <bgColor indexed="9"/>
      </patternFill>
    </fill>
    <fill>
      <patternFill patternType="solid">
        <fgColor theme="8" tint="0.59999389629810485"/>
        <bgColor indexed="64"/>
      </patternFill>
    </fill>
    <fill>
      <patternFill patternType="solid">
        <fgColor rgb="FFFFFFCC"/>
        <bgColor indexed="64"/>
      </patternFill>
    </fill>
    <fill>
      <patternFill patternType="solid">
        <fgColor rgb="FFB7DEE8"/>
        <bgColor indexed="64"/>
      </patternFill>
    </fill>
    <fill>
      <patternFill patternType="solid">
        <fgColor rgb="FF92D050"/>
        <bgColor indexed="64"/>
      </patternFill>
    </fill>
    <fill>
      <patternFill patternType="solid">
        <fgColor rgb="FFCCCCFF"/>
        <bgColor indexed="64"/>
      </patternFill>
    </fill>
  </fills>
  <borders count="2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style="hair">
        <color indexed="64"/>
      </top>
      <bottom style="hair">
        <color indexed="64"/>
      </bottom>
      <diagonal/>
    </border>
    <border>
      <left/>
      <right style="medium">
        <color indexed="64"/>
      </right>
      <top style="thin">
        <color indexed="64"/>
      </top>
      <bottom/>
      <diagonal/>
    </border>
    <border>
      <left/>
      <right style="medium">
        <color indexed="64"/>
      </right>
      <top/>
      <bottom/>
      <diagonal/>
    </border>
    <border>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style="double">
        <color indexed="64"/>
      </right>
      <top style="medium">
        <color indexed="64"/>
      </top>
      <bottom/>
      <diagonal/>
    </border>
    <border>
      <left style="medium">
        <color indexed="64"/>
      </left>
      <right/>
      <top/>
      <bottom/>
      <diagonal/>
    </border>
    <border>
      <left/>
      <right style="double">
        <color indexed="64"/>
      </right>
      <top/>
      <bottom/>
      <diagonal/>
    </border>
    <border>
      <left style="medium">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diagonalDown="1">
      <left style="medium">
        <color indexed="64"/>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Down="1">
      <left style="medium">
        <color indexed="64"/>
      </left>
      <right style="medium">
        <color indexed="64"/>
      </right>
      <top style="thin">
        <color indexed="64"/>
      </top>
      <bottom/>
      <diagonal style="thin">
        <color indexed="64"/>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right style="medium">
        <color indexed="64"/>
      </right>
      <top style="hair">
        <color indexed="64"/>
      </top>
      <bottom style="thin">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style="thin">
        <color indexed="64"/>
      </right>
      <top style="dashed">
        <color indexed="64"/>
      </top>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bottom style="thin">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diagonal/>
    </border>
    <border>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style="double">
        <color indexed="64"/>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top/>
      <bottom style="thin">
        <color indexed="64"/>
      </bottom>
      <diagonal/>
    </border>
    <border>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bottom style="thin">
        <color indexed="64"/>
      </bottom>
      <diagonal/>
    </border>
    <border>
      <left style="double">
        <color indexed="64"/>
      </left>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top/>
      <bottom/>
      <diagonal/>
    </border>
    <border>
      <left style="double">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double">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double">
        <color indexed="64"/>
      </bottom>
      <diagonal/>
    </border>
    <border>
      <left style="double">
        <color indexed="64"/>
      </left>
      <right style="thin">
        <color indexed="64"/>
      </right>
      <top/>
      <bottom style="double">
        <color indexed="64"/>
      </bottom>
      <diagonal/>
    </border>
    <border>
      <left style="double">
        <color indexed="64"/>
      </left>
      <right/>
      <top style="medium">
        <color indexed="64"/>
      </top>
      <bottom/>
      <diagonal/>
    </border>
    <border>
      <left/>
      <right style="double">
        <color indexed="64"/>
      </right>
      <top style="double">
        <color indexed="64"/>
      </top>
      <bottom style="thin">
        <color indexed="64"/>
      </bottom>
      <diagonal/>
    </border>
    <border>
      <left style="medium">
        <color indexed="64"/>
      </left>
      <right style="thin">
        <color indexed="64"/>
      </right>
      <top/>
      <bottom style="double">
        <color indexed="64"/>
      </bottom>
      <diagonal/>
    </border>
    <border>
      <left/>
      <right style="double">
        <color indexed="64"/>
      </right>
      <top style="medium">
        <color indexed="64"/>
      </top>
      <bottom style="thin">
        <color indexed="64"/>
      </bottom>
      <diagonal/>
    </border>
    <border>
      <left/>
      <right style="thin">
        <color indexed="64"/>
      </right>
      <top/>
      <bottom style="double">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medium">
        <color rgb="FFFF0000"/>
      </left>
      <right style="medium">
        <color rgb="FFFF0000"/>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top style="medium">
        <color rgb="FFFF0000"/>
      </top>
      <bottom style="medium">
        <color rgb="FFFF0000"/>
      </bottom>
      <diagonal/>
    </border>
    <border>
      <left style="medium">
        <color rgb="FFFF0000"/>
      </left>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50" fillId="11" borderId="0" applyNumberFormat="0" applyBorder="0" applyAlignment="0" applyProtection="0">
      <alignment vertical="center"/>
    </xf>
    <xf numFmtId="38" fontId="1" fillId="0" borderId="0" applyFont="0" applyFill="0" applyBorder="0" applyAlignment="0" applyProtection="0"/>
    <xf numFmtId="0" fontId="26" fillId="0" borderId="0">
      <alignment vertical="center"/>
    </xf>
    <xf numFmtId="0" fontId="24" fillId="0" borderId="0"/>
    <xf numFmtId="0" fontId="1" fillId="0" borderId="0"/>
  </cellStyleXfs>
  <cellXfs count="1262">
    <xf numFmtId="0" fontId="0" fillId="0" borderId="0" xfId="0"/>
    <xf numFmtId="0" fontId="3" fillId="0" borderId="0" xfId="0" applyFont="1"/>
    <xf numFmtId="0" fontId="3" fillId="0" borderId="0" xfId="0" applyFont="1" applyBorder="1"/>
    <xf numFmtId="0" fontId="0" fillId="0" borderId="1" xfId="0" applyBorder="1" applyAlignment="1">
      <alignment vertical="center"/>
    </xf>
    <xf numFmtId="0" fontId="0" fillId="0" borderId="0" xfId="0" applyAlignment="1">
      <alignment vertical="center"/>
    </xf>
    <xf numFmtId="0" fontId="6" fillId="0" borderId="1" xfId="0" applyFont="1" applyBorder="1" applyAlignment="1">
      <alignment vertical="center"/>
    </xf>
    <xf numFmtId="0" fontId="14" fillId="0" borderId="0" xfId="0" applyFont="1"/>
    <xf numFmtId="0" fontId="3" fillId="0" borderId="0" xfId="0" applyFont="1" applyAlignment="1">
      <alignment vertical="center"/>
    </xf>
    <xf numFmtId="0" fontId="0" fillId="0" borderId="1" xfId="0" applyBorder="1"/>
    <xf numFmtId="0" fontId="3" fillId="0" borderId="2" xfId="0" applyFont="1" applyBorder="1"/>
    <xf numFmtId="0" fontId="3" fillId="0" borderId="3" xfId="0" applyFont="1" applyBorder="1"/>
    <xf numFmtId="0" fontId="3" fillId="0" borderId="4" xfId="0" applyFont="1" applyBorder="1"/>
    <xf numFmtId="0" fontId="3" fillId="0" borderId="5" xfId="0" applyFont="1" applyBorder="1"/>
    <xf numFmtId="0" fontId="3" fillId="0" borderId="6" xfId="0" applyFont="1" applyBorder="1"/>
    <xf numFmtId="0" fontId="3" fillId="0" borderId="7" xfId="0" applyFont="1" applyBorder="1"/>
    <xf numFmtId="0" fontId="8" fillId="0" borderId="0" xfId="0" applyFont="1" applyAlignment="1" applyProtection="1">
      <alignment vertical="center"/>
    </xf>
    <xf numFmtId="0" fontId="0" fillId="0" borderId="0" xfId="0" applyAlignment="1" applyProtection="1">
      <alignment vertical="center"/>
    </xf>
    <xf numFmtId="0" fontId="10" fillId="0" borderId="0" xfId="0" applyFont="1" applyAlignment="1" applyProtection="1">
      <alignment vertical="center"/>
    </xf>
    <xf numFmtId="0" fontId="0" fillId="0" borderId="0" xfId="0" applyProtection="1"/>
    <xf numFmtId="0" fontId="20" fillId="0" borderId="0" xfId="0" applyFont="1"/>
    <xf numFmtId="0" fontId="3" fillId="0" borderId="0" xfId="0" applyFont="1" applyProtection="1"/>
    <xf numFmtId="0" fontId="3" fillId="0" borderId="8" xfId="0" applyFont="1" applyBorder="1" applyAlignment="1">
      <alignment horizontal="center"/>
    </xf>
    <xf numFmtId="0" fontId="3" fillId="0" borderId="9" xfId="0" applyFont="1" applyBorder="1" applyAlignment="1">
      <alignment horizontal="center"/>
    </xf>
    <xf numFmtId="0" fontId="3" fillId="0" borderId="11" xfId="0" applyFont="1" applyBorder="1" applyAlignment="1">
      <alignment horizontal="center"/>
    </xf>
    <xf numFmtId="0" fontId="3" fillId="0" borderId="0" xfId="0" applyFont="1" applyBorder="1" applyAlignment="1">
      <alignment horizontal="center"/>
    </xf>
    <xf numFmtId="0" fontId="8" fillId="0" borderId="0" xfId="0" applyFont="1" applyFill="1" applyAlignment="1" applyProtection="1">
      <alignment vertical="center"/>
    </xf>
    <xf numFmtId="0" fontId="0" fillId="0" borderId="12" xfId="0" applyBorder="1" applyAlignment="1">
      <alignment vertical="center"/>
    </xf>
    <xf numFmtId="0" fontId="0" fillId="0" borderId="10" xfId="0" applyBorder="1" applyAlignment="1">
      <alignment vertical="center"/>
    </xf>
    <xf numFmtId="0" fontId="1" fillId="0" borderId="0" xfId="0" applyFont="1"/>
    <xf numFmtId="0" fontId="1" fillId="0" borderId="0" xfId="0" applyFont="1" applyAlignment="1">
      <alignment horizontal="right" vertical="center"/>
    </xf>
    <xf numFmtId="0" fontId="18" fillId="0" borderId="0" xfId="1" applyAlignment="1" applyProtection="1"/>
    <xf numFmtId="0" fontId="26" fillId="0" borderId="0" xfId="4">
      <alignment vertical="center"/>
    </xf>
    <xf numFmtId="0" fontId="26" fillId="0" borderId="0" xfId="4" applyFont="1">
      <alignment vertical="center"/>
    </xf>
    <xf numFmtId="0" fontId="0" fillId="0" borderId="0" xfId="0" applyFill="1" applyProtection="1"/>
    <xf numFmtId="0" fontId="0" fillId="0" borderId="0" xfId="0" applyBorder="1" applyProtection="1"/>
    <xf numFmtId="0" fontId="0" fillId="0" borderId="0" xfId="0" applyFill="1" applyBorder="1" applyProtection="1"/>
    <xf numFmtId="0" fontId="27" fillId="0" borderId="0" xfId="0" applyFont="1" applyFill="1" applyBorder="1" applyProtection="1">
      <protection hidden="1"/>
    </xf>
    <xf numFmtId="0" fontId="0" fillId="0" borderId="0" xfId="0" applyFill="1" applyBorder="1" applyAlignment="1" applyProtection="1">
      <alignment horizontal="center"/>
    </xf>
    <xf numFmtId="0" fontId="16" fillId="0" borderId="0" xfId="0" applyFont="1"/>
    <xf numFmtId="0" fontId="5" fillId="0" borderId="0" xfId="0" applyFont="1"/>
    <xf numFmtId="0" fontId="5" fillId="0" borderId="13" xfId="0" applyFont="1" applyFill="1" applyBorder="1" applyAlignment="1">
      <alignment horizontal="left" vertical="center" wrapText="1"/>
    </xf>
    <xf numFmtId="0" fontId="5" fillId="0" borderId="14" xfId="0" applyFont="1" applyFill="1" applyBorder="1" applyAlignment="1">
      <alignment horizontal="left" vertical="center" wrapText="1"/>
    </xf>
    <xf numFmtId="0" fontId="5" fillId="0" borderId="15" xfId="0" applyFont="1" applyFill="1" applyBorder="1" applyAlignment="1">
      <alignment horizontal="left" vertical="center" wrapText="1"/>
    </xf>
    <xf numFmtId="0" fontId="5" fillId="0" borderId="16" xfId="0" applyFont="1" applyFill="1" applyBorder="1" applyAlignment="1">
      <alignment horizontal="left" vertical="center" wrapText="1"/>
    </xf>
    <xf numFmtId="0" fontId="3" fillId="0" borderId="17" xfId="0" applyFont="1" applyBorder="1"/>
    <xf numFmtId="0" fontId="0" fillId="0" borderId="1" xfId="0" applyBorder="1" applyAlignment="1">
      <alignment vertical="center" shrinkToFit="1"/>
    </xf>
    <xf numFmtId="49" fontId="3" fillId="0" borderId="1" xfId="0" applyNumberFormat="1" applyFont="1" applyBorder="1" applyAlignment="1">
      <alignment horizontal="center"/>
    </xf>
    <xf numFmtId="0" fontId="0" fillId="0" borderId="0" xfId="0" applyBorder="1" applyAlignment="1" applyProtection="1"/>
    <xf numFmtId="177" fontId="0" fillId="0" borderId="0" xfId="0" applyNumberFormat="1" applyFill="1" applyBorder="1" applyAlignment="1" applyProtection="1">
      <alignment vertical="center"/>
    </xf>
    <xf numFmtId="0" fontId="29" fillId="0" borderId="0" xfId="0" applyFont="1" applyProtection="1"/>
    <xf numFmtId="0" fontId="0" fillId="2" borderId="18" xfId="0" applyFill="1" applyBorder="1" applyProtection="1"/>
    <xf numFmtId="0" fontId="0" fillId="2" borderId="19" xfId="0" applyFill="1" applyBorder="1" applyProtection="1"/>
    <xf numFmtId="0" fontId="0" fillId="2" borderId="20" xfId="0" applyFill="1" applyBorder="1" applyProtection="1"/>
    <xf numFmtId="0" fontId="1" fillId="2" borderId="29" xfId="0" applyFont="1" applyFill="1" applyBorder="1" applyAlignment="1"/>
    <xf numFmtId="0" fontId="1" fillId="2" borderId="22" xfId="0" applyFont="1" applyFill="1" applyBorder="1" applyAlignment="1"/>
    <xf numFmtId="0" fontId="1" fillId="2" borderId="30" xfId="0" applyFont="1" applyFill="1" applyBorder="1" applyAlignment="1"/>
    <xf numFmtId="0" fontId="1" fillId="2" borderId="31" xfId="0" applyFont="1" applyFill="1" applyBorder="1" applyAlignment="1"/>
    <xf numFmtId="0" fontId="1" fillId="2" borderId="0" xfId="0" applyFont="1" applyFill="1" applyBorder="1" applyAlignment="1"/>
    <xf numFmtId="0" fontId="1" fillId="2" borderId="32" xfId="0" applyFont="1" applyFill="1" applyBorder="1" applyAlignment="1"/>
    <xf numFmtId="0" fontId="1" fillId="2" borderId="33" xfId="0" applyFont="1" applyFill="1" applyBorder="1" applyAlignment="1"/>
    <xf numFmtId="0" fontId="1" fillId="2" borderId="34" xfId="0" applyFont="1" applyFill="1" applyBorder="1" applyAlignment="1"/>
    <xf numFmtId="0" fontId="1" fillId="2" borderId="35" xfId="0" applyFont="1" applyFill="1" applyBorder="1" applyAlignment="1"/>
    <xf numFmtId="0" fontId="8" fillId="2" borderId="36" xfId="0" applyFont="1" applyFill="1" applyBorder="1" applyAlignment="1" applyProtection="1">
      <alignment horizontal="center" vertical="center"/>
    </xf>
    <xf numFmtId="0" fontId="8" fillId="2" borderId="0" xfId="0" applyFont="1" applyFill="1" applyAlignment="1" applyProtection="1">
      <alignment vertical="center"/>
    </xf>
    <xf numFmtId="0" fontId="10"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shrinkToFit="1"/>
    </xf>
    <xf numFmtId="0" fontId="11" fillId="2" borderId="24" xfId="0" applyFont="1" applyFill="1" applyBorder="1" applyAlignment="1" applyProtection="1">
      <alignment vertical="center"/>
    </xf>
    <xf numFmtId="0" fontId="8" fillId="2" borderId="37" xfId="0" applyFont="1" applyFill="1" applyBorder="1" applyAlignment="1" applyProtection="1">
      <alignment vertical="center"/>
    </xf>
    <xf numFmtId="0" fontId="8" fillId="2" borderId="38" xfId="0" applyFont="1" applyFill="1" applyBorder="1" applyAlignment="1" applyProtection="1">
      <alignment vertical="center"/>
    </xf>
    <xf numFmtId="0" fontId="8" fillId="2" borderId="36" xfId="0" applyFont="1" applyFill="1" applyBorder="1" applyAlignment="1" applyProtection="1">
      <alignment vertical="center"/>
    </xf>
    <xf numFmtId="0" fontId="30" fillId="0" borderId="0" xfId="4" applyFont="1">
      <alignment vertical="center"/>
    </xf>
    <xf numFmtId="0" fontId="26" fillId="3" borderId="1" xfId="4" applyFill="1" applyBorder="1">
      <alignment vertical="center"/>
    </xf>
    <xf numFmtId="0" fontId="8" fillId="2" borderId="39" xfId="0" applyFont="1" applyFill="1" applyBorder="1" applyAlignment="1" applyProtection="1">
      <alignment vertical="center"/>
    </xf>
    <xf numFmtId="0" fontId="8" fillId="2" borderId="0" xfId="0" applyFont="1" applyFill="1" applyAlignment="1" applyProtection="1">
      <alignment vertical="center"/>
      <protection locked="0"/>
    </xf>
    <xf numFmtId="0" fontId="8" fillId="2" borderId="0" xfId="0" applyFont="1" applyFill="1" applyAlignment="1" applyProtection="1">
      <alignment vertical="center" shrinkToFit="1"/>
    </xf>
    <xf numFmtId="0" fontId="8" fillId="2" borderId="40" xfId="0" applyFont="1" applyFill="1" applyBorder="1" applyAlignment="1" applyProtection="1">
      <alignment vertical="center"/>
    </xf>
    <xf numFmtId="0" fontId="8" fillId="2" borderId="12" xfId="0" applyFont="1" applyFill="1" applyBorder="1" applyAlignment="1" applyProtection="1">
      <alignment vertical="center"/>
    </xf>
    <xf numFmtId="0" fontId="8" fillId="2" borderId="0" xfId="0" applyFont="1" applyFill="1" applyAlignment="1" applyProtection="1">
      <alignment horizontal="right" vertical="center"/>
    </xf>
    <xf numFmtId="0" fontId="29" fillId="0" borderId="0" xfId="0" applyFont="1" applyAlignment="1" applyProtection="1">
      <alignment horizontal="right" vertical="center"/>
    </xf>
    <xf numFmtId="0" fontId="29" fillId="0" borderId="0" xfId="0" applyFont="1" applyAlignment="1" applyProtection="1">
      <alignment vertical="center"/>
    </xf>
    <xf numFmtId="0" fontId="16" fillId="0" borderId="0" xfId="0" applyFont="1" applyBorder="1" applyAlignment="1">
      <alignment vertical="center"/>
    </xf>
    <xf numFmtId="0" fontId="26" fillId="0" borderId="0" xfId="4" applyAlignment="1">
      <alignment vertical="center"/>
    </xf>
    <xf numFmtId="0" fontId="12" fillId="0" borderId="0" xfId="0" applyFont="1" applyAlignment="1" applyProtection="1">
      <alignment vertical="center"/>
    </xf>
    <xf numFmtId="0" fontId="16" fillId="0" borderId="27" xfId="0" applyFont="1" applyBorder="1" applyAlignment="1">
      <alignment vertical="center"/>
    </xf>
    <xf numFmtId="0" fontId="1" fillId="0" borderId="27" xfId="0" applyFont="1" applyBorder="1" applyAlignment="1">
      <alignment vertical="center"/>
    </xf>
    <xf numFmtId="0" fontId="1" fillId="0" borderId="0" xfId="0" applyFont="1" applyBorder="1" applyAlignment="1">
      <alignment vertical="center"/>
    </xf>
    <xf numFmtId="0" fontId="3" fillId="0" borderId="0" xfId="0" applyFont="1" applyBorder="1" applyAlignment="1">
      <alignment vertical="center"/>
    </xf>
    <xf numFmtId="0" fontId="31" fillId="0" borderId="0" xfId="0" applyFont="1"/>
    <xf numFmtId="0" fontId="0" fillId="2" borderId="0" xfId="0" applyFill="1" applyAlignment="1" applyProtection="1">
      <alignment vertical="center"/>
    </xf>
    <xf numFmtId="0" fontId="1" fillId="2" borderId="0" xfId="0" applyFont="1" applyFill="1" applyAlignment="1" applyProtection="1">
      <alignment vertical="center"/>
    </xf>
    <xf numFmtId="0" fontId="14" fillId="2" borderId="0" xfId="0" applyFont="1" applyFill="1" applyAlignment="1" applyProtection="1">
      <alignment vertical="center"/>
    </xf>
    <xf numFmtId="0" fontId="6" fillId="0" borderId="11" xfId="0" applyFont="1" applyBorder="1" applyAlignment="1">
      <alignment vertical="center"/>
    </xf>
    <xf numFmtId="0" fontId="0" fillId="0" borderId="11" xfId="0" applyBorder="1" applyAlignment="1">
      <alignment vertical="center"/>
    </xf>
    <xf numFmtId="0" fontId="0" fillId="0" borderId="41" xfId="0" applyBorder="1" applyAlignment="1">
      <alignment vertical="center"/>
    </xf>
    <xf numFmtId="0" fontId="0" fillId="4" borderId="1" xfId="0" applyFill="1" applyBorder="1"/>
    <xf numFmtId="0" fontId="5" fillId="4" borderId="22" xfId="0" applyFont="1" applyFill="1" applyBorder="1" applyAlignment="1">
      <alignment horizontal="center" vertical="center" wrapText="1"/>
    </xf>
    <xf numFmtId="0" fontId="5" fillId="4" borderId="42" xfId="0" applyFont="1" applyFill="1" applyBorder="1" applyAlignment="1">
      <alignment horizontal="center" vertical="center" wrapText="1"/>
    </xf>
    <xf numFmtId="0" fontId="5" fillId="4" borderId="13" xfId="0" applyFont="1" applyFill="1" applyBorder="1" applyAlignment="1">
      <alignment horizontal="center" vertical="center"/>
    </xf>
    <xf numFmtId="0" fontId="5" fillId="4" borderId="0" xfId="0" applyFont="1" applyFill="1" applyAlignment="1">
      <alignment vertical="center"/>
    </xf>
    <xf numFmtId="0" fontId="0" fillId="4" borderId="0" xfId="0" applyFill="1" applyAlignment="1">
      <alignment vertical="center"/>
    </xf>
    <xf numFmtId="0" fontId="0" fillId="4" borderId="0" xfId="0" applyFill="1" applyAlignment="1">
      <alignment horizontal="right" vertical="center"/>
    </xf>
    <xf numFmtId="0" fontId="14" fillId="4" borderId="0" xfId="0" applyFont="1" applyFill="1" applyAlignment="1">
      <alignment vertical="center"/>
    </xf>
    <xf numFmtId="0" fontId="3" fillId="4" borderId="43" xfId="0" applyFont="1" applyFill="1" applyBorder="1" applyAlignment="1">
      <alignment horizontal="center" vertical="center"/>
    </xf>
    <xf numFmtId="0" fontId="3" fillId="4" borderId="44"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9" xfId="0" applyFont="1" applyFill="1" applyBorder="1" applyAlignment="1">
      <alignment vertical="center"/>
    </xf>
    <xf numFmtId="0" fontId="3" fillId="4" borderId="50" xfId="0" applyFont="1" applyFill="1" applyBorder="1" applyAlignment="1">
      <alignment vertical="center" wrapText="1"/>
    </xf>
    <xf numFmtId="0" fontId="3" fillId="4" borderId="51" xfId="0" applyFont="1" applyFill="1" applyBorder="1" applyAlignment="1">
      <alignment vertical="center" wrapText="1"/>
    </xf>
    <xf numFmtId="0" fontId="3" fillId="4" borderId="5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4" xfId="0" applyFont="1" applyFill="1" applyBorder="1" applyAlignment="1">
      <alignment horizontal="center" vertical="center"/>
    </xf>
    <xf numFmtId="0" fontId="3" fillId="4" borderId="20" xfId="0" applyFont="1" applyFill="1" applyBorder="1" applyAlignment="1">
      <alignment horizontal="center" vertical="center"/>
    </xf>
    <xf numFmtId="0" fontId="3" fillId="4" borderId="55" xfId="0" applyFont="1" applyFill="1" applyBorder="1" applyAlignment="1">
      <alignment horizontal="center" vertical="center"/>
    </xf>
    <xf numFmtId="0" fontId="3" fillId="4" borderId="53" xfId="0" applyFont="1" applyFill="1" applyBorder="1" applyAlignment="1">
      <alignment horizontal="center" vertical="center"/>
    </xf>
    <xf numFmtId="0" fontId="4" fillId="4" borderId="2" xfId="0" applyFont="1" applyFill="1" applyBorder="1" applyAlignment="1" applyProtection="1">
      <alignment vertical="center" wrapText="1"/>
    </xf>
    <xf numFmtId="0" fontId="0" fillId="4" borderId="8" xfId="0" applyFill="1" applyBorder="1" applyAlignment="1" applyProtection="1">
      <alignment horizontal="center" vertical="center"/>
    </xf>
    <xf numFmtId="0" fontId="4" fillId="4" borderId="8" xfId="0" applyFont="1" applyFill="1" applyBorder="1" applyAlignment="1" applyProtection="1">
      <alignment horizontal="center" vertical="center"/>
    </xf>
    <xf numFmtId="0" fontId="4" fillId="4" borderId="3" xfId="0" applyFont="1" applyFill="1" applyBorder="1" applyAlignment="1">
      <alignment horizontal="center" vertical="center" wrapText="1"/>
    </xf>
    <xf numFmtId="0" fontId="0" fillId="4" borderId="4" xfId="0" applyFill="1" applyBorder="1" applyAlignment="1" applyProtection="1">
      <alignment horizontal="center" vertical="center"/>
    </xf>
    <xf numFmtId="0" fontId="0" fillId="4" borderId="6" xfId="0" applyFill="1" applyBorder="1" applyAlignment="1" applyProtection="1">
      <alignment horizontal="center" vertical="center"/>
    </xf>
    <xf numFmtId="0" fontId="26" fillId="6" borderId="1" xfId="4" applyFill="1" applyBorder="1">
      <alignment vertical="center"/>
    </xf>
    <xf numFmtId="0" fontId="0" fillId="7" borderId="1" xfId="0" applyFill="1" applyBorder="1"/>
    <xf numFmtId="0" fontId="8" fillId="8" borderId="0" xfId="0" applyFont="1" applyFill="1" applyAlignment="1" applyProtection="1">
      <alignment vertical="center"/>
      <protection locked="0"/>
    </xf>
    <xf numFmtId="181" fontId="0" fillId="8" borderId="1" xfId="0" applyNumberFormat="1" applyFill="1" applyBorder="1" applyAlignment="1" applyProtection="1">
      <alignment vertical="center"/>
      <protection locked="0"/>
    </xf>
    <xf numFmtId="0" fontId="0" fillId="8" borderId="1" xfId="0" applyFill="1" applyBorder="1" applyAlignment="1" applyProtection="1">
      <alignment vertical="center" wrapText="1"/>
      <protection locked="0"/>
    </xf>
    <xf numFmtId="0" fontId="0" fillId="8" borderId="1" xfId="0" applyFill="1" applyBorder="1" applyAlignment="1" applyProtection="1">
      <alignment vertical="center" shrinkToFit="1"/>
      <protection locked="0"/>
    </xf>
    <xf numFmtId="0" fontId="0" fillId="8" borderId="9" xfId="0" applyFill="1" applyBorder="1" applyAlignment="1" applyProtection="1">
      <alignment vertical="center" wrapText="1"/>
      <protection locked="0"/>
    </xf>
    <xf numFmtId="0" fontId="0" fillId="8" borderId="9" xfId="0" applyFill="1" applyBorder="1" applyAlignment="1" applyProtection="1">
      <alignment vertical="center" shrinkToFit="1"/>
      <protection locked="0"/>
    </xf>
    <xf numFmtId="181" fontId="0" fillId="8" borderId="9" xfId="0" applyNumberFormat="1" applyFill="1" applyBorder="1" applyAlignment="1" applyProtection="1">
      <alignment vertical="center"/>
      <protection locked="0"/>
    </xf>
    <xf numFmtId="0" fontId="3" fillId="8" borderId="59" xfId="0" applyFont="1" applyFill="1" applyBorder="1" applyAlignment="1" applyProtection="1">
      <alignment vertical="center"/>
      <protection locked="0"/>
    </xf>
    <xf numFmtId="0" fontId="3" fillId="8" borderId="1" xfId="0" applyFont="1" applyFill="1" applyBorder="1" applyAlignment="1" applyProtection="1">
      <alignment vertical="center"/>
      <protection locked="0"/>
    </xf>
    <xf numFmtId="0" fontId="3" fillId="8" borderId="39" xfId="0" applyFont="1" applyFill="1" applyBorder="1" applyAlignment="1" applyProtection="1">
      <alignment vertical="center" shrinkToFit="1"/>
      <protection locked="0"/>
    </xf>
    <xf numFmtId="0" fontId="3" fillId="8" borderId="39" xfId="0" applyFont="1" applyFill="1" applyBorder="1" applyAlignment="1" applyProtection="1">
      <alignment vertical="center"/>
      <protection locked="0"/>
    </xf>
    <xf numFmtId="0" fontId="3" fillId="8" borderId="36" xfId="0" applyFont="1" applyFill="1" applyBorder="1" applyAlignment="1" applyProtection="1">
      <alignment vertical="center"/>
      <protection locked="0"/>
    </xf>
    <xf numFmtId="0" fontId="3" fillId="8" borderId="60" xfId="0" applyFont="1" applyFill="1" applyBorder="1" applyAlignment="1" applyProtection="1">
      <alignment vertical="center" shrinkToFit="1"/>
      <protection locked="0"/>
    </xf>
    <xf numFmtId="38" fontId="3" fillId="8" borderId="1" xfId="3" applyFont="1" applyFill="1" applyBorder="1" applyAlignment="1" applyProtection="1">
      <alignment vertical="center"/>
      <protection locked="0"/>
    </xf>
    <xf numFmtId="0" fontId="3" fillId="8" borderId="1" xfId="0" applyFont="1" applyFill="1" applyBorder="1" applyAlignment="1" applyProtection="1">
      <alignment horizontal="center" vertical="center"/>
      <protection locked="0"/>
    </xf>
    <xf numFmtId="0" fontId="5" fillId="8" borderId="42" xfId="0" applyFont="1" applyFill="1" applyBorder="1" applyAlignment="1" applyProtection="1">
      <alignment horizontal="center" vertical="center" wrapText="1"/>
      <protection locked="0"/>
    </xf>
    <xf numFmtId="0" fontId="5" fillId="8" borderId="61" xfId="0" applyFont="1" applyFill="1" applyBorder="1" applyAlignment="1" applyProtection="1">
      <alignment horizontal="center" vertical="center" wrapText="1"/>
      <protection locked="0"/>
    </xf>
    <xf numFmtId="0" fontId="5" fillId="8" borderId="62" xfId="0" applyFont="1" applyFill="1" applyBorder="1" applyAlignment="1" applyProtection="1">
      <alignment horizontal="center" vertical="center" wrapText="1"/>
      <protection locked="0"/>
    </xf>
    <xf numFmtId="0" fontId="5" fillId="8" borderId="11" xfId="0" applyFont="1" applyFill="1" applyBorder="1" applyAlignment="1" applyProtection="1">
      <alignment horizontal="center" vertical="center" wrapText="1"/>
      <protection locked="0"/>
    </xf>
    <xf numFmtId="0" fontId="5" fillId="8" borderId="10" xfId="0" applyFont="1" applyFill="1" applyBorder="1" applyAlignment="1" applyProtection="1">
      <alignment horizontal="center" vertical="center" wrapText="1"/>
      <protection locked="0"/>
    </xf>
    <xf numFmtId="0" fontId="5" fillId="8" borderId="63" xfId="0" applyFont="1" applyFill="1" applyBorder="1" applyAlignment="1" applyProtection="1">
      <alignment horizontal="center" vertical="center" wrapText="1"/>
      <protection locked="0"/>
    </xf>
    <xf numFmtId="0" fontId="5" fillId="8" borderId="64" xfId="0" applyFont="1" applyFill="1" applyBorder="1" applyAlignment="1" applyProtection="1">
      <alignment horizontal="center" vertical="center" wrapText="1"/>
      <protection locked="0"/>
    </xf>
    <xf numFmtId="0" fontId="5" fillId="8" borderId="16" xfId="0" applyFont="1" applyFill="1" applyBorder="1" applyAlignment="1" applyProtection="1">
      <alignment horizontal="left" vertical="center" wrapText="1"/>
      <protection locked="0"/>
    </xf>
    <xf numFmtId="0" fontId="5" fillId="8" borderId="65" xfId="0" applyFont="1" applyFill="1" applyBorder="1" applyAlignment="1" applyProtection="1">
      <alignment horizontal="left" vertical="center" wrapText="1"/>
      <protection locked="0"/>
    </xf>
    <xf numFmtId="0" fontId="5" fillId="8" borderId="66" xfId="0" applyFont="1" applyFill="1" applyBorder="1" applyAlignment="1" applyProtection="1">
      <alignment horizontal="left" vertical="center" wrapText="1"/>
      <protection locked="0"/>
    </xf>
    <xf numFmtId="0" fontId="5" fillId="8" borderId="67" xfId="0" applyFont="1" applyFill="1" applyBorder="1" applyAlignment="1" applyProtection="1">
      <alignment horizontal="left" vertical="center" wrapText="1"/>
      <protection locked="0"/>
    </xf>
    <xf numFmtId="0" fontId="1" fillId="8" borderId="42" xfId="0" applyFont="1" applyFill="1" applyBorder="1" applyAlignment="1" applyProtection="1">
      <alignment horizontal="center" vertical="center" wrapText="1"/>
      <protection locked="0"/>
    </xf>
    <xf numFmtId="0" fontId="1" fillId="8" borderId="61" xfId="0" applyFont="1" applyFill="1" applyBorder="1" applyAlignment="1" applyProtection="1">
      <alignment horizontal="center" vertical="center" wrapText="1"/>
      <protection locked="0"/>
    </xf>
    <xf numFmtId="0" fontId="1" fillId="8" borderId="62" xfId="0" applyFont="1" applyFill="1" applyBorder="1" applyAlignment="1" applyProtection="1">
      <alignment horizontal="center" vertical="center" wrapText="1"/>
      <protection locked="0"/>
    </xf>
    <xf numFmtId="0" fontId="1" fillId="8" borderId="11"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8" borderId="63" xfId="0" applyFont="1" applyFill="1" applyBorder="1" applyAlignment="1" applyProtection="1">
      <alignment horizontal="center" vertical="center" wrapText="1"/>
      <protection locked="0"/>
    </xf>
    <xf numFmtId="0" fontId="1" fillId="8" borderId="64" xfId="0" applyFont="1" applyFill="1" applyBorder="1" applyAlignment="1" applyProtection="1">
      <alignment horizontal="center" vertical="center" wrapText="1"/>
      <protection locked="0"/>
    </xf>
    <xf numFmtId="181" fontId="0" fillId="8" borderId="5" xfId="0" applyNumberFormat="1" applyFill="1" applyBorder="1" applyAlignment="1" applyProtection="1">
      <alignment vertical="center"/>
      <protection locked="0"/>
    </xf>
    <xf numFmtId="181" fontId="0" fillId="8" borderId="7" xfId="0" applyNumberFormat="1" applyFill="1" applyBorder="1" applyAlignment="1" applyProtection="1">
      <alignment vertical="center"/>
      <protection locked="0"/>
    </xf>
    <xf numFmtId="0" fontId="0" fillId="2" borderId="1" xfId="0" applyFill="1" applyBorder="1" applyAlignment="1" applyProtection="1">
      <alignment vertical="center" wrapText="1"/>
    </xf>
    <xf numFmtId="0" fontId="0" fillId="2" borderId="1" xfId="0" applyFill="1" applyBorder="1" applyAlignment="1" applyProtection="1">
      <alignment vertical="center" shrinkToFit="1"/>
    </xf>
    <xf numFmtId="0" fontId="3" fillId="0" borderId="0" xfId="0" applyFont="1" applyAlignment="1">
      <alignment horizontal="center"/>
    </xf>
    <xf numFmtId="0" fontId="3" fillId="0" borderId="0" xfId="0" applyFont="1" applyAlignment="1">
      <alignment wrapText="1"/>
    </xf>
    <xf numFmtId="0" fontId="3" fillId="0" borderId="52" xfId="0" applyFont="1" applyBorder="1" applyAlignment="1">
      <alignment horizontal="center" vertical="center"/>
    </xf>
    <xf numFmtId="0" fontId="3" fillId="0" borderId="55" xfId="0" applyFont="1" applyBorder="1" applyAlignment="1">
      <alignment horizontal="center" vertical="center" wrapText="1"/>
    </xf>
    <xf numFmtId="0" fontId="3" fillId="0" borderId="55" xfId="0" applyFont="1" applyBorder="1" applyAlignment="1">
      <alignment horizontal="center" vertical="center"/>
    </xf>
    <xf numFmtId="0" fontId="3" fillId="0" borderId="53" xfId="0" applyFont="1" applyBorder="1" applyAlignment="1">
      <alignment horizontal="center" vertical="center"/>
    </xf>
    <xf numFmtId="0" fontId="3" fillId="0" borderId="0" xfId="0" applyFont="1" applyBorder="1" applyAlignment="1">
      <alignment horizontal="center" vertical="center"/>
    </xf>
    <xf numFmtId="0" fontId="3" fillId="0" borderId="23" xfId="0" applyFont="1" applyBorder="1" applyAlignment="1">
      <alignment horizontal="center" vertical="center"/>
    </xf>
    <xf numFmtId="0" fontId="3" fillId="0" borderId="42" xfId="0" applyFont="1" applyBorder="1" applyAlignment="1">
      <alignment horizontal="center" vertical="center"/>
    </xf>
    <xf numFmtId="0" fontId="3" fillId="0" borderId="42" xfId="0" applyFont="1" applyBorder="1" applyAlignment="1">
      <alignment horizontal="center" vertical="center" wrapText="1"/>
    </xf>
    <xf numFmtId="0" fontId="3" fillId="0" borderId="42" xfId="0" applyFont="1" applyBorder="1" applyAlignment="1">
      <alignment horizontal="center" wrapText="1"/>
    </xf>
    <xf numFmtId="0" fontId="3" fillId="0" borderId="68" xfId="0" applyFont="1" applyBorder="1" applyAlignment="1">
      <alignment horizontal="center" wrapText="1"/>
    </xf>
    <xf numFmtId="0" fontId="3" fillId="0" borderId="62" xfId="5" applyFont="1" applyBorder="1"/>
    <xf numFmtId="0" fontId="3" fillId="0" borderId="69" xfId="5" applyFont="1" applyBorder="1" applyAlignment="1">
      <alignment horizontal="center"/>
    </xf>
    <xf numFmtId="0" fontId="3" fillId="0" borderId="62" xfId="5" applyFont="1" applyBorder="1" applyAlignment="1">
      <alignment horizontal="center"/>
    </xf>
    <xf numFmtId="0" fontId="3" fillId="0" borderId="70" xfId="5" applyFont="1" applyBorder="1" applyAlignment="1">
      <alignment horizontal="center"/>
    </xf>
    <xf numFmtId="0" fontId="3" fillId="0" borderId="0" xfId="5" applyFont="1" applyBorder="1" applyAlignment="1">
      <alignment horizontal="center"/>
    </xf>
    <xf numFmtId="0" fontId="3" fillId="0" borderId="68" xfId="5" applyFont="1" applyBorder="1"/>
    <xf numFmtId="0" fontId="3" fillId="0" borderId="71" xfId="5" applyFont="1" applyBorder="1" applyAlignment="1">
      <alignment horizontal="center"/>
    </xf>
    <xf numFmtId="0" fontId="3" fillId="0" borderId="72" xfId="5" applyFont="1" applyBorder="1" applyAlignment="1">
      <alignment horizontal="center"/>
    </xf>
    <xf numFmtId="2" fontId="3" fillId="0" borderId="72" xfId="5" applyNumberFormat="1" applyFont="1" applyBorder="1" applyAlignment="1">
      <alignment horizontal="center"/>
    </xf>
    <xf numFmtId="176" fontId="3" fillId="0" borderId="73" xfId="5" applyNumberFormat="1" applyFont="1" applyBorder="1" applyAlignment="1">
      <alignment horizontal="center"/>
    </xf>
    <xf numFmtId="0" fontId="3" fillId="0" borderId="11" xfId="0" applyFont="1" applyBorder="1"/>
    <xf numFmtId="0" fontId="3" fillId="0" borderId="44" xfId="0" applyFont="1" applyBorder="1"/>
    <xf numFmtId="0" fontId="3" fillId="0" borderId="8" xfId="0" applyFont="1" applyBorder="1"/>
    <xf numFmtId="0" fontId="3" fillId="0" borderId="1" xfId="0" applyFont="1" applyBorder="1"/>
    <xf numFmtId="0" fontId="3" fillId="0" borderId="74" xfId="5" applyFont="1" applyBorder="1" applyAlignment="1">
      <alignment horizontal="center"/>
    </xf>
    <xf numFmtId="0" fontId="3" fillId="0" borderId="75" xfId="5" applyFont="1" applyBorder="1" applyAlignment="1">
      <alignment horizontal="center"/>
    </xf>
    <xf numFmtId="2" fontId="3" fillId="0" borderId="76" xfId="5" applyNumberFormat="1" applyFont="1" applyBorder="1" applyAlignment="1">
      <alignment horizontal="center"/>
    </xf>
    <xf numFmtId="2" fontId="3" fillId="0" borderId="0" xfId="5" applyNumberFormat="1" applyFont="1" applyBorder="1" applyAlignment="1">
      <alignment horizontal="center"/>
    </xf>
    <xf numFmtId="0" fontId="3" fillId="0" borderId="70" xfId="5" applyFont="1" applyBorder="1"/>
    <xf numFmtId="0" fontId="3" fillId="0" borderId="77" xfId="5" applyFont="1" applyBorder="1" applyAlignment="1">
      <alignment horizontal="center"/>
    </xf>
    <xf numFmtId="2" fontId="3" fillId="0" borderId="75" xfId="5" applyNumberFormat="1" applyFont="1" applyBorder="1" applyAlignment="1">
      <alignment horizontal="center"/>
    </xf>
    <xf numFmtId="176" fontId="3" fillId="0" borderId="76" xfId="5" applyNumberFormat="1" applyFont="1" applyBorder="1" applyAlignment="1">
      <alignment horizontal="center"/>
    </xf>
    <xf numFmtId="0" fontId="3" fillId="0" borderId="39" xfId="0" applyFont="1" applyBorder="1"/>
    <xf numFmtId="0" fontId="3" fillId="0" borderId="78" xfId="5" applyFont="1" applyBorder="1" applyAlignment="1">
      <alignment horizontal="center"/>
    </xf>
    <xf numFmtId="0" fontId="3" fillId="0" borderId="24" xfId="5" applyFont="1" applyBorder="1"/>
    <xf numFmtId="0" fontId="3" fillId="0" borderId="79" xfId="5" applyFont="1" applyBorder="1" applyAlignment="1">
      <alignment horizontal="center"/>
    </xf>
    <xf numFmtId="2" fontId="3" fillId="0" borderId="80" xfId="5" applyNumberFormat="1" applyFont="1" applyBorder="1" applyAlignment="1">
      <alignment horizontal="center"/>
    </xf>
    <xf numFmtId="0" fontId="3" fillId="0" borderId="81" xfId="5" applyFont="1" applyBorder="1"/>
    <xf numFmtId="0" fontId="3" fillId="0" borderId="82" xfId="5" applyFont="1" applyBorder="1" applyAlignment="1">
      <alignment horizontal="center"/>
    </xf>
    <xf numFmtId="0" fontId="3" fillId="0" borderId="11" xfId="5" applyFont="1" applyBorder="1" applyAlignment="1">
      <alignment horizontal="center"/>
    </xf>
    <xf numFmtId="2" fontId="3" fillId="0" borderId="81" xfId="5" applyNumberFormat="1" applyFont="1" applyBorder="1" applyAlignment="1">
      <alignment horizontal="center"/>
    </xf>
    <xf numFmtId="0" fontId="3" fillId="0" borderId="83" xfId="0" applyFont="1" applyBorder="1"/>
    <xf numFmtId="0" fontId="3" fillId="0" borderId="84" xfId="5" applyFont="1" applyBorder="1" applyAlignment="1">
      <alignment horizontal="center"/>
    </xf>
    <xf numFmtId="0" fontId="3" fillId="0" borderId="85" xfId="5" applyFont="1" applyBorder="1" applyAlignment="1">
      <alignment horizontal="center"/>
    </xf>
    <xf numFmtId="2" fontId="3" fillId="0" borderId="85" xfId="5" applyNumberFormat="1" applyFont="1" applyBorder="1" applyAlignment="1">
      <alignment horizontal="center"/>
    </xf>
    <xf numFmtId="176" fontId="3" fillId="0" borderId="86" xfId="5" applyNumberFormat="1" applyFont="1" applyBorder="1" applyAlignment="1">
      <alignment horizontal="center"/>
    </xf>
    <xf numFmtId="0" fontId="3" fillId="0" borderId="87" xfId="5" applyFont="1" applyBorder="1" applyAlignment="1">
      <alignment horizontal="center"/>
    </xf>
    <xf numFmtId="0" fontId="3" fillId="0" borderId="88" xfId="5" applyFont="1" applyBorder="1" applyAlignment="1">
      <alignment horizontal="center"/>
    </xf>
    <xf numFmtId="0" fontId="3" fillId="0" borderId="75" xfId="5" applyFont="1" applyBorder="1" applyAlignment="1">
      <alignment horizontal="center" wrapText="1"/>
    </xf>
    <xf numFmtId="2" fontId="3" fillId="0" borderId="86" xfId="5" applyNumberFormat="1" applyFont="1" applyBorder="1" applyAlignment="1">
      <alignment horizontal="center"/>
    </xf>
    <xf numFmtId="2" fontId="3" fillId="0" borderId="87" xfId="5" applyNumberFormat="1" applyFont="1" applyBorder="1" applyAlignment="1">
      <alignment horizontal="center"/>
    </xf>
    <xf numFmtId="176" fontId="3" fillId="0" borderId="89" xfId="5" applyNumberFormat="1" applyFont="1" applyBorder="1" applyAlignment="1">
      <alignment horizontal="center"/>
    </xf>
    <xf numFmtId="0" fontId="3" fillId="0" borderId="83" xfId="5" applyFont="1" applyBorder="1"/>
    <xf numFmtId="0" fontId="3" fillId="0" borderId="90" xfId="5" applyFont="1" applyBorder="1" applyAlignment="1">
      <alignment horizontal="center"/>
    </xf>
    <xf numFmtId="2" fontId="3" fillId="0" borderId="73" xfId="5" applyNumberFormat="1" applyFont="1" applyBorder="1" applyAlignment="1">
      <alignment horizontal="center"/>
    </xf>
    <xf numFmtId="0" fontId="3" fillId="0" borderId="62" xfId="5" applyFont="1" applyBorder="1" applyAlignment="1">
      <alignment horizontal="left"/>
    </xf>
    <xf numFmtId="0" fontId="3" fillId="0" borderId="70" xfId="0" applyFont="1" applyBorder="1"/>
    <xf numFmtId="0" fontId="3" fillId="0" borderId="81" xfId="5" applyFont="1" applyBorder="1" applyAlignment="1">
      <alignment horizontal="left"/>
    </xf>
    <xf numFmtId="0" fontId="3" fillId="0" borderId="86" xfId="5" applyNumberFormat="1" applyFont="1" applyBorder="1" applyAlignment="1">
      <alignment horizontal="center"/>
    </xf>
    <xf numFmtId="0" fontId="3" fillId="0" borderId="76" xfId="5" applyNumberFormat="1" applyFont="1" applyBorder="1" applyAlignment="1">
      <alignment horizontal="center"/>
    </xf>
    <xf numFmtId="0" fontId="3" fillId="0" borderId="91" xfId="5" applyFont="1" applyBorder="1"/>
    <xf numFmtId="2" fontId="3" fillId="0" borderId="70" xfId="5" applyNumberFormat="1" applyFont="1" applyBorder="1" applyAlignment="1">
      <alignment horizontal="center"/>
    </xf>
    <xf numFmtId="0" fontId="3" fillId="0" borderId="70" xfId="5" applyNumberFormat="1" applyFont="1" applyBorder="1" applyAlignment="1">
      <alignment horizontal="center"/>
    </xf>
    <xf numFmtId="0" fontId="3" fillId="0" borderId="92" xfId="5" applyFont="1" applyBorder="1" applyAlignment="1">
      <alignment horizontal="center"/>
    </xf>
    <xf numFmtId="0" fontId="3" fillId="0" borderId="42" xfId="5" applyFont="1" applyBorder="1" applyAlignment="1">
      <alignment horizontal="center"/>
    </xf>
    <xf numFmtId="2" fontId="3" fillId="0" borderId="68" xfId="5" applyNumberFormat="1" applyFont="1" applyBorder="1" applyAlignment="1">
      <alignment horizontal="center"/>
    </xf>
    <xf numFmtId="0" fontId="3" fillId="0" borderId="93" xfId="5" applyNumberFormat="1" applyFont="1" applyBorder="1" applyAlignment="1">
      <alignment horizontal="center"/>
    </xf>
    <xf numFmtId="0" fontId="3" fillId="0" borderId="94" xfId="5" applyFont="1" applyBorder="1" applyAlignment="1">
      <alignment horizontal="center"/>
    </xf>
    <xf numFmtId="0" fontId="3" fillId="0" borderId="95" xfId="5" applyFont="1" applyBorder="1" applyAlignment="1">
      <alignment horizontal="center"/>
    </xf>
    <xf numFmtId="2" fontId="3" fillId="0" borderId="95" xfId="5" applyNumberFormat="1" applyFont="1" applyBorder="1" applyAlignment="1">
      <alignment horizontal="center"/>
    </xf>
    <xf numFmtId="176" fontId="3" fillId="0" borderId="96" xfId="5" applyNumberFormat="1" applyFont="1" applyBorder="1" applyAlignment="1">
      <alignment horizontal="center"/>
    </xf>
    <xf numFmtId="0" fontId="3" fillId="0" borderId="97" xfId="5" applyFont="1" applyBorder="1" applyAlignment="1">
      <alignment horizontal="center"/>
    </xf>
    <xf numFmtId="0" fontId="3" fillId="0" borderId="98" xfId="5" applyFont="1" applyBorder="1" applyAlignment="1">
      <alignment horizontal="center"/>
    </xf>
    <xf numFmtId="0" fontId="3" fillId="0" borderId="64" xfId="5" applyFont="1" applyBorder="1"/>
    <xf numFmtId="2" fontId="3" fillId="0" borderId="93" xfId="5" applyNumberFormat="1" applyFont="1" applyBorder="1" applyAlignment="1">
      <alignment horizontal="center"/>
    </xf>
    <xf numFmtId="0" fontId="3" fillId="0" borderId="22" xfId="5" applyFont="1" applyBorder="1"/>
    <xf numFmtId="0" fontId="3" fillId="0" borderId="0" xfId="5" applyFont="1" applyBorder="1"/>
    <xf numFmtId="2" fontId="3" fillId="0" borderId="98" xfId="5" applyNumberFormat="1" applyFont="1" applyBorder="1" applyAlignment="1">
      <alignment horizontal="center"/>
    </xf>
    <xf numFmtId="176" fontId="3" fillId="0" borderId="93" xfId="5" applyNumberFormat="1" applyFont="1" applyBorder="1" applyAlignment="1">
      <alignment horizontal="center"/>
    </xf>
    <xf numFmtId="0" fontId="3" fillId="0" borderId="9" xfId="0" applyFont="1" applyBorder="1"/>
    <xf numFmtId="0" fontId="3" fillId="0" borderId="99" xfId="0" applyFont="1" applyBorder="1"/>
    <xf numFmtId="0" fontId="3" fillId="0" borderId="10" xfId="0" applyFont="1" applyBorder="1"/>
    <xf numFmtId="0" fontId="3" fillId="0" borderId="0" xfId="0" applyFont="1" applyBorder="1" applyAlignment="1">
      <alignment horizontal="left"/>
    </xf>
    <xf numFmtId="0" fontId="3" fillId="0" borderId="0" xfId="0" applyFont="1" applyAlignment="1"/>
    <xf numFmtId="0" fontId="3" fillId="0" borderId="0" xfId="0" applyFont="1" applyBorder="1" applyAlignment="1">
      <alignment vertical="top"/>
    </xf>
    <xf numFmtId="0" fontId="3" fillId="0" borderId="68" xfId="0" applyFont="1" applyBorder="1"/>
    <xf numFmtId="0" fontId="3" fillId="0" borderId="81" xfId="0" applyFont="1" applyBorder="1"/>
    <xf numFmtId="0" fontId="32" fillId="0" borderId="0" xfId="0" applyFont="1" applyBorder="1" applyAlignment="1">
      <alignment horizontal="center" vertical="center"/>
    </xf>
    <xf numFmtId="0" fontId="3" fillId="0" borderId="100" xfId="0" applyFont="1" applyBorder="1"/>
    <xf numFmtId="0" fontId="3" fillId="0" borderId="22" xfId="0" applyFont="1" applyBorder="1"/>
    <xf numFmtId="0" fontId="3" fillId="0" borderId="37" xfId="0" applyFont="1" applyBorder="1"/>
    <xf numFmtId="0" fontId="3" fillId="0" borderId="15" xfId="0" applyFont="1" applyBorder="1"/>
    <xf numFmtId="0" fontId="3" fillId="0" borderId="16" xfId="0" applyFont="1" applyBorder="1"/>
    <xf numFmtId="0" fontId="3" fillId="0" borderId="38" xfId="0" applyFont="1" applyBorder="1"/>
    <xf numFmtId="0" fontId="3" fillId="0" borderId="12" xfId="0" applyFont="1" applyBorder="1"/>
    <xf numFmtId="183" fontId="1" fillId="8" borderId="10" xfId="0" applyNumberFormat="1" applyFont="1" applyFill="1" applyBorder="1" applyAlignment="1" applyProtection="1">
      <alignment horizontal="center" vertical="center"/>
      <protection locked="0"/>
    </xf>
    <xf numFmtId="183" fontId="1" fillId="8" borderId="99" xfId="0" applyNumberFormat="1" applyFont="1" applyFill="1" applyBorder="1" applyAlignment="1" applyProtection="1">
      <alignment horizontal="center" vertical="center"/>
      <protection locked="0"/>
    </xf>
    <xf numFmtId="183" fontId="1" fillId="8" borderId="101" xfId="0" applyNumberFormat="1" applyFont="1" applyFill="1" applyBorder="1" applyAlignment="1" applyProtection="1">
      <alignment horizontal="center" vertical="center"/>
      <protection locked="0"/>
    </xf>
    <xf numFmtId="183" fontId="1" fillId="2" borderId="102" xfId="0" applyNumberFormat="1" applyFont="1" applyFill="1" applyBorder="1" applyAlignment="1">
      <alignment horizontal="center" vertical="center"/>
    </xf>
    <xf numFmtId="183" fontId="1" fillId="2" borderId="38" xfId="0" applyNumberFormat="1" applyFont="1" applyFill="1" applyBorder="1" applyAlignment="1">
      <alignment horizontal="center" vertical="center"/>
    </xf>
    <xf numFmtId="183" fontId="1" fillId="2" borderId="83" xfId="0" applyNumberFormat="1" applyFont="1" applyFill="1" applyBorder="1" applyAlignment="1">
      <alignment horizontal="center" vertical="center"/>
    </xf>
    <xf numFmtId="183" fontId="1" fillId="8" borderId="69" xfId="0" applyNumberFormat="1" applyFont="1" applyFill="1" applyBorder="1" applyAlignment="1" applyProtection="1">
      <alignment horizontal="center" vertical="center"/>
      <protection locked="0"/>
    </xf>
    <xf numFmtId="183" fontId="1" fillId="8" borderId="24" xfId="0" applyNumberFormat="1" applyFont="1" applyFill="1" applyBorder="1" applyAlignment="1" applyProtection="1">
      <alignment horizontal="center" vertical="center"/>
      <protection locked="0"/>
    </xf>
    <xf numFmtId="183" fontId="1" fillId="2" borderId="103" xfId="0" applyNumberFormat="1" applyFont="1" applyFill="1" applyBorder="1" applyAlignment="1">
      <alignment horizontal="center" vertical="center"/>
    </xf>
    <xf numFmtId="183" fontId="1" fillId="2" borderId="0" xfId="0" applyNumberFormat="1" applyFont="1" applyFill="1" applyBorder="1" applyAlignment="1">
      <alignment horizontal="center" vertical="center"/>
    </xf>
    <xf numFmtId="183" fontId="1" fillId="2" borderId="104" xfId="0" applyNumberFormat="1" applyFont="1" applyFill="1" applyBorder="1" applyAlignment="1">
      <alignment horizontal="center" vertical="center"/>
    </xf>
    <xf numFmtId="183" fontId="1" fillId="2" borderId="105" xfId="0" applyNumberFormat="1" applyFont="1" applyFill="1" applyBorder="1" applyAlignment="1">
      <alignment horizontal="center" vertical="center"/>
    </xf>
    <xf numFmtId="183" fontId="1" fillId="2" borderId="2" xfId="0" applyNumberFormat="1" applyFont="1" applyFill="1" applyBorder="1" applyAlignment="1">
      <alignment horizontal="center" vertical="center"/>
    </xf>
    <xf numFmtId="183" fontId="1" fillId="2" borderId="106" xfId="0" applyNumberFormat="1" applyFont="1" applyFill="1" applyBorder="1" applyAlignment="1">
      <alignment horizontal="center" vertical="center"/>
    </xf>
    <xf numFmtId="183" fontId="1" fillId="2" borderId="44" xfId="0" applyNumberFormat="1" applyFont="1" applyFill="1" applyBorder="1" applyAlignment="1">
      <alignment horizontal="center" vertical="center"/>
    </xf>
    <xf numFmtId="183" fontId="1" fillId="2" borderId="56" xfId="0" applyNumberFormat="1" applyFont="1" applyFill="1" applyBorder="1" applyAlignment="1">
      <alignment horizontal="center" vertical="center"/>
    </xf>
    <xf numFmtId="183" fontId="1" fillId="2" borderId="107" xfId="0" applyNumberFormat="1" applyFont="1" applyFill="1" applyBorder="1" applyAlignment="1">
      <alignment horizontal="center" vertical="center"/>
    </xf>
    <xf numFmtId="183" fontId="1" fillId="2" borderId="60" xfId="0" applyNumberFormat="1" applyFont="1" applyFill="1" applyBorder="1" applyAlignment="1">
      <alignment horizontal="center" vertical="center"/>
    </xf>
    <xf numFmtId="183" fontId="1" fillId="2" borderId="4" xfId="0" applyNumberFormat="1" applyFont="1" applyFill="1" applyBorder="1" applyAlignment="1">
      <alignment horizontal="center" vertical="center"/>
    </xf>
    <xf numFmtId="183" fontId="1" fillId="2" borderId="36" xfId="0" applyNumberFormat="1" applyFont="1" applyFill="1" applyBorder="1" applyAlignment="1">
      <alignment horizontal="center" vertical="center"/>
    </xf>
    <xf numFmtId="183" fontId="1" fillId="2" borderId="108" xfId="0" applyNumberFormat="1" applyFont="1" applyFill="1" applyBorder="1" applyAlignment="1">
      <alignment horizontal="center" vertical="center"/>
    </xf>
    <xf numFmtId="183" fontId="1" fillId="2" borderId="109" xfId="0" applyNumberFormat="1" applyFont="1" applyFill="1" applyBorder="1" applyAlignment="1">
      <alignment horizontal="center" vertical="center"/>
    </xf>
    <xf numFmtId="183" fontId="1" fillId="2" borderId="5" xfId="0" applyNumberFormat="1" applyFont="1" applyFill="1" applyBorder="1" applyAlignment="1">
      <alignment horizontal="center" vertical="center"/>
    </xf>
    <xf numFmtId="183" fontId="1" fillId="8" borderId="6" xfId="0" applyNumberFormat="1" applyFont="1" applyFill="1" applyBorder="1" applyAlignment="1" applyProtection="1">
      <alignment horizontal="center" vertical="center"/>
      <protection locked="0"/>
    </xf>
    <xf numFmtId="183" fontId="1" fillId="8" borderId="110" xfId="0" applyNumberFormat="1" applyFont="1" applyFill="1" applyBorder="1" applyAlignment="1" applyProtection="1">
      <alignment horizontal="center" vertical="center"/>
      <protection locked="0"/>
    </xf>
    <xf numFmtId="183" fontId="1" fillId="2" borderId="111" xfId="0" applyNumberFormat="1" applyFont="1" applyFill="1" applyBorder="1" applyAlignment="1">
      <alignment horizontal="center" vertical="center"/>
    </xf>
    <xf numFmtId="183" fontId="1" fillId="2" borderId="50" xfId="0" applyNumberFormat="1" applyFont="1" applyFill="1" applyBorder="1" applyAlignment="1">
      <alignment horizontal="center" vertical="center"/>
    </xf>
    <xf numFmtId="183" fontId="1" fillId="2" borderId="7" xfId="0" applyNumberFormat="1" applyFont="1" applyFill="1" applyBorder="1" applyAlignment="1">
      <alignment horizontal="center" vertical="center"/>
    </xf>
    <xf numFmtId="182" fontId="1" fillId="0" borderId="112" xfId="0" applyNumberFormat="1" applyFont="1" applyFill="1" applyBorder="1" applyAlignment="1" applyProtection="1">
      <alignment horizontal="center" vertical="center"/>
      <protection locked="0"/>
    </xf>
    <xf numFmtId="182" fontId="1" fillId="0" borderId="113" xfId="0" applyNumberFormat="1" applyFont="1" applyFill="1" applyBorder="1" applyAlignment="1" applyProtection="1">
      <alignment horizontal="center" vertical="center"/>
      <protection locked="0"/>
    </xf>
    <xf numFmtId="182" fontId="1" fillId="0" borderId="114" xfId="0" applyNumberFormat="1" applyFont="1" applyFill="1" applyBorder="1" applyAlignment="1" applyProtection="1">
      <alignment horizontal="center" vertical="center"/>
      <protection locked="0"/>
    </xf>
    <xf numFmtId="182" fontId="1" fillId="0" borderId="115" xfId="0" applyNumberFormat="1" applyFont="1" applyFill="1" applyBorder="1" applyAlignment="1" applyProtection="1">
      <alignment horizontal="center" vertical="center"/>
      <protection locked="0"/>
    </xf>
    <xf numFmtId="182" fontId="1" fillId="0" borderId="116" xfId="0" applyNumberFormat="1" applyFont="1" applyFill="1" applyBorder="1" applyAlignment="1" applyProtection="1">
      <alignment horizontal="center" vertical="center"/>
      <protection locked="0"/>
    </xf>
    <xf numFmtId="182" fontId="1" fillId="0" borderId="38" xfId="0" applyNumberFormat="1" applyFont="1" applyFill="1" applyBorder="1" applyAlignment="1" applyProtection="1">
      <alignment horizontal="center" vertical="center"/>
      <protection locked="0"/>
    </xf>
    <xf numFmtId="182" fontId="1" fillId="0" borderId="83" xfId="0" applyNumberFormat="1" applyFont="1" applyFill="1" applyBorder="1" applyAlignment="1" applyProtection="1">
      <alignment horizontal="center" vertical="center"/>
      <protection locked="0"/>
    </xf>
    <xf numFmtId="182" fontId="1" fillId="0" borderId="117" xfId="0" applyNumberFormat="1" applyFont="1" applyFill="1" applyBorder="1" applyAlignment="1" applyProtection="1">
      <alignment horizontal="center" vertical="center"/>
      <protection locked="0"/>
    </xf>
    <xf numFmtId="182" fontId="1" fillId="0" borderId="109" xfId="0" applyNumberFormat="1" applyFont="1" applyFill="1" applyBorder="1" applyAlignment="1" applyProtection="1">
      <alignment horizontal="center" vertical="center"/>
      <protection locked="0"/>
    </xf>
    <xf numFmtId="182" fontId="1" fillId="0" borderId="118" xfId="0" applyNumberFormat="1" applyFont="1" applyFill="1" applyBorder="1" applyAlignment="1" applyProtection="1">
      <alignment horizontal="center" vertical="center"/>
      <protection locked="0"/>
    </xf>
    <xf numFmtId="182" fontId="1" fillId="0" borderId="36" xfId="0" applyNumberFormat="1" applyFont="1" applyFill="1" applyBorder="1" applyAlignment="1" applyProtection="1">
      <alignment horizontal="center" vertical="center"/>
      <protection locked="0"/>
    </xf>
    <xf numFmtId="182" fontId="1" fillId="0" borderId="5" xfId="0" applyNumberFormat="1" applyFont="1" applyFill="1" applyBorder="1" applyAlignment="1" applyProtection="1">
      <alignment horizontal="center" vertical="center"/>
      <protection locked="0"/>
    </xf>
    <xf numFmtId="182" fontId="1" fillId="0" borderId="119" xfId="0" applyNumberFormat="1" applyFont="1" applyFill="1" applyBorder="1" applyAlignment="1" applyProtection="1">
      <alignment horizontal="center" vertical="center"/>
      <protection locked="0"/>
    </xf>
    <xf numFmtId="182" fontId="1" fillId="0" borderId="60" xfId="0" applyNumberFormat="1" applyFont="1" applyFill="1" applyBorder="1" applyAlignment="1" applyProtection="1">
      <alignment horizontal="center" vertical="center"/>
      <protection locked="0"/>
    </xf>
    <xf numFmtId="182" fontId="1" fillId="0" borderId="39" xfId="0" applyNumberFormat="1" applyFont="1" applyFill="1" applyBorder="1" applyAlignment="1" applyProtection="1">
      <alignment horizontal="center" vertical="center"/>
      <protection locked="0"/>
    </xf>
    <xf numFmtId="182" fontId="1" fillId="0" borderId="4" xfId="0" applyNumberFormat="1" applyFont="1" applyFill="1" applyBorder="1" applyAlignment="1" applyProtection="1">
      <alignment horizontal="center" vertical="center"/>
      <protection locked="0"/>
    </xf>
    <xf numFmtId="182" fontId="1" fillId="0" borderId="120" xfId="0" applyNumberFormat="1" applyFont="1" applyFill="1" applyBorder="1" applyAlignment="1" applyProtection="1">
      <alignment horizontal="center" vertical="center"/>
      <protection locked="0"/>
    </xf>
    <xf numFmtId="182" fontId="1" fillId="0" borderId="0" xfId="0" applyNumberFormat="1" applyFont="1" applyFill="1" applyBorder="1" applyAlignment="1" applyProtection="1">
      <alignment horizontal="center" vertical="center"/>
      <protection locked="0"/>
    </xf>
    <xf numFmtId="182" fontId="1" fillId="0" borderId="70" xfId="0" applyNumberFormat="1" applyFont="1" applyFill="1" applyBorder="1" applyAlignment="1" applyProtection="1">
      <alignment horizontal="center" vertical="center"/>
      <protection locked="0"/>
    </xf>
    <xf numFmtId="182" fontId="1" fillId="0" borderId="31" xfId="0" applyNumberFormat="1" applyFont="1" applyFill="1" applyBorder="1" applyAlignment="1" applyProtection="1">
      <alignment horizontal="center" vertical="center"/>
      <protection locked="0"/>
    </xf>
    <xf numFmtId="182" fontId="1" fillId="0" borderId="121" xfId="0" applyNumberFormat="1" applyFont="1" applyFill="1" applyBorder="1" applyAlignment="1" applyProtection="1">
      <alignment horizontal="center" vertical="center"/>
      <protection locked="0"/>
    </xf>
    <xf numFmtId="182" fontId="1" fillId="0" borderId="20" xfId="0" applyNumberFormat="1" applyFont="1" applyFill="1" applyBorder="1" applyAlignment="1" applyProtection="1">
      <alignment horizontal="center" vertical="center"/>
      <protection locked="0"/>
    </xf>
    <xf numFmtId="182" fontId="1" fillId="0" borderId="53" xfId="0" applyNumberFormat="1" applyFont="1" applyFill="1" applyBorder="1" applyAlignment="1" applyProtection="1">
      <alignment horizontal="center" vertical="center"/>
      <protection locked="0"/>
    </xf>
    <xf numFmtId="182" fontId="1" fillId="0" borderId="52" xfId="0" applyNumberFormat="1" applyFont="1" applyFill="1" applyBorder="1" applyAlignment="1" applyProtection="1">
      <alignment horizontal="center" vertical="center"/>
      <protection locked="0"/>
    </xf>
    <xf numFmtId="0" fontId="8" fillId="2" borderId="122" xfId="0" applyFont="1" applyFill="1" applyBorder="1" applyAlignment="1" applyProtection="1">
      <alignment vertical="center"/>
    </xf>
    <xf numFmtId="0" fontId="30" fillId="0" borderId="0" xfId="0" applyFont="1"/>
    <xf numFmtId="0" fontId="0" fillId="2" borderId="37" xfId="0" applyFill="1" applyBorder="1" applyAlignment="1" applyProtection="1"/>
    <xf numFmtId="0" fontId="0" fillId="2" borderId="40" xfId="0" applyFill="1" applyBorder="1" applyAlignment="1" applyProtection="1"/>
    <xf numFmtId="0" fontId="34" fillId="0" borderId="0" xfId="0" applyFont="1" applyFill="1" applyAlignment="1">
      <alignment vertical="center"/>
    </xf>
    <xf numFmtId="183" fontId="1" fillId="0" borderId="105" xfId="0" applyNumberFormat="1" applyFont="1" applyFill="1" applyBorder="1" applyAlignment="1">
      <alignment horizontal="center" vertical="center"/>
    </xf>
    <xf numFmtId="183" fontId="1" fillId="0" borderId="123" xfId="0" applyNumberFormat="1" applyFont="1" applyFill="1" applyBorder="1" applyAlignment="1">
      <alignment horizontal="center" vertical="center"/>
    </xf>
    <xf numFmtId="183" fontId="1" fillId="0" borderId="2" xfId="0" applyNumberFormat="1" applyFont="1" applyFill="1" applyBorder="1" applyAlignment="1">
      <alignment horizontal="center" vertical="center"/>
    </xf>
    <xf numFmtId="183" fontId="1" fillId="0" borderId="118" xfId="0" applyNumberFormat="1" applyFont="1" applyFill="1" applyBorder="1" applyAlignment="1">
      <alignment horizontal="center" vertical="center"/>
    </xf>
    <xf numFmtId="183" fontId="1" fillId="0" borderId="60" xfId="0" applyNumberFormat="1" applyFont="1" applyFill="1" applyBorder="1" applyAlignment="1">
      <alignment horizontal="center" vertical="center"/>
    </xf>
    <xf numFmtId="183" fontId="1" fillId="0" borderId="4" xfId="0" applyNumberFormat="1" applyFont="1" applyFill="1" applyBorder="1" applyAlignment="1">
      <alignment horizontal="center" vertical="center"/>
    </xf>
    <xf numFmtId="183" fontId="1" fillId="0" borderId="36" xfId="0" applyNumberFormat="1" applyFont="1" applyFill="1" applyBorder="1" applyAlignment="1">
      <alignment horizontal="center" vertical="center"/>
    </xf>
    <xf numFmtId="0" fontId="3" fillId="0" borderId="62" xfId="0" applyFont="1" applyBorder="1" applyAlignment="1">
      <alignment horizontal="center"/>
    </xf>
    <xf numFmtId="183" fontId="1" fillId="9" borderId="10" xfId="0" applyNumberFormat="1" applyFont="1" applyFill="1" applyBorder="1" applyAlignment="1" applyProtection="1">
      <alignment horizontal="center" vertical="center"/>
      <protection locked="0"/>
    </xf>
    <xf numFmtId="183" fontId="1" fillId="9" borderId="99" xfId="0" applyNumberFormat="1" applyFont="1" applyFill="1" applyBorder="1" applyAlignment="1" applyProtection="1">
      <alignment horizontal="center" vertical="center"/>
      <protection locked="0"/>
    </xf>
    <xf numFmtId="183" fontId="1" fillId="9" borderId="0" xfId="0" applyNumberFormat="1" applyFont="1" applyFill="1" applyBorder="1" applyAlignment="1" applyProtection="1">
      <alignment horizontal="center" vertical="center"/>
      <protection locked="0"/>
    </xf>
    <xf numFmtId="183" fontId="1" fillId="9" borderId="69" xfId="0" applyNumberFormat="1" applyFont="1" applyFill="1" applyBorder="1" applyAlignment="1" applyProtection="1">
      <alignment horizontal="center" vertical="center"/>
      <protection locked="0"/>
    </xf>
    <xf numFmtId="183" fontId="1" fillId="9" borderId="124" xfId="0" applyNumberFormat="1" applyFont="1" applyFill="1" applyBorder="1" applyAlignment="1" applyProtection="1">
      <alignment horizontal="center" vertical="center"/>
      <protection locked="0"/>
    </xf>
    <xf numFmtId="183" fontId="1" fillId="9" borderId="6" xfId="0" applyNumberFormat="1" applyFont="1" applyFill="1" applyBorder="1" applyAlignment="1" applyProtection="1">
      <alignment horizontal="center" vertical="center"/>
      <protection locked="0"/>
    </xf>
    <xf numFmtId="0" fontId="0" fillId="10" borderId="20" xfId="0" applyFill="1" applyBorder="1" applyAlignment="1" applyProtection="1">
      <alignment horizontal="center" vertical="center" wrapText="1"/>
    </xf>
    <xf numFmtId="0" fontId="0" fillId="10" borderId="125" xfId="0" applyFill="1" applyBorder="1" applyAlignment="1" applyProtection="1">
      <alignment horizontal="right" vertical="top" wrapText="1"/>
    </xf>
    <xf numFmtId="0" fontId="0" fillId="0" borderId="0" xfId="0" applyAlignment="1" applyProtection="1">
      <alignment vertical="top"/>
    </xf>
    <xf numFmtId="0" fontId="3" fillId="8" borderId="126" xfId="0" applyFont="1" applyFill="1" applyBorder="1" applyAlignment="1" applyProtection="1">
      <alignment horizontal="center" vertical="center"/>
      <protection locked="0"/>
    </xf>
    <xf numFmtId="0" fontId="3" fillId="8" borderId="127" xfId="0" applyFont="1" applyFill="1" applyBorder="1" applyAlignment="1" applyProtection="1">
      <alignment horizontal="center" vertical="center"/>
      <protection locked="0"/>
    </xf>
    <xf numFmtId="0" fontId="3" fillId="8" borderId="128" xfId="0" applyFont="1" applyFill="1" applyBorder="1" applyAlignment="1" applyProtection="1">
      <alignment horizontal="center" vertical="center"/>
      <protection locked="0"/>
    </xf>
    <xf numFmtId="182" fontId="1" fillId="0" borderId="24" xfId="0" applyNumberFormat="1" applyFont="1" applyFill="1" applyBorder="1" applyAlignment="1" applyProtection="1">
      <alignment horizontal="center" vertical="center"/>
      <protection locked="0"/>
    </xf>
    <xf numFmtId="182" fontId="1" fillId="0" borderId="125" xfId="0" applyNumberFormat="1" applyFont="1" applyFill="1" applyBorder="1" applyAlignment="1" applyProtection="1">
      <alignment horizontal="center" vertical="center"/>
      <protection locked="0"/>
    </xf>
    <xf numFmtId="0" fontId="3" fillId="8" borderId="126" xfId="0" applyFont="1" applyFill="1" applyBorder="1" applyAlignment="1" applyProtection="1">
      <alignment vertical="center"/>
      <protection locked="0"/>
    </xf>
    <xf numFmtId="0" fontId="52" fillId="0" borderId="0" xfId="0" applyFont="1" applyAlignment="1" applyProtection="1">
      <alignment vertical="center"/>
    </xf>
    <xf numFmtId="177" fontId="53" fillId="0" borderId="0" xfId="0" applyNumberFormat="1" applyFont="1" applyFill="1" applyBorder="1" applyAlignment="1" applyProtection="1">
      <alignment vertical="center"/>
    </xf>
    <xf numFmtId="0" fontId="51" fillId="0" borderId="0" xfId="4" applyFont="1">
      <alignment vertical="center"/>
    </xf>
    <xf numFmtId="180" fontId="26" fillId="0" borderId="0" xfId="4" applyNumberFormat="1" applyAlignment="1">
      <alignment horizontal="center" vertical="center"/>
    </xf>
    <xf numFmtId="0" fontId="0" fillId="0" borderId="0" xfId="0" applyFill="1" applyAlignment="1" applyProtection="1">
      <alignment vertical="center"/>
    </xf>
    <xf numFmtId="0" fontId="54" fillId="12" borderId="0" xfId="0" applyFont="1" applyFill="1" applyAlignment="1" applyProtection="1">
      <alignment vertical="center"/>
    </xf>
    <xf numFmtId="0" fontId="54" fillId="0" borderId="0" xfId="0" applyFont="1" applyFill="1" applyAlignment="1" applyProtection="1">
      <alignment vertical="center"/>
    </xf>
    <xf numFmtId="0" fontId="52" fillId="0" borderId="182" xfId="0" applyFont="1" applyBorder="1" applyAlignment="1" applyProtection="1">
      <alignment vertical="center"/>
    </xf>
    <xf numFmtId="0" fontId="55" fillId="0" borderId="183" xfId="0" applyFont="1" applyBorder="1" applyAlignment="1" applyProtection="1">
      <alignment horizontal="center" vertical="center" shrinkToFit="1"/>
    </xf>
    <xf numFmtId="0" fontId="55" fillId="0" borderId="184" xfId="0" applyFont="1" applyBorder="1" applyAlignment="1" applyProtection="1">
      <alignment horizontal="center" vertical="center" shrinkToFit="1"/>
    </xf>
    <xf numFmtId="0" fontId="0" fillId="0" borderId="183" xfId="0" applyBorder="1"/>
    <xf numFmtId="0" fontId="39" fillId="0" borderId="1" xfId="0" applyFont="1" applyBorder="1" applyAlignment="1" applyProtection="1">
      <alignment vertical="center"/>
    </xf>
    <xf numFmtId="0" fontId="39" fillId="0" borderId="60" xfId="0" applyFont="1" applyBorder="1" applyAlignment="1" applyProtection="1">
      <alignment vertical="center"/>
    </xf>
    <xf numFmtId="0" fontId="39" fillId="0" borderId="39" xfId="0" applyFont="1" applyBorder="1" applyAlignment="1" applyProtection="1">
      <alignment vertical="center"/>
    </xf>
    <xf numFmtId="0" fontId="39" fillId="0" borderId="1" xfId="0" applyFont="1" applyBorder="1" applyAlignment="1">
      <alignment horizontal="justify" vertical="center"/>
    </xf>
    <xf numFmtId="0" fontId="39" fillId="0" borderId="1" xfId="0" applyFont="1" applyBorder="1" applyAlignment="1">
      <alignment vertical="center"/>
    </xf>
    <xf numFmtId="0" fontId="39" fillId="0" borderId="36" xfId="0" applyFont="1" applyBorder="1" applyAlignment="1" applyProtection="1">
      <alignment vertical="center"/>
    </xf>
    <xf numFmtId="189" fontId="39" fillId="0" borderId="36" xfId="0" applyNumberFormat="1" applyFont="1" applyBorder="1" applyAlignment="1" applyProtection="1">
      <alignment horizontal="center" vertical="center"/>
    </xf>
    <xf numFmtId="0" fontId="8" fillId="0" borderId="0" xfId="0" applyFont="1" applyAlignment="1" applyProtection="1">
      <alignment vertical="center" wrapText="1"/>
    </xf>
    <xf numFmtId="0" fontId="39" fillId="0" borderId="39" xfId="0" applyFont="1" applyBorder="1" applyAlignment="1" applyProtection="1">
      <alignment horizontal="center" vertical="center" shrinkToFit="1"/>
    </xf>
    <xf numFmtId="0" fontId="39" fillId="0" borderId="60" xfId="0" applyFont="1" applyBorder="1" applyAlignment="1" applyProtection="1">
      <alignment vertical="center" shrinkToFit="1"/>
    </xf>
    <xf numFmtId="0" fontId="8" fillId="0" borderId="0" xfId="0" applyFont="1" applyAlignment="1" applyProtection="1">
      <alignment vertical="center" shrinkToFit="1"/>
    </xf>
    <xf numFmtId="0" fontId="39" fillId="0" borderId="1" xfId="0" applyFont="1" applyBorder="1" applyAlignment="1" applyProtection="1">
      <alignment horizontal="center" vertical="center" shrinkToFit="1"/>
    </xf>
    <xf numFmtId="0" fontId="56" fillId="0" borderId="39" xfId="0" applyFont="1" applyBorder="1" applyAlignment="1" applyProtection="1">
      <alignment vertical="center"/>
    </xf>
    <xf numFmtId="0" fontId="39" fillId="0" borderId="60" xfId="0" applyFont="1" applyFill="1" applyBorder="1" applyAlignment="1" applyProtection="1">
      <alignment vertical="center" shrinkToFit="1"/>
    </xf>
    <xf numFmtId="0" fontId="39" fillId="0" borderId="129" xfId="0" applyNumberFormat="1" applyFont="1" applyBorder="1" applyAlignment="1" applyProtection="1">
      <alignment horizontal="center" vertical="center"/>
    </xf>
    <xf numFmtId="0" fontId="39" fillId="0" borderId="129" xfId="0" quotePrefix="1" applyNumberFormat="1" applyFont="1" applyBorder="1" applyAlignment="1" applyProtection="1">
      <alignment horizontal="center" vertical="center"/>
    </xf>
    <xf numFmtId="0" fontId="39" fillId="0" borderId="39" xfId="0" applyNumberFormat="1" applyFont="1" applyBorder="1" applyAlignment="1" applyProtection="1">
      <alignment horizontal="center" vertical="center"/>
    </xf>
    <xf numFmtId="0" fontId="8" fillId="0" borderId="0" xfId="0" applyNumberFormat="1" applyFont="1" applyAlignment="1" applyProtection="1">
      <alignment vertical="center"/>
    </xf>
    <xf numFmtId="0" fontId="56" fillId="0" borderId="60" xfId="0" applyNumberFormat="1" applyFont="1" applyBorder="1" applyAlignment="1" applyProtection="1">
      <alignment horizontal="center" vertical="center"/>
    </xf>
    <xf numFmtId="189" fontId="56" fillId="0" borderId="39" xfId="0" applyNumberFormat="1" applyFont="1" applyBorder="1" applyAlignment="1" applyProtection="1">
      <alignment vertical="center" shrinkToFit="1"/>
    </xf>
    <xf numFmtId="0" fontId="25" fillId="4" borderId="0" xfId="0" quotePrefix="1" applyFont="1" applyFill="1" applyAlignment="1">
      <alignment horizontal="right" vertical="center"/>
    </xf>
    <xf numFmtId="0" fontId="25" fillId="4" borderId="0" xfId="0" applyFont="1" applyFill="1" applyAlignment="1">
      <alignment horizontal="left" vertical="center"/>
    </xf>
    <xf numFmtId="0" fontId="57" fillId="0" borderId="0" xfId="0" applyFont="1" applyAlignment="1" applyProtection="1">
      <alignment vertical="center"/>
    </xf>
    <xf numFmtId="181" fontId="0" fillId="0" borderId="0" xfId="0" applyNumberFormat="1" applyAlignment="1" applyProtection="1">
      <alignment vertical="center"/>
    </xf>
    <xf numFmtId="183" fontId="0" fillId="0" borderId="0" xfId="0" applyNumberFormat="1" applyAlignment="1" applyProtection="1">
      <alignment vertical="center"/>
    </xf>
    <xf numFmtId="0" fontId="0" fillId="12" borderId="0" xfId="0" applyFill="1" applyAlignment="1" applyProtection="1">
      <alignment vertical="center"/>
    </xf>
    <xf numFmtId="0" fontId="0" fillId="0" borderId="1" xfId="0" applyBorder="1" applyAlignment="1" applyProtection="1">
      <alignment vertical="center"/>
    </xf>
    <xf numFmtId="0" fontId="0" fillId="0" borderId="60" xfId="0" applyBorder="1" applyAlignment="1" applyProtection="1">
      <alignment vertical="center"/>
    </xf>
    <xf numFmtId="0" fontId="0" fillId="0" borderId="1" xfId="0" applyBorder="1" applyAlignment="1" applyProtection="1">
      <alignment horizontal="center" vertical="center" shrinkToFit="1"/>
    </xf>
    <xf numFmtId="0" fontId="0" fillId="0" borderId="1" xfId="0" applyBorder="1" applyAlignment="1" applyProtection="1">
      <alignment vertical="center" shrinkToFit="1"/>
    </xf>
    <xf numFmtId="0" fontId="58" fillId="0" borderId="1" xfId="0" applyFont="1" applyBorder="1" applyAlignment="1" applyProtection="1">
      <alignment horizontal="justify" vertical="center"/>
    </xf>
    <xf numFmtId="0" fontId="53" fillId="0" borderId="1" xfId="0" applyFont="1" applyBorder="1" applyAlignment="1" applyProtection="1">
      <alignment vertical="center"/>
    </xf>
    <xf numFmtId="0" fontId="6" fillId="0" borderId="1" xfId="0" applyFont="1" applyBorder="1" applyAlignment="1" applyProtection="1">
      <alignment vertical="center" shrinkToFit="1"/>
    </xf>
    <xf numFmtId="0" fontId="0" fillId="0" borderId="1" xfId="0" applyBorder="1" applyAlignment="1" applyProtection="1">
      <alignment shrinkToFit="1"/>
    </xf>
    <xf numFmtId="0" fontId="0" fillId="0" borderId="0" xfId="0" applyAlignment="1" applyProtection="1">
      <alignment vertical="center" shrinkToFit="1"/>
    </xf>
    <xf numFmtId="0" fontId="53" fillId="0" borderId="39" xfId="0" applyFont="1" applyBorder="1" applyAlignment="1" applyProtection="1">
      <alignment vertical="center"/>
    </xf>
    <xf numFmtId="0" fontId="0" fillId="0" borderId="0" xfId="0" applyBorder="1" applyAlignment="1" applyProtection="1">
      <alignment vertical="center" shrinkToFit="1"/>
    </xf>
    <xf numFmtId="0" fontId="1" fillId="0" borderId="1" xfId="0" applyFont="1" applyBorder="1" applyAlignment="1" applyProtection="1">
      <alignment vertical="center" shrinkToFit="1"/>
    </xf>
    <xf numFmtId="0" fontId="6" fillId="0" borderId="0" xfId="0" applyFont="1" applyAlignment="1" applyProtection="1">
      <alignment vertical="center" shrinkToFit="1"/>
    </xf>
    <xf numFmtId="0" fontId="19" fillId="0" borderId="0" xfId="0" applyFont="1" applyFill="1" applyAlignment="1" applyProtection="1">
      <alignment horizontal="left" vertical="center"/>
    </xf>
    <xf numFmtId="0" fontId="19" fillId="0" borderId="0" xfId="0" applyFont="1" applyFill="1" applyAlignment="1" applyProtection="1">
      <alignment vertical="center"/>
    </xf>
    <xf numFmtId="183" fontId="0" fillId="0" borderId="0" xfId="0" applyNumberFormat="1" applyFill="1" applyAlignment="1" applyProtection="1">
      <alignment vertical="center"/>
    </xf>
    <xf numFmtId="0" fontId="0" fillId="0" borderId="60" xfId="0" applyFill="1" applyBorder="1" applyAlignment="1" applyProtection="1">
      <alignment vertical="center"/>
    </xf>
    <xf numFmtId="0" fontId="53" fillId="0" borderId="39" xfId="0" applyFont="1" applyFill="1" applyBorder="1" applyAlignment="1" applyProtection="1">
      <alignment vertical="center"/>
    </xf>
    <xf numFmtId="0" fontId="53" fillId="0" borderId="1" xfId="0" applyFont="1" applyFill="1" applyBorder="1" applyAlignment="1" applyProtection="1">
      <alignment vertical="center"/>
    </xf>
    <xf numFmtId="0" fontId="35" fillId="0" borderId="0" xfId="0" applyFont="1" applyFill="1" applyAlignment="1" applyProtection="1">
      <alignment horizontal="left" vertical="center" shrinkToFit="1"/>
    </xf>
    <xf numFmtId="0" fontId="53" fillId="0" borderId="0" xfId="0" applyFont="1" applyFill="1" applyAlignment="1" applyProtection="1">
      <alignment vertical="center"/>
    </xf>
    <xf numFmtId="0" fontId="35" fillId="0" borderId="0" xfId="0" applyFont="1" applyFill="1" applyAlignment="1" applyProtection="1">
      <alignment horizontal="left" vertical="center"/>
    </xf>
    <xf numFmtId="0" fontId="18" fillId="0" borderId="0" xfId="1" applyFill="1" applyAlignment="1" applyProtection="1">
      <alignment vertical="center"/>
    </xf>
    <xf numFmtId="0" fontId="0" fillId="0" borderId="0" xfId="0" applyFill="1" applyBorder="1" applyAlignment="1" applyProtection="1">
      <alignment vertical="center"/>
    </xf>
    <xf numFmtId="0" fontId="53" fillId="0" borderId="0" xfId="0" applyFont="1" applyFill="1" applyBorder="1" applyAlignment="1" applyProtection="1">
      <alignment vertical="center"/>
    </xf>
    <xf numFmtId="0" fontId="0" fillId="0" borderId="1" xfId="0" applyFill="1" applyBorder="1" applyAlignment="1" applyProtection="1">
      <alignment vertical="center"/>
    </xf>
    <xf numFmtId="0" fontId="19" fillId="0" borderId="0" xfId="0" applyFont="1" applyFill="1" applyAlignment="1" applyProtection="1">
      <alignment vertical="center" wrapText="1"/>
    </xf>
    <xf numFmtId="0" fontId="19" fillId="12" borderId="0" xfId="0" applyFont="1" applyFill="1" applyAlignment="1" applyProtection="1">
      <alignment horizontal="left" vertical="center"/>
    </xf>
    <xf numFmtId="0" fontId="19" fillId="12" borderId="0" xfId="0" applyFont="1" applyFill="1" applyAlignment="1" applyProtection="1">
      <alignment vertical="center"/>
    </xf>
    <xf numFmtId="0" fontId="35" fillId="12" borderId="0" xfId="0" applyFont="1" applyFill="1" applyAlignment="1" applyProtection="1">
      <alignment horizontal="left" vertical="center" shrinkToFit="1"/>
    </xf>
    <xf numFmtId="0" fontId="53" fillId="12" borderId="0" xfId="0" applyFont="1" applyFill="1" applyAlignment="1" applyProtection="1">
      <alignment vertical="center"/>
    </xf>
    <xf numFmtId="0" fontId="0" fillId="12" borderId="0" xfId="0" applyFill="1" applyProtection="1"/>
    <xf numFmtId="0" fontId="35" fillId="12" borderId="0" xfId="0" applyFont="1" applyFill="1" applyAlignment="1" applyProtection="1">
      <alignment horizontal="left" vertical="center"/>
    </xf>
    <xf numFmtId="183" fontId="0" fillId="12" borderId="0" xfId="0" applyNumberFormat="1" applyFill="1" applyAlignment="1" applyProtection="1">
      <alignment vertical="center"/>
    </xf>
    <xf numFmtId="0" fontId="18" fillId="12" borderId="0" xfId="1" applyFill="1" applyAlignment="1" applyProtection="1">
      <alignment vertical="center"/>
    </xf>
    <xf numFmtId="0" fontId="0" fillId="12" borderId="0" xfId="0" applyFill="1" applyBorder="1" applyAlignment="1" applyProtection="1">
      <alignment vertical="center"/>
    </xf>
    <xf numFmtId="0" fontId="53" fillId="12" borderId="0" xfId="0" applyFont="1" applyFill="1" applyBorder="1" applyAlignment="1" applyProtection="1">
      <alignment vertical="center"/>
    </xf>
    <xf numFmtId="0" fontId="0" fillId="12" borderId="0" xfId="0" applyFill="1" applyBorder="1" applyAlignment="1" applyProtection="1">
      <alignment vertical="center" shrinkToFit="1"/>
    </xf>
    <xf numFmtId="0" fontId="0" fillId="0" borderId="0" xfId="0" applyFill="1" applyBorder="1" applyAlignment="1" applyProtection="1">
      <alignment vertical="center" shrinkToFit="1"/>
    </xf>
    <xf numFmtId="0" fontId="14" fillId="0" borderId="0" xfId="0" applyFont="1" applyFill="1" applyAlignment="1" applyProtection="1">
      <alignment vertical="center"/>
    </xf>
    <xf numFmtId="0" fontId="53" fillId="0" borderId="36" xfId="0" applyFont="1" applyFill="1" applyBorder="1" applyAlignment="1" applyProtection="1">
      <alignment vertical="center"/>
    </xf>
    <xf numFmtId="0" fontId="53" fillId="0" borderId="36" xfId="0" applyFont="1" applyFill="1" applyBorder="1" applyAlignment="1" applyProtection="1">
      <alignment horizontal="center" vertical="center"/>
    </xf>
    <xf numFmtId="0" fontId="0" fillId="0" borderId="0" xfId="0" applyFill="1" applyAlignment="1" applyProtection="1">
      <alignment vertical="center" wrapText="1"/>
    </xf>
    <xf numFmtId="0" fontId="35" fillId="0" borderId="0" xfId="0" applyFont="1" applyFill="1" applyAlignment="1" applyProtection="1">
      <alignment vertical="center"/>
    </xf>
    <xf numFmtId="0" fontId="38" fillId="0" borderId="0" xfId="1" applyFont="1" applyFill="1" applyAlignment="1" applyProtection="1">
      <alignment vertical="center"/>
    </xf>
    <xf numFmtId="0" fontId="0" fillId="0" borderId="0" xfId="0" applyFill="1" applyAlignment="1" applyProtection="1">
      <alignment horizontal="right" vertical="center"/>
    </xf>
    <xf numFmtId="177" fontId="0" fillId="0" borderId="0" xfId="0" applyNumberFormat="1" applyFill="1" applyAlignment="1" applyProtection="1">
      <alignment vertical="center"/>
    </xf>
    <xf numFmtId="0" fontId="0" fillId="0" borderId="0" xfId="0" applyFill="1" applyAlignment="1" applyProtection="1">
      <alignment horizontal="left" vertical="center"/>
    </xf>
    <xf numFmtId="0" fontId="4" fillId="4" borderId="2" xfId="0" applyFont="1" applyFill="1" applyBorder="1" applyAlignment="1" applyProtection="1">
      <alignment horizontal="center" vertical="center"/>
    </xf>
    <xf numFmtId="182" fontId="3" fillId="4" borderId="8" xfId="0" applyNumberFormat="1" applyFont="1" applyFill="1" applyBorder="1" applyAlignment="1" applyProtection="1">
      <alignment vertical="center"/>
    </xf>
    <xf numFmtId="182" fontId="3" fillId="4" borderId="3" xfId="0" applyNumberFormat="1" applyFont="1" applyFill="1" applyBorder="1" applyAlignment="1" applyProtection="1">
      <alignment vertical="center"/>
    </xf>
    <xf numFmtId="185" fontId="3" fillId="4" borderId="8" xfId="0" applyNumberFormat="1" applyFont="1" applyFill="1" applyBorder="1" applyAlignment="1" applyProtection="1">
      <alignment vertical="center" shrinkToFit="1"/>
    </xf>
    <xf numFmtId="0" fontId="4" fillId="4" borderId="8" xfId="0" applyFont="1" applyFill="1" applyBorder="1" applyAlignment="1" applyProtection="1">
      <alignment vertical="center" wrapText="1"/>
    </xf>
    <xf numFmtId="185" fontId="3" fillId="4" borderId="3" xfId="0" applyNumberFormat="1" applyFont="1" applyFill="1" applyBorder="1" applyAlignment="1" applyProtection="1">
      <alignment vertical="center" shrinkToFit="1"/>
    </xf>
    <xf numFmtId="185" fontId="3" fillId="0" borderId="0" xfId="0" applyNumberFormat="1" applyFont="1" applyFill="1" applyBorder="1" applyAlignment="1" applyProtection="1">
      <alignment vertical="center" shrinkToFit="1"/>
    </xf>
    <xf numFmtId="0" fontId="3" fillId="4" borderId="29" xfId="0" applyFont="1" applyFill="1" applyBorder="1" applyAlignment="1" applyProtection="1">
      <alignment horizontal="center" vertical="center"/>
    </xf>
    <xf numFmtId="0" fontId="3" fillId="4" borderId="42" xfId="0" applyFont="1" applyFill="1" applyBorder="1" applyAlignment="1" applyProtection="1">
      <alignment horizontal="center" vertical="center"/>
    </xf>
    <xf numFmtId="0" fontId="3" fillId="4" borderId="22" xfId="0" applyFont="1" applyFill="1" applyBorder="1" applyAlignment="1" applyProtection="1">
      <alignment horizontal="center" vertical="center"/>
    </xf>
    <xf numFmtId="0" fontId="3" fillId="4" borderId="23" xfId="0" applyFont="1" applyFill="1" applyBorder="1" applyAlignment="1" applyProtection="1">
      <alignment horizontal="center" vertical="center"/>
    </xf>
    <xf numFmtId="0" fontId="3" fillId="13" borderId="22" xfId="0" applyFont="1" applyFill="1" applyBorder="1" applyAlignment="1" applyProtection="1">
      <alignment horizontal="center" vertical="center" wrapText="1"/>
    </xf>
    <xf numFmtId="0" fontId="3" fillId="13" borderId="42" xfId="0" applyFont="1" applyFill="1" applyBorder="1" applyAlignment="1" applyProtection="1">
      <alignment horizontal="center" vertical="center" wrapText="1"/>
    </xf>
    <xf numFmtId="0" fontId="3" fillId="4" borderId="21" xfId="0" applyFont="1" applyFill="1" applyBorder="1" applyAlignment="1" applyProtection="1">
      <alignment horizontal="center" vertical="center"/>
    </xf>
    <xf numFmtId="0" fontId="3" fillId="4" borderId="42" xfId="0" applyFont="1" applyFill="1" applyBorder="1" applyAlignment="1" applyProtection="1">
      <alignment horizontal="center" vertical="center" wrapText="1"/>
    </xf>
    <xf numFmtId="181" fontId="3" fillId="4" borderId="42" xfId="0" applyNumberFormat="1" applyFont="1" applyFill="1" applyBorder="1" applyAlignment="1" applyProtection="1">
      <alignment horizontal="center" vertical="center"/>
    </xf>
    <xf numFmtId="0" fontId="3" fillId="4" borderId="62" xfId="0" applyFont="1" applyFill="1" applyBorder="1" applyAlignment="1" applyProtection="1">
      <alignment horizontal="center" vertical="center"/>
    </xf>
    <xf numFmtId="183" fontId="3" fillId="4" borderId="62" xfId="0" applyNumberFormat="1" applyFont="1" applyFill="1" applyBorder="1" applyAlignment="1" applyProtection="1">
      <alignment horizontal="center" vertical="center"/>
    </xf>
    <xf numFmtId="183" fontId="3" fillId="4" borderId="11" xfId="0" applyNumberFormat="1" applyFont="1" applyFill="1" applyBorder="1" applyAlignment="1" applyProtection="1">
      <alignment horizontal="center" vertical="center"/>
    </xf>
    <xf numFmtId="0" fontId="3" fillId="4" borderId="11" xfId="0" applyFont="1" applyFill="1" applyBorder="1" applyAlignment="1" applyProtection="1">
      <alignment horizontal="center" vertical="center"/>
    </xf>
    <xf numFmtId="183" fontId="3" fillId="4" borderId="70" xfId="0" applyNumberFormat="1" applyFont="1" applyFill="1" applyBorder="1" applyAlignment="1" applyProtection="1">
      <alignment horizontal="center" vertical="center"/>
    </xf>
    <xf numFmtId="183" fontId="3" fillId="0" borderId="0" xfId="0" applyNumberFormat="1" applyFont="1" applyFill="1" applyBorder="1" applyAlignment="1" applyProtection="1">
      <alignment horizontal="center" vertical="center"/>
    </xf>
    <xf numFmtId="0" fontId="4" fillId="13" borderId="62" xfId="0" applyFont="1" applyFill="1" applyBorder="1" applyAlignment="1" applyProtection="1">
      <alignment horizontal="center" vertical="center" wrapText="1"/>
    </xf>
    <xf numFmtId="0" fontId="4" fillId="4" borderId="109" xfId="0" applyFont="1" applyFill="1" applyBorder="1" applyAlignment="1" applyProtection="1">
      <alignment horizontal="center" vertical="center" wrapText="1"/>
    </xf>
    <xf numFmtId="0" fontId="4" fillId="4" borderId="38" xfId="0" applyFont="1" applyFill="1" applyBorder="1" applyAlignment="1" applyProtection="1">
      <alignment horizontal="center" vertical="center" wrapText="1"/>
    </xf>
    <xf numFmtId="0" fontId="4" fillId="13" borderId="10" xfId="0" applyFont="1" applyFill="1" applyBorder="1" applyAlignment="1" applyProtection="1">
      <alignment horizontal="center" vertical="center" wrapText="1"/>
    </xf>
    <xf numFmtId="0" fontId="4" fillId="4" borderId="39" xfId="0" applyFont="1" applyFill="1" applyBorder="1" applyAlignment="1" applyProtection="1">
      <alignment horizontal="center" vertical="center" wrapText="1"/>
    </xf>
    <xf numFmtId="0" fontId="4" fillId="4" borderId="1" xfId="0" applyFont="1" applyFill="1" applyBorder="1" applyAlignment="1" applyProtection="1">
      <alignment horizontal="center" vertical="center" wrapText="1"/>
    </xf>
    <xf numFmtId="0" fontId="4" fillId="4" borderId="11" xfId="0" applyFont="1" applyFill="1" applyBorder="1" applyAlignment="1" applyProtection="1">
      <alignment horizontal="center" vertical="center" wrapText="1"/>
    </xf>
    <xf numFmtId="0" fontId="4" fillId="4" borderId="122" xfId="0" applyFont="1" applyFill="1" applyBorder="1" applyAlignment="1" applyProtection="1">
      <alignment horizontal="center" vertical="center" wrapText="1"/>
    </xf>
    <xf numFmtId="183" fontId="7" fillId="0" borderId="0" xfId="0" applyNumberFormat="1" applyFont="1" applyFill="1" applyBorder="1" applyAlignment="1" applyProtection="1">
      <alignment horizontal="center" vertical="center" wrapText="1"/>
    </xf>
    <xf numFmtId="0" fontId="6" fillId="4" borderId="130" xfId="0" applyFont="1" applyFill="1" applyBorder="1" applyAlignment="1" applyProtection="1">
      <alignment vertical="center" textRotation="255"/>
    </xf>
    <xf numFmtId="0" fontId="6" fillId="0" borderId="24" xfId="0" applyFont="1" applyBorder="1" applyAlignment="1" applyProtection="1">
      <alignment horizontal="center" vertical="center"/>
    </xf>
    <xf numFmtId="0" fontId="6" fillId="12" borderId="0" xfId="0" applyFont="1" applyFill="1" applyAlignment="1" applyProtection="1">
      <alignment horizontal="center" vertical="center"/>
    </xf>
    <xf numFmtId="0" fontId="3" fillId="4" borderId="131" xfId="0" applyFont="1" applyFill="1" applyBorder="1" applyAlignment="1" applyProtection="1">
      <alignment horizontal="center" vertical="center" shrinkToFit="1"/>
    </xf>
    <xf numFmtId="189" fontId="3" fillId="14" borderId="1" xfId="0" applyNumberFormat="1" applyFont="1" applyFill="1" applyBorder="1" applyAlignment="1" applyProtection="1">
      <alignment vertical="center"/>
    </xf>
    <xf numFmtId="14" fontId="3" fillId="14" borderId="10" xfId="0" applyNumberFormat="1" applyFont="1" applyFill="1" applyBorder="1" applyAlignment="1" applyProtection="1">
      <alignment vertical="center"/>
    </xf>
    <xf numFmtId="0" fontId="3" fillId="4" borderId="1" xfId="0" applyNumberFormat="1" applyFont="1" applyFill="1" applyBorder="1" applyAlignment="1" applyProtection="1">
      <alignment vertical="center"/>
      <protection hidden="1"/>
    </xf>
    <xf numFmtId="185" fontId="3" fillId="4" borderId="1" xfId="0" applyNumberFormat="1" applyFont="1" applyFill="1" applyBorder="1" applyAlignment="1" applyProtection="1">
      <alignment vertical="center" shrinkToFit="1"/>
      <protection hidden="1"/>
    </xf>
    <xf numFmtId="2" fontId="3" fillId="4" borderId="1" xfId="0" applyNumberFormat="1" applyFont="1" applyFill="1" applyBorder="1" applyAlignment="1" applyProtection="1">
      <alignment vertical="center"/>
      <protection hidden="1"/>
    </xf>
    <xf numFmtId="188" fontId="3" fillId="4" borderId="5" xfId="0" applyNumberFormat="1" applyFont="1" applyFill="1" applyBorder="1" applyAlignment="1" applyProtection="1">
      <alignment vertical="center" shrinkToFit="1"/>
      <protection hidden="1"/>
    </xf>
    <xf numFmtId="188" fontId="3" fillId="0" borderId="0" xfId="0" applyNumberFormat="1" applyFont="1" applyFill="1" applyBorder="1" applyAlignment="1" applyProtection="1">
      <alignment vertical="center" shrinkToFit="1"/>
      <protection hidden="1"/>
    </xf>
    <xf numFmtId="38" fontId="3" fillId="15" borderId="1" xfId="3" applyFont="1" applyFill="1" applyBorder="1" applyAlignment="1" applyProtection="1">
      <alignment vertical="center" shrinkToFit="1"/>
      <protection hidden="1"/>
    </xf>
    <xf numFmtId="0" fontId="3" fillId="15" borderId="1" xfId="0" applyNumberFormat="1" applyFont="1" applyFill="1" applyBorder="1" applyAlignment="1" applyProtection="1">
      <alignment vertical="center"/>
      <protection hidden="1"/>
    </xf>
    <xf numFmtId="0" fontId="3" fillId="15" borderId="1" xfId="0" applyFont="1" applyFill="1" applyBorder="1" applyAlignment="1" applyProtection="1">
      <alignment vertical="center"/>
      <protection hidden="1"/>
    </xf>
    <xf numFmtId="0" fontId="3" fillId="15" borderId="1" xfId="0" applyFont="1" applyFill="1" applyBorder="1" applyAlignment="1" applyProtection="1">
      <alignment vertical="center" shrinkToFit="1"/>
      <protection hidden="1"/>
    </xf>
    <xf numFmtId="0" fontId="3" fillId="16" borderId="1" xfId="0" applyFont="1" applyFill="1" applyBorder="1" applyAlignment="1" applyProtection="1">
      <alignment vertical="center"/>
      <protection hidden="1"/>
    </xf>
    <xf numFmtId="0" fontId="3" fillId="17" borderId="1" xfId="0" applyFont="1" applyFill="1" applyBorder="1" applyAlignment="1" applyProtection="1">
      <alignment vertical="center"/>
      <protection hidden="1"/>
    </xf>
    <xf numFmtId="0" fontId="3" fillId="0" borderId="0" xfId="0" applyFont="1" applyAlignment="1" applyProtection="1">
      <alignment vertical="center"/>
    </xf>
    <xf numFmtId="0" fontId="3" fillId="12" borderId="0" xfId="0" applyFont="1" applyFill="1" applyAlignment="1" applyProtection="1">
      <alignment vertical="center"/>
    </xf>
    <xf numFmtId="0" fontId="3" fillId="4" borderId="117" xfId="0" applyFont="1" applyFill="1" applyBorder="1" applyAlignment="1" applyProtection="1">
      <alignment horizontal="center" vertical="center" shrinkToFit="1"/>
    </xf>
    <xf numFmtId="0" fontId="0" fillId="0" borderId="0" xfId="0" applyBorder="1" applyAlignment="1" applyProtection="1">
      <alignment vertical="center"/>
    </xf>
    <xf numFmtId="182" fontId="1" fillId="0" borderId="108" xfId="0" applyNumberFormat="1" applyFont="1" applyFill="1" applyBorder="1" applyAlignment="1" applyProtection="1">
      <alignment horizontal="center" vertical="center"/>
      <protection locked="0"/>
    </xf>
    <xf numFmtId="0" fontId="56" fillId="0" borderId="1" xfId="0" applyNumberFormat="1" applyFont="1" applyBorder="1" applyAlignment="1" applyProtection="1">
      <alignment vertical="center"/>
    </xf>
    <xf numFmtId="0" fontId="14" fillId="0" borderId="0" xfId="0" applyFont="1" applyBorder="1" applyAlignment="1" applyProtection="1"/>
    <xf numFmtId="0" fontId="26" fillId="0" borderId="0" xfId="4" applyProtection="1">
      <alignment vertical="center"/>
    </xf>
    <xf numFmtId="0" fontId="26" fillId="0" borderId="0" xfId="4" applyFont="1" applyProtection="1">
      <alignment vertical="center"/>
    </xf>
    <xf numFmtId="0" fontId="14" fillId="0" borderId="0" xfId="0" applyFont="1" applyFill="1" applyProtection="1"/>
    <xf numFmtId="0" fontId="3" fillId="0" borderId="0" xfId="0" applyFont="1" applyFill="1" applyProtection="1"/>
    <xf numFmtId="0" fontId="3" fillId="2" borderId="29" xfId="0" applyFont="1" applyFill="1" applyBorder="1" applyAlignment="1" applyProtection="1"/>
    <xf numFmtId="0" fontId="3" fillId="2" borderId="22" xfId="0" applyFont="1" applyFill="1" applyBorder="1" applyAlignment="1" applyProtection="1"/>
    <xf numFmtId="0" fontId="0" fillId="2" borderId="22" xfId="0" applyFill="1" applyBorder="1" applyAlignment="1" applyProtection="1"/>
    <xf numFmtId="0" fontId="3" fillId="2" borderId="22" xfId="0" applyFont="1" applyFill="1" applyBorder="1" applyProtection="1"/>
    <xf numFmtId="0" fontId="0" fillId="2" borderId="132" xfId="0" applyFill="1" applyBorder="1" applyAlignment="1" applyProtection="1"/>
    <xf numFmtId="0" fontId="1" fillId="0" borderId="0" xfId="0" applyFont="1" applyFill="1" applyProtection="1"/>
    <xf numFmtId="0" fontId="0" fillId="2" borderId="31" xfId="0" applyFill="1" applyBorder="1" applyAlignment="1" applyProtection="1"/>
    <xf numFmtId="0" fontId="0" fillId="2" borderId="0" xfId="0" applyFill="1" applyBorder="1" applyAlignment="1" applyProtection="1"/>
    <xf numFmtId="0" fontId="3" fillId="2" borderId="0" xfId="0" applyFont="1" applyFill="1" applyBorder="1" applyProtection="1"/>
    <xf numFmtId="0" fontId="0" fillId="2" borderId="32" xfId="0" applyFill="1" applyBorder="1" applyAlignment="1" applyProtection="1"/>
    <xf numFmtId="0" fontId="1" fillId="0" borderId="0" xfId="0" applyFont="1" applyFill="1" applyAlignment="1" applyProtection="1">
      <alignment horizontal="right"/>
    </xf>
    <xf numFmtId="0" fontId="3" fillId="0" borderId="0" xfId="0" applyFont="1" applyFill="1" applyAlignment="1" applyProtection="1">
      <alignment horizontal="left"/>
    </xf>
    <xf numFmtId="0" fontId="0" fillId="2" borderId="33" xfId="0" applyFill="1" applyBorder="1" applyAlignment="1" applyProtection="1"/>
    <xf numFmtId="0" fontId="0" fillId="2" borderId="34" xfId="0" applyFill="1" applyBorder="1" applyAlignment="1" applyProtection="1"/>
    <xf numFmtId="0" fontId="3" fillId="2" borderId="34" xfId="0" applyFont="1" applyFill="1" applyBorder="1" applyProtection="1"/>
    <xf numFmtId="0" fontId="0" fillId="2" borderId="35" xfId="0" applyFill="1" applyBorder="1" applyAlignment="1" applyProtection="1"/>
    <xf numFmtId="182" fontId="1" fillId="10" borderId="38" xfId="0" applyNumberFormat="1" applyFont="1" applyFill="1" applyBorder="1" applyAlignment="1" applyProtection="1">
      <alignment horizontal="center" vertical="center"/>
    </xf>
    <xf numFmtId="182" fontId="1" fillId="2" borderId="133" xfId="0" applyNumberFormat="1" applyFont="1" applyFill="1" applyBorder="1" applyAlignment="1" applyProtection="1">
      <alignment horizontal="center" vertical="center"/>
    </xf>
    <xf numFmtId="182" fontId="1" fillId="2" borderId="41" xfId="0" applyNumberFormat="1" applyFont="1" applyFill="1" applyBorder="1" applyAlignment="1" applyProtection="1">
      <alignment horizontal="center" vertical="center"/>
    </xf>
    <xf numFmtId="182" fontId="1" fillId="2" borderId="101" xfId="0" applyNumberFormat="1" applyFont="1" applyFill="1" applyBorder="1" applyAlignment="1" applyProtection="1">
      <alignment horizontal="center" vertical="center"/>
    </xf>
    <xf numFmtId="0" fontId="59" fillId="0" borderId="0" xfId="0" applyFont="1" applyProtection="1"/>
    <xf numFmtId="182" fontId="1" fillId="2" borderId="102" xfId="0" applyNumberFormat="1" applyFont="1" applyFill="1" applyBorder="1" applyAlignment="1" applyProtection="1">
      <alignment horizontal="center" vertical="center"/>
    </xf>
    <xf numFmtId="182" fontId="1" fillId="2" borderId="10" xfId="0" applyNumberFormat="1" applyFont="1" applyFill="1" applyBorder="1" applyAlignment="1" applyProtection="1">
      <alignment horizontal="center" vertical="center"/>
    </xf>
    <xf numFmtId="182" fontId="1" fillId="2" borderId="134" xfId="0" applyNumberFormat="1" applyFont="1" applyFill="1" applyBorder="1" applyAlignment="1" applyProtection="1">
      <alignment horizontal="center" vertical="center"/>
    </xf>
    <xf numFmtId="182" fontId="1" fillId="2" borderId="135" xfId="0" applyNumberFormat="1" applyFont="1" applyFill="1" applyBorder="1" applyAlignment="1" applyProtection="1">
      <alignment horizontal="center" vertical="center"/>
    </xf>
    <xf numFmtId="182" fontId="1" fillId="10" borderId="36" xfId="0" applyNumberFormat="1" applyFont="1" applyFill="1" applyBorder="1" applyAlignment="1" applyProtection="1">
      <alignment horizontal="center" vertical="center"/>
    </xf>
    <xf numFmtId="182" fontId="1" fillId="2" borderId="108" xfId="0" applyNumberFormat="1" applyFont="1" applyFill="1" applyBorder="1" applyAlignment="1" applyProtection="1">
      <alignment horizontal="center" vertical="center"/>
    </xf>
    <xf numFmtId="182" fontId="1" fillId="2" borderId="1" xfId="0" applyNumberFormat="1" applyFont="1" applyFill="1" applyBorder="1" applyAlignment="1" applyProtection="1">
      <alignment horizontal="center" vertical="center"/>
    </xf>
    <xf numFmtId="182" fontId="1" fillId="10" borderId="37" xfId="0" applyNumberFormat="1" applyFont="1" applyFill="1" applyBorder="1" applyAlignment="1" applyProtection="1">
      <alignment horizontal="center" vertical="center"/>
    </xf>
    <xf numFmtId="182" fontId="1" fillId="2" borderId="103" xfId="0" applyNumberFormat="1" applyFont="1" applyFill="1" applyBorder="1" applyAlignment="1" applyProtection="1">
      <alignment horizontal="center" vertical="center"/>
    </xf>
    <xf numFmtId="182" fontId="1" fillId="2" borderId="62" xfId="0" applyNumberFormat="1" applyFont="1" applyFill="1" applyBorder="1" applyAlignment="1" applyProtection="1">
      <alignment horizontal="center" vertical="center"/>
    </xf>
    <xf numFmtId="182" fontId="1" fillId="2" borderId="143" xfId="0" applyNumberFormat="1" applyFont="1" applyFill="1" applyBorder="1" applyAlignment="1" applyProtection="1">
      <alignment horizontal="center" vertical="center"/>
    </xf>
    <xf numFmtId="182" fontId="1" fillId="10" borderId="123" xfId="0" applyNumberFormat="1" applyFont="1" applyFill="1" applyBorder="1" applyAlignment="1" applyProtection="1">
      <alignment horizontal="center" vertical="center"/>
    </xf>
    <xf numFmtId="182" fontId="1" fillId="2" borderId="105" xfId="0" applyNumberFormat="1" applyFont="1" applyFill="1" applyBorder="1" applyAlignment="1" applyProtection="1">
      <alignment horizontal="center" vertical="center"/>
    </xf>
    <xf numFmtId="182" fontId="1" fillId="2" borderId="106" xfId="0" applyNumberFormat="1" applyFont="1" applyFill="1" applyBorder="1" applyAlignment="1" applyProtection="1">
      <alignment horizontal="center" vertical="center"/>
    </xf>
    <xf numFmtId="182" fontId="1" fillId="2" borderId="2" xfId="0" applyNumberFormat="1" applyFont="1" applyFill="1" applyBorder="1" applyAlignment="1" applyProtection="1">
      <alignment horizontal="center" vertical="center"/>
    </xf>
    <xf numFmtId="182" fontId="1" fillId="2" borderId="3" xfId="0" applyNumberFormat="1" applyFont="1" applyFill="1" applyBorder="1" applyAlignment="1" applyProtection="1">
      <alignment horizontal="center" vertical="center"/>
    </xf>
    <xf numFmtId="182" fontId="1" fillId="2" borderId="44" xfId="0" applyNumberFormat="1" applyFont="1" applyFill="1" applyBorder="1" applyAlignment="1" applyProtection="1">
      <alignment horizontal="center" vertical="center"/>
    </xf>
    <xf numFmtId="182" fontId="1" fillId="2" borderId="8" xfId="0" applyNumberFormat="1" applyFont="1" applyFill="1" applyBorder="1" applyAlignment="1" applyProtection="1">
      <alignment horizontal="center" vertical="center"/>
    </xf>
    <xf numFmtId="182" fontId="1" fillId="2" borderId="132" xfId="0" applyNumberFormat="1" applyFont="1" applyFill="1" applyBorder="1" applyAlignment="1" applyProtection="1">
      <alignment horizontal="center" vertical="center"/>
    </xf>
    <xf numFmtId="182" fontId="1" fillId="2" borderId="111" xfId="0" applyNumberFormat="1" applyFont="1" applyFill="1" applyBorder="1" applyAlignment="1" applyProtection="1">
      <alignment horizontal="center" vertical="center"/>
    </xf>
    <xf numFmtId="182" fontId="1" fillId="2" borderId="110" xfId="0" applyNumberFormat="1" applyFont="1" applyFill="1" applyBorder="1" applyAlignment="1" applyProtection="1">
      <alignment horizontal="center" vertical="center"/>
    </xf>
    <xf numFmtId="182" fontId="1" fillId="2" borderId="6" xfId="0" applyNumberFormat="1" applyFont="1" applyFill="1" applyBorder="1" applyAlignment="1" applyProtection="1">
      <alignment horizontal="center" vertical="center"/>
    </xf>
    <xf numFmtId="182" fontId="1" fillId="2" borderId="7" xfId="0" applyNumberFormat="1" applyFont="1" applyFill="1" applyBorder="1" applyAlignment="1" applyProtection="1">
      <alignment horizontal="center" vertical="center"/>
    </xf>
    <xf numFmtId="182" fontId="1" fillId="2" borderId="50" xfId="0" applyNumberFormat="1" applyFont="1" applyFill="1" applyBorder="1" applyAlignment="1" applyProtection="1">
      <alignment horizontal="center" vertical="center"/>
    </xf>
    <xf numFmtId="182" fontId="1" fillId="2" borderId="9" xfId="0" applyNumberFormat="1" applyFont="1" applyFill="1" applyBorder="1" applyAlignment="1" applyProtection="1">
      <alignment horizontal="center" vertical="center"/>
    </xf>
    <xf numFmtId="182" fontId="1" fillId="2" borderId="146" xfId="0" applyNumberFormat="1" applyFont="1" applyFill="1" applyBorder="1" applyAlignment="1" applyProtection="1">
      <alignment horizontal="center" vertical="center"/>
    </xf>
    <xf numFmtId="182" fontId="1" fillId="10" borderId="147" xfId="0" applyNumberFormat="1" applyFont="1" applyFill="1" applyBorder="1" applyAlignment="1" applyProtection="1">
      <alignment horizontal="center" vertical="center"/>
    </xf>
    <xf numFmtId="182" fontId="1" fillId="2" borderId="148" xfId="0" applyNumberFormat="1" applyFont="1" applyFill="1" applyBorder="1" applyAlignment="1" applyProtection="1">
      <alignment horizontal="center" vertical="center"/>
    </xf>
    <xf numFmtId="182" fontId="1" fillId="2" borderId="64" xfId="0" applyNumberFormat="1" applyFont="1" applyFill="1" applyBorder="1" applyAlignment="1" applyProtection="1">
      <alignment horizontal="center" vertical="center"/>
    </xf>
    <xf numFmtId="182" fontId="1" fillId="2" borderId="149" xfId="0" applyNumberFormat="1" applyFont="1" applyFill="1" applyBorder="1" applyAlignment="1" applyProtection="1">
      <alignment horizontal="center" vertical="center"/>
    </xf>
    <xf numFmtId="0" fontId="60" fillId="0" borderId="0" xfId="0" applyFont="1" applyProtection="1"/>
    <xf numFmtId="0" fontId="3" fillId="0" borderId="0" xfId="0" applyFont="1" applyBorder="1" applyProtection="1"/>
    <xf numFmtId="0" fontId="3" fillId="0" borderId="0" xfId="0" applyFont="1" applyAlignment="1" applyProtection="1">
      <alignment horizontal="center"/>
    </xf>
    <xf numFmtId="0" fontId="3" fillId="0" borderId="0" xfId="0" applyFont="1" applyBorder="1" applyAlignment="1" applyProtection="1">
      <alignment wrapText="1"/>
    </xf>
    <xf numFmtId="0" fontId="12" fillId="0" borderId="0" xfId="0" applyFont="1" applyBorder="1" applyProtection="1"/>
    <xf numFmtId="0" fontId="0" fillId="0" borderId="0" xfId="0" applyAlignment="1" applyProtection="1"/>
    <xf numFmtId="0" fontId="40" fillId="0" borderId="0" xfId="0" applyFont="1"/>
    <xf numFmtId="0" fontId="53" fillId="0" borderId="0" xfId="0" applyFont="1" applyProtection="1"/>
    <xf numFmtId="0" fontId="41" fillId="0" borderId="0" xfId="4" applyFont="1">
      <alignment vertical="center"/>
    </xf>
    <xf numFmtId="0" fontId="43" fillId="0" borderId="0" xfId="4" applyFont="1">
      <alignment vertical="center"/>
    </xf>
    <xf numFmtId="0" fontId="0" fillId="0" borderId="0" xfId="0" applyFont="1" applyFill="1" applyAlignment="1" applyProtection="1">
      <alignment vertical="center"/>
    </xf>
    <xf numFmtId="0" fontId="0" fillId="0" borderId="0" xfId="0" applyFont="1" applyAlignment="1" applyProtection="1">
      <alignment vertical="center"/>
    </xf>
    <xf numFmtId="181" fontId="0" fillId="0" borderId="0" xfId="0" applyNumberFormat="1" applyFont="1" applyFill="1" applyAlignment="1" applyProtection="1">
      <alignment vertical="center"/>
    </xf>
    <xf numFmtId="178" fontId="0" fillId="0" borderId="0" xfId="0" applyNumberFormat="1" applyFont="1" applyFill="1" applyBorder="1" applyAlignment="1" applyProtection="1">
      <alignment vertical="center"/>
    </xf>
    <xf numFmtId="0" fontId="3" fillId="4" borderId="39" xfId="0" applyFont="1" applyFill="1" applyBorder="1" applyAlignment="1" applyProtection="1">
      <alignment horizontal="center" vertical="center" shrinkToFit="1"/>
    </xf>
    <xf numFmtId="0" fontId="3" fillId="4" borderId="0" xfId="0" applyFont="1" applyFill="1" applyBorder="1" applyAlignment="1" applyProtection="1">
      <alignment horizontal="center" vertical="center" shrinkToFit="1"/>
    </xf>
    <xf numFmtId="0" fontId="4" fillId="4" borderId="36" xfId="0" applyFont="1" applyFill="1" applyBorder="1" applyAlignment="1" applyProtection="1">
      <alignment horizontal="center" vertical="center" wrapText="1"/>
    </xf>
    <xf numFmtId="0" fontId="4" fillId="4" borderId="64" xfId="0" applyFont="1" applyFill="1" applyBorder="1" applyAlignment="1" applyProtection="1">
      <alignment vertical="center" wrapText="1"/>
    </xf>
    <xf numFmtId="0" fontId="4" fillId="4" borderId="153" xfId="0" applyFont="1" applyFill="1" applyBorder="1" applyAlignment="1" applyProtection="1">
      <alignment horizontal="center" vertical="center" textRotation="255" wrapText="1"/>
    </xf>
    <xf numFmtId="0" fontId="4" fillId="4" borderId="154" xfId="0" applyFont="1" applyFill="1" applyBorder="1" applyAlignment="1" applyProtection="1">
      <alignment horizontal="center" vertical="center" textRotation="255" wrapText="1"/>
    </xf>
    <xf numFmtId="0" fontId="4" fillId="4" borderId="155" xfId="0" applyFont="1" applyFill="1" applyBorder="1" applyAlignment="1" applyProtection="1">
      <alignment horizontal="center" vertical="center" wrapText="1"/>
    </xf>
    <xf numFmtId="0" fontId="4" fillId="4" borderId="154" xfId="0" applyFont="1" applyFill="1" applyBorder="1" applyAlignment="1" applyProtection="1">
      <alignment horizontal="center" vertical="center" wrapText="1"/>
    </xf>
    <xf numFmtId="0" fontId="4" fillId="13" borderId="9" xfId="0" applyFont="1" applyFill="1" applyBorder="1" applyAlignment="1" applyProtection="1">
      <alignment horizontal="center" vertical="center" wrapText="1"/>
    </xf>
    <xf numFmtId="0" fontId="4" fillId="4" borderId="110" xfId="0" applyFont="1" applyFill="1" applyBorder="1" applyAlignment="1" applyProtection="1">
      <alignment horizontal="center" vertical="center" wrapText="1"/>
    </xf>
    <xf numFmtId="0" fontId="4" fillId="4" borderId="9" xfId="0" applyFont="1" applyFill="1" applyBorder="1" applyAlignment="1" applyProtection="1">
      <alignment vertical="center" wrapText="1"/>
    </xf>
    <xf numFmtId="0" fontId="4" fillId="4" borderId="28" xfId="0" applyFont="1" applyFill="1" applyBorder="1" applyAlignment="1" applyProtection="1">
      <alignment vertical="center" wrapText="1"/>
    </xf>
    <xf numFmtId="0" fontId="4" fillId="4" borderId="27" xfId="0" applyFont="1" applyFill="1" applyBorder="1" applyAlignment="1" applyProtection="1">
      <alignment horizontal="center" vertical="center" wrapText="1"/>
    </xf>
    <xf numFmtId="0" fontId="4" fillId="4" borderId="26" xfId="0" applyFont="1" applyFill="1" applyBorder="1" applyAlignment="1" applyProtection="1">
      <alignment horizontal="center" vertical="center" wrapText="1"/>
    </xf>
    <xf numFmtId="0" fontId="4" fillId="4" borderId="26" xfId="0" applyFont="1" applyFill="1" applyBorder="1" applyAlignment="1" applyProtection="1">
      <alignment vertical="center" wrapText="1" shrinkToFit="1"/>
    </xf>
    <xf numFmtId="0" fontId="4" fillId="4" borderId="9" xfId="0" applyFont="1" applyFill="1" applyBorder="1" applyAlignment="1" applyProtection="1">
      <alignment horizontal="center" vertical="center" wrapText="1"/>
    </xf>
    <xf numFmtId="0" fontId="6" fillId="4" borderId="110" xfId="0" applyFont="1" applyFill="1" applyBorder="1" applyAlignment="1" applyProtection="1">
      <alignment horizontal="center" vertical="center" wrapText="1"/>
    </xf>
    <xf numFmtId="0" fontId="6" fillId="4" borderId="124" xfId="0" applyFont="1" applyFill="1" applyBorder="1" applyAlignment="1" applyProtection="1">
      <alignment horizontal="center" vertical="center" wrapText="1"/>
    </xf>
    <xf numFmtId="0" fontId="6" fillId="4" borderId="50" xfId="0" applyFont="1" applyFill="1" applyBorder="1" applyAlignment="1" applyProtection="1">
      <alignment horizontal="center" vertical="center" wrapText="1"/>
    </xf>
    <xf numFmtId="0" fontId="3" fillId="4" borderId="60" xfId="0" applyFont="1" applyFill="1" applyBorder="1" applyAlignment="1" applyProtection="1">
      <alignment horizontal="center" vertical="center" shrinkToFit="1"/>
      <protection hidden="1"/>
    </xf>
    <xf numFmtId="0" fontId="3" fillId="16" borderId="1" xfId="0" applyNumberFormat="1" applyFont="1" applyFill="1" applyBorder="1" applyAlignment="1" applyProtection="1">
      <alignment vertical="center"/>
      <protection hidden="1"/>
    </xf>
    <xf numFmtId="0" fontId="3" fillId="4" borderId="60" xfId="0" applyNumberFormat="1" applyFont="1" applyFill="1" applyBorder="1" applyAlignment="1" applyProtection="1">
      <alignment vertical="center" shrinkToFit="1"/>
      <protection hidden="1"/>
    </xf>
    <xf numFmtId="0" fontId="61" fillId="0" borderId="0" xfId="0" applyFont="1" applyFill="1" applyAlignment="1" applyProtection="1">
      <alignment horizontal="center" vertical="center"/>
    </xf>
    <xf numFmtId="0" fontId="55" fillId="18" borderId="183" xfId="0" applyFont="1" applyFill="1" applyBorder="1" applyAlignment="1" applyProtection="1">
      <alignment horizontal="center" vertical="center" shrinkToFit="1"/>
      <protection locked="0"/>
    </xf>
    <xf numFmtId="0" fontId="45" fillId="4" borderId="2" xfId="0" applyFont="1" applyFill="1" applyBorder="1" applyAlignment="1" applyProtection="1">
      <alignment vertical="center" wrapText="1"/>
    </xf>
    <xf numFmtId="0" fontId="45" fillId="4" borderId="8" xfId="0" applyFont="1" applyFill="1" applyBorder="1" applyAlignment="1" applyProtection="1">
      <alignment vertical="center" wrapText="1"/>
    </xf>
    <xf numFmtId="0" fontId="62" fillId="0" borderId="0" xfId="0" applyFont="1" applyFill="1" applyAlignment="1" applyProtection="1">
      <alignment vertical="center"/>
    </xf>
    <xf numFmtId="0" fontId="37" fillId="4" borderId="1" xfId="0" applyFont="1" applyFill="1" applyBorder="1" applyAlignment="1" applyProtection="1">
      <alignment horizontal="center" vertical="center" wrapText="1"/>
    </xf>
    <xf numFmtId="0" fontId="46" fillId="0" borderId="0" xfId="4" applyFont="1">
      <alignment vertical="center"/>
    </xf>
    <xf numFmtId="0" fontId="63" fillId="19" borderId="1" xfId="4" applyFont="1" applyFill="1" applyBorder="1">
      <alignment vertical="center"/>
    </xf>
    <xf numFmtId="0" fontId="63" fillId="0" borderId="0" xfId="4" applyFont="1">
      <alignment vertical="center"/>
    </xf>
    <xf numFmtId="0" fontId="64" fillId="11" borderId="1" xfId="2" applyFont="1" applyBorder="1" applyAlignment="1">
      <alignment horizontal="center"/>
    </xf>
    <xf numFmtId="0" fontId="30" fillId="0" borderId="0" xfId="4" applyFont="1" applyAlignment="1">
      <alignment vertical="center" shrinkToFit="1"/>
    </xf>
    <xf numFmtId="0" fontId="63" fillId="0" borderId="0" xfId="0" applyFont="1"/>
    <xf numFmtId="0" fontId="41" fillId="0" borderId="1" xfId="4" applyFont="1" applyBorder="1" applyAlignment="1">
      <alignment horizontal="center" vertical="center" shrinkToFit="1"/>
    </xf>
    <xf numFmtId="0" fontId="41" fillId="20" borderId="1" xfId="4" applyFont="1" applyFill="1" applyBorder="1" applyAlignment="1">
      <alignment vertical="center" shrinkToFit="1"/>
    </xf>
    <xf numFmtId="0" fontId="41" fillId="21" borderId="1" xfId="4" applyFont="1" applyFill="1" applyBorder="1" applyAlignment="1">
      <alignment vertical="center" shrinkToFit="1"/>
    </xf>
    <xf numFmtId="0" fontId="41" fillId="22" borderId="1" xfId="4" applyFont="1" applyFill="1" applyBorder="1" applyAlignment="1">
      <alignment vertical="center" shrinkToFit="1"/>
    </xf>
    <xf numFmtId="0" fontId="41" fillId="23" borderId="1" xfId="4" applyFont="1" applyFill="1" applyBorder="1" applyAlignment="1">
      <alignment vertical="center" shrinkToFit="1"/>
    </xf>
    <xf numFmtId="0" fontId="41" fillId="24" borderId="1" xfId="4" applyFont="1" applyFill="1" applyBorder="1" applyAlignment="1">
      <alignment vertical="center" shrinkToFit="1"/>
    </xf>
    <xf numFmtId="0" fontId="41" fillId="0" borderId="1" xfId="4" applyFont="1" applyFill="1" applyBorder="1" applyAlignment="1">
      <alignment vertical="center" shrinkToFit="1"/>
    </xf>
    <xf numFmtId="0" fontId="46" fillId="0" borderId="0" xfId="4" applyFont="1" applyAlignment="1">
      <alignment horizontal="right" vertical="center"/>
    </xf>
    <xf numFmtId="0" fontId="63" fillId="0" borderId="0" xfId="4" applyFont="1" applyAlignment="1">
      <alignment horizontal="left" vertical="center"/>
    </xf>
    <xf numFmtId="0" fontId="63" fillId="0" borderId="0" xfId="4" applyFont="1" applyAlignment="1">
      <alignment horizontal="left" vertical="center" indent="1"/>
    </xf>
    <xf numFmtId="0" fontId="3" fillId="4" borderId="42" xfId="0" applyFont="1" applyFill="1" applyBorder="1" applyAlignment="1" applyProtection="1">
      <alignment vertical="center"/>
      <protection locked="0"/>
    </xf>
    <xf numFmtId="0" fontId="3" fillId="4" borderId="1" xfId="0" applyFont="1" applyFill="1" applyBorder="1" applyAlignment="1" applyProtection="1">
      <alignment vertical="center"/>
      <protection locked="0"/>
    </xf>
    <xf numFmtId="0" fontId="3" fillId="4" borderId="10" xfId="0" applyFont="1" applyFill="1" applyBorder="1" applyAlignment="1" applyProtection="1">
      <alignment vertical="center"/>
      <protection locked="0"/>
    </xf>
    <xf numFmtId="183" fontId="0" fillId="0" borderId="0" xfId="0" applyNumberFormat="1" applyAlignment="1" applyProtection="1">
      <alignment vertical="center"/>
      <protection locked="0"/>
    </xf>
    <xf numFmtId="0" fontId="0" fillId="0" borderId="0" xfId="0" applyAlignment="1" applyProtection="1">
      <alignment vertical="center"/>
      <protection locked="0"/>
    </xf>
    <xf numFmtId="183" fontId="0" fillId="0" borderId="0" xfId="0" applyNumberFormat="1" applyFill="1" applyAlignment="1" applyProtection="1">
      <alignment vertical="center"/>
      <protection locked="0"/>
    </xf>
    <xf numFmtId="0" fontId="0" fillId="0" borderId="0" xfId="0" applyFill="1" applyAlignment="1" applyProtection="1">
      <alignment vertical="center"/>
      <protection locked="0"/>
    </xf>
    <xf numFmtId="183" fontId="0" fillId="12" borderId="0" xfId="0" applyNumberFormat="1" applyFill="1" applyAlignment="1" applyProtection="1">
      <alignment vertical="center"/>
      <protection locked="0"/>
    </xf>
    <xf numFmtId="0" fontId="0" fillId="12" borderId="0" xfId="0" applyFill="1" applyAlignment="1" applyProtection="1">
      <alignment vertical="center"/>
      <protection locked="0"/>
    </xf>
    <xf numFmtId="0" fontId="53" fillId="0" borderId="0" xfId="0" applyFont="1" applyFill="1" applyAlignment="1" applyProtection="1">
      <alignment vertical="center"/>
      <protection locked="0"/>
    </xf>
    <xf numFmtId="183" fontId="4" fillId="0" borderId="0" xfId="0" applyNumberFormat="1" applyFont="1" applyFill="1" applyBorder="1" applyAlignment="1" applyProtection="1">
      <alignment horizontal="right" vertical="center" wrapText="1"/>
      <protection locked="0"/>
    </xf>
    <xf numFmtId="0" fontId="4" fillId="0" borderId="0" xfId="0" applyFont="1" applyAlignment="1" applyProtection="1">
      <alignment vertical="center" wrapText="1"/>
      <protection locked="0"/>
    </xf>
    <xf numFmtId="0" fontId="4" fillId="0" borderId="0" xfId="0" applyFont="1" applyFill="1" applyAlignment="1" applyProtection="1">
      <alignment vertical="center" wrapText="1"/>
      <protection locked="0"/>
    </xf>
    <xf numFmtId="183" fontId="3" fillId="0" borderId="0" xfId="0" applyNumberFormat="1" applyFont="1" applyFill="1" applyBorder="1" applyAlignment="1" applyProtection="1">
      <alignment horizontal="center" vertical="center"/>
      <protection locked="0"/>
    </xf>
    <xf numFmtId="183" fontId="4" fillId="0" borderId="0" xfId="0" applyNumberFormat="1" applyFont="1" applyFill="1" applyBorder="1" applyAlignment="1" applyProtection="1">
      <alignment horizontal="center" vertical="center" wrapText="1"/>
      <protection locked="0"/>
    </xf>
    <xf numFmtId="0" fontId="65" fillId="0" borderId="0" xfId="0" applyFont="1" applyFill="1" applyAlignment="1" applyProtection="1">
      <alignment vertical="center" wrapText="1"/>
      <protection locked="0"/>
    </xf>
    <xf numFmtId="183" fontId="7" fillId="0" borderId="0" xfId="0" applyNumberFormat="1" applyFont="1" applyFill="1" applyBorder="1" applyAlignment="1" applyProtection="1">
      <alignment horizontal="right" vertical="center" wrapText="1"/>
      <protection locked="0"/>
    </xf>
    <xf numFmtId="183" fontId="66" fillId="0" borderId="0" xfId="0" applyNumberFormat="1" applyFont="1" applyFill="1" applyBorder="1" applyAlignment="1" applyProtection="1">
      <alignment horizontal="left" vertical="center" wrapText="1"/>
      <protection locked="0"/>
    </xf>
    <xf numFmtId="0" fontId="67" fillId="0" borderId="0" xfId="0" applyFont="1" applyAlignment="1" applyProtection="1">
      <alignment vertical="center" wrapText="1"/>
      <protection locked="0"/>
    </xf>
    <xf numFmtId="0" fontId="3" fillId="0" borderId="0" xfId="0" applyFont="1" applyAlignment="1" applyProtection="1">
      <alignment vertical="center" wrapText="1"/>
      <protection locked="0"/>
    </xf>
    <xf numFmtId="0" fontId="0" fillId="0" borderId="0" xfId="0" applyAlignment="1" applyProtection="1">
      <alignment vertical="center" wrapText="1"/>
      <protection locked="0"/>
    </xf>
    <xf numFmtId="183" fontId="7" fillId="0" borderId="0" xfId="0" applyNumberFormat="1" applyFont="1" applyFill="1" applyBorder="1" applyAlignment="1" applyProtection="1">
      <alignment horizontal="center" vertical="center" wrapText="1"/>
      <protection locked="0"/>
    </xf>
    <xf numFmtId="183" fontId="7" fillId="15" borderId="1" xfId="0" applyNumberFormat="1" applyFont="1" applyFill="1" applyBorder="1" applyAlignment="1" applyProtection="1">
      <alignment horizontal="center" vertical="center" textRotation="255" wrapText="1"/>
      <protection locked="0"/>
    </xf>
    <xf numFmtId="0" fontId="6" fillId="15" borderId="1" xfId="0" applyFont="1" applyFill="1" applyBorder="1" applyAlignment="1" applyProtection="1">
      <alignment vertical="center" wrapText="1"/>
      <protection locked="0"/>
    </xf>
    <xf numFmtId="0" fontId="6" fillId="16" borderId="1" xfId="0" applyFont="1" applyFill="1" applyBorder="1" applyAlignment="1" applyProtection="1">
      <alignment vertical="center" wrapText="1"/>
      <protection locked="0"/>
    </xf>
    <xf numFmtId="0" fontId="4" fillId="16" borderId="1" xfId="0" applyFont="1" applyFill="1" applyBorder="1" applyAlignment="1" applyProtection="1">
      <alignment vertical="center" wrapText="1"/>
      <protection locked="0"/>
    </xf>
    <xf numFmtId="0" fontId="4" fillId="15" borderId="1" xfId="0" applyFont="1" applyFill="1" applyBorder="1" applyAlignment="1" applyProtection="1">
      <alignment vertical="center" wrapText="1"/>
      <protection locked="0"/>
    </xf>
    <xf numFmtId="0" fontId="65" fillId="17" borderId="1" xfId="0" applyFont="1" applyFill="1" applyBorder="1" applyAlignment="1" applyProtection="1">
      <alignment vertical="center" wrapText="1"/>
      <protection locked="0"/>
    </xf>
    <xf numFmtId="188" fontId="3" fillId="0" borderId="0" xfId="0" applyNumberFormat="1" applyFont="1" applyFill="1" applyBorder="1" applyAlignment="1" applyProtection="1">
      <alignment vertical="center" shrinkToFit="1"/>
      <protection locked="0" hidden="1"/>
    </xf>
    <xf numFmtId="177" fontId="0" fillId="0" borderId="156" xfId="0" applyNumberFormat="1" applyFill="1" applyBorder="1" applyAlignment="1" applyProtection="1">
      <alignment vertical="center" shrinkToFit="1"/>
    </xf>
    <xf numFmtId="177" fontId="1" fillId="0" borderId="107" xfId="0" applyNumberFormat="1" applyFont="1" applyFill="1" applyBorder="1" applyAlignment="1" applyProtection="1">
      <alignment vertical="center" shrinkToFit="1"/>
    </xf>
    <xf numFmtId="177" fontId="53" fillId="0" borderId="107" xfId="0" applyNumberFormat="1" applyFont="1" applyFill="1" applyBorder="1" applyAlignment="1" applyProtection="1">
      <alignment vertical="center" shrinkToFit="1"/>
    </xf>
    <xf numFmtId="177" fontId="1" fillId="0" borderId="157" xfId="0" applyNumberFormat="1" applyFont="1" applyFill="1" applyBorder="1" applyAlignment="1" applyProtection="1">
      <alignment vertical="center" shrinkToFit="1"/>
    </xf>
    <xf numFmtId="180" fontId="1" fillId="0" borderId="156" xfId="0" applyNumberFormat="1" applyFont="1" applyFill="1" applyBorder="1" applyAlignment="1">
      <alignment horizontal="center" vertical="center"/>
    </xf>
    <xf numFmtId="180" fontId="1" fillId="0" borderId="107" xfId="0" applyNumberFormat="1" applyFont="1" applyFill="1" applyBorder="1" applyAlignment="1">
      <alignment horizontal="center" vertical="center"/>
    </xf>
    <xf numFmtId="180" fontId="0" fillId="0" borderId="107" xfId="0" applyNumberFormat="1" applyFill="1" applyBorder="1" applyAlignment="1">
      <alignment horizontal="center" vertical="center"/>
    </xf>
    <xf numFmtId="180" fontId="1" fillId="0" borderId="138" xfId="0" applyNumberFormat="1" applyFont="1" applyFill="1" applyBorder="1" applyAlignment="1">
      <alignment horizontal="center" vertical="center"/>
    </xf>
    <xf numFmtId="181" fontId="1" fillId="0" borderId="158" xfId="0" applyNumberFormat="1" applyFont="1" applyFill="1" applyBorder="1" applyAlignment="1">
      <alignment horizontal="center" vertical="center"/>
    </xf>
    <xf numFmtId="187" fontId="0" fillId="0" borderId="55" xfId="0" applyNumberFormat="1" applyFill="1" applyBorder="1" applyAlignment="1" applyProtection="1">
      <alignment vertical="center"/>
      <protection locked="0"/>
    </xf>
    <xf numFmtId="187" fontId="1" fillId="0" borderId="8" xfId="0" applyNumberFormat="1" applyFont="1" applyFill="1" applyBorder="1" applyAlignment="1" applyProtection="1">
      <alignment vertical="center"/>
      <protection locked="0"/>
    </xf>
    <xf numFmtId="187" fontId="1" fillId="0" borderId="1" xfId="0" applyNumberFormat="1" applyFont="1" applyFill="1" applyBorder="1" applyAlignment="1" applyProtection="1">
      <alignment vertical="center"/>
      <protection locked="0"/>
    </xf>
    <xf numFmtId="187" fontId="1" fillId="0" borderId="9" xfId="0" applyNumberFormat="1" applyFont="1" applyFill="1" applyBorder="1" applyAlignment="1" applyProtection="1">
      <alignment vertical="center"/>
      <protection locked="0"/>
    </xf>
    <xf numFmtId="183" fontId="1" fillId="0" borderId="156" xfId="0" applyNumberFormat="1" applyFont="1" applyFill="1" applyBorder="1" applyAlignment="1" applyProtection="1">
      <alignment horizontal="center" vertical="center"/>
      <protection locked="0"/>
    </xf>
    <xf numFmtId="183" fontId="1" fillId="0" borderId="107" xfId="0" applyNumberFormat="1" applyFont="1" applyFill="1" applyBorder="1" applyAlignment="1" applyProtection="1">
      <alignment horizontal="center" vertical="center"/>
      <protection locked="0"/>
    </xf>
    <xf numFmtId="183" fontId="1" fillId="0" borderId="138" xfId="0" applyNumberFormat="1" applyFont="1" applyFill="1" applyBorder="1" applyAlignment="1" applyProtection="1">
      <alignment horizontal="center" vertical="center"/>
      <protection locked="0"/>
    </xf>
    <xf numFmtId="183" fontId="1" fillId="0" borderId="159" xfId="0" applyNumberFormat="1" applyFont="1" applyFill="1" applyBorder="1" applyAlignment="1" applyProtection="1">
      <alignment horizontal="center" vertical="center"/>
      <protection locked="0"/>
    </xf>
    <xf numFmtId="0" fontId="26" fillId="25" borderId="1" xfId="4" applyFill="1" applyBorder="1">
      <alignment vertical="center"/>
    </xf>
    <xf numFmtId="0" fontId="48" fillId="0" borderId="0" xfId="4" applyFont="1" applyAlignment="1">
      <alignment horizontal="center" vertical="center"/>
    </xf>
    <xf numFmtId="0" fontId="0" fillId="0" borderId="0" xfId="4" applyFont="1">
      <alignment vertical="center"/>
    </xf>
    <xf numFmtId="0" fontId="0" fillId="0" borderId="0" xfId="0" applyAlignment="1">
      <alignment horizontal="right"/>
    </xf>
    <xf numFmtId="0" fontId="3" fillId="0" borderId="2" xfId="6" applyFont="1" applyBorder="1"/>
    <xf numFmtId="0" fontId="3" fillId="0" borderId="3" xfId="6" applyFont="1" applyBorder="1"/>
    <xf numFmtId="0" fontId="3" fillId="0" borderId="0" xfId="6" applyFont="1"/>
    <xf numFmtId="0" fontId="3" fillId="0" borderId="4" xfId="6" applyFont="1" applyBorder="1"/>
    <xf numFmtId="0" fontId="3" fillId="0" borderId="5" xfId="6" applyFont="1" applyBorder="1"/>
    <xf numFmtId="0" fontId="3" fillId="0" borderId="99" xfId="6" applyFont="1" applyBorder="1"/>
    <xf numFmtId="0" fontId="3" fillId="0" borderId="83" xfId="6" applyFont="1" applyBorder="1"/>
    <xf numFmtId="0" fontId="3" fillId="0" borderId="5" xfId="6" applyFont="1" applyBorder="1" applyAlignment="1">
      <alignment shrinkToFit="1"/>
    </xf>
    <xf numFmtId="0" fontId="3" fillId="0" borderId="6" xfId="6" applyFont="1" applyBorder="1"/>
    <xf numFmtId="0" fontId="3" fillId="0" borderId="7" xfId="6" applyFont="1" applyBorder="1"/>
    <xf numFmtId="0" fontId="1" fillId="0" borderId="0" xfId="6" applyFont="1"/>
    <xf numFmtId="0" fontId="31" fillId="0" borderId="0" xfId="6" applyFont="1"/>
    <xf numFmtId="0" fontId="70" fillId="0" borderId="0" xfId="0" applyFont="1"/>
    <xf numFmtId="0" fontId="71" fillId="4" borderId="36" xfId="0" applyFont="1" applyFill="1" applyBorder="1" applyAlignment="1">
      <alignment vertical="center"/>
    </xf>
    <xf numFmtId="177" fontId="0" fillId="24" borderId="21" xfId="0" applyNumberFormat="1" applyFill="1" applyBorder="1" applyAlignment="1" applyProtection="1">
      <alignment vertical="center"/>
    </xf>
    <xf numFmtId="177" fontId="1" fillId="24" borderId="24" xfId="0" applyNumberFormat="1" applyFont="1" applyFill="1" applyBorder="1" applyAlignment="1" applyProtection="1">
      <alignment vertical="center"/>
    </xf>
    <xf numFmtId="177" fontId="1" fillId="24" borderId="26" xfId="0" applyNumberFormat="1" applyFont="1" applyFill="1" applyBorder="1" applyAlignment="1" applyProtection="1">
      <alignment vertical="center"/>
    </xf>
    <xf numFmtId="0" fontId="0" fillId="24" borderId="21" xfId="0" applyFill="1" applyBorder="1" applyAlignment="1" applyProtection="1">
      <alignment vertical="center"/>
    </xf>
    <xf numFmtId="0" fontId="0" fillId="24" borderId="22" xfId="0" applyFill="1" applyBorder="1" applyAlignment="1" applyProtection="1">
      <alignment vertical="center"/>
    </xf>
    <xf numFmtId="0" fontId="0" fillId="24" borderId="23" xfId="0" applyFill="1" applyBorder="1" applyAlignment="1" applyProtection="1">
      <alignment vertical="center"/>
    </xf>
    <xf numFmtId="0" fontId="0" fillId="24" borderId="24" xfId="0" applyFill="1" applyBorder="1" applyAlignment="1" applyProtection="1">
      <alignment vertical="center"/>
    </xf>
    <xf numFmtId="0" fontId="0" fillId="24" borderId="0" xfId="0" applyFill="1" applyBorder="1" applyAlignment="1" applyProtection="1">
      <alignment vertical="center"/>
    </xf>
    <xf numFmtId="0" fontId="0" fillId="24" borderId="25" xfId="0" applyFill="1" applyBorder="1" applyAlignment="1" applyProtection="1">
      <alignment vertical="center"/>
    </xf>
    <xf numFmtId="0" fontId="0" fillId="24" borderId="26" xfId="0" applyFill="1" applyBorder="1" applyAlignment="1" applyProtection="1">
      <alignment vertical="center"/>
    </xf>
    <xf numFmtId="0" fontId="0" fillId="24" borderId="27" xfId="0" applyFill="1" applyBorder="1" applyAlignment="1" applyProtection="1">
      <alignment vertical="center"/>
    </xf>
    <xf numFmtId="0" fontId="0" fillId="24" borderId="28" xfId="0" applyFill="1" applyBorder="1" applyAlignment="1" applyProtection="1">
      <alignment vertical="center"/>
    </xf>
    <xf numFmtId="0" fontId="44" fillId="4" borderId="1" xfId="0" applyFont="1" applyFill="1" applyBorder="1" applyAlignment="1" applyProtection="1">
      <alignment horizontal="center" vertical="center" wrapText="1" shrinkToFit="1"/>
    </xf>
    <xf numFmtId="0" fontId="53" fillId="0" borderId="60" xfId="0" applyFont="1" applyFill="1" applyBorder="1" applyAlignment="1" applyProtection="1">
      <alignment vertical="center"/>
    </xf>
    <xf numFmtId="14" fontId="39" fillId="0" borderId="60" xfId="0" applyNumberFormat="1" applyFont="1" applyBorder="1" applyAlignment="1" applyProtection="1">
      <alignment vertical="center"/>
    </xf>
    <xf numFmtId="14" fontId="56" fillId="0" borderId="60" xfId="0" applyNumberFormat="1" applyFont="1" applyBorder="1" applyAlignment="1" applyProtection="1">
      <alignment vertical="center"/>
    </xf>
    <xf numFmtId="14" fontId="8" fillId="0" borderId="0" xfId="0" applyNumberFormat="1" applyFont="1" applyAlignment="1" applyProtection="1">
      <alignment horizontal="left" vertical="center"/>
    </xf>
    <xf numFmtId="14" fontId="39" fillId="0" borderId="39" xfId="0" applyNumberFormat="1" applyFont="1" applyBorder="1" applyAlignment="1" applyProtection="1">
      <alignment vertical="center"/>
    </xf>
    <xf numFmtId="14" fontId="56" fillId="0" borderId="1" xfId="0" applyNumberFormat="1" applyFont="1" applyBorder="1" applyAlignment="1" applyProtection="1">
      <alignment vertical="center"/>
    </xf>
    <xf numFmtId="14" fontId="53" fillId="0" borderId="60" xfId="0" applyNumberFormat="1" applyFont="1" applyFill="1" applyBorder="1" applyAlignment="1" applyProtection="1">
      <alignment vertical="center" shrinkToFit="1"/>
    </xf>
    <xf numFmtId="14" fontId="53" fillId="0" borderId="60" xfId="0" applyNumberFormat="1" applyFont="1" applyFill="1" applyBorder="1" applyAlignment="1" applyProtection="1">
      <alignment horizontal="right" vertical="center" shrinkToFit="1"/>
    </xf>
    <xf numFmtId="14" fontId="53" fillId="0" borderId="39" xfId="0" applyNumberFormat="1" applyFont="1" applyFill="1" applyBorder="1" applyAlignment="1" applyProtection="1">
      <alignment horizontal="left" vertical="center" shrinkToFit="1"/>
    </xf>
    <xf numFmtId="191" fontId="25" fillId="4" borderId="0" xfId="0" applyNumberFormat="1" applyFont="1" applyFill="1" applyAlignment="1">
      <alignment horizontal="center" vertical="center" shrinkToFit="1"/>
    </xf>
    <xf numFmtId="0" fontId="53" fillId="0" borderId="1" xfId="0" applyFont="1" applyBorder="1" applyAlignment="1" applyProtection="1">
      <alignment vertical="center" shrinkToFit="1"/>
    </xf>
    <xf numFmtId="0" fontId="8" fillId="0" borderId="39" xfId="0" applyFont="1" applyBorder="1" applyAlignment="1" applyProtection="1">
      <alignment horizontal="justify" vertical="center"/>
    </xf>
    <xf numFmtId="0" fontId="0" fillId="0" borderId="1" xfId="0" applyFont="1" applyBorder="1" applyAlignment="1" applyProtection="1">
      <alignment vertical="center"/>
    </xf>
    <xf numFmtId="0" fontId="0" fillId="0" borderId="39" xfId="0" applyFont="1" applyBorder="1" applyAlignment="1" applyProtection="1">
      <alignment vertical="center"/>
    </xf>
    <xf numFmtId="0" fontId="73" fillId="0" borderId="0" xfId="0" applyFont="1" applyAlignment="1">
      <alignment vertical="center"/>
    </xf>
    <xf numFmtId="0" fontId="74" fillId="0" borderId="0" xfId="0" applyFont="1" applyAlignment="1">
      <alignment vertical="center"/>
    </xf>
    <xf numFmtId="0" fontId="74" fillId="0" borderId="38" xfId="0" applyFont="1" applyBorder="1" applyAlignment="1">
      <alignment horizontal="centerContinuous" vertical="center"/>
    </xf>
    <xf numFmtId="0" fontId="3" fillId="26" borderId="4" xfId="0" applyFont="1" applyFill="1" applyBorder="1"/>
    <xf numFmtId="0" fontId="3" fillId="26" borderId="1" xfId="0" applyFont="1" applyFill="1" applyBorder="1"/>
    <xf numFmtId="0" fontId="3" fillId="26" borderId="1" xfId="0" applyFont="1" applyFill="1" applyBorder="1" applyAlignment="1">
      <alignment horizontal="center"/>
    </xf>
    <xf numFmtId="0" fontId="3" fillId="26" borderId="5" xfId="0" applyFont="1" applyFill="1" applyBorder="1"/>
    <xf numFmtId="0" fontId="3" fillId="26" borderId="39" xfId="0" applyFont="1" applyFill="1" applyBorder="1"/>
    <xf numFmtId="0" fontId="3" fillId="26" borderId="11" xfId="0" applyFont="1" applyFill="1" applyBorder="1"/>
    <xf numFmtId="0" fontId="3" fillId="26" borderId="11" xfId="0" applyFont="1" applyFill="1" applyBorder="1" applyAlignment="1">
      <alignment horizontal="center"/>
    </xf>
    <xf numFmtId="0" fontId="3" fillId="26" borderId="81" xfId="0" applyFont="1" applyFill="1" applyBorder="1"/>
    <xf numFmtId="0" fontId="3" fillId="0" borderId="1" xfId="0" applyFont="1" applyFill="1" applyBorder="1" applyAlignment="1">
      <alignment horizontal="center"/>
    </xf>
    <xf numFmtId="0" fontId="0" fillId="0" borderId="1" xfId="0" applyFill="1" applyBorder="1" applyAlignment="1">
      <alignment horizontal="center" vertical="center"/>
    </xf>
    <xf numFmtId="0" fontId="0" fillId="0" borderId="1" xfId="0" applyFill="1" applyBorder="1" applyAlignment="1">
      <alignment vertical="center"/>
    </xf>
    <xf numFmtId="183" fontId="1" fillId="18" borderId="102" xfId="0" applyNumberFormat="1" applyFont="1" applyFill="1" applyBorder="1" applyAlignment="1" applyProtection="1">
      <alignment horizontal="center" vertical="center"/>
      <protection locked="0"/>
    </xf>
    <xf numFmtId="183" fontId="1" fillId="18" borderId="10" xfId="0" applyNumberFormat="1" applyFont="1" applyFill="1" applyBorder="1" applyAlignment="1" applyProtection="1">
      <alignment horizontal="center" vertical="center"/>
      <protection locked="0"/>
    </xf>
    <xf numFmtId="183" fontId="1" fillId="18" borderId="103" xfId="0" applyNumberFormat="1" applyFont="1" applyFill="1" applyBorder="1" applyAlignment="1" applyProtection="1">
      <alignment horizontal="center" vertical="center"/>
      <protection locked="0"/>
    </xf>
    <xf numFmtId="183" fontId="1" fillId="18" borderId="0" xfId="0" applyNumberFormat="1" applyFont="1" applyFill="1" applyBorder="1" applyAlignment="1" applyProtection="1">
      <alignment horizontal="center" vertical="center"/>
      <protection locked="0"/>
    </xf>
    <xf numFmtId="183" fontId="1" fillId="18" borderId="111" xfId="0" applyNumberFormat="1" applyFont="1" applyFill="1" applyBorder="1" applyAlignment="1" applyProtection="1">
      <alignment horizontal="center" vertical="center"/>
      <protection locked="0"/>
    </xf>
    <xf numFmtId="183" fontId="1" fillId="18" borderId="124" xfId="0" applyNumberFormat="1" applyFont="1" applyFill="1" applyBorder="1" applyAlignment="1" applyProtection="1">
      <alignment horizontal="center" vertical="center"/>
      <protection locked="0"/>
    </xf>
    <xf numFmtId="179" fontId="3" fillId="8" borderId="1" xfId="0" applyNumberFormat="1" applyFont="1" applyFill="1" applyBorder="1" applyAlignment="1" applyProtection="1">
      <alignment vertical="center" shrinkToFit="1"/>
      <protection locked="0"/>
    </xf>
    <xf numFmtId="0" fontId="3" fillId="0" borderId="127" xfId="0" applyFont="1" applyBorder="1" applyAlignment="1">
      <alignment horizontal="center" vertical="center" wrapText="1"/>
    </xf>
    <xf numFmtId="0" fontId="42" fillId="0" borderId="181" xfId="0" applyFont="1" applyBorder="1" applyAlignment="1">
      <alignment vertical="center" wrapText="1"/>
    </xf>
    <xf numFmtId="0" fontId="42" fillId="0" borderId="190" xfId="0" applyFont="1" applyBorder="1" applyAlignment="1">
      <alignment vertical="center" wrapText="1"/>
    </xf>
    <xf numFmtId="0" fontId="3" fillId="0" borderId="188" xfId="0" applyFont="1" applyBorder="1" applyAlignment="1">
      <alignment vertical="center" wrapText="1"/>
    </xf>
    <xf numFmtId="0" fontId="3" fillId="0" borderId="188" xfId="0" quotePrefix="1" applyFont="1" applyBorder="1" applyAlignment="1">
      <alignment horizontal="center" vertical="center" wrapText="1"/>
    </xf>
    <xf numFmtId="0" fontId="42" fillId="0" borderId="61" xfId="0" applyFont="1" applyBorder="1" applyAlignment="1">
      <alignment vertical="center" wrapText="1"/>
    </xf>
    <xf numFmtId="0" fontId="42" fillId="0" borderId="191" xfId="0" applyFont="1" applyBorder="1" applyAlignment="1">
      <alignment vertical="center" wrapText="1"/>
    </xf>
    <xf numFmtId="0" fontId="3" fillId="0" borderId="192" xfId="0" applyFont="1" applyBorder="1" applyAlignment="1">
      <alignment vertical="center" wrapText="1"/>
    </xf>
    <xf numFmtId="0" fontId="42" fillId="0" borderId="63" xfId="0" applyFont="1" applyBorder="1" applyAlignment="1">
      <alignment vertical="center" wrapText="1"/>
    </xf>
    <xf numFmtId="0" fontId="42" fillId="0" borderId="194" xfId="0" applyFont="1" applyBorder="1" applyAlignment="1">
      <alignment vertical="center" wrapText="1"/>
    </xf>
    <xf numFmtId="0" fontId="3" fillId="0" borderId="195" xfId="0" applyFont="1" applyBorder="1" applyAlignment="1">
      <alignment vertical="center" wrapText="1"/>
    </xf>
    <xf numFmtId="0" fontId="0" fillId="4" borderId="3" xfId="0" applyFont="1" applyFill="1" applyBorder="1" applyAlignment="1">
      <alignment horizontal="center" vertical="center" shrinkToFit="1"/>
    </xf>
    <xf numFmtId="0" fontId="0" fillId="4" borderId="5" xfId="0" applyFont="1" applyFill="1" applyBorder="1" applyAlignment="1">
      <alignment horizontal="center" vertical="center" shrinkToFit="1"/>
    </xf>
    <xf numFmtId="0" fontId="0" fillId="4" borderId="45" xfId="0" applyFont="1" applyFill="1" applyBorder="1" applyAlignment="1">
      <alignment vertical="center"/>
    </xf>
    <xf numFmtId="0" fontId="0" fillId="4" borderId="39" xfId="0" applyFont="1" applyFill="1" applyBorder="1" applyAlignment="1">
      <alignment vertical="center" wrapText="1"/>
    </xf>
    <xf numFmtId="0" fontId="0" fillId="4" borderId="46" xfId="0" applyFont="1" applyFill="1" applyBorder="1" applyAlignment="1">
      <alignment vertical="center" wrapText="1"/>
    </xf>
    <xf numFmtId="0" fontId="0" fillId="4" borderId="47" xfId="0" applyFont="1" applyFill="1" applyBorder="1" applyAlignment="1">
      <alignment vertical="center"/>
    </xf>
    <xf numFmtId="0" fontId="0" fillId="4" borderId="48" xfId="0" applyFont="1" applyFill="1" applyBorder="1" applyAlignment="1">
      <alignment vertical="center"/>
    </xf>
    <xf numFmtId="0" fontId="0" fillId="4" borderId="43" xfId="0" applyFont="1" applyFill="1" applyBorder="1" applyAlignment="1">
      <alignment vertical="center"/>
    </xf>
    <xf numFmtId="0" fontId="0" fillId="4" borderId="44" xfId="0" applyFont="1" applyFill="1" applyBorder="1" applyAlignment="1">
      <alignment vertical="center"/>
    </xf>
    <xf numFmtId="0" fontId="0" fillId="4" borderId="56" xfId="0" applyFont="1" applyFill="1" applyBorder="1" applyAlignment="1">
      <alignment vertical="center"/>
    </xf>
    <xf numFmtId="0" fontId="0" fillId="4" borderId="57" xfId="0" applyFont="1" applyFill="1" applyBorder="1" applyAlignment="1">
      <alignment vertical="center"/>
    </xf>
    <xf numFmtId="0" fontId="0" fillId="4" borderId="39" xfId="0" applyFont="1" applyFill="1" applyBorder="1" applyAlignment="1">
      <alignment vertical="center"/>
    </xf>
    <xf numFmtId="0" fontId="0" fillId="4" borderId="46" xfId="0" applyFont="1" applyFill="1" applyBorder="1" applyAlignment="1">
      <alignment vertical="center"/>
    </xf>
    <xf numFmtId="0" fontId="0" fillId="4" borderId="49" xfId="0" applyFont="1" applyFill="1" applyBorder="1" applyAlignment="1">
      <alignment vertical="center"/>
    </xf>
    <xf numFmtId="0" fontId="0" fillId="4" borderId="50" xfId="0" applyFont="1" applyFill="1" applyBorder="1" applyAlignment="1">
      <alignment vertical="center"/>
    </xf>
    <xf numFmtId="0" fontId="0" fillId="4" borderId="51" xfId="0" applyFont="1" applyFill="1" applyBorder="1" applyAlignment="1">
      <alignment vertical="center"/>
    </xf>
    <xf numFmtId="0" fontId="0" fillId="4" borderId="20" xfId="0" applyFont="1" applyFill="1" applyBorder="1" applyAlignment="1">
      <alignment vertical="center"/>
    </xf>
    <xf numFmtId="0" fontId="0" fillId="4" borderId="58" xfId="0" applyFont="1" applyFill="1" applyBorder="1" applyAlignment="1">
      <alignment vertical="center"/>
    </xf>
    <xf numFmtId="0" fontId="0" fillId="4" borderId="54" xfId="0" applyFont="1" applyFill="1" applyBorder="1" applyAlignment="1">
      <alignment vertical="center"/>
    </xf>
    <xf numFmtId="0" fontId="6" fillId="4" borderId="64" xfId="0" applyFont="1" applyFill="1" applyBorder="1" applyAlignment="1" applyProtection="1">
      <alignment horizontal="center" vertical="center"/>
    </xf>
    <xf numFmtId="0" fontId="6" fillId="4" borderId="62" xfId="0" applyFont="1" applyFill="1" applyBorder="1" applyAlignment="1" applyProtection="1">
      <alignment horizontal="center" vertical="center"/>
    </xf>
    <xf numFmtId="183" fontId="4" fillId="4" borderId="62" xfId="0" applyNumberFormat="1" applyFont="1" applyFill="1" applyBorder="1" applyAlignment="1" applyProtection="1">
      <alignment horizontal="center" vertical="center"/>
    </xf>
    <xf numFmtId="183" fontId="4" fillId="4" borderId="70" xfId="0" applyNumberFormat="1" applyFont="1" applyFill="1" applyBorder="1" applyAlignment="1" applyProtection="1">
      <alignment horizontal="center" vertical="center"/>
    </xf>
    <xf numFmtId="0" fontId="37" fillId="4" borderId="62" xfId="0" applyFont="1" applyFill="1" applyBorder="1" applyAlignment="1" applyProtection="1">
      <alignment horizontal="center" vertical="center" wrapText="1"/>
    </xf>
    <xf numFmtId="0" fontId="6" fillId="4" borderId="64" xfId="0" applyFont="1" applyFill="1" applyBorder="1" applyAlignment="1" applyProtection="1">
      <alignment horizontal="center" vertical="center" wrapText="1"/>
    </xf>
    <xf numFmtId="0" fontId="44" fillId="4" borderId="25" xfId="0" applyFont="1" applyFill="1" applyBorder="1" applyAlignment="1" applyProtection="1">
      <alignment horizontal="center" vertical="center"/>
    </xf>
    <xf numFmtId="0" fontId="44" fillId="4" borderId="62" xfId="0" applyFont="1" applyFill="1" applyBorder="1" applyAlignment="1" applyProtection="1">
      <alignment horizontal="center" vertical="center"/>
    </xf>
    <xf numFmtId="0" fontId="4" fillId="4" borderId="152" xfId="0" applyFont="1" applyFill="1" applyBorder="1" applyAlignment="1" applyProtection="1">
      <alignment horizontal="center" vertical="center" wrapText="1"/>
    </xf>
    <xf numFmtId="181" fontId="6" fillId="4" borderId="64" xfId="0" applyNumberFormat="1" applyFont="1" applyFill="1" applyBorder="1" applyAlignment="1" applyProtection="1">
      <alignment horizontal="center" vertical="center" wrapText="1"/>
    </xf>
    <xf numFmtId="0" fontId="35" fillId="0" borderId="0" xfId="0" applyFont="1" applyFill="1" applyAlignment="1" applyProtection="1">
      <alignment horizontal="right" vertical="center"/>
    </xf>
    <xf numFmtId="183" fontId="0" fillId="4" borderId="64" xfId="0" applyNumberFormat="1" applyFont="1" applyFill="1" applyBorder="1" applyAlignment="1" applyProtection="1">
      <alignment horizontal="right"/>
    </xf>
    <xf numFmtId="0" fontId="0" fillId="4" borderId="64" xfId="0" applyFont="1" applyFill="1" applyBorder="1" applyAlignment="1" applyProtection="1">
      <alignment horizontal="center" vertical="center"/>
    </xf>
    <xf numFmtId="183" fontId="0" fillId="4" borderId="91" xfId="0" applyNumberFormat="1" applyFont="1" applyFill="1" applyBorder="1" applyAlignment="1" applyProtection="1">
      <alignment horizontal="right"/>
    </xf>
    <xf numFmtId="0" fontId="3" fillId="0" borderId="1" xfId="0" applyFont="1" applyBorder="1" applyAlignment="1">
      <alignment horizontal="center"/>
    </xf>
    <xf numFmtId="0" fontId="3" fillId="0" borderId="10" xfId="0" applyFont="1" applyBorder="1" applyAlignment="1">
      <alignment horizontal="center"/>
    </xf>
    <xf numFmtId="0" fontId="3" fillId="0" borderId="20" xfId="0" applyFont="1" applyBorder="1" applyAlignment="1">
      <alignment horizontal="center" vertical="center"/>
    </xf>
    <xf numFmtId="0" fontId="26" fillId="0" borderId="0" xfId="4" applyFont="1" applyAlignment="1">
      <alignment vertical="center" wrapText="1"/>
    </xf>
    <xf numFmtId="0" fontId="3" fillId="0" borderId="2" xfId="0" applyFont="1" applyFill="1" applyBorder="1" applyAlignment="1">
      <alignment horizontal="center" vertical="center" wrapText="1"/>
    </xf>
    <xf numFmtId="0" fontId="3" fillId="0" borderId="8" xfId="0" applyFont="1" applyBorder="1" applyAlignment="1">
      <alignment horizontal="center" vertical="center"/>
    </xf>
    <xf numFmtId="0" fontId="3" fillId="0" borderId="8" xfId="0" applyFont="1" applyBorder="1" applyAlignment="1">
      <alignment horizontal="center" vertical="center" wrapText="1"/>
    </xf>
    <xf numFmtId="0" fontId="3" fillId="0" borderId="8" xfId="0" applyFont="1" applyBorder="1" applyAlignment="1">
      <alignment horizontal="center" wrapText="1"/>
    </xf>
    <xf numFmtId="0" fontId="3" fillId="0" borderId="3" xfId="0" applyFont="1" applyBorder="1" applyAlignment="1">
      <alignment horizontal="center" wrapText="1"/>
    </xf>
    <xf numFmtId="0" fontId="3" fillId="0" borderId="92" xfId="0" applyFont="1" applyBorder="1" applyAlignment="1">
      <alignment horizontal="center" vertical="center"/>
    </xf>
    <xf numFmtId="0" fontId="3" fillId="0" borderId="69" xfId="0" applyFont="1" applyBorder="1"/>
    <xf numFmtId="0" fontId="3" fillId="27" borderId="39" xfId="0" applyFont="1" applyFill="1" applyBorder="1"/>
    <xf numFmtId="0" fontId="3" fillId="27" borderId="1" xfId="0" applyFont="1" applyFill="1" applyBorder="1"/>
    <xf numFmtId="0" fontId="3" fillId="27" borderId="1" xfId="0" applyFont="1" applyFill="1" applyBorder="1" applyAlignment="1">
      <alignment horizontal="center"/>
    </xf>
    <xf numFmtId="0" fontId="3" fillId="27" borderId="5" xfId="0" applyFont="1" applyFill="1" applyBorder="1"/>
    <xf numFmtId="0" fontId="3" fillId="28" borderId="1" xfId="0" applyFont="1" applyFill="1" applyBorder="1" applyAlignment="1">
      <alignment horizontal="center"/>
    </xf>
    <xf numFmtId="0" fontId="3" fillId="0" borderId="92" xfId="0" applyFont="1" applyBorder="1"/>
    <xf numFmtId="0" fontId="3" fillId="0" borderId="176" xfId="0" applyFont="1" applyBorder="1"/>
    <xf numFmtId="0" fontId="3" fillId="27" borderId="4" xfId="0" applyFont="1" applyFill="1" applyBorder="1"/>
    <xf numFmtId="0" fontId="3" fillId="0" borderId="31" xfId="0" applyFont="1" applyBorder="1"/>
    <xf numFmtId="0" fontId="3" fillId="0" borderId="13" xfId="0" applyFont="1" applyBorder="1"/>
    <xf numFmtId="0" fontId="3" fillId="0" borderId="29" xfId="0" applyFont="1" applyBorder="1"/>
    <xf numFmtId="0" fontId="3" fillId="0" borderId="130" xfId="0" applyFont="1" applyBorder="1"/>
    <xf numFmtId="0" fontId="3" fillId="0" borderId="1" xfId="0" applyFont="1" applyBorder="1" applyAlignment="1"/>
    <xf numFmtId="0" fontId="42" fillId="0" borderId="61" xfId="0" applyFont="1" applyFill="1" applyBorder="1" applyAlignment="1">
      <alignment vertical="center" wrapText="1"/>
    </xf>
    <xf numFmtId="0" fontId="42" fillId="0" borderId="191" xfId="0" applyFont="1" applyFill="1" applyBorder="1" applyAlignment="1">
      <alignment vertical="center" wrapText="1"/>
    </xf>
    <xf numFmtId="0" fontId="3" fillId="0" borderId="192" xfId="0" applyFont="1" applyFill="1" applyBorder="1" applyAlignment="1">
      <alignment vertical="center" wrapText="1"/>
    </xf>
    <xf numFmtId="0" fontId="65" fillId="0" borderId="1" xfId="0" applyFont="1" applyFill="1" applyBorder="1" applyAlignment="1" applyProtection="1">
      <alignment vertical="center" wrapText="1"/>
      <protection locked="0"/>
    </xf>
    <xf numFmtId="0" fontId="3" fillId="0" borderId="1" xfId="0" applyFont="1" applyFill="1" applyBorder="1" applyAlignment="1" applyProtection="1">
      <alignment vertical="center"/>
      <protection hidden="1"/>
    </xf>
    <xf numFmtId="0" fontId="0" fillId="0" borderId="160" xfId="0" applyBorder="1" applyAlignment="1">
      <alignment vertical="top" wrapText="1"/>
    </xf>
    <xf numFmtId="0" fontId="0" fillId="0" borderId="196" xfId="0" applyFont="1" applyBorder="1" applyAlignment="1">
      <alignment vertical="top" wrapText="1"/>
    </xf>
    <xf numFmtId="0" fontId="0" fillId="0" borderId="0" xfId="0" applyAlignment="1">
      <alignment vertical="top"/>
    </xf>
    <xf numFmtId="0" fontId="14" fillId="17" borderId="197" xfId="0" applyFont="1" applyFill="1" applyBorder="1" applyAlignment="1">
      <alignment vertical="center"/>
    </xf>
    <xf numFmtId="0" fontId="14" fillId="0" borderId="0" xfId="0" applyFont="1" applyFill="1" applyAlignment="1">
      <alignment vertical="center"/>
    </xf>
    <xf numFmtId="0" fontId="14" fillId="0" borderId="0" xfId="0" applyFont="1" applyAlignment="1">
      <alignment vertical="center"/>
    </xf>
    <xf numFmtId="0" fontId="0" fillId="0" borderId="197" xfId="0" applyBorder="1" applyAlignment="1">
      <alignment vertical="center"/>
    </xf>
    <xf numFmtId="0" fontId="0" fillId="0" borderId="196" xfId="0" applyBorder="1" applyAlignment="1">
      <alignment vertical="center"/>
    </xf>
    <xf numFmtId="0" fontId="14" fillId="17" borderId="160" xfId="0" applyFont="1" applyFill="1" applyBorder="1" applyAlignment="1">
      <alignment vertical="center"/>
    </xf>
    <xf numFmtId="0" fontId="0" fillId="0" borderId="0" xfId="0" applyFill="1" applyAlignment="1">
      <alignment vertical="center"/>
    </xf>
    <xf numFmtId="0" fontId="0" fillId="0" borderId="197" xfId="0" applyFont="1" applyBorder="1" applyAlignment="1">
      <alignment vertical="center"/>
    </xf>
    <xf numFmtId="0" fontId="0" fillId="0" borderId="196" xfId="0" applyBorder="1"/>
    <xf numFmtId="0" fontId="0" fillId="0" borderId="0" xfId="0" applyFont="1" applyAlignment="1">
      <alignment vertical="center"/>
    </xf>
    <xf numFmtId="0" fontId="1" fillId="29" borderId="133" xfId="0" applyFont="1" applyFill="1" applyBorder="1" applyAlignment="1" applyProtection="1">
      <alignment horizontal="center" vertical="center"/>
    </xf>
    <xf numFmtId="0" fontId="1" fillId="29" borderId="101" xfId="0" applyFont="1" applyFill="1" applyBorder="1" applyAlignment="1" applyProtection="1">
      <alignment horizontal="center" vertical="center"/>
    </xf>
    <xf numFmtId="0" fontId="1" fillId="29" borderId="108" xfId="0" applyFont="1" applyFill="1" applyBorder="1" applyAlignment="1" applyProtection="1">
      <alignment horizontal="center" vertical="center"/>
    </xf>
    <xf numFmtId="0" fontId="1" fillId="29" borderId="135" xfId="0" applyFont="1" applyFill="1" applyBorder="1" applyAlignment="1" applyProtection="1">
      <alignment horizontal="center" vertical="center"/>
    </xf>
    <xf numFmtId="0" fontId="1" fillId="29" borderId="102" xfId="0" applyFont="1" applyFill="1" applyBorder="1" applyAlignment="1" applyProtection="1">
      <alignment horizontal="center" vertical="center"/>
    </xf>
    <xf numFmtId="0" fontId="1" fillId="29" borderId="134" xfId="0" applyFont="1" applyFill="1" applyBorder="1" applyAlignment="1" applyProtection="1">
      <alignment horizontal="center" vertical="center"/>
    </xf>
    <xf numFmtId="0" fontId="1" fillId="29" borderId="144" xfId="0" applyFont="1" applyFill="1" applyBorder="1" applyAlignment="1" applyProtection="1">
      <alignment horizontal="center" vertical="center"/>
    </xf>
    <xf numFmtId="0" fontId="1" fillId="29" borderId="145" xfId="0" applyFont="1" applyFill="1" applyBorder="1" applyAlignment="1" applyProtection="1">
      <alignment horizontal="center" vertical="center"/>
    </xf>
    <xf numFmtId="0" fontId="1" fillId="29" borderId="150" xfId="0" applyFont="1" applyFill="1" applyBorder="1" applyAlignment="1" applyProtection="1">
      <alignment horizontal="center" vertical="center"/>
    </xf>
    <xf numFmtId="0" fontId="1" fillId="29" borderId="151" xfId="0" applyFont="1" applyFill="1" applyBorder="1" applyAlignment="1" applyProtection="1">
      <alignment horizontal="center" vertical="center"/>
    </xf>
    <xf numFmtId="0" fontId="39" fillId="0" borderId="36" xfId="0" applyFont="1" applyBorder="1" applyAlignment="1" applyProtection="1">
      <alignment horizontal="center" vertical="center"/>
    </xf>
    <xf numFmtId="0" fontId="3" fillId="30" borderId="4" xfId="0" applyFont="1" applyFill="1" applyBorder="1"/>
    <xf numFmtId="0" fontId="3" fillId="30" borderId="1" xfId="0" applyFont="1" applyFill="1" applyBorder="1"/>
    <xf numFmtId="0" fontId="3" fillId="30" borderId="1" xfId="0" applyFont="1" applyFill="1" applyBorder="1" applyAlignment="1">
      <alignment horizontal="center"/>
    </xf>
    <xf numFmtId="0" fontId="3" fillId="30" borderId="5" xfId="0" applyFont="1" applyFill="1" applyBorder="1"/>
    <xf numFmtId="0" fontId="41" fillId="23" borderId="60" xfId="4" applyFont="1" applyFill="1" applyBorder="1" applyAlignment="1">
      <alignment horizontal="left" vertical="center" shrinkToFit="1"/>
    </xf>
    <xf numFmtId="0" fontId="41" fillId="23" borderId="39" xfId="4" applyFont="1" applyFill="1" applyBorder="1" applyAlignment="1">
      <alignment horizontal="left" vertical="center" shrinkToFit="1"/>
    </xf>
    <xf numFmtId="0" fontId="41" fillId="24" borderId="60" xfId="4" applyFont="1" applyFill="1" applyBorder="1" applyAlignment="1">
      <alignment horizontal="left" vertical="center" shrinkToFit="1"/>
    </xf>
    <xf numFmtId="0" fontId="41" fillId="24" borderId="39" xfId="4" applyFont="1" applyFill="1" applyBorder="1" applyAlignment="1">
      <alignment horizontal="left" vertical="center" shrinkToFit="1"/>
    </xf>
    <xf numFmtId="0" fontId="41" fillId="22" borderId="60" xfId="4" applyFont="1" applyFill="1" applyBorder="1" applyAlignment="1">
      <alignment horizontal="left" vertical="center" shrinkToFit="1"/>
    </xf>
    <xf numFmtId="0" fontId="41" fillId="22" borderId="36" xfId="4" applyFont="1" applyFill="1" applyBorder="1" applyAlignment="1">
      <alignment horizontal="left" vertical="center" shrinkToFit="1"/>
    </xf>
    <xf numFmtId="0" fontId="41" fillId="22" borderId="39" xfId="4" applyFont="1" applyFill="1" applyBorder="1" applyAlignment="1">
      <alignment horizontal="left" vertical="center" shrinkToFit="1"/>
    </xf>
    <xf numFmtId="0" fontId="41" fillId="0" borderId="60" xfId="4" applyFont="1" applyFill="1" applyBorder="1" applyAlignment="1">
      <alignment horizontal="left" vertical="center" shrinkToFit="1"/>
    </xf>
    <xf numFmtId="0" fontId="41" fillId="0" borderId="39" xfId="4" applyFont="1" applyFill="1" applyBorder="1" applyAlignment="1">
      <alignment horizontal="left" vertical="center" shrinkToFit="1"/>
    </xf>
    <xf numFmtId="0" fontId="41" fillId="0" borderId="36" xfId="4" applyFont="1" applyFill="1" applyBorder="1" applyAlignment="1">
      <alignment horizontal="left" vertical="center" shrinkToFit="1"/>
    </xf>
    <xf numFmtId="0" fontId="41" fillId="24" borderId="36" xfId="4" applyFont="1" applyFill="1" applyBorder="1" applyAlignment="1">
      <alignment horizontal="left" vertical="center" shrinkToFit="1"/>
    </xf>
    <xf numFmtId="0" fontId="41" fillId="23" borderId="36" xfId="4" applyFont="1" applyFill="1" applyBorder="1" applyAlignment="1">
      <alignment horizontal="left" vertical="center" shrinkToFit="1"/>
    </xf>
    <xf numFmtId="0" fontId="26" fillId="0" borderId="0" xfId="4" applyFont="1" applyAlignment="1">
      <alignment horizontal="left" vertical="center" wrapText="1"/>
    </xf>
    <xf numFmtId="0" fontId="26" fillId="0" borderId="0" xfId="4" applyFont="1" applyAlignment="1">
      <alignment vertical="center"/>
    </xf>
    <xf numFmtId="0" fontId="26" fillId="0" borderId="0" xfId="4" applyFont="1" applyAlignment="1">
      <alignment vertical="center" wrapText="1"/>
    </xf>
    <xf numFmtId="0" fontId="0" fillId="0" borderId="0" xfId="0" applyAlignment="1">
      <alignment vertical="center" wrapTex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87" xfId="0" applyFont="1" applyBorder="1" applyAlignment="1">
      <alignment horizontal="center" vertical="center" wrapText="1"/>
    </xf>
    <xf numFmtId="0" fontId="3" fillId="0" borderId="189" xfId="0" applyFont="1" applyBorder="1" applyAlignment="1">
      <alignment horizontal="center" vertical="center" wrapText="1"/>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41" fillId="20" borderId="60" xfId="4" applyFont="1" applyFill="1" applyBorder="1" applyAlignment="1">
      <alignment horizontal="left" vertical="center" shrinkToFit="1"/>
    </xf>
    <xf numFmtId="0" fontId="41" fillId="20" borderId="39" xfId="4" applyFont="1" applyFill="1" applyBorder="1" applyAlignment="1">
      <alignment horizontal="left" vertical="center" shrinkToFit="1"/>
    </xf>
    <xf numFmtId="0" fontId="41" fillId="0" borderId="60" xfId="4" applyFont="1" applyBorder="1" applyAlignment="1">
      <alignment horizontal="center" vertical="center" shrinkToFit="1"/>
    </xf>
    <xf numFmtId="0" fontId="41" fillId="0" borderId="36" xfId="4" applyFont="1" applyBorder="1" applyAlignment="1">
      <alignment horizontal="center" vertical="center" shrinkToFit="1"/>
    </xf>
    <xf numFmtId="0" fontId="41" fillId="0" borderId="39" xfId="4" applyFont="1" applyBorder="1" applyAlignment="1">
      <alignment horizontal="center" vertical="center" shrinkToFit="1"/>
    </xf>
    <xf numFmtId="0" fontId="3" fillId="0" borderId="11" xfId="0" applyFont="1" applyBorder="1" applyAlignment="1">
      <alignment horizontal="left" vertical="center" wrapText="1"/>
    </xf>
    <xf numFmtId="0" fontId="3" fillId="0" borderId="193" xfId="0" applyFont="1" applyBorder="1" applyAlignment="1">
      <alignment horizontal="left" vertical="center" wrapText="1"/>
    </xf>
    <xf numFmtId="0" fontId="3" fillId="0" borderId="62" xfId="0" applyFont="1" applyBorder="1" applyAlignment="1">
      <alignment horizontal="left" vertical="center" wrapText="1"/>
    </xf>
    <xf numFmtId="0" fontId="3" fillId="0" borderId="10" xfId="0" applyFont="1" applyBorder="1" applyAlignment="1">
      <alignment horizontal="left" vertical="center" wrapText="1"/>
    </xf>
    <xf numFmtId="0" fontId="41" fillId="20" borderId="60" xfId="4" applyFont="1" applyFill="1" applyBorder="1" applyAlignment="1">
      <alignment horizontal="center" vertical="center" shrinkToFit="1"/>
    </xf>
    <xf numFmtId="0" fontId="41" fillId="20" borderId="39" xfId="4" applyFont="1" applyFill="1" applyBorder="1" applyAlignment="1">
      <alignment horizontal="center" vertical="center" shrinkToFit="1"/>
    </xf>
    <xf numFmtId="0" fontId="41" fillId="21" borderId="60" xfId="4" applyFont="1" applyFill="1" applyBorder="1" applyAlignment="1">
      <alignment horizontal="left" vertical="center" shrinkToFit="1"/>
    </xf>
    <xf numFmtId="0" fontId="41" fillId="21" borderId="39" xfId="4" applyFont="1" applyFill="1" applyBorder="1" applyAlignment="1">
      <alignment horizontal="left" vertical="center" shrinkToFit="1"/>
    </xf>
    <xf numFmtId="0" fontId="41" fillId="20" borderId="36" xfId="4" applyFont="1" applyFill="1" applyBorder="1" applyAlignment="1">
      <alignment horizontal="left" vertical="center" shrinkToFit="1"/>
    </xf>
    <xf numFmtId="0" fontId="41" fillId="21" borderId="36" xfId="4" applyFont="1" applyFill="1" applyBorder="1" applyAlignment="1">
      <alignment horizontal="left" vertical="center" shrinkToFit="1"/>
    </xf>
    <xf numFmtId="0" fontId="10" fillId="2" borderId="0" xfId="0" applyFont="1" applyFill="1" applyAlignment="1" applyProtection="1">
      <alignment vertical="center" shrinkToFit="1"/>
    </xf>
    <xf numFmtId="0" fontId="10" fillId="0" borderId="122" xfId="0" applyFont="1" applyFill="1" applyBorder="1" applyAlignment="1" applyProtection="1">
      <alignment vertical="center"/>
      <protection locked="0"/>
    </xf>
    <xf numFmtId="0" fontId="10" fillId="0" borderId="37" xfId="0" applyFont="1" applyFill="1" applyBorder="1" applyAlignment="1" applyProtection="1">
      <alignment vertical="center"/>
      <protection locked="0"/>
    </xf>
    <xf numFmtId="0" fontId="10" fillId="0" borderId="40" xfId="0" applyFont="1" applyFill="1" applyBorder="1" applyAlignment="1" applyProtection="1">
      <alignment vertical="center"/>
      <protection locked="0"/>
    </xf>
    <xf numFmtId="0" fontId="10" fillId="0" borderId="24"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10" fillId="0" borderId="25" xfId="0" applyFont="1" applyFill="1" applyBorder="1" applyAlignment="1" applyProtection="1">
      <alignment vertical="center"/>
      <protection locked="0"/>
    </xf>
    <xf numFmtId="0" fontId="10" fillId="0" borderId="109" xfId="0" applyFont="1" applyFill="1" applyBorder="1" applyAlignment="1" applyProtection="1">
      <alignment vertical="center"/>
      <protection locked="0"/>
    </xf>
    <xf numFmtId="0" fontId="10" fillId="0" borderId="38" xfId="0"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8" fillId="2" borderId="1" xfId="0" applyFont="1" applyFill="1" applyBorder="1" applyAlignment="1" applyProtection="1">
      <alignment vertical="center"/>
    </xf>
    <xf numFmtId="0" fontId="8" fillId="2" borderId="60" xfId="0" applyFont="1" applyFill="1" applyBorder="1" applyAlignment="1" applyProtection="1">
      <alignment vertical="center"/>
    </xf>
    <xf numFmtId="0" fontId="8" fillId="2" borderId="36" xfId="0" applyFont="1" applyFill="1" applyBorder="1" applyAlignment="1" applyProtection="1">
      <alignment vertical="center"/>
    </xf>
    <xf numFmtId="0" fontId="8" fillId="8" borderId="1" xfId="0" applyNumberFormat="1" applyFont="1" applyFill="1" applyBorder="1" applyAlignment="1" applyProtection="1">
      <alignment vertical="center"/>
      <protection locked="0"/>
    </xf>
    <xf numFmtId="0" fontId="18" fillId="8" borderId="1" xfId="1" applyFill="1" applyBorder="1" applyAlignment="1" applyProtection="1">
      <alignment vertical="center"/>
      <protection locked="0"/>
    </xf>
    <xf numFmtId="0" fontId="8" fillId="8" borderId="1" xfId="0" applyFont="1" applyFill="1" applyBorder="1" applyAlignment="1" applyProtection="1">
      <alignment vertical="center"/>
      <protection locked="0"/>
    </xf>
    <xf numFmtId="0" fontId="0" fillId="8" borderId="1" xfId="0" applyFill="1" applyBorder="1" applyAlignment="1" applyProtection="1">
      <alignment vertical="center"/>
      <protection locked="0"/>
    </xf>
    <xf numFmtId="0" fontId="8" fillId="2" borderId="122" xfId="0" applyFont="1" applyFill="1" applyBorder="1" applyAlignment="1" applyProtection="1">
      <alignment horizontal="center" vertical="center"/>
    </xf>
    <xf numFmtId="0" fontId="8" fillId="2" borderId="37" xfId="0" applyFont="1" applyFill="1" applyBorder="1" applyAlignment="1" applyProtection="1">
      <alignment horizontal="center" vertical="center"/>
    </xf>
    <xf numFmtId="0" fontId="8" fillId="2" borderId="40" xfId="0" applyFont="1" applyFill="1" applyBorder="1" applyAlignment="1" applyProtection="1">
      <alignment horizontal="center" vertical="center"/>
    </xf>
    <xf numFmtId="0" fontId="8" fillId="2" borderId="24"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2" borderId="25" xfId="0" applyFont="1" applyFill="1" applyBorder="1" applyAlignment="1" applyProtection="1">
      <alignment horizontal="center" vertical="center"/>
    </xf>
    <xf numFmtId="0" fontId="8" fillId="2" borderId="109" xfId="0" applyFont="1" applyFill="1" applyBorder="1" applyAlignment="1" applyProtection="1">
      <alignment horizontal="center" vertical="center"/>
    </xf>
    <xf numFmtId="0" fontId="8" fillId="2" borderId="38" xfId="0" applyFont="1" applyFill="1" applyBorder="1" applyAlignment="1" applyProtection="1">
      <alignment horizontal="center" vertical="center"/>
    </xf>
    <xf numFmtId="0" fontId="8" fillId="2" borderId="12" xfId="0" applyFont="1" applyFill="1" applyBorder="1" applyAlignment="1" applyProtection="1">
      <alignment horizontal="center" vertical="center"/>
    </xf>
    <xf numFmtId="0" fontId="8" fillId="2" borderId="109" xfId="0" applyFont="1" applyFill="1" applyBorder="1" applyAlignment="1" applyProtection="1">
      <alignment vertical="center"/>
    </xf>
    <xf numFmtId="0" fontId="8" fillId="2" borderId="38" xfId="0" applyFont="1" applyFill="1" applyBorder="1" applyAlignment="1" applyProtection="1">
      <alignment vertical="center"/>
    </xf>
    <xf numFmtId="0" fontId="8" fillId="2" borderId="12" xfId="0" applyFont="1" applyFill="1" applyBorder="1" applyAlignment="1" applyProtection="1">
      <alignment vertical="center"/>
    </xf>
    <xf numFmtId="0" fontId="8" fillId="2" borderId="122" xfId="0" applyNumberFormat="1" applyFont="1" applyFill="1" applyBorder="1" applyAlignment="1" applyProtection="1">
      <alignment vertical="center"/>
    </xf>
    <xf numFmtId="0" fontId="8" fillId="2" borderId="37" xfId="0" applyNumberFormat="1" applyFont="1" applyFill="1" applyBorder="1" applyAlignment="1" applyProtection="1">
      <alignment vertical="center"/>
    </xf>
    <xf numFmtId="0" fontId="8" fillId="2" borderId="40" xfId="0" applyNumberFormat="1" applyFont="1" applyFill="1" applyBorder="1" applyAlignment="1" applyProtection="1">
      <alignment vertical="center"/>
    </xf>
    <xf numFmtId="0" fontId="8" fillId="2" borderId="109" xfId="0" applyNumberFormat="1" applyFont="1" applyFill="1" applyBorder="1" applyAlignment="1" applyProtection="1">
      <alignment vertical="center"/>
    </xf>
    <xf numFmtId="0" fontId="8" fillId="2" borderId="38" xfId="0" applyNumberFormat="1" applyFont="1" applyFill="1" applyBorder="1" applyAlignment="1" applyProtection="1">
      <alignment vertical="center"/>
    </xf>
    <xf numFmtId="0" fontId="8" fillId="2" borderId="12" xfId="0" applyNumberFormat="1" applyFont="1" applyFill="1" applyBorder="1" applyAlignment="1" applyProtection="1">
      <alignment vertical="center"/>
    </xf>
    <xf numFmtId="186" fontId="8" fillId="2" borderId="37" xfId="0" applyNumberFormat="1" applyFont="1" applyFill="1" applyBorder="1" applyAlignment="1" applyProtection="1">
      <alignment vertical="center"/>
    </xf>
    <xf numFmtId="0" fontId="8" fillId="2" borderId="0" xfId="0" applyFont="1" applyFill="1" applyAlignment="1" applyProtection="1">
      <alignment horizontal="right" vertical="center"/>
      <protection locked="0"/>
    </xf>
    <xf numFmtId="0" fontId="8" fillId="8" borderId="0" xfId="0" applyFont="1" applyFill="1" applyAlignment="1" applyProtection="1">
      <alignment vertical="center"/>
      <protection locked="0"/>
    </xf>
    <xf numFmtId="0" fontId="17" fillId="2" borderId="0" xfId="0" applyFont="1" applyFill="1" applyAlignment="1" applyProtection="1">
      <alignment vertical="center"/>
    </xf>
    <xf numFmtId="0" fontId="9" fillId="2" borderId="0" xfId="0" applyFont="1" applyFill="1" applyAlignment="1">
      <alignment horizontal="center" vertical="center"/>
    </xf>
    <xf numFmtId="0" fontId="8" fillId="2" borderId="0" xfId="0" applyFont="1" applyFill="1" applyAlignment="1">
      <alignment vertical="center" wrapText="1"/>
    </xf>
    <xf numFmtId="0" fontId="8" fillId="8" borderId="60" xfId="0" applyFont="1" applyFill="1" applyBorder="1" applyAlignment="1" applyProtection="1">
      <alignment vertical="center" shrinkToFit="1"/>
      <protection locked="0"/>
    </xf>
    <xf numFmtId="0" fontId="8" fillId="8" borderId="36" xfId="0" applyFont="1" applyFill="1" applyBorder="1" applyAlignment="1" applyProtection="1">
      <alignment vertical="center" shrinkToFit="1"/>
      <protection locked="0"/>
    </xf>
    <xf numFmtId="0" fontId="8" fillId="8" borderId="39" xfId="0" applyFont="1" applyFill="1" applyBorder="1" applyAlignment="1" applyProtection="1">
      <alignment vertical="center" shrinkToFit="1"/>
      <protection locked="0"/>
    </xf>
    <xf numFmtId="0" fontId="17" fillId="8" borderId="60" xfId="0" applyFont="1" applyFill="1" applyBorder="1" applyAlignment="1" applyProtection="1">
      <alignment vertical="center" shrinkToFit="1"/>
      <protection locked="0"/>
    </xf>
    <xf numFmtId="0" fontId="17" fillId="8" borderId="36" xfId="0" applyFont="1" applyFill="1" applyBorder="1" applyAlignment="1" applyProtection="1">
      <alignment vertical="center" shrinkToFit="1"/>
      <protection locked="0"/>
    </xf>
    <xf numFmtId="0" fontId="17" fillId="8" borderId="39" xfId="0" applyFont="1" applyFill="1" applyBorder="1" applyAlignment="1" applyProtection="1">
      <alignment vertical="center" shrinkToFit="1"/>
      <protection locked="0"/>
    </xf>
    <xf numFmtId="186" fontId="8" fillId="8" borderId="60" xfId="0" applyNumberFormat="1" applyFont="1" applyFill="1" applyBorder="1" applyAlignment="1" applyProtection="1">
      <alignment horizontal="center" vertical="center"/>
      <protection locked="0"/>
    </xf>
    <xf numFmtId="186" fontId="8" fillId="8" borderId="36" xfId="0" applyNumberFormat="1" applyFont="1" applyFill="1" applyBorder="1" applyAlignment="1" applyProtection="1">
      <alignment horizontal="center" vertical="center"/>
      <protection locked="0"/>
    </xf>
    <xf numFmtId="186" fontId="8" fillId="8" borderId="39" xfId="0" applyNumberFormat="1" applyFont="1" applyFill="1" applyBorder="1" applyAlignment="1" applyProtection="1">
      <alignment horizontal="center" vertical="center"/>
      <protection locked="0"/>
    </xf>
    <xf numFmtId="0" fontId="8" fillId="8" borderId="60" xfId="0" applyFont="1" applyFill="1" applyBorder="1" applyAlignment="1" applyProtection="1">
      <alignment vertical="center" wrapText="1" shrinkToFit="1"/>
      <protection locked="0"/>
    </xf>
    <xf numFmtId="0" fontId="8" fillId="8" borderId="36" xfId="0" applyFont="1" applyFill="1" applyBorder="1" applyAlignment="1" applyProtection="1">
      <alignment vertical="center" wrapText="1" shrinkToFit="1"/>
      <protection locked="0"/>
    </xf>
    <xf numFmtId="0" fontId="8" fillId="8" borderId="39" xfId="0" applyFont="1" applyFill="1" applyBorder="1" applyAlignment="1" applyProtection="1">
      <alignment vertical="center" wrapText="1" shrinkToFit="1"/>
      <protection locked="0"/>
    </xf>
    <xf numFmtId="0" fontId="8" fillId="2" borderId="60" xfId="0" applyFont="1" applyFill="1" applyBorder="1" applyAlignment="1" applyProtection="1">
      <alignment horizontal="center" vertical="center"/>
    </xf>
    <xf numFmtId="0" fontId="8" fillId="2" borderId="36" xfId="0" applyFont="1" applyFill="1" applyBorder="1" applyAlignment="1" applyProtection="1">
      <alignment horizontal="center" vertical="center"/>
    </xf>
    <xf numFmtId="0" fontId="8" fillId="2" borderId="39" xfId="0" applyFont="1" applyFill="1" applyBorder="1" applyAlignment="1" applyProtection="1">
      <alignment horizontal="center" vertical="center"/>
    </xf>
    <xf numFmtId="181" fontId="8" fillId="8" borderId="60" xfId="0" applyNumberFormat="1" applyFont="1" applyFill="1" applyBorder="1" applyAlignment="1" applyProtection="1">
      <alignment horizontal="center" vertical="center"/>
      <protection locked="0"/>
    </xf>
    <xf numFmtId="181" fontId="8" fillId="8" borderId="36" xfId="0" applyNumberFormat="1" applyFont="1" applyFill="1" applyBorder="1" applyAlignment="1" applyProtection="1">
      <alignment horizontal="center" vertical="center"/>
      <protection locked="0"/>
    </xf>
    <xf numFmtId="181" fontId="8" fillId="8" borderId="39" xfId="0" applyNumberFormat="1" applyFont="1" applyFill="1" applyBorder="1" applyAlignment="1" applyProtection="1">
      <alignment horizontal="center" vertical="center"/>
      <protection locked="0"/>
    </xf>
    <xf numFmtId="0" fontId="8" fillId="2" borderId="39" xfId="0" applyFont="1" applyFill="1" applyBorder="1" applyAlignment="1" applyProtection="1">
      <alignment vertical="center"/>
    </xf>
    <xf numFmtId="0" fontId="8" fillId="2" borderId="37" xfId="0" applyFont="1" applyFill="1" applyBorder="1" applyAlignment="1" applyProtection="1">
      <alignment vertical="center"/>
    </xf>
    <xf numFmtId="0" fontId="8" fillId="2" borderId="122" xfId="0" applyFont="1" applyFill="1" applyBorder="1" applyAlignment="1" applyProtection="1">
      <alignment vertical="center"/>
    </xf>
    <xf numFmtId="0" fontId="39" fillId="0" borderId="1" xfId="0" applyFont="1" applyBorder="1" applyAlignment="1" applyProtection="1">
      <alignment horizontal="center" vertical="center"/>
    </xf>
    <xf numFmtId="0" fontId="39" fillId="0" borderId="60" xfId="0" applyFont="1" applyBorder="1" applyAlignment="1" applyProtection="1">
      <alignment horizontal="center" vertical="center"/>
    </xf>
    <xf numFmtId="0" fontId="39" fillId="0" borderId="39" xfId="0" applyFont="1" applyBorder="1" applyAlignment="1" applyProtection="1">
      <alignment horizontal="center" vertical="center"/>
    </xf>
    <xf numFmtId="0" fontId="39" fillId="0" borderId="36" xfId="0" applyFont="1" applyBorder="1" applyAlignment="1" applyProtection="1">
      <alignment horizontal="center" vertical="center"/>
    </xf>
    <xf numFmtId="0" fontId="68" fillId="0" borderId="185" xfId="0" applyFont="1" applyBorder="1" applyAlignment="1" applyProtection="1">
      <alignment horizontal="center" vertical="center"/>
    </xf>
    <xf numFmtId="0" fontId="68" fillId="0" borderId="183" xfId="0" applyFont="1" applyBorder="1" applyAlignment="1" applyProtection="1">
      <alignment horizontal="center" vertical="center"/>
    </xf>
    <xf numFmtId="0" fontId="68" fillId="0" borderId="184" xfId="0" applyFont="1" applyBorder="1" applyAlignment="1" applyProtection="1">
      <alignment horizontal="center" vertical="center"/>
    </xf>
    <xf numFmtId="189" fontId="52" fillId="0" borderId="186" xfId="0" applyNumberFormat="1" applyFont="1" applyBorder="1" applyAlignment="1" applyProtection="1">
      <alignment horizontal="left" vertical="center"/>
    </xf>
    <xf numFmtId="189" fontId="52" fillId="0" borderId="0" xfId="0" applyNumberFormat="1" applyFont="1" applyAlignment="1" applyProtection="1">
      <alignment horizontal="left" vertical="center"/>
    </xf>
    <xf numFmtId="0" fontId="55" fillId="18" borderId="185" xfId="0" applyFont="1" applyFill="1" applyBorder="1" applyAlignment="1" applyProtection="1">
      <alignment horizontal="center" vertical="center" shrinkToFit="1"/>
      <protection locked="0"/>
    </xf>
    <xf numFmtId="0" fontId="55" fillId="18" borderId="183" xfId="0" applyFont="1" applyFill="1" applyBorder="1" applyAlignment="1" applyProtection="1">
      <alignment horizontal="center" vertical="center" shrinkToFit="1"/>
      <protection locked="0"/>
    </xf>
    <xf numFmtId="0" fontId="55" fillId="18" borderId="184" xfId="0" applyFont="1" applyFill="1" applyBorder="1" applyAlignment="1" applyProtection="1">
      <alignment horizontal="center" vertical="center" shrinkToFit="1"/>
      <protection locked="0"/>
    </xf>
    <xf numFmtId="0" fontId="55" fillId="0" borderId="185" xfId="0" applyFont="1" applyBorder="1" applyAlignment="1" applyProtection="1">
      <alignment horizontal="center" vertical="center" shrinkToFit="1"/>
    </xf>
    <xf numFmtId="0" fontId="55" fillId="0" borderId="183" xfId="0" applyFont="1" applyBorder="1" applyAlignment="1" applyProtection="1">
      <alignment horizontal="center" vertical="center" shrinkToFit="1"/>
    </xf>
    <xf numFmtId="0" fontId="6" fillId="4" borderId="31" xfId="0" applyFont="1" applyFill="1" applyBorder="1" applyAlignment="1" applyProtection="1">
      <alignment horizontal="center" vertical="center" textRotation="255"/>
    </xf>
    <xf numFmtId="0" fontId="4" fillId="4" borderId="62" xfId="0" applyFont="1" applyFill="1" applyBorder="1" applyAlignment="1" applyProtection="1">
      <alignment horizontal="center" vertical="center" wrapText="1"/>
    </xf>
    <xf numFmtId="0" fontId="4" fillId="4" borderId="10" xfId="0" applyFont="1" applyFill="1" applyBorder="1" applyAlignment="1" applyProtection="1">
      <alignment horizontal="center" vertical="center" wrapText="1"/>
    </xf>
    <xf numFmtId="0" fontId="3" fillId="4" borderId="62" xfId="0" applyFont="1" applyFill="1" applyBorder="1" applyAlignment="1" applyProtection="1">
      <alignment horizontal="center" vertical="center" wrapText="1"/>
    </xf>
    <xf numFmtId="0" fontId="3" fillId="4" borderId="10" xfId="0" applyFont="1" applyFill="1" applyBorder="1" applyAlignment="1" applyProtection="1">
      <alignment horizontal="center" vertical="center" wrapText="1"/>
    </xf>
    <xf numFmtId="0" fontId="32" fillId="4" borderId="1" xfId="0" applyFont="1" applyFill="1" applyBorder="1" applyAlignment="1" applyProtection="1">
      <alignment horizontal="center" vertical="center"/>
    </xf>
    <xf numFmtId="0" fontId="32" fillId="4" borderId="60" xfId="0" applyFont="1" applyFill="1" applyBorder="1" applyAlignment="1" applyProtection="1">
      <alignment horizontal="center" vertical="center" wrapText="1"/>
    </xf>
    <xf numFmtId="0" fontId="32" fillId="4" borderId="36" xfId="0" applyFont="1" applyFill="1" applyBorder="1" applyAlignment="1" applyProtection="1">
      <alignment horizontal="center" vertical="center"/>
    </xf>
    <xf numFmtId="0" fontId="32" fillId="4" borderId="39" xfId="0" applyFont="1" applyFill="1" applyBorder="1" applyAlignment="1" applyProtection="1">
      <alignment horizontal="center" vertical="center"/>
    </xf>
    <xf numFmtId="0" fontId="6" fillId="4" borderId="62" xfId="0" applyFont="1" applyFill="1" applyBorder="1" applyAlignment="1" applyProtection="1">
      <alignment horizontal="center" vertical="center" wrapText="1"/>
    </xf>
    <xf numFmtId="0" fontId="6" fillId="4" borderId="10" xfId="0" applyFont="1" applyFill="1" applyBorder="1" applyAlignment="1" applyProtection="1">
      <alignment horizontal="center" vertical="center" wrapText="1"/>
    </xf>
    <xf numFmtId="0" fontId="6" fillId="4" borderId="0" xfId="0" applyFont="1" applyFill="1" applyBorder="1" applyAlignment="1" applyProtection="1">
      <alignment horizontal="center" vertical="center" wrapText="1"/>
    </xf>
    <xf numFmtId="0" fontId="6" fillId="4" borderId="25" xfId="0" applyFont="1" applyFill="1" applyBorder="1" applyAlignment="1" applyProtection="1">
      <alignment horizontal="center" vertical="center" wrapText="1"/>
    </xf>
    <xf numFmtId="0" fontId="6" fillId="4" borderId="38" xfId="0" applyFont="1" applyFill="1" applyBorder="1" applyAlignment="1" applyProtection="1">
      <alignment horizontal="center" vertical="center" wrapText="1"/>
    </xf>
    <xf numFmtId="0" fontId="6" fillId="4" borderId="12" xfId="0" applyFont="1" applyFill="1" applyBorder="1" applyAlignment="1" applyProtection="1">
      <alignment horizontal="center" vertical="center" wrapText="1"/>
    </xf>
    <xf numFmtId="0" fontId="6" fillId="4" borderId="24" xfId="0" applyFont="1" applyFill="1" applyBorder="1" applyAlignment="1" applyProtection="1">
      <alignment horizontal="center" vertical="center" wrapText="1"/>
    </xf>
    <xf numFmtId="0" fontId="6" fillId="4" borderId="109" xfId="0" applyFont="1" applyFill="1" applyBorder="1" applyAlignment="1" applyProtection="1">
      <alignment horizontal="center" vertical="center" wrapText="1"/>
    </xf>
    <xf numFmtId="0" fontId="44" fillId="4" borderId="60" xfId="0" applyFont="1" applyFill="1" applyBorder="1" applyAlignment="1" applyProtection="1">
      <alignment horizontal="center" vertical="center" wrapText="1" shrinkToFit="1"/>
    </xf>
    <xf numFmtId="0" fontId="44" fillId="4" borderId="36" xfId="0" applyFont="1" applyFill="1" applyBorder="1" applyAlignment="1" applyProtection="1">
      <alignment horizontal="center" vertical="center" wrapText="1" shrinkToFit="1"/>
    </xf>
    <xf numFmtId="0" fontId="44" fillId="4" borderId="39" xfId="0" applyFont="1" applyFill="1" applyBorder="1" applyAlignment="1" applyProtection="1">
      <alignment horizontal="center" vertical="center" wrapText="1" shrinkToFit="1"/>
    </xf>
    <xf numFmtId="0" fontId="4" fillId="13" borderId="24" xfId="0" applyFont="1" applyFill="1" applyBorder="1" applyAlignment="1" applyProtection="1">
      <alignment horizontal="center" vertical="center" wrapText="1"/>
    </xf>
    <xf numFmtId="0" fontId="4" fillId="13" borderId="109" xfId="0" applyFont="1" applyFill="1" applyBorder="1" applyAlignment="1" applyProtection="1">
      <alignment horizontal="center" vertical="center" wrapText="1"/>
    </xf>
    <xf numFmtId="0" fontId="0" fillId="0" borderId="60" xfId="0" applyBorder="1" applyAlignment="1" applyProtection="1">
      <alignment horizontal="center" vertical="center" shrinkToFit="1"/>
    </xf>
    <xf numFmtId="0" fontId="0" fillId="0" borderId="39" xfId="0" applyBorder="1" applyAlignment="1" applyProtection="1">
      <alignment horizontal="center" vertical="center" shrinkToFit="1"/>
    </xf>
    <xf numFmtId="183" fontId="6" fillId="4" borderId="70" xfId="0" applyNumberFormat="1" applyFont="1" applyFill="1" applyBorder="1" applyAlignment="1" applyProtection="1">
      <alignment horizontal="center" vertical="center" wrapText="1"/>
    </xf>
    <xf numFmtId="183" fontId="6" fillId="4" borderId="62" xfId="0" applyNumberFormat="1" applyFont="1" applyFill="1" applyBorder="1" applyAlignment="1" applyProtection="1">
      <alignment horizontal="center" vertical="center" wrapText="1"/>
    </xf>
    <xf numFmtId="0" fontId="37" fillId="4" borderId="36" xfId="0" applyFont="1" applyFill="1" applyBorder="1" applyAlignment="1" applyProtection="1">
      <alignment horizontal="center" vertical="center" wrapText="1"/>
    </xf>
    <xf numFmtId="0" fontId="37" fillId="4" borderId="39" xfId="0" applyFont="1" applyFill="1" applyBorder="1" applyAlignment="1" applyProtection="1">
      <alignment horizontal="center" vertical="center" wrapText="1"/>
    </xf>
    <xf numFmtId="181" fontId="6" fillId="4" borderId="62" xfId="0" applyNumberFormat="1" applyFont="1" applyFill="1" applyBorder="1" applyAlignment="1" applyProtection="1">
      <alignment horizontal="center" vertical="center" wrapText="1"/>
    </xf>
    <xf numFmtId="181" fontId="6" fillId="4" borderId="10" xfId="0" applyNumberFormat="1" applyFont="1" applyFill="1" applyBorder="1" applyAlignment="1" applyProtection="1">
      <alignment horizontal="center" vertical="center" wrapText="1"/>
    </xf>
    <xf numFmtId="0" fontId="6" fillId="0" borderId="38" xfId="0" applyFont="1" applyBorder="1" applyAlignment="1" applyProtection="1">
      <alignment horizontal="center" vertical="center" wrapText="1"/>
      <protection locked="0"/>
    </xf>
    <xf numFmtId="0" fontId="3" fillId="4" borderId="22" xfId="0" applyFont="1" applyFill="1" applyBorder="1" applyAlignment="1" applyProtection="1">
      <alignment horizontal="center" vertical="center"/>
    </xf>
    <xf numFmtId="0" fontId="3" fillId="4" borderId="23" xfId="0" applyFont="1" applyFill="1" applyBorder="1" applyAlignment="1" applyProtection="1">
      <alignment horizontal="center" vertical="center"/>
    </xf>
    <xf numFmtId="0" fontId="3" fillId="4" borderId="21" xfId="0" applyFont="1" applyFill="1" applyBorder="1" applyAlignment="1" applyProtection="1">
      <alignment horizontal="center" vertical="center" wrapText="1"/>
    </xf>
    <xf numFmtId="0" fontId="3" fillId="4" borderId="23" xfId="0" applyFont="1" applyFill="1" applyBorder="1" applyAlignment="1" applyProtection="1">
      <alignment horizontal="center" vertical="center" wrapText="1"/>
    </xf>
    <xf numFmtId="0" fontId="25" fillId="0" borderId="60" xfId="0" applyFont="1" applyFill="1" applyBorder="1" applyAlignment="1" applyProtection="1">
      <alignment horizontal="center" vertical="center" shrinkToFit="1"/>
    </xf>
    <xf numFmtId="0" fontId="25" fillId="0" borderId="39" xfId="0" applyFont="1" applyFill="1" applyBorder="1" applyAlignment="1" applyProtection="1">
      <alignment horizontal="center" vertical="center" shrinkToFit="1"/>
    </xf>
    <xf numFmtId="0" fontId="69" fillId="0" borderId="0" xfId="0" applyFont="1" applyFill="1" applyAlignment="1" applyProtection="1">
      <alignment horizontal="center" vertical="center" wrapText="1"/>
      <protection locked="0"/>
    </xf>
    <xf numFmtId="183" fontId="2" fillId="0" borderId="0" xfId="0" applyNumberFormat="1" applyFont="1" applyFill="1" applyBorder="1" applyAlignment="1" applyProtection="1">
      <alignment horizontal="center" vertical="center" wrapText="1"/>
      <protection locked="0"/>
    </xf>
    <xf numFmtId="0" fontId="4" fillId="0" borderId="0" xfId="0" applyFont="1" applyFill="1" applyAlignment="1" applyProtection="1">
      <alignment horizontal="center" vertical="center" wrapText="1"/>
      <protection locked="0"/>
    </xf>
    <xf numFmtId="0" fontId="65" fillId="0"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38" xfId="0" applyFont="1" applyBorder="1" applyAlignment="1" applyProtection="1">
      <alignment horizontal="center" vertical="center" wrapText="1"/>
      <protection locked="0"/>
    </xf>
    <xf numFmtId="0" fontId="25" fillId="0" borderId="60" xfId="0" applyFont="1" applyBorder="1" applyAlignment="1" applyProtection="1">
      <alignment horizontal="center" vertical="center"/>
    </xf>
    <xf numFmtId="0" fontId="25" fillId="0" borderId="39" xfId="0" applyFont="1" applyBorder="1" applyAlignment="1" applyProtection="1">
      <alignment horizontal="center" vertical="center"/>
    </xf>
    <xf numFmtId="0" fontId="0" fillId="0" borderId="36" xfId="0" applyBorder="1" applyAlignment="1" applyProtection="1">
      <alignment horizontal="center" vertical="center" shrinkToFit="1"/>
    </xf>
    <xf numFmtId="0" fontId="5" fillId="4" borderId="18" xfId="0" applyFont="1" applyFill="1" applyBorder="1" applyAlignment="1">
      <alignment horizontal="center" vertical="center"/>
    </xf>
    <xf numFmtId="0" fontId="0" fillId="4" borderId="20" xfId="0" applyFill="1" applyBorder="1" applyAlignment="1">
      <alignment horizontal="center" vertical="center"/>
    </xf>
    <xf numFmtId="0" fontId="5" fillId="0" borderId="92" xfId="0" applyFont="1" applyBorder="1" applyAlignment="1">
      <alignment horizontal="center" vertical="center" textRotation="255" wrapText="1"/>
    </xf>
    <xf numFmtId="0" fontId="5" fillId="0" borderId="69" xfId="0" applyFont="1" applyBorder="1" applyAlignment="1">
      <alignment horizontal="center" vertical="center" textRotation="255" wrapText="1"/>
    </xf>
    <xf numFmtId="0" fontId="5" fillId="0" borderId="99" xfId="0" applyFont="1" applyBorder="1" applyAlignment="1">
      <alignment horizontal="center" vertical="center" textRotation="255" wrapText="1"/>
    </xf>
    <xf numFmtId="0" fontId="5" fillId="0" borderId="42" xfId="0" applyFont="1" applyBorder="1" applyAlignment="1">
      <alignment horizontal="center" vertical="center" wrapText="1"/>
    </xf>
    <xf numFmtId="0" fontId="0" fillId="0" borderId="62" xfId="0" applyBorder="1" applyAlignment="1">
      <alignment horizontal="center" vertical="center" wrapText="1"/>
    </xf>
    <xf numFmtId="0" fontId="5" fillId="8" borderId="42" xfId="0" applyFont="1" applyFill="1" applyBorder="1" applyAlignment="1" applyProtection="1">
      <alignment horizontal="center" vertical="center" wrapText="1"/>
      <protection locked="0"/>
    </xf>
    <xf numFmtId="0" fontId="0" fillId="8" borderId="62" xfId="0" applyFill="1" applyBorder="1" applyAlignment="1" applyProtection="1">
      <alignment horizontal="center" vertical="center" wrapText="1"/>
      <protection locked="0"/>
    </xf>
    <xf numFmtId="0" fontId="5" fillId="0" borderId="11" xfId="0" applyFont="1" applyBorder="1" applyAlignment="1">
      <alignment horizontal="center" vertical="center" wrapText="1"/>
    </xf>
    <xf numFmtId="0" fontId="5" fillId="8" borderId="11" xfId="0" applyFont="1" applyFill="1" applyBorder="1" applyAlignment="1" applyProtection="1">
      <alignment horizontal="center" vertical="center" wrapText="1"/>
      <protection locked="0"/>
    </xf>
    <xf numFmtId="0" fontId="5" fillId="0" borderId="62" xfId="0" applyFont="1" applyBorder="1" applyAlignment="1">
      <alignment horizontal="center" vertical="center" wrapText="1"/>
    </xf>
    <xf numFmtId="0" fontId="5" fillId="8" borderId="62" xfId="0" applyFont="1" applyFill="1" applyBorder="1" applyAlignment="1" applyProtection="1">
      <alignment horizontal="center" vertical="center" wrapText="1"/>
      <protection locked="0"/>
    </xf>
    <xf numFmtId="0" fontId="0" fillId="0" borderId="10" xfId="0" applyBorder="1" applyAlignment="1">
      <alignment horizontal="center" vertical="center" wrapText="1"/>
    </xf>
    <xf numFmtId="0" fontId="0" fillId="8" borderId="10" xfId="0" applyFill="1" applyBorder="1" applyAlignment="1" applyProtection="1">
      <alignment horizontal="center" vertical="center" wrapText="1"/>
      <protection locked="0"/>
    </xf>
    <xf numFmtId="0" fontId="5" fillId="0" borderId="139" xfId="0" applyFont="1" applyBorder="1" applyAlignment="1">
      <alignment horizontal="center" vertical="center" wrapText="1"/>
    </xf>
    <xf numFmtId="0" fontId="0" fillId="0" borderId="40" xfId="0" applyBorder="1" applyAlignment="1">
      <alignment horizontal="center" vertical="center"/>
    </xf>
    <xf numFmtId="0" fontId="0" fillId="0" borderId="31" xfId="0" applyBorder="1" applyAlignment="1">
      <alignment horizontal="center" vertical="center"/>
    </xf>
    <xf numFmtId="0" fontId="0" fillId="0" borderId="25" xfId="0" applyBorder="1" applyAlignment="1">
      <alignment horizontal="center" vertical="center"/>
    </xf>
    <xf numFmtId="0" fontId="5" fillId="0" borderId="29" xfId="0" applyFont="1" applyBorder="1" applyAlignment="1">
      <alignment horizontal="center" vertical="center" wrapText="1"/>
    </xf>
    <xf numFmtId="0" fontId="0" fillId="0" borderId="23" xfId="0" applyBorder="1" applyAlignment="1">
      <alignment horizontal="center" vertical="center"/>
    </xf>
    <xf numFmtId="0" fontId="0" fillId="0" borderId="130" xfId="0" applyBorder="1" applyAlignment="1">
      <alignment horizontal="center" vertical="center"/>
    </xf>
    <xf numFmtId="0" fontId="0" fillId="0" borderId="28" xfId="0" applyBorder="1" applyAlignment="1">
      <alignment horizontal="center" vertical="center"/>
    </xf>
    <xf numFmtId="0" fontId="5" fillId="5" borderId="21" xfId="0" applyFont="1" applyFill="1" applyBorder="1" applyAlignment="1" applyProtection="1">
      <alignment horizontal="left" vertical="top" wrapText="1"/>
      <protection locked="0"/>
    </xf>
    <xf numFmtId="0" fontId="0" fillId="5" borderId="22" xfId="0" applyFill="1" applyBorder="1" applyAlignment="1" applyProtection="1">
      <alignment horizontal="left" vertical="top" wrapText="1"/>
      <protection locked="0"/>
    </xf>
    <xf numFmtId="0" fontId="0" fillId="5" borderId="13" xfId="0" applyFill="1" applyBorder="1" applyAlignment="1" applyProtection="1">
      <alignment horizontal="left" vertical="top" wrapText="1"/>
      <protection locked="0"/>
    </xf>
    <xf numFmtId="0" fontId="0" fillId="5" borderId="24" xfId="0"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16" xfId="0" applyFill="1" applyBorder="1" applyAlignment="1" applyProtection="1">
      <alignment horizontal="left" vertical="top" wrapText="1"/>
      <protection locked="0"/>
    </xf>
    <xf numFmtId="0" fontId="0" fillId="5" borderId="26" xfId="0" applyFill="1" applyBorder="1" applyAlignment="1" applyProtection="1">
      <alignment horizontal="left" vertical="top" wrapText="1"/>
      <protection locked="0"/>
    </xf>
    <xf numFmtId="0" fontId="0" fillId="5" borderId="27" xfId="0" applyFill="1" applyBorder="1" applyAlignment="1" applyProtection="1">
      <alignment horizontal="left" vertical="top" wrapText="1"/>
      <protection locked="0"/>
    </xf>
    <xf numFmtId="0" fontId="0" fillId="5" borderId="67" xfId="0" applyFill="1" applyBorder="1" applyAlignment="1" applyProtection="1">
      <alignment horizontal="left" vertical="top" wrapText="1"/>
      <protection locked="0"/>
    </xf>
    <xf numFmtId="0" fontId="0" fillId="8" borderId="64" xfId="0" applyFill="1" applyBorder="1" applyAlignment="1" applyProtection="1">
      <alignment horizontal="center" vertical="center" wrapText="1"/>
      <protection locked="0"/>
    </xf>
    <xf numFmtId="0" fontId="0" fillId="0" borderId="0" xfId="0" applyAlignment="1" applyProtection="1">
      <alignment horizontal="center"/>
    </xf>
    <xf numFmtId="187" fontId="0" fillId="12" borderId="9" xfId="0" applyNumberFormat="1" applyFill="1" applyBorder="1" applyAlignment="1" applyProtection="1">
      <alignment horizontal="center" vertical="center"/>
    </xf>
    <xf numFmtId="187" fontId="0" fillId="12" borderId="7" xfId="0" applyNumberFormat="1"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3" xfId="0" applyNumberFormat="1" applyFill="1" applyBorder="1" applyAlignment="1" applyProtection="1">
      <alignment horizontal="center" vertical="center"/>
    </xf>
    <xf numFmtId="187" fontId="0" fillId="12" borderId="9" xfId="0" applyNumberFormat="1" applyFont="1" applyFill="1" applyBorder="1" applyAlignment="1" applyProtection="1">
      <alignment horizontal="center" vertical="center"/>
    </xf>
    <xf numFmtId="187" fontId="0" fillId="12" borderId="7" xfId="0" applyNumberFormat="1" applyFont="1" applyFill="1" applyBorder="1" applyAlignment="1" applyProtection="1">
      <alignment horizontal="center" vertical="center"/>
    </xf>
    <xf numFmtId="187" fontId="0" fillId="0" borderId="8" xfId="0" applyNumberFormat="1" applyFill="1" applyBorder="1" applyAlignment="1" applyProtection="1">
      <alignment horizontal="center" vertical="center"/>
    </xf>
    <xf numFmtId="187" fontId="0" fillId="0" borderId="3" xfId="0" applyNumberFormat="1" applyFill="1" applyBorder="1" applyAlignment="1" applyProtection="1">
      <alignment horizontal="center" vertical="center"/>
    </xf>
    <xf numFmtId="187" fontId="0" fillId="12" borderId="1" xfId="0" applyNumberFormat="1" applyFill="1" applyBorder="1" applyAlignment="1" applyProtection="1">
      <alignment horizontal="center" vertical="center"/>
    </xf>
    <xf numFmtId="187" fontId="0" fillId="12" borderId="5" xfId="0" applyNumberFormat="1" applyFill="1" applyBorder="1" applyAlignment="1" applyProtection="1">
      <alignment horizontal="center" vertical="center"/>
    </xf>
    <xf numFmtId="187" fontId="0" fillId="12" borderId="1" xfId="0" applyNumberFormat="1" applyFont="1" applyFill="1" applyBorder="1" applyAlignment="1" applyProtection="1">
      <alignment horizontal="center" vertical="center"/>
    </xf>
    <xf numFmtId="187" fontId="0" fillId="12" borderId="5" xfId="0" applyNumberFormat="1" applyFont="1" applyFill="1" applyBorder="1" applyAlignment="1" applyProtection="1">
      <alignment horizontal="center" vertical="center"/>
    </xf>
    <xf numFmtId="0" fontId="1" fillId="2" borderId="4"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135" xfId="0" applyFont="1" applyFill="1" applyBorder="1" applyAlignment="1">
      <alignment horizontal="center" vertical="center"/>
    </xf>
    <xf numFmtId="0" fontId="1" fillId="2" borderId="81" xfId="0" applyFont="1" applyFill="1" applyBorder="1" applyAlignment="1">
      <alignment horizontal="center" vertical="center" wrapText="1"/>
    </xf>
    <xf numFmtId="0" fontId="1" fillId="2" borderId="161" xfId="0" applyFont="1" applyFill="1" applyBorder="1" applyAlignment="1">
      <alignment horizontal="center" vertical="center"/>
    </xf>
    <xf numFmtId="0" fontId="0" fillId="2" borderId="1" xfId="0" applyFill="1" applyBorder="1" applyAlignment="1">
      <alignment horizontal="center" vertical="center" wrapText="1"/>
    </xf>
    <xf numFmtId="0" fontId="0" fillId="2" borderId="135" xfId="0" applyFont="1" applyFill="1" applyBorder="1" applyAlignment="1">
      <alignment horizontal="center" vertical="center"/>
    </xf>
    <xf numFmtId="0" fontId="0" fillId="2" borderId="1" xfId="0" applyFont="1" applyFill="1" applyBorder="1" applyAlignment="1">
      <alignment horizontal="center" vertical="center"/>
    </xf>
    <xf numFmtId="0" fontId="1" fillId="2" borderId="37"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0" fillId="2" borderId="60" xfId="0" applyFont="1" applyFill="1" applyBorder="1" applyAlignment="1">
      <alignment horizontal="center" vertical="center" wrapText="1"/>
    </xf>
    <xf numFmtId="0" fontId="0" fillId="2" borderId="142" xfId="0" applyFont="1" applyFill="1" applyBorder="1" applyAlignment="1">
      <alignment horizontal="center" vertical="center" wrapText="1"/>
    </xf>
    <xf numFmtId="0" fontId="0" fillId="2" borderId="60" xfId="0" applyFont="1" applyFill="1" applyBorder="1" applyAlignment="1">
      <alignment horizontal="center" vertical="center"/>
    </xf>
    <xf numFmtId="0" fontId="0" fillId="2" borderId="142" xfId="0" applyFont="1" applyFill="1" applyBorder="1" applyAlignment="1">
      <alignment horizontal="center" vertical="center"/>
    </xf>
    <xf numFmtId="0" fontId="12" fillId="0" borderId="0" xfId="0" applyFont="1" applyBorder="1" applyAlignment="1">
      <alignment vertical="top" wrapText="1"/>
    </xf>
    <xf numFmtId="0" fontId="1" fillId="2" borderId="6"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46" xfId="0" applyFont="1" applyFill="1" applyBorder="1" applyAlignment="1">
      <alignment horizontal="center" vertical="center" wrapText="1"/>
    </xf>
    <xf numFmtId="0" fontId="1" fillId="2" borderId="100"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37"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132" xfId="0" applyFont="1" applyFill="1" applyBorder="1" applyAlignment="1">
      <alignment horizontal="center" vertical="center"/>
    </xf>
    <xf numFmtId="190" fontId="0" fillId="2" borderId="160" xfId="0" applyNumberFormat="1" applyFont="1" applyFill="1" applyBorder="1" applyAlignment="1">
      <alignment horizontal="center" vertical="center"/>
    </xf>
    <xf numFmtId="190" fontId="0" fillId="2" borderId="57" xfId="0" applyNumberFormat="1" applyFont="1" applyFill="1" applyBorder="1" applyAlignment="1">
      <alignment horizontal="center" vertical="center"/>
    </xf>
    <xf numFmtId="0" fontId="1" fillId="2" borderId="1" xfId="0" applyFont="1" applyFill="1" applyBorder="1" applyAlignment="1" applyProtection="1">
      <alignment horizontal="center" vertical="center"/>
    </xf>
    <xf numFmtId="0" fontId="1" fillId="2" borderId="9" xfId="0" applyFont="1" applyFill="1" applyBorder="1" applyAlignment="1" applyProtection="1">
      <alignment horizontal="center" vertical="center"/>
    </xf>
    <xf numFmtId="0" fontId="0" fillId="2" borderId="162" xfId="0" applyFill="1" applyBorder="1" applyAlignment="1">
      <alignment horizontal="center" vertical="center" wrapText="1"/>
    </xf>
    <xf numFmtId="0" fontId="1" fillId="2" borderId="163" xfId="0" applyFont="1" applyFill="1" applyBorder="1" applyAlignment="1">
      <alignment horizontal="center" vertical="center" wrapText="1"/>
    </xf>
    <xf numFmtId="0" fontId="1" fillId="2" borderId="164" xfId="0" applyFont="1" applyFill="1" applyBorder="1" applyAlignment="1">
      <alignment horizontal="center" vertical="center" wrapText="1"/>
    </xf>
    <xf numFmtId="0" fontId="0" fillId="12" borderId="60" xfId="0" applyNumberFormat="1" applyFill="1" applyBorder="1" applyAlignment="1" applyProtection="1">
      <alignment horizontal="center" vertical="center" wrapText="1"/>
      <protection locked="0"/>
    </xf>
    <xf numFmtId="0" fontId="0" fillId="12" borderId="39" xfId="0" applyNumberFormat="1" applyFill="1" applyBorder="1" applyAlignment="1" applyProtection="1">
      <alignment horizontal="center" vertical="center" wrapText="1"/>
      <protection locked="0"/>
    </xf>
    <xf numFmtId="0" fontId="0" fillId="2" borderId="4" xfId="0" applyFont="1" applyFill="1" applyBorder="1" applyAlignment="1">
      <alignment horizontal="center" vertical="center" textRotation="255" wrapText="1"/>
    </xf>
    <xf numFmtId="0" fontId="0" fillId="2" borderId="1" xfId="0" applyFont="1" applyFill="1" applyBorder="1" applyAlignment="1">
      <alignment horizontal="center" vertical="center" textRotation="255" wrapText="1"/>
    </xf>
    <xf numFmtId="0" fontId="0" fillId="2" borderId="1" xfId="0" applyFont="1" applyFill="1" applyBorder="1" applyAlignment="1">
      <alignment horizontal="center" vertical="center" wrapText="1"/>
    </xf>
    <xf numFmtId="0" fontId="0" fillId="2" borderId="135" xfId="0" applyFont="1" applyFill="1" applyBorder="1" applyAlignment="1">
      <alignment horizontal="center" vertical="center" wrapText="1"/>
    </xf>
    <xf numFmtId="0" fontId="1" fillId="2" borderId="165" xfId="0" applyFont="1" applyFill="1" applyBorder="1" applyAlignment="1">
      <alignment horizontal="center" vertical="center"/>
    </xf>
    <xf numFmtId="0" fontId="1" fillId="2" borderId="41" xfId="0" applyFont="1" applyFill="1" applyBorder="1" applyAlignment="1">
      <alignment horizontal="center" vertical="center"/>
    </xf>
    <xf numFmtId="0" fontId="1" fillId="2" borderId="101" xfId="0" applyFont="1" applyFill="1" applyBorder="1" applyAlignment="1">
      <alignment horizontal="center" vertical="center"/>
    </xf>
    <xf numFmtId="0" fontId="3" fillId="2" borderId="2" xfId="0" applyFont="1" applyFill="1" applyBorder="1" applyAlignment="1" applyProtection="1">
      <alignment vertical="center" textRotation="255" wrapText="1"/>
    </xf>
    <xf numFmtId="0" fontId="3" fillId="2" borderId="4" xfId="0" applyFont="1" applyFill="1" applyBorder="1" applyAlignment="1" applyProtection="1">
      <alignment vertical="center" textRotation="255" wrapText="1"/>
    </xf>
    <xf numFmtId="0" fontId="3" fillId="2" borderId="6" xfId="0" applyFont="1" applyFill="1" applyBorder="1" applyAlignment="1" applyProtection="1">
      <alignment vertical="center" textRotation="255" wrapText="1"/>
    </xf>
    <xf numFmtId="0" fontId="0" fillId="12" borderId="110" xfId="0" applyNumberFormat="1" applyFill="1" applyBorder="1" applyAlignment="1" applyProtection="1">
      <alignment horizontal="center" vertical="center" wrapText="1"/>
      <protection locked="0"/>
    </xf>
    <xf numFmtId="0" fontId="0" fillId="12" borderId="50" xfId="0" applyNumberFormat="1" applyFill="1" applyBorder="1" applyAlignment="1" applyProtection="1">
      <alignment horizontal="center" vertical="center" wrapText="1"/>
      <protection locked="0"/>
    </xf>
    <xf numFmtId="0" fontId="0" fillId="2" borderId="4" xfId="0" applyFont="1" applyFill="1" applyBorder="1" applyAlignment="1">
      <alignment horizontal="center" vertical="center"/>
    </xf>
    <xf numFmtId="0" fontId="1" fillId="2" borderId="8" xfId="0" applyFont="1" applyFill="1" applyBorder="1" applyAlignment="1" applyProtection="1">
      <alignment horizontal="center" vertical="center"/>
    </xf>
    <xf numFmtId="0" fontId="1" fillId="2" borderId="122" xfId="0" applyFont="1" applyFill="1" applyBorder="1" applyAlignment="1">
      <alignment horizontal="center" vertical="center" wrapText="1"/>
    </xf>
    <xf numFmtId="0" fontId="1" fillId="2" borderId="166" xfId="0" applyFont="1" applyFill="1" applyBorder="1" applyAlignment="1">
      <alignment horizontal="center" vertical="center"/>
    </xf>
    <xf numFmtId="0" fontId="0" fillId="2" borderId="55" xfId="0" applyFill="1" applyBorder="1" applyAlignment="1" applyProtection="1">
      <alignment horizontal="center" vertical="center"/>
    </xf>
    <xf numFmtId="0" fontId="0" fillId="2" borderId="53" xfId="0" applyFill="1" applyBorder="1" applyAlignment="1" applyProtection="1">
      <alignment horizontal="center" vertical="center"/>
    </xf>
    <xf numFmtId="0" fontId="1" fillId="2" borderId="136" xfId="0" applyFont="1" applyFill="1" applyBorder="1" applyAlignment="1">
      <alignment horizontal="center" vertical="center" wrapText="1"/>
    </xf>
    <xf numFmtId="0" fontId="1" fillId="2" borderId="167" xfId="0" applyFont="1" applyFill="1" applyBorder="1" applyAlignment="1">
      <alignment horizontal="center" vertical="center"/>
    </xf>
    <xf numFmtId="0" fontId="0" fillId="2" borderId="55" xfId="0" applyFont="1" applyFill="1" applyBorder="1" applyAlignment="1" applyProtection="1">
      <alignment horizontal="center" vertical="center" wrapText="1"/>
    </xf>
    <xf numFmtId="0" fontId="0" fillId="12" borderId="1" xfId="0" applyNumberFormat="1" applyFont="1" applyFill="1" applyBorder="1" applyAlignment="1" applyProtection="1">
      <alignment horizontal="center" vertical="center" wrapText="1"/>
      <protection locked="0"/>
    </xf>
    <xf numFmtId="0" fontId="1" fillId="2" borderId="168" xfId="0" applyFont="1" applyFill="1" applyBorder="1" applyAlignment="1">
      <alignment horizontal="center" vertical="center"/>
    </xf>
    <xf numFmtId="0" fontId="1" fillId="2" borderId="22"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12" xfId="0" applyFont="1" applyFill="1" applyBorder="1" applyAlignment="1">
      <alignment horizontal="center" vertical="center"/>
    </xf>
    <xf numFmtId="0" fontId="1" fillId="2" borderId="38" xfId="0" applyFont="1" applyFill="1" applyBorder="1" applyAlignment="1">
      <alignment horizontal="center" vertical="center"/>
    </xf>
    <xf numFmtId="0" fontId="1" fillId="2" borderId="65" xfId="0" applyFont="1" applyFill="1" applyBorder="1" applyAlignment="1">
      <alignment horizontal="center" vertical="center"/>
    </xf>
    <xf numFmtId="0" fontId="0" fillId="8" borderId="55" xfId="0" applyNumberFormat="1" applyFill="1" applyBorder="1" applyAlignment="1" applyProtection="1">
      <alignment horizontal="center" vertical="center"/>
      <protection locked="0"/>
    </xf>
    <xf numFmtId="0" fontId="0" fillId="2" borderId="81" xfId="0" applyFill="1" applyBorder="1" applyAlignment="1">
      <alignment horizontal="center" vertical="center" wrapText="1"/>
    </xf>
    <xf numFmtId="0" fontId="1" fillId="2" borderId="161" xfId="0" applyFont="1" applyFill="1" applyBorder="1" applyAlignment="1">
      <alignment horizontal="center" vertical="center" wrapText="1"/>
    </xf>
    <xf numFmtId="187" fontId="0" fillId="2" borderId="55" xfId="0" applyNumberFormat="1" applyFill="1" applyBorder="1" applyAlignment="1" applyProtection="1">
      <alignment horizontal="center" vertical="center"/>
    </xf>
    <xf numFmtId="187" fontId="0" fillId="2" borderId="53" xfId="0" applyNumberFormat="1" applyFill="1" applyBorder="1" applyAlignment="1" applyProtection="1">
      <alignment horizontal="center" vertical="center"/>
    </xf>
    <xf numFmtId="0" fontId="0" fillId="18" borderId="106" xfId="0" applyNumberFormat="1" applyFill="1" applyBorder="1" applyAlignment="1" applyProtection="1">
      <alignment horizontal="center" vertical="center" wrapText="1"/>
      <protection locked="0"/>
    </xf>
    <xf numFmtId="0" fontId="0" fillId="18" borderId="44" xfId="0" applyNumberFormat="1" applyFill="1" applyBorder="1" applyAlignment="1" applyProtection="1">
      <alignment horizontal="center" vertical="center" wrapText="1"/>
      <protection locked="0"/>
    </xf>
    <xf numFmtId="0" fontId="0" fillId="2" borderId="125" xfId="0" applyFill="1" applyBorder="1" applyAlignment="1" applyProtection="1">
      <alignment horizontal="center" vertical="center" wrapText="1"/>
    </xf>
    <xf numFmtId="0" fontId="0" fillId="2" borderId="20" xfId="0" applyFill="1" applyBorder="1" applyAlignment="1" applyProtection="1">
      <alignment horizontal="center" vertical="center" wrapText="1"/>
    </xf>
    <xf numFmtId="0" fontId="0" fillId="8" borderId="8" xfId="0" applyNumberFormat="1" applyFill="1" applyBorder="1" applyAlignment="1" applyProtection="1">
      <alignment horizontal="center" vertical="center" wrapText="1"/>
      <protection locked="0"/>
    </xf>
    <xf numFmtId="0" fontId="0" fillId="2" borderId="18" xfId="0" applyFill="1" applyBorder="1" applyAlignment="1" applyProtection="1">
      <alignment horizontal="center" vertical="center"/>
    </xf>
    <xf numFmtId="0" fontId="0" fillId="2" borderId="19" xfId="0" applyFill="1" applyBorder="1" applyAlignment="1" applyProtection="1">
      <alignment horizontal="center" vertical="center"/>
    </xf>
    <xf numFmtId="0" fontId="0" fillId="2" borderId="20" xfId="0" applyFill="1" applyBorder="1" applyAlignment="1" applyProtection="1">
      <alignment horizontal="center" vertical="center"/>
    </xf>
    <xf numFmtId="0" fontId="0" fillId="12" borderId="110" xfId="0" applyNumberFormat="1" applyFont="1" applyFill="1" applyBorder="1" applyAlignment="1" applyProtection="1">
      <alignment horizontal="center" vertical="center" wrapText="1"/>
      <protection locked="0"/>
    </xf>
    <xf numFmtId="0" fontId="0" fillId="12" borderId="50" xfId="0" applyNumberFormat="1" applyFont="1" applyFill="1" applyBorder="1" applyAlignment="1" applyProtection="1">
      <alignment horizontal="center" vertical="center" wrapText="1"/>
      <protection locked="0"/>
    </xf>
    <xf numFmtId="187" fontId="1" fillId="10" borderId="9" xfId="0" applyNumberFormat="1" applyFont="1" applyFill="1" applyBorder="1" applyAlignment="1" applyProtection="1">
      <alignment vertical="center"/>
    </xf>
    <xf numFmtId="187" fontId="1" fillId="10" borderId="1" xfId="0" applyNumberFormat="1" applyFont="1" applyFill="1" applyBorder="1" applyAlignment="1" applyProtection="1">
      <alignment vertical="center"/>
    </xf>
    <xf numFmtId="187" fontId="1" fillId="10" borderId="8" xfId="0" applyNumberFormat="1" applyFont="1" applyFill="1" applyBorder="1" applyAlignment="1" applyProtection="1">
      <alignment vertical="center"/>
    </xf>
    <xf numFmtId="0" fontId="20" fillId="2" borderId="115" xfId="0" applyFont="1" applyFill="1" applyBorder="1" applyAlignment="1" applyProtection="1">
      <alignment horizontal="center" vertical="center"/>
    </xf>
    <xf numFmtId="0" fontId="20" fillId="2" borderId="113" xfId="0" applyFont="1" applyFill="1" applyBorder="1" applyAlignment="1" applyProtection="1">
      <alignment horizontal="center" vertical="center"/>
    </xf>
    <xf numFmtId="0" fontId="20" fillId="2" borderId="169" xfId="0" applyFont="1" applyFill="1" applyBorder="1" applyAlignment="1" applyProtection="1">
      <alignment horizontal="center" vertical="center"/>
    </xf>
    <xf numFmtId="0" fontId="6" fillId="10" borderId="162" xfId="0" applyFont="1" applyFill="1" applyBorder="1" applyAlignment="1" applyProtection="1">
      <alignment horizontal="center" vertical="center" wrapText="1"/>
    </xf>
    <xf numFmtId="0" fontId="6" fillId="10" borderId="163" xfId="0" applyFont="1" applyFill="1" applyBorder="1" applyAlignment="1" applyProtection="1">
      <alignment horizontal="center" vertical="center" wrapText="1"/>
    </xf>
    <xf numFmtId="0" fontId="6" fillId="10" borderId="164" xfId="0" applyFont="1" applyFill="1" applyBorder="1" applyAlignment="1" applyProtection="1">
      <alignment horizontal="center" vertical="center" wrapText="1"/>
    </xf>
    <xf numFmtId="187" fontId="1" fillId="10" borderId="10" xfId="0" applyNumberFormat="1" applyFont="1" applyFill="1" applyBorder="1" applyAlignment="1" applyProtection="1">
      <alignment vertical="center"/>
    </xf>
    <xf numFmtId="0" fontId="20" fillId="2" borderId="18"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47" xfId="0" applyFont="1" applyFill="1" applyBorder="1" applyAlignment="1" applyProtection="1">
      <alignment horizontal="center" vertical="center" wrapText="1"/>
    </xf>
    <xf numFmtId="0" fontId="20" fillId="2" borderId="119" xfId="0" applyFont="1" applyFill="1" applyBorder="1" applyAlignment="1" applyProtection="1">
      <alignment horizontal="center" vertical="center"/>
    </xf>
    <xf numFmtId="0" fontId="20" fillId="2" borderId="36" xfId="0" applyFont="1" applyFill="1" applyBorder="1" applyAlignment="1" applyProtection="1">
      <alignment horizontal="center" vertical="center"/>
    </xf>
    <xf numFmtId="0" fontId="20" fillId="2" borderId="142"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2" borderId="37" xfId="0" applyFont="1" applyFill="1" applyBorder="1" applyAlignment="1" applyProtection="1">
      <alignment horizontal="center" vertical="center"/>
    </xf>
    <xf numFmtId="0" fontId="20" fillId="2" borderId="140" xfId="0" applyFont="1" applyFill="1" applyBorder="1" applyAlignment="1" applyProtection="1">
      <alignment horizontal="center" vertical="center"/>
    </xf>
    <xf numFmtId="0" fontId="0" fillId="2" borderId="60" xfId="0" applyFont="1" applyFill="1" applyBorder="1" applyAlignment="1" applyProtection="1">
      <alignment horizontal="center" vertical="center" wrapText="1"/>
    </xf>
    <xf numFmtId="0" fontId="1" fillId="2" borderId="36" xfId="0" applyFont="1" applyFill="1" applyBorder="1" applyAlignment="1" applyProtection="1">
      <alignment horizontal="center" vertical="center"/>
    </xf>
    <xf numFmtId="0" fontId="1" fillId="2" borderId="142" xfId="0" applyFont="1" applyFill="1" applyBorder="1" applyAlignment="1" applyProtection="1">
      <alignment horizontal="center" vertical="center"/>
    </xf>
    <xf numFmtId="0" fontId="20" fillId="2" borderId="119" xfId="0" applyFont="1" applyFill="1" applyBorder="1" applyAlignment="1" applyProtection="1">
      <alignment horizontal="center" vertical="center" textRotation="255" wrapText="1"/>
    </xf>
    <xf numFmtId="0" fontId="20" fillId="2" borderId="39" xfId="0" applyFont="1" applyFill="1" applyBorder="1" applyAlignment="1" applyProtection="1">
      <alignment horizontal="center" vertical="center" textRotation="255" wrapText="1"/>
    </xf>
    <xf numFmtId="0" fontId="1" fillId="2" borderId="60" xfId="0" applyFont="1" applyFill="1" applyBorder="1" applyAlignment="1" applyProtection="1">
      <alignment horizontal="center" vertical="center"/>
    </xf>
    <xf numFmtId="0" fontId="20" fillId="2" borderId="139" xfId="0" applyFont="1" applyFill="1" applyBorder="1" applyAlignment="1" applyProtection="1">
      <alignment horizontal="center" vertical="center" textRotation="255" wrapText="1"/>
    </xf>
    <xf numFmtId="0" fontId="20" fillId="2" borderId="40" xfId="0" applyFont="1" applyFill="1" applyBorder="1" applyAlignment="1" applyProtection="1">
      <alignment horizontal="center" vertical="center" textRotation="255" wrapText="1"/>
    </xf>
    <xf numFmtId="0" fontId="20" fillId="2" borderId="31" xfId="0" applyFont="1" applyFill="1" applyBorder="1" applyAlignment="1" applyProtection="1">
      <alignment horizontal="center" vertical="center" textRotation="255" wrapText="1"/>
    </xf>
    <xf numFmtId="0" fontId="20" fillId="2" borderId="25" xfId="0" applyFont="1" applyFill="1" applyBorder="1" applyAlignment="1" applyProtection="1">
      <alignment horizontal="center" vertical="center" textRotation="255" wrapText="1"/>
    </xf>
    <xf numFmtId="0" fontId="20" fillId="2" borderId="117" xfId="0" applyFont="1" applyFill="1" applyBorder="1" applyAlignment="1" applyProtection="1">
      <alignment horizontal="center" vertical="center" textRotation="255" wrapText="1"/>
    </xf>
    <xf numFmtId="0" fontId="20" fillId="2" borderId="12" xfId="0" applyFont="1" applyFill="1" applyBorder="1" applyAlignment="1" applyProtection="1">
      <alignment horizontal="center" vertical="center" textRotation="255" wrapText="1"/>
    </xf>
    <xf numFmtId="0" fontId="1" fillId="2" borderId="60" xfId="0" applyFont="1" applyFill="1" applyBorder="1" applyAlignment="1" applyProtection="1">
      <alignment horizontal="center" vertical="center" wrapText="1"/>
    </xf>
    <xf numFmtId="0" fontId="1" fillId="2" borderId="36" xfId="0" applyFont="1" applyFill="1" applyBorder="1" applyAlignment="1" applyProtection="1">
      <alignment horizontal="center" vertical="center" wrapText="1"/>
    </xf>
    <xf numFmtId="0" fontId="1" fillId="2" borderId="142" xfId="0" applyFont="1" applyFill="1" applyBorder="1" applyAlignment="1" applyProtection="1">
      <alignment horizontal="center" vertical="center" wrapText="1"/>
    </xf>
    <xf numFmtId="0" fontId="1" fillId="2" borderId="109" xfId="0" applyFont="1" applyFill="1" applyBorder="1" applyAlignment="1" applyProtection="1">
      <alignment horizontal="center" vertical="center" wrapText="1"/>
    </xf>
    <xf numFmtId="0" fontId="1" fillId="2" borderId="38" xfId="0" applyFont="1" applyFill="1" applyBorder="1" applyAlignment="1" applyProtection="1">
      <alignment horizontal="center" vertical="center" wrapText="1"/>
    </xf>
    <xf numFmtId="0" fontId="1" fillId="2" borderId="141" xfId="0" applyFont="1" applyFill="1" applyBorder="1" applyAlignment="1" applyProtection="1">
      <alignment horizontal="center" vertical="center" wrapText="1"/>
    </xf>
    <xf numFmtId="0" fontId="0" fillId="2" borderId="60" xfId="0" applyFont="1" applyFill="1" applyBorder="1" applyAlignment="1" applyProtection="1">
      <alignment horizontal="center" vertical="center"/>
    </xf>
    <xf numFmtId="0" fontId="0" fillId="2" borderId="36" xfId="0" applyFont="1" applyFill="1" applyBorder="1" applyAlignment="1" applyProtection="1">
      <alignment horizontal="center" vertical="center"/>
    </xf>
    <xf numFmtId="0" fontId="0" fillId="2" borderId="142" xfId="0" applyFont="1" applyFill="1" applyBorder="1" applyAlignment="1" applyProtection="1">
      <alignment horizontal="center" vertical="center"/>
    </xf>
    <xf numFmtId="190" fontId="0" fillId="2" borderId="160" xfId="0" applyNumberFormat="1" applyFont="1" applyFill="1" applyBorder="1" applyAlignment="1" applyProtection="1">
      <alignment horizontal="center" vertical="center"/>
    </xf>
    <xf numFmtId="190" fontId="0" fillId="2" borderId="57" xfId="0" applyNumberFormat="1" applyFont="1" applyFill="1" applyBorder="1" applyAlignment="1" applyProtection="1">
      <alignment horizontal="center" vertical="center"/>
    </xf>
    <xf numFmtId="0" fontId="1" fillId="2" borderId="40" xfId="0" applyFont="1" applyFill="1" applyBorder="1" applyAlignment="1" applyProtection="1">
      <alignment horizontal="center" vertical="center" wrapText="1"/>
    </xf>
    <xf numFmtId="0" fontId="1" fillId="2" borderId="172" xfId="0" applyFont="1" applyFill="1" applyBorder="1" applyAlignment="1" applyProtection="1">
      <alignment horizontal="center" vertical="center" wrapText="1"/>
    </xf>
    <xf numFmtId="0" fontId="1" fillId="2" borderId="100" xfId="0" applyFont="1" applyFill="1" applyBorder="1" applyAlignment="1" applyProtection="1">
      <alignment horizontal="center" vertical="center" wrapText="1"/>
    </xf>
    <xf numFmtId="0" fontId="1" fillId="2" borderId="170" xfId="0" applyFont="1" applyFill="1" applyBorder="1" applyAlignment="1" applyProtection="1">
      <alignment horizontal="center" vertical="center" wrapText="1"/>
    </xf>
    <xf numFmtId="184" fontId="53" fillId="2" borderId="160" xfId="0" applyNumberFormat="1" applyFont="1" applyFill="1" applyBorder="1" applyAlignment="1" applyProtection="1">
      <alignment horizontal="center" vertical="center"/>
    </xf>
    <xf numFmtId="184" fontId="53" fillId="2" borderId="29" xfId="0" applyNumberFormat="1" applyFont="1" applyFill="1" applyBorder="1" applyAlignment="1" applyProtection="1">
      <alignment horizontal="center" vertical="center"/>
    </xf>
    <xf numFmtId="184" fontId="53" fillId="2" borderId="57" xfId="0" applyNumberFormat="1" applyFont="1" applyFill="1" applyBorder="1" applyAlignment="1" applyProtection="1">
      <alignment horizontal="center" vertical="center"/>
    </xf>
    <xf numFmtId="184" fontId="53" fillId="2" borderId="117" xfId="0" applyNumberFormat="1" applyFont="1" applyFill="1" applyBorder="1" applyAlignment="1" applyProtection="1">
      <alignment horizontal="center" vertical="center"/>
    </xf>
    <xf numFmtId="0" fontId="1" fillId="2" borderId="122" xfId="0" applyFont="1" applyFill="1" applyBorder="1" applyAlignment="1" applyProtection="1">
      <alignment horizontal="center" vertical="center" wrapText="1"/>
    </xf>
    <xf numFmtId="0" fontId="1" fillId="2" borderId="166" xfId="0" applyFont="1" applyFill="1" applyBorder="1" applyAlignment="1" applyProtection="1">
      <alignment horizontal="center" vertical="center" wrapText="1"/>
    </xf>
    <xf numFmtId="0" fontId="1" fillId="2" borderId="81" xfId="0" applyFont="1" applyFill="1" applyBorder="1" applyAlignment="1" applyProtection="1">
      <alignment horizontal="center" vertical="center" wrapText="1"/>
    </xf>
    <xf numFmtId="0" fontId="1" fillId="2" borderId="161" xfId="0" applyFont="1" applyFill="1" applyBorder="1" applyAlignment="1" applyProtection="1">
      <alignment horizontal="center" vertical="center" wrapText="1"/>
    </xf>
    <xf numFmtId="190" fontId="0" fillId="2" borderId="13" xfId="0" applyNumberFormat="1" applyFont="1" applyFill="1" applyBorder="1" applyAlignment="1" applyProtection="1">
      <alignment horizontal="center" vertical="center"/>
    </xf>
    <xf numFmtId="190" fontId="0" fillId="2" borderId="65" xfId="0" applyNumberFormat="1" applyFont="1" applyFill="1" applyBorder="1" applyAlignment="1" applyProtection="1">
      <alignment horizontal="center" vertical="center"/>
    </xf>
    <xf numFmtId="0" fontId="0" fillId="2" borderId="58" xfId="0" applyFill="1" applyBorder="1" applyAlignment="1" applyProtection="1">
      <alignment horizontal="center" vertical="center"/>
    </xf>
    <xf numFmtId="187" fontId="0" fillId="2" borderId="125" xfId="0" applyNumberFormat="1" applyFill="1" applyBorder="1" applyAlignment="1" applyProtection="1">
      <alignment horizontal="center" vertical="center"/>
    </xf>
    <xf numFmtId="187" fontId="0" fillId="2" borderId="58" xfId="0" applyNumberFormat="1" applyFill="1" applyBorder="1" applyAlignment="1" applyProtection="1">
      <alignment horizontal="center" vertical="center"/>
    </xf>
    <xf numFmtId="187" fontId="0" fillId="2" borderId="106" xfId="0" applyNumberFormat="1" applyFill="1" applyBorder="1" applyAlignment="1" applyProtection="1">
      <alignment horizontal="center" vertical="center"/>
    </xf>
    <xf numFmtId="187" fontId="0" fillId="2" borderId="56" xfId="0" applyNumberFormat="1" applyFill="1" applyBorder="1" applyAlignment="1" applyProtection="1">
      <alignment horizontal="center" vertical="center"/>
    </xf>
    <xf numFmtId="0" fontId="0" fillId="10" borderId="55" xfId="0" applyFont="1" applyFill="1" applyBorder="1" applyAlignment="1" applyProtection="1">
      <alignment horizontal="center" vertical="center" wrapText="1"/>
    </xf>
    <xf numFmtId="0" fontId="0" fillId="10" borderId="8" xfId="0" applyNumberFormat="1" applyFill="1" applyBorder="1" applyAlignment="1" applyProtection="1">
      <alignment horizontal="center" vertical="center" wrapText="1"/>
    </xf>
    <xf numFmtId="0" fontId="0" fillId="10" borderId="55" xfId="0" applyNumberFormat="1" applyFill="1" applyBorder="1" applyAlignment="1" applyProtection="1">
      <alignment horizontal="center" vertical="center"/>
    </xf>
    <xf numFmtId="187" fontId="0" fillId="10" borderId="55" xfId="0" applyNumberFormat="1" applyFill="1" applyBorder="1" applyAlignment="1" applyProtection="1">
      <alignment vertical="center"/>
    </xf>
    <xf numFmtId="187" fontId="1" fillId="10" borderId="11" xfId="0" applyNumberFormat="1" applyFont="1" applyFill="1" applyBorder="1" applyAlignment="1" applyProtection="1">
      <alignment vertical="center"/>
    </xf>
    <xf numFmtId="187" fontId="0" fillId="12" borderId="60" xfId="0" applyNumberFormat="1" applyFill="1" applyBorder="1" applyAlignment="1" applyProtection="1">
      <alignment horizontal="center" vertical="center"/>
    </xf>
    <xf numFmtId="187" fontId="0" fillId="12" borderId="46" xfId="0" applyNumberFormat="1" applyFill="1" applyBorder="1" applyAlignment="1" applyProtection="1">
      <alignment horizontal="center" vertical="center"/>
    </xf>
    <xf numFmtId="0" fontId="0" fillId="12" borderId="1" xfId="0" applyNumberFormat="1" applyFill="1" applyBorder="1" applyAlignment="1" applyProtection="1">
      <alignment horizontal="center" vertical="center" wrapText="1"/>
    </xf>
    <xf numFmtId="0" fontId="0" fillId="12" borderId="9" xfId="0" applyNumberFormat="1" applyFill="1" applyBorder="1" applyAlignment="1" applyProtection="1">
      <alignment horizontal="center" vertical="center" wrapText="1"/>
    </xf>
    <xf numFmtId="187" fontId="0" fillId="12" borderId="122" xfId="0" applyNumberFormat="1" applyFill="1" applyBorder="1" applyAlignment="1" applyProtection="1">
      <alignment horizontal="center" vertical="center"/>
    </xf>
    <xf numFmtId="187" fontId="0" fillId="12" borderId="15" xfId="0" applyNumberFormat="1" applyFill="1" applyBorder="1" applyAlignment="1" applyProtection="1">
      <alignment horizontal="center" vertical="center"/>
    </xf>
    <xf numFmtId="0" fontId="1" fillId="2" borderId="168" xfId="0" applyFont="1" applyFill="1" applyBorder="1" applyAlignment="1" applyProtection="1">
      <alignment horizontal="center" vertical="center"/>
    </xf>
    <xf numFmtId="0" fontId="1" fillId="2" borderId="22" xfId="0" applyFont="1" applyFill="1" applyBorder="1" applyAlignment="1" applyProtection="1">
      <alignment horizontal="center" vertical="center"/>
    </xf>
    <xf numFmtId="0" fontId="1" fillId="2" borderId="13" xfId="0" applyFont="1" applyFill="1" applyBorder="1" applyAlignment="1" applyProtection="1">
      <alignment horizontal="center" vertical="center"/>
    </xf>
    <xf numFmtId="0" fontId="1" fillId="2" borderId="112" xfId="0" applyFont="1" applyFill="1" applyBorder="1" applyAlignment="1" applyProtection="1">
      <alignment horizontal="center" vertical="center"/>
    </xf>
    <xf numFmtId="0" fontId="1" fillId="2" borderId="38" xfId="0" applyFont="1" applyFill="1" applyBorder="1" applyAlignment="1" applyProtection="1">
      <alignment horizontal="center" vertical="center"/>
    </xf>
    <xf numFmtId="0" fontId="1" fillId="2" borderId="65" xfId="0" applyFont="1" applyFill="1" applyBorder="1" applyAlignment="1" applyProtection="1">
      <alignment horizontal="center" vertical="center"/>
    </xf>
    <xf numFmtId="187" fontId="0" fillId="12" borderId="110" xfId="0" applyNumberFormat="1" applyFill="1" applyBorder="1" applyAlignment="1" applyProtection="1">
      <alignment horizontal="center" vertical="center"/>
    </xf>
    <xf numFmtId="187" fontId="0" fillId="12" borderId="51" xfId="0" applyNumberFormat="1" applyFill="1" applyBorder="1" applyAlignment="1" applyProtection="1">
      <alignment horizontal="center" vertical="center"/>
    </xf>
    <xf numFmtId="187" fontId="0" fillId="2" borderId="109" xfId="0" applyNumberFormat="1" applyFill="1" applyBorder="1" applyAlignment="1" applyProtection="1">
      <alignment horizontal="center" vertical="center"/>
    </xf>
    <xf numFmtId="187" fontId="0" fillId="2" borderId="65" xfId="0" applyNumberFormat="1" applyFill="1" applyBorder="1" applyAlignment="1" applyProtection="1">
      <alignment horizontal="center" vertical="center"/>
    </xf>
    <xf numFmtId="190" fontId="0" fillId="2" borderId="173" xfId="0" applyNumberFormat="1" applyFont="1" applyFill="1" applyBorder="1" applyAlignment="1" applyProtection="1">
      <alignment horizontal="center" vertical="center"/>
    </xf>
    <xf numFmtId="190" fontId="0" fillId="2" borderId="174" xfId="0" applyNumberFormat="1" applyFont="1" applyFill="1" applyBorder="1" applyAlignment="1" applyProtection="1">
      <alignment horizontal="center" vertical="center"/>
    </xf>
    <xf numFmtId="0" fontId="12" fillId="0" borderId="0" xfId="0" applyFont="1" applyBorder="1" applyAlignment="1" applyProtection="1">
      <alignment vertical="top" wrapText="1"/>
    </xf>
    <xf numFmtId="0" fontId="0" fillId="0" borderId="0" xfId="0" applyAlignment="1" applyProtection="1">
      <alignment vertical="top" wrapText="1"/>
    </xf>
    <xf numFmtId="0" fontId="1" fillId="2" borderId="137" xfId="0" applyFont="1" applyFill="1" applyBorder="1" applyAlignment="1" applyProtection="1">
      <alignment horizontal="center" vertical="center" wrapText="1"/>
    </xf>
    <xf numFmtId="0" fontId="1" fillId="2" borderId="175" xfId="0" applyFont="1" applyFill="1" applyBorder="1" applyAlignment="1" applyProtection="1">
      <alignment horizontal="center" vertical="center" wrapText="1"/>
    </xf>
    <xf numFmtId="0" fontId="1" fillId="0" borderId="0" xfId="0" applyFont="1" applyFill="1" applyAlignment="1" applyProtection="1">
      <alignment horizontal="center" vertical="center" wrapText="1"/>
    </xf>
    <xf numFmtId="0" fontId="1" fillId="0" borderId="34" xfId="0" applyFont="1" applyFill="1" applyBorder="1" applyAlignment="1" applyProtection="1">
      <alignment horizontal="center" vertical="center" wrapText="1"/>
    </xf>
    <xf numFmtId="0" fontId="0" fillId="2" borderId="5" xfId="0"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xf>
    <xf numFmtId="0" fontId="1" fillId="2" borderId="108" xfId="0" applyFont="1" applyFill="1" applyBorder="1" applyAlignment="1" applyProtection="1">
      <alignment horizontal="center" vertical="center" wrapText="1"/>
    </xf>
    <xf numFmtId="0" fontId="1" fillId="2" borderId="136" xfId="0" applyFont="1" applyFill="1" applyBorder="1" applyAlignment="1" applyProtection="1">
      <alignment horizontal="center" vertical="center"/>
    </xf>
    <xf numFmtId="0" fontId="20" fillId="2" borderId="131" xfId="0" applyFont="1" applyFill="1" applyBorder="1" applyAlignment="1" applyProtection="1">
      <alignment horizontal="center" vertical="center"/>
    </xf>
    <xf numFmtId="0" fontId="20" fillId="2" borderId="123" xfId="0" applyFont="1" applyFill="1" applyBorder="1" applyAlignment="1" applyProtection="1">
      <alignment horizontal="center" vertical="center"/>
    </xf>
    <xf numFmtId="0" fontId="20" fillId="2" borderId="171" xfId="0" applyFont="1" applyFill="1" applyBorder="1" applyAlignment="1" applyProtection="1">
      <alignment horizontal="center" vertical="center"/>
    </xf>
    <xf numFmtId="0" fontId="0" fillId="4" borderId="92" xfId="0" applyFont="1" applyFill="1" applyBorder="1" applyAlignment="1">
      <alignment horizontal="center" vertical="center" textRotation="255" wrapText="1"/>
    </xf>
    <xf numFmtId="0" fontId="0" fillId="4" borderId="69" xfId="0" applyFont="1" applyFill="1" applyBorder="1" applyAlignment="1">
      <alignment horizontal="center" vertical="center" textRotation="255" wrapText="1"/>
    </xf>
    <xf numFmtId="0" fontId="0" fillId="4" borderId="176" xfId="0" applyFont="1" applyFill="1" applyBorder="1" applyAlignment="1">
      <alignment horizontal="center" vertical="center" textRotation="255" wrapText="1"/>
    </xf>
    <xf numFmtId="0" fontId="0" fillId="4" borderId="176" xfId="0" applyFont="1" applyFill="1" applyBorder="1" applyAlignment="1">
      <alignment horizontal="center" vertical="center"/>
    </xf>
    <xf numFmtId="0" fontId="0" fillId="4" borderId="91" xfId="0" applyFont="1" applyFill="1" applyBorder="1" applyAlignment="1">
      <alignment horizontal="center" vertical="center"/>
    </xf>
    <xf numFmtId="0" fontId="0" fillId="4" borderId="52" xfId="0" applyFont="1" applyFill="1" applyBorder="1" applyAlignment="1">
      <alignment horizontal="center" vertical="center" wrapText="1"/>
    </xf>
    <xf numFmtId="0" fontId="0" fillId="4" borderId="53" xfId="0" applyFont="1" applyFill="1" applyBorder="1" applyAlignment="1">
      <alignment horizontal="center" vertical="center" wrapText="1"/>
    </xf>
    <xf numFmtId="0" fontId="0" fillId="4" borderId="69" xfId="0" applyFont="1" applyFill="1" applyBorder="1" applyAlignment="1">
      <alignment vertical="center" textRotation="255" wrapText="1"/>
    </xf>
    <xf numFmtId="0" fontId="0" fillId="4" borderId="176" xfId="0" applyFont="1" applyFill="1" applyBorder="1" applyAlignment="1">
      <alignment vertical="center" textRotation="255" wrapText="1"/>
    </xf>
    <xf numFmtId="0" fontId="3" fillId="4" borderId="177" xfId="0" applyFont="1" applyFill="1" applyBorder="1" applyAlignment="1">
      <alignment horizontal="center" vertical="center"/>
    </xf>
    <xf numFmtId="0" fontId="3" fillId="4" borderId="51" xfId="0" applyFont="1" applyFill="1" applyBorder="1" applyAlignment="1">
      <alignment horizontal="center" vertical="center"/>
    </xf>
    <xf numFmtId="0" fontId="3" fillId="4" borderId="131" xfId="0" applyFont="1" applyFill="1" applyBorder="1" applyAlignment="1">
      <alignment horizontal="center" vertical="center"/>
    </xf>
    <xf numFmtId="0" fontId="3" fillId="4" borderId="56" xfId="0" applyFont="1" applyFill="1" applyBorder="1" applyAlignment="1">
      <alignment horizontal="center" vertical="center"/>
    </xf>
    <xf numFmtId="0" fontId="0" fillId="4" borderId="119" xfId="0" applyFont="1" applyFill="1" applyBorder="1" applyAlignment="1">
      <alignment horizontal="center" vertical="center"/>
    </xf>
    <xf numFmtId="0" fontId="0" fillId="4" borderId="46" xfId="0" applyFont="1" applyFill="1" applyBorder="1" applyAlignment="1">
      <alignment horizontal="center" vertical="center"/>
    </xf>
    <xf numFmtId="0" fontId="14" fillId="0" borderId="0" xfId="0" applyFont="1" applyAlignment="1">
      <alignment horizontal="center"/>
    </xf>
    <xf numFmtId="0" fontId="6" fillId="0" borderId="9" xfId="0" applyFont="1" applyBorder="1" applyAlignment="1">
      <alignment horizontal="center" vertical="center"/>
    </xf>
    <xf numFmtId="0" fontId="3" fillId="0" borderId="11" xfId="0" applyFont="1" applyBorder="1" applyAlignment="1">
      <alignment horizontal="center" wrapText="1"/>
    </xf>
    <xf numFmtId="0" fontId="3" fillId="0" borderId="10" xfId="0" applyFont="1" applyBorder="1" applyAlignment="1">
      <alignment horizontal="center" wrapText="1"/>
    </xf>
    <xf numFmtId="0" fontId="3" fillId="0" borderId="6" xfId="0" applyFont="1" applyBorder="1" applyAlignment="1">
      <alignment horizontal="center" vertical="center"/>
    </xf>
    <xf numFmtId="0" fontId="3" fillId="0" borderId="9" xfId="0" applyFont="1" applyBorder="1" applyAlignment="1">
      <alignment horizontal="center" vertical="center"/>
    </xf>
    <xf numFmtId="0" fontId="3" fillId="0" borderId="119" xfId="0" applyFont="1" applyBorder="1" applyAlignment="1">
      <alignment horizontal="center" vertical="center"/>
    </xf>
    <xf numFmtId="0" fontId="3" fillId="0" borderId="39"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6" fillId="0" borderId="1" xfId="0" applyFont="1" applyBorder="1" applyAlignment="1">
      <alignment horizontal="center" vertical="center"/>
    </xf>
    <xf numFmtId="0" fontId="3" fillId="0" borderId="109" xfId="0" applyFont="1" applyBorder="1" applyAlignment="1">
      <alignment horizontal="center"/>
    </xf>
    <xf numFmtId="0" fontId="3" fillId="0" borderId="38" xfId="0" applyFont="1" applyBorder="1" applyAlignment="1">
      <alignment horizontal="center"/>
    </xf>
    <xf numFmtId="0" fontId="3" fillId="0" borderId="12" xfId="0" applyFont="1" applyBorder="1" applyAlignment="1">
      <alignment horizontal="center"/>
    </xf>
    <xf numFmtId="0" fontId="6" fillId="0" borderId="60" xfId="0" applyFont="1" applyBorder="1" applyAlignment="1">
      <alignment horizontal="center" vertical="center"/>
    </xf>
    <xf numFmtId="0" fontId="6" fillId="0" borderId="39" xfId="0" applyFont="1" applyBorder="1" applyAlignment="1">
      <alignment horizontal="center" vertical="center"/>
    </xf>
    <xf numFmtId="0" fontId="3" fillId="0" borderId="109" xfId="0" applyFont="1" applyBorder="1" applyAlignment="1">
      <alignment horizontal="left" vertical="top"/>
    </xf>
    <xf numFmtId="0" fontId="3" fillId="0" borderId="12" xfId="0" applyFont="1" applyBorder="1" applyAlignment="1">
      <alignment horizontal="left" vertical="top"/>
    </xf>
    <xf numFmtId="0" fontId="3" fillId="0" borderId="125" xfId="0" applyFont="1" applyBorder="1" applyAlignment="1">
      <alignment horizontal="center" vertical="center"/>
    </xf>
    <xf numFmtId="0" fontId="3" fillId="0" borderId="20" xfId="0" applyFont="1" applyBorder="1" applyAlignment="1">
      <alignment horizontal="center" vertical="center"/>
    </xf>
    <xf numFmtId="0" fontId="32" fillId="0" borderId="27" xfId="0" applyFont="1" applyBorder="1" applyAlignment="1">
      <alignment horizontal="center" vertical="center"/>
    </xf>
    <xf numFmtId="0" fontId="6" fillId="0" borderId="106" xfId="0" applyFont="1" applyBorder="1" applyAlignment="1">
      <alignment horizontal="center" vertical="center"/>
    </xf>
    <xf numFmtId="0" fontId="6" fillId="0" borderId="44" xfId="0" applyFont="1" applyBorder="1" applyAlignment="1">
      <alignment horizontal="center" vertical="center"/>
    </xf>
    <xf numFmtId="0" fontId="3" fillId="0" borderId="18" xfId="0" applyFont="1" applyBorder="1" applyAlignment="1">
      <alignment horizontal="center" vertical="center"/>
    </xf>
    <xf numFmtId="0" fontId="3" fillId="0" borderId="131" xfId="0" applyFont="1" applyBorder="1" applyAlignment="1">
      <alignment horizontal="center" vertical="center"/>
    </xf>
    <xf numFmtId="0" fontId="3" fillId="0" borderId="44" xfId="0" applyFont="1" applyBorder="1" applyAlignment="1">
      <alignment horizontal="center" vertical="center"/>
    </xf>
    <xf numFmtId="0" fontId="3" fillId="0" borderId="178" xfId="0" applyFont="1" applyBorder="1" applyAlignment="1">
      <alignment horizontal="center"/>
    </xf>
    <xf numFmtId="0" fontId="3" fillId="0" borderId="180" xfId="0" applyFont="1" applyBorder="1" applyAlignment="1">
      <alignment horizontal="center"/>
    </xf>
    <xf numFmtId="0" fontId="3" fillId="0" borderId="179" xfId="0" applyFont="1" applyBorder="1" applyAlignment="1">
      <alignment horizontal="center"/>
    </xf>
    <xf numFmtId="0" fontId="3" fillId="0" borderId="60" xfId="0" applyFont="1" applyBorder="1" applyAlignment="1">
      <alignment horizontal="center"/>
    </xf>
    <xf numFmtId="0" fontId="3" fillId="0" borderId="36" xfId="0" applyFont="1" applyBorder="1" applyAlignment="1">
      <alignment horizontal="center"/>
    </xf>
    <xf numFmtId="0" fontId="3" fillId="0" borderId="39" xfId="0" applyFont="1" applyBorder="1" applyAlignment="1">
      <alignment horizontal="center"/>
    </xf>
    <xf numFmtId="0" fontId="3" fillId="0" borderId="10" xfId="0" applyFont="1" applyBorder="1" applyAlignment="1">
      <alignment horizontal="center"/>
    </xf>
    <xf numFmtId="0" fontId="3" fillId="0" borderId="60" xfId="0" applyFont="1" applyBorder="1" applyAlignment="1">
      <alignment horizontal="left"/>
    </xf>
    <xf numFmtId="0" fontId="3" fillId="0" borderId="36" xfId="0" applyFont="1" applyBorder="1" applyAlignment="1">
      <alignment horizontal="left"/>
    </xf>
    <xf numFmtId="0" fontId="3" fillId="0" borderId="39" xfId="0" applyFont="1" applyBorder="1" applyAlignment="1">
      <alignment horizontal="left"/>
    </xf>
    <xf numFmtId="0" fontId="3" fillId="0" borderId="181" xfId="0" applyFont="1" applyBorder="1" applyAlignment="1">
      <alignment horizontal="center"/>
    </xf>
    <xf numFmtId="0" fontId="3" fillId="0" borderId="1" xfId="0" applyFont="1" applyBorder="1" applyAlignment="1">
      <alignment horizontal="center"/>
    </xf>
    <xf numFmtId="0" fontId="3" fillId="0" borderId="122" xfId="0" applyFont="1" applyBorder="1" applyAlignment="1">
      <alignment horizontal="left" vertical="top"/>
    </xf>
    <xf numFmtId="0" fontId="3" fillId="0" borderId="40" xfId="0" applyFont="1" applyBorder="1" applyAlignment="1">
      <alignment horizontal="left" vertical="top"/>
    </xf>
    <xf numFmtId="0" fontId="3" fillId="0" borderId="122" xfId="0" applyFont="1" applyBorder="1" applyAlignment="1">
      <alignment horizontal="center"/>
    </xf>
    <xf numFmtId="0" fontId="3" fillId="0" borderId="37" xfId="0" applyFont="1" applyBorder="1" applyAlignment="1">
      <alignment horizontal="center"/>
    </xf>
    <xf numFmtId="0" fontId="3" fillId="0" borderId="40" xfId="0" applyFont="1" applyBorder="1" applyAlignment="1">
      <alignment horizontal="center"/>
    </xf>
    <xf numFmtId="0" fontId="3" fillId="0" borderId="178" xfId="0" applyFont="1" applyBorder="1" applyAlignment="1">
      <alignment horizontal="left" vertical="top"/>
    </xf>
    <xf numFmtId="0" fontId="3" fillId="0" borderId="179" xfId="0" applyFont="1" applyBorder="1" applyAlignment="1">
      <alignment horizontal="left" vertical="top"/>
    </xf>
    <xf numFmtId="0" fontId="3" fillId="0" borderId="58" xfId="0" applyFont="1" applyBorder="1" applyAlignment="1">
      <alignment horizontal="center" vertical="center"/>
    </xf>
    <xf numFmtId="0" fontId="3" fillId="0" borderId="92" xfId="5" applyFont="1" applyBorder="1" applyAlignment="1">
      <alignment horizontal="center" vertical="center" wrapText="1"/>
    </xf>
    <xf numFmtId="0" fontId="3" fillId="0" borderId="69" xfId="5" applyFont="1" applyBorder="1" applyAlignment="1">
      <alignment horizontal="center" vertical="center" wrapText="1"/>
    </xf>
    <xf numFmtId="0" fontId="3" fillId="0" borderId="176" xfId="5" applyFont="1" applyBorder="1" applyAlignment="1">
      <alignment horizontal="center" vertical="center" wrapText="1"/>
    </xf>
    <xf numFmtId="0" fontId="3" fillId="0" borderId="29" xfId="5" applyFont="1" applyBorder="1" applyAlignment="1">
      <alignment horizontal="center" vertical="center"/>
    </xf>
    <xf numFmtId="0" fontId="3" fillId="0" borderId="13" xfId="5" applyFont="1" applyBorder="1" applyAlignment="1">
      <alignment horizontal="center" vertical="center"/>
    </xf>
    <xf numFmtId="0" fontId="3" fillId="0" borderId="31" xfId="5" applyFont="1" applyBorder="1" applyAlignment="1">
      <alignment horizontal="center" vertical="center"/>
    </xf>
    <xf numFmtId="0" fontId="3" fillId="0" borderId="16" xfId="5" applyFont="1" applyBorder="1" applyAlignment="1">
      <alignment horizontal="center" vertical="center"/>
    </xf>
    <xf numFmtId="0" fontId="3" fillId="0" borderId="130" xfId="5" applyFont="1" applyBorder="1" applyAlignment="1">
      <alignment horizontal="center" vertical="center"/>
    </xf>
    <xf numFmtId="0" fontId="3" fillId="0" borderId="67" xfId="5" applyFont="1" applyBorder="1" applyAlignment="1">
      <alignment horizontal="center" vertical="center"/>
    </xf>
    <xf numFmtId="0" fontId="3" fillId="0" borderId="122" xfId="0" applyFont="1" applyBorder="1" applyAlignment="1">
      <alignment vertical="top"/>
    </xf>
    <xf numFmtId="0" fontId="3" fillId="0" borderId="40" xfId="0" applyFont="1" applyBorder="1" applyAlignment="1">
      <alignment vertical="top"/>
    </xf>
    <xf numFmtId="0" fontId="3" fillId="0" borderId="109" xfId="0" applyFont="1" applyBorder="1" applyAlignment="1">
      <alignment vertical="top"/>
    </xf>
    <xf numFmtId="0" fontId="3" fillId="0" borderId="12" xfId="0" applyFont="1" applyBorder="1" applyAlignment="1">
      <alignment vertical="top"/>
    </xf>
    <xf numFmtId="0" fontId="3" fillId="0" borderId="38" xfId="0" applyFont="1" applyBorder="1" applyAlignment="1">
      <alignment horizontal="left"/>
    </xf>
    <xf numFmtId="0" fontId="3" fillId="0" borderId="24" xfId="0" applyFont="1" applyBorder="1" applyAlignment="1">
      <alignment vertical="top"/>
    </xf>
    <xf numFmtId="0" fontId="3" fillId="0" borderId="25" xfId="0" applyFont="1" applyBorder="1" applyAlignment="1">
      <alignment vertical="top"/>
    </xf>
    <xf numFmtId="0" fontId="3" fillId="0" borderId="198" xfId="0" applyFont="1" applyBorder="1" applyAlignment="1">
      <alignment horizontal="center" vertical="center" wrapText="1"/>
    </xf>
    <xf numFmtId="0" fontId="3" fillId="0" borderId="199" xfId="0" applyFont="1" applyBorder="1" applyAlignment="1">
      <alignment horizontal="center" vertical="center" wrapText="1"/>
    </xf>
  </cellXfs>
  <cellStyles count="7">
    <cellStyle name="ハイパーリンク" xfId="1" builtinId="8"/>
    <cellStyle name="悪い" xfId="2" builtinId="27"/>
    <cellStyle name="桁区切り" xfId="3" builtinId="6"/>
    <cellStyle name="標準" xfId="0" builtinId="0"/>
    <cellStyle name="標準 2" xfId="6"/>
    <cellStyle name="標準_Sheet" xfId="4"/>
    <cellStyle name="標準_Sheet1" xfId="5"/>
  </cellStyles>
  <dxfs count="33">
    <dxf>
      <fill>
        <patternFill patternType="lightUp">
          <fgColor rgb="FF00B050"/>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rgb="FFCC99FF"/>
        </patternFill>
      </fill>
    </dxf>
    <dxf>
      <fill>
        <patternFill patternType="lightUp">
          <fgColor rgb="FF00B050"/>
        </patternFill>
      </fill>
    </dxf>
    <dxf>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ont>
        <color rgb="FF9C0006"/>
      </font>
      <fill>
        <patternFill>
          <bgColor rgb="FFFFC7CE"/>
        </patternFill>
      </fill>
    </dxf>
    <dxf>
      <fill>
        <patternFill>
          <bgColor rgb="FFFFC000"/>
        </patternFill>
      </fill>
    </dxf>
  </dxfs>
  <tableStyles count="0" defaultTableStyle="TableStyleMedium9" defaultPivotStyle="PivotStyleLight16"/>
  <colors>
    <mruColors>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61</xdr:row>
      <xdr:rowOff>114300</xdr:rowOff>
    </xdr:from>
    <xdr:to>
      <xdr:col>2</xdr:col>
      <xdr:colOff>219075</xdr:colOff>
      <xdr:row>70</xdr:row>
      <xdr:rowOff>85725</xdr:rowOff>
    </xdr:to>
    <xdr:pic>
      <xdr:nvPicPr>
        <xdr:cNvPr id="82178" name="図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875" y="10582275"/>
          <a:ext cx="6762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8</xdr:row>
      <xdr:rowOff>28575</xdr:rowOff>
    </xdr:from>
    <xdr:to>
      <xdr:col>3</xdr:col>
      <xdr:colOff>133350</xdr:colOff>
      <xdr:row>16</xdr:row>
      <xdr:rowOff>104775</xdr:rowOff>
    </xdr:to>
    <xdr:grpSp>
      <xdr:nvGrpSpPr>
        <xdr:cNvPr id="82179" name="グループ化 15"/>
        <xdr:cNvGrpSpPr>
          <a:grpSpLocks/>
        </xdr:cNvGrpSpPr>
      </xdr:nvGrpSpPr>
      <xdr:grpSpPr bwMode="auto">
        <a:xfrm>
          <a:off x="438150" y="1409700"/>
          <a:ext cx="1362075" cy="1447800"/>
          <a:chOff x="439651" y="1410421"/>
          <a:chExt cx="1353486" cy="1443181"/>
        </a:xfrm>
      </xdr:grpSpPr>
      <xdr:pic>
        <xdr:nvPicPr>
          <xdr:cNvPr id="82194"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9651" y="1410421"/>
            <a:ext cx="1353486" cy="1443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正方形/長方形 6"/>
          <xdr:cNvSpPr/>
        </xdr:nvSpPr>
        <xdr:spPr bwMode="auto">
          <a:xfrm>
            <a:off x="714134" y="1571829"/>
            <a:ext cx="832914" cy="104441"/>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171450</xdr:colOff>
      <xdr:row>20</xdr:row>
      <xdr:rowOff>95250</xdr:rowOff>
    </xdr:from>
    <xdr:to>
      <xdr:col>3</xdr:col>
      <xdr:colOff>333375</xdr:colOff>
      <xdr:row>29</xdr:row>
      <xdr:rowOff>57150</xdr:rowOff>
    </xdr:to>
    <xdr:grpSp>
      <xdr:nvGrpSpPr>
        <xdr:cNvPr id="82180" name="グループ化 16"/>
        <xdr:cNvGrpSpPr>
          <a:grpSpLocks/>
        </xdr:cNvGrpSpPr>
      </xdr:nvGrpSpPr>
      <xdr:grpSpPr bwMode="auto">
        <a:xfrm>
          <a:off x="466725" y="3533775"/>
          <a:ext cx="1533525" cy="1504950"/>
          <a:chOff x="470587" y="3566948"/>
          <a:chExt cx="1527242" cy="1494880"/>
        </a:xfrm>
      </xdr:grpSpPr>
      <xdr:pic>
        <xdr:nvPicPr>
          <xdr:cNvPr id="82192" name="図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3748" r="5267"/>
          <a:stretch>
            <a:fillRect/>
          </a:stretch>
        </xdr:blipFill>
        <xdr:spPr bwMode="auto">
          <a:xfrm>
            <a:off x="470587" y="3566948"/>
            <a:ext cx="1527242" cy="149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正方形/長方形 7"/>
          <xdr:cNvSpPr/>
        </xdr:nvSpPr>
        <xdr:spPr bwMode="auto">
          <a:xfrm>
            <a:off x="1039746" y="4200853"/>
            <a:ext cx="834766" cy="113535"/>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133350</xdr:colOff>
      <xdr:row>32</xdr:row>
      <xdr:rowOff>66675</xdr:rowOff>
    </xdr:from>
    <xdr:to>
      <xdr:col>4</xdr:col>
      <xdr:colOff>600075</xdr:colOff>
      <xdr:row>42</xdr:row>
      <xdr:rowOff>133350</xdr:rowOff>
    </xdr:to>
    <xdr:grpSp>
      <xdr:nvGrpSpPr>
        <xdr:cNvPr id="82181" name="グループ化 17"/>
        <xdr:cNvGrpSpPr>
          <a:grpSpLocks/>
        </xdr:cNvGrpSpPr>
      </xdr:nvGrpSpPr>
      <xdr:grpSpPr bwMode="auto">
        <a:xfrm>
          <a:off x="428625" y="5562600"/>
          <a:ext cx="2524125" cy="1781175"/>
          <a:chOff x="429705" y="5548701"/>
          <a:chExt cx="2517563" cy="1766946"/>
        </a:xfrm>
      </xdr:grpSpPr>
      <xdr:pic>
        <xdr:nvPicPr>
          <xdr:cNvPr id="82190" name="図 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8946"/>
          <a:stretch>
            <a:fillRect/>
          </a:stretch>
        </xdr:blipFill>
        <xdr:spPr bwMode="auto">
          <a:xfrm>
            <a:off x="429705" y="5548701"/>
            <a:ext cx="2517563" cy="1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正方形/長方形 8"/>
          <xdr:cNvSpPr/>
        </xdr:nvSpPr>
        <xdr:spPr bwMode="auto">
          <a:xfrm>
            <a:off x="1940243" y="6758161"/>
            <a:ext cx="171004" cy="170080"/>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161925</xdr:colOff>
      <xdr:row>47</xdr:row>
      <xdr:rowOff>57150</xdr:rowOff>
    </xdr:from>
    <xdr:to>
      <xdr:col>4</xdr:col>
      <xdr:colOff>628650</xdr:colOff>
      <xdr:row>57</xdr:row>
      <xdr:rowOff>133350</xdr:rowOff>
    </xdr:to>
    <xdr:grpSp>
      <xdr:nvGrpSpPr>
        <xdr:cNvPr id="82182" name="グループ化 18"/>
        <xdr:cNvGrpSpPr>
          <a:grpSpLocks/>
        </xdr:cNvGrpSpPr>
      </xdr:nvGrpSpPr>
      <xdr:grpSpPr bwMode="auto">
        <a:xfrm>
          <a:off x="457200" y="8124825"/>
          <a:ext cx="2524125" cy="1790700"/>
          <a:chOff x="456025" y="8100571"/>
          <a:chExt cx="2517563" cy="1783130"/>
        </a:xfrm>
      </xdr:grpSpPr>
      <xdr:pic>
        <xdr:nvPicPr>
          <xdr:cNvPr id="82188" name="図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8946"/>
          <a:stretch>
            <a:fillRect/>
          </a:stretch>
        </xdr:blipFill>
        <xdr:spPr bwMode="auto">
          <a:xfrm>
            <a:off x="456025" y="8100571"/>
            <a:ext cx="2517563" cy="1766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正方形/長方形 11"/>
          <xdr:cNvSpPr/>
        </xdr:nvSpPr>
        <xdr:spPr bwMode="auto">
          <a:xfrm>
            <a:off x="2090066" y="9731945"/>
            <a:ext cx="845521" cy="151756"/>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5</xdr:col>
      <xdr:colOff>47625</xdr:colOff>
      <xdr:row>47</xdr:row>
      <xdr:rowOff>66675</xdr:rowOff>
    </xdr:from>
    <xdr:to>
      <xdr:col>8</xdr:col>
      <xdr:colOff>619125</xdr:colOff>
      <xdr:row>58</xdr:row>
      <xdr:rowOff>114300</xdr:rowOff>
    </xdr:to>
    <xdr:grpSp>
      <xdr:nvGrpSpPr>
        <xdr:cNvPr id="82183" name="グループ化 19"/>
        <xdr:cNvGrpSpPr>
          <a:grpSpLocks/>
        </xdr:cNvGrpSpPr>
      </xdr:nvGrpSpPr>
      <xdr:grpSpPr bwMode="auto">
        <a:xfrm>
          <a:off x="3086100" y="8134350"/>
          <a:ext cx="2628900" cy="1933575"/>
          <a:chOff x="3078425" y="8105585"/>
          <a:chExt cx="2616004" cy="1928857"/>
        </a:xfrm>
      </xdr:grpSpPr>
      <xdr:pic>
        <xdr:nvPicPr>
          <xdr:cNvPr id="82184" name="図 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2293" t="16910" r="1569" b="1588"/>
          <a:stretch>
            <a:fillRect/>
          </a:stretch>
        </xdr:blipFill>
        <xdr:spPr bwMode="auto">
          <a:xfrm>
            <a:off x="3078425" y="8105585"/>
            <a:ext cx="2616004" cy="1928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正方形/長方形 12"/>
          <xdr:cNvSpPr/>
        </xdr:nvSpPr>
        <xdr:spPr bwMode="auto">
          <a:xfrm>
            <a:off x="3154251" y="8609178"/>
            <a:ext cx="473914" cy="123523"/>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sp macro="" textlink="">
        <xdr:nvSpPr>
          <xdr:cNvPr id="14" name="正方形/長方形 13"/>
          <xdr:cNvSpPr/>
        </xdr:nvSpPr>
        <xdr:spPr bwMode="auto">
          <a:xfrm>
            <a:off x="3154251" y="9226793"/>
            <a:ext cx="473914" cy="114021"/>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sp macro="" textlink="">
        <xdr:nvSpPr>
          <xdr:cNvPr id="15" name="正方形/長方形 14"/>
          <xdr:cNvSpPr/>
        </xdr:nvSpPr>
        <xdr:spPr bwMode="auto">
          <a:xfrm>
            <a:off x="4775036" y="9806400"/>
            <a:ext cx="473914" cy="190035"/>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38101</xdr:colOff>
      <xdr:row>4</xdr:row>
      <xdr:rowOff>47626</xdr:rowOff>
    </xdr:from>
    <xdr:to>
      <xdr:col>18</xdr:col>
      <xdr:colOff>276226</xdr:colOff>
      <xdr:row>12</xdr:row>
      <xdr:rowOff>85726</xdr:rowOff>
    </xdr:to>
    <xdr:sp macro="" textlink="">
      <xdr:nvSpPr>
        <xdr:cNvPr id="3" name="Rectangle 22"/>
        <xdr:cNvSpPr>
          <a:spLocks noChangeArrowheads="1"/>
        </xdr:cNvSpPr>
      </xdr:nvSpPr>
      <xdr:spPr bwMode="auto">
        <a:xfrm>
          <a:off x="3914776" y="1038226"/>
          <a:ext cx="2705100" cy="12573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marL="0" marR="0" indent="0" algn="ctr" defTabSz="914400" rtl="0" eaLnBrk="1" fontAlgn="auto" latinLnBrk="0" hangingPunct="1">
            <a:lnSpc>
              <a:spcPts val="1400"/>
            </a:lnSpc>
            <a:spcBef>
              <a:spcPts val="0"/>
            </a:spcBef>
            <a:spcAft>
              <a:spcPts val="0"/>
            </a:spcAft>
            <a:buClrTx/>
            <a:buSzTx/>
            <a:buFontTx/>
            <a:buNone/>
            <a:tabLst/>
            <a:defRPr sz="1000"/>
          </a:pPr>
          <a:r>
            <a:rPr lang="ja-JP" altLang="ja-JP" sz="1400" b="1" i="0" baseline="0">
              <a:solidFill>
                <a:srgbClr val="FF0000"/>
              </a:solidFill>
              <a:effectLst/>
              <a:latin typeface="+mn-ea"/>
              <a:ea typeface="+mn-ea"/>
              <a:cs typeface="+mn-cs"/>
            </a:rPr>
            <a:t>本表に入力箇所はありません。</a:t>
          </a:r>
          <a:endParaRPr lang="ja-JP" altLang="ja-JP" sz="1400" b="1">
            <a:solidFill>
              <a:srgbClr val="FF0000"/>
            </a:solidFill>
            <a:effectLst/>
            <a:latin typeface="+mn-ea"/>
            <a:ea typeface="+mn-ea"/>
          </a:endParaRPr>
        </a:p>
        <a:p>
          <a:pPr algn="ctr" rtl="0">
            <a:lnSpc>
              <a:spcPts val="1300"/>
            </a:lnSpc>
            <a:defRPr sz="1000"/>
          </a:pPr>
          <a:r>
            <a:rPr lang="ja-JP" altLang="en-US" sz="1400" b="1" i="0" u="none" strike="noStrike" baseline="0">
              <a:solidFill>
                <a:srgbClr val="FF0000"/>
              </a:solidFill>
              <a:latin typeface="+mn-ea"/>
              <a:ea typeface="+mn-ea"/>
            </a:rPr>
            <a:t>本表は別のシートの計算で</a:t>
          </a:r>
          <a:endParaRPr lang="en-US" altLang="ja-JP" sz="1400" b="1" i="0" u="none" strike="noStrike" baseline="0">
            <a:solidFill>
              <a:srgbClr val="FF0000"/>
            </a:solidFill>
            <a:latin typeface="+mn-ea"/>
            <a:ea typeface="+mn-ea"/>
          </a:endParaRPr>
        </a:p>
        <a:p>
          <a:pPr algn="ctr" rtl="0">
            <a:lnSpc>
              <a:spcPts val="1800"/>
            </a:lnSpc>
            <a:defRPr sz="1000"/>
          </a:pPr>
          <a:r>
            <a:rPr lang="ja-JP" altLang="en-US" sz="1400" b="1" i="0" u="none" strike="noStrike" baseline="0">
              <a:solidFill>
                <a:srgbClr val="FF0000"/>
              </a:solidFill>
              <a:latin typeface="+mn-ea"/>
              <a:ea typeface="+mn-ea"/>
            </a:rPr>
            <a:t>使用しています。</a:t>
          </a:r>
          <a:endParaRPr lang="en-US" altLang="ja-JP" sz="1400" b="1" i="0" u="none" strike="noStrike" baseline="0">
            <a:solidFill>
              <a:srgbClr val="FF0000"/>
            </a:solidFill>
            <a:latin typeface="+mn-ea"/>
            <a:ea typeface="+mn-ea"/>
          </a:endParaRPr>
        </a:p>
        <a:p>
          <a:pPr algn="ctr" rtl="0">
            <a:lnSpc>
              <a:spcPts val="1700"/>
            </a:lnSpc>
            <a:defRPr sz="1000"/>
          </a:pPr>
          <a:r>
            <a:rPr lang="ja-JP" altLang="en-US" sz="1400" b="1" i="0" u="none" strike="noStrike" baseline="0">
              <a:solidFill>
                <a:srgbClr val="FF0000"/>
              </a:solidFill>
              <a:latin typeface="+mn-ea"/>
              <a:ea typeface="+mn-ea"/>
            </a:rPr>
            <a:t>書き換えないで下さい。</a:t>
          </a:r>
          <a:endParaRPr lang="en-US" altLang="ja-JP" sz="1400" b="1" i="0" u="none" strike="noStrike" baseline="0">
            <a:solidFill>
              <a:srgbClr val="FF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27</xdr:col>
      <xdr:colOff>9525</xdr:colOff>
      <xdr:row>18</xdr:row>
      <xdr:rowOff>9525</xdr:rowOff>
    </xdr:from>
    <xdr:to>
      <xdr:col>30</xdr:col>
      <xdr:colOff>25400</xdr:colOff>
      <xdr:row>40</xdr:row>
      <xdr:rowOff>171450</xdr:rowOff>
    </xdr:to>
    <xdr:sp macro="" textlink="">
      <xdr:nvSpPr>
        <xdr:cNvPr id="3" name="Rectangle 22"/>
        <xdr:cNvSpPr>
          <a:spLocks noChangeArrowheads="1"/>
        </xdr:cNvSpPr>
      </xdr:nvSpPr>
      <xdr:spPr bwMode="auto">
        <a:xfrm>
          <a:off x="7105650" y="3400425"/>
          <a:ext cx="2768600" cy="5429250"/>
        </a:xfrm>
        <a:prstGeom prst="rect">
          <a:avLst/>
        </a:prstGeom>
        <a:noFill/>
        <a:ln w="19050">
          <a:solidFill>
            <a:srgbClr val="FF0000"/>
          </a:solidFill>
          <a:miter lim="800000"/>
          <a:headEnd/>
          <a:tailEnd/>
        </a:ln>
      </xdr:spPr>
      <xdr:txBody>
        <a:bodyPr vertOverflow="clip" wrap="square" lIns="72000" tIns="27432" rIns="72000" bIns="27432" anchor="t" anchorCtr="0" upright="1"/>
        <a:lstStyle/>
        <a:p>
          <a:pPr rtl="0"/>
          <a:r>
            <a:rPr lang="en-US" altLang="ja-JP" sz="1200" b="1" i="0" baseline="0">
              <a:solidFill>
                <a:srgbClr val="FF0000"/>
              </a:solidFill>
              <a:latin typeface="+mn-ea"/>
              <a:ea typeface="+mn-ea"/>
              <a:cs typeface="+mn-cs"/>
            </a:rPr>
            <a:t>【</a:t>
          </a:r>
          <a:r>
            <a:rPr lang="ja-JP" altLang="ja-JP" sz="1200" b="1" i="0" baseline="0">
              <a:solidFill>
                <a:srgbClr val="FF0000"/>
              </a:solidFill>
              <a:latin typeface="+mn-ea"/>
              <a:ea typeface="+mn-ea"/>
              <a:cs typeface="+mn-cs"/>
            </a:rPr>
            <a:t>重要！</a:t>
          </a:r>
          <a:r>
            <a:rPr lang="en-US" altLang="ja-JP" sz="1200" b="1" i="0" baseline="0">
              <a:solidFill>
                <a:srgbClr val="FF0000"/>
              </a:solidFill>
              <a:latin typeface="+mn-ea"/>
              <a:ea typeface="+mn-ea"/>
              <a:cs typeface="+mn-cs"/>
            </a:rPr>
            <a:t>】</a:t>
          </a:r>
          <a:endParaRPr lang="ja-JP" altLang="ja-JP" sz="1200">
            <a:solidFill>
              <a:srgbClr val="FF0000"/>
            </a:solidFill>
            <a:latin typeface="+mn-ea"/>
            <a:ea typeface="+mn-ea"/>
          </a:endParaRPr>
        </a:p>
        <a:p>
          <a:pPr rtl="0" eaLnBrk="1" fontAlgn="base" latinLnBrk="0" hangingPunct="1"/>
          <a:endParaRPr lang="en-US" altLang="ja-JP" sz="1200" b="1" i="0" baseline="0">
            <a:solidFill>
              <a:srgbClr val="FF0000"/>
            </a:solidFill>
            <a:latin typeface="+mn-ea"/>
            <a:ea typeface="+mn-ea"/>
            <a:cs typeface="+mn-cs"/>
          </a:endParaRPr>
        </a:p>
        <a:p>
          <a:pPr rtl="0" eaLnBrk="1" fontAlgn="base" latinLnBrk="0" hangingPunct="1"/>
          <a:r>
            <a:rPr lang="ja-JP" altLang="en-US" sz="1200" b="0" i="0" baseline="0">
              <a:solidFill>
                <a:srgbClr val="FF0000"/>
              </a:solidFill>
              <a:latin typeface="+mn-ea"/>
              <a:ea typeface="+mn-ea"/>
              <a:cs typeface="+mn-cs"/>
            </a:rPr>
            <a:t>「</a:t>
          </a:r>
          <a:r>
            <a:rPr lang="ja-JP" altLang="ja-JP" sz="1200" b="0" i="0" baseline="0">
              <a:solidFill>
                <a:srgbClr val="FF0000"/>
              </a:solidFill>
              <a:latin typeface="+mn-ea"/>
              <a:ea typeface="+mn-ea"/>
              <a:cs typeface="+mn-cs"/>
            </a:rPr>
            <a:t>①提出物の種類」を、プルダウンメニューから選択して下さい。</a:t>
          </a:r>
          <a:endParaRPr lang="en-US" altLang="ja-JP" sz="1200" b="0" i="0" baseline="0">
            <a:solidFill>
              <a:srgbClr val="FF0000"/>
            </a:solidFill>
            <a:latin typeface="+mn-ea"/>
            <a:ea typeface="+mn-ea"/>
            <a:cs typeface="+mn-cs"/>
          </a:endParaRPr>
        </a:p>
        <a:p>
          <a:pPr rtl="0" eaLnBrk="1" fontAlgn="base" latinLnBrk="0" hangingPunct="1"/>
          <a:r>
            <a:rPr lang="ja-JP" altLang="en-US" sz="1100" b="0" i="0" baseline="0">
              <a:solidFill>
                <a:srgbClr val="FF0000"/>
              </a:solidFill>
              <a:latin typeface="+mn-ea"/>
              <a:ea typeface="+mn-ea"/>
              <a:cs typeface="+mn-cs"/>
            </a:rPr>
            <a:t>　</a:t>
          </a:r>
          <a:r>
            <a:rPr lang="ja-JP" altLang="ja-JP" sz="1100" b="0" i="0" baseline="0">
              <a:solidFill>
                <a:srgbClr val="FF0000"/>
              </a:solidFill>
              <a:latin typeface="+mn-ea"/>
              <a:ea typeface="+mn-ea"/>
              <a:cs typeface="+mn-cs"/>
            </a:rPr>
            <a:t>新たに計画書を提出する場合</a:t>
          </a:r>
          <a:endParaRPr lang="en-US" altLang="ja-JP" sz="1100" b="0" i="0" baseline="0">
            <a:solidFill>
              <a:srgbClr val="FF0000"/>
            </a:solidFill>
            <a:latin typeface="+mn-ea"/>
            <a:ea typeface="+mn-ea"/>
            <a:cs typeface="+mn-cs"/>
          </a:endParaRPr>
        </a:p>
        <a:p>
          <a:pPr rtl="0" eaLnBrk="1" fontAlgn="base" latinLnBrk="0" hangingPunct="1"/>
          <a:r>
            <a:rPr lang="ja-JP" altLang="en-US" sz="1100" b="0" i="0" baseline="0">
              <a:solidFill>
                <a:srgbClr val="FF0000"/>
              </a:solidFill>
              <a:latin typeface="+mn-ea"/>
              <a:ea typeface="+mn-ea"/>
              <a:cs typeface="+mn-cs"/>
            </a:rPr>
            <a:t>　　　</a:t>
          </a:r>
          <a:r>
            <a:rPr lang="ja-JP" altLang="ja-JP" sz="1100" b="0" i="0" baseline="0">
              <a:solidFill>
                <a:sysClr val="windowText" lastClr="000000"/>
              </a:solidFill>
              <a:latin typeface="+mn-ea"/>
              <a:ea typeface="+mn-ea"/>
              <a:cs typeface="+mn-cs"/>
            </a:rPr>
            <a:t>→「計画書（新規対象事業者</a:t>
          </a:r>
          <a:r>
            <a:rPr lang="ja-JP" altLang="en-US" sz="1100" b="0" i="0" baseline="0">
              <a:solidFill>
                <a:sysClr val="windowText" lastClr="000000"/>
              </a:solidFill>
              <a:latin typeface="+mn-ea"/>
              <a:ea typeface="+mn-ea"/>
              <a:cs typeface="+mn-cs"/>
            </a:rPr>
            <a:t>）</a:t>
          </a:r>
          <a:r>
            <a:rPr lang="ja-JP" altLang="ja-JP" sz="1100" b="0" i="0" baseline="0">
              <a:solidFill>
                <a:sysClr val="windowText" lastClr="000000"/>
              </a:solidFill>
              <a:latin typeface="+mn-ea"/>
              <a:ea typeface="+mn-ea"/>
              <a:cs typeface="+mn-cs"/>
            </a:rPr>
            <a:t>」</a:t>
          </a:r>
          <a:endParaRPr lang="en-US" altLang="ja-JP" sz="1100" b="0" i="0" baseline="0">
            <a:solidFill>
              <a:sysClr val="windowText" lastClr="000000"/>
            </a:solidFill>
            <a:latin typeface="+mn-ea"/>
            <a:ea typeface="+mn-ea"/>
            <a:cs typeface="+mn-cs"/>
          </a:endParaRPr>
        </a:p>
        <a:p>
          <a:pPr rtl="0" eaLnBrk="1" fontAlgn="base" latinLnBrk="0" hangingPunct="1"/>
          <a:r>
            <a:rPr lang="ja-JP" altLang="en-US" sz="1100" b="0" i="0" baseline="0">
              <a:solidFill>
                <a:srgbClr val="FF0000"/>
              </a:solidFill>
              <a:latin typeface="+mn-ea"/>
              <a:ea typeface="+mn-ea"/>
              <a:cs typeface="+mn-cs"/>
            </a:rPr>
            <a:t>　実績報告書を提出する</a:t>
          </a:r>
          <a:r>
            <a:rPr lang="ja-JP" altLang="ja-JP" sz="1100" b="0" i="0" baseline="0">
              <a:solidFill>
                <a:srgbClr val="FF0000"/>
              </a:solidFill>
              <a:latin typeface="+mn-ea"/>
              <a:ea typeface="+mn-ea"/>
              <a:cs typeface="+mn-cs"/>
            </a:rPr>
            <a:t>場合</a:t>
          </a:r>
          <a:endParaRPr lang="en-US" altLang="ja-JP" sz="1100" b="0" i="0" baseline="0">
            <a:solidFill>
              <a:srgbClr val="FF0000"/>
            </a:solidFill>
            <a:latin typeface="+mn-ea"/>
            <a:ea typeface="+mn-ea"/>
            <a:cs typeface="+mn-cs"/>
          </a:endParaRPr>
        </a:p>
        <a:p>
          <a:pPr rtl="0" eaLnBrk="1" fontAlgn="base" latinLnBrk="0" hangingPunct="1"/>
          <a:r>
            <a:rPr lang="ja-JP" altLang="en-US" sz="1100" b="0" i="0" baseline="0">
              <a:solidFill>
                <a:sysClr val="windowText" lastClr="000000"/>
              </a:solidFill>
              <a:latin typeface="+mn-ea"/>
              <a:ea typeface="+mn-ea"/>
              <a:cs typeface="+mn-cs"/>
            </a:rPr>
            <a:t>　　</a:t>
          </a:r>
          <a:r>
            <a:rPr lang="en-US" altLang="ja-JP" sz="1100" b="0" i="0" baseline="0">
              <a:solidFill>
                <a:sysClr val="windowText" lastClr="000000"/>
              </a:solidFill>
              <a:latin typeface="+mn-ea"/>
              <a:ea typeface="+mn-ea"/>
              <a:cs typeface="+mn-cs"/>
            </a:rPr>
            <a:t>2022</a:t>
          </a:r>
          <a:r>
            <a:rPr lang="ja-JP" altLang="en-US" sz="1100" b="0" i="0" baseline="0">
              <a:solidFill>
                <a:sysClr val="windowText" lastClr="000000"/>
              </a:solidFill>
              <a:latin typeface="+mn-ea"/>
              <a:ea typeface="+mn-ea"/>
              <a:cs typeface="+mn-cs"/>
            </a:rPr>
            <a:t>年度の提出</a:t>
          </a:r>
          <a:endParaRPr lang="en-US" altLang="ja-JP" sz="1100" b="0" i="0" baseline="0">
            <a:solidFill>
              <a:sysClr val="windowText" lastClr="000000"/>
            </a:solidFill>
            <a:latin typeface="+mn-ea"/>
            <a:ea typeface="+mn-ea"/>
            <a:cs typeface="+mn-cs"/>
          </a:endParaRPr>
        </a:p>
        <a:p>
          <a:pPr rtl="0" eaLnBrk="1" fontAlgn="base" latinLnBrk="0" hangingPunct="1"/>
          <a:r>
            <a:rPr lang="ja-JP" altLang="en-US" sz="1100" b="0" i="0" baseline="0">
              <a:solidFill>
                <a:sysClr val="windowText" lastClr="000000"/>
              </a:solidFill>
              <a:latin typeface="+mn-ea"/>
              <a:ea typeface="+mn-ea"/>
              <a:cs typeface="+mn-cs"/>
            </a:rPr>
            <a:t>　　　</a:t>
          </a:r>
          <a:r>
            <a:rPr lang="ja-JP" altLang="ja-JP" sz="1100" b="0" i="0" baseline="0">
              <a:solidFill>
                <a:sysClr val="windowText" lastClr="000000"/>
              </a:solidFill>
              <a:latin typeface="+mn-ea"/>
              <a:ea typeface="+mn-ea"/>
              <a:cs typeface="+mn-cs"/>
            </a:rPr>
            <a:t>→「実績報告書（</a:t>
          </a:r>
          <a:r>
            <a:rPr lang="en-US" altLang="ja-JP" sz="1100" b="0" i="0" baseline="0">
              <a:solidFill>
                <a:sysClr val="windowText" lastClr="000000"/>
              </a:solidFill>
              <a:latin typeface="+mn-ea"/>
              <a:ea typeface="+mn-ea"/>
              <a:cs typeface="+mn-cs"/>
            </a:rPr>
            <a:t>2021</a:t>
          </a:r>
          <a:r>
            <a:rPr lang="ja-JP" altLang="ja-JP" sz="1100" b="0" i="0" baseline="0">
              <a:solidFill>
                <a:sysClr val="windowText" lastClr="000000"/>
              </a:solidFill>
              <a:latin typeface="+mn-ea"/>
              <a:ea typeface="+mn-ea"/>
              <a:cs typeface="+mn-cs"/>
            </a:rPr>
            <a:t>年度実績）」</a:t>
          </a:r>
          <a:endParaRPr lang="en-US" altLang="ja-JP" sz="1100" b="0" i="0" baseline="0">
            <a:solidFill>
              <a:sysClr val="windowText" lastClr="000000"/>
            </a:solidFill>
            <a:latin typeface="+mn-ea"/>
            <a:ea typeface="+mn-ea"/>
            <a:cs typeface="+mn-cs"/>
          </a:endParaRPr>
        </a:p>
        <a:p>
          <a:pPr rtl="0" eaLnBrk="1" fontAlgn="base" latinLnBrk="0" hangingPunct="1"/>
          <a:r>
            <a:rPr lang="ja-JP" altLang="en-US" sz="1100" b="0" i="0" baseline="0">
              <a:solidFill>
                <a:sysClr val="windowText" lastClr="000000"/>
              </a:solidFill>
              <a:latin typeface="+mn-ea"/>
              <a:ea typeface="+mn-ea"/>
              <a:cs typeface="+mn-cs"/>
            </a:rPr>
            <a:t>　　</a:t>
          </a:r>
          <a:r>
            <a:rPr lang="en-US" altLang="ja-JP" sz="1100" b="0" i="0" baseline="0">
              <a:solidFill>
                <a:sysClr val="windowText" lastClr="000000"/>
              </a:solidFill>
              <a:latin typeface="+mn-ea"/>
              <a:ea typeface="+mn-ea"/>
              <a:cs typeface="+mn-cs"/>
            </a:rPr>
            <a:t>2023</a:t>
          </a:r>
          <a:r>
            <a:rPr lang="ja-JP" altLang="en-US" sz="1100" b="0" i="0" baseline="0">
              <a:solidFill>
                <a:sysClr val="windowText" lastClr="000000"/>
              </a:solidFill>
              <a:latin typeface="+mn-ea"/>
              <a:ea typeface="+mn-ea"/>
              <a:cs typeface="+mn-cs"/>
            </a:rPr>
            <a:t>年度の提出</a:t>
          </a:r>
          <a:endParaRPr lang="en-US" altLang="ja-JP" sz="1100" b="0" i="0" baseline="0">
            <a:solidFill>
              <a:sysClr val="windowText" lastClr="000000"/>
            </a:solidFill>
            <a:latin typeface="+mn-ea"/>
            <a:ea typeface="+mn-ea"/>
            <a:cs typeface="+mn-cs"/>
          </a:endParaRPr>
        </a:p>
        <a:p>
          <a:pPr rtl="0" eaLnBrk="1" fontAlgn="base" latinLnBrk="0" hangingPunct="1"/>
          <a:r>
            <a:rPr lang="ja-JP" altLang="en-US" sz="1100" b="0" i="0" baseline="0">
              <a:solidFill>
                <a:sysClr val="windowText" lastClr="000000"/>
              </a:solidFill>
              <a:latin typeface="+mn-ea"/>
              <a:ea typeface="+mn-ea"/>
              <a:cs typeface="+mn-cs"/>
            </a:rPr>
            <a:t>　　　→「実績報告書（</a:t>
          </a:r>
          <a:r>
            <a:rPr lang="en-US" altLang="ja-JP" sz="1100" b="0" i="0" baseline="0">
              <a:solidFill>
                <a:sysClr val="windowText" lastClr="000000"/>
              </a:solidFill>
              <a:latin typeface="+mn-ea"/>
              <a:ea typeface="+mn-ea"/>
              <a:cs typeface="+mn-cs"/>
            </a:rPr>
            <a:t>2022</a:t>
          </a:r>
          <a:r>
            <a:rPr lang="ja-JP" altLang="en-US" sz="1100" b="0" i="0" baseline="0">
              <a:solidFill>
                <a:sysClr val="windowText" lastClr="000000"/>
              </a:solidFill>
              <a:latin typeface="+mn-ea"/>
              <a:ea typeface="+mn-ea"/>
              <a:cs typeface="+mn-cs"/>
            </a:rPr>
            <a:t>年度実績）」</a:t>
          </a:r>
          <a:endParaRPr lang="en-US" altLang="ja-JP" sz="1100" b="0" i="0" baseline="0">
            <a:solidFill>
              <a:sysClr val="windowText" lastClr="000000"/>
            </a:solidFill>
            <a:latin typeface="+mn-ea"/>
            <a:ea typeface="+mn-ea"/>
            <a:cs typeface="+mn-cs"/>
          </a:endParaRPr>
        </a:p>
        <a:p>
          <a:pPr rtl="0" eaLnBrk="1" fontAlgn="base" latinLnBrk="0" hangingPunct="1"/>
          <a:r>
            <a:rPr lang="ja-JP" altLang="en-US" sz="1100" b="0" i="0" baseline="0">
              <a:solidFill>
                <a:sysClr val="windowText" lastClr="000000"/>
              </a:solidFill>
              <a:latin typeface="+mn-ea"/>
              <a:ea typeface="+mn-ea"/>
              <a:cs typeface="+mn-cs"/>
            </a:rPr>
            <a:t>　　</a:t>
          </a:r>
          <a:r>
            <a:rPr lang="en-US" altLang="ja-JP" sz="1100" b="0" i="0" baseline="0">
              <a:solidFill>
                <a:sysClr val="windowText" lastClr="000000"/>
              </a:solidFill>
              <a:latin typeface="+mn-ea"/>
              <a:ea typeface="+mn-ea"/>
              <a:cs typeface="+mn-cs"/>
            </a:rPr>
            <a:t>2024</a:t>
          </a:r>
          <a:r>
            <a:rPr lang="ja-JP" altLang="en-US" sz="1100" b="0" i="0" baseline="0">
              <a:solidFill>
                <a:sysClr val="windowText" lastClr="000000"/>
              </a:solidFill>
              <a:latin typeface="+mn-ea"/>
              <a:ea typeface="+mn-ea"/>
              <a:cs typeface="+mn-cs"/>
            </a:rPr>
            <a:t>年度の提出</a:t>
          </a:r>
          <a:endParaRPr lang="en-US" altLang="ja-JP" sz="1100" b="0" i="0" baseline="0">
            <a:solidFill>
              <a:sysClr val="windowText" lastClr="000000"/>
            </a:solidFill>
            <a:latin typeface="+mn-ea"/>
            <a:ea typeface="+mn-ea"/>
            <a:cs typeface="+mn-cs"/>
          </a:endParaRPr>
        </a:p>
        <a:p>
          <a:pPr rtl="0" eaLnBrk="1" fontAlgn="base" latinLnBrk="0" hangingPunct="1"/>
          <a:r>
            <a:rPr lang="ja-JP" altLang="en-US" sz="1100" b="0" i="0" baseline="0">
              <a:solidFill>
                <a:sysClr val="windowText" lastClr="000000"/>
              </a:solidFill>
              <a:latin typeface="+mn-ea"/>
              <a:ea typeface="+mn-ea"/>
              <a:cs typeface="+mn-cs"/>
            </a:rPr>
            <a:t>　　　→「実績報告書（</a:t>
          </a:r>
          <a:r>
            <a:rPr lang="en-US" altLang="ja-JP" sz="1100" b="0" i="0" baseline="0">
              <a:solidFill>
                <a:sysClr val="windowText" lastClr="000000"/>
              </a:solidFill>
              <a:latin typeface="+mn-ea"/>
              <a:ea typeface="+mn-ea"/>
              <a:cs typeface="+mn-cs"/>
            </a:rPr>
            <a:t>2023</a:t>
          </a:r>
          <a:r>
            <a:rPr lang="ja-JP" altLang="en-US" sz="1100" b="0" i="0" baseline="0">
              <a:solidFill>
                <a:sysClr val="windowText" lastClr="000000"/>
              </a:solidFill>
              <a:latin typeface="+mn-ea"/>
              <a:ea typeface="+mn-ea"/>
              <a:cs typeface="+mn-cs"/>
            </a:rPr>
            <a:t>年度実績）」</a:t>
          </a:r>
          <a:endParaRPr lang="en-US" altLang="ja-JP" sz="1100" b="0" i="0" baseline="0">
            <a:solidFill>
              <a:sysClr val="windowText" lastClr="000000"/>
            </a:solidFill>
            <a:latin typeface="+mn-ea"/>
            <a:ea typeface="+mn-ea"/>
            <a:cs typeface="+mn-cs"/>
          </a:endParaRPr>
        </a:p>
        <a:p>
          <a:pPr rtl="0" eaLnBrk="1" fontAlgn="base" latinLnBrk="0" hangingPunct="1"/>
          <a:r>
            <a:rPr lang="ja-JP" altLang="ja-JP" sz="1100" b="0" i="0" baseline="0">
              <a:effectLst/>
              <a:latin typeface="+mn-ea"/>
              <a:ea typeface="+mn-ea"/>
              <a:cs typeface="+mn-cs"/>
            </a:rPr>
            <a:t>　　</a:t>
          </a:r>
          <a:r>
            <a:rPr lang="en-US" altLang="ja-JP" sz="1100" b="0" i="0" baseline="0">
              <a:effectLst/>
              <a:latin typeface="+mn-ea"/>
              <a:ea typeface="+mn-ea"/>
              <a:cs typeface="+mn-cs"/>
            </a:rPr>
            <a:t>2025</a:t>
          </a:r>
          <a:r>
            <a:rPr lang="ja-JP" altLang="ja-JP" sz="1100" b="0" i="0" baseline="0">
              <a:effectLst/>
              <a:latin typeface="+mn-ea"/>
              <a:ea typeface="+mn-ea"/>
              <a:cs typeface="+mn-cs"/>
            </a:rPr>
            <a:t>年度の提出</a:t>
          </a:r>
          <a:endParaRPr lang="ja-JP" altLang="ja-JP">
            <a:effectLst/>
            <a:latin typeface="+mn-ea"/>
            <a:ea typeface="+mn-ea"/>
          </a:endParaRPr>
        </a:p>
        <a:p>
          <a:pPr rtl="0" eaLnBrk="1" fontAlgn="base" latinLnBrk="0" hangingPunct="1"/>
          <a:r>
            <a:rPr lang="ja-JP" altLang="ja-JP" sz="1100" b="0" i="0" baseline="0">
              <a:effectLst/>
              <a:latin typeface="+mn-ea"/>
              <a:ea typeface="+mn-ea"/>
              <a:cs typeface="+mn-cs"/>
            </a:rPr>
            <a:t>　　　→「実績報告書（</a:t>
          </a:r>
          <a:r>
            <a:rPr lang="en-US" altLang="ja-JP" sz="1100" b="0" i="0" baseline="0">
              <a:effectLst/>
              <a:latin typeface="+mn-ea"/>
              <a:ea typeface="+mn-ea"/>
              <a:cs typeface="+mn-cs"/>
            </a:rPr>
            <a:t>2024</a:t>
          </a:r>
          <a:r>
            <a:rPr lang="ja-JP" altLang="ja-JP" sz="1100" b="0" i="0" baseline="0">
              <a:effectLst/>
              <a:latin typeface="+mn-ea"/>
              <a:ea typeface="+mn-ea"/>
              <a:cs typeface="+mn-cs"/>
            </a:rPr>
            <a:t>年度実績）」</a:t>
          </a:r>
          <a:endParaRPr lang="ja-JP" altLang="ja-JP">
            <a:effectLst/>
            <a:latin typeface="+mn-ea"/>
            <a:ea typeface="+mn-ea"/>
          </a:endParaRPr>
        </a:p>
        <a:p>
          <a:pPr rtl="0" eaLnBrk="1" fontAlgn="base" latinLnBrk="0" hangingPunct="1"/>
          <a:r>
            <a:rPr lang="ja-JP" altLang="ja-JP" sz="1100" b="0" i="0" baseline="0">
              <a:effectLst/>
              <a:latin typeface="+mn-ea"/>
              <a:ea typeface="+mn-ea"/>
              <a:cs typeface="+mn-cs"/>
            </a:rPr>
            <a:t>　　</a:t>
          </a:r>
          <a:r>
            <a:rPr lang="en-US" altLang="ja-JP" sz="1100" b="0" i="0" baseline="0">
              <a:effectLst/>
              <a:latin typeface="+mn-ea"/>
              <a:ea typeface="+mn-ea"/>
              <a:cs typeface="+mn-cs"/>
            </a:rPr>
            <a:t>2026</a:t>
          </a:r>
          <a:r>
            <a:rPr lang="ja-JP" altLang="ja-JP" sz="1100" b="0" i="0" baseline="0">
              <a:effectLst/>
              <a:latin typeface="+mn-ea"/>
              <a:ea typeface="+mn-ea"/>
              <a:cs typeface="+mn-cs"/>
            </a:rPr>
            <a:t>年度の提出</a:t>
          </a:r>
          <a:endParaRPr lang="ja-JP" altLang="ja-JP">
            <a:effectLst/>
            <a:latin typeface="+mn-ea"/>
            <a:ea typeface="+mn-ea"/>
          </a:endParaRPr>
        </a:p>
        <a:p>
          <a:pPr rtl="0" eaLnBrk="1" fontAlgn="base" latinLnBrk="0" hangingPunct="1"/>
          <a:r>
            <a:rPr lang="ja-JP" altLang="ja-JP" sz="1100" b="0" i="0" baseline="0">
              <a:effectLst/>
              <a:latin typeface="+mn-ea"/>
              <a:ea typeface="+mn-ea"/>
              <a:cs typeface="+mn-cs"/>
            </a:rPr>
            <a:t>　　　→「実績報告書（</a:t>
          </a:r>
          <a:r>
            <a:rPr lang="en-US" altLang="ja-JP" sz="1100" b="0" i="0" baseline="0">
              <a:effectLst/>
              <a:latin typeface="+mn-ea"/>
              <a:ea typeface="+mn-ea"/>
              <a:cs typeface="+mn-cs"/>
            </a:rPr>
            <a:t>2025</a:t>
          </a:r>
          <a:r>
            <a:rPr lang="ja-JP" altLang="ja-JP" sz="1100" b="0" i="0" baseline="0">
              <a:effectLst/>
              <a:latin typeface="+mn-ea"/>
              <a:ea typeface="+mn-ea"/>
              <a:cs typeface="+mn-cs"/>
            </a:rPr>
            <a:t>年度実績）」</a:t>
          </a:r>
          <a:endParaRPr lang="ja-JP" altLang="ja-JP">
            <a:effectLst/>
            <a:latin typeface="+mn-ea"/>
            <a:ea typeface="+mn-ea"/>
          </a:endParaRPr>
        </a:p>
        <a:p>
          <a:pPr rtl="0" eaLnBrk="1" fontAlgn="base" latinLnBrk="0" hangingPunct="1"/>
          <a:r>
            <a:rPr lang="ja-JP" altLang="en-US" sz="1100" b="0" i="0" baseline="0">
              <a:solidFill>
                <a:srgbClr val="FF0000"/>
              </a:solidFill>
              <a:latin typeface="+mn-ea"/>
              <a:ea typeface="+mn-ea"/>
              <a:cs typeface="+mn-cs"/>
            </a:rPr>
            <a:t>　上記いずれかを選択して下さい。</a:t>
          </a:r>
          <a:endParaRPr lang="en-US" altLang="ja-JP" sz="1100" b="0" i="0" baseline="0">
            <a:solidFill>
              <a:srgbClr val="FF0000"/>
            </a:solidFill>
            <a:latin typeface="+mn-ea"/>
            <a:ea typeface="+mn-ea"/>
            <a:cs typeface="+mn-cs"/>
          </a:endParaRPr>
        </a:p>
        <a:p>
          <a:pPr rtl="0" eaLnBrk="1" fontAlgn="base" latinLnBrk="0" hangingPunct="1"/>
          <a:endParaRPr lang="en-US" altLang="ja-JP" sz="1100" b="0" i="0" baseline="0">
            <a:latin typeface="+mn-ea"/>
            <a:ea typeface="+mn-ea"/>
            <a:cs typeface="+mn-cs"/>
          </a:endParaRPr>
        </a:p>
        <a:p>
          <a:pPr rtl="0" eaLnBrk="1" fontAlgn="base" latinLnBrk="0" hangingPunct="1"/>
          <a:r>
            <a:rPr lang="ja-JP" altLang="en-US" sz="1200" b="0" i="0" baseline="0">
              <a:solidFill>
                <a:sysClr val="windowText" lastClr="000000"/>
              </a:solidFill>
              <a:latin typeface="+mn-ea"/>
              <a:ea typeface="+mn-ea"/>
              <a:cs typeface="+mn-cs"/>
            </a:rPr>
            <a:t>「</a:t>
          </a:r>
          <a:r>
            <a:rPr lang="ja-JP" altLang="ja-JP" sz="1200" b="0" i="0" baseline="0">
              <a:solidFill>
                <a:sysClr val="windowText" lastClr="000000"/>
              </a:solidFill>
              <a:latin typeface="+mn-ea"/>
              <a:ea typeface="+mn-ea"/>
              <a:cs typeface="+mn-cs"/>
            </a:rPr>
            <a:t>②対象事業者となった年月」を、プルダウンメニューから選択して下さい。</a:t>
          </a:r>
          <a:r>
            <a:rPr lang="en-US" altLang="ja-JP" sz="1200" b="0" i="0" baseline="0">
              <a:solidFill>
                <a:sysClr val="windowText" lastClr="000000"/>
              </a:solidFill>
              <a:latin typeface="+mn-ea"/>
              <a:ea typeface="+mn-ea"/>
              <a:cs typeface="+mn-cs"/>
            </a:rPr>
            <a:t/>
          </a:r>
          <a:br>
            <a:rPr lang="en-US" altLang="ja-JP" sz="1200" b="0" i="0" baseline="0">
              <a:solidFill>
                <a:sysClr val="windowText" lastClr="000000"/>
              </a:solidFill>
              <a:latin typeface="+mn-ea"/>
              <a:ea typeface="+mn-ea"/>
              <a:cs typeface="+mn-cs"/>
            </a:rPr>
          </a:br>
          <a:r>
            <a:rPr lang="en-US" altLang="ja-JP" sz="1200" b="0" i="0" baseline="0">
              <a:solidFill>
                <a:sysClr val="windowText" lastClr="000000"/>
              </a:solidFill>
              <a:latin typeface="+mn-ea"/>
              <a:ea typeface="+mn-ea"/>
              <a:cs typeface="+mn-cs"/>
            </a:rPr>
            <a:t>2019</a:t>
          </a:r>
          <a:r>
            <a:rPr lang="ja-JP" altLang="ja-JP" sz="1200" b="0" i="0" baseline="0">
              <a:solidFill>
                <a:sysClr val="windowText" lastClr="000000"/>
              </a:solidFill>
              <a:latin typeface="+mn-ea"/>
              <a:ea typeface="+mn-ea"/>
              <a:cs typeface="+mn-cs"/>
            </a:rPr>
            <a:t>年度以前から対象となっている事業者は、「</a:t>
          </a:r>
          <a:r>
            <a:rPr lang="en-US" altLang="ja-JP" sz="1200" b="0" i="0" baseline="0">
              <a:solidFill>
                <a:sysClr val="windowText" lastClr="000000"/>
              </a:solidFill>
              <a:latin typeface="+mn-ea"/>
              <a:ea typeface="+mn-ea"/>
              <a:cs typeface="+mn-cs"/>
            </a:rPr>
            <a:t>2019</a:t>
          </a:r>
          <a:r>
            <a:rPr lang="ja-JP" altLang="ja-JP" sz="1200" b="0" i="0" baseline="0">
              <a:solidFill>
                <a:sysClr val="windowText" lastClr="000000"/>
              </a:solidFill>
              <a:latin typeface="+mn-ea"/>
              <a:ea typeface="+mn-ea"/>
              <a:cs typeface="+mn-cs"/>
            </a:rPr>
            <a:t>以前」を選んで下さい（この場合、月は「－」）。</a:t>
          </a:r>
          <a:endParaRPr lang="en-US" altLang="ja-JP" sz="1200" b="0" i="0" baseline="0">
            <a:solidFill>
              <a:sysClr val="windowText" lastClr="000000"/>
            </a:solidFill>
            <a:latin typeface="+mn-ea"/>
            <a:ea typeface="+mn-ea"/>
            <a:cs typeface="+mn-cs"/>
          </a:endParaRPr>
        </a:p>
        <a:p>
          <a:pPr rtl="0" eaLnBrk="1" fontAlgn="base" latinLnBrk="0" hangingPunct="1"/>
          <a:endParaRPr lang="en-US" altLang="ja-JP" sz="1200" b="0" i="0" baseline="0">
            <a:solidFill>
              <a:sysClr val="windowText" lastClr="000000"/>
            </a:solidFill>
            <a:latin typeface="+mn-ea"/>
            <a:ea typeface="+mn-ea"/>
            <a:cs typeface="+mn-cs"/>
          </a:endParaRPr>
        </a:p>
        <a:p>
          <a:pPr rtl="0" eaLnBrk="1" fontAlgn="base" latinLnBrk="0" hangingPunct="1"/>
          <a:r>
            <a:rPr lang="ja-JP" altLang="ja-JP" sz="1200" b="0" i="0" baseline="0">
              <a:solidFill>
                <a:sysClr val="windowText" lastClr="000000"/>
              </a:solidFill>
              <a:latin typeface="+mn-ea"/>
              <a:ea typeface="+mn-ea"/>
              <a:cs typeface="+mn-cs"/>
            </a:rPr>
            <a:t>①と②が矛盾する場合、「日付を確認して下さい。」というエラーメッセージが出ます。</a:t>
          </a:r>
          <a:endParaRPr lang="en-US" altLang="ja-JP" sz="1200" b="0" i="0" baseline="0">
            <a:solidFill>
              <a:sysClr val="windowText" lastClr="000000"/>
            </a:solidFill>
            <a:latin typeface="+mn-ea"/>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38100</xdr:colOff>
      <xdr:row>3</xdr:row>
      <xdr:rowOff>63500</xdr:rowOff>
    </xdr:from>
    <xdr:to>
      <xdr:col>11</xdr:col>
      <xdr:colOff>565149</xdr:colOff>
      <xdr:row>16</xdr:row>
      <xdr:rowOff>177801</xdr:rowOff>
    </xdr:to>
    <xdr:sp macro="" textlink="">
      <xdr:nvSpPr>
        <xdr:cNvPr id="5" name="Rectangle 22"/>
        <xdr:cNvSpPr>
          <a:spLocks noChangeArrowheads="1"/>
        </xdr:cNvSpPr>
      </xdr:nvSpPr>
      <xdr:spPr bwMode="auto">
        <a:xfrm>
          <a:off x="5962650" y="768350"/>
          <a:ext cx="2412999" cy="4406901"/>
        </a:xfrm>
        <a:prstGeom prst="rect">
          <a:avLst/>
        </a:prstGeom>
        <a:solidFill>
          <a:srgbClr val="FFFFFF">
            <a:alpha val="50195"/>
          </a:srgbClr>
        </a:solidFill>
        <a:ln w="19050">
          <a:solidFill>
            <a:srgbClr val="FF0000"/>
          </a:solidFill>
          <a:miter lim="800000"/>
          <a:headEnd/>
          <a:tailEnd/>
        </a:ln>
      </xdr:spPr>
      <xdr:txBody>
        <a:bodyPr vertOverflow="clip" wrap="square" lIns="45720" tIns="27432" rIns="0" bIns="27432" anchor="t" anchorCtr="0" upright="1"/>
        <a:lstStyle/>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行やセルの削除・移動は行わないで下さい。</a:t>
          </a:r>
          <a:endParaRPr lang="en-US" altLang="ja-JP" sz="1200" b="0" i="0" u="none" strike="noStrike" baseline="0">
            <a:solidFill>
              <a:srgbClr val="FF0000"/>
            </a:solidFill>
            <a:latin typeface="ＭＳ ゴシック"/>
            <a:ea typeface="ＭＳ ゴシック"/>
          </a:endParaRPr>
        </a:p>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事業所が廃止となった場合は、空欄とし、移転の場合は新しい事業所名、所在地等を上書きしてください（統合の場合は同じ事業所を２つ入力しないように注意して下さい）。</a:t>
          </a:r>
          <a:endParaRPr lang="en-US" altLang="ja-JP" sz="1200" b="0" i="0" u="none" strike="noStrike" baseline="0">
            <a:solidFill>
              <a:srgbClr val="FF0000"/>
            </a:solidFill>
            <a:latin typeface="ＭＳ ゴシック"/>
            <a:ea typeface="ＭＳ ゴシック"/>
          </a:endParaRPr>
        </a:p>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「事業所の名称」は必ず入力して下さい。ここに入力がない事業所は車両台帳で入力ができません。</a:t>
          </a:r>
          <a:endParaRPr lang="en-US" altLang="ja-JP" sz="1200" b="0" i="0" u="none" strike="noStrike" baseline="0">
            <a:solidFill>
              <a:srgbClr val="FF0000"/>
            </a:solidFill>
            <a:latin typeface="ＭＳ ゴシック"/>
            <a:ea typeface="ＭＳ ゴシック"/>
          </a:endParaRPr>
        </a:p>
        <a:p>
          <a:pPr marL="0" marR="0" lvl="0" indent="0" algn="l" defTabSz="914400" rtl="0" eaLnBrk="1" fontAlgn="auto" latinLnBrk="0" hangingPunct="1">
            <a:lnSpc>
              <a:spcPts val="1400"/>
            </a:lnSpc>
            <a:spcBef>
              <a:spcPts val="0"/>
            </a:spcBef>
            <a:spcAft>
              <a:spcPts val="0"/>
            </a:spcAft>
            <a:buClrTx/>
            <a:buSzTx/>
            <a:buFontTx/>
            <a:buNone/>
            <a:tabLst/>
            <a:defRPr sz="1000"/>
          </a:pPr>
          <a:endParaRPr lang="en-US" altLang="ja-JP" sz="1200" b="0" i="0" baseline="0">
            <a:solidFill>
              <a:srgbClr val="FF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lang="en-US" altLang="ja-JP" sz="1200" b="0" i="0" baseline="0">
              <a:solidFill>
                <a:srgbClr val="FF0000"/>
              </a:solidFill>
              <a:effectLst/>
              <a:latin typeface="ＭＳ ゴシック" panose="020B0609070205080204" pitchFamily="49" charset="-128"/>
              <a:ea typeface="ＭＳ ゴシック" panose="020B0609070205080204" pitchFamily="49" charset="-128"/>
              <a:cs typeface="+mn-cs"/>
            </a:rPr>
            <a:t>※</a:t>
          </a:r>
          <a:r>
            <a:rPr lang="ja-JP" altLang="ja-JP" sz="1200" b="0" i="0" baseline="0">
              <a:solidFill>
                <a:srgbClr val="FF0000"/>
              </a:solidFill>
              <a:effectLst/>
              <a:latin typeface="ＭＳ ゴシック" panose="020B0609070205080204" pitchFamily="49" charset="-128"/>
              <a:ea typeface="ＭＳ ゴシック" panose="020B0609070205080204" pitchFamily="49" charset="-128"/>
              <a:cs typeface="+mn-cs"/>
            </a:rPr>
            <a:t>このシートは前年度末時点の情報を入力してください。（ただし、新規に対象事業者となって最初に計画書を出す際は、対象事業者になった月の末日現在の情報を入力してください。）</a:t>
          </a:r>
          <a:endParaRPr lang="ja-JP" altLang="ja-JP" sz="1200">
            <a:solidFill>
              <a:srgbClr val="FF0000"/>
            </a:solidFill>
            <a:effectLst/>
            <a:latin typeface="ＭＳ ゴシック" panose="020B0609070205080204" pitchFamily="49" charset="-128"/>
            <a:ea typeface="ＭＳ ゴシック" panose="020B0609070205080204" pitchFamily="49" charset="-128"/>
          </a:endParaRPr>
        </a:p>
        <a:p>
          <a:pPr algn="l" rtl="0">
            <a:lnSpc>
              <a:spcPts val="1400"/>
            </a:lnSpc>
            <a:defRPr sz="1000"/>
          </a:pPr>
          <a:endParaRPr lang="ja-JP" altLang="en-US" sz="1200" b="0" i="0" u="none" strike="noStrike" baseline="0">
            <a:solidFill>
              <a:srgbClr val="FF0000"/>
            </a:solidFill>
            <a:latin typeface="ＭＳ ゴシック"/>
            <a:ea typeface="ＭＳ 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409575</xdr:colOff>
      <xdr:row>2058</xdr:row>
      <xdr:rowOff>9525</xdr:rowOff>
    </xdr:from>
    <xdr:to>
      <xdr:col>31</xdr:col>
      <xdr:colOff>219075</xdr:colOff>
      <xdr:row>2060</xdr:row>
      <xdr:rowOff>66675</xdr:rowOff>
    </xdr:to>
    <xdr:sp macro="" textlink="">
      <xdr:nvSpPr>
        <xdr:cNvPr id="3" name="Rectangle 14"/>
        <xdr:cNvSpPr>
          <a:spLocks noChangeArrowheads="1"/>
        </xdr:cNvSpPr>
      </xdr:nvSpPr>
      <xdr:spPr bwMode="auto">
        <a:xfrm>
          <a:off x="2438400" y="345195525"/>
          <a:ext cx="10563225" cy="4000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txBody>
        <a:bodyPr vertOverflow="clip" wrap="square" lIns="36576" tIns="22860" rIns="0" bIns="0" anchor="t" upright="1"/>
        <a:lstStyle/>
        <a:p>
          <a:pPr algn="l" rtl="0">
            <a:lnSpc>
              <a:spcPts val="1900"/>
            </a:lnSpc>
            <a:defRPr sz="1000"/>
          </a:pPr>
          <a:r>
            <a:rPr lang="en-US" altLang="ja-JP" sz="1600" b="1" i="0" u="none" strike="noStrike" baseline="0">
              <a:solidFill>
                <a:srgbClr val="000000"/>
              </a:solidFill>
              <a:latin typeface="ＭＳ Ｐゴシック"/>
              <a:ea typeface="ＭＳ Ｐゴシック"/>
            </a:rPr>
            <a:t>2,001</a:t>
          </a:r>
          <a:r>
            <a:rPr lang="ja-JP" altLang="en-US" sz="1600" b="1" i="0" u="none" strike="noStrike" baseline="0">
              <a:solidFill>
                <a:srgbClr val="000000"/>
              </a:solidFill>
              <a:latin typeface="ＭＳ Ｐゴシック"/>
              <a:ea typeface="ＭＳ Ｐゴシック"/>
            </a:rPr>
            <a:t>台以上の自動車を使用する場合は、</a:t>
          </a:r>
          <a:r>
            <a:rPr lang="en-US" altLang="ja-JP" sz="1600" b="1" i="0" u="none" strike="noStrike" baseline="0">
              <a:solidFill>
                <a:srgbClr val="000000"/>
              </a:solidFill>
              <a:latin typeface="ＭＳ Ｐゴシック"/>
              <a:ea typeface="ＭＳ Ｐゴシック"/>
            </a:rPr>
            <a:t>250</a:t>
          </a:r>
          <a:r>
            <a:rPr lang="ja-JP" altLang="en-US" sz="1600" b="1" i="0" u="none" strike="noStrike" baseline="0">
              <a:solidFill>
                <a:srgbClr val="000000"/>
              </a:solidFill>
              <a:latin typeface="ＭＳ Ｐゴシック"/>
              <a:ea typeface="ＭＳ Ｐゴシック"/>
            </a:rPr>
            <a:t>事業所</a:t>
          </a:r>
          <a:r>
            <a:rPr lang="en-US" altLang="ja-JP" sz="1600" b="1" i="0" u="none" strike="noStrike" baseline="0">
              <a:solidFill>
                <a:srgbClr val="000000"/>
              </a:solidFill>
              <a:latin typeface="ＭＳ Ｐゴシック"/>
              <a:ea typeface="ＭＳ Ｐゴシック"/>
            </a:rPr>
            <a:t>5,000</a:t>
          </a:r>
          <a:r>
            <a:rPr lang="ja-JP" altLang="en-US" sz="1600" b="1" i="0" u="none" strike="noStrike" baseline="0">
              <a:solidFill>
                <a:srgbClr val="000000"/>
              </a:solidFill>
              <a:latin typeface="ＭＳ Ｐゴシック"/>
              <a:ea typeface="ＭＳ Ｐゴシック"/>
            </a:rPr>
            <a:t>台用の様式を利用してください。</a:t>
          </a: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0</xdr:row>
      <xdr:rowOff>57150</xdr:rowOff>
    </xdr:from>
    <xdr:to>
      <xdr:col>6</xdr:col>
      <xdr:colOff>114300</xdr:colOff>
      <xdr:row>0</xdr:row>
      <xdr:rowOff>476250</xdr:rowOff>
    </xdr:to>
    <xdr:sp macro="" textlink="">
      <xdr:nvSpPr>
        <xdr:cNvPr id="2" name="Rectangle 22"/>
        <xdr:cNvSpPr>
          <a:spLocks noChangeArrowheads="1"/>
        </xdr:cNvSpPr>
      </xdr:nvSpPr>
      <xdr:spPr bwMode="auto">
        <a:xfrm>
          <a:off x="38100" y="57150"/>
          <a:ext cx="9867900"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本表は「計画書作成時」のみ記載して下さい（実績報告書では記載しないで下さい）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33617</xdr:colOff>
      <xdr:row>0</xdr:row>
      <xdr:rowOff>67236</xdr:rowOff>
    </xdr:from>
    <xdr:to>
      <xdr:col>20</xdr:col>
      <xdr:colOff>26893</xdr:colOff>
      <xdr:row>0</xdr:row>
      <xdr:rowOff>486336</xdr:rowOff>
    </xdr:to>
    <xdr:sp macro="" textlink="">
      <xdr:nvSpPr>
        <xdr:cNvPr id="2" name="Rectangle 22"/>
        <xdr:cNvSpPr>
          <a:spLocks noChangeArrowheads="1"/>
        </xdr:cNvSpPr>
      </xdr:nvSpPr>
      <xdr:spPr bwMode="auto">
        <a:xfrm>
          <a:off x="33617" y="67236"/>
          <a:ext cx="9863417"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本表は「計画書作成時」のみ記載して下さい（実績報告書では記載しないで下さい）</a:t>
          </a:r>
        </a:p>
      </xdr:txBody>
    </xdr:sp>
    <xdr:clientData/>
  </xdr:twoCellAnchor>
  <xdr:twoCellAnchor>
    <xdr:from>
      <xdr:col>20</xdr:col>
      <xdr:colOff>545224</xdr:colOff>
      <xdr:row>13</xdr:row>
      <xdr:rowOff>45982</xdr:rowOff>
    </xdr:from>
    <xdr:to>
      <xdr:col>22</xdr:col>
      <xdr:colOff>78441</xdr:colOff>
      <xdr:row>16</xdr:row>
      <xdr:rowOff>145677</xdr:rowOff>
    </xdr:to>
    <xdr:cxnSp macro="">
      <xdr:nvCxnSpPr>
        <xdr:cNvPr id="7" name="直線矢印コネクタ 6"/>
        <xdr:cNvCxnSpPr/>
      </xdr:nvCxnSpPr>
      <xdr:spPr bwMode="auto">
        <a:xfrm flipH="1" flipV="1">
          <a:off x="11686190" y="4112172"/>
          <a:ext cx="676217" cy="815712"/>
        </a:xfrm>
        <a:prstGeom prst="straightConnector1">
          <a:avLst/>
        </a:prstGeom>
        <a:ln w="19050">
          <a:solidFill>
            <a:srgbClr val="FF0000"/>
          </a:solidFill>
          <a:headEnd type="none" w="med" len="med"/>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20</xdr:col>
      <xdr:colOff>409576</xdr:colOff>
      <xdr:row>16</xdr:row>
      <xdr:rowOff>145677</xdr:rowOff>
    </xdr:from>
    <xdr:to>
      <xdr:col>22</xdr:col>
      <xdr:colOff>78441</xdr:colOff>
      <xdr:row>18</xdr:row>
      <xdr:rowOff>200025</xdr:rowOff>
    </xdr:to>
    <xdr:cxnSp macro="">
      <xdr:nvCxnSpPr>
        <xdr:cNvPr id="5" name="直線矢印コネクタ 4"/>
        <xdr:cNvCxnSpPr/>
      </xdr:nvCxnSpPr>
      <xdr:spPr bwMode="auto">
        <a:xfrm flipH="1">
          <a:off x="11553826" y="4889127"/>
          <a:ext cx="811865" cy="578223"/>
        </a:xfrm>
        <a:prstGeom prst="straightConnector1">
          <a:avLst/>
        </a:prstGeom>
        <a:ln w="19050">
          <a:solidFill>
            <a:srgbClr val="FF0000"/>
          </a:solidFill>
          <a:headEnd type="none" w="med" len="med"/>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21</xdr:col>
      <xdr:colOff>28575</xdr:colOff>
      <xdr:row>16</xdr:row>
      <xdr:rowOff>145677</xdr:rowOff>
    </xdr:from>
    <xdr:to>
      <xdr:col>22</xdr:col>
      <xdr:colOff>78441</xdr:colOff>
      <xdr:row>35</xdr:row>
      <xdr:rowOff>342900</xdr:rowOff>
    </xdr:to>
    <xdr:cxnSp macro="">
      <xdr:nvCxnSpPr>
        <xdr:cNvPr id="6" name="直線矢印コネクタ 5"/>
        <xdr:cNvCxnSpPr/>
      </xdr:nvCxnSpPr>
      <xdr:spPr bwMode="auto">
        <a:xfrm flipH="1">
          <a:off x="11744325" y="4889127"/>
          <a:ext cx="621366" cy="6350373"/>
        </a:xfrm>
        <a:prstGeom prst="straightConnector1">
          <a:avLst/>
        </a:prstGeom>
        <a:ln w="19050">
          <a:solidFill>
            <a:srgbClr val="FF0000"/>
          </a:solidFill>
          <a:headEnd type="none" w="med" len="med"/>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22</xdr:col>
      <xdr:colOff>89646</xdr:colOff>
      <xdr:row>8</xdr:row>
      <xdr:rowOff>201706</xdr:rowOff>
    </xdr:from>
    <xdr:to>
      <xdr:col>24</xdr:col>
      <xdr:colOff>605117</xdr:colOff>
      <xdr:row>21</xdr:row>
      <xdr:rowOff>268941</xdr:rowOff>
    </xdr:to>
    <xdr:sp macro="" textlink="">
      <xdr:nvSpPr>
        <xdr:cNvPr id="8" name="四角形吹き出し 7"/>
        <xdr:cNvSpPr/>
      </xdr:nvSpPr>
      <xdr:spPr bwMode="auto">
        <a:xfrm>
          <a:off x="12225617" y="2835088"/>
          <a:ext cx="1882588" cy="4034118"/>
        </a:xfrm>
        <a:prstGeom prst="wedgeRectCallout">
          <a:avLst>
            <a:gd name="adj1" fmla="val -20925"/>
            <a:gd name="adj2" fmla="val -44227"/>
          </a:avLst>
        </a:prstGeom>
        <a:solidFill>
          <a:schemeClr val="bg1"/>
        </a:solidFill>
        <a:ln w="28575" cap="flat" cmpd="sng" algn="ctr">
          <a:solidFill>
            <a:srgbClr val="FF0000"/>
          </a:solidFill>
          <a:prstDash val="solid"/>
          <a:round/>
          <a:headEnd type="none" w="med" len="med"/>
          <a:tailEnd type="none" w="med" len="med"/>
        </a:ln>
        <a:effectLst/>
      </xdr:spPr>
      <xdr:txBody>
        <a:bodyPr vertOverflow="clip" horzOverflow="clip" wrap="square" lIns="72000" tIns="72000" rIns="72000" bIns="72000" rtlCol="0" anchor="t" upright="1"/>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200" b="1">
              <a:effectLst/>
              <a:latin typeface="+mn-lt"/>
              <a:ea typeface="+mn-ea"/>
              <a:cs typeface="+mn-cs"/>
            </a:rPr>
            <a:t>※</a:t>
          </a:r>
          <a:r>
            <a:rPr kumimoji="1" lang="ja-JP" altLang="ja-JP" sz="1200" b="1">
              <a:effectLst/>
              <a:latin typeface="+mn-lt"/>
              <a:ea typeface="+mn-ea"/>
              <a:cs typeface="+mn-cs"/>
            </a:rPr>
            <a:t>この作業は</a:t>
          </a:r>
          <a:r>
            <a:rPr kumimoji="1" lang="ja-JP" altLang="ja-JP" sz="1200" b="1" u="none">
              <a:solidFill>
                <a:srgbClr val="FF0000"/>
              </a:solidFill>
              <a:effectLst/>
              <a:latin typeface="+mn-lt"/>
              <a:ea typeface="+mn-ea"/>
              <a:cs typeface="+mn-cs"/>
            </a:rPr>
            <a:t>計画書作成時のみ行って下さい</a:t>
          </a:r>
          <a:r>
            <a:rPr kumimoji="1" lang="ja-JP" altLang="ja-JP" sz="1200" b="1">
              <a:effectLst/>
              <a:latin typeface="+mn-lt"/>
              <a:ea typeface="+mn-ea"/>
              <a:cs typeface="+mn-cs"/>
            </a:rPr>
            <a:t>。実績報告時に行うと計画年の数値が書き換わってしまいます。</a:t>
          </a:r>
          <a:endParaRPr lang="ja-JP" altLang="ja-JP" sz="1200">
            <a:effectLst/>
          </a:endParaRPr>
        </a:p>
        <a:p>
          <a:endParaRPr kumimoji="1" lang="en-US" altLang="ja-JP" sz="1200" b="1">
            <a:solidFill>
              <a:sysClr val="windowText" lastClr="000000"/>
            </a:solidFill>
            <a:effectLst/>
            <a:latin typeface="+mn-lt"/>
            <a:ea typeface="+mn-ea"/>
            <a:cs typeface="+mn-cs"/>
          </a:endParaRPr>
        </a:p>
        <a:p>
          <a:r>
            <a:rPr kumimoji="1" lang="ja-JP" altLang="en-US" sz="1200" b="1">
              <a:solidFill>
                <a:sysClr val="windowText" lastClr="000000"/>
              </a:solidFill>
              <a:effectLst/>
              <a:latin typeface="+mn-lt"/>
              <a:ea typeface="+mn-ea"/>
              <a:cs typeface="+mn-cs"/>
            </a:rPr>
            <a:t>車両台帳で</a:t>
          </a:r>
          <a:r>
            <a:rPr kumimoji="1" lang="ja-JP" altLang="ja-JP" sz="1200" b="1">
              <a:solidFill>
                <a:sysClr val="windowText" lastClr="000000"/>
              </a:solidFill>
              <a:effectLst/>
              <a:latin typeface="+mn-lt"/>
              <a:ea typeface="+mn-ea"/>
              <a:cs typeface="+mn-cs"/>
            </a:rPr>
            <a:t>計画年度のデータ入力</a:t>
          </a:r>
          <a:r>
            <a:rPr kumimoji="1" lang="ja-JP" altLang="en-US" sz="1200" b="1">
              <a:solidFill>
                <a:sysClr val="windowText" lastClr="000000"/>
              </a:solidFill>
              <a:effectLst/>
              <a:latin typeface="+mn-lt"/>
              <a:ea typeface="+mn-ea"/>
              <a:cs typeface="+mn-cs"/>
            </a:rPr>
            <a:t>後に作業します。</a:t>
          </a:r>
          <a:endParaRPr kumimoji="1" lang="en-US" altLang="ja-JP" sz="1200" b="1">
            <a:solidFill>
              <a:sysClr val="windowText" lastClr="000000"/>
            </a:solidFill>
            <a:effectLst/>
            <a:latin typeface="+mn-lt"/>
            <a:ea typeface="+mn-ea"/>
            <a:cs typeface="+mn-cs"/>
          </a:endParaRPr>
        </a:p>
        <a:p>
          <a:r>
            <a:rPr kumimoji="1" lang="ja-JP" altLang="en-US" sz="1200" b="1">
              <a:solidFill>
                <a:sysClr val="windowText" lastClr="000000"/>
              </a:solidFill>
              <a:effectLst/>
              <a:latin typeface="+mn-lt"/>
              <a:ea typeface="+mn-ea"/>
              <a:cs typeface="+mn-cs"/>
            </a:rPr>
            <a:t>緑色ハッチのセルの値を、左側の紫色ハッチのセル（「</a:t>
          </a:r>
          <a:r>
            <a:rPr kumimoji="1" lang="ja-JP" altLang="ja-JP" sz="1200" b="1">
              <a:solidFill>
                <a:sysClr val="windowText" lastClr="000000"/>
              </a:solidFill>
              <a:effectLst/>
              <a:latin typeface="+mn-lt"/>
              <a:ea typeface="+mn-ea"/>
              <a:cs typeface="+mn-cs"/>
            </a:rPr>
            <a:t>計画</a:t>
          </a:r>
          <a:r>
            <a:rPr kumimoji="1" lang="ja-JP" altLang="en-US" sz="1200" b="1">
              <a:solidFill>
                <a:sysClr val="windowText" lastClr="000000"/>
              </a:solidFill>
              <a:effectLst/>
              <a:latin typeface="+mn-lt"/>
              <a:ea typeface="+mn-ea"/>
              <a:cs typeface="+mn-cs"/>
            </a:rPr>
            <a:t>作成時</a:t>
          </a:r>
          <a:r>
            <a:rPr kumimoji="1" lang="ja-JP" altLang="ja-JP" sz="1200" b="1">
              <a:solidFill>
                <a:sysClr val="windowText" lastClr="000000"/>
              </a:solidFill>
              <a:effectLst/>
              <a:latin typeface="+mn-lt"/>
              <a:ea typeface="+mn-ea"/>
              <a:cs typeface="+mn-cs"/>
            </a:rPr>
            <a:t>の実績</a:t>
          </a:r>
          <a:r>
            <a:rPr kumimoji="1" lang="ja-JP" altLang="en-US" sz="1200" b="1">
              <a:solidFill>
                <a:sysClr val="windowText" lastClr="000000"/>
              </a:solidFill>
              <a:effectLst/>
              <a:latin typeface="+mn-lt"/>
              <a:ea typeface="+mn-ea"/>
              <a:cs typeface="+mn-cs"/>
            </a:rPr>
            <a:t>」欄と「</a:t>
          </a:r>
          <a:r>
            <a:rPr kumimoji="1" lang="ja-JP" altLang="ja-JP" sz="1200" b="1">
              <a:solidFill>
                <a:sysClr val="windowText" lastClr="000000"/>
              </a:solidFill>
              <a:effectLst/>
              <a:latin typeface="+mn-lt"/>
              <a:ea typeface="+mn-ea"/>
              <a:cs typeface="+mn-cs"/>
            </a:rPr>
            <a:t>計画</a:t>
          </a:r>
          <a:r>
            <a:rPr kumimoji="1" lang="ja-JP" altLang="en-US" sz="1200" b="1">
              <a:solidFill>
                <a:sysClr val="windowText" lastClr="000000"/>
              </a:solidFill>
              <a:effectLst/>
              <a:latin typeface="+mn-lt"/>
              <a:ea typeface="+mn-ea"/>
              <a:cs typeface="+mn-cs"/>
            </a:rPr>
            <a:t>作成時</a:t>
          </a:r>
          <a:r>
            <a:rPr kumimoji="1" lang="ja-JP" altLang="ja-JP" sz="1200" b="1">
              <a:solidFill>
                <a:sysClr val="windowText" lastClr="000000"/>
              </a:solidFill>
              <a:effectLst/>
              <a:latin typeface="+mn-lt"/>
              <a:ea typeface="+mn-ea"/>
              <a:cs typeface="+mn-cs"/>
            </a:rPr>
            <a:t>の台数</a:t>
          </a:r>
          <a:r>
            <a:rPr kumimoji="1" lang="ja-JP" altLang="en-US" sz="1200" b="1">
              <a:solidFill>
                <a:sysClr val="windowText" lastClr="000000"/>
              </a:solidFill>
              <a:effectLst/>
              <a:latin typeface="+mn-lt"/>
              <a:ea typeface="+mn-ea"/>
              <a:cs typeface="+mn-cs"/>
            </a:rPr>
            <a:t>」欄）にそれぞれ「値貼り付け」</a:t>
          </a:r>
          <a:r>
            <a:rPr kumimoji="1" lang="ja-JP" altLang="ja-JP" sz="1200" b="1">
              <a:solidFill>
                <a:sysClr val="windowText" lastClr="000000"/>
              </a:solidFill>
              <a:effectLst/>
              <a:latin typeface="+mn-lt"/>
              <a:ea typeface="+mn-ea"/>
              <a:cs typeface="+mn-cs"/>
            </a:rPr>
            <a:t>して下さい。</a:t>
          </a:r>
          <a:endParaRPr kumimoji="1" lang="en-US" altLang="ja-JP" sz="1200" b="1">
            <a:solidFill>
              <a:sysClr val="windowText" lastClr="000000"/>
            </a:solidFill>
            <a:effectLst/>
            <a:latin typeface="+mn-lt"/>
            <a:ea typeface="+mn-ea"/>
            <a:cs typeface="+mn-cs"/>
          </a:endParaRPr>
        </a:p>
        <a:p>
          <a:endParaRPr lang="ja-JP" altLang="ja-JP" sz="1200">
            <a:solidFill>
              <a:sysClr val="windowText" lastClr="000000"/>
            </a:solidFill>
            <a:effectLst/>
          </a:endParaRPr>
        </a:p>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0</xdr:row>
      <xdr:rowOff>47625</xdr:rowOff>
    </xdr:from>
    <xdr:to>
      <xdr:col>5</xdr:col>
      <xdr:colOff>190500</xdr:colOff>
      <xdr:row>0</xdr:row>
      <xdr:rowOff>466725</xdr:rowOff>
    </xdr:to>
    <xdr:sp macro="" textlink="">
      <xdr:nvSpPr>
        <xdr:cNvPr id="2" name="Rectangle 22"/>
        <xdr:cNvSpPr>
          <a:spLocks noChangeArrowheads="1"/>
        </xdr:cNvSpPr>
      </xdr:nvSpPr>
      <xdr:spPr bwMode="auto">
        <a:xfrm>
          <a:off x="47625" y="47625"/>
          <a:ext cx="9315450"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本表は「実績報告時」のみ記載して下さい（計画書では記載しないで下さい）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42582</xdr:colOff>
      <xdr:row>0</xdr:row>
      <xdr:rowOff>56030</xdr:rowOff>
    </xdr:from>
    <xdr:to>
      <xdr:col>19</xdr:col>
      <xdr:colOff>394447</xdr:colOff>
      <xdr:row>0</xdr:row>
      <xdr:rowOff>475130</xdr:rowOff>
    </xdr:to>
    <xdr:sp macro="" textlink="">
      <xdr:nvSpPr>
        <xdr:cNvPr id="3" name="Rectangle 22"/>
        <xdr:cNvSpPr>
          <a:spLocks noChangeArrowheads="1"/>
        </xdr:cNvSpPr>
      </xdr:nvSpPr>
      <xdr:spPr bwMode="auto">
        <a:xfrm>
          <a:off x="42582" y="56030"/>
          <a:ext cx="9298641"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本表は「実績報告時」のみ記載して下さい（計画書では記載しないで下さい）</a:t>
          </a:r>
        </a:p>
      </xdr:txBody>
    </xdr:sp>
    <xdr:clientData/>
  </xdr:twoCellAnchor>
  <xdr:twoCellAnchor>
    <xdr:from>
      <xdr:col>24</xdr:col>
      <xdr:colOff>77390</xdr:colOff>
      <xdr:row>12</xdr:row>
      <xdr:rowOff>118061</xdr:rowOff>
    </xdr:from>
    <xdr:to>
      <xdr:col>24</xdr:col>
      <xdr:colOff>79917</xdr:colOff>
      <xdr:row>14</xdr:row>
      <xdr:rowOff>148828</xdr:rowOff>
    </xdr:to>
    <xdr:cxnSp macro="">
      <xdr:nvCxnSpPr>
        <xdr:cNvPr id="6" name="直線矢印コネクタ 5"/>
        <xdr:cNvCxnSpPr/>
      </xdr:nvCxnSpPr>
      <xdr:spPr bwMode="auto">
        <a:xfrm flipH="1">
          <a:off x="13245703" y="3826858"/>
          <a:ext cx="2527" cy="542736"/>
        </a:xfrm>
        <a:prstGeom prst="straightConnector1">
          <a:avLst/>
        </a:prstGeom>
        <a:ln w="19050">
          <a:solidFill>
            <a:srgbClr val="FF0000"/>
          </a:solidFill>
          <a:headEnd type="none" w="med" len="med"/>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22</xdr:col>
      <xdr:colOff>0</xdr:colOff>
      <xdr:row>3</xdr:row>
      <xdr:rowOff>0</xdr:rowOff>
    </xdr:from>
    <xdr:to>
      <xdr:col>25</xdr:col>
      <xdr:colOff>441831</xdr:colOff>
      <xdr:row>12</xdr:row>
      <xdr:rowOff>207708</xdr:rowOff>
    </xdr:to>
    <xdr:sp macro="" textlink="">
      <xdr:nvSpPr>
        <xdr:cNvPr id="7" name="四角形吹き出し 6"/>
        <xdr:cNvSpPr/>
      </xdr:nvSpPr>
      <xdr:spPr bwMode="auto">
        <a:xfrm>
          <a:off x="11822206" y="1165412"/>
          <a:ext cx="2178743" cy="2829884"/>
        </a:xfrm>
        <a:prstGeom prst="wedgeRectCallout">
          <a:avLst>
            <a:gd name="adj1" fmla="val -23306"/>
            <a:gd name="adj2" fmla="val -47560"/>
          </a:avLst>
        </a:prstGeom>
        <a:solidFill>
          <a:schemeClr val="bg1"/>
        </a:solidFill>
        <a:ln w="28575" cap="flat" cmpd="sng" algn="ctr">
          <a:solidFill>
            <a:srgbClr val="FF0000"/>
          </a:solidFill>
          <a:prstDash val="solid"/>
          <a:round/>
          <a:headEnd type="none" w="med" len="med"/>
          <a:tailEnd type="none" w="med" len="med"/>
        </a:ln>
        <a:effectLst/>
      </xdr:spPr>
      <xdr:txBody>
        <a:bodyPr vertOverflow="clip" horzOverflow="clip" wrap="square" lIns="72000" tIns="72000" rIns="72000" bIns="72000" rtlCol="0" anchor="t" upright="1"/>
        <a:lstStyle/>
        <a:p>
          <a:pPr marL="0" marR="0" indent="0" defTabSz="914400" eaLnBrk="1" fontAlgn="auto" latinLnBrk="0" hangingPunct="1">
            <a:lnSpc>
              <a:spcPts val="1500"/>
            </a:lnSpc>
            <a:spcBef>
              <a:spcPts val="0"/>
            </a:spcBef>
            <a:spcAft>
              <a:spcPts val="0"/>
            </a:spcAft>
            <a:buClrTx/>
            <a:buSzTx/>
            <a:buFontTx/>
            <a:buNone/>
            <a:tabLst/>
            <a:defRPr/>
          </a:pPr>
          <a:r>
            <a:rPr kumimoji="1" lang="en-US" altLang="ja-JP" sz="1200" b="1">
              <a:effectLst/>
              <a:latin typeface="+mn-lt"/>
              <a:ea typeface="+mn-ea"/>
              <a:cs typeface="+mn-cs"/>
            </a:rPr>
            <a:t>※</a:t>
          </a:r>
          <a:r>
            <a:rPr kumimoji="1" lang="ja-JP" altLang="ja-JP" sz="1200" b="1">
              <a:effectLst/>
              <a:latin typeface="+mn-lt"/>
              <a:ea typeface="+mn-ea"/>
              <a:cs typeface="+mn-cs"/>
            </a:rPr>
            <a:t>この作業は</a:t>
          </a:r>
          <a:r>
            <a:rPr kumimoji="1" lang="ja-JP" altLang="ja-JP" sz="1200" b="1" u="none">
              <a:solidFill>
                <a:srgbClr val="FF0000"/>
              </a:solidFill>
              <a:effectLst/>
              <a:latin typeface="+mn-lt"/>
              <a:ea typeface="+mn-ea"/>
              <a:cs typeface="+mn-cs"/>
            </a:rPr>
            <a:t>実績報告時のみ行って下さい</a:t>
          </a:r>
          <a:r>
            <a:rPr kumimoji="1" lang="ja-JP" altLang="ja-JP" sz="1200" b="1">
              <a:effectLst/>
              <a:latin typeface="+mn-lt"/>
              <a:ea typeface="+mn-ea"/>
              <a:cs typeface="+mn-cs"/>
            </a:rPr>
            <a:t>。計画書作成時は行わないで下さい。</a:t>
          </a:r>
          <a:endParaRPr lang="ja-JP" altLang="ja-JP" sz="1200">
            <a:effectLst/>
          </a:endParaRPr>
        </a:p>
        <a:p>
          <a:pPr>
            <a:lnSpc>
              <a:spcPts val="1500"/>
            </a:lnSpc>
          </a:pPr>
          <a:endParaRPr kumimoji="1" lang="en-US" altLang="ja-JP" sz="1200" b="1">
            <a:solidFill>
              <a:schemeClr val="tx1"/>
            </a:solidFill>
            <a:effectLst/>
            <a:latin typeface="+mn-lt"/>
            <a:ea typeface="+mn-ea"/>
            <a:cs typeface="+mn-cs"/>
          </a:endParaRPr>
        </a:p>
        <a:p>
          <a:pPr>
            <a:lnSpc>
              <a:spcPts val="1500"/>
            </a:lnSpc>
          </a:pPr>
          <a:r>
            <a:rPr kumimoji="1" lang="ja-JP" altLang="en-US" sz="1200" b="1">
              <a:solidFill>
                <a:schemeClr val="tx1"/>
              </a:solidFill>
              <a:effectLst/>
              <a:latin typeface="+mn-lt"/>
              <a:ea typeface="+mn-ea"/>
              <a:cs typeface="+mn-cs"/>
            </a:rPr>
            <a:t>車両台帳で実績</a:t>
          </a:r>
          <a:r>
            <a:rPr kumimoji="1" lang="ja-JP" altLang="ja-JP" sz="1200" b="1">
              <a:solidFill>
                <a:schemeClr val="tx1"/>
              </a:solidFill>
              <a:effectLst/>
              <a:latin typeface="+mn-lt"/>
              <a:ea typeface="+mn-ea"/>
              <a:cs typeface="+mn-cs"/>
            </a:rPr>
            <a:t>年度のデータ入力終</a:t>
          </a:r>
          <a:r>
            <a:rPr kumimoji="1" lang="ja-JP" altLang="en-US" sz="1200" b="1">
              <a:solidFill>
                <a:schemeClr val="tx1"/>
              </a:solidFill>
              <a:effectLst/>
              <a:latin typeface="+mn-lt"/>
              <a:ea typeface="+mn-ea"/>
              <a:cs typeface="+mn-cs"/>
            </a:rPr>
            <a:t>に作業します。</a:t>
          </a:r>
          <a:endParaRPr kumimoji="1" lang="en-US" altLang="ja-JP" sz="1200" b="1">
            <a:solidFill>
              <a:schemeClr val="tx1"/>
            </a:solidFill>
            <a:effectLst/>
            <a:latin typeface="+mn-lt"/>
            <a:ea typeface="+mn-ea"/>
            <a:cs typeface="+mn-cs"/>
          </a:endParaRPr>
        </a:p>
        <a:p>
          <a:r>
            <a:rPr kumimoji="1" lang="ja-JP" altLang="ja-JP" sz="1200" b="1">
              <a:effectLst/>
              <a:latin typeface="+mn-lt"/>
              <a:ea typeface="+mn-ea"/>
              <a:cs typeface="+mn-cs"/>
            </a:rPr>
            <a:t>緑色ハッチのセルの値を、左側の紫色ハッチのセル（「計画作成時の実績」欄と「計画作成時の台数」欄）に</a:t>
          </a:r>
          <a:r>
            <a:rPr kumimoji="1" lang="ja-JP" altLang="en-US" sz="1200" b="1">
              <a:effectLst/>
              <a:latin typeface="+mn-lt"/>
              <a:ea typeface="+mn-ea"/>
              <a:cs typeface="+mn-cs"/>
            </a:rPr>
            <a:t>それぞれ</a:t>
          </a:r>
          <a:r>
            <a:rPr kumimoji="1" lang="ja-JP" altLang="ja-JP" sz="1200" b="1">
              <a:effectLst/>
              <a:latin typeface="+mn-lt"/>
              <a:ea typeface="+mn-ea"/>
              <a:cs typeface="+mn-cs"/>
            </a:rPr>
            <a:t>「値貼り付け」して下さい。</a:t>
          </a:r>
          <a:endParaRPr lang="ja-JP" altLang="ja-JP" sz="1200">
            <a:solidFill>
              <a:schemeClr val="tx1"/>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133350</xdr:colOff>
      <xdr:row>1</xdr:row>
      <xdr:rowOff>0</xdr:rowOff>
    </xdr:from>
    <xdr:to>
      <xdr:col>9</xdr:col>
      <xdr:colOff>219075</xdr:colOff>
      <xdr:row>6</xdr:row>
      <xdr:rowOff>85725</xdr:rowOff>
    </xdr:to>
    <xdr:sp macro="" textlink="">
      <xdr:nvSpPr>
        <xdr:cNvPr id="2" name="Rectangle 22"/>
        <xdr:cNvSpPr>
          <a:spLocks noChangeArrowheads="1"/>
        </xdr:cNvSpPr>
      </xdr:nvSpPr>
      <xdr:spPr bwMode="auto">
        <a:xfrm>
          <a:off x="6677025" y="171450"/>
          <a:ext cx="2828925" cy="1057275"/>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1400" b="1" i="0" u="none" strike="noStrike" baseline="0">
              <a:solidFill>
                <a:srgbClr val="FF0000"/>
              </a:solidFill>
              <a:latin typeface="ＭＳ ゴシック"/>
              <a:ea typeface="ＭＳ ゴシック"/>
            </a:rPr>
            <a:t>本表は</a:t>
          </a:r>
          <a:r>
            <a:rPr lang="en-US" altLang="ja-JP" sz="1400" b="1" i="0" u="none" strike="noStrike" baseline="0">
              <a:solidFill>
                <a:srgbClr val="FF0000"/>
              </a:solidFill>
              <a:latin typeface="ＭＳ ゴシック"/>
              <a:ea typeface="ＭＳ ゴシック"/>
            </a:rPr>
            <a:t>【</a:t>
          </a:r>
          <a:r>
            <a:rPr lang="ja-JP" altLang="en-US" sz="1400" b="1" i="0" u="none" strike="noStrike" baseline="0">
              <a:solidFill>
                <a:srgbClr val="FF0000"/>
              </a:solidFill>
              <a:latin typeface="ＭＳ ゴシック"/>
              <a:ea typeface="ＭＳ ゴシック"/>
            </a:rPr>
            <a:t>表紙</a:t>
          </a:r>
          <a:r>
            <a:rPr lang="en-US" altLang="ja-JP" sz="1400" b="1" i="0" u="none" strike="noStrike" baseline="0">
              <a:solidFill>
                <a:srgbClr val="FF0000"/>
              </a:solidFill>
              <a:latin typeface="ＭＳ ゴシック"/>
              <a:ea typeface="ＭＳ ゴシック"/>
            </a:rPr>
            <a:t>】</a:t>
          </a:r>
          <a:r>
            <a:rPr lang="ja-JP" altLang="en-US" sz="1400" b="1" i="0" u="none" strike="noStrike" baseline="0">
              <a:solidFill>
                <a:srgbClr val="FF0000"/>
              </a:solidFill>
              <a:latin typeface="ＭＳ ゴシック"/>
              <a:ea typeface="ＭＳ ゴシック"/>
            </a:rPr>
            <a:t>に業種番号を</a:t>
          </a:r>
          <a:endParaRPr lang="en-US" altLang="ja-JP" sz="1400" b="1" i="0" u="none" strike="noStrike" baseline="0">
            <a:solidFill>
              <a:srgbClr val="FF0000"/>
            </a:solidFill>
            <a:latin typeface="ＭＳ ゴシック"/>
            <a:ea typeface="ＭＳ ゴシック"/>
          </a:endParaRPr>
        </a:p>
        <a:p>
          <a:pPr algn="ctr" rtl="0">
            <a:lnSpc>
              <a:spcPts val="2100"/>
            </a:lnSpc>
            <a:defRPr sz="1000"/>
          </a:pPr>
          <a:r>
            <a:rPr lang="ja-JP" altLang="en-US" sz="1400" b="1" i="0" u="none" strike="noStrike" baseline="0">
              <a:solidFill>
                <a:srgbClr val="FF0000"/>
              </a:solidFill>
              <a:latin typeface="ＭＳ ゴシック"/>
              <a:ea typeface="ＭＳ ゴシック"/>
            </a:rPr>
            <a:t>入力する際に参照します。</a:t>
          </a:r>
          <a:endParaRPr lang="en-US" altLang="ja-JP" sz="1400" b="1" i="0" u="none" strike="noStrike" baseline="0">
            <a:solidFill>
              <a:srgbClr val="FF0000"/>
            </a:solidFill>
            <a:latin typeface="ＭＳ ゴシック"/>
            <a:ea typeface="ＭＳ ゴシック"/>
          </a:endParaRPr>
        </a:p>
        <a:p>
          <a:pPr algn="ctr" rtl="0">
            <a:lnSpc>
              <a:spcPts val="2100"/>
            </a:lnSpc>
            <a:defRPr sz="1000"/>
          </a:pPr>
          <a:r>
            <a:rPr lang="ja-JP" altLang="en-US" sz="1400" b="1" i="0" u="none" strike="noStrike" baseline="0">
              <a:solidFill>
                <a:srgbClr val="FF0000"/>
              </a:solidFill>
              <a:latin typeface="ＭＳ ゴシック"/>
              <a:ea typeface="ＭＳ ゴシック"/>
            </a:rPr>
            <a:t>本表に入力箇所はありません。</a:t>
          </a:r>
          <a:endParaRPr lang="en-US" altLang="ja-JP" sz="1400" b="1" i="0" u="none" strike="noStrike" baseline="0">
            <a:solidFill>
              <a:srgbClr val="FF0000"/>
            </a:solidFill>
            <a:latin typeface="ＭＳ ゴシック"/>
            <a:ea typeface="ＭＳ ゴシック"/>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www.mlit.go.jp/jidosha/lowgas/lowgaskouhyou/index.html"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9"/>
    <pageSetUpPr fitToPage="1"/>
  </sheetPr>
  <dimension ref="A1:K79"/>
  <sheetViews>
    <sheetView showGridLines="0" zoomScaleNormal="100" zoomScaleSheetLayoutView="100" workbookViewId="0">
      <selection activeCell="J31" sqref="J31"/>
    </sheetView>
  </sheetViews>
  <sheetFormatPr defaultColWidth="9" defaultRowHeight="14.25"/>
  <cols>
    <col min="1" max="1" width="3.625" style="31" customWidth="1"/>
    <col min="2" max="2" width="26.875" style="31" customWidth="1"/>
    <col min="3" max="7" width="15.5" style="31" customWidth="1"/>
    <col min="8" max="16384" width="9" style="31"/>
  </cols>
  <sheetData>
    <row r="1" spans="1:10" ht="15" customHeight="1">
      <c r="A1" s="542" t="s">
        <v>2858</v>
      </c>
    </row>
    <row r="2" spans="1:10" ht="15" customHeight="1">
      <c r="A2" s="32"/>
    </row>
    <row r="3" spans="1:10" ht="15" customHeight="1">
      <c r="A3" s="32"/>
      <c r="B3" s="541" t="s">
        <v>1665</v>
      </c>
    </row>
    <row r="4" spans="1:10" ht="15" customHeight="1">
      <c r="A4" s="32"/>
      <c r="B4" s="32" t="s">
        <v>2352</v>
      </c>
    </row>
    <row r="5" spans="1:10" ht="9" customHeight="1">
      <c r="A5" s="32"/>
      <c r="B5" s="32"/>
    </row>
    <row r="6" spans="1:10" ht="15" customHeight="1">
      <c r="A6" s="32"/>
      <c r="B6" s="816" t="s">
        <v>2353</v>
      </c>
      <c r="C6" s="816"/>
      <c r="D6" s="816"/>
      <c r="E6" s="816"/>
      <c r="F6" s="816"/>
      <c r="G6" s="816"/>
      <c r="H6" s="816"/>
      <c r="I6" s="816"/>
      <c r="J6" s="816"/>
    </row>
    <row r="7" spans="1:10" ht="15" customHeight="1">
      <c r="A7" s="32"/>
      <c r="B7" s="816"/>
      <c r="C7" s="816"/>
      <c r="D7" s="816"/>
      <c r="E7" s="816"/>
      <c r="F7" s="816"/>
      <c r="G7" s="816"/>
      <c r="H7" s="816"/>
      <c r="I7" s="816"/>
      <c r="J7" s="816"/>
    </row>
    <row r="8" spans="1:10" ht="15" customHeight="1">
      <c r="A8" s="32"/>
    </row>
    <row r="9" spans="1:10" ht="15" customHeight="1">
      <c r="A9" s="32"/>
      <c r="B9" s="541" t="s">
        <v>1707</v>
      </c>
    </row>
    <row r="10" spans="1:10" ht="15" customHeight="1">
      <c r="B10" s="817" t="s">
        <v>2828</v>
      </c>
      <c r="C10" s="817"/>
      <c r="D10" s="817"/>
      <c r="E10" s="817"/>
      <c r="F10" s="817"/>
      <c r="G10" s="817"/>
      <c r="H10" s="817"/>
      <c r="I10" s="817"/>
      <c r="J10" s="817"/>
    </row>
    <row r="11" spans="1:10" ht="15" customHeight="1">
      <c r="B11" s="818" t="s">
        <v>2829</v>
      </c>
      <c r="C11" s="819"/>
      <c r="D11" s="819"/>
      <c r="E11" s="819"/>
      <c r="F11" s="819"/>
      <c r="G11" s="819"/>
      <c r="H11" s="750"/>
      <c r="I11" s="750"/>
      <c r="J11" s="750"/>
    </row>
    <row r="12" spans="1:10" ht="15" customHeight="1">
      <c r="B12" s="819"/>
      <c r="C12" s="819"/>
      <c r="D12" s="819"/>
      <c r="E12" s="819"/>
      <c r="F12" s="819"/>
      <c r="G12" s="819"/>
      <c r="H12" s="750"/>
      <c r="I12" s="750"/>
      <c r="J12" s="750"/>
    </row>
    <row r="13" spans="1:10" ht="15" customHeight="1">
      <c r="B13" s="32" t="s">
        <v>2708</v>
      </c>
    </row>
    <row r="14" spans="1:10" ht="15" customHeight="1"/>
    <row r="15" spans="1:10" ht="15" customHeight="1">
      <c r="B15" s="32" t="s">
        <v>2859</v>
      </c>
    </row>
    <row r="16" spans="1:10" ht="15" customHeight="1">
      <c r="B16" s="32" t="s">
        <v>2351</v>
      </c>
    </row>
    <row r="17" spans="2:7" ht="15" customHeight="1">
      <c r="B17" s="32"/>
    </row>
    <row r="18" spans="2:7" ht="15" customHeight="1">
      <c r="B18" s="539" t="s">
        <v>2311</v>
      </c>
      <c r="C18"/>
      <c r="D18"/>
      <c r="E18"/>
      <c r="F18"/>
      <c r="G18"/>
    </row>
    <row r="19" spans="2:7" ht="5.25" customHeight="1">
      <c r="B19"/>
      <c r="C19"/>
      <c r="D19"/>
      <c r="E19"/>
      <c r="F19"/>
      <c r="G19"/>
    </row>
    <row r="20" spans="2:7" ht="15" customHeight="1">
      <c r="B20" s="32"/>
    </row>
    <row r="21" spans="2:7" ht="15" customHeight="1">
      <c r="B21" s="32"/>
    </row>
    <row r="22" spans="2:7" ht="29.25" customHeight="1">
      <c r="B22" s="820" t="s">
        <v>2722</v>
      </c>
      <c r="C22" s="822" t="s">
        <v>2310</v>
      </c>
      <c r="D22" s="1260" t="s">
        <v>2368</v>
      </c>
      <c r="E22" s="1261"/>
      <c r="F22" s="824" t="s">
        <v>2370</v>
      </c>
    </row>
    <row r="23" spans="2:7" ht="58.5" customHeight="1">
      <c r="B23" s="821"/>
      <c r="C23" s="823"/>
      <c r="D23" s="703" t="s">
        <v>2369</v>
      </c>
      <c r="E23" s="703" t="s">
        <v>2367</v>
      </c>
      <c r="F23" s="825"/>
    </row>
    <row r="24" spans="2:7" ht="58.5" customHeight="1">
      <c r="B24" s="704" t="s">
        <v>2723</v>
      </c>
      <c r="C24" s="705" t="s">
        <v>2309</v>
      </c>
      <c r="D24" s="706" t="s">
        <v>2315</v>
      </c>
      <c r="E24" s="707" t="s">
        <v>2724</v>
      </c>
      <c r="F24" s="831" t="s">
        <v>2372</v>
      </c>
    </row>
    <row r="25" spans="2:7" ht="58.5" customHeight="1">
      <c r="B25" s="771" t="s">
        <v>2725</v>
      </c>
      <c r="C25" s="772" t="s">
        <v>2706</v>
      </c>
      <c r="D25" s="773" t="s">
        <v>2707</v>
      </c>
      <c r="E25" s="773" t="s">
        <v>2830</v>
      </c>
      <c r="F25" s="832"/>
    </row>
    <row r="26" spans="2:7" ht="58.5" hidden="1" customHeight="1">
      <c r="B26" s="771" t="s">
        <v>2431</v>
      </c>
      <c r="C26" s="772" t="s">
        <v>2705</v>
      </c>
      <c r="D26" s="773" t="s">
        <v>2726</v>
      </c>
      <c r="E26" s="773" t="s">
        <v>2727</v>
      </c>
      <c r="F26" s="833" t="s">
        <v>2728</v>
      </c>
    </row>
    <row r="27" spans="2:7" ht="58.5" customHeight="1">
      <c r="B27" s="771" t="s">
        <v>2831</v>
      </c>
      <c r="C27" s="772" t="s">
        <v>2832</v>
      </c>
      <c r="D27" s="773" t="s">
        <v>2833</v>
      </c>
      <c r="E27" s="773" t="s">
        <v>2834</v>
      </c>
      <c r="F27" s="833"/>
    </row>
    <row r="28" spans="2:7" ht="58.5" customHeight="1">
      <c r="B28" s="771" t="s">
        <v>2835</v>
      </c>
      <c r="C28" s="772" t="s">
        <v>2836</v>
      </c>
      <c r="D28" s="773" t="s">
        <v>2837</v>
      </c>
      <c r="E28" s="773" t="s">
        <v>2838</v>
      </c>
      <c r="F28" s="833"/>
    </row>
    <row r="29" spans="2:7" ht="58.5" customHeight="1">
      <c r="B29" s="771" t="s">
        <v>2839</v>
      </c>
      <c r="C29" s="772" t="s">
        <v>2840</v>
      </c>
      <c r="D29" s="773" t="s">
        <v>2841</v>
      </c>
      <c r="E29" s="773" t="s">
        <v>2842</v>
      </c>
      <c r="F29" s="833"/>
    </row>
    <row r="30" spans="2:7" ht="58.5" customHeight="1">
      <c r="B30" s="708" t="s">
        <v>2843</v>
      </c>
      <c r="C30" s="709" t="s">
        <v>2844</v>
      </c>
      <c r="D30" s="710" t="s">
        <v>2845</v>
      </c>
      <c r="E30" s="710" t="s">
        <v>2846</v>
      </c>
      <c r="F30" s="833"/>
    </row>
    <row r="31" spans="2:7" ht="58.5" customHeight="1">
      <c r="B31" s="711" t="s">
        <v>2847</v>
      </c>
      <c r="C31" s="712" t="s">
        <v>2848</v>
      </c>
      <c r="D31" s="713" t="s">
        <v>2849</v>
      </c>
      <c r="E31" s="713" t="s">
        <v>2850</v>
      </c>
      <c r="F31" s="834"/>
    </row>
    <row r="32" spans="2:7" ht="7.5" customHeight="1">
      <c r="B32"/>
      <c r="C32"/>
      <c r="D32"/>
      <c r="E32"/>
      <c r="F32"/>
      <c r="G32"/>
    </row>
    <row r="33" spans="2:11" ht="15" customHeight="1">
      <c r="B33" s="7" t="s">
        <v>2729</v>
      </c>
      <c r="C33"/>
      <c r="D33"/>
      <c r="E33"/>
      <c r="F33"/>
      <c r="G33"/>
    </row>
    <row r="34" spans="2:11" ht="15" customHeight="1">
      <c r="B34" s="7"/>
      <c r="C34"/>
      <c r="D34"/>
      <c r="E34"/>
      <c r="F34"/>
      <c r="G34"/>
    </row>
    <row r="35" spans="2:11" ht="15" customHeight="1">
      <c r="B35" s="7"/>
      <c r="C35"/>
      <c r="D35"/>
      <c r="E35"/>
      <c r="F35"/>
      <c r="G35"/>
    </row>
    <row r="36" spans="2:11" ht="15" customHeight="1"/>
    <row r="37" spans="2:11" ht="15" customHeight="1"/>
    <row r="38" spans="2:11" ht="15" customHeight="1">
      <c r="B38" s="32"/>
    </row>
    <row r="39" spans="2:11" ht="15" customHeight="1">
      <c r="B39" s="541" t="s">
        <v>2730</v>
      </c>
    </row>
    <row r="40" spans="2:11" ht="15" customHeight="1"/>
    <row r="41" spans="2:11" ht="24.75" customHeight="1">
      <c r="B41" s="581" t="s">
        <v>1608</v>
      </c>
      <c r="C41" s="828" t="s">
        <v>1609</v>
      </c>
      <c r="D41" s="830"/>
      <c r="E41" s="828" t="s">
        <v>2358</v>
      </c>
      <c r="F41" s="829"/>
      <c r="G41" s="830"/>
      <c r="H41"/>
      <c r="I41"/>
      <c r="J41"/>
      <c r="K41"/>
    </row>
    <row r="42" spans="2:11" ht="24.75" customHeight="1">
      <c r="B42" s="582" t="s">
        <v>2359</v>
      </c>
      <c r="C42" s="835"/>
      <c r="D42" s="836"/>
      <c r="E42" s="826" t="s">
        <v>2241</v>
      </c>
      <c r="F42" s="839"/>
      <c r="G42" s="827"/>
      <c r="H42"/>
      <c r="I42"/>
      <c r="J42"/>
      <c r="K42"/>
    </row>
    <row r="43" spans="2:11" ht="24.75" customHeight="1">
      <c r="B43" s="583" t="s">
        <v>2336</v>
      </c>
      <c r="C43" s="837" t="s">
        <v>1610</v>
      </c>
      <c r="D43" s="838"/>
      <c r="E43" s="837" t="s">
        <v>2238</v>
      </c>
      <c r="F43" s="840"/>
      <c r="G43" s="838"/>
      <c r="H43"/>
      <c r="I43"/>
      <c r="J43"/>
      <c r="K43"/>
    </row>
    <row r="44" spans="2:11" ht="24.75" customHeight="1">
      <c r="B44" s="582" t="s">
        <v>1611</v>
      </c>
      <c r="C44" s="826" t="s">
        <v>1611</v>
      </c>
      <c r="D44" s="827"/>
      <c r="E44" s="826" t="s">
        <v>2241</v>
      </c>
      <c r="F44" s="839"/>
      <c r="G44" s="827"/>
      <c r="H44"/>
      <c r="I44"/>
      <c r="J44"/>
      <c r="K44"/>
    </row>
    <row r="45" spans="2:11" ht="24.75" customHeight="1">
      <c r="B45" s="584" t="s">
        <v>2337</v>
      </c>
      <c r="C45" s="808" t="s">
        <v>1613</v>
      </c>
      <c r="D45" s="810"/>
      <c r="E45" s="808" t="s">
        <v>2239</v>
      </c>
      <c r="F45" s="809"/>
      <c r="G45" s="810"/>
      <c r="H45"/>
      <c r="I45"/>
      <c r="J45"/>
      <c r="K45"/>
    </row>
    <row r="46" spans="2:11" ht="24.75" customHeight="1">
      <c r="B46" s="584" t="s">
        <v>2338</v>
      </c>
      <c r="C46" s="808" t="s">
        <v>2355</v>
      </c>
      <c r="D46" s="810"/>
      <c r="E46" s="808" t="s">
        <v>2239</v>
      </c>
      <c r="F46" s="809"/>
      <c r="G46" s="810"/>
      <c r="H46"/>
      <c r="I46"/>
      <c r="J46"/>
      <c r="K46"/>
    </row>
    <row r="47" spans="2:11" ht="24.75" customHeight="1">
      <c r="B47" s="585" t="s">
        <v>2339</v>
      </c>
      <c r="C47" s="804" t="s">
        <v>1612</v>
      </c>
      <c r="D47" s="805"/>
      <c r="E47" s="804" t="s">
        <v>2240</v>
      </c>
      <c r="F47" s="815"/>
      <c r="G47" s="805"/>
      <c r="H47"/>
      <c r="I47"/>
      <c r="J47"/>
      <c r="K47"/>
    </row>
    <row r="48" spans="2:11" ht="24.75" customHeight="1">
      <c r="B48" s="585" t="s">
        <v>2340</v>
      </c>
      <c r="C48" s="804" t="s">
        <v>2354</v>
      </c>
      <c r="D48" s="805"/>
      <c r="E48" s="804" t="s">
        <v>2240</v>
      </c>
      <c r="F48" s="815"/>
      <c r="G48" s="805"/>
      <c r="H48"/>
      <c r="I48"/>
      <c r="J48"/>
      <c r="K48"/>
    </row>
    <row r="49" spans="1:11" ht="24.75" customHeight="1">
      <c r="B49" s="586" t="s">
        <v>2341</v>
      </c>
      <c r="C49" s="806" t="s">
        <v>2356</v>
      </c>
      <c r="D49" s="807"/>
      <c r="E49" s="806" t="s">
        <v>2357</v>
      </c>
      <c r="F49" s="814"/>
      <c r="G49" s="807"/>
      <c r="H49"/>
      <c r="I49"/>
      <c r="J49"/>
      <c r="K49"/>
    </row>
    <row r="50" spans="1:11" ht="24.75" customHeight="1">
      <c r="B50" s="587" t="s">
        <v>2360</v>
      </c>
      <c r="C50" s="811" t="s">
        <v>2731</v>
      </c>
      <c r="D50" s="812"/>
      <c r="E50" s="811" t="s">
        <v>2364</v>
      </c>
      <c r="F50" s="813"/>
      <c r="G50" s="812"/>
      <c r="H50"/>
      <c r="I50"/>
      <c r="J50"/>
      <c r="K50"/>
    </row>
    <row r="51" spans="1:11" ht="24.75" customHeight="1">
      <c r="B51" s="587" t="s">
        <v>2361</v>
      </c>
      <c r="C51" s="811" t="s">
        <v>2362</v>
      </c>
      <c r="D51" s="812"/>
      <c r="E51" s="811" t="s">
        <v>2363</v>
      </c>
      <c r="F51" s="813"/>
      <c r="G51" s="812"/>
      <c r="H51"/>
      <c r="I51"/>
      <c r="J51"/>
      <c r="K51"/>
    </row>
    <row r="52" spans="1:11" ht="15" customHeight="1">
      <c r="B52"/>
      <c r="C52"/>
      <c r="D52"/>
      <c r="E52"/>
      <c r="F52"/>
      <c r="G52"/>
      <c r="H52"/>
      <c r="I52"/>
      <c r="J52"/>
      <c r="K52"/>
    </row>
    <row r="53" spans="1:11" ht="15" customHeight="1">
      <c r="B53"/>
      <c r="C53"/>
      <c r="D53"/>
      <c r="E53"/>
      <c r="F53"/>
      <c r="G53"/>
      <c r="H53"/>
      <c r="I53"/>
      <c r="J53"/>
      <c r="K53"/>
    </row>
    <row r="54" spans="1:11" ht="15" customHeight="1">
      <c r="A54"/>
      <c r="B54" s="541" t="s">
        <v>1663</v>
      </c>
      <c r="C54"/>
    </row>
    <row r="55" spans="1:11" ht="15" customHeight="1">
      <c r="A55"/>
      <c r="B55" s="311" t="s">
        <v>1664</v>
      </c>
    </row>
    <row r="56" spans="1:11" ht="15" customHeight="1">
      <c r="A56"/>
    </row>
    <row r="57" spans="1:11" ht="15" customHeight="1">
      <c r="A57"/>
      <c r="B57" s="71" t="s">
        <v>1606</v>
      </c>
      <c r="C57" s="123"/>
      <c r="D57" t="s">
        <v>1625</v>
      </c>
    </row>
    <row r="58" spans="1:11" ht="22.5" customHeight="1">
      <c r="A58"/>
      <c r="B58" s="71"/>
      <c r="C58"/>
      <c r="D58"/>
    </row>
    <row r="59" spans="1:11" ht="15" customHeight="1">
      <c r="A59"/>
      <c r="B59" s="579" t="s">
        <v>2382</v>
      </c>
      <c r="C59" s="637"/>
      <c r="D59" s="580" t="s">
        <v>2384</v>
      </c>
      <c r="E59" s="577"/>
      <c r="F59" s="577"/>
      <c r="G59" s="577"/>
      <c r="H59" s="577"/>
      <c r="I59" s="577"/>
    </row>
    <row r="60" spans="1:11" ht="15" customHeight="1">
      <c r="B60" s="71" t="s">
        <v>2732</v>
      </c>
      <c r="C60" s="638" t="s">
        <v>2383</v>
      </c>
      <c r="D60" s="639" t="s">
        <v>2733</v>
      </c>
      <c r="E60" s="577"/>
      <c r="F60" s="577"/>
      <c r="G60" s="577"/>
      <c r="H60" s="577"/>
      <c r="I60" s="577"/>
    </row>
    <row r="61" spans="1:11" ht="15" customHeight="1">
      <c r="C61" s="122"/>
      <c r="D61" s="577" t="s">
        <v>2734</v>
      </c>
      <c r="E61" s="577"/>
      <c r="F61" s="577"/>
      <c r="G61" s="577"/>
      <c r="H61" s="577"/>
      <c r="I61" s="577"/>
    </row>
    <row r="62" spans="1:11" ht="22.5" customHeight="1">
      <c r="D62" s="577"/>
      <c r="E62" s="577"/>
      <c r="F62" s="577"/>
      <c r="G62" s="577"/>
      <c r="H62" s="577"/>
      <c r="I62" s="577"/>
    </row>
    <row r="63" spans="1:11" ht="15" customHeight="1">
      <c r="B63" s="71" t="s">
        <v>2349</v>
      </c>
      <c r="C63" s="576"/>
      <c r="D63" s="577" t="s">
        <v>2371</v>
      </c>
      <c r="E63" s="577"/>
      <c r="F63" s="577"/>
      <c r="G63" s="577"/>
      <c r="H63" s="577"/>
      <c r="I63" s="577"/>
    </row>
    <row r="64" spans="1:11" ht="15" customHeight="1">
      <c r="B64" s="71"/>
      <c r="C64"/>
      <c r="D64" s="589" t="s">
        <v>2735</v>
      </c>
      <c r="E64" s="577"/>
      <c r="F64" s="577"/>
      <c r="G64" s="577"/>
      <c r="H64" s="577"/>
      <c r="I64" s="577"/>
    </row>
    <row r="65" spans="2:9" ht="15" customHeight="1">
      <c r="B65" s="71"/>
      <c r="C65"/>
      <c r="D65" s="590" t="s">
        <v>2381</v>
      </c>
      <c r="E65" s="577"/>
      <c r="F65" s="577"/>
      <c r="G65" s="577"/>
      <c r="H65" s="577"/>
      <c r="I65" s="577"/>
    </row>
    <row r="66" spans="2:9" ht="15" customHeight="1">
      <c r="B66" s="71"/>
      <c r="C66"/>
      <c r="D66" s="589"/>
      <c r="E66" s="577"/>
      <c r="F66" s="577"/>
      <c r="G66" s="577"/>
      <c r="H66" s="577"/>
      <c r="I66" s="577"/>
    </row>
    <row r="67" spans="2:9" ht="15" customHeight="1">
      <c r="B67" s="71"/>
      <c r="C67" s="578" t="s">
        <v>2736</v>
      </c>
      <c r="D67" s="577" t="s">
        <v>2350</v>
      </c>
      <c r="E67" s="577"/>
      <c r="F67" s="577"/>
      <c r="G67" s="577"/>
      <c r="H67" s="577"/>
      <c r="I67" s="577"/>
    </row>
    <row r="68" spans="2:9" ht="22.5" customHeight="1">
      <c r="D68" s="577"/>
      <c r="E68" s="577"/>
      <c r="F68" s="577"/>
      <c r="G68" s="577"/>
      <c r="H68" s="577"/>
      <c r="I68" s="577"/>
    </row>
    <row r="69" spans="2:9" ht="15" customHeight="1">
      <c r="B69" s="71" t="s">
        <v>2826</v>
      </c>
      <c r="C69" s="8"/>
      <c r="D69" s="580" t="s">
        <v>1628</v>
      </c>
      <c r="E69" s="577"/>
      <c r="F69" s="577"/>
      <c r="G69" s="577"/>
      <c r="H69" s="577"/>
      <c r="I69" s="577"/>
    </row>
    <row r="70" spans="2:9" ht="15" customHeight="1">
      <c r="B70" s="71" t="s">
        <v>2826</v>
      </c>
      <c r="C70" s="95"/>
      <c r="D70" s="580" t="s">
        <v>1629</v>
      </c>
      <c r="E70" s="577"/>
      <c r="F70" s="577"/>
      <c r="G70" s="577"/>
      <c r="H70" s="577"/>
      <c r="I70" s="577"/>
    </row>
    <row r="71" spans="2:9" ht="15" customHeight="1">
      <c r="B71" s="71" t="s">
        <v>2826</v>
      </c>
      <c r="C71" s="72"/>
      <c r="D71" s="580" t="s">
        <v>1630</v>
      </c>
      <c r="E71" s="577"/>
      <c r="F71" s="577"/>
      <c r="G71" s="577"/>
      <c r="H71" s="577"/>
      <c r="I71" s="577"/>
    </row>
    <row r="72" spans="2:9" ht="15" customHeight="1">
      <c r="D72" s="577"/>
      <c r="E72" s="577"/>
      <c r="F72" s="577"/>
      <c r="G72" s="577"/>
      <c r="H72" s="577"/>
      <c r="I72" s="577"/>
    </row>
    <row r="73" spans="2:9" ht="15" customHeight="1"/>
    <row r="74" spans="2:9" ht="19.5" customHeight="1">
      <c r="B74" s="541" t="s">
        <v>2366</v>
      </c>
      <c r="C74" s="575"/>
      <c r="D74" s="575"/>
      <c r="E74" s="575"/>
      <c r="F74" s="575"/>
      <c r="G74" s="575"/>
    </row>
    <row r="75" spans="2:9" ht="18.600000000000001" customHeight="1">
      <c r="B75" s="541" t="s">
        <v>2827</v>
      </c>
      <c r="C75" s="575"/>
      <c r="D75" s="575"/>
      <c r="E75" s="575"/>
      <c r="F75" s="575"/>
      <c r="G75" s="575"/>
    </row>
    <row r="76" spans="2:9" ht="18" customHeight="1">
      <c r="B76" s="588" t="s">
        <v>2365</v>
      </c>
      <c r="C76" s="575" t="s">
        <v>4526</v>
      </c>
      <c r="D76" s="575"/>
      <c r="E76" s="575"/>
      <c r="F76" s="575"/>
      <c r="G76" s="575"/>
    </row>
    <row r="77" spans="2:9" ht="18" customHeight="1">
      <c r="B77" s="575"/>
      <c r="C77" s="575" t="s">
        <v>2737</v>
      </c>
      <c r="D77" s="575"/>
      <c r="E77" s="575"/>
      <c r="F77" s="575"/>
      <c r="G77" s="575"/>
    </row>
    <row r="78" spans="2:9">
      <c r="B78" s="575"/>
      <c r="C78" s="575"/>
      <c r="D78" s="575"/>
      <c r="E78" s="575"/>
      <c r="F78" s="575"/>
      <c r="G78" s="575"/>
    </row>
    <row r="79" spans="2:9">
      <c r="B79" s="575"/>
      <c r="C79" s="575"/>
      <c r="D79" s="575"/>
      <c r="E79" s="575"/>
      <c r="F79" s="575"/>
      <c r="G79" s="575"/>
    </row>
  </sheetData>
  <sheetProtection algorithmName="SHA-512" hashValue="K+1HGqTdRwJ2BeBfl5f7758jARPAg2LJwtpqWPye+U6xMDMvIGYfoM7FJRzUX0TW4YGaY712jCfWLy8BWSp60Q==" saltValue="G9s+LwpKgJ6tA6s8g/0ZRw==" spinCount="100000" sheet="1" objects="1" scenarios="1"/>
  <mergeCells count="31">
    <mergeCell ref="C44:D44"/>
    <mergeCell ref="E41:G41"/>
    <mergeCell ref="F24:F25"/>
    <mergeCell ref="F26:F31"/>
    <mergeCell ref="C41:D41"/>
    <mergeCell ref="C42:D42"/>
    <mergeCell ref="C43:D43"/>
    <mergeCell ref="E42:G42"/>
    <mergeCell ref="E43:G43"/>
    <mergeCell ref="E44:G44"/>
    <mergeCell ref="B6:J7"/>
    <mergeCell ref="B10:J10"/>
    <mergeCell ref="B11:G12"/>
    <mergeCell ref="B22:B23"/>
    <mergeCell ref="C22:C23"/>
    <mergeCell ref="F22:F23"/>
    <mergeCell ref="D22:E22"/>
    <mergeCell ref="C48:D48"/>
    <mergeCell ref="C49:D49"/>
    <mergeCell ref="E45:G45"/>
    <mergeCell ref="E46:G46"/>
    <mergeCell ref="C51:D51"/>
    <mergeCell ref="E51:G51"/>
    <mergeCell ref="C45:D45"/>
    <mergeCell ref="E49:G49"/>
    <mergeCell ref="C50:D50"/>
    <mergeCell ref="E50:G50"/>
    <mergeCell ref="C46:D46"/>
    <mergeCell ref="C47:D47"/>
    <mergeCell ref="E47:G47"/>
    <mergeCell ref="E48:G48"/>
  </mergeCells>
  <phoneticPr fontId="15"/>
  <pageMargins left="0.78740157480314965" right="0.39370078740157483" top="0.59055118110236227" bottom="0.59055118110236227" header="0.39370078740157483" footer="0.39370078740157483"/>
  <headerFooter alignWithMargins="0">
    <oddHeader>&amp;A</oddHeader>
  </headerFooter>
  <rowBreaks count="1" manualBreakCount="1">
    <brk id="37"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249977111117893"/>
    <pageSetUpPr fitToPage="1"/>
  </sheetPr>
  <dimension ref="A1:GU124"/>
  <sheetViews>
    <sheetView zoomScale="85" zoomScaleNormal="85" workbookViewId="0">
      <pane xSplit="2" ySplit="3" topLeftCell="C4" activePane="bottomRight" state="frozen"/>
      <selection activeCell="C4" sqref="C4:C10"/>
      <selection pane="topRight" activeCell="C4" sqref="C4:C10"/>
      <selection pane="bottomLeft" activeCell="C4" sqref="C4:C10"/>
      <selection pane="bottomRight" activeCell="C4" sqref="C4:C10"/>
    </sheetView>
  </sheetViews>
  <sheetFormatPr defaultColWidth="16.625" defaultRowHeight="13.5"/>
  <cols>
    <col min="1" max="1" width="5.875" style="4" customWidth="1"/>
    <col min="2" max="13" width="15.625" style="4" customWidth="1"/>
    <col min="14" max="203" width="3.625" style="4" customWidth="1"/>
    <col min="204" max="16384" width="16.625" style="4"/>
  </cols>
  <sheetData>
    <row r="1" spans="1:203" ht="20.25" customHeight="1">
      <c r="A1" s="99"/>
      <c r="B1" s="100"/>
      <c r="C1" s="100"/>
      <c r="D1" s="100"/>
      <c r="E1" s="100"/>
      <c r="F1" s="101"/>
      <c r="G1" s="100"/>
      <c r="H1" s="101"/>
      <c r="I1" s="100"/>
      <c r="J1" s="101"/>
      <c r="K1" s="100"/>
      <c r="L1" s="101"/>
      <c r="M1" s="100"/>
      <c r="N1" s="101"/>
      <c r="O1" s="100"/>
      <c r="P1" s="101"/>
      <c r="Q1" s="100"/>
      <c r="R1" s="101"/>
      <c r="S1" s="100"/>
      <c r="T1" s="101"/>
      <c r="U1" s="100"/>
      <c r="V1" s="101"/>
      <c r="W1" s="100"/>
      <c r="X1" s="101"/>
      <c r="Y1" s="100"/>
      <c r="Z1" s="101"/>
      <c r="AA1" s="100"/>
      <c r="AB1" s="101"/>
      <c r="AC1" s="100"/>
      <c r="AD1" s="101"/>
      <c r="AE1" s="100"/>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c r="GU1" s="101"/>
    </row>
    <row r="2" spans="1:203" ht="18" thickBot="1">
      <c r="A2" s="102" t="s">
        <v>1617</v>
      </c>
      <c r="B2" s="100"/>
      <c r="C2" s="100"/>
      <c r="D2" s="369" t="s">
        <v>2334</v>
      </c>
      <c r="E2" s="677">
        <f>車両台帳!W49</f>
        <v>0</v>
      </c>
      <c r="F2" s="370" t="s">
        <v>2333</v>
      </c>
      <c r="G2" s="101"/>
      <c r="H2" s="100"/>
      <c r="I2" s="101"/>
      <c r="J2" s="100"/>
      <c r="K2" s="101"/>
      <c r="L2" s="100"/>
      <c r="M2" s="101"/>
      <c r="N2" s="100"/>
      <c r="O2" s="101"/>
      <c r="P2" s="100"/>
      <c r="Q2" s="101"/>
      <c r="R2" s="100"/>
      <c r="S2" s="101"/>
      <c r="T2" s="100"/>
      <c r="U2" s="101"/>
      <c r="V2" s="100"/>
      <c r="W2" s="101"/>
      <c r="X2" s="100"/>
      <c r="Y2" s="101"/>
      <c r="Z2" s="100"/>
      <c r="AA2" s="101"/>
      <c r="AB2" s="100"/>
      <c r="AC2" s="101"/>
      <c r="AD2" s="100"/>
      <c r="AE2" s="101"/>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c r="FB2" s="100"/>
      <c r="FC2" s="100"/>
      <c r="FD2" s="100"/>
      <c r="FE2" s="100"/>
      <c r="FF2" s="100"/>
      <c r="FG2" s="100"/>
      <c r="FH2" s="100"/>
      <c r="FI2" s="100"/>
      <c r="FJ2" s="100"/>
      <c r="FK2" s="100"/>
      <c r="FL2" s="100"/>
      <c r="FM2" s="100"/>
      <c r="FN2" s="100"/>
      <c r="FO2" s="100"/>
      <c r="FP2" s="100"/>
      <c r="FQ2" s="100"/>
      <c r="FR2" s="100"/>
      <c r="FS2" s="100"/>
      <c r="FT2" s="100"/>
      <c r="FU2" s="100"/>
      <c r="FV2" s="100"/>
      <c r="FW2" s="100"/>
      <c r="FX2" s="100"/>
      <c r="FY2" s="100"/>
      <c r="FZ2" s="100"/>
      <c r="GA2" s="100"/>
      <c r="GB2" s="100"/>
      <c r="GC2" s="100"/>
      <c r="GD2" s="100"/>
      <c r="GE2" s="100"/>
      <c r="GF2" s="100"/>
      <c r="GG2" s="100"/>
      <c r="GH2" s="100"/>
      <c r="GI2" s="100"/>
      <c r="GJ2" s="100"/>
      <c r="GK2" s="100"/>
      <c r="GL2" s="100"/>
      <c r="GM2" s="100"/>
      <c r="GN2" s="100"/>
      <c r="GO2" s="100"/>
      <c r="GP2" s="100"/>
      <c r="GQ2" s="100"/>
      <c r="GR2" s="100"/>
      <c r="GS2" s="100"/>
      <c r="GT2" s="100"/>
      <c r="GU2" s="100"/>
    </row>
    <row r="3" spans="1:203" s="7" customFormat="1" ht="12">
      <c r="A3" s="1194" t="s">
        <v>2374</v>
      </c>
      <c r="B3" s="1195"/>
      <c r="C3" s="103" t="s">
        <v>1796</v>
      </c>
      <c r="D3" s="104">
        <v>1</v>
      </c>
      <c r="E3" s="105">
        <v>2</v>
      </c>
      <c r="F3" s="105">
        <v>3</v>
      </c>
      <c r="G3" s="105">
        <v>4</v>
      </c>
      <c r="H3" s="105">
        <v>5</v>
      </c>
      <c r="I3" s="105">
        <v>6</v>
      </c>
      <c r="J3" s="105">
        <v>7</v>
      </c>
      <c r="K3" s="105">
        <v>8</v>
      </c>
      <c r="L3" s="105">
        <v>9</v>
      </c>
      <c r="M3" s="105">
        <v>10</v>
      </c>
      <c r="N3" s="105">
        <v>11</v>
      </c>
      <c r="O3" s="105">
        <v>12</v>
      </c>
      <c r="P3" s="105">
        <v>13</v>
      </c>
      <c r="Q3" s="105">
        <v>14</v>
      </c>
      <c r="R3" s="105">
        <v>15</v>
      </c>
      <c r="S3" s="105">
        <v>16</v>
      </c>
      <c r="T3" s="105">
        <v>17</v>
      </c>
      <c r="U3" s="105">
        <v>18</v>
      </c>
      <c r="V3" s="105">
        <v>19</v>
      </c>
      <c r="W3" s="105">
        <v>20</v>
      </c>
      <c r="X3" s="105">
        <v>21</v>
      </c>
      <c r="Y3" s="105">
        <v>22</v>
      </c>
      <c r="Z3" s="105">
        <v>23</v>
      </c>
      <c r="AA3" s="105">
        <v>24</v>
      </c>
      <c r="AB3" s="105">
        <v>25</v>
      </c>
      <c r="AC3" s="105">
        <v>26</v>
      </c>
      <c r="AD3" s="105">
        <v>27</v>
      </c>
      <c r="AE3" s="105">
        <v>28</v>
      </c>
      <c r="AF3" s="105">
        <v>29</v>
      </c>
      <c r="AG3" s="105">
        <v>30</v>
      </c>
      <c r="AH3" s="105">
        <v>31</v>
      </c>
      <c r="AI3" s="105">
        <v>32</v>
      </c>
      <c r="AJ3" s="105">
        <v>33</v>
      </c>
      <c r="AK3" s="105">
        <v>34</v>
      </c>
      <c r="AL3" s="105">
        <v>35</v>
      </c>
      <c r="AM3" s="105">
        <v>36</v>
      </c>
      <c r="AN3" s="105">
        <v>37</v>
      </c>
      <c r="AO3" s="105">
        <v>38</v>
      </c>
      <c r="AP3" s="105">
        <v>39</v>
      </c>
      <c r="AQ3" s="105">
        <v>40</v>
      </c>
      <c r="AR3" s="105">
        <v>41</v>
      </c>
      <c r="AS3" s="105">
        <v>42</v>
      </c>
      <c r="AT3" s="105">
        <v>43</v>
      </c>
      <c r="AU3" s="105">
        <v>44</v>
      </c>
      <c r="AV3" s="105">
        <v>45</v>
      </c>
      <c r="AW3" s="105">
        <v>46</v>
      </c>
      <c r="AX3" s="105">
        <v>47</v>
      </c>
      <c r="AY3" s="105">
        <v>48</v>
      </c>
      <c r="AZ3" s="105">
        <v>49</v>
      </c>
      <c r="BA3" s="105">
        <v>50</v>
      </c>
      <c r="BB3" s="105">
        <v>51</v>
      </c>
      <c r="BC3" s="105">
        <v>52</v>
      </c>
      <c r="BD3" s="105">
        <v>53</v>
      </c>
      <c r="BE3" s="105">
        <v>54</v>
      </c>
      <c r="BF3" s="105">
        <v>55</v>
      </c>
      <c r="BG3" s="105">
        <v>56</v>
      </c>
      <c r="BH3" s="105">
        <v>57</v>
      </c>
      <c r="BI3" s="105">
        <v>58</v>
      </c>
      <c r="BJ3" s="105">
        <v>59</v>
      </c>
      <c r="BK3" s="105">
        <v>60</v>
      </c>
      <c r="BL3" s="105">
        <v>61</v>
      </c>
      <c r="BM3" s="105">
        <v>62</v>
      </c>
      <c r="BN3" s="105">
        <v>63</v>
      </c>
      <c r="BO3" s="105">
        <v>64</v>
      </c>
      <c r="BP3" s="105">
        <v>65</v>
      </c>
      <c r="BQ3" s="105">
        <v>66</v>
      </c>
      <c r="BR3" s="105">
        <v>67</v>
      </c>
      <c r="BS3" s="105">
        <v>68</v>
      </c>
      <c r="BT3" s="105">
        <v>69</v>
      </c>
      <c r="BU3" s="105">
        <v>70</v>
      </c>
      <c r="BV3" s="105">
        <v>71</v>
      </c>
      <c r="BW3" s="105">
        <v>72</v>
      </c>
      <c r="BX3" s="105">
        <v>73</v>
      </c>
      <c r="BY3" s="105">
        <v>74</v>
      </c>
      <c r="BZ3" s="105">
        <v>75</v>
      </c>
      <c r="CA3" s="105">
        <v>76</v>
      </c>
      <c r="CB3" s="105">
        <v>77</v>
      </c>
      <c r="CC3" s="105">
        <v>78</v>
      </c>
      <c r="CD3" s="105">
        <v>79</v>
      </c>
      <c r="CE3" s="105">
        <v>80</v>
      </c>
      <c r="CF3" s="105">
        <v>81</v>
      </c>
      <c r="CG3" s="105">
        <v>82</v>
      </c>
      <c r="CH3" s="105">
        <v>83</v>
      </c>
      <c r="CI3" s="105">
        <v>84</v>
      </c>
      <c r="CJ3" s="105">
        <v>85</v>
      </c>
      <c r="CK3" s="105">
        <v>86</v>
      </c>
      <c r="CL3" s="105">
        <v>87</v>
      </c>
      <c r="CM3" s="105">
        <v>88</v>
      </c>
      <c r="CN3" s="105">
        <v>89</v>
      </c>
      <c r="CO3" s="105">
        <v>90</v>
      </c>
      <c r="CP3" s="105">
        <v>91</v>
      </c>
      <c r="CQ3" s="105">
        <v>92</v>
      </c>
      <c r="CR3" s="105">
        <v>93</v>
      </c>
      <c r="CS3" s="105">
        <v>94</v>
      </c>
      <c r="CT3" s="105">
        <v>95</v>
      </c>
      <c r="CU3" s="105">
        <v>96</v>
      </c>
      <c r="CV3" s="105">
        <v>97</v>
      </c>
      <c r="CW3" s="105">
        <v>98</v>
      </c>
      <c r="CX3" s="105">
        <v>99</v>
      </c>
      <c r="CY3" s="105">
        <v>100</v>
      </c>
      <c r="CZ3" s="105">
        <v>101</v>
      </c>
      <c r="DA3" s="105">
        <v>102</v>
      </c>
      <c r="DB3" s="105">
        <v>103</v>
      </c>
      <c r="DC3" s="105">
        <v>104</v>
      </c>
      <c r="DD3" s="105">
        <v>105</v>
      </c>
      <c r="DE3" s="105">
        <v>106</v>
      </c>
      <c r="DF3" s="105">
        <v>107</v>
      </c>
      <c r="DG3" s="105">
        <v>108</v>
      </c>
      <c r="DH3" s="105">
        <v>109</v>
      </c>
      <c r="DI3" s="105">
        <v>110</v>
      </c>
      <c r="DJ3" s="105">
        <v>111</v>
      </c>
      <c r="DK3" s="105">
        <v>112</v>
      </c>
      <c r="DL3" s="105">
        <v>113</v>
      </c>
      <c r="DM3" s="105">
        <v>114</v>
      </c>
      <c r="DN3" s="105">
        <v>115</v>
      </c>
      <c r="DO3" s="105">
        <v>116</v>
      </c>
      <c r="DP3" s="105">
        <v>117</v>
      </c>
      <c r="DQ3" s="105">
        <v>118</v>
      </c>
      <c r="DR3" s="105">
        <v>119</v>
      </c>
      <c r="DS3" s="105">
        <v>120</v>
      </c>
      <c r="DT3" s="105">
        <v>121</v>
      </c>
      <c r="DU3" s="105">
        <v>122</v>
      </c>
      <c r="DV3" s="105">
        <v>123</v>
      </c>
      <c r="DW3" s="105">
        <v>124</v>
      </c>
      <c r="DX3" s="105">
        <v>125</v>
      </c>
      <c r="DY3" s="105">
        <v>126</v>
      </c>
      <c r="DZ3" s="105">
        <v>127</v>
      </c>
      <c r="EA3" s="105">
        <v>128</v>
      </c>
      <c r="EB3" s="105">
        <v>129</v>
      </c>
      <c r="EC3" s="105">
        <v>130</v>
      </c>
      <c r="ED3" s="105">
        <v>131</v>
      </c>
      <c r="EE3" s="105">
        <v>132</v>
      </c>
      <c r="EF3" s="105">
        <v>133</v>
      </c>
      <c r="EG3" s="105">
        <v>134</v>
      </c>
      <c r="EH3" s="105">
        <v>135</v>
      </c>
      <c r="EI3" s="105">
        <v>136</v>
      </c>
      <c r="EJ3" s="105">
        <v>137</v>
      </c>
      <c r="EK3" s="105">
        <v>138</v>
      </c>
      <c r="EL3" s="105">
        <v>139</v>
      </c>
      <c r="EM3" s="105">
        <v>140</v>
      </c>
      <c r="EN3" s="105">
        <v>141</v>
      </c>
      <c r="EO3" s="105">
        <v>142</v>
      </c>
      <c r="EP3" s="105">
        <v>143</v>
      </c>
      <c r="EQ3" s="105">
        <v>144</v>
      </c>
      <c r="ER3" s="105">
        <v>145</v>
      </c>
      <c r="ES3" s="105">
        <v>146</v>
      </c>
      <c r="ET3" s="105">
        <v>147</v>
      </c>
      <c r="EU3" s="105">
        <v>148</v>
      </c>
      <c r="EV3" s="105">
        <v>149</v>
      </c>
      <c r="EW3" s="105">
        <v>150</v>
      </c>
      <c r="EX3" s="105">
        <v>151</v>
      </c>
      <c r="EY3" s="105">
        <v>152</v>
      </c>
      <c r="EZ3" s="105">
        <v>153</v>
      </c>
      <c r="FA3" s="105">
        <v>154</v>
      </c>
      <c r="FB3" s="105">
        <v>155</v>
      </c>
      <c r="FC3" s="105">
        <v>156</v>
      </c>
      <c r="FD3" s="105">
        <v>157</v>
      </c>
      <c r="FE3" s="105">
        <v>158</v>
      </c>
      <c r="FF3" s="105">
        <v>159</v>
      </c>
      <c r="FG3" s="105">
        <v>160</v>
      </c>
      <c r="FH3" s="105">
        <v>161</v>
      </c>
      <c r="FI3" s="105">
        <v>162</v>
      </c>
      <c r="FJ3" s="105">
        <v>163</v>
      </c>
      <c r="FK3" s="105">
        <v>164</v>
      </c>
      <c r="FL3" s="105">
        <v>165</v>
      </c>
      <c r="FM3" s="105">
        <v>166</v>
      </c>
      <c r="FN3" s="105">
        <v>167</v>
      </c>
      <c r="FO3" s="105">
        <v>168</v>
      </c>
      <c r="FP3" s="105">
        <v>169</v>
      </c>
      <c r="FQ3" s="105">
        <v>170</v>
      </c>
      <c r="FR3" s="105">
        <v>171</v>
      </c>
      <c r="FS3" s="105">
        <v>172</v>
      </c>
      <c r="FT3" s="105">
        <v>173</v>
      </c>
      <c r="FU3" s="105">
        <v>174</v>
      </c>
      <c r="FV3" s="105">
        <v>175</v>
      </c>
      <c r="FW3" s="105">
        <v>176</v>
      </c>
      <c r="FX3" s="105">
        <v>177</v>
      </c>
      <c r="FY3" s="105">
        <v>178</v>
      </c>
      <c r="FZ3" s="105">
        <v>179</v>
      </c>
      <c r="GA3" s="105">
        <v>180</v>
      </c>
      <c r="GB3" s="105">
        <v>181</v>
      </c>
      <c r="GC3" s="105">
        <v>182</v>
      </c>
      <c r="GD3" s="105">
        <v>183</v>
      </c>
      <c r="GE3" s="105">
        <v>184</v>
      </c>
      <c r="GF3" s="105">
        <v>185</v>
      </c>
      <c r="GG3" s="105">
        <v>186</v>
      </c>
      <c r="GH3" s="105">
        <v>187</v>
      </c>
      <c r="GI3" s="105">
        <v>188</v>
      </c>
      <c r="GJ3" s="105">
        <v>189</v>
      </c>
      <c r="GK3" s="105">
        <v>190</v>
      </c>
      <c r="GL3" s="105">
        <v>191</v>
      </c>
      <c r="GM3" s="105">
        <v>192</v>
      </c>
      <c r="GN3" s="105">
        <v>193</v>
      </c>
      <c r="GO3" s="105">
        <v>194</v>
      </c>
      <c r="GP3" s="105">
        <v>195</v>
      </c>
      <c r="GQ3" s="105">
        <v>196</v>
      </c>
      <c r="GR3" s="105">
        <v>197</v>
      </c>
      <c r="GS3" s="105">
        <v>198</v>
      </c>
      <c r="GT3" s="105">
        <v>199</v>
      </c>
      <c r="GU3" s="106">
        <v>200</v>
      </c>
    </row>
    <row r="4" spans="1:203" s="7" customFormat="1" ht="33.75" customHeight="1">
      <c r="A4" s="1196" t="s">
        <v>2375</v>
      </c>
      <c r="B4" s="1197"/>
      <c r="C4" s="716"/>
      <c r="D4" s="717">
        <f>IF(INDEX(事業所台帳!$B$4:$F$203,D3,1)="","",INDEX(事業所台帳!$B$4:$F$203,D3,1))</f>
        <v>0</v>
      </c>
      <c r="E4" s="717" t="str">
        <f>IF(INDEX(事業所台帳!$B$4:$F$203,E3,1)="","",INDEX(事業所台帳!$B$4:$F$203,E3,1))</f>
        <v/>
      </c>
      <c r="F4" s="717" t="str">
        <f>IF(INDEX(事業所台帳!$B$4:$F$203,F3,1)="","",INDEX(事業所台帳!$B$4:$F$203,F3,1))</f>
        <v/>
      </c>
      <c r="G4" s="717" t="str">
        <f>IF(INDEX(事業所台帳!$B$4:$F$203,G3,1)="","",INDEX(事業所台帳!$B$4:$F$203,G3,1))</f>
        <v/>
      </c>
      <c r="H4" s="717" t="str">
        <f>IF(INDEX(事業所台帳!$B$4:$F$203,H3,1)="","",INDEX(事業所台帳!$B$4:$F$203,H3,1))</f>
        <v/>
      </c>
      <c r="I4" s="717" t="str">
        <f>IF(INDEX(事業所台帳!$B$4:$F$203,I3,1)="","",INDEX(事業所台帳!$B$4:$F$203,I3,1))</f>
        <v/>
      </c>
      <c r="J4" s="717" t="str">
        <f>IF(INDEX(事業所台帳!$B$4:$F$203,J3,1)="","",INDEX(事業所台帳!$B$4:$F$203,J3,1))</f>
        <v/>
      </c>
      <c r="K4" s="717" t="str">
        <f>IF(INDEX(事業所台帳!$B$4:$F$203,K3,1)="","",INDEX(事業所台帳!$B$4:$F$203,K3,1))</f>
        <v/>
      </c>
      <c r="L4" s="717" t="str">
        <f>IF(INDEX(事業所台帳!$B$4:$F$203,L3,1)="","",INDEX(事業所台帳!$B$4:$F$203,L3,1))</f>
        <v/>
      </c>
      <c r="M4" s="717" t="str">
        <f>IF(INDEX(事業所台帳!$B$4:$F$203,M3,1)="","",INDEX(事業所台帳!$B$4:$F$203,M3,1))</f>
        <v/>
      </c>
      <c r="N4" s="717" t="str">
        <f>IF(INDEX(事業所台帳!$B$4:$F$203,N3,1)="","",INDEX(事業所台帳!$B$4:$F$203,N3,1))</f>
        <v/>
      </c>
      <c r="O4" s="717" t="str">
        <f>IF(INDEX(事業所台帳!$B$4:$F$203,O3,1)="","",INDEX(事業所台帳!$B$4:$F$203,O3,1))</f>
        <v/>
      </c>
      <c r="P4" s="717" t="str">
        <f>IF(INDEX(事業所台帳!$B$4:$F$203,P3,1)="","",INDEX(事業所台帳!$B$4:$F$203,P3,1))</f>
        <v/>
      </c>
      <c r="Q4" s="717" t="str">
        <f>IF(INDEX(事業所台帳!$B$4:$F$203,Q3,1)="","",INDEX(事業所台帳!$B$4:$F$203,Q3,1))</f>
        <v/>
      </c>
      <c r="R4" s="717" t="str">
        <f>IF(INDEX(事業所台帳!$B$4:$F$203,R3,1)="","",INDEX(事業所台帳!$B$4:$F$203,R3,1))</f>
        <v/>
      </c>
      <c r="S4" s="717" t="str">
        <f>IF(INDEX(事業所台帳!$B$4:$F$203,S3,1)="","",INDEX(事業所台帳!$B$4:$F$203,S3,1))</f>
        <v/>
      </c>
      <c r="T4" s="717" t="str">
        <f>IF(INDEX(事業所台帳!$B$4:$F$203,T3,1)="","",INDEX(事業所台帳!$B$4:$F$203,T3,1))</f>
        <v/>
      </c>
      <c r="U4" s="717" t="str">
        <f>IF(INDEX(事業所台帳!$B$4:$F$203,U3,1)="","",INDEX(事業所台帳!$B$4:$F$203,U3,1))</f>
        <v/>
      </c>
      <c r="V4" s="717" t="str">
        <f>IF(INDEX(事業所台帳!$B$4:$F$203,V3,1)="","",INDEX(事業所台帳!$B$4:$F$203,V3,1))</f>
        <v/>
      </c>
      <c r="W4" s="717" t="str">
        <f>IF(INDEX(事業所台帳!$B$4:$F$203,W3,1)="","",INDEX(事業所台帳!$B$4:$F$203,W3,1))</f>
        <v/>
      </c>
      <c r="X4" s="717" t="str">
        <f>IF(INDEX(事業所台帳!$B$4:$F$203,X3,1)="","",INDEX(事業所台帳!$B$4:$F$203,X3,1))</f>
        <v/>
      </c>
      <c r="Y4" s="717" t="str">
        <f>IF(INDEX(事業所台帳!$B$4:$F$203,Y3,1)="","",INDEX(事業所台帳!$B$4:$F$203,Y3,1))</f>
        <v/>
      </c>
      <c r="Z4" s="717" t="str">
        <f>IF(INDEX(事業所台帳!$B$4:$F$203,Z3,1)="","",INDEX(事業所台帳!$B$4:$F$203,Z3,1))</f>
        <v/>
      </c>
      <c r="AA4" s="717" t="str">
        <f>IF(INDEX(事業所台帳!$B$4:$F$203,AA3,1)="","",INDEX(事業所台帳!$B$4:$F$203,AA3,1))</f>
        <v/>
      </c>
      <c r="AB4" s="717" t="str">
        <f>IF(INDEX(事業所台帳!$B$4:$F$203,AB3,1)="","",INDEX(事業所台帳!$B$4:$F$203,AB3,1))</f>
        <v/>
      </c>
      <c r="AC4" s="717" t="str">
        <f>IF(INDEX(事業所台帳!$B$4:$F$203,AC3,1)="","",INDEX(事業所台帳!$B$4:$F$203,AC3,1))</f>
        <v/>
      </c>
      <c r="AD4" s="717" t="str">
        <f>IF(INDEX(事業所台帳!$B$4:$F$203,AD3,1)="","",INDEX(事業所台帳!$B$4:$F$203,AD3,1))</f>
        <v/>
      </c>
      <c r="AE4" s="717" t="str">
        <f>IF(INDEX(事業所台帳!$B$4:$F$203,AE3,1)="","",INDEX(事業所台帳!$B$4:$F$203,AE3,1))</f>
        <v/>
      </c>
      <c r="AF4" s="717" t="str">
        <f>IF(INDEX(事業所台帳!$B$4:$F$203,AF3,1)="","",INDEX(事業所台帳!$B$4:$F$203,AF3,1))</f>
        <v/>
      </c>
      <c r="AG4" s="717" t="str">
        <f>IF(INDEX(事業所台帳!$B$4:$F$203,AG3,1)="","",INDEX(事業所台帳!$B$4:$F$203,AG3,1))</f>
        <v/>
      </c>
      <c r="AH4" s="717" t="str">
        <f>IF(INDEX(事業所台帳!$B$4:$F$203,AH3,1)="","",INDEX(事業所台帳!$B$4:$F$203,AH3,1))</f>
        <v/>
      </c>
      <c r="AI4" s="717" t="str">
        <f>IF(INDEX(事業所台帳!$B$4:$F$203,AI3,1)="","",INDEX(事業所台帳!$B$4:$F$203,AI3,1))</f>
        <v/>
      </c>
      <c r="AJ4" s="717" t="str">
        <f>IF(INDEX(事業所台帳!$B$4:$F$203,AJ3,1)="","",INDEX(事業所台帳!$B$4:$F$203,AJ3,1))</f>
        <v/>
      </c>
      <c r="AK4" s="717" t="str">
        <f>IF(INDEX(事業所台帳!$B$4:$F$203,AK3,1)="","",INDEX(事業所台帳!$B$4:$F$203,AK3,1))</f>
        <v/>
      </c>
      <c r="AL4" s="717" t="str">
        <f>IF(INDEX(事業所台帳!$B$4:$F$203,AL3,1)="","",INDEX(事業所台帳!$B$4:$F$203,AL3,1))</f>
        <v/>
      </c>
      <c r="AM4" s="717" t="str">
        <f>IF(INDEX(事業所台帳!$B$4:$F$203,AM3,1)="","",INDEX(事業所台帳!$B$4:$F$203,AM3,1))</f>
        <v/>
      </c>
      <c r="AN4" s="717" t="str">
        <f>IF(INDEX(事業所台帳!$B$4:$F$203,AN3,1)="","",INDEX(事業所台帳!$B$4:$F$203,AN3,1))</f>
        <v/>
      </c>
      <c r="AO4" s="717" t="str">
        <f>IF(INDEX(事業所台帳!$B$4:$F$203,AO3,1)="","",INDEX(事業所台帳!$B$4:$F$203,AO3,1))</f>
        <v/>
      </c>
      <c r="AP4" s="717" t="str">
        <f>IF(INDEX(事業所台帳!$B$4:$F$203,AP3,1)="","",INDEX(事業所台帳!$B$4:$F$203,AP3,1))</f>
        <v/>
      </c>
      <c r="AQ4" s="717" t="str">
        <f>IF(INDEX(事業所台帳!$B$4:$F$203,AQ3,1)="","",INDEX(事業所台帳!$B$4:$F$203,AQ3,1))</f>
        <v/>
      </c>
      <c r="AR4" s="717" t="str">
        <f>IF(INDEX(事業所台帳!$B$4:$F$203,AR3,1)="","",INDEX(事業所台帳!$B$4:$F$203,AR3,1))</f>
        <v/>
      </c>
      <c r="AS4" s="717" t="str">
        <f>IF(INDEX(事業所台帳!$B$4:$F$203,AS3,1)="","",INDEX(事業所台帳!$B$4:$F$203,AS3,1))</f>
        <v/>
      </c>
      <c r="AT4" s="717" t="str">
        <f>IF(INDEX(事業所台帳!$B$4:$F$203,AT3,1)="","",INDEX(事業所台帳!$B$4:$F$203,AT3,1))</f>
        <v/>
      </c>
      <c r="AU4" s="717" t="str">
        <f>IF(INDEX(事業所台帳!$B$4:$F$203,AU3,1)="","",INDEX(事業所台帳!$B$4:$F$203,AU3,1))</f>
        <v/>
      </c>
      <c r="AV4" s="717" t="str">
        <f>IF(INDEX(事業所台帳!$B$4:$F$203,AV3,1)="","",INDEX(事業所台帳!$B$4:$F$203,AV3,1))</f>
        <v/>
      </c>
      <c r="AW4" s="717" t="str">
        <f>IF(INDEX(事業所台帳!$B$4:$F$203,AW3,1)="","",INDEX(事業所台帳!$B$4:$F$203,AW3,1))</f>
        <v/>
      </c>
      <c r="AX4" s="717" t="str">
        <f>IF(INDEX(事業所台帳!$B$4:$F$203,AX3,1)="","",INDEX(事業所台帳!$B$4:$F$203,AX3,1))</f>
        <v/>
      </c>
      <c r="AY4" s="717" t="str">
        <f>IF(INDEX(事業所台帳!$B$4:$F$203,AY3,1)="","",INDEX(事業所台帳!$B$4:$F$203,AY3,1))</f>
        <v/>
      </c>
      <c r="AZ4" s="717" t="str">
        <f>IF(INDEX(事業所台帳!$B$4:$F$203,AZ3,1)="","",INDEX(事業所台帳!$B$4:$F$203,AZ3,1))</f>
        <v/>
      </c>
      <c r="BA4" s="717" t="str">
        <f>IF(INDEX(事業所台帳!$B$4:$F$203,BA3,1)="","",INDEX(事業所台帳!$B$4:$F$203,BA3,1))</f>
        <v/>
      </c>
      <c r="BB4" s="717" t="str">
        <f>IF(INDEX(事業所台帳!$B$4:$F$203,BB3,1)="","",INDEX(事業所台帳!$B$4:$F$203,BB3,1))</f>
        <v/>
      </c>
      <c r="BC4" s="717" t="str">
        <f>IF(INDEX(事業所台帳!$B$4:$F$203,BC3,1)="","",INDEX(事業所台帳!$B$4:$F$203,BC3,1))</f>
        <v/>
      </c>
      <c r="BD4" s="717" t="str">
        <f>IF(INDEX(事業所台帳!$B$4:$F$203,BD3,1)="","",INDEX(事業所台帳!$B$4:$F$203,BD3,1))</f>
        <v/>
      </c>
      <c r="BE4" s="717" t="str">
        <f>IF(INDEX(事業所台帳!$B$4:$F$203,BE3,1)="","",INDEX(事業所台帳!$B$4:$F$203,BE3,1))</f>
        <v/>
      </c>
      <c r="BF4" s="717" t="str">
        <f>IF(INDEX(事業所台帳!$B$4:$F$203,BF3,1)="","",INDEX(事業所台帳!$B$4:$F$203,BF3,1))</f>
        <v/>
      </c>
      <c r="BG4" s="717" t="str">
        <f>IF(INDEX(事業所台帳!$B$4:$F$203,BG3,1)="","",INDEX(事業所台帳!$B$4:$F$203,BG3,1))</f>
        <v/>
      </c>
      <c r="BH4" s="717" t="str">
        <f>IF(INDEX(事業所台帳!$B$4:$F$203,BH3,1)="","",INDEX(事業所台帳!$B$4:$F$203,BH3,1))</f>
        <v/>
      </c>
      <c r="BI4" s="717" t="str">
        <f>IF(INDEX(事業所台帳!$B$4:$F$203,BI3,1)="","",INDEX(事業所台帳!$B$4:$F$203,BI3,1))</f>
        <v/>
      </c>
      <c r="BJ4" s="717" t="str">
        <f>IF(INDEX(事業所台帳!$B$4:$F$203,BJ3,1)="","",INDEX(事業所台帳!$B$4:$F$203,BJ3,1))</f>
        <v/>
      </c>
      <c r="BK4" s="717" t="str">
        <f>IF(INDEX(事業所台帳!$B$4:$F$203,BK3,1)="","",INDEX(事業所台帳!$B$4:$F$203,BK3,1))</f>
        <v/>
      </c>
      <c r="BL4" s="717" t="str">
        <f>IF(INDEX(事業所台帳!$B$4:$F$203,BL3,1)="","",INDEX(事業所台帳!$B$4:$F$203,BL3,1))</f>
        <v/>
      </c>
      <c r="BM4" s="717" t="str">
        <f>IF(INDEX(事業所台帳!$B$4:$F$203,BM3,1)="","",INDEX(事業所台帳!$B$4:$F$203,BM3,1))</f>
        <v/>
      </c>
      <c r="BN4" s="717" t="str">
        <f>IF(INDEX(事業所台帳!$B$4:$F$203,BN3,1)="","",INDEX(事業所台帳!$B$4:$F$203,BN3,1))</f>
        <v/>
      </c>
      <c r="BO4" s="717" t="str">
        <f>IF(INDEX(事業所台帳!$B$4:$F$203,BO3,1)="","",INDEX(事業所台帳!$B$4:$F$203,BO3,1))</f>
        <v/>
      </c>
      <c r="BP4" s="717" t="str">
        <f>IF(INDEX(事業所台帳!$B$4:$F$203,BP3,1)="","",INDEX(事業所台帳!$B$4:$F$203,BP3,1))</f>
        <v/>
      </c>
      <c r="BQ4" s="717" t="str">
        <f>IF(INDEX(事業所台帳!$B$4:$F$203,BQ3,1)="","",INDEX(事業所台帳!$B$4:$F$203,BQ3,1))</f>
        <v/>
      </c>
      <c r="BR4" s="717" t="str">
        <f>IF(INDEX(事業所台帳!$B$4:$F$203,BR3,1)="","",INDEX(事業所台帳!$B$4:$F$203,BR3,1))</f>
        <v/>
      </c>
      <c r="BS4" s="717" t="str">
        <f>IF(INDEX(事業所台帳!$B$4:$F$203,BS3,1)="","",INDEX(事業所台帳!$B$4:$F$203,BS3,1))</f>
        <v/>
      </c>
      <c r="BT4" s="717" t="str">
        <f>IF(INDEX(事業所台帳!$B$4:$F$203,BT3,1)="","",INDEX(事業所台帳!$B$4:$F$203,BT3,1))</f>
        <v/>
      </c>
      <c r="BU4" s="717" t="str">
        <f>IF(INDEX(事業所台帳!$B$4:$F$203,BU3,1)="","",INDEX(事業所台帳!$B$4:$F$203,BU3,1))</f>
        <v/>
      </c>
      <c r="BV4" s="717" t="str">
        <f>IF(INDEX(事業所台帳!$B$4:$F$203,BV3,1)="","",INDEX(事業所台帳!$B$4:$F$203,BV3,1))</f>
        <v/>
      </c>
      <c r="BW4" s="717" t="str">
        <f>IF(INDEX(事業所台帳!$B$4:$F$203,BW3,1)="","",INDEX(事業所台帳!$B$4:$F$203,BW3,1))</f>
        <v/>
      </c>
      <c r="BX4" s="717" t="str">
        <f>IF(INDEX(事業所台帳!$B$4:$F$203,BX3,1)="","",INDEX(事業所台帳!$B$4:$F$203,BX3,1))</f>
        <v/>
      </c>
      <c r="BY4" s="717" t="str">
        <f>IF(INDEX(事業所台帳!$B$4:$F$203,BY3,1)="","",INDEX(事業所台帳!$B$4:$F$203,BY3,1))</f>
        <v/>
      </c>
      <c r="BZ4" s="717" t="str">
        <f>IF(INDEX(事業所台帳!$B$4:$F$203,BZ3,1)="","",INDEX(事業所台帳!$B$4:$F$203,BZ3,1))</f>
        <v/>
      </c>
      <c r="CA4" s="717" t="str">
        <f>IF(INDEX(事業所台帳!$B$4:$F$203,CA3,1)="","",INDEX(事業所台帳!$B$4:$F$203,CA3,1))</f>
        <v/>
      </c>
      <c r="CB4" s="717" t="str">
        <f>IF(INDEX(事業所台帳!$B$4:$F$203,CB3,1)="","",INDEX(事業所台帳!$B$4:$F$203,CB3,1))</f>
        <v/>
      </c>
      <c r="CC4" s="717" t="str">
        <f>IF(INDEX(事業所台帳!$B$4:$F$203,CC3,1)="","",INDEX(事業所台帳!$B$4:$F$203,CC3,1))</f>
        <v/>
      </c>
      <c r="CD4" s="717" t="str">
        <f>IF(INDEX(事業所台帳!$B$4:$F$203,CD3,1)="","",INDEX(事業所台帳!$B$4:$F$203,CD3,1))</f>
        <v/>
      </c>
      <c r="CE4" s="717" t="str">
        <f>IF(INDEX(事業所台帳!$B$4:$F$203,CE3,1)="","",INDEX(事業所台帳!$B$4:$F$203,CE3,1))</f>
        <v/>
      </c>
      <c r="CF4" s="717" t="str">
        <f>IF(INDEX(事業所台帳!$B$4:$F$203,CF3,1)="","",INDEX(事業所台帳!$B$4:$F$203,CF3,1))</f>
        <v/>
      </c>
      <c r="CG4" s="717" t="str">
        <f>IF(INDEX(事業所台帳!$B$4:$F$203,CG3,1)="","",INDEX(事業所台帳!$B$4:$F$203,CG3,1))</f>
        <v/>
      </c>
      <c r="CH4" s="717" t="str">
        <f>IF(INDEX(事業所台帳!$B$4:$F$203,CH3,1)="","",INDEX(事業所台帳!$B$4:$F$203,CH3,1))</f>
        <v/>
      </c>
      <c r="CI4" s="717" t="str">
        <f>IF(INDEX(事業所台帳!$B$4:$F$203,CI3,1)="","",INDEX(事業所台帳!$B$4:$F$203,CI3,1))</f>
        <v/>
      </c>
      <c r="CJ4" s="717" t="str">
        <f>IF(INDEX(事業所台帳!$B$4:$F$203,CJ3,1)="","",INDEX(事業所台帳!$B$4:$F$203,CJ3,1))</f>
        <v/>
      </c>
      <c r="CK4" s="717" t="str">
        <f>IF(INDEX(事業所台帳!$B$4:$F$203,CK3,1)="","",INDEX(事業所台帳!$B$4:$F$203,CK3,1))</f>
        <v/>
      </c>
      <c r="CL4" s="717" t="str">
        <f>IF(INDEX(事業所台帳!$B$4:$F$203,CL3,1)="","",INDEX(事業所台帳!$B$4:$F$203,CL3,1))</f>
        <v/>
      </c>
      <c r="CM4" s="717" t="str">
        <f>IF(INDEX(事業所台帳!$B$4:$F$203,CM3,1)="","",INDEX(事業所台帳!$B$4:$F$203,CM3,1))</f>
        <v/>
      </c>
      <c r="CN4" s="717" t="str">
        <f>IF(INDEX(事業所台帳!$B$4:$F$203,CN3,1)="","",INDEX(事業所台帳!$B$4:$F$203,CN3,1))</f>
        <v/>
      </c>
      <c r="CO4" s="717" t="str">
        <f>IF(INDEX(事業所台帳!$B$4:$F$203,CO3,1)="","",INDEX(事業所台帳!$B$4:$F$203,CO3,1))</f>
        <v/>
      </c>
      <c r="CP4" s="717" t="str">
        <f>IF(INDEX(事業所台帳!$B$4:$F$203,CP3,1)="","",INDEX(事業所台帳!$B$4:$F$203,CP3,1))</f>
        <v/>
      </c>
      <c r="CQ4" s="717" t="str">
        <f>IF(INDEX(事業所台帳!$B$4:$F$203,CQ3,1)="","",INDEX(事業所台帳!$B$4:$F$203,CQ3,1))</f>
        <v/>
      </c>
      <c r="CR4" s="717" t="str">
        <f>IF(INDEX(事業所台帳!$B$4:$F$203,CR3,1)="","",INDEX(事業所台帳!$B$4:$F$203,CR3,1))</f>
        <v/>
      </c>
      <c r="CS4" s="717" t="str">
        <f>IF(INDEX(事業所台帳!$B$4:$F$203,CS3,1)="","",INDEX(事業所台帳!$B$4:$F$203,CS3,1))</f>
        <v/>
      </c>
      <c r="CT4" s="717" t="str">
        <f>IF(INDEX(事業所台帳!$B$4:$F$203,CT3,1)="","",INDEX(事業所台帳!$B$4:$F$203,CT3,1))</f>
        <v/>
      </c>
      <c r="CU4" s="717" t="str">
        <f>IF(INDEX(事業所台帳!$B$4:$F$203,CU3,1)="","",INDEX(事業所台帳!$B$4:$F$203,CU3,1))</f>
        <v/>
      </c>
      <c r="CV4" s="717" t="str">
        <f>IF(INDEX(事業所台帳!$B$4:$F$203,CV3,1)="","",INDEX(事業所台帳!$B$4:$F$203,CV3,1))</f>
        <v/>
      </c>
      <c r="CW4" s="717" t="str">
        <f>IF(INDEX(事業所台帳!$B$4:$F$203,CW3,1)="","",INDEX(事業所台帳!$B$4:$F$203,CW3,1))</f>
        <v/>
      </c>
      <c r="CX4" s="717" t="str">
        <f>IF(INDEX(事業所台帳!$B$4:$F$203,CX3,1)="","",INDEX(事業所台帳!$B$4:$F$203,CX3,1))</f>
        <v/>
      </c>
      <c r="CY4" s="717" t="str">
        <f>IF(INDEX(事業所台帳!$B$4:$F$203,CY3,1)="","",INDEX(事業所台帳!$B$4:$F$203,CY3,1))</f>
        <v/>
      </c>
      <c r="CZ4" s="717" t="str">
        <f>IF(INDEX(事業所台帳!$B$4:$F$203,CZ3,1)="","",INDEX(事業所台帳!$B$4:$F$203,CZ3,1))</f>
        <v/>
      </c>
      <c r="DA4" s="717" t="str">
        <f>IF(INDEX(事業所台帳!$B$4:$F$203,DA3,1)="","",INDEX(事業所台帳!$B$4:$F$203,DA3,1))</f>
        <v/>
      </c>
      <c r="DB4" s="717" t="str">
        <f>IF(INDEX(事業所台帳!$B$4:$F$203,DB3,1)="","",INDEX(事業所台帳!$B$4:$F$203,DB3,1))</f>
        <v/>
      </c>
      <c r="DC4" s="717" t="str">
        <f>IF(INDEX(事業所台帳!$B$4:$F$203,DC3,1)="","",INDEX(事業所台帳!$B$4:$F$203,DC3,1))</f>
        <v/>
      </c>
      <c r="DD4" s="717" t="str">
        <f>IF(INDEX(事業所台帳!$B$4:$F$203,DD3,1)="","",INDEX(事業所台帳!$B$4:$F$203,DD3,1))</f>
        <v/>
      </c>
      <c r="DE4" s="717" t="str">
        <f>IF(INDEX(事業所台帳!$B$4:$F$203,DE3,1)="","",INDEX(事業所台帳!$B$4:$F$203,DE3,1))</f>
        <v/>
      </c>
      <c r="DF4" s="717" t="str">
        <f>IF(INDEX(事業所台帳!$B$4:$F$203,DF3,1)="","",INDEX(事業所台帳!$B$4:$F$203,DF3,1))</f>
        <v/>
      </c>
      <c r="DG4" s="717" t="str">
        <f>IF(INDEX(事業所台帳!$B$4:$F$203,DG3,1)="","",INDEX(事業所台帳!$B$4:$F$203,DG3,1))</f>
        <v/>
      </c>
      <c r="DH4" s="717" t="str">
        <f>IF(INDEX(事業所台帳!$B$4:$F$203,DH3,1)="","",INDEX(事業所台帳!$B$4:$F$203,DH3,1))</f>
        <v/>
      </c>
      <c r="DI4" s="717" t="str">
        <f>IF(INDEX(事業所台帳!$B$4:$F$203,DI3,1)="","",INDEX(事業所台帳!$B$4:$F$203,DI3,1))</f>
        <v/>
      </c>
      <c r="DJ4" s="717" t="str">
        <f>IF(INDEX(事業所台帳!$B$4:$F$203,DJ3,1)="","",INDEX(事業所台帳!$B$4:$F$203,DJ3,1))</f>
        <v/>
      </c>
      <c r="DK4" s="717" t="str">
        <f>IF(INDEX(事業所台帳!$B$4:$F$203,DK3,1)="","",INDEX(事業所台帳!$B$4:$F$203,DK3,1))</f>
        <v/>
      </c>
      <c r="DL4" s="717" t="str">
        <f>IF(INDEX(事業所台帳!$B$4:$F$203,DL3,1)="","",INDEX(事業所台帳!$B$4:$F$203,DL3,1))</f>
        <v/>
      </c>
      <c r="DM4" s="717" t="str">
        <f>IF(INDEX(事業所台帳!$B$4:$F$203,DM3,1)="","",INDEX(事業所台帳!$B$4:$F$203,DM3,1))</f>
        <v/>
      </c>
      <c r="DN4" s="717" t="str">
        <f>IF(INDEX(事業所台帳!$B$4:$F$203,DN3,1)="","",INDEX(事業所台帳!$B$4:$F$203,DN3,1))</f>
        <v/>
      </c>
      <c r="DO4" s="717" t="str">
        <f>IF(INDEX(事業所台帳!$B$4:$F$203,DO3,1)="","",INDEX(事業所台帳!$B$4:$F$203,DO3,1))</f>
        <v/>
      </c>
      <c r="DP4" s="717" t="str">
        <f>IF(INDEX(事業所台帳!$B$4:$F$203,DP3,1)="","",INDEX(事業所台帳!$B$4:$F$203,DP3,1))</f>
        <v/>
      </c>
      <c r="DQ4" s="717" t="str">
        <f>IF(INDEX(事業所台帳!$B$4:$F$203,DQ3,1)="","",INDEX(事業所台帳!$B$4:$F$203,DQ3,1))</f>
        <v/>
      </c>
      <c r="DR4" s="717" t="str">
        <f>IF(INDEX(事業所台帳!$B$4:$F$203,DR3,1)="","",INDEX(事業所台帳!$B$4:$F$203,DR3,1))</f>
        <v/>
      </c>
      <c r="DS4" s="717" t="str">
        <f>IF(INDEX(事業所台帳!$B$4:$F$203,DS3,1)="","",INDEX(事業所台帳!$B$4:$F$203,DS3,1))</f>
        <v/>
      </c>
      <c r="DT4" s="717" t="str">
        <f>IF(INDEX(事業所台帳!$B$4:$F$203,DT3,1)="","",INDEX(事業所台帳!$B$4:$F$203,DT3,1))</f>
        <v/>
      </c>
      <c r="DU4" s="717" t="str">
        <f>IF(INDEX(事業所台帳!$B$4:$F$203,DU3,1)="","",INDEX(事業所台帳!$B$4:$F$203,DU3,1))</f>
        <v/>
      </c>
      <c r="DV4" s="717" t="str">
        <f>IF(INDEX(事業所台帳!$B$4:$F$203,DV3,1)="","",INDEX(事業所台帳!$B$4:$F$203,DV3,1))</f>
        <v/>
      </c>
      <c r="DW4" s="717" t="str">
        <f>IF(INDEX(事業所台帳!$B$4:$F$203,DW3,1)="","",INDEX(事業所台帳!$B$4:$F$203,DW3,1))</f>
        <v/>
      </c>
      <c r="DX4" s="717" t="str">
        <f>IF(INDEX(事業所台帳!$B$4:$F$203,DX3,1)="","",INDEX(事業所台帳!$B$4:$F$203,DX3,1))</f>
        <v/>
      </c>
      <c r="DY4" s="717" t="str">
        <f>IF(INDEX(事業所台帳!$B$4:$F$203,DY3,1)="","",INDEX(事業所台帳!$B$4:$F$203,DY3,1))</f>
        <v/>
      </c>
      <c r="DZ4" s="717" t="str">
        <f>IF(INDEX(事業所台帳!$B$4:$F$203,DZ3,1)="","",INDEX(事業所台帳!$B$4:$F$203,DZ3,1))</f>
        <v/>
      </c>
      <c r="EA4" s="717" t="str">
        <f>IF(INDEX(事業所台帳!$B$4:$F$203,EA3,1)="","",INDEX(事業所台帳!$B$4:$F$203,EA3,1))</f>
        <v/>
      </c>
      <c r="EB4" s="717" t="str">
        <f>IF(INDEX(事業所台帳!$B$4:$F$203,EB3,1)="","",INDEX(事業所台帳!$B$4:$F$203,EB3,1))</f>
        <v/>
      </c>
      <c r="EC4" s="717" t="str">
        <f>IF(INDEX(事業所台帳!$B$4:$F$203,EC3,1)="","",INDEX(事業所台帳!$B$4:$F$203,EC3,1))</f>
        <v/>
      </c>
      <c r="ED4" s="717" t="str">
        <f>IF(INDEX(事業所台帳!$B$4:$F$203,ED3,1)="","",INDEX(事業所台帳!$B$4:$F$203,ED3,1))</f>
        <v/>
      </c>
      <c r="EE4" s="717" t="str">
        <f>IF(INDEX(事業所台帳!$B$4:$F$203,EE3,1)="","",INDEX(事業所台帳!$B$4:$F$203,EE3,1))</f>
        <v/>
      </c>
      <c r="EF4" s="717" t="str">
        <f>IF(INDEX(事業所台帳!$B$4:$F$203,EF3,1)="","",INDEX(事業所台帳!$B$4:$F$203,EF3,1))</f>
        <v/>
      </c>
      <c r="EG4" s="717" t="str">
        <f>IF(INDEX(事業所台帳!$B$4:$F$203,EG3,1)="","",INDEX(事業所台帳!$B$4:$F$203,EG3,1))</f>
        <v/>
      </c>
      <c r="EH4" s="717" t="str">
        <f>IF(INDEX(事業所台帳!$B$4:$F$203,EH3,1)="","",INDEX(事業所台帳!$B$4:$F$203,EH3,1))</f>
        <v/>
      </c>
      <c r="EI4" s="717" t="str">
        <f>IF(INDEX(事業所台帳!$B$4:$F$203,EI3,1)="","",INDEX(事業所台帳!$B$4:$F$203,EI3,1))</f>
        <v/>
      </c>
      <c r="EJ4" s="717" t="str">
        <f>IF(INDEX(事業所台帳!$B$4:$F$203,EJ3,1)="","",INDEX(事業所台帳!$B$4:$F$203,EJ3,1))</f>
        <v/>
      </c>
      <c r="EK4" s="717" t="str">
        <f>IF(INDEX(事業所台帳!$B$4:$F$203,EK3,1)="","",INDEX(事業所台帳!$B$4:$F$203,EK3,1))</f>
        <v/>
      </c>
      <c r="EL4" s="717" t="str">
        <f>IF(INDEX(事業所台帳!$B$4:$F$203,EL3,1)="","",INDEX(事業所台帳!$B$4:$F$203,EL3,1))</f>
        <v/>
      </c>
      <c r="EM4" s="717" t="str">
        <f>IF(INDEX(事業所台帳!$B$4:$F$203,EM3,1)="","",INDEX(事業所台帳!$B$4:$F$203,EM3,1))</f>
        <v/>
      </c>
      <c r="EN4" s="717" t="str">
        <f>IF(INDEX(事業所台帳!$B$4:$F$203,EN3,1)="","",INDEX(事業所台帳!$B$4:$F$203,EN3,1))</f>
        <v/>
      </c>
      <c r="EO4" s="717" t="str">
        <f>IF(INDEX(事業所台帳!$B$4:$F$203,EO3,1)="","",INDEX(事業所台帳!$B$4:$F$203,EO3,1))</f>
        <v/>
      </c>
      <c r="EP4" s="717" t="str">
        <f>IF(INDEX(事業所台帳!$B$4:$F$203,EP3,1)="","",INDEX(事業所台帳!$B$4:$F$203,EP3,1))</f>
        <v/>
      </c>
      <c r="EQ4" s="717" t="str">
        <f>IF(INDEX(事業所台帳!$B$4:$F$203,EQ3,1)="","",INDEX(事業所台帳!$B$4:$F$203,EQ3,1))</f>
        <v/>
      </c>
      <c r="ER4" s="717" t="str">
        <f>IF(INDEX(事業所台帳!$B$4:$F$203,ER3,1)="","",INDEX(事業所台帳!$B$4:$F$203,ER3,1))</f>
        <v/>
      </c>
      <c r="ES4" s="717" t="str">
        <f>IF(INDEX(事業所台帳!$B$4:$F$203,ES3,1)="","",INDEX(事業所台帳!$B$4:$F$203,ES3,1))</f>
        <v/>
      </c>
      <c r="ET4" s="717" t="str">
        <f>IF(INDEX(事業所台帳!$B$4:$F$203,ET3,1)="","",INDEX(事業所台帳!$B$4:$F$203,ET3,1))</f>
        <v/>
      </c>
      <c r="EU4" s="717" t="str">
        <f>IF(INDEX(事業所台帳!$B$4:$F$203,EU3,1)="","",INDEX(事業所台帳!$B$4:$F$203,EU3,1))</f>
        <v/>
      </c>
      <c r="EV4" s="717" t="str">
        <f>IF(INDEX(事業所台帳!$B$4:$F$203,EV3,1)="","",INDEX(事業所台帳!$B$4:$F$203,EV3,1))</f>
        <v/>
      </c>
      <c r="EW4" s="717" t="str">
        <f>IF(INDEX(事業所台帳!$B$4:$F$203,EW3,1)="","",INDEX(事業所台帳!$B$4:$F$203,EW3,1))</f>
        <v/>
      </c>
      <c r="EX4" s="717" t="str">
        <f>IF(INDEX(事業所台帳!$B$4:$F$203,EX3,1)="","",INDEX(事業所台帳!$B$4:$F$203,EX3,1))</f>
        <v/>
      </c>
      <c r="EY4" s="717" t="str">
        <f>IF(INDEX(事業所台帳!$B$4:$F$203,EY3,1)="","",INDEX(事業所台帳!$B$4:$F$203,EY3,1))</f>
        <v/>
      </c>
      <c r="EZ4" s="717" t="str">
        <f>IF(INDEX(事業所台帳!$B$4:$F$203,EZ3,1)="","",INDEX(事業所台帳!$B$4:$F$203,EZ3,1))</f>
        <v/>
      </c>
      <c r="FA4" s="717" t="str">
        <f>IF(INDEX(事業所台帳!$B$4:$F$203,FA3,1)="","",INDEX(事業所台帳!$B$4:$F$203,FA3,1))</f>
        <v/>
      </c>
      <c r="FB4" s="717" t="str">
        <f>IF(INDEX(事業所台帳!$B$4:$F$203,FB3,1)="","",INDEX(事業所台帳!$B$4:$F$203,FB3,1))</f>
        <v/>
      </c>
      <c r="FC4" s="717" t="str">
        <f>IF(INDEX(事業所台帳!$B$4:$F$203,FC3,1)="","",INDEX(事業所台帳!$B$4:$F$203,FC3,1))</f>
        <v/>
      </c>
      <c r="FD4" s="717" t="str">
        <f>IF(INDEX(事業所台帳!$B$4:$F$203,FD3,1)="","",INDEX(事業所台帳!$B$4:$F$203,FD3,1))</f>
        <v/>
      </c>
      <c r="FE4" s="717" t="str">
        <f>IF(INDEX(事業所台帳!$B$4:$F$203,FE3,1)="","",INDEX(事業所台帳!$B$4:$F$203,FE3,1))</f>
        <v/>
      </c>
      <c r="FF4" s="717" t="str">
        <f>IF(INDEX(事業所台帳!$B$4:$F$203,FF3,1)="","",INDEX(事業所台帳!$B$4:$F$203,FF3,1))</f>
        <v/>
      </c>
      <c r="FG4" s="717" t="str">
        <f>IF(INDEX(事業所台帳!$B$4:$F$203,FG3,1)="","",INDEX(事業所台帳!$B$4:$F$203,FG3,1))</f>
        <v/>
      </c>
      <c r="FH4" s="717" t="str">
        <f>IF(INDEX(事業所台帳!$B$4:$F$203,FH3,1)="","",INDEX(事業所台帳!$B$4:$F$203,FH3,1))</f>
        <v/>
      </c>
      <c r="FI4" s="717" t="str">
        <f>IF(INDEX(事業所台帳!$B$4:$F$203,FI3,1)="","",INDEX(事業所台帳!$B$4:$F$203,FI3,1))</f>
        <v/>
      </c>
      <c r="FJ4" s="717" t="str">
        <f>IF(INDEX(事業所台帳!$B$4:$F$203,FJ3,1)="","",INDEX(事業所台帳!$B$4:$F$203,FJ3,1))</f>
        <v/>
      </c>
      <c r="FK4" s="717" t="str">
        <f>IF(INDEX(事業所台帳!$B$4:$F$203,FK3,1)="","",INDEX(事業所台帳!$B$4:$F$203,FK3,1))</f>
        <v/>
      </c>
      <c r="FL4" s="717" t="str">
        <f>IF(INDEX(事業所台帳!$B$4:$F$203,FL3,1)="","",INDEX(事業所台帳!$B$4:$F$203,FL3,1))</f>
        <v/>
      </c>
      <c r="FM4" s="717" t="str">
        <f>IF(INDEX(事業所台帳!$B$4:$F$203,FM3,1)="","",INDEX(事業所台帳!$B$4:$F$203,FM3,1))</f>
        <v/>
      </c>
      <c r="FN4" s="717" t="str">
        <f>IF(INDEX(事業所台帳!$B$4:$F$203,FN3,1)="","",INDEX(事業所台帳!$B$4:$F$203,FN3,1))</f>
        <v/>
      </c>
      <c r="FO4" s="717" t="str">
        <f>IF(INDEX(事業所台帳!$B$4:$F$203,FO3,1)="","",INDEX(事業所台帳!$B$4:$F$203,FO3,1))</f>
        <v/>
      </c>
      <c r="FP4" s="717" t="str">
        <f>IF(INDEX(事業所台帳!$B$4:$F$203,FP3,1)="","",INDEX(事業所台帳!$B$4:$F$203,FP3,1))</f>
        <v/>
      </c>
      <c r="FQ4" s="717" t="str">
        <f>IF(INDEX(事業所台帳!$B$4:$F$203,FQ3,1)="","",INDEX(事業所台帳!$B$4:$F$203,FQ3,1))</f>
        <v/>
      </c>
      <c r="FR4" s="717" t="str">
        <f>IF(INDEX(事業所台帳!$B$4:$F$203,FR3,1)="","",INDEX(事業所台帳!$B$4:$F$203,FR3,1))</f>
        <v/>
      </c>
      <c r="FS4" s="717" t="str">
        <f>IF(INDEX(事業所台帳!$B$4:$F$203,FS3,1)="","",INDEX(事業所台帳!$B$4:$F$203,FS3,1))</f>
        <v/>
      </c>
      <c r="FT4" s="717" t="str">
        <f>IF(INDEX(事業所台帳!$B$4:$F$203,FT3,1)="","",INDEX(事業所台帳!$B$4:$F$203,FT3,1))</f>
        <v/>
      </c>
      <c r="FU4" s="717" t="str">
        <f>IF(INDEX(事業所台帳!$B$4:$F$203,FU3,1)="","",INDEX(事業所台帳!$B$4:$F$203,FU3,1))</f>
        <v/>
      </c>
      <c r="FV4" s="717" t="str">
        <f>IF(INDEX(事業所台帳!$B$4:$F$203,FV3,1)="","",INDEX(事業所台帳!$B$4:$F$203,FV3,1))</f>
        <v/>
      </c>
      <c r="FW4" s="717" t="str">
        <f>IF(INDEX(事業所台帳!$B$4:$F$203,FW3,1)="","",INDEX(事業所台帳!$B$4:$F$203,FW3,1))</f>
        <v/>
      </c>
      <c r="FX4" s="717" t="str">
        <f>IF(INDEX(事業所台帳!$B$4:$F$203,FX3,1)="","",INDEX(事業所台帳!$B$4:$F$203,FX3,1))</f>
        <v/>
      </c>
      <c r="FY4" s="717" t="str">
        <f>IF(INDEX(事業所台帳!$B$4:$F$203,FY3,1)="","",INDEX(事業所台帳!$B$4:$F$203,FY3,1))</f>
        <v/>
      </c>
      <c r="FZ4" s="717" t="str">
        <f>IF(INDEX(事業所台帳!$B$4:$F$203,FZ3,1)="","",INDEX(事業所台帳!$B$4:$F$203,FZ3,1))</f>
        <v/>
      </c>
      <c r="GA4" s="717" t="str">
        <f>IF(INDEX(事業所台帳!$B$4:$F$203,GA3,1)="","",INDEX(事業所台帳!$B$4:$F$203,GA3,1))</f>
        <v/>
      </c>
      <c r="GB4" s="717" t="str">
        <f>IF(INDEX(事業所台帳!$B$4:$F$203,GB3,1)="","",INDEX(事業所台帳!$B$4:$F$203,GB3,1))</f>
        <v/>
      </c>
      <c r="GC4" s="717" t="str">
        <f>IF(INDEX(事業所台帳!$B$4:$F$203,GC3,1)="","",INDEX(事業所台帳!$B$4:$F$203,GC3,1))</f>
        <v/>
      </c>
      <c r="GD4" s="717" t="str">
        <f>IF(INDEX(事業所台帳!$B$4:$F$203,GD3,1)="","",INDEX(事業所台帳!$B$4:$F$203,GD3,1))</f>
        <v/>
      </c>
      <c r="GE4" s="717" t="str">
        <f>IF(INDEX(事業所台帳!$B$4:$F$203,GE3,1)="","",INDEX(事業所台帳!$B$4:$F$203,GE3,1))</f>
        <v/>
      </c>
      <c r="GF4" s="717" t="str">
        <f>IF(INDEX(事業所台帳!$B$4:$F$203,GF3,1)="","",INDEX(事業所台帳!$B$4:$F$203,GF3,1))</f>
        <v/>
      </c>
      <c r="GG4" s="717" t="str">
        <f>IF(INDEX(事業所台帳!$B$4:$F$203,GG3,1)="","",INDEX(事業所台帳!$B$4:$F$203,GG3,1))</f>
        <v/>
      </c>
      <c r="GH4" s="717" t="str">
        <f>IF(INDEX(事業所台帳!$B$4:$F$203,GH3,1)="","",INDEX(事業所台帳!$B$4:$F$203,GH3,1))</f>
        <v/>
      </c>
      <c r="GI4" s="717" t="str">
        <f>IF(INDEX(事業所台帳!$B$4:$F$203,GI3,1)="","",INDEX(事業所台帳!$B$4:$F$203,GI3,1))</f>
        <v/>
      </c>
      <c r="GJ4" s="717" t="str">
        <f>IF(INDEX(事業所台帳!$B$4:$F$203,GJ3,1)="","",INDEX(事業所台帳!$B$4:$F$203,GJ3,1))</f>
        <v/>
      </c>
      <c r="GK4" s="717" t="str">
        <f>IF(INDEX(事業所台帳!$B$4:$F$203,GK3,1)="","",INDEX(事業所台帳!$B$4:$F$203,GK3,1))</f>
        <v/>
      </c>
      <c r="GL4" s="717" t="str">
        <f>IF(INDEX(事業所台帳!$B$4:$F$203,GL3,1)="","",INDEX(事業所台帳!$B$4:$F$203,GL3,1))</f>
        <v/>
      </c>
      <c r="GM4" s="717" t="str">
        <f>IF(INDEX(事業所台帳!$B$4:$F$203,GM3,1)="","",INDEX(事業所台帳!$B$4:$F$203,GM3,1))</f>
        <v/>
      </c>
      <c r="GN4" s="717" t="str">
        <f>IF(INDEX(事業所台帳!$B$4:$F$203,GN3,1)="","",INDEX(事業所台帳!$B$4:$F$203,GN3,1))</f>
        <v/>
      </c>
      <c r="GO4" s="717" t="str">
        <f>IF(INDEX(事業所台帳!$B$4:$F$203,GO3,1)="","",INDEX(事業所台帳!$B$4:$F$203,GO3,1))</f>
        <v/>
      </c>
      <c r="GP4" s="717" t="str">
        <f>IF(INDEX(事業所台帳!$B$4:$F$203,GP3,1)="","",INDEX(事業所台帳!$B$4:$F$203,GP3,1))</f>
        <v/>
      </c>
      <c r="GQ4" s="717" t="str">
        <f>IF(INDEX(事業所台帳!$B$4:$F$203,GQ3,1)="","",INDEX(事業所台帳!$B$4:$F$203,GQ3,1))</f>
        <v/>
      </c>
      <c r="GR4" s="717" t="str">
        <f>IF(INDEX(事業所台帳!$B$4:$F$203,GR3,1)="","",INDEX(事業所台帳!$B$4:$F$203,GR3,1))</f>
        <v/>
      </c>
      <c r="GS4" s="717" t="str">
        <f>IF(INDEX(事業所台帳!$B$4:$F$203,GS3,1)="","",INDEX(事業所台帳!$B$4:$F$203,GS3,1))</f>
        <v/>
      </c>
      <c r="GT4" s="717" t="str">
        <f>IF(INDEX(事業所台帳!$B$4:$F$203,GT3,1)="","",INDEX(事業所台帳!$B$4:$F$203,GT3,1))</f>
        <v/>
      </c>
      <c r="GU4" s="718" t="str">
        <f>IF(INDEX(事業所台帳!$B$4:$F$203,GU3,1)="","",INDEX(事業所台帳!$B$4:$F$203,GU3,1))</f>
        <v/>
      </c>
    </row>
    <row r="5" spans="1:203" s="7" customFormat="1" ht="33.75" customHeight="1">
      <c r="A5" s="1196" t="s">
        <v>2376</v>
      </c>
      <c r="B5" s="1197"/>
      <c r="C5" s="716"/>
      <c r="D5" s="717">
        <f>IF(INDEX(事業所台帳!$B$4:$F$203,D3,2)="","",INDEX(事業所台帳!$B$4:$F$203,D3,2))</f>
        <v>0</v>
      </c>
      <c r="E5" s="717" t="str">
        <f>IF(INDEX(事業所台帳!$B$4:$F$203,E3,2)="","",INDEX(事業所台帳!$B$4:$F$203,E3,2))</f>
        <v/>
      </c>
      <c r="F5" s="717" t="str">
        <f>IF(INDEX(事業所台帳!$B$4:$F$203,F3,2)="","",INDEX(事業所台帳!$B$4:$F$203,F3,2))</f>
        <v/>
      </c>
      <c r="G5" s="717" t="str">
        <f>IF(INDEX(事業所台帳!$B$4:$F$203,G3,2)="","",INDEX(事業所台帳!$B$4:$F$203,G3,2))</f>
        <v/>
      </c>
      <c r="H5" s="717" t="str">
        <f>IF(INDEX(事業所台帳!$B$4:$F$203,H3,2)="","",INDEX(事業所台帳!$B$4:$F$203,H3,2))</f>
        <v/>
      </c>
      <c r="I5" s="717" t="str">
        <f>IF(INDEX(事業所台帳!$B$4:$F$203,I3,2)="","",INDEX(事業所台帳!$B$4:$F$203,I3,2))</f>
        <v/>
      </c>
      <c r="J5" s="717" t="str">
        <f>IF(INDEX(事業所台帳!$B$4:$F$203,J3,2)="","",INDEX(事業所台帳!$B$4:$F$203,J3,2))</f>
        <v/>
      </c>
      <c r="K5" s="717" t="str">
        <f>IF(INDEX(事業所台帳!$B$4:$F$203,K3,2)="","",INDEX(事業所台帳!$B$4:$F$203,K3,2))</f>
        <v/>
      </c>
      <c r="L5" s="717" t="str">
        <f>IF(INDEX(事業所台帳!$B$4:$F$203,L3,2)="","",INDEX(事業所台帳!$B$4:$F$203,L3,2))</f>
        <v/>
      </c>
      <c r="M5" s="717" t="str">
        <f>IF(INDEX(事業所台帳!$B$4:$F$203,M3,2)="","",INDEX(事業所台帳!$B$4:$F$203,M3,2))</f>
        <v/>
      </c>
      <c r="N5" s="717" t="str">
        <f>IF(INDEX(事業所台帳!$B$4:$F$203,N3,2)="","",INDEX(事業所台帳!$B$4:$F$203,N3,2))</f>
        <v/>
      </c>
      <c r="O5" s="717" t="str">
        <f>IF(INDEX(事業所台帳!$B$4:$F$203,O3,2)="","",INDEX(事業所台帳!$B$4:$F$203,O3,2))</f>
        <v/>
      </c>
      <c r="P5" s="717" t="str">
        <f>IF(INDEX(事業所台帳!$B$4:$F$203,P3,2)="","",INDEX(事業所台帳!$B$4:$F$203,P3,2))</f>
        <v/>
      </c>
      <c r="Q5" s="717" t="str">
        <f>IF(INDEX(事業所台帳!$B$4:$F$203,Q3,2)="","",INDEX(事業所台帳!$B$4:$F$203,Q3,2))</f>
        <v/>
      </c>
      <c r="R5" s="717" t="str">
        <f>IF(INDEX(事業所台帳!$B$4:$F$203,R3,2)="","",INDEX(事業所台帳!$B$4:$F$203,R3,2))</f>
        <v/>
      </c>
      <c r="S5" s="717" t="str">
        <f>IF(INDEX(事業所台帳!$B$4:$F$203,S3,2)="","",INDEX(事業所台帳!$B$4:$F$203,S3,2))</f>
        <v/>
      </c>
      <c r="T5" s="717" t="str">
        <f>IF(INDEX(事業所台帳!$B$4:$F$203,T3,2)="","",INDEX(事業所台帳!$B$4:$F$203,T3,2))</f>
        <v/>
      </c>
      <c r="U5" s="717" t="str">
        <f>IF(INDEX(事業所台帳!$B$4:$F$203,U3,2)="","",INDEX(事業所台帳!$B$4:$F$203,U3,2))</f>
        <v/>
      </c>
      <c r="V5" s="717" t="str">
        <f>IF(INDEX(事業所台帳!$B$4:$F$203,V3,2)="","",INDEX(事業所台帳!$B$4:$F$203,V3,2))</f>
        <v/>
      </c>
      <c r="W5" s="717" t="str">
        <f>IF(INDEX(事業所台帳!$B$4:$F$203,W3,2)="","",INDEX(事業所台帳!$B$4:$F$203,W3,2))</f>
        <v/>
      </c>
      <c r="X5" s="717" t="str">
        <f>IF(INDEX(事業所台帳!$B$4:$F$203,X3,2)="","",INDEX(事業所台帳!$B$4:$F$203,X3,2))</f>
        <v/>
      </c>
      <c r="Y5" s="717" t="str">
        <f>IF(INDEX(事業所台帳!$B$4:$F$203,Y3,2)="","",INDEX(事業所台帳!$B$4:$F$203,Y3,2))</f>
        <v/>
      </c>
      <c r="Z5" s="717" t="str">
        <f>IF(INDEX(事業所台帳!$B$4:$F$203,Z3,2)="","",INDEX(事業所台帳!$B$4:$F$203,Z3,2))</f>
        <v/>
      </c>
      <c r="AA5" s="717" t="str">
        <f>IF(INDEX(事業所台帳!$B$4:$F$203,AA3,2)="","",INDEX(事業所台帳!$B$4:$F$203,AA3,2))</f>
        <v/>
      </c>
      <c r="AB5" s="717" t="str">
        <f>IF(INDEX(事業所台帳!$B$4:$F$203,AB3,2)="","",INDEX(事業所台帳!$B$4:$F$203,AB3,2))</f>
        <v/>
      </c>
      <c r="AC5" s="717" t="str">
        <f>IF(INDEX(事業所台帳!$B$4:$F$203,AC3,2)="","",INDEX(事業所台帳!$B$4:$F$203,AC3,2))</f>
        <v/>
      </c>
      <c r="AD5" s="717" t="str">
        <f>IF(INDEX(事業所台帳!$B$4:$F$203,AD3,2)="","",INDEX(事業所台帳!$B$4:$F$203,AD3,2))</f>
        <v/>
      </c>
      <c r="AE5" s="717" t="str">
        <f>IF(INDEX(事業所台帳!$B$4:$F$203,AE3,2)="","",INDEX(事業所台帳!$B$4:$F$203,AE3,2))</f>
        <v/>
      </c>
      <c r="AF5" s="717" t="str">
        <f>IF(INDEX(事業所台帳!$B$4:$F$203,AF3,2)="","",INDEX(事業所台帳!$B$4:$F$203,AF3,2))</f>
        <v/>
      </c>
      <c r="AG5" s="717" t="str">
        <f>IF(INDEX(事業所台帳!$B$4:$F$203,AG3,2)="","",INDEX(事業所台帳!$B$4:$F$203,AG3,2))</f>
        <v/>
      </c>
      <c r="AH5" s="717" t="str">
        <f>IF(INDEX(事業所台帳!$B$4:$F$203,AH3,2)="","",INDEX(事業所台帳!$B$4:$F$203,AH3,2))</f>
        <v/>
      </c>
      <c r="AI5" s="717" t="str">
        <f>IF(INDEX(事業所台帳!$B$4:$F$203,AI3,2)="","",INDEX(事業所台帳!$B$4:$F$203,AI3,2))</f>
        <v/>
      </c>
      <c r="AJ5" s="717" t="str">
        <f>IF(INDEX(事業所台帳!$B$4:$F$203,AJ3,2)="","",INDEX(事業所台帳!$B$4:$F$203,AJ3,2))</f>
        <v/>
      </c>
      <c r="AK5" s="717" t="str">
        <f>IF(INDEX(事業所台帳!$B$4:$F$203,AK3,2)="","",INDEX(事業所台帳!$B$4:$F$203,AK3,2))</f>
        <v/>
      </c>
      <c r="AL5" s="717" t="str">
        <f>IF(INDEX(事業所台帳!$B$4:$F$203,AL3,2)="","",INDEX(事業所台帳!$B$4:$F$203,AL3,2))</f>
        <v/>
      </c>
      <c r="AM5" s="717" t="str">
        <f>IF(INDEX(事業所台帳!$B$4:$F$203,AM3,2)="","",INDEX(事業所台帳!$B$4:$F$203,AM3,2))</f>
        <v/>
      </c>
      <c r="AN5" s="717" t="str">
        <f>IF(INDEX(事業所台帳!$B$4:$F$203,AN3,2)="","",INDEX(事業所台帳!$B$4:$F$203,AN3,2))</f>
        <v/>
      </c>
      <c r="AO5" s="717" t="str">
        <f>IF(INDEX(事業所台帳!$B$4:$F$203,AO3,2)="","",INDEX(事業所台帳!$B$4:$F$203,AO3,2))</f>
        <v/>
      </c>
      <c r="AP5" s="717" t="str">
        <f>IF(INDEX(事業所台帳!$B$4:$F$203,AP3,2)="","",INDEX(事業所台帳!$B$4:$F$203,AP3,2))</f>
        <v/>
      </c>
      <c r="AQ5" s="717" t="str">
        <f>IF(INDEX(事業所台帳!$B$4:$F$203,AQ3,2)="","",INDEX(事業所台帳!$B$4:$F$203,AQ3,2))</f>
        <v/>
      </c>
      <c r="AR5" s="717" t="str">
        <f>IF(INDEX(事業所台帳!$B$4:$F$203,AR3,2)="","",INDEX(事業所台帳!$B$4:$F$203,AR3,2))</f>
        <v/>
      </c>
      <c r="AS5" s="717" t="str">
        <f>IF(INDEX(事業所台帳!$B$4:$F$203,AS3,2)="","",INDEX(事業所台帳!$B$4:$F$203,AS3,2))</f>
        <v/>
      </c>
      <c r="AT5" s="717" t="str">
        <f>IF(INDEX(事業所台帳!$B$4:$F$203,AT3,2)="","",INDEX(事業所台帳!$B$4:$F$203,AT3,2))</f>
        <v/>
      </c>
      <c r="AU5" s="717" t="str">
        <f>IF(INDEX(事業所台帳!$B$4:$F$203,AU3,2)="","",INDEX(事業所台帳!$B$4:$F$203,AU3,2))</f>
        <v/>
      </c>
      <c r="AV5" s="717" t="str">
        <f>IF(INDEX(事業所台帳!$B$4:$F$203,AV3,2)="","",INDEX(事業所台帳!$B$4:$F$203,AV3,2))</f>
        <v/>
      </c>
      <c r="AW5" s="717" t="str">
        <f>IF(INDEX(事業所台帳!$B$4:$F$203,AW3,2)="","",INDEX(事業所台帳!$B$4:$F$203,AW3,2))</f>
        <v/>
      </c>
      <c r="AX5" s="717" t="str">
        <f>IF(INDEX(事業所台帳!$B$4:$F$203,AX3,2)="","",INDEX(事業所台帳!$B$4:$F$203,AX3,2))</f>
        <v/>
      </c>
      <c r="AY5" s="717" t="str">
        <f>IF(INDEX(事業所台帳!$B$4:$F$203,AY3,2)="","",INDEX(事業所台帳!$B$4:$F$203,AY3,2))</f>
        <v/>
      </c>
      <c r="AZ5" s="717" t="str">
        <f>IF(INDEX(事業所台帳!$B$4:$F$203,AZ3,2)="","",INDEX(事業所台帳!$B$4:$F$203,AZ3,2))</f>
        <v/>
      </c>
      <c r="BA5" s="717" t="str">
        <f>IF(INDEX(事業所台帳!$B$4:$F$203,BA3,2)="","",INDEX(事業所台帳!$B$4:$F$203,BA3,2))</f>
        <v/>
      </c>
      <c r="BB5" s="717" t="str">
        <f>IF(INDEX(事業所台帳!$B$4:$F$203,BB3,2)="","",INDEX(事業所台帳!$B$4:$F$203,BB3,2))</f>
        <v/>
      </c>
      <c r="BC5" s="717" t="str">
        <f>IF(INDEX(事業所台帳!$B$4:$F$203,BC3,2)="","",INDEX(事業所台帳!$B$4:$F$203,BC3,2))</f>
        <v/>
      </c>
      <c r="BD5" s="717" t="str">
        <f>IF(INDEX(事業所台帳!$B$4:$F$203,BD3,2)="","",INDEX(事業所台帳!$B$4:$F$203,BD3,2))</f>
        <v/>
      </c>
      <c r="BE5" s="717" t="str">
        <f>IF(INDEX(事業所台帳!$B$4:$F$203,BE3,2)="","",INDEX(事業所台帳!$B$4:$F$203,BE3,2))</f>
        <v/>
      </c>
      <c r="BF5" s="717" t="str">
        <f>IF(INDEX(事業所台帳!$B$4:$F$203,BF3,2)="","",INDEX(事業所台帳!$B$4:$F$203,BF3,2))</f>
        <v/>
      </c>
      <c r="BG5" s="717" t="str">
        <f>IF(INDEX(事業所台帳!$B$4:$F$203,BG3,2)="","",INDEX(事業所台帳!$B$4:$F$203,BG3,2))</f>
        <v/>
      </c>
      <c r="BH5" s="717" t="str">
        <f>IF(INDEX(事業所台帳!$B$4:$F$203,BH3,2)="","",INDEX(事業所台帳!$B$4:$F$203,BH3,2))</f>
        <v/>
      </c>
      <c r="BI5" s="717" t="str">
        <f>IF(INDEX(事業所台帳!$B$4:$F$203,BI3,2)="","",INDEX(事業所台帳!$B$4:$F$203,BI3,2))</f>
        <v/>
      </c>
      <c r="BJ5" s="717" t="str">
        <f>IF(INDEX(事業所台帳!$B$4:$F$203,BJ3,2)="","",INDEX(事業所台帳!$B$4:$F$203,BJ3,2))</f>
        <v/>
      </c>
      <c r="BK5" s="717" t="str">
        <f>IF(INDEX(事業所台帳!$B$4:$F$203,BK3,2)="","",INDEX(事業所台帳!$B$4:$F$203,BK3,2))</f>
        <v/>
      </c>
      <c r="BL5" s="717" t="str">
        <f>IF(INDEX(事業所台帳!$B$4:$F$203,BL3,2)="","",INDEX(事業所台帳!$B$4:$F$203,BL3,2))</f>
        <v/>
      </c>
      <c r="BM5" s="717" t="str">
        <f>IF(INDEX(事業所台帳!$B$4:$F$203,BM3,2)="","",INDEX(事業所台帳!$B$4:$F$203,BM3,2))</f>
        <v/>
      </c>
      <c r="BN5" s="717" t="str">
        <f>IF(INDEX(事業所台帳!$B$4:$F$203,BN3,2)="","",INDEX(事業所台帳!$B$4:$F$203,BN3,2))</f>
        <v/>
      </c>
      <c r="BO5" s="717" t="str">
        <f>IF(INDEX(事業所台帳!$B$4:$F$203,BO3,2)="","",INDEX(事業所台帳!$B$4:$F$203,BO3,2))</f>
        <v/>
      </c>
      <c r="BP5" s="717" t="str">
        <f>IF(INDEX(事業所台帳!$B$4:$F$203,BP3,2)="","",INDEX(事業所台帳!$B$4:$F$203,BP3,2))</f>
        <v/>
      </c>
      <c r="BQ5" s="717" t="str">
        <f>IF(INDEX(事業所台帳!$B$4:$F$203,BQ3,2)="","",INDEX(事業所台帳!$B$4:$F$203,BQ3,2))</f>
        <v/>
      </c>
      <c r="BR5" s="717" t="str">
        <f>IF(INDEX(事業所台帳!$B$4:$F$203,BR3,2)="","",INDEX(事業所台帳!$B$4:$F$203,BR3,2))</f>
        <v/>
      </c>
      <c r="BS5" s="717" t="str">
        <f>IF(INDEX(事業所台帳!$B$4:$F$203,BS3,2)="","",INDEX(事業所台帳!$B$4:$F$203,BS3,2))</f>
        <v/>
      </c>
      <c r="BT5" s="717" t="str">
        <f>IF(INDEX(事業所台帳!$B$4:$F$203,BT3,2)="","",INDEX(事業所台帳!$B$4:$F$203,BT3,2))</f>
        <v/>
      </c>
      <c r="BU5" s="717" t="str">
        <f>IF(INDEX(事業所台帳!$B$4:$F$203,BU3,2)="","",INDEX(事業所台帳!$B$4:$F$203,BU3,2))</f>
        <v/>
      </c>
      <c r="BV5" s="717" t="str">
        <f>IF(INDEX(事業所台帳!$B$4:$F$203,BV3,2)="","",INDEX(事業所台帳!$B$4:$F$203,BV3,2))</f>
        <v/>
      </c>
      <c r="BW5" s="717" t="str">
        <f>IF(INDEX(事業所台帳!$B$4:$F$203,BW3,2)="","",INDEX(事業所台帳!$B$4:$F$203,BW3,2))</f>
        <v/>
      </c>
      <c r="BX5" s="717" t="str">
        <f>IF(INDEX(事業所台帳!$B$4:$F$203,BX3,2)="","",INDEX(事業所台帳!$B$4:$F$203,BX3,2))</f>
        <v/>
      </c>
      <c r="BY5" s="717" t="str">
        <f>IF(INDEX(事業所台帳!$B$4:$F$203,BY3,2)="","",INDEX(事業所台帳!$B$4:$F$203,BY3,2))</f>
        <v/>
      </c>
      <c r="BZ5" s="717" t="str">
        <f>IF(INDEX(事業所台帳!$B$4:$F$203,BZ3,2)="","",INDEX(事業所台帳!$B$4:$F$203,BZ3,2))</f>
        <v/>
      </c>
      <c r="CA5" s="717" t="str">
        <f>IF(INDEX(事業所台帳!$B$4:$F$203,CA3,2)="","",INDEX(事業所台帳!$B$4:$F$203,CA3,2))</f>
        <v/>
      </c>
      <c r="CB5" s="717" t="str">
        <f>IF(INDEX(事業所台帳!$B$4:$F$203,CB3,2)="","",INDEX(事業所台帳!$B$4:$F$203,CB3,2))</f>
        <v/>
      </c>
      <c r="CC5" s="717" t="str">
        <f>IF(INDEX(事業所台帳!$B$4:$F$203,CC3,2)="","",INDEX(事業所台帳!$B$4:$F$203,CC3,2))</f>
        <v/>
      </c>
      <c r="CD5" s="717" t="str">
        <f>IF(INDEX(事業所台帳!$B$4:$F$203,CD3,2)="","",INDEX(事業所台帳!$B$4:$F$203,CD3,2))</f>
        <v/>
      </c>
      <c r="CE5" s="717" t="str">
        <f>IF(INDEX(事業所台帳!$B$4:$F$203,CE3,2)="","",INDEX(事業所台帳!$B$4:$F$203,CE3,2))</f>
        <v/>
      </c>
      <c r="CF5" s="717" t="str">
        <f>IF(INDEX(事業所台帳!$B$4:$F$203,CF3,2)="","",INDEX(事業所台帳!$B$4:$F$203,CF3,2))</f>
        <v/>
      </c>
      <c r="CG5" s="717" t="str">
        <f>IF(INDEX(事業所台帳!$B$4:$F$203,CG3,2)="","",INDEX(事業所台帳!$B$4:$F$203,CG3,2))</f>
        <v/>
      </c>
      <c r="CH5" s="717" t="str">
        <f>IF(INDEX(事業所台帳!$B$4:$F$203,CH3,2)="","",INDEX(事業所台帳!$B$4:$F$203,CH3,2))</f>
        <v/>
      </c>
      <c r="CI5" s="717" t="str">
        <f>IF(INDEX(事業所台帳!$B$4:$F$203,CI3,2)="","",INDEX(事業所台帳!$B$4:$F$203,CI3,2))</f>
        <v/>
      </c>
      <c r="CJ5" s="717" t="str">
        <f>IF(INDEX(事業所台帳!$B$4:$F$203,CJ3,2)="","",INDEX(事業所台帳!$B$4:$F$203,CJ3,2))</f>
        <v/>
      </c>
      <c r="CK5" s="717" t="str">
        <f>IF(INDEX(事業所台帳!$B$4:$F$203,CK3,2)="","",INDEX(事業所台帳!$B$4:$F$203,CK3,2))</f>
        <v/>
      </c>
      <c r="CL5" s="717" t="str">
        <f>IF(INDEX(事業所台帳!$B$4:$F$203,CL3,2)="","",INDEX(事業所台帳!$B$4:$F$203,CL3,2))</f>
        <v/>
      </c>
      <c r="CM5" s="717" t="str">
        <f>IF(INDEX(事業所台帳!$B$4:$F$203,CM3,2)="","",INDEX(事業所台帳!$B$4:$F$203,CM3,2))</f>
        <v/>
      </c>
      <c r="CN5" s="717" t="str">
        <f>IF(INDEX(事業所台帳!$B$4:$F$203,CN3,2)="","",INDEX(事業所台帳!$B$4:$F$203,CN3,2))</f>
        <v/>
      </c>
      <c r="CO5" s="717" t="str">
        <f>IF(INDEX(事業所台帳!$B$4:$F$203,CO3,2)="","",INDEX(事業所台帳!$B$4:$F$203,CO3,2))</f>
        <v/>
      </c>
      <c r="CP5" s="717" t="str">
        <f>IF(INDEX(事業所台帳!$B$4:$F$203,CP3,2)="","",INDEX(事業所台帳!$B$4:$F$203,CP3,2))</f>
        <v/>
      </c>
      <c r="CQ5" s="717" t="str">
        <f>IF(INDEX(事業所台帳!$B$4:$F$203,CQ3,2)="","",INDEX(事業所台帳!$B$4:$F$203,CQ3,2))</f>
        <v/>
      </c>
      <c r="CR5" s="717" t="str">
        <f>IF(INDEX(事業所台帳!$B$4:$F$203,CR3,2)="","",INDEX(事業所台帳!$B$4:$F$203,CR3,2))</f>
        <v/>
      </c>
      <c r="CS5" s="717" t="str">
        <f>IF(INDEX(事業所台帳!$B$4:$F$203,CS3,2)="","",INDEX(事業所台帳!$B$4:$F$203,CS3,2))</f>
        <v/>
      </c>
      <c r="CT5" s="717" t="str">
        <f>IF(INDEX(事業所台帳!$B$4:$F$203,CT3,2)="","",INDEX(事業所台帳!$B$4:$F$203,CT3,2))</f>
        <v/>
      </c>
      <c r="CU5" s="717" t="str">
        <f>IF(INDEX(事業所台帳!$B$4:$F$203,CU3,2)="","",INDEX(事業所台帳!$B$4:$F$203,CU3,2))</f>
        <v/>
      </c>
      <c r="CV5" s="717" t="str">
        <f>IF(INDEX(事業所台帳!$B$4:$F$203,CV3,2)="","",INDEX(事業所台帳!$B$4:$F$203,CV3,2))</f>
        <v/>
      </c>
      <c r="CW5" s="717" t="str">
        <f>IF(INDEX(事業所台帳!$B$4:$F$203,CW3,2)="","",INDEX(事業所台帳!$B$4:$F$203,CW3,2))</f>
        <v/>
      </c>
      <c r="CX5" s="717" t="str">
        <f>IF(INDEX(事業所台帳!$B$4:$F$203,CX3,2)="","",INDEX(事業所台帳!$B$4:$F$203,CX3,2))</f>
        <v/>
      </c>
      <c r="CY5" s="717" t="str">
        <f>IF(INDEX(事業所台帳!$B$4:$F$203,CY3,2)="","",INDEX(事業所台帳!$B$4:$F$203,CY3,2))</f>
        <v/>
      </c>
      <c r="CZ5" s="717" t="str">
        <f>IF(INDEX(事業所台帳!$B$4:$F$203,CZ3,2)="","",INDEX(事業所台帳!$B$4:$F$203,CZ3,2))</f>
        <v/>
      </c>
      <c r="DA5" s="717" t="str">
        <f>IF(INDEX(事業所台帳!$B$4:$F$203,DA3,2)="","",INDEX(事業所台帳!$B$4:$F$203,DA3,2))</f>
        <v/>
      </c>
      <c r="DB5" s="717" t="str">
        <f>IF(INDEX(事業所台帳!$B$4:$F$203,DB3,2)="","",INDEX(事業所台帳!$B$4:$F$203,DB3,2))</f>
        <v/>
      </c>
      <c r="DC5" s="717" t="str">
        <f>IF(INDEX(事業所台帳!$B$4:$F$203,DC3,2)="","",INDEX(事業所台帳!$B$4:$F$203,DC3,2))</f>
        <v/>
      </c>
      <c r="DD5" s="717" t="str">
        <f>IF(INDEX(事業所台帳!$B$4:$F$203,DD3,2)="","",INDEX(事業所台帳!$B$4:$F$203,DD3,2))</f>
        <v/>
      </c>
      <c r="DE5" s="717" t="str">
        <f>IF(INDEX(事業所台帳!$B$4:$F$203,DE3,2)="","",INDEX(事業所台帳!$B$4:$F$203,DE3,2))</f>
        <v/>
      </c>
      <c r="DF5" s="717" t="str">
        <f>IF(INDEX(事業所台帳!$B$4:$F$203,DF3,2)="","",INDEX(事業所台帳!$B$4:$F$203,DF3,2))</f>
        <v/>
      </c>
      <c r="DG5" s="717" t="str">
        <f>IF(INDEX(事業所台帳!$B$4:$F$203,DG3,2)="","",INDEX(事業所台帳!$B$4:$F$203,DG3,2))</f>
        <v/>
      </c>
      <c r="DH5" s="717" t="str">
        <f>IF(INDEX(事業所台帳!$B$4:$F$203,DH3,2)="","",INDEX(事業所台帳!$B$4:$F$203,DH3,2))</f>
        <v/>
      </c>
      <c r="DI5" s="717" t="str">
        <f>IF(INDEX(事業所台帳!$B$4:$F$203,DI3,2)="","",INDEX(事業所台帳!$B$4:$F$203,DI3,2))</f>
        <v/>
      </c>
      <c r="DJ5" s="717" t="str">
        <f>IF(INDEX(事業所台帳!$B$4:$F$203,DJ3,2)="","",INDEX(事業所台帳!$B$4:$F$203,DJ3,2))</f>
        <v/>
      </c>
      <c r="DK5" s="717" t="str">
        <f>IF(INDEX(事業所台帳!$B$4:$F$203,DK3,2)="","",INDEX(事業所台帳!$B$4:$F$203,DK3,2))</f>
        <v/>
      </c>
      <c r="DL5" s="717" t="str">
        <f>IF(INDEX(事業所台帳!$B$4:$F$203,DL3,2)="","",INDEX(事業所台帳!$B$4:$F$203,DL3,2))</f>
        <v/>
      </c>
      <c r="DM5" s="717" t="str">
        <f>IF(INDEX(事業所台帳!$B$4:$F$203,DM3,2)="","",INDEX(事業所台帳!$B$4:$F$203,DM3,2))</f>
        <v/>
      </c>
      <c r="DN5" s="717" t="str">
        <f>IF(INDEX(事業所台帳!$B$4:$F$203,DN3,2)="","",INDEX(事業所台帳!$B$4:$F$203,DN3,2))</f>
        <v/>
      </c>
      <c r="DO5" s="717" t="str">
        <f>IF(INDEX(事業所台帳!$B$4:$F$203,DO3,2)="","",INDEX(事業所台帳!$B$4:$F$203,DO3,2))</f>
        <v/>
      </c>
      <c r="DP5" s="717" t="str">
        <f>IF(INDEX(事業所台帳!$B$4:$F$203,DP3,2)="","",INDEX(事業所台帳!$B$4:$F$203,DP3,2))</f>
        <v/>
      </c>
      <c r="DQ5" s="717" t="str">
        <f>IF(INDEX(事業所台帳!$B$4:$F$203,DQ3,2)="","",INDEX(事業所台帳!$B$4:$F$203,DQ3,2))</f>
        <v/>
      </c>
      <c r="DR5" s="717" t="str">
        <f>IF(INDEX(事業所台帳!$B$4:$F$203,DR3,2)="","",INDEX(事業所台帳!$B$4:$F$203,DR3,2))</f>
        <v/>
      </c>
      <c r="DS5" s="717" t="str">
        <f>IF(INDEX(事業所台帳!$B$4:$F$203,DS3,2)="","",INDEX(事業所台帳!$B$4:$F$203,DS3,2))</f>
        <v/>
      </c>
      <c r="DT5" s="717" t="str">
        <f>IF(INDEX(事業所台帳!$B$4:$F$203,DT3,2)="","",INDEX(事業所台帳!$B$4:$F$203,DT3,2))</f>
        <v/>
      </c>
      <c r="DU5" s="717" t="str">
        <f>IF(INDEX(事業所台帳!$B$4:$F$203,DU3,2)="","",INDEX(事業所台帳!$B$4:$F$203,DU3,2))</f>
        <v/>
      </c>
      <c r="DV5" s="717" t="str">
        <f>IF(INDEX(事業所台帳!$B$4:$F$203,DV3,2)="","",INDEX(事業所台帳!$B$4:$F$203,DV3,2))</f>
        <v/>
      </c>
      <c r="DW5" s="717" t="str">
        <f>IF(INDEX(事業所台帳!$B$4:$F$203,DW3,2)="","",INDEX(事業所台帳!$B$4:$F$203,DW3,2))</f>
        <v/>
      </c>
      <c r="DX5" s="717" t="str">
        <f>IF(INDEX(事業所台帳!$B$4:$F$203,DX3,2)="","",INDEX(事業所台帳!$B$4:$F$203,DX3,2))</f>
        <v/>
      </c>
      <c r="DY5" s="717" t="str">
        <f>IF(INDEX(事業所台帳!$B$4:$F$203,DY3,2)="","",INDEX(事業所台帳!$B$4:$F$203,DY3,2))</f>
        <v/>
      </c>
      <c r="DZ5" s="717" t="str">
        <f>IF(INDEX(事業所台帳!$B$4:$F$203,DZ3,2)="","",INDEX(事業所台帳!$B$4:$F$203,DZ3,2))</f>
        <v/>
      </c>
      <c r="EA5" s="717" t="str">
        <f>IF(INDEX(事業所台帳!$B$4:$F$203,EA3,2)="","",INDEX(事業所台帳!$B$4:$F$203,EA3,2))</f>
        <v/>
      </c>
      <c r="EB5" s="717" t="str">
        <f>IF(INDEX(事業所台帳!$B$4:$F$203,EB3,2)="","",INDEX(事業所台帳!$B$4:$F$203,EB3,2))</f>
        <v/>
      </c>
      <c r="EC5" s="717" t="str">
        <f>IF(INDEX(事業所台帳!$B$4:$F$203,EC3,2)="","",INDEX(事業所台帳!$B$4:$F$203,EC3,2))</f>
        <v/>
      </c>
      <c r="ED5" s="717" t="str">
        <f>IF(INDEX(事業所台帳!$B$4:$F$203,ED3,2)="","",INDEX(事業所台帳!$B$4:$F$203,ED3,2))</f>
        <v/>
      </c>
      <c r="EE5" s="717" t="str">
        <f>IF(INDEX(事業所台帳!$B$4:$F$203,EE3,2)="","",INDEX(事業所台帳!$B$4:$F$203,EE3,2))</f>
        <v/>
      </c>
      <c r="EF5" s="717" t="str">
        <f>IF(INDEX(事業所台帳!$B$4:$F$203,EF3,2)="","",INDEX(事業所台帳!$B$4:$F$203,EF3,2))</f>
        <v/>
      </c>
      <c r="EG5" s="717" t="str">
        <f>IF(INDEX(事業所台帳!$B$4:$F$203,EG3,2)="","",INDEX(事業所台帳!$B$4:$F$203,EG3,2))</f>
        <v/>
      </c>
      <c r="EH5" s="717" t="str">
        <f>IF(INDEX(事業所台帳!$B$4:$F$203,EH3,2)="","",INDEX(事業所台帳!$B$4:$F$203,EH3,2))</f>
        <v/>
      </c>
      <c r="EI5" s="717" t="str">
        <f>IF(INDEX(事業所台帳!$B$4:$F$203,EI3,2)="","",INDEX(事業所台帳!$B$4:$F$203,EI3,2))</f>
        <v/>
      </c>
      <c r="EJ5" s="717" t="str">
        <f>IF(INDEX(事業所台帳!$B$4:$F$203,EJ3,2)="","",INDEX(事業所台帳!$B$4:$F$203,EJ3,2))</f>
        <v/>
      </c>
      <c r="EK5" s="717" t="str">
        <f>IF(INDEX(事業所台帳!$B$4:$F$203,EK3,2)="","",INDEX(事業所台帳!$B$4:$F$203,EK3,2))</f>
        <v/>
      </c>
      <c r="EL5" s="717" t="str">
        <f>IF(INDEX(事業所台帳!$B$4:$F$203,EL3,2)="","",INDEX(事業所台帳!$B$4:$F$203,EL3,2))</f>
        <v/>
      </c>
      <c r="EM5" s="717" t="str">
        <f>IF(INDEX(事業所台帳!$B$4:$F$203,EM3,2)="","",INDEX(事業所台帳!$B$4:$F$203,EM3,2))</f>
        <v/>
      </c>
      <c r="EN5" s="717" t="str">
        <f>IF(INDEX(事業所台帳!$B$4:$F$203,EN3,2)="","",INDEX(事業所台帳!$B$4:$F$203,EN3,2))</f>
        <v/>
      </c>
      <c r="EO5" s="717" t="str">
        <f>IF(INDEX(事業所台帳!$B$4:$F$203,EO3,2)="","",INDEX(事業所台帳!$B$4:$F$203,EO3,2))</f>
        <v/>
      </c>
      <c r="EP5" s="717" t="str">
        <f>IF(INDEX(事業所台帳!$B$4:$F$203,EP3,2)="","",INDEX(事業所台帳!$B$4:$F$203,EP3,2))</f>
        <v/>
      </c>
      <c r="EQ5" s="717" t="str">
        <f>IF(INDEX(事業所台帳!$B$4:$F$203,EQ3,2)="","",INDEX(事業所台帳!$B$4:$F$203,EQ3,2))</f>
        <v/>
      </c>
      <c r="ER5" s="717" t="str">
        <f>IF(INDEX(事業所台帳!$B$4:$F$203,ER3,2)="","",INDEX(事業所台帳!$B$4:$F$203,ER3,2))</f>
        <v/>
      </c>
      <c r="ES5" s="717" t="str">
        <f>IF(INDEX(事業所台帳!$B$4:$F$203,ES3,2)="","",INDEX(事業所台帳!$B$4:$F$203,ES3,2))</f>
        <v/>
      </c>
      <c r="ET5" s="717" t="str">
        <f>IF(INDEX(事業所台帳!$B$4:$F$203,ET3,2)="","",INDEX(事業所台帳!$B$4:$F$203,ET3,2))</f>
        <v/>
      </c>
      <c r="EU5" s="717" t="str">
        <f>IF(INDEX(事業所台帳!$B$4:$F$203,EU3,2)="","",INDEX(事業所台帳!$B$4:$F$203,EU3,2))</f>
        <v/>
      </c>
      <c r="EV5" s="717" t="str">
        <f>IF(INDEX(事業所台帳!$B$4:$F$203,EV3,2)="","",INDEX(事業所台帳!$B$4:$F$203,EV3,2))</f>
        <v/>
      </c>
      <c r="EW5" s="717" t="str">
        <f>IF(INDEX(事業所台帳!$B$4:$F$203,EW3,2)="","",INDEX(事業所台帳!$B$4:$F$203,EW3,2))</f>
        <v/>
      </c>
      <c r="EX5" s="717" t="str">
        <f>IF(INDEX(事業所台帳!$B$4:$F$203,EX3,2)="","",INDEX(事業所台帳!$B$4:$F$203,EX3,2))</f>
        <v/>
      </c>
      <c r="EY5" s="717" t="str">
        <f>IF(INDEX(事業所台帳!$B$4:$F$203,EY3,2)="","",INDEX(事業所台帳!$B$4:$F$203,EY3,2))</f>
        <v/>
      </c>
      <c r="EZ5" s="717" t="str">
        <f>IF(INDEX(事業所台帳!$B$4:$F$203,EZ3,2)="","",INDEX(事業所台帳!$B$4:$F$203,EZ3,2))</f>
        <v/>
      </c>
      <c r="FA5" s="717" t="str">
        <f>IF(INDEX(事業所台帳!$B$4:$F$203,FA3,2)="","",INDEX(事業所台帳!$B$4:$F$203,FA3,2))</f>
        <v/>
      </c>
      <c r="FB5" s="717" t="str">
        <f>IF(INDEX(事業所台帳!$B$4:$F$203,FB3,2)="","",INDEX(事業所台帳!$B$4:$F$203,FB3,2))</f>
        <v/>
      </c>
      <c r="FC5" s="717" t="str">
        <f>IF(INDEX(事業所台帳!$B$4:$F$203,FC3,2)="","",INDEX(事業所台帳!$B$4:$F$203,FC3,2))</f>
        <v/>
      </c>
      <c r="FD5" s="717" t="str">
        <f>IF(INDEX(事業所台帳!$B$4:$F$203,FD3,2)="","",INDEX(事業所台帳!$B$4:$F$203,FD3,2))</f>
        <v/>
      </c>
      <c r="FE5" s="717" t="str">
        <f>IF(INDEX(事業所台帳!$B$4:$F$203,FE3,2)="","",INDEX(事業所台帳!$B$4:$F$203,FE3,2))</f>
        <v/>
      </c>
      <c r="FF5" s="717" t="str">
        <f>IF(INDEX(事業所台帳!$B$4:$F$203,FF3,2)="","",INDEX(事業所台帳!$B$4:$F$203,FF3,2))</f>
        <v/>
      </c>
      <c r="FG5" s="717" t="str">
        <f>IF(INDEX(事業所台帳!$B$4:$F$203,FG3,2)="","",INDEX(事業所台帳!$B$4:$F$203,FG3,2))</f>
        <v/>
      </c>
      <c r="FH5" s="717" t="str">
        <f>IF(INDEX(事業所台帳!$B$4:$F$203,FH3,2)="","",INDEX(事業所台帳!$B$4:$F$203,FH3,2))</f>
        <v/>
      </c>
      <c r="FI5" s="717" t="str">
        <f>IF(INDEX(事業所台帳!$B$4:$F$203,FI3,2)="","",INDEX(事業所台帳!$B$4:$F$203,FI3,2))</f>
        <v/>
      </c>
      <c r="FJ5" s="717" t="str">
        <f>IF(INDEX(事業所台帳!$B$4:$F$203,FJ3,2)="","",INDEX(事業所台帳!$B$4:$F$203,FJ3,2))</f>
        <v/>
      </c>
      <c r="FK5" s="717" t="str">
        <f>IF(INDEX(事業所台帳!$B$4:$F$203,FK3,2)="","",INDEX(事業所台帳!$B$4:$F$203,FK3,2))</f>
        <v/>
      </c>
      <c r="FL5" s="717" t="str">
        <f>IF(INDEX(事業所台帳!$B$4:$F$203,FL3,2)="","",INDEX(事業所台帳!$B$4:$F$203,FL3,2))</f>
        <v/>
      </c>
      <c r="FM5" s="717" t="str">
        <f>IF(INDEX(事業所台帳!$B$4:$F$203,FM3,2)="","",INDEX(事業所台帳!$B$4:$F$203,FM3,2))</f>
        <v/>
      </c>
      <c r="FN5" s="717" t="str">
        <f>IF(INDEX(事業所台帳!$B$4:$F$203,FN3,2)="","",INDEX(事業所台帳!$B$4:$F$203,FN3,2))</f>
        <v/>
      </c>
      <c r="FO5" s="717" t="str">
        <f>IF(INDEX(事業所台帳!$B$4:$F$203,FO3,2)="","",INDEX(事業所台帳!$B$4:$F$203,FO3,2))</f>
        <v/>
      </c>
      <c r="FP5" s="717" t="str">
        <f>IF(INDEX(事業所台帳!$B$4:$F$203,FP3,2)="","",INDEX(事業所台帳!$B$4:$F$203,FP3,2))</f>
        <v/>
      </c>
      <c r="FQ5" s="717" t="str">
        <f>IF(INDEX(事業所台帳!$B$4:$F$203,FQ3,2)="","",INDEX(事業所台帳!$B$4:$F$203,FQ3,2))</f>
        <v/>
      </c>
      <c r="FR5" s="717" t="str">
        <f>IF(INDEX(事業所台帳!$B$4:$F$203,FR3,2)="","",INDEX(事業所台帳!$B$4:$F$203,FR3,2))</f>
        <v/>
      </c>
      <c r="FS5" s="717" t="str">
        <f>IF(INDEX(事業所台帳!$B$4:$F$203,FS3,2)="","",INDEX(事業所台帳!$B$4:$F$203,FS3,2))</f>
        <v/>
      </c>
      <c r="FT5" s="717" t="str">
        <f>IF(INDEX(事業所台帳!$B$4:$F$203,FT3,2)="","",INDEX(事業所台帳!$B$4:$F$203,FT3,2))</f>
        <v/>
      </c>
      <c r="FU5" s="717" t="str">
        <f>IF(INDEX(事業所台帳!$B$4:$F$203,FU3,2)="","",INDEX(事業所台帳!$B$4:$F$203,FU3,2))</f>
        <v/>
      </c>
      <c r="FV5" s="717" t="str">
        <f>IF(INDEX(事業所台帳!$B$4:$F$203,FV3,2)="","",INDEX(事業所台帳!$B$4:$F$203,FV3,2))</f>
        <v/>
      </c>
      <c r="FW5" s="717" t="str">
        <f>IF(INDEX(事業所台帳!$B$4:$F$203,FW3,2)="","",INDEX(事業所台帳!$B$4:$F$203,FW3,2))</f>
        <v/>
      </c>
      <c r="FX5" s="717" t="str">
        <f>IF(INDEX(事業所台帳!$B$4:$F$203,FX3,2)="","",INDEX(事業所台帳!$B$4:$F$203,FX3,2))</f>
        <v/>
      </c>
      <c r="FY5" s="717" t="str">
        <f>IF(INDEX(事業所台帳!$B$4:$F$203,FY3,2)="","",INDEX(事業所台帳!$B$4:$F$203,FY3,2))</f>
        <v/>
      </c>
      <c r="FZ5" s="717" t="str">
        <f>IF(INDEX(事業所台帳!$B$4:$F$203,FZ3,2)="","",INDEX(事業所台帳!$B$4:$F$203,FZ3,2))</f>
        <v/>
      </c>
      <c r="GA5" s="717" t="str">
        <f>IF(INDEX(事業所台帳!$B$4:$F$203,GA3,2)="","",INDEX(事業所台帳!$B$4:$F$203,GA3,2))</f>
        <v/>
      </c>
      <c r="GB5" s="717" t="str">
        <f>IF(INDEX(事業所台帳!$B$4:$F$203,GB3,2)="","",INDEX(事業所台帳!$B$4:$F$203,GB3,2))</f>
        <v/>
      </c>
      <c r="GC5" s="717" t="str">
        <f>IF(INDEX(事業所台帳!$B$4:$F$203,GC3,2)="","",INDEX(事業所台帳!$B$4:$F$203,GC3,2))</f>
        <v/>
      </c>
      <c r="GD5" s="717" t="str">
        <f>IF(INDEX(事業所台帳!$B$4:$F$203,GD3,2)="","",INDEX(事業所台帳!$B$4:$F$203,GD3,2))</f>
        <v/>
      </c>
      <c r="GE5" s="717" t="str">
        <f>IF(INDEX(事業所台帳!$B$4:$F$203,GE3,2)="","",INDEX(事業所台帳!$B$4:$F$203,GE3,2))</f>
        <v/>
      </c>
      <c r="GF5" s="717" t="str">
        <f>IF(INDEX(事業所台帳!$B$4:$F$203,GF3,2)="","",INDEX(事業所台帳!$B$4:$F$203,GF3,2))</f>
        <v/>
      </c>
      <c r="GG5" s="717" t="str">
        <f>IF(INDEX(事業所台帳!$B$4:$F$203,GG3,2)="","",INDEX(事業所台帳!$B$4:$F$203,GG3,2))</f>
        <v/>
      </c>
      <c r="GH5" s="717" t="str">
        <f>IF(INDEX(事業所台帳!$B$4:$F$203,GH3,2)="","",INDEX(事業所台帳!$B$4:$F$203,GH3,2))</f>
        <v/>
      </c>
      <c r="GI5" s="717" t="str">
        <f>IF(INDEX(事業所台帳!$B$4:$F$203,GI3,2)="","",INDEX(事業所台帳!$B$4:$F$203,GI3,2))</f>
        <v/>
      </c>
      <c r="GJ5" s="717" t="str">
        <f>IF(INDEX(事業所台帳!$B$4:$F$203,GJ3,2)="","",INDEX(事業所台帳!$B$4:$F$203,GJ3,2))</f>
        <v/>
      </c>
      <c r="GK5" s="717" t="str">
        <f>IF(INDEX(事業所台帳!$B$4:$F$203,GK3,2)="","",INDEX(事業所台帳!$B$4:$F$203,GK3,2))</f>
        <v/>
      </c>
      <c r="GL5" s="717" t="str">
        <f>IF(INDEX(事業所台帳!$B$4:$F$203,GL3,2)="","",INDEX(事業所台帳!$B$4:$F$203,GL3,2))</f>
        <v/>
      </c>
      <c r="GM5" s="717" t="str">
        <f>IF(INDEX(事業所台帳!$B$4:$F$203,GM3,2)="","",INDEX(事業所台帳!$B$4:$F$203,GM3,2))</f>
        <v/>
      </c>
      <c r="GN5" s="717" t="str">
        <f>IF(INDEX(事業所台帳!$B$4:$F$203,GN3,2)="","",INDEX(事業所台帳!$B$4:$F$203,GN3,2))</f>
        <v/>
      </c>
      <c r="GO5" s="717" t="str">
        <f>IF(INDEX(事業所台帳!$B$4:$F$203,GO3,2)="","",INDEX(事業所台帳!$B$4:$F$203,GO3,2))</f>
        <v/>
      </c>
      <c r="GP5" s="717" t="str">
        <f>IF(INDEX(事業所台帳!$B$4:$F$203,GP3,2)="","",INDEX(事業所台帳!$B$4:$F$203,GP3,2))</f>
        <v/>
      </c>
      <c r="GQ5" s="717" t="str">
        <f>IF(INDEX(事業所台帳!$B$4:$F$203,GQ3,2)="","",INDEX(事業所台帳!$B$4:$F$203,GQ3,2))</f>
        <v/>
      </c>
      <c r="GR5" s="717" t="str">
        <f>IF(INDEX(事業所台帳!$B$4:$F$203,GR3,2)="","",INDEX(事業所台帳!$B$4:$F$203,GR3,2))</f>
        <v/>
      </c>
      <c r="GS5" s="717" t="str">
        <f>IF(INDEX(事業所台帳!$B$4:$F$203,GS3,2)="","",INDEX(事業所台帳!$B$4:$F$203,GS3,2))</f>
        <v/>
      </c>
      <c r="GT5" s="717" t="str">
        <f>IF(INDEX(事業所台帳!$B$4:$F$203,GT3,2)="","",INDEX(事業所台帳!$B$4:$F$203,GT3,2))</f>
        <v/>
      </c>
      <c r="GU5" s="718" t="str">
        <f>IF(INDEX(事業所台帳!$B$4:$F$203,GU3,2)="","",INDEX(事業所台帳!$B$4:$F$203,GU3,2))</f>
        <v/>
      </c>
    </row>
    <row r="6" spans="1:203" s="7" customFormat="1" ht="23.25" customHeight="1">
      <c r="A6" s="1196" t="s">
        <v>2377</v>
      </c>
      <c r="B6" s="1197"/>
      <c r="C6" s="719"/>
      <c r="D6" s="717">
        <f>IF(INDEX(事業所台帳!$B$4:$F$203,D3,3)="","",INDEX(事業所台帳!$B$4:$F$203,D3,3))</f>
        <v>0</v>
      </c>
      <c r="E6" s="717" t="str">
        <f>IF(INDEX(事業所台帳!$B$4:$F$203,E3,3)="","",INDEX(事業所台帳!$B$4:$F$203,E3,3))</f>
        <v/>
      </c>
      <c r="F6" s="717" t="str">
        <f>IF(INDEX(事業所台帳!$B$4:$F$203,F3,3)="","",INDEX(事業所台帳!$B$4:$F$203,F3,3))</f>
        <v/>
      </c>
      <c r="G6" s="717" t="str">
        <f>IF(INDEX(事業所台帳!$B$4:$F$203,G3,3)="","",INDEX(事業所台帳!$B$4:$F$203,G3,3))</f>
        <v/>
      </c>
      <c r="H6" s="717" t="str">
        <f>IF(INDEX(事業所台帳!$B$4:$F$203,H3,3)="","",INDEX(事業所台帳!$B$4:$F$203,H3,3))</f>
        <v/>
      </c>
      <c r="I6" s="717" t="str">
        <f>IF(INDEX(事業所台帳!$B$4:$F$203,I3,3)="","",INDEX(事業所台帳!$B$4:$F$203,I3,3))</f>
        <v/>
      </c>
      <c r="J6" s="717" t="str">
        <f>IF(INDEX(事業所台帳!$B$4:$F$203,J3,3)="","",INDEX(事業所台帳!$B$4:$F$203,J3,3))</f>
        <v/>
      </c>
      <c r="K6" s="717" t="str">
        <f>IF(INDEX(事業所台帳!$B$4:$F$203,K3,3)="","",INDEX(事業所台帳!$B$4:$F$203,K3,3))</f>
        <v/>
      </c>
      <c r="L6" s="717" t="str">
        <f>IF(INDEX(事業所台帳!$B$4:$F$203,L3,3)="","",INDEX(事業所台帳!$B$4:$F$203,L3,3))</f>
        <v/>
      </c>
      <c r="M6" s="717" t="str">
        <f>IF(INDEX(事業所台帳!$B$4:$F$203,M3,3)="","",INDEX(事業所台帳!$B$4:$F$203,M3,3))</f>
        <v/>
      </c>
      <c r="N6" s="717" t="str">
        <f>IF(INDEX(事業所台帳!$B$4:$F$203,N3,3)="","",INDEX(事業所台帳!$B$4:$F$203,N3,3))</f>
        <v/>
      </c>
      <c r="O6" s="717" t="str">
        <f>IF(INDEX(事業所台帳!$B$4:$F$203,O3,3)="","",INDEX(事業所台帳!$B$4:$F$203,O3,3))</f>
        <v/>
      </c>
      <c r="P6" s="717" t="str">
        <f>IF(INDEX(事業所台帳!$B$4:$F$203,P3,3)="","",INDEX(事業所台帳!$B$4:$F$203,P3,3))</f>
        <v/>
      </c>
      <c r="Q6" s="717" t="str">
        <f>IF(INDEX(事業所台帳!$B$4:$F$203,Q3,3)="","",INDEX(事業所台帳!$B$4:$F$203,Q3,3))</f>
        <v/>
      </c>
      <c r="R6" s="717" t="str">
        <f>IF(INDEX(事業所台帳!$B$4:$F$203,R3,3)="","",INDEX(事業所台帳!$B$4:$F$203,R3,3))</f>
        <v/>
      </c>
      <c r="S6" s="717" t="str">
        <f>IF(INDEX(事業所台帳!$B$4:$F$203,S3,3)="","",INDEX(事業所台帳!$B$4:$F$203,S3,3))</f>
        <v/>
      </c>
      <c r="T6" s="717" t="str">
        <f>IF(INDEX(事業所台帳!$B$4:$F$203,T3,3)="","",INDEX(事業所台帳!$B$4:$F$203,T3,3))</f>
        <v/>
      </c>
      <c r="U6" s="717" t="str">
        <f>IF(INDEX(事業所台帳!$B$4:$F$203,U3,3)="","",INDEX(事業所台帳!$B$4:$F$203,U3,3))</f>
        <v/>
      </c>
      <c r="V6" s="717" t="str">
        <f>IF(INDEX(事業所台帳!$B$4:$F$203,V3,3)="","",INDEX(事業所台帳!$B$4:$F$203,V3,3))</f>
        <v/>
      </c>
      <c r="W6" s="717" t="str">
        <f>IF(INDEX(事業所台帳!$B$4:$F$203,W3,3)="","",INDEX(事業所台帳!$B$4:$F$203,W3,3))</f>
        <v/>
      </c>
      <c r="X6" s="717" t="str">
        <f>IF(INDEX(事業所台帳!$B$4:$F$203,X3,3)="","",INDEX(事業所台帳!$B$4:$F$203,X3,3))</f>
        <v/>
      </c>
      <c r="Y6" s="717" t="str">
        <f>IF(INDEX(事業所台帳!$B$4:$F$203,Y3,3)="","",INDEX(事業所台帳!$B$4:$F$203,Y3,3))</f>
        <v/>
      </c>
      <c r="Z6" s="717" t="str">
        <f>IF(INDEX(事業所台帳!$B$4:$F$203,Z3,3)="","",INDEX(事業所台帳!$B$4:$F$203,Z3,3))</f>
        <v/>
      </c>
      <c r="AA6" s="717" t="str">
        <f>IF(INDEX(事業所台帳!$B$4:$F$203,AA3,3)="","",INDEX(事業所台帳!$B$4:$F$203,AA3,3))</f>
        <v/>
      </c>
      <c r="AB6" s="717" t="str">
        <f>IF(INDEX(事業所台帳!$B$4:$F$203,AB3,3)="","",INDEX(事業所台帳!$B$4:$F$203,AB3,3))</f>
        <v/>
      </c>
      <c r="AC6" s="717" t="str">
        <f>IF(INDEX(事業所台帳!$B$4:$F$203,AC3,3)="","",INDEX(事業所台帳!$B$4:$F$203,AC3,3))</f>
        <v/>
      </c>
      <c r="AD6" s="717" t="str">
        <f>IF(INDEX(事業所台帳!$B$4:$F$203,AD3,3)="","",INDEX(事業所台帳!$B$4:$F$203,AD3,3))</f>
        <v/>
      </c>
      <c r="AE6" s="717" t="str">
        <f>IF(INDEX(事業所台帳!$B$4:$F$203,AE3,3)="","",INDEX(事業所台帳!$B$4:$F$203,AE3,3))</f>
        <v/>
      </c>
      <c r="AF6" s="717" t="str">
        <f>IF(INDEX(事業所台帳!$B$4:$F$203,AF3,3)="","",INDEX(事業所台帳!$B$4:$F$203,AF3,3))</f>
        <v/>
      </c>
      <c r="AG6" s="717" t="str">
        <f>IF(INDEX(事業所台帳!$B$4:$F$203,AG3,3)="","",INDEX(事業所台帳!$B$4:$F$203,AG3,3))</f>
        <v/>
      </c>
      <c r="AH6" s="717" t="str">
        <f>IF(INDEX(事業所台帳!$B$4:$F$203,AH3,3)="","",INDEX(事業所台帳!$B$4:$F$203,AH3,3))</f>
        <v/>
      </c>
      <c r="AI6" s="717" t="str">
        <f>IF(INDEX(事業所台帳!$B$4:$F$203,AI3,3)="","",INDEX(事業所台帳!$B$4:$F$203,AI3,3))</f>
        <v/>
      </c>
      <c r="AJ6" s="717" t="str">
        <f>IF(INDEX(事業所台帳!$B$4:$F$203,AJ3,3)="","",INDEX(事業所台帳!$B$4:$F$203,AJ3,3))</f>
        <v/>
      </c>
      <c r="AK6" s="717" t="str">
        <f>IF(INDEX(事業所台帳!$B$4:$F$203,AK3,3)="","",INDEX(事業所台帳!$B$4:$F$203,AK3,3))</f>
        <v/>
      </c>
      <c r="AL6" s="717" t="str">
        <f>IF(INDEX(事業所台帳!$B$4:$F$203,AL3,3)="","",INDEX(事業所台帳!$B$4:$F$203,AL3,3))</f>
        <v/>
      </c>
      <c r="AM6" s="717" t="str">
        <f>IF(INDEX(事業所台帳!$B$4:$F$203,AM3,3)="","",INDEX(事業所台帳!$B$4:$F$203,AM3,3))</f>
        <v/>
      </c>
      <c r="AN6" s="717" t="str">
        <f>IF(INDEX(事業所台帳!$B$4:$F$203,AN3,3)="","",INDEX(事業所台帳!$B$4:$F$203,AN3,3))</f>
        <v/>
      </c>
      <c r="AO6" s="717" t="str">
        <f>IF(INDEX(事業所台帳!$B$4:$F$203,AO3,3)="","",INDEX(事業所台帳!$B$4:$F$203,AO3,3))</f>
        <v/>
      </c>
      <c r="AP6" s="717" t="str">
        <f>IF(INDEX(事業所台帳!$B$4:$F$203,AP3,3)="","",INDEX(事業所台帳!$B$4:$F$203,AP3,3))</f>
        <v/>
      </c>
      <c r="AQ6" s="717" t="str">
        <f>IF(INDEX(事業所台帳!$B$4:$F$203,AQ3,3)="","",INDEX(事業所台帳!$B$4:$F$203,AQ3,3))</f>
        <v/>
      </c>
      <c r="AR6" s="717" t="str">
        <f>IF(INDEX(事業所台帳!$B$4:$F$203,AR3,3)="","",INDEX(事業所台帳!$B$4:$F$203,AR3,3))</f>
        <v/>
      </c>
      <c r="AS6" s="717" t="str">
        <f>IF(INDEX(事業所台帳!$B$4:$F$203,AS3,3)="","",INDEX(事業所台帳!$B$4:$F$203,AS3,3))</f>
        <v/>
      </c>
      <c r="AT6" s="717" t="str">
        <f>IF(INDEX(事業所台帳!$B$4:$F$203,AT3,3)="","",INDEX(事業所台帳!$B$4:$F$203,AT3,3))</f>
        <v/>
      </c>
      <c r="AU6" s="717" t="str">
        <f>IF(INDEX(事業所台帳!$B$4:$F$203,AU3,3)="","",INDEX(事業所台帳!$B$4:$F$203,AU3,3))</f>
        <v/>
      </c>
      <c r="AV6" s="717" t="str">
        <f>IF(INDEX(事業所台帳!$B$4:$F$203,AV3,3)="","",INDEX(事業所台帳!$B$4:$F$203,AV3,3))</f>
        <v/>
      </c>
      <c r="AW6" s="717" t="str">
        <f>IF(INDEX(事業所台帳!$B$4:$F$203,AW3,3)="","",INDEX(事業所台帳!$B$4:$F$203,AW3,3))</f>
        <v/>
      </c>
      <c r="AX6" s="717" t="str">
        <f>IF(INDEX(事業所台帳!$B$4:$F$203,AX3,3)="","",INDEX(事業所台帳!$B$4:$F$203,AX3,3))</f>
        <v/>
      </c>
      <c r="AY6" s="717" t="str">
        <f>IF(INDEX(事業所台帳!$B$4:$F$203,AY3,3)="","",INDEX(事業所台帳!$B$4:$F$203,AY3,3))</f>
        <v/>
      </c>
      <c r="AZ6" s="717" t="str">
        <f>IF(INDEX(事業所台帳!$B$4:$F$203,AZ3,3)="","",INDEX(事業所台帳!$B$4:$F$203,AZ3,3))</f>
        <v/>
      </c>
      <c r="BA6" s="717" t="str">
        <f>IF(INDEX(事業所台帳!$B$4:$F$203,BA3,3)="","",INDEX(事業所台帳!$B$4:$F$203,BA3,3))</f>
        <v/>
      </c>
      <c r="BB6" s="717" t="str">
        <f>IF(INDEX(事業所台帳!$B$4:$F$203,BB3,3)="","",INDEX(事業所台帳!$B$4:$F$203,BB3,3))</f>
        <v/>
      </c>
      <c r="BC6" s="717" t="str">
        <f>IF(INDEX(事業所台帳!$B$4:$F$203,BC3,3)="","",INDEX(事業所台帳!$B$4:$F$203,BC3,3))</f>
        <v/>
      </c>
      <c r="BD6" s="717" t="str">
        <f>IF(INDEX(事業所台帳!$B$4:$F$203,BD3,3)="","",INDEX(事業所台帳!$B$4:$F$203,BD3,3))</f>
        <v/>
      </c>
      <c r="BE6" s="717" t="str">
        <f>IF(INDEX(事業所台帳!$B$4:$F$203,BE3,3)="","",INDEX(事業所台帳!$B$4:$F$203,BE3,3))</f>
        <v/>
      </c>
      <c r="BF6" s="717" t="str">
        <f>IF(INDEX(事業所台帳!$B$4:$F$203,BF3,3)="","",INDEX(事業所台帳!$B$4:$F$203,BF3,3))</f>
        <v/>
      </c>
      <c r="BG6" s="717" t="str">
        <f>IF(INDEX(事業所台帳!$B$4:$F$203,BG3,3)="","",INDEX(事業所台帳!$B$4:$F$203,BG3,3))</f>
        <v/>
      </c>
      <c r="BH6" s="717" t="str">
        <f>IF(INDEX(事業所台帳!$B$4:$F$203,BH3,3)="","",INDEX(事業所台帳!$B$4:$F$203,BH3,3))</f>
        <v/>
      </c>
      <c r="BI6" s="717" t="str">
        <f>IF(INDEX(事業所台帳!$B$4:$F$203,BI3,3)="","",INDEX(事業所台帳!$B$4:$F$203,BI3,3))</f>
        <v/>
      </c>
      <c r="BJ6" s="717" t="str">
        <f>IF(INDEX(事業所台帳!$B$4:$F$203,BJ3,3)="","",INDEX(事業所台帳!$B$4:$F$203,BJ3,3))</f>
        <v/>
      </c>
      <c r="BK6" s="717" t="str">
        <f>IF(INDEX(事業所台帳!$B$4:$F$203,BK3,3)="","",INDEX(事業所台帳!$B$4:$F$203,BK3,3))</f>
        <v/>
      </c>
      <c r="BL6" s="717" t="str">
        <f>IF(INDEX(事業所台帳!$B$4:$F$203,BL3,3)="","",INDEX(事業所台帳!$B$4:$F$203,BL3,3))</f>
        <v/>
      </c>
      <c r="BM6" s="717" t="str">
        <f>IF(INDEX(事業所台帳!$B$4:$F$203,BM3,3)="","",INDEX(事業所台帳!$B$4:$F$203,BM3,3))</f>
        <v/>
      </c>
      <c r="BN6" s="717" t="str">
        <f>IF(INDEX(事業所台帳!$B$4:$F$203,BN3,3)="","",INDEX(事業所台帳!$B$4:$F$203,BN3,3))</f>
        <v/>
      </c>
      <c r="BO6" s="717" t="str">
        <f>IF(INDEX(事業所台帳!$B$4:$F$203,BO3,3)="","",INDEX(事業所台帳!$B$4:$F$203,BO3,3))</f>
        <v/>
      </c>
      <c r="BP6" s="717" t="str">
        <f>IF(INDEX(事業所台帳!$B$4:$F$203,BP3,3)="","",INDEX(事業所台帳!$B$4:$F$203,BP3,3))</f>
        <v/>
      </c>
      <c r="BQ6" s="717" t="str">
        <f>IF(INDEX(事業所台帳!$B$4:$F$203,BQ3,3)="","",INDEX(事業所台帳!$B$4:$F$203,BQ3,3))</f>
        <v/>
      </c>
      <c r="BR6" s="717" t="str">
        <f>IF(INDEX(事業所台帳!$B$4:$F$203,BR3,3)="","",INDEX(事業所台帳!$B$4:$F$203,BR3,3))</f>
        <v/>
      </c>
      <c r="BS6" s="717" t="str">
        <f>IF(INDEX(事業所台帳!$B$4:$F$203,BS3,3)="","",INDEX(事業所台帳!$B$4:$F$203,BS3,3))</f>
        <v/>
      </c>
      <c r="BT6" s="717" t="str">
        <f>IF(INDEX(事業所台帳!$B$4:$F$203,BT3,3)="","",INDEX(事業所台帳!$B$4:$F$203,BT3,3))</f>
        <v/>
      </c>
      <c r="BU6" s="717" t="str">
        <f>IF(INDEX(事業所台帳!$B$4:$F$203,BU3,3)="","",INDEX(事業所台帳!$B$4:$F$203,BU3,3))</f>
        <v/>
      </c>
      <c r="BV6" s="717" t="str">
        <f>IF(INDEX(事業所台帳!$B$4:$F$203,BV3,3)="","",INDEX(事業所台帳!$B$4:$F$203,BV3,3))</f>
        <v/>
      </c>
      <c r="BW6" s="717" t="str">
        <f>IF(INDEX(事業所台帳!$B$4:$F$203,BW3,3)="","",INDEX(事業所台帳!$B$4:$F$203,BW3,3))</f>
        <v/>
      </c>
      <c r="BX6" s="717" t="str">
        <f>IF(INDEX(事業所台帳!$B$4:$F$203,BX3,3)="","",INDEX(事業所台帳!$B$4:$F$203,BX3,3))</f>
        <v/>
      </c>
      <c r="BY6" s="717" t="str">
        <f>IF(INDEX(事業所台帳!$B$4:$F$203,BY3,3)="","",INDEX(事業所台帳!$B$4:$F$203,BY3,3))</f>
        <v/>
      </c>
      <c r="BZ6" s="717" t="str">
        <f>IF(INDEX(事業所台帳!$B$4:$F$203,BZ3,3)="","",INDEX(事業所台帳!$B$4:$F$203,BZ3,3))</f>
        <v/>
      </c>
      <c r="CA6" s="717" t="str">
        <f>IF(INDEX(事業所台帳!$B$4:$F$203,CA3,3)="","",INDEX(事業所台帳!$B$4:$F$203,CA3,3))</f>
        <v/>
      </c>
      <c r="CB6" s="717" t="str">
        <f>IF(INDEX(事業所台帳!$B$4:$F$203,CB3,3)="","",INDEX(事業所台帳!$B$4:$F$203,CB3,3))</f>
        <v/>
      </c>
      <c r="CC6" s="717" t="str">
        <f>IF(INDEX(事業所台帳!$B$4:$F$203,CC3,3)="","",INDEX(事業所台帳!$B$4:$F$203,CC3,3))</f>
        <v/>
      </c>
      <c r="CD6" s="717" t="str">
        <f>IF(INDEX(事業所台帳!$B$4:$F$203,CD3,3)="","",INDEX(事業所台帳!$B$4:$F$203,CD3,3))</f>
        <v/>
      </c>
      <c r="CE6" s="717" t="str">
        <f>IF(INDEX(事業所台帳!$B$4:$F$203,CE3,3)="","",INDEX(事業所台帳!$B$4:$F$203,CE3,3))</f>
        <v/>
      </c>
      <c r="CF6" s="717" t="str">
        <f>IF(INDEX(事業所台帳!$B$4:$F$203,CF3,3)="","",INDEX(事業所台帳!$B$4:$F$203,CF3,3))</f>
        <v/>
      </c>
      <c r="CG6" s="717" t="str">
        <f>IF(INDEX(事業所台帳!$B$4:$F$203,CG3,3)="","",INDEX(事業所台帳!$B$4:$F$203,CG3,3))</f>
        <v/>
      </c>
      <c r="CH6" s="717" t="str">
        <f>IF(INDEX(事業所台帳!$B$4:$F$203,CH3,3)="","",INDEX(事業所台帳!$B$4:$F$203,CH3,3))</f>
        <v/>
      </c>
      <c r="CI6" s="717" t="str">
        <f>IF(INDEX(事業所台帳!$B$4:$F$203,CI3,3)="","",INDEX(事業所台帳!$B$4:$F$203,CI3,3))</f>
        <v/>
      </c>
      <c r="CJ6" s="717" t="str">
        <f>IF(INDEX(事業所台帳!$B$4:$F$203,CJ3,3)="","",INDEX(事業所台帳!$B$4:$F$203,CJ3,3))</f>
        <v/>
      </c>
      <c r="CK6" s="717" t="str">
        <f>IF(INDEX(事業所台帳!$B$4:$F$203,CK3,3)="","",INDEX(事業所台帳!$B$4:$F$203,CK3,3))</f>
        <v/>
      </c>
      <c r="CL6" s="717" t="str">
        <f>IF(INDEX(事業所台帳!$B$4:$F$203,CL3,3)="","",INDEX(事業所台帳!$B$4:$F$203,CL3,3))</f>
        <v/>
      </c>
      <c r="CM6" s="717" t="str">
        <f>IF(INDEX(事業所台帳!$B$4:$F$203,CM3,3)="","",INDEX(事業所台帳!$B$4:$F$203,CM3,3))</f>
        <v/>
      </c>
      <c r="CN6" s="717" t="str">
        <f>IF(INDEX(事業所台帳!$B$4:$F$203,CN3,3)="","",INDEX(事業所台帳!$B$4:$F$203,CN3,3))</f>
        <v/>
      </c>
      <c r="CO6" s="717" t="str">
        <f>IF(INDEX(事業所台帳!$B$4:$F$203,CO3,3)="","",INDEX(事業所台帳!$B$4:$F$203,CO3,3))</f>
        <v/>
      </c>
      <c r="CP6" s="717" t="str">
        <f>IF(INDEX(事業所台帳!$B$4:$F$203,CP3,3)="","",INDEX(事業所台帳!$B$4:$F$203,CP3,3))</f>
        <v/>
      </c>
      <c r="CQ6" s="717" t="str">
        <f>IF(INDEX(事業所台帳!$B$4:$F$203,CQ3,3)="","",INDEX(事業所台帳!$B$4:$F$203,CQ3,3))</f>
        <v/>
      </c>
      <c r="CR6" s="717" t="str">
        <f>IF(INDEX(事業所台帳!$B$4:$F$203,CR3,3)="","",INDEX(事業所台帳!$B$4:$F$203,CR3,3))</f>
        <v/>
      </c>
      <c r="CS6" s="717" t="str">
        <f>IF(INDEX(事業所台帳!$B$4:$F$203,CS3,3)="","",INDEX(事業所台帳!$B$4:$F$203,CS3,3))</f>
        <v/>
      </c>
      <c r="CT6" s="717" t="str">
        <f>IF(INDEX(事業所台帳!$B$4:$F$203,CT3,3)="","",INDEX(事業所台帳!$B$4:$F$203,CT3,3))</f>
        <v/>
      </c>
      <c r="CU6" s="717" t="str">
        <f>IF(INDEX(事業所台帳!$B$4:$F$203,CU3,3)="","",INDEX(事業所台帳!$B$4:$F$203,CU3,3))</f>
        <v/>
      </c>
      <c r="CV6" s="717" t="str">
        <f>IF(INDEX(事業所台帳!$B$4:$F$203,CV3,3)="","",INDEX(事業所台帳!$B$4:$F$203,CV3,3))</f>
        <v/>
      </c>
      <c r="CW6" s="717" t="str">
        <f>IF(INDEX(事業所台帳!$B$4:$F$203,CW3,3)="","",INDEX(事業所台帳!$B$4:$F$203,CW3,3))</f>
        <v/>
      </c>
      <c r="CX6" s="717" t="str">
        <f>IF(INDEX(事業所台帳!$B$4:$F$203,CX3,3)="","",INDEX(事業所台帳!$B$4:$F$203,CX3,3))</f>
        <v/>
      </c>
      <c r="CY6" s="717" t="str">
        <f>IF(INDEX(事業所台帳!$B$4:$F$203,CY3,3)="","",INDEX(事業所台帳!$B$4:$F$203,CY3,3))</f>
        <v/>
      </c>
      <c r="CZ6" s="717" t="str">
        <f>IF(INDEX(事業所台帳!$B$4:$F$203,CZ3,3)="","",INDEX(事業所台帳!$B$4:$F$203,CZ3,3))</f>
        <v/>
      </c>
      <c r="DA6" s="717" t="str">
        <f>IF(INDEX(事業所台帳!$B$4:$F$203,DA3,3)="","",INDEX(事業所台帳!$B$4:$F$203,DA3,3))</f>
        <v/>
      </c>
      <c r="DB6" s="717" t="str">
        <f>IF(INDEX(事業所台帳!$B$4:$F$203,DB3,3)="","",INDEX(事業所台帳!$B$4:$F$203,DB3,3))</f>
        <v/>
      </c>
      <c r="DC6" s="717" t="str">
        <f>IF(INDEX(事業所台帳!$B$4:$F$203,DC3,3)="","",INDEX(事業所台帳!$B$4:$F$203,DC3,3))</f>
        <v/>
      </c>
      <c r="DD6" s="717" t="str">
        <f>IF(INDEX(事業所台帳!$B$4:$F$203,DD3,3)="","",INDEX(事業所台帳!$B$4:$F$203,DD3,3))</f>
        <v/>
      </c>
      <c r="DE6" s="717" t="str">
        <f>IF(INDEX(事業所台帳!$B$4:$F$203,DE3,3)="","",INDEX(事業所台帳!$B$4:$F$203,DE3,3))</f>
        <v/>
      </c>
      <c r="DF6" s="717" t="str">
        <f>IF(INDEX(事業所台帳!$B$4:$F$203,DF3,3)="","",INDEX(事業所台帳!$B$4:$F$203,DF3,3))</f>
        <v/>
      </c>
      <c r="DG6" s="717" t="str">
        <f>IF(INDEX(事業所台帳!$B$4:$F$203,DG3,3)="","",INDEX(事業所台帳!$B$4:$F$203,DG3,3))</f>
        <v/>
      </c>
      <c r="DH6" s="717" t="str">
        <f>IF(INDEX(事業所台帳!$B$4:$F$203,DH3,3)="","",INDEX(事業所台帳!$B$4:$F$203,DH3,3))</f>
        <v/>
      </c>
      <c r="DI6" s="717" t="str">
        <f>IF(INDEX(事業所台帳!$B$4:$F$203,DI3,3)="","",INDEX(事業所台帳!$B$4:$F$203,DI3,3))</f>
        <v/>
      </c>
      <c r="DJ6" s="717" t="str">
        <f>IF(INDEX(事業所台帳!$B$4:$F$203,DJ3,3)="","",INDEX(事業所台帳!$B$4:$F$203,DJ3,3))</f>
        <v/>
      </c>
      <c r="DK6" s="717" t="str">
        <f>IF(INDEX(事業所台帳!$B$4:$F$203,DK3,3)="","",INDEX(事業所台帳!$B$4:$F$203,DK3,3))</f>
        <v/>
      </c>
      <c r="DL6" s="717" t="str">
        <f>IF(INDEX(事業所台帳!$B$4:$F$203,DL3,3)="","",INDEX(事業所台帳!$B$4:$F$203,DL3,3))</f>
        <v/>
      </c>
      <c r="DM6" s="717" t="str">
        <f>IF(INDEX(事業所台帳!$B$4:$F$203,DM3,3)="","",INDEX(事業所台帳!$B$4:$F$203,DM3,3))</f>
        <v/>
      </c>
      <c r="DN6" s="717" t="str">
        <f>IF(INDEX(事業所台帳!$B$4:$F$203,DN3,3)="","",INDEX(事業所台帳!$B$4:$F$203,DN3,3))</f>
        <v/>
      </c>
      <c r="DO6" s="717" t="str">
        <f>IF(INDEX(事業所台帳!$B$4:$F$203,DO3,3)="","",INDEX(事業所台帳!$B$4:$F$203,DO3,3))</f>
        <v/>
      </c>
      <c r="DP6" s="717" t="str">
        <f>IF(INDEX(事業所台帳!$B$4:$F$203,DP3,3)="","",INDEX(事業所台帳!$B$4:$F$203,DP3,3))</f>
        <v/>
      </c>
      <c r="DQ6" s="717" t="str">
        <f>IF(INDEX(事業所台帳!$B$4:$F$203,DQ3,3)="","",INDEX(事業所台帳!$B$4:$F$203,DQ3,3))</f>
        <v/>
      </c>
      <c r="DR6" s="717" t="str">
        <f>IF(INDEX(事業所台帳!$B$4:$F$203,DR3,3)="","",INDEX(事業所台帳!$B$4:$F$203,DR3,3))</f>
        <v/>
      </c>
      <c r="DS6" s="717" t="str">
        <f>IF(INDEX(事業所台帳!$B$4:$F$203,DS3,3)="","",INDEX(事業所台帳!$B$4:$F$203,DS3,3))</f>
        <v/>
      </c>
      <c r="DT6" s="717" t="str">
        <f>IF(INDEX(事業所台帳!$B$4:$F$203,DT3,3)="","",INDEX(事業所台帳!$B$4:$F$203,DT3,3))</f>
        <v/>
      </c>
      <c r="DU6" s="717" t="str">
        <f>IF(INDEX(事業所台帳!$B$4:$F$203,DU3,3)="","",INDEX(事業所台帳!$B$4:$F$203,DU3,3))</f>
        <v/>
      </c>
      <c r="DV6" s="717" t="str">
        <f>IF(INDEX(事業所台帳!$B$4:$F$203,DV3,3)="","",INDEX(事業所台帳!$B$4:$F$203,DV3,3))</f>
        <v/>
      </c>
      <c r="DW6" s="717" t="str">
        <f>IF(INDEX(事業所台帳!$B$4:$F$203,DW3,3)="","",INDEX(事業所台帳!$B$4:$F$203,DW3,3))</f>
        <v/>
      </c>
      <c r="DX6" s="717" t="str">
        <f>IF(INDEX(事業所台帳!$B$4:$F$203,DX3,3)="","",INDEX(事業所台帳!$B$4:$F$203,DX3,3))</f>
        <v/>
      </c>
      <c r="DY6" s="717" t="str">
        <f>IF(INDEX(事業所台帳!$B$4:$F$203,DY3,3)="","",INDEX(事業所台帳!$B$4:$F$203,DY3,3))</f>
        <v/>
      </c>
      <c r="DZ6" s="717" t="str">
        <f>IF(INDEX(事業所台帳!$B$4:$F$203,DZ3,3)="","",INDEX(事業所台帳!$B$4:$F$203,DZ3,3))</f>
        <v/>
      </c>
      <c r="EA6" s="717" t="str">
        <f>IF(INDEX(事業所台帳!$B$4:$F$203,EA3,3)="","",INDEX(事業所台帳!$B$4:$F$203,EA3,3))</f>
        <v/>
      </c>
      <c r="EB6" s="717" t="str">
        <f>IF(INDEX(事業所台帳!$B$4:$F$203,EB3,3)="","",INDEX(事業所台帳!$B$4:$F$203,EB3,3))</f>
        <v/>
      </c>
      <c r="EC6" s="717" t="str">
        <f>IF(INDEX(事業所台帳!$B$4:$F$203,EC3,3)="","",INDEX(事業所台帳!$B$4:$F$203,EC3,3))</f>
        <v/>
      </c>
      <c r="ED6" s="717" t="str">
        <f>IF(INDEX(事業所台帳!$B$4:$F$203,ED3,3)="","",INDEX(事業所台帳!$B$4:$F$203,ED3,3))</f>
        <v/>
      </c>
      <c r="EE6" s="717" t="str">
        <f>IF(INDEX(事業所台帳!$B$4:$F$203,EE3,3)="","",INDEX(事業所台帳!$B$4:$F$203,EE3,3))</f>
        <v/>
      </c>
      <c r="EF6" s="717" t="str">
        <f>IF(INDEX(事業所台帳!$B$4:$F$203,EF3,3)="","",INDEX(事業所台帳!$B$4:$F$203,EF3,3))</f>
        <v/>
      </c>
      <c r="EG6" s="717" t="str">
        <f>IF(INDEX(事業所台帳!$B$4:$F$203,EG3,3)="","",INDEX(事業所台帳!$B$4:$F$203,EG3,3))</f>
        <v/>
      </c>
      <c r="EH6" s="717" t="str">
        <f>IF(INDEX(事業所台帳!$B$4:$F$203,EH3,3)="","",INDEX(事業所台帳!$B$4:$F$203,EH3,3))</f>
        <v/>
      </c>
      <c r="EI6" s="717" t="str">
        <f>IF(INDEX(事業所台帳!$B$4:$F$203,EI3,3)="","",INDEX(事業所台帳!$B$4:$F$203,EI3,3))</f>
        <v/>
      </c>
      <c r="EJ6" s="717" t="str">
        <f>IF(INDEX(事業所台帳!$B$4:$F$203,EJ3,3)="","",INDEX(事業所台帳!$B$4:$F$203,EJ3,3))</f>
        <v/>
      </c>
      <c r="EK6" s="717" t="str">
        <f>IF(INDEX(事業所台帳!$B$4:$F$203,EK3,3)="","",INDEX(事業所台帳!$B$4:$F$203,EK3,3))</f>
        <v/>
      </c>
      <c r="EL6" s="717" t="str">
        <f>IF(INDEX(事業所台帳!$B$4:$F$203,EL3,3)="","",INDEX(事業所台帳!$B$4:$F$203,EL3,3))</f>
        <v/>
      </c>
      <c r="EM6" s="717" t="str">
        <f>IF(INDEX(事業所台帳!$B$4:$F$203,EM3,3)="","",INDEX(事業所台帳!$B$4:$F$203,EM3,3))</f>
        <v/>
      </c>
      <c r="EN6" s="717" t="str">
        <f>IF(INDEX(事業所台帳!$B$4:$F$203,EN3,3)="","",INDEX(事業所台帳!$B$4:$F$203,EN3,3))</f>
        <v/>
      </c>
      <c r="EO6" s="717" t="str">
        <f>IF(INDEX(事業所台帳!$B$4:$F$203,EO3,3)="","",INDEX(事業所台帳!$B$4:$F$203,EO3,3))</f>
        <v/>
      </c>
      <c r="EP6" s="717" t="str">
        <f>IF(INDEX(事業所台帳!$B$4:$F$203,EP3,3)="","",INDEX(事業所台帳!$B$4:$F$203,EP3,3))</f>
        <v/>
      </c>
      <c r="EQ6" s="717" t="str">
        <f>IF(INDEX(事業所台帳!$B$4:$F$203,EQ3,3)="","",INDEX(事業所台帳!$B$4:$F$203,EQ3,3))</f>
        <v/>
      </c>
      <c r="ER6" s="717" t="str">
        <f>IF(INDEX(事業所台帳!$B$4:$F$203,ER3,3)="","",INDEX(事業所台帳!$B$4:$F$203,ER3,3))</f>
        <v/>
      </c>
      <c r="ES6" s="717" t="str">
        <f>IF(INDEX(事業所台帳!$B$4:$F$203,ES3,3)="","",INDEX(事業所台帳!$B$4:$F$203,ES3,3))</f>
        <v/>
      </c>
      <c r="ET6" s="717" t="str">
        <f>IF(INDEX(事業所台帳!$B$4:$F$203,ET3,3)="","",INDEX(事業所台帳!$B$4:$F$203,ET3,3))</f>
        <v/>
      </c>
      <c r="EU6" s="717" t="str">
        <f>IF(INDEX(事業所台帳!$B$4:$F$203,EU3,3)="","",INDEX(事業所台帳!$B$4:$F$203,EU3,3))</f>
        <v/>
      </c>
      <c r="EV6" s="717" t="str">
        <f>IF(INDEX(事業所台帳!$B$4:$F$203,EV3,3)="","",INDEX(事業所台帳!$B$4:$F$203,EV3,3))</f>
        <v/>
      </c>
      <c r="EW6" s="717" t="str">
        <f>IF(INDEX(事業所台帳!$B$4:$F$203,EW3,3)="","",INDEX(事業所台帳!$B$4:$F$203,EW3,3))</f>
        <v/>
      </c>
      <c r="EX6" s="717" t="str">
        <f>IF(INDEX(事業所台帳!$B$4:$F$203,EX3,3)="","",INDEX(事業所台帳!$B$4:$F$203,EX3,3))</f>
        <v/>
      </c>
      <c r="EY6" s="717" t="str">
        <f>IF(INDEX(事業所台帳!$B$4:$F$203,EY3,3)="","",INDEX(事業所台帳!$B$4:$F$203,EY3,3))</f>
        <v/>
      </c>
      <c r="EZ6" s="717" t="str">
        <f>IF(INDEX(事業所台帳!$B$4:$F$203,EZ3,3)="","",INDEX(事業所台帳!$B$4:$F$203,EZ3,3))</f>
        <v/>
      </c>
      <c r="FA6" s="717" t="str">
        <f>IF(INDEX(事業所台帳!$B$4:$F$203,FA3,3)="","",INDEX(事業所台帳!$B$4:$F$203,FA3,3))</f>
        <v/>
      </c>
      <c r="FB6" s="717" t="str">
        <f>IF(INDEX(事業所台帳!$B$4:$F$203,FB3,3)="","",INDEX(事業所台帳!$B$4:$F$203,FB3,3))</f>
        <v/>
      </c>
      <c r="FC6" s="717" t="str">
        <f>IF(INDEX(事業所台帳!$B$4:$F$203,FC3,3)="","",INDEX(事業所台帳!$B$4:$F$203,FC3,3))</f>
        <v/>
      </c>
      <c r="FD6" s="717" t="str">
        <f>IF(INDEX(事業所台帳!$B$4:$F$203,FD3,3)="","",INDEX(事業所台帳!$B$4:$F$203,FD3,3))</f>
        <v/>
      </c>
      <c r="FE6" s="717" t="str">
        <f>IF(INDEX(事業所台帳!$B$4:$F$203,FE3,3)="","",INDEX(事業所台帳!$B$4:$F$203,FE3,3))</f>
        <v/>
      </c>
      <c r="FF6" s="717" t="str">
        <f>IF(INDEX(事業所台帳!$B$4:$F$203,FF3,3)="","",INDEX(事業所台帳!$B$4:$F$203,FF3,3))</f>
        <v/>
      </c>
      <c r="FG6" s="717" t="str">
        <f>IF(INDEX(事業所台帳!$B$4:$F$203,FG3,3)="","",INDEX(事業所台帳!$B$4:$F$203,FG3,3))</f>
        <v/>
      </c>
      <c r="FH6" s="717" t="str">
        <f>IF(INDEX(事業所台帳!$B$4:$F$203,FH3,3)="","",INDEX(事業所台帳!$B$4:$F$203,FH3,3))</f>
        <v/>
      </c>
      <c r="FI6" s="717" t="str">
        <f>IF(INDEX(事業所台帳!$B$4:$F$203,FI3,3)="","",INDEX(事業所台帳!$B$4:$F$203,FI3,3))</f>
        <v/>
      </c>
      <c r="FJ6" s="717" t="str">
        <f>IF(INDEX(事業所台帳!$B$4:$F$203,FJ3,3)="","",INDEX(事業所台帳!$B$4:$F$203,FJ3,3))</f>
        <v/>
      </c>
      <c r="FK6" s="717" t="str">
        <f>IF(INDEX(事業所台帳!$B$4:$F$203,FK3,3)="","",INDEX(事業所台帳!$B$4:$F$203,FK3,3))</f>
        <v/>
      </c>
      <c r="FL6" s="717" t="str">
        <f>IF(INDEX(事業所台帳!$B$4:$F$203,FL3,3)="","",INDEX(事業所台帳!$B$4:$F$203,FL3,3))</f>
        <v/>
      </c>
      <c r="FM6" s="717" t="str">
        <f>IF(INDEX(事業所台帳!$B$4:$F$203,FM3,3)="","",INDEX(事業所台帳!$B$4:$F$203,FM3,3))</f>
        <v/>
      </c>
      <c r="FN6" s="717" t="str">
        <f>IF(INDEX(事業所台帳!$B$4:$F$203,FN3,3)="","",INDEX(事業所台帳!$B$4:$F$203,FN3,3))</f>
        <v/>
      </c>
      <c r="FO6" s="717" t="str">
        <f>IF(INDEX(事業所台帳!$B$4:$F$203,FO3,3)="","",INDEX(事業所台帳!$B$4:$F$203,FO3,3))</f>
        <v/>
      </c>
      <c r="FP6" s="717" t="str">
        <f>IF(INDEX(事業所台帳!$B$4:$F$203,FP3,3)="","",INDEX(事業所台帳!$B$4:$F$203,FP3,3))</f>
        <v/>
      </c>
      <c r="FQ6" s="717" t="str">
        <f>IF(INDEX(事業所台帳!$B$4:$F$203,FQ3,3)="","",INDEX(事業所台帳!$B$4:$F$203,FQ3,3))</f>
        <v/>
      </c>
      <c r="FR6" s="717" t="str">
        <f>IF(INDEX(事業所台帳!$B$4:$F$203,FR3,3)="","",INDEX(事業所台帳!$B$4:$F$203,FR3,3))</f>
        <v/>
      </c>
      <c r="FS6" s="717" t="str">
        <f>IF(INDEX(事業所台帳!$B$4:$F$203,FS3,3)="","",INDEX(事業所台帳!$B$4:$F$203,FS3,3))</f>
        <v/>
      </c>
      <c r="FT6" s="717" t="str">
        <f>IF(INDEX(事業所台帳!$B$4:$F$203,FT3,3)="","",INDEX(事業所台帳!$B$4:$F$203,FT3,3))</f>
        <v/>
      </c>
      <c r="FU6" s="717" t="str">
        <f>IF(INDEX(事業所台帳!$B$4:$F$203,FU3,3)="","",INDEX(事業所台帳!$B$4:$F$203,FU3,3))</f>
        <v/>
      </c>
      <c r="FV6" s="717" t="str">
        <f>IF(INDEX(事業所台帳!$B$4:$F$203,FV3,3)="","",INDEX(事業所台帳!$B$4:$F$203,FV3,3))</f>
        <v/>
      </c>
      <c r="FW6" s="717" t="str">
        <f>IF(INDEX(事業所台帳!$B$4:$F$203,FW3,3)="","",INDEX(事業所台帳!$B$4:$F$203,FW3,3))</f>
        <v/>
      </c>
      <c r="FX6" s="717" t="str">
        <f>IF(INDEX(事業所台帳!$B$4:$F$203,FX3,3)="","",INDEX(事業所台帳!$B$4:$F$203,FX3,3))</f>
        <v/>
      </c>
      <c r="FY6" s="717" t="str">
        <f>IF(INDEX(事業所台帳!$B$4:$F$203,FY3,3)="","",INDEX(事業所台帳!$B$4:$F$203,FY3,3))</f>
        <v/>
      </c>
      <c r="FZ6" s="717" t="str">
        <f>IF(INDEX(事業所台帳!$B$4:$F$203,FZ3,3)="","",INDEX(事業所台帳!$B$4:$F$203,FZ3,3))</f>
        <v/>
      </c>
      <c r="GA6" s="717" t="str">
        <f>IF(INDEX(事業所台帳!$B$4:$F$203,GA3,3)="","",INDEX(事業所台帳!$B$4:$F$203,GA3,3))</f>
        <v/>
      </c>
      <c r="GB6" s="717" t="str">
        <f>IF(INDEX(事業所台帳!$B$4:$F$203,GB3,3)="","",INDEX(事業所台帳!$B$4:$F$203,GB3,3))</f>
        <v/>
      </c>
      <c r="GC6" s="717" t="str">
        <f>IF(INDEX(事業所台帳!$B$4:$F$203,GC3,3)="","",INDEX(事業所台帳!$B$4:$F$203,GC3,3))</f>
        <v/>
      </c>
      <c r="GD6" s="717" t="str">
        <f>IF(INDEX(事業所台帳!$B$4:$F$203,GD3,3)="","",INDEX(事業所台帳!$B$4:$F$203,GD3,3))</f>
        <v/>
      </c>
      <c r="GE6" s="717" t="str">
        <f>IF(INDEX(事業所台帳!$B$4:$F$203,GE3,3)="","",INDEX(事業所台帳!$B$4:$F$203,GE3,3))</f>
        <v/>
      </c>
      <c r="GF6" s="717" t="str">
        <f>IF(INDEX(事業所台帳!$B$4:$F$203,GF3,3)="","",INDEX(事業所台帳!$B$4:$F$203,GF3,3))</f>
        <v/>
      </c>
      <c r="GG6" s="717" t="str">
        <f>IF(INDEX(事業所台帳!$B$4:$F$203,GG3,3)="","",INDEX(事業所台帳!$B$4:$F$203,GG3,3))</f>
        <v/>
      </c>
      <c r="GH6" s="717" t="str">
        <f>IF(INDEX(事業所台帳!$B$4:$F$203,GH3,3)="","",INDEX(事業所台帳!$B$4:$F$203,GH3,3))</f>
        <v/>
      </c>
      <c r="GI6" s="717" t="str">
        <f>IF(INDEX(事業所台帳!$B$4:$F$203,GI3,3)="","",INDEX(事業所台帳!$B$4:$F$203,GI3,3))</f>
        <v/>
      </c>
      <c r="GJ6" s="717" t="str">
        <f>IF(INDEX(事業所台帳!$B$4:$F$203,GJ3,3)="","",INDEX(事業所台帳!$B$4:$F$203,GJ3,3))</f>
        <v/>
      </c>
      <c r="GK6" s="717" t="str">
        <f>IF(INDEX(事業所台帳!$B$4:$F$203,GK3,3)="","",INDEX(事業所台帳!$B$4:$F$203,GK3,3))</f>
        <v/>
      </c>
      <c r="GL6" s="717" t="str">
        <f>IF(INDEX(事業所台帳!$B$4:$F$203,GL3,3)="","",INDEX(事業所台帳!$B$4:$F$203,GL3,3))</f>
        <v/>
      </c>
      <c r="GM6" s="717" t="str">
        <f>IF(INDEX(事業所台帳!$B$4:$F$203,GM3,3)="","",INDEX(事業所台帳!$B$4:$F$203,GM3,3))</f>
        <v/>
      </c>
      <c r="GN6" s="717" t="str">
        <f>IF(INDEX(事業所台帳!$B$4:$F$203,GN3,3)="","",INDEX(事業所台帳!$B$4:$F$203,GN3,3))</f>
        <v/>
      </c>
      <c r="GO6" s="717" t="str">
        <f>IF(INDEX(事業所台帳!$B$4:$F$203,GO3,3)="","",INDEX(事業所台帳!$B$4:$F$203,GO3,3))</f>
        <v/>
      </c>
      <c r="GP6" s="717" t="str">
        <f>IF(INDEX(事業所台帳!$B$4:$F$203,GP3,3)="","",INDEX(事業所台帳!$B$4:$F$203,GP3,3))</f>
        <v/>
      </c>
      <c r="GQ6" s="717" t="str">
        <f>IF(INDEX(事業所台帳!$B$4:$F$203,GQ3,3)="","",INDEX(事業所台帳!$B$4:$F$203,GQ3,3))</f>
        <v/>
      </c>
      <c r="GR6" s="717" t="str">
        <f>IF(INDEX(事業所台帳!$B$4:$F$203,GR3,3)="","",INDEX(事業所台帳!$B$4:$F$203,GR3,3))</f>
        <v/>
      </c>
      <c r="GS6" s="717" t="str">
        <f>IF(INDEX(事業所台帳!$B$4:$F$203,GS3,3)="","",INDEX(事業所台帳!$B$4:$F$203,GS3,3))</f>
        <v/>
      </c>
      <c r="GT6" s="717" t="str">
        <f>IF(INDEX(事業所台帳!$B$4:$F$203,GT3,3)="","",INDEX(事業所台帳!$B$4:$F$203,GT3,3))</f>
        <v/>
      </c>
      <c r="GU6" s="718" t="str">
        <f>IF(INDEX(事業所台帳!$B$4:$F$203,GU3,3)="","",INDEX(事業所台帳!$B$4:$F$203,GU3,3))</f>
        <v/>
      </c>
    </row>
    <row r="7" spans="1:203" s="7" customFormat="1" ht="23.25" customHeight="1" thickBot="1">
      <c r="A7" s="1196" t="s">
        <v>46</v>
      </c>
      <c r="B7" s="1197"/>
      <c r="C7" s="720">
        <f>SUM(事業所台帳!E4:E203)</f>
        <v>0</v>
      </c>
      <c r="D7" s="717" t="str">
        <f>IF(INDEX(事業所台帳!$B$4:$F$203,D3,4)="","",INDEX(事業所台帳!$B$4:$F$203,D3,4))</f>
        <v/>
      </c>
      <c r="E7" s="717" t="str">
        <f>IF(INDEX(事業所台帳!$B$4:$F$203,E3,4)="","",INDEX(事業所台帳!$B$4:$F$203,E3,4))</f>
        <v/>
      </c>
      <c r="F7" s="717" t="str">
        <f>IF(INDEX(事業所台帳!$B$4:$F$203,F3,4)="","",INDEX(事業所台帳!$B$4:$F$203,F3,4))</f>
        <v/>
      </c>
      <c r="G7" s="717" t="str">
        <f>IF(INDEX(事業所台帳!$B$4:$F$203,G3,4)="","",INDEX(事業所台帳!$B$4:$F$203,G3,4))</f>
        <v/>
      </c>
      <c r="H7" s="717" t="str">
        <f>IF(INDEX(事業所台帳!$B$4:$F$203,H3,4)="","",INDEX(事業所台帳!$B$4:$F$203,H3,4))</f>
        <v/>
      </c>
      <c r="I7" s="717" t="str">
        <f>IF(INDEX(事業所台帳!$B$4:$F$203,I3,4)="","",INDEX(事業所台帳!$B$4:$F$203,I3,4))</f>
        <v/>
      </c>
      <c r="J7" s="717" t="str">
        <f>IF(INDEX(事業所台帳!$B$4:$F$203,J3,4)="","",INDEX(事業所台帳!$B$4:$F$203,J3,4))</f>
        <v/>
      </c>
      <c r="K7" s="717" t="str">
        <f>IF(INDEX(事業所台帳!$B$4:$F$203,K3,4)="","",INDEX(事業所台帳!$B$4:$F$203,K3,4))</f>
        <v/>
      </c>
      <c r="L7" s="717" t="str">
        <f>IF(INDEX(事業所台帳!$B$4:$F$203,L3,4)="","",INDEX(事業所台帳!$B$4:$F$203,L3,4))</f>
        <v/>
      </c>
      <c r="M7" s="717" t="str">
        <f>IF(INDEX(事業所台帳!$B$4:$F$203,M3,4)="","",INDEX(事業所台帳!$B$4:$F$203,M3,4))</f>
        <v/>
      </c>
      <c r="N7" s="717" t="str">
        <f>IF(INDEX(事業所台帳!$B$4:$F$203,N3,4)="","",INDEX(事業所台帳!$B$4:$F$203,N3,4))</f>
        <v/>
      </c>
      <c r="O7" s="717" t="str">
        <f>IF(INDEX(事業所台帳!$B$4:$F$203,O3,4)="","",INDEX(事業所台帳!$B$4:$F$203,O3,4))</f>
        <v/>
      </c>
      <c r="P7" s="717" t="str">
        <f>IF(INDEX(事業所台帳!$B$4:$F$203,P3,4)="","",INDEX(事業所台帳!$B$4:$F$203,P3,4))</f>
        <v/>
      </c>
      <c r="Q7" s="717" t="str">
        <f>IF(INDEX(事業所台帳!$B$4:$F$203,Q3,4)="","",INDEX(事業所台帳!$B$4:$F$203,Q3,4))</f>
        <v/>
      </c>
      <c r="R7" s="717" t="str">
        <f>IF(INDEX(事業所台帳!$B$4:$F$203,R3,4)="","",INDEX(事業所台帳!$B$4:$F$203,R3,4))</f>
        <v/>
      </c>
      <c r="S7" s="717" t="str">
        <f>IF(INDEX(事業所台帳!$B$4:$F$203,S3,4)="","",INDEX(事業所台帳!$B$4:$F$203,S3,4))</f>
        <v/>
      </c>
      <c r="T7" s="717" t="str">
        <f>IF(INDEX(事業所台帳!$B$4:$F$203,T3,4)="","",INDEX(事業所台帳!$B$4:$F$203,T3,4))</f>
        <v/>
      </c>
      <c r="U7" s="717" t="str">
        <f>IF(INDEX(事業所台帳!$B$4:$F$203,U3,4)="","",INDEX(事業所台帳!$B$4:$F$203,U3,4))</f>
        <v/>
      </c>
      <c r="V7" s="717" t="str">
        <f>IF(INDEX(事業所台帳!$B$4:$F$203,V3,4)="","",INDEX(事業所台帳!$B$4:$F$203,V3,4))</f>
        <v/>
      </c>
      <c r="W7" s="717" t="str">
        <f>IF(INDEX(事業所台帳!$B$4:$F$203,W3,4)="","",INDEX(事業所台帳!$B$4:$F$203,W3,4))</f>
        <v/>
      </c>
      <c r="X7" s="717" t="str">
        <f>IF(INDEX(事業所台帳!$B$4:$F$203,X3,4)="","",INDEX(事業所台帳!$B$4:$F$203,X3,4))</f>
        <v/>
      </c>
      <c r="Y7" s="717" t="str">
        <f>IF(INDEX(事業所台帳!$B$4:$F$203,Y3,4)="","",INDEX(事業所台帳!$B$4:$F$203,Y3,4))</f>
        <v/>
      </c>
      <c r="Z7" s="717" t="str">
        <f>IF(INDEX(事業所台帳!$B$4:$F$203,Z3,4)="","",INDEX(事業所台帳!$B$4:$F$203,Z3,4))</f>
        <v/>
      </c>
      <c r="AA7" s="717" t="str">
        <f>IF(INDEX(事業所台帳!$B$4:$F$203,AA3,4)="","",INDEX(事業所台帳!$B$4:$F$203,AA3,4))</f>
        <v/>
      </c>
      <c r="AB7" s="717" t="str">
        <f>IF(INDEX(事業所台帳!$B$4:$F$203,AB3,4)="","",INDEX(事業所台帳!$B$4:$F$203,AB3,4))</f>
        <v/>
      </c>
      <c r="AC7" s="717" t="str">
        <f>IF(INDEX(事業所台帳!$B$4:$F$203,AC3,4)="","",INDEX(事業所台帳!$B$4:$F$203,AC3,4))</f>
        <v/>
      </c>
      <c r="AD7" s="717" t="str">
        <f>IF(INDEX(事業所台帳!$B$4:$F$203,AD3,4)="","",INDEX(事業所台帳!$B$4:$F$203,AD3,4))</f>
        <v/>
      </c>
      <c r="AE7" s="717" t="str">
        <f>IF(INDEX(事業所台帳!$B$4:$F$203,AE3,4)="","",INDEX(事業所台帳!$B$4:$F$203,AE3,4))</f>
        <v/>
      </c>
      <c r="AF7" s="717" t="str">
        <f>IF(INDEX(事業所台帳!$B$4:$F$203,AF3,4)="","",INDEX(事業所台帳!$B$4:$F$203,AF3,4))</f>
        <v/>
      </c>
      <c r="AG7" s="717" t="str">
        <f>IF(INDEX(事業所台帳!$B$4:$F$203,AG3,4)="","",INDEX(事業所台帳!$B$4:$F$203,AG3,4))</f>
        <v/>
      </c>
      <c r="AH7" s="717" t="str">
        <f>IF(INDEX(事業所台帳!$B$4:$F$203,AH3,4)="","",INDEX(事業所台帳!$B$4:$F$203,AH3,4))</f>
        <v/>
      </c>
      <c r="AI7" s="717" t="str">
        <f>IF(INDEX(事業所台帳!$B$4:$F$203,AI3,4)="","",INDEX(事業所台帳!$B$4:$F$203,AI3,4))</f>
        <v/>
      </c>
      <c r="AJ7" s="717" t="str">
        <f>IF(INDEX(事業所台帳!$B$4:$F$203,AJ3,4)="","",INDEX(事業所台帳!$B$4:$F$203,AJ3,4))</f>
        <v/>
      </c>
      <c r="AK7" s="717" t="str">
        <f>IF(INDEX(事業所台帳!$B$4:$F$203,AK3,4)="","",INDEX(事業所台帳!$B$4:$F$203,AK3,4))</f>
        <v/>
      </c>
      <c r="AL7" s="717" t="str">
        <f>IF(INDEX(事業所台帳!$B$4:$F$203,AL3,4)="","",INDEX(事業所台帳!$B$4:$F$203,AL3,4))</f>
        <v/>
      </c>
      <c r="AM7" s="717" t="str">
        <f>IF(INDEX(事業所台帳!$B$4:$F$203,AM3,4)="","",INDEX(事業所台帳!$B$4:$F$203,AM3,4))</f>
        <v/>
      </c>
      <c r="AN7" s="717" t="str">
        <f>IF(INDEX(事業所台帳!$B$4:$F$203,AN3,4)="","",INDEX(事業所台帳!$B$4:$F$203,AN3,4))</f>
        <v/>
      </c>
      <c r="AO7" s="717" t="str">
        <f>IF(INDEX(事業所台帳!$B$4:$F$203,AO3,4)="","",INDEX(事業所台帳!$B$4:$F$203,AO3,4))</f>
        <v/>
      </c>
      <c r="AP7" s="717" t="str">
        <f>IF(INDEX(事業所台帳!$B$4:$F$203,AP3,4)="","",INDEX(事業所台帳!$B$4:$F$203,AP3,4))</f>
        <v/>
      </c>
      <c r="AQ7" s="717" t="str">
        <f>IF(INDEX(事業所台帳!$B$4:$F$203,AQ3,4)="","",INDEX(事業所台帳!$B$4:$F$203,AQ3,4))</f>
        <v/>
      </c>
      <c r="AR7" s="717" t="str">
        <f>IF(INDEX(事業所台帳!$B$4:$F$203,AR3,4)="","",INDEX(事業所台帳!$B$4:$F$203,AR3,4))</f>
        <v/>
      </c>
      <c r="AS7" s="717" t="str">
        <f>IF(INDEX(事業所台帳!$B$4:$F$203,AS3,4)="","",INDEX(事業所台帳!$B$4:$F$203,AS3,4))</f>
        <v/>
      </c>
      <c r="AT7" s="717" t="str">
        <f>IF(INDEX(事業所台帳!$B$4:$F$203,AT3,4)="","",INDEX(事業所台帳!$B$4:$F$203,AT3,4))</f>
        <v/>
      </c>
      <c r="AU7" s="717" t="str">
        <f>IF(INDEX(事業所台帳!$B$4:$F$203,AU3,4)="","",INDEX(事業所台帳!$B$4:$F$203,AU3,4))</f>
        <v/>
      </c>
      <c r="AV7" s="717" t="str">
        <f>IF(INDEX(事業所台帳!$B$4:$F$203,AV3,4)="","",INDEX(事業所台帳!$B$4:$F$203,AV3,4))</f>
        <v/>
      </c>
      <c r="AW7" s="717" t="str">
        <f>IF(INDEX(事業所台帳!$B$4:$F$203,AW3,4)="","",INDEX(事業所台帳!$B$4:$F$203,AW3,4))</f>
        <v/>
      </c>
      <c r="AX7" s="717" t="str">
        <f>IF(INDEX(事業所台帳!$B$4:$F$203,AX3,4)="","",INDEX(事業所台帳!$B$4:$F$203,AX3,4))</f>
        <v/>
      </c>
      <c r="AY7" s="717" t="str">
        <f>IF(INDEX(事業所台帳!$B$4:$F$203,AY3,4)="","",INDEX(事業所台帳!$B$4:$F$203,AY3,4))</f>
        <v/>
      </c>
      <c r="AZ7" s="717" t="str">
        <f>IF(INDEX(事業所台帳!$B$4:$F$203,AZ3,4)="","",INDEX(事業所台帳!$B$4:$F$203,AZ3,4))</f>
        <v/>
      </c>
      <c r="BA7" s="717" t="str">
        <f>IF(INDEX(事業所台帳!$B$4:$F$203,BA3,4)="","",INDEX(事業所台帳!$B$4:$F$203,BA3,4))</f>
        <v/>
      </c>
      <c r="BB7" s="717" t="str">
        <f>IF(INDEX(事業所台帳!$B$4:$F$203,BB3,4)="","",INDEX(事業所台帳!$B$4:$F$203,BB3,4))</f>
        <v/>
      </c>
      <c r="BC7" s="717" t="str">
        <f>IF(INDEX(事業所台帳!$B$4:$F$203,BC3,4)="","",INDEX(事業所台帳!$B$4:$F$203,BC3,4))</f>
        <v/>
      </c>
      <c r="BD7" s="717" t="str">
        <f>IF(INDEX(事業所台帳!$B$4:$F$203,BD3,4)="","",INDEX(事業所台帳!$B$4:$F$203,BD3,4))</f>
        <v/>
      </c>
      <c r="BE7" s="717" t="str">
        <f>IF(INDEX(事業所台帳!$B$4:$F$203,BE3,4)="","",INDEX(事業所台帳!$B$4:$F$203,BE3,4))</f>
        <v/>
      </c>
      <c r="BF7" s="717" t="str">
        <f>IF(INDEX(事業所台帳!$B$4:$F$203,BF3,4)="","",INDEX(事業所台帳!$B$4:$F$203,BF3,4))</f>
        <v/>
      </c>
      <c r="BG7" s="717" t="str">
        <f>IF(INDEX(事業所台帳!$B$4:$F$203,BG3,4)="","",INDEX(事業所台帳!$B$4:$F$203,BG3,4))</f>
        <v/>
      </c>
      <c r="BH7" s="717" t="str">
        <f>IF(INDEX(事業所台帳!$B$4:$F$203,BH3,4)="","",INDEX(事業所台帳!$B$4:$F$203,BH3,4))</f>
        <v/>
      </c>
      <c r="BI7" s="717" t="str">
        <f>IF(INDEX(事業所台帳!$B$4:$F$203,BI3,4)="","",INDEX(事業所台帳!$B$4:$F$203,BI3,4))</f>
        <v/>
      </c>
      <c r="BJ7" s="717" t="str">
        <f>IF(INDEX(事業所台帳!$B$4:$F$203,BJ3,4)="","",INDEX(事業所台帳!$B$4:$F$203,BJ3,4))</f>
        <v/>
      </c>
      <c r="BK7" s="717" t="str">
        <f>IF(INDEX(事業所台帳!$B$4:$F$203,BK3,4)="","",INDEX(事業所台帳!$B$4:$F$203,BK3,4))</f>
        <v/>
      </c>
      <c r="BL7" s="717" t="str">
        <f>IF(INDEX(事業所台帳!$B$4:$F$203,BL3,4)="","",INDEX(事業所台帳!$B$4:$F$203,BL3,4))</f>
        <v/>
      </c>
      <c r="BM7" s="717" t="str">
        <f>IF(INDEX(事業所台帳!$B$4:$F$203,BM3,4)="","",INDEX(事業所台帳!$B$4:$F$203,BM3,4))</f>
        <v/>
      </c>
      <c r="BN7" s="717" t="str">
        <f>IF(INDEX(事業所台帳!$B$4:$F$203,BN3,4)="","",INDEX(事業所台帳!$B$4:$F$203,BN3,4))</f>
        <v/>
      </c>
      <c r="BO7" s="717" t="str">
        <f>IF(INDEX(事業所台帳!$B$4:$F$203,BO3,4)="","",INDEX(事業所台帳!$B$4:$F$203,BO3,4))</f>
        <v/>
      </c>
      <c r="BP7" s="717" t="str">
        <f>IF(INDEX(事業所台帳!$B$4:$F$203,BP3,4)="","",INDEX(事業所台帳!$B$4:$F$203,BP3,4))</f>
        <v/>
      </c>
      <c r="BQ7" s="717" t="str">
        <f>IF(INDEX(事業所台帳!$B$4:$F$203,BQ3,4)="","",INDEX(事業所台帳!$B$4:$F$203,BQ3,4))</f>
        <v/>
      </c>
      <c r="BR7" s="717" t="str">
        <f>IF(INDEX(事業所台帳!$B$4:$F$203,BR3,4)="","",INDEX(事業所台帳!$B$4:$F$203,BR3,4))</f>
        <v/>
      </c>
      <c r="BS7" s="717" t="str">
        <f>IF(INDEX(事業所台帳!$B$4:$F$203,BS3,4)="","",INDEX(事業所台帳!$B$4:$F$203,BS3,4))</f>
        <v/>
      </c>
      <c r="BT7" s="717" t="str">
        <f>IF(INDEX(事業所台帳!$B$4:$F$203,BT3,4)="","",INDEX(事業所台帳!$B$4:$F$203,BT3,4))</f>
        <v/>
      </c>
      <c r="BU7" s="717" t="str">
        <f>IF(INDEX(事業所台帳!$B$4:$F$203,BU3,4)="","",INDEX(事業所台帳!$B$4:$F$203,BU3,4))</f>
        <v/>
      </c>
      <c r="BV7" s="717" t="str">
        <f>IF(INDEX(事業所台帳!$B$4:$F$203,BV3,4)="","",INDEX(事業所台帳!$B$4:$F$203,BV3,4))</f>
        <v/>
      </c>
      <c r="BW7" s="717" t="str">
        <f>IF(INDEX(事業所台帳!$B$4:$F$203,BW3,4)="","",INDEX(事業所台帳!$B$4:$F$203,BW3,4))</f>
        <v/>
      </c>
      <c r="BX7" s="717" t="str">
        <f>IF(INDEX(事業所台帳!$B$4:$F$203,BX3,4)="","",INDEX(事業所台帳!$B$4:$F$203,BX3,4))</f>
        <v/>
      </c>
      <c r="BY7" s="717" t="str">
        <f>IF(INDEX(事業所台帳!$B$4:$F$203,BY3,4)="","",INDEX(事業所台帳!$B$4:$F$203,BY3,4))</f>
        <v/>
      </c>
      <c r="BZ7" s="717" t="str">
        <f>IF(INDEX(事業所台帳!$B$4:$F$203,BZ3,4)="","",INDEX(事業所台帳!$B$4:$F$203,BZ3,4))</f>
        <v/>
      </c>
      <c r="CA7" s="717" t="str">
        <f>IF(INDEX(事業所台帳!$B$4:$F$203,CA3,4)="","",INDEX(事業所台帳!$B$4:$F$203,CA3,4))</f>
        <v/>
      </c>
      <c r="CB7" s="717" t="str">
        <f>IF(INDEX(事業所台帳!$B$4:$F$203,CB3,4)="","",INDEX(事業所台帳!$B$4:$F$203,CB3,4))</f>
        <v/>
      </c>
      <c r="CC7" s="717" t="str">
        <f>IF(INDEX(事業所台帳!$B$4:$F$203,CC3,4)="","",INDEX(事業所台帳!$B$4:$F$203,CC3,4))</f>
        <v/>
      </c>
      <c r="CD7" s="717" t="str">
        <f>IF(INDEX(事業所台帳!$B$4:$F$203,CD3,4)="","",INDEX(事業所台帳!$B$4:$F$203,CD3,4))</f>
        <v/>
      </c>
      <c r="CE7" s="717" t="str">
        <f>IF(INDEX(事業所台帳!$B$4:$F$203,CE3,4)="","",INDEX(事業所台帳!$B$4:$F$203,CE3,4))</f>
        <v/>
      </c>
      <c r="CF7" s="717" t="str">
        <f>IF(INDEX(事業所台帳!$B$4:$F$203,CF3,4)="","",INDEX(事業所台帳!$B$4:$F$203,CF3,4))</f>
        <v/>
      </c>
      <c r="CG7" s="717" t="str">
        <f>IF(INDEX(事業所台帳!$B$4:$F$203,CG3,4)="","",INDEX(事業所台帳!$B$4:$F$203,CG3,4))</f>
        <v/>
      </c>
      <c r="CH7" s="717" t="str">
        <f>IF(INDEX(事業所台帳!$B$4:$F$203,CH3,4)="","",INDEX(事業所台帳!$B$4:$F$203,CH3,4))</f>
        <v/>
      </c>
      <c r="CI7" s="717" t="str">
        <f>IF(INDEX(事業所台帳!$B$4:$F$203,CI3,4)="","",INDEX(事業所台帳!$B$4:$F$203,CI3,4))</f>
        <v/>
      </c>
      <c r="CJ7" s="717" t="str">
        <f>IF(INDEX(事業所台帳!$B$4:$F$203,CJ3,4)="","",INDEX(事業所台帳!$B$4:$F$203,CJ3,4))</f>
        <v/>
      </c>
      <c r="CK7" s="717" t="str">
        <f>IF(INDEX(事業所台帳!$B$4:$F$203,CK3,4)="","",INDEX(事業所台帳!$B$4:$F$203,CK3,4))</f>
        <v/>
      </c>
      <c r="CL7" s="717" t="str">
        <f>IF(INDEX(事業所台帳!$B$4:$F$203,CL3,4)="","",INDEX(事業所台帳!$B$4:$F$203,CL3,4))</f>
        <v/>
      </c>
      <c r="CM7" s="717" t="str">
        <f>IF(INDEX(事業所台帳!$B$4:$F$203,CM3,4)="","",INDEX(事業所台帳!$B$4:$F$203,CM3,4))</f>
        <v/>
      </c>
      <c r="CN7" s="717" t="str">
        <f>IF(INDEX(事業所台帳!$B$4:$F$203,CN3,4)="","",INDEX(事業所台帳!$B$4:$F$203,CN3,4))</f>
        <v/>
      </c>
      <c r="CO7" s="717" t="str">
        <f>IF(INDEX(事業所台帳!$B$4:$F$203,CO3,4)="","",INDEX(事業所台帳!$B$4:$F$203,CO3,4))</f>
        <v/>
      </c>
      <c r="CP7" s="717" t="str">
        <f>IF(INDEX(事業所台帳!$B$4:$F$203,CP3,4)="","",INDEX(事業所台帳!$B$4:$F$203,CP3,4))</f>
        <v/>
      </c>
      <c r="CQ7" s="717" t="str">
        <f>IF(INDEX(事業所台帳!$B$4:$F$203,CQ3,4)="","",INDEX(事業所台帳!$B$4:$F$203,CQ3,4))</f>
        <v/>
      </c>
      <c r="CR7" s="717" t="str">
        <f>IF(INDEX(事業所台帳!$B$4:$F$203,CR3,4)="","",INDEX(事業所台帳!$B$4:$F$203,CR3,4))</f>
        <v/>
      </c>
      <c r="CS7" s="717" t="str">
        <f>IF(INDEX(事業所台帳!$B$4:$F$203,CS3,4)="","",INDEX(事業所台帳!$B$4:$F$203,CS3,4))</f>
        <v/>
      </c>
      <c r="CT7" s="717" t="str">
        <f>IF(INDEX(事業所台帳!$B$4:$F$203,CT3,4)="","",INDEX(事業所台帳!$B$4:$F$203,CT3,4))</f>
        <v/>
      </c>
      <c r="CU7" s="717" t="str">
        <f>IF(INDEX(事業所台帳!$B$4:$F$203,CU3,4)="","",INDEX(事業所台帳!$B$4:$F$203,CU3,4))</f>
        <v/>
      </c>
      <c r="CV7" s="717" t="str">
        <f>IF(INDEX(事業所台帳!$B$4:$F$203,CV3,4)="","",INDEX(事業所台帳!$B$4:$F$203,CV3,4))</f>
        <v/>
      </c>
      <c r="CW7" s="717" t="str">
        <f>IF(INDEX(事業所台帳!$B$4:$F$203,CW3,4)="","",INDEX(事業所台帳!$B$4:$F$203,CW3,4))</f>
        <v/>
      </c>
      <c r="CX7" s="717" t="str">
        <f>IF(INDEX(事業所台帳!$B$4:$F$203,CX3,4)="","",INDEX(事業所台帳!$B$4:$F$203,CX3,4))</f>
        <v/>
      </c>
      <c r="CY7" s="717" t="str">
        <f>IF(INDEX(事業所台帳!$B$4:$F$203,CY3,4)="","",INDEX(事業所台帳!$B$4:$F$203,CY3,4))</f>
        <v/>
      </c>
      <c r="CZ7" s="717" t="str">
        <f>IF(INDEX(事業所台帳!$B$4:$F$203,CZ3,4)="","",INDEX(事業所台帳!$B$4:$F$203,CZ3,4))</f>
        <v/>
      </c>
      <c r="DA7" s="717" t="str">
        <f>IF(INDEX(事業所台帳!$B$4:$F$203,DA3,4)="","",INDEX(事業所台帳!$B$4:$F$203,DA3,4))</f>
        <v/>
      </c>
      <c r="DB7" s="717" t="str">
        <f>IF(INDEX(事業所台帳!$B$4:$F$203,DB3,4)="","",INDEX(事業所台帳!$B$4:$F$203,DB3,4))</f>
        <v/>
      </c>
      <c r="DC7" s="717" t="str">
        <f>IF(INDEX(事業所台帳!$B$4:$F$203,DC3,4)="","",INDEX(事業所台帳!$B$4:$F$203,DC3,4))</f>
        <v/>
      </c>
      <c r="DD7" s="717" t="str">
        <f>IF(INDEX(事業所台帳!$B$4:$F$203,DD3,4)="","",INDEX(事業所台帳!$B$4:$F$203,DD3,4))</f>
        <v/>
      </c>
      <c r="DE7" s="717" t="str">
        <f>IF(INDEX(事業所台帳!$B$4:$F$203,DE3,4)="","",INDEX(事業所台帳!$B$4:$F$203,DE3,4))</f>
        <v/>
      </c>
      <c r="DF7" s="717" t="str">
        <f>IF(INDEX(事業所台帳!$B$4:$F$203,DF3,4)="","",INDEX(事業所台帳!$B$4:$F$203,DF3,4))</f>
        <v/>
      </c>
      <c r="DG7" s="717" t="str">
        <f>IF(INDEX(事業所台帳!$B$4:$F$203,DG3,4)="","",INDEX(事業所台帳!$B$4:$F$203,DG3,4))</f>
        <v/>
      </c>
      <c r="DH7" s="717" t="str">
        <f>IF(INDEX(事業所台帳!$B$4:$F$203,DH3,4)="","",INDEX(事業所台帳!$B$4:$F$203,DH3,4))</f>
        <v/>
      </c>
      <c r="DI7" s="717" t="str">
        <f>IF(INDEX(事業所台帳!$B$4:$F$203,DI3,4)="","",INDEX(事業所台帳!$B$4:$F$203,DI3,4))</f>
        <v/>
      </c>
      <c r="DJ7" s="717" t="str">
        <f>IF(INDEX(事業所台帳!$B$4:$F$203,DJ3,4)="","",INDEX(事業所台帳!$B$4:$F$203,DJ3,4))</f>
        <v/>
      </c>
      <c r="DK7" s="717" t="str">
        <f>IF(INDEX(事業所台帳!$B$4:$F$203,DK3,4)="","",INDEX(事業所台帳!$B$4:$F$203,DK3,4))</f>
        <v/>
      </c>
      <c r="DL7" s="717" t="str">
        <f>IF(INDEX(事業所台帳!$B$4:$F$203,DL3,4)="","",INDEX(事業所台帳!$B$4:$F$203,DL3,4))</f>
        <v/>
      </c>
      <c r="DM7" s="717" t="str">
        <f>IF(INDEX(事業所台帳!$B$4:$F$203,DM3,4)="","",INDEX(事業所台帳!$B$4:$F$203,DM3,4))</f>
        <v/>
      </c>
      <c r="DN7" s="717" t="str">
        <f>IF(INDEX(事業所台帳!$B$4:$F$203,DN3,4)="","",INDEX(事業所台帳!$B$4:$F$203,DN3,4))</f>
        <v/>
      </c>
      <c r="DO7" s="717" t="str">
        <f>IF(INDEX(事業所台帳!$B$4:$F$203,DO3,4)="","",INDEX(事業所台帳!$B$4:$F$203,DO3,4))</f>
        <v/>
      </c>
      <c r="DP7" s="717" t="str">
        <f>IF(INDEX(事業所台帳!$B$4:$F$203,DP3,4)="","",INDEX(事業所台帳!$B$4:$F$203,DP3,4))</f>
        <v/>
      </c>
      <c r="DQ7" s="717" t="str">
        <f>IF(INDEX(事業所台帳!$B$4:$F$203,DQ3,4)="","",INDEX(事業所台帳!$B$4:$F$203,DQ3,4))</f>
        <v/>
      </c>
      <c r="DR7" s="717" t="str">
        <f>IF(INDEX(事業所台帳!$B$4:$F$203,DR3,4)="","",INDEX(事業所台帳!$B$4:$F$203,DR3,4))</f>
        <v/>
      </c>
      <c r="DS7" s="717" t="str">
        <f>IF(INDEX(事業所台帳!$B$4:$F$203,DS3,4)="","",INDEX(事業所台帳!$B$4:$F$203,DS3,4))</f>
        <v/>
      </c>
      <c r="DT7" s="717" t="str">
        <f>IF(INDEX(事業所台帳!$B$4:$F$203,DT3,4)="","",INDEX(事業所台帳!$B$4:$F$203,DT3,4))</f>
        <v/>
      </c>
      <c r="DU7" s="717" t="str">
        <f>IF(INDEX(事業所台帳!$B$4:$F$203,DU3,4)="","",INDEX(事業所台帳!$B$4:$F$203,DU3,4))</f>
        <v/>
      </c>
      <c r="DV7" s="717" t="str">
        <f>IF(INDEX(事業所台帳!$B$4:$F$203,DV3,4)="","",INDEX(事業所台帳!$B$4:$F$203,DV3,4))</f>
        <v/>
      </c>
      <c r="DW7" s="717" t="str">
        <f>IF(INDEX(事業所台帳!$B$4:$F$203,DW3,4)="","",INDEX(事業所台帳!$B$4:$F$203,DW3,4))</f>
        <v/>
      </c>
      <c r="DX7" s="717" t="str">
        <f>IF(INDEX(事業所台帳!$B$4:$F$203,DX3,4)="","",INDEX(事業所台帳!$B$4:$F$203,DX3,4))</f>
        <v/>
      </c>
      <c r="DY7" s="717" t="str">
        <f>IF(INDEX(事業所台帳!$B$4:$F$203,DY3,4)="","",INDEX(事業所台帳!$B$4:$F$203,DY3,4))</f>
        <v/>
      </c>
      <c r="DZ7" s="717" t="str">
        <f>IF(INDEX(事業所台帳!$B$4:$F$203,DZ3,4)="","",INDEX(事業所台帳!$B$4:$F$203,DZ3,4))</f>
        <v/>
      </c>
      <c r="EA7" s="717" t="str">
        <f>IF(INDEX(事業所台帳!$B$4:$F$203,EA3,4)="","",INDEX(事業所台帳!$B$4:$F$203,EA3,4))</f>
        <v/>
      </c>
      <c r="EB7" s="717" t="str">
        <f>IF(INDEX(事業所台帳!$B$4:$F$203,EB3,4)="","",INDEX(事業所台帳!$B$4:$F$203,EB3,4))</f>
        <v/>
      </c>
      <c r="EC7" s="717" t="str">
        <f>IF(INDEX(事業所台帳!$B$4:$F$203,EC3,4)="","",INDEX(事業所台帳!$B$4:$F$203,EC3,4))</f>
        <v/>
      </c>
      <c r="ED7" s="717" t="str">
        <f>IF(INDEX(事業所台帳!$B$4:$F$203,ED3,4)="","",INDEX(事業所台帳!$B$4:$F$203,ED3,4))</f>
        <v/>
      </c>
      <c r="EE7" s="717" t="str">
        <f>IF(INDEX(事業所台帳!$B$4:$F$203,EE3,4)="","",INDEX(事業所台帳!$B$4:$F$203,EE3,4))</f>
        <v/>
      </c>
      <c r="EF7" s="717" t="str">
        <f>IF(INDEX(事業所台帳!$B$4:$F$203,EF3,4)="","",INDEX(事業所台帳!$B$4:$F$203,EF3,4))</f>
        <v/>
      </c>
      <c r="EG7" s="717" t="str">
        <f>IF(INDEX(事業所台帳!$B$4:$F$203,EG3,4)="","",INDEX(事業所台帳!$B$4:$F$203,EG3,4))</f>
        <v/>
      </c>
      <c r="EH7" s="717" t="str">
        <f>IF(INDEX(事業所台帳!$B$4:$F$203,EH3,4)="","",INDEX(事業所台帳!$B$4:$F$203,EH3,4))</f>
        <v/>
      </c>
      <c r="EI7" s="717" t="str">
        <f>IF(INDEX(事業所台帳!$B$4:$F$203,EI3,4)="","",INDEX(事業所台帳!$B$4:$F$203,EI3,4))</f>
        <v/>
      </c>
      <c r="EJ7" s="717" t="str">
        <f>IF(INDEX(事業所台帳!$B$4:$F$203,EJ3,4)="","",INDEX(事業所台帳!$B$4:$F$203,EJ3,4))</f>
        <v/>
      </c>
      <c r="EK7" s="717" t="str">
        <f>IF(INDEX(事業所台帳!$B$4:$F$203,EK3,4)="","",INDEX(事業所台帳!$B$4:$F$203,EK3,4))</f>
        <v/>
      </c>
      <c r="EL7" s="717" t="str">
        <f>IF(INDEX(事業所台帳!$B$4:$F$203,EL3,4)="","",INDEX(事業所台帳!$B$4:$F$203,EL3,4))</f>
        <v/>
      </c>
      <c r="EM7" s="717" t="str">
        <f>IF(INDEX(事業所台帳!$B$4:$F$203,EM3,4)="","",INDEX(事業所台帳!$B$4:$F$203,EM3,4))</f>
        <v/>
      </c>
      <c r="EN7" s="717" t="str">
        <f>IF(INDEX(事業所台帳!$B$4:$F$203,EN3,4)="","",INDEX(事業所台帳!$B$4:$F$203,EN3,4))</f>
        <v/>
      </c>
      <c r="EO7" s="717" t="str">
        <f>IF(INDEX(事業所台帳!$B$4:$F$203,EO3,4)="","",INDEX(事業所台帳!$B$4:$F$203,EO3,4))</f>
        <v/>
      </c>
      <c r="EP7" s="717" t="str">
        <f>IF(INDEX(事業所台帳!$B$4:$F$203,EP3,4)="","",INDEX(事業所台帳!$B$4:$F$203,EP3,4))</f>
        <v/>
      </c>
      <c r="EQ7" s="717" t="str">
        <f>IF(INDEX(事業所台帳!$B$4:$F$203,EQ3,4)="","",INDEX(事業所台帳!$B$4:$F$203,EQ3,4))</f>
        <v/>
      </c>
      <c r="ER7" s="717" t="str">
        <f>IF(INDEX(事業所台帳!$B$4:$F$203,ER3,4)="","",INDEX(事業所台帳!$B$4:$F$203,ER3,4))</f>
        <v/>
      </c>
      <c r="ES7" s="717" t="str">
        <f>IF(INDEX(事業所台帳!$B$4:$F$203,ES3,4)="","",INDEX(事業所台帳!$B$4:$F$203,ES3,4))</f>
        <v/>
      </c>
      <c r="ET7" s="717" t="str">
        <f>IF(INDEX(事業所台帳!$B$4:$F$203,ET3,4)="","",INDEX(事業所台帳!$B$4:$F$203,ET3,4))</f>
        <v/>
      </c>
      <c r="EU7" s="717" t="str">
        <f>IF(INDEX(事業所台帳!$B$4:$F$203,EU3,4)="","",INDEX(事業所台帳!$B$4:$F$203,EU3,4))</f>
        <v/>
      </c>
      <c r="EV7" s="717" t="str">
        <f>IF(INDEX(事業所台帳!$B$4:$F$203,EV3,4)="","",INDEX(事業所台帳!$B$4:$F$203,EV3,4))</f>
        <v/>
      </c>
      <c r="EW7" s="717" t="str">
        <f>IF(INDEX(事業所台帳!$B$4:$F$203,EW3,4)="","",INDEX(事業所台帳!$B$4:$F$203,EW3,4))</f>
        <v/>
      </c>
      <c r="EX7" s="717" t="str">
        <f>IF(INDEX(事業所台帳!$B$4:$F$203,EX3,4)="","",INDEX(事業所台帳!$B$4:$F$203,EX3,4))</f>
        <v/>
      </c>
      <c r="EY7" s="717" t="str">
        <f>IF(INDEX(事業所台帳!$B$4:$F$203,EY3,4)="","",INDEX(事業所台帳!$B$4:$F$203,EY3,4))</f>
        <v/>
      </c>
      <c r="EZ7" s="717" t="str">
        <f>IF(INDEX(事業所台帳!$B$4:$F$203,EZ3,4)="","",INDEX(事業所台帳!$B$4:$F$203,EZ3,4))</f>
        <v/>
      </c>
      <c r="FA7" s="717" t="str">
        <f>IF(INDEX(事業所台帳!$B$4:$F$203,FA3,4)="","",INDEX(事業所台帳!$B$4:$F$203,FA3,4))</f>
        <v/>
      </c>
      <c r="FB7" s="717" t="str">
        <f>IF(INDEX(事業所台帳!$B$4:$F$203,FB3,4)="","",INDEX(事業所台帳!$B$4:$F$203,FB3,4))</f>
        <v/>
      </c>
      <c r="FC7" s="717" t="str">
        <f>IF(INDEX(事業所台帳!$B$4:$F$203,FC3,4)="","",INDEX(事業所台帳!$B$4:$F$203,FC3,4))</f>
        <v/>
      </c>
      <c r="FD7" s="717" t="str">
        <f>IF(INDEX(事業所台帳!$B$4:$F$203,FD3,4)="","",INDEX(事業所台帳!$B$4:$F$203,FD3,4))</f>
        <v/>
      </c>
      <c r="FE7" s="717" t="str">
        <f>IF(INDEX(事業所台帳!$B$4:$F$203,FE3,4)="","",INDEX(事業所台帳!$B$4:$F$203,FE3,4))</f>
        <v/>
      </c>
      <c r="FF7" s="717" t="str">
        <f>IF(INDEX(事業所台帳!$B$4:$F$203,FF3,4)="","",INDEX(事業所台帳!$B$4:$F$203,FF3,4))</f>
        <v/>
      </c>
      <c r="FG7" s="717" t="str">
        <f>IF(INDEX(事業所台帳!$B$4:$F$203,FG3,4)="","",INDEX(事業所台帳!$B$4:$F$203,FG3,4))</f>
        <v/>
      </c>
      <c r="FH7" s="717" t="str">
        <f>IF(INDEX(事業所台帳!$B$4:$F$203,FH3,4)="","",INDEX(事業所台帳!$B$4:$F$203,FH3,4))</f>
        <v/>
      </c>
      <c r="FI7" s="717" t="str">
        <f>IF(INDEX(事業所台帳!$B$4:$F$203,FI3,4)="","",INDEX(事業所台帳!$B$4:$F$203,FI3,4))</f>
        <v/>
      </c>
      <c r="FJ7" s="717" t="str">
        <f>IF(INDEX(事業所台帳!$B$4:$F$203,FJ3,4)="","",INDEX(事業所台帳!$B$4:$F$203,FJ3,4))</f>
        <v/>
      </c>
      <c r="FK7" s="717" t="str">
        <f>IF(INDEX(事業所台帳!$B$4:$F$203,FK3,4)="","",INDEX(事業所台帳!$B$4:$F$203,FK3,4))</f>
        <v/>
      </c>
      <c r="FL7" s="717" t="str">
        <f>IF(INDEX(事業所台帳!$B$4:$F$203,FL3,4)="","",INDEX(事業所台帳!$B$4:$F$203,FL3,4))</f>
        <v/>
      </c>
      <c r="FM7" s="717" t="str">
        <f>IF(INDEX(事業所台帳!$B$4:$F$203,FM3,4)="","",INDEX(事業所台帳!$B$4:$F$203,FM3,4))</f>
        <v/>
      </c>
      <c r="FN7" s="717" t="str">
        <f>IF(INDEX(事業所台帳!$B$4:$F$203,FN3,4)="","",INDEX(事業所台帳!$B$4:$F$203,FN3,4))</f>
        <v/>
      </c>
      <c r="FO7" s="717" t="str">
        <f>IF(INDEX(事業所台帳!$B$4:$F$203,FO3,4)="","",INDEX(事業所台帳!$B$4:$F$203,FO3,4))</f>
        <v/>
      </c>
      <c r="FP7" s="717" t="str">
        <f>IF(INDEX(事業所台帳!$B$4:$F$203,FP3,4)="","",INDEX(事業所台帳!$B$4:$F$203,FP3,4))</f>
        <v/>
      </c>
      <c r="FQ7" s="717" t="str">
        <f>IF(INDEX(事業所台帳!$B$4:$F$203,FQ3,4)="","",INDEX(事業所台帳!$B$4:$F$203,FQ3,4))</f>
        <v/>
      </c>
      <c r="FR7" s="717" t="str">
        <f>IF(INDEX(事業所台帳!$B$4:$F$203,FR3,4)="","",INDEX(事業所台帳!$B$4:$F$203,FR3,4))</f>
        <v/>
      </c>
      <c r="FS7" s="717" t="str">
        <f>IF(INDEX(事業所台帳!$B$4:$F$203,FS3,4)="","",INDEX(事業所台帳!$B$4:$F$203,FS3,4))</f>
        <v/>
      </c>
      <c r="FT7" s="717" t="str">
        <f>IF(INDEX(事業所台帳!$B$4:$F$203,FT3,4)="","",INDEX(事業所台帳!$B$4:$F$203,FT3,4))</f>
        <v/>
      </c>
      <c r="FU7" s="717" t="str">
        <f>IF(INDEX(事業所台帳!$B$4:$F$203,FU3,4)="","",INDEX(事業所台帳!$B$4:$F$203,FU3,4))</f>
        <v/>
      </c>
      <c r="FV7" s="717" t="str">
        <f>IF(INDEX(事業所台帳!$B$4:$F$203,FV3,4)="","",INDEX(事業所台帳!$B$4:$F$203,FV3,4))</f>
        <v/>
      </c>
      <c r="FW7" s="717" t="str">
        <f>IF(INDEX(事業所台帳!$B$4:$F$203,FW3,4)="","",INDEX(事業所台帳!$B$4:$F$203,FW3,4))</f>
        <v/>
      </c>
      <c r="FX7" s="717" t="str">
        <f>IF(INDEX(事業所台帳!$B$4:$F$203,FX3,4)="","",INDEX(事業所台帳!$B$4:$F$203,FX3,4))</f>
        <v/>
      </c>
      <c r="FY7" s="717" t="str">
        <f>IF(INDEX(事業所台帳!$B$4:$F$203,FY3,4)="","",INDEX(事業所台帳!$B$4:$F$203,FY3,4))</f>
        <v/>
      </c>
      <c r="FZ7" s="717" t="str">
        <f>IF(INDEX(事業所台帳!$B$4:$F$203,FZ3,4)="","",INDEX(事業所台帳!$B$4:$F$203,FZ3,4))</f>
        <v/>
      </c>
      <c r="GA7" s="717" t="str">
        <f>IF(INDEX(事業所台帳!$B$4:$F$203,GA3,4)="","",INDEX(事業所台帳!$B$4:$F$203,GA3,4))</f>
        <v/>
      </c>
      <c r="GB7" s="717" t="str">
        <f>IF(INDEX(事業所台帳!$B$4:$F$203,GB3,4)="","",INDEX(事業所台帳!$B$4:$F$203,GB3,4))</f>
        <v/>
      </c>
      <c r="GC7" s="717" t="str">
        <f>IF(INDEX(事業所台帳!$B$4:$F$203,GC3,4)="","",INDEX(事業所台帳!$B$4:$F$203,GC3,4))</f>
        <v/>
      </c>
      <c r="GD7" s="717" t="str">
        <f>IF(INDEX(事業所台帳!$B$4:$F$203,GD3,4)="","",INDEX(事業所台帳!$B$4:$F$203,GD3,4))</f>
        <v/>
      </c>
      <c r="GE7" s="717" t="str">
        <f>IF(INDEX(事業所台帳!$B$4:$F$203,GE3,4)="","",INDEX(事業所台帳!$B$4:$F$203,GE3,4))</f>
        <v/>
      </c>
      <c r="GF7" s="717" t="str">
        <f>IF(INDEX(事業所台帳!$B$4:$F$203,GF3,4)="","",INDEX(事業所台帳!$B$4:$F$203,GF3,4))</f>
        <v/>
      </c>
      <c r="GG7" s="717" t="str">
        <f>IF(INDEX(事業所台帳!$B$4:$F$203,GG3,4)="","",INDEX(事業所台帳!$B$4:$F$203,GG3,4))</f>
        <v/>
      </c>
      <c r="GH7" s="717" t="str">
        <f>IF(INDEX(事業所台帳!$B$4:$F$203,GH3,4)="","",INDEX(事業所台帳!$B$4:$F$203,GH3,4))</f>
        <v/>
      </c>
      <c r="GI7" s="717" t="str">
        <f>IF(INDEX(事業所台帳!$B$4:$F$203,GI3,4)="","",INDEX(事業所台帳!$B$4:$F$203,GI3,4))</f>
        <v/>
      </c>
      <c r="GJ7" s="717" t="str">
        <f>IF(INDEX(事業所台帳!$B$4:$F$203,GJ3,4)="","",INDEX(事業所台帳!$B$4:$F$203,GJ3,4))</f>
        <v/>
      </c>
      <c r="GK7" s="717" t="str">
        <f>IF(INDEX(事業所台帳!$B$4:$F$203,GK3,4)="","",INDEX(事業所台帳!$B$4:$F$203,GK3,4))</f>
        <v/>
      </c>
      <c r="GL7" s="717" t="str">
        <f>IF(INDEX(事業所台帳!$B$4:$F$203,GL3,4)="","",INDEX(事業所台帳!$B$4:$F$203,GL3,4))</f>
        <v/>
      </c>
      <c r="GM7" s="717" t="str">
        <f>IF(INDEX(事業所台帳!$B$4:$F$203,GM3,4)="","",INDEX(事業所台帳!$B$4:$F$203,GM3,4))</f>
        <v/>
      </c>
      <c r="GN7" s="717" t="str">
        <f>IF(INDEX(事業所台帳!$B$4:$F$203,GN3,4)="","",INDEX(事業所台帳!$B$4:$F$203,GN3,4))</f>
        <v/>
      </c>
      <c r="GO7" s="717" t="str">
        <f>IF(INDEX(事業所台帳!$B$4:$F$203,GO3,4)="","",INDEX(事業所台帳!$B$4:$F$203,GO3,4))</f>
        <v/>
      </c>
      <c r="GP7" s="717" t="str">
        <f>IF(INDEX(事業所台帳!$B$4:$F$203,GP3,4)="","",INDEX(事業所台帳!$B$4:$F$203,GP3,4))</f>
        <v/>
      </c>
      <c r="GQ7" s="717" t="str">
        <f>IF(INDEX(事業所台帳!$B$4:$F$203,GQ3,4)="","",INDEX(事業所台帳!$B$4:$F$203,GQ3,4))</f>
        <v/>
      </c>
      <c r="GR7" s="717" t="str">
        <f>IF(INDEX(事業所台帳!$B$4:$F$203,GR3,4)="","",INDEX(事業所台帳!$B$4:$F$203,GR3,4))</f>
        <v/>
      </c>
      <c r="GS7" s="717" t="str">
        <f>IF(INDEX(事業所台帳!$B$4:$F$203,GS3,4)="","",INDEX(事業所台帳!$B$4:$F$203,GS3,4))</f>
        <v/>
      </c>
      <c r="GT7" s="717" t="str">
        <f>IF(INDEX(事業所台帳!$B$4:$F$203,GT3,4)="","",INDEX(事業所台帳!$B$4:$F$203,GT3,4))</f>
        <v/>
      </c>
      <c r="GU7" s="718" t="str">
        <f>IF(INDEX(事業所台帳!$B$4:$F$203,GU3,4)="","",INDEX(事業所台帳!$B$4:$F$203,GU3,4))</f>
        <v/>
      </c>
    </row>
    <row r="8" spans="1:203" s="7" customFormat="1" ht="23.25" hidden="1" customHeight="1" thickBot="1">
      <c r="A8" s="1192" t="s">
        <v>2207</v>
      </c>
      <c r="B8" s="1193"/>
      <c r="C8" s="107">
        <f>SUM(事業所台帳!F4:F203)</f>
        <v>0</v>
      </c>
      <c r="D8" s="108" t="str">
        <f>IF(INDEX(事業所台帳!$B$4:$F$203,D3,5)="","",INDEX(事業所台帳!$B$4:$F$203,D3,5))</f>
        <v/>
      </c>
      <c r="E8" s="108" t="str">
        <f>IF(INDEX(事業所台帳!$B$4:$F$203,E3,5)="","",INDEX(事業所台帳!$B$4:$F$203,E3,5))</f>
        <v/>
      </c>
      <c r="F8" s="108" t="str">
        <f>IF(INDEX(事業所台帳!$B$4:$F$203,F3,5)="","",INDEX(事業所台帳!$B$4:$F$203,F3,5))</f>
        <v/>
      </c>
      <c r="G8" s="108" t="str">
        <f>IF(INDEX(事業所台帳!$B$4:$F$203,G3,5)="","",INDEX(事業所台帳!$B$4:$F$203,G3,5))</f>
        <v/>
      </c>
      <c r="H8" s="108" t="str">
        <f>IF(INDEX(事業所台帳!$B$4:$F$203,H3,5)="","",INDEX(事業所台帳!$B$4:$F$203,H3,5))</f>
        <v/>
      </c>
      <c r="I8" s="108" t="str">
        <f>IF(INDEX(事業所台帳!$B$4:$F$203,I3,5)="","",INDEX(事業所台帳!$B$4:$F$203,I3,5))</f>
        <v/>
      </c>
      <c r="J8" s="108" t="str">
        <f>IF(INDEX(事業所台帳!$B$4:$F$203,J3,5)="","",INDEX(事業所台帳!$B$4:$F$203,J3,5))</f>
        <v/>
      </c>
      <c r="K8" s="108" t="str">
        <f>IF(INDEX(事業所台帳!$B$4:$F$203,K3,5)="","",INDEX(事業所台帳!$B$4:$F$203,K3,5))</f>
        <v/>
      </c>
      <c r="L8" s="108" t="str">
        <f>IF(INDEX(事業所台帳!$B$4:$F$203,L3,5)="","",INDEX(事業所台帳!$B$4:$F$203,L3,5))</f>
        <v/>
      </c>
      <c r="M8" s="108" t="str">
        <f>IF(INDEX(事業所台帳!$B$4:$F$203,M3,5)="","",INDEX(事業所台帳!$B$4:$F$203,M3,5))</f>
        <v/>
      </c>
      <c r="N8" s="108" t="str">
        <f>IF(INDEX(事業所台帳!$B$4:$F$203,N3,5)="","",INDEX(事業所台帳!$B$4:$F$203,N3,5))</f>
        <v/>
      </c>
      <c r="O8" s="108" t="str">
        <f>IF(INDEX(事業所台帳!$B$4:$F$203,O3,5)="","",INDEX(事業所台帳!$B$4:$F$203,O3,5))</f>
        <v/>
      </c>
      <c r="P8" s="108" t="str">
        <f>IF(INDEX(事業所台帳!$B$4:$F$203,P3,5)="","",INDEX(事業所台帳!$B$4:$F$203,P3,5))</f>
        <v/>
      </c>
      <c r="Q8" s="108" t="str">
        <f>IF(INDEX(事業所台帳!$B$4:$F$203,Q3,5)="","",INDEX(事業所台帳!$B$4:$F$203,Q3,5))</f>
        <v/>
      </c>
      <c r="R8" s="108" t="str">
        <f>IF(INDEX(事業所台帳!$B$4:$F$203,R3,5)="","",INDEX(事業所台帳!$B$4:$F$203,R3,5))</f>
        <v/>
      </c>
      <c r="S8" s="108" t="str">
        <f>IF(INDEX(事業所台帳!$B$4:$F$203,S3,5)="","",INDEX(事業所台帳!$B$4:$F$203,S3,5))</f>
        <v/>
      </c>
      <c r="T8" s="108" t="str">
        <f>IF(INDEX(事業所台帳!$B$4:$F$203,T3,5)="","",INDEX(事業所台帳!$B$4:$F$203,T3,5))</f>
        <v/>
      </c>
      <c r="U8" s="108" t="str">
        <f>IF(INDEX(事業所台帳!$B$4:$F$203,U3,5)="","",INDEX(事業所台帳!$B$4:$F$203,U3,5))</f>
        <v/>
      </c>
      <c r="V8" s="108" t="str">
        <f>IF(INDEX(事業所台帳!$B$4:$F$203,V3,5)="","",INDEX(事業所台帳!$B$4:$F$203,V3,5))</f>
        <v/>
      </c>
      <c r="W8" s="108" t="str">
        <f>IF(INDEX(事業所台帳!$B$4:$F$203,W3,5)="","",INDEX(事業所台帳!$B$4:$F$203,W3,5))</f>
        <v/>
      </c>
      <c r="X8" s="108" t="str">
        <f>IF(INDEX(事業所台帳!$B$4:$F$203,X3,5)="","",INDEX(事業所台帳!$B$4:$F$203,X3,5))</f>
        <v/>
      </c>
      <c r="Y8" s="108" t="str">
        <f>IF(INDEX(事業所台帳!$B$4:$F$203,Y3,5)="","",INDEX(事業所台帳!$B$4:$F$203,Y3,5))</f>
        <v/>
      </c>
      <c r="Z8" s="108" t="str">
        <f>IF(INDEX(事業所台帳!$B$4:$F$203,Z3,5)="","",INDEX(事業所台帳!$B$4:$F$203,Z3,5))</f>
        <v/>
      </c>
      <c r="AA8" s="108" t="str">
        <f>IF(INDEX(事業所台帳!$B$4:$F$203,AA3,5)="","",INDEX(事業所台帳!$B$4:$F$203,AA3,5))</f>
        <v/>
      </c>
      <c r="AB8" s="108" t="str">
        <f>IF(INDEX(事業所台帳!$B$4:$F$203,AB3,5)="","",INDEX(事業所台帳!$B$4:$F$203,AB3,5))</f>
        <v/>
      </c>
      <c r="AC8" s="108" t="str">
        <f>IF(INDEX(事業所台帳!$B$4:$F$203,AC3,5)="","",INDEX(事業所台帳!$B$4:$F$203,AC3,5))</f>
        <v/>
      </c>
      <c r="AD8" s="108" t="str">
        <f>IF(INDEX(事業所台帳!$B$4:$F$203,AD3,5)="","",INDEX(事業所台帳!$B$4:$F$203,AD3,5))</f>
        <v/>
      </c>
      <c r="AE8" s="108" t="str">
        <f>IF(INDEX(事業所台帳!$B$4:$F$203,AE3,5)="","",INDEX(事業所台帳!$B$4:$F$203,AE3,5))</f>
        <v/>
      </c>
      <c r="AF8" s="108" t="str">
        <f>IF(INDEX(事業所台帳!$B$4:$F$203,AF3,5)="","",INDEX(事業所台帳!$B$4:$F$203,AF3,5))</f>
        <v/>
      </c>
      <c r="AG8" s="108" t="str">
        <f>IF(INDEX(事業所台帳!$B$4:$F$203,AG3,5)="","",INDEX(事業所台帳!$B$4:$F$203,AG3,5))</f>
        <v/>
      </c>
      <c r="AH8" s="108" t="str">
        <f>IF(INDEX(事業所台帳!$B$4:$F$203,AH3,5)="","",INDEX(事業所台帳!$B$4:$F$203,AH3,5))</f>
        <v/>
      </c>
      <c r="AI8" s="108" t="str">
        <f>IF(INDEX(事業所台帳!$B$4:$F$203,AI3,5)="","",INDEX(事業所台帳!$B$4:$F$203,AI3,5))</f>
        <v/>
      </c>
      <c r="AJ8" s="108" t="str">
        <f>IF(INDEX(事業所台帳!$B$4:$F$203,AJ3,5)="","",INDEX(事業所台帳!$B$4:$F$203,AJ3,5))</f>
        <v/>
      </c>
      <c r="AK8" s="108" t="str">
        <f>IF(INDEX(事業所台帳!$B$4:$F$203,AK3,5)="","",INDEX(事業所台帳!$B$4:$F$203,AK3,5))</f>
        <v/>
      </c>
      <c r="AL8" s="108" t="str">
        <f>IF(INDEX(事業所台帳!$B$4:$F$203,AL3,5)="","",INDEX(事業所台帳!$B$4:$F$203,AL3,5))</f>
        <v/>
      </c>
      <c r="AM8" s="108" t="str">
        <f>IF(INDEX(事業所台帳!$B$4:$F$203,AM3,5)="","",INDEX(事業所台帳!$B$4:$F$203,AM3,5))</f>
        <v/>
      </c>
      <c r="AN8" s="108" t="str">
        <f>IF(INDEX(事業所台帳!$B$4:$F$203,AN3,5)="","",INDEX(事業所台帳!$B$4:$F$203,AN3,5))</f>
        <v/>
      </c>
      <c r="AO8" s="108" t="str">
        <f>IF(INDEX(事業所台帳!$B$4:$F$203,AO3,5)="","",INDEX(事業所台帳!$B$4:$F$203,AO3,5))</f>
        <v/>
      </c>
      <c r="AP8" s="108" t="str">
        <f>IF(INDEX(事業所台帳!$B$4:$F$203,AP3,5)="","",INDEX(事業所台帳!$B$4:$F$203,AP3,5))</f>
        <v/>
      </c>
      <c r="AQ8" s="108" t="str">
        <f>IF(INDEX(事業所台帳!$B$4:$F$203,AQ3,5)="","",INDEX(事業所台帳!$B$4:$F$203,AQ3,5))</f>
        <v/>
      </c>
      <c r="AR8" s="108" t="str">
        <f>IF(INDEX(事業所台帳!$B$4:$F$203,AR3,5)="","",INDEX(事業所台帳!$B$4:$F$203,AR3,5))</f>
        <v/>
      </c>
      <c r="AS8" s="108" t="str">
        <f>IF(INDEX(事業所台帳!$B$4:$F$203,AS3,5)="","",INDEX(事業所台帳!$B$4:$F$203,AS3,5))</f>
        <v/>
      </c>
      <c r="AT8" s="108" t="str">
        <f>IF(INDEX(事業所台帳!$B$4:$F$203,AT3,5)="","",INDEX(事業所台帳!$B$4:$F$203,AT3,5))</f>
        <v/>
      </c>
      <c r="AU8" s="108" t="str">
        <f>IF(INDEX(事業所台帳!$B$4:$F$203,AU3,5)="","",INDEX(事業所台帳!$B$4:$F$203,AU3,5))</f>
        <v/>
      </c>
      <c r="AV8" s="108" t="str">
        <f>IF(INDEX(事業所台帳!$B$4:$F$203,AV3,5)="","",INDEX(事業所台帳!$B$4:$F$203,AV3,5))</f>
        <v/>
      </c>
      <c r="AW8" s="108" t="str">
        <f>IF(INDEX(事業所台帳!$B$4:$F$203,AW3,5)="","",INDEX(事業所台帳!$B$4:$F$203,AW3,5))</f>
        <v/>
      </c>
      <c r="AX8" s="108" t="str">
        <f>IF(INDEX(事業所台帳!$B$4:$F$203,AX3,5)="","",INDEX(事業所台帳!$B$4:$F$203,AX3,5))</f>
        <v/>
      </c>
      <c r="AY8" s="108" t="str">
        <f>IF(INDEX(事業所台帳!$B$4:$F$203,AY3,5)="","",INDEX(事業所台帳!$B$4:$F$203,AY3,5))</f>
        <v/>
      </c>
      <c r="AZ8" s="108" t="str">
        <f>IF(INDEX(事業所台帳!$B$4:$F$203,AZ3,5)="","",INDEX(事業所台帳!$B$4:$F$203,AZ3,5))</f>
        <v/>
      </c>
      <c r="BA8" s="108" t="str">
        <f>IF(INDEX(事業所台帳!$B$4:$F$203,BA3,5)="","",INDEX(事業所台帳!$B$4:$F$203,BA3,5))</f>
        <v/>
      </c>
      <c r="BB8" s="108" t="str">
        <f>IF(INDEX(事業所台帳!$B$4:$F$203,BB3,5)="","",INDEX(事業所台帳!$B$4:$F$203,BB3,5))</f>
        <v/>
      </c>
      <c r="BC8" s="108" t="str">
        <f>IF(INDEX(事業所台帳!$B$4:$F$203,BC3,5)="","",INDEX(事業所台帳!$B$4:$F$203,BC3,5))</f>
        <v/>
      </c>
      <c r="BD8" s="108" t="str">
        <f>IF(INDEX(事業所台帳!$B$4:$F$203,BD3,5)="","",INDEX(事業所台帳!$B$4:$F$203,BD3,5))</f>
        <v/>
      </c>
      <c r="BE8" s="108" t="str">
        <f>IF(INDEX(事業所台帳!$B$4:$F$203,BE3,5)="","",INDEX(事業所台帳!$B$4:$F$203,BE3,5))</f>
        <v/>
      </c>
      <c r="BF8" s="108" t="str">
        <f>IF(INDEX(事業所台帳!$B$4:$F$203,BF3,5)="","",INDEX(事業所台帳!$B$4:$F$203,BF3,5))</f>
        <v/>
      </c>
      <c r="BG8" s="108" t="str">
        <f>IF(INDEX(事業所台帳!$B$4:$F$203,BG3,5)="","",INDEX(事業所台帳!$B$4:$F$203,BG3,5))</f>
        <v/>
      </c>
      <c r="BH8" s="108" t="str">
        <f>IF(INDEX(事業所台帳!$B$4:$F$203,BH3,5)="","",INDEX(事業所台帳!$B$4:$F$203,BH3,5))</f>
        <v/>
      </c>
      <c r="BI8" s="108" t="str">
        <f>IF(INDEX(事業所台帳!$B$4:$F$203,BI3,5)="","",INDEX(事業所台帳!$B$4:$F$203,BI3,5))</f>
        <v/>
      </c>
      <c r="BJ8" s="108" t="str">
        <f>IF(INDEX(事業所台帳!$B$4:$F$203,BJ3,5)="","",INDEX(事業所台帳!$B$4:$F$203,BJ3,5))</f>
        <v/>
      </c>
      <c r="BK8" s="108" t="str">
        <f>IF(INDEX(事業所台帳!$B$4:$F$203,BK3,5)="","",INDEX(事業所台帳!$B$4:$F$203,BK3,5))</f>
        <v/>
      </c>
      <c r="BL8" s="108" t="str">
        <f>IF(INDEX(事業所台帳!$B$4:$F$203,BL3,5)="","",INDEX(事業所台帳!$B$4:$F$203,BL3,5))</f>
        <v/>
      </c>
      <c r="BM8" s="108" t="str">
        <f>IF(INDEX(事業所台帳!$B$4:$F$203,BM3,5)="","",INDEX(事業所台帳!$B$4:$F$203,BM3,5))</f>
        <v/>
      </c>
      <c r="BN8" s="108" t="str">
        <f>IF(INDEX(事業所台帳!$B$4:$F$203,BN3,5)="","",INDEX(事業所台帳!$B$4:$F$203,BN3,5))</f>
        <v/>
      </c>
      <c r="BO8" s="108" t="str">
        <f>IF(INDEX(事業所台帳!$B$4:$F$203,BO3,5)="","",INDEX(事業所台帳!$B$4:$F$203,BO3,5))</f>
        <v/>
      </c>
      <c r="BP8" s="108" t="str">
        <f>IF(INDEX(事業所台帳!$B$4:$F$203,BP3,5)="","",INDEX(事業所台帳!$B$4:$F$203,BP3,5))</f>
        <v/>
      </c>
      <c r="BQ8" s="108" t="str">
        <f>IF(INDEX(事業所台帳!$B$4:$F$203,BQ3,5)="","",INDEX(事業所台帳!$B$4:$F$203,BQ3,5))</f>
        <v/>
      </c>
      <c r="BR8" s="108" t="str">
        <f>IF(INDEX(事業所台帳!$B$4:$F$203,BR3,5)="","",INDEX(事業所台帳!$B$4:$F$203,BR3,5))</f>
        <v/>
      </c>
      <c r="BS8" s="108" t="str">
        <f>IF(INDEX(事業所台帳!$B$4:$F$203,BS3,5)="","",INDEX(事業所台帳!$B$4:$F$203,BS3,5))</f>
        <v/>
      </c>
      <c r="BT8" s="108" t="str">
        <f>IF(INDEX(事業所台帳!$B$4:$F$203,BT3,5)="","",INDEX(事業所台帳!$B$4:$F$203,BT3,5))</f>
        <v/>
      </c>
      <c r="BU8" s="108" t="str">
        <f>IF(INDEX(事業所台帳!$B$4:$F$203,BU3,5)="","",INDEX(事業所台帳!$B$4:$F$203,BU3,5))</f>
        <v/>
      </c>
      <c r="BV8" s="108" t="str">
        <f>IF(INDEX(事業所台帳!$B$4:$F$203,BV3,5)="","",INDEX(事業所台帳!$B$4:$F$203,BV3,5))</f>
        <v/>
      </c>
      <c r="BW8" s="108" t="str">
        <f>IF(INDEX(事業所台帳!$B$4:$F$203,BW3,5)="","",INDEX(事業所台帳!$B$4:$F$203,BW3,5))</f>
        <v/>
      </c>
      <c r="BX8" s="108" t="str">
        <f>IF(INDEX(事業所台帳!$B$4:$F$203,BX3,5)="","",INDEX(事業所台帳!$B$4:$F$203,BX3,5))</f>
        <v/>
      </c>
      <c r="BY8" s="108" t="str">
        <f>IF(INDEX(事業所台帳!$B$4:$F$203,BY3,5)="","",INDEX(事業所台帳!$B$4:$F$203,BY3,5))</f>
        <v/>
      </c>
      <c r="BZ8" s="108" t="str">
        <f>IF(INDEX(事業所台帳!$B$4:$F$203,BZ3,5)="","",INDEX(事業所台帳!$B$4:$F$203,BZ3,5))</f>
        <v/>
      </c>
      <c r="CA8" s="108" t="str">
        <f>IF(INDEX(事業所台帳!$B$4:$F$203,CA3,5)="","",INDEX(事業所台帳!$B$4:$F$203,CA3,5))</f>
        <v/>
      </c>
      <c r="CB8" s="108" t="str">
        <f>IF(INDEX(事業所台帳!$B$4:$F$203,CB3,5)="","",INDEX(事業所台帳!$B$4:$F$203,CB3,5))</f>
        <v/>
      </c>
      <c r="CC8" s="108" t="str">
        <f>IF(INDEX(事業所台帳!$B$4:$F$203,CC3,5)="","",INDEX(事業所台帳!$B$4:$F$203,CC3,5))</f>
        <v/>
      </c>
      <c r="CD8" s="108" t="str">
        <f>IF(INDEX(事業所台帳!$B$4:$F$203,CD3,5)="","",INDEX(事業所台帳!$B$4:$F$203,CD3,5))</f>
        <v/>
      </c>
      <c r="CE8" s="108" t="str">
        <f>IF(INDEX(事業所台帳!$B$4:$F$203,CE3,5)="","",INDEX(事業所台帳!$B$4:$F$203,CE3,5))</f>
        <v/>
      </c>
      <c r="CF8" s="108" t="str">
        <f>IF(INDEX(事業所台帳!$B$4:$F$203,CF3,5)="","",INDEX(事業所台帳!$B$4:$F$203,CF3,5))</f>
        <v/>
      </c>
      <c r="CG8" s="108" t="str">
        <f>IF(INDEX(事業所台帳!$B$4:$F$203,CG3,5)="","",INDEX(事業所台帳!$B$4:$F$203,CG3,5))</f>
        <v/>
      </c>
      <c r="CH8" s="108" t="str">
        <f>IF(INDEX(事業所台帳!$B$4:$F$203,CH3,5)="","",INDEX(事業所台帳!$B$4:$F$203,CH3,5))</f>
        <v/>
      </c>
      <c r="CI8" s="108" t="str">
        <f>IF(INDEX(事業所台帳!$B$4:$F$203,CI3,5)="","",INDEX(事業所台帳!$B$4:$F$203,CI3,5))</f>
        <v/>
      </c>
      <c r="CJ8" s="108" t="str">
        <f>IF(INDEX(事業所台帳!$B$4:$F$203,CJ3,5)="","",INDEX(事業所台帳!$B$4:$F$203,CJ3,5))</f>
        <v/>
      </c>
      <c r="CK8" s="108" t="str">
        <f>IF(INDEX(事業所台帳!$B$4:$F$203,CK3,5)="","",INDEX(事業所台帳!$B$4:$F$203,CK3,5))</f>
        <v/>
      </c>
      <c r="CL8" s="108" t="str">
        <f>IF(INDEX(事業所台帳!$B$4:$F$203,CL3,5)="","",INDEX(事業所台帳!$B$4:$F$203,CL3,5))</f>
        <v/>
      </c>
      <c r="CM8" s="108" t="str">
        <f>IF(INDEX(事業所台帳!$B$4:$F$203,CM3,5)="","",INDEX(事業所台帳!$B$4:$F$203,CM3,5))</f>
        <v/>
      </c>
      <c r="CN8" s="108" t="str">
        <f>IF(INDEX(事業所台帳!$B$4:$F$203,CN3,5)="","",INDEX(事業所台帳!$B$4:$F$203,CN3,5))</f>
        <v/>
      </c>
      <c r="CO8" s="108" t="str">
        <f>IF(INDEX(事業所台帳!$B$4:$F$203,CO3,5)="","",INDEX(事業所台帳!$B$4:$F$203,CO3,5))</f>
        <v/>
      </c>
      <c r="CP8" s="108" t="str">
        <f>IF(INDEX(事業所台帳!$B$4:$F$203,CP3,5)="","",INDEX(事業所台帳!$B$4:$F$203,CP3,5))</f>
        <v/>
      </c>
      <c r="CQ8" s="108" t="str">
        <f>IF(INDEX(事業所台帳!$B$4:$F$203,CQ3,5)="","",INDEX(事業所台帳!$B$4:$F$203,CQ3,5))</f>
        <v/>
      </c>
      <c r="CR8" s="108" t="str">
        <f>IF(INDEX(事業所台帳!$B$4:$F$203,CR3,5)="","",INDEX(事業所台帳!$B$4:$F$203,CR3,5))</f>
        <v/>
      </c>
      <c r="CS8" s="108" t="str">
        <f>IF(INDEX(事業所台帳!$B$4:$F$203,CS3,5)="","",INDEX(事業所台帳!$B$4:$F$203,CS3,5))</f>
        <v/>
      </c>
      <c r="CT8" s="108" t="str">
        <f>IF(INDEX(事業所台帳!$B$4:$F$203,CT3,5)="","",INDEX(事業所台帳!$B$4:$F$203,CT3,5))</f>
        <v/>
      </c>
      <c r="CU8" s="108" t="str">
        <f>IF(INDEX(事業所台帳!$B$4:$F$203,CU3,5)="","",INDEX(事業所台帳!$B$4:$F$203,CU3,5))</f>
        <v/>
      </c>
      <c r="CV8" s="108" t="str">
        <f>IF(INDEX(事業所台帳!$B$4:$F$203,CV3,5)="","",INDEX(事業所台帳!$B$4:$F$203,CV3,5))</f>
        <v/>
      </c>
      <c r="CW8" s="108" t="str">
        <f>IF(INDEX(事業所台帳!$B$4:$F$203,CW3,5)="","",INDEX(事業所台帳!$B$4:$F$203,CW3,5))</f>
        <v/>
      </c>
      <c r="CX8" s="108" t="str">
        <f>IF(INDEX(事業所台帳!$B$4:$F$203,CX3,5)="","",INDEX(事業所台帳!$B$4:$F$203,CX3,5))</f>
        <v/>
      </c>
      <c r="CY8" s="108" t="str">
        <f>IF(INDEX(事業所台帳!$B$4:$F$203,CY3,5)="","",INDEX(事業所台帳!$B$4:$F$203,CY3,5))</f>
        <v/>
      </c>
      <c r="CZ8" s="108" t="str">
        <f>IF(INDEX(事業所台帳!$B$4:$F$203,CZ3,5)="","",INDEX(事業所台帳!$B$4:$F$203,CZ3,5))</f>
        <v/>
      </c>
      <c r="DA8" s="108" t="str">
        <f>IF(INDEX(事業所台帳!$B$4:$F$203,DA3,5)="","",INDEX(事業所台帳!$B$4:$F$203,DA3,5))</f>
        <v/>
      </c>
      <c r="DB8" s="108" t="str">
        <f>IF(INDEX(事業所台帳!$B$4:$F$203,DB3,5)="","",INDEX(事業所台帳!$B$4:$F$203,DB3,5))</f>
        <v/>
      </c>
      <c r="DC8" s="108" t="str">
        <f>IF(INDEX(事業所台帳!$B$4:$F$203,DC3,5)="","",INDEX(事業所台帳!$B$4:$F$203,DC3,5))</f>
        <v/>
      </c>
      <c r="DD8" s="108" t="str">
        <f>IF(INDEX(事業所台帳!$B$4:$F$203,DD3,5)="","",INDEX(事業所台帳!$B$4:$F$203,DD3,5))</f>
        <v/>
      </c>
      <c r="DE8" s="108" t="str">
        <f>IF(INDEX(事業所台帳!$B$4:$F$203,DE3,5)="","",INDEX(事業所台帳!$B$4:$F$203,DE3,5))</f>
        <v/>
      </c>
      <c r="DF8" s="108" t="str">
        <f>IF(INDEX(事業所台帳!$B$4:$F$203,DF3,5)="","",INDEX(事業所台帳!$B$4:$F$203,DF3,5))</f>
        <v/>
      </c>
      <c r="DG8" s="108" t="str">
        <f>IF(INDEX(事業所台帳!$B$4:$F$203,DG3,5)="","",INDEX(事業所台帳!$B$4:$F$203,DG3,5))</f>
        <v/>
      </c>
      <c r="DH8" s="108" t="str">
        <f>IF(INDEX(事業所台帳!$B$4:$F$203,DH3,5)="","",INDEX(事業所台帳!$B$4:$F$203,DH3,5))</f>
        <v/>
      </c>
      <c r="DI8" s="108" t="str">
        <f>IF(INDEX(事業所台帳!$B$4:$F$203,DI3,5)="","",INDEX(事業所台帳!$B$4:$F$203,DI3,5))</f>
        <v/>
      </c>
      <c r="DJ8" s="108" t="str">
        <f>IF(INDEX(事業所台帳!$B$4:$F$203,DJ3,5)="","",INDEX(事業所台帳!$B$4:$F$203,DJ3,5))</f>
        <v/>
      </c>
      <c r="DK8" s="108" t="str">
        <f>IF(INDEX(事業所台帳!$B$4:$F$203,DK3,5)="","",INDEX(事業所台帳!$B$4:$F$203,DK3,5))</f>
        <v/>
      </c>
      <c r="DL8" s="108" t="str">
        <f>IF(INDEX(事業所台帳!$B$4:$F$203,DL3,5)="","",INDEX(事業所台帳!$B$4:$F$203,DL3,5))</f>
        <v/>
      </c>
      <c r="DM8" s="108" t="str">
        <f>IF(INDEX(事業所台帳!$B$4:$F$203,DM3,5)="","",INDEX(事業所台帳!$B$4:$F$203,DM3,5))</f>
        <v/>
      </c>
      <c r="DN8" s="108" t="str">
        <f>IF(INDEX(事業所台帳!$B$4:$F$203,DN3,5)="","",INDEX(事業所台帳!$B$4:$F$203,DN3,5))</f>
        <v/>
      </c>
      <c r="DO8" s="108" t="str">
        <f>IF(INDEX(事業所台帳!$B$4:$F$203,DO3,5)="","",INDEX(事業所台帳!$B$4:$F$203,DO3,5))</f>
        <v/>
      </c>
      <c r="DP8" s="108" t="str">
        <f>IF(INDEX(事業所台帳!$B$4:$F$203,DP3,5)="","",INDEX(事業所台帳!$B$4:$F$203,DP3,5))</f>
        <v/>
      </c>
      <c r="DQ8" s="108" t="str">
        <f>IF(INDEX(事業所台帳!$B$4:$F$203,DQ3,5)="","",INDEX(事業所台帳!$B$4:$F$203,DQ3,5))</f>
        <v/>
      </c>
      <c r="DR8" s="108" t="str">
        <f>IF(INDEX(事業所台帳!$B$4:$F$203,DR3,5)="","",INDEX(事業所台帳!$B$4:$F$203,DR3,5))</f>
        <v/>
      </c>
      <c r="DS8" s="108" t="str">
        <f>IF(INDEX(事業所台帳!$B$4:$F$203,DS3,5)="","",INDEX(事業所台帳!$B$4:$F$203,DS3,5))</f>
        <v/>
      </c>
      <c r="DT8" s="108" t="str">
        <f>IF(INDEX(事業所台帳!$B$4:$F$203,DT3,5)="","",INDEX(事業所台帳!$B$4:$F$203,DT3,5))</f>
        <v/>
      </c>
      <c r="DU8" s="108" t="str">
        <f>IF(INDEX(事業所台帳!$B$4:$F$203,DU3,5)="","",INDEX(事業所台帳!$B$4:$F$203,DU3,5))</f>
        <v/>
      </c>
      <c r="DV8" s="108" t="str">
        <f>IF(INDEX(事業所台帳!$B$4:$F$203,DV3,5)="","",INDEX(事業所台帳!$B$4:$F$203,DV3,5))</f>
        <v/>
      </c>
      <c r="DW8" s="108" t="str">
        <f>IF(INDEX(事業所台帳!$B$4:$F$203,DW3,5)="","",INDEX(事業所台帳!$B$4:$F$203,DW3,5))</f>
        <v/>
      </c>
      <c r="DX8" s="108" t="str">
        <f>IF(INDEX(事業所台帳!$B$4:$F$203,DX3,5)="","",INDEX(事業所台帳!$B$4:$F$203,DX3,5))</f>
        <v/>
      </c>
      <c r="DY8" s="108" t="str">
        <f>IF(INDEX(事業所台帳!$B$4:$F$203,DY3,5)="","",INDEX(事業所台帳!$B$4:$F$203,DY3,5))</f>
        <v/>
      </c>
      <c r="DZ8" s="108" t="str">
        <f>IF(INDEX(事業所台帳!$B$4:$F$203,DZ3,5)="","",INDEX(事業所台帳!$B$4:$F$203,DZ3,5))</f>
        <v/>
      </c>
      <c r="EA8" s="108" t="str">
        <f>IF(INDEX(事業所台帳!$B$4:$F$203,EA3,5)="","",INDEX(事業所台帳!$B$4:$F$203,EA3,5))</f>
        <v/>
      </c>
      <c r="EB8" s="108" t="str">
        <f>IF(INDEX(事業所台帳!$B$4:$F$203,EB3,5)="","",INDEX(事業所台帳!$B$4:$F$203,EB3,5))</f>
        <v/>
      </c>
      <c r="EC8" s="108" t="str">
        <f>IF(INDEX(事業所台帳!$B$4:$F$203,EC3,5)="","",INDEX(事業所台帳!$B$4:$F$203,EC3,5))</f>
        <v/>
      </c>
      <c r="ED8" s="108" t="str">
        <f>IF(INDEX(事業所台帳!$B$4:$F$203,ED3,5)="","",INDEX(事業所台帳!$B$4:$F$203,ED3,5))</f>
        <v/>
      </c>
      <c r="EE8" s="108" t="str">
        <f>IF(INDEX(事業所台帳!$B$4:$F$203,EE3,5)="","",INDEX(事業所台帳!$B$4:$F$203,EE3,5))</f>
        <v/>
      </c>
      <c r="EF8" s="108" t="str">
        <f>IF(INDEX(事業所台帳!$B$4:$F$203,EF3,5)="","",INDEX(事業所台帳!$B$4:$F$203,EF3,5))</f>
        <v/>
      </c>
      <c r="EG8" s="108" t="str">
        <f>IF(INDEX(事業所台帳!$B$4:$F$203,EG3,5)="","",INDEX(事業所台帳!$B$4:$F$203,EG3,5))</f>
        <v/>
      </c>
      <c r="EH8" s="108" t="str">
        <f>IF(INDEX(事業所台帳!$B$4:$F$203,EH3,5)="","",INDEX(事業所台帳!$B$4:$F$203,EH3,5))</f>
        <v/>
      </c>
      <c r="EI8" s="108" t="str">
        <f>IF(INDEX(事業所台帳!$B$4:$F$203,EI3,5)="","",INDEX(事業所台帳!$B$4:$F$203,EI3,5))</f>
        <v/>
      </c>
      <c r="EJ8" s="108" t="str">
        <f>IF(INDEX(事業所台帳!$B$4:$F$203,EJ3,5)="","",INDEX(事業所台帳!$B$4:$F$203,EJ3,5))</f>
        <v/>
      </c>
      <c r="EK8" s="108" t="str">
        <f>IF(INDEX(事業所台帳!$B$4:$F$203,EK3,5)="","",INDEX(事業所台帳!$B$4:$F$203,EK3,5))</f>
        <v/>
      </c>
      <c r="EL8" s="108" t="str">
        <f>IF(INDEX(事業所台帳!$B$4:$F$203,EL3,5)="","",INDEX(事業所台帳!$B$4:$F$203,EL3,5))</f>
        <v/>
      </c>
      <c r="EM8" s="108" t="str">
        <f>IF(INDEX(事業所台帳!$B$4:$F$203,EM3,5)="","",INDEX(事業所台帳!$B$4:$F$203,EM3,5))</f>
        <v/>
      </c>
      <c r="EN8" s="108" t="str">
        <f>IF(INDEX(事業所台帳!$B$4:$F$203,EN3,5)="","",INDEX(事業所台帳!$B$4:$F$203,EN3,5))</f>
        <v/>
      </c>
      <c r="EO8" s="108" t="str">
        <f>IF(INDEX(事業所台帳!$B$4:$F$203,EO3,5)="","",INDEX(事業所台帳!$B$4:$F$203,EO3,5))</f>
        <v/>
      </c>
      <c r="EP8" s="108" t="str">
        <f>IF(INDEX(事業所台帳!$B$4:$F$203,EP3,5)="","",INDEX(事業所台帳!$B$4:$F$203,EP3,5))</f>
        <v/>
      </c>
      <c r="EQ8" s="108" t="str">
        <f>IF(INDEX(事業所台帳!$B$4:$F$203,EQ3,5)="","",INDEX(事業所台帳!$B$4:$F$203,EQ3,5))</f>
        <v/>
      </c>
      <c r="ER8" s="108" t="str">
        <f>IF(INDEX(事業所台帳!$B$4:$F$203,ER3,5)="","",INDEX(事業所台帳!$B$4:$F$203,ER3,5))</f>
        <v/>
      </c>
      <c r="ES8" s="108" t="str">
        <f>IF(INDEX(事業所台帳!$B$4:$F$203,ES3,5)="","",INDEX(事業所台帳!$B$4:$F$203,ES3,5))</f>
        <v/>
      </c>
      <c r="ET8" s="108" t="str">
        <f>IF(INDEX(事業所台帳!$B$4:$F$203,ET3,5)="","",INDEX(事業所台帳!$B$4:$F$203,ET3,5))</f>
        <v/>
      </c>
      <c r="EU8" s="108" t="str">
        <f>IF(INDEX(事業所台帳!$B$4:$F$203,EU3,5)="","",INDEX(事業所台帳!$B$4:$F$203,EU3,5))</f>
        <v/>
      </c>
      <c r="EV8" s="108" t="str">
        <f>IF(INDEX(事業所台帳!$B$4:$F$203,EV3,5)="","",INDEX(事業所台帳!$B$4:$F$203,EV3,5))</f>
        <v/>
      </c>
      <c r="EW8" s="108" t="str">
        <f>IF(INDEX(事業所台帳!$B$4:$F$203,EW3,5)="","",INDEX(事業所台帳!$B$4:$F$203,EW3,5))</f>
        <v/>
      </c>
      <c r="EX8" s="108" t="str">
        <f>IF(INDEX(事業所台帳!$B$4:$F$203,EX3,5)="","",INDEX(事業所台帳!$B$4:$F$203,EX3,5))</f>
        <v/>
      </c>
      <c r="EY8" s="108" t="str">
        <f>IF(INDEX(事業所台帳!$B$4:$F$203,EY3,5)="","",INDEX(事業所台帳!$B$4:$F$203,EY3,5))</f>
        <v/>
      </c>
      <c r="EZ8" s="108" t="str">
        <f>IF(INDEX(事業所台帳!$B$4:$F$203,EZ3,5)="","",INDEX(事業所台帳!$B$4:$F$203,EZ3,5))</f>
        <v/>
      </c>
      <c r="FA8" s="108" t="str">
        <f>IF(INDEX(事業所台帳!$B$4:$F$203,FA3,5)="","",INDEX(事業所台帳!$B$4:$F$203,FA3,5))</f>
        <v/>
      </c>
      <c r="FB8" s="108" t="str">
        <f>IF(INDEX(事業所台帳!$B$4:$F$203,FB3,5)="","",INDEX(事業所台帳!$B$4:$F$203,FB3,5))</f>
        <v/>
      </c>
      <c r="FC8" s="108" t="str">
        <f>IF(INDEX(事業所台帳!$B$4:$F$203,FC3,5)="","",INDEX(事業所台帳!$B$4:$F$203,FC3,5))</f>
        <v/>
      </c>
      <c r="FD8" s="108" t="str">
        <f>IF(INDEX(事業所台帳!$B$4:$F$203,FD3,5)="","",INDEX(事業所台帳!$B$4:$F$203,FD3,5))</f>
        <v/>
      </c>
      <c r="FE8" s="108" t="str">
        <f>IF(INDEX(事業所台帳!$B$4:$F$203,FE3,5)="","",INDEX(事業所台帳!$B$4:$F$203,FE3,5))</f>
        <v/>
      </c>
      <c r="FF8" s="108" t="str">
        <f>IF(INDEX(事業所台帳!$B$4:$F$203,FF3,5)="","",INDEX(事業所台帳!$B$4:$F$203,FF3,5))</f>
        <v/>
      </c>
      <c r="FG8" s="108" t="str">
        <f>IF(INDEX(事業所台帳!$B$4:$F$203,FG3,5)="","",INDEX(事業所台帳!$B$4:$F$203,FG3,5))</f>
        <v/>
      </c>
      <c r="FH8" s="108" t="str">
        <f>IF(INDEX(事業所台帳!$B$4:$F$203,FH3,5)="","",INDEX(事業所台帳!$B$4:$F$203,FH3,5))</f>
        <v/>
      </c>
      <c r="FI8" s="108" t="str">
        <f>IF(INDEX(事業所台帳!$B$4:$F$203,FI3,5)="","",INDEX(事業所台帳!$B$4:$F$203,FI3,5))</f>
        <v/>
      </c>
      <c r="FJ8" s="108" t="str">
        <f>IF(INDEX(事業所台帳!$B$4:$F$203,FJ3,5)="","",INDEX(事業所台帳!$B$4:$F$203,FJ3,5))</f>
        <v/>
      </c>
      <c r="FK8" s="108" t="str">
        <f>IF(INDEX(事業所台帳!$B$4:$F$203,FK3,5)="","",INDEX(事業所台帳!$B$4:$F$203,FK3,5))</f>
        <v/>
      </c>
      <c r="FL8" s="108" t="str">
        <f>IF(INDEX(事業所台帳!$B$4:$F$203,FL3,5)="","",INDEX(事業所台帳!$B$4:$F$203,FL3,5))</f>
        <v/>
      </c>
      <c r="FM8" s="108" t="str">
        <f>IF(INDEX(事業所台帳!$B$4:$F$203,FM3,5)="","",INDEX(事業所台帳!$B$4:$F$203,FM3,5))</f>
        <v/>
      </c>
      <c r="FN8" s="108" t="str">
        <f>IF(INDEX(事業所台帳!$B$4:$F$203,FN3,5)="","",INDEX(事業所台帳!$B$4:$F$203,FN3,5))</f>
        <v/>
      </c>
      <c r="FO8" s="108" t="str">
        <f>IF(INDEX(事業所台帳!$B$4:$F$203,FO3,5)="","",INDEX(事業所台帳!$B$4:$F$203,FO3,5))</f>
        <v/>
      </c>
      <c r="FP8" s="108" t="str">
        <f>IF(INDEX(事業所台帳!$B$4:$F$203,FP3,5)="","",INDEX(事業所台帳!$B$4:$F$203,FP3,5))</f>
        <v/>
      </c>
      <c r="FQ8" s="108" t="str">
        <f>IF(INDEX(事業所台帳!$B$4:$F$203,FQ3,5)="","",INDEX(事業所台帳!$B$4:$F$203,FQ3,5))</f>
        <v/>
      </c>
      <c r="FR8" s="108" t="str">
        <f>IF(INDEX(事業所台帳!$B$4:$F$203,FR3,5)="","",INDEX(事業所台帳!$B$4:$F$203,FR3,5))</f>
        <v/>
      </c>
      <c r="FS8" s="108" t="str">
        <f>IF(INDEX(事業所台帳!$B$4:$F$203,FS3,5)="","",INDEX(事業所台帳!$B$4:$F$203,FS3,5))</f>
        <v/>
      </c>
      <c r="FT8" s="108" t="str">
        <f>IF(INDEX(事業所台帳!$B$4:$F$203,FT3,5)="","",INDEX(事業所台帳!$B$4:$F$203,FT3,5))</f>
        <v/>
      </c>
      <c r="FU8" s="108" t="str">
        <f>IF(INDEX(事業所台帳!$B$4:$F$203,FU3,5)="","",INDEX(事業所台帳!$B$4:$F$203,FU3,5))</f>
        <v/>
      </c>
      <c r="FV8" s="108" t="str">
        <f>IF(INDEX(事業所台帳!$B$4:$F$203,FV3,5)="","",INDEX(事業所台帳!$B$4:$F$203,FV3,5))</f>
        <v/>
      </c>
      <c r="FW8" s="108" t="str">
        <f>IF(INDEX(事業所台帳!$B$4:$F$203,FW3,5)="","",INDEX(事業所台帳!$B$4:$F$203,FW3,5))</f>
        <v/>
      </c>
      <c r="FX8" s="108" t="str">
        <f>IF(INDEX(事業所台帳!$B$4:$F$203,FX3,5)="","",INDEX(事業所台帳!$B$4:$F$203,FX3,5))</f>
        <v/>
      </c>
      <c r="FY8" s="108" t="str">
        <f>IF(INDEX(事業所台帳!$B$4:$F$203,FY3,5)="","",INDEX(事業所台帳!$B$4:$F$203,FY3,5))</f>
        <v/>
      </c>
      <c r="FZ8" s="108" t="str">
        <f>IF(INDEX(事業所台帳!$B$4:$F$203,FZ3,5)="","",INDEX(事業所台帳!$B$4:$F$203,FZ3,5))</f>
        <v/>
      </c>
      <c r="GA8" s="108" t="str">
        <f>IF(INDEX(事業所台帳!$B$4:$F$203,GA3,5)="","",INDEX(事業所台帳!$B$4:$F$203,GA3,5))</f>
        <v/>
      </c>
      <c r="GB8" s="108" t="str">
        <f>IF(INDEX(事業所台帳!$B$4:$F$203,GB3,5)="","",INDEX(事業所台帳!$B$4:$F$203,GB3,5))</f>
        <v/>
      </c>
      <c r="GC8" s="108" t="str">
        <f>IF(INDEX(事業所台帳!$B$4:$F$203,GC3,5)="","",INDEX(事業所台帳!$B$4:$F$203,GC3,5))</f>
        <v/>
      </c>
      <c r="GD8" s="108" t="str">
        <f>IF(INDEX(事業所台帳!$B$4:$F$203,GD3,5)="","",INDEX(事業所台帳!$B$4:$F$203,GD3,5))</f>
        <v/>
      </c>
      <c r="GE8" s="108" t="str">
        <f>IF(INDEX(事業所台帳!$B$4:$F$203,GE3,5)="","",INDEX(事業所台帳!$B$4:$F$203,GE3,5))</f>
        <v/>
      </c>
      <c r="GF8" s="108" t="str">
        <f>IF(INDEX(事業所台帳!$B$4:$F$203,GF3,5)="","",INDEX(事業所台帳!$B$4:$F$203,GF3,5))</f>
        <v/>
      </c>
      <c r="GG8" s="108" t="str">
        <f>IF(INDEX(事業所台帳!$B$4:$F$203,GG3,5)="","",INDEX(事業所台帳!$B$4:$F$203,GG3,5))</f>
        <v/>
      </c>
      <c r="GH8" s="108" t="str">
        <f>IF(INDEX(事業所台帳!$B$4:$F$203,GH3,5)="","",INDEX(事業所台帳!$B$4:$F$203,GH3,5))</f>
        <v/>
      </c>
      <c r="GI8" s="108" t="str">
        <f>IF(INDEX(事業所台帳!$B$4:$F$203,GI3,5)="","",INDEX(事業所台帳!$B$4:$F$203,GI3,5))</f>
        <v/>
      </c>
      <c r="GJ8" s="108" t="str">
        <f>IF(INDEX(事業所台帳!$B$4:$F$203,GJ3,5)="","",INDEX(事業所台帳!$B$4:$F$203,GJ3,5))</f>
        <v/>
      </c>
      <c r="GK8" s="108" t="str">
        <f>IF(INDEX(事業所台帳!$B$4:$F$203,GK3,5)="","",INDEX(事業所台帳!$B$4:$F$203,GK3,5))</f>
        <v/>
      </c>
      <c r="GL8" s="108" t="str">
        <f>IF(INDEX(事業所台帳!$B$4:$F$203,GL3,5)="","",INDEX(事業所台帳!$B$4:$F$203,GL3,5))</f>
        <v/>
      </c>
      <c r="GM8" s="108" t="str">
        <f>IF(INDEX(事業所台帳!$B$4:$F$203,GM3,5)="","",INDEX(事業所台帳!$B$4:$F$203,GM3,5))</f>
        <v/>
      </c>
      <c r="GN8" s="108" t="str">
        <f>IF(INDEX(事業所台帳!$B$4:$F$203,GN3,5)="","",INDEX(事業所台帳!$B$4:$F$203,GN3,5))</f>
        <v/>
      </c>
      <c r="GO8" s="108" t="str">
        <f>IF(INDEX(事業所台帳!$B$4:$F$203,GO3,5)="","",INDEX(事業所台帳!$B$4:$F$203,GO3,5))</f>
        <v/>
      </c>
      <c r="GP8" s="108" t="str">
        <f>IF(INDEX(事業所台帳!$B$4:$F$203,GP3,5)="","",INDEX(事業所台帳!$B$4:$F$203,GP3,5))</f>
        <v/>
      </c>
      <c r="GQ8" s="108" t="str">
        <f>IF(INDEX(事業所台帳!$B$4:$F$203,GQ3,5)="","",INDEX(事業所台帳!$B$4:$F$203,GQ3,5))</f>
        <v/>
      </c>
      <c r="GR8" s="108" t="str">
        <f>IF(INDEX(事業所台帳!$B$4:$F$203,GR3,5)="","",INDEX(事業所台帳!$B$4:$F$203,GR3,5))</f>
        <v/>
      </c>
      <c r="GS8" s="108" t="str">
        <f>IF(INDEX(事業所台帳!$B$4:$F$203,GS3,5)="","",INDEX(事業所台帳!$B$4:$F$203,GS3,5))</f>
        <v/>
      </c>
      <c r="GT8" s="108" t="str">
        <f>IF(INDEX(事業所台帳!$B$4:$F$203,GT3,5)="","",INDEX(事業所台帳!$B$4:$F$203,GT3,5))</f>
        <v/>
      </c>
      <c r="GU8" s="109" t="str">
        <f>IF(INDEX(事業所台帳!$B$4:$F$203,GU3,5)="","",INDEX(事業所台帳!$B$4:$F$203,GU3,5))</f>
        <v/>
      </c>
    </row>
    <row r="9" spans="1:203" s="7" customFormat="1" ht="19.5" customHeight="1" thickBot="1">
      <c r="A9" s="110" t="s">
        <v>47</v>
      </c>
      <c r="B9" s="111" t="s">
        <v>48</v>
      </c>
      <c r="C9" s="112" t="s">
        <v>58</v>
      </c>
      <c r="D9" s="113" t="s">
        <v>43</v>
      </c>
      <c r="E9" s="114" t="s">
        <v>43</v>
      </c>
      <c r="F9" s="114" t="s">
        <v>43</v>
      </c>
      <c r="G9" s="114" t="s">
        <v>43</v>
      </c>
      <c r="H9" s="114" t="s">
        <v>43</v>
      </c>
      <c r="I9" s="114" t="s">
        <v>43</v>
      </c>
      <c r="J9" s="114" t="s">
        <v>43</v>
      </c>
      <c r="K9" s="114" t="s">
        <v>43</v>
      </c>
      <c r="L9" s="114" t="s">
        <v>43</v>
      </c>
      <c r="M9" s="114" t="s">
        <v>43</v>
      </c>
      <c r="N9" s="114" t="s">
        <v>43</v>
      </c>
      <c r="O9" s="114" t="s">
        <v>43</v>
      </c>
      <c r="P9" s="114" t="s">
        <v>43</v>
      </c>
      <c r="Q9" s="114" t="s">
        <v>43</v>
      </c>
      <c r="R9" s="114" t="s">
        <v>43</v>
      </c>
      <c r="S9" s="114" t="s">
        <v>43</v>
      </c>
      <c r="T9" s="114" t="s">
        <v>43</v>
      </c>
      <c r="U9" s="114" t="s">
        <v>43</v>
      </c>
      <c r="V9" s="114" t="s">
        <v>43</v>
      </c>
      <c r="W9" s="114" t="s">
        <v>43</v>
      </c>
      <c r="X9" s="114" t="s">
        <v>43</v>
      </c>
      <c r="Y9" s="114" t="s">
        <v>43</v>
      </c>
      <c r="Z9" s="114" t="s">
        <v>43</v>
      </c>
      <c r="AA9" s="114" t="s">
        <v>43</v>
      </c>
      <c r="AB9" s="114" t="s">
        <v>43</v>
      </c>
      <c r="AC9" s="114" t="s">
        <v>43</v>
      </c>
      <c r="AD9" s="114" t="s">
        <v>43</v>
      </c>
      <c r="AE9" s="114" t="s">
        <v>43</v>
      </c>
      <c r="AF9" s="114" t="s">
        <v>43</v>
      </c>
      <c r="AG9" s="114" t="s">
        <v>43</v>
      </c>
      <c r="AH9" s="114" t="s">
        <v>43</v>
      </c>
      <c r="AI9" s="114" t="s">
        <v>43</v>
      </c>
      <c r="AJ9" s="114" t="s">
        <v>43</v>
      </c>
      <c r="AK9" s="114" t="s">
        <v>43</v>
      </c>
      <c r="AL9" s="114" t="s">
        <v>43</v>
      </c>
      <c r="AM9" s="114" t="s">
        <v>43</v>
      </c>
      <c r="AN9" s="114" t="s">
        <v>43</v>
      </c>
      <c r="AO9" s="114" t="s">
        <v>43</v>
      </c>
      <c r="AP9" s="114" t="s">
        <v>43</v>
      </c>
      <c r="AQ9" s="114" t="s">
        <v>43</v>
      </c>
      <c r="AR9" s="114" t="s">
        <v>43</v>
      </c>
      <c r="AS9" s="114" t="s">
        <v>43</v>
      </c>
      <c r="AT9" s="114" t="s">
        <v>43</v>
      </c>
      <c r="AU9" s="114" t="s">
        <v>43</v>
      </c>
      <c r="AV9" s="114" t="s">
        <v>43</v>
      </c>
      <c r="AW9" s="114" t="s">
        <v>43</v>
      </c>
      <c r="AX9" s="114" t="s">
        <v>43</v>
      </c>
      <c r="AY9" s="114" t="s">
        <v>43</v>
      </c>
      <c r="AZ9" s="114" t="s">
        <v>43</v>
      </c>
      <c r="BA9" s="114" t="s">
        <v>43</v>
      </c>
      <c r="BB9" s="114" t="s">
        <v>43</v>
      </c>
      <c r="BC9" s="114" t="s">
        <v>43</v>
      </c>
      <c r="BD9" s="114" t="s">
        <v>43</v>
      </c>
      <c r="BE9" s="114" t="s">
        <v>43</v>
      </c>
      <c r="BF9" s="114" t="s">
        <v>43</v>
      </c>
      <c r="BG9" s="114" t="s">
        <v>43</v>
      </c>
      <c r="BH9" s="114" t="s">
        <v>43</v>
      </c>
      <c r="BI9" s="114" t="s">
        <v>43</v>
      </c>
      <c r="BJ9" s="114" t="s">
        <v>43</v>
      </c>
      <c r="BK9" s="114" t="s">
        <v>43</v>
      </c>
      <c r="BL9" s="114" t="s">
        <v>43</v>
      </c>
      <c r="BM9" s="114" t="s">
        <v>43</v>
      </c>
      <c r="BN9" s="114" t="s">
        <v>43</v>
      </c>
      <c r="BO9" s="114" t="s">
        <v>43</v>
      </c>
      <c r="BP9" s="114" t="s">
        <v>43</v>
      </c>
      <c r="BQ9" s="114" t="s">
        <v>43</v>
      </c>
      <c r="BR9" s="114" t="s">
        <v>43</v>
      </c>
      <c r="BS9" s="114" t="s">
        <v>43</v>
      </c>
      <c r="BT9" s="114" t="s">
        <v>43</v>
      </c>
      <c r="BU9" s="114" t="s">
        <v>43</v>
      </c>
      <c r="BV9" s="114" t="s">
        <v>43</v>
      </c>
      <c r="BW9" s="114" t="s">
        <v>43</v>
      </c>
      <c r="BX9" s="114" t="s">
        <v>43</v>
      </c>
      <c r="BY9" s="114" t="s">
        <v>43</v>
      </c>
      <c r="BZ9" s="114" t="s">
        <v>43</v>
      </c>
      <c r="CA9" s="114" t="s">
        <v>43</v>
      </c>
      <c r="CB9" s="114" t="s">
        <v>43</v>
      </c>
      <c r="CC9" s="114" t="s">
        <v>43</v>
      </c>
      <c r="CD9" s="114" t="s">
        <v>43</v>
      </c>
      <c r="CE9" s="114" t="s">
        <v>43</v>
      </c>
      <c r="CF9" s="114" t="s">
        <v>43</v>
      </c>
      <c r="CG9" s="114" t="s">
        <v>43</v>
      </c>
      <c r="CH9" s="114" t="s">
        <v>43</v>
      </c>
      <c r="CI9" s="114" t="s">
        <v>43</v>
      </c>
      <c r="CJ9" s="114" t="s">
        <v>43</v>
      </c>
      <c r="CK9" s="114" t="s">
        <v>43</v>
      </c>
      <c r="CL9" s="114" t="s">
        <v>43</v>
      </c>
      <c r="CM9" s="114" t="s">
        <v>43</v>
      </c>
      <c r="CN9" s="114" t="s">
        <v>43</v>
      </c>
      <c r="CO9" s="114" t="s">
        <v>43</v>
      </c>
      <c r="CP9" s="114" t="s">
        <v>43</v>
      </c>
      <c r="CQ9" s="114" t="s">
        <v>43</v>
      </c>
      <c r="CR9" s="114" t="s">
        <v>43</v>
      </c>
      <c r="CS9" s="114" t="s">
        <v>43</v>
      </c>
      <c r="CT9" s="114" t="s">
        <v>43</v>
      </c>
      <c r="CU9" s="114" t="s">
        <v>43</v>
      </c>
      <c r="CV9" s="114" t="s">
        <v>43</v>
      </c>
      <c r="CW9" s="114" t="s">
        <v>43</v>
      </c>
      <c r="CX9" s="114" t="s">
        <v>43</v>
      </c>
      <c r="CY9" s="114" t="s">
        <v>43</v>
      </c>
      <c r="CZ9" s="114" t="s">
        <v>43</v>
      </c>
      <c r="DA9" s="114" t="s">
        <v>43</v>
      </c>
      <c r="DB9" s="114" t="s">
        <v>43</v>
      </c>
      <c r="DC9" s="114" t="s">
        <v>43</v>
      </c>
      <c r="DD9" s="114" t="s">
        <v>43</v>
      </c>
      <c r="DE9" s="114" t="s">
        <v>43</v>
      </c>
      <c r="DF9" s="114" t="s">
        <v>43</v>
      </c>
      <c r="DG9" s="114" t="s">
        <v>43</v>
      </c>
      <c r="DH9" s="114" t="s">
        <v>43</v>
      </c>
      <c r="DI9" s="114" t="s">
        <v>43</v>
      </c>
      <c r="DJ9" s="114" t="s">
        <v>43</v>
      </c>
      <c r="DK9" s="114" t="s">
        <v>43</v>
      </c>
      <c r="DL9" s="114" t="s">
        <v>43</v>
      </c>
      <c r="DM9" s="114" t="s">
        <v>43</v>
      </c>
      <c r="DN9" s="114" t="s">
        <v>43</v>
      </c>
      <c r="DO9" s="114" t="s">
        <v>43</v>
      </c>
      <c r="DP9" s="114" t="s">
        <v>43</v>
      </c>
      <c r="DQ9" s="114" t="s">
        <v>43</v>
      </c>
      <c r="DR9" s="114" t="s">
        <v>43</v>
      </c>
      <c r="DS9" s="114" t="s">
        <v>43</v>
      </c>
      <c r="DT9" s="114" t="s">
        <v>43</v>
      </c>
      <c r="DU9" s="114" t="s">
        <v>43</v>
      </c>
      <c r="DV9" s="114" t="s">
        <v>43</v>
      </c>
      <c r="DW9" s="114" t="s">
        <v>43</v>
      </c>
      <c r="DX9" s="114" t="s">
        <v>43</v>
      </c>
      <c r="DY9" s="114" t="s">
        <v>43</v>
      </c>
      <c r="DZ9" s="114" t="s">
        <v>43</v>
      </c>
      <c r="EA9" s="114" t="s">
        <v>43</v>
      </c>
      <c r="EB9" s="114" t="s">
        <v>43</v>
      </c>
      <c r="EC9" s="114" t="s">
        <v>43</v>
      </c>
      <c r="ED9" s="114" t="s">
        <v>43</v>
      </c>
      <c r="EE9" s="114" t="s">
        <v>43</v>
      </c>
      <c r="EF9" s="114" t="s">
        <v>43</v>
      </c>
      <c r="EG9" s="114" t="s">
        <v>43</v>
      </c>
      <c r="EH9" s="114" t="s">
        <v>43</v>
      </c>
      <c r="EI9" s="114" t="s">
        <v>43</v>
      </c>
      <c r="EJ9" s="114" t="s">
        <v>43</v>
      </c>
      <c r="EK9" s="114" t="s">
        <v>43</v>
      </c>
      <c r="EL9" s="114" t="s">
        <v>43</v>
      </c>
      <c r="EM9" s="114" t="s">
        <v>43</v>
      </c>
      <c r="EN9" s="114" t="s">
        <v>43</v>
      </c>
      <c r="EO9" s="114" t="s">
        <v>43</v>
      </c>
      <c r="EP9" s="114" t="s">
        <v>43</v>
      </c>
      <c r="EQ9" s="114" t="s">
        <v>43</v>
      </c>
      <c r="ER9" s="114" t="s">
        <v>43</v>
      </c>
      <c r="ES9" s="114" t="s">
        <v>43</v>
      </c>
      <c r="ET9" s="114" t="s">
        <v>43</v>
      </c>
      <c r="EU9" s="114" t="s">
        <v>43</v>
      </c>
      <c r="EV9" s="114" t="s">
        <v>43</v>
      </c>
      <c r="EW9" s="114" t="s">
        <v>43</v>
      </c>
      <c r="EX9" s="114" t="s">
        <v>43</v>
      </c>
      <c r="EY9" s="114" t="s">
        <v>43</v>
      </c>
      <c r="EZ9" s="114" t="s">
        <v>43</v>
      </c>
      <c r="FA9" s="114" t="s">
        <v>43</v>
      </c>
      <c r="FB9" s="114" t="s">
        <v>43</v>
      </c>
      <c r="FC9" s="114" t="s">
        <v>43</v>
      </c>
      <c r="FD9" s="114" t="s">
        <v>43</v>
      </c>
      <c r="FE9" s="114" t="s">
        <v>43</v>
      </c>
      <c r="FF9" s="114" t="s">
        <v>43</v>
      </c>
      <c r="FG9" s="114" t="s">
        <v>43</v>
      </c>
      <c r="FH9" s="114" t="s">
        <v>43</v>
      </c>
      <c r="FI9" s="114" t="s">
        <v>43</v>
      </c>
      <c r="FJ9" s="114" t="s">
        <v>43</v>
      </c>
      <c r="FK9" s="114" t="s">
        <v>43</v>
      </c>
      <c r="FL9" s="114" t="s">
        <v>43</v>
      </c>
      <c r="FM9" s="114" t="s">
        <v>43</v>
      </c>
      <c r="FN9" s="114" t="s">
        <v>43</v>
      </c>
      <c r="FO9" s="114" t="s">
        <v>43</v>
      </c>
      <c r="FP9" s="114" t="s">
        <v>43</v>
      </c>
      <c r="FQ9" s="114" t="s">
        <v>43</v>
      </c>
      <c r="FR9" s="114" t="s">
        <v>43</v>
      </c>
      <c r="FS9" s="114" t="s">
        <v>43</v>
      </c>
      <c r="FT9" s="114" t="s">
        <v>43</v>
      </c>
      <c r="FU9" s="114" t="s">
        <v>43</v>
      </c>
      <c r="FV9" s="114" t="s">
        <v>43</v>
      </c>
      <c r="FW9" s="114" t="s">
        <v>43</v>
      </c>
      <c r="FX9" s="114" t="s">
        <v>43</v>
      </c>
      <c r="FY9" s="114" t="s">
        <v>43</v>
      </c>
      <c r="FZ9" s="114" t="s">
        <v>43</v>
      </c>
      <c r="GA9" s="114" t="s">
        <v>43</v>
      </c>
      <c r="GB9" s="114" t="s">
        <v>43</v>
      </c>
      <c r="GC9" s="114" t="s">
        <v>43</v>
      </c>
      <c r="GD9" s="114" t="s">
        <v>43</v>
      </c>
      <c r="GE9" s="114" t="s">
        <v>43</v>
      </c>
      <c r="GF9" s="114" t="s">
        <v>43</v>
      </c>
      <c r="GG9" s="114" t="s">
        <v>43</v>
      </c>
      <c r="GH9" s="114" t="s">
        <v>43</v>
      </c>
      <c r="GI9" s="114" t="s">
        <v>43</v>
      </c>
      <c r="GJ9" s="114" t="s">
        <v>43</v>
      </c>
      <c r="GK9" s="114" t="s">
        <v>43</v>
      </c>
      <c r="GL9" s="114" t="s">
        <v>43</v>
      </c>
      <c r="GM9" s="114" t="s">
        <v>43</v>
      </c>
      <c r="GN9" s="114" t="s">
        <v>43</v>
      </c>
      <c r="GO9" s="114" t="s">
        <v>43</v>
      </c>
      <c r="GP9" s="114" t="s">
        <v>43</v>
      </c>
      <c r="GQ9" s="114" t="s">
        <v>43</v>
      </c>
      <c r="GR9" s="114" t="s">
        <v>43</v>
      </c>
      <c r="GS9" s="114" t="s">
        <v>43</v>
      </c>
      <c r="GT9" s="114" t="s">
        <v>43</v>
      </c>
      <c r="GU9" s="115" t="s">
        <v>43</v>
      </c>
    </row>
    <row r="10" spans="1:203" s="7" customFormat="1" ht="29.25" customHeight="1">
      <c r="A10" s="1183" t="s">
        <v>49</v>
      </c>
      <c r="B10" s="714" t="s">
        <v>50</v>
      </c>
      <c r="C10" s="721" t="str">
        <f>IF(COUNTA(車両台帳!$C$57:$C$2056)=0,"",SUM(D10:GU10))</f>
        <v/>
      </c>
      <c r="D10" s="722" t="str">
        <f>IF(COUNTA(車両台帳!$C$57:$C$2056)=0,"",COUNTIF(車両台帳!$BD$57:$BD$2056,D$3&amp;"-"&amp;511&amp;"A"))</f>
        <v/>
      </c>
      <c r="E10" s="722" t="str">
        <f>IF(COUNTA(車両台帳!$C$57:$C$2056)=0,"",COUNTIF(車両台帳!$BD$57:$BD$2056,E$3&amp;"-"&amp;511&amp;"A"))</f>
        <v/>
      </c>
      <c r="F10" s="722" t="str">
        <f>IF(COUNTA(車両台帳!$C$57:$C$2056)=0,"",COUNTIF(車両台帳!$BD$57:$BD$2056,F$3&amp;"-"&amp;511&amp;"A"))</f>
        <v/>
      </c>
      <c r="G10" s="722" t="str">
        <f>IF(COUNTA(車両台帳!$C$57:$C$2056)=0,"",COUNTIF(車両台帳!$BD$57:$BD$2056,G$3&amp;"-"&amp;511&amp;"A"))</f>
        <v/>
      </c>
      <c r="H10" s="722" t="str">
        <f>IF(COUNTA(車両台帳!$C$57:$C$2056)=0,"",COUNTIF(車両台帳!$BD$57:$BD$2056,H$3&amp;"-"&amp;511&amp;"A"))</f>
        <v/>
      </c>
      <c r="I10" s="722" t="str">
        <f>IF(COUNTA(車両台帳!$C$57:$C$2056)=0,"",COUNTIF(車両台帳!$BD$57:$BD$2056,I$3&amp;"-"&amp;511&amp;"A"))</f>
        <v/>
      </c>
      <c r="J10" s="722" t="str">
        <f>IF(COUNTA(車両台帳!$C$57:$C$2056)=0,"",COUNTIF(車両台帳!$BD$57:$BD$2056,J$3&amp;"-"&amp;511&amp;"A"))</f>
        <v/>
      </c>
      <c r="K10" s="722" t="str">
        <f>IF(COUNTA(車両台帳!$C$57:$C$2056)=0,"",COUNTIF(車両台帳!$BD$57:$BD$2056,K$3&amp;"-"&amp;511&amp;"A"))</f>
        <v/>
      </c>
      <c r="L10" s="722" t="str">
        <f>IF(COUNTA(車両台帳!$C$57:$C$2056)=0,"",COUNTIF(車両台帳!$BD$57:$BD$2056,L$3&amp;"-"&amp;511&amp;"A"))</f>
        <v/>
      </c>
      <c r="M10" s="722" t="str">
        <f>IF(COUNTA(車両台帳!$C$57:$C$2056)=0,"",COUNTIF(車両台帳!$BD$57:$BD$2056,M$3&amp;"-"&amp;511&amp;"A"))</f>
        <v/>
      </c>
      <c r="N10" s="722" t="str">
        <f>IF(COUNTA(車両台帳!$C$57:$C$2056)=0,"",COUNTIF(車両台帳!$BD$57:$BD$2056,N$3&amp;"-"&amp;511&amp;"A"))</f>
        <v/>
      </c>
      <c r="O10" s="722" t="str">
        <f>IF(COUNTA(車両台帳!$C$57:$C$2056)=0,"",COUNTIF(車両台帳!$BD$57:$BD$2056,O$3&amp;"-"&amp;511&amp;"A"))</f>
        <v/>
      </c>
      <c r="P10" s="722" t="str">
        <f>IF(COUNTA(車両台帳!$C$57:$C$2056)=0,"",COUNTIF(車両台帳!$BD$57:$BD$2056,P$3&amp;"-"&amp;511&amp;"A"))</f>
        <v/>
      </c>
      <c r="Q10" s="722" t="str">
        <f>IF(COUNTA(車両台帳!$C$57:$C$2056)=0,"",COUNTIF(車両台帳!$BD$57:$BD$2056,Q$3&amp;"-"&amp;511&amp;"A"))</f>
        <v/>
      </c>
      <c r="R10" s="722" t="str">
        <f>IF(COUNTA(車両台帳!$C$57:$C$2056)=0,"",COUNTIF(車両台帳!$BD$57:$BD$2056,R$3&amp;"-"&amp;511&amp;"A"))</f>
        <v/>
      </c>
      <c r="S10" s="722" t="str">
        <f>IF(COUNTA(車両台帳!$C$57:$C$2056)=0,"",COUNTIF(車両台帳!$BD$57:$BD$2056,S$3&amp;"-"&amp;511&amp;"A"))</f>
        <v/>
      </c>
      <c r="T10" s="722" t="str">
        <f>IF(COUNTA(車両台帳!$C$57:$C$2056)=0,"",COUNTIF(車両台帳!$BD$57:$BD$2056,T$3&amp;"-"&amp;511&amp;"A"))</f>
        <v/>
      </c>
      <c r="U10" s="722" t="str">
        <f>IF(COUNTA(車両台帳!$C$57:$C$2056)=0,"",COUNTIF(車両台帳!$BD$57:$BD$2056,U$3&amp;"-"&amp;511&amp;"A"))</f>
        <v/>
      </c>
      <c r="V10" s="722" t="str">
        <f>IF(COUNTA(車両台帳!$C$57:$C$2056)=0,"",COUNTIF(車両台帳!$BD$57:$BD$2056,V$3&amp;"-"&amp;511&amp;"A"))</f>
        <v/>
      </c>
      <c r="W10" s="722" t="str">
        <f>IF(COUNTA(車両台帳!$C$57:$C$2056)=0,"",COUNTIF(車両台帳!$BD$57:$BD$2056,W$3&amp;"-"&amp;511&amp;"A"))</f>
        <v/>
      </c>
      <c r="X10" s="722" t="str">
        <f>IF(COUNTA(車両台帳!$C$57:$C$2056)=0,"",COUNTIF(車両台帳!$BD$57:$BD$2056,X$3&amp;"-"&amp;511&amp;"A"))</f>
        <v/>
      </c>
      <c r="Y10" s="722" t="str">
        <f>IF(COUNTA(車両台帳!$C$57:$C$2056)=0,"",COUNTIF(車両台帳!$BD$57:$BD$2056,Y$3&amp;"-"&amp;511&amp;"A"))</f>
        <v/>
      </c>
      <c r="Z10" s="722" t="str">
        <f>IF(COUNTA(車両台帳!$C$57:$C$2056)=0,"",COUNTIF(車両台帳!$BD$57:$BD$2056,Z$3&amp;"-"&amp;511&amp;"A"))</f>
        <v/>
      </c>
      <c r="AA10" s="722" t="str">
        <f>IF(COUNTA(車両台帳!$C$57:$C$2056)=0,"",COUNTIF(車両台帳!$BD$57:$BD$2056,AA$3&amp;"-"&amp;511&amp;"A"))</f>
        <v/>
      </c>
      <c r="AB10" s="722" t="str">
        <f>IF(COUNTA(車両台帳!$C$57:$C$2056)=0,"",COUNTIF(車両台帳!$BD$57:$BD$2056,AB$3&amp;"-"&amp;511&amp;"A"))</f>
        <v/>
      </c>
      <c r="AC10" s="722" t="str">
        <f>IF(COUNTA(車両台帳!$C$57:$C$2056)=0,"",COUNTIF(車両台帳!$BD$57:$BD$2056,AC$3&amp;"-"&amp;511&amp;"A"))</f>
        <v/>
      </c>
      <c r="AD10" s="722" t="str">
        <f>IF(COUNTA(車両台帳!$C$57:$C$2056)=0,"",COUNTIF(車両台帳!$BD$57:$BD$2056,AD$3&amp;"-"&amp;511&amp;"A"))</f>
        <v/>
      </c>
      <c r="AE10" s="722" t="str">
        <f>IF(COUNTA(車両台帳!$C$57:$C$2056)=0,"",COUNTIF(車両台帳!$BD$57:$BD$2056,AE$3&amp;"-"&amp;511&amp;"A"))</f>
        <v/>
      </c>
      <c r="AF10" s="722" t="str">
        <f>IF(COUNTA(車両台帳!$C$57:$C$2056)=0,"",COUNTIF(車両台帳!$BD$57:$BD$2056,AF$3&amp;"-"&amp;511&amp;"A"))</f>
        <v/>
      </c>
      <c r="AG10" s="722" t="str">
        <f>IF(COUNTA(車両台帳!$C$57:$C$2056)=0,"",COUNTIF(車両台帳!$BD$57:$BD$2056,AG$3&amp;"-"&amp;511&amp;"A"))</f>
        <v/>
      </c>
      <c r="AH10" s="722" t="str">
        <f>IF(COUNTA(車両台帳!$C$57:$C$2056)=0,"",COUNTIF(車両台帳!$BD$57:$BD$2056,AH$3&amp;"-"&amp;511&amp;"A"))</f>
        <v/>
      </c>
      <c r="AI10" s="722" t="str">
        <f>IF(COUNTA(車両台帳!$C$57:$C$2056)=0,"",COUNTIF(車両台帳!$BD$57:$BD$2056,AI$3&amp;"-"&amp;511&amp;"A"))</f>
        <v/>
      </c>
      <c r="AJ10" s="722" t="str">
        <f>IF(COUNTA(車両台帳!$C$57:$C$2056)=0,"",COUNTIF(車両台帳!$BD$57:$BD$2056,AJ$3&amp;"-"&amp;511&amp;"A"))</f>
        <v/>
      </c>
      <c r="AK10" s="722" t="str">
        <f>IF(COUNTA(車両台帳!$C$57:$C$2056)=0,"",COUNTIF(車両台帳!$BD$57:$BD$2056,AK$3&amp;"-"&amp;511&amp;"A"))</f>
        <v/>
      </c>
      <c r="AL10" s="722" t="str">
        <f>IF(COUNTA(車両台帳!$C$57:$C$2056)=0,"",COUNTIF(車両台帳!$BD$57:$BD$2056,AL$3&amp;"-"&amp;511&amp;"A"))</f>
        <v/>
      </c>
      <c r="AM10" s="722" t="str">
        <f>IF(COUNTA(車両台帳!$C$57:$C$2056)=0,"",COUNTIF(車両台帳!$BD$57:$BD$2056,AM$3&amp;"-"&amp;511&amp;"A"))</f>
        <v/>
      </c>
      <c r="AN10" s="722" t="str">
        <f>IF(COUNTA(車両台帳!$C$57:$C$2056)=0,"",COUNTIF(車両台帳!$BD$57:$BD$2056,AN$3&amp;"-"&amp;511&amp;"A"))</f>
        <v/>
      </c>
      <c r="AO10" s="722" t="str">
        <f>IF(COUNTA(車両台帳!$C$57:$C$2056)=0,"",COUNTIF(車両台帳!$BD$57:$BD$2056,AO$3&amp;"-"&amp;511&amp;"A"))</f>
        <v/>
      </c>
      <c r="AP10" s="722" t="str">
        <f>IF(COUNTA(車両台帳!$C$57:$C$2056)=0,"",COUNTIF(車両台帳!$BD$57:$BD$2056,AP$3&amp;"-"&amp;511&amp;"A"))</f>
        <v/>
      </c>
      <c r="AQ10" s="722" t="str">
        <f>IF(COUNTA(車両台帳!$C$57:$C$2056)=0,"",COUNTIF(車両台帳!$BD$57:$BD$2056,AQ$3&amp;"-"&amp;511&amp;"A"))</f>
        <v/>
      </c>
      <c r="AR10" s="722" t="str">
        <f>IF(COUNTA(車両台帳!$C$57:$C$2056)=0,"",COUNTIF(車両台帳!$BD$57:$BD$2056,AR$3&amp;"-"&amp;511&amp;"A"))</f>
        <v/>
      </c>
      <c r="AS10" s="722" t="str">
        <f>IF(COUNTA(車両台帳!$C$57:$C$2056)=0,"",COUNTIF(車両台帳!$BD$57:$BD$2056,AS$3&amp;"-"&amp;511&amp;"A"))</f>
        <v/>
      </c>
      <c r="AT10" s="722" t="str">
        <f>IF(COUNTA(車両台帳!$C$57:$C$2056)=0,"",COUNTIF(車両台帳!$BD$57:$BD$2056,AT$3&amp;"-"&amp;511&amp;"A"))</f>
        <v/>
      </c>
      <c r="AU10" s="722" t="str">
        <f>IF(COUNTA(車両台帳!$C$57:$C$2056)=0,"",COUNTIF(車両台帳!$BD$57:$BD$2056,AU$3&amp;"-"&amp;511&amp;"A"))</f>
        <v/>
      </c>
      <c r="AV10" s="722" t="str">
        <f>IF(COUNTA(車両台帳!$C$57:$C$2056)=0,"",COUNTIF(車両台帳!$BD$57:$BD$2056,AV$3&amp;"-"&amp;511&amp;"A"))</f>
        <v/>
      </c>
      <c r="AW10" s="722" t="str">
        <f>IF(COUNTA(車両台帳!$C$57:$C$2056)=0,"",COUNTIF(車両台帳!$BD$57:$BD$2056,AW$3&amp;"-"&amp;511&amp;"A"))</f>
        <v/>
      </c>
      <c r="AX10" s="722" t="str">
        <f>IF(COUNTA(車両台帳!$C$57:$C$2056)=0,"",COUNTIF(車両台帳!$BD$57:$BD$2056,AX$3&amp;"-"&amp;511&amp;"A"))</f>
        <v/>
      </c>
      <c r="AY10" s="722" t="str">
        <f>IF(COUNTA(車両台帳!$C$57:$C$2056)=0,"",COUNTIF(車両台帳!$BD$57:$BD$2056,AY$3&amp;"-"&amp;511&amp;"A"))</f>
        <v/>
      </c>
      <c r="AZ10" s="722" t="str">
        <f>IF(COUNTA(車両台帳!$C$57:$C$2056)=0,"",COUNTIF(車両台帳!$BD$57:$BD$2056,AZ$3&amp;"-"&amp;511&amp;"A"))</f>
        <v/>
      </c>
      <c r="BA10" s="722" t="str">
        <f>IF(COUNTA(車両台帳!$C$57:$C$2056)=0,"",COUNTIF(車両台帳!$BD$57:$BD$2056,BA$3&amp;"-"&amp;511&amp;"A"))</f>
        <v/>
      </c>
      <c r="BB10" s="722" t="str">
        <f>IF(COUNTA(車両台帳!$C$57:$C$2056)=0,"",COUNTIF(車両台帳!$BD$57:$BD$2056,BB$3&amp;"-"&amp;511&amp;"A"))</f>
        <v/>
      </c>
      <c r="BC10" s="722" t="str">
        <f>IF(COUNTA(車両台帳!$C$57:$C$2056)=0,"",COUNTIF(車両台帳!$BD$57:$BD$2056,BC$3&amp;"-"&amp;511&amp;"A"))</f>
        <v/>
      </c>
      <c r="BD10" s="722" t="str">
        <f>IF(COUNTA(車両台帳!$C$57:$C$2056)=0,"",COUNTIF(車両台帳!$BD$57:$BD$2056,BD$3&amp;"-"&amp;511&amp;"A"))</f>
        <v/>
      </c>
      <c r="BE10" s="722" t="str">
        <f>IF(COUNTA(車両台帳!$C$57:$C$2056)=0,"",COUNTIF(車両台帳!$BD$57:$BD$2056,BE$3&amp;"-"&amp;511&amp;"A"))</f>
        <v/>
      </c>
      <c r="BF10" s="722" t="str">
        <f>IF(COUNTA(車両台帳!$C$57:$C$2056)=0,"",COUNTIF(車両台帳!$BD$57:$BD$2056,BF$3&amp;"-"&amp;511&amp;"A"))</f>
        <v/>
      </c>
      <c r="BG10" s="722" t="str">
        <f>IF(COUNTA(車両台帳!$C$57:$C$2056)=0,"",COUNTIF(車両台帳!$BD$57:$BD$2056,BG$3&amp;"-"&amp;511&amp;"A"))</f>
        <v/>
      </c>
      <c r="BH10" s="722" t="str">
        <f>IF(COUNTA(車両台帳!$C$57:$C$2056)=0,"",COUNTIF(車両台帳!$BD$57:$BD$2056,BH$3&amp;"-"&amp;511&amp;"A"))</f>
        <v/>
      </c>
      <c r="BI10" s="722" t="str">
        <f>IF(COUNTA(車両台帳!$C$57:$C$2056)=0,"",COUNTIF(車両台帳!$BD$57:$BD$2056,BI$3&amp;"-"&amp;511&amp;"A"))</f>
        <v/>
      </c>
      <c r="BJ10" s="722" t="str">
        <f>IF(COUNTA(車両台帳!$C$57:$C$2056)=0,"",COUNTIF(車両台帳!$BD$57:$BD$2056,BJ$3&amp;"-"&amp;511&amp;"A"))</f>
        <v/>
      </c>
      <c r="BK10" s="722" t="str">
        <f>IF(COUNTA(車両台帳!$C$57:$C$2056)=0,"",COUNTIF(車両台帳!$BD$57:$BD$2056,BK$3&amp;"-"&amp;511&amp;"A"))</f>
        <v/>
      </c>
      <c r="BL10" s="722" t="str">
        <f>IF(COUNTA(車両台帳!$C$57:$C$2056)=0,"",COUNTIF(車両台帳!$BD$57:$BD$2056,BL$3&amp;"-"&amp;511&amp;"A"))</f>
        <v/>
      </c>
      <c r="BM10" s="722" t="str">
        <f>IF(COUNTA(車両台帳!$C$57:$C$2056)=0,"",COUNTIF(車両台帳!$BD$57:$BD$2056,BM$3&amp;"-"&amp;511&amp;"A"))</f>
        <v/>
      </c>
      <c r="BN10" s="722" t="str">
        <f>IF(COUNTA(車両台帳!$C$57:$C$2056)=0,"",COUNTIF(車両台帳!$BD$57:$BD$2056,BN$3&amp;"-"&amp;511&amp;"A"))</f>
        <v/>
      </c>
      <c r="BO10" s="722" t="str">
        <f>IF(COUNTA(車両台帳!$C$57:$C$2056)=0,"",COUNTIF(車両台帳!$BD$57:$BD$2056,BO$3&amp;"-"&amp;511&amp;"A"))</f>
        <v/>
      </c>
      <c r="BP10" s="722" t="str">
        <f>IF(COUNTA(車両台帳!$C$57:$C$2056)=0,"",COUNTIF(車両台帳!$BD$57:$BD$2056,BP$3&amp;"-"&amp;511&amp;"A"))</f>
        <v/>
      </c>
      <c r="BQ10" s="722" t="str">
        <f>IF(COUNTA(車両台帳!$C$57:$C$2056)=0,"",COUNTIF(車両台帳!$BD$57:$BD$2056,BQ$3&amp;"-"&amp;511&amp;"A"))</f>
        <v/>
      </c>
      <c r="BR10" s="722" t="str">
        <f>IF(COUNTA(車両台帳!$C$57:$C$2056)=0,"",COUNTIF(車両台帳!$BD$57:$BD$2056,BR$3&amp;"-"&amp;511&amp;"A"))</f>
        <v/>
      </c>
      <c r="BS10" s="722" t="str">
        <f>IF(COUNTA(車両台帳!$C$57:$C$2056)=0,"",COUNTIF(車両台帳!$BD$57:$BD$2056,BS$3&amp;"-"&amp;511&amp;"A"))</f>
        <v/>
      </c>
      <c r="BT10" s="722" t="str">
        <f>IF(COUNTA(車両台帳!$C$57:$C$2056)=0,"",COUNTIF(車両台帳!$BD$57:$BD$2056,BT$3&amp;"-"&amp;511&amp;"A"))</f>
        <v/>
      </c>
      <c r="BU10" s="722" t="str">
        <f>IF(COUNTA(車両台帳!$C$57:$C$2056)=0,"",COUNTIF(車両台帳!$BD$57:$BD$2056,BU$3&amp;"-"&amp;511&amp;"A"))</f>
        <v/>
      </c>
      <c r="BV10" s="722" t="str">
        <f>IF(COUNTA(車両台帳!$C$57:$C$2056)=0,"",COUNTIF(車両台帳!$BD$57:$BD$2056,BV$3&amp;"-"&amp;511&amp;"A"))</f>
        <v/>
      </c>
      <c r="BW10" s="722" t="str">
        <f>IF(COUNTA(車両台帳!$C$57:$C$2056)=0,"",COUNTIF(車両台帳!$BD$57:$BD$2056,BW$3&amp;"-"&amp;511&amp;"A"))</f>
        <v/>
      </c>
      <c r="BX10" s="722" t="str">
        <f>IF(COUNTA(車両台帳!$C$57:$C$2056)=0,"",COUNTIF(車両台帳!$BD$57:$BD$2056,BX$3&amp;"-"&amp;511&amp;"A"))</f>
        <v/>
      </c>
      <c r="BY10" s="722" t="str">
        <f>IF(COUNTA(車両台帳!$C$57:$C$2056)=0,"",COUNTIF(車両台帳!$BD$57:$BD$2056,BY$3&amp;"-"&amp;511&amp;"A"))</f>
        <v/>
      </c>
      <c r="BZ10" s="722" t="str">
        <f>IF(COUNTA(車両台帳!$C$57:$C$2056)=0,"",COUNTIF(車両台帳!$BD$57:$BD$2056,BZ$3&amp;"-"&amp;511&amp;"A"))</f>
        <v/>
      </c>
      <c r="CA10" s="722" t="str">
        <f>IF(COUNTA(車両台帳!$C$57:$C$2056)=0,"",COUNTIF(車両台帳!$BD$57:$BD$2056,CA$3&amp;"-"&amp;511&amp;"A"))</f>
        <v/>
      </c>
      <c r="CB10" s="722" t="str">
        <f>IF(COUNTA(車両台帳!$C$57:$C$2056)=0,"",COUNTIF(車両台帳!$BD$57:$BD$2056,CB$3&amp;"-"&amp;511&amp;"A"))</f>
        <v/>
      </c>
      <c r="CC10" s="722" t="str">
        <f>IF(COUNTA(車両台帳!$C$57:$C$2056)=0,"",COUNTIF(車両台帳!$BD$57:$BD$2056,CC$3&amp;"-"&amp;511&amp;"A"))</f>
        <v/>
      </c>
      <c r="CD10" s="722" t="str">
        <f>IF(COUNTA(車両台帳!$C$57:$C$2056)=0,"",COUNTIF(車両台帳!$BD$57:$BD$2056,CD$3&amp;"-"&amp;511&amp;"A"))</f>
        <v/>
      </c>
      <c r="CE10" s="722" t="str">
        <f>IF(COUNTA(車両台帳!$C$57:$C$2056)=0,"",COUNTIF(車両台帳!$BD$57:$BD$2056,CE$3&amp;"-"&amp;511&amp;"A"))</f>
        <v/>
      </c>
      <c r="CF10" s="722" t="str">
        <f>IF(COUNTA(車両台帳!$C$57:$C$2056)=0,"",COUNTIF(車両台帳!$BD$57:$BD$2056,CF$3&amp;"-"&amp;511&amp;"A"))</f>
        <v/>
      </c>
      <c r="CG10" s="722" t="str">
        <f>IF(COUNTA(車両台帳!$C$57:$C$2056)=0,"",COUNTIF(車両台帳!$BD$57:$BD$2056,CG$3&amp;"-"&amp;511&amp;"A"))</f>
        <v/>
      </c>
      <c r="CH10" s="722" t="str">
        <f>IF(COUNTA(車両台帳!$C$57:$C$2056)=0,"",COUNTIF(車両台帳!$BD$57:$BD$2056,CH$3&amp;"-"&amp;511&amp;"A"))</f>
        <v/>
      </c>
      <c r="CI10" s="722" t="str">
        <f>IF(COUNTA(車両台帳!$C$57:$C$2056)=0,"",COUNTIF(車両台帳!$BD$57:$BD$2056,CI$3&amp;"-"&amp;511&amp;"A"))</f>
        <v/>
      </c>
      <c r="CJ10" s="722" t="str">
        <f>IF(COUNTA(車両台帳!$C$57:$C$2056)=0,"",COUNTIF(車両台帳!$BD$57:$BD$2056,CJ$3&amp;"-"&amp;511&amp;"A"))</f>
        <v/>
      </c>
      <c r="CK10" s="722" t="str">
        <f>IF(COUNTA(車両台帳!$C$57:$C$2056)=0,"",COUNTIF(車両台帳!$BD$57:$BD$2056,CK$3&amp;"-"&amp;511&amp;"A"))</f>
        <v/>
      </c>
      <c r="CL10" s="722" t="str">
        <f>IF(COUNTA(車両台帳!$C$57:$C$2056)=0,"",COUNTIF(車両台帳!$BD$57:$BD$2056,CL$3&amp;"-"&amp;511&amp;"A"))</f>
        <v/>
      </c>
      <c r="CM10" s="722" t="str">
        <f>IF(COUNTA(車両台帳!$C$57:$C$2056)=0,"",COUNTIF(車両台帳!$BD$57:$BD$2056,CM$3&amp;"-"&amp;511&amp;"A"))</f>
        <v/>
      </c>
      <c r="CN10" s="722" t="str">
        <f>IF(COUNTA(車両台帳!$C$57:$C$2056)=0,"",COUNTIF(車両台帳!$BD$57:$BD$2056,CN$3&amp;"-"&amp;511&amp;"A"))</f>
        <v/>
      </c>
      <c r="CO10" s="722" t="str">
        <f>IF(COUNTA(車両台帳!$C$57:$C$2056)=0,"",COUNTIF(車両台帳!$BD$57:$BD$2056,CO$3&amp;"-"&amp;511&amp;"A"))</f>
        <v/>
      </c>
      <c r="CP10" s="722" t="str">
        <f>IF(COUNTA(車両台帳!$C$57:$C$2056)=0,"",COUNTIF(車両台帳!$BD$57:$BD$2056,CP$3&amp;"-"&amp;511&amp;"A"))</f>
        <v/>
      </c>
      <c r="CQ10" s="722" t="str">
        <f>IF(COUNTA(車両台帳!$C$57:$C$2056)=0,"",COUNTIF(車両台帳!$BD$57:$BD$2056,CQ$3&amp;"-"&amp;511&amp;"A"))</f>
        <v/>
      </c>
      <c r="CR10" s="722" t="str">
        <f>IF(COUNTA(車両台帳!$C$57:$C$2056)=0,"",COUNTIF(車両台帳!$BD$57:$BD$2056,CR$3&amp;"-"&amp;511&amp;"A"))</f>
        <v/>
      </c>
      <c r="CS10" s="722" t="str">
        <f>IF(COUNTA(車両台帳!$C$57:$C$2056)=0,"",COUNTIF(車両台帳!$BD$57:$BD$2056,CS$3&amp;"-"&amp;511&amp;"A"))</f>
        <v/>
      </c>
      <c r="CT10" s="722" t="str">
        <f>IF(COUNTA(車両台帳!$C$57:$C$2056)=0,"",COUNTIF(車両台帳!$BD$57:$BD$2056,CT$3&amp;"-"&amp;511&amp;"A"))</f>
        <v/>
      </c>
      <c r="CU10" s="722" t="str">
        <f>IF(COUNTA(車両台帳!$C$57:$C$2056)=0,"",COUNTIF(車両台帳!$BD$57:$BD$2056,CU$3&amp;"-"&amp;511&amp;"A"))</f>
        <v/>
      </c>
      <c r="CV10" s="722" t="str">
        <f>IF(COUNTA(車両台帳!$C$57:$C$2056)=0,"",COUNTIF(車両台帳!$BD$57:$BD$2056,CV$3&amp;"-"&amp;511&amp;"A"))</f>
        <v/>
      </c>
      <c r="CW10" s="722" t="str">
        <f>IF(COUNTA(車両台帳!$C$57:$C$2056)=0,"",COUNTIF(車両台帳!$BD$57:$BD$2056,CW$3&amp;"-"&amp;511&amp;"A"))</f>
        <v/>
      </c>
      <c r="CX10" s="722" t="str">
        <f>IF(COUNTA(車両台帳!$C$57:$C$2056)=0,"",COUNTIF(車両台帳!$BD$57:$BD$2056,CX$3&amp;"-"&amp;511&amp;"A"))</f>
        <v/>
      </c>
      <c r="CY10" s="722" t="str">
        <f>IF(COUNTA(車両台帳!$C$57:$C$2056)=0,"",COUNTIF(車両台帳!$BD$57:$BD$2056,CY$3&amp;"-"&amp;511&amp;"A"))</f>
        <v/>
      </c>
      <c r="CZ10" s="722" t="str">
        <f>IF(COUNTA(車両台帳!$C$57:$C$2056)=0,"",COUNTIF(車両台帳!$BD$57:$BD$2056,CZ$3&amp;"-"&amp;511&amp;"A"))</f>
        <v/>
      </c>
      <c r="DA10" s="722" t="str">
        <f>IF(COUNTA(車両台帳!$C$57:$C$2056)=0,"",COUNTIF(車両台帳!$BD$57:$BD$2056,DA$3&amp;"-"&amp;511&amp;"A"))</f>
        <v/>
      </c>
      <c r="DB10" s="722" t="str">
        <f>IF(COUNTA(車両台帳!$C$57:$C$2056)=0,"",COUNTIF(車両台帳!$BD$57:$BD$2056,DB$3&amp;"-"&amp;511&amp;"A"))</f>
        <v/>
      </c>
      <c r="DC10" s="722" t="str">
        <f>IF(COUNTA(車両台帳!$C$57:$C$2056)=0,"",COUNTIF(車両台帳!$BD$57:$BD$2056,DC$3&amp;"-"&amp;511&amp;"A"))</f>
        <v/>
      </c>
      <c r="DD10" s="722" t="str">
        <f>IF(COUNTA(車両台帳!$C$57:$C$2056)=0,"",COUNTIF(車両台帳!$BD$57:$BD$2056,DD$3&amp;"-"&amp;511&amp;"A"))</f>
        <v/>
      </c>
      <c r="DE10" s="722" t="str">
        <f>IF(COUNTA(車両台帳!$C$57:$C$2056)=0,"",COUNTIF(車両台帳!$BD$57:$BD$2056,DE$3&amp;"-"&amp;511&amp;"A"))</f>
        <v/>
      </c>
      <c r="DF10" s="722" t="str">
        <f>IF(COUNTA(車両台帳!$C$57:$C$2056)=0,"",COUNTIF(車両台帳!$BD$57:$BD$2056,DF$3&amp;"-"&amp;511&amp;"A"))</f>
        <v/>
      </c>
      <c r="DG10" s="722" t="str">
        <f>IF(COUNTA(車両台帳!$C$57:$C$2056)=0,"",COUNTIF(車両台帳!$BD$57:$BD$2056,DG$3&amp;"-"&amp;511&amp;"A"))</f>
        <v/>
      </c>
      <c r="DH10" s="722" t="str">
        <f>IF(COUNTA(車両台帳!$C$57:$C$2056)=0,"",COUNTIF(車両台帳!$BD$57:$BD$2056,DH$3&amp;"-"&amp;511&amp;"A"))</f>
        <v/>
      </c>
      <c r="DI10" s="722" t="str">
        <f>IF(COUNTA(車両台帳!$C$57:$C$2056)=0,"",COUNTIF(車両台帳!$BD$57:$BD$2056,DI$3&amp;"-"&amp;511&amp;"A"))</f>
        <v/>
      </c>
      <c r="DJ10" s="722" t="str">
        <f>IF(COUNTA(車両台帳!$C$57:$C$2056)=0,"",COUNTIF(車両台帳!$BD$57:$BD$2056,DJ$3&amp;"-"&amp;511&amp;"A"))</f>
        <v/>
      </c>
      <c r="DK10" s="722" t="str">
        <f>IF(COUNTA(車両台帳!$C$57:$C$2056)=0,"",COUNTIF(車両台帳!$BD$57:$BD$2056,DK$3&amp;"-"&amp;511&amp;"A"))</f>
        <v/>
      </c>
      <c r="DL10" s="722" t="str">
        <f>IF(COUNTA(車両台帳!$C$57:$C$2056)=0,"",COUNTIF(車両台帳!$BD$57:$BD$2056,DL$3&amp;"-"&amp;511&amp;"A"))</f>
        <v/>
      </c>
      <c r="DM10" s="722" t="str">
        <f>IF(COUNTA(車両台帳!$C$57:$C$2056)=0,"",COUNTIF(車両台帳!$BD$57:$BD$2056,DM$3&amp;"-"&amp;511&amp;"A"))</f>
        <v/>
      </c>
      <c r="DN10" s="722" t="str">
        <f>IF(COUNTA(車両台帳!$C$57:$C$2056)=0,"",COUNTIF(車両台帳!$BD$57:$BD$2056,DN$3&amp;"-"&amp;511&amp;"A"))</f>
        <v/>
      </c>
      <c r="DO10" s="722" t="str">
        <f>IF(COUNTA(車両台帳!$C$57:$C$2056)=0,"",COUNTIF(車両台帳!$BD$57:$BD$2056,DO$3&amp;"-"&amp;511&amp;"A"))</f>
        <v/>
      </c>
      <c r="DP10" s="722" t="str">
        <f>IF(COUNTA(車両台帳!$C$57:$C$2056)=0,"",COUNTIF(車両台帳!$BD$57:$BD$2056,DP$3&amp;"-"&amp;511&amp;"A"))</f>
        <v/>
      </c>
      <c r="DQ10" s="722" t="str">
        <f>IF(COUNTA(車両台帳!$C$57:$C$2056)=0,"",COUNTIF(車両台帳!$BD$57:$BD$2056,DQ$3&amp;"-"&amp;511&amp;"A"))</f>
        <v/>
      </c>
      <c r="DR10" s="722" t="str">
        <f>IF(COUNTA(車両台帳!$C$57:$C$2056)=0,"",COUNTIF(車両台帳!$BD$57:$BD$2056,DR$3&amp;"-"&amp;511&amp;"A"))</f>
        <v/>
      </c>
      <c r="DS10" s="722" t="str">
        <f>IF(COUNTA(車両台帳!$C$57:$C$2056)=0,"",COUNTIF(車両台帳!$BD$57:$BD$2056,DS$3&amp;"-"&amp;511&amp;"A"))</f>
        <v/>
      </c>
      <c r="DT10" s="722" t="str">
        <f>IF(COUNTA(車両台帳!$C$57:$C$2056)=0,"",COUNTIF(車両台帳!$BD$57:$BD$2056,DT$3&amp;"-"&amp;511&amp;"A"))</f>
        <v/>
      </c>
      <c r="DU10" s="722" t="str">
        <f>IF(COUNTA(車両台帳!$C$57:$C$2056)=0,"",COUNTIF(車両台帳!$BD$57:$BD$2056,DU$3&amp;"-"&amp;511&amp;"A"))</f>
        <v/>
      </c>
      <c r="DV10" s="722" t="str">
        <f>IF(COUNTA(車両台帳!$C$57:$C$2056)=0,"",COUNTIF(車両台帳!$BD$57:$BD$2056,DV$3&amp;"-"&amp;511&amp;"A"))</f>
        <v/>
      </c>
      <c r="DW10" s="722" t="str">
        <f>IF(COUNTA(車両台帳!$C$57:$C$2056)=0,"",COUNTIF(車両台帳!$BD$57:$BD$2056,DW$3&amp;"-"&amp;511&amp;"A"))</f>
        <v/>
      </c>
      <c r="DX10" s="722" t="str">
        <f>IF(COUNTA(車両台帳!$C$57:$C$2056)=0,"",COUNTIF(車両台帳!$BD$57:$BD$2056,DX$3&amp;"-"&amp;511&amp;"A"))</f>
        <v/>
      </c>
      <c r="DY10" s="722" t="str">
        <f>IF(COUNTA(車両台帳!$C$57:$C$2056)=0,"",COUNTIF(車両台帳!$BD$57:$BD$2056,DY$3&amp;"-"&amp;511&amp;"A"))</f>
        <v/>
      </c>
      <c r="DZ10" s="722" t="str">
        <f>IF(COUNTA(車両台帳!$C$57:$C$2056)=0,"",COUNTIF(車両台帳!$BD$57:$BD$2056,DZ$3&amp;"-"&amp;511&amp;"A"))</f>
        <v/>
      </c>
      <c r="EA10" s="722" t="str">
        <f>IF(COUNTA(車両台帳!$C$57:$C$2056)=0,"",COUNTIF(車両台帳!$BD$57:$BD$2056,EA$3&amp;"-"&amp;511&amp;"A"))</f>
        <v/>
      </c>
      <c r="EB10" s="722" t="str">
        <f>IF(COUNTA(車両台帳!$C$57:$C$2056)=0,"",COUNTIF(車両台帳!$BD$57:$BD$2056,EB$3&amp;"-"&amp;511&amp;"A"))</f>
        <v/>
      </c>
      <c r="EC10" s="722" t="str">
        <f>IF(COUNTA(車両台帳!$C$57:$C$2056)=0,"",COUNTIF(車両台帳!$BD$57:$BD$2056,EC$3&amp;"-"&amp;511&amp;"A"))</f>
        <v/>
      </c>
      <c r="ED10" s="722" t="str">
        <f>IF(COUNTA(車両台帳!$C$57:$C$2056)=0,"",COUNTIF(車両台帳!$BD$57:$BD$2056,ED$3&amp;"-"&amp;511&amp;"A"))</f>
        <v/>
      </c>
      <c r="EE10" s="722" t="str">
        <f>IF(COUNTA(車両台帳!$C$57:$C$2056)=0,"",COUNTIF(車両台帳!$BD$57:$BD$2056,EE$3&amp;"-"&amp;511&amp;"A"))</f>
        <v/>
      </c>
      <c r="EF10" s="722" t="str">
        <f>IF(COUNTA(車両台帳!$C$57:$C$2056)=0,"",COUNTIF(車両台帳!$BD$57:$BD$2056,EF$3&amp;"-"&amp;511&amp;"A"))</f>
        <v/>
      </c>
      <c r="EG10" s="722" t="str">
        <f>IF(COUNTA(車両台帳!$C$57:$C$2056)=0,"",COUNTIF(車両台帳!$BD$57:$BD$2056,EG$3&amp;"-"&amp;511&amp;"A"))</f>
        <v/>
      </c>
      <c r="EH10" s="722" t="str">
        <f>IF(COUNTA(車両台帳!$C$57:$C$2056)=0,"",COUNTIF(車両台帳!$BD$57:$BD$2056,EH$3&amp;"-"&amp;511&amp;"A"))</f>
        <v/>
      </c>
      <c r="EI10" s="722" t="str">
        <f>IF(COUNTA(車両台帳!$C$57:$C$2056)=0,"",COUNTIF(車両台帳!$BD$57:$BD$2056,EI$3&amp;"-"&amp;511&amp;"A"))</f>
        <v/>
      </c>
      <c r="EJ10" s="722" t="str">
        <f>IF(COUNTA(車両台帳!$C$57:$C$2056)=0,"",COUNTIF(車両台帳!$BD$57:$BD$2056,EJ$3&amp;"-"&amp;511&amp;"A"))</f>
        <v/>
      </c>
      <c r="EK10" s="722" t="str">
        <f>IF(COUNTA(車両台帳!$C$57:$C$2056)=0,"",COUNTIF(車両台帳!$BD$57:$BD$2056,EK$3&amp;"-"&amp;511&amp;"A"))</f>
        <v/>
      </c>
      <c r="EL10" s="722" t="str">
        <f>IF(COUNTA(車両台帳!$C$57:$C$2056)=0,"",COUNTIF(車両台帳!$BD$57:$BD$2056,EL$3&amp;"-"&amp;511&amp;"A"))</f>
        <v/>
      </c>
      <c r="EM10" s="722" t="str">
        <f>IF(COUNTA(車両台帳!$C$57:$C$2056)=0,"",COUNTIF(車両台帳!$BD$57:$BD$2056,EM$3&amp;"-"&amp;511&amp;"A"))</f>
        <v/>
      </c>
      <c r="EN10" s="722" t="str">
        <f>IF(COUNTA(車両台帳!$C$57:$C$2056)=0,"",COUNTIF(車両台帳!$BD$57:$BD$2056,EN$3&amp;"-"&amp;511&amp;"A"))</f>
        <v/>
      </c>
      <c r="EO10" s="722" t="str">
        <f>IF(COUNTA(車両台帳!$C$57:$C$2056)=0,"",COUNTIF(車両台帳!$BD$57:$BD$2056,EO$3&amp;"-"&amp;511&amp;"A"))</f>
        <v/>
      </c>
      <c r="EP10" s="722" t="str">
        <f>IF(COUNTA(車両台帳!$C$57:$C$2056)=0,"",COUNTIF(車両台帳!$BD$57:$BD$2056,EP$3&amp;"-"&amp;511&amp;"A"))</f>
        <v/>
      </c>
      <c r="EQ10" s="722" t="str">
        <f>IF(COUNTA(車両台帳!$C$57:$C$2056)=0,"",COUNTIF(車両台帳!$BD$57:$BD$2056,EQ$3&amp;"-"&amp;511&amp;"A"))</f>
        <v/>
      </c>
      <c r="ER10" s="722" t="str">
        <f>IF(COUNTA(車両台帳!$C$57:$C$2056)=0,"",COUNTIF(車両台帳!$BD$57:$BD$2056,ER$3&amp;"-"&amp;511&amp;"A"))</f>
        <v/>
      </c>
      <c r="ES10" s="722" t="str">
        <f>IF(COUNTA(車両台帳!$C$57:$C$2056)=0,"",COUNTIF(車両台帳!$BD$57:$BD$2056,ES$3&amp;"-"&amp;511&amp;"A"))</f>
        <v/>
      </c>
      <c r="ET10" s="722" t="str">
        <f>IF(COUNTA(車両台帳!$C$57:$C$2056)=0,"",COUNTIF(車両台帳!$BD$57:$BD$2056,ET$3&amp;"-"&amp;511&amp;"A"))</f>
        <v/>
      </c>
      <c r="EU10" s="722" t="str">
        <f>IF(COUNTA(車両台帳!$C$57:$C$2056)=0,"",COUNTIF(車両台帳!$BD$57:$BD$2056,EU$3&amp;"-"&amp;511&amp;"A"))</f>
        <v/>
      </c>
      <c r="EV10" s="722" t="str">
        <f>IF(COUNTA(車両台帳!$C$57:$C$2056)=0,"",COUNTIF(車両台帳!$BD$57:$BD$2056,EV$3&amp;"-"&amp;511&amp;"A"))</f>
        <v/>
      </c>
      <c r="EW10" s="722" t="str">
        <f>IF(COUNTA(車両台帳!$C$57:$C$2056)=0,"",COUNTIF(車両台帳!$BD$57:$BD$2056,EW$3&amp;"-"&amp;511&amp;"A"))</f>
        <v/>
      </c>
      <c r="EX10" s="722" t="str">
        <f>IF(COUNTA(車両台帳!$C$57:$C$2056)=0,"",COUNTIF(車両台帳!$BD$57:$BD$2056,EX$3&amp;"-"&amp;511&amp;"A"))</f>
        <v/>
      </c>
      <c r="EY10" s="722" t="str">
        <f>IF(COUNTA(車両台帳!$C$57:$C$2056)=0,"",COUNTIF(車両台帳!$BD$57:$BD$2056,EY$3&amp;"-"&amp;511&amp;"A"))</f>
        <v/>
      </c>
      <c r="EZ10" s="722" t="str">
        <f>IF(COUNTA(車両台帳!$C$57:$C$2056)=0,"",COUNTIF(車両台帳!$BD$57:$BD$2056,EZ$3&amp;"-"&amp;511&amp;"A"))</f>
        <v/>
      </c>
      <c r="FA10" s="722" t="str">
        <f>IF(COUNTA(車両台帳!$C$57:$C$2056)=0,"",COUNTIF(車両台帳!$BD$57:$BD$2056,FA$3&amp;"-"&amp;511&amp;"A"))</f>
        <v/>
      </c>
      <c r="FB10" s="722" t="str">
        <f>IF(COUNTA(車両台帳!$C$57:$C$2056)=0,"",COUNTIF(車両台帳!$BD$57:$BD$2056,FB$3&amp;"-"&amp;511&amp;"A"))</f>
        <v/>
      </c>
      <c r="FC10" s="722" t="str">
        <f>IF(COUNTA(車両台帳!$C$57:$C$2056)=0,"",COUNTIF(車両台帳!$BD$57:$BD$2056,FC$3&amp;"-"&amp;511&amp;"A"))</f>
        <v/>
      </c>
      <c r="FD10" s="722" t="str">
        <f>IF(COUNTA(車両台帳!$C$57:$C$2056)=0,"",COUNTIF(車両台帳!$BD$57:$BD$2056,FD$3&amp;"-"&amp;511&amp;"A"))</f>
        <v/>
      </c>
      <c r="FE10" s="722" t="str">
        <f>IF(COUNTA(車両台帳!$C$57:$C$2056)=0,"",COUNTIF(車両台帳!$BD$57:$BD$2056,FE$3&amp;"-"&amp;511&amp;"A"))</f>
        <v/>
      </c>
      <c r="FF10" s="722" t="str">
        <f>IF(COUNTA(車両台帳!$C$57:$C$2056)=0,"",COUNTIF(車両台帳!$BD$57:$BD$2056,FF$3&amp;"-"&amp;511&amp;"A"))</f>
        <v/>
      </c>
      <c r="FG10" s="722" t="str">
        <f>IF(COUNTA(車両台帳!$C$57:$C$2056)=0,"",COUNTIF(車両台帳!$BD$57:$BD$2056,FG$3&amp;"-"&amp;511&amp;"A"))</f>
        <v/>
      </c>
      <c r="FH10" s="722" t="str">
        <f>IF(COUNTA(車両台帳!$C$57:$C$2056)=0,"",COUNTIF(車両台帳!$BD$57:$BD$2056,FH$3&amp;"-"&amp;511&amp;"A"))</f>
        <v/>
      </c>
      <c r="FI10" s="722" t="str">
        <f>IF(COUNTA(車両台帳!$C$57:$C$2056)=0,"",COUNTIF(車両台帳!$BD$57:$BD$2056,FI$3&amp;"-"&amp;511&amp;"A"))</f>
        <v/>
      </c>
      <c r="FJ10" s="722" t="str">
        <f>IF(COUNTA(車両台帳!$C$57:$C$2056)=0,"",COUNTIF(車両台帳!$BD$57:$BD$2056,FJ$3&amp;"-"&amp;511&amp;"A"))</f>
        <v/>
      </c>
      <c r="FK10" s="722" t="str">
        <f>IF(COUNTA(車両台帳!$C$57:$C$2056)=0,"",COUNTIF(車両台帳!$BD$57:$BD$2056,FK$3&amp;"-"&amp;511&amp;"A"))</f>
        <v/>
      </c>
      <c r="FL10" s="722" t="str">
        <f>IF(COUNTA(車両台帳!$C$57:$C$2056)=0,"",COUNTIF(車両台帳!$BD$57:$BD$2056,FL$3&amp;"-"&amp;511&amp;"A"))</f>
        <v/>
      </c>
      <c r="FM10" s="722" t="str">
        <f>IF(COUNTA(車両台帳!$C$57:$C$2056)=0,"",COUNTIF(車両台帳!$BD$57:$BD$2056,FM$3&amp;"-"&amp;511&amp;"A"))</f>
        <v/>
      </c>
      <c r="FN10" s="722" t="str">
        <f>IF(COUNTA(車両台帳!$C$57:$C$2056)=0,"",COUNTIF(車両台帳!$BD$57:$BD$2056,FN$3&amp;"-"&amp;511&amp;"A"))</f>
        <v/>
      </c>
      <c r="FO10" s="722" t="str">
        <f>IF(COUNTA(車両台帳!$C$57:$C$2056)=0,"",COUNTIF(車両台帳!$BD$57:$BD$2056,FO$3&amp;"-"&amp;511&amp;"A"))</f>
        <v/>
      </c>
      <c r="FP10" s="722" t="str">
        <f>IF(COUNTA(車両台帳!$C$57:$C$2056)=0,"",COUNTIF(車両台帳!$BD$57:$BD$2056,FP$3&amp;"-"&amp;511&amp;"A"))</f>
        <v/>
      </c>
      <c r="FQ10" s="722" t="str">
        <f>IF(COUNTA(車両台帳!$C$57:$C$2056)=0,"",COUNTIF(車両台帳!$BD$57:$BD$2056,FQ$3&amp;"-"&amp;511&amp;"A"))</f>
        <v/>
      </c>
      <c r="FR10" s="722" t="str">
        <f>IF(COUNTA(車両台帳!$C$57:$C$2056)=0,"",COUNTIF(車両台帳!$BD$57:$BD$2056,FR$3&amp;"-"&amp;511&amp;"A"))</f>
        <v/>
      </c>
      <c r="FS10" s="722" t="str">
        <f>IF(COUNTA(車両台帳!$C$57:$C$2056)=0,"",COUNTIF(車両台帳!$BD$57:$BD$2056,FS$3&amp;"-"&amp;511&amp;"A"))</f>
        <v/>
      </c>
      <c r="FT10" s="722" t="str">
        <f>IF(COUNTA(車両台帳!$C$57:$C$2056)=0,"",COUNTIF(車両台帳!$BD$57:$BD$2056,FT$3&amp;"-"&amp;511&amp;"A"))</f>
        <v/>
      </c>
      <c r="FU10" s="722" t="str">
        <f>IF(COUNTA(車両台帳!$C$57:$C$2056)=0,"",COUNTIF(車両台帳!$BD$57:$BD$2056,FU$3&amp;"-"&amp;511&amp;"A"))</f>
        <v/>
      </c>
      <c r="FV10" s="722" t="str">
        <f>IF(COUNTA(車両台帳!$C$57:$C$2056)=0,"",COUNTIF(車両台帳!$BD$57:$BD$2056,FV$3&amp;"-"&amp;511&amp;"A"))</f>
        <v/>
      </c>
      <c r="FW10" s="722" t="str">
        <f>IF(COUNTA(車両台帳!$C$57:$C$2056)=0,"",COUNTIF(車両台帳!$BD$57:$BD$2056,FW$3&amp;"-"&amp;511&amp;"A"))</f>
        <v/>
      </c>
      <c r="FX10" s="722" t="str">
        <f>IF(COUNTA(車両台帳!$C$57:$C$2056)=0,"",COUNTIF(車両台帳!$BD$57:$BD$2056,FX$3&amp;"-"&amp;511&amp;"A"))</f>
        <v/>
      </c>
      <c r="FY10" s="722" t="str">
        <f>IF(COUNTA(車両台帳!$C$57:$C$2056)=0,"",COUNTIF(車両台帳!$BD$57:$BD$2056,FY$3&amp;"-"&amp;511&amp;"A"))</f>
        <v/>
      </c>
      <c r="FZ10" s="722" t="str">
        <f>IF(COUNTA(車両台帳!$C$57:$C$2056)=0,"",COUNTIF(車両台帳!$BD$57:$BD$2056,FZ$3&amp;"-"&amp;511&amp;"A"))</f>
        <v/>
      </c>
      <c r="GA10" s="722" t="str">
        <f>IF(COUNTA(車両台帳!$C$57:$C$2056)=0,"",COUNTIF(車両台帳!$BD$57:$BD$2056,GA$3&amp;"-"&amp;511&amp;"A"))</f>
        <v/>
      </c>
      <c r="GB10" s="722" t="str">
        <f>IF(COUNTA(車両台帳!$C$57:$C$2056)=0,"",COUNTIF(車両台帳!$BD$57:$BD$2056,GB$3&amp;"-"&amp;511&amp;"A"))</f>
        <v/>
      </c>
      <c r="GC10" s="722" t="str">
        <f>IF(COUNTA(車両台帳!$C$57:$C$2056)=0,"",COUNTIF(車両台帳!$BD$57:$BD$2056,GC$3&amp;"-"&amp;511&amp;"A"))</f>
        <v/>
      </c>
      <c r="GD10" s="722" t="str">
        <f>IF(COUNTA(車両台帳!$C$57:$C$2056)=0,"",COUNTIF(車両台帳!$BD$57:$BD$2056,GD$3&amp;"-"&amp;511&amp;"A"))</f>
        <v/>
      </c>
      <c r="GE10" s="722" t="str">
        <f>IF(COUNTA(車両台帳!$C$57:$C$2056)=0,"",COUNTIF(車両台帳!$BD$57:$BD$2056,GE$3&amp;"-"&amp;511&amp;"A"))</f>
        <v/>
      </c>
      <c r="GF10" s="722" t="str">
        <f>IF(COUNTA(車両台帳!$C$57:$C$2056)=0,"",COUNTIF(車両台帳!$BD$57:$BD$2056,GF$3&amp;"-"&amp;511&amp;"A"))</f>
        <v/>
      </c>
      <c r="GG10" s="722" t="str">
        <f>IF(COUNTA(車両台帳!$C$57:$C$2056)=0,"",COUNTIF(車両台帳!$BD$57:$BD$2056,GG$3&amp;"-"&amp;511&amp;"A"))</f>
        <v/>
      </c>
      <c r="GH10" s="722" t="str">
        <f>IF(COUNTA(車両台帳!$C$57:$C$2056)=0,"",COUNTIF(車両台帳!$BD$57:$BD$2056,GH$3&amp;"-"&amp;511&amp;"A"))</f>
        <v/>
      </c>
      <c r="GI10" s="722" t="str">
        <f>IF(COUNTA(車両台帳!$C$57:$C$2056)=0,"",COUNTIF(車両台帳!$BD$57:$BD$2056,GI$3&amp;"-"&amp;511&amp;"A"))</f>
        <v/>
      </c>
      <c r="GJ10" s="722" t="str">
        <f>IF(COUNTA(車両台帳!$C$57:$C$2056)=0,"",COUNTIF(車両台帳!$BD$57:$BD$2056,GJ$3&amp;"-"&amp;511&amp;"A"))</f>
        <v/>
      </c>
      <c r="GK10" s="722" t="str">
        <f>IF(COUNTA(車両台帳!$C$57:$C$2056)=0,"",COUNTIF(車両台帳!$BD$57:$BD$2056,GK$3&amp;"-"&amp;511&amp;"A"))</f>
        <v/>
      </c>
      <c r="GL10" s="722" t="str">
        <f>IF(COUNTA(車両台帳!$C$57:$C$2056)=0,"",COUNTIF(車両台帳!$BD$57:$BD$2056,GL$3&amp;"-"&amp;511&amp;"A"))</f>
        <v/>
      </c>
      <c r="GM10" s="722" t="str">
        <f>IF(COUNTA(車両台帳!$C$57:$C$2056)=0,"",COUNTIF(車両台帳!$BD$57:$BD$2056,GM$3&amp;"-"&amp;511&amp;"A"))</f>
        <v/>
      </c>
      <c r="GN10" s="722" t="str">
        <f>IF(COUNTA(車両台帳!$C$57:$C$2056)=0,"",COUNTIF(車両台帳!$BD$57:$BD$2056,GN$3&amp;"-"&amp;511&amp;"A"))</f>
        <v/>
      </c>
      <c r="GO10" s="722" t="str">
        <f>IF(COUNTA(車両台帳!$C$57:$C$2056)=0,"",COUNTIF(車両台帳!$BD$57:$BD$2056,GO$3&amp;"-"&amp;511&amp;"A"))</f>
        <v/>
      </c>
      <c r="GP10" s="722" t="str">
        <f>IF(COUNTA(車両台帳!$C$57:$C$2056)=0,"",COUNTIF(車両台帳!$BD$57:$BD$2056,GP$3&amp;"-"&amp;511&amp;"A"))</f>
        <v/>
      </c>
      <c r="GQ10" s="722" t="str">
        <f>IF(COUNTA(車両台帳!$C$57:$C$2056)=0,"",COUNTIF(車両台帳!$BD$57:$BD$2056,GQ$3&amp;"-"&amp;511&amp;"A"))</f>
        <v/>
      </c>
      <c r="GR10" s="722" t="str">
        <f>IF(COUNTA(車両台帳!$C$57:$C$2056)=0,"",COUNTIF(車両台帳!$BD$57:$BD$2056,GR$3&amp;"-"&amp;511&amp;"A"))</f>
        <v/>
      </c>
      <c r="GS10" s="722" t="str">
        <f>IF(COUNTA(車両台帳!$C$57:$C$2056)=0,"",COUNTIF(車両台帳!$BD$57:$BD$2056,GS$3&amp;"-"&amp;511&amp;"A"))</f>
        <v/>
      </c>
      <c r="GT10" s="722" t="str">
        <f>IF(COUNTA(車両台帳!$C$57:$C$2056)=0,"",COUNTIF(車両台帳!$BD$57:$BD$2056,GT$3&amp;"-"&amp;511&amp;"A"))</f>
        <v/>
      </c>
      <c r="GU10" s="723" t="str">
        <f>IF(COUNTA(車両台帳!$C$57:$C$2056)=0,"",COUNTIF(車両台帳!$BD$57:$BD$2056,GU$3&amp;"-"&amp;511&amp;"A"))</f>
        <v/>
      </c>
    </row>
    <row r="11" spans="1:203" s="7" customFormat="1" ht="29.25" customHeight="1">
      <c r="A11" s="1184"/>
      <c r="B11" s="715" t="s">
        <v>51</v>
      </c>
      <c r="C11" s="724" t="str">
        <f>IF(COUNTA(車両台帳!$C$57:$C$2056)=0,"",SUM(D11:GU11))</f>
        <v/>
      </c>
      <c r="D11" s="725" t="str">
        <f>IF(COUNTA(車両台帳!$C$57:$C$2056)=0,"",COUNTIF(車両台帳!$BD$57:$BD$2056,D$3&amp;"-"&amp;512&amp;"A"))</f>
        <v/>
      </c>
      <c r="E11" s="725" t="str">
        <f>IF(COUNTA(車両台帳!$C$57:$C$2056)=0,"",COUNTIF(車両台帳!$BD$57:$BD$2056,E$3&amp;"-"&amp;512&amp;"A"))</f>
        <v/>
      </c>
      <c r="F11" s="725" t="str">
        <f>IF(COUNTA(車両台帳!$C$57:$C$2056)=0,"",COUNTIF(車両台帳!$BD$57:$BD$2056,F$3&amp;"-"&amp;512&amp;"A"))</f>
        <v/>
      </c>
      <c r="G11" s="725" t="str">
        <f>IF(COUNTA(車両台帳!$C$57:$C$2056)=0,"",COUNTIF(車両台帳!$BD$57:$BD$2056,G$3&amp;"-"&amp;512&amp;"A"))</f>
        <v/>
      </c>
      <c r="H11" s="725" t="str">
        <f>IF(COUNTA(車両台帳!$C$57:$C$2056)=0,"",COUNTIF(車両台帳!$BD$57:$BD$2056,H$3&amp;"-"&amp;512&amp;"A"))</f>
        <v/>
      </c>
      <c r="I11" s="725" t="str">
        <f>IF(COUNTA(車両台帳!$C$57:$C$2056)=0,"",COUNTIF(車両台帳!$BD$57:$BD$2056,I$3&amp;"-"&amp;512&amp;"A"))</f>
        <v/>
      </c>
      <c r="J11" s="725" t="str">
        <f>IF(COUNTA(車両台帳!$C$57:$C$2056)=0,"",COUNTIF(車両台帳!$BD$57:$BD$2056,J$3&amp;"-"&amp;512&amp;"A"))</f>
        <v/>
      </c>
      <c r="K11" s="725" t="str">
        <f>IF(COUNTA(車両台帳!$C$57:$C$2056)=0,"",COUNTIF(車両台帳!$BD$57:$BD$2056,K$3&amp;"-"&amp;512&amp;"A"))</f>
        <v/>
      </c>
      <c r="L11" s="725" t="str">
        <f>IF(COUNTA(車両台帳!$C$57:$C$2056)=0,"",COUNTIF(車両台帳!$BD$57:$BD$2056,L$3&amp;"-"&amp;512&amp;"A"))</f>
        <v/>
      </c>
      <c r="M11" s="725" t="str">
        <f>IF(COUNTA(車両台帳!$C$57:$C$2056)=0,"",COUNTIF(車両台帳!$BD$57:$BD$2056,M$3&amp;"-"&amp;512&amp;"A"))</f>
        <v/>
      </c>
      <c r="N11" s="725" t="str">
        <f>IF(COUNTA(車両台帳!$C$57:$C$2056)=0,"",COUNTIF(車両台帳!$BD$57:$BD$2056,N$3&amp;"-"&amp;512&amp;"A"))</f>
        <v/>
      </c>
      <c r="O11" s="725" t="str">
        <f>IF(COUNTA(車両台帳!$C$57:$C$2056)=0,"",COUNTIF(車両台帳!$BD$57:$BD$2056,O$3&amp;"-"&amp;512&amp;"A"))</f>
        <v/>
      </c>
      <c r="P11" s="725" t="str">
        <f>IF(COUNTA(車両台帳!$C$57:$C$2056)=0,"",COUNTIF(車両台帳!$BD$57:$BD$2056,P$3&amp;"-"&amp;512&amp;"A"))</f>
        <v/>
      </c>
      <c r="Q11" s="725" t="str">
        <f>IF(COUNTA(車両台帳!$C$57:$C$2056)=0,"",COUNTIF(車両台帳!$BD$57:$BD$2056,Q$3&amp;"-"&amp;512&amp;"A"))</f>
        <v/>
      </c>
      <c r="R11" s="725" t="str">
        <f>IF(COUNTA(車両台帳!$C$57:$C$2056)=0,"",COUNTIF(車両台帳!$BD$57:$BD$2056,R$3&amp;"-"&amp;512&amp;"A"))</f>
        <v/>
      </c>
      <c r="S11" s="725" t="str">
        <f>IF(COUNTA(車両台帳!$C$57:$C$2056)=0,"",COUNTIF(車両台帳!$BD$57:$BD$2056,S$3&amp;"-"&amp;512&amp;"A"))</f>
        <v/>
      </c>
      <c r="T11" s="725" t="str">
        <f>IF(COUNTA(車両台帳!$C$57:$C$2056)=0,"",COUNTIF(車両台帳!$BD$57:$BD$2056,T$3&amp;"-"&amp;512&amp;"A"))</f>
        <v/>
      </c>
      <c r="U11" s="725" t="str">
        <f>IF(COUNTA(車両台帳!$C$57:$C$2056)=0,"",COUNTIF(車両台帳!$BD$57:$BD$2056,U$3&amp;"-"&amp;512&amp;"A"))</f>
        <v/>
      </c>
      <c r="V11" s="725" t="str">
        <f>IF(COUNTA(車両台帳!$C$57:$C$2056)=0,"",COUNTIF(車両台帳!$BD$57:$BD$2056,V$3&amp;"-"&amp;512&amp;"A"))</f>
        <v/>
      </c>
      <c r="W11" s="725" t="str">
        <f>IF(COUNTA(車両台帳!$C$57:$C$2056)=0,"",COUNTIF(車両台帳!$BD$57:$BD$2056,W$3&amp;"-"&amp;512&amp;"A"))</f>
        <v/>
      </c>
      <c r="X11" s="725" t="str">
        <f>IF(COUNTA(車両台帳!$C$57:$C$2056)=0,"",COUNTIF(車両台帳!$BD$57:$BD$2056,X$3&amp;"-"&amp;512&amp;"A"))</f>
        <v/>
      </c>
      <c r="Y11" s="725" t="str">
        <f>IF(COUNTA(車両台帳!$C$57:$C$2056)=0,"",COUNTIF(車両台帳!$BD$57:$BD$2056,Y$3&amp;"-"&amp;512&amp;"A"))</f>
        <v/>
      </c>
      <c r="Z11" s="725" t="str">
        <f>IF(COUNTA(車両台帳!$C$57:$C$2056)=0,"",COUNTIF(車両台帳!$BD$57:$BD$2056,Z$3&amp;"-"&amp;512&amp;"A"))</f>
        <v/>
      </c>
      <c r="AA11" s="725" t="str">
        <f>IF(COUNTA(車両台帳!$C$57:$C$2056)=0,"",COUNTIF(車両台帳!$BD$57:$BD$2056,AA$3&amp;"-"&amp;512&amp;"A"))</f>
        <v/>
      </c>
      <c r="AB11" s="725" t="str">
        <f>IF(COUNTA(車両台帳!$C$57:$C$2056)=0,"",COUNTIF(車両台帳!$BD$57:$BD$2056,AB$3&amp;"-"&amp;512&amp;"A"))</f>
        <v/>
      </c>
      <c r="AC11" s="725" t="str">
        <f>IF(COUNTA(車両台帳!$C$57:$C$2056)=0,"",COUNTIF(車両台帳!$BD$57:$BD$2056,AC$3&amp;"-"&amp;512&amp;"A"))</f>
        <v/>
      </c>
      <c r="AD11" s="725" t="str">
        <f>IF(COUNTA(車両台帳!$C$57:$C$2056)=0,"",COUNTIF(車両台帳!$BD$57:$BD$2056,AD$3&amp;"-"&amp;512&amp;"A"))</f>
        <v/>
      </c>
      <c r="AE11" s="725" t="str">
        <f>IF(COUNTA(車両台帳!$C$57:$C$2056)=0,"",COUNTIF(車両台帳!$BD$57:$BD$2056,AE$3&amp;"-"&amp;512&amp;"A"))</f>
        <v/>
      </c>
      <c r="AF11" s="725" t="str">
        <f>IF(COUNTA(車両台帳!$C$57:$C$2056)=0,"",COUNTIF(車両台帳!$BD$57:$BD$2056,AF$3&amp;"-"&amp;512&amp;"A"))</f>
        <v/>
      </c>
      <c r="AG11" s="725" t="str">
        <f>IF(COUNTA(車両台帳!$C$57:$C$2056)=0,"",COUNTIF(車両台帳!$BD$57:$BD$2056,AG$3&amp;"-"&amp;512&amp;"A"))</f>
        <v/>
      </c>
      <c r="AH11" s="725" t="str">
        <f>IF(COUNTA(車両台帳!$C$57:$C$2056)=0,"",COUNTIF(車両台帳!$BD$57:$BD$2056,AH$3&amp;"-"&amp;512&amp;"A"))</f>
        <v/>
      </c>
      <c r="AI11" s="725" t="str">
        <f>IF(COUNTA(車両台帳!$C$57:$C$2056)=0,"",COUNTIF(車両台帳!$BD$57:$BD$2056,AI$3&amp;"-"&amp;512&amp;"A"))</f>
        <v/>
      </c>
      <c r="AJ11" s="725" t="str">
        <f>IF(COUNTA(車両台帳!$C$57:$C$2056)=0,"",COUNTIF(車両台帳!$BD$57:$BD$2056,AJ$3&amp;"-"&amp;512&amp;"A"))</f>
        <v/>
      </c>
      <c r="AK11" s="725" t="str">
        <f>IF(COUNTA(車両台帳!$C$57:$C$2056)=0,"",COUNTIF(車両台帳!$BD$57:$BD$2056,AK$3&amp;"-"&amp;512&amp;"A"))</f>
        <v/>
      </c>
      <c r="AL11" s="725" t="str">
        <f>IF(COUNTA(車両台帳!$C$57:$C$2056)=0,"",COUNTIF(車両台帳!$BD$57:$BD$2056,AL$3&amp;"-"&amp;512&amp;"A"))</f>
        <v/>
      </c>
      <c r="AM11" s="725" t="str">
        <f>IF(COUNTA(車両台帳!$C$57:$C$2056)=0,"",COUNTIF(車両台帳!$BD$57:$BD$2056,AM$3&amp;"-"&amp;512&amp;"A"))</f>
        <v/>
      </c>
      <c r="AN11" s="725" t="str">
        <f>IF(COUNTA(車両台帳!$C$57:$C$2056)=0,"",COUNTIF(車両台帳!$BD$57:$BD$2056,AN$3&amp;"-"&amp;512&amp;"A"))</f>
        <v/>
      </c>
      <c r="AO11" s="725" t="str">
        <f>IF(COUNTA(車両台帳!$C$57:$C$2056)=0,"",COUNTIF(車両台帳!$BD$57:$BD$2056,AO$3&amp;"-"&amp;512&amp;"A"))</f>
        <v/>
      </c>
      <c r="AP11" s="725" t="str">
        <f>IF(COUNTA(車両台帳!$C$57:$C$2056)=0,"",COUNTIF(車両台帳!$BD$57:$BD$2056,AP$3&amp;"-"&amp;512&amp;"A"))</f>
        <v/>
      </c>
      <c r="AQ11" s="725" t="str">
        <f>IF(COUNTA(車両台帳!$C$57:$C$2056)=0,"",COUNTIF(車両台帳!$BD$57:$BD$2056,AQ$3&amp;"-"&amp;512&amp;"A"))</f>
        <v/>
      </c>
      <c r="AR11" s="725" t="str">
        <f>IF(COUNTA(車両台帳!$C$57:$C$2056)=0,"",COUNTIF(車両台帳!$BD$57:$BD$2056,AR$3&amp;"-"&amp;512&amp;"A"))</f>
        <v/>
      </c>
      <c r="AS11" s="725" t="str">
        <f>IF(COUNTA(車両台帳!$C$57:$C$2056)=0,"",COUNTIF(車両台帳!$BD$57:$BD$2056,AS$3&amp;"-"&amp;512&amp;"A"))</f>
        <v/>
      </c>
      <c r="AT11" s="725" t="str">
        <f>IF(COUNTA(車両台帳!$C$57:$C$2056)=0,"",COUNTIF(車両台帳!$BD$57:$BD$2056,AT$3&amp;"-"&amp;512&amp;"A"))</f>
        <v/>
      </c>
      <c r="AU11" s="725" t="str">
        <f>IF(COUNTA(車両台帳!$C$57:$C$2056)=0,"",COUNTIF(車両台帳!$BD$57:$BD$2056,AU$3&amp;"-"&amp;512&amp;"A"))</f>
        <v/>
      </c>
      <c r="AV11" s="725" t="str">
        <f>IF(COUNTA(車両台帳!$C$57:$C$2056)=0,"",COUNTIF(車両台帳!$BD$57:$BD$2056,AV$3&amp;"-"&amp;512&amp;"A"))</f>
        <v/>
      </c>
      <c r="AW11" s="725" t="str">
        <f>IF(COUNTA(車両台帳!$C$57:$C$2056)=0,"",COUNTIF(車両台帳!$BD$57:$BD$2056,AW$3&amp;"-"&amp;512&amp;"A"))</f>
        <v/>
      </c>
      <c r="AX11" s="725" t="str">
        <f>IF(COUNTA(車両台帳!$C$57:$C$2056)=0,"",COUNTIF(車両台帳!$BD$57:$BD$2056,AX$3&amp;"-"&amp;512&amp;"A"))</f>
        <v/>
      </c>
      <c r="AY11" s="725" t="str">
        <f>IF(COUNTA(車両台帳!$C$57:$C$2056)=0,"",COUNTIF(車両台帳!$BD$57:$BD$2056,AY$3&amp;"-"&amp;512&amp;"A"))</f>
        <v/>
      </c>
      <c r="AZ11" s="725" t="str">
        <f>IF(COUNTA(車両台帳!$C$57:$C$2056)=0,"",COUNTIF(車両台帳!$BD$57:$BD$2056,AZ$3&amp;"-"&amp;512&amp;"A"))</f>
        <v/>
      </c>
      <c r="BA11" s="725" t="str">
        <f>IF(COUNTA(車両台帳!$C$57:$C$2056)=0,"",COUNTIF(車両台帳!$BD$57:$BD$2056,BA$3&amp;"-"&amp;512&amp;"A"))</f>
        <v/>
      </c>
      <c r="BB11" s="725" t="str">
        <f>IF(COUNTA(車両台帳!$C$57:$C$2056)=0,"",COUNTIF(車両台帳!$BD$57:$BD$2056,BB$3&amp;"-"&amp;512&amp;"A"))</f>
        <v/>
      </c>
      <c r="BC11" s="725" t="str">
        <f>IF(COUNTA(車両台帳!$C$57:$C$2056)=0,"",COUNTIF(車両台帳!$BD$57:$BD$2056,BC$3&amp;"-"&amp;512&amp;"A"))</f>
        <v/>
      </c>
      <c r="BD11" s="725" t="str">
        <f>IF(COUNTA(車両台帳!$C$57:$C$2056)=0,"",COUNTIF(車両台帳!$BD$57:$BD$2056,BD$3&amp;"-"&amp;512&amp;"A"))</f>
        <v/>
      </c>
      <c r="BE11" s="725" t="str">
        <f>IF(COUNTA(車両台帳!$C$57:$C$2056)=0,"",COUNTIF(車両台帳!$BD$57:$BD$2056,BE$3&amp;"-"&amp;512&amp;"A"))</f>
        <v/>
      </c>
      <c r="BF11" s="725" t="str">
        <f>IF(COUNTA(車両台帳!$C$57:$C$2056)=0,"",COUNTIF(車両台帳!$BD$57:$BD$2056,BF$3&amp;"-"&amp;512&amp;"A"))</f>
        <v/>
      </c>
      <c r="BG11" s="725" t="str">
        <f>IF(COUNTA(車両台帳!$C$57:$C$2056)=0,"",COUNTIF(車両台帳!$BD$57:$BD$2056,BG$3&amp;"-"&amp;512&amp;"A"))</f>
        <v/>
      </c>
      <c r="BH11" s="725" t="str">
        <f>IF(COUNTA(車両台帳!$C$57:$C$2056)=0,"",COUNTIF(車両台帳!$BD$57:$BD$2056,BH$3&amp;"-"&amp;512&amp;"A"))</f>
        <v/>
      </c>
      <c r="BI11" s="725" t="str">
        <f>IF(COUNTA(車両台帳!$C$57:$C$2056)=0,"",COUNTIF(車両台帳!$BD$57:$BD$2056,BI$3&amp;"-"&amp;512&amp;"A"))</f>
        <v/>
      </c>
      <c r="BJ11" s="725" t="str">
        <f>IF(COUNTA(車両台帳!$C$57:$C$2056)=0,"",COUNTIF(車両台帳!$BD$57:$BD$2056,BJ$3&amp;"-"&amp;512&amp;"A"))</f>
        <v/>
      </c>
      <c r="BK11" s="725" t="str">
        <f>IF(COUNTA(車両台帳!$C$57:$C$2056)=0,"",COUNTIF(車両台帳!$BD$57:$BD$2056,BK$3&amp;"-"&amp;512&amp;"A"))</f>
        <v/>
      </c>
      <c r="BL11" s="725" t="str">
        <f>IF(COUNTA(車両台帳!$C$57:$C$2056)=0,"",COUNTIF(車両台帳!$BD$57:$BD$2056,BL$3&amp;"-"&amp;512&amp;"A"))</f>
        <v/>
      </c>
      <c r="BM11" s="725" t="str">
        <f>IF(COUNTA(車両台帳!$C$57:$C$2056)=0,"",COUNTIF(車両台帳!$BD$57:$BD$2056,BM$3&amp;"-"&amp;512&amp;"A"))</f>
        <v/>
      </c>
      <c r="BN11" s="725" t="str">
        <f>IF(COUNTA(車両台帳!$C$57:$C$2056)=0,"",COUNTIF(車両台帳!$BD$57:$BD$2056,BN$3&amp;"-"&amp;512&amp;"A"))</f>
        <v/>
      </c>
      <c r="BO11" s="725" t="str">
        <f>IF(COUNTA(車両台帳!$C$57:$C$2056)=0,"",COUNTIF(車両台帳!$BD$57:$BD$2056,BO$3&amp;"-"&amp;512&amp;"A"))</f>
        <v/>
      </c>
      <c r="BP11" s="725" t="str">
        <f>IF(COUNTA(車両台帳!$C$57:$C$2056)=0,"",COUNTIF(車両台帳!$BD$57:$BD$2056,BP$3&amp;"-"&amp;512&amp;"A"))</f>
        <v/>
      </c>
      <c r="BQ11" s="725" t="str">
        <f>IF(COUNTA(車両台帳!$C$57:$C$2056)=0,"",COUNTIF(車両台帳!$BD$57:$BD$2056,BQ$3&amp;"-"&amp;512&amp;"A"))</f>
        <v/>
      </c>
      <c r="BR11" s="725" t="str">
        <f>IF(COUNTA(車両台帳!$C$57:$C$2056)=0,"",COUNTIF(車両台帳!$BD$57:$BD$2056,BR$3&amp;"-"&amp;512&amp;"A"))</f>
        <v/>
      </c>
      <c r="BS11" s="725" t="str">
        <f>IF(COUNTA(車両台帳!$C$57:$C$2056)=0,"",COUNTIF(車両台帳!$BD$57:$BD$2056,BS$3&amp;"-"&amp;512&amp;"A"))</f>
        <v/>
      </c>
      <c r="BT11" s="725" t="str">
        <f>IF(COUNTA(車両台帳!$C$57:$C$2056)=0,"",COUNTIF(車両台帳!$BD$57:$BD$2056,BT$3&amp;"-"&amp;512&amp;"A"))</f>
        <v/>
      </c>
      <c r="BU11" s="725" t="str">
        <f>IF(COUNTA(車両台帳!$C$57:$C$2056)=0,"",COUNTIF(車両台帳!$BD$57:$BD$2056,BU$3&amp;"-"&amp;512&amp;"A"))</f>
        <v/>
      </c>
      <c r="BV11" s="725" t="str">
        <f>IF(COUNTA(車両台帳!$C$57:$C$2056)=0,"",COUNTIF(車両台帳!$BD$57:$BD$2056,BV$3&amp;"-"&amp;512&amp;"A"))</f>
        <v/>
      </c>
      <c r="BW11" s="725" t="str">
        <f>IF(COUNTA(車両台帳!$C$57:$C$2056)=0,"",COUNTIF(車両台帳!$BD$57:$BD$2056,BW$3&amp;"-"&amp;512&amp;"A"))</f>
        <v/>
      </c>
      <c r="BX11" s="725" t="str">
        <f>IF(COUNTA(車両台帳!$C$57:$C$2056)=0,"",COUNTIF(車両台帳!$BD$57:$BD$2056,BX$3&amp;"-"&amp;512&amp;"A"))</f>
        <v/>
      </c>
      <c r="BY11" s="725" t="str">
        <f>IF(COUNTA(車両台帳!$C$57:$C$2056)=0,"",COUNTIF(車両台帳!$BD$57:$BD$2056,BY$3&amp;"-"&amp;512&amp;"A"))</f>
        <v/>
      </c>
      <c r="BZ11" s="725" t="str">
        <f>IF(COUNTA(車両台帳!$C$57:$C$2056)=0,"",COUNTIF(車両台帳!$BD$57:$BD$2056,BZ$3&amp;"-"&amp;512&amp;"A"))</f>
        <v/>
      </c>
      <c r="CA11" s="725" t="str">
        <f>IF(COUNTA(車両台帳!$C$57:$C$2056)=0,"",COUNTIF(車両台帳!$BD$57:$BD$2056,CA$3&amp;"-"&amp;512&amp;"A"))</f>
        <v/>
      </c>
      <c r="CB11" s="725" t="str">
        <f>IF(COUNTA(車両台帳!$C$57:$C$2056)=0,"",COUNTIF(車両台帳!$BD$57:$BD$2056,CB$3&amp;"-"&amp;512&amp;"A"))</f>
        <v/>
      </c>
      <c r="CC11" s="725" t="str">
        <f>IF(COUNTA(車両台帳!$C$57:$C$2056)=0,"",COUNTIF(車両台帳!$BD$57:$BD$2056,CC$3&amp;"-"&amp;512&amp;"A"))</f>
        <v/>
      </c>
      <c r="CD11" s="725" t="str">
        <f>IF(COUNTA(車両台帳!$C$57:$C$2056)=0,"",COUNTIF(車両台帳!$BD$57:$BD$2056,CD$3&amp;"-"&amp;512&amp;"A"))</f>
        <v/>
      </c>
      <c r="CE11" s="725" t="str">
        <f>IF(COUNTA(車両台帳!$C$57:$C$2056)=0,"",COUNTIF(車両台帳!$BD$57:$BD$2056,CE$3&amp;"-"&amp;512&amp;"A"))</f>
        <v/>
      </c>
      <c r="CF11" s="725" t="str">
        <f>IF(COUNTA(車両台帳!$C$57:$C$2056)=0,"",COUNTIF(車両台帳!$BD$57:$BD$2056,CF$3&amp;"-"&amp;512&amp;"A"))</f>
        <v/>
      </c>
      <c r="CG11" s="725" t="str">
        <f>IF(COUNTA(車両台帳!$C$57:$C$2056)=0,"",COUNTIF(車両台帳!$BD$57:$BD$2056,CG$3&amp;"-"&amp;512&amp;"A"))</f>
        <v/>
      </c>
      <c r="CH11" s="725" t="str">
        <f>IF(COUNTA(車両台帳!$C$57:$C$2056)=0,"",COUNTIF(車両台帳!$BD$57:$BD$2056,CH$3&amp;"-"&amp;512&amp;"A"))</f>
        <v/>
      </c>
      <c r="CI11" s="725" t="str">
        <f>IF(COUNTA(車両台帳!$C$57:$C$2056)=0,"",COUNTIF(車両台帳!$BD$57:$BD$2056,CI$3&amp;"-"&amp;512&amp;"A"))</f>
        <v/>
      </c>
      <c r="CJ11" s="725" t="str">
        <f>IF(COUNTA(車両台帳!$C$57:$C$2056)=0,"",COUNTIF(車両台帳!$BD$57:$BD$2056,CJ$3&amp;"-"&amp;512&amp;"A"))</f>
        <v/>
      </c>
      <c r="CK11" s="725" t="str">
        <f>IF(COUNTA(車両台帳!$C$57:$C$2056)=0,"",COUNTIF(車両台帳!$BD$57:$BD$2056,CK$3&amp;"-"&amp;512&amp;"A"))</f>
        <v/>
      </c>
      <c r="CL11" s="725" t="str">
        <f>IF(COUNTA(車両台帳!$C$57:$C$2056)=0,"",COUNTIF(車両台帳!$BD$57:$BD$2056,CL$3&amp;"-"&amp;512&amp;"A"))</f>
        <v/>
      </c>
      <c r="CM11" s="725" t="str">
        <f>IF(COUNTA(車両台帳!$C$57:$C$2056)=0,"",COUNTIF(車両台帳!$BD$57:$BD$2056,CM$3&amp;"-"&amp;512&amp;"A"))</f>
        <v/>
      </c>
      <c r="CN11" s="725" t="str">
        <f>IF(COUNTA(車両台帳!$C$57:$C$2056)=0,"",COUNTIF(車両台帳!$BD$57:$BD$2056,CN$3&amp;"-"&amp;512&amp;"A"))</f>
        <v/>
      </c>
      <c r="CO11" s="725" t="str">
        <f>IF(COUNTA(車両台帳!$C$57:$C$2056)=0,"",COUNTIF(車両台帳!$BD$57:$BD$2056,CO$3&amp;"-"&amp;512&amp;"A"))</f>
        <v/>
      </c>
      <c r="CP11" s="725" t="str">
        <f>IF(COUNTA(車両台帳!$C$57:$C$2056)=0,"",COUNTIF(車両台帳!$BD$57:$BD$2056,CP$3&amp;"-"&amp;512&amp;"A"))</f>
        <v/>
      </c>
      <c r="CQ11" s="725" t="str">
        <f>IF(COUNTA(車両台帳!$C$57:$C$2056)=0,"",COUNTIF(車両台帳!$BD$57:$BD$2056,CQ$3&amp;"-"&amp;512&amp;"A"))</f>
        <v/>
      </c>
      <c r="CR11" s="725" t="str">
        <f>IF(COUNTA(車両台帳!$C$57:$C$2056)=0,"",COUNTIF(車両台帳!$BD$57:$BD$2056,CR$3&amp;"-"&amp;512&amp;"A"))</f>
        <v/>
      </c>
      <c r="CS11" s="725" t="str">
        <f>IF(COUNTA(車両台帳!$C$57:$C$2056)=0,"",COUNTIF(車両台帳!$BD$57:$BD$2056,CS$3&amp;"-"&amp;512&amp;"A"))</f>
        <v/>
      </c>
      <c r="CT11" s="725" t="str">
        <f>IF(COUNTA(車両台帳!$C$57:$C$2056)=0,"",COUNTIF(車両台帳!$BD$57:$BD$2056,CT$3&amp;"-"&amp;512&amp;"A"))</f>
        <v/>
      </c>
      <c r="CU11" s="725" t="str">
        <f>IF(COUNTA(車両台帳!$C$57:$C$2056)=0,"",COUNTIF(車両台帳!$BD$57:$BD$2056,CU$3&amp;"-"&amp;512&amp;"A"))</f>
        <v/>
      </c>
      <c r="CV11" s="725" t="str">
        <f>IF(COUNTA(車両台帳!$C$57:$C$2056)=0,"",COUNTIF(車両台帳!$BD$57:$BD$2056,CV$3&amp;"-"&amp;512&amp;"A"))</f>
        <v/>
      </c>
      <c r="CW11" s="725" t="str">
        <f>IF(COUNTA(車両台帳!$C$57:$C$2056)=0,"",COUNTIF(車両台帳!$BD$57:$BD$2056,CW$3&amp;"-"&amp;512&amp;"A"))</f>
        <v/>
      </c>
      <c r="CX11" s="725" t="str">
        <f>IF(COUNTA(車両台帳!$C$57:$C$2056)=0,"",COUNTIF(車両台帳!$BD$57:$BD$2056,CX$3&amp;"-"&amp;512&amp;"A"))</f>
        <v/>
      </c>
      <c r="CY11" s="725" t="str">
        <f>IF(COUNTA(車両台帳!$C$57:$C$2056)=0,"",COUNTIF(車両台帳!$BD$57:$BD$2056,CY$3&amp;"-"&amp;512&amp;"A"))</f>
        <v/>
      </c>
      <c r="CZ11" s="725" t="str">
        <f>IF(COUNTA(車両台帳!$C$57:$C$2056)=0,"",COUNTIF(車両台帳!$BD$57:$BD$2056,CZ$3&amp;"-"&amp;512&amp;"A"))</f>
        <v/>
      </c>
      <c r="DA11" s="725" t="str">
        <f>IF(COUNTA(車両台帳!$C$57:$C$2056)=0,"",COUNTIF(車両台帳!$BD$57:$BD$2056,DA$3&amp;"-"&amp;512&amp;"A"))</f>
        <v/>
      </c>
      <c r="DB11" s="725" t="str">
        <f>IF(COUNTA(車両台帳!$C$57:$C$2056)=0,"",COUNTIF(車両台帳!$BD$57:$BD$2056,DB$3&amp;"-"&amp;512&amp;"A"))</f>
        <v/>
      </c>
      <c r="DC11" s="725" t="str">
        <f>IF(COUNTA(車両台帳!$C$57:$C$2056)=0,"",COUNTIF(車両台帳!$BD$57:$BD$2056,DC$3&amp;"-"&amp;512&amp;"A"))</f>
        <v/>
      </c>
      <c r="DD11" s="725" t="str">
        <f>IF(COUNTA(車両台帳!$C$57:$C$2056)=0,"",COUNTIF(車両台帳!$BD$57:$BD$2056,DD$3&amp;"-"&amp;512&amp;"A"))</f>
        <v/>
      </c>
      <c r="DE11" s="725" t="str">
        <f>IF(COUNTA(車両台帳!$C$57:$C$2056)=0,"",COUNTIF(車両台帳!$BD$57:$BD$2056,DE$3&amp;"-"&amp;512&amp;"A"))</f>
        <v/>
      </c>
      <c r="DF11" s="725" t="str">
        <f>IF(COUNTA(車両台帳!$C$57:$C$2056)=0,"",COUNTIF(車両台帳!$BD$57:$BD$2056,DF$3&amp;"-"&amp;512&amp;"A"))</f>
        <v/>
      </c>
      <c r="DG11" s="725" t="str">
        <f>IF(COUNTA(車両台帳!$C$57:$C$2056)=0,"",COUNTIF(車両台帳!$BD$57:$BD$2056,DG$3&amp;"-"&amp;512&amp;"A"))</f>
        <v/>
      </c>
      <c r="DH11" s="725" t="str">
        <f>IF(COUNTA(車両台帳!$C$57:$C$2056)=0,"",COUNTIF(車両台帳!$BD$57:$BD$2056,DH$3&amp;"-"&amp;512&amp;"A"))</f>
        <v/>
      </c>
      <c r="DI11" s="725" t="str">
        <f>IF(COUNTA(車両台帳!$C$57:$C$2056)=0,"",COUNTIF(車両台帳!$BD$57:$BD$2056,DI$3&amp;"-"&amp;512&amp;"A"))</f>
        <v/>
      </c>
      <c r="DJ11" s="725" t="str">
        <f>IF(COUNTA(車両台帳!$C$57:$C$2056)=0,"",COUNTIF(車両台帳!$BD$57:$BD$2056,DJ$3&amp;"-"&amp;512&amp;"A"))</f>
        <v/>
      </c>
      <c r="DK11" s="725" t="str">
        <f>IF(COUNTA(車両台帳!$C$57:$C$2056)=0,"",COUNTIF(車両台帳!$BD$57:$BD$2056,DK$3&amp;"-"&amp;512&amp;"A"))</f>
        <v/>
      </c>
      <c r="DL11" s="725" t="str">
        <f>IF(COUNTA(車両台帳!$C$57:$C$2056)=0,"",COUNTIF(車両台帳!$BD$57:$BD$2056,DL$3&amp;"-"&amp;512&amp;"A"))</f>
        <v/>
      </c>
      <c r="DM11" s="725" t="str">
        <f>IF(COUNTA(車両台帳!$C$57:$C$2056)=0,"",COUNTIF(車両台帳!$BD$57:$BD$2056,DM$3&amp;"-"&amp;512&amp;"A"))</f>
        <v/>
      </c>
      <c r="DN11" s="725" t="str">
        <f>IF(COUNTA(車両台帳!$C$57:$C$2056)=0,"",COUNTIF(車両台帳!$BD$57:$BD$2056,DN$3&amp;"-"&amp;512&amp;"A"))</f>
        <v/>
      </c>
      <c r="DO11" s="725" t="str">
        <f>IF(COUNTA(車両台帳!$C$57:$C$2056)=0,"",COUNTIF(車両台帳!$BD$57:$BD$2056,DO$3&amp;"-"&amp;512&amp;"A"))</f>
        <v/>
      </c>
      <c r="DP11" s="725" t="str">
        <f>IF(COUNTA(車両台帳!$C$57:$C$2056)=0,"",COUNTIF(車両台帳!$BD$57:$BD$2056,DP$3&amp;"-"&amp;512&amp;"A"))</f>
        <v/>
      </c>
      <c r="DQ11" s="725" t="str">
        <f>IF(COUNTA(車両台帳!$C$57:$C$2056)=0,"",COUNTIF(車両台帳!$BD$57:$BD$2056,DQ$3&amp;"-"&amp;512&amp;"A"))</f>
        <v/>
      </c>
      <c r="DR11" s="725" t="str">
        <f>IF(COUNTA(車両台帳!$C$57:$C$2056)=0,"",COUNTIF(車両台帳!$BD$57:$BD$2056,DR$3&amp;"-"&amp;512&amp;"A"))</f>
        <v/>
      </c>
      <c r="DS11" s="725" t="str">
        <f>IF(COUNTA(車両台帳!$C$57:$C$2056)=0,"",COUNTIF(車両台帳!$BD$57:$BD$2056,DS$3&amp;"-"&amp;512&amp;"A"))</f>
        <v/>
      </c>
      <c r="DT11" s="725" t="str">
        <f>IF(COUNTA(車両台帳!$C$57:$C$2056)=0,"",COUNTIF(車両台帳!$BD$57:$BD$2056,DT$3&amp;"-"&amp;512&amp;"A"))</f>
        <v/>
      </c>
      <c r="DU11" s="725" t="str">
        <f>IF(COUNTA(車両台帳!$C$57:$C$2056)=0,"",COUNTIF(車両台帳!$BD$57:$BD$2056,DU$3&amp;"-"&amp;512&amp;"A"))</f>
        <v/>
      </c>
      <c r="DV11" s="725" t="str">
        <f>IF(COUNTA(車両台帳!$C$57:$C$2056)=0,"",COUNTIF(車両台帳!$BD$57:$BD$2056,DV$3&amp;"-"&amp;512&amp;"A"))</f>
        <v/>
      </c>
      <c r="DW11" s="725" t="str">
        <f>IF(COUNTA(車両台帳!$C$57:$C$2056)=0,"",COUNTIF(車両台帳!$BD$57:$BD$2056,DW$3&amp;"-"&amp;512&amp;"A"))</f>
        <v/>
      </c>
      <c r="DX11" s="725" t="str">
        <f>IF(COUNTA(車両台帳!$C$57:$C$2056)=0,"",COUNTIF(車両台帳!$BD$57:$BD$2056,DX$3&amp;"-"&amp;512&amp;"A"))</f>
        <v/>
      </c>
      <c r="DY11" s="725" t="str">
        <f>IF(COUNTA(車両台帳!$C$57:$C$2056)=0,"",COUNTIF(車両台帳!$BD$57:$BD$2056,DY$3&amp;"-"&amp;512&amp;"A"))</f>
        <v/>
      </c>
      <c r="DZ11" s="725" t="str">
        <f>IF(COUNTA(車両台帳!$C$57:$C$2056)=0,"",COUNTIF(車両台帳!$BD$57:$BD$2056,DZ$3&amp;"-"&amp;512&amp;"A"))</f>
        <v/>
      </c>
      <c r="EA11" s="725" t="str">
        <f>IF(COUNTA(車両台帳!$C$57:$C$2056)=0,"",COUNTIF(車両台帳!$BD$57:$BD$2056,EA$3&amp;"-"&amp;512&amp;"A"))</f>
        <v/>
      </c>
      <c r="EB11" s="725" t="str">
        <f>IF(COUNTA(車両台帳!$C$57:$C$2056)=0,"",COUNTIF(車両台帳!$BD$57:$BD$2056,EB$3&amp;"-"&amp;512&amp;"A"))</f>
        <v/>
      </c>
      <c r="EC11" s="725" t="str">
        <f>IF(COUNTA(車両台帳!$C$57:$C$2056)=0,"",COUNTIF(車両台帳!$BD$57:$BD$2056,EC$3&amp;"-"&amp;512&amp;"A"))</f>
        <v/>
      </c>
      <c r="ED11" s="725" t="str">
        <f>IF(COUNTA(車両台帳!$C$57:$C$2056)=0,"",COUNTIF(車両台帳!$BD$57:$BD$2056,ED$3&amp;"-"&amp;512&amp;"A"))</f>
        <v/>
      </c>
      <c r="EE11" s="725" t="str">
        <f>IF(COUNTA(車両台帳!$C$57:$C$2056)=0,"",COUNTIF(車両台帳!$BD$57:$BD$2056,EE$3&amp;"-"&amp;512&amp;"A"))</f>
        <v/>
      </c>
      <c r="EF11" s="725" t="str">
        <f>IF(COUNTA(車両台帳!$C$57:$C$2056)=0,"",COUNTIF(車両台帳!$BD$57:$BD$2056,EF$3&amp;"-"&amp;512&amp;"A"))</f>
        <v/>
      </c>
      <c r="EG11" s="725" t="str">
        <f>IF(COUNTA(車両台帳!$C$57:$C$2056)=0,"",COUNTIF(車両台帳!$BD$57:$BD$2056,EG$3&amp;"-"&amp;512&amp;"A"))</f>
        <v/>
      </c>
      <c r="EH11" s="725" t="str">
        <f>IF(COUNTA(車両台帳!$C$57:$C$2056)=0,"",COUNTIF(車両台帳!$BD$57:$BD$2056,EH$3&amp;"-"&amp;512&amp;"A"))</f>
        <v/>
      </c>
      <c r="EI11" s="725" t="str">
        <f>IF(COUNTA(車両台帳!$C$57:$C$2056)=0,"",COUNTIF(車両台帳!$BD$57:$BD$2056,EI$3&amp;"-"&amp;512&amp;"A"))</f>
        <v/>
      </c>
      <c r="EJ11" s="725" t="str">
        <f>IF(COUNTA(車両台帳!$C$57:$C$2056)=0,"",COUNTIF(車両台帳!$BD$57:$BD$2056,EJ$3&amp;"-"&amp;512&amp;"A"))</f>
        <v/>
      </c>
      <c r="EK11" s="725" t="str">
        <f>IF(COUNTA(車両台帳!$C$57:$C$2056)=0,"",COUNTIF(車両台帳!$BD$57:$BD$2056,EK$3&amp;"-"&amp;512&amp;"A"))</f>
        <v/>
      </c>
      <c r="EL11" s="725" t="str">
        <f>IF(COUNTA(車両台帳!$C$57:$C$2056)=0,"",COUNTIF(車両台帳!$BD$57:$BD$2056,EL$3&amp;"-"&amp;512&amp;"A"))</f>
        <v/>
      </c>
      <c r="EM11" s="725" t="str">
        <f>IF(COUNTA(車両台帳!$C$57:$C$2056)=0,"",COUNTIF(車両台帳!$BD$57:$BD$2056,EM$3&amp;"-"&amp;512&amp;"A"))</f>
        <v/>
      </c>
      <c r="EN11" s="725" t="str">
        <f>IF(COUNTA(車両台帳!$C$57:$C$2056)=0,"",COUNTIF(車両台帳!$BD$57:$BD$2056,EN$3&amp;"-"&amp;512&amp;"A"))</f>
        <v/>
      </c>
      <c r="EO11" s="725" t="str">
        <f>IF(COUNTA(車両台帳!$C$57:$C$2056)=0,"",COUNTIF(車両台帳!$BD$57:$BD$2056,EO$3&amp;"-"&amp;512&amp;"A"))</f>
        <v/>
      </c>
      <c r="EP11" s="725" t="str">
        <f>IF(COUNTA(車両台帳!$C$57:$C$2056)=0,"",COUNTIF(車両台帳!$BD$57:$BD$2056,EP$3&amp;"-"&amp;512&amp;"A"))</f>
        <v/>
      </c>
      <c r="EQ11" s="725" t="str">
        <f>IF(COUNTA(車両台帳!$C$57:$C$2056)=0,"",COUNTIF(車両台帳!$BD$57:$BD$2056,EQ$3&amp;"-"&amp;512&amp;"A"))</f>
        <v/>
      </c>
      <c r="ER11" s="725" t="str">
        <f>IF(COUNTA(車両台帳!$C$57:$C$2056)=0,"",COUNTIF(車両台帳!$BD$57:$BD$2056,ER$3&amp;"-"&amp;512&amp;"A"))</f>
        <v/>
      </c>
      <c r="ES11" s="725" t="str">
        <f>IF(COUNTA(車両台帳!$C$57:$C$2056)=0,"",COUNTIF(車両台帳!$BD$57:$BD$2056,ES$3&amp;"-"&amp;512&amp;"A"))</f>
        <v/>
      </c>
      <c r="ET11" s="725" t="str">
        <f>IF(COUNTA(車両台帳!$C$57:$C$2056)=0,"",COUNTIF(車両台帳!$BD$57:$BD$2056,ET$3&amp;"-"&amp;512&amp;"A"))</f>
        <v/>
      </c>
      <c r="EU11" s="725" t="str">
        <f>IF(COUNTA(車両台帳!$C$57:$C$2056)=0,"",COUNTIF(車両台帳!$BD$57:$BD$2056,EU$3&amp;"-"&amp;512&amp;"A"))</f>
        <v/>
      </c>
      <c r="EV11" s="725" t="str">
        <f>IF(COUNTA(車両台帳!$C$57:$C$2056)=0,"",COUNTIF(車両台帳!$BD$57:$BD$2056,EV$3&amp;"-"&amp;512&amp;"A"))</f>
        <v/>
      </c>
      <c r="EW11" s="725" t="str">
        <f>IF(COUNTA(車両台帳!$C$57:$C$2056)=0,"",COUNTIF(車両台帳!$BD$57:$BD$2056,EW$3&amp;"-"&amp;512&amp;"A"))</f>
        <v/>
      </c>
      <c r="EX11" s="725" t="str">
        <f>IF(COUNTA(車両台帳!$C$57:$C$2056)=0,"",COUNTIF(車両台帳!$BD$57:$BD$2056,EX$3&amp;"-"&amp;512&amp;"A"))</f>
        <v/>
      </c>
      <c r="EY11" s="725" t="str">
        <f>IF(COUNTA(車両台帳!$C$57:$C$2056)=0,"",COUNTIF(車両台帳!$BD$57:$BD$2056,EY$3&amp;"-"&amp;512&amp;"A"))</f>
        <v/>
      </c>
      <c r="EZ11" s="725" t="str">
        <f>IF(COUNTA(車両台帳!$C$57:$C$2056)=0,"",COUNTIF(車両台帳!$BD$57:$BD$2056,EZ$3&amp;"-"&amp;512&amp;"A"))</f>
        <v/>
      </c>
      <c r="FA11" s="725" t="str">
        <f>IF(COUNTA(車両台帳!$C$57:$C$2056)=0,"",COUNTIF(車両台帳!$BD$57:$BD$2056,FA$3&amp;"-"&amp;512&amp;"A"))</f>
        <v/>
      </c>
      <c r="FB11" s="725" t="str">
        <f>IF(COUNTA(車両台帳!$C$57:$C$2056)=0,"",COUNTIF(車両台帳!$BD$57:$BD$2056,FB$3&amp;"-"&amp;512&amp;"A"))</f>
        <v/>
      </c>
      <c r="FC11" s="725" t="str">
        <f>IF(COUNTA(車両台帳!$C$57:$C$2056)=0,"",COUNTIF(車両台帳!$BD$57:$BD$2056,FC$3&amp;"-"&amp;512&amp;"A"))</f>
        <v/>
      </c>
      <c r="FD11" s="725" t="str">
        <f>IF(COUNTA(車両台帳!$C$57:$C$2056)=0,"",COUNTIF(車両台帳!$BD$57:$BD$2056,FD$3&amp;"-"&amp;512&amp;"A"))</f>
        <v/>
      </c>
      <c r="FE11" s="725" t="str">
        <f>IF(COUNTA(車両台帳!$C$57:$C$2056)=0,"",COUNTIF(車両台帳!$BD$57:$BD$2056,FE$3&amp;"-"&amp;512&amp;"A"))</f>
        <v/>
      </c>
      <c r="FF11" s="725" t="str">
        <f>IF(COUNTA(車両台帳!$C$57:$C$2056)=0,"",COUNTIF(車両台帳!$BD$57:$BD$2056,FF$3&amp;"-"&amp;512&amp;"A"))</f>
        <v/>
      </c>
      <c r="FG11" s="725" t="str">
        <f>IF(COUNTA(車両台帳!$C$57:$C$2056)=0,"",COUNTIF(車両台帳!$BD$57:$BD$2056,FG$3&amp;"-"&amp;512&amp;"A"))</f>
        <v/>
      </c>
      <c r="FH11" s="725" t="str">
        <f>IF(COUNTA(車両台帳!$C$57:$C$2056)=0,"",COUNTIF(車両台帳!$BD$57:$BD$2056,FH$3&amp;"-"&amp;512&amp;"A"))</f>
        <v/>
      </c>
      <c r="FI11" s="725" t="str">
        <f>IF(COUNTA(車両台帳!$C$57:$C$2056)=0,"",COUNTIF(車両台帳!$BD$57:$BD$2056,FI$3&amp;"-"&amp;512&amp;"A"))</f>
        <v/>
      </c>
      <c r="FJ11" s="725" t="str">
        <f>IF(COUNTA(車両台帳!$C$57:$C$2056)=0,"",COUNTIF(車両台帳!$BD$57:$BD$2056,FJ$3&amp;"-"&amp;512&amp;"A"))</f>
        <v/>
      </c>
      <c r="FK11" s="725" t="str">
        <f>IF(COUNTA(車両台帳!$C$57:$C$2056)=0,"",COUNTIF(車両台帳!$BD$57:$BD$2056,FK$3&amp;"-"&amp;512&amp;"A"))</f>
        <v/>
      </c>
      <c r="FL11" s="725" t="str">
        <f>IF(COUNTA(車両台帳!$C$57:$C$2056)=0,"",COUNTIF(車両台帳!$BD$57:$BD$2056,FL$3&amp;"-"&amp;512&amp;"A"))</f>
        <v/>
      </c>
      <c r="FM11" s="725" t="str">
        <f>IF(COUNTA(車両台帳!$C$57:$C$2056)=0,"",COUNTIF(車両台帳!$BD$57:$BD$2056,FM$3&amp;"-"&amp;512&amp;"A"))</f>
        <v/>
      </c>
      <c r="FN11" s="725" t="str">
        <f>IF(COUNTA(車両台帳!$C$57:$C$2056)=0,"",COUNTIF(車両台帳!$BD$57:$BD$2056,FN$3&amp;"-"&amp;512&amp;"A"))</f>
        <v/>
      </c>
      <c r="FO11" s="725" t="str">
        <f>IF(COUNTA(車両台帳!$C$57:$C$2056)=0,"",COUNTIF(車両台帳!$BD$57:$BD$2056,FO$3&amp;"-"&amp;512&amp;"A"))</f>
        <v/>
      </c>
      <c r="FP11" s="725" t="str">
        <f>IF(COUNTA(車両台帳!$C$57:$C$2056)=0,"",COUNTIF(車両台帳!$BD$57:$BD$2056,FP$3&amp;"-"&amp;512&amp;"A"))</f>
        <v/>
      </c>
      <c r="FQ11" s="725" t="str">
        <f>IF(COUNTA(車両台帳!$C$57:$C$2056)=0,"",COUNTIF(車両台帳!$BD$57:$BD$2056,FQ$3&amp;"-"&amp;512&amp;"A"))</f>
        <v/>
      </c>
      <c r="FR11" s="725" t="str">
        <f>IF(COUNTA(車両台帳!$C$57:$C$2056)=0,"",COUNTIF(車両台帳!$BD$57:$BD$2056,FR$3&amp;"-"&amp;512&amp;"A"))</f>
        <v/>
      </c>
      <c r="FS11" s="725" t="str">
        <f>IF(COUNTA(車両台帳!$C$57:$C$2056)=0,"",COUNTIF(車両台帳!$BD$57:$BD$2056,FS$3&amp;"-"&amp;512&amp;"A"))</f>
        <v/>
      </c>
      <c r="FT11" s="725" t="str">
        <f>IF(COUNTA(車両台帳!$C$57:$C$2056)=0,"",COUNTIF(車両台帳!$BD$57:$BD$2056,FT$3&amp;"-"&amp;512&amp;"A"))</f>
        <v/>
      </c>
      <c r="FU11" s="725" t="str">
        <f>IF(COUNTA(車両台帳!$C$57:$C$2056)=0,"",COUNTIF(車両台帳!$BD$57:$BD$2056,FU$3&amp;"-"&amp;512&amp;"A"))</f>
        <v/>
      </c>
      <c r="FV11" s="725" t="str">
        <f>IF(COUNTA(車両台帳!$C$57:$C$2056)=0,"",COUNTIF(車両台帳!$BD$57:$BD$2056,FV$3&amp;"-"&amp;512&amp;"A"))</f>
        <v/>
      </c>
      <c r="FW11" s="725" t="str">
        <f>IF(COUNTA(車両台帳!$C$57:$C$2056)=0,"",COUNTIF(車両台帳!$BD$57:$BD$2056,FW$3&amp;"-"&amp;512&amp;"A"))</f>
        <v/>
      </c>
      <c r="FX11" s="725" t="str">
        <f>IF(COUNTA(車両台帳!$C$57:$C$2056)=0,"",COUNTIF(車両台帳!$BD$57:$BD$2056,FX$3&amp;"-"&amp;512&amp;"A"))</f>
        <v/>
      </c>
      <c r="FY11" s="725" t="str">
        <f>IF(COUNTA(車両台帳!$C$57:$C$2056)=0,"",COUNTIF(車両台帳!$BD$57:$BD$2056,FY$3&amp;"-"&amp;512&amp;"A"))</f>
        <v/>
      </c>
      <c r="FZ11" s="725" t="str">
        <f>IF(COUNTA(車両台帳!$C$57:$C$2056)=0,"",COUNTIF(車両台帳!$BD$57:$BD$2056,FZ$3&amp;"-"&amp;512&amp;"A"))</f>
        <v/>
      </c>
      <c r="GA11" s="725" t="str">
        <f>IF(COUNTA(車両台帳!$C$57:$C$2056)=0,"",COUNTIF(車両台帳!$BD$57:$BD$2056,GA$3&amp;"-"&amp;512&amp;"A"))</f>
        <v/>
      </c>
      <c r="GB11" s="725" t="str">
        <f>IF(COUNTA(車両台帳!$C$57:$C$2056)=0,"",COUNTIF(車両台帳!$BD$57:$BD$2056,GB$3&amp;"-"&amp;512&amp;"A"))</f>
        <v/>
      </c>
      <c r="GC11" s="725" t="str">
        <f>IF(COUNTA(車両台帳!$C$57:$C$2056)=0,"",COUNTIF(車両台帳!$BD$57:$BD$2056,GC$3&amp;"-"&amp;512&amp;"A"))</f>
        <v/>
      </c>
      <c r="GD11" s="725" t="str">
        <f>IF(COUNTA(車両台帳!$C$57:$C$2056)=0,"",COUNTIF(車両台帳!$BD$57:$BD$2056,GD$3&amp;"-"&amp;512&amp;"A"))</f>
        <v/>
      </c>
      <c r="GE11" s="725" t="str">
        <f>IF(COUNTA(車両台帳!$C$57:$C$2056)=0,"",COUNTIF(車両台帳!$BD$57:$BD$2056,GE$3&amp;"-"&amp;512&amp;"A"))</f>
        <v/>
      </c>
      <c r="GF11" s="725" t="str">
        <f>IF(COUNTA(車両台帳!$C$57:$C$2056)=0,"",COUNTIF(車両台帳!$BD$57:$BD$2056,GF$3&amp;"-"&amp;512&amp;"A"))</f>
        <v/>
      </c>
      <c r="GG11" s="725" t="str">
        <f>IF(COUNTA(車両台帳!$C$57:$C$2056)=0,"",COUNTIF(車両台帳!$BD$57:$BD$2056,GG$3&amp;"-"&amp;512&amp;"A"))</f>
        <v/>
      </c>
      <c r="GH11" s="725" t="str">
        <f>IF(COUNTA(車両台帳!$C$57:$C$2056)=0,"",COUNTIF(車両台帳!$BD$57:$BD$2056,GH$3&amp;"-"&amp;512&amp;"A"))</f>
        <v/>
      </c>
      <c r="GI11" s="725" t="str">
        <f>IF(COUNTA(車両台帳!$C$57:$C$2056)=0,"",COUNTIF(車両台帳!$BD$57:$BD$2056,GI$3&amp;"-"&amp;512&amp;"A"))</f>
        <v/>
      </c>
      <c r="GJ11" s="725" t="str">
        <f>IF(COUNTA(車両台帳!$C$57:$C$2056)=0,"",COUNTIF(車両台帳!$BD$57:$BD$2056,GJ$3&amp;"-"&amp;512&amp;"A"))</f>
        <v/>
      </c>
      <c r="GK11" s="725" t="str">
        <f>IF(COUNTA(車両台帳!$C$57:$C$2056)=0,"",COUNTIF(車両台帳!$BD$57:$BD$2056,GK$3&amp;"-"&amp;512&amp;"A"))</f>
        <v/>
      </c>
      <c r="GL11" s="725" t="str">
        <f>IF(COUNTA(車両台帳!$C$57:$C$2056)=0,"",COUNTIF(車両台帳!$BD$57:$BD$2056,GL$3&amp;"-"&amp;512&amp;"A"))</f>
        <v/>
      </c>
      <c r="GM11" s="725" t="str">
        <f>IF(COUNTA(車両台帳!$C$57:$C$2056)=0,"",COUNTIF(車両台帳!$BD$57:$BD$2056,GM$3&amp;"-"&amp;512&amp;"A"))</f>
        <v/>
      </c>
      <c r="GN11" s="725" t="str">
        <f>IF(COUNTA(車両台帳!$C$57:$C$2056)=0,"",COUNTIF(車両台帳!$BD$57:$BD$2056,GN$3&amp;"-"&amp;512&amp;"A"))</f>
        <v/>
      </c>
      <c r="GO11" s="725" t="str">
        <f>IF(COUNTA(車両台帳!$C$57:$C$2056)=0,"",COUNTIF(車両台帳!$BD$57:$BD$2056,GO$3&amp;"-"&amp;512&amp;"A"))</f>
        <v/>
      </c>
      <c r="GP11" s="725" t="str">
        <f>IF(COUNTA(車両台帳!$C$57:$C$2056)=0,"",COUNTIF(車両台帳!$BD$57:$BD$2056,GP$3&amp;"-"&amp;512&amp;"A"))</f>
        <v/>
      </c>
      <c r="GQ11" s="725" t="str">
        <f>IF(COUNTA(車両台帳!$C$57:$C$2056)=0,"",COUNTIF(車両台帳!$BD$57:$BD$2056,GQ$3&amp;"-"&amp;512&amp;"A"))</f>
        <v/>
      </c>
      <c r="GR11" s="725" t="str">
        <f>IF(COUNTA(車両台帳!$C$57:$C$2056)=0,"",COUNTIF(車両台帳!$BD$57:$BD$2056,GR$3&amp;"-"&amp;512&amp;"A"))</f>
        <v/>
      </c>
      <c r="GS11" s="725" t="str">
        <f>IF(COUNTA(車両台帳!$C$57:$C$2056)=0,"",COUNTIF(車両台帳!$BD$57:$BD$2056,GS$3&amp;"-"&amp;512&amp;"A"))</f>
        <v/>
      </c>
      <c r="GT11" s="725" t="str">
        <f>IF(COUNTA(車両台帳!$C$57:$C$2056)=0,"",COUNTIF(車両台帳!$BD$57:$BD$2056,GT$3&amp;"-"&amp;512&amp;"A"))</f>
        <v/>
      </c>
      <c r="GU11" s="726" t="str">
        <f>IF(COUNTA(車両台帳!$C$57:$C$2056)=0,"",COUNTIF(車両台帳!$BD$57:$BD$2056,GU$3&amp;"-"&amp;512&amp;"A"))</f>
        <v/>
      </c>
    </row>
    <row r="12" spans="1:203" s="7" customFormat="1" ht="29.25" customHeight="1">
      <c r="A12" s="1184"/>
      <c r="B12" s="715" t="s">
        <v>52</v>
      </c>
      <c r="C12" s="720" t="str">
        <f>IF(COUNTA(車両台帳!$C$57:$C$2056)=0,"",SUM(D12:GU12))</f>
        <v/>
      </c>
      <c r="D12" s="725" t="str">
        <f>IF(COUNTA(車両台帳!$C$57:$C$2056)=0,"",COUNTIF(車両台帳!$BD$57:$BD$2056,D$3&amp;"-"&amp;513&amp;"A"))</f>
        <v/>
      </c>
      <c r="E12" s="725" t="str">
        <f>IF(COUNTA(車両台帳!$C$57:$C$2056)=0,"",COUNTIF(車両台帳!$BD$57:$BD$2056,E$3&amp;"-"&amp;513&amp;"A"))</f>
        <v/>
      </c>
      <c r="F12" s="725" t="str">
        <f>IF(COUNTA(車両台帳!$C$57:$C$2056)=0,"",COUNTIF(車両台帳!$BD$57:$BD$2056,F$3&amp;"-"&amp;513&amp;"A"))</f>
        <v/>
      </c>
      <c r="G12" s="725" t="str">
        <f>IF(COUNTA(車両台帳!$C$57:$C$2056)=0,"",COUNTIF(車両台帳!$BD$57:$BD$2056,G$3&amp;"-"&amp;513&amp;"A"))</f>
        <v/>
      </c>
      <c r="H12" s="725" t="str">
        <f>IF(COUNTA(車両台帳!$C$57:$C$2056)=0,"",COUNTIF(車両台帳!$BD$57:$BD$2056,H$3&amp;"-"&amp;513&amp;"A"))</f>
        <v/>
      </c>
      <c r="I12" s="725" t="str">
        <f>IF(COUNTA(車両台帳!$C$57:$C$2056)=0,"",COUNTIF(車両台帳!$BD$57:$BD$2056,I$3&amp;"-"&amp;513&amp;"A"))</f>
        <v/>
      </c>
      <c r="J12" s="725" t="str">
        <f>IF(COUNTA(車両台帳!$C$57:$C$2056)=0,"",COUNTIF(車両台帳!$BD$57:$BD$2056,J$3&amp;"-"&amp;513&amp;"A"))</f>
        <v/>
      </c>
      <c r="K12" s="725" t="str">
        <f>IF(COUNTA(車両台帳!$C$57:$C$2056)=0,"",COUNTIF(車両台帳!$BD$57:$BD$2056,K$3&amp;"-"&amp;513&amp;"A"))</f>
        <v/>
      </c>
      <c r="L12" s="725" t="str">
        <f>IF(COUNTA(車両台帳!$C$57:$C$2056)=0,"",COUNTIF(車両台帳!$BD$57:$BD$2056,L$3&amp;"-"&amp;513&amp;"A"))</f>
        <v/>
      </c>
      <c r="M12" s="725" t="str">
        <f>IF(COUNTA(車両台帳!$C$57:$C$2056)=0,"",COUNTIF(車両台帳!$BD$57:$BD$2056,M$3&amp;"-"&amp;513&amp;"A"))</f>
        <v/>
      </c>
      <c r="N12" s="725" t="str">
        <f>IF(COUNTA(車両台帳!$C$57:$C$2056)=0,"",COUNTIF(車両台帳!$BD$57:$BD$2056,N$3&amp;"-"&amp;513&amp;"A"))</f>
        <v/>
      </c>
      <c r="O12" s="725" t="str">
        <f>IF(COUNTA(車両台帳!$C$57:$C$2056)=0,"",COUNTIF(車両台帳!$BD$57:$BD$2056,O$3&amp;"-"&amp;513&amp;"A"))</f>
        <v/>
      </c>
      <c r="P12" s="725" t="str">
        <f>IF(COUNTA(車両台帳!$C$57:$C$2056)=0,"",COUNTIF(車両台帳!$BD$57:$BD$2056,P$3&amp;"-"&amp;513&amp;"A"))</f>
        <v/>
      </c>
      <c r="Q12" s="725" t="str">
        <f>IF(COUNTA(車両台帳!$C$57:$C$2056)=0,"",COUNTIF(車両台帳!$BD$57:$BD$2056,Q$3&amp;"-"&amp;513&amp;"A"))</f>
        <v/>
      </c>
      <c r="R12" s="725" t="str">
        <f>IF(COUNTA(車両台帳!$C$57:$C$2056)=0,"",COUNTIF(車両台帳!$BD$57:$BD$2056,R$3&amp;"-"&amp;513&amp;"A"))</f>
        <v/>
      </c>
      <c r="S12" s="725" t="str">
        <f>IF(COUNTA(車両台帳!$C$57:$C$2056)=0,"",COUNTIF(車両台帳!$BD$57:$BD$2056,S$3&amp;"-"&amp;513&amp;"A"))</f>
        <v/>
      </c>
      <c r="T12" s="725" t="str">
        <f>IF(COUNTA(車両台帳!$C$57:$C$2056)=0,"",COUNTIF(車両台帳!$BD$57:$BD$2056,T$3&amp;"-"&amp;513&amp;"A"))</f>
        <v/>
      </c>
      <c r="U12" s="725" t="str">
        <f>IF(COUNTA(車両台帳!$C$57:$C$2056)=0,"",COUNTIF(車両台帳!$BD$57:$BD$2056,U$3&amp;"-"&amp;513&amp;"A"))</f>
        <v/>
      </c>
      <c r="V12" s="725" t="str">
        <f>IF(COUNTA(車両台帳!$C$57:$C$2056)=0,"",COUNTIF(車両台帳!$BD$57:$BD$2056,V$3&amp;"-"&amp;513&amp;"A"))</f>
        <v/>
      </c>
      <c r="W12" s="725" t="str">
        <f>IF(COUNTA(車両台帳!$C$57:$C$2056)=0,"",COUNTIF(車両台帳!$BD$57:$BD$2056,W$3&amp;"-"&amp;513&amp;"A"))</f>
        <v/>
      </c>
      <c r="X12" s="725" t="str">
        <f>IF(COUNTA(車両台帳!$C$57:$C$2056)=0,"",COUNTIF(車両台帳!$BD$57:$BD$2056,X$3&amp;"-"&amp;513&amp;"A"))</f>
        <v/>
      </c>
      <c r="Y12" s="725" t="str">
        <f>IF(COUNTA(車両台帳!$C$57:$C$2056)=0,"",COUNTIF(車両台帳!$BD$57:$BD$2056,Y$3&amp;"-"&amp;513&amp;"A"))</f>
        <v/>
      </c>
      <c r="Z12" s="725" t="str">
        <f>IF(COUNTA(車両台帳!$C$57:$C$2056)=0,"",COUNTIF(車両台帳!$BD$57:$BD$2056,Z$3&amp;"-"&amp;513&amp;"A"))</f>
        <v/>
      </c>
      <c r="AA12" s="725" t="str">
        <f>IF(COUNTA(車両台帳!$C$57:$C$2056)=0,"",COUNTIF(車両台帳!$BD$57:$BD$2056,AA$3&amp;"-"&amp;513&amp;"A"))</f>
        <v/>
      </c>
      <c r="AB12" s="725" t="str">
        <f>IF(COUNTA(車両台帳!$C$57:$C$2056)=0,"",COUNTIF(車両台帳!$BD$57:$BD$2056,AB$3&amp;"-"&amp;513&amp;"A"))</f>
        <v/>
      </c>
      <c r="AC12" s="725" t="str">
        <f>IF(COUNTA(車両台帳!$C$57:$C$2056)=0,"",COUNTIF(車両台帳!$BD$57:$BD$2056,AC$3&amp;"-"&amp;513&amp;"A"))</f>
        <v/>
      </c>
      <c r="AD12" s="725" t="str">
        <f>IF(COUNTA(車両台帳!$C$57:$C$2056)=0,"",COUNTIF(車両台帳!$BD$57:$BD$2056,AD$3&amp;"-"&amp;513&amp;"A"))</f>
        <v/>
      </c>
      <c r="AE12" s="725" t="str">
        <f>IF(COUNTA(車両台帳!$C$57:$C$2056)=0,"",COUNTIF(車両台帳!$BD$57:$BD$2056,AE$3&amp;"-"&amp;513&amp;"A"))</f>
        <v/>
      </c>
      <c r="AF12" s="725" t="str">
        <f>IF(COUNTA(車両台帳!$C$57:$C$2056)=0,"",COUNTIF(車両台帳!$BD$57:$BD$2056,AF$3&amp;"-"&amp;513&amp;"A"))</f>
        <v/>
      </c>
      <c r="AG12" s="725" t="str">
        <f>IF(COUNTA(車両台帳!$C$57:$C$2056)=0,"",COUNTIF(車両台帳!$BD$57:$BD$2056,AG$3&amp;"-"&amp;513&amp;"A"))</f>
        <v/>
      </c>
      <c r="AH12" s="725" t="str">
        <f>IF(COUNTA(車両台帳!$C$57:$C$2056)=0,"",COUNTIF(車両台帳!$BD$57:$BD$2056,AH$3&amp;"-"&amp;513&amp;"A"))</f>
        <v/>
      </c>
      <c r="AI12" s="725" t="str">
        <f>IF(COUNTA(車両台帳!$C$57:$C$2056)=0,"",COUNTIF(車両台帳!$BD$57:$BD$2056,AI$3&amp;"-"&amp;513&amp;"A"))</f>
        <v/>
      </c>
      <c r="AJ12" s="725" t="str">
        <f>IF(COUNTA(車両台帳!$C$57:$C$2056)=0,"",COUNTIF(車両台帳!$BD$57:$BD$2056,AJ$3&amp;"-"&amp;513&amp;"A"))</f>
        <v/>
      </c>
      <c r="AK12" s="725" t="str">
        <f>IF(COUNTA(車両台帳!$C$57:$C$2056)=0,"",COUNTIF(車両台帳!$BD$57:$BD$2056,AK$3&amp;"-"&amp;513&amp;"A"))</f>
        <v/>
      </c>
      <c r="AL12" s="725" t="str">
        <f>IF(COUNTA(車両台帳!$C$57:$C$2056)=0,"",COUNTIF(車両台帳!$BD$57:$BD$2056,AL$3&amp;"-"&amp;513&amp;"A"))</f>
        <v/>
      </c>
      <c r="AM12" s="725" t="str">
        <f>IF(COUNTA(車両台帳!$C$57:$C$2056)=0,"",COUNTIF(車両台帳!$BD$57:$BD$2056,AM$3&amp;"-"&amp;513&amp;"A"))</f>
        <v/>
      </c>
      <c r="AN12" s="725" t="str">
        <f>IF(COUNTA(車両台帳!$C$57:$C$2056)=0,"",COUNTIF(車両台帳!$BD$57:$BD$2056,AN$3&amp;"-"&amp;513&amp;"A"))</f>
        <v/>
      </c>
      <c r="AO12" s="725" t="str">
        <f>IF(COUNTA(車両台帳!$C$57:$C$2056)=0,"",COUNTIF(車両台帳!$BD$57:$BD$2056,AO$3&amp;"-"&amp;513&amp;"A"))</f>
        <v/>
      </c>
      <c r="AP12" s="725" t="str">
        <f>IF(COUNTA(車両台帳!$C$57:$C$2056)=0,"",COUNTIF(車両台帳!$BD$57:$BD$2056,AP$3&amp;"-"&amp;513&amp;"A"))</f>
        <v/>
      </c>
      <c r="AQ12" s="725" t="str">
        <f>IF(COUNTA(車両台帳!$C$57:$C$2056)=0,"",COUNTIF(車両台帳!$BD$57:$BD$2056,AQ$3&amp;"-"&amp;513&amp;"A"))</f>
        <v/>
      </c>
      <c r="AR12" s="725" t="str">
        <f>IF(COUNTA(車両台帳!$C$57:$C$2056)=0,"",COUNTIF(車両台帳!$BD$57:$BD$2056,AR$3&amp;"-"&amp;513&amp;"A"))</f>
        <v/>
      </c>
      <c r="AS12" s="725" t="str">
        <f>IF(COUNTA(車両台帳!$C$57:$C$2056)=0,"",COUNTIF(車両台帳!$BD$57:$BD$2056,AS$3&amp;"-"&amp;513&amp;"A"))</f>
        <v/>
      </c>
      <c r="AT12" s="725" t="str">
        <f>IF(COUNTA(車両台帳!$C$57:$C$2056)=0,"",COUNTIF(車両台帳!$BD$57:$BD$2056,AT$3&amp;"-"&amp;513&amp;"A"))</f>
        <v/>
      </c>
      <c r="AU12" s="725" t="str">
        <f>IF(COUNTA(車両台帳!$C$57:$C$2056)=0,"",COUNTIF(車両台帳!$BD$57:$BD$2056,AU$3&amp;"-"&amp;513&amp;"A"))</f>
        <v/>
      </c>
      <c r="AV12" s="725" t="str">
        <f>IF(COUNTA(車両台帳!$C$57:$C$2056)=0,"",COUNTIF(車両台帳!$BD$57:$BD$2056,AV$3&amp;"-"&amp;513&amp;"A"))</f>
        <v/>
      </c>
      <c r="AW12" s="725" t="str">
        <f>IF(COUNTA(車両台帳!$C$57:$C$2056)=0,"",COUNTIF(車両台帳!$BD$57:$BD$2056,AW$3&amp;"-"&amp;513&amp;"A"))</f>
        <v/>
      </c>
      <c r="AX12" s="725" t="str">
        <f>IF(COUNTA(車両台帳!$C$57:$C$2056)=0,"",COUNTIF(車両台帳!$BD$57:$BD$2056,AX$3&amp;"-"&amp;513&amp;"A"))</f>
        <v/>
      </c>
      <c r="AY12" s="725" t="str">
        <f>IF(COUNTA(車両台帳!$C$57:$C$2056)=0,"",COUNTIF(車両台帳!$BD$57:$BD$2056,AY$3&amp;"-"&amp;513&amp;"A"))</f>
        <v/>
      </c>
      <c r="AZ12" s="725" t="str">
        <f>IF(COUNTA(車両台帳!$C$57:$C$2056)=0,"",COUNTIF(車両台帳!$BD$57:$BD$2056,AZ$3&amp;"-"&amp;513&amp;"A"))</f>
        <v/>
      </c>
      <c r="BA12" s="725" t="str">
        <f>IF(COUNTA(車両台帳!$C$57:$C$2056)=0,"",COUNTIF(車両台帳!$BD$57:$BD$2056,BA$3&amp;"-"&amp;513&amp;"A"))</f>
        <v/>
      </c>
      <c r="BB12" s="725" t="str">
        <f>IF(COUNTA(車両台帳!$C$57:$C$2056)=0,"",COUNTIF(車両台帳!$BD$57:$BD$2056,BB$3&amp;"-"&amp;513&amp;"A"))</f>
        <v/>
      </c>
      <c r="BC12" s="725" t="str">
        <f>IF(COUNTA(車両台帳!$C$57:$C$2056)=0,"",COUNTIF(車両台帳!$BD$57:$BD$2056,BC$3&amp;"-"&amp;513&amp;"A"))</f>
        <v/>
      </c>
      <c r="BD12" s="725" t="str">
        <f>IF(COUNTA(車両台帳!$C$57:$C$2056)=0,"",COUNTIF(車両台帳!$BD$57:$BD$2056,BD$3&amp;"-"&amp;513&amp;"A"))</f>
        <v/>
      </c>
      <c r="BE12" s="725" t="str">
        <f>IF(COUNTA(車両台帳!$C$57:$C$2056)=0,"",COUNTIF(車両台帳!$BD$57:$BD$2056,BE$3&amp;"-"&amp;513&amp;"A"))</f>
        <v/>
      </c>
      <c r="BF12" s="725" t="str">
        <f>IF(COUNTA(車両台帳!$C$57:$C$2056)=0,"",COUNTIF(車両台帳!$BD$57:$BD$2056,BF$3&amp;"-"&amp;513&amp;"A"))</f>
        <v/>
      </c>
      <c r="BG12" s="725" t="str">
        <f>IF(COUNTA(車両台帳!$C$57:$C$2056)=0,"",COUNTIF(車両台帳!$BD$57:$BD$2056,BG$3&amp;"-"&amp;513&amp;"A"))</f>
        <v/>
      </c>
      <c r="BH12" s="725" t="str">
        <f>IF(COUNTA(車両台帳!$C$57:$C$2056)=0,"",COUNTIF(車両台帳!$BD$57:$BD$2056,BH$3&amp;"-"&amp;513&amp;"A"))</f>
        <v/>
      </c>
      <c r="BI12" s="725" t="str">
        <f>IF(COUNTA(車両台帳!$C$57:$C$2056)=0,"",COUNTIF(車両台帳!$BD$57:$BD$2056,BI$3&amp;"-"&amp;513&amp;"A"))</f>
        <v/>
      </c>
      <c r="BJ12" s="725" t="str">
        <f>IF(COUNTA(車両台帳!$C$57:$C$2056)=0,"",COUNTIF(車両台帳!$BD$57:$BD$2056,BJ$3&amp;"-"&amp;513&amp;"A"))</f>
        <v/>
      </c>
      <c r="BK12" s="725" t="str">
        <f>IF(COUNTA(車両台帳!$C$57:$C$2056)=0,"",COUNTIF(車両台帳!$BD$57:$BD$2056,BK$3&amp;"-"&amp;513&amp;"A"))</f>
        <v/>
      </c>
      <c r="BL12" s="725" t="str">
        <f>IF(COUNTA(車両台帳!$C$57:$C$2056)=0,"",COUNTIF(車両台帳!$BD$57:$BD$2056,BL$3&amp;"-"&amp;513&amp;"A"))</f>
        <v/>
      </c>
      <c r="BM12" s="725" t="str">
        <f>IF(COUNTA(車両台帳!$C$57:$C$2056)=0,"",COUNTIF(車両台帳!$BD$57:$BD$2056,BM$3&amp;"-"&amp;513&amp;"A"))</f>
        <v/>
      </c>
      <c r="BN12" s="725" t="str">
        <f>IF(COUNTA(車両台帳!$C$57:$C$2056)=0,"",COUNTIF(車両台帳!$BD$57:$BD$2056,BN$3&amp;"-"&amp;513&amp;"A"))</f>
        <v/>
      </c>
      <c r="BO12" s="725" t="str">
        <f>IF(COUNTA(車両台帳!$C$57:$C$2056)=0,"",COUNTIF(車両台帳!$BD$57:$BD$2056,BO$3&amp;"-"&amp;513&amp;"A"))</f>
        <v/>
      </c>
      <c r="BP12" s="725" t="str">
        <f>IF(COUNTA(車両台帳!$C$57:$C$2056)=0,"",COUNTIF(車両台帳!$BD$57:$BD$2056,BP$3&amp;"-"&amp;513&amp;"A"))</f>
        <v/>
      </c>
      <c r="BQ12" s="725" t="str">
        <f>IF(COUNTA(車両台帳!$C$57:$C$2056)=0,"",COUNTIF(車両台帳!$BD$57:$BD$2056,BQ$3&amp;"-"&amp;513&amp;"A"))</f>
        <v/>
      </c>
      <c r="BR12" s="725" t="str">
        <f>IF(COUNTA(車両台帳!$C$57:$C$2056)=0,"",COUNTIF(車両台帳!$BD$57:$BD$2056,BR$3&amp;"-"&amp;513&amp;"A"))</f>
        <v/>
      </c>
      <c r="BS12" s="725" t="str">
        <f>IF(COUNTA(車両台帳!$C$57:$C$2056)=0,"",COUNTIF(車両台帳!$BD$57:$BD$2056,BS$3&amp;"-"&amp;513&amp;"A"))</f>
        <v/>
      </c>
      <c r="BT12" s="725" t="str">
        <f>IF(COUNTA(車両台帳!$C$57:$C$2056)=0,"",COUNTIF(車両台帳!$BD$57:$BD$2056,BT$3&amp;"-"&amp;513&amp;"A"))</f>
        <v/>
      </c>
      <c r="BU12" s="725" t="str">
        <f>IF(COUNTA(車両台帳!$C$57:$C$2056)=0,"",COUNTIF(車両台帳!$BD$57:$BD$2056,BU$3&amp;"-"&amp;513&amp;"A"))</f>
        <v/>
      </c>
      <c r="BV12" s="725" t="str">
        <f>IF(COUNTA(車両台帳!$C$57:$C$2056)=0,"",COUNTIF(車両台帳!$BD$57:$BD$2056,BV$3&amp;"-"&amp;513&amp;"A"))</f>
        <v/>
      </c>
      <c r="BW12" s="725" t="str">
        <f>IF(COUNTA(車両台帳!$C$57:$C$2056)=0,"",COUNTIF(車両台帳!$BD$57:$BD$2056,BW$3&amp;"-"&amp;513&amp;"A"))</f>
        <v/>
      </c>
      <c r="BX12" s="725" t="str">
        <f>IF(COUNTA(車両台帳!$C$57:$C$2056)=0,"",COUNTIF(車両台帳!$BD$57:$BD$2056,BX$3&amp;"-"&amp;513&amp;"A"))</f>
        <v/>
      </c>
      <c r="BY12" s="725" t="str">
        <f>IF(COUNTA(車両台帳!$C$57:$C$2056)=0,"",COUNTIF(車両台帳!$BD$57:$BD$2056,BY$3&amp;"-"&amp;513&amp;"A"))</f>
        <v/>
      </c>
      <c r="BZ12" s="725" t="str">
        <f>IF(COUNTA(車両台帳!$C$57:$C$2056)=0,"",COUNTIF(車両台帳!$BD$57:$BD$2056,BZ$3&amp;"-"&amp;513&amp;"A"))</f>
        <v/>
      </c>
      <c r="CA12" s="725" t="str">
        <f>IF(COUNTA(車両台帳!$C$57:$C$2056)=0,"",COUNTIF(車両台帳!$BD$57:$BD$2056,CA$3&amp;"-"&amp;513&amp;"A"))</f>
        <v/>
      </c>
      <c r="CB12" s="725" t="str">
        <f>IF(COUNTA(車両台帳!$C$57:$C$2056)=0,"",COUNTIF(車両台帳!$BD$57:$BD$2056,CB$3&amp;"-"&amp;513&amp;"A"))</f>
        <v/>
      </c>
      <c r="CC12" s="725" t="str">
        <f>IF(COUNTA(車両台帳!$C$57:$C$2056)=0,"",COUNTIF(車両台帳!$BD$57:$BD$2056,CC$3&amp;"-"&amp;513&amp;"A"))</f>
        <v/>
      </c>
      <c r="CD12" s="725" t="str">
        <f>IF(COUNTA(車両台帳!$C$57:$C$2056)=0,"",COUNTIF(車両台帳!$BD$57:$BD$2056,CD$3&amp;"-"&amp;513&amp;"A"))</f>
        <v/>
      </c>
      <c r="CE12" s="725" t="str">
        <f>IF(COUNTA(車両台帳!$C$57:$C$2056)=0,"",COUNTIF(車両台帳!$BD$57:$BD$2056,CE$3&amp;"-"&amp;513&amp;"A"))</f>
        <v/>
      </c>
      <c r="CF12" s="725" t="str">
        <f>IF(COUNTA(車両台帳!$C$57:$C$2056)=0,"",COUNTIF(車両台帳!$BD$57:$BD$2056,CF$3&amp;"-"&amp;513&amp;"A"))</f>
        <v/>
      </c>
      <c r="CG12" s="725" t="str">
        <f>IF(COUNTA(車両台帳!$C$57:$C$2056)=0,"",COUNTIF(車両台帳!$BD$57:$BD$2056,CG$3&amp;"-"&amp;513&amp;"A"))</f>
        <v/>
      </c>
      <c r="CH12" s="725" t="str">
        <f>IF(COUNTA(車両台帳!$C$57:$C$2056)=0,"",COUNTIF(車両台帳!$BD$57:$BD$2056,CH$3&amp;"-"&amp;513&amp;"A"))</f>
        <v/>
      </c>
      <c r="CI12" s="725" t="str">
        <f>IF(COUNTA(車両台帳!$C$57:$C$2056)=0,"",COUNTIF(車両台帳!$BD$57:$BD$2056,CI$3&amp;"-"&amp;513&amp;"A"))</f>
        <v/>
      </c>
      <c r="CJ12" s="725" t="str">
        <f>IF(COUNTA(車両台帳!$C$57:$C$2056)=0,"",COUNTIF(車両台帳!$BD$57:$BD$2056,CJ$3&amp;"-"&amp;513&amp;"A"))</f>
        <v/>
      </c>
      <c r="CK12" s="725" t="str">
        <f>IF(COUNTA(車両台帳!$C$57:$C$2056)=0,"",COUNTIF(車両台帳!$BD$57:$BD$2056,CK$3&amp;"-"&amp;513&amp;"A"))</f>
        <v/>
      </c>
      <c r="CL12" s="725" t="str">
        <f>IF(COUNTA(車両台帳!$C$57:$C$2056)=0,"",COUNTIF(車両台帳!$BD$57:$BD$2056,CL$3&amp;"-"&amp;513&amp;"A"))</f>
        <v/>
      </c>
      <c r="CM12" s="725" t="str">
        <f>IF(COUNTA(車両台帳!$C$57:$C$2056)=0,"",COUNTIF(車両台帳!$BD$57:$BD$2056,CM$3&amp;"-"&amp;513&amp;"A"))</f>
        <v/>
      </c>
      <c r="CN12" s="725" t="str">
        <f>IF(COUNTA(車両台帳!$C$57:$C$2056)=0,"",COUNTIF(車両台帳!$BD$57:$BD$2056,CN$3&amp;"-"&amp;513&amp;"A"))</f>
        <v/>
      </c>
      <c r="CO12" s="725" t="str">
        <f>IF(COUNTA(車両台帳!$C$57:$C$2056)=0,"",COUNTIF(車両台帳!$BD$57:$BD$2056,CO$3&amp;"-"&amp;513&amp;"A"))</f>
        <v/>
      </c>
      <c r="CP12" s="725" t="str">
        <f>IF(COUNTA(車両台帳!$C$57:$C$2056)=0,"",COUNTIF(車両台帳!$BD$57:$BD$2056,CP$3&amp;"-"&amp;513&amp;"A"))</f>
        <v/>
      </c>
      <c r="CQ12" s="725" t="str">
        <f>IF(COUNTA(車両台帳!$C$57:$C$2056)=0,"",COUNTIF(車両台帳!$BD$57:$BD$2056,CQ$3&amp;"-"&amp;513&amp;"A"))</f>
        <v/>
      </c>
      <c r="CR12" s="725" t="str">
        <f>IF(COUNTA(車両台帳!$C$57:$C$2056)=0,"",COUNTIF(車両台帳!$BD$57:$BD$2056,CR$3&amp;"-"&amp;513&amp;"A"))</f>
        <v/>
      </c>
      <c r="CS12" s="725" t="str">
        <f>IF(COUNTA(車両台帳!$C$57:$C$2056)=0,"",COUNTIF(車両台帳!$BD$57:$BD$2056,CS$3&amp;"-"&amp;513&amp;"A"))</f>
        <v/>
      </c>
      <c r="CT12" s="725" t="str">
        <f>IF(COUNTA(車両台帳!$C$57:$C$2056)=0,"",COUNTIF(車両台帳!$BD$57:$BD$2056,CT$3&amp;"-"&amp;513&amp;"A"))</f>
        <v/>
      </c>
      <c r="CU12" s="725" t="str">
        <f>IF(COUNTA(車両台帳!$C$57:$C$2056)=0,"",COUNTIF(車両台帳!$BD$57:$BD$2056,CU$3&amp;"-"&amp;513&amp;"A"))</f>
        <v/>
      </c>
      <c r="CV12" s="725" t="str">
        <f>IF(COUNTA(車両台帳!$C$57:$C$2056)=0,"",COUNTIF(車両台帳!$BD$57:$BD$2056,CV$3&amp;"-"&amp;513&amp;"A"))</f>
        <v/>
      </c>
      <c r="CW12" s="725" t="str">
        <f>IF(COUNTA(車両台帳!$C$57:$C$2056)=0,"",COUNTIF(車両台帳!$BD$57:$BD$2056,CW$3&amp;"-"&amp;513&amp;"A"))</f>
        <v/>
      </c>
      <c r="CX12" s="725" t="str">
        <f>IF(COUNTA(車両台帳!$C$57:$C$2056)=0,"",COUNTIF(車両台帳!$BD$57:$BD$2056,CX$3&amp;"-"&amp;513&amp;"A"))</f>
        <v/>
      </c>
      <c r="CY12" s="725" t="str">
        <f>IF(COUNTA(車両台帳!$C$57:$C$2056)=0,"",COUNTIF(車両台帳!$BD$57:$BD$2056,CY$3&amp;"-"&amp;513&amp;"A"))</f>
        <v/>
      </c>
      <c r="CZ12" s="725" t="str">
        <f>IF(COUNTA(車両台帳!$C$57:$C$2056)=0,"",COUNTIF(車両台帳!$BD$57:$BD$2056,CZ$3&amp;"-"&amp;513&amp;"A"))</f>
        <v/>
      </c>
      <c r="DA12" s="725" t="str">
        <f>IF(COUNTA(車両台帳!$C$57:$C$2056)=0,"",COUNTIF(車両台帳!$BD$57:$BD$2056,DA$3&amp;"-"&amp;513&amp;"A"))</f>
        <v/>
      </c>
      <c r="DB12" s="725" t="str">
        <f>IF(COUNTA(車両台帳!$C$57:$C$2056)=0,"",COUNTIF(車両台帳!$BD$57:$BD$2056,DB$3&amp;"-"&amp;513&amp;"A"))</f>
        <v/>
      </c>
      <c r="DC12" s="725" t="str">
        <f>IF(COUNTA(車両台帳!$C$57:$C$2056)=0,"",COUNTIF(車両台帳!$BD$57:$BD$2056,DC$3&amp;"-"&amp;513&amp;"A"))</f>
        <v/>
      </c>
      <c r="DD12" s="725" t="str">
        <f>IF(COUNTA(車両台帳!$C$57:$C$2056)=0,"",COUNTIF(車両台帳!$BD$57:$BD$2056,DD$3&amp;"-"&amp;513&amp;"A"))</f>
        <v/>
      </c>
      <c r="DE12" s="725" t="str">
        <f>IF(COUNTA(車両台帳!$C$57:$C$2056)=0,"",COUNTIF(車両台帳!$BD$57:$BD$2056,DE$3&amp;"-"&amp;513&amp;"A"))</f>
        <v/>
      </c>
      <c r="DF12" s="725" t="str">
        <f>IF(COUNTA(車両台帳!$C$57:$C$2056)=0,"",COUNTIF(車両台帳!$BD$57:$BD$2056,DF$3&amp;"-"&amp;513&amp;"A"))</f>
        <v/>
      </c>
      <c r="DG12" s="725" t="str">
        <f>IF(COUNTA(車両台帳!$C$57:$C$2056)=0,"",COUNTIF(車両台帳!$BD$57:$BD$2056,DG$3&amp;"-"&amp;513&amp;"A"))</f>
        <v/>
      </c>
      <c r="DH12" s="725" t="str">
        <f>IF(COUNTA(車両台帳!$C$57:$C$2056)=0,"",COUNTIF(車両台帳!$BD$57:$BD$2056,DH$3&amp;"-"&amp;513&amp;"A"))</f>
        <v/>
      </c>
      <c r="DI12" s="725" t="str">
        <f>IF(COUNTA(車両台帳!$C$57:$C$2056)=0,"",COUNTIF(車両台帳!$BD$57:$BD$2056,DI$3&amp;"-"&amp;513&amp;"A"))</f>
        <v/>
      </c>
      <c r="DJ12" s="725" t="str">
        <f>IF(COUNTA(車両台帳!$C$57:$C$2056)=0,"",COUNTIF(車両台帳!$BD$57:$BD$2056,DJ$3&amp;"-"&amp;513&amp;"A"))</f>
        <v/>
      </c>
      <c r="DK12" s="725" t="str">
        <f>IF(COUNTA(車両台帳!$C$57:$C$2056)=0,"",COUNTIF(車両台帳!$BD$57:$BD$2056,DK$3&amp;"-"&amp;513&amp;"A"))</f>
        <v/>
      </c>
      <c r="DL12" s="725" t="str">
        <f>IF(COUNTA(車両台帳!$C$57:$C$2056)=0,"",COUNTIF(車両台帳!$BD$57:$BD$2056,DL$3&amp;"-"&amp;513&amp;"A"))</f>
        <v/>
      </c>
      <c r="DM12" s="725" t="str">
        <f>IF(COUNTA(車両台帳!$C$57:$C$2056)=0,"",COUNTIF(車両台帳!$BD$57:$BD$2056,DM$3&amp;"-"&amp;513&amp;"A"))</f>
        <v/>
      </c>
      <c r="DN12" s="725" t="str">
        <f>IF(COUNTA(車両台帳!$C$57:$C$2056)=0,"",COUNTIF(車両台帳!$BD$57:$BD$2056,DN$3&amp;"-"&amp;513&amp;"A"))</f>
        <v/>
      </c>
      <c r="DO12" s="725" t="str">
        <f>IF(COUNTA(車両台帳!$C$57:$C$2056)=0,"",COUNTIF(車両台帳!$BD$57:$BD$2056,DO$3&amp;"-"&amp;513&amp;"A"))</f>
        <v/>
      </c>
      <c r="DP12" s="725" t="str">
        <f>IF(COUNTA(車両台帳!$C$57:$C$2056)=0,"",COUNTIF(車両台帳!$BD$57:$BD$2056,DP$3&amp;"-"&amp;513&amp;"A"))</f>
        <v/>
      </c>
      <c r="DQ12" s="725" t="str">
        <f>IF(COUNTA(車両台帳!$C$57:$C$2056)=0,"",COUNTIF(車両台帳!$BD$57:$BD$2056,DQ$3&amp;"-"&amp;513&amp;"A"))</f>
        <v/>
      </c>
      <c r="DR12" s="725" t="str">
        <f>IF(COUNTA(車両台帳!$C$57:$C$2056)=0,"",COUNTIF(車両台帳!$BD$57:$BD$2056,DR$3&amp;"-"&amp;513&amp;"A"))</f>
        <v/>
      </c>
      <c r="DS12" s="725" t="str">
        <f>IF(COUNTA(車両台帳!$C$57:$C$2056)=0,"",COUNTIF(車両台帳!$BD$57:$BD$2056,DS$3&amp;"-"&amp;513&amp;"A"))</f>
        <v/>
      </c>
      <c r="DT12" s="725" t="str">
        <f>IF(COUNTA(車両台帳!$C$57:$C$2056)=0,"",COUNTIF(車両台帳!$BD$57:$BD$2056,DT$3&amp;"-"&amp;513&amp;"A"))</f>
        <v/>
      </c>
      <c r="DU12" s="725" t="str">
        <f>IF(COUNTA(車両台帳!$C$57:$C$2056)=0,"",COUNTIF(車両台帳!$BD$57:$BD$2056,DU$3&amp;"-"&amp;513&amp;"A"))</f>
        <v/>
      </c>
      <c r="DV12" s="725" t="str">
        <f>IF(COUNTA(車両台帳!$C$57:$C$2056)=0,"",COUNTIF(車両台帳!$BD$57:$BD$2056,DV$3&amp;"-"&amp;513&amp;"A"))</f>
        <v/>
      </c>
      <c r="DW12" s="725" t="str">
        <f>IF(COUNTA(車両台帳!$C$57:$C$2056)=0,"",COUNTIF(車両台帳!$BD$57:$BD$2056,DW$3&amp;"-"&amp;513&amp;"A"))</f>
        <v/>
      </c>
      <c r="DX12" s="725" t="str">
        <f>IF(COUNTA(車両台帳!$C$57:$C$2056)=0,"",COUNTIF(車両台帳!$BD$57:$BD$2056,DX$3&amp;"-"&amp;513&amp;"A"))</f>
        <v/>
      </c>
      <c r="DY12" s="725" t="str">
        <f>IF(COUNTA(車両台帳!$C$57:$C$2056)=0,"",COUNTIF(車両台帳!$BD$57:$BD$2056,DY$3&amp;"-"&amp;513&amp;"A"))</f>
        <v/>
      </c>
      <c r="DZ12" s="725" t="str">
        <f>IF(COUNTA(車両台帳!$C$57:$C$2056)=0,"",COUNTIF(車両台帳!$BD$57:$BD$2056,DZ$3&amp;"-"&amp;513&amp;"A"))</f>
        <v/>
      </c>
      <c r="EA12" s="725" t="str">
        <f>IF(COUNTA(車両台帳!$C$57:$C$2056)=0,"",COUNTIF(車両台帳!$BD$57:$BD$2056,EA$3&amp;"-"&amp;513&amp;"A"))</f>
        <v/>
      </c>
      <c r="EB12" s="725" t="str">
        <f>IF(COUNTA(車両台帳!$C$57:$C$2056)=0,"",COUNTIF(車両台帳!$BD$57:$BD$2056,EB$3&amp;"-"&amp;513&amp;"A"))</f>
        <v/>
      </c>
      <c r="EC12" s="725" t="str">
        <f>IF(COUNTA(車両台帳!$C$57:$C$2056)=0,"",COUNTIF(車両台帳!$BD$57:$BD$2056,EC$3&amp;"-"&amp;513&amp;"A"))</f>
        <v/>
      </c>
      <c r="ED12" s="725" t="str">
        <f>IF(COUNTA(車両台帳!$C$57:$C$2056)=0,"",COUNTIF(車両台帳!$BD$57:$BD$2056,ED$3&amp;"-"&amp;513&amp;"A"))</f>
        <v/>
      </c>
      <c r="EE12" s="725" t="str">
        <f>IF(COUNTA(車両台帳!$C$57:$C$2056)=0,"",COUNTIF(車両台帳!$BD$57:$BD$2056,EE$3&amp;"-"&amp;513&amp;"A"))</f>
        <v/>
      </c>
      <c r="EF12" s="725" t="str">
        <f>IF(COUNTA(車両台帳!$C$57:$C$2056)=0,"",COUNTIF(車両台帳!$BD$57:$BD$2056,EF$3&amp;"-"&amp;513&amp;"A"))</f>
        <v/>
      </c>
      <c r="EG12" s="725" t="str">
        <f>IF(COUNTA(車両台帳!$C$57:$C$2056)=0,"",COUNTIF(車両台帳!$BD$57:$BD$2056,EG$3&amp;"-"&amp;513&amp;"A"))</f>
        <v/>
      </c>
      <c r="EH12" s="725" t="str">
        <f>IF(COUNTA(車両台帳!$C$57:$C$2056)=0,"",COUNTIF(車両台帳!$BD$57:$BD$2056,EH$3&amp;"-"&amp;513&amp;"A"))</f>
        <v/>
      </c>
      <c r="EI12" s="725" t="str">
        <f>IF(COUNTA(車両台帳!$C$57:$C$2056)=0,"",COUNTIF(車両台帳!$BD$57:$BD$2056,EI$3&amp;"-"&amp;513&amp;"A"))</f>
        <v/>
      </c>
      <c r="EJ12" s="725" t="str">
        <f>IF(COUNTA(車両台帳!$C$57:$C$2056)=0,"",COUNTIF(車両台帳!$BD$57:$BD$2056,EJ$3&amp;"-"&amp;513&amp;"A"))</f>
        <v/>
      </c>
      <c r="EK12" s="725" t="str">
        <f>IF(COUNTA(車両台帳!$C$57:$C$2056)=0,"",COUNTIF(車両台帳!$BD$57:$BD$2056,EK$3&amp;"-"&amp;513&amp;"A"))</f>
        <v/>
      </c>
      <c r="EL12" s="725" t="str">
        <f>IF(COUNTA(車両台帳!$C$57:$C$2056)=0,"",COUNTIF(車両台帳!$BD$57:$BD$2056,EL$3&amp;"-"&amp;513&amp;"A"))</f>
        <v/>
      </c>
      <c r="EM12" s="725" t="str">
        <f>IF(COUNTA(車両台帳!$C$57:$C$2056)=0,"",COUNTIF(車両台帳!$BD$57:$BD$2056,EM$3&amp;"-"&amp;513&amp;"A"))</f>
        <v/>
      </c>
      <c r="EN12" s="725" t="str">
        <f>IF(COUNTA(車両台帳!$C$57:$C$2056)=0,"",COUNTIF(車両台帳!$BD$57:$BD$2056,EN$3&amp;"-"&amp;513&amp;"A"))</f>
        <v/>
      </c>
      <c r="EO12" s="725" t="str">
        <f>IF(COUNTA(車両台帳!$C$57:$C$2056)=0,"",COUNTIF(車両台帳!$BD$57:$BD$2056,EO$3&amp;"-"&amp;513&amp;"A"))</f>
        <v/>
      </c>
      <c r="EP12" s="725" t="str">
        <f>IF(COUNTA(車両台帳!$C$57:$C$2056)=0,"",COUNTIF(車両台帳!$BD$57:$BD$2056,EP$3&amp;"-"&amp;513&amp;"A"))</f>
        <v/>
      </c>
      <c r="EQ12" s="725" t="str">
        <f>IF(COUNTA(車両台帳!$C$57:$C$2056)=0,"",COUNTIF(車両台帳!$BD$57:$BD$2056,EQ$3&amp;"-"&amp;513&amp;"A"))</f>
        <v/>
      </c>
      <c r="ER12" s="725" t="str">
        <f>IF(COUNTA(車両台帳!$C$57:$C$2056)=0,"",COUNTIF(車両台帳!$BD$57:$BD$2056,ER$3&amp;"-"&amp;513&amp;"A"))</f>
        <v/>
      </c>
      <c r="ES12" s="725" t="str">
        <f>IF(COUNTA(車両台帳!$C$57:$C$2056)=0,"",COUNTIF(車両台帳!$BD$57:$BD$2056,ES$3&amp;"-"&amp;513&amp;"A"))</f>
        <v/>
      </c>
      <c r="ET12" s="725" t="str">
        <f>IF(COUNTA(車両台帳!$C$57:$C$2056)=0,"",COUNTIF(車両台帳!$BD$57:$BD$2056,ET$3&amp;"-"&amp;513&amp;"A"))</f>
        <v/>
      </c>
      <c r="EU12" s="725" t="str">
        <f>IF(COUNTA(車両台帳!$C$57:$C$2056)=0,"",COUNTIF(車両台帳!$BD$57:$BD$2056,EU$3&amp;"-"&amp;513&amp;"A"))</f>
        <v/>
      </c>
      <c r="EV12" s="725" t="str">
        <f>IF(COUNTA(車両台帳!$C$57:$C$2056)=0,"",COUNTIF(車両台帳!$BD$57:$BD$2056,EV$3&amp;"-"&amp;513&amp;"A"))</f>
        <v/>
      </c>
      <c r="EW12" s="725" t="str">
        <f>IF(COUNTA(車両台帳!$C$57:$C$2056)=0,"",COUNTIF(車両台帳!$BD$57:$BD$2056,EW$3&amp;"-"&amp;513&amp;"A"))</f>
        <v/>
      </c>
      <c r="EX12" s="725" t="str">
        <f>IF(COUNTA(車両台帳!$C$57:$C$2056)=0,"",COUNTIF(車両台帳!$BD$57:$BD$2056,EX$3&amp;"-"&amp;513&amp;"A"))</f>
        <v/>
      </c>
      <c r="EY12" s="725" t="str">
        <f>IF(COUNTA(車両台帳!$C$57:$C$2056)=0,"",COUNTIF(車両台帳!$BD$57:$BD$2056,EY$3&amp;"-"&amp;513&amp;"A"))</f>
        <v/>
      </c>
      <c r="EZ12" s="725" t="str">
        <f>IF(COUNTA(車両台帳!$C$57:$C$2056)=0,"",COUNTIF(車両台帳!$BD$57:$BD$2056,EZ$3&amp;"-"&amp;513&amp;"A"))</f>
        <v/>
      </c>
      <c r="FA12" s="725" t="str">
        <f>IF(COUNTA(車両台帳!$C$57:$C$2056)=0,"",COUNTIF(車両台帳!$BD$57:$BD$2056,FA$3&amp;"-"&amp;513&amp;"A"))</f>
        <v/>
      </c>
      <c r="FB12" s="725" t="str">
        <f>IF(COUNTA(車両台帳!$C$57:$C$2056)=0,"",COUNTIF(車両台帳!$BD$57:$BD$2056,FB$3&amp;"-"&amp;513&amp;"A"))</f>
        <v/>
      </c>
      <c r="FC12" s="725" t="str">
        <f>IF(COUNTA(車両台帳!$C$57:$C$2056)=0,"",COUNTIF(車両台帳!$BD$57:$BD$2056,FC$3&amp;"-"&amp;513&amp;"A"))</f>
        <v/>
      </c>
      <c r="FD12" s="725" t="str">
        <f>IF(COUNTA(車両台帳!$C$57:$C$2056)=0,"",COUNTIF(車両台帳!$BD$57:$BD$2056,FD$3&amp;"-"&amp;513&amp;"A"))</f>
        <v/>
      </c>
      <c r="FE12" s="725" t="str">
        <f>IF(COUNTA(車両台帳!$C$57:$C$2056)=0,"",COUNTIF(車両台帳!$BD$57:$BD$2056,FE$3&amp;"-"&amp;513&amp;"A"))</f>
        <v/>
      </c>
      <c r="FF12" s="725" t="str">
        <f>IF(COUNTA(車両台帳!$C$57:$C$2056)=0,"",COUNTIF(車両台帳!$BD$57:$BD$2056,FF$3&amp;"-"&amp;513&amp;"A"))</f>
        <v/>
      </c>
      <c r="FG12" s="725" t="str">
        <f>IF(COUNTA(車両台帳!$C$57:$C$2056)=0,"",COUNTIF(車両台帳!$BD$57:$BD$2056,FG$3&amp;"-"&amp;513&amp;"A"))</f>
        <v/>
      </c>
      <c r="FH12" s="725" t="str">
        <f>IF(COUNTA(車両台帳!$C$57:$C$2056)=0,"",COUNTIF(車両台帳!$BD$57:$BD$2056,FH$3&amp;"-"&amp;513&amp;"A"))</f>
        <v/>
      </c>
      <c r="FI12" s="725" t="str">
        <f>IF(COUNTA(車両台帳!$C$57:$C$2056)=0,"",COUNTIF(車両台帳!$BD$57:$BD$2056,FI$3&amp;"-"&amp;513&amp;"A"))</f>
        <v/>
      </c>
      <c r="FJ12" s="725" t="str">
        <f>IF(COUNTA(車両台帳!$C$57:$C$2056)=0,"",COUNTIF(車両台帳!$BD$57:$BD$2056,FJ$3&amp;"-"&amp;513&amp;"A"))</f>
        <v/>
      </c>
      <c r="FK12" s="725" t="str">
        <f>IF(COUNTA(車両台帳!$C$57:$C$2056)=0,"",COUNTIF(車両台帳!$BD$57:$BD$2056,FK$3&amp;"-"&amp;513&amp;"A"))</f>
        <v/>
      </c>
      <c r="FL12" s="725" t="str">
        <f>IF(COUNTA(車両台帳!$C$57:$C$2056)=0,"",COUNTIF(車両台帳!$BD$57:$BD$2056,FL$3&amp;"-"&amp;513&amp;"A"))</f>
        <v/>
      </c>
      <c r="FM12" s="725" t="str">
        <f>IF(COUNTA(車両台帳!$C$57:$C$2056)=0,"",COUNTIF(車両台帳!$BD$57:$BD$2056,FM$3&amp;"-"&amp;513&amp;"A"))</f>
        <v/>
      </c>
      <c r="FN12" s="725" t="str">
        <f>IF(COUNTA(車両台帳!$C$57:$C$2056)=0,"",COUNTIF(車両台帳!$BD$57:$BD$2056,FN$3&amp;"-"&amp;513&amp;"A"))</f>
        <v/>
      </c>
      <c r="FO12" s="725" t="str">
        <f>IF(COUNTA(車両台帳!$C$57:$C$2056)=0,"",COUNTIF(車両台帳!$BD$57:$BD$2056,FO$3&amp;"-"&amp;513&amp;"A"))</f>
        <v/>
      </c>
      <c r="FP12" s="725" t="str">
        <f>IF(COUNTA(車両台帳!$C$57:$C$2056)=0,"",COUNTIF(車両台帳!$BD$57:$BD$2056,FP$3&amp;"-"&amp;513&amp;"A"))</f>
        <v/>
      </c>
      <c r="FQ12" s="725" t="str">
        <f>IF(COUNTA(車両台帳!$C$57:$C$2056)=0,"",COUNTIF(車両台帳!$BD$57:$BD$2056,FQ$3&amp;"-"&amp;513&amp;"A"))</f>
        <v/>
      </c>
      <c r="FR12" s="725" t="str">
        <f>IF(COUNTA(車両台帳!$C$57:$C$2056)=0,"",COUNTIF(車両台帳!$BD$57:$BD$2056,FR$3&amp;"-"&amp;513&amp;"A"))</f>
        <v/>
      </c>
      <c r="FS12" s="725" t="str">
        <f>IF(COUNTA(車両台帳!$C$57:$C$2056)=0,"",COUNTIF(車両台帳!$BD$57:$BD$2056,FS$3&amp;"-"&amp;513&amp;"A"))</f>
        <v/>
      </c>
      <c r="FT12" s="725" t="str">
        <f>IF(COUNTA(車両台帳!$C$57:$C$2056)=0,"",COUNTIF(車両台帳!$BD$57:$BD$2056,FT$3&amp;"-"&amp;513&amp;"A"))</f>
        <v/>
      </c>
      <c r="FU12" s="725" t="str">
        <f>IF(COUNTA(車両台帳!$C$57:$C$2056)=0,"",COUNTIF(車両台帳!$BD$57:$BD$2056,FU$3&amp;"-"&amp;513&amp;"A"))</f>
        <v/>
      </c>
      <c r="FV12" s="725" t="str">
        <f>IF(COUNTA(車両台帳!$C$57:$C$2056)=0,"",COUNTIF(車両台帳!$BD$57:$BD$2056,FV$3&amp;"-"&amp;513&amp;"A"))</f>
        <v/>
      </c>
      <c r="FW12" s="725" t="str">
        <f>IF(COUNTA(車両台帳!$C$57:$C$2056)=0,"",COUNTIF(車両台帳!$BD$57:$BD$2056,FW$3&amp;"-"&amp;513&amp;"A"))</f>
        <v/>
      </c>
      <c r="FX12" s="725" t="str">
        <f>IF(COUNTA(車両台帳!$C$57:$C$2056)=0,"",COUNTIF(車両台帳!$BD$57:$BD$2056,FX$3&amp;"-"&amp;513&amp;"A"))</f>
        <v/>
      </c>
      <c r="FY12" s="725" t="str">
        <f>IF(COUNTA(車両台帳!$C$57:$C$2056)=0,"",COUNTIF(車両台帳!$BD$57:$BD$2056,FY$3&amp;"-"&amp;513&amp;"A"))</f>
        <v/>
      </c>
      <c r="FZ12" s="725" t="str">
        <f>IF(COUNTA(車両台帳!$C$57:$C$2056)=0,"",COUNTIF(車両台帳!$BD$57:$BD$2056,FZ$3&amp;"-"&amp;513&amp;"A"))</f>
        <v/>
      </c>
      <c r="GA12" s="725" t="str">
        <f>IF(COUNTA(車両台帳!$C$57:$C$2056)=0,"",COUNTIF(車両台帳!$BD$57:$BD$2056,GA$3&amp;"-"&amp;513&amp;"A"))</f>
        <v/>
      </c>
      <c r="GB12" s="725" t="str">
        <f>IF(COUNTA(車両台帳!$C$57:$C$2056)=0,"",COUNTIF(車両台帳!$BD$57:$BD$2056,GB$3&amp;"-"&amp;513&amp;"A"))</f>
        <v/>
      </c>
      <c r="GC12" s="725" t="str">
        <f>IF(COUNTA(車両台帳!$C$57:$C$2056)=0,"",COUNTIF(車両台帳!$BD$57:$BD$2056,GC$3&amp;"-"&amp;513&amp;"A"))</f>
        <v/>
      </c>
      <c r="GD12" s="725" t="str">
        <f>IF(COUNTA(車両台帳!$C$57:$C$2056)=0,"",COUNTIF(車両台帳!$BD$57:$BD$2056,GD$3&amp;"-"&amp;513&amp;"A"))</f>
        <v/>
      </c>
      <c r="GE12" s="725" t="str">
        <f>IF(COUNTA(車両台帳!$C$57:$C$2056)=0,"",COUNTIF(車両台帳!$BD$57:$BD$2056,GE$3&amp;"-"&amp;513&amp;"A"))</f>
        <v/>
      </c>
      <c r="GF12" s="725" t="str">
        <f>IF(COUNTA(車両台帳!$C$57:$C$2056)=0,"",COUNTIF(車両台帳!$BD$57:$BD$2056,GF$3&amp;"-"&amp;513&amp;"A"))</f>
        <v/>
      </c>
      <c r="GG12" s="725" t="str">
        <f>IF(COUNTA(車両台帳!$C$57:$C$2056)=0,"",COUNTIF(車両台帳!$BD$57:$BD$2056,GG$3&amp;"-"&amp;513&amp;"A"))</f>
        <v/>
      </c>
      <c r="GH12" s="725" t="str">
        <f>IF(COUNTA(車両台帳!$C$57:$C$2056)=0,"",COUNTIF(車両台帳!$BD$57:$BD$2056,GH$3&amp;"-"&amp;513&amp;"A"))</f>
        <v/>
      </c>
      <c r="GI12" s="725" t="str">
        <f>IF(COUNTA(車両台帳!$C$57:$C$2056)=0,"",COUNTIF(車両台帳!$BD$57:$BD$2056,GI$3&amp;"-"&amp;513&amp;"A"))</f>
        <v/>
      </c>
      <c r="GJ12" s="725" t="str">
        <f>IF(COUNTA(車両台帳!$C$57:$C$2056)=0,"",COUNTIF(車両台帳!$BD$57:$BD$2056,GJ$3&amp;"-"&amp;513&amp;"A"))</f>
        <v/>
      </c>
      <c r="GK12" s="725" t="str">
        <f>IF(COUNTA(車両台帳!$C$57:$C$2056)=0,"",COUNTIF(車両台帳!$BD$57:$BD$2056,GK$3&amp;"-"&amp;513&amp;"A"))</f>
        <v/>
      </c>
      <c r="GL12" s="725" t="str">
        <f>IF(COUNTA(車両台帳!$C$57:$C$2056)=0,"",COUNTIF(車両台帳!$BD$57:$BD$2056,GL$3&amp;"-"&amp;513&amp;"A"))</f>
        <v/>
      </c>
      <c r="GM12" s="725" t="str">
        <f>IF(COUNTA(車両台帳!$C$57:$C$2056)=0,"",COUNTIF(車両台帳!$BD$57:$BD$2056,GM$3&amp;"-"&amp;513&amp;"A"))</f>
        <v/>
      </c>
      <c r="GN12" s="725" t="str">
        <f>IF(COUNTA(車両台帳!$C$57:$C$2056)=0,"",COUNTIF(車両台帳!$BD$57:$BD$2056,GN$3&amp;"-"&amp;513&amp;"A"))</f>
        <v/>
      </c>
      <c r="GO12" s="725" t="str">
        <f>IF(COUNTA(車両台帳!$C$57:$C$2056)=0,"",COUNTIF(車両台帳!$BD$57:$BD$2056,GO$3&amp;"-"&amp;513&amp;"A"))</f>
        <v/>
      </c>
      <c r="GP12" s="725" t="str">
        <f>IF(COUNTA(車両台帳!$C$57:$C$2056)=0,"",COUNTIF(車両台帳!$BD$57:$BD$2056,GP$3&amp;"-"&amp;513&amp;"A"))</f>
        <v/>
      </c>
      <c r="GQ12" s="725" t="str">
        <f>IF(COUNTA(車両台帳!$C$57:$C$2056)=0,"",COUNTIF(車両台帳!$BD$57:$BD$2056,GQ$3&amp;"-"&amp;513&amp;"A"))</f>
        <v/>
      </c>
      <c r="GR12" s="725" t="str">
        <f>IF(COUNTA(車両台帳!$C$57:$C$2056)=0,"",COUNTIF(車両台帳!$BD$57:$BD$2056,GR$3&amp;"-"&amp;513&amp;"A"))</f>
        <v/>
      </c>
      <c r="GS12" s="725" t="str">
        <f>IF(COUNTA(車両台帳!$C$57:$C$2056)=0,"",COUNTIF(車両台帳!$BD$57:$BD$2056,GS$3&amp;"-"&amp;513&amp;"A"))</f>
        <v/>
      </c>
      <c r="GT12" s="725" t="str">
        <f>IF(COUNTA(車両台帳!$C$57:$C$2056)=0,"",COUNTIF(車両台帳!$BD$57:$BD$2056,GT$3&amp;"-"&amp;513&amp;"A"))</f>
        <v/>
      </c>
      <c r="GU12" s="726" t="str">
        <f>IF(COUNTA(車両台帳!$C$57:$C$2056)=0,"",COUNTIF(車両台帳!$BD$57:$BD$2056,GU$3&amp;"-"&amp;513&amp;"A"))</f>
        <v/>
      </c>
    </row>
    <row r="13" spans="1:203" s="7" customFormat="1" ht="29.25" customHeight="1" thickBot="1">
      <c r="A13" s="1185"/>
      <c r="B13" s="715" t="s">
        <v>44</v>
      </c>
      <c r="C13" s="727" t="str">
        <f>IF(COUNTA(車両台帳!$C$57:$C$2056)=0,"",SUM(D13:GU13))</f>
        <v/>
      </c>
      <c r="D13" s="728" t="str">
        <f>IF(COUNTA(車両台帳!$C$57:$C$2056)=0,"",COUNTIF(車両台帳!$BD$57:$BD$2056,D$3&amp;"-"&amp;514&amp;"A")+COUNTIF(車両台帳!$BD$57:$BD$2056,D$3&amp;"-"&amp;515&amp;"A"))</f>
        <v/>
      </c>
      <c r="E13" s="728" t="str">
        <f>IF(COUNTA(車両台帳!$C$57:$C$2056)=0,"",COUNTIF(車両台帳!$BD$57:$BD$2056,E$3&amp;"-"&amp;514&amp;"A")+COUNTIF(車両台帳!$BD$57:$BD$2056,E$3&amp;"-"&amp;515&amp;"A"))</f>
        <v/>
      </c>
      <c r="F13" s="728" t="str">
        <f>IF(COUNTA(車両台帳!$C$57:$C$2056)=0,"",COUNTIF(車両台帳!$BD$57:$BD$2056,F$3&amp;"-"&amp;514&amp;"A")+COUNTIF(車両台帳!$BD$57:$BD$2056,F$3&amp;"-"&amp;515&amp;"A"))</f>
        <v/>
      </c>
      <c r="G13" s="728" t="str">
        <f>IF(COUNTA(車両台帳!$C$57:$C$2056)=0,"",COUNTIF(車両台帳!$BD$57:$BD$2056,G$3&amp;"-"&amp;514&amp;"A")+COUNTIF(車両台帳!$BD$57:$BD$2056,G$3&amp;"-"&amp;515&amp;"A"))</f>
        <v/>
      </c>
      <c r="H13" s="728" t="str">
        <f>IF(COUNTA(車両台帳!$C$57:$C$2056)=0,"",COUNTIF(車両台帳!$BD$57:$BD$2056,H$3&amp;"-"&amp;514&amp;"A")+COUNTIF(車両台帳!$BD$57:$BD$2056,H$3&amp;"-"&amp;515&amp;"A"))</f>
        <v/>
      </c>
      <c r="I13" s="728" t="str">
        <f>IF(COUNTA(車両台帳!$C$57:$C$2056)=0,"",COUNTIF(車両台帳!$BD$57:$BD$2056,I$3&amp;"-"&amp;514&amp;"A")+COUNTIF(車両台帳!$BD$57:$BD$2056,I$3&amp;"-"&amp;515&amp;"A"))</f>
        <v/>
      </c>
      <c r="J13" s="728" t="str">
        <f>IF(COUNTA(車両台帳!$C$57:$C$2056)=0,"",COUNTIF(車両台帳!$BD$57:$BD$2056,J$3&amp;"-"&amp;514&amp;"A")+COUNTIF(車両台帳!$BD$57:$BD$2056,J$3&amp;"-"&amp;515&amp;"A"))</f>
        <v/>
      </c>
      <c r="K13" s="728" t="str">
        <f>IF(COUNTA(車両台帳!$C$57:$C$2056)=0,"",COUNTIF(車両台帳!$BD$57:$BD$2056,K$3&amp;"-"&amp;514&amp;"A")+COUNTIF(車両台帳!$BD$57:$BD$2056,K$3&amp;"-"&amp;515&amp;"A"))</f>
        <v/>
      </c>
      <c r="L13" s="728" t="str">
        <f>IF(COUNTA(車両台帳!$C$57:$C$2056)=0,"",COUNTIF(車両台帳!$BD$57:$BD$2056,L$3&amp;"-"&amp;514&amp;"A")+COUNTIF(車両台帳!$BD$57:$BD$2056,L$3&amp;"-"&amp;515&amp;"A"))</f>
        <v/>
      </c>
      <c r="M13" s="728" t="str">
        <f>IF(COUNTA(車両台帳!$C$57:$C$2056)=0,"",COUNTIF(車両台帳!$BD$57:$BD$2056,M$3&amp;"-"&amp;514&amp;"A")+COUNTIF(車両台帳!$BD$57:$BD$2056,M$3&amp;"-"&amp;515&amp;"A"))</f>
        <v/>
      </c>
      <c r="N13" s="728" t="str">
        <f>IF(COUNTA(車両台帳!$C$57:$C$2056)=0,"",COUNTIF(車両台帳!$BD$57:$BD$2056,N$3&amp;"-"&amp;514&amp;"A")+COUNTIF(車両台帳!$BD$57:$BD$2056,N$3&amp;"-"&amp;515&amp;"A"))</f>
        <v/>
      </c>
      <c r="O13" s="728" t="str">
        <f>IF(COUNTA(車両台帳!$C$57:$C$2056)=0,"",COUNTIF(車両台帳!$BD$57:$BD$2056,O$3&amp;"-"&amp;514&amp;"A")+COUNTIF(車両台帳!$BD$57:$BD$2056,O$3&amp;"-"&amp;515&amp;"A"))</f>
        <v/>
      </c>
      <c r="P13" s="728" t="str">
        <f>IF(COUNTA(車両台帳!$C$57:$C$2056)=0,"",COUNTIF(車両台帳!$BD$57:$BD$2056,P$3&amp;"-"&amp;514&amp;"A")+COUNTIF(車両台帳!$BD$57:$BD$2056,P$3&amp;"-"&amp;515&amp;"A"))</f>
        <v/>
      </c>
      <c r="Q13" s="728" t="str">
        <f>IF(COUNTA(車両台帳!$C$57:$C$2056)=0,"",COUNTIF(車両台帳!$BD$57:$BD$2056,Q$3&amp;"-"&amp;514&amp;"A")+COUNTIF(車両台帳!$BD$57:$BD$2056,Q$3&amp;"-"&amp;515&amp;"A"))</f>
        <v/>
      </c>
      <c r="R13" s="728" t="str">
        <f>IF(COUNTA(車両台帳!$C$57:$C$2056)=0,"",COUNTIF(車両台帳!$BD$57:$BD$2056,R$3&amp;"-"&amp;514&amp;"A")+COUNTIF(車両台帳!$BD$57:$BD$2056,R$3&amp;"-"&amp;515&amp;"A"))</f>
        <v/>
      </c>
      <c r="S13" s="728" t="str">
        <f>IF(COUNTA(車両台帳!$C$57:$C$2056)=0,"",COUNTIF(車両台帳!$BD$57:$BD$2056,S$3&amp;"-"&amp;514&amp;"A")+COUNTIF(車両台帳!$BD$57:$BD$2056,S$3&amp;"-"&amp;515&amp;"A"))</f>
        <v/>
      </c>
      <c r="T13" s="728" t="str">
        <f>IF(COUNTA(車両台帳!$C$57:$C$2056)=0,"",COUNTIF(車両台帳!$BD$57:$BD$2056,T$3&amp;"-"&amp;514&amp;"A")+COUNTIF(車両台帳!$BD$57:$BD$2056,T$3&amp;"-"&amp;515&amp;"A"))</f>
        <v/>
      </c>
      <c r="U13" s="728" t="str">
        <f>IF(COUNTA(車両台帳!$C$57:$C$2056)=0,"",COUNTIF(車両台帳!$BD$57:$BD$2056,U$3&amp;"-"&amp;514&amp;"A")+COUNTIF(車両台帳!$BD$57:$BD$2056,U$3&amp;"-"&amp;515&amp;"A"))</f>
        <v/>
      </c>
      <c r="V13" s="728" t="str">
        <f>IF(COUNTA(車両台帳!$C$57:$C$2056)=0,"",COUNTIF(車両台帳!$BD$57:$BD$2056,V$3&amp;"-"&amp;514&amp;"A")+COUNTIF(車両台帳!$BD$57:$BD$2056,V$3&amp;"-"&amp;515&amp;"A"))</f>
        <v/>
      </c>
      <c r="W13" s="728" t="str">
        <f>IF(COUNTA(車両台帳!$C$57:$C$2056)=0,"",COUNTIF(車両台帳!$BD$57:$BD$2056,W$3&amp;"-"&amp;514&amp;"A")+COUNTIF(車両台帳!$BD$57:$BD$2056,W$3&amp;"-"&amp;515&amp;"A"))</f>
        <v/>
      </c>
      <c r="X13" s="728" t="str">
        <f>IF(COUNTA(車両台帳!$C$57:$C$2056)=0,"",COUNTIF(車両台帳!$BD$57:$BD$2056,X$3&amp;"-"&amp;514&amp;"A")+COUNTIF(車両台帳!$BD$57:$BD$2056,X$3&amp;"-"&amp;515&amp;"A"))</f>
        <v/>
      </c>
      <c r="Y13" s="728" t="str">
        <f>IF(COUNTA(車両台帳!$C$57:$C$2056)=0,"",COUNTIF(車両台帳!$BD$57:$BD$2056,Y$3&amp;"-"&amp;514&amp;"A")+COUNTIF(車両台帳!$BD$57:$BD$2056,Y$3&amp;"-"&amp;515&amp;"A"))</f>
        <v/>
      </c>
      <c r="Z13" s="728" t="str">
        <f>IF(COUNTA(車両台帳!$C$57:$C$2056)=0,"",COUNTIF(車両台帳!$BD$57:$BD$2056,Z$3&amp;"-"&amp;514&amp;"A")+COUNTIF(車両台帳!$BD$57:$BD$2056,Z$3&amp;"-"&amp;515&amp;"A"))</f>
        <v/>
      </c>
      <c r="AA13" s="728" t="str">
        <f>IF(COUNTA(車両台帳!$C$57:$C$2056)=0,"",COUNTIF(車両台帳!$BD$57:$BD$2056,AA$3&amp;"-"&amp;514&amp;"A")+COUNTIF(車両台帳!$BD$57:$BD$2056,AA$3&amp;"-"&amp;515&amp;"A"))</f>
        <v/>
      </c>
      <c r="AB13" s="728" t="str">
        <f>IF(COUNTA(車両台帳!$C$57:$C$2056)=0,"",COUNTIF(車両台帳!$BD$57:$BD$2056,AB$3&amp;"-"&amp;514&amp;"A")+COUNTIF(車両台帳!$BD$57:$BD$2056,AB$3&amp;"-"&amp;515&amp;"A"))</f>
        <v/>
      </c>
      <c r="AC13" s="728" t="str">
        <f>IF(COUNTA(車両台帳!$C$57:$C$2056)=0,"",COUNTIF(車両台帳!$BD$57:$BD$2056,AC$3&amp;"-"&amp;514&amp;"A")+COUNTIF(車両台帳!$BD$57:$BD$2056,AC$3&amp;"-"&amp;515&amp;"A"))</f>
        <v/>
      </c>
      <c r="AD13" s="728" t="str">
        <f>IF(COUNTA(車両台帳!$C$57:$C$2056)=0,"",COUNTIF(車両台帳!$BD$57:$BD$2056,AD$3&amp;"-"&amp;514&amp;"A")+COUNTIF(車両台帳!$BD$57:$BD$2056,AD$3&amp;"-"&amp;515&amp;"A"))</f>
        <v/>
      </c>
      <c r="AE13" s="728" t="str">
        <f>IF(COUNTA(車両台帳!$C$57:$C$2056)=0,"",COUNTIF(車両台帳!$BD$57:$BD$2056,AE$3&amp;"-"&amp;514&amp;"A")+COUNTIF(車両台帳!$BD$57:$BD$2056,AE$3&amp;"-"&amp;515&amp;"A"))</f>
        <v/>
      </c>
      <c r="AF13" s="728" t="str">
        <f>IF(COUNTA(車両台帳!$C$57:$C$2056)=0,"",COUNTIF(車両台帳!$BD$57:$BD$2056,AF$3&amp;"-"&amp;514&amp;"A")+COUNTIF(車両台帳!$BD$57:$BD$2056,AF$3&amp;"-"&amp;515&amp;"A"))</f>
        <v/>
      </c>
      <c r="AG13" s="728" t="str">
        <f>IF(COUNTA(車両台帳!$C$57:$C$2056)=0,"",COUNTIF(車両台帳!$BD$57:$BD$2056,AG$3&amp;"-"&amp;514&amp;"A")+COUNTIF(車両台帳!$BD$57:$BD$2056,AG$3&amp;"-"&amp;515&amp;"A"))</f>
        <v/>
      </c>
      <c r="AH13" s="728" t="str">
        <f>IF(COUNTA(車両台帳!$C$57:$C$2056)=0,"",COUNTIF(車両台帳!$BD$57:$BD$2056,AH$3&amp;"-"&amp;514&amp;"A")+COUNTIF(車両台帳!$BD$57:$BD$2056,AH$3&amp;"-"&amp;515&amp;"A"))</f>
        <v/>
      </c>
      <c r="AI13" s="728" t="str">
        <f>IF(COUNTA(車両台帳!$C$57:$C$2056)=0,"",COUNTIF(車両台帳!$BD$57:$BD$2056,AI$3&amp;"-"&amp;514&amp;"A")+COUNTIF(車両台帳!$BD$57:$BD$2056,AI$3&amp;"-"&amp;515&amp;"A"))</f>
        <v/>
      </c>
      <c r="AJ13" s="728" t="str">
        <f>IF(COUNTA(車両台帳!$C$57:$C$2056)=0,"",COUNTIF(車両台帳!$BD$57:$BD$2056,AJ$3&amp;"-"&amp;514&amp;"A")+COUNTIF(車両台帳!$BD$57:$BD$2056,AJ$3&amp;"-"&amp;515&amp;"A"))</f>
        <v/>
      </c>
      <c r="AK13" s="728" t="str">
        <f>IF(COUNTA(車両台帳!$C$57:$C$2056)=0,"",COUNTIF(車両台帳!$BD$57:$BD$2056,AK$3&amp;"-"&amp;514&amp;"A")+COUNTIF(車両台帳!$BD$57:$BD$2056,AK$3&amp;"-"&amp;515&amp;"A"))</f>
        <v/>
      </c>
      <c r="AL13" s="728" t="str">
        <f>IF(COUNTA(車両台帳!$C$57:$C$2056)=0,"",COUNTIF(車両台帳!$BD$57:$BD$2056,AL$3&amp;"-"&amp;514&amp;"A")+COUNTIF(車両台帳!$BD$57:$BD$2056,AL$3&amp;"-"&amp;515&amp;"A"))</f>
        <v/>
      </c>
      <c r="AM13" s="728" t="str">
        <f>IF(COUNTA(車両台帳!$C$57:$C$2056)=0,"",COUNTIF(車両台帳!$BD$57:$BD$2056,AM$3&amp;"-"&amp;514&amp;"A")+COUNTIF(車両台帳!$BD$57:$BD$2056,AM$3&amp;"-"&amp;515&amp;"A"))</f>
        <v/>
      </c>
      <c r="AN13" s="728" t="str">
        <f>IF(COUNTA(車両台帳!$C$57:$C$2056)=0,"",COUNTIF(車両台帳!$BD$57:$BD$2056,AN$3&amp;"-"&amp;514&amp;"A")+COUNTIF(車両台帳!$BD$57:$BD$2056,AN$3&amp;"-"&amp;515&amp;"A"))</f>
        <v/>
      </c>
      <c r="AO13" s="728" t="str">
        <f>IF(COUNTA(車両台帳!$C$57:$C$2056)=0,"",COUNTIF(車両台帳!$BD$57:$BD$2056,AO$3&amp;"-"&amp;514&amp;"A")+COUNTIF(車両台帳!$BD$57:$BD$2056,AO$3&amp;"-"&amp;515&amp;"A"))</f>
        <v/>
      </c>
      <c r="AP13" s="728" t="str">
        <f>IF(COUNTA(車両台帳!$C$57:$C$2056)=0,"",COUNTIF(車両台帳!$BD$57:$BD$2056,AP$3&amp;"-"&amp;514&amp;"A")+COUNTIF(車両台帳!$BD$57:$BD$2056,AP$3&amp;"-"&amp;515&amp;"A"))</f>
        <v/>
      </c>
      <c r="AQ13" s="728" t="str">
        <f>IF(COUNTA(車両台帳!$C$57:$C$2056)=0,"",COUNTIF(車両台帳!$BD$57:$BD$2056,AQ$3&amp;"-"&amp;514&amp;"A")+COUNTIF(車両台帳!$BD$57:$BD$2056,AQ$3&amp;"-"&amp;515&amp;"A"))</f>
        <v/>
      </c>
      <c r="AR13" s="728" t="str">
        <f>IF(COUNTA(車両台帳!$C$57:$C$2056)=0,"",COUNTIF(車両台帳!$BD$57:$BD$2056,AR$3&amp;"-"&amp;514&amp;"A")+COUNTIF(車両台帳!$BD$57:$BD$2056,AR$3&amp;"-"&amp;515&amp;"A"))</f>
        <v/>
      </c>
      <c r="AS13" s="728" t="str">
        <f>IF(COUNTA(車両台帳!$C$57:$C$2056)=0,"",COUNTIF(車両台帳!$BD$57:$BD$2056,AS$3&amp;"-"&amp;514&amp;"A")+COUNTIF(車両台帳!$BD$57:$BD$2056,AS$3&amp;"-"&amp;515&amp;"A"))</f>
        <v/>
      </c>
      <c r="AT13" s="728" t="str">
        <f>IF(COUNTA(車両台帳!$C$57:$C$2056)=0,"",COUNTIF(車両台帳!$BD$57:$BD$2056,AT$3&amp;"-"&amp;514&amp;"A")+COUNTIF(車両台帳!$BD$57:$BD$2056,AT$3&amp;"-"&amp;515&amp;"A"))</f>
        <v/>
      </c>
      <c r="AU13" s="728" t="str">
        <f>IF(COUNTA(車両台帳!$C$57:$C$2056)=0,"",COUNTIF(車両台帳!$BD$57:$BD$2056,AU$3&amp;"-"&amp;514&amp;"A")+COUNTIF(車両台帳!$BD$57:$BD$2056,AU$3&amp;"-"&amp;515&amp;"A"))</f>
        <v/>
      </c>
      <c r="AV13" s="728" t="str">
        <f>IF(COUNTA(車両台帳!$C$57:$C$2056)=0,"",COUNTIF(車両台帳!$BD$57:$BD$2056,AV$3&amp;"-"&amp;514&amp;"A")+COUNTIF(車両台帳!$BD$57:$BD$2056,AV$3&amp;"-"&amp;515&amp;"A"))</f>
        <v/>
      </c>
      <c r="AW13" s="728" t="str">
        <f>IF(COUNTA(車両台帳!$C$57:$C$2056)=0,"",COUNTIF(車両台帳!$BD$57:$BD$2056,AW$3&amp;"-"&amp;514&amp;"A")+COUNTIF(車両台帳!$BD$57:$BD$2056,AW$3&amp;"-"&amp;515&amp;"A"))</f>
        <v/>
      </c>
      <c r="AX13" s="728" t="str">
        <f>IF(COUNTA(車両台帳!$C$57:$C$2056)=0,"",COUNTIF(車両台帳!$BD$57:$BD$2056,AX$3&amp;"-"&amp;514&amp;"A")+COUNTIF(車両台帳!$BD$57:$BD$2056,AX$3&amp;"-"&amp;515&amp;"A"))</f>
        <v/>
      </c>
      <c r="AY13" s="728" t="str">
        <f>IF(COUNTA(車両台帳!$C$57:$C$2056)=0,"",COUNTIF(車両台帳!$BD$57:$BD$2056,AY$3&amp;"-"&amp;514&amp;"A")+COUNTIF(車両台帳!$BD$57:$BD$2056,AY$3&amp;"-"&amp;515&amp;"A"))</f>
        <v/>
      </c>
      <c r="AZ13" s="728" t="str">
        <f>IF(COUNTA(車両台帳!$C$57:$C$2056)=0,"",COUNTIF(車両台帳!$BD$57:$BD$2056,AZ$3&amp;"-"&amp;514&amp;"A")+COUNTIF(車両台帳!$BD$57:$BD$2056,AZ$3&amp;"-"&amp;515&amp;"A"))</f>
        <v/>
      </c>
      <c r="BA13" s="728" t="str">
        <f>IF(COUNTA(車両台帳!$C$57:$C$2056)=0,"",COUNTIF(車両台帳!$BD$57:$BD$2056,BA$3&amp;"-"&amp;514&amp;"A")+COUNTIF(車両台帳!$BD$57:$BD$2056,BA$3&amp;"-"&amp;515&amp;"A"))</f>
        <v/>
      </c>
      <c r="BB13" s="728" t="str">
        <f>IF(COUNTA(車両台帳!$C$57:$C$2056)=0,"",COUNTIF(車両台帳!$BD$57:$BD$2056,BB$3&amp;"-"&amp;514&amp;"A")+COUNTIF(車両台帳!$BD$57:$BD$2056,BB$3&amp;"-"&amp;515&amp;"A"))</f>
        <v/>
      </c>
      <c r="BC13" s="728" t="str">
        <f>IF(COUNTA(車両台帳!$C$57:$C$2056)=0,"",COUNTIF(車両台帳!$BD$57:$BD$2056,BC$3&amp;"-"&amp;514&amp;"A")+COUNTIF(車両台帳!$BD$57:$BD$2056,BC$3&amp;"-"&amp;515&amp;"A"))</f>
        <v/>
      </c>
      <c r="BD13" s="728" t="str">
        <f>IF(COUNTA(車両台帳!$C$57:$C$2056)=0,"",COUNTIF(車両台帳!$BD$57:$BD$2056,BD$3&amp;"-"&amp;514&amp;"A")+COUNTIF(車両台帳!$BD$57:$BD$2056,BD$3&amp;"-"&amp;515&amp;"A"))</f>
        <v/>
      </c>
      <c r="BE13" s="728" t="str">
        <f>IF(COUNTA(車両台帳!$C$57:$C$2056)=0,"",COUNTIF(車両台帳!$BD$57:$BD$2056,BE$3&amp;"-"&amp;514&amp;"A")+COUNTIF(車両台帳!$BD$57:$BD$2056,BE$3&amp;"-"&amp;515&amp;"A"))</f>
        <v/>
      </c>
      <c r="BF13" s="728" t="str">
        <f>IF(COUNTA(車両台帳!$C$57:$C$2056)=0,"",COUNTIF(車両台帳!$BD$57:$BD$2056,BF$3&amp;"-"&amp;514&amp;"A")+COUNTIF(車両台帳!$BD$57:$BD$2056,BF$3&amp;"-"&amp;515&amp;"A"))</f>
        <v/>
      </c>
      <c r="BG13" s="728" t="str">
        <f>IF(COUNTA(車両台帳!$C$57:$C$2056)=0,"",COUNTIF(車両台帳!$BD$57:$BD$2056,BG$3&amp;"-"&amp;514&amp;"A")+COUNTIF(車両台帳!$BD$57:$BD$2056,BG$3&amp;"-"&amp;515&amp;"A"))</f>
        <v/>
      </c>
      <c r="BH13" s="728" t="str">
        <f>IF(COUNTA(車両台帳!$C$57:$C$2056)=0,"",COUNTIF(車両台帳!$BD$57:$BD$2056,BH$3&amp;"-"&amp;514&amp;"A")+COUNTIF(車両台帳!$BD$57:$BD$2056,BH$3&amp;"-"&amp;515&amp;"A"))</f>
        <v/>
      </c>
      <c r="BI13" s="728" t="str">
        <f>IF(COUNTA(車両台帳!$C$57:$C$2056)=0,"",COUNTIF(車両台帳!$BD$57:$BD$2056,BI$3&amp;"-"&amp;514&amp;"A")+COUNTIF(車両台帳!$BD$57:$BD$2056,BI$3&amp;"-"&amp;515&amp;"A"))</f>
        <v/>
      </c>
      <c r="BJ13" s="728" t="str">
        <f>IF(COUNTA(車両台帳!$C$57:$C$2056)=0,"",COUNTIF(車両台帳!$BD$57:$BD$2056,BJ$3&amp;"-"&amp;514&amp;"A")+COUNTIF(車両台帳!$BD$57:$BD$2056,BJ$3&amp;"-"&amp;515&amp;"A"))</f>
        <v/>
      </c>
      <c r="BK13" s="728" t="str">
        <f>IF(COUNTA(車両台帳!$C$57:$C$2056)=0,"",COUNTIF(車両台帳!$BD$57:$BD$2056,BK$3&amp;"-"&amp;514&amp;"A")+COUNTIF(車両台帳!$BD$57:$BD$2056,BK$3&amp;"-"&amp;515&amp;"A"))</f>
        <v/>
      </c>
      <c r="BL13" s="728" t="str">
        <f>IF(COUNTA(車両台帳!$C$57:$C$2056)=0,"",COUNTIF(車両台帳!$BD$57:$BD$2056,BL$3&amp;"-"&amp;514&amp;"A")+COUNTIF(車両台帳!$BD$57:$BD$2056,BL$3&amp;"-"&amp;515&amp;"A"))</f>
        <v/>
      </c>
      <c r="BM13" s="728" t="str">
        <f>IF(COUNTA(車両台帳!$C$57:$C$2056)=0,"",COUNTIF(車両台帳!$BD$57:$BD$2056,BM$3&amp;"-"&amp;514&amp;"A")+COUNTIF(車両台帳!$BD$57:$BD$2056,BM$3&amp;"-"&amp;515&amp;"A"))</f>
        <v/>
      </c>
      <c r="BN13" s="728" t="str">
        <f>IF(COUNTA(車両台帳!$C$57:$C$2056)=0,"",COUNTIF(車両台帳!$BD$57:$BD$2056,BN$3&amp;"-"&amp;514&amp;"A")+COUNTIF(車両台帳!$BD$57:$BD$2056,BN$3&amp;"-"&amp;515&amp;"A"))</f>
        <v/>
      </c>
      <c r="BO13" s="728" t="str">
        <f>IF(COUNTA(車両台帳!$C$57:$C$2056)=0,"",COUNTIF(車両台帳!$BD$57:$BD$2056,BO$3&amp;"-"&amp;514&amp;"A")+COUNTIF(車両台帳!$BD$57:$BD$2056,BO$3&amp;"-"&amp;515&amp;"A"))</f>
        <v/>
      </c>
      <c r="BP13" s="728" t="str">
        <f>IF(COUNTA(車両台帳!$C$57:$C$2056)=0,"",COUNTIF(車両台帳!$BD$57:$BD$2056,BP$3&amp;"-"&amp;514&amp;"A")+COUNTIF(車両台帳!$BD$57:$BD$2056,BP$3&amp;"-"&amp;515&amp;"A"))</f>
        <v/>
      </c>
      <c r="BQ13" s="728" t="str">
        <f>IF(COUNTA(車両台帳!$C$57:$C$2056)=0,"",COUNTIF(車両台帳!$BD$57:$BD$2056,BQ$3&amp;"-"&amp;514&amp;"A")+COUNTIF(車両台帳!$BD$57:$BD$2056,BQ$3&amp;"-"&amp;515&amp;"A"))</f>
        <v/>
      </c>
      <c r="BR13" s="728" t="str">
        <f>IF(COUNTA(車両台帳!$C$57:$C$2056)=0,"",COUNTIF(車両台帳!$BD$57:$BD$2056,BR$3&amp;"-"&amp;514&amp;"A")+COUNTIF(車両台帳!$BD$57:$BD$2056,BR$3&amp;"-"&amp;515&amp;"A"))</f>
        <v/>
      </c>
      <c r="BS13" s="728" t="str">
        <f>IF(COUNTA(車両台帳!$C$57:$C$2056)=0,"",COUNTIF(車両台帳!$BD$57:$BD$2056,BS$3&amp;"-"&amp;514&amp;"A")+COUNTIF(車両台帳!$BD$57:$BD$2056,BS$3&amp;"-"&amp;515&amp;"A"))</f>
        <v/>
      </c>
      <c r="BT13" s="728" t="str">
        <f>IF(COUNTA(車両台帳!$C$57:$C$2056)=0,"",COUNTIF(車両台帳!$BD$57:$BD$2056,BT$3&amp;"-"&amp;514&amp;"A")+COUNTIF(車両台帳!$BD$57:$BD$2056,BT$3&amp;"-"&amp;515&amp;"A"))</f>
        <v/>
      </c>
      <c r="BU13" s="728" t="str">
        <f>IF(COUNTA(車両台帳!$C$57:$C$2056)=0,"",COUNTIF(車両台帳!$BD$57:$BD$2056,BU$3&amp;"-"&amp;514&amp;"A")+COUNTIF(車両台帳!$BD$57:$BD$2056,BU$3&amp;"-"&amp;515&amp;"A"))</f>
        <v/>
      </c>
      <c r="BV13" s="728" t="str">
        <f>IF(COUNTA(車両台帳!$C$57:$C$2056)=0,"",COUNTIF(車両台帳!$BD$57:$BD$2056,BV$3&amp;"-"&amp;514&amp;"A")+COUNTIF(車両台帳!$BD$57:$BD$2056,BV$3&amp;"-"&amp;515&amp;"A"))</f>
        <v/>
      </c>
      <c r="BW13" s="728" t="str">
        <f>IF(COUNTA(車両台帳!$C$57:$C$2056)=0,"",COUNTIF(車両台帳!$BD$57:$BD$2056,BW$3&amp;"-"&amp;514&amp;"A")+COUNTIF(車両台帳!$BD$57:$BD$2056,BW$3&amp;"-"&amp;515&amp;"A"))</f>
        <v/>
      </c>
      <c r="BX13" s="728" t="str">
        <f>IF(COUNTA(車両台帳!$C$57:$C$2056)=0,"",COUNTIF(車両台帳!$BD$57:$BD$2056,BX$3&amp;"-"&amp;514&amp;"A")+COUNTIF(車両台帳!$BD$57:$BD$2056,BX$3&amp;"-"&amp;515&amp;"A"))</f>
        <v/>
      </c>
      <c r="BY13" s="728" t="str">
        <f>IF(COUNTA(車両台帳!$C$57:$C$2056)=0,"",COUNTIF(車両台帳!$BD$57:$BD$2056,BY$3&amp;"-"&amp;514&amp;"A")+COUNTIF(車両台帳!$BD$57:$BD$2056,BY$3&amp;"-"&amp;515&amp;"A"))</f>
        <v/>
      </c>
      <c r="BZ13" s="728" t="str">
        <f>IF(COUNTA(車両台帳!$C$57:$C$2056)=0,"",COUNTIF(車両台帳!$BD$57:$BD$2056,BZ$3&amp;"-"&amp;514&amp;"A")+COUNTIF(車両台帳!$BD$57:$BD$2056,BZ$3&amp;"-"&amp;515&amp;"A"))</f>
        <v/>
      </c>
      <c r="CA13" s="728" t="str">
        <f>IF(COUNTA(車両台帳!$C$57:$C$2056)=0,"",COUNTIF(車両台帳!$BD$57:$BD$2056,CA$3&amp;"-"&amp;514&amp;"A")+COUNTIF(車両台帳!$BD$57:$BD$2056,CA$3&amp;"-"&amp;515&amp;"A"))</f>
        <v/>
      </c>
      <c r="CB13" s="728" t="str">
        <f>IF(COUNTA(車両台帳!$C$57:$C$2056)=0,"",COUNTIF(車両台帳!$BD$57:$BD$2056,CB$3&amp;"-"&amp;514&amp;"A")+COUNTIF(車両台帳!$BD$57:$BD$2056,CB$3&amp;"-"&amp;515&amp;"A"))</f>
        <v/>
      </c>
      <c r="CC13" s="728" t="str">
        <f>IF(COUNTA(車両台帳!$C$57:$C$2056)=0,"",COUNTIF(車両台帳!$BD$57:$BD$2056,CC$3&amp;"-"&amp;514&amp;"A")+COUNTIF(車両台帳!$BD$57:$BD$2056,CC$3&amp;"-"&amp;515&amp;"A"))</f>
        <v/>
      </c>
      <c r="CD13" s="728" t="str">
        <f>IF(COUNTA(車両台帳!$C$57:$C$2056)=0,"",COUNTIF(車両台帳!$BD$57:$BD$2056,CD$3&amp;"-"&amp;514&amp;"A")+COUNTIF(車両台帳!$BD$57:$BD$2056,CD$3&amp;"-"&amp;515&amp;"A"))</f>
        <v/>
      </c>
      <c r="CE13" s="728" t="str">
        <f>IF(COUNTA(車両台帳!$C$57:$C$2056)=0,"",COUNTIF(車両台帳!$BD$57:$BD$2056,CE$3&amp;"-"&amp;514&amp;"A")+COUNTIF(車両台帳!$BD$57:$BD$2056,CE$3&amp;"-"&amp;515&amp;"A"))</f>
        <v/>
      </c>
      <c r="CF13" s="728" t="str">
        <f>IF(COUNTA(車両台帳!$C$57:$C$2056)=0,"",COUNTIF(車両台帳!$BD$57:$BD$2056,CF$3&amp;"-"&amp;514&amp;"A")+COUNTIF(車両台帳!$BD$57:$BD$2056,CF$3&amp;"-"&amp;515&amp;"A"))</f>
        <v/>
      </c>
      <c r="CG13" s="728" t="str">
        <f>IF(COUNTA(車両台帳!$C$57:$C$2056)=0,"",COUNTIF(車両台帳!$BD$57:$BD$2056,CG$3&amp;"-"&amp;514&amp;"A")+COUNTIF(車両台帳!$BD$57:$BD$2056,CG$3&amp;"-"&amp;515&amp;"A"))</f>
        <v/>
      </c>
      <c r="CH13" s="728" t="str">
        <f>IF(COUNTA(車両台帳!$C$57:$C$2056)=0,"",COUNTIF(車両台帳!$BD$57:$BD$2056,CH$3&amp;"-"&amp;514&amp;"A")+COUNTIF(車両台帳!$BD$57:$BD$2056,CH$3&amp;"-"&amp;515&amp;"A"))</f>
        <v/>
      </c>
      <c r="CI13" s="728" t="str">
        <f>IF(COUNTA(車両台帳!$C$57:$C$2056)=0,"",COUNTIF(車両台帳!$BD$57:$BD$2056,CI$3&amp;"-"&amp;514&amp;"A")+COUNTIF(車両台帳!$BD$57:$BD$2056,CI$3&amp;"-"&amp;515&amp;"A"))</f>
        <v/>
      </c>
      <c r="CJ13" s="728" t="str">
        <f>IF(COUNTA(車両台帳!$C$57:$C$2056)=0,"",COUNTIF(車両台帳!$BD$57:$BD$2056,CJ$3&amp;"-"&amp;514&amp;"A")+COUNTIF(車両台帳!$BD$57:$BD$2056,CJ$3&amp;"-"&amp;515&amp;"A"))</f>
        <v/>
      </c>
      <c r="CK13" s="728" t="str">
        <f>IF(COUNTA(車両台帳!$C$57:$C$2056)=0,"",COUNTIF(車両台帳!$BD$57:$BD$2056,CK$3&amp;"-"&amp;514&amp;"A")+COUNTIF(車両台帳!$BD$57:$BD$2056,CK$3&amp;"-"&amp;515&amp;"A"))</f>
        <v/>
      </c>
      <c r="CL13" s="728" t="str">
        <f>IF(COUNTA(車両台帳!$C$57:$C$2056)=0,"",COUNTIF(車両台帳!$BD$57:$BD$2056,CL$3&amp;"-"&amp;514&amp;"A")+COUNTIF(車両台帳!$BD$57:$BD$2056,CL$3&amp;"-"&amp;515&amp;"A"))</f>
        <v/>
      </c>
      <c r="CM13" s="728" t="str">
        <f>IF(COUNTA(車両台帳!$C$57:$C$2056)=0,"",COUNTIF(車両台帳!$BD$57:$BD$2056,CM$3&amp;"-"&amp;514&amp;"A")+COUNTIF(車両台帳!$BD$57:$BD$2056,CM$3&amp;"-"&amp;515&amp;"A"))</f>
        <v/>
      </c>
      <c r="CN13" s="728" t="str">
        <f>IF(COUNTA(車両台帳!$C$57:$C$2056)=0,"",COUNTIF(車両台帳!$BD$57:$BD$2056,CN$3&amp;"-"&amp;514&amp;"A")+COUNTIF(車両台帳!$BD$57:$BD$2056,CN$3&amp;"-"&amp;515&amp;"A"))</f>
        <v/>
      </c>
      <c r="CO13" s="728" t="str">
        <f>IF(COUNTA(車両台帳!$C$57:$C$2056)=0,"",COUNTIF(車両台帳!$BD$57:$BD$2056,CO$3&amp;"-"&amp;514&amp;"A")+COUNTIF(車両台帳!$BD$57:$BD$2056,CO$3&amp;"-"&amp;515&amp;"A"))</f>
        <v/>
      </c>
      <c r="CP13" s="728" t="str">
        <f>IF(COUNTA(車両台帳!$C$57:$C$2056)=0,"",COUNTIF(車両台帳!$BD$57:$BD$2056,CP$3&amp;"-"&amp;514&amp;"A")+COUNTIF(車両台帳!$BD$57:$BD$2056,CP$3&amp;"-"&amp;515&amp;"A"))</f>
        <v/>
      </c>
      <c r="CQ13" s="728" t="str">
        <f>IF(COUNTA(車両台帳!$C$57:$C$2056)=0,"",COUNTIF(車両台帳!$BD$57:$BD$2056,CQ$3&amp;"-"&amp;514&amp;"A")+COUNTIF(車両台帳!$BD$57:$BD$2056,CQ$3&amp;"-"&amp;515&amp;"A"))</f>
        <v/>
      </c>
      <c r="CR13" s="728" t="str">
        <f>IF(COUNTA(車両台帳!$C$57:$C$2056)=0,"",COUNTIF(車両台帳!$BD$57:$BD$2056,CR$3&amp;"-"&amp;514&amp;"A")+COUNTIF(車両台帳!$BD$57:$BD$2056,CR$3&amp;"-"&amp;515&amp;"A"))</f>
        <v/>
      </c>
      <c r="CS13" s="728" t="str">
        <f>IF(COUNTA(車両台帳!$C$57:$C$2056)=0,"",COUNTIF(車両台帳!$BD$57:$BD$2056,CS$3&amp;"-"&amp;514&amp;"A")+COUNTIF(車両台帳!$BD$57:$BD$2056,CS$3&amp;"-"&amp;515&amp;"A"))</f>
        <v/>
      </c>
      <c r="CT13" s="728" t="str">
        <f>IF(COUNTA(車両台帳!$C$57:$C$2056)=0,"",COUNTIF(車両台帳!$BD$57:$BD$2056,CT$3&amp;"-"&amp;514&amp;"A")+COUNTIF(車両台帳!$BD$57:$BD$2056,CT$3&amp;"-"&amp;515&amp;"A"))</f>
        <v/>
      </c>
      <c r="CU13" s="728" t="str">
        <f>IF(COUNTA(車両台帳!$C$57:$C$2056)=0,"",COUNTIF(車両台帳!$BD$57:$BD$2056,CU$3&amp;"-"&amp;514&amp;"A")+COUNTIF(車両台帳!$BD$57:$BD$2056,CU$3&amp;"-"&amp;515&amp;"A"))</f>
        <v/>
      </c>
      <c r="CV13" s="728" t="str">
        <f>IF(COUNTA(車両台帳!$C$57:$C$2056)=0,"",COUNTIF(車両台帳!$BD$57:$BD$2056,CV$3&amp;"-"&amp;514&amp;"A")+COUNTIF(車両台帳!$BD$57:$BD$2056,CV$3&amp;"-"&amp;515&amp;"A"))</f>
        <v/>
      </c>
      <c r="CW13" s="728" t="str">
        <f>IF(COUNTA(車両台帳!$C$57:$C$2056)=0,"",COUNTIF(車両台帳!$BD$57:$BD$2056,CW$3&amp;"-"&amp;514&amp;"A")+COUNTIF(車両台帳!$BD$57:$BD$2056,CW$3&amp;"-"&amp;515&amp;"A"))</f>
        <v/>
      </c>
      <c r="CX13" s="728" t="str">
        <f>IF(COUNTA(車両台帳!$C$57:$C$2056)=0,"",COUNTIF(車両台帳!$BD$57:$BD$2056,CX$3&amp;"-"&amp;514&amp;"A")+COUNTIF(車両台帳!$BD$57:$BD$2056,CX$3&amp;"-"&amp;515&amp;"A"))</f>
        <v/>
      </c>
      <c r="CY13" s="728" t="str">
        <f>IF(COUNTA(車両台帳!$C$57:$C$2056)=0,"",COUNTIF(車両台帳!$BD$57:$BD$2056,CY$3&amp;"-"&amp;514&amp;"A")+COUNTIF(車両台帳!$BD$57:$BD$2056,CY$3&amp;"-"&amp;515&amp;"A"))</f>
        <v/>
      </c>
      <c r="CZ13" s="728" t="str">
        <f>IF(COUNTA(車両台帳!$C$57:$C$2056)=0,"",COUNTIF(車両台帳!$BD$57:$BD$2056,CZ$3&amp;"-"&amp;514&amp;"A")+COUNTIF(車両台帳!$BD$57:$BD$2056,CZ$3&amp;"-"&amp;515&amp;"A"))</f>
        <v/>
      </c>
      <c r="DA13" s="728" t="str">
        <f>IF(COUNTA(車両台帳!$C$57:$C$2056)=0,"",COUNTIF(車両台帳!$BD$57:$BD$2056,DA$3&amp;"-"&amp;514&amp;"A")+COUNTIF(車両台帳!$BD$57:$BD$2056,DA$3&amp;"-"&amp;515&amp;"A"))</f>
        <v/>
      </c>
      <c r="DB13" s="728" t="str">
        <f>IF(COUNTA(車両台帳!$C$57:$C$2056)=0,"",COUNTIF(車両台帳!$BD$57:$BD$2056,DB$3&amp;"-"&amp;514&amp;"A")+COUNTIF(車両台帳!$BD$57:$BD$2056,DB$3&amp;"-"&amp;515&amp;"A"))</f>
        <v/>
      </c>
      <c r="DC13" s="728" t="str">
        <f>IF(COUNTA(車両台帳!$C$57:$C$2056)=0,"",COUNTIF(車両台帳!$BD$57:$BD$2056,DC$3&amp;"-"&amp;514&amp;"A")+COUNTIF(車両台帳!$BD$57:$BD$2056,DC$3&amp;"-"&amp;515&amp;"A"))</f>
        <v/>
      </c>
      <c r="DD13" s="728" t="str">
        <f>IF(COUNTA(車両台帳!$C$57:$C$2056)=0,"",COUNTIF(車両台帳!$BD$57:$BD$2056,DD$3&amp;"-"&amp;514&amp;"A")+COUNTIF(車両台帳!$BD$57:$BD$2056,DD$3&amp;"-"&amp;515&amp;"A"))</f>
        <v/>
      </c>
      <c r="DE13" s="728" t="str">
        <f>IF(COUNTA(車両台帳!$C$57:$C$2056)=0,"",COUNTIF(車両台帳!$BD$57:$BD$2056,DE$3&amp;"-"&amp;514&amp;"A")+COUNTIF(車両台帳!$BD$57:$BD$2056,DE$3&amp;"-"&amp;515&amp;"A"))</f>
        <v/>
      </c>
      <c r="DF13" s="728" t="str">
        <f>IF(COUNTA(車両台帳!$C$57:$C$2056)=0,"",COUNTIF(車両台帳!$BD$57:$BD$2056,DF$3&amp;"-"&amp;514&amp;"A")+COUNTIF(車両台帳!$BD$57:$BD$2056,DF$3&amp;"-"&amp;515&amp;"A"))</f>
        <v/>
      </c>
      <c r="DG13" s="728" t="str">
        <f>IF(COUNTA(車両台帳!$C$57:$C$2056)=0,"",COUNTIF(車両台帳!$BD$57:$BD$2056,DG$3&amp;"-"&amp;514&amp;"A")+COUNTIF(車両台帳!$BD$57:$BD$2056,DG$3&amp;"-"&amp;515&amp;"A"))</f>
        <v/>
      </c>
      <c r="DH13" s="728" t="str">
        <f>IF(COUNTA(車両台帳!$C$57:$C$2056)=0,"",COUNTIF(車両台帳!$BD$57:$BD$2056,DH$3&amp;"-"&amp;514&amp;"A")+COUNTIF(車両台帳!$BD$57:$BD$2056,DH$3&amp;"-"&amp;515&amp;"A"))</f>
        <v/>
      </c>
      <c r="DI13" s="728" t="str">
        <f>IF(COUNTA(車両台帳!$C$57:$C$2056)=0,"",COUNTIF(車両台帳!$BD$57:$BD$2056,DI$3&amp;"-"&amp;514&amp;"A")+COUNTIF(車両台帳!$BD$57:$BD$2056,DI$3&amp;"-"&amp;515&amp;"A"))</f>
        <v/>
      </c>
      <c r="DJ13" s="728" t="str">
        <f>IF(COUNTA(車両台帳!$C$57:$C$2056)=0,"",COUNTIF(車両台帳!$BD$57:$BD$2056,DJ$3&amp;"-"&amp;514&amp;"A")+COUNTIF(車両台帳!$BD$57:$BD$2056,DJ$3&amp;"-"&amp;515&amp;"A"))</f>
        <v/>
      </c>
      <c r="DK13" s="728" t="str">
        <f>IF(COUNTA(車両台帳!$C$57:$C$2056)=0,"",COUNTIF(車両台帳!$BD$57:$BD$2056,DK$3&amp;"-"&amp;514&amp;"A")+COUNTIF(車両台帳!$BD$57:$BD$2056,DK$3&amp;"-"&amp;515&amp;"A"))</f>
        <v/>
      </c>
      <c r="DL13" s="728" t="str">
        <f>IF(COUNTA(車両台帳!$C$57:$C$2056)=0,"",COUNTIF(車両台帳!$BD$57:$BD$2056,DL$3&amp;"-"&amp;514&amp;"A")+COUNTIF(車両台帳!$BD$57:$BD$2056,DL$3&amp;"-"&amp;515&amp;"A"))</f>
        <v/>
      </c>
      <c r="DM13" s="728" t="str">
        <f>IF(COUNTA(車両台帳!$C$57:$C$2056)=0,"",COUNTIF(車両台帳!$BD$57:$BD$2056,DM$3&amp;"-"&amp;514&amp;"A")+COUNTIF(車両台帳!$BD$57:$BD$2056,DM$3&amp;"-"&amp;515&amp;"A"))</f>
        <v/>
      </c>
      <c r="DN13" s="728" t="str">
        <f>IF(COUNTA(車両台帳!$C$57:$C$2056)=0,"",COUNTIF(車両台帳!$BD$57:$BD$2056,DN$3&amp;"-"&amp;514&amp;"A")+COUNTIF(車両台帳!$BD$57:$BD$2056,DN$3&amp;"-"&amp;515&amp;"A"))</f>
        <v/>
      </c>
      <c r="DO13" s="728" t="str">
        <f>IF(COUNTA(車両台帳!$C$57:$C$2056)=0,"",COUNTIF(車両台帳!$BD$57:$BD$2056,DO$3&amp;"-"&amp;514&amp;"A")+COUNTIF(車両台帳!$BD$57:$BD$2056,DO$3&amp;"-"&amp;515&amp;"A"))</f>
        <v/>
      </c>
      <c r="DP13" s="728" t="str">
        <f>IF(COUNTA(車両台帳!$C$57:$C$2056)=0,"",COUNTIF(車両台帳!$BD$57:$BD$2056,DP$3&amp;"-"&amp;514&amp;"A")+COUNTIF(車両台帳!$BD$57:$BD$2056,DP$3&amp;"-"&amp;515&amp;"A"))</f>
        <v/>
      </c>
      <c r="DQ13" s="728" t="str">
        <f>IF(COUNTA(車両台帳!$C$57:$C$2056)=0,"",COUNTIF(車両台帳!$BD$57:$BD$2056,DQ$3&amp;"-"&amp;514&amp;"A")+COUNTIF(車両台帳!$BD$57:$BD$2056,DQ$3&amp;"-"&amp;515&amp;"A"))</f>
        <v/>
      </c>
      <c r="DR13" s="728" t="str">
        <f>IF(COUNTA(車両台帳!$C$57:$C$2056)=0,"",COUNTIF(車両台帳!$BD$57:$BD$2056,DR$3&amp;"-"&amp;514&amp;"A")+COUNTIF(車両台帳!$BD$57:$BD$2056,DR$3&amp;"-"&amp;515&amp;"A"))</f>
        <v/>
      </c>
      <c r="DS13" s="728" t="str">
        <f>IF(COUNTA(車両台帳!$C$57:$C$2056)=0,"",COUNTIF(車両台帳!$BD$57:$BD$2056,DS$3&amp;"-"&amp;514&amp;"A")+COUNTIF(車両台帳!$BD$57:$BD$2056,DS$3&amp;"-"&amp;515&amp;"A"))</f>
        <v/>
      </c>
      <c r="DT13" s="728" t="str">
        <f>IF(COUNTA(車両台帳!$C$57:$C$2056)=0,"",COUNTIF(車両台帳!$BD$57:$BD$2056,DT$3&amp;"-"&amp;514&amp;"A")+COUNTIF(車両台帳!$BD$57:$BD$2056,DT$3&amp;"-"&amp;515&amp;"A"))</f>
        <v/>
      </c>
      <c r="DU13" s="728" t="str">
        <f>IF(COUNTA(車両台帳!$C$57:$C$2056)=0,"",COUNTIF(車両台帳!$BD$57:$BD$2056,DU$3&amp;"-"&amp;514&amp;"A")+COUNTIF(車両台帳!$BD$57:$BD$2056,DU$3&amp;"-"&amp;515&amp;"A"))</f>
        <v/>
      </c>
      <c r="DV13" s="728" t="str">
        <f>IF(COUNTA(車両台帳!$C$57:$C$2056)=0,"",COUNTIF(車両台帳!$BD$57:$BD$2056,DV$3&amp;"-"&amp;514&amp;"A")+COUNTIF(車両台帳!$BD$57:$BD$2056,DV$3&amp;"-"&amp;515&amp;"A"))</f>
        <v/>
      </c>
      <c r="DW13" s="728" t="str">
        <f>IF(COUNTA(車両台帳!$C$57:$C$2056)=0,"",COUNTIF(車両台帳!$BD$57:$BD$2056,DW$3&amp;"-"&amp;514&amp;"A")+COUNTIF(車両台帳!$BD$57:$BD$2056,DW$3&amp;"-"&amp;515&amp;"A"))</f>
        <v/>
      </c>
      <c r="DX13" s="728" t="str">
        <f>IF(COUNTA(車両台帳!$C$57:$C$2056)=0,"",COUNTIF(車両台帳!$BD$57:$BD$2056,DX$3&amp;"-"&amp;514&amp;"A")+COUNTIF(車両台帳!$BD$57:$BD$2056,DX$3&amp;"-"&amp;515&amp;"A"))</f>
        <v/>
      </c>
      <c r="DY13" s="728" t="str">
        <f>IF(COUNTA(車両台帳!$C$57:$C$2056)=0,"",COUNTIF(車両台帳!$BD$57:$BD$2056,DY$3&amp;"-"&amp;514&amp;"A")+COUNTIF(車両台帳!$BD$57:$BD$2056,DY$3&amp;"-"&amp;515&amp;"A"))</f>
        <v/>
      </c>
      <c r="DZ13" s="728" t="str">
        <f>IF(COUNTA(車両台帳!$C$57:$C$2056)=0,"",COUNTIF(車両台帳!$BD$57:$BD$2056,DZ$3&amp;"-"&amp;514&amp;"A")+COUNTIF(車両台帳!$BD$57:$BD$2056,DZ$3&amp;"-"&amp;515&amp;"A"))</f>
        <v/>
      </c>
      <c r="EA13" s="728" t="str">
        <f>IF(COUNTA(車両台帳!$C$57:$C$2056)=0,"",COUNTIF(車両台帳!$BD$57:$BD$2056,EA$3&amp;"-"&amp;514&amp;"A")+COUNTIF(車両台帳!$BD$57:$BD$2056,EA$3&amp;"-"&amp;515&amp;"A"))</f>
        <v/>
      </c>
      <c r="EB13" s="728" t="str">
        <f>IF(COUNTA(車両台帳!$C$57:$C$2056)=0,"",COUNTIF(車両台帳!$BD$57:$BD$2056,EB$3&amp;"-"&amp;514&amp;"A")+COUNTIF(車両台帳!$BD$57:$BD$2056,EB$3&amp;"-"&amp;515&amp;"A"))</f>
        <v/>
      </c>
      <c r="EC13" s="728" t="str">
        <f>IF(COUNTA(車両台帳!$C$57:$C$2056)=0,"",COUNTIF(車両台帳!$BD$57:$BD$2056,EC$3&amp;"-"&amp;514&amp;"A")+COUNTIF(車両台帳!$BD$57:$BD$2056,EC$3&amp;"-"&amp;515&amp;"A"))</f>
        <v/>
      </c>
      <c r="ED13" s="728" t="str">
        <f>IF(COUNTA(車両台帳!$C$57:$C$2056)=0,"",COUNTIF(車両台帳!$BD$57:$BD$2056,ED$3&amp;"-"&amp;514&amp;"A")+COUNTIF(車両台帳!$BD$57:$BD$2056,ED$3&amp;"-"&amp;515&amp;"A"))</f>
        <v/>
      </c>
      <c r="EE13" s="728" t="str">
        <f>IF(COUNTA(車両台帳!$C$57:$C$2056)=0,"",COUNTIF(車両台帳!$BD$57:$BD$2056,EE$3&amp;"-"&amp;514&amp;"A")+COUNTIF(車両台帳!$BD$57:$BD$2056,EE$3&amp;"-"&amp;515&amp;"A"))</f>
        <v/>
      </c>
      <c r="EF13" s="728" t="str">
        <f>IF(COUNTA(車両台帳!$C$57:$C$2056)=0,"",COUNTIF(車両台帳!$BD$57:$BD$2056,EF$3&amp;"-"&amp;514&amp;"A")+COUNTIF(車両台帳!$BD$57:$BD$2056,EF$3&amp;"-"&amp;515&amp;"A"))</f>
        <v/>
      </c>
      <c r="EG13" s="728" t="str">
        <f>IF(COUNTA(車両台帳!$C$57:$C$2056)=0,"",COUNTIF(車両台帳!$BD$57:$BD$2056,EG$3&amp;"-"&amp;514&amp;"A")+COUNTIF(車両台帳!$BD$57:$BD$2056,EG$3&amp;"-"&amp;515&amp;"A"))</f>
        <v/>
      </c>
      <c r="EH13" s="728" t="str">
        <f>IF(COUNTA(車両台帳!$C$57:$C$2056)=0,"",COUNTIF(車両台帳!$BD$57:$BD$2056,EH$3&amp;"-"&amp;514&amp;"A")+COUNTIF(車両台帳!$BD$57:$BD$2056,EH$3&amp;"-"&amp;515&amp;"A"))</f>
        <v/>
      </c>
      <c r="EI13" s="728" t="str">
        <f>IF(COUNTA(車両台帳!$C$57:$C$2056)=0,"",COUNTIF(車両台帳!$BD$57:$BD$2056,EI$3&amp;"-"&amp;514&amp;"A")+COUNTIF(車両台帳!$BD$57:$BD$2056,EI$3&amp;"-"&amp;515&amp;"A"))</f>
        <v/>
      </c>
      <c r="EJ13" s="728" t="str">
        <f>IF(COUNTA(車両台帳!$C$57:$C$2056)=0,"",COUNTIF(車両台帳!$BD$57:$BD$2056,EJ$3&amp;"-"&amp;514&amp;"A")+COUNTIF(車両台帳!$BD$57:$BD$2056,EJ$3&amp;"-"&amp;515&amp;"A"))</f>
        <v/>
      </c>
      <c r="EK13" s="728" t="str">
        <f>IF(COUNTA(車両台帳!$C$57:$C$2056)=0,"",COUNTIF(車両台帳!$BD$57:$BD$2056,EK$3&amp;"-"&amp;514&amp;"A")+COUNTIF(車両台帳!$BD$57:$BD$2056,EK$3&amp;"-"&amp;515&amp;"A"))</f>
        <v/>
      </c>
      <c r="EL13" s="728" t="str">
        <f>IF(COUNTA(車両台帳!$C$57:$C$2056)=0,"",COUNTIF(車両台帳!$BD$57:$BD$2056,EL$3&amp;"-"&amp;514&amp;"A")+COUNTIF(車両台帳!$BD$57:$BD$2056,EL$3&amp;"-"&amp;515&amp;"A"))</f>
        <v/>
      </c>
      <c r="EM13" s="728" t="str">
        <f>IF(COUNTA(車両台帳!$C$57:$C$2056)=0,"",COUNTIF(車両台帳!$BD$57:$BD$2056,EM$3&amp;"-"&amp;514&amp;"A")+COUNTIF(車両台帳!$BD$57:$BD$2056,EM$3&amp;"-"&amp;515&amp;"A"))</f>
        <v/>
      </c>
      <c r="EN13" s="728" t="str">
        <f>IF(COUNTA(車両台帳!$C$57:$C$2056)=0,"",COUNTIF(車両台帳!$BD$57:$BD$2056,EN$3&amp;"-"&amp;514&amp;"A")+COUNTIF(車両台帳!$BD$57:$BD$2056,EN$3&amp;"-"&amp;515&amp;"A"))</f>
        <v/>
      </c>
      <c r="EO13" s="728" t="str">
        <f>IF(COUNTA(車両台帳!$C$57:$C$2056)=0,"",COUNTIF(車両台帳!$BD$57:$BD$2056,EO$3&amp;"-"&amp;514&amp;"A")+COUNTIF(車両台帳!$BD$57:$BD$2056,EO$3&amp;"-"&amp;515&amp;"A"))</f>
        <v/>
      </c>
      <c r="EP13" s="728" t="str">
        <f>IF(COUNTA(車両台帳!$C$57:$C$2056)=0,"",COUNTIF(車両台帳!$BD$57:$BD$2056,EP$3&amp;"-"&amp;514&amp;"A")+COUNTIF(車両台帳!$BD$57:$BD$2056,EP$3&amp;"-"&amp;515&amp;"A"))</f>
        <v/>
      </c>
      <c r="EQ13" s="728" t="str">
        <f>IF(COUNTA(車両台帳!$C$57:$C$2056)=0,"",COUNTIF(車両台帳!$BD$57:$BD$2056,EQ$3&amp;"-"&amp;514&amp;"A")+COUNTIF(車両台帳!$BD$57:$BD$2056,EQ$3&amp;"-"&amp;515&amp;"A"))</f>
        <v/>
      </c>
      <c r="ER13" s="728" t="str">
        <f>IF(COUNTA(車両台帳!$C$57:$C$2056)=0,"",COUNTIF(車両台帳!$BD$57:$BD$2056,ER$3&amp;"-"&amp;514&amp;"A")+COUNTIF(車両台帳!$BD$57:$BD$2056,ER$3&amp;"-"&amp;515&amp;"A"))</f>
        <v/>
      </c>
      <c r="ES13" s="728" t="str">
        <f>IF(COUNTA(車両台帳!$C$57:$C$2056)=0,"",COUNTIF(車両台帳!$BD$57:$BD$2056,ES$3&amp;"-"&amp;514&amp;"A")+COUNTIF(車両台帳!$BD$57:$BD$2056,ES$3&amp;"-"&amp;515&amp;"A"))</f>
        <v/>
      </c>
      <c r="ET13" s="728" t="str">
        <f>IF(COUNTA(車両台帳!$C$57:$C$2056)=0,"",COUNTIF(車両台帳!$BD$57:$BD$2056,ET$3&amp;"-"&amp;514&amp;"A")+COUNTIF(車両台帳!$BD$57:$BD$2056,ET$3&amp;"-"&amp;515&amp;"A"))</f>
        <v/>
      </c>
      <c r="EU13" s="728" t="str">
        <f>IF(COUNTA(車両台帳!$C$57:$C$2056)=0,"",COUNTIF(車両台帳!$BD$57:$BD$2056,EU$3&amp;"-"&amp;514&amp;"A")+COUNTIF(車両台帳!$BD$57:$BD$2056,EU$3&amp;"-"&amp;515&amp;"A"))</f>
        <v/>
      </c>
      <c r="EV13" s="728" t="str">
        <f>IF(COUNTA(車両台帳!$C$57:$C$2056)=0,"",COUNTIF(車両台帳!$BD$57:$BD$2056,EV$3&amp;"-"&amp;514&amp;"A")+COUNTIF(車両台帳!$BD$57:$BD$2056,EV$3&amp;"-"&amp;515&amp;"A"))</f>
        <v/>
      </c>
      <c r="EW13" s="728" t="str">
        <f>IF(COUNTA(車両台帳!$C$57:$C$2056)=0,"",COUNTIF(車両台帳!$BD$57:$BD$2056,EW$3&amp;"-"&amp;514&amp;"A")+COUNTIF(車両台帳!$BD$57:$BD$2056,EW$3&amp;"-"&amp;515&amp;"A"))</f>
        <v/>
      </c>
      <c r="EX13" s="728" t="str">
        <f>IF(COUNTA(車両台帳!$C$57:$C$2056)=0,"",COUNTIF(車両台帳!$BD$57:$BD$2056,EX$3&amp;"-"&amp;514&amp;"A")+COUNTIF(車両台帳!$BD$57:$BD$2056,EX$3&amp;"-"&amp;515&amp;"A"))</f>
        <v/>
      </c>
      <c r="EY13" s="728" t="str">
        <f>IF(COUNTA(車両台帳!$C$57:$C$2056)=0,"",COUNTIF(車両台帳!$BD$57:$BD$2056,EY$3&amp;"-"&amp;514&amp;"A")+COUNTIF(車両台帳!$BD$57:$BD$2056,EY$3&amp;"-"&amp;515&amp;"A"))</f>
        <v/>
      </c>
      <c r="EZ13" s="728" t="str">
        <f>IF(COUNTA(車両台帳!$C$57:$C$2056)=0,"",COUNTIF(車両台帳!$BD$57:$BD$2056,EZ$3&amp;"-"&amp;514&amp;"A")+COUNTIF(車両台帳!$BD$57:$BD$2056,EZ$3&amp;"-"&amp;515&amp;"A"))</f>
        <v/>
      </c>
      <c r="FA13" s="728" t="str">
        <f>IF(COUNTA(車両台帳!$C$57:$C$2056)=0,"",COUNTIF(車両台帳!$BD$57:$BD$2056,FA$3&amp;"-"&amp;514&amp;"A")+COUNTIF(車両台帳!$BD$57:$BD$2056,FA$3&amp;"-"&amp;515&amp;"A"))</f>
        <v/>
      </c>
      <c r="FB13" s="728" t="str">
        <f>IF(COUNTA(車両台帳!$C$57:$C$2056)=0,"",COUNTIF(車両台帳!$BD$57:$BD$2056,FB$3&amp;"-"&amp;514&amp;"A")+COUNTIF(車両台帳!$BD$57:$BD$2056,FB$3&amp;"-"&amp;515&amp;"A"))</f>
        <v/>
      </c>
      <c r="FC13" s="728" t="str">
        <f>IF(COUNTA(車両台帳!$C$57:$C$2056)=0,"",COUNTIF(車両台帳!$BD$57:$BD$2056,FC$3&amp;"-"&amp;514&amp;"A")+COUNTIF(車両台帳!$BD$57:$BD$2056,FC$3&amp;"-"&amp;515&amp;"A"))</f>
        <v/>
      </c>
      <c r="FD13" s="728" t="str">
        <f>IF(COUNTA(車両台帳!$C$57:$C$2056)=0,"",COUNTIF(車両台帳!$BD$57:$BD$2056,FD$3&amp;"-"&amp;514&amp;"A")+COUNTIF(車両台帳!$BD$57:$BD$2056,FD$3&amp;"-"&amp;515&amp;"A"))</f>
        <v/>
      </c>
      <c r="FE13" s="728" t="str">
        <f>IF(COUNTA(車両台帳!$C$57:$C$2056)=0,"",COUNTIF(車両台帳!$BD$57:$BD$2056,FE$3&amp;"-"&amp;514&amp;"A")+COUNTIF(車両台帳!$BD$57:$BD$2056,FE$3&amp;"-"&amp;515&amp;"A"))</f>
        <v/>
      </c>
      <c r="FF13" s="728" t="str">
        <f>IF(COUNTA(車両台帳!$C$57:$C$2056)=0,"",COUNTIF(車両台帳!$BD$57:$BD$2056,FF$3&amp;"-"&amp;514&amp;"A")+COUNTIF(車両台帳!$BD$57:$BD$2056,FF$3&amp;"-"&amp;515&amp;"A"))</f>
        <v/>
      </c>
      <c r="FG13" s="728" t="str">
        <f>IF(COUNTA(車両台帳!$C$57:$C$2056)=0,"",COUNTIF(車両台帳!$BD$57:$BD$2056,FG$3&amp;"-"&amp;514&amp;"A")+COUNTIF(車両台帳!$BD$57:$BD$2056,FG$3&amp;"-"&amp;515&amp;"A"))</f>
        <v/>
      </c>
      <c r="FH13" s="728" t="str">
        <f>IF(COUNTA(車両台帳!$C$57:$C$2056)=0,"",COUNTIF(車両台帳!$BD$57:$BD$2056,FH$3&amp;"-"&amp;514&amp;"A")+COUNTIF(車両台帳!$BD$57:$BD$2056,FH$3&amp;"-"&amp;515&amp;"A"))</f>
        <v/>
      </c>
      <c r="FI13" s="728" t="str">
        <f>IF(COUNTA(車両台帳!$C$57:$C$2056)=0,"",COUNTIF(車両台帳!$BD$57:$BD$2056,FI$3&amp;"-"&amp;514&amp;"A")+COUNTIF(車両台帳!$BD$57:$BD$2056,FI$3&amp;"-"&amp;515&amp;"A"))</f>
        <v/>
      </c>
      <c r="FJ13" s="728" t="str">
        <f>IF(COUNTA(車両台帳!$C$57:$C$2056)=0,"",COUNTIF(車両台帳!$BD$57:$BD$2056,FJ$3&amp;"-"&amp;514&amp;"A")+COUNTIF(車両台帳!$BD$57:$BD$2056,FJ$3&amp;"-"&amp;515&amp;"A"))</f>
        <v/>
      </c>
      <c r="FK13" s="728" t="str">
        <f>IF(COUNTA(車両台帳!$C$57:$C$2056)=0,"",COUNTIF(車両台帳!$BD$57:$BD$2056,FK$3&amp;"-"&amp;514&amp;"A")+COUNTIF(車両台帳!$BD$57:$BD$2056,FK$3&amp;"-"&amp;515&amp;"A"))</f>
        <v/>
      </c>
      <c r="FL13" s="728" t="str">
        <f>IF(COUNTA(車両台帳!$C$57:$C$2056)=0,"",COUNTIF(車両台帳!$BD$57:$BD$2056,FL$3&amp;"-"&amp;514&amp;"A")+COUNTIF(車両台帳!$BD$57:$BD$2056,FL$3&amp;"-"&amp;515&amp;"A"))</f>
        <v/>
      </c>
      <c r="FM13" s="728" t="str">
        <f>IF(COUNTA(車両台帳!$C$57:$C$2056)=0,"",COUNTIF(車両台帳!$BD$57:$BD$2056,FM$3&amp;"-"&amp;514&amp;"A")+COUNTIF(車両台帳!$BD$57:$BD$2056,FM$3&amp;"-"&amp;515&amp;"A"))</f>
        <v/>
      </c>
      <c r="FN13" s="728" t="str">
        <f>IF(COUNTA(車両台帳!$C$57:$C$2056)=0,"",COUNTIF(車両台帳!$BD$57:$BD$2056,FN$3&amp;"-"&amp;514&amp;"A")+COUNTIF(車両台帳!$BD$57:$BD$2056,FN$3&amp;"-"&amp;515&amp;"A"))</f>
        <v/>
      </c>
      <c r="FO13" s="728" t="str">
        <f>IF(COUNTA(車両台帳!$C$57:$C$2056)=0,"",COUNTIF(車両台帳!$BD$57:$BD$2056,FO$3&amp;"-"&amp;514&amp;"A")+COUNTIF(車両台帳!$BD$57:$BD$2056,FO$3&amp;"-"&amp;515&amp;"A"))</f>
        <v/>
      </c>
      <c r="FP13" s="728" t="str">
        <f>IF(COUNTA(車両台帳!$C$57:$C$2056)=0,"",COUNTIF(車両台帳!$BD$57:$BD$2056,FP$3&amp;"-"&amp;514&amp;"A")+COUNTIF(車両台帳!$BD$57:$BD$2056,FP$3&amp;"-"&amp;515&amp;"A"))</f>
        <v/>
      </c>
      <c r="FQ13" s="728" t="str">
        <f>IF(COUNTA(車両台帳!$C$57:$C$2056)=0,"",COUNTIF(車両台帳!$BD$57:$BD$2056,FQ$3&amp;"-"&amp;514&amp;"A")+COUNTIF(車両台帳!$BD$57:$BD$2056,FQ$3&amp;"-"&amp;515&amp;"A"))</f>
        <v/>
      </c>
      <c r="FR13" s="728" t="str">
        <f>IF(COUNTA(車両台帳!$C$57:$C$2056)=0,"",COUNTIF(車両台帳!$BD$57:$BD$2056,FR$3&amp;"-"&amp;514&amp;"A")+COUNTIF(車両台帳!$BD$57:$BD$2056,FR$3&amp;"-"&amp;515&amp;"A"))</f>
        <v/>
      </c>
      <c r="FS13" s="728" t="str">
        <f>IF(COUNTA(車両台帳!$C$57:$C$2056)=0,"",COUNTIF(車両台帳!$BD$57:$BD$2056,FS$3&amp;"-"&amp;514&amp;"A")+COUNTIF(車両台帳!$BD$57:$BD$2056,FS$3&amp;"-"&amp;515&amp;"A"))</f>
        <v/>
      </c>
      <c r="FT13" s="728" t="str">
        <f>IF(COUNTA(車両台帳!$C$57:$C$2056)=0,"",COUNTIF(車両台帳!$BD$57:$BD$2056,FT$3&amp;"-"&amp;514&amp;"A")+COUNTIF(車両台帳!$BD$57:$BD$2056,FT$3&amp;"-"&amp;515&amp;"A"))</f>
        <v/>
      </c>
      <c r="FU13" s="728" t="str">
        <f>IF(COUNTA(車両台帳!$C$57:$C$2056)=0,"",COUNTIF(車両台帳!$BD$57:$BD$2056,FU$3&amp;"-"&amp;514&amp;"A")+COUNTIF(車両台帳!$BD$57:$BD$2056,FU$3&amp;"-"&amp;515&amp;"A"))</f>
        <v/>
      </c>
      <c r="FV13" s="728" t="str">
        <f>IF(COUNTA(車両台帳!$C$57:$C$2056)=0,"",COUNTIF(車両台帳!$BD$57:$BD$2056,FV$3&amp;"-"&amp;514&amp;"A")+COUNTIF(車両台帳!$BD$57:$BD$2056,FV$3&amp;"-"&amp;515&amp;"A"))</f>
        <v/>
      </c>
      <c r="FW13" s="728" t="str">
        <f>IF(COUNTA(車両台帳!$C$57:$C$2056)=0,"",COUNTIF(車両台帳!$BD$57:$BD$2056,FW$3&amp;"-"&amp;514&amp;"A")+COUNTIF(車両台帳!$BD$57:$BD$2056,FW$3&amp;"-"&amp;515&amp;"A"))</f>
        <v/>
      </c>
      <c r="FX13" s="728" t="str">
        <f>IF(COUNTA(車両台帳!$C$57:$C$2056)=0,"",COUNTIF(車両台帳!$BD$57:$BD$2056,FX$3&amp;"-"&amp;514&amp;"A")+COUNTIF(車両台帳!$BD$57:$BD$2056,FX$3&amp;"-"&amp;515&amp;"A"))</f>
        <v/>
      </c>
      <c r="FY13" s="728" t="str">
        <f>IF(COUNTA(車両台帳!$C$57:$C$2056)=0,"",COUNTIF(車両台帳!$BD$57:$BD$2056,FY$3&amp;"-"&amp;514&amp;"A")+COUNTIF(車両台帳!$BD$57:$BD$2056,FY$3&amp;"-"&amp;515&amp;"A"))</f>
        <v/>
      </c>
      <c r="FZ13" s="728" t="str">
        <f>IF(COUNTA(車両台帳!$C$57:$C$2056)=0,"",COUNTIF(車両台帳!$BD$57:$BD$2056,FZ$3&amp;"-"&amp;514&amp;"A")+COUNTIF(車両台帳!$BD$57:$BD$2056,FZ$3&amp;"-"&amp;515&amp;"A"))</f>
        <v/>
      </c>
      <c r="GA13" s="728" t="str">
        <f>IF(COUNTA(車両台帳!$C$57:$C$2056)=0,"",COUNTIF(車両台帳!$BD$57:$BD$2056,GA$3&amp;"-"&amp;514&amp;"A")+COUNTIF(車両台帳!$BD$57:$BD$2056,GA$3&amp;"-"&amp;515&amp;"A"))</f>
        <v/>
      </c>
      <c r="GB13" s="728" t="str">
        <f>IF(COUNTA(車両台帳!$C$57:$C$2056)=0,"",COUNTIF(車両台帳!$BD$57:$BD$2056,GB$3&amp;"-"&amp;514&amp;"A")+COUNTIF(車両台帳!$BD$57:$BD$2056,GB$3&amp;"-"&amp;515&amp;"A"))</f>
        <v/>
      </c>
      <c r="GC13" s="728" t="str">
        <f>IF(COUNTA(車両台帳!$C$57:$C$2056)=0,"",COUNTIF(車両台帳!$BD$57:$BD$2056,GC$3&amp;"-"&amp;514&amp;"A")+COUNTIF(車両台帳!$BD$57:$BD$2056,GC$3&amp;"-"&amp;515&amp;"A"))</f>
        <v/>
      </c>
      <c r="GD13" s="728" t="str">
        <f>IF(COUNTA(車両台帳!$C$57:$C$2056)=0,"",COUNTIF(車両台帳!$BD$57:$BD$2056,GD$3&amp;"-"&amp;514&amp;"A")+COUNTIF(車両台帳!$BD$57:$BD$2056,GD$3&amp;"-"&amp;515&amp;"A"))</f>
        <v/>
      </c>
      <c r="GE13" s="728" t="str">
        <f>IF(COUNTA(車両台帳!$C$57:$C$2056)=0,"",COUNTIF(車両台帳!$BD$57:$BD$2056,GE$3&amp;"-"&amp;514&amp;"A")+COUNTIF(車両台帳!$BD$57:$BD$2056,GE$3&amp;"-"&amp;515&amp;"A"))</f>
        <v/>
      </c>
      <c r="GF13" s="728" t="str">
        <f>IF(COUNTA(車両台帳!$C$57:$C$2056)=0,"",COUNTIF(車両台帳!$BD$57:$BD$2056,GF$3&amp;"-"&amp;514&amp;"A")+COUNTIF(車両台帳!$BD$57:$BD$2056,GF$3&amp;"-"&amp;515&amp;"A"))</f>
        <v/>
      </c>
      <c r="GG13" s="728" t="str">
        <f>IF(COUNTA(車両台帳!$C$57:$C$2056)=0,"",COUNTIF(車両台帳!$BD$57:$BD$2056,GG$3&amp;"-"&amp;514&amp;"A")+COUNTIF(車両台帳!$BD$57:$BD$2056,GG$3&amp;"-"&amp;515&amp;"A"))</f>
        <v/>
      </c>
      <c r="GH13" s="728" t="str">
        <f>IF(COUNTA(車両台帳!$C$57:$C$2056)=0,"",COUNTIF(車両台帳!$BD$57:$BD$2056,GH$3&amp;"-"&amp;514&amp;"A")+COUNTIF(車両台帳!$BD$57:$BD$2056,GH$3&amp;"-"&amp;515&amp;"A"))</f>
        <v/>
      </c>
      <c r="GI13" s="728" t="str">
        <f>IF(COUNTA(車両台帳!$C$57:$C$2056)=0,"",COUNTIF(車両台帳!$BD$57:$BD$2056,GI$3&amp;"-"&amp;514&amp;"A")+COUNTIF(車両台帳!$BD$57:$BD$2056,GI$3&amp;"-"&amp;515&amp;"A"))</f>
        <v/>
      </c>
      <c r="GJ13" s="728" t="str">
        <f>IF(COUNTA(車両台帳!$C$57:$C$2056)=0,"",COUNTIF(車両台帳!$BD$57:$BD$2056,GJ$3&amp;"-"&amp;514&amp;"A")+COUNTIF(車両台帳!$BD$57:$BD$2056,GJ$3&amp;"-"&amp;515&amp;"A"))</f>
        <v/>
      </c>
      <c r="GK13" s="728" t="str">
        <f>IF(COUNTA(車両台帳!$C$57:$C$2056)=0,"",COUNTIF(車両台帳!$BD$57:$BD$2056,GK$3&amp;"-"&amp;514&amp;"A")+COUNTIF(車両台帳!$BD$57:$BD$2056,GK$3&amp;"-"&amp;515&amp;"A"))</f>
        <v/>
      </c>
      <c r="GL13" s="728" t="str">
        <f>IF(COUNTA(車両台帳!$C$57:$C$2056)=0,"",COUNTIF(車両台帳!$BD$57:$BD$2056,GL$3&amp;"-"&amp;514&amp;"A")+COUNTIF(車両台帳!$BD$57:$BD$2056,GL$3&amp;"-"&amp;515&amp;"A"))</f>
        <v/>
      </c>
      <c r="GM13" s="728" t="str">
        <f>IF(COUNTA(車両台帳!$C$57:$C$2056)=0,"",COUNTIF(車両台帳!$BD$57:$BD$2056,GM$3&amp;"-"&amp;514&amp;"A")+COUNTIF(車両台帳!$BD$57:$BD$2056,GM$3&amp;"-"&amp;515&amp;"A"))</f>
        <v/>
      </c>
      <c r="GN13" s="728" t="str">
        <f>IF(COUNTA(車両台帳!$C$57:$C$2056)=0,"",COUNTIF(車両台帳!$BD$57:$BD$2056,GN$3&amp;"-"&amp;514&amp;"A")+COUNTIF(車両台帳!$BD$57:$BD$2056,GN$3&amp;"-"&amp;515&amp;"A"))</f>
        <v/>
      </c>
      <c r="GO13" s="728" t="str">
        <f>IF(COUNTA(車両台帳!$C$57:$C$2056)=0,"",COUNTIF(車両台帳!$BD$57:$BD$2056,GO$3&amp;"-"&amp;514&amp;"A")+COUNTIF(車両台帳!$BD$57:$BD$2056,GO$3&amp;"-"&amp;515&amp;"A"))</f>
        <v/>
      </c>
      <c r="GP13" s="728" t="str">
        <f>IF(COUNTA(車両台帳!$C$57:$C$2056)=0,"",COUNTIF(車両台帳!$BD$57:$BD$2056,GP$3&amp;"-"&amp;514&amp;"A")+COUNTIF(車両台帳!$BD$57:$BD$2056,GP$3&amp;"-"&amp;515&amp;"A"))</f>
        <v/>
      </c>
      <c r="GQ13" s="728" t="str">
        <f>IF(COUNTA(車両台帳!$C$57:$C$2056)=0,"",COUNTIF(車両台帳!$BD$57:$BD$2056,GQ$3&amp;"-"&amp;514&amp;"A")+COUNTIF(車両台帳!$BD$57:$BD$2056,GQ$3&amp;"-"&amp;515&amp;"A"))</f>
        <v/>
      </c>
      <c r="GR13" s="728" t="str">
        <f>IF(COUNTA(車両台帳!$C$57:$C$2056)=0,"",COUNTIF(車両台帳!$BD$57:$BD$2056,GR$3&amp;"-"&amp;514&amp;"A")+COUNTIF(車両台帳!$BD$57:$BD$2056,GR$3&amp;"-"&amp;515&amp;"A"))</f>
        <v/>
      </c>
      <c r="GS13" s="728" t="str">
        <f>IF(COUNTA(車両台帳!$C$57:$C$2056)=0,"",COUNTIF(車両台帳!$BD$57:$BD$2056,GS$3&amp;"-"&amp;514&amp;"A")+COUNTIF(車両台帳!$BD$57:$BD$2056,GS$3&amp;"-"&amp;515&amp;"A"))</f>
        <v/>
      </c>
      <c r="GT13" s="728" t="str">
        <f>IF(COUNTA(車両台帳!$C$57:$C$2056)=0,"",COUNTIF(車両台帳!$BD$57:$BD$2056,GT$3&amp;"-"&amp;514&amp;"A")+COUNTIF(車両台帳!$BD$57:$BD$2056,GT$3&amp;"-"&amp;515&amp;"A"))</f>
        <v/>
      </c>
      <c r="GU13" s="729" t="str">
        <f>IF(COUNTA(車両台帳!$C$57:$C$2056)=0,"",COUNTIF(車両台帳!$BD$57:$BD$2056,GU$3&amp;"-"&amp;514&amp;"A")+COUNTIF(車両台帳!$BD$57:$BD$2056,GU$3&amp;"-"&amp;515&amp;"A"))</f>
        <v/>
      </c>
    </row>
    <row r="14" spans="1:203" s="7" customFormat="1" ht="29.25" customHeight="1">
      <c r="A14" s="1183" t="s">
        <v>53</v>
      </c>
      <c r="B14" s="714" t="s">
        <v>45</v>
      </c>
      <c r="C14" s="721" t="str">
        <f>IF(COUNTA(車両台帳!$C$57:$C$2056)=0,"",SUM(D14:GU14))</f>
        <v/>
      </c>
      <c r="D14" s="722" t="str">
        <f>IF(COUNTA(車両台帳!$C$57:$C$2056)=0,"",COUNTIF(車両台帳!$BD$57:$BD$2056,D$3&amp;"-"&amp;521&amp;"A"))</f>
        <v/>
      </c>
      <c r="E14" s="722" t="str">
        <f>IF(COUNTA(車両台帳!$C$57:$C$2056)=0,"",COUNTIF(車両台帳!$BD$57:$BD$2056,E$3&amp;"-"&amp;521&amp;"A"))</f>
        <v/>
      </c>
      <c r="F14" s="722" t="str">
        <f>IF(COUNTA(車両台帳!$C$57:$C$2056)=0,"",COUNTIF(車両台帳!$BD$57:$BD$2056,F$3&amp;"-"&amp;521&amp;"A"))</f>
        <v/>
      </c>
      <c r="G14" s="722" t="str">
        <f>IF(COUNTA(車両台帳!$C$57:$C$2056)=0,"",COUNTIF(車両台帳!$BD$57:$BD$2056,G$3&amp;"-"&amp;521&amp;"A"))</f>
        <v/>
      </c>
      <c r="H14" s="722" t="str">
        <f>IF(COUNTA(車両台帳!$C$57:$C$2056)=0,"",COUNTIF(車両台帳!$BD$57:$BD$2056,H$3&amp;"-"&amp;521&amp;"A"))</f>
        <v/>
      </c>
      <c r="I14" s="722" t="str">
        <f>IF(COUNTA(車両台帳!$C$57:$C$2056)=0,"",COUNTIF(車両台帳!$BD$57:$BD$2056,I$3&amp;"-"&amp;521&amp;"A"))</f>
        <v/>
      </c>
      <c r="J14" s="722" t="str">
        <f>IF(COUNTA(車両台帳!$C$57:$C$2056)=0,"",COUNTIF(車両台帳!$BD$57:$BD$2056,J$3&amp;"-"&amp;521&amp;"A"))</f>
        <v/>
      </c>
      <c r="K14" s="722" t="str">
        <f>IF(COUNTA(車両台帳!$C$57:$C$2056)=0,"",COUNTIF(車両台帳!$BD$57:$BD$2056,K$3&amp;"-"&amp;521&amp;"A"))</f>
        <v/>
      </c>
      <c r="L14" s="722" t="str">
        <f>IF(COUNTA(車両台帳!$C$57:$C$2056)=0,"",COUNTIF(車両台帳!$BD$57:$BD$2056,L$3&amp;"-"&amp;521&amp;"A"))</f>
        <v/>
      </c>
      <c r="M14" s="722" t="str">
        <f>IF(COUNTA(車両台帳!$C$57:$C$2056)=0,"",COUNTIF(車両台帳!$BD$57:$BD$2056,M$3&amp;"-"&amp;521&amp;"A"))</f>
        <v/>
      </c>
      <c r="N14" s="722" t="str">
        <f>IF(COUNTA(車両台帳!$C$57:$C$2056)=0,"",COUNTIF(車両台帳!$BD$57:$BD$2056,N$3&amp;"-"&amp;521&amp;"A"))</f>
        <v/>
      </c>
      <c r="O14" s="722" t="str">
        <f>IF(COUNTA(車両台帳!$C$57:$C$2056)=0,"",COUNTIF(車両台帳!$BD$57:$BD$2056,O$3&amp;"-"&amp;521&amp;"A"))</f>
        <v/>
      </c>
      <c r="P14" s="722" t="str">
        <f>IF(COUNTA(車両台帳!$C$57:$C$2056)=0,"",COUNTIF(車両台帳!$BD$57:$BD$2056,P$3&amp;"-"&amp;521&amp;"A"))</f>
        <v/>
      </c>
      <c r="Q14" s="722" t="str">
        <f>IF(COUNTA(車両台帳!$C$57:$C$2056)=0,"",COUNTIF(車両台帳!$BD$57:$BD$2056,Q$3&amp;"-"&amp;521&amp;"A"))</f>
        <v/>
      </c>
      <c r="R14" s="722" t="str">
        <f>IF(COUNTA(車両台帳!$C$57:$C$2056)=0,"",COUNTIF(車両台帳!$BD$57:$BD$2056,R$3&amp;"-"&amp;521&amp;"A"))</f>
        <v/>
      </c>
      <c r="S14" s="722" t="str">
        <f>IF(COUNTA(車両台帳!$C$57:$C$2056)=0,"",COUNTIF(車両台帳!$BD$57:$BD$2056,S$3&amp;"-"&amp;521&amp;"A"))</f>
        <v/>
      </c>
      <c r="T14" s="722" t="str">
        <f>IF(COUNTA(車両台帳!$C$57:$C$2056)=0,"",COUNTIF(車両台帳!$BD$57:$BD$2056,T$3&amp;"-"&amp;521&amp;"A"))</f>
        <v/>
      </c>
      <c r="U14" s="722" t="str">
        <f>IF(COUNTA(車両台帳!$C$57:$C$2056)=0,"",COUNTIF(車両台帳!$BD$57:$BD$2056,U$3&amp;"-"&amp;521&amp;"A"))</f>
        <v/>
      </c>
      <c r="V14" s="722" t="str">
        <f>IF(COUNTA(車両台帳!$C$57:$C$2056)=0,"",COUNTIF(車両台帳!$BD$57:$BD$2056,V$3&amp;"-"&amp;521&amp;"A"))</f>
        <v/>
      </c>
      <c r="W14" s="722" t="str">
        <f>IF(COUNTA(車両台帳!$C$57:$C$2056)=0,"",COUNTIF(車両台帳!$BD$57:$BD$2056,W$3&amp;"-"&amp;521&amp;"A"))</f>
        <v/>
      </c>
      <c r="X14" s="722" t="str">
        <f>IF(COUNTA(車両台帳!$C$57:$C$2056)=0,"",COUNTIF(車両台帳!$BD$57:$BD$2056,X$3&amp;"-"&amp;521&amp;"A"))</f>
        <v/>
      </c>
      <c r="Y14" s="722" t="str">
        <f>IF(COUNTA(車両台帳!$C$57:$C$2056)=0,"",COUNTIF(車両台帳!$BD$57:$BD$2056,Y$3&amp;"-"&amp;521&amp;"A"))</f>
        <v/>
      </c>
      <c r="Z14" s="722" t="str">
        <f>IF(COUNTA(車両台帳!$C$57:$C$2056)=0,"",COUNTIF(車両台帳!$BD$57:$BD$2056,Z$3&amp;"-"&amp;521&amp;"A"))</f>
        <v/>
      </c>
      <c r="AA14" s="722" t="str">
        <f>IF(COUNTA(車両台帳!$C$57:$C$2056)=0,"",COUNTIF(車両台帳!$BD$57:$BD$2056,AA$3&amp;"-"&amp;521&amp;"A"))</f>
        <v/>
      </c>
      <c r="AB14" s="722" t="str">
        <f>IF(COUNTA(車両台帳!$C$57:$C$2056)=0,"",COUNTIF(車両台帳!$BD$57:$BD$2056,AB$3&amp;"-"&amp;521&amp;"A"))</f>
        <v/>
      </c>
      <c r="AC14" s="722" t="str">
        <f>IF(COUNTA(車両台帳!$C$57:$C$2056)=0,"",COUNTIF(車両台帳!$BD$57:$BD$2056,AC$3&amp;"-"&amp;521&amp;"A"))</f>
        <v/>
      </c>
      <c r="AD14" s="722" t="str">
        <f>IF(COUNTA(車両台帳!$C$57:$C$2056)=0,"",COUNTIF(車両台帳!$BD$57:$BD$2056,AD$3&amp;"-"&amp;521&amp;"A"))</f>
        <v/>
      </c>
      <c r="AE14" s="722" t="str">
        <f>IF(COUNTA(車両台帳!$C$57:$C$2056)=0,"",COUNTIF(車両台帳!$BD$57:$BD$2056,AE$3&amp;"-"&amp;521&amp;"A"))</f>
        <v/>
      </c>
      <c r="AF14" s="722" t="str">
        <f>IF(COUNTA(車両台帳!$C$57:$C$2056)=0,"",COUNTIF(車両台帳!$BD$57:$BD$2056,AF$3&amp;"-"&amp;521&amp;"A"))</f>
        <v/>
      </c>
      <c r="AG14" s="722" t="str">
        <f>IF(COUNTA(車両台帳!$C$57:$C$2056)=0,"",COUNTIF(車両台帳!$BD$57:$BD$2056,AG$3&amp;"-"&amp;521&amp;"A"))</f>
        <v/>
      </c>
      <c r="AH14" s="722" t="str">
        <f>IF(COUNTA(車両台帳!$C$57:$C$2056)=0,"",COUNTIF(車両台帳!$BD$57:$BD$2056,AH$3&amp;"-"&amp;521&amp;"A"))</f>
        <v/>
      </c>
      <c r="AI14" s="722" t="str">
        <f>IF(COUNTA(車両台帳!$C$57:$C$2056)=0,"",COUNTIF(車両台帳!$BD$57:$BD$2056,AI$3&amp;"-"&amp;521&amp;"A"))</f>
        <v/>
      </c>
      <c r="AJ14" s="722" t="str">
        <f>IF(COUNTA(車両台帳!$C$57:$C$2056)=0,"",COUNTIF(車両台帳!$BD$57:$BD$2056,AJ$3&amp;"-"&amp;521&amp;"A"))</f>
        <v/>
      </c>
      <c r="AK14" s="722" t="str">
        <f>IF(COUNTA(車両台帳!$C$57:$C$2056)=0,"",COUNTIF(車両台帳!$BD$57:$BD$2056,AK$3&amp;"-"&amp;521&amp;"A"))</f>
        <v/>
      </c>
      <c r="AL14" s="722" t="str">
        <f>IF(COUNTA(車両台帳!$C$57:$C$2056)=0,"",COUNTIF(車両台帳!$BD$57:$BD$2056,AL$3&amp;"-"&amp;521&amp;"A"))</f>
        <v/>
      </c>
      <c r="AM14" s="722" t="str">
        <f>IF(COUNTA(車両台帳!$C$57:$C$2056)=0,"",COUNTIF(車両台帳!$BD$57:$BD$2056,AM$3&amp;"-"&amp;521&amp;"A"))</f>
        <v/>
      </c>
      <c r="AN14" s="722" t="str">
        <f>IF(COUNTA(車両台帳!$C$57:$C$2056)=0,"",COUNTIF(車両台帳!$BD$57:$BD$2056,AN$3&amp;"-"&amp;521&amp;"A"))</f>
        <v/>
      </c>
      <c r="AO14" s="722" t="str">
        <f>IF(COUNTA(車両台帳!$C$57:$C$2056)=0,"",COUNTIF(車両台帳!$BD$57:$BD$2056,AO$3&amp;"-"&amp;521&amp;"A"))</f>
        <v/>
      </c>
      <c r="AP14" s="722" t="str">
        <f>IF(COUNTA(車両台帳!$C$57:$C$2056)=0,"",COUNTIF(車両台帳!$BD$57:$BD$2056,AP$3&amp;"-"&amp;521&amp;"A"))</f>
        <v/>
      </c>
      <c r="AQ14" s="722" t="str">
        <f>IF(COUNTA(車両台帳!$C$57:$C$2056)=0,"",COUNTIF(車両台帳!$BD$57:$BD$2056,AQ$3&amp;"-"&amp;521&amp;"A"))</f>
        <v/>
      </c>
      <c r="AR14" s="722" t="str">
        <f>IF(COUNTA(車両台帳!$C$57:$C$2056)=0,"",COUNTIF(車両台帳!$BD$57:$BD$2056,AR$3&amp;"-"&amp;521&amp;"A"))</f>
        <v/>
      </c>
      <c r="AS14" s="722" t="str">
        <f>IF(COUNTA(車両台帳!$C$57:$C$2056)=0,"",COUNTIF(車両台帳!$BD$57:$BD$2056,AS$3&amp;"-"&amp;521&amp;"A"))</f>
        <v/>
      </c>
      <c r="AT14" s="722" t="str">
        <f>IF(COUNTA(車両台帳!$C$57:$C$2056)=0,"",COUNTIF(車両台帳!$BD$57:$BD$2056,AT$3&amp;"-"&amp;521&amp;"A"))</f>
        <v/>
      </c>
      <c r="AU14" s="722" t="str">
        <f>IF(COUNTA(車両台帳!$C$57:$C$2056)=0,"",COUNTIF(車両台帳!$BD$57:$BD$2056,AU$3&amp;"-"&amp;521&amp;"A"))</f>
        <v/>
      </c>
      <c r="AV14" s="722" t="str">
        <f>IF(COUNTA(車両台帳!$C$57:$C$2056)=0,"",COUNTIF(車両台帳!$BD$57:$BD$2056,AV$3&amp;"-"&amp;521&amp;"A"))</f>
        <v/>
      </c>
      <c r="AW14" s="722" t="str">
        <f>IF(COUNTA(車両台帳!$C$57:$C$2056)=0,"",COUNTIF(車両台帳!$BD$57:$BD$2056,AW$3&amp;"-"&amp;521&amp;"A"))</f>
        <v/>
      </c>
      <c r="AX14" s="722" t="str">
        <f>IF(COUNTA(車両台帳!$C$57:$C$2056)=0,"",COUNTIF(車両台帳!$BD$57:$BD$2056,AX$3&amp;"-"&amp;521&amp;"A"))</f>
        <v/>
      </c>
      <c r="AY14" s="722" t="str">
        <f>IF(COUNTA(車両台帳!$C$57:$C$2056)=0,"",COUNTIF(車両台帳!$BD$57:$BD$2056,AY$3&amp;"-"&amp;521&amp;"A"))</f>
        <v/>
      </c>
      <c r="AZ14" s="722" t="str">
        <f>IF(COUNTA(車両台帳!$C$57:$C$2056)=0,"",COUNTIF(車両台帳!$BD$57:$BD$2056,AZ$3&amp;"-"&amp;521&amp;"A"))</f>
        <v/>
      </c>
      <c r="BA14" s="722" t="str">
        <f>IF(COUNTA(車両台帳!$C$57:$C$2056)=0,"",COUNTIF(車両台帳!$BD$57:$BD$2056,BA$3&amp;"-"&amp;521&amp;"A"))</f>
        <v/>
      </c>
      <c r="BB14" s="722" t="str">
        <f>IF(COUNTA(車両台帳!$C$57:$C$2056)=0,"",COUNTIF(車両台帳!$BD$57:$BD$2056,BB$3&amp;"-"&amp;521&amp;"A"))</f>
        <v/>
      </c>
      <c r="BC14" s="722" t="str">
        <f>IF(COUNTA(車両台帳!$C$57:$C$2056)=0,"",COUNTIF(車両台帳!$BD$57:$BD$2056,BC$3&amp;"-"&amp;521&amp;"A"))</f>
        <v/>
      </c>
      <c r="BD14" s="722" t="str">
        <f>IF(COUNTA(車両台帳!$C$57:$C$2056)=0,"",COUNTIF(車両台帳!$BD$57:$BD$2056,BD$3&amp;"-"&amp;521&amp;"A"))</f>
        <v/>
      </c>
      <c r="BE14" s="722" t="str">
        <f>IF(COUNTA(車両台帳!$C$57:$C$2056)=0,"",COUNTIF(車両台帳!$BD$57:$BD$2056,BE$3&amp;"-"&amp;521&amp;"A"))</f>
        <v/>
      </c>
      <c r="BF14" s="722" t="str">
        <f>IF(COUNTA(車両台帳!$C$57:$C$2056)=0,"",COUNTIF(車両台帳!$BD$57:$BD$2056,BF$3&amp;"-"&amp;521&amp;"A"))</f>
        <v/>
      </c>
      <c r="BG14" s="722" t="str">
        <f>IF(COUNTA(車両台帳!$C$57:$C$2056)=0,"",COUNTIF(車両台帳!$BD$57:$BD$2056,BG$3&amp;"-"&amp;521&amp;"A"))</f>
        <v/>
      </c>
      <c r="BH14" s="722" t="str">
        <f>IF(COUNTA(車両台帳!$C$57:$C$2056)=0,"",COUNTIF(車両台帳!$BD$57:$BD$2056,BH$3&amp;"-"&amp;521&amp;"A"))</f>
        <v/>
      </c>
      <c r="BI14" s="722" t="str">
        <f>IF(COUNTA(車両台帳!$C$57:$C$2056)=0,"",COUNTIF(車両台帳!$BD$57:$BD$2056,BI$3&amp;"-"&amp;521&amp;"A"))</f>
        <v/>
      </c>
      <c r="BJ14" s="722" t="str">
        <f>IF(COUNTA(車両台帳!$C$57:$C$2056)=0,"",COUNTIF(車両台帳!$BD$57:$BD$2056,BJ$3&amp;"-"&amp;521&amp;"A"))</f>
        <v/>
      </c>
      <c r="BK14" s="722" t="str">
        <f>IF(COUNTA(車両台帳!$C$57:$C$2056)=0,"",COUNTIF(車両台帳!$BD$57:$BD$2056,BK$3&amp;"-"&amp;521&amp;"A"))</f>
        <v/>
      </c>
      <c r="BL14" s="722" t="str">
        <f>IF(COUNTA(車両台帳!$C$57:$C$2056)=0,"",COUNTIF(車両台帳!$BD$57:$BD$2056,BL$3&amp;"-"&amp;521&amp;"A"))</f>
        <v/>
      </c>
      <c r="BM14" s="722" t="str">
        <f>IF(COUNTA(車両台帳!$C$57:$C$2056)=0,"",COUNTIF(車両台帳!$BD$57:$BD$2056,BM$3&amp;"-"&amp;521&amp;"A"))</f>
        <v/>
      </c>
      <c r="BN14" s="722" t="str">
        <f>IF(COUNTA(車両台帳!$C$57:$C$2056)=0,"",COUNTIF(車両台帳!$BD$57:$BD$2056,BN$3&amp;"-"&amp;521&amp;"A"))</f>
        <v/>
      </c>
      <c r="BO14" s="722" t="str">
        <f>IF(COUNTA(車両台帳!$C$57:$C$2056)=0,"",COUNTIF(車両台帳!$BD$57:$BD$2056,BO$3&amp;"-"&amp;521&amp;"A"))</f>
        <v/>
      </c>
      <c r="BP14" s="722" t="str">
        <f>IF(COUNTA(車両台帳!$C$57:$C$2056)=0,"",COUNTIF(車両台帳!$BD$57:$BD$2056,BP$3&amp;"-"&amp;521&amp;"A"))</f>
        <v/>
      </c>
      <c r="BQ14" s="722" t="str">
        <f>IF(COUNTA(車両台帳!$C$57:$C$2056)=0,"",COUNTIF(車両台帳!$BD$57:$BD$2056,BQ$3&amp;"-"&amp;521&amp;"A"))</f>
        <v/>
      </c>
      <c r="BR14" s="722" t="str">
        <f>IF(COUNTA(車両台帳!$C$57:$C$2056)=0,"",COUNTIF(車両台帳!$BD$57:$BD$2056,BR$3&amp;"-"&amp;521&amp;"A"))</f>
        <v/>
      </c>
      <c r="BS14" s="722" t="str">
        <f>IF(COUNTA(車両台帳!$C$57:$C$2056)=0,"",COUNTIF(車両台帳!$BD$57:$BD$2056,BS$3&amp;"-"&amp;521&amp;"A"))</f>
        <v/>
      </c>
      <c r="BT14" s="722" t="str">
        <f>IF(COUNTA(車両台帳!$C$57:$C$2056)=0,"",COUNTIF(車両台帳!$BD$57:$BD$2056,BT$3&amp;"-"&amp;521&amp;"A"))</f>
        <v/>
      </c>
      <c r="BU14" s="722" t="str">
        <f>IF(COUNTA(車両台帳!$C$57:$C$2056)=0,"",COUNTIF(車両台帳!$BD$57:$BD$2056,BU$3&amp;"-"&amp;521&amp;"A"))</f>
        <v/>
      </c>
      <c r="BV14" s="722" t="str">
        <f>IF(COUNTA(車両台帳!$C$57:$C$2056)=0,"",COUNTIF(車両台帳!$BD$57:$BD$2056,BV$3&amp;"-"&amp;521&amp;"A"))</f>
        <v/>
      </c>
      <c r="BW14" s="722" t="str">
        <f>IF(COUNTA(車両台帳!$C$57:$C$2056)=0,"",COUNTIF(車両台帳!$BD$57:$BD$2056,BW$3&amp;"-"&amp;521&amp;"A"))</f>
        <v/>
      </c>
      <c r="BX14" s="722" t="str">
        <f>IF(COUNTA(車両台帳!$C$57:$C$2056)=0,"",COUNTIF(車両台帳!$BD$57:$BD$2056,BX$3&amp;"-"&amp;521&amp;"A"))</f>
        <v/>
      </c>
      <c r="BY14" s="722" t="str">
        <f>IF(COUNTA(車両台帳!$C$57:$C$2056)=0,"",COUNTIF(車両台帳!$BD$57:$BD$2056,BY$3&amp;"-"&amp;521&amp;"A"))</f>
        <v/>
      </c>
      <c r="BZ14" s="722" t="str">
        <f>IF(COUNTA(車両台帳!$C$57:$C$2056)=0,"",COUNTIF(車両台帳!$BD$57:$BD$2056,BZ$3&amp;"-"&amp;521&amp;"A"))</f>
        <v/>
      </c>
      <c r="CA14" s="722" t="str">
        <f>IF(COUNTA(車両台帳!$C$57:$C$2056)=0,"",COUNTIF(車両台帳!$BD$57:$BD$2056,CA$3&amp;"-"&amp;521&amp;"A"))</f>
        <v/>
      </c>
      <c r="CB14" s="722" t="str">
        <f>IF(COUNTA(車両台帳!$C$57:$C$2056)=0,"",COUNTIF(車両台帳!$BD$57:$BD$2056,CB$3&amp;"-"&amp;521&amp;"A"))</f>
        <v/>
      </c>
      <c r="CC14" s="722" t="str">
        <f>IF(COUNTA(車両台帳!$C$57:$C$2056)=0,"",COUNTIF(車両台帳!$BD$57:$BD$2056,CC$3&amp;"-"&amp;521&amp;"A"))</f>
        <v/>
      </c>
      <c r="CD14" s="722" t="str">
        <f>IF(COUNTA(車両台帳!$C$57:$C$2056)=0,"",COUNTIF(車両台帳!$BD$57:$BD$2056,CD$3&amp;"-"&amp;521&amp;"A"))</f>
        <v/>
      </c>
      <c r="CE14" s="722" t="str">
        <f>IF(COUNTA(車両台帳!$C$57:$C$2056)=0,"",COUNTIF(車両台帳!$BD$57:$BD$2056,CE$3&amp;"-"&amp;521&amp;"A"))</f>
        <v/>
      </c>
      <c r="CF14" s="722" t="str">
        <f>IF(COUNTA(車両台帳!$C$57:$C$2056)=0,"",COUNTIF(車両台帳!$BD$57:$BD$2056,CF$3&amp;"-"&amp;521&amp;"A"))</f>
        <v/>
      </c>
      <c r="CG14" s="722" t="str">
        <f>IF(COUNTA(車両台帳!$C$57:$C$2056)=0,"",COUNTIF(車両台帳!$BD$57:$BD$2056,CG$3&amp;"-"&amp;521&amp;"A"))</f>
        <v/>
      </c>
      <c r="CH14" s="722" t="str">
        <f>IF(COUNTA(車両台帳!$C$57:$C$2056)=0,"",COUNTIF(車両台帳!$BD$57:$BD$2056,CH$3&amp;"-"&amp;521&amp;"A"))</f>
        <v/>
      </c>
      <c r="CI14" s="722" t="str">
        <f>IF(COUNTA(車両台帳!$C$57:$C$2056)=0,"",COUNTIF(車両台帳!$BD$57:$BD$2056,CI$3&amp;"-"&amp;521&amp;"A"))</f>
        <v/>
      </c>
      <c r="CJ14" s="722" t="str">
        <f>IF(COUNTA(車両台帳!$C$57:$C$2056)=0,"",COUNTIF(車両台帳!$BD$57:$BD$2056,CJ$3&amp;"-"&amp;521&amp;"A"))</f>
        <v/>
      </c>
      <c r="CK14" s="722" t="str">
        <f>IF(COUNTA(車両台帳!$C$57:$C$2056)=0,"",COUNTIF(車両台帳!$BD$57:$BD$2056,CK$3&amp;"-"&amp;521&amp;"A"))</f>
        <v/>
      </c>
      <c r="CL14" s="722" t="str">
        <f>IF(COUNTA(車両台帳!$C$57:$C$2056)=0,"",COUNTIF(車両台帳!$BD$57:$BD$2056,CL$3&amp;"-"&amp;521&amp;"A"))</f>
        <v/>
      </c>
      <c r="CM14" s="722" t="str">
        <f>IF(COUNTA(車両台帳!$C$57:$C$2056)=0,"",COUNTIF(車両台帳!$BD$57:$BD$2056,CM$3&amp;"-"&amp;521&amp;"A"))</f>
        <v/>
      </c>
      <c r="CN14" s="722" t="str">
        <f>IF(COUNTA(車両台帳!$C$57:$C$2056)=0,"",COUNTIF(車両台帳!$BD$57:$BD$2056,CN$3&amp;"-"&amp;521&amp;"A"))</f>
        <v/>
      </c>
      <c r="CO14" s="722" t="str">
        <f>IF(COUNTA(車両台帳!$C$57:$C$2056)=0,"",COUNTIF(車両台帳!$BD$57:$BD$2056,CO$3&amp;"-"&amp;521&amp;"A"))</f>
        <v/>
      </c>
      <c r="CP14" s="722" t="str">
        <f>IF(COUNTA(車両台帳!$C$57:$C$2056)=0,"",COUNTIF(車両台帳!$BD$57:$BD$2056,CP$3&amp;"-"&amp;521&amp;"A"))</f>
        <v/>
      </c>
      <c r="CQ14" s="722" t="str">
        <f>IF(COUNTA(車両台帳!$C$57:$C$2056)=0,"",COUNTIF(車両台帳!$BD$57:$BD$2056,CQ$3&amp;"-"&amp;521&amp;"A"))</f>
        <v/>
      </c>
      <c r="CR14" s="722" t="str">
        <f>IF(COUNTA(車両台帳!$C$57:$C$2056)=0,"",COUNTIF(車両台帳!$BD$57:$BD$2056,CR$3&amp;"-"&amp;521&amp;"A"))</f>
        <v/>
      </c>
      <c r="CS14" s="722" t="str">
        <f>IF(COUNTA(車両台帳!$C$57:$C$2056)=0,"",COUNTIF(車両台帳!$BD$57:$BD$2056,CS$3&amp;"-"&amp;521&amp;"A"))</f>
        <v/>
      </c>
      <c r="CT14" s="722" t="str">
        <f>IF(COUNTA(車両台帳!$C$57:$C$2056)=0,"",COUNTIF(車両台帳!$BD$57:$BD$2056,CT$3&amp;"-"&amp;521&amp;"A"))</f>
        <v/>
      </c>
      <c r="CU14" s="722" t="str">
        <f>IF(COUNTA(車両台帳!$C$57:$C$2056)=0,"",COUNTIF(車両台帳!$BD$57:$BD$2056,CU$3&amp;"-"&amp;521&amp;"A"))</f>
        <v/>
      </c>
      <c r="CV14" s="722" t="str">
        <f>IF(COUNTA(車両台帳!$C$57:$C$2056)=0,"",COUNTIF(車両台帳!$BD$57:$BD$2056,CV$3&amp;"-"&amp;521&amp;"A"))</f>
        <v/>
      </c>
      <c r="CW14" s="722" t="str">
        <f>IF(COUNTA(車両台帳!$C$57:$C$2056)=0,"",COUNTIF(車両台帳!$BD$57:$BD$2056,CW$3&amp;"-"&amp;521&amp;"A"))</f>
        <v/>
      </c>
      <c r="CX14" s="722" t="str">
        <f>IF(COUNTA(車両台帳!$C$57:$C$2056)=0,"",COUNTIF(車両台帳!$BD$57:$BD$2056,CX$3&amp;"-"&amp;521&amp;"A"))</f>
        <v/>
      </c>
      <c r="CY14" s="722" t="str">
        <f>IF(COUNTA(車両台帳!$C$57:$C$2056)=0,"",COUNTIF(車両台帳!$BD$57:$BD$2056,CY$3&amp;"-"&amp;521&amp;"A"))</f>
        <v/>
      </c>
      <c r="CZ14" s="722" t="str">
        <f>IF(COUNTA(車両台帳!$C$57:$C$2056)=0,"",COUNTIF(車両台帳!$BD$57:$BD$2056,CZ$3&amp;"-"&amp;521&amp;"A"))</f>
        <v/>
      </c>
      <c r="DA14" s="722" t="str">
        <f>IF(COUNTA(車両台帳!$C$57:$C$2056)=0,"",COUNTIF(車両台帳!$BD$57:$BD$2056,DA$3&amp;"-"&amp;521&amp;"A"))</f>
        <v/>
      </c>
      <c r="DB14" s="722" t="str">
        <f>IF(COUNTA(車両台帳!$C$57:$C$2056)=0,"",COUNTIF(車両台帳!$BD$57:$BD$2056,DB$3&amp;"-"&amp;521&amp;"A"))</f>
        <v/>
      </c>
      <c r="DC14" s="722" t="str">
        <f>IF(COUNTA(車両台帳!$C$57:$C$2056)=0,"",COUNTIF(車両台帳!$BD$57:$BD$2056,DC$3&amp;"-"&amp;521&amp;"A"))</f>
        <v/>
      </c>
      <c r="DD14" s="722" t="str">
        <f>IF(COUNTA(車両台帳!$C$57:$C$2056)=0,"",COUNTIF(車両台帳!$BD$57:$BD$2056,DD$3&amp;"-"&amp;521&amp;"A"))</f>
        <v/>
      </c>
      <c r="DE14" s="722" t="str">
        <f>IF(COUNTA(車両台帳!$C$57:$C$2056)=0,"",COUNTIF(車両台帳!$BD$57:$BD$2056,DE$3&amp;"-"&amp;521&amp;"A"))</f>
        <v/>
      </c>
      <c r="DF14" s="722" t="str">
        <f>IF(COUNTA(車両台帳!$C$57:$C$2056)=0,"",COUNTIF(車両台帳!$BD$57:$BD$2056,DF$3&amp;"-"&amp;521&amp;"A"))</f>
        <v/>
      </c>
      <c r="DG14" s="722" t="str">
        <f>IF(COUNTA(車両台帳!$C$57:$C$2056)=0,"",COUNTIF(車両台帳!$BD$57:$BD$2056,DG$3&amp;"-"&amp;521&amp;"A"))</f>
        <v/>
      </c>
      <c r="DH14" s="722" t="str">
        <f>IF(COUNTA(車両台帳!$C$57:$C$2056)=0,"",COUNTIF(車両台帳!$BD$57:$BD$2056,DH$3&amp;"-"&amp;521&amp;"A"))</f>
        <v/>
      </c>
      <c r="DI14" s="722" t="str">
        <f>IF(COUNTA(車両台帳!$C$57:$C$2056)=0,"",COUNTIF(車両台帳!$BD$57:$BD$2056,DI$3&amp;"-"&amp;521&amp;"A"))</f>
        <v/>
      </c>
      <c r="DJ14" s="722" t="str">
        <f>IF(COUNTA(車両台帳!$C$57:$C$2056)=0,"",COUNTIF(車両台帳!$BD$57:$BD$2056,DJ$3&amp;"-"&amp;521&amp;"A"))</f>
        <v/>
      </c>
      <c r="DK14" s="722" t="str">
        <f>IF(COUNTA(車両台帳!$C$57:$C$2056)=0,"",COUNTIF(車両台帳!$BD$57:$BD$2056,DK$3&amp;"-"&amp;521&amp;"A"))</f>
        <v/>
      </c>
      <c r="DL14" s="722" t="str">
        <f>IF(COUNTA(車両台帳!$C$57:$C$2056)=0,"",COUNTIF(車両台帳!$BD$57:$BD$2056,DL$3&amp;"-"&amp;521&amp;"A"))</f>
        <v/>
      </c>
      <c r="DM14" s="722" t="str">
        <f>IF(COUNTA(車両台帳!$C$57:$C$2056)=0,"",COUNTIF(車両台帳!$BD$57:$BD$2056,DM$3&amp;"-"&amp;521&amp;"A"))</f>
        <v/>
      </c>
      <c r="DN14" s="722" t="str">
        <f>IF(COUNTA(車両台帳!$C$57:$C$2056)=0,"",COUNTIF(車両台帳!$BD$57:$BD$2056,DN$3&amp;"-"&amp;521&amp;"A"))</f>
        <v/>
      </c>
      <c r="DO14" s="722" t="str">
        <f>IF(COUNTA(車両台帳!$C$57:$C$2056)=0,"",COUNTIF(車両台帳!$BD$57:$BD$2056,DO$3&amp;"-"&amp;521&amp;"A"))</f>
        <v/>
      </c>
      <c r="DP14" s="722" t="str">
        <f>IF(COUNTA(車両台帳!$C$57:$C$2056)=0,"",COUNTIF(車両台帳!$BD$57:$BD$2056,DP$3&amp;"-"&amp;521&amp;"A"))</f>
        <v/>
      </c>
      <c r="DQ14" s="722" t="str">
        <f>IF(COUNTA(車両台帳!$C$57:$C$2056)=0,"",COUNTIF(車両台帳!$BD$57:$BD$2056,DQ$3&amp;"-"&amp;521&amp;"A"))</f>
        <v/>
      </c>
      <c r="DR14" s="722" t="str">
        <f>IF(COUNTA(車両台帳!$C$57:$C$2056)=0,"",COUNTIF(車両台帳!$BD$57:$BD$2056,DR$3&amp;"-"&amp;521&amp;"A"))</f>
        <v/>
      </c>
      <c r="DS14" s="722" t="str">
        <f>IF(COUNTA(車両台帳!$C$57:$C$2056)=0,"",COUNTIF(車両台帳!$BD$57:$BD$2056,DS$3&amp;"-"&amp;521&amp;"A"))</f>
        <v/>
      </c>
      <c r="DT14" s="722" t="str">
        <f>IF(COUNTA(車両台帳!$C$57:$C$2056)=0,"",COUNTIF(車両台帳!$BD$57:$BD$2056,DT$3&amp;"-"&amp;521&amp;"A"))</f>
        <v/>
      </c>
      <c r="DU14" s="722" t="str">
        <f>IF(COUNTA(車両台帳!$C$57:$C$2056)=0,"",COUNTIF(車両台帳!$BD$57:$BD$2056,DU$3&amp;"-"&amp;521&amp;"A"))</f>
        <v/>
      </c>
      <c r="DV14" s="722" t="str">
        <f>IF(COUNTA(車両台帳!$C$57:$C$2056)=0,"",COUNTIF(車両台帳!$BD$57:$BD$2056,DV$3&amp;"-"&amp;521&amp;"A"))</f>
        <v/>
      </c>
      <c r="DW14" s="722" t="str">
        <f>IF(COUNTA(車両台帳!$C$57:$C$2056)=0,"",COUNTIF(車両台帳!$BD$57:$BD$2056,DW$3&amp;"-"&amp;521&amp;"A"))</f>
        <v/>
      </c>
      <c r="DX14" s="722" t="str">
        <f>IF(COUNTA(車両台帳!$C$57:$C$2056)=0,"",COUNTIF(車両台帳!$BD$57:$BD$2056,DX$3&amp;"-"&amp;521&amp;"A"))</f>
        <v/>
      </c>
      <c r="DY14" s="722" t="str">
        <f>IF(COUNTA(車両台帳!$C$57:$C$2056)=0,"",COUNTIF(車両台帳!$BD$57:$BD$2056,DY$3&amp;"-"&amp;521&amp;"A"))</f>
        <v/>
      </c>
      <c r="DZ14" s="722" t="str">
        <f>IF(COUNTA(車両台帳!$C$57:$C$2056)=0,"",COUNTIF(車両台帳!$BD$57:$BD$2056,DZ$3&amp;"-"&amp;521&amp;"A"))</f>
        <v/>
      </c>
      <c r="EA14" s="722" t="str">
        <f>IF(COUNTA(車両台帳!$C$57:$C$2056)=0,"",COUNTIF(車両台帳!$BD$57:$BD$2056,EA$3&amp;"-"&amp;521&amp;"A"))</f>
        <v/>
      </c>
      <c r="EB14" s="722" t="str">
        <f>IF(COUNTA(車両台帳!$C$57:$C$2056)=0,"",COUNTIF(車両台帳!$BD$57:$BD$2056,EB$3&amp;"-"&amp;521&amp;"A"))</f>
        <v/>
      </c>
      <c r="EC14" s="722" t="str">
        <f>IF(COUNTA(車両台帳!$C$57:$C$2056)=0,"",COUNTIF(車両台帳!$BD$57:$BD$2056,EC$3&amp;"-"&amp;521&amp;"A"))</f>
        <v/>
      </c>
      <c r="ED14" s="722" t="str">
        <f>IF(COUNTA(車両台帳!$C$57:$C$2056)=0,"",COUNTIF(車両台帳!$BD$57:$BD$2056,ED$3&amp;"-"&amp;521&amp;"A"))</f>
        <v/>
      </c>
      <c r="EE14" s="722" t="str">
        <f>IF(COUNTA(車両台帳!$C$57:$C$2056)=0,"",COUNTIF(車両台帳!$BD$57:$BD$2056,EE$3&amp;"-"&amp;521&amp;"A"))</f>
        <v/>
      </c>
      <c r="EF14" s="722" t="str">
        <f>IF(COUNTA(車両台帳!$C$57:$C$2056)=0,"",COUNTIF(車両台帳!$BD$57:$BD$2056,EF$3&amp;"-"&amp;521&amp;"A"))</f>
        <v/>
      </c>
      <c r="EG14" s="722" t="str">
        <f>IF(COUNTA(車両台帳!$C$57:$C$2056)=0,"",COUNTIF(車両台帳!$BD$57:$BD$2056,EG$3&amp;"-"&amp;521&amp;"A"))</f>
        <v/>
      </c>
      <c r="EH14" s="722" t="str">
        <f>IF(COUNTA(車両台帳!$C$57:$C$2056)=0,"",COUNTIF(車両台帳!$BD$57:$BD$2056,EH$3&amp;"-"&amp;521&amp;"A"))</f>
        <v/>
      </c>
      <c r="EI14" s="722" t="str">
        <f>IF(COUNTA(車両台帳!$C$57:$C$2056)=0,"",COUNTIF(車両台帳!$BD$57:$BD$2056,EI$3&amp;"-"&amp;521&amp;"A"))</f>
        <v/>
      </c>
      <c r="EJ14" s="722" t="str">
        <f>IF(COUNTA(車両台帳!$C$57:$C$2056)=0,"",COUNTIF(車両台帳!$BD$57:$BD$2056,EJ$3&amp;"-"&amp;521&amp;"A"))</f>
        <v/>
      </c>
      <c r="EK14" s="722" t="str">
        <f>IF(COUNTA(車両台帳!$C$57:$C$2056)=0,"",COUNTIF(車両台帳!$BD$57:$BD$2056,EK$3&amp;"-"&amp;521&amp;"A"))</f>
        <v/>
      </c>
      <c r="EL14" s="722" t="str">
        <f>IF(COUNTA(車両台帳!$C$57:$C$2056)=0,"",COUNTIF(車両台帳!$BD$57:$BD$2056,EL$3&amp;"-"&amp;521&amp;"A"))</f>
        <v/>
      </c>
      <c r="EM14" s="722" t="str">
        <f>IF(COUNTA(車両台帳!$C$57:$C$2056)=0,"",COUNTIF(車両台帳!$BD$57:$BD$2056,EM$3&amp;"-"&amp;521&amp;"A"))</f>
        <v/>
      </c>
      <c r="EN14" s="722" t="str">
        <f>IF(COUNTA(車両台帳!$C$57:$C$2056)=0,"",COUNTIF(車両台帳!$BD$57:$BD$2056,EN$3&amp;"-"&amp;521&amp;"A"))</f>
        <v/>
      </c>
      <c r="EO14" s="722" t="str">
        <f>IF(COUNTA(車両台帳!$C$57:$C$2056)=0,"",COUNTIF(車両台帳!$BD$57:$BD$2056,EO$3&amp;"-"&amp;521&amp;"A"))</f>
        <v/>
      </c>
      <c r="EP14" s="722" t="str">
        <f>IF(COUNTA(車両台帳!$C$57:$C$2056)=0,"",COUNTIF(車両台帳!$BD$57:$BD$2056,EP$3&amp;"-"&amp;521&amp;"A"))</f>
        <v/>
      </c>
      <c r="EQ14" s="722" t="str">
        <f>IF(COUNTA(車両台帳!$C$57:$C$2056)=0,"",COUNTIF(車両台帳!$BD$57:$BD$2056,EQ$3&amp;"-"&amp;521&amp;"A"))</f>
        <v/>
      </c>
      <c r="ER14" s="722" t="str">
        <f>IF(COUNTA(車両台帳!$C$57:$C$2056)=0,"",COUNTIF(車両台帳!$BD$57:$BD$2056,ER$3&amp;"-"&amp;521&amp;"A"))</f>
        <v/>
      </c>
      <c r="ES14" s="722" t="str">
        <f>IF(COUNTA(車両台帳!$C$57:$C$2056)=0,"",COUNTIF(車両台帳!$BD$57:$BD$2056,ES$3&amp;"-"&amp;521&amp;"A"))</f>
        <v/>
      </c>
      <c r="ET14" s="722" t="str">
        <f>IF(COUNTA(車両台帳!$C$57:$C$2056)=0,"",COUNTIF(車両台帳!$BD$57:$BD$2056,ET$3&amp;"-"&amp;521&amp;"A"))</f>
        <v/>
      </c>
      <c r="EU14" s="722" t="str">
        <f>IF(COUNTA(車両台帳!$C$57:$C$2056)=0,"",COUNTIF(車両台帳!$BD$57:$BD$2056,EU$3&amp;"-"&amp;521&amp;"A"))</f>
        <v/>
      </c>
      <c r="EV14" s="722" t="str">
        <f>IF(COUNTA(車両台帳!$C$57:$C$2056)=0,"",COUNTIF(車両台帳!$BD$57:$BD$2056,EV$3&amp;"-"&amp;521&amp;"A"))</f>
        <v/>
      </c>
      <c r="EW14" s="722" t="str">
        <f>IF(COUNTA(車両台帳!$C$57:$C$2056)=0,"",COUNTIF(車両台帳!$BD$57:$BD$2056,EW$3&amp;"-"&amp;521&amp;"A"))</f>
        <v/>
      </c>
      <c r="EX14" s="722" t="str">
        <f>IF(COUNTA(車両台帳!$C$57:$C$2056)=0,"",COUNTIF(車両台帳!$BD$57:$BD$2056,EX$3&amp;"-"&amp;521&amp;"A"))</f>
        <v/>
      </c>
      <c r="EY14" s="722" t="str">
        <f>IF(COUNTA(車両台帳!$C$57:$C$2056)=0,"",COUNTIF(車両台帳!$BD$57:$BD$2056,EY$3&amp;"-"&amp;521&amp;"A"))</f>
        <v/>
      </c>
      <c r="EZ14" s="722" t="str">
        <f>IF(COUNTA(車両台帳!$C$57:$C$2056)=0,"",COUNTIF(車両台帳!$BD$57:$BD$2056,EZ$3&amp;"-"&amp;521&amp;"A"))</f>
        <v/>
      </c>
      <c r="FA14" s="722" t="str">
        <f>IF(COUNTA(車両台帳!$C$57:$C$2056)=0,"",COUNTIF(車両台帳!$BD$57:$BD$2056,FA$3&amp;"-"&amp;521&amp;"A"))</f>
        <v/>
      </c>
      <c r="FB14" s="722" t="str">
        <f>IF(COUNTA(車両台帳!$C$57:$C$2056)=0,"",COUNTIF(車両台帳!$BD$57:$BD$2056,FB$3&amp;"-"&amp;521&amp;"A"))</f>
        <v/>
      </c>
      <c r="FC14" s="722" t="str">
        <f>IF(COUNTA(車両台帳!$C$57:$C$2056)=0,"",COUNTIF(車両台帳!$BD$57:$BD$2056,FC$3&amp;"-"&amp;521&amp;"A"))</f>
        <v/>
      </c>
      <c r="FD14" s="722" t="str">
        <f>IF(COUNTA(車両台帳!$C$57:$C$2056)=0,"",COUNTIF(車両台帳!$BD$57:$BD$2056,FD$3&amp;"-"&amp;521&amp;"A"))</f>
        <v/>
      </c>
      <c r="FE14" s="722" t="str">
        <f>IF(COUNTA(車両台帳!$C$57:$C$2056)=0,"",COUNTIF(車両台帳!$BD$57:$BD$2056,FE$3&amp;"-"&amp;521&amp;"A"))</f>
        <v/>
      </c>
      <c r="FF14" s="722" t="str">
        <f>IF(COUNTA(車両台帳!$C$57:$C$2056)=0,"",COUNTIF(車両台帳!$BD$57:$BD$2056,FF$3&amp;"-"&amp;521&amp;"A"))</f>
        <v/>
      </c>
      <c r="FG14" s="722" t="str">
        <f>IF(COUNTA(車両台帳!$C$57:$C$2056)=0,"",COUNTIF(車両台帳!$BD$57:$BD$2056,FG$3&amp;"-"&amp;521&amp;"A"))</f>
        <v/>
      </c>
      <c r="FH14" s="722" t="str">
        <f>IF(COUNTA(車両台帳!$C$57:$C$2056)=0,"",COUNTIF(車両台帳!$BD$57:$BD$2056,FH$3&amp;"-"&amp;521&amp;"A"))</f>
        <v/>
      </c>
      <c r="FI14" s="722" t="str">
        <f>IF(COUNTA(車両台帳!$C$57:$C$2056)=0,"",COUNTIF(車両台帳!$BD$57:$BD$2056,FI$3&amp;"-"&amp;521&amp;"A"))</f>
        <v/>
      </c>
      <c r="FJ14" s="722" t="str">
        <f>IF(COUNTA(車両台帳!$C$57:$C$2056)=0,"",COUNTIF(車両台帳!$BD$57:$BD$2056,FJ$3&amp;"-"&amp;521&amp;"A"))</f>
        <v/>
      </c>
      <c r="FK14" s="722" t="str">
        <f>IF(COUNTA(車両台帳!$C$57:$C$2056)=0,"",COUNTIF(車両台帳!$BD$57:$BD$2056,FK$3&amp;"-"&amp;521&amp;"A"))</f>
        <v/>
      </c>
      <c r="FL14" s="722" t="str">
        <f>IF(COUNTA(車両台帳!$C$57:$C$2056)=0,"",COUNTIF(車両台帳!$BD$57:$BD$2056,FL$3&amp;"-"&amp;521&amp;"A"))</f>
        <v/>
      </c>
      <c r="FM14" s="722" t="str">
        <f>IF(COUNTA(車両台帳!$C$57:$C$2056)=0,"",COUNTIF(車両台帳!$BD$57:$BD$2056,FM$3&amp;"-"&amp;521&amp;"A"))</f>
        <v/>
      </c>
      <c r="FN14" s="722" t="str">
        <f>IF(COUNTA(車両台帳!$C$57:$C$2056)=0,"",COUNTIF(車両台帳!$BD$57:$BD$2056,FN$3&amp;"-"&amp;521&amp;"A"))</f>
        <v/>
      </c>
      <c r="FO14" s="722" t="str">
        <f>IF(COUNTA(車両台帳!$C$57:$C$2056)=0,"",COUNTIF(車両台帳!$BD$57:$BD$2056,FO$3&amp;"-"&amp;521&amp;"A"))</f>
        <v/>
      </c>
      <c r="FP14" s="722" t="str">
        <f>IF(COUNTA(車両台帳!$C$57:$C$2056)=0,"",COUNTIF(車両台帳!$BD$57:$BD$2056,FP$3&amp;"-"&amp;521&amp;"A"))</f>
        <v/>
      </c>
      <c r="FQ14" s="722" t="str">
        <f>IF(COUNTA(車両台帳!$C$57:$C$2056)=0,"",COUNTIF(車両台帳!$BD$57:$BD$2056,FQ$3&amp;"-"&amp;521&amp;"A"))</f>
        <v/>
      </c>
      <c r="FR14" s="722" t="str">
        <f>IF(COUNTA(車両台帳!$C$57:$C$2056)=0,"",COUNTIF(車両台帳!$BD$57:$BD$2056,FR$3&amp;"-"&amp;521&amp;"A"))</f>
        <v/>
      </c>
      <c r="FS14" s="722" t="str">
        <f>IF(COUNTA(車両台帳!$C$57:$C$2056)=0,"",COUNTIF(車両台帳!$BD$57:$BD$2056,FS$3&amp;"-"&amp;521&amp;"A"))</f>
        <v/>
      </c>
      <c r="FT14" s="722" t="str">
        <f>IF(COUNTA(車両台帳!$C$57:$C$2056)=0,"",COUNTIF(車両台帳!$BD$57:$BD$2056,FT$3&amp;"-"&amp;521&amp;"A"))</f>
        <v/>
      </c>
      <c r="FU14" s="722" t="str">
        <f>IF(COUNTA(車両台帳!$C$57:$C$2056)=0,"",COUNTIF(車両台帳!$BD$57:$BD$2056,FU$3&amp;"-"&amp;521&amp;"A"))</f>
        <v/>
      </c>
      <c r="FV14" s="722" t="str">
        <f>IF(COUNTA(車両台帳!$C$57:$C$2056)=0,"",COUNTIF(車両台帳!$BD$57:$BD$2056,FV$3&amp;"-"&amp;521&amp;"A"))</f>
        <v/>
      </c>
      <c r="FW14" s="722" t="str">
        <f>IF(COUNTA(車両台帳!$C$57:$C$2056)=0,"",COUNTIF(車両台帳!$BD$57:$BD$2056,FW$3&amp;"-"&amp;521&amp;"A"))</f>
        <v/>
      </c>
      <c r="FX14" s="722" t="str">
        <f>IF(COUNTA(車両台帳!$C$57:$C$2056)=0,"",COUNTIF(車両台帳!$BD$57:$BD$2056,FX$3&amp;"-"&amp;521&amp;"A"))</f>
        <v/>
      </c>
      <c r="FY14" s="722" t="str">
        <f>IF(COUNTA(車両台帳!$C$57:$C$2056)=0,"",COUNTIF(車両台帳!$BD$57:$BD$2056,FY$3&amp;"-"&amp;521&amp;"A"))</f>
        <v/>
      </c>
      <c r="FZ14" s="722" t="str">
        <f>IF(COUNTA(車両台帳!$C$57:$C$2056)=0,"",COUNTIF(車両台帳!$BD$57:$BD$2056,FZ$3&amp;"-"&amp;521&amp;"A"))</f>
        <v/>
      </c>
      <c r="GA14" s="722" t="str">
        <f>IF(COUNTA(車両台帳!$C$57:$C$2056)=0,"",COUNTIF(車両台帳!$BD$57:$BD$2056,GA$3&amp;"-"&amp;521&amp;"A"))</f>
        <v/>
      </c>
      <c r="GB14" s="722" t="str">
        <f>IF(COUNTA(車両台帳!$C$57:$C$2056)=0,"",COUNTIF(車両台帳!$BD$57:$BD$2056,GB$3&amp;"-"&amp;521&amp;"A"))</f>
        <v/>
      </c>
      <c r="GC14" s="722" t="str">
        <f>IF(COUNTA(車両台帳!$C$57:$C$2056)=0,"",COUNTIF(車両台帳!$BD$57:$BD$2056,GC$3&amp;"-"&amp;521&amp;"A"))</f>
        <v/>
      </c>
      <c r="GD14" s="722" t="str">
        <f>IF(COUNTA(車両台帳!$C$57:$C$2056)=0,"",COUNTIF(車両台帳!$BD$57:$BD$2056,GD$3&amp;"-"&amp;521&amp;"A"))</f>
        <v/>
      </c>
      <c r="GE14" s="722" t="str">
        <f>IF(COUNTA(車両台帳!$C$57:$C$2056)=0,"",COUNTIF(車両台帳!$BD$57:$BD$2056,GE$3&amp;"-"&amp;521&amp;"A"))</f>
        <v/>
      </c>
      <c r="GF14" s="722" t="str">
        <f>IF(COUNTA(車両台帳!$C$57:$C$2056)=0,"",COUNTIF(車両台帳!$BD$57:$BD$2056,GF$3&amp;"-"&amp;521&amp;"A"))</f>
        <v/>
      </c>
      <c r="GG14" s="722" t="str">
        <f>IF(COUNTA(車両台帳!$C$57:$C$2056)=0,"",COUNTIF(車両台帳!$BD$57:$BD$2056,GG$3&amp;"-"&amp;521&amp;"A"))</f>
        <v/>
      </c>
      <c r="GH14" s="722" t="str">
        <f>IF(COUNTA(車両台帳!$C$57:$C$2056)=0,"",COUNTIF(車両台帳!$BD$57:$BD$2056,GH$3&amp;"-"&amp;521&amp;"A"))</f>
        <v/>
      </c>
      <c r="GI14" s="722" t="str">
        <f>IF(COUNTA(車両台帳!$C$57:$C$2056)=0,"",COUNTIF(車両台帳!$BD$57:$BD$2056,GI$3&amp;"-"&amp;521&amp;"A"))</f>
        <v/>
      </c>
      <c r="GJ14" s="722" t="str">
        <f>IF(COUNTA(車両台帳!$C$57:$C$2056)=0,"",COUNTIF(車両台帳!$BD$57:$BD$2056,GJ$3&amp;"-"&amp;521&amp;"A"))</f>
        <v/>
      </c>
      <c r="GK14" s="722" t="str">
        <f>IF(COUNTA(車両台帳!$C$57:$C$2056)=0,"",COUNTIF(車両台帳!$BD$57:$BD$2056,GK$3&amp;"-"&amp;521&amp;"A"))</f>
        <v/>
      </c>
      <c r="GL14" s="722" t="str">
        <f>IF(COUNTA(車両台帳!$C$57:$C$2056)=0,"",COUNTIF(車両台帳!$BD$57:$BD$2056,GL$3&amp;"-"&amp;521&amp;"A"))</f>
        <v/>
      </c>
      <c r="GM14" s="722" t="str">
        <f>IF(COUNTA(車両台帳!$C$57:$C$2056)=0,"",COUNTIF(車両台帳!$BD$57:$BD$2056,GM$3&amp;"-"&amp;521&amp;"A"))</f>
        <v/>
      </c>
      <c r="GN14" s="722" t="str">
        <f>IF(COUNTA(車両台帳!$C$57:$C$2056)=0,"",COUNTIF(車両台帳!$BD$57:$BD$2056,GN$3&amp;"-"&amp;521&amp;"A"))</f>
        <v/>
      </c>
      <c r="GO14" s="722" t="str">
        <f>IF(COUNTA(車両台帳!$C$57:$C$2056)=0,"",COUNTIF(車両台帳!$BD$57:$BD$2056,GO$3&amp;"-"&amp;521&amp;"A"))</f>
        <v/>
      </c>
      <c r="GP14" s="722" t="str">
        <f>IF(COUNTA(車両台帳!$C$57:$C$2056)=0,"",COUNTIF(車両台帳!$BD$57:$BD$2056,GP$3&amp;"-"&amp;521&amp;"A"))</f>
        <v/>
      </c>
      <c r="GQ14" s="722" t="str">
        <f>IF(COUNTA(車両台帳!$C$57:$C$2056)=0,"",COUNTIF(車両台帳!$BD$57:$BD$2056,GQ$3&amp;"-"&amp;521&amp;"A"))</f>
        <v/>
      </c>
      <c r="GR14" s="722" t="str">
        <f>IF(COUNTA(車両台帳!$C$57:$C$2056)=0,"",COUNTIF(車両台帳!$BD$57:$BD$2056,GR$3&amp;"-"&amp;521&amp;"A"))</f>
        <v/>
      </c>
      <c r="GS14" s="722" t="str">
        <f>IF(COUNTA(車両台帳!$C$57:$C$2056)=0,"",COUNTIF(車両台帳!$BD$57:$BD$2056,GS$3&amp;"-"&amp;521&amp;"A"))</f>
        <v/>
      </c>
      <c r="GT14" s="722" t="str">
        <f>IF(COUNTA(車両台帳!$C$57:$C$2056)=0,"",COUNTIF(車両台帳!$BD$57:$BD$2056,GT$3&amp;"-"&amp;521&amp;"A"))</f>
        <v/>
      </c>
      <c r="GU14" s="723" t="str">
        <f>IF(COUNTA(車両台帳!$C$57:$C$2056)=0,"",COUNTIF(車両台帳!$BD$57:$BD$2056,GU$3&amp;"-"&amp;521&amp;"A"))</f>
        <v/>
      </c>
    </row>
    <row r="15" spans="1:203" s="7" customFormat="1" ht="29.25" customHeight="1">
      <c r="A15" s="1184"/>
      <c r="B15" s="715" t="s">
        <v>51</v>
      </c>
      <c r="C15" s="720" t="str">
        <f>IF(COUNTA(車両台帳!$C$57:$C$2056)=0,"",SUM(D15:GU15))</f>
        <v/>
      </c>
      <c r="D15" s="725" t="str">
        <f>IF(COUNTA(車両台帳!$C$57:$C$2056)=0,"",COUNTIF(車両台帳!$BD$57:$BD$2056,D$3&amp;"-"&amp;522&amp;"A"))</f>
        <v/>
      </c>
      <c r="E15" s="725" t="str">
        <f>IF(COUNTA(車両台帳!$C$57:$C$2056)=0,"",COUNTIF(車両台帳!$BD$57:$BD$2056,E$3&amp;"-"&amp;522&amp;"A"))</f>
        <v/>
      </c>
      <c r="F15" s="725" t="str">
        <f>IF(COUNTA(車両台帳!$C$57:$C$2056)=0,"",COUNTIF(車両台帳!$BD$57:$BD$2056,F$3&amp;"-"&amp;522&amp;"A"))</f>
        <v/>
      </c>
      <c r="G15" s="725" t="str">
        <f>IF(COUNTA(車両台帳!$C$57:$C$2056)=0,"",COUNTIF(車両台帳!$BD$57:$BD$2056,G$3&amp;"-"&amp;522&amp;"A"))</f>
        <v/>
      </c>
      <c r="H15" s="725" t="str">
        <f>IF(COUNTA(車両台帳!$C$57:$C$2056)=0,"",COUNTIF(車両台帳!$BD$57:$BD$2056,H$3&amp;"-"&amp;522&amp;"A"))</f>
        <v/>
      </c>
      <c r="I15" s="725" t="str">
        <f>IF(COUNTA(車両台帳!$C$57:$C$2056)=0,"",COUNTIF(車両台帳!$BD$57:$BD$2056,I$3&amp;"-"&amp;522&amp;"A"))</f>
        <v/>
      </c>
      <c r="J15" s="725" t="str">
        <f>IF(COUNTA(車両台帳!$C$57:$C$2056)=0,"",COUNTIF(車両台帳!$BD$57:$BD$2056,J$3&amp;"-"&amp;522&amp;"A"))</f>
        <v/>
      </c>
      <c r="K15" s="725" t="str">
        <f>IF(COUNTA(車両台帳!$C$57:$C$2056)=0,"",COUNTIF(車両台帳!$BD$57:$BD$2056,K$3&amp;"-"&amp;522&amp;"A"))</f>
        <v/>
      </c>
      <c r="L15" s="725" t="str">
        <f>IF(COUNTA(車両台帳!$C$57:$C$2056)=0,"",COUNTIF(車両台帳!$BD$57:$BD$2056,L$3&amp;"-"&amp;522&amp;"A"))</f>
        <v/>
      </c>
      <c r="M15" s="725" t="str">
        <f>IF(COUNTA(車両台帳!$C$57:$C$2056)=0,"",COUNTIF(車両台帳!$BD$57:$BD$2056,M$3&amp;"-"&amp;522&amp;"A"))</f>
        <v/>
      </c>
      <c r="N15" s="725" t="str">
        <f>IF(COUNTA(車両台帳!$C$57:$C$2056)=0,"",COUNTIF(車両台帳!$BD$57:$BD$2056,N$3&amp;"-"&amp;522&amp;"A"))</f>
        <v/>
      </c>
      <c r="O15" s="725" t="str">
        <f>IF(COUNTA(車両台帳!$C$57:$C$2056)=0,"",COUNTIF(車両台帳!$BD$57:$BD$2056,O$3&amp;"-"&amp;522&amp;"A"))</f>
        <v/>
      </c>
      <c r="P15" s="725" t="str">
        <f>IF(COUNTA(車両台帳!$C$57:$C$2056)=0,"",COUNTIF(車両台帳!$BD$57:$BD$2056,P$3&amp;"-"&amp;522&amp;"A"))</f>
        <v/>
      </c>
      <c r="Q15" s="725" t="str">
        <f>IF(COUNTA(車両台帳!$C$57:$C$2056)=0,"",COUNTIF(車両台帳!$BD$57:$BD$2056,Q$3&amp;"-"&amp;522&amp;"A"))</f>
        <v/>
      </c>
      <c r="R15" s="725" t="str">
        <f>IF(COUNTA(車両台帳!$C$57:$C$2056)=0,"",COUNTIF(車両台帳!$BD$57:$BD$2056,R$3&amp;"-"&amp;522&amp;"A"))</f>
        <v/>
      </c>
      <c r="S15" s="725" t="str">
        <f>IF(COUNTA(車両台帳!$C$57:$C$2056)=0,"",COUNTIF(車両台帳!$BD$57:$BD$2056,S$3&amp;"-"&amp;522&amp;"A"))</f>
        <v/>
      </c>
      <c r="T15" s="725" t="str">
        <f>IF(COUNTA(車両台帳!$C$57:$C$2056)=0,"",COUNTIF(車両台帳!$BD$57:$BD$2056,T$3&amp;"-"&amp;522&amp;"A"))</f>
        <v/>
      </c>
      <c r="U15" s="725" t="str">
        <f>IF(COUNTA(車両台帳!$C$57:$C$2056)=0,"",COUNTIF(車両台帳!$BD$57:$BD$2056,U$3&amp;"-"&amp;522&amp;"A"))</f>
        <v/>
      </c>
      <c r="V15" s="725" t="str">
        <f>IF(COUNTA(車両台帳!$C$57:$C$2056)=0,"",COUNTIF(車両台帳!$BD$57:$BD$2056,V$3&amp;"-"&amp;522&amp;"A"))</f>
        <v/>
      </c>
      <c r="W15" s="725" t="str">
        <f>IF(COUNTA(車両台帳!$C$57:$C$2056)=0,"",COUNTIF(車両台帳!$BD$57:$BD$2056,W$3&amp;"-"&amp;522&amp;"A"))</f>
        <v/>
      </c>
      <c r="X15" s="725" t="str">
        <f>IF(COUNTA(車両台帳!$C$57:$C$2056)=0,"",COUNTIF(車両台帳!$BD$57:$BD$2056,X$3&amp;"-"&amp;522&amp;"A"))</f>
        <v/>
      </c>
      <c r="Y15" s="725" t="str">
        <f>IF(COUNTA(車両台帳!$C$57:$C$2056)=0,"",COUNTIF(車両台帳!$BD$57:$BD$2056,Y$3&amp;"-"&amp;522&amp;"A"))</f>
        <v/>
      </c>
      <c r="Z15" s="725" t="str">
        <f>IF(COUNTA(車両台帳!$C$57:$C$2056)=0,"",COUNTIF(車両台帳!$BD$57:$BD$2056,Z$3&amp;"-"&amp;522&amp;"A"))</f>
        <v/>
      </c>
      <c r="AA15" s="725" t="str">
        <f>IF(COUNTA(車両台帳!$C$57:$C$2056)=0,"",COUNTIF(車両台帳!$BD$57:$BD$2056,AA$3&amp;"-"&amp;522&amp;"A"))</f>
        <v/>
      </c>
      <c r="AB15" s="725" t="str">
        <f>IF(COUNTA(車両台帳!$C$57:$C$2056)=0,"",COUNTIF(車両台帳!$BD$57:$BD$2056,AB$3&amp;"-"&amp;522&amp;"A"))</f>
        <v/>
      </c>
      <c r="AC15" s="725" t="str">
        <f>IF(COUNTA(車両台帳!$C$57:$C$2056)=0,"",COUNTIF(車両台帳!$BD$57:$BD$2056,AC$3&amp;"-"&amp;522&amp;"A"))</f>
        <v/>
      </c>
      <c r="AD15" s="725" t="str">
        <f>IF(COUNTA(車両台帳!$C$57:$C$2056)=0,"",COUNTIF(車両台帳!$BD$57:$BD$2056,AD$3&amp;"-"&amp;522&amp;"A"))</f>
        <v/>
      </c>
      <c r="AE15" s="725" t="str">
        <f>IF(COUNTA(車両台帳!$C$57:$C$2056)=0,"",COUNTIF(車両台帳!$BD$57:$BD$2056,AE$3&amp;"-"&amp;522&amp;"A"))</f>
        <v/>
      </c>
      <c r="AF15" s="725" t="str">
        <f>IF(COUNTA(車両台帳!$C$57:$C$2056)=0,"",COUNTIF(車両台帳!$BD$57:$BD$2056,AF$3&amp;"-"&amp;522&amp;"A"))</f>
        <v/>
      </c>
      <c r="AG15" s="725" t="str">
        <f>IF(COUNTA(車両台帳!$C$57:$C$2056)=0,"",COUNTIF(車両台帳!$BD$57:$BD$2056,AG$3&amp;"-"&amp;522&amp;"A"))</f>
        <v/>
      </c>
      <c r="AH15" s="725" t="str">
        <f>IF(COUNTA(車両台帳!$C$57:$C$2056)=0,"",COUNTIF(車両台帳!$BD$57:$BD$2056,AH$3&amp;"-"&amp;522&amp;"A"))</f>
        <v/>
      </c>
      <c r="AI15" s="725" t="str">
        <f>IF(COUNTA(車両台帳!$C$57:$C$2056)=0,"",COUNTIF(車両台帳!$BD$57:$BD$2056,AI$3&amp;"-"&amp;522&amp;"A"))</f>
        <v/>
      </c>
      <c r="AJ15" s="725" t="str">
        <f>IF(COUNTA(車両台帳!$C$57:$C$2056)=0,"",COUNTIF(車両台帳!$BD$57:$BD$2056,AJ$3&amp;"-"&amp;522&amp;"A"))</f>
        <v/>
      </c>
      <c r="AK15" s="725" t="str">
        <f>IF(COUNTA(車両台帳!$C$57:$C$2056)=0,"",COUNTIF(車両台帳!$BD$57:$BD$2056,AK$3&amp;"-"&amp;522&amp;"A"))</f>
        <v/>
      </c>
      <c r="AL15" s="725" t="str">
        <f>IF(COUNTA(車両台帳!$C$57:$C$2056)=0,"",COUNTIF(車両台帳!$BD$57:$BD$2056,AL$3&amp;"-"&amp;522&amp;"A"))</f>
        <v/>
      </c>
      <c r="AM15" s="725" t="str">
        <f>IF(COUNTA(車両台帳!$C$57:$C$2056)=0,"",COUNTIF(車両台帳!$BD$57:$BD$2056,AM$3&amp;"-"&amp;522&amp;"A"))</f>
        <v/>
      </c>
      <c r="AN15" s="725" t="str">
        <f>IF(COUNTA(車両台帳!$C$57:$C$2056)=0,"",COUNTIF(車両台帳!$BD$57:$BD$2056,AN$3&amp;"-"&amp;522&amp;"A"))</f>
        <v/>
      </c>
      <c r="AO15" s="725" t="str">
        <f>IF(COUNTA(車両台帳!$C$57:$C$2056)=0,"",COUNTIF(車両台帳!$BD$57:$BD$2056,AO$3&amp;"-"&amp;522&amp;"A"))</f>
        <v/>
      </c>
      <c r="AP15" s="725" t="str">
        <f>IF(COUNTA(車両台帳!$C$57:$C$2056)=0,"",COUNTIF(車両台帳!$BD$57:$BD$2056,AP$3&amp;"-"&amp;522&amp;"A"))</f>
        <v/>
      </c>
      <c r="AQ15" s="725" t="str">
        <f>IF(COUNTA(車両台帳!$C$57:$C$2056)=0,"",COUNTIF(車両台帳!$BD$57:$BD$2056,AQ$3&amp;"-"&amp;522&amp;"A"))</f>
        <v/>
      </c>
      <c r="AR15" s="725" t="str">
        <f>IF(COUNTA(車両台帳!$C$57:$C$2056)=0,"",COUNTIF(車両台帳!$BD$57:$BD$2056,AR$3&amp;"-"&amp;522&amp;"A"))</f>
        <v/>
      </c>
      <c r="AS15" s="725" t="str">
        <f>IF(COUNTA(車両台帳!$C$57:$C$2056)=0,"",COUNTIF(車両台帳!$BD$57:$BD$2056,AS$3&amp;"-"&amp;522&amp;"A"))</f>
        <v/>
      </c>
      <c r="AT15" s="725" t="str">
        <f>IF(COUNTA(車両台帳!$C$57:$C$2056)=0,"",COUNTIF(車両台帳!$BD$57:$BD$2056,AT$3&amp;"-"&amp;522&amp;"A"))</f>
        <v/>
      </c>
      <c r="AU15" s="725" t="str">
        <f>IF(COUNTA(車両台帳!$C$57:$C$2056)=0,"",COUNTIF(車両台帳!$BD$57:$BD$2056,AU$3&amp;"-"&amp;522&amp;"A"))</f>
        <v/>
      </c>
      <c r="AV15" s="725" t="str">
        <f>IF(COUNTA(車両台帳!$C$57:$C$2056)=0,"",COUNTIF(車両台帳!$BD$57:$BD$2056,AV$3&amp;"-"&amp;522&amp;"A"))</f>
        <v/>
      </c>
      <c r="AW15" s="725" t="str">
        <f>IF(COUNTA(車両台帳!$C$57:$C$2056)=0,"",COUNTIF(車両台帳!$BD$57:$BD$2056,AW$3&amp;"-"&amp;522&amp;"A"))</f>
        <v/>
      </c>
      <c r="AX15" s="725" t="str">
        <f>IF(COUNTA(車両台帳!$C$57:$C$2056)=0,"",COUNTIF(車両台帳!$BD$57:$BD$2056,AX$3&amp;"-"&amp;522&amp;"A"))</f>
        <v/>
      </c>
      <c r="AY15" s="725" t="str">
        <f>IF(COUNTA(車両台帳!$C$57:$C$2056)=0,"",COUNTIF(車両台帳!$BD$57:$BD$2056,AY$3&amp;"-"&amp;522&amp;"A"))</f>
        <v/>
      </c>
      <c r="AZ15" s="725" t="str">
        <f>IF(COUNTA(車両台帳!$C$57:$C$2056)=0,"",COUNTIF(車両台帳!$BD$57:$BD$2056,AZ$3&amp;"-"&amp;522&amp;"A"))</f>
        <v/>
      </c>
      <c r="BA15" s="725" t="str">
        <f>IF(COUNTA(車両台帳!$C$57:$C$2056)=0,"",COUNTIF(車両台帳!$BD$57:$BD$2056,BA$3&amp;"-"&amp;522&amp;"A"))</f>
        <v/>
      </c>
      <c r="BB15" s="725" t="str">
        <f>IF(COUNTA(車両台帳!$C$57:$C$2056)=0,"",COUNTIF(車両台帳!$BD$57:$BD$2056,BB$3&amp;"-"&amp;522&amp;"A"))</f>
        <v/>
      </c>
      <c r="BC15" s="725" t="str">
        <f>IF(COUNTA(車両台帳!$C$57:$C$2056)=0,"",COUNTIF(車両台帳!$BD$57:$BD$2056,BC$3&amp;"-"&amp;522&amp;"A"))</f>
        <v/>
      </c>
      <c r="BD15" s="725" t="str">
        <f>IF(COUNTA(車両台帳!$C$57:$C$2056)=0,"",COUNTIF(車両台帳!$BD$57:$BD$2056,BD$3&amp;"-"&amp;522&amp;"A"))</f>
        <v/>
      </c>
      <c r="BE15" s="725" t="str">
        <f>IF(COUNTA(車両台帳!$C$57:$C$2056)=0,"",COUNTIF(車両台帳!$BD$57:$BD$2056,BE$3&amp;"-"&amp;522&amp;"A"))</f>
        <v/>
      </c>
      <c r="BF15" s="725" t="str">
        <f>IF(COUNTA(車両台帳!$C$57:$C$2056)=0,"",COUNTIF(車両台帳!$BD$57:$BD$2056,BF$3&amp;"-"&amp;522&amp;"A"))</f>
        <v/>
      </c>
      <c r="BG15" s="725" t="str">
        <f>IF(COUNTA(車両台帳!$C$57:$C$2056)=0,"",COUNTIF(車両台帳!$BD$57:$BD$2056,BG$3&amp;"-"&amp;522&amp;"A"))</f>
        <v/>
      </c>
      <c r="BH15" s="725" t="str">
        <f>IF(COUNTA(車両台帳!$C$57:$C$2056)=0,"",COUNTIF(車両台帳!$BD$57:$BD$2056,BH$3&amp;"-"&amp;522&amp;"A"))</f>
        <v/>
      </c>
      <c r="BI15" s="725" t="str">
        <f>IF(COUNTA(車両台帳!$C$57:$C$2056)=0,"",COUNTIF(車両台帳!$BD$57:$BD$2056,BI$3&amp;"-"&amp;522&amp;"A"))</f>
        <v/>
      </c>
      <c r="BJ15" s="725" t="str">
        <f>IF(COUNTA(車両台帳!$C$57:$C$2056)=0,"",COUNTIF(車両台帳!$BD$57:$BD$2056,BJ$3&amp;"-"&amp;522&amp;"A"))</f>
        <v/>
      </c>
      <c r="BK15" s="725" t="str">
        <f>IF(COUNTA(車両台帳!$C$57:$C$2056)=0,"",COUNTIF(車両台帳!$BD$57:$BD$2056,BK$3&amp;"-"&amp;522&amp;"A"))</f>
        <v/>
      </c>
      <c r="BL15" s="725" t="str">
        <f>IF(COUNTA(車両台帳!$C$57:$C$2056)=0,"",COUNTIF(車両台帳!$BD$57:$BD$2056,BL$3&amp;"-"&amp;522&amp;"A"))</f>
        <v/>
      </c>
      <c r="BM15" s="725" t="str">
        <f>IF(COUNTA(車両台帳!$C$57:$C$2056)=0,"",COUNTIF(車両台帳!$BD$57:$BD$2056,BM$3&amp;"-"&amp;522&amp;"A"))</f>
        <v/>
      </c>
      <c r="BN15" s="725" t="str">
        <f>IF(COUNTA(車両台帳!$C$57:$C$2056)=0,"",COUNTIF(車両台帳!$BD$57:$BD$2056,BN$3&amp;"-"&amp;522&amp;"A"))</f>
        <v/>
      </c>
      <c r="BO15" s="725" t="str">
        <f>IF(COUNTA(車両台帳!$C$57:$C$2056)=0,"",COUNTIF(車両台帳!$BD$57:$BD$2056,BO$3&amp;"-"&amp;522&amp;"A"))</f>
        <v/>
      </c>
      <c r="BP15" s="725" t="str">
        <f>IF(COUNTA(車両台帳!$C$57:$C$2056)=0,"",COUNTIF(車両台帳!$BD$57:$BD$2056,BP$3&amp;"-"&amp;522&amp;"A"))</f>
        <v/>
      </c>
      <c r="BQ15" s="725" t="str">
        <f>IF(COUNTA(車両台帳!$C$57:$C$2056)=0,"",COUNTIF(車両台帳!$BD$57:$BD$2056,BQ$3&amp;"-"&amp;522&amp;"A"))</f>
        <v/>
      </c>
      <c r="BR15" s="725" t="str">
        <f>IF(COUNTA(車両台帳!$C$57:$C$2056)=0,"",COUNTIF(車両台帳!$BD$57:$BD$2056,BR$3&amp;"-"&amp;522&amp;"A"))</f>
        <v/>
      </c>
      <c r="BS15" s="725" t="str">
        <f>IF(COUNTA(車両台帳!$C$57:$C$2056)=0,"",COUNTIF(車両台帳!$BD$57:$BD$2056,BS$3&amp;"-"&amp;522&amp;"A"))</f>
        <v/>
      </c>
      <c r="BT15" s="725" t="str">
        <f>IF(COUNTA(車両台帳!$C$57:$C$2056)=0,"",COUNTIF(車両台帳!$BD$57:$BD$2056,BT$3&amp;"-"&amp;522&amp;"A"))</f>
        <v/>
      </c>
      <c r="BU15" s="725" t="str">
        <f>IF(COUNTA(車両台帳!$C$57:$C$2056)=0,"",COUNTIF(車両台帳!$BD$57:$BD$2056,BU$3&amp;"-"&amp;522&amp;"A"))</f>
        <v/>
      </c>
      <c r="BV15" s="725" t="str">
        <f>IF(COUNTA(車両台帳!$C$57:$C$2056)=0,"",COUNTIF(車両台帳!$BD$57:$BD$2056,BV$3&amp;"-"&amp;522&amp;"A"))</f>
        <v/>
      </c>
      <c r="BW15" s="725" t="str">
        <f>IF(COUNTA(車両台帳!$C$57:$C$2056)=0,"",COUNTIF(車両台帳!$BD$57:$BD$2056,BW$3&amp;"-"&amp;522&amp;"A"))</f>
        <v/>
      </c>
      <c r="BX15" s="725" t="str">
        <f>IF(COUNTA(車両台帳!$C$57:$C$2056)=0,"",COUNTIF(車両台帳!$BD$57:$BD$2056,BX$3&amp;"-"&amp;522&amp;"A"))</f>
        <v/>
      </c>
      <c r="BY15" s="725" t="str">
        <f>IF(COUNTA(車両台帳!$C$57:$C$2056)=0,"",COUNTIF(車両台帳!$BD$57:$BD$2056,BY$3&amp;"-"&amp;522&amp;"A"))</f>
        <v/>
      </c>
      <c r="BZ15" s="725" t="str">
        <f>IF(COUNTA(車両台帳!$C$57:$C$2056)=0,"",COUNTIF(車両台帳!$BD$57:$BD$2056,BZ$3&amp;"-"&amp;522&amp;"A"))</f>
        <v/>
      </c>
      <c r="CA15" s="725" t="str">
        <f>IF(COUNTA(車両台帳!$C$57:$C$2056)=0,"",COUNTIF(車両台帳!$BD$57:$BD$2056,CA$3&amp;"-"&amp;522&amp;"A"))</f>
        <v/>
      </c>
      <c r="CB15" s="725" t="str">
        <f>IF(COUNTA(車両台帳!$C$57:$C$2056)=0,"",COUNTIF(車両台帳!$BD$57:$BD$2056,CB$3&amp;"-"&amp;522&amp;"A"))</f>
        <v/>
      </c>
      <c r="CC15" s="725" t="str">
        <f>IF(COUNTA(車両台帳!$C$57:$C$2056)=0,"",COUNTIF(車両台帳!$BD$57:$BD$2056,CC$3&amp;"-"&amp;522&amp;"A"))</f>
        <v/>
      </c>
      <c r="CD15" s="725" t="str">
        <f>IF(COUNTA(車両台帳!$C$57:$C$2056)=0,"",COUNTIF(車両台帳!$BD$57:$BD$2056,CD$3&amp;"-"&amp;522&amp;"A"))</f>
        <v/>
      </c>
      <c r="CE15" s="725" t="str">
        <f>IF(COUNTA(車両台帳!$C$57:$C$2056)=0,"",COUNTIF(車両台帳!$BD$57:$BD$2056,CE$3&amp;"-"&amp;522&amp;"A"))</f>
        <v/>
      </c>
      <c r="CF15" s="725" t="str">
        <f>IF(COUNTA(車両台帳!$C$57:$C$2056)=0,"",COUNTIF(車両台帳!$BD$57:$BD$2056,CF$3&amp;"-"&amp;522&amp;"A"))</f>
        <v/>
      </c>
      <c r="CG15" s="725" t="str">
        <f>IF(COUNTA(車両台帳!$C$57:$C$2056)=0,"",COUNTIF(車両台帳!$BD$57:$BD$2056,CG$3&amp;"-"&amp;522&amp;"A"))</f>
        <v/>
      </c>
      <c r="CH15" s="725" t="str">
        <f>IF(COUNTA(車両台帳!$C$57:$C$2056)=0,"",COUNTIF(車両台帳!$BD$57:$BD$2056,CH$3&amp;"-"&amp;522&amp;"A"))</f>
        <v/>
      </c>
      <c r="CI15" s="725" t="str">
        <f>IF(COUNTA(車両台帳!$C$57:$C$2056)=0,"",COUNTIF(車両台帳!$BD$57:$BD$2056,CI$3&amp;"-"&amp;522&amp;"A"))</f>
        <v/>
      </c>
      <c r="CJ15" s="725" t="str">
        <f>IF(COUNTA(車両台帳!$C$57:$C$2056)=0,"",COUNTIF(車両台帳!$BD$57:$BD$2056,CJ$3&amp;"-"&amp;522&amp;"A"))</f>
        <v/>
      </c>
      <c r="CK15" s="725" t="str">
        <f>IF(COUNTA(車両台帳!$C$57:$C$2056)=0,"",COUNTIF(車両台帳!$BD$57:$BD$2056,CK$3&amp;"-"&amp;522&amp;"A"))</f>
        <v/>
      </c>
      <c r="CL15" s="725" t="str">
        <f>IF(COUNTA(車両台帳!$C$57:$C$2056)=0,"",COUNTIF(車両台帳!$BD$57:$BD$2056,CL$3&amp;"-"&amp;522&amp;"A"))</f>
        <v/>
      </c>
      <c r="CM15" s="725" t="str">
        <f>IF(COUNTA(車両台帳!$C$57:$C$2056)=0,"",COUNTIF(車両台帳!$BD$57:$BD$2056,CM$3&amp;"-"&amp;522&amp;"A"))</f>
        <v/>
      </c>
      <c r="CN15" s="725" t="str">
        <f>IF(COUNTA(車両台帳!$C$57:$C$2056)=0,"",COUNTIF(車両台帳!$BD$57:$BD$2056,CN$3&amp;"-"&amp;522&amp;"A"))</f>
        <v/>
      </c>
      <c r="CO15" s="725" t="str">
        <f>IF(COUNTA(車両台帳!$C$57:$C$2056)=0,"",COUNTIF(車両台帳!$BD$57:$BD$2056,CO$3&amp;"-"&amp;522&amp;"A"))</f>
        <v/>
      </c>
      <c r="CP15" s="725" t="str">
        <f>IF(COUNTA(車両台帳!$C$57:$C$2056)=0,"",COUNTIF(車両台帳!$BD$57:$BD$2056,CP$3&amp;"-"&amp;522&amp;"A"))</f>
        <v/>
      </c>
      <c r="CQ15" s="725" t="str">
        <f>IF(COUNTA(車両台帳!$C$57:$C$2056)=0,"",COUNTIF(車両台帳!$BD$57:$BD$2056,CQ$3&amp;"-"&amp;522&amp;"A"))</f>
        <v/>
      </c>
      <c r="CR15" s="725" t="str">
        <f>IF(COUNTA(車両台帳!$C$57:$C$2056)=0,"",COUNTIF(車両台帳!$BD$57:$BD$2056,CR$3&amp;"-"&amp;522&amp;"A"))</f>
        <v/>
      </c>
      <c r="CS15" s="725" t="str">
        <f>IF(COUNTA(車両台帳!$C$57:$C$2056)=0,"",COUNTIF(車両台帳!$BD$57:$BD$2056,CS$3&amp;"-"&amp;522&amp;"A"))</f>
        <v/>
      </c>
      <c r="CT15" s="725" t="str">
        <f>IF(COUNTA(車両台帳!$C$57:$C$2056)=0,"",COUNTIF(車両台帳!$BD$57:$BD$2056,CT$3&amp;"-"&amp;522&amp;"A"))</f>
        <v/>
      </c>
      <c r="CU15" s="725" t="str">
        <f>IF(COUNTA(車両台帳!$C$57:$C$2056)=0,"",COUNTIF(車両台帳!$BD$57:$BD$2056,CU$3&amp;"-"&amp;522&amp;"A"))</f>
        <v/>
      </c>
      <c r="CV15" s="725" t="str">
        <f>IF(COUNTA(車両台帳!$C$57:$C$2056)=0,"",COUNTIF(車両台帳!$BD$57:$BD$2056,CV$3&amp;"-"&amp;522&amp;"A"))</f>
        <v/>
      </c>
      <c r="CW15" s="725" t="str">
        <f>IF(COUNTA(車両台帳!$C$57:$C$2056)=0,"",COUNTIF(車両台帳!$BD$57:$BD$2056,CW$3&amp;"-"&amp;522&amp;"A"))</f>
        <v/>
      </c>
      <c r="CX15" s="725" t="str">
        <f>IF(COUNTA(車両台帳!$C$57:$C$2056)=0,"",COUNTIF(車両台帳!$BD$57:$BD$2056,CX$3&amp;"-"&amp;522&amp;"A"))</f>
        <v/>
      </c>
      <c r="CY15" s="725" t="str">
        <f>IF(COUNTA(車両台帳!$C$57:$C$2056)=0,"",COUNTIF(車両台帳!$BD$57:$BD$2056,CY$3&amp;"-"&amp;522&amp;"A"))</f>
        <v/>
      </c>
      <c r="CZ15" s="725" t="str">
        <f>IF(COUNTA(車両台帳!$C$57:$C$2056)=0,"",COUNTIF(車両台帳!$BD$57:$BD$2056,CZ$3&amp;"-"&amp;522&amp;"A"))</f>
        <v/>
      </c>
      <c r="DA15" s="725" t="str">
        <f>IF(COUNTA(車両台帳!$C$57:$C$2056)=0,"",COUNTIF(車両台帳!$BD$57:$BD$2056,DA$3&amp;"-"&amp;522&amp;"A"))</f>
        <v/>
      </c>
      <c r="DB15" s="725" t="str">
        <f>IF(COUNTA(車両台帳!$C$57:$C$2056)=0,"",COUNTIF(車両台帳!$BD$57:$BD$2056,DB$3&amp;"-"&amp;522&amp;"A"))</f>
        <v/>
      </c>
      <c r="DC15" s="725" t="str">
        <f>IF(COUNTA(車両台帳!$C$57:$C$2056)=0,"",COUNTIF(車両台帳!$BD$57:$BD$2056,DC$3&amp;"-"&amp;522&amp;"A"))</f>
        <v/>
      </c>
      <c r="DD15" s="725" t="str">
        <f>IF(COUNTA(車両台帳!$C$57:$C$2056)=0,"",COUNTIF(車両台帳!$BD$57:$BD$2056,DD$3&amp;"-"&amp;522&amp;"A"))</f>
        <v/>
      </c>
      <c r="DE15" s="725" t="str">
        <f>IF(COUNTA(車両台帳!$C$57:$C$2056)=0,"",COUNTIF(車両台帳!$BD$57:$BD$2056,DE$3&amp;"-"&amp;522&amp;"A"))</f>
        <v/>
      </c>
      <c r="DF15" s="725" t="str">
        <f>IF(COUNTA(車両台帳!$C$57:$C$2056)=0,"",COUNTIF(車両台帳!$BD$57:$BD$2056,DF$3&amp;"-"&amp;522&amp;"A"))</f>
        <v/>
      </c>
      <c r="DG15" s="725" t="str">
        <f>IF(COUNTA(車両台帳!$C$57:$C$2056)=0,"",COUNTIF(車両台帳!$BD$57:$BD$2056,DG$3&amp;"-"&amp;522&amp;"A"))</f>
        <v/>
      </c>
      <c r="DH15" s="725" t="str">
        <f>IF(COUNTA(車両台帳!$C$57:$C$2056)=0,"",COUNTIF(車両台帳!$BD$57:$BD$2056,DH$3&amp;"-"&amp;522&amp;"A"))</f>
        <v/>
      </c>
      <c r="DI15" s="725" t="str">
        <f>IF(COUNTA(車両台帳!$C$57:$C$2056)=0,"",COUNTIF(車両台帳!$BD$57:$BD$2056,DI$3&amp;"-"&amp;522&amp;"A"))</f>
        <v/>
      </c>
      <c r="DJ15" s="725" t="str">
        <f>IF(COUNTA(車両台帳!$C$57:$C$2056)=0,"",COUNTIF(車両台帳!$BD$57:$BD$2056,DJ$3&amp;"-"&amp;522&amp;"A"))</f>
        <v/>
      </c>
      <c r="DK15" s="725" t="str">
        <f>IF(COUNTA(車両台帳!$C$57:$C$2056)=0,"",COUNTIF(車両台帳!$BD$57:$BD$2056,DK$3&amp;"-"&amp;522&amp;"A"))</f>
        <v/>
      </c>
      <c r="DL15" s="725" t="str">
        <f>IF(COUNTA(車両台帳!$C$57:$C$2056)=0,"",COUNTIF(車両台帳!$BD$57:$BD$2056,DL$3&amp;"-"&amp;522&amp;"A"))</f>
        <v/>
      </c>
      <c r="DM15" s="725" t="str">
        <f>IF(COUNTA(車両台帳!$C$57:$C$2056)=0,"",COUNTIF(車両台帳!$BD$57:$BD$2056,DM$3&amp;"-"&amp;522&amp;"A"))</f>
        <v/>
      </c>
      <c r="DN15" s="725" t="str">
        <f>IF(COUNTA(車両台帳!$C$57:$C$2056)=0,"",COUNTIF(車両台帳!$BD$57:$BD$2056,DN$3&amp;"-"&amp;522&amp;"A"))</f>
        <v/>
      </c>
      <c r="DO15" s="725" t="str">
        <f>IF(COUNTA(車両台帳!$C$57:$C$2056)=0,"",COUNTIF(車両台帳!$BD$57:$BD$2056,DO$3&amp;"-"&amp;522&amp;"A"))</f>
        <v/>
      </c>
      <c r="DP15" s="725" t="str">
        <f>IF(COUNTA(車両台帳!$C$57:$C$2056)=0,"",COUNTIF(車両台帳!$BD$57:$BD$2056,DP$3&amp;"-"&amp;522&amp;"A"))</f>
        <v/>
      </c>
      <c r="DQ15" s="725" t="str">
        <f>IF(COUNTA(車両台帳!$C$57:$C$2056)=0,"",COUNTIF(車両台帳!$BD$57:$BD$2056,DQ$3&amp;"-"&amp;522&amp;"A"))</f>
        <v/>
      </c>
      <c r="DR15" s="725" t="str">
        <f>IF(COUNTA(車両台帳!$C$57:$C$2056)=0,"",COUNTIF(車両台帳!$BD$57:$BD$2056,DR$3&amp;"-"&amp;522&amp;"A"))</f>
        <v/>
      </c>
      <c r="DS15" s="725" t="str">
        <f>IF(COUNTA(車両台帳!$C$57:$C$2056)=0,"",COUNTIF(車両台帳!$BD$57:$BD$2056,DS$3&amp;"-"&amp;522&amp;"A"))</f>
        <v/>
      </c>
      <c r="DT15" s="725" t="str">
        <f>IF(COUNTA(車両台帳!$C$57:$C$2056)=0,"",COUNTIF(車両台帳!$BD$57:$BD$2056,DT$3&amp;"-"&amp;522&amp;"A"))</f>
        <v/>
      </c>
      <c r="DU15" s="725" t="str">
        <f>IF(COUNTA(車両台帳!$C$57:$C$2056)=0,"",COUNTIF(車両台帳!$BD$57:$BD$2056,DU$3&amp;"-"&amp;522&amp;"A"))</f>
        <v/>
      </c>
      <c r="DV15" s="725" t="str">
        <f>IF(COUNTA(車両台帳!$C$57:$C$2056)=0,"",COUNTIF(車両台帳!$BD$57:$BD$2056,DV$3&amp;"-"&amp;522&amp;"A"))</f>
        <v/>
      </c>
      <c r="DW15" s="725" t="str">
        <f>IF(COUNTA(車両台帳!$C$57:$C$2056)=0,"",COUNTIF(車両台帳!$BD$57:$BD$2056,DW$3&amp;"-"&amp;522&amp;"A"))</f>
        <v/>
      </c>
      <c r="DX15" s="725" t="str">
        <f>IF(COUNTA(車両台帳!$C$57:$C$2056)=0,"",COUNTIF(車両台帳!$BD$57:$BD$2056,DX$3&amp;"-"&amp;522&amp;"A"))</f>
        <v/>
      </c>
      <c r="DY15" s="725" t="str">
        <f>IF(COUNTA(車両台帳!$C$57:$C$2056)=0,"",COUNTIF(車両台帳!$BD$57:$BD$2056,DY$3&amp;"-"&amp;522&amp;"A"))</f>
        <v/>
      </c>
      <c r="DZ15" s="725" t="str">
        <f>IF(COUNTA(車両台帳!$C$57:$C$2056)=0,"",COUNTIF(車両台帳!$BD$57:$BD$2056,DZ$3&amp;"-"&amp;522&amp;"A"))</f>
        <v/>
      </c>
      <c r="EA15" s="725" t="str">
        <f>IF(COUNTA(車両台帳!$C$57:$C$2056)=0,"",COUNTIF(車両台帳!$BD$57:$BD$2056,EA$3&amp;"-"&amp;522&amp;"A"))</f>
        <v/>
      </c>
      <c r="EB15" s="725" t="str">
        <f>IF(COUNTA(車両台帳!$C$57:$C$2056)=0,"",COUNTIF(車両台帳!$BD$57:$BD$2056,EB$3&amp;"-"&amp;522&amp;"A"))</f>
        <v/>
      </c>
      <c r="EC15" s="725" t="str">
        <f>IF(COUNTA(車両台帳!$C$57:$C$2056)=0,"",COUNTIF(車両台帳!$BD$57:$BD$2056,EC$3&amp;"-"&amp;522&amp;"A"))</f>
        <v/>
      </c>
      <c r="ED15" s="725" t="str">
        <f>IF(COUNTA(車両台帳!$C$57:$C$2056)=0,"",COUNTIF(車両台帳!$BD$57:$BD$2056,ED$3&amp;"-"&amp;522&amp;"A"))</f>
        <v/>
      </c>
      <c r="EE15" s="725" t="str">
        <f>IF(COUNTA(車両台帳!$C$57:$C$2056)=0,"",COUNTIF(車両台帳!$BD$57:$BD$2056,EE$3&amp;"-"&amp;522&amp;"A"))</f>
        <v/>
      </c>
      <c r="EF15" s="725" t="str">
        <f>IF(COUNTA(車両台帳!$C$57:$C$2056)=0,"",COUNTIF(車両台帳!$BD$57:$BD$2056,EF$3&amp;"-"&amp;522&amp;"A"))</f>
        <v/>
      </c>
      <c r="EG15" s="725" t="str">
        <f>IF(COUNTA(車両台帳!$C$57:$C$2056)=0,"",COUNTIF(車両台帳!$BD$57:$BD$2056,EG$3&amp;"-"&amp;522&amp;"A"))</f>
        <v/>
      </c>
      <c r="EH15" s="725" t="str">
        <f>IF(COUNTA(車両台帳!$C$57:$C$2056)=0,"",COUNTIF(車両台帳!$BD$57:$BD$2056,EH$3&amp;"-"&amp;522&amp;"A"))</f>
        <v/>
      </c>
      <c r="EI15" s="725" t="str">
        <f>IF(COUNTA(車両台帳!$C$57:$C$2056)=0,"",COUNTIF(車両台帳!$BD$57:$BD$2056,EI$3&amp;"-"&amp;522&amp;"A"))</f>
        <v/>
      </c>
      <c r="EJ15" s="725" t="str">
        <f>IF(COUNTA(車両台帳!$C$57:$C$2056)=0,"",COUNTIF(車両台帳!$BD$57:$BD$2056,EJ$3&amp;"-"&amp;522&amp;"A"))</f>
        <v/>
      </c>
      <c r="EK15" s="725" t="str">
        <f>IF(COUNTA(車両台帳!$C$57:$C$2056)=0,"",COUNTIF(車両台帳!$BD$57:$BD$2056,EK$3&amp;"-"&amp;522&amp;"A"))</f>
        <v/>
      </c>
      <c r="EL15" s="725" t="str">
        <f>IF(COUNTA(車両台帳!$C$57:$C$2056)=0,"",COUNTIF(車両台帳!$BD$57:$BD$2056,EL$3&amp;"-"&amp;522&amp;"A"))</f>
        <v/>
      </c>
      <c r="EM15" s="725" t="str">
        <f>IF(COUNTA(車両台帳!$C$57:$C$2056)=0,"",COUNTIF(車両台帳!$BD$57:$BD$2056,EM$3&amp;"-"&amp;522&amp;"A"))</f>
        <v/>
      </c>
      <c r="EN15" s="725" t="str">
        <f>IF(COUNTA(車両台帳!$C$57:$C$2056)=0,"",COUNTIF(車両台帳!$BD$57:$BD$2056,EN$3&amp;"-"&amp;522&amp;"A"))</f>
        <v/>
      </c>
      <c r="EO15" s="725" t="str">
        <f>IF(COUNTA(車両台帳!$C$57:$C$2056)=0,"",COUNTIF(車両台帳!$BD$57:$BD$2056,EO$3&amp;"-"&amp;522&amp;"A"))</f>
        <v/>
      </c>
      <c r="EP15" s="725" t="str">
        <f>IF(COUNTA(車両台帳!$C$57:$C$2056)=0,"",COUNTIF(車両台帳!$BD$57:$BD$2056,EP$3&amp;"-"&amp;522&amp;"A"))</f>
        <v/>
      </c>
      <c r="EQ15" s="725" t="str">
        <f>IF(COUNTA(車両台帳!$C$57:$C$2056)=0,"",COUNTIF(車両台帳!$BD$57:$BD$2056,EQ$3&amp;"-"&amp;522&amp;"A"))</f>
        <v/>
      </c>
      <c r="ER15" s="725" t="str">
        <f>IF(COUNTA(車両台帳!$C$57:$C$2056)=0,"",COUNTIF(車両台帳!$BD$57:$BD$2056,ER$3&amp;"-"&amp;522&amp;"A"))</f>
        <v/>
      </c>
      <c r="ES15" s="725" t="str">
        <f>IF(COUNTA(車両台帳!$C$57:$C$2056)=0,"",COUNTIF(車両台帳!$BD$57:$BD$2056,ES$3&amp;"-"&amp;522&amp;"A"))</f>
        <v/>
      </c>
      <c r="ET15" s="725" t="str">
        <f>IF(COUNTA(車両台帳!$C$57:$C$2056)=0,"",COUNTIF(車両台帳!$BD$57:$BD$2056,ET$3&amp;"-"&amp;522&amp;"A"))</f>
        <v/>
      </c>
      <c r="EU15" s="725" t="str">
        <f>IF(COUNTA(車両台帳!$C$57:$C$2056)=0,"",COUNTIF(車両台帳!$BD$57:$BD$2056,EU$3&amp;"-"&amp;522&amp;"A"))</f>
        <v/>
      </c>
      <c r="EV15" s="725" t="str">
        <f>IF(COUNTA(車両台帳!$C$57:$C$2056)=0,"",COUNTIF(車両台帳!$BD$57:$BD$2056,EV$3&amp;"-"&amp;522&amp;"A"))</f>
        <v/>
      </c>
      <c r="EW15" s="725" t="str">
        <f>IF(COUNTA(車両台帳!$C$57:$C$2056)=0,"",COUNTIF(車両台帳!$BD$57:$BD$2056,EW$3&amp;"-"&amp;522&amp;"A"))</f>
        <v/>
      </c>
      <c r="EX15" s="725" t="str">
        <f>IF(COUNTA(車両台帳!$C$57:$C$2056)=0,"",COUNTIF(車両台帳!$BD$57:$BD$2056,EX$3&amp;"-"&amp;522&amp;"A"))</f>
        <v/>
      </c>
      <c r="EY15" s="725" t="str">
        <f>IF(COUNTA(車両台帳!$C$57:$C$2056)=0,"",COUNTIF(車両台帳!$BD$57:$BD$2056,EY$3&amp;"-"&amp;522&amp;"A"))</f>
        <v/>
      </c>
      <c r="EZ15" s="725" t="str">
        <f>IF(COUNTA(車両台帳!$C$57:$C$2056)=0,"",COUNTIF(車両台帳!$BD$57:$BD$2056,EZ$3&amp;"-"&amp;522&amp;"A"))</f>
        <v/>
      </c>
      <c r="FA15" s="725" t="str">
        <f>IF(COUNTA(車両台帳!$C$57:$C$2056)=0,"",COUNTIF(車両台帳!$BD$57:$BD$2056,FA$3&amp;"-"&amp;522&amp;"A"))</f>
        <v/>
      </c>
      <c r="FB15" s="725" t="str">
        <f>IF(COUNTA(車両台帳!$C$57:$C$2056)=0,"",COUNTIF(車両台帳!$BD$57:$BD$2056,FB$3&amp;"-"&amp;522&amp;"A"))</f>
        <v/>
      </c>
      <c r="FC15" s="725" t="str">
        <f>IF(COUNTA(車両台帳!$C$57:$C$2056)=0,"",COUNTIF(車両台帳!$BD$57:$BD$2056,FC$3&amp;"-"&amp;522&amp;"A"))</f>
        <v/>
      </c>
      <c r="FD15" s="725" t="str">
        <f>IF(COUNTA(車両台帳!$C$57:$C$2056)=0,"",COUNTIF(車両台帳!$BD$57:$BD$2056,FD$3&amp;"-"&amp;522&amp;"A"))</f>
        <v/>
      </c>
      <c r="FE15" s="725" t="str">
        <f>IF(COUNTA(車両台帳!$C$57:$C$2056)=0,"",COUNTIF(車両台帳!$BD$57:$BD$2056,FE$3&amp;"-"&amp;522&amp;"A"))</f>
        <v/>
      </c>
      <c r="FF15" s="725" t="str">
        <f>IF(COUNTA(車両台帳!$C$57:$C$2056)=0,"",COUNTIF(車両台帳!$BD$57:$BD$2056,FF$3&amp;"-"&amp;522&amp;"A"))</f>
        <v/>
      </c>
      <c r="FG15" s="725" t="str">
        <f>IF(COUNTA(車両台帳!$C$57:$C$2056)=0,"",COUNTIF(車両台帳!$BD$57:$BD$2056,FG$3&amp;"-"&amp;522&amp;"A"))</f>
        <v/>
      </c>
      <c r="FH15" s="725" t="str">
        <f>IF(COUNTA(車両台帳!$C$57:$C$2056)=0,"",COUNTIF(車両台帳!$BD$57:$BD$2056,FH$3&amp;"-"&amp;522&amp;"A"))</f>
        <v/>
      </c>
      <c r="FI15" s="725" t="str">
        <f>IF(COUNTA(車両台帳!$C$57:$C$2056)=0,"",COUNTIF(車両台帳!$BD$57:$BD$2056,FI$3&amp;"-"&amp;522&amp;"A"))</f>
        <v/>
      </c>
      <c r="FJ15" s="725" t="str">
        <f>IF(COUNTA(車両台帳!$C$57:$C$2056)=0,"",COUNTIF(車両台帳!$BD$57:$BD$2056,FJ$3&amp;"-"&amp;522&amp;"A"))</f>
        <v/>
      </c>
      <c r="FK15" s="725" t="str">
        <f>IF(COUNTA(車両台帳!$C$57:$C$2056)=0,"",COUNTIF(車両台帳!$BD$57:$BD$2056,FK$3&amp;"-"&amp;522&amp;"A"))</f>
        <v/>
      </c>
      <c r="FL15" s="725" t="str">
        <f>IF(COUNTA(車両台帳!$C$57:$C$2056)=0,"",COUNTIF(車両台帳!$BD$57:$BD$2056,FL$3&amp;"-"&amp;522&amp;"A"))</f>
        <v/>
      </c>
      <c r="FM15" s="725" t="str">
        <f>IF(COUNTA(車両台帳!$C$57:$C$2056)=0,"",COUNTIF(車両台帳!$BD$57:$BD$2056,FM$3&amp;"-"&amp;522&amp;"A"))</f>
        <v/>
      </c>
      <c r="FN15" s="725" t="str">
        <f>IF(COUNTA(車両台帳!$C$57:$C$2056)=0,"",COUNTIF(車両台帳!$BD$57:$BD$2056,FN$3&amp;"-"&amp;522&amp;"A"))</f>
        <v/>
      </c>
      <c r="FO15" s="725" t="str">
        <f>IF(COUNTA(車両台帳!$C$57:$C$2056)=0,"",COUNTIF(車両台帳!$BD$57:$BD$2056,FO$3&amp;"-"&amp;522&amp;"A"))</f>
        <v/>
      </c>
      <c r="FP15" s="725" t="str">
        <f>IF(COUNTA(車両台帳!$C$57:$C$2056)=0,"",COUNTIF(車両台帳!$BD$57:$BD$2056,FP$3&amp;"-"&amp;522&amp;"A"))</f>
        <v/>
      </c>
      <c r="FQ15" s="725" t="str">
        <f>IF(COUNTA(車両台帳!$C$57:$C$2056)=0,"",COUNTIF(車両台帳!$BD$57:$BD$2056,FQ$3&amp;"-"&amp;522&amp;"A"))</f>
        <v/>
      </c>
      <c r="FR15" s="725" t="str">
        <f>IF(COUNTA(車両台帳!$C$57:$C$2056)=0,"",COUNTIF(車両台帳!$BD$57:$BD$2056,FR$3&amp;"-"&amp;522&amp;"A"))</f>
        <v/>
      </c>
      <c r="FS15" s="725" t="str">
        <f>IF(COUNTA(車両台帳!$C$57:$C$2056)=0,"",COUNTIF(車両台帳!$BD$57:$BD$2056,FS$3&amp;"-"&amp;522&amp;"A"))</f>
        <v/>
      </c>
      <c r="FT15" s="725" t="str">
        <f>IF(COUNTA(車両台帳!$C$57:$C$2056)=0,"",COUNTIF(車両台帳!$BD$57:$BD$2056,FT$3&amp;"-"&amp;522&amp;"A"))</f>
        <v/>
      </c>
      <c r="FU15" s="725" t="str">
        <f>IF(COUNTA(車両台帳!$C$57:$C$2056)=0,"",COUNTIF(車両台帳!$BD$57:$BD$2056,FU$3&amp;"-"&amp;522&amp;"A"))</f>
        <v/>
      </c>
      <c r="FV15" s="725" t="str">
        <f>IF(COUNTA(車両台帳!$C$57:$C$2056)=0,"",COUNTIF(車両台帳!$BD$57:$BD$2056,FV$3&amp;"-"&amp;522&amp;"A"))</f>
        <v/>
      </c>
      <c r="FW15" s="725" t="str">
        <f>IF(COUNTA(車両台帳!$C$57:$C$2056)=0,"",COUNTIF(車両台帳!$BD$57:$BD$2056,FW$3&amp;"-"&amp;522&amp;"A"))</f>
        <v/>
      </c>
      <c r="FX15" s="725" t="str">
        <f>IF(COUNTA(車両台帳!$C$57:$C$2056)=0,"",COUNTIF(車両台帳!$BD$57:$BD$2056,FX$3&amp;"-"&amp;522&amp;"A"))</f>
        <v/>
      </c>
      <c r="FY15" s="725" t="str">
        <f>IF(COUNTA(車両台帳!$C$57:$C$2056)=0,"",COUNTIF(車両台帳!$BD$57:$BD$2056,FY$3&amp;"-"&amp;522&amp;"A"))</f>
        <v/>
      </c>
      <c r="FZ15" s="725" t="str">
        <f>IF(COUNTA(車両台帳!$C$57:$C$2056)=0,"",COUNTIF(車両台帳!$BD$57:$BD$2056,FZ$3&amp;"-"&amp;522&amp;"A"))</f>
        <v/>
      </c>
      <c r="GA15" s="725" t="str">
        <f>IF(COUNTA(車両台帳!$C$57:$C$2056)=0,"",COUNTIF(車両台帳!$BD$57:$BD$2056,GA$3&amp;"-"&amp;522&amp;"A"))</f>
        <v/>
      </c>
      <c r="GB15" s="725" t="str">
        <f>IF(COUNTA(車両台帳!$C$57:$C$2056)=0,"",COUNTIF(車両台帳!$BD$57:$BD$2056,GB$3&amp;"-"&amp;522&amp;"A"))</f>
        <v/>
      </c>
      <c r="GC15" s="725" t="str">
        <f>IF(COUNTA(車両台帳!$C$57:$C$2056)=0,"",COUNTIF(車両台帳!$BD$57:$BD$2056,GC$3&amp;"-"&amp;522&amp;"A"))</f>
        <v/>
      </c>
      <c r="GD15" s="725" t="str">
        <f>IF(COUNTA(車両台帳!$C$57:$C$2056)=0,"",COUNTIF(車両台帳!$BD$57:$BD$2056,GD$3&amp;"-"&amp;522&amp;"A"))</f>
        <v/>
      </c>
      <c r="GE15" s="725" t="str">
        <f>IF(COUNTA(車両台帳!$C$57:$C$2056)=0,"",COUNTIF(車両台帳!$BD$57:$BD$2056,GE$3&amp;"-"&amp;522&amp;"A"))</f>
        <v/>
      </c>
      <c r="GF15" s="725" t="str">
        <f>IF(COUNTA(車両台帳!$C$57:$C$2056)=0,"",COUNTIF(車両台帳!$BD$57:$BD$2056,GF$3&amp;"-"&amp;522&amp;"A"))</f>
        <v/>
      </c>
      <c r="GG15" s="725" t="str">
        <f>IF(COUNTA(車両台帳!$C$57:$C$2056)=0,"",COUNTIF(車両台帳!$BD$57:$BD$2056,GG$3&amp;"-"&amp;522&amp;"A"))</f>
        <v/>
      </c>
      <c r="GH15" s="725" t="str">
        <f>IF(COUNTA(車両台帳!$C$57:$C$2056)=0,"",COUNTIF(車両台帳!$BD$57:$BD$2056,GH$3&amp;"-"&amp;522&amp;"A"))</f>
        <v/>
      </c>
      <c r="GI15" s="725" t="str">
        <f>IF(COUNTA(車両台帳!$C$57:$C$2056)=0,"",COUNTIF(車両台帳!$BD$57:$BD$2056,GI$3&amp;"-"&amp;522&amp;"A"))</f>
        <v/>
      </c>
      <c r="GJ15" s="725" t="str">
        <f>IF(COUNTA(車両台帳!$C$57:$C$2056)=0,"",COUNTIF(車両台帳!$BD$57:$BD$2056,GJ$3&amp;"-"&amp;522&amp;"A"))</f>
        <v/>
      </c>
      <c r="GK15" s="725" t="str">
        <f>IF(COUNTA(車両台帳!$C$57:$C$2056)=0,"",COUNTIF(車両台帳!$BD$57:$BD$2056,GK$3&amp;"-"&amp;522&amp;"A"))</f>
        <v/>
      </c>
      <c r="GL15" s="725" t="str">
        <f>IF(COUNTA(車両台帳!$C$57:$C$2056)=0,"",COUNTIF(車両台帳!$BD$57:$BD$2056,GL$3&amp;"-"&amp;522&amp;"A"))</f>
        <v/>
      </c>
      <c r="GM15" s="725" t="str">
        <f>IF(COUNTA(車両台帳!$C$57:$C$2056)=0,"",COUNTIF(車両台帳!$BD$57:$BD$2056,GM$3&amp;"-"&amp;522&amp;"A"))</f>
        <v/>
      </c>
      <c r="GN15" s="725" t="str">
        <f>IF(COUNTA(車両台帳!$C$57:$C$2056)=0,"",COUNTIF(車両台帳!$BD$57:$BD$2056,GN$3&amp;"-"&amp;522&amp;"A"))</f>
        <v/>
      </c>
      <c r="GO15" s="725" t="str">
        <f>IF(COUNTA(車両台帳!$C$57:$C$2056)=0,"",COUNTIF(車両台帳!$BD$57:$BD$2056,GO$3&amp;"-"&amp;522&amp;"A"))</f>
        <v/>
      </c>
      <c r="GP15" s="725" t="str">
        <f>IF(COUNTA(車両台帳!$C$57:$C$2056)=0,"",COUNTIF(車両台帳!$BD$57:$BD$2056,GP$3&amp;"-"&amp;522&amp;"A"))</f>
        <v/>
      </c>
      <c r="GQ15" s="725" t="str">
        <f>IF(COUNTA(車両台帳!$C$57:$C$2056)=0,"",COUNTIF(車両台帳!$BD$57:$BD$2056,GQ$3&amp;"-"&amp;522&amp;"A"))</f>
        <v/>
      </c>
      <c r="GR15" s="725" t="str">
        <f>IF(COUNTA(車両台帳!$C$57:$C$2056)=0,"",COUNTIF(車両台帳!$BD$57:$BD$2056,GR$3&amp;"-"&amp;522&amp;"A"))</f>
        <v/>
      </c>
      <c r="GS15" s="725" t="str">
        <f>IF(COUNTA(車両台帳!$C$57:$C$2056)=0,"",COUNTIF(車両台帳!$BD$57:$BD$2056,GS$3&amp;"-"&amp;522&amp;"A"))</f>
        <v/>
      </c>
      <c r="GT15" s="725" t="str">
        <f>IF(COUNTA(車両台帳!$C$57:$C$2056)=0,"",COUNTIF(車両台帳!$BD$57:$BD$2056,GT$3&amp;"-"&amp;522&amp;"A"))</f>
        <v/>
      </c>
      <c r="GU15" s="726" t="str">
        <f>IF(COUNTA(車両台帳!$C$57:$C$2056)=0,"",COUNTIF(車両台帳!$BD$57:$BD$2056,GU$3&amp;"-"&amp;522&amp;"A"))</f>
        <v/>
      </c>
    </row>
    <row r="16" spans="1:203" s="7" customFormat="1" ht="29.25" customHeight="1">
      <c r="A16" s="1184"/>
      <c r="B16" s="715" t="s">
        <v>52</v>
      </c>
      <c r="C16" s="720" t="str">
        <f>IF(COUNTA(車両台帳!$C$57:$C$2056)=0,"",SUM(D16:GU16))</f>
        <v/>
      </c>
      <c r="D16" s="725" t="str">
        <f>IF(COUNTA(車両台帳!$C$57:$C$2056)=0,"",COUNTIF(車両台帳!$BD$57:$BD$2056,D$3&amp;"-"&amp;523&amp;"A"))</f>
        <v/>
      </c>
      <c r="E16" s="725" t="str">
        <f>IF(COUNTA(車両台帳!$C$57:$C$2056)=0,"",COUNTIF(車両台帳!$BD$57:$BD$2056,E$3&amp;"-"&amp;523&amp;"A"))</f>
        <v/>
      </c>
      <c r="F16" s="725" t="str">
        <f>IF(COUNTA(車両台帳!$C$57:$C$2056)=0,"",COUNTIF(車両台帳!$BD$57:$BD$2056,F$3&amp;"-"&amp;523&amp;"A"))</f>
        <v/>
      </c>
      <c r="G16" s="725" t="str">
        <f>IF(COUNTA(車両台帳!$C$57:$C$2056)=0,"",COUNTIF(車両台帳!$BD$57:$BD$2056,G$3&amp;"-"&amp;523&amp;"A"))</f>
        <v/>
      </c>
      <c r="H16" s="725" t="str">
        <f>IF(COUNTA(車両台帳!$C$57:$C$2056)=0,"",COUNTIF(車両台帳!$BD$57:$BD$2056,H$3&amp;"-"&amp;523&amp;"A"))</f>
        <v/>
      </c>
      <c r="I16" s="725" t="str">
        <f>IF(COUNTA(車両台帳!$C$57:$C$2056)=0,"",COUNTIF(車両台帳!$BD$57:$BD$2056,I$3&amp;"-"&amp;523&amp;"A"))</f>
        <v/>
      </c>
      <c r="J16" s="725" t="str">
        <f>IF(COUNTA(車両台帳!$C$57:$C$2056)=0,"",COUNTIF(車両台帳!$BD$57:$BD$2056,J$3&amp;"-"&amp;523&amp;"A"))</f>
        <v/>
      </c>
      <c r="K16" s="725" t="str">
        <f>IF(COUNTA(車両台帳!$C$57:$C$2056)=0,"",COUNTIF(車両台帳!$BD$57:$BD$2056,K$3&amp;"-"&amp;523&amp;"A"))</f>
        <v/>
      </c>
      <c r="L16" s="725" t="str">
        <f>IF(COUNTA(車両台帳!$C$57:$C$2056)=0,"",COUNTIF(車両台帳!$BD$57:$BD$2056,L$3&amp;"-"&amp;523&amp;"A"))</f>
        <v/>
      </c>
      <c r="M16" s="725" t="str">
        <f>IF(COUNTA(車両台帳!$C$57:$C$2056)=0,"",COUNTIF(車両台帳!$BD$57:$BD$2056,M$3&amp;"-"&amp;523&amp;"A"))</f>
        <v/>
      </c>
      <c r="N16" s="725" t="str">
        <f>IF(COUNTA(車両台帳!$C$57:$C$2056)=0,"",COUNTIF(車両台帳!$BD$57:$BD$2056,N$3&amp;"-"&amp;523&amp;"A"))</f>
        <v/>
      </c>
      <c r="O16" s="725" t="str">
        <f>IF(COUNTA(車両台帳!$C$57:$C$2056)=0,"",COUNTIF(車両台帳!$BD$57:$BD$2056,O$3&amp;"-"&amp;523&amp;"A"))</f>
        <v/>
      </c>
      <c r="P16" s="725" t="str">
        <f>IF(COUNTA(車両台帳!$C$57:$C$2056)=0,"",COUNTIF(車両台帳!$BD$57:$BD$2056,P$3&amp;"-"&amp;523&amp;"A"))</f>
        <v/>
      </c>
      <c r="Q16" s="725" t="str">
        <f>IF(COUNTA(車両台帳!$C$57:$C$2056)=0,"",COUNTIF(車両台帳!$BD$57:$BD$2056,Q$3&amp;"-"&amp;523&amp;"A"))</f>
        <v/>
      </c>
      <c r="R16" s="725" t="str">
        <f>IF(COUNTA(車両台帳!$C$57:$C$2056)=0,"",COUNTIF(車両台帳!$BD$57:$BD$2056,R$3&amp;"-"&amp;523&amp;"A"))</f>
        <v/>
      </c>
      <c r="S16" s="725" t="str">
        <f>IF(COUNTA(車両台帳!$C$57:$C$2056)=0,"",COUNTIF(車両台帳!$BD$57:$BD$2056,S$3&amp;"-"&amp;523&amp;"A"))</f>
        <v/>
      </c>
      <c r="T16" s="725" t="str">
        <f>IF(COUNTA(車両台帳!$C$57:$C$2056)=0,"",COUNTIF(車両台帳!$BD$57:$BD$2056,T$3&amp;"-"&amp;523&amp;"A"))</f>
        <v/>
      </c>
      <c r="U16" s="725" t="str">
        <f>IF(COUNTA(車両台帳!$C$57:$C$2056)=0,"",COUNTIF(車両台帳!$BD$57:$BD$2056,U$3&amp;"-"&amp;523&amp;"A"))</f>
        <v/>
      </c>
      <c r="V16" s="725" t="str">
        <f>IF(COUNTA(車両台帳!$C$57:$C$2056)=0,"",COUNTIF(車両台帳!$BD$57:$BD$2056,V$3&amp;"-"&amp;523&amp;"A"))</f>
        <v/>
      </c>
      <c r="W16" s="725" t="str">
        <f>IF(COUNTA(車両台帳!$C$57:$C$2056)=0,"",COUNTIF(車両台帳!$BD$57:$BD$2056,W$3&amp;"-"&amp;523&amp;"A"))</f>
        <v/>
      </c>
      <c r="X16" s="725" t="str">
        <f>IF(COUNTA(車両台帳!$C$57:$C$2056)=0,"",COUNTIF(車両台帳!$BD$57:$BD$2056,X$3&amp;"-"&amp;523&amp;"A"))</f>
        <v/>
      </c>
      <c r="Y16" s="725" t="str">
        <f>IF(COUNTA(車両台帳!$C$57:$C$2056)=0,"",COUNTIF(車両台帳!$BD$57:$BD$2056,Y$3&amp;"-"&amp;523&amp;"A"))</f>
        <v/>
      </c>
      <c r="Z16" s="725" t="str">
        <f>IF(COUNTA(車両台帳!$C$57:$C$2056)=0,"",COUNTIF(車両台帳!$BD$57:$BD$2056,Z$3&amp;"-"&amp;523&amp;"A"))</f>
        <v/>
      </c>
      <c r="AA16" s="725" t="str">
        <f>IF(COUNTA(車両台帳!$C$57:$C$2056)=0,"",COUNTIF(車両台帳!$BD$57:$BD$2056,AA$3&amp;"-"&amp;523&amp;"A"))</f>
        <v/>
      </c>
      <c r="AB16" s="725" t="str">
        <f>IF(COUNTA(車両台帳!$C$57:$C$2056)=0,"",COUNTIF(車両台帳!$BD$57:$BD$2056,AB$3&amp;"-"&amp;523&amp;"A"))</f>
        <v/>
      </c>
      <c r="AC16" s="725" t="str">
        <f>IF(COUNTA(車両台帳!$C$57:$C$2056)=0,"",COUNTIF(車両台帳!$BD$57:$BD$2056,AC$3&amp;"-"&amp;523&amp;"A"))</f>
        <v/>
      </c>
      <c r="AD16" s="725" t="str">
        <f>IF(COUNTA(車両台帳!$C$57:$C$2056)=0,"",COUNTIF(車両台帳!$BD$57:$BD$2056,AD$3&amp;"-"&amp;523&amp;"A"))</f>
        <v/>
      </c>
      <c r="AE16" s="725" t="str">
        <f>IF(COUNTA(車両台帳!$C$57:$C$2056)=0,"",COUNTIF(車両台帳!$BD$57:$BD$2056,AE$3&amp;"-"&amp;523&amp;"A"))</f>
        <v/>
      </c>
      <c r="AF16" s="725" t="str">
        <f>IF(COUNTA(車両台帳!$C$57:$C$2056)=0,"",COUNTIF(車両台帳!$BD$57:$BD$2056,AF$3&amp;"-"&amp;523&amp;"A"))</f>
        <v/>
      </c>
      <c r="AG16" s="725" t="str">
        <f>IF(COUNTA(車両台帳!$C$57:$C$2056)=0,"",COUNTIF(車両台帳!$BD$57:$BD$2056,AG$3&amp;"-"&amp;523&amp;"A"))</f>
        <v/>
      </c>
      <c r="AH16" s="725" t="str">
        <f>IF(COUNTA(車両台帳!$C$57:$C$2056)=0,"",COUNTIF(車両台帳!$BD$57:$BD$2056,AH$3&amp;"-"&amp;523&amp;"A"))</f>
        <v/>
      </c>
      <c r="AI16" s="725" t="str">
        <f>IF(COUNTA(車両台帳!$C$57:$C$2056)=0,"",COUNTIF(車両台帳!$BD$57:$BD$2056,AI$3&amp;"-"&amp;523&amp;"A"))</f>
        <v/>
      </c>
      <c r="AJ16" s="725" t="str">
        <f>IF(COUNTA(車両台帳!$C$57:$C$2056)=0,"",COUNTIF(車両台帳!$BD$57:$BD$2056,AJ$3&amp;"-"&amp;523&amp;"A"))</f>
        <v/>
      </c>
      <c r="AK16" s="725" t="str">
        <f>IF(COUNTA(車両台帳!$C$57:$C$2056)=0,"",COUNTIF(車両台帳!$BD$57:$BD$2056,AK$3&amp;"-"&amp;523&amp;"A"))</f>
        <v/>
      </c>
      <c r="AL16" s="725" t="str">
        <f>IF(COUNTA(車両台帳!$C$57:$C$2056)=0,"",COUNTIF(車両台帳!$BD$57:$BD$2056,AL$3&amp;"-"&amp;523&amp;"A"))</f>
        <v/>
      </c>
      <c r="AM16" s="725" t="str">
        <f>IF(COUNTA(車両台帳!$C$57:$C$2056)=0,"",COUNTIF(車両台帳!$BD$57:$BD$2056,AM$3&amp;"-"&amp;523&amp;"A"))</f>
        <v/>
      </c>
      <c r="AN16" s="725" t="str">
        <f>IF(COUNTA(車両台帳!$C$57:$C$2056)=0,"",COUNTIF(車両台帳!$BD$57:$BD$2056,AN$3&amp;"-"&amp;523&amp;"A"))</f>
        <v/>
      </c>
      <c r="AO16" s="725" t="str">
        <f>IF(COUNTA(車両台帳!$C$57:$C$2056)=0,"",COUNTIF(車両台帳!$BD$57:$BD$2056,AO$3&amp;"-"&amp;523&amp;"A"))</f>
        <v/>
      </c>
      <c r="AP16" s="725" t="str">
        <f>IF(COUNTA(車両台帳!$C$57:$C$2056)=0,"",COUNTIF(車両台帳!$BD$57:$BD$2056,AP$3&amp;"-"&amp;523&amp;"A"))</f>
        <v/>
      </c>
      <c r="AQ16" s="725" t="str">
        <f>IF(COUNTA(車両台帳!$C$57:$C$2056)=0,"",COUNTIF(車両台帳!$BD$57:$BD$2056,AQ$3&amp;"-"&amp;523&amp;"A"))</f>
        <v/>
      </c>
      <c r="AR16" s="725" t="str">
        <f>IF(COUNTA(車両台帳!$C$57:$C$2056)=0,"",COUNTIF(車両台帳!$BD$57:$BD$2056,AR$3&amp;"-"&amp;523&amp;"A"))</f>
        <v/>
      </c>
      <c r="AS16" s="725" t="str">
        <f>IF(COUNTA(車両台帳!$C$57:$C$2056)=0,"",COUNTIF(車両台帳!$BD$57:$BD$2056,AS$3&amp;"-"&amp;523&amp;"A"))</f>
        <v/>
      </c>
      <c r="AT16" s="725" t="str">
        <f>IF(COUNTA(車両台帳!$C$57:$C$2056)=0,"",COUNTIF(車両台帳!$BD$57:$BD$2056,AT$3&amp;"-"&amp;523&amp;"A"))</f>
        <v/>
      </c>
      <c r="AU16" s="725" t="str">
        <f>IF(COUNTA(車両台帳!$C$57:$C$2056)=0,"",COUNTIF(車両台帳!$BD$57:$BD$2056,AU$3&amp;"-"&amp;523&amp;"A"))</f>
        <v/>
      </c>
      <c r="AV16" s="725" t="str">
        <f>IF(COUNTA(車両台帳!$C$57:$C$2056)=0,"",COUNTIF(車両台帳!$BD$57:$BD$2056,AV$3&amp;"-"&amp;523&amp;"A"))</f>
        <v/>
      </c>
      <c r="AW16" s="725" t="str">
        <f>IF(COUNTA(車両台帳!$C$57:$C$2056)=0,"",COUNTIF(車両台帳!$BD$57:$BD$2056,AW$3&amp;"-"&amp;523&amp;"A"))</f>
        <v/>
      </c>
      <c r="AX16" s="725" t="str">
        <f>IF(COUNTA(車両台帳!$C$57:$C$2056)=0,"",COUNTIF(車両台帳!$BD$57:$BD$2056,AX$3&amp;"-"&amp;523&amp;"A"))</f>
        <v/>
      </c>
      <c r="AY16" s="725" t="str">
        <f>IF(COUNTA(車両台帳!$C$57:$C$2056)=0,"",COUNTIF(車両台帳!$BD$57:$BD$2056,AY$3&amp;"-"&amp;523&amp;"A"))</f>
        <v/>
      </c>
      <c r="AZ16" s="725" t="str">
        <f>IF(COUNTA(車両台帳!$C$57:$C$2056)=0,"",COUNTIF(車両台帳!$BD$57:$BD$2056,AZ$3&amp;"-"&amp;523&amp;"A"))</f>
        <v/>
      </c>
      <c r="BA16" s="725" t="str">
        <f>IF(COUNTA(車両台帳!$C$57:$C$2056)=0,"",COUNTIF(車両台帳!$BD$57:$BD$2056,BA$3&amp;"-"&amp;523&amp;"A"))</f>
        <v/>
      </c>
      <c r="BB16" s="725" t="str">
        <f>IF(COUNTA(車両台帳!$C$57:$C$2056)=0,"",COUNTIF(車両台帳!$BD$57:$BD$2056,BB$3&amp;"-"&amp;523&amp;"A"))</f>
        <v/>
      </c>
      <c r="BC16" s="725" t="str">
        <f>IF(COUNTA(車両台帳!$C$57:$C$2056)=0,"",COUNTIF(車両台帳!$BD$57:$BD$2056,BC$3&amp;"-"&amp;523&amp;"A"))</f>
        <v/>
      </c>
      <c r="BD16" s="725" t="str">
        <f>IF(COUNTA(車両台帳!$C$57:$C$2056)=0,"",COUNTIF(車両台帳!$BD$57:$BD$2056,BD$3&amp;"-"&amp;523&amp;"A"))</f>
        <v/>
      </c>
      <c r="BE16" s="725" t="str">
        <f>IF(COUNTA(車両台帳!$C$57:$C$2056)=0,"",COUNTIF(車両台帳!$BD$57:$BD$2056,BE$3&amp;"-"&amp;523&amp;"A"))</f>
        <v/>
      </c>
      <c r="BF16" s="725" t="str">
        <f>IF(COUNTA(車両台帳!$C$57:$C$2056)=0,"",COUNTIF(車両台帳!$BD$57:$BD$2056,BF$3&amp;"-"&amp;523&amp;"A"))</f>
        <v/>
      </c>
      <c r="BG16" s="725" t="str">
        <f>IF(COUNTA(車両台帳!$C$57:$C$2056)=0,"",COUNTIF(車両台帳!$BD$57:$BD$2056,BG$3&amp;"-"&amp;523&amp;"A"))</f>
        <v/>
      </c>
      <c r="BH16" s="725" t="str">
        <f>IF(COUNTA(車両台帳!$C$57:$C$2056)=0,"",COUNTIF(車両台帳!$BD$57:$BD$2056,BH$3&amp;"-"&amp;523&amp;"A"))</f>
        <v/>
      </c>
      <c r="BI16" s="725" t="str">
        <f>IF(COUNTA(車両台帳!$C$57:$C$2056)=0,"",COUNTIF(車両台帳!$BD$57:$BD$2056,BI$3&amp;"-"&amp;523&amp;"A"))</f>
        <v/>
      </c>
      <c r="BJ16" s="725" t="str">
        <f>IF(COUNTA(車両台帳!$C$57:$C$2056)=0,"",COUNTIF(車両台帳!$BD$57:$BD$2056,BJ$3&amp;"-"&amp;523&amp;"A"))</f>
        <v/>
      </c>
      <c r="BK16" s="725" t="str">
        <f>IF(COUNTA(車両台帳!$C$57:$C$2056)=0,"",COUNTIF(車両台帳!$BD$57:$BD$2056,BK$3&amp;"-"&amp;523&amp;"A"))</f>
        <v/>
      </c>
      <c r="BL16" s="725" t="str">
        <f>IF(COUNTA(車両台帳!$C$57:$C$2056)=0,"",COUNTIF(車両台帳!$BD$57:$BD$2056,BL$3&amp;"-"&amp;523&amp;"A"))</f>
        <v/>
      </c>
      <c r="BM16" s="725" t="str">
        <f>IF(COUNTA(車両台帳!$C$57:$C$2056)=0,"",COUNTIF(車両台帳!$BD$57:$BD$2056,BM$3&amp;"-"&amp;523&amp;"A"))</f>
        <v/>
      </c>
      <c r="BN16" s="725" t="str">
        <f>IF(COUNTA(車両台帳!$C$57:$C$2056)=0,"",COUNTIF(車両台帳!$BD$57:$BD$2056,BN$3&amp;"-"&amp;523&amp;"A"))</f>
        <v/>
      </c>
      <c r="BO16" s="725" t="str">
        <f>IF(COUNTA(車両台帳!$C$57:$C$2056)=0,"",COUNTIF(車両台帳!$BD$57:$BD$2056,BO$3&amp;"-"&amp;523&amp;"A"))</f>
        <v/>
      </c>
      <c r="BP16" s="725" t="str">
        <f>IF(COUNTA(車両台帳!$C$57:$C$2056)=0,"",COUNTIF(車両台帳!$BD$57:$BD$2056,BP$3&amp;"-"&amp;523&amp;"A"))</f>
        <v/>
      </c>
      <c r="BQ16" s="725" t="str">
        <f>IF(COUNTA(車両台帳!$C$57:$C$2056)=0,"",COUNTIF(車両台帳!$BD$57:$BD$2056,BQ$3&amp;"-"&amp;523&amp;"A"))</f>
        <v/>
      </c>
      <c r="BR16" s="725" t="str">
        <f>IF(COUNTA(車両台帳!$C$57:$C$2056)=0,"",COUNTIF(車両台帳!$BD$57:$BD$2056,BR$3&amp;"-"&amp;523&amp;"A"))</f>
        <v/>
      </c>
      <c r="BS16" s="725" t="str">
        <f>IF(COUNTA(車両台帳!$C$57:$C$2056)=0,"",COUNTIF(車両台帳!$BD$57:$BD$2056,BS$3&amp;"-"&amp;523&amp;"A"))</f>
        <v/>
      </c>
      <c r="BT16" s="725" t="str">
        <f>IF(COUNTA(車両台帳!$C$57:$C$2056)=0,"",COUNTIF(車両台帳!$BD$57:$BD$2056,BT$3&amp;"-"&amp;523&amp;"A"))</f>
        <v/>
      </c>
      <c r="BU16" s="725" t="str">
        <f>IF(COUNTA(車両台帳!$C$57:$C$2056)=0,"",COUNTIF(車両台帳!$BD$57:$BD$2056,BU$3&amp;"-"&amp;523&amp;"A"))</f>
        <v/>
      </c>
      <c r="BV16" s="725" t="str">
        <f>IF(COUNTA(車両台帳!$C$57:$C$2056)=0,"",COUNTIF(車両台帳!$BD$57:$BD$2056,BV$3&amp;"-"&amp;523&amp;"A"))</f>
        <v/>
      </c>
      <c r="BW16" s="725" t="str">
        <f>IF(COUNTA(車両台帳!$C$57:$C$2056)=0,"",COUNTIF(車両台帳!$BD$57:$BD$2056,BW$3&amp;"-"&amp;523&amp;"A"))</f>
        <v/>
      </c>
      <c r="BX16" s="725" t="str">
        <f>IF(COUNTA(車両台帳!$C$57:$C$2056)=0,"",COUNTIF(車両台帳!$BD$57:$BD$2056,BX$3&amp;"-"&amp;523&amp;"A"))</f>
        <v/>
      </c>
      <c r="BY16" s="725" t="str">
        <f>IF(COUNTA(車両台帳!$C$57:$C$2056)=0,"",COUNTIF(車両台帳!$BD$57:$BD$2056,BY$3&amp;"-"&amp;523&amp;"A"))</f>
        <v/>
      </c>
      <c r="BZ16" s="725" t="str">
        <f>IF(COUNTA(車両台帳!$C$57:$C$2056)=0,"",COUNTIF(車両台帳!$BD$57:$BD$2056,BZ$3&amp;"-"&amp;523&amp;"A"))</f>
        <v/>
      </c>
      <c r="CA16" s="725" t="str">
        <f>IF(COUNTA(車両台帳!$C$57:$C$2056)=0,"",COUNTIF(車両台帳!$BD$57:$BD$2056,CA$3&amp;"-"&amp;523&amp;"A"))</f>
        <v/>
      </c>
      <c r="CB16" s="725" t="str">
        <f>IF(COUNTA(車両台帳!$C$57:$C$2056)=0,"",COUNTIF(車両台帳!$BD$57:$BD$2056,CB$3&amp;"-"&amp;523&amp;"A"))</f>
        <v/>
      </c>
      <c r="CC16" s="725" t="str">
        <f>IF(COUNTA(車両台帳!$C$57:$C$2056)=0,"",COUNTIF(車両台帳!$BD$57:$BD$2056,CC$3&amp;"-"&amp;523&amp;"A"))</f>
        <v/>
      </c>
      <c r="CD16" s="725" t="str">
        <f>IF(COUNTA(車両台帳!$C$57:$C$2056)=0,"",COUNTIF(車両台帳!$BD$57:$BD$2056,CD$3&amp;"-"&amp;523&amp;"A"))</f>
        <v/>
      </c>
      <c r="CE16" s="725" t="str">
        <f>IF(COUNTA(車両台帳!$C$57:$C$2056)=0,"",COUNTIF(車両台帳!$BD$57:$BD$2056,CE$3&amp;"-"&amp;523&amp;"A"))</f>
        <v/>
      </c>
      <c r="CF16" s="725" t="str">
        <f>IF(COUNTA(車両台帳!$C$57:$C$2056)=0,"",COUNTIF(車両台帳!$BD$57:$BD$2056,CF$3&amp;"-"&amp;523&amp;"A"))</f>
        <v/>
      </c>
      <c r="CG16" s="725" t="str">
        <f>IF(COUNTA(車両台帳!$C$57:$C$2056)=0,"",COUNTIF(車両台帳!$BD$57:$BD$2056,CG$3&amp;"-"&amp;523&amp;"A"))</f>
        <v/>
      </c>
      <c r="CH16" s="725" t="str">
        <f>IF(COUNTA(車両台帳!$C$57:$C$2056)=0,"",COUNTIF(車両台帳!$BD$57:$BD$2056,CH$3&amp;"-"&amp;523&amp;"A"))</f>
        <v/>
      </c>
      <c r="CI16" s="725" t="str">
        <f>IF(COUNTA(車両台帳!$C$57:$C$2056)=0,"",COUNTIF(車両台帳!$BD$57:$BD$2056,CI$3&amp;"-"&amp;523&amp;"A"))</f>
        <v/>
      </c>
      <c r="CJ16" s="725" t="str">
        <f>IF(COUNTA(車両台帳!$C$57:$C$2056)=0,"",COUNTIF(車両台帳!$BD$57:$BD$2056,CJ$3&amp;"-"&amp;523&amp;"A"))</f>
        <v/>
      </c>
      <c r="CK16" s="725" t="str">
        <f>IF(COUNTA(車両台帳!$C$57:$C$2056)=0,"",COUNTIF(車両台帳!$BD$57:$BD$2056,CK$3&amp;"-"&amp;523&amp;"A"))</f>
        <v/>
      </c>
      <c r="CL16" s="725" t="str">
        <f>IF(COUNTA(車両台帳!$C$57:$C$2056)=0,"",COUNTIF(車両台帳!$BD$57:$BD$2056,CL$3&amp;"-"&amp;523&amp;"A"))</f>
        <v/>
      </c>
      <c r="CM16" s="725" t="str">
        <f>IF(COUNTA(車両台帳!$C$57:$C$2056)=0,"",COUNTIF(車両台帳!$BD$57:$BD$2056,CM$3&amp;"-"&amp;523&amp;"A"))</f>
        <v/>
      </c>
      <c r="CN16" s="725" t="str">
        <f>IF(COUNTA(車両台帳!$C$57:$C$2056)=0,"",COUNTIF(車両台帳!$BD$57:$BD$2056,CN$3&amp;"-"&amp;523&amp;"A"))</f>
        <v/>
      </c>
      <c r="CO16" s="725" t="str">
        <f>IF(COUNTA(車両台帳!$C$57:$C$2056)=0,"",COUNTIF(車両台帳!$BD$57:$BD$2056,CO$3&amp;"-"&amp;523&amp;"A"))</f>
        <v/>
      </c>
      <c r="CP16" s="725" t="str">
        <f>IF(COUNTA(車両台帳!$C$57:$C$2056)=0,"",COUNTIF(車両台帳!$BD$57:$BD$2056,CP$3&amp;"-"&amp;523&amp;"A"))</f>
        <v/>
      </c>
      <c r="CQ16" s="725" t="str">
        <f>IF(COUNTA(車両台帳!$C$57:$C$2056)=0,"",COUNTIF(車両台帳!$BD$57:$BD$2056,CQ$3&amp;"-"&amp;523&amp;"A"))</f>
        <v/>
      </c>
      <c r="CR16" s="725" t="str">
        <f>IF(COUNTA(車両台帳!$C$57:$C$2056)=0,"",COUNTIF(車両台帳!$BD$57:$BD$2056,CR$3&amp;"-"&amp;523&amp;"A"))</f>
        <v/>
      </c>
      <c r="CS16" s="725" t="str">
        <f>IF(COUNTA(車両台帳!$C$57:$C$2056)=0,"",COUNTIF(車両台帳!$BD$57:$BD$2056,CS$3&amp;"-"&amp;523&amp;"A"))</f>
        <v/>
      </c>
      <c r="CT16" s="725" t="str">
        <f>IF(COUNTA(車両台帳!$C$57:$C$2056)=0,"",COUNTIF(車両台帳!$BD$57:$BD$2056,CT$3&amp;"-"&amp;523&amp;"A"))</f>
        <v/>
      </c>
      <c r="CU16" s="725" t="str">
        <f>IF(COUNTA(車両台帳!$C$57:$C$2056)=0,"",COUNTIF(車両台帳!$BD$57:$BD$2056,CU$3&amp;"-"&amp;523&amp;"A"))</f>
        <v/>
      </c>
      <c r="CV16" s="725" t="str">
        <f>IF(COUNTA(車両台帳!$C$57:$C$2056)=0,"",COUNTIF(車両台帳!$BD$57:$BD$2056,CV$3&amp;"-"&amp;523&amp;"A"))</f>
        <v/>
      </c>
      <c r="CW16" s="725" t="str">
        <f>IF(COUNTA(車両台帳!$C$57:$C$2056)=0,"",COUNTIF(車両台帳!$BD$57:$BD$2056,CW$3&amp;"-"&amp;523&amp;"A"))</f>
        <v/>
      </c>
      <c r="CX16" s="725" t="str">
        <f>IF(COUNTA(車両台帳!$C$57:$C$2056)=0,"",COUNTIF(車両台帳!$BD$57:$BD$2056,CX$3&amp;"-"&amp;523&amp;"A"))</f>
        <v/>
      </c>
      <c r="CY16" s="725" t="str">
        <f>IF(COUNTA(車両台帳!$C$57:$C$2056)=0,"",COUNTIF(車両台帳!$BD$57:$BD$2056,CY$3&amp;"-"&amp;523&amp;"A"))</f>
        <v/>
      </c>
      <c r="CZ16" s="725" t="str">
        <f>IF(COUNTA(車両台帳!$C$57:$C$2056)=0,"",COUNTIF(車両台帳!$BD$57:$BD$2056,CZ$3&amp;"-"&amp;523&amp;"A"))</f>
        <v/>
      </c>
      <c r="DA16" s="725" t="str">
        <f>IF(COUNTA(車両台帳!$C$57:$C$2056)=0,"",COUNTIF(車両台帳!$BD$57:$BD$2056,DA$3&amp;"-"&amp;523&amp;"A"))</f>
        <v/>
      </c>
      <c r="DB16" s="725" t="str">
        <f>IF(COUNTA(車両台帳!$C$57:$C$2056)=0,"",COUNTIF(車両台帳!$BD$57:$BD$2056,DB$3&amp;"-"&amp;523&amp;"A"))</f>
        <v/>
      </c>
      <c r="DC16" s="725" t="str">
        <f>IF(COUNTA(車両台帳!$C$57:$C$2056)=0,"",COUNTIF(車両台帳!$BD$57:$BD$2056,DC$3&amp;"-"&amp;523&amp;"A"))</f>
        <v/>
      </c>
      <c r="DD16" s="725" t="str">
        <f>IF(COUNTA(車両台帳!$C$57:$C$2056)=0,"",COUNTIF(車両台帳!$BD$57:$BD$2056,DD$3&amp;"-"&amp;523&amp;"A"))</f>
        <v/>
      </c>
      <c r="DE16" s="725" t="str">
        <f>IF(COUNTA(車両台帳!$C$57:$C$2056)=0,"",COUNTIF(車両台帳!$BD$57:$BD$2056,DE$3&amp;"-"&amp;523&amp;"A"))</f>
        <v/>
      </c>
      <c r="DF16" s="725" t="str">
        <f>IF(COUNTA(車両台帳!$C$57:$C$2056)=0,"",COUNTIF(車両台帳!$BD$57:$BD$2056,DF$3&amp;"-"&amp;523&amp;"A"))</f>
        <v/>
      </c>
      <c r="DG16" s="725" t="str">
        <f>IF(COUNTA(車両台帳!$C$57:$C$2056)=0,"",COUNTIF(車両台帳!$BD$57:$BD$2056,DG$3&amp;"-"&amp;523&amp;"A"))</f>
        <v/>
      </c>
      <c r="DH16" s="725" t="str">
        <f>IF(COUNTA(車両台帳!$C$57:$C$2056)=0,"",COUNTIF(車両台帳!$BD$57:$BD$2056,DH$3&amp;"-"&amp;523&amp;"A"))</f>
        <v/>
      </c>
      <c r="DI16" s="725" t="str">
        <f>IF(COUNTA(車両台帳!$C$57:$C$2056)=0,"",COUNTIF(車両台帳!$BD$57:$BD$2056,DI$3&amp;"-"&amp;523&amp;"A"))</f>
        <v/>
      </c>
      <c r="DJ16" s="725" t="str">
        <f>IF(COUNTA(車両台帳!$C$57:$C$2056)=0,"",COUNTIF(車両台帳!$BD$57:$BD$2056,DJ$3&amp;"-"&amp;523&amp;"A"))</f>
        <v/>
      </c>
      <c r="DK16" s="725" t="str">
        <f>IF(COUNTA(車両台帳!$C$57:$C$2056)=0,"",COUNTIF(車両台帳!$BD$57:$BD$2056,DK$3&amp;"-"&amp;523&amp;"A"))</f>
        <v/>
      </c>
      <c r="DL16" s="725" t="str">
        <f>IF(COUNTA(車両台帳!$C$57:$C$2056)=0,"",COUNTIF(車両台帳!$BD$57:$BD$2056,DL$3&amp;"-"&amp;523&amp;"A"))</f>
        <v/>
      </c>
      <c r="DM16" s="725" t="str">
        <f>IF(COUNTA(車両台帳!$C$57:$C$2056)=0,"",COUNTIF(車両台帳!$BD$57:$BD$2056,DM$3&amp;"-"&amp;523&amp;"A"))</f>
        <v/>
      </c>
      <c r="DN16" s="725" t="str">
        <f>IF(COUNTA(車両台帳!$C$57:$C$2056)=0,"",COUNTIF(車両台帳!$BD$57:$BD$2056,DN$3&amp;"-"&amp;523&amp;"A"))</f>
        <v/>
      </c>
      <c r="DO16" s="725" t="str">
        <f>IF(COUNTA(車両台帳!$C$57:$C$2056)=0,"",COUNTIF(車両台帳!$BD$57:$BD$2056,DO$3&amp;"-"&amp;523&amp;"A"))</f>
        <v/>
      </c>
      <c r="DP16" s="725" t="str">
        <f>IF(COUNTA(車両台帳!$C$57:$C$2056)=0,"",COUNTIF(車両台帳!$BD$57:$BD$2056,DP$3&amp;"-"&amp;523&amp;"A"))</f>
        <v/>
      </c>
      <c r="DQ16" s="725" t="str">
        <f>IF(COUNTA(車両台帳!$C$57:$C$2056)=0,"",COUNTIF(車両台帳!$BD$57:$BD$2056,DQ$3&amp;"-"&amp;523&amp;"A"))</f>
        <v/>
      </c>
      <c r="DR16" s="725" t="str">
        <f>IF(COUNTA(車両台帳!$C$57:$C$2056)=0,"",COUNTIF(車両台帳!$BD$57:$BD$2056,DR$3&amp;"-"&amp;523&amp;"A"))</f>
        <v/>
      </c>
      <c r="DS16" s="725" t="str">
        <f>IF(COUNTA(車両台帳!$C$57:$C$2056)=0,"",COUNTIF(車両台帳!$BD$57:$BD$2056,DS$3&amp;"-"&amp;523&amp;"A"))</f>
        <v/>
      </c>
      <c r="DT16" s="725" t="str">
        <f>IF(COUNTA(車両台帳!$C$57:$C$2056)=0,"",COUNTIF(車両台帳!$BD$57:$BD$2056,DT$3&amp;"-"&amp;523&amp;"A"))</f>
        <v/>
      </c>
      <c r="DU16" s="725" t="str">
        <f>IF(COUNTA(車両台帳!$C$57:$C$2056)=0,"",COUNTIF(車両台帳!$BD$57:$BD$2056,DU$3&amp;"-"&amp;523&amp;"A"))</f>
        <v/>
      </c>
      <c r="DV16" s="725" t="str">
        <f>IF(COUNTA(車両台帳!$C$57:$C$2056)=0,"",COUNTIF(車両台帳!$BD$57:$BD$2056,DV$3&amp;"-"&amp;523&amp;"A"))</f>
        <v/>
      </c>
      <c r="DW16" s="725" t="str">
        <f>IF(COUNTA(車両台帳!$C$57:$C$2056)=0,"",COUNTIF(車両台帳!$BD$57:$BD$2056,DW$3&amp;"-"&amp;523&amp;"A"))</f>
        <v/>
      </c>
      <c r="DX16" s="725" t="str">
        <f>IF(COUNTA(車両台帳!$C$57:$C$2056)=0,"",COUNTIF(車両台帳!$BD$57:$BD$2056,DX$3&amp;"-"&amp;523&amp;"A"))</f>
        <v/>
      </c>
      <c r="DY16" s="725" t="str">
        <f>IF(COUNTA(車両台帳!$C$57:$C$2056)=0,"",COUNTIF(車両台帳!$BD$57:$BD$2056,DY$3&amp;"-"&amp;523&amp;"A"))</f>
        <v/>
      </c>
      <c r="DZ16" s="725" t="str">
        <f>IF(COUNTA(車両台帳!$C$57:$C$2056)=0,"",COUNTIF(車両台帳!$BD$57:$BD$2056,DZ$3&amp;"-"&amp;523&amp;"A"))</f>
        <v/>
      </c>
      <c r="EA16" s="725" t="str">
        <f>IF(COUNTA(車両台帳!$C$57:$C$2056)=0,"",COUNTIF(車両台帳!$BD$57:$BD$2056,EA$3&amp;"-"&amp;523&amp;"A"))</f>
        <v/>
      </c>
      <c r="EB16" s="725" t="str">
        <f>IF(COUNTA(車両台帳!$C$57:$C$2056)=0,"",COUNTIF(車両台帳!$BD$57:$BD$2056,EB$3&amp;"-"&amp;523&amp;"A"))</f>
        <v/>
      </c>
      <c r="EC16" s="725" t="str">
        <f>IF(COUNTA(車両台帳!$C$57:$C$2056)=0,"",COUNTIF(車両台帳!$BD$57:$BD$2056,EC$3&amp;"-"&amp;523&amp;"A"))</f>
        <v/>
      </c>
      <c r="ED16" s="725" t="str">
        <f>IF(COUNTA(車両台帳!$C$57:$C$2056)=0,"",COUNTIF(車両台帳!$BD$57:$BD$2056,ED$3&amp;"-"&amp;523&amp;"A"))</f>
        <v/>
      </c>
      <c r="EE16" s="725" t="str">
        <f>IF(COUNTA(車両台帳!$C$57:$C$2056)=0,"",COUNTIF(車両台帳!$BD$57:$BD$2056,EE$3&amp;"-"&amp;523&amp;"A"))</f>
        <v/>
      </c>
      <c r="EF16" s="725" t="str">
        <f>IF(COUNTA(車両台帳!$C$57:$C$2056)=0,"",COUNTIF(車両台帳!$BD$57:$BD$2056,EF$3&amp;"-"&amp;523&amp;"A"))</f>
        <v/>
      </c>
      <c r="EG16" s="725" t="str">
        <f>IF(COUNTA(車両台帳!$C$57:$C$2056)=0,"",COUNTIF(車両台帳!$BD$57:$BD$2056,EG$3&amp;"-"&amp;523&amp;"A"))</f>
        <v/>
      </c>
      <c r="EH16" s="725" t="str">
        <f>IF(COUNTA(車両台帳!$C$57:$C$2056)=0,"",COUNTIF(車両台帳!$BD$57:$BD$2056,EH$3&amp;"-"&amp;523&amp;"A"))</f>
        <v/>
      </c>
      <c r="EI16" s="725" t="str">
        <f>IF(COUNTA(車両台帳!$C$57:$C$2056)=0,"",COUNTIF(車両台帳!$BD$57:$BD$2056,EI$3&amp;"-"&amp;523&amp;"A"))</f>
        <v/>
      </c>
      <c r="EJ16" s="725" t="str">
        <f>IF(COUNTA(車両台帳!$C$57:$C$2056)=0,"",COUNTIF(車両台帳!$BD$57:$BD$2056,EJ$3&amp;"-"&amp;523&amp;"A"))</f>
        <v/>
      </c>
      <c r="EK16" s="725" t="str">
        <f>IF(COUNTA(車両台帳!$C$57:$C$2056)=0,"",COUNTIF(車両台帳!$BD$57:$BD$2056,EK$3&amp;"-"&amp;523&amp;"A"))</f>
        <v/>
      </c>
      <c r="EL16" s="725" t="str">
        <f>IF(COUNTA(車両台帳!$C$57:$C$2056)=0,"",COUNTIF(車両台帳!$BD$57:$BD$2056,EL$3&amp;"-"&amp;523&amp;"A"))</f>
        <v/>
      </c>
      <c r="EM16" s="725" t="str">
        <f>IF(COUNTA(車両台帳!$C$57:$C$2056)=0,"",COUNTIF(車両台帳!$BD$57:$BD$2056,EM$3&amp;"-"&amp;523&amp;"A"))</f>
        <v/>
      </c>
      <c r="EN16" s="725" t="str">
        <f>IF(COUNTA(車両台帳!$C$57:$C$2056)=0,"",COUNTIF(車両台帳!$BD$57:$BD$2056,EN$3&amp;"-"&amp;523&amp;"A"))</f>
        <v/>
      </c>
      <c r="EO16" s="725" t="str">
        <f>IF(COUNTA(車両台帳!$C$57:$C$2056)=0,"",COUNTIF(車両台帳!$BD$57:$BD$2056,EO$3&amp;"-"&amp;523&amp;"A"))</f>
        <v/>
      </c>
      <c r="EP16" s="725" t="str">
        <f>IF(COUNTA(車両台帳!$C$57:$C$2056)=0,"",COUNTIF(車両台帳!$BD$57:$BD$2056,EP$3&amp;"-"&amp;523&amp;"A"))</f>
        <v/>
      </c>
      <c r="EQ16" s="725" t="str">
        <f>IF(COUNTA(車両台帳!$C$57:$C$2056)=0,"",COUNTIF(車両台帳!$BD$57:$BD$2056,EQ$3&amp;"-"&amp;523&amp;"A"))</f>
        <v/>
      </c>
      <c r="ER16" s="725" t="str">
        <f>IF(COUNTA(車両台帳!$C$57:$C$2056)=0,"",COUNTIF(車両台帳!$BD$57:$BD$2056,ER$3&amp;"-"&amp;523&amp;"A"))</f>
        <v/>
      </c>
      <c r="ES16" s="725" t="str">
        <f>IF(COUNTA(車両台帳!$C$57:$C$2056)=0,"",COUNTIF(車両台帳!$BD$57:$BD$2056,ES$3&amp;"-"&amp;523&amp;"A"))</f>
        <v/>
      </c>
      <c r="ET16" s="725" t="str">
        <f>IF(COUNTA(車両台帳!$C$57:$C$2056)=0,"",COUNTIF(車両台帳!$BD$57:$BD$2056,ET$3&amp;"-"&amp;523&amp;"A"))</f>
        <v/>
      </c>
      <c r="EU16" s="725" t="str">
        <f>IF(COUNTA(車両台帳!$C$57:$C$2056)=0,"",COUNTIF(車両台帳!$BD$57:$BD$2056,EU$3&amp;"-"&amp;523&amp;"A"))</f>
        <v/>
      </c>
      <c r="EV16" s="725" t="str">
        <f>IF(COUNTA(車両台帳!$C$57:$C$2056)=0,"",COUNTIF(車両台帳!$BD$57:$BD$2056,EV$3&amp;"-"&amp;523&amp;"A"))</f>
        <v/>
      </c>
      <c r="EW16" s="725" t="str">
        <f>IF(COUNTA(車両台帳!$C$57:$C$2056)=0,"",COUNTIF(車両台帳!$BD$57:$BD$2056,EW$3&amp;"-"&amp;523&amp;"A"))</f>
        <v/>
      </c>
      <c r="EX16" s="725" t="str">
        <f>IF(COUNTA(車両台帳!$C$57:$C$2056)=0,"",COUNTIF(車両台帳!$BD$57:$BD$2056,EX$3&amp;"-"&amp;523&amp;"A"))</f>
        <v/>
      </c>
      <c r="EY16" s="725" t="str">
        <f>IF(COUNTA(車両台帳!$C$57:$C$2056)=0,"",COUNTIF(車両台帳!$BD$57:$BD$2056,EY$3&amp;"-"&amp;523&amp;"A"))</f>
        <v/>
      </c>
      <c r="EZ16" s="725" t="str">
        <f>IF(COUNTA(車両台帳!$C$57:$C$2056)=0,"",COUNTIF(車両台帳!$BD$57:$BD$2056,EZ$3&amp;"-"&amp;523&amp;"A"))</f>
        <v/>
      </c>
      <c r="FA16" s="725" t="str">
        <f>IF(COUNTA(車両台帳!$C$57:$C$2056)=0,"",COUNTIF(車両台帳!$BD$57:$BD$2056,FA$3&amp;"-"&amp;523&amp;"A"))</f>
        <v/>
      </c>
      <c r="FB16" s="725" t="str">
        <f>IF(COUNTA(車両台帳!$C$57:$C$2056)=0,"",COUNTIF(車両台帳!$BD$57:$BD$2056,FB$3&amp;"-"&amp;523&amp;"A"))</f>
        <v/>
      </c>
      <c r="FC16" s="725" t="str">
        <f>IF(COUNTA(車両台帳!$C$57:$C$2056)=0,"",COUNTIF(車両台帳!$BD$57:$BD$2056,FC$3&amp;"-"&amp;523&amp;"A"))</f>
        <v/>
      </c>
      <c r="FD16" s="725" t="str">
        <f>IF(COUNTA(車両台帳!$C$57:$C$2056)=0,"",COUNTIF(車両台帳!$BD$57:$BD$2056,FD$3&amp;"-"&amp;523&amp;"A"))</f>
        <v/>
      </c>
      <c r="FE16" s="725" t="str">
        <f>IF(COUNTA(車両台帳!$C$57:$C$2056)=0,"",COUNTIF(車両台帳!$BD$57:$BD$2056,FE$3&amp;"-"&amp;523&amp;"A"))</f>
        <v/>
      </c>
      <c r="FF16" s="725" t="str">
        <f>IF(COUNTA(車両台帳!$C$57:$C$2056)=0,"",COUNTIF(車両台帳!$BD$57:$BD$2056,FF$3&amp;"-"&amp;523&amp;"A"))</f>
        <v/>
      </c>
      <c r="FG16" s="725" t="str">
        <f>IF(COUNTA(車両台帳!$C$57:$C$2056)=0,"",COUNTIF(車両台帳!$BD$57:$BD$2056,FG$3&amp;"-"&amp;523&amp;"A"))</f>
        <v/>
      </c>
      <c r="FH16" s="725" t="str">
        <f>IF(COUNTA(車両台帳!$C$57:$C$2056)=0,"",COUNTIF(車両台帳!$BD$57:$BD$2056,FH$3&amp;"-"&amp;523&amp;"A"))</f>
        <v/>
      </c>
      <c r="FI16" s="725" t="str">
        <f>IF(COUNTA(車両台帳!$C$57:$C$2056)=0,"",COUNTIF(車両台帳!$BD$57:$BD$2056,FI$3&amp;"-"&amp;523&amp;"A"))</f>
        <v/>
      </c>
      <c r="FJ16" s="725" t="str">
        <f>IF(COUNTA(車両台帳!$C$57:$C$2056)=0,"",COUNTIF(車両台帳!$BD$57:$BD$2056,FJ$3&amp;"-"&amp;523&amp;"A"))</f>
        <v/>
      </c>
      <c r="FK16" s="725" t="str">
        <f>IF(COUNTA(車両台帳!$C$57:$C$2056)=0,"",COUNTIF(車両台帳!$BD$57:$BD$2056,FK$3&amp;"-"&amp;523&amp;"A"))</f>
        <v/>
      </c>
      <c r="FL16" s="725" t="str">
        <f>IF(COUNTA(車両台帳!$C$57:$C$2056)=0,"",COUNTIF(車両台帳!$BD$57:$BD$2056,FL$3&amp;"-"&amp;523&amp;"A"))</f>
        <v/>
      </c>
      <c r="FM16" s="725" t="str">
        <f>IF(COUNTA(車両台帳!$C$57:$C$2056)=0,"",COUNTIF(車両台帳!$BD$57:$BD$2056,FM$3&amp;"-"&amp;523&amp;"A"))</f>
        <v/>
      </c>
      <c r="FN16" s="725" t="str">
        <f>IF(COUNTA(車両台帳!$C$57:$C$2056)=0,"",COUNTIF(車両台帳!$BD$57:$BD$2056,FN$3&amp;"-"&amp;523&amp;"A"))</f>
        <v/>
      </c>
      <c r="FO16" s="725" t="str">
        <f>IF(COUNTA(車両台帳!$C$57:$C$2056)=0,"",COUNTIF(車両台帳!$BD$57:$BD$2056,FO$3&amp;"-"&amp;523&amp;"A"))</f>
        <v/>
      </c>
      <c r="FP16" s="725" t="str">
        <f>IF(COUNTA(車両台帳!$C$57:$C$2056)=0,"",COUNTIF(車両台帳!$BD$57:$BD$2056,FP$3&amp;"-"&amp;523&amp;"A"))</f>
        <v/>
      </c>
      <c r="FQ16" s="725" t="str">
        <f>IF(COUNTA(車両台帳!$C$57:$C$2056)=0,"",COUNTIF(車両台帳!$BD$57:$BD$2056,FQ$3&amp;"-"&amp;523&amp;"A"))</f>
        <v/>
      </c>
      <c r="FR16" s="725" t="str">
        <f>IF(COUNTA(車両台帳!$C$57:$C$2056)=0,"",COUNTIF(車両台帳!$BD$57:$BD$2056,FR$3&amp;"-"&amp;523&amp;"A"))</f>
        <v/>
      </c>
      <c r="FS16" s="725" t="str">
        <f>IF(COUNTA(車両台帳!$C$57:$C$2056)=0,"",COUNTIF(車両台帳!$BD$57:$BD$2056,FS$3&amp;"-"&amp;523&amp;"A"))</f>
        <v/>
      </c>
      <c r="FT16" s="725" t="str">
        <f>IF(COUNTA(車両台帳!$C$57:$C$2056)=0,"",COUNTIF(車両台帳!$BD$57:$BD$2056,FT$3&amp;"-"&amp;523&amp;"A"))</f>
        <v/>
      </c>
      <c r="FU16" s="725" t="str">
        <f>IF(COUNTA(車両台帳!$C$57:$C$2056)=0,"",COUNTIF(車両台帳!$BD$57:$BD$2056,FU$3&amp;"-"&amp;523&amp;"A"))</f>
        <v/>
      </c>
      <c r="FV16" s="725" t="str">
        <f>IF(COUNTA(車両台帳!$C$57:$C$2056)=0,"",COUNTIF(車両台帳!$BD$57:$BD$2056,FV$3&amp;"-"&amp;523&amp;"A"))</f>
        <v/>
      </c>
      <c r="FW16" s="725" t="str">
        <f>IF(COUNTA(車両台帳!$C$57:$C$2056)=0,"",COUNTIF(車両台帳!$BD$57:$BD$2056,FW$3&amp;"-"&amp;523&amp;"A"))</f>
        <v/>
      </c>
      <c r="FX16" s="725" t="str">
        <f>IF(COUNTA(車両台帳!$C$57:$C$2056)=0,"",COUNTIF(車両台帳!$BD$57:$BD$2056,FX$3&amp;"-"&amp;523&amp;"A"))</f>
        <v/>
      </c>
      <c r="FY16" s="725" t="str">
        <f>IF(COUNTA(車両台帳!$C$57:$C$2056)=0,"",COUNTIF(車両台帳!$BD$57:$BD$2056,FY$3&amp;"-"&amp;523&amp;"A"))</f>
        <v/>
      </c>
      <c r="FZ16" s="725" t="str">
        <f>IF(COUNTA(車両台帳!$C$57:$C$2056)=0,"",COUNTIF(車両台帳!$BD$57:$BD$2056,FZ$3&amp;"-"&amp;523&amp;"A"))</f>
        <v/>
      </c>
      <c r="GA16" s="725" t="str">
        <f>IF(COUNTA(車両台帳!$C$57:$C$2056)=0,"",COUNTIF(車両台帳!$BD$57:$BD$2056,GA$3&amp;"-"&amp;523&amp;"A"))</f>
        <v/>
      </c>
      <c r="GB16" s="725" t="str">
        <f>IF(COUNTA(車両台帳!$C$57:$C$2056)=0,"",COUNTIF(車両台帳!$BD$57:$BD$2056,GB$3&amp;"-"&amp;523&amp;"A"))</f>
        <v/>
      </c>
      <c r="GC16" s="725" t="str">
        <f>IF(COUNTA(車両台帳!$C$57:$C$2056)=0,"",COUNTIF(車両台帳!$BD$57:$BD$2056,GC$3&amp;"-"&amp;523&amp;"A"))</f>
        <v/>
      </c>
      <c r="GD16" s="725" t="str">
        <f>IF(COUNTA(車両台帳!$C$57:$C$2056)=0,"",COUNTIF(車両台帳!$BD$57:$BD$2056,GD$3&amp;"-"&amp;523&amp;"A"))</f>
        <v/>
      </c>
      <c r="GE16" s="725" t="str">
        <f>IF(COUNTA(車両台帳!$C$57:$C$2056)=0,"",COUNTIF(車両台帳!$BD$57:$BD$2056,GE$3&amp;"-"&amp;523&amp;"A"))</f>
        <v/>
      </c>
      <c r="GF16" s="725" t="str">
        <f>IF(COUNTA(車両台帳!$C$57:$C$2056)=0,"",COUNTIF(車両台帳!$BD$57:$BD$2056,GF$3&amp;"-"&amp;523&amp;"A"))</f>
        <v/>
      </c>
      <c r="GG16" s="725" t="str">
        <f>IF(COUNTA(車両台帳!$C$57:$C$2056)=0,"",COUNTIF(車両台帳!$BD$57:$BD$2056,GG$3&amp;"-"&amp;523&amp;"A"))</f>
        <v/>
      </c>
      <c r="GH16" s="725" t="str">
        <f>IF(COUNTA(車両台帳!$C$57:$C$2056)=0,"",COUNTIF(車両台帳!$BD$57:$BD$2056,GH$3&amp;"-"&amp;523&amp;"A"))</f>
        <v/>
      </c>
      <c r="GI16" s="725" t="str">
        <f>IF(COUNTA(車両台帳!$C$57:$C$2056)=0,"",COUNTIF(車両台帳!$BD$57:$BD$2056,GI$3&amp;"-"&amp;523&amp;"A"))</f>
        <v/>
      </c>
      <c r="GJ16" s="725" t="str">
        <f>IF(COUNTA(車両台帳!$C$57:$C$2056)=0,"",COUNTIF(車両台帳!$BD$57:$BD$2056,GJ$3&amp;"-"&amp;523&amp;"A"))</f>
        <v/>
      </c>
      <c r="GK16" s="725" t="str">
        <f>IF(COUNTA(車両台帳!$C$57:$C$2056)=0,"",COUNTIF(車両台帳!$BD$57:$BD$2056,GK$3&amp;"-"&amp;523&amp;"A"))</f>
        <v/>
      </c>
      <c r="GL16" s="725" t="str">
        <f>IF(COUNTA(車両台帳!$C$57:$C$2056)=0,"",COUNTIF(車両台帳!$BD$57:$BD$2056,GL$3&amp;"-"&amp;523&amp;"A"))</f>
        <v/>
      </c>
      <c r="GM16" s="725" t="str">
        <f>IF(COUNTA(車両台帳!$C$57:$C$2056)=0,"",COUNTIF(車両台帳!$BD$57:$BD$2056,GM$3&amp;"-"&amp;523&amp;"A"))</f>
        <v/>
      </c>
      <c r="GN16" s="725" t="str">
        <f>IF(COUNTA(車両台帳!$C$57:$C$2056)=0,"",COUNTIF(車両台帳!$BD$57:$BD$2056,GN$3&amp;"-"&amp;523&amp;"A"))</f>
        <v/>
      </c>
      <c r="GO16" s="725" t="str">
        <f>IF(COUNTA(車両台帳!$C$57:$C$2056)=0,"",COUNTIF(車両台帳!$BD$57:$BD$2056,GO$3&amp;"-"&amp;523&amp;"A"))</f>
        <v/>
      </c>
      <c r="GP16" s="725" t="str">
        <f>IF(COUNTA(車両台帳!$C$57:$C$2056)=0,"",COUNTIF(車両台帳!$BD$57:$BD$2056,GP$3&amp;"-"&amp;523&amp;"A"))</f>
        <v/>
      </c>
      <c r="GQ16" s="725" t="str">
        <f>IF(COUNTA(車両台帳!$C$57:$C$2056)=0,"",COUNTIF(車両台帳!$BD$57:$BD$2056,GQ$3&amp;"-"&amp;523&amp;"A"))</f>
        <v/>
      </c>
      <c r="GR16" s="725" t="str">
        <f>IF(COUNTA(車両台帳!$C$57:$C$2056)=0,"",COUNTIF(車両台帳!$BD$57:$BD$2056,GR$3&amp;"-"&amp;523&amp;"A"))</f>
        <v/>
      </c>
      <c r="GS16" s="725" t="str">
        <f>IF(COUNTA(車両台帳!$C$57:$C$2056)=0,"",COUNTIF(車両台帳!$BD$57:$BD$2056,GS$3&amp;"-"&amp;523&amp;"A"))</f>
        <v/>
      </c>
      <c r="GT16" s="725" t="str">
        <f>IF(COUNTA(車両台帳!$C$57:$C$2056)=0,"",COUNTIF(車両台帳!$BD$57:$BD$2056,GT$3&amp;"-"&amp;523&amp;"A"))</f>
        <v/>
      </c>
      <c r="GU16" s="726" t="str">
        <f>IF(COUNTA(車両台帳!$C$57:$C$2056)=0,"",COUNTIF(車両台帳!$BD$57:$BD$2056,GU$3&amp;"-"&amp;523&amp;"A"))</f>
        <v/>
      </c>
    </row>
    <row r="17" spans="1:203" s="7" customFormat="1" ht="29.25" customHeight="1" thickBot="1">
      <c r="A17" s="1185"/>
      <c r="B17" s="715" t="s">
        <v>44</v>
      </c>
      <c r="C17" s="727" t="str">
        <f>IF(COUNTA(車両台帳!$C$57:$C$2056)=0,"",SUM(D17:GU17))</f>
        <v/>
      </c>
      <c r="D17" s="728" t="str">
        <f>IF(COUNTA(車両台帳!$C$57:$C$2056)=0,"",COUNTIF(車両台帳!$BD$57:$BD$2056,D$3&amp;"-"&amp;524&amp;"A")+COUNTIF(車両台帳!$BD$57:$BD$2056,D$3&amp;"-"&amp;525&amp;"A"))</f>
        <v/>
      </c>
      <c r="E17" s="728" t="str">
        <f>IF(COUNTA(車両台帳!$C$57:$C$2056)=0,"",COUNTIF(車両台帳!$BD$57:$BD$2056,E$3&amp;"-"&amp;524&amp;"A")+COUNTIF(車両台帳!$BD$57:$BD$2056,E$3&amp;"-"&amp;525&amp;"A"))</f>
        <v/>
      </c>
      <c r="F17" s="728" t="str">
        <f>IF(COUNTA(車両台帳!$C$57:$C$2056)=0,"",COUNTIF(車両台帳!$BD$57:$BD$2056,F$3&amp;"-"&amp;524&amp;"A")+COUNTIF(車両台帳!$BD$57:$BD$2056,F$3&amp;"-"&amp;525&amp;"A"))</f>
        <v/>
      </c>
      <c r="G17" s="728" t="str">
        <f>IF(COUNTA(車両台帳!$C$57:$C$2056)=0,"",COUNTIF(車両台帳!$BD$57:$BD$2056,G$3&amp;"-"&amp;524&amp;"A")+COUNTIF(車両台帳!$BD$57:$BD$2056,G$3&amp;"-"&amp;525&amp;"A"))</f>
        <v/>
      </c>
      <c r="H17" s="728" t="str">
        <f>IF(COUNTA(車両台帳!$C$57:$C$2056)=0,"",COUNTIF(車両台帳!$BD$57:$BD$2056,H$3&amp;"-"&amp;524&amp;"A")+COUNTIF(車両台帳!$BD$57:$BD$2056,H$3&amp;"-"&amp;525&amp;"A"))</f>
        <v/>
      </c>
      <c r="I17" s="728" t="str">
        <f>IF(COUNTA(車両台帳!$C$57:$C$2056)=0,"",COUNTIF(車両台帳!$BD$57:$BD$2056,I$3&amp;"-"&amp;524&amp;"A")+COUNTIF(車両台帳!$BD$57:$BD$2056,I$3&amp;"-"&amp;525&amp;"A"))</f>
        <v/>
      </c>
      <c r="J17" s="728" t="str">
        <f>IF(COUNTA(車両台帳!$C$57:$C$2056)=0,"",COUNTIF(車両台帳!$BD$57:$BD$2056,J$3&amp;"-"&amp;524&amp;"A")+COUNTIF(車両台帳!$BD$57:$BD$2056,J$3&amp;"-"&amp;525&amp;"A"))</f>
        <v/>
      </c>
      <c r="K17" s="728" t="str">
        <f>IF(COUNTA(車両台帳!$C$57:$C$2056)=0,"",COUNTIF(車両台帳!$BD$57:$BD$2056,K$3&amp;"-"&amp;524&amp;"A")+COUNTIF(車両台帳!$BD$57:$BD$2056,K$3&amp;"-"&amp;525&amp;"A"))</f>
        <v/>
      </c>
      <c r="L17" s="728" t="str">
        <f>IF(COUNTA(車両台帳!$C$57:$C$2056)=0,"",COUNTIF(車両台帳!$BD$57:$BD$2056,L$3&amp;"-"&amp;524&amp;"A")+COUNTIF(車両台帳!$BD$57:$BD$2056,L$3&amp;"-"&amp;525&amp;"A"))</f>
        <v/>
      </c>
      <c r="M17" s="728" t="str">
        <f>IF(COUNTA(車両台帳!$C$57:$C$2056)=0,"",COUNTIF(車両台帳!$BD$57:$BD$2056,M$3&amp;"-"&amp;524&amp;"A")+COUNTIF(車両台帳!$BD$57:$BD$2056,M$3&amp;"-"&amp;525&amp;"A"))</f>
        <v/>
      </c>
      <c r="N17" s="728" t="str">
        <f>IF(COUNTA(車両台帳!$C$57:$C$2056)=0,"",COUNTIF(車両台帳!$BD$57:$BD$2056,N$3&amp;"-"&amp;524&amp;"A")+COUNTIF(車両台帳!$BD$57:$BD$2056,N$3&amp;"-"&amp;525&amp;"A"))</f>
        <v/>
      </c>
      <c r="O17" s="728" t="str">
        <f>IF(COUNTA(車両台帳!$C$57:$C$2056)=0,"",COUNTIF(車両台帳!$BD$57:$BD$2056,O$3&amp;"-"&amp;524&amp;"A")+COUNTIF(車両台帳!$BD$57:$BD$2056,O$3&amp;"-"&amp;525&amp;"A"))</f>
        <v/>
      </c>
      <c r="P17" s="728" t="str">
        <f>IF(COUNTA(車両台帳!$C$57:$C$2056)=0,"",COUNTIF(車両台帳!$BD$57:$BD$2056,P$3&amp;"-"&amp;524&amp;"A")+COUNTIF(車両台帳!$BD$57:$BD$2056,P$3&amp;"-"&amp;525&amp;"A"))</f>
        <v/>
      </c>
      <c r="Q17" s="728" t="str">
        <f>IF(COUNTA(車両台帳!$C$57:$C$2056)=0,"",COUNTIF(車両台帳!$BD$57:$BD$2056,Q$3&amp;"-"&amp;524&amp;"A")+COUNTIF(車両台帳!$BD$57:$BD$2056,Q$3&amp;"-"&amp;525&amp;"A"))</f>
        <v/>
      </c>
      <c r="R17" s="728" t="str">
        <f>IF(COUNTA(車両台帳!$C$57:$C$2056)=0,"",COUNTIF(車両台帳!$BD$57:$BD$2056,R$3&amp;"-"&amp;524&amp;"A")+COUNTIF(車両台帳!$BD$57:$BD$2056,R$3&amp;"-"&amp;525&amp;"A"))</f>
        <v/>
      </c>
      <c r="S17" s="728" t="str">
        <f>IF(COUNTA(車両台帳!$C$57:$C$2056)=0,"",COUNTIF(車両台帳!$BD$57:$BD$2056,S$3&amp;"-"&amp;524&amp;"A")+COUNTIF(車両台帳!$BD$57:$BD$2056,S$3&amp;"-"&amp;525&amp;"A"))</f>
        <v/>
      </c>
      <c r="T17" s="728" t="str">
        <f>IF(COUNTA(車両台帳!$C$57:$C$2056)=0,"",COUNTIF(車両台帳!$BD$57:$BD$2056,T$3&amp;"-"&amp;524&amp;"A")+COUNTIF(車両台帳!$BD$57:$BD$2056,T$3&amp;"-"&amp;525&amp;"A"))</f>
        <v/>
      </c>
      <c r="U17" s="728" t="str">
        <f>IF(COUNTA(車両台帳!$C$57:$C$2056)=0,"",COUNTIF(車両台帳!$BD$57:$BD$2056,U$3&amp;"-"&amp;524&amp;"A")+COUNTIF(車両台帳!$BD$57:$BD$2056,U$3&amp;"-"&amp;525&amp;"A"))</f>
        <v/>
      </c>
      <c r="V17" s="728" t="str">
        <f>IF(COUNTA(車両台帳!$C$57:$C$2056)=0,"",COUNTIF(車両台帳!$BD$57:$BD$2056,V$3&amp;"-"&amp;524&amp;"A")+COUNTIF(車両台帳!$BD$57:$BD$2056,V$3&amp;"-"&amp;525&amp;"A"))</f>
        <v/>
      </c>
      <c r="W17" s="728" t="str">
        <f>IF(COUNTA(車両台帳!$C$57:$C$2056)=0,"",COUNTIF(車両台帳!$BD$57:$BD$2056,W$3&amp;"-"&amp;524&amp;"A")+COUNTIF(車両台帳!$BD$57:$BD$2056,W$3&amp;"-"&amp;525&amp;"A"))</f>
        <v/>
      </c>
      <c r="X17" s="728" t="str">
        <f>IF(COUNTA(車両台帳!$C$57:$C$2056)=0,"",COUNTIF(車両台帳!$BD$57:$BD$2056,X$3&amp;"-"&amp;524&amp;"A")+COUNTIF(車両台帳!$BD$57:$BD$2056,X$3&amp;"-"&amp;525&amp;"A"))</f>
        <v/>
      </c>
      <c r="Y17" s="728" t="str">
        <f>IF(COUNTA(車両台帳!$C$57:$C$2056)=0,"",COUNTIF(車両台帳!$BD$57:$BD$2056,Y$3&amp;"-"&amp;524&amp;"A")+COUNTIF(車両台帳!$BD$57:$BD$2056,Y$3&amp;"-"&amp;525&amp;"A"))</f>
        <v/>
      </c>
      <c r="Z17" s="728" t="str">
        <f>IF(COUNTA(車両台帳!$C$57:$C$2056)=0,"",COUNTIF(車両台帳!$BD$57:$BD$2056,Z$3&amp;"-"&amp;524&amp;"A")+COUNTIF(車両台帳!$BD$57:$BD$2056,Z$3&amp;"-"&amp;525&amp;"A"))</f>
        <v/>
      </c>
      <c r="AA17" s="728" t="str">
        <f>IF(COUNTA(車両台帳!$C$57:$C$2056)=0,"",COUNTIF(車両台帳!$BD$57:$BD$2056,AA$3&amp;"-"&amp;524&amp;"A")+COUNTIF(車両台帳!$BD$57:$BD$2056,AA$3&amp;"-"&amp;525&amp;"A"))</f>
        <v/>
      </c>
      <c r="AB17" s="728" t="str">
        <f>IF(COUNTA(車両台帳!$C$57:$C$2056)=0,"",COUNTIF(車両台帳!$BD$57:$BD$2056,AB$3&amp;"-"&amp;524&amp;"A")+COUNTIF(車両台帳!$BD$57:$BD$2056,AB$3&amp;"-"&amp;525&amp;"A"))</f>
        <v/>
      </c>
      <c r="AC17" s="728" t="str">
        <f>IF(COUNTA(車両台帳!$C$57:$C$2056)=0,"",COUNTIF(車両台帳!$BD$57:$BD$2056,AC$3&amp;"-"&amp;524&amp;"A")+COUNTIF(車両台帳!$BD$57:$BD$2056,AC$3&amp;"-"&amp;525&amp;"A"))</f>
        <v/>
      </c>
      <c r="AD17" s="728" t="str">
        <f>IF(COUNTA(車両台帳!$C$57:$C$2056)=0,"",COUNTIF(車両台帳!$BD$57:$BD$2056,AD$3&amp;"-"&amp;524&amp;"A")+COUNTIF(車両台帳!$BD$57:$BD$2056,AD$3&amp;"-"&amp;525&amp;"A"))</f>
        <v/>
      </c>
      <c r="AE17" s="728" t="str">
        <f>IF(COUNTA(車両台帳!$C$57:$C$2056)=0,"",COUNTIF(車両台帳!$BD$57:$BD$2056,AE$3&amp;"-"&amp;524&amp;"A")+COUNTIF(車両台帳!$BD$57:$BD$2056,AE$3&amp;"-"&amp;525&amp;"A"))</f>
        <v/>
      </c>
      <c r="AF17" s="728" t="str">
        <f>IF(COUNTA(車両台帳!$C$57:$C$2056)=0,"",COUNTIF(車両台帳!$BD$57:$BD$2056,AF$3&amp;"-"&amp;524&amp;"A")+COUNTIF(車両台帳!$BD$57:$BD$2056,AF$3&amp;"-"&amp;525&amp;"A"))</f>
        <v/>
      </c>
      <c r="AG17" s="728" t="str">
        <f>IF(COUNTA(車両台帳!$C$57:$C$2056)=0,"",COUNTIF(車両台帳!$BD$57:$BD$2056,AG$3&amp;"-"&amp;524&amp;"A")+COUNTIF(車両台帳!$BD$57:$BD$2056,AG$3&amp;"-"&amp;525&amp;"A"))</f>
        <v/>
      </c>
      <c r="AH17" s="728" t="str">
        <f>IF(COUNTA(車両台帳!$C$57:$C$2056)=0,"",COUNTIF(車両台帳!$BD$57:$BD$2056,AH$3&amp;"-"&amp;524&amp;"A")+COUNTIF(車両台帳!$BD$57:$BD$2056,AH$3&amp;"-"&amp;525&amp;"A"))</f>
        <v/>
      </c>
      <c r="AI17" s="728" t="str">
        <f>IF(COUNTA(車両台帳!$C$57:$C$2056)=0,"",COUNTIF(車両台帳!$BD$57:$BD$2056,AI$3&amp;"-"&amp;524&amp;"A")+COUNTIF(車両台帳!$BD$57:$BD$2056,AI$3&amp;"-"&amp;525&amp;"A"))</f>
        <v/>
      </c>
      <c r="AJ17" s="728" t="str">
        <f>IF(COUNTA(車両台帳!$C$57:$C$2056)=0,"",COUNTIF(車両台帳!$BD$57:$BD$2056,AJ$3&amp;"-"&amp;524&amp;"A")+COUNTIF(車両台帳!$BD$57:$BD$2056,AJ$3&amp;"-"&amp;525&amp;"A"))</f>
        <v/>
      </c>
      <c r="AK17" s="728" t="str">
        <f>IF(COUNTA(車両台帳!$C$57:$C$2056)=0,"",COUNTIF(車両台帳!$BD$57:$BD$2056,AK$3&amp;"-"&amp;524&amp;"A")+COUNTIF(車両台帳!$BD$57:$BD$2056,AK$3&amp;"-"&amp;525&amp;"A"))</f>
        <v/>
      </c>
      <c r="AL17" s="728" t="str">
        <f>IF(COUNTA(車両台帳!$C$57:$C$2056)=0,"",COUNTIF(車両台帳!$BD$57:$BD$2056,AL$3&amp;"-"&amp;524&amp;"A")+COUNTIF(車両台帳!$BD$57:$BD$2056,AL$3&amp;"-"&amp;525&amp;"A"))</f>
        <v/>
      </c>
      <c r="AM17" s="728" t="str">
        <f>IF(COUNTA(車両台帳!$C$57:$C$2056)=0,"",COUNTIF(車両台帳!$BD$57:$BD$2056,AM$3&amp;"-"&amp;524&amp;"A")+COUNTIF(車両台帳!$BD$57:$BD$2056,AM$3&amp;"-"&amp;525&amp;"A"))</f>
        <v/>
      </c>
      <c r="AN17" s="728" t="str">
        <f>IF(COUNTA(車両台帳!$C$57:$C$2056)=0,"",COUNTIF(車両台帳!$BD$57:$BD$2056,AN$3&amp;"-"&amp;524&amp;"A")+COUNTIF(車両台帳!$BD$57:$BD$2056,AN$3&amp;"-"&amp;525&amp;"A"))</f>
        <v/>
      </c>
      <c r="AO17" s="728" t="str">
        <f>IF(COUNTA(車両台帳!$C$57:$C$2056)=0,"",COUNTIF(車両台帳!$BD$57:$BD$2056,AO$3&amp;"-"&amp;524&amp;"A")+COUNTIF(車両台帳!$BD$57:$BD$2056,AO$3&amp;"-"&amp;525&amp;"A"))</f>
        <v/>
      </c>
      <c r="AP17" s="728" t="str">
        <f>IF(COUNTA(車両台帳!$C$57:$C$2056)=0,"",COUNTIF(車両台帳!$BD$57:$BD$2056,AP$3&amp;"-"&amp;524&amp;"A")+COUNTIF(車両台帳!$BD$57:$BD$2056,AP$3&amp;"-"&amp;525&amp;"A"))</f>
        <v/>
      </c>
      <c r="AQ17" s="728" t="str">
        <f>IF(COUNTA(車両台帳!$C$57:$C$2056)=0,"",COUNTIF(車両台帳!$BD$57:$BD$2056,AQ$3&amp;"-"&amp;524&amp;"A")+COUNTIF(車両台帳!$BD$57:$BD$2056,AQ$3&amp;"-"&amp;525&amp;"A"))</f>
        <v/>
      </c>
      <c r="AR17" s="728" t="str">
        <f>IF(COUNTA(車両台帳!$C$57:$C$2056)=0,"",COUNTIF(車両台帳!$BD$57:$BD$2056,AR$3&amp;"-"&amp;524&amp;"A")+COUNTIF(車両台帳!$BD$57:$BD$2056,AR$3&amp;"-"&amp;525&amp;"A"))</f>
        <v/>
      </c>
      <c r="AS17" s="728" t="str">
        <f>IF(COUNTA(車両台帳!$C$57:$C$2056)=0,"",COUNTIF(車両台帳!$BD$57:$BD$2056,AS$3&amp;"-"&amp;524&amp;"A")+COUNTIF(車両台帳!$BD$57:$BD$2056,AS$3&amp;"-"&amp;525&amp;"A"))</f>
        <v/>
      </c>
      <c r="AT17" s="728" t="str">
        <f>IF(COUNTA(車両台帳!$C$57:$C$2056)=0,"",COUNTIF(車両台帳!$BD$57:$BD$2056,AT$3&amp;"-"&amp;524&amp;"A")+COUNTIF(車両台帳!$BD$57:$BD$2056,AT$3&amp;"-"&amp;525&amp;"A"))</f>
        <v/>
      </c>
      <c r="AU17" s="728" t="str">
        <f>IF(COUNTA(車両台帳!$C$57:$C$2056)=0,"",COUNTIF(車両台帳!$BD$57:$BD$2056,AU$3&amp;"-"&amp;524&amp;"A")+COUNTIF(車両台帳!$BD$57:$BD$2056,AU$3&amp;"-"&amp;525&amp;"A"))</f>
        <v/>
      </c>
      <c r="AV17" s="728" t="str">
        <f>IF(COUNTA(車両台帳!$C$57:$C$2056)=0,"",COUNTIF(車両台帳!$BD$57:$BD$2056,AV$3&amp;"-"&amp;524&amp;"A")+COUNTIF(車両台帳!$BD$57:$BD$2056,AV$3&amp;"-"&amp;525&amp;"A"))</f>
        <v/>
      </c>
      <c r="AW17" s="728" t="str">
        <f>IF(COUNTA(車両台帳!$C$57:$C$2056)=0,"",COUNTIF(車両台帳!$BD$57:$BD$2056,AW$3&amp;"-"&amp;524&amp;"A")+COUNTIF(車両台帳!$BD$57:$BD$2056,AW$3&amp;"-"&amp;525&amp;"A"))</f>
        <v/>
      </c>
      <c r="AX17" s="728" t="str">
        <f>IF(COUNTA(車両台帳!$C$57:$C$2056)=0,"",COUNTIF(車両台帳!$BD$57:$BD$2056,AX$3&amp;"-"&amp;524&amp;"A")+COUNTIF(車両台帳!$BD$57:$BD$2056,AX$3&amp;"-"&amp;525&amp;"A"))</f>
        <v/>
      </c>
      <c r="AY17" s="728" t="str">
        <f>IF(COUNTA(車両台帳!$C$57:$C$2056)=0,"",COUNTIF(車両台帳!$BD$57:$BD$2056,AY$3&amp;"-"&amp;524&amp;"A")+COUNTIF(車両台帳!$BD$57:$BD$2056,AY$3&amp;"-"&amp;525&amp;"A"))</f>
        <v/>
      </c>
      <c r="AZ17" s="728" t="str">
        <f>IF(COUNTA(車両台帳!$C$57:$C$2056)=0,"",COUNTIF(車両台帳!$BD$57:$BD$2056,AZ$3&amp;"-"&amp;524&amp;"A")+COUNTIF(車両台帳!$BD$57:$BD$2056,AZ$3&amp;"-"&amp;525&amp;"A"))</f>
        <v/>
      </c>
      <c r="BA17" s="728" t="str">
        <f>IF(COUNTA(車両台帳!$C$57:$C$2056)=0,"",COUNTIF(車両台帳!$BD$57:$BD$2056,BA$3&amp;"-"&amp;524&amp;"A")+COUNTIF(車両台帳!$BD$57:$BD$2056,BA$3&amp;"-"&amp;525&amp;"A"))</f>
        <v/>
      </c>
      <c r="BB17" s="728" t="str">
        <f>IF(COUNTA(車両台帳!$C$57:$C$2056)=0,"",COUNTIF(車両台帳!$BD$57:$BD$2056,BB$3&amp;"-"&amp;524&amp;"A")+COUNTIF(車両台帳!$BD$57:$BD$2056,BB$3&amp;"-"&amp;525&amp;"A"))</f>
        <v/>
      </c>
      <c r="BC17" s="728" t="str">
        <f>IF(COUNTA(車両台帳!$C$57:$C$2056)=0,"",COUNTIF(車両台帳!$BD$57:$BD$2056,BC$3&amp;"-"&amp;524&amp;"A")+COUNTIF(車両台帳!$BD$57:$BD$2056,BC$3&amp;"-"&amp;525&amp;"A"))</f>
        <v/>
      </c>
      <c r="BD17" s="728" t="str">
        <f>IF(COUNTA(車両台帳!$C$57:$C$2056)=0,"",COUNTIF(車両台帳!$BD$57:$BD$2056,BD$3&amp;"-"&amp;524&amp;"A")+COUNTIF(車両台帳!$BD$57:$BD$2056,BD$3&amp;"-"&amp;525&amp;"A"))</f>
        <v/>
      </c>
      <c r="BE17" s="728" t="str">
        <f>IF(COUNTA(車両台帳!$C$57:$C$2056)=0,"",COUNTIF(車両台帳!$BD$57:$BD$2056,BE$3&amp;"-"&amp;524&amp;"A")+COUNTIF(車両台帳!$BD$57:$BD$2056,BE$3&amp;"-"&amp;525&amp;"A"))</f>
        <v/>
      </c>
      <c r="BF17" s="728" t="str">
        <f>IF(COUNTA(車両台帳!$C$57:$C$2056)=0,"",COUNTIF(車両台帳!$BD$57:$BD$2056,BF$3&amp;"-"&amp;524&amp;"A")+COUNTIF(車両台帳!$BD$57:$BD$2056,BF$3&amp;"-"&amp;525&amp;"A"))</f>
        <v/>
      </c>
      <c r="BG17" s="728" t="str">
        <f>IF(COUNTA(車両台帳!$C$57:$C$2056)=0,"",COUNTIF(車両台帳!$BD$57:$BD$2056,BG$3&amp;"-"&amp;524&amp;"A")+COUNTIF(車両台帳!$BD$57:$BD$2056,BG$3&amp;"-"&amp;525&amp;"A"))</f>
        <v/>
      </c>
      <c r="BH17" s="728" t="str">
        <f>IF(COUNTA(車両台帳!$C$57:$C$2056)=0,"",COUNTIF(車両台帳!$BD$57:$BD$2056,BH$3&amp;"-"&amp;524&amp;"A")+COUNTIF(車両台帳!$BD$57:$BD$2056,BH$3&amp;"-"&amp;525&amp;"A"))</f>
        <v/>
      </c>
      <c r="BI17" s="728" t="str">
        <f>IF(COUNTA(車両台帳!$C$57:$C$2056)=0,"",COUNTIF(車両台帳!$BD$57:$BD$2056,BI$3&amp;"-"&amp;524&amp;"A")+COUNTIF(車両台帳!$BD$57:$BD$2056,BI$3&amp;"-"&amp;525&amp;"A"))</f>
        <v/>
      </c>
      <c r="BJ17" s="728" t="str">
        <f>IF(COUNTA(車両台帳!$C$57:$C$2056)=0,"",COUNTIF(車両台帳!$BD$57:$BD$2056,BJ$3&amp;"-"&amp;524&amp;"A")+COUNTIF(車両台帳!$BD$57:$BD$2056,BJ$3&amp;"-"&amp;525&amp;"A"))</f>
        <v/>
      </c>
      <c r="BK17" s="728" t="str">
        <f>IF(COUNTA(車両台帳!$C$57:$C$2056)=0,"",COUNTIF(車両台帳!$BD$57:$BD$2056,BK$3&amp;"-"&amp;524&amp;"A")+COUNTIF(車両台帳!$BD$57:$BD$2056,BK$3&amp;"-"&amp;525&amp;"A"))</f>
        <v/>
      </c>
      <c r="BL17" s="728" t="str">
        <f>IF(COUNTA(車両台帳!$C$57:$C$2056)=0,"",COUNTIF(車両台帳!$BD$57:$BD$2056,BL$3&amp;"-"&amp;524&amp;"A")+COUNTIF(車両台帳!$BD$57:$BD$2056,BL$3&amp;"-"&amp;525&amp;"A"))</f>
        <v/>
      </c>
      <c r="BM17" s="728" t="str">
        <f>IF(COUNTA(車両台帳!$C$57:$C$2056)=0,"",COUNTIF(車両台帳!$BD$57:$BD$2056,BM$3&amp;"-"&amp;524&amp;"A")+COUNTIF(車両台帳!$BD$57:$BD$2056,BM$3&amp;"-"&amp;525&amp;"A"))</f>
        <v/>
      </c>
      <c r="BN17" s="728" t="str">
        <f>IF(COUNTA(車両台帳!$C$57:$C$2056)=0,"",COUNTIF(車両台帳!$BD$57:$BD$2056,BN$3&amp;"-"&amp;524&amp;"A")+COUNTIF(車両台帳!$BD$57:$BD$2056,BN$3&amp;"-"&amp;525&amp;"A"))</f>
        <v/>
      </c>
      <c r="BO17" s="728" t="str">
        <f>IF(COUNTA(車両台帳!$C$57:$C$2056)=0,"",COUNTIF(車両台帳!$BD$57:$BD$2056,BO$3&amp;"-"&amp;524&amp;"A")+COUNTIF(車両台帳!$BD$57:$BD$2056,BO$3&amp;"-"&amp;525&amp;"A"))</f>
        <v/>
      </c>
      <c r="BP17" s="728" t="str">
        <f>IF(COUNTA(車両台帳!$C$57:$C$2056)=0,"",COUNTIF(車両台帳!$BD$57:$BD$2056,BP$3&amp;"-"&amp;524&amp;"A")+COUNTIF(車両台帳!$BD$57:$BD$2056,BP$3&amp;"-"&amp;525&amp;"A"))</f>
        <v/>
      </c>
      <c r="BQ17" s="728" t="str">
        <f>IF(COUNTA(車両台帳!$C$57:$C$2056)=0,"",COUNTIF(車両台帳!$BD$57:$BD$2056,BQ$3&amp;"-"&amp;524&amp;"A")+COUNTIF(車両台帳!$BD$57:$BD$2056,BQ$3&amp;"-"&amp;525&amp;"A"))</f>
        <v/>
      </c>
      <c r="BR17" s="728" t="str">
        <f>IF(COUNTA(車両台帳!$C$57:$C$2056)=0,"",COUNTIF(車両台帳!$BD$57:$BD$2056,BR$3&amp;"-"&amp;524&amp;"A")+COUNTIF(車両台帳!$BD$57:$BD$2056,BR$3&amp;"-"&amp;525&amp;"A"))</f>
        <v/>
      </c>
      <c r="BS17" s="728" t="str">
        <f>IF(COUNTA(車両台帳!$C$57:$C$2056)=0,"",COUNTIF(車両台帳!$BD$57:$BD$2056,BS$3&amp;"-"&amp;524&amp;"A")+COUNTIF(車両台帳!$BD$57:$BD$2056,BS$3&amp;"-"&amp;525&amp;"A"))</f>
        <v/>
      </c>
      <c r="BT17" s="728" t="str">
        <f>IF(COUNTA(車両台帳!$C$57:$C$2056)=0,"",COUNTIF(車両台帳!$BD$57:$BD$2056,BT$3&amp;"-"&amp;524&amp;"A")+COUNTIF(車両台帳!$BD$57:$BD$2056,BT$3&amp;"-"&amp;525&amp;"A"))</f>
        <v/>
      </c>
      <c r="BU17" s="728" t="str">
        <f>IF(COUNTA(車両台帳!$C$57:$C$2056)=0,"",COUNTIF(車両台帳!$BD$57:$BD$2056,BU$3&amp;"-"&amp;524&amp;"A")+COUNTIF(車両台帳!$BD$57:$BD$2056,BU$3&amp;"-"&amp;525&amp;"A"))</f>
        <v/>
      </c>
      <c r="BV17" s="728" t="str">
        <f>IF(COUNTA(車両台帳!$C$57:$C$2056)=0,"",COUNTIF(車両台帳!$BD$57:$BD$2056,BV$3&amp;"-"&amp;524&amp;"A")+COUNTIF(車両台帳!$BD$57:$BD$2056,BV$3&amp;"-"&amp;525&amp;"A"))</f>
        <v/>
      </c>
      <c r="BW17" s="728" t="str">
        <f>IF(COUNTA(車両台帳!$C$57:$C$2056)=0,"",COUNTIF(車両台帳!$BD$57:$BD$2056,BW$3&amp;"-"&amp;524&amp;"A")+COUNTIF(車両台帳!$BD$57:$BD$2056,BW$3&amp;"-"&amp;525&amp;"A"))</f>
        <v/>
      </c>
      <c r="BX17" s="728" t="str">
        <f>IF(COUNTA(車両台帳!$C$57:$C$2056)=0,"",COUNTIF(車両台帳!$BD$57:$BD$2056,BX$3&amp;"-"&amp;524&amp;"A")+COUNTIF(車両台帳!$BD$57:$BD$2056,BX$3&amp;"-"&amp;525&amp;"A"))</f>
        <v/>
      </c>
      <c r="BY17" s="728" t="str">
        <f>IF(COUNTA(車両台帳!$C$57:$C$2056)=0,"",COUNTIF(車両台帳!$BD$57:$BD$2056,BY$3&amp;"-"&amp;524&amp;"A")+COUNTIF(車両台帳!$BD$57:$BD$2056,BY$3&amp;"-"&amp;525&amp;"A"))</f>
        <v/>
      </c>
      <c r="BZ17" s="728" t="str">
        <f>IF(COUNTA(車両台帳!$C$57:$C$2056)=0,"",COUNTIF(車両台帳!$BD$57:$BD$2056,BZ$3&amp;"-"&amp;524&amp;"A")+COUNTIF(車両台帳!$BD$57:$BD$2056,BZ$3&amp;"-"&amp;525&amp;"A"))</f>
        <v/>
      </c>
      <c r="CA17" s="728" t="str">
        <f>IF(COUNTA(車両台帳!$C$57:$C$2056)=0,"",COUNTIF(車両台帳!$BD$57:$BD$2056,CA$3&amp;"-"&amp;524&amp;"A")+COUNTIF(車両台帳!$BD$57:$BD$2056,CA$3&amp;"-"&amp;525&amp;"A"))</f>
        <v/>
      </c>
      <c r="CB17" s="728" t="str">
        <f>IF(COUNTA(車両台帳!$C$57:$C$2056)=0,"",COUNTIF(車両台帳!$BD$57:$BD$2056,CB$3&amp;"-"&amp;524&amp;"A")+COUNTIF(車両台帳!$BD$57:$BD$2056,CB$3&amp;"-"&amp;525&amp;"A"))</f>
        <v/>
      </c>
      <c r="CC17" s="728" t="str">
        <f>IF(COUNTA(車両台帳!$C$57:$C$2056)=0,"",COUNTIF(車両台帳!$BD$57:$BD$2056,CC$3&amp;"-"&amp;524&amp;"A")+COUNTIF(車両台帳!$BD$57:$BD$2056,CC$3&amp;"-"&amp;525&amp;"A"))</f>
        <v/>
      </c>
      <c r="CD17" s="728" t="str">
        <f>IF(COUNTA(車両台帳!$C$57:$C$2056)=0,"",COUNTIF(車両台帳!$BD$57:$BD$2056,CD$3&amp;"-"&amp;524&amp;"A")+COUNTIF(車両台帳!$BD$57:$BD$2056,CD$3&amp;"-"&amp;525&amp;"A"))</f>
        <v/>
      </c>
      <c r="CE17" s="728" t="str">
        <f>IF(COUNTA(車両台帳!$C$57:$C$2056)=0,"",COUNTIF(車両台帳!$BD$57:$BD$2056,CE$3&amp;"-"&amp;524&amp;"A")+COUNTIF(車両台帳!$BD$57:$BD$2056,CE$3&amp;"-"&amp;525&amp;"A"))</f>
        <v/>
      </c>
      <c r="CF17" s="728" t="str">
        <f>IF(COUNTA(車両台帳!$C$57:$C$2056)=0,"",COUNTIF(車両台帳!$BD$57:$BD$2056,CF$3&amp;"-"&amp;524&amp;"A")+COUNTIF(車両台帳!$BD$57:$BD$2056,CF$3&amp;"-"&amp;525&amp;"A"))</f>
        <v/>
      </c>
      <c r="CG17" s="728" t="str">
        <f>IF(COUNTA(車両台帳!$C$57:$C$2056)=0,"",COUNTIF(車両台帳!$BD$57:$BD$2056,CG$3&amp;"-"&amp;524&amp;"A")+COUNTIF(車両台帳!$BD$57:$BD$2056,CG$3&amp;"-"&amp;525&amp;"A"))</f>
        <v/>
      </c>
      <c r="CH17" s="728" t="str">
        <f>IF(COUNTA(車両台帳!$C$57:$C$2056)=0,"",COUNTIF(車両台帳!$BD$57:$BD$2056,CH$3&amp;"-"&amp;524&amp;"A")+COUNTIF(車両台帳!$BD$57:$BD$2056,CH$3&amp;"-"&amp;525&amp;"A"))</f>
        <v/>
      </c>
      <c r="CI17" s="728" t="str">
        <f>IF(COUNTA(車両台帳!$C$57:$C$2056)=0,"",COUNTIF(車両台帳!$BD$57:$BD$2056,CI$3&amp;"-"&amp;524&amp;"A")+COUNTIF(車両台帳!$BD$57:$BD$2056,CI$3&amp;"-"&amp;525&amp;"A"))</f>
        <v/>
      </c>
      <c r="CJ17" s="728" t="str">
        <f>IF(COUNTA(車両台帳!$C$57:$C$2056)=0,"",COUNTIF(車両台帳!$BD$57:$BD$2056,CJ$3&amp;"-"&amp;524&amp;"A")+COUNTIF(車両台帳!$BD$57:$BD$2056,CJ$3&amp;"-"&amp;525&amp;"A"))</f>
        <v/>
      </c>
      <c r="CK17" s="728" t="str">
        <f>IF(COUNTA(車両台帳!$C$57:$C$2056)=0,"",COUNTIF(車両台帳!$BD$57:$BD$2056,CK$3&amp;"-"&amp;524&amp;"A")+COUNTIF(車両台帳!$BD$57:$BD$2056,CK$3&amp;"-"&amp;525&amp;"A"))</f>
        <v/>
      </c>
      <c r="CL17" s="728" t="str">
        <f>IF(COUNTA(車両台帳!$C$57:$C$2056)=0,"",COUNTIF(車両台帳!$BD$57:$BD$2056,CL$3&amp;"-"&amp;524&amp;"A")+COUNTIF(車両台帳!$BD$57:$BD$2056,CL$3&amp;"-"&amp;525&amp;"A"))</f>
        <v/>
      </c>
      <c r="CM17" s="728" t="str">
        <f>IF(COUNTA(車両台帳!$C$57:$C$2056)=0,"",COUNTIF(車両台帳!$BD$57:$BD$2056,CM$3&amp;"-"&amp;524&amp;"A")+COUNTIF(車両台帳!$BD$57:$BD$2056,CM$3&amp;"-"&amp;525&amp;"A"))</f>
        <v/>
      </c>
      <c r="CN17" s="728" t="str">
        <f>IF(COUNTA(車両台帳!$C$57:$C$2056)=0,"",COUNTIF(車両台帳!$BD$57:$BD$2056,CN$3&amp;"-"&amp;524&amp;"A")+COUNTIF(車両台帳!$BD$57:$BD$2056,CN$3&amp;"-"&amp;525&amp;"A"))</f>
        <v/>
      </c>
      <c r="CO17" s="728" t="str">
        <f>IF(COUNTA(車両台帳!$C$57:$C$2056)=0,"",COUNTIF(車両台帳!$BD$57:$BD$2056,CO$3&amp;"-"&amp;524&amp;"A")+COUNTIF(車両台帳!$BD$57:$BD$2056,CO$3&amp;"-"&amp;525&amp;"A"))</f>
        <v/>
      </c>
      <c r="CP17" s="728" t="str">
        <f>IF(COUNTA(車両台帳!$C$57:$C$2056)=0,"",COUNTIF(車両台帳!$BD$57:$BD$2056,CP$3&amp;"-"&amp;524&amp;"A")+COUNTIF(車両台帳!$BD$57:$BD$2056,CP$3&amp;"-"&amp;525&amp;"A"))</f>
        <v/>
      </c>
      <c r="CQ17" s="728" t="str">
        <f>IF(COUNTA(車両台帳!$C$57:$C$2056)=0,"",COUNTIF(車両台帳!$BD$57:$BD$2056,CQ$3&amp;"-"&amp;524&amp;"A")+COUNTIF(車両台帳!$BD$57:$BD$2056,CQ$3&amp;"-"&amp;525&amp;"A"))</f>
        <v/>
      </c>
      <c r="CR17" s="728" t="str">
        <f>IF(COUNTA(車両台帳!$C$57:$C$2056)=0,"",COUNTIF(車両台帳!$BD$57:$BD$2056,CR$3&amp;"-"&amp;524&amp;"A")+COUNTIF(車両台帳!$BD$57:$BD$2056,CR$3&amp;"-"&amp;525&amp;"A"))</f>
        <v/>
      </c>
      <c r="CS17" s="728" t="str">
        <f>IF(COUNTA(車両台帳!$C$57:$C$2056)=0,"",COUNTIF(車両台帳!$BD$57:$BD$2056,CS$3&amp;"-"&amp;524&amp;"A")+COUNTIF(車両台帳!$BD$57:$BD$2056,CS$3&amp;"-"&amp;525&amp;"A"))</f>
        <v/>
      </c>
      <c r="CT17" s="728" t="str">
        <f>IF(COUNTA(車両台帳!$C$57:$C$2056)=0,"",COUNTIF(車両台帳!$BD$57:$BD$2056,CT$3&amp;"-"&amp;524&amp;"A")+COUNTIF(車両台帳!$BD$57:$BD$2056,CT$3&amp;"-"&amp;525&amp;"A"))</f>
        <v/>
      </c>
      <c r="CU17" s="728" t="str">
        <f>IF(COUNTA(車両台帳!$C$57:$C$2056)=0,"",COUNTIF(車両台帳!$BD$57:$BD$2056,CU$3&amp;"-"&amp;524&amp;"A")+COUNTIF(車両台帳!$BD$57:$BD$2056,CU$3&amp;"-"&amp;525&amp;"A"))</f>
        <v/>
      </c>
      <c r="CV17" s="728" t="str">
        <f>IF(COUNTA(車両台帳!$C$57:$C$2056)=0,"",COUNTIF(車両台帳!$BD$57:$BD$2056,CV$3&amp;"-"&amp;524&amp;"A")+COUNTIF(車両台帳!$BD$57:$BD$2056,CV$3&amp;"-"&amp;525&amp;"A"))</f>
        <v/>
      </c>
      <c r="CW17" s="728" t="str">
        <f>IF(COUNTA(車両台帳!$C$57:$C$2056)=0,"",COUNTIF(車両台帳!$BD$57:$BD$2056,CW$3&amp;"-"&amp;524&amp;"A")+COUNTIF(車両台帳!$BD$57:$BD$2056,CW$3&amp;"-"&amp;525&amp;"A"))</f>
        <v/>
      </c>
      <c r="CX17" s="728" t="str">
        <f>IF(COUNTA(車両台帳!$C$57:$C$2056)=0,"",COUNTIF(車両台帳!$BD$57:$BD$2056,CX$3&amp;"-"&amp;524&amp;"A")+COUNTIF(車両台帳!$BD$57:$BD$2056,CX$3&amp;"-"&amp;525&amp;"A"))</f>
        <v/>
      </c>
      <c r="CY17" s="728" t="str">
        <f>IF(COUNTA(車両台帳!$C$57:$C$2056)=0,"",COUNTIF(車両台帳!$BD$57:$BD$2056,CY$3&amp;"-"&amp;524&amp;"A")+COUNTIF(車両台帳!$BD$57:$BD$2056,CY$3&amp;"-"&amp;525&amp;"A"))</f>
        <v/>
      </c>
      <c r="CZ17" s="728" t="str">
        <f>IF(COUNTA(車両台帳!$C$57:$C$2056)=0,"",COUNTIF(車両台帳!$BD$57:$BD$2056,CZ$3&amp;"-"&amp;524&amp;"A")+COUNTIF(車両台帳!$BD$57:$BD$2056,CZ$3&amp;"-"&amp;525&amp;"A"))</f>
        <v/>
      </c>
      <c r="DA17" s="728" t="str">
        <f>IF(COUNTA(車両台帳!$C$57:$C$2056)=0,"",COUNTIF(車両台帳!$BD$57:$BD$2056,DA$3&amp;"-"&amp;524&amp;"A")+COUNTIF(車両台帳!$BD$57:$BD$2056,DA$3&amp;"-"&amp;525&amp;"A"))</f>
        <v/>
      </c>
      <c r="DB17" s="728" t="str">
        <f>IF(COUNTA(車両台帳!$C$57:$C$2056)=0,"",COUNTIF(車両台帳!$BD$57:$BD$2056,DB$3&amp;"-"&amp;524&amp;"A")+COUNTIF(車両台帳!$BD$57:$BD$2056,DB$3&amp;"-"&amp;525&amp;"A"))</f>
        <v/>
      </c>
      <c r="DC17" s="728" t="str">
        <f>IF(COUNTA(車両台帳!$C$57:$C$2056)=0,"",COUNTIF(車両台帳!$BD$57:$BD$2056,DC$3&amp;"-"&amp;524&amp;"A")+COUNTIF(車両台帳!$BD$57:$BD$2056,DC$3&amp;"-"&amp;525&amp;"A"))</f>
        <v/>
      </c>
      <c r="DD17" s="728" t="str">
        <f>IF(COUNTA(車両台帳!$C$57:$C$2056)=0,"",COUNTIF(車両台帳!$BD$57:$BD$2056,DD$3&amp;"-"&amp;524&amp;"A")+COUNTIF(車両台帳!$BD$57:$BD$2056,DD$3&amp;"-"&amp;525&amp;"A"))</f>
        <v/>
      </c>
      <c r="DE17" s="728" t="str">
        <f>IF(COUNTA(車両台帳!$C$57:$C$2056)=0,"",COUNTIF(車両台帳!$BD$57:$BD$2056,DE$3&amp;"-"&amp;524&amp;"A")+COUNTIF(車両台帳!$BD$57:$BD$2056,DE$3&amp;"-"&amp;525&amp;"A"))</f>
        <v/>
      </c>
      <c r="DF17" s="728" t="str">
        <f>IF(COUNTA(車両台帳!$C$57:$C$2056)=0,"",COUNTIF(車両台帳!$BD$57:$BD$2056,DF$3&amp;"-"&amp;524&amp;"A")+COUNTIF(車両台帳!$BD$57:$BD$2056,DF$3&amp;"-"&amp;525&amp;"A"))</f>
        <v/>
      </c>
      <c r="DG17" s="728" t="str">
        <f>IF(COUNTA(車両台帳!$C$57:$C$2056)=0,"",COUNTIF(車両台帳!$BD$57:$BD$2056,DG$3&amp;"-"&amp;524&amp;"A")+COUNTIF(車両台帳!$BD$57:$BD$2056,DG$3&amp;"-"&amp;525&amp;"A"))</f>
        <v/>
      </c>
      <c r="DH17" s="728" t="str">
        <f>IF(COUNTA(車両台帳!$C$57:$C$2056)=0,"",COUNTIF(車両台帳!$BD$57:$BD$2056,DH$3&amp;"-"&amp;524&amp;"A")+COUNTIF(車両台帳!$BD$57:$BD$2056,DH$3&amp;"-"&amp;525&amp;"A"))</f>
        <v/>
      </c>
      <c r="DI17" s="728" t="str">
        <f>IF(COUNTA(車両台帳!$C$57:$C$2056)=0,"",COUNTIF(車両台帳!$BD$57:$BD$2056,DI$3&amp;"-"&amp;524&amp;"A")+COUNTIF(車両台帳!$BD$57:$BD$2056,DI$3&amp;"-"&amp;525&amp;"A"))</f>
        <v/>
      </c>
      <c r="DJ17" s="728" t="str">
        <f>IF(COUNTA(車両台帳!$C$57:$C$2056)=0,"",COUNTIF(車両台帳!$BD$57:$BD$2056,DJ$3&amp;"-"&amp;524&amp;"A")+COUNTIF(車両台帳!$BD$57:$BD$2056,DJ$3&amp;"-"&amp;525&amp;"A"))</f>
        <v/>
      </c>
      <c r="DK17" s="728" t="str">
        <f>IF(COUNTA(車両台帳!$C$57:$C$2056)=0,"",COUNTIF(車両台帳!$BD$57:$BD$2056,DK$3&amp;"-"&amp;524&amp;"A")+COUNTIF(車両台帳!$BD$57:$BD$2056,DK$3&amp;"-"&amp;525&amp;"A"))</f>
        <v/>
      </c>
      <c r="DL17" s="728" t="str">
        <f>IF(COUNTA(車両台帳!$C$57:$C$2056)=0,"",COUNTIF(車両台帳!$BD$57:$BD$2056,DL$3&amp;"-"&amp;524&amp;"A")+COUNTIF(車両台帳!$BD$57:$BD$2056,DL$3&amp;"-"&amp;525&amp;"A"))</f>
        <v/>
      </c>
      <c r="DM17" s="728" t="str">
        <f>IF(COUNTA(車両台帳!$C$57:$C$2056)=0,"",COUNTIF(車両台帳!$BD$57:$BD$2056,DM$3&amp;"-"&amp;524&amp;"A")+COUNTIF(車両台帳!$BD$57:$BD$2056,DM$3&amp;"-"&amp;525&amp;"A"))</f>
        <v/>
      </c>
      <c r="DN17" s="728" t="str">
        <f>IF(COUNTA(車両台帳!$C$57:$C$2056)=0,"",COUNTIF(車両台帳!$BD$57:$BD$2056,DN$3&amp;"-"&amp;524&amp;"A")+COUNTIF(車両台帳!$BD$57:$BD$2056,DN$3&amp;"-"&amp;525&amp;"A"))</f>
        <v/>
      </c>
      <c r="DO17" s="728" t="str">
        <f>IF(COUNTA(車両台帳!$C$57:$C$2056)=0,"",COUNTIF(車両台帳!$BD$57:$BD$2056,DO$3&amp;"-"&amp;524&amp;"A")+COUNTIF(車両台帳!$BD$57:$BD$2056,DO$3&amp;"-"&amp;525&amp;"A"))</f>
        <v/>
      </c>
      <c r="DP17" s="728" t="str">
        <f>IF(COUNTA(車両台帳!$C$57:$C$2056)=0,"",COUNTIF(車両台帳!$BD$57:$BD$2056,DP$3&amp;"-"&amp;524&amp;"A")+COUNTIF(車両台帳!$BD$57:$BD$2056,DP$3&amp;"-"&amp;525&amp;"A"))</f>
        <v/>
      </c>
      <c r="DQ17" s="728" t="str">
        <f>IF(COUNTA(車両台帳!$C$57:$C$2056)=0,"",COUNTIF(車両台帳!$BD$57:$BD$2056,DQ$3&amp;"-"&amp;524&amp;"A")+COUNTIF(車両台帳!$BD$57:$BD$2056,DQ$3&amp;"-"&amp;525&amp;"A"))</f>
        <v/>
      </c>
      <c r="DR17" s="728" t="str">
        <f>IF(COUNTA(車両台帳!$C$57:$C$2056)=0,"",COUNTIF(車両台帳!$BD$57:$BD$2056,DR$3&amp;"-"&amp;524&amp;"A")+COUNTIF(車両台帳!$BD$57:$BD$2056,DR$3&amp;"-"&amp;525&amp;"A"))</f>
        <v/>
      </c>
      <c r="DS17" s="728" t="str">
        <f>IF(COUNTA(車両台帳!$C$57:$C$2056)=0,"",COUNTIF(車両台帳!$BD$57:$BD$2056,DS$3&amp;"-"&amp;524&amp;"A")+COUNTIF(車両台帳!$BD$57:$BD$2056,DS$3&amp;"-"&amp;525&amp;"A"))</f>
        <v/>
      </c>
      <c r="DT17" s="728" t="str">
        <f>IF(COUNTA(車両台帳!$C$57:$C$2056)=0,"",COUNTIF(車両台帳!$BD$57:$BD$2056,DT$3&amp;"-"&amp;524&amp;"A")+COUNTIF(車両台帳!$BD$57:$BD$2056,DT$3&amp;"-"&amp;525&amp;"A"))</f>
        <v/>
      </c>
      <c r="DU17" s="728" t="str">
        <f>IF(COUNTA(車両台帳!$C$57:$C$2056)=0,"",COUNTIF(車両台帳!$BD$57:$BD$2056,DU$3&amp;"-"&amp;524&amp;"A")+COUNTIF(車両台帳!$BD$57:$BD$2056,DU$3&amp;"-"&amp;525&amp;"A"))</f>
        <v/>
      </c>
      <c r="DV17" s="728" t="str">
        <f>IF(COUNTA(車両台帳!$C$57:$C$2056)=0,"",COUNTIF(車両台帳!$BD$57:$BD$2056,DV$3&amp;"-"&amp;524&amp;"A")+COUNTIF(車両台帳!$BD$57:$BD$2056,DV$3&amp;"-"&amp;525&amp;"A"))</f>
        <v/>
      </c>
      <c r="DW17" s="728" t="str">
        <f>IF(COUNTA(車両台帳!$C$57:$C$2056)=0,"",COUNTIF(車両台帳!$BD$57:$BD$2056,DW$3&amp;"-"&amp;524&amp;"A")+COUNTIF(車両台帳!$BD$57:$BD$2056,DW$3&amp;"-"&amp;525&amp;"A"))</f>
        <v/>
      </c>
      <c r="DX17" s="728" t="str">
        <f>IF(COUNTA(車両台帳!$C$57:$C$2056)=0,"",COUNTIF(車両台帳!$BD$57:$BD$2056,DX$3&amp;"-"&amp;524&amp;"A")+COUNTIF(車両台帳!$BD$57:$BD$2056,DX$3&amp;"-"&amp;525&amp;"A"))</f>
        <v/>
      </c>
      <c r="DY17" s="728" t="str">
        <f>IF(COUNTA(車両台帳!$C$57:$C$2056)=0,"",COUNTIF(車両台帳!$BD$57:$BD$2056,DY$3&amp;"-"&amp;524&amp;"A")+COUNTIF(車両台帳!$BD$57:$BD$2056,DY$3&amp;"-"&amp;525&amp;"A"))</f>
        <v/>
      </c>
      <c r="DZ17" s="728" t="str">
        <f>IF(COUNTA(車両台帳!$C$57:$C$2056)=0,"",COUNTIF(車両台帳!$BD$57:$BD$2056,DZ$3&amp;"-"&amp;524&amp;"A")+COUNTIF(車両台帳!$BD$57:$BD$2056,DZ$3&amp;"-"&amp;525&amp;"A"))</f>
        <v/>
      </c>
      <c r="EA17" s="728" t="str">
        <f>IF(COUNTA(車両台帳!$C$57:$C$2056)=0,"",COUNTIF(車両台帳!$BD$57:$BD$2056,EA$3&amp;"-"&amp;524&amp;"A")+COUNTIF(車両台帳!$BD$57:$BD$2056,EA$3&amp;"-"&amp;525&amp;"A"))</f>
        <v/>
      </c>
      <c r="EB17" s="728" t="str">
        <f>IF(COUNTA(車両台帳!$C$57:$C$2056)=0,"",COUNTIF(車両台帳!$BD$57:$BD$2056,EB$3&amp;"-"&amp;524&amp;"A")+COUNTIF(車両台帳!$BD$57:$BD$2056,EB$3&amp;"-"&amp;525&amp;"A"))</f>
        <v/>
      </c>
      <c r="EC17" s="728" t="str">
        <f>IF(COUNTA(車両台帳!$C$57:$C$2056)=0,"",COUNTIF(車両台帳!$BD$57:$BD$2056,EC$3&amp;"-"&amp;524&amp;"A")+COUNTIF(車両台帳!$BD$57:$BD$2056,EC$3&amp;"-"&amp;525&amp;"A"))</f>
        <v/>
      </c>
      <c r="ED17" s="728" t="str">
        <f>IF(COUNTA(車両台帳!$C$57:$C$2056)=0,"",COUNTIF(車両台帳!$BD$57:$BD$2056,ED$3&amp;"-"&amp;524&amp;"A")+COUNTIF(車両台帳!$BD$57:$BD$2056,ED$3&amp;"-"&amp;525&amp;"A"))</f>
        <v/>
      </c>
      <c r="EE17" s="728" t="str">
        <f>IF(COUNTA(車両台帳!$C$57:$C$2056)=0,"",COUNTIF(車両台帳!$BD$57:$BD$2056,EE$3&amp;"-"&amp;524&amp;"A")+COUNTIF(車両台帳!$BD$57:$BD$2056,EE$3&amp;"-"&amp;525&amp;"A"))</f>
        <v/>
      </c>
      <c r="EF17" s="728" t="str">
        <f>IF(COUNTA(車両台帳!$C$57:$C$2056)=0,"",COUNTIF(車両台帳!$BD$57:$BD$2056,EF$3&amp;"-"&amp;524&amp;"A")+COUNTIF(車両台帳!$BD$57:$BD$2056,EF$3&amp;"-"&amp;525&amp;"A"))</f>
        <v/>
      </c>
      <c r="EG17" s="728" t="str">
        <f>IF(COUNTA(車両台帳!$C$57:$C$2056)=0,"",COUNTIF(車両台帳!$BD$57:$BD$2056,EG$3&amp;"-"&amp;524&amp;"A")+COUNTIF(車両台帳!$BD$57:$BD$2056,EG$3&amp;"-"&amp;525&amp;"A"))</f>
        <v/>
      </c>
      <c r="EH17" s="728" t="str">
        <f>IF(COUNTA(車両台帳!$C$57:$C$2056)=0,"",COUNTIF(車両台帳!$BD$57:$BD$2056,EH$3&amp;"-"&amp;524&amp;"A")+COUNTIF(車両台帳!$BD$57:$BD$2056,EH$3&amp;"-"&amp;525&amp;"A"))</f>
        <v/>
      </c>
      <c r="EI17" s="728" t="str">
        <f>IF(COUNTA(車両台帳!$C$57:$C$2056)=0,"",COUNTIF(車両台帳!$BD$57:$BD$2056,EI$3&amp;"-"&amp;524&amp;"A")+COUNTIF(車両台帳!$BD$57:$BD$2056,EI$3&amp;"-"&amp;525&amp;"A"))</f>
        <v/>
      </c>
      <c r="EJ17" s="728" t="str">
        <f>IF(COUNTA(車両台帳!$C$57:$C$2056)=0,"",COUNTIF(車両台帳!$BD$57:$BD$2056,EJ$3&amp;"-"&amp;524&amp;"A")+COUNTIF(車両台帳!$BD$57:$BD$2056,EJ$3&amp;"-"&amp;525&amp;"A"))</f>
        <v/>
      </c>
      <c r="EK17" s="728" t="str">
        <f>IF(COUNTA(車両台帳!$C$57:$C$2056)=0,"",COUNTIF(車両台帳!$BD$57:$BD$2056,EK$3&amp;"-"&amp;524&amp;"A")+COUNTIF(車両台帳!$BD$57:$BD$2056,EK$3&amp;"-"&amp;525&amp;"A"))</f>
        <v/>
      </c>
      <c r="EL17" s="728" t="str">
        <f>IF(COUNTA(車両台帳!$C$57:$C$2056)=0,"",COUNTIF(車両台帳!$BD$57:$BD$2056,EL$3&amp;"-"&amp;524&amp;"A")+COUNTIF(車両台帳!$BD$57:$BD$2056,EL$3&amp;"-"&amp;525&amp;"A"))</f>
        <v/>
      </c>
      <c r="EM17" s="728" t="str">
        <f>IF(COUNTA(車両台帳!$C$57:$C$2056)=0,"",COUNTIF(車両台帳!$BD$57:$BD$2056,EM$3&amp;"-"&amp;524&amp;"A")+COUNTIF(車両台帳!$BD$57:$BD$2056,EM$3&amp;"-"&amp;525&amp;"A"))</f>
        <v/>
      </c>
      <c r="EN17" s="728" t="str">
        <f>IF(COUNTA(車両台帳!$C$57:$C$2056)=0,"",COUNTIF(車両台帳!$BD$57:$BD$2056,EN$3&amp;"-"&amp;524&amp;"A")+COUNTIF(車両台帳!$BD$57:$BD$2056,EN$3&amp;"-"&amp;525&amp;"A"))</f>
        <v/>
      </c>
      <c r="EO17" s="728" t="str">
        <f>IF(COUNTA(車両台帳!$C$57:$C$2056)=0,"",COUNTIF(車両台帳!$BD$57:$BD$2056,EO$3&amp;"-"&amp;524&amp;"A")+COUNTIF(車両台帳!$BD$57:$BD$2056,EO$3&amp;"-"&amp;525&amp;"A"))</f>
        <v/>
      </c>
      <c r="EP17" s="728" t="str">
        <f>IF(COUNTA(車両台帳!$C$57:$C$2056)=0,"",COUNTIF(車両台帳!$BD$57:$BD$2056,EP$3&amp;"-"&amp;524&amp;"A")+COUNTIF(車両台帳!$BD$57:$BD$2056,EP$3&amp;"-"&amp;525&amp;"A"))</f>
        <v/>
      </c>
      <c r="EQ17" s="728" t="str">
        <f>IF(COUNTA(車両台帳!$C$57:$C$2056)=0,"",COUNTIF(車両台帳!$BD$57:$BD$2056,EQ$3&amp;"-"&amp;524&amp;"A")+COUNTIF(車両台帳!$BD$57:$BD$2056,EQ$3&amp;"-"&amp;525&amp;"A"))</f>
        <v/>
      </c>
      <c r="ER17" s="728" t="str">
        <f>IF(COUNTA(車両台帳!$C$57:$C$2056)=0,"",COUNTIF(車両台帳!$BD$57:$BD$2056,ER$3&amp;"-"&amp;524&amp;"A")+COUNTIF(車両台帳!$BD$57:$BD$2056,ER$3&amp;"-"&amp;525&amp;"A"))</f>
        <v/>
      </c>
      <c r="ES17" s="728" t="str">
        <f>IF(COUNTA(車両台帳!$C$57:$C$2056)=0,"",COUNTIF(車両台帳!$BD$57:$BD$2056,ES$3&amp;"-"&amp;524&amp;"A")+COUNTIF(車両台帳!$BD$57:$BD$2056,ES$3&amp;"-"&amp;525&amp;"A"))</f>
        <v/>
      </c>
      <c r="ET17" s="728" t="str">
        <f>IF(COUNTA(車両台帳!$C$57:$C$2056)=0,"",COUNTIF(車両台帳!$BD$57:$BD$2056,ET$3&amp;"-"&amp;524&amp;"A")+COUNTIF(車両台帳!$BD$57:$BD$2056,ET$3&amp;"-"&amp;525&amp;"A"))</f>
        <v/>
      </c>
      <c r="EU17" s="728" t="str">
        <f>IF(COUNTA(車両台帳!$C$57:$C$2056)=0,"",COUNTIF(車両台帳!$BD$57:$BD$2056,EU$3&amp;"-"&amp;524&amp;"A")+COUNTIF(車両台帳!$BD$57:$BD$2056,EU$3&amp;"-"&amp;525&amp;"A"))</f>
        <v/>
      </c>
      <c r="EV17" s="728" t="str">
        <f>IF(COUNTA(車両台帳!$C$57:$C$2056)=0,"",COUNTIF(車両台帳!$BD$57:$BD$2056,EV$3&amp;"-"&amp;524&amp;"A")+COUNTIF(車両台帳!$BD$57:$BD$2056,EV$3&amp;"-"&amp;525&amp;"A"))</f>
        <v/>
      </c>
      <c r="EW17" s="728" t="str">
        <f>IF(COUNTA(車両台帳!$C$57:$C$2056)=0,"",COUNTIF(車両台帳!$BD$57:$BD$2056,EW$3&amp;"-"&amp;524&amp;"A")+COUNTIF(車両台帳!$BD$57:$BD$2056,EW$3&amp;"-"&amp;525&amp;"A"))</f>
        <v/>
      </c>
      <c r="EX17" s="728" t="str">
        <f>IF(COUNTA(車両台帳!$C$57:$C$2056)=0,"",COUNTIF(車両台帳!$BD$57:$BD$2056,EX$3&amp;"-"&amp;524&amp;"A")+COUNTIF(車両台帳!$BD$57:$BD$2056,EX$3&amp;"-"&amp;525&amp;"A"))</f>
        <v/>
      </c>
      <c r="EY17" s="728" t="str">
        <f>IF(COUNTA(車両台帳!$C$57:$C$2056)=0,"",COUNTIF(車両台帳!$BD$57:$BD$2056,EY$3&amp;"-"&amp;524&amp;"A")+COUNTIF(車両台帳!$BD$57:$BD$2056,EY$3&amp;"-"&amp;525&amp;"A"))</f>
        <v/>
      </c>
      <c r="EZ17" s="728" t="str">
        <f>IF(COUNTA(車両台帳!$C$57:$C$2056)=0,"",COUNTIF(車両台帳!$BD$57:$BD$2056,EZ$3&amp;"-"&amp;524&amp;"A")+COUNTIF(車両台帳!$BD$57:$BD$2056,EZ$3&amp;"-"&amp;525&amp;"A"))</f>
        <v/>
      </c>
      <c r="FA17" s="728" t="str">
        <f>IF(COUNTA(車両台帳!$C$57:$C$2056)=0,"",COUNTIF(車両台帳!$BD$57:$BD$2056,FA$3&amp;"-"&amp;524&amp;"A")+COUNTIF(車両台帳!$BD$57:$BD$2056,FA$3&amp;"-"&amp;525&amp;"A"))</f>
        <v/>
      </c>
      <c r="FB17" s="728" t="str">
        <f>IF(COUNTA(車両台帳!$C$57:$C$2056)=0,"",COUNTIF(車両台帳!$BD$57:$BD$2056,FB$3&amp;"-"&amp;524&amp;"A")+COUNTIF(車両台帳!$BD$57:$BD$2056,FB$3&amp;"-"&amp;525&amp;"A"))</f>
        <v/>
      </c>
      <c r="FC17" s="728" t="str">
        <f>IF(COUNTA(車両台帳!$C$57:$C$2056)=0,"",COUNTIF(車両台帳!$BD$57:$BD$2056,FC$3&amp;"-"&amp;524&amp;"A")+COUNTIF(車両台帳!$BD$57:$BD$2056,FC$3&amp;"-"&amp;525&amp;"A"))</f>
        <v/>
      </c>
      <c r="FD17" s="728" t="str">
        <f>IF(COUNTA(車両台帳!$C$57:$C$2056)=0,"",COUNTIF(車両台帳!$BD$57:$BD$2056,FD$3&amp;"-"&amp;524&amp;"A")+COUNTIF(車両台帳!$BD$57:$BD$2056,FD$3&amp;"-"&amp;525&amp;"A"))</f>
        <v/>
      </c>
      <c r="FE17" s="728" t="str">
        <f>IF(COUNTA(車両台帳!$C$57:$C$2056)=0,"",COUNTIF(車両台帳!$BD$57:$BD$2056,FE$3&amp;"-"&amp;524&amp;"A")+COUNTIF(車両台帳!$BD$57:$BD$2056,FE$3&amp;"-"&amp;525&amp;"A"))</f>
        <v/>
      </c>
      <c r="FF17" s="728" t="str">
        <f>IF(COUNTA(車両台帳!$C$57:$C$2056)=0,"",COUNTIF(車両台帳!$BD$57:$BD$2056,FF$3&amp;"-"&amp;524&amp;"A")+COUNTIF(車両台帳!$BD$57:$BD$2056,FF$3&amp;"-"&amp;525&amp;"A"))</f>
        <v/>
      </c>
      <c r="FG17" s="728" t="str">
        <f>IF(COUNTA(車両台帳!$C$57:$C$2056)=0,"",COUNTIF(車両台帳!$BD$57:$BD$2056,FG$3&amp;"-"&amp;524&amp;"A")+COUNTIF(車両台帳!$BD$57:$BD$2056,FG$3&amp;"-"&amp;525&amp;"A"))</f>
        <v/>
      </c>
      <c r="FH17" s="728" t="str">
        <f>IF(COUNTA(車両台帳!$C$57:$C$2056)=0,"",COUNTIF(車両台帳!$BD$57:$BD$2056,FH$3&amp;"-"&amp;524&amp;"A")+COUNTIF(車両台帳!$BD$57:$BD$2056,FH$3&amp;"-"&amp;525&amp;"A"))</f>
        <v/>
      </c>
      <c r="FI17" s="728" t="str">
        <f>IF(COUNTA(車両台帳!$C$57:$C$2056)=0,"",COUNTIF(車両台帳!$BD$57:$BD$2056,FI$3&amp;"-"&amp;524&amp;"A")+COUNTIF(車両台帳!$BD$57:$BD$2056,FI$3&amp;"-"&amp;525&amp;"A"))</f>
        <v/>
      </c>
      <c r="FJ17" s="728" t="str">
        <f>IF(COUNTA(車両台帳!$C$57:$C$2056)=0,"",COUNTIF(車両台帳!$BD$57:$BD$2056,FJ$3&amp;"-"&amp;524&amp;"A")+COUNTIF(車両台帳!$BD$57:$BD$2056,FJ$3&amp;"-"&amp;525&amp;"A"))</f>
        <v/>
      </c>
      <c r="FK17" s="728" t="str">
        <f>IF(COUNTA(車両台帳!$C$57:$C$2056)=0,"",COUNTIF(車両台帳!$BD$57:$BD$2056,FK$3&amp;"-"&amp;524&amp;"A")+COUNTIF(車両台帳!$BD$57:$BD$2056,FK$3&amp;"-"&amp;525&amp;"A"))</f>
        <v/>
      </c>
      <c r="FL17" s="728" t="str">
        <f>IF(COUNTA(車両台帳!$C$57:$C$2056)=0,"",COUNTIF(車両台帳!$BD$57:$BD$2056,FL$3&amp;"-"&amp;524&amp;"A")+COUNTIF(車両台帳!$BD$57:$BD$2056,FL$3&amp;"-"&amp;525&amp;"A"))</f>
        <v/>
      </c>
      <c r="FM17" s="728" t="str">
        <f>IF(COUNTA(車両台帳!$C$57:$C$2056)=0,"",COUNTIF(車両台帳!$BD$57:$BD$2056,FM$3&amp;"-"&amp;524&amp;"A")+COUNTIF(車両台帳!$BD$57:$BD$2056,FM$3&amp;"-"&amp;525&amp;"A"))</f>
        <v/>
      </c>
      <c r="FN17" s="728" t="str">
        <f>IF(COUNTA(車両台帳!$C$57:$C$2056)=0,"",COUNTIF(車両台帳!$BD$57:$BD$2056,FN$3&amp;"-"&amp;524&amp;"A")+COUNTIF(車両台帳!$BD$57:$BD$2056,FN$3&amp;"-"&amp;525&amp;"A"))</f>
        <v/>
      </c>
      <c r="FO17" s="728" t="str">
        <f>IF(COUNTA(車両台帳!$C$57:$C$2056)=0,"",COUNTIF(車両台帳!$BD$57:$BD$2056,FO$3&amp;"-"&amp;524&amp;"A")+COUNTIF(車両台帳!$BD$57:$BD$2056,FO$3&amp;"-"&amp;525&amp;"A"))</f>
        <v/>
      </c>
      <c r="FP17" s="728" t="str">
        <f>IF(COUNTA(車両台帳!$C$57:$C$2056)=0,"",COUNTIF(車両台帳!$BD$57:$BD$2056,FP$3&amp;"-"&amp;524&amp;"A")+COUNTIF(車両台帳!$BD$57:$BD$2056,FP$3&amp;"-"&amp;525&amp;"A"))</f>
        <v/>
      </c>
      <c r="FQ17" s="728" t="str">
        <f>IF(COUNTA(車両台帳!$C$57:$C$2056)=0,"",COUNTIF(車両台帳!$BD$57:$BD$2056,FQ$3&amp;"-"&amp;524&amp;"A")+COUNTIF(車両台帳!$BD$57:$BD$2056,FQ$3&amp;"-"&amp;525&amp;"A"))</f>
        <v/>
      </c>
      <c r="FR17" s="728" t="str">
        <f>IF(COUNTA(車両台帳!$C$57:$C$2056)=0,"",COUNTIF(車両台帳!$BD$57:$BD$2056,FR$3&amp;"-"&amp;524&amp;"A")+COUNTIF(車両台帳!$BD$57:$BD$2056,FR$3&amp;"-"&amp;525&amp;"A"))</f>
        <v/>
      </c>
      <c r="FS17" s="728" t="str">
        <f>IF(COUNTA(車両台帳!$C$57:$C$2056)=0,"",COUNTIF(車両台帳!$BD$57:$BD$2056,FS$3&amp;"-"&amp;524&amp;"A")+COUNTIF(車両台帳!$BD$57:$BD$2056,FS$3&amp;"-"&amp;525&amp;"A"))</f>
        <v/>
      </c>
      <c r="FT17" s="728" t="str">
        <f>IF(COUNTA(車両台帳!$C$57:$C$2056)=0,"",COUNTIF(車両台帳!$BD$57:$BD$2056,FT$3&amp;"-"&amp;524&amp;"A")+COUNTIF(車両台帳!$BD$57:$BD$2056,FT$3&amp;"-"&amp;525&amp;"A"))</f>
        <v/>
      </c>
      <c r="FU17" s="728" t="str">
        <f>IF(COUNTA(車両台帳!$C$57:$C$2056)=0,"",COUNTIF(車両台帳!$BD$57:$BD$2056,FU$3&amp;"-"&amp;524&amp;"A")+COUNTIF(車両台帳!$BD$57:$BD$2056,FU$3&amp;"-"&amp;525&amp;"A"))</f>
        <v/>
      </c>
      <c r="FV17" s="728" t="str">
        <f>IF(COUNTA(車両台帳!$C$57:$C$2056)=0,"",COUNTIF(車両台帳!$BD$57:$BD$2056,FV$3&amp;"-"&amp;524&amp;"A")+COUNTIF(車両台帳!$BD$57:$BD$2056,FV$3&amp;"-"&amp;525&amp;"A"))</f>
        <v/>
      </c>
      <c r="FW17" s="728" t="str">
        <f>IF(COUNTA(車両台帳!$C$57:$C$2056)=0,"",COUNTIF(車両台帳!$BD$57:$BD$2056,FW$3&amp;"-"&amp;524&amp;"A")+COUNTIF(車両台帳!$BD$57:$BD$2056,FW$3&amp;"-"&amp;525&amp;"A"))</f>
        <v/>
      </c>
      <c r="FX17" s="728" t="str">
        <f>IF(COUNTA(車両台帳!$C$57:$C$2056)=0,"",COUNTIF(車両台帳!$BD$57:$BD$2056,FX$3&amp;"-"&amp;524&amp;"A")+COUNTIF(車両台帳!$BD$57:$BD$2056,FX$3&amp;"-"&amp;525&amp;"A"))</f>
        <v/>
      </c>
      <c r="FY17" s="728" t="str">
        <f>IF(COUNTA(車両台帳!$C$57:$C$2056)=0,"",COUNTIF(車両台帳!$BD$57:$BD$2056,FY$3&amp;"-"&amp;524&amp;"A")+COUNTIF(車両台帳!$BD$57:$BD$2056,FY$3&amp;"-"&amp;525&amp;"A"))</f>
        <v/>
      </c>
      <c r="FZ17" s="728" t="str">
        <f>IF(COUNTA(車両台帳!$C$57:$C$2056)=0,"",COUNTIF(車両台帳!$BD$57:$BD$2056,FZ$3&amp;"-"&amp;524&amp;"A")+COUNTIF(車両台帳!$BD$57:$BD$2056,FZ$3&amp;"-"&amp;525&amp;"A"))</f>
        <v/>
      </c>
      <c r="GA17" s="728" t="str">
        <f>IF(COUNTA(車両台帳!$C$57:$C$2056)=0,"",COUNTIF(車両台帳!$BD$57:$BD$2056,GA$3&amp;"-"&amp;524&amp;"A")+COUNTIF(車両台帳!$BD$57:$BD$2056,GA$3&amp;"-"&amp;525&amp;"A"))</f>
        <v/>
      </c>
      <c r="GB17" s="728" t="str">
        <f>IF(COUNTA(車両台帳!$C$57:$C$2056)=0,"",COUNTIF(車両台帳!$BD$57:$BD$2056,GB$3&amp;"-"&amp;524&amp;"A")+COUNTIF(車両台帳!$BD$57:$BD$2056,GB$3&amp;"-"&amp;525&amp;"A"))</f>
        <v/>
      </c>
      <c r="GC17" s="728" t="str">
        <f>IF(COUNTA(車両台帳!$C$57:$C$2056)=0,"",COUNTIF(車両台帳!$BD$57:$BD$2056,GC$3&amp;"-"&amp;524&amp;"A")+COUNTIF(車両台帳!$BD$57:$BD$2056,GC$3&amp;"-"&amp;525&amp;"A"))</f>
        <v/>
      </c>
      <c r="GD17" s="728" t="str">
        <f>IF(COUNTA(車両台帳!$C$57:$C$2056)=0,"",COUNTIF(車両台帳!$BD$57:$BD$2056,GD$3&amp;"-"&amp;524&amp;"A")+COUNTIF(車両台帳!$BD$57:$BD$2056,GD$3&amp;"-"&amp;525&amp;"A"))</f>
        <v/>
      </c>
      <c r="GE17" s="728" t="str">
        <f>IF(COUNTA(車両台帳!$C$57:$C$2056)=0,"",COUNTIF(車両台帳!$BD$57:$BD$2056,GE$3&amp;"-"&amp;524&amp;"A")+COUNTIF(車両台帳!$BD$57:$BD$2056,GE$3&amp;"-"&amp;525&amp;"A"))</f>
        <v/>
      </c>
      <c r="GF17" s="728" t="str">
        <f>IF(COUNTA(車両台帳!$C$57:$C$2056)=0,"",COUNTIF(車両台帳!$BD$57:$BD$2056,GF$3&amp;"-"&amp;524&amp;"A")+COUNTIF(車両台帳!$BD$57:$BD$2056,GF$3&amp;"-"&amp;525&amp;"A"))</f>
        <v/>
      </c>
      <c r="GG17" s="728" t="str">
        <f>IF(COUNTA(車両台帳!$C$57:$C$2056)=0,"",COUNTIF(車両台帳!$BD$57:$BD$2056,GG$3&amp;"-"&amp;524&amp;"A")+COUNTIF(車両台帳!$BD$57:$BD$2056,GG$3&amp;"-"&amp;525&amp;"A"))</f>
        <v/>
      </c>
      <c r="GH17" s="728" t="str">
        <f>IF(COUNTA(車両台帳!$C$57:$C$2056)=0,"",COUNTIF(車両台帳!$BD$57:$BD$2056,GH$3&amp;"-"&amp;524&amp;"A")+COUNTIF(車両台帳!$BD$57:$BD$2056,GH$3&amp;"-"&amp;525&amp;"A"))</f>
        <v/>
      </c>
      <c r="GI17" s="728" t="str">
        <f>IF(COUNTA(車両台帳!$C$57:$C$2056)=0,"",COUNTIF(車両台帳!$BD$57:$BD$2056,GI$3&amp;"-"&amp;524&amp;"A")+COUNTIF(車両台帳!$BD$57:$BD$2056,GI$3&amp;"-"&amp;525&amp;"A"))</f>
        <v/>
      </c>
      <c r="GJ17" s="728" t="str">
        <f>IF(COUNTA(車両台帳!$C$57:$C$2056)=0,"",COUNTIF(車両台帳!$BD$57:$BD$2056,GJ$3&amp;"-"&amp;524&amp;"A")+COUNTIF(車両台帳!$BD$57:$BD$2056,GJ$3&amp;"-"&amp;525&amp;"A"))</f>
        <v/>
      </c>
      <c r="GK17" s="728" t="str">
        <f>IF(COUNTA(車両台帳!$C$57:$C$2056)=0,"",COUNTIF(車両台帳!$BD$57:$BD$2056,GK$3&amp;"-"&amp;524&amp;"A")+COUNTIF(車両台帳!$BD$57:$BD$2056,GK$3&amp;"-"&amp;525&amp;"A"))</f>
        <v/>
      </c>
      <c r="GL17" s="728" t="str">
        <f>IF(COUNTA(車両台帳!$C$57:$C$2056)=0,"",COUNTIF(車両台帳!$BD$57:$BD$2056,GL$3&amp;"-"&amp;524&amp;"A")+COUNTIF(車両台帳!$BD$57:$BD$2056,GL$3&amp;"-"&amp;525&amp;"A"))</f>
        <v/>
      </c>
      <c r="GM17" s="728" t="str">
        <f>IF(COUNTA(車両台帳!$C$57:$C$2056)=0,"",COUNTIF(車両台帳!$BD$57:$BD$2056,GM$3&amp;"-"&amp;524&amp;"A")+COUNTIF(車両台帳!$BD$57:$BD$2056,GM$3&amp;"-"&amp;525&amp;"A"))</f>
        <v/>
      </c>
      <c r="GN17" s="728" t="str">
        <f>IF(COUNTA(車両台帳!$C$57:$C$2056)=0,"",COUNTIF(車両台帳!$BD$57:$BD$2056,GN$3&amp;"-"&amp;524&amp;"A")+COUNTIF(車両台帳!$BD$57:$BD$2056,GN$3&amp;"-"&amp;525&amp;"A"))</f>
        <v/>
      </c>
      <c r="GO17" s="728" t="str">
        <f>IF(COUNTA(車両台帳!$C$57:$C$2056)=0,"",COUNTIF(車両台帳!$BD$57:$BD$2056,GO$3&amp;"-"&amp;524&amp;"A")+COUNTIF(車両台帳!$BD$57:$BD$2056,GO$3&amp;"-"&amp;525&amp;"A"))</f>
        <v/>
      </c>
      <c r="GP17" s="728" t="str">
        <f>IF(COUNTA(車両台帳!$C$57:$C$2056)=0,"",COUNTIF(車両台帳!$BD$57:$BD$2056,GP$3&amp;"-"&amp;524&amp;"A")+COUNTIF(車両台帳!$BD$57:$BD$2056,GP$3&amp;"-"&amp;525&amp;"A"))</f>
        <v/>
      </c>
      <c r="GQ17" s="728" t="str">
        <f>IF(COUNTA(車両台帳!$C$57:$C$2056)=0,"",COUNTIF(車両台帳!$BD$57:$BD$2056,GQ$3&amp;"-"&amp;524&amp;"A")+COUNTIF(車両台帳!$BD$57:$BD$2056,GQ$3&amp;"-"&amp;525&amp;"A"))</f>
        <v/>
      </c>
      <c r="GR17" s="728" t="str">
        <f>IF(COUNTA(車両台帳!$C$57:$C$2056)=0,"",COUNTIF(車両台帳!$BD$57:$BD$2056,GR$3&amp;"-"&amp;524&amp;"A")+COUNTIF(車両台帳!$BD$57:$BD$2056,GR$3&amp;"-"&amp;525&amp;"A"))</f>
        <v/>
      </c>
      <c r="GS17" s="728" t="str">
        <f>IF(COUNTA(車両台帳!$C$57:$C$2056)=0,"",COUNTIF(車両台帳!$BD$57:$BD$2056,GS$3&amp;"-"&amp;524&amp;"A")+COUNTIF(車両台帳!$BD$57:$BD$2056,GS$3&amp;"-"&amp;525&amp;"A"))</f>
        <v/>
      </c>
      <c r="GT17" s="728" t="str">
        <f>IF(COUNTA(車両台帳!$C$57:$C$2056)=0,"",COUNTIF(車両台帳!$BD$57:$BD$2056,GT$3&amp;"-"&amp;524&amp;"A")+COUNTIF(車両台帳!$BD$57:$BD$2056,GT$3&amp;"-"&amp;525&amp;"A"))</f>
        <v/>
      </c>
      <c r="GU17" s="729" t="str">
        <f>IF(COUNTA(車両台帳!$C$57:$C$2056)=0,"",COUNTIF(車両台帳!$BD$57:$BD$2056,GU$3&amp;"-"&amp;524&amp;"A")+COUNTIF(車両台帳!$BD$57:$BD$2056,GU$3&amp;"-"&amp;525&amp;"A"))</f>
        <v/>
      </c>
    </row>
    <row r="18" spans="1:203" s="7" customFormat="1" ht="29.25" customHeight="1">
      <c r="A18" s="1183" t="s">
        <v>54</v>
      </c>
      <c r="B18" s="714" t="s">
        <v>45</v>
      </c>
      <c r="C18" s="721" t="str">
        <f>IF(COUNTA(車両台帳!$C$57:$C$2056)=0,"",SUM(D18:GU18))</f>
        <v/>
      </c>
      <c r="D18" s="722" t="str">
        <f>IF(COUNTA(車両台帳!$C$57:$C$2056)=0,"",COUNTIF(車両台帳!$BD$57:$BD$2056,D$3&amp;"-"&amp;331&amp;"A"))</f>
        <v/>
      </c>
      <c r="E18" s="722" t="str">
        <f>IF(COUNTA(車両台帳!$C$57:$C$2056)=0,"",COUNTIF(車両台帳!$BD$57:$BD$2056,E$3&amp;"-"&amp;331&amp;"A"))</f>
        <v/>
      </c>
      <c r="F18" s="722" t="str">
        <f>IF(COUNTA(車両台帳!$C$57:$C$2056)=0,"",COUNTIF(車両台帳!$BD$57:$BD$2056,F$3&amp;"-"&amp;331&amp;"A"))</f>
        <v/>
      </c>
      <c r="G18" s="722" t="str">
        <f>IF(COUNTA(車両台帳!$C$57:$C$2056)=0,"",COUNTIF(車両台帳!$BD$57:$BD$2056,G$3&amp;"-"&amp;331&amp;"A"))</f>
        <v/>
      </c>
      <c r="H18" s="722" t="str">
        <f>IF(COUNTA(車両台帳!$C$57:$C$2056)=0,"",COUNTIF(車両台帳!$BD$57:$BD$2056,H$3&amp;"-"&amp;331&amp;"A"))</f>
        <v/>
      </c>
      <c r="I18" s="722" t="str">
        <f>IF(COUNTA(車両台帳!$C$57:$C$2056)=0,"",COUNTIF(車両台帳!$BD$57:$BD$2056,I$3&amp;"-"&amp;331&amp;"A"))</f>
        <v/>
      </c>
      <c r="J18" s="722" t="str">
        <f>IF(COUNTA(車両台帳!$C$57:$C$2056)=0,"",COUNTIF(車両台帳!$BD$57:$BD$2056,J$3&amp;"-"&amp;331&amp;"A"))</f>
        <v/>
      </c>
      <c r="K18" s="722" t="str">
        <f>IF(COUNTA(車両台帳!$C$57:$C$2056)=0,"",COUNTIF(車両台帳!$BD$57:$BD$2056,K$3&amp;"-"&amp;331&amp;"A"))</f>
        <v/>
      </c>
      <c r="L18" s="722" t="str">
        <f>IF(COUNTA(車両台帳!$C$57:$C$2056)=0,"",COUNTIF(車両台帳!$BD$57:$BD$2056,L$3&amp;"-"&amp;331&amp;"A"))</f>
        <v/>
      </c>
      <c r="M18" s="722" t="str">
        <f>IF(COUNTA(車両台帳!$C$57:$C$2056)=0,"",COUNTIF(車両台帳!$BD$57:$BD$2056,M$3&amp;"-"&amp;331&amp;"A"))</f>
        <v/>
      </c>
      <c r="N18" s="722" t="str">
        <f>IF(COUNTA(車両台帳!$C$57:$C$2056)=0,"",COUNTIF(車両台帳!$BD$57:$BD$2056,N$3&amp;"-"&amp;331&amp;"A"))</f>
        <v/>
      </c>
      <c r="O18" s="722" t="str">
        <f>IF(COUNTA(車両台帳!$C$57:$C$2056)=0,"",COUNTIF(車両台帳!$BD$57:$BD$2056,O$3&amp;"-"&amp;331&amp;"A"))</f>
        <v/>
      </c>
      <c r="P18" s="722" t="str">
        <f>IF(COUNTA(車両台帳!$C$57:$C$2056)=0,"",COUNTIF(車両台帳!$BD$57:$BD$2056,P$3&amp;"-"&amp;331&amp;"A"))</f>
        <v/>
      </c>
      <c r="Q18" s="722" t="str">
        <f>IF(COUNTA(車両台帳!$C$57:$C$2056)=0,"",COUNTIF(車両台帳!$BD$57:$BD$2056,Q$3&amp;"-"&amp;331&amp;"A"))</f>
        <v/>
      </c>
      <c r="R18" s="722" t="str">
        <f>IF(COUNTA(車両台帳!$C$57:$C$2056)=0,"",COUNTIF(車両台帳!$BD$57:$BD$2056,R$3&amp;"-"&amp;331&amp;"A"))</f>
        <v/>
      </c>
      <c r="S18" s="722" t="str">
        <f>IF(COUNTA(車両台帳!$C$57:$C$2056)=0,"",COUNTIF(車両台帳!$BD$57:$BD$2056,S$3&amp;"-"&amp;331&amp;"A"))</f>
        <v/>
      </c>
      <c r="T18" s="722" t="str">
        <f>IF(COUNTA(車両台帳!$C$57:$C$2056)=0,"",COUNTIF(車両台帳!$BD$57:$BD$2056,T$3&amp;"-"&amp;331&amp;"A"))</f>
        <v/>
      </c>
      <c r="U18" s="722" t="str">
        <f>IF(COUNTA(車両台帳!$C$57:$C$2056)=0,"",COUNTIF(車両台帳!$BD$57:$BD$2056,U$3&amp;"-"&amp;331&amp;"A"))</f>
        <v/>
      </c>
      <c r="V18" s="722" t="str">
        <f>IF(COUNTA(車両台帳!$C$57:$C$2056)=0,"",COUNTIF(車両台帳!$BD$57:$BD$2056,V$3&amp;"-"&amp;331&amp;"A"))</f>
        <v/>
      </c>
      <c r="W18" s="722" t="str">
        <f>IF(COUNTA(車両台帳!$C$57:$C$2056)=0,"",COUNTIF(車両台帳!$BD$57:$BD$2056,W$3&amp;"-"&amp;331&amp;"A"))</f>
        <v/>
      </c>
      <c r="X18" s="722" t="str">
        <f>IF(COUNTA(車両台帳!$C$57:$C$2056)=0,"",COUNTIF(車両台帳!$BD$57:$BD$2056,X$3&amp;"-"&amp;331&amp;"A"))</f>
        <v/>
      </c>
      <c r="Y18" s="722" t="str">
        <f>IF(COUNTA(車両台帳!$C$57:$C$2056)=0,"",COUNTIF(車両台帳!$BD$57:$BD$2056,Y$3&amp;"-"&amp;331&amp;"A"))</f>
        <v/>
      </c>
      <c r="Z18" s="722" t="str">
        <f>IF(COUNTA(車両台帳!$C$57:$C$2056)=0,"",COUNTIF(車両台帳!$BD$57:$BD$2056,Z$3&amp;"-"&amp;331&amp;"A"))</f>
        <v/>
      </c>
      <c r="AA18" s="722" t="str">
        <f>IF(COUNTA(車両台帳!$C$57:$C$2056)=0,"",COUNTIF(車両台帳!$BD$57:$BD$2056,AA$3&amp;"-"&amp;331&amp;"A"))</f>
        <v/>
      </c>
      <c r="AB18" s="722" t="str">
        <f>IF(COUNTA(車両台帳!$C$57:$C$2056)=0,"",COUNTIF(車両台帳!$BD$57:$BD$2056,AB$3&amp;"-"&amp;331&amp;"A"))</f>
        <v/>
      </c>
      <c r="AC18" s="722" t="str">
        <f>IF(COUNTA(車両台帳!$C$57:$C$2056)=0,"",COUNTIF(車両台帳!$BD$57:$BD$2056,AC$3&amp;"-"&amp;331&amp;"A"))</f>
        <v/>
      </c>
      <c r="AD18" s="722" t="str">
        <f>IF(COUNTA(車両台帳!$C$57:$C$2056)=0,"",COUNTIF(車両台帳!$BD$57:$BD$2056,AD$3&amp;"-"&amp;331&amp;"A"))</f>
        <v/>
      </c>
      <c r="AE18" s="722" t="str">
        <f>IF(COUNTA(車両台帳!$C$57:$C$2056)=0,"",COUNTIF(車両台帳!$BD$57:$BD$2056,AE$3&amp;"-"&amp;331&amp;"A"))</f>
        <v/>
      </c>
      <c r="AF18" s="722" t="str">
        <f>IF(COUNTA(車両台帳!$C$57:$C$2056)=0,"",COUNTIF(車両台帳!$BD$57:$BD$2056,AF$3&amp;"-"&amp;331&amp;"A"))</f>
        <v/>
      </c>
      <c r="AG18" s="722" t="str">
        <f>IF(COUNTA(車両台帳!$C$57:$C$2056)=0,"",COUNTIF(車両台帳!$BD$57:$BD$2056,AG$3&amp;"-"&amp;331&amp;"A"))</f>
        <v/>
      </c>
      <c r="AH18" s="722" t="str">
        <f>IF(COUNTA(車両台帳!$C$57:$C$2056)=0,"",COUNTIF(車両台帳!$BD$57:$BD$2056,AH$3&amp;"-"&amp;331&amp;"A"))</f>
        <v/>
      </c>
      <c r="AI18" s="722" t="str">
        <f>IF(COUNTA(車両台帳!$C$57:$C$2056)=0,"",COUNTIF(車両台帳!$BD$57:$BD$2056,AI$3&amp;"-"&amp;331&amp;"A"))</f>
        <v/>
      </c>
      <c r="AJ18" s="722" t="str">
        <f>IF(COUNTA(車両台帳!$C$57:$C$2056)=0,"",COUNTIF(車両台帳!$BD$57:$BD$2056,AJ$3&amp;"-"&amp;331&amp;"A"))</f>
        <v/>
      </c>
      <c r="AK18" s="722" t="str">
        <f>IF(COUNTA(車両台帳!$C$57:$C$2056)=0,"",COUNTIF(車両台帳!$BD$57:$BD$2056,AK$3&amp;"-"&amp;331&amp;"A"))</f>
        <v/>
      </c>
      <c r="AL18" s="722" t="str">
        <f>IF(COUNTA(車両台帳!$C$57:$C$2056)=0,"",COUNTIF(車両台帳!$BD$57:$BD$2056,AL$3&amp;"-"&amp;331&amp;"A"))</f>
        <v/>
      </c>
      <c r="AM18" s="722" t="str">
        <f>IF(COUNTA(車両台帳!$C$57:$C$2056)=0,"",COUNTIF(車両台帳!$BD$57:$BD$2056,AM$3&amp;"-"&amp;331&amp;"A"))</f>
        <v/>
      </c>
      <c r="AN18" s="722" t="str">
        <f>IF(COUNTA(車両台帳!$C$57:$C$2056)=0,"",COUNTIF(車両台帳!$BD$57:$BD$2056,AN$3&amp;"-"&amp;331&amp;"A"))</f>
        <v/>
      </c>
      <c r="AO18" s="722" t="str">
        <f>IF(COUNTA(車両台帳!$C$57:$C$2056)=0,"",COUNTIF(車両台帳!$BD$57:$BD$2056,AO$3&amp;"-"&amp;331&amp;"A"))</f>
        <v/>
      </c>
      <c r="AP18" s="722" t="str">
        <f>IF(COUNTA(車両台帳!$C$57:$C$2056)=0,"",COUNTIF(車両台帳!$BD$57:$BD$2056,AP$3&amp;"-"&amp;331&amp;"A"))</f>
        <v/>
      </c>
      <c r="AQ18" s="722" t="str">
        <f>IF(COUNTA(車両台帳!$C$57:$C$2056)=0,"",COUNTIF(車両台帳!$BD$57:$BD$2056,AQ$3&amp;"-"&amp;331&amp;"A"))</f>
        <v/>
      </c>
      <c r="AR18" s="722" t="str">
        <f>IF(COUNTA(車両台帳!$C$57:$C$2056)=0,"",COUNTIF(車両台帳!$BD$57:$BD$2056,AR$3&amp;"-"&amp;331&amp;"A"))</f>
        <v/>
      </c>
      <c r="AS18" s="722" t="str">
        <f>IF(COUNTA(車両台帳!$C$57:$C$2056)=0,"",COUNTIF(車両台帳!$BD$57:$BD$2056,AS$3&amp;"-"&amp;331&amp;"A"))</f>
        <v/>
      </c>
      <c r="AT18" s="722" t="str">
        <f>IF(COUNTA(車両台帳!$C$57:$C$2056)=0,"",COUNTIF(車両台帳!$BD$57:$BD$2056,AT$3&amp;"-"&amp;331&amp;"A"))</f>
        <v/>
      </c>
      <c r="AU18" s="722" t="str">
        <f>IF(COUNTA(車両台帳!$C$57:$C$2056)=0,"",COUNTIF(車両台帳!$BD$57:$BD$2056,AU$3&amp;"-"&amp;331&amp;"A"))</f>
        <v/>
      </c>
      <c r="AV18" s="722" t="str">
        <f>IF(COUNTA(車両台帳!$C$57:$C$2056)=0,"",COUNTIF(車両台帳!$BD$57:$BD$2056,AV$3&amp;"-"&amp;331&amp;"A"))</f>
        <v/>
      </c>
      <c r="AW18" s="722" t="str">
        <f>IF(COUNTA(車両台帳!$C$57:$C$2056)=0,"",COUNTIF(車両台帳!$BD$57:$BD$2056,AW$3&amp;"-"&amp;331&amp;"A"))</f>
        <v/>
      </c>
      <c r="AX18" s="722" t="str">
        <f>IF(COUNTA(車両台帳!$C$57:$C$2056)=0,"",COUNTIF(車両台帳!$BD$57:$BD$2056,AX$3&amp;"-"&amp;331&amp;"A"))</f>
        <v/>
      </c>
      <c r="AY18" s="722" t="str">
        <f>IF(COUNTA(車両台帳!$C$57:$C$2056)=0,"",COUNTIF(車両台帳!$BD$57:$BD$2056,AY$3&amp;"-"&amp;331&amp;"A"))</f>
        <v/>
      </c>
      <c r="AZ18" s="722" t="str">
        <f>IF(COUNTA(車両台帳!$C$57:$C$2056)=0,"",COUNTIF(車両台帳!$BD$57:$BD$2056,AZ$3&amp;"-"&amp;331&amp;"A"))</f>
        <v/>
      </c>
      <c r="BA18" s="722" t="str">
        <f>IF(COUNTA(車両台帳!$C$57:$C$2056)=0,"",COUNTIF(車両台帳!$BD$57:$BD$2056,BA$3&amp;"-"&amp;331&amp;"A"))</f>
        <v/>
      </c>
      <c r="BB18" s="722" t="str">
        <f>IF(COUNTA(車両台帳!$C$57:$C$2056)=0,"",COUNTIF(車両台帳!$BD$57:$BD$2056,BB$3&amp;"-"&amp;331&amp;"A"))</f>
        <v/>
      </c>
      <c r="BC18" s="722" t="str">
        <f>IF(COUNTA(車両台帳!$C$57:$C$2056)=0,"",COUNTIF(車両台帳!$BD$57:$BD$2056,BC$3&amp;"-"&amp;331&amp;"A"))</f>
        <v/>
      </c>
      <c r="BD18" s="722" t="str">
        <f>IF(COUNTA(車両台帳!$C$57:$C$2056)=0,"",COUNTIF(車両台帳!$BD$57:$BD$2056,BD$3&amp;"-"&amp;331&amp;"A"))</f>
        <v/>
      </c>
      <c r="BE18" s="722" t="str">
        <f>IF(COUNTA(車両台帳!$C$57:$C$2056)=0,"",COUNTIF(車両台帳!$BD$57:$BD$2056,BE$3&amp;"-"&amp;331&amp;"A"))</f>
        <v/>
      </c>
      <c r="BF18" s="722" t="str">
        <f>IF(COUNTA(車両台帳!$C$57:$C$2056)=0,"",COUNTIF(車両台帳!$BD$57:$BD$2056,BF$3&amp;"-"&amp;331&amp;"A"))</f>
        <v/>
      </c>
      <c r="BG18" s="722" t="str">
        <f>IF(COUNTA(車両台帳!$C$57:$C$2056)=0,"",COUNTIF(車両台帳!$BD$57:$BD$2056,BG$3&amp;"-"&amp;331&amp;"A"))</f>
        <v/>
      </c>
      <c r="BH18" s="722" t="str">
        <f>IF(COUNTA(車両台帳!$C$57:$C$2056)=0,"",COUNTIF(車両台帳!$BD$57:$BD$2056,BH$3&amp;"-"&amp;331&amp;"A"))</f>
        <v/>
      </c>
      <c r="BI18" s="722" t="str">
        <f>IF(COUNTA(車両台帳!$C$57:$C$2056)=0,"",COUNTIF(車両台帳!$BD$57:$BD$2056,BI$3&amp;"-"&amp;331&amp;"A"))</f>
        <v/>
      </c>
      <c r="BJ18" s="722" t="str">
        <f>IF(COUNTA(車両台帳!$C$57:$C$2056)=0,"",COUNTIF(車両台帳!$BD$57:$BD$2056,BJ$3&amp;"-"&amp;331&amp;"A"))</f>
        <v/>
      </c>
      <c r="BK18" s="722" t="str">
        <f>IF(COUNTA(車両台帳!$C$57:$C$2056)=0,"",COUNTIF(車両台帳!$BD$57:$BD$2056,BK$3&amp;"-"&amp;331&amp;"A"))</f>
        <v/>
      </c>
      <c r="BL18" s="722" t="str">
        <f>IF(COUNTA(車両台帳!$C$57:$C$2056)=0,"",COUNTIF(車両台帳!$BD$57:$BD$2056,BL$3&amp;"-"&amp;331&amp;"A"))</f>
        <v/>
      </c>
      <c r="BM18" s="722" t="str">
        <f>IF(COUNTA(車両台帳!$C$57:$C$2056)=0,"",COUNTIF(車両台帳!$BD$57:$BD$2056,BM$3&amp;"-"&amp;331&amp;"A"))</f>
        <v/>
      </c>
      <c r="BN18" s="722" t="str">
        <f>IF(COUNTA(車両台帳!$C$57:$C$2056)=0,"",COUNTIF(車両台帳!$BD$57:$BD$2056,BN$3&amp;"-"&amp;331&amp;"A"))</f>
        <v/>
      </c>
      <c r="BO18" s="722" t="str">
        <f>IF(COUNTA(車両台帳!$C$57:$C$2056)=0,"",COUNTIF(車両台帳!$BD$57:$BD$2056,BO$3&amp;"-"&amp;331&amp;"A"))</f>
        <v/>
      </c>
      <c r="BP18" s="722" t="str">
        <f>IF(COUNTA(車両台帳!$C$57:$C$2056)=0,"",COUNTIF(車両台帳!$BD$57:$BD$2056,BP$3&amp;"-"&amp;331&amp;"A"))</f>
        <v/>
      </c>
      <c r="BQ18" s="722" t="str">
        <f>IF(COUNTA(車両台帳!$C$57:$C$2056)=0,"",COUNTIF(車両台帳!$BD$57:$BD$2056,BQ$3&amp;"-"&amp;331&amp;"A"))</f>
        <v/>
      </c>
      <c r="BR18" s="722" t="str">
        <f>IF(COUNTA(車両台帳!$C$57:$C$2056)=0,"",COUNTIF(車両台帳!$BD$57:$BD$2056,BR$3&amp;"-"&amp;331&amp;"A"))</f>
        <v/>
      </c>
      <c r="BS18" s="722" t="str">
        <f>IF(COUNTA(車両台帳!$C$57:$C$2056)=0,"",COUNTIF(車両台帳!$BD$57:$BD$2056,BS$3&amp;"-"&amp;331&amp;"A"))</f>
        <v/>
      </c>
      <c r="BT18" s="722" t="str">
        <f>IF(COUNTA(車両台帳!$C$57:$C$2056)=0,"",COUNTIF(車両台帳!$BD$57:$BD$2056,BT$3&amp;"-"&amp;331&amp;"A"))</f>
        <v/>
      </c>
      <c r="BU18" s="722" t="str">
        <f>IF(COUNTA(車両台帳!$C$57:$C$2056)=0,"",COUNTIF(車両台帳!$BD$57:$BD$2056,BU$3&amp;"-"&amp;331&amp;"A"))</f>
        <v/>
      </c>
      <c r="BV18" s="722" t="str">
        <f>IF(COUNTA(車両台帳!$C$57:$C$2056)=0,"",COUNTIF(車両台帳!$BD$57:$BD$2056,BV$3&amp;"-"&amp;331&amp;"A"))</f>
        <v/>
      </c>
      <c r="BW18" s="722" t="str">
        <f>IF(COUNTA(車両台帳!$C$57:$C$2056)=0,"",COUNTIF(車両台帳!$BD$57:$BD$2056,BW$3&amp;"-"&amp;331&amp;"A"))</f>
        <v/>
      </c>
      <c r="BX18" s="722" t="str">
        <f>IF(COUNTA(車両台帳!$C$57:$C$2056)=0,"",COUNTIF(車両台帳!$BD$57:$BD$2056,BX$3&amp;"-"&amp;331&amp;"A"))</f>
        <v/>
      </c>
      <c r="BY18" s="722" t="str">
        <f>IF(COUNTA(車両台帳!$C$57:$C$2056)=0,"",COUNTIF(車両台帳!$BD$57:$BD$2056,BY$3&amp;"-"&amp;331&amp;"A"))</f>
        <v/>
      </c>
      <c r="BZ18" s="722" t="str">
        <f>IF(COUNTA(車両台帳!$C$57:$C$2056)=0,"",COUNTIF(車両台帳!$BD$57:$BD$2056,BZ$3&amp;"-"&amp;331&amp;"A"))</f>
        <v/>
      </c>
      <c r="CA18" s="722" t="str">
        <f>IF(COUNTA(車両台帳!$C$57:$C$2056)=0,"",COUNTIF(車両台帳!$BD$57:$BD$2056,CA$3&amp;"-"&amp;331&amp;"A"))</f>
        <v/>
      </c>
      <c r="CB18" s="722" t="str">
        <f>IF(COUNTA(車両台帳!$C$57:$C$2056)=0,"",COUNTIF(車両台帳!$BD$57:$BD$2056,CB$3&amp;"-"&amp;331&amp;"A"))</f>
        <v/>
      </c>
      <c r="CC18" s="722" t="str">
        <f>IF(COUNTA(車両台帳!$C$57:$C$2056)=0,"",COUNTIF(車両台帳!$BD$57:$BD$2056,CC$3&amp;"-"&amp;331&amp;"A"))</f>
        <v/>
      </c>
      <c r="CD18" s="722" t="str">
        <f>IF(COUNTA(車両台帳!$C$57:$C$2056)=0,"",COUNTIF(車両台帳!$BD$57:$BD$2056,CD$3&amp;"-"&amp;331&amp;"A"))</f>
        <v/>
      </c>
      <c r="CE18" s="722" t="str">
        <f>IF(COUNTA(車両台帳!$C$57:$C$2056)=0,"",COUNTIF(車両台帳!$BD$57:$BD$2056,CE$3&amp;"-"&amp;331&amp;"A"))</f>
        <v/>
      </c>
      <c r="CF18" s="722" t="str">
        <f>IF(COUNTA(車両台帳!$C$57:$C$2056)=0,"",COUNTIF(車両台帳!$BD$57:$BD$2056,CF$3&amp;"-"&amp;331&amp;"A"))</f>
        <v/>
      </c>
      <c r="CG18" s="722" t="str">
        <f>IF(COUNTA(車両台帳!$C$57:$C$2056)=0,"",COUNTIF(車両台帳!$BD$57:$BD$2056,CG$3&amp;"-"&amp;331&amp;"A"))</f>
        <v/>
      </c>
      <c r="CH18" s="722" t="str">
        <f>IF(COUNTA(車両台帳!$C$57:$C$2056)=0,"",COUNTIF(車両台帳!$BD$57:$BD$2056,CH$3&amp;"-"&amp;331&amp;"A"))</f>
        <v/>
      </c>
      <c r="CI18" s="722" t="str">
        <f>IF(COUNTA(車両台帳!$C$57:$C$2056)=0,"",COUNTIF(車両台帳!$BD$57:$BD$2056,CI$3&amp;"-"&amp;331&amp;"A"))</f>
        <v/>
      </c>
      <c r="CJ18" s="722" t="str">
        <f>IF(COUNTA(車両台帳!$C$57:$C$2056)=0,"",COUNTIF(車両台帳!$BD$57:$BD$2056,CJ$3&amp;"-"&amp;331&amp;"A"))</f>
        <v/>
      </c>
      <c r="CK18" s="722" t="str">
        <f>IF(COUNTA(車両台帳!$C$57:$C$2056)=0,"",COUNTIF(車両台帳!$BD$57:$BD$2056,CK$3&amp;"-"&amp;331&amp;"A"))</f>
        <v/>
      </c>
      <c r="CL18" s="722" t="str">
        <f>IF(COUNTA(車両台帳!$C$57:$C$2056)=0,"",COUNTIF(車両台帳!$BD$57:$BD$2056,CL$3&amp;"-"&amp;331&amp;"A"))</f>
        <v/>
      </c>
      <c r="CM18" s="722" t="str">
        <f>IF(COUNTA(車両台帳!$C$57:$C$2056)=0,"",COUNTIF(車両台帳!$BD$57:$BD$2056,CM$3&amp;"-"&amp;331&amp;"A"))</f>
        <v/>
      </c>
      <c r="CN18" s="722" t="str">
        <f>IF(COUNTA(車両台帳!$C$57:$C$2056)=0,"",COUNTIF(車両台帳!$BD$57:$BD$2056,CN$3&amp;"-"&amp;331&amp;"A"))</f>
        <v/>
      </c>
      <c r="CO18" s="722" t="str">
        <f>IF(COUNTA(車両台帳!$C$57:$C$2056)=0,"",COUNTIF(車両台帳!$BD$57:$BD$2056,CO$3&amp;"-"&amp;331&amp;"A"))</f>
        <v/>
      </c>
      <c r="CP18" s="722" t="str">
        <f>IF(COUNTA(車両台帳!$C$57:$C$2056)=0,"",COUNTIF(車両台帳!$BD$57:$BD$2056,CP$3&amp;"-"&amp;331&amp;"A"))</f>
        <v/>
      </c>
      <c r="CQ18" s="722" t="str">
        <f>IF(COUNTA(車両台帳!$C$57:$C$2056)=0,"",COUNTIF(車両台帳!$BD$57:$BD$2056,CQ$3&amp;"-"&amp;331&amp;"A"))</f>
        <v/>
      </c>
      <c r="CR18" s="722" t="str">
        <f>IF(COUNTA(車両台帳!$C$57:$C$2056)=0,"",COUNTIF(車両台帳!$BD$57:$BD$2056,CR$3&amp;"-"&amp;331&amp;"A"))</f>
        <v/>
      </c>
      <c r="CS18" s="722" t="str">
        <f>IF(COUNTA(車両台帳!$C$57:$C$2056)=0,"",COUNTIF(車両台帳!$BD$57:$BD$2056,CS$3&amp;"-"&amp;331&amp;"A"))</f>
        <v/>
      </c>
      <c r="CT18" s="722" t="str">
        <f>IF(COUNTA(車両台帳!$C$57:$C$2056)=0,"",COUNTIF(車両台帳!$BD$57:$BD$2056,CT$3&amp;"-"&amp;331&amp;"A"))</f>
        <v/>
      </c>
      <c r="CU18" s="722" t="str">
        <f>IF(COUNTA(車両台帳!$C$57:$C$2056)=0,"",COUNTIF(車両台帳!$BD$57:$BD$2056,CU$3&amp;"-"&amp;331&amp;"A"))</f>
        <v/>
      </c>
      <c r="CV18" s="722" t="str">
        <f>IF(COUNTA(車両台帳!$C$57:$C$2056)=0,"",COUNTIF(車両台帳!$BD$57:$BD$2056,CV$3&amp;"-"&amp;331&amp;"A"))</f>
        <v/>
      </c>
      <c r="CW18" s="722" t="str">
        <f>IF(COUNTA(車両台帳!$C$57:$C$2056)=0,"",COUNTIF(車両台帳!$BD$57:$BD$2056,CW$3&amp;"-"&amp;331&amp;"A"))</f>
        <v/>
      </c>
      <c r="CX18" s="722" t="str">
        <f>IF(COUNTA(車両台帳!$C$57:$C$2056)=0,"",COUNTIF(車両台帳!$BD$57:$BD$2056,CX$3&amp;"-"&amp;331&amp;"A"))</f>
        <v/>
      </c>
      <c r="CY18" s="722" t="str">
        <f>IF(COUNTA(車両台帳!$C$57:$C$2056)=0,"",COUNTIF(車両台帳!$BD$57:$BD$2056,CY$3&amp;"-"&amp;331&amp;"A"))</f>
        <v/>
      </c>
      <c r="CZ18" s="722" t="str">
        <f>IF(COUNTA(車両台帳!$C$57:$C$2056)=0,"",COUNTIF(車両台帳!$BD$57:$BD$2056,CZ$3&amp;"-"&amp;331&amp;"A"))</f>
        <v/>
      </c>
      <c r="DA18" s="722" t="str">
        <f>IF(COUNTA(車両台帳!$C$57:$C$2056)=0,"",COUNTIF(車両台帳!$BD$57:$BD$2056,DA$3&amp;"-"&amp;331&amp;"A"))</f>
        <v/>
      </c>
      <c r="DB18" s="722" t="str">
        <f>IF(COUNTA(車両台帳!$C$57:$C$2056)=0,"",COUNTIF(車両台帳!$BD$57:$BD$2056,DB$3&amp;"-"&amp;331&amp;"A"))</f>
        <v/>
      </c>
      <c r="DC18" s="722" t="str">
        <f>IF(COUNTA(車両台帳!$C$57:$C$2056)=0,"",COUNTIF(車両台帳!$BD$57:$BD$2056,DC$3&amp;"-"&amp;331&amp;"A"))</f>
        <v/>
      </c>
      <c r="DD18" s="722" t="str">
        <f>IF(COUNTA(車両台帳!$C$57:$C$2056)=0,"",COUNTIF(車両台帳!$BD$57:$BD$2056,DD$3&amp;"-"&amp;331&amp;"A"))</f>
        <v/>
      </c>
      <c r="DE18" s="722" t="str">
        <f>IF(COUNTA(車両台帳!$C$57:$C$2056)=0,"",COUNTIF(車両台帳!$BD$57:$BD$2056,DE$3&amp;"-"&amp;331&amp;"A"))</f>
        <v/>
      </c>
      <c r="DF18" s="722" t="str">
        <f>IF(COUNTA(車両台帳!$C$57:$C$2056)=0,"",COUNTIF(車両台帳!$BD$57:$BD$2056,DF$3&amp;"-"&amp;331&amp;"A"))</f>
        <v/>
      </c>
      <c r="DG18" s="722" t="str">
        <f>IF(COUNTA(車両台帳!$C$57:$C$2056)=0,"",COUNTIF(車両台帳!$BD$57:$BD$2056,DG$3&amp;"-"&amp;331&amp;"A"))</f>
        <v/>
      </c>
      <c r="DH18" s="722" t="str">
        <f>IF(COUNTA(車両台帳!$C$57:$C$2056)=0,"",COUNTIF(車両台帳!$BD$57:$BD$2056,DH$3&amp;"-"&amp;331&amp;"A"))</f>
        <v/>
      </c>
      <c r="DI18" s="722" t="str">
        <f>IF(COUNTA(車両台帳!$C$57:$C$2056)=0,"",COUNTIF(車両台帳!$BD$57:$BD$2056,DI$3&amp;"-"&amp;331&amp;"A"))</f>
        <v/>
      </c>
      <c r="DJ18" s="722" t="str">
        <f>IF(COUNTA(車両台帳!$C$57:$C$2056)=0,"",COUNTIF(車両台帳!$BD$57:$BD$2056,DJ$3&amp;"-"&amp;331&amp;"A"))</f>
        <v/>
      </c>
      <c r="DK18" s="722" t="str">
        <f>IF(COUNTA(車両台帳!$C$57:$C$2056)=0,"",COUNTIF(車両台帳!$BD$57:$BD$2056,DK$3&amp;"-"&amp;331&amp;"A"))</f>
        <v/>
      </c>
      <c r="DL18" s="722" t="str">
        <f>IF(COUNTA(車両台帳!$C$57:$C$2056)=0,"",COUNTIF(車両台帳!$BD$57:$BD$2056,DL$3&amp;"-"&amp;331&amp;"A"))</f>
        <v/>
      </c>
      <c r="DM18" s="722" t="str">
        <f>IF(COUNTA(車両台帳!$C$57:$C$2056)=0,"",COUNTIF(車両台帳!$BD$57:$BD$2056,DM$3&amp;"-"&amp;331&amp;"A"))</f>
        <v/>
      </c>
      <c r="DN18" s="722" t="str">
        <f>IF(COUNTA(車両台帳!$C$57:$C$2056)=0,"",COUNTIF(車両台帳!$BD$57:$BD$2056,DN$3&amp;"-"&amp;331&amp;"A"))</f>
        <v/>
      </c>
      <c r="DO18" s="722" t="str">
        <f>IF(COUNTA(車両台帳!$C$57:$C$2056)=0,"",COUNTIF(車両台帳!$BD$57:$BD$2056,DO$3&amp;"-"&amp;331&amp;"A"))</f>
        <v/>
      </c>
      <c r="DP18" s="722" t="str">
        <f>IF(COUNTA(車両台帳!$C$57:$C$2056)=0,"",COUNTIF(車両台帳!$BD$57:$BD$2056,DP$3&amp;"-"&amp;331&amp;"A"))</f>
        <v/>
      </c>
      <c r="DQ18" s="722" t="str">
        <f>IF(COUNTA(車両台帳!$C$57:$C$2056)=0,"",COUNTIF(車両台帳!$BD$57:$BD$2056,DQ$3&amp;"-"&amp;331&amp;"A"))</f>
        <v/>
      </c>
      <c r="DR18" s="722" t="str">
        <f>IF(COUNTA(車両台帳!$C$57:$C$2056)=0,"",COUNTIF(車両台帳!$BD$57:$BD$2056,DR$3&amp;"-"&amp;331&amp;"A"))</f>
        <v/>
      </c>
      <c r="DS18" s="722" t="str">
        <f>IF(COUNTA(車両台帳!$C$57:$C$2056)=0,"",COUNTIF(車両台帳!$BD$57:$BD$2056,DS$3&amp;"-"&amp;331&amp;"A"))</f>
        <v/>
      </c>
      <c r="DT18" s="722" t="str">
        <f>IF(COUNTA(車両台帳!$C$57:$C$2056)=0,"",COUNTIF(車両台帳!$BD$57:$BD$2056,DT$3&amp;"-"&amp;331&amp;"A"))</f>
        <v/>
      </c>
      <c r="DU18" s="722" t="str">
        <f>IF(COUNTA(車両台帳!$C$57:$C$2056)=0,"",COUNTIF(車両台帳!$BD$57:$BD$2056,DU$3&amp;"-"&amp;331&amp;"A"))</f>
        <v/>
      </c>
      <c r="DV18" s="722" t="str">
        <f>IF(COUNTA(車両台帳!$C$57:$C$2056)=0,"",COUNTIF(車両台帳!$BD$57:$BD$2056,DV$3&amp;"-"&amp;331&amp;"A"))</f>
        <v/>
      </c>
      <c r="DW18" s="722" t="str">
        <f>IF(COUNTA(車両台帳!$C$57:$C$2056)=0,"",COUNTIF(車両台帳!$BD$57:$BD$2056,DW$3&amp;"-"&amp;331&amp;"A"))</f>
        <v/>
      </c>
      <c r="DX18" s="722" t="str">
        <f>IF(COUNTA(車両台帳!$C$57:$C$2056)=0,"",COUNTIF(車両台帳!$BD$57:$BD$2056,DX$3&amp;"-"&amp;331&amp;"A"))</f>
        <v/>
      </c>
      <c r="DY18" s="722" t="str">
        <f>IF(COUNTA(車両台帳!$C$57:$C$2056)=0,"",COUNTIF(車両台帳!$BD$57:$BD$2056,DY$3&amp;"-"&amp;331&amp;"A"))</f>
        <v/>
      </c>
      <c r="DZ18" s="722" t="str">
        <f>IF(COUNTA(車両台帳!$C$57:$C$2056)=0,"",COUNTIF(車両台帳!$BD$57:$BD$2056,DZ$3&amp;"-"&amp;331&amp;"A"))</f>
        <v/>
      </c>
      <c r="EA18" s="722" t="str">
        <f>IF(COUNTA(車両台帳!$C$57:$C$2056)=0,"",COUNTIF(車両台帳!$BD$57:$BD$2056,EA$3&amp;"-"&amp;331&amp;"A"))</f>
        <v/>
      </c>
      <c r="EB18" s="722" t="str">
        <f>IF(COUNTA(車両台帳!$C$57:$C$2056)=0,"",COUNTIF(車両台帳!$BD$57:$BD$2056,EB$3&amp;"-"&amp;331&amp;"A"))</f>
        <v/>
      </c>
      <c r="EC18" s="722" t="str">
        <f>IF(COUNTA(車両台帳!$C$57:$C$2056)=0,"",COUNTIF(車両台帳!$BD$57:$BD$2056,EC$3&amp;"-"&amp;331&amp;"A"))</f>
        <v/>
      </c>
      <c r="ED18" s="722" t="str">
        <f>IF(COUNTA(車両台帳!$C$57:$C$2056)=0,"",COUNTIF(車両台帳!$BD$57:$BD$2056,ED$3&amp;"-"&amp;331&amp;"A"))</f>
        <v/>
      </c>
      <c r="EE18" s="722" t="str">
        <f>IF(COUNTA(車両台帳!$C$57:$C$2056)=0,"",COUNTIF(車両台帳!$BD$57:$BD$2056,EE$3&amp;"-"&amp;331&amp;"A"))</f>
        <v/>
      </c>
      <c r="EF18" s="722" t="str">
        <f>IF(COUNTA(車両台帳!$C$57:$C$2056)=0,"",COUNTIF(車両台帳!$BD$57:$BD$2056,EF$3&amp;"-"&amp;331&amp;"A"))</f>
        <v/>
      </c>
      <c r="EG18" s="722" t="str">
        <f>IF(COUNTA(車両台帳!$C$57:$C$2056)=0,"",COUNTIF(車両台帳!$BD$57:$BD$2056,EG$3&amp;"-"&amp;331&amp;"A"))</f>
        <v/>
      </c>
      <c r="EH18" s="722" t="str">
        <f>IF(COUNTA(車両台帳!$C$57:$C$2056)=0,"",COUNTIF(車両台帳!$BD$57:$BD$2056,EH$3&amp;"-"&amp;331&amp;"A"))</f>
        <v/>
      </c>
      <c r="EI18" s="722" t="str">
        <f>IF(COUNTA(車両台帳!$C$57:$C$2056)=0,"",COUNTIF(車両台帳!$BD$57:$BD$2056,EI$3&amp;"-"&amp;331&amp;"A"))</f>
        <v/>
      </c>
      <c r="EJ18" s="722" t="str">
        <f>IF(COUNTA(車両台帳!$C$57:$C$2056)=0,"",COUNTIF(車両台帳!$BD$57:$BD$2056,EJ$3&amp;"-"&amp;331&amp;"A"))</f>
        <v/>
      </c>
      <c r="EK18" s="722" t="str">
        <f>IF(COUNTA(車両台帳!$C$57:$C$2056)=0,"",COUNTIF(車両台帳!$BD$57:$BD$2056,EK$3&amp;"-"&amp;331&amp;"A"))</f>
        <v/>
      </c>
      <c r="EL18" s="722" t="str">
        <f>IF(COUNTA(車両台帳!$C$57:$C$2056)=0,"",COUNTIF(車両台帳!$BD$57:$BD$2056,EL$3&amp;"-"&amp;331&amp;"A"))</f>
        <v/>
      </c>
      <c r="EM18" s="722" t="str">
        <f>IF(COUNTA(車両台帳!$C$57:$C$2056)=0,"",COUNTIF(車両台帳!$BD$57:$BD$2056,EM$3&amp;"-"&amp;331&amp;"A"))</f>
        <v/>
      </c>
      <c r="EN18" s="722" t="str">
        <f>IF(COUNTA(車両台帳!$C$57:$C$2056)=0,"",COUNTIF(車両台帳!$BD$57:$BD$2056,EN$3&amp;"-"&amp;331&amp;"A"))</f>
        <v/>
      </c>
      <c r="EO18" s="722" t="str">
        <f>IF(COUNTA(車両台帳!$C$57:$C$2056)=0,"",COUNTIF(車両台帳!$BD$57:$BD$2056,EO$3&amp;"-"&amp;331&amp;"A"))</f>
        <v/>
      </c>
      <c r="EP18" s="722" t="str">
        <f>IF(COUNTA(車両台帳!$C$57:$C$2056)=0,"",COUNTIF(車両台帳!$BD$57:$BD$2056,EP$3&amp;"-"&amp;331&amp;"A"))</f>
        <v/>
      </c>
      <c r="EQ18" s="722" t="str">
        <f>IF(COUNTA(車両台帳!$C$57:$C$2056)=0,"",COUNTIF(車両台帳!$BD$57:$BD$2056,EQ$3&amp;"-"&amp;331&amp;"A"))</f>
        <v/>
      </c>
      <c r="ER18" s="722" t="str">
        <f>IF(COUNTA(車両台帳!$C$57:$C$2056)=0,"",COUNTIF(車両台帳!$BD$57:$BD$2056,ER$3&amp;"-"&amp;331&amp;"A"))</f>
        <v/>
      </c>
      <c r="ES18" s="722" t="str">
        <f>IF(COUNTA(車両台帳!$C$57:$C$2056)=0,"",COUNTIF(車両台帳!$BD$57:$BD$2056,ES$3&amp;"-"&amp;331&amp;"A"))</f>
        <v/>
      </c>
      <c r="ET18" s="722" t="str">
        <f>IF(COUNTA(車両台帳!$C$57:$C$2056)=0,"",COUNTIF(車両台帳!$BD$57:$BD$2056,ET$3&amp;"-"&amp;331&amp;"A"))</f>
        <v/>
      </c>
      <c r="EU18" s="722" t="str">
        <f>IF(COUNTA(車両台帳!$C$57:$C$2056)=0,"",COUNTIF(車両台帳!$BD$57:$BD$2056,EU$3&amp;"-"&amp;331&amp;"A"))</f>
        <v/>
      </c>
      <c r="EV18" s="722" t="str">
        <f>IF(COUNTA(車両台帳!$C$57:$C$2056)=0,"",COUNTIF(車両台帳!$BD$57:$BD$2056,EV$3&amp;"-"&amp;331&amp;"A"))</f>
        <v/>
      </c>
      <c r="EW18" s="722" t="str">
        <f>IF(COUNTA(車両台帳!$C$57:$C$2056)=0,"",COUNTIF(車両台帳!$BD$57:$BD$2056,EW$3&amp;"-"&amp;331&amp;"A"))</f>
        <v/>
      </c>
      <c r="EX18" s="722" t="str">
        <f>IF(COUNTA(車両台帳!$C$57:$C$2056)=0,"",COUNTIF(車両台帳!$BD$57:$BD$2056,EX$3&amp;"-"&amp;331&amp;"A"))</f>
        <v/>
      </c>
      <c r="EY18" s="722" t="str">
        <f>IF(COUNTA(車両台帳!$C$57:$C$2056)=0,"",COUNTIF(車両台帳!$BD$57:$BD$2056,EY$3&amp;"-"&amp;331&amp;"A"))</f>
        <v/>
      </c>
      <c r="EZ18" s="722" t="str">
        <f>IF(COUNTA(車両台帳!$C$57:$C$2056)=0,"",COUNTIF(車両台帳!$BD$57:$BD$2056,EZ$3&amp;"-"&amp;331&amp;"A"))</f>
        <v/>
      </c>
      <c r="FA18" s="722" t="str">
        <f>IF(COUNTA(車両台帳!$C$57:$C$2056)=0,"",COUNTIF(車両台帳!$BD$57:$BD$2056,FA$3&amp;"-"&amp;331&amp;"A"))</f>
        <v/>
      </c>
      <c r="FB18" s="722" t="str">
        <f>IF(COUNTA(車両台帳!$C$57:$C$2056)=0,"",COUNTIF(車両台帳!$BD$57:$BD$2056,FB$3&amp;"-"&amp;331&amp;"A"))</f>
        <v/>
      </c>
      <c r="FC18" s="722" t="str">
        <f>IF(COUNTA(車両台帳!$C$57:$C$2056)=0,"",COUNTIF(車両台帳!$BD$57:$BD$2056,FC$3&amp;"-"&amp;331&amp;"A"))</f>
        <v/>
      </c>
      <c r="FD18" s="722" t="str">
        <f>IF(COUNTA(車両台帳!$C$57:$C$2056)=0,"",COUNTIF(車両台帳!$BD$57:$BD$2056,FD$3&amp;"-"&amp;331&amp;"A"))</f>
        <v/>
      </c>
      <c r="FE18" s="722" t="str">
        <f>IF(COUNTA(車両台帳!$C$57:$C$2056)=0,"",COUNTIF(車両台帳!$BD$57:$BD$2056,FE$3&amp;"-"&amp;331&amp;"A"))</f>
        <v/>
      </c>
      <c r="FF18" s="722" t="str">
        <f>IF(COUNTA(車両台帳!$C$57:$C$2056)=0,"",COUNTIF(車両台帳!$BD$57:$BD$2056,FF$3&amp;"-"&amp;331&amp;"A"))</f>
        <v/>
      </c>
      <c r="FG18" s="722" t="str">
        <f>IF(COUNTA(車両台帳!$C$57:$C$2056)=0,"",COUNTIF(車両台帳!$BD$57:$BD$2056,FG$3&amp;"-"&amp;331&amp;"A"))</f>
        <v/>
      </c>
      <c r="FH18" s="722" t="str">
        <f>IF(COUNTA(車両台帳!$C$57:$C$2056)=0,"",COUNTIF(車両台帳!$BD$57:$BD$2056,FH$3&amp;"-"&amp;331&amp;"A"))</f>
        <v/>
      </c>
      <c r="FI18" s="722" t="str">
        <f>IF(COUNTA(車両台帳!$C$57:$C$2056)=0,"",COUNTIF(車両台帳!$BD$57:$BD$2056,FI$3&amp;"-"&amp;331&amp;"A"))</f>
        <v/>
      </c>
      <c r="FJ18" s="722" t="str">
        <f>IF(COUNTA(車両台帳!$C$57:$C$2056)=0,"",COUNTIF(車両台帳!$BD$57:$BD$2056,FJ$3&amp;"-"&amp;331&amp;"A"))</f>
        <v/>
      </c>
      <c r="FK18" s="722" t="str">
        <f>IF(COUNTA(車両台帳!$C$57:$C$2056)=0,"",COUNTIF(車両台帳!$BD$57:$BD$2056,FK$3&amp;"-"&amp;331&amp;"A"))</f>
        <v/>
      </c>
      <c r="FL18" s="722" t="str">
        <f>IF(COUNTA(車両台帳!$C$57:$C$2056)=0,"",COUNTIF(車両台帳!$BD$57:$BD$2056,FL$3&amp;"-"&amp;331&amp;"A"))</f>
        <v/>
      </c>
      <c r="FM18" s="722" t="str">
        <f>IF(COUNTA(車両台帳!$C$57:$C$2056)=0,"",COUNTIF(車両台帳!$BD$57:$BD$2056,FM$3&amp;"-"&amp;331&amp;"A"))</f>
        <v/>
      </c>
      <c r="FN18" s="722" t="str">
        <f>IF(COUNTA(車両台帳!$C$57:$C$2056)=0,"",COUNTIF(車両台帳!$BD$57:$BD$2056,FN$3&amp;"-"&amp;331&amp;"A"))</f>
        <v/>
      </c>
      <c r="FO18" s="722" t="str">
        <f>IF(COUNTA(車両台帳!$C$57:$C$2056)=0,"",COUNTIF(車両台帳!$BD$57:$BD$2056,FO$3&amp;"-"&amp;331&amp;"A"))</f>
        <v/>
      </c>
      <c r="FP18" s="722" t="str">
        <f>IF(COUNTA(車両台帳!$C$57:$C$2056)=0,"",COUNTIF(車両台帳!$BD$57:$BD$2056,FP$3&amp;"-"&amp;331&amp;"A"))</f>
        <v/>
      </c>
      <c r="FQ18" s="722" t="str">
        <f>IF(COUNTA(車両台帳!$C$57:$C$2056)=0,"",COUNTIF(車両台帳!$BD$57:$BD$2056,FQ$3&amp;"-"&amp;331&amp;"A"))</f>
        <v/>
      </c>
      <c r="FR18" s="722" t="str">
        <f>IF(COUNTA(車両台帳!$C$57:$C$2056)=0,"",COUNTIF(車両台帳!$BD$57:$BD$2056,FR$3&amp;"-"&amp;331&amp;"A"))</f>
        <v/>
      </c>
      <c r="FS18" s="722" t="str">
        <f>IF(COUNTA(車両台帳!$C$57:$C$2056)=0,"",COUNTIF(車両台帳!$BD$57:$BD$2056,FS$3&amp;"-"&amp;331&amp;"A"))</f>
        <v/>
      </c>
      <c r="FT18" s="722" t="str">
        <f>IF(COUNTA(車両台帳!$C$57:$C$2056)=0,"",COUNTIF(車両台帳!$BD$57:$BD$2056,FT$3&amp;"-"&amp;331&amp;"A"))</f>
        <v/>
      </c>
      <c r="FU18" s="722" t="str">
        <f>IF(COUNTA(車両台帳!$C$57:$C$2056)=0,"",COUNTIF(車両台帳!$BD$57:$BD$2056,FU$3&amp;"-"&amp;331&amp;"A"))</f>
        <v/>
      </c>
      <c r="FV18" s="722" t="str">
        <f>IF(COUNTA(車両台帳!$C$57:$C$2056)=0,"",COUNTIF(車両台帳!$BD$57:$BD$2056,FV$3&amp;"-"&amp;331&amp;"A"))</f>
        <v/>
      </c>
      <c r="FW18" s="722" t="str">
        <f>IF(COUNTA(車両台帳!$C$57:$C$2056)=0,"",COUNTIF(車両台帳!$BD$57:$BD$2056,FW$3&amp;"-"&amp;331&amp;"A"))</f>
        <v/>
      </c>
      <c r="FX18" s="722" t="str">
        <f>IF(COUNTA(車両台帳!$C$57:$C$2056)=0,"",COUNTIF(車両台帳!$BD$57:$BD$2056,FX$3&amp;"-"&amp;331&amp;"A"))</f>
        <v/>
      </c>
      <c r="FY18" s="722" t="str">
        <f>IF(COUNTA(車両台帳!$C$57:$C$2056)=0,"",COUNTIF(車両台帳!$BD$57:$BD$2056,FY$3&amp;"-"&amp;331&amp;"A"))</f>
        <v/>
      </c>
      <c r="FZ18" s="722" t="str">
        <f>IF(COUNTA(車両台帳!$C$57:$C$2056)=0,"",COUNTIF(車両台帳!$BD$57:$BD$2056,FZ$3&amp;"-"&amp;331&amp;"A"))</f>
        <v/>
      </c>
      <c r="GA18" s="722" t="str">
        <f>IF(COUNTA(車両台帳!$C$57:$C$2056)=0,"",COUNTIF(車両台帳!$BD$57:$BD$2056,GA$3&amp;"-"&amp;331&amp;"A"))</f>
        <v/>
      </c>
      <c r="GB18" s="722" t="str">
        <f>IF(COUNTA(車両台帳!$C$57:$C$2056)=0,"",COUNTIF(車両台帳!$BD$57:$BD$2056,GB$3&amp;"-"&amp;331&amp;"A"))</f>
        <v/>
      </c>
      <c r="GC18" s="722" t="str">
        <f>IF(COUNTA(車両台帳!$C$57:$C$2056)=0,"",COUNTIF(車両台帳!$BD$57:$BD$2056,GC$3&amp;"-"&amp;331&amp;"A"))</f>
        <v/>
      </c>
      <c r="GD18" s="722" t="str">
        <f>IF(COUNTA(車両台帳!$C$57:$C$2056)=0,"",COUNTIF(車両台帳!$BD$57:$BD$2056,GD$3&amp;"-"&amp;331&amp;"A"))</f>
        <v/>
      </c>
      <c r="GE18" s="722" t="str">
        <f>IF(COUNTA(車両台帳!$C$57:$C$2056)=0,"",COUNTIF(車両台帳!$BD$57:$BD$2056,GE$3&amp;"-"&amp;331&amp;"A"))</f>
        <v/>
      </c>
      <c r="GF18" s="722" t="str">
        <f>IF(COUNTA(車両台帳!$C$57:$C$2056)=0,"",COUNTIF(車両台帳!$BD$57:$BD$2056,GF$3&amp;"-"&amp;331&amp;"A"))</f>
        <v/>
      </c>
      <c r="GG18" s="722" t="str">
        <f>IF(COUNTA(車両台帳!$C$57:$C$2056)=0,"",COUNTIF(車両台帳!$BD$57:$BD$2056,GG$3&amp;"-"&amp;331&amp;"A"))</f>
        <v/>
      </c>
      <c r="GH18" s="722" t="str">
        <f>IF(COUNTA(車両台帳!$C$57:$C$2056)=0,"",COUNTIF(車両台帳!$BD$57:$BD$2056,GH$3&amp;"-"&amp;331&amp;"A"))</f>
        <v/>
      </c>
      <c r="GI18" s="722" t="str">
        <f>IF(COUNTA(車両台帳!$C$57:$C$2056)=0,"",COUNTIF(車両台帳!$BD$57:$BD$2056,GI$3&amp;"-"&amp;331&amp;"A"))</f>
        <v/>
      </c>
      <c r="GJ18" s="722" t="str">
        <f>IF(COUNTA(車両台帳!$C$57:$C$2056)=0,"",COUNTIF(車両台帳!$BD$57:$BD$2056,GJ$3&amp;"-"&amp;331&amp;"A"))</f>
        <v/>
      </c>
      <c r="GK18" s="722" t="str">
        <f>IF(COUNTA(車両台帳!$C$57:$C$2056)=0,"",COUNTIF(車両台帳!$BD$57:$BD$2056,GK$3&amp;"-"&amp;331&amp;"A"))</f>
        <v/>
      </c>
      <c r="GL18" s="722" t="str">
        <f>IF(COUNTA(車両台帳!$C$57:$C$2056)=0,"",COUNTIF(車両台帳!$BD$57:$BD$2056,GL$3&amp;"-"&amp;331&amp;"A"))</f>
        <v/>
      </c>
      <c r="GM18" s="722" t="str">
        <f>IF(COUNTA(車両台帳!$C$57:$C$2056)=0,"",COUNTIF(車両台帳!$BD$57:$BD$2056,GM$3&amp;"-"&amp;331&amp;"A"))</f>
        <v/>
      </c>
      <c r="GN18" s="722" t="str">
        <f>IF(COUNTA(車両台帳!$C$57:$C$2056)=0,"",COUNTIF(車両台帳!$BD$57:$BD$2056,GN$3&amp;"-"&amp;331&amp;"A"))</f>
        <v/>
      </c>
      <c r="GO18" s="722" t="str">
        <f>IF(COUNTA(車両台帳!$C$57:$C$2056)=0,"",COUNTIF(車両台帳!$BD$57:$BD$2056,GO$3&amp;"-"&amp;331&amp;"A"))</f>
        <v/>
      </c>
      <c r="GP18" s="722" t="str">
        <f>IF(COUNTA(車両台帳!$C$57:$C$2056)=0,"",COUNTIF(車両台帳!$BD$57:$BD$2056,GP$3&amp;"-"&amp;331&amp;"A"))</f>
        <v/>
      </c>
      <c r="GQ18" s="722" t="str">
        <f>IF(COUNTA(車両台帳!$C$57:$C$2056)=0,"",COUNTIF(車両台帳!$BD$57:$BD$2056,GQ$3&amp;"-"&amp;331&amp;"A"))</f>
        <v/>
      </c>
      <c r="GR18" s="722" t="str">
        <f>IF(COUNTA(車両台帳!$C$57:$C$2056)=0,"",COUNTIF(車両台帳!$BD$57:$BD$2056,GR$3&amp;"-"&amp;331&amp;"A"))</f>
        <v/>
      </c>
      <c r="GS18" s="722" t="str">
        <f>IF(COUNTA(車両台帳!$C$57:$C$2056)=0,"",COUNTIF(車両台帳!$BD$57:$BD$2056,GS$3&amp;"-"&amp;331&amp;"A"))</f>
        <v/>
      </c>
      <c r="GT18" s="722" t="str">
        <f>IF(COUNTA(車両台帳!$C$57:$C$2056)=0,"",COUNTIF(車両台帳!$BD$57:$BD$2056,GT$3&amp;"-"&amp;331&amp;"A"))</f>
        <v/>
      </c>
      <c r="GU18" s="723" t="str">
        <f>IF(COUNTA(車両台帳!$C$57:$C$2056)=0,"",COUNTIF(車両台帳!$BD$57:$BD$2056,GU$3&amp;"-"&amp;331&amp;"A"))</f>
        <v/>
      </c>
    </row>
    <row r="19" spans="1:203" s="7" customFormat="1" ht="29.25" customHeight="1">
      <c r="A19" s="1184"/>
      <c r="B19" s="715" t="s">
        <v>51</v>
      </c>
      <c r="C19" s="720" t="str">
        <f>IF(COUNTA(車両台帳!$C$57:$C$2056)=0,"",SUM(D19:GU19))</f>
        <v/>
      </c>
      <c r="D19" s="725" t="str">
        <f>IF(COUNTA(車両台帳!$C$57:$C$2056)=0,"",COUNTIF(車両台帳!$BD$57:$BD$2056,D$3&amp;"-"&amp;332&amp;"A"))</f>
        <v/>
      </c>
      <c r="E19" s="725" t="str">
        <f>IF(COUNTA(車両台帳!$C$57:$C$2056)=0,"",COUNTIF(車両台帳!$BD$57:$BD$2056,E$3&amp;"-"&amp;332&amp;"A"))</f>
        <v/>
      </c>
      <c r="F19" s="725" t="str">
        <f>IF(COUNTA(車両台帳!$C$57:$C$2056)=0,"",COUNTIF(車両台帳!$BD$57:$BD$2056,F$3&amp;"-"&amp;332&amp;"A"))</f>
        <v/>
      </c>
      <c r="G19" s="725" t="str">
        <f>IF(COUNTA(車両台帳!$C$57:$C$2056)=0,"",COUNTIF(車両台帳!$BD$57:$BD$2056,G$3&amp;"-"&amp;332&amp;"A"))</f>
        <v/>
      </c>
      <c r="H19" s="725" t="str">
        <f>IF(COUNTA(車両台帳!$C$57:$C$2056)=0,"",COUNTIF(車両台帳!$BD$57:$BD$2056,H$3&amp;"-"&amp;332&amp;"A"))</f>
        <v/>
      </c>
      <c r="I19" s="725" t="str">
        <f>IF(COUNTA(車両台帳!$C$57:$C$2056)=0,"",COUNTIF(車両台帳!$BD$57:$BD$2056,I$3&amp;"-"&amp;332&amp;"A"))</f>
        <v/>
      </c>
      <c r="J19" s="725" t="str">
        <f>IF(COUNTA(車両台帳!$C$57:$C$2056)=0,"",COUNTIF(車両台帳!$BD$57:$BD$2056,J$3&amp;"-"&amp;332&amp;"A"))</f>
        <v/>
      </c>
      <c r="K19" s="725" t="str">
        <f>IF(COUNTA(車両台帳!$C$57:$C$2056)=0,"",COUNTIF(車両台帳!$BD$57:$BD$2056,K$3&amp;"-"&amp;332&amp;"A"))</f>
        <v/>
      </c>
      <c r="L19" s="725" t="str">
        <f>IF(COUNTA(車両台帳!$C$57:$C$2056)=0,"",COUNTIF(車両台帳!$BD$57:$BD$2056,L$3&amp;"-"&amp;332&amp;"A"))</f>
        <v/>
      </c>
      <c r="M19" s="725" t="str">
        <f>IF(COUNTA(車両台帳!$C$57:$C$2056)=0,"",COUNTIF(車両台帳!$BD$57:$BD$2056,M$3&amp;"-"&amp;332&amp;"A"))</f>
        <v/>
      </c>
      <c r="N19" s="725" t="str">
        <f>IF(COUNTA(車両台帳!$C$57:$C$2056)=0,"",COUNTIF(車両台帳!$BD$57:$BD$2056,N$3&amp;"-"&amp;332&amp;"A"))</f>
        <v/>
      </c>
      <c r="O19" s="725" t="str">
        <f>IF(COUNTA(車両台帳!$C$57:$C$2056)=0,"",COUNTIF(車両台帳!$BD$57:$BD$2056,O$3&amp;"-"&amp;332&amp;"A"))</f>
        <v/>
      </c>
      <c r="P19" s="725" t="str">
        <f>IF(COUNTA(車両台帳!$C$57:$C$2056)=0,"",COUNTIF(車両台帳!$BD$57:$BD$2056,P$3&amp;"-"&amp;332&amp;"A"))</f>
        <v/>
      </c>
      <c r="Q19" s="725" t="str">
        <f>IF(COUNTA(車両台帳!$C$57:$C$2056)=0,"",COUNTIF(車両台帳!$BD$57:$BD$2056,Q$3&amp;"-"&amp;332&amp;"A"))</f>
        <v/>
      </c>
      <c r="R19" s="725" t="str">
        <f>IF(COUNTA(車両台帳!$C$57:$C$2056)=0,"",COUNTIF(車両台帳!$BD$57:$BD$2056,R$3&amp;"-"&amp;332&amp;"A"))</f>
        <v/>
      </c>
      <c r="S19" s="725" t="str">
        <f>IF(COUNTA(車両台帳!$C$57:$C$2056)=0,"",COUNTIF(車両台帳!$BD$57:$BD$2056,S$3&amp;"-"&amp;332&amp;"A"))</f>
        <v/>
      </c>
      <c r="T19" s="725" t="str">
        <f>IF(COUNTA(車両台帳!$C$57:$C$2056)=0,"",COUNTIF(車両台帳!$BD$57:$BD$2056,T$3&amp;"-"&amp;332&amp;"A"))</f>
        <v/>
      </c>
      <c r="U19" s="725" t="str">
        <f>IF(COUNTA(車両台帳!$C$57:$C$2056)=0,"",COUNTIF(車両台帳!$BD$57:$BD$2056,U$3&amp;"-"&amp;332&amp;"A"))</f>
        <v/>
      </c>
      <c r="V19" s="725" t="str">
        <f>IF(COUNTA(車両台帳!$C$57:$C$2056)=0,"",COUNTIF(車両台帳!$BD$57:$BD$2056,V$3&amp;"-"&amp;332&amp;"A"))</f>
        <v/>
      </c>
      <c r="W19" s="725" t="str">
        <f>IF(COUNTA(車両台帳!$C$57:$C$2056)=0,"",COUNTIF(車両台帳!$BD$57:$BD$2056,W$3&amp;"-"&amp;332&amp;"A"))</f>
        <v/>
      </c>
      <c r="X19" s="725" t="str">
        <f>IF(COUNTA(車両台帳!$C$57:$C$2056)=0,"",COUNTIF(車両台帳!$BD$57:$BD$2056,X$3&amp;"-"&amp;332&amp;"A"))</f>
        <v/>
      </c>
      <c r="Y19" s="725" t="str">
        <f>IF(COUNTA(車両台帳!$C$57:$C$2056)=0,"",COUNTIF(車両台帳!$BD$57:$BD$2056,Y$3&amp;"-"&amp;332&amp;"A"))</f>
        <v/>
      </c>
      <c r="Z19" s="725" t="str">
        <f>IF(COUNTA(車両台帳!$C$57:$C$2056)=0,"",COUNTIF(車両台帳!$BD$57:$BD$2056,Z$3&amp;"-"&amp;332&amp;"A"))</f>
        <v/>
      </c>
      <c r="AA19" s="725" t="str">
        <f>IF(COUNTA(車両台帳!$C$57:$C$2056)=0,"",COUNTIF(車両台帳!$BD$57:$BD$2056,AA$3&amp;"-"&amp;332&amp;"A"))</f>
        <v/>
      </c>
      <c r="AB19" s="725" t="str">
        <f>IF(COUNTA(車両台帳!$C$57:$C$2056)=0,"",COUNTIF(車両台帳!$BD$57:$BD$2056,AB$3&amp;"-"&amp;332&amp;"A"))</f>
        <v/>
      </c>
      <c r="AC19" s="725" t="str">
        <f>IF(COUNTA(車両台帳!$C$57:$C$2056)=0,"",COUNTIF(車両台帳!$BD$57:$BD$2056,AC$3&amp;"-"&amp;332&amp;"A"))</f>
        <v/>
      </c>
      <c r="AD19" s="725" t="str">
        <f>IF(COUNTA(車両台帳!$C$57:$C$2056)=0,"",COUNTIF(車両台帳!$BD$57:$BD$2056,AD$3&amp;"-"&amp;332&amp;"A"))</f>
        <v/>
      </c>
      <c r="AE19" s="725" t="str">
        <f>IF(COUNTA(車両台帳!$C$57:$C$2056)=0,"",COUNTIF(車両台帳!$BD$57:$BD$2056,AE$3&amp;"-"&amp;332&amp;"A"))</f>
        <v/>
      </c>
      <c r="AF19" s="725" t="str">
        <f>IF(COUNTA(車両台帳!$C$57:$C$2056)=0,"",COUNTIF(車両台帳!$BD$57:$BD$2056,AF$3&amp;"-"&amp;332&amp;"A"))</f>
        <v/>
      </c>
      <c r="AG19" s="725" t="str">
        <f>IF(COUNTA(車両台帳!$C$57:$C$2056)=0,"",COUNTIF(車両台帳!$BD$57:$BD$2056,AG$3&amp;"-"&amp;332&amp;"A"))</f>
        <v/>
      </c>
      <c r="AH19" s="725" t="str">
        <f>IF(COUNTA(車両台帳!$C$57:$C$2056)=0,"",COUNTIF(車両台帳!$BD$57:$BD$2056,AH$3&amp;"-"&amp;332&amp;"A"))</f>
        <v/>
      </c>
      <c r="AI19" s="725" t="str">
        <f>IF(COUNTA(車両台帳!$C$57:$C$2056)=0,"",COUNTIF(車両台帳!$BD$57:$BD$2056,AI$3&amp;"-"&amp;332&amp;"A"))</f>
        <v/>
      </c>
      <c r="AJ19" s="725" t="str">
        <f>IF(COUNTA(車両台帳!$C$57:$C$2056)=0,"",COUNTIF(車両台帳!$BD$57:$BD$2056,AJ$3&amp;"-"&amp;332&amp;"A"))</f>
        <v/>
      </c>
      <c r="AK19" s="725" t="str">
        <f>IF(COUNTA(車両台帳!$C$57:$C$2056)=0,"",COUNTIF(車両台帳!$BD$57:$BD$2056,AK$3&amp;"-"&amp;332&amp;"A"))</f>
        <v/>
      </c>
      <c r="AL19" s="725" t="str">
        <f>IF(COUNTA(車両台帳!$C$57:$C$2056)=0,"",COUNTIF(車両台帳!$BD$57:$BD$2056,AL$3&amp;"-"&amp;332&amp;"A"))</f>
        <v/>
      </c>
      <c r="AM19" s="725" t="str">
        <f>IF(COUNTA(車両台帳!$C$57:$C$2056)=0,"",COUNTIF(車両台帳!$BD$57:$BD$2056,AM$3&amp;"-"&amp;332&amp;"A"))</f>
        <v/>
      </c>
      <c r="AN19" s="725" t="str">
        <f>IF(COUNTA(車両台帳!$C$57:$C$2056)=0,"",COUNTIF(車両台帳!$BD$57:$BD$2056,AN$3&amp;"-"&amp;332&amp;"A"))</f>
        <v/>
      </c>
      <c r="AO19" s="725" t="str">
        <f>IF(COUNTA(車両台帳!$C$57:$C$2056)=0,"",COUNTIF(車両台帳!$BD$57:$BD$2056,AO$3&amp;"-"&amp;332&amp;"A"))</f>
        <v/>
      </c>
      <c r="AP19" s="725" t="str">
        <f>IF(COUNTA(車両台帳!$C$57:$C$2056)=0,"",COUNTIF(車両台帳!$BD$57:$BD$2056,AP$3&amp;"-"&amp;332&amp;"A"))</f>
        <v/>
      </c>
      <c r="AQ19" s="725" t="str">
        <f>IF(COUNTA(車両台帳!$C$57:$C$2056)=0,"",COUNTIF(車両台帳!$BD$57:$BD$2056,AQ$3&amp;"-"&amp;332&amp;"A"))</f>
        <v/>
      </c>
      <c r="AR19" s="725" t="str">
        <f>IF(COUNTA(車両台帳!$C$57:$C$2056)=0,"",COUNTIF(車両台帳!$BD$57:$BD$2056,AR$3&amp;"-"&amp;332&amp;"A"))</f>
        <v/>
      </c>
      <c r="AS19" s="725" t="str">
        <f>IF(COUNTA(車両台帳!$C$57:$C$2056)=0,"",COUNTIF(車両台帳!$BD$57:$BD$2056,AS$3&amp;"-"&amp;332&amp;"A"))</f>
        <v/>
      </c>
      <c r="AT19" s="725" t="str">
        <f>IF(COUNTA(車両台帳!$C$57:$C$2056)=0,"",COUNTIF(車両台帳!$BD$57:$BD$2056,AT$3&amp;"-"&amp;332&amp;"A"))</f>
        <v/>
      </c>
      <c r="AU19" s="725" t="str">
        <f>IF(COUNTA(車両台帳!$C$57:$C$2056)=0,"",COUNTIF(車両台帳!$BD$57:$BD$2056,AU$3&amp;"-"&amp;332&amp;"A"))</f>
        <v/>
      </c>
      <c r="AV19" s="725" t="str">
        <f>IF(COUNTA(車両台帳!$C$57:$C$2056)=0,"",COUNTIF(車両台帳!$BD$57:$BD$2056,AV$3&amp;"-"&amp;332&amp;"A"))</f>
        <v/>
      </c>
      <c r="AW19" s="725" t="str">
        <f>IF(COUNTA(車両台帳!$C$57:$C$2056)=0,"",COUNTIF(車両台帳!$BD$57:$BD$2056,AW$3&amp;"-"&amp;332&amp;"A"))</f>
        <v/>
      </c>
      <c r="AX19" s="725" t="str">
        <f>IF(COUNTA(車両台帳!$C$57:$C$2056)=0,"",COUNTIF(車両台帳!$BD$57:$BD$2056,AX$3&amp;"-"&amp;332&amp;"A"))</f>
        <v/>
      </c>
      <c r="AY19" s="725" t="str">
        <f>IF(COUNTA(車両台帳!$C$57:$C$2056)=0,"",COUNTIF(車両台帳!$BD$57:$BD$2056,AY$3&amp;"-"&amp;332&amp;"A"))</f>
        <v/>
      </c>
      <c r="AZ19" s="725" t="str">
        <f>IF(COUNTA(車両台帳!$C$57:$C$2056)=0,"",COUNTIF(車両台帳!$BD$57:$BD$2056,AZ$3&amp;"-"&amp;332&amp;"A"))</f>
        <v/>
      </c>
      <c r="BA19" s="725" t="str">
        <f>IF(COUNTA(車両台帳!$C$57:$C$2056)=0,"",COUNTIF(車両台帳!$BD$57:$BD$2056,BA$3&amp;"-"&amp;332&amp;"A"))</f>
        <v/>
      </c>
      <c r="BB19" s="725" t="str">
        <f>IF(COUNTA(車両台帳!$C$57:$C$2056)=0,"",COUNTIF(車両台帳!$BD$57:$BD$2056,BB$3&amp;"-"&amp;332&amp;"A"))</f>
        <v/>
      </c>
      <c r="BC19" s="725" t="str">
        <f>IF(COUNTA(車両台帳!$C$57:$C$2056)=0,"",COUNTIF(車両台帳!$BD$57:$BD$2056,BC$3&amp;"-"&amp;332&amp;"A"))</f>
        <v/>
      </c>
      <c r="BD19" s="725" t="str">
        <f>IF(COUNTA(車両台帳!$C$57:$C$2056)=0,"",COUNTIF(車両台帳!$BD$57:$BD$2056,BD$3&amp;"-"&amp;332&amp;"A"))</f>
        <v/>
      </c>
      <c r="BE19" s="725" t="str">
        <f>IF(COUNTA(車両台帳!$C$57:$C$2056)=0,"",COUNTIF(車両台帳!$BD$57:$BD$2056,BE$3&amp;"-"&amp;332&amp;"A"))</f>
        <v/>
      </c>
      <c r="BF19" s="725" t="str">
        <f>IF(COUNTA(車両台帳!$C$57:$C$2056)=0,"",COUNTIF(車両台帳!$BD$57:$BD$2056,BF$3&amp;"-"&amp;332&amp;"A"))</f>
        <v/>
      </c>
      <c r="BG19" s="725" t="str">
        <f>IF(COUNTA(車両台帳!$C$57:$C$2056)=0,"",COUNTIF(車両台帳!$BD$57:$BD$2056,BG$3&amp;"-"&amp;332&amp;"A"))</f>
        <v/>
      </c>
      <c r="BH19" s="725" t="str">
        <f>IF(COUNTA(車両台帳!$C$57:$C$2056)=0,"",COUNTIF(車両台帳!$BD$57:$BD$2056,BH$3&amp;"-"&amp;332&amp;"A"))</f>
        <v/>
      </c>
      <c r="BI19" s="725" t="str">
        <f>IF(COUNTA(車両台帳!$C$57:$C$2056)=0,"",COUNTIF(車両台帳!$BD$57:$BD$2056,BI$3&amp;"-"&amp;332&amp;"A"))</f>
        <v/>
      </c>
      <c r="BJ19" s="725" t="str">
        <f>IF(COUNTA(車両台帳!$C$57:$C$2056)=0,"",COUNTIF(車両台帳!$BD$57:$BD$2056,BJ$3&amp;"-"&amp;332&amp;"A"))</f>
        <v/>
      </c>
      <c r="BK19" s="725" t="str">
        <f>IF(COUNTA(車両台帳!$C$57:$C$2056)=0,"",COUNTIF(車両台帳!$BD$57:$BD$2056,BK$3&amp;"-"&amp;332&amp;"A"))</f>
        <v/>
      </c>
      <c r="BL19" s="725" t="str">
        <f>IF(COUNTA(車両台帳!$C$57:$C$2056)=0,"",COUNTIF(車両台帳!$BD$57:$BD$2056,BL$3&amp;"-"&amp;332&amp;"A"))</f>
        <v/>
      </c>
      <c r="BM19" s="725" t="str">
        <f>IF(COUNTA(車両台帳!$C$57:$C$2056)=0,"",COUNTIF(車両台帳!$BD$57:$BD$2056,BM$3&amp;"-"&amp;332&amp;"A"))</f>
        <v/>
      </c>
      <c r="BN19" s="725" t="str">
        <f>IF(COUNTA(車両台帳!$C$57:$C$2056)=0,"",COUNTIF(車両台帳!$BD$57:$BD$2056,BN$3&amp;"-"&amp;332&amp;"A"))</f>
        <v/>
      </c>
      <c r="BO19" s="725" t="str">
        <f>IF(COUNTA(車両台帳!$C$57:$C$2056)=0,"",COUNTIF(車両台帳!$BD$57:$BD$2056,BO$3&amp;"-"&amp;332&amp;"A"))</f>
        <v/>
      </c>
      <c r="BP19" s="725" t="str">
        <f>IF(COUNTA(車両台帳!$C$57:$C$2056)=0,"",COUNTIF(車両台帳!$BD$57:$BD$2056,BP$3&amp;"-"&amp;332&amp;"A"))</f>
        <v/>
      </c>
      <c r="BQ19" s="725" t="str">
        <f>IF(COUNTA(車両台帳!$C$57:$C$2056)=0,"",COUNTIF(車両台帳!$BD$57:$BD$2056,BQ$3&amp;"-"&amp;332&amp;"A"))</f>
        <v/>
      </c>
      <c r="BR19" s="725" t="str">
        <f>IF(COUNTA(車両台帳!$C$57:$C$2056)=0,"",COUNTIF(車両台帳!$BD$57:$BD$2056,BR$3&amp;"-"&amp;332&amp;"A"))</f>
        <v/>
      </c>
      <c r="BS19" s="725" t="str">
        <f>IF(COUNTA(車両台帳!$C$57:$C$2056)=0,"",COUNTIF(車両台帳!$BD$57:$BD$2056,BS$3&amp;"-"&amp;332&amp;"A"))</f>
        <v/>
      </c>
      <c r="BT19" s="725" t="str">
        <f>IF(COUNTA(車両台帳!$C$57:$C$2056)=0,"",COUNTIF(車両台帳!$BD$57:$BD$2056,BT$3&amp;"-"&amp;332&amp;"A"))</f>
        <v/>
      </c>
      <c r="BU19" s="725" t="str">
        <f>IF(COUNTA(車両台帳!$C$57:$C$2056)=0,"",COUNTIF(車両台帳!$BD$57:$BD$2056,BU$3&amp;"-"&amp;332&amp;"A"))</f>
        <v/>
      </c>
      <c r="BV19" s="725" t="str">
        <f>IF(COUNTA(車両台帳!$C$57:$C$2056)=0,"",COUNTIF(車両台帳!$BD$57:$BD$2056,BV$3&amp;"-"&amp;332&amp;"A"))</f>
        <v/>
      </c>
      <c r="BW19" s="725" t="str">
        <f>IF(COUNTA(車両台帳!$C$57:$C$2056)=0,"",COUNTIF(車両台帳!$BD$57:$BD$2056,BW$3&amp;"-"&amp;332&amp;"A"))</f>
        <v/>
      </c>
      <c r="BX19" s="725" t="str">
        <f>IF(COUNTA(車両台帳!$C$57:$C$2056)=0,"",COUNTIF(車両台帳!$BD$57:$BD$2056,BX$3&amp;"-"&amp;332&amp;"A"))</f>
        <v/>
      </c>
      <c r="BY19" s="725" t="str">
        <f>IF(COUNTA(車両台帳!$C$57:$C$2056)=0,"",COUNTIF(車両台帳!$BD$57:$BD$2056,BY$3&amp;"-"&amp;332&amp;"A"))</f>
        <v/>
      </c>
      <c r="BZ19" s="725" t="str">
        <f>IF(COUNTA(車両台帳!$C$57:$C$2056)=0,"",COUNTIF(車両台帳!$BD$57:$BD$2056,BZ$3&amp;"-"&amp;332&amp;"A"))</f>
        <v/>
      </c>
      <c r="CA19" s="725" t="str">
        <f>IF(COUNTA(車両台帳!$C$57:$C$2056)=0,"",COUNTIF(車両台帳!$BD$57:$BD$2056,CA$3&amp;"-"&amp;332&amp;"A"))</f>
        <v/>
      </c>
      <c r="CB19" s="725" t="str">
        <f>IF(COUNTA(車両台帳!$C$57:$C$2056)=0,"",COUNTIF(車両台帳!$BD$57:$BD$2056,CB$3&amp;"-"&amp;332&amp;"A"))</f>
        <v/>
      </c>
      <c r="CC19" s="725" t="str">
        <f>IF(COUNTA(車両台帳!$C$57:$C$2056)=0,"",COUNTIF(車両台帳!$BD$57:$BD$2056,CC$3&amp;"-"&amp;332&amp;"A"))</f>
        <v/>
      </c>
      <c r="CD19" s="725" t="str">
        <f>IF(COUNTA(車両台帳!$C$57:$C$2056)=0,"",COUNTIF(車両台帳!$BD$57:$BD$2056,CD$3&amp;"-"&amp;332&amp;"A"))</f>
        <v/>
      </c>
      <c r="CE19" s="725" t="str">
        <f>IF(COUNTA(車両台帳!$C$57:$C$2056)=0,"",COUNTIF(車両台帳!$BD$57:$BD$2056,CE$3&amp;"-"&amp;332&amp;"A"))</f>
        <v/>
      </c>
      <c r="CF19" s="725" t="str">
        <f>IF(COUNTA(車両台帳!$C$57:$C$2056)=0,"",COUNTIF(車両台帳!$BD$57:$BD$2056,CF$3&amp;"-"&amp;332&amp;"A"))</f>
        <v/>
      </c>
      <c r="CG19" s="725" t="str">
        <f>IF(COUNTA(車両台帳!$C$57:$C$2056)=0,"",COUNTIF(車両台帳!$BD$57:$BD$2056,CG$3&amp;"-"&amp;332&amp;"A"))</f>
        <v/>
      </c>
      <c r="CH19" s="725" t="str">
        <f>IF(COUNTA(車両台帳!$C$57:$C$2056)=0,"",COUNTIF(車両台帳!$BD$57:$BD$2056,CH$3&amp;"-"&amp;332&amp;"A"))</f>
        <v/>
      </c>
      <c r="CI19" s="725" t="str">
        <f>IF(COUNTA(車両台帳!$C$57:$C$2056)=0,"",COUNTIF(車両台帳!$BD$57:$BD$2056,CI$3&amp;"-"&amp;332&amp;"A"))</f>
        <v/>
      </c>
      <c r="CJ19" s="725" t="str">
        <f>IF(COUNTA(車両台帳!$C$57:$C$2056)=0,"",COUNTIF(車両台帳!$BD$57:$BD$2056,CJ$3&amp;"-"&amp;332&amp;"A"))</f>
        <v/>
      </c>
      <c r="CK19" s="725" t="str">
        <f>IF(COUNTA(車両台帳!$C$57:$C$2056)=0,"",COUNTIF(車両台帳!$BD$57:$BD$2056,CK$3&amp;"-"&amp;332&amp;"A"))</f>
        <v/>
      </c>
      <c r="CL19" s="725" t="str">
        <f>IF(COUNTA(車両台帳!$C$57:$C$2056)=0,"",COUNTIF(車両台帳!$BD$57:$BD$2056,CL$3&amp;"-"&amp;332&amp;"A"))</f>
        <v/>
      </c>
      <c r="CM19" s="725" t="str">
        <f>IF(COUNTA(車両台帳!$C$57:$C$2056)=0,"",COUNTIF(車両台帳!$BD$57:$BD$2056,CM$3&amp;"-"&amp;332&amp;"A"))</f>
        <v/>
      </c>
      <c r="CN19" s="725" t="str">
        <f>IF(COUNTA(車両台帳!$C$57:$C$2056)=0,"",COUNTIF(車両台帳!$BD$57:$BD$2056,CN$3&amp;"-"&amp;332&amp;"A"))</f>
        <v/>
      </c>
      <c r="CO19" s="725" t="str">
        <f>IF(COUNTA(車両台帳!$C$57:$C$2056)=0,"",COUNTIF(車両台帳!$BD$57:$BD$2056,CO$3&amp;"-"&amp;332&amp;"A"))</f>
        <v/>
      </c>
      <c r="CP19" s="725" t="str">
        <f>IF(COUNTA(車両台帳!$C$57:$C$2056)=0,"",COUNTIF(車両台帳!$BD$57:$BD$2056,CP$3&amp;"-"&amp;332&amp;"A"))</f>
        <v/>
      </c>
      <c r="CQ19" s="725" t="str">
        <f>IF(COUNTA(車両台帳!$C$57:$C$2056)=0,"",COUNTIF(車両台帳!$BD$57:$BD$2056,CQ$3&amp;"-"&amp;332&amp;"A"))</f>
        <v/>
      </c>
      <c r="CR19" s="725" t="str">
        <f>IF(COUNTA(車両台帳!$C$57:$C$2056)=0,"",COUNTIF(車両台帳!$BD$57:$BD$2056,CR$3&amp;"-"&amp;332&amp;"A"))</f>
        <v/>
      </c>
      <c r="CS19" s="725" t="str">
        <f>IF(COUNTA(車両台帳!$C$57:$C$2056)=0,"",COUNTIF(車両台帳!$BD$57:$BD$2056,CS$3&amp;"-"&amp;332&amp;"A"))</f>
        <v/>
      </c>
      <c r="CT19" s="725" t="str">
        <f>IF(COUNTA(車両台帳!$C$57:$C$2056)=0,"",COUNTIF(車両台帳!$BD$57:$BD$2056,CT$3&amp;"-"&amp;332&amp;"A"))</f>
        <v/>
      </c>
      <c r="CU19" s="725" t="str">
        <f>IF(COUNTA(車両台帳!$C$57:$C$2056)=0,"",COUNTIF(車両台帳!$BD$57:$BD$2056,CU$3&amp;"-"&amp;332&amp;"A"))</f>
        <v/>
      </c>
      <c r="CV19" s="725" t="str">
        <f>IF(COUNTA(車両台帳!$C$57:$C$2056)=0,"",COUNTIF(車両台帳!$BD$57:$BD$2056,CV$3&amp;"-"&amp;332&amp;"A"))</f>
        <v/>
      </c>
      <c r="CW19" s="725" t="str">
        <f>IF(COUNTA(車両台帳!$C$57:$C$2056)=0,"",COUNTIF(車両台帳!$BD$57:$BD$2056,CW$3&amp;"-"&amp;332&amp;"A"))</f>
        <v/>
      </c>
      <c r="CX19" s="725" t="str">
        <f>IF(COUNTA(車両台帳!$C$57:$C$2056)=0,"",COUNTIF(車両台帳!$BD$57:$BD$2056,CX$3&amp;"-"&amp;332&amp;"A"))</f>
        <v/>
      </c>
      <c r="CY19" s="725" t="str">
        <f>IF(COUNTA(車両台帳!$C$57:$C$2056)=0,"",COUNTIF(車両台帳!$BD$57:$BD$2056,CY$3&amp;"-"&amp;332&amp;"A"))</f>
        <v/>
      </c>
      <c r="CZ19" s="725" t="str">
        <f>IF(COUNTA(車両台帳!$C$57:$C$2056)=0,"",COUNTIF(車両台帳!$BD$57:$BD$2056,CZ$3&amp;"-"&amp;332&amp;"A"))</f>
        <v/>
      </c>
      <c r="DA19" s="725" t="str">
        <f>IF(COUNTA(車両台帳!$C$57:$C$2056)=0,"",COUNTIF(車両台帳!$BD$57:$BD$2056,DA$3&amp;"-"&amp;332&amp;"A"))</f>
        <v/>
      </c>
      <c r="DB19" s="725" t="str">
        <f>IF(COUNTA(車両台帳!$C$57:$C$2056)=0,"",COUNTIF(車両台帳!$BD$57:$BD$2056,DB$3&amp;"-"&amp;332&amp;"A"))</f>
        <v/>
      </c>
      <c r="DC19" s="725" t="str">
        <f>IF(COUNTA(車両台帳!$C$57:$C$2056)=0,"",COUNTIF(車両台帳!$BD$57:$BD$2056,DC$3&amp;"-"&amp;332&amp;"A"))</f>
        <v/>
      </c>
      <c r="DD19" s="725" t="str">
        <f>IF(COUNTA(車両台帳!$C$57:$C$2056)=0,"",COUNTIF(車両台帳!$BD$57:$BD$2056,DD$3&amp;"-"&amp;332&amp;"A"))</f>
        <v/>
      </c>
      <c r="DE19" s="725" t="str">
        <f>IF(COUNTA(車両台帳!$C$57:$C$2056)=0,"",COUNTIF(車両台帳!$BD$57:$BD$2056,DE$3&amp;"-"&amp;332&amp;"A"))</f>
        <v/>
      </c>
      <c r="DF19" s="725" t="str">
        <f>IF(COUNTA(車両台帳!$C$57:$C$2056)=0,"",COUNTIF(車両台帳!$BD$57:$BD$2056,DF$3&amp;"-"&amp;332&amp;"A"))</f>
        <v/>
      </c>
      <c r="DG19" s="725" t="str">
        <f>IF(COUNTA(車両台帳!$C$57:$C$2056)=0,"",COUNTIF(車両台帳!$BD$57:$BD$2056,DG$3&amp;"-"&amp;332&amp;"A"))</f>
        <v/>
      </c>
      <c r="DH19" s="725" t="str">
        <f>IF(COUNTA(車両台帳!$C$57:$C$2056)=0,"",COUNTIF(車両台帳!$BD$57:$BD$2056,DH$3&amp;"-"&amp;332&amp;"A"))</f>
        <v/>
      </c>
      <c r="DI19" s="725" t="str">
        <f>IF(COUNTA(車両台帳!$C$57:$C$2056)=0,"",COUNTIF(車両台帳!$BD$57:$BD$2056,DI$3&amp;"-"&amp;332&amp;"A"))</f>
        <v/>
      </c>
      <c r="DJ19" s="725" t="str">
        <f>IF(COUNTA(車両台帳!$C$57:$C$2056)=0,"",COUNTIF(車両台帳!$BD$57:$BD$2056,DJ$3&amp;"-"&amp;332&amp;"A"))</f>
        <v/>
      </c>
      <c r="DK19" s="725" t="str">
        <f>IF(COUNTA(車両台帳!$C$57:$C$2056)=0,"",COUNTIF(車両台帳!$BD$57:$BD$2056,DK$3&amp;"-"&amp;332&amp;"A"))</f>
        <v/>
      </c>
      <c r="DL19" s="725" t="str">
        <f>IF(COUNTA(車両台帳!$C$57:$C$2056)=0,"",COUNTIF(車両台帳!$BD$57:$BD$2056,DL$3&amp;"-"&amp;332&amp;"A"))</f>
        <v/>
      </c>
      <c r="DM19" s="725" t="str">
        <f>IF(COUNTA(車両台帳!$C$57:$C$2056)=0,"",COUNTIF(車両台帳!$BD$57:$BD$2056,DM$3&amp;"-"&amp;332&amp;"A"))</f>
        <v/>
      </c>
      <c r="DN19" s="725" t="str">
        <f>IF(COUNTA(車両台帳!$C$57:$C$2056)=0,"",COUNTIF(車両台帳!$BD$57:$BD$2056,DN$3&amp;"-"&amp;332&amp;"A"))</f>
        <v/>
      </c>
      <c r="DO19" s="725" t="str">
        <f>IF(COUNTA(車両台帳!$C$57:$C$2056)=0,"",COUNTIF(車両台帳!$BD$57:$BD$2056,DO$3&amp;"-"&amp;332&amp;"A"))</f>
        <v/>
      </c>
      <c r="DP19" s="725" t="str">
        <f>IF(COUNTA(車両台帳!$C$57:$C$2056)=0,"",COUNTIF(車両台帳!$BD$57:$BD$2056,DP$3&amp;"-"&amp;332&amp;"A"))</f>
        <v/>
      </c>
      <c r="DQ19" s="725" t="str">
        <f>IF(COUNTA(車両台帳!$C$57:$C$2056)=0,"",COUNTIF(車両台帳!$BD$57:$BD$2056,DQ$3&amp;"-"&amp;332&amp;"A"))</f>
        <v/>
      </c>
      <c r="DR19" s="725" t="str">
        <f>IF(COUNTA(車両台帳!$C$57:$C$2056)=0,"",COUNTIF(車両台帳!$BD$57:$BD$2056,DR$3&amp;"-"&amp;332&amp;"A"))</f>
        <v/>
      </c>
      <c r="DS19" s="725" t="str">
        <f>IF(COUNTA(車両台帳!$C$57:$C$2056)=0,"",COUNTIF(車両台帳!$BD$57:$BD$2056,DS$3&amp;"-"&amp;332&amp;"A"))</f>
        <v/>
      </c>
      <c r="DT19" s="725" t="str">
        <f>IF(COUNTA(車両台帳!$C$57:$C$2056)=0,"",COUNTIF(車両台帳!$BD$57:$BD$2056,DT$3&amp;"-"&amp;332&amp;"A"))</f>
        <v/>
      </c>
      <c r="DU19" s="725" t="str">
        <f>IF(COUNTA(車両台帳!$C$57:$C$2056)=0,"",COUNTIF(車両台帳!$BD$57:$BD$2056,DU$3&amp;"-"&amp;332&amp;"A"))</f>
        <v/>
      </c>
      <c r="DV19" s="725" t="str">
        <f>IF(COUNTA(車両台帳!$C$57:$C$2056)=0,"",COUNTIF(車両台帳!$BD$57:$BD$2056,DV$3&amp;"-"&amp;332&amp;"A"))</f>
        <v/>
      </c>
      <c r="DW19" s="725" t="str">
        <f>IF(COUNTA(車両台帳!$C$57:$C$2056)=0,"",COUNTIF(車両台帳!$BD$57:$BD$2056,DW$3&amp;"-"&amp;332&amp;"A"))</f>
        <v/>
      </c>
      <c r="DX19" s="725" t="str">
        <f>IF(COUNTA(車両台帳!$C$57:$C$2056)=0,"",COUNTIF(車両台帳!$BD$57:$BD$2056,DX$3&amp;"-"&amp;332&amp;"A"))</f>
        <v/>
      </c>
      <c r="DY19" s="725" t="str">
        <f>IF(COUNTA(車両台帳!$C$57:$C$2056)=0,"",COUNTIF(車両台帳!$BD$57:$BD$2056,DY$3&amp;"-"&amp;332&amp;"A"))</f>
        <v/>
      </c>
      <c r="DZ19" s="725" t="str">
        <f>IF(COUNTA(車両台帳!$C$57:$C$2056)=0,"",COUNTIF(車両台帳!$BD$57:$BD$2056,DZ$3&amp;"-"&amp;332&amp;"A"))</f>
        <v/>
      </c>
      <c r="EA19" s="725" t="str">
        <f>IF(COUNTA(車両台帳!$C$57:$C$2056)=0,"",COUNTIF(車両台帳!$BD$57:$BD$2056,EA$3&amp;"-"&amp;332&amp;"A"))</f>
        <v/>
      </c>
      <c r="EB19" s="725" t="str">
        <f>IF(COUNTA(車両台帳!$C$57:$C$2056)=0,"",COUNTIF(車両台帳!$BD$57:$BD$2056,EB$3&amp;"-"&amp;332&amp;"A"))</f>
        <v/>
      </c>
      <c r="EC19" s="725" t="str">
        <f>IF(COUNTA(車両台帳!$C$57:$C$2056)=0,"",COUNTIF(車両台帳!$BD$57:$BD$2056,EC$3&amp;"-"&amp;332&amp;"A"))</f>
        <v/>
      </c>
      <c r="ED19" s="725" t="str">
        <f>IF(COUNTA(車両台帳!$C$57:$C$2056)=0,"",COUNTIF(車両台帳!$BD$57:$BD$2056,ED$3&amp;"-"&amp;332&amp;"A"))</f>
        <v/>
      </c>
      <c r="EE19" s="725" t="str">
        <f>IF(COUNTA(車両台帳!$C$57:$C$2056)=0,"",COUNTIF(車両台帳!$BD$57:$BD$2056,EE$3&amp;"-"&amp;332&amp;"A"))</f>
        <v/>
      </c>
      <c r="EF19" s="725" t="str">
        <f>IF(COUNTA(車両台帳!$C$57:$C$2056)=0,"",COUNTIF(車両台帳!$BD$57:$BD$2056,EF$3&amp;"-"&amp;332&amp;"A"))</f>
        <v/>
      </c>
      <c r="EG19" s="725" t="str">
        <f>IF(COUNTA(車両台帳!$C$57:$C$2056)=0,"",COUNTIF(車両台帳!$BD$57:$BD$2056,EG$3&amp;"-"&amp;332&amp;"A"))</f>
        <v/>
      </c>
      <c r="EH19" s="725" t="str">
        <f>IF(COUNTA(車両台帳!$C$57:$C$2056)=0,"",COUNTIF(車両台帳!$BD$57:$BD$2056,EH$3&amp;"-"&amp;332&amp;"A"))</f>
        <v/>
      </c>
      <c r="EI19" s="725" t="str">
        <f>IF(COUNTA(車両台帳!$C$57:$C$2056)=0,"",COUNTIF(車両台帳!$BD$57:$BD$2056,EI$3&amp;"-"&amp;332&amp;"A"))</f>
        <v/>
      </c>
      <c r="EJ19" s="725" t="str">
        <f>IF(COUNTA(車両台帳!$C$57:$C$2056)=0,"",COUNTIF(車両台帳!$BD$57:$BD$2056,EJ$3&amp;"-"&amp;332&amp;"A"))</f>
        <v/>
      </c>
      <c r="EK19" s="725" t="str">
        <f>IF(COUNTA(車両台帳!$C$57:$C$2056)=0,"",COUNTIF(車両台帳!$BD$57:$BD$2056,EK$3&amp;"-"&amp;332&amp;"A"))</f>
        <v/>
      </c>
      <c r="EL19" s="725" t="str">
        <f>IF(COUNTA(車両台帳!$C$57:$C$2056)=0,"",COUNTIF(車両台帳!$BD$57:$BD$2056,EL$3&amp;"-"&amp;332&amp;"A"))</f>
        <v/>
      </c>
      <c r="EM19" s="725" t="str">
        <f>IF(COUNTA(車両台帳!$C$57:$C$2056)=0,"",COUNTIF(車両台帳!$BD$57:$BD$2056,EM$3&amp;"-"&amp;332&amp;"A"))</f>
        <v/>
      </c>
      <c r="EN19" s="725" t="str">
        <f>IF(COUNTA(車両台帳!$C$57:$C$2056)=0,"",COUNTIF(車両台帳!$BD$57:$BD$2056,EN$3&amp;"-"&amp;332&amp;"A"))</f>
        <v/>
      </c>
      <c r="EO19" s="725" t="str">
        <f>IF(COUNTA(車両台帳!$C$57:$C$2056)=0,"",COUNTIF(車両台帳!$BD$57:$BD$2056,EO$3&amp;"-"&amp;332&amp;"A"))</f>
        <v/>
      </c>
      <c r="EP19" s="725" t="str">
        <f>IF(COUNTA(車両台帳!$C$57:$C$2056)=0,"",COUNTIF(車両台帳!$BD$57:$BD$2056,EP$3&amp;"-"&amp;332&amp;"A"))</f>
        <v/>
      </c>
      <c r="EQ19" s="725" t="str">
        <f>IF(COUNTA(車両台帳!$C$57:$C$2056)=0,"",COUNTIF(車両台帳!$BD$57:$BD$2056,EQ$3&amp;"-"&amp;332&amp;"A"))</f>
        <v/>
      </c>
      <c r="ER19" s="725" t="str">
        <f>IF(COUNTA(車両台帳!$C$57:$C$2056)=0,"",COUNTIF(車両台帳!$BD$57:$BD$2056,ER$3&amp;"-"&amp;332&amp;"A"))</f>
        <v/>
      </c>
      <c r="ES19" s="725" t="str">
        <f>IF(COUNTA(車両台帳!$C$57:$C$2056)=0,"",COUNTIF(車両台帳!$BD$57:$BD$2056,ES$3&amp;"-"&amp;332&amp;"A"))</f>
        <v/>
      </c>
      <c r="ET19" s="725" t="str">
        <f>IF(COUNTA(車両台帳!$C$57:$C$2056)=0,"",COUNTIF(車両台帳!$BD$57:$BD$2056,ET$3&amp;"-"&amp;332&amp;"A"))</f>
        <v/>
      </c>
      <c r="EU19" s="725" t="str">
        <f>IF(COUNTA(車両台帳!$C$57:$C$2056)=0,"",COUNTIF(車両台帳!$BD$57:$BD$2056,EU$3&amp;"-"&amp;332&amp;"A"))</f>
        <v/>
      </c>
      <c r="EV19" s="725" t="str">
        <f>IF(COUNTA(車両台帳!$C$57:$C$2056)=0,"",COUNTIF(車両台帳!$BD$57:$BD$2056,EV$3&amp;"-"&amp;332&amp;"A"))</f>
        <v/>
      </c>
      <c r="EW19" s="725" t="str">
        <f>IF(COUNTA(車両台帳!$C$57:$C$2056)=0,"",COUNTIF(車両台帳!$BD$57:$BD$2056,EW$3&amp;"-"&amp;332&amp;"A"))</f>
        <v/>
      </c>
      <c r="EX19" s="725" t="str">
        <f>IF(COUNTA(車両台帳!$C$57:$C$2056)=0,"",COUNTIF(車両台帳!$BD$57:$BD$2056,EX$3&amp;"-"&amp;332&amp;"A"))</f>
        <v/>
      </c>
      <c r="EY19" s="725" t="str">
        <f>IF(COUNTA(車両台帳!$C$57:$C$2056)=0,"",COUNTIF(車両台帳!$BD$57:$BD$2056,EY$3&amp;"-"&amp;332&amp;"A"))</f>
        <v/>
      </c>
      <c r="EZ19" s="725" t="str">
        <f>IF(COUNTA(車両台帳!$C$57:$C$2056)=0,"",COUNTIF(車両台帳!$BD$57:$BD$2056,EZ$3&amp;"-"&amp;332&amp;"A"))</f>
        <v/>
      </c>
      <c r="FA19" s="725" t="str">
        <f>IF(COUNTA(車両台帳!$C$57:$C$2056)=0,"",COUNTIF(車両台帳!$BD$57:$BD$2056,FA$3&amp;"-"&amp;332&amp;"A"))</f>
        <v/>
      </c>
      <c r="FB19" s="725" t="str">
        <f>IF(COUNTA(車両台帳!$C$57:$C$2056)=0,"",COUNTIF(車両台帳!$BD$57:$BD$2056,FB$3&amp;"-"&amp;332&amp;"A"))</f>
        <v/>
      </c>
      <c r="FC19" s="725" t="str">
        <f>IF(COUNTA(車両台帳!$C$57:$C$2056)=0,"",COUNTIF(車両台帳!$BD$57:$BD$2056,FC$3&amp;"-"&amp;332&amp;"A"))</f>
        <v/>
      </c>
      <c r="FD19" s="725" t="str">
        <f>IF(COUNTA(車両台帳!$C$57:$C$2056)=0,"",COUNTIF(車両台帳!$BD$57:$BD$2056,FD$3&amp;"-"&amp;332&amp;"A"))</f>
        <v/>
      </c>
      <c r="FE19" s="725" t="str">
        <f>IF(COUNTA(車両台帳!$C$57:$C$2056)=0,"",COUNTIF(車両台帳!$BD$57:$BD$2056,FE$3&amp;"-"&amp;332&amp;"A"))</f>
        <v/>
      </c>
      <c r="FF19" s="725" t="str">
        <f>IF(COUNTA(車両台帳!$C$57:$C$2056)=0,"",COUNTIF(車両台帳!$BD$57:$BD$2056,FF$3&amp;"-"&amp;332&amp;"A"))</f>
        <v/>
      </c>
      <c r="FG19" s="725" t="str">
        <f>IF(COUNTA(車両台帳!$C$57:$C$2056)=0,"",COUNTIF(車両台帳!$BD$57:$BD$2056,FG$3&amp;"-"&amp;332&amp;"A"))</f>
        <v/>
      </c>
      <c r="FH19" s="725" t="str">
        <f>IF(COUNTA(車両台帳!$C$57:$C$2056)=0,"",COUNTIF(車両台帳!$BD$57:$BD$2056,FH$3&amp;"-"&amp;332&amp;"A"))</f>
        <v/>
      </c>
      <c r="FI19" s="725" t="str">
        <f>IF(COUNTA(車両台帳!$C$57:$C$2056)=0,"",COUNTIF(車両台帳!$BD$57:$BD$2056,FI$3&amp;"-"&amp;332&amp;"A"))</f>
        <v/>
      </c>
      <c r="FJ19" s="725" t="str">
        <f>IF(COUNTA(車両台帳!$C$57:$C$2056)=0,"",COUNTIF(車両台帳!$BD$57:$BD$2056,FJ$3&amp;"-"&amp;332&amp;"A"))</f>
        <v/>
      </c>
      <c r="FK19" s="725" t="str">
        <f>IF(COUNTA(車両台帳!$C$57:$C$2056)=0,"",COUNTIF(車両台帳!$BD$57:$BD$2056,FK$3&amp;"-"&amp;332&amp;"A"))</f>
        <v/>
      </c>
      <c r="FL19" s="725" t="str">
        <f>IF(COUNTA(車両台帳!$C$57:$C$2056)=0,"",COUNTIF(車両台帳!$BD$57:$BD$2056,FL$3&amp;"-"&amp;332&amp;"A"))</f>
        <v/>
      </c>
      <c r="FM19" s="725" t="str">
        <f>IF(COUNTA(車両台帳!$C$57:$C$2056)=0,"",COUNTIF(車両台帳!$BD$57:$BD$2056,FM$3&amp;"-"&amp;332&amp;"A"))</f>
        <v/>
      </c>
      <c r="FN19" s="725" t="str">
        <f>IF(COUNTA(車両台帳!$C$57:$C$2056)=0,"",COUNTIF(車両台帳!$BD$57:$BD$2056,FN$3&amp;"-"&amp;332&amp;"A"))</f>
        <v/>
      </c>
      <c r="FO19" s="725" t="str">
        <f>IF(COUNTA(車両台帳!$C$57:$C$2056)=0,"",COUNTIF(車両台帳!$BD$57:$BD$2056,FO$3&amp;"-"&amp;332&amp;"A"))</f>
        <v/>
      </c>
      <c r="FP19" s="725" t="str">
        <f>IF(COUNTA(車両台帳!$C$57:$C$2056)=0,"",COUNTIF(車両台帳!$BD$57:$BD$2056,FP$3&amp;"-"&amp;332&amp;"A"))</f>
        <v/>
      </c>
      <c r="FQ19" s="725" t="str">
        <f>IF(COUNTA(車両台帳!$C$57:$C$2056)=0,"",COUNTIF(車両台帳!$BD$57:$BD$2056,FQ$3&amp;"-"&amp;332&amp;"A"))</f>
        <v/>
      </c>
      <c r="FR19" s="725" t="str">
        <f>IF(COUNTA(車両台帳!$C$57:$C$2056)=0,"",COUNTIF(車両台帳!$BD$57:$BD$2056,FR$3&amp;"-"&amp;332&amp;"A"))</f>
        <v/>
      </c>
      <c r="FS19" s="725" t="str">
        <f>IF(COUNTA(車両台帳!$C$57:$C$2056)=0,"",COUNTIF(車両台帳!$BD$57:$BD$2056,FS$3&amp;"-"&amp;332&amp;"A"))</f>
        <v/>
      </c>
      <c r="FT19" s="725" t="str">
        <f>IF(COUNTA(車両台帳!$C$57:$C$2056)=0,"",COUNTIF(車両台帳!$BD$57:$BD$2056,FT$3&amp;"-"&amp;332&amp;"A"))</f>
        <v/>
      </c>
      <c r="FU19" s="725" t="str">
        <f>IF(COUNTA(車両台帳!$C$57:$C$2056)=0,"",COUNTIF(車両台帳!$BD$57:$BD$2056,FU$3&amp;"-"&amp;332&amp;"A"))</f>
        <v/>
      </c>
      <c r="FV19" s="725" t="str">
        <f>IF(COUNTA(車両台帳!$C$57:$C$2056)=0,"",COUNTIF(車両台帳!$BD$57:$BD$2056,FV$3&amp;"-"&amp;332&amp;"A"))</f>
        <v/>
      </c>
      <c r="FW19" s="725" t="str">
        <f>IF(COUNTA(車両台帳!$C$57:$C$2056)=0,"",COUNTIF(車両台帳!$BD$57:$BD$2056,FW$3&amp;"-"&amp;332&amp;"A"))</f>
        <v/>
      </c>
      <c r="FX19" s="725" t="str">
        <f>IF(COUNTA(車両台帳!$C$57:$C$2056)=0,"",COUNTIF(車両台帳!$BD$57:$BD$2056,FX$3&amp;"-"&amp;332&amp;"A"))</f>
        <v/>
      </c>
      <c r="FY19" s="725" t="str">
        <f>IF(COUNTA(車両台帳!$C$57:$C$2056)=0,"",COUNTIF(車両台帳!$BD$57:$BD$2056,FY$3&amp;"-"&amp;332&amp;"A"))</f>
        <v/>
      </c>
      <c r="FZ19" s="725" t="str">
        <f>IF(COUNTA(車両台帳!$C$57:$C$2056)=0,"",COUNTIF(車両台帳!$BD$57:$BD$2056,FZ$3&amp;"-"&amp;332&amp;"A"))</f>
        <v/>
      </c>
      <c r="GA19" s="725" t="str">
        <f>IF(COUNTA(車両台帳!$C$57:$C$2056)=0,"",COUNTIF(車両台帳!$BD$57:$BD$2056,GA$3&amp;"-"&amp;332&amp;"A"))</f>
        <v/>
      </c>
      <c r="GB19" s="725" t="str">
        <f>IF(COUNTA(車両台帳!$C$57:$C$2056)=0,"",COUNTIF(車両台帳!$BD$57:$BD$2056,GB$3&amp;"-"&amp;332&amp;"A"))</f>
        <v/>
      </c>
      <c r="GC19" s="725" t="str">
        <f>IF(COUNTA(車両台帳!$C$57:$C$2056)=0,"",COUNTIF(車両台帳!$BD$57:$BD$2056,GC$3&amp;"-"&amp;332&amp;"A"))</f>
        <v/>
      </c>
      <c r="GD19" s="725" t="str">
        <f>IF(COUNTA(車両台帳!$C$57:$C$2056)=0,"",COUNTIF(車両台帳!$BD$57:$BD$2056,GD$3&amp;"-"&amp;332&amp;"A"))</f>
        <v/>
      </c>
      <c r="GE19" s="725" t="str">
        <f>IF(COUNTA(車両台帳!$C$57:$C$2056)=0,"",COUNTIF(車両台帳!$BD$57:$BD$2056,GE$3&amp;"-"&amp;332&amp;"A"))</f>
        <v/>
      </c>
      <c r="GF19" s="725" t="str">
        <f>IF(COUNTA(車両台帳!$C$57:$C$2056)=0,"",COUNTIF(車両台帳!$BD$57:$BD$2056,GF$3&amp;"-"&amp;332&amp;"A"))</f>
        <v/>
      </c>
      <c r="GG19" s="725" t="str">
        <f>IF(COUNTA(車両台帳!$C$57:$C$2056)=0,"",COUNTIF(車両台帳!$BD$57:$BD$2056,GG$3&amp;"-"&amp;332&amp;"A"))</f>
        <v/>
      </c>
      <c r="GH19" s="725" t="str">
        <f>IF(COUNTA(車両台帳!$C$57:$C$2056)=0,"",COUNTIF(車両台帳!$BD$57:$BD$2056,GH$3&amp;"-"&amp;332&amp;"A"))</f>
        <v/>
      </c>
      <c r="GI19" s="725" t="str">
        <f>IF(COUNTA(車両台帳!$C$57:$C$2056)=0,"",COUNTIF(車両台帳!$BD$57:$BD$2056,GI$3&amp;"-"&amp;332&amp;"A"))</f>
        <v/>
      </c>
      <c r="GJ19" s="725" t="str">
        <f>IF(COUNTA(車両台帳!$C$57:$C$2056)=0,"",COUNTIF(車両台帳!$BD$57:$BD$2056,GJ$3&amp;"-"&amp;332&amp;"A"))</f>
        <v/>
      </c>
      <c r="GK19" s="725" t="str">
        <f>IF(COUNTA(車両台帳!$C$57:$C$2056)=0,"",COUNTIF(車両台帳!$BD$57:$BD$2056,GK$3&amp;"-"&amp;332&amp;"A"))</f>
        <v/>
      </c>
      <c r="GL19" s="725" t="str">
        <f>IF(COUNTA(車両台帳!$C$57:$C$2056)=0,"",COUNTIF(車両台帳!$BD$57:$BD$2056,GL$3&amp;"-"&amp;332&amp;"A"))</f>
        <v/>
      </c>
      <c r="GM19" s="725" t="str">
        <f>IF(COUNTA(車両台帳!$C$57:$C$2056)=0,"",COUNTIF(車両台帳!$BD$57:$BD$2056,GM$3&amp;"-"&amp;332&amp;"A"))</f>
        <v/>
      </c>
      <c r="GN19" s="725" t="str">
        <f>IF(COUNTA(車両台帳!$C$57:$C$2056)=0,"",COUNTIF(車両台帳!$BD$57:$BD$2056,GN$3&amp;"-"&amp;332&amp;"A"))</f>
        <v/>
      </c>
      <c r="GO19" s="725" t="str">
        <f>IF(COUNTA(車両台帳!$C$57:$C$2056)=0,"",COUNTIF(車両台帳!$BD$57:$BD$2056,GO$3&amp;"-"&amp;332&amp;"A"))</f>
        <v/>
      </c>
      <c r="GP19" s="725" t="str">
        <f>IF(COUNTA(車両台帳!$C$57:$C$2056)=0,"",COUNTIF(車両台帳!$BD$57:$BD$2056,GP$3&amp;"-"&amp;332&amp;"A"))</f>
        <v/>
      </c>
      <c r="GQ19" s="725" t="str">
        <f>IF(COUNTA(車両台帳!$C$57:$C$2056)=0,"",COUNTIF(車両台帳!$BD$57:$BD$2056,GQ$3&amp;"-"&amp;332&amp;"A"))</f>
        <v/>
      </c>
      <c r="GR19" s="725" t="str">
        <f>IF(COUNTA(車両台帳!$C$57:$C$2056)=0,"",COUNTIF(車両台帳!$BD$57:$BD$2056,GR$3&amp;"-"&amp;332&amp;"A"))</f>
        <v/>
      </c>
      <c r="GS19" s="725" t="str">
        <f>IF(COUNTA(車両台帳!$C$57:$C$2056)=0,"",COUNTIF(車両台帳!$BD$57:$BD$2056,GS$3&amp;"-"&amp;332&amp;"A"))</f>
        <v/>
      </c>
      <c r="GT19" s="725" t="str">
        <f>IF(COUNTA(車両台帳!$C$57:$C$2056)=0,"",COUNTIF(車両台帳!$BD$57:$BD$2056,GT$3&amp;"-"&amp;332&amp;"A"))</f>
        <v/>
      </c>
      <c r="GU19" s="726" t="str">
        <f>IF(COUNTA(車両台帳!$C$57:$C$2056)=0,"",COUNTIF(車両台帳!$BD$57:$BD$2056,GU$3&amp;"-"&amp;332&amp;"A"))</f>
        <v/>
      </c>
    </row>
    <row r="20" spans="1:203" s="7" customFormat="1" ht="29.25" customHeight="1">
      <c r="A20" s="1184"/>
      <c r="B20" s="715" t="s">
        <v>52</v>
      </c>
      <c r="C20" s="720" t="str">
        <f>IF(COUNTA(車両台帳!$C$57:$C$2056)=0,"",SUM(D20:GU20))</f>
        <v/>
      </c>
      <c r="D20" s="725" t="str">
        <f>IF(COUNTA(車両台帳!$C$57:$C$2056)=0,"",COUNTIF(車両台帳!$BD$57:$BD$2056,D$3&amp;"-"&amp;333&amp;"A"))</f>
        <v/>
      </c>
      <c r="E20" s="725" t="str">
        <f>IF(COUNTA(車両台帳!$C$57:$C$2056)=0,"",COUNTIF(車両台帳!$BD$57:$BD$2056,E$3&amp;"-"&amp;333&amp;"A"))</f>
        <v/>
      </c>
      <c r="F20" s="725" t="str">
        <f>IF(COUNTA(車両台帳!$C$57:$C$2056)=0,"",COUNTIF(車両台帳!$BD$57:$BD$2056,F$3&amp;"-"&amp;333&amp;"A"))</f>
        <v/>
      </c>
      <c r="G20" s="725" t="str">
        <f>IF(COUNTA(車両台帳!$C$57:$C$2056)=0,"",COUNTIF(車両台帳!$BD$57:$BD$2056,G$3&amp;"-"&amp;333&amp;"A"))</f>
        <v/>
      </c>
      <c r="H20" s="725" t="str">
        <f>IF(COUNTA(車両台帳!$C$57:$C$2056)=0,"",COUNTIF(車両台帳!$BD$57:$BD$2056,H$3&amp;"-"&amp;333&amp;"A"))</f>
        <v/>
      </c>
      <c r="I20" s="725" t="str">
        <f>IF(COUNTA(車両台帳!$C$57:$C$2056)=0,"",COUNTIF(車両台帳!$BD$57:$BD$2056,I$3&amp;"-"&amp;333&amp;"A"))</f>
        <v/>
      </c>
      <c r="J20" s="725" t="str">
        <f>IF(COUNTA(車両台帳!$C$57:$C$2056)=0,"",COUNTIF(車両台帳!$BD$57:$BD$2056,J$3&amp;"-"&amp;333&amp;"A"))</f>
        <v/>
      </c>
      <c r="K20" s="725" t="str">
        <f>IF(COUNTA(車両台帳!$C$57:$C$2056)=0,"",COUNTIF(車両台帳!$BD$57:$BD$2056,K$3&amp;"-"&amp;333&amp;"A"))</f>
        <v/>
      </c>
      <c r="L20" s="725" t="str">
        <f>IF(COUNTA(車両台帳!$C$57:$C$2056)=0,"",COUNTIF(車両台帳!$BD$57:$BD$2056,L$3&amp;"-"&amp;333&amp;"A"))</f>
        <v/>
      </c>
      <c r="M20" s="725" t="str">
        <f>IF(COUNTA(車両台帳!$C$57:$C$2056)=0,"",COUNTIF(車両台帳!$BD$57:$BD$2056,M$3&amp;"-"&amp;333&amp;"A"))</f>
        <v/>
      </c>
      <c r="N20" s="725" t="str">
        <f>IF(COUNTA(車両台帳!$C$57:$C$2056)=0,"",COUNTIF(車両台帳!$BD$57:$BD$2056,N$3&amp;"-"&amp;333&amp;"A"))</f>
        <v/>
      </c>
      <c r="O20" s="725" t="str">
        <f>IF(COUNTA(車両台帳!$C$57:$C$2056)=0,"",COUNTIF(車両台帳!$BD$57:$BD$2056,O$3&amp;"-"&amp;333&amp;"A"))</f>
        <v/>
      </c>
      <c r="P20" s="725" t="str">
        <f>IF(COUNTA(車両台帳!$C$57:$C$2056)=0,"",COUNTIF(車両台帳!$BD$57:$BD$2056,P$3&amp;"-"&amp;333&amp;"A"))</f>
        <v/>
      </c>
      <c r="Q20" s="725" t="str">
        <f>IF(COUNTA(車両台帳!$C$57:$C$2056)=0,"",COUNTIF(車両台帳!$BD$57:$BD$2056,Q$3&amp;"-"&amp;333&amp;"A"))</f>
        <v/>
      </c>
      <c r="R20" s="725" t="str">
        <f>IF(COUNTA(車両台帳!$C$57:$C$2056)=0,"",COUNTIF(車両台帳!$BD$57:$BD$2056,R$3&amp;"-"&amp;333&amp;"A"))</f>
        <v/>
      </c>
      <c r="S20" s="725" t="str">
        <f>IF(COUNTA(車両台帳!$C$57:$C$2056)=0,"",COUNTIF(車両台帳!$BD$57:$BD$2056,S$3&amp;"-"&amp;333&amp;"A"))</f>
        <v/>
      </c>
      <c r="T20" s="725" t="str">
        <f>IF(COUNTA(車両台帳!$C$57:$C$2056)=0,"",COUNTIF(車両台帳!$BD$57:$BD$2056,T$3&amp;"-"&amp;333&amp;"A"))</f>
        <v/>
      </c>
      <c r="U20" s="725" t="str">
        <f>IF(COUNTA(車両台帳!$C$57:$C$2056)=0,"",COUNTIF(車両台帳!$BD$57:$BD$2056,U$3&amp;"-"&amp;333&amp;"A"))</f>
        <v/>
      </c>
      <c r="V20" s="725" t="str">
        <f>IF(COUNTA(車両台帳!$C$57:$C$2056)=0,"",COUNTIF(車両台帳!$BD$57:$BD$2056,V$3&amp;"-"&amp;333&amp;"A"))</f>
        <v/>
      </c>
      <c r="W20" s="725" t="str">
        <f>IF(COUNTA(車両台帳!$C$57:$C$2056)=0,"",COUNTIF(車両台帳!$BD$57:$BD$2056,W$3&amp;"-"&amp;333&amp;"A"))</f>
        <v/>
      </c>
      <c r="X20" s="725" t="str">
        <f>IF(COUNTA(車両台帳!$C$57:$C$2056)=0,"",COUNTIF(車両台帳!$BD$57:$BD$2056,X$3&amp;"-"&amp;333&amp;"A"))</f>
        <v/>
      </c>
      <c r="Y20" s="725" t="str">
        <f>IF(COUNTA(車両台帳!$C$57:$C$2056)=0,"",COUNTIF(車両台帳!$BD$57:$BD$2056,Y$3&amp;"-"&amp;333&amp;"A"))</f>
        <v/>
      </c>
      <c r="Z20" s="725" t="str">
        <f>IF(COUNTA(車両台帳!$C$57:$C$2056)=0,"",COUNTIF(車両台帳!$BD$57:$BD$2056,Z$3&amp;"-"&amp;333&amp;"A"))</f>
        <v/>
      </c>
      <c r="AA20" s="725" t="str">
        <f>IF(COUNTA(車両台帳!$C$57:$C$2056)=0,"",COUNTIF(車両台帳!$BD$57:$BD$2056,AA$3&amp;"-"&amp;333&amp;"A"))</f>
        <v/>
      </c>
      <c r="AB20" s="725" t="str">
        <f>IF(COUNTA(車両台帳!$C$57:$C$2056)=0,"",COUNTIF(車両台帳!$BD$57:$BD$2056,AB$3&amp;"-"&amp;333&amp;"A"))</f>
        <v/>
      </c>
      <c r="AC20" s="725" t="str">
        <f>IF(COUNTA(車両台帳!$C$57:$C$2056)=0,"",COUNTIF(車両台帳!$BD$57:$BD$2056,AC$3&amp;"-"&amp;333&amp;"A"))</f>
        <v/>
      </c>
      <c r="AD20" s="725" t="str">
        <f>IF(COUNTA(車両台帳!$C$57:$C$2056)=0,"",COUNTIF(車両台帳!$BD$57:$BD$2056,AD$3&amp;"-"&amp;333&amp;"A"))</f>
        <v/>
      </c>
      <c r="AE20" s="725" t="str">
        <f>IF(COUNTA(車両台帳!$C$57:$C$2056)=0,"",COUNTIF(車両台帳!$BD$57:$BD$2056,AE$3&amp;"-"&amp;333&amp;"A"))</f>
        <v/>
      </c>
      <c r="AF20" s="725" t="str">
        <f>IF(COUNTA(車両台帳!$C$57:$C$2056)=0,"",COUNTIF(車両台帳!$BD$57:$BD$2056,AF$3&amp;"-"&amp;333&amp;"A"))</f>
        <v/>
      </c>
      <c r="AG20" s="725" t="str">
        <f>IF(COUNTA(車両台帳!$C$57:$C$2056)=0,"",COUNTIF(車両台帳!$BD$57:$BD$2056,AG$3&amp;"-"&amp;333&amp;"A"))</f>
        <v/>
      </c>
      <c r="AH20" s="725" t="str">
        <f>IF(COUNTA(車両台帳!$C$57:$C$2056)=0,"",COUNTIF(車両台帳!$BD$57:$BD$2056,AH$3&amp;"-"&amp;333&amp;"A"))</f>
        <v/>
      </c>
      <c r="AI20" s="725" t="str">
        <f>IF(COUNTA(車両台帳!$C$57:$C$2056)=0,"",COUNTIF(車両台帳!$BD$57:$BD$2056,AI$3&amp;"-"&amp;333&amp;"A"))</f>
        <v/>
      </c>
      <c r="AJ20" s="725" t="str">
        <f>IF(COUNTA(車両台帳!$C$57:$C$2056)=0,"",COUNTIF(車両台帳!$BD$57:$BD$2056,AJ$3&amp;"-"&amp;333&amp;"A"))</f>
        <v/>
      </c>
      <c r="AK20" s="725" t="str">
        <f>IF(COUNTA(車両台帳!$C$57:$C$2056)=0,"",COUNTIF(車両台帳!$BD$57:$BD$2056,AK$3&amp;"-"&amp;333&amp;"A"))</f>
        <v/>
      </c>
      <c r="AL20" s="725" t="str">
        <f>IF(COUNTA(車両台帳!$C$57:$C$2056)=0,"",COUNTIF(車両台帳!$BD$57:$BD$2056,AL$3&amp;"-"&amp;333&amp;"A"))</f>
        <v/>
      </c>
      <c r="AM20" s="725" t="str">
        <f>IF(COUNTA(車両台帳!$C$57:$C$2056)=0,"",COUNTIF(車両台帳!$BD$57:$BD$2056,AM$3&amp;"-"&amp;333&amp;"A"))</f>
        <v/>
      </c>
      <c r="AN20" s="725" t="str">
        <f>IF(COUNTA(車両台帳!$C$57:$C$2056)=0,"",COUNTIF(車両台帳!$BD$57:$BD$2056,AN$3&amp;"-"&amp;333&amp;"A"))</f>
        <v/>
      </c>
      <c r="AO20" s="725" t="str">
        <f>IF(COUNTA(車両台帳!$C$57:$C$2056)=0,"",COUNTIF(車両台帳!$BD$57:$BD$2056,AO$3&amp;"-"&amp;333&amp;"A"))</f>
        <v/>
      </c>
      <c r="AP20" s="725" t="str">
        <f>IF(COUNTA(車両台帳!$C$57:$C$2056)=0,"",COUNTIF(車両台帳!$BD$57:$BD$2056,AP$3&amp;"-"&amp;333&amp;"A"))</f>
        <v/>
      </c>
      <c r="AQ20" s="725" t="str">
        <f>IF(COUNTA(車両台帳!$C$57:$C$2056)=0,"",COUNTIF(車両台帳!$BD$57:$BD$2056,AQ$3&amp;"-"&amp;333&amp;"A"))</f>
        <v/>
      </c>
      <c r="AR20" s="725" t="str">
        <f>IF(COUNTA(車両台帳!$C$57:$C$2056)=0,"",COUNTIF(車両台帳!$BD$57:$BD$2056,AR$3&amp;"-"&amp;333&amp;"A"))</f>
        <v/>
      </c>
      <c r="AS20" s="725" t="str">
        <f>IF(COUNTA(車両台帳!$C$57:$C$2056)=0,"",COUNTIF(車両台帳!$BD$57:$BD$2056,AS$3&amp;"-"&amp;333&amp;"A"))</f>
        <v/>
      </c>
      <c r="AT20" s="725" t="str">
        <f>IF(COUNTA(車両台帳!$C$57:$C$2056)=0,"",COUNTIF(車両台帳!$BD$57:$BD$2056,AT$3&amp;"-"&amp;333&amp;"A"))</f>
        <v/>
      </c>
      <c r="AU20" s="725" t="str">
        <f>IF(COUNTA(車両台帳!$C$57:$C$2056)=0,"",COUNTIF(車両台帳!$BD$57:$BD$2056,AU$3&amp;"-"&amp;333&amp;"A"))</f>
        <v/>
      </c>
      <c r="AV20" s="725" t="str">
        <f>IF(COUNTA(車両台帳!$C$57:$C$2056)=0,"",COUNTIF(車両台帳!$BD$57:$BD$2056,AV$3&amp;"-"&amp;333&amp;"A"))</f>
        <v/>
      </c>
      <c r="AW20" s="725" t="str">
        <f>IF(COUNTA(車両台帳!$C$57:$C$2056)=0,"",COUNTIF(車両台帳!$BD$57:$BD$2056,AW$3&amp;"-"&amp;333&amp;"A"))</f>
        <v/>
      </c>
      <c r="AX20" s="725" t="str">
        <f>IF(COUNTA(車両台帳!$C$57:$C$2056)=0,"",COUNTIF(車両台帳!$BD$57:$BD$2056,AX$3&amp;"-"&amp;333&amp;"A"))</f>
        <v/>
      </c>
      <c r="AY20" s="725" t="str">
        <f>IF(COUNTA(車両台帳!$C$57:$C$2056)=0,"",COUNTIF(車両台帳!$BD$57:$BD$2056,AY$3&amp;"-"&amp;333&amp;"A"))</f>
        <v/>
      </c>
      <c r="AZ20" s="725" t="str">
        <f>IF(COUNTA(車両台帳!$C$57:$C$2056)=0,"",COUNTIF(車両台帳!$BD$57:$BD$2056,AZ$3&amp;"-"&amp;333&amp;"A"))</f>
        <v/>
      </c>
      <c r="BA20" s="725" t="str">
        <f>IF(COUNTA(車両台帳!$C$57:$C$2056)=0,"",COUNTIF(車両台帳!$BD$57:$BD$2056,BA$3&amp;"-"&amp;333&amp;"A"))</f>
        <v/>
      </c>
      <c r="BB20" s="725" t="str">
        <f>IF(COUNTA(車両台帳!$C$57:$C$2056)=0,"",COUNTIF(車両台帳!$BD$57:$BD$2056,BB$3&amp;"-"&amp;333&amp;"A"))</f>
        <v/>
      </c>
      <c r="BC20" s="725" t="str">
        <f>IF(COUNTA(車両台帳!$C$57:$C$2056)=0,"",COUNTIF(車両台帳!$BD$57:$BD$2056,BC$3&amp;"-"&amp;333&amp;"A"))</f>
        <v/>
      </c>
      <c r="BD20" s="725" t="str">
        <f>IF(COUNTA(車両台帳!$C$57:$C$2056)=0,"",COUNTIF(車両台帳!$BD$57:$BD$2056,BD$3&amp;"-"&amp;333&amp;"A"))</f>
        <v/>
      </c>
      <c r="BE20" s="725" t="str">
        <f>IF(COUNTA(車両台帳!$C$57:$C$2056)=0,"",COUNTIF(車両台帳!$BD$57:$BD$2056,BE$3&amp;"-"&amp;333&amp;"A"))</f>
        <v/>
      </c>
      <c r="BF20" s="725" t="str">
        <f>IF(COUNTA(車両台帳!$C$57:$C$2056)=0,"",COUNTIF(車両台帳!$BD$57:$BD$2056,BF$3&amp;"-"&amp;333&amp;"A"))</f>
        <v/>
      </c>
      <c r="BG20" s="725" t="str">
        <f>IF(COUNTA(車両台帳!$C$57:$C$2056)=0,"",COUNTIF(車両台帳!$BD$57:$BD$2056,BG$3&amp;"-"&amp;333&amp;"A"))</f>
        <v/>
      </c>
      <c r="BH20" s="725" t="str">
        <f>IF(COUNTA(車両台帳!$C$57:$C$2056)=0,"",COUNTIF(車両台帳!$BD$57:$BD$2056,BH$3&amp;"-"&amp;333&amp;"A"))</f>
        <v/>
      </c>
      <c r="BI20" s="725" t="str">
        <f>IF(COUNTA(車両台帳!$C$57:$C$2056)=0,"",COUNTIF(車両台帳!$BD$57:$BD$2056,BI$3&amp;"-"&amp;333&amp;"A"))</f>
        <v/>
      </c>
      <c r="BJ20" s="725" t="str">
        <f>IF(COUNTA(車両台帳!$C$57:$C$2056)=0,"",COUNTIF(車両台帳!$BD$57:$BD$2056,BJ$3&amp;"-"&amp;333&amp;"A"))</f>
        <v/>
      </c>
      <c r="BK20" s="725" t="str">
        <f>IF(COUNTA(車両台帳!$C$57:$C$2056)=0,"",COUNTIF(車両台帳!$BD$57:$BD$2056,BK$3&amp;"-"&amp;333&amp;"A"))</f>
        <v/>
      </c>
      <c r="BL20" s="725" t="str">
        <f>IF(COUNTA(車両台帳!$C$57:$C$2056)=0,"",COUNTIF(車両台帳!$BD$57:$BD$2056,BL$3&amp;"-"&amp;333&amp;"A"))</f>
        <v/>
      </c>
      <c r="BM20" s="725" t="str">
        <f>IF(COUNTA(車両台帳!$C$57:$C$2056)=0,"",COUNTIF(車両台帳!$BD$57:$BD$2056,BM$3&amp;"-"&amp;333&amp;"A"))</f>
        <v/>
      </c>
      <c r="BN20" s="725" t="str">
        <f>IF(COUNTA(車両台帳!$C$57:$C$2056)=0,"",COUNTIF(車両台帳!$BD$57:$BD$2056,BN$3&amp;"-"&amp;333&amp;"A"))</f>
        <v/>
      </c>
      <c r="BO20" s="725" t="str">
        <f>IF(COUNTA(車両台帳!$C$57:$C$2056)=0,"",COUNTIF(車両台帳!$BD$57:$BD$2056,BO$3&amp;"-"&amp;333&amp;"A"))</f>
        <v/>
      </c>
      <c r="BP20" s="725" t="str">
        <f>IF(COUNTA(車両台帳!$C$57:$C$2056)=0,"",COUNTIF(車両台帳!$BD$57:$BD$2056,BP$3&amp;"-"&amp;333&amp;"A"))</f>
        <v/>
      </c>
      <c r="BQ20" s="725" t="str">
        <f>IF(COUNTA(車両台帳!$C$57:$C$2056)=0,"",COUNTIF(車両台帳!$BD$57:$BD$2056,BQ$3&amp;"-"&amp;333&amp;"A"))</f>
        <v/>
      </c>
      <c r="BR20" s="725" t="str">
        <f>IF(COUNTA(車両台帳!$C$57:$C$2056)=0,"",COUNTIF(車両台帳!$BD$57:$BD$2056,BR$3&amp;"-"&amp;333&amp;"A"))</f>
        <v/>
      </c>
      <c r="BS20" s="725" t="str">
        <f>IF(COUNTA(車両台帳!$C$57:$C$2056)=0,"",COUNTIF(車両台帳!$BD$57:$BD$2056,BS$3&amp;"-"&amp;333&amp;"A"))</f>
        <v/>
      </c>
      <c r="BT20" s="725" t="str">
        <f>IF(COUNTA(車両台帳!$C$57:$C$2056)=0,"",COUNTIF(車両台帳!$BD$57:$BD$2056,BT$3&amp;"-"&amp;333&amp;"A"))</f>
        <v/>
      </c>
      <c r="BU20" s="725" t="str">
        <f>IF(COUNTA(車両台帳!$C$57:$C$2056)=0,"",COUNTIF(車両台帳!$BD$57:$BD$2056,BU$3&amp;"-"&amp;333&amp;"A"))</f>
        <v/>
      </c>
      <c r="BV20" s="725" t="str">
        <f>IF(COUNTA(車両台帳!$C$57:$C$2056)=0,"",COUNTIF(車両台帳!$BD$57:$BD$2056,BV$3&amp;"-"&amp;333&amp;"A"))</f>
        <v/>
      </c>
      <c r="BW20" s="725" t="str">
        <f>IF(COUNTA(車両台帳!$C$57:$C$2056)=0,"",COUNTIF(車両台帳!$BD$57:$BD$2056,BW$3&amp;"-"&amp;333&amp;"A"))</f>
        <v/>
      </c>
      <c r="BX20" s="725" t="str">
        <f>IF(COUNTA(車両台帳!$C$57:$C$2056)=0,"",COUNTIF(車両台帳!$BD$57:$BD$2056,BX$3&amp;"-"&amp;333&amp;"A"))</f>
        <v/>
      </c>
      <c r="BY20" s="725" t="str">
        <f>IF(COUNTA(車両台帳!$C$57:$C$2056)=0,"",COUNTIF(車両台帳!$BD$57:$BD$2056,BY$3&amp;"-"&amp;333&amp;"A"))</f>
        <v/>
      </c>
      <c r="BZ20" s="725" t="str">
        <f>IF(COUNTA(車両台帳!$C$57:$C$2056)=0,"",COUNTIF(車両台帳!$BD$57:$BD$2056,BZ$3&amp;"-"&amp;333&amp;"A"))</f>
        <v/>
      </c>
      <c r="CA20" s="725" t="str">
        <f>IF(COUNTA(車両台帳!$C$57:$C$2056)=0,"",COUNTIF(車両台帳!$BD$57:$BD$2056,CA$3&amp;"-"&amp;333&amp;"A"))</f>
        <v/>
      </c>
      <c r="CB20" s="725" t="str">
        <f>IF(COUNTA(車両台帳!$C$57:$C$2056)=0,"",COUNTIF(車両台帳!$BD$57:$BD$2056,CB$3&amp;"-"&amp;333&amp;"A"))</f>
        <v/>
      </c>
      <c r="CC20" s="725" t="str">
        <f>IF(COUNTA(車両台帳!$C$57:$C$2056)=0,"",COUNTIF(車両台帳!$BD$57:$BD$2056,CC$3&amp;"-"&amp;333&amp;"A"))</f>
        <v/>
      </c>
      <c r="CD20" s="725" t="str">
        <f>IF(COUNTA(車両台帳!$C$57:$C$2056)=0,"",COUNTIF(車両台帳!$BD$57:$BD$2056,CD$3&amp;"-"&amp;333&amp;"A"))</f>
        <v/>
      </c>
      <c r="CE20" s="725" t="str">
        <f>IF(COUNTA(車両台帳!$C$57:$C$2056)=0,"",COUNTIF(車両台帳!$BD$57:$BD$2056,CE$3&amp;"-"&amp;333&amp;"A"))</f>
        <v/>
      </c>
      <c r="CF20" s="725" t="str">
        <f>IF(COUNTA(車両台帳!$C$57:$C$2056)=0,"",COUNTIF(車両台帳!$BD$57:$BD$2056,CF$3&amp;"-"&amp;333&amp;"A"))</f>
        <v/>
      </c>
      <c r="CG20" s="725" t="str">
        <f>IF(COUNTA(車両台帳!$C$57:$C$2056)=0,"",COUNTIF(車両台帳!$BD$57:$BD$2056,CG$3&amp;"-"&amp;333&amp;"A"))</f>
        <v/>
      </c>
      <c r="CH20" s="725" t="str">
        <f>IF(COUNTA(車両台帳!$C$57:$C$2056)=0,"",COUNTIF(車両台帳!$BD$57:$BD$2056,CH$3&amp;"-"&amp;333&amp;"A"))</f>
        <v/>
      </c>
      <c r="CI20" s="725" t="str">
        <f>IF(COUNTA(車両台帳!$C$57:$C$2056)=0,"",COUNTIF(車両台帳!$BD$57:$BD$2056,CI$3&amp;"-"&amp;333&amp;"A"))</f>
        <v/>
      </c>
      <c r="CJ20" s="725" t="str">
        <f>IF(COUNTA(車両台帳!$C$57:$C$2056)=0,"",COUNTIF(車両台帳!$BD$57:$BD$2056,CJ$3&amp;"-"&amp;333&amp;"A"))</f>
        <v/>
      </c>
      <c r="CK20" s="725" t="str">
        <f>IF(COUNTA(車両台帳!$C$57:$C$2056)=0,"",COUNTIF(車両台帳!$BD$57:$BD$2056,CK$3&amp;"-"&amp;333&amp;"A"))</f>
        <v/>
      </c>
      <c r="CL20" s="725" t="str">
        <f>IF(COUNTA(車両台帳!$C$57:$C$2056)=0,"",COUNTIF(車両台帳!$BD$57:$BD$2056,CL$3&amp;"-"&amp;333&amp;"A"))</f>
        <v/>
      </c>
      <c r="CM20" s="725" t="str">
        <f>IF(COUNTA(車両台帳!$C$57:$C$2056)=0,"",COUNTIF(車両台帳!$BD$57:$BD$2056,CM$3&amp;"-"&amp;333&amp;"A"))</f>
        <v/>
      </c>
      <c r="CN20" s="725" t="str">
        <f>IF(COUNTA(車両台帳!$C$57:$C$2056)=0,"",COUNTIF(車両台帳!$BD$57:$BD$2056,CN$3&amp;"-"&amp;333&amp;"A"))</f>
        <v/>
      </c>
      <c r="CO20" s="725" t="str">
        <f>IF(COUNTA(車両台帳!$C$57:$C$2056)=0,"",COUNTIF(車両台帳!$BD$57:$BD$2056,CO$3&amp;"-"&amp;333&amp;"A"))</f>
        <v/>
      </c>
      <c r="CP20" s="725" t="str">
        <f>IF(COUNTA(車両台帳!$C$57:$C$2056)=0,"",COUNTIF(車両台帳!$BD$57:$BD$2056,CP$3&amp;"-"&amp;333&amp;"A"))</f>
        <v/>
      </c>
      <c r="CQ20" s="725" t="str">
        <f>IF(COUNTA(車両台帳!$C$57:$C$2056)=0,"",COUNTIF(車両台帳!$BD$57:$BD$2056,CQ$3&amp;"-"&amp;333&amp;"A"))</f>
        <v/>
      </c>
      <c r="CR20" s="725" t="str">
        <f>IF(COUNTA(車両台帳!$C$57:$C$2056)=0,"",COUNTIF(車両台帳!$BD$57:$BD$2056,CR$3&amp;"-"&amp;333&amp;"A"))</f>
        <v/>
      </c>
      <c r="CS20" s="725" t="str">
        <f>IF(COUNTA(車両台帳!$C$57:$C$2056)=0,"",COUNTIF(車両台帳!$BD$57:$BD$2056,CS$3&amp;"-"&amp;333&amp;"A"))</f>
        <v/>
      </c>
      <c r="CT20" s="725" t="str">
        <f>IF(COUNTA(車両台帳!$C$57:$C$2056)=0,"",COUNTIF(車両台帳!$BD$57:$BD$2056,CT$3&amp;"-"&amp;333&amp;"A"))</f>
        <v/>
      </c>
      <c r="CU20" s="725" t="str">
        <f>IF(COUNTA(車両台帳!$C$57:$C$2056)=0,"",COUNTIF(車両台帳!$BD$57:$BD$2056,CU$3&amp;"-"&amp;333&amp;"A"))</f>
        <v/>
      </c>
      <c r="CV20" s="725" t="str">
        <f>IF(COUNTA(車両台帳!$C$57:$C$2056)=0,"",COUNTIF(車両台帳!$BD$57:$BD$2056,CV$3&amp;"-"&amp;333&amp;"A"))</f>
        <v/>
      </c>
      <c r="CW20" s="725" t="str">
        <f>IF(COUNTA(車両台帳!$C$57:$C$2056)=0,"",COUNTIF(車両台帳!$BD$57:$BD$2056,CW$3&amp;"-"&amp;333&amp;"A"))</f>
        <v/>
      </c>
      <c r="CX20" s="725" t="str">
        <f>IF(COUNTA(車両台帳!$C$57:$C$2056)=0,"",COUNTIF(車両台帳!$BD$57:$BD$2056,CX$3&amp;"-"&amp;333&amp;"A"))</f>
        <v/>
      </c>
      <c r="CY20" s="725" t="str">
        <f>IF(COUNTA(車両台帳!$C$57:$C$2056)=0,"",COUNTIF(車両台帳!$BD$57:$BD$2056,CY$3&amp;"-"&amp;333&amp;"A"))</f>
        <v/>
      </c>
      <c r="CZ20" s="725" t="str">
        <f>IF(COUNTA(車両台帳!$C$57:$C$2056)=0,"",COUNTIF(車両台帳!$BD$57:$BD$2056,CZ$3&amp;"-"&amp;333&amp;"A"))</f>
        <v/>
      </c>
      <c r="DA20" s="725" t="str">
        <f>IF(COUNTA(車両台帳!$C$57:$C$2056)=0,"",COUNTIF(車両台帳!$BD$57:$BD$2056,DA$3&amp;"-"&amp;333&amp;"A"))</f>
        <v/>
      </c>
      <c r="DB20" s="725" t="str">
        <f>IF(COUNTA(車両台帳!$C$57:$C$2056)=0,"",COUNTIF(車両台帳!$BD$57:$BD$2056,DB$3&amp;"-"&amp;333&amp;"A"))</f>
        <v/>
      </c>
      <c r="DC20" s="725" t="str">
        <f>IF(COUNTA(車両台帳!$C$57:$C$2056)=0,"",COUNTIF(車両台帳!$BD$57:$BD$2056,DC$3&amp;"-"&amp;333&amp;"A"))</f>
        <v/>
      </c>
      <c r="DD20" s="725" t="str">
        <f>IF(COUNTA(車両台帳!$C$57:$C$2056)=0,"",COUNTIF(車両台帳!$BD$57:$BD$2056,DD$3&amp;"-"&amp;333&amp;"A"))</f>
        <v/>
      </c>
      <c r="DE20" s="725" t="str">
        <f>IF(COUNTA(車両台帳!$C$57:$C$2056)=0,"",COUNTIF(車両台帳!$BD$57:$BD$2056,DE$3&amp;"-"&amp;333&amp;"A"))</f>
        <v/>
      </c>
      <c r="DF20" s="725" t="str">
        <f>IF(COUNTA(車両台帳!$C$57:$C$2056)=0,"",COUNTIF(車両台帳!$BD$57:$BD$2056,DF$3&amp;"-"&amp;333&amp;"A"))</f>
        <v/>
      </c>
      <c r="DG20" s="725" t="str">
        <f>IF(COUNTA(車両台帳!$C$57:$C$2056)=0,"",COUNTIF(車両台帳!$BD$57:$BD$2056,DG$3&amp;"-"&amp;333&amp;"A"))</f>
        <v/>
      </c>
      <c r="DH20" s="725" t="str">
        <f>IF(COUNTA(車両台帳!$C$57:$C$2056)=0,"",COUNTIF(車両台帳!$BD$57:$BD$2056,DH$3&amp;"-"&amp;333&amp;"A"))</f>
        <v/>
      </c>
      <c r="DI20" s="725" t="str">
        <f>IF(COUNTA(車両台帳!$C$57:$C$2056)=0,"",COUNTIF(車両台帳!$BD$57:$BD$2056,DI$3&amp;"-"&amp;333&amp;"A"))</f>
        <v/>
      </c>
      <c r="DJ20" s="725" t="str">
        <f>IF(COUNTA(車両台帳!$C$57:$C$2056)=0,"",COUNTIF(車両台帳!$BD$57:$BD$2056,DJ$3&amp;"-"&amp;333&amp;"A"))</f>
        <v/>
      </c>
      <c r="DK20" s="725" t="str">
        <f>IF(COUNTA(車両台帳!$C$57:$C$2056)=0,"",COUNTIF(車両台帳!$BD$57:$BD$2056,DK$3&amp;"-"&amp;333&amp;"A"))</f>
        <v/>
      </c>
      <c r="DL20" s="725" t="str">
        <f>IF(COUNTA(車両台帳!$C$57:$C$2056)=0,"",COUNTIF(車両台帳!$BD$57:$BD$2056,DL$3&amp;"-"&amp;333&amp;"A"))</f>
        <v/>
      </c>
      <c r="DM20" s="725" t="str">
        <f>IF(COUNTA(車両台帳!$C$57:$C$2056)=0,"",COUNTIF(車両台帳!$BD$57:$BD$2056,DM$3&amp;"-"&amp;333&amp;"A"))</f>
        <v/>
      </c>
      <c r="DN20" s="725" t="str">
        <f>IF(COUNTA(車両台帳!$C$57:$C$2056)=0,"",COUNTIF(車両台帳!$BD$57:$BD$2056,DN$3&amp;"-"&amp;333&amp;"A"))</f>
        <v/>
      </c>
      <c r="DO20" s="725" t="str">
        <f>IF(COUNTA(車両台帳!$C$57:$C$2056)=0,"",COUNTIF(車両台帳!$BD$57:$BD$2056,DO$3&amp;"-"&amp;333&amp;"A"))</f>
        <v/>
      </c>
      <c r="DP20" s="725" t="str">
        <f>IF(COUNTA(車両台帳!$C$57:$C$2056)=0,"",COUNTIF(車両台帳!$BD$57:$BD$2056,DP$3&amp;"-"&amp;333&amp;"A"))</f>
        <v/>
      </c>
      <c r="DQ20" s="725" t="str">
        <f>IF(COUNTA(車両台帳!$C$57:$C$2056)=0,"",COUNTIF(車両台帳!$BD$57:$BD$2056,DQ$3&amp;"-"&amp;333&amp;"A"))</f>
        <v/>
      </c>
      <c r="DR20" s="725" t="str">
        <f>IF(COUNTA(車両台帳!$C$57:$C$2056)=0,"",COUNTIF(車両台帳!$BD$57:$BD$2056,DR$3&amp;"-"&amp;333&amp;"A"))</f>
        <v/>
      </c>
      <c r="DS20" s="725" t="str">
        <f>IF(COUNTA(車両台帳!$C$57:$C$2056)=0,"",COUNTIF(車両台帳!$BD$57:$BD$2056,DS$3&amp;"-"&amp;333&amp;"A"))</f>
        <v/>
      </c>
      <c r="DT20" s="725" t="str">
        <f>IF(COUNTA(車両台帳!$C$57:$C$2056)=0,"",COUNTIF(車両台帳!$BD$57:$BD$2056,DT$3&amp;"-"&amp;333&amp;"A"))</f>
        <v/>
      </c>
      <c r="DU20" s="725" t="str">
        <f>IF(COUNTA(車両台帳!$C$57:$C$2056)=0,"",COUNTIF(車両台帳!$BD$57:$BD$2056,DU$3&amp;"-"&amp;333&amp;"A"))</f>
        <v/>
      </c>
      <c r="DV20" s="725" t="str">
        <f>IF(COUNTA(車両台帳!$C$57:$C$2056)=0,"",COUNTIF(車両台帳!$BD$57:$BD$2056,DV$3&amp;"-"&amp;333&amp;"A"))</f>
        <v/>
      </c>
      <c r="DW20" s="725" t="str">
        <f>IF(COUNTA(車両台帳!$C$57:$C$2056)=0,"",COUNTIF(車両台帳!$BD$57:$BD$2056,DW$3&amp;"-"&amp;333&amp;"A"))</f>
        <v/>
      </c>
      <c r="DX20" s="725" t="str">
        <f>IF(COUNTA(車両台帳!$C$57:$C$2056)=0,"",COUNTIF(車両台帳!$BD$57:$BD$2056,DX$3&amp;"-"&amp;333&amp;"A"))</f>
        <v/>
      </c>
      <c r="DY20" s="725" t="str">
        <f>IF(COUNTA(車両台帳!$C$57:$C$2056)=0,"",COUNTIF(車両台帳!$BD$57:$BD$2056,DY$3&amp;"-"&amp;333&amp;"A"))</f>
        <v/>
      </c>
      <c r="DZ20" s="725" t="str">
        <f>IF(COUNTA(車両台帳!$C$57:$C$2056)=0,"",COUNTIF(車両台帳!$BD$57:$BD$2056,DZ$3&amp;"-"&amp;333&amp;"A"))</f>
        <v/>
      </c>
      <c r="EA20" s="725" t="str">
        <f>IF(COUNTA(車両台帳!$C$57:$C$2056)=0,"",COUNTIF(車両台帳!$BD$57:$BD$2056,EA$3&amp;"-"&amp;333&amp;"A"))</f>
        <v/>
      </c>
      <c r="EB20" s="725" t="str">
        <f>IF(COUNTA(車両台帳!$C$57:$C$2056)=0,"",COUNTIF(車両台帳!$BD$57:$BD$2056,EB$3&amp;"-"&amp;333&amp;"A"))</f>
        <v/>
      </c>
      <c r="EC20" s="725" t="str">
        <f>IF(COUNTA(車両台帳!$C$57:$C$2056)=0,"",COUNTIF(車両台帳!$BD$57:$BD$2056,EC$3&amp;"-"&amp;333&amp;"A"))</f>
        <v/>
      </c>
      <c r="ED20" s="725" t="str">
        <f>IF(COUNTA(車両台帳!$C$57:$C$2056)=0,"",COUNTIF(車両台帳!$BD$57:$BD$2056,ED$3&amp;"-"&amp;333&amp;"A"))</f>
        <v/>
      </c>
      <c r="EE20" s="725" t="str">
        <f>IF(COUNTA(車両台帳!$C$57:$C$2056)=0,"",COUNTIF(車両台帳!$BD$57:$BD$2056,EE$3&amp;"-"&amp;333&amp;"A"))</f>
        <v/>
      </c>
      <c r="EF20" s="725" t="str">
        <f>IF(COUNTA(車両台帳!$C$57:$C$2056)=0,"",COUNTIF(車両台帳!$BD$57:$BD$2056,EF$3&amp;"-"&amp;333&amp;"A"))</f>
        <v/>
      </c>
      <c r="EG20" s="725" t="str">
        <f>IF(COUNTA(車両台帳!$C$57:$C$2056)=0,"",COUNTIF(車両台帳!$BD$57:$BD$2056,EG$3&amp;"-"&amp;333&amp;"A"))</f>
        <v/>
      </c>
      <c r="EH20" s="725" t="str">
        <f>IF(COUNTA(車両台帳!$C$57:$C$2056)=0,"",COUNTIF(車両台帳!$BD$57:$BD$2056,EH$3&amp;"-"&amp;333&amp;"A"))</f>
        <v/>
      </c>
      <c r="EI20" s="725" t="str">
        <f>IF(COUNTA(車両台帳!$C$57:$C$2056)=0,"",COUNTIF(車両台帳!$BD$57:$BD$2056,EI$3&amp;"-"&amp;333&amp;"A"))</f>
        <v/>
      </c>
      <c r="EJ20" s="725" t="str">
        <f>IF(COUNTA(車両台帳!$C$57:$C$2056)=0,"",COUNTIF(車両台帳!$BD$57:$BD$2056,EJ$3&amp;"-"&amp;333&amp;"A"))</f>
        <v/>
      </c>
      <c r="EK20" s="725" t="str">
        <f>IF(COUNTA(車両台帳!$C$57:$C$2056)=0,"",COUNTIF(車両台帳!$BD$57:$BD$2056,EK$3&amp;"-"&amp;333&amp;"A"))</f>
        <v/>
      </c>
      <c r="EL20" s="725" t="str">
        <f>IF(COUNTA(車両台帳!$C$57:$C$2056)=0,"",COUNTIF(車両台帳!$BD$57:$BD$2056,EL$3&amp;"-"&amp;333&amp;"A"))</f>
        <v/>
      </c>
      <c r="EM20" s="725" t="str">
        <f>IF(COUNTA(車両台帳!$C$57:$C$2056)=0,"",COUNTIF(車両台帳!$BD$57:$BD$2056,EM$3&amp;"-"&amp;333&amp;"A"))</f>
        <v/>
      </c>
      <c r="EN20" s="725" t="str">
        <f>IF(COUNTA(車両台帳!$C$57:$C$2056)=0,"",COUNTIF(車両台帳!$BD$57:$BD$2056,EN$3&amp;"-"&amp;333&amp;"A"))</f>
        <v/>
      </c>
      <c r="EO20" s="725" t="str">
        <f>IF(COUNTA(車両台帳!$C$57:$C$2056)=0,"",COUNTIF(車両台帳!$BD$57:$BD$2056,EO$3&amp;"-"&amp;333&amp;"A"))</f>
        <v/>
      </c>
      <c r="EP20" s="725" t="str">
        <f>IF(COUNTA(車両台帳!$C$57:$C$2056)=0,"",COUNTIF(車両台帳!$BD$57:$BD$2056,EP$3&amp;"-"&amp;333&amp;"A"))</f>
        <v/>
      </c>
      <c r="EQ20" s="725" t="str">
        <f>IF(COUNTA(車両台帳!$C$57:$C$2056)=0,"",COUNTIF(車両台帳!$BD$57:$BD$2056,EQ$3&amp;"-"&amp;333&amp;"A"))</f>
        <v/>
      </c>
      <c r="ER20" s="725" t="str">
        <f>IF(COUNTA(車両台帳!$C$57:$C$2056)=0,"",COUNTIF(車両台帳!$BD$57:$BD$2056,ER$3&amp;"-"&amp;333&amp;"A"))</f>
        <v/>
      </c>
      <c r="ES20" s="725" t="str">
        <f>IF(COUNTA(車両台帳!$C$57:$C$2056)=0,"",COUNTIF(車両台帳!$BD$57:$BD$2056,ES$3&amp;"-"&amp;333&amp;"A"))</f>
        <v/>
      </c>
      <c r="ET20" s="725" t="str">
        <f>IF(COUNTA(車両台帳!$C$57:$C$2056)=0,"",COUNTIF(車両台帳!$BD$57:$BD$2056,ET$3&amp;"-"&amp;333&amp;"A"))</f>
        <v/>
      </c>
      <c r="EU20" s="725" t="str">
        <f>IF(COUNTA(車両台帳!$C$57:$C$2056)=0,"",COUNTIF(車両台帳!$BD$57:$BD$2056,EU$3&amp;"-"&amp;333&amp;"A"))</f>
        <v/>
      </c>
      <c r="EV20" s="725" t="str">
        <f>IF(COUNTA(車両台帳!$C$57:$C$2056)=0,"",COUNTIF(車両台帳!$BD$57:$BD$2056,EV$3&amp;"-"&amp;333&amp;"A"))</f>
        <v/>
      </c>
      <c r="EW20" s="725" t="str">
        <f>IF(COUNTA(車両台帳!$C$57:$C$2056)=0,"",COUNTIF(車両台帳!$BD$57:$BD$2056,EW$3&amp;"-"&amp;333&amp;"A"))</f>
        <v/>
      </c>
      <c r="EX20" s="725" t="str">
        <f>IF(COUNTA(車両台帳!$C$57:$C$2056)=0,"",COUNTIF(車両台帳!$BD$57:$BD$2056,EX$3&amp;"-"&amp;333&amp;"A"))</f>
        <v/>
      </c>
      <c r="EY20" s="725" t="str">
        <f>IF(COUNTA(車両台帳!$C$57:$C$2056)=0,"",COUNTIF(車両台帳!$BD$57:$BD$2056,EY$3&amp;"-"&amp;333&amp;"A"))</f>
        <v/>
      </c>
      <c r="EZ20" s="725" t="str">
        <f>IF(COUNTA(車両台帳!$C$57:$C$2056)=0,"",COUNTIF(車両台帳!$BD$57:$BD$2056,EZ$3&amp;"-"&amp;333&amp;"A"))</f>
        <v/>
      </c>
      <c r="FA20" s="725" t="str">
        <f>IF(COUNTA(車両台帳!$C$57:$C$2056)=0,"",COUNTIF(車両台帳!$BD$57:$BD$2056,FA$3&amp;"-"&amp;333&amp;"A"))</f>
        <v/>
      </c>
      <c r="FB20" s="725" t="str">
        <f>IF(COUNTA(車両台帳!$C$57:$C$2056)=0,"",COUNTIF(車両台帳!$BD$57:$BD$2056,FB$3&amp;"-"&amp;333&amp;"A"))</f>
        <v/>
      </c>
      <c r="FC20" s="725" t="str">
        <f>IF(COUNTA(車両台帳!$C$57:$C$2056)=0,"",COUNTIF(車両台帳!$BD$57:$BD$2056,FC$3&amp;"-"&amp;333&amp;"A"))</f>
        <v/>
      </c>
      <c r="FD20" s="725" t="str">
        <f>IF(COUNTA(車両台帳!$C$57:$C$2056)=0,"",COUNTIF(車両台帳!$BD$57:$BD$2056,FD$3&amp;"-"&amp;333&amp;"A"))</f>
        <v/>
      </c>
      <c r="FE20" s="725" t="str">
        <f>IF(COUNTA(車両台帳!$C$57:$C$2056)=0,"",COUNTIF(車両台帳!$BD$57:$BD$2056,FE$3&amp;"-"&amp;333&amp;"A"))</f>
        <v/>
      </c>
      <c r="FF20" s="725" t="str">
        <f>IF(COUNTA(車両台帳!$C$57:$C$2056)=0,"",COUNTIF(車両台帳!$BD$57:$BD$2056,FF$3&amp;"-"&amp;333&amp;"A"))</f>
        <v/>
      </c>
      <c r="FG20" s="725" t="str">
        <f>IF(COUNTA(車両台帳!$C$57:$C$2056)=0,"",COUNTIF(車両台帳!$BD$57:$BD$2056,FG$3&amp;"-"&amp;333&amp;"A"))</f>
        <v/>
      </c>
      <c r="FH20" s="725" t="str">
        <f>IF(COUNTA(車両台帳!$C$57:$C$2056)=0,"",COUNTIF(車両台帳!$BD$57:$BD$2056,FH$3&amp;"-"&amp;333&amp;"A"))</f>
        <v/>
      </c>
      <c r="FI20" s="725" t="str">
        <f>IF(COUNTA(車両台帳!$C$57:$C$2056)=0,"",COUNTIF(車両台帳!$BD$57:$BD$2056,FI$3&amp;"-"&amp;333&amp;"A"))</f>
        <v/>
      </c>
      <c r="FJ20" s="725" t="str">
        <f>IF(COUNTA(車両台帳!$C$57:$C$2056)=0,"",COUNTIF(車両台帳!$BD$57:$BD$2056,FJ$3&amp;"-"&amp;333&amp;"A"))</f>
        <v/>
      </c>
      <c r="FK20" s="725" t="str">
        <f>IF(COUNTA(車両台帳!$C$57:$C$2056)=0,"",COUNTIF(車両台帳!$BD$57:$BD$2056,FK$3&amp;"-"&amp;333&amp;"A"))</f>
        <v/>
      </c>
      <c r="FL20" s="725" t="str">
        <f>IF(COUNTA(車両台帳!$C$57:$C$2056)=0,"",COUNTIF(車両台帳!$BD$57:$BD$2056,FL$3&amp;"-"&amp;333&amp;"A"))</f>
        <v/>
      </c>
      <c r="FM20" s="725" t="str">
        <f>IF(COUNTA(車両台帳!$C$57:$C$2056)=0,"",COUNTIF(車両台帳!$BD$57:$BD$2056,FM$3&amp;"-"&amp;333&amp;"A"))</f>
        <v/>
      </c>
      <c r="FN20" s="725" t="str">
        <f>IF(COUNTA(車両台帳!$C$57:$C$2056)=0,"",COUNTIF(車両台帳!$BD$57:$BD$2056,FN$3&amp;"-"&amp;333&amp;"A"))</f>
        <v/>
      </c>
      <c r="FO20" s="725" t="str">
        <f>IF(COUNTA(車両台帳!$C$57:$C$2056)=0,"",COUNTIF(車両台帳!$BD$57:$BD$2056,FO$3&amp;"-"&amp;333&amp;"A"))</f>
        <v/>
      </c>
      <c r="FP20" s="725" t="str">
        <f>IF(COUNTA(車両台帳!$C$57:$C$2056)=0,"",COUNTIF(車両台帳!$BD$57:$BD$2056,FP$3&amp;"-"&amp;333&amp;"A"))</f>
        <v/>
      </c>
      <c r="FQ20" s="725" t="str">
        <f>IF(COUNTA(車両台帳!$C$57:$C$2056)=0,"",COUNTIF(車両台帳!$BD$57:$BD$2056,FQ$3&amp;"-"&amp;333&amp;"A"))</f>
        <v/>
      </c>
      <c r="FR20" s="725" t="str">
        <f>IF(COUNTA(車両台帳!$C$57:$C$2056)=0,"",COUNTIF(車両台帳!$BD$57:$BD$2056,FR$3&amp;"-"&amp;333&amp;"A"))</f>
        <v/>
      </c>
      <c r="FS20" s="725" t="str">
        <f>IF(COUNTA(車両台帳!$C$57:$C$2056)=0,"",COUNTIF(車両台帳!$BD$57:$BD$2056,FS$3&amp;"-"&amp;333&amp;"A"))</f>
        <v/>
      </c>
      <c r="FT20" s="725" t="str">
        <f>IF(COUNTA(車両台帳!$C$57:$C$2056)=0,"",COUNTIF(車両台帳!$BD$57:$BD$2056,FT$3&amp;"-"&amp;333&amp;"A"))</f>
        <v/>
      </c>
      <c r="FU20" s="725" t="str">
        <f>IF(COUNTA(車両台帳!$C$57:$C$2056)=0,"",COUNTIF(車両台帳!$BD$57:$BD$2056,FU$3&amp;"-"&amp;333&amp;"A"))</f>
        <v/>
      </c>
      <c r="FV20" s="725" t="str">
        <f>IF(COUNTA(車両台帳!$C$57:$C$2056)=0,"",COUNTIF(車両台帳!$BD$57:$BD$2056,FV$3&amp;"-"&amp;333&amp;"A"))</f>
        <v/>
      </c>
      <c r="FW20" s="725" t="str">
        <f>IF(COUNTA(車両台帳!$C$57:$C$2056)=0,"",COUNTIF(車両台帳!$BD$57:$BD$2056,FW$3&amp;"-"&amp;333&amp;"A"))</f>
        <v/>
      </c>
      <c r="FX20" s="725" t="str">
        <f>IF(COUNTA(車両台帳!$C$57:$C$2056)=0,"",COUNTIF(車両台帳!$BD$57:$BD$2056,FX$3&amp;"-"&amp;333&amp;"A"))</f>
        <v/>
      </c>
      <c r="FY20" s="725" t="str">
        <f>IF(COUNTA(車両台帳!$C$57:$C$2056)=0,"",COUNTIF(車両台帳!$BD$57:$BD$2056,FY$3&amp;"-"&amp;333&amp;"A"))</f>
        <v/>
      </c>
      <c r="FZ20" s="725" t="str">
        <f>IF(COUNTA(車両台帳!$C$57:$C$2056)=0,"",COUNTIF(車両台帳!$BD$57:$BD$2056,FZ$3&amp;"-"&amp;333&amp;"A"))</f>
        <v/>
      </c>
      <c r="GA20" s="725" t="str">
        <f>IF(COUNTA(車両台帳!$C$57:$C$2056)=0,"",COUNTIF(車両台帳!$BD$57:$BD$2056,GA$3&amp;"-"&amp;333&amp;"A"))</f>
        <v/>
      </c>
      <c r="GB20" s="725" t="str">
        <f>IF(COUNTA(車両台帳!$C$57:$C$2056)=0,"",COUNTIF(車両台帳!$BD$57:$BD$2056,GB$3&amp;"-"&amp;333&amp;"A"))</f>
        <v/>
      </c>
      <c r="GC20" s="725" t="str">
        <f>IF(COUNTA(車両台帳!$C$57:$C$2056)=0,"",COUNTIF(車両台帳!$BD$57:$BD$2056,GC$3&amp;"-"&amp;333&amp;"A"))</f>
        <v/>
      </c>
      <c r="GD20" s="725" t="str">
        <f>IF(COUNTA(車両台帳!$C$57:$C$2056)=0,"",COUNTIF(車両台帳!$BD$57:$BD$2056,GD$3&amp;"-"&amp;333&amp;"A"))</f>
        <v/>
      </c>
      <c r="GE20" s="725" t="str">
        <f>IF(COUNTA(車両台帳!$C$57:$C$2056)=0,"",COUNTIF(車両台帳!$BD$57:$BD$2056,GE$3&amp;"-"&amp;333&amp;"A"))</f>
        <v/>
      </c>
      <c r="GF20" s="725" t="str">
        <f>IF(COUNTA(車両台帳!$C$57:$C$2056)=0,"",COUNTIF(車両台帳!$BD$57:$BD$2056,GF$3&amp;"-"&amp;333&amp;"A"))</f>
        <v/>
      </c>
      <c r="GG20" s="725" t="str">
        <f>IF(COUNTA(車両台帳!$C$57:$C$2056)=0,"",COUNTIF(車両台帳!$BD$57:$BD$2056,GG$3&amp;"-"&amp;333&amp;"A"))</f>
        <v/>
      </c>
      <c r="GH20" s="725" t="str">
        <f>IF(COUNTA(車両台帳!$C$57:$C$2056)=0,"",COUNTIF(車両台帳!$BD$57:$BD$2056,GH$3&amp;"-"&amp;333&amp;"A"))</f>
        <v/>
      </c>
      <c r="GI20" s="725" t="str">
        <f>IF(COUNTA(車両台帳!$C$57:$C$2056)=0,"",COUNTIF(車両台帳!$BD$57:$BD$2056,GI$3&amp;"-"&amp;333&amp;"A"))</f>
        <v/>
      </c>
      <c r="GJ20" s="725" t="str">
        <f>IF(COUNTA(車両台帳!$C$57:$C$2056)=0,"",COUNTIF(車両台帳!$BD$57:$BD$2056,GJ$3&amp;"-"&amp;333&amp;"A"))</f>
        <v/>
      </c>
      <c r="GK20" s="725" t="str">
        <f>IF(COUNTA(車両台帳!$C$57:$C$2056)=0,"",COUNTIF(車両台帳!$BD$57:$BD$2056,GK$3&amp;"-"&amp;333&amp;"A"))</f>
        <v/>
      </c>
      <c r="GL20" s="725" t="str">
        <f>IF(COUNTA(車両台帳!$C$57:$C$2056)=0,"",COUNTIF(車両台帳!$BD$57:$BD$2056,GL$3&amp;"-"&amp;333&amp;"A"))</f>
        <v/>
      </c>
      <c r="GM20" s="725" t="str">
        <f>IF(COUNTA(車両台帳!$C$57:$C$2056)=0,"",COUNTIF(車両台帳!$BD$57:$BD$2056,GM$3&amp;"-"&amp;333&amp;"A"))</f>
        <v/>
      </c>
      <c r="GN20" s="725" t="str">
        <f>IF(COUNTA(車両台帳!$C$57:$C$2056)=0,"",COUNTIF(車両台帳!$BD$57:$BD$2056,GN$3&amp;"-"&amp;333&amp;"A"))</f>
        <v/>
      </c>
      <c r="GO20" s="725" t="str">
        <f>IF(COUNTA(車両台帳!$C$57:$C$2056)=0,"",COUNTIF(車両台帳!$BD$57:$BD$2056,GO$3&amp;"-"&amp;333&amp;"A"))</f>
        <v/>
      </c>
      <c r="GP20" s="725" t="str">
        <f>IF(COUNTA(車両台帳!$C$57:$C$2056)=0,"",COUNTIF(車両台帳!$BD$57:$BD$2056,GP$3&amp;"-"&amp;333&amp;"A"))</f>
        <v/>
      </c>
      <c r="GQ20" s="725" t="str">
        <f>IF(COUNTA(車両台帳!$C$57:$C$2056)=0,"",COUNTIF(車両台帳!$BD$57:$BD$2056,GQ$3&amp;"-"&amp;333&amp;"A"))</f>
        <v/>
      </c>
      <c r="GR20" s="725" t="str">
        <f>IF(COUNTA(車両台帳!$C$57:$C$2056)=0,"",COUNTIF(車両台帳!$BD$57:$BD$2056,GR$3&amp;"-"&amp;333&amp;"A"))</f>
        <v/>
      </c>
      <c r="GS20" s="725" t="str">
        <f>IF(COUNTA(車両台帳!$C$57:$C$2056)=0,"",COUNTIF(車両台帳!$BD$57:$BD$2056,GS$3&amp;"-"&amp;333&amp;"A"))</f>
        <v/>
      </c>
      <c r="GT20" s="725" t="str">
        <f>IF(COUNTA(車両台帳!$C$57:$C$2056)=0,"",COUNTIF(車両台帳!$BD$57:$BD$2056,GT$3&amp;"-"&amp;333&amp;"A"))</f>
        <v/>
      </c>
      <c r="GU20" s="726" t="str">
        <f>IF(COUNTA(車両台帳!$C$57:$C$2056)=0,"",COUNTIF(車両台帳!$BD$57:$BD$2056,GU$3&amp;"-"&amp;333&amp;"A"))</f>
        <v/>
      </c>
    </row>
    <row r="21" spans="1:203" s="7" customFormat="1" ht="29.25" customHeight="1" thickBot="1">
      <c r="A21" s="1185"/>
      <c r="B21" s="715" t="s">
        <v>44</v>
      </c>
      <c r="C21" s="727" t="str">
        <f>IF(COUNTA(車両台帳!$C$57:$C$2056)=0,"",SUM(D21:GU21))</f>
        <v/>
      </c>
      <c r="D21" s="728" t="str">
        <f>IF(COUNTA(車両台帳!$C$57:$C$2056)=0,"",COUNTIF(車両台帳!$BD$57:$BD$2056,D$3&amp;"-"&amp;334&amp;"A")+COUNTIF(車両台帳!$BD$57:$BD$2056,D$3&amp;"-"&amp;335&amp;"A"))</f>
        <v/>
      </c>
      <c r="E21" s="728" t="str">
        <f>IF(COUNTA(車両台帳!$C$57:$C$2056)=0,"",COUNTIF(車両台帳!$BD$57:$BD$2056,E$3&amp;"-"&amp;334&amp;"A")+COUNTIF(車両台帳!$BD$57:$BD$2056,E$3&amp;"-"&amp;335&amp;"A"))</f>
        <v/>
      </c>
      <c r="F21" s="728" t="str">
        <f>IF(COUNTA(車両台帳!$C$57:$C$2056)=0,"",COUNTIF(車両台帳!$BD$57:$BD$2056,F$3&amp;"-"&amp;334&amp;"A")+COUNTIF(車両台帳!$BD$57:$BD$2056,F$3&amp;"-"&amp;335&amp;"A"))</f>
        <v/>
      </c>
      <c r="G21" s="728" t="str">
        <f>IF(COUNTA(車両台帳!$C$57:$C$2056)=0,"",COUNTIF(車両台帳!$BD$57:$BD$2056,G$3&amp;"-"&amp;334&amp;"A")+COUNTIF(車両台帳!$BD$57:$BD$2056,G$3&amp;"-"&amp;335&amp;"A"))</f>
        <v/>
      </c>
      <c r="H21" s="728" t="str">
        <f>IF(COUNTA(車両台帳!$C$57:$C$2056)=0,"",COUNTIF(車両台帳!$BD$57:$BD$2056,H$3&amp;"-"&amp;334&amp;"A")+COUNTIF(車両台帳!$BD$57:$BD$2056,H$3&amp;"-"&amp;335&amp;"A"))</f>
        <v/>
      </c>
      <c r="I21" s="728" t="str">
        <f>IF(COUNTA(車両台帳!$C$57:$C$2056)=0,"",COUNTIF(車両台帳!$BD$57:$BD$2056,I$3&amp;"-"&amp;334&amp;"A")+COUNTIF(車両台帳!$BD$57:$BD$2056,I$3&amp;"-"&amp;335&amp;"A"))</f>
        <v/>
      </c>
      <c r="J21" s="728" t="str">
        <f>IF(COUNTA(車両台帳!$C$57:$C$2056)=0,"",COUNTIF(車両台帳!$BD$57:$BD$2056,J$3&amp;"-"&amp;334&amp;"A")+COUNTIF(車両台帳!$BD$57:$BD$2056,J$3&amp;"-"&amp;335&amp;"A"))</f>
        <v/>
      </c>
      <c r="K21" s="728" t="str">
        <f>IF(COUNTA(車両台帳!$C$57:$C$2056)=0,"",COUNTIF(車両台帳!$BD$57:$BD$2056,K$3&amp;"-"&amp;334&amp;"A")+COUNTIF(車両台帳!$BD$57:$BD$2056,K$3&amp;"-"&amp;335&amp;"A"))</f>
        <v/>
      </c>
      <c r="L21" s="728" t="str">
        <f>IF(COUNTA(車両台帳!$C$57:$C$2056)=0,"",COUNTIF(車両台帳!$BD$57:$BD$2056,L$3&amp;"-"&amp;334&amp;"A")+COUNTIF(車両台帳!$BD$57:$BD$2056,L$3&amp;"-"&amp;335&amp;"A"))</f>
        <v/>
      </c>
      <c r="M21" s="728" t="str">
        <f>IF(COUNTA(車両台帳!$C$57:$C$2056)=0,"",COUNTIF(車両台帳!$BD$57:$BD$2056,M$3&amp;"-"&amp;334&amp;"A")+COUNTIF(車両台帳!$BD$57:$BD$2056,M$3&amp;"-"&amp;335&amp;"A"))</f>
        <v/>
      </c>
      <c r="N21" s="728" t="str">
        <f>IF(COUNTA(車両台帳!$C$57:$C$2056)=0,"",COUNTIF(車両台帳!$BD$57:$BD$2056,N$3&amp;"-"&amp;334&amp;"A")+COUNTIF(車両台帳!$BD$57:$BD$2056,N$3&amp;"-"&amp;335&amp;"A"))</f>
        <v/>
      </c>
      <c r="O21" s="728" t="str">
        <f>IF(COUNTA(車両台帳!$C$57:$C$2056)=0,"",COUNTIF(車両台帳!$BD$57:$BD$2056,O$3&amp;"-"&amp;334&amp;"A")+COUNTIF(車両台帳!$BD$57:$BD$2056,O$3&amp;"-"&amp;335&amp;"A"))</f>
        <v/>
      </c>
      <c r="P21" s="728" t="str">
        <f>IF(COUNTA(車両台帳!$C$57:$C$2056)=0,"",COUNTIF(車両台帳!$BD$57:$BD$2056,P$3&amp;"-"&amp;334&amp;"A")+COUNTIF(車両台帳!$BD$57:$BD$2056,P$3&amp;"-"&amp;335&amp;"A"))</f>
        <v/>
      </c>
      <c r="Q21" s="728" t="str">
        <f>IF(COUNTA(車両台帳!$C$57:$C$2056)=0,"",COUNTIF(車両台帳!$BD$57:$BD$2056,Q$3&amp;"-"&amp;334&amp;"A")+COUNTIF(車両台帳!$BD$57:$BD$2056,Q$3&amp;"-"&amp;335&amp;"A"))</f>
        <v/>
      </c>
      <c r="R21" s="728" t="str">
        <f>IF(COUNTA(車両台帳!$C$57:$C$2056)=0,"",COUNTIF(車両台帳!$BD$57:$BD$2056,R$3&amp;"-"&amp;334&amp;"A")+COUNTIF(車両台帳!$BD$57:$BD$2056,R$3&amp;"-"&amp;335&amp;"A"))</f>
        <v/>
      </c>
      <c r="S21" s="728" t="str">
        <f>IF(COUNTA(車両台帳!$C$57:$C$2056)=0,"",COUNTIF(車両台帳!$BD$57:$BD$2056,S$3&amp;"-"&amp;334&amp;"A")+COUNTIF(車両台帳!$BD$57:$BD$2056,S$3&amp;"-"&amp;335&amp;"A"))</f>
        <v/>
      </c>
      <c r="T21" s="728" t="str">
        <f>IF(COUNTA(車両台帳!$C$57:$C$2056)=0,"",COUNTIF(車両台帳!$BD$57:$BD$2056,T$3&amp;"-"&amp;334&amp;"A")+COUNTIF(車両台帳!$BD$57:$BD$2056,T$3&amp;"-"&amp;335&amp;"A"))</f>
        <v/>
      </c>
      <c r="U21" s="728" t="str">
        <f>IF(COUNTA(車両台帳!$C$57:$C$2056)=0,"",COUNTIF(車両台帳!$BD$57:$BD$2056,U$3&amp;"-"&amp;334&amp;"A")+COUNTIF(車両台帳!$BD$57:$BD$2056,U$3&amp;"-"&amp;335&amp;"A"))</f>
        <v/>
      </c>
      <c r="V21" s="728" t="str">
        <f>IF(COUNTA(車両台帳!$C$57:$C$2056)=0,"",COUNTIF(車両台帳!$BD$57:$BD$2056,V$3&amp;"-"&amp;334&amp;"A")+COUNTIF(車両台帳!$BD$57:$BD$2056,V$3&amp;"-"&amp;335&amp;"A"))</f>
        <v/>
      </c>
      <c r="W21" s="728" t="str">
        <f>IF(COUNTA(車両台帳!$C$57:$C$2056)=0,"",COUNTIF(車両台帳!$BD$57:$BD$2056,W$3&amp;"-"&amp;334&amp;"A")+COUNTIF(車両台帳!$BD$57:$BD$2056,W$3&amp;"-"&amp;335&amp;"A"))</f>
        <v/>
      </c>
      <c r="X21" s="728" t="str">
        <f>IF(COUNTA(車両台帳!$C$57:$C$2056)=0,"",COUNTIF(車両台帳!$BD$57:$BD$2056,X$3&amp;"-"&amp;334&amp;"A")+COUNTIF(車両台帳!$BD$57:$BD$2056,X$3&amp;"-"&amp;335&amp;"A"))</f>
        <v/>
      </c>
      <c r="Y21" s="728" t="str">
        <f>IF(COUNTA(車両台帳!$C$57:$C$2056)=0,"",COUNTIF(車両台帳!$BD$57:$BD$2056,Y$3&amp;"-"&amp;334&amp;"A")+COUNTIF(車両台帳!$BD$57:$BD$2056,Y$3&amp;"-"&amp;335&amp;"A"))</f>
        <v/>
      </c>
      <c r="Z21" s="728" t="str">
        <f>IF(COUNTA(車両台帳!$C$57:$C$2056)=0,"",COUNTIF(車両台帳!$BD$57:$BD$2056,Z$3&amp;"-"&amp;334&amp;"A")+COUNTIF(車両台帳!$BD$57:$BD$2056,Z$3&amp;"-"&amp;335&amp;"A"))</f>
        <v/>
      </c>
      <c r="AA21" s="728" t="str">
        <f>IF(COUNTA(車両台帳!$C$57:$C$2056)=0,"",COUNTIF(車両台帳!$BD$57:$BD$2056,AA$3&amp;"-"&amp;334&amp;"A")+COUNTIF(車両台帳!$BD$57:$BD$2056,AA$3&amp;"-"&amp;335&amp;"A"))</f>
        <v/>
      </c>
      <c r="AB21" s="728" t="str">
        <f>IF(COUNTA(車両台帳!$C$57:$C$2056)=0,"",COUNTIF(車両台帳!$BD$57:$BD$2056,AB$3&amp;"-"&amp;334&amp;"A")+COUNTIF(車両台帳!$BD$57:$BD$2056,AB$3&amp;"-"&amp;335&amp;"A"))</f>
        <v/>
      </c>
      <c r="AC21" s="728" t="str">
        <f>IF(COUNTA(車両台帳!$C$57:$C$2056)=0,"",COUNTIF(車両台帳!$BD$57:$BD$2056,AC$3&amp;"-"&amp;334&amp;"A")+COUNTIF(車両台帳!$BD$57:$BD$2056,AC$3&amp;"-"&amp;335&amp;"A"))</f>
        <v/>
      </c>
      <c r="AD21" s="728" t="str">
        <f>IF(COUNTA(車両台帳!$C$57:$C$2056)=0,"",COUNTIF(車両台帳!$BD$57:$BD$2056,AD$3&amp;"-"&amp;334&amp;"A")+COUNTIF(車両台帳!$BD$57:$BD$2056,AD$3&amp;"-"&amp;335&amp;"A"))</f>
        <v/>
      </c>
      <c r="AE21" s="728" t="str">
        <f>IF(COUNTA(車両台帳!$C$57:$C$2056)=0,"",COUNTIF(車両台帳!$BD$57:$BD$2056,AE$3&amp;"-"&amp;334&amp;"A")+COUNTIF(車両台帳!$BD$57:$BD$2056,AE$3&amp;"-"&amp;335&amp;"A"))</f>
        <v/>
      </c>
      <c r="AF21" s="728" t="str">
        <f>IF(COUNTA(車両台帳!$C$57:$C$2056)=0,"",COUNTIF(車両台帳!$BD$57:$BD$2056,AF$3&amp;"-"&amp;334&amp;"A")+COUNTIF(車両台帳!$BD$57:$BD$2056,AF$3&amp;"-"&amp;335&amp;"A"))</f>
        <v/>
      </c>
      <c r="AG21" s="728" t="str">
        <f>IF(COUNTA(車両台帳!$C$57:$C$2056)=0,"",COUNTIF(車両台帳!$BD$57:$BD$2056,AG$3&amp;"-"&amp;334&amp;"A")+COUNTIF(車両台帳!$BD$57:$BD$2056,AG$3&amp;"-"&amp;335&amp;"A"))</f>
        <v/>
      </c>
      <c r="AH21" s="728" t="str">
        <f>IF(COUNTA(車両台帳!$C$57:$C$2056)=0,"",COUNTIF(車両台帳!$BD$57:$BD$2056,AH$3&amp;"-"&amp;334&amp;"A")+COUNTIF(車両台帳!$BD$57:$BD$2056,AH$3&amp;"-"&amp;335&amp;"A"))</f>
        <v/>
      </c>
      <c r="AI21" s="728" t="str">
        <f>IF(COUNTA(車両台帳!$C$57:$C$2056)=0,"",COUNTIF(車両台帳!$BD$57:$BD$2056,AI$3&amp;"-"&amp;334&amp;"A")+COUNTIF(車両台帳!$BD$57:$BD$2056,AI$3&amp;"-"&amp;335&amp;"A"))</f>
        <v/>
      </c>
      <c r="AJ21" s="728" t="str">
        <f>IF(COUNTA(車両台帳!$C$57:$C$2056)=0,"",COUNTIF(車両台帳!$BD$57:$BD$2056,AJ$3&amp;"-"&amp;334&amp;"A")+COUNTIF(車両台帳!$BD$57:$BD$2056,AJ$3&amp;"-"&amp;335&amp;"A"))</f>
        <v/>
      </c>
      <c r="AK21" s="728" t="str">
        <f>IF(COUNTA(車両台帳!$C$57:$C$2056)=0,"",COUNTIF(車両台帳!$BD$57:$BD$2056,AK$3&amp;"-"&amp;334&amp;"A")+COUNTIF(車両台帳!$BD$57:$BD$2056,AK$3&amp;"-"&amp;335&amp;"A"))</f>
        <v/>
      </c>
      <c r="AL21" s="728" t="str">
        <f>IF(COUNTA(車両台帳!$C$57:$C$2056)=0,"",COUNTIF(車両台帳!$BD$57:$BD$2056,AL$3&amp;"-"&amp;334&amp;"A")+COUNTIF(車両台帳!$BD$57:$BD$2056,AL$3&amp;"-"&amp;335&amp;"A"))</f>
        <v/>
      </c>
      <c r="AM21" s="728" t="str">
        <f>IF(COUNTA(車両台帳!$C$57:$C$2056)=0,"",COUNTIF(車両台帳!$BD$57:$BD$2056,AM$3&amp;"-"&amp;334&amp;"A")+COUNTIF(車両台帳!$BD$57:$BD$2056,AM$3&amp;"-"&amp;335&amp;"A"))</f>
        <v/>
      </c>
      <c r="AN21" s="728" t="str">
        <f>IF(COUNTA(車両台帳!$C$57:$C$2056)=0,"",COUNTIF(車両台帳!$BD$57:$BD$2056,AN$3&amp;"-"&amp;334&amp;"A")+COUNTIF(車両台帳!$BD$57:$BD$2056,AN$3&amp;"-"&amp;335&amp;"A"))</f>
        <v/>
      </c>
      <c r="AO21" s="728" t="str">
        <f>IF(COUNTA(車両台帳!$C$57:$C$2056)=0,"",COUNTIF(車両台帳!$BD$57:$BD$2056,AO$3&amp;"-"&amp;334&amp;"A")+COUNTIF(車両台帳!$BD$57:$BD$2056,AO$3&amp;"-"&amp;335&amp;"A"))</f>
        <v/>
      </c>
      <c r="AP21" s="728" t="str">
        <f>IF(COUNTA(車両台帳!$C$57:$C$2056)=0,"",COUNTIF(車両台帳!$BD$57:$BD$2056,AP$3&amp;"-"&amp;334&amp;"A")+COUNTIF(車両台帳!$BD$57:$BD$2056,AP$3&amp;"-"&amp;335&amp;"A"))</f>
        <v/>
      </c>
      <c r="AQ21" s="728" t="str">
        <f>IF(COUNTA(車両台帳!$C$57:$C$2056)=0,"",COUNTIF(車両台帳!$BD$57:$BD$2056,AQ$3&amp;"-"&amp;334&amp;"A")+COUNTIF(車両台帳!$BD$57:$BD$2056,AQ$3&amp;"-"&amp;335&amp;"A"))</f>
        <v/>
      </c>
      <c r="AR21" s="728" t="str">
        <f>IF(COUNTA(車両台帳!$C$57:$C$2056)=0,"",COUNTIF(車両台帳!$BD$57:$BD$2056,AR$3&amp;"-"&amp;334&amp;"A")+COUNTIF(車両台帳!$BD$57:$BD$2056,AR$3&amp;"-"&amp;335&amp;"A"))</f>
        <v/>
      </c>
      <c r="AS21" s="728" t="str">
        <f>IF(COUNTA(車両台帳!$C$57:$C$2056)=0,"",COUNTIF(車両台帳!$BD$57:$BD$2056,AS$3&amp;"-"&amp;334&amp;"A")+COUNTIF(車両台帳!$BD$57:$BD$2056,AS$3&amp;"-"&amp;335&amp;"A"))</f>
        <v/>
      </c>
      <c r="AT21" s="728" t="str">
        <f>IF(COUNTA(車両台帳!$C$57:$C$2056)=0,"",COUNTIF(車両台帳!$BD$57:$BD$2056,AT$3&amp;"-"&amp;334&amp;"A")+COUNTIF(車両台帳!$BD$57:$BD$2056,AT$3&amp;"-"&amp;335&amp;"A"))</f>
        <v/>
      </c>
      <c r="AU21" s="728" t="str">
        <f>IF(COUNTA(車両台帳!$C$57:$C$2056)=0,"",COUNTIF(車両台帳!$BD$57:$BD$2056,AU$3&amp;"-"&amp;334&amp;"A")+COUNTIF(車両台帳!$BD$57:$BD$2056,AU$3&amp;"-"&amp;335&amp;"A"))</f>
        <v/>
      </c>
      <c r="AV21" s="728" t="str">
        <f>IF(COUNTA(車両台帳!$C$57:$C$2056)=0,"",COUNTIF(車両台帳!$BD$57:$BD$2056,AV$3&amp;"-"&amp;334&amp;"A")+COUNTIF(車両台帳!$BD$57:$BD$2056,AV$3&amp;"-"&amp;335&amp;"A"))</f>
        <v/>
      </c>
      <c r="AW21" s="728" t="str">
        <f>IF(COUNTA(車両台帳!$C$57:$C$2056)=0,"",COUNTIF(車両台帳!$BD$57:$BD$2056,AW$3&amp;"-"&amp;334&amp;"A")+COUNTIF(車両台帳!$BD$57:$BD$2056,AW$3&amp;"-"&amp;335&amp;"A"))</f>
        <v/>
      </c>
      <c r="AX21" s="728" t="str">
        <f>IF(COUNTA(車両台帳!$C$57:$C$2056)=0,"",COUNTIF(車両台帳!$BD$57:$BD$2056,AX$3&amp;"-"&amp;334&amp;"A")+COUNTIF(車両台帳!$BD$57:$BD$2056,AX$3&amp;"-"&amp;335&amp;"A"))</f>
        <v/>
      </c>
      <c r="AY21" s="728" t="str">
        <f>IF(COUNTA(車両台帳!$C$57:$C$2056)=0,"",COUNTIF(車両台帳!$BD$57:$BD$2056,AY$3&amp;"-"&amp;334&amp;"A")+COUNTIF(車両台帳!$BD$57:$BD$2056,AY$3&amp;"-"&amp;335&amp;"A"))</f>
        <v/>
      </c>
      <c r="AZ21" s="728" t="str">
        <f>IF(COUNTA(車両台帳!$C$57:$C$2056)=0,"",COUNTIF(車両台帳!$BD$57:$BD$2056,AZ$3&amp;"-"&amp;334&amp;"A")+COUNTIF(車両台帳!$BD$57:$BD$2056,AZ$3&amp;"-"&amp;335&amp;"A"))</f>
        <v/>
      </c>
      <c r="BA21" s="728" t="str">
        <f>IF(COUNTA(車両台帳!$C$57:$C$2056)=0,"",COUNTIF(車両台帳!$BD$57:$BD$2056,BA$3&amp;"-"&amp;334&amp;"A")+COUNTIF(車両台帳!$BD$57:$BD$2056,BA$3&amp;"-"&amp;335&amp;"A"))</f>
        <v/>
      </c>
      <c r="BB21" s="728" t="str">
        <f>IF(COUNTA(車両台帳!$C$57:$C$2056)=0,"",COUNTIF(車両台帳!$BD$57:$BD$2056,BB$3&amp;"-"&amp;334&amp;"A")+COUNTIF(車両台帳!$BD$57:$BD$2056,BB$3&amp;"-"&amp;335&amp;"A"))</f>
        <v/>
      </c>
      <c r="BC21" s="728" t="str">
        <f>IF(COUNTA(車両台帳!$C$57:$C$2056)=0,"",COUNTIF(車両台帳!$BD$57:$BD$2056,BC$3&amp;"-"&amp;334&amp;"A")+COUNTIF(車両台帳!$BD$57:$BD$2056,BC$3&amp;"-"&amp;335&amp;"A"))</f>
        <v/>
      </c>
      <c r="BD21" s="728" t="str">
        <f>IF(COUNTA(車両台帳!$C$57:$C$2056)=0,"",COUNTIF(車両台帳!$BD$57:$BD$2056,BD$3&amp;"-"&amp;334&amp;"A")+COUNTIF(車両台帳!$BD$57:$BD$2056,BD$3&amp;"-"&amp;335&amp;"A"))</f>
        <v/>
      </c>
      <c r="BE21" s="728" t="str">
        <f>IF(COUNTA(車両台帳!$C$57:$C$2056)=0,"",COUNTIF(車両台帳!$BD$57:$BD$2056,BE$3&amp;"-"&amp;334&amp;"A")+COUNTIF(車両台帳!$BD$57:$BD$2056,BE$3&amp;"-"&amp;335&amp;"A"))</f>
        <v/>
      </c>
      <c r="BF21" s="728" t="str">
        <f>IF(COUNTA(車両台帳!$C$57:$C$2056)=0,"",COUNTIF(車両台帳!$BD$57:$BD$2056,BF$3&amp;"-"&amp;334&amp;"A")+COUNTIF(車両台帳!$BD$57:$BD$2056,BF$3&amp;"-"&amp;335&amp;"A"))</f>
        <v/>
      </c>
      <c r="BG21" s="728" t="str">
        <f>IF(COUNTA(車両台帳!$C$57:$C$2056)=0,"",COUNTIF(車両台帳!$BD$57:$BD$2056,BG$3&amp;"-"&amp;334&amp;"A")+COUNTIF(車両台帳!$BD$57:$BD$2056,BG$3&amp;"-"&amp;335&amp;"A"))</f>
        <v/>
      </c>
      <c r="BH21" s="728" t="str">
        <f>IF(COUNTA(車両台帳!$C$57:$C$2056)=0,"",COUNTIF(車両台帳!$BD$57:$BD$2056,BH$3&amp;"-"&amp;334&amp;"A")+COUNTIF(車両台帳!$BD$57:$BD$2056,BH$3&amp;"-"&amp;335&amp;"A"))</f>
        <v/>
      </c>
      <c r="BI21" s="728" t="str">
        <f>IF(COUNTA(車両台帳!$C$57:$C$2056)=0,"",COUNTIF(車両台帳!$BD$57:$BD$2056,BI$3&amp;"-"&amp;334&amp;"A")+COUNTIF(車両台帳!$BD$57:$BD$2056,BI$3&amp;"-"&amp;335&amp;"A"))</f>
        <v/>
      </c>
      <c r="BJ21" s="728" t="str">
        <f>IF(COUNTA(車両台帳!$C$57:$C$2056)=0,"",COUNTIF(車両台帳!$BD$57:$BD$2056,BJ$3&amp;"-"&amp;334&amp;"A")+COUNTIF(車両台帳!$BD$57:$BD$2056,BJ$3&amp;"-"&amp;335&amp;"A"))</f>
        <v/>
      </c>
      <c r="BK21" s="728" t="str">
        <f>IF(COUNTA(車両台帳!$C$57:$C$2056)=0,"",COUNTIF(車両台帳!$BD$57:$BD$2056,BK$3&amp;"-"&amp;334&amp;"A")+COUNTIF(車両台帳!$BD$57:$BD$2056,BK$3&amp;"-"&amp;335&amp;"A"))</f>
        <v/>
      </c>
      <c r="BL21" s="728" t="str">
        <f>IF(COUNTA(車両台帳!$C$57:$C$2056)=0,"",COUNTIF(車両台帳!$BD$57:$BD$2056,BL$3&amp;"-"&amp;334&amp;"A")+COUNTIF(車両台帳!$BD$57:$BD$2056,BL$3&amp;"-"&amp;335&amp;"A"))</f>
        <v/>
      </c>
      <c r="BM21" s="728" t="str">
        <f>IF(COUNTA(車両台帳!$C$57:$C$2056)=0,"",COUNTIF(車両台帳!$BD$57:$BD$2056,BM$3&amp;"-"&amp;334&amp;"A")+COUNTIF(車両台帳!$BD$57:$BD$2056,BM$3&amp;"-"&amp;335&amp;"A"))</f>
        <v/>
      </c>
      <c r="BN21" s="728" t="str">
        <f>IF(COUNTA(車両台帳!$C$57:$C$2056)=0,"",COUNTIF(車両台帳!$BD$57:$BD$2056,BN$3&amp;"-"&amp;334&amp;"A")+COUNTIF(車両台帳!$BD$57:$BD$2056,BN$3&amp;"-"&amp;335&amp;"A"))</f>
        <v/>
      </c>
      <c r="BO21" s="728" t="str">
        <f>IF(COUNTA(車両台帳!$C$57:$C$2056)=0,"",COUNTIF(車両台帳!$BD$57:$BD$2056,BO$3&amp;"-"&amp;334&amp;"A")+COUNTIF(車両台帳!$BD$57:$BD$2056,BO$3&amp;"-"&amp;335&amp;"A"))</f>
        <v/>
      </c>
      <c r="BP21" s="728" t="str">
        <f>IF(COUNTA(車両台帳!$C$57:$C$2056)=0,"",COUNTIF(車両台帳!$BD$57:$BD$2056,BP$3&amp;"-"&amp;334&amp;"A")+COUNTIF(車両台帳!$BD$57:$BD$2056,BP$3&amp;"-"&amp;335&amp;"A"))</f>
        <v/>
      </c>
      <c r="BQ21" s="728" t="str">
        <f>IF(COUNTA(車両台帳!$C$57:$C$2056)=0,"",COUNTIF(車両台帳!$BD$57:$BD$2056,BQ$3&amp;"-"&amp;334&amp;"A")+COUNTIF(車両台帳!$BD$57:$BD$2056,BQ$3&amp;"-"&amp;335&amp;"A"))</f>
        <v/>
      </c>
      <c r="BR21" s="728" t="str">
        <f>IF(COUNTA(車両台帳!$C$57:$C$2056)=0,"",COUNTIF(車両台帳!$BD$57:$BD$2056,BR$3&amp;"-"&amp;334&amp;"A")+COUNTIF(車両台帳!$BD$57:$BD$2056,BR$3&amp;"-"&amp;335&amp;"A"))</f>
        <v/>
      </c>
      <c r="BS21" s="728" t="str">
        <f>IF(COUNTA(車両台帳!$C$57:$C$2056)=0,"",COUNTIF(車両台帳!$BD$57:$BD$2056,BS$3&amp;"-"&amp;334&amp;"A")+COUNTIF(車両台帳!$BD$57:$BD$2056,BS$3&amp;"-"&amp;335&amp;"A"))</f>
        <v/>
      </c>
      <c r="BT21" s="728" t="str">
        <f>IF(COUNTA(車両台帳!$C$57:$C$2056)=0,"",COUNTIF(車両台帳!$BD$57:$BD$2056,BT$3&amp;"-"&amp;334&amp;"A")+COUNTIF(車両台帳!$BD$57:$BD$2056,BT$3&amp;"-"&amp;335&amp;"A"))</f>
        <v/>
      </c>
      <c r="BU21" s="728" t="str">
        <f>IF(COUNTA(車両台帳!$C$57:$C$2056)=0,"",COUNTIF(車両台帳!$BD$57:$BD$2056,BU$3&amp;"-"&amp;334&amp;"A")+COUNTIF(車両台帳!$BD$57:$BD$2056,BU$3&amp;"-"&amp;335&amp;"A"))</f>
        <v/>
      </c>
      <c r="BV21" s="728" t="str">
        <f>IF(COUNTA(車両台帳!$C$57:$C$2056)=0,"",COUNTIF(車両台帳!$BD$57:$BD$2056,BV$3&amp;"-"&amp;334&amp;"A")+COUNTIF(車両台帳!$BD$57:$BD$2056,BV$3&amp;"-"&amp;335&amp;"A"))</f>
        <v/>
      </c>
      <c r="BW21" s="728" t="str">
        <f>IF(COUNTA(車両台帳!$C$57:$C$2056)=0,"",COUNTIF(車両台帳!$BD$57:$BD$2056,BW$3&amp;"-"&amp;334&amp;"A")+COUNTIF(車両台帳!$BD$57:$BD$2056,BW$3&amp;"-"&amp;335&amp;"A"))</f>
        <v/>
      </c>
      <c r="BX21" s="728" t="str">
        <f>IF(COUNTA(車両台帳!$C$57:$C$2056)=0,"",COUNTIF(車両台帳!$BD$57:$BD$2056,BX$3&amp;"-"&amp;334&amp;"A")+COUNTIF(車両台帳!$BD$57:$BD$2056,BX$3&amp;"-"&amp;335&amp;"A"))</f>
        <v/>
      </c>
      <c r="BY21" s="728" t="str">
        <f>IF(COUNTA(車両台帳!$C$57:$C$2056)=0,"",COUNTIF(車両台帳!$BD$57:$BD$2056,BY$3&amp;"-"&amp;334&amp;"A")+COUNTIF(車両台帳!$BD$57:$BD$2056,BY$3&amp;"-"&amp;335&amp;"A"))</f>
        <v/>
      </c>
      <c r="BZ21" s="728" t="str">
        <f>IF(COUNTA(車両台帳!$C$57:$C$2056)=0,"",COUNTIF(車両台帳!$BD$57:$BD$2056,BZ$3&amp;"-"&amp;334&amp;"A")+COUNTIF(車両台帳!$BD$57:$BD$2056,BZ$3&amp;"-"&amp;335&amp;"A"))</f>
        <v/>
      </c>
      <c r="CA21" s="728" t="str">
        <f>IF(COUNTA(車両台帳!$C$57:$C$2056)=0,"",COUNTIF(車両台帳!$BD$57:$BD$2056,CA$3&amp;"-"&amp;334&amp;"A")+COUNTIF(車両台帳!$BD$57:$BD$2056,CA$3&amp;"-"&amp;335&amp;"A"))</f>
        <v/>
      </c>
      <c r="CB21" s="728" t="str">
        <f>IF(COUNTA(車両台帳!$C$57:$C$2056)=0,"",COUNTIF(車両台帳!$BD$57:$BD$2056,CB$3&amp;"-"&amp;334&amp;"A")+COUNTIF(車両台帳!$BD$57:$BD$2056,CB$3&amp;"-"&amp;335&amp;"A"))</f>
        <v/>
      </c>
      <c r="CC21" s="728" t="str">
        <f>IF(COUNTA(車両台帳!$C$57:$C$2056)=0,"",COUNTIF(車両台帳!$BD$57:$BD$2056,CC$3&amp;"-"&amp;334&amp;"A")+COUNTIF(車両台帳!$BD$57:$BD$2056,CC$3&amp;"-"&amp;335&amp;"A"))</f>
        <v/>
      </c>
      <c r="CD21" s="728" t="str">
        <f>IF(COUNTA(車両台帳!$C$57:$C$2056)=0,"",COUNTIF(車両台帳!$BD$57:$BD$2056,CD$3&amp;"-"&amp;334&amp;"A")+COUNTIF(車両台帳!$BD$57:$BD$2056,CD$3&amp;"-"&amp;335&amp;"A"))</f>
        <v/>
      </c>
      <c r="CE21" s="728" t="str">
        <f>IF(COUNTA(車両台帳!$C$57:$C$2056)=0,"",COUNTIF(車両台帳!$BD$57:$BD$2056,CE$3&amp;"-"&amp;334&amp;"A")+COUNTIF(車両台帳!$BD$57:$BD$2056,CE$3&amp;"-"&amp;335&amp;"A"))</f>
        <v/>
      </c>
      <c r="CF21" s="728" t="str">
        <f>IF(COUNTA(車両台帳!$C$57:$C$2056)=0,"",COUNTIF(車両台帳!$BD$57:$BD$2056,CF$3&amp;"-"&amp;334&amp;"A")+COUNTIF(車両台帳!$BD$57:$BD$2056,CF$3&amp;"-"&amp;335&amp;"A"))</f>
        <v/>
      </c>
      <c r="CG21" s="728" t="str">
        <f>IF(COUNTA(車両台帳!$C$57:$C$2056)=0,"",COUNTIF(車両台帳!$BD$57:$BD$2056,CG$3&amp;"-"&amp;334&amp;"A")+COUNTIF(車両台帳!$BD$57:$BD$2056,CG$3&amp;"-"&amp;335&amp;"A"))</f>
        <v/>
      </c>
      <c r="CH21" s="728" t="str">
        <f>IF(COUNTA(車両台帳!$C$57:$C$2056)=0,"",COUNTIF(車両台帳!$BD$57:$BD$2056,CH$3&amp;"-"&amp;334&amp;"A")+COUNTIF(車両台帳!$BD$57:$BD$2056,CH$3&amp;"-"&amp;335&amp;"A"))</f>
        <v/>
      </c>
      <c r="CI21" s="728" t="str">
        <f>IF(COUNTA(車両台帳!$C$57:$C$2056)=0,"",COUNTIF(車両台帳!$BD$57:$BD$2056,CI$3&amp;"-"&amp;334&amp;"A")+COUNTIF(車両台帳!$BD$57:$BD$2056,CI$3&amp;"-"&amp;335&amp;"A"))</f>
        <v/>
      </c>
      <c r="CJ21" s="728" t="str">
        <f>IF(COUNTA(車両台帳!$C$57:$C$2056)=0,"",COUNTIF(車両台帳!$BD$57:$BD$2056,CJ$3&amp;"-"&amp;334&amp;"A")+COUNTIF(車両台帳!$BD$57:$BD$2056,CJ$3&amp;"-"&amp;335&amp;"A"))</f>
        <v/>
      </c>
      <c r="CK21" s="728" t="str">
        <f>IF(COUNTA(車両台帳!$C$57:$C$2056)=0,"",COUNTIF(車両台帳!$BD$57:$BD$2056,CK$3&amp;"-"&amp;334&amp;"A")+COUNTIF(車両台帳!$BD$57:$BD$2056,CK$3&amp;"-"&amp;335&amp;"A"))</f>
        <v/>
      </c>
      <c r="CL21" s="728" t="str">
        <f>IF(COUNTA(車両台帳!$C$57:$C$2056)=0,"",COUNTIF(車両台帳!$BD$57:$BD$2056,CL$3&amp;"-"&amp;334&amp;"A")+COUNTIF(車両台帳!$BD$57:$BD$2056,CL$3&amp;"-"&amp;335&amp;"A"))</f>
        <v/>
      </c>
      <c r="CM21" s="728" t="str">
        <f>IF(COUNTA(車両台帳!$C$57:$C$2056)=0,"",COUNTIF(車両台帳!$BD$57:$BD$2056,CM$3&amp;"-"&amp;334&amp;"A")+COUNTIF(車両台帳!$BD$57:$BD$2056,CM$3&amp;"-"&amp;335&amp;"A"))</f>
        <v/>
      </c>
      <c r="CN21" s="728" t="str">
        <f>IF(COUNTA(車両台帳!$C$57:$C$2056)=0,"",COUNTIF(車両台帳!$BD$57:$BD$2056,CN$3&amp;"-"&amp;334&amp;"A")+COUNTIF(車両台帳!$BD$57:$BD$2056,CN$3&amp;"-"&amp;335&amp;"A"))</f>
        <v/>
      </c>
      <c r="CO21" s="728" t="str">
        <f>IF(COUNTA(車両台帳!$C$57:$C$2056)=0,"",COUNTIF(車両台帳!$BD$57:$BD$2056,CO$3&amp;"-"&amp;334&amp;"A")+COUNTIF(車両台帳!$BD$57:$BD$2056,CO$3&amp;"-"&amp;335&amp;"A"))</f>
        <v/>
      </c>
      <c r="CP21" s="728" t="str">
        <f>IF(COUNTA(車両台帳!$C$57:$C$2056)=0,"",COUNTIF(車両台帳!$BD$57:$BD$2056,CP$3&amp;"-"&amp;334&amp;"A")+COUNTIF(車両台帳!$BD$57:$BD$2056,CP$3&amp;"-"&amp;335&amp;"A"))</f>
        <v/>
      </c>
      <c r="CQ21" s="728" t="str">
        <f>IF(COUNTA(車両台帳!$C$57:$C$2056)=0,"",COUNTIF(車両台帳!$BD$57:$BD$2056,CQ$3&amp;"-"&amp;334&amp;"A")+COUNTIF(車両台帳!$BD$57:$BD$2056,CQ$3&amp;"-"&amp;335&amp;"A"))</f>
        <v/>
      </c>
      <c r="CR21" s="728" t="str">
        <f>IF(COUNTA(車両台帳!$C$57:$C$2056)=0,"",COUNTIF(車両台帳!$BD$57:$BD$2056,CR$3&amp;"-"&amp;334&amp;"A")+COUNTIF(車両台帳!$BD$57:$BD$2056,CR$3&amp;"-"&amp;335&amp;"A"))</f>
        <v/>
      </c>
      <c r="CS21" s="728" t="str">
        <f>IF(COUNTA(車両台帳!$C$57:$C$2056)=0,"",COUNTIF(車両台帳!$BD$57:$BD$2056,CS$3&amp;"-"&amp;334&amp;"A")+COUNTIF(車両台帳!$BD$57:$BD$2056,CS$3&amp;"-"&amp;335&amp;"A"))</f>
        <v/>
      </c>
      <c r="CT21" s="728" t="str">
        <f>IF(COUNTA(車両台帳!$C$57:$C$2056)=0,"",COUNTIF(車両台帳!$BD$57:$BD$2056,CT$3&amp;"-"&amp;334&amp;"A")+COUNTIF(車両台帳!$BD$57:$BD$2056,CT$3&amp;"-"&amp;335&amp;"A"))</f>
        <v/>
      </c>
      <c r="CU21" s="728" t="str">
        <f>IF(COUNTA(車両台帳!$C$57:$C$2056)=0,"",COUNTIF(車両台帳!$BD$57:$BD$2056,CU$3&amp;"-"&amp;334&amp;"A")+COUNTIF(車両台帳!$BD$57:$BD$2056,CU$3&amp;"-"&amp;335&amp;"A"))</f>
        <v/>
      </c>
      <c r="CV21" s="728" t="str">
        <f>IF(COUNTA(車両台帳!$C$57:$C$2056)=0,"",COUNTIF(車両台帳!$BD$57:$BD$2056,CV$3&amp;"-"&amp;334&amp;"A")+COUNTIF(車両台帳!$BD$57:$BD$2056,CV$3&amp;"-"&amp;335&amp;"A"))</f>
        <v/>
      </c>
      <c r="CW21" s="728" t="str">
        <f>IF(COUNTA(車両台帳!$C$57:$C$2056)=0,"",COUNTIF(車両台帳!$BD$57:$BD$2056,CW$3&amp;"-"&amp;334&amp;"A")+COUNTIF(車両台帳!$BD$57:$BD$2056,CW$3&amp;"-"&amp;335&amp;"A"))</f>
        <v/>
      </c>
      <c r="CX21" s="728" t="str">
        <f>IF(COUNTA(車両台帳!$C$57:$C$2056)=0,"",COUNTIF(車両台帳!$BD$57:$BD$2056,CX$3&amp;"-"&amp;334&amp;"A")+COUNTIF(車両台帳!$BD$57:$BD$2056,CX$3&amp;"-"&amp;335&amp;"A"))</f>
        <v/>
      </c>
      <c r="CY21" s="728" t="str">
        <f>IF(COUNTA(車両台帳!$C$57:$C$2056)=0,"",COUNTIF(車両台帳!$BD$57:$BD$2056,CY$3&amp;"-"&amp;334&amp;"A")+COUNTIF(車両台帳!$BD$57:$BD$2056,CY$3&amp;"-"&amp;335&amp;"A"))</f>
        <v/>
      </c>
      <c r="CZ21" s="728" t="str">
        <f>IF(COUNTA(車両台帳!$C$57:$C$2056)=0,"",COUNTIF(車両台帳!$BD$57:$BD$2056,CZ$3&amp;"-"&amp;334&amp;"A")+COUNTIF(車両台帳!$BD$57:$BD$2056,CZ$3&amp;"-"&amp;335&amp;"A"))</f>
        <v/>
      </c>
      <c r="DA21" s="728" t="str">
        <f>IF(COUNTA(車両台帳!$C$57:$C$2056)=0,"",COUNTIF(車両台帳!$BD$57:$BD$2056,DA$3&amp;"-"&amp;334&amp;"A")+COUNTIF(車両台帳!$BD$57:$BD$2056,DA$3&amp;"-"&amp;335&amp;"A"))</f>
        <v/>
      </c>
      <c r="DB21" s="728" t="str">
        <f>IF(COUNTA(車両台帳!$C$57:$C$2056)=0,"",COUNTIF(車両台帳!$BD$57:$BD$2056,DB$3&amp;"-"&amp;334&amp;"A")+COUNTIF(車両台帳!$BD$57:$BD$2056,DB$3&amp;"-"&amp;335&amp;"A"))</f>
        <v/>
      </c>
      <c r="DC21" s="728" t="str">
        <f>IF(COUNTA(車両台帳!$C$57:$C$2056)=0,"",COUNTIF(車両台帳!$BD$57:$BD$2056,DC$3&amp;"-"&amp;334&amp;"A")+COUNTIF(車両台帳!$BD$57:$BD$2056,DC$3&amp;"-"&amp;335&amp;"A"))</f>
        <v/>
      </c>
      <c r="DD21" s="728" t="str">
        <f>IF(COUNTA(車両台帳!$C$57:$C$2056)=0,"",COUNTIF(車両台帳!$BD$57:$BD$2056,DD$3&amp;"-"&amp;334&amp;"A")+COUNTIF(車両台帳!$BD$57:$BD$2056,DD$3&amp;"-"&amp;335&amp;"A"))</f>
        <v/>
      </c>
      <c r="DE21" s="728" t="str">
        <f>IF(COUNTA(車両台帳!$C$57:$C$2056)=0,"",COUNTIF(車両台帳!$BD$57:$BD$2056,DE$3&amp;"-"&amp;334&amp;"A")+COUNTIF(車両台帳!$BD$57:$BD$2056,DE$3&amp;"-"&amp;335&amp;"A"))</f>
        <v/>
      </c>
      <c r="DF21" s="728" t="str">
        <f>IF(COUNTA(車両台帳!$C$57:$C$2056)=0,"",COUNTIF(車両台帳!$BD$57:$BD$2056,DF$3&amp;"-"&amp;334&amp;"A")+COUNTIF(車両台帳!$BD$57:$BD$2056,DF$3&amp;"-"&amp;335&amp;"A"))</f>
        <v/>
      </c>
      <c r="DG21" s="728" t="str">
        <f>IF(COUNTA(車両台帳!$C$57:$C$2056)=0,"",COUNTIF(車両台帳!$BD$57:$BD$2056,DG$3&amp;"-"&amp;334&amp;"A")+COUNTIF(車両台帳!$BD$57:$BD$2056,DG$3&amp;"-"&amp;335&amp;"A"))</f>
        <v/>
      </c>
      <c r="DH21" s="728" t="str">
        <f>IF(COUNTA(車両台帳!$C$57:$C$2056)=0,"",COUNTIF(車両台帳!$BD$57:$BD$2056,DH$3&amp;"-"&amp;334&amp;"A")+COUNTIF(車両台帳!$BD$57:$BD$2056,DH$3&amp;"-"&amp;335&amp;"A"))</f>
        <v/>
      </c>
      <c r="DI21" s="728" t="str">
        <f>IF(COUNTA(車両台帳!$C$57:$C$2056)=0,"",COUNTIF(車両台帳!$BD$57:$BD$2056,DI$3&amp;"-"&amp;334&amp;"A")+COUNTIF(車両台帳!$BD$57:$BD$2056,DI$3&amp;"-"&amp;335&amp;"A"))</f>
        <v/>
      </c>
      <c r="DJ21" s="728" t="str">
        <f>IF(COUNTA(車両台帳!$C$57:$C$2056)=0,"",COUNTIF(車両台帳!$BD$57:$BD$2056,DJ$3&amp;"-"&amp;334&amp;"A")+COUNTIF(車両台帳!$BD$57:$BD$2056,DJ$3&amp;"-"&amp;335&amp;"A"))</f>
        <v/>
      </c>
      <c r="DK21" s="728" t="str">
        <f>IF(COUNTA(車両台帳!$C$57:$C$2056)=0,"",COUNTIF(車両台帳!$BD$57:$BD$2056,DK$3&amp;"-"&amp;334&amp;"A")+COUNTIF(車両台帳!$BD$57:$BD$2056,DK$3&amp;"-"&amp;335&amp;"A"))</f>
        <v/>
      </c>
      <c r="DL21" s="728" t="str">
        <f>IF(COUNTA(車両台帳!$C$57:$C$2056)=0,"",COUNTIF(車両台帳!$BD$57:$BD$2056,DL$3&amp;"-"&amp;334&amp;"A")+COUNTIF(車両台帳!$BD$57:$BD$2056,DL$3&amp;"-"&amp;335&amp;"A"))</f>
        <v/>
      </c>
      <c r="DM21" s="728" t="str">
        <f>IF(COUNTA(車両台帳!$C$57:$C$2056)=0,"",COUNTIF(車両台帳!$BD$57:$BD$2056,DM$3&amp;"-"&amp;334&amp;"A")+COUNTIF(車両台帳!$BD$57:$BD$2056,DM$3&amp;"-"&amp;335&amp;"A"))</f>
        <v/>
      </c>
      <c r="DN21" s="728" t="str">
        <f>IF(COUNTA(車両台帳!$C$57:$C$2056)=0,"",COUNTIF(車両台帳!$BD$57:$BD$2056,DN$3&amp;"-"&amp;334&amp;"A")+COUNTIF(車両台帳!$BD$57:$BD$2056,DN$3&amp;"-"&amp;335&amp;"A"))</f>
        <v/>
      </c>
      <c r="DO21" s="728" t="str">
        <f>IF(COUNTA(車両台帳!$C$57:$C$2056)=0,"",COUNTIF(車両台帳!$BD$57:$BD$2056,DO$3&amp;"-"&amp;334&amp;"A")+COUNTIF(車両台帳!$BD$57:$BD$2056,DO$3&amp;"-"&amp;335&amp;"A"))</f>
        <v/>
      </c>
      <c r="DP21" s="728" t="str">
        <f>IF(COUNTA(車両台帳!$C$57:$C$2056)=0,"",COUNTIF(車両台帳!$BD$57:$BD$2056,DP$3&amp;"-"&amp;334&amp;"A")+COUNTIF(車両台帳!$BD$57:$BD$2056,DP$3&amp;"-"&amp;335&amp;"A"))</f>
        <v/>
      </c>
      <c r="DQ21" s="728" t="str">
        <f>IF(COUNTA(車両台帳!$C$57:$C$2056)=0,"",COUNTIF(車両台帳!$BD$57:$BD$2056,DQ$3&amp;"-"&amp;334&amp;"A")+COUNTIF(車両台帳!$BD$57:$BD$2056,DQ$3&amp;"-"&amp;335&amp;"A"))</f>
        <v/>
      </c>
      <c r="DR21" s="728" t="str">
        <f>IF(COUNTA(車両台帳!$C$57:$C$2056)=0,"",COUNTIF(車両台帳!$BD$57:$BD$2056,DR$3&amp;"-"&amp;334&amp;"A")+COUNTIF(車両台帳!$BD$57:$BD$2056,DR$3&amp;"-"&amp;335&amp;"A"))</f>
        <v/>
      </c>
      <c r="DS21" s="728" t="str">
        <f>IF(COUNTA(車両台帳!$C$57:$C$2056)=0,"",COUNTIF(車両台帳!$BD$57:$BD$2056,DS$3&amp;"-"&amp;334&amp;"A")+COUNTIF(車両台帳!$BD$57:$BD$2056,DS$3&amp;"-"&amp;335&amp;"A"))</f>
        <v/>
      </c>
      <c r="DT21" s="728" t="str">
        <f>IF(COUNTA(車両台帳!$C$57:$C$2056)=0,"",COUNTIF(車両台帳!$BD$57:$BD$2056,DT$3&amp;"-"&amp;334&amp;"A")+COUNTIF(車両台帳!$BD$57:$BD$2056,DT$3&amp;"-"&amp;335&amp;"A"))</f>
        <v/>
      </c>
      <c r="DU21" s="728" t="str">
        <f>IF(COUNTA(車両台帳!$C$57:$C$2056)=0,"",COUNTIF(車両台帳!$BD$57:$BD$2056,DU$3&amp;"-"&amp;334&amp;"A")+COUNTIF(車両台帳!$BD$57:$BD$2056,DU$3&amp;"-"&amp;335&amp;"A"))</f>
        <v/>
      </c>
      <c r="DV21" s="728" t="str">
        <f>IF(COUNTA(車両台帳!$C$57:$C$2056)=0,"",COUNTIF(車両台帳!$BD$57:$BD$2056,DV$3&amp;"-"&amp;334&amp;"A")+COUNTIF(車両台帳!$BD$57:$BD$2056,DV$3&amp;"-"&amp;335&amp;"A"))</f>
        <v/>
      </c>
      <c r="DW21" s="728" t="str">
        <f>IF(COUNTA(車両台帳!$C$57:$C$2056)=0,"",COUNTIF(車両台帳!$BD$57:$BD$2056,DW$3&amp;"-"&amp;334&amp;"A")+COUNTIF(車両台帳!$BD$57:$BD$2056,DW$3&amp;"-"&amp;335&amp;"A"))</f>
        <v/>
      </c>
      <c r="DX21" s="728" t="str">
        <f>IF(COUNTA(車両台帳!$C$57:$C$2056)=0,"",COUNTIF(車両台帳!$BD$57:$BD$2056,DX$3&amp;"-"&amp;334&amp;"A")+COUNTIF(車両台帳!$BD$57:$BD$2056,DX$3&amp;"-"&amp;335&amp;"A"))</f>
        <v/>
      </c>
      <c r="DY21" s="728" t="str">
        <f>IF(COUNTA(車両台帳!$C$57:$C$2056)=0,"",COUNTIF(車両台帳!$BD$57:$BD$2056,DY$3&amp;"-"&amp;334&amp;"A")+COUNTIF(車両台帳!$BD$57:$BD$2056,DY$3&amp;"-"&amp;335&amp;"A"))</f>
        <v/>
      </c>
      <c r="DZ21" s="728" t="str">
        <f>IF(COUNTA(車両台帳!$C$57:$C$2056)=0,"",COUNTIF(車両台帳!$BD$57:$BD$2056,DZ$3&amp;"-"&amp;334&amp;"A")+COUNTIF(車両台帳!$BD$57:$BD$2056,DZ$3&amp;"-"&amp;335&amp;"A"))</f>
        <v/>
      </c>
      <c r="EA21" s="728" t="str">
        <f>IF(COUNTA(車両台帳!$C$57:$C$2056)=0,"",COUNTIF(車両台帳!$BD$57:$BD$2056,EA$3&amp;"-"&amp;334&amp;"A")+COUNTIF(車両台帳!$BD$57:$BD$2056,EA$3&amp;"-"&amp;335&amp;"A"))</f>
        <v/>
      </c>
      <c r="EB21" s="728" t="str">
        <f>IF(COUNTA(車両台帳!$C$57:$C$2056)=0,"",COUNTIF(車両台帳!$BD$57:$BD$2056,EB$3&amp;"-"&amp;334&amp;"A")+COUNTIF(車両台帳!$BD$57:$BD$2056,EB$3&amp;"-"&amp;335&amp;"A"))</f>
        <v/>
      </c>
      <c r="EC21" s="728" t="str">
        <f>IF(COUNTA(車両台帳!$C$57:$C$2056)=0,"",COUNTIF(車両台帳!$BD$57:$BD$2056,EC$3&amp;"-"&amp;334&amp;"A")+COUNTIF(車両台帳!$BD$57:$BD$2056,EC$3&amp;"-"&amp;335&amp;"A"))</f>
        <v/>
      </c>
      <c r="ED21" s="728" t="str">
        <f>IF(COUNTA(車両台帳!$C$57:$C$2056)=0,"",COUNTIF(車両台帳!$BD$57:$BD$2056,ED$3&amp;"-"&amp;334&amp;"A")+COUNTIF(車両台帳!$BD$57:$BD$2056,ED$3&amp;"-"&amp;335&amp;"A"))</f>
        <v/>
      </c>
      <c r="EE21" s="728" t="str">
        <f>IF(COUNTA(車両台帳!$C$57:$C$2056)=0,"",COUNTIF(車両台帳!$BD$57:$BD$2056,EE$3&amp;"-"&amp;334&amp;"A")+COUNTIF(車両台帳!$BD$57:$BD$2056,EE$3&amp;"-"&amp;335&amp;"A"))</f>
        <v/>
      </c>
      <c r="EF21" s="728" t="str">
        <f>IF(COUNTA(車両台帳!$C$57:$C$2056)=0,"",COUNTIF(車両台帳!$BD$57:$BD$2056,EF$3&amp;"-"&amp;334&amp;"A")+COUNTIF(車両台帳!$BD$57:$BD$2056,EF$3&amp;"-"&amp;335&amp;"A"))</f>
        <v/>
      </c>
      <c r="EG21" s="728" t="str">
        <f>IF(COUNTA(車両台帳!$C$57:$C$2056)=0,"",COUNTIF(車両台帳!$BD$57:$BD$2056,EG$3&amp;"-"&amp;334&amp;"A")+COUNTIF(車両台帳!$BD$57:$BD$2056,EG$3&amp;"-"&amp;335&amp;"A"))</f>
        <v/>
      </c>
      <c r="EH21" s="728" t="str">
        <f>IF(COUNTA(車両台帳!$C$57:$C$2056)=0,"",COUNTIF(車両台帳!$BD$57:$BD$2056,EH$3&amp;"-"&amp;334&amp;"A")+COUNTIF(車両台帳!$BD$57:$BD$2056,EH$3&amp;"-"&amp;335&amp;"A"))</f>
        <v/>
      </c>
      <c r="EI21" s="728" t="str">
        <f>IF(COUNTA(車両台帳!$C$57:$C$2056)=0,"",COUNTIF(車両台帳!$BD$57:$BD$2056,EI$3&amp;"-"&amp;334&amp;"A")+COUNTIF(車両台帳!$BD$57:$BD$2056,EI$3&amp;"-"&amp;335&amp;"A"))</f>
        <v/>
      </c>
      <c r="EJ21" s="728" t="str">
        <f>IF(COUNTA(車両台帳!$C$57:$C$2056)=0,"",COUNTIF(車両台帳!$BD$57:$BD$2056,EJ$3&amp;"-"&amp;334&amp;"A")+COUNTIF(車両台帳!$BD$57:$BD$2056,EJ$3&amp;"-"&amp;335&amp;"A"))</f>
        <v/>
      </c>
      <c r="EK21" s="728" t="str">
        <f>IF(COUNTA(車両台帳!$C$57:$C$2056)=0,"",COUNTIF(車両台帳!$BD$57:$BD$2056,EK$3&amp;"-"&amp;334&amp;"A")+COUNTIF(車両台帳!$BD$57:$BD$2056,EK$3&amp;"-"&amp;335&amp;"A"))</f>
        <v/>
      </c>
      <c r="EL21" s="728" t="str">
        <f>IF(COUNTA(車両台帳!$C$57:$C$2056)=0,"",COUNTIF(車両台帳!$BD$57:$BD$2056,EL$3&amp;"-"&amp;334&amp;"A")+COUNTIF(車両台帳!$BD$57:$BD$2056,EL$3&amp;"-"&amp;335&amp;"A"))</f>
        <v/>
      </c>
      <c r="EM21" s="728" t="str">
        <f>IF(COUNTA(車両台帳!$C$57:$C$2056)=0,"",COUNTIF(車両台帳!$BD$57:$BD$2056,EM$3&amp;"-"&amp;334&amp;"A")+COUNTIF(車両台帳!$BD$57:$BD$2056,EM$3&amp;"-"&amp;335&amp;"A"))</f>
        <v/>
      </c>
      <c r="EN21" s="728" t="str">
        <f>IF(COUNTA(車両台帳!$C$57:$C$2056)=0,"",COUNTIF(車両台帳!$BD$57:$BD$2056,EN$3&amp;"-"&amp;334&amp;"A")+COUNTIF(車両台帳!$BD$57:$BD$2056,EN$3&amp;"-"&amp;335&amp;"A"))</f>
        <v/>
      </c>
      <c r="EO21" s="728" t="str">
        <f>IF(COUNTA(車両台帳!$C$57:$C$2056)=0,"",COUNTIF(車両台帳!$BD$57:$BD$2056,EO$3&amp;"-"&amp;334&amp;"A")+COUNTIF(車両台帳!$BD$57:$BD$2056,EO$3&amp;"-"&amp;335&amp;"A"))</f>
        <v/>
      </c>
      <c r="EP21" s="728" t="str">
        <f>IF(COUNTA(車両台帳!$C$57:$C$2056)=0,"",COUNTIF(車両台帳!$BD$57:$BD$2056,EP$3&amp;"-"&amp;334&amp;"A")+COUNTIF(車両台帳!$BD$57:$BD$2056,EP$3&amp;"-"&amp;335&amp;"A"))</f>
        <v/>
      </c>
      <c r="EQ21" s="728" t="str">
        <f>IF(COUNTA(車両台帳!$C$57:$C$2056)=0,"",COUNTIF(車両台帳!$BD$57:$BD$2056,EQ$3&amp;"-"&amp;334&amp;"A")+COUNTIF(車両台帳!$BD$57:$BD$2056,EQ$3&amp;"-"&amp;335&amp;"A"))</f>
        <v/>
      </c>
      <c r="ER21" s="728" t="str">
        <f>IF(COUNTA(車両台帳!$C$57:$C$2056)=0,"",COUNTIF(車両台帳!$BD$57:$BD$2056,ER$3&amp;"-"&amp;334&amp;"A")+COUNTIF(車両台帳!$BD$57:$BD$2056,ER$3&amp;"-"&amp;335&amp;"A"))</f>
        <v/>
      </c>
      <c r="ES21" s="728" t="str">
        <f>IF(COUNTA(車両台帳!$C$57:$C$2056)=0,"",COUNTIF(車両台帳!$BD$57:$BD$2056,ES$3&amp;"-"&amp;334&amp;"A")+COUNTIF(車両台帳!$BD$57:$BD$2056,ES$3&amp;"-"&amp;335&amp;"A"))</f>
        <v/>
      </c>
      <c r="ET21" s="728" t="str">
        <f>IF(COUNTA(車両台帳!$C$57:$C$2056)=0,"",COUNTIF(車両台帳!$BD$57:$BD$2056,ET$3&amp;"-"&amp;334&amp;"A")+COUNTIF(車両台帳!$BD$57:$BD$2056,ET$3&amp;"-"&amp;335&amp;"A"))</f>
        <v/>
      </c>
      <c r="EU21" s="728" t="str">
        <f>IF(COUNTA(車両台帳!$C$57:$C$2056)=0,"",COUNTIF(車両台帳!$BD$57:$BD$2056,EU$3&amp;"-"&amp;334&amp;"A")+COUNTIF(車両台帳!$BD$57:$BD$2056,EU$3&amp;"-"&amp;335&amp;"A"))</f>
        <v/>
      </c>
      <c r="EV21" s="728" t="str">
        <f>IF(COUNTA(車両台帳!$C$57:$C$2056)=0,"",COUNTIF(車両台帳!$BD$57:$BD$2056,EV$3&amp;"-"&amp;334&amp;"A")+COUNTIF(車両台帳!$BD$57:$BD$2056,EV$3&amp;"-"&amp;335&amp;"A"))</f>
        <v/>
      </c>
      <c r="EW21" s="728" t="str">
        <f>IF(COUNTA(車両台帳!$C$57:$C$2056)=0,"",COUNTIF(車両台帳!$BD$57:$BD$2056,EW$3&amp;"-"&amp;334&amp;"A")+COUNTIF(車両台帳!$BD$57:$BD$2056,EW$3&amp;"-"&amp;335&amp;"A"))</f>
        <v/>
      </c>
      <c r="EX21" s="728" t="str">
        <f>IF(COUNTA(車両台帳!$C$57:$C$2056)=0,"",COUNTIF(車両台帳!$BD$57:$BD$2056,EX$3&amp;"-"&amp;334&amp;"A")+COUNTIF(車両台帳!$BD$57:$BD$2056,EX$3&amp;"-"&amp;335&amp;"A"))</f>
        <v/>
      </c>
      <c r="EY21" s="728" t="str">
        <f>IF(COUNTA(車両台帳!$C$57:$C$2056)=0,"",COUNTIF(車両台帳!$BD$57:$BD$2056,EY$3&amp;"-"&amp;334&amp;"A")+COUNTIF(車両台帳!$BD$57:$BD$2056,EY$3&amp;"-"&amp;335&amp;"A"))</f>
        <v/>
      </c>
      <c r="EZ21" s="728" t="str">
        <f>IF(COUNTA(車両台帳!$C$57:$C$2056)=0,"",COUNTIF(車両台帳!$BD$57:$BD$2056,EZ$3&amp;"-"&amp;334&amp;"A")+COUNTIF(車両台帳!$BD$57:$BD$2056,EZ$3&amp;"-"&amp;335&amp;"A"))</f>
        <v/>
      </c>
      <c r="FA21" s="728" t="str">
        <f>IF(COUNTA(車両台帳!$C$57:$C$2056)=0,"",COUNTIF(車両台帳!$BD$57:$BD$2056,FA$3&amp;"-"&amp;334&amp;"A")+COUNTIF(車両台帳!$BD$57:$BD$2056,FA$3&amp;"-"&amp;335&amp;"A"))</f>
        <v/>
      </c>
      <c r="FB21" s="728" t="str">
        <f>IF(COUNTA(車両台帳!$C$57:$C$2056)=0,"",COUNTIF(車両台帳!$BD$57:$BD$2056,FB$3&amp;"-"&amp;334&amp;"A")+COUNTIF(車両台帳!$BD$57:$BD$2056,FB$3&amp;"-"&amp;335&amp;"A"))</f>
        <v/>
      </c>
      <c r="FC21" s="728" t="str">
        <f>IF(COUNTA(車両台帳!$C$57:$C$2056)=0,"",COUNTIF(車両台帳!$BD$57:$BD$2056,FC$3&amp;"-"&amp;334&amp;"A")+COUNTIF(車両台帳!$BD$57:$BD$2056,FC$3&amp;"-"&amp;335&amp;"A"))</f>
        <v/>
      </c>
      <c r="FD21" s="728" t="str">
        <f>IF(COUNTA(車両台帳!$C$57:$C$2056)=0,"",COUNTIF(車両台帳!$BD$57:$BD$2056,FD$3&amp;"-"&amp;334&amp;"A")+COUNTIF(車両台帳!$BD$57:$BD$2056,FD$3&amp;"-"&amp;335&amp;"A"))</f>
        <v/>
      </c>
      <c r="FE21" s="728" t="str">
        <f>IF(COUNTA(車両台帳!$C$57:$C$2056)=0,"",COUNTIF(車両台帳!$BD$57:$BD$2056,FE$3&amp;"-"&amp;334&amp;"A")+COUNTIF(車両台帳!$BD$57:$BD$2056,FE$3&amp;"-"&amp;335&amp;"A"))</f>
        <v/>
      </c>
      <c r="FF21" s="728" t="str">
        <f>IF(COUNTA(車両台帳!$C$57:$C$2056)=0,"",COUNTIF(車両台帳!$BD$57:$BD$2056,FF$3&amp;"-"&amp;334&amp;"A")+COUNTIF(車両台帳!$BD$57:$BD$2056,FF$3&amp;"-"&amp;335&amp;"A"))</f>
        <v/>
      </c>
      <c r="FG21" s="728" t="str">
        <f>IF(COUNTA(車両台帳!$C$57:$C$2056)=0,"",COUNTIF(車両台帳!$BD$57:$BD$2056,FG$3&amp;"-"&amp;334&amp;"A")+COUNTIF(車両台帳!$BD$57:$BD$2056,FG$3&amp;"-"&amp;335&amp;"A"))</f>
        <v/>
      </c>
      <c r="FH21" s="728" t="str">
        <f>IF(COUNTA(車両台帳!$C$57:$C$2056)=0,"",COUNTIF(車両台帳!$BD$57:$BD$2056,FH$3&amp;"-"&amp;334&amp;"A")+COUNTIF(車両台帳!$BD$57:$BD$2056,FH$3&amp;"-"&amp;335&amp;"A"))</f>
        <v/>
      </c>
      <c r="FI21" s="728" t="str">
        <f>IF(COUNTA(車両台帳!$C$57:$C$2056)=0,"",COUNTIF(車両台帳!$BD$57:$BD$2056,FI$3&amp;"-"&amp;334&amp;"A")+COUNTIF(車両台帳!$BD$57:$BD$2056,FI$3&amp;"-"&amp;335&amp;"A"))</f>
        <v/>
      </c>
      <c r="FJ21" s="728" t="str">
        <f>IF(COUNTA(車両台帳!$C$57:$C$2056)=0,"",COUNTIF(車両台帳!$BD$57:$BD$2056,FJ$3&amp;"-"&amp;334&amp;"A")+COUNTIF(車両台帳!$BD$57:$BD$2056,FJ$3&amp;"-"&amp;335&amp;"A"))</f>
        <v/>
      </c>
      <c r="FK21" s="728" t="str">
        <f>IF(COUNTA(車両台帳!$C$57:$C$2056)=0,"",COUNTIF(車両台帳!$BD$57:$BD$2056,FK$3&amp;"-"&amp;334&amp;"A")+COUNTIF(車両台帳!$BD$57:$BD$2056,FK$3&amp;"-"&amp;335&amp;"A"))</f>
        <v/>
      </c>
      <c r="FL21" s="728" t="str">
        <f>IF(COUNTA(車両台帳!$C$57:$C$2056)=0,"",COUNTIF(車両台帳!$BD$57:$BD$2056,FL$3&amp;"-"&amp;334&amp;"A")+COUNTIF(車両台帳!$BD$57:$BD$2056,FL$3&amp;"-"&amp;335&amp;"A"))</f>
        <v/>
      </c>
      <c r="FM21" s="728" t="str">
        <f>IF(COUNTA(車両台帳!$C$57:$C$2056)=0,"",COUNTIF(車両台帳!$BD$57:$BD$2056,FM$3&amp;"-"&amp;334&amp;"A")+COUNTIF(車両台帳!$BD$57:$BD$2056,FM$3&amp;"-"&amp;335&amp;"A"))</f>
        <v/>
      </c>
      <c r="FN21" s="728" t="str">
        <f>IF(COUNTA(車両台帳!$C$57:$C$2056)=0,"",COUNTIF(車両台帳!$BD$57:$BD$2056,FN$3&amp;"-"&amp;334&amp;"A")+COUNTIF(車両台帳!$BD$57:$BD$2056,FN$3&amp;"-"&amp;335&amp;"A"))</f>
        <v/>
      </c>
      <c r="FO21" s="728" t="str">
        <f>IF(COUNTA(車両台帳!$C$57:$C$2056)=0,"",COUNTIF(車両台帳!$BD$57:$BD$2056,FO$3&amp;"-"&amp;334&amp;"A")+COUNTIF(車両台帳!$BD$57:$BD$2056,FO$3&amp;"-"&amp;335&amp;"A"))</f>
        <v/>
      </c>
      <c r="FP21" s="728" t="str">
        <f>IF(COUNTA(車両台帳!$C$57:$C$2056)=0,"",COUNTIF(車両台帳!$BD$57:$BD$2056,FP$3&amp;"-"&amp;334&amp;"A")+COUNTIF(車両台帳!$BD$57:$BD$2056,FP$3&amp;"-"&amp;335&amp;"A"))</f>
        <v/>
      </c>
      <c r="FQ21" s="728" t="str">
        <f>IF(COUNTA(車両台帳!$C$57:$C$2056)=0,"",COUNTIF(車両台帳!$BD$57:$BD$2056,FQ$3&amp;"-"&amp;334&amp;"A")+COUNTIF(車両台帳!$BD$57:$BD$2056,FQ$3&amp;"-"&amp;335&amp;"A"))</f>
        <v/>
      </c>
      <c r="FR21" s="728" t="str">
        <f>IF(COUNTA(車両台帳!$C$57:$C$2056)=0,"",COUNTIF(車両台帳!$BD$57:$BD$2056,FR$3&amp;"-"&amp;334&amp;"A")+COUNTIF(車両台帳!$BD$57:$BD$2056,FR$3&amp;"-"&amp;335&amp;"A"))</f>
        <v/>
      </c>
      <c r="FS21" s="728" t="str">
        <f>IF(COUNTA(車両台帳!$C$57:$C$2056)=0,"",COUNTIF(車両台帳!$BD$57:$BD$2056,FS$3&amp;"-"&amp;334&amp;"A")+COUNTIF(車両台帳!$BD$57:$BD$2056,FS$3&amp;"-"&amp;335&amp;"A"))</f>
        <v/>
      </c>
      <c r="FT21" s="728" t="str">
        <f>IF(COUNTA(車両台帳!$C$57:$C$2056)=0,"",COUNTIF(車両台帳!$BD$57:$BD$2056,FT$3&amp;"-"&amp;334&amp;"A")+COUNTIF(車両台帳!$BD$57:$BD$2056,FT$3&amp;"-"&amp;335&amp;"A"))</f>
        <v/>
      </c>
      <c r="FU21" s="728" t="str">
        <f>IF(COUNTA(車両台帳!$C$57:$C$2056)=0,"",COUNTIF(車両台帳!$BD$57:$BD$2056,FU$3&amp;"-"&amp;334&amp;"A")+COUNTIF(車両台帳!$BD$57:$BD$2056,FU$3&amp;"-"&amp;335&amp;"A"))</f>
        <v/>
      </c>
      <c r="FV21" s="728" t="str">
        <f>IF(COUNTA(車両台帳!$C$57:$C$2056)=0,"",COUNTIF(車両台帳!$BD$57:$BD$2056,FV$3&amp;"-"&amp;334&amp;"A")+COUNTIF(車両台帳!$BD$57:$BD$2056,FV$3&amp;"-"&amp;335&amp;"A"))</f>
        <v/>
      </c>
      <c r="FW21" s="728" t="str">
        <f>IF(COUNTA(車両台帳!$C$57:$C$2056)=0,"",COUNTIF(車両台帳!$BD$57:$BD$2056,FW$3&amp;"-"&amp;334&amp;"A")+COUNTIF(車両台帳!$BD$57:$BD$2056,FW$3&amp;"-"&amp;335&amp;"A"))</f>
        <v/>
      </c>
      <c r="FX21" s="728" t="str">
        <f>IF(COUNTA(車両台帳!$C$57:$C$2056)=0,"",COUNTIF(車両台帳!$BD$57:$BD$2056,FX$3&amp;"-"&amp;334&amp;"A")+COUNTIF(車両台帳!$BD$57:$BD$2056,FX$3&amp;"-"&amp;335&amp;"A"))</f>
        <v/>
      </c>
      <c r="FY21" s="728" t="str">
        <f>IF(COUNTA(車両台帳!$C$57:$C$2056)=0,"",COUNTIF(車両台帳!$BD$57:$BD$2056,FY$3&amp;"-"&amp;334&amp;"A")+COUNTIF(車両台帳!$BD$57:$BD$2056,FY$3&amp;"-"&amp;335&amp;"A"))</f>
        <v/>
      </c>
      <c r="FZ21" s="728" t="str">
        <f>IF(COUNTA(車両台帳!$C$57:$C$2056)=0,"",COUNTIF(車両台帳!$BD$57:$BD$2056,FZ$3&amp;"-"&amp;334&amp;"A")+COUNTIF(車両台帳!$BD$57:$BD$2056,FZ$3&amp;"-"&amp;335&amp;"A"))</f>
        <v/>
      </c>
      <c r="GA21" s="728" t="str">
        <f>IF(COUNTA(車両台帳!$C$57:$C$2056)=0,"",COUNTIF(車両台帳!$BD$57:$BD$2056,GA$3&amp;"-"&amp;334&amp;"A")+COUNTIF(車両台帳!$BD$57:$BD$2056,GA$3&amp;"-"&amp;335&amp;"A"))</f>
        <v/>
      </c>
      <c r="GB21" s="728" t="str">
        <f>IF(COUNTA(車両台帳!$C$57:$C$2056)=0,"",COUNTIF(車両台帳!$BD$57:$BD$2056,GB$3&amp;"-"&amp;334&amp;"A")+COUNTIF(車両台帳!$BD$57:$BD$2056,GB$3&amp;"-"&amp;335&amp;"A"))</f>
        <v/>
      </c>
      <c r="GC21" s="728" t="str">
        <f>IF(COUNTA(車両台帳!$C$57:$C$2056)=0,"",COUNTIF(車両台帳!$BD$57:$BD$2056,GC$3&amp;"-"&amp;334&amp;"A")+COUNTIF(車両台帳!$BD$57:$BD$2056,GC$3&amp;"-"&amp;335&amp;"A"))</f>
        <v/>
      </c>
      <c r="GD21" s="728" t="str">
        <f>IF(COUNTA(車両台帳!$C$57:$C$2056)=0,"",COUNTIF(車両台帳!$BD$57:$BD$2056,GD$3&amp;"-"&amp;334&amp;"A")+COUNTIF(車両台帳!$BD$57:$BD$2056,GD$3&amp;"-"&amp;335&amp;"A"))</f>
        <v/>
      </c>
      <c r="GE21" s="728" t="str">
        <f>IF(COUNTA(車両台帳!$C$57:$C$2056)=0,"",COUNTIF(車両台帳!$BD$57:$BD$2056,GE$3&amp;"-"&amp;334&amp;"A")+COUNTIF(車両台帳!$BD$57:$BD$2056,GE$3&amp;"-"&amp;335&amp;"A"))</f>
        <v/>
      </c>
      <c r="GF21" s="728" t="str">
        <f>IF(COUNTA(車両台帳!$C$57:$C$2056)=0,"",COUNTIF(車両台帳!$BD$57:$BD$2056,GF$3&amp;"-"&amp;334&amp;"A")+COUNTIF(車両台帳!$BD$57:$BD$2056,GF$3&amp;"-"&amp;335&amp;"A"))</f>
        <v/>
      </c>
      <c r="GG21" s="728" t="str">
        <f>IF(COUNTA(車両台帳!$C$57:$C$2056)=0,"",COUNTIF(車両台帳!$BD$57:$BD$2056,GG$3&amp;"-"&amp;334&amp;"A")+COUNTIF(車両台帳!$BD$57:$BD$2056,GG$3&amp;"-"&amp;335&amp;"A"))</f>
        <v/>
      </c>
      <c r="GH21" s="728" t="str">
        <f>IF(COUNTA(車両台帳!$C$57:$C$2056)=0,"",COUNTIF(車両台帳!$BD$57:$BD$2056,GH$3&amp;"-"&amp;334&amp;"A")+COUNTIF(車両台帳!$BD$57:$BD$2056,GH$3&amp;"-"&amp;335&amp;"A"))</f>
        <v/>
      </c>
      <c r="GI21" s="728" t="str">
        <f>IF(COUNTA(車両台帳!$C$57:$C$2056)=0,"",COUNTIF(車両台帳!$BD$57:$BD$2056,GI$3&amp;"-"&amp;334&amp;"A")+COUNTIF(車両台帳!$BD$57:$BD$2056,GI$3&amp;"-"&amp;335&amp;"A"))</f>
        <v/>
      </c>
      <c r="GJ21" s="728" t="str">
        <f>IF(COUNTA(車両台帳!$C$57:$C$2056)=0,"",COUNTIF(車両台帳!$BD$57:$BD$2056,GJ$3&amp;"-"&amp;334&amp;"A")+COUNTIF(車両台帳!$BD$57:$BD$2056,GJ$3&amp;"-"&amp;335&amp;"A"))</f>
        <v/>
      </c>
      <c r="GK21" s="728" t="str">
        <f>IF(COUNTA(車両台帳!$C$57:$C$2056)=0,"",COUNTIF(車両台帳!$BD$57:$BD$2056,GK$3&amp;"-"&amp;334&amp;"A")+COUNTIF(車両台帳!$BD$57:$BD$2056,GK$3&amp;"-"&amp;335&amp;"A"))</f>
        <v/>
      </c>
      <c r="GL21" s="728" t="str">
        <f>IF(COUNTA(車両台帳!$C$57:$C$2056)=0,"",COUNTIF(車両台帳!$BD$57:$BD$2056,GL$3&amp;"-"&amp;334&amp;"A")+COUNTIF(車両台帳!$BD$57:$BD$2056,GL$3&amp;"-"&amp;335&amp;"A"))</f>
        <v/>
      </c>
      <c r="GM21" s="728" t="str">
        <f>IF(COUNTA(車両台帳!$C$57:$C$2056)=0,"",COUNTIF(車両台帳!$BD$57:$BD$2056,GM$3&amp;"-"&amp;334&amp;"A")+COUNTIF(車両台帳!$BD$57:$BD$2056,GM$3&amp;"-"&amp;335&amp;"A"))</f>
        <v/>
      </c>
      <c r="GN21" s="728" t="str">
        <f>IF(COUNTA(車両台帳!$C$57:$C$2056)=0,"",COUNTIF(車両台帳!$BD$57:$BD$2056,GN$3&amp;"-"&amp;334&amp;"A")+COUNTIF(車両台帳!$BD$57:$BD$2056,GN$3&amp;"-"&amp;335&amp;"A"))</f>
        <v/>
      </c>
      <c r="GO21" s="728" t="str">
        <f>IF(COUNTA(車両台帳!$C$57:$C$2056)=0,"",COUNTIF(車両台帳!$BD$57:$BD$2056,GO$3&amp;"-"&amp;334&amp;"A")+COUNTIF(車両台帳!$BD$57:$BD$2056,GO$3&amp;"-"&amp;335&amp;"A"))</f>
        <v/>
      </c>
      <c r="GP21" s="728" t="str">
        <f>IF(COUNTA(車両台帳!$C$57:$C$2056)=0,"",COUNTIF(車両台帳!$BD$57:$BD$2056,GP$3&amp;"-"&amp;334&amp;"A")+COUNTIF(車両台帳!$BD$57:$BD$2056,GP$3&amp;"-"&amp;335&amp;"A"))</f>
        <v/>
      </c>
      <c r="GQ21" s="728" t="str">
        <f>IF(COUNTA(車両台帳!$C$57:$C$2056)=0,"",COUNTIF(車両台帳!$BD$57:$BD$2056,GQ$3&amp;"-"&amp;334&amp;"A")+COUNTIF(車両台帳!$BD$57:$BD$2056,GQ$3&amp;"-"&amp;335&amp;"A"))</f>
        <v/>
      </c>
      <c r="GR21" s="728" t="str">
        <f>IF(COUNTA(車両台帳!$C$57:$C$2056)=0,"",COUNTIF(車両台帳!$BD$57:$BD$2056,GR$3&amp;"-"&amp;334&amp;"A")+COUNTIF(車両台帳!$BD$57:$BD$2056,GR$3&amp;"-"&amp;335&amp;"A"))</f>
        <v/>
      </c>
      <c r="GS21" s="728" t="str">
        <f>IF(COUNTA(車両台帳!$C$57:$C$2056)=0,"",COUNTIF(車両台帳!$BD$57:$BD$2056,GS$3&amp;"-"&amp;334&amp;"A")+COUNTIF(車両台帳!$BD$57:$BD$2056,GS$3&amp;"-"&amp;335&amp;"A"))</f>
        <v/>
      </c>
      <c r="GT21" s="728" t="str">
        <f>IF(COUNTA(車両台帳!$C$57:$C$2056)=0,"",COUNTIF(車両台帳!$BD$57:$BD$2056,GT$3&amp;"-"&amp;334&amp;"A")+COUNTIF(車両台帳!$BD$57:$BD$2056,GT$3&amp;"-"&amp;335&amp;"A"))</f>
        <v/>
      </c>
      <c r="GU21" s="729" t="str">
        <f>IF(COUNTA(車両台帳!$C$57:$C$2056)=0,"",COUNTIF(車両台帳!$BD$57:$BD$2056,GU$3&amp;"-"&amp;334&amp;"A")+COUNTIF(車両台帳!$BD$57:$BD$2056,GU$3&amp;"-"&amp;335&amp;"A"))</f>
        <v/>
      </c>
    </row>
    <row r="22" spans="1:203" s="7" customFormat="1" ht="29.25" customHeight="1">
      <c r="A22" s="1183" t="s">
        <v>1851</v>
      </c>
      <c r="B22" s="714" t="s">
        <v>45</v>
      </c>
      <c r="C22" s="721" t="str">
        <f>IF(COUNTA(車両台帳!$C$57:$C$2056)=0,"",SUM(D22:GU22))</f>
        <v/>
      </c>
      <c r="D22" s="722" t="str">
        <f>IF(COUNTA(車両台帳!$C$57:$C$2056)=0,"",COUNTIF(車両台帳!$BD$57:$BD$2056,D$3&amp;"-"&amp;311&amp;"A")+COUNTIF(車両台帳!$BD$57:$BD$2056,D$3&amp;"-"&amp;321&amp;"A"))</f>
        <v/>
      </c>
      <c r="E22" s="722" t="str">
        <f>IF(COUNTA(車両台帳!$C$57:$C$2056)=0,"",COUNTIF(車両台帳!$BD$57:$BD$2056,E$3&amp;"-"&amp;311&amp;"A")+COUNTIF(車両台帳!$BD$57:$BD$2056,E$3&amp;"-"&amp;321&amp;"A"))</f>
        <v/>
      </c>
      <c r="F22" s="722" t="str">
        <f>IF(COUNTA(車両台帳!$C$57:$C$2056)=0,"",COUNTIF(車両台帳!$BD$57:$BD$2056,F$3&amp;"-"&amp;311&amp;"A")+COUNTIF(車両台帳!$BD$57:$BD$2056,F$3&amp;"-"&amp;321&amp;"A"))</f>
        <v/>
      </c>
      <c r="G22" s="722" t="str">
        <f>IF(COUNTA(車両台帳!$C$57:$C$2056)=0,"",COUNTIF(車両台帳!$BD$57:$BD$2056,G$3&amp;"-"&amp;311&amp;"A")+COUNTIF(車両台帳!$BD$57:$BD$2056,G$3&amp;"-"&amp;321&amp;"A"))</f>
        <v/>
      </c>
      <c r="H22" s="722" t="str">
        <f>IF(COUNTA(車両台帳!$C$57:$C$2056)=0,"",COUNTIF(車両台帳!$BD$57:$BD$2056,H$3&amp;"-"&amp;311&amp;"A")+COUNTIF(車両台帳!$BD$57:$BD$2056,H$3&amp;"-"&amp;321&amp;"A"))</f>
        <v/>
      </c>
      <c r="I22" s="722" t="str">
        <f>IF(COUNTA(車両台帳!$C$57:$C$2056)=0,"",COUNTIF(車両台帳!$BD$57:$BD$2056,I$3&amp;"-"&amp;311&amp;"A")+COUNTIF(車両台帳!$BD$57:$BD$2056,I$3&amp;"-"&amp;321&amp;"A"))</f>
        <v/>
      </c>
      <c r="J22" s="722" t="str">
        <f>IF(COUNTA(車両台帳!$C$57:$C$2056)=0,"",COUNTIF(車両台帳!$BD$57:$BD$2056,J$3&amp;"-"&amp;311&amp;"A")+COUNTIF(車両台帳!$BD$57:$BD$2056,J$3&amp;"-"&amp;321&amp;"A"))</f>
        <v/>
      </c>
      <c r="K22" s="722" t="str">
        <f>IF(COUNTA(車両台帳!$C$57:$C$2056)=0,"",COUNTIF(車両台帳!$BD$57:$BD$2056,K$3&amp;"-"&amp;311&amp;"A")+COUNTIF(車両台帳!$BD$57:$BD$2056,K$3&amp;"-"&amp;321&amp;"A"))</f>
        <v/>
      </c>
      <c r="L22" s="722" t="str">
        <f>IF(COUNTA(車両台帳!$C$57:$C$2056)=0,"",COUNTIF(車両台帳!$BD$57:$BD$2056,L$3&amp;"-"&amp;311&amp;"A")+COUNTIF(車両台帳!$BD$57:$BD$2056,L$3&amp;"-"&amp;321&amp;"A"))</f>
        <v/>
      </c>
      <c r="M22" s="722" t="str">
        <f>IF(COUNTA(車両台帳!$C$57:$C$2056)=0,"",COUNTIF(車両台帳!$BD$57:$BD$2056,M$3&amp;"-"&amp;311&amp;"A")+COUNTIF(車両台帳!$BD$57:$BD$2056,M$3&amp;"-"&amp;321&amp;"A"))</f>
        <v/>
      </c>
      <c r="N22" s="722" t="str">
        <f>IF(COUNTA(車両台帳!$C$57:$C$2056)=0,"",COUNTIF(車両台帳!$BD$57:$BD$2056,N$3&amp;"-"&amp;311&amp;"A")+COUNTIF(車両台帳!$BD$57:$BD$2056,N$3&amp;"-"&amp;321&amp;"A"))</f>
        <v/>
      </c>
      <c r="O22" s="722" t="str">
        <f>IF(COUNTA(車両台帳!$C$57:$C$2056)=0,"",COUNTIF(車両台帳!$BD$57:$BD$2056,O$3&amp;"-"&amp;311&amp;"A")+COUNTIF(車両台帳!$BD$57:$BD$2056,O$3&amp;"-"&amp;321&amp;"A"))</f>
        <v/>
      </c>
      <c r="P22" s="722" t="str">
        <f>IF(COUNTA(車両台帳!$C$57:$C$2056)=0,"",COUNTIF(車両台帳!$BD$57:$BD$2056,P$3&amp;"-"&amp;311&amp;"A")+COUNTIF(車両台帳!$BD$57:$BD$2056,P$3&amp;"-"&amp;321&amp;"A"))</f>
        <v/>
      </c>
      <c r="Q22" s="722" t="str">
        <f>IF(COUNTA(車両台帳!$C$57:$C$2056)=0,"",COUNTIF(車両台帳!$BD$57:$BD$2056,Q$3&amp;"-"&amp;311&amp;"A")+COUNTIF(車両台帳!$BD$57:$BD$2056,Q$3&amp;"-"&amp;321&amp;"A"))</f>
        <v/>
      </c>
      <c r="R22" s="722" t="str">
        <f>IF(COUNTA(車両台帳!$C$57:$C$2056)=0,"",COUNTIF(車両台帳!$BD$57:$BD$2056,R$3&amp;"-"&amp;311&amp;"A")+COUNTIF(車両台帳!$BD$57:$BD$2056,R$3&amp;"-"&amp;321&amp;"A"))</f>
        <v/>
      </c>
      <c r="S22" s="722" t="str">
        <f>IF(COUNTA(車両台帳!$C$57:$C$2056)=0,"",COUNTIF(車両台帳!$BD$57:$BD$2056,S$3&amp;"-"&amp;311&amp;"A")+COUNTIF(車両台帳!$BD$57:$BD$2056,S$3&amp;"-"&amp;321&amp;"A"))</f>
        <v/>
      </c>
      <c r="T22" s="722" t="str">
        <f>IF(COUNTA(車両台帳!$C$57:$C$2056)=0,"",COUNTIF(車両台帳!$BD$57:$BD$2056,T$3&amp;"-"&amp;311&amp;"A")+COUNTIF(車両台帳!$BD$57:$BD$2056,T$3&amp;"-"&amp;321&amp;"A"))</f>
        <v/>
      </c>
      <c r="U22" s="722" t="str">
        <f>IF(COUNTA(車両台帳!$C$57:$C$2056)=0,"",COUNTIF(車両台帳!$BD$57:$BD$2056,U$3&amp;"-"&amp;311&amp;"A")+COUNTIF(車両台帳!$BD$57:$BD$2056,U$3&amp;"-"&amp;321&amp;"A"))</f>
        <v/>
      </c>
      <c r="V22" s="722" t="str">
        <f>IF(COUNTA(車両台帳!$C$57:$C$2056)=0,"",COUNTIF(車両台帳!$BD$57:$BD$2056,V$3&amp;"-"&amp;311&amp;"A")+COUNTIF(車両台帳!$BD$57:$BD$2056,V$3&amp;"-"&amp;321&amp;"A"))</f>
        <v/>
      </c>
      <c r="W22" s="722" t="str">
        <f>IF(COUNTA(車両台帳!$C$57:$C$2056)=0,"",COUNTIF(車両台帳!$BD$57:$BD$2056,W$3&amp;"-"&amp;311&amp;"A")+COUNTIF(車両台帳!$BD$57:$BD$2056,W$3&amp;"-"&amp;321&amp;"A"))</f>
        <v/>
      </c>
      <c r="X22" s="722" t="str">
        <f>IF(COUNTA(車両台帳!$C$57:$C$2056)=0,"",COUNTIF(車両台帳!$BD$57:$BD$2056,X$3&amp;"-"&amp;311&amp;"A")+COUNTIF(車両台帳!$BD$57:$BD$2056,X$3&amp;"-"&amp;321&amp;"A"))</f>
        <v/>
      </c>
      <c r="Y22" s="722" t="str">
        <f>IF(COUNTA(車両台帳!$C$57:$C$2056)=0,"",COUNTIF(車両台帳!$BD$57:$BD$2056,Y$3&amp;"-"&amp;311&amp;"A")+COUNTIF(車両台帳!$BD$57:$BD$2056,Y$3&amp;"-"&amp;321&amp;"A"))</f>
        <v/>
      </c>
      <c r="Z22" s="722" t="str">
        <f>IF(COUNTA(車両台帳!$C$57:$C$2056)=0,"",COUNTIF(車両台帳!$BD$57:$BD$2056,Z$3&amp;"-"&amp;311&amp;"A")+COUNTIF(車両台帳!$BD$57:$BD$2056,Z$3&amp;"-"&amp;321&amp;"A"))</f>
        <v/>
      </c>
      <c r="AA22" s="722" t="str">
        <f>IF(COUNTA(車両台帳!$C$57:$C$2056)=0,"",COUNTIF(車両台帳!$BD$57:$BD$2056,AA$3&amp;"-"&amp;311&amp;"A")+COUNTIF(車両台帳!$BD$57:$BD$2056,AA$3&amp;"-"&amp;321&amp;"A"))</f>
        <v/>
      </c>
      <c r="AB22" s="722" t="str">
        <f>IF(COUNTA(車両台帳!$C$57:$C$2056)=0,"",COUNTIF(車両台帳!$BD$57:$BD$2056,AB$3&amp;"-"&amp;311&amp;"A")+COUNTIF(車両台帳!$BD$57:$BD$2056,AB$3&amp;"-"&amp;321&amp;"A"))</f>
        <v/>
      </c>
      <c r="AC22" s="722" t="str">
        <f>IF(COUNTA(車両台帳!$C$57:$C$2056)=0,"",COUNTIF(車両台帳!$BD$57:$BD$2056,AC$3&amp;"-"&amp;311&amp;"A")+COUNTIF(車両台帳!$BD$57:$BD$2056,AC$3&amp;"-"&amp;321&amp;"A"))</f>
        <v/>
      </c>
      <c r="AD22" s="722" t="str">
        <f>IF(COUNTA(車両台帳!$C$57:$C$2056)=0,"",COUNTIF(車両台帳!$BD$57:$BD$2056,AD$3&amp;"-"&amp;311&amp;"A")+COUNTIF(車両台帳!$BD$57:$BD$2056,AD$3&amp;"-"&amp;321&amp;"A"))</f>
        <v/>
      </c>
      <c r="AE22" s="722" t="str">
        <f>IF(COUNTA(車両台帳!$C$57:$C$2056)=0,"",COUNTIF(車両台帳!$BD$57:$BD$2056,AE$3&amp;"-"&amp;311&amp;"A")+COUNTIF(車両台帳!$BD$57:$BD$2056,AE$3&amp;"-"&amp;321&amp;"A"))</f>
        <v/>
      </c>
      <c r="AF22" s="722" t="str">
        <f>IF(COUNTA(車両台帳!$C$57:$C$2056)=0,"",COUNTIF(車両台帳!$BD$57:$BD$2056,AF$3&amp;"-"&amp;311&amp;"A")+COUNTIF(車両台帳!$BD$57:$BD$2056,AF$3&amp;"-"&amp;321&amp;"A"))</f>
        <v/>
      </c>
      <c r="AG22" s="722" t="str">
        <f>IF(COUNTA(車両台帳!$C$57:$C$2056)=0,"",COUNTIF(車両台帳!$BD$57:$BD$2056,AG$3&amp;"-"&amp;311&amp;"A")+COUNTIF(車両台帳!$BD$57:$BD$2056,AG$3&amp;"-"&amp;321&amp;"A"))</f>
        <v/>
      </c>
      <c r="AH22" s="722" t="str">
        <f>IF(COUNTA(車両台帳!$C$57:$C$2056)=0,"",COUNTIF(車両台帳!$BD$57:$BD$2056,AH$3&amp;"-"&amp;311&amp;"A")+COUNTIF(車両台帳!$BD$57:$BD$2056,AH$3&amp;"-"&amp;321&amp;"A"))</f>
        <v/>
      </c>
      <c r="AI22" s="722" t="str">
        <f>IF(COUNTA(車両台帳!$C$57:$C$2056)=0,"",COUNTIF(車両台帳!$BD$57:$BD$2056,AI$3&amp;"-"&amp;311&amp;"A")+COUNTIF(車両台帳!$BD$57:$BD$2056,AI$3&amp;"-"&amp;321&amp;"A"))</f>
        <v/>
      </c>
      <c r="AJ22" s="722" t="str">
        <f>IF(COUNTA(車両台帳!$C$57:$C$2056)=0,"",COUNTIF(車両台帳!$BD$57:$BD$2056,AJ$3&amp;"-"&amp;311&amp;"A")+COUNTIF(車両台帳!$BD$57:$BD$2056,AJ$3&amp;"-"&amp;321&amp;"A"))</f>
        <v/>
      </c>
      <c r="AK22" s="722" t="str">
        <f>IF(COUNTA(車両台帳!$C$57:$C$2056)=0,"",COUNTIF(車両台帳!$BD$57:$BD$2056,AK$3&amp;"-"&amp;311&amp;"A")+COUNTIF(車両台帳!$BD$57:$BD$2056,AK$3&amp;"-"&amp;321&amp;"A"))</f>
        <v/>
      </c>
      <c r="AL22" s="722" t="str">
        <f>IF(COUNTA(車両台帳!$C$57:$C$2056)=0,"",COUNTIF(車両台帳!$BD$57:$BD$2056,AL$3&amp;"-"&amp;311&amp;"A")+COUNTIF(車両台帳!$BD$57:$BD$2056,AL$3&amp;"-"&amp;321&amp;"A"))</f>
        <v/>
      </c>
      <c r="AM22" s="722" t="str">
        <f>IF(COUNTA(車両台帳!$C$57:$C$2056)=0,"",COUNTIF(車両台帳!$BD$57:$BD$2056,AM$3&amp;"-"&amp;311&amp;"A")+COUNTIF(車両台帳!$BD$57:$BD$2056,AM$3&amp;"-"&amp;321&amp;"A"))</f>
        <v/>
      </c>
      <c r="AN22" s="722" t="str">
        <f>IF(COUNTA(車両台帳!$C$57:$C$2056)=0,"",COUNTIF(車両台帳!$BD$57:$BD$2056,AN$3&amp;"-"&amp;311&amp;"A")+COUNTIF(車両台帳!$BD$57:$BD$2056,AN$3&amp;"-"&amp;321&amp;"A"))</f>
        <v/>
      </c>
      <c r="AO22" s="722" t="str">
        <f>IF(COUNTA(車両台帳!$C$57:$C$2056)=0,"",COUNTIF(車両台帳!$BD$57:$BD$2056,AO$3&amp;"-"&amp;311&amp;"A")+COUNTIF(車両台帳!$BD$57:$BD$2056,AO$3&amp;"-"&amp;321&amp;"A"))</f>
        <v/>
      </c>
      <c r="AP22" s="722" t="str">
        <f>IF(COUNTA(車両台帳!$C$57:$C$2056)=0,"",COUNTIF(車両台帳!$BD$57:$BD$2056,AP$3&amp;"-"&amp;311&amp;"A")+COUNTIF(車両台帳!$BD$57:$BD$2056,AP$3&amp;"-"&amp;321&amp;"A"))</f>
        <v/>
      </c>
      <c r="AQ22" s="722" t="str">
        <f>IF(COUNTA(車両台帳!$C$57:$C$2056)=0,"",COUNTIF(車両台帳!$BD$57:$BD$2056,AQ$3&amp;"-"&amp;311&amp;"A")+COUNTIF(車両台帳!$BD$57:$BD$2056,AQ$3&amp;"-"&amp;321&amp;"A"))</f>
        <v/>
      </c>
      <c r="AR22" s="722" t="str">
        <f>IF(COUNTA(車両台帳!$C$57:$C$2056)=0,"",COUNTIF(車両台帳!$BD$57:$BD$2056,AR$3&amp;"-"&amp;311&amp;"A")+COUNTIF(車両台帳!$BD$57:$BD$2056,AR$3&amp;"-"&amp;321&amp;"A"))</f>
        <v/>
      </c>
      <c r="AS22" s="722" t="str">
        <f>IF(COUNTA(車両台帳!$C$57:$C$2056)=0,"",COUNTIF(車両台帳!$BD$57:$BD$2056,AS$3&amp;"-"&amp;311&amp;"A")+COUNTIF(車両台帳!$BD$57:$BD$2056,AS$3&amp;"-"&amp;321&amp;"A"))</f>
        <v/>
      </c>
      <c r="AT22" s="722" t="str">
        <f>IF(COUNTA(車両台帳!$C$57:$C$2056)=0,"",COUNTIF(車両台帳!$BD$57:$BD$2056,AT$3&amp;"-"&amp;311&amp;"A")+COUNTIF(車両台帳!$BD$57:$BD$2056,AT$3&amp;"-"&amp;321&amp;"A"))</f>
        <v/>
      </c>
      <c r="AU22" s="722" t="str">
        <f>IF(COUNTA(車両台帳!$C$57:$C$2056)=0,"",COUNTIF(車両台帳!$BD$57:$BD$2056,AU$3&amp;"-"&amp;311&amp;"A")+COUNTIF(車両台帳!$BD$57:$BD$2056,AU$3&amp;"-"&amp;321&amp;"A"))</f>
        <v/>
      </c>
      <c r="AV22" s="722" t="str">
        <f>IF(COUNTA(車両台帳!$C$57:$C$2056)=0,"",COUNTIF(車両台帳!$BD$57:$BD$2056,AV$3&amp;"-"&amp;311&amp;"A")+COUNTIF(車両台帳!$BD$57:$BD$2056,AV$3&amp;"-"&amp;321&amp;"A"))</f>
        <v/>
      </c>
      <c r="AW22" s="722" t="str">
        <f>IF(COUNTA(車両台帳!$C$57:$C$2056)=0,"",COUNTIF(車両台帳!$BD$57:$BD$2056,AW$3&amp;"-"&amp;311&amp;"A")+COUNTIF(車両台帳!$BD$57:$BD$2056,AW$3&amp;"-"&amp;321&amp;"A"))</f>
        <v/>
      </c>
      <c r="AX22" s="722" t="str">
        <f>IF(COUNTA(車両台帳!$C$57:$C$2056)=0,"",COUNTIF(車両台帳!$BD$57:$BD$2056,AX$3&amp;"-"&amp;311&amp;"A")+COUNTIF(車両台帳!$BD$57:$BD$2056,AX$3&amp;"-"&amp;321&amp;"A"))</f>
        <v/>
      </c>
      <c r="AY22" s="722" t="str">
        <f>IF(COUNTA(車両台帳!$C$57:$C$2056)=0,"",COUNTIF(車両台帳!$BD$57:$BD$2056,AY$3&amp;"-"&amp;311&amp;"A")+COUNTIF(車両台帳!$BD$57:$BD$2056,AY$3&amp;"-"&amp;321&amp;"A"))</f>
        <v/>
      </c>
      <c r="AZ22" s="722" t="str">
        <f>IF(COUNTA(車両台帳!$C$57:$C$2056)=0,"",COUNTIF(車両台帳!$BD$57:$BD$2056,AZ$3&amp;"-"&amp;311&amp;"A")+COUNTIF(車両台帳!$BD$57:$BD$2056,AZ$3&amp;"-"&amp;321&amp;"A"))</f>
        <v/>
      </c>
      <c r="BA22" s="722" t="str">
        <f>IF(COUNTA(車両台帳!$C$57:$C$2056)=0,"",COUNTIF(車両台帳!$BD$57:$BD$2056,BA$3&amp;"-"&amp;311&amp;"A")+COUNTIF(車両台帳!$BD$57:$BD$2056,BA$3&amp;"-"&amp;321&amp;"A"))</f>
        <v/>
      </c>
      <c r="BB22" s="722" t="str">
        <f>IF(COUNTA(車両台帳!$C$57:$C$2056)=0,"",COUNTIF(車両台帳!$BD$57:$BD$2056,BB$3&amp;"-"&amp;311&amp;"A")+COUNTIF(車両台帳!$BD$57:$BD$2056,BB$3&amp;"-"&amp;321&amp;"A"))</f>
        <v/>
      </c>
      <c r="BC22" s="722" t="str">
        <f>IF(COUNTA(車両台帳!$C$57:$C$2056)=0,"",COUNTIF(車両台帳!$BD$57:$BD$2056,BC$3&amp;"-"&amp;311&amp;"A")+COUNTIF(車両台帳!$BD$57:$BD$2056,BC$3&amp;"-"&amp;321&amp;"A"))</f>
        <v/>
      </c>
      <c r="BD22" s="722" t="str">
        <f>IF(COUNTA(車両台帳!$C$57:$C$2056)=0,"",COUNTIF(車両台帳!$BD$57:$BD$2056,BD$3&amp;"-"&amp;311&amp;"A")+COUNTIF(車両台帳!$BD$57:$BD$2056,BD$3&amp;"-"&amp;321&amp;"A"))</f>
        <v/>
      </c>
      <c r="BE22" s="722" t="str">
        <f>IF(COUNTA(車両台帳!$C$57:$C$2056)=0,"",COUNTIF(車両台帳!$BD$57:$BD$2056,BE$3&amp;"-"&amp;311&amp;"A")+COUNTIF(車両台帳!$BD$57:$BD$2056,BE$3&amp;"-"&amp;321&amp;"A"))</f>
        <v/>
      </c>
      <c r="BF22" s="722" t="str">
        <f>IF(COUNTA(車両台帳!$C$57:$C$2056)=0,"",COUNTIF(車両台帳!$BD$57:$BD$2056,BF$3&amp;"-"&amp;311&amp;"A")+COUNTIF(車両台帳!$BD$57:$BD$2056,BF$3&amp;"-"&amp;321&amp;"A"))</f>
        <v/>
      </c>
      <c r="BG22" s="722" t="str">
        <f>IF(COUNTA(車両台帳!$C$57:$C$2056)=0,"",COUNTIF(車両台帳!$BD$57:$BD$2056,BG$3&amp;"-"&amp;311&amp;"A")+COUNTIF(車両台帳!$BD$57:$BD$2056,BG$3&amp;"-"&amp;321&amp;"A"))</f>
        <v/>
      </c>
      <c r="BH22" s="722" t="str">
        <f>IF(COUNTA(車両台帳!$C$57:$C$2056)=0,"",COUNTIF(車両台帳!$BD$57:$BD$2056,BH$3&amp;"-"&amp;311&amp;"A")+COUNTIF(車両台帳!$BD$57:$BD$2056,BH$3&amp;"-"&amp;321&amp;"A"))</f>
        <v/>
      </c>
      <c r="BI22" s="722" t="str">
        <f>IF(COUNTA(車両台帳!$C$57:$C$2056)=0,"",COUNTIF(車両台帳!$BD$57:$BD$2056,BI$3&amp;"-"&amp;311&amp;"A")+COUNTIF(車両台帳!$BD$57:$BD$2056,BI$3&amp;"-"&amp;321&amp;"A"))</f>
        <v/>
      </c>
      <c r="BJ22" s="722" t="str">
        <f>IF(COUNTA(車両台帳!$C$57:$C$2056)=0,"",COUNTIF(車両台帳!$BD$57:$BD$2056,BJ$3&amp;"-"&amp;311&amp;"A")+COUNTIF(車両台帳!$BD$57:$BD$2056,BJ$3&amp;"-"&amp;321&amp;"A"))</f>
        <v/>
      </c>
      <c r="BK22" s="722" t="str">
        <f>IF(COUNTA(車両台帳!$C$57:$C$2056)=0,"",COUNTIF(車両台帳!$BD$57:$BD$2056,BK$3&amp;"-"&amp;311&amp;"A")+COUNTIF(車両台帳!$BD$57:$BD$2056,BK$3&amp;"-"&amp;321&amp;"A"))</f>
        <v/>
      </c>
      <c r="BL22" s="722" t="str">
        <f>IF(COUNTA(車両台帳!$C$57:$C$2056)=0,"",COUNTIF(車両台帳!$BD$57:$BD$2056,BL$3&amp;"-"&amp;311&amp;"A")+COUNTIF(車両台帳!$BD$57:$BD$2056,BL$3&amp;"-"&amp;321&amp;"A"))</f>
        <v/>
      </c>
      <c r="BM22" s="722" t="str">
        <f>IF(COUNTA(車両台帳!$C$57:$C$2056)=0,"",COUNTIF(車両台帳!$BD$57:$BD$2056,BM$3&amp;"-"&amp;311&amp;"A")+COUNTIF(車両台帳!$BD$57:$BD$2056,BM$3&amp;"-"&amp;321&amp;"A"))</f>
        <v/>
      </c>
      <c r="BN22" s="722" t="str">
        <f>IF(COUNTA(車両台帳!$C$57:$C$2056)=0,"",COUNTIF(車両台帳!$BD$57:$BD$2056,BN$3&amp;"-"&amp;311&amp;"A")+COUNTIF(車両台帳!$BD$57:$BD$2056,BN$3&amp;"-"&amp;321&amp;"A"))</f>
        <v/>
      </c>
      <c r="BO22" s="722" t="str">
        <f>IF(COUNTA(車両台帳!$C$57:$C$2056)=0,"",COUNTIF(車両台帳!$BD$57:$BD$2056,BO$3&amp;"-"&amp;311&amp;"A")+COUNTIF(車両台帳!$BD$57:$BD$2056,BO$3&amp;"-"&amp;321&amp;"A"))</f>
        <v/>
      </c>
      <c r="BP22" s="722" t="str">
        <f>IF(COUNTA(車両台帳!$C$57:$C$2056)=0,"",COUNTIF(車両台帳!$BD$57:$BD$2056,BP$3&amp;"-"&amp;311&amp;"A")+COUNTIF(車両台帳!$BD$57:$BD$2056,BP$3&amp;"-"&amp;321&amp;"A"))</f>
        <v/>
      </c>
      <c r="BQ22" s="722" t="str">
        <f>IF(COUNTA(車両台帳!$C$57:$C$2056)=0,"",COUNTIF(車両台帳!$BD$57:$BD$2056,BQ$3&amp;"-"&amp;311&amp;"A")+COUNTIF(車両台帳!$BD$57:$BD$2056,BQ$3&amp;"-"&amp;321&amp;"A"))</f>
        <v/>
      </c>
      <c r="BR22" s="722" t="str">
        <f>IF(COUNTA(車両台帳!$C$57:$C$2056)=0,"",COUNTIF(車両台帳!$BD$57:$BD$2056,BR$3&amp;"-"&amp;311&amp;"A")+COUNTIF(車両台帳!$BD$57:$BD$2056,BR$3&amp;"-"&amp;321&amp;"A"))</f>
        <v/>
      </c>
      <c r="BS22" s="722" t="str">
        <f>IF(COUNTA(車両台帳!$C$57:$C$2056)=0,"",COUNTIF(車両台帳!$BD$57:$BD$2056,BS$3&amp;"-"&amp;311&amp;"A")+COUNTIF(車両台帳!$BD$57:$BD$2056,BS$3&amp;"-"&amp;321&amp;"A"))</f>
        <v/>
      </c>
      <c r="BT22" s="722" t="str">
        <f>IF(COUNTA(車両台帳!$C$57:$C$2056)=0,"",COUNTIF(車両台帳!$BD$57:$BD$2056,BT$3&amp;"-"&amp;311&amp;"A")+COUNTIF(車両台帳!$BD$57:$BD$2056,BT$3&amp;"-"&amp;321&amp;"A"))</f>
        <v/>
      </c>
      <c r="BU22" s="722" t="str">
        <f>IF(COUNTA(車両台帳!$C$57:$C$2056)=0,"",COUNTIF(車両台帳!$BD$57:$BD$2056,BU$3&amp;"-"&amp;311&amp;"A")+COUNTIF(車両台帳!$BD$57:$BD$2056,BU$3&amp;"-"&amp;321&amp;"A"))</f>
        <v/>
      </c>
      <c r="BV22" s="722" t="str">
        <f>IF(COUNTA(車両台帳!$C$57:$C$2056)=0,"",COUNTIF(車両台帳!$BD$57:$BD$2056,BV$3&amp;"-"&amp;311&amp;"A")+COUNTIF(車両台帳!$BD$57:$BD$2056,BV$3&amp;"-"&amp;321&amp;"A"))</f>
        <v/>
      </c>
      <c r="BW22" s="722" t="str">
        <f>IF(COUNTA(車両台帳!$C$57:$C$2056)=0,"",COUNTIF(車両台帳!$BD$57:$BD$2056,BW$3&amp;"-"&amp;311&amp;"A")+COUNTIF(車両台帳!$BD$57:$BD$2056,BW$3&amp;"-"&amp;321&amp;"A"))</f>
        <v/>
      </c>
      <c r="BX22" s="722" t="str">
        <f>IF(COUNTA(車両台帳!$C$57:$C$2056)=0,"",COUNTIF(車両台帳!$BD$57:$BD$2056,BX$3&amp;"-"&amp;311&amp;"A")+COUNTIF(車両台帳!$BD$57:$BD$2056,BX$3&amp;"-"&amp;321&amp;"A"))</f>
        <v/>
      </c>
      <c r="BY22" s="722" t="str">
        <f>IF(COUNTA(車両台帳!$C$57:$C$2056)=0,"",COUNTIF(車両台帳!$BD$57:$BD$2056,BY$3&amp;"-"&amp;311&amp;"A")+COUNTIF(車両台帳!$BD$57:$BD$2056,BY$3&amp;"-"&amp;321&amp;"A"))</f>
        <v/>
      </c>
      <c r="BZ22" s="722" t="str">
        <f>IF(COUNTA(車両台帳!$C$57:$C$2056)=0,"",COUNTIF(車両台帳!$BD$57:$BD$2056,BZ$3&amp;"-"&amp;311&amp;"A")+COUNTIF(車両台帳!$BD$57:$BD$2056,BZ$3&amp;"-"&amp;321&amp;"A"))</f>
        <v/>
      </c>
      <c r="CA22" s="722" t="str">
        <f>IF(COUNTA(車両台帳!$C$57:$C$2056)=0,"",COUNTIF(車両台帳!$BD$57:$BD$2056,CA$3&amp;"-"&amp;311&amp;"A")+COUNTIF(車両台帳!$BD$57:$BD$2056,CA$3&amp;"-"&amp;321&amp;"A"))</f>
        <v/>
      </c>
      <c r="CB22" s="722" t="str">
        <f>IF(COUNTA(車両台帳!$C$57:$C$2056)=0,"",COUNTIF(車両台帳!$BD$57:$BD$2056,CB$3&amp;"-"&amp;311&amp;"A")+COUNTIF(車両台帳!$BD$57:$BD$2056,CB$3&amp;"-"&amp;321&amp;"A"))</f>
        <v/>
      </c>
      <c r="CC22" s="722" t="str">
        <f>IF(COUNTA(車両台帳!$C$57:$C$2056)=0,"",COUNTIF(車両台帳!$BD$57:$BD$2056,CC$3&amp;"-"&amp;311&amp;"A")+COUNTIF(車両台帳!$BD$57:$BD$2056,CC$3&amp;"-"&amp;321&amp;"A"))</f>
        <v/>
      </c>
      <c r="CD22" s="722" t="str">
        <f>IF(COUNTA(車両台帳!$C$57:$C$2056)=0,"",COUNTIF(車両台帳!$BD$57:$BD$2056,CD$3&amp;"-"&amp;311&amp;"A")+COUNTIF(車両台帳!$BD$57:$BD$2056,CD$3&amp;"-"&amp;321&amp;"A"))</f>
        <v/>
      </c>
      <c r="CE22" s="722" t="str">
        <f>IF(COUNTA(車両台帳!$C$57:$C$2056)=0,"",COUNTIF(車両台帳!$BD$57:$BD$2056,CE$3&amp;"-"&amp;311&amp;"A")+COUNTIF(車両台帳!$BD$57:$BD$2056,CE$3&amp;"-"&amp;321&amp;"A"))</f>
        <v/>
      </c>
      <c r="CF22" s="722" t="str">
        <f>IF(COUNTA(車両台帳!$C$57:$C$2056)=0,"",COUNTIF(車両台帳!$BD$57:$BD$2056,CF$3&amp;"-"&amp;311&amp;"A")+COUNTIF(車両台帳!$BD$57:$BD$2056,CF$3&amp;"-"&amp;321&amp;"A"))</f>
        <v/>
      </c>
      <c r="CG22" s="722" t="str">
        <f>IF(COUNTA(車両台帳!$C$57:$C$2056)=0,"",COUNTIF(車両台帳!$BD$57:$BD$2056,CG$3&amp;"-"&amp;311&amp;"A")+COUNTIF(車両台帳!$BD$57:$BD$2056,CG$3&amp;"-"&amp;321&amp;"A"))</f>
        <v/>
      </c>
      <c r="CH22" s="722" t="str">
        <f>IF(COUNTA(車両台帳!$C$57:$C$2056)=0,"",COUNTIF(車両台帳!$BD$57:$BD$2056,CH$3&amp;"-"&amp;311&amp;"A")+COUNTIF(車両台帳!$BD$57:$BD$2056,CH$3&amp;"-"&amp;321&amp;"A"))</f>
        <v/>
      </c>
      <c r="CI22" s="722" t="str">
        <f>IF(COUNTA(車両台帳!$C$57:$C$2056)=0,"",COUNTIF(車両台帳!$BD$57:$BD$2056,CI$3&amp;"-"&amp;311&amp;"A")+COUNTIF(車両台帳!$BD$57:$BD$2056,CI$3&amp;"-"&amp;321&amp;"A"))</f>
        <v/>
      </c>
      <c r="CJ22" s="722" t="str">
        <f>IF(COUNTA(車両台帳!$C$57:$C$2056)=0,"",COUNTIF(車両台帳!$BD$57:$BD$2056,CJ$3&amp;"-"&amp;311&amp;"A")+COUNTIF(車両台帳!$BD$57:$BD$2056,CJ$3&amp;"-"&amp;321&amp;"A"))</f>
        <v/>
      </c>
      <c r="CK22" s="722" t="str">
        <f>IF(COUNTA(車両台帳!$C$57:$C$2056)=0,"",COUNTIF(車両台帳!$BD$57:$BD$2056,CK$3&amp;"-"&amp;311&amp;"A")+COUNTIF(車両台帳!$BD$57:$BD$2056,CK$3&amp;"-"&amp;321&amp;"A"))</f>
        <v/>
      </c>
      <c r="CL22" s="722" t="str">
        <f>IF(COUNTA(車両台帳!$C$57:$C$2056)=0,"",COUNTIF(車両台帳!$BD$57:$BD$2056,CL$3&amp;"-"&amp;311&amp;"A")+COUNTIF(車両台帳!$BD$57:$BD$2056,CL$3&amp;"-"&amp;321&amp;"A"))</f>
        <v/>
      </c>
      <c r="CM22" s="722" t="str">
        <f>IF(COUNTA(車両台帳!$C$57:$C$2056)=0,"",COUNTIF(車両台帳!$BD$57:$BD$2056,CM$3&amp;"-"&amp;311&amp;"A")+COUNTIF(車両台帳!$BD$57:$BD$2056,CM$3&amp;"-"&amp;321&amp;"A"))</f>
        <v/>
      </c>
      <c r="CN22" s="722" t="str">
        <f>IF(COUNTA(車両台帳!$C$57:$C$2056)=0,"",COUNTIF(車両台帳!$BD$57:$BD$2056,CN$3&amp;"-"&amp;311&amp;"A")+COUNTIF(車両台帳!$BD$57:$BD$2056,CN$3&amp;"-"&amp;321&amp;"A"))</f>
        <v/>
      </c>
      <c r="CO22" s="722" t="str">
        <f>IF(COUNTA(車両台帳!$C$57:$C$2056)=0,"",COUNTIF(車両台帳!$BD$57:$BD$2056,CO$3&amp;"-"&amp;311&amp;"A")+COUNTIF(車両台帳!$BD$57:$BD$2056,CO$3&amp;"-"&amp;321&amp;"A"))</f>
        <v/>
      </c>
      <c r="CP22" s="722" t="str">
        <f>IF(COUNTA(車両台帳!$C$57:$C$2056)=0,"",COUNTIF(車両台帳!$BD$57:$BD$2056,CP$3&amp;"-"&amp;311&amp;"A")+COUNTIF(車両台帳!$BD$57:$BD$2056,CP$3&amp;"-"&amp;321&amp;"A"))</f>
        <v/>
      </c>
      <c r="CQ22" s="722" t="str">
        <f>IF(COUNTA(車両台帳!$C$57:$C$2056)=0,"",COUNTIF(車両台帳!$BD$57:$BD$2056,CQ$3&amp;"-"&amp;311&amp;"A")+COUNTIF(車両台帳!$BD$57:$BD$2056,CQ$3&amp;"-"&amp;321&amp;"A"))</f>
        <v/>
      </c>
      <c r="CR22" s="722" t="str">
        <f>IF(COUNTA(車両台帳!$C$57:$C$2056)=0,"",COUNTIF(車両台帳!$BD$57:$BD$2056,CR$3&amp;"-"&amp;311&amp;"A")+COUNTIF(車両台帳!$BD$57:$BD$2056,CR$3&amp;"-"&amp;321&amp;"A"))</f>
        <v/>
      </c>
      <c r="CS22" s="722" t="str">
        <f>IF(COUNTA(車両台帳!$C$57:$C$2056)=0,"",COUNTIF(車両台帳!$BD$57:$BD$2056,CS$3&amp;"-"&amp;311&amp;"A")+COUNTIF(車両台帳!$BD$57:$BD$2056,CS$3&amp;"-"&amp;321&amp;"A"))</f>
        <v/>
      </c>
      <c r="CT22" s="722" t="str">
        <f>IF(COUNTA(車両台帳!$C$57:$C$2056)=0,"",COUNTIF(車両台帳!$BD$57:$BD$2056,CT$3&amp;"-"&amp;311&amp;"A")+COUNTIF(車両台帳!$BD$57:$BD$2056,CT$3&amp;"-"&amp;321&amp;"A"))</f>
        <v/>
      </c>
      <c r="CU22" s="722" t="str">
        <f>IF(COUNTA(車両台帳!$C$57:$C$2056)=0,"",COUNTIF(車両台帳!$BD$57:$BD$2056,CU$3&amp;"-"&amp;311&amp;"A")+COUNTIF(車両台帳!$BD$57:$BD$2056,CU$3&amp;"-"&amp;321&amp;"A"))</f>
        <v/>
      </c>
      <c r="CV22" s="722" t="str">
        <f>IF(COUNTA(車両台帳!$C$57:$C$2056)=0,"",COUNTIF(車両台帳!$BD$57:$BD$2056,CV$3&amp;"-"&amp;311&amp;"A")+COUNTIF(車両台帳!$BD$57:$BD$2056,CV$3&amp;"-"&amp;321&amp;"A"))</f>
        <v/>
      </c>
      <c r="CW22" s="722" t="str">
        <f>IF(COUNTA(車両台帳!$C$57:$C$2056)=0,"",COUNTIF(車両台帳!$BD$57:$BD$2056,CW$3&amp;"-"&amp;311&amp;"A")+COUNTIF(車両台帳!$BD$57:$BD$2056,CW$3&amp;"-"&amp;321&amp;"A"))</f>
        <v/>
      </c>
      <c r="CX22" s="722" t="str">
        <f>IF(COUNTA(車両台帳!$C$57:$C$2056)=0,"",COUNTIF(車両台帳!$BD$57:$BD$2056,CX$3&amp;"-"&amp;311&amp;"A")+COUNTIF(車両台帳!$BD$57:$BD$2056,CX$3&amp;"-"&amp;321&amp;"A"))</f>
        <v/>
      </c>
      <c r="CY22" s="722" t="str">
        <f>IF(COUNTA(車両台帳!$C$57:$C$2056)=0,"",COUNTIF(車両台帳!$BD$57:$BD$2056,CY$3&amp;"-"&amp;311&amp;"A")+COUNTIF(車両台帳!$BD$57:$BD$2056,CY$3&amp;"-"&amp;321&amp;"A"))</f>
        <v/>
      </c>
      <c r="CZ22" s="722" t="str">
        <f>IF(COUNTA(車両台帳!$C$57:$C$2056)=0,"",COUNTIF(車両台帳!$BD$57:$BD$2056,CZ$3&amp;"-"&amp;311&amp;"A")+COUNTIF(車両台帳!$BD$57:$BD$2056,CZ$3&amp;"-"&amp;321&amp;"A"))</f>
        <v/>
      </c>
      <c r="DA22" s="722" t="str">
        <f>IF(COUNTA(車両台帳!$C$57:$C$2056)=0,"",COUNTIF(車両台帳!$BD$57:$BD$2056,DA$3&amp;"-"&amp;311&amp;"A")+COUNTIF(車両台帳!$BD$57:$BD$2056,DA$3&amp;"-"&amp;321&amp;"A"))</f>
        <v/>
      </c>
      <c r="DB22" s="722" t="str">
        <f>IF(COUNTA(車両台帳!$C$57:$C$2056)=0,"",COUNTIF(車両台帳!$BD$57:$BD$2056,DB$3&amp;"-"&amp;311&amp;"A")+COUNTIF(車両台帳!$BD$57:$BD$2056,DB$3&amp;"-"&amp;321&amp;"A"))</f>
        <v/>
      </c>
      <c r="DC22" s="722" t="str">
        <f>IF(COUNTA(車両台帳!$C$57:$C$2056)=0,"",COUNTIF(車両台帳!$BD$57:$BD$2056,DC$3&amp;"-"&amp;311&amp;"A")+COUNTIF(車両台帳!$BD$57:$BD$2056,DC$3&amp;"-"&amp;321&amp;"A"))</f>
        <v/>
      </c>
      <c r="DD22" s="722" t="str">
        <f>IF(COUNTA(車両台帳!$C$57:$C$2056)=0,"",COUNTIF(車両台帳!$BD$57:$BD$2056,DD$3&amp;"-"&amp;311&amp;"A")+COUNTIF(車両台帳!$BD$57:$BD$2056,DD$3&amp;"-"&amp;321&amp;"A"))</f>
        <v/>
      </c>
      <c r="DE22" s="722" t="str">
        <f>IF(COUNTA(車両台帳!$C$57:$C$2056)=0,"",COUNTIF(車両台帳!$BD$57:$BD$2056,DE$3&amp;"-"&amp;311&amp;"A")+COUNTIF(車両台帳!$BD$57:$BD$2056,DE$3&amp;"-"&amp;321&amp;"A"))</f>
        <v/>
      </c>
      <c r="DF22" s="722" t="str">
        <f>IF(COUNTA(車両台帳!$C$57:$C$2056)=0,"",COUNTIF(車両台帳!$BD$57:$BD$2056,DF$3&amp;"-"&amp;311&amp;"A")+COUNTIF(車両台帳!$BD$57:$BD$2056,DF$3&amp;"-"&amp;321&amp;"A"))</f>
        <v/>
      </c>
      <c r="DG22" s="722" t="str">
        <f>IF(COUNTA(車両台帳!$C$57:$C$2056)=0,"",COUNTIF(車両台帳!$BD$57:$BD$2056,DG$3&amp;"-"&amp;311&amp;"A")+COUNTIF(車両台帳!$BD$57:$BD$2056,DG$3&amp;"-"&amp;321&amp;"A"))</f>
        <v/>
      </c>
      <c r="DH22" s="722" t="str">
        <f>IF(COUNTA(車両台帳!$C$57:$C$2056)=0,"",COUNTIF(車両台帳!$BD$57:$BD$2056,DH$3&amp;"-"&amp;311&amp;"A")+COUNTIF(車両台帳!$BD$57:$BD$2056,DH$3&amp;"-"&amp;321&amp;"A"))</f>
        <v/>
      </c>
      <c r="DI22" s="722" t="str">
        <f>IF(COUNTA(車両台帳!$C$57:$C$2056)=0,"",COUNTIF(車両台帳!$BD$57:$BD$2056,DI$3&amp;"-"&amp;311&amp;"A")+COUNTIF(車両台帳!$BD$57:$BD$2056,DI$3&amp;"-"&amp;321&amp;"A"))</f>
        <v/>
      </c>
      <c r="DJ22" s="722" t="str">
        <f>IF(COUNTA(車両台帳!$C$57:$C$2056)=0,"",COUNTIF(車両台帳!$BD$57:$BD$2056,DJ$3&amp;"-"&amp;311&amp;"A")+COUNTIF(車両台帳!$BD$57:$BD$2056,DJ$3&amp;"-"&amp;321&amp;"A"))</f>
        <v/>
      </c>
      <c r="DK22" s="722" t="str">
        <f>IF(COUNTA(車両台帳!$C$57:$C$2056)=0,"",COUNTIF(車両台帳!$BD$57:$BD$2056,DK$3&amp;"-"&amp;311&amp;"A")+COUNTIF(車両台帳!$BD$57:$BD$2056,DK$3&amp;"-"&amp;321&amp;"A"))</f>
        <v/>
      </c>
      <c r="DL22" s="722" t="str">
        <f>IF(COUNTA(車両台帳!$C$57:$C$2056)=0,"",COUNTIF(車両台帳!$BD$57:$BD$2056,DL$3&amp;"-"&amp;311&amp;"A")+COUNTIF(車両台帳!$BD$57:$BD$2056,DL$3&amp;"-"&amp;321&amp;"A"))</f>
        <v/>
      </c>
      <c r="DM22" s="722" t="str">
        <f>IF(COUNTA(車両台帳!$C$57:$C$2056)=0,"",COUNTIF(車両台帳!$BD$57:$BD$2056,DM$3&amp;"-"&amp;311&amp;"A")+COUNTIF(車両台帳!$BD$57:$BD$2056,DM$3&amp;"-"&amp;321&amp;"A"))</f>
        <v/>
      </c>
      <c r="DN22" s="722" t="str">
        <f>IF(COUNTA(車両台帳!$C$57:$C$2056)=0,"",COUNTIF(車両台帳!$BD$57:$BD$2056,DN$3&amp;"-"&amp;311&amp;"A")+COUNTIF(車両台帳!$BD$57:$BD$2056,DN$3&amp;"-"&amp;321&amp;"A"))</f>
        <v/>
      </c>
      <c r="DO22" s="722" t="str">
        <f>IF(COUNTA(車両台帳!$C$57:$C$2056)=0,"",COUNTIF(車両台帳!$BD$57:$BD$2056,DO$3&amp;"-"&amp;311&amp;"A")+COUNTIF(車両台帳!$BD$57:$BD$2056,DO$3&amp;"-"&amp;321&amp;"A"))</f>
        <v/>
      </c>
      <c r="DP22" s="722" t="str">
        <f>IF(COUNTA(車両台帳!$C$57:$C$2056)=0,"",COUNTIF(車両台帳!$BD$57:$BD$2056,DP$3&amp;"-"&amp;311&amp;"A")+COUNTIF(車両台帳!$BD$57:$BD$2056,DP$3&amp;"-"&amp;321&amp;"A"))</f>
        <v/>
      </c>
      <c r="DQ22" s="722" t="str">
        <f>IF(COUNTA(車両台帳!$C$57:$C$2056)=0,"",COUNTIF(車両台帳!$BD$57:$BD$2056,DQ$3&amp;"-"&amp;311&amp;"A")+COUNTIF(車両台帳!$BD$57:$BD$2056,DQ$3&amp;"-"&amp;321&amp;"A"))</f>
        <v/>
      </c>
      <c r="DR22" s="722" t="str">
        <f>IF(COUNTA(車両台帳!$C$57:$C$2056)=0,"",COUNTIF(車両台帳!$BD$57:$BD$2056,DR$3&amp;"-"&amp;311&amp;"A")+COUNTIF(車両台帳!$BD$57:$BD$2056,DR$3&amp;"-"&amp;321&amp;"A"))</f>
        <v/>
      </c>
      <c r="DS22" s="722" t="str">
        <f>IF(COUNTA(車両台帳!$C$57:$C$2056)=0,"",COUNTIF(車両台帳!$BD$57:$BD$2056,DS$3&amp;"-"&amp;311&amp;"A")+COUNTIF(車両台帳!$BD$57:$BD$2056,DS$3&amp;"-"&amp;321&amp;"A"))</f>
        <v/>
      </c>
      <c r="DT22" s="722" t="str">
        <f>IF(COUNTA(車両台帳!$C$57:$C$2056)=0,"",COUNTIF(車両台帳!$BD$57:$BD$2056,DT$3&amp;"-"&amp;311&amp;"A")+COUNTIF(車両台帳!$BD$57:$BD$2056,DT$3&amp;"-"&amp;321&amp;"A"))</f>
        <v/>
      </c>
      <c r="DU22" s="722" t="str">
        <f>IF(COUNTA(車両台帳!$C$57:$C$2056)=0,"",COUNTIF(車両台帳!$BD$57:$BD$2056,DU$3&amp;"-"&amp;311&amp;"A")+COUNTIF(車両台帳!$BD$57:$BD$2056,DU$3&amp;"-"&amp;321&amp;"A"))</f>
        <v/>
      </c>
      <c r="DV22" s="722" t="str">
        <f>IF(COUNTA(車両台帳!$C$57:$C$2056)=0,"",COUNTIF(車両台帳!$BD$57:$BD$2056,DV$3&amp;"-"&amp;311&amp;"A")+COUNTIF(車両台帳!$BD$57:$BD$2056,DV$3&amp;"-"&amp;321&amp;"A"))</f>
        <v/>
      </c>
      <c r="DW22" s="722" t="str">
        <f>IF(COUNTA(車両台帳!$C$57:$C$2056)=0,"",COUNTIF(車両台帳!$BD$57:$BD$2056,DW$3&amp;"-"&amp;311&amp;"A")+COUNTIF(車両台帳!$BD$57:$BD$2056,DW$3&amp;"-"&amp;321&amp;"A"))</f>
        <v/>
      </c>
      <c r="DX22" s="722" t="str">
        <f>IF(COUNTA(車両台帳!$C$57:$C$2056)=0,"",COUNTIF(車両台帳!$BD$57:$BD$2056,DX$3&amp;"-"&amp;311&amp;"A")+COUNTIF(車両台帳!$BD$57:$BD$2056,DX$3&amp;"-"&amp;321&amp;"A"))</f>
        <v/>
      </c>
      <c r="DY22" s="722" t="str">
        <f>IF(COUNTA(車両台帳!$C$57:$C$2056)=0,"",COUNTIF(車両台帳!$BD$57:$BD$2056,DY$3&amp;"-"&amp;311&amp;"A")+COUNTIF(車両台帳!$BD$57:$BD$2056,DY$3&amp;"-"&amp;321&amp;"A"))</f>
        <v/>
      </c>
      <c r="DZ22" s="722" t="str">
        <f>IF(COUNTA(車両台帳!$C$57:$C$2056)=0,"",COUNTIF(車両台帳!$BD$57:$BD$2056,DZ$3&amp;"-"&amp;311&amp;"A")+COUNTIF(車両台帳!$BD$57:$BD$2056,DZ$3&amp;"-"&amp;321&amp;"A"))</f>
        <v/>
      </c>
      <c r="EA22" s="722" t="str">
        <f>IF(COUNTA(車両台帳!$C$57:$C$2056)=0,"",COUNTIF(車両台帳!$BD$57:$BD$2056,EA$3&amp;"-"&amp;311&amp;"A")+COUNTIF(車両台帳!$BD$57:$BD$2056,EA$3&amp;"-"&amp;321&amp;"A"))</f>
        <v/>
      </c>
      <c r="EB22" s="722" t="str">
        <f>IF(COUNTA(車両台帳!$C$57:$C$2056)=0,"",COUNTIF(車両台帳!$BD$57:$BD$2056,EB$3&amp;"-"&amp;311&amp;"A")+COUNTIF(車両台帳!$BD$57:$BD$2056,EB$3&amp;"-"&amp;321&amp;"A"))</f>
        <v/>
      </c>
      <c r="EC22" s="722" t="str">
        <f>IF(COUNTA(車両台帳!$C$57:$C$2056)=0,"",COUNTIF(車両台帳!$BD$57:$BD$2056,EC$3&amp;"-"&amp;311&amp;"A")+COUNTIF(車両台帳!$BD$57:$BD$2056,EC$3&amp;"-"&amp;321&amp;"A"))</f>
        <v/>
      </c>
      <c r="ED22" s="722" t="str">
        <f>IF(COUNTA(車両台帳!$C$57:$C$2056)=0,"",COUNTIF(車両台帳!$BD$57:$BD$2056,ED$3&amp;"-"&amp;311&amp;"A")+COUNTIF(車両台帳!$BD$57:$BD$2056,ED$3&amp;"-"&amp;321&amp;"A"))</f>
        <v/>
      </c>
      <c r="EE22" s="722" t="str">
        <f>IF(COUNTA(車両台帳!$C$57:$C$2056)=0,"",COUNTIF(車両台帳!$BD$57:$BD$2056,EE$3&amp;"-"&amp;311&amp;"A")+COUNTIF(車両台帳!$BD$57:$BD$2056,EE$3&amp;"-"&amp;321&amp;"A"))</f>
        <v/>
      </c>
      <c r="EF22" s="722" t="str">
        <f>IF(COUNTA(車両台帳!$C$57:$C$2056)=0,"",COUNTIF(車両台帳!$BD$57:$BD$2056,EF$3&amp;"-"&amp;311&amp;"A")+COUNTIF(車両台帳!$BD$57:$BD$2056,EF$3&amp;"-"&amp;321&amp;"A"))</f>
        <v/>
      </c>
      <c r="EG22" s="722" t="str">
        <f>IF(COUNTA(車両台帳!$C$57:$C$2056)=0,"",COUNTIF(車両台帳!$BD$57:$BD$2056,EG$3&amp;"-"&amp;311&amp;"A")+COUNTIF(車両台帳!$BD$57:$BD$2056,EG$3&amp;"-"&amp;321&amp;"A"))</f>
        <v/>
      </c>
      <c r="EH22" s="722" t="str">
        <f>IF(COUNTA(車両台帳!$C$57:$C$2056)=0,"",COUNTIF(車両台帳!$BD$57:$BD$2056,EH$3&amp;"-"&amp;311&amp;"A")+COUNTIF(車両台帳!$BD$57:$BD$2056,EH$3&amp;"-"&amp;321&amp;"A"))</f>
        <v/>
      </c>
      <c r="EI22" s="722" t="str">
        <f>IF(COUNTA(車両台帳!$C$57:$C$2056)=0,"",COUNTIF(車両台帳!$BD$57:$BD$2056,EI$3&amp;"-"&amp;311&amp;"A")+COUNTIF(車両台帳!$BD$57:$BD$2056,EI$3&amp;"-"&amp;321&amp;"A"))</f>
        <v/>
      </c>
      <c r="EJ22" s="722" t="str">
        <f>IF(COUNTA(車両台帳!$C$57:$C$2056)=0,"",COUNTIF(車両台帳!$BD$57:$BD$2056,EJ$3&amp;"-"&amp;311&amp;"A")+COUNTIF(車両台帳!$BD$57:$BD$2056,EJ$3&amp;"-"&amp;321&amp;"A"))</f>
        <v/>
      </c>
      <c r="EK22" s="722" t="str">
        <f>IF(COUNTA(車両台帳!$C$57:$C$2056)=0,"",COUNTIF(車両台帳!$BD$57:$BD$2056,EK$3&amp;"-"&amp;311&amp;"A")+COUNTIF(車両台帳!$BD$57:$BD$2056,EK$3&amp;"-"&amp;321&amp;"A"))</f>
        <v/>
      </c>
      <c r="EL22" s="722" t="str">
        <f>IF(COUNTA(車両台帳!$C$57:$C$2056)=0,"",COUNTIF(車両台帳!$BD$57:$BD$2056,EL$3&amp;"-"&amp;311&amp;"A")+COUNTIF(車両台帳!$BD$57:$BD$2056,EL$3&amp;"-"&amp;321&amp;"A"))</f>
        <v/>
      </c>
      <c r="EM22" s="722" t="str">
        <f>IF(COUNTA(車両台帳!$C$57:$C$2056)=0,"",COUNTIF(車両台帳!$BD$57:$BD$2056,EM$3&amp;"-"&amp;311&amp;"A")+COUNTIF(車両台帳!$BD$57:$BD$2056,EM$3&amp;"-"&amp;321&amp;"A"))</f>
        <v/>
      </c>
      <c r="EN22" s="722" t="str">
        <f>IF(COUNTA(車両台帳!$C$57:$C$2056)=0,"",COUNTIF(車両台帳!$BD$57:$BD$2056,EN$3&amp;"-"&amp;311&amp;"A")+COUNTIF(車両台帳!$BD$57:$BD$2056,EN$3&amp;"-"&amp;321&amp;"A"))</f>
        <v/>
      </c>
      <c r="EO22" s="722" t="str">
        <f>IF(COUNTA(車両台帳!$C$57:$C$2056)=0,"",COUNTIF(車両台帳!$BD$57:$BD$2056,EO$3&amp;"-"&amp;311&amp;"A")+COUNTIF(車両台帳!$BD$57:$BD$2056,EO$3&amp;"-"&amp;321&amp;"A"))</f>
        <v/>
      </c>
      <c r="EP22" s="722" t="str">
        <f>IF(COUNTA(車両台帳!$C$57:$C$2056)=0,"",COUNTIF(車両台帳!$BD$57:$BD$2056,EP$3&amp;"-"&amp;311&amp;"A")+COUNTIF(車両台帳!$BD$57:$BD$2056,EP$3&amp;"-"&amp;321&amp;"A"))</f>
        <v/>
      </c>
      <c r="EQ22" s="722" t="str">
        <f>IF(COUNTA(車両台帳!$C$57:$C$2056)=0,"",COUNTIF(車両台帳!$BD$57:$BD$2056,EQ$3&amp;"-"&amp;311&amp;"A")+COUNTIF(車両台帳!$BD$57:$BD$2056,EQ$3&amp;"-"&amp;321&amp;"A"))</f>
        <v/>
      </c>
      <c r="ER22" s="722" t="str">
        <f>IF(COUNTA(車両台帳!$C$57:$C$2056)=0,"",COUNTIF(車両台帳!$BD$57:$BD$2056,ER$3&amp;"-"&amp;311&amp;"A")+COUNTIF(車両台帳!$BD$57:$BD$2056,ER$3&amp;"-"&amp;321&amp;"A"))</f>
        <v/>
      </c>
      <c r="ES22" s="722" t="str">
        <f>IF(COUNTA(車両台帳!$C$57:$C$2056)=0,"",COUNTIF(車両台帳!$BD$57:$BD$2056,ES$3&amp;"-"&amp;311&amp;"A")+COUNTIF(車両台帳!$BD$57:$BD$2056,ES$3&amp;"-"&amp;321&amp;"A"))</f>
        <v/>
      </c>
      <c r="ET22" s="722" t="str">
        <f>IF(COUNTA(車両台帳!$C$57:$C$2056)=0,"",COUNTIF(車両台帳!$BD$57:$BD$2056,ET$3&amp;"-"&amp;311&amp;"A")+COUNTIF(車両台帳!$BD$57:$BD$2056,ET$3&amp;"-"&amp;321&amp;"A"))</f>
        <v/>
      </c>
      <c r="EU22" s="722" t="str">
        <f>IF(COUNTA(車両台帳!$C$57:$C$2056)=0,"",COUNTIF(車両台帳!$BD$57:$BD$2056,EU$3&amp;"-"&amp;311&amp;"A")+COUNTIF(車両台帳!$BD$57:$BD$2056,EU$3&amp;"-"&amp;321&amp;"A"))</f>
        <v/>
      </c>
      <c r="EV22" s="722" t="str">
        <f>IF(COUNTA(車両台帳!$C$57:$C$2056)=0,"",COUNTIF(車両台帳!$BD$57:$BD$2056,EV$3&amp;"-"&amp;311&amp;"A")+COUNTIF(車両台帳!$BD$57:$BD$2056,EV$3&amp;"-"&amp;321&amp;"A"))</f>
        <v/>
      </c>
      <c r="EW22" s="722" t="str">
        <f>IF(COUNTA(車両台帳!$C$57:$C$2056)=0,"",COUNTIF(車両台帳!$BD$57:$BD$2056,EW$3&amp;"-"&amp;311&amp;"A")+COUNTIF(車両台帳!$BD$57:$BD$2056,EW$3&amp;"-"&amp;321&amp;"A"))</f>
        <v/>
      </c>
      <c r="EX22" s="722" t="str">
        <f>IF(COUNTA(車両台帳!$C$57:$C$2056)=0,"",COUNTIF(車両台帳!$BD$57:$BD$2056,EX$3&amp;"-"&amp;311&amp;"A")+COUNTIF(車両台帳!$BD$57:$BD$2056,EX$3&amp;"-"&amp;321&amp;"A"))</f>
        <v/>
      </c>
      <c r="EY22" s="722" t="str">
        <f>IF(COUNTA(車両台帳!$C$57:$C$2056)=0,"",COUNTIF(車両台帳!$BD$57:$BD$2056,EY$3&amp;"-"&amp;311&amp;"A")+COUNTIF(車両台帳!$BD$57:$BD$2056,EY$3&amp;"-"&amp;321&amp;"A"))</f>
        <v/>
      </c>
      <c r="EZ22" s="722" t="str">
        <f>IF(COUNTA(車両台帳!$C$57:$C$2056)=0,"",COUNTIF(車両台帳!$BD$57:$BD$2056,EZ$3&amp;"-"&amp;311&amp;"A")+COUNTIF(車両台帳!$BD$57:$BD$2056,EZ$3&amp;"-"&amp;321&amp;"A"))</f>
        <v/>
      </c>
      <c r="FA22" s="722" t="str">
        <f>IF(COUNTA(車両台帳!$C$57:$C$2056)=0,"",COUNTIF(車両台帳!$BD$57:$BD$2056,FA$3&amp;"-"&amp;311&amp;"A")+COUNTIF(車両台帳!$BD$57:$BD$2056,FA$3&amp;"-"&amp;321&amp;"A"))</f>
        <v/>
      </c>
      <c r="FB22" s="722" t="str">
        <f>IF(COUNTA(車両台帳!$C$57:$C$2056)=0,"",COUNTIF(車両台帳!$BD$57:$BD$2056,FB$3&amp;"-"&amp;311&amp;"A")+COUNTIF(車両台帳!$BD$57:$BD$2056,FB$3&amp;"-"&amp;321&amp;"A"))</f>
        <v/>
      </c>
      <c r="FC22" s="722" t="str">
        <f>IF(COUNTA(車両台帳!$C$57:$C$2056)=0,"",COUNTIF(車両台帳!$BD$57:$BD$2056,FC$3&amp;"-"&amp;311&amp;"A")+COUNTIF(車両台帳!$BD$57:$BD$2056,FC$3&amp;"-"&amp;321&amp;"A"))</f>
        <v/>
      </c>
      <c r="FD22" s="722" t="str">
        <f>IF(COUNTA(車両台帳!$C$57:$C$2056)=0,"",COUNTIF(車両台帳!$BD$57:$BD$2056,FD$3&amp;"-"&amp;311&amp;"A")+COUNTIF(車両台帳!$BD$57:$BD$2056,FD$3&amp;"-"&amp;321&amp;"A"))</f>
        <v/>
      </c>
      <c r="FE22" s="722" t="str">
        <f>IF(COUNTA(車両台帳!$C$57:$C$2056)=0,"",COUNTIF(車両台帳!$BD$57:$BD$2056,FE$3&amp;"-"&amp;311&amp;"A")+COUNTIF(車両台帳!$BD$57:$BD$2056,FE$3&amp;"-"&amp;321&amp;"A"))</f>
        <v/>
      </c>
      <c r="FF22" s="722" t="str">
        <f>IF(COUNTA(車両台帳!$C$57:$C$2056)=0,"",COUNTIF(車両台帳!$BD$57:$BD$2056,FF$3&amp;"-"&amp;311&amp;"A")+COUNTIF(車両台帳!$BD$57:$BD$2056,FF$3&amp;"-"&amp;321&amp;"A"))</f>
        <v/>
      </c>
      <c r="FG22" s="722" t="str">
        <f>IF(COUNTA(車両台帳!$C$57:$C$2056)=0,"",COUNTIF(車両台帳!$BD$57:$BD$2056,FG$3&amp;"-"&amp;311&amp;"A")+COUNTIF(車両台帳!$BD$57:$BD$2056,FG$3&amp;"-"&amp;321&amp;"A"))</f>
        <v/>
      </c>
      <c r="FH22" s="722" t="str">
        <f>IF(COUNTA(車両台帳!$C$57:$C$2056)=0,"",COUNTIF(車両台帳!$BD$57:$BD$2056,FH$3&amp;"-"&amp;311&amp;"A")+COUNTIF(車両台帳!$BD$57:$BD$2056,FH$3&amp;"-"&amp;321&amp;"A"))</f>
        <v/>
      </c>
      <c r="FI22" s="722" t="str">
        <f>IF(COUNTA(車両台帳!$C$57:$C$2056)=0,"",COUNTIF(車両台帳!$BD$57:$BD$2056,FI$3&amp;"-"&amp;311&amp;"A")+COUNTIF(車両台帳!$BD$57:$BD$2056,FI$3&amp;"-"&amp;321&amp;"A"))</f>
        <v/>
      </c>
      <c r="FJ22" s="722" t="str">
        <f>IF(COUNTA(車両台帳!$C$57:$C$2056)=0,"",COUNTIF(車両台帳!$BD$57:$BD$2056,FJ$3&amp;"-"&amp;311&amp;"A")+COUNTIF(車両台帳!$BD$57:$BD$2056,FJ$3&amp;"-"&amp;321&amp;"A"))</f>
        <v/>
      </c>
      <c r="FK22" s="722" t="str">
        <f>IF(COUNTA(車両台帳!$C$57:$C$2056)=0,"",COUNTIF(車両台帳!$BD$57:$BD$2056,FK$3&amp;"-"&amp;311&amp;"A")+COUNTIF(車両台帳!$BD$57:$BD$2056,FK$3&amp;"-"&amp;321&amp;"A"))</f>
        <v/>
      </c>
      <c r="FL22" s="722" t="str">
        <f>IF(COUNTA(車両台帳!$C$57:$C$2056)=0,"",COUNTIF(車両台帳!$BD$57:$BD$2056,FL$3&amp;"-"&amp;311&amp;"A")+COUNTIF(車両台帳!$BD$57:$BD$2056,FL$3&amp;"-"&amp;321&amp;"A"))</f>
        <v/>
      </c>
      <c r="FM22" s="722" t="str">
        <f>IF(COUNTA(車両台帳!$C$57:$C$2056)=0,"",COUNTIF(車両台帳!$BD$57:$BD$2056,FM$3&amp;"-"&amp;311&amp;"A")+COUNTIF(車両台帳!$BD$57:$BD$2056,FM$3&amp;"-"&amp;321&amp;"A"))</f>
        <v/>
      </c>
      <c r="FN22" s="722" t="str">
        <f>IF(COUNTA(車両台帳!$C$57:$C$2056)=0,"",COUNTIF(車両台帳!$BD$57:$BD$2056,FN$3&amp;"-"&amp;311&amp;"A")+COUNTIF(車両台帳!$BD$57:$BD$2056,FN$3&amp;"-"&amp;321&amp;"A"))</f>
        <v/>
      </c>
      <c r="FO22" s="722" t="str">
        <f>IF(COUNTA(車両台帳!$C$57:$C$2056)=0,"",COUNTIF(車両台帳!$BD$57:$BD$2056,FO$3&amp;"-"&amp;311&amp;"A")+COUNTIF(車両台帳!$BD$57:$BD$2056,FO$3&amp;"-"&amp;321&amp;"A"))</f>
        <v/>
      </c>
      <c r="FP22" s="722" t="str">
        <f>IF(COUNTA(車両台帳!$C$57:$C$2056)=0,"",COUNTIF(車両台帳!$BD$57:$BD$2056,FP$3&amp;"-"&amp;311&amp;"A")+COUNTIF(車両台帳!$BD$57:$BD$2056,FP$3&amp;"-"&amp;321&amp;"A"))</f>
        <v/>
      </c>
      <c r="FQ22" s="722" t="str">
        <f>IF(COUNTA(車両台帳!$C$57:$C$2056)=0,"",COUNTIF(車両台帳!$BD$57:$BD$2056,FQ$3&amp;"-"&amp;311&amp;"A")+COUNTIF(車両台帳!$BD$57:$BD$2056,FQ$3&amp;"-"&amp;321&amp;"A"))</f>
        <v/>
      </c>
      <c r="FR22" s="722" t="str">
        <f>IF(COUNTA(車両台帳!$C$57:$C$2056)=0,"",COUNTIF(車両台帳!$BD$57:$BD$2056,FR$3&amp;"-"&amp;311&amp;"A")+COUNTIF(車両台帳!$BD$57:$BD$2056,FR$3&amp;"-"&amp;321&amp;"A"))</f>
        <v/>
      </c>
      <c r="FS22" s="722" t="str">
        <f>IF(COUNTA(車両台帳!$C$57:$C$2056)=0,"",COUNTIF(車両台帳!$BD$57:$BD$2056,FS$3&amp;"-"&amp;311&amp;"A")+COUNTIF(車両台帳!$BD$57:$BD$2056,FS$3&amp;"-"&amp;321&amp;"A"))</f>
        <v/>
      </c>
      <c r="FT22" s="722" t="str">
        <f>IF(COUNTA(車両台帳!$C$57:$C$2056)=0,"",COUNTIF(車両台帳!$BD$57:$BD$2056,FT$3&amp;"-"&amp;311&amp;"A")+COUNTIF(車両台帳!$BD$57:$BD$2056,FT$3&amp;"-"&amp;321&amp;"A"))</f>
        <v/>
      </c>
      <c r="FU22" s="722" t="str">
        <f>IF(COUNTA(車両台帳!$C$57:$C$2056)=0,"",COUNTIF(車両台帳!$BD$57:$BD$2056,FU$3&amp;"-"&amp;311&amp;"A")+COUNTIF(車両台帳!$BD$57:$BD$2056,FU$3&amp;"-"&amp;321&amp;"A"))</f>
        <v/>
      </c>
      <c r="FV22" s="722" t="str">
        <f>IF(COUNTA(車両台帳!$C$57:$C$2056)=0,"",COUNTIF(車両台帳!$BD$57:$BD$2056,FV$3&amp;"-"&amp;311&amp;"A")+COUNTIF(車両台帳!$BD$57:$BD$2056,FV$3&amp;"-"&amp;321&amp;"A"))</f>
        <v/>
      </c>
      <c r="FW22" s="722" t="str">
        <f>IF(COUNTA(車両台帳!$C$57:$C$2056)=0,"",COUNTIF(車両台帳!$BD$57:$BD$2056,FW$3&amp;"-"&amp;311&amp;"A")+COUNTIF(車両台帳!$BD$57:$BD$2056,FW$3&amp;"-"&amp;321&amp;"A"))</f>
        <v/>
      </c>
      <c r="FX22" s="722" t="str">
        <f>IF(COUNTA(車両台帳!$C$57:$C$2056)=0,"",COUNTIF(車両台帳!$BD$57:$BD$2056,FX$3&amp;"-"&amp;311&amp;"A")+COUNTIF(車両台帳!$BD$57:$BD$2056,FX$3&amp;"-"&amp;321&amp;"A"))</f>
        <v/>
      </c>
      <c r="FY22" s="722" t="str">
        <f>IF(COUNTA(車両台帳!$C$57:$C$2056)=0,"",COUNTIF(車両台帳!$BD$57:$BD$2056,FY$3&amp;"-"&amp;311&amp;"A")+COUNTIF(車両台帳!$BD$57:$BD$2056,FY$3&amp;"-"&amp;321&amp;"A"))</f>
        <v/>
      </c>
      <c r="FZ22" s="722" t="str">
        <f>IF(COUNTA(車両台帳!$C$57:$C$2056)=0,"",COUNTIF(車両台帳!$BD$57:$BD$2056,FZ$3&amp;"-"&amp;311&amp;"A")+COUNTIF(車両台帳!$BD$57:$BD$2056,FZ$3&amp;"-"&amp;321&amp;"A"))</f>
        <v/>
      </c>
      <c r="GA22" s="722" t="str">
        <f>IF(COUNTA(車両台帳!$C$57:$C$2056)=0,"",COUNTIF(車両台帳!$BD$57:$BD$2056,GA$3&amp;"-"&amp;311&amp;"A")+COUNTIF(車両台帳!$BD$57:$BD$2056,GA$3&amp;"-"&amp;321&amp;"A"))</f>
        <v/>
      </c>
      <c r="GB22" s="722" t="str">
        <f>IF(COUNTA(車両台帳!$C$57:$C$2056)=0,"",COUNTIF(車両台帳!$BD$57:$BD$2056,GB$3&amp;"-"&amp;311&amp;"A")+COUNTIF(車両台帳!$BD$57:$BD$2056,GB$3&amp;"-"&amp;321&amp;"A"))</f>
        <v/>
      </c>
      <c r="GC22" s="722" t="str">
        <f>IF(COUNTA(車両台帳!$C$57:$C$2056)=0,"",COUNTIF(車両台帳!$BD$57:$BD$2056,GC$3&amp;"-"&amp;311&amp;"A")+COUNTIF(車両台帳!$BD$57:$BD$2056,GC$3&amp;"-"&amp;321&amp;"A"))</f>
        <v/>
      </c>
      <c r="GD22" s="722" t="str">
        <f>IF(COUNTA(車両台帳!$C$57:$C$2056)=0,"",COUNTIF(車両台帳!$BD$57:$BD$2056,GD$3&amp;"-"&amp;311&amp;"A")+COUNTIF(車両台帳!$BD$57:$BD$2056,GD$3&amp;"-"&amp;321&amp;"A"))</f>
        <v/>
      </c>
      <c r="GE22" s="722" t="str">
        <f>IF(COUNTA(車両台帳!$C$57:$C$2056)=0,"",COUNTIF(車両台帳!$BD$57:$BD$2056,GE$3&amp;"-"&amp;311&amp;"A")+COUNTIF(車両台帳!$BD$57:$BD$2056,GE$3&amp;"-"&amp;321&amp;"A"))</f>
        <v/>
      </c>
      <c r="GF22" s="722" t="str">
        <f>IF(COUNTA(車両台帳!$C$57:$C$2056)=0,"",COUNTIF(車両台帳!$BD$57:$BD$2056,GF$3&amp;"-"&amp;311&amp;"A")+COUNTIF(車両台帳!$BD$57:$BD$2056,GF$3&amp;"-"&amp;321&amp;"A"))</f>
        <v/>
      </c>
      <c r="GG22" s="722" t="str">
        <f>IF(COUNTA(車両台帳!$C$57:$C$2056)=0,"",COUNTIF(車両台帳!$BD$57:$BD$2056,GG$3&amp;"-"&amp;311&amp;"A")+COUNTIF(車両台帳!$BD$57:$BD$2056,GG$3&amp;"-"&amp;321&amp;"A"))</f>
        <v/>
      </c>
      <c r="GH22" s="722" t="str">
        <f>IF(COUNTA(車両台帳!$C$57:$C$2056)=0,"",COUNTIF(車両台帳!$BD$57:$BD$2056,GH$3&amp;"-"&amp;311&amp;"A")+COUNTIF(車両台帳!$BD$57:$BD$2056,GH$3&amp;"-"&amp;321&amp;"A"))</f>
        <v/>
      </c>
      <c r="GI22" s="722" t="str">
        <f>IF(COUNTA(車両台帳!$C$57:$C$2056)=0,"",COUNTIF(車両台帳!$BD$57:$BD$2056,GI$3&amp;"-"&amp;311&amp;"A")+COUNTIF(車両台帳!$BD$57:$BD$2056,GI$3&amp;"-"&amp;321&amp;"A"))</f>
        <v/>
      </c>
      <c r="GJ22" s="722" t="str">
        <f>IF(COUNTA(車両台帳!$C$57:$C$2056)=0,"",COUNTIF(車両台帳!$BD$57:$BD$2056,GJ$3&amp;"-"&amp;311&amp;"A")+COUNTIF(車両台帳!$BD$57:$BD$2056,GJ$3&amp;"-"&amp;321&amp;"A"))</f>
        <v/>
      </c>
      <c r="GK22" s="722" t="str">
        <f>IF(COUNTA(車両台帳!$C$57:$C$2056)=0,"",COUNTIF(車両台帳!$BD$57:$BD$2056,GK$3&amp;"-"&amp;311&amp;"A")+COUNTIF(車両台帳!$BD$57:$BD$2056,GK$3&amp;"-"&amp;321&amp;"A"))</f>
        <v/>
      </c>
      <c r="GL22" s="722" t="str">
        <f>IF(COUNTA(車両台帳!$C$57:$C$2056)=0,"",COUNTIF(車両台帳!$BD$57:$BD$2056,GL$3&amp;"-"&amp;311&amp;"A")+COUNTIF(車両台帳!$BD$57:$BD$2056,GL$3&amp;"-"&amp;321&amp;"A"))</f>
        <v/>
      </c>
      <c r="GM22" s="722" t="str">
        <f>IF(COUNTA(車両台帳!$C$57:$C$2056)=0,"",COUNTIF(車両台帳!$BD$57:$BD$2056,GM$3&amp;"-"&amp;311&amp;"A")+COUNTIF(車両台帳!$BD$57:$BD$2056,GM$3&amp;"-"&amp;321&amp;"A"))</f>
        <v/>
      </c>
      <c r="GN22" s="722" t="str">
        <f>IF(COUNTA(車両台帳!$C$57:$C$2056)=0,"",COUNTIF(車両台帳!$BD$57:$BD$2056,GN$3&amp;"-"&amp;311&amp;"A")+COUNTIF(車両台帳!$BD$57:$BD$2056,GN$3&amp;"-"&amp;321&amp;"A"))</f>
        <v/>
      </c>
      <c r="GO22" s="722" t="str">
        <f>IF(COUNTA(車両台帳!$C$57:$C$2056)=0,"",COUNTIF(車両台帳!$BD$57:$BD$2056,GO$3&amp;"-"&amp;311&amp;"A")+COUNTIF(車両台帳!$BD$57:$BD$2056,GO$3&amp;"-"&amp;321&amp;"A"))</f>
        <v/>
      </c>
      <c r="GP22" s="722" t="str">
        <f>IF(COUNTA(車両台帳!$C$57:$C$2056)=0,"",COUNTIF(車両台帳!$BD$57:$BD$2056,GP$3&amp;"-"&amp;311&amp;"A")+COUNTIF(車両台帳!$BD$57:$BD$2056,GP$3&amp;"-"&amp;321&amp;"A"))</f>
        <v/>
      </c>
      <c r="GQ22" s="722" t="str">
        <f>IF(COUNTA(車両台帳!$C$57:$C$2056)=0,"",COUNTIF(車両台帳!$BD$57:$BD$2056,GQ$3&amp;"-"&amp;311&amp;"A")+COUNTIF(車両台帳!$BD$57:$BD$2056,GQ$3&amp;"-"&amp;321&amp;"A"))</f>
        <v/>
      </c>
      <c r="GR22" s="722" t="str">
        <f>IF(COUNTA(車両台帳!$C$57:$C$2056)=0,"",COUNTIF(車両台帳!$BD$57:$BD$2056,GR$3&amp;"-"&amp;311&amp;"A")+COUNTIF(車両台帳!$BD$57:$BD$2056,GR$3&amp;"-"&amp;321&amp;"A"))</f>
        <v/>
      </c>
      <c r="GS22" s="722" t="str">
        <f>IF(COUNTA(車両台帳!$C$57:$C$2056)=0,"",COUNTIF(車両台帳!$BD$57:$BD$2056,GS$3&amp;"-"&amp;311&amp;"A")+COUNTIF(車両台帳!$BD$57:$BD$2056,GS$3&amp;"-"&amp;321&amp;"A"))</f>
        <v/>
      </c>
      <c r="GT22" s="722" t="str">
        <f>IF(COUNTA(車両台帳!$C$57:$C$2056)=0,"",COUNTIF(車両台帳!$BD$57:$BD$2056,GT$3&amp;"-"&amp;311&amp;"A")+COUNTIF(車両台帳!$BD$57:$BD$2056,GT$3&amp;"-"&amp;321&amp;"A"))</f>
        <v/>
      </c>
      <c r="GU22" s="723" t="str">
        <f>IF(COUNTA(車両台帳!$C$57:$C$2056)=0,"",COUNTIF(車両台帳!$BD$57:$BD$2056,GU$3&amp;"-"&amp;311&amp;"A")+COUNTIF(車両台帳!$BD$57:$BD$2056,GU$3&amp;"-"&amp;321&amp;"A"))</f>
        <v/>
      </c>
    </row>
    <row r="23" spans="1:203" s="7" customFormat="1" ht="29.25" customHeight="1">
      <c r="A23" s="1190"/>
      <c r="B23" s="715" t="s">
        <v>51</v>
      </c>
      <c r="C23" s="720" t="str">
        <f>IF(COUNTA(車両台帳!$C$57:$C$2056)=0,"",SUM(D23:GU23))</f>
        <v/>
      </c>
      <c r="D23" s="725" t="str">
        <f>IF(COUNTA(車両台帳!$C$57:$C$2056)=0,"",COUNTIF(車両台帳!$BD$57:$BD$2056,D$3&amp;"-"&amp;312&amp;"A")+COUNTIF(車両台帳!$BD$57:$BD$2056,D$3&amp;"-"&amp;322&amp;"A"))</f>
        <v/>
      </c>
      <c r="E23" s="725" t="str">
        <f>IF(COUNTA(車両台帳!$C$57:$C$2056)=0,"",COUNTIF(車両台帳!$BD$57:$BD$2056,E$3&amp;"-"&amp;312&amp;"A")+COUNTIF(車両台帳!$BD$57:$BD$2056,E$3&amp;"-"&amp;322&amp;"A"))</f>
        <v/>
      </c>
      <c r="F23" s="725" t="str">
        <f>IF(COUNTA(車両台帳!$C$57:$C$2056)=0,"",COUNTIF(車両台帳!$BD$57:$BD$2056,F$3&amp;"-"&amp;312&amp;"A")+COUNTIF(車両台帳!$BD$57:$BD$2056,F$3&amp;"-"&amp;322&amp;"A"))</f>
        <v/>
      </c>
      <c r="G23" s="725" t="str">
        <f>IF(COUNTA(車両台帳!$C$57:$C$2056)=0,"",COUNTIF(車両台帳!$BD$57:$BD$2056,G$3&amp;"-"&amp;312&amp;"A")+COUNTIF(車両台帳!$BD$57:$BD$2056,G$3&amp;"-"&amp;322&amp;"A"))</f>
        <v/>
      </c>
      <c r="H23" s="725" t="str">
        <f>IF(COUNTA(車両台帳!$C$57:$C$2056)=0,"",COUNTIF(車両台帳!$BD$57:$BD$2056,H$3&amp;"-"&amp;312&amp;"A")+COUNTIF(車両台帳!$BD$57:$BD$2056,H$3&amp;"-"&amp;322&amp;"A"))</f>
        <v/>
      </c>
      <c r="I23" s="725" t="str">
        <f>IF(COUNTA(車両台帳!$C$57:$C$2056)=0,"",COUNTIF(車両台帳!$BD$57:$BD$2056,I$3&amp;"-"&amp;312&amp;"A")+COUNTIF(車両台帳!$BD$57:$BD$2056,I$3&amp;"-"&amp;322&amp;"A"))</f>
        <v/>
      </c>
      <c r="J23" s="725" t="str">
        <f>IF(COUNTA(車両台帳!$C$57:$C$2056)=0,"",COUNTIF(車両台帳!$BD$57:$BD$2056,J$3&amp;"-"&amp;312&amp;"A")+COUNTIF(車両台帳!$BD$57:$BD$2056,J$3&amp;"-"&amp;322&amp;"A"))</f>
        <v/>
      </c>
      <c r="K23" s="725" t="str">
        <f>IF(COUNTA(車両台帳!$C$57:$C$2056)=0,"",COUNTIF(車両台帳!$BD$57:$BD$2056,K$3&amp;"-"&amp;312&amp;"A")+COUNTIF(車両台帳!$BD$57:$BD$2056,K$3&amp;"-"&amp;322&amp;"A"))</f>
        <v/>
      </c>
      <c r="L23" s="725" t="str">
        <f>IF(COUNTA(車両台帳!$C$57:$C$2056)=0,"",COUNTIF(車両台帳!$BD$57:$BD$2056,L$3&amp;"-"&amp;312&amp;"A")+COUNTIF(車両台帳!$BD$57:$BD$2056,L$3&amp;"-"&amp;322&amp;"A"))</f>
        <v/>
      </c>
      <c r="M23" s="725" t="str">
        <f>IF(COUNTA(車両台帳!$C$57:$C$2056)=0,"",COUNTIF(車両台帳!$BD$57:$BD$2056,M$3&amp;"-"&amp;312&amp;"A")+COUNTIF(車両台帳!$BD$57:$BD$2056,M$3&amp;"-"&amp;322&amp;"A"))</f>
        <v/>
      </c>
      <c r="N23" s="725" t="str">
        <f>IF(COUNTA(車両台帳!$C$57:$C$2056)=0,"",COUNTIF(車両台帳!$BD$57:$BD$2056,N$3&amp;"-"&amp;312&amp;"A")+COUNTIF(車両台帳!$BD$57:$BD$2056,N$3&amp;"-"&amp;322&amp;"A"))</f>
        <v/>
      </c>
      <c r="O23" s="725" t="str">
        <f>IF(COUNTA(車両台帳!$C$57:$C$2056)=0,"",COUNTIF(車両台帳!$BD$57:$BD$2056,O$3&amp;"-"&amp;312&amp;"A")+COUNTIF(車両台帳!$BD$57:$BD$2056,O$3&amp;"-"&amp;322&amp;"A"))</f>
        <v/>
      </c>
      <c r="P23" s="725" t="str">
        <f>IF(COUNTA(車両台帳!$C$57:$C$2056)=0,"",COUNTIF(車両台帳!$BD$57:$BD$2056,P$3&amp;"-"&amp;312&amp;"A")+COUNTIF(車両台帳!$BD$57:$BD$2056,P$3&amp;"-"&amp;322&amp;"A"))</f>
        <v/>
      </c>
      <c r="Q23" s="725" t="str">
        <f>IF(COUNTA(車両台帳!$C$57:$C$2056)=0,"",COUNTIF(車両台帳!$BD$57:$BD$2056,Q$3&amp;"-"&amp;312&amp;"A")+COUNTIF(車両台帳!$BD$57:$BD$2056,Q$3&amp;"-"&amp;322&amp;"A"))</f>
        <v/>
      </c>
      <c r="R23" s="725" t="str">
        <f>IF(COUNTA(車両台帳!$C$57:$C$2056)=0,"",COUNTIF(車両台帳!$BD$57:$BD$2056,R$3&amp;"-"&amp;312&amp;"A")+COUNTIF(車両台帳!$BD$57:$BD$2056,R$3&amp;"-"&amp;322&amp;"A"))</f>
        <v/>
      </c>
      <c r="S23" s="725" t="str">
        <f>IF(COUNTA(車両台帳!$C$57:$C$2056)=0,"",COUNTIF(車両台帳!$BD$57:$BD$2056,S$3&amp;"-"&amp;312&amp;"A")+COUNTIF(車両台帳!$BD$57:$BD$2056,S$3&amp;"-"&amp;322&amp;"A"))</f>
        <v/>
      </c>
      <c r="T23" s="725" t="str">
        <f>IF(COUNTA(車両台帳!$C$57:$C$2056)=0,"",COUNTIF(車両台帳!$BD$57:$BD$2056,T$3&amp;"-"&amp;312&amp;"A")+COUNTIF(車両台帳!$BD$57:$BD$2056,T$3&amp;"-"&amp;322&amp;"A"))</f>
        <v/>
      </c>
      <c r="U23" s="725" t="str">
        <f>IF(COUNTA(車両台帳!$C$57:$C$2056)=0,"",COUNTIF(車両台帳!$BD$57:$BD$2056,U$3&amp;"-"&amp;312&amp;"A")+COUNTIF(車両台帳!$BD$57:$BD$2056,U$3&amp;"-"&amp;322&amp;"A"))</f>
        <v/>
      </c>
      <c r="V23" s="725" t="str">
        <f>IF(COUNTA(車両台帳!$C$57:$C$2056)=0,"",COUNTIF(車両台帳!$BD$57:$BD$2056,V$3&amp;"-"&amp;312&amp;"A")+COUNTIF(車両台帳!$BD$57:$BD$2056,V$3&amp;"-"&amp;322&amp;"A"))</f>
        <v/>
      </c>
      <c r="W23" s="725" t="str">
        <f>IF(COUNTA(車両台帳!$C$57:$C$2056)=0,"",COUNTIF(車両台帳!$BD$57:$BD$2056,W$3&amp;"-"&amp;312&amp;"A")+COUNTIF(車両台帳!$BD$57:$BD$2056,W$3&amp;"-"&amp;322&amp;"A"))</f>
        <v/>
      </c>
      <c r="X23" s="725" t="str">
        <f>IF(COUNTA(車両台帳!$C$57:$C$2056)=0,"",COUNTIF(車両台帳!$BD$57:$BD$2056,X$3&amp;"-"&amp;312&amp;"A")+COUNTIF(車両台帳!$BD$57:$BD$2056,X$3&amp;"-"&amp;322&amp;"A"))</f>
        <v/>
      </c>
      <c r="Y23" s="725" t="str">
        <f>IF(COUNTA(車両台帳!$C$57:$C$2056)=0,"",COUNTIF(車両台帳!$BD$57:$BD$2056,Y$3&amp;"-"&amp;312&amp;"A")+COUNTIF(車両台帳!$BD$57:$BD$2056,Y$3&amp;"-"&amp;322&amp;"A"))</f>
        <v/>
      </c>
      <c r="Z23" s="725" t="str">
        <f>IF(COUNTA(車両台帳!$C$57:$C$2056)=0,"",COUNTIF(車両台帳!$BD$57:$BD$2056,Z$3&amp;"-"&amp;312&amp;"A")+COUNTIF(車両台帳!$BD$57:$BD$2056,Z$3&amp;"-"&amp;322&amp;"A"))</f>
        <v/>
      </c>
      <c r="AA23" s="725" t="str">
        <f>IF(COUNTA(車両台帳!$C$57:$C$2056)=0,"",COUNTIF(車両台帳!$BD$57:$BD$2056,AA$3&amp;"-"&amp;312&amp;"A")+COUNTIF(車両台帳!$BD$57:$BD$2056,AA$3&amp;"-"&amp;322&amp;"A"))</f>
        <v/>
      </c>
      <c r="AB23" s="725" t="str">
        <f>IF(COUNTA(車両台帳!$C$57:$C$2056)=0,"",COUNTIF(車両台帳!$BD$57:$BD$2056,AB$3&amp;"-"&amp;312&amp;"A")+COUNTIF(車両台帳!$BD$57:$BD$2056,AB$3&amp;"-"&amp;322&amp;"A"))</f>
        <v/>
      </c>
      <c r="AC23" s="725" t="str">
        <f>IF(COUNTA(車両台帳!$C$57:$C$2056)=0,"",COUNTIF(車両台帳!$BD$57:$BD$2056,AC$3&amp;"-"&amp;312&amp;"A")+COUNTIF(車両台帳!$BD$57:$BD$2056,AC$3&amp;"-"&amp;322&amp;"A"))</f>
        <v/>
      </c>
      <c r="AD23" s="725" t="str">
        <f>IF(COUNTA(車両台帳!$C$57:$C$2056)=0,"",COUNTIF(車両台帳!$BD$57:$BD$2056,AD$3&amp;"-"&amp;312&amp;"A")+COUNTIF(車両台帳!$BD$57:$BD$2056,AD$3&amp;"-"&amp;322&amp;"A"))</f>
        <v/>
      </c>
      <c r="AE23" s="725" t="str">
        <f>IF(COUNTA(車両台帳!$C$57:$C$2056)=0,"",COUNTIF(車両台帳!$BD$57:$BD$2056,AE$3&amp;"-"&amp;312&amp;"A")+COUNTIF(車両台帳!$BD$57:$BD$2056,AE$3&amp;"-"&amp;322&amp;"A"))</f>
        <v/>
      </c>
      <c r="AF23" s="725" t="str">
        <f>IF(COUNTA(車両台帳!$C$57:$C$2056)=0,"",COUNTIF(車両台帳!$BD$57:$BD$2056,AF$3&amp;"-"&amp;312&amp;"A")+COUNTIF(車両台帳!$BD$57:$BD$2056,AF$3&amp;"-"&amp;322&amp;"A"))</f>
        <v/>
      </c>
      <c r="AG23" s="725" t="str">
        <f>IF(COUNTA(車両台帳!$C$57:$C$2056)=0,"",COUNTIF(車両台帳!$BD$57:$BD$2056,AG$3&amp;"-"&amp;312&amp;"A")+COUNTIF(車両台帳!$BD$57:$BD$2056,AG$3&amp;"-"&amp;322&amp;"A"))</f>
        <v/>
      </c>
      <c r="AH23" s="725" t="str">
        <f>IF(COUNTA(車両台帳!$C$57:$C$2056)=0,"",COUNTIF(車両台帳!$BD$57:$BD$2056,AH$3&amp;"-"&amp;312&amp;"A")+COUNTIF(車両台帳!$BD$57:$BD$2056,AH$3&amp;"-"&amp;322&amp;"A"))</f>
        <v/>
      </c>
      <c r="AI23" s="725" t="str">
        <f>IF(COUNTA(車両台帳!$C$57:$C$2056)=0,"",COUNTIF(車両台帳!$BD$57:$BD$2056,AI$3&amp;"-"&amp;312&amp;"A")+COUNTIF(車両台帳!$BD$57:$BD$2056,AI$3&amp;"-"&amp;322&amp;"A"))</f>
        <v/>
      </c>
      <c r="AJ23" s="725" t="str">
        <f>IF(COUNTA(車両台帳!$C$57:$C$2056)=0,"",COUNTIF(車両台帳!$BD$57:$BD$2056,AJ$3&amp;"-"&amp;312&amp;"A")+COUNTIF(車両台帳!$BD$57:$BD$2056,AJ$3&amp;"-"&amp;322&amp;"A"))</f>
        <v/>
      </c>
      <c r="AK23" s="725" t="str">
        <f>IF(COUNTA(車両台帳!$C$57:$C$2056)=0,"",COUNTIF(車両台帳!$BD$57:$BD$2056,AK$3&amp;"-"&amp;312&amp;"A")+COUNTIF(車両台帳!$BD$57:$BD$2056,AK$3&amp;"-"&amp;322&amp;"A"))</f>
        <v/>
      </c>
      <c r="AL23" s="725" t="str">
        <f>IF(COUNTA(車両台帳!$C$57:$C$2056)=0,"",COUNTIF(車両台帳!$BD$57:$BD$2056,AL$3&amp;"-"&amp;312&amp;"A")+COUNTIF(車両台帳!$BD$57:$BD$2056,AL$3&amp;"-"&amp;322&amp;"A"))</f>
        <v/>
      </c>
      <c r="AM23" s="725" t="str">
        <f>IF(COUNTA(車両台帳!$C$57:$C$2056)=0,"",COUNTIF(車両台帳!$BD$57:$BD$2056,AM$3&amp;"-"&amp;312&amp;"A")+COUNTIF(車両台帳!$BD$57:$BD$2056,AM$3&amp;"-"&amp;322&amp;"A"))</f>
        <v/>
      </c>
      <c r="AN23" s="725" t="str">
        <f>IF(COUNTA(車両台帳!$C$57:$C$2056)=0,"",COUNTIF(車両台帳!$BD$57:$BD$2056,AN$3&amp;"-"&amp;312&amp;"A")+COUNTIF(車両台帳!$BD$57:$BD$2056,AN$3&amp;"-"&amp;322&amp;"A"))</f>
        <v/>
      </c>
      <c r="AO23" s="725" t="str">
        <f>IF(COUNTA(車両台帳!$C$57:$C$2056)=0,"",COUNTIF(車両台帳!$BD$57:$BD$2056,AO$3&amp;"-"&amp;312&amp;"A")+COUNTIF(車両台帳!$BD$57:$BD$2056,AO$3&amp;"-"&amp;322&amp;"A"))</f>
        <v/>
      </c>
      <c r="AP23" s="725" t="str">
        <f>IF(COUNTA(車両台帳!$C$57:$C$2056)=0,"",COUNTIF(車両台帳!$BD$57:$BD$2056,AP$3&amp;"-"&amp;312&amp;"A")+COUNTIF(車両台帳!$BD$57:$BD$2056,AP$3&amp;"-"&amp;322&amp;"A"))</f>
        <v/>
      </c>
      <c r="AQ23" s="725" t="str">
        <f>IF(COUNTA(車両台帳!$C$57:$C$2056)=0,"",COUNTIF(車両台帳!$BD$57:$BD$2056,AQ$3&amp;"-"&amp;312&amp;"A")+COUNTIF(車両台帳!$BD$57:$BD$2056,AQ$3&amp;"-"&amp;322&amp;"A"))</f>
        <v/>
      </c>
      <c r="AR23" s="725" t="str">
        <f>IF(COUNTA(車両台帳!$C$57:$C$2056)=0,"",COUNTIF(車両台帳!$BD$57:$BD$2056,AR$3&amp;"-"&amp;312&amp;"A")+COUNTIF(車両台帳!$BD$57:$BD$2056,AR$3&amp;"-"&amp;322&amp;"A"))</f>
        <v/>
      </c>
      <c r="AS23" s="725" t="str">
        <f>IF(COUNTA(車両台帳!$C$57:$C$2056)=0,"",COUNTIF(車両台帳!$BD$57:$BD$2056,AS$3&amp;"-"&amp;312&amp;"A")+COUNTIF(車両台帳!$BD$57:$BD$2056,AS$3&amp;"-"&amp;322&amp;"A"))</f>
        <v/>
      </c>
      <c r="AT23" s="725" t="str">
        <f>IF(COUNTA(車両台帳!$C$57:$C$2056)=0,"",COUNTIF(車両台帳!$BD$57:$BD$2056,AT$3&amp;"-"&amp;312&amp;"A")+COUNTIF(車両台帳!$BD$57:$BD$2056,AT$3&amp;"-"&amp;322&amp;"A"))</f>
        <v/>
      </c>
      <c r="AU23" s="725" t="str">
        <f>IF(COUNTA(車両台帳!$C$57:$C$2056)=0,"",COUNTIF(車両台帳!$BD$57:$BD$2056,AU$3&amp;"-"&amp;312&amp;"A")+COUNTIF(車両台帳!$BD$57:$BD$2056,AU$3&amp;"-"&amp;322&amp;"A"))</f>
        <v/>
      </c>
      <c r="AV23" s="725" t="str">
        <f>IF(COUNTA(車両台帳!$C$57:$C$2056)=0,"",COUNTIF(車両台帳!$BD$57:$BD$2056,AV$3&amp;"-"&amp;312&amp;"A")+COUNTIF(車両台帳!$BD$57:$BD$2056,AV$3&amp;"-"&amp;322&amp;"A"))</f>
        <v/>
      </c>
      <c r="AW23" s="725" t="str">
        <f>IF(COUNTA(車両台帳!$C$57:$C$2056)=0,"",COUNTIF(車両台帳!$BD$57:$BD$2056,AW$3&amp;"-"&amp;312&amp;"A")+COUNTIF(車両台帳!$BD$57:$BD$2056,AW$3&amp;"-"&amp;322&amp;"A"))</f>
        <v/>
      </c>
      <c r="AX23" s="725" t="str">
        <f>IF(COUNTA(車両台帳!$C$57:$C$2056)=0,"",COUNTIF(車両台帳!$BD$57:$BD$2056,AX$3&amp;"-"&amp;312&amp;"A")+COUNTIF(車両台帳!$BD$57:$BD$2056,AX$3&amp;"-"&amp;322&amp;"A"))</f>
        <v/>
      </c>
      <c r="AY23" s="725" t="str">
        <f>IF(COUNTA(車両台帳!$C$57:$C$2056)=0,"",COUNTIF(車両台帳!$BD$57:$BD$2056,AY$3&amp;"-"&amp;312&amp;"A")+COUNTIF(車両台帳!$BD$57:$BD$2056,AY$3&amp;"-"&amp;322&amp;"A"))</f>
        <v/>
      </c>
      <c r="AZ23" s="725" t="str">
        <f>IF(COUNTA(車両台帳!$C$57:$C$2056)=0,"",COUNTIF(車両台帳!$BD$57:$BD$2056,AZ$3&amp;"-"&amp;312&amp;"A")+COUNTIF(車両台帳!$BD$57:$BD$2056,AZ$3&amp;"-"&amp;322&amp;"A"))</f>
        <v/>
      </c>
      <c r="BA23" s="725" t="str">
        <f>IF(COUNTA(車両台帳!$C$57:$C$2056)=0,"",COUNTIF(車両台帳!$BD$57:$BD$2056,BA$3&amp;"-"&amp;312&amp;"A")+COUNTIF(車両台帳!$BD$57:$BD$2056,BA$3&amp;"-"&amp;322&amp;"A"))</f>
        <v/>
      </c>
      <c r="BB23" s="725" t="str">
        <f>IF(COUNTA(車両台帳!$C$57:$C$2056)=0,"",COUNTIF(車両台帳!$BD$57:$BD$2056,BB$3&amp;"-"&amp;312&amp;"A")+COUNTIF(車両台帳!$BD$57:$BD$2056,BB$3&amp;"-"&amp;322&amp;"A"))</f>
        <v/>
      </c>
      <c r="BC23" s="725" t="str">
        <f>IF(COUNTA(車両台帳!$C$57:$C$2056)=0,"",COUNTIF(車両台帳!$BD$57:$BD$2056,BC$3&amp;"-"&amp;312&amp;"A")+COUNTIF(車両台帳!$BD$57:$BD$2056,BC$3&amp;"-"&amp;322&amp;"A"))</f>
        <v/>
      </c>
      <c r="BD23" s="725" t="str">
        <f>IF(COUNTA(車両台帳!$C$57:$C$2056)=0,"",COUNTIF(車両台帳!$BD$57:$BD$2056,BD$3&amp;"-"&amp;312&amp;"A")+COUNTIF(車両台帳!$BD$57:$BD$2056,BD$3&amp;"-"&amp;322&amp;"A"))</f>
        <v/>
      </c>
      <c r="BE23" s="725" t="str">
        <f>IF(COUNTA(車両台帳!$C$57:$C$2056)=0,"",COUNTIF(車両台帳!$BD$57:$BD$2056,BE$3&amp;"-"&amp;312&amp;"A")+COUNTIF(車両台帳!$BD$57:$BD$2056,BE$3&amp;"-"&amp;322&amp;"A"))</f>
        <v/>
      </c>
      <c r="BF23" s="725" t="str">
        <f>IF(COUNTA(車両台帳!$C$57:$C$2056)=0,"",COUNTIF(車両台帳!$BD$57:$BD$2056,BF$3&amp;"-"&amp;312&amp;"A")+COUNTIF(車両台帳!$BD$57:$BD$2056,BF$3&amp;"-"&amp;322&amp;"A"))</f>
        <v/>
      </c>
      <c r="BG23" s="725" t="str">
        <f>IF(COUNTA(車両台帳!$C$57:$C$2056)=0,"",COUNTIF(車両台帳!$BD$57:$BD$2056,BG$3&amp;"-"&amp;312&amp;"A")+COUNTIF(車両台帳!$BD$57:$BD$2056,BG$3&amp;"-"&amp;322&amp;"A"))</f>
        <v/>
      </c>
      <c r="BH23" s="725" t="str">
        <f>IF(COUNTA(車両台帳!$C$57:$C$2056)=0,"",COUNTIF(車両台帳!$BD$57:$BD$2056,BH$3&amp;"-"&amp;312&amp;"A")+COUNTIF(車両台帳!$BD$57:$BD$2056,BH$3&amp;"-"&amp;322&amp;"A"))</f>
        <v/>
      </c>
      <c r="BI23" s="725" t="str">
        <f>IF(COUNTA(車両台帳!$C$57:$C$2056)=0,"",COUNTIF(車両台帳!$BD$57:$BD$2056,BI$3&amp;"-"&amp;312&amp;"A")+COUNTIF(車両台帳!$BD$57:$BD$2056,BI$3&amp;"-"&amp;322&amp;"A"))</f>
        <v/>
      </c>
      <c r="BJ23" s="725" t="str">
        <f>IF(COUNTA(車両台帳!$C$57:$C$2056)=0,"",COUNTIF(車両台帳!$BD$57:$BD$2056,BJ$3&amp;"-"&amp;312&amp;"A")+COUNTIF(車両台帳!$BD$57:$BD$2056,BJ$3&amp;"-"&amp;322&amp;"A"))</f>
        <v/>
      </c>
      <c r="BK23" s="725" t="str">
        <f>IF(COUNTA(車両台帳!$C$57:$C$2056)=0,"",COUNTIF(車両台帳!$BD$57:$BD$2056,BK$3&amp;"-"&amp;312&amp;"A")+COUNTIF(車両台帳!$BD$57:$BD$2056,BK$3&amp;"-"&amp;322&amp;"A"))</f>
        <v/>
      </c>
      <c r="BL23" s="725" t="str">
        <f>IF(COUNTA(車両台帳!$C$57:$C$2056)=0,"",COUNTIF(車両台帳!$BD$57:$BD$2056,BL$3&amp;"-"&amp;312&amp;"A")+COUNTIF(車両台帳!$BD$57:$BD$2056,BL$3&amp;"-"&amp;322&amp;"A"))</f>
        <v/>
      </c>
      <c r="BM23" s="725" t="str">
        <f>IF(COUNTA(車両台帳!$C$57:$C$2056)=0,"",COUNTIF(車両台帳!$BD$57:$BD$2056,BM$3&amp;"-"&amp;312&amp;"A")+COUNTIF(車両台帳!$BD$57:$BD$2056,BM$3&amp;"-"&amp;322&amp;"A"))</f>
        <v/>
      </c>
      <c r="BN23" s="725" t="str">
        <f>IF(COUNTA(車両台帳!$C$57:$C$2056)=0,"",COUNTIF(車両台帳!$BD$57:$BD$2056,BN$3&amp;"-"&amp;312&amp;"A")+COUNTIF(車両台帳!$BD$57:$BD$2056,BN$3&amp;"-"&amp;322&amp;"A"))</f>
        <v/>
      </c>
      <c r="BO23" s="725" t="str">
        <f>IF(COUNTA(車両台帳!$C$57:$C$2056)=0,"",COUNTIF(車両台帳!$BD$57:$BD$2056,BO$3&amp;"-"&amp;312&amp;"A")+COUNTIF(車両台帳!$BD$57:$BD$2056,BO$3&amp;"-"&amp;322&amp;"A"))</f>
        <v/>
      </c>
      <c r="BP23" s="725" t="str">
        <f>IF(COUNTA(車両台帳!$C$57:$C$2056)=0,"",COUNTIF(車両台帳!$BD$57:$BD$2056,BP$3&amp;"-"&amp;312&amp;"A")+COUNTIF(車両台帳!$BD$57:$BD$2056,BP$3&amp;"-"&amp;322&amp;"A"))</f>
        <v/>
      </c>
      <c r="BQ23" s="725" t="str">
        <f>IF(COUNTA(車両台帳!$C$57:$C$2056)=0,"",COUNTIF(車両台帳!$BD$57:$BD$2056,BQ$3&amp;"-"&amp;312&amp;"A")+COUNTIF(車両台帳!$BD$57:$BD$2056,BQ$3&amp;"-"&amp;322&amp;"A"))</f>
        <v/>
      </c>
      <c r="BR23" s="725" t="str">
        <f>IF(COUNTA(車両台帳!$C$57:$C$2056)=0,"",COUNTIF(車両台帳!$BD$57:$BD$2056,BR$3&amp;"-"&amp;312&amp;"A")+COUNTIF(車両台帳!$BD$57:$BD$2056,BR$3&amp;"-"&amp;322&amp;"A"))</f>
        <v/>
      </c>
      <c r="BS23" s="725" t="str">
        <f>IF(COUNTA(車両台帳!$C$57:$C$2056)=0,"",COUNTIF(車両台帳!$BD$57:$BD$2056,BS$3&amp;"-"&amp;312&amp;"A")+COUNTIF(車両台帳!$BD$57:$BD$2056,BS$3&amp;"-"&amp;322&amp;"A"))</f>
        <v/>
      </c>
      <c r="BT23" s="725" t="str">
        <f>IF(COUNTA(車両台帳!$C$57:$C$2056)=0,"",COUNTIF(車両台帳!$BD$57:$BD$2056,BT$3&amp;"-"&amp;312&amp;"A")+COUNTIF(車両台帳!$BD$57:$BD$2056,BT$3&amp;"-"&amp;322&amp;"A"))</f>
        <v/>
      </c>
      <c r="BU23" s="725" t="str">
        <f>IF(COUNTA(車両台帳!$C$57:$C$2056)=0,"",COUNTIF(車両台帳!$BD$57:$BD$2056,BU$3&amp;"-"&amp;312&amp;"A")+COUNTIF(車両台帳!$BD$57:$BD$2056,BU$3&amp;"-"&amp;322&amp;"A"))</f>
        <v/>
      </c>
      <c r="BV23" s="725" t="str">
        <f>IF(COUNTA(車両台帳!$C$57:$C$2056)=0,"",COUNTIF(車両台帳!$BD$57:$BD$2056,BV$3&amp;"-"&amp;312&amp;"A")+COUNTIF(車両台帳!$BD$57:$BD$2056,BV$3&amp;"-"&amp;322&amp;"A"))</f>
        <v/>
      </c>
      <c r="BW23" s="725" t="str">
        <f>IF(COUNTA(車両台帳!$C$57:$C$2056)=0,"",COUNTIF(車両台帳!$BD$57:$BD$2056,BW$3&amp;"-"&amp;312&amp;"A")+COUNTIF(車両台帳!$BD$57:$BD$2056,BW$3&amp;"-"&amp;322&amp;"A"))</f>
        <v/>
      </c>
      <c r="BX23" s="725" t="str">
        <f>IF(COUNTA(車両台帳!$C$57:$C$2056)=0,"",COUNTIF(車両台帳!$BD$57:$BD$2056,BX$3&amp;"-"&amp;312&amp;"A")+COUNTIF(車両台帳!$BD$57:$BD$2056,BX$3&amp;"-"&amp;322&amp;"A"))</f>
        <v/>
      </c>
      <c r="BY23" s="725" t="str">
        <f>IF(COUNTA(車両台帳!$C$57:$C$2056)=0,"",COUNTIF(車両台帳!$BD$57:$BD$2056,BY$3&amp;"-"&amp;312&amp;"A")+COUNTIF(車両台帳!$BD$57:$BD$2056,BY$3&amp;"-"&amp;322&amp;"A"))</f>
        <v/>
      </c>
      <c r="BZ23" s="725" t="str">
        <f>IF(COUNTA(車両台帳!$C$57:$C$2056)=0,"",COUNTIF(車両台帳!$BD$57:$BD$2056,BZ$3&amp;"-"&amp;312&amp;"A")+COUNTIF(車両台帳!$BD$57:$BD$2056,BZ$3&amp;"-"&amp;322&amp;"A"))</f>
        <v/>
      </c>
      <c r="CA23" s="725" t="str">
        <f>IF(COUNTA(車両台帳!$C$57:$C$2056)=0,"",COUNTIF(車両台帳!$BD$57:$BD$2056,CA$3&amp;"-"&amp;312&amp;"A")+COUNTIF(車両台帳!$BD$57:$BD$2056,CA$3&amp;"-"&amp;322&amp;"A"))</f>
        <v/>
      </c>
      <c r="CB23" s="725" t="str">
        <f>IF(COUNTA(車両台帳!$C$57:$C$2056)=0,"",COUNTIF(車両台帳!$BD$57:$BD$2056,CB$3&amp;"-"&amp;312&amp;"A")+COUNTIF(車両台帳!$BD$57:$BD$2056,CB$3&amp;"-"&amp;322&amp;"A"))</f>
        <v/>
      </c>
      <c r="CC23" s="725" t="str">
        <f>IF(COUNTA(車両台帳!$C$57:$C$2056)=0,"",COUNTIF(車両台帳!$BD$57:$BD$2056,CC$3&amp;"-"&amp;312&amp;"A")+COUNTIF(車両台帳!$BD$57:$BD$2056,CC$3&amp;"-"&amp;322&amp;"A"))</f>
        <v/>
      </c>
      <c r="CD23" s="725" t="str">
        <f>IF(COUNTA(車両台帳!$C$57:$C$2056)=0,"",COUNTIF(車両台帳!$BD$57:$BD$2056,CD$3&amp;"-"&amp;312&amp;"A")+COUNTIF(車両台帳!$BD$57:$BD$2056,CD$3&amp;"-"&amp;322&amp;"A"))</f>
        <v/>
      </c>
      <c r="CE23" s="725" t="str">
        <f>IF(COUNTA(車両台帳!$C$57:$C$2056)=0,"",COUNTIF(車両台帳!$BD$57:$BD$2056,CE$3&amp;"-"&amp;312&amp;"A")+COUNTIF(車両台帳!$BD$57:$BD$2056,CE$3&amp;"-"&amp;322&amp;"A"))</f>
        <v/>
      </c>
      <c r="CF23" s="725" t="str">
        <f>IF(COUNTA(車両台帳!$C$57:$C$2056)=0,"",COUNTIF(車両台帳!$BD$57:$BD$2056,CF$3&amp;"-"&amp;312&amp;"A")+COUNTIF(車両台帳!$BD$57:$BD$2056,CF$3&amp;"-"&amp;322&amp;"A"))</f>
        <v/>
      </c>
      <c r="CG23" s="725" t="str">
        <f>IF(COUNTA(車両台帳!$C$57:$C$2056)=0,"",COUNTIF(車両台帳!$BD$57:$BD$2056,CG$3&amp;"-"&amp;312&amp;"A")+COUNTIF(車両台帳!$BD$57:$BD$2056,CG$3&amp;"-"&amp;322&amp;"A"))</f>
        <v/>
      </c>
      <c r="CH23" s="725" t="str">
        <f>IF(COUNTA(車両台帳!$C$57:$C$2056)=0,"",COUNTIF(車両台帳!$BD$57:$BD$2056,CH$3&amp;"-"&amp;312&amp;"A")+COUNTIF(車両台帳!$BD$57:$BD$2056,CH$3&amp;"-"&amp;322&amp;"A"))</f>
        <v/>
      </c>
      <c r="CI23" s="725" t="str">
        <f>IF(COUNTA(車両台帳!$C$57:$C$2056)=0,"",COUNTIF(車両台帳!$BD$57:$BD$2056,CI$3&amp;"-"&amp;312&amp;"A")+COUNTIF(車両台帳!$BD$57:$BD$2056,CI$3&amp;"-"&amp;322&amp;"A"))</f>
        <v/>
      </c>
      <c r="CJ23" s="725" t="str">
        <f>IF(COUNTA(車両台帳!$C$57:$C$2056)=0,"",COUNTIF(車両台帳!$BD$57:$BD$2056,CJ$3&amp;"-"&amp;312&amp;"A")+COUNTIF(車両台帳!$BD$57:$BD$2056,CJ$3&amp;"-"&amp;322&amp;"A"))</f>
        <v/>
      </c>
      <c r="CK23" s="725" t="str">
        <f>IF(COUNTA(車両台帳!$C$57:$C$2056)=0,"",COUNTIF(車両台帳!$BD$57:$BD$2056,CK$3&amp;"-"&amp;312&amp;"A")+COUNTIF(車両台帳!$BD$57:$BD$2056,CK$3&amp;"-"&amp;322&amp;"A"))</f>
        <v/>
      </c>
      <c r="CL23" s="725" t="str">
        <f>IF(COUNTA(車両台帳!$C$57:$C$2056)=0,"",COUNTIF(車両台帳!$BD$57:$BD$2056,CL$3&amp;"-"&amp;312&amp;"A")+COUNTIF(車両台帳!$BD$57:$BD$2056,CL$3&amp;"-"&amp;322&amp;"A"))</f>
        <v/>
      </c>
      <c r="CM23" s="725" t="str">
        <f>IF(COUNTA(車両台帳!$C$57:$C$2056)=0,"",COUNTIF(車両台帳!$BD$57:$BD$2056,CM$3&amp;"-"&amp;312&amp;"A")+COUNTIF(車両台帳!$BD$57:$BD$2056,CM$3&amp;"-"&amp;322&amp;"A"))</f>
        <v/>
      </c>
      <c r="CN23" s="725" t="str">
        <f>IF(COUNTA(車両台帳!$C$57:$C$2056)=0,"",COUNTIF(車両台帳!$BD$57:$BD$2056,CN$3&amp;"-"&amp;312&amp;"A")+COUNTIF(車両台帳!$BD$57:$BD$2056,CN$3&amp;"-"&amp;322&amp;"A"))</f>
        <v/>
      </c>
      <c r="CO23" s="725" t="str">
        <f>IF(COUNTA(車両台帳!$C$57:$C$2056)=0,"",COUNTIF(車両台帳!$BD$57:$BD$2056,CO$3&amp;"-"&amp;312&amp;"A")+COUNTIF(車両台帳!$BD$57:$BD$2056,CO$3&amp;"-"&amp;322&amp;"A"))</f>
        <v/>
      </c>
      <c r="CP23" s="725" t="str">
        <f>IF(COUNTA(車両台帳!$C$57:$C$2056)=0,"",COUNTIF(車両台帳!$BD$57:$BD$2056,CP$3&amp;"-"&amp;312&amp;"A")+COUNTIF(車両台帳!$BD$57:$BD$2056,CP$3&amp;"-"&amp;322&amp;"A"))</f>
        <v/>
      </c>
      <c r="CQ23" s="725" t="str">
        <f>IF(COUNTA(車両台帳!$C$57:$C$2056)=0,"",COUNTIF(車両台帳!$BD$57:$BD$2056,CQ$3&amp;"-"&amp;312&amp;"A")+COUNTIF(車両台帳!$BD$57:$BD$2056,CQ$3&amp;"-"&amp;322&amp;"A"))</f>
        <v/>
      </c>
      <c r="CR23" s="725" t="str">
        <f>IF(COUNTA(車両台帳!$C$57:$C$2056)=0,"",COUNTIF(車両台帳!$BD$57:$BD$2056,CR$3&amp;"-"&amp;312&amp;"A")+COUNTIF(車両台帳!$BD$57:$BD$2056,CR$3&amp;"-"&amp;322&amp;"A"))</f>
        <v/>
      </c>
      <c r="CS23" s="725" t="str">
        <f>IF(COUNTA(車両台帳!$C$57:$C$2056)=0,"",COUNTIF(車両台帳!$BD$57:$BD$2056,CS$3&amp;"-"&amp;312&amp;"A")+COUNTIF(車両台帳!$BD$57:$BD$2056,CS$3&amp;"-"&amp;322&amp;"A"))</f>
        <v/>
      </c>
      <c r="CT23" s="725" t="str">
        <f>IF(COUNTA(車両台帳!$C$57:$C$2056)=0,"",COUNTIF(車両台帳!$BD$57:$BD$2056,CT$3&amp;"-"&amp;312&amp;"A")+COUNTIF(車両台帳!$BD$57:$BD$2056,CT$3&amp;"-"&amp;322&amp;"A"))</f>
        <v/>
      </c>
      <c r="CU23" s="725" t="str">
        <f>IF(COUNTA(車両台帳!$C$57:$C$2056)=0,"",COUNTIF(車両台帳!$BD$57:$BD$2056,CU$3&amp;"-"&amp;312&amp;"A")+COUNTIF(車両台帳!$BD$57:$BD$2056,CU$3&amp;"-"&amp;322&amp;"A"))</f>
        <v/>
      </c>
      <c r="CV23" s="725" t="str">
        <f>IF(COUNTA(車両台帳!$C$57:$C$2056)=0,"",COUNTIF(車両台帳!$BD$57:$BD$2056,CV$3&amp;"-"&amp;312&amp;"A")+COUNTIF(車両台帳!$BD$57:$BD$2056,CV$3&amp;"-"&amp;322&amp;"A"))</f>
        <v/>
      </c>
      <c r="CW23" s="725" t="str">
        <f>IF(COUNTA(車両台帳!$C$57:$C$2056)=0,"",COUNTIF(車両台帳!$BD$57:$BD$2056,CW$3&amp;"-"&amp;312&amp;"A")+COUNTIF(車両台帳!$BD$57:$BD$2056,CW$3&amp;"-"&amp;322&amp;"A"))</f>
        <v/>
      </c>
      <c r="CX23" s="725" t="str">
        <f>IF(COUNTA(車両台帳!$C$57:$C$2056)=0,"",COUNTIF(車両台帳!$BD$57:$BD$2056,CX$3&amp;"-"&amp;312&amp;"A")+COUNTIF(車両台帳!$BD$57:$BD$2056,CX$3&amp;"-"&amp;322&amp;"A"))</f>
        <v/>
      </c>
      <c r="CY23" s="725" t="str">
        <f>IF(COUNTA(車両台帳!$C$57:$C$2056)=0,"",COUNTIF(車両台帳!$BD$57:$BD$2056,CY$3&amp;"-"&amp;312&amp;"A")+COUNTIF(車両台帳!$BD$57:$BD$2056,CY$3&amp;"-"&amp;322&amp;"A"))</f>
        <v/>
      </c>
      <c r="CZ23" s="725" t="str">
        <f>IF(COUNTA(車両台帳!$C$57:$C$2056)=0,"",COUNTIF(車両台帳!$BD$57:$BD$2056,CZ$3&amp;"-"&amp;312&amp;"A")+COUNTIF(車両台帳!$BD$57:$BD$2056,CZ$3&amp;"-"&amp;322&amp;"A"))</f>
        <v/>
      </c>
      <c r="DA23" s="725" t="str">
        <f>IF(COUNTA(車両台帳!$C$57:$C$2056)=0,"",COUNTIF(車両台帳!$BD$57:$BD$2056,DA$3&amp;"-"&amp;312&amp;"A")+COUNTIF(車両台帳!$BD$57:$BD$2056,DA$3&amp;"-"&amp;322&amp;"A"))</f>
        <v/>
      </c>
      <c r="DB23" s="725" t="str">
        <f>IF(COUNTA(車両台帳!$C$57:$C$2056)=0,"",COUNTIF(車両台帳!$BD$57:$BD$2056,DB$3&amp;"-"&amp;312&amp;"A")+COUNTIF(車両台帳!$BD$57:$BD$2056,DB$3&amp;"-"&amp;322&amp;"A"))</f>
        <v/>
      </c>
      <c r="DC23" s="725" t="str">
        <f>IF(COUNTA(車両台帳!$C$57:$C$2056)=0,"",COUNTIF(車両台帳!$BD$57:$BD$2056,DC$3&amp;"-"&amp;312&amp;"A")+COUNTIF(車両台帳!$BD$57:$BD$2056,DC$3&amp;"-"&amp;322&amp;"A"))</f>
        <v/>
      </c>
      <c r="DD23" s="725" t="str">
        <f>IF(COUNTA(車両台帳!$C$57:$C$2056)=0,"",COUNTIF(車両台帳!$BD$57:$BD$2056,DD$3&amp;"-"&amp;312&amp;"A")+COUNTIF(車両台帳!$BD$57:$BD$2056,DD$3&amp;"-"&amp;322&amp;"A"))</f>
        <v/>
      </c>
      <c r="DE23" s="725" t="str">
        <f>IF(COUNTA(車両台帳!$C$57:$C$2056)=0,"",COUNTIF(車両台帳!$BD$57:$BD$2056,DE$3&amp;"-"&amp;312&amp;"A")+COUNTIF(車両台帳!$BD$57:$BD$2056,DE$3&amp;"-"&amp;322&amp;"A"))</f>
        <v/>
      </c>
      <c r="DF23" s="725" t="str">
        <f>IF(COUNTA(車両台帳!$C$57:$C$2056)=0,"",COUNTIF(車両台帳!$BD$57:$BD$2056,DF$3&amp;"-"&amp;312&amp;"A")+COUNTIF(車両台帳!$BD$57:$BD$2056,DF$3&amp;"-"&amp;322&amp;"A"))</f>
        <v/>
      </c>
      <c r="DG23" s="725" t="str">
        <f>IF(COUNTA(車両台帳!$C$57:$C$2056)=0,"",COUNTIF(車両台帳!$BD$57:$BD$2056,DG$3&amp;"-"&amp;312&amp;"A")+COUNTIF(車両台帳!$BD$57:$BD$2056,DG$3&amp;"-"&amp;322&amp;"A"))</f>
        <v/>
      </c>
      <c r="DH23" s="725" t="str">
        <f>IF(COUNTA(車両台帳!$C$57:$C$2056)=0,"",COUNTIF(車両台帳!$BD$57:$BD$2056,DH$3&amp;"-"&amp;312&amp;"A")+COUNTIF(車両台帳!$BD$57:$BD$2056,DH$3&amp;"-"&amp;322&amp;"A"))</f>
        <v/>
      </c>
      <c r="DI23" s="725" t="str">
        <f>IF(COUNTA(車両台帳!$C$57:$C$2056)=0,"",COUNTIF(車両台帳!$BD$57:$BD$2056,DI$3&amp;"-"&amp;312&amp;"A")+COUNTIF(車両台帳!$BD$57:$BD$2056,DI$3&amp;"-"&amp;322&amp;"A"))</f>
        <v/>
      </c>
      <c r="DJ23" s="725" t="str">
        <f>IF(COUNTA(車両台帳!$C$57:$C$2056)=0,"",COUNTIF(車両台帳!$BD$57:$BD$2056,DJ$3&amp;"-"&amp;312&amp;"A")+COUNTIF(車両台帳!$BD$57:$BD$2056,DJ$3&amp;"-"&amp;322&amp;"A"))</f>
        <v/>
      </c>
      <c r="DK23" s="725" t="str">
        <f>IF(COUNTA(車両台帳!$C$57:$C$2056)=0,"",COUNTIF(車両台帳!$BD$57:$BD$2056,DK$3&amp;"-"&amp;312&amp;"A")+COUNTIF(車両台帳!$BD$57:$BD$2056,DK$3&amp;"-"&amp;322&amp;"A"))</f>
        <v/>
      </c>
      <c r="DL23" s="725" t="str">
        <f>IF(COUNTA(車両台帳!$C$57:$C$2056)=0,"",COUNTIF(車両台帳!$BD$57:$BD$2056,DL$3&amp;"-"&amp;312&amp;"A")+COUNTIF(車両台帳!$BD$57:$BD$2056,DL$3&amp;"-"&amp;322&amp;"A"))</f>
        <v/>
      </c>
      <c r="DM23" s="725" t="str">
        <f>IF(COUNTA(車両台帳!$C$57:$C$2056)=0,"",COUNTIF(車両台帳!$BD$57:$BD$2056,DM$3&amp;"-"&amp;312&amp;"A")+COUNTIF(車両台帳!$BD$57:$BD$2056,DM$3&amp;"-"&amp;322&amp;"A"))</f>
        <v/>
      </c>
      <c r="DN23" s="725" t="str">
        <f>IF(COUNTA(車両台帳!$C$57:$C$2056)=0,"",COUNTIF(車両台帳!$BD$57:$BD$2056,DN$3&amp;"-"&amp;312&amp;"A")+COUNTIF(車両台帳!$BD$57:$BD$2056,DN$3&amp;"-"&amp;322&amp;"A"))</f>
        <v/>
      </c>
      <c r="DO23" s="725" t="str">
        <f>IF(COUNTA(車両台帳!$C$57:$C$2056)=0,"",COUNTIF(車両台帳!$BD$57:$BD$2056,DO$3&amp;"-"&amp;312&amp;"A")+COUNTIF(車両台帳!$BD$57:$BD$2056,DO$3&amp;"-"&amp;322&amp;"A"))</f>
        <v/>
      </c>
      <c r="DP23" s="725" t="str">
        <f>IF(COUNTA(車両台帳!$C$57:$C$2056)=0,"",COUNTIF(車両台帳!$BD$57:$BD$2056,DP$3&amp;"-"&amp;312&amp;"A")+COUNTIF(車両台帳!$BD$57:$BD$2056,DP$3&amp;"-"&amp;322&amp;"A"))</f>
        <v/>
      </c>
      <c r="DQ23" s="725" t="str">
        <f>IF(COUNTA(車両台帳!$C$57:$C$2056)=0,"",COUNTIF(車両台帳!$BD$57:$BD$2056,DQ$3&amp;"-"&amp;312&amp;"A")+COUNTIF(車両台帳!$BD$57:$BD$2056,DQ$3&amp;"-"&amp;322&amp;"A"))</f>
        <v/>
      </c>
      <c r="DR23" s="725" t="str">
        <f>IF(COUNTA(車両台帳!$C$57:$C$2056)=0,"",COUNTIF(車両台帳!$BD$57:$BD$2056,DR$3&amp;"-"&amp;312&amp;"A")+COUNTIF(車両台帳!$BD$57:$BD$2056,DR$3&amp;"-"&amp;322&amp;"A"))</f>
        <v/>
      </c>
      <c r="DS23" s="725" t="str">
        <f>IF(COUNTA(車両台帳!$C$57:$C$2056)=0,"",COUNTIF(車両台帳!$BD$57:$BD$2056,DS$3&amp;"-"&amp;312&amp;"A")+COUNTIF(車両台帳!$BD$57:$BD$2056,DS$3&amp;"-"&amp;322&amp;"A"))</f>
        <v/>
      </c>
      <c r="DT23" s="725" t="str">
        <f>IF(COUNTA(車両台帳!$C$57:$C$2056)=0,"",COUNTIF(車両台帳!$BD$57:$BD$2056,DT$3&amp;"-"&amp;312&amp;"A")+COUNTIF(車両台帳!$BD$57:$BD$2056,DT$3&amp;"-"&amp;322&amp;"A"))</f>
        <v/>
      </c>
      <c r="DU23" s="725" t="str">
        <f>IF(COUNTA(車両台帳!$C$57:$C$2056)=0,"",COUNTIF(車両台帳!$BD$57:$BD$2056,DU$3&amp;"-"&amp;312&amp;"A")+COUNTIF(車両台帳!$BD$57:$BD$2056,DU$3&amp;"-"&amp;322&amp;"A"))</f>
        <v/>
      </c>
      <c r="DV23" s="725" t="str">
        <f>IF(COUNTA(車両台帳!$C$57:$C$2056)=0,"",COUNTIF(車両台帳!$BD$57:$BD$2056,DV$3&amp;"-"&amp;312&amp;"A")+COUNTIF(車両台帳!$BD$57:$BD$2056,DV$3&amp;"-"&amp;322&amp;"A"))</f>
        <v/>
      </c>
      <c r="DW23" s="725" t="str">
        <f>IF(COUNTA(車両台帳!$C$57:$C$2056)=0,"",COUNTIF(車両台帳!$BD$57:$BD$2056,DW$3&amp;"-"&amp;312&amp;"A")+COUNTIF(車両台帳!$BD$57:$BD$2056,DW$3&amp;"-"&amp;322&amp;"A"))</f>
        <v/>
      </c>
      <c r="DX23" s="725" t="str">
        <f>IF(COUNTA(車両台帳!$C$57:$C$2056)=0,"",COUNTIF(車両台帳!$BD$57:$BD$2056,DX$3&amp;"-"&amp;312&amp;"A")+COUNTIF(車両台帳!$BD$57:$BD$2056,DX$3&amp;"-"&amp;322&amp;"A"))</f>
        <v/>
      </c>
      <c r="DY23" s="725" t="str">
        <f>IF(COUNTA(車両台帳!$C$57:$C$2056)=0,"",COUNTIF(車両台帳!$BD$57:$BD$2056,DY$3&amp;"-"&amp;312&amp;"A")+COUNTIF(車両台帳!$BD$57:$BD$2056,DY$3&amp;"-"&amp;322&amp;"A"))</f>
        <v/>
      </c>
      <c r="DZ23" s="725" t="str">
        <f>IF(COUNTA(車両台帳!$C$57:$C$2056)=0,"",COUNTIF(車両台帳!$BD$57:$BD$2056,DZ$3&amp;"-"&amp;312&amp;"A")+COUNTIF(車両台帳!$BD$57:$BD$2056,DZ$3&amp;"-"&amp;322&amp;"A"))</f>
        <v/>
      </c>
      <c r="EA23" s="725" t="str">
        <f>IF(COUNTA(車両台帳!$C$57:$C$2056)=0,"",COUNTIF(車両台帳!$BD$57:$BD$2056,EA$3&amp;"-"&amp;312&amp;"A")+COUNTIF(車両台帳!$BD$57:$BD$2056,EA$3&amp;"-"&amp;322&amp;"A"))</f>
        <v/>
      </c>
      <c r="EB23" s="725" t="str">
        <f>IF(COUNTA(車両台帳!$C$57:$C$2056)=0,"",COUNTIF(車両台帳!$BD$57:$BD$2056,EB$3&amp;"-"&amp;312&amp;"A")+COUNTIF(車両台帳!$BD$57:$BD$2056,EB$3&amp;"-"&amp;322&amp;"A"))</f>
        <v/>
      </c>
      <c r="EC23" s="725" t="str">
        <f>IF(COUNTA(車両台帳!$C$57:$C$2056)=0,"",COUNTIF(車両台帳!$BD$57:$BD$2056,EC$3&amp;"-"&amp;312&amp;"A")+COUNTIF(車両台帳!$BD$57:$BD$2056,EC$3&amp;"-"&amp;322&amp;"A"))</f>
        <v/>
      </c>
      <c r="ED23" s="725" t="str">
        <f>IF(COUNTA(車両台帳!$C$57:$C$2056)=0,"",COUNTIF(車両台帳!$BD$57:$BD$2056,ED$3&amp;"-"&amp;312&amp;"A")+COUNTIF(車両台帳!$BD$57:$BD$2056,ED$3&amp;"-"&amp;322&amp;"A"))</f>
        <v/>
      </c>
      <c r="EE23" s="725" t="str">
        <f>IF(COUNTA(車両台帳!$C$57:$C$2056)=0,"",COUNTIF(車両台帳!$BD$57:$BD$2056,EE$3&amp;"-"&amp;312&amp;"A")+COUNTIF(車両台帳!$BD$57:$BD$2056,EE$3&amp;"-"&amp;322&amp;"A"))</f>
        <v/>
      </c>
      <c r="EF23" s="725" t="str">
        <f>IF(COUNTA(車両台帳!$C$57:$C$2056)=0,"",COUNTIF(車両台帳!$BD$57:$BD$2056,EF$3&amp;"-"&amp;312&amp;"A")+COUNTIF(車両台帳!$BD$57:$BD$2056,EF$3&amp;"-"&amp;322&amp;"A"))</f>
        <v/>
      </c>
      <c r="EG23" s="725" t="str">
        <f>IF(COUNTA(車両台帳!$C$57:$C$2056)=0,"",COUNTIF(車両台帳!$BD$57:$BD$2056,EG$3&amp;"-"&amp;312&amp;"A")+COUNTIF(車両台帳!$BD$57:$BD$2056,EG$3&amp;"-"&amp;322&amp;"A"))</f>
        <v/>
      </c>
      <c r="EH23" s="725" t="str">
        <f>IF(COUNTA(車両台帳!$C$57:$C$2056)=0,"",COUNTIF(車両台帳!$BD$57:$BD$2056,EH$3&amp;"-"&amp;312&amp;"A")+COUNTIF(車両台帳!$BD$57:$BD$2056,EH$3&amp;"-"&amp;322&amp;"A"))</f>
        <v/>
      </c>
      <c r="EI23" s="725" t="str">
        <f>IF(COUNTA(車両台帳!$C$57:$C$2056)=0,"",COUNTIF(車両台帳!$BD$57:$BD$2056,EI$3&amp;"-"&amp;312&amp;"A")+COUNTIF(車両台帳!$BD$57:$BD$2056,EI$3&amp;"-"&amp;322&amp;"A"))</f>
        <v/>
      </c>
      <c r="EJ23" s="725" t="str">
        <f>IF(COUNTA(車両台帳!$C$57:$C$2056)=0,"",COUNTIF(車両台帳!$BD$57:$BD$2056,EJ$3&amp;"-"&amp;312&amp;"A")+COUNTIF(車両台帳!$BD$57:$BD$2056,EJ$3&amp;"-"&amp;322&amp;"A"))</f>
        <v/>
      </c>
      <c r="EK23" s="725" t="str">
        <f>IF(COUNTA(車両台帳!$C$57:$C$2056)=0,"",COUNTIF(車両台帳!$BD$57:$BD$2056,EK$3&amp;"-"&amp;312&amp;"A")+COUNTIF(車両台帳!$BD$57:$BD$2056,EK$3&amp;"-"&amp;322&amp;"A"))</f>
        <v/>
      </c>
      <c r="EL23" s="725" t="str">
        <f>IF(COUNTA(車両台帳!$C$57:$C$2056)=0,"",COUNTIF(車両台帳!$BD$57:$BD$2056,EL$3&amp;"-"&amp;312&amp;"A")+COUNTIF(車両台帳!$BD$57:$BD$2056,EL$3&amp;"-"&amp;322&amp;"A"))</f>
        <v/>
      </c>
      <c r="EM23" s="725" t="str">
        <f>IF(COUNTA(車両台帳!$C$57:$C$2056)=0,"",COUNTIF(車両台帳!$BD$57:$BD$2056,EM$3&amp;"-"&amp;312&amp;"A")+COUNTIF(車両台帳!$BD$57:$BD$2056,EM$3&amp;"-"&amp;322&amp;"A"))</f>
        <v/>
      </c>
      <c r="EN23" s="725" t="str">
        <f>IF(COUNTA(車両台帳!$C$57:$C$2056)=0,"",COUNTIF(車両台帳!$BD$57:$BD$2056,EN$3&amp;"-"&amp;312&amp;"A")+COUNTIF(車両台帳!$BD$57:$BD$2056,EN$3&amp;"-"&amp;322&amp;"A"))</f>
        <v/>
      </c>
      <c r="EO23" s="725" t="str">
        <f>IF(COUNTA(車両台帳!$C$57:$C$2056)=0,"",COUNTIF(車両台帳!$BD$57:$BD$2056,EO$3&amp;"-"&amp;312&amp;"A")+COUNTIF(車両台帳!$BD$57:$BD$2056,EO$3&amp;"-"&amp;322&amp;"A"))</f>
        <v/>
      </c>
      <c r="EP23" s="725" t="str">
        <f>IF(COUNTA(車両台帳!$C$57:$C$2056)=0,"",COUNTIF(車両台帳!$BD$57:$BD$2056,EP$3&amp;"-"&amp;312&amp;"A")+COUNTIF(車両台帳!$BD$57:$BD$2056,EP$3&amp;"-"&amp;322&amp;"A"))</f>
        <v/>
      </c>
      <c r="EQ23" s="725" t="str">
        <f>IF(COUNTA(車両台帳!$C$57:$C$2056)=0,"",COUNTIF(車両台帳!$BD$57:$BD$2056,EQ$3&amp;"-"&amp;312&amp;"A")+COUNTIF(車両台帳!$BD$57:$BD$2056,EQ$3&amp;"-"&amp;322&amp;"A"))</f>
        <v/>
      </c>
      <c r="ER23" s="725" t="str">
        <f>IF(COUNTA(車両台帳!$C$57:$C$2056)=0,"",COUNTIF(車両台帳!$BD$57:$BD$2056,ER$3&amp;"-"&amp;312&amp;"A")+COUNTIF(車両台帳!$BD$57:$BD$2056,ER$3&amp;"-"&amp;322&amp;"A"))</f>
        <v/>
      </c>
      <c r="ES23" s="725" t="str">
        <f>IF(COUNTA(車両台帳!$C$57:$C$2056)=0,"",COUNTIF(車両台帳!$BD$57:$BD$2056,ES$3&amp;"-"&amp;312&amp;"A")+COUNTIF(車両台帳!$BD$57:$BD$2056,ES$3&amp;"-"&amp;322&amp;"A"))</f>
        <v/>
      </c>
      <c r="ET23" s="725" t="str">
        <f>IF(COUNTA(車両台帳!$C$57:$C$2056)=0,"",COUNTIF(車両台帳!$BD$57:$BD$2056,ET$3&amp;"-"&amp;312&amp;"A")+COUNTIF(車両台帳!$BD$57:$BD$2056,ET$3&amp;"-"&amp;322&amp;"A"))</f>
        <v/>
      </c>
      <c r="EU23" s="725" t="str">
        <f>IF(COUNTA(車両台帳!$C$57:$C$2056)=0,"",COUNTIF(車両台帳!$BD$57:$BD$2056,EU$3&amp;"-"&amp;312&amp;"A")+COUNTIF(車両台帳!$BD$57:$BD$2056,EU$3&amp;"-"&amp;322&amp;"A"))</f>
        <v/>
      </c>
      <c r="EV23" s="725" t="str">
        <f>IF(COUNTA(車両台帳!$C$57:$C$2056)=0,"",COUNTIF(車両台帳!$BD$57:$BD$2056,EV$3&amp;"-"&amp;312&amp;"A")+COUNTIF(車両台帳!$BD$57:$BD$2056,EV$3&amp;"-"&amp;322&amp;"A"))</f>
        <v/>
      </c>
      <c r="EW23" s="725" t="str">
        <f>IF(COUNTA(車両台帳!$C$57:$C$2056)=0,"",COUNTIF(車両台帳!$BD$57:$BD$2056,EW$3&amp;"-"&amp;312&amp;"A")+COUNTIF(車両台帳!$BD$57:$BD$2056,EW$3&amp;"-"&amp;322&amp;"A"))</f>
        <v/>
      </c>
      <c r="EX23" s="725" t="str">
        <f>IF(COUNTA(車両台帳!$C$57:$C$2056)=0,"",COUNTIF(車両台帳!$BD$57:$BD$2056,EX$3&amp;"-"&amp;312&amp;"A")+COUNTIF(車両台帳!$BD$57:$BD$2056,EX$3&amp;"-"&amp;322&amp;"A"))</f>
        <v/>
      </c>
      <c r="EY23" s="725" t="str">
        <f>IF(COUNTA(車両台帳!$C$57:$C$2056)=0,"",COUNTIF(車両台帳!$BD$57:$BD$2056,EY$3&amp;"-"&amp;312&amp;"A")+COUNTIF(車両台帳!$BD$57:$BD$2056,EY$3&amp;"-"&amp;322&amp;"A"))</f>
        <v/>
      </c>
      <c r="EZ23" s="725" t="str">
        <f>IF(COUNTA(車両台帳!$C$57:$C$2056)=0,"",COUNTIF(車両台帳!$BD$57:$BD$2056,EZ$3&amp;"-"&amp;312&amp;"A")+COUNTIF(車両台帳!$BD$57:$BD$2056,EZ$3&amp;"-"&amp;322&amp;"A"))</f>
        <v/>
      </c>
      <c r="FA23" s="725" t="str">
        <f>IF(COUNTA(車両台帳!$C$57:$C$2056)=0,"",COUNTIF(車両台帳!$BD$57:$BD$2056,FA$3&amp;"-"&amp;312&amp;"A")+COUNTIF(車両台帳!$BD$57:$BD$2056,FA$3&amp;"-"&amp;322&amp;"A"))</f>
        <v/>
      </c>
      <c r="FB23" s="725" t="str">
        <f>IF(COUNTA(車両台帳!$C$57:$C$2056)=0,"",COUNTIF(車両台帳!$BD$57:$BD$2056,FB$3&amp;"-"&amp;312&amp;"A")+COUNTIF(車両台帳!$BD$57:$BD$2056,FB$3&amp;"-"&amp;322&amp;"A"))</f>
        <v/>
      </c>
      <c r="FC23" s="725" t="str">
        <f>IF(COUNTA(車両台帳!$C$57:$C$2056)=0,"",COUNTIF(車両台帳!$BD$57:$BD$2056,FC$3&amp;"-"&amp;312&amp;"A")+COUNTIF(車両台帳!$BD$57:$BD$2056,FC$3&amp;"-"&amp;322&amp;"A"))</f>
        <v/>
      </c>
      <c r="FD23" s="725" t="str">
        <f>IF(COUNTA(車両台帳!$C$57:$C$2056)=0,"",COUNTIF(車両台帳!$BD$57:$BD$2056,FD$3&amp;"-"&amp;312&amp;"A")+COUNTIF(車両台帳!$BD$57:$BD$2056,FD$3&amp;"-"&amp;322&amp;"A"))</f>
        <v/>
      </c>
      <c r="FE23" s="725" t="str">
        <f>IF(COUNTA(車両台帳!$C$57:$C$2056)=0,"",COUNTIF(車両台帳!$BD$57:$BD$2056,FE$3&amp;"-"&amp;312&amp;"A")+COUNTIF(車両台帳!$BD$57:$BD$2056,FE$3&amp;"-"&amp;322&amp;"A"))</f>
        <v/>
      </c>
      <c r="FF23" s="725" t="str">
        <f>IF(COUNTA(車両台帳!$C$57:$C$2056)=0,"",COUNTIF(車両台帳!$BD$57:$BD$2056,FF$3&amp;"-"&amp;312&amp;"A")+COUNTIF(車両台帳!$BD$57:$BD$2056,FF$3&amp;"-"&amp;322&amp;"A"))</f>
        <v/>
      </c>
      <c r="FG23" s="725" t="str">
        <f>IF(COUNTA(車両台帳!$C$57:$C$2056)=0,"",COUNTIF(車両台帳!$BD$57:$BD$2056,FG$3&amp;"-"&amp;312&amp;"A")+COUNTIF(車両台帳!$BD$57:$BD$2056,FG$3&amp;"-"&amp;322&amp;"A"))</f>
        <v/>
      </c>
      <c r="FH23" s="725" t="str">
        <f>IF(COUNTA(車両台帳!$C$57:$C$2056)=0,"",COUNTIF(車両台帳!$BD$57:$BD$2056,FH$3&amp;"-"&amp;312&amp;"A")+COUNTIF(車両台帳!$BD$57:$BD$2056,FH$3&amp;"-"&amp;322&amp;"A"))</f>
        <v/>
      </c>
      <c r="FI23" s="725" t="str">
        <f>IF(COUNTA(車両台帳!$C$57:$C$2056)=0,"",COUNTIF(車両台帳!$BD$57:$BD$2056,FI$3&amp;"-"&amp;312&amp;"A")+COUNTIF(車両台帳!$BD$57:$BD$2056,FI$3&amp;"-"&amp;322&amp;"A"))</f>
        <v/>
      </c>
      <c r="FJ23" s="725" t="str">
        <f>IF(COUNTA(車両台帳!$C$57:$C$2056)=0,"",COUNTIF(車両台帳!$BD$57:$BD$2056,FJ$3&amp;"-"&amp;312&amp;"A")+COUNTIF(車両台帳!$BD$57:$BD$2056,FJ$3&amp;"-"&amp;322&amp;"A"))</f>
        <v/>
      </c>
      <c r="FK23" s="725" t="str">
        <f>IF(COUNTA(車両台帳!$C$57:$C$2056)=0,"",COUNTIF(車両台帳!$BD$57:$BD$2056,FK$3&amp;"-"&amp;312&amp;"A")+COUNTIF(車両台帳!$BD$57:$BD$2056,FK$3&amp;"-"&amp;322&amp;"A"))</f>
        <v/>
      </c>
      <c r="FL23" s="725" t="str">
        <f>IF(COUNTA(車両台帳!$C$57:$C$2056)=0,"",COUNTIF(車両台帳!$BD$57:$BD$2056,FL$3&amp;"-"&amp;312&amp;"A")+COUNTIF(車両台帳!$BD$57:$BD$2056,FL$3&amp;"-"&amp;322&amp;"A"))</f>
        <v/>
      </c>
      <c r="FM23" s="725" t="str">
        <f>IF(COUNTA(車両台帳!$C$57:$C$2056)=0,"",COUNTIF(車両台帳!$BD$57:$BD$2056,FM$3&amp;"-"&amp;312&amp;"A")+COUNTIF(車両台帳!$BD$57:$BD$2056,FM$3&amp;"-"&amp;322&amp;"A"))</f>
        <v/>
      </c>
      <c r="FN23" s="725" t="str">
        <f>IF(COUNTA(車両台帳!$C$57:$C$2056)=0,"",COUNTIF(車両台帳!$BD$57:$BD$2056,FN$3&amp;"-"&amp;312&amp;"A")+COUNTIF(車両台帳!$BD$57:$BD$2056,FN$3&amp;"-"&amp;322&amp;"A"))</f>
        <v/>
      </c>
      <c r="FO23" s="725" t="str">
        <f>IF(COUNTA(車両台帳!$C$57:$C$2056)=0,"",COUNTIF(車両台帳!$BD$57:$BD$2056,FO$3&amp;"-"&amp;312&amp;"A")+COUNTIF(車両台帳!$BD$57:$BD$2056,FO$3&amp;"-"&amp;322&amp;"A"))</f>
        <v/>
      </c>
      <c r="FP23" s="725" t="str">
        <f>IF(COUNTA(車両台帳!$C$57:$C$2056)=0,"",COUNTIF(車両台帳!$BD$57:$BD$2056,FP$3&amp;"-"&amp;312&amp;"A")+COUNTIF(車両台帳!$BD$57:$BD$2056,FP$3&amp;"-"&amp;322&amp;"A"))</f>
        <v/>
      </c>
      <c r="FQ23" s="725" t="str">
        <f>IF(COUNTA(車両台帳!$C$57:$C$2056)=0,"",COUNTIF(車両台帳!$BD$57:$BD$2056,FQ$3&amp;"-"&amp;312&amp;"A")+COUNTIF(車両台帳!$BD$57:$BD$2056,FQ$3&amp;"-"&amp;322&amp;"A"))</f>
        <v/>
      </c>
      <c r="FR23" s="725" t="str">
        <f>IF(COUNTA(車両台帳!$C$57:$C$2056)=0,"",COUNTIF(車両台帳!$BD$57:$BD$2056,FR$3&amp;"-"&amp;312&amp;"A")+COUNTIF(車両台帳!$BD$57:$BD$2056,FR$3&amp;"-"&amp;322&amp;"A"))</f>
        <v/>
      </c>
      <c r="FS23" s="725" t="str">
        <f>IF(COUNTA(車両台帳!$C$57:$C$2056)=0,"",COUNTIF(車両台帳!$BD$57:$BD$2056,FS$3&amp;"-"&amp;312&amp;"A")+COUNTIF(車両台帳!$BD$57:$BD$2056,FS$3&amp;"-"&amp;322&amp;"A"))</f>
        <v/>
      </c>
      <c r="FT23" s="725" t="str">
        <f>IF(COUNTA(車両台帳!$C$57:$C$2056)=0,"",COUNTIF(車両台帳!$BD$57:$BD$2056,FT$3&amp;"-"&amp;312&amp;"A")+COUNTIF(車両台帳!$BD$57:$BD$2056,FT$3&amp;"-"&amp;322&amp;"A"))</f>
        <v/>
      </c>
      <c r="FU23" s="725" t="str">
        <f>IF(COUNTA(車両台帳!$C$57:$C$2056)=0,"",COUNTIF(車両台帳!$BD$57:$BD$2056,FU$3&amp;"-"&amp;312&amp;"A")+COUNTIF(車両台帳!$BD$57:$BD$2056,FU$3&amp;"-"&amp;322&amp;"A"))</f>
        <v/>
      </c>
      <c r="FV23" s="725" t="str">
        <f>IF(COUNTA(車両台帳!$C$57:$C$2056)=0,"",COUNTIF(車両台帳!$BD$57:$BD$2056,FV$3&amp;"-"&amp;312&amp;"A")+COUNTIF(車両台帳!$BD$57:$BD$2056,FV$3&amp;"-"&amp;322&amp;"A"))</f>
        <v/>
      </c>
      <c r="FW23" s="725" t="str">
        <f>IF(COUNTA(車両台帳!$C$57:$C$2056)=0,"",COUNTIF(車両台帳!$BD$57:$BD$2056,FW$3&amp;"-"&amp;312&amp;"A")+COUNTIF(車両台帳!$BD$57:$BD$2056,FW$3&amp;"-"&amp;322&amp;"A"))</f>
        <v/>
      </c>
      <c r="FX23" s="725" t="str">
        <f>IF(COUNTA(車両台帳!$C$57:$C$2056)=0,"",COUNTIF(車両台帳!$BD$57:$BD$2056,FX$3&amp;"-"&amp;312&amp;"A")+COUNTIF(車両台帳!$BD$57:$BD$2056,FX$3&amp;"-"&amp;322&amp;"A"))</f>
        <v/>
      </c>
      <c r="FY23" s="725" t="str">
        <f>IF(COUNTA(車両台帳!$C$57:$C$2056)=0,"",COUNTIF(車両台帳!$BD$57:$BD$2056,FY$3&amp;"-"&amp;312&amp;"A")+COUNTIF(車両台帳!$BD$57:$BD$2056,FY$3&amp;"-"&amp;322&amp;"A"))</f>
        <v/>
      </c>
      <c r="FZ23" s="725" t="str">
        <f>IF(COUNTA(車両台帳!$C$57:$C$2056)=0,"",COUNTIF(車両台帳!$BD$57:$BD$2056,FZ$3&amp;"-"&amp;312&amp;"A")+COUNTIF(車両台帳!$BD$57:$BD$2056,FZ$3&amp;"-"&amp;322&amp;"A"))</f>
        <v/>
      </c>
      <c r="GA23" s="725" t="str">
        <f>IF(COUNTA(車両台帳!$C$57:$C$2056)=0,"",COUNTIF(車両台帳!$BD$57:$BD$2056,GA$3&amp;"-"&amp;312&amp;"A")+COUNTIF(車両台帳!$BD$57:$BD$2056,GA$3&amp;"-"&amp;322&amp;"A"))</f>
        <v/>
      </c>
      <c r="GB23" s="725" t="str">
        <f>IF(COUNTA(車両台帳!$C$57:$C$2056)=0,"",COUNTIF(車両台帳!$BD$57:$BD$2056,GB$3&amp;"-"&amp;312&amp;"A")+COUNTIF(車両台帳!$BD$57:$BD$2056,GB$3&amp;"-"&amp;322&amp;"A"))</f>
        <v/>
      </c>
      <c r="GC23" s="725" t="str">
        <f>IF(COUNTA(車両台帳!$C$57:$C$2056)=0,"",COUNTIF(車両台帳!$BD$57:$BD$2056,GC$3&amp;"-"&amp;312&amp;"A")+COUNTIF(車両台帳!$BD$57:$BD$2056,GC$3&amp;"-"&amp;322&amp;"A"))</f>
        <v/>
      </c>
      <c r="GD23" s="725" t="str">
        <f>IF(COUNTA(車両台帳!$C$57:$C$2056)=0,"",COUNTIF(車両台帳!$BD$57:$BD$2056,GD$3&amp;"-"&amp;312&amp;"A")+COUNTIF(車両台帳!$BD$57:$BD$2056,GD$3&amp;"-"&amp;322&amp;"A"))</f>
        <v/>
      </c>
      <c r="GE23" s="725" t="str">
        <f>IF(COUNTA(車両台帳!$C$57:$C$2056)=0,"",COUNTIF(車両台帳!$BD$57:$BD$2056,GE$3&amp;"-"&amp;312&amp;"A")+COUNTIF(車両台帳!$BD$57:$BD$2056,GE$3&amp;"-"&amp;322&amp;"A"))</f>
        <v/>
      </c>
      <c r="GF23" s="725" t="str">
        <f>IF(COUNTA(車両台帳!$C$57:$C$2056)=0,"",COUNTIF(車両台帳!$BD$57:$BD$2056,GF$3&amp;"-"&amp;312&amp;"A")+COUNTIF(車両台帳!$BD$57:$BD$2056,GF$3&amp;"-"&amp;322&amp;"A"))</f>
        <v/>
      </c>
      <c r="GG23" s="725" t="str">
        <f>IF(COUNTA(車両台帳!$C$57:$C$2056)=0,"",COUNTIF(車両台帳!$BD$57:$BD$2056,GG$3&amp;"-"&amp;312&amp;"A")+COUNTIF(車両台帳!$BD$57:$BD$2056,GG$3&amp;"-"&amp;322&amp;"A"))</f>
        <v/>
      </c>
      <c r="GH23" s="725" t="str">
        <f>IF(COUNTA(車両台帳!$C$57:$C$2056)=0,"",COUNTIF(車両台帳!$BD$57:$BD$2056,GH$3&amp;"-"&amp;312&amp;"A")+COUNTIF(車両台帳!$BD$57:$BD$2056,GH$3&amp;"-"&amp;322&amp;"A"))</f>
        <v/>
      </c>
      <c r="GI23" s="725" t="str">
        <f>IF(COUNTA(車両台帳!$C$57:$C$2056)=0,"",COUNTIF(車両台帳!$BD$57:$BD$2056,GI$3&amp;"-"&amp;312&amp;"A")+COUNTIF(車両台帳!$BD$57:$BD$2056,GI$3&amp;"-"&amp;322&amp;"A"))</f>
        <v/>
      </c>
      <c r="GJ23" s="725" t="str">
        <f>IF(COUNTA(車両台帳!$C$57:$C$2056)=0,"",COUNTIF(車両台帳!$BD$57:$BD$2056,GJ$3&amp;"-"&amp;312&amp;"A")+COUNTIF(車両台帳!$BD$57:$BD$2056,GJ$3&amp;"-"&amp;322&amp;"A"))</f>
        <v/>
      </c>
      <c r="GK23" s="725" t="str">
        <f>IF(COUNTA(車両台帳!$C$57:$C$2056)=0,"",COUNTIF(車両台帳!$BD$57:$BD$2056,GK$3&amp;"-"&amp;312&amp;"A")+COUNTIF(車両台帳!$BD$57:$BD$2056,GK$3&amp;"-"&amp;322&amp;"A"))</f>
        <v/>
      </c>
      <c r="GL23" s="725" t="str">
        <f>IF(COUNTA(車両台帳!$C$57:$C$2056)=0,"",COUNTIF(車両台帳!$BD$57:$BD$2056,GL$3&amp;"-"&amp;312&amp;"A")+COUNTIF(車両台帳!$BD$57:$BD$2056,GL$3&amp;"-"&amp;322&amp;"A"))</f>
        <v/>
      </c>
      <c r="GM23" s="725" t="str">
        <f>IF(COUNTA(車両台帳!$C$57:$C$2056)=0,"",COUNTIF(車両台帳!$BD$57:$BD$2056,GM$3&amp;"-"&amp;312&amp;"A")+COUNTIF(車両台帳!$BD$57:$BD$2056,GM$3&amp;"-"&amp;322&amp;"A"))</f>
        <v/>
      </c>
      <c r="GN23" s="725" t="str">
        <f>IF(COUNTA(車両台帳!$C$57:$C$2056)=0,"",COUNTIF(車両台帳!$BD$57:$BD$2056,GN$3&amp;"-"&amp;312&amp;"A")+COUNTIF(車両台帳!$BD$57:$BD$2056,GN$3&amp;"-"&amp;322&amp;"A"))</f>
        <v/>
      </c>
      <c r="GO23" s="725" t="str">
        <f>IF(COUNTA(車両台帳!$C$57:$C$2056)=0,"",COUNTIF(車両台帳!$BD$57:$BD$2056,GO$3&amp;"-"&amp;312&amp;"A")+COUNTIF(車両台帳!$BD$57:$BD$2056,GO$3&amp;"-"&amp;322&amp;"A"))</f>
        <v/>
      </c>
      <c r="GP23" s="725" t="str">
        <f>IF(COUNTA(車両台帳!$C$57:$C$2056)=0,"",COUNTIF(車両台帳!$BD$57:$BD$2056,GP$3&amp;"-"&amp;312&amp;"A")+COUNTIF(車両台帳!$BD$57:$BD$2056,GP$3&amp;"-"&amp;322&amp;"A"))</f>
        <v/>
      </c>
      <c r="GQ23" s="725" t="str">
        <f>IF(COUNTA(車両台帳!$C$57:$C$2056)=0,"",COUNTIF(車両台帳!$BD$57:$BD$2056,GQ$3&amp;"-"&amp;312&amp;"A")+COUNTIF(車両台帳!$BD$57:$BD$2056,GQ$3&amp;"-"&amp;322&amp;"A"))</f>
        <v/>
      </c>
      <c r="GR23" s="725" t="str">
        <f>IF(COUNTA(車両台帳!$C$57:$C$2056)=0,"",COUNTIF(車両台帳!$BD$57:$BD$2056,GR$3&amp;"-"&amp;312&amp;"A")+COUNTIF(車両台帳!$BD$57:$BD$2056,GR$3&amp;"-"&amp;322&amp;"A"))</f>
        <v/>
      </c>
      <c r="GS23" s="725" t="str">
        <f>IF(COUNTA(車両台帳!$C$57:$C$2056)=0,"",COUNTIF(車両台帳!$BD$57:$BD$2056,GS$3&amp;"-"&amp;312&amp;"A")+COUNTIF(車両台帳!$BD$57:$BD$2056,GS$3&amp;"-"&amp;322&amp;"A"))</f>
        <v/>
      </c>
      <c r="GT23" s="725" t="str">
        <f>IF(COUNTA(車両台帳!$C$57:$C$2056)=0,"",COUNTIF(車両台帳!$BD$57:$BD$2056,GT$3&amp;"-"&amp;312&amp;"A")+COUNTIF(車両台帳!$BD$57:$BD$2056,GT$3&amp;"-"&amp;322&amp;"A"))</f>
        <v/>
      </c>
      <c r="GU23" s="726" t="str">
        <f>IF(COUNTA(車両台帳!$C$57:$C$2056)=0,"",COUNTIF(車両台帳!$BD$57:$BD$2056,GU$3&amp;"-"&amp;312&amp;"A")+COUNTIF(車両台帳!$BD$57:$BD$2056,GU$3&amp;"-"&amp;322&amp;"A"))</f>
        <v/>
      </c>
    </row>
    <row r="24" spans="1:203" s="7" customFormat="1" ht="29.25" customHeight="1">
      <c r="A24" s="1190"/>
      <c r="B24" s="715" t="s">
        <v>52</v>
      </c>
      <c r="C24" s="720" t="str">
        <f>IF(COUNTA(車両台帳!$C$57:$C$2056)=0,"",SUM(D24:GU24))</f>
        <v/>
      </c>
      <c r="D24" s="725" t="str">
        <f>IF(COUNTA(車両台帳!$C$57:$C$2056)=0,"",COUNTIF(車両台帳!$BD$57:$BD$2056,D$3&amp;"-"&amp;313&amp;"A")+COUNTIF(車両台帳!$BD$57:$BD$2056,D$3&amp;"-"&amp;323&amp;"A"))</f>
        <v/>
      </c>
      <c r="E24" s="725" t="str">
        <f>IF(COUNTA(車両台帳!$C$57:$C$2056)=0,"",COUNTIF(車両台帳!$BD$57:$BD$2056,E$3&amp;"-"&amp;313&amp;"A")+COUNTIF(車両台帳!$BD$57:$BD$2056,E$3&amp;"-"&amp;323&amp;"A"))</f>
        <v/>
      </c>
      <c r="F24" s="725" t="str">
        <f>IF(COUNTA(車両台帳!$C$57:$C$2056)=0,"",COUNTIF(車両台帳!$BD$57:$BD$2056,F$3&amp;"-"&amp;313&amp;"A")+COUNTIF(車両台帳!$BD$57:$BD$2056,F$3&amp;"-"&amp;323&amp;"A"))</f>
        <v/>
      </c>
      <c r="G24" s="725" t="str">
        <f>IF(COUNTA(車両台帳!$C$57:$C$2056)=0,"",COUNTIF(車両台帳!$BD$57:$BD$2056,G$3&amp;"-"&amp;313&amp;"A")+COUNTIF(車両台帳!$BD$57:$BD$2056,G$3&amp;"-"&amp;323&amp;"A"))</f>
        <v/>
      </c>
      <c r="H24" s="725" t="str">
        <f>IF(COUNTA(車両台帳!$C$57:$C$2056)=0,"",COUNTIF(車両台帳!$BD$57:$BD$2056,H$3&amp;"-"&amp;313&amp;"A")+COUNTIF(車両台帳!$BD$57:$BD$2056,H$3&amp;"-"&amp;323&amp;"A"))</f>
        <v/>
      </c>
      <c r="I24" s="725" t="str">
        <f>IF(COUNTA(車両台帳!$C$57:$C$2056)=0,"",COUNTIF(車両台帳!$BD$57:$BD$2056,I$3&amp;"-"&amp;313&amp;"A")+COUNTIF(車両台帳!$BD$57:$BD$2056,I$3&amp;"-"&amp;323&amp;"A"))</f>
        <v/>
      </c>
      <c r="J24" s="725" t="str">
        <f>IF(COUNTA(車両台帳!$C$57:$C$2056)=0,"",COUNTIF(車両台帳!$BD$57:$BD$2056,J$3&amp;"-"&amp;313&amp;"A")+COUNTIF(車両台帳!$BD$57:$BD$2056,J$3&amp;"-"&amp;323&amp;"A"))</f>
        <v/>
      </c>
      <c r="K24" s="725" t="str">
        <f>IF(COUNTA(車両台帳!$C$57:$C$2056)=0,"",COUNTIF(車両台帳!$BD$57:$BD$2056,K$3&amp;"-"&amp;313&amp;"A")+COUNTIF(車両台帳!$BD$57:$BD$2056,K$3&amp;"-"&amp;323&amp;"A"))</f>
        <v/>
      </c>
      <c r="L24" s="725" t="str">
        <f>IF(COUNTA(車両台帳!$C$57:$C$2056)=0,"",COUNTIF(車両台帳!$BD$57:$BD$2056,L$3&amp;"-"&amp;313&amp;"A")+COUNTIF(車両台帳!$BD$57:$BD$2056,L$3&amp;"-"&amp;323&amp;"A"))</f>
        <v/>
      </c>
      <c r="M24" s="725" t="str">
        <f>IF(COUNTA(車両台帳!$C$57:$C$2056)=0,"",COUNTIF(車両台帳!$BD$57:$BD$2056,M$3&amp;"-"&amp;313&amp;"A")+COUNTIF(車両台帳!$BD$57:$BD$2056,M$3&amp;"-"&amp;323&amp;"A"))</f>
        <v/>
      </c>
      <c r="N24" s="725" t="str">
        <f>IF(COUNTA(車両台帳!$C$57:$C$2056)=0,"",COUNTIF(車両台帳!$BD$57:$BD$2056,N$3&amp;"-"&amp;313&amp;"A")+COUNTIF(車両台帳!$BD$57:$BD$2056,N$3&amp;"-"&amp;323&amp;"A"))</f>
        <v/>
      </c>
      <c r="O24" s="725" t="str">
        <f>IF(COUNTA(車両台帳!$C$57:$C$2056)=0,"",COUNTIF(車両台帳!$BD$57:$BD$2056,O$3&amp;"-"&amp;313&amp;"A")+COUNTIF(車両台帳!$BD$57:$BD$2056,O$3&amp;"-"&amp;323&amp;"A"))</f>
        <v/>
      </c>
      <c r="P24" s="725" t="str">
        <f>IF(COUNTA(車両台帳!$C$57:$C$2056)=0,"",COUNTIF(車両台帳!$BD$57:$BD$2056,P$3&amp;"-"&amp;313&amp;"A")+COUNTIF(車両台帳!$BD$57:$BD$2056,P$3&amp;"-"&amp;323&amp;"A"))</f>
        <v/>
      </c>
      <c r="Q24" s="725" t="str">
        <f>IF(COUNTA(車両台帳!$C$57:$C$2056)=0,"",COUNTIF(車両台帳!$BD$57:$BD$2056,Q$3&amp;"-"&amp;313&amp;"A")+COUNTIF(車両台帳!$BD$57:$BD$2056,Q$3&amp;"-"&amp;323&amp;"A"))</f>
        <v/>
      </c>
      <c r="R24" s="725" t="str">
        <f>IF(COUNTA(車両台帳!$C$57:$C$2056)=0,"",COUNTIF(車両台帳!$BD$57:$BD$2056,R$3&amp;"-"&amp;313&amp;"A")+COUNTIF(車両台帳!$BD$57:$BD$2056,R$3&amp;"-"&amp;323&amp;"A"))</f>
        <v/>
      </c>
      <c r="S24" s="725" t="str">
        <f>IF(COUNTA(車両台帳!$C$57:$C$2056)=0,"",COUNTIF(車両台帳!$BD$57:$BD$2056,S$3&amp;"-"&amp;313&amp;"A")+COUNTIF(車両台帳!$BD$57:$BD$2056,S$3&amp;"-"&amp;323&amp;"A"))</f>
        <v/>
      </c>
      <c r="T24" s="725" t="str">
        <f>IF(COUNTA(車両台帳!$C$57:$C$2056)=0,"",COUNTIF(車両台帳!$BD$57:$BD$2056,T$3&amp;"-"&amp;313&amp;"A")+COUNTIF(車両台帳!$BD$57:$BD$2056,T$3&amp;"-"&amp;323&amp;"A"))</f>
        <v/>
      </c>
      <c r="U24" s="725" t="str">
        <f>IF(COUNTA(車両台帳!$C$57:$C$2056)=0,"",COUNTIF(車両台帳!$BD$57:$BD$2056,U$3&amp;"-"&amp;313&amp;"A")+COUNTIF(車両台帳!$BD$57:$BD$2056,U$3&amp;"-"&amp;323&amp;"A"))</f>
        <v/>
      </c>
      <c r="V24" s="725" t="str">
        <f>IF(COUNTA(車両台帳!$C$57:$C$2056)=0,"",COUNTIF(車両台帳!$BD$57:$BD$2056,V$3&amp;"-"&amp;313&amp;"A")+COUNTIF(車両台帳!$BD$57:$BD$2056,V$3&amp;"-"&amp;323&amp;"A"))</f>
        <v/>
      </c>
      <c r="W24" s="725" t="str">
        <f>IF(COUNTA(車両台帳!$C$57:$C$2056)=0,"",COUNTIF(車両台帳!$BD$57:$BD$2056,W$3&amp;"-"&amp;313&amp;"A")+COUNTIF(車両台帳!$BD$57:$BD$2056,W$3&amp;"-"&amp;323&amp;"A"))</f>
        <v/>
      </c>
      <c r="X24" s="725" t="str">
        <f>IF(COUNTA(車両台帳!$C$57:$C$2056)=0,"",COUNTIF(車両台帳!$BD$57:$BD$2056,X$3&amp;"-"&amp;313&amp;"A")+COUNTIF(車両台帳!$BD$57:$BD$2056,X$3&amp;"-"&amp;323&amp;"A"))</f>
        <v/>
      </c>
      <c r="Y24" s="725" t="str">
        <f>IF(COUNTA(車両台帳!$C$57:$C$2056)=0,"",COUNTIF(車両台帳!$BD$57:$BD$2056,Y$3&amp;"-"&amp;313&amp;"A")+COUNTIF(車両台帳!$BD$57:$BD$2056,Y$3&amp;"-"&amp;323&amp;"A"))</f>
        <v/>
      </c>
      <c r="Z24" s="725" t="str">
        <f>IF(COUNTA(車両台帳!$C$57:$C$2056)=0,"",COUNTIF(車両台帳!$BD$57:$BD$2056,Z$3&amp;"-"&amp;313&amp;"A")+COUNTIF(車両台帳!$BD$57:$BD$2056,Z$3&amp;"-"&amp;323&amp;"A"))</f>
        <v/>
      </c>
      <c r="AA24" s="725" t="str">
        <f>IF(COUNTA(車両台帳!$C$57:$C$2056)=0,"",COUNTIF(車両台帳!$BD$57:$BD$2056,AA$3&amp;"-"&amp;313&amp;"A")+COUNTIF(車両台帳!$BD$57:$BD$2056,AA$3&amp;"-"&amp;323&amp;"A"))</f>
        <v/>
      </c>
      <c r="AB24" s="725" t="str">
        <f>IF(COUNTA(車両台帳!$C$57:$C$2056)=0,"",COUNTIF(車両台帳!$BD$57:$BD$2056,AB$3&amp;"-"&amp;313&amp;"A")+COUNTIF(車両台帳!$BD$57:$BD$2056,AB$3&amp;"-"&amp;323&amp;"A"))</f>
        <v/>
      </c>
      <c r="AC24" s="725" t="str">
        <f>IF(COUNTA(車両台帳!$C$57:$C$2056)=0,"",COUNTIF(車両台帳!$BD$57:$BD$2056,AC$3&amp;"-"&amp;313&amp;"A")+COUNTIF(車両台帳!$BD$57:$BD$2056,AC$3&amp;"-"&amp;323&amp;"A"))</f>
        <v/>
      </c>
      <c r="AD24" s="725" t="str">
        <f>IF(COUNTA(車両台帳!$C$57:$C$2056)=0,"",COUNTIF(車両台帳!$BD$57:$BD$2056,AD$3&amp;"-"&amp;313&amp;"A")+COUNTIF(車両台帳!$BD$57:$BD$2056,AD$3&amp;"-"&amp;323&amp;"A"))</f>
        <v/>
      </c>
      <c r="AE24" s="725" t="str">
        <f>IF(COUNTA(車両台帳!$C$57:$C$2056)=0,"",COUNTIF(車両台帳!$BD$57:$BD$2056,AE$3&amp;"-"&amp;313&amp;"A")+COUNTIF(車両台帳!$BD$57:$BD$2056,AE$3&amp;"-"&amp;323&amp;"A"))</f>
        <v/>
      </c>
      <c r="AF24" s="725" t="str">
        <f>IF(COUNTA(車両台帳!$C$57:$C$2056)=0,"",COUNTIF(車両台帳!$BD$57:$BD$2056,AF$3&amp;"-"&amp;313&amp;"A")+COUNTIF(車両台帳!$BD$57:$BD$2056,AF$3&amp;"-"&amp;323&amp;"A"))</f>
        <v/>
      </c>
      <c r="AG24" s="725" t="str">
        <f>IF(COUNTA(車両台帳!$C$57:$C$2056)=0,"",COUNTIF(車両台帳!$BD$57:$BD$2056,AG$3&amp;"-"&amp;313&amp;"A")+COUNTIF(車両台帳!$BD$57:$BD$2056,AG$3&amp;"-"&amp;323&amp;"A"))</f>
        <v/>
      </c>
      <c r="AH24" s="725" t="str">
        <f>IF(COUNTA(車両台帳!$C$57:$C$2056)=0,"",COUNTIF(車両台帳!$BD$57:$BD$2056,AH$3&amp;"-"&amp;313&amp;"A")+COUNTIF(車両台帳!$BD$57:$BD$2056,AH$3&amp;"-"&amp;323&amp;"A"))</f>
        <v/>
      </c>
      <c r="AI24" s="725" t="str">
        <f>IF(COUNTA(車両台帳!$C$57:$C$2056)=0,"",COUNTIF(車両台帳!$BD$57:$BD$2056,AI$3&amp;"-"&amp;313&amp;"A")+COUNTIF(車両台帳!$BD$57:$BD$2056,AI$3&amp;"-"&amp;323&amp;"A"))</f>
        <v/>
      </c>
      <c r="AJ24" s="725" t="str">
        <f>IF(COUNTA(車両台帳!$C$57:$C$2056)=0,"",COUNTIF(車両台帳!$BD$57:$BD$2056,AJ$3&amp;"-"&amp;313&amp;"A")+COUNTIF(車両台帳!$BD$57:$BD$2056,AJ$3&amp;"-"&amp;323&amp;"A"))</f>
        <v/>
      </c>
      <c r="AK24" s="725" t="str">
        <f>IF(COUNTA(車両台帳!$C$57:$C$2056)=0,"",COUNTIF(車両台帳!$BD$57:$BD$2056,AK$3&amp;"-"&amp;313&amp;"A")+COUNTIF(車両台帳!$BD$57:$BD$2056,AK$3&amp;"-"&amp;323&amp;"A"))</f>
        <v/>
      </c>
      <c r="AL24" s="725" t="str">
        <f>IF(COUNTA(車両台帳!$C$57:$C$2056)=0,"",COUNTIF(車両台帳!$BD$57:$BD$2056,AL$3&amp;"-"&amp;313&amp;"A")+COUNTIF(車両台帳!$BD$57:$BD$2056,AL$3&amp;"-"&amp;323&amp;"A"))</f>
        <v/>
      </c>
      <c r="AM24" s="725" t="str">
        <f>IF(COUNTA(車両台帳!$C$57:$C$2056)=0,"",COUNTIF(車両台帳!$BD$57:$BD$2056,AM$3&amp;"-"&amp;313&amp;"A")+COUNTIF(車両台帳!$BD$57:$BD$2056,AM$3&amp;"-"&amp;323&amp;"A"))</f>
        <v/>
      </c>
      <c r="AN24" s="725" t="str">
        <f>IF(COUNTA(車両台帳!$C$57:$C$2056)=0,"",COUNTIF(車両台帳!$BD$57:$BD$2056,AN$3&amp;"-"&amp;313&amp;"A")+COUNTIF(車両台帳!$BD$57:$BD$2056,AN$3&amp;"-"&amp;323&amp;"A"))</f>
        <v/>
      </c>
      <c r="AO24" s="725" t="str">
        <f>IF(COUNTA(車両台帳!$C$57:$C$2056)=0,"",COUNTIF(車両台帳!$BD$57:$BD$2056,AO$3&amp;"-"&amp;313&amp;"A")+COUNTIF(車両台帳!$BD$57:$BD$2056,AO$3&amp;"-"&amp;323&amp;"A"))</f>
        <v/>
      </c>
      <c r="AP24" s="725" t="str">
        <f>IF(COUNTA(車両台帳!$C$57:$C$2056)=0,"",COUNTIF(車両台帳!$BD$57:$BD$2056,AP$3&amp;"-"&amp;313&amp;"A")+COUNTIF(車両台帳!$BD$57:$BD$2056,AP$3&amp;"-"&amp;323&amp;"A"))</f>
        <v/>
      </c>
      <c r="AQ24" s="725" t="str">
        <f>IF(COUNTA(車両台帳!$C$57:$C$2056)=0,"",COUNTIF(車両台帳!$BD$57:$BD$2056,AQ$3&amp;"-"&amp;313&amp;"A")+COUNTIF(車両台帳!$BD$57:$BD$2056,AQ$3&amp;"-"&amp;323&amp;"A"))</f>
        <v/>
      </c>
      <c r="AR24" s="725" t="str">
        <f>IF(COUNTA(車両台帳!$C$57:$C$2056)=0,"",COUNTIF(車両台帳!$BD$57:$BD$2056,AR$3&amp;"-"&amp;313&amp;"A")+COUNTIF(車両台帳!$BD$57:$BD$2056,AR$3&amp;"-"&amp;323&amp;"A"))</f>
        <v/>
      </c>
      <c r="AS24" s="725" t="str">
        <f>IF(COUNTA(車両台帳!$C$57:$C$2056)=0,"",COUNTIF(車両台帳!$BD$57:$BD$2056,AS$3&amp;"-"&amp;313&amp;"A")+COUNTIF(車両台帳!$BD$57:$BD$2056,AS$3&amp;"-"&amp;323&amp;"A"))</f>
        <v/>
      </c>
      <c r="AT24" s="725" t="str">
        <f>IF(COUNTA(車両台帳!$C$57:$C$2056)=0,"",COUNTIF(車両台帳!$BD$57:$BD$2056,AT$3&amp;"-"&amp;313&amp;"A")+COUNTIF(車両台帳!$BD$57:$BD$2056,AT$3&amp;"-"&amp;323&amp;"A"))</f>
        <v/>
      </c>
      <c r="AU24" s="725" t="str">
        <f>IF(COUNTA(車両台帳!$C$57:$C$2056)=0,"",COUNTIF(車両台帳!$BD$57:$BD$2056,AU$3&amp;"-"&amp;313&amp;"A")+COUNTIF(車両台帳!$BD$57:$BD$2056,AU$3&amp;"-"&amp;323&amp;"A"))</f>
        <v/>
      </c>
      <c r="AV24" s="725" t="str">
        <f>IF(COUNTA(車両台帳!$C$57:$C$2056)=0,"",COUNTIF(車両台帳!$BD$57:$BD$2056,AV$3&amp;"-"&amp;313&amp;"A")+COUNTIF(車両台帳!$BD$57:$BD$2056,AV$3&amp;"-"&amp;323&amp;"A"))</f>
        <v/>
      </c>
      <c r="AW24" s="725" t="str">
        <f>IF(COUNTA(車両台帳!$C$57:$C$2056)=0,"",COUNTIF(車両台帳!$BD$57:$BD$2056,AW$3&amp;"-"&amp;313&amp;"A")+COUNTIF(車両台帳!$BD$57:$BD$2056,AW$3&amp;"-"&amp;323&amp;"A"))</f>
        <v/>
      </c>
      <c r="AX24" s="725" t="str">
        <f>IF(COUNTA(車両台帳!$C$57:$C$2056)=0,"",COUNTIF(車両台帳!$BD$57:$BD$2056,AX$3&amp;"-"&amp;313&amp;"A")+COUNTIF(車両台帳!$BD$57:$BD$2056,AX$3&amp;"-"&amp;323&amp;"A"))</f>
        <v/>
      </c>
      <c r="AY24" s="725" t="str">
        <f>IF(COUNTA(車両台帳!$C$57:$C$2056)=0,"",COUNTIF(車両台帳!$BD$57:$BD$2056,AY$3&amp;"-"&amp;313&amp;"A")+COUNTIF(車両台帳!$BD$57:$BD$2056,AY$3&amp;"-"&amp;323&amp;"A"))</f>
        <v/>
      </c>
      <c r="AZ24" s="725" t="str">
        <f>IF(COUNTA(車両台帳!$C$57:$C$2056)=0,"",COUNTIF(車両台帳!$BD$57:$BD$2056,AZ$3&amp;"-"&amp;313&amp;"A")+COUNTIF(車両台帳!$BD$57:$BD$2056,AZ$3&amp;"-"&amp;323&amp;"A"))</f>
        <v/>
      </c>
      <c r="BA24" s="725" t="str">
        <f>IF(COUNTA(車両台帳!$C$57:$C$2056)=0,"",COUNTIF(車両台帳!$BD$57:$BD$2056,BA$3&amp;"-"&amp;313&amp;"A")+COUNTIF(車両台帳!$BD$57:$BD$2056,BA$3&amp;"-"&amp;323&amp;"A"))</f>
        <v/>
      </c>
      <c r="BB24" s="725" t="str">
        <f>IF(COUNTA(車両台帳!$C$57:$C$2056)=0,"",COUNTIF(車両台帳!$BD$57:$BD$2056,BB$3&amp;"-"&amp;313&amp;"A")+COUNTIF(車両台帳!$BD$57:$BD$2056,BB$3&amp;"-"&amp;323&amp;"A"))</f>
        <v/>
      </c>
      <c r="BC24" s="725" t="str">
        <f>IF(COUNTA(車両台帳!$C$57:$C$2056)=0,"",COUNTIF(車両台帳!$BD$57:$BD$2056,BC$3&amp;"-"&amp;313&amp;"A")+COUNTIF(車両台帳!$BD$57:$BD$2056,BC$3&amp;"-"&amp;323&amp;"A"))</f>
        <v/>
      </c>
      <c r="BD24" s="725" t="str">
        <f>IF(COUNTA(車両台帳!$C$57:$C$2056)=0,"",COUNTIF(車両台帳!$BD$57:$BD$2056,BD$3&amp;"-"&amp;313&amp;"A")+COUNTIF(車両台帳!$BD$57:$BD$2056,BD$3&amp;"-"&amp;323&amp;"A"))</f>
        <v/>
      </c>
      <c r="BE24" s="725" t="str">
        <f>IF(COUNTA(車両台帳!$C$57:$C$2056)=0,"",COUNTIF(車両台帳!$BD$57:$BD$2056,BE$3&amp;"-"&amp;313&amp;"A")+COUNTIF(車両台帳!$BD$57:$BD$2056,BE$3&amp;"-"&amp;323&amp;"A"))</f>
        <v/>
      </c>
      <c r="BF24" s="725" t="str">
        <f>IF(COUNTA(車両台帳!$C$57:$C$2056)=0,"",COUNTIF(車両台帳!$BD$57:$BD$2056,BF$3&amp;"-"&amp;313&amp;"A")+COUNTIF(車両台帳!$BD$57:$BD$2056,BF$3&amp;"-"&amp;323&amp;"A"))</f>
        <v/>
      </c>
      <c r="BG24" s="725" t="str">
        <f>IF(COUNTA(車両台帳!$C$57:$C$2056)=0,"",COUNTIF(車両台帳!$BD$57:$BD$2056,BG$3&amp;"-"&amp;313&amp;"A")+COUNTIF(車両台帳!$BD$57:$BD$2056,BG$3&amp;"-"&amp;323&amp;"A"))</f>
        <v/>
      </c>
      <c r="BH24" s="725" t="str">
        <f>IF(COUNTA(車両台帳!$C$57:$C$2056)=0,"",COUNTIF(車両台帳!$BD$57:$BD$2056,BH$3&amp;"-"&amp;313&amp;"A")+COUNTIF(車両台帳!$BD$57:$BD$2056,BH$3&amp;"-"&amp;323&amp;"A"))</f>
        <v/>
      </c>
      <c r="BI24" s="725" t="str">
        <f>IF(COUNTA(車両台帳!$C$57:$C$2056)=0,"",COUNTIF(車両台帳!$BD$57:$BD$2056,BI$3&amp;"-"&amp;313&amp;"A")+COUNTIF(車両台帳!$BD$57:$BD$2056,BI$3&amp;"-"&amp;323&amp;"A"))</f>
        <v/>
      </c>
      <c r="BJ24" s="725" t="str">
        <f>IF(COUNTA(車両台帳!$C$57:$C$2056)=0,"",COUNTIF(車両台帳!$BD$57:$BD$2056,BJ$3&amp;"-"&amp;313&amp;"A")+COUNTIF(車両台帳!$BD$57:$BD$2056,BJ$3&amp;"-"&amp;323&amp;"A"))</f>
        <v/>
      </c>
      <c r="BK24" s="725" t="str">
        <f>IF(COUNTA(車両台帳!$C$57:$C$2056)=0,"",COUNTIF(車両台帳!$BD$57:$BD$2056,BK$3&amp;"-"&amp;313&amp;"A")+COUNTIF(車両台帳!$BD$57:$BD$2056,BK$3&amp;"-"&amp;323&amp;"A"))</f>
        <v/>
      </c>
      <c r="BL24" s="725" t="str">
        <f>IF(COUNTA(車両台帳!$C$57:$C$2056)=0,"",COUNTIF(車両台帳!$BD$57:$BD$2056,BL$3&amp;"-"&amp;313&amp;"A")+COUNTIF(車両台帳!$BD$57:$BD$2056,BL$3&amp;"-"&amp;323&amp;"A"))</f>
        <v/>
      </c>
      <c r="BM24" s="725" t="str">
        <f>IF(COUNTA(車両台帳!$C$57:$C$2056)=0,"",COUNTIF(車両台帳!$BD$57:$BD$2056,BM$3&amp;"-"&amp;313&amp;"A")+COUNTIF(車両台帳!$BD$57:$BD$2056,BM$3&amp;"-"&amp;323&amp;"A"))</f>
        <v/>
      </c>
      <c r="BN24" s="725" t="str">
        <f>IF(COUNTA(車両台帳!$C$57:$C$2056)=0,"",COUNTIF(車両台帳!$BD$57:$BD$2056,BN$3&amp;"-"&amp;313&amp;"A")+COUNTIF(車両台帳!$BD$57:$BD$2056,BN$3&amp;"-"&amp;323&amp;"A"))</f>
        <v/>
      </c>
      <c r="BO24" s="725" t="str">
        <f>IF(COUNTA(車両台帳!$C$57:$C$2056)=0,"",COUNTIF(車両台帳!$BD$57:$BD$2056,BO$3&amp;"-"&amp;313&amp;"A")+COUNTIF(車両台帳!$BD$57:$BD$2056,BO$3&amp;"-"&amp;323&amp;"A"))</f>
        <v/>
      </c>
      <c r="BP24" s="725" t="str">
        <f>IF(COUNTA(車両台帳!$C$57:$C$2056)=0,"",COUNTIF(車両台帳!$BD$57:$BD$2056,BP$3&amp;"-"&amp;313&amp;"A")+COUNTIF(車両台帳!$BD$57:$BD$2056,BP$3&amp;"-"&amp;323&amp;"A"))</f>
        <v/>
      </c>
      <c r="BQ24" s="725" t="str">
        <f>IF(COUNTA(車両台帳!$C$57:$C$2056)=0,"",COUNTIF(車両台帳!$BD$57:$BD$2056,BQ$3&amp;"-"&amp;313&amp;"A")+COUNTIF(車両台帳!$BD$57:$BD$2056,BQ$3&amp;"-"&amp;323&amp;"A"))</f>
        <v/>
      </c>
      <c r="BR24" s="725" t="str">
        <f>IF(COUNTA(車両台帳!$C$57:$C$2056)=0,"",COUNTIF(車両台帳!$BD$57:$BD$2056,BR$3&amp;"-"&amp;313&amp;"A")+COUNTIF(車両台帳!$BD$57:$BD$2056,BR$3&amp;"-"&amp;323&amp;"A"))</f>
        <v/>
      </c>
      <c r="BS24" s="725" t="str">
        <f>IF(COUNTA(車両台帳!$C$57:$C$2056)=0,"",COUNTIF(車両台帳!$BD$57:$BD$2056,BS$3&amp;"-"&amp;313&amp;"A")+COUNTIF(車両台帳!$BD$57:$BD$2056,BS$3&amp;"-"&amp;323&amp;"A"))</f>
        <v/>
      </c>
      <c r="BT24" s="725" t="str">
        <f>IF(COUNTA(車両台帳!$C$57:$C$2056)=0,"",COUNTIF(車両台帳!$BD$57:$BD$2056,BT$3&amp;"-"&amp;313&amp;"A")+COUNTIF(車両台帳!$BD$57:$BD$2056,BT$3&amp;"-"&amp;323&amp;"A"))</f>
        <v/>
      </c>
      <c r="BU24" s="725" t="str">
        <f>IF(COUNTA(車両台帳!$C$57:$C$2056)=0,"",COUNTIF(車両台帳!$BD$57:$BD$2056,BU$3&amp;"-"&amp;313&amp;"A")+COUNTIF(車両台帳!$BD$57:$BD$2056,BU$3&amp;"-"&amp;323&amp;"A"))</f>
        <v/>
      </c>
      <c r="BV24" s="725" t="str">
        <f>IF(COUNTA(車両台帳!$C$57:$C$2056)=0,"",COUNTIF(車両台帳!$BD$57:$BD$2056,BV$3&amp;"-"&amp;313&amp;"A")+COUNTIF(車両台帳!$BD$57:$BD$2056,BV$3&amp;"-"&amp;323&amp;"A"))</f>
        <v/>
      </c>
      <c r="BW24" s="725" t="str">
        <f>IF(COUNTA(車両台帳!$C$57:$C$2056)=0,"",COUNTIF(車両台帳!$BD$57:$BD$2056,BW$3&amp;"-"&amp;313&amp;"A")+COUNTIF(車両台帳!$BD$57:$BD$2056,BW$3&amp;"-"&amp;323&amp;"A"))</f>
        <v/>
      </c>
      <c r="BX24" s="725" t="str">
        <f>IF(COUNTA(車両台帳!$C$57:$C$2056)=0,"",COUNTIF(車両台帳!$BD$57:$BD$2056,BX$3&amp;"-"&amp;313&amp;"A")+COUNTIF(車両台帳!$BD$57:$BD$2056,BX$3&amp;"-"&amp;323&amp;"A"))</f>
        <v/>
      </c>
      <c r="BY24" s="725" t="str">
        <f>IF(COUNTA(車両台帳!$C$57:$C$2056)=0,"",COUNTIF(車両台帳!$BD$57:$BD$2056,BY$3&amp;"-"&amp;313&amp;"A")+COUNTIF(車両台帳!$BD$57:$BD$2056,BY$3&amp;"-"&amp;323&amp;"A"))</f>
        <v/>
      </c>
      <c r="BZ24" s="725" t="str">
        <f>IF(COUNTA(車両台帳!$C$57:$C$2056)=0,"",COUNTIF(車両台帳!$BD$57:$BD$2056,BZ$3&amp;"-"&amp;313&amp;"A")+COUNTIF(車両台帳!$BD$57:$BD$2056,BZ$3&amp;"-"&amp;323&amp;"A"))</f>
        <v/>
      </c>
      <c r="CA24" s="725" t="str">
        <f>IF(COUNTA(車両台帳!$C$57:$C$2056)=0,"",COUNTIF(車両台帳!$BD$57:$BD$2056,CA$3&amp;"-"&amp;313&amp;"A")+COUNTIF(車両台帳!$BD$57:$BD$2056,CA$3&amp;"-"&amp;323&amp;"A"))</f>
        <v/>
      </c>
      <c r="CB24" s="725" t="str">
        <f>IF(COUNTA(車両台帳!$C$57:$C$2056)=0,"",COUNTIF(車両台帳!$BD$57:$BD$2056,CB$3&amp;"-"&amp;313&amp;"A")+COUNTIF(車両台帳!$BD$57:$BD$2056,CB$3&amp;"-"&amp;323&amp;"A"))</f>
        <v/>
      </c>
      <c r="CC24" s="725" t="str">
        <f>IF(COUNTA(車両台帳!$C$57:$C$2056)=0,"",COUNTIF(車両台帳!$BD$57:$BD$2056,CC$3&amp;"-"&amp;313&amp;"A")+COUNTIF(車両台帳!$BD$57:$BD$2056,CC$3&amp;"-"&amp;323&amp;"A"))</f>
        <v/>
      </c>
      <c r="CD24" s="725" t="str">
        <f>IF(COUNTA(車両台帳!$C$57:$C$2056)=0,"",COUNTIF(車両台帳!$BD$57:$BD$2056,CD$3&amp;"-"&amp;313&amp;"A")+COUNTIF(車両台帳!$BD$57:$BD$2056,CD$3&amp;"-"&amp;323&amp;"A"))</f>
        <v/>
      </c>
      <c r="CE24" s="725" t="str">
        <f>IF(COUNTA(車両台帳!$C$57:$C$2056)=0,"",COUNTIF(車両台帳!$BD$57:$BD$2056,CE$3&amp;"-"&amp;313&amp;"A")+COUNTIF(車両台帳!$BD$57:$BD$2056,CE$3&amp;"-"&amp;323&amp;"A"))</f>
        <v/>
      </c>
      <c r="CF24" s="725" t="str">
        <f>IF(COUNTA(車両台帳!$C$57:$C$2056)=0,"",COUNTIF(車両台帳!$BD$57:$BD$2056,CF$3&amp;"-"&amp;313&amp;"A")+COUNTIF(車両台帳!$BD$57:$BD$2056,CF$3&amp;"-"&amp;323&amp;"A"))</f>
        <v/>
      </c>
      <c r="CG24" s="725" t="str">
        <f>IF(COUNTA(車両台帳!$C$57:$C$2056)=0,"",COUNTIF(車両台帳!$BD$57:$BD$2056,CG$3&amp;"-"&amp;313&amp;"A")+COUNTIF(車両台帳!$BD$57:$BD$2056,CG$3&amp;"-"&amp;323&amp;"A"))</f>
        <v/>
      </c>
      <c r="CH24" s="725" t="str">
        <f>IF(COUNTA(車両台帳!$C$57:$C$2056)=0,"",COUNTIF(車両台帳!$BD$57:$BD$2056,CH$3&amp;"-"&amp;313&amp;"A")+COUNTIF(車両台帳!$BD$57:$BD$2056,CH$3&amp;"-"&amp;323&amp;"A"))</f>
        <v/>
      </c>
      <c r="CI24" s="725" t="str">
        <f>IF(COUNTA(車両台帳!$C$57:$C$2056)=0,"",COUNTIF(車両台帳!$BD$57:$BD$2056,CI$3&amp;"-"&amp;313&amp;"A")+COUNTIF(車両台帳!$BD$57:$BD$2056,CI$3&amp;"-"&amp;323&amp;"A"))</f>
        <v/>
      </c>
      <c r="CJ24" s="725" t="str">
        <f>IF(COUNTA(車両台帳!$C$57:$C$2056)=0,"",COUNTIF(車両台帳!$BD$57:$BD$2056,CJ$3&amp;"-"&amp;313&amp;"A")+COUNTIF(車両台帳!$BD$57:$BD$2056,CJ$3&amp;"-"&amp;323&amp;"A"))</f>
        <v/>
      </c>
      <c r="CK24" s="725" t="str">
        <f>IF(COUNTA(車両台帳!$C$57:$C$2056)=0,"",COUNTIF(車両台帳!$BD$57:$BD$2056,CK$3&amp;"-"&amp;313&amp;"A")+COUNTIF(車両台帳!$BD$57:$BD$2056,CK$3&amp;"-"&amp;323&amp;"A"))</f>
        <v/>
      </c>
      <c r="CL24" s="725" t="str">
        <f>IF(COUNTA(車両台帳!$C$57:$C$2056)=0,"",COUNTIF(車両台帳!$BD$57:$BD$2056,CL$3&amp;"-"&amp;313&amp;"A")+COUNTIF(車両台帳!$BD$57:$BD$2056,CL$3&amp;"-"&amp;323&amp;"A"))</f>
        <v/>
      </c>
      <c r="CM24" s="725" t="str">
        <f>IF(COUNTA(車両台帳!$C$57:$C$2056)=0,"",COUNTIF(車両台帳!$BD$57:$BD$2056,CM$3&amp;"-"&amp;313&amp;"A")+COUNTIF(車両台帳!$BD$57:$BD$2056,CM$3&amp;"-"&amp;323&amp;"A"))</f>
        <v/>
      </c>
      <c r="CN24" s="725" t="str">
        <f>IF(COUNTA(車両台帳!$C$57:$C$2056)=0,"",COUNTIF(車両台帳!$BD$57:$BD$2056,CN$3&amp;"-"&amp;313&amp;"A")+COUNTIF(車両台帳!$BD$57:$BD$2056,CN$3&amp;"-"&amp;323&amp;"A"))</f>
        <v/>
      </c>
      <c r="CO24" s="725" t="str">
        <f>IF(COUNTA(車両台帳!$C$57:$C$2056)=0,"",COUNTIF(車両台帳!$BD$57:$BD$2056,CO$3&amp;"-"&amp;313&amp;"A")+COUNTIF(車両台帳!$BD$57:$BD$2056,CO$3&amp;"-"&amp;323&amp;"A"))</f>
        <v/>
      </c>
      <c r="CP24" s="725" t="str">
        <f>IF(COUNTA(車両台帳!$C$57:$C$2056)=0,"",COUNTIF(車両台帳!$BD$57:$BD$2056,CP$3&amp;"-"&amp;313&amp;"A")+COUNTIF(車両台帳!$BD$57:$BD$2056,CP$3&amp;"-"&amp;323&amp;"A"))</f>
        <v/>
      </c>
      <c r="CQ24" s="725" t="str">
        <f>IF(COUNTA(車両台帳!$C$57:$C$2056)=0,"",COUNTIF(車両台帳!$BD$57:$BD$2056,CQ$3&amp;"-"&amp;313&amp;"A")+COUNTIF(車両台帳!$BD$57:$BD$2056,CQ$3&amp;"-"&amp;323&amp;"A"))</f>
        <v/>
      </c>
      <c r="CR24" s="725" t="str">
        <f>IF(COUNTA(車両台帳!$C$57:$C$2056)=0,"",COUNTIF(車両台帳!$BD$57:$BD$2056,CR$3&amp;"-"&amp;313&amp;"A")+COUNTIF(車両台帳!$BD$57:$BD$2056,CR$3&amp;"-"&amp;323&amp;"A"))</f>
        <v/>
      </c>
      <c r="CS24" s="725" t="str">
        <f>IF(COUNTA(車両台帳!$C$57:$C$2056)=0,"",COUNTIF(車両台帳!$BD$57:$BD$2056,CS$3&amp;"-"&amp;313&amp;"A")+COUNTIF(車両台帳!$BD$57:$BD$2056,CS$3&amp;"-"&amp;323&amp;"A"))</f>
        <v/>
      </c>
      <c r="CT24" s="725" t="str">
        <f>IF(COUNTA(車両台帳!$C$57:$C$2056)=0,"",COUNTIF(車両台帳!$BD$57:$BD$2056,CT$3&amp;"-"&amp;313&amp;"A")+COUNTIF(車両台帳!$BD$57:$BD$2056,CT$3&amp;"-"&amp;323&amp;"A"))</f>
        <v/>
      </c>
      <c r="CU24" s="725" t="str">
        <f>IF(COUNTA(車両台帳!$C$57:$C$2056)=0,"",COUNTIF(車両台帳!$BD$57:$BD$2056,CU$3&amp;"-"&amp;313&amp;"A")+COUNTIF(車両台帳!$BD$57:$BD$2056,CU$3&amp;"-"&amp;323&amp;"A"))</f>
        <v/>
      </c>
      <c r="CV24" s="725" t="str">
        <f>IF(COUNTA(車両台帳!$C$57:$C$2056)=0,"",COUNTIF(車両台帳!$BD$57:$BD$2056,CV$3&amp;"-"&amp;313&amp;"A")+COUNTIF(車両台帳!$BD$57:$BD$2056,CV$3&amp;"-"&amp;323&amp;"A"))</f>
        <v/>
      </c>
      <c r="CW24" s="725" t="str">
        <f>IF(COUNTA(車両台帳!$C$57:$C$2056)=0,"",COUNTIF(車両台帳!$BD$57:$BD$2056,CW$3&amp;"-"&amp;313&amp;"A")+COUNTIF(車両台帳!$BD$57:$BD$2056,CW$3&amp;"-"&amp;323&amp;"A"))</f>
        <v/>
      </c>
      <c r="CX24" s="725" t="str">
        <f>IF(COUNTA(車両台帳!$C$57:$C$2056)=0,"",COUNTIF(車両台帳!$BD$57:$BD$2056,CX$3&amp;"-"&amp;313&amp;"A")+COUNTIF(車両台帳!$BD$57:$BD$2056,CX$3&amp;"-"&amp;323&amp;"A"))</f>
        <v/>
      </c>
      <c r="CY24" s="725" t="str">
        <f>IF(COUNTA(車両台帳!$C$57:$C$2056)=0,"",COUNTIF(車両台帳!$BD$57:$BD$2056,CY$3&amp;"-"&amp;313&amp;"A")+COUNTIF(車両台帳!$BD$57:$BD$2056,CY$3&amp;"-"&amp;323&amp;"A"))</f>
        <v/>
      </c>
      <c r="CZ24" s="725" t="str">
        <f>IF(COUNTA(車両台帳!$C$57:$C$2056)=0,"",COUNTIF(車両台帳!$BD$57:$BD$2056,CZ$3&amp;"-"&amp;313&amp;"A")+COUNTIF(車両台帳!$BD$57:$BD$2056,CZ$3&amp;"-"&amp;323&amp;"A"))</f>
        <v/>
      </c>
      <c r="DA24" s="725" t="str">
        <f>IF(COUNTA(車両台帳!$C$57:$C$2056)=0,"",COUNTIF(車両台帳!$BD$57:$BD$2056,DA$3&amp;"-"&amp;313&amp;"A")+COUNTIF(車両台帳!$BD$57:$BD$2056,DA$3&amp;"-"&amp;323&amp;"A"))</f>
        <v/>
      </c>
      <c r="DB24" s="725" t="str">
        <f>IF(COUNTA(車両台帳!$C$57:$C$2056)=0,"",COUNTIF(車両台帳!$BD$57:$BD$2056,DB$3&amp;"-"&amp;313&amp;"A")+COUNTIF(車両台帳!$BD$57:$BD$2056,DB$3&amp;"-"&amp;323&amp;"A"))</f>
        <v/>
      </c>
      <c r="DC24" s="725" t="str">
        <f>IF(COUNTA(車両台帳!$C$57:$C$2056)=0,"",COUNTIF(車両台帳!$BD$57:$BD$2056,DC$3&amp;"-"&amp;313&amp;"A")+COUNTIF(車両台帳!$BD$57:$BD$2056,DC$3&amp;"-"&amp;323&amp;"A"))</f>
        <v/>
      </c>
      <c r="DD24" s="725" t="str">
        <f>IF(COUNTA(車両台帳!$C$57:$C$2056)=0,"",COUNTIF(車両台帳!$BD$57:$BD$2056,DD$3&amp;"-"&amp;313&amp;"A")+COUNTIF(車両台帳!$BD$57:$BD$2056,DD$3&amp;"-"&amp;323&amp;"A"))</f>
        <v/>
      </c>
      <c r="DE24" s="725" t="str">
        <f>IF(COUNTA(車両台帳!$C$57:$C$2056)=0,"",COUNTIF(車両台帳!$BD$57:$BD$2056,DE$3&amp;"-"&amp;313&amp;"A")+COUNTIF(車両台帳!$BD$57:$BD$2056,DE$3&amp;"-"&amp;323&amp;"A"))</f>
        <v/>
      </c>
      <c r="DF24" s="725" t="str">
        <f>IF(COUNTA(車両台帳!$C$57:$C$2056)=0,"",COUNTIF(車両台帳!$BD$57:$BD$2056,DF$3&amp;"-"&amp;313&amp;"A")+COUNTIF(車両台帳!$BD$57:$BD$2056,DF$3&amp;"-"&amp;323&amp;"A"))</f>
        <v/>
      </c>
      <c r="DG24" s="725" t="str">
        <f>IF(COUNTA(車両台帳!$C$57:$C$2056)=0,"",COUNTIF(車両台帳!$BD$57:$BD$2056,DG$3&amp;"-"&amp;313&amp;"A")+COUNTIF(車両台帳!$BD$57:$BD$2056,DG$3&amp;"-"&amp;323&amp;"A"))</f>
        <v/>
      </c>
      <c r="DH24" s="725" t="str">
        <f>IF(COUNTA(車両台帳!$C$57:$C$2056)=0,"",COUNTIF(車両台帳!$BD$57:$BD$2056,DH$3&amp;"-"&amp;313&amp;"A")+COUNTIF(車両台帳!$BD$57:$BD$2056,DH$3&amp;"-"&amp;323&amp;"A"))</f>
        <v/>
      </c>
      <c r="DI24" s="725" t="str">
        <f>IF(COUNTA(車両台帳!$C$57:$C$2056)=0,"",COUNTIF(車両台帳!$BD$57:$BD$2056,DI$3&amp;"-"&amp;313&amp;"A")+COUNTIF(車両台帳!$BD$57:$BD$2056,DI$3&amp;"-"&amp;323&amp;"A"))</f>
        <v/>
      </c>
      <c r="DJ24" s="725" t="str">
        <f>IF(COUNTA(車両台帳!$C$57:$C$2056)=0,"",COUNTIF(車両台帳!$BD$57:$BD$2056,DJ$3&amp;"-"&amp;313&amp;"A")+COUNTIF(車両台帳!$BD$57:$BD$2056,DJ$3&amp;"-"&amp;323&amp;"A"))</f>
        <v/>
      </c>
      <c r="DK24" s="725" t="str">
        <f>IF(COUNTA(車両台帳!$C$57:$C$2056)=0,"",COUNTIF(車両台帳!$BD$57:$BD$2056,DK$3&amp;"-"&amp;313&amp;"A")+COUNTIF(車両台帳!$BD$57:$BD$2056,DK$3&amp;"-"&amp;323&amp;"A"))</f>
        <v/>
      </c>
      <c r="DL24" s="725" t="str">
        <f>IF(COUNTA(車両台帳!$C$57:$C$2056)=0,"",COUNTIF(車両台帳!$BD$57:$BD$2056,DL$3&amp;"-"&amp;313&amp;"A")+COUNTIF(車両台帳!$BD$57:$BD$2056,DL$3&amp;"-"&amp;323&amp;"A"))</f>
        <v/>
      </c>
      <c r="DM24" s="725" t="str">
        <f>IF(COUNTA(車両台帳!$C$57:$C$2056)=0,"",COUNTIF(車両台帳!$BD$57:$BD$2056,DM$3&amp;"-"&amp;313&amp;"A")+COUNTIF(車両台帳!$BD$57:$BD$2056,DM$3&amp;"-"&amp;323&amp;"A"))</f>
        <v/>
      </c>
      <c r="DN24" s="725" t="str">
        <f>IF(COUNTA(車両台帳!$C$57:$C$2056)=0,"",COUNTIF(車両台帳!$BD$57:$BD$2056,DN$3&amp;"-"&amp;313&amp;"A")+COUNTIF(車両台帳!$BD$57:$BD$2056,DN$3&amp;"-"&amp;323&amp;"A"))</f>
        <v/>
      </c>
      <c r="DO24" s="725" t="str">
        <f>IF(COUNTA(車両台帳!$C$57:$C$2056)=0,"",COUNTIF(車両台帳!$BD$57:$BD$2056,DO$3&amp;"-"&amp;313&amp;"A")+COUNTIF(車両台帳!$BD$57:$BD$2056,DO$3&amp;"-"&amp;323&amp;"A"))</f>
        <v/>
      </c>
      <c r="DP24" s="725" t="str">
        <f>IF(COUNTA(車両台帳!$C$57:$C$2056)=0,"",COUNTIF(車両台帳!$BD$57:$BD$2056,DP$3&amp;"-"&amp;313&amp;"A")+COUNTIF(車両台帳!$BD$57:$BD$2056,DP$3&amp;"-"&amp;323&amp;"A"))</f>
        <v/>
      </c>
      <c r="DQ24" s="725" t="str">
        <f>IF(COUNTA(車両台帳!$C$57:$C$2056)=0,"",COUNTIF(車両台帳!$BD$57:$BD$2056,DQ$3&amp;"-"&amp;313&amp;"A")+COUNTIF(車両台帳!$BD$57:$BD$2056,DQ$3&amp;"-"&amp;323&amp;"A"))</f>
        <v/>
      </c>
      <c r="DR24" s="725" t="str">
        <f>IF(COUNTA(車両台帳!$C$57:$C$2056)=0,"",COUNTIF(車両台帳!$BD$57:$BD$2056,DR$3&amp;"-"&amp;313&amp;"A")+COUNTIF(車両台帳!$BD$57:$BD$2056,DR$3&amp;"-"&amp;323&amp;"A"))</f>
        <v/>
      </c>
      <c r="DS24" s="725" t="str">
        <f>IF(COUNTA(車両台帳!$C$57:$C$2056)=0,"",COUNTIF(車両台帳!$BD$57:$BD$2056,DS$3&amp;"-"&amp;313&amp;"A")+COUNTIF(車両台帳!$BD$57:$BD$2056,DS$3&amp;"-"&amp;323&amp;"A"))</f>
        <v/>
      </c>
      <c r="DT24" s="725" t="str">
        <f>IF(COUNTA(車両台帳!$C$57:$C$2056)=0,"",COUNTIF(車両台帳!$BD$57:$BD$2056,DT$3&amp;"-"&amp;313&amp;"A")+COUNTIF(車両台帳!$BD$57:$BD$2056,DT$3&amp;"-"&amp;323&amp;"A"))</f>
        <v/>
      </c>
      <c r="DU24" s="725" t="str">
        <f>IF(COUNTA(車両台帳!$C$57:$C$2056)=0,"",COUNTIF(車両台帳!$BD$57:$BD$2056,DU$3&amp;"-"&amp;313&amp;"A")+COUNTIF(車両台帳!$BD$57:$BD$2056,DU$3&amp;"-"&amp;323&amp;"A"))</f>
        <v/>
      </c>
      <c r="DV24" s="725" t="str">
        <f>IF(COUNTA(車両台帳!$C$57:$C$2056)=0,"",COUNTIF(車両台帳!$BD$57:$BD$2056,DV$3&amp;"-"&amp;313&amp;"A")+COUNTIF(車両台帳!$BD$57:$BD$2056,DV$3&amp;"-"&amp;323&amp;"A"))</f>
        <v/>
      </c>
      <c r="DW24" s="725" t="str">
        <f>IF(COUNTA(車両台帳!$C$57:$C$2056)=0,"",COUNTIF(車両台帳!$BD$57:$BD$2056,DW$3&amp;"-"&amp;313&amp;"A")+COUNTIF(車両台帳!$BD$57:$BD$2056,DW$3&amp;"-"&amp;323&amp;"A"))</f>
        <v/>
      </c>
      <c r="DX24" s="725" t="str">
        <f>IF(COUNTA(車両台帳!$C$57:$C$2056)=0,"",COUNTIF(車両台帳!$BD$57:$BD$2056,DX$3&amp;"-"&amp;313&amp;"A")+COUNTIF(車両台帳!$BD$57:$BD$2056,DX$3&amp;"-"&amp;323&amp;"A"))</f>
        <v/>
      </c>
      <c r="DY24" s="725" t="str">
        <f>IF(COUNTA(車両台帳!$C$57:$C$2056)=0,"",COUNTIF(車両台帳!$BD$57:$BD$2056,DY$3&amp;"-"&amp;313&amp;"A")+COUNTIF(車両台帳!$BD$57:$BD$2056,DY$3&amp;"-"&amp;323&amp;"A"))</f>
        <v/>
      </c>
      <c r="DZ24" s="725" t="str">
        <f>IF(COUNTA(車両台帳!$C$57:$C$2056)=0,"",COUNTIF(車両台帳!$BD$57:$BD$2056,DZ$3&amp;"-"&amp;313&amp;"A")+COUNTIF(車両台帳!$BD$57:$BD$2056,DZ$3&amp;"-"&amp;323&amp;"A"))</f>
        <v/>
      </c>
      <c r="EA24" s="725" t="str">
        <f>IF(COUNTA(車両台帳!$C$57:$C$2056)=0,"",COUNTIF(車両台帳!$BD$57:$BD$2056,EA$3&amp;"-"&amp;313&amp;"A")+COUNTIF(車両台帳!$BD$57:$BD$2056,EA$3&amp;"-"&amp;323&amp;"A"))</f>
        <v/>
      </c>
      <c r="EB24" s="725" t="str">
        <f>IF(COUNTA(車両台帳!$C$57:$C$2056)=0,"",COUNTIF(車両台帳!$BD$57:$BD$2056,EB$3&amp;"-"&amp;313&amp;"A")+COUNTIF(車両台帳!$BD$57:$BD$2056,EB$3&amp;"-"&amp;323&amp;"A"))</f>
        <v/>
      </c>
      <c r="EC24" s="725" t="str">
        <f>IF(COUNTA(車両台帳!$C$57:$C$2056)=0,"",COUNTIF(車両台帳!$BD$57:$BD$2056,EC$3&amp;"-"&amp;313&amp;"A")+COUNTIF(車両台帳!$BD$57:$BD$2056,EC$3&amp;"-"&amp;323&amp;"A"))</f>
        <v/>
      </c>
      <c r="ED24" s="725" t="str">
        <f>IF(COUNTA(車両台帳!$C$57:$C$2056)=0,"",COUNTIF(車両台帳!$BD$57:$BD$2056,ED$3&amp;"-"&amp;313&amp;"A")+COUNTIF(車両台帳!$BD$57:$BD$2056,ED$3&amp;"-"&amp;323&amp;"A"))</f>
        <v/>
      </c>
      <c r="EE24" s="725" t="str">
        <f>IF(COUNTA(車両台帳!$C$57:$C$2056)=0,"",COUNTIF(車両台帳!$BD$57:$BD$2056,EE$3&amp;"-"&amp;313&amp;"A")+COUNTIF(車両台帳!$BD$57:$BD$2056,EE$3&amp;"-"&amp;323&amp;"A"))</f>
        <v/>
      </c>
      <c r="EF24" s="725" t="str">
        <f>IF(COUNTA(車両台帳!$C$57:$C$2056)=0,"",COUNTIF(車両台帳!$BD$57:$BD$2056,EF$3&amp;"-"&amp;313&amp;"A")+COUNTIF(車両台帳!$BD$57:$BD$2056,EF$3&amp;"-"&amp;323&amp;"A"))</f>
        <v/>
      </c>
      <c r="EG24" s="725" t="str">
        <f>IF(COUNTA(車両台帳!$C$57:$C$2056)=0,"",COUNTIF(車両台帳!$BD$57:$BD$2056,EG$3&amp;"-"&amp;313&amp;"A")+COUNTIF(車両台帳!$BD$57:$BD$2056,EG$3&amp;"-"&amp;323&amp;"A"))</f>
        <v/>
      </c>
      <c r="EH24" s="725" t="str">
        <f>IF(COUNTA(車両台帳!$C$57:$C$2056)=0,"",COUNTIF(車両台帳!$BD$57:$BD$2056,EH$3&amp;"-"&amp;313&amp;"A")+COUNTIF(車両台帳!$BD$57:$BD$2056,EH$3&amp;"-"&amp;323&amp;"A"))</f>
        <v/>
      </c>
      <c r="EI24" s="725" t="str">
        <f>IF(COUNTA(車両台帳!$C$57:$C$2056)=0,"",COUNTIF(車両台帳!$BD$57:$BD$2056,EI$3&amp;"-"&amp;313&amp;"A")+COUNTIF(車両台帳!$BD$57:$BD$2056,EI$3&amp;"-"&amp;323&amp;"A"))</f>
        <v/>
      </c>
      <c r="EJ24" s="725" t="str">
        <f>IF(COUNTA(車両台帳!$C$57:$C$2056)=0,"",COUNTIF(車両台帳!$BD$57:$BD$2056,EJ$3&amp;"-"&amp;313&amp;"A")+COUNTIF(車両台帳!$BD$57:$BD$2056,EJ$3&amp;"-"&amp;323&amp;"A"))</f>
        <v/>
      </c>
      <c r="EK24" s="725" t="str">
        <f>IF(COUNTA(車両台帳!$C$57:$C$2056)=0,"",COUNTIF(車両台帳!$BD$57:$BD$2056,EK$3&amp;"-"&amp;313&amp;"A")+COUNTIF(車両台帳!$BD$57:$BD$2056,EK$3&amp;"-"&amp;323&amp;"A"))</f>
        <v/>
      </c>
      <c r="EL24" s="725" t="str">
        <f>IF(COUNTA(車両台帳!$C$57:$C$2056)=0,"",COUNTIF(車両台帳!$BD$57:$BD$2056,EL$3&amp;"-"&amp;313&amp;"A")+COUNTIF(車両台帳!$BD$57:$BD$2056,EL$3&amp;"-"&amp;323&amp;"A"))</f>
        <v/>
      </c>
      <c r="EM24" s="725" t="str">
        <f>IF(COUNTA(車両台帳!$C$57:$C$2056)=0,"",COUNTIF(車両台帳!$BD$57:$BD$2056,EM$3&amp;"-"&amp;313&amp;"A")+COUNTIF(車両台帳!$BD$57:$BD$2056,EM$3&amp;"-"&amp;323&amp;"A"))</f>
        <v/>
      </c>
      <c r="EN24" s="725" t="str">
        <f>IF(COUNTA(車両台帳!$C$57:$C$2056)=0,"",COUNTIF(車両台帳!$BD$57:$BD$2056,EN$3&amp;"-"&amp;313&amp;"A")+COUNTIF(車両台帳!$BD$57:$BD$2056,EN$3&amp;"-"&amp;323&amp;"A"))</f>
        <v/>
      </c>
      <c r="EO24" s="725" t="str">
        <f>IF(COUNTA(車両台帳!$C$57:$C$2056)=0,"",COUNTIF(車両台帳!$BD$57:$BD$2056,EO$3&amp;"-"&amp;313&amp;"A")+COUNTIF(車両台帳!$BD$57:$BD$2056,EO$3&amp;"-"&amp;323&amp;"A"))</f>
        <v/>
      </c>
      <c r="EP24" s="725" t="str">
        <f>IF(COUNTA(車両台帳!$C$57:$C$2056)=0,"",COUNTIF(車両台帳!$BD$57:$BD$2056,EP$3&amp;"-"&amp;313&amp;"A")+COUNTIF(車両台帳!$BD$57:$BD$2056,EP$3&amp;"-"&amp;323&amp;"A"))</f>
        <v/>
      </c>
      <c r="EQ24" s="725" t="str">
        <f>IF(COUNTA(車両台帳!$C$57:$C$2056)=0,"",COUNTIF(車両台帳!$BD$57:$BD$2056,EQ$3&amp;"-"&amp;313&amp;"A")+COUNTIF(車両台帳!$BD$57:$BD$2056,EQ$3&amp;"-"&amp;323&amp;"A"))</f>
        <v/>
      </c>
      <c r="ER24" s="725" t="str">
        <f>IF(COUNTA(車両台帳!$C$57:$C$2056)=0,"",COUNTIF(車両台帳!$BD$57:$BD$2056,ER$3&amp;"-"&amp;313&amp;"A")+COUNTIF(車両台帳!$BD$57:$BD$2056,ER$3&amp;"-"&amp;323&amp;"A"))</f>
        <v/>
      </c>
      <c r="ES24" s="725" t="str">
        <f>IF(COUNTA(車両台帳!$C$57:$C$2056)=0,"",COUNTIF(車両台帳!$BD$57:$BD$2056,ES$3&amp;"-"&amp;313&amp;"A")+COUNTIF(車両台帳!$BD$57:$BD$2056,ES$3&amp;"-"&amp;323&amp;"A"))</f>
        <v/>
      </c>
      <c r="ET24" s="725" t="str">
        <f>IF(COUNTA(車両台帳!$C$57:$C$2056)=0,"",COUNTIF(車両台帳!$BD$57:$BD$2056,ET$3&amp;"-"&amp;313&amp;"A")+COUNTIF(車両台帳!$BD$57:$BD$2056,ET$3&amp;"-"&amp;323&amp;"A"))</f>
        <v/>
      </c>
      <c r="EU24" s="725" t="str">
        <f>IF(COUNTA(車両台帳!$C$57:$C$2056)=0,"",COUNTIF(車両台帳!$BD$57:$BD$2056,EU$3&amp;"-"&amp;313&amp;"A")+COUNTIF(車両台帳!$BD$57:$BD$2056,EU$3&amp;"-"&amp;323&amp;"A"))</f>
        <v/>
      </c>
      <c r="EV24" s="725" t="str">
        <f>IF(COUNTA(車両台帳!$C$57:$C$2056)=0,"",COUNTIF(車両台帳!$BD$57:$BD$2056,EV$3&amp;"-"&amp;313&amp;"A")+COUNTIF(車両台帳!$BD$57:$BD$2056,EV$3&amp;"-"&amp;323&amp;"A"))</f>
        <v/>
      </c>
      <c r="EW24" s="725" t="str">
        <f>IF(COUNTA(車両台帳!$C$57:$C$2056)=0,"",COUNTIF(車両台帳!$BD$57:$BD$2056,EW$3&amp;"-"&amp;313&amp;"A")+COUNTIF(車両台帳!$BD$57:$BD$2056,EW$3&amp;"-"&amp;323&amp;"A"))</f>
        <v/>
      </c>
      <c r="EX24" s="725" t="str">
        <f>IF(COUNTA(車両台帳!$C$57:$C$2056)=0,"",COUNTIF(車両台帳!$BD$57:$BD$2056,EX$3&amp;"-"&amp;313&amp;"A")+COUNTIF(車両台帳!$BD$57:$BD$2056,EX$3&amp;"-"&amp;323&amp;"A"))</f>
        <v/>
      </c>
      <c r="EY24" s="725" t="str">
        <f>IF(COUNTA(車両台帳!$C$57:$C$2056)=0,"",COUNTIF(車両台帳!$BD$57:$BD$2056,EY$3&amp;"-"&amp;313&amp;"A")+COUNTIF(車両台帳!$BD$57:$BD$2056,EY$3&amp;"-"&amp;323&amp;"A"))</f>
        <v/>
      </c>
      <c r="EZ24" s="725" t="str">
        <f>IF(COUNTA(車両台帳!$C$57:$C$2056)=0,"",COUNTIF(車両台帳!$BD$57:$BD$2056,EZ$3&amp;"-"&amp;313&amp;"A")+COUNTIF(車両台帳!$BD$57:$BD$2056,EZ$3&amp;"-"&amp;323&amp;"A"))</f>
        <v/>
      </c>
      <c r="FA24" s="725" t="str">
        <f>IF(COUNTA(車両台帳!$C$57:$C$2056)=0,"",COUNTIF(車両台帳!$BD$57:$BD$2056,FA$3&amp;"-"&amp;313&amp;"A")+COUNTIF(車両台帳!$BD$57:$BD$2056,FA$3&amp;"-"&amp;323&amp;"A"))</f>
        <v/>
      </c>
      <c r="FB24" s="725" t="str">
        <f>IF(COUNTA(車両台帳!$C$57:$C$2056)=0,"",COUNTIF(車両台帳!$BD$57:$BD$2056,FB$3&amp;"-"&amp;313&amp;"A")+COUNTIF(車両台帳!$BD$57:$BD$2056,FB$3&amp;"-"&amp;323&amp;"A"))</f>
        <v/>
      </c>
      <c r="FC24" s="725" t="str">
        <f>IF(COUNTA(車両台帳!$C$57:$C$2056)=0,"",COUNTIF(車両台帳!$BD$57:$BD$2056,FC$3&amp;"-"&amp;313&amp;"A")+COUNTIF(車両台帳!$BD$57:$BD$2056,FC$3&amp;"-"&amp;323&amp;"A"))</f>
        <v/>
      </c>
      <c r="FD24" s="725" t="str">
        <f>IF(COUNTA(車両台帳!$C$57:$C$2056)=0,"",COUNTIF(車両台帳!$BD$57:$BD$2056,FD$3&amp;"-"&amp;313&amp;"A")+COUNTIF(車両台帳!$BD$57:$BD$2056,FD$3&amp;"-"&amp;323&amp;"A"))</f>
        <v/>
      </c>
      <c r="FE24" s="725" t="str">
        <f>IF(COUNTA(車両台帳!$C$57:$C$2056)=0,"",COUNTIF(車両台帳!$BD$57:$BD$2056,FE$3&amp;"-"&amp;313&amp;"A")+COUNTIF(車両台帳!$BD$57:$BD$2056,FE$3&amp;"-"&amp;323&amp;"A"))</f>
        <v/>
      </c>
      <c r="FF24" s="725" t="str">
        <f>IF(COUNTA(車両台帳!$C$57:$C$2056)=0,"",COUNTIF(車両台帳!$BD$57:$BD$2056,FF$3&amp;"-"&amp;313&amp;"A")+COUNTIF(車両台帳!$BD$57:$BD$2056,FF$3&amp;"-"&amp;323&amp;"A"))</f>
        <v/>
      </c>
      <c r="FG24" s="725" t="str">
        <f>IF(COUNTA(車両台帳!$C$57:$C$2056)=0,"",COUNTIF(車両台帳!$BD$57:$BD$2056,FG$3&amp;"-"&amp;313&amp;"A")+COUNTIF(車両台帳!$BD$57:$BD$2056,FG$3&amp;"-"&amp;323&amp;"A"))</f>
        <v/>
      </c>
      <c r="FH24" s="725" t="str">
        <f>IF(COUNTA(車両台帳!$C$57:$C$2056)=0,"",COUNTIF(車両台帳!$BD$57:$BD$2056,FH$3&amp;"-"&amp;313&amp;"A")+COUNTIF(車両台帳!$BD$57:$BD$2056,FH$3&amp;"-"&amp;323&amp;"A"))</f>
        <v/>
      </c>
      <c r="FI24" s="725" t="str">
        <f>IF(COUNTA(車両台帳!$C$57:$C$2056)=0,"",COUNTIF(車両台帳!$BD$57:$BD$2056,FI$3&amp;"-"&amp;313&amp;"A")+COUNTIF(車両台帳!$BD$57:$BD$2056,FI$3&amp;"-"&amp;323&amp;"A"))</f>
        <v/>
      </c>
      <c r="FJ24" s="725" t="str">
        <f>IF(COUNTA(車両台帳!$C$57:$C$2056)=0,"",COUNTIF(車両台帳!$BD$57:$BD$2056,FJ$3&amp;"-"&amp;313&amp;"A")+COUNTIF(車両台帳!$BD$57:$BD$2056,FJ$3&amp;"-"&amp;323&amp;"A"))</f>
        <v/>
      </c>
      <c r="FK24" s="725" t="str">
        <f>IF(COUNTA(車両台帳!$C$57:$C$2056)=0,"",COUNTIF(車両台帳!$BD$57:$BD$2056,FK$3&amp;"-"&amp;313&amp;"A")+COUNTIF(車両台帳!$BD$57:$BD$2056,FK$3&amp;"-"&amp;323&amp;"A"))</f>
        <v/>
      </c>
      <c r="FL24" s="725" t="str">
        <f>IF(COUNTA(車両台帳!$C$57:$C$2056)=0,"",COUNTIF(車両台帳!$BD$57:$BD$2056,FL$3&amp;"-"&amp;313&amp;"A")+COUNTIF(車両台帳!$BD$57:$BD$2056,FL$3&amp;"-"&amp;323&amp;"A"))</f>
        <v/>
      </c>
      <c r="FM24" s="725" t="str">
        <f>IF(COUNTA(車両台帳!$C$57:$C$2056)=0,"",COUNTIF(車両台帳!$BD$57:$BD$2056,FM$3&amp;"-"&amp;313&amp;"A")+COUNTIF(車両台帳!$BD$57:$BD$2056,FM$3&amp;"-"&amp;323&amp;"A"))</f>
        <v/>
      </c>
      <c r="FN24" s="725" t="str">
        <f>IF(COUNTA(車両台帳!$C$57:$C$2056)=0,"",COUNTIF(車両台帳!$BD$57:$BD$2056,FN$3&amp;"-"&amp;313&amp;"A")+COUNTIF(車両台帳!$BD$57:$BD$2056,FN$3&amp;"-"&amp;323&amp;"A"))</f>
        <v/>
      </c>
      <c r="FO24" s="725" t="str">
        <f>IF(COUNTA(車両台帳!$C$57:$C$2056)=0,"",COUNTIF(車両台帳!$BD$57:$BD$2056,FO$3&amp;"-"&amp;313&amp;"A")+COUNTIF(車両台帳!$BD$57:$BD$2056,FO$3&amp;"-"&amp;323&amp;"A"))</f>
        <v/>
      </c>
      <c r="FP24" s="725" t="str">
        <f>IF(COUNTA(車両台帳!$C$57:$C$2056)=0,"",COUNTIF(車両台帳!$BD$57:$BD$2056,FP$3&amp;"-"&amp;313&amp;"A")+COUNTIF(車両台帳!$BD$57:$BD$2056,FP$3&amp;"-"&amp;323&amp;"A"))</f>
        <v/>
      </c>
      <c r="FQ24" s="725" t="str">
        <f>IF(COUNTA(車両台帳!$C$57:$C$2056)=0,"",COUNTIF(車両台帳!$BD$57:$BD$2056,FQ$3&amp;"-"&amp;313&amp;"A")+COUNTIF(車両台帳!$BD$57:$BD$2056,FQ$3&amp;"-"&amp;323&amp;"A"))</f>
        <v/>
      </c>
      <c r="FR24" s="725" t="str">
        <f>IF(COUNTA(車両台帳!$C$57:$C$2056)=0,"",COUNTIF(車両台帳!$BD$57:$BD$2056,FR$3&amp;"-"&amp;313&amp;"A")+COUNTIF(車両台帳!$BD$57:$BD$2056,FR$3&amp;"-"&amp;323&amp;"A"))</f>
        <v/>
      </c>
      <c r="FS24" s="725" t="str">
        <f>IF(COUNTA(車両台帳!$C$57:$C$2056)=0,"",COUNTIF(車両台帳!$BD$57:$BD$2056,FS$3&amp;"-"&amp;313&amp;"A")+COUNTIF(車両台帳!$BD$57:$BD$2056,FS$3&amp;"-"&amp;323&amp;"A"))</f>
        <v/>
      </c>
      <c r="FT24" s="725" t="str">
        <f>IF(COUNTA(車両台帳!$C$57:$C$2056)=0,"",COUNTIF(車両台帳!$BD$57:$BD$2056,FT$3&amp;"-"&amp;313&amp;"A")+COUNTIF(車両台帳!$BD$57:$BD$2056,FT$3&amp;"-"&amp;323&amp;"A"))</f>
        <v/>
      </c>
      <c r="FU24" s="725" t="str">
        <f>IF(COUNTA(車両台帳!$C$57:$C$2056)=0,"",COUNTIF(車両台帳!$BD$57:$BD$2056,FU$3&amp;"-"&amp;313&amp;"A")+COUNTIF(車両台帳!$BD$57:$BD$2056,FU$3&amp;"-"&amp;323&amp;"A"))</f>
        <v/>
      </c>
      <c r="FV24" s="725" t="str">
        <f>IF(COUNTA(車両台帳!$C$57:$C$2056)=0,"",COUNTIF(車両台帳!$BD$57:$BD$2056,FV$3&amp;"-"&amp;313&amp;"A")+COUNTIF(車両台帳!$BD$57:$BD$2056,FV$3&amp;"-"&amp;323&amp;"A"))</f>
        <v/>
      </c>
      <c r="FW24" s="725" t="str">
        <f>IF(COUNTA(車両台帳!$C$57:$C$2056)=0,"",COUNTIF(車両台帳!$BD$57:$BD$2056,FW$3&amp;"-"&amp;313&amp;"A")+COUNTIF(車両台帳!$BD$57:$BD$2056,FW$3&amp;"-"&amp;323&amp;"A"))</f>
        <v/>
      </c>
      <c r="FX24" s="725" t="str">
        <f>IF(COUNTA(車両台帳!$C$57:$C$2056)=0,"",COUNTIF(車両台帳!$BD$57:$BD$2056,FX$3&amp;"-"&amp;313&amp;"A")+COUNTIF(車両台帳!$BD$57:$BD$2056,FX$3&amp;"-"&amp;323&amp;"A"))</f>
        <v/>
      </c>
      <c r="FY24" s="725" t="str">
        <f>IF(COUNTA(車両台帳!$C$57:$C$2056)=0,"",COUNTIF(車両台帳!$BD$57:$BD$2056,FY$3&amp;"-"&amp;313&amp;"A")+COUNTIF(車両台帳!$BD$57:$BD$2056,FY$3&amp;"-"&amp;323&amp;"A"))</f>
        <v/>
      </c>
      <c r="FZ24" s="725" t="str">
        <f>IF(COUNTA(車両台帳!$C$57:$C$2056)=0,"",COUNTIF(車両台帳!$BD$57:$BD$2056,FZ$3&amp;"-"&amp;313&amp;"A")+COUNTIF(車両台帳!$BD$57:$BD$2056,FZ$3&amp;"-"&amp;323&amp;"A"))</f>
        <v/>
      </c>
      <c r="GA24" s="725" t="str">
        <f>IF(COUNTA(車両台帳!$C$57:$C$2056)=0,"",COUNTIF(車両台帳!$BD$57:$BD$2056,GA$3&amp;"-"&amp;313&amp;"A")+COUNTIF(車両台帳!$BD$57:$BD$2056,GA$3&amp;"-"&amp;323&amp;"A"))</f>
        <v/>
      </c>
      <c r="GB24" s="725" t="str">
        <f>IF(COUNTA(車両台帳!$C$57:$C$2056)=0,"",COUNTIF(車両台帳!$BD$57:$BD$2056,GB$3&amp;"-"&amp;313&amp;"A")+COUNTIF(車両台帳!$BD$57:$BD$2056,GB$3&amp;"-"&amp;323&amp;"A"))</f>
        <v/>
      </c>
      <c r="GC24" s="725" t="str">
        <f>IF(COUNTA(車両台帳!$C$57:$C$2056)=0,"",COUNTIF(車両台帳!$BD$57:$BD$2056,GC$3&amp;"-"&amp;313&amp;"A")+COUNTIF(車両台帳!$BD$57:$BD$2056,GC$3&amp;"-"&amp;323&amp;"A"))</f>
        <v/>
      </c>
      <c r="GD24" s="725" t="str">
        <f>IF(COUNTA(車両台帳!$C$57:$C$2056)=0,"",COUNTIF(車両台帳!$BD$57:$BD$2056,GD$3&amp;"-"&amp;313&amp;"A")+COUNTIF(車両台帳!$BD$57:$BD$2056,GD$3&amp;"-"&amp;323&amp;"A"))</f>
        <v/>
      </c>
      <c r="GE24" s="725" t="str">
        <f>IF(COUNTA(車両台帳!$C$57:$C$2056)=0,"",COUNTIF(車両台帳!$BD$57:$BD$2056,GE$3&amp;"-"&amp;313&amp;"A")+COUNTIF(車両台帳!$BD$57:$BD$2056,GE$3&amp;"-"&amp;323&amp;"A"))</f>
        <v/>
      </c>
      <c r="GF24" s="725" t="str">
        <f>IF(COUNTA(車両台帳!$C$57:$C$2056)=0,"",COUNTIF(車両台帳!$BD$57:$BD$2056,GF$3&amp;"-"&amp;313&amp;"A")+COUNTIF(車両台帳!$BD$57:$BD$2056,GF$3&amp;"-"&amp;323&amp;"A"))</f>
        <v/>
      </c>
      <c r="GG24" s="725" t="str">
        <f>IF(COUNTA(車両台帳!$C$57:$C$2056)=0,"",COUNTIF(車両台帳!$BD$57:$BD$2056,GG$3&amp;"-"&amp;313&amp;"A")+COUNTIF(車両台帳!$BD$57:$BD$2056,GG$3&amp;"-"&amp;323&amp;"A"))</f>
        <v/>
      </c>
      <c r="GH24" s="725" t="str">
        <f>IF(COUNTA(車両台帳!$C$57:$C$2056)=0,"",COUNTIF(車両台帳!$BD$57:$BD$2056,GH$3&amp;"-"&amp;313&amp;"A")+COUNTIF(車両台帳!$BD$57:$BD$2056,GH$3&amp;"-"&amp;323&amp;"A"))</f>
        <v/>
      </c>
      <c r="GI24" s="725" t="str">
        <f>IF(COUNTA(車両台帳!$C$57:$C$2056)=0,"",COUNTIF(車両台帳!$BD$57:$BD$2056,GI$3&amp;"-"&amp;313&amp;"A")+COUNTIF(車両台帳!$BD$57:$BD$2056,GI$3&amp;"-"&amp;323&amp;"A"))</f>
        <v/>
      </c>
      <c r="GJ24" s="725" t="str">
        <f>IF(COUNTA(車両台帳!$C$57:$C$2056)=0,"",COUNTIF(車両台帳!$BD$57:$BD$2056,GJ$3&amp;"-"&amp;313&amp;"A")+COUNTIF(車両台帳!$BD$57:$BD$2056,GJ$3&amp;"-"&amp;323&amp;"A"))</f>
        <v/>
      </c>
      <c r="GK24" s="725" t="str">
        <f>IF(COUNTA(車両台帳!$C$57:$C$2056)=0,"",COUNTIF(車両台帳!$BD$57:$BD$2056,GK$3&amp;"-"&amp;313&amp;"A")+COUNTIF(車両台帳!$BD$57:$BD$2056,GK$3&amp;"-"&amp;323&amp;"A"))</f>
        <v/>
      </c>
      <c r="GL24" s="725" t="str">
        <f>IF(COUNTA(車両台帳!$C$57:$C$2056)=0,"",COUNTIF(車両台帳!$BD$57:$BD$2056,GL$3&amp;"-"&amp;313&amp;"A")+COUNTIF(車両台帳!$BD$57:$BD$2056,GL$3&amp;"-"&amp;323&amp;"A"))</f>
        <v/>
      </c>
      <c r="GM24" s="725" t="str">
        <f>IF(COUNTA(車両台帳!$C$57:$C$2056)=0,"",COUNTIF(車両台帳!$BD$57:$BD$2056,GM$3&amp;"-"&amp;313&amp;"A")+COUNTIF(車両台帳!$BD$57:$BD$2056,GM$3&amp;"-"&amp;323&amp;"A"))</f>
        <v/>
      </c>
      <c r="GN24" s="725" t="str">
        <f>IF(COUNTA(車両台帳!$C$57:$C$2056)=0,"",COUNTIF(車両台帳!$BD$57:$BD$2056,GN$3&amp;"-"&amp;313&amp;"A")+COUNTIF(車両台帳!$BD$57:$BD$2056,GN$3&amp;"-"&amp;323&amp;"A"))</f>
        <v/>
      </c>
      <c r="GO24" s="725" t="str">
        <f>IF(COUNTA(車両台帳!$C$57:$C$2056)=0,"",COUNTIF(車両台帳!$BD$57:$BD$2056,GO$3&amp;"-"&amp;313&amp;"A")+COUNTIF(車両台帳!$BD$57:$BD$2056,GO$3&amp;"-"&amp;323&amp;"A"))</f>
        <v/>
      </c>
      <c r="GP24" s="725" t="str">
        <f>IF(COUNTA(車両台帳!$C$57:$C$2056)=0,"",COUNTIF(車両台帳!$BD$57:$BD$2056,GP$3&amp;"-"&amp;313&amp;"A")+COUNTIF(車両台帳!$BD$57:$BD$2056,GP$3&amp;"-"&amp;323&amp;"A"))</f>
        <v/>
      </c>
      <c r="GQ24" s="725" t="str">
        <f>IF(COUNTA(車両台帳!$C$57:$C$2056)=0,"",COUNTIF(車両台帳!$BD$57:$BD$2056,GQ$3&amp;"-"&amp;313&amp;"A")+COUNTIF(車両台帳!$BD$57:$BD$2056,GQ$3&amp;"-"&amp;323&amp;"A"))</f>
        <v/>
      </c>
      <c r="GR24" s="725" t="str">
        <f>IF(COUNTA(車両台帳!$C$57:$C$2056)=0,"",COUNTIF(車両台帳!$BD$57:$BD$2056,GR$3&amp;"-"&amp;313&amp;"A")+COUNTIF(車両台帳!$BD$57:$BD$2056,GR$3&amp;"-"&amp;323&amp;"A"))</f>
        <v/>
      </c>
      <c r="GS24" s="725" t="str">
        <f>IF(COUNTA(車両台帳!$C$57:$C$2056)=0,"",COUNTIF(車両台帳!$BD$57:$BD$2056,GS$3&amp;"-"&amp;313&amp;"A")+COUNTIF(車両台帳!$BD$57:$BD$2056,GS$3&amp;"-"&amp;323&amp;"A"))</f>
        <v/>
      </c>
      <c r="GT24" s="725" t="str">
        <f>IF(COUNTA(車両台帳!$C$57:$C$2056)=0,"",COUNTIF(車両台帳!$BD$57:$BD$2056,GT$3&amp;"-"&amp;313&amp;"A")+COUNTIF(車両台帳!$BD$57:$BD$2056,GT$3&amp;"-"&amp;323&amp;"A"))</f>
        <v/>
      </c>
      <c r="GU24" s="726" t="str">
        <f>IF(COUNTA(車両台帳!$C$57:$C$2056)=0,"",COUNTIF(車両台帳!$BD$57:$BD$2056,GU$3&amp;"-"&amp;313&amp;"A")+COUNTIF(車両台帳!$BD$57:$BD$2056,GU$3&amp;"-"&amp;323&amp;"A"))</f>
        <v/>
      </c>
    </row>
    <row r="25" spans="1:203" s="7" customFormat="1" ht="29.25" customHeight="1" thickBot="1">
      <c r="A25" s="1191"/>
      <c r="B25" s="715" t="s">
        <v>44</v>
      </c>
      <c r="C25" s="727" t="str">
        <f>IF(COUNTA(車両台帳!$C$57:$C$2056)=0,"",SUM(D25:GU25))</f>
        <v/>
      </c>
      <c r="D25" s="728" t="str">
        <f>IF(COUNTA(車両台帳!$C$57:$C$2056)=0,"",COUNTIF(車両台帳!$BD$57:$BD$2056,D$3&amp;"-"&amp;314&amp;"A")+COUNTIF(車両台帳!$BD$57:$BD$2056,D$3&amp;"-"&amp;324&amp;"A")+COUNTIF(車両台帳!$BD$57:$BD$2056,D$3&amp;"-"&amp;315&amp;"A")+COUNTIF(車両台帳!$BD$57:$BD$2056,D$3&amp;"-"&amp;325&amp;"A"))</f>
        <v/>
      </c>
      <c r="E25" s="728" t="str">
        <f>IF(COUNTA(車両台帳!$C$57:$C$2056)=0,"",COUNTIF(車両台帳!$BD$57:$BD$2056,E$3&amp;"-"&amp;314&amp;"A")+COUNTIF(車両台帳!$BD$57:$BD$2056,E$3&amp;"-"&amp;324&amp;"A")+COUNTIF(車両台帳!$BD$57:$BD$2056,E$3&amp;"-"&amp;315&amp;"A")+COUNTIF(車両台帳!$BD$57:$BD$2056,E$3&amp;"-"&amp;325&amp;"A"))</f>
        <v/>
      </c>
      <c r="F25" s="728" t="str">
        <f>IF(COUNTA(車両台帳!$C$57:$C$2056)=0,"",COUNTIF(車両台帳!$BD$57:$BD$2056,F$3&amp;"-"&amp;314&amp;"A")+COUNTIF(車両台帳!$BD$57:$BD$2056,F$3&amp;"-"&amp;324&amp;"A")+COUNTIF(車両台帳!$BD$57:$BD$2056,F$3&amp;"-"&amp;315&amp;"A")+COUNTIF(車両台帳!$BD$57:$BD$2056,F$3&amp;"-"&amp;325&amp;"A"))</f>
        <v/>
      </c>
      <c r="G25" s="728" t="str">
        <f>IF(COUNTA(車両台帳!$C$57:$C$2056)=0,"",COUNTIF(車両台帳!$BD$57:$BD$2056,G$3&amp;"-"&amp;314&amp;"A")+COUNTIF(車両台帳!$BD$57:$BD$2056,G$3&amp;"-"&amp;324&amp;"A")+COUNTIF(車両台帳!$BD$57:$BD$2056,G$3&amp;"-"&amp;315&amp;"A")+COUNTIF(車両台帳!$BD$57:$BD$2056,G$3&amp;"-"&amp;325&amp;"A"))</f>
        <v/>
      </c>
      <c r="H25" s="728" t="str">
        <f>IF(COUNTA(車両台帳!$C$57:$C$2056)=0,"",COUNTIF(車両台帳!$BD$57:$BD$2056,H$3&amp;"-"&amp;314&amp;"A")+COUNTIF(車両台帳!$BD$57:$BD$2056,H$3&amp;"-"&amp;324&amp;"A")+COUNTIF(車両台帳!$BD$57:$BD$2056,H$3&amp;"-"&amp;315&amp;"A")+COUNTIF(車両台帳!$BD$57:$BD$2056,H$3&amp;"-"&amp;325&amp;"A"))</f>
        <v/>
      </c>
      <c r="I25" s="728" t="str">
        <f>IF(COUNTA(車両台帳!$C$57:$C$2056)=0,"",COUNTIF(車両台帳!$BD$57:$BD$2056,I$3&amp;"-"&amp;314&amp;"A")+COUNTIF(車両台帳!$BD$57:$BD$2056,I$3&amp;"-"&amp;324&amp;"A")+COUNTIF(車両台帳!$BD$57:$BD$2056,I$3&amp;"-"&amp;315&amp;"A")+COUNTIF(車両台帳!$BD$57:$BD$2056,I$3&amp;"-"&amp;325&amp;"A"))</f>
        <v/>
      </c>
      <c r="J25" s="728" t="str">
        <f>IF(COUNTA(車両台帳!$C$57:$C$2056)=0,"",COUNTIF(車両台帳!$BD$57:$BD$2056,J$3&amp;"-"&amp;314&amp;"A")+COUNTIF(車両台帳!$BD$57:$BD$2056,J$3&amp;"-"&amp;324&amp;"A")+COUNTIF(車両台帳!$BD$57:$BD$2056,J$3&amp;"-"&amp;315&amp;"A")+COUNTIF(車両台帳!$BD$57:$BD$2056,J$3&amp;"-"&amp;325&amp;"A"))</f>
        <v/>
      </c>
      <c r="K25" s="728" t="str">
        <f>IF(COUNTA(車両台帳!$C$57:$C$2056)=0,"",COUNTIF(車両台帳!$BD$57:$BD$2056,K$3&amp;"-"&amp;314&amp;"A")+COUNTIF(車両台帳!$BD$57:$BD$2056,K$3&amp;"-"&amp;324&amp;"A")+COUNTIF(車両台帳!$BD$57:$BD$2056,K$3&amp;"-"&amp;315&amp;"A")+COUNTIF(車両台帳!$BD$57:$BD$2056,K$3&amp;"-"&amp;325&amp;"A"))</f>
        <v/>
      </c>
      <c r="L25" s="728" t="str">
        <f>IF(COUNTA(車両台帳!$C$57:$C$2056)=0,"",COUNTIF(車両台帳!$BD$57:$BD$2056,L$3&amp;"-"&amp;314&amp;"A")+COUNTIF(車両台帳!$BD$57:$BD$2056,L$3&amp;"-"&amp;324&amp;"A")+COUNTIF(車両台帳!$BD$57:$BD$2056,L$3&amp;"-"&amp;315&amp;"A")+COUNTIF(車両台帳!$BD$57:$BD$2056,L$3&amp;"-"&amp;325&amp;"A"))</f>
        <v/>
      </c>
      <c r="M25" s="728" t="str">
        <f>IF(COUNTA(車両台帳!$C$57:$C$2056)=0,"",COUNTIF(車両台帳!$BD$57:$BD$2056,M$3&amp;"-"&amp;314&amp;"A")+COUNTIF(車両台帳!$BD$57:$BD$2056,M$3&amp;"-"&amp;324&amp;"A")+COUNTIF(車両台帳!$BD$57:$BD$2056,M$3&amp;"-"&amp;315&amp;"A")+COUNTIF(車両台帳!$BD$57:$BD$2056,M$3&amp;"-"&amp;325&amp;"A"))</f>
        <v/>
      </c>
      <c r="N25" s="728" t="str">
        <f>IF(COUNTA(車両台帳!$C$57:$C$2056)=0,"",COUNTIF(車両台帳!$BD$57:$BD$2056,N$3&amp;"-"&amp;314&amp;"A")+COUNTIF(車両台帳!$BD$57:$BD$2056,N$3&amp;"-"&amp;324&amp;"A")+COUNTIF(車両台帳!$BD$57:$BD$2056,N$3&amp;"-"&amp;315&amp;"A")+COUNTIF(車両台帳!$BD$57:$BD$2056,N$3&amp;"-"&amp;325&amp;"A"))</f>
        <v/>
      </c>
      <c r="O25" s="728" t="str">
        <f>IF(COUNTA(車両台帳!$C$57:$C$2056)=0,"",COUNTIF(車両台帳!$BD$57:$BD$2056,O$3&amp;"-"&amp;314&amp;"A")+COUNTIF(車両台帳!$BD$57:$BD$2056,O$3&amp;"-"&amp;324&amp;"A")+COUNTIF(車両台帳!$BD$57:$BD$2056,O$3&amp;"-"&amp;315&amp;"A")+COUNTIF(車両台帳!$BD$57:$BD$2056,O$3&amp;"-"&amp;325&amp;"A"))</f>
        <v/>
      </c>
      <c r="P25" s="728" t="str">
        <f>IF(COUNTA(車両台帳!$C$57:$C$2056)=0,"",COUNTIF(車両台帳!$BD$57:$BD$2056,P$3&amp;"-"&amp;314&amp;"A")+COUNTIF(車両台帳!$BD$57:$BD$2056,P$3&amp;"-"&amp;324&amp;"A")+COUNTIF(車両台帳!$BD$57:$BD$2056,P$3&amp;"-"&amp;315&amp;"A")+COUNTIF(車両台帳!$BD$57:$BD$2056,P$3&amp;"-"&amp;325&amp;"A"))</f>
        <v/>
      </c>
      <c r="Q25" s="728" t="str">
        <f>IF(COUNTA(車両台帳!$C$57:$C$2056)=0,"",COUNTIF(車両台帳!$BD$57:$BD$2056,Q$3&amp;"-"&amp;314&amp;"A")+COUNTIF(車両台帳!$BD$57:$BD$2056,Q$3&amp;"-"&amp;324&amp;"A")+COUNTIF(車両台帳!$BD$57:$BD$2056,Q$3&amp;"-"&amp;315&amp;"A")+COUNTIF(車両台帳!$BD$57:$BD$2056,Q$3&amp;"-"&amp;325&amp;"A"))</f>
        <v/>
      </c>
      <c r="R25" s="728" t="str">
        <f>IF(COUNTA(車両台帳!$C$57:$C$2056)=0,"",COUNTIF(車両台帳!$BD$57:$BD$2056,R$3&amp;"-"&amp;314&amp;"A")+COUNTIF(車両台帳!$BD$57:$BD$2056,R$3&amp;"-"&amp;324&amp;"A")+COUNTIF(車両台帳!$BD$57:$BD$2056,R$3&amp;"-"&amp;315&amp;"A")+COUNTIF(車両台帳!$BD$57:$BD$2056,R$3&amp;"-"&amp;325&amp;"A"))</f>
        <v/>
      </c>
      <c r="S25" s="728" t="str">
        <f>IF(COUNTA(車両台帳!$C$57:$C$2056)=0,"",COUNTIF(車両台帳!$BD$57:$BD$2056,S$3&amp;"-"&amp;314&amp;"A")+COUNTIF(車両台帳!$BD$57:$BD$2056,S$3&amp;"-"&amp;324&amp;"A")+COUNTIF(車両台帳!$BD$57:$BD$2056,S$3&amp;"-"&amp;315&amp;"A")+COUNTIF(車両台帳!$BD$57:$BD$2056,S$3&amp;"-"&amp;325&amp;"A"))</f>
        <v/>
      </c>
      <c r="T25" s="728" t="str">
        <f>IF(COUNTA(車両台帳!$C$57:$C$2056)=0,"",COUNTIF(車両台帳!$BD$57:$BD$2056,T$3&amp;"-"&amp;314&amp;"A")+COUNTIF(車両台帳!$BD$57:$BD$2056,T$3&amp;"-"&amp;324&amp;"A")+COUNTIF(車両台帳!$BD$57:$BD$2056,T$3&amp;"-"&amp;315&amp;"A")+COUNTIF(車両台帳!$BD$57:$BD$2056,T$3&amp;"-"&amp;325&amp;"A"))</f>
        <v/>
      </c>
      <c r="U25" s="728" t="str">
        <f>IF(COUNTA(車両台帳!$C$57:$C$2056)=0,"",COUNTIF(車両台帳!$BD$57:$BD$2056,U$3&amp;"-"&amp;314&amp;"A")+COUNTIF(車両台帳!$BD$57:$BD$2056,U$3&amp;"-"&amp;324&amp;"A")+COUNTIF(車両台帳!$BD$57:$BD$2056,U$3&amp;"-"&amp;315&amp;"A")+COUNTIF(車両台帳!$BD$57:$BD$2056,U$3&amp;"-"&amp;325&amp;"A"))</f>
        <v/>
      </c>
      <c r="V25" s="728" t="str">
        <f>IF(COUNTA(車両台帳!$C$57:$C$2056)=0,"",COUNTIF(車両台帳!$BD$57:$BD$2056,V$3&amp;"-"&amp;314&amp;"A")+COUNTIF(車両台帳!$BD$57:$BD$2056,V$3&amp;"-"&amp;324&amp;"A")+COUNTIF(車両台帳!$BD$57:$BD$2056,V$3&amp;"-"&amp;315&amp;"A")+COUNTIF(車両台帳!$BD$57:$BD$2056,V$3&amp;"-"&amp;325&amp;"A"))</f>
        <v/>
      </c>
      <c r="W25" s="728" t="str">
        <f>IF(COUNTA(車両台帳!$C$57:$C$2056)=0,"",COUNTIF(車両台帳!$BD$57:$BD$2056,W$3&amp;"-"&amp;314&amp;"A")+COUNTIF(車両台帳!$BD$57:$BD$2056,W$3&amp;"-"&amp;324&amp;"A")+COUNTIF(車両台帳!$BD$57:$BD$2056,W$3&amp;"-"&amp;315&amp;"A")+COUNTIF(車両台帳!$BD$57:$BD$2056,W$3&amp;"-"&amp;325&amp;"A"))</f>
        <v/>
      </c>
      <c r="X25" s="728" t="str">
        <f>IF(COUNTA(車両台帳!$C$57:$C$2056)=0,"",COUNTIF(車両台帳!$BD$57:$BD$2056,X$3&amp;"-"&amp;314&amp;"A")+COUNTIF(車両台帳!$BD$57:$BD$2056,X$3&amp;"-"&amp;324&amp;"A")+COUNTIF(車両台帳!$BD$57:$BD$2056,X$3&amp;"-"&amp;315&amp;"A")+COUNTIF(車両台帳!$BD$57:$BD$2056,X$3&amp;"-"&amp;325&amp;"A"))</f>
        <v/>
      </c>
      <c r="Y25" s="728" t="str">
        <f>IF(COUNTA(車両台帳!$C$57:$C$2056)=0,"",COUNTIF(車両台帳!$BD$57:$BD$2056,Y$3&amp;"-"&amp;314&amp;"A")+COUNTIF(車両台帳!$BD$57:$BD$2056,Y$3&amp;"-"&amp;324&amp;"A")+COUNTIF(車両台帳!$BD$57:$BD$2056,Y$3&amp;"-"&amp;315&amp;"A")+COUNTIF(車両台帳!$BD$57:$BD$2056,Y$3&amp;"-"&amp;325&amp;"A"))</f>
        <v/>
      </c>
      <c r="Z25" s="728" t="str">
        <f>IF(COUNTA(車両台帳!$C$57:$C$2056)=0,"",COUNTIF(車両台帳!$BD$57:$BD$2056,Z$3&amp;"-"&amp;314&amp;"A")+COUNTIF(車両台帳!$BD$57:$BD$2056,Z$3&amp;"-"&amp;324&amp;"A")+COUNTIF(車両台帳!$BD$57:$BD$2056,Z$3&amp;"-"&amp;315&amp;"A")+COUNTIF(車両台帳!$BD$57:$BD$2056,Z$3&amp;"-"&amp;325&amp;"A"))</f>
        <v/>
      </c>
      <c r="AA25" s="728" t="str">
        <f>IF(COUNTA(車両台帳!$C$57:$C$2056)=0,"",COUNTIF(車両台帳!$BD$57:$BD$2056,AA$3&amp;"-"&amp;314&amp;"A")+COUNTIF(車両台帳!$BD$57:$BD$2056,AA$3&amp;"-"&amp;324&amp;"A")+COUNTIF(車両台帳!$BD$57:$BD$2056,AA$3&amp;"-"&amp;315&amp;"A")+COUNTIF(車両台帳!$BD$57:$BD$2056,AA$3&amp;"-"&amp;325&amp;"A"))</f>
        <v/>
      </c>
      <c r="AB25" s="728" t="str">
        <f>IF(COUNTA(車両台帳!$C$57:$C$2056)=0,"",COUNTIF(車両台帳!$BD$57:$BD$2056,AB$3&amp;"-"&amp;314&amp;"A")+COUNTIF(車両台帳!$BD$57:$BD$2056,AB$3&amp;"-"&amp;324&amp;"A")+COUNTIF(車両台帳!$BD$57:$BD$2056,AB$3&amp;"-"&amp;315&amp;"A")+COUNTIF(車両台帳!$BD$57:$BD$2056,AB$3&amp;"-"&amp;325&amp;"A"))</f>
        <v/>
      </c>
      <c r="AC25" s="728" t="str">
        <f>IF(COUNTA(車両台帳!$C$57:$C$2056)=0,"",COUNTIF(車両台帳!$BD$57:$BD$2056,AC$3&amp;"-"&amp;314&amp;"A")+COUNTIF(車両台帳!$BD$57:$BD$2056,AC$3&amp;"-"&amp;324&amp;"A")+COUNTIF(車両台帳!$BD$57:$BD$2056,AC$3&amp;"-"&amp;315&amp;"A")+COUNTIF(車両台帳!$BD$57:$BD$2056,AC$3&amp;"-"&amp;325&amp;"A"))</f>
        <v/>
      </c>
      <c r="AD25" s="728" t="str">
        <f>IF(COUNTA(車両台帳!$C$57:$C$2056)=0,"",COUNTIF(車両台帳!$BD$57:$BD$2056,AD$3&amp;"-"&amp;314&amp;"A")+COUNTIF(車両台帳!$BD$57:$BD$2056,AD$3&amp;"-"&amp;324&amp;"A")+COUNTIF(車両台帳!$BD$57:$BD$2056,AD$3&amp;"-"&amp;315&amp;"A")+COUNTIF(車両台帳!$BD$57:$BD$2056,AD$3&amp;"-"&amp;325&amp;"A"))</f>
        <v/>
      </c>
      <c r="AE25" s="728" t="str">
        <f>IF(COUNTA(車両台帳!$C$57:$C$2056)=0,"",COUNTIF(車両台帳!$BD$57:$BD$2056,AE$3&amp;"-"&amp;314&amp;"A")+COUNTIF(車両台帳!$BD$57:$BD$2056,AE$3&amp;"-"&amp;324&amp;"A")+COUNTIF(車両台帳!$BD$57:$BD$2056,AE$3&amp;"-"&amp;315&amp;"A")+COUNTIF(車両台帳!$BD$57:$BD$2056,AE$3&amp;"-"&amp;325&amp;"A"))</f>
        <v/>
      </c>
      <c r="AF25" s="728" t="str">
        <f>IF(COUNTA(車両台帳!$C$57:$C$2056)=0,"",COUNTIF(車両台帳!$BD$57:$BD$2056,AF$3&amp;"-"&amp;314&amp;"A")+COUNTIF(車両台帳!$BD$57:$BD$2056,AF$3&amp;"-"&amp;324&amp;"A")+COUNTIF(車両台帳!$BD$57:$BD$2056,AF$3&amp;"-"&amp;315&amp;"A")+COUNTIF(車両台帳!$BD$57:$BD$2056,AF$3&amp;"-"&amp;325&amp;"A"))</f>
        <v/>
      </c>
      <c r="AG25" s="728" t="str">
        <f>IF(COUNTA(車両台帳!$C$57:$C$2056)=0,"",COUNTIF(車両台帳!$BD$57:$BD$2056,AG$3&amp;"-"&amp;314&amp;"A")+COUNTIF(車両台帳!$BD$57:$BD$2056,AG$3&amp;"-"&amp;324&amp;"A")+COUNTIF(車両台帳!$BD$57:$BD$2056,AG$3&amp;"-"&amp;315&amp;"A")+COUNTIF(車両台帳!$BD$57:$BD$2056,AG$3&amp;"-"&amp;325&amp;"A"))</f>
        <v/>
      </c>
      <c r="AH25" s="728" t="str">
        <f>IF(COUNTA(車両台帳!$C$57:$C$2056)=0,"",COUNTIF(車両台帳!$BD$57:$BD$2056,AH$3&amp;"-"&amp;314&amp;"A")+COUNTIF(車両台帳!$BD$57:$BD$2056,AH$3&amp;"-"&amp;324&amp;"A")+COUNTIF(車両台帳!$BD$57:$BD$2056,AH$3&amp;"-"&amp;315&amp;"A")+COUNTIF(車両台帳!$BD$57:$BD$2056,AH$3&amp;"-"&amp;325&amp;"A"))</f>
        <v/>
      </c>
      <c r="AI25" s="728" t="str">
        <f>IF(COUNTA(車両台帳!$C$57:$C$2056)=0,"",COUNTIF(車両台帳!$BD$57:$BD$2056,AI$3&amp;"-"&amp;314&amp;"A")+COUNTIF(車両台帳!$BD$57:$BD$2056,AI$3&amp;"-"&amp;324&amp;"A")+COUNTIF(車両台帳!$BD$57:$BD$2056,AI$3&amp;"-"&amp;315&amp;"A")+COUNTIF(車両台帳!$BD$57:$BD$2056,AI$3&amp;"-"&amp;325&amp;"A"))</f>
        <v/>
      </c>
      <c r="AJ25" s="728" t="str">
        <f>IF(COUNTA(車両台帳!$C$57:$C$2056)=0,"",COUNTIF(車両台帳!$BD$57:$BD$2056,AJ$3&amp;"-"&amp;314&amp;"A")+COUNTIF(車両台帳!$BD$57:$BD$2056,AJ$3&amp;"-"&amp;324&amp;"A")+COUNTIF(車両台帳!$BD$57:$BD$2056,AJ$3&amp;"-"&amp;315&amp;"A")+COUNTIF(車両台帳!$BD$57:$BD$2056,AJ$3&amp;"-"&amp;325&amp;"A"))</f>
        <v/>
      </c>
      <c r="AK25" s="728" t="str">
        <f>IF(COUNTA(車両台帳!$C$57:$C$2056)=0,"",COUNTIF(車両台帳!$BD$57:$BD$2056,AK$3&amp;"-"&amp;314&amp;"A")+COUNTIF(車両台帳!$BD$57:$BD$2056,AK$3&amp;"-"&amp;324&amp;"A")+COUNTIF(車両台帳!$BD$57:$BD$2056,AK$3&amp;"-"&amp;315&amp;"A")+COUNTIF(車両台帳!$BD$57:$BD$2056,AK$3&amp;"-"&amp;325&amp;"A"))</f>
        <v/>
      </c>
      <c r="AL25" s="728" t="str">
        <f>IF(COUNTA(車両台帳!$C$57:$C$2056)=0,"",COUNTIF(車両台帳!$BD$57:$BD$2056,AL$3&amp;"-"&amp;314&amp;"A")+COUNTIF(車両台帳!$BD$57:$BD$2056,AL$3&amp;"-"&amp;324&amp;"A")+COUNTIF(車両台帳!$BD$57:$BD$2056,AL$3&amp;"-"&amp;315&amp;"A")+COUNTIF(車両台帳!$BD$57:$BD$2056,AL$3&amp;"-"&amp;325&amp;"A"))</f>
        <v/>
      </c>
      <c r="AM25" s="728" t="str">
        <f>IF(COUNTA(車両台帳!$C$57:$C$2056)=0,"",COUNTIF(車両台帳!$BD$57:$BD$2056,AM$3&amp;"-"&amp;314&amp;"A")+COUNTIF(車両台帳!$BD$57:$BD$2056,AM$3&amp;"-"&amp;324&amp;"A")+COUNTIF(車両台帳!$BD$57:$BD$2056,AM$3&amp;"-"&amp;315&amp;"A")+COUNTIF(車両台帳!$BD$57:$BD$2056,AM$3&amp;"-"&amp;325&amp;"A"))</f>
        <v/>
      </c>
      <c r="AN25" s="728" t="str">
        <f>IF(COUNTA(車両台帳!$C$57:$C$2056)=0,"",COUNTIF(車両台帳!$BD$57:$BD$2056,AN$3&amp;"-"&amp;314&amp;"A")+COUNTIF(車両台帳!$BD$57:$BD$2056,AN$3&amp;"-"&amp;324&amp;"A")+COUNTIF(車両台帳!$BD$57:$BD$2056,AN$3&amp;"-"&amp;315&amp;"A")+COUNTIF(車両台帳!$BD$57:$BD$2056,AN$3&amp;"-"&amp;325&amp;"A"))</f>
        <v/>
      </c>
      <c r="AO25" s="728" t="str">
        <f>IF(COUNTA(車両台帳!$C$57:$C$2056)=0,"",COUNTIF(車両台帳!$BD$57:$BD$2056,AO$3&amp;"-"&amp;314&amp;"A")+COUNTIF(車両台帳!$BD$57:$BD$2056,AO$3&amp;"-"&amp;324&amp;"A")+COUNTIF(車両台帳!$BD$57:$BD$2056,AO$3&amp;"-"&amp;315&amp;"A")+COUNTIF(車両台帳!$BD$57:$BD$2056,AO$3&amp;"-"&amp;325&amp;"A"))</f>
        <v/>
      </c>
      <c r="AP25" s="728" t="str">
        <f>IF(COUNTA(車両台帳!$C$57:$C$2056)=0,"",COUNTIF(車両台帳!$BD$57:$BD$2056,AP$3&amp;"-"&amp;314&amp;"A")+COUNTIF(車両台帳!$BD$57:$BD$2056,AP$3&amp;"-"&amp;324&amp;"A")+COUNTIF(車両台帳!$BD$57:$BD$2056,AP$3&amp;"-"&amp;315&amp;"A")+COUNTIF(車両台帳!$BD$57:$BD$2056,AP$3&amp;"-"&amp;325&amp;"A"))</f>
        <v/>
      </c>
      <c r="AQ25" s="728" t="str">
        <f>IF(COUNTA(車両台帳!$C$57:$C$2056)=0,"",COUNTIF(車両台帳!$BD$57:$BD$2056,AQ$3&amp;"-"&amp;314&amp;"A")+COUNTIF(車両台帳!$BD$57:$BD$2056,AQ$3&amp;"-"&amp;324&amp;"A")+COUNTIF(車両台帳!$BD$57:$BD$2056,AQ$3&amp;"-"&amp;315&amp;"A")+COUNTIF(車両台帳!$BD$57:$BD$2056,AQ$3&amp;"-"&amp;325&amp;"A"))</f>
        <v/>
      </c>
      <c r="AR25" s="728" t="str">
        <f>IF(COUNTA(車両台帳!$C$57:$C$2056)=0,"",COUNTIF(車両台帳!$BD$57:$BD$2056,AR$3&amp;"-"&amp;314&amp;"A")+COUNTIF(車両台帳!$BD$57:$BD$2056,AR$3&amp;"-"&amp;324&amp;"A")+COUNTIF(車両台帳!$BD$57:$BD$2056,AR$3&amp;"-"&amp;315&amp;"A")+COUNTIF(車両台帳!$BD$57:$BD$2056,AR$3&amp;"-"&amp;325&amp;"A"))</f>
        <v/>
      </c>
      <c r="AS25" s="728" t="str">
        <f>IF(COUNTA(車両台帳!$C$57:$C$2056)=0,"",COUNTIF(車両台帳!$BD$57:$BD$2056,AS$3&amp;"-"&amp;314&amp;"A")+COUNTIF(車両台帳!$BD$57:$BD$2056,AS$3&amp;"-"&amp;324&amp;"A")+COUNTIF(車両台帳!$BD$57:$BD$2056,AS$3&amp;"-"&amp;315&amp;"A")+COUNTIF(車両台帳!$BD$57:$BD$2056,AS$3&amp;"-"&amp;325&amp;"A"))</f>
        <v/>
      </c>
      <c r="AT25" s="728" t="str">
        <f>IF(COUNTA(車両台帳!$C$57:$C$2056)=0,"",COUNTIF(車両台帳!$BD$57:$BD$2056,AT$3&amp;"-"&amp;314&amp;"A")+COUNTIF(車両台帳!$BD$57:$BD$2056,AT$3&amp;"-"&amp;324&amp;"A")+COUNTIF(車両台帳!$BD$57:$BD$2056,AT$3&amp;"-"&amp;315&amp;"A")+COUNTIF(車両台帳!$BD$57:$BD$2056,AT$3&amp;"-"&amp;325&amp;"A"))</f>
        <v/>
      </c>
      <c r="AU25" s="728" t="str">
        <f>IF(COUNTA(車両台帳!$C$57:$C$2056)=0,"",COUNTIF(車両台帳!$BD$57:$BD$2056,AU$3&amp;"-"&amp;314&amp;"A")+COUNTIF(車両台帳!$BD$57:$BD$2056,AU$3&amp;"-"&amp;324&amp;"A")+COUNTIF(車両台帳!$BD$57:$BD$2056,AU$3&amp;"-"&amp;315&amp;"A")+COUNTIF(車両台帳!$BD$57:$BD$2056,AU$3&amp;"-"&amp;325&amp;"A"))</f>
        <v/>
      </c>
      <c r="AV25" s="728" t="str">
        <f>IF(COUNTA(車両台帳!$C$57:$C$2056)=0,"",COUNTIF(車両台帳!$BD$57:$BD$2056,AV$3&amp;"-"&amp;314&amp;"A")+COUNTIF(車両台帳!$BD$57:$BD$2056,AV$3&amp;"-"&amp;324&amp;"A")+COUNTIF(車両台帳!$BD$57:$BD$2056,AV$3&amp;"-"&amp;315&amp;"A")+COUNTIF(車両台帳!$BD$57:$BD$2056,AV$3&amp;"-"&amp;325&amp;"A"))</f>
        <v/>
      </c>
      <c r="AW25" s="728" t="str">
        <f>IF(COUNTA(車両台帳!$C$57:$C$2056)=0,"",COUNTIF(車両台帳!$BD$57:$BD$2056,AW$3&amp;"-"&amp;314&amp;"A")+COUNTIF(車両台帳!$BD$57:$BD$2056,AW$3&amp;"-"&amp;324&amp;"A")+COUNTIF(車両台帳!$BD$57:$BD$2056,AW$3&amp;"-"&amp;315&amp;"A")+COUNTIF(車両台帳!$BD$57:$BD$2056,AW$3&amp;"-"&amp;325&amp;"A"))</f>
        <v/>
      </c>
      <c r="AX25" s="728" t="str">
        <f>IF(COUNTA(車両台帳!$C$57:$C$2056)=0,"",COUNTIF(車両台帳!$BD$57:$BD$2056,AX$3&amp;"-"&amp;314&amp;"A")+COUNTIF(車両台帳!$BD$57:$BD$2056,AX$3&amp;"-"&amp;324&amp;"A")+COUNTIF(車両台帳!$BD$57:$BD$2056,AX$3&amp;"-"&amp;315&amp;"A")+COUNTIF(車両台帳!$BD$57:$BD$2056,AX$3&amp;"-"&amp;325&amp;"A"))</f>
        <v/>
      </c>
      <c r="AY25" s="728" t="str">
        <f>IF(COUNTA(車両台帳!$C$57:$C$2056)=0,"",COUNTIF(車両台帳!$BD$57:$BD$2056,AY$3&amp;"-"&amp;314&amp;"A")+COUNTIF(車両台帳!$BD$57:$BD$2056,AY$3&amp;"-"&amp;324&amp;"A")+COUNTIF(車両台帳!$BD$57:$BD$2056,AY$3&amp;"-"&amp;315&amp;"A")+COUNTIF(車両台帳!$BD$57:$BD$2056,AY$3&amp;"-"&amp;325&amp;"A"))</f>
        <v/>
      </c>
      <c r="AZ25" s="728" t="str">
        <f>IF(COUNTA(車両台帳!$C$57:$C$2056)=0,"",COUNTIF(車両台帳!$BD$57:$BD$2056,AZ$3&amp;"-"&amp;314&amp;"A")+COUNTIF(車両台帳!$BD$57:$BD$2056,AZ$3&amp;"-"&amp;324&amp;"A")+COUNTIF(車両台帳!$BD$57:$BD$2056,AZ$3&amp;"-"&amp;315&amp;"A")+COUNTIF(車両台帳!$BD$57:$BD$2056,AZ$3&amp;"-"&amp;325&amp;"A"))</f>
        <v/>
      </c>
      <c r="BA25" s="728" t="str">
        <f>IF(COUNTA(車両台帳!$C$57:$C$2056)=0,"",COUNTIF(車両台帳!$BD$57:$BD$2056,BA$3&amp;"-"&amp;314&amp;"A")+COUNTIF(車両台帳!$BD$57:$BD$2056,BA$3&amp;"-"&amp;324&amp;"A")+COUNTIF(車両台帳!$BD$57:$BD$2056,BA$3&amp;"-"&amp;315&amp;"A")+COUNTIF(車両台帳!$BD$57:$BD$2056,BA$3&amp;"-"&amp;325&amp;"A"))</f>
        <v/>
      </c>
      <c r="BB25" s="728" t="str">
        <f>IF(COUNTA(車両台帳!$C$57:$C$2056)=0,"",COUNTIF(車両台帳!$BD$57:$BD$2056,BB$3&amp;"-"&amp;314&amp;"A")+COUNTIF(車両台帳!$BD$57:$BD$2056,BB$3&amp;"-"&amp;324&amp;"A")+COUNTIF(車両台帳!$BD$57:$BD$2056,BB$3&amp;"-"&amp;315&amp;"A")+COUNTIF(車両台帳!$BD$57:$BD$2056,BB$3&amp;"-"&amp;325&amp;"A"))</f>
        <v/>
      </c>
      <c r="BC25" s="728" t="str">
        <f>IF(COUNTA(車両台帳!$C$57:$C$2056)=0,"",COUNTIF(車両台帳!$BD$57:$BD$2056,BC$3&amp;"-"&amp;314&amp;"A")+COUNTIF(車両台帳!$BD$57:$BD$2056,BC$3&amp;"-"&amp;324&amp;"A")+COUNTIF(車両台帳!$BD$57:$BD$2056,BC$3&amp;"-"&amp;315&amp;"A")+COUNTIF(車両台帳!$BD$57:$BD$2056,BC$3&amp;"-"&amp;325&amp;"A"))</f>
        <v/>
      </c>
      <c r="BD25" s="728" t="str">
        <f>IF(COUNTA(車両台帳!$C$57:$C$2056)=0,"",COUNTIF(車両台帳!$BD$57:$BD$2056,BD$3&amp;"-"&amp;314&amp;"A")+COUNTIF(車両台帳!$BD$57:$BD$2056,BD$3&amp;"-"&amp;324&amp;"A")+COUNTIF(車両台帳!$BD$57:$BD$2056,BD$3&amp;"-"&amp;315&amp;"A")+COUNTIF(車両台帳!$BD$57:$BD$2056,BD$3&amp;"-"&amp;325&amp;"A"))</f>
        <v/>
      </c>
      <c r="BE25" s="728" t="str">
        <f>IF(COUNTA(車両台帳!$C$57:$C$2056)=0,"",COUNTIF(車両台帳!$BD$57:$BD$2056,BE$3&amp;"-"&amp;314&amp;"A")+COUNTIF(車両台帳!$BD$57:$BD$2056,BE$3&amp;"-"&amp;324&amp;"A")+COUNTIF(車両台帳!$BD$57:$BD$2056,BE$3&amp;"-"&amp;315&amp;"A")+COUNTIF(車両台帳!$BD$57:$BD$2056,BE$3&amp;"-"&amp;325&amp;"A"))</f>
        <v/>
      </c>
      <c r="BF25" s="728" t="str">
        <f>IF(COUNTA(車両台帳!$C$57:$C$2056)=0,"",COUNTIF(車両台帳!$BD$57:$BD$2056,BF$3&amp;"-"&amp;314&amp;"A")+COUNTIF(車両台帳!$BD$57:$BD$2056,BF$3&amp;"-"&amp;324&amp;"A")+COUNTIF(車両台帳!$BD$57:$BD$2056,BF$3&amp;"-"&amp;315&amp;"A")+COUNTIF(車両台帳!$BD$57:$BD$2056,BF$3&amp;"-"&amp;325&amp;"A"))</f>
        <v/>
      </c>
      <c r="BG25" s="728" t="str">
        <f>IF(COUNTA(車両台帳!$C$57:$C$2056)=0,"",COUNTIF(車両台帳!$BD$57:$BD$2056,BG$3&amp;"-"&amp;314&amp;"A")+COUNTIF(車両台帳!$BD$57:$BD$2056,BG$3&amp;"-"&amp;324&amp;"A")+COUNTIF(車両台帳!$BD$57:$BD$2056,BG$3&amp;"-"&amp;315&amp;"A")+COUNTIF(車両台帳!$BD$57:$BD$2056,BG$3&amp;"-"&amp;325&amp;"A"))</f>
        <v/>
      </c>
      <c r="BH25" s="728" t="str">
        <f>IF(COUNTA(車両台帳!$C$57:$C$2056)=0,"",COUNTIF(車両台帳!$BD$57:$BD$2056,BH$3&amp;"-"&amp;314&amp;"A")+COUNTIF(車両台帳!$BD$57:$BD$2056,BH$3&amp;"-"&amp;324&amp;"A")+COUNTIF(車両台帳!$BD$57:$BD$2056,BH$3&amp;"-"&amp;315&amp;"A")+COUNTIF(車両台帳!$BD$57:$BD$2056,BH$3&amp;"-"&amp;325&amp;"A"))</f>
        <v/>
      </c>
      <c r="BI25" s="728" t="str">
        <f>IF(COUNTA(車両台帳!$C$57:$C$2056)=0,"",COUNTIF(車両台帳!$BD$57:$BD$2056,BI$3&amp;"-"&amp;314&amp;"A")+COUNTIF(車両台帳!$BD$57:$BD$2056,BI$3&amp;"-"&amp;324&amp;"A")+COUNTIF(車両台帳!$BD$57:$BD$2056,BI$3&amp;"-"&amp;315&amp;"A")+COUNTIF(車両台帳!$BD$57:$BD$2056,BI$3&amp;"-"&amp;325&amp;"A"))</f>
        <v/>
      </c>
      <c r="BJ25" s="728" t="str">
        <f>IF(COUNTA(車両台帳!$C$57:$C$2056)=0,"",COUNTIF(車両台帳!$BD$57:$BD$2056,BJ$3&amp;"-"&amp;314&amp;"A")+COUNTIF(車両台帳!$BD$57:$BD$2056,BJ$3&amp;"-"&amp;324&amp;"A")+COUNTIF(車両台帳!$BD$57:$BD$2056,BJ$3&amp;"-"&amp;315&amp;"A")+COUNTIF(車両台帳!$BD$57:$BD$2056,BJ$3&amp;"-"&amp;325&amp;"A"))</f>
        <v/>
      </c>
      <c r="BK25" s="728" t="str">
        <f>IF(COUNTA(車両台帳!$C$57:$C$2056)=0,"",COUNTIF(車両台帳!$BD$57:$BD$2056,BK$3&amp;"-"&amp;314&amp;"A")+COUNTIF(車両台帳!$BD$57:$BD$2056,BK$3&amp;"-"&amp;324&amp;"A")+COUNTIF(車両台帳!$BD$57:$BD$2056,BK$3&amp;"-"&amp;315&amp;"A")+COUNTIF(車両台帳!$BD$57:$BD$2056,BK$3&amp;"-"&amp;325&amp;"A"))</f>
        <v/>
      </c>
      <c r="BL25" s="728" t="str">
        <f>IF(COUNTA(車両台帳!$C$57:$C$2056)=0,"",COUNTIF(車両台帳!$BD$57:$BD$2056,BL$3&amp;"-"&amp;314&amp;"A")+COUNTIF(車両台帳!$BD$57:$BD$2056,BL$3&amp;"-"&amp;324&amp;"A")+COUNTIF(車両台帳!$BD$57:$BD$2056,BL$3&amp;"-"&amp;315&amp;"A")+COUNTIF(車両台帳!$BD$57:$BD$2056,BL$3&amp;"-"&amp;325&amp;"A"))</f>
        <v/>
      </c>
      <c r="BM25" s="728" t="str">
        <f>IF(COUNTA(車両台帳!$C$57:$C$2056)=0,"",COUNTIF(車両台帳!$BD$57:$BD$2056,BM$3&amp;"-"&amp;314&amp;"A")+COUNTIF(車両台帳!$BD$57:$BD$2056,BM$3&amp;"-"&amp;324&amp;"A")+COUNTIF(車両台帳!$BD$57:$BD$2056,BM$3&amp;"-"&amp;315&amp;"A")+COUNTIF(車両台帳!$BD$57:$BD$2056,BM$3&amp;"-"&amp;325&amp;"A"))</f>
        <v/>
      </c>
      <c r="BN25" s="728" t="str">
        <f>IF(COUNTA(車両台帳!$C$57:$C$2056)=0,"",COUNTIF(車両台帳!$BD$57:$BD$2056,BN$3&amp;"-"&amp;314&amp;"A")+COUNTIF(車両台帳!$BD$57:$BD$2056,BN$3&amp;"-"&amp;324&amp;"A")+COUNTIF(車両台帳!$BD$57:$BD$2056,BN$3&amp;"-"&amp;315&amp;"A")+COUNTIF(車両台帳!$BD$57:$BD$2056,BN$3&amp;"-"&amp;325&amp;"A"))</f>
        <v/>
      </c>
      <c r="BO25" s="728" t="str">
        <f>IF(COUNTA(車両台帳!$C$57:$C$2056)=0,"",COUNTIF(車両台帳!$BD$57:$BD$2056,BO$3&amp;"-"&amp;314&amp;"A")+COUNTIF(車両台帳!$BD$57:$BD$2056,BO$3&amp;"-"&amp;324&amp;"A")+COUNTIF(車両台帳!$BD$57:$BD$2056,BO$3&amp;"-"&amp;315&amp;"A")+COUNTIF(車両台帳!$BD$57:$BD$2056,BO$3&amp;"-"&amp;325&amp;"A"))</f>
        <v/>
      </c>
      <c r="BP25" s="728" t="str">
        <f>IF(COUNTA(車両台帳!$C$57:$C$2056)=0,"",COUNTIF(車両台帳!$BD$57:$BD$2056,BP$3&amp;"-"&amp;314&amp;"A")+COUNTIF(車両台帳!$BD$57:$BD$2056,BP$3&amp;"-"&amp;324&amp;"A")+COUNTIF(車両台帳!$BD$57:$BD$2056,BP$3&amp;"-"&amp;315&amp;"A")+COUNTIF(車両台帳!$BD$57:$BD$2056,BP$3&amp;"-"&amp;325&amp;"A"))</f>
        <v/>
      </c>
      <c r="BQ25" s="728" t="str">
        <f>IF(COUNTA(車両台帳!$C$57:$C$2056)=0,"",COUNTIF(車両台帳!$BD$57:$BD$2056,BQ$3&amp;"-"&amp;314&amp;"A")+COUNTIF(車両台帳!$BD$57:$BD$2056,BQ$3&amp;"-"&amp;324&amp;"A")+COUNTIF(車両台帳!$BD$57:$BD$2056,BQ$3&amp;"-"&amp;315&amp;"A")+COUNTIF(車両台帳!$BD$57:$BD$2056,BQ$3&amp;"-"&amp;325&amp;"A"))</f>
        <v/>
      </c>
      <c r="BR25" s="728" t="str">
        <f>IF(COUNTA(車両台帳!$C$57:$C$2056)=0,"",COUNTIF(車両台帳!$BD$57:$BD$2056,BR$3&amp;"-"&amp;314&amp;"A")+COUNTIF(車両台帳!$BD$57:$BD$2056,BR$3&amp;"-"&amp;324&amp;"A")+COUNTIF(車両台帳!$BD$57:$BD$2056,BR$3&amp;"-"&amp;315&amp;"A")+COUNTIF(車両台帳!$BD$57:$BD$2056,BR$3&amp;"-"&amp;325&amp;"A"))</f>
        <v/>
      </c>
      <c r="BS25" s="728" t="str">
        <f>IF(COUNTA(車両台帳!$C$57:$C$2056)=0,"",COUNTIF(車両台帳!$BD$57:$BD$2056,BS$3&amp;"-"&amp;314&amp;"A")+COUNTIF(車両台帳!$BD$57:$BD$2056,BS$3&amp;"-"&amp;324&amp;"A")+COUNTIF(車両台帳!$BD$57:$BD$2056,BS$3&amp;"-"&amp;315&amp;"A")+COUNTIF(車両台帳!$BD$57:$BD$2056,BS$3&amp;"-"&amp;325&amp;"A"))</f>
        <v/>
      </c>
      <c r="BT25" s="728" t="str">
        <f>IF(COUNTA(車両台帳!$C$57:$C$2056)=0,"",COUNTIF(車両台帳!$BD$57:$BD$2056,BT$3&amp;"-"&amp;314&amp;"A")+COUNTIF(車両台帳!$BD$57:$BD$2056,BT$3&amp;"-"&amp;324&amp;"A")+COUNTIF(車両台帳!$BD$57:$BD$2056,BT$3&amp;"-"&amp;315&amp;"A")+COUNTIF(車両台帳!$BD$57:$BD$2056,BT$3&amp;"-"&amp;325&amp;"A"))</f>
        <v/>
      </c>
      <c r="BU25" s="728" t="str">
        <f>IF(COUNTA(車両台帳!$C$57:$C$2056)=0,"",COUNTIF(車両台帳!$BD$57:$BD$2056,BU$3&amp;"-"&amp;314&amp;"A")+COUNTIF(車両台帳!$BD$57:$BD$2056,BU$3&amp;"-"&amp;324&amp;"A")+COUNTIF(車両台帳!$BD$57:$BD$2056,BU$3&amp;"-"&amp;315&amp;"A")+COUNTIF(車両台帳!$BD$57:$BD$2056,BU$3&amp;"-"&amp;325&amp;"A"))</f>
        <v/>
      </c>
      <c r="BV25" s="728" t="str">
        <f>IF(COUNTA(車両台帳!$C$57:$C$2056)=0,"",COUNTIF(車両台帳!$BD$57:$BD$2056,BV$3&amp;"-"&amp;314&amp;"A")+COUNTIF(車両台帳!$BD$57:$BD$2056,BV$3&amp;"-"&amp;324&amp;"A")+COUNTIF(車両台帳!$BD$57:$BD$2056,BV$3&amp;"-"&amp;315&amp;"A")+COUNTIF(車両台帳!$BD$57:$BD$2056,BV$3&amp;"-"&amp;325&amp;"A"))</f>
        <v/>
      </c>
      <c r="BW25" s="728" t="str">
        <f>IF(COUNTA(車両台帳!$C$57:$C$2056)=0,"",COUNTIF(車両台帳!$BD$57:$BD$2056,BW$3&amp;"-"&amp;314&amp;"A")+COUNTIF(車両台帳!$BD$57:$BD$2056,BW$3&amp;"-"&amp;324&amp;"A")+COUNTIF(車両台帳!$BD$57:$BD$2056,BW$3&amp;"-"&amp;315&amp;"A")+COUNTIF(車両台帳!$BD$57:$BD$2056,BW$3&amp;"-"&amp;325&amp;"A"))</f>
        <v/>
      </c>
      <c r="BX25" s="728" t="str">
        <f>IF(COUNTA(車両台帳!$C$57:$C$2056)=0,"",COUNTIF(車両台帳!$BD$57:$BD$2056,BX$3&amp;"-"&amp;314&amp;"A")+COUNTIF(車両台帳!$BD$57:$BD$2056,BX$3&amp;"-"&amp;324&amp;"A")+COUNTIF(車両台帳!$BD$57:$BD$2056,BX$3&amp;"-"&amp;315&amp;"A")+COUNTIF(車両台帳!$BD$57:$BD$2056,BX$3&amp;"-"&amp;325&amp;"A"))</f>
        <v/>
      </c>
      <c r="BY25" s="728" t="str">
        <f>IF(COUNTA(車両台帳!$C$57:$C$2056)=0,"",COUNTIF(車両台帳!$BD$57:$BD$2056,BY$3&amp;"-"&amp;314&amp;"A")+COUNTIF(車両台帳!$BD$57:$BD$2056,BY$3&amp;"-"&amp;324&amp;"A")+COUNTIF(車両台帳!$BD$57:$BD$2056,BY$3&amp;"-"&amp;315&amp;"A")+COUNTIF(車両台帳!$BD$57:$BD$2056,BY$3&amp;"-"&amp;325&amp;"A"))</f>
        <v/>
      </c>
      <c r="BZ25" s="728" t="str">
        <f>IF(COUNTA(車両台帳!$C$57:$C$2056)=0,"",COUNTIF(車両台帳!$BD$57:$BD$2056,BZ$3&amp;"-"&amp;314&amp;"A")+COUNTIF(車両台帳!$BD$57:$BD$2056,BZ$3&amp;"-"&amp;324&amp;"A")+COUNTIF(車両台帳!$BD$57:$BD$2056,BZ$3&amp;"-"&amp;315&amp;"A")+COUNTIF(車両台帳!$BD$57:$BD$2056,BZ$3&amp;"-"&amp;325&amp;"A"))</f>
        <v/>
      </c>
      <c r="CA25" s="728" t="str">
        <f>IF(COUNTA(車両台帳!$C$57:$C$2056)=0,"",COUNTIF(車両台帳!$BD$57:$BD$2056,CA$3&amp;"-"&amp;314&amp;"A")+COUNTIF(車両台帳!$BD$57:$BD$2056,CA$3&amp;"-"&amp;324&amp;"A")+COUNTIF(車両台帳!$BD$57:$BD$2056,CA$3&amp;"-"&amp;315&amp;"A")+COUNTIF(車両台帳!$BD$57:$BD$2056,CA$3&amp;"-"&amp;325&amp;"A"))</f>
        <v/>
      </c>
      <c r="CB25" s="728" t="str">
        <f>IF(COUNTA(車両台帳!$C$57:$C$2056)=0,"",COUNTIF(車両台帳!$BD$57:$BD$2056,CB$3&amp;"-"&amp;314&amp;"A")+COUNTIF(車両台帳!$BD$57:$BD$2056,CB$3&amp;"-"&amp;324&amp;"A")+COUNTIF(車両台帳!$BD$57:$BD$2056,CB$3&amp;"-"&amp;315&amp;"A")+COUNTIF(車両台帳!$BD$57:$BD$2056,CB$3&amp;"-"&amp;325&amp;"A"))</f>
        <v/>
      </c>
      <c r="CC25" s="728" t="str">
        <f>IF(COUNTA(車両台帳!$C$57:$C$2056)=0,"",COUNTIF(車両台帳!$BD$57:$BD$2056,CC$3&amp;"-"&amp;314&amp;"A")+COUNTIF(車両台帳!$BD$57:$BD$2056,CC$3&amp;"-"&amp;324&amp;"A")+COUNTIF(車両台帳!$BD$57:$BD$2056,CC$3&amp;"-"&amp;315&amp;"A")+COUNTIF(車両台帳!$BD$57:$BD$2056,CC$3&amp;"-"&amp;325&amp;"A"))</f>
        <v/>
      </c>
      <c r="CD25" s="728" t="str">
        <f>IF(COUNTA(車両台帳!$C$57:$C$2056)=0,"",COUNTIF(車両台帳!$BD$57:$BD$2056,CD$3&amp;"-"&amp;314&amp;"A")+COUNTIF(車両台帳!$BD$57:$BD$2056,CD$3&amp;"-"&amp;324&amp;"A")+COUNTIF(車両台帳!$BD$57:$BD$2056,CD$3&amp;"-"&amp;315&amp;"A")+COUNTIF(車両台帳!$BD$57:$BD$2056,CD$3&amp;"-"&amp;325&amp;"A"))</f>
        <v/>
      </c>
      <c r="CE25" s="728" t="str">
        <f>IF(COUNTA(車両台帳!$C$57:$C$2056)=0,"",COUNTIF(車両台帳!$BD$57:$BD$2056,CE$3&amp;"-"&amp;314&amp;"A")+COUNTIF(車両台帳!$BD$57:$BD$2056,CE$3&amp;"-"&amp;324&amp;"A")+COUNTIF(車両台帳!$BD$57:$BD$2056,CE$3&amp;"-"&amp;315&amp;"A")+COUNTIF(車両台帳!$BD$57:$BD$2056,CE$3&amp;"-"&amp;325&amp;"A"))</f>
        <v/>
      </c>
      <c r="CF25" s="728" t="str">
        <f>IF(COUNTA(車両台帳!$C$57:$C$2056)=0,"",COUNTIF(車両台帳!$BD$57:$BD$2056,CF$3&amp;"-"&amp;314&amp;"A")+COUNTIF(車両台帳!$BD$57:$BD$2056,CF$3&amp;"-"&amp;324&amp;"A")+COUNTIF(車両台帳!$BD$57:$BD$2056,CF$3&amp;"-"&amp;315&amp;"A")+COUNTIF(車両台帳!$BD$57:$BD$2056,CF$3&amp;"-"&amp;325&amp;"A"))</f>
        <v/>
      </c>
      <c r="CG25" s="728" t="str">
        <f>IF(COUNTA(車両台帳!$C$57:$C$2056)=0,"",COUNTIF(車両台帳!$BD$57:$BD$2056,CG$3&amp;"-"&amp;314&amp;"A")+COUNTIF(車両台帳!$BD$57:$BD$2056,CG$3&amp;"-"&amp;324&amp;"A")+COUNTIF(車両台帳!$BD$57:$BD$2056,CG$3&amp;"-"&amp;315&amp;"A")+COUNTIF(車両台帳!$BD$57:$BD$2056,CG$3&amp;"-"&amp;325&amp;"A"))</f>
        <v/>
      </c>
      <c r="CH25" s="728" t="str">
        <f>IF(COUNTA(車両台帳!$C$57:$C$2056)=0,"",COUNTIF(車両台帳!$BD$57:$BD$2056,CH$3&amp;"-"&amp;314&amp;"A")+COUNTIF(車両台帳!$BD$57:$BD$2056,CH$3&amp;"-"&amp;324&amp;"A")+COUNTIF(車両台帳!$BD$57:$BD$2056,CH$3&amp;"-"&amp;315&amp;"A")+COUNTIF(車両台帳!$BD$57:$BD$2056,CH$3&amp;"-"&amp;325&amp;"A"))</f>
        <v/>
      </c>
      <c r="CI25" s="728" t="str">
        <f>IF(COUNTA(車両台帳!$C$57:$C$2056)=0,"",COUNTIF(車両台帳!$BD$57:$BD$2056,CI$3&amp;"-"&amp;314&amp;"A")+COUNTIF(車両台帳!$BD$57:$BD$2056,CI$3&amp;"-"&amp;324&amp;"A")+COUNTIF(車両台帳!$BD$57:$BD$2056,CI$3&amp;"-"&amp;315&amp;"A")+COUNTIF(車両台帳!$BD$57:$BD$2056,CI$3&amp;"-"&amp;325&amp;"A"))</f>
        <v/>
      </c>
      <c r="CJ25" s="728" t="str">
        <f>IF(COUNTA(車両台帳!$C$57:$C$2056)=0,"",COUNTIF(車両台帳!$BD$57:$BD$2056,CJ$3&amp;"-"&amp;314&amp;"A")+COUNTIF(車両台帳!$BD$57:$BD$2056,CJ$3&amp;"-"&amp;324&amp;"A")+COUNTIF(車両台帳!$BD$57:$BD$2056,CJ$3&amp;"-"&amp;315&amp;"A")+COUNTIF(車両台帳!$BD$57:$BD$2056,CJ$3&amp;"-"&amp;325&amp;"A"))</f>
        <v/>
      </c>
      <c r="CK25" s="728" t="str">
        <f>IF(COUNTA(車両台帳!$C$57:$C$2056)=0,"",COUNTIF(車両台帳!$BD$57:$BD$2056,CK$3&amp;"-"&amp;314&amp;"A")+COUNTIF(車両台帳!$BD$57:$BD$2056,CK$3&amp;"-"&amp;324&amp;"A")+COUNTIF(車両台帳!$BD$57:$BD$2056,CK$3&amp;"-"&amp;315&amp;"A")+COUNTIF(車両台帳!$BD$57:$BD$2056,CK$3&amp;"-"&amp;325&amp;"A"))</f>
        <v/>
      </c>
      <c r="CL25" s="728" t="str">
        <f>IF(COUNTA(車両台帳!$C$57:$C$2056)=0,"",COUNTIF(車両台帳!$BD$57:$BD$2056,CL$3&amp;"-"&amp;314&amp;"A")+COUNTIF(車両台帳!$BD$57:$BD$2056,CL$3&amp;"-"&amp;324&amp;"A")+COUNTIF(車両台帳!$BD$57:$BD$2056,CL$3&amp;"-"&amp;315&amp;"A")+COUNTIF(車両台帳!$BD$57:$BD$2056,CL$3&amp;"-"&amp;325&amp;"A"))</f>
        <v/>
      </c>
      <c r="CM25" s="728" t="str">
        <f>IF(COUNTA(車両台帳!$C$57:$C$2056)=0,"",COUNTIF(車両台帳!$BD$57:$BD$2056,CM$3&amp;"-"&amp;314&amp;"A")+COUNTIF(車両台帳!$BD$57:$BD$2056,CM$3&amp;"-"&amp;324&amp;"A")+COUNTIF(車両台帳!$BD$57:$BD$2056,CM$3&amp;"-"&amp;315&amp;"A")+COUNTIF(車両台帳!$BD$57:$BD$2056,CM$3&amp;"-"&amp;325&amp;"A"))</f>
        <v/>
      </c>
      <c r="CN25" s="728" t="str">
        <f>IF(COUNTA(車両台帳!$C$57:$C$2056)=0,"",COUNTIF(車両台帳!$BD$57:$BD$2056,CN$3&amp;"-"&amp;314&amp;"A")+COUNTIF(車両台帳!$BD$57:$BD$2056,CN$3&amp;"-"&amp;324&amp;"A")+COUNTIF(車両台帳!$BD$57:$BD$2056,CN$3&amp;"-"&amp;315&amp;"A")+COUNTIF(車両台帳!$BD$57:$BD$2056,CN$3&amp;"-"&amp;325&amp;"A"))</f>
        <v/>
      </c>
      <c r="CO25" s="728" t="str">
        <f>IF(COUNTA(車両台帳!$C$57:$C$2056)=0,"",COUNTIF(車両台帳!$BD$57:$BD$2056,CO$3&amp;"-"&amp;314&amp;"A")+COUNTIF(車両台帳!$BD$57:$BD$2056,CO$3&amp;"-"&amp;324&amp;"A")+COUNTIF(車両台帳!$BD$57:$BD$2056,CO$3&amp;"-"&amp;315&amp;"A")+COUNTIF(車両台帳!$BD$57:$BD$2056,CO$3&amp;"-"&amp;325&amp;"A"))</f>
        <v/>
      </c>
      <c r="CP25" s="728" t="str">
        <f>IF(COUNTA(車両台帳!$C$57:$C$2056)=0,"",COUNTIF(車両台帳!$BD$57:$BD$2056,CP$3&amp;"-"&amp;314&amp;"A")+COUNTIF(車両台帳!$BD$57:$BD$2056,CP$3&amp;"-"&amp;324&amp;"A")+COUNTIF(車両台帳!$BD$57:$BD$2056,CP$3&amp;"-"&amp;315&amp;"A")+COUNTIF(車両台帳!$BD$57:$BD$2056,CP$3&amp;"-"&amp;325&amp;"A"))</f>
        <v/>
      </c>
      <c r="CQ25" s="728" t="str">
        <f>IF(COUNTA(車両台帳!$C$57:$C$2056)=0,"",COUNTIF(車両台帳!$BD$57:$BD$2056,CQ$3&amp;"-"&amp;314&amp;"A")+COUNTIF(車両台帳!$BD$57:$BD$2056,CQ$3&amp;"-"&amp;324&amp;"A")+COUNTIF(車両台帳!$BD$57:$BD$2056,CQ$3&amp;"-"&amp;315&amp;"A")+COUNTIF(車両台帳!$BD$57:$BD$2056,CQ$3&amp;"-"&amp;325&amp;"A"))</f>
        <v/>
      </c>
      <c r="CR25" s="728" t="str">
        <f>IF(COUNTA(車両台帳!$C$57:$C$2056)=0,"",COUNTIF(車両台帳!$BD$57:$BD$2056,CR$3&amp;"-"&amp;314&amp;"A")+COUNTIF(車両台帳!$BD$57:$BD$2056,CR$3&amp;"-"&amp;324&amp;"A")+COUNTIF(車両台帳!$BD$57:$BD$2056,CR$3&amp;"-"&amp;315&amp;"A")+COUNTIF(車両台帳!$BD$57:$BD$2056,CR$3&amp;"-"&amp;325&amp;"A"))</f>
        <v/>
      </c>
      <c r="CS25" s="728" t="str">
        <f>IF(COUNTA(車両台帳!$C$57:$C$2056)=0,"",COUNTIF(車両台帳!$BD$57:$BD$2056,CS$3&amp;"-"&amp;314&amp;"A")+COUNTIF(車両台帳!$BD$57:$BD$2056,CS$3&amp;"-"&amp;324&amp;"A")+COUNTIF(車両台帳!$BD$57:$BD$2056,CS$3&amp;"-"&amp;315&amp;"A")+COUNTIF(車両台帳!$BD$57:$BD$2056,CS$3&amp;"-"&amp;325&amp;"A"))</f>
        <v/>
      </c>
      <c r="CT25" s="728" t="str">
        <f>IF(COUNTA(車両台帳!$C$57:$C$2056)=0,"",COUNTIF(車両台帳!$BD$57:$BD$2056,CT$3&amp;"-"&amp;314&amp;"A")+COUNTIF(車両台帳!$BD$57:$BD$2056,CT$3&amp;"-"&amp;324&amp;"A")+COUNTIF(車両台帳!$BD$57:$BD$2056,CT$3&amp;"-"&amp;315&amp;"A")+COUNTIF(車両台帳!$BD$57:$BD$2056,CT$3&amp;"-"&amp;325&amp;"A"))</f>
        <v/>
      </c>
      <c r="CU25" s="728" t="str">
        <f>IF(COUNTA(車両台帳!$C$57:$C$2056)=0,"",COUNTIF(車両台帳!$BD$57:$BD$2056,CU$3&amp;"-"&amp;314&amp;"A")+COUNTIF(車両台帳!$BD$57:$BD$2056,CU$3&amp;"-"&amp;324&amp;"A")+COUNTIF(車両台帳!$BD$57:$BD$2056,CU$3&amp;"-"&amp;315&amp;"A")+COUNTIF(車両台帳!$BD$57:$BD$2056,CU$3&amp;"-"&amp;325&amp;"A"))</f>
        <v/>
      </c>
      <c r="CV25" s="728" t="str">
        <f>IF(COUNTA(車両台帳!$C$57:$C$2056)=0,"",COUNTIF(車両台帳!$BD$57:$BD$2056,CV$3&amp;"-"&amp;314&amp;"A")+COUNTIF(車両台帳!$BD$57:$BD$2056,CV$3&amp;"-"&amp;324&amp;"A")+COUNTIF(車両台帳!$BD$57:$BD$2056,CV$3&amp;"-"&amp;315&amp;"A")+COUNTIF(車両台帳!$BD$57:$BD$2056,CV$3&amp;"-"&amp;325&amp;"A"))</f>
        <v/>
      </c>
      <c r="CW25" s="728" t="str">
        <f>IF(COUNTA(車両台帳!$C$57:$C$2056)=0,"",COUNTIF(車両台帳!$BD$57:$BD$2056,CW$3&amp;"-"&amp;314&amp;"A")+COUNTIF(車両台帳!$BD$57:$BD$2056,CW$3&amp;"-"&amp;324&amp;"A")+COUNTIF(車両台帳!$BD$57:$BD$2056,CW$3&amp;"-"&amp;315&amp;"A")+COUNTIF(車両台帳!$BD$57:$BD$2056,CW$3&amp;"-"&amp;325&amp;"A"))</f>
        <v/>
      </c>
      <c r="CX25" s="728" t="str">
        <f>IF(COUNTA(車両台帳!$C$57:$C$2056)=0,"",COUNTIF(車両台帳!$BD$57:$BD$2056,CX$3&amp;"-"&amp;314&amp;"A")+COUNTIF(車両台帳!$BD$57:$BD$2056,CX$3&amp;"-"&amp;324&amp;"A")+COUNTIF(車両台帳!$BD$57:$BD$2056,CX$3&amp;"-"&amp;315&amp;"A")+COUNTIF(車両台帳!$BD$57:$BD$2056,CX$3&amp;"-"&amp;325&amp;"A"))</f>
        <v/>
      </c>
      <c r="CY25" s="728" t="str">
        <f>IF(COUNTA(車両台帳!$C$57:$C$2056)=0,"",COUNTIF(車両台帳!$BD$57:$BD$2056,CY$3&amp;"-"&amp;314&amp;"A")+COUNTIF(車両台帳!$BD$57:$BD$2056,CY$3&amp;"-"&amp;324&amp;"A")+COUNTIF(車両台帳!$BD$57:$BD$2056,CY$3&amp;"-"&amp;315&amp;"A")+COUNTIF(車両台帳!$BD$57:$BD$2056,CY$3&amp;"-"&amp;325&amp;"A"))</f>
        <v/>
      </c>
      <c r="CZ25" s="728" t="str">
        <f>IF(COUNTA(車両台帳!$C$57:$C$2056)=0,"",COUNTIF(車両台帳!$BD$57:$BD$2056,CZ$3&amp;"-"&amp;314&amp;"A")+COUNTIF(車両台帳!$BD$57:$BD$2056,CZ$3&amp;"-"&amp;324&amp;"A")+COUNTIF(車両台帳!$BD$57:$BD$2056,CZ$3&amp;"-"&amp;315&amp;"A")+COUNTIF(車両台帳!$BD$57:$BD$2056,CZ$3&amp;"-"&amp;325&amp;"A"))</f>
        <v/>
      </c>
      <c r="DA25" s="728" t="str">
        <f>IF(COUNTA(車両台帳!$C$57:$C$2056)=0,"",COUNTIF(車両台帳!$BD$57:$BD$2056,DA$3&amp;"-"&amp;314&amp;"A")+COUNTIF(車両台帳!$BD$57:$BD$2056,DA$3&amp;"-"&amp;324&amp;"A")+COUNTIF(車両台帳!$BD$57:$BD$2056,DA$3&amp;"-"&amp;315&amp;"A")+COUNTIF(車両台帳!$BD$57:$BD$2056,DA$3&amp;"-"&amp;325&amp;"A"))</f>
        <v/>
      </c>
      <c r="DB25" s="728" t="str">
        <f>IF(COUNTA(車両台帳!$C$57:$C$2056)=0,"",COUNTIF(車両台帳!$BD$57:$BD$2056,DB$3&amp;"-"&amp;314&amp;"A")+COUNTIF(車両台帳!$BD$57:$BD$2056,DB$3&amp;"-"&amp;324&amp;"A")+COUNTIF(車両台帳!$BD$57:$BD$2056,DB$3&amp;"-"&amp;315&amp;"A")+COUNTIF(車両台帳!$BD$57:$BD$2056,DB$3&amp;"-"&amp;325&amp;"A"))</f>
        <v/>
      </c>
      <c r="DC25" s="728" t="str">
        <f>IF(COUNTA(車両台帳!$C$57:$C$2056)=0,"",COUNTIF(車両台帳!$BD$57:$BD$2056,DC$3&amp;"-"&amp;314&amp;"A")+COUNTIF(車両台帳!$BD$57:$BD$2056,DC$3&amp;"-"&amp;324&amp;"A")+COUNTIF(車両台帳!$BD$57:$BD$2056,DC$3&amp;"-"&amp;315&amp;"A")+COUNTIF(車両台帳!$BD$57:$BD$2056,DC$3&amp;"-"&amp;325&amp;"A"))</f>
        <v/>
      </c>
      <c r="DD25" s="728" t="str">
        <f>IF(COUNTA(車両台帳!$C$57:$C$2056)=0,"",COUNTIF(車両台帳!$BD$57:$BD$2056,DD$3&amp;"-"&amp;314&amp;"A")+COUNTIF(車両台帳!$BD$57:$BD$2056,DD$3&amp;"-"&amp;324&amp;"A")+COUNTIF(車両台帳!$BD$57:$BD$2056,DD$3&amp;"-"&amp;315&amp;"A")+COUNTIF(車両台帳!$BD$57:$BD$2056,DD$3&amp;"-"&amp;325&amp;"A"))</f>
        <v/>
      </c>
      <c r="DE25" s="728" t="str">
        <f>IF(COUNTA(車両台帳!$C$57:$C$2056)=0,"",COUNTIF(車両台帳!$BD$57:$BD$2056,DE$3&amp;"-"&amp;314&amp;"A")+COUNTIF(車両台帳!$BD$57:$BD$2056,DE$3&amp;"-"&amp;324&amp;"A")+COUNTIF(車両台帳!$BD$57:$BD$2056,DE$3&amp;"-"&amp;315&amp;"A")+COUNTIF(車両台帳!$BD$57:$BD$2056,DE$3&amp;"-"&amp;325&amp;"A"))</f>
        <v/>
      </c>
      <c r="DF25" s="728" t="str">
        <f>IF(COUNTA(車両台帳!$C$57:$C$2056)=0,"",COUNTIF(車両台帳!$BD$57:$BD$2056,DF$3&amp;"-"&amp;314&amp;"A")+COUNTIF(車両台帳!$BD$57:$BD$2056,DF$3&amp;"-"&amp;324&amp;"A")+COUNTIF(車両台帳!$BD$57:$BD$2056,DF$3&amp;"-"&amp;315&amp;"A")+COUNTIF(車両台帳!$BD$57:$BD$2056,DF$3&amp;"-"&amp;325&amp;"A"))</f>
        <v/>
      </c>
      <c r="DG25" s="728" t="str">
        <f>IF(COUNTA(車両台帳!$C$57:$C$2056)=0,"",COUNTIF(車両台帳!$BD$57:$BD$2056,DG$3&amp;"-"&amp;314&amp;"A")+COUNTIF(車両台帳!$BD$57:$BD$2056,DG$3&amp;"-"&amp;324&amp;"A")+COUNTIF(車両台帳!$BD$57:$BD$2056,DG$3&amp;"-"&amp;315&amp;"A")+COUNTIF(車両台帳!$BD$57:$BD$2056,DG$3&amp;"-"&amp;325&amp;"A"))</f>
        <v/>
      </c>
      <c r="DH25" s="728" t="str">
        <f>IF(COUNTA(車両台帳!$C$57:$C$2056)=0,"",COUNTIF(車両台帳!$BD$57:$BD$2056,DH$3&amp;"-"&amp;314&amp;"A")+COUNTIF(車両台帳!$BD$57:$BD$2056,DH$3&amp;"-"&amp;324&amp;"A")+COUNTIF(車両台帳!$BD$57:$BD$2056,DH$3&amp;"-"&amp;315&amp;"A")+COUNTIF(車両台帳!$BD$57:$BD$2056,DH$3&amp;"-"&amp;325&amp;"A"))</f>
        <v/>
      </c>
      <c r="DI25" s="728" t="str">
        <f>IF(COUNTA(車両台帳!$C$57:$C$2056)=0,"",COUNTIF(車両台帳!$BD$57:$BD$2056,DI$3&amp;"-"&amp;314&amp;"A")+COUNTIF(車両台帳!$BD$57:$BD$2056,DI$3&amp;"-"&amp;324&amp;"A")+COUNTIF(車両台帳!$BD$57:$BD$2056,DI$3&amp;"-"&amp;315&amp;"A")+COUNTIF(車両台帳!$BD$57:$BD$2056,DI$3&amp;"-"&amp;325&amp;"A"))</f>
        <v/>
      </c>
      <c r="DJ25" s="728" t="str">
        <f>IF(COUNTA(車両台帳!$C$57:$C$2056)=0,"",COUNTIF(車両台帳!$BD$57:$BD$2056,DJ$3&amp;"-"&amp;314&amp;"A")+COUNTIF(車両台帳!$BD$57:$BD$2056,DJ$3&amp;"-"&amp;324&amp;"A")+COUNTIF(車両台帳!$BD$57:$BD$2056,DJ$3&amp;"-"&amp;315&amp;"A")+COUNTIF(車両台帳!$BD$57:$BD$2056,DJ$3&amp;"-"&amp;325&amp;"A"))</f>
        <v/>
      </c>
      <c r="DK25" s="728" t="str">
        <f>IF(COUNTA(車両台帳!$C$57:$C$2056)=0,"",COUNTIF(車両台帳!$BD$57:$BD$2056,DK$3&amp;"-"&amp;314&amp;"A")+COUNTIF(車両台帳!$BD$57:$BD$2056,DK$3&amp;"-"&amp;324&amp;"A")+COUNTIF(車両台帳!$BD$57:$BD$2056,DK$3&amp;"-"&amp;315&amp;"A")+COUNTIF(車両台帳!$BD$57:$BD$2056,DK$3&amp;"-"&amp;325&amp;"A"))</f>
        <v/>
      </c>
      <c r="DL25" s="728" t="str">
        <f>IF(COUNTA(車両台帳!$C$57:$C$2056)=0,"",COUNTIF(車両台帳!$BD$57:$BD$2056,DL$3&amp;"-"&amp;314&amp;"A")+COUNTIF(車両台帳!$BD$57:$BD$2056,DL$3&amp;"-"&amp;324&amp;"A")+COUNTIF(車両台帳!$BD$57:$BD$2056,DL$3&amp;"-"&amp;315&amp;"A")+COUNTIF(車両台帳!$BD$57:$BD$2056,DL$3&amp;"-"&amp;325&amp;"A"))</f>
        <v/>
      </c>
      <c r="DM25" s="728" t="str">
        <f>IF(COUNTA(車両台帳!$C$57:$C$2056)=0,"",COUNTIF(車両台帳!$BD$57:$BD$2056,DM$3&amp;"-"&amp;314&amp;"A")+COUNTIF(車両台帳!$BD$57:$BD$2056,DM$3&amp;"-"&amp;324&amp;"A")+COUNTIF(車両台帳!$BD$57:$BD$2056,DM$3&amp;"-"&amp;315&amp;"A")+COUNTIF(車両台帳!$BD$57:$BD$2056,DM$3&amp;"-"&amp;325&amp;"A"))</f>
        <v/>
      </c>
      <c r="DN25" s="728" t="str">
        <f>IF(COUNTA(車両台帳!$C$57:$C$2056)=0,"",COUNTIF(車両台帳!$BD$57:$BD$2056,DN$3&amp;"-"&amp;314&amp;"A")+COUNTIF(車両台帳!$BD$57:$BD$2056,DN$3&amp;"-"&amp;324&amp;"A")+COUNTIF(車両台帳!$BD$57:$BD$2056,DN$3&amp;"-"&amp;315&amp;"A")+COUNTIF(車両台帳!$BD$57:$BD$2056,DN$3&amp;"-"&amp;325&amp;"A"))</f>
        <v/>
      </c>
      <c r="DO25" s="728" t="str">
        <f>IF(COUNTA(車両台帳!$C$57:$C$2056)=0,"",COUNTIF(車両台帳!$BD$57:$BD$2056,DO$3&amp;"-"&amp;314&amp;"A")+COUNTIF(車両台帳!$BD$57:$BD$2056,DO$3&amp;"-"&amp;324&amp;"A")+COUNTIF(車両台帳!$BD$57:$BD$2056,DO$3&amp;"-"&amp;315&amp;"A")+COUNTIF(車両台帳!$BD$57:$BD$2056,DO$3&amp;"-"&amp;325&amp;"A"))</f>
        <v/>
      </c>
      <c r="DP25" s="728" t="str">
        <f>IF(COUNTA(車両台帳!$C$57:$C$2056)=0,"",COUNTIF(車両台帳!$BD$57:$BD$2056,DP$3&amp;"-"&amp;314&amp;"A")+COUNTIF(車両台帳!$BD$57:$BD$2056,DP$3&amp;"-"&amp;324&amp;"A")+COUNTIF(車両台帳!$BD$57:$BD$2056,DP$3&amp;"-"&amp;315&amp;"A")+COUNTIF(車両台帳!$BD$57:$BD$2056,DP$3&amp;"-"&amp;325&amp;"A"))</f>
        <v/>
      </c>
      <c r="DQ25" s="728" t="str">
        <f>IF(COUNTA(車両台帳!$C$57:$C$2056)=0,"",COUNTIF(車両台帳!$BD$57:$BD$2056,DQ$3&amp;"-"&amp;314&amp;"A")+COUNTIF(車両台帳!$BD$57:$BD$2056,DQ$3&amp;"-"&amp;324&amp;"A")+COUNTIF(車両台帳!$BD$57:$BD$2056,DQ$3&amp;"-"&amp;315&amp;"A")+COUNTIF(車両台帳!$BD$57:$BD$2056,DQ$3&amp;"-"&amp;325&amp;"A"))</f>
        <v/>
      </c>
      <c r="DR25" s="728" t="str">
        <f>IF(COUNTA(車両台帳!$C$57:$C$2056)=0,"",COUNTIF(車両台帳!$BD$57:$BD$2056,DR$3&amp;"-"&amp;314&amp;"A")+COUNTIF(車両台帳!$BD$57:$BD$2056,DR$3&amp;"-"&amp;324&amp;"A")+COUNTIF(車両台帳!$BD$57:$BD$2056,DR$3&amp;"-"&amp;315&amp;"A")+COUNTIF(車両台帳!$BD$57:$BD$2056,DR$3&amp;"-"&amp;325&amp;"A"))</f>
        <v/>
      </c>
      <c r="DS25" s="728" t="str">
        <f>IF(COUNTA(車両台帳!$C$57:$C$2056)=0,"",COUNTIF(車両台帳!$BD$57:$BD$2056,DS$3&amp;"-"&amp;314&amp;"A")+COUNTIF(車両台帳!$BD$57:$BD$2056,DS$3&amp;"-"&amp;324&amp;"A")+COUNTIF(車両台帳!$BD$57:$BD$2056,DS$3&amp;"-"&amp;315&amp;"A")+COUNTIF(車両台帳!$BD$57:$BD$2056,DS$3&amp;"-"&amp;325&amp;"A"))</f>
        <v/>
      </c>
      <c r="DT25" s="728" t="str">
        <f>IF(COUNTA(車両台帳!$C$57:$C$2056)=0,"",COUNTIF(車両台帳!$BD$57:$BD$2056,DT$3&amp;"-"&amp;314&amp;"A")+COUNTIF(車両台帳!$BD$57:$BD$2056,DT$3&amp;"-"&amp;324&amp;"A")+COUNTIF(車両台帳!$BD$57:$BD$2056,DT$3&amp;"-"&amp;315&amp;"A")+COUNTIF(車両台帳!$BD$57:$BD$2056,DT$3&amp;"-"&amp;325&amp;"A"))</f>
        <v/>
      </c>
      <c r="DU25" s="728" t="str">
        <f>IF(COUNTA(車両台帳!$C$57:$C$2056)=0,"",COUNTIF(車両台帳!$BD$57:$BD$2056,DU$3&amp;"-"&amp;314&amp;"A")+COUNTIF(車両台帳!$BD$57:$BD$2056,DU$3&amp;"-"&amp;324&amp;"A")+COUNTIF(車両台帳!$BD$57:$BD$2056,DU$3&amp;"-"&amp;315&amp;"A")+COUNTIF(車両台帳!$BD$57:$BD$2056,DU$3&amp;"-"&amp;325&amp;"A"))</f>
        <v/>
      </c>
      <c r="DV25" s="728" t="str">
        <f>IF(COUNTA(車両台帳!$C$57:$C$2056)=0,"",COUNTIF(車両台帳!$BD$57:$BD$2056,DV$3&amp;"-"&amp;314&amp;"A")+COUNTIF(車両台帳!$BD$57:$BD$2056,DV$3&amp;"-"&amp;324&amp;"A")+COUNTIF(車両台帳!$BD$57:$BD$2056,DV$3&amp;"-"&amp;315&amp;"A")+COUNTIF(車両台帳!$BD$57:$BD$2056,DV$3&amp;"-"&amp;325&amp;"A"))</f>
        <v/>
      </c>
      <c r="DW25" s="728" t="str">
        <f>IF(COUNTA(車両台帳!$C$57:$C$2056)=0,"",COUNTIF(車両台帳!$BD$57:$BD$2056,DW$3&amp;"-"&amp;314&amp;"A")+COUNTIF(車両台帳!$BD$57:$BD$2056,DW$3&amp;"-"&amp;324&amp;"A")+COUNTIF(車両台帳!$BD$57:$BD$2056,DW$3&amp;"-"&amp;315&amp;"A")+COUNTIF(車両台帳!$BD$57:$BD$2056,DW$3&amp;"-"&amp;325&amp;"A"))</f>
        <v/>
      </c>
      <c r="DX25" s="728" t="str">
        <f>IF(COUNTA(車両台帳!$C$57:$C$2056)=0,"",COUNTIF(車両台帳!$BD$57:$BD$2056,DX$3&amp;"-"&amp;314&amp;"A")+COUNTIF(車両台帳!$BD$57:$BD$2056,DX$3&amp;"-"&amp;324&amp;"A")+COUNTIF(車両台帳!$BD$57:$BD$2056,DX$3&amp;"-"&amp;315&amp;"A")+COUNTIF(車両台帳!$BD$57:$BD$2056,DX$3&amp;"-"&amp;325&amp;"A"))</f>
        <v/>
      </c>
      <c r="DY25" s="728" t="str">
        <f>IF(COUNTA(車両台帳!$C$57:$C$2056)=0,"",COUNTIF(車両台帳!$BD$57:$BD$2056,DY$3&amp;"-"&amp;314&amp;"A")+COUNTIF(車両台帳!$BD$57:$BD$2056,DY$3&amp;"-"&amp;324&amp;"A")+COUNTIF(車両台帳!$BD$57:$BD$2056,DY$3&amp;"-"&amp;315&amp;"A")+COUNTIF(車両台帳!$BD$57:$BD$2056,DY$3&amp;"-"&amp;325&amp;"A"))</f>
        <v/>
      </c>
      <c r="DZ25" s="728" t="str">
        <f>IF(COUNTA(車両台帳!$C$57:$C$2056)=0,"",COUNTIF(車両台帳!$BD$57:$BD$2056,DZ$3&amp;"-"&amp;314&amp;"A")+COUNTIF(車両台帳!$BD$57:$BD$2056,DZ$3&amp;"-"&amp;324&amp;"A")+COUNTIF(車両台帳!$BD$57:$BD$2056,DZ$3&amp;"-"&amp;315&amp;"A")+COUNTIF(車両台帳!$BD$57:$BD$2056,DZ$3&amp;"-"&amp;325&amp;"A"))</f>
        <v/>
      </c>
      <c r="EA25" s="728" t="str">
        <f>IF(COUNTA(車両台帳!$C$57:$C$2056)=0,"",COUNTIF(車両台帳!$BD$57:$BD$2056,EA$3&amp;"-"&amp;314&amp;"A")+COUNTIF(車両台帳!$BD$57:$BD$2056,EA$3&amp;"-"&amp;324&amp;"A")+COUNTIF(車両台帳!$BD$57:$BD$2056,EA$3&amp;"-"&amp;315&amp;"A")+COUNTIF(車両台帳!$BD$57:$BD$2056,EA$3&amp;"-"&amp;325&amp;"A"))</f>
        <v/>
      </c>
      <c r="EB25" s="728" t="str">
        <f>IF(COUNTA(車両台帳!$C$57:$C$2056)=0,"",COUNTIF(車両台帳!$BD$57:$BD$2056,EB$3&amp;"-"&amp;314&amp;"A")+COUNTIF(車両台帳!$BD$57:$BD$2056,EB$3&amp;"-"&amp;324&amp;"A")+COUNTIF(車両台帳!$BD$57:$BD$2056,EB$3&amp;"-"&amp;315&amp;"A")+COUNTIF(車両台帳!$BD$57:$BD$2056,EB$3&amp;"-"&amp;325&amp;"A"))</f>
        <v/>
      </c>
      <c r="EC25" s="728" t="str">
        <f>IF(COUNTA(車両台帳!$C$57:$C$2056)=0,"",COUNTIF(車両台帳!$BD$57:$BD$2056,EC$3&amp;"-"&amp;314&amp;"A")+COUNTIF(車両台帳!$BD$57:$BD$2056,EC$3&amp;"-"&amp;324&amp;"A")+COUNTIF(車両台帳!$BD$57:$BD$2056,EC$3&amp;"-"&amp;315&amp;"A")+COUNTIF(車両台帳!$BD$57:$BD$2056,EC$3&amp;"-"&amp;325&amp;"A"))</f>
        <v/>
      </c>
      <c r="ED25" s="728" t="str">
        <f>IF(COUNTA(車両台帳!$C$57:$C$2056)=0,"",COUNTIF(車両台帳!$BD$57:$BD$2056,ED$3&amp;"-"&amp;314&amp;"A")+COUNTIF(車両台帳!$BD$57:$BD$2056,ED$3&amp;"-"&amp;324&amp;"A")+COUNTIF(車両台帳!$BD$57:$BD$2056,ED$3&amp;"-"&amp;315&amp;"A")+COUNTIF(車両台帳!$BD$57:$BD$2056,ED$3&amp;"-"&amp;325&amp;"A"))</f>
        <v/>
      </c>
      <c r="EE25" s="728" t="str">
        <f>IF(COUNTA(車両台帳!$C$57:$C$2056)=0,"",COUNTIF(車両台帳!$BD$57:$BD$2056,EE$3&amp;"-"&amp;314&amp;"A")+COUNTIF(車両台帳!$BD$57:$BD$2056,EE$3&amp;"-"&amp;324&amp;"A")+COUNTIF(車両台帳!$BD$57:$BD$2056,EE$3&amp;"-"&amp;315&amp;"A")+COUNTIF(車両台帳!$BD$57:$BD$2056,EE$3&amp;"-"&amp;325&amp;"A"))</f>
        <v/>
      </c>
      <c r="EF25" s="728" t="str">
        <f>IF(COUNTA(車両台帳!$C$57:$C$2056)=0,"",COUNTIF(車両台帳!$BD$57:$BD$2056,EF$3&amp;"-"&amp;314&amp;"A")+COUNTIF(車両台帳!$BD$57:$BD$2056,EF$3&amp;"-"&amp;324&amp;"A")+COUNTIF(車両台帳!$BD$57:$BD$2056,EF$3&amp;"-"&amp;315&amp;"A")+COUNTIF(車両台帳!$BD$57:$BD$2056,EF$3&amp;"-"&amp;325&amp;"A"))</f>
        <v/>
      </c>
      <c r="EG25" s="728" t="str">
        <f>IF(COUNTA(車両台帳!$C$57:$C$2056)=0,"",COUNTIF(車両台帳!$BD$57:$BD$2056,EG$3&amp;"-"&amp;314&amp;"A")+COUNTIF(車両台帳!$BD$57:$BD$2056,EG$3&amp;"-"&amp;324&amp;"A")+COUNTIF(車両台帳!$BD$57:$BD$2056,EG$3&amp;"-"&amp;315&amp;"A")+COUNTIF(車両台帳!$BD$57:$BD$2056,EG$3&amp;"-"&amp;325&amp;"A"))</f>
        <v/>
      </c>
      <c r="EH25" s="728" t="str">
        <f>IF(COUNTA(車両台帳!$C$57:$C$2056)=0,"",COUNTIF(車両台帳!$BD$57:$BD$2056,EH$3&amp;"-"&amp;314&amp;"A")+COUNTIF(車両台帳!$BD$57:$BD$2056,EH$3&amp;"-"&amp;324&amp;"A")+COUNTIF(車両台帳!$BD$57:$BD$2056,EH$3&amp;"-"&amp;315&amp;"A")+COUNTIF(車両台帳!$BD$57:$BD$2056,EH$3&amp;"-"&amp;325&amp;"A"))</f>
        <v/>
      </c>
      <c r="EI25" s="728" t="str">
        <f>IF(COUNTA(車両台帳!$C$57:$C$2056)=0,"",COUNTIF(車両台帳!$BD$57:$BD$2056,EI$3&amp;"-"&amp;314&amp;"A")+COUNTIF(車両台帳!$BD$57:$BD$2056,EI$3&amp;"-"&amp;324&amp;"A")+COUNTIF(車両台帳!$BD$57:$BD$2056,EI$3&amp;"-"&amp;315&amp;"A")+COUNTIF(車両台帳!$BD$57:$BD$2056,EI$3&amp;"-"&amp;325&amp;"A"))</f>
        <v/>
      </c>
      <c r="EJ25" s="728" t="str">
        <f>IF(COUNTA(車両台帳!$C$57:$C$2056)=0,"",COUNTIF(車両台帳!$BD$57:$BD$2056,EJ$3&amp;"-"&amp;314&amp;"A")+COUNTIF(車両台帳!$BD$57:$BD$2056,EJ$3&amp;"-"&amp;324&amp;"A")+COUNTIF(車両台帳!$BD$57:$BD$2056,EJ$3&amp;"-"&amp;315&amp;"A")+COUNTIF(車両台帳!$BD$57:$BD$2056,EJ$3&amp;"-"&amp;325&amp;"A"))</f>
        <v/>
      </c>
      <c r="EK25" s="728" t="str">
        <f>IF(COUNTA(車両台帳!$C$57:$C$2056)=0,"",COUNTIF(車両台帳!$BD$57:$BD$2056,EK$3&amp;"-"&amp;314&amp;"A")+COUNTIF(車両台帳!$BD$57:$BD$2056,EK$3&amp;"-"&amp;324&amp;"A")+COUNTIF(車両台帳!$BD$57:$BD$2056,EK$3&amp;"-"&amp;315&amp;"A")+COUNTIF(車両台帳!$BD$57:$BD$2056,EK$3&amp;"-"&amp;325&amp;"A"))</f>
        <v/>
      </c>
      <c r="EL25" s="728" t="str">
        <f>IF(COUNTA(車両台帳!$C$57:$C$2056)=0,"",COUNTIF(車両台帳!$BD$57:$BD$2056,EL$3&amp;"-"&amp;314&amp;"A")+COUNTIF(車両台帳!$BD$57:$BD$2056,EL$3&amp;"-"&amp;324&amp;"A")+COUNTIF(車両台帳!$BD$57:$BD$2056,EL$3&amp;"-"&amp;315&amp;"A")+COUNTIF(車両台帳!$BD$57:$BD$2056,EL$3&amp;"-"&amp;325&amp;"A"))</f>
        <v/>
      </c>
      <c r="EM25" s="728" t="str">
        <f>IF(COUNTA(車両台帳!$C$57:$C$2056)=0,"",COUNTIF(車両台帳!$BD$57:$BD$2056,EM$3&amp;"-"&amp;314&amp;"A")+COUNTIF(車両台帳!$BD$57:$BD$2056,EM$3&amp;"-"&amp;324&amp;"A")+COUNTIF(車両台帳!$BD$57:$BD$2056,EM$3&amp;"-"&amp;315&amp;"A")+COUNTIF(車両台帳!$BD$57:$BD$2056,EM$3&amp;"-"&amp;325&amp;"A"))</f>
        <v/>
      </c>
      <c r="EN25" s="728" t="str">
        <f>IF(COUNTA(車両台帳!$C$57:$C$2056)=0,"",COUNTIF(車両台帳!$BD$57:$BD$2056,EN$3&amp;"-"&amp;314&amp;"A")+COUNTIF(車両台帳!$BD$57:$BD$2056,EN$3&amp;"-"&amp;324&amp;"A")+COUNTIF(車両台帳!$BD$57:$BD$2056,EN$3&amp;"-"&amp;315&amp;"A")+COUNTIF(車両台帳!$BD$57:$BD$2056,EN$3&amp;"-"&amp;325&amp;"A"))</f>
        <v/>
      </c>
      <c r="EO25" s="728" t="str">
        <f>IF(COUNTA(車両台帳!$C$57:$C$2056)=0,"",COUNTIF(車両台帳!$BD$57:$BD$2056,EO$3&amp;"-"&amp;314&amp;"A")+COUNTIF(車両台帳!$BD$57:$BD$2056,EO$3&amp;"-"&amp;324&amp;"A")+COUNTIF(車両台帳!$BD$57:$BD$2056,EO$3&amp;"-"&amp;315&amp;"A")+COUNTIF(車両台帳!$BD$57:$BD$2056,EO$3&amp;"-"&amp;325&amp;"A"))</f>
        <v/>
      </c>
      <c r="EP25" s="728" t="str">
        <f>IF(COUNTA(車両台帳!$C$57:$C$2056)=0,"",COUNTIF(車両台帳!$BD$57:$BD$2056,EP$3&amp;"-"&amp;314&amp;"A")+COUNTIF(車両台帳!$BD$57:$BD$2056,EP$3&amp;"-"&amp;324&amp;"A")+COUNTIF(車両台帳!$BD$57:$BD$2056,EP$3&amp;"-"&amp;315&amp;"A")+COUNTIF(車両台帳!$BD$57:$BD$2056,EP$3&amp;"-"&amp;325&amp;"A"))</f>
        <v/>
      </c>
      <c r="EQ25" s="728" t="str">
        <f>IF(COUNTA(車両台帳!$C$57:$C$2056)=0,"",COUNTIF(車両台帳!$BD$57:$BD$2056,EQ$3&amp;"-"&amp;314&amp;"A")+COUNTIF(車両台帳!$BD$57:$BD$2056,EQ$3&amp;"-"&amp;324&amp;"A")+COUNTIF(車両台帳!$BD$57:$BD$2056,EQ$3&amp;"-"&amp;315&amp;"A")+COUNTIF(車両台帳!$BD$57:$BD$2056,EQ$3&amp;"-"&amp;325&amp;"A"))</f>
        <v/>
      </c>
      <c r="ER25" s="728" t="str">
        <f>IF(COUNTA(車両台帳!$C$57:$C$2056)=0,"",COUNTIF(車両台帳!$BD$57:$BD$2056,ER$3&amp;"-"&amp;314&amp;"A")+COUNTIF(車両台帳!$BD$57:$BD$2056,ER$3&amp;"-"&amp;324&amp;"A")+COUNTIF(車両台帳!$BD$57:$BD$2056,ER$3&amp;"-"&amp;315&amp;"A")+COUNTIF(車両台帳!$BD$57:$BD$2056,ER$3&amp;"-"&amp;325&amp;"A"))</f>
        <v/>
      </c>
      <c r="ES25" s="728" t="str">
        <f>IF(COUNTA(車両台帳!$C$57:$C$2056)=0,"",COUNTIF(車両台帳!$BD$57:$BD$2056,ES$3&amp;"-"&amp;314&amp;"A")+COUNTIF(車両台帳!$BD$57:$BD$2056,ES$3&amp;"-"&amp;324&amp;"A")+COUNTIF(車両台帳!$BD$57:$BD$2056,ES$3&amp;"-"&amp;315&amp;"A")+COUNTIF(車両台帳!$BD$57:$BD$2056,ES$3&amp;"-"&amp;325&amp;"A"))</f>
        <v/>
      </c>
      <c r="ET25" s="728" t="str">
        <f>IF(COUNTA(車両台帳!$C$57:$C$2056)=0,"",COUNTIF(車両台帳!$BD$57:$BD$2056,ET$3&amp;"-"&amp;314&amp;"A")+COUNTIF(車両台帳!$BD$57:$BD$2056,ET$3&amp;"-"&amp;324&amp;"A")+COUNTIF(車両台帳!$BD$57:$BD$2056,ET$3&amp;"-"&amp;315&amp;"A")+COUNTIF(車両台帳!$BD$57:$BD$2056,ET$3&amp;"-"&amp;325&amp;"A"))</f>
        <v/>
      </c>
      <c r="EU25" s="728" t="str">
        <f>IF(COUNTA(車両台帳!$C$57:$C$2056)=0,"",COUNTIF(車両台帳!$BD$57:$BD$2056,EU$3&amp;"-"&amp;314&amp;"A")+COUNTIF(車両台帳!$BD$57:$BD$2056,EU$3&amp;"-"&amp;324&amp;"A")+COUNTIF(車両台帳!$BD$57:$BD$2056,EU$3&amp;"-"&amp;315&amp;"A")+COUNTIF(車両台帳!$BD$57:$BD$2056,EU$3&amp;"-"&amp;325&amp;"A"))</f>
        <v/>
      </c>
      <c r="EV25" s="728" t="str">
        <f>IF(COUNTA(車両台帳!$C$57:$C$2056)=0,"",COUNTIF(車両台帳!$BD$57:$BD$2056,EV$3&amp;"-"&amp;314&amp;"A")+COUNTIF(車両台帳!$BD$57:$BD$2056,EV$3&amp;"-"&amp;324&amp;"A")+COUNTIF(車両台帳!$BD$57:$BD$2056,EV$3&amp;"-"&amp;315&amp;"A")+COUNTIF(車両台帳!$BD$57:$BD$2056,EV$3&amp;"-"&amp;325&amp;"A"))</f>
        <v/>
      </c>
      <c r="EW25" s="728" t="str">
        <f>IF(COUNTA(車両台帳!$C$57:$C$2056)=0,"",COUNTIF(車両台帳!$BD$57:$BD$2056,EW$3&amp;"-"&amp;314&amp;"A")+COUNTIF(車両台帳!$BD$57:$BD$2056,EW$3&amp;"-"&amp;324&amp;"A")+COUNTIF(車両台帳!$BD$57:$BD$2056,EW$3&amp;"-"&amp;315&amp;"A")+COUNTIF(車両台帳!$BD$57:$BD$2056,EW$3&amp;"-"&amp;325&amp;"A"))</f>
        <v/>
      </c>
      <c r="EX25" s="728" t="str">
        <f>IF(COUNTA(車両台帳!$C$57:$C$2056)=0,"",COUNTIF(車両台帳!$BD$57:$BD$2056,EX$3&amp;"-"&amp;314&amp;"A")+COUNTIF(車両台帳!$BD$57:$BD$2056,EX$3&amp;"-"&amp;324&amp;"A")+COUNTIF(車両台帳!$BD$57:$BD$2056,EX$3&amp;"-"&amp;315&amp;"A")+COUNTIF(車両台帳!$BD$57:$BD$2056,EX$3&amp;"-"&amp;325&amp;"A"))</f>
        <v/>
      </c>
      <c r="EY25" s="728" t="str">
        <f>IF(COUNTA(車両台帳!$C$57:$C$2056)=0,"",COUNTIF(車両台帳!$BD$57:$BD$2056,EY$3&amp;"-"&amp;314&amp;"A")+COUNTIF(車両台帳!$BD$57:$BD$2056,EY$3&amp;"-"&amp;324&amp;"A")+COUNTIF(車両台帳!$BD$57:$BD$2056,EY$3&amp;"-"&amp;315&amp;"A")+COUNTIF(車両台帳!$BD$57:$BD$2056,EY$3&amp;"-"&amp;325&amp;"A"))</f>
        <v/>
      </c>
      <c r="EZ25" s="728" t="str">
        <f>IF(COUNTA(車両台帳!$C$57:$C$2056)=0,"",COUNTIF(車両台帳!$BD$57:$BD$2056,EZ$3&amp;"-"&amp;314&amp;"A")+COUNTIF(車両台帳!$BD$57:$BD$2056,EZ$3&amp;"-"&amp;324&amp;"A")+COUNTIF(車両台帳!$BD$57:$BD$2056,EZ$3&amp;"-"&amp;315&amp;"A")+COUNTIF(車両台帳!$BD$57:$BD$2056,EZ$3&amp;"-"&amp;325&amp;"A"))</f>
        <v/>
      </c>
      <c r="FA25" s="728" t="str">
        <f>IF(COUNTA(車両台帳!$C$57:$C$2056)=0,"",COUNTIF(車両台帳!$BD$57:$BD$2056,FA$3&amp;"-"&amp;314&amp;"A")+COUNTIF(車両台帳!$BD$57:$BD$2056,FA$3&amp;"-"&amp;324&amp;"A")+COUNTIF(車両台帳!$BD$57:$BD$2056,FA$3&amp;"-"&amp;315&amp;"A")+COUNTIF(車両台帳!$BD$57:$BD$2056,FA$3&amp;"-"&amp;325&amp;"A"))</f>
        <v/>
      </c>
      <c r="FB25" s="728" t="str">
        <f>IF(COUNTA(車両台帳!$C$57:$C$2056)=0,"",COUNTIF(車両台帳!$BD$57:$BD$2056,FB$3&amp;"-"&amp;314&amp;"A")+COUNTIF(車両台帳!$BD$57:$BD$2056,FB$3&amp;"-"&amp;324&amp;"A")+COUNTIF(車両台帳!$BD$57:$BD$2056,FB$3&amp;"-"&amp;315&amp;"A")+COUNTIF(車両台帳!$BD$57:$BD$2056,FB$3&amp;"-"&amp;325&amp;"A"))</f>
        <v/>
      </c>
      <c r="FC25" s="728" t="str">
        <f>IF(COUNTA(車両台帳!$C$57:$C$2056)=0,"",COUNTIF(車両台帳!$BD$57:$BD$2056,FC$3&amp;"-"&amp;314&amp;"A")+COUNTIF(車両台帳!$BD$57:$BD$2056,FC$3&amp;"-"&amp;324&amp;"A")+COUNTIF(車両台帳!$BD$57:$BD$2056,FC$3&amp;"-"&amp;315&amp;"A")+COUNTIF(車両台帳!$BD$57:$BD$2056,FC$3&amp;"-"&amp;325&amp;"A"))</f>
        <v/>
      </c>
      <c r="FD25" s="728" t="str">
        <f>IF(COUNTA(車両台帳!$C$57:$C$2056)=0,"",COUNTIF(車両台帳!$BD$57:$BD$2056,FD$3&amp;"-"&amp;314&amp;"A")+COUNTIF(車両台帳!$BD$57:$BD$2056,FD$3&amp;"-"&amp;324&amp;"A")+COUNTIF(車両台帳!$BD$57:$BD$2056,FD$3&amp;"-"&amp;315&amp;"A")+COUNTIF(車両台帳!$BD$57:$BD$2056,FD$3&amp;"-"&amp;325&amp;"A"))</f>
        <v/>
      </c>
      <c r="FE25" s="728" t="str">
        <f>IF(COUNTA(車両台帳!$C$57:$C$2056)=0,"",COUNTIF(車両台帳!$BD$57:$BD$2056,FE$3&amp;"-"&amp;314&amp;"A")+COUNTIF(車両台帳!$BD$57:$BD$2056,FE$3&amp;"-"&amp;324&amp;"A")+COUNTIF(車両台帳!$BD$57:$BD$2056,FE$3&amp;"-"&amp;315&amp;"A")+COUNTIF(車両台帳!$BD$57:$BD$2056,FE$3&amp;"-"&amp;325&amp;"A"))</f>
        <v/>
      </c>
      <c r="FF25" s="728" t="str">
        <f>IF(COUNTA(車両台帳!$C$57:$C$2056)=0,"",COUNTIF(車両台帳!$BD$57:$BD$2056,FF$3&amp;"-"&amp;314&amp;"A")+COUNTIF(車両台帳!$BD$57:$BD$2056,FF$3&amp;"-"&amp;324&amp;"A")+COUNTIF(車両台帳!$BD$57:$BD$2056,FF$3&amp;"-"&amp;315&amp;"A")+COUNTIF(車両台帳!$BD$57:$BD$2056,FF$3&amp;"-"&amp;325&amp;"A"))</f>
        <v/>
      </c>
      <c r="FG25" s="728" t="str">
        <f>IF(COUNTA(車両台帳!$C$57:$C$2056)=0,"",COUNTIF(車両台帳!$BD$57:$BD$2056,FG$3&amp;"-"&amp;314&amp;"A")+COUNTIF(車両台帳!$BD$57:$BD$2056,FG$3&amp;"-"&amp;324&amp;"A")+COUNTIF(車両台帳!$BD$57:$BD$2056,FG$3&amp;"-"&amp;315&amp;"A")+COUNTIF(車両台帳!$BD$57:$BD$2056,FG$3&amp;"-"&amp;325&amp;"A"))</f>
        <v/>
      </c>
      <c r="FH25" s="728" t="str">
        <f>IF(COUNTA(車両台帳!$C$57:$C$2056)=0,"",COUNTIF(車両台帳!$BD$57:$BD$2056,FH$3&amp;"-"&amp;314&amp;"A")+COUNTIF(車両台帳!$BD$57:$BD$2056,FH$3&amp;"-"&amp;324&amp;"A")+COUNTIF(車両台帳!$BD$57:$BD$2056,FH$3&amp;"-"&amp;315&amp;"A")+COUNTIF(車両台帳!$BD$57:$BD$2056,FH$3&amp;"-"&amp;325&amp;"A"))</f>
        <v/>
      </c>
      <c r="FI25" s="728" t="str">
        <f>IF(COUNTA(車両台帳!$C$57:$C$2056)=0,"",COUNTIF(車両台帳!$BD$57:$BD$2056,FI$3&amp;"-"&amp;314&amp;"A")+COUNTIF(車両台帳!$BD$57:$BD$2056,FI$3&amp;"-"&amp;324&amp;"A")+COUNTIF(車両台帳!$BD$57:$BD$2056,FI$3&amp;"-"&amp;315&amp;"A")+COUNTIF(車両台帳!$BD$57:$BD$2056,FI$3&amp;"-"&amp;325&amp;"A"))</f>
        <v/>
      </c>
      <c r="FJ25" s="728" t="str">
        <f>IF(COUNTA(車両台帳!$C$57:$C$2056)=0,"",COUNTIF(車両台帳!$BD$57:$BD$2056,FJ$3&amp;"-"&amp;314&amp;"A")+COUNTIF(車両台帳!$BD$57:$BD$2056,FJ$3&amp;"-"&amp;324&amp;"A")+COUNTIF(車両台帳!$BD$57:$BD$2056,FJ$3&amp;"-"&amp;315&amp;"A")+COUNTIF(車両台帳!$BD$57:$BD$2056,FJ$3&amp;"-"&amp;325&amp;"A"))</f>
        <v/>
      </c>
      <c r="FK25" s="728" t="str">
        <f>IF(COUNTA(車両台帳!$C$57:$C$2056)=0,"",COUNTIF(車両台帳!$BD$57:$BD$2056,FK$3&amp;"-"&amp;314&amp;"A")+COUNTIF(車両台帳!$BD$57:$BD$2056,FK$3&amp;"-"&amp;324&amp;"A")+COUNTIF(車両台帳!$BD$57:$BD$2056,FK$3&amp;"-"&amp;315&amp;"A")+COUNTIF(車両台帳!$BD$57:$BD$2056,FK$3&amp;"-"&amp;325&amp;"A"))</f>
        <v/>
      </c>
      <c r="FL25" s="728" t="str">
        <f>IF(COUNTA(車両台帳!$C$57:$C$2056)=0,"",COUNTIF(車両台帳!$BD$57:$BD$2056,FL$3&amp;"-"&amp;314&amp;"A")+COUNTIF(車両台帳!$BD$57:$BD$2056,FL$3&amp;"-"&amp;324&amp;"A")+COUNTIF(車両台帳!$BD$57:$BD$2056,FL$3&amp;"-"&amp;315&amp;"A")+COUNTIF(車両台帳!$BD$57:$BD$2056,FL$3&amp;"-"&amp;325&amp;"A"))</f>
        <v/>
      </c>
      <c r="FM25" s="728" t="str">
        <f>IF(COUNTA(車両台帳!$C$57:$C$2056)=0,"",COUNTIF(車両台帳!$BD$57:$BD$2056,FM$3&amp;"-"&amp;314&amp;"A")+COUNTIF(車両台帳!$BD$57:$BD$2056,FM$3&amp;"-"&amp;324&amp;"A")+COUNTIF(車両台帳!$BD$57:$BD$2056,FM$3&amp;"-"&amp;315&amp;"A")+COUNTIF(車両台帳!$BD$57:$BD$2056,FM$3&amp;"-"&amp;325&amp;"A"))</f>
        <v/>
      </c>
      <c r="FN25" s="728" t="str">
        <f>IF(COUNTA(車両台帳!$C$57:$C$2056)=0,"",COUNTIF(車両台帳!$BD$57:$BD$2056,FN$3&amp;"-"&amp;314&amp;"A")+COUNTIF(車両台帳!$BD$57:$BD$2056,FN$3&amp;"-"&amp;324&amp;"A")+COUNTIF(車両台帳!$BD$57:$BD$2056,FN$3&amp;"-"&amp;315&amp;"A")+COUNTIF(車両台帳!$BD$57:$BD$2056,FN$3&amp;"-"&amp;325&amp;"A"))</f>
        <v/>
      </c>
      <c r="FO25" s="728" t="str">
        <f>IF(COUNTA(車両台帳!$C$57:$C$2056)=0,"",COUNTIF(車両台帳!$BD$57:$BD$2056,FO$3&amp;"-"&amp;314&amp;"A")+COUNTIF(車両台帳!$BD$57:$BD$2056,FO$3&amp;"-"&amp;324&amp;"A")+COUNTIF(車両台帳!$BD$57:$BD$2056,FO$3&amp;"-"&amp;315&amp;"A")+COUNTIF(車両台帳!$BD$57:$BD$2056,FO$3&amp;"-"&amp;325&amp;"A"))</f>
        <v/>
      </c>
      <c r="FP25" s="728" t="str">
        <f>IF(COUNTA(車両台帳!$C$57:$C$2056)=0,"",COUNTIF(車両台帳!$BD$57:$BD$2056,FP$3&amp;"-"&amp;314&amp;"A")+COUNTIF(車両台帳!$BD$57:$BD$2056,FP$3&amp;"-"&amp;324&amp;"A")+COUNTIF(車両台帳!$BD$57:$BD$2056,FP$3&amp;"-"&amp;315&amp;"A")+COUNTIF(車両台帳!$BD$57:$BD$2056,FP$3&amp;"-"&amp;325&amp;"A"))</f>
        <v/>
      </c>
      <c r="FQ25" s="728" t="str">
        <f>IF(COUNTA(車両台帳!$C$57:$C$2056)=0,"",COUNTIF(車両台帳!$BD$57:$BD$2056,FQ$3&amp;"-"&amp;314&amp;"A")+COUNTIF(車両台帳!$BD$57:$BD$2056,FQ$3&amp;"-"&amp;324&amp;"A")+COUNTIF(車両台帳!$BD$57:$BD$2056,FQ$3&amp;"-"&amp;315&amp;"A")+COUNTIF(車両台帳!$BD$57:$BD$2056,FQ$3&amp;"-"&amp;325&amp;"A"))</f>
        <v/>
      </c>
      <c r="FR25" s="728" t="str">
        <f>IF(COUNTA(車両台帳!$C$57:$C$2056)=0,"",COUNTIF(車両台帳!$BD$57:$BD$2056,FR$3&amp;"-"&amp;314&amp;"A")+COUNTIF(車両台帳!$BD$57:$BD$2056,FR$3&amp;"-"&amp;324&amp;"A")+COUNTIF(車両台帳!$BD$57:$BD$2056,FR$3&amp;"-"&amp;315&amp;"A")+COUNTIF(車両台帳!$BD$57:$BD$2056,FR$3&amp;"-"&amp;325&amp;"A"))</f>
        <v/>
      </c>
      <c r="FS25" s="728" t="str">
        <f>IF(COUNTA(車両台帳!$C$57:$C$2056)=0,"",COUNTIF(車両台帳!$BD$57:$BD$2056,FS$3&amp;"-"&amp;314&amp;"A")+COUNTIF(車両台帳!$BD$57:$BD$2056,FS$3&amp;"-"&amp;324&amp;"A")+COUNTIF(車両台帳!$BD$57:$BD$2056,FS$3&amp;"-"&amp;315&amp;"A")+COUNTIF(車両台帳!$BD$57:$BD$2056,FS$3&amp;"-"&amp;325&amp;"A"))</f>
        <v/>
      </c>
      <c r="FT25" s="728" t="str">
        <f>IF(COUNTA(車両台帳!$C$57:$C$2056)=0,"",COUNTIF(車両台帳!$BD$57:$BD$2056,FT$3&amp;"-"&amp;314&amp;"A")+COUNTIF(車両台帳!$BD$57:$BD$2056,FT$3&amp;"-"&amp;324&amp;"A")+COUNTIF(車両台帳!$BD$57:$BD$2056,FT$3&amp;"-"&amp;315&amp;"A")+COUNTIF(車両台帳!$BD$57:$BD$2056,FT$3&amp;"-"&amp;325&amp;"A"))</f>
        <v/>
      </c>
      <c r="FU25" s="728" t="str">
        <f>IF(COUNTA(車両台帳!$C$57:$C$2056)=0,"",COUNTIF(車両台帳!$BD$57:$BD$2056,FU$3&amp;"-"&amp;314&amp;"A")+COUNTIF(車両台帳!$BD$57:$BD$2056,FU$3&amp;"-"&amp;324&amp;"A")+COUNTIF(車両台帳!$BD$57:$BD$2056,FU$3&amp;"-"&amp;315&amp;"A")+COUNTIF(車両台帳!$BD$57:$BD$2056,FU$3&amp;"-"&amp;325&amp;"A"))</f>
        <v/>
      </c>
      <c r="FV25" s="728" t="str">
        <f>IF(COUNTA(車両台帳!$C$57:$C$2056)=0,"",COUNTIF(車両台帳!$BD$57:$BD$2056,FV$3&amp;"-"&amp;314&amp;"A")+COUNTIF(車両台帳!$BD$57:$BD$2056,FV$3&amp;"-"&amp;324&amp;"A")+COUNTIF(車両台帳!$BD$57:$BD$2056,FV$3&amp;"-"&amp;315&amp;"A")+COUNTIF(車両台帳!$BD$57:$BD$2056,FV$3&amp;"-"&amp;325&amp;"A"))</f>
        <v/>
      </c>
      <c r="FW25" s="728" t="str">
        <f>IF(COUNTA(車両台帳!$C$57:$C$2056)=0,"",COUNTIF(車両台帳!$BD$57:$BD$2056,FW$3&amp;"-"&amp;314&amp;"A")+COUNTIF(車両台帳!$BD$57:$BD$2056,FW$3&amp;"-"&amp;324&amp;"A")+COUNTIF(車両台帳!$BD$57:$BD$2056,FW$3&amp;"-"&amp;315&amp;"A")+COUNTIF(車両台帳!$BD$57:$BD$2056,FW$3&amp;"-"&amp;325&amp;"A"))</f>
        <v/>
      </c>
      <c r="FX25" s="728" t="str">
        <f>IF(COUNTA(車両台帳!$C$57:$C$2056)=0,"",COUNTIF(車両台帳!$BD$57:$BD$2056,FX$3&amp;"-"&amp;314&amp;"A")+COUNTIF(車両台帳!$BD$57:$BD$2056,FX$3&amp;"-"&amp;324&amp;"A")+COUNTIF(車両台帳!$BD$57:$BD$2056,FX$3&amp;"-"&amp;315&amp;"A")+COUNTIF(車両台帳!$BD$57:$BD$2056,FX$3&amp;"-"&amp;325&amp;"A"))</f>
        <v/>
      </c>
      <c r="FY25" s="728" t="str">
        <f>IF(COUNTA(車両台帳!$C$57:$C$2056)=0,"",COUNTIF(車両台帳!$BD$57:$BD$2056,FY$3&amp;"-"&amp;314&amp;"A")+COUNTIF(車両台帳!$BD$57:$BD$2056,FY$3&amp;"-"&amp;324&amp;"A")+COUNTIF(車両台帳!$BD$57:$BD$2056,FY$3&amp;"-"&amp;315&amp;"A")+COUNTIF(車両台帳!$BD$57:$BD$2056,FY$3&amp;"-"&amp;325&amp;"A"))</f>
        <v/>
      </c>
      <c r="FZ25" s="728" t="str">
        <f>IF(COUNTA(車両台帳!$C$57:$C$2056)=0,"",COUNTIF(車両台帳!$BD$57:$BD$2056,FZ$3&amp;"-"&amp;314&amp;"A")+COUNTIF(車両台帳!$BD$57:$BD$2056,FZ$3&amp;"-"&amp;324&amp;"A")+COUNTIF(車両台帳!$BD$57:$BD$2056,FZ$3&amp;"-"&amp;315&amp;"A")+COUNTIF(車両台帳!$BD$57:$BD$2056,FZ$3&amp;"-"&amp;325&amp;"A"))</f>
        <v/>
      </c>
      <c r="GA25" s="728" t="str">
        <f>IF(COUNTA(車両台帳!$C$57:$C$2056)=0,"",COUNTIF(車両台帳!$BD$57:$BD$2056,GA$3&amp;"-"&amp;314&amp;"A")+COUNTIF(車両台帳!$BD$57:$BD$2056,GA$3&amp;"-"&amp;324&amp;"A")+COUNTIF(車両台帳!$BD$57:$BD$2056,GA$3&amp;"-"&amp;315&amp;"A")+COUNTIF(車両台帳!$BD$57:$BD$2056,GA$3&amp;"-"&amp;325&amp;"A"))</f>
        <v/>
      </c>
      <c r="GB25" s="728" t="str">
        <f>IF(COUNTA(車両台帳!$C$57:$C$2056)=0,"",COUNTIF(車両台帳!$BD$57:$BD$2056,GB$3&amp;"-"&amp;314&amp;"A")+COUNTIF(車両台帳!$BD$57:$BD$2056,GB$3&amp;"-"&amp;324&amp;"A")+COUNTIF(車両台帳!$BD$57:$BD$2056,GB$3&amp;"-"&amp;315&amp;"A")+COUNTIF(車両台帳!$BD$57:$BD$2056,GB$3&amp;"-"&amp;325&amp;"A"))</f>
        <v/>
      </c>
      <c r="GC25" s="728" t="str">
        <f>IF(COUNTA(車両台帳!$C$57:$C$2056)=0,"",COUNTIF(車両台帳!$BD$57:$BD$2056,GC$3&amp;"-"&amp;314&amp;"A")+COUNTIF(車両台帳!$BD$57:$BD$2056,GC$3&amp;"-"&amp;324&amp;"A")+COUNTIF(車両台帳!$BD$57:$BD$2056,GC$3&amp;"-"&amp;315&amp;"A")+COUNTIF(車両台帳!$BD$57:$BD$2056,GC$3&amp;"-"&amp;325&amp;"A"))</f>
        <v/>
      </c>
      <c r="GD25" s="728" t="str">
        <f>IF(COUNTA(車両台帳!$C$57:$C$2056)=0,"",COUNTIF(車両台帳!$BD$57:$BD$2056,GD$3&amp;"-"&amp;314&amp;"A")+COUNTIF(車両台帳!$BD$57:$BD$2056,GD$3&amp;"-"&amp;324&amp;"A")+COUNTIF(車両台帳!$BD$57:$BD$2056,GD$3&amp;"-"&amp;315&amp;"A")+COUNTIF(車両台帳!$BD$57:$BD$2056,GD$3&amp;"-"&amp;325&amp;"A"))</f>
        <v/>
      </c>
      <c r="GE25" s="728" t="str">
        <f>IF(COUNTA(車両台帳!$C$57:$C$2056)=0,"",COUNTIF(車両台帳!$BD$57:$BD$2056,GE$3&amp;"-"&amp;314&amp;"A")+COUNTIF(車両台帳!$BD$57:$BD$2056,GE$3&amp;"-"&amp;324&amp;"A")+COUNTIF(車両台帳!$BD$57:$BD$2056,GE$3&amp;"-"&amp;315&amp;"A")+COUNTIF(車両台帳!$BD$57:$BD$2056,GE$3&amp;"-"&amp;325&amp;"A"))</f>
        <v/>
      </c>
      <c r="GF25" s="728" t="str">
        <f>IF(COUNTA(車両台帳!$C$57:$C$2056)=0,"",COUNTIF(車両台帳!$BD$57:$BD$2056,GF$3&amp;"-"&amp;314&amp;"A")+COUNTIF(車両台帳!$BD$57:$BD$2056,GF$3&amp;"-"&amp;324&amp;"A")+COUNTIF(車両台帳!$BD$57:$BD$2056,GF$3&amp;"-"&amp;315&amp;"A")+COUNTIF(車両台帳!$BD$57:$BD$2056,GF$3&amp;"-"&amp;325&amp;"A"))</f>
        <v/>
      </c>
      <c r="GG25" s="728" t="str">
        <f>IF(COUNTA(車両台帳!$C$57:$C$2056)=0,"",COUNTIF(車両台帳!$BD$57:$BD$2056,GG$3&amp;"-"&amp;314&amp;"A")+COUNTIF(車両台帳!$BD$57:$BD$2056,GG$3&amp;"-"&amp;324&amp;"A")+COUNTIF(車両台帳!$BD$57:$BD$2056,GG$3&amp;"-"&amp;315&amp;"A")+COUNTIF(車両台帳!$BD$57:$BD$2056,GG$3&amp;"-"&amp;325&amp;"A"))</f>
        <v/>
      </c>
      <c r="GH25" s="728" t="str">
        <f>IF(COUNTA(車両台帳!$C$57:$C$2056)=0,"",COUNTIF(車両台帳!$BD$57:$BD$2056,GH$3&amp;"-"&amp;314&amp;"A")+COUNTIF(車両台帳!$BD$57:$BD$2056,GH$3&amp;"-"&amp;324&amp;"A")+COUNTIF(車両台帳!$BD$57:$BD$2056,GH$3&amp;"-"&amp;315&amp;"A")+COUNTIF(車両台帳!$BD$57:$BD$2056,GH$3&amp;"-"&amp;325&amp;"A"))</f>
        <v/>
      </c>
      <c r="GI25" s="728" t="str">
        <f>IF(COUNTA(車両台帳!$C$57:$C$2056)=0,"",COUNTIF(車両台帳!$BD$57:$BD$2056,GI$3&amp;"-"&amp;314&amp;"A")+COUNTIF(車両台帳!$BD$57:$BD$2056,GI$3&amp;"-"&amp;324&amp;"A")+COUNTIF(車両台帳!$BD$57:$BD$2056,GI$3&amp;"-"&amp;315&amp;"A")+COUNTIF(車両台帳!$BD$57:$BD$2056,GI$3&amp;"-"&amp;325&amp;"A"))</f>
        <v/>
      </c>
      <c r="GJ25" s="728" t="str">
        <f>IF(COUNTA(車両台帳!$C$57:$C$2056)=0,"",COUNTIF(車両台帳!$BD$57:$BD$2056,GJ$3&amp;"-"&amp;314&amp;"A")+COUNTIF(車両台帳!$BD$57:$BD$2056,GJ$3&amp;"-"&amp;324&amp;"A")+COUNTIF(車両台帳!$BD$57:$BD$2056,GJ$3&amp;"-"&amp;315&amp;"A")+COUNTIF(車両台帳!$BD$57:$BD$2056,GJ$3&amp;"-"&amp;325&amp;"A"))</f>
        <v/>
      </c>
      <c r="GK25" s="728" t="str">
        <f>IF(COUNTA(車両台帳!$C$57:$C$2056)=0,"",COUNTIF(車両台帳!$BD$57:$BD$2056,GK$3&amp;"-"&amp;314&amp;"A")+COUNTIF(車両台帳!$BD$57:$BD$2056,GK$3&amp;"-"&amp;324&amp;"A")+COUNTIF(車両台帳!$BD$57:$BD$2056,GK$3&amp;"-"&amp;315&amp;"A")+COUNTIF(車両台帳!$BD$57:$BD$2056,GK$3&amp;"-"&amp;325&amp;"A"))</f>
        <v/>
      </c>
      <c r="GL25" s="728" t="str">
        <f>IF(COUNTA(車両台帳!$C$57:$C$2056)=0,"",COUNTIF(車両台帳!$BD$57:$BD$2056,GL$3&amp;"-"&amp;314&amp;"A")+COUNTIF(車両台帳!$BD$57:$BD$2056,GL$3&amp;"-"&amp;324&amp;"A")+COUNTIF(車両台帳!$BD$57:$BD$2056,GL$3&amp;"-"&amp;315&amp;"A")+COUNTIF(車両台帳!$BD$57:$BD$2056,GL$3&amp;"-"&amp;325&amp;"A"))</f>
        <v/>
      </c>
      <c r="GM25" s="728" t="str">
        <f>IF(COUNTA(車両台帳!$C$57:$C$2056)=0,"",COUNTIF(車両台帳!$BD$57:$BD$2056,GM$3&amp;"-"&amp;314&amp;"A")+COUNTIF(車両台帳!$BD$57:$BD$2056,GM$3&amp;"-"&amp;324&amp;"A")+COUNTIF(車両台帳!$BD$57:$BD$2056,GM$3&amp;"-"&amp;315&amp;"A")+COUNTIF(車両台帳!$BD$57:$BD$2056,GM$3&amp;"-"&amp;325&amp;"A"))</f>
        <v/>
      </c>
      <c r="GN25" s="728" t="str">
        <f>IF(COUNTA(車両台帳!$C$57:$C$2056)=0,"",COUNTIF(車両台帳!$BD$57:$BD$2056,GN$3&amp;"-"&amp;314&amp;"A")+COUNTIF(車両台帳!$BD$57:$BD$2056,GN$3&amp;"-"&amp;324&amp;"A")+COUNTIF(車両台帳!$BD$57:$BD$2056,GN$3&amp;"-"&amp;315&amp;"A")+COUNTIF(車両台帳!$BD$57:$BD$2056,GN$3&amp;"-"&amp;325&amp;"A"))</f>
        <v/>
      </c>
      <c r="GO25" s="728" t="str">
        <f>IF(COUNTA(車両台帳!$C$57:$C$2056)=0,"",COUNTIF(車両台帳!$BD$57:$BD$2056,GO$3&amp;"-"&amp;314&amp;"A")+COUNTIF(車両台帳!$BD$57:$BD$2056,GO$3&amp;"-"&amp;324&amp;"A")+COUNTIF(車両台帳!$BD$57:$BD$2056,GO$3&amp;"-"&amp;315&amp;"A")+COUNTIF(車両台帳!$BD$57:$BD$2056,GO$3&amp;"-"&amp;325&amp;"A"))</f>
        <v/>
      </c>
      <c r="GP25" s="728" t="str">
        <f>IF(COUNTA(車両台帳!$C$57:$C$2056)=0,"",COUNTIF(車両台帳!$BD$57:$BD$2056,GP$3&amp;"-"&amp;314&amp;"A")+COUNTIF(車両台帳!$BD$57:$BD$2056,GP$3&amp;"-"&amp;324&amp;"A")+COUNTIF(車両台帳!$BD$57:$BD$2056,GP$3&amp;"-"&amp;315&amp;"A")+COUNTIF(車両台帳!$BD$57:$BD$2056,GP$3&amp;"-"&amp;325&amp;"A"))</f>
        <v/>
      </c>
      <c r="GQ25" s="728" t="str">
        <f>IF(COUNTA(車両台帳!$C$57:$C$2056)=0,"",COUNTIF(車両台帳!$BD$57:$BD$2056,GQ$3&amp;"-"&amp;314&amp;"A")+COUNTIF(車両台帳!$BD$57:$BD$2056,GQ$3&amp;"-"&amp;324&amp;"A")+COUNTIF(車両台帳!$BD$57:$BD$2056,GQ$3&amp;"-"&amp;315&amp;"A")+COUNTIF(車両台帳!$BD$57:$BD$2056,GQ$3&amp;"-"&amp;325&amp;"A"))</f>
        <v/>
      </c>
      <c r="GR25" s="728" t="str">
        <f>IF(COUNTA(車両台帳!$C$57:$C$2056)=0,"",COUNTIF(車両台帳!$BD$57:$BD$2056,GR$3&amp;"-"&amp;314&amp;"A")+COUNTIF(車両台帳!$BD$57:$BD$2056,GR$3&amp;"-"&amp;324&amp;"A")+COUNTIF(車両台帳!$BD$57:$BD$2056,GR$3&amp;"-"&amp;315&amp;"A")+COUNTIF(車両台帳!$BD$57:$BD$2056,GR$3&amp;"-"&amp;325&amp;"A"))</f>
        <v/>
      </c>
      <c r="GS25" s="728" t="str">
        <f>IF(COUNTA(車両台帳!$C$57:$C$2056)=0,"",COUNTIF(車両台帳!$BD$57:$BD$2056,GS$3&amp;"-"&amp;314&amp;"A")+COUNTIF(車両台帳!$BD$57:$BD$2056,GS$3&amp;"-"&amp;324&amp;"A")+COUNTIF(車両台帳!$BD$57:$BD$2056,GS$3&amp;"-"&amp;315&amp;"A")+COUNTIF(車両台帳!$BD$57:$BD$2056,GS$3&amp;"-"&amp;325&amp;"A"))</f>
        <v/>
      </c>
      <c r="GT25" s="728" t="str">
        <f>IF(COUNTA(車両台帳!$C$57:$C$2056)=0,"",COUNTIF(車両台帳!$BD$57:$BD$2056,GT$3&amp;"-"&amp;314&amp;"A")+COUNTIF(車両台帳!$BD$57:$BD$2056,GT$3&amp;"-"&amp;324&amp;"A")+COUNTIF(車両台帳!$BD$57:$BD$2056,GT$3&amp;"-"&amp;315&amp;"A")+COUNTIF(車両台帳!$BD$57:$BD$2056,GT$3&amp;"-"&amp;325&amp;"A"))</f>
        <v/>
      </c>
      <c r="GU25" s="729" t="str">
        <f>IF(COUNTA(車両台帳!$C$57:$C$2056)=0,"",COUNTIF(車両台帳!$BD$57:$BD$2056,GU$3&amp;"-"&amp;314&amp;"A")+COUNTIF(車両台帳!$BD$57:$BD$2056,GU$3&amp;"-"&amp;324&amp;"A")+COUNTIF(車両台帳!$BD$57:$BD$2056,GU$3&amp;"-"&amp;315&amp;"A")+COUNTIF(車両台帳!$BD$57:$BD$2056,GU$3&amp;"-"&amp;325&amp;"A"))</f>
        <v/>
      </c>
    </row>
    <row r="26" spans="1:203" s="7" customFormat="1" ht="29.25" customHeight="1">
      <c r="A26" s="1183" t="s">
        <v>55</v>
      </c>
      <c r="B26" s="714" t="s">
        <v>45</v>
      </c>
      <c r="C26" s="721" t="str">
        <f>IF(COUNTA(車両台帳!$C$57:$C$2056)=0,"",SUM(D26:GU26))</f>
        <v/>
      </c>
      <c r="D26" s="722" t="str">
        <f>IF(COUNTA(車両台帳!$C$57:$C$2056)=0,"",COUNTIF(車両台帳!$BD$57:$BD$2056,D$3&amp;"-"&amp;10&amp;"A"))</f>
        <v/>
      </c>
      <c r="E26" s="722" t="str">
        <f>IF(COUNTA(車両台帳!$C$57:$C$2056)=0,"",COUNTIF(車両台帳!$BD$57:$BD$2056,E$3&amp;"-"&amp;10&amp;"A"))</f>
        <v/>
      </c>
      <c r="F26" s="722" t="str">
        <f>IF(COUNTA(車両台帳!$C$57:$C$2056)=0,"",COUNTIF(車両台帳!$BD$57:$BD$2056,F$3&amp;"-"&amp;10&amp;"A"))</f>
        <v/>
      </c>
      <c r="G26" s="722" t="str">
        <f>IF(COUNTA(車両台帳!$C$57:$C$2056)=0,"",COUNTIF(車両台帳!$BD$57:$BD$2056,G$3&amp;"-"&amp;10&amp;"A"))</f>
        <v/>
      </c>
      <c r="H26" s="722" t="str">
        <f>IF(COUNTA(車両台帳!$C$57:$C$2056)=0,"",COUNTIF(車両台帳!$BD$57:$BD$2056,H$3&amp;"-"&amp;10&amp;"A"))</f>
        <v/>
      </c>
      <c r="I26" s="722" t="str">
        <f>IF(COUNTA(車両台帳!$C$57:$C$2056)=0,"",COUNTIF(車両台帳!$BD$57:$BD$2056,I$3&amp;"-"&amp;10&amp;"A"))</f>
        <v/>
      </c>
      <c r="J26" s="722" t="str">
        <f>IF(COUNTA(車両台帳!$C$57:$C$2056)=0,"",COUNTIF(車両台帳!$BD$57:$BD$2056,J$3&amp;"-"&amp;10&amp;"A"))</f>
        <v/>
      </c>
      <c r="K26" s="722" t="str">
        <f>IF(COUNTA(車両台帳!$C$57:$C$2056)=0,"",COUNTIF(車両台帳!$BD$57:$BD$2056,K$3&amp;"-"&amp;10&amp;"A"))</f>
        <v/>
      </c>
      <c r="L26" s="722" t="str">
        <f>IF(COUNTA(車両台帳!$C$57:$C$2056)=0,"",COUNTIF(車両台帳!$BD$57:$BD$2056,L$3&amp;"-"&amp;10&amp;"A"))</f>
        <v/>
      </c>
      <c r="M26" s="722" t="str">
        <f>IF(COUNTA(車両台帳!$C$57:$C$2056)=0,"",COUNTIF(車両台帳!$BD$57:$BD$2056,M$3&amp;"-"&amp;10&amp;"A"))</f>
        <v/>
      </c>
      <c r="N26" s="722" t="str">
        <f>IF(COUNTA(車両台帳!$C$57:$C$2056)=0,"",COUNTIF(車両台帳!$BD$57:$BD$2056,N$3&amp;"-"&amp;10&amp;"A"))</f>
        <v/>
      </c>
      <c r="O26" s="722" t="str">
        <f>IF(COUNTA(車両台帳!$C$57:$C$2056)=0,"",COUNTIF(車両台帳!$BD$57:$BD$2056,O$3&amp;"-"&amp;10&amp;"A"))</f>
        <v/>
      </c>
      <c r="P26" s="722" t="str">
        <f>IF(COUNTA(車両台帳!$C$57:$C$2056)=0,"",COUNTIF(車両台帳!$BD$57:$BD$2056,P$3&amp;"-"&amp;10&amp;"A"))</f>
        <v/>
      </c>
      <c r="Q26" s="722" t="str">
        <f>IF(COUNTA(車両台帳!$C$57:$C$2056)=0,"",COUNTIF(車両台帳!$BD$57:$BD$2056,Q$3&amp;"-"&amp;10&amp;"A"))</f>
        <v/>
      </c>
      <c r="R26" s="722" t="str">
        <f>IF(COUNTA(車両台帳!$C$57:$C$2056)=0,"",COUNTIF(車両台帳!$BD$57:$BD$2056,R$3&amp;"-"&amp;10&amp;"A"))</f>
        <v/>
      </c>
      <c r="S26" s="722" t="str">
        <f>IF(COUNTA(車両台帳!$C$57:$C$2056)=0,"",COUNTIF(車両台帳!$BD$57:$BD$2056,S$3&amp;"-"&amp;10&amp;"A"))</f>
        <v/>
      </c>
      <c r="T26" s="722" t="str">
        <f>IF(COUNTA(車両台帳!$C$57:$C$2056)=0,"",COUNTIF(車両台帳!$BD$57:$BD$2056,T$3&amp;"-"&amp;10&amp;"A"))</f>
        <v/>
      </c>
      <c r="U26" s="722" t="str">
        <f>IF(COUNTA(車両台帳!$C$57:$C$2056)=0,"",COUNTIF(車両台帳!$BD$57:$BD$2056,U$3&amp;"-"&amp;10&amp;"A"))</f>
        <v/>
      </c>
      <c r="V26" s="722" t="str">
        <f>IF(COUNTA(車両台帳!$C$57:$C$2056)=0,"",COUNTIF(車両台帳!$BD$57:$BD$2056,V$3&amp;"-"&amp;10&amp;"A"))</f>
        <v/>
      </c>
      <c r="W26" s="722" t="str">
        <f>IF(COUNTA(車両台帳!$C$57:$C$2056)=0,"",COUNTIF(車両台帳!$BD$57:$BD$2056,W$3&amp;"-"&amp;10&amp;"A"))</f>
        <v/>
      </c>
      <c r="X26" s="722" t="str">
        <f>IF(COUNTA(車両台帳!$C$57:$C$2056)=0,"",COUNTIF(車両台帳!$BD$57:$BD$2056,X$3&amp;"-"&amp;10&amp;"A"))</f>
        <v/>
      </c>
      <c r="Y26" s="722" t="str">
        <f>IF(COUNTA(車両台帳!$C$57:$C$2056)=0,"",COUNTIF(車両台帳!$BD$57:$BD$2056,Y$3&amp;"-"&amp;10&amp;"A"))</f>
        <v/>
      </c>
      <c r="Z26" s="722" t="str">
        <f>IF(COUNTA(車両台帳!$C$57:$C$2056)=0,"",COUNTIF(車両台帳!$BD$57:$BD$2056,Z$3&amp;"-"&amp;10&amp;"A"))</f>
        <v/>
      </c>
      <c r="AA26" s="722" t="str">
        <f>IF(COUNTA(車両台帳!$C$57:$C$2056)=0,"",COUNTIF(車両台帳!$BD$57:$BD$2056,AA$3&amp;"-"&amp;10&amp;"A"))</f>
        <v/>
      </c>
      <c r="AB26" s="722" t="str">
        <f>IF(COUNTA(車両台帳!$C$57:$C$2056)=0,"",COUNTIF(車両台帳!$BD$57:$BD$2056,AB$3&amp;"-"&amp;10&amp;"A"))</f>
        <v/>
      </c>
      <c r="AC26" s="722" t="str">
        <f>IF(COUNTA(車両台帳!$C$57:$C$2056)=0,"",COUNTIF(車両台帳!$BD$57:$BD$2056,AC$3&amp;"-"&amp;10&amp;"A"))</f>
        <v/>
      </c>
      <c r="AD26" s="722" t="str">
        <f>IF(COUNTA(車両台帳!$C$57:$C$2056)=0,"",COUNTIF(車両台帳!$BD$57:$BD$2056,AD$3&amp;"-"&amp;10&amp;"A"))</f>
        <v/>
      </c>
      <c r="AE26" s="722" t="str">
        <f>IF(COUNTA(車両台帳!$C$57:$C$2056)=0,"",COUNTIF(車両台帳!$BD$57:$BD$2056,AE$3&amp;"-"&amp;10&amp;"A"))</f>
        <v/>
      </c>
      <c r="AF26" s="722" t="str">
        <f>IF(COUNTA(車両台帳!$C$57:$C$2056)=0,"",COUNTIF(車両台帳!$BD$57:$BD$2056,AF$3&amp;"-"&amp;10&amp;"A"))</f>
        <v/>
      </c>
      <c r="AG26" s="722" t="str">
        <f>IF(COUNTA(車両台帳!$C$57:$C$2056)=0,"",COUNTIF(車両台帳!$BD$57:$BD$2056,AG$3&amp;"-"&amp;10&amp;"A"))</f>
        <v/>
      </c>
      <c r="AH26" s="722" t="str">
        <f>IF(COUNTA(車両台帳!$C$57:$C$2056)=0,"",COUNTIF(車両台帳!$BD$57:$BD$2056,AH$3&amp;"-"&amp;10&amp;"A"))</f>
        <v/>
      </c>
      <c r="AI26" s="722" t="str">
        <f>IF(COUNTA(車両台帳!$C$57:$C$2056)=0,"",COUNTIF(車両台帳!$BD$57:$BD$2056,AI$3&amp;"-"&amp;10&amp;"A"))</f>
        <v/>
      </c>
      <c r="AJ26" s="722" t="str">
        <f>IF(COUNTA(車両台帳!$C$57:$C$2056)=0,"",COUNTIF(車両台帳!$BD$57:$BD$2056,AJ$3&amp;"-"&amp;10&amp;"A"))</f>
        <v/>
      </c>
      <c r="AK26" s="722" t="str">
        <f>IF(COUNTA(車両台帳!$C$57:$C$2056)=0,"",COUNTIF(車両台帳!$BD$57:$BD$2056,AK$3&amp;"-"&amp;10&amp;"A"))</f>
        <v/>
      </c>
      <c r="AL26" s="722" t="str">
        <f>IF(COUNTA(車両台帳!$C$57:$C$2056)=0,"",COUNTIF(車両台帳!$BD$57:$BD$2056,AL$3&amp;"-"&amp;10&amp;"A"))</f>
        <v/>
      </c>
      <c r="AM26" s="722" t="str">
        <f>IF(COUNTA(車両台帳!$C$57:$C$2056)=0,"",COUNTIF(車両台帳!$BD$57:$BD$2056,AM$3&amp;"-"&amp;10&amp;"A"))</f>
        <v/>
      </c>
      <c r="AN26" s="722" t="str">
        <f>IF(COUNTA(車両台帳!$C$57:$C$2056)=0,"",COUNTIF(車両台帳!$BD$57:$BD$2056,AN$3&amp;"-"&amp;10&amp;"A"))</f>
        <v/>
      </c>
      <c r="AO26" s="722" t="str">
        <f>IF(COUNTA(車両台帳!$C$57:$C$2056)=0,"",COUNTIF(車両台帳!$BD$57:$BD$2056,AO$3&amp;"-"&amp;10&amp;"A"))</f>
        <v/>
      </c>
      <c r="AP26" s="722" t="str">
        <f>IF(COUNTA(車両台帳!$C$57:$C$2056)=0,"",COUNTIF(車両台帳!$BD$57:$BD$2056,AP$3&amp;"-"&amp;10&amp;"A"))</f>
        <v/>
      </c>
      <c r="AQ26" s="722" t="str">
        <f>IF(COUNTA(車両台帳!$C$57:$C$2056)=0,"",COUNTIF(車両台帳!$BD$57:$BD$2056,AQ$3&amp;"-"&amp;10&amp;"A"))</f>
        <v/>
      </c>
      <c r="AR26" s="722" t="str">
        <f>IF(COUNTA(車両台帳!$C$57:$C$2056)=0,"",COUNTIF(車両台帳!$BD$57:$BD$2056,AR$3&amp;"-"&amp;10&amp;"A"))</f>
        <v/>
      </c>
      <c r="AS26" s="722" t="str">
        <f>IF(COUNTA(車両台帳!$C$57:$C$2056)=0,"",COUNTIF(車両台帳!$BD$57:$BD$2056,AS$3&amp;"-"&amp;10&amp;"A"))</f>
        <v/>
      </c>
      <c r="AT26" s="722" t="str">
        <f>IF(COUNTA(車両台帳!$C$57:$C$2056)=0,"",COUNTIF(車両台帳!$BD$57:$BD$2056,AT$3&amp;"-"&amp;10&amp;"A"))</f>
        <v/>
      </c>
      <c r="AU26" s="722" t="str">
        <f>IF(COUNTA(車両台帳!$C$57:$C$2056)=0,"",COUNTIF(車両台帳!$BD$57:$BD$2056,AU$3&amp;"-"&amp;10&amp;"A"))</f>
        <v/>
      </c>
      <c r="AV26" s="722" t="str">
        <f>IF(COUNTA(車両台帳!$C$57:$C$2056)=0,"",COUNTIF(車両台帳!$BD$57:$BD$2056,AV$3&amp;"-"&amp;10&amp;"A"))</f>
        <v/>
      </c>
      <c r="AW26" s="722" t="str">
        <f>IF(COUNTA(車両台帳!$C$57:$C$2056)=0,"",COUNTIF(車両台帳!$BD$57:$BD$2056,AW$3&amp;"-"&amp;10&amp;"A"))</f>
        <v/>
      </c>
      <c r="AX26" s="722" t="str">
        <f>IF(COUNTA(車両台帳!$C$57:$C$2056)=0,"",COUNTIF(車両台帳!$BD$57:$BD$2056,AX$3&amp;"-"&amp;10&amp;"A"))</f>
        <v/>
      </c>
      <c r="AY26" s="722" t="str">
        <f>IF(COUNTA(車両台帳!$C$57:$C$2056)=0,"",COUNTIF(車両台帳!$BD$57:$BD$2056,AY$3&amp;"-"&amp;10&amp;"A"))</f>
        <v/>
      </c>
      <c r="AZ26" s="722" t="str">
        <f>IF(COUNTA(車両台帳!$C$57:$C$2056)=0,"",COUNTIF(車両台帳!$BD$57:$BD$2056,AZ$3&amp;"-"&amp;10&amp;"A"))</f>
        <v/>
      </c>
      <c r="BA26" s="722" t="str">
        <f>IF(COUNTA(車両台帳!$C$57:$C$2056)=0,"",COUNTIF(車両台帳!$BD$57:$BD$2056,BA$3&amp;"-"&amp;10&amp;"A"))</f>
        <v/>
      </c>
      <c r="BB26" s="722" t="str">
        <f>IF(COUNTA(車両台帳!$C$57:$C$2056)=0,"",COUNTIF(車両台帳!$BD$57:$BD$2056,BB$3&amp;"-"&amp;10&amp;"A"))</f>
        <v/>
      </c>
      <c r="BC26" s="722" t="str">
        <f>IF(COUNTA(車両台帳!$C$57:$C$2056)=0,"",COUNTIF(車両台帳!$BD$57:$BD$2056,BC$3&amp;"-"&amp;10&amp;"A"))</f>
        <v/>
      </c>
      <c r="BD26" s="722" t="str">
        <f>IF(COUNTA(車両台帳!$C$57:$C$2056)=0,"",COUNTIF(車両台帳!$BD$57:$BD$2056,BD$3&amp;"-"&amp;10&amp;"A"))</f>
        <v/>
      </c>
      <c r="BE26" s="722" t="str">
        <f>IF(COUNTA(車両台帳!$C$57:$C$2056)=0,"",COUNTIF(車両台帳!$BD$57:$BD$2056,BE$3&amp;"-"&amp;10&amp;"A"))</f>
        <v/>
      </c>
      <c r="BF26" s="722" t="str">
        <f>IF(COUNTA(車両台帳!$C$57:$C$2056)=0,"",COUNTIF(車両台帳!$BD$57:$BD$2056,BF$3&amp;"-"&amp;10&amp;"A"))</f>
        <v/>
      </c>
      <c r="BG26" s="722" t="str">
        <f>IF(COUNTA(車両台帳!$C$57:$C$2056)=0,"",COUNTIF(車両台帳!$BD$57:$BD$2056,BG$3&amp;"-"&amp;10&amp;"A"))</f>
        <v/>
      </c>
      <c r="BH26" s="722" t="str">
        <f>IF(COUNTA(車両台帳!$C$57:$C$2056)=0,"",COUNTIF(車両台帳!$BD$57:$BD$2056,BH$3&amp;"-"&amp;10&amp;"A"))</f>
        <v/>
      </c>
      <c r="BI26" s="722" t="str">
        <f>IF(COUNTA(車両台帳!$C$57:$C$2056)=0,"",COUNTIF(車両台帳!$BD$57:$BD$2056,BI$3&amp;"-"&amp;10&amp;"A"))</f>
        <v/>
      </c>
      <c r="BJ26" s="722" t="str">
        <f>IF(COUNTA(車両台帳!$C$57:$C$2056)=0,"",COUNTIF(車両台帳!$BD$57:$BD$2056,BJ$3&amp;"-"&amp;10&amp;"A"))</f>
        <v/>
      </c>
      <c r="BK26" s="722" t="str">
        <f>IF(COUNTA(車両台帳!$C$57:$C$2056)=0,"",COUNTIF(車両台帳!$BD$57:$BD$2056,BK$3&amp;"-"&amp;10&amp;"A"))</f>
        <v/>
      </c>
      <c r="BL26" s="722" t="str">
        <f>IF(COUNTA(車両台帳!$C$57:$C$2056)=0,"",COUNTIF(車両台帳!$BD$57:$BD$2056,BL$3&amp;"-"&amp;10&amp;"A"))</f>
        <v/>
      </c>
      <c r="BM26" s="722" t="str">
        <f>IF(COUNTA(車両台帳!$C$57:$C$2056)=0,"",COUNTIF(車両台帳!$BD$57:$BD$2056,BM$3&amp;"-"&amp;10&amp;"A"))</f>
        <v/>
      </c>
      <c r="BN26" s="722" t="str">
        <f>IF(COUNTA(車両台帳!$C$57:$C$2056)=0,"",COUNTIF(車両台帳!$BD$57:$BD$2056,BN$3&amp;"-"&amp;10&amp;"A"))</f>
        <v/>
      </c>
      <c r="BO26" s="722" t="str">
        <f>IF(COUNTA(車両台帳!$C$57:$C$2056)=0,"",COUNTIF(車両台帳!$BD$57:$BD$2056,BO$3&amp;"-"&amp;10&amp;"A"))</f>
        <v/>
      </c>
      <c r="BP26" s="722" t="str">
        <f>IF(COUNTA(車両台帳!$C$57:$C$2056)=0,"",COUNTIF(車両台帳!$BD$57:$BD$2056,BP$3&amp;"-"&amp;10&amp;"A"))</f>
        <v/>
      </c>
      <c r="BQ26" s="722" t="str">
        <f>IF(COUNTA(車両台帳!$C$57:$C$2056)=0,"",COUNTIF(車両台帳!$BD$57:$BD$2056,BQ$3&amp;"-"&amp;10&amp;"A"))</f>
        <v/>
      </c>
      <c r="BR26" s="722" t="str">
        <f>IF(COUNTA(車両台帳!$C$57:$C$2056)=0,"",COUNTIF(車両台帳!$BD$57:$BD$2056,BR$3&amp;"-"&amp;10&amp;"A"))</f>
        <v/>
      </c>
      <c r="BS26" s="722" t="str">
        <f>IF(COUNTA(車両台帳!$C$57:$C$2056)=0,"",COUNTIF(車両台帳!$BD$57:$BD$2056,BS$3&amp;"-"&amp;10&amp;"A"))</f>
        <v/>
      </c>
      <c r="BT26" s="722" t="str">
        <f>IF(COUNTA(車両台帳!$C$57:$C$2056)=0,"",COUNTIF(車両台帳!$BD$57:$BD$2056,BT$3&amp;"-"&amp;10&amp;"A"))</f>
        <v/>
      </c>
      <c r="BU26" s="722" t="str">
        <f>IF(COUNTA(車両台帳!$C$57:$C$2056)=0,"",COUNTIF(車両台帳!$BD$57:$BD$2056,BU$3&amp;"-"&amp;10&amp;"A"))</f>
        <v/>
      </c>
      <c r="BV26" s="722" t="str">
        <f>IF(COUNTA(車両台帳!$C$57:$C$2056)=0,"",COUNTIF(車両台帳!$BD$57:$BD$2056,BV$3&amp;"-"&amp;10&amp;"A"))</f>
        <v/>
      </c>
      <c r="BW26" s="722" t="str">
        <f>IF(COUNTA(車両台帳!$C$57:$C$2056)=0,"",COUNTIF(車両台帳!$BD$57:$BD$2056,BW$3&amp;"-"&amp;10&amp;"A"))</f>
        <v/>
      </c>
      <c r="BX26" s="722" t="str">
        <f>IF(COUNTA(車両台帳!$C$57:$C$2056)=0,"",COUNTIF(車両台帳!$BD$57:$BD$2056,BX$3&amp;"-"&amp;10&amp;"A"))</f>
        <v/>
      </c>
      <c r="BY26" s="722" t="str">
        <f>IF(COUNTA(車両台帳!$C$57:$C$2056)=0,"",COUNTIF(車両台帳!$BD$57:$BD$2056,BY$3&amp;"-"&amp;10&amp;"A"))</f>
        <v/>
      </c>
      <c r="BZ26" s="722" t="str">
        <f>IF(COUNTA(車両台帳!$C$57:$C$2056)=0,"",COUNTIF(車両台帳!$BD$57:$BD$2056,BZ$3&amp;"-"&amp;10&amp;"A"))</f>
        <v/>
      </c>
      <c r="CA26" s="722" t="str">
        <f>IF(COUNTA(車両台帳!$C$57:$C$2056)=0,"",COUNTIF(車両台帳!$BD$57:$BD$2056,CA$3&amp;"-"&amp;10&amp;"A"))</f>
        <v/>
      </c>
      <c r="CB26" s="722" t="str">
        <f>IF(COUNTA(車両台帳!$C$57:$C$2056)=0,"",COUNTIF(車両台帳!$BD$57:$BD$2056,CB$3&amp;"-"&amp;10&amp;"A"))</f>
        <v/>
      </c>
      <c r="CC26" s="722" t="str">
        <f>IF(COUNTA(車両台帳!$C$57:$C$2056)=0,"",COUNTIF(車両台帳!$BD$57:$BD$2056,CC$3&amp;"-"&amp;10&amp;"A"))</f>
        <v/>
      </c>
      <c r="CD26" s="722" t="str">
        <f>IF(COUNTA(車両台帳!$C$57:$C$2056)=0,"",COUNTIF(車両台帳!$BD$57:$BD$2056,CD$3&amp;"-"&amp;10&amp;"A"))</f>
        <v/>
      </c>
      <c r="CE26" s="722" t="str">
        <f>IF(COUNTA(車両台帳!$C$57:$C$2056)=0,"",COUNTIF(車両台帳!$BD$57:$BD$2056,CE$3&amp;"-"&amp;10&amp;"A"))</f>
        <v/>
      </c>
      <c r="CF26" s="722" t="str">
        <f>IF(COUNTA(車両台帳!$C$57:$C$2056)=0,"",COUNTIF(車両台帳!$BD$57:$BD$2056,CF$3&amp;"-"&amp;10&amp;"A"))</f>
        <v/>
      </c>
      <c r="CG26" s="722" t="str">
        <f>IF(COUNTA(車両台帳!$C$57:$C$2056)=0,"",COUNTIF(車両台帳!$BD$57:$BD$2056,CG$3&amp;"-"&amp;10&amp;"A"))</f>
        <v/>
      </c>
      <c r="CH26" s="722" t="str">
        <f>IF(COUNTA(車両台帳!$C$57:$C$2056)=0,"",COUNTIF(車両台帳!$BD$57:$BD$2056,CH$3&amp;"-"&amp;10&amp;"A"))</f>
        <v/>
      </c>
      <c r="CI26" s="722" t="str">
        <f>IF(COUNTA(車両台帳!$C$57:$C$2056)=0,"",COUNTIF(車両台帳!$BD$57:$BD$2056,CI$3&amp;"-"&amp;10&amp;"A"))</f>
        <v/>
      </c>
      <c r="CJ26" s="722" t="str">
        <f>IF(COUNTA(車両台帳!$C$57:$C$2056)=0,"",COUNTIF(車両台帳!$BD$57:$BD$2056,CJ$3&amp;"-"&amp;10&amp;"A"))</f>
        <v/>
      </c>
      <c r="CK26" s="722" t="str">
        <f>IF(COUNTA(車両台帳!$C$57:$C$2056)=0,"",COUNTIF(車両台帳!$BD$57:$BD$2056,CK$3&amp;"-"&amp;10&amp;"A"))</f>
        <v/>
      </c>
      <c r="CL26" s="722" t="str">
        <f>IF(COUNTA(車両台帳!$C$57:$C$2056)=0,"",COUNTIF(車両台帳!$BD$57:$BD$2056,CL$3&amp;"-"&amp;10&amp;"A"))</f>
        <v/>
      </c>
      <c r="CM26" s="722" t="str">
        <f>IF(COUNTA(車両台帳!$C$57:$C$2056)=0,"",COUNTIF(車両台帳!$BD$57:$BD$2056,CM$3&amp;"-"&amp;10&amp;"A"))</f>
        <v/>
      </c>
      <c r="CN26" s="722" t="str">
        <f>IF(COUNTA(車両台帳!$C$57:$C$2056)=0,"",COUNTIF(車両台帳!$BD$57:$BD$2056,CN$3&amp;"-"&amp;10&amp;"A"))</f>
        <v/>
      </c>
      <c r="CO26" s="722" t="str">
        <f>IF(COUNTA(車両台帳!$C$57:$C$2056)=0,"",COUNTIF(車両台帳!$BD$57:$BD$2056,CO$3&amp;"-"&amp;10&amp;"A"))</f>
        <v/>
      </c>
      <c r="CP26" s="722" t="str">
        <f>IF(COUNTA(車両台帳!$C$57:$C$2056)=0,"",COUNTIF(車両台帳!$BD$57:$BD$2056,CP$3&amp;"-"&amp;10&amp;"A"))</f>
        <v/>
      </c>
      <c r="CQ26" s="722" t="str">
        <f>IF(COUNTA(車両台帳!$C$57:$C$2056)=0,"",COUNTIF(車両台帳!$BD$57:$BD$2056,CQ$3&amp;"-"&amp;10&amp;"A"))</f>
        <v/>
      </c>
      <c r="CR26" s="722" t="str">
        <f>IF(COUNTA(車両台帳!$C$57:$C$2056)=0,"",COUNTIF(車両台帳!$BD$57:$BD$2056,CR$3&amp;"-"&amp;10&amp;"A"))</f>
        <v/>
      </c>
      <c r="CS26" s="722" t="str">
        <f>IF(COUNTA(車両台帳!$C$57:$C$2056)=0,"",COUNTIF(車両台帳!$BD$57:$BD$2056,CS$3&amp;"-"&amp;10&amp;"A"))</f>
        <v/>
      </c>
      <c r="CT26" s="722" t="str">
        <f>IF(COUNTA(車両台帳!$C$57:$C$2056)=0,"",COUNTIF(車両台帳!$BD$57:$BD$2056,CT$3&amp;"-"&amp;10&amp;"A"))</f>
        <v/>
      </c>
      <c r="CU26" s="722" t="str">
        <f>IF(COUNTA(車両台帳!$C$57:$C$2056)=0,"",COUNTIF(車両台帳!$BD$57:$BD$2056,CU$3&amp;"-"&amp;10&amp;"A"))</f>
        <v/>
      </c>
      <c r="CV26" s="722" t="str">
        <f>IF(COUNTA(車両台帳!$C$57:$C$2056)=0,"",COUNTIF(車両台帳!$BD$57:$BD$2056,CV$3&amp;"-"&amp;10&amp;"A"))</f>
        <v/>
      </c>
      <c r="CW26" s="722" t="str">
        <f>IF(COUNTA(車両台帳!$C$57:$C$2056)=0,"",COUNTIF(車両台帳!$BD$57:$BD$2056,CW$3&amp;"-"&amp;10&amp;"A"))</f>
        <v/>
      </c>
      <c r="CX26" s="722" t="str">
        <f>IF(COUNTA(車両台帳!$C$57:$C$2056)=0,"",COUNTIF(車両台帳!$BD$57:$BD$2056,CX$3&amp;"-"&amp;10&amp;"A"))</f>
        <v/>
      </c>
      <c r="CY26" s="722" t="str">
        <f>IF(COUNTA(車両台帳!$C$57:$C$2056)=0,"",COUNTIF(車両台帳!$BD$57:$BD$2056,CY$3&amp;"-"&amp;10&amp;"A"))</f>
        <v/>
      </c>
      <c r="CZ26" s="722" t="str">
        <f>IF(COUNTA(車両台帳!$C$57:$C$2056)=0,"",COUNTIF(車両台帳!$BD$57:$BD$2056,CZ$3&amp;"-"&amp;10&amp;"A"))</f>
        <v/>
      </c>
      <c r="DA26" s="722" t="str">
        <f>IF(COUNTA(車両台帳!$C$57:$C$2056)=0,"",COUNTIF(車両台帳!$BD$57:$BD$2056,DA$3&amp;"-"&amp;10&amp;"A"))</f>
        <v/>
      </c>
      <c r="DB26" s="722" t="str">
        <f>IF(COUNTA(車両台帳!$C$57:$C$2056)=0,"",COUNTIF(車両台帳!$BD$57:$BD$2056,DB$3&amp;"-"&amp;10&amp;"A"))</f>
        <v/>
      </c>
      <c r="DC26" s="722" t="str">
        <f>IF(COUNTA(車両台帳!$C$57:$C$2056)=0,"",COUNTIF(車両台帳!$BD$57:$BD$2056,DC$3&amp;"-"&amp;10&amp;"A"))</f>
        <v/>
      </c>
      <c r="DD26" s="722" t="str">
        <f>IF(COUNTA(車両台帳!$C$57:$C$2056)=0,"",COUNTIF(車両台帳!$BD$57:$BD$2056,DD$3&amp;"-"&amp;10&amp;"A"))</f>
        <v/>
      </c>
      <c r="DE26" s="722" t="str">
        <f>IF(COUNTA(車両台帳!$C$57:$C$2056)=0,"",COUNTIF(車両台帳!$BD$57:$BD$2056,DE$3&amp;"-"&amp;10&amp;"A"))</f>
        <v/>
      </c>
      <c r="DF26" s="722" t="str">
        <f>IF(COUNTA(車両台帳!$C$57:$C$2056)=0,"",COUNTIF(車両台帳!$BD$57:$BD$2056,DF$3&amp;"-"&amp;10&amp;"A"))</f>
        <v/>
      </c>
      <c r="DG26" s="722" t="str">
        <f>IF(COUNTA(車両台帳!$C$57:$C$2056)=0,"",COUNTIF(車両台帳!$BD$57:$BD$2056,DG$3&amp;"-"&amp;10&amp;"A"))</f>
        <v/>
      </c>
      <c r="DH26" s="722" t="str">
        <f>IF(COUNTA(車両台帳!$C$57:$C$2056)=0,"",COUNTIF(車両台帳!$BD$57:$BD$2056,DH$3&amp;"-"&amp;10&amp;"A"))</f>
        <v/>
      </c>
      <c r="DI26" s="722" t="str">
        <f>IF(COUNTA(車両台帳!$C$57:$C$2056)=0,"",COUNTIF(車両台帳!$BD$57:$BD$2056,DI$3&amp;"-"&amp;10&amp;"A"))</f>
        <v/>
      </c>
      <c r="DJ26" s="722" t="str">
        <f>IF(COUNTA(車両台帳!$C$57:$C$2056)=0,"",COUNTIF(車両台帳!$BD$57:$BD$2056,DJ$3&amp;"-"&amp;10&amp;"A"))</f>
        <v/>
      </c>
      <c r="DK26" s="722" t="str">
        <f>IF(COUNTA(車両台帳!$C$57:$C$2056)=0,"",COUNTIF(車両台帳!$BD$57:$BD$2056,DK$3&amp;"-"&amp;10&amp;"A"))</f>
        <v/>
      </c>
      <c r="DL26" s="722" t="str">
        <f>IF(COUNTA(車両台帳!$C$57:$C$2056)=0,"",COUNTIF(車両台帳!$BD$57:$BD$2056,DL$3&amp;"-"&amp;10&amp;"A"))</f>
        <v/>
      </c>
      <c r="DM26" s="722" t="str">
        <f>IF(COUNTA(車両台帳!$C$57:$C$2056)=0,"",COUNTIF(車両台帳!$BD$57:$BD$2056,DM$3&amp;"-"&amp;10&amp;"A"))</f>
        <v/>
      </c>
      <c r="DN26" s="722" t="str">
        <f>IF(COUNTA(車両台帳!$C$57:$C$2056)=0,"",COUNTIF(車両台帳!$BD$57:$BD$2056,DN$3&amp;"-"&amp;10&amp;"A"))</f>
        <v/>
      </c>
      <c r="DO26" s="722" t="str">
        <f>IF(COUNTA(車両台帳!$C$57:$C$2056)=0,"",COUNTIF(車両台帳!$BD$57:$BD$2056,DO$3&amp;"-"&amp;10&amp;"A"))</f>
        <v/>
      </c>
      <c r="DP26" s="722" t="str">
        <f>IF(COUNTA(車両台帳!$C$57:$C$2056)=0,"",COUNTIF(車両台帳!$BD$57:$BD$2056,DP$3&amp;"-"&amp;10&amp;"A"))</f>
        <v/>
      </c>
      <c r="DQ26" s="722" t="str">
        <f>IF(COUNTA(車両台帳!$C$57:$C$2056)=0,"",COUNTIF(車両台帳!$BD$57:$BD$2056,DQ$3&amp;"-"&amp;10&amp;"A"))</f>
        <v/>
      </c>
      <c r="DR26" s="722" t="str">
        <f>IF(COUNTA(車両台帳!$C$57:$C$2056)=0,"",COUNTIF(車両台帳!$BD$57:$BD$2056,DR$3&amp;"-"&amp;10&amp;"A"))</f>
        <v/>
      </c>
      <c r="DS26" s="722" t="str">
        <f>IF(COUNTA(車両台帳!$C$57:$C$2056)=0,"",COUNTIF(車両台帳!$BD$57:$BD$2056,DS$3&amp;"-"&amp;10&amp;"A"))</f>
        <v/>
      </c>
      <c r="DT26" s="722" t="str">
        <f>IF(COUNTA(車両台帳!$C$57:$C$2056)=0,"",COUNTIF(車両台帳!$BD$57:$BD$2056,DT$3&amp;"-"&amp;10&amp;"A"))</f>
        <v/>
      </c>
      <c r="DU26" s="722" t="str">
        <f>IF(COUNTA(車両台帳!$C$57:$C$2056)=0,"",COUNTIF(車両台帳!$BD$57:$BD$2056,DU$3&amp;"-"&amp;10&amp;"A"))</f>
        <v/>
      </c>
      <c r="DV26" s="722" t="str">
        <f>IF(COUNTA(車両台帳!$C$57:$C$2056)=0,"",COUNTIF(車両台帳!$BD$57:$BD$2056,DV$3&amp;"-"&amp;10&amp;"A"))</f>
        <v/>
      </c>
      <c r="DW26" s="722" t="str">
        <f>IF(COUNTA(車両台帳!$C$57:$C$2056)=0,"",COUNTIF(車両台帳!$BD$57:$BD$2056,DW$3&amp;"-"&amp;10&amp;"A"))</f>
        <v/>
      </c>
      <c r="DX26" s="722" t="str">
        <f>IF(COUNTA(車両台帳!$C$57:$C$2056)=0,"",COUNTIF(車両台帳!$BD$57:$BD$2056,DX$3&amp;"-"&amp;10&amp;"A"))</f>
        <v/>
      </c>
      <c r="DY26" s="722" t="str">
        <f>IF(COUNTA(車両台帳!$C$57:$C$2056)=0,"",COUNTIF(車両台帳!$BD$57:$BD$2056,DY$3&amp;"-"&amp;10&amp;"A"))</f>
        <v/>
      </c>
      <c r="DZ26" s="722" t="str">
        <f>IF(COUNTA(車両台帳!$C$57:$C$2056)=0,"",COUNTIF(車両台帳!$BD$57:$BD$2056,DZ$3&amp;"-"&amp;10&amp;"A"))</f>
        <v/>
      </c>
      <c r="EA26" s="722" t="str">
        <f>IF(COUNTA(車両台帳!$C$57:$C$2056)=0,"",COUNTIF(車両台帳!$BD$57:$BD$2056,EA$3&amp;"-"&amp;10&amp;"A"))</f>
        <v/>
      </c>
      <c r="EB26" s="722" t="str">
        <f>IF(COUNTA(車両台帳!$C$57:$C$2056)=0,"",COUNTIF(車両台帳!$BD$57:$BD$2056,EB$3&amp;"-"&amp;10&amp;"A"))</f>
        <v/>
      </c>
      <c r="EC26" s="722" t="str">
        <f>IF(COUNTA(車両台帳!$C$57:$C$2056)=0,"",COUNTIF(車両台帳!$BD$57:$BD$2056,EC$3&amp;"-"&amp;10&amp;"A"))</f>
        <v/>
      </c>
      <c r="ED26" s="722" t="str">
        <f>IF(COUNTA(車両台帳!$C$57:$C$2056)=0,"",COUNTIF(車両台帳!$BD$57:$BD$2056,ED$3&amp;"-"&amp;10&amp;"A"))</f>
        <v/>
      </c>
      <c r="EE26" s="722" t="str">
        <f>IF(COUNTA(車両台帳!$C$57:$C$2056)=0,"",COUNTIF(車両台帳!$BD$57:$BD$2056,EE$3&amp;"-"&amp;10&amp;"A"))</f>
        <v/>
      </c>
      <c r="EF26" s="722" t="str">
        <f>IF(COUNTA(車両台帳!$C$57:$C$2056)=0,"",COUNTIF(車両台帳!$BD$57:$BD$2056,EF$3&amp;"-"&amp;10&amp;"A"))</f>
        <v/>
      </c>
      <c r="EG26" s="722" t="str">
        <f>IF(COUNTA(車両台帳!$C$57:$C$2056)=0,"",COUNTIF(車両台帳!$BD$57:$BD$2056,EG$3&amp;"-"&amp;10&amp;"A"))</f>
        <v/>
      </c>
      <c r="EH26" s="722" t="str">
        <f>IF(COUNTA(車両台帳!$C$57:$C$2056)=0,"",COUNTIF(車両台帳!$BD$57:$BD$2056,EH$3&amp;"-"&amp;10&amp;"A"))</f>
        <v/>
      </c>
      <c r="EI26" s="722" t="str">
        <f>IF(COUNTA(車両台帳!$C$57:$C$2056)=0,"",COUNTIF(車両台帳!$BD$57:$BD$2056,EI$3&amp;"-"&amp;10&amp;"A"))</f>
        <v/>
      </c>
      <c r="EJ26" s="722" t="str">
        <f>IF(COUNTA(車両台帳!$C$57:$C$2056)=0,"",COUNTIF(車両台帳!$BD$57:$BD$2056,EJ$3&amp;"-"&amp;10&amp;"A"))</f>
        <v/>
      </c>
      <c r="EK26" s="722" t="str">
        <f>IF(COUNTA(車両台帳!$C$57:$C$2056)=0,"",COUNTIF(車両台帳!$BD$57:$BD$2056,EK$3&amp;"-"&amp;10&amp;"A"))</f>
        <v/>
      </c>
      <c r="EL26" s="722" t="str">
        <f>IF(COUNTA(車両台帳!$C$57:$C$2056)=0,"",COUNTIF(車両台帳!$BD$57:$BD$2056,EL$3&amp;"-"&amp;10&amp;"A"))</f>
        <v/>
      </c>
      <c r="EM26" s="722" t="str">
        <f>IF(COUNTA(車両台帳!$C$57:$C$2056)=0,"",COUNTIF(車両台帳!$BD$57:$BD$2056,EM$3&amp;"-"&amp;10&amp;"A"))</f>
        <v/>
      </c>
      <c r="EN26" s="722" t="str">
        <f>IF(COUNTA(車両台帳!$C$57:$C$2056)=0,"",COUNTIF(車両台帳!$BD$57:$BD$2056,EN$3&amp;"-"&amp;10&amp;"A"))</f>
        <v/>
      </c>
      <c r="EO26" s="722" t="str">
        <f>IF(COUNTA(車両台帳!$C$57:$C$2056)=0,"",COUNTIF(車両台帳!$BD$57:$BD$2056,EO$3&amp;"-"&amp;10&amp;"A"))</f>
        <v/>
      </c>
      <c r="EP26" s="722" t="str">
        <f>IF(COUNTA(車両台帳!$C$57:$C$2056)=0,"",COUNTIF(車両台帳!$BD$57:$BD$2056,EP$3&amp;"-"&amp;10&amp;"A"))</f>
        <v/>
      </c>
      <c r="EQ26" s="722" t="str">
        <f>IF(COUNTA(車両台帳!$C$57:$C$2056)=0,"",COUNTIF(車両台帳!$BD$57:$BD$2056,EQ$3&amp;"-"&amp;10&amp;"A"))</f>
        <v/>
      </c>
      <c r="ER26" s="722" t="str">
        <f>IF(COUNTA(車両台帳!$C$57:$C$2056)=0,"",COUNTIF(車両台帳!$BD$57:$BD$2056,ER$3&amp;"-"&amp;10&amp;"A"))</f>
        <v/>
      </c>
      <c r="ES26" s="722" t="str">
        <f>IF(COUNTA(車両台帳!$C$57:$C$2056)=0,"",COUNTIF(車両台帳!$BD$57:$BD$2056,ES$3&amp;"-"&amp;10&amp;"A"))</f>
        <v/>
      </c>
      <c r="ET26" s="722" t="str">
        <f>IF(COUNTA(車両台帳!$C$57:$C$2056)=0,"",COUNTIF(車両台帳!$BD$57:$BD$2056,ET$3&amp;"-"&amp;10&amp;"A"))</f>
        <v/>
      </c>
      <c r="EU26" s="722" t="str">
        <f>IF(COUNTA(車両台帳!$C$57:$C$2056)=0,"",COUNTIF(車両台帳!$BD$57:$BD$2056,EU$3&amp;"-"&amp;10&amp;"A"))</f>
        <v/>
      </c>
      <c r="EV26" s="722" t="str">
        <f>IF(COUNTA(車両台帳!$C$57:$C$2056)=0,"",COUNTIF(車両台帳!$BD$57:$BD$2056,EV$3&amp;"-"&amp;10&amp;"A"))</f>
        <v/>
      </c>
      <c r="EW26" s="722" t="str">
        <f>IF(COUNTA(車両台帳!$C$57:$C$2056)=0,"",COUNTIF(車両台帳!$BD$57:$BD$2056,EW$3&amp;"-"&amp;10&amp;"A"))</f>
        <v/>
      </c>
      <c r="EX26" s="722" t="str">
        <f>IF(COUNTA(車両台帳!$C$57:$C$2056)=0,"",COUNTIF(車両台帳!$BD$57:$BD$2056,EX$3&amp;"-"&amp;10&amp;"A"))</f>
        <v/>
      </c>
      <c r="EY26" s="722" t="str">
        <f>IF(COUNTA(車両台帳!$C$57:$C$2056)=0,"",COUNTIF(車両台帳!$BD$57:$BD$2056,EY$3&amp;"-"&amp;10&amp;"A"))</f>
        <v/>
      </c>
      <c r="EZ26" s="722" t="str">
        <f>IF(COUNTA(車両台帳!$C$57:$C$2056)=0,"",COUNTIF(車両台帳!$BD$57:$BD$2056,EZ$3&amp;"-"&amp;10&amp;"A"))</f>
        <v/>
      </c>
      <c r="FA26" s="722" t="str">
        <f>IF(COUNTA(車両台帳!$C$57:$C$2056)=0,"",COUNTIF(車両台帳!$BD$57:$BD$2056,FA$3&amp;"-"&amp;10&amp;"A"))</f>
        <v/>
      </c>
      <c r="FB26" s="722" t="str">
        <f>IF(COUNTA(車両台帳!$C$57:$C$2056)=0,"",COUNTIF(車両台帳!$BD$57:$BD$2056,FB$3&amp;"-"&amp;10&amp;"A"))</f>
        <v/>
      </c>
      <c r="FC26" s="722" t="str">
        <f>IF(COUNTA(車両台帳!$C$57:$C$2056)=0,"",COUNTIF(車両台帳!$BD$57:$BD$2056,FC$3&amp;"-"&amp;10&amp;"A"))</f>
        <v/>
      </c>
      <c r="FD26" s="722" t="str">
        <f>IF(COUNTA(車両台帳!$C$57:$C$2056)=0,"",COUNTIF(車両台帳!$BD$57:$BD$2056,FD$3&amp;"-"&amp;10&amp;"A"))</f>
        <v/>
      </c>
      <c r="FE26" s="722" t="str">
        <f>IF(COUNTA(車両台帳!$C$57:$C$2056)=0,"",COUNTIF(車両台帳!$BD$57:$BD$2056,FE$3&amp;"-"&amp;10&amp;"A"))</f>
        <v/>
      </c>
      <c r="FF26" s="722" t="str">
        <f>IF(COUNTA(車両台帳!$C$57:$C$2056)=0,"",COUNTIF(車両台帳!$BD$57:$BD$2056,FF$3&amp;"-"&amp;10&amp;"A"))</f>
        <v/>
      </c>
      <c r="FG26" s="722" t="str">
        <f>IF(COUNTA(車両台帳!$C$57:$C$2056)=0,"",COUNTIF(車両台帳!$BD$57:$BD$2056,FG$3&amp;"-"&amp;10&amp;"A"))</f>
        <v/>
      </c>
      <c r="FH26" s="722" t="str">
        <f>IF(COUNTA(車両台帳!$C$57:$C$2056)=0,"",COUNTIF(車両台帳!$BD$57:$BD$2056,FH$3&amp;"-"&amp;10&amp;"A"))</f>
        <v/>
      </c>
      <c r="FI26" s="722" t="str">
        <f>IF(COUNTA(車両台帳!$C$57:$C$2056)=0,"",COUNTIF(車両台帳!$BD$57:$BD$2056,FI$3&amp;"-"&amp;10&amp;"A"))</f>
        <v/>
      </c>
      <c r="FJ26" s="722" t="str">
        <f>IF(COUNTA(車両台帳!$C$57:$C$2056)=0,"",COUNTIF(車両台帳!$BD$57:$BD$2056,FJ$3&amp;"-"&amp;10&amp;"A"))</f>
        <v/>
      </c>
      <c r="FK26" s="722" t="str">
        <f>IF(COUNTA(車両台帳!$C$57:$C$2056)=0,"",COUNTIF(車両台帳!$BD$57:$BD$2056,FK$3&amp;"-"&amp;10&amp;"A"))</f>
        <v/>
      </c>
      <c r="FL26" s="722" t="str">
        <f>IF(COUNTA(車両台帳!$C$57:$C$2056)=0,"",COUNTIF(車両台帳!$BD$57:$BD$2056,FL$3&amp;"-"&amp;10&amp;"A"))</f>
        <v/>
      </c>
      <c r="FM26" s="722" t="str">
        <f>IF(COUNTA(車両台帳!$C$57:$C$2056)=0,"",COUNTIF(車両台帳!$BD$57:$BD$2056,FM$3&amp;"-"&amp;10&amp;"A"))</f>
        <v/>
      </c>
      <c r="FN26" s="722" t="str">
        <f>IF(COUNTA(車両台帳!$C$57:$C$2056)=0,"",COUNTIF(車両台帳!$BD$57:$BD$2056,FN$3&amp;"-"&amp;10&amp;"A"))</f>
        <v/>
      </c>
      <c r="FO26" s="722" t="str">
        <f>IF(COUNTA(車両台帳!$C$57:$C$2056)=0,"",COUNTIF(車両台帳!$BD$57:$BD$2056,FO$3&amp;"-"&amp;10&amp;"A"))</f>
        <v/>
      </c>
      <c r="FP26" s="722" t="str">
        <f>IF(COUNTA(車両台帳!$C$57:$C$2056)=0,"",COUNTIF(車両台帳!$BD$57:$BD$2056,FP$3&amp;"-"&amp;10&amp;"A"))</f>
        <v/>
      </c>
      <c r="FQ26" s="722" t="str">
        <f>IF(COUNTA(車両台帳!$C$57:$C$2056)=0,"",COUNTIF(車両台帳!$BD$57:$BD$2056,FQ$3&amp;"-"&amp;10&amp;"A"))</f>
        <v/>
      </c>
      <c r="FR26" s="722" t="str">
        <f>IF(COUNTA(車両台帳!$C$57:$C$2056)=0,"",COUNTIF(車両台帳!$BD$57:$BD$2056,FR$3&amp;"-"&amp;10&amp;"A"))</f>
        <v/>
      </c>
      <c r="FS26" s="722" t="str">
        <f>IF(COUNTA(車両台帳!$C$57:$C$2056)=0,"",COUNTIF(車両台帳!$BD$57:$BD$2056,FS$3&amp;"-"&amp;10&amp;"A"))</f>
        <v/>
      </c>
      <c r="FT26" s="722" t="str">
        <f>IF(COUNTA(車両台帳!$C$57:$C$2056)=0,"",COUNTIF(車両台帳!$BD$57:$BD$2056,FT$3&amp;"-"&amp;10&amp;"A"))</f>
        <v/>
      </c>
      <c r="FU26" s="722" t="str">
        <f>IF(COUNTA(車両台帳!$C$57:$C$2056)=0,"",COUNTIF(車両台帳!$BD$57:$BD$2056,FU$3&amp;"-"&amp;10&amp;"A"))</f>
        <v/>
      </c>
      <c r="FV26" s="722" t="str">
        <f>IF(COUNTA(車両台帳!$C$57:$C$2056)=0,"",COUNTIF(車両台帳!$BD$57:$BD$2056,FV$3&amp;"-"&amp;10&amp;"A"))</f>
        <v/>
      </c>
      <c r="FW26" s="722" t="str">
        <f>IF(COUNTA(車両台帳!$C$57:$C$2056)=0,"",COUNTIF(車両台帳!$BD$57:$BD$2056,FW$3&amp;"-"&amp;10&amp;"A"))</f>
        <v/>
      </c>
      <c r="FX26" s="722" t="str">
        <f>IF(COUNTA(車両台帳!$C$57:$C$2056)=0,"",COUNTIF(車両台帳!$BD$57:$BD$2056,FX$3&amp;"-"&amp;10&amp;"A"))</f>
        <v/>
      </c>
      <c r="FY26" s="722" t="str">
        <f>IF(COUNTA(車両台帳!$C$57:$C$2056)=0,"",COUNTIF(車両台帳!$BD$57:$BD$2056,FY$3&amp;"-"&amp;10&amp;"A"))</f>
        <v/>
      </c>
      <c r="FZ26" s="722" t="str">
        <f>IF(COUNTA(車両台帳!$C$57:$C$2056)=0,"",COUNTIF(車両台帳!$BD$57:$BD$2056,FZ$3&amp;"-"&amp;10&amp;"A"))</f>
        <v/>
      </c>
      <c r="GA26" s="722" t="str">
        <f>IF(COUNTA(車両台帳!$C$57:$C$2056)=0,"",COUNTIF(車両台帳!$BD$57:$BD$2056,GA$3&amp;"-"&amp;10&amp;"A"))</f>
        <v/>
      </c>
      <c r="GB26" s="722" t="str">
        <f>IF(COUNTA(車両台帳!$C$57:$C$2056)=0,"",COUNTIF(車両台帳!$BD$57:$BD$2056,GB$3&amp;"-"&amp;10&amp;"A"))</f>
        <v/>
      </c>
      <c r="GC26" s="722" t="str">
        <f>IF(COUNTA(車両台帳!$C$57:$C$2056)=0,"",COUNTIF(車両台帳!$BD$57:$BD$2056,GC$3&amp;"-"&amp;10&amp;"A"))</f>
        <v/>
      </c>
      <c r="GD26" s="722" t="str">
        <f>IF(COUNTA(車両台帳!$C$57:$C$2056)=0,"",COUNTIF(車両台帳!$BD$57:$BD$2056,GD$3&amp;"-"&amp;10&amp;"A"))</f>
        <v/>
      </c>
      <c r="GE26" s="722" t="str">
        <f>IF(COUNTA(車両台帳!$C$57:$C$2056)=0,"",COUNTIF(車両台帳!$BD$57:$BD$2056,GE$3&amp;"-"&amp;10&amp;"A"))</f>
        <v/>
      </c>
      <c r="GF26" s="722" t="str">
        <f>IF(COUNTA(車両台帳!$C$57:$C$2056)=0,"",COUNTIF(車両台帳!$BD$57:$BD$2056,GF$3&amp;"-"&amp;10&amp;"A"))</f>
        <v/>
      </c>
      <c r="GG26" s="722" t="str">
        <f>IF(COUNTA(車両台帳!$C$57:$C$2056)=0,"",COUNTIF(車両台帳!$BD$57:$BD$2056,GG$3&amp;"-"&amp;10&amp;"A"))</f>
        <v/>
      </c>
      <c r="GH26" s="722" t="str">
        <f>IF(COUNTA(車両台帳!$C$57:$C$2056)=0,"",COUNTIF(車両台帳!$BD$57:$BD$2056,GH$3&amp;"-"&amp;10&amp;"A"))</f>
        <v/>
      </c>
      <c r="GI26" s="722" t="str">
        <f>IF(COUNTA(車両台帳!$C$57:$C$2056)=0,"",COUNTIF(車両台帳!$BD$57:$BD$2056,GI$3&amp;"-"&amp;10&amp;"A"))</f>
        <v/>
      </c>
      <c r="GJ26" s="722" t="str">
        <f>IF(COUNTA(車両台帳!$C$57:$C$2056)=0,"",COUNTIF(車両台帳!$BD$57:$BD$2056,GJ$3&amp;"-"&amp;10&amp;"A"))</f>
        <v/>
      </c>
      <c r="GK26" s="722" t="str">
        <f>IF(COUNTA(車両台帳!$C$57:$C$2056)=0,"",COUNTIF(車両台帳!$BD$57:$BD$2056,GK$3&amp;"-"&amp;10&amp;"A"))</f>
        <v/>
      </c>
      <c r="GL26" s="722" t="str">
        <f>IF(COUNTA(車両台帳!$C$57:$C$2056)=0,"",COUNTIF(車両台帳!$BD$57:$BD$2056,GL$3&amp;"-"&amp;10&amp;"A"))</f>
        <v/>
      </c>
      <c r="GM26" s="722" t="str">
        <f>IF(COUNTA(車両台帳!$C$57:$C$2056)=0,"",COUNTIF(車両台帳!$BD$57:$BD$2056,GM$3&amp;"-"&amp;10&amp;"A"))</f>
        <v/>
      </c>
      <c r="GN26" s="722" t="str">
        <f>IF(COUNTA(車両台帳!$C$57:$C$2056)=0,"",COUNTIF(車両台帳!$BD$57:$BD$2056,GN$3&amp;"-"&amp;10&amp;"A"))</f>
        <v/>
      </c>
      <c r="GO26" s="722" t="str">
        <f>IF(COUNTA(車両台帳!$C$57:$C$2056)=0,"",COUNTIF(車両台帳!$BD$57:$BD$2056,GO$3&amp;"-"&amp;10&amp;"A"))</f>
        <v/>
      </c>
      <c r="GP26" s="722" t="str">
        <f>IF(COUNTA(車両台帳!$C$57:$C$2056)=0,"",COUNTIF(車両台帳!$BD$57:$BD$2056,GP$3&amp;"-"&amp;10&amp;"A"))</f>
        <v/>
      </c>
      <c r="GQ26" s="722" t="str">
        <f>IF(COUNTA(車両台帳!$C$57:$C$2056)=0,"",COUNTIF(車両台帳!$BD$57:$BD$2056,GQ$3&amp;"-"&amp;10&amp;"A"))</f>
        <v/>
      </c>
      <c r="GR26" s="722" t="str">
        <f>IF(COUNTA(車両台帳!$C$57:$C$2056)=0,"",COUNTIF(車両台帳!$BD$57:$BD$2056,GR$3&amp;"-"&amp;10&amp;"A"))</f>
        <v/>
      </c>
      <c r="GS26" s="722" t="str">
        <f>IF(COUNTA(車両台帳!$C$57:$C$2056)=0,"",COUNTIF(車両台帳!$BD$57:$BD$2056,GS$3&amp;"-"&amp;10&amp;"A"))</f>
        <v/>
      </c>
      <c r="GT26" s="722" t="str">
        <f>IF(COUNTA(車両台帳!$C$57:$C$2056)=0,"",COUNTIF(車両台帳!$BD$57:$BD$2056,GT$3&amp;"-"&amp;10&amp;"A"))</f>
        <v/>
      </c>
      <c r="GU26" s="723" t="str">
        <f>IF(COUNTA(車両台帳!$C$57:$C$2056)=0,"",COUNTIF(車両台帳!$BD$57:$BD$2056,GU$3&amp;"-"&amp;10&amp;"A"))</f>
        <v/>
      </c>
    </row>
    <row r="27" spans="1:203" s="7" customFormat="1" ht="29.25" customHeight="1">
      <c r="A27" s="1184"/>
      <c r="B27" s="715" t="s">
        <v>51</v>
      </c>
      <c r="C27" s="720" t="str">
        <f>IF(COUNTA(車両台帳!$C$57:$C$2056)=0,"",SUM(D27:GU27))</f>
        <v/>
      </c>
      <c r="D27" s="725" t="str">
        <f>IF(COUNTA(車両台帳!$C$57:$C$2056)=0,"",COUNTIF(車両台帳!$BD$57:$BD$2056,D$3&amp;"-"&amp;20&amp;"A"))</f>
        <v/>
      </c>
      <c r="E27" s="725" t="str">
        <f>IF(COUNTA(車両台帳!$C$57:$C$2056)=0,"",COUNTIF(車両台帳!$BD$57:$BD$2056,E$3&amp;"-"&amp;20&amp;"A"))</f>
        <v/>
      </c>
      <c r="F27" s="725" t="str">
        <f>IF(COUNTA(車両台帳!$C$57:$C$2056)=0,"",COUNTIF(車両台帳!$BD$57:$BD$2056,F$3&amp;"-"&amp;20&amp;"A"))</f>
        <v/>
      </c>
      <c r="G27" s="725" t="str">
        <f>IF(COUNTA(車両台帳!$C$57:$C$2056)=0,"",COUNTIF(車両台帳!$BD$57:$BD$2056,G$3&amp;"-"&amp;20&amp;"A"))</f>
        <v/>
      </c>
      <c r="H27" s="725" t="str">
        <f>IF(COUNTA(車両台帳!$C$57:$C$2056)=0,"",COUNTIF(車両台帳!$BD$57:$BD$2056,H$3&amp;"-"&amp;20&amp;"A"))</f>
        <v/>
      </c>
      <c r="I27" s="725" t="str">
        <f>IF(COUNTA(車両台帳!$C$57:$C$2056)=0,"",COUNTIF(車両台帳!$BD$57:$BD$2056,I$3&amp;"-"&amp;20&amp;"A"))</f>
        <v/>
      </c>
      <c r="J27" s="725" t="str">
        <f>IF(COUNTA(車両台帳!$C$57:$C$2056)=0,"",COUNTIF(車両台帳!$BD$57:$BD$2056,J$3&amp;"-"&amp;20&amp;"A"))</f>
        <v/>
      </c>
      <c r="K27" s="725" t="str">
        <f>IF(COUNTA(車両台帳!$C$57:$C$2056)=0,"",COUNTIF(車両台帳!$BD$57:$BD$2056,K$3&amp;"-"&amp;20&amp;"A"))</f>
        <v/>
      </c>
      <c r="L27" s="725" t="str">
        <f>IF(COUNTA(車両台帳!$C$57:$C$2056)=0,"",COUNTIF(車両台帳!$BD$57:$BD$2056,L$3&amp;"-"&amp;20&amp;"A"))</f>
        <v/>
      </c>
      <c r="M27" s="725" t="str">
        <f>IF(COUNTA(車両台帳!$C$57:$C$2056)=0,"",COUNTIF(車両台帳!$BD$57:$BD$2056,M$3&amp;"-"&amp;20&amp;"A"))</f>
        <v/>
      </c>
      <c r="N27" s="725" t="str">
        <f>IF(COUNTA(車両台帳!$C$57:$C$2056)=0,"",COUNTIF(車両台帳!$BD$57:$BD$2056,N$3&amp;"-"&amp;20&amp;"A"))</f>
        <v/>
      </c>
      <c r="O27" s="725" t="str">
        <f>IF(COUNTA(車両台帳!$C$57:$C$2056)=0,"",COUNTIF(車両台帳!$BD$57:$BD$2056,O$3&amp;"-"&amp;20&amp;"A"))</f>
        <v/>
      </c>
      <c r="P27" s="725" t="str">
        <f>IF(COUNTA(車両台帳!$C$57:$C$2056)=0,"",COUNTIF(車両台帳!$BD$57:$BD$2056,P$3&amp;"-"&amp;20&amp;"A"))</f>
        <v/>
      </c>
      <c r="Q27" s="725" t="str">
        <f>IF(COUNTA(車両台帳!$C$57:$C$2056)=0,"",COUNTIF(車両台帳!$BD$57:$BD$2056,Q$3&amp;"-"&amp;20&amp;"A"))</f>
        <v/>
      </c>
      <c r="R27" s="725" t="str">
        <f>IF(COUNTA(車両台帳!$C$57:$C$2056)=0,"",COUNTIF(車両台帳!$BD$57:$BD$2056,R$3&amp;"-"&amp;20&amp;"A"))</f>
        <v/>
      </c>
      <c r="S27" s="725" t="str">
        <f>IF(COUNTA(車両台帳!$C$57:$C$2056)=0,"",COUNTIF(車両台帳!$BD$57:$BD$2056,S$3&amp;"-"&amp;20&amp;"A"))</f>
        <v/>
      </c>
      <c r="T27" s="725" t="str">
        <f>IF(COUNTA(車両台帳!$C$57:$C$2056)=0,"",COUNTIF(車両台帳!$BD$57:$BD$2056,T$3&amp;"-"&amp;20&amp;"A"))</f>
        <v/>
      </c>
      <c r="U27" s="725" t="str">
        <f>IF(COUNTA(車両台帳!$C$57:$C$2056)=0,"",COUNTIF(車両台帳!$BD$57:$BD$2056,U$3&amp;"-"&amp;20&amp;"A"))</f>
        <v/>
      </c>
      <c r="V27" s="725" t="str">
        <f>IF(COUNTA(車両台帳!$C$57:$C$2056)=0,"",COUNTIF(車両台帳!$BD$57:$BD$2056,V$3&amp;"-"&amp;20&amp;"A"))</f>
        <v/>
      </c>
      <c r="W27" s="725" t="str">
        <f>IF(COUNTA(車両台帳!$C$57:$C$2056)=0,"",COUNTIF(車両台帳!$BD$57:$BD$2056,W$3&amp;"-"&amp;20&amp;"A"))</f>
        <v/>
      </c>
      <c r="X27" s="725" t="str">
        <f>IF(COUNTA(車両台帳!$C$57:$C$2056)=0,"",COUNTIF(車両台帳!$BD$57:$BD$2056,X$3&amp;"-"&amp;20&amp;"A"))</f>
        <v/>
      </c>
      <c r="Y27" s="725" t="str">
        <f>IF(COUNTA(車両台帳!$C$57:$C$2056)=0,"",COUNTIF(車両台帳!$BD$57:$BD$2056,Y$3&amp;"-"&amp;20&amp;"A"))</f>
        <v/>
      </c>
      <c r="Z27" s="725" t="str">
        <f>IF(COUNTA(車両台帳!$C$57:$C$2056)=0,"",COUNTIF(車両台帳!$BD$57:$BD$2056,Z$3&amp;"-"&amp;20&amp;"A"))</f>
        <v/>
      </c>
      <c r="AA27" s="725" t="str">
        <f>IF(COUNTA(車両台帳!$C$57:$C$2056)=0,"",COUNTIF(車両台帳!$BD$57:$BD$2056,AA$3&amp;"-"&amp;20&amp;"A"))</f>
        <v/>
      </c>
      <c r="AB27" s="725" t="str">
        <f>IF(COUNTA(車両台帳!$C$57:$C$2056)=0,"",COUNTIF(車両台帳!$BD$57:$BD$2056,AB$3&amp;"-"&amp;20&amp;"A"))</f>
        <v/>
      </c>
      <c r="AC27" s="725" t="str">
        <f>IF(COUNTA(車両台帳!$C$57:$C$2056)=0,"",COUNTIF(車両台帳!$BD$57:$BD$2056,AC$3&amp;"-"&amp;20&amp;"A"))</f>
        <v/>
      </c>
      <c r="AD27" s="725" t="str">
        <f>IF(COUNTA(車両台帳!$C$57:$C$2056)=0,"",COUNTIF(車両台帳!$BD$57:$BD$2056,AD$3&amp;"-"&amp;20&amp;"A"))</f>
        <v/>
      </c>
      <c r="AE27" s="725" t="str">
        <f>IF(COUNTA(車両台帳!$C$57:$C$2056)=0,"",COUNTIF(車両台帳!$BD$57:$BD$2056,AE$3&amp;"-"&amp;20&amp;"A"))</f>
        <v/>
      </c>
      <c r="AF27" s="725" t="str">
        <f>IF(COUNTA(車両台帳!$C$57:$C$2056)=0,"",COUNTIF(車両台帳!$BD$57:$BD$2056,AF$3&amp;"-"&amp;20&amp;"A"))</f>
        <v/>
      </c>
      <c r="AG27" s="725" t="str">
        <f>IF(COUNTA(車両台帳!$C$57:$C$2056)=0,"",COUNTIF(車両台帳!$BD$57:$BD$2056,AG$3&amp;"-"&amp;20&amp;"A"))</f>
        <v/>
      </c>
      <c r="AH27" s="725" t="str">
        <f>IF(COUNTA(車両台帳!$C$57:$C$2056)=0,"",COUNTIF(車両台帳!$BD$57:$BD$2056,AH$3&amp;"-"&amp;20&amp;"A"))</f>
        <v/>
      </c>
      <c r="AI27" s="725" t="str">
        <f>IF(COUNTA(車両台帳!$C$57:$C$2056)=0,"",COUNTIF(車両台帳!$BD$57:$BD$2056,AI$3&amp;"-"&amp;20&amp;"A"))</f>
        <v/>
      </c>
      <c r="AJ27" s="725" t="str">
        <f>IF(COUNTA(車両台帳!$C$57:$C$2056)=0,"",COUNTIF(車両台帳!$BD$57:$BD$2056,AJ$3&amp;"-"&amp;20&amp;"A"))</f>
        <v/>
      </c>
      <c r="AK27" s="725" t="str">
        <f>IF(COUNTA(車両台帳!$C$57:$C$2056)=0,"",COUNTIF(車両台帳!$BD$57:$BD$2056,AK$3&amp;"-"&amp;20&amp;"A"))</f>
        <v/>
      </c>
      <c r="AL27" s="725" t="str">
        <f>IF(COUNTA(車両台帳!$C$57:$C$2056)=0,"",COUNTIF(車両台帳!$BD$57:$BD$2056,AL$3&amp;"-"&amp;20&amp;"A"))</f>
        <v/>
      </c>
      <c r="AM27" s="725" t="str">
        <f>IF(COUNTA(車両台帳!$C$57:$C$2056)=0,"",COUNTIF(車両台帳!$BD$57:$BD$2056,AM$3&amp;"-"&amp;20&amp;"A"))</f>
        <v/>
      </c>
      <c r="AN27" s="725" t="str">
        <f>IF(COUNTA(車両台帳!$C$57:$C$2056)=0,"",COUNTIF(車両台帳!$BD$57:$BD$2056,AN$3&amp;"-"&amp;20&amp;"A"))</f>
        <v/>
      </c>
      <c r="AO27" s="725" t="str">
        <f>IF(COUNTA(車両台帳!$C$57:$C$2056)=0,"",COUNTIF(車両台帳!$BD$57:$BD$2056,AO$3&amp;"-"&amp;20&amp;"A"))</f>
        <v/>
      </c>
      <c r="AP27" s="725" t="str">
        <f>IF(COUNTA(車両台帳!$C$57:$C$2056)=0,"",COUNTIF(車両台帳!$BD$57:$BD$2056,AP$3&amp;"-"&amp;20&amp;"A"))</f>
        <v/>
      </c>
      <c r="AQ27" s="725" t="str">
        <f>IF(COUNTA(車両台帳!$C$57:$C$2056)=0,"",COUNTIF(車両台帳!$BD$57:$BD$2056,AQ$3&amp;"-"&amp;20&amp;"A"))</f>
        <v/>
      </c>
      <c r="AR27" s="725" t="str">
        <f>IF(COUNTA(車両台帳!$C$57:$C$2056)=0,"",COUNTIF(車両台帳!$BD$57:$BD$2056,AR$3&amp;"-"&amp;20&amp;"A"))</f>
        <v/>
      </c>
      <c r="AS27" s="725" t="str">
        <f>IF(COUNTA(車両台帳!$C$57:$C$2056)=0,"",COUNTIF(車両台帳!$BD$57:$BD$2056,AS$3&amp;"-"&amp;20&amp;"A"))</f>
        <v/>
      </c>
      <c r="AT27" s="725" t="str">
        <f>IF(COUNTA(車両台帳!$C$57:$C$2056)=0,"",COUNTIF(車両台帳!$BD$57:$BD$2056,AT$3&amp;"-"&amp;20&amp;"A"))</f>
        <v/>
      </c>
      <c r="AU27" s="725" t="str">
        <f>IF(COUNTA(車両台帳!$C$57:$C$2056)=0,"",COUNTIF(車両台帳!$BD$57:$BD$2056,AU$3&amp;"-"&amp;20&amp;"A"))</f>
        <v/>
      </c>
      <c r="AV27" s="725" t="str">
        <f>IF(COUNTA(車両台帳!$C$57:$C$2056)=0,"",COUNTIF(車両台帳!$BD$57:$BD$2056,AV$3&amp;"-"&amp;20&amp;"A"))</f>
        <v/>
      </c>
      <c r="AW27" s="725" t="str">
        <f>IF(COUNTA(車両台帳!$C$57:$C$2056)=0,"",COUNTIF(車両台帳!$BD$57:$BD$2056,AW$3&amp;"-"&amp;20&amp;"A"))</f>
        <v/>
      </c>
      <c r="AX27" s="725" t="str">
        <f>IF(COUNTA(車両台帳!$C$57:$C$2056)=0,"",COUNTIF(車両台帳!$BD$57:$BD$2056,AX$3&amp;"-"&amp;20&amp;"A"))</f>
        <v/>
      </c>
      <c r="AY27" s="725" t="str">
        <f>IF(COUNTA(車両台帳!$C$57:$C$2056)=0,"",COUNTIF(車両台帳!$BD$57:$BD$2056,AY$3&amp;"-"&amp;20&amp;"A"))</f>
        <v/>
      </c>
      <c r="AZ27" s="725" t="str">
        <f>IF(COUNTA(車両台帳!$C$57:$C$2056)=0,"",COUNTIF(車両台帳!$BD$57:$BD$2056,AZ$3&amp;"-"&amp;20&amp;"A"))</f>
        <v/>
      </c>
      <c r="BA27" s="725" t="str">
        <f>IF(COUNTA(車両台帳!$C$57:$C$2056)=0,"",COUNTIF(車両台帳!$BD$57:$BD$2056,BA$3&amp;"-"&amp;20&amp;"A"))</f>
        <v/>
      </c>
      <c r="BB27" s="725" t="str">
        <f>IF(COUNTA(車両台帳!$C$57:$C$2056)=0,"",COUNTIF(車両台帳!$BD$57:$BD$2056,BB$3&amp;"-"&amp;20&amp;"A"))</f>
        <v/>
      </c>
      <c r="BC27" s="725" t="str">
        <f>IF(COUNTA(車両台帳!$C$57:$C$2056)=0,"",COUNTIF(車両台帳!$BD$57:$BD$2056,BC$3&amp;"-"&amp;20&amp;"A"))</f>
        <v/>
      </c>
      <c r="BD27" s="725" t="str">
        <f>IF(COUNTA(車両台帳!$C$57:$C$2056)=0,"",COUNTIF(車両台帳!$BD$57:$BD$2056,BD$3&amp;"-"&amp;20&amp;"A"))</f>
        <v/>
      </c>
      <c r="BE27" s="725" t="str">
        <f>IF(COUNTA(車両台帳!$C$57:$C$2056)=0,"",COUNTIF(車両台帳!$BD$57:$BD$2056,BE$3&amp;"-"&amp;20&amp;"A"))</f>
        <v/>
      </c>
      <c r="BF27" s="725" t="str">
        <f>IF(COUNTA(車両台帳!$C$57:$C$2056)=0,"",COUNTIF(車両台帳!$BD$57:$BD$2056,BF$3&amp;"-"&amp;20&amp;"A"))</f>
        <v/>
      </c>
      <c r="BG27" s="725" t="str">
        <f>IF(COUNTA(車両台帳!$C$57:$C$2056)=0,"",COUNTIF(車両台帳!$BD$57:$BD$2056,BG$3&amp;"-"&amp;20&amp;"A"))</f>
        <v/>
      </c>
      <c r="BH27" s="725" t="str">
        <f>IF(COUNTA(車両台帳!$C$57:$C$2056)=0,"",COUNTIF(車両台帳!$BD$57:$BD$2056,BH$3&amp;"-"&amp;20&amp;"A"))</f>
        <v/>
      </c>
      <c r="BI27" s="725" t="str">
        <f>IF(COUNTA(車両台帳!$C$57:$C$2056)=0,"",COUNTIF(車両台帳!$BD$57:$BD$2056,BI$3&amp;"-"&amp;20&amp;"A"))</f>
        <v/>
      </c>
      <c r="BJ27" s="725" t="str">
        <f>IF(COUNTA(車両台帳!$C$57:$C$2056)=0,"",COUNTIF(車両台帳!$BD$57:$BD$2056,BJ$3&amp;"-"&amp;20&amp;"A"))</f>
        <v/>
      </c>
      <c r="BK27" s="725" t="str">
        <f>IF(COUNTA(車両台帳!$C$57:$C$2056)=0,"",COUNTIF(車両台帳!$BD$57:$BD$2056,BK$3&amp;"-"&amp;20&amp;"A"))</f>
        <v/>
      </c>
      <c r="BL27" s="725" t="str">
        <f>IF(COUNTA(車両台帳!$C$57:$C$2056)=0,"",COUNTIF(車両台帳!$BD$57:$BD$2056,BL$3&amp;"-"&amp;20&amp;"A"))</f>
        <v/>
      </c>
      <c r="BM27" s="725" t="str">
        <f>IF(COUNTA(車両台帳!$C$57:$C$2056)=0,"",COUNTIF(車両台帳!$BD$57:$BD$2056,BM$3&amp;"-"&amp;20&amp;"A"))</f>
        <v/>
      </c>
      <c r="BN27" s="725" t="str">
        <f>IF(COUNTA(車両台帳!$C$57:$C$2056)=0,"",COUNTIF(車両台帳!$BD$57:$BD$2056,BN$3&amp;"-"&amp;20&amp;"A"))</f>
        <v/>
      </c>
      <c r="BO27" s="725" t="str">
        <f>IF(COUNTA(車両台帳!$C$57:$C$2056)=0,"",COUNTIF(車両台帳!$BD$57:$BD$2056,BO$3&amp;"-"&amp;20&amp;"A"))</f>
        <v/>
      </c>
      <c r="BP27" s="725" t="str">
        <f>IF(COUNTA(車両台帳!$C$57:$C$2056)=0,"",COUNTIF(車両台帳!$BD$57:$BD$2056,BP$3&amp;"-"&amp;20&amp;"A"))</f>
        <v/>
      </c>
      <c r="BQ27" s="725" t="str">
        <f>IF(COUNTA(車両台帳!$C$57:$C$2056)=0,"",COUNTIF(車両台帳!$BD$57:$BD$2056,BQ$3&amp;"-"&amp;20&amp;"A"))</f>
        <v/>
      </c>
      <c r="BR27" s="725" t="str">
        <f>IF(COUNTA(車両台帳!$C$57:$C$2056)=0,"",COUNTIF(車両台帳!$BD$57:$BD$2056,BR$3&amp;"-"&amp;20&amp;"A"))</f>
        <v/>
      </c>
      <c r="BS27" s="725" t="str">
        <f>IF(COUNTA(車両台帳!$C$57:$C$2056)=0,"",COUNTIF(車両台帳!$BD$57:$BD$2056,BS$3&amp;"-"&amp;20&amp;"A"))</f>
        <v/>
      </c>
      <c r="BT27" s="725" t="str">
        <f>IF(COUNTA(車両台帳!$C$57:$C$2056)=0,"",COUNTIF(車両台帳!$BD$57:$BD$2056,BT$3&amp;"-"&amp;20&amp;"A"))</f>
        <v/>
      </c>
      <c r="BU27" s="725" t="str">
        <f>IF(COUNTA(車両台帳!$C$57:$C$2056)=0,"",COUNTIF(車両台帳!$BD$57:$BD$2056,BU$3&amp;"-"&amp;20&amp;"A"))</f>
        <v/>
      </c>
      <c r="BV27" s="725" t="str">
        <f>IF(COUNTA(車両台帳!$C$57:$C$2056)=0,"",COUNTIF(車両台帳!$BD$57:$BD$2056,BV$3&amp;"-"&amp;20&amp;"A"))</f>
        <v/>
      </c>
      <c r="BW27" s="725" t="str">
        <f>IF(COUNTA(車両台帳!$C$57:$C$2056)=0,"",COUNTIF(車両台帳!$BD$57:$BD$2056,BW$3&amp;"-"&amp;20&amp;"A"))</f>
        <v/>
      </c>
      <c r="BX27" s="725" t="str">
        <f>IF(COUNTA(車両台帳!$C$57:$C$2056)=0,"",COUNTIF(車両台帳!$BD$57:$BD$2056,BX$3&amp;"-"&amp;20&amp;"A"))</f>
        <v/>
      </c>
      <c r="BY27" s="725" t="str">
        <f>IF(COUNTA(車両台帳!$C$57:$C$2056)=0,"",COUNTIF(車両台帳!$BD$57:$BD$2056,BY$3&amp;"-"&amp;20&amp;"A"))</f>
        <v/>
      </c>
      <c r="BZ27" s="725" t="str">
        <f>IF(COUNTA(車両台帳!$C$57:$C$2056)=0,"",COUNTIF(車両台帳!$BD$57:$BD$2056,BZ$3&amp;"-"&amp;20&amp;"A"))</f>
        <v/>
      </c>
      <c r="CA27" s="725" t="str">
        <f>IF(COUNTA(車両台帳!$C$57:$C$2056)=0,"",COUNTIF(車両台帳!$BD$57:$BD$2056,CA$3&amp;"-"&amp;20&amp;"A"))</f>
        <v/>
      </c>
      <c r="CB27" s="725" t="str">
        <f>IF(COUNTA(車両台帳!$C$57:$C$2056)=0,"",COUNTIF(車両台帳!$BD$57:$BD$2056,CB$3&amp;"-"&amp;20&amp;"A"))</f>
        <v/>
      </c>
      <c r="CC27" s="725" t="str">
        <f>IF(COUNTA(車両台帳!$C$57:$C$2056)=0,"",COUNTIF(車両台帳!$BD$57:$BD$2056,CC$3&amp;"-"&amp;20&amp;"A"))</f>
        <v/>
      </c>
      <c r="CD27" s="725" t="str">
        <f>IF(COUNTA(車両台帳!$C$57:$C$2056)=0,"",COUNTIF(車両台帳!$BD$57:$BD$2056,CD$3&amp;"-"&amp;20&amp;"A"))</f>
        <v/>
      </c>
      <c r="CE27" s="725" t="str">
        <f>IF(COUNTA(車両台帳!$C$57:$C$2056)=0,"",COUNTIF(車両台帳!$BD$57:$BD$2056,CE$3&amp;"-"&amp;20&amp;"A"))</f>
        <v/>
      </c>
      <c r="CF27" s="725" t="str">
        <f>IF(COUNTA(車両台帳!$C$57:$C$2056)=0,"",COUNTIF(車両台帳!$BD$57:$BD$2056,CF$3&amp;"-"&amp;20&amp;"A"))</f>
        <v/>
      </c>
      <c r="CG27" s="725" t="str">
        <f>IF(COUNTA(車両台帳!$C$57:$C$2056)=0,"",COUNTIF(車両台帳!$BD$57:$BD$2056,CG$3&amp;"-"&amp;20&amp;"A"))</f>
        <v/>
      </c>
      <c r="CH27" s="725" t="str">
        <f>IF(COUNTA(車両台帳!$C$57:$C$2056)=0,"",COUNTIF(車両台帳!$BD$57:$BD$2056,CH$3&amp;"-"&amp;20&amp;"A"))</f>
        <v/>
      </c>
      <c r="CI27" s="725" t="str">
        <f>IF(COUNTA(車両台帳!$C$57:$C$2056)=0,"",COUNTIF(車両台帳!$BD$57:$BD$2056,CI$3&amp;"-"&amp;20&amp;"A"))</f>
        <v/>
      </c>
      <c r="CJ27" s="725" t="str">
        <f>IF(COUNTA(車両台帳!$C$57:$C$2056)=0,"",COUNTIF(車両台帳!$BD$57:$BD$2056,CJ$3&amp;"-"&amp;20&amp;"A"))</f>
        <v/>
      </c>
      <c r="CK27" s="725" t="str">
        <f>IF(COUNTA(車両台帳!$C$57:$C$2056)=0,"",COUNTIF(車両台帳!$BD$57:$BD$2056,CK$3&amp;"-"&amp;20&amp;"A"))</f>
        <v/>
      </c>
      <c r="CL27" s="725" t="str">
        <f>IF(COUNTA(車両台帳!$C$57:$C$2056)=0,"",COUNTIF(車両台帳!$BD$57:$BD$2056,CL$3&amp;"-"&amp;20&amp;"A"))</f>
        <v/>
      </c>
      <c r="CM27" s="725" t="str">
        <f>IF(COUNTA(車両台帳!$C$57:$C$2056)=0,"",COUNTIF(車両台帳!$BD$57:$BD$2056,CM$3&amp;"-"&amp;20&amp;"A"))</f>
        <v/>
      </c>
      <c r="CN27" s="725" t="str">
        <f>IF(COUNTA(車両台帳!$C$57:$C$2056)=0,"",COUNTIF(車両台帳!$BD$57:$BD$2056,CN$3&amp;"-"&amp;20&amp;"A"))</f>
        <v/>
      </c>
      <c r="CO27" s="725" t="str">
        <f>IF(COUNTA(車両台帳!$C$57:$C$2056)=0,"",COUNTIF(車両台帳!$BD$57:$BD$2056,CO$3&amp;"-"&amp;20&amp;"A"))</f>
        <v/>
      </c>
      <c r="CP27" s="725" t="str">
        <f>IF(COUNTA(車両台帳!$C$57:$C$2056)=0,"",COUNTIF(車両台帳!$BD$57:$BD$2056,CP$3&amp;"-"&amp;20&amp;"A"))</f>
        <v/>
      </c>
      <c r="CQ27" s="725" t="str">
        <f>IF(COUNTA(車両台帳!$C$57:$C$2056)=0,"",COUNTIF(車両台帳!$BD$57:$BD$2056,CQ$3&amp;"-"&amp;20&amp;"A"))</f>
        <v/>
      </c>
      <c r="CR27" s="725" t="str">
        <f>IF(COUNTA(車両台帳!$C$57:$C$2056)=0,"",COUNTIF(車両台帳!$BD$57:$BD$2056,CR$3&amp;"-"&amp;20&amp;"A"))</f>
        <v/>
      </c>
      <c r="CS27" s="725" t="str">
        <f>IF(COUNTA(車両台帳!$C$57:$C$2056)=0,"",COUNTIF(車両台帳!$BD$57:$BD$2056,CS$3&amp;"-"&amp;20&amp;"A"))</f>
        <v/>
      </c>
      <c r="CT27" s="725" t="str">
        <f>IF(COUNTA(車両台帳!$C$57:$C$2056)=0,"",COUNTIF(車両台帳!$BD$57:$BD$2056,CT$3&amp;"-"&amp;20&amp;"A"))</f>
        <v/>
      </c>
      <c r="CU27" s="725" t="str">
        <f>IF(COUNTA(車両台帳!$C$57:$C$2056)=0,"",COUNTIF(車両台帳!$BD$57:$BD$2056,CU$3&amp;"-"&amp;20&amp;"A"))</f>
        <v/>
      </c>
      <c r="CV27" s="725" t="str">
        <f>IF(COUNTA(車両台帳!$C$57:$C$2056)=0,"",COUNTIF(車両台帳!$BD$57:$BD$2056,CV$3&amp;"-"&amp;20&amp;"A"))</f>
        <v/>
      </c>
      <c r="CW27" s="725" t="str">
        <f>IF(COUNTA(車両台帳!$C$57:$C$2056)=0,"",COUNTIF(車両台帳!$BD$57:$BD$2056,CW$3&amp;"-"&amp;20&amp;"A"))</f>
        <v/>
      </c>
      <c r="CX27" s="725" t="str">
        <f>IF(COUNTA(車両台帳!$C$57:$C$2056)=0,"",COUNTIF(車両台帳!$BD$57:$BD$2056,CX$3&amp;"-"&amp;20&amp;"A"))</f>
        <v/>
      </c>
      <c r="CY27" s="725" t="str">
        <f>IF(COUNTA(車両台帳!$C$57:$C$2056)=0,"",COUNTIF(車両台帳!$BD$57:$BD$2056,CY$3&amp;"-"&amp;20&amp;"A"))</f>
        <v/>
      </c>
      <c r="CZ27" s="725" t="str">
        <f>IF(COUNTA(車両台帳!$C$57:$C$2056)=0,"",COUNTIF(車両台帳!$BD$57:$BD$2056,CZ$3&amp;"-"&amp;20&amp;"A"))</f>
        <v/>
      </c>
      <c r="DA27" s="725" t="str">
        <f>IF(COUNTA(車両台帳!$C$57:$C$2056)=0,"",COUNTIF(車両台帳!$BD$57:$BD$2056,DA$3&amp;"-"&amp;20&amp;"A"))</f>
        <v/>
      </c>
      <c r="DB27" s="725" t="str">
        <f>IF(COUNTA(車両台帳!$C$57:$C$2056)=0,"",COUNTIF(車両台帳!$BD$57:$BD$2056,DB$3&amp;"-"&amp;20&amp;"A"))</f>
        <v/>
      </c>
      <c r="DC27" s="725" t="str">
        <f>IF(COUNTA(車両台帳!$C$57:$C$2056)=0,"",COUNTIF(車両台帳!$BD$57:$BD$2056,DC$3&amp;"-"&amp;20&amp;"A"))</f>
        <v/>
      </c>
      <c r="DD27" s="725" t="str">
        <f>IF(COUNTA(車両台帳!$C$57:$C$2056)=0,"",COUNTIF(車両台帳!$BD$57:$BD$2056,DD$3&amp;"-"&amp;20&amp;"A"))</f>
        <v/>
      </c>
      <c r="DE27" s="725" t="str">
        <f>IF(COUNTA(車両台帳!$C$57:$C$2056)=0,"",COUNTIF(車両台帳!$BD$57:$BD$2056,DE$3&amp;"-"&amp;20&amp;"A"))</f>
        <v/>
      </c>
      <c r="DF27" s="725" t="str">
        <f>IF(COUNTA(車両台帳!$C$57:$C$2056)=0,"",COUNTIF(車両台帳!$BD$57:$BD$2056,DF$3&amp;"-"&amp;20&amp;"A"))</f>
        <v/>
      </c>
      <c r="DG27" s="725" t="str">
        <f>IF(COUNTA(車両台帳!$C$57:$C$2056)=0,"",COUNTIF(車両台帳!$BD$57:$BD$2056,DG$3&amp;"-"&amp;20&amp;"A"))</f>
        <v/>
      </c>
      <c r="DH27" s="725" t="str">
        <f>IF(COUNTA(車両台帳!$C$57:$C$2056)=0,"",COUNTIF(車両台帳!$BD$57:$BD$2056,DH$3&amp;"-"&amp;20&amp;"A"))</f>
        <v/>
      </c>
      <c r="DI27" s="725" t="str">
        <f>IF(COUNTA(車両台帳!$C$57:$C$2056)=0,"",COUNTIF(車両台帳!$BD$57:$BD$2056,DI$3&amp;"-"&amp;20&amp;"A"))</f>
        <v/>
      </c>
      <c r="DJ27" s="725" t="str">
        <f>IF(COUNTA(車両台帳!$C$57:$C$2056)=0,"",COUNTIF(車両台帳!$BD$57:$BD$2056,DJ$3&amp;"-"&amp;20&amp;"A"))</f>
        <v/>
      </c>
      <c r="DK27" s="725" t="str">
        <f>IF(COUNTA(車両台帳!$C$57:$C$2056)=0,"",COUNTIF(車両台帳!$BD$57:$BD$2056,DK$3&amp;"-"&amp;20&amp;"A"))</f>
        <v/>
      </c>
      <c r="DL27" s="725" t="str">
        <f>IF(COUNTA(車両台帳!$C$57:$C$2056)=0,"",COUNTIF(車両台帳!$BD$57:$BD$2056,DL$3&amp;"-"&amp;20&amp;"A"))</f>
        <v/>
      </c>
      <c r="DM27" s="725" t="str">
        <f>IF(COUNTA(車両台帳!$C$57:$C$2056)=0,"",COUNTIF(車両台帳!$BD$57:$BD$2056,DM$3&amp;"-"&amp;20&amp;"A"))</f>
        <v/>
      </c>
      <c r="DN27" s="725" t="str">
        <f>IF(COUNTA(車両台帳!$C$57:$C$2056)=0,"",COUNTIF(車両台帳!$BD$57:$BD$2056,DN$3&amp;"-"&amp;20&amp;"A"))</f>
        <v/>
      </c>
      <c r="DO27" s="725" t="str">
        <f>IF(COUNTA(車両台帳!$C$57:$C$2056)=0,"",COUNTIF(車両台帳!$BD$57:$BD$2056,DO$3&amp;"-"&amp;20&amp;"A"))</f>
        <v/>
      </c>
      <c r="DP27" s="725" t="str">
        <f>IF(COUNTA(車両台帳!$C$57:$C$2056)=0,"",COUNTIF(車両台帳!$BD$57:$BD$2056,DP$3&amp;"-"&amp;20&amp;"A"))</f>
        <v/>
      </c>
      <c r="DQ27" s="725" t="str">
        <f>IF(COUNTA(車両台帳!$C$57:$C$2056)=0,"",COUNTIF(車両台帳!$BD$57:$BD$2056,DQ$3&amp;"-"&amp;20&amp;"A"))</f>
        <v/>
      </c>
      <c r="DR27" s="725" t="str">
        <f>IF(COUNTA(車両台帳!$C$57:$C$2056)=0,"",COUNTIF(車両台帳!$BD$57:$BD$2056,DR$3&amp;"-"&amp;20&amp;"A"))</f>
        <v/>
      </c>
      <c r="DS27" s="725" t="str">
        <f>IF(COUNTA(車両台帳!$C$57:$C$2056)=0,"",COUNTIF(車両台帳!$BD$57:$BD$2056,DS$3&amp;"-"&amp;20&amp;"A"))</f>
        <v/>
      </c>
      <c r="DT27" s="725" t="str">
        <f>IF(COUNTA(車両台帳!$C$57:$C$2056)=0,"",COUNTIF(車両台帳!$BD$57:$BD$2056,DT$3&amp;"-"&amp;20&amp;"A"))</f>
        <v/>
      </c>
      <c r="DU27" s="725" t="str">
        <f>IF(COUNTA(車両台帳!$C$57:$C$2056)=0,"",COUNTIF(車両台帳!$BD$57:$BD$2056,DU$3&amp;"-"&amp;20&amp;"A"))</f>
        <v/>
      </c>
      <c r="DV27" s="725" t="str">
        <f>IF(COUNTA(車両台帳!$C$57:$C$2056)=0,"",COUNTIF(車両台帳!$BD$57:$BD$2056,DV$3&amp;"-"&amp;20&amp;"A"))</f>
        <v/>
      </c>
      <c r="DW27" s="725" t="str">
        <f>IF(COUNTA(車両台帳!$C$57:$C$2056)=0,"",COUNTIF(車両台帳!$BD$57:$BD$2056,DW$3&amp;"-"&amp;20&amp;"A"))</f>
        <v/>
      </c>
      <c r="DX27" s="725" t="str">
        <f>IF(COUNTA(車両台帳!$C$57:$C$2056)=0,"",COUNTIF(車両台帳!$BD$57:$BD$2056,DX$3&amp;"-"&amp;20&amp;"A"))</f>
        <v/>
      </c>
      <c r="DY27" s="725" t="str">
        <f>IF(COUNTA(車両台帳!$C$57:$C$2056)=0,"",COUNTIF(車両台帳!$BD$57:$BD$2056,DY$3&amp;"-"&amp;20&amp;"A"))</f>
        <v/>
      </c>
      <c r="DZ27" s="725" t="str">
        <f>IF(COUNTA(車両台帳!$C$57:$C$2056)=0,"",COUNTIF(車両台帳!$BD$57:$BD$2056,DZ$3&amp;"-"&amp;20&amp;"A"))</f>
        <v/>
      </c>
      <c r="EA27" s="725" t="str">
        <f>IF(COUNTA(車両台帳!$C$57:$C$2056)=0,"",COUNTIF(車両台帳!$BD$57:$BD$2056,EA$3&amp;"-"&amp;20&amp;"A"))</f>
        <v/>
      </c>
      <c r="EB27" s="725" t="str">
        <f>IF(COUNTA(車両台帳!$C$57:$C$2056)=0,"",COUNTIF(車両台帳!$BD$57:$BD$2056,EB$3&amp;"-"&amp;20&amp;"A"))</f>
        <v/>
      </c>
      <c r="EC27" s="725" t="str">
        <f>IF(COUNTA(車両台帳!$C$57:$C$2056)=0,"",COUNTIF(車両台帳!$BD$57:$BD$2056,EC$3&amp;"-"&amp;20&amp;"A"))</f>
        <v/>
      </c>
      <c r="ED27" s="725" t="str">
        <f>IF(COUNTA(車両台帳!$C$57:$C$2056)=0,"",COUNTIF(車両台帳!$BD$57:$BD$2056,ED$3&amp;"-"&amp;20&amp;"A"))</f>
        <v/>
      </c>
      <c r="EE27" s="725" t="str">
        <f>IF(COUNTA(車両台帳!$C$57:$C$2056)=0,"",COUNTIF(車両台帳!$BD$57:$BD$2056,EE$3&amp;"-"&amp;20&amp;"A"))</f>
        <v/>
      </c>
      <c r="EF27" s="725" t="str">
        <f>IF(COUNTA(車両台帳!$C$57:$C$2056)=0,"",COUNTIF(車両台帳!$BD$57:$BD$2056,EF$3&amp;"-"&amp;20&amp;"A"))</f>
        <v/>
      </c>
      <c r="EG27" s="725" t="str">
        <f>IF(COUNTA(車両台帳!$C$57:$C$2056)=0,"",COUNTIF(車両台帳!$BD$57:$BD$2056,EG$3&amp;"-"&amp;20&amp;"A"))</f>
        <v/>
      </c>
      <c r="EH27" s="725" t="str">
        <f>IF(COUNTA(車両台帳!$C$57:$C$2056)=0,"",COUNTIF(車両台帳!$BD$57:$BD$2056,EH$3&amp;"-"&amp;20&amp;"A"))</f>
        <v/>
      </c>
      <c r="EI27" s="725" t="str">
        <f>IF(COUNTA(車両台帳!$C$57:$C$2056)=0,"",COUNTIF(車両台帳!$BD$57:$BD$2056,EI$3&amp;"-"&amp;20&amp;"A"))</f>
        <v/>
      </c>
      <c r="EJ27" s="725" t="str">
        <f>IF(COUNTA(車両台帳!$C$57:$C$2056)=0,"",COUNTIF(車両台帳!$BD$57:$BD$2056,EJ$3&amp;"-"&amp;20&amp;"A"))</f>
        <v/>
      </c>
      <c r="EK27" s="725" t="str">
        <f>IF(COUNTA(車両台帳!$C$57:$C$2056)=0,"",COUNTIF(車両台帳!$BD$57:$BD$2056,EK$3&amp;"-"&amp;20&amp;"A"))</f>
        <v/>
      </c>
      <c r="EL27" s="725" t="str">
        <f>IF(COUNTA(車両台帳!$C$57:$C$2056)=0,"",COUNTIF(車両台帳!$BD$57:$BD$2056,EL$3&amp;"-"&amp;20&amp;"A"))</f>
        <v/>
      </c>
      <c r="EM27" s="725" t="str">
        <f>IF(COUNTA(車両台帳!$C$57:$C$2056)=0,"",COUNTIF(車両台帳!$BD$57:$BD$2056,EM$3&amp;"-"&amp;20&amp;"A"))</f>
        <v/>
      </c>
      <c r="EN27" s="725" t="str">
        <f>IF(COUNTA(車両台帳!$C$57:$C$2056)=0,"",COUNTIF(車両台帳!$BD$57:$BD$2056,EN$3&amp;"-"&amp;20&amp;"A"))</f>
        <v/>
      </c>
      <c r="EO27" s="725" t="str">
        <f>IF(COUNTA(車両台帳!$C$57:$C$2056)=0,"",COUNTIF(車両台帳!$BD$57:$BD$2056,EO$3&amp;"-"&amp;20&amp;"A"))</f>
        <v/>
      </c>
      <c r="EP27" s="725" t="str">
        <f>IF(COUNTA(車両台帳!$C$57:$C$2056)=0,"",COUNTIF(車両台帳!$BD$57:$BD$2056,EP$3&amp;"-"&amp;20&amp;"A"))</f>
        <v/>
      </c>
      <c r="EQ27" s="725" t="str">
        <f>IF(COUNTA(車両台帳!$C$57:$C$2056)=0,"",COUNTIF(車両台帳!$BD$57:$BD$2056,EQ$3&amp;"-"&amp;20&amp;"A"))</f>
        <v/>
      </c>
      <c r="ER27" s="725" t="str">
        <f>IF(COUNTA(車両台帳!$C$57:$C$2056)=0,"",COUNTIF(車両台帳!$BD$57:$BD$2056,ER$3&amp;"-"&amp;20&amp;"A"))</f>
        <v/>
      </c>
      <c r="ES27" s="725" t="str">
        <f>IF(COUNTA(車両台帳!$C$57:$C$2056)=0,"",COUNTIF(車両台帳!$BD$57:$BD$2056,ES$3&amp;"-"&amp;20&amp;"A"))</f>
        <v/>
      </c>
      <c r="ET27" s="725" t="str">
        <f>IF(COUNTA(車両台帳!$C$57:$C$2056)=0,"",COUNTIF(車両台帳!$BD$57:$BD$2056,ET$3&amp;"-"&amp;20&amp;"A"))</f>
        <v/>
      </c>
      <c r="EU27" s="725" t="str">
        <f>IF(COUNTA(車両台帳!$C$57:$C$2056)=0,"",COUNTIF(車両台帳!$BD$57:$BD$2056,EU$3&amp;"-"&amp;20&amp;"A"))</f>
        <v/>
      </c>
      <c r="EV27" s="725" t="str">
        <f>IF(COUNTA(車両台帳!$C$57:$C$2056)=0,"",COUNTIF(車両台帳!$BD$57:$BD$2056,EV$3&amp;"-"&amp;20&amp;"A"))</f>
        <v/>
      </c>
      <c r="EW27" s="725" t="str">
        <f>IF(COUNTA(車両台帳!$C$57:$C$2056)=0,"",COUNTIF(車両台帳!$BD$57:$BD$2056,EW$3&amp;"-"&amp;20&amp;"A"))</f>
        <v/>
      </c>
      <c r="EX27" s="725" t="str">
        <f>IF(COUNTA(車両台帳!$C$57:$C$2056)=0,"",COUNTIF(車両台帳!$BD$57:$BD$2056,EX$3&amp;"-"&amp;20&amp;"A"))</f>
        <v/>
      </c>
      <c r="EY27" s="725" t="str">
        <f>IF(COUNTA(車両台帳!$C$57:$C$2056)=0,"",COUNTIF(車両台帳!$BD$57:$BD$2056,EY$3&amp;"-"&amp;20&amp;"A"))</f>
        <v/>
      </c>
      <c r="EZ27" s="725" t="str">
        <f>IF(COUNTA(車両台帳!$C$57:$C$2056)=0,"",COUNTIF(車両台帳!$BD$57:$BD$2056,EZ$3&amp;"-"&amp;20&amp;"A"))</f>
        <v/>
      </c>
      <c r="FA27" s="725" t="str">
        <f>IF(COUNTA(車両台帳!$C$57:$C$2056)=0,"",COUNTIF(車両台帳!$BD$57:$BD$2056,FA$3&amp;"-"&amp;20&amp;"A"))</f>
        <v/>
      </c>
      <c r="FB27" s="725" t="str">
        <f>IF(COUNTA(車両台帳!$C$57:$C$2056)=0,"",COUNTIF(車両台帳!$BD$57:$BD$2056,FB$3&amp;"-"&amp;20&amp;"A"))</f>
        <v/>
      </c>
      <c r="FC27" s="725" t="str">
        <f>IF(COUNTA(車両台帳!$C$57:$C$2056)=0,"",COUNTIF(車両台帳!$BD$57:$BD$2056,FC$3&amp;"-"&amp;20&amp;"A"))</f>
        <v/>
      </c>
      <c r="FD27" s="725" t="str">
        <f>IF(COUNTA(車両台帳!$C$57:$C$2056)=0,"",COUNTIF(車両台帳!$BD$57:$BD$2056,FD$3&amp;"-"&amp;20&amp;"A"))</f>
        <v/>
      </c>
      <c r="FE27" s="725" t="str">
        <f>IF(COUNTA(車両台帳!$C$57:$C$2056)=0,"",COUNTIF(車両台帳!$BD$57:$BD$2056,FE$3&amp;"-"&amp;20&amp;"A"))</f>
        <v/>
      </c>
      <c r="FF27" s="725" t="str">
        <f>IF(COUNTA(車両台帳!$C$57:$C$2056)=0,"",COUNTIF(車両台帳!$BD$57:$BD$2056,FF$3&amp;"-"&amp;20&amp;"A"))</f>
        <v/>
      </c>
      <c r="FG27" s="725" t="str">
        <f>IF(COUNTA(車両台帳!$C$57:$C$2056)=0,"",COUNTIF(車両台帳!$BD$57:$BD$2056,FG$3&amp;"-"&amp;20&amp;"A"))</f>
        <v/>
      </c>
      <c r="FH27" s="725" t="str">
        <f>IF(COUNTA(車両台帳!$C$57:$C$2056)=0,"",COUNTIF(車両台帳!$BD$57:$BD$2056,FH$3&amp;"-"&amp;20&amp;"A"))</f>
        <v/>
      </c>
      <c r="FI27" s="725" t="str">
        <f>IF(COUNTA(車両台帳!$C$57:$C$2056)=0,"",COUNTIF(車両台帳!$BD$57:$BD$2056,FI$3&amp;"-"&amp;20&amp;"A"))</f>
        <v/>
      </c>
      <c r="FJ27" s="725" t="str">
        <f>IF(COUNTA(車両台帳!$C$57:$C$2056)=0,"",COUNTIF(車両台帳!$BD$57:$BD$2056,FJ$3&amp;"-"&amp;20&amp;"A"))</f>
        <v/>
      </c>
      <c r="FK27" s="725" t="str">
        <f>IF(COUNTA(車両台帳!$C$57:$C$2056)=0,"",COUNTIF(車両台帳!$BD$57:$BD$2056,FK$3&amp;"-"&amp;20&amp;"A"))</f>
        <v/>
      </c>
      <c r="FL27" s="725" t="str">
        <f>IF(COUNTA(車両台帳!$C$57:$C$2056)=0,"",COUNTIF(車両台帳!$BD$57:$BD$2056,FL$3&amp;"-"&amp;20&amp;"A"))</f>
        <v/>
      </c>
      <c r="FM27" s="725" t="str">
        <f>IF(COUNTA(車両台帳!$C$57:$C$2056)=0,"",COUNTIF(車両台帳!$BD$57:$BD$2056,FM$3&amp;"-"&amp;20&amp;"A"))</f>
        <v/>
      </c>
      <c r="FN27" s="725" t="str">
        <f>IF(COUNTA(車両台帳!$C$57:$C$2056)=0,"",COUNTIF(車両台帳!$BD$57:$BD$2056,FN$3&amp;"-"&amp;20&amp;"A"))</f>
        <v/>
      </c>
      <c r="FO27" s="725" t="str">
        <f>IF(COUNTA(車両台帳!$C$57:$C$2056)=0,"",COUNTIF(車両台帳!$BD$57:$BD$2056,FO$3&amp;"-"&amp;20&amp;"A"))</f>
        <v/>
      </c>
      <c r="FP27" s="725" t="str">
        <f>IF(COUNTA(車両台帳!$C$57:$C$2056)=0,"",COUNTIF(車両台帳!$BD$57:$BD$2056,FP$3&amp;"-"&amp;20&amp;"A"))</f>
        <v/>
      </c>
      <c r="FQ27" s="725" t="str">
        <f>IF(COUNTA(車両台帳!$C$57:$C$2056)=0,"",COUNTIF(車両台帳!$BD$57:$BD$2056,FQ$3&amp;"-"&amp;20&amp;"A"))</f>
        <v/>
      </c>
      <c r="FR27" s="725" t="str">
        <f>IF(COUNTA(車両台帳!$C$57:$C$2056)=0,"",COUNTIF(車両台帳!$BD$57:$BD$2056,FR$3&amp;"-"&amp;20&amp;"A"))</f>
        <v/>
      </c>
      <c r="FS27" s="725" t="str">
        <f>IF(COUNTA(車両台帳!$C$57:$C$2056)=0,"",COUNTIF(車両台帳!$BD$57:$BD$2056,FS$3&amp;"-"&amp;20&amp;"A"))</f>
        <v/>
      </c>
      <c r="FT27" s="725" t="str">
        <f>IF(COUNTA(車両台帳!$C$57:$C$2056)=0,"",COUNTIF(車両台帳!$BD$57:$BD$2056,FT$3&amp;"-"&amp;20&amp;"A"))</f>
        <v/>
      </c>
      <c r="FU27" s="725" t="str">
        <f>IF(COUNTA(車両台帳!$C$57:$C$2056)=0,"",COUNTIF(車両台帳!$BD$57:$BD$2056,FU$3&amp;"-"&amp;20&amp;"A"))</f>
        <v/>
      </c>
      <c r="FV27" s="725" t="str">
        <f>IF(COUNTA(車両台帳!$C$57:$C$2056)=0,"",COUNTIF(車両台帳!$BD$57:$BD$2056,FV$3&amp;"-"&amp;20&amp;"A"))</f>
        <v/>
      </c>
      <c r="FW27" s="725" t="str">
        <f>IF(COUNTA(車両台帳!$C$57:$C$2056)=0,"",COUNTIF(車両台帳!$BD$57:$BD$2056,FW$3&amp;"-"&amp;20&amp;"A"))</f>
        <v/>
      </c>
      <c r="FX27" s="725" t="str">
        <f>IF(COUNTA(車両台帳!$C$57:$C$2056)=0,"",COUNTIF(車両台帳!$BD$57:$BD$2056,FX$3&amp;"-"&amp;20&amp;"A"))</f>
        <v/>
      </c>
      <c r="FY27" s="725" t="str">
        <f>IF(COUNTA(車両台帳!$C$57:$C$2056)=0,"",COUNTIF(車両台帳!$BD$57:$BD$2056,FY$3&amp;"-"&amp;20&amp;"A"))</f>
        <v/>
      </c>
      <c r="FZ27" s="725" t="str">
        <f>IF(COUNTA(車両台帳!$C$57:$C$2056)=0,"",COUNTIF(車両台帳!$BD$57:$BD$2056,FZ$3&amp;"-"&amp;20&amp;"A"))</f>
        <v/>
      </c>
      <c r="GA27" s="725" t="str">
        <f>IF(COUNTA(車両台帳!$C$57:$C$2056)=0,"",COUNTIF(車両台帳!$BD$57:$BD$2056,GA$3&amp;"-"&amp;20&amp;"A"))</f>
        <v/>
      </c>
      <c r="GB27" s="725" t="str">
        <f>IF(COUNTA(車両台帳!$C$57:$C$2056)=0,"",COUNTIF(車両台帳!$BD$57:$BD$2056,GB$3&amp;"-"&amp;20&amp;"A"))</f>
        <v/>
      </c>
      <c r="GC27" s="725" t="str">
        <f>IF(COUNTA(車両台帳!$C$57:$C$2056)=0,"",COUNTIF(車両台帳!$BD$57:$BD$2056,GC$3&amp;"-"&amp;20&amp;"A"))</f>
        <v/>
      </c>
      <c r="GD27" s="725" t="str">
        <f>IF(COUNTA(車両台帳!$C$57:$C$2056)=0,"",COUNTIF(車両台帳!$BD$57:$BD$2056,GD$3&amp;"-"&amp;20&amp;"A"))</f>
        <v/>
      </c>
      <c r="GE27" s="725" t="str">
        <f>IF(COUNTA(車両台帳!$C$57:$C$2056)=0,"",COUNTIF(車両台帳!$BD$57:$BD$2056,GE$3&amp;"-"&amp;20&amp;"A"))</f>
        <v/>
      </c>
      <c r="GF27" s="725" t="str">
        <f>IF(COUNTA(車両台帳!$C$57:$C$2056)=0,"",COUNTIF(車両台帳!$BD$57:$BD$2056,GF$3&amp;"-"&amp;20&amp;"A"))</f>
        <v/>
      </c>
      <c r="GG27" s="725" t="str">
        <f>IF(COUNTA(車両台帳!$C$57:$C$2056)=0,"",COUNTIF(車両台帳!$BD$57:$BD$2056,GG$3&amp;"-"&amp;20&amp;"A"))</f>
        <v/>
      </c>
      <c r="GH27" s="725" t="str">
        <f>IF(COUNTA(車両台帳!$C$57:$C$2056)=0,"",COUNTIF(車両台帳!$BD$57:$BD$2056,GH$3&amp;"-"&amp;20&amp;"A"))</f>
        <v/>
      </c>
      <c r="GI27" s="725" t="str">
        <f>IF(COUNTA(車両台帳!$C$57:$C$2056)=0,"",COUNTIF(車両台帳!$BD$57:$BD$2056,GI$3&amp;"-"&amp;20&amp;"A"))</f>
        <v/>
      </c>
      <c r="GJ27" s="725" t="str">
        <f>IF(COUNTA(車両台帳!$C$57:$C$2056)=0,"",COUNTIF(車両台帳!$BD$57:$BD$2056,GJ$3&amp;"-"&amp;20&amp;"A"))</f>
        <v/>
      </c>
      <c r="GK27" s="725" t="str">
        <f>IF(COUNTA(車両台帳!$C$57:$C$2056)=0,"",COUNTIF(車両台帳!$BD$57:$BD$2056,GK$3&amp;"-"&amp;20&amp;"A"))</f>
        <v/>
      </c>
      <c r="GL27" s="725" t="str">
        <f>IF(COUNTA(車両台帳!$C$57:$C$2056)=0,"",COUNTIF(車両台帳!$BD$57:$BD$2056,GL$3&amp;"-"&amp;20&amp;"A"))</f>
        <v/>
      </c>
      <c r="GM27" s="725" t="str">
        <f>IF(COUNTA(車両台帳!$C$57:$C$2056)=0,"",COUNTIF(車両台帳!$BD$57:$BD$2056,GM$3&amp;"-"&amp;20&amp;"A"))</f>
        <v/>
      </c>
      <c r="GN27" s="725" t="str">
        <f>IF(COUNTA(車両台帳!$C$57:$C$2056)=0,"",COUNTIF(車両台帳!$BD$57:$BD$2056,GN$3&amp;"-"&amp;20&amp;"A"))</f>
        <v/>
      </c>
      <c r="GO27" s="725" t="str">
        <f>IF(COUNTA(車両台帳!$C$57:$C$2056)=0,"",COUNTIF(車両台帳!$BD$57:$BD$2056,GO$3&amp;"-"&amp;20&amp;"A"))</f>
        <v/>
      </c>
      <c r="GP27" s="725" t="str">
        <f>IF(COUNTA(車両台帳!$C$57:$C$2056)=0,"",COUNTIF(車両台帳!$BD$57:$BD$2056,GP$3&amp;"-"&amp;20&amp;"A"))</f>
        <v/>
      </c>
      <c r="GQ27" s="725" t="str">
        <f>IF(COUNTA(車両台帳!$C$57:$C$2056)=0,"",COUNTIF(車両台帳!$BD$57:$BD$2056,GQ$3&amp;"-"&amp;20&amp;"A"))</f>
        <v/>
      </c>
      <c r="GR27" s="725" t="str">
        <f>IF(COUNTA(車両台帳!$C$57:$C$2056)=0,"",COUNTIF(車両台帳!$BD$57:$BD$2056,GR$3&amp;"-"&amp;20&amp;"A"))</f>
        <v/>
      </c>
      <c r="GS27" s="725" t="str">
        <f>IF(COUNTA(車両台帳!$C$57:$C$2056)=0,"",COUNTIF(車両台帳!$BD$57:$BD$2056,GS$3&amp;"-"&amp;20&amp;"A"))</f>
        <v/>
      </c>
      <c r="GT27" s="725" t="str">
        <f>IF(COUNTA(車両台帳!$C$57:$C$2056)=0,"",COUNTIF(車両台帳!$BD$57:$BD$2056,GT$3&amp;"-"&amp;20&amp;"A"))</f>
        <v/>
      </c>
      <c r="GU27" s="726" t="str">
        <f>IF(COUNTA(車両台帳!$C$57:$C$2056)=0,"",COUNTIF(車両台帳!$BD$57:$BD$2056,GU$3&amp;"-"&amp;20&amp;"A"))</f>
        <v/>
      </c>
    </row>
    <row r="28" spans="1:203" s="7" customFormat="1" ht="29.25" customHeight="1">
      <c r="A28" s="1184"/>
      <c r="B28" s="715" t="s">
        <v>52</v>
      </c>
      <c r="C28" s="720" t="str">
        <f>IF(COUNTA(車両台帳!$C$57:$C$2056)=0,"",SUM(D28:GU28))</f>
        <v/>
      </c>
      <c r="D28" s="725" t="str">
        <f>IF(COUNTA(車両台帳!$C$57:$C$2056)=0,"",COUNTIF(車両台帳!$BD$57:$BD$2056,D$3&amp;"-"&amp;30&amp;"A"))</f>
        <v/>
      </c>
      <c r="E28" s="725" t="str">
        <f>IF(COUNTA(車両台帳!$C$57:$C$2056)=0,"",COUNTIF(車両台帳!$BD$57:$BD$2056,E$3&amp;"-"&amp;30&amp;"A"))</f>
        <v/>
      </c>
      <c r="F28" s="725" t="str">
        <f>IF(COUNTA(車両台帳!$C$57:$C$2056)=0,"",COUNTIF(車両台帳!$BD$57:$BD$2056,F$3&amp;"-"&amp;30&amp;"A"))</f>
        <v/>
      </c>
      <c r="G28" s="725" t="str">
        <f>IF(COUNTA(車両台帳!$C$57:$C$2056)=0,"",COUNTIF(車両台帳!$BD$57:$BD$2056,G$3&amp;"-"&amp;30&amp;"A"))</f>
        <v/>
      </c>
      <c r="H28" s="725" t="str">
        <f>IF(COUNTA(車両台帳!$C$57:$C$2056)=0,"",COUNTIF(車両台帳!$BD$57:$BD$2056,H$3&amp;"-"&amp;30&amp;"A"))</f>
        <v/>
      </c>
      <c r="I28" s="725" t="str">
        <f>IF(COUNTA(車両台帳!$C$57:$C$2056)=0,"",COUNTIF(車両台帳!$BD$57:$BD$2056,I$3&amp;"-"&amp;30&amp;"A"))</f>
        <v/>
      </c>
      <c r="J28" s="725" t="str">
        <f>IF(COUNTA(車両台帳!$C$57:$C$2056)=0,"",COUNTIF(車両台帳!$BD$57:$BD$2056,J$3&amp;"-"&amp;30&amp;"A"))</f>
        <v/>
      </c>
      <c r="K28" s="725" t="str">
        <f>IF(COUNTA(車両台帳!$C$57:$C$2056)=0,"",COUNTIF(車両台帳!$BD$57:$BD$2056,K$3&amp;"-"&amp;30&amp;"A"))</f>
        <v/>
      </c>
      <c r="L28" s="725" t="str">
        <f>IF(COUNTA(車両台帳!$C$57:$C$2056)=0,"",COUNTIF(車両台帳!$BD$57:$BD$2056,L$3&amp;"-"&amp;30&amp;"A"))</f>
        <v/>
      </c>
      <c r="M28" s="725" t="str">
        <f>IF(COUNTA(車両台帳!$C$57:$C$2056)=0,"",COUNTIF(車両台帳!$BD$57:$BD$2056,M$3&amp;"-"&amp;30&amp;"A"))</f>
        <v/>
      </c>
      <c r="N28" s="725" t="str">
        <f>IF(COUNTA(車両台帳!$C$57:$C$2056)=0,"",COUNTIF(車両台帳!$BD$57:$BD$2056,N$3&amp;"-"&amp;30&amp;"A"))</f>
        <v/>
      </c>
      <c r="O28" s="725" t="str">
        <f>IF(COUNTA(車両台帳!$C$57:$C$2056)=0,"",COUNTIF(車両台帳!$BD$57:$BD$2056,O$3&amp;"-"&amp;30&amp;"A"))</f>
        <v/>
      </c>
      <c r="P28" s="725" t="str">
        <f>IF(COUNTA(車両台帳!$C$57:$C$2056)=0,"",COUNTIF(車両台帳!$BD$57:$BD$2056,P$3&amp;"-"&amp;30&amp;"A"))</f>
        <v/>
      </c>
      <c r="Q28" s="725" t="str">
        <f>IF(COUNTA(車両台帳!$C$57:$C$2056)=0,"",COUNTIF(車両台帳!$BD$57:$BD$2056,Q$3&amp;"-"&amp;30&amp;"A"))</f>
        <v/>
      </c>
      <c r="R28" s="725" t="str">
        <f>IF(COUNTA(車両台帳!$C$57:$C$2056)=0,"",COUNTIF(車両台帳!$BD$57:$BD$2056,R$3&amp;"-"&amp;30&amp;"A"))</f>
        <v/>
      </c>
      <c r="S28" s="725" t="str">
        <f>IF(COUNTA(車両台帳!$C$57:$C$2056)=0,"",COUNTIF(車両台帳!$BD$57:$BD$2056,S$3&amp;"-"&amp;30&amp;"A"))</f>
        <v/>
      </c>
      <c r="T28" s="725" t="str">
        <f>IF(COUNTA(車両台帳!$C$57:$C$2056)=0,"",COUNTIF(車両台帳!$BD$57:$BD$2056,T$3&amp;"-"&amp;30&amp;"A"))</f>
        <v/>
      </c>
      <c r="U28" s="725" t="str">
        <f>IF(COUNTA(車両台帳!$C$57:$C$2056)=0,"",COUNTIF(車両台帳!$BD$57:$BD$2056,U$3&amp;"-"&amp;30&amp;"A"))</f>
        <v/>
      </c>
      <c r="V28" s="725" t="str">
        <f>IF(COUNTA(車両台帳!$C$57:$C$2056)=0,"",COUNTIF(車両台帳!$BD$57:$BD$2056,V$3&amp;"-"&amp;30&amp;"A"))</f>
        <v/>
      </c>
      <c r="W28" s="725" t="str">
        <f>IF(COUNTA(車両台帳!$C$57:$C$2056)=0,"",COUNTIF(車両台帳!$BD$57:$BD$2056,W$3&amp;"-"&amp;30&amp;"A"))</f>
        <v/>
      </c>
      <c r="X28" s="725" t="str">
        <f>IF(COUNTA(車両台帳!$C$57:$C$2056)=0,"",COUNTIF(車両台帳!$BD$57:$BD$2056,X$3&amp;"-"&amp;30&amp;"A"))</f>
        <v/>
      </c>
      <c r="Y28" s="725" t="str">
        <f>IF(COUNTA(車両台帳!$C$57:$C$2056)=0,"",COUNTIF(車両台帳!$BD$57:$BD$2056,Y$3&amp;"-"&amp;30&amp;"A"))</f>
        <v/>
      </c>
      <c r="Z28" s="725" t="str">
        <f>IF(COUNTA(車両台帳!$C$57:$C$2056)=0,"",COUNTIF(車両台帳!$BD$57:$BD$2056,Z$3&amp;"-"&amp;30&amp;"A"))</f>
        <v/>
      </c>
      <c r="AA28" s="725" t="str">
        <f>IF(COUNTA(車両台帳!$C$57:$C$2056)=0,"",COUNTIF(車両台帳!$BD$57:$BD$2056,AA$3&amp;"-"&amp;30&amp;"A"))</f>
        <v/>
      </c>
      <c r="AB28" s="725" t="str">
        <f>IF(COUNTA(車両台帳!$C$57:$C$2056)=0,"",COUNTIF(車両台帳!$BD$57:$BD$2056,AB$3&amp;"-"&amp;30&amp;"A"))</f>
        <v/>
      </c>
      <c r="AC28" s="725" t="str">
        <f>IF(COUNTA(車両台帳!$C$57:$C$2056)=0,"",COUNTIF(車両台帳!$BD$57:$BD$2056,AC$3&amp;"-"&amp;30&amp;"A"))</f>
        <v/>
      </c>
      <c r="AD28" s="725" t="str">
        <f>IF(COUNTA(車両台帳!$C$57:$C$2056)=0,"",COUNTIF(車両台帳!$BD$57:$BD$2056,AD$3&amp;"-"&amp;30&amp;"A"))</f>
        <v/>
      </c>
      <c r="AE28" s="725" t="str">
        <f>IF(COUNTA(車両台帳!$C$57:$C$2056)=0,"",COUNTIF(車両台帳!$BD$57:$BD$2056,AE$3&amp;"-"&amp;30&amp;"A"))</f>
        <v/>
      </c>
      <c r="AF28" s="725" t="str">
        <f>IF(COUNTA(車両台帳!$C$57:$C$2056)=0,"",COUNTIF(車両台帳!$BD$57:$BD$2056,AF$3&amp;"-"&amp;30&amp;"A"))</f>
        <v/>
      </c>
      <c r="AG28" s="725" t="str">
        <f>IF(COUNTA(車両台帳!$C$57:$C$2056)=0,"",COUNTIF(車両台帳!$BD$57:$BD$2056,AG$3&amp;"-"&amp;30&amp;"A"))</f>
        <v/>
      </c>
      <c r="AH28" s="725" t="str">
        <f>IF(COUNTA(車両台帳!$C$57:$C$2056)=0,"",COUNTIF(車両台帳!$BD$57:$BD$2056,AH$3&amp;"-"&amp;30&amp;"A"))</f>
        <v/>
      </c>
      <c r="AI28" s="725" t="str">
        <f>IF(COUNTA(車両台帳!$C$57:$C$2056)=0,"",COUNTIF(車両台帳!$BD$57:$BD$2056,AI$3&amp;"-"&amp;30&amp;"A"))</f>
        <v/>
      </c>
      <c r="AJ28" s="725" t="str">
        <f>IF(COUNTA(車両台帳!$C$57:$C$2056)=0,"",COUNTIF(車両台帳!$BD$57:$BD$2056,AJ$3&amp;"-"&amp;30&amp;"A"))</f>
        <v/>
      </c>
      <c r="AK28" s="725" t="str">
        <f>IF(COUNTA(車両台帳!$C$57:$C$2056)=0,"",COUNTIF(車両台帳!$BD$57:$BD$2056,AK$3&amp;"-"&amp;30&amp;"A"))</f>
        <v/>
      </c>
      <c r="AL28" s="725" t="str">
        <f>IF(COUNTA(車両台帳!$C$57:$C$2056)=0,"",COUNTIF(車両台帳!$BD$57:$BD$2056,AL$3&amp;"-"&amp;30&amp;"A"))</f>
        <v/>
      </c>
      <c r="AM28" s="725" t="str">
        <f>IF(COUNTA(車両台帳!$C$57:$C$2056)=0,"",COUNTIF(車両台帳!$BD$57:$BD$2056,AM$3&amp;"-"&amp;30&amp;"A"))</f>
        <v/>
      </c>
      <c r="AN28" s="725" t="str">
        <f>IF(COUNTA(車両台帳!$C$57:$C$2056)=0,"",COUNTIF(車両台帳!$BD$57:$BD$2056,AN$3&amp;"-"&amp;30&amp;"A"))</f>
        <v/>
      </c>
      <c r="AO28" s="725" t="str">
        <f>IF(COUNTA(車両台帳!$C$57:$C$2056)=0,"",COUNTIF(車両台帳!$BD$57:$BD$2056,AO$3&amp;"-"&amp;30&amp;"A"))</f>
        <v/>
      </c>
      <c r="AP28" s="725" t="str">
        <f>IF(COUNTA(車両台帳!$C$57:$C$2056)=0,"",COUNTIF(車両台帳!$BD$57:$BD$2056,AP$3&amp;"-"&amp;30&amp;"A"))</f>
        <v/>
      </c>
      <c r="AQ28" s="725" t="str">
        <f>IF(COUNTA(車両台帳!$C$57:$C$2056)=0,"",COUNTIF(車両台帳!$BD$57:$BD$2056,AQ$3&amp;"-"&amp;30&amp;"A"))</f>
        <v/>
      </c>
      <c r="AR28" s="725" t="str">
        <f>IF(COUNTA(車両台帳!$C$57:$C$2056)=0,"",COUNTIF(車両台帳!$BD$57:$BD$2056,AR$3&amp;"-"&amp;30&amp;"A"))</f>
        <v/>
      </c>
      <c r="AS28" s="725" t="str">
        <f>IF(COUNTA(車両台帳!$C$57:$C$2056)=0,"",COUNTIF(車両台帳!$BD$57:$BD$2056,AS$3&amp;"-"&amp;30&amp;"A"))</f>
        <v/>
      </c>
      <c r="AT28" s="725" t="str">
        <f>IF(COUNTA(車両台帳!$C$57:$C$2056)=0,"",COUNTIF(車両台帳!$BD$57:$BD$2056,AT$3&amp;"-"&amp;30&amp;"A"))</f>
        <v/>
      </c>
      <c r="AU28" s="725" t="str">
        <f>IF(COUNTA(車両台帳!$C$57:$C$2056)=0,"",COUNTIF(車両台帳!$BD$57:$BD$2056,AU$3&amp;"-"&amp;30&amp;"A"))</f>
        <v/>
      </c>
      <c r="AV28" s="725" t="str">
        <f>IF(COUNTA(車両台帳!$C$57:$C$2056)=0,"",COUNTIF(車両台帳!$BD$57:$BD$2056,AV$3&amp;"-"&amp;30&amp;"A"))</f>
        <v/>
      </c>
      <c r="AW28" s="725" t="str">
        <f>IF(COUNTA(車両台帳!$C$57:$C$2056)=0,"",COUNTIF(車両台帳!$BD$57:$BD$2056,AW$3&amp;"-"&amp;30&amp;"A"))</f>
        <v/>
      </c>
      <c r="AX28" s="725" t="str">
        <f>IF(COUNTA(車両台帳!$C$57:$C$2056)=0,"",COUNTIF(車両台帳!$BD$57:$BD$2056,AX$3&amp;"-"&amp;30&amp;"A"))</f>
        <v/>
      </c>
      <c r="AY28" s="725" t="str">
        <f>IF(COUNTA(車両台帳!$C$57:$C$2056)=0,"",COUNTIF(車両台帳!$BD$57:$BD$2056,AY$3&amp;"-"&amp;30&amp;"A"))</f>
        <v/>
      </c>
      <c r="AZ28" s="725" t="str">
        <f>IF(COUNTA(車両台帳!$C$57:$C$2056)=0,"",COUNTIF(車両台帳!$BD$57:$BD$2056,AZ$3&amp;"-"&amp;30&amp;"A"))</f>
        <v/>
      </c>
      <c r="BA28" s="725" t="str">
        <f>IF(COUNTA(車両台帳!$C$57:$C$2056)=0,"",COUNTIF(車両台帳!$BD$57:$BD$2056,BA$3&amp;"-"&amp;30&amp;"A"))</f>
        <v/>
      </c>
      <c r="BB28" s="725" t="str">
        <f>IF(COUNTA(車両台帳!$C$57:$C$2056)=0,"",COUNTIF(車両台帳!$BD$57:$BD$2056,BB$3&amp;"-"&amp;30&amp;"A"))</f>
        <v/>
      </c>
      <c r="BC28" s="725" t="str">
        <f>IF(COUNTA(車両台帳!$C$57:$C$2056)=0,"",COUNTIF(車両台帳!$BD$57:$BD$2056,BC$3&amp;"-"&amp;30&amp;"A"))</f>
        <v/>
      </c>
      <c r="BD28" s="725" t="str">
        <f>IF(COUNTA(車両台帳!$C$57:$C$2056)=0,"",COUNTIF(車両台帳!$BD$57:$BD$2056,BD$3&amp;"-"&amp;30&amp;"A"))</f>
        <v/>
      </c>
      <c r="BE28" s="725" t="str">
        <f>IF(COUNTA(車両台帳!$C$57:$C$2056)=0,"",COUNTIF(車両台帳!$BD$57:$BD$2056,BE$3&amp;"-"&amp;30&amp;"A"))</f>
        <v/>
      </c>
      <c r="BF28" s="725" t="str">
        <f>IF(COUNTA(車両台帳!$C$57:$C$2056)=0,"",COUNTIF(車両台帳!$BD$57:$BD$2056,BF$3&amp;"-"&amp;30&amp;"A"))</f>
        <v/>
      </c>
      <c r="BG28" s="725" t="str">
        <f>IF(COUNTA(車両台帳!$C$57:$C$2056)=0,"",COUNTIF(車両台帳!$BD$57:$BD$2056,BG$3&amp;"-"&amp;30&amp;"A"))</f>
        <v/>
      </c>
      <c r="BH28" s="725" t="str">
        <f>IF(COUNTA(車両台帳!$C$57:$C$2056)=0,"",COUNTIF(車両台帳!$BD$57:$BD$2056,BH$3&amp;"-"&amp;30&amp;"A"))</f>
        <v/>
      </c>
      <c r="BI28" s="725" t="str">
        <f>IF(COUNTA(車両台帳!$C$57:$C$2056)=0,"",COUNTIF(車両台帳!$BD$57:$BD$2056,BI$3&amp;"-"&amp;30&amp;"A"))</f>
        <v/>
      </c>
      <c r="BJ28" s="725" t="str">
        <f>IF(COUNTA(車両台帳!$C$57:$C$2056)=0,"",COUNTIF(車両台帳!$BD$57:$BD$2056,BJ$3&amp;"-"&amp;30&amp;"A"))</f>
        <v/>
      </c>
      <c r="BK28" s="725" t="str">
        <f>IF(COUNTA(車両台帳!$C$57:$C$2056)=0,"",COUNTIF(車両台帳!$BD$57:$BD$2056,BK$3&amp;"-"&amp;30&amp;"A"))</f>
        <v/>
      </c>
      <c r="BL28" s="725" t="str">
        <f>IF(COUNTA(車両台帳!$C$57:$C$2056)=0,"",COUNTIF(車両台帳!$BD$57:$BD$2056,BL$3&amp;"-"&amp;30&amp;"A"))</f>
        <v/>
      </c>
      <c r="BM28" s="725" t="str">
        <f>IF(COUNTA(車両台帳!$C$57:$C$2056)=0,"",COUNTIF(車両台帳!$BD$57:$BD$2056,BM$3&amp;"-"&amp;30&amp;"A"))</f>
        <v/>
      </c>
      <c r="BN28" s="725" t="str">
        <f>IF(COUNTA(車両台帳!$C$57:$C$2056)=0,"",COUNTIF(車両台帳!$BD$57:$BD$2056,BN$3&amp;"-"&amp;30&amp;"A"))</f>
        <v/>
      </c>
      <c r="BO28" s="725" t="str">
        <f>IF(COUNTA(車両台帳!$C$57:$C$2056)=0,"",COUNTIF(車両台帳!$BD$57:$BD$2056,BO$3&amp;"-"&amp;30&amp;"A"))</f>
        <v/>
      </c>
      <c r="BP28" s="725" t="str">
        <f>IF(COUNTA(車両台帳!$C$57:$C$2056)=0,"",COUNTIF(車両台帳!$BD$57:$BD$2056,BP$3&amp;"-"&amp;30&amp;"A"))</f>
        <v/>
      </c>
      <c r="BQ28" s="725" t="str">
        <f>IF(COUNTA(車両台帳!$C$57:$C$2056)=0,"",COUNTIF(車両台帳!$BD$57:$BD$2056,BQ$3&amp;"-"&amp;30&amp;"A"))</f>
        <v/>
      </c>
      <c r="BR28" s="725" t="str">
        <f>IF(COUNTA(車両台帳!$C$57:$C$2056)=0,"",COUNTIF(車両台帳!$BD$57:$BD$2056,BR$3&amp;"-"&amp;30&amp;"A"))</f>
        <v/>
      </c>
      <c r="BS28" s="725" t="str">
        <f>IF(COUNTA(車両台帳!$C$57:$C$2056)=0,"",COUNTIF(車両台帳!$BD$57:$BD$2056,BS$3&amp;"-"&amp;30&amp;"A"))</f>
        <v/>
      </c>
      <c r="BT28" s="725" t="str">
        <f>IF(COUNTA(車両台帳!$C$57:$C$2056)=0,"",COUNTIF(車両台帳!$BD$57:$BD$2056,BT$3&amp;"-"&amp;30&amp;"A"))</f>
        <v/>
      </c>
      <c r="BU28" s="725" t="str">
        <f>IF(COUNTA(車両台帳!$C$57:$C$2056)=0,"",COUNTIF(車両台帳!$BD$57:$BD$2056,BU$3&amp;"-"&amp;30&amp;"A"))</f>
        <v/>
      </c>
      <c r="BV28" s="725" t="str">
        <f>IF(COUNTA(車両台帳!$C$57:$C$2056)=0,"",COUNTIF(車両台帳!$BD$57:$BD$2056,BV$3&amp;"-"&amp;30&amp;"A"))</f>
        <v/>
      </c>
      <c r="BW28" s="725" t="str">
        <f>IF(COUNTA(車両台帳!$C$57:$C$2056)=0,"",COUNTIF(車両台帳!$BD$57:$BD$2056,BW$3&amp;"-"&amp;30&amp;"A"))</f>
        <v/>
      </c>
      <c r="BX28" s="725" t="str">
        <f>IF(COUNTA(車両台帳!$C$57:$C$2056)=0,"",COUNTIF(車両台帳!$BD$57:$BD$2056,BX$3&amp;"-"&amp;30&amp;"A"))</f>
        <v/>
      </c>
      <c r="BY28" s="725" t="str">
        <f>IF(COUNTA(車両台帳!$C$57:$C$2056)=0,"",COUNTIF(車両台帳!$BD$57:$BD$2056,BY$3&amp;"-"&amp;30&amp;"A"))</f>
        <v/>
      </c>
      <c r="BZ28" s="725" t="str">
        <f>IF(COUNTA(車両台帳!$C$57:$C$2056)=0,"",COUNTIF(車両台帳!$BD$57:$BD$2056,BZ$3&amp;"-"&amp;30&amp;"A"))</f>
        <v/>
      </c>
      <c r="CA28" s="725" t="str">
        <f>IF(COUNTA(車両台帳!$C$57:$C$2056)=0,"",COUNTIF(車両台帳!$BD$57:$BD$2056,CA$3&amp;"-"&amp;30&amp;"A"))</f>
        <v/>
      </c>
      <c r="CB28" s="725" t="str">
        <f>IF(COUNTA(車両台帳!$C$57:$C$2056)=0,"",COUNTIF(車両台帳!$BD$57:$BD$2056,CB$3&amp;"-"&amp;30&amp;"A"))</f>
        <v/>
      </c>
      <c r="CC28" s="725" t="str">
        <f>IF(COUNTA(車両台帳!$C$57:$C$2056)=0,"",COUNTIF(車両台帳!$BD$57:$BD$2056,CC$3&amp;"-"&amp;30&amp;"A"))</f>
        <v/>
      </c>
      <c r="CD28" s="725" t="str">
        <f>IF(COUNTA(車両台帳!$C$57:$C$2056)=0,"",COUNTIF(車両台帳!$BD$57:$BD$2056,CD$3&amp;"-"&amp;30&amp;"A"))</f>
        <v/>
      </c>
      <c r="CE28" s="725" t="str">
        <f>IF(COUNTA(車両台帳!$C$57:$C$2056)=0,"",COUNTIF(車両台帳!$BD$57:$BD$2056,CE$3&amp;"-"&amp;30&amp;"A"))</f>
        <v/>
      </c>
      <c r="CF28" s="725" t="str">
        <f>IF(COUNTA(車両台帳!$C$57:$C$2056)=0,"",COUNTIF(車両台帳!$BD$57:$BD$2056,CF$3&amp;"-"&amp;30&amp;"A"))</f>
        <v/>
      </c>
      <c r="CG28" s="725" t="str">
        <f>IF(COUNTA(車両台帳!$C$57:$C$2056)=0,"",COUNTIF(車両台帳!$BD$57:$BD$2056,CG$3&amp;"-"&amp;30&amp;"A"))</f>
        <v/>
      </c>
      <c r="CH28" s="725" t="str">
        <f>IF(COUNTA(車両台帳!$C$57:$C$2056)=0,"",COUNTIF(車両台帳!$BD$57:$BD$2056,CH$3&amp;"-"&amp;30&amp;"A"))</f>
        <v/>
      </c>
      <c r="CI28" s="725" t="str">
        <f>IF(COUNTA(車両台帳!$C$57:$C$2056)=0,"",COUNTIF(車両台帳!$BD$57:$BD$2056,CI$3&amp;"-"&amp;30&amp;"A"))</f>
        <v/>
      </c>
      <c r="CJ28" s="725" t="str">
        <f>IF(COUNTA(車両台帳!$C$57:$C$2056)=0,"",COUNTIF(車両台帳!$BD$57:$BD$2056,CJ$3&amp;"-"&amp;30&amp;"A"))</f>
        <v/>
      </c>
      <c r="CK28" s="725" t="str">
        <f>IF(COUNTA(車両台帳!$C$57:$C$2056)=0,"",COUNTIF(車両台帳!$BD$57:$BD$2056,CK$3&amp;"-"&amp;30&amp;"A"))</f>
        <v/>
      </c>
      <c r="CL28" s="725" t="str">
        <f>IF(COUNTA(車両台帳!$C$57:$C$2056)=0,"",COUNTIF(車両台帳!$BD$57:$BD$2056,CL$3&amp;"-"&amp;30&amp;"A"))</f>
        <v/>
      </c>
      <c r="CM28" s="725" t="str">
        <f>IF(COUNTA(車両台帳!$C$57:$C$2056)=0,"",COUNTIF(車両台帳!$BD$57:$BD$2056,CM$3&amp;"-"&amp;30&amp;"A"))</f>
        <v/>
      </c>
      <c r="CN28" s="725" t="str">
        <f>IF(COUNTA(車両台帳!$C$57:$C$2056)=0,"",COUNTIF(車両台帳!$BD$57:$BD$2056,CN$3&amp;"-"&amp;30&amp;"A"))</f>
        <v/>
      </c>
      <c r="CO28" s="725" t="str">
        <f>IF(COUNTA(車両台帳!$C$57:$C$2056)=0,"",COUNTIF(車両台帳!$BD$57:$BD$2056,CO$3&amp;"-"&amp;30&amp;"A"))</f>
        <v/>
      </c>
      <c r="CP28" s="725" t="str">
        <f>IF(COUNTA(車両台帳!$C$57:$C$2056)=0,"",COUNTIF(車両台帳!$BD$57:$BD$2056,CP$3&amp;"-"&amp;30&amp;"A"))</f>
        <v/>
      </c>
      <c r="CQ28" s="725" t="str">
        <f>IF(COUNTA(車両台帳!$C$57:$C$2056)=0,"",COUNTIF(車両台帳!$BD$57:$BD$2056,CQ$3&amp;"-"&amp;30&amp;"A"))</f>
        <v/>
      </c>
      <c r="CR28" s="725" t="str">
        <f>IF(COUNTA(車両台帳!$C$57:$C$2056)=0,"",COUNTIF(車両台帳!$BD$57:$BD$2056,CR$3&amp;"-"&amp;30&amp;"A"))</f>
        <v/>
      </c>
      <c r="CS28" s="725" t="str">
        <f>IF(COUNTA(車両台帳!$C$57:$C$2056)=0,"",COUNTIF(車両台帳!$BD$57:$BD$2056,CS$3&amp;"-"&amp;30&amp;"A"))</f>
        <v/>
      </c>
      <c r="CT28" s="725" t="str">
        <f>IF(COUNTA(車両台帳!$C$57:$C$2056)=0,"",COUNTIF(車両台帳!$BD$57:$BD$2056,CT$3&amp;"-"&amp;30&amp;"A"))</f>
        <v/>
      </c>
      <c r="CU28" s="725" t="str">
        <f>IF(COUNTA(車両台帳!$C$57:$C$2056)=0,"",COUNTIF(車両台帳!$BD$57:$BD$2056,CU$3&amp;"-"&amp;30&amp;"A"))</f>
        <v/>
      </c>
      <c r="CV28" s="725" t="str">
        <f>IF(COUNTA(車両台帳!$C$57:$C$2056)=0,"",COUNTIF(車両台帳!$BD$57:$BD$2056,CV$3&amp;"-"&amp;30&amp;"A"))</f>
        <v/>
      </c>
      <c r="CW28" s="725" t="str">
        <f>IF(COUNTA(車両台帳!$C$57:$C$2056)=0,"",COUNTIF(車両台帳!$BD$57:$BD$2056,CW$3&amp;"-"&amp;30&amp;"A"))</f>
        <v/>
      </c>
      <c r="CX28" s="725" t="str">
        <f>IF(COUNTA(車両台帳!$C$57:$C$2056)=0,"",COUNTIF(車両台帳!$BD$57:$BD$2056,CX$3&amp;"-"&amp;30&amp;"A"))</f>
        <v/>
      </c>
      <c r="CY28" s="725" t="str">
        <f>IF(COUNTA(車両台帳!$C$57:$C$2056)=0,"",COUNTIF(車両台帳!$BD$57:$BD$2056,CY$3&amp;"-"&amp;30&amp;"A"))</f>
        <v/>
      </c>
      <c r="CZ28" s="725" t="str">
        <f>IF(COUNTA(車両台帳!$C$57:$C$2056)=0,"",COUNTIF(車両台帳!$BD$57:$BD$2056,CZ$3&amp;"-"&amp;30&amp;"A"))</f>
        <v/>
      </c>
      <c r="DA28" s="725" t="str">
        <f>IF(COUNTA(車両台帳!$C$57:$C$2056)=0,"",COUNTIF(車両台帳!$BD$57:$BD$2056,DA$3&amp;"-"&amp;30&amp;"A"))</f>
        <v/>
      </c>
      <c r="DB28" s="725" t="str">
        <f>IF(COUNTA(車両台帳!$C$57:$C$2056)=0,"",COUNTIF(車両台帳!$BD$57:$BD$2056,DB$3&amp;"-"&amp;30&amp;"A"))</f>
        <v/>
      </c>
      <c r="DC28" s="725" t="str">
        <f>IF(COUNTA(車両台帳!$C$57:$C$2056)=0,"",COUNTIF(車両台帳!$BD$57:$BD$2056,DC$3&amp;"-"&amp;30&amp;"A"))</f>
        <v/>
      </c>
      <c r="DD28" s="725" t="str">
        <f>IF(COUNTA(車両台帳!$C$57:$C$2056)=0,"",COUNTIF(車両台帳!$BD$57:$BD$2056,DD$3&amp;"-"&amp;30&amp;"A"))</f>
        <v/>
      </c>
      <c r="DE28" s="725" t="str">
        <f>IF(COUNTA(車両台帳!$C$57:$C$2056)=0,"",COUNTIF(車両台帳!$BD$57:$BD$2056,DE$3&amp;"-"&amp;30&amp;"A"))</f>
        <v/>
      </c>
      <c r="DF28" s="725" t="str">
        <f>IF(COUNTA(車両台帳!$C$57:$C$2056)=0,"",COUNTIF(車両台帳!$BD$57:$BD$2056,DF$3&amp;"-"&amp;30&amp;"A"))</f>
        <v/>
      </c>
      <c r="DG28" s="725" t="str">
        <f>IF(COUNTA(車両台帳!$C$57:$C$2056)=0,"",COUNTIF(車両台帳!$BD$57:$BD$2056,DG$3&amp;"-"&amp;30&amp;"A"))</f>
        <v/>
      </c>
      <c r="DH28" s="725" t="str">
        <f>IF(COUNTA(車両台帳!$C$57:$C$2056)=0,"",COUNTIF(車両台帳!$BD$57:$BD$2056,DH$3&amp;"-"&amp;30&amp;"A"))</f>
        <v/>
      </c>
      <c r="DI28" s="725" t="str">
        <f>IF(COUNTA(車両台帳!$C$57:$C$2056)=0,"",COUNTIF(車両台帳!$BD$57:$BD$2056,DI$3&amp;"-"&amp;30&amp;"A"))</f>
        <v/>
      </c>
      <c r="DJ28" s="725" t="str">
        <f>IF(COUNTA(車両台帳!$C$57:$C$2056)=0,"",COUNTIF(車両台帳!$BD$57:$BD$2056,DJ$3&amp;"-"&amp;30&amp;"A"))</f>
        <v/>
      </c>
      <c r="DK28" s="725" t="str">
        <f>IF(COUNTA(車両台帳!$C$57:$C$2056)=0,"",COUNTIF(車両台帳!$BD$57:$BD$2056,DK$3&amp;"-"&amp;30&amp;"A"))</f>
        <v/>
      </c>
      <c r="DL28" s="725" t="str">
        <f>IF(COUNTA(車両台帳!$C$57:$C$2056)=0,"",COUNTIF(車両台帳!$BD$57:$BD$2056,DL$3&amp;"-"&amp;30&amp;"A"))</f>
        <v/>
      </c>
      <c r="DM28" s="725" t="str">
        <f>IF(COUNTA(車両台帳!$C$57:$C$2056)=0,"",COUNTIF(車両台帳!$BD$57:$BD$2056,DM$3&amp;"-"&amp;30&amp;"A"))</f>
        <v/>
      </c>
      <c r="DN28" s="725" t="str">
        <f>IF(COUNTA(車両台帳!$C$57:$C$2056)=0,"",COUNTIF(車両台帳!$BD$57:$BD$2056,DN$3&amp;"-"&amp;30&amp;"A"))</f>
        <v/>
      </c>
      <c r="DO28" s="725" t="str">
        <f>IF(COUNTA(車両台帳!$C$57:$C$2056)=0,"",COUNTIF(車両台帳!$BD$57:$BD$2056,DO$3&amp;"-"&amp;30&amp;"A"))</f>
        <v/>
      </c>
      <c r="DP28" s="725" t="str">
        <f>IF(COUNTA(車両台帳!$C$57:$C$2056)=0,"",COUNTIF(車両台帳!$BD$57:$BD$2056,DP$3&amp;"-"&amp;30&amp;"A"))</f>
        <v/>
      </c>
      <c r="DQ28" s="725" t="str">
        <f>IF(COUNTA(車両台帳!$C$57:$C$2056)=0,"",COUNTIF(車両台帳!$BD$57:$BD$2056,DQ$3&amp;"-"&amp;30&amp;"A"))</f>
        <v/>
      </c>
      <c r="DR28" s="725" t="str">
        <f>IF(COUNTA(車両台帳!$C$57:$C$2056)=0,"",COUNTIF(車両台帳!$BD$57:$BD$2056,DR$3&amp;"-"&amp;30&amp;"A"))</f>
        <v/>
      </c>
      <c r="DS28" s="725" t="str">
        <f>IF(COUNTA(車両台帳!$C$57:$C$2056)=0,"",COUNTIF(車両台帳!$BD$57:$BD$2056,DS$3&amp;"-"&amp;30&amp;"A"))</f>
        <v/>
      </c>
      <c r="DT28" s="725" t="str">
        <f>IF(COUNTA(車両台帳!$C$57:$C$2056)=0,"",COUNTIF(車両台帳!$BD$57:$BD$2056,DT$3&amp;"-"&amp;30&amp;"A"))</f>
        <v/>
      </c>
      <c r="DU28" s="725" t="str">
        <f>IF(COUNTA(車両台帳!$C$57:$C$2056)=0,"",COUNTIF(車両台帳!$BD$57:$BD$2056,DU$3&amp;"-"&amp;30&amp;"A"))</f>
        <v/>
      </c>
      <c r="DV28" s="725" t="str">
        <f>IF(COUNTA(車両台帳!$C$57:$C$2056)=0,"",COUNTIF(車両台帳!$BD$57:$BD$2056,DV$3&amp;"-"&amp;30&amp;"A"))</f>
        <v/>
      </c>
      <c r="DW28" s="725" t="str">
        <f>IF(COUNTA(車両台帳!$C$57:$C$2056)=0,"",COUNTIF(車両台帳!$BD$57:$BD$2056,DW$3&amp;"-"&amp;30&amp;"A"))</f>
        <v/>
      </c>
      <c r="DX28" s="725" t="str">
        <f>IF(COUNTA(車両台帳!$C$57:$C$2056)=0,"",COUNTIF(車両台帳!$BD$57:$BD$2056,DX$3&amp;"-"&amp;30&amp;"A"))</f>
        <v/>
      </c>
      <c r="DY28" s="725" t="str">
        <f>IF(COUNTA(車両台帳!$C$57:$C$2056)=0,"",COUNTIF(車両台帳!$BD$57:$BD$2056,DY$3&amp;"-"&amp;30&amp;"A"))</f>
        <v/>
      </c>
      <c r="DZ28" s="725" t="str">
        <f>IF(COUNTA(車両台帳!$C$57:$C$2056)=0,"",COUNTIF(車両台帳!$BD$57:$BD$2056,DZ$3&amp;"-"&amp;30&amp;"A"))</f>
        <v/>
      </c>
      <c r="EA28" s="725" t="str">
        <f>IF(COUNTA(車両台帳!$C$57:$C$2056)=0,"",COUNTIF(車両台帳!$BD$57:$BD$2056,EA$3&amp;"-"&amp;30&amp;"A"))</f>
        <v/>
      </c>
      <c r="EB28" s="725" t="str">
        <f>IF(COUNTA(車両台帳!$C$57:$C$2056)=0,"",COUNTIF(車両台帳!$BD$57:$BD$2056,EB$3&amp;"-"&amp;30&amp;"A"))</f>
        <v/>
      </c>
      <c r="EC28" s="725" t="str">
        <f>IF(COUNTA(車両台帳!$C$57:$C$2056)=0,"",COUNTIF(車両台帳!$BD$57:$BD$2056,EC$3&amp;"-"&amp;30&amp;"A"))</f>
        <v/>
      </c>
      <c r="ED28" s="725" t="str">
        <f>IF(COUNTA(車両台帳!$C$57:$C$2056)=0,"",COUNTIF(車両台帳!$BD$57:$BD$2056,ED$3&amp;"-"&amp;30&amp;"A"))</f>
        <v/>
      </c>
      <c r="EE28" s="725" t="str">
        <f>IF(COUNTA(車両台帳!$C$57:$C$2056)=0,"",COUNTIF(車両台帳!$BD$57:$BD$2056,EE$3&amp;"-"&amp;30&amp;"A"))</f>
        <v/>
      </c>
      <c r="EF28" s="725" t="str">
        <f>IF(COUNTA(車両台帳!$C$57:$C$2056)=0,"",COUNTIF(車両台帳!$BD$57:$BD$2056,EF$3&amp;"-"&amp;30&amp;"A"))</f>
        <v/>
      </c>
      <c r="EG28" s="725" t="str">
        <f>IF(COUNTA(車両台帳!$C$57:$C$2056)=0,"",COUNTIF(車両台帳!$BD$57:$BD$2056,EG$3&amp;"-"&amp;30&amp;"A"))</f>
        <v/>
      </c>
      <c r="EH28" s="725" t="str">
        <f>IF(COUNTA(車両台帳!$C$57:$C$2056)=0,"",COUNTIF(車両台帳!$BD$57:$BD$2056,EH$3&amp;"-"&amp;30&amp;"A"))</f>
        <v/>
      </c>
      <c r="EI28" s="725" t="str">
        <f>IF(COUNTA(車両台帳!$C$57:$C$2056)=0,"",COUNTIF(車両台帳!$BD$57:$BD$2056,EI$3&amp;"-"&amp;30&amp;"A"))</f>
        <v/>
      </c>
      <c r="EJ28" s="725" t="str">
        <f>IF(COUNTA(車両台帳!$C$57:$C$2056)=0,"",COUNTIF(車両台帳!$BD$57:$BD$2056,EJ$3&amp;"-"&amp;30&amp;"A"))</f>
        <v/>
      </c>
      <c r="EK28" s="725" t="str">
        <f>IF(COUNTA(車両台帳!$C$57:$C$2056)=0,"",COUNTIF(車両台帳!$BD$57:$BD$2056,EK$3&amp;"-"&amp;30&amp;"A"))</f>
        <v/>
      </c>
      <c r="EL28" s="725" t="str">
        <f>IF(COUNTA(車両台帳!$C$57:$C$2056)=0,"",COUNTIF(車両台帳!$BD$57:$BD$2056,EL$3&amp;"-"&amp;30&amp;"A"))</f>
        <v/>
      </c>
      <c r="EM28" s="725" t="str">
        <f>IF(COUNTA(車両台帳!$C$57:$C$2056)=0,"",COUNTIF(車両台帳!$BD$57:$BD$2056,EM$3&amp;"-"&amp;30&amp;"A"))</f>
        <v/>
      </c>
      <c r="EN28" s="725" t="str">
        <f>IF(COUNTA(車両台帳!$C$57:$C$2056)=0,"",COUNTIF(車両台帳!$BD$57:$BD$2056,EN$3&amp;"-"&amp;30&amp;"A"))</f>
        <v/>
      </c>
      <c r="EO28" s="725" t="str">
        <f>IF(COUNTA(車両台帳!$C$57:$C$2056)=0,"",COUNTIF(車両台帳!$BD$57:$BD$2056,EO$3&amp;"-"&amp;30&amp;"A"))</f>
        <v/>
      </c>
      <c r="EP28" s="725" t="str">
        <f>IF(COUNTA(車両台帳!$C$57:$C$2056)=0,"",COUNTIF(車両台帳!$BD$57:$BD$2056,EP$3&amp;"-"&amp;30&amp;"A"))</f>
        <v/>
      </c>
      <c r="EQ28" s="725" t="str">
        <f>IF(COUNTA(車両台帳!$C$57:$C$2056)=0,"",COUNTIF(車両台帳!$BD$57:$BD$2056,EQ$3&amp;"-"&amp;30&amp;"A"))</f>
        <v/>
      </c>
      <c r="ER28" s="725" t="str">
        <f>IF(COUNTA(車両台帳!$C$57:$C$2056)=0,"",COUNTIF(車両台帳!$BD$57:$BD$2056,ER$3&amp;"-"&amp;30&amp;"A"))</f>
        <v/>
      </c>
      <c r="ES28" s="725" t="str">
        <f>IF(COUNTA(車両台帳!$C$57:$C$2056)=0,"",COUNTIF(車両台帳!$BD$57:$BD$2056,ES$3&amp;"-"&amp;30&amp;"A"))</f>
        <v/>
      </c>
      <c r="ET28" s="725" t="str">
        <f>IF(COUNTA(車両台帳!$C$57:$C$2056)=0,"",COUNTIF(車両台帳!$BD$57:$BD$2056,ET$3&amp;"-"&amp;30&amp;"A"))</f>
        <v/>
      </c>
      <c r="EU28" s="725" t="str">
        <f>IF(COUNTA(車両台帳!$C$57:$C$2056)=0,"",COUNTIF(車両台帳!$BD$57:$BD$2056,EU$3&amp;"-"&amp;30&amp;"A"))</f>
        <v/>
      </c>
      <c r="EV28" s="725" t="str">
        <f>IF(COUNTA(車両台帳!$C$57:$C$2056)=0,"",COUNTIF(車両台帳!$BD$57:$BD$2056,EV$3&amp;"-"&amp;30&amp;"A"))</f>
        <v/>
      </c>
      <c r="EW28" s="725" t="str">
        <f>IF(COUNTA(車両台帳!$C$57:$C$2056)=0,"",COUNTIF(車両台帳!$BD$57:$BD$2056,EW$3&amp;"-"&amp;30&amp;"A"))</f>
        <v/>
      </c>
      <c r="EX28" s="725" t="str">
        <f>IF(COUNTA(車両台帳!$C$57:$C$2056)=0,"",COUNTIF(車両台帳!$BD$57:$BD$2056,EX$3&amp;"-"&amp;30&amp;"A"))</f>
        <v/>
      </c>
      <c r="EY28" s="725" t="str">
        <f>IF(COUNTA(車両台帳!$C$57:$C$2056)=0,"",COUNTIF(車両台帳!$BD$57:$BD$2056,EY$3&amp;"-"&amp;30&amp;"A"))</f>
        <v/>
      </c>
      <c r="EZ28" s="725" t="str">
        <f>IF(COUNTA(車両台帳!$C$57:$C$2056)=0,"",COUNTIF(車両台帳!$BD$57:$BD$2056,EZ$3&amp;"-"&amp;30&amp;"A"))</f>
        <v/>
      </c>
      <c r="FA28" s="725" t="str">
        <f>IF(COUNTA(車両台帳!$C$57:$C$2056)=0,"",COUNTIF(車両台帳!$BD$57:$BD$2056,FA$3&amp;"-"&amp;30&amp;"A"))</f>
        <v/>
      </c>
      <c r="FB28" s="725" t="str">
        <f>IF(COUNTA(車両台帳!$C$57:$C$2056)=0,"",COUNTIF(車両台帳!$BD$57:$BD$2056,FB$3&amp;"-"&amp;30&amp;"A"))</f>
        <v/>
      </c>
      <c r="FC28" s="725" t="str">
        <f>IF(COUNTA(車両台帳!$C$57:$C$2056)=0,"",COUNTIF(車両台帳!$BD$57:$BD$2056,FC$3&amp;"-"&amp;30&amp;"A"))</f>
        <v/>
      </c>
      <c r="FD28" s="725" t="str">
        <f>IF(COUNTA(車両台帳!$C$57:$C$2056)=0,"",COUNTIF(車両台帳!$BD$57:$BD$2056,FD$3&amp;"-"&amp;30&amp;"A"))</f>
        <v/>
      </c>
      <c r="FE28" s="725" t="str">
        <f>IF(COUNTA(車両台帳!$C$57:$C$2056)=0,"",COUNTIF(車両台帳!$BD$57:$BD$2056,FE$3&amp;"-"&amp;30&amp;"A"))</f>
        <v/>
      </c>
      <c r="FF28" s="725" t="str">
        <f>IF(COUNTA(車両台帳!$C$57:$C$2056)=0,"",COUNTIF(車両台帳!$BD$57:$BD$2056,FF$3&amp;"-"&amp;30&amp;"A"))</f>
        <v/>
      </c>
      <c r="FG28" s="725" t="str">
        <f>IF(COUNTA(車両台帳!$C$57:$C$2056)=0,"",COUNTIF(車両台帳!$BD$57:$BD$2056,FG$3&amp;"-"&amp;30&amp;"A"))</f>
        <v/>
      </c>
      <c r="FH28" s="725" t="str">
        <f>IF(COUNTA(車両台帳!$C$57:$C$2056)=0,"",COUNTIF(車両台帳!$BD$57:$BD$2056,FH$3&amp;"-"&amp;30&amp;"A"))</f>
        <v/>
      </c>
      <c r="FI28" s="725" t="str">
        <f>IF(COUNTA(車両台帳!$C$57:$C$2056)=0,"",COUNTIF(車両台帳!$BD$57:$BD$2056,FI$3&amp;"-"&amp;30&amp;"A"))</f>
        <v/>
      </c>
      <c r="FJ28" s="725" t="str">
        <f>IF(COUNTA(車両台帳!$C$57:$C$2056)=0,"",COUNTIF(車両台帳!$BD$57:$BD$2056,FJ$3&amp;"-"&amp;30&amp;"A"))</f>
        <v/>
      </c>
      <c r="FK28" s="725" t="str">
        <f>IF(COUNTA(車両台帳!$C$57:$C$2056)=0,"",COUNTIF(車両台帳!$BD$57:$BD$2056,FK$3&amp;"-"&amp;30&amp;"A"))</f>
        <v/>
      </c>
      <c r="FL28" s="725" t="str">
        <f>IF(COUNTA(車両台帳!$C$57:$C$2056)=0,"",COUNTIF(車両台帳!$BD$57:$BD$2056,FL$3&amp;"-"&amp;30&amp;"A"))</f>
        <v/>
      </c>
      <c r="FM28" s="725" t="str">
        <f>IF(COUNTA(車両台帳!$C$57:$C$2056)=0,"",COUNTIF(車両台帳!$BD$57:$BD$2056,FM$3&amp;"-"&amp;30&amp;"A"))</f>
        <v/>
      </c>
      <c r="FN28" s="725" t="str">
        <f>IF(COUNTA(車両台帳!$C$57:$C$2056)=0,"",COUNTIF(車両台帳!$BD$57:$BD$2056,FN$3&amp;"-"&amp;30&amp;"A"))</f>
        <v/>
      </c>
      <c r="FO28" s="725" t="str">
        <f>IF(COUNTA(車両台帳!$C$57:$C$2056)=0,"",COUNTIF(車両台帳!$BD$57:$BD$2056,FO$3&amp;"-"&amp;30&amp;"A"))</f>
        <v/>
      </c>
      <c r="FP28" s="725" t="str">
        <f>IF(COUNTA(車両台帳!$C$57:$C$2056)=0,"",COUNTIF(車両台帳!$BD$57:$BD$2056,FP$3&amp;"-"&amp;30&amp;"A"))</f>
        <v/>
      </c>
      <c r="FQ28" s="725" t="str">
        <f>IF(COUNTA(車両台帳!$C$57:$C$2056)=0,"",COUNTIF(車両台帳!$BD$57:$BD$2056,FQ$3&amp;"-"&amp;30&amp;"A"))</f>
        <v/>
      </c>
      <c r="FR28" s="725" t="str">
        <f>IF(COUNTA(車両台帳!$C$57:$C$2056)=0,"",COUNTIF(車両台帳!$BD$57:$BD$2056,FR$3&amp;"-"&amp;30&amp;"A"))</f>
        <v/>
      </c>
      <c r="FS28" s="725" t="str">
        <f>IF(COUNTA(車両台帳!$C$57:$C$2056)=0,"",COUNTIF(車両台帳!$BD$57:$BD$2056,FS$3&amp;"-"&amp;30&amp;"A"))</f>
        <v/>
      </c>
      <c r="FT28" s="725" t="str">
        <f>IF(COUNTA(車両台帳!$C$57:$C$2056)=0,"",COUNTIF(車両台帳!$BD$57:$BD$2056,FT$3&amp;"-"&amp;30&amp;"A"))</f>
        <v/>
      </c>
      <c r="FU28" s="725" t="str">
        <f>IF(COUNTA(車両台帳!$C$57:$C$2056)=0,"",COUNTIF(車両台帳!$BD$57:$BD$2056,FU$3&amp;"-"&amp;30&amp;"A"))</f>
        <v/>
      </c>
      <c r="FV28" s="725" t="str">
        <f>IF(COUNTA(車両台帳!$C$57:$C$2056)=0,"",COUNTIF(車両台帳!$BD$57:$BD$2056,FV$3&amp;"-"&amp;30&amp;"A"))</f>
        <v/>
      </c>
      <c r="FW28" s="725" t="str">
        <f>IF(COUNTA(車両台帳!$C$57:$C$2056)=0,"",COUNTIF(車両台帳!$BD$57:$BD$2056,FW$3&amp;"-"&amp;30&amp;"A"))</f>
        <v/>
      </c>
      <c r="FX28" s="725" t="str">
        <f>IF(COUNTA(車両台帳!$C$57:$C$2056)=0,"",COUNTIF(車両台帳!$BD$57:$BD$2056,FX$3&amp;"-"&amp;30&amp;"A"))</f>
        <v/>
      </c>
      <c r="FY28" s="725" t="str">
        <f>IF(COUNTA(車両台帳!$C$57:$C$2056)=0,"",COUNTIF(車両台帳!$BD$57:$BD$2056,FY$3&amp;"-"&amp;30&amp;"A"))</f>
        <v/>
      </c>
      <c r="FZ28" s="725" t="str">
        <f>IF(COUNTA(車両台帳!$C$57:$C$2056)=0,"",COUNTIF(車両台帳!$BD$57:$BD$2056,FZ$3&amp;"-"&amp;30&amp;"A"))</f>
        <v/>
      </c>
      <c r="GA28" s="725" t="str">
        <f>IF(COUNTA(車両台帳!$C$57:$C$2056)=0,"",COUNTIF(車両台帳!$BD$57:$BD$2056,GA$3&amp;"-"&amp;30&amp;"A"))</f>
        <v/>
      </c>
      <c r="GB28" s="725" t="str">
        <f>IF(COUNTA(車両台帳!$C$57:$C$2056)=0,"",COUNTIF(車両台帳!$BD$57:$BD$2056,GB$3&amp;"-"&amp;30&amp;"A"))</f>
        <v/>
      </c>
      <c r="GC28" s="725" t="str">
        <f>IF(COUNTA(車両台帳!$C$57:$C$2056)=0,"",COUNTIF(車両台帳!$BD$57:$BD$2056,GC$3&amp;"-"&amp;30&amp;"A"))</f>
        <v/>
      </c>
      <c r="GD28" s="725" t="str">
        <f>IF(COUNTA(車両台帳!$C$57:$C$2056)=0,"",COUNTIF(車両台帳!$BD$57:$BD$2056,GD$3&amp;"-"&amp;30&amp;"A"))</f>
        <v/>
      </c>
      <c r="GE28" s="725" t="str">
        <f>IF(COUNTA(車両台帳!$C$57:$C$2056)=0,"",COUNTIF(車両台帳!$BD$57:$BD$2056,GE$3&amp;"-"&amp;30&amp;"A"))</f>
        <v/>
      </c>
      <c r="GF28" s="725" t="str">
        <f>IF(COUNTA(車両台帳!$C$57:$C$2056)=0,"",COUNTIF(車両台帳!$BD$57:$BD$2056,GF$3&amp;"-"&amp;30&amp;"A"))</f>
        <v/>
      </c>
      <c r="GG28" s="725" t="str">
        <f>IF(COUNTA(車両台帳!$C$57:$C$2056)=0,"",COUNTIF(車両台帳!$BD$57:$BD$2056,GG$3&amp;"-"&amp;30&amp;"A"))</f>
        <v/>
      </c>
      <c r="GH28" s="725" t="str">
        <f>IF(COUNTA(車両台帳!$C$57:$C$2056)=0,"",COUNTIF(車両台帳!$BD$57:$BD$2056,GH$3&amp;"-"&amp;30&amp;"A"))</f>
        <v/>
      </c>
      <c r="GI28" s="725" t="str">
        <f>IF(COUNTA(車両台帳!$C$57:$C$2056)=0,"",COUNTIF(車両台帳!$BD$57:$BD$2056,GI$3&amp;"-"&amp;30&amp;"A"))</f>
        <v/>
      </c>
      <c r="GJ28" s="725" t="str">
        <f>IF(COUNTA(車両台帳!$C$57:$C$2056)=0,"",COUNTIF(車両台帳!$BD$57:$BD$2056,GJ$3&amp;"-"&amp;30&amp;"A"))</f>
        <v/>
      </c>
      <c r="GK28" s="725" t="str">
        <f>IF(COUNTA(車両台帳!$C$57:$C$2056)=0,"",COUNTIF(車両台帳!$BD$57:$BD$2056,GK$3&amp;"-"&amp;30&amp;"A"))</f>
        <v/>
      </c>
      <c r="GL28" s="725" t="str">
        <f>IF(COUNTA(車両台帳!$C$57:$C$2056)=0,"",COUNTIF(車両台帳!$BD$57:$BD$2056,GL$3&amp;"-"&amp;30&amp;"A"))</f>
        <v/>
      </c>
      <c r="GM28" s="725" t="str">
        <f>IF(COUNTA(車両台帳!$C$57:$C$2056)=0,"",COUNTIF(車両台帳!$BD$57:$BD$2056,GM$3&amp;"-"&amp;30&amp;"A"))</f>
        <v/>
      </c>
      <c r="GN28" s="725" t="str">
        <f>IF(COUNTA(車両台帳!$C$57:$C$2056)=0,"",COUNTIF(車両台帳!$BD$57:$BD$2056,GN$3&amp;"-"&amp;30&amp;"A"))</f>
        <v/>
      </c>
      <c r="GO28" s="725" t="str">
        <f>IF(COUNTA(車両台帳!$C$57:$C$2056)=0,"",COUNTIF(車両台帳!$BD$57:$BD$2056,GO$3&amp;"-"&amp;30&amp;"A"))</f>
        <v/>
      </c>
      <c r="GP28" s="725" t="str">
        <f>IF(COUNTA(車両台帳!$C$57:$C$2056)=0,"",COUNTIF(車両台帳!$BD$57:$BD$2056,GP$3&amp;"-"&amp;30&amp;"A"))</f>
        <v/>
      </c>
      <c r="GQ28" s="725" t="str">
        <f>IF(COUNTA(車両台帳!$C$57:$C$2056)=0,"",COUNTIF(車両台帳!$BD$57:$BD$2056,GQ$3&amp;"-"&amp;30&amp;"A"))</f>
        <v/>
      </c>
      <c r="GR28" s="725" t="str">
        <f>IF(COUNTA(車両台帳!$C$57:$C$2056)=0,"",COUNTIF(車両台帳!$BD$57:$BD$2056,GR$3&amp;"-"&amp;30&amp;"A"))</f>
        <v/>
      </c>
      <c r="GS28" s="725" t="str">
        <f>IF(COUNTA(車両台帳!$C$57:$C$2056)=0,"",COUNTIF(車両台帳!$BD$57:$BD$2056,GS$3&amp;"-"&amp;30&amp;"A"))</f>
        <v/>
      </c>
      <c r="GT28" s="725" t="str">
        <f>IF(COUNTA(車両台帳!$C$57:$C$2056)=0,"",COUNTIF(車両台帳!$BD$57:$BD$2056,GT$3&amp;"-"&amp;30&amp;"A"))</f>
        <v/>
      </c>
      <c r="GU28" s="726" t="str">
        <f>IF(COUNTA(車両台帳!$C$57:$C$2056)=0,"",COUNTIF(車両台帳!$BD$57:$BD$2056,GU$3&amp;"-"&amp;30&amp;"A"))</f>
        <v/>
      </c>
    </row>
    <row r="29" spans="1:203" s="7" customFormat="1" ht="29.25" customHeight="1" thickBot="1">
      <c r="A29" s="1185"/>
      <c r="B29" s="715" t="s">
        <v>44</v>
      </c>
      <c r="C29" s="727" t="str">
        <f>IF(COUNTA(車両台帳!$C$57:$C$2056)=0,"",SUM(D29:GU29))</f>
        <v/>
      </c>
      <c r="D29" s="728" t="str">
        <f>IF(COUNTA(車両台帳!$C$57:$C$2056)=0,"",COUNTIF(車両台帳!$BD$57:$BD$2056,D$3&amp;"-"&amp;40&amp;"A")+COUNTIF(車両台帳!$BD$57:$BD$2056,D$3&amp;"-"&amp;50&amp;"A"))</f>
        <v/>
      </c>
      <c r="E29" s="728" t="str">
        <f>IF(COUNTA(車両台帳!$C$57:$C$2056)=0,"",COUNTIF(車両台帳!$BD$57:$BD$2056,E$3&amp;"-"&amp;40&amp;"A")+COUNTIF(車両台帳!$BD$57:$BD$2056,E$3&amp;"-"&amp;50&amp;"A"))</f>
        <v/>
      </c>
      <c r="F29" s="728" t="str">
        <f>IF(COUNTA(車両台帳!$C$57:$C$2056)=0,"",COUNTIF(車両台帳!$BD$57:$BD$2056,F$3&amp;"-"&amp;40&amp;"A")+COUNTIF(車両台帳!$BD$57:$BD$2056,F$3&amp;"-"&amp;50&amp;"A"))</f>
        <v/>
      </c>
      <c r="G29" s="728" t="str">
        <f>IF(COUNTA(車両台帳!$C$57:$C$2056)=0,"",COUNTIF(車両台帳!$BD$57:$BD$2056,G$3&amp;"-"&amp;40&amp;"A")+COUNTIF(車両台帳!$BD$57:$BD$2056,G$3&amp;"-"&amp;50&amp;"A"))</f>
        <v/>
      </c>
      <c r="H29" s="728" t="str">
        <f>IF(COUNTA(車両台帳!$C$57:$C$2056)=0,"",COUNTIF(車両台帳!$BD$57:$BD$2056,H$3&amp;"-"&amp;40&amp;"A")+COUNTIF(車両台帳!$BD$57:$BD$2056,H$3&amp;"-"&amp;50&amp;"A"))</f>
        <v/>
      </c>
      <c r="I29" s="728" t="str">
        <f>IF(COUNTA(車両台帳!$C$57:$C$2056)=0,"",COUNTIF(車両台帳!$BD$57:$BD$2056,I$3&amp;"-"&amp;40&amp;"A")+COUNTIF(車両台帳!$BD$57:$BD$2056,I$3&amp;"-"&amp;50&amp;"A"))</f>
        <v/>
      </c>
      <c r="J29" s="728" t="str">
        <f>IF(COUNTA(車両台帳!$C$57:$C$2056)=0,"",COUNTIF(車両台帳!$BD$57:$BD$2056,J$3&amp;"-"&amp;40&amp;"A")+COUNTIF(車両台帳!$BD$57:$BD$2056,J$3&amp;"-"&amp;50&amp;"A"))</f>
        <v/>
      </c>
      <c r="K29" s="728" t="str">
        <f>IF(COUNTA(車両台帳!$C$57:$C$2056)=0,"",COUNTIF(車両台帳!$BD$57:$BD$2056,K$3&amp;"-"&amp;40&amp;"A")+COUNTIF(車両台帳!$BD$57:$BD$2056,K$3&amp;"-"&amp;50&amp;"A"))</f>
        <v/>
      </c>
      <c r="L29" s="728" t="str">
        <f>IF(COUNTA(車両台帳!$C$57:$C$2056)=0,"",COUNTIF(車両台帳!$BD$57:$BD$2056,L$3&amp;"-"&amp;40&amp;"A")+COUNTIF(車両台帳!$BD$57:$BD$2056,L$3&amp;"-"&amp;50&amp;"A"))</f>
        <v/>
      </c>
      <c r="M29" s="728" t="str">
        <f>IF(COUNTA(車両台帳!$C$57:$C$2056)=0,"",COUNTIF(車両台帳!$BD$57:$BD$2056,M$3&amp;"-"&amp;40&amp;"A")+COUNTIF(車両台帳!$BD$57:$BD$2056,M$3&amp;"-"&amp;50&amp;"A"))</f>
        <v/>
      </c>
      <c r="N29" s="728" t="str">
        <f>IF(COUNTA(車両台帳!$C$57:$C$2056)=0,"",COUNTIF(車両台帳!$BD$57:$BD$2056,N$3&amp;"-"&amp;40&amp;"A")+COUNTIF(車両台帳!$BD$57:$BD$2056,N$3&amp;"-"&amp;50&amp;"A"))</f>
        <v/>
      </c>
      <c r="O29" s="728" t="str">
        <f>IF(COUNTA(車両台帳!$C$57:$C$2056)=0,"",COUNTIF(車両台帳!$BD$57:$BD$2056,O$3&amp;"-"&amp;40&amp;"A")+COUNTIF(車両台帳!$BD$57:$BD$2056,O$3&amp;"-"&amp;50&amp;"A"))</f>
        <v/>
      </c>
      <c r="P29" s="728" t="str">
        <f>IF(COUNTA(車両台帳!$C$57:$C$2056)=0,"",COUNTIF(車両台帳!$BD$57:$BD$2056,P$3&amp;"-"&amp;40&amp;"A")+COUNTIF(車両台帳!$BD$57:$BD$2056,P$3&amp;"-"&amp;50&amp;"A"))</f>
        <v/>
      </c>
      <c r="Q29" s="728" t="str">
        <f>IF(COUNTA(車両台帳!$C$57:$C$2056)=0,"",COUNTIF(車両台帳!$BD$57:$BD$2056,Q$3&amp;"-"&amp;40&amp;"A")+COUNTIF(車両台帳!$BD$57:$BD$2056,Q$3&amp;"-"&amp;50&amp;"A"))</f>
        <v/>
      </c>
      <c r="R29" s="728" t="str">
        <f>IF(COUNTA(車両台帳!$C$57:$C$2056)=0,"",COUNTIF(車両台帳!$BD$57:$BD$2056,R$3&amp;"-"&amp;40&amp;"A")+COUNTIF(車両台帳!$BD$57:$BD$2056,R$3&amp;"-"&amp;50&amp;"A"))</f>
        <v/>
      </c>
      <c r="S29" s="728" t="str">
        <f>IF(COUNTA(車両台帳!$C$57:$C$2056)=0,"",COUNTIF(車両台帳!$BD$57:$BD$2056,S$3&amp;"-"&amp;40&amp;"A")+COUNTIF(車両台帳!$BD$57:$BD$2056,S$3&amp;"-"&amp;50&amp;"A"))</f>
        <v/>
      </c>
      <c r="T29" s="728" t="str">
        <f>IF(COUNTA(車両台帳!$C$57:$C$2056)=0,"",COUNTIF(車両台帳!$BD$57:$BD$2056,T$3&amp;"-"&amp;40&amp;"A")+COUNTIF(車両台帳!$BD$57:$BD$2056,T$3&amp;"-"&amp;50&amp;"A"))</f>
        <v/>
      </c>
      <c r="U29" s="728" t="str">
        <f>IF(COUNTA(車両台帳!$C$57:$C$2056)=0,"",COUNTIF(車両台帳!$BD$57:$BD$2056,U$3&amp;"-"&amp;40&amp;"A")+COUNTIF(車両台帳!$BD$57:$BD$2056,U$3&amp;"-"&amp;50&amp;"A"))</f>
        <v/>
      </c>
      <c r="V29" s="728" t="str">
        <f>IF(COUNTA(車両台帳!$C$57:$C$2056)=0,"",COUNTIF(車両台帳!$BD$57:$BD$2056,V$3&amp;"-"&amp;40&amp;"A")+COUNTIF(車両台帳!$BD$57:$BD$2056,V$3&amp;"-"&amp;50&amp;"A"))</f>
        <v/>
      </c>
      <c r="W29" s="728" t="str">
        <f>IF(COUNTA(車両台帳!$C$57:$C$2056)=0,"",COUNTIF(車両台帳!$BD$57:$BD$2056,W$3&amp;"-"&amp;40&amp;"A")+COUNTIF(車両台帳!$BD$57:$BD$2056,W$3&amp;"-"&amp;50&amp;"A"))</f>
        <v/>
      </c>
      <c r="X29" s="728" t="str">
        <f>IF(COUNTA(車両台帳!$C$57:$C$2056)=0,"",COUNTIF(車両台帳!$BD$57:$BD$2056,X$3&amp;"-"&amp;40&amp;"A")+COUNTIF(車両台帳!$BD$57:$BD$2056,X$3&amp;"-"&amp;50&amp;"A"))</f>
        <v/>
      </c>
      <c r="Y29" s="728" t="str">
        <f>IF(COUNTA(車両台帳!$C$57:$C$2056)=0,"",COUNTIF(車両台帳!$BD$57:$BD$2056,Y$3&amp;"-"&amp;40&amp;"A")+COUNTIF(車両台帳!$BD$57:$BD$2056,Y$3&amp;"-"&amp;50&amp;"A"))</f>
        <v/>
      </c>
      <c r="Z29" s="728" t="str">
        <f>IF(COUNTA(車両台帳!$C$57:$C$2056)=0,"",COUNTIF(車両台帳!$BD$57:$BD$2056,Z$3&amp;"-"&amp;40&amp;"A")+COUNTIF(車両台帳!$BD$57:$BD$2056,Z$3&amp;"-"&amp;50&amp;"A"))</f>
        <v/>
      </c>
      <c r="AA29" s="728" t="str">
        <f>IF(COUNTA(車両台帳!$C$57:$C$2056)=0,"",COUNTIF(車両台帳!$BD$57:$BD$2056,AA$3&amp;"-"&amp;40&amp;"A")+COUNTIF(車両台帳!$BD$57:$BD$2056,AA$3&amp;"-"&amp;50&amp;"A"))</f>
        <v/>
      </c>
      <c r="AB29" s="728" t="str">
        <f>IF(COUNTA(車両台帳!$C$57:$C$2056)=0,"",COUNTIF(車両台帳!$BD$57:$BD$2056,AB$3&amp;"-"&amp;40&amp;"A")+COUNTIF(車両台帳!$BD$57:$BD$2056,AB$3&amp;"-"&amp;50&amp;"A"))</f>
        <v/>
      </c>
      <c r="AC29" s="728" t="str">
        <f>IF(COUNTA(車両台帳!$C$57:$C$2056)=0,"",COUNTIF(車両台帳!$BD$57:$BD$2056,AC$3&amp;"-"&amp;40&amp;"A")+COUNTIF(車両台帳!$BD$57:$BD$2056,AC$3&amp;"-"&amp;50&amp;"A"))</f>
        <v/>
      </c>
      <c r="AD29" s="728" t="str">
        <f>IF(COUNTA(車両台帳!$C$57:$C$2056)=0,"",COUNTIF(車両台帳!$BD$57:$BD$2056,AD$3&amp;"-"&amp;40&amp;"A")+COUNTIF(車両台帳!$BD$57:$BD$2056,AD$3&amp;"-"&amp;50&amp;"A"))</f>
        <v/>
      </c>
      <c r="AE29" s="728" t="str">
        <f>IF(COUNTA(車両台帳!$C$57:$C$2056)=0,"",COUNTIF(車両台帳!$BD$57:$BD$2056,AE$3&amp;"-"&amp;40&amp;"A")+COUNTIF(車両台帳!$BD$57:$BD$2056,AE$3&amp;"-"&amp;50&amp;"A"))</f>
        <v/>
      </c>
      <c r="AF29" s="728" t="str">
        <f>IF(COUNTA(車両台帳!$C$57:$C$2056)=0,"",COUNTIF(車両台帳!$BD$57:$BD$2056,AF$3&amp;"-"&amp;40&amp;"A")+COUNTIF(車両台帳!$BD$57:$BD$2056,AF$3&amp;"-"&amp;50&amp;"A"))</f>
        <v/>
      </c>
      <c r="AG29" s="728" t="str">
        <f>IF(COUNTA(車両台帳!$C$57:$C$2056)=0,"",COUNTIF(車両台帳!$BD$57:$BD$2056,AG$3&amp;"-"&amp;40&amp;"A")+COUNTIF(車両台帳!$BD$57:$BD$2056,AG$3&amp;"-"&amp;50&amp;"A"))</f>
        <v/>
      </c>
      <c r="AH29" s="728" t="str">
        <f>IF(COUNTA(車両台帳!$C$57:$C$2056)=0,"",COUNTIF(車両台帳!$BD$57:$BD$2056,AH$3&amp;"-"&amp;40&amp;"A")+COUNTIF(車両台帳!$BD$57:$BD$2056,AH$3&amp;"-"&amp;50&amp;"A"))</f>
        <v/>
      </c>
      <c r="AI29" s="728" t="str">
        <f>IF(COUNTA(車両台帳!$C$57:$C$2056)=0,"",COUNTIF(車両台帳!$BD$57:$BD$2056,AI$3&amp;"-"&amp;40&amp;"A")+COUNTIF(車両台帳!$BD$57:$BD$2056,AI$3&amp;"-"&amp;50&amp;"A"))</f>
        <v/>
      </c>
      <c r="AJ29" s="728" t="str">
        <f>IF(COUNTA(車両台帳!$C$57:$C$2056)=0,"",COUNTIF(車両台帳!$BD$57:$BD$2056,AJ$3&amp;"-"&amp;40&amp;"A")+COUNTIF(車両台帳!$BD$57:$BD$2056,AJ$3&amp;"-"&amp;50&amp;"A"))</f>
        <v/>
      </c>
      <c r="AK29" s="728" t="str">
        <f>IF(COUNTA(車両台帳!$C$57:$C$2056)=0,"",COUNTIF(車両台帳!$BD$57:$BD$2056,AK$3&amp;"-"&amp;40&amp;"A")+COUNTIF(車両台帳!$BD$57:$BD$2056,AK$3&amp;"-"&amp;50&amp;"A"))</f>
        <v/>
      </c>
      <c r="AL29" s="728" t="str">
        <f>IF(COUNTA(車両台帳!$C$57:$C$2056)=0,"",COUNTIF(車両台帳!$BD$57:$BD$2056,AL$3&amp;"-"&amp;40&amp;"A")+COUNTIF(車両台帳!$BD$57:$BD$2056,AL$3&amp;"-"&amp;50&amp;"A"))</f>
        <v/>
      </c>
      <c r="AM29" s="728" t="str">
        <f>IF(COUNTA(車両台帳!$C$57:$C$2056)=0,"",COUNTIF(車両台帳!$BD$57:$BD$2056,AM$3&amp;"-"&amp;40&amp;"A")+COUNTIF(車両台帳!$BD$57:$BD$2056,AM$3&amp;"-"&amp;50&amp;"A"))</f>
        <v/>
      </c>
      <c r="AN29" s="728" t="str">
        <f>IF(COUNTA(車両台帳!$C$57:$C$2056)=0,"",COUNTIF(車両台帳!$BD$57:$BD$2056,AN$3&amp;"-"&amp;40&amp;"A")+COUNTIF(車両台帳!$BD$57:$BD$2056,AN$3&amp;"-"&amp;50&amp;"A"))</f>
        <v/>
      </c>
      <c r="AO29" s="728" t="str">
        <f>IF(COUNTA(車両台帳!$C$57:$C$2056)=0,"",COUNTIF(車両台帳!$BD$57:$BD$2056,AO$3&amp;"-"&amp;40&amp;"A")+COUNTIF(車両台帳!$BD$57:$BD$2056,AO$3&amp;"-"&amp;50&amp;"A"))</f>
        <v/>
      </c>
      <c r="AP29" s="728" t="str">
        <f>IF(COUNTA(車両台帳!$C$57:$C$2056)=0,"",COUNTIF(車両台帳!$BD$57:$BD$2056,AP$3&amp;"-"&amp;40&amp;"A")+COUNTIF(車両台帳!$BD$57:$BD$2056,AP$3&amp;"-"&amp;50&amp;"A"))</f>
        <v/>
      </c>
      <c r="AQ29" s="728" t="str">
        <f>IF(COUNTA(車両台帳!$C$57:$C$2056)=0,"",COUNTIF(車両台帳!$BD$57:$BD$2056,AQ$3&amp;"-"&amp;40&amp;"A")+COUNTIF(車両台帳!$BD$57:$BD$2056,AQ$3&amp;"-"&amp;50&amp;"A"))</f>
        <v/>
      </c>
      <c r="AR29" s="728" t="str">
        <f>IF(COUNTA(車両台帳!$C$57:$C$2056)=0,"",COUNTIF(車両台帳!$BD$57:$BD$2056,AR$3&amp;"-"&amp;40&amp;"A")+COUNTIF(車両台帳!$BD$57:$BD$2056,AR$3&amp;"-"&amp;50&amp;"A"))</f>
        <v/>
      </c>
      <c r="AS29" s="728" t="str">
        <f>IF(COUNTA(車両台帳!$C$57:$C$2056)=0,"",COUNTIF(車両台帳!$BD$57:$BD$2056,AS$3&amp;"-"&amp;40&amp;"A")+COUNTIF(車両台帳!$BD$57:$BD$2056,AS$3&amp;"-"&amp;50&amp;"A"))</f>
        <v/>
      </c>
      <c r="AT29" s="728" t="str">
        <f>IF(COUNTA(車両台帳!$C$57:$C$2056)=0,"",COUNTIF(車両台帳!$BD$57:$BD$2056,AT$3&amp;"-"&amp;40&amp;"A")+COUNTIF(車両台帳!$BD$57:$BD$2056,AT$3&amp;"-"&amp;50&amp;"A"))</f>
        <v/>
      </c>
      <c r="AU29" s="728" t="str">
        <f>IF(COUNTA(車両台帳!$C$57:$C$2056)=0,"",COUNTIF(車両台帳!$BD$57:$BD$2056,AU$3&amp;"-"&amp;40&amp;"A")+COUNTIF(車両台帳!$BD$57:$BD$2056,AU$3&amp;"-"&amp;50&amp;"A"))</f>
        <v/>
      </c>
      <c r="AV29" s="728" t="str">
        <f>IF(COUNTA(車両台帳!$C$57:$C$2056)=0,"",COUNTIF(車両台帳!$BD$57:$BD$2056,AV$3&amp;"-"&amp;40&amp;"A")+COUNTIF(車両台帳!$BD$57:$BD$2056,AV$3&amp;"-"&amp;50&amp;"A"))</f>
        <v/>
      </c>
      <c r="AW29" s="728" t="str">
        <f>IF(COUNTA(車両台帳!$C$57:$C$2056)=0,"",COUNTIF(車両台帳!$BD$57:$BD$2056,AW$3&amp;"-"&amp;40&amp;"A")+COUNTIF(車両台帳!$BD$57:$BD$2056,AW$3&amp;"-"&amp;50&amp;"A"))</f>
        <v/>
      </c>
      <c r="AX29" s="728" t="str">
        <f>IF(COUNTA(車両台帳!$C$57:$C$2056)=0,"",COUNTIF(車両台帳!$BD$57:$BD$2056,AX$3&amp;"-"&amp;40&amp;"A")+COUNTIF(車両台帳!$BD$57:$BD$2056,AX$3&amp;"-"&amp;50&amp;"A"))</f>
        <v/>
      </c>
      <c r="AY29" s="728" t="str">
        <f>IF(COUNTA(車両台帳!$C$57:$C$2056)=0,"",COUNTIF(車両台帳!$BD$57:$BD$2056,AY$3&amp;"-"&amp;40&amp;"A")+COUNTIF(車両台帳!$BD$57:$BD$2056,AY$3&amp;"-"&amp;50&amp;"A"))</f>
        <v/>
      </c>
      <c r="AZ29" s="728" t="str">
        <f>IF(COUNTA(車両台帳!$C$57:$C$2056)=0,"",COUNTIF(車両台帳!$BD$57:$BD$2056,AZ$3&amp;"-"&amp;40&amp;"A")+COUNTIF(車両台帳!$BD$57:$BD$2056,AZ$3&amp;"-"&amp;50&amp;"A"))</f>
        <v/>
      </c>
      <c r="BA29" s="728" t="str">
        <f>IF(COUNTA(車両台帳!$C$57:$C$2056)=0,"",COUNTIF(車両台帳!$BD$57:$BD$2056,BA$3&amp;"-"&amp;40&amp;"A")+COUNTIF(車両台帳!$BD$57:$BD$2056,BA$3&amp;"-"&amp;50&amp;"A"))</f>
        <v/>
      </c>
      <c r="BB29" s="728" t="str">
        <f>IF(COUNTA(車両台帳!$C$57:$C$2056)=0,"",COUNTIF(車両台帳!$BD$57:$BD$2056,BB$3&amp;"-"&amp;40&amp;"A")+COUNTIF(車両台帳!$BD$57:$BD$2056,BB$3&amp;"-"&amp;50&amp;"A"))</f>
        <v/>
      </c>
      <c r="BC29" s="728" t="str">
        <f>IF(COUNTA(車両台帳!$C$57:$C$2056)=0,"",COUNTIF(車両台帳!$BD$57:$BD$2056,BC$3&amp;"-"&amp;40&amp;"A")+COUNTIF(車両台帳!$BD$57:$BD$2056,BC$3&amp;"-"&amp;50&amp;"A"))</f>
        <v/>
      </c>
      <c r="BD29" s="728" t="str">
        <f>IF(COUNTA(車両台帳!$C$57:$C$2056)=0,"",COUNTIF(車両台帳!$BD$57:$BD$2056,BD$3&amp;"-"&amp;40&amp;"A")+COUNTIF(車両台帳!$BD$57:$BD$2056,BD$3&amp;"-"&amp;50&amp;"A"))</f>
        <v/>
      </c>
      <c r="BE29" s="728" t="str">
        <f>IF(COUNTA(車両台帳!$C$57:$C$2056)=0,"",COUNTIF(車両台帳!$BD$57:$BD$2056,BE$3&amp;"-"&amp;40&amp;"A")+COUNTIF(車両台帳!$BD$57:$BD$2056,BE$3&amp;"-"&amp;50&amp;"A"))</f>
        <v/>
      </c>
      <c r="BF29" s="728" t="str">
        <f>IF(COUNTA(車両台帳!$C$57:$C$2056)=0,"",COUNTIF(車両台帳!$BD$57:$BD$2056,BF$3&amp;"-"&amp;40&amp;"A")+COUNTIF(車両台帳!$BD$57:$BD$2056,BF$3&amp;"-"&amp;50&amp;"A"))</f>
        <v/>
      </c>
      <c r="BG29" s="728" t="str">
        <f>IF(COUNTA(車両台帳!$C$57:$C$2056)=0,"",COUNTIF(車両台帳!$BD$57:$BD$2056,BG$3&amp;"-"&amp;40&amp;"A")+COUNTIF(車両台帳!$BD$57:$BD$2056,BG$3&amp;"-"&amp;50&amp;"A"))</f>
        <v/>
      </c>
      <c r="BH29" s="728" t="str">
        <f>IF(COUNTA(車両台帳!$C$57:$C$2056)=0,"",COUNTIF(車両台帳!$BD$57:$BD$2056,BH$3&amp;"-"&amp;40&amp;"A")+COUNTIF(車両台帳!$BD$57:$BD$2056,BH$3&amp;"-"&amp;50&amp;"A"))</f>
        <v/>
      </c>
      <c r="BI29" s="728" t="str">
        <f>IF(COUNTA(車両台帳!$C$57:$C$2056)=0,"",COUNTIF(車両台帳!$BD$57:$BD$2056,BI$3&amp;"-"&amp;40&amp;"A")+COUNTIF(車両台帳!$BD$57:$BD$2056,BI$3&amp;"-"&amp;50&amp;"A"))</f>
        <v/>
      </c>
      <c r="BJ29" s="728" t="str">
        <f>IF(COUNTA(車両台帳!$C$57:$C$2056)=0,"",COUNTIF(車両台帳!$BD$57:$BD$2056,BJ$3&amp;"-"&amp;40&amp;"A")+COUNTIF(車両台帳!$BD$57:$BD$2056,BJ$3&amp;"-"&amp;50&amp;"A"))</f>
        <v/>
      </c>
      <c r="BK29" s="728" t="str">
        <f>IF(COUNTA(車両台帳!$C$57:$C$2056)=0,"",COUNTIF(車両台帳!$BD$57:$BD$2056,BK$3&amp;"-"&amp;40&amp;"A")+COUNTIF(車両台帳!$BD$57:$BD$2056,BK$3&amp;"-"&amp;50&amp;"A"))</f>
        <v/>
      </c>
      <c r="BL29" s="728" t="str">
        <f>IF(COUNTA(車両台帳!$C$57:$C$2056)=0,"",COUNTIF(車両台帳!$BD$57:$BD$2056,BL$3&amp;"-"&amp;40&amp;"A")+COUNTIF(車両台帳!$BD$57:$BD$2056,BL$3&amp;"-"&amp;50&amp;"A"))</f>
        <v/>
      </c>
      <c r="BM29" s="728" t="str">
        <f>IF(COUNTA(車両台帳!$C$57:$C$2056)=0,"",COUNTIF(車両台帳!$BD$57:$BD$2056,BM$3&amp;"-"&amp;40&amp;"A")+COUNTIF(車両台帳!$BD$57:$BD$2056,BM$3&amp;"-"&amp;50&amp;"A"))</f>
        <v/>
      </c>
      <c r="BN29" s="728" t="str">
        <f>IF(COUNTA(車両台帳!$C$57:$C$2056)=0,"",COUNTIF(車両台帳!$BD$57:$BD$2056,BN$3&amp;"-"&amp;40&amp;"A")+COUNTIF(車両台帳!$BD$57:$BD$2056,BN$3&amp;"-"&amp;50&amp;"A"))</f>
        <v/>
      </c>
      <c r="BO29" s="728" t="str">
        <f>IF(COUNTA(車両台帳!$C$57:$C$2056)=0,"",COUNTIF(車両台帳!$BD$57:$BD$2056,BO$3&amp;"-"&amp;40&amp;"A")+COUNTIF(車両台帳!$BD$57:$BD$2056,BO$3&amp;"-"&amp;50&amp;"A"))</f>
        <v/>
      </c>
      <c r="BP29" s="728" t="str">
        <f>IF(COUNTA(車両台帳!$C$57:$C$2056)=0,"",COUNTIF(車両台帳!$BD$57:$BD$2056,BP$3&amp;"-"&amp;40&amp;"A")+COUNTIF(車両台帳!$BD$57:$BD$2056,BP$3&amp;"-"&amp;50&amp;"A"))</f>
        <v/>
      </c>
      <c r="BQ29" s="728" t="str">
        <f>IF(COUNTA(車両台帳!$C$57:$C$2056)=0,"",COUNTIF(車両台帳!$BD$57:$BD$2056,BQ$3&amp;"-"&amp;40&amp;"A")+COUNTIF(車両台帳!$BD$57:$BD$2056,BQ$3&amp;"-"&amp;50&amp;"A"))</f>
        <v/>
      </c>
      <c r="BR29" s="728" t="str">
        <f>IF(COUNTA(車両台帳!$C$57:$C$2056)=0,"",COUNTIF(車両台帳!$BD$57:$BD$2056,BR$3&amp;"-"&amp;40&amp;"A")+COUNTIF(車両台帳!$BD$57:$BD$2056,BR$3&amp;"-"&amp;50&amp;"A"))</f>
        <v/>
      </c>
      <c r="BS29" s="728" t="str">
        <f>IF(COUNTA(車両台帳!$C$57:$C$2056)=0,"",COUNTIF(車両台帳!$BD$57:$BD$2056,BS$3&amp;"-"&amp;40&amp;"A")+COUNTIF(車両台帳!$BD$57:$BD$2056,BS$3&amp;"-"&amp;50&amp;"A"))</f>
        <v/>
      </c>
      <c r="BT29" s="728" t="str">
        <f>IF(COUNTA(車両台帳!$C$57:$C$2056)=0,"",COUNTIF(車両台帳!$BD$57:$BD$2056,BT$3&amp;"-"&amp;40&amp;"A")+COUNTIF(車両台帳!$BD$57:$BD$2056,BT$3&amp;"-"&amp;50&amp;"A"))</f>
        <v/>
      </c>
      <c r="BU29" s="728" t="str">
        <f>IF(COUNTA(車両台帳!$C$57:$C$2056)=0,"",COUNTIF(車両台帳!$BD$57:$BD$2056,BU$3&amp;"-"&amp;40&amp;"A")+COUNTIF(車両台帳!$BD$57:$BD$2056,BU$3&amp;"-"&amp;50&amp;"A"))</f>
        <v/>
      </c>
      <c r="BV29" s="728" t="str">
        <f>IF(COUNTA(車両台帳!$C$57:$C$2056)=0,"",COUNTIF(車両台帳!$BD$57:$BD$2056,BV$3&amp;"-"&amp;40&amp;"A")+COUNTIF(車両台帳!$BD$57:$BD$2056,BV$3&amp;"-"&amp;50&amp;"A"))</f>
        <v/>
      </c>
      <c r="BW29" s="728" t="str">
        <f>IF(COUNTA(車両台帳!$C$57:$C$2056)=0,"",COUNTIF(車両台帳!$BD$57:$BD$2056,BW$3&amp;"-"&amp;40&amp;"A")+COUNTIF(車両台帳!$BD$57:$BD$2056,BW$3&amp;"-"&amp;50&amp;"A"))</f>
        <v/>
      </c>
      <c r="BX29" s="728" t="str">
        <f>IF(COUNTA(車両台帳!$C$57:$C$2056)=0,"",COUNTIF(車両台帳!$BD$57:$BD$2056,BX$3&amp;"-"&amp;40&amp;"A")+COUNTIF(車両台帳!$BD$57:$BD$2056,BX$3&amp;"-"&amp;50&amp;"A"))</f>
        <v/>
      </c>
      <c r="BY29" s="728" t="str">
        <f>IF(COUNTA(車両台帳!$C$57:$C$2056)=0,"",COUNTIF(車両台帳!$BD$57:$BD$2056,BY$3&amp;"-"&amp;40&amp;"A")+COUNTIF(車両台帳!$BD$57:$BD$2056,BY$3&amp;"-"&amp;50&amp;"A"))</f>
        <v/>
      </c>
      <c r="BZ29" s="728" t="str">
        <f>IF(COUNTA(車両台帳!$C$57:$C$2056)=0,"",COUNTIF(車両台帳!$BD$57:$BD$2056,BZ$3&amp;"-"&amp;40&amp;"A")+COUNTIF(車両台帳!$BD$57:$BD$2056,BZ$3&amp;"-"&amp;50&amp;"A"))</f>
        <v/>
      </c>
      <c r="CA29" s="728" t="str">
        <f>IF(COUNTA(車両台帳!$C$57:$C$2056)=0,"",COUNTIF(車両台帳!$BD$57:$BD$2056,CA$3&amp;"-"&amp;40&amp;"A")+COUNTIF(車両台帳!$BD$57:$BD$2056,CA$3&amp;"-"&amp;50&amp;"A"))</f>
        <v/>
      </c>
      <c r="CB29" s="728" t="str">
        <f>IF(COUNTA(車両台帳!$C$57:$C$2056)=0,"",COUNTIF(車両台帳!$BD$57:$BD$2056,CB$3&amp;"-"&amp;40&amp;"A")+COUNTIF(車両台帳!$BD$57:$BD$2056,CB$3&amp;"-"&amp;50&amp;"A"))</f>
        <v/>
      </c>
      <c r="CC29" s="728" t="str">
        <f>IF(COUNTA(車両台帳!$C$57:$C$2056)=0,"",COUNTIF(車両台帳!$BD$57:$BD$2056,CC$3&amp;"-"&amp;40&amp;"A")+COUNTIF(車両台帳!$BD$57:$BD$2056,CC$3&amp;"-"&amp;50&amp;"A"))</f>
        <v/>
      </c>
      <c r="CD29" s="728" t="str">
        <f>IF(COUNTA(車両台帳!$C$57:$C$2056)=0,"",COUNTIF(車両台帳!$BD$57:$BD$2056,CD$3&amp;"-"&amp;40&amp;"A")+COUNTIF(車両台帳!$BD$57:$BD$2056,CD$3&amp;"-"&amp;50&amp;"A"))</f>
        <v/>
      </c>
      <c r="CE29" s="728" t="str">
        <f>IF(COUNTA(車両台帳!$C$57:$C$2056)=0,"",COUNTIF(車両台帳!$BD$57:$BD$2056,CE$3&amp;"-"&amp;40&amp;"A")+COUNTIF(車両台帳!$BD$57:$BD$2056,CE$3&amp;"-"&amp;50&amp;"A"))</f>
        <v/>
      </c>
      <c r="CF29" s="728" t="str">
        <f>IF(COUNTA(車両台帳!$C$57:$C$2056)=0,"",COUNTIF(車両台帳!$BD$57:$BD$2056,CF$3&amp;"-"&amp;40&amp;"A")+COUNTIF(車両台帳!$BD$57:$BD$2056,CF$3&amp;"-"&amp;50&amp;"A"))</f>
        <v/>
      </c>
      <c r="CG29" s="728" t="str">
        <f>IF(COUNTA(車両台帳!$C$57:$C$2056)=0,"",COUNTIF(車両台帳!$BD$57:$BD$2056,CG$3&amp;"-"&amp;40&amp;"A")+COUNTIF(車両台帳!$BD$57:$BD$2056,CG$3&amp;"-"&amp;50&amp;"A"))</f>
        <v/>
      </c>
      <c r="CH29" s="728" t="str">
        <f>IF(COUNTA(車両台帳!$C$57:$C$2056)=0,"",COUNTIF(車両台帳!$BD$57:$BD$2056,CH$3&amp;"-"&amp;40&amp;"A")+COUNTIF(車両台帳!$BD$57:$BD$2056,CH$3&amp;"-"&amp;50&amp;"A"))</f>
        <v/>
      </c>
      <c r="CI29" s="728" t="str">
        <f>IF(COUNTA(車両台帳!$C$57:$C$2056)=0,"",COUNTIF(車両台帳!$BD$57:$BD$2056,CI$3&amp;"-"&amp;40&amp;"A")+COUNTIF(車両台帳!$BD$57:$BD$2056,CI$3&amp;"-"&amp;50&amp;"A"))</f>
        <v/>
      </c>
      <c r="CJ29" s="728" t="str">
        <f>IF(COUNTA(車両台帳!$C$57:$C$2056)=0,"",COUNTIF(車両台帳!$BD$57:$BD$2056,CJ$3&amp;"-"&amp;40&amp;"A")+COUNTIF(車両台帳!$BD$57:$BD$2056,CJ$3&amp;"-"&amp;50&amp;"A"))</f>
        <v/>
      </c>
      <c r="CK29" s="728" t="str">
        <f>IF(COUNTA(車両台帳!$C$57:$C$2056)=0,"",COUNTIF(車両台帳!$BD$57:$BD$2056,CK$3&amp;"-"&amp;40&amp;"A")+COUNTIF(車両台帳!$BD$57:$BD$2056,CK$3&amp;"-"&amp;50&amp;"A"))</f>
        <v/>
      </c>
      <c r="CL29" s="728" t="str">
        <f>IF(COUNTA(車両台帳!$C$57:$C$2056)=0,"",COUNTIF(車両台帳!$BD$57:$BD$2056,CL$3&amp;"-"&amp;40&amp;"A")+COUNTIF(車両台帳!$BD$57:$BD$2056,CL$3&amp;"-"&amp;50&amp;"A"))</f>
        <v/>
      </c>
      <c r="CM29" s="728" t="str">
        <f>IF(COUNTA(車両台帳!$C$57:$C$2056)=0,"",COUNTIF(車両台帳!$BD$57:$BD$2056,CM$3&amp;"-"&amp;40&amp;"A")+COUNTIF(車両台帳!$BD$57:$BD$2056,CM$3&amp;"-"&amp;50&amp;"A"))</f>
        <v/>
      </c>
      <c r="CN29" s="728" t="str">
        <f>IF(COUNTA(車両台帳!$C$57:$C$2056)=0,"",COUNTIF(車両台帳!$BD$57:$BD$2056,CN$3&amp;"-"&amp;40&amp;"A")+COUNTIF(車両台帳!$BD$57:$BD$2056,CN$3&amp;"-"&amp;50&amp;"A"))</f>
        <v/>
      </c>
      <c r="CO29" s="728" t="str">
        <f>IF(COUNTA(車両台帳!$C$57:$C$2056)=0,"",COUNTIF(車両台帳!$BD$57:$BD$2056,CO$3&amp;"-"&amp;40&amp;"A")+COUNTIF(車両台帳!$BD$57:$BD$2056,CO$3&amp;"-"&amp;50&amp;"A"))</f>
        <v/>
      </c>
      <c r="CP29" s="728" t="str">
        <f>IF(COUNTA(車両台帳!$C$57:$C$2056)=0,"",COUNTIF(車両台帳!$BD$57:$BD$2056,CP$3&amp;"-"&amp;40&amp;"A")+COUNTIF(車両台帳!$BD$57:$BD$2056,CP$3&amp;"-"&amp;50&amp;"A"))</f>
        <v/>
      </c>
      <c r="CQ29" s="728" t="str">
        <f>IF(COUNTA(車両台帳!$C$57:$C$2056)=0,"",COUNTIF(車両台帳!$BD$57:$BD$2056,CQ$3&amp;"-"&amp;40&amp;"A")+COUNTIF(車両台帳!$BD$57:$BD$2056,CQ$3&amp;"-"&amp;50&amp;"A"))</f>
        <v/>
      </c>
      <c r="CR29" s="728" t="str">
        <f>IF(COUNTA(車両台帳!$C$57:$C$2056)=0,"",COUNTIF(車両台帳!$BD$57:$BD$2056,CR$3&amp;"-"&amp;40&amp;"A")+COUNTIF(車両台帳!$BD$57:$BD$2056,CR$3&amp;"-"&amp;50&amp;"A"))</f>
        <v/>
      </c>
      <c r="CS29" s="728" t="str">
        <f>IF(COUNTA(車両台帳!$C$57:$C$2056)=0,"",COUNTIF(車両台帳!$BD$57:$BD$2056,CS$3&amp;"-"&amp;40&amp;"A")+COUNTIF(車両台帳!$BD$57:$BD$2056,CS$3&amp;"-"&amp;50&amp;"A"))</f>
        <v/>
      </c>
      <c r="CT29" s="728" t="str">
        <f>IF(COUNTA(車両台帳!$C$57:$C$2056)=0,"",COUNTIF(車両台帳!$BD$57:$BD$2056,CT$3&amp;"-"&amp;40&amp;"A")+COUNTIF(車両台帳!$BD$57:$BD$2056,CT$3&amp;"-"&amp;50&amp;"A"))</f>
        <v/>
      </c>
      <c r="CU29" s="728" t="str">
        <f>IF(COUNTA(車両台帳!$C$57:$C$2056)=0,"",COUNTIF(車両台帳!$BD$57:$BD$2056,CU$3&amp;"-"&amp;40&amp;"A")+COUNTIF(車両台帳!$BD$57:$BD$2056,CU$3&amp;"-"&amp;50&amp;"A"))</f>
        <v/>
      </c>
      <c r="CV29" s="728" t="str">
        <f>IF(COUNTA(車両台帳!$C$57:$C$2056)=0,"",COUNTIF(車両台帳!$BD$57:$BD$2056,CV$3&amp;"-"&amp;40&amp;"A")+COUNTIF(車両台帳!$BD$57:$BD$2056,CV$3&amp;"-"&amp;50&amp;"A"))</f>
        <v/>
      </c>
      <c r="CW29" s="728" t="str">
        <f>IF(COUNTA(車両台帳!$C$57:$C$2056)=0,"",COUNTIF(車両台帳!$BD$57:$BD$2056,CW$3&amp;"-"&amp;40&amp;"A")+COUNTIF(車両台帳!$BD$57:$BD$2056,CW$3&amp;"-"&amp;50&amp;"A"))</f>
        <v/>
      </c>
      <c r="CX29" s="728" t="str">
        <f>IF(COUNTA(車両台帳!$C$57:$C$2056)=0,"",COUNTIF(車両台帳!$BD$57:$BD$2056,CX$3&amp;"-"&amp;40&amp;"A")+COUNTIF(車両台帳!$BD$57:$BD$2056,CX$3&amp;"-"&amp;50&amp;"A"))</f>
        <v/>
      </c>
      <c r="CY29" s="728" t="str">
        <f>IF(COUNTA(車両台帳!$C$57:$C$2056)=0,"",COUNTIF(車両台帳!$BD$57:$BD$2056,CY$3&amp;"-"&amp;40&amp;"A")+COUNTIF(車両台帳!$BD$57:$BD$2056,CY$3&amp;"-"&amp;50&amp;"A"))</f>
        <v/>
      </c>
      <c r="CZ29" s="728" t="str">
        <f>IF(COUNTA(車両台帳!$C$57:$C$2056)=0,"",COUNTIF(車両台帳!$BD$57:$BD$2056,CZ$3&amp;"-"&amp;40&amp;"A")+COUNTIF(車両台帳!$BD$57:$BD$2056,CZ$3&amp;"-"&amp;50&amp;"A"))</f>
        <v/>
      </c>
      <c r="DA29" s="728" t="str">
        <f>IF(COUNTA(車両台帳!$C$57:$C$2056)=0,"",COUNTIF(車両台帳!$BD$57:$BD$2056,DA$3&amp;"-"&amp;40&amp;"A")+COUNTIF(車両台帳!$BD$57:$BD$2056,DA$3&amp;"-"&amp;50&amp;"A"))</f>
        <v/>
      </c>
      <c r="DB29" s="728" t="str">
        <f>IF(COUNTA(車両台帳!$C$57:$C$2056)=0,"",COUNTIF(車両台帳!$BD$57:$BD$2056,DB$3&amp;"-"&amp;40&amp;"A")+COUNTIF(車両台帳!$BD$57:$BD$2056,DB$3&amp;"-"&amp;50&amp;"A"))</f>
        <v/>
      </c>
      <c r="DC29" s="728" t="str">
        <f>IF(COUNTA(車両台帳!$C$57:$C$2056)=0,"",COUNTIF(車両台帳!$BD$57:$BD$2056,DC$3&amp;"-"&amp;40&amp;"A")+COUNTIF(車両台帳!$BD$57:$BD$2056,DC$3&amp;"-"&amp;50&amp;"A"))</f>
        <v/>
      </c>
      <c r="DD29" s="728" t="str">
        <f>IF(COUNTA(車両台帳!$C$57:$C$2056)=0,"",COUNTIF(車両台帳!$BD$57:$BD$2056,DD$3&amp;"-"&amp;40&amp;"A")+COUNTIF(車両台帳!$BD$57:$BD$2056,DD$3&amp;"-"&amp;50&amp;"A"))</f>
        <v/>
      </c>
      <c r="DE29" s="728" t="str">
        <f>IF(COUNTA(車両台帳!$C$57:$C$2056)=0,"",COUNTIF(車両台帳!$BD$57:$BD$2056,DE$3&amp;"-"&amp;40&amp;"A")+COUNTIF(車両台帳!$BD$57:$BD$2056,DE$3&amp;"-"&amp;50&amp;"A"))</f>
        <v/>
      </c>
      <c r="DF29" s="728" t="str">
        <f>IF(COUNTA(車両台帳!$C$57:$C$2056)=0,"",COUNTIF(車両台帳!$BD$57:$BD$2056,DF$3&amp;"-"&amp;40&amp;"A")+COUNTIF(車両台帳!$BD$57:$BD$2056,DF$3&amp;"-"&amp;50&amp;"A"))</f>
        <v/>
      </c>
      <c r="DG29" s="728" t="str">
        <f>IF(COUNTA(車両台帳!$C$57:$C$2056)=0,"",COUNTIF(車両台帳!$BD$57:$BD$2056,DG$3&amp;"-"&amp;40&amp;"A")+COUNTIF(車両台帳!$BD$57:$BD$2056,DG$3&amp;"-"&amp;50&amp;"A"))</f>
        <v/>
      </c>
      <c r="DH29" s="728" t="str">
        <f>IF(COUNTA(車両台帳!$C$57:$C$2056)=0,"",COUNTIF(車両台帳!$BD$57:$BD$2056,DH$3&amp;"-"&amp;40&amp;"A")+COUNTIF(車両台帳!$BD$57:$BD$2056,DH$3&amp;"-"&amp;50&amp;"A"))</f>
        <v/>
      </c>
      <c r="DI29" s="728" t="str">
        <f>IF(COUNTA(車両台帳!$C$57:$C$2056)=0,"",COUNTIF(車両台帳!$BD$57:$BD$2056,DI$3&amp;"-"&amp;40&amp;"A")+COUNTIF(車両台帳!$BD$57:$BD$2056,DI$3&amp;"-"&amp;50&amp;"A"))</f>
        <v/>
      </c>
      <c r="DJ29" s="728" t="str">
        <f>IF(COUNTA(車両台帳!$C$57:$C$2056)=0,"",COUNTIF(車両台帳!$BD$57:$BD$2056,DJ$3&amp;"-"&amp;40&amp;"A")+COUNTIF(車両台帳!$BD$57:$BD$2056,DJ$3&amp;"-"&amp;50&amp;"A"))</f>
        <v/>
      </c>
      <c r="DK29" s="728" t="str">
        <f>IF(COUNTA(車両台帳!$C$57:$C$2056)=0,"",COUNTIF(車両台帳!$BD$57:$BD$2056,DK$3&amp;"-"&amp;40&amp;"A")+COUNTIF(車両台帳!$BD$57:$BD$2056,DK$3&amp;"-"&amp;50&amp;"A"))</f>
        <v/>
      </c>
      <c r="DL29" s="728" t="str">
        <f>IF(COUNTA(車両台帳!$C$57:$C$2056)=0,"",COUNTIF(車両台帳!$BD$57:$BD$2056,DL$3&amp;"-"&amp;40&amp;"A")+COUNTIF(車両台帳!$BD$57:$BD$2056,DL$3&amp;"-"&amp;50&amp;"A"))</f>
        <v/>
      </c>
      <c r="DM29" s="728" t="str">
        <f>IF(COUNTA(車両台帳!$C$57:$C$2056)=0,"",COUNTIF(車両台帳!$BD$57:$BD$2056,DM$3&amp;"-"&amp;40&amp;"A")+COUNTIF(車両台帳!$BD$57:$BD$2056,DM$3&amp;"-"&amp;50&amp;"A"))</f>
        <v/>
      </c>
      <c r="DN29" s="728" t="str">
        <f>IF(COUNTA(車両台帳!$C$57:$C$2056)=0,"",COUNTIF(車両台帳!$BD$57:$BD$2056,DN$3&amp;"-"&amp;40&amp;"A")+COUNTIF(車両台帳!$BD$57:$BD$2056,DN$3&amp;"-"&amp;50&amp;"A"))</f>
        <v/>
      </c>
      <c r="DO29" s="728" t="str">
        <f>IF(COUNTA(車両台帳!$C$57:$C$2056)=0,"",COUNTIF(車両台帳!$BD$57:$BD$2056,DO$3&amp;"-"&amp;40&amp;"A")+COUNTIF(車両台帳!$BD$57:$BD$2056,DO$3&amp;"-"&amp;50&amp;"A"))</f>
        <v/>
      </c>
      <c r="DP29" s="728" t="str">
        <f>IF(COUNTA(車両台帳!$C$57:$C$2056)=0,"",COUNTIF(車両台帳!$BD$57:$BD$2056,DP$3&amp;"-"&amp;40&amp;"A")+COUNTIF(車両台帳!$BD$57:$BD$2056,DP$3&amp;"-"&amp;50&amp;"A"))</f>
        <v/>
      </c>
      <c r="DQ29" s="728" t="str">
        <f>IF(COUNTA(車両台帳!$C$57:$C$2056)=0,"",COUNTIF(車両台帳!$BD$57:$BD$2056,DQ$3&amp;"-"&amp;40&amp;"A")+COUNTIF(車両台帳!$BD$57:$BD$2056,DQ$3&amp;"-"&amp;50&amp;"A"))</f>
        <v/>
      </c>
      <c r="DR29" s="728" t="str">
        <f>IF(COUNTA(車両台帳!$C$57:$C$2056)=0,"",COUNTIF(車両台帳!$BD$57:$BD$2056,DR$3&amp;"-"&amp;40&amp;"A")+COUNTIF(車両台帳!$BD$57:$BD$2056,DR$3&amp;"-"&amp;50&amp;"A"))</f>
        <v/>
      </c>
      <c r="DS29" s="728" t="str">
        <f>IF(COUNTA(車両台帳!$C$57:$C$2056)=0,"",COUNTIF(車両台帳!$BD$57:$BD$2056,DS$3&amp;"-"&amp;40&amp;"A")+COUNTIF(車両台帳!$BD$57:$BD$2056,DS$3&amp;"-"&amp;50&amp;"A"))</f>
        <v/>
      </c>
      <c r="DT29" s="728" t="str">
        <f>IF(COUNTA(車両台帳!$C$57:$C$2056)=0,"",COUNTIF(車両台帳!$BD$57:$BD$2056,DT$3&amp;"-"&amp;40&amp;"A")+COUNTIF(車両台帳!$BD$57:$BD$2056,DT$3&amp;"-"&amp;50&amp;"A"))</f>
        <v/>
      </c>
      <c r="DU29" s="728" t="str">
        <f>IF(COUNTA(車両台帳!$C$57:$C$2056)=0,"",COUNTIF(車両台帳!$BD$57:$BD$2056,DU$3&amp;"-"&amp;40&amp;"A")+COUNTIF(車両台帳!$BD$57:$BD$2056,DU$3&amp;"-"&amp;50&amp;"A"))</f>
        <v/>
      </c>
      <c r="DV29" s="728" t="str">
        <f>IF(COUNTA(車両台帳!$C$57:$C$2056)=0,"",COUNTIF(車両台帳!$BD$57:$BD$2056,DV$3&amp;"-"&amp;40&amp;"A")+COUNTIF(車両台帳!$BD$57:$BD$2056,DV$3&amp;"-"&amp;50&amp;"A"))</f>
        <v/>
      </c>
      <c r="DW29" s="728" t="str">
        <f>IF(COUNTA(車両台帳!$C$57:$C$2056)=0,"",COUNTIF(車両台帳!$BD$57:$BD$2056,DW$3&amp;"-"&amp;40&amp;"A")+COUNTIF(車両台帳!$BD$57:$BD$2056,DW$3&amp;"-"&amp;50&amp;"A"))</f>
        <v/>
      </c>
      <c r="DX29" s="728" t="str">
        <f>IF(COUNTA(車両台帳!$C$57:$C$2056)=0,"",COUNTIF(車両台帳!$BD$57:$BD$2056,DX$3&amp;"-"&amp;40&amp;"A")+COUNTIF(車両台帳!$BD$57:$BD$2056,DX$3&amp;"-"&amp;50&amp;"A"))</f>
        <v/>
      </c>
      <c r="DY29" s="728" t="str">
        <f>IF(COUNTA(車両台帳!$C$57:$C$2056)=0,"",COUNTIF(車両台帳!$BD$57:$BD$2056,DY$3&amp;"-"&amp;40&amp;"A")+COUNTIF(車両台帳!$BD$57:$BD$2056,DY$3&amp;"-"&amp;50&amp;"A"))</f>
        <v/>
      </c>
      <c r="DZ29" s="728" t="str">
        <f>IF(COUNTA(車両台帳!$C$57:$C$2056)=0,"",COUNTIF(車両台帳!$BD$57:$BD$2056,DZ$3&amp;"-"&amp;40&amp;"A")+COUNTIF(車両台帳!$BD$57:$BD$2056,DZ$3&amp;"-"&amp;50&amp;"A"))</f>
        <v/>
      </c>
      <c r="EA29" s="728" t="str">
        <f>IF(COUNTA(車両台帳!$C$57:$C$2056)=0,"",COUNTIF(車両台帳!$BD$57:$BD$2056,EA$3&amp;"-"&amp;40&amp;"A")+COUNTIF(車両台帳!$BD$57:$BD$2056,EA$3&amp;"-"&amp;50&amp;"A"))</f>
        <v/>
      </c>
      <c r="EB29" s="728" t="str">
        <f>IF(COUNTA(車両台帳!$C$57:$C$2056)=0,"",COUNTIF(車両台帳!$BD$57:$BD$2056,EB$3&amp;"-"&amp;40&amp;"A")+COUNTIF(車両台帳!$BD$57:$BD$2056,EB$3&amp;"-"&amp;50&amp;"A"))</f>
        <v/>
      </c>
      <c r="EC29" s="728" t="str">
        <f>IF(COUNTA(車両台帳!$C$57:$C$2056)=0,"",COUNTIF(車両台帳!$BD$57:$BD$2056,EC$3&amp;"-"&amp;40&amp;"A")+COUNTIF(車両台帳!$BD$57:$BD$2056,EC$3&amp;"-"&amp;50&amp;"A"))</f>
        <v/>
      </c>
      <c r="ED29" s="728" t="str">
        <f>IF(COUNTA(車両台帳!$C$57:$C$2056)=0,"",COUNTIF(車両台帳!$BD$57:$BD$2056,ED$3&amp;"-"&amp;40&amp;"A")+COUNTIF(車両台帳!$BD$57:$BD$2056,ED$3&amp;"-"&amp;50&amp;"A"))</f>
        <v/>
      </c>
      <c r="EE29" s="728" t="str">
        <f>IF(COUNTA(車両台帳!$C$57:$C$2056)=0,"",COUNTIF(車両台帳!$BD$57:$BD$2056,EE$3&amp;"-"&amp;40&amp;"A")+COUNTIF(車両台帳!$BD$57:$BD$2056,EE$3&amp;"-"&amp;50&amp;"A"))</f>
        <v/>
      </c>
      <c r="EF29" s="728" t="str">
        <f>IF(COUNTA(車両台帳!$C$57:$C$2056)=0,"",COUNTIF(車両台帳!$BD$57:$BD$2056,EF$3&amp;"-"&amp;40&amp;"A")+COUNTIF(車両台帳!$BD$57:$BD$2056,EF$3&amp;"-"&amp;50&amp;"A"))</f>
        <v/>
      </c>
      <c r="EG29" s="728" t="str">
        <f>IF(COUNTA(車両台帳!$C$57:$C$2056)=0,"",COUNTIF(車両台帳!$BD$57:$BD$2056,EG$3&amp;"-"&amp;40&amp;"A")+COUNTIF(車両台帳!$BD$57:$BD$2056,EG$3&amp;"-"&amp;50&amp;"A"))</f>
        <v/>
      </c>
      <c r="EH29" s="728" t="str">
        <f>IF(COUNTA(車両台帳!$C$57:$C$2056)=0,"",COUNTIF(車両台帳!$BD$57:$BD$2056,EH$3&amp;"-"&amp;40&amp;"A")+COUNTIF(車両台帳!$BD$57:$BD$2056,EH$3&amp;"-"&amp;50&amp;"A"))</f>
        <v/>
      </c>
      <c r="EI29" s="728" t="str">
        <f>IF(COUNTA(車両台帳!$C$57:$C$2056)=0,"",COUNTIF(車両台帳!$BD$57:$BD$2056,EI$3&amp;"-"&amp;40&amp;"A")+COUNTIF(車両台帳!$BD$57:$BD$2056,EI$3&amp;"-"&amp;50&amp;"A"))</f>
        <v/>
      </c>
      <c r="EJ29" s="728" t="str">
        <f>IF(COUNTA(車両台帳!$C$57:$C$2056)=0,"",COUNTIF(車両台帳!$BD$57:$BD$2056,EJ$3&amp;"-"&amp;40&amp;"A")+COUNTIF(車両台帳!$BD$57:$BD$2056,EJ$3&amp;"-"&amp;50&amp;"A"))</f>
        <v/>
      </c>
      <c r="EK29" s="728" t="str">
        <f>IF(COUNTA(車両台帳!$C$57:$C$2056)=0,"",COUNTIF(車両台帳!$BD$57:$BD$2056,EK$3&amp;"-"&amp;40&amp;"A")+COUNTIF(車両台帳!$BD$57:$BD$2056,EK$3&amp;"-"&amp;50&amp;"A"))</f>
        <v/>
      </c>
      <c r="EL29" s="728" t="str">
        <f>IF(COUNTA(車両台帳!$C$57:$C$2056)=0,"",COUNTIF(車両台帳!$BD$57:$BD$2056,EL$3&amp;"-"&amp;40&amp;"A")+COUNTIF(車両台帳!$BD$57:$BD$2056,EL$3&amp;"-"&amp;50&amp;"A"))</f>
        <v/>
      </c>
      <c r="EM29" s="728" t="str">
        <f>IF(COUNTA(車両台帳!$C$57:$C$2056)=0,"",COUNTIF(車両台帳!$BD$57:$BD$2056,EM$3&amp;"-"&amp;40&amp;"A")+COUNTIF(車両台帳!$BD$57:$BD$2056,EM$3&amp;"-"&amp;50&amp;"A"))</f>
        <v/>
      </c>
      <c r="EN29" s="728" t="str">
        <f>IF(COUNTA(車両台帳!$C$57:$C$2056)=0,"",COUNTIF(車両台帳!$BD$57:$BD$2056,EN$3&amp;"-"&amp;40&amp;"A")+COUNTIF(車両台帳!$BD$57:$BD$2056,EN$3&amp;"-"&amp;50&amp;"A"))</f>
        <v/>
      </c>
      <c r="EO29" s="728" t="str">
        <f>IF(COUNTA(車両台帳!$C$57:$C$2056)=0,"",COUNTIF(車両台帳!$BD$57:$BD$2056,EO$3&amp;"-"&amp;40&amp;"A")+COUNTIF(車両台帳!$BD$57:$BD$2056,EO$3&amp;"-"&amp;50&amp;"A"))</f>
        <v/>
      </c>
      <c r="EP29" s="728" t="str">
        <f>IF(COUNTA(車両台帳!$C$57:$C$2056)=0,"",COUNTIF(車両台帳!$BD$57:$BD$2056,EP$3&amp;"-"&amp;40&amp;"A")+COUNTIF(車両台帳!$BD$57:$BD$2056,EP$3&amp;"-"&amp;50&amp;"A"))</f>
        <v/>
      </c>
      <c r="EQ29" s="728" t="str">
        <f>IF(COUNTA(車両台帳!$C$57:$C$2056)=0,"",COUNTIF(車両台帳!$BD$57:$BD$2056,EQ$3&amp;"-"&amp;40&amp;"A")+COUNTIF(車両台帳!$BD$57:$BD$2056,EQ$3&amp;"-"&amp;50&amp;"A"))</f>
        <v/>
      </c>
      <c r="ER29" s="728" t="str">
        <f>IF(COUNTA(車両台帳!$C$57:$C$2056)=0,"",COUNTIF(車両台帳!$BD$57:$BD$2056,ER$3&amp;"-"&amp;40&amp;"A")+COUNTIF(車両台帳!$BD$57:$BD$2056,ER$3&amp;"-"&amp;50&amp;"A"))</f>
        <v/>
      </c>
      <c r="ES29" s="728" t="str">
        <f>IF(COUNTA(車両台帳!$C$57:$C$2056)=0,"",COUNTIF(車両台帳!$BD$57:$BD$2056,ES$3&amp;"-"&amp;40&amp;"A")+COUNTIF(車両台帳!$BD$57:$BD$2056,ES$3&amp;"-"&amp;50&amp;"A"))</f>
        <v/>
      </c>
      <c r="ET29" s="728" t="str">
        <f>IF(COUNTA(車両台帳!$C$57:$C$2056)=0,"",COUNTIF(車両台帳!$BD$57:$BD$2056,ET$3&amp;"-"&amp;40&amp;"A")+COUNTIF(車両台帳!$BD$57:$BD$2056,ET$3&amp;"-"&amp;50&amp;"A"))</f>
        <v/>
      </c>
      <c r="EU29" s="728" t="str">
        <f>IF(COUNTA(車両台帳!$C$57:$C$2056)=0,"",COUNTIF(車両台帳!$BD$57:$BD$2056,EU$3&amp;"-"&amp;40&amp;"A")+COUNTIF(車両台帳!$BD$57:$BD$2056,EU$3&amp;"-"&amp;50&amp;"A"))</f>
        <v/>
      </c>
      <c r="EV29" s="728" t="str">
        <f>IF(COUNTA(車両台帳!$C$57:$C$2056)=0,"",COUNTIF(車両台帳!$BD$57:$BD$2056,EV$3&amp;"-"&amp;40&amp;"A")+COUNTIF(車両台帳!$BD$57:$BD$2056,EV$3&amp;"-"&amp;50&amp;"A"))</f>
        <v/>
      </c>
      <c r="EW29" s="728" t="str">
        <f>IF(COUNTA(車両台帳!$C$57:$C$2056)=0,"",COUNTIF(車両台帳!$BD$57:$BD$2056,EW$3&amp;"-"&amp;40&amp;"A")+COUNTIF(車両台帳!$BD$57:$BD$2056,EW$3&amp;"-"&amp;50&amp;"A"))</f>
        <v/>
      </c>
      <c r="EX29" s="728" t="str">
        <f>IF(COUNTA(車両台帳!$C$57:$C$2056)=0,"",COUNTIF(車両台帳!$BD$57:$BD$2056,EX$3&amp;"-"&amp;40&amp;"A")+COUNTIF(車両台帳!$BD$57:$BD$2056,EX$3&amp;"-"&amp;50&amp;"A"))</f>
        <v/>
      </c>
      <c r="EY29" s="728" t="str">
        <f>IF(COUNTA(車両台帳!$C$57:$C$2056)=0,"",COUNTIF(車両台帳!$BD$57:$BD$2056,EY$3&amp;"-"&amp;40&amp;"A")+COUNTIF(車両台帳!$BD$57:$BD$2056,EY$3&amp;"-"&amp;50&amp;"A"))</f>
        <v/>
      </c>
      <c r="EZ29" s="728" t="str">
        <f>IF(COUNTA(車両台帳!$C$57:$C$2056)=0,"",COUNTIF(車両台帳!$BD$57:$BD$2056,EZ$3&amp;"-"&amp;40&amp;"A")+COUNTIF(車両台帳!$BD$57:$BD$2056,EZ$3&amp;"-"&amp;50&amp;"A"))</f>
        <v/>
      </c>
      <c r="FA29" s="728" t="str">
        <f>IF(COUNTA(車両台帳!$C$57:$C$2056)=0,"",COUNTIF(車両台帳!$BD$57:$BD$2056,FA$3&amp;"-"&amp;40&amp;"A")+COUNTIF(車両台帳!$BD$57:$BD$2056,FA$3&amp;"-"&amp;50&amp;"A"))</f>
        <v/>
      </c>
      <c r="FB29" s="728" t="str">
        <f>IF(COUNTA(車両台帳!$C$57:$C$2056)=0,"",COUNTIF(車両台帳!$BD$57:$BD$2056,FB$3&amp;"-"&amp;40&amp;"A")+COUNTIF(車両台帳!$BD$57:$BD$2056,FB$3&amp;"-"&amp;50&amp;"A"))</f>
        <v/>
      </c>
      <c r="FC29" s="728" t="str">
        <f>IF(COUNTA(車両台帳!$C$57:$C$2056)=0,"",COUNTIF(車両台帳!$BD$57:$BD$2056,FC$3&amp;"-"&amp;40&amp;"A")+COUNTIF(車両台帳!$BD$57:$BD$2056,FC$3&amp;"-"&amp;50&amp;"A"))</f>
        <v/>
      </c>
      <c r="FD29" s="728" t="str">
        <f>IF(COUNTA(車両台帳!$C$57:$C$2056)=0,"",COUNTIF(車両台帳!$BD$57:$BD$2056,FD$3&amp;"-"&amp;40&amp;"A")+COUNTIF(車両台帳!$BD$57:$BD$2056,FD$3&amp;"-"&amp;50&amp;"A"))</f>
        <v/>
      </c>
      <c r="FE29" s="728" t="str">
        <f>IF(COUNTA(車両台帳!$C$57:$C$2056)=0,"",COUNTIF(車両台帳!$BD$57:$BD$2056,FE$3&amp;"-"&amp;40&amp;"A")+COUNTIF(車両台帳!$BD$57:$BD$2056,FE$3&amp;"-"&amp;50&amp;"A"))</f>
        <v/>
      </c>
      <c r="FF29" s="728" t="str">
        <f>IF(COUNTA(車両台帳!$C$57:$C$2056)=0,"",COUNTIF(車両台帳!$BD$57:$BD$2056,FF$3&amp;"-"&amp;40&amp;"A")+COUNTIF(車両台帳!$BD$57:$BD$2056,FF$3&amp;"-"&amp;50&amp;"A"))</f>
        <v/>
      </c>
      <c r="FG29" s="728" t="str">
        <f>IF(COUNTA(車両台帳!$C$57:$C$2056)=0,"",COUNTIF(車両台帳!$BD$57:$BD$2056,FG$3&amp;"-"&amp;40&amp;"A")+COUNTIF(車両台帳!$BD$57:$BD$2056,FG$3&amp;"-"&amp;50&amp;"A"))</f>
        <v/>
      </c>
      <c r="FH29" s="728" t="str">
        <f>IF(COUNTA(車両台帳!$C$57:$C$2056)=0,"",COUNTIF(車両台帳!$BD$57:$BD$2056,FH$3&amp;"-"&amp;40&amp;"A")+COUNTIF(車両台帳!$BD$57:$BD$2056,FH$3&amp;"-"&amp;50&amp;"A"))</f>
        <v/>
      </c>
      <c r="FI29" s="728" t="str">
        <f>IF(COUNTA(車両台帳!$C$57:$C$2056)=0,"",COUNTIF(車両台帳!$BD$57:$BD$2056,FI$3&amp;"-"&amp;40&amp;"A")+COUNTIF(車両台帳!$BD$57:$BD$2056,FI$3&amp;"-"&amp;50&amp;"A"))</f>
        <v/>
      </c>
      <c r="FJ29" s="728" t="str">
        <f>IF(COUNTA(車両台帳!$C$57:$C$2056)=0,"",COUNTIF(車両台帳!$BD$57:$BD$2056,FJ$3&amp;"-"&amp;40&amp;"A")+COUNTIF(車両台帳!$BD$57:$BD$2056,FJ$3&amp;"-"&amp;50&amp;"A"))</f>
        <v/>
      </c>
      <c r="FK29" s="728" t="str">
        <f>IF(COUNTA(車両台帳!$C$57:$C$2056)=0,"",COUNTIF(車両台帳!$BD$57:$BD$2056,FK$3&amp;"-"&amp;40&amp;"A")+COUNTIF(車両台帳!$BD$57:$BD$2056,FK$3&amp;"-"&amp;50&amp;"A"))</f>
        <v/>
      </c>
      <c r="FL29" s="728" t="str">
        <f>IF(COUNTA(車両台帳!$C$57:$C$2056)=0,"",COUNTIF(車両台帳!$BD$57:$BD$2056,FL$3&amp;"-"&amp;40&amp;"A")+COUNTIF(車両台帳!$BD$57:$BD$2056,FL$3&amp;"-"&amp;50&amp;"A"))</f>
        <v/>
      </c>
      <c r="FM29" s="728" t="str">
        <f>IF(COUNTA(車両台帳!$C$57:$C$2056)=0,"",COUNTIF(車両台帳!$BD$57:$BD$2056,FM$3&amp;"-"&amp;40&amp;"A")+COUNTIF(車両台帳!$BD$57:$BD$2056,FM$3&amp;"-"&amp;50&amp;"A"))</f>
        <v/>
      </c>
      <c r="FN29" s="728" t="str">
        <f>IF(COUNTA(車両台帳!$C$57:$C$2056)=0,"",COUNTIF(車両台帳!$BD$57:$BD$2056,FN$3&amp;"-"&amp;40&amp;"A")+COUNTIF(車両台帳!$BD$57:$BD$2056,FN$3&amp;"-"&amp;50&amp;"A"))</f>
        <v/>
      </c>
      <c r="FO29" s="728" t="str">
        <f>IF(COUNTA(車両台帳!$C$57:$C$2056)=0,"",COUNTIF(車両台帳!$BD$57:$BD$2056,FO$3&amp;"-"&amp;40&amp;"A")+COUNTIF(車両台帳!$BD$57:$BD$2056,FO$3&amp;"-"&amp;50&amp;"A"))</f>
        <v/>
      </c>
      <c r="FP29" s="728" t="str">
        <f>IF(COUNTA(車両台帳!$C$57:$C$2056)=0,"",COUNTIF(車両台帳!$BD$57:$BD$2056,FP$3&amp;"-"&amp;40&amp;"A")+COUNTIF(車両台帳!$BD$57:$BD$2056,FP$3&amp;"-"&amp;50&amp;"A"))</f>
        <v/>
      </c>
      <c r="FQ29" s="728" t="str">
        <f>IF(COUNTA(車両台帳!$C$57:$C$2056)=0,"",COUNTIF(車両台帳!$BD$57:$BD$2056,FQ$3&amp;"-"&amp;40&amp;"A")+COUNTIF(車両台帳!$BD$57:$BD$2056,FQ$3&amp;"-"&amp;50&amp;"A"))</f>
        <v/>
      </c>
      <c r="FR29" s="728" t="str">
        <f>IF(COUNTA(車両台帳!$C$57:$C$2056)=0,"",COUNTIF(車両台帳!$BD$57:$BD$2056,FR$3&amp;"-"&amp;40&amp;"A")+COUNTIF(車両台帳!$BD$57:$BD$2056,FR$3&amp;"-"&amp;50&amp;"A"))</f>
        <v/>
      </c>
      <c r="FS29" s="728" t="str">
        <f>IF(COUNTA(車両台帳!$C$57:$C$2056)=0,"",COUNTIF(車両台帳!$BD$57:$BD$2056,FS$3&amp;"-"&amp;40&amp;"A")+COUNTIF(車両台帳!$BD$57:$BD$2056,FS$3&amp;"-"&amp;50&amp;"A"))</f>
        <v/>
      </c>
      <c r="FT29" s="728" t="str">
        <f>IF(COUNTA(車両台帳!$C$57:$C$2056)=0,"",COUNTIF(車両台帳!$BD$57:$BD$2056,FT$3&amp;"-"&amp;40&amp;"A")+COUNTIF(車両台帳!$BD$57:$BD$2056,FT$3&amp;"-"&amp;50&amp;"A"))</f>
        <v/>
      </c>
      <c r="FU29" s="728" t="str">
        <f>IF(COUNTA(車両台帳!$C$57:$C$2056)=0,"",COUNTIF(車両台帳!$BD$57:$BD$2056,FU$3&amp;"-"&amp;40&amp;"A")+COUNTIF(車両台帳!$BD$57:$BD$2056,FU$3&amp;"-"&amp;50&amp;"A"))</f>
        <v/>
      </c>
      <c r="FV29" s="728" t="str">
        <f>IF(COUNTA(車両台帳!$C$57:$C$2056)=0,"",COUNTIF(車両台帳!$BD$57:$BD$2056,FV$3&amp;"-"&amp;40&amp;"A")+COUNTIF(車両台帳!$BD$57:$BD$2056,FV$3&amp;"-"&amp;50&amp;"A"))</f>
        <v/>
      </c>
      <c r="FW29" s="728" t="str">
        <f>IF(COUNTA(車両台帳!$C$57:$C$2056)=0,"",COUNTIF(車両台帳!$BD$57:$BD$2056,FW$3&amp;"-"&amp;40&amp;"A")+COUNTIF(車両台帳!$BD$57:$BD$2056,FW$3&amp;"-"&amp;50&amp;"A"))</f>
        <v/>
      </c>
      <c r="FX29" s="728" t="str">
        <f>IF(COUNTA(車両台帳!$C$57:$C$2056)=0,"",COUNTIF(車両台帳!$BD$57:$BD$2056,FX$3&amp;"-"&amp;40&amp;"A")+COUNTIF(車両台帳!$BD$57:$BD$2056,FX$3&amp;"-"&amp;50&amp;"A"))</f>
        <v/>
      </c>
      <c r="FY29" s="728" t="str">
        <f>IF(COUNTA(車両台帳!$C$57:$C$2056)=0,"",COUNTIF(車両台帳!$BD$57:$BD$2056,FY$3&amp;"-"&amp;40&amp;"A")+COUNTIF(車両台帳!$BD$57:$BD$2056,FY$3&amp;"-"&amp;50&amp;"A"))</f>
        <v/>
      </c>
      <c r="FZ29" s="728" t="str">
        <f>IF(COUNTA(車両台帳!$C$57:$C$2056)=0,"",COUNTIF(車両台帳!$BD$57:$BD$2056,FZ$3&amp;"-"&amp;40&amp;"A")+COUNTIF(車両台帳!$BD$57:$BD$2056,FZ$3&amp;"-"&amp;50&amp;"A"))</f>
        <v/>
      </c>
      <c r="GA29" s="728" t="str">
        <f>IF(COUNTA(車両台帳!$C$57:$C$2056)=0,"",COUNTIF(車両台帳!$BD$57:$BD$2056,GA$3&amp;"-"&amp;40&amp;"A")+COUNTIF(車両台帳!$BD$57:$BD$2056,GA$3&amp;"-"&amp;50&amp;"A"))</f>
        <v/>
      </c>
      <c r="GB29" s="728" t="str">
        <f>IF(COUNTA(車両台帳!$C$57:$C$2056)=0,"",COUNTIF(車両台帳!$BD$57:$BD$2056,GB$3&amp;"-"&amp;40&amp;"A")+COUNTIF(車両台帳!$BD$57:$BD$2056,GB$3&amp;"-"&amp;50&amp;"A"))</f>
        <v/>
      </c>
      <c r="GC29" s="728" t="str">
        <f>IF(COUNTA(車両台帳!$C$57:$C$2056)=0,"",COUNTIF(車両台帳!$BD$57:$BD$2056,GC$3&amp;"-"&amp;40&amp;"A")+COUNTIF(車両台帳!$BD$57:$BD$2056,GC$3&amp;"-"&amp;50&amp;"A"))</f>
        <v/>
      </c>
      <c r="GD29" s="728" t="str">
        <f>IF(COUNTA(車両台帳!$C$57:$C$2056)=0,"",COUNTIF(車両台帳!$BD$57:$BD$2056,GD$3&amp;"-"&amp;40&amp;"A")+COUNTIF(車両台帳!$BD$57:$BD$2056,GD$3&amp;"-"&amp;50&amp;"A"))</f>
        <v/>
      </c>
      <c r="GE29" s="728" t="str">
        <f>IF(COUNTA(車両台帳!$C$57:$C$2056)=0,"",COUNTIF(車両台帳!$BD$57:$BD$2056,GE$3&amp;"-"&amp;40&amp;"A")+COUNTIF(車両台帳!$BD$57:$BD$2056,GE$3&amp;"-"&amp;50&amp;"A"))</f>
        <v/>
      </c>
      <c r="GF29" s="728" t="str">
        <f>IF(COUNTA(車両台帳!$C$57:$C$2056)=0,"",COUNTIF(車両台帳!$BD$57:$BD$2056,GF$3&amp;"-"&amp;40&amp;"A")+COUNTIF(車両台帳!$BD$57:$BD$2056,GF$3&amp;"-"&amp;50&amp;"A"))</f>
        <v/>
      </c>
      <c r="GG29" s="728" t="str">
        <f>IF(COUNTA(車両台帳!$C$57:$C$2056)=0,"",COUNTIF(車両台帳!$BD$57:$BD$2056,GG$3&amp;"-"&amp;40&amp;"A")+COUNTIF(車両台帳!$BD$57:$BD$2056,GG$3&amp;"-"&amp;50&amp;"A"))</f>
        <v/>
      </c>
      <c r="GH29" s="728" t="str">
        <f>IF(COUNTA(車両台帳!$C$57:$C$2056)=0,"",COUNTIF(車両台帳!$BD$57:$BD$2056,GH$3&amp;"-"&amp;40&amp;"A")+COUNTIF(車両台帳!$BD$57:$BD$2056,GH$3&amp;"-"&amp;50&amp;"A"))</f>
        <v/>
      </c>
      <c r="GI29" s="728" t="str">
        <f>IF(COUNTA(車両台帳!$C$57:$C$2056)=0,"",COUNTIF(車両台帳!$BD$57:$BD$2056,GI$3&amp;"-"&amp;40&amp;"A")+COUNTIF(車両台帳!$BD$57:$BD$2056,GI$3&amp;"-"&amp;50&amp;"A"))</f>
        <v/>
      </c>
      <c r="GJ29" s="728" t="str">
        <f>IF(COUNTA(車両台帳!$C$57:$C$2056)=0,"",COUNTIF(車両台帳!$BD$57:$BD$2056,GJ$3&amp;"-"&amp;40&amp;"A")+COUNTIF(車両台帳!$BD$57:$BD$2056,GJ$3&amp;"-"&amp;50&amp;"A"))</f>
        <v/>
      </c>
      <c r="GK29" s="728" t="str">
        <f>IF(COUNTA(車両台帳!$C$57:$C$2056)=0,"",COUNTIF(車両台帳!$BD$57:$BD$2056,GK$3&amp;"-"&amp;40&amp;"A")+COUNTIF(車両台帳!$BD$57:$BD$2056,GK$3&amp;"-"&amp;50&amp;"A"))</f>
        <v/>
      </c>
      <c r="GL29" s="728" t="str">
        <f>IF(COUNTA(車両台帳!$C$57:$C$2056)=0,"",COUNTIF(車両台帳!$BD$57:$BD$2056,GL$3&amp;"-"&amp;40&amp;"A")+COUNTIF(車両台帳!$BD$57:$BD$2056,GL$3&amp;"-"&amp;50&amp;"A"))</f>
        <v/>
      </c>
      <c r="GM29" s="728" t="str">
        <f>IF(COUNTA(車両台帳!$C$57:$C$2056)=0,"",COUNTIF(車両台帳!$BD$57:$BD$2056,GM$3&amp;"-"&amp;40&amp;"A")+COUNTIF(車両台帳!$BD$57:$BD$2056,GM$3&amp;"-"&amp;50&amp;"A"))</f>
        <v/>
      </c>
      <c r="GN29" s="728" t="str">
        <f>IF(COUNTA(車両台帳!$C$57:$C$2056)=0,"",COUNTIF(車両台帳!$BD$57:$BD$2056,GN$3&amp;"-"&amp;40&amp;"A")+COUNTIF(車両台帳!$BD$57:$BD$2056,GN$3&amp;"-"&amp;50&amp;"A"))</f>
        <v/>
      </c>
      <c r="GO29" s="728" t="str">
        <f>IF(COUNTA(車両台帳!$C$57:$C$2056)=0,"",COUNTIF(車両台帳!$BD$57:$BD$2056,GO$3&amp;"-"&amp;40&amp;"A")+COUNTIF(車両台帳!$BD$57:$BD$2056,GO$3&amp;"-"&amp;50&amp;"A"))</f>
        <v/>
      </c>
      <c r="GP29" s="728" t="str">
        <f>IF(COUNTA(車両台帳!$C$57:$C$2056)=0,"",COUNTIF(車両台帳!$BD$57:$BD$2056,GP$3&amp;"-"&amp;40&amp;"A")+COUNTIF(車両台帳!$BD$57:$BD$2056,GP$3&amp;"-"&amp;50&amp;"A"))</f>
        <v/>
      </c>
      <c r="GQ29" s="728" t="str">
        <f>IF(COUNTA(車両台帳!$C$57:$C$2056)=0,"",COUNTIF(車両台帳!$BD$57:$BD$2056,GQ$3&amp;"-"&amp;40&amp;"A")+COUNTIF(車両台帳!$BD$57:$BD$2056,GQ$3&amp;"-"&amp;50&amp;"A"))</f>
        <v/>
      </c>
      <c r="GR29" s="728" t="str">
        <f>IF(COUNTA(車両台帳!$C$57:$C$2056)=0,"",COUNTIF(車両台帳!$BD$57:$BD$2056,GR$3&amp;"-"&amp;40&amp;"A")+COUNTIF(車両台帳!$BD$57:$BD$2056,GR$3&amp;"-"&amp;50&amp;"A"))</f>
        <v/>
      </c>
      <c r="GS29" s="728" t="str">
        <f>IF(COUNTA(車両台帳!$C$57:$C$2056)=0,"",COUNTIF(車両台帳!$BD$57:$BD$2056,GS$3&amp;"-"&amp;40&amp;"A")+COUNTIF(車両台帳!$BD$57:$BD$2056,GS$3&amp;"-"&amp;50&amp;"A"))</f>
        <v/>
      </c>
      <c r="GT29" s="728" t="str">
        <f>IF(COUNTA(車両台帳!$C$57:$C$2056)=0,"",COUNTIF(車両台帳!$BD$57:$BD$2056,GT$3&amp;"-"&amp;40&amp;"A")+COUNTIF(車両台帳!$BD$57:$BD$2056,GT$3&amp;"-"&amp;50&amp;"A"))</f>
        <v/>
      </c>
      <c r="GU29" s="729" t="str">
        <f>IF(COUNTA(車両台帳!$C$57:$C$2056)=0,"",COUNTIF(車両台帳!$BD$57:$BD$2056,GU$3&amp;"-"&amp;40&amp;"A")+COUNTIF(車両台帳!$BD$57:$BD$2056,GU$3&amp;"-"&amp;50&amp;"A"))</f>
        <v/>
      </c>
    </row>
    <row r="30" spans="1:203" s="7" customFormat="1" ht="29.25" customHeight="1" thickBot="1">
      <c r="A30" s="1188" t="s">
        <v>56</v>
      </c>
      <c r="B30" s="1189"/>
      <c r="C30" s="727" t="str">
        <f>IF(COUNTA(車両台帳!$C$57:$C$2056)=0,"",SUM(D30:GU30))</f>
        <v/>
      </c>
      <c r="D30" s="730" t="str">
        <f>IF(COUNTA(車両台帳!$C$57:$C$2056)=0,"",COUNTIF(車両台帳!$BD$57:$BD$2056,D$3&amp;"-"&amp;1&amp;"A"))</f>
        <v/>
      </c>
      <c r="E30" s="730" t="str">
        <f>IF(COUNTA(車両台帳!$C$57:$C$2056)=0,"",COUNTIF(車両台帳!$BD$57:$BD$2056,E$3&amp;"-"&amp;1&amp;"A"))</f>
        <v/>
      </c>
      <c r="F30" s="730" t="str">
        <f>IF(COUNTA(車両台帳!$C$57:$C$2056)=0,"",COUNTIF(車両台帳!$BD$57:$BD$2056,F$3&amp;"-"&amp;1&amp;"A"))</f>
        <v/>
      </c>
      <c r="G30" s="730" t="str">
        <f>IF(COUNTA(車両台帳!$C$57:$C$2056)=0,"",COUNTIF(車両台帳!$BD$57:$BD$2056,G$3&amp;"-"&amp;1&amp;"A"))</f>
        <v/>
      </c>
      <c r="H30" s="730" t="str">
        <f>IF(COUNTA(車両台帳!$C$57:$C$2056)=0,"",COUNTIF(車両台帳!$BD$57:$BD$2056,H$3&amp;"-"&amp;1&amp;"A"))</f>
        <v/>
      </c>
      <c r="I30" s="730" t="str">
        <f>IF(COUNTA(車両台帳!$C$57:$C$2056)=0,"",COUNTIF(車両台帳!$BD$57:$BD$2056,I$3&amp;"-"&amp;1&amp;"A"))</f>
        <v/>
      </c>
      <c r="J30" s="730" t="str">
        <f>IF(COUNTA(車両台帳!$C$57:$C$2056)=0,"",COUNTIF(車両台帳!$BD$57:$BD$2056,J$3&amp;"-"&amp;1&amp;"A"))</f>
        <v/>
      </c>
      <c r="K30" s="730" t="str">
        <f>IF(COUNTA(車両台帳!$C$57:$C$2056)=0,"",COUNTIF(車両台帳!$BD$57:$BD$2056,K$3&amp;"-"&amp;1&amp;"A"))</f>
        <v/>
      </c>
      <c r="L30" s="730" t="str">
        <f>IF(COUNTA(車両台帳!$C$57:$C$2056)=0,"",COUNTIF(車両台帳!$BD$57:$BD$2056,L$3&amp;"-"&amp;1&amp;"A"))</f>
        <v/>
      </c>
      <c r="M30" s="730" t="str">
        <f>IF(COUNTA(車両台帳!$C$57:$C$2056)=0,"",COUNTIF(車両台帳!$BD$57:$BD$2056,M$3&amp;"-"&amp;1&amp;"A"))</f>
        <v/>
      </c>
      <c r="N30" s="730" t="str">
        <f>IF(COUNTA(車両台帳!$C$57:$C$2056)=0,"",COUNTIF(車両台帳!$BD$57:$BD$2056,N$3&amp;"-"&amp;1&amp;"A"))</f>
        <v/>
      </c>
      <c r="O30" s="730" t="str">
        <f>IF(COUNTA(車両台帳!$C$57:$C$2056)=0,"",COUNTIF(車両台帳!$BD$57:$BD$2056,O$3&amp;"-"&amp;1&amp;"A"))</f>
        <v/>
      </c>
      <c r="P30" s="730" t="str">
        <f>IF(COUNTA(車両台帳!$C$57:$C$2056)=0,"",COUNTIF(車両台帳!$BD$57:$BD$2056,P$3&amp;"-"&amp;1&amp;"A"))</f>
        <v/>
      </c>
      <c r="Q30" s="730" t="str">
        <f>IF(COUNTA(車両台帳!$C$57:$C$2056)=0,"",COUNTIF(車両台帳!$BD$57:$BD$2056,Q$3&amp;"-"&amp;1&amp;"A"))</f>
        <v/>
      </c>
      <c r="R30" s="730" t="str">
        <f>IF(COUNTA(車両台帳!$C$57:$C$2056)=0,"",COUNTIF(車両台帳!$BD$57:$BD$2056,R$3&amp;"-"&amp;1&amp;"A"))</f>
        <v/>
      </c>
      <c r="S30" s="730" t="str">
        <f>IF(COUNTA(車両台帳!$C$57:$C$2056)=0,"",COUNTIF(車両台帳!$BD$57:$BD$2056,S$3&amp;"-"&amp;1&amp;"A"))</f>
        <v/>
      </c>
      <c r="T30" s="730" t="str">
        <f>IF(COUNTA(車両台帳!$C$57:$C$2056)=0,"",COUNTIF(車両台帳!$BD$57:$BD$2056,T$3&amp;"-"&amp;1&amp;"A"))</f>
        <v/>
      </c>
      <c r="U30" s="730" t="str">
        <f>IF(COUNTA(車両台帳!$C$57:$C$2056)=0,"",COUNTIF(車両台帳!$BD$57:$BD$2056,U$3&amp;"-"&amp;1&amp;"A"))</f>
        <v/>
      </c>
      <c r="V30" s="730" t="str">
        <f>IF(COUNTA(車両台帳!$C$57:$C$2056)=0,"",COUNTIF(車両台帳!$BD$57:$BD$2056,V$3&amp;"-"&amp;1&amp;"A"))</f>
        <v/>
      </c>
      <c r="W30" s="730" t="str">
        <f>IF(COUNTA(車両台帳!$C$57:$C$2056)=0,"",COUNTIF(車両台帳!$BD$57:$BD$2056,W$3&amp;"-"&amp;1&amp;"A"))</f>
        <v/>
      </c>
      <c r="X30" s="730" t="str">
        <f>IF(COUNTA(車両台帳!$C$57:$C$2056)=0,"",COUNTIF(車両台帳!$BD$57:$BD$2056,X$3&amp;"-"&amp;1&amp;"A"))</f>
        <v/>
      </c>
      <c r="Y30" s="730" t="str">
        <f>IF(COUNTA(車両台帳!$C$57:$C$2056)=0,"",COUNTIF(車両台帳!$BD$57:$BD$2056,Y$3&amp;"-"&amp;1&amp;"A"))</f>
        <v/>
      </c>
      <c r="Z30" s="730" t="str">
        <f>IF(COUNTA(車両台帳!$C$57:$C$2056)=0,"",COUNTIF(車両台帳!$BD$57:$BD$2056,Z$3&amp;"-"&amp;1&amp;"A"))</f>
        <v/>
      </c>
      <c r="AA30" s="730" t="str">
        <f>IF(COUNTA(車両台帳!$C$57:$C$2056)=0,"",COUNTIF(車両台帳!$BD$57:$BD$2056,AA$3&amp;"-"&amp;1&amp;"A"))</f>
        <v/>
      </c>
      <c r="AB30" s="730" t="str">
        <f>IF(COUNTA(車両台帳!$C$57:$C$2056)=0,"",COUNTIF(車両台帳!$BD$57:$BD$2056,AB$3&amp;"-"&amp;1&amp;"A"))</f>
        <v/>
      </c>
      <c r="AC30" s="730" t="str">
        <f>IF(COUNTA(車両台帳!$C$57:$C$2056)=0,"",COUNTIF(車両台帳!$BD$57:$BD$2056,AC$3&amp;"-"&amp;1&amp;"A"))</f>
        <v/>
      </c>
      <c r="AD30" s="730" t="str">
        <f>IF(COUNTA(車両台帳!$C$57:$C$2056)=0,"",COUNTIF(車両台帳!$BD$57:$BD$2056,AD$3&amp;"-"&amp;1&amp;"A"))</f>
        <v/>
      </c>
      <c r="AE30" s="730" t="str">
        <f>IF(COUNTA(車両台帳!$C$57:$C$2056)=0,"",COUNTIF(車両台帳!$BD$57:$BD$2056,AE$3&amp;"-"&amp;1&amp;"A"))</f>
        <v/>
      </c>
      <c r="AF30" s="730" t="str">
        <f>IF(COUNTA(車両台帳!$C$57:$C$2056)=0,"",COUNTIF(車両台帳!$BD$57:$BD$2056,AF$3&amp;"-"&amp;1&amp;"A"))</f>
        <v/>
      </c>
      <c r="AG30" s="730" t="str">
        <f>IF(COUNTA(車両台帳!$C$57:$C$2056)=0,"",COUNTIF(車両台帳!$BD$57:$BD$2056,AG$3&amp;"-"&amp;1&amp;"A"))</f>
        <v/>
      </c>
      <c r="AH30" s="730" t="str">
        <f>IF(COUNTA(車両台帳!$C$57:$C$2056)=0,"",COUNTIF(車両台帳!$BD$57:$BD$2056,AH$3&amp;"-"&amp;1&amp;"A"))</f>
        <v/>
      </c>
      <c r="AI30" s="730" t="str">
        <f>IF(COUNTA(車両台帳!$C$57:$C$2056)=0,"",COUNTIF(車両台帳!$BD$57:$BD$2056,AI$3&amp;"-"&amp;1&amp;"A"))</f>
        <v/>
      </c>
      <c r="AJ30" s="730" t="str">
        <f>IF(COUNTA(車両台帳!$C$57:$C$2056)=0,"",COUNTIF(車両台帳!$BD$57:$BD$2056,AJ$3&amp;"-"&amp;1&amp;"A"))</f>
        <v/>
      </c>
      <c r="AK30" s="730" t="str">
        <f>IF(COUNTA(車両台帳!$C$57:$C$2056)=0,"",COUNTIF(車両台帳!$BD$57:$BD$2056,AK$3&amp;"-"&amp;1&amp;"A"))</f>
        <v/>
      </c>
      <c r="AL30" s="730" t="str">
        <f>IF(COUNTA(車両台帳!$C$57:$C$2056)=0,"",COUNTIF(車両台帳!$BD$57:$BD$2056,AL$3&amp;"-"&amp;1&amp;"A"))</f>
        <v/>
      </c>
      <c r="AM30" s="730" t="str">
        <f>IF(COUNTA(車両台帳!$C$57:$C$2056)=0,"",COUNTIF(車両台帳!$BD$57:$BD$2056,AM$3&amp;"-"&amp;1&amp;"A"))</f>
        <v/>
      </c>
      <c r="AN30" s="730" t="str">
        <f>IF(COUNTA(車両台帳!$C$57:$C$2056)=0,"",COUNTIF(車両台帳!$BD$57:$BD$2056,AN$3&amp;"-"&amp;1&amp;"A"))</f>
        <v/>
      </c>
      <c r="AO30" s="730" t="str">
        <f>IF(COUNTA(車両台帳!$C$57:$C$2056)=0,"",COUNTIF(車両台帳!$BD$57:$BD$2056,AO$3&amp;"-"&amp;1&amp;"A"))</f>
        <v/>
      </c>
      <c r="AP30" s="730" t="str">
        <f>IF(COUNTA(車両台帳!$C$57:$C$2056)=0,"",COUNTIF(車両台帳!$BD$57:$BD$2056,AP$3&amp;"-"&amp;1&amp;"A"))</f>
        <v/>
      </c>
      <c r="AQ30" s="730" t="str">
        <f>IF(COUNTA(車両台帳!$C$57:$C$2056)=0,"",COUNTIF(車両台帳!$BD$57:$BD$2056,AQ$3&amp;"-"&amp;1&amp;"A"))</f>
        <v/>
      </c>
      <c r="AR30" s="730" t="str">
        <f>IF(COUNTA(車両台帳!$C$57:$C$2056)=0,"",COUNTIF(車両台帳!$BD$57:$BD$2056,AR$3&amp;"-"&amp;1&amp;"A"))</f>
        <v/>
      </c>
      <c r="AS30" s="730" t="str">
        <f>IF(COUNTA(車両台帳!$C$57:$C$2056)=0,"",COUNTIF(車両台帳!$BD$57:$BD$2056,AS$3&amp;"-"&amp;1&amp;"A"))</f>
        <v/>
      </c>
      <c r="AT30" s="730" t="str">
        <f>IF(COUNTA(車両台帳!$C$57:$C$2056)=0,"",COUNTIF(車両台帳!$BD$57:$BD$2056,AT$3&amp;"-"&amp;1&amp;"A"))</f>
        <v/>
      </c>
      <c r="AU30" s="730" t="str">
        <f>IF(COUNTA(車両台帳!$C$57:$C$2056)=0,"",COUNTIF(車両台帳!$BD$57:$BD$2056,AU$3&amp;"-"&amp;1&amp;"A"))</f>
        <v/>
      </c>
      <c r="AV30" s="730" t="str">
        <f>IF(COUNTA(車両台帳!$C$57:$C$2056)=0,"",COUNTIF(車両台帳!$BD$57:$BD$2056,AV$3&amp;"-"&amp;1&amp;"A"))</f>
        <v/>
      </c>
      <c r="AW30" s="730" t="str">
        <f>IF(COUNTA(車両台帳!$C$57:$C$2056)=0,"",COUNTIF(車両台帳!$BD$57:$BD$2056,AW$3&amp;"-"&amp;1&amp;"A"))</f>
        <v/>
      </c>
      <c r="AX30" s="730" t="str">
        <f>IF(COUNTA(車両台帳!$C$57:$C$2056)=0,"",COUNTIF(車両台帳!$BD$57:$BD$2056,AX$3&amp;"-"&amp;1&amp;"A"))</f>
        <v/>
      </c>
      <c r="AY30" s="730" t="str">
        <f>IF(COUNTA(車両台帳!$C$57:$C$2056)=0,"",COUNTIF(車両台帳!$BD$57:$BD$2056,AY$3&amp;"-"&amp;1&amp;"A"))</f>
        <v/>
      </c>
      <c r="AZ30" s="730" t="str">
        <f>IF(COUNTA(車両台帳!$C$57:$C$2056)=0,"",COUNTIF(車両台帳!$BD$57:$BD$2056,AZ$3&amp;"-"&amp;1&amp;"A"))</f>
        <v/>
      </c>
      <c r="BA30" s="730" t="str">
        <f>IF(COUNTA(車両台帳!$C$57:$C$2056)=0,"",COUNTIF(車両台帳!$BD$57:$BD$2056,BA$3&amp;"-"&amp;1&amp;"A"))</f>
        <v/>
      </c>
      <c r="BB30" s="730" t="str">
        <f>IF(COUNTA(車両台帳!$C$57:$C$2056)=0,"",COUNTIF(車両台帳!$BD$57:$BD$2056,BB$3&amp;"-"&amp;1&amp;"A"))</f>
        <v/>
      </c>
      <c r="BC30" s="730" t="str">
        <f>IF(COUNTA(車両台帳!$C$57:$C$2056)=0,"",COUNTIF(車両台帳!$BD$57:$BD$2056,BC$3&amp;"-"&amp;1&amp;"A"))</f>
        <v/>
      </c>
      <c r="BD30" s="730" t="str">
        <f>IF(COUNTA(車両台帳!$C$57:$C$2056)=0,"",COUNTIF(車両台帳!$BD$57:$BD$2056,BD$3&amp;"-"&amp;1&amp;"A"))</f>
        <v/>
      </c>
      <c r="BE30" s="730" t="str">
        <f>IF(COUNTA(車両台帳!$C$57:$C$2056)=0,"",COUNTIF(車両台帳!$BD$57:$BD$2056,BE$3&amp;"-"&amp;1&amp;"A"))</f>
        <v/>
      </c>
      <c r="BF30" s="730" t="str">
        <f>IF(COUNTA(車両台帳!$C$57:$C$2056)=0,"",COUNTIF(車両台帳!$BD$57:$BD$2056,BF$3&amp;"-"&amp;1&amp;"A"))</f>
        <v/>
      </c>
      <c r="BG30" s="730" t="str">
        <f>IF(COUNTA(車両台帳!$C$57:$C$2056)=0,"",COUNTIF(車両台帳!$BD$57:$BD$2056,BG$3&amp;"-"&amp;1&amp;"A"))</f>
        <v/>
      </c>
      <c r="BH30" s="730" t="str">
        <f>IF(COUNTA(車両台帳!$C$57:$C$2056)=0,"",COUNTIF(車両台帳!$BD$57:$BD$2056,BH$3&amp;"-"&amp;1&amp;"A"))</f>
        <v/>
      </c>
      <c r="BI30" s="730" t="str">
        <f>IF(COUNTA(車両台帳!$C$57:$C$2056)=0,"",COUNTIF(車両台帳!$BD$57:$BD$2056,BI$3&amp;"-"&amp;1&amp;"A"))</f>
        <v/>
      </c>
      <c r="BJ30" s="730" t="str">
        <f>IF(COUNTA(車両台帳!$C$57:$C$2056)=0,"",COUNTIF(車両台帳!$BD$57:$BD$2056,BJ$3&amp;"-"&amp;1&amp;"A"))</f>
        <v/>
      </c>
      <c r="BK30" s="730" t="str">
        <f>IF(COUNTA(車両台帳!$C$57:$C$2056)=0,"",COUNTIF(車両台帳!$BD$57:$BD$2056,BK$3&amp;"-"&amp;1&amp;"A"))</f>
        <v/>
      </c>
      <c r="BL30" s="730" t="str">
        <f>IF(COUNTA(車両台帳!$C$57:$C$2056)=0,"",COUNTIF(車両台帳!$BD$57:$BD$2056,BL$3&amp;"-"&amp;1&amp;"A"))</f>
        <v/>
      </c>
      <c r="BM30" s="730" t="str">
        <f>IF(COUNTA(車両台帳!$C$57:$C$2056)=0,"",COUNTIF(車両台帳!$BD$57:$BD$2056,BM$3&amp;"-"&amp;1&amp;"A"))</f>
        <v/>
      </c>
      <c r="BN30" s="730" t="str">
        <f>IF(COUNTA(車両台帳!$C$57:$C$2056)=0,"",COUNTIF(車両台帳!$BD$57:$BD$2056,BN$3&amp;"-"&amp;1&amp;"A"))</f>
        <v/>
      </c>
      <c r="BO30" s="730" t="str">
        <f>IF(COUNTA(車両台帳!$C$57:$C$2056)=0,"",COUNTIF(車両台帳!$BD$57:$BD$2056,BO$3&amp;"-"&amp;1&amp;"A"))</f>
        <v/>
      </c>
      <c r="BP30" s="730" t="str">
        <f>IF(COUNTA(車両台帳!$C$57:$C$2056)=0,"",COUNTIF(車両台帳!$BD$57:$BD$2056,BP$3&amp;"-"&amp;1&amp;"A"))</f>
        <v/>
      </c>
      <c r="BQ30" s="730" t="str">
        <f>IF(COUNTA(車両台帳!$C$57:$C$2056)=0,"",COUNTIF(車両台帳!$BD$57:$BD$2056,BQ$3&amp;"-"&amp;1&amp;"A"))</f>
        <v/>
      </c>
      <c r="BR30" s="730" t="str">
        <f>IF(COUNTA(車両台帳!$C$57:$C$2056)=0,"",COUNTIF(車両台帳!$BD$57:$BD$2056,BR$3&amp;"-"&amp;1&amp;"A"))</f>
        <v/>
      </c>
      <c r="BS30" s="730" t="str">
        <f>IF(COUNTA(車両台帳!$C$57:$C$2056)=0,"",COUNTIF(車両台帳!$BD$57:$BD$2056,BS$3&amp;"-"&amp;1&amp;"A"))</f>
        <v/>
      </c>
      <c r="BT30" s="730" t="str">
        <f>IF(COUNTA(車両台帳!$C$57:$C$2056)=0,"",COUNTIF(車両台帳!$BD$57:$BD$2056,BT$3&amp;"-"&amp;1&amp;"A"))</f>
        <v/>
      </c>
      <c r="BU30" s="730" t="str">
        <f>IF(COUNTA(車両台帳!$C$57:$C$2056)=0,"",COUNTIF(車両台帳!$BD$57:$BD$2056,BU$3&amp;"-"&amp;1&amp;"A"))</f>
        <v/>
      </c>
      <c r="BV30" s="730" t="str">
        <f>IF(COUNTA(車両台帳!$C$57:$C$2056)=0,"",COUNTIF(車両台帳!$BD$57:$BD$2056,BV$3&amp;"-"&amp;1&amp;"A"))</f>
        <v/>
      </c>
      <c r="BW30" s="730" t="str">
        <f>IF(COUNTA(車両台帳!$C$57:$C$2056)=0,"",COUNTIF(車両台帳!$BD$57:$BD$2056,BW$3&amp;"-"&amp;1&amp;"A"))</f>
        <v/>
      </c>
      <c r="BX30" s="730" t="str">
        <f>IF(COUNTA(車両台帳!$C$57:$C$2056)=0,"",COUNTIF(車両台帳!$BD$57:$BD$2056,BX$3&amp;"-"&amp;1&amp;"A"))</f>
        <v/>
      </c>
      <c r="BY30" s="730" t="str">
        <f>IF(COUNTA(車両台帳!$C$57:$C$2056)=0,"",COUNTIF(車両台帳!$BD$57:$BD$2056,BY$3&amp;"-"&amp;1&amp;"A"))</f>
        <v/>
      </c>
      <c r="BZ30" s="730" t="str">
        <f>IF(COUNTA(車両台帳!$C$57:$C$2056)=0,"",COUNTIF(車両台帳!$BD$57:$BD$2056,BZ$3&amp;"-"&amp;1&amp;"A"))</f>
        <v/>
      </c>
      <c r="CA30" s="730" t="str">
        <f>IF(COUNTA(車両台帳!$C$57:$C$2056)=0,"",COUNTIF(車両台帳!$BD$57:$BD$2056,CA$3&amp;"-"&amp;1&amp;"A"))</f>
        <v/>
      </c>
      <c r="CB30" s="730" t="str">
        <f>IF(COUNTA(車両台帳!$C$57:$C$2056)=0,"",COUNTIF(車両台帳!$BD$57:$BD$2056,CB$3&amp;"-"&amp;1&amp;"A"))</f>
        <v/>
      </c>
      <c r="CC30" s="730" t="str">
        <f>IF(COUNTA(車両台帳!$C$57:$C$2056)=0,"",COUNTIF(車両台帳!$BD$57:$BD$2056,CC$3&amp;"-"&amp;1&amp;"A"))</f>
        <v/>
      </c>
      <c r="CD30" s="730" t="str">
        <f>IF(COUNTA(車両台帳!$C$57:$C$2056)=0,"",COUNTIF(車両台帳!$BD$57:$BD$2056,CD$3&amp;"-"&amp;1&amp;"A"))</f>
        <v/>
      </c>
      <c r="CE30" s="730" t="str">
        <f>IF(COUNTA(車両台帳!$C$57:$C$2056)=0,"",COUNTIF(車両台帳!$BD$57:$BD$2056,CE$3&amp;"-"&amp;1&amp;"A"))</f>
        <v/>
      </c>
      <c r="CF30" s="730" t="str">
        <f>IF(COUNTA(車両台帳!$C$57:$C$2056)=0,"",COUNTIF(車両台帳!$BD$57:$BD$2056,CF$3&amp;"-"&amp;1&amp;"A"))</f>
        <v/>
      </c>
      <c r="CG30" s="730" t="str">
        <f>IF(COUNTA(車両台帳!$C$57:$C$2056)=0,"",COUNTIF(車両台帳!$BD$57:$BD$2056,CG$3&amp;"-"&amp;1&amp;"A"))</f>
        <v/>
      </c>
      <c r="CH30" s="730" t="str">
        <f>IF(COUNTA(車両台帳!$C$57:$C$2056)=0,"",COUNTIF(車両台帳!$BD$57:$BD$2056,CH$3&amp;"-"&amp;1&amp;"A"))</f>
        <v/>
      </c>
      <c r="CI30" s="730" t="str">
        <f>IF(COUNTA(車両台帳!$C$57:$C$2056)=0,"",COUNTIF(車両台帳!$BD$57:$BD$2056,CI$3&amp;"-"&amp;1&amp;"A"))</f>
        <v/>
      </c>
      <c r="CJ30" s="730" t="str">
        <f>IF(COUNTA(車両台帳!$C$57:$C$2056)=0,"",COUNTIF(車両台帳!$BD$57:$BD$2056,CJ$3&amp;"-"&amp;1&amp;"A"))</f>
        <v/>
      </c>
      <c r="CK30" s="730" t="str">
        <f>IF(COUNTA(車両台帳!$C$57:$C$2056)=0,"",COUNTIF(車両台帳!$BD$57:$BD$2056,CK$3&amp;"-"&amp;1&amp;"A"))</f>
        <v/>
      </c>
      <c r="CL30" s="730" t="str">
        <f>IF(COUNTA(車両台帳!$C$57:$C$2056)=0,"",COUNTIF(車両台帳!$BD$57:$BD$2056,CL$3&amp;"-"&amp;1&amp;"A"))</f>
        <v/>
      </c>
      <c r="CM30" s="730" t="str">
        <f>IF(COUNTA(車両台帳!$C$57:$C$2056)=0,"",COUNTIF(車両台帳!$BD$57:$BD$2056,CM$3&amp;"-"&amp;1&amp;"A"))</f>
        <v/>
      </c>
      <c r="CN30" s="730" t="str">
        <f>IF(COUNTA(車両台帳!$C$57:$C$2056)=0,"",COUNTIF(車両台帳!$BD$57:$BD$2056,CN$3&amp;"-"&amp;1&amp;"A"))</f>
        <v/>
      </c>
      <c r="CO30" s="730" t="str">
        <f>IF(COUNTA(車両台帳!$C$57:$C$2056)=0,"",COUNTIF(車両台帳!$BD$57:$BD$2056,CO$3&amp;"-"&amp;1&amp;"A"))</f>
        <v/>
      </c>
      <c r="CP30" s="730" t="str">
        <f>IF(COUNTA(車両台帳!$C$57:$C$2056)=0,"",COUNTIF(車両台帳!$BD$57:$BD$2056,CP$3&amp;"-"&amp;1&amp;"A"))</f>
        <v/>
      </c>
      <c r="CQ30" s="730" t="str">
        <f>IF(COUNTA(車両台帳!$C$57:$C$2056)=0,"",COUNTIF(車両台帳!$BD$57:$BD$2056,CQ$3&amp;"-"&amp;1&amp;"A"))</f>
        <v/>
      </c>
      <c r="CR30" s="730" t="str">
        <f>IF(COUNTA(車両台帳!$C$57:$C$2056)=0,"",COUNTIF(車両台帳!$BD$57:$BD$2056,CR$3&amp;"-"&amp;1&amp;"A"))</f>
        <v/>
      </c>
      <c r="CS30" s="730" t="str">
        <f>IF(COUNTA(車両台帳!$C$57:$C$2056)=0,"",COUNTIF(車両台帳!$BD$57:$BD$2056,CS$3&amp;"-"&amp;1&amp;"A"))</f>
        <v/>
      </c>
      <c r="CT30" s="730" t="str">
        <f>IF(COUNTA(車両台帳!$C$57:$C$2056)=0,"",COUNTIF(車両台帳!$BD$57:$BD$2056,CT$3&amp;"-"&amp;1&amp;"A"))</f>
        <v/>
      </c>
      <c r="CU30" s="730" t="str">
        <f>IF(COUNTA(車両台帳!$C$57:$C$2056)=0,"",COUNTIF(車両台帳!$BD$57:$BD$2056,CU$3&amp;"-"&amp;1&amp;"A"))</f>
        <v/>
      </c>
      <c r="CV30" s="730" t="str">
        <f>IF(COUNTA(車両台帳!$C$57:$C$2056)=0,"",COUNTIF(車両台帳!$BD$57:$BD$2056,CV$3&amp;"-"&amp;1&amp;"A"))</f>
        <v/>
      </c>
      <c r="CW30" s="730" t="str">
        <f>IF(COUNTA(車両台帳!$C$57:$C$2056)=0,"",COUNTIF(車両台帳!$BD$57:$BD$2056,CW$3&amp;"-"&amp;1&amp;"A"))</f>
        <v/>
      </c>
      <c r="CX30" s="730" t="str">
        <f>IF(COUNTA(車両台帳!$C$57:$C$2056)=0,"",COUNTIF(車両台帳!$BD$57:$BD$2056,CX$3&amp;"-"&amp;1&amp;"A"))</f>
        <v/>
      </c>
      <c r="CY30" s="730" t="str">
        <f>IF(COUNTA(車両台帳!$C$57:$C$2056)=0,"",COUNTIF(車両台帳!$BD$57:$BD$2056,CY$3&amp;"-"&amp;1&amp;"A"))</f>
        <v/>
      </c>
      <c r="CZ30" s="730" t="str">
        <f>IF(COUNTA(車両台帳!$C$57:$C$2056)=0,"",COUNTIF(車両台帳!$BD$57:$BD$2056,CZ$3&amp;"-"&amp;1&amp;"A"))</f>
        <v/>
      </c>
      <c r="DA30" s="730" t="str">
        <f>IF(COUNTA(車両台帳!$C$57:$C$2056)=0,"",COUNTIF(車両台帳!$BD$57:$BD$2056,DA$3&amp;"-"&amp;1&amp;"A"))</f>
        <v/>
      </c>
      <c r="DB30" s="730" t="str">
        <f>IF(COUNTA(車両台帳!$C$57:$C$2056)=0,"",COUNTIF(車両台帳!$BD$57:$BD$2056,DB$3&amp;"-"&amp;1&amp;"A"))</f>
        <v/>
      </c>
      <c r="DC30" s="730" t="str">
        <f>IF(COUNTA(車両台帳!$C$57:$C$2056)=0,"",COUNTIF(車両台帳!$BD$57:$BD$2056,DC$3&amp;"-"&amp;1&amp;"A"))</f>
        <v/>
      </c>
      <c r="DD30" s="730" t="str">
        <f>IF(COUNTA(車両台帳!$C$57:$C$2056)=0,"",COUNTIF(車両台帳!$BD$57:$BD$2056,DD$3&amp;"-"&amp;1&amp;"A"))</f>
        <v/>
      </c>
      <c r="DE30" s="730" t="str">
        <f>IF(COUNTA(車両台帳!$C$57:$C$2056)=0,"",COUNTIF(車両台帳!$BD$57:$BD$2056,DE$3&amp;"-"&amp;1&amp;"A"))</f>
        <v/>
      </c>
      <c r="DF30" s="730" t="str">
        <f>IF(COUNTA(車両台帳!$C$57:$C$2056)=0,"",COUNTIF(車両台帳!$BD$57:$BD$2056,DF$3&amp;"-"&amp;1&amp;"A"))</f>
        <v/>
      </c>
      <c r="DG30" s="730" t="str">
        <f>IF(COUNTA(車両台帳!$C$57:$C$2056)=0,"",COUNTIF(車両台帳!$BD$57:$BD$2056,DG$3&amp;"-"&amp;1&amp;"A"))</f>
        <v/>
      </c>
      <c r="DH30" s="730" t="str">
        <f>IF(COUNTA(車両台帳!$C$57:$C$2056)=0,"",COUNTIF(車両台帳!$BD$57:$BD$2056,DH$3&amp;"-"&amp;1&amp;"A"))</f>
        <v/>
      </c>
      <c r="DI30" s="730" t="str">
        <f>IF(COUNTA(車両台帳!$C$57:$C$2056)=0,"",COUNTIF(車両台帳!$BD$57:$BD$2056,DI$3&amp;"-"&amp;1&amp;"A"))</f>
        <v/>
      </c>
      <c r="DJ30" s="730" t="str">
        <f>IF(COUNTA(車両台帳!$C$57:$C$2056)=0,"",COUNTIF(車両台帳!$BD$57:$BD$2056,DJ$3&amp;"-"&amp;1&amp;"A"))</f>
        <v/>
      </c>
      <c r="DK30" s="730" t="str">
        <f>IF(COUNTA(車両台帳!$C$57:$C$2056)=0,"",COUNTIF(車両台帳!$BD$57:$BD$2056,DK$3&amp;"-"&amp;1&amp;"A"))</f>
        <v/>
      </c>
      <c r="DL30" s="730" t="str">
        <f>IF(COUNTA(車両台帳!$C$57:$C$2056)=0,"",COUNTIF(車両台帳!$BD$57:$BD$2056,DL$3&amp;"-"&amp;1&amp;"A"))</f>
        <v/>
      </c>
      <c r="DM30" s="730" t="str">
        <f>IF(COUNTA(車両台帳!$C$57:$C$2056)=0,"",COUNTIF(車両台帳!$BD$57:$BD$2056,DM$3&amp;"-"&amp;1&amp;"A"))</f>
        <v/>
      </c>
      <c r="DN30" s="730" t="str">
        <f>IF(COUNTA(車両台帳!$C$57:$C$2056)=0,"",COUNTIF(車両台帳!$BD$57:$BD$2056,DN$3&amp;"-"&amp;1&amp;"A"))</f>
        <v/>
      </c>
      <c r="DO30" s="730" t="str">
        <f>IF(COUNTA(車両台帳!$C$57:$C$2056)=0,"",COUNTIF(車両台帳!$BD$57:$BD$2056,DO$3&amp;"-"&amp;1&amp;"A"))</f>
        <v/>
      </c>
      <c r="DP30" s="730" t="str">
        <f>IF(COUNTA(車両台帳!$C$57:$C$2056)=0,"",COUNTIF(車両台帳!$BD$57:$BD$2056,DP$3&amp;"-"&amp;1&amp;"A"))</f>
        <v/>
      </c>
      <c r="DQ30" s="730" t="str">
        <f>IF(COUNTA(車両台帳!$C$57:$C$2056)=0,"",COUNTIF(車両台帳!$BD$57:$BD$2056,DQ$3&amp;"-"&amp;1&amp;"A"))</f>
        <v/>
      </c>
      <c r="DR30" s="730" t="str">
        <f>IF(COUNTA(車両台帳!$C$57:$C$2056)=0,"",COUNTIF(車両台帳!$BD$57:$BD$2056,DR$3&amp;"-"&amp;1&amp;"A"))</f>
        <v/>
      </c>
      <c r="DS30" s="730" t="str">
        <f>IF(COUNTA(車両台帳!$C$57:$C$2056)=0,"",COUNTIF(車両台帳!$BD$57:$BD$2056,DS$3&amp;"-"&amp;1&amp;"A"))</f>
        <v/>
      </c>
      <c r="DT30" s="730" t="str">
        <f>IF(COUNTA(車両台帳!$C$57:$C$2056)=0,"",COUNTIF(車両台帳!$BD$57:$BD$2056,DT$3&amp;"-"&amp;1&amp;"A"))</f>
        <v/>
      </c>
      <c r="DU30" s="730" t="str">
        <f>IF(COUNTA(車両台帳!$C$57:$C$2056)=0,"",COUNTIF(車両台帳!$BD$57:$BD$2056,DU$3&amp;"-"&amp;1&amp;"A"))</f>
        <v/>
      </c>
      <c r="DV30" s="730" t="str">
        <f>IF(COUNTA(車両台帳!$C$57:$C$2056)=0,"",COUNTIF(車両台帳!$BD$57:$BD$2056,DV$3&amp;"-"&amp;1&amp;"A"))</f>
        <v/>
      </c>
      <c r="DW30" s="730" t="str">
        <f>IF(COUNTA(車両台帳!$C$57:$C$2056)=0,"",COUNTIF(車両台帳!$BD$57:$BD$2056,DW$3&amp;"-"&amp;1&amp;"A"))</f>
        <v/>
      </c>
      <c r="DX30" s="730" t="str">
        <f>IF(COUNTA(車両台帳!$C$57:$C$2056)=0,"",COUNTIF(車両台帳!$BD$57:$BD$2056,DX$3&amp;"-"&amp;1&amp;"A"))</f>
        <v/>
      </c>
      <c r="DY30" s="730" t="str">
        <f>IF(COUNTA(車両台帳!$C$57:$C$2056)=0,"",COUNTIF(車両台帳!$BD$57:$BD$2056,DY$3&amp;"-"&amp;1&amp;"A"))</f>
        <v/>
      </c>
      <c r="DZ30" s="730" t="str">
        <f>IF(COUNTA(車両台帳!$C$57:$C$2056)=0,"",COUNTIF(車両台帳!$BD$57:$BD$2056,DZ$3&amp;"-"&amp;1&amp;"A"))</f>
        <v/>
      </c>
      <c r="EA30" s="730" t="str">
        <f>IF(COUNTA(車両台帳!$C$57:$C$2056)=0,"",COUNTIF(車両台帳!$BD$57:$BD$2056,EA$3&amp;"-"&amp;1&amp;"A"))</f>
        <v/>
      </c>
      <c r="EB30" s="730" t="str">
        <f>IF(COUNTA(車両台帳!$C$57:$C$2056)=0,"",COUNTIF(車両台帳!$BD$57:$BD$2056,EB$3&amp;"-"&amp;1&amp;"A"))</f>
        <v/>
      </c>
      <c r="EC30" s="730" t="str">
        <f>IF(COUNTA(車両台帳!$C$57:$C$2056)=0,"",COUNTIF(車両台帳!$BD$57:$BD$2056,EC$3&amp;"-"&amp;1&amp;"A"))</f>
        <v/>
      </c>
      <c r="ED30" s="730" t="str">
        <f>IF(COUNTA(車両台帳!$C$57:$C$2056)=0,"",COUNTIF(車両台帳!$BD$57:$BD$2056,ED$3&amp;"-"&amp;1&amp;"A"))</f>
        <v/>
      </c>
      <c r="EE30" s="730" t="str">
        <f>IF(COUNTA(車両台帳!$C$57:$C$2056)=0,"",COUNTIF(車両台帳!$BD$57:$BD$2056,EE$3&amp;"-"&amp;1&amp;"A"))</f>
        <v/>
      </c>
      <c r="EF30" s="730" t="str">
        <f>IF(COUNTA(車両台帳!$C$57:$C$2056)=0,"",COUNTIF(車両台帳!$BD$57:$BD$2056,EF$3&amp;"-"&amp;1&amp;"A"))</f>
        <v/>
      </c>
      <c r="EG30" s="730" t="str">
        <f>IF(COUNTA(車両台帳!$C$57:$C$2056)=0,"",COUNTIF(車両台帳!$BD$57:$BD$2056,EG$3&amp;"-"&amp;1&amp;"A"))</f>
        <v/>
      </c>
      <c r="EH30" s="730" t="str">
        <f>IF(COUNTA(車両台帳!$C$57:$C$2056)=0,"",COUNTIF(車両台帳!$BD$57:$BD$2056,EH$3&amp;"-"&amp;1&amp;"A"))</f>
        <v/>
      </c>
      <c r="EI30" s="730" t="str">
        <f>IF(COUNTA(車両台帳!$C$57:$C$2056)=0,"",COUNTIF(車両台帳!$BD$57:$BD$2056,EI$3&amp;"-"&amp;1&amp;"A"))</f>
        <v/>
      </c>
      <c r="EJ30" s="730" t="str">
        <f>IF(COUNTA(車両台帳!$C$57:$C$2056)=0,"",COUNTIF(車両台帳!$BD$57:$BD$2056,EJ$3&amp;"-"&amp;1&amp;"A"))</f>
        <v/>
      </c>
      <c r="EK30" s="730" t="str">
        <f>IF(COUNTA(車両台帳!$C$57:$C$2056)=0,"",COUNTIF(車両台帳!$BD$57:$BD$2056,EK$3&amp;"-"&amp;1&amp;"A"))</f>
        <v/>
      </c>
      <c r="EL30" s="730" t="str">
        <f>IF(COUNTA(車両台帳!$C$57:$C$2056)=0,"",COUNTIF(車両台帳!$BD$57:$BD$2056,EL$3&amp;"-"&amp;1&amp;"A"))</f>
        <v/>
      </c>
      <c r="EM30" s="730" t="str">
        <f>IF(COUNTA(車両台帳!$C$57:$C$2056)=0,"",COUNTIF(車両台帳!$BD$57:$BD$2056,EM$3&amp;"-"&amp;1&amp;"A"))</f>
        <v/>
      </c>
      <c r="EN30" s="730" t="str">
        <f>IF(COUNTA(車両台帳!$C$57:$C$2056)=0,"",COUNTIF(車両台帳!$BD$57:$BD$2056,EN$3&amp;"-"&amp;1&amp;"A"))</f>
        <v/>
      </c>
      <c r="EO30" s="730" t="str">
        <f>IF(COUNTA(車両台帳!$C$57:$C$2056)=0,"",COUNTIF(車両台帳!$BD$57:$BD$2056,EO$3&amp;"-"&amp;1&amp;"A"))</f>
        <v/>
      </c>
      <c r="EP30" s="730" t="str">
        <f>IF(COUNTA(車両台帳!$C$57:$C$2056)=0,"",COUNTIF(車両台帳!$BD$57:$BD$2056,EP$3&amp;"-"&amp;1&amp;"A"))</f>
        <v/>
      </c>
      <c r="EQ30" s="730" t="str">
        <f>IF(COUNTA(車両台帳!$C$57:$C$2056)=0,"",COUNTIF(車両台帳!$BD$57:$BD$2056,EQ$3&amp;"-"&amp;1&amp;"A"))</f>
        <v/>
      </c>
      <c r="ER30" s="730" t="str">
        <f>IF(COUNTA(車両台帳!$C$57:$C$2056)=0,"",COUNTIF(車両台帳!$BD$57:$BD$2056,ER$3&amp;"-"&amp;1&amp;"A"))</f>
        <v/>
      </c>
      <c r="ES30" s="730" t="str">
        <f>IF(COUNTA(車両台帳!$C$57:$C$2056)=0,"",COUNTIF(車両台帳!$BD$57:$BD$2056,ES$3&amp;"-"&amp;1&amp;"A"))</f>
        <v/>
      </c>
      <c r="ET30" s="730" t="str">
        <f>IF(COUNTA(車両台帳!$C$57:$C$2056)=0,"",COUNTIF(車両台帳!$BD$57:$BD$2056,ET$3&amp;"-"&amp;1&amp;"A"))</f>
        <v/>
      </c>
      <c r="EU30" s="730" t="str">
        <f>IF(COUNTA(車両台帳!$C$57:$C$2056)=0,"",COUNTIF(車両台帳!$BD$57:$BD$2056,EU$3&amp;"-"&amp;1&amp;"A"))</f>
        <v/>
      </c>
      <c r="EV30" s="730" t="str">
        <f>IF(COUNTA(車両台帳!$C$57:$C$2056)=0,"",COUNTIF(車両台帳!$BD$57:$BD$2056,EV$3&amp;"-"&amp;1&amp;"A"))</f>
        <v/>
      </c>
      <c r="EW30" s="730" t="str">
        <f>IF(COUNTA(車両台帳!$C$57:$C$2056)=0,"",COUNTIF(車両台帳!$BD$57:$BD$2056,EW$3&amp;"-"&amp;1&amp;"A"))</f>
        <v/>
      </c>
      <c r="EX30" s="730" t="str">
        <f>IF(COUNTA(車両台帳!$C$57:$C$2056)=0,"",COUNTIF(車両台帳!$BD$57:$BD$2056,EX$3&amp;"-"&amp;1&amp;"A"))</f>
        <v/>
      </c>
      <c r="EY30" s="730" t="str">
        <f>IF(COUNTA(車両台帳!$C$57:$C$2056)=0,"",COUNTIF(車両台帳!$BD$57:$BD$2056,EY$3&amp;"-"&amp;1&amp;"A"))</f>
        <v/>
      </c>
      <c r="EZ30" s="730" t="str">
        <f>IF(COUNTA(車両台帳!$C$57:$C$2056)=0,"",COUNTIF(車両台帳!$BD$57:$BD$2056,EZ$3&amp;"-"&amp;1&amp;"A"))</f>
        <v/>
      </c>
      <c r="FA30" s="730" t="str">
        <f>IF(COUNTA(車両台帳!$C$57:$C$2056)=0,"",COUNTIF(車両台帳!$BD$57:$BD$2056,FA$3&amp;"-"&amp;1&amp;"A"))</f>
        <v/>
      </c>
      <c r="FB30" s="730" t="str">
        <f>IF(COUNTA(車両台帳!$C$57:$C$2056)=0,"",COUNTIF(車両台帳!$BD$57:$BD$2056,FB$3&amp;"-"&amp;1&amp;"A"))</f>
        <v/>
      </c>
      <c r="FC30" s="730" t="str">
        <f>IF(COUNTA(車両台帳!$C$57:$C$2056)=0,"",COUNTIF(車両台帳!$BD$57:$BD$2056,FC$3&amp;"-"&amp;1&amp;"A"))</f>
        <v/>
      </c>
      <c r="FD30" s="730" t="str">
        <f>IF(COUNTA(車両台帳!$C$57:$C$2056)=0,"",COUNTIF(車両台帳!$BD$57:$BD$2056,FD$3&amp;"-"&amp;1&amp;"A"))</f>
        <v/>
      </c>
      <c r="FE30" s="730" t="str">
        <f>IF(COUNTA(車両台帳!$C$57:$C$2056)=0,"",COUNTIF(車両台帳!$BD$57:$BD$2056,FE$3&amp;"-"&amp;1&amp;"A"))</f>
        <v/>
      </c>
      <c r="FF30" s="730" t="str">
        <f>IF(COUNTA(車両台帳!$C$57:$C$2056)=0,"",COUNTIF(車両台帳!$BD$57:$BD$2056,FF$3&amp;"-"&amp;1&amp;"A"))</f>
        <v/>
      </c>
      <c r="FG30" s="730" t="str">
        <f>IF(COUNTA(車両台帳!$C$57:$C$2056)=0,"",COUNTIF(車両台帳!$BD$57:$BD$2056,FG$3&amp;"-"&amp;1&amp;"A"))</f>
        <v/>
      </c>
      <c r="FH30" s="730" t="str">
        <f>IF(COUNTA(車両台帳!$C$57:$C$2056)=0,"",COUNTIF(車両台帳!$BD$57:$BD$2056,FH$3&amp;"-"&amp;1&amp;"A"))</f>
        <v/>
      </c>
      <c r="FI30" s="730" t="str">
        <f>IF(COUNTA(車両台帳!$C$57:$C$2056)=0,"",COUNTIF(車両台帳!$BD$57:$BD$2056,FI$3&amp;"-"&amp;1&amp;"A"))</f>
        <v/>
      </c>
      <c r="FJ30" s="730" t="str">
        <f>IF(COUNTA(車両台帳!$C$57:$C$2056)=0,"",COUNTIF(車両台帳!$BD$57:$BD$2056,FJ$3&amp;"-"&amp;1&amp;"A"))</f>
        <v/>
      </c>
      <c r="FK30" s="730" t="str">
        <f>IF(COUNTA(車両台帳!$C$57:$C$2056)=0,"",COUNTIF(車両台帳!$BD$57:$BD$2056,FK$3&amp;"-"&amp;1&amp;"A"))</f>
        <v/>
      </c>
      <c r="FL30" s="730" t="str">
        <f>IF(COUNTA(車両台帳!$C$57:$C$2056)=0,"",COUNTIF(車両台帳!$BD$57:$BD$2056,FL$3&amp;"-"&amp;1&amp;"A"))</f>
        <v/>
      </c>
      <c r="FM30" s="730" t="str">
        <f>IF(COUNTA(車両台帳!$C$57:$C$2056)=0,"",COUNTIF(車両台帳!$BD$57:$BD$2056,FM$3&amp;"-"&amp;1&amp;"A"))</f>
        <v/>
      </c>
      <c r="FN30" s="730" t="str">
        <f>IF(COUNTA(車両台帳!$C$57:$C$2056)=0,"",COUNTIF(車両台帳!$BD$57:$BD$2056,FN$3&amp;"-"&amp;1&amp;"A"))</f>
        <v/>
      </c>
      <c r="FO30" s="730" t="str">
        <f>IF(COUNTA(車両台帳!$C$57:$C$2056)=0,"",COUNTIF(車両台帳!$BD$57:$BD$2056,FO$3&amp;"-"&amp;1&amp;"A"))</f>
        <v/>
      </c>
      <c r="FP30" s="730" t="str">
        <f>IF(COUNTA(車両台帳!$C$57:$C$2056)=0,"",COUNTIF(車両台帳!$BD$57:$BD$2056,FP$3&amp;"-"&amp;1&amp;"A"))</f>
        <v/>
      </c>
      <c r="FQ30" s="730" t="str">
        <f>IF(COUNTA(車両台帳!$C$57:$C$2056)=0,"",COUNTIF(車両台帳!$BD$57:$BD$2056,FQ$3&amp;"-"&amp;1&amp;"A"))</f>
        <v/>
      </c>
      <c r="FR30" s="730" t="str">
        <f>IF(COUNTA(車両台帳!$C$57:$C$2056)=0,"",COUNTIF(車両台帳!$BD$57:$BD$2056,FR$3&amp;"-"&amp;1&amp;"A"))</f>
        <v/>
      </c>
      <c r="FS30" s="730" t="str">
        <f>IF(COUNTA(車両台帳!$C$57:$C$2056)=0,"",COUNTIF(車両台帳!$BD$57:$BD$2056,FS$3&amp;"-"&amp;1&amp;"A"))</f>
        <v/>
      </c>
      <c r="FT30" s="730" t="str">
        <f>IF(COUNTA(車両台帳!$C$57:$C$2056)=0,"",COUNTIF(車両台帳!$BD$57:$BD$2056,FT$3&amp;"-"&amp;1&amp;"A"))</f>
        <v/>
      </c>
      <c r="FU30" s="730" t="str">
        <f>IF(COUNTA(車両台帳!$C$57:$C$2056)=0,"",COUNTIF(車両台帳!$BD$57:$BD$2056,FU$3&amp;"-"&amp;1&amp;"A"))</f>
        <v/>
      </c>
      <c r="FV30" s="730" t="str">
        <f>IF(COUNTA(車両台帳!$C$57:$C$2056)=0,"",COUNTIF(車両台帳!$BD$57:$BD$2056,FV$3&amp;"-"&amp;1&amp;"A"))</f>
        <v/>
      </c>
      <c r="FW30" s="730" t="str">
        <f>IF(COUNTA(車両台帳!$C$57:$C$2056)=0,"",COUNTIF(車両台帳!$BD$57:$BD$2056,FW$3&amp;"-"&amp;1&amp;"A"))</f>
        <v/>
      </c>
      <c r="FX30" s="730" t="str">
        <f>IF(COUNTA(車両台帳!$C$57:$C$2056)=0,"",COUNTIF(車両台帳!$BD$57:$BD$2056,FX$3&amp;"-"&amp;1&amp;"A"))</f>
        <v/>
      </c>
      <c r="FY30" s="730" t="str">
        <f>IF(COUNTA(車両台帳!$C$57:$C$2056)=0,"",COUNTIF(車両台帳!$BD$57:$BD$2056,FY$3&amp;"-"&amp;1&amp;"A"))</f>
        <v/>
      </c>
      <c r="FZ30" s="730" t="str">
        <f>IF(COUNTA(車両台帳!$C$57:$C$2056)=0,"",COUNTIF(車両台帳!$BD$57:$BD$2056,FZ$3&amp;"-"&amp;1&amp;"A"))</f>
        <v/>
      </c>
      <c r="GA30" s="730" t="str">
        <f>IF(COUNTA(車両台帳!$C$57:$C$2056)=0,"",COUNTIF(車両台帳!$BD$57:$BD$2056,GA$3&amp;"-"&amp;1&amp;"A"))</f>
        <v/>
      </c>
      <c r="GB30" s="730" t="str">
        <f>IF(COUNTA(車両台帳!$C$57:$C$2056)=0,"",COUNTIF(車両台帳!$BD$57:$BD$2056,GB$3&amp;"-"&amp;1&amp;"A"))</f>
        <v/>
      </c>
      <c r="GC30" s="730" t="str">
        <f>IF(COUNTA(車両台帳!$C$57:$C$2056)=0,"",COUNTIF(車両台帳!$BD$57:$BD$2056,GC$3&amp;"-"&amp;1&amp;"A"))</f>
        <v/>
      </c>
      <c r="GD30" s="730" t="str">
        <f>IF(COUNTA(車両台帳!$C$57:$C$2056)=0,"",COUNTIF(車両台帳!$BD$57:$BD$2056,GD$3&amp;"-"&amp;1&amp;"A"))</f>
        <v/>
      </c>
      <c r="GE30" s="730" t="str">
        <f>IF(COUNTA(車両台帳!$C$57:$C$2056)=0,"",COUNTIF(車両台帳!$BD$57:$BD$2056,GE$3&amp;"-"&amp;1&amp;"A"))</f>
        <v/>
      </c>
      <c r="GF30" s="730" t="str">
        <f>IF(COUNTA(車両台帳!$C$57:$C$2056)=0,"",COUNTIF(車両台帳!$BD$57:$BD$2056,GF$3&amp;"-"&amp;1&amp;"A"))</f>
        <v/>
      </c>
      <c r="GG30" s="730" t="str">
        <f>IF(COUNTA(車両台帳!$C$57:$C$2056)=0,"",COUNTIF(車両台帳!$BD$57:$BD$2056,GG$3&amp;"-"&amp;1&amp;"A"))</f>
        <v/>
      </c>
      <c r="GH30" s="730" t="str">
        <f>IF(COUNTA(車両台帳!$C$57:$C$2056)=0,"",COUNTIF(車両台帳!$BD$57:$BD$2056,GH$3&amp;"-"&amp;1&amp;"A"))</f>
        <v/>
      </c>
      <c r="GI30" s="730" t="str">
        <f>IF(COUNTA(車両台帳!$C$57:$C$2056)=0,"",COUNTIF(車両台帳!$BD$57:$BD$2056,GI$3&amp;"-"&amp;1&amp;"A"))</f>
        <v/>
      </c>
      <c r="GJ30" s="730" t="str">
        <f>IF(COUNTA(車両台帳!$C$57:$C$2056)=0,"",COUNTIF(車両台帳!$BD$57:$BD$2056,GJ$3&amp;"-"&amp;1&amp;"A"))</f>
        <v/>
      </c>
      <c r="GK30" s="730" t="str">
        <f>IF(COUNTA(車両台帳!$C$57:$C$2056)=0,"",COUNTIF(車両台帳!$BD$57:$BD$2056,GK$3&amp;"-"&amp;1&amp;"A"))</f>
        <v/>
      </c>
      <c r="GL30" s="730" t="str">
        <f>IF(COUNTA(車両台帳!$C$57:$C$2056)=0,"",COUNTIF(車両台帳!$BD$57:$BD$2056,GL$3&amp;"-"&amp;1&amp;"A"))</f>
        <v/>
      </c>
      <c r="GM30" s="730" t="str">
        <f>IF(COUNTA(車両台帳!$C$57:$C$2056)=0,"",COUNTIF(車両台帳!$BD$57:$BD$2056,GM$3&amp;"-"&amp;1&amp;"A"))</f>
        <v/>
      </c>
      <c r="GN30" s="730" t="str">
        <f>IF(COUNTA(車両台帳!$C$57:$C$2056)=0,"",COUNTIF(車両台帳!$BD$57:$BD$2056,GN$3&amp;"-"&amp;1&amp;"A"))</f>
        <v/>
      </c>
      <c r="GO30" s="730" t="str">
        <f>IF(COUNTA(車両台帳!$C$57:$C$2056)=0,"",COUNTIF(車両台帳!$BD$57:$BD$2056,GO$3&amp;"-"&amp;1&amp;"A"))</f>
        <v/>
      </c>
      <c r="GP30" s="730" t="str">
        <f>IF(COUNTA(車両台帳!$C$57:$C$2056)=0,"",COUNTIF(車両台帳!$BD$57:$BD$2056,GP$3&amp;"-"&amp;1&amp;"A"))</f>
        <v/>
      </c>
      <c r="GQ30" s="730" t="str">
        <f>IF(COUNTA(車両台帳!$C$57:$C$2056)=0,"",COUNTIF(車両台帳!$BD$57:$BD$2056,GQ$3&amp;"-"&amp;1&amp;"A"))</f>
        <v/>
      </c>
      <c r="GR30" s="730" t="str">
        <f>IF(COUNTA(車両台帳!$C$57:$C$2056)=0,"",COUNTIF(車両台帳!$BD$57:$BD$2056,GR$3&amp;"-"&amp;1&amp;"A"))</f>
        <v/>
      </c>
      <c r="GS30" s="730" t="str">
        <f>IF(COUNTA(車両台帳!$C$57:$C$2056)=0,"",COUNTIF(車両台帳!$BD$57:$BD$2056,GS$3&amp;"-"&amp;1&amp;"A"))</f>
        <v/>
      </c>
      <c r="GT30" s="730" t="str">
        <f>IF(COUNTA(車両台帳!$C$57:$C$2056)=0,"",COUNTIF(車両台帳!$BD$57:$BD$2056,GT$3&amp;"-"&amp;1&amp;"A"))</f>
        <v/>
      </c>
      <c r="GU30" s="731" t="str">
        <f>IF(COUNTA(車両台帳!$C$57:$C$2056)=0,"",COUNTIF(車両台帳!$BD$57:$BD$2056,GU$3&amp;"-"&amp;1&amp;"A"))</f>
        <v/>
      </c>
    </row>
    <row r="31" spans="1:203" s="7" customFormat="1" ht="29.25" customHeight="1" thickBot="1">
      <c r="A31" s="1186" t="s">
        <v>57</v>
      </c>
      <c r="B31" s="1187"/>
      <c r="C31" s="732" t="str">
        <f>IF(COUNTA(車両台帳!$C$57:$C$2056)=0,"",SUM(C10:C30))</f>
        <v/>
      </c>
      <c r="D31" s="730" t="str">
        <f>IF(COUNTA(車両台帳!$C$57:$C$2056)=0,"",SUM(D10:D30))</f>
        <v/>
      </c>
      <c r="E31" s="730" t="str">
        <f>IF(COUNTA(車両台帳!$C$57:$C$2056)=0,"",SUM(E10:E30))</f>
        <v/>
      </c>
      <c r="F31" s="730" t="str">
        <f>IF(COUNTA(車両台帳!$C$57:$C$2056)=0,"",SUM(F10:F30))</f>
        <v/>
      </c>
      <c r="G31" s="730" t="str">
        <f>IF(COUNTA(車両台帳!$C$57:$C$2056)=0,"",SUM(G10:G30))</f>
        <v/>
      </c>
      <c r="H31" s="730" t="str">
        <f>IF(COUNTA(車両台帳!$C$57:$C$2056)=0,"",SUM(H10:H30))</f>
        <v/>
      </c>
      <c r="I31" s="730" t="str">
        <f>IF(COUNTA(車両台帳!$C$57:$C$2056)=0,"",SUM(I10:I30))</f>
        <v/>
      </c>
      <c r="J31" s="730" t="str">
        <f>IF(COUNTA(車両台帳!$C$57:$C$2056)=0,"",SUM(J10:J30))</f>
        <v/>
      </c>
      <c r="K31" s="730" t="str">
        <f>IF(COUNTA(車両台帳!$C$57:$C$2056)=0,"",SUM(K10:K30))</f>
        <v/>
      </c>
      <c r="L31" s="730" t="str">
        <f>IF(COUNTA(車両台帳!$C$57:$C$2056)=0,"",SUM(L10:L30))</f>
        <v/>
      </c>
      <c r="M31" s="730" t="str">
        <f>IF(COUNTA(車両台帳!$C$57:$C$2056)=0,"",SUM(M10:M30))</f>
        <v/>
      </c>
      <c r="N31" s="730" t="str">
        <f>IF(COUNTA(車両台帳!$C$57:$C$2056)=0,"",SUM(N10:N30))</f>
        <v/>
      </c>
      <c r="O31" s="730" t="str">
        <f>IF(COUNTA(車両台帳!$C$57:$C$2056)=0,"",SUM(O10:O30))</f>
        <v/>
      </c>
      <c r="P31" s="730" t="str">
        <f>IF(COUNTA(車両台帳!$C$57:$C$2056)=0,"",SUM(P10:P30))</f>
        <v/>
      </c>
      <c r="Q31" s="730" t="str">
        <f>IF(COUNTA(車両台帳!$C$57:$C$2056)=0,"",SUM(Q10:Q30))</f>
        <v/>
      </c>
      <c r="R31" s="730" t="str">
        <f>IF(COUNTA(車両台帳!$C$57:$C$2056)=0,"",SUM(R10:R30))</f>
        <v/>
      </c>
      <c r="S31" s="730" t="str">
        <f>IF(COUNTA(車両台帳!$C$57:$C$2056)=0,"",SUM(S10:S30))</f>
        <v/>
      </c>
      <c r="T31" s="730" t="str">
        <f>IF(COUNTA(車両台帳!$C$57:$C$2056)=0,"",SUM(T10:T30))</f>
        <v/>
      </c>
      <c r="U31" s="730" t="str">
        <f>IF(COUNTA(車両台帳!$C$57:$C$2056)=0,"",SUM(U10:U30))</f>
        <v/>
      </c>
      <c r="V31" s="730" t="str">
        <f>IF(COUNTA(車両台帳!$C$57:$C$2056)=0,"",SUM(V10:V30))</f>
        <v/>
      </c>
      <c r="W31" s="730" t="str">
        <f>IF(COUNTA(車両台帳!$C$57:$C$2056)=0,"",SUM(W10:W30))</f>
        <v/>
      </c>
      <c r="X31" s="730" t="str">
        <f>IF(COUNTA(車両台帳!$C$57:$C$2056)=0,"",SUM(X10:X30))</f>
        <v/>
      </c>
      <c r="Y31" s="730" t="str">
        <f>IF(COUNTA(車両台帳!$C$57:$C$2056)=0,"",SUM(Y10:Y30))</f>
        <v/>
      </c>
      <c r="Z31" s="730" t="str">
        <f>IF(COUNTA(車両台帳!$C$57:$C$2056)=0,"",SUM(Z10:Z30))</f>
        <v/>
      </c>
      <c r="AA31" s="730" t="str">
        <f>IF(COUNTA(車両台帳!$C$57:$C$2056)=0,"",SUM(AA10:AA30))</f>
        <v/>
      </c>
      <c r="AB31" s="730" t="str">
        <f>IF(COUNTA(車両台帳!$C$57:$C$2056)=0,"",SUM(AB10:AB30))</f>
        <v/>
      </c>
      <c r="AC31" s="730" t="str">
        <f>IF(COUNTA(車両台帳!$C$57:$C$2056)=0,"",SUM(AC10:AC30))</f>
        <v/>
      </c>
      <c r="AD31" s="730" t="str">
        <f>IF(COUNTA(車両台帳!$C$57:$C$2056)=0,"",SUM(AD10:AD30))</f>
        <v/>
      </c>
      <c r="AE31" s="730" t="str">
        <f>IF(COUNTA(車両台帳!$C$57:$C$2056)=0,"",SUM(AE10:AE30))</f>
        <v/>
      </c>
      <c r="AF31" s="730" t="str">
        <f>IF(COUNTA(車両台帳!$C$57:$C$2056)=0,"",SUM(AF10:AF30))</f>
        <v/>
      </c>
      <c r="AG31" s="730" t="str">
        <f>IF(COUNTA(車両台帳!$C$57:$C$2056)=0,"",SUM(AG10:AG30))</f>
        <v/>
      </c>
      <c r="AH31" s="730" t="str">
        <f>IF(COUNTA(車両台帳!$C$57:$C$2056)=0,"",SUM(AH10:AH30))</f>
        <v/>
      </c>
      <c r="AI31" s="730" t="str">
        <f>IF(COUNTA(車両台帳!$C$57:$C$2056)=0,"",SUM(AI10:AI30))</f>
        <v/>
      </c>
      <c r="AJ31" s="730" t="str">
        <f>IF(COUNTA(車両台帳!$C$57:$C$2056)=0,"",SUM(AJ10:AJ30))</f>
        <v/>
      </c>
      <c r="AK31" s="730" t="str">
        <f>IF(COUNTA(車両台帳!$C$57:$C$2056)=0,"",SUM(AK10:AK30))</f>
        <v/>
      </c>
      <c r="AL31" s="730" t="str">
        <f>IF(COUNTA(車両台帳!$C$57:$C$2056)=0,"",SUM(AL10:AL30))</f>
        <v/>
      </c>
      <c r="AM31" s="730" t="str">
        <f>IF(COUNTA(車両台帳!$C$57:$C$2056)=0,"",SUM(AM10:AM30))</f>
        <v/>
      </c>
      <c r="AN31" s="730" t="str">
        <f>IF(COUNTA(車両台帳!$C$57:$C$2056)=0,"",SUM(AN10:AN30))</f>
        <v/>
      </c>
      <c r="AO31" s="730" t="str">
        <f>IF(COUNTA(車両台帳!$C$57:$C$2056)=0,"",SUM(AO10:AO30))</f>
        <v/>
      </c>
      <c r="AP31" s="730" t="str">
        <f>IF(COUNTA(車両台帳!$C$57:$C$2056)=0,"",SUM(AP10:AP30))</f>
        <v/>
      </c>
      <c r="AQ31" s="730" t="str">
        <f>IF(COUNTA(車両台帳!$C$57:$C$2056)=0,"",SUM(AQ10:AQ30))</f>
        <v/>
      </c>
      <c r="AR31" s="730" t="str">
        <f>IF(COUNTA(車両台帳!$C$57:$C$2056)=0,"",SUM(AR10:AR30))</f>
        <v/>
      </c>
      <c r="AS31" s="730" t="str">
        <f>IF(COUNTA(車両台帳!$C$57:$C$2056)=0,"",SUM(AS10:AS30))</f>
        <v/>
      </c>
      <c r="AT31" s="730" t="str">
        <f>IF(COUNTA(車両台帳!$C$57:$C$2056)=0,"",SUM(AT10:AT30))</f>
        <v/>
      </c>
      <c r="AU31" s="730" t="str">
        <f>IF(COUNTA(車両台帳!$C$57:$C$2056)=0,"",SUM(AU10:AU30))</f>
        <v/>
      </c>
      <c r="AV31" s="730" t="str">
        <f>IF(COUNTA(車両台帳!$C$57:$C$2056)=0,"",SUM(AV10:AV30))</f>
        <v/>
      </c>
      <c r="AW31" s="730" t="str">
        <f>IF(COUNTA(車両台帳!$C$57:$C$2056)=0,"",SUM(AW10:AW30))</f>
        <v/>
      </c>
      <c r="AX31" s="730" t="str">
        <f>IF(COUNTA(車両台帳!$C$57:$C$2056)=0,"",SUM(AX10:AX30))</f>
        <v/>
      </c>
      <c r="AY31" s="730" t="str">
        <f>IF(COUNTA(車両台帳!$C$57:$C$2056)=0,"",SUM(AY10:AY30))</f>
        <v/>
      </c>
      <c r="AZ31" s="730" t="str">
        <f>IF(COUNTA(車両台帳!$C$57:$C$2056)=0,"",SUM(AZ10:AZ30))</f>
        <v/>
      </c>
      <c r="BA31" s="730" t="str">
        <f>IF(COUNTA(車両台帳!$C$57:$C$2056)=0,"",SUM(BA10:BA30))</f>
        <v/>
      </c>
      <c r="BB31" s="730" t="str">
        <f>IF(COUNTA(車両台帳!$C$57:$C$2056)=0,"",SUM(BB10:BB30))</f>
        <v/>
      </c>
      <c r="BC31" s="730" t="str">
        <f>IF(COUNTA(車両台帳!$C$57:$C$2056)=0,"",SUM(BC10:BC30))</f>
        <v/>
      </c>
      <c r="BD31" s="730" t="str">
        <f>IF(COUNTA(車両台帳!$C$57:$C$2056)=0,"",SUM(BD10:BD30))</f>
        <v/>
      </c>
      <c r="BE31" s="730" t="str">
        <f>IF(COUNTA(車両台帳!$C$57:$C$2056)=0,"",SUM(BE10:BE30))</f>
        <v/>
      </c>
      <c r="BF31" s="730" t="str">
        <f>IF(COUNTA(車両台帳!$C$57:$C$2056)=0,"",SUM(BF10:BF30))</f>
        <v/>
      </c>
      <c r="BG31" s="730" t="str">
        <f>IF(COUNTA(車両台帳!$C$57:$C$2056)=0,"",SUM(BG10:BG30))</f>
        <v/>
      </c>
      <c r="BH31" s="730" t="str">
        <f>IF(COUNTA(車両台帳!$C$57:$C$2056)=0,"",SUM(BH10:BH30))</f>
        <v/>
      </c>
      <c r="BI31" s="730" t="str">
        <f>IF(COUNTA(車両台帳!$C$57:$C$2056)=0,"",SUM(BI10:BI30))</f>
        <v/>
      </c>
      <c r="BJ31" s="730" t="str">
        <f>IF(COUNTA(車両台帳!$C$57:$C$2056)=0,"",SUM(BJ10:BJ30))</f>
        <v/>
      </c>
      <c r="BK31" s="730" t="str">
        <f>IF(COUNTA(車両台帳!$C$57:$C$2056)=0,"",SUM(BK10:BK30))</f>
        <v/>
      </c>
      <c r="BL31" s="730" t="str">
        <f>IF(COUNTA(車両台帳!$C$57:$C$2056)=0,"",SUM(BL10:BL30))</f>
        <v/>
      </c>
      <c r="BM31" s="730" t="str">
        <f>IF(COUNTA(車両台帳!$C$57:$C$2056)=0,"",SUM(BM10:BM30))</f>
        <v/>
      </c>
      <c r="BN31" s="730" t="str">
        <f>IF(COUNTA(車両台帳!$C$57:$C$2056)=0,"",SUM(BN10:BN30))</f>
        <v/>
      </c>
      <c r="BO31" s="730" t="str">
        <f>IF(COUNTA(車両台帳!$C$57:$C$2056)=0,"",SUM(BO10:BO30))</f>
        <v/>
      </c>
      <c r="BP31" s="730" t="str">
        <f>IF(COUNTA(車両台帳!$C$57:$C$2056)=0,"",SUM(BP10:BP30))</f>
        <v/>
      </c>
      <c r="BQ31" s="730" t="str">
        <f>IF(COUNTA(車両台帳!$C$57:$C$2056)=0,"",SUM(BQ10:BQ30))</f>
        <v/>
      </c>
      <c r="BR31" s="730" t="str">
        <f>IF(COUNTA(車両台帳!$C$57:$C$2056)=0,"",SUM(BR10:BR30))</f>
        <v/>
      </c>
      <c r="BS31" s="730" t="str">
        <f>IF(COUNTA(車両台帳!$C$57:$C$2056)=0,"",SUM(BS10:BS30))</f>
        <v/>
      </c>
      <c r="BT31" s="730" t="str">
        <f>IF(COUNTA(車両台帳!$C$57:$C$2056)=0,"",SUM(BT10:BT30))</f>
        <v/>
      </c>
      <c r="BU31" s="730" t="str">
        <f>IF(COUNTA(車両台帳!$C$57:$C$2056)=0,"",SUM(BU10:BU30))</f>
        <v/>
      </c>
      <c r="BV31" s="730" t="str">
        <f>IF(COUNTA(車両台帳!$C$57:$C$2056)=0,"",SUM(BV10:BV30))</f>
        <v/>
      </c>
      <c r="BW31" s="730" t="str">
        <f>IF(COUNTA(車両台帳!$C$57:$C$2056)=0,"",SUM(BW10:BW30))</f>
        <v/>
      </c>
      <c r="BX31" s="730" t="str">
        <f>IF(COUNTA(車両台帳!$C$57:$C$2056)=0,"",SUM(BX10:BX30))</f>
        <v/>
      </c>
      <c r="BY31" s="730" t="str">
        <f>IF(COUNTA(車両台帳!$C$57:$C$2056)=0,"",SUM(BY10:BY30))</f>
        <v/>
      </c>
      <c r="BZ31" s="730" t="str">
        <f>IF(COUNTA(車両台帳!$C$57:$C$2056)=0,"",SUM(BZ10:BZ30))</f>
        <v/>
      </c>
      <c r="CA31" s="730" t="str">
        <f>IF(COUNTA(車両台帳!$C$57:$C$2056)=0,"",SUM(CA10:CA30))</f>
        <v/>
      </c>
      <c r="CB31" s="730" t="str">
        <f>IF(COUNTA(車両台帳!$C$57:$C$2056)=0,"",SUM(CB10:CB30))</f>
        <v/>
      </c>
      <c r="CC31" s="730" t="str">
        <f>IF(COUNTA(車両台帳!$C$57:$C$2056)=0,"",SUM(CC10:CC30))</f>
        <v/>
      </c>
      <c r="CD31" s="730" t="str">
        <f>IF(COUNTA(車両台帳!$C$57:$C$2056)=0,"",SUM(CD10:CD30))</f>
        <v/>
      </c>
      <c r="CE31" s="730" t="str">
        <f>IF(COUNTA(車両台帳!$C$57:$C$2056)=0,"",SUM(CE10:CE30))</f>
        <v/>
      </c>
      <c r="CF31" s="730" t="str">
        <f>IF(COUNTA(車両台帳!$C$57:$C$2056)=0,"",SUM(CF10:CF30))</f>
        <v/>
      </c>
      <c r="CG31" s="730" t="str">
        <f>IF(COUNTA(車両台帳!$C$57:$C$2056)=0,"",SUM(CG10:CG30))</f>
        <v/>
      </c>
      <c r="CH31" s="730" t="str">
        <f>IF(COUNTA(車両台帳!$C$57:$C$2056)=0,"",SUM(CH10:CH30))</f>
        <v/>
      </c>
      <c r="CI31" s="730" t="str">
        <f>IF(COUNTA(車両台帳!$C$57:$C$2056)=0,"",SUM(CI10:CI30))</f>
        <v/>
      </c>
      <c r="CJ31" s="730" t="str">
        <f>IF(COUNTA(車両台帳!$C$57:$C$2056)=0,"",SUM(CJ10:CJ30))</f>
        <v/>
      </c>
      <c r="CK31" s="730" t="str">
        <f>IF(COUNTA(車両台帳!$C$57:$C$2056)=0,"",SUM(CK10:CK30))</f>
        <v/>
      </c>
      <c r="CL31" s="730" t="str">
        <f>IF(COUNTA(車両台帳!$C$57:$C$2056)=0,"",SUM(CL10:CL30))</f>
        <v/>
      </c>
      <c r="CM31" s="730" t="str">
        <f>IF(COUNTA(車両台帳!$C$57:$C$2056)=0,"",SUM(CM10:CM30))</f>
        <v/>
      </c>
      <c r="CN31" s="730" t="str">
        <f>IF(COUNTA(車両台帳!$C$57:$C$2056)=0,"",SUM(CN10:CN30))</f>
        <v/>
      </c>
      <c r="CO31" s="730" t="str">
        <f>IF(COUNTA(車両台帳!$C$57:$C$2056)=0,"",SUM(CO10:CO30))</f>
        <v/>
      </c>
      <c r="CP31" s="730" t="str">
        <f>IF(COUNTA(車両台帳!$C$57:$C$2056)=0,"",SUM(CP10:CP30))</f>
        <v/>
      </c>
      <c r="CQ31" s="730" t="str">
        <f>IF(COUNTA(車両台帳!$C$57:$C$2056)=0,"",SUM(CQ10:CQ30))</f>
        <v/>
      </c>
      <c r="CR31" s="730" t="str">
        <f>IF(COUNTA(車両台帳!$C$57:$C$2056)=0,"",SUM(CR10:CR30))</f>
        <v/>
      </c>
      <c r="CS31" s="730" t="str">
        <f>IF(COUNTA(車両台帳!$C$57:$C$2056)=0,"",SUM(CS10:CS30))</f>
        <v/>
      </c>
      <c r="CT31" s="730" t="str">
        <f>IF(COUNTA(車両台帳!$C$57:$C$2056)=0,"",SUM(CT10:CT30))</f>
        <v/>
      </c>
      <c r="CU31" s="730" t="str">
        <f>IF(COUNTA(車両台帳!$C$57:$C$2056)=0,"",SUM(CU10:CU30))</f>
        <v/>
      </c>
      <c r="CV31" s="730" t="str">
        <f>IF(COUNTA(車両台帳!$C$57:$C$2056)=0,"",SUM(CV10:CV30))</f>
        <v/>
      </c>
      <c r="CW31" s="730" t="str">
        <f>IF(COUNTA(車両台帳!$C$57:$C$2056)=0,"",SUM(CW10:CW30))</f>
        <v/>
      </c>
      <c r="CX31" s="730" t="str">
        <f>IF(COUNTA(車両台帳!$C$57:$C$2056)=0,"",SUM(CX10:CX30))</f>
        <v/>
      </c>
      <c r="CY31" s="730" t="str">
        <f>IF(COUNTA(車両台帳!$C$57:$C$2056)=0,"",SUM(CY10:CY30))</f>
        <v/>
      </c>
      <c r="CZ31" s="730" t="str">
        <f>IF(COUNTA(車両台帳!$C$57:$C$2056)=0,"",SUM(CZ10:CZ30))</f>
        <v/>
      </c>
      <c r="DA31" s="730" t="str">
        <f>IF(COUNTA(車両台帳!$C$57:$C$2056)=0,"",SUM(DA10:DA30))</f>
        <v/>
      </c>
      <c r="DB31" s="730" t="str">
        <f>IF(COUNTA(車両台帳!$C$57:$C$2056)=0,"",SUM(DB10:DB30))</f>
        <v/>
      </c>
      <c r="DC31" s="730" t="str">
        <f>IF(COUNTA(車両台帳!$C$57:$C$2056)=0,"",SUM(DC10:DC30))</f>
        <v/>
      </c>
      <c r="DD31" s="730" t="str">
        <f>IF(COUNTA(車両台帳!$C$57:$C$2056)=0,"",SUM(DD10:DD30))</f>
        <v/>
      </c>
      <c r="DE31" s="730" t="str">
        <f>IF(COUNTA(車両台帳!$C$57:$C$2056)=0,"",SUM(DE10:DE30))</f>
        <v/>
      </c>
      <c r="DF31" s="730" t="str">
        <f>IF(COUNTA(車両台帳!$C$57:$C$2056)=0,"",SUM(DF10:DF30))</f>
        <v/>
      </c>
      <c r="DG31" s="730" t="str">
        <f>IF(COUNTA(車両台帳!$C$57:$C$2056)=0,"",SUM(DG10:DG30))</f>
        <v/>
      </c>
      <c r="DH31" s="730" t="str">
        <f>IF(COUNTA(車両台帳!$C$57:$C$2056)=0,"",SUM(DH10:DH30))</f>
        <v/>
      </c>
      <c r="DI31" s="730" t="str">
        <f>IF(COUNTA(車両台帳!$C$57:$C$2056)=0,"",SUM(DI10:DI30))</f>
        <v/>
      </c>
      <c r="DJ31" s="730" t="str">
        <f>IF(COUNTA(車両台帳!$C$57:$C$2056)=0,"",SUM(DJ10:DJ30))</f>
        <v/>
      </c>
      <c r="DK31" s="730" t="str">
        <f>IF(COUNTA(車両台帳!$C$57:$C$2056)=0,"",SUM(DK10:DK30))</f>
        <v/>
      </c>
      <c r="DL31" s="730" t="str">
        <f>IF(COUNTA(車両台帳!$C$57:$C$2056)=0,"",SUM(DL10:DL30))</f>
        <v/>
      </c>
      <c r="DM31" s="730" t="str">
        <f>IF(COUNTA(車両台帳!$C$57:$C$2056)=0,"",SUM(DM10:DM30))</f>
        <v/>
      </c>
      <c r="DN31" s="730" t="str">
        <f>IF(COUNTA(車両台帳!$C$57:$C$2056)=0,"",SUM(DN10:DN30))</f>
        <v/>
      </c>
      <c r="DO31" s="730" t="str">
        <f>IF(COUNTA(車両台帳!$C$57:$C$2056)=0,"",SUM(DO10:DO30))</f>
        <v/>
      </c>
      <c r="DP31" s="730" t="str">
        <f>IF(COUNTA(車両台帳!$C$57:$C$2056)=0,"",SUM(DP10:DP30))</f>
        <v/>
      </c>
      <c r="DQ31" s="730" t="str">
        <f>IF(COUNTA(車両台帳!$C$57:$C$2056)=0,"",SUM(DQ10:DQ30))</f>
        <v/>
      </c>
      <c r="DR31" s="730" t="str">
        <f>IF(COUNTA(車両台帳!$C$57:$C$2056)=0,"",SUM(DR10:DR30))</f>
        <v/>
      </c>
      <c r="DS31" s="730" t="str">
        <f>IF(COUNTA(車両台帳!$C$57:$C$2056)=0,"",SUM(DS10:DS30))</f>
        <v/>
      </c>
      <c r="DT31" s="730" t="str">
        <f>IF(COUNTA(車両台帳!$C$57:$C$2056)=0,"",SUM(DT10:DT30))</f>
        <v/>
      </c>
      <c r="DU31" s="730" t="str">
        <f>IF(COUNTA(車両台帳!$C$57:$C$2056)=0,"",SUM(DU10:DU30))</f>
        <v/>
      </c>
      <c r="DV31" s="730" t="str">
        <f>IF(COUNTA(車両台帳!$C$57:$C$2056)=0,"",SUM(DV10:DV30))</f>
        <v/>
      </c>
      <c r="DW31" s="730" t="str">
        <f>IF(COUNTA(車両台帳!$C$57:$C$2056)=0,"",SUM(DW10:DW30))</f>
        <v/>
      </c>
      <c r="DX31" s="730" t="str">
        <f>IF(COUNTA(車両台帳!$C$57:$C$2056)=0,"",SUM(DX10:DX30))</f>
        <v/>
      </c>
      <c r="DY31" s="730" t="str">
        <f>IF(COUNTA(車両台帳!$C$57:$C$2056)=0,"",SUM(DY10:DY30))</f>
        <v/>
      </c>
      <c r="DZ31" s="730" t="str">
        <f>IF(COUNTA(車両台帳!$C$57:$C$2056)=0,"",SUM(DZ10:DZ30))</f>
        <v/>
      </c>
      <c r="EA31" s="730" t="str">
        <f>IF(COUNTA(車両台帳!$C$57:$C$2056)=0,"",SUM(EA10:EA30))</f>
        <v/>
      </c>
      <c r="EB31" s="730" t="str">
        <f>IF(COUNTA(車両台帳!$C$57:$C$2056)=0,"",SUM(EB10:EB30))</f>
        <v/>
      </c>
      <c r="EC31" s="730" t="str">
        <f>IF(COUNTA(車両台帳!$C$57:$C$2056)=0,"",SUM(EC10:EC30))</f>
        <v/>
      </c>
      <c r="ED31" s="730" t="str">
        <f>IF(COUNTA(車両台帳!$C$57:$C$2056)=0,"",SUM(ED10:ED30))</f>
        <v/>
      </c>
      <c r="EE31" s="730" t="str">
        <f>IF(COUNTA(車両台帳!$C$57:$C$2056)=0,"",SUM(EE10:EE30))</f>
        <v/>
      </c>
      <c r="EF31" s="730" t="str">
        <f>IF(COUNTA(車両台帳!$C$57:$C$2056)=0,"",SUM(EF10:EF30))</f>
        <v/>
      </c>
      <c r="EG31" s="730" t="str">
        <f>IF(COUNTA(車両台帳!$C$57:$C$2056)=0,"",SUM(EG10:EG30))</f>
        <v/>
      </c>
      <c r="EH31" s="730" t="str">
        <f>IF(COUNTA(車両台帳!$C$57:$C$2056)=0,"",SUM(EH10:EH30))</f>
        <v/>
      </c>
      <c r="EI31" s="730" t="str">
        <f>IF(COUNTA(車両台帳!$C$57:$C$2056)=0,"",SUM(EI10:EI30))</f>
        <v/>
      </c>
      <c r="EJ31" s="730" t="str">
        <f>IF(COUNTA(車両台帳!$C$57:$C$2056)=0,"",SUM(EJ10:EJ30))</f>
        <v/>
      </c>
      <c r="EK31" s="730" t="str">
        <f>IF(COUNTA(車両台帳!$C$57:$C$2056)=0,"",SUM(EK10:EK30))</f>
        <v/>
      </c>
      <c r="EL31" s="730" t="str">
        <f>IF(COUNTA(車両台帳!$C$57:$C$2056)=0,"",SUM(EL10:EL30))</f>
        <v/>
      </c>
      <c r="EM31" s="730" t="str">
        <f>IF(COUNTA(車両台帳!$C$57:$C$2056)=0,"",SUM(EM10:EM30))</f>
        <v/>
      </c>
      <c r="EN31" s="730" t="str">
        <f>IF(COUNTA(車両台帳!$C$57:$C$2056)=0,"",SUM(EN10:EN30))</f>
        <v/>
      </c>
      <c r="EO31" s="730" t="str">
        <f>IF(COUNTA(車両台帳!$C$57:$C$2056)=0,"",SUM(EO10:EO30))</f>
        <v/>
      </c>
      <c r="EP31" s="730" t="str">
        <f>IF(COUNTA(車両台帳!$C$57:$C$2056)=0,"",SUM(EP10:EP30))</f>
        <v/>
      </c>
      <c r="EQ31" s="730" t="str">
        <f>IF(COUNTA(車両台帳!$C$57:$C$2056)=0,"",SUM(EQ10:EQ30))</f>
        <v/>
      </c>
      <c r="ER31" s="730" t="str">
        <f>IF(COUNTA(車両台帳!$C$57:$C$2056)=0,"",SUM(ER10:ER30))</f>
        <v/>
      </c>
      <c r="ES31" s="730" t="str">
        <f>IF(COUNTA(車両台帳!$C$57:$C$2056)=0,"",SUM(ES10:ES30))</f>
        <v/>
      </c>
      <c r="ET31" s="730" t="str">
        <f>IF(COUNTA(車両台帳!$C$57:$C$2056)=0,"",SUM(ET10:ET30))</f>
        <v/>
      </c>
      <c r="EU31" s="730" t="str">
        <f>IF(COUNTA(車両台帳!$C$57:$C$2056)=0,"",SUM(EU10:EU30))</f>
        <v/>
      </c>
      <c r="EV31" s="730" t="str">
        <f>IF(COUNTA(車両台帳!$C$57:$C$2056)=0,"",SUM(EV10:EV30))</f>
        <v/>
      </c>
      <c r="EW31" s="730" t="str">
        <f>IF(COUNTA(車両台帳!$C$57:$C$2056)=0,"",SUM(EW10:EW30))</f>
        <v/>
      </c>
      <c r="EX31" s="730" t="str">
        <f>IF(COUNTA(車両台帳!$C$57:$C$2056)=0,"",SUM(EX10:EX30))</f>
        <v/>
      </c>
      <c r="EY31" s="730" t="str">
        <f>IF(COUNTA(車両台帳!$C$57:$C$2056)=0,"",SUM(EY10:EY30))</f>
        <v/>
      </c>
      <c r="EZ31" s="730" t="str">
        <f>IF(COUNTA(車両台帳!$C$57:$C$2056)=0,"",SUM(EZ10:EZ30))</f>
        <v/>
      </c>
      <c r="FA31" s="730" t="str">
        <f>IF(COUNTA(車両台帳!$C$57:$C$2056)=0,"",SUM(FA10:FA30))</f>
        <v/>
      </c>
      <c r="FB31" s="730" t="str">
        <f>IF(COUNTA(車両台帳!$C$57:$C$2056)=0,"",SUM(FB10:FB30))</f>
        <v/>
      </c>
      <c r="FC31" s="730" t="str">
        <f>IF(COUNTA(車両台帳!$C$57:$C$2056)=0,"",SUM(FC10:FC30))</f>
        <v/>
      </c>
      <c r="FD31" s="730" t="str">
        <f>IF(COUNTA(車両台帳!$C$57:$C$2056)=0,"",SUM(FD10:FD30))</f>
        <v/>
      </c>
      <c r="FE31" s="730" t="str">
        <f>IF(COUNTA(車両台帳!$C$57:$C$2056)=0,"",SUM(FE10:FE30))</f>
        <v/>
      </c>
      <c r="FF31" s="730" t="str">
        <f>IF(COUNTA(車両台帳!$C$57:$C$2056)=0,"",SUM(FF10:FF30))</f>
        <v/>
      </c>
      <c r="FG31" s="730" t="str">
        <f>IF(COUNTA(車両台帳!$C$57:$C$2056)=0,"",SUM(FG10:FG30))</f>
        <v/>
      </c>
      <c r="FH31" s="730" t="str">
        <f>IF(COUNTA(車両台帳!$C$57:$C$2056)=0,"",SUM(FH10:FH30))</f>
        <v/>
      </c>
      <c r="FI31" s="730" t="str">
        <f>IF(COUNTA(車両台帳!$C$57:$C$2056)=0,"",SUM(FI10:FI30))</f>
        <v/>
      </c>
      <c r="FJ31" s="730" t="str">
        <f>IF(COUNTA(車両台帳!$C$57:$C$2056)=0,"",SUM(FJ10:FJ30))</f>
        <v/>
      </c>
      <c r="FK31" s="730" t="str">
        <f>IF(COUNTA(車両台帳!$C$57:$C$2056)=0,"",SUM(FK10:FK30))</f>
        <v/>
      </c>
      <c r="FL31" s="730" t="str">
        <f>IF(COUNTA(車両台帳!$C$57:$C$2056)=0,"",SUM(FL10:FL30))</f>
        <v/>
      </c>
      <c r="FM31" s="730" t="str">
        <f>IF(COUNTA(車両台帳!$C$57:$C$2056)=0,"",SUM(FM10:FM30))</f>
        <v/>
      </c>
      <c r="FN31" s="730" t="str">
        <f>IF(COUNTA(車両台帳!$C$57:$C$2056)=0,"",SUM(FN10:FN30))</f>
        <v/>
      </c>
      <c r="FO31" s="730" t="str">
        <f>IF(COUNTA(車両台帳!$C$57:$C$2056)=0,"",SUM(FO10:FO30))</f>
        <v/>
      </c>
      <c r="FP31" s="730" t="str">
        <f>IF(COUNTA(車両台帳!$C$57:$C$2056)=0,"",SUM(FP10:FP30))</f>
        <v/>
      </c>
      <c r="FQ31" s="730" t="str">
        <f>IF(COUNTA(車両台帳!$C$57:$C$2056)=0,"",SUM(FQ10:FQ30))</f>
        <v/>
      </c>
      <c r="FR31" s="730" t="str">
        <f>IF(COUNTA(車両台帳!$C$57:$C$2056)=0,"",SUM(FR10:FR30))</f>
        <v/>
      </c>
      <c r="FS31" s="730" t="str">
        <f>IF(COUNTA(車両台帳!$C$57:$C$2056)=0,"",SUM(FS10:FS30))</f>
        <v/>
      </c>
      <c r="FT31" s="730" t="str">
        <f>IF(COUNTA(車両台帳!$C$57:$C$2056)=0,"",SUM(FT10:FT30))</f>
        <v/>
      </c>
      <c r="FU31" s="730" t="str">
        <f>IF(COUNTA(車両台帳!$C$57:$C$2056)=0,"",SUM(FU10:FU30))</f>
        <v/>
      </c>
      <c r="FV31" s="730" t="str">
        <f>IF(COUNTA(車両台帳!$C$57:$C$2056)=0,"",SUM(FV10:FV30))</f>
        <v/>
      </c>
      <c r="FW31" s="730" t="str">
        <f>IF(COUNTA(車両台帳!$C$57:$C$2056)=0,"",SUM(FW10:FW30))</f>
        <v/>
      </c>
      <c r="FX31" s="730" t="str">
        <f>IF(COUNTA(車両台帳!$C$57:$C$2056)=0,"",SUM(FX10:FX30))</f>
        <v/>
      </c>
      <c r="FY31" s="730" t="str">
        <f>IF(COUNTA(車両台帳!$C$57:$C$2056)=0,"",SUM(FY10:FY30))</f>
        <v/>
      </c>
      <c r="FZ31" s="730" t="str">
        <f>IF(COUNTA(車両台帳!$C$57:$C$2056)=0,"",SUM(FZ10:FZ30))</f>
        <v/>
      </c>
      <c r="GA31" s="730" t="str">
        <f>IF(COUNTA(車両台帳!$C$57:$C$2056)=0,"",SUM(GA10:GA30))</f>
        <v/>
      </c>
      <c r="GB31" s="730" t="str">
        <f>IF(COUNTA(車両台帳!$C$57:$C$2056)=0,"",SUM(GB10:GB30))</f>
        <v/>
      </c>
      <c r="GC31" s="730" t="str">
        <f>IF(COUNTA(車両台帳!$C$57:$C$2056)=0,"",SUM(GC10:GC30))</f>
        <v/>
      </c>
      <c r="GD31" s="730" t="str">
        <f>IF(COUNTA(車両台帳!$C$57:$C$2056)=0,"",SUM(GD10:GD30))</f>
        <v/>
      </c>
      <c r="GE31" s="730" t="str">
        <f>IF(COUNTA(車両台帳!$C$57:$C$2056)=0,"",SUM(GE10:GE30))</f>
        <v/>
      </c>
      <c r="GF31" s="730" t="str">
        <f>IF(COUNTA(車両台帳!$C$57:$C$2056)=0,"",SUM(GF10:GF30))</f>
        <v/>
      </c>
      <c r="GG31" s="730" t="str">
        <f>IF(COUNTA(車両台帳!$C$57:$C$2056)=0,"",SUM(GG10:GG30))</f>
        <v/>
      </c>
      <c r="GH31" s="730" t="str">
        <f>IF(COUNTA(車両台帳!$C$57:$C$2056)=0,"",SUM(GH10:GH30))</f>
        <v/>
      </c>
      <c r="GI31" s="730" t="str">
        <f>IF(COUNTA(車両台帳!$C$57:$C$2056)=0,"",SUM(GI10:GI30))</f>
        <v/>
      </c>
      <c r="GJ31" s="730" t="str">
        <f>IF(COUNTA(車両台帳!$C$57:$C$2056)=0,"",SUM(GJ10:GJ30))</f>
        <v/>
      </c>
      <c r="GK31" s="730" t="str">
        <f>IF(COUNTA(車両台帳!$C$57:$C$2056)=0,"",SUM(GK10:GK30))</f>
        <v/>
      </c>
      <c r="GL31" s="730" t="str">
        <f>IF(COUNTA(車両台帳!$C$57:$C$2056)=0,"",SUM(GL10:GL30))</f>
        <v/>
      </c>
      <c r="GM31" s="730" t="str">
        <f>IF(COUNTA(車両台帳!$C$57:$C$2056)=0,"",SUM(GM10:GM30))</f>
        <v/>
      </c>
      <c r="GN31" s="730" t="str">
        <f>IF(COUNTA(車両台帳!$C$57:$C$2056)=0,"",SUM(GN10:GN30))</f>
        <v/>
      </c>
      <c r="GO31" s="730" t="str">
        <f>IF(COUNTA(車両台帳!$C$57:$C$2056)=0,"",SUM(GO10:GO30))</f>
        <v/>
      </c>
      <c r="GP31" s="730" t="str">
        <f>IF(COUNTA(車両台帳!$C$57:$C$2056)=0,"",SUM(GP10:GP30))</f>
        <v/>
      </c>
      <c r="GQ31" s="730" t="str">
        <f>IF(COUNTA(車両台帳!$C$57:$C$2056)=0,"",SUM(GQ10:GQ30))</f>
        <v/>
      </c>
      <c r="GR31" s="730" t="str">
        <f>IF(COUNTA(車両台帳!$C$57:$C$2056)=0,"",SUM(GR10:GR30))</f>
        <v/>
      </c>
      <c r="GS31" s="730" t="str">
        <f>IF(COUNTA(車両台帳!$C$57:$C$2056)=0,"",SUM(GS10:GS30))</f>
        <v/>
      </c>
      <c r="GT31" s="730" t="str">
        <f>IF(COUNTA(車両台帳!$C$57:$C$2056)=0,"",SUM(GT10:GT30))</f>
        <v/>
      </c>
      <c r="GU31" s="731" t="str">
        <f>IF(COUNTA(車両台帳!$C$57:$C$2056)=0,"",SUM(GU10:GU30))</f>
        <v/>
      </c>
    </row>
    <row r="34" spans="2:203">
      <c r="C34" s="4" t="s">
        <v>640</v>
      </c>
    </row>
    <row r="35" spans="2:203">
      <c r="C35" s="5" t="s">
        <v>479</v>
      </c>
      <c r="D35" s="3">
        <f>COUNTIF(車両台帳!$BJ$57:$BJ$2056,D$3&amp;"-"&amp;1)</f>
        <v>0</v>
      </c>
      <c r="E35" s="3">
        <f>COUNTIF(車両台帳!$BJ$57:$BJ$2056,E$3&amp;"-"&amp;1)</f>
        <v>0</v>
      </c>
      <c r="F35" s="3">
        <f>COUNTIF(車両台帳!$BJ$57:$BJ$2056,F$3&amp;"-"&amp;1)</f>
        <v>0</v>
      </c>
      <c r="G35" s="3">
        <f>COUNTIF(車両台帳!$BJ$57:$BJ$2056,G$3&amp;"-"&amp;1)</f>
        <v>0</v>
      </c>
      <c r="H35" s="3">
        <f>COUNTIF(車両台帳!$BJ$57:$BJ$2056,H$3&amp;"-"&amp;1)</f>
        <v>0</v>
      </c>
      <c r="I35" s="3">
        <f>COUNTIF(車両台帳!$BJ$57:$BJ$2056,I$3&amp;"-"&amp;1)</f>
        <v>0</v>
      </c>
      <c r="J35" s="3">
        <f>COUNTIF(車両台帳!$BJ$57:$BJ$2056,J$3&amp;"-"&amp;1)</f>
        <v>0</v>
      </c>
      <c r="K35" s="3">
        <f>COUNTIF(車両台帳!$BJ$57:$BJ$2056,K$3&amp;"-"&amp;1)</f>
        <v>0</v>
      </c>
      <c r="L35" s="3">
        <f>COUNTIF(車両台帳!$BJ$57:$BJ$2056,L$3&amp;"-"&amp;1)</f>
        <v>0</v>
      </c>
      <c r="M35" s="3">
        <f>COUNTIF(車両台帳!$BJ$57:$BJ$2056,M$3&amp;"-"&amp;1)</f>
        <v>0</v>
      </c>
      <c r="N35" s="3">
        <f>COUNTIF(車両台帳!$BJ$57:$BJ$2056,N$3&amp;"-"&amp;1)</f>
        <v>0</v>
      </c>
      <c r="O35" s="3">
        <f>COUNTIF(車両台帳!$BJ$57:$BJ$2056,O$3&amp;"-"&amp;1)</f>
        <v>0</v>
      </c>
      <c r="P35" s="3">
        <f>COUNTIF(車両台帳!$BJ$57:$BJ$2056,P$3&amp;"-"&amp;1)</f>
        <v>0</v>
      </c>
      <c r="Q35" s="3">
        <f>COUNTIF(車両台帳!$BJ$57:$BJ$2056,Q$3&amp;"-"&amp;1)</f>
        <v>0</v>
      </c>
      <c r="R35" s="3">
        <f>COUNTIF(車両台帳!$BJ$57:$BJ$2056,R$3&amp;"-"&amp;1)</f>
        <v>0</v>
      </c>
      <c r="S35" s="3">
        <f>COUNTIF(車両台帳!$BJ$57:$BJ$2056,S$3&amp;"-"&amp;1)</f>
        <v>0</v>
      </c>
      <c r="T35" s="3">
        <f>COUNTIF(車両台帳!$BJ$57:$BJ$2056,T$3&amp;"-"&amp;1)</f>
        <v>0</v>
      </c>
      <c r="U35" s="3">
        <f>COUNTIF(車両台帳!$BJ$57:$BJ$2056,U$3&amp;"-"&amp;1)</f>
        <v>0</v>
      </c>
      <c r="V35" s="3">
        <f>COUNTIF(車両台帳!$BJ$57:$BJ$2056,V$3&amp;"-"&amp;1)</f>
        <v>0</v>
      </c>
      <c r="W35" s="3">
        <f>COUNTIF(車両台帳!$BJ$57:$BJ$2056,W$3&amp;"-"&amp;1)</f>
        <v>0</v>
      </c>
      <c r="X35" s="3">
        <f>COUNTIF(車両台帳!$BJ$57:$BJ$2056,X$3&amp;"-"&amp;1)</f>
        <v>0</v>
      </c>
      <c r="Y35" s="3">
        <f>COUNTIF(車両台帳!$BJ$57:$BJ$2056,Y$3&amp;"-"&amp;1)</f>
        <v>0</v>
      </c>
      <c r="Z35" s="3">
        <f>COUNTIF(車両台帳!$BJ$57:$BJ$2056,Z$3&amp;"-"&amp;1)</f>
        <v>0</v>
      </c>
      <c r="AA35" s="3">
        <f>COUNTIF(車両台帳!$BJ$57:$BJ$2056,AA$3&amp;"-"&amp;1)</f>
        <v>0</v>
      </c>
      <c r="AB35" s="3">
        <f>COUNTIF(車両台帳!$BJ$57:$BJ$2056,AB$3&amp;"-"&amp;1)</f>
        <v>0</v>
      </c>
      <c r="AC35" s="3">
        <f>COUNTIF(車両台帳!$BJ$57:$BJ$2056,AC$3&amp;"-"&amp;1)</f>
        <v>0</v>
      </c>
      <c r="AD35" s="3">
        <f>COUNTIF(車両台帳!$BJ$57:$BJ$2056,AD$3&amp;"-"&amp;1)</f>
        <v>0</v>
      </c>
      <c r="AE35" s="3">
        <f>COUNTIF(車両台帳!$BJ$57:$BJ$2056,AE$3&amp;"-"&amp;1)</f>
        <v>0</v>
      </c>
      <c r="AF35" s="3">
        <f>COUNTIF(車両台帳!$BJ$57:$BJ$2056,AF$3&amp;"-"&amp;1)</f>
        <v>0</v>
      </c>
      <c r="AG35" s="3">
        <f>COUNTIF(車両台帳!$BJ$57:$BJ$2056,AG$3&amp;"-"&amp;1)</f>
        <v>0</v>
      </c>
      <c r="AH35" s="3">
        <f>COUNTIF(車両台帳!$BJ$57:$BJ$2056,AH$3&amp;"-"&amp;1)</f>
        <v>0</v>
      </c>
      <c r="AI35" s="3">
        <f>COUNTIF(車両台帳!$BJ$57:$BJ$2056,AI$3&amp;"-"&amp;1)</f>
        <v>0</v>
      </c>
      <c r="AJ35" s="3">
        <f>COUNTIF(車両台帳!$BJ$57:$BJ$2056,AJ$3&amp;"-"&amp;1)</f>
        <v>0</v>
      </c>
      <c r="AK35" s="3">
        <f>COUNTIF(車両台帳!$BJ$57:$BJ$2056,AK$3&amp;"-"&amp;1)</f>
        <v>0</v>
      </c>
      <c r="AL35" s="3">
        <f>COUNTIF(車両台帳!$BJ$57:$BJ$2056,AL$3&amp;"-"&amp;1)</f>
        <v>0</v>
      </c>
      <c r="AM35" s="3">
        <f>COUNTIF(車両台帳!$BJ$57:$BJ$2056,AM$3&amp;"-"&amp;1)</f>
        <v>0</v>
      </c>
      <c r="AN35" s="3">
        <f>COUNTIF(車両台帳!$BJ$57:$BJ$2056,AN$3&amp;"-"&amp;1)</f>
        <v>0</v>
      </c>
      <c r="AO35" s="3">
        <f>COUNTIF(車両台帳!$BJ$57:$BJ$2056,AO$3&amp;"-"&amp;1)</f>
        <v>0</v>
      </c>
      <c r="AP35" s="3">
        <f>COUNTIF(車両台帳!$BJ$57:$BJ$2056,AP$3&amp;"-"&amp;1)</f>
        <v>0</v>
      </c>
      <c r="AQ35" s="3">
        <f>COUNTIF(車両台帳!$BJ$57:$BJ$2056,AQ$3&amp;"-"&amp;1)</f>
        <v>0</v>
      </c>
      <c r="AR35" s="3">
        <f>COUNTIF(車両台帳!$BJ$57:$BJ$2056,AR$3&amp;"-"&amp;1)</f>
        <v>0</v>
      </c>
      <c r="AS35" s="3">
        <f>COUNTIF(車両台帳!$BJ$57:$BJ$2056,AS$3&amp;"-"&amp;1)</f>
        <v>0</v>
      </c>
      <c r="AT35" s="3">
        <f>COUNTIF(車両台帳!$BJ$57:$BJ$2056,AT$3&amp;"-"&amp;1)</f>
        <v>0</v>
      </c>
      <c r="AU35" s="3">
        <f>COUNTIF(車両台帳!$BJ$57:$BJ$2056,AU$3&amp;"-"&amp;1)</f>
        <v>0</v>
      </c>
      <c r="AV35" s="3">
        <f>COUNTIF(車両台帳!$BJ$57:$BJ$2056,AV$3&amp;"-"&amp;1)</f>
        <v>0</v>
      </c>
      <c r="AW35" s="3">
        <f>COUNTIF(車両台帳!$BJ$57:$BJ$2056,AW$3&amp;"-"&amp;1)</f>
        <v>0</v>
      </c>
      <c r="AX35" s="3">
        <f>COUNTIF(車両台帳!$BJ$57:$BJ$2056,AX$3&amp;"-"&amp;1)</f>
        <v>0</v>
      </c>
      <c r="AY35" s="3">
        <f>COUNTIF(車両台帳!$BJ$57:$BJ$2056,AY$3&amp;"-"&amp;1)</f>
        <v>0</v>
      </c>
      <c r="AZ35" s="3">
        <f>COUNTIF(車両台帳!$BJ$57:$BJ$2056,AZ$3&amp;"-"&amp;1)</f>
        <v>0</v>
      </c>
      <c r="BA35" s="3">
        <f>COUNTIF(車両台帳!$BJ$57:$BJ$2056,BA$3&amp;"-"&amp;1)</f>
        <v>0</v>
      </c>
      <c r="BB35" s="3">
        <f>COUNTIF(車両台帳!$BJ$57:$BJ$2056,BB$3&amp;"-"&amp;1)</f>
        <v>0</v>
      </c>
      <c r="BC35" s="3">
        <f>COUNTIF(車両台帳!$BJ$57:$BJ$2056,BC$3&amp;"-"&amp;1)</f>
        <v>0</v>
      </c>
      <c r="BD35" s="3">
        <f>COUNTIF(車両台帳!$BJ$57:$BJ$2056,BD$3&amp;"-"&amp;1)</f>
        <v>0</v>
      </c>
      <c r="BE35" s="3">
        <f>COUNTIF(車両台帳!$BJ$57:$BJ$2056,BE$3&amp;"-"&amp;1)</f>
        <v>0</v>
      </c>
      <c r="BF35" s="3">
        <f>COUNTIF(車両台帳!$BJ$57:$BJ$2056,BF$3&amp;"-"&amp;1)</f>
        <v>0</v>
      </c>
      <c r="BG35" s="3">
        <f>COUNTIF(車両台帳!$BJ$57:$BJ$2056,BG$3&amp;"-"&amp;1)</f>
        <v>0</v>
      </c>
      <c r="BH35" s="3">
        <f>COUNTIF(車両台帳!$BJ$57:$BJ$2056,BH$3&amp;"-"&amp;1)</f>
        <v>0</v>
      </c>
      <c r="BI35" s="3">
        <f>COUNTIF(車両台帳!$BJ$57:$BJ$2056,BI$3&amp;"-"&amp;1)</f>
        <v>0</v>
      </c>
      <c r="BJ35" s="3">
        <f>COUNTIF(車両台帳!$BJ$57:$BJ$2056,BJ$3&amp;"-"&amp;1)</f>
        <v>0</v>
      </c>
      <c r="BK35" s="3">
        <f>COUNTIF(車両台帳!$BJ$57:$BJ$2056,BK$3&amp;"-"&amp;1)</f>
        <v>0</v>
      </c>
      <c r="BL35" s="3">
        <f>COUNTIF(車両台帳!$BJ$57:$BJ$2056,BL$3&amp;"-"&amp;1)</f>
        <v>0</v>
      </c>
      <c r="BM35" s="3">
        <f>COUNTIF(車両台帳!$BJ$57:$BJ$2056,BM$3&amp;"-"&amp;1)</f>
        <v>0</v>
      </c>
      <c r="BN35" s="3">
        <f>COUNTIF(車両台帳!$BJ$57:$BJ$2056,BN$3&amp;"-"&amp;1)</f>
        <v>0</v>
      </c>
      <c r="BO35" s="3">
        <f>COUNTIF(車両台帳!$BJ$57:$BJ$2056,BO$3&amp;"-"&amp;1)</f>
        <v>0</v>
      </c>
      <c r="BP35" s="3">
        <f>COUNTIF(車両台帳!$BJ$57:$BJ$2056,BP$3&amp;"-"&amp;1)</f>
        <v>0</v>
      </c>
      <c r="BQ35" s="3">
        <f>COUNTIF(車両台帳!$BJ$57:$BJ$2056,BQ$3&amp;"-"&amp;1)</f>
        <v>0</v>
      </c>
      <c r="BR35" s="3">
        <f>COUNTIF(車両台帳!$BJ$57:$BJ$2056,BR$3&amp;"-"&amp;1)</f>
        <v>0</v>
      </c>
      <c r="BS35" s="3">
        <f>COUNTIF(車両台帳!$BJ$57:$BJ$2056,BS$3&amp;"-"&amp;1)</f>
        <v>0</v>
      </c>
      <c r="BT35" s="3">
        <f>COUNTIF(車両台帳!$BJ$57:$BJ$2056,BT$3&amp;"-"&amp;1)</f>
        <v>0</v>
      </c>
      <c r="BU35" s="3">
        <f>COUNTIF(車両台帳!$BJ$57:$BJ$2056,BU$3&amp;"-"&amp;1)</f>
        <v>0</v>
      </c>
      <c r="BV35" s="3">
        <f>COUNTIF(車両台帳!$BJ$57:$BJ$2056,BV$3&amp;"-"&amp;1)</f>
        <v>0</v>
      </c>
      <c r="BW35" s="3">
        <f>COUNTIF(車両台帳!$BJ$57:$BJ$2056,BW$3&amp;"-"&amp;1)</f>
        <v>0</v>
      </c>
      <c r="BX35" s="3">
        <f>COUNTIF(車両台帳!$BJ$57:$BJ$2056,BX$3&amp;"-"&amp;1)</f>
        <v>0</v>
      </c>
      <c r="BY35" s="3">
        <f>COUNTIF(車両台帳!$BJ$57:$BJ$2056,BY$3&amp;"-"&amp;1)</f>
        <v>0</v>
      </c>
      <c r="BZ35" s="3">
        <f>COUNTIF(車両台帳!$BJ$57:$BJ$2056,BZ$3&amp;"-"&amp;1)</f>
        <v>0</v>
      </c>
      <c r="CA35" s="3">
        <f>COUNTIF(車両台帳!$BJ$57:$BJ$2056,CA$3&amp;"-"&amp;1)</f>
        <v>0</v>
      </c>
      <c r="CB35" s="3">
        <f>COUNTIF(車両台帳!$BJ$57:$BJ$2056,CB$3&amp;"-"&amp;1)</f>
        <v>0</v>
      </c>
      <c r="CC35" s="3">
        <f>COUNTIF(車両台帳!$BJ$57:$BJ$2056,CC$3&amp;"-"&amp;1)</f>
        <v>0</v>
      </c>
      <c r="CD35" s="3">
        <f>COUNTIF(車両台帳!$BJ$57:$BJ$2056,CD$3&amp;"-"&amp;1)</f>
        <v>0</v>
      </c>
      <c r="CE35" s="3">
        <f>COUNTIF(車両台帳!$BJ$57:$BJ$2056,CE$3&amp;"-"&amp;1)</f>
        <v>0</v>
      </c>
      <c r="CF35" s="3">
        <f>COUNTIF(車両台帳!$BJ$57:$BJ$2056,CF$3&amp;"-"&amp;1)</f>
        <v>0</v>
      </c>
      <c r="CG35" s="3">
        <f>COUNTIF(車両台帳!$BJ$57:$BJ$2056,CG$3&amp;"-"&amp;1)</f>
        <v>0</v>
      </c>
      <c r="CH35" s="3">
        <f>COUNTIF(車両台帳!$BJ$57:$BJ$2056,CH$3&amp;"-"&amp;1)</f>
        <v>0</v>
      </c>
      <c r="CI35" s="3">
        <f>COUNTIF(車両台帳!$BJ$57:$BJ$2056,CI$3&amp;"-"&amp;1)</f>
        <v>0</v>
      </c>
      <c r="CJ35" s="3">
        <f>COUNTIF(車両台帳!$BJ$57:$BJ$2056,CJ$3&amp;"-"&amp;1)</f>
        <v>0</v>
      </c>
      <c r="CK35" s="3">
        <f>COUNTIF(車両台帳!$BJ$57:$BJ$2056,CK$3&amp;"-"&amp;1)</f>
        <v>0</v>
      </c>
      <c r="CL35" s="3">
        <f>COUNTIF(車両台帳!$BJ$57:$BJ$2056,CL$3&amp;"-"&amp;1)</f>
        <v>0</v>
      </c>
      <c r="CM35" s="3">
        <f>COUNTIF(車両台帳!$BJ$57:$BJ$2056,CM$3&amp;"-"&amp;1)</f>
        <v>0</v>
      </c>
      <c r="CN35" s="3">
        <f>COUNTIF(車両台帳!$BJ$57:$BJ$2056,CN$3&amp;"-"&amp;1)</f>
        <v>0</v>
      </c>
      <c r="CO35" s="3">
        <f>COUNTIF(車両台帳!$BJ$57:$BJ$2056,CO$3&amp;"-"&amp;1)</f>
        <v>0</v>
      </c>
      <c r="CP35" s="3">
        <f>COUNTIF(車両台帳!$BJ$57:$BJ$2056,CP$3&amp;"-"&amp;1)</f>
        <v>0</v>
      </c>
      <c r="CQ35" s="3">
        <f>COUNTIF(車両台帳!$BJ$57:$BJ$2056,CQ$3&amp;"-"&amp;1)</f>
        <v>0</v>
      </c>
      <c r="CR35" s="3">
        <f>COUNTIF(車両台帳!$BJ$57:$BJ$2056,CR$3&amp;"-"&amp;1)</f>
        <v>0</v>
      </c>
      <c r="CS35" s="3">
        <f>COUNTIF(車両台帳!$BJ$57:$BJ$2056,CS$3&amp;"-"&amp;1)</f>
        <v>0</v>
      </c>
      <c r="CT35" s="3">
        <f>COUNTIF(車両台帳!$BJ$57:$BJ$2056,CT$3&amp;"-"&amp;1)</f>
        <v>0</v>
      </c>
      <c r="CU35" s="3">
        <f>COUNTIF(車両台帳!$BJ$57:$BJ$2056,CU$3&amp;"-"&amp;1)</f>
        <v>0</v>
      </c>
      <c r="CV35" s="3">
        <f>COUNTIF(車両台帳!$BJ$57:$BJ$2056,CV$3&amp;"-"&amp;1)</f>
        <v>0</v>
      </c>
      <c r="CW35" s="3">
        <f>COUNTIF(車両台帳!$BJ$57:$BJ$2056,CW$3&amp;"-"&amp;1)</f>
        <v>0</v>
      </c>
      <c r="CX35" s="3">
        <f>COUNTIF(車両台帳!$BJ$57:$BJ$2056,CX$3&amp;"-"&amp;1)</f>
        <v>0</v>
      </c>
      <c r="CY35" s="3">
        <f>COUNTIF(車両台帳!$BJ$57:$BJ$2056,CY$3&amp;"-"&amp;1)</f>
        <v>0</v>
      </c>
      <c r="CZ35" s="3">
        <f>COUNTIF(車両台帳!$BJ$57:$BJ$2056,CZ$3&amp;"-"&amp;1)</f>
        <v>0</v>
      </c>
      <c r="DA35" s="3">
        <f>COUNTIF(車両台帳!$BJ$57:$BJ$2056,DA$3&amp;"-"&amp;1)</f>
        <v>0</v>
      </c>
      <c r="DB35" s="3">
        <f>COUNTIF(車両台帳!$BJ$57:$BJ$2056,DB$3&amp;"-"&amp;1)</f>
        <v>0</v>
      </c>
      <c r="DC35" s="3">
        <f>COUNTIF(車両台帳!$BJ$57:$BJ$2056,DC$3&amp;"-"&amp;1)</f>
        <v>0</v>
      </c>
      <c r="DD35" s="3">
        <f>COUNTIF(車両台帳!$BJ$57:$BJ$2056,DD$3&amp;"-"&amp;1)</f>
        <v>0</v>
      </c>
      <c r="DE35" s="3">
        <f>COUNTIF(車両台帳!$BJ$57:$BJ$2056,DE$3&amp;"-"&amp;1)</f>
        <v>0</v>
      </c>
      <c r="DF35" s="3">
        <f>COUNTIF(車両台帳!$BJ$57:$BJ$2056,DF$3&amp;"-"&amp;1)</f>
        <v>0</v>
      </c>
      <c r="DG35" s="3">
        <f>COUNTIF(車両台帳!$BJ$57:$BJ$2056,DG$3&amp;"-"&amp;1)</f>
        <v>0</v>
      </c>
      <c r="DH35" s="3">
        <f>COUNTIF(車両台帳!$BJ$57:$BJ$2056,DH$3&amp;"-"&amp;1)</f>
        <v>0</v>
      </c>
      <c r="DI35" s="3">
        <f>COUNTIF(車両台帳!$BJ$57:$BJ$2056,DI$3&amp;"-"&amp;1)</f>
        <v>0</v>
      </c>
      <c r="DJ35" s="3">
        <f>COUNTIF(車両台帳!$BJ$57:$BJ$2056,DJ$3&amp;"-"&amp;1)</f>
        <v>0</v>
      </c>
      <c r="DK35" s="3">
        <f>COUNTIF(車両台帳!$BJ$57:$BJ$2056,DK$3&amp;"-"&amp;1)</f>
        <v>0</v>
      </c>
      <c r="DL35" s="3">
        <f>COUNTIF(車両台帳!$BJ$57:$BJ$2056,DL$3&amp;"-"&amp;1)</f>
        <v>0</v>
      </c>
      <c r="DM35" s="3">
        <f>COUNTIF(車両台帳!$BJ$57:$BJ$2056,DM$3&amp;"-"&amp;1)</f>
        <v>0</v>
      </c>
      <c r="DN35" s="3">
        <f>COUNTIF(車両台帳!$BJ$57:$BJ$2056,DN$3&amp;"-"&amp;1)</f>
        <v>0</v>
      </c>
      <c r="DO35" s="3">
        <f>COUNTIF(車両台帳!$BJ$57:$BJ$2056,DO$3&amp;"-"&amp;1)</f>
        <v>0</v>
      </c>
      <c r="DP35" s="3">
        <f>COUNTIF(車両台帳!$BJ$57:$BJ$2056,DP$3&amp;"-"&amp;1)</f>
        <v>0</v>
      </c>
      <c r="DQ35" s="3">
        <f>COUNTIF(車両台帳!$BJ$57:$BJ$2056,DQ$3&amp;"-"&amp;1)</f>
        <v>0</v>
      </c>
      <c r="DR35" s="3">
        <f>COUNTIF(車両台帳!$BJ$57:$BJ$2056,DR$3&amp;"-"&amp;1)</f>
        <v>0</v>
      </c>
      <c r="DS35" s="3">
        <f>COUNTIF(車両台帳!$BJ$57:$BJ$2056,DS$3&amp;"-"&amp;1)</f>
        <v>0</v>
      </c>
      <c r="DT35" s="3">
        <f>COUNTIF(車両台帳!$BJ$57:$BJ$2056,DT$3&amp;"-"&amp;1)</f>
        <v>0</v>
      </c>
      <c r="DU35" s="3">
        <f>COUNTIF(車両台帳!$BJ$57:$BJ$2056,DU$3&amp;"-"&amp;1)</f>
        <v>0</v>
      </c>
      <c r="DV35" s="3">
        <f>COUNTIF(車両台帳!$BJ$57:$BJ$2056,DV$3&amp;"-"&amp;1)</f>
        <v>0</v>
      </c>
      <c r="DW35" s="3">
        <f>COUNTIF(車両台帳!$BJ$57:$BJ$2056,DW$3&amp;"-"&amp;1)</f>
        <v>0</v>
      </c>
      <c r="DX35" s="3">
        <f>COUNTIF(車両台帳!$BJ$57:$BJ$2056,DX$3&amp;"-"&amp;1)</f>
        <v>0</v>
      </c>
      <c r="DY35" s="3">
        <f>COUNTIF(車両台帳!$BJ$57:$BJ$2056,DY$3&amp;"-"&amp;1)</f>
        <v>0</v>
      </c>
      <c r="DZ35" s="3">
        <f>COUNTIF(車両台帳!$BJ$57:$BJ$2056,DZ$3&amp;"-"&amp;1)</f>
        <v>0</v>
      </c>
      <c r="EA35" s="3">
        <f>COUNTIF(車両台帳!$BJ$57:$BJ$2056,EA$3&amp;"-"&amp;1)</f>
        <v>0</v>
      </c>
      <c r="EB35" s="3">
        <f>COUNTIF(車両台帳!$BJ$57:$BJ$2056,EB$3&amp;"-"&amp;1)</f>
        <v>0</v>
      </c>
      <c r="EC35" s="3">
        <f>COUNTIF(車両台帳!$BJ$57:$BJ$2056,EC$3&amp;"-"&amp;1)</f>
        <v>0</v>
      </c>
      <c r="ED35" s="3">
        <f>COUNTIF(車両台帳!$BJ$57:$BJ$2056,ED$3&amp;"-"&amp;1)</f>
        <v>0</v>
      </c>
      <c r="EE35" s="3">
        <f>COUNTIF(車両台帳!$BJ$57:$BJ$2056,EE$3&amp;"-"&amp;1)</f>
        <v>0</v>
      </c>
      <c r="EF35" s="3">
        <f>COUNTIF(車両台帳!$BJ$57:$BJ$2056,EF$3&amp;"-"&amp;1)</f>
        <v>0</v>
      </c>
      <c r="EG35" s="3">
        <f>COUNTIF(車両台帳!$BJ$57:$BJ$2056,EG$3&amp;"-"&amp;1)</f>
        <v>0</v>
      </c>
      <c r="EH35" s="3">
        <f>COUNTIF(車両台帳!$BJ$57:$BJ$2056,EH$3&amp;"-"&amp;1)</f>
        <v>0</v>
      </c>
      <c r="EI35" s="3">
        <f>COUNTIF(車両台帳!$BJ$57:$BJ$2056,EI$3&amp;"-"&amp;1)</f>
        <v>0</v>
      </c>
      <c r="EJ35" s="3">
        <f>COUNTIF(車両台帳!$BJ$57:$BJ$2056,EJ$3&amp;"-"&amp;1)</f>
        <v>0</v>
      </c>
      <c r="EK35" s="3">
        <f>COUNTIF(車両台帳!$BJ$57:$BJ$2056,EK$3&amp;"-"&amp;1)</f>
        <v>0</v>
      </c>
      <c r="EL35" s="3">
        <f>COUNTIF(車両台帳!$BJ$57:$BJ$2056,EL$3&amp;"-"&amp;1)</f>
        <v>0</v>
      </c>
      <c r="EM35" s="3">
        <f>COUNTIF(車両台帳!$BJ$57:$BJ$2056,EM$3&amp;"-"&amp;1)</f>
        <v>0</v>
      </c>
      <c r="EN35" s="3">
        <f>COUNTIF(車両台帳!$BJ$57:$BJ$2056,EN$3&amp;"-"&amp;1)</f>
        <v>0</v>
      </c>
      <c r="EO35" s="3">
        <f>COUNTIF(車両台帳!$BJ$57:$BJ$2056,EO$3&amp;"-"&amp;1)</f>
        <v>0</v>
      </c>
      <c r="EP35" s="3">
        <f>COUNTIF(車両台帳!$BJ$57:$BJ$2056,EP$3&amp;"-"&amp;1)</f>
        <v>0</v>
      </c>
      <c r="EQ35" s="3">
        <f>COUNTIF(車両台帳!$BJ$57:$BJ$2056,EQ$3&amp;"-"&amp;1)</f>
        <v>0</v>
      </c>
      <c r="ER35" s="3">
        <f>COUNTIF(車両台帳!$BJ$57:$BJ$2056,ER$3&amp;"-"&amp;1)</f>
        <v>0</v>
      </c>
      <c r="ES35" s="3">
        <f>COUNTIF(車両台帳!$BJ$57:$BJ$2056,ES$3&amp;"-"&amp;1)</f>
        <v>0</v>
      </c>
      <c r="ET35" s="3">
        <f>COUNTIF(車両台帳!$BJ$57:$BJ$2056,ET$3&amp;"-"&amp;1)</f>
        <v>0</v>
      </c>
      <c r="EU35" s="3">
        <f>COUNTIF(車両台帳!$BJ$57:$BJ$2056,EU$3&amp;"-"&amp;1)</f>
        <v>0</v>
      </c>
      <c r="EV35" s="3">
        <f>COUNTIF(車両台帳!$BJ$57:$BJ$2056,EV$3&amp;"-"&amp;1)</f>
        <v>0</v>
      </c>
      <c r="EW35" s="3">
        <f>COUNTIF(車両台帳!$BJ$57:$BJ$2056,EW$3&amp;"-"&amp;1)</f>
        <v>0</v>
      </c>
      <c r="EX35" s="3">
        <f>COUNTIF(車両台帳!$BJ$57:$BJ$2056,EX$3&amp;"-"&amp;1)</f>
        <v>0</v>
      </c>
      <c r="EY35" s="3">
        <f>COUNTIF(車両台帳!$BJ$57:$BJ$2056,EY$3&amp;"-"&amp;1)</f>
        <v>0</v>
      </c>
      <c r="EZ35" s="3">
        <f>COUNTIF(車両台帳!$BJ$57:$BJ$2056,EZ$3&amp;"-"&amp;1)</f>
        <v>0</v>
      </c>
      <c r="FA35" s="3">
        <f>COUNTIF(車両台帳!$BJ$57:$BJ$2056,FA$3&amp;"-"&amp;1)</f>
        <v>0</v>
      </c>
      <c r="FB35" s="3">
        <f>COUNTIF(車両台帳!$BJ$57:$BJ$2056,FB$3&amp;"-"&amp;1)</f>
        <v>0</v>
      </c>
      <c r="FC35" s="3">
        <f>COUNTIF(車両台帳!$BJ$57:$BJ$2056,FC$3&amp;"-"&amp;1)</f>
        <v>0</v>
      </c>
      <c r="FD35" s="3">
        <f>COUNTIF(車両台帳!$BJ$57:$BJ$2056,FD$3&amp;"-"&amp;1)</f>
        <v>0</v>
      </c>
      <c r="FE35" s="3">
        <f>COUNTIF(車両台帳!$BJ$57:$BJ$2056,FE$3&amp;"-"&amp;1)</f>
        <v>0</v>
      </c>
      <c r="FF35" s="3">
        <f>COUNTIF(車両台帳!$BJ$57:$BJ$2056,FF$3&amp;"-"&amp;1)</f>
        <v>0</v>
      </c>
      <c r="FG35" s="3">
        <f>COUNTIF(車両台帳!$BJ$57:$BJ$2056,FG$3&amp;"-"&amp;1)</f>
        <v>0</v>
      </c>
      <c r="FH35" s="3">
        <f>COUNTIF(車両台帳!$BJ$57:$BJ$2056,FH$3&amp;"-"&amp;1)</f>
        <v>0</v>
      </c>
      <c r="FI35" s="3">
        <f>COUNTIF(車両台帳!$BJ$57:$BJ$2056,FI$3&amp;"-"&amp;1)</f>
        <v>0</v>
      </c>
      <c r="FJ35" s="3">
        <f>COUNTIF(車両台帳!$BJ$57:$BJ$2056,FJ$3&amp;"-"&amp;1)</f>
        <v>0</v>
      </c>
      <c r="FK35" s="3">
        <f>COUNTIF(車両台帳!$BJ$57:$BJ$2056,FK$3&amp;"-"&amp;1)</f>
        <v>0</v>
      </c>
      <c r="FL35" s="3">
        <f>COUNTIF(車両台帳!$BJ$57:$BJ$2056,FL$3&amp;"-"&amp;1)</f>
        <v>0</v>
      </c>
      <c r="FM35" s="3">
        <f>COUNTIF(車両台帳!$BJ$57:$BJ$2056,FM$3&amp;"-"&amp;1)</f>
        <v>0</v>
      </c>
      <c r="FN35" s="3">
        <f>COUNTIF(車両台帳!$BJ$57:$BJ$2056,FN$3&amp;"-"&amp;1)</f>
        <v>0</v>
      </c>
      <c r="FO35" s="3">
        <f>COUNTIF(車両台帳!$BJ$57:$BJ$2056,FO$3&amp;"-"&amp;1)</f>
        <v>0</v>
      </c>
      <c r="FP35" s="3">
        <f>COUNTIF(車両台帳!$BJ$57:$BJ$2056,FP$3&amp;"-"&amp;1)</f>
        <v>0</v>
      </c>
      <c r="FQ35" s="3">
        <f>COUNTIF(車両台帳!$BJ$57:$BJ$2056,FQ$3&amp;"-"&amp;1)</f>
        <v>0</v>
      </c>
      <c r="FR35" s="3">
        <f>COUNTIF(車両台帳!$BJ$57:$BJ$2056,FR$3&amp;"-"&amp;1)</f>
        <v>0</v>
      </c>
      <c r="FS35" s="3">
        <f>COUNTIF(車両台帳!$BJ$57:$BJ$2056,FS$3&amp;"-"&amp;1)</f>
        <v>0</v>
      </c>
      <c r="FT35" s="3">
        <f>COUNTIF(車両台帳!$BJ$57:$BJ$2056,FT$3&amp;"-"&amp;1)</f>
        <v>0</v>
      </c>
      <c r="FU35" s="3">
        <f>COUNTIF(車両台帳!$BJ$57:$BJ$2056,FU$3&amp;"-"&amp;1)</f>
        <v>0</v>
      </c>
      <c r="FV35" s="3">
        <f>COUNTIF(車両台帳!$BJ$57:$BJ$2056,FV$3&amp;"-"&amp;1)</f>
        <v>0</v>
      </c>
      <c r="FW35" s="3">
        <f>COUNTIF(車両台帳!$BJ$57:$BJ$2056,FW$3&amp;"-"&amp;1)</f>
        <v>0</v>
      </c>
      <c r="FX35" s="3">
        <f>COUNTIF(車両台帳!$BJ$57:$BJ$2056,FX$3&amp;"-"&amp;1)</f>
        <v>0</v>
      </c>
      <c r="FY35" s="3">
        <f>COUNTIF(車両台帳!$BJ$57:$BJ$2056,FY$3&amp;"-"&amp;1)</f>
        <v>0</v>
      </c>
      <c r="FZ35" s="3">
        <f>COUNTIF(車両台帳!$BJ$57:$BJ$2056,FZ$3&amp;"-"&amp;1)</f>
        <v>0</v>
      </c>
      <c r="GA35" s="3">
        <f>COUNTIF(車両台帳!$BJ$57:$BJ$2056,GA$3&amp;"-"&amp;1)</f>
        <v>0</v>
      </c>
      <c r="GB35" s="3">
        <f>COUNTIF(車両台帳!$BJ$57:$BJ$2056,GB$3&amp;"-"&amp;1)</f>
        <v>0</v>
      </c>
      <c r="GC35" s="3">
        <f>COUNTIF(車両台帳!$BJ$57:$BJ$2056,GC$3&amp;"-"&amp;1)</f>
        <v>0</v>
      </c>
      <c r="GD35" s="3">
        <f>COUNTIF(車両台帳!$BJ$57:$BJ$2056,GD$3&amp;"-"&amp;1)</f>
        <v>0</v>
      </c>
      <c r="GE35" s="3">
        <f>COUNTIF(車両台帳!$BJ$57:$BJ$2056,GE$3&amp;"-"&amp;1)</f>
        <v>0</v>
      </c>
      <c r="GF35" s="3">
        <f>COUNTIF(車両台帳!$BJ$57:$BJ$2056,GF$3&amp;"-"&amp;1)</f>
        <v>0</v>
      </c>
      <c r="GG35" s="3">
        <f>COUNTIF(車両台帳!$BJ$57:$BJ$2056,GG$3&amp;"-"&amp;1)</f>
        <v>0</v>
      </c>
      <c r="GH35" s="3">
        <f>COUNTIF(車両台帳!$BJ$57:$BJ$2056,GH$3&amp;"-"&amp;1)</f>
        <v>0</v>
      </c>
      <c r="GI35" s="3">
        <f>COUNTIF(車両台帳!$BJ$57:$BJ$2056,GI$3&amp;"-"&amp;1)</f>
        <v>0</v>
      </c>
      <c r="GJ35" s="3">
        <f>COUNTIF(車両台帳!$BJ$57:$BJ$2056,GJ$3&amp;"-"&amp;1)</f>
        <v>0</v>
      </c>
      <c r="GK35" s="3">
        <f>COUNTIF(車両台帳!$BJ$57:$BJ$2056,GK$3&amp;"-"&amp;1)</f>
        <v>0</v>
      </c>
      <c r="GL35" s="3">
        <f>COUNTIF(車両台帳!$BJ$57:$BJ$2056,GL$3&amp;"-"&amp;1)</f>
        <v>0</v>
      </c>
      <c r="GM35" s="3">
        <f>COUNTIF(車両台帳!$BJ$57:$BJ$2056,GM$3&amp;"-"&amp;1)</f>
        <v>0</v>
      </c>
      <c r="GN35" s="3">
        <f>COUNTIF(車両台帳!$BJ$57:$BJ$2056,GN$3&amp;"-"&amp;1)</f>
        <v>0</v>
      </c>
      <c r="GO35" s="3">
        <f>COUNTIF(車両台帳!$BJ$57:$BJ$2056,GO$3&amp;"-"&amp;1)</f>
        <v>0</v>
      </c>
      <c r="GP35" s="3">
        <f>COUNTIF(車両台帳!$BJ$57:$BJ$2056,GP$3&amp;"-"&amp;1)</f>
        <v>0</v>
      </c>
      <c r="GQ35" s="3">
        <f>COUNTIF(車両台帳!$BJ$57:$BJ$2056,GQ$3&amp;"-"&amp;1)</f>
        <v>0</v>
      </c>
      <c r="GR35" s="3">
        <f>COUNTIF(車両台帳!$BJ$57:$BJ$2056,GR$3&amp;"-"&amp;1)</f>
        <v>0</v>
      </c>
      <c r="GS35" s="3">
        <f>COUNTIF(車両台帳!$BJ$57:$BJ$2056,GS$3&amp;"-"&amp;1)</f>
        <v>0</v>
      </c>
      <c r="GT35" s="3">
        <f>COUNTIF(車両台帳!$BJ$57:$BJ$2056,GT$3&amp;"-"&amp;1)</f>
        <v>0</v>
      </c>
      <c r="GU35" s="3">
        <f>COUNTIF(車両台帳!$BJ$57:$BJ$2056,GU$3&amp;"-"&amp;1)</f>
        <v>0</v>
      </c>
    </row>
    <row r="36" spans="2:203">
      <c r="C36" s="5" t="s">
        <v>481</v>
      </c>
      <c r="D36" s="27">
        <f>COUNTIF(車両台帳!$BJ$57:$BJ$2056,D$3&amp;"-"&amp;2)</f>
        <v>0</v>
      </c>
      <c r="E36" s="27">
        <f>COUNTIF(車両台帳!$BJ$57:$BJ$2056,E$3&amp;"-"&amp;2)</f>
        <v>0</v>
      </c>
      <c r="F36" s="27">
        <f>COUNTIF(車両台帳!$BJ$57:$BJ$2056,F$3&amp;"-"&amp;2)</f>
        <v>0</v>
      </c>
      <c r="G36" s="27">
        <f>COUNTIF(車両台帳!$BJ$57:$BJ$2056,G$3&amp;"-"&amp;2)</f>
        <v>0</v>
      </c>
      <c r="H36" s="27">
        <f>COUNTIF(車両台帳!$BJ$57:$BJ$2056,H$3&amp;"-"&amp;2)</f>
        <v>0</v>
      </c>
      <c r="I36" s="27">
        <f>COUNTIF(車両台帳!$BJ$57:$BJ$2056,I$3&amp;"-"&amp;2)</f>
        <v>0</v>
      </c>
      <c r="J36" s="27">
        <f>COUNTIF(車両台帳!$BJ$57:$BJ$2056,J$3&amp;"-"&amp;2)</f>
        <v>0</v>
      </c>
      <c r="K36" s="27">
        <f>COUNTIF(車両台帳!$BJ$57:$BJ$2056,K$3&amp;"-"&amp;2)</f>
        <v>0</v>
      </c>
      <c r="L36" s="27">
        <f>COUNTIF(車両台帳!$BJ$57:$BJ$2056,L$3&amp;"-"&amp;2)</f>
        <v>0</v>
      </c>
      <c r="M36" s="27">
        <f>COUNTIF(車両台帳!$BJ$57:$BJ$2056,M$3&amp;"-"&amp;2)</f>
        <v>0</v>
      </c>
      <c r="N36" s="27">
        <f>COUNTIF(車両台帳!$BJ$57:$BJ$2056,N$3&amp;"-"&amp;2)</f>
        <v>0</v>
      </c>
      <c r="O36" s="27">
        <f>COUNTIF(車両台帳!$BJ$57:$BJ$2056,O$3&amp;"-"&amp;2)</f>
        <v>0</v>
      </c>
      <c r="P36" s="27">
        <f>COUNTIF(車両台帳!$BJ$57:$BJ$2056,P$3&amp;"-"&amp;2)</f>
        <v>0</v>
      </c>
      <c r="Q36" s="27">
        <f>COUNTIF(車両台帳!$BJ$57:$BJ$2056,Q$3&amp;"-"&amp;2)</f>
        <v>0</v>
      </c>
      <c r="R36" s="27">
        <f>COUNTIF(車両台帳!$BJ$57:$BJ$2056,R$3&amp;"-"&amp;2)</f>
        <v>0</v>
      </c>
      <c r="S36" s="27">
        <f>COUNTIF(車両台帳!$BJ$57:$BJ$2056,S$3&amp;"-"&amp;2)</f>
        <v>0</v>
      </c>
      <c r="T36" s="27">
        <f>COUNTIF(車両台帳!$BJ$57:$BJ$2056,T$3&amp;"-"&amp;2)</f>
        <v>0</v>
      </c>
      <c r="U36" s="27">
        <f>COUNTIF(車両台帳!$BJ$57:$BJ$2056,U$3&amp;"-"&amp;2)</f>
        <v>0</v>
      </c>
      <c r="V36" s="27">
        <f>COUNTIF(車両台帳!$BJ$57:$BJ$2056,V$3&amp;"-"&amp;2)</f>
        <v>0</v>
      </c>
      <c r="W36" s="27">
        <f>COUNTIF(車両台帳!$BJ$57:$BJ$2056,W$3&amp;"-"&amp;2)</f>
        <v>0</v>
      </c>
      <c r="X36" s="27">
        <f>COUNTIF(車両台帳!$BJ$57:$BJ$2056,X$3&amp;"-"&amp;2)</f>
        <v>0</v>
      </c>
      <c r="Y36" s="27">
        <f>COUNTIF(車両台帳!$BJ$57:$BJ$2056,Y$3&amp;"-"&amp;2)</f>
        <v>0</v>
      </c>
      <c r="Z36" s="27">
        <f>COUNTIF(車両台帳!$BJ$57:$BJ$2056,Z$3&amp;"-"&amp;2)</f>
        <v>0</v>
      </c>
      <c r="AA36" s="27">
        <f>COUNTIF(車両台帳!$BJ$57:$BJ$2056,AA$3&amp;"-"&amp;2)</f>
        <v>0</v>
      </c>
      <c r="AB36" s="27">
        <f>COUNTIF(車両台帳!$BJ$57:$BJ$2056,AB$3&amp;"-"&amp;2)</f>
        <v>0</v>
      </c>
      <c r="AC36" s="27">
        <f>COUNTIF(車両台帳!$BJ$57:$BJ$2056,AC$3&amp;"-"&amp;2)</f>
        <v>0</v>
      </c>
      <c r="AD36" s="27">
        <f>COUNTIF(車両台帳!$BJ$57:$BJ$2056,AD$3&amp;"-"&amp;2)</f>
        <v>0</v>
      </c>
      <c r="AE36" s="27">
        <f>COUNTIF(車両台帳!$BJ$57:$BJ$2056,AE$3&amp;"-"&amp;2)</f>
        <v>0</v>
      </c>
      <c r="AF36" s="27">
        <f>COUNTIF(車両台帳!$BJ$57:$BJ$2056,AF$3&amp;"-"&amp;2)</f>
        <v>0</v>
      </c>
      <c r="AG36" s="27">
        <f>COUNTIF(車両台帳!$BJ$57:$BJ$2056,AG$3&amp;"-"&amp;2)</f>
        <v>0</v>
      </c>
      <c r="AH36" s="27">
        <f>COUNTIF(車両台帳!$BJ$57:$BJ$2056,AH$3&amp;"-"&amp;2)</f>
        <v>0</v>
      </c>
      <c r="AI36" s="27">
        <f>COUNTIF(車両台帳!$BJ$57:$BJ$2056,AI$3&amp;"-"&amp;2)</f>
        <v>0</v>
      </c>
      <c r="AJ36" s="27">
        <f>COUNTIF(車両台帳!$BJ$57:$BJ$2056,AJ$3&amp;"-"&amp;2)</f>
        <v>0</v>
      </c>
      <c r="AK36" s="27">
        <f>COUNTIF(車両台帳!$BJ$57:$BJ$2056,AK$3&amp;"-"&amp;2)</f>
        <v>0</v>
      </c>
      <c r="AL36" s="27">
        <f>COUNTIF(車両台帳!$BJ$57:$BJ$2056,AL$3&amp;"-"&amp;2)</f>
        <v>0</v>
      </c>
      <c r="AM36" s="27">
        <f>COUNTIF(車両台帳!$BJ$57:$BJ$2056,AM$3&amp;"-"&amp;2)</f>
        <v>0</v>
      </c>
      <c r="AN36" s="27">
        <f>COUNTIF(車両台帳!$BJ$57:$BJ$2056,AN$3&amp;"-"&amp;2)</f>
        <v>0</v>
      </c>
      <c r="AO36" s="27">
        <f>COUNTIF(車両台帳!$BJ$57:$BJ$2056,AO$3&amp;"-"&amp;2)</f>
        <v>0</v>
      </c>
      <c r="AP36" s="27">
        <f>COUNTIF(車両台帳!$BJ$57:$BJ$2056,AP$3&amp;"-"&amp;2)</f>
        <v>0</v>
      </c>
      <c r="AQ36" s="27">
        <f>COUNTIF(車両台帳!$BJ$57:$BJ$2056,AQ$3&amp;"-"&amp;2)</f>
        <v>0</v>
      </c>
      <c r="AR36" s="27">
        <f>COUNTIF(車両台帳!$BJ$57:$BJ$2056,AR$3&amp;"-"&amp;2)</f>
        <v>0</v>
      </c>
      <c r="AS36" s="27">
        <f>COUNTIF(車両台帳!$BJ$57:$BJ$2056,AS$3&amp;"-"&amp;2)</f>
        <v>0</v>
      </c>
      <c r="AT36" s="27">
        <f>COUNTIF(車両台帳!$BJ$57:$BJ$2056,AT$3&amp;"-"&amp;2)</f>
        <v>0</v>
      </c>
      <c r="AU36" s="27">
        <f>COUNTIF(車両台帳!$BJ$57:$BJ$2056,AU$3&amp;"-"&amp;2)</f>
        <v>0</v>
      </c>
      <c r="AV36" s="27">
        <f>COUNTIF(車両台帳!$BJ$57:$BJ$2056,AV$3&amp;"-"&amp;2)</f>
        <v>0</v>
      </c>
      <c r="AW36" s="27">
        <f>COUNTIF(車両台帳!$BJ$57:$BJ$2056,AW$3&amp;"-"&amp;2)</f>
        <v>0</v>
      </c>
      <c r="AX36" s="27">
        <f>COUNTIF(車両台帳!$BJ$57:$BJ$2056,AX$3&amp;"-"&amp;2)</f>
        <v>0</v>
      </c>
      <c r="AY36" s="27">
        <f>COUNTIF(車両台帳!$BJ$57:$BJ$2056,AY$3&amp;"-"&amp;2)</f>
        <v>0</v>
      </c>
      <c r="AZ36" s="27">
        <f>COUNTIF(車両台帳!$BJ$57:$BJ$2056,AZ$3&amp;"-"&amp;2)</f>
        <v>0</v>
      </c>
      <c r="BA36" s="27">
        <f>COUNTIF(車両台帳!$BJ$57:$BJ$2056,BA$3&amp;"-"&amp;2)</f>
        <v>0</v>
      </c>
      <c r="BB36" s="27">
        <f>COUNTIF(車両台帳!$BJ$57:$BJ$2056,BB$3&amp;"-"&amp;2)</f>
        <v>0</v>
      </c>
      <c r="BC36" s="27">
        <f>COUNTIF(車両台帳!$BJ$57:$BJ$2056,BC$3&amp;"-"&amp;2)</f>
        <v>0</v>
      </c>
      <c r="BD36" s="27">
        <f>COUNTIF(車両台帳!$BJ$57:$BJ$2056,BD$3&amp;"-"&amp;2)</f>
        <v>0</v>
      </c>
      <c r="BE36" s="27">
        <f>COUNTIF(車両台帳!$BJ$57:$BJ$2056,BE$3&amp;"-"&amp;2)</f>
        <v>0</v>
      </c>
      <c r="BF36" s="27">
        <f>COUNTIF(車両台帳!$BJ$57:$BJ$2056,BF$3&amp;"-"&amp;2)</f>
        <v>0</v>
      </c>
      <c r="BG36" s="27">
        <f>COUNTIF(車両台帳!$BJ$57:$BJ$2056,BG$3&amp;"-"&amp;2)</f>
        <v>0</v>
      </c>
      <c r="BH36" s="27">
        <f>COUNTIF(車両台帳!$BJ$57:$BJ$2056,BH$3&amp;"-"&amp;2)</f>
        <v>0</v>
      </c>
      <c r="BI36" s="27">
        <f>COUNTIF(車両台帳!$BJ$57:$BJ$2056,BI$3&amp;"-"&amp;2)</f>
        <v>0</v>
      </c>
      <c r="BJ36" s="27">
        <f>COUNTIF(車両台帳!$BJ$57:$BJ$2056,BJ$3&amp;"-"&amp;2)</f>
        <v>0</v>
      </c>
      <c r="BK36" s="27">
        <f>COUNTIF(車両台帳!$BJ$57:$BJ$2056,BK$3&amp;"-"&amp;2)</f>
        <v>0</v>
      </c>
      <c r="BL36" s="27">
        <f>COUNTIF(車両台帳!$BJ$57:$BJ$2056,BL$3&amp;"-"&amp;2)</f>
        <v>0</v>
      </c>
      <c r="BM36" s="27">
        <f>COUNTIF(車両台帳!$BJ$57:$BJ$2056,BM$3&amp;"-"&amp;2)</f>
        <v>0</v>
      </c>
      <c r="BN36" s="27">
        <f>COUNTIF(車両台帳!$BJ$57:$BJ$2056,BN$3&amp;"-"&amp;2)</f>
        <v>0</v>
      </c>
      <c r="BO36" s="27">
        <f>COUNTIF(車両台帳!$BJ$57:$BJ$2056,BO$3&amp;"-"&amp;2)</f>
        <v>0</v>
      </c>
      <c r="BP36" s="27">
        <f>COUNTIF(車両台帳!$BJ$57:$BJ$2056,BP$3&amp;"-"&amp;2)</f>
        <v>0</v>
      </c>
      <c r="BQ36" s="27">
        <f>COUNTIF(車両台帳!$BJ$57:$BJ$2056,BQ$3&amp;"-"&amp;2)</f>
        <v>0</v>
      </c>
      <c r="BR36" s="27">
        <f>COUNTIF(車両台帳!$BJ$57:$BJ$2056,BR$3&amp;"-"&amp;2)</f>
        <v>0</v>
      </c>
      <c r="BS36" s="27">
        <f>COUNTIF(車両台帳!$BJ$57:$BJ$2056,BS$3&amp;"-"&amp;2)</f>
        <v>0</v>
      </c>
      <c r="BT36" s="27">
        <f>COUNTIF(車両台帳!$BJ$57:$BJ$2056,BT$3&amp;"-"&amp;2)</f>
        <v>0</v>
      </c>
      <c r="BU36" s="27">
        <f>COUNTIF(車両台帳!$BJ$57:$BJ$2056,BU$3&amp;"-"&amp;2)</f>
        <v>0</v>
      </c>
      <c r="BV36" s="27">
        <f>COUNTIF(車両台帳!$BJ$57:$BJ$2056,BV$3&amp;"-"&amp;2)</f>
        <v>0</v>
      </c>
      <c r="BW36" s="27">
        <f>COUNTIF(車両台帳!$BJ$57:$BJ$2056,BW$3&amp;"-"&amp;2)</f>
        <v>0</v>
      </c>
      <c r="BX36" s="27">
        <f>COUNTIF(車両台帳!$BJ$57:$BJ$2056,BX$3&amp;"-"&amp;2)</f>
        <v>0</v>
      </c>
      <c r="BY36" s="27">
        <f>COUNTIF(車両台帳!$BJ$57:$BJ$2056,BY$3&amp;"-"&amp;2)</f>
        <v>0</v>
      </c>
      <c r="BZ36" s="27">
        <f>COUNTIF(車両台帳!$BJ$57:$BJ$2056,BZ$3&amp;"-"&amp;2)</f>
        <v>0</v>
      </c>
      <c r="CA36" s="27">
        <f>COUNTIF(車両台帳!$BJ$57:$BJ$2056,CA$3&amp;"-"&amp;2)</f>
        <v>0</v>
      </c>
      <c r="CB36" s="27">
        <f>COUNTIF(車両台帳!$BJ$57:$BJ$2056,CB$3&amp;"-"&amp;2)</f>
        <v>0</v>
      </c>
      <c r="CC36" s="27">
        <f>COUNTIF(車両台帳!$BJ$57:$BJ$2056,CC$3&amp;"-"&amp;2)</f>
        <v>0</v>
      </c>
      <c r="CD36" s="27">
        <f>COUNTIF(車両台帳!$BJ$57:$BJ$2056,CD$3&amp;"-"&amp;2)</f>
        <v>0</v>
      </c>
      <c r="CE36" s="27">
        <f>COUNTIF(車両台帳!$BJ$57:$BJ$2056,CE$3&amp;"-"&amp;2)</f>
        <v>0</v>
      </c>
      <c r="CF36" s="27">
        <f>COUNTIF(車両台帳!$BJ$57:$BJ$2056,CF$3&amp;"-"&amp;2)</f>
        <v>0</v>
      </c>
      <c r="CG36" s="27">
        <f>COUNTIF(車両台帳!$BJ$57:$BJ$2056,CG$3&amp;"-"&amp;2)</f>
        <v>0</v>
      </c>
      <c r="CH36" s="27">
        <f>COUNTIF(車両台帳!$BJ$57:$BJ$2056,CH$3&amp;"-"&amp;2)</f>
        <v>0</v>
      </c>
      <c r="CI36" s="27">
        <f>COUNTIF(車両台帳!$BJ$57:$BJ$2056,CI$3&amp;"-"&amp;2)</f>
        <v>0</v>
      </c>
      <c r="CJ36" s="27">
        <f>COUNTIF(車両台帳!$BJ$57:$BJ$2056,CJ$3&amp;"-"&amp;2)</f>
        <v>0</v>
      </c>
      <c r="CK36" s="27">
        <f>COUNTIF(車両台帳!$BJ$57:$BJ$2056,CK$3&amp;"-"&amp;2)</f>
        <v>0</v>
      </c>
      <c r="CL36" s="27">
        <f>COUNTIF(車両台帳!$BJ$57:$BJ$2056,CL$3&amp;"-"&amp;2)</f>
        <v>0</v>
      </c>
      <c r="CM36" s="27">
        <f>COUNTIF(車両台帳!$BJ$57:$BJ$2056,CM$3&amp;"-"&amp;2)</f>
        <v>0</v>
      </c>
      <c r="CN36" s="27">
        <f>COUNTIF(車両台帳!$BJ$57:$BJ$2056,CN$3&amp;"-"&amp;2)</f>
        <v>0</v>
      </c>
      <c r="CO36" s="27">
        <f>COUNTIF(車両台帳!$BJ$57:$BJ$2056,CO$3&amp;"-"&amp;2)</f>
        <v>0</v>
      </c>
      <c r="CP36" s="27">
        <f>COUNTIF(車両台帳!$BJ$57:$BJ$2056,CP$3&amp;"-"&amp;2)</f>
        <v>0</v>
      </c>
      <c r="CQ36" s="27">
        <f>COUNTIF(車両台帳!$BJ$57:$BJ$2056,CQ$3&amp;"-"&amp;2)</f>
        <v>0</v>
      </c>
      <c r="CR36" s="27">
        <f>COUNTIF(車両台帳!$BJ$57:$BJ$2056,CR$3&amp;"-"&amp;2)</f>
        <v>0</v>
      </c>
      <c r="CS36" s="27">
        <f>COUNTIF(車両台帳!$BJ$57:$BJ$2056,CS$3&amp;"-"&amp;2)</f>
        <v>0</v>
      </c>
      <c r="CT36" s="27">
        <f>COUNTIF(車両台帳!$BJ$57:$BJ$2056,CT$3&amp;"-"&amp;2)</f>
        <v>0</v>
      </c>
      <c r="CU36" s="27">
        <f>COUNTIF(車両台帳!$BJ$57:$BJ$2056,CU$3&amp;"-"&amp;2)</f>
        <v>0</v>
      </c>
      <c r="CV36" s="27">
        <f>COUNTIF(車両台帳!$BJ$57:$BJ$2056,CV$3&amp;"-"&amp;2)</f>
        <v>0</v>
      </c>
      <c r="CW36" s="27">
        <f>COUNTIF(車両台帳!$BJ$57:$BJ$2056,CW$3&amp;"-"&amp;2)</f>
        <v>0</v>
      </c>
      <c r="CX36" s="27">
        <f>COUNTIF(車両台帳!$BJ$57:$BJ$2056,CX$3&amp;"-"&amp;2)</f>
        <v>0</v>
      </c>
      <c r="CY36" s="27">
        <f>COUNTIF(車両台帳!$BJ$57:$BJ$2056,CY$3&amp;"-"&amp;2)</f>
        <v>0</v>
      </c>
      <c r="CZ36" s="27">
        <f>COUNTIF(車両台帳!$BJ$57:$BJ$2056,CZ$3&amp;"-"&amp;2)</f>
        <v>0</v>
      </c>
      <c r="DA36" s="27">
        <f>COUNTIF(車両台帳!$BJ$57:$BJ$2056,DA$3&amp;"-"&amp;2)</f>
        <v>0</v>
      </c>
      <c r="DB36" s="27">
        <f>COUNTIF(車両台帳!$BJ$57:$BJ$2056,DB$3&amp;"-"&amp;2)</f>
        <v>0</v>
      </c>
      <c r="DC36" s="27">
        <f>COUNTIF(車両台帳!$BJ$57:$BJ$2056,DC$3&amp;"-"&amp;2)</f>
        <v>0</v>
      </c>
      <c r="DD36" s="27">
        <f>COUNTIF(車両台帳!$BJ$57:$BJ$2056,DD$3&amp;"-"&amp;2)</f>
        <v>0</v>
      </c>
      <c r="DE36" s="27">
        <f>COUNTIF(車両台帳!$BJ$57:$BJ$2056,DE$3&amp;"-"&amp;2)</f>
        <v>0</v>
      </c>
      <c r="DF36" s="27">
        <f>COUNTIF(車両台帳!$BJ$57:$BJ$2056,DF$3&amp;"-"&amp;2)</f>
        <v>0</v>
      </c>
      <c r="DG36" s="27">
        <f>COUNTIF(車両台帳!$BJ$57:$BJ$2056,DG$3&amp;"-"&amp;2)</f>
        <v>0</v>
      </c>
      <c r="DH36" s="27">
        <f>COUNTIF(車両台帳!$BJ$57:$BJ$2056,DH$3&amp;"-"&amp;2)</f>
        <v>0</v>
      </c>
      <c r="DI36" s="27">
        <f>COUNTIF(車両台帳!$BJ$57:$BJ$2056,DI$3&amp;"-"&amp;2)</f>
        <v>0</v>
      </c>
      <c r="DJ36" s="27">
        <f>COUNTIF(車両台帳!$BJ$57:$BJ$2056,DJ$3&amp;"-"&amp;2)</f>
        <v>0</v>
      </c>
      <c r="DK36" s="27">
        <f>COUNTIF(車両台帳!$BJ$57:$BJ$2056,DK$3&amp;"-"&amp;2)</f>
        <v>0</v>
      </c>
      <c r="DL36" s="27">
        <f>COUNTIF(車両台帳!$BJ$57:$BJ$2056,DL$3&amp;"-"&amp;2)</f>
        <v>0</v>
      </c>
      <c r="DM36" s="27">
        <f>COUNTIF(車両台帳!$BJ$57:$BJ$2056,DM$3&amp;"-"&amp;2)</f>
        <v>0</v>
      </c>
      <c r="DN36" s="27">
        <f>COUNTIF(車両台帳!$BJ$57:$BJ$2056,DN$3&amp;"-"&amp;2)</f>
        <v>0</v>
      </c>
      <c r="DO36" s="27">
        <f>COUNTIF(車両台帳!$BJ$57:$BJ$2056,DO$3&amp;"-"&amp;2)</f>
        <v>0</v>
      </c>
      <c r="DP36" s="27">
        <f>COUNTIF(車両台帳!$BJ$57:$BJ$2056,DP$3&amp;"-"&amp;2)</f>
        <v>0</v>
      </c>
      <c r="DQ36" s="27">
        <f>COUNTIF(車両台帳!$BJ$57:$BJ$2056,DQ$3&amp;"-"&amp;2)</f>
        <v>0</v>
      </c>
      <c r="DR36" s="27">
        <f>COUNTIF(車両台帳!$BJ$57:$BJ$2056,DR$3&amp;"-"&amp;2)</f>
        <v>0</v>
      </c>
      <c r="DS36" s="27">
        <f>COUNTIF(車両台帳!$BJ$57:$BJ$2056,DS$3&amp;"-"&amp;2)</f>
        <v>0</v>
      </c>
      <c r="DT36" s="27">
        <f>COUNTIF(車両台帳!$BJ$57:$BJ$2056,DT$3&amp;"-"&amp;2)</f>
        <v>0</v>
      </c>
      <c r="DU36" s="27">
        <f>COUNTIF(車両台帳!$BJ$57:$BJ$2056,DU$3&amp;"-"&amp;2)</f>
        <v>0</v>
      </c>
      <c r="DV36" s="27">
        <f>COUNTIF(車両台帳!$BJ$57:$BJ$2056,DV$3&amp;"-"&amp;2)</f>
        <v>0</v>
      </c>
      <c r="DW36" s="27">
        <f>COUNTIF(車両台帳!$BJ$57:$BJ$2056,DW$3&amp;"-"&amp;2)</f>
        <v>0</v>
      </c>
      <c r="DX36" s="27">
        <f>COUNTIF(車両台帳!$BJ$57:$BJ$2056,DX$3&amp;"-"&amp;2)</f>
        <v>0</v>
      </c>
      <c r="DY36" s="27">
        <f>COUNTIF(車両台帳!$BJ$57:$BJ$2056,DY$3&amp;"-"&amp;2)</f>
        <v>0</v>
      </c>
      <c r="DZ36" s="27">
        <f>COUNTIF(車両台帳!$BJ$57:$BJ$2056,DZ$3&amp;"-"&amp;2)</f>
        <v>0</v>
      </c>
      <c r="EA36" s="27">
        <f>COUNTIF(車両台帳!$BJ$57:$BJ$2056,EA$3&amp;"-"&amp;2)</f>
        <v>0</v>
      </c>
      <c r="EB36" s="27">
        <f>COUNTIF(車両台帳!$BJ$57:$BJ$2056,EB$3&amp;"-"&amp;2)</f>
        <v>0</v>
      </c>
      <c r="EC36" s="27">
        <f>COUNTIF(車両台帳!$BJ$57:$BJ$2056,EC$3&amp;"-"&amp;2)</f>
        <v>0</v>
      </c>
      <c r="ED36" s="27">
        <f>COUNTIF(車両台帳!$BJ$57:$BJ$2056,ED$3&amp;"-"&amp;2)</f>
        <v>0</v>
      </c>
      <c r="EE36" s="27">
        <f>COUNTIF(車両台帳!$BJ$57:$BJ$2056,EE$3&amp;"-"&amp;2)</f>
        <v>0</v>
      </c>
      <c r="EF36" s="27">
        <f>COUNTIF(車両台帳!$BJ$57:$BJ$2056,EF$3&amp;"-"&amp;2)</f>
        <v>0</v>
      </c>
      <c r="EG36" s="27">
        <f>COUNTIF(車両台帳!$BJ$57:$BJ$2056,EG$3&amp;"-"&amp;2)</f>
        <v>0</v>
      </c>
      <c r="EH36" s="27">
        <f>COUNTIF(車両台帳!$BJ$57:$BJ$2056,EH$3&amp;"-"&amp;2)</f>
        <v>0</v>
      </c>
      <c r="EI36" s="27">
        <f>COUNTIF(車両台帳!$BJ$57:$BJ$2056,EI$3&amp;"-"&amp;2)</f>
        <v>0</v>
      </c>
      <c r="EJ36" s="27">
        <f>COUNTIF(車両台帳!$BJ$57:$BJ$2056,EJ$3&amp;"-"&amp;2)</f>
        <v>0</v>
      </c>
      <c r="EK36" s="27">
        <f>COUNTIF(車両台帳!$BJ$57:$BJ$2056,EK$3&amp;"-"&amp;2)</f>
        <v>0</v>
      </c>
      <c r="EL36" s="27">
        <f>COUNTIF(車両台帳!$BJ$57:$BJ$2056,EL$3&amp;"-"&amp;2)</f>
        <v>0</v>
      </c>
      <c r="EM36" s="27">
        <f>COUNTIF(車両台帳!$BJ$57:$BJ$2056,EM$3&amp;"-"&amp;2)</f>
        <v>0</v>
      </c>
      <c r="EN36" s="27">
        <f>COUNTIF(車両台帳!$BJ$57:$BJ$2056,EN$3&amp;"-"&amp;2)</f>
        <v>0</v>
      </c>
      <c r="EO36" s="27">
        <f>COUNTIF(車両台帳!$BJ$57:$BJ$2056,EO$3&amp;"-"&amp;2)</f>
        <v>0</v>
      </c>
      <c r="EP36" s="27">
        <f>COUNTIF(車両台帳!$BJ$57:$BJ$2056,EP$3&amp;"-"&amp;2)</f>
        <v>0</v>
      </c>
      <c r="EQ36" s="27">
        <f>COUNTIF(車両台帳!$BJ$57:$BJ$2056,EQ$3&amp;"-"&amp;2)</f>
        <v>0</v>
      </c>
      <c r="ER36" s="27">
        <f>COUNTIF(車両台帳!$BJ$57:$BJ$2056,ER$3&amp;"-"&amp;2)</f>
        <v>0</v>
      </c>
      <c r="ES36" s="27">
        <f>COUNTIF(車両台帳!$BJ$57:$BJ$2056,ES$3&amp;"-"&amp;2)</f>
        <v>0</v>
      </c>
      <c r="ET36" s="27">
        <f>COUNTIF(車両台帳!$BJ$57:$BJ$2056,ET$3&amp;"-"&amp;2)</f>
        <v>0</v>
      </c>
      <c r="EU36" s="27">
        <f>COUNTIF(車両台帳!$BJ$57:$BJ$2056,EU$3&amp;"-"&amp;2)</f>
        <v>0</v>
      </c>
      <c r="EV36" s="27">
        <f>COUNTIF(車両台帳!$BJ$57:$BJ$2056,EV$3&amp;"-"&amp;2)</f>
        <v>0</v>
      </c>
      <c r="EW36" s="27">
        <f>COUNTIF(車両台帳!$BJ$57:$BJ$2056,EW$3&amp;"-"&amp;2)</f>
        <v>0</v>
      </c>
      <c r="EX36" s="27">
        <f>COUNTIF(車両台帳!$BJ$57:$BJ$2056,EX$3&amp;"-"&amp;2)</f>
        <v>0</v>
      </c>
      <c r="EY36" s="27">
        <f>COUNTIF(車両台帳!$BJ$57:$BJ$2056,EY$3&amp;"-"&amp;2)</f>
        <v>0</v>
      </c>
      <c r="EZ36" s="27">
        <f>COUNTIF(車両台帳!$BJ$57:$BJ$2056,EZ$3&amp;"-"&amp;2)</f>
        <v>0</v>
      </c>
      <c r="FA36" s="27">
        <f>COUNTIF(車両台帳!$BJ$57:$BJ$2056,FA$3&amp;"-"&amp;2)</f>
        <v>0</v>
      </c>
      <c r="FB36" s="27">
        <f>COUNTIF(車両台帳!$BJ$57:$BJ$2056,FB$3&amp;"-"&amp;2)</f>
        <v>0</v>
      </c>
      <c r="FC36" s="27">
        <f>COUNTIF(車両台帳!$BJ$57:$BJ$2056,FC$3&amp;"-"&amp;2)</f>
        <v>0</v>
      </c>
      <c r="FD36" s="27">
        <f>COUNTIF(車両台帳!$BJ$57:$BJ$2056,FD$3&amp;"-"&amp;2)</f>
        <v>0</v>
      </c>
      <c r="FE36" s="27">
        <f>COUNTIF(車両台帳!$BJ$57:$BJ$2056,FE$3&amp;"-"&amp;2)</f>
        <v>0</v>
      </c>
      <c r="FF36" s="27">
        <f>COUNTIF(車両台帳!$BJ$57:$BJ$2056,FF$3&amp;"-"&amp;2)</f>
        <v>0</v>
      </c>
      <c r="FG36" s="27">
        <f>COUNTIF(車両台帳!$BJ$57:$BJ$2056,FG$3&amp;"-"&amp;2)</f>
        <v>0</v>
      </c>
      <c r="FH36" s="27">
        <f>COUNTIF(車両台帳!$BJ$57:$BJ$2056,FH$3&amp;"-"&amp;2)</f>
        <v>0</v>
      </c>
      <c r="FI36" s="27">
        <f>COUNTIF(車両台帳!$BJ$57:$BJ$2056,FI$3&amp;"-"&amp;2)</f>
        <v>0</v>
      </c>
      <c r="FJ36" s="27">
        <f>COUNTIF(車両台帳!$BJ$57:$BJ$2056,FJ$3&amp;"-"&amp;2)</f>
        <v>0</v>
      </c>
      <c r="FK36" s="27">
        <f>COUNTIF(車両台帳!$BJ$57:$BJ$2056,FK$3&amp;"-"&amp;2)</f>
        <v>0</v>
      </c>
      <c r="FL36" s="27">
        <f>COUNTIF(車両台帳!$BJ$57:$BJ$2056,FL$3&amp;"-"&amp;2)</f>
        <v>0</v>
      </c>
      <c r="FM36" s="27">
        <f>COUNTIF(車両台帳!$BJ$57:$BJ$2056,FM$3&amp;"-"&amp;2)</f>
        <v>0</v>
      </c>
      <c r="FN36" s="27">
        <f>COUNTIF(車両台帳!$BJ$57:$BJ$2056,FN$3&amp;"-"&amp;2)</f>
        <v>0</v>
      </c>
      <c r="FO36" s="27">
        <f>COUNTIF(車両台帳!$BJ$57:$BJ$2056,FO$3&amp;"-"&amp;2)</f>
        <v>0</v>
      </c>
      <c r="FP36" s="27">
        <f>COUNTIF(車両台帳!$BJ$57:$BJ$2056,FP$3&amp;"-"&amp;2)</f>
        <v>0</v>
      </c>
      <c r="FQ36" s="27">
        <f>COUNTIF(車両台帳!$BJ$57:$BJ$2056,FQ$3&amp;"-"&amp;2)</f>
        <v>0</v>
      </c>
      <c r="FR36" s="27">
        <f>COUNTIF(車両台帳!$BJ$57:$BJ$2056,FR$3&amp;"-"&amp;2)</f>
        <v>0</v>
      </c>
      <c r="FS36" s="27">
        <f>COUNTIF(車両台帳!$BJ$57:$BJ$2056,FS$3&amp;"-"&amp;2)</f>
        <v>0</v>
      </c>
      <c r="FT36" s="27">
        <f>COUNTIF(車両台帳!$BJ$57:$BJ$2056,FT$3&amp;"-"&amp;2)</f>
        <v>0</v>
      </c>
      <c r="FU36" s="27">
        <f>COUNTIF(車両台帳!$BJ$57:$BJ$2056,FU$3&amp;"-"&amp;2)</f>
        <v>0</v>
      </c>
      <c r="FV36" s="27">
        <f>COUNTIF(車両台帳!$BJ$57:$BJ$2056,FV$3&amp;"-"&amp;2)</f>
        <v>0</v>
      </c>
      <c r="FW36" s="27">
        <f>COUNTIF(車両台帳!$BJ$57:$BJ$2056,FW$3&amp;"-"&amp;2)</f>
        <v>0</v>
      </c>
      <c r="FX36" s="27">
        <f>COUNTIF(車両台帳!$BJ$57:$BJ$2056,FX$3&amp;"-"&amp;2)</f>
        <v>0</v>
      </c>
      <c r="FY36" s="27">
        <f>COUNTIF(車両台帳!$BJ$57:$BJ$2056,FY$3&amp;"-"&amp;2)</f>
        <v>0</v>
      </c>
      <c r="FZ36" s="27">
        <f>COUNTIF(車両台帳!$BJ$57:$BJ$2056,FZ$3&amp;"-"&amp;2)</f>
        <v>0</v>
      </c>
      <c r="GA36" s="27">
        <f>COUNTIF(車両台帳!$BJ$57:$BJ$2056,GA$3&amp;"-"&amp;2)</f>
        <v>0</v>
      </c>
      <c r="GB36" s="27">
        <f>COUNTIF(車両台帳!$BJ$57:$BJ$2056,GB$3&amp;"-"&amp;2)</f>
        <v>0</v>
      </c>
      <c r="GC36" s="27">
        <f>COUNTIF(車両台帳!$BJ$57:$BJ$2056,GC$3&amp;"-"&amp;2)</f>
        <v>0</v>
      </c>
      <c r="GD36" s="27">
        <f>COUNTIF(車両台帳!$BJ$57:$BJ$2056,GD$3&amp;"-"&amp;2)</f>
        <v>0</v>
      </c>
      <c r="GE36" s="27">
        <f>COUNTIF(車両台帳!$BJ$57:$BJ$2056,GE$3&amp;"-"&amp;2)</f>
        <v>0</v>
      </c>
      <c r="GF36" s="27">
        <f>COUNTIF(車両台帳!$BJ$57:$BJ$2056,GF$3&amp;"-"&amp;2)</f>
        <v>0</v>
      </c>
      <c r="GG36" s="27">
        <f>COUNTIF(車両台帳!$BJ$57:$BJ$2056,GG$3&amp;"-"&amp;2)</f>
        <v>0</v>
      </c>
      <c r="GH36" s="27">
        <f>COUNTIF(車両台帳!$BJ$57:$BJ$2056,GH$3&amp;"-"&amp;2)</f>
        <v>0</v>
      </c>
      <c r="GI36" s="27">
        <f>COUNTIF(車両台帳!$BJ$57:$BJ$2056,GI$3&amp;"-"&amp;2)</f>
        <v>0</v>
      </c>
      <c r="GJ36" s="27">
        <f>COUNTIF(車両台帳!$BJ$57:$BJ$2056,GJ$3&amp;"-"&amp;2)</f>
        <v>0</v>
      </c>
      <c r="GK36" s="27">
        <f>COUNTIF(車両台帳!$BJ$57:$BJ$2056,GK$3&amp;"-"&amp;2)</f>
        <v>0</v>
      </c>
      <c r="GL36" s="27">
        <f>COUNTIF(車両台帳!$BJ$57:$BJ$2056,GL$3&amp;"-"&amp;2)</f>
        <v>0</v>
      </c>
      <c r="GM36" s="27">
        <f>COUNTIF(車両台帳!$BJ$57:$BJ$2056,GM$3&amp;"-"&amp;2)</f>
        <v>0</v>
      </c>
      <c r="GN36" s="27">
        <f>COUNTIF(車両台帳!$BJ$57:$BJ$2056,GN$3&amp;"-"&amp;2)</f>
        <v>0</v>
      </c>
      <c r="GO36" s="27">
        <f>COUNTIF(車両台帳!$BJ$57:$BJ$2056,GO$3&amp;"-"&amp;2)</f>
        <v>0</v>
      </c>
      <c r="GP36" s="27">
        <f>COUNTIF(車両台帳!$BJ$57:$BJ$2056,GP$3&amp;"-"&amp;2)</f>
        <v>0</v>
      </c>
      <c r="GQ36" s="27">
        <f>COUNTIF(車両台帳!$BJ$57:$BJ$2056,GQ$3&amp;"-"&amp;2)</f>
        <v>0</v>
      </c>
      <c r="GR36" s="27">
        <f>COUNTIF(車両台帳!$BJ$57:$BJ$2056,GR$3&amp;"-"&amp;2)</f>
        <v>0</v>
      </c>
      <c r="GS36" s="27">
        <f>COUNTIF(車両台帳!$BJ$57:$BJ$2056,GS$3&amp;"-"&amp;2)</f>
        <v>0</v>
      </c>
      <c r="GT36" s="27">
        <f>COUNTIF(車両台帳!$BJ$57:$BJ$2056,GT$3&amp;"-"&amp;2)</f>
        <v>0</v>
      </c>
      <c r="GU36" s="27">
        <f>COUNTIF(車両台帳!$BJ$57:$BJ$2056,GU$3&amp;"-"&amp;2)</f>
        <v>0</v>
      </c>
    </row>
    <row r="37" spans="2:203">
      <c r="C37" s="45" t="s">
        <v>29</v>
      </c>
      <c r="D37" s="26">
        <f>COUNTIF(車両台帳!$BJ$57:$BJ$2056,D$3&amp;"-"&amp;11)</f>
        <v>0</v>
      </c>
      <c r="E37" s="26">
        <f>COUNTIF(車両台帳!$BJ$57:$BJ$2056,E$3&amp;"-"&amp;11)</f>
        <v>0</v>
      </c>
      <c r="F37" s="26">
        <f>COUNTIF(車両台帳!$BJ$57:$BJ$2056,F$3&amp;"-"&amp;11)</f>
        <v>0</v>
      </c>
      <c r="G37" s="26">
        <f>COUNTIF(車両台帳!$BJ$57:$BJ$2056,G$3&amp;"-"&amp;11)</f>
        <v>0</v>
      </c>
      <c r="H37" s="26">
        <f>COUNTIF(車両台帳!$BJ$57:$BJ$2056,H$3&amp;"-"&amp;11)</f>
        <v>0</v>
      </c>
      <c r="I37" s="26">
        <f>COUNTIF(車両台帳!$BJ$57:$BJ$2056,I$3&amp;"-"&amp;11)</f>
        <v>0</v>
      </c>
      <c r="J37" s="26">
        <f>COUNTIF(車両台帳!$BJ$57:$BJ$2056,J$3&amp;"-"&amp;11)</f>
        <v>0</v>
      </c>
      <c r="K37" s="26">
        <f>COUNTIF(車両台帳!$BJ$57:$BJ$2056,K$3&amp;"-"&amp;11)</f>
        <v>0</v>
      </c>
      <c r="L37" s="26">
        <f>COUNTIF(車両台帳!$BJ$57:$BJ$2056,L$3&amp;"-"&amp;11)</f>
        <v>0</v>
      </c>
      <c r="M37" s="26">
        <f>COUNTIF(車両台帳!$BJ$57:$BJ$2056,M$3&amp;"-"&amp;11)</f>
        <v>0</v>
      </c>
      <c r="N37" s="26">
        <f>COUNTIF(車両台帳!$BJ$57:$BJ$2056,N$3&amp;"-"&amp;11)</f>
        <v>0</v>
      </c>
      <c r="O37" s="26">
        <f>COUNTIF(車両台帳!$BJ$57:$BJ$2056,O$3&amp;"-"&amp;11)</f>
        <v>0</v>
      </c>
      <c r="P37" s="26">
        <f>COUNTIF(車両台帳!$BJ$57:$BJ$2056,P$3&amp;"-"&amp;11)</f>
        <v>0</v>
      </c>
      <c r="Q37" s="26">
        <f>COUNTIF(車両台帳!$BJ$57:$BJ$2056,Q$3&amp;"-"&amp;11)</f>
        <v>0</v>
      </c>
      <c r="R37" s="26">
        <f>COUNTIF(車両台帳!$BJ$57:$BJ$2056,R$3&amp;"-"&amp;11)</f>
        <v>0</v>
      </c>
      <c r="S37" s="26">
        <f>COUNTIF(車両台帳!$BJ$57:$BJ$2056,S$3&amp;"-"&amp;11)</f>
        <v>0</v>
      </c>
      <c r="T37" s="26">
        <f>COUNTIF(車両台帳!$BJ$57:$BJ$2056,T$3&amp;"-"&amp;11)</f>
        <v>0</v>
      </c>
      <c r="U37" s="26">
        <f>COUNTIF(車両台帳!$BJ$57:$BJ$2056,U$3&amp;"-"&amp;11)</f>
        <v>0</v>
      </c>
      <c r="V37" s="26">
        <f>COUNTIF(車両台帳!$BJ$57:$BJ$2056,V$3&amp;"-"&amp;11)</f>
        <v>0</v>
      </c>
      <c r="W37" s="26">
        <f>COUNTIF(車両台帳!$BJ$57:$BJ$2056,W$3&amp;"-"&amp;11)</f>
        <v>0</v>
      </c>
      <c r="X37" s="26">
        <f>COUNTIF(車両台帳!$BJ$57:$BJ$2056,X$3&amp;"-"&amp;11)</f>
        <v>0</v>
      </c>
      <c r="Y37" s="26">
        <f>COUNTIF(車両台帳!$BJ$57:$BJ$2056,Y$3&amp;"-"&amp;11)</f>
        <v>0</v>
      </c>
      <c r="Z37" s="26">
        <f>COUNTIF(車両台帳!$BJ$57:$BJ$2056,Z$3&amp;"-"&amp;11)</f>
        <v>0</v>
      </c>
      <c r="AA37" s="26">
        <f>COUNTIF(車両台帳!$BJ$57:$BJ$2056,AA$3&amp;"-"&amp;11)</f>
        <v>0</v>
      </c>
      <c r="AB37" s="26">
        <f>COUNTIF(車両台帳!$BJ$57:$BJ$2056,AB$3&amp;"-"&amp;11)</f>
        <v>0</v>
      </c>
      <c r="AC37" s="26">
        <f>COUNTIF(車両台帳!$BJ$57:$BJ$2056,AC$3&amp;"-"&amp;11)</f>
        <v>0</v>
      </c>
      <c r="AD37" s="26">
        <f>COUNTIF(車両台帳!$BJ$57:$BJ$2056,AD$3&amp;"-"&amp;11)</f>
        <v>0</v>
      </c>
      <c r="AE37" s="26">
        <f>COUNTIF(車両台帳!$BJ$57:$BJ$2056,AE$3&amp;"-"&amp;11)</f>
        <v>0</v>
      </c>
      <c r="AF37" s="26">
        <f>COUNTIF(車両台帳!$BJ$57:$BJ$2056,AF$3&amp;"-"&amp;11)</f>
        <v>0</v>
      </c>
      <c r="AG37" s="26">
        <f>COUNTIF(車両台帳!$BJ$57:$BJ$2056,AG$3&amp;"-"&amp;11)</f>
        <v>0</v>
      </c>
      <c r="AH37" s="26">
        <f>COUNTIF(車両台帳!$BJ$57:$BJ$2056,AH$3&amp;"-"&amp;11)</f>
        <v>0</v>
      </c>
      <c r="AI37" s="26">
        <f>COUNTIF(車両台帳!$BJ$57:$BJ$2056,AI$3&amp;"-"&amp;11)</f>
        <v>0</v>
      </c>
      <c r="AJ37" s="26">
        <f>COUNTIF(車両台帳!$BJ$57:$BJ$2056,AJ$3&amp;"-"&amp;11)</f>
        <v>0</v>
      </c>
      <c r="AK37" s="26">
        <f>COUNTIF(車両台帳!$BJ$57:$BJ$2056,AK$3&amp;"-"&amp;11)</f>
        <v>0</v>
      </c>
      <c r="AL37" s="26">
        <f>COUNTIF(車両台帳!$BJ$57:$BJ$2056,AL$3&amp;"-"&amp;11)</f>
        <v>0</v>
      </c>
      <c r="AM37" s="26">
        <f>COUNTIF(車両台帳!$BJ$57:$BJ$2056,AM$3&amp;"-"&amp;11)</f>
        <v>0</v>
      </c>
      <c r="AN37" s="26">
        <f>COUNTIF(車両台帳!$BJ$57:$BJ$2056,AN$3&amp;"-"&amp;11)</f>
        <v>0</v>
      </c>
      <c r="AO37" s="26">
        <f>COUNTIF(車両台帳!$BJ$57:$BJ$2056,AO$3&amp;"-"&amp;11)</f>
        <v>0</v>
      </c>
      <c r="AP37" s="26">
        <f>COUNTIF(車両台帳!$BJ$57:$BJ$2056,AP$3&amp;"-"&amp;11)</f>
        <v>0</v>
      </c>
      <c r="AQ37" s="26">
        <f>COUNTIF(車両台帳!$BJ$57:$BJ$2056,AQ$3&amp;"-"&amp;11)</f>
        <v>0</v>
      </c>
      <c r="AR37" s="26">
        <f>COUNTIF(車両台帳!$BJ$57:$BJ$2056,AR$3&amp;"-"&amp;11)</f>
        <v>0</v>
      </c>
      <c r="AS37" s="26">
        <f>COUNTIF(車両台帳!$BJ$57:$BJ$2056,AS$3&amp;"-"&amp;11)</f>
        <v>0</v>
      </c>
      <c r="AT37" s="26">
        <f>COUNTIF(車両台帳!$BJ$57:$BJ$2056,AT$3&amp;"-"&amp;11)</f>
        <v>0</v>
      </c>
      <c r="AU37" s="26">
        <f>COUNTIF(車両台帳!$BJ$57:$BJ$2056,AU$3&amp;"-"&amp;11)</f>
        <v>0</v>
      </c>
      <c r="AV37" s="26">
        <f>COUNTIF(車両台帳!$BJ$57:$BJ$2056,AV$3&amp;"-"&amp;11)</f>
        <v>0</v>
      </c>
      <c r="AW37" s="26">
        <f>COUNTIF(車両台帳!$BJ$57:$BJ$2056,AW$3&amp;"-"&amp;11)</f>
        <v>0</v>
      </c>
      <c r="AX37" s="26">
        <f>COUNTIF(車両台帳!$BJ$57:$BJ$2056,AX$3&amp;"-"&amp;11)</f>
        <v>0</v>
      </c>
      <c r="AY37" s="26">
        <f>COUNTIF(車両台帳!$BJ$57:$BJ$2056,AY$3&amp;"-"&amp;11)</f>
        <v>0</v>
      </c>
      <c r="AZ37" s="26">
        <f>COUNTIF(車両台帳!$BJ$57:$BJ$2056,AZ$3&amp;"-"&amp;11)</f>
        <v>0</v>
      </c>
      <c r="BA37" s="26">
        <f>COUNTIF(車両台帳!$BJ$57:$BJ$2056,BA$3&amp;"-"&amp;11)</f>
        <v>0</v>
      </c>
      <c r="BB37" s="26">
        <f>COUNTIF(車両台帳!$BJ$57:$BJ$2056,BB$3&amp;"-"&amp;11)</f>
        <v>0</v>
      </c>
      <c r="BC37" s="26">
        <f>COUNTIF(車両台帳!$BJ$57:$BJ$2056,BC$3&amp;"-"&amp;11)</f>
        <v>0</v>
      </c>
      <c r="BD37" s="26">
        <f>COUNTIF(車両台帳!$BJ$57:$BJ$2056,BD$3&amp;"-"&amp;11)</f>
        <v>0</v>
      </c>
      <c r="BE37" s="26">
        <f>COUNTIF(車両台帳!$BJ$57:$BJ$2056,BE$3&amp;"-"&amp;11)</f>
        <v>0</v>
      </c>
      <c r="BF37" s="26">
        <f>COUNTIF(車両台帳!$BJ$57:$BJ$2056,BF$3&amp;"-"&amp;11)</f>
        <v>0</v>
      </c>
      <c r="BG37" s="26">
        <f>COUNTIF(車両台帳!$BJ$57:$BJ$2056,BG$3&amp;"-"&amp;11)</f>
        <v>0</v>
      </c>
      <c r="BH37" s="26">
        <f>COUNTIF(車両台帳!$BJ$57:$BJ$2056,BH$3&amp;"-"&amp;11)</f>
        <v>0</v>
      </c>
      <c r="BI37" s="26">
        <f>COUNTIF(車両台帳!$BJ$57:$BJ$2056,BI$3&amp;"-"&amp;11)</f>
        <v>0</v>
      </c>
      <c r="BJ37" s="26">
        <f>COUNTIF(車両台帳!$BJ$57:$BJ$2056,BJ$3&amp;"-"&amp;11)</f>
        <v>0</v>
      </c>
      <c r="BK37" s="26">
        <f>COUNTIF(車両台帳!$BJ$57:$BJ$2056,BK$3&amp;"-"&amp;11)</f>
        <v>0</v>
      </c>
      <c r="BL37" s="26">
        <f>COUNTIF(車両台帳!$BJ$57:$BJ$2056,BL$3&amp;"-"&amp;11)</f>
        <v>0</v>
      </c>
      <c r="BM37" s="26">
        <f>COUNTIF(車両台帳!$BJ$57:$BJ$2056,BM$3&amp;"-"&amp;11)</f>
        <v>0</v>
      </c>
      <c r="BN37" s="26">
        <f>COUNTIF(車両台帳!$BJ$57:$BJ$2056,BN$3&amp;"-"&amp;11)</f>
        <v>0</v>
      </c>
      <c r="BO37" s="26">
        <f>COUNTIF(車両台帳!$BJ$57:$BJ$2056,BO$3&amp;"-"&amp;11)</f>
        <v>0</v>
      </c>
      <c r="BP37" s="26">
        <f>COUNTIF(車両台帳!$BJ$57:$BJ$2056,BP$3&amp;"-"&amp;11)</f>
        <v>0</v>
      </c>
      <c r="BQ37" s="26">
        <f>COUNTIF(車両台帳!$BJ$57:$BJ$2056,BQ$3&amp;"-"&amp;11)</f>
        <v>0</v>
      </c>
      <c r="BR37" s="26">
        <f>COUNTIF(車両台帳!$BJ$57:$BJ$2056,BR$3&amp;"-"&amp;11)</f>
        <v>0</v>
      </c>
      <c r="BS37" s="26">
        <f>COUNTIF(車両台帳!$BJ$57:$BJ$2056,BS$3&amp;"-"&amp;11)</f>
        <v>0</v>
      </c>
      <c r="BT37" s="26">
        <f>COUNTIF(車両台帳!$BJ$57:$BJ$2056,BT$3&amp;"-"&amp;11)</f>
        <v>0</v>
      </c>
      <c r="BU37" s="26">
        <f>COUNTIF(車両台帳!$BJ$57:$BJ$2056,BU$3&amp;"-"&amp;11)</f>
        <v>0</v>
      </c>
      <c r="BV37" s="26">
        <f>COUNTIF(車両台帳!$BJ$57:$BJ$2056,BV$3&amp;"-"&amp;11)</f>
        <v>0</v>
      </c>
      <c r="BW37" s="26">
        <f>COUNTIF(車両台帳!$BJ$57:$BJ$2056,BW$3&amp;"-"&amp;11)</f>
        <v>0</v>
      </c>
      <c r="BX37" s="26">
        <f>COUNTIF(車両台帳!$BJ$57:$BJ$2056,BX$3&amp;"-"&amp;11)</f>
        <v>0</v>
      </c>
      <c r="BY37" s="26">
        <f>COUNTIF(車両台帳!$BJ$57:$BJ$2056,BY$3&amp;"-"&amp;11)</f>
        <v>0</v>
      </c>
      <c r="BZ37" s="26">
        <f>COUNTIF(車両台帳!$BJ$57:$BJ$2056,BZ$3&amp;"-"&amp;11)</f>
        <v>0</v>
      </c>
      <c r="CA37" s="26">
        <f>COUNTIF(車両台帳!$BJ$57:$BJ$2056,CA$3&amp;"-"&amp;11)</f>
        <v>0</v>
      </c>
      <c r="CB37" s="26">
        <f>COUNTIF(車両台帳!$BJ$57:$BJ$2056,CB$3&amp;"-"&amp;11)</f>
        <v>0</v>
      </c>
      <c r="CC37" s="26">
        <f>COUNTIF(車両台帳!$BJ$57:$BJ$2056,CC$3&amp;"-"&amp;11)</f>
        <v>0</v>
      </c>
      <c r="CD37" s="26">
        <f>COUNTIF(車両台帳!$BJ$57:$BJ$2056,CD$3&amp;"-"&amp;11)</f>
        <v>0</v>
      </c>
      <c r="CE37" s="26">
        <f>COUNTIF(車両台帳!$BJ$57:$BJ$2056,CE$3&amp;"-"&amp;11)</f>
        <v>0</v>
      </c>
      <c r="CF37" s="26">
        <f>COUNTIF(車両台帳!$BJ$57:$BJ$2056,CF$3&amp;"-"&amp;11)</f>
        <v>0</v>
      </c>
      <c r="CG37" s="26">
        <f>COUNTIF(車両台帳!$BJ$57:$BJ$2056,CG$3&amp;"-"&amp;11)</f>
        <v>0</v>
      </c>
      <c r="CH37" s="26">
        <f>COUNTIF(車両台帳!$BJ$57:$BJ$2056,CH$3&amp;"-"&amp;11)</f>
        <v>0</v>
      </c>
      <c r="CI37" s="26">
        <f>COUNTIF(車両台帳!$BJ$57:$BJ$2056,CI$3&amp;"-"&amp;11)</f>
        <v>0</v>
      </c>
      <c r="CJ37" s="26">
        <f>COUNTIF(車両台帳!$BJ$57:$BJ$2056,CJ$3&amp;"-"&amp;11)</f>
        <v>0</v>
      </c>
      <c r="CK37" s="26">
        <f>COUNTIF(車両台帳!$BJ$57:$BJ$2056,CK$3&amp;"-"&amp;11)</f>
        <v>0</v>
      </c>
      <c r="CL37" s="26">
        <f>COUNTIF(車両台帳!$BJ$57:$BJ$2056,CL$3&amp;"-"&amp;11)</f>
        <v>0</v>
      </c>
      <c r="CM37" s="26">
        <f>COUNTIF(車両台帳!$BJ$57:$BJ$2056,CM$3&amp;"-"&amp;11)</f>
        <v>0</v>
      </c>
      <c r="CN37" s="26">
        <f>COUNTIF(車両台帳!$BJ$57:$BJ$2056,CN$3&amp;"-"&amp;11)</f>
        <v>0</v>
      </c>
      <c r="CO37" s="26">
        <f>COUNTIF(車両台帳!$BJ$57:$BJ$2056,CO$3&amp;"-"&amp;11)</f>
        <v>0</v>
      </c>
      <c r="CP37" s="26">
        <f>COUNTIF(車両台帳!$BJ$57:$BJ$2056,CP$3&amp;"-"&amp;11)</f>
        <v>0</v>
      </c>
      <c r="CQ37" s="26">
        <f>COUNTIF(車両台帳!$BJ$57:$BJ$2056,CQ$3&amp;"-"&amp;11)</f>
        <v>0</v>
      </c>
      <c r="CR37" s="26">
        <f>COUNTIF(車両台帳!$BJ$57:$BJ$2056,CR$3&amp;"-"&amp;11)</f>
        <v>0</v>
      </c>
      <c r="CS37" s="26">
        <f>COUNTIF(車両台帳!$BJ$57:$BJ$2056,CS$3&amp;"-"&amp;11)</f>
        <v>0</v>
      </c>
      <c r="CT37" s="26">
        <f>COUNTIF(車両台帳!$BJ$57:$BJ$2056,CT$3&amp;"-"&amp;11)</f>
        <v>0</v>
      </c>
      <c r="CU37" s="26">
        <f>COUNTIF(車両台帳!$BJ$57:$BJ$2056,CU$3&amp;"-"&amp;11)</f>
        <v>0</v>
      </c>
      <c r="CV37" s="26">
        <f>COUNTIF(車両台帳!$BJ$57:$BJ$2056,CV$3&amp;"-"&amp;11)</f>
        <v>0</v>
      </c>
      <c r="CW37" s="26">
        <f>COUNTIF(車両台帳!$BJ$57:$BJ$2056,CW$3&amp;"-"&amp;11)</f>
        <v>0</v>
      </c>
      <c r="CX37" s="26">
        <f>COUNTIF(車両台帳!$BJ$57:$BJ$2056,CX$3&amp;"-"&amp;11)</f>
        <v>0</v>
      </c>
      <c r="CY37" s="26">
        <f>COUNTIF(車両台帳!$BJ$57:$BJ$2056,CY$3&amp;"-"&amp;11)</f>
        <v>0</v>
      </c>
      <c r="CZ37" s="26">
        <f>COUNTIF(車両台帳!$BJ$57:$BJ$2056,CZ$3&amp;"-"&amp;11)</f>
        <v>0</v>
      </c>
      <c r="DA37" s="26">
        <f>COUNTIF(車両台帳!$BJ$57:$BJ$2056,DA$3&amp;"-"&amp;11)</f>
        <v>0</v>
      </c>
      <c r="DB37" s="26">
        <f>COUNTIF(車両台帳!$BJ$57:$BJ$2056,DB$3&amp;"-"&amp;11)</f>
        <v>0</v>
      </c>
      <c r="DC37" s="26">
        <f>COUNTIF(車両台帳!$BJ$57:$BJ$2056,DC$3&amp;"-"&amp;11)</f>
        <v>0</v>
      </c>
      <c r="DD37" s="26">
        <f>COUNTIF(車両台帳!$BJ$57:$BJ$2056,DD$3&amp;"-"&amp;11)</f>
        <v>0</v>
      </c>
      <c r="DE37" s="26">
        <f>COUNTIF(車両台帳!$BJ$57:$BJ$2056,DE$3&amp;"-"&amp;11)</f>
        <v>0</v>
      </c>
      <c r="DF37" s="26">
        <f>COUNTIF(車両台帳!$BJ$57:$BJ$2056,DF$3&amp;"-"&amp;11)</f>
        <v>0</v>
      </c>
      <c r="DG37" s="26">
        <f>COUNTIF(車両台帳!$BJ$57:$BJ$2056,DG$3&amp;"-"&amp;11)</f>
        <v>0</v>
      </c>
      <c r="DH37" s="26">
        <f>COUNTIF(車両台帳!$BJ$57:$BJ$2056,DH$3&amp;"-"&amp;11)</f>
        <v>0</v>
      </c>
      <c r="DI37" s="26">
        <f>COUNTIF(車両台帳!$BJ$57:$BJ$2056,DI$3&amp;"-"&amp;11)</f>
        <v>0</v>
      </c>
      <c r="DJ37" s="26">
        <f>COUNTIF(車両台帳!$BJ$57:$BJ$2056,DJ$3&amp;"-"&amp;11)</f>
        <v>0</v>
      </c>
      <c r="DK37" s="26">
        <f>COUNTIF(車両台帳!$BJ$57:$BJ$2056,DK$3&amp;"-"&amp;11)</f>
        <v>0</v>
      </c>
      <c r="DL37" s="26">
        <f>COUNTIF(車両台帳!$BJ$57:$BJ$2056,DL$3&amp;"-"&amp;11)</f>
        <v>0</v>
      </c>
      <c r="DM37" s="26">
        <f>COUNTIF(車両台帳!$BJ$57:$BJ$2056,DM$3&amp;"-"&amp;11)</f>
        <v>0</v>
      </c>
      <c r="DN37" s="26">
        <f>COUNTIF(車両台帳!$BJ$57:$BJ$2056,DN$3&amp;"-"&amp;11)</f>
        <v>0</v>
      </c>
      <c r="DO37" s="26">
        <f>COUNTIF(車両台帳!$BJ$57:$BJ$2056,DO$3&amp;"-"&amp;11)</f>
        <v>0</v>
      </c>
      <c r="DP37" s="26">
        <f>COUNTIF(車両台帳!$BJ$57:$BJ$2056,DP$3&amp;"-"&amp;11)</f>
        <v>0</v>
      </c>
      <c r="DQ37" s="26">
        <f>COUNTIF(車両台帳!$BJ$57:$BJ$2056,DQ$3&amp;"-"&amp;11)</f>
        <v>0</v>
      </c>
      <c r="DR37" s="26">
        <f>COUNTIF(車両台帳!$BJ$57:$BJ$2056,DR$3&amp;"-"&amp;11)</f>
        <v>0</v>
      </c>
      <c r="DS37" s="26">
        <f>COUNTIF(車両台帳!$BJ$57:$BJ$2056,DS$3&amp;"-"&amp;11)</f>
        <v>0</v>
      </c>
      <c r="DT37" s="26">
        <f>COUNTIF(車両台帳!$BJ$57:$BJ$2056,DT$3&amp;"-"&amp;11)</f>
        <v>0</v>
      </c>
      <c r="DU37" s="26">
        <f>COUNTIF(車両台帳!$BJ$57:$BJ$2056,DU$3&amp;"-"&amp;11)</f>
        <v>0</v>
      </c>
      <c r="DV37" s="26">
        <f>COUNTIF(車両台帳!$BJ$57:$BJ$2056,DV$3&amp;"-"&amp;11)</f>
        <v>0</v>
      </c>
      <c r="DW37" s="26">
        <f>COUNTIF(車両台帳!$BJ$57:$BJ$2056,DW$3&amp;"-"&amp;11)</f>
        <v>0</v>
      </c>
      <c r="DX37" s="26">
        <f>COUNTIF(車両台帳!$BJ$57:$BJ$2056,DX$3&amp;"-"&amp;11)</f>
        <v>0</v>
      </c>
      <c r="DY37" s="26">
        <f>COUNTIF(車両台帳!$BJ$57:$BJ$2056,DY$3&amp;"-"&amp;11)</f>
        <v>0</v>
      </c>
      <c r="DZ37" s="26">
        <f>COUNTIF(車両台帳!$BJ$57:$BJ$2056,DZ$3&amp;"-"&amp;11)</f>
        <v>0</v>
      </c>
      <c r="EA37" s="26">
        <f>COUNTIF(車両台帳!$BJ$57:$BJ$2056,EA$3&amp;"-"&amp;11)</f>
        <v>0</v>
      </c>
      <c r="EB37" s="26">
        <f>COUNTIF(車両台帳!$BJ$57:$BJ$2056,EB$3&amp;"-"&amp;11)</f>
        <v>0</v>
      </c>
      <c r="EC37" s="26">
        <f>COUNTIF(車両台帳!$BJ$57:$BJ$2056,EC$3&amp;"-"&amp;11)</f>
        <v>0</v>
      </c>
      <c r="ED37" s="26">
        <f>COUNTIF(車両台帳!$BJ$57:$BJ$2056,ED$3&amp;"-"&amp;11)</f>
        <v>0</v>
      </c>
      <c r="EE37" s="26">
        <f>COUNTIF(車両台帳!$BJ$57:$BJ$2056,EE$3&amp;"-"&amp;11)</f>
        <v>0</v>
      </c>
      <c r="EF37" s="26">
        <f>COUNTIF(車両台帳!$BJ$57:$BJ$2056,EF$3&amp;"-"&amp;11)</f>
        <v>0</v>
      </c>
      <c r="EG37" s="26">
        <f>COUNTIF(車両台帳!$BJ$57:$BJ$2056,EG$3&amp;"-"&amp;11)</f>
        <v>0</v>
      </c>
      <c r="EH37" s="26">
        <f>COUNTIF(車両台帳!$BJ$57:$BJ$2056,EH$3&amp;"-"&amp;11)</f>
        <v>0</v>
      </c>
      <c r="EI37" s="26">
        <f>COUNTIF(車両台帳!$BJ$57:$BJ$2056,EI$3&amp;"-"&amp;11)</f>
        <v>0</v>
      </c>
      <c r="EJ37" s="26">
        <f>COUNTIF(車両台帳!$BJ$57:$BJ$2056,EJ$3&amp;"-"&amp;11)</f>
        <v>0</v>
      </c>
      <c r="EK37" s="26">
        <f>COUNTIF(車両台帳!$BJ$57:$BJ$2056,EK$3&amp;"-"&amp;11)</f>
        <v>0</v>
      </c>
      <c r="EL37" s="26">
        <f>COUNTIF(車両台帳!$BJ$57:$BJ$2056,EL$3&amp;"-"&amp;11)</f>
        <v>0</v>
      </c>
      <c r="EM37" s="26">
        <f>COUNTIF(車両台帳!$BJ$57:$BJ$2056,EM$3&amp;"-"&amp;11)</f>
        <v>0</v>
      </c>
      <c r="EN37" s="26">
        <f>COUNTIF(車両台帳!$BJ$57:$BJ$2056,EN$3&amp;"-"&amp;11)</f>
        <v>0</v>
      </c>
      <c r="EO37" s="26">
        <f>COUNTIF(車両台帳!$BJ$57:$BJ$2056,EO$3&amp;"-"&amp;11)</f>
        <v>0</v>
      </c>
      <c r="EP37" s="26">
        <f>COUNTIF(車両台帳!$BJ$57:$BJ$2056,EP$3&amp;"-"&amp;11)</f>
        <v>0</v>
      </c>
      <c r="EQ37" s="26">
        <f>COUNTIF(車両台帳!$BJ$57:$BJ$2056,EQ$3&amp;"-"&amp;11)</f>
        <v>0</v>
      </c>
      <c r="ER37" s="26">
        <f>COUNTIF(車両台帳!$BJ$57:$BJ$2056,ER$3&amp;"-"&amp;11)</f>
        <v>0</v>
      </c>
      <c r="ES37" s="26">
        <f>COUNTIF(車両台帳!$BJ$57:$BJ$2056,ES$3&amp;"-"&amp;11)</f>
        <v>0</v>
      </c>
      <c r="ET37" s="26">
        <f>COUNTIF(車両台帳!$BJ$57:$BJ$2056,ET$3&amp;"-"&amp;11)</f>
        <v>0</v>
      </c>
      <c r="EU37" s="26">
        <f>COUNTIF(車両台帳!$BJ$57:$BJ$2056,EU$3&amp;"-"&amp;11)</f>
        <v>0</v>
      </c>
      <c r="EV37" s="26">
        <f>COUNTIF(車両台帳!$BJ$57:$BJ$2056,EV$3&amp;"-"&amp;11)</f>
        <v>0</v>
      </c>
      <c r="EW37" s="26">
        <f>COUNTIF(車両台帳!$BJ$57:$BJ$2056,EW$3&amp;"-"&amp;11)</f>
        <v>0</v>
      </c>
      <c r="EX37" s="26">
        <f>COUNTIF(車両台帳!$BJ$57:$BJ$2056,EX$3&amp;"-"&amp;11)</f>
        <v>0</v>
      </c>
      <c r="EY37" s="26">
        <f>COUNTIF(車両台帳!$BJ$57:$BJ$2056,EY$3&amp;"-"&amp;11)</f>
        <v>0</v>
      </c>
      <c r="EZ37" s="26">
        <f>COUNTIF(車両台帳!$BJ$57:$BJ$2056,EZ$3&amp;"-"&amp;11)</f>
        <v>0</v>
      </c>
      <c r="FA37" s="26">
        <f>COUNTIF(車両台帳!$BJ$57:$BJ$2056,FA$3&amp;"-"&amp;11)</f>
        <v>0</v>
      </c>
      <c r="FB37" s="26">
        <f>COUNTIF(車両台帳!$BJ$57:$BJ$2056,FB$3&amp;"-"&amp;11)</f>
        <v>0</v>
      </c>
      <c r="FC37" s="26">
        <f>COUNTIF(車両台帳!$BJ$57:$BJ$2056,FC$3&amp;"-"&amp;11)</f>
        <v>0</v>
      </c>
      <c r="FD37" s="26">
        <f>COUNTIF(車両台帳!$BJ$57:$BJ$2056,FD$3&amp;"-"&amp;11)</f>
        <v>0</v>
      </c>
      <c r="FE37" s="26">
        <f>COUNTIF(車両台帳!$BJ$57:$BJ$2056,FE$3&amp;"-"&amp;11)</f>
        <v>0</v>
      </c>
      <c r="FF37" s="26">
        <f>COUNTIF(車両台帳!$BJ$57:$BJ$2056,FF$3&amp;"-"&amp;11)</f>
        <v>0</v>
      </c>
      <c r="FG37" s="26">
        <f>COUNTIF(車両台帳!$BJ$57:$BJ$2056,FG$3&amp;"-"&amp;11)</f>
        <v>0</v>
      </c>
      <c r="FH37" s="26">
        <f>COUNTIF(車両台帳!$BJ$57:$BJ$2056,FH$3&amp;"-"&amp;11)</f>
        <v>0</v>
      </c>
      <c r="FI37" s="26">
        <f>COUNTIF(車両台帳!$BJ$57:$BJ$2056,FI$3&amp;"-"&amp;11)</f>
        <v>0</v>
      </c>
      <c r="FJ37" s="26">
        <f>COUNTIF(車両台帳!$BJ$57:$BJ$2056,FJ$3&amp;"-"&amp;11)</f>
        <v>0</v>
      </c>
      <c r="FK37" s="26">
        <f>COUNTIF(車両台帳!$BJ$57:$BJ$2056,FK$3&amp;"-"&amp;11)</f>
        <v>0</v>
      </c>
      <c r="FL37" s="26">
        <f>COUNTIF(車両台帳!$BJ$57:$BJ$2056,FL$3&amp;"-"&amp;11)</f>
        <v>0</v>
      </c>
      <c r="FM37" s="26">
        <f>COUNTIF(車両台帳!$BJ$57:$BJ$2056,FM$3&amp;"-"&amp;11)</f>
        <v>0</v>
      </c>
      <c r="FN37" s="26">
        <f>COUNTIF(車両台帳!$BJ$57:$BJ$2056,FN$3&amp;"-"&amp;11)</f>
        <v>0</v>
      </c>
      <c r="FO37" s="26">
        <f>COUNTIF(車両台帳!$BJ$57:$BJ$2056,FO$3&amp;"-"&amp;11)</f>
        <v>0</v>
      </c>
      <c r="FP37" s="26">
        <f>COUNTIF(車両台帳!$BJ$57:$BJ$2056,FP$3&amp;"-"&amp;11)</f>
        <v>0</v>
      </c>
      <c r="FQ37" s="26">
        <f>COUNTIF(車両台帳!$BJ$57:$BJ$2056,FQ$3&amp;"-"&amp;11)</f>
        <v>0</v>
      </c>
      <c r="FR37" s="26">
        <f>COUNTIF(車両台帳!$BJ$57:$BJ$2056,FR$3&amp;"-"&amp;11)</f>
        <v>0</v>
      </c>
      <c r="FS37" s="26">
        <f>COUNTIF(車両台帳!$BJ$57:$BJ$2056,FS$3&amp;"-"&amp;11)</f>
        <v>0</v>
      </c>
      <c r="FT37" s="26">
        <f>COUNTIF(車両台帳!$BJ$57:$BJ$2056,FT$3&amp;"-"&amp;11)</f>
        <v>0</v>
      </c>
      <c r="FU37" s="26">
        <f>COUNTIF(車両台帳!$BJ$57:$BJ$2056,FU$3&amp;"-"&amp;11)</f>
        <v>0</v>
      </c>
      <c r="FV37" s="26">
        <f>COUNTIF(車両台帳!$BJ$57:$BJ$2056,FV$3&amp;"-"&amp;11)</f>
        <v>0</v>
      </c>
      <c r="FW37" s="26">
        <f>COUNTIF(車両台帳!$BJ$57:$BJ$2056,FW$3&amp;"-"&amp;11)</f>
        <v>0</v>
      </c>
      <c r="FX37" s="26">
        <f>COUNTIF(車両台帳!$BJ$57:$BJ$2056,FX$3&amp;"-"&amp;11)</f>
        <v>0</v>
      </c>
      <c r="FY37" s="26">
        <f>COUNTIF(車両台帳!$BJ$57:$BJ$2056,FY$3&amp;"-"&amp;11)</f>
        <v>0</v>
      </c>
      <c r="FZ37" s="26">
        <f>COUNTIF(車両台帳!$BJ$57:$BJ$2056,FZ$3&amp;"-"&amp;11)</f>
        <v>0</v>
      </c>
      <c r="GA37" s="26">
        <f>COUNTIF(車両台帳!$BJ$57:$BJ$2056,GA$3&amp;"-"&amp;11)</f>
        <v>0</v>
      </c>
      <c r="GB37" s="26">
        <f>COUNTIF(車両台帳!$BJ$57:$BJ$2056,GB$3&amp;"-"&amp;11)</f>
        <v>0</v>
      </c>
      <c r="GC37" s="26">
        <f>COUNTIF(車両台帳!$BJ$57:$BJ$2056,GC$3&amp;"-"&amp;11)</f>
        <v>0</v>
      </c>
      <c r="GD37" s="26">
        <f>COUNTIF(車両台帳!$BJ$57:$BJ$2056,GD$3&amp;"-"&amp;11)</f>
        <v>0</v>
      </c>
      <c r="GE37" s="26">
        <f>COUNTIF(車両台帳!$BJ$57:$BJ$2056,GE$3&amp;"-"&amp;11)</f>
        <v>0</v>
      </c>
      <c r="GF37" s="26">
        <f>COUNTIF(車両台帳!$BJ$57:$BJ$2056,GF$3&amp;"-"&amp;11)</f>
        <v>0</v>
      </c>
      <c r="GG37" s="26">
        <f>COUNTIF(車両台帳!$BJ$57:$BJ$2056,GG$3&amp;"-"&amp;11)</f>
        <v>0</v>
      </c>
      <c r="GH37" s="26">
        <f>COUNTIF(車両台帳!$BJ$57:$BJ$2056,GH$3&amp;"-"&amp;11)</f>
        <v>0</v>
      </c>
      <c r="GI37" s="26">
        <f>COUNTIF(車両台帳!$BJ$57:$BJ$2056,GI$3&amp;"-"&amp;11)</f>
        <v>0</v>
      </c>
      <c r="GJ37" s="26">
        <f>COUNTIF(車両台帳!$BJ$57:$BJ$2056,GJ$3&amp;"-"&amp;11)</f>
        <v>0</v>
      </c>
      <c r="GK37" s="26">
        <f>COUNTIF(車両台帳!$BJ$57:$BJ$2056,GK$3&amp;"-"&amp;11)</f>
        <v>0</v>
      </c>
      <c r="GL37" s="26">
        <f>COUNTIF(車両台帳!$BJ$57:$BJ$2056,GL$3&amp;"-"&amp;11)</f>
        <v>0</v>
      </c>
      <c r="GM37" s="26">
        <f>COUNTIF(車両台帳!$BJ$57:$BJ$2056,GM$3&amp;"-"&amp;11)</f>
        <v>0</v>
      </c>
      <c r="GN37" s="26">
        <f>COUNTIF(車両台帳!$BJ$57:$BJ$2056,GN$3&amp;"-"&amp;11)</f>
        <v>0</v>
      </c>
      <c r="GO37" s="26">
        <f>COUNTIF(車両台帳!$BJ$57:$BJ$2056,GO$3&amp;"-"&amp;11)</f>
        <v>0</v>
      </c>
      <c r="GP37" s="26">
        <f>COUNTIF(車両台帳!$BJ$57:$BJ$2056,GP$3&amp;"-"&amp;11)</f>
        <v>0</v>
      </c>
      <c r="GQ37" s="26">
        <f>COUNTIF(車両台帳!$BJ$57:$BJ$2056,GQ$3&amp;"-"&amp;11)</f>
        <v>0</v>
      </c>
      <c r="GR37" s="26">
        <f>COUNTIF(車両台帳!$BJ$57:$BJ$2056,GR$3&amp;"-"&amp;11)</f>
        <v>0</v>
      </c>
      <c r="GS37" s="26">
        <f>COUNTIF(車両台帳!$BJ$57:$BJ$2056,GS$3&amp;"-"&amp;11)</f>
        <v>0</v>
      </c>
      <c r="GT37" s="26">
        <f>COUNTIF(車両台帳!$BJ$57:$BJ$2056,GT$3&amp;"-"&amp;11)</f>
        <v>0</v>
      </c>
      <c r="GU37" s="26">
        <f>COUNTIF(車両台帳!$BJ$57:$BJ$2056,GU$3&amp;"-"&amp;11)</f>
        <v>0</v>
      </c>
    </row>
    <row r="38" spans="2:203">
      <c r="C38" s="5" t="s">
        <v>480</v>
      </c>
      <c r="D38" s="26">
        <f>COUNTIF(車両台帳!$BJ$57:$BJ$2056,D$3&amp;"-"&amp;3)</f>
        <v>0</v>
      </c>
      <c r="E38" s="26">
        <f>COUNTIF(車両台帳!$BJ$57:$BJ$2056,E$3&amp;"-"&amp;3)</f>
        <v>0</v>
      </c>
      <c r="F38" s="26">
        <f>COUNTIF(車両台帳!$BJ$57:$BJ$2056,F$3&amp;"-"&amp;3)</f>
        <v>0</v>
      </c>
      <c r="G38" s="26">
        <f>COUNTIF(車両台帳!$BJ$57:$BJ$2056,G$3&amp;"-"&amp;3)</f>
        <v>0</v>
      </c>
      <c r="H38" s="26">
        <f>COUNTIF(車両台帳!$BJ$57:$BJ$2056,H$3&amp;"-"&amp;3)</f>
        <v>0</v>
      </c>
      <c r="I38" s="26">
        <f>COUNTIF(車両台帳!$BJ$57:$BJ$2056,I$3&amp;"-"&amp;3)</f>
        <v>0</v>
      </c>
      <c r="J38" s="26">
        <f>COUNTIF(車両台帳!$BJ$57:$BJ$2056,J$3&amp;"-"&amp;3)</f>
        <v>0</v>
      </c>
      <c r="K38" s="26">
        <f>COUNTIF(車両台帳!$BJ$57:$BJ$2056,K$3&amp;"-"&amp;3)</f>
        <v>0</v>
      </c>
      <c r="L38" s="26">
        <f>COUNTIF(車両台帳!$BJ$57:$BJ$2056,L$3&amp;"-"&amp;3)</f>
        <v>0</v>
      </c>
      <c r="M38" s="26">
        <f>COUNTIF(車両台帳!$BJ$57:$BJ$2056,M$3&amp;"-"&amp;3)</f>
        <v>0</v>
      </c>
      <c r="N38" s="26">
        <f>COUNTIF(車両台帳!$BJ$57:$BJ$2056,N$3&amp;"-"&amp;3)</f>
        <v>0</v>
      </c>
      <c r="O38" s="26">
        <f>COUNTIF(車両台帳!$BJ$57:$BJ$2056,O$3&amp;"-"&amp;3)</f>
        <v>0</v>
      </c>
      <c r="P38" s="26">
        <f>COUNTIF(車両台帳!$BJ$57:$BJ$2056,P$3&amp;"-"&amp;3)</f>
        <v>0</v>
      </c>
      <c r="Q38" s="26">
        <f>COUNTIF(車両台帳!$BJ$57:$BJ$2056,Q$3&amp;"-"&amp;3)</f>
        <v>0</v>
      </c>
      <c r="R38" s="26">
        <f>COUNTIF(車両台帳!$BJ$57:$BJ$2056,R$3&amp;"-"&amp;3)</f>
        <v>0</v>
      </c>
      <c r="S38" s="26">
        <f>COUNTIF(車両台帳!$BJ$57:$BJ$2056,S$3&amp;"-"&amp;3)</f>
        <v>0</v>
      </c>
      <c r="T38" s="26">
        <f>COUNTIF(車両台帳!$BJ$57:$BJ$2056,T$3&amp;"-"&amp;3)</f>
        <v>0</v>
      </c>
      <c r="U38" s="26">
        <f>COUNTIF(車両台帳!$BJ$57:$BJ$2056,U$3&amp;"-"&amp;3)</f>
        <v>0</v>
      </c>
      <c r="V38" s="26">
        <f>COUNTIF(車両台帳!$BJ$57:$BJ$2056,V$3&amp;"-"&amp;3)</f>
        <v>0</v>
      </c>
      <c r="W38" s="26">
        <f>COUNTIF(車両台帳!$BJ$57:$BJ$2056,W$3&amp;"-"&amp;3)</f>
        <v>0</v>
      </c>
      <c r="X38" s="26">
        <f>COUNTIF(車両台帳!$BJ$57:$BJ$2056,X$3&amp;"-"&amp;3)</f>
        <v>0</v>
      </c>
      <c r="Y38" s="26">
        <f>COUNTIF(車両台帳!$BJ$57:$BJ$2056,Y$3&amp;"-"&amp;3)</f>
        <v>0</v>
      </c>
      <c r="Z38" s="26">
        <f>COUNTIF(車両台帳!$BJ$57:$BJ$2056,Z$3&amp;"-"&amp;3)</f>
        <v>0</v>
      </c>
      <c r="AA38" s="26">
        <f>COUNTIF(車両台帳!$BJ$57:$BJ$2056,AA$3&amp;"-"&amp;3)</f>
        <v>0</v>
      </c>
      <c r="AB38" s="26">
        <f>COUNTIF(車両台帳!$BJ$57:$BJ$2056,AB$3&amp;"-"&amp;3)</f>
        <v>0</v>
      </c>
      <c r="AC38" s="26">
        <f>COUNTIF(車両台帳!$BJ$57:$BJ$2056,AC$3&amp;"-"&amp;3)</f>
        <v>0</v>
      </c>
      <c r="AD38" s="26">
        <f>COUNTIF(車両台帳!$BJ$57:$BJ$2056,AD$3&amp;"-"&amp;3)</f>
        <v>0</v>
      </c>
      <c r="AE38" s="26">
        <f>COUNTIF(車両台帳!$BJ$57:$BJ$2056,AE$3&amp;"-"&amp;3)</f>
        <v>0</v>
      </c>
      <c r="AF38" s="26">
        <f>COUNTIF(車両台帳!$BJ$57:$BJ$2056,AF$3&amp;"-"&amp;3)</f>
        <v>0</v>
      </c>
      <c r="AG38" s="26">
        <f>COUNTIF(車両台帳!$BJ$57:$BJ$2056,AG$3&amp;"-"&amp;3)</f>
        <v>0</v>
      </c>
      <c r="AH38" s="26">
        <f>COUNTIF(車両台帳!$BJ$57:$BJ$2056,AH$3&amp;"-"&amp;3)</f>
        <v>0</v>
      </c>
      <c r="AI38" s="26">
        <f>COUNTIF(車両台帳!$BJ$57:$BJ$2056,AI$3&amp;"-"&amp;3)</f>
        <v>0</v>
      </c>
      <c r="AJ38" s="26">
        <f>COUNTIF(車両台帳!$BJ$57:$BJ$2056,AJ$3&amp;"-"&amp;3)</f>
        <v>0</v>
      </c>
      <c r="AK38" s="26">
        <f>COUNTIF(車両台帳!$BJ$57:$BJ$2056,AK$3&amp;"-"&amp;3)</f>
        <v>0</v>
      </c>
      <c r="AL38" s="26">
        <f>COUNTIF(車両台帳!$BJ$57:$BJ$2056,AL$3&amp;"-"&amp;3)</f>
        <v>0</v>
      </c>
      <c r="AM38" s="26">
        <f>COUNTIF(車両台帳!$BJ$57:$BJ$2056,AM$3&amp;"-"&amp;3)</f>
        <v>0</v>
      </c>
      <c r="AN38" s="26">
        <f>COUNTIF(車両台帳!$BJ$57:$BJ$2056,AN$3&amp;"-"&amp;3)</f>
        <v>0</v>
      </c>
      <c r="AO38" s="26">
        <f>COUNTIF(車両台帳!$BJ$57:$BJ$2056,AO$3&amp;"-"&amp;3)</f>
        <v>0</v>
      </c>
      <c r="AP38" s="26">
        <f>COUNTIF(車両台帳!$BJ$57:$BJ$2056,AP$3&amp;"-"&amp;3)</f>
        <v>0</v>
      </c>
      <c r="AQ38" s="26">
        <f>COUNTIF(車両台帳!$BJ$57:$BJ$2056,AQ$3&amp;"-"&amp;3)</f>
        <v>0</v>
      </c>
      <c r="AR38" s="26">
        <f>COUNTIF(車両台帳!$BJ$57:$BJ$2056,AR$3&amp;"-"&amp;3)</f>
        <v>0</v>
      </c>
      <c r="AS38" s="26">
        <f>COUNTIF(車両台帳!$BJ$57:$BJ$2056,AS$3&amp;"-"&amp;3)</f>
        <v>0</v>
      </c>
      <c r="AT38" s="26">
        <f>COUNTIF(車両台帳!$BJ$57:$BJ$2056,AT$3&amp;"-"&amp;3)</f>
        <v>0</v>
      </c>
      <c r="AU38" s="26">
        <f>COUNTIF(車両台帳!$BJ$57:$BJ$2056,AU$3&amp;"-"&amp;3)</f>
        <v>0</v>
      </c>
      <c r="AV38" s="26">
        <f>COUNTIF(車両台帳!$BJ$57:$BJ$2056,AV$3&amp;"-"&amp;3)</f>
        <v>0</v>
      </c>
      <c r="AW38" s="26">
        <f>COUNTIF(車両台帳!$BJ$57:$BJ$2056,AW$3&amp;"-"&amp;3)</f>
        <v>0</v>
      </c>
      <c r="AX38" s="26">
        <f>COUNTIF(車両台帳!$BJ$57:$BJ$2056,AX$3&amp;"-"&amp;3)</f>
        <v>0</v>
      </c>
      <c r="AY38" s="26">
        <f>COUNTIF(車両台帳!$BJ$57:$BJ$2056,AY$3&amp;"-"&amp;3)</f>
        <v>0</v>
      </c>
      <c r="AZ38" s="26">
        <f>COUNTIF(車両台帳!$BJ$57:$BJ$2056,AZ$3&amp;"-"&amp;3)</f>
        <v>0</v>
      </c>
      <c r="BA38" s="26">
        <f>COUNTIF(車両台帳!$BJ$57:$BJ$2056,BA$3&amp;"-"&amp;3)</f>
        <v>0</v>
      </c>
      <c r="BB38" s="26">
        <f>COUNTIF(車両台帳!$BJ$57:$BJ$2056,BB$3&amp;"-"&amp;3)</f>
        <v>0</v>
      </c>
      <c r="BC38" s="26">
        <f>COUNTIF(車両台帳!$BJ$57:$BJ$2056,BC$3&amp;"-"&amp;3)</f>
        <v>0</v>
      </c>
      <c r="BD38" s="26">
        <f>COUNTIF(車両台帳!$BJ$57:$BJ$2056,BD$3&amp;"-"&amp;3)</f>
        <v>0</v>
      </c>
      <c r="BE38" s="26">
        <f>COUNTIF(車両台帳!$BJ$57:$BJ$2056,BE$3&amp;"-"&amp;3)</f>
        <v>0</v>
      </c>
      <c r="BF38" s="26">
        <f>COUNTIF(車両台帳!$BJ$57:$BJ$2056,BF$3&amp;"-"&amp;3)</f>
        <v>0</v>
      </c>
      <c r="BG38" s="26">
        <f>COUNTIF(車両台帳!$BJ$57:$BJ$2056,BG$3&amp;"-"&amp;3)</f>
        <v>0</v>
      </c>
      <c r="BH38" s="26">
        <f>COUNTIF(車両台帳!$BJ$57:$BJ$2056,BH$3&amp;"-"&amp;3)</f>
        <v>0</v>
      </c>
      <c r="BI38" s="26">
        <f>COUNTIF(車両台帳!$BJ$57:$BJ$2056,BI$3&amp;"-"&amp;3)</f>
        <v>0</v>
      </c>
      <c r="BJ38" s="26">
        <f>COUNTIF(車両台帳!$BJ$57:$BJ$2056,BJ$3&amp;"-"&amp;3)</f>
        <v>0</v>
      </c>
      <c r="BK38" s="26">
        <f>COUNTIF(車両台帳!$BJ$57:$BJ$2056,BK$3&amp;"-"&amp;3)</f>
        <v>0</v>
      </c>
      <c r="BL38" s="26">
        <f>COUNTIF(車両台帳!$BJ$57:$BJ$2056,BL$3&amp;"-"&amp;3)</f>
        <v>0</v>
      </c>
      <c r="BM38" s="26">
        <f>COUNTIF(車両台帳!$BJ$57:$BJ$2056,BM$3&amp;"-"&amp;3)</f>
        <v>0</v>
      </c>
      <c r="BN38" s="26">
        <f>COUNTIF(車両台帳!$BJ$57:$BJ$2056,BN$3&amp;"-"&amp;3)</f>
        <v>0</v>
      </c>
      <c r="BO38" s="26">
        <f>COUNTIF(車両台帳!$BJ$57:$BJ$2056,BO$3&amp;"-"&amp;3)</f>
        <v>0</v>
      </c>
      <c r="BP38" s="26">
        <f>COUNTIF(車両台帳!$BJ$57:$BJ$2056,BP$3&amp;"-"&amp;3)</f>
        <v>0</v>
      </c>
      <c r="BQ38" s="26">
        <f>COUNTIF(車両台帳!$BJ$57:$BJ$2056,BQ$3&amp;"-"&amp;3)</f>
        <v>0</v>
      </c>
      <c r="BR38" s="26">
        <f>COUNTIF(車両台帳!$BJ$57:$BJ$2056,BR$3&amp;"-"&amp;3)</f>
        <v>0</v>
      </c>
      <c r="BS38" s="26">
        <f>COUNTIF(車両台帳!$BJ$57:$BJ$2056,BS$3&amp;"-"&amp;3)</f>
        <v>0</v>
      </c>
      <c r="BT38" s="26">
        <f>COUNTIF(車両台帳!$BJ$57:$BJ$2056,BT$3&amp;"-"&amp;3)</f>
        <v>0</v>
      </c>
      <c r="BU38" s="26">
        <f>COUNTIF(車両台帳!$BJ$57:$BJ$2056,BU$3&amp;"-"&amp;3)</f>
        <v>0</v>
      </c>
      <c r="BV38" s="26">
        <f>COUNTIF(車両台帳!$BJ$57:$BJ$2056,BV$3&amp;"-"&amp;3)</f>
        <v>0</v>
      </c>
      <c r="BW38" s="26">
        <f>COUNTIF(車両台帳!$BJ$57:$BJ$2056,BW$3&amp;"-"&amp;3)</f>
        <v>0</v>
      </c>
      <c r="BX38" s="26">
        <f>COUNTIF(車両台帳!$BJ$57:$BJ$2056,BX$3&amp;"-"&amp;3)</f>
        <v>0</v>
      </c>
      <c r="BY38" s="26">
        <f>COUNTIF(車両台帳!$BJ$57:$BJ$2056,BY$3&amp;"-"&amp;3)</f>
        <v>0</v>
      </c>
      <c r="BZ38" s="26">
        <f>COUNTIF(車両台帳!$BJ$57:$BJ$2056,BZ$3&amp;"-"&amp;3)</f>
        <v>0</v>
      </c>
      <c r="CA38" s="26">
        <f>COUNTIF(車両台帳!$BJ$57:$BJ$2056,CA$3&amp;"-"&amp;3)</f>
        <v>0</v>
      </c>
      <c r="CB38" s="26">
        <f>COUNTIF(車両台帳!$BJ$57:$BJ$2056,CB$3&amp;"-"&amp;3)</f>
        <v>0</v>
      </c>
      <c r="CC38" s="26">
        <f>COUNTIF(車両台帳!$BJ$57:$BJ$2056,CC$3&amp;"-"&amp;3)</f>
        <v>0</v>
      </c>
      <c r="CD38" s="26">
        <f>COUNTIF(車両台帳!$BJ$57:$BJ$2056,CD$3&amp;"-"&amp;3)</f>
        <v>0</v>
      </c>
      <c r="CE38" s="26">
        <f>COUNTIF(車両台帳!$BJ$57:$BJ$2056,CE$3&amp;"-"&amp;3)</f>
        <v>0</v>
      </c>
      <c r="CF38" s="26">
        <f>COUNTIF(車両台帳!$BJ$57:$BJ$2056,CF$3&amp;"-"&amp;3)</f>
        <v>0</v>
      </c>
      <c r="CG38" s="26">
        <f>COUNTIF(車両台帳!$BJ$57:$BJ$2056,CG$3&amp;"-"&amp;3)</f>
        <v>0</v>
      </c>
      <c r="CH38" s="26">
        <f>COUNTIF(車両台帳!$BJ$57:$BJ$2056,CH$3&amp;"-"&amp;3)</f>
        <v>0</v>
      </c>
      <c r="CI38" s="26">
        <f>COUNTIF(車両台帳!$BJ$57:$BJ$2056,CI$3&amp;"-"&amp;3)</f>
        <v>0</v>
      </c>
      <c r="CJ38" s="26">
        <f>COUNTIF(車両台帳!$BJ$57:$BJ$2056,CJ$3&amp;"-"&amp;3)</f>
        <v>0</v>
      </c>
      <c r="CK38" s="26">
        <f>COUNTIF(車両台帳!$BJ$57:$BJ$2056,CK$3&amp;"-"&amp;3)</f>
        <v>0</v>
      </c>
      <c r="CL38" s="26">
        <f>COUNTIF(車両台帳!$BJ$57:$BJ$2056,CL$3&amp;"-"&amp;3)</f>
        <v>0</v>
      </c>
      <c r="CM38" s="26">
        <f>COUNTIF(車両台帳!$BJ$57:$BJ$2056,CM$3&amp;"-"&amp;3)</f>
        <v>0</v>
      </c>
      <c r="CN38" s="26">
        <f>COUNTIF(車両台帳!$BJ$57:$BJ$2056,CN$3&amp;"-"&amp;3)</f>
        <v>0</v>
      </c>
      <c r="CO38" s="26">
        <f>COUNTIF(車両台帳!$BJ$57:$BJ$2056,CO$3&amp;"-"&amp;3)</f>
        <v>0</v>
      </c>
      <c r="CP38" s="26">
        <f>COUNTIF(車両台帳!$BJ$57:$BJ$2056,CP$3&amp;"-"&amp;3)</f>
        <v>0</v>
      </c>
      <c r="CQ38" s="26">
        <f>COUNTIF(車両台帳!$BJ$57:$BJ$2056,CQ$3&amp;"-"&amp;3)</f>
        <v>0</v>
      </c>
      <c r="CR38" s="26">
        <f>COUNTIF(車両台帳!$BJ$57:$BJ$2056,CR$3&amp;"-"&amp;3)</f>
        <v>0</v>
      </c>
      <c r="CS38" s="26">
        <f>COUNTIF(車両台帳!$BJ$57:$BJ$2056,CS$3&amp;"-"&amp;3)</f>
        <v>0</v>
      </c>
      <c r="CT38" s="26">
        <f>COUNTIF(車両台帳!$BJ$57:$BJ$2056,CT$3&amp;"-"&amp;3)</f>
        <v>0</v>
      </c>
      <c r="CU38" s="26">
        <f>COUNTIF(車両台帳!$BJ$57:$BJ$2056,CU$3&amp;"-"&amp;3)</f>
        <v>0</v>
      </c>
      <c r="CV38" s="26">
        <f>COUNTIF(車両台帳!$BJ$57:$BJ$2056,CV$3&amp;"-"&amp;3)</f>
        <v>0</v>
      </c>
      <c r="CW38" s="26">
        <f>COUNTIF(車両台帳!$BJ$57:$BJ$2056,CW$3&amp;"-"&amp;3)</f>
        <v>0</v>
      </c>
      <c r="CX38" s="26">
        <f>COUNTIF(車両台帳!$BJ$57:$BJ$2056,CX$3&amp;"-"&amp;3)</f>
        <v>0</v>
      </c>
      <c r="CY38" s="26">
        <f>COUNTIF(車両台帳!$BJ$57:$BJ$2056,CY$3&amp;"-"&amp;3)</f>
        <v>0</v>
      </c>
      <c r="CZ38" s="26">
        <f>COUNTIF(車両台帳!$BJ$57:$BJ$2056,CZ$3&amp;"-"&amp;3)</f>
        <v>0</v>
      </c>
      <c r="DA38" s="26">
        <f>COUNTIF(車両台帳!$BJ$57:$BJ$2056,DA$3&amp;"-"&amp;3)</f>
        <v>0</v>
      </c>
      <c r="DB38" s="26">
        <f>COUNTIF(車両台帳!$BJ$57:$BJ$2056,DB$3&amp;"-"&amp;3)</f>
        <v>0</v>
      </c>
      <c r="DC38" s="26">
        <f>COUNTIF(車両台帳!$BJ$57:$BJ$2056,DC$3&amp;"-"&amp;3)</f>
        <v>0</v>
      </c>
      <c r="DD38" s="26">
        <f>COUNTIF(車両台帳!$BJ$57:$BJ$2056,DD$3&amp;"-"&amp;3)</f>
        <v>0</v>
      </c>
      <c r="DE38" s="26">
        <f>COUNTIF(車両台帳!$BJ$57:$BJ$2056,DE$3&amp;"-"&amp;3)</f>
        <v>0</v>
      </c>
      <c r="DF38" s="26">
        <f>COUNTIF(車両台帳!$BJ$57:$BJ$2056,DF$3&amp;"-"&amp;3)</f>
        <v>0</v>
      </c>
      <c r="DG38" s="26">
        <f>COUNTIF(車両台帳!$BJ$57:$BJ$2056,DG$3&amp;"-"&amp;3)</f>
        <v>0</v>
      </c>
      <c r="DH38" s="26">
        <f>COUNTIF(車両台帳!$BJ$57:$BJ$2056,DH$3&amp;"-"&amp;3)</f>
        <v>0</v>
      </c>
      <c r="DI38" s="26">
        <f>COUNTIF(車両台帳!$BJ$57:$BJ$2056,DI$3&amp;"-"&amp;3)</f>
        <v>0</v>
      </c>
      <c r="DJ38" s="26">
        <f>COUNTIF(車両台帳!$BJ$57:$BJ$2056,DJ$3&amp;"-"&amp;3)</f>
        <v>0</v>
      </c>
      <c r="DK38" s="26">
        <f>COUNTIF(車両台帳!$BJ$57:$BJ$2056,DK$3&amp;"-"&amp;3)</f>
        <v>0</v>
      </c>
      <c r="DL38" s="26">
        <f>COUNTIF(車両台帳!$BJ$57:$BJ$2056,DL$3&amp;"-"&amp;3)</f>
        <v>0</v>
      </c>
      <c r="DM38" s="26">
        <f>COUNTIF(車両台帳!$BJ$57:$BJ$2056,DM$3&amp;"-"&amp;3)</f>
        <v>0</v>
      </c>
      <c r="DN38" s="26">
        <f>COUNTIF(車両台帳!$BJ$57:$BJ$2056,DN$3&amp;"-"&amp;3)</f>
        <v>0</v>
      </c>
      <c r="DO38" s="26">
        <f>COUNTIF(車両台帳!$BJ$57:$BJ$2056,DO$3&amp;"-"&amp;3)</f>
        <v>0</v>
      </c>
      <c r="DP38" s="26">
        <f>COUNTIF(車両台帳!$BJ$57:$BJ$2056,DP$3&amp;"-"&amp;3)</f>
        <v>0</v>
      </c>
      <c r="DQ38" s="26">
        <f>COUNTIF(車両台帳!$BJ$57:$BJ$2056,DQ$3&amp;"-"&amp;3)</f>
        <v>0</v>
      </c>
      <c r="DR38" s="26">
        <f>COUNTIF(車両台帳!$BJ$57:$BJ$2056,DR$3&amp;"-"&amp;3)</f>
        <v>0</v>
      </c>
      <c r="DS38" s="26">
        <f>COUNTIF(車両台帳!$BJ$57:$BJ$2056,DS$3&amp;"-"&amp;3)</f>
        <v>0</v>
      </c>
      <c r="DT38" s="26">
        <f>COUNTIF(車両台帳!$BJ$57:$BJ$2056,DT$3&amp;"-"&amp;3)</f>
        <v>0</v>
      </c>
      <c r="DU38" s="26">
        <f>COUNTIF(車両台帳!$BJ$57:$BJ$2056,DU$3&amp;"-"&amp;3)</f>
        <v>0</v>
      </c>
      <c r="DV38" s="26">
        <f>COUNTIF(車両台帳!$BJ$57:$BJ$2056,DV$3&amp;"-"&amp;3)</f>
        <v>0</v>
      </c>
      <c r="DW38" s="26">
        <f>COUNTIF(車両台帳!$BJ$57:$BJ$2056,DW$3&amp;"-"&amp;3)</f>
        <v>0</v>
      </c>
      <c r="DX38" s="26">
        <f>COUNTIF(車両台帳!$BJ$57:$BJ$2056,DX$3&amp;"-"&amp;3)</f>
        <v>0</v>
      </c>
      <c r="DY38" s="26">
        <f>COUNTIF(車両台帳!$BJ$57:$BJ$2056,DY$3&amp;"-"&amp;3)</f>
        <v>0</v>
      </c>
      <c r="DZ38" s="26">
        <f>COUNTIF(車両台帳!$BJ$57:$BJ$2056,DZ$3&amp;"-"&amp;3)</f>
        <v>0</v>
      </c>
      <c r="EA38" s="26">
        <f>COUNTIF(車両台帳!$BJ$57:$BJ$2056,EA$3&amp;"-"&amp;3)</f>
        <v>0</v>
      </c>
      <c r="EB38" s="26">
        <f>COUNTIF(車両台帳!$BJ$57:$BJ$2056,EB$3&amp;"-"&amp;3)</f>
        <v>0</v>
      </c>
      <c r="EC38" s="26">
        <f>COUNTIF(車両台帳!$BJ$57:$BJ$2056,EC$3&amp;"-"&amp;3)</f>
        <v>0</v>
      </c>
      <c r="ED38" s="26">
        <f>COUNTIF(車両台帳!$BJ$57:$BJ$2056,ED$3&amp;"-"&amp;3)</f>
        <v>0</v>
      </c>
      <c r="EE38" s="26">
        <f>COUNTIF(車両台帳!$BJ$57:$BJ$2056,EE$3&amp;"-"&amp;3)</f>
        <v>0</v>
      </c>
      <c r="EF38" s="26">
        <f>COUNTIF(車両台帳!$BJ$57:$BJ$2056,EF$3&amp;"-"&amp;3)</f>
        <v>0</v>
      </c>
      <c r="EG38" s="26">
        <f>COUNTIF(車両台帳!$BJ$57:$BJ$2056,EG$3&amp;"-"&amp;3)</f>
        <v>0</v>
      </c>
      <c r="EH38" s="26">
        <f>COUNTIF(車両台帳!$BJ$57:$BJ$2056,EH$3&amp;"-"&amp;3)</f>
        <v>0</v>
      </c>
      <c r="EI38" s="26">
        <f>COUNTIF(車両台帳!$BJ$57:$BJ$2056,EI$3&amp;"-"&amp;3)</f>
        <v>0</v>
      </c>
      <c r="EJ38" s="26">
        <f>COUNTIF(車両台帳!$BJ$57:$BJ$2056,EJ$3&amp;"-"&amp;3)</f>
        <v>0</v>
      </c>
      <c r="EK38" s="26">
        <f>COUNTIF(車両台帳!$BJ$57:$BJ$2056,EK$3&amp;"-"&amp;3)</f>
        <v>0</v>
      </c>
      <c r="EL38" s="26">
        <f>COUNTIF(車両台帳!$BJ$57:$BJ$2056,EL$3&amp;"-"&amp;3)</f>
        <v>0</v>
      </c>
      <c r="EM38" s="26">
        <f>COUNTIF(車両台帳!$BJ$57:$BJ$2056,EM$3&amp;"-"&amp;3)</f>
        <v>0</v>
      </c>
      <c r="EN38" s="26">
        <f>COUNTIF(車両台帳!$BJ$57:$BJ$2056,EN$3&amp;"-"&amp;3)</f>
        <v>0</v>
      </c>
      <c r="EO38" s="26">
        <f>COUNTIF(車両台帳!$BJ$57:$BJ$2056,EO$3&amp;"-"&amp;3)</f>
        <v>0</v>
      </c>
      <c r="EP38" s="26">
        <f>COUNTIF(車両台帳!$BJ$57:$BJ$2056,EP$3&amp;"-"&amp;3)</f>
        <v>0</v>
      </c>
      <c r="EQ38" s="26">
        <f>COUNTIF(車両台帳!$BJ$57:$BJ$2056,EQ$3&amp;"-"&amp;3)</f>
        <v>0</v>
      </c>
      <c r="ER38" s="26">
        <f>COUNTIF(車両台帳!$BJ$57:$BJ$2056,ER$3&amp;"-"&amp;3)</f>
        <v>0</v>
      </c>
      <c r="ES38" s="26">
        <f>COUNTIF(車両台帳!$BJ$57:$BJ$2056,ES$3&amp;"-"&amp;3)</f>
        <v>0</v>
      </c>
      <c r="ET38" s="26">
        <f>COUNTIF(車両台帳!$BJ$57:$BJ$2056,ET$3&amp;"-"&amp;3)</f>
        <v>0</v>
      </c>
      <c r="EU38" s="26">
        <f>COUNTIF(車両台帳!$BJ$57:$BJ$2056,EU$3&amp;"-"&amp;3)</f>
        <v>0</v>
      </c>
      <c r="EV38" s="26">
        <f>COUNTIF(車両台帳!$BJ$57:$BJ$2056,EV$3&amp;"-"&amp;3)</f>
        <v>0</v>
      </c>
      <c r="EW38" s="26">
        <f>COUNTIF(車両台帳!$BJ$57:$BJ$2056,EW$3&amp;"-"&amp;3)</f>
        <v>0</v>
      </c>
      <c r="EX38" s="26">
        <f>COUNTIF(車両台帳!$BJ$57:$BJ$2056,EX$3&amp;"-"&amp;3)</f>
        <v>0</v>
      </c>
      <c r="EY38" s="26">
        <f>COUNTIF(車両台帳!$BJ$57:$BJ$2056,EY$3&amp;"-"&amp;3)</f>
        <v>0</v>
      </c>
      <c r="EZ38" s="26">
        <f>COUNTIF(車両台帳!$BJ$57:$BJ$2056,EZ$3&amp;"-"&amp;3)</f>
        <v>0</v>
      </c>
      <c r="FA38" s="26">
        <f>COUNTIF(車両台帳!$BJ$57:$BJ$2056,FA$3&amp;"-"&amp;3)</f>
        <v>0</v>
      </c>
      <c r="FB38" s="26">
        <f>COUNTIF(車両台帳!$BJ$57:$BJ$2056,FB$3&amp;"-"&amp;3)</f>
        <v>0</v>
      </c>
      <c r="FC38" s="26">
        <f>COUNTIF(車両台帳!$BJ$57:$BJ$2056,FC$3&amp;"-"&amp;3)</f>
        <v>0</v>
      </c>
      <c r="FD38" s="26">
        <f>COUNTIF(車両台帳!$BJ$57:$BJ$2056,FD$3&amp;"-"&amp;3)</f>
        <v>0</v>
      </c>
      <c r="FE38" s="26">
        <f>COUNTIF(車両台帳!$BJ$57:$BJ$2056,FE$3&amp;"-"&amp;3)</f>
        <v>0</v>
      </c>
      <c r="FF38" s="26">
        <f>COUNTIF(車両台帳!$BJ$57:$BJ$2056,FF$3&amp;"-"&amp;3)</f>
        <v>0</v>
      </c>
      <c r="FG38" s="26">
        <f>COUNTIF(車両台帳!$BJ$57:$BJ$2056,FG$3&amp;"-"&amp;3)</f>
        <v>0</v>
      </c>
      <c r="FH38" s="26">
        <f>COUNTIF(車両台帳!$BJ$57:$BJ$2056,FH$3&amp;"-"&amp;3)</f>
        <v>0</v>
      </c>
      <c r="FI38" s="26">
        <f>COUNTIF(車両台帳!$BJ$57:$BJ$2056,FI$3&amp;"-"&amp;3)</f>
        <v>0</v>
      </c>
      <c r="FJ38" s="26">
        <f>COUNTIF(車両台帳!$BJ$57:$BJ$2056,FJ$3&amp;"-"&amp;3)</f>
        <v>0</v>
      </c>
      <c r="FK38" s="26">
        <f>COUNTIF(車両台帳!$BJ$57:$BJ$2056,FK$3&amp;"-"&amp;3)</f>
        <v>0</v>
      </c>
      <c r="FL38" s="26">
        <f>COUNTIF(車両台帳!$BJ$57:$BJ$2056,FL$3&amp;"-"&amp;3)</f>
        <v>0</v>
      </c>
      <c r="FM38" s="26">
        <f>COUNTIF(車両台帳!$BJ$57:$BJ$2056,FM$3&amp;"-"&amp;3)</f>
        <v>0</v>
      </c>
      <c r="FN38" s="26">
        <f>COUNTIF(車両台帳!$BJ$57:$BJ$2056,FN$3&amp;"-"&amp;3)</f>
        <v>0</v>
      </c>
      <c r="FO38" s="26">
        <f>COUNTIF(車両台帳!$BJ$57:$BJ$2056,FO$3&amp;"-"&amp;3)</f>
        <v>0</v>
      </c>
      <c r="FP38" s="26">
        <f>COUNTIF(車両台帳!$BJ$57:$BJ$2056,FP$3&amp;"-"&amp;3)</f>
        <v>0</v>
      </c>
      <c r="FQ38" s="26">
        <f>COUNTIF(車両台帳!$BJ$57:$BJ$2056,FQ$3&amp;"-"&amp;3)</f>
        <v>0</v>
      </c>
      <c r="FR38" s="26">
        <f>COUNTIF(車両台帳!$BJ$57:$BJ$2056,FR$3&amp;"-"&amp;3)</f>
        <v>0</v>
      </c>
      <c r="FS38" s="26">
        <f>COUNTIF(車両台帳!$BJ$57:$BJ$2056,FS$3&amp;"-"&amp;3)</f>
        <v>0</v>
      </c>
      <c r="FT38" s="26">
        <f>COUNTIF(車両台帳!$BJ$57:$BJ$2056,FT$3&amp;"-"&amp;3)</f>
        <v>0</v>
      </c>
      <c r="FU38" s="26">
        <f>COUNTIF(車両台帳!$BJ$57:$BJ$2056,FU$3&amp;"-"&amp;3)</f>
        <v>0</v>
      </c>
      <c r="FV38" s="26">
        <f>COUNTIF(車両台帳!$BJ$57:$BJ$2056,FV$3&amp;"-"&amp;3)</f>
        <v>0</v>
      </c>
      <c r="FW38" s="26">
        <f>COUNTIF(車両台帳!$BJ$57:$BJ$2056,FW$3&amp;"-"&amp;3)</f>
        <v>0</v>
      </c>
      <c r="FX38" s="26">
        <f>COUNTIF(車両台帳!$BJ$57:$BJ$2056,FX$3&amp;"-"&amp;3)</f>
        <v>0</v>
      </c>
      <c r="FY38" s="26">
        <f>COUNTIF(車両台帳!$BJ$57:$BJ$2056,FY$3&amp;"-"&amp;3)</f>
        <v>0</v>
      </c>
      <c r="FZ38" s="26">
        <f>COUNTIF(車両台帳!$BJ$57:$BJ$2056,FZ$3&amp;"-"&amp;3)</f>
        <v>0</v>
      </c>
      <c r="GA38" s="26">
        <f>COUNTIF(車両台帳!$BJ$57:$BJ$2056,GA$3&amp;"-"&amp;3)</f>
        <v>0</v>
      </c>
      <c r="GB38" s="26">
        <f>COUNTIF(車両台帳!$BJ$57:$BJ$2056,GB$3&amp;"-"&amp;3)</f>
        <v>0</v>
      </c>
      <c r="GC38" s="26">
        <f>COUNTIF(車両台帳!$BJ$57:$BJ$2056,GC$3&amp;"-"&amp;3)</f>
        <v>0</v>
      </c>
      <c r="GD38" s="26">
        <f>COUNTIF(車両台帳!$BJ$57:$BJ$2056,GD$3&amp;"-"&amp;3)</f>
        <v>0</v>
      </c>
      <c r="GE38" s="26">
        <f>COUNTIF(車両台帳!$BJ$57:$BJ$2056,GE$3&amp;"-"&amp;3)</f>
        <v>0</v>
      </c>
      <c r="GF38" s="26">
        <f>COUNTIF(車両台帳!$BJ$57:$BJ$2056,GF$3&amp;"-"&amp;3)</f>
        <v>0</v>
      </c>
      <c r="GG38" s="26">
        <f>COUNTIF(車両台帳!$BJ$57:$BJ$2056,GG$3&amp;"-"&amp;3)</f>
        <v>0</v>
      </c>
      <c r="GH38" s="26">
        <f>COUNTIF(車両台帳!$BJ$57:$BJ$2056,GH$3&amp;"-"&amp;3)</f>
        <v>0</v>
      </c>
      <c r="GI38" s="26">
        <f>COUNTIF(車両台帳!$BJ$57:$BJ$2056,GI$3&amp;"-"&amp;3)</f>
        <v>0</v>
      </c>
      <c r="GJ38" s="26">
        <f>COUNTIF(車両台帳!$BJ$57:$BJ$2056,GJ$3&amp;"-"&amp;3)</f>
        <v>0</v>
      </c>
      <c r="GK38" s="26">
        <f>COUNTIF(車両台帳!$BJ$57:$BJ$2056,GK$3&amp;"-"&amp;3)</f>
        <v>0</v>
      </c>
      <c r="GL38" s="26">
        <f>COUNTIF(車両台帳!$BJ$57:$BJ$2056,GL$3&amp;"-"&amp;3)</f>
        <v>0</v>
      </c>
      <c r="GM38" s="26">
        <f>COUNTIF(車両台帳!$BJ$57:$BJ$2056,GM$3&amp;"-"&amp;3)</f>
        <v>0</v>
      </c>
      <c r="GN38" s="26">
        <f>COUNTIF(車両台帳!$BJ$57:$BJ$2056,GN$3&amp;"-"&amp;3)</f>
        <v>0</v>
      </c>
      <c r="GO38" s="26">
        <f>COUNTIF(車両台帳!$BJ$57:$BJ$2056,GO$3&amp;"-"&amp;3)</f>
        <v>0</v>
      </c>
      <c r="GP38" s="26">
        <f>COUNTIF(車両台帳!$BJ$57:$BJ$2056,GP$3&amp;"-"&amp;3)</f>
        <v>0</v>
      </c>
      <c r="GQ38" s="26">
        <f>COUNTIF(車両台帳!$BJ$57:$BJ$2056,GQ$3&amp;"-"&amp;3)</f>
        <v>0</v>
      </c>
      <c r="GR38" s="26">
        <f>COUNTIF(車両台帳!$BJ$57:$BJ$2056,GR$3&amp;"-"&amp;3)</f>
        <v>0</v>
      </c>
      <c r="GS38" s="26">
        <f>COUNTIF(車両台帳!$BJ$57:$BJ$2056,GS$3&amp;"-"&amp;3)</f>
        <v>0</v>
      </c>
      <c r="GT38" s="26">
        <f>COUNTIF(車両台帳!$BJ$57:$BJ$2056,GT$3&amp;"-"&amp;3)</f>
        <v>0</v>
      </c>
      <c r="GU38" s="26">
        <f>COUNTIF(車両台帳!$BJ$57:$BJ$2056,GU$3&amp;"-"&amp;3)</f>
        <v>0</v>
      </c>
    </row>
    <row r="39" spans="2:203">
      <c r="C39" s="5" t="s">
        <v>280</v>
      </c>
      <c r="D39" s="26">
        <f>COUNTIF(車両台帳!$BJ$57:$BJ$2056,D$3&amp;"-"&amp;4)</f>
        <v>0</v>
      </c>
      <c r="E39" s="26">
        <f>COUNTIF(車両台帳!$BJ$57:$BJ$2056,E$3&amp;"-"&amp;4)</f>
        <v>0</v>
      </c>
      <c r="F39" s="26">
        <f>COUNTIF(車両台帳!$BJ$57:$BJ$2056,F$3&amp;"-"&amp;4)</f>
        <v>0</v>
      </c>
      <c r="G39" s="26">
        <f>COUNTIF(車両台帳!$BJ$57:$BJ$2056,G$3&amp;"-"&amp;4)</f>
        <v>0</v>
      </c>
      <c r="H39" s="26">
        <f>COUNTIF(車両台帳!$BJ$57:$BJ$2056,H$3&amp;"-"&amp;4)</f>
        <v>0</v>
      </c>
      <c r="I39" s="26">
        <f>COUNTIF(車両台帳!$BJ$57:$BJ$2056,I$3&amp;"-"&amp;4)</f>
        <v>0</v>
      </c>
      <c r="J39" s="26">
        <f>COUNTIF(車両台帳!$BJ$57:$BJ$2056,J$3&amp;"-"&amp;4)</f>
        <v>0</v>
      </c>
      <c r="K39" s="26">
        <f>COUNTIF(車両台帳!$BJ$57:$BJ$2056,K$3&amp;"-"&amp;4)</f>
        <v>0</v>
      </c>
      <c r="L39" s="26">
        <f>COUNTIF(車両台帳!$BJ$57:$BJ$2056,L$3&amp;"-"&amp;4)</f>
        <v>0</v>
      </c>
      <c r="M39" s="26">
        <f>COUNTIF(車両台帳!$BJ$57:$BJ$2056,M$3&amp;"-"&amp;4)</f>
        <v>0</v>
      </c>
      <c r="N39" s="26">
        <f>COUNTIF(車両台帳!$BJ$57:$BJ$2056,N$3&amp;"-"&amp;4)</f>
        <v>0</v>
      </c>
      <c r="O39" s="26">
        <f>COUNTIF(車両台帳!$BJ$57:$BJ$2056,O$3&amp;"-"&amp;4)</f>
        <v>0</v>
      </c>
      <c r="P39" s="26">
        <f>COUNTIF(車両台帳!$BJ$57:$BJ$2056,P$3&amp;"-"&amp;4)</f>
        <v>0</v>
      </c>
      <c r="Q39" s="26">
        <f>COUNTIF(車両台帳!$BJ$57:$BJ$2056,Q$3&amp;"-"&amp;4)</f>
        <v>0</v>
      </c>
      <c r="R39" s="26">
        <f>COUNTIF(車両台帳!$BJ$57:$BJ$2056,R$3&amp;"-"&amp;4)</f>
        <v>0</v>
      </c>
      <c r="S39" s="26">
        <f>COUNTIF(車両台帳!$BJ$57:$BJ$2056,S$3&amp;"-"&amp;4)</f>
        <v>0</v>
      </c>
      <c r="T39" s="26">
        <f>COUNTIF(車両台帳!$BJ$57:$BJ$2056,T$3&amp;"-"&amp;4)</f>
        <v>0</v>
      </c>
      <c r="U39" s="26">
        <f>COUNTIF(車両台帳!$BJ$57:$BJ$2056,U$3&amp;"-"&amp;4)</f>
        <v>0</v>
      </c>
      <c r="V39" s="26">
        <f>COUNTIF(車両台帳!$BJ$57:$BJ$2056,V$3&amp;"-"&amp;4)</f>
        <v>0</v>
      </c>
      <c r="W39" s="26">
        <f>COUNTIF(車両台帳!$BJ$57:$BJ$2056,W$3&amp;"-"&amp;4)</f>
        <v>0</v>
      </c>
      <c r="X39" s="26">
        <f>COUNTIF(車両台帳!$BJ$57:$BJ$2056,X$3&amp;"-"&amp;4)</f>
        <v>0</v>
      </c>
      <c r="Y39" s="26">
        <f>COUNTIF(車両台帳!$BJ$57:$BJ$2056,Y$3&amp;"-"&amp;4)</f>
        <v>0</v>
      </c>
      <c r="Z39" s="26">
        <f>COUNTIF(車両台帳!$BJ$57:$BJ$2056,Z$3&amp;"-"&amp;4)</f>
        <v>0</v>
      </c>
      <c r="AA39" s="26">
        <f>COUNTIF(車両台帳!$BJ$57:$BJ$2056,AA$3&amp;"-"&amp;4)</f>
        <v>0</v>
      </c>
      <c r="AB39" s="26">
        <f>COUNTIF(車両台帳!$BJ$57:$BJ$2056,AB$3&amp;"-"&amp;4)</f>
        <v>0</v>
      </c>
      <c r="AC39" s="26">
        <f>COUNTIF(車両台帳!$BJ$57:$BJ$2056,AC$3&amp;"-"&amp;4)</f>
        <v>0</v>
      </c>
      <c r="AD39" s="26">
        <f>COUNTIF(車両台帳!$BJ$57:$BJ$2056,AD$3&amp;"-"&amp;4)</f>
        <v>0</v>
      </c>
      <c r="AE39" s="26">
        <f>COUNTIF(車両台帳!$BJ$57:$BJ$2056,AE$3&amp;"-"&amp;4)</f>
        <v>0</v>
      </c>
      <c r="AF39" s="26">
        <f>COUNTIF(車両台帳!$BJ$57:$BJ$2056,AF$3&amp;"-"&amp;4)</f>
        <v>0</v>
      </c>
      <c r="AG39" s="26">
        <f>COUNTIF(車両台帳!$BJ$57:$BJ$2056,AG$3&amp;"-"&amp;4)</f>
        <v>0</v>
      </c>
      <c r="AH39" s="26">
        <f>COUNTIF(車両台帳!$BJ$57:$BJ$2056,AH$3&amp;"-"&amp;4)</f>
        <v>0</v>
      </c>
      <c r="AI39" s="26">
        <f>COUNTIF(車両台帳!$BJ$57:$BJ$2056,AI$3&amp;"-"&amp;4)</f>
        <v>0</v>
      </c>
      <c r="AJ39" s="26">
        <f>COUNTIF(車両台帳!$BJ$57:$BJ$2056,AJ$3&amp;"-"&amp;4)</f>
        <v>0</v>
      </c>
      <c r="AK39" s="26">
        <f>COUNTIF(車両台帳!$BJ$57:$BJ$2056,AK$3&amp;"-"&amp;4)</f>
        <v>0</v>
      </c>
      <c r="AL39" s="26">
        <f>COUNTIF(車両台帳!$BJ$57:$BJ$2056,AL$3&amp;"-"&amp;4)</f>
        <v>0</v>
      </c>
      <c r="AM39" s="26">
        <f>COUNTIF(車両台帳!$BJ$57:$BJ$2056,AM$3&amp;"-"&amp;4)</f>
        <v>0</v>
      </c>
      <c r="AN39" s="26">
        <f>COUNTIF(車両台帳!$BJ$57:$BJ$2056,AN$3&amp;"-"&amp;4)</f>
        <v>0</v>
      </c>
      <c r="AO39" s="26">
        <f>COUNTIF(車両台帳!$BJ$57:$BJ$2056,AO$3&amp;"-"&amp;4)</f>
        <v>0</v>
      </c>
      <c r="AP39" s="26">
        <f>COUNTIF(車両台帳!$BJ$57:$BJ$2056,AP$3&amp;"-"&amp;4)</f>
        <v>0</v>
      </c>
      <c r="AQ39" s="26">
        <f>COUNTIF(車両台帳!$BJ$57:$BJ$2056,AQ$3&amp;"-"&amp;4)</f>
        <v>0</v>
      </c>
      <c r="AR39" s="26">
        <f>COUNTIF(車両台帳!$BJ$57:$BJ$2056,AR$3&amp;"-"&amp;4)</f>
        <v>0</v>
      </c>
      <c r="AS39" s="26">
        <f>COUNTIF(車両台帳!$BJ$57:$BJ$2056,AS$3&amp;"-"&amp;4)</f>
        <v>0</v>
      </c>
      <c r="AT39" s="26">
        <f>COUNTIF(車両台帳!$BJ$57:$BJ$2056,AT$3&amp;"-"&amp;4)</f>
        <v>0</v>
      </c>
      <c r="AU39" s="26">
        <f>COUNTIF(車両台帳!$BJ$57:$BJ$2056,AU$3&amp;"-"&amp;4)</f>
        <v>0</v>
      </c>
      <c r="AV39" s="26">
        <f>COUNTIF(車両台帳!$BJ$57:$BJ$2056,AV$3&amp;"-"&amp;4)</f>
        <v>0</v>
      </c>
      <c r="AW39" s="26">
        <f>COUNTIF(車両台帳!$BJ$57:$BJ$2056,AW$3&amp;"-"&amp;4)</f>
        <v>0</v>
      </c>
      <c r="AX39" s="26">
        <f>COUNTIF(車両台帳!$BJ$57:$BJ$2056,AX$3&amp;"-"&amp;4)</f>
        <v>0</v>
      </c>
      <c r="AY39" s="26">
        <f>COUNTIF(車両台帳!$BJ$57:$BJ$2056,AY$3&amp;"-"&amp;4)</f>
        <v>0</v>
      </c>
      <c r="AZ39" s="26">
        <f>COUNTIF(車両台帳!$BJ$57:$BJ$2056,AZ$3&amp;"-"&amp;4)</f>
        <v>0</v>
      </c>
      <c r="BA39" s="26">
        <f>COUNTIF(車両台帳!$BJ$57:$BJ$2056,BA$3&amp;"-"&amp;4)</f>
        <v>0</v>
      </c>
      <c r="BB39" s="26">
        <f>COUNTIF(車両台帳!$BJ$57:$BJ$2056,BB$3&amp;"-"&amp;4)</f>
        <v>0</v>
      </c>
      <c r="BC39" s="26">
        <f>COUNTIF(車両台帳!$BJ$57:$BJ$2056,BC$3&amp;"-"&amp;4)</f>
        <v>0</v>
      </c>
      <c r="BD39" s="26">
        <f>COUNTIF(車両台帳!$BJ$57:$BJ$2056,BD$3&amp;"-"&amp;4)</f>
        <v>0</v>
      </c>
      <c r="BE39" s="26">
        <f>COUNTIF(車両台帳!$BJ$57:$BJ$2056,BE$3&amp;"-"&amp;4)</f>
        <v>0</v>
      </c>
      <c r="BF39" s="26">
        <f>COUNTIF(車両台帳!$BJ$57:$BJ$2056,BF$3&amp;"-"&amp;4)</f>
        <v>0</v>
      </c>
      <c r="BG39" s="26">
        <f>COUNTIF(車両台帳!$BJ$57:$BJ$2056,BG$3&amp;"-"&amp;4)</f>
        <v>0</v>
      </c>
      <c r="BH39" s="26">
        <f>COUNTIF(車両台帳!$BJ$57:$BJ$2056,BH$3&amp;"-"&amp;4)</f>
        <v>0</v>
      </c>
      <c r="BI39" s="26">
        <f>COUNTIF(車両台帳!$BJ$57:$BJ$2056,BI$3&amp;"-"&amp;4)</f>
        <v>0</v>
      </c>
      <c r="BJ39" s="26">
        <f>COUNTIF(車両台帳!$BJ$57:$BJ$2056,BJ$3&amp;"-"&amp;4)</f>
        <v>0</v>
      </c>
      <c r="BK39" s="26">
        <f>COUNTIF(車両台帳!$BJ$57:$BJ$2056,BK$3&amp;"-"&amp;4)</f>
        <v>0</v>
      </c>
      <c r="BL39" s="26">
        <f>COUNTIF(車両台帳!$BJ$57:$BJ$2056,BL$3&amp;"-"&amp;4)</f>
        <v>0</v>
      </c>
      <c r="BM39" s="26">
        <f>COUNTIF(車両台帳!$BJ$57:$BJ$2056,BM$3&amp;"-"&amp;4)</f>
        <v>0</v>
      </c>
      <c r="BN39" s="26">
        <f>COUNTIF(車両台帳!$BJ$57:$BJ$2056,BN$3&amp;"-"&amp;4)</f>
        <v>0</v>
      </c>
      <c r="BO39" s="26">
        <f>COUNTIF(車両台帳!$BJ$57:$BJ$2056,BO$3&amp;"-"&amp;4)</f>
        <v>0</v>
      </c>
      <c r="BP39" s="26">
        <f>COUNTIF(車両台帳!$BJ$57:$BJ$2056,BP$3&amp;"-"&amp;4)</f>
        <v>0</v>
      </c>
      <c r="BQ39" s="26">
        <f>COUNTIF(車両台帳!$BJ$57:$BJ$2056,BQ$3&amp;"-"&amp;4)</f>
        <v>0</v>
      </c>
      <c r="BR39" s="26">
        <f>COUNTIF(車両台帳!$BJ$57:$BJ$2056,BR$3&amp;"-"&amp;4)</f>
        <v>0</v>
      </c>
      <c r="BS39" s="26">
        <f>COUNTIF(車両台帳!$BJ$57:$BJ$2056,BS$3&amp;"-"&amp;4)</f>
        <v>0</v>
      </c>
      <c r="BT39" s="26">
        <f>COUNTIF(車両台帳!$BJ$57:$BJ$2056,BT$3&amp;"-"&amp;4)</f>
        <v>0</v>
      </c>
      <c r="BU39" s="26">
        <f>COUNTIF(車両台帳!$BJ$57:$BJ$2056,BU$3&amp;"-"&amp;4)</f>
        <v>0</v>
      </c>
      <c r="BV39" s="26">
        <f>COUNTIF(車両台帳!$BJ$57:$BJ$2056,BV$3&amp;"-"&amp;4)</f>
        <v>0</v>
      </c>
      <c r="BW39" s="26">
        <f>COUNTIF(車両台帳!$BJ$57:$BJ$2056,BW$3&amp;"-"&amp;4)</f>
        <v>0</v>
      </c>
      <c r="BX39" s="26">
        <f>COUNTIF(車両台帳!$BJ$57:$BJ$2056,BX$3&amp;"-"&amp;4)</f>
        <v>0</v>
      </c>
      <c r="BY39" s="26">
        <f>COUNTIF(車両台帳!$BJ$57:$BJ$2056,BY$3&amp;"-"&amp;4)</f>
        <v>0</v>
      </c>
      <c r="BZ39" s="26">
        <f>COUNTIF(車両台帳!$BJ$57:$BJ$2056,BZ$3&amp;"-"&amp;4)</f>
        <v>0</v>
      </c>
      <c r="CA39" s="26">
        <f>COUNTIF(車両台帳!$BJ$57:$BJ$2056,CA$3&amp;"-"&amp;4)</f>
        <v>0</v>
      </c>
      <c r="CB39" s="26">
        <f>COUNTIF(車両台帳!$BJ$57:$BJ$2056,CB$3&amp;"-"&amp;4)</f>
        <v>0</v>
      </c>
      <c r="CC39" s="26">
        <f>COUNTIF(車両台帳!$BJ$57:$BJ$2056,CC$3&amp;"-"&amp;4)</f>
        <v>0</v>
      </c>
      <c r="CD39" s="26">
        <f>COUNTIF(車両台帳!$BJ$57:$BJ$2056,CD$3&amp;"-"&amp;4)</f>
        <v>0</v>
      </c>
      <c r="CE39" s="26">
        <f>COUNTIF(車両台帳!$BJ$57:$BJ$2056,CE$3&amp;"-"&amp;4)</f>
        <v>0</v>
      </c>
      <c r="CF39" s="26">
        <f>COUNTIF(車両台帳!$BJ$57:$BJ$2056,CF$3&amp;"-"&amp;4)</f>
        <v>0</v>
      </c>
      <c r="CG39" s="26">
        <f>COUNTIF(車両台帳!$BJ$57:$BJ$2056,CG$3&amp;"-"&amp;4)</f>
        <v>0</v>
      </c>
      <c r="CH39" s="26">
        <f>COUNTIF(車両台帳!$BJ$57:$BJ$2056,CH$3&amp;"-"&amp;4)</f>
        <v>0</v>
      </c>
      <c r="CI39" s="26">
        <f>COUNTIF(車両台帳!$BJ$57:$BJ$2056,CI$3&amp;"-"&amp;4)</f>
        <v>0</v>
      </c>
      <c r="CJ39" s="26">
        <f>COUNTIF(車両台帳!$BJ$57:$BJ$2056,CJ$3&amp;"-"&amp;4)</f>
        <v>0</v>
      </c>
      <c r="CK39" s="26">
        <f>COUNTIF(車両台帳!$BJ$57:$BJ$2056,CK$3&amp;"-"&amp;4)</f>
        <v>0</v>
      </c>
      <c r="CL39" s="26">
        <f>COUNTIF(車両台帳!$BJ$57:$BJ$2056,CL$3&amp;"-"&amp;4)</f>
        <v>0</v>
      </c>
      <c r="CM39" s="26">
        <f>COUNTIF(車両台帳!$BJ$57:$BJ$2056,CM$3&amp;"-"&amp;4)</f>
        <v>0</v>
      </c>
      <c r="CN39" s="26">
        <f>COUNTIF(車両台帳!$BJ$57:$BJ$2056,CN$3&amp;"-"&amp;4)</f>
        <v>0</v>
      </c>
      <c r="CO39" s="26">
        <f>COUNTIF(車両台帳!$BJ$57:$BJ$2056,CO$3&amp;"-"&amp;4)</f>
        <v>0</v>
      </c>
      <c r="CP39" s="26">
        <f>COUNTIF(車両台帳!$BJ$57:$BJ$2056,CP$3&amp;"-"&amp;4)</f>
        <v>0</v>
      </c>
      <c r="CQ39" s="26">
        <f>COUNTIF(車両台帳!$BJ$57:$BJ$2056,CQ$3&amp;"-"&amp;4)</f>
        <v>0</v>
      </c>
      <c r="CR39" s="26">
        <f>COUNTIF(車両台帳!$BJ$57:$BJ$2056,CR$3&amp;"-"&amp;4)</f>
        <v>0</v>
      </c>
      <c r="CS39" s="26">
        <f>COUNTIF(車両台帳!$BJ$57:$BJ$2056,CS$3&amp;"-"&amp;4)</f>
        <v>0</v>
      </c>
      <c r="CT39" s="26">
        <f>COUNTIF(車両台帳!$BJ$57:$BJ$2056,CT$3&amp;"-"&amp;4)</f>
        <v>0</v>
      </c>
      <c r="CU39" s="26">
        <f>COUNTIF(車両台帳!$BJ$57:$BJ$2056,CU$3&amp;"-"&amp;4)</f>
        <v>0</v>
      </c>
      <c r="CV39" s="26">
        <f>COUNTIF(車両台帳!$BJ$57:$BJ$2056,CV$3&amp;"-"&amp;4)</f>
        <v>0</v>
      </c>
      <c r="CW39" s="26">
        <f>COUNTIF(車両台帳!$BJ$57:$BJ$2056,CW$3&amp;"-"&amp;4)</f>
        <v>0</v>
      </c>
      <c r="CX39" s="26">
        <f>COUNTIF(車両台帳!$BJ$57:$BJ$2056,CX$3&amp;"-"&amp;4)</f>
        <v>0</v>
      </c>
      <c r="CY39" s="26">
        <f>COUNTIF(車両台帳!$BJ$57:$BJ$2056,CY$3&amp;"-"&amp;4)</f>
        <v>0</v>
      </c>
      <c r="CZ39" s="26">
        <f>COUNTIF(車両台帳!$BJ$57:$BJ$2056,CZ$3&amp;"-"&amp;4)</f>
        <v>0</v>
      </c>
      <c r="DA39" s="26">
        <f>COUNTIF(車両台帳!$BJ$57:$BJ$2056,DA$3&amp;"-"&amp;4)</f>
        <v>0</v>
      </c>
      <c r="DB39" s="26">
        <f>COUNTIF(車両台帳!$BJ$57:$BJ$2056,DB$3&amp;"-"&amp;4)</f>
        <v>0</v>
      </c>
      <c r="DC39" s="26">
        <f>COUNTIF(車両台帳!$BJ$57:$BJ$2056,DC$3&amp;"-"&amp;4)</f>
        <v>0</v>
      </c>
      <c r="DD39" s="26">
        <f>COUNTIF(車両台帳!$BJ$57:$BJ$2056,DD$3&amp;"-"&amp;4)</f>
        <v>0</v>
      </c>
      <c r="DE39" s="26">
        <f>COUNTIF(車両台帳!$BJ$57:$BJ$2056,DE$3&amp;"-"&amp;4)</f>
        <v>0</v>
      </c>
      <c r="DF39" s="26">
        <f>COUNTIF(車両台帳!$BJ$57:$BJ$2056,DF$3&amp;"-"&amp;4)</f>
        <v>0</v>
      </c>
      <c r="DG39" s="26">
        <f>COUNTIF(車両台帳!$BJ$57:$BJ$2056,DG$3&amp;"-"&amp;4)</f>
        <v>0</v>
      </c>
      <c r="DH39" s="26">
        <f>COUNTIF(車両台帳!$BJ$57:$BJ$2056,DH$3&amp;"-"&amp;4)</f>
        <v>0</v>
      </c>
      <c r="DI39" s="26">
        <f>COUNTIF(車両台帳!$BJ$57:$BJ$2056,DI$3&amp;"-"&amp;4)</f>
        <v>0</v>
      </c>
      <c r="DJ39" s="26">
        <f>COUNTIF(車両台帳!$BJ$57:$BJ$2056,DJ$3&amp;"-"&amp;4)</f>
        <v>0</v>
      </c>
      <c r="DK39" s="26">
        <f>COUNTIF(車両台帳!$BJ$57:$BJ$2056,DK$3&amp;"-"&amp;4)</f>
        <v>0</v>
      </c>
      <c r="DL39" s="26">
        <f>COUNTIF(車両台帳!$BJ$57:$BJ$2056,DL$3&amp;"-"&amp;4)</f>
        <v>0</v>
      </c>
      <c r="DM39" s="26">
        <f>COUNTIF(車両台帳!$BJ$57:$BJ$2056,DM$3&amp;"-"&amp;4)</f>
        <v>0</v>
      </c>
      <c r="DN39" s="26">
        <f>COUNTIF(車両台帳!$BJ$57:$BJ$2056,DN$3&amp;"-"&amp;4)</f>
        <v>0</v>
      </c>
      <c r="DO39" s="26">
        <f>COUNTIF(車両台帳!$BJ$57:$BJ$2056,DO$3&amp;"-"&amp;4)</f>
        <v>0</v>
      </c>
      <c r="DP39" s="26">
        <f>COUNTIF(車両台帳!$BJ$57:$BJ$2056,DP$3&amp;"-"&amp;4)</f>
        <v>0</v>
      </c>
      <c r="DQ39" s="26">
        <f>COUNTIF(車両台帳!$BJ$57:$BJ$2056,DQ$3&amp;"-"&amp;4)</f>
        <v>0</v>
      </c>
      <c r="DR39" s="26">
        <f>COUNTIF(車両台帳!$BJ$57:$BJ$2056,DR$3&amp;"-"&amp;4)</f>
        <v>0</v>
      </c>
      <c r="DS39" s="26">
        <f>COUNTIF(車両台帳!$BJ$57:$BJ$2056,DS$3&amp;"-"&amp;4)</f>
        <v>0</v>
      </c>
      <c r="DT39" s="26">
        <f>COUNTIF(車両台帳!$BJ$57:$BJ$2056,DT$3&amp;"-"&amp;4)</f>
        <v>0</v>
      </c>
      <c r="DU39" s="26">
        <f>COUNTIF(車両台帳!$BJ$57:$BJ$2056,DU$3&amp;"-"&amp;4)</f>
        <v>0</v>
      </c>
      <c r="DV39" s="26">
        <f>COUNTIF(車両台帳!$BJ$57:$BJ$2056,DV$3&amp;"-"&amp;4)</f>
        <v>0</v>
      </c>
      <c r="DW39" s="26">
        <f>COUNTIF(車両台帳!$BJ$57:$BJ$2056,DW$3&amp;"-"&amp;4)</f>
        <v>0</v>
      </c>
      <c r="DX39" s="26">
        <f>COUNTIF(車両台帳!$BJ$57:$BJ$2056,DX$3&amp;"-"&amp;4)</f>
        <v>0</v>
      </c>
      <c r="DY39" s="26">
        <f>COUNTIF(車両台帳!$BJ$57:$BJ$2056,DY$3&amp;"-"&amp;4)</f>
        <v>0</v>
      </c>
      <c r="DZ39" s="26">
        <f>COUNTIF(車両台帳!$BJ$57:$BJ$2056,DZ$3&amp;"-"&amp;4)</f>
        <v>0</v>
      </c>
      <c r="EA39" s="26">
        <f>COUNTIF(車両台帳!$BJ$57:$BJ$2056,EA$3&amp;"-"&amp;4)</f>
        <v>0</v>
      </c>
      <c r="EB39" s="26">
        <f>COUNTIF(車両台帳!$BJ$57:$BJ$2056,EB$3&amp;"-"&amp;4)</f>
        <v>0</v>
      </c>
      <c r="EC39" s="26">
        <f>COUNTIF(車両台帳!$BJ$57:$BJ$2056,EC$3&amp;"-"&amp;4)</f>
        <v>0</v>
      </c>
      <c r="ED39" s="26">
        <f>COUNTIF(車両台帳!$BJ$57:$BJ$2056,ED$3&amp;"-"&amp;4)</f>
        <v>0</v>
      </c>
      <c r="EE39" s="26">
        <f>COUNTIF(車両台帳!$BJ$57:$BJ$2056,EE$3&amp;"-"&amp;4)</f>
        <v>0</v>
      </c>
      <c r="EF39" s="26">
        <f>COUNTIF(車両台帳!$BJ$57:$BJ$2056,EF$3&amp;"-"&amp;4)</f>
        <v>0</v>
      </c>
      <c r="EG39" s="26">
        <f>COUNTIF(車両台帳!$BJ$57:$BJ$2056,EG$3&amp;"-"&amp;4)</f>
        <v>0</v>
      </c>
      <c r="EH39" s="26">
        <f>COUNTIF(車両台帳!$BJ$57:$BJ$2056,EH$3&amp;"-"&amp;4)</f>
        <v>0</v>
      </c>
      <c r="EI39" s="26">
        <f>COUNTIF(車両台帳!$BJ$57:$BJ$2056,EI$3&amp;"-"&amp;4)</f>
        <v>0</v>
      </c>
      <c r="EJ39" s="26">
        <f>COUNTIF(車両台帳!$BJ$57:$BJ$2056,EJ$3&amp;"-"&amp;4)</f>
        <v>0</v>
      </c>
      <c r="EK39" s="26">
        <f>COUNTIF(車両台帳!$BJ$57:$BJ$2056,EK$3&amp;"-"&amp;4)</f>
        <v>0</v>
      </c>
      <c r="EL39" s="26">
        <f>COUNTIF(車両台帳!$BJ$57:$BJ$2056,EL$3&amp;"-"&amp;4)</f>
        <v>0</v>
      </c>
      <c r="EM39" s="26">
        <f>COUNTIF(車両台帳!$BJ$57:$BJ$2056,EM$3&amp;"-"&amp;4)</f>
        <v>0</v>
      </c>
      <c r="EN39" s="26">
        <f>COUNTIF(車両台帳!$BJ$57:$BJ$2056,EN$3&amp;"-"&amp;4)</f>
        <v>0</v>
      </c>
      <c r="EO39" s="26">
        <f>COUNTIF(車両台帳!$BJ$57:$BJ$2056,EO$3&amp;"-"&amp;4)</f>
        <v>0</v>
      </c>
      <c r="EP39" s="26">
        <f>COUNTIF(車両台帳!$BJ$57:$BJ$2056,EP$3&amp;"-"&amp;4)</f>
        <v>0</v>
      </c>
      <c r="EQ39" s="26">
        <f>COUNTIF(車両台帳!$BJ$57:$BJ$2056,EQ$3&amp;"-"&amp;4)</f>
        <v>0</v>
      </c>
      <c r="ER39" s="26">
        <f>COUNTIF(車両台帳!$BJ$57:$BJ$2056,ER$3&amp;"-"&amp;4)</f>
        <v>0</v>
      </c>
      <c r="ES39" s="26">
        <f>COUNTIF(車両台帳!$BJ$57:$BJ$2056,ES$3&amp;"-"&amp;4)</f>
        <v>0</v>
      </c>
      <c r="ET39" s="26">
        <f>COUNTIF(車両台帳!$BJ$57:$BJ$2056,ET$3&amp;"-"&amp;4)</f>
        <v>0</v>
      </c>
      <c r="EU39" s="26">
        <f>COUNTIF(車両台帳!$BJ$57:$BJ$2056,EU$3&amp;"-"&amp;4)</f>
        <v>0</v>
      </c>
      <c r="EV39" s="26">
        <f>COUNTIF(車両台帳!$BJ$57:$BJ$2056,EV$3&amp;"-"&amp;4)</f>
        <v>0</v>
      </c>
      <c r="EW39" s="26">
        <f>COUNTIF(車両台帳!$BJ$57:$BJ$2056,EW$3&amp;"-"&amp;4)</f>
        <v>0</v>
      </c>
      <c r="EX39" s="26">
        <f>COUNTIF(車両台帳!$BJ$57:$BJ$2056,EX$3&amp;"-"&amp;4)</f>
        <v>0</v>
      </c>
      <c r="EY39" s="26">
        <f>COUNTIF(車両台帳!$BJ$57:$BJ$2056,EY$3&amp;"-"&amp;4)</f>
        <v>0</v>
      </c>
      <c r="EZ39" s="26">
        <f>COUNTIF(車両台帳!$BJ$57:$BJ$2056,EZ$3&amp;"-"&amp;4)</f>
        <v>0</v>
      </c>
      <c r="FA39" s="26">
        <f>COUNTIF(車両台帳!$BJ$57:$BJ$2056,FA$3&amp;"-"&amp;4)</f>
        <v>0</v>
      </c>
      <c r="FB39" s="26">
        <f>COUNTIF(車両台帳!$BJ$57:$BJ$2056,FB$3&amp;"-"&amp;4)</f>
        <v>0</v>
      </c>
      <c r="FC39" s="26">
        <f>COUNTIF(車両台帳!$BJ$57:$BJ$2056,FC$3&amp;"-"&amp;4)</f>
        <v>0</v>
      </c>
      <c r="FD39" s="26">
        <f>COUNTIF(車両台帳!$BJ$57:$BJ$2056,FD$3&amp;"-"&amp;4)</f>
        <v>0</v>
      </c>
      <c r="FE39" s="26">
        <f>COUNTIF(車両台帳!$BJ$57:$BJ$2056,FE$3&amp;"-"&amp;4)</f>
        <v>0</v>
      </c>
      <c r="FF39" s="26">
        <f>COUNTIF(車両台帳!$BJ$57:$BJ$2056,FF$3&amp;"-"&amp;4)</f>
        <v>0</v>
      </c>
      <c r="FG39" s="26">
        <f>COUNTIF(車両台帳!$BJ$57:$BJ$2056,FG$3&amp;"-"&amp;4)</f>
        <v>0</v>
      </c>
      <c r="FH39" s="26">
        <f>COUNTIF(車両台帳!$BJ$57:$BJ$2056,FH$3&amp;"-"&amp;4)</f>
        <v>0</v>
      </c>
      <c r="FI39" s="26">
        <f>COUNTIF(車両台帳!$BJ$57:$BJ$2056,FI$3&amp;"-"&amp;4)</f>
        <v>0</v>
      </c>
      <c r="FJ39" s="26">
        <f>COUNTIF(車両台帳!$BJ$57:$BJ$2056,FJ$3&amp;"-"&amp;4)</f>
        <v>0</v>
      </c>
      <c r="FK39" s="26">
        <f>COUNTIF(車両台帳!$BJ$57:$BJ$2056,FK$3&amp;"-"&amp;4)</f>
        <v>0</v>
      </c>
      <c r="FL39" s="26">
        <f>COUNTIF(車両台帳!$BJ$57:$BJ$2056,FL$3&amp;"-"&amp;4)</f>
        <v>0</v>
      </c>
      <c r="FM39" s="26">
        <f>COUNTIF(車両台帳!$BJ$57:$BJ$2056,FM$3&amp;"-"&amp;4)</f>
        <v>0</v>
      </c>
      <c r="FN39" s="26">
        <f>COUNTIF(車両台帳!$BJ$57:$BJ$2056,FN$3&amp;"-"&amp;4)</f>
        <v>0</v>
      </c>
      <c r="FO39" s="26">
        <f>COUNTIF(車両台帳!$BJ$57:$BJ$2056,FO$3&amp;"-"&amp;4)</f>
        <v>0</v>
      </c>
      <c r="FP39" s="26">
        <f>COUNTIF(車両台帳!$BJ$57:$BJ$2056,FP$3&amp;"-"&amp;4)</f>
        <v>0</v>
      </c>
      <c r="FQ39" s="26">
        <f>COUNTIF(車両台帳!$BJ$57:$BJ$2056,FQ$3&amp;"-"&amp;4)</f>
        <v>0</v>
      </c>
      <c r="FR39" s="26">
        <f>COUNTIF(車両台帳!$BJ$57:$BJ$2056,FR$3&amp;"-"&amp;4)</f>
        <v>0</v>
      </c>
      <c r="FS39" s="26">
        <f>COUNTIF(車両台帳!$BJ$57:$BJ$2056,FS$3&amp;"-"&amp;4)</f>
        <v>0</v>
      </c>
      <c r="FT39" s="26">
        <f>COUNTIF(車両台帳!$BJ$57:$BJ$2056,FT$3&amp;"-"&amp;4)</f>
        <v>0</v>
      </c>
      <c r="FU39" s="26">
        <f>COUNTIF(車両台帳!$BJ$57:$BJ$2056,FU$3&amp;"-"&amp;4)</f>
        <v>0</v>
      </c>
      <c r="FV39" s="26">
        <f>COUNTIF(車両台帳!$BJ$57:$BJ$2056,FV$3&amp;"-"&amp;4)</f>
        <v>0</v>
      </c>
      <c r="FW39" s="26">
        <f>COUNTIF(車両台帳!$BJ$57:$BJ$2056,FW$3&amp;"-"&amp;4)</f>
        <v>0</v>
      </c>
      <c r="FX39" s="26">
        <f>COUNTIF(車両台帳!$BJ$57:$BJ$2056,FX$3&amp;"-"&amp;4)</f>
        <v>0</v>
      </c>
      <c r="FY39" s="26">
        <f>COUNTIF(車両台帳!$BJ$57:$BJ$2056,FY$3&amp;"-"&amp;4)</f>
        <v>0</v>
      </c>
      <c r="FZ39" s="26">
        <f>COUNTIF(車両台帳!$BJ$57:$BJ$2056,FZ$3&amp;"-"&amp;4)</f>
        <v>0</v>
      </c>
      <c r="GA39" s="26">
        <f>COUNTIF(車両台帳!$BJ$57:$BJ$2056,GA$3&amp;"-"&amp;4)</f>
        <v>0</v>
      </c>
      <c r="GB39" s="26">
        <f>COUNTIF(車両台帳!$BJ$57:$BJ$2056,GB$3&amp;"-"&amp;4)</f>
        <v>0</v>
      </c>
      <c r="GC39" s="26">
        <f>COUNTIF(車両台帳!$BJ$57:$BJ$2056,GC$3&amp;"-"&amp;4)</f>
        <v>0</v>
      </c>
      <c r="GD39" s="26">
        <f>COUNTIF(車両台帳!$BJ$57:$BJ$2056,GD$3&amp;"-"&amp;4)</f>
        <v>0</v>
      </c>
      <c r="GE39" s="26">
        <f>COUNTIF(車両台帳!$BJ$57:$BJ$2056,GE$3&amp;"-"&amp;4)</f>
        <v>0</v>
      </c>
      <c r="GF39" s="26">
        <f>COUNTIF(車両台帳!$BJ$57:$BJ$2056,GF$3&amp;"-"&amp;4)</f>
        <v>0</v>
      </c>
      <c r="GG39" s="26">
        <f>COUNTIF(車両台帳!$BJ$57:$BJ$2056,GG$3&amp;"-"&amp;4)</f>
        <v>0</v>
      </c>
      <c r="GH39" s="26">
        <f>COUNTIF(車両台帳!$BJ$57:$BJ$2056,GH$3&amp;"-"&amp;4)</f>
        <v>0</v>
      </c>
      <c r="GI39" s="26">
        <f>COUNTIF(車両台帳!$BJ$57:$BJ$2056,GI$3&amp;"-"&amp;4)</f>
        <v>0</v>
      </c>
      <c r="GJ39" s="26">
        <f>COUNTIF(車両台帳!$BJ$57:$BJ$2056,GJ$3&amp;"-"&amp;4)</f>
        <v>0</v>
      </c>
      <c r="GK39" s="26">
        <f>COUNTIF(車両台帳!$BJ$57:$BJ$2056,GK$3&amp;"-"&amp;4)</f>
        <v>0</v>
      </c>
      <c r="GL39" s="26">
        <f>COUNTIF(車両台帳!$BJ$57:$BJ$2056,GL$3&amp;"-"&amp;4)</f>
        <v>0</v>
      </c>
      <c r="GM39" s="26">
        <f>COUNTIF(車両台帳!$BJ$57:$BJ$2056,GM$3&amp;"-"&amp;4)</f>
        <v>0</v>
      </c>
      <c r="GN39" s="26">
        <f>COUNTIF(車両台帳!$BJ$57:$BJ$2056,GN$3&amp;"-"&amp;4)</f>
        <v>0</v>
      </c>
      <c r="GO39" s="26">
        <f>COUNTIF(車両台帳!$BJ$57:$BJ$2056,GO$3&amp;"-"&amp;4)</f>
        <v>0</v>
      </c>
      <c r="GP39" s="26">
        <f>COUNTIF(車両台帳!$BJ$57:$BJ$2056,GP$3&amp;"-"&amp;4)</f>
        <v>0</v>
      </c>
      <c r="GQ39" s="26">
        <f>COUNTIF(車両台帳!$BJ$57:$BJ$2056,GQ$3&amp;"-"&amp;4)</f>
        <v>0</v>
      </c>
      <c r="GR39" s="26">
        <f>COUNTIF(車両台帳!$BJ$57:$BJ$2056,GR$3&amp;"-"&amp;4)</f>
        <v>0</v>
      </c>
      <c r="GS39" s="26">
        <f>COUNTIF(車両台帳!$BJ$57:$BJ$2056,GS$3&amp;"-"&amp;4)</f>
        <v>0</v>
      </c>
      <c r="GT39" s="26">
        <f>COUNTIF(車両台帳!$BJ$57:$BJ$2056,GT$3&amp;"-"&amp;4)</f>
        <v>0</v>
      </c>
      <c r="GU39" s="26">
        <f>COUNTIF(車両台帳!$BJ$57:$BJ$2056,GU$3&amp;"-"&amp;4)</f>
        <v>0</v>
      </c>
    </row>
    <row r="40" spans="2:203">
      <c r="C40" s="5" t="s">
        <v>642</v>
      </c>
      <c r="D40" s="26">
        <f>COUNTIF(車両台帳!$BJ$57:$BJ$2056,D$3&amp;"-"&amp;5)</f>
        <v>0</v>
      </c>
      <c r="E40" s="26">
        <f>COUNTIF(車両台帳!$BJ$57:$BJ$2056,E$3&amp;"-"&amp;5)</f>
        <v>0</v>
      </c>
      <c r="F40" s="26">
        <f>COUNTIF(車両台帳!$BJ$57:$BJ$2056,F$3&amp;"-"&amp;5)</f>
        <v>0</v>
      </c>
      <c r="G40" s="26">
        <f>COUNTIF(車両台帳!$BJ$57:$BJ$2056,G$3&amp;"-"&amp;5)</f>
        <v>0</v>
      </c>
      <c r="H40" s="26">
        <f>COUNTIF(車両台帳!$BJ$57:$BJ$2056,H$3&amp;"-"&amp;5)</f>
        <v>0</v>
      </c>
      <c r="I40" s="26">
        <f>COUNTIF(車両台帳!$BJ$57:$BJ$2056,I$3&amp;"-"&amp;5)</f>
        <v>0</v>
      </c>
      <c r="J40" s="26">
        <f>COUNTIF(車両台帳!$BJ$57:$BJ$2056,J$3&amp;"-"&amp;5)</f>
        <v>0</v>
      </c>
      <c r="K40" s="26">
        <f>COUNTIF(車両台帳!$BJ$57:$BJ$2056,K$3&amp;"-"&amp;5)</f>
        <v>0</v>
      </c>
      <c r="L40" s="26">
        <f>COUNTIF(車両台帳!$BJ$57:$BJ$2056,L$3&amp;"-"&amp;5)</f>
        <v>0</v>
      </c>
      <c r="M40" s="26">
        <f>COUNTIF(車両台帳!$BJ$57:$BJ$2056,M$3&amp;"-"&amp;5)</f>
        <v>0</v>
      </c>
      <c r="N40" s="26">
        <f>COUNTIF(車両台帳!$BJ$57:$BJ$2056,N$3&amp;"-"&amp;5)</f>
        <v>0</v>
      </c>
      <c r="O40" s="26">
        <f>COUNTIF(車両台帳!$BJ$57:$BJ$2056,O$3&amp;"-"&amp;5)</f>
        <v>0</v>
      </c>
      <c r="P40" s="26">
        <f>COUNTIF(車両台帳!$BJ$57:$BJ$2056,P$3&amp;"-"&amp;5)</f>
        <v>0</v>
      </c>
      <c r="Q40" s="26">
        <f>COUNTIF(車両台帳!$BJ$57:$BJ$2056,Q$3&amp;"-"&amp;5)</f>
        <v>0</v>
      </c>
      <c r="R40" s="26">
        <f>COUNTIF(車両台帳!$BJ$57:$BJ$2056,R$3&amp;"-"&amp;5)</f>
        <v>0</v>
      </c>
      <c r="S40" s="26">
        <f>COUNTIF(車両台帳!$BJ$57:$BJ$2056,S$3&amp;"-"&amp;5)</f>
        <v>0</v>
      </c>
      <c r="T40" s="26">
        <f>COUNTIF(車両台帳!$BJ$57:$BJ$2056,T$3&amp;"-"&amp;5)</f>
        <v>0</v>
      </c>
      <c r="U40" s="26">
        <f>COUNTIF(車両台帳!$BJ$57:$BJ$2056,U$3&amp;"-"&amp;5)</f>
        <v>0</v>
      </c>
      <c r="V40" s="26">
        <f>COUNTIF(車両台帳!$BJ$57:$BJ$2056,V$3&amp;"-"&amp;5)</f>
        <v>0</v>
      </c>
      <c r="W40" s="26">
        <f>COUNTIF(車両台帳!$BJ$57:$BJ$2056,W$3&amp;"-"&amp;5)</f>
        <v>0</v>
      </c>
      <c r="X40" s="26">
        <f>COUNTIF(車両台帳!$BJ$57:$BJ$2056,X$3&amp;"-"&amp;5)</f>
        <v>0</v>
      </c>
      <c r="Y40" s="26">
        <f>COUNTIF(車両台帳!$BJ$57:$BJ$2056,Y$3&amp;"-"&amp;5)</f>
        <v>0</v>
      </c>
      <c r="Z40" s="26">
        <f>COUNTIF(車両台帳!$BJ$57:$BJ$2056,Z$3&amp;"-"&amp;5)</f>
        <v>0</v>
      </c>
      <c r="AA40" s="26">
        <f>COUNTIF(車両台帳!$BJ$57:$BJ$2056,AA$3&amp;"-"&amp;5)</f>
        <v>0</v>
      </c>
      <c r="AB40" s="26">
        <f>COUNTIF(車両台帳!$BJ$57:$BJ$2056,AB$3&amp;"-"&amp;5)</f>
        <v>0</v>
      </c>
      <c r="AC40" s="26">
        <f>COUNTIF(車両台帳!$BJ$57:$BJ$2056,AC$3&amp;"-"&amp;5)</f>
        <v>0</v>
      </c>
      <c r="AD40" s="26">
        <f>COUNTIF(車両台帳!$BJ$57:$BJ$2056,AD$3&amp;"-"&amp;5)</f>
        <v>0</v>
      </c>
      <c r="AE40" s="26">
        <f>COUNTIF(車両台帳!$BJ$57:$BJ$2056,AE$3&amp;"-"&amp;5)</f>
        <v>0</v>
      </c>
      <c r="AF40" s="26">
        <f>COUNTIF(車両台帳!$BJ$57:$BJ$2056,AF$3&amp;"-"&amp;5)</f>
        <v>0</v>
      </c>
      <c r="AG40" s="26">
        <f>COUNTIF(車両台帳!$BJ$57:$BJ$2056,AG$3&amp;"-"&amp;5)</f>
        <v>0</v>
      </c>
      <c r="AH40" s="26">
        <f>COUNTIF(車両台帳!$BJ$57:$BJ$2056,AH$3&amp;"-"&amp;5)</f>
        <v>0</v>
      </c>
      <c r="AI40" s="26">
        <f>COUNTIF(車両台帳!$BJ$57:$BJ$2056,AI$3&amp;"-"&amp;5)</f>
        <v>0</v>
      </c>
      <c r="AJ40" s="26">
        <f>COUNTIF(車両台帳!$BJ$57:$BJ$2056,AJ$3&amp;"-"&amp;5)</f>
        <v>0</v>
      </c>
      <c r="AK40" s="26">
        <f>COUNTIF(車両台帳!$BJ$57:$BJ$2056,AK$3&amp;"-"&amp;5)</f>
        <v>0</v>
      </c>
      <c r="AL40" s="26">
        <f>COUNTIF(車両台帳!$BJ$57:$BJ$2056,AL$3&amp;"-"&amp;5)</f>
        <v>0</v>
      </c>
      <c r="AM40" s="26">
        <f>COUNTIF(車両台帳!$BJ$57:$BJ$2056,AM$3&amp;"-"&amp;5)</f>
        <v>0</v>
      </c>
      <c r="AN40" s="26">
        <f>COUNTIF(車両台帳!$BJ$57:$BJ$2056,AN$3&amp;"-"&amp;5)</f>
        <v>0</v>
      </c>
      <c r="AO40" s="26">
        <f>COUNTIF(車両台帳!$BJ$57:$BJ$2056,AO$3&amp;"-"&amp;5)</f>
        <v>0</v>
      </c>
      <c r="AP40" s="26">
        <f>COUNTIF(車両台帳!$BJ$57:$BJ$2056,AP$3&amp;"-"&amp;5)</f>
        <v>0</v>
      </c>
      <c r="AQ40" s="26">
        <f>COUNTIF(車両台帳!$BJ$57:$BJ$2056,AQ$3&amp;"-"&amp;5)</f>
        <v>0</v>
      </c>
      <c r="AR40" s="26">
        <f>COUNTIF(車両台帳!$BJ$57:$BJ$2056,AR$3&amp;"-"&amp;5)</f>
        <v>0</v>
      </c>
      <c r="AS40" s="26">
        <f>COUNTIF(車両台帳!$BJ$57:$BJ$2056,AS$3&amp;"-"&amp;5)</f>
        <v>0</v>
      </c>
      <c r="AT40" s="26">
        <f>COUNTIF(車両台帳!$BJ$57:$BJ$2056,AT$3&amp;"-"&amp;5)</f>
        <v>0</v>
      </c>
      <c r="AU40" s="26">
        <f>COUNTIF(車両台帳!$BJ$57:$BJ$2056,AU$3&amp;"-"&amp;5)</f>
        <v>0</v>
      </c>
      <c r="AV40" s="26">
        <f>COUNTIF(車両台帳!$BJ$57:$BJ$2056,AV$3&amp;"-"&amp;5)</f>
        <v>0</v>
      </c>
      <c r="AW40" s="26">
        <f>COUNTIF(車両台帳!$BJ$57:$BJ$2056,AW$3&amp;"-"&amp;5)</f>
        <v>0</v>
      </c>
      <c r="AX40" s="26">
        <f>COUNTIF(車両台帳!$BJ$57:$BJ$2056,AX$3&amp;"-"&amp;5)</f>
        <v>0</v>
      </c>
      <c r="AY40" s="26">
        <f>COUNTIF(車両台帳!$BJ$57:$BJ$2056,AY$3&amp;"-"&amp;5)</f>
        <v>0</v>
      </c>
      <c r="AZ40" s="26">
        <f>COUNTIF(車両台帳!$BJ$57:$BJ$2056,AZ$3&amp;"-"&amp;5)</f>
        <v>0</v>
      </c>
      <c r="BA40" s="26">
        <f>COUNTIF(車両台帳!$BJ$57:$BJ$2056,BA$3&amp;"-"&amp;5)</f>
        <v>0</v>
      </c>
      <c r="BB40" s="26">
        <f>COUNTIF(車両台帳!$BJ$57:$BJ$2056,BB$3&amp;"-"&amp;5)</f>
        <v>0</v>
      </c>
      <c r="BC40" s="26">
        <f>COUNTIF(車両台帳!$BJ$57:$BJ$2056,BC$3&amp;"-"&amp;5)</f>
        <v>0</v>
      </c>
      <c r="BD40" s="26">
        <f>COUNTIF(車両台帳!$BJ$57:$BJ$2056,BD$3&amp;"-"&amp;5)</f>
        <v>0</v>
      </c>
      <c r="BE40" s="26">
        <f>COUNTIF(車両台帳!$BJ$57:$BJ$2056,BE$3&amp;"-"&amp;5)</f>
        <v>0</v>
      </c>
      <c r="BF40" s="26">
        <f>COUNTIF(車両台帳!$BJ$57:$BJ$2056,BF$3&amp;"-"&amp;5)</f>
        <v>0</v>
      </c>
      <c r="BG40" s="26">
        <f>COUNTIF(車両台帳!$BJ$57:$BJ$2056,BG$3&amp;"-"&amp;5)</f>
        <v>0</v>
      </c>
      <c r="BH40" s="26">
        <f>COUNTIF(車両台帳!$BJ$57:$BJ$2056,BH$3&amp;"-"&amp;5)</f>
        <v>0</v>
      </c>
      <c r="BI40" s="26">
        <f>COUNTIF(車両台帳!$BJ$57:$BJ$2056,BI$3&amp;"-"&amp;5)</f>
        <v>0</v>
      </c>
      <c r="BJ40" s="26">
        <f>COUNTIF(車両台帳!$BJ$57:$BJ$2056,BJ$3&amp;"-"&amp;5)</f>
        <v>0</v>
      </c>
      <c r="BK40" s="26">
        <f>COUNTIF(車両台帳!$BJ$57:$BJ$2056,BK$3&amp;"-"&amp;5)</f>
        <v>0</v>
      </c>
      <c r="BL40" s="26">
        <f>COUNTIF(車両台帳!$BJ$57:$BJ$2056,BL$3&amp;"-"&amp;5)</f>
        <v>0</v>
      </c>
      <c r="BM40" s="26">
        <f>COUNTIF(車両台帳!$BJ$57:$BJ$2056,BM$3&amp;"-"&amp;5)</f>
        <v>0</v>
      </c>
      <c r="BN40" s="26">
        <f>COUNTIF(車両台帳!$BJ$57:$BJ$2056,BN$3&amp;"-"&amp;5)</f>
        <v>0</v>
      </c>
      <c r="BO40" s="26">
        <f>COUNTIF(車両台帳!$BJ$57:$BJ$2056,BO$3&amp;"-"&amp;5)</f>
        <v>0</v>
      </c>
      <c r="BP40" s="26">
        <f>COUNTIF(車両台帳!$BJ$57:$BJ$2056,BP$3&amp;"-"&amp;5)</f>
        <v>0</v>
      </c>
      <c r="BQ40" s="26">
        <f>COUNTIF(車両台帳!$BJ$57:$BJ$2056,BQ$3&amp;"-"&amp;5)</f>
        <v>0</v>
      </c>
      <c r="BR40" s="26">
        <f>COUNTIF(車両台帳!$BJ$57:$BJ$2056,BR$3&amp;"-"&amp;5)</f>
        <v>0</v>
      </c>
      <c r="BS40" s="26">
        <f>COUNTIF(車両台帳!$BJ$57:$BJ$2056,BS$3&amp;"-"&amp;5)</f>
        <v>0</v>
      </c>
      <c r="BT40" s="26">
        <f>COUNTIF(車両台帳!$BJ$57:$BJ$2056,BT$3&amp;"-"&amp;5)</f>
        <v>0</v>
      </c>
      <c r="BU40" s="26">
        <f>COUNTIF(車両台帳!$BJ$57:$BJ$2056,BU$3&amp;"-"&amp;5)</f>
        <v>0</v>
      </c>
      <c r="BV40" s="26">
        <f>COUNTIF(車両台帳!$BJ$57:$BJ$2056,BV$3&amp;"-"&amp;5)</f>
        <v>0</v>
      </c>
      <c r="BW40" s="26">
        <f>COUNTIF(車両台帳!$BJ$57:$BJ$2056,BW$3&amp;"-"&amp;5)</f>
        <v>0</v>
      </c>
      <c r="BX40" s="26">
        <f>COUNTIF(車両台帳!$BJ$57:$BJ$2056,BX$3&amp;"-"&amp;5)</f>
        <v>0</v>
      </c>
      <c r="BY40" s="26">
        <f>COUNTIF(車両台帳!$BJ$57:$BJ$2056,BY$3&amp;"-"&amp;5)</f>
        <v>0</v>
      </c>
      <c r="BZ40" s="26">
        <f>COUNTIF(車両台帳!$BJ$57:$BJ$2056,BZ$3&amp;"-"&amp;5)</f>
        <v>0</v>
      </c>
      <c r="CA40" s="26">
        <f>COUNTIF(車両台帳!$BJ$57:$BJ$2056,CA$3&amp;"-"&amp;5)</f>
        <v>0</v>
      </c>
      <c r="CB40" s="26">
        <f>COUNTIF(車両台帳!$BJ$57:$BJ$2056,CB$3&amp;"-"&amp;5)</f>
        <v>0</v>
      </c>
      <c r="CC40" s="26">
        <f>COUNTIF(車両台帳!$BJ$57:$BJ$2056,CC$3&amp;"-"&amp;5)</f>
        <v>0</v>
      </c>
      <c r="CD40" s="26">
        <f>COUNTIF(車両台帳!$BJ$57:$BJ$2056,CD$3&amp;"-"&amp;5)</f>
        <v>0</v>
      </c>
      <c r="CE40" s="26">
        <f>COUNTIF(車両台帳!$BJ$57:$BJ$2056,CE$3&amp;"-"&amp;5)</f>
        <v>0</v>
      </c>
      <c r="CF40" s="26">
        <f>COUNTIF(車両台帳!$BJ$57:$BJ$2056,CF$3&amp;"-"&amp;5)</f>
        <v>0</v>
      </c>
      <c r="CG40" s="26">
        <f>COUNTIF(車両台帳!$BJ$57:$BJ$2056,CG$3&amp;"-"&amp;5)</f>
        <v>0</v>
      </c>
      <c r="CH40" s="26">
        <f>COUNTIF(車両台帳!$BJ$57:$BJ$2056,CH$3&amp;"-"&amp;5)</f>
        <v>0</v>
      </c>
      <c r="CI40" s="26">
        <f>COUNTIF(車両台帳!$BJ$57:$BJ$2056,CI$3&amp;"-"&amp;5)</f>
        <v>0</v>
      </c>
      <c r="CJ40" s="26">
        <f>COUNTIF(車両台帳!$BJ$57:$BJ$2056,CJ$3&amp;"-"&amp;5)</f>
        <v>0</v>
      </c>
      <c r="CK40" s="26">
        <f>COUNTIF(車両台帳!$BJ$57:$BJ$2056,CK$3&amp;"-"&amp;5)</f>
        <v>0</v>
      </c>
      <c r="CL40" s="26">
        <f>COUNTIF(車両台帳!$BJ$57:$BJ$2056,CL$3&amp;"-"&amp;5)</f>
        <v>0</v>
      </c>
      <c r="CM40" s="26">
        <f>COUNTIF(車両台帳!$BJ$57:$BJ$2056,CM$3&amp;"-"&amp;5)</f>
        <v>0</v>
      </c>
      <c r="CN40" s="26">
        <f>COUNTIF(車両台帳!$BJ$57:$BJ$2056,CN$3&amp;"-"&amp;5)</f>
        <v>0</v>
      </c>
      <c r="CO40" s="26">
        <f>COUNTIF(車両台帳!$BJ$57:$BJ$2056,CO$3&amp;"-"&amp;5)</f>
        <v>0</v>
      </c>
      <c r="CP40" s="26">
        <f>COUNTIF(車両台帳!$BJ$57:$BJ$2056,CP$3&amp;"-"&amp;5)</f>
        <v>0</v>
      </c>
      <c r="CQ40" s="26">
        <f>COUNTIF(車両台帳!$BJ$57:$BJ$2056,CQ$3&amp;"-"&amp;5)</f>
        <v>0</v>
      </c>
      <c r="CR40" s="26">
        <f>COUNTIF(車両台帳!$BJ$57:$BJ$2056,CR$3&amp;"-"&amp;5)</f>
        <v>0</v>
      </c>
      <c r="CS40" s="26">
        <f>COUNTIF(車両台帳!$BJ$57:$BJ$2056,CS$3&amp;"-"&amp;5)</f>
        <v>0</v>
      </c>
      <c r="CT40" s="26">
        <f>COUNTIF(車両台帳!$BJ$57:$BJ$2056,CT$3&amp;"-"&amp;5)</f>
        <v>0</v>
      </c>
      <c r="CU40" s="26">
        <f>COUNTIF(車両台帳!$BJ$57:$BJ$2056,CU$3&amp;"-"&amp;5)</f>
        <v>0</v>
      </c>
      <c r="CV40" s="26">
        <f>COUNTIF(車両台帳!$BJ$57:$BJ$2056,CV$3&amp;"-"&amp;5)</f>
        <v>0</v>
      </c>
      <c r="CW40" s="26">
        <f>COUNTIF(車両台帳!$BJ$57:$BJ$2056,CW$3&amp;"-"&amp;5)</f>
        <v>0</v>
      </c>
      <c r="CX40" s="26">
        <f>COUNTIF(車両台帳!$BJ$57:$BJ$2056,CX$3&amp;"-"&amp;5)</f>
        <v>0</v>
      </c>
      <c r="CY40" s="26">
        <f>COUNTIF(車両台帳!$BJ$57:$BJ$2056,CY$3&amp;"-"&amp;5)</f>
        <v>0</v>
      </c>
      <c r="CZ40" s="26">
        <f>COUNTIF(車両台帳!$BJ$57:$BJ$2056,CZ$3&amp;"-"&amp;5)</f>
        <v>0</v>
      </c>
      <c r="DA40" s="26">
        <f>COUNTIF(車両台帳!$BJ$57:$BJ$2056,DA$3&amp;"-"&amp;5)</f>
        <v>0</v>
      </c>
      <c r="DB40" s="26">
        <f>COUNTIF(車両台帳!$BJ$57:$BJ$2056,DB$3&amp;"-"&amp;5)</f>
        <v>0</v>
      </c>
      <c r="DC40" s="26">
        <f>COUNTIF(車両台帳!$BJ$57:$BJ$2056,DC$3&amp;"-"&amp;5)</f>
        <v>0</v>
      </c>
      <c r="DD40" s="26">
        <f>COUNTIF(車両台帳!$BJ$57:$BJ$2056,DD$3&amp;"-"&amp;5)</f>
        <v>0</v>
      </c>
      <c r="DE40" s="26">
        <f>COUNTIF(車両台帳!$BJ$57:$BJ$2056,DE$3&amp;"-"&amp;5)</f>
        <v>0</v>
      </c>
      <c r="DF40" s="26">
        <f>COUNTIF(車両台帳!$BJ$57:$BJ$2056,DF$3&amp;"-"&amp;5)</f>
        <v>0</v>
      </c>
      <c r="DG40" s="26">
        <f>COUNTIF(車両台帳!$BJ$57:$BJ$2056,DG$3&amp;"-"&amp;5)</f>
        <v>0</v>
      </c>
      <c r="DH40" s="26">
        <f>COUNTIF(車両台帳!$BJ$57:$BJ$2056,DH$3&amp;"-"&amp;5)</f>
        <v>0</v>
      </c>
      <c r="DI40" s="26">
        <f>COUNTIF(車両台帳!$BJ$57:$BJ$2056,DI$3&amp;"-"&amp;5)</f>
        <v>0</v>
      </c>
      <c r="DJ40" s="26">
        <f>COUNTIF(車両台帳!$BJ$57:$BJ$2056,DJ$3&amp;"-"&amp;5)</f>
        <v>0</v>
      </c>
      <c r="DK40" s="26">
        <f>COUNTIF(車両台帳!$BJ$57:$BJ$2056,DK$3&amp;"-"&amp;5)</f>
        <v>0</v>
      </c>
      <c r="DL40" s="26">
        <f>COUNTIF(車両台帳!$BJ$57:$BJ$2056,DL$3&amp;"-"&amp;5)</f>
        <v>0</v>
      </c>
      <c r="DM40" s="26">
        <f>COUNTIF(車両台帳!$BJ$57:$BJ$2056,DM$3&amp;"-"&amp;5)</f>
        <v>0</v>
      </c>
      <c r="DN40" s="26">
        <f>COUNTIF(車両台帳!$BJ$57:$BJ$2056,DN$3&amp;"-"&amp;5)</f>
        <v>0</v>
      </c>
      <c r="DO40" s="26">
        <f>COUNTIF(車両台帳!$BJ$57:$BJ$2056,DO$3&amp;"-"&amp;5)</f>
        <v>0</v>
      </c>
      <c r="DP40" s="26">
        <f>COUNTIF(車両台帳!$BJ$57:$BJ$2056,DP$3&amp;"-"&amp;5)</f>
        <v>0</v>
      </c>
      <c r="DQ40" s="26">
        <f>COUNTIF(車両台帳!$BJ$57:$BJ$2056,DQ$3&amp;"-"&amp;5)</f>
        <v>0</v>
      </c>
      <c r="DR40" s="26">
        <f>COUNTIF(車両台帳!$BJ$57:$BJ$2056,DR$3&amp;"-"&amp;5)</f>
        <v>0</v>
      </c>
      <c r="DS40" s="26">
        <f>COUNTIF(車両台帳!$BJ$57:$BJ$2056,DS$3&amp;"-"&amp;5)</f>
        <v>0</v>
      </c>
      <c r="DT40" s="26">
        <f>COUNTIF(車両台帳!$BJ$57:$BJ$2056,DT$3&amp;"-"&amp;5)</f>
        <v>0</v>
      </c>
      <c r="DU40" s="26">
        <f>COUNTIF(車両台帳!$BJ$57:$BJ$2056,DU$3&amp;"-"&amp;5)</f>
        <v>0</v>
      </c>
      <c r="DV40" s="26">
        <f>COUNTIF(車両台帳!$BJ$57:$BJ$2056,DV$3&amp;"-"&amp;5)</f>
        <v>0</v>
      </c>
      <c r="DW40" s="26">
        <f>COUNTIF(車両台帳!$BJ$57:$BJ$2056,DW$3&amp;"-"&amp;5)</f>
        <v>0</v>
      </c>
      <c r="DX40" s="26">
        <f>COUNTIF(車両台帳!$BJ$57:$BJ$2056,DX$3&amp;"-"&amp;5)</f>
        <v>0</v>
      </c>
      <c r="DY40" s="26">
        <f>COUNTIF(車両台帳!$BJ$57:$BJ$2056,DY$3&amp;"-"&amp;5)</f>
        <v>0</v>
      </c>
      <c r="DZ40" s="26">
        <f>COUNTIF(車両台帳!$BJ$57:$BJ$2056,DZ$3&amp;"-"&amp;5)</f>
        <v>0</v>
      </c>
      <c r="EA40" s="26">
        <f>COUNTIF(車両台帳!$BJ$57:$BJ$2056,EA$3&amp;"-"&amp;5)</f>
        <v>0</v>
      </c>
      <c r="EB40" s="26">
        <f>COUNTIF(車両台帳!$BJ$57:$BJ$2056,EB$3&amp;"-"&amp;5)</f>
        <v>0</v>
      </c>
      <c r="EC40" s="26">
        <f>COUNTIF(車両台帳!$BJ$57:$BJ$2056,EC$3&amp;"-"&amp;5)</f>
        <v>0</v>
      </c>
      <c r="ED40" s="26">
        <f>COUNTIF(車両台帳!$BJ$57:$BJ$2056,ED$3&amp;"-"&amp;5)</f>
        <v>0</v>
      </c>
      <c r="EE40" s="26">
        <f>COUNTIF(車両台帳!$BJ$57:$BJ$2056,EE$3&amp;"-"&amp;5)</f>
        <v>0</v>
      </c>
      <c r="EF40" s="26">
        <f>COUNTIF(車両台帳!$BJ$57:$BJ$2056,EF$3&amp;"-"&amp;5)</f>
        <v>0</v>
      </c>
      <c r="EG40" s="26">
        <f>COUNTIF(車両台帳!$BJ$57:$BJ$2056,EG$3&amp;"-"&amp;5)</f>
        <v>0</v>
      </c>
      <c r="EH40" s="26">
        <f>COUNTIF(車両台帳!$BJ$57:$BJ$2056,EH$3&amp;"-"&amp;5)</f>
        <v>0</v>
      </c>
      <c r="EI40" s="26">
        <f>COUNTIF(車両台帳!$BJ$57:$BJ$2056,EI$3&amp;"-"&amp;5)</f>
        <v>0</v>
      </c>
      <c r="EJ40" s="26">
        <f>COUNTIF(車両台帳!$BJ$57:$BJ$2056,EJ$3&amp;"-"&amp;5)</f>
        <v>0</v>
      </c>
      <c r="EK40" s="26">
        <f>COUNTIF(車両台帳!$BJ$57:$BJ$2056,EK$3&amp;"-"&amp;5)</f>
        <v>0</v>
      </c>
      <c r="EL40" s="26">
        <f>COUNTIF(車両台帳!$BJ$57:$BJ$2056,EL$3&amp;"-"&amp;5)</f>
        <v>0</v>
      </c>
      <c r="EM40" s="26">
        <f>COUNTIF(車両台帳!$BJ$57:$BJ$2056,EM$3&amp;"-"&amp;5)</f>
        <v>0</v>
      </c>
      <c r="EN40" s="26">
        <f>COUNTIF(車両台帳!$BJ$57:$BJ$2056,EN$3&amp;"-"&amp;5)</f>
        <v>0</v>
      </c>
      <c r="EO40" s="26">
        <f>COUNTIF(車両台帳!$BJ$57:$BJ$2056,EO$3&amp;"-"&amp;5)</f>
        <v>0</v>
      </c>
      <c r="EP40" s="26">
        <f>COUNTIF(車両台帳!$BJ$57:$BJ$2056,EP$3&amp;"-"&amp;5)</f>
        <v>0</v>
      </c>
      <c r="EQ40" s="26">
        <f>COUNTIF(車両台帳!$BJ$57:$BJ$2056,EQ$3&amp;"-"&amp;5)</f>
        <v>0</v>
      </c>
      <c r="ER40" s="26">
        <f>COUNTIF(車両台帳!$BJ$57:$BJ$2056,ER$3&amp;"-"&amp;5)</f>
        <v>0</v>
      </c>
      <c r="ES40" s="26">
        <f>COUNTIF(車両台帳!$BJ$57:$BJ$2056,ES$3&amp;"-"&amp;5)</f>
        <v>0</v>
      </c>
      <c r="ET40" s="26">
        <f>COUNTIF(車両台帳!$BJ$57:$BJ$2056,ET$3&amp;"-"&amp;5)</f>
        <v>0</v>
      </c>
      <c r="EU40" s="26">
        <f>COUNTIF(車両台帳!$BJ$57:$BJ$2056,EU$3&amp;"-"&amp;5)</f>
        <v>0</v>
      </c>
      <c r="EV40" s="26">
        <f>COUNTIF(車両台帳!$BJ$57:$BJ$2056,EV$3&amp;"-"&amp;5)</f>
        <v>0</v>
      </c>
      <c r="EW40" s="26">
        <f>COUNTIF(車両台帳!$BJ$57:$BJ$2056,EW$3&amp;"-"&amp;5)</f>
        <v>0</v>
      </c>
      <c r="EX40" s="26">
        <f>COUNTIF(車両台帳!$BJ$57:$BJ$2056,EX$3&amp;"-"&amp;5)</f>
        <v>0</v>
      </c>
      <c r="EY40" s="26">
        <f>COUNTIF(車両台帳!$BJ$57:$BJ$2056,EY$3&amp;"-"&amp;5)</f>
        <v>0</v>
      </c>
      <c r="EZ40" s="26">
        <f>COUNTIF(車両台帳!$BJ$57:$BJ$2056,EZ$3&amp;"-"&amp;5)</f>
        <v>0</v>
      </c>
      <c r="FA40" s="26">
        <f>COUNTIF(車両台帳!$BJ$57:$BJ$2056,FA$3&amp;"-"&amp;5)</f>
        <v>0</v>
      </c>
      <c r="FB40" s="26">
        <f>COUNTIF(車両台帳!$BJ$57:$BJ$2056,FB$3&amp;"-"&amp;5)</f>
        <v>0</v>
      </c>
      <c r="FC40" s="26">
        <f>COUNTIF(車両台帳!$BJ$57:$BJ$2056,FC$3&amp;"-"&amp;5)</f>
        <v>0</v>
      </c>
      <c r="FD40" s="26">
        <f>COUNTIF(車両台帳!$BJ$57:$BJ$2056,FD$3&amp;"-"&amp;5)</f>
        <v>0</v>
      </c>
      <c r="FE40" s="26">
        <f>COUNTIF(車両台帳!$BJ$57:$BJ$2056,FE$3&amp;"-"&amp;5)</f>
        <v>0</v>
      </c>
      <c r="FF40" s="26">
        <f>COUNTIF(車両台帳!$BJ$57:$BJ$2056,FF$3&amp;"-"&amp;5)</f>
        <v>0</v>
      </c>
      <c r="FG40" s="26">
        <f>COUNTIF(車両台帳!$BJ$57:$BJ$2056,FG$3&amp;"-"&amp;5)</f>
        <v>0</v>
      </c>
      <c r="FH40" s="26">
        <f>COUNTIF(車両台帳!$BJ$57:$BJ$2056,FH$3&amp;"-"&amp;5)</f>
        <v>0</v>
      </c>
      <c r="FI40" s="26">
        <f>COUNTIF(車両台帳!$BJ$57:$BJ$2056,FI$3&amp;"-"&amp;5)</f>
        <v>0</v>
      </c>
      <c r="FJ40" s="26">
        <f>COUNTIF(車両台帳!$BJ$57:$BJ$2056,FJ$3&amp;"-"&amp;5)</f>
        <v>0</v>
      </c>
      <c r="FK40" s="26">
        <f>COUNTIF(車両台帳!$BJ$57:$BJ$2056,FK$3&amp;"-"&amp;5)</f>
        <v>0</v>
      </c>
      <c r="FL40" s="26">
        <f>COUNTIF(車両台帳!$BJ$57:$BJ$2056,FL$3&amp;"-"&amp;5)</f>
        <v>0</v>
      </c>
      <c r="FM40" s="26">
        <f>COUNTIF(車両台帳!$BJ$57:$BJ$2056,FM$3&amp;"-"&amp;5)</f>
        <v>0</v>
      </c>
      <c r="FN40" s="26">
        <f>COUNTIF(車両台帳!$BJ$57:$BJ$2056,FN$3&amp;"-"&amp;5)</f>
        <v>0</v>
      </c>
      <c r="FO40" s="26">
        <f>COUNTIF(車両台帳!$BJ$57:$BJ$2056,FO$3&amp;"-"&amp;5)</f>
        <v>0</v>
      </c>
      <c r="FP40" s="26">
        <f>COUNTIF(車両台帳!$BJ$57:$BJ$2056,FP$3&amp;"-"&amp;5)</f>
        <v>0</v>
      </c>
      <c r="FQ40" s="26">
        <f>COUNTIF(車両台帳!$BJ$57:$BJ$2056,FQ$3&amp;"-"&amp;5)</f>
        <v>0</v>
      </c>
      <c r="FR40" s="26">
        <f>COUNTIF(車両台帳!$BJ$57:$BJ$2056,FR$3&amp;"-"&amp;5)</f>
        <v>0</v>
      </c>
      <c r="FS40" s="26">
        <f>COUNTIF(車両台帳!$BJ$57:$BJ$2056,FS$3&amp;"-"&amp;5)</f>
        <v>0</v>
      </c>
      <c r="FT40" s="26">
        <f>COUNTIF(車両台帳!$BJ$57:$BJ$2056,FT$3&amp;"-"&amp;5)</f>
        <v>0</v>
      </c>
      <c r="FU40" s="26">
        <f>COUNTIF(車両台帳!$BJ$57:$BJ$2056,FU$3&amp;"-"&amp;5)</f>
        <v>0</v>
      </c>
      <c r="FV40" s="26">
        <f>COUNTIF(車両台帳!$BJ$57:$BJ$2056,FV$3&amp;"-"&amp;5)</f>
        <v>0</v>
      </c>
      <c r="FW40" s="26">
        <f>COUNTIF(車両台帳!$BJ$57:$BJ$2056,FW$3&amp;"-"&amp;5)</f>
        <v>0</v>
      </c>
      <c r="FX40" s="26">
        <f>COUNTIF(車両台帳!$BJ$57:$BJ$2056,FX$3&amp;"-"&amp;5)</f>
        <v>0</v>
      </c>
      <c r="FY40" s="26">
        <f>COUNTIF(車両台帳!$BJ$57:$BJ$2056,FY$3&amp;"-"&amp;5)</f>
        <v>0</v>
      </c>
      <c r="FZ40" s="26">
        <f>COUNTIF(車両台帳!$BJ$57:$BJ$2056,FZ$3&amp;"-"&amp;5)</f>
        <v>0</v>
      </c>
      <c r="GA40" s="26">
        <f>COUNTIF(車両台帳!$BJ$57:$BJ$2056,GA$3&amp;"-"&amp;5)</f>
        <v>0</v>
      </c>
      <c r="GB40" s="26">
        <f>COUNTIF(車両台帳!$BJ$57:$BJ$2056,GB$3&amp;"-"&amp;5)</f>
        <v>0</v>
      </c>
      <c r="GC40" s="26">
        <f>COUNTIF(車両台帳!$BJ$57:$BJ$2056,GC$3&amp;"-"&amp;5)</f>
        <v>0</v>
      </c>
      <c r="GD40" s="26">
        <f>COUNTIF(車両台帳!$BJ$57:$BJ$2056,GD$3&amp;"-"&amp;5)</f>
        <v>0</v>
      </c>
      <c r="GE40" s="26">
        <f>COUNTIF(車両台帳!$BJ$57:$BJ$2056,GE$3&amp;"-"&amp;5)</f>
        <v>0</v>
      </c>
      <c r="GF40" s="26">
        <f>COUNTIF(車両台帳!$BJ$57:$BJ$2056,GF$3&amp;"-"&amp;5)</f>
        <v>0</v>
      </c>
      <c r="GG40" s="26">
        <f>COUNTIF(車両台帳!$BJ$57:$BJ$2056,GG$3&amp;"-"&amp;5)</f>
        <v>0</v>
      </c>
      <c r="GH40" s="26">
        <f>COUNTIF(車両台帳!$BJ$57:$BJ$2056,GH$3&amp;"-"&amp;5)</f>
        <v>0</v>
      </c>
      <c r="GI40" s="26">
        <f>COUNTIF(車両台帳!$BJ$57:$BJ$2056,GI$3&amp;"-"&amp;5)</f>
        <v>0</v>
      </c>
      <c r="GJ40" s="26">
        <f>COUNTIF(車両台帳!$BJ$57:$BJ$2056,GJ$3&amp;"-"&amp;5)</f>
        <v>0</v>
      </c>
      <c r="GK40" s="26">
        <f>COUNTIF(車両台帳!$BJ$57:$BJ$2056,GK$3&amp;"-"&amp;5)</f>
        <v>0</v>
      </c>
      <c r="GL40" s="26">
        <f>COUNTIF(車両台帳!$BJ$57:$BJ$2056,GL$3&amp;"-"&amp;5)</f>
        <v>0</v>
      </c>
      <c r="GM40" s="26">
        <f>COUNTIF(車両台帳!$BJ$57:$BJ$2056,GM$3&amp;"-"&amp;5)</f>
        <v>0</v>
      </c>
      <c r="GN40" s="26">
        <f>COUNTIF(車両台帳!$BJ$57:$BJ$2056,GN$3&amp;"-"&amp;5)</f>
        <v>0</v>
      </c>
      <c r="GO40" s="26">
        <f>COUNTIF(車両台帳!$BJ$57:$BJ$2056,GO$3&amp;"-"&amp;5)</f>
        <v>0</v>
      </c>
      <c r="GP40" s="26">
        <f>COUNTIF(車両台帳!$BJ$57:$BJ$2056,GP$3&amp;"-"&amp;5)</f>
        <v>0</v>
      </c>
      <c r="GQ40" s="26">
        <f>COUNTIF(車両台帳!$BJ$57:$BJ$2056,GQ$3&amp;"-"&amp;5)</f>
        <v>0</v>
      </c>
      <c r="GR40" s="26">
        <f>COUNTIF(車両台帳!$BJ$57:$BJ$2056,GR$3&amp;"-"&amp;5)</f>
        <v>0</v>
      </c>
      <c r="GS40" s="26">
        <f>COUNTIF(車両台帳!$BJ$57:$BJ$2056,GS$3&amp;"-"&amp;5)</f>
        <v>0</v>
      </c>
      <c r="GT40" s="26">
        <f>COUNTIF(車両台帳!$BJ$57:$BJ$2056,GT$3&amp;"-"&amp;5)</f>
        <v>0</v>
      </c>
      <c r="GU40" s="26">
        <f>COUNTIF(車両台帳!$BJ$57:$BJ$2056,GU$3&amp;"-"&amp;5)</f>
        <v>0</v>
      </c>
    </row>
    <row r="41" spans="2:203">
      <c r="C41" s="45" t="s">
        <v>476</v>
      </c>
      <c r="D41" s="26">
        <f>COUNTIF(車両台帳!$BJ$57:$BJ$2056,D$3&amp;"-"&amp;10)</f>
        <v>0</v>
      </c>
      <c r="E41" s="26">
        <f>COUNTIF(車両台帳!$BJ$57:$BJ$2056,E$3&amp;"-"&amp;10)</f>
        <v>0</v>
      </c>
      <c r="F41" s="26">
        <f>COUNTIF(車両台帳!$BJ$57:$BJ$2056,F$3&amp;"-"&amp;10)</f>
        <v>0</v>
      </c>
      <c r="G41" s="26">
        <f>COUNTIF(車両台帳!$BJ$57:$BJ$2056,G$3&amp;"-"&amp;10)</f>
        <v>0</v>
      </c>
      <c r="H41" s="26">
        <f>COUNTIF(車両台帳!$BJ$57:$BJ$2056,H$3&amp;"-"&amp;10)</f>
        <v>0</v>
      </c>
      <c r="I41" s="26">
        <f>COUNTIF(車両台帳!$BJ$57:$BJ$2056,I$3&amp;"-"&amp;10)</f>
        <v>0</v>
      </c>
      <c r="J41" s="26">
        <f>COUNTIF(車両台帳!$BJ$57:$BJ$2056,J$3&amp;"-"&amp;10)</f>
        <v>0</v>
      </c>
      <c r="K41" s="26">
        <f>COUNTIF(車両台帳!$BJ$57:$BJ$2056,K$3&amp;"-"&amp;10)</f>
        <v>0</v>
      </c>
      <c r="L41" s="26">
        <f>COUNTIF(車両台帳!$BJ$57:$BJ$2056,L$3&amp;"-"&amp;10)</f>
        <v>0</v>
      </c>
      <c r="M41" s="26">
        <f>COUNTIF(車両台帳!$BJ$57:$BJ$2056,M$3&amp;"-"&amp;10)</f>
        <v>0</v>
      </c>
      <c r="N41" s="26">
        <f>COUNTIF(車両台帳!$BJ$57:$BJ$2056,N$3&amp;"-"&amp;10)</f>
        <v>0</v>
      </c>
      <c r="O41" s="26">
        <f>COUNTIF(車両台帳!$BJ$57:$BJ$2056,O$3&amp;"-"&amp;10)</f>
        <v>0</v>
      </c>
      <c r="P41" s="26">
        <f>COUNTIF(車両台帳!$BJ$57:$BJ$2056,P$3&amp;"-"&amp;10)</f>
        <v>0</v>
      </c>
      <c r="Q41" s="26">
        <f>COUNTIF(車両台帳!$BJ$57:$BJ$2056,Q$3&amp;"-"&amp;10)</f>
        <v>0</v>
      </c>
      <c r="R41" s="26">
        <f>COUNTIF(車両台帳!$BJ$57:$BJ$2056,R$3&amp;"-"&amp;10)</f>
        <v>0</v>
      </c>
      <c r="S41" s="26">
        <f>COUNTIF(車両台帳!$BJ$57:$BJ$2056,S$3&amp;"-"&amp;10)</f>
        <v>0</v>
      </c>
      <c r="T41" s="26">
        <f>COUNTIF(車両台帳!$BJ$57:$BJ$2056,T$3&amp;"-"&amp;10)</f>
        <v>0</v>
      </c>
      <c r="U41" s="26">
        <f>COUNTIF(車両台帳!$BJ$57:$BJ$2056,U$3&amp;"-"&amp;10)</f>
        <v>0</v>
      </c>
      <c r="V41" s="26">
        <f>COUNTIF(車両台帳!$BJ$57:$BJ$2056,V$3&amp;"-"&amp;10)</f>
        <v>0</v>
      </c>
      <c r="W41" s="26">
        <f>COUNTIF(車両台帳!$BJ$57:$BJ$2056,W$3&amp;"-"&amp;10)</f>
        <v>0</v>
      </c>
      <c r="X41" s="26">
        <f>COUNTIF(車両台帳!$BJ$57:$BJ$2056,X$3&amp;"-"&amp;10)</f>
        <v>0</v>
      </c>
      <c r="Y41" s="26">
        <f>COUNTIF(車両台帳!$BJ$57:$BJ$2056,Y$3&amp;"-"&amp;10)</f>
        <v>0</v>
      </c>
      <c r="Z41" s="26">
        <f>COUNTIF(車両台帳!$BJ$57:$BJ$2056,Z$3&amp;"-"&amp;10)</f>
        <v>0</v>
      </c>
      <c r="AA41" s="26">
        <f>COUNTIF(車両台帳!$BJ$57:$BJ$2056,AA$3&amp;"-"&amp;10)</f>
        <v>0</v>
      </c>
      <c r="AB41" s="26">
        <f>COUNTIF(車両台帳!$BJ$57:$BJ$2056,AB$3&amp;"-"&amp;10)</f>
        <v>0</v>
      </c>
      <c r="AC41" s="26">
        <f>COUNTIF(車両台帳!$BJ$57:$BJ$2056,AC$3&amp;"-"&amp;10)</f>
        <v>0</v>
      </c>
      <c r="AD41" s="26">
        <f>COUNTIF(車両台帳!$BJ$57:$BJ$2056,AD$3&amp;"-"&amp;10)</f>
        <v>0</v>
      </c>
      <c r="AE41" s="26">
        <f>COUNTIF(車両台帳!$BJ$57:$BJ$2056,AE$3&amp;"-"&amp;10)</f>
        <v>0</v>
      </c>
      <c r="AF41" s="26">
        <f>COUNTIF(車両台帳!$BJ$57:$BJ$2056,AF$3&amp;"-"&amp;10)</f>
        <v>0</v>
      </c>
      <c r="AG41" s="26">
        <f>COUNTIF(車両台帳!$BJ$57:$BJ$2056,AG$3&amp;"-"&amp;10)</f>
        <v>0</v>
      </c>
      <c r="AH41" s="26">
        <f>COUNTIF(車両台帳!$BJ$57:$BJ$2056,AH$3&amp;"-"&amp;10)</f>
        <v>0</v>
      </c>
      <c r="AI41" s="26">
        <f>COUNTIF(車両台帳!$BJ$57:$BJ$2056,AI$3&amp;"-"&amp;10)</f>
        <v>0</v>
      </c>
      <c r="AJ41" s="26">
        <f>COUNTIF(車両台帳!$BJ$57:$BJ$2056,AJ$3&amp;"-"&amp;10)</f>
        <v>0</v>
      </c>
      <c r="AK41" s="26">
        <f>COUNTIF(車両台帳!$BJ$57:$BJ$2056,AK$3&amp;"-"&amp;10)</f>
        <v>0</v>
      </c>
      <c r="AL41" s="26">
        <f>COUNTIF(車両台帳!$BJ$57:$BJ$2056,AL$3&amp;"-"&amp;10)</f>
        <v>0</v>
      </c>
      <c r="AM41" s="26">
        <f>COUNTIF(車両台帳!$BJ$57:$BJ$2056,AM$3&amp;"-"&amp;10)</f>
        <v>0</v>
      </c>
      <c r="AN41" s="26">
        <f>COUNTIF(車両台帳!$BJ$57:$BJ$2056,AN$3&amp;"-"&amp;10)</f>
        <v>0</v>
      </c>
      <c r="AO41" s="26">
        <f>COUNTIF(車両台帳!$BJ$57:$BJ$2056,AO$3&amp;"-"&amp;10)</f>
        <v>0</v>
      </c>
      <c r="AP41" s="26">
        <f>COUNTIF(車両台帳!$BJ$57:$BJ$2056,AP$3&amp;"-"&amp;10)</f>
        <v>0</v>
      </c>
      <c r="AQ41" s="26">
        <f>COUNTIF(車両台帳!$BJ$57:$BJ$2056,AQ$3&amp;"-"&amp;10)</f>
        <v>0</v>
      </c>
      <c r="AR41" s="26">
        <f>COUNTIF(車両台帳!$BJ$57:$BJ$2056,AR$3&amp;"-"&amp;10)</f>
        <v>0</v>
      </c>
      <c r="AS41" s="26">
        <f>COUNTIF(車両台帳!$BJ$57:$BJ$2056,AS$3&amp;"-"&amp;10)</f>
        <v>0</v>
      </c>
      <c r="AT41" s="26">
        <f>COUNTIF(車両台帳!$BJ$57:$BJ$2056,AT$3&amp;"-"&amp;10)</f>
        <v>0</v>
      </c>
      <c r="AU41" s="26">
        <f>COUNTIF(車両台帳!$BJ$57:$BJ$2056,AU$3&amp;"-"&amp;10)</f>
        <v>0</v>
      </c>
      <c r="AV41" s="26">
        <f>COUNTIF(車両台帳!$BJ$57:$BJ$2056,AV$3&amp;"-"&amp;10)</f>
        <v>0</v>
      </c>
      <c r="AW41" s="26">
        <f>COUNTIF(車両台帳!$BJ$57:$BJ$2056,AW$3&amp;"-"&amp;10)</f>
        <v>0</v>
      </c>
      <c r="AX41" s="26">
        <f>COUNTIF(車両台帳!$BJ$57:$BJ$2056,AX$3&amp;"-"&amp;10)</f>
        <v>0</v>
      </c>
      <c r="AY41" s="26">
        <f>COUNTIF(車両台帳!$BJ$57:$BJ$2056,AY$3&amp;"-"&amp;10)</f>
        <v>0</v>
      </c>
      <c r="AZ41" s="26">
        <f>COUNTIF(車両台帳!$BJ$57:$BJ$2056,AZ$3&amp;"-"&amp;10)</f>
        <v>0</v>
      </c>
      <c r="BA41" s="26">
        <f>COUNTIF(車両台帳!$BJ$57:$BJ$2056,BA$3&amp;"-"&amp;10)</f>
        <v>0</v>
      </c>
      <c r="BB41" s="26">
        <f>COUNTIF(車両台帳!$BJ$57:$BJ$2056,BB$3&amp;"-"&amp;10)</f>
        <v>0</v>
      </c>
      <c r="BC41" s="26">
        <f>COUNTIF(車両台帳!$BJ$57:$BJ$2056,BC$3&amp;"-"&amp;10)</f>
        <v>0</v>
      </c>
      <c r="BD41" s="26">
        <f>COUNTIF(車両台帳!$BJ$57:$BJ$2056,BD$3&amp;"-"&amp;10)</f>
        <v>0</v>
      </c>
      <c r="BE41" s="26">
        <f>COUNTIF(車両台帳!$BJ$57:$BJ$2056,BE$3&amp;"-"&amp;10)</f>
        <v>0</v>
      </c>
      <c r="BF41" s="26">
        <f>COUNTIF(車両台帳!$BJ$57:$BJ$2056,BF$3&amp;"-"&amp;10)</f>
        <v>0</v>
      </c>
      <c r="BG41" s="26">
        <f>COUNTIF(車両台帳!$BJ$57:$BJ$2056,BG$3&amp;"-"&amp;10)</f>
        <v>0</v>
      </c>
      <c r="BH41" s="26">
        <f>COUNTIF(車両台帳!$BJ$57:$BJ$2056,BH$3&amp;"-"&amp;10)</f>
        <v>0</v>
      </c>
      <c r="BI41" s="26">
        <f>COUNTIF(車両台帳!$BJ$57:$BJ$2056,BI$3&amp;"-"&amp;10)</f>
        <v>0</v>
      </c>
      <c r="BJ41" s="26">
        <f>COUNTIF(車両台帳!$BJ$57:$BJ$2056,BJ$3&amp;"-"&amp;10)</f>
        <v>0</v>
      </c>
      <c r="BK41" s="26">
        <f>COUNTIF(車両台帳!$BJ$57:$BJ$2056,BK$3&amp;"-"&amp;10)</f>
        <v>0</v>
      </c>
      <c r="BL41" s="26">
        <f>COUNTIF(車両台帳!$BJ$57:$BJ$2056,BL$3&amp;"-"&amp;10)</f>
        <v>0</v>
      </c>
      <c r="BM41" s="26">
        <f>COUNTIF(車両台帳!$BJ$57:$BJ$2056,BM$3&amp;"-"&amp;10)</f>
        <v>0</v>
      </c>
      <c r="BN41" s="26">
        <f>COUNTIF(車両台帳!$BJ$57:$BJ$2056,BN$3&amp;"-"&amp;10)</f>
        <v>0</v>
      </c>
      <c r="BO41" s="26">
        <f>COUNTIF(車両台帳!$BJ$57:$BJ$2056,BO$3&amp;"-"&amp;10)</f>
        <v>0</v>
      </c>
      <c r="BP41" s="26">
        <f>COUNTIF(車両台帳!$BJ$57:$BJ$2056,BP$3&amp;"-"&amp;10)</f>
        <v>0</v>
      </c>
      <c r="BQ41" s="26">
        <f>COUNTIF(車両台帳!$BJ$57:$BJ$2056,BQ$3&amp;"-"&amp;10)</f>
        <v>0</v>
      </c>
      <c r="BR41" s="26">
        <f>COUNTIF(車両台帳!$BJ$57:$BJ$2056,BR$3&amp;"-"&amp;10)</f>
        <v>0</v>
      </c>
      <c r="BS41" s="26">
        <f>COUNTIF(車両台帳!$BJ$57:$BJ$2056,BS$3&amp;"-"&amp;10)</f>
        <v>0</v>
      </c>
      <c r="BT41" s="26">
        <f>COUNTIF(車両台帳!$BJ$57:$BJ$2056,BT$3&amp;"-"&amp;10)</f>
        <v>0</v>
      </c>
      <c r="BU41" s="26">
        <f>COUNTIF(車両台帳!$BJ$57:$BJ$2056,BU$3&amp;"-"&amp;10)</f>
        <v>0</v>
      </c>
      <c r="BV41" s="26">
        <f>COUNTIF(車両台帳!$BJ$57:$BJ$2056,BV$3&amp;"-"&amp;10)</f>
        <v>0</v>
      </c>
      <c r="BW41" s="26">
        <f>COUNTIF(車両台帳!$BJ$57:$BJ$2056,BW$3&amp;"-"&amp;10)</f>
        <v>0</v>
      </c>
      <c r="BX41" s="26">
        <f>COUNTIF(車両台帳!$BJ$57:$BJ$2056,BX$3&amp;"-"&amp;10)</f>
        <v>0</v>
      </c>
      <c r="BY41" s="26">
        <f>COUNTIF(車両台帳!$BJ$57:$BJ$2056,BY$3&amp;"-"&amp;10)</f>
        <v>0</v>
      </c>
      <c r="BZ41" s="26">
        <f>COUNTIF(車両台帳!$BJ$57:$BJ$2056,BZ$3&amp;"-"&amp;10)</f>
        <v>0</v>
      </c>
      <c r="CA41" s="26">
        <f>COUNTIF(車両台帳!$BJ$57:$BJ$2056,CA$3&amp;"-"&amp;10)</f>
        <v>0</v>
      </c>
      <c r="CB41" s="26">
        <f>COUNTIF(車両台帳!$BJ$57:$BJ$2056,CB$3&amp;"-"&amp;10)</f>
        <v>0</v>
      </c>
      <c r="CC41" s="26">
        <f>COUNTIF(車両台帳!$BJ$57:$BJ$2056,CC$3&amp;"-"&amp;10)</f>
        <v>0</v>
      </c>
      <c r="CD41" s="26">
        <f>COUNTIF(車両台帳!$BJ$57:$BJ$2056,CD$3&amp;"-"&amp;10)</f>
        <v>0</v>
      </c>
      <c r="CE41" s="26">
        <f>COUNTIF(車両台帳!$BJ$57:$BJ$2056,CE$3&amp;"-"&amp;10)</f>
        <v>0</v>
      </c>
      <c r="CF41" s="26">
        <f>COUNTIF(車両台帳!$BJ$57:$BJ$2056,CF$3&amp;"-"&amp;10)</f>
        <v>0</v>
      </c>
      <c r="CG41" s="26">
        <f>COUNTIF(車両台帳!$BJ$57:$BJ$2056,CG$3&amp;"-"&amp;10)</f>
        <v>0</v>
      </c>
      <c r="CH41" s="26">
        <f>COUNTIF(車両台帳!$BJ$57:$BJ$2056,CH$3&amp;"-"&amp;10)</f>
        <v>0</v>
      </c>
      <c r="CI41" s="26">
        <f>COUNTIF(車両台帳!$BJ$57:$BJ$2056,CI$3&amp;"-"&amp;10)</f>
        <v>0</v>
      </c>
      <c r="CJ41" s="26">
        <f>COUNTIF(車両台帳!$BJ$57:$BJ$2056,CJ$3&amp;"-"&amp;10)</f>
        <v>0</v>
      </c>
      <c r="CK41" s="26">
        <f>COUNTIF(車両台帳!$BJ$57:$BJ$2056,CK$3&amp;"-"&amp;10)</f>
        <v>0</v>
      </c>
      <c r="CL41" s="26">
        <f>COUNTIF(車両台帳!$BJ$57:$BJ$2056,CL$3&amp;"-"&amp;10)</f>
        <v>0</v>
      </c>
      <c r="CM41" s="26">
        <f>COUNTIF(車両台帳!$BJ$57:$BJ$2056,CM$3&amp;"-"&amp;10)</f>
        <v>0</v>
      </c>
      <c r="CN41" s="26">
        <f>COUNTIF(車両台帳!$BJ$57:$BJ$2056,CN$3&amp;"-"&amp;10)</f>
        <v>0</v>
      </c>
      <c r="CO41" s="26">
        <f>COUNTIF(車両台帳!$BJ$57:$BJ$2056,CO$3&amp;"-"&amp;10)</f>
        <v>0</v>
      </c>
      <c r="CP41" s="26">
        <f>COUNTIF(車両台帳!$BJ$57:$BJ$2056,CP$3&amp;"-"&amp;10)</f>
        <v>0</v>
      </c>
      <c r="CQ41" s="26">
        <f>COUNTIF(車両台帳!$BJ$57:$BJ$2056,CQ$3&amp;"-"&amp;10)</f>
        <v>0</v>
      </c>
      <c r="CR41" s="26">
        <f>COUNTIF(車両台帳!$BJ$57:$BJ$2056,CR$3&amp;"-"&amp;10)</f>
        <v>0</v>
      </c>
      <c r="CS41" s="26">
        <f>COUNTIF(車両台帳!$BJ$57:$BJ$2056,CS$3&amp;"-"&amp;10)</f>
        <v>0</v>
      </c>
      <c r="CT41" s="26">
        <f>COUNTIF(車両台帳!$BJ$57:$BJ$2056,CT$3&amp;"-"&amp;10)</f>
        <v>0</v>
      </c>
      <c r="CU41" s="26">
        <f>COUNTIF(車両台帳!$BJ$57:$BJ$2056,CU$3&amp;"-"&amp;10)</f>
        <v>0</v>
      </c>
      <c r="CV41" s="26">
        <f>COUNTIF(車両台帳!$BJ$57:$BJ$2056,CV$3&amp;"-"&amp;10)</f>
        <v>0</v>
      </c>
      <c r="CW41" s="26">
        <f>COUNTIF(車両台帳!$BJ$57:$BJ$2056,CW$3&amp;"-"&amp;10)</f>
        <v>0</v>
      </c>
      <c r="CX41" s="26">
        <f>COUNTIF(車両台帳!$BJ$57:$BJ$2056,CX$3&amp;"-"&amp;10)</f>
        <v>0</v>
      </c>
      <c r="CY41" s="26">
        <f>COUNTIF(車両台帳!$BJ$57:$BJ$2056,CY$3&amp;"-"&amp;10)</f>
        <v>0</v>
      </c>
      <c r="CZ41" s="26">
        <f>COUNTIF(車両台帳!$BJ$57:$BJ$2056,CZ$3&amp;"-"&amp;10)</f>
        <v>0</v>
      </c>
      <c r="DA41" s="26">
        <f>COUNTIF(車両台帳!$BJ$57:$BJ$2056,DA$3&amp;"-"&amp;10)</f>
        <v>0</v>
      </c>
      <c r="DB41" s="26">
        <f>COUNTIF(車両台帳!$BJ$57:$BJ$2056,DB$3&amp;"-"&amp;10)</f>
        <v>0</v>
      </c>
      <c r="DC41" s="26">
        <f>COUNTIF(車両台帳!$BJ$57:$BJ$2056,DC$3&amp;"-"&amp;10)</f>
        <v>0</v>
      </c>
      <c r="DD41" s="26">
        <f>COUNTIF(車両台帳!$BJ$57:$BJ$2056,DD$3&amp;"-"&amp;10)</f>
        <v>0</v>
      </c>
      <c r="DE41" s="26">
        <f>COUNTIF(車両台帳!$BJ$57:$BJ$2056,DE$3&amp;"-"&amp;10)</f>
        <v>0</v>
      </c>
      <c r="DF41" s="26">
        <f>COUNTIF(車両台帳!$BJ$57:$BJ$2056,DF$3&amp;"-"&amp;10)</f>
        <v>0</v>
      </c>
      <c r="DG41" s="26">
        <f>COUNTIF(車両台帳!$BJ$57:$BJ$2056,DG$3&amp;"-"&amp;10)</f>
        <v>0</v>
      </c>
      <c r="DH41" s="26">
        <f>COUNTIF(車両台帳!$BJ$57:$BJ$2056,DH$3&amp;"-"&amp;10)</f>
        <v>0</v>
      </c>
      <c r="DI41" s="26">
        <f>COUNTIF(車両台帳!$BJ$57:$BJ$2056,DI$3&amp;"-"&amp;10)</f>
        <v>0</v>
      </c>
      <c r="DJ41" s="26">
        <f>COUNTIF(車両台帳!$BJ$57:$BJ$2056,DJ$3&amp;"-"&amp;10)</f>
        <v>0</v>
      </c>
      <c r="DK41" s="26">
        <f>COUNTIF(車両台帳!$BJ$57:$BJ$2056,DK$3&amp;"-"&amp;10)</f>
        <v>0</v>
      </c>
      <c r="DL41" s="26">
        <f>COUNTIF(車両台帳!$BJ$57:$BJ$2056,DL$3&amp;"-"&amp;10)</f>
        <v>0</v>
      </c>
      <c r="DM41" s="26">
        <f>COUNTIF(車両台帳!$BJ$57:$BJ$2056,DM$3&amp;"-"&amp;10)</f>
        <v>0</v>
      </c>
      <c r="DN41" s="26">
        <f>COUNTIF(車両台帳!$BJ$57:$BJ$2056,DN$3&amp;"-"&amp;10)</f>
        <v>0</v>
      </c>
      <c r="DO41" s="26">
        <f>COUNTIF(車両台帳!$BJ$57:$BJ$2056,DO$3&amp;"-"&amp;10)</f>
        <v>0</v>
      </c>
      <c r="DP41" s="26">
        <f>COUNTIF(車両台帳!$BJ$57:$BJ$2056,DP$3&amp;"-"&amp;10)</f>
        <v>0</v>
      </c>
      <c r="DQ41" s="26">
        <f>COUNTIF(車両台帳!$BJ$57:$BJ$2056,DQ$3&amp;"-"&amp;10)</f>
        <v>0</v>
      </c>
      <c r="DR41" s="26">
        <f>COUNTIF(車両台帳!$BJ$57:$BJ$2056,DR$3&amp;"-"&amp;10)</f>
        <v>0</v>
      </c>
      <c r="DS41" s="26">
        <f>COUNTIF(車両台帳!$BJ$57:$BJ$2056,DS$3&amp;"-"&amp;10)</f>
        <v>0</v>
      </c>
      <c r="DT41" s="26">
        <f>COUNTIF(車両台帳!$BJ$57:$BJ$2056,DT$3&amp;"-"&amp;10)</f>
        <v>0</v>
      </c>
      <c r="DU41" s="26">
        <f>COUNTIF(車両台帳!$BJ$57:$BJ$2056,DU$3&amp;"-"&amp;10)</f>
        <v>0</v>
      </c>
      <c r="DV41" s="26">
        <f>COUNTIF(車両台帳!$BJ$57:$BJ$2056,DV$3&amp;"-"&amp;10)</f>
        <v>0</v>
      </c>
      <c r="DW41" s="26">
        <f>COUNTIF(車両台帳!$BJ$57:$BJ$2056,DW$3&amp;"-"&amp;10)</f>
        <v>0</v>
      </c>
      <c r="DX41" s="26">
        <f>COUNTIF(車両台帳!$BJ$57:$BJ$2056,DX$3&amp;"-"&amp;10)</f>
        <v>0</v>
      </c>
      <c r="DY41" s="26">
        <f>COUNTIF(車両台帳!$BJ$57:$BJ$2056,DY$3&amp;"-"&amp;10)</f>
        <v>0</v>
      </c>
      <c r="DZ41" s="26">
        <f>COUNTIF(車両台帳!$BJ$57:$BJ$2056,DZ$3&amp;"-"&amp;10)</f>
        <v>0</v>
      </c>
      <c r="EA41" s="26">
        <f>COUNTIF(車両台帳!$BJ$57:$BJ$2056,EA$3&amp;"-"&amp;10)</f>
        <v>0</v>
      </c>
      <c r="EB41" s="26">
        <f>COUNTIF(車両台帳!$BJ$57:$BJ$2056,EB$3&amp;"-"&amp;10)</f>
        <v>0</v>
      </c>
      <c r="EC41" s="26">
        <f>COUNTIF(車両台帳!$BJ$57:$BJ$2056,EC$3&amp;"-"&amp;10)</f>
        <v>0</v>
      </c>
      <c r="ED41" s="26">
        <f>COUNTIF(車両台帳!$BJ$57:$BJ$2056,ED$3&amp;"-"&amp;10)</f>
        <v>0</v>
      </c>
      <c r="EE41" s="26">
        <f>COUNTIF(車両台帳!$BJ$57:$BJ$2056,EE$3&amp;"-"&amp;10)</f>
        <v>0</v>
      </c>
      <c r="EF41" s="26">
        <f>COUNTIF(車両台帳!$BJ$57:$BJ$2056,EF$3&amp;"-"&amp;10)</f>
        <v>0</v>
      </c>
      <c r="EG41" s="26">
        <f>COUNTIF(車両台帳!$BJ$57:$BJ$2056,EG$3&amp;"-"&amp;10)</f>
        <v>0</v>
      </c>
      <c r="EH41" s="26">
        <f>COUNTIF(車両台帳!$BJ$57:$BJ$2056,EH$3&amp;"-"&amp;10)</f>
        <v>0</v>
      </c>
      <c r="EI41" s="26">
        <f>COUNTIF(車両台帳!$BJ$57:$BJ$2056,EI$3&amp;"-"&amp;10)</f>
        <v>0</v>
      </c>
      <c r="EJ41" s="26">
        <f>COUNTIF(車両台帳!$BJ$57:$BJ$2056,EJ$3&amp;"-"&amp;10)</f>
        <v>0</v>
      </c>
      <c r="EK41" s="26">
        <f>COUNTIF(車両台帳!$BJ$57:$BJ$2056,EK$3&amp;"-"&amp;10)</f>
        <v>0</v>
      </c>
      <c r="EL41" s="26">
        <f>COUNTIF(車両台帳!$BJ$57:$BJ$2056,EL$3&amp;"-"&amp;10)</f>
        <v>0</v>
      </c>
      <c r="EM41" s="26">
        <f>COUNTIF(車両台帳!$BJ$57:$BJ$2056,EM$3&amp;"-"&amp;10)</f>
        <v>0</v>
      </c>
      <c r="EN41" s="26">
        <f>COUNTIF(車両台帳!$BJ$57:$BJ$2056,EN$3&amp;"-"&amp;10)</f>
        <v>0</v>
      </c>
      <c r="EO41" s="26">
        <f>COUNTIF(車両台帳!$BJ$57:$BJ$2056,EO$3&amp;"-"&amp;10)</f>
        <v>0</v>
      </c>
      <c r="EP41" s="26">
        <f>COUNTIF(車両台帳!$BJ$57:$BJ$2056,EP$3&amp;"-"&amp;10)</f>
        <v>0</v>
      </c>
      <c r="EQ41" s="26">
        <f>COUNTIF(車両台帳!$BJ$57:$BJ$2056,EQ$3&amp;"-"&amp;10)</f>
        <v>0</v>
      </c>
      <c r="ER41" s="26">
        <f>COUNTIF(車両台帳!$BJ$57:$BJ$2056,ER$3&amp;"-"&amp;10)</f>
        <v>0</v>
      </c>
      <c r="ES41" s="26">
        <f>COUNTIF(車両台帳!$BJ$57:$BJ$2056,ES$3&amp;"-"&amp;10)</f>
        <v>0</v>
      </c>
      <c r="ET41" s="26">
        <f>COUNTIF(車両台帳!$BJ$57:$BJ$2056,ET$3&amp;"-"&amp;10)</f>
        <v>0</v>
      </c>
      <c r="EU41" s="26">
        <f>COUNTIF(車両台帳!$BJ$57:$BJ$2056,EU$3&amp;"-"&amp;10)</f>
        <v>0</v>
      </c>
      <c r="EV41" s="26">
        <f>COUNTIF(車両台帳!$BJ$57:$BJ$2056,EV$3&amp;"-"&amp;10)</f>
        <v>0</v>
      </c>
      <c r="EW41" s="26">
        <f>COUNTIF(車両台帳!$BJ$57:$BJ$2056,EW$3&amp;"-"&amp;10)</f>
        <v>0</v>
      </c>
      <c r="EX41" s="26">
        <f>COUNTIF(車両台帳!$BJ$57:$BJ$2056,EX$3&amp;"-"&amp;10)</f>
        <v>0</v>
      </c>
      <c r="EY41" s="26">
        <f>COUNTIF(車両台帳!$BJ$57:$BJ$2056,EY$3&amp;"-"&amp;10)</f>
        <v>0</v>
      </c>
      <c r="EZ41" s="26">
        <f>COUNTIF(車両台帳!$BJ$57:$BJ$2056,EZ$3&amp;"-"&amp;10)</f>
        <v>0</v>
      </c>
      <c r="FA41" s="26">
        <f>COUNTIF(車両台帳!$BJ$57:$BJ$2056,FA$3&amp;"-"&amp;10)</f>
        <v>0</v>
      </c>
      <c r="FB41" s="26">
        <f>COUNTIF(車両台帳!$BJ$57:$BJ$2056,FB$3&amp;"-"&amp;10)</f>
        <v>0</v>
      </c>
      <c r="FC41" s="26">
        <f>COUNTIF(車両台帳!$BJ$57:$BJ$2056,FC$3&amp;"-"&amp;10)</f>
        <v>0</v>
      </c>
      <c r="FD41" s="26">
        <f>COUNTIF(車両台帳!$BJ$57:$BJ$2056,FD$3&amp;"-"&amp;10)</f>
        <v>0</v>
      </c>
      <c r="FE41" s="26">
        <f>COUNTIF(車両台帳!$BJ$57:$BJ$2056,FE$3&amp;"-"&amp;10)</f>
        <v>0</v>
      </c>
      <c r="FF41" s="26">
        <f>COUNTIF(車両台帳!$BJ$57:$BJ$2056,FF$3&amp;"-"&amp;10)</f>
        <v>0</v>
      </c>
      <c r="FG41" s="26">
        <f>COUNTIF(車両台帳!$BJ$57:$BJ$2056,FG$3&amp;"-"&amp;10)</f>
        <v>0</v>
      </c>
      <c r="FH41" s="26">
        <f>COUNTIF(車両台帳!$BJ$57:$BJ$2056,FH$3&amp;"-"&amp;10)</f>
        <v>0</v>
      </c>
      <c r="FI41" s="26">
        <f>COUNTIF(車両台帳!$BJ$57:$BJ$2056,FI$3&amp;"-"&amp;10)</f>
        <v>0</v>
      </c>
      <c r="FJ41" s="26">
        <f>COUNTIF(車両台帳!$BJ$57:$BJ$2056,FJ$3&amp;"-"&amp;10)</f>
        <v>0</v>
      </c>
      <c r="FK41" s="26">
        <f>COUNTIF(車両台帳!$BJ$57:$BJ$2056,FK$3&amp;"-"&amp;10)</f>
        <v>0</v>
      </c>
      <c r="FL41" s="26">
        <f>COUNTIF(車両台帳!$BJ$57:$BJ$2056,FL$3&amp;"-"&amp;10)</f>
        <v>0</v>
      </c>
      <c r="FM41" s="26">
        <f>COUNTIF(車両台帳!$BJ$57:$BJ$2056,FM$3&amp;"-"&amp;10)</f>
        <v>0</v>
      </c>
      <c r="FN41" s="26">
        <f>COUNTIF(車両台帳!$BJ$57:$BJ$2056,FN$3&amp;"-"&amp;10)</f>
        <v>0</v>
      </c>
      <c r="FO41" s="26">
        <f>COUNTIF(車両台帳!$BJ$57:$BJ$2056,FO$3&amp;"-"&amp;10)</f>
        <v>0</v>
      </c>
      <c r="FP41" s="26">
        <f>COUNTIF(車両台帳!$BJ$57:$BJ$2056,FP$3&amp;"-"&amp;10)</f>
        <v>0</v>
      </c>
      <c r="FQ41" s="26">
        <f>COUNTIF(車両台帳!$BJ$57:$BJ$2056,FQ$3&amp;"-"&amp;10)</f>
        <v>0</v>
      </c>
      <c r="FR41" s="26">
        <f>COUNTIF(車両台帳!$BJ$57:$BJ$2056,FR$3&amp;"-"&amp;10)</f>
        <v>0</v>
      </c>
      <c r="FS41" s="26">
        <f>COUNTIF(車両台帳!$BJ$57:$BJ$2056,FS$3&amp;"-"&amp;10)</f>
        <v>0</v>
      </c>
      <c r="FT41" s="26">
        <f>COUNTIF(車両台帳!$BJ$57:$BJ$2056,FT$3&amp;"-"&amp;10)</f>
        <v>0</v>
      </c>
      <c r="FU41" s="26">
        <f>COUNTIF(車両台帳!$BJ$57:$BJ$2056,FU$3&amp;"-"&amp;10)</f>
        <v>0</v>
      </c>
      <c r="FV41" s="26">
        <f>COUNTIF(車両台帳!$BJ$57:$BJ$2056,FV$3&amp;"-"&amp;10)</f>
        <v>0</v>
      </c>
      <c r="FW41" s="26">
        <f>COUNTIF(車両台帳!$BJ$57:$BJ$2056,FW$3&amp;"-"&amp;10)</f>
        <v>0</v>
      </c>
      <c r="FX41" s="26">
        <f>COUNTIF(車両台帳!$BJ$57:$BJ$2056,FX$3&amp;"-"&amp;10)</f>
        <v>0</v>
      </c>
      <c r="FY41" s="26">
        <f>COUNTIF(車両台帳!$BJ$57:$BJ$2056,FY$3&amp;"-"&amp;10)</f>
        <v>0</v>
      </c>
      <c r="FZ41" s="26">
        <f>COUNTIF(車両台帳!$BJ$57:$BJ$2056,FZ$3&amp;"-"&amp;10)</f>
        <v>0</v>
      </c>
      <c r="GA41" s="26">
        <f>COUNTIF(車両台帳!$BJ$57:$BJ$2056,GA$3&amp;"-"&amp;10)</f>
        <v>0</v>
      </c>
      <c r="GB41" s="26">
        <f>COUNTIF(車両台帳!$BJ$57:$BJ$2056,GB$3&amp;"-"&amp;10)</f>
        <v>0</v>
      </c>
      <c r="GC41" s="26">
        <f>COUNTIF(車両台帳!$BJ$57:$BJ$2056,GC$3&amp;"-"&amp;10)</f>
        <v>0</v>
      </c>
      <c r="GD41" s="26">
        <f>COUNTIF(車両台帳!$BJ$57:$BJ$2056,GD$3&amp;"-"&amp;10)</f>
        <v>0</v>
      </c>
      <c r="GE41" s="26">
        <f>COUNTIF(車両台帳!$BJ$57:$BJ$2056,GE$3&amp;"-"&amp;10)</f>
        <v>0</v>
      </c>
      <c r="GF41" s="26">
        <f>COUNTIF(車両台帳!$BJ$57:$BJ$2056,GF$3&amp;"-"&amp;10)</f>
        <v>0</v>
      </c>
      <c r="GG41" s="26">
        <f>COUNTIF(車両台帳!$BJ$57:$BJ$2056,GG$3&amp;"-"&amp;10)</f>
        <v>0</v>
      </c>
      <c r="GH41" s="26">
        <f>COUNTIF(車両台帳!$BJ$57:$BJ$2056,GH$3&amp;"-"&amp;10)</f>
        <v>0</v>
      </c>
      <c r="GI41" s="26">
        <f>COUNTIF(車両台帳!$BJ$57:$BJ$2056,GI$3&amp;"-"&amp;10)</f>
        <v>0</v>
      </c>
      <c r="GJ41" s="26">
        <f>COUNTIF(車両台帳!$BJ$57:$BJ$2056,GJ$3&amp;"-"&amp;10)</f>
        <v>0</v>
      </c>
      <c r="GK41" s="26">
        <f>COUNTIF(車両台帳!$BJ$57:$BJ$2056,GK$3&amp;"-"&amp;10)</f>
        <v>0</v>
      </c>
      <c r="GL41" s="26">
        <f>COUNTIF(車両台帳!$BJ$57:$BJ$2056,GL$3&amp;"-"&amp;10)</f>
        <v>0</v>
      </c>
      <c r="GM41" s="26">
        <f>COUNTIF(車両台帳!$BJ$57:$BJ$2056,GM$3&amp;"-"&amp;10)</f>
        <v>0</v>
      </c>
      <c r="GN41" s="26">
        <f>COUNTIF(車両台帳!$BJ$57:$BJ$2056,GN$3&amp;"-"&amp;10)</f>
        <v>0</v>
      </c>
      <c r="GO41" s="26">
        <f>COUNTIF(車両台帳!$BJ$57:$BJ$2056,GO$3&amp;"-"&amp;10)</f>
        <v>0</v>
      </c>
      <c r="GP41" s="26">
        <f>COUNTIF(車両台帳!$BJ$57:$BJ$2056,GP$3&amp;"-"&amp;10)</f>
        <v>0</v>
      </c>
      <c r="GQ41" s="26">
        <f>COUNTIF(車両台帳!$BJ$57:$BJ$2056,GQ$3&amp;"-"&amp;10)</f>
        <v>0</v>
      </c>
      <c r="GR41" s="26">
        <f>COUNTIF(車両台帳!$BJ$57:$BJ$2056,GR$3&amp;"-"&amp;10)</f>
        <v>0</v>
      </c>
      <c r="GS41" s="26">
        <f>COUNTIF(車両台帳!$BJ$57:$BJ$2056,GS$3&amp;"-"&amp;10)</f>
        <v>0</v>
      </c>
      <c r="GT41" s="26">
        <f>COUNTIF(車両台帳!$BJ$57:$BJ$2056,GT$3&amp;"-"&amp;10)</f>
        <v>0</v>
      </c>
      <c r="GU41" s="26">
        <f>COUNTIF(車両台帳!$BJ$57:$BJ$2056,GU$3&amp;"-"&amp;10)</f>
        <v>0</v>
      </c>
    </row>
    <row r="42" spans="2:203">
      <c r="C42" s="5" t="s">
        <v>2195</v>
      </c>
      <c r="D42" s="26">
        <f>COUNTIF(車両台帳!$BJ$57:$BJ$2056,D$3&amp;"-"&amp;6)</f>
        <v>0</v>
      </c>
      <c r="E42" s="26">
        <f>COUNTIF(車両台帳!$BJ$57:$BJ$2056,E$3&amp;"-"&amp;6)</f>
        <v>0</v>
      </c>
      <c r="F42" s="26">
        <f>COUNTIF(車両台帳!$BJ$57:$BJ$2056,F$3&amp;"-"&amp;6)</f>
        <v>0</v>
      </c>
      <c r="G42" s="26">
        <f>COUNTIF(車両台帳!$BJ$57:$BJ$2056,G$3&amp;"-"&amp;6)</f>
        <v>0</v>
      </c>
      <c r="H42" s="26">
        <f>COUNTIF(車両台帳!$BJ$57:$BJ$2056,H$3&amp;"-"&amp;6)</f>
        <v>0</v>
      </c>
      <c r="I42" s="26">
        <f>COUNTIF(車両台帳!$BJ$57:$BJ$2056,I$3&amp;"-"&amp;6)</f>
        <v>0</v>
      </c>
      <c r="J42" s="26">
        <f>COUNTIF(車両台帳!$BJ$57:$BJ$2056,J$3&amp;"-"&amp;6)</f>
        <v>0</v>
      </c>
      <c r="K42" s="26">
        <f>COUNTIF(車両台帳!$BJ$57:$BJ$2056,K$3&amp;"-"&amp;6)</f>
        <v>0</v>
      </c>
      <c r="L42" s="26">
        <f>COUNTIF(車両台帳!$BJ$57:$BJ$2056,L$3&amp;"-"&amp;6)</f>
        <v>0</v>
      </c>
      <c r="M42" s="26">
        <f>COUNTIF(車両台帳!$BJ$57:$BJ$2056,M$3&amp;"-"&amp;6)</f>
        <v>0</v>
      </c>
      <c r="N42" s="26">
        <f>COUNTIF(車両台帳!$BJ$57:$BJ$2056,N$3&amp;"-"&amp;6)</f>
        <v>0</v>
      </c>
      <c r="O42" s="26">
        <f>COUNTIF(車両台帳!$BJ$57:$BJ$2056,O$3&amp;"-"&amp;6)</f>
        <v>0</v>
      </c>
      <c r="P42" s="26">
        <f>COUNTIF(車両台帳!$BJ$57:$BJ$2056,P$3&amp;"-"&amp;6)</f>
        <v>0</v>
      </c>
      <c r="Q42" s="26">
        <f>COUNTIF(車両台帳!$BJ$57:$BJ$2056,Q$3&amp;"-"&amp;6)</f>
        <v>0</v>
      </c>
      <c r="R42" s="26">
        <f>COUNTIF(車両台帳!$BJ$57:$BJ$2056,R$3&amp;"-"&amp;6)</f>
        <v>0</v>
      </c>
      <c r="S42" s="26">
        <f>COUNTIF(車両台帳!$BJ$57:$BJ$2056,S$3&amp;"-"&amp;6)</f>
        <v>0</v>
      </c>
      <c r="T42" s="26">
        <f>COUNTIF(車両台帳!$BJ$57:$BJ$2056,T$3&amp;"-"&amp;6)</f>
        <v>0</v>
      </c>
      <c r="U42" s="26">
        <f>COUNTIF(車両台帳!$BJ$57:$BJ$2056,U$3&amp;"-"&amp;6)</f>
        <v>0</v>
      </c>
      <c r="V42" s="26">
        <f>COUNTIF(車両台帳!$BJ$57:$BJ$2056,V$3&amp;"-"&amp;6)</f>
        <v>0</v>
      </c>
      <c r="W42" s="26">
        <f>COUNTIF(車両台帳!$BJ$57:$BJ$2056,W$3&amp;"-"&amp;6)</f>
        <v>0</v>
      </c>
      <c r="X42" s="26">
        <f>COUNTIF(車両台帳!$BJ$57:$BJ$2056,X$3&amp;"-"&amp;6)</f>
        <v>0</v>
      </c>
      <c r="Y42" s="26">
        <f>COUNTIF(車両台帳!$BJ$57:$BJ$2056,Y$3&amp;"-"&amp;6)</f>
        <v>0</v>
      </c>
      <c r="Z42" s="26">
        <f>COUNTIF(車両台帳!$BJ$57:$BJ$2056,Z$3&amp;"-"&amp;6)</f>
        <v>0</v>
      </c>
      <c r="AA42" s="26">
        <f>COUNTIF(車両台帳!$BJ$57:$BJ$2056,AA$3&amp;"-"&amp;6)</f>
        <v>0</v>
      </c>
      <c r="AB42" s="26">
        <f>COUNTIF(車両台帳!$BJ$57:$BJ$2056,AB$3&amp;"-"&amp;6)</f>
        <v>0</v>
      </c>
      <c r="AC42" s="26">
        <f>COUNTIF(車両台帳!$BJ$57:$BJ$2056,AC$3&amp;"-"&amp;6)</f>
        <v>0</v>
      </c>
      <c r="AD42" s="26">
        <f>COUNTIF(車両台帳!$BJ$57:$BJ$2056,AD$3&amp;"-"&amp;6)</f>
        <v>0</v>
      </c>
      <c r="AE42" s="26">
        <f>COUNTIF(車両台帳!$BJ$57:$BJ$2056,AE$3&amp;"-"&amp;6)</f>
        <v>0</v>
      </c>
      <c r="AF42" s="26">
        <f>COUNTIF(車両台帳!$BJ$57:$BJ$2056,AF$3&amp;"-"&amp;6)</f>
        <v>0</v>
      </c>
      <c r="AG42" s="26">
        <f>COUNTIF(車両台帳!$BJ$57:$BJ$2056,AG$3&amp;"-"&amp;6)</f>
        <v>0</v>
      </c>
      <c r="AH42" s="26">
        <f>COUNTIF(車両台帳!$BJ$57:$BJ$2056,AH$3&amp;"-"&amp;6)</f>
        <v>0</v>
      </c>
      <c r="AI42" s="26">
        <f>COUNTIF(車両台帳!$BJ$57:$BJ$2056,AI$3&amp;"-"&amp;6)</f>
        <v>0</v>
      </c>
      <c r="AJ42" s="26">
        <f>COUNTIF(車両台帳!$BJ$57:$BJ$2056,AJ$3&amp;"-"&amp;6)</f>
        <v>0</v>
      </c>
      <c r="AK42" s="26">
        <f>COUNTIF(車両台帳!$BJ$57:$BJ$2056,AK$3&amp;"-"&amp;6)</f>
        <v>0</v>
      </c>
      <c r="AL42" s="26">
        <f>COUNTIF(車両台帳!$BJ$57:$BJ$2056,AL$3&amp;"-"&amp;6)</f>
        <v>0</v>
      </c>
      <c r="AM42" s="26">
        <f>COUNTIF(車両台帳!$BJ$57:$BJ$2056,AM$3&amp;"-"&amp;6)</f>
        <v>0</v>
      </c>
      <c r="AN42" s="26">
        <f>COUNTIF(車両台帳!$BJ$57:$BJ$2056,AN$3&amp;"-"&amp;6)</f>
        <v>0</v>
      </c>
      <c r="AO42" s="26">
        <f>COUNTIF(車両台帳!$BJ$57:$BJ$2056,AO$3&amp;"-"&amp;6)</f>
        <v>0</v>
      </c>
      <c r="AP42" s="26">
        <f>COUNTIF(車両台帳!$BJ$57:$BJ$2056,AP$3&amp;"-"&amp;6)</f>
        <v>0</v>
      </c>
      <c r="AQ42" s="26">
        <f>COUNTIF(車両台帳!$BJ$57:$BJ$2056,AQ$3&amp;"-"&amp;6)</f>
        <v>0</v>
      </c>
      <c r="AR42" s="26">
        <f>COUNTIF(車両台帳!$BJ$57:$BJ$2056,AR$3&amp;"-"&amp;6)</f>
        <v>0</v>
      </c>
      <c r="AS42" s="26">
        <f>COUNTIF(車両台帳!$BJ$57:$BJ$2056,AS$3&amp;"-"&amp;6)</f>
        <v>0</v>
      </c>
      <c r="AT42" s="26">
        <f>COUNTIF(車両台帳!$BJ$57:$BJ$2056,AT$3&amp;"-"&amp;6)</f>
        <v>0</v>
      </c>
      <c r="AU42" s="26">
        <f>COUNTIF(車両台帳!$BJ$57:$BJ$2056,AU$3&amp;"-"&amp;6)</f>
        <v>0</v>
      </c>
      <c r="AV42" s="26">
        <f>COUNTIF(車両台帳!$BJ$57:$BJ$2056,AV$3&amp;"-"&amp;6)</f>
        <v>0</v>
      </c>
      <c r="AW42" s="26">
        <f>COUNTIF(車両台帳!$BJ$57:$BJ$2056,AW$3&amp;"-"&amp;6)</f>
        <v>0</v>
      </c>
      <c r="AX42" s="26">
        <f>COUNTIF(車両台帳!$BJ$57:$BJ$2056,AX$3&amp;"-"&amp;6)</f>
        <v>0</v>
      </c>
      <c r="AY42" s="26">
        <f>COUNTIF(車両台帳!$BJ$57:$BJ$2056,AY$3&amp;"-"&amp;6)</f>
        <v>0</v>
      </c>
      <c r="AZ42" s="26">
        <f>COUNTIF(車両台帳!$BJ$57:$BJ$2056,AZ$3&amp;"-"&amp;6)</f>
        <v>0</v>
      </c>
      <c r="BA42" s="26">
        <f>COUNTIF(車両台帳!$BJ$57:$BJ$2056,BA$3&amp;"-"&amp;6)</f>
        <v>0</v>
      </c>
      <c r="BB42" s="26">
        <f>COUNTIF(車両台帳!$BJ$57:$BJ$2056,BB$3&amp;"-"&amp;6)</f>
        <v>0</v>
      </c>
      <c r="BC42" s="26">
        <f>COUNTIF(車両台帳!$BJ$57:$BJ$2056,BC$3&amp;"-"&amp;6)</f>
        <v>0</v>
      </c>
      <c r="BD42" s="26">
        <f>COUNTIF(車両台帳!$BJ$57:$BJ$2056,BD$3&amp;"-"&amp;6)</f>
        <v>0</v>
      </c>
      <c r="BE42" s="26">
        <f>COUNTIF(車両台帳!$BJ$57:$BJ$2056,BE$3&amp;"-"&amp;6)</f>
        <v>0</v>
      </c>
      <c r="BF42" s="26">
        <f>COUNTIF(車両台帳!$BJ$57:$BJ$2056,BF$3&amp;"-"&amp;6)</f>
        <v>0</v>
      </c>
      <c r="BG42" s="26">
        <f>COUNTIF(車両台帳!$BJ$57:$BJ$2056,BG$3&amp;"-"&amp;6)</f>
        <v>0</v>
      </c>
      <c r="BH42" s="26">
        <f>COUNTIF(車両台帳!$BJ$57:$BJ$2056,BH$3&amp;"-"&amp;6)</f>
        <v>0</v>
      </c>
      <c r="BI42" s="26">
        <f>COUNTIF(車両台帳!$BJ$57:$BJ$2056,BI$3&amp;"-"&amp;6)</f>
        <v>0</v>
      </c>
      <c r="BJ42" s="26">
        <f>COUNTIF(車両台帳!$BJ$57:$BJ$2056,BJ$3&amp;"-"&amp;6)</f>
        <v>0</v>
      </c>
      <c r="BK42" s="26">
        <f>COUNTIF(車両台帳!$BJ$57:$BJ$2056,BK$3&amp;"-"&amp;6)</f>
        <v>0</v>
      </c>
      <c r="BL42" s="26">
        <f>COUNTIF(車両台帳!$BJ$57:$BJ$2056,BL$3&amp;"-"&amp;6)</f>
        <v>0</v>
      </c>
      <c r="BM42" s="26">
        <f>COUNTIF(車両台帳!$BJ$57:$BJ$2056,BM$3&amp;"-"&amp;6)</f>
        <v>0</v>
      </c>
      <c r="BN42" s="26">
        <f>COUNTIF(車両台帳!$BJ$57:$BJ$2056,BN$3&amp;"-"&amp;6)</f>
        <v>0</v>
      </c>
      <c r="BO42" s="26">
        <f>COUNTIF(車両台帳!$BJ$57:$BJ$2056,BO$3&amp;"-"&amp;6)</f>
        <v>0</v>
      </c>
      <c r="BP42" s="26">
        <f>COUNTIF(車両台帳!$BJ$57:$BJ$2056,BP$3&amp;"-"&amp;6)</f>
        <v>0</v>
      </c>
      <c r="BQ42" s="26">
        <f>COUNTIF(車両台帳!$BJ$57:$BJ$2056,BQ$3&amp;"-"&amp;6)</f>
        <v>0</v>
      </c>
      <c r="BR42" s="26">
        <f>COUNTIF(車両台帳!$BJ$57:$BJ$2056,BR$3&amp;"-"&amp;6)</f>
        <v>0</v>
      </c>
      <c r="BS42" s="26">
        <f>COUNTIF(車両台帳!$BJ$57:$BJ$2056,BS$3&amp;"-"&amp;6)</f>
        <v>0</v>
      </c>
      <c r="BT42" s="26">
        <f>COUNTIF(車両台帳!$BJ$57:$BJ$2056,BT$3&amp;"-"&amp;6)</f>
        <v>0</v>
      </c>
      <c r="BU42" s="26">
        <f>COUNTIF(車両台帳!$BJ$57:$BJ$2056,BU$3&amp;"-"&amp;6)</f>
        <v>0</v>
      </c>
      <c r="BV42" s="26">
        <f>COUNTIF(車両台帳!$BJ$57:$BJ$2056,BV$3&amp;"-"&amp;6)</f>
        <v>0</v>
      </c>
      <c r="BW42" s="26">
        <f>COUNTIF(車両台帳!$BJ$57:$BJ$2056,BW$3&amp;"-"&amp;6)</f>
        <v>0</v>
      </c>
      <c r="BX42" s="26">
        <f>COUNTIF(車両台帳!$BJ$57:$BJ$2056,BX$3&amp;"-"&amp;6)</f>
        <v>0</v>
      </c>
      <c r="BY42" s="26">
        <f>COUNTIF(車両台帳!$BJ$57:$BJ$2056,BY$3&amp;"-"&amp;6)</f>
        <v>0</v>
      </c>
      <c r="BZ42" s="26">
        <f>COUNTIF(車両台帳!$BJ$57:$BJ$2056,BZ$3&amp;"-"&amp;6)</f>
        <v>0</v>
      </c>
      <c r="CA42" s="26">
        <f>COUNTIF(車両台帳!$BJ$57:$BJ$2056,CA$3&amp;"-"&amp;6)</f>
        <v>0</v>
      </c>
      <c r="CB42" s="26">
        <f>COUNTIF(車両台帳!$BJ$57:$BJ$2056,CB$3&amp;"-"&amp;6)</f>
        <v>0</v>
      </c>
      <c r="CC42" s="26">
        <f>COUNTIF(車両台帳!$BJ$57:$BJ$2056,CC$3&amp;"-"&amp;6)</f>
        <v>0</v>
      </c>
      <c r="CD42" s="26">
        <f>COUNTIF(車両台帳!$BJ$57:$BJ$2056,CD$3&amp;"-"&amp;6)</f>
        <v>0</v>
      </c>
      <c r="CE42" s="26">
        <f>COUNTIF(車両台帳!$BJ$57:$BJ$2056,CE$3&amp;"-"&amp;6)</f>
        <v>0</v>
      </c>
      <c r="CF42" s="26">
        <f>COUNTIF(車両台帳!$BJ$57:$BJ$2056,CF$3&amp;"-"&amp;6)</f>
        <v>0</v>
      </c>
      <c r="CG42" s="26">
        <f>COUNTIF(車両台帳!$BJ$57:$BJ$2056,CG$3&amp;"-"&amp;6)</f>
        <v>0</v>
      </c>
      <c r="CH42" s="26">
        <f>COUNTIF(車両台帳!$BJ$57:$BJ$2056,CH$3&amp;"-"&amp;6)</f>
        <v>0</v>
      </c>
      <c r="CI42" s="26">
        <f>COUNTIF(車両台帳!$BJ$57:$BJ$2056,CI$3&amp;"-"&amp;6)</f>
        <v>0</v>
      </c>
      <c r="CJ42" s="26">
        <f>COUNTIF(車両台帳!$BJ$57:$BJ$2056,CJ$3&amp;"-"&amp;6)</f>
        <v>0</v>
      </c>
      <c r="CK42" s="26">
        <f>COUNTIF(車両台帳!$BJ$57:$BJ$2056,CK$3&amp;"-"&amp;6)</f>
        <v>0</v>
      </c>
      <c r="CL42" s="26">
        <f>COUNTIF(車両台帳!$BJ$57:$BJ$2056,CL$3&amp;"-"&amp;6)</f>
        <v>0</v>
      </c>
      <c r="CM42" s="26">
        <f>COUNTIF(車両台帳!$BJ$57:$BJ$2056,CM$3&amp;"-"&amp;6)</f>
        <v>0</v>
      </c>
      <c r="CN42" s="26">
        <f>COUNTIF(車両台帳!$BJ$57:$BJ$2056,CN$3&amp;"-"&amp;6)</f>
        <v>0</v>
      </c>
      <c r="CO42" s="26">
        <f>COUNTIF(車両台帳!$BJ$57:$BJ$2056,CO$3&amp;"-"&amp;6)</f>
        <v>0</v>
      </c>
      <c r="CP42" s="26">
        <f>COUNTIF(車両台帳!$BJ$57:$BJ$2056,CP$3&amp;"-"&amp;6)</f>
        <v>0</v>
      </c>
      <c r="CQ42" s="26">
        <f>COUNTIF(車両台帳!$BJ$57:$BJ$2056,CQ$3&amp;"-"&amp;6)</f>
        <v>0</v>
      </c>
      <c r="CR42" s="26">
        <f>COUNTIF(車両台帳!$BJ$57:$BJ$2056,CR$3&amp;"-"&amp;6)</f>
        <v>0</v>
      </c>
      <c r="CS42" s="26">
        <f>COUNTIF(車両台帳!$BJ$57:$BJ$2056,CS$3&amp;"-"&amp;6)</f>
        <v>0</v>
      </c>
      <c r="CT42" s="26">
        <f>COUNTIF(車両台帳!$BJ$57:$BJ$2056,CT$3&amp;"-"&amp;6)</f>
        <v>0</v>
      </c>
      <c r="CU42" s="26">
        <f>COUNTIF(車両台帳!$BJ$57:$BJ$2056,CU$3&amp;"-"&amp;6)</f>
        <v>0</v>
      </c>
      <c r="CV42" s="26">
        <f>COUNTIF(車両台帳!$BJ$57:$BJ$2056,CV$3&amp;"-"&amp;6)</f>
        <v>0</v>
      </c>
      <c r="CW42" s="26">
        <f>COUNTIF(車両台帳!$BJ$57:$BJ$2056,CW$3&amp;"-"&amp;6)</f>
        <v>0</v>
      </c>
      <c r="CX42" s="26">
        <f>COUNTIF(車両台帳!$BJ$57:$BJ$2056,CX$3&amp;"-"&amp;6)</f>
        <v>0</v>
      </c>
      <c r="CY42" s="26">
        <f>COUNTIF(車両台帳!$BJ$57:$BJ$2056,CY$3&amp;"-"&amp;6)</f>
        <v>0</v>
      </c>
      <c r="CZ42" s="26">
        <f>COUNTIF(車両台帳!$BJ$57:$BJ$2056,CZ$3&amp;"-"&amp;6)</f>
        <v>0</v>
      </c>
      <c r="DA42" s="26">
        <f>COUNTIF(車両台帳!$BJ$57:$BJ$2056,DA$3&amp;"-"&amp;6)</f>
        <v>0</v>
      </c>
      <c r="DB42" s="26">
        <f>COUNTIF(車両台帳!$BJ$57:$BJ$2056,DB$3&amp;"-"&amp;6)</f>
        <v>0</v>
      </c>
      <c r="DC42" s="26">
        <f>COUNTIF(車両台帳!$BJ$57:$BJ$2056,DC$3&amp;"-"&amp;6)</f>
        <v>0</v>
      </c>
      <c r="DD42" s="26">
        <f>COUNTIF(車両台帳!$BJ$57:$BJ$2056,DD$3&amp;"-"&amp;6)</f>
        <v>0</v>
      </c>
      <c r="DE42" s="26">
        <f>COUNTIF(車両台帳!$BJ$57:$BJ$2056,DE$3&amp;"-"&amp;6)</f>
        <v>0</v>
      </c>
      <c r="DF42" s="26">
        <f>COUNTIF(車両台帳!$BJ$57:$BJ$2056,DF$3&amp;"-"&amp;6)</f>
        <v>0</v>
      </c>
      <c r="DG42" s="26">
        <f>COUNTIF(車両台帳!$BJ$57:$BJ$2056,DG$3&amp;"-"&amp;6)</f>
        <v>0</v>
      </c>
      <c r="DH42" s="26">
        <f>COUNTIF(車両台帳!$BJ$57:$BJ$2056,DH$3&amp;"-"&amp;6)</f>
        <v>0</v>
      </c>
      <c r="DI42" s="26">
        <f>COUNTIF(車両台帳!$BJ$57:$BJ$2056,DI$3&amp;"-"&amp;6)</f>
        <v>0</v>
      </c>
      <c r="DJ42" s="26">
        <f>COUNTIF(車両台帳!$BJ$57:$BJ$2056,DJ$3&amp;"-"&amp;6)</f>
        <v>0</v>
      </c>
      <c r="DK42" s="26">
        <f>COUNTIF(車両台帳!$BJ$57:$BJ$2056,DK$3&amp;"-"&amp;6)</f>
        <v>0</v>
      </c>
      <c r="DL42" s="26">
        <f>COUNTIF(車両台帳!$BJ$57:$BJ$2056,DL$3&amp;"-"&amp;6)</f>
        <v>0</v>
      </c>
      <c r="DM42" s="26">
        <f>COUNTIF(車両台帳!$BJ$57:$BJ$2056,DM$3&amp;"-"&amp;6)</f>
        <v>0</v>
      </c>
      <c r="DN42" s="26">
        <f>COUNTIF(車両台帳!$BJ$57:$BJ$2056,DN$3&amp;"-"&amp;6)</f>
        <v>0</v>
      </c>
      <c r="DO42" s="26">
        <f>COUNTIF(車両台帳!$BJ$57:$BJ$2056,DO$3&amp;"-"&amp;6)</f>
        <v>0</v>
      </c>
      <c r="DP42" s="26">
        <f>COUNTIF(車両台帳!$BJ$57:$BJ$2056,DP$3&amp;"-"&amp;6)</f>
        <v>0</v>
      </c>
      <c r="DQ42" s="26">
        <f>COUNTIF(車両台帳!$BJ$57:$BJ$2056,DQ$3&amp;"-"&amp;6)</f>
        <v>0</v>
      </c>
      <c r="DR42" s="26">
        <f>COUNTIF(車両台帳!$BJ$57:$BJ$2056,DR$3&amp;"-"&amp;6)</f>
        <v>0</v>
      </c>
      <c r="DS42" s="26">
        <f>COUNTIF(車両台帳!$BJ$57:$BJ$2056,DS$3&amp;"-"&amp;6)</f>
        <v>0</v>
      </c>
      <c r="DT42" s="26">
        <f>COUNTIF(車両台帳!$BJ$57:$BJ$2056,DT$3&amp;"-"&amp;6)</f>
        <v>0</v>
      </c>
      <c r="DU42" s="26">
        <f>COUNTIF(車両台帳!$BJ$57:$BJ$2056,DU$3&amp;"-"&amp;6)</f>
        <v>0</v>
      </c>
      <c r="DV42" s="26">
        <f>COUNTIF(車両台帳!$BJ$57:$BJ$2056,DV$3&amp;"-"&amp;6)</f>
        <v>0</v>
      </c>
      <c r="DW42" s="26">
        <f>COUNTIF(車両台帳!$BJ$57:$BJ$2056,DW$3&amp;"-"&amp;6)</f>
        <v>0</v>
      </c>
      <c r="DX42" s="26">
        <f>COUNTIF(車両台帳!$BJ$57:$BJ$2056,DX$3&amp;"-"&amp;6)</f>
        <v>0</v>
      </c>
      <c r="DY42" s="26">
        <f>COUNTIF(車両台帳!$BJ$57:$BJ$2056,DY$3&amp;"-"&amp;6)</f>
        <v>0</v>
      </c>
      <c r="DZ42" s="26">
        <f>COUNTIF(車両台帳!$BJ$57:$BJ$2056,DZ$3&amp;"-"&amp;6)</f>
        <v>0</v>
      </c>
      <c r="EA42" s="26">
        <f>COUNTIF(車両台帳!$BJ$57:$BJ$2056,EA$3&amp;"-"&amp;6)</f>
        <v>0</v>
      </c>
      <c r="EB42" s="26">
        <f>COUNTIF(車両台帳!$BJ$57:$BJ$2056,EB$3&amp;"-"&amp;6)</f>
        <v>0</v>
      </c>
      <c r="EC42" s="26">
        <f>COUNTIF(車両台帳!$BJ$57:$BJ$2056,EC$3&amp;"-"&amp;6)</f>
        <v>0</v>
      </c>
      <c r="ED42" s="26">
        <f>COUNTIF(車両台帳!$BJ$57:$BJ$2056,ED$3&amp;"-"&amp;6)</f>
        <v>0</v>
      </c>
      <c r="EE42" s="26">
        <f>COUNTIF(車両台帳!$BJ$57:$BJ$2056,EE$3&amp;"-"&amp;6)</f>
        <v>0</v>
      </c>
      <c r="EF42" s="26">
        <f>COUNTIF(車両台帳!$BJ$57:$BJ$2056,EF$3&amp;"-"&amp;6)</f>
        <v>0</v>
      </c>
      <c r="EG42" s="26">
        <f>COUNTIF(車両台帳!$BJ$57:$BJ$2056,EG$3&amp;"-"&amp;6)</f>
        <v>0</v>
      </c>
      <c r="EH42" s="26">
        <f>COUNTIF(車両台帳!$BJ$57:$BJ$2056,EH$3&amp;"-"&amp;6)</f>
        <v>0</v>
      </c>
      <c r="EI42" s="26">
        <f>COUNTIF(車両台帳!$BJ$57:$BJ$2056,EI$3&amp;"-"&amp;6)</f>
        <v>0</v>
      </c>
      <c r="EJ42" s="26">
        <f>COUNTIF(車両台帳!$BJ$57:$BJ$2056,EJ$3&amp;"-"&amp;6)</f>
        <v>0</v>
      </c>
      <c r="EK42" s="26">
        <f>COUNTIF(車両台帳!$BJ$57:$BJ$2056,EK$3&amp;"-"&amp;6)</f>
        <v>0</v>
      </c>
      <c r="EL42" s="26">
        <f>COUNTIF(車両台帳!$BJ$57:$BJ$2056,EL$3&amp;"-"&amp;6)</f>
        <v>0</v>
      </c>
      <c r="EM42" s="26">
        <f>COUNTIF(車両台帳!$BJ$57:$BJ$2056,EM$3&amp;"-"&amp;6)</f>
        <v>0</v>
      </c>
      <c r="EN42" s="26">
        <f>COUNTIF(車両台帳!$BJ$57:$BJ$2056,EN$3&amp;"-"&amp;6)</f>
        <v>0</v>
      </c>
      <c r="EO42" s="26">
        <f>COUNTIF(車両台帳!$BJ$57:$BJ$2056,EO$3&amp;"-"&amp;6)</f>
        <v>0</v>
      </c>
      <c r="EP42" s="26">
        <f>COUNTIF(車両台帳!$BJ$57:$BJ$2056,EP$3&amp;"-"&amp;6)</f>
        <v>0</v>
      </c>
      <c r="EQ42" s="26">
        <f>COUNTIF(車両台帳!$BJ$57:$BJ$2056,EQ$3&amp;"-"&amp;6)</f>
        <v>0</v>
      </c>
      <c r="ER42" s="26">
        <f>COUNTIF(車両台帳!$BJ$57:$BJ$2056,ER$3&amp;"-"&amp;6)</f>
        <v>0</v>
      </c>
      <c r="ES42" s="26">
        <f>COUNTIF(車両台帳!$BJ$57:$BJ$2056,ES$3&amp;"-"&amp;6)</f>
        <v>0</v>
      </c>
      <c r="ET42" s="26">
        <f>COUNTIF(車両台帳!$BJ$57:$BJ$2056,ET$3&amp;"-"&amp;6)</f>
        <v>0</v>
      </c>
      <c r="EU42" s="26">
        <f>COUNTIF(車両台帳!$BJ$57:$BJ$2056,EU$3&amp;"-"&amp;6)</f>
        <v>0</v>
      </c>
      <c r="EV42" s="26">
        <f>COUNTIF(車両台帳!$BJ$57:$BJ$2056,EV$3&amp;"-"&amp;6)</f>
        <v>0</v>
      </c>
      <c r="EW42" s="26">
        <f>COUNTIF(車両台帳!$BJ$57:$BJ$2056,EW$3&amp;"-"&amp;6)</f>
        <v>0</v>
      </c>
      <c r="EX42" s="26">
        <f>COUNTIF(車両台帳!$BJ$57:$BJ$2056,EX$3&amp;"-"&amp;6)</f>
        <v>0</v>
      </c>
      <c r="EY42" s="26">
        <f>COUNTIF(車両台帳!$BJ$57:$BJ$2056,EY$3&amp;"-"&amp;6)</f>
        <v>0</v>
      </c>
      <c r="EZ42" s="26">
        <f>COUNTIF(車両台帳!$BJ$57:$BJ$2056,EZ$3&amp;"-"&amp;6)</f>
        <v>0</v>
      </c>
      <c r="FA42" s="26">
        <f>COUNTIF(車両台帳!$BJ$57:$BJ$2056,FA$3&amp;"-"&amp;6)</f>
        <v>0</v>
      </c>
      <c r="FB42" s="26">
        <f>COUNTIF(車両台帳!$BJ$57:$BJ$2056,FB$3&amp;"-"&amp;6)</f>
        <v>0</v>
      </c>
      <c r="FC42" s="26">
        <f>COUNTIF(車両台帳!$BJ$57:$BJ$2056,FC$3&amp;"-"&amp;6)</f>
        <v>0</v>
      </c>
      <c r="FD42" s="26">
        <f>COUNTIF(車両台帳!$BJ$57:$BJ$2056,FD$3&amp;"-"&amp;6)</f>
        <v>0</v>
      </c>
      <c r="FE42" s="26">
        <f>COUNTIF(車両台帳!$BJ$57:$BJ$2056,FE$3&amp;"-"&amp;6)</f>
        <v>0</v>
      </c>
      <c r="FF42" s="26">
        <f>COUNTIF(車両台帳!$BJ$57:$BJ$2056,FF$3&amp;"-"&amp;6)</f>
        <v>0</v>
      </c>
      <c r="FG42" s="26">
        <f>COUNTIF(車両台帳!$BJ$57:$BJ$2056,FG$3&amp;"-"&amp;6)</f>
        <v>0</v>
      </c>
      <c r="FH42" s="26">
        <f>COUNTIF(車両台帳!$BJ$57:$BJ$2056,FH$3&amp;"-"&amp;6)</f>
        <v>0</v>
      </c>
      <c r="FI42" s="26">
        <f>COUNTIF(車両台帳!$BJ$57:$BJ$2056,FI$3&amp;"-"&amp;6)</f>
        <v>0</v>
      </c>
      <c r="FJ42" s="26">
        <f>COUNTIF(車両台帳!$BJ$57:$BJ$2056,FJ$3&amp;"-"&amp;6)</f>
        <v>0</v>
      </c>
      <c r="FK42" s="26">
        <f>COUNTIF(車両台帳!$BJ$57:$BJ$2056,FK$3&amp;"-"&amp;6)</f>
        <v>0</v>
      </c>
      <c r="FL42" s="26">
        <f>COUNTIF(車両台帳!$BJ$57:$BJ$2056,FL$3&amp;"-"&amp;6)</f>
        <v>0</v>
      </c>
      <c r="FM42" s="26">
        <f>COUNTIF(車両台帳!$BJ$57:$BJ$2056,FM$3&amp;"-"&amp;6)</f>
        <v>0</v>
      </c>
      <c r="FN42" s="26">
        <f>COUNTIF(車両台帳!$BJ$57:$BJ$2056,FN$3&amp;"-"&amp;6)</f>
        <v>0</v>
      </c>
      <c r="FO42" s="26">
        <f>COUNTIF(車両台帳!$BJ$57:$BJ$2056,FO$3&amp;"-"&amp;6)</f>
        <v>0</v>
      </c>
      <c r="FP42" s="26">
        <f>COUNTIF(車両台帳!$BJ$57:$BJ$2056,FP$3&amp;"-"&amp;6)</f>
        <v>0</v>
      </c>
      <c r="FQ42" s="26">
        <f>COUNTIF(車両台帳!$BJ$57:$BJ$2056,FQ$3&amp;"-"&amp;6)</f>
        <v>0</v>
      </c>
      <c r="FR42" s="26">
        <f>COUNTIF(車両台帳!$BJ$57:$BJ$2056,FR$3&amp;"-"&amp;6)</f>
        <v>0</v>
      </c>
      <c r="FS42" s="26">
        <f>COUNTIF(車両台帳!$BJ$57:$BJ$2056,FS$3&amp;"-"&amp;6)</f>
        <v>0</v>
      </c>
      <c r="FT42" s="26">
        <f>COUNTIF(車両台帳!$BJ$57:$BJ$2056,FT$3&amp;"-"&amp;6)</f>
        <v>0</v>
      </c>
      <c r="FU42" s="26">
        <f>COUNTIF(車両台帳!$BJ$57:$BJ$2056,FU$3&amp;"-"&amp;6)</f>
        <v>0</v>
      </c>
      <c r="FV42" s="26">
        <f>COUNTIF(車両台帳!$BJ$57:$BJ$2056,FV$3&amp;"-"&amp;6)</f>
        <v>0</v>
      </c>
      <c r="FW42" s="26">
        <f>COUNTIF(車両台帳!$BJ$57:$BJ$2056,FW$3&amp;"-"&amp;6)</f>
        <v>0</v>
      </c>
      <c r="FX42" s="26">
        <f>COUNTIF(車両台帳!$BJ$57:$BJ$2056,FX$3&amp;"-"&amp;6)</f>
        <v>0</v>
      </c>
      <c r="FY42" s="26">
        <f>COUNTIF(車両台帳!$BJ$57:$BJ$2056,FY$3&amp;"-"&amp;6)</f>
        <v>0</v>
      </c>
      <c r="FZ42" s="26">
        <f>COUNTIF(車両台帳!$BJ$57:$BJ$2056,FZ$3&amp;"-"&amp;6)</f>
        <v>0</v>
      </c>
      <c r="GA42" s="26">
        <f>COUNTIF(車両台帳!$BJ$57:$BJ$2056,GA$3&amp;"-"&amp;6)</f>
        <v>0</v>
      </c>
      <c r="GB42" s="26">
        <f>COUNTIF(車両台帳!$BJ$57:$BJ$2056,GB$3&amp;"-"&amp;6)</f>
        <v>0</v>
      </c>
      <c r="GC42" s="26">
        <f>COUNTIF(車両台帳!$BJ$57:$BJ$2056,GC$3&amp;"-"&amp;6)</f>
        <v>0</v>
      </c>
      <c r="GD42" s="26">
        <f>COUNTIF(車両台帳!$BJ$57:$BJ$2056,GD$3&amp;"-"&amp;6)</f>
        <v>0</v>
      </c>
      <c r="GE42" s="26">
        <f>COUNTIF(車両台帳!$BJ$57:$BJ$2056,GE$3&amp;"-"&amp;6)</f>
        <v>0</v>
      </c>
      <c r="GF42" s="26">
        <f>COUNTIF(車両台帳!$BJ$57:$BJ$2056,GF$3&amp;"-"&amp;6)</f>
        <v>0</v>
      </c>
      <c r="GG42" s="26">
        <f>COUNTIF(車両台帳!$BJ$57:$BJ$2056,GG$3&amp;"-"&amp;6)</f>
        <v>0</v>
      </c>
      <c r="GH42" s="26">
        <f>COUNTIF(車両台帳!$BJ$57:$BJ$2056,GH$3&amp;"-"&amp;6)</f>
        <v>0</v>
      </c>
      <c r="GI42" s="26">
        <f>COUNTIF(車両台帳!$BJ$57:$BJ$2056,GI$3&amp;"-"&amp;6)</f>
        <v>0</v>
      </c>
      <c r="GJ42" s="26">
        <f>COUNTIF(車両台帳!$BJ$57:$BJ$2056,GJ$3&amp;"-"&amp;6)</f>
        <v>0</v>
      </c>
      <c r="GK42" s="26">
        <f>COUNTIF(車両台帳!$BJ$57:$BJ$2056,GK$3&amp;"-"&amp;6)</f>
        <v>0</v>
      </c>
      <c r="GL42" s="26">
        <f>COUNTIF(車両台帳!$BJ$57:$BJ$2056,GL$3&amp;"-"&amp;6)</f>
        <v>0</v>
      </c>
      <c r="GM42" s="26">
        <f>COUNTIF(車両台帳!$BJ$57:$BJ$2056,GM$3&amp;"-"&amp;6)</f>
        <v>0</v>
      </c>
      <c r="GN42" s="26">
        <f>COUNTIF(車両台帳!$BJ$57:$BJ$2056,GN$3&amp;"-"&amp;6)</f>
        <v>0</v>
      </c>
      <c r="GO42" s="26">
        <f>COUNTIF(車両台帳!$BJ$57:$BJ$2056,GO$3&amp;"-"&amp;6)</f>
        <v>0</v>
      </c>
      <c r="GP42" s="26">
        <f>COUNTIF(車両台帳!$BJ$57:$BJ$2056,GP$3&amp;"-"&amp;6)</f>
        <v>0</v>
      </c>
      <c r="GQ42" s="26">
        <f>COUNTIF(車両台帳!$BJ$57:$BJ$2056,GQ$3&amp;"-"&amp;6)</f>
        <v>0</v>
      </c>
      <c r="GR42" s="26">
        <f>COUNTIF(車両台帳!$BJ$57:$BJ$2056,GR$3&amp;"-"&amp;6)</f>
        <v>0</v>
      </c>
      <c r="GS42" s="26">
        <f>COUNTIF(車両台帳!$BJ$57:$BJ$2056,GS$3&amp;"-"&amp;6)</f>
        <v>0</v>
      </c>
      <c r="GT42" s="26">
        <f>COUNTIF(車両台帳!$BJ$57:$BJ$2056,GT$3&amp;"-"&amp;6)</f>
        <v>0</v>
      </c>
      <c r="GU42" s="26">
        <f>COUNTIF(車両台帳!$BJ$57:$BJ$2056,GU$3&amp;"-"&amp;6)</f>
        <v>0</v>
      </c>
    </row>
    <row r="43" spans="2:203">
      <c r="C43" s="5" t="s">
        <v>1626</v>
      </c>
      <c r="D43" s="26">
        <f>COUNTIF(車両台帳!$BJ$57:$BJ$2056,D$3&amp;"-"&amp;7)</f>
        <v>0</v>
      </c>
      <c r="E43" s="26">
        <f>COUNTIF(車両台帳!$BJ$57:$BJ$2056,E$3&amp;"-"&amp;7)</f>
        <v>0</v>
      </c>
      <c r="F43" s="26">
        <f>COUNTIF(車両台帳!$BJ$57:$BJ$2056,F$3&amp;"-"&amp;7)</f>
        <v>0</v>
      </c>
      <c r="G43" s="26">
        <f>COUNTIF(車両台帳!$BJ$57:$BJ$2056,G$3&amp;"-"&amp;7)</f>
        <v>0</v>
      </c>
      <c r="H43" s="26">
        <f>COUNTIF(車両台帳!$BJ$57:$BJ$2056,H$3&amp;"-"&amp;7)</f>
        <v>0</v>
      </c>
      <c r="I43" s="26">
        <f>COUNTIF(車両台帳!$BJ$57:$BJ$2056,I$3&amp;"-"&amp;7)</f>
        <v>0</v>
      </c>
      <c r="J43" s="26">
        <f>COUNTIF(車両台帳!$BJ$57:$BJ$2056,J$3&amp;"-"&amp;7)</f>
        <v>0</v>
      </c>
      <c r="K43" s="26">
        <f>COUNTIF(車両台帳!$BJ$57:$BJ$2056,K$3&amp;"-"&amp;7)</f>
        <v>0</v>
      </c>
      <c r="L43" s="26">
        <f>COUNTIF(車両台帳!$BJ$57:$BJ$2056,L$3&amp;"-"&amp;7)</f>
        <v>0</v>
      </c>
      <c r="M43" s="26">
        <f>COUNTIF(車両台帳!$BJ$57:$BJ$2056,M$3&amp;"-"&amp;7)</f>
        <v>0</v>
      </c>
      <c r="N43" s="26">
        <f>COUNTIF(車両台帳!$BJ$57:$BJ$2056,N$3&amp;"-"&amp;7)</f>
        <v>0</v>
      </c>
      <c r="O43" s="26">
        <f>COUNTIF(車両台帳!$BJ$57:$BJ$2056,O$3&amp;"-"&amp;7)</f>
        <v>0</v>
      </c>
      <c r="P43" s="26">
        <f>COUNTIF(車両台帳!$BJ$57:$BJ$2056,P$3&amp;"-"&amp;7)</f>
        <v>0</v>
      </c>
      <c r="Q43" s="26">
        <f>COUNTIF(車両台帳!$BJ$57:$BJ$2056,Q$3&amp;"-"&amp;7)</f>
        <v>0</v>
      </c>
      <c r="R43" s="26">
        <f>COUNTIF(車両台帳!$BJ$57:$BJ$2056,R$3&amp;"-"&amp;7)</f>
        <v>0</v>
      </c>
      <c r="S43" s="26">
        <f>COUNTIF(車両台帳!$BJ$57:$BJ$2056,S$3&amp;"-"&amp;7)</f>
        <v>0</v>
      </c>
      <c r="T43" s="26">
        <f>COUNTIF(車両台帳!$BJ$57:$BJ$2056,T$3&amp;"-"&amp;7)</f>
        <v>0</v>
      </c>
      <c r="U43" s="26">
        <f>COUNTIF(車両台帳!$BJ$57:$BJ$2056,U$3&amp;"-"&amp;7)</f>
        <v>0</v>
      </c>
      <c r="V43" s="26">
        <f>COUNTIF(車両台帳!$BJ$57:$BJ$2056,V$3&amp;"-"&amp;7)</f>
        <v>0</v>
      </c>
      <c r="W43" s="26">
        <f>COUNTIF(車両台帳!$BJ$57:$BJ$2056,W$3&amp;"-"&amp;7)</f>
        <v>0</v>
      </c>
      <c r="X43" s="26">
        <f>COUNTIF(車両台帳!$BJ$57:$BJ$2056,X$3&amp;"-"&amp;7)</f>
        <v>0</v>
      </c>
      <c r="Y43" s="26">
        <f>COUNTIF(車両台帳!$BJ$57:$BJ$2056,Y$3&amp;"-"&amp;7)</f>
        <v>0</v>
      </c>
      <c r="Z43" s="26">
        <f>COUNTIF(車両台帳!$BJ$57:$BJ$2056,Z$3&amp;"-"&amp;7)</f>
        <v>0</v>
      </c>
      <c r="AA43" s="26">
        <f>COUNTIF(車両台帳!$BJ$57:$BJ$2056,AA$3&amp;"-"&amp;7)</f>
        <v>0</v>
      </c>
      <c r="AB43" s="26">
        <f>COUNTIF(車両台帳!$BJ$57:$BJ$2056,AB$3&amp;"-"&amp;7)</f>
        <v>0</v>
      </c>
      <c r="AC43" s="26">
        <f>COUNTIF(車両台帳!$BJ$57:$BJ$2056,AC$3&amp;"-"&amp;7)</f>
        <v>0</v>
      </c>
      <c r="AD43" s="26">
        <f>COUNTIF(車両台帳!$BJ$57:$BJ$2056,AD$3&amp;"-"&amp;7)</f>
        <v>0</v>
      </c>
      <c r="AE43" s="26">
        <f>COUNTIF(車両台帳!$BJ$57:$BJ$2056,AE$3&amp;"-"&amp;7)</f>
        <v>0</v>
      </c>
      <c r="AF43" s="26">
        <f>COUNTIF(車両台帳!$BJ$57:$BJ$2056,AF$3&amp;"-"&amp;7)</f>
        <v>0</v>
      </c>
      <c r="AG43" s="26">
        <f>COUNTIF(車両台帳!$BJ$57:$BJ$2056,AG$3&amp;"-"&amp;7)</f>
        <v>0</v>
      </c>
      <c r="AH43" s="26">
        <f>COUNTIF(車両台帳!$BJ$57:$BJ$2056,AH$3&amp;"-"&amp;7)</f>
        <v>0</v>
      </c>
      <c r="AI43" s="26">
        <f>COUNTIF(車両台帳!$BJ$57:$BJ$2056,AI$3&amp;"-"&amp;7)</f>
        <v>0</v>
      </c>
      <c r="AJ43" s="26">
        <f>COUNTIF(車両台帳!$BJ$57:$BJ$2056,AJ$3&amp;"-"&amp;7)</f>
        <v>0</v>
      </c>
      <c r="AK43" s="26">
        <f>COUNTIF(車両台帳!$BJ$57:$BJ$2056,AK$3&amp;"-"&amp;7)</f>
        <v>0</v>
      </c>
      <c r="AL43" s="26">
        <f>COUNTIF(車両台帳!$BJ$57:$BJ$2056,AL$3&amp;"-"&amp;7)</f>
        <v>0</v>
      </c>
      <c r="AM43" s="26">
        <f>COUNTIF(車両台帳!$BJ$57:$BJ$2056,AM$3&amp;"-"&amp;7)</f>
        <v>0</v>
      </c>
      <c r="AN43" s="26">
        <f>COUNTIF(車両台帳!$BJ$57:$BJ$2056,AN$3&amp;"-"&amp;7)</f>
        <v>0</v>
      </c>
      <c r="AO43" s="26">
        <f>COUNTIF(車両台帳!$BJ$57:$BJ$2056,AO$3&amp;"-"&amp;7)</f>
        <v>0</v>
      </c>
      <c r="AP43" s="26">
        <f>COUNTIF(車両台帳!$BJ$57:$BJ$2056,AP$3&amp;"-"&amp;7)</f>
        <v>0</v>
      </c>
      <c r="AQ43" s="26">
        <f>COUNTIF(車両台帳!$BJ$57:$BJ$2056,AQ$3&amp;"-"&amp;7)</f>
        <v>0</v>
      </c>
      <c r="AR43" s="26">
        <f>COUNTIF(車両台帳!$BJ$57:$BJ$2056,AR$3&amp;"-"&amp;7)</f>
        <v>0</v>
      </c>
      <c r="AS43" s="26">
        <f>COUNTIF(車両台帳!$BJ$57:$BJ$2056,AS$3&amp;"-"&amp;7)</f>
        <v>0</v>
      </c>
      <c r="AT43" s="26">
        <f>COUNTIF(車両台帳!$BJ$57:$BJ$2056,AT$3&amp;"-"&amp;7)</f>
        <v>0</v>
      </c>
      <c r="AU43" s="26">
        <f>COUNTIF(車両台帳!$BJ$57:$BJ$2056,AU$3&amp;"-"&amp;7)</f>
        <v>0</v>
      </c>
      <c r="AV43" s="26">
        <f>COUNTIF(車両台帳!$BJ$57:$BJ$2056,AV$3&amp;"-"&amp;7)</f>
        <v>0</v>
      </c>
      <c r="AW43" s="26">
        <f>COUNTIF(車両台帳!$BJ$57:$BJ$2056,AW$3&amp;"-"&amp;7)</f>
        <v>0</v>
      </c>
      <c r="AX43" s="26">
        <f>COUNTIF(車両台帳!$BJ$57:$BJ$2056,AX$3&amp;"-"&amp;7)</f>
        <v>0</v>
      </c>
      <c r="AY43" s="26">
        <f>COUNTIF(車両台帳!$BJ$57:$BJ$2056,AY$3&amp;"-"&amp;7)</f>
        <v>0</v>
      </c>
      <c r="AZ43" s="26">
        <f>COUNTIF(車両台帳!$BJ$57:$BJ$2056,AZ$3&amp;"-"&amp;7)</f>
        <v>0</v>
      </c>
      <c r="BA43" s="26">
        <f>COUNTIF(車両台帳!$BJ$57:$BJ$2056,BA$3&amp;"-"&amp;7)</f>
        <v>0</v>
      </c>
      <c r="BB43" s="26">
        <f>COUNTIF(車両台帳!$BJ$57:$BJ$2056,BB$3&amp;"-"&amp;7)</f>
        <v>0</v>
      </c>
      <c r="BC43" s="26">
        <f>COUNTIF(車両台帳!$BJ$57:$BJ$2056,BC$3&amp;"-"&amp;7)</f>
        <v>0</v>
      </c>
      <c r="BD43" s="26">
        <f>COUNTIF(車両台帳!$BJ$57:$BJ$2056,BD$3&amp;"-"&amp;7)</f>
        <v>0</v>
      </c>
      <c r="BE43" s="26">
        <f>COUNTIF(車両台帳!$BJ$57:$BJ$2056,BE$3&amp;"-"&amp;7)</f>
        <v>0</v>
      </c>
      <c r="BF43" s="26">
        <f>COUNTIF(車両台帳!$BJ$57:$BJ$2056,BF$3&amp;"-"&amp;7)</f>
        <v>0</v>
      </c>
      <c r="BG43" s="26">
        <f>COUNTIF(車両台帳!$BJ$57:$BJ$2056,BG$3&amp;"-"&amp;7)</f>
        <v>0</v>
      </c>
      <c r="BH43" s="26">
        <f>COUNTIF(車両台帳!$BJ$57:$BJ$2056,BH$3&amp;"-"&amp;7)</f>
        <v>0</v>
      </c>
      <c r="BI43" s="26">
        <f>COUNTIF(車両台帳!$BJ$57:$BJ$2056,BI$3&amp;"-"&amp;7)</f>
        <v>0</v>
      </c>
      <c r="BJ43" s="26">
        <f>COUNTIF(車両台帳!$BJ$57:$BJ$2056,BJ$3&amp;"-"&amp;7)</f>
        <v>0</v>
      </c>
      <c r="BK43" s="26">
        <f>COUNTIF(車両台帳!$BJ$57:$BJ$2056,BK$3&amp;"-"&amp;7)</f>
        <v>0</v>
      </c>
      <c r="BL43" s="26">
        <f>COUNTIF(車両台帳!$BJ$57:$BJ$2056,BL$3&amp;"-"&amp;7)</f>
        <v>0</v>
      </c>
      <c r="BM43" s="26">
        <f>COUNTIF(車両台帳!$BJ$57:$BJ$2056,BM$3&amp;"-"&amp;7)</f>
        <v>0</v>
      </c>
      <c r="BN43" s="26">
        <f>COUNTIF(車両台帳!$BJ$57:$BJ$2056,BN$3&amp;"-"&amp;7)</f>
        <v>0</v>
      </c>
      <c r="BO43" s="26">
        <f>COUNTIF(車両台帳!$BJ$57:$BJ$2056,BO$3&amp;"-"&amp;7)</f>
        <v>0</v>
      </c>
      <c r="BP43" s="26">
        <f>COUNTIF(車両台帳!$BJ$57:$BJ$2056,BP$3&amp;"-"&amp;7)</f>
        <v>0</v>
      </c>
      <c r="BQ43" s="26">
        <f>COUNTIF(車両台帳!$BJ$57:$BJ$2056,BQ$3&amp;"-"&amp;7)</f>
        <v>0</v>
      </c>
      <c r="BR43" s="26">
        <f>COUNTIF(車両台帳!$BJ$57:$BJ$2056,BR$3&amp;"-"&amp;7)</f>
        <v>0</v>
      </c>
      <c r="BS43" s="26">
        <f>COUNTIF(車両台帳!$BJ$57:$BJ$2056,BS$3&amp;"-"&amp;7)</f>
        <v>0</v>
      </c>
      <c r="BT43" s="26">
        <f>COUNTIF(車両台帳!$BJ$57:$BJ$2056,BT$3&amp;"-"&amp;7)</f>
        <v>0</v>
      </c>
      <c r="BU43" s="26">
        <f>COUNTIF(車両台帳!$BJ$57:$BJ$2056,BU$3&amp;"-"&amp;7)</f>
        <v>0</v>
      </c>
      <c r="BV43" s="26">
        <f>COUNTIF(車両台帳!$BJ$57:$BJ$2056,BV$3&amp;"-"&amp;7)</f>
        <v>0</v>
      </c>
      <c r="BW43" s="26">
        <f>COUNTIF(車両台帳!$BJ$57:$BJ$2056,BW$3&amp;"-"&amp;7)</f>
        <v>0</v>
      </c>
      <c r="BX43" s="26">
        <f>COUNTIF(車両台帳!$BJ$57:$BJ$2056,BX$3&amp;"-"&amp;7)</f>
        <v>0</v>
      </c>
      <c r="BY43" s="26">
        <f>COUNTIF(車両台帳!$BJ$57:$BJ$2056,BY$3&amp;"-"&amp;7)</f>
        <v>0</v>
      </c>
      <c r="BZ43" s="26">
        <f>COUNTIF(車両台帳!$BJ$57:$BJ$2056,BZ$3&amp;"-"&amp;7)</f>
        <v>0</v>
      </c>
      <c r="CA43" s="26">
        <f>COUNTIF(車両台帳!$BJ$57:$BJ$2056,CA$3&amp;"-"&amp;7)</f>
        <v>0</v>
      </c>
      <c r="CB43" s="26">
        <f>COUNTIF(車両台帳!$BJ$57:$BJ$2056,CB$3&amp;"-"&amp;7)</f>
        <v>0</v>
      </c>
      <c r="CC43" s="26">
        <f>COUNTIF(車両台帳!$BJ$57:$BJ$2056,CC$3&amp;"-"&amp;7)</f>
        <v>0</v>
      </c>
      <c r="CD43" s="26">
        <f>COUNTIF(車両台帳!$BJ$57:$BJ$2056,CD$3&amp;"-"&amp;7)</f>
        <v>0</v>
      </c>
      <c r="CE43" s="26">
        <f>COUNTIF(車両台帳!$BJ$57:$BJ$2056,CE$3&amp;"-"&amp;7)</f>
        <v>0</v>
      </c>
      <c r="CF43" s="26">
        <f>COUNTIF(車両台帳!$BJ$57:$BJ$2056,CF$3&amp;"-"&amp;7)</f>
        <v>0</v>
      </c>
      <c r="CG43" s="26">
        <f>COUNTIF(車両台帳!$BJ$57:$BJ$2056,CG$3&amp;"-"&amp;7)</f>
        <v>0</v>
      </c>
      <c r="CH43" s="26">
        <f>COUNTIF(車両台帳!$BJ$57:$BJ$2056,CH$3&amp;"-"&amp;7)</f>
        <v>0</v>
      </c>
      <c r="CI43" s="26">
        <f>COUNTIF(車両台帳!$BJ$57:$BJ$2056,CI$3&amp;"-"&amp;7)</f>
        <v>0</v>
      </c>
      <c r="CJ43" s="26">
        <f>COUNTIF(車両台帳!$BJ$57:$BJ$2056,CJ$3&amp;"-"&amp;7)</f>
        <v>0</v>
      </c>
      <c r="CK43" s="26">
        <f>COUNTIF(車両台帳!$BJ$57:$BJ$2056,CK$3&amp;"-"&amp;7)</f>
        <v>0</v>
      </c>
      <c r="CL43" s="26">
        <f>COUNTIF(車両台帳!$BJ$57:$BJ$2056,CL$3&amp;"-"&amp;7)</f>
        <v>0</v>
      </c>
      <c r="CM43" s="26">
        <f>COUNTIF(車両台帳!$BJ$57:$BJ$2056,CM$3&amp;"-"&amp;7)</f>
        <v>0</v>
      </c>
      <c r="CN43" s="26">
        <f>COUNTIF(車両台帳!$BJ$57:$BJ$2056,CN$3&amp;"-"&amp;7)</f>
        <v>0</v>
      </c>
      <c r="CO43" s="26">
        <f>COUNTIF(車両台帳!$BJ$57:$BJ$2056,CO$3&amp;"-"&amp;7)</f>
        <v>0</v>
      </c>
      <c r="CP43" s="26">
        <f>COUNTIF(車両台帳!$BJ$57:$BJ$2056,CP$3&amp;"-"&amp;7)</f>
        <v>0</v>
      </c>
      <c r="CQ43" s="26">
        <f>COUNTIF(車両台帳!$BJ$57:$BJ$2056,CQ$3&amp;"-"&amp;7)</f>
        <v>0</v>
      </c>
      <c r="CR43" s="26">
        <f>COUNTIF(車両台帳!$BJ$57:$BJ$2056,CR$3&amp;"-"&amp;7)</f>
        <v>0</v>
      </c>
      <c r="CS43" s="26">
        <f>COUNTIF(車両台帳!$BJ$57:$BJ$2056,CS$3&amp;"-"&amp;7)</f>
        <v>0</v>
      </c>
      <c r="CT43" s="26">
        <f>COUNTIF(車両台帳!$BJ$57:$BJ$2056,CT$3&amp;"-"&amp;7)</f>
        <v>0</v>
      </c>
      <c r="CU43" s="26">
        <f>COUNTIF(車両台帳!$BJ$57:$BJ$2056,CU$3&amp;"-"&amp;7)</f>
        <v>0</v>
      </c>
      <c r="CV43" s="26">
        <f>COUNTIF(車両台帳!$BJ$57:$BJ$2056,CV$3&amp;"-"&amp;7)</f>
        <v>0</v>
      </c>
      <c r="CW43" s="26">
        <f>COUNTIF(車両台帳!$BJ$57:$BJ$2056,CW$3&amp;"-"&amp;7)</f>
        <v>0</v>
      </c>
      <c r="CX43" s="26">
        <f>COUNTIF(車両台帳!$BJ$57:$BJ$2056,CX$3&amp;"-"&amp;7)</f>
        <v>0</v>
      </c>
      <c r="CY43" s="26">
        <f>COUNTIF(車両台帳!$BJ$57:$BJ$2056,CY$3&amp;"-"&amp;7)</f>
        <v>0</v>
      </c>
      <c r="CZ43" s="26">
        <f>COUNTIF(車両台帳!$BJ$57:$BJ$2056,CZ$3&amp;"-"&amp;7)</f>
        <v>0</v>
      </c>
      <c r="DA43" s="26">
        <f>COUNTIF(車両台帳!$BJ$57:$BJ$2056,DA$3&amp;"-"&amp;7)</f>
        <v>0</v>
      </c>
      <c r="DB43" s="26">
        <f>COUNTIF(車両台帳!$BJ$57:$BJ$2056,DB$3&amp;"-"&amp;7)</f>
        <v>0</v>
      </c>
      <c r="DC43" s="26">
        <f>COUNTIF(車両台帳!$BJ$57:$BJ$2056,DC$3&amp;"-"&amp;7)</f>
        <v>0</v>
      </c>
      <c r="DD43" s="26">
        <f>COUNTIF(車両台帳!$BJ$57:$BJ$2056,DD$3&amp;"-"&amp;7)</f>
        <v>0</v>
      </c>
      <c r="DE43" s="26">
        <f>COUNTIF(車両台帳!$BJ$57:$BJ$2056,DE$3&amp;"-"&amp;7)</f>
        <v>0</v>
      </c>
      <c r="DF43" s="26">
        <f>COUNTIF(車両台帳!$BJ$57:$BJ$2056,DF$3&amp;"-"&amp;7)</f>
        <v>0</v>
      </c>
      <c r="DG43" s="26">
        <f>COUNTIF(車両台帳!$BJ$57:$BJ$2056,DG$3&amp;"-"&amp;7)</f>
        <v>0</v>
      </c>
      <c r="DH43" s="26">
        <f>COUNTIF(車両台帳!$BJ$57:$BJ$2056,DH$3&amp;"-"&amp;7)</f>
        <v>0</v>
      </c>
      <c r="DI43" s="26">
        <f>COUNTIF(車両台帳!$BJ$57:$BJ$2056,DI$3&amp;"-"&amp;7)</f>
        <v>0</v>
      </c>
      <c r="DJ43" s="26">
        <f>COUNTIF(車両台帳!$BJ$57:$BJ$2056,DJ$3&amp;"-"&amp;7)</f>
        <v>0</v>
      </c>
      <c r="DK43" s="26">
        <f>COUNTIF(車両台帳!$BJ$57:$BJ$2056,DK$3&amp;"-"&amp;7)</f>
        <v>0</v>
      </c>
      <c r="DL43" s="26">
        <f>COUNTIF(車両台帳!$BJ$57:$BJ$2056,DL$3&amp;"-"&amp;7)</f>
        <v>0</v>
      </c>
      <c r="DM43" s="26">
        <f>COUNTIF(車両台帳!$BJ$57:$BJ$2056,DM$3&amp;"-"&amp;7)</f>
        <v>0</v>
      </c>
      <c r="DN43" s="26">
        <f>COUNTIF(車両台帳!$BJ$57:$BJ$2056,DN$3&amp;"-"&amp;7)</f>
        <v>0</v>
      </c>
      <c r="DO43" s="26">
        <f>COUNTIF(車両台帳!$BJ$57:$BJ$2056,DO$3&amp;"-"&amp;7)</f>
        <v>0</v>
      </c>
      <c r="DP43" s="26">
        <f>COUNTIF(車両台帳!$BJ$57:$BJ$2056,DP$3&amp;"-"&amp;7)</f>
        <v>0</v>
      </c>
      <c r="DQ43" s="26">
        <f>COUNTIF(車両台帳!$BJ$57:$BJ$2056,DQ$3&amp;"-"&amp;7)</f>
        <v>0</v>
      </c>
      <c r="DR43" s="26">
        <f>COUNTIF(車両台帳!$BJ$57:$BJ$2056,DR$3&amp;"-"&amp;7)</f>
        <v>0</v>
      </c>
      <c r="DS43" s="26">
        <f>COUNTIF(車両台帳!$BJ$57:$BJ$2056,DS$3&amp;"-"&amp;7)</f>
        <v>0</v>
      </c>
      <c r="DT43" s="26">
        <f>COUNTIF(車両台帳!$BJ$57:$BJ$2056,DT$3&amp;"-"&amp;7)</f>
        <v>0</v>
      </c>
      <c r="DU43" s="26">
        <f>COUNTIF(車両台帳!$BJ$57:$BJ$2056,DU$3&amp;"-"&amp;7)</f>
        <v>0</v>
      </c>
      <c r="DV43" s="26">
        <f>COUNTIF(車両台帳!$BJ$57:$BJ$2056,DV$3&amp;"-"&amp;7)</f>
        <v>0</v>
      </c>
      <c r="DW43" s="26">
        <f>COUNTIF(車両台帳!$BJ$57:$BJ$2056,DW$3&amp;"-"&amp;7)</f>
        <v>0</v>
      </c>
      <c r="DX43" s="26">
        <f>COUNTIF(車両台帳!$BJ$57:$BJ$2056,DX$3&amp;"-"&amp;7)</f>
        <v>0</v>
      </c>
      <c r="DY43" s="26">
        <f>COUNTIF(車両台帳!$BJ$57:$BJ$2056,DY$3&amp;"-"&amp;7)</f>
        <v>0</v>
      </c>
      <c r="DZ43" s="26">
        <f>COUNTIF(車両台帳!$BJ$57:$BJ$2056,DZ$3&amp;"-"&amp;7)</f>
        <v>0</v>
      </c>
      <c r="EA43" s="26">
        <f>COUNTIF(車両台帳!$BJ$57:$BJ$2056,EA$3&amp;"-"&amp;7)</f>
        <v>0</v>
      </c>
      <c r="EB43" s="26">
        <f>COUNTIF(車両台帳!$BJ$57:$BJ$2056,EB$3&amp;"-"&amp;7)</f>
        <v>0</v>
      </c>
      <c r="EC43" s="26">
        <f>COUNTIF(車両台帳!$BJ$57:$BJ$2056,EC$3&amp;"-"&amp;7)</f>
        <v>0</v>
      </c>
      <c r="ED43" s="26">
        <f>COUNTIF(車両台帳!$BJ$57:$BJ$2056,ED$3&amp;"-"&amp;7)</f>
        <v>0</v>
      </c>
      <c r="EE43" s="26">
        <f>COUNTIF(車両台帳!$BJ$57:$BJ$2056,EE$3&amp;"-"&amp;7)</f>
        <v>0</v>
      </c>
      <c r="EF43" s="26">
        <f>COUNTIF(車両台帳!$BJ$57:$BJ$2056,EF$3&amp;"-"&amp;7)</f>
        <v>0</v>
      </c>
      <c r="EG43" s="26">
        <f>COUNTIF(車両台帳!$BJ$57:$BJ$2056,EG$3&amp;"-"&amp;7)</f>
        <v>0</v>
      </c>
      <c r="EH43" s="26">
        <f>COUNTIF(車両台帳!$BJ$57:$BJ$2056,EH$3&amp;"-"&amp;7)</f>
        <v>0</v>
      </c>
      <c r="EI43" s="26">
        <f>COUNTIF(車両台帳!$BJ$57:$BJ$2056,EI$3&amp;"-"&amp;7)</f>
        <v>0</v>
      </c>
      <c r="EJ43" s="26">
        <f>COUNTIF(車両台帳!$BJ$57:$BJ$2056,EJ$3&amp;"-"&amp;7)</f>
        <v>0</v>
      </c>
      <c r="EK43" s="26">
        <f>COUNTIF(車両台帳!$BJ$57:$BJ$2056,EK$3&amp;"-"&amp;7)</f>
        <v>0</v>
      </c>
      <c r="EL43" s="26">
        <f>COUNTIF(車両台帳!$BJ$57:$BJ$2056,EL$3&amp;"-"&amp;7)</f>
        <v>0</v>
      </c>
      <c r="EM43" s="26">
        <f>COUNTIF(車両台帳!$BJ$57:$BJ$2056,EM$3&amp;"-"&amp;7)</f>
        <v>0</v>
      </c>
      <c r="EN43" s="26">
        <f>COUNTIF(車両台帳!$BJ$57:$BJ$2056,EN$3&amp;"-"&amp;7)</f>
        <v>0</v>
      </c>
      <c r="EO43" s="26">
        <f>COUNTIF(車両台帳!$BJ$57:$BJ$2056,EO$3&amp;"-"&amp;7)</f>
        <v>0</v>
      </c>
      <c r="EP43" s="26">
        <f>COUNTIF(車両台帳!$BJ$57:$BJ$2056,EP$3&amp;"-"&amp;7)</f>
        <v>0</v>
      </c>
      <c r="EQ43" s="26">
        <f>COUNTIF(車両台帳!$BJ$57:$BJ$2056,EQ$3&amp;"-"&amp;7)</f>
        <v>0</v>
      </c>
      <c r="ER43" s="26">
        <f>COUNTIF(車両台帳!$BJ$57:$BJ$2056,ER$3&amp;"-"&amp;7)</f>
        <v>0</v>
      </c>
      <c r="ES43" s="26">
        <f>COUNTIF(車両台帳!$BJ$57:$BJ$2056,ES$3&amp;"-"&amp;7)</f>
        <v>0</v>
      </c>
      <c r="ET43" s="26">
        <f>COUNTIF(車両台帳!$BJ$57:$BJ$2056,ET$3&amp;"-"&amp;7)</f>
        <v>0</v>
      </c>
      <c r="EU43" s="26">
        <f>COUNTIF(車両台帳!$BJ$57:$BJ$2056,EU$3&amp;"-"&amp;7)</f>
        <v>0</v>
      </c>
      <c r="EV43" s="26">
        <f>COUNTIF(車両台帳!$BJ$57:$BJ$2056,EV$3&amp;"-"&amp;7)</f>
        <v>0</v>
      </c>
      <c r="EW43" s="26">
        <f>COUNTIF(車両台帳!$BJ$57:$BJ$2056,EW$3&amp;"-"&amp;7)</f>
        <v>0</v>
      </c>
      <c r="EX43" s="26">
        <f>COUNTIF(車両台帳!$BJ$57:$BJ$2056,EX$3&amp;"-"&amp;7)</f>
        <v>0</v>
      </c>
      <c r="EY43" s="26">
        <f>COUNTIF(車両台帳!$BJ$57:$BJ$2056,EY$3&amp;"-"&amp;7)</f>
        <v>0</v>
      </c>
      <c r="EZ43" s="26">
        <f>COUNTIF(車両台帳!$BJ$57:$BJ$2056,EZ$3&amp;"-"&amp;7)</f>
        <v>0</v>
      </c>
      <c r="FA43" s="26">
        <f>COUNTIF(車両台帳!$BJ$57:$BJ$2056,FA$3&amp;"-"&amp;7)</f>
        <v>0</v>
      </c>
      <c r="FB43" s="26">
        <f>COUNTIF(車両台帳!$BJ$57:$BJ$2056,FB$3&amp;"-"&amp;7)</f>
        <v>0</v>
      </c>
      <c r="FC43" s="26">
        <f>COUNTIF(車両台帳!$BJ$57:$BJ$2056,FC$3&amp;"-"&amp;7)</f>
        <v>0</v>
      </c>
      <c r="FD43" s="26">
        <f>COUNTIF(車両台帳!$BJ$57:$BJ$2056,FD$3&amp;"-"&amp;7)</f>
        <v>0</v>
      </c>
      <c r="FE43" s="26">
        <f>COUNTIF(車両台帳!$BJ$57:$BJ$2056,FE$3&amp;"-"&amp;7)</f>
        <v>0</v>
      </c>
      <c r="FF43" s="26">
        <f>COUNTIF(車両台帳!$BJ$57:$BJ$2056,FF$3&amp;"-"&amp;7)</f>
        <v>0</v>
      </c>
      <c r="FG43" s="26">
        <f>COUNTIF(車両台帳!$BJ$57:$BJ$2056,FG$3&amp;"-"&amp;7)</f>
        <v>0</v>
      </c>
      <c r="FH43" s="26">
        <f>COUNTIF(車両台帳!$BJ$57:$BJ$2056,FH$3&amp;"-"&amp;7)</f>
        <v>0</v>
      </c>
      <c r="FI43" s="26">
        <f>COUNTIF(車両台帳!$BJ$57:$BJ$2056,FI$3&amp;"-"&amp;7)</f>
        <v>0</v>
      </c>
      <c r="FJ43" s="26">
        <f>COUNTIF(車両台帳!$BJ$57:$BJ$2056,FJ$3&amp;"-"&amp;7)</f>
        <v>0</v>
      </c>
      <c r="FK43" s="26">
        <f>COUNTIF(車両台帳!$BJ$57:$BJ$2056,FK$3&amp;"-"&amp;7)</f>
        <v>0</v>
      </c>
      <c r="FL43" s="26">
        <f>COUNTIF(車両台帳!$BJ$57:$BJ$2056,FL$3&amp;"-"&amp;7)</f>
        <v>0</v>
      </c>
      <c r="FM43" s="26">
        <f>COUNTIF(車両台帳!$BJ$57:$BJ$2056,FM$3&amp;"-"&amp;7)</f>
        <v>0</v>
      </c>
      <c r="FN43" s="26">
        <f>COUNTIF(車両台帳!$BJ$57:$BJ$2056,FN$3&amp;"-"&amp;7)</f>
        <v>0</v>
      </c>
      <c r="FO43" s="26">
        <f>COUNTIF(車両台帳!$BJ$57:$BJ$2056,FO$3&amp;"-"&amp;7)</f>
        <v>0</v>
      </c>
      <c r="FP43" s="26">
        <f>COUNTIF(車両台帳!$BJ$57:$BJ$2056,FP$3&amp;"-"&amp;7)</f>
        <v>0</v>
      </c>
      <c r="FQ43" s="26">
        <f>COUNTIF(車両台帳!$BJ$57:$BJ$2056,FQ$3&amp;"-"&amp;7)</f>
        <v>0</v>
      </c>
      <c r="FR43" s="26">
        <f>COUNTIF(車両台帳!$BJ$57:$BJ$2056,FR$3&amp;"-"&amp;7)</f>
        <v>0</v>
      </c>
      <c r="FS43" s="26">
        <f>COUNTIF(車両台帳!$BJ$57:$BJ$2056,FS$3&amp;"-"&amp;7)</f>
        <v>0</v>
      </c>
      <c r="FT43" s="26">
        <f>COUNTIF(車両台帳!$BJ$57:$BJ$2056,FT$3&amp;"-"&amp;7)</f>
        <v>0</v>
      </c>
      <c r="FU43" s="26">
        <f>COUNTIF(車両台帳!$BJ$57:$BJ$2056,FU$3&amp;"-"&amp;7)</f>
        <v>0</v>
      </c>
      <c r="FV43" s="26">
        <f>COUNTIF(車両台帳!$BJ$57:$BJ$2056,FV$3&amp;"-"&amp;7)</f>
        <v>0</v>
      </c>
      <c r="FW43" s="26">
        <f>COUNTIF(車両台帳!$BJ$57:$BJ$2056,FW$3&amp;"-"&amp;7)</f>
        <v>0</v>
      </c>
      <c r="FX43" s="26">
        <f>COUNTIF(車両台帳!$BJ$57:$BJ$2056,FX$3&amp;"-"&amp;7)</f>
        <v>0</v>
      </c>
      <c r="FY43" s="26">
        <f>COUNTIF(車両台帳!$BJ$57:$BJ$2056,FY$3&amp;"-"&amp;7)</f>
        <v>0</v>
      </c>
      <c r="FZ43" s="26">
        <f>COUNTIF(車両台帳!$BJ$57:$BJ$2056,FZ$3&amp;"-"&amp;7)</f>
        <v>0</v>
      </c>
      <c r="GA43" s="26">
        <f>COUNTIF(車両台帳!$BJ$57:$BJ$2056,GA$3&amp;"-"&amp;7)</f>
        <v>0</v>
      </c>
      <c r="GB43" s="26">
        <f>COUNTIF(車両台帳!$BJ$57:$BJ$2056,GB$3&amp;"-"&amp;7)</f>
        <v>0</v>
      </c>
      <c r="GC43" s="26">
        <f>COUNTIF(車両台帳!$BJ$57:$BJ$2056,GC$3&amp;"-"&amp;7)</f>
        <v>0</v>
      </c>
      <c r="GD43" s="26">
        <f>COUNTIF(車両台帳!$BJ$57:$BJ$2056,GD$3&amp;"-"&amp;7)</f>
        <v>0</v>
      </c>
      <c r="GE43" s="26">
        <f>COUNTIF(車両台帳!$BJ$57:$BJ$2056,GE$3&amp;"-"&amp;7)</f>
        <v>0</v>
      </c>
      <c r="GF43" s="26">
        <f>COUNTIF(車両台帳!$BJ$57:$BJ$2056,GF$3&amp;"-"&amp;7)</f>
        <v>0</v>
      </c>
      <c r="GG43" s="26">
        <f>COUNTIF(車両台帳!$BJ$57:$BJ$2056,GG$3&amp;"-"&amp;7)</f>
        <v>0</v>
      </c>
      <c r="GH43" s="26">
        <f>COUNTIF(車両台帳!$BJ$57:$BJ$2056,GH$3&amp;"-"&amp;7)</f>
        <v>0</v>
      </c>
      <c r="GI43" s="26">
        <f>COUNTIF(車両台帳!$BJ$57:$BJ$2056,GI$3&amp;"-"&amp;7)</f>
        <v>0</v>
      </c>
      <c r="GJ43" s="26">
        <f>COUNTIF(車両台帳!$BJ$57:$BJ$2056,GJ$3&amp;"-"&amp;7)</f>
        <v>0</v>
      </c>
      <c r="GK43" s="26">
        <f>COUNTIF(車両台帳!$BJ$57:$BJ$2056,GK$3&amp;"-"&amp;7)</f>
        <v>0</v>
      </c>
      <c r="GL43" s="26">
        <f>COUNTIF(車両台帳!$BJ$57:$BJ$2056,GL$3&amp;"-"&amp;7)</f>
        <v>0</v>
      </c>
      <c r="GM43" s="26">
        <f>COUNTIF(車両台帳!$BJ$57:$BJ$2056,GM$3&amp;"-"&amp;7)</f>
        <v>0</v>
      </c>
      <c r="GN43" s="26">
        <f>COUNTIF(車両台帳!$BJ$57:$BJ$2056,GN$3&amp;"-"&amp;7)</f>
        <v>0</v>
      </c>
      <c r="GO43" s="26">
        <f>COUNTIF(車両台帳!$BJ$57:$BJ$2056,GO$3&amp;"-"&amp;7)</f>
        <v>0</v>
      </c>
      <c r="GP43" s="26">
        <f>COUNTIF(車両台帳!$BJ$57:$BJ$2056,GP$3&amp;"-"&amp;7)</f>
        <v>0</v>
      </c>
      <c r="GQ43" s="26">
        <f>COUNTIF(車両台帳!$BJ$57:$BJ$2056,GQ$3&amp;"-"&amp;7)</f>
        <v>0</v>
      </c>
      <c r="GR43" s="26">
        <f>COUNTIF(車両台帳!$BJ$57:$BJ$2056,GR$3&amp;"-"&amp;7)</f>
        <v>0</v>
      </c>
      <c r="GS43" s="26">
        <f>COUNTIF(車両台帳!$BJ$57:$BJ$2056,GS$3&amp;"-"&amp;7)</f>
        <v>0</v>
      </c>
      <c r="GT43" s="26">
        <f>COUNTIF(車両台帳!$BJ$57:$BJ$2056,GT$3&amp;"-"&amp;7)</f>
        <v>0</v>
      </c>
      <c r="GU43" s="26">
        <f>COUNTIF(車両台帳!$BJ$57:$BJ$2056,GU$3&amp;"-"&amp;7)</f>
        <v>0</v>
      </c>
    </row>
    <row r="44" spans="2:203">
      <c r="C44" s="3" t="s">
        <v>638</v>
      </c>
      <c r="D44" s="3">
        <f>COUNTIF(車両台帳!$BJ$57:$BJ$2056,D$3&amp;"-"&amp;8)</f>
        <v>0</v>
      </c>
      <c r="E44" s="3">
        <f>COUNTIF(車両台帳!$BJ$57:$BJ$2056,E$3&amp;"-"&amp;8)</f>
        <v>0</v>
      </c>
      <c r="F44" s="3">
        <f>COUNTIF(車両台帳!$BJ$57:$BJ$2056,F$3&amp;"-"&amp;8)</f>
        <v>0</v>
      </c>
      <c r="G44" s="3">
        <f>COUNTIF(車両台帳!$BJ$57:$BJ$2056,G$3&amp;"-"&amp;8)</f>
        <v>0</v>
      </c>
      <c r="H44" s="3">
        <f>COUNTIF(車両台帳!$BJ$57:$BJ$2056,H$3&amp;"-"&amp;8)</f>
        <v>0</v>
      </c>
      <c r="I44" s="3">
        <f>COUNTIF(車両台帳!$BJ$57:$BJ$2056,I$3&amp;"-"&amp;8)</f>
        <v>0</v>
      </c>
      <c r="J44" s="3">
        <f>COUNTIF(車両台帳!$BJ$57:$BJ$2056,J$3&amp;"-"&amp;8)</f>
        <v>0</v>
      </c>
      <c r="K44" s="3">
        <f>COUNTIF(車両台帳!$BJ$57:$BJ$2056,K$3&amp;"-"&amp;8)</f>
        <v>0</v>
      </c>
      <c r="L44" s="3">
        <f>COUNTIF(車両台帳!$BJ$57:$BJ$2056,L$3&amp;"-"&amp;8)</f>
        <v>0</v>
      </c>
      <c r="M44" s="3">
        <f>COUNTIF(車両台帳!$BJ$57:$BJ$2056,M$3&amp;"-"&amp;8)</f>
        <v>0</v>
      </c>
      <c r="N44" s="3">
        <f>COUNTIF(車両台帳!$BJ$57:$BJ$2056,N$3&amp;"-"&amp;8)</f>
        <v>0</v>
      </c>
      <c r="O44" s="3">
        <f>COUNTIF(車両台帳!$BJ$57:$BJ$2056,O$3&amp;"-"&amp;8)</f>
        <v>0</v>
      </c>
      <c r="P44" s="3">
        <f>COUNTIF(車両台帳!$BJ$57:$BJ$2056,P$3&amp;"-"&amp;8)</f>
        <v>0</v>
      </c>
      <c r="Q44" s="3">
        <f>COUNTIF(車両台帳!$BJ$57:$BJ$2056,Q$3&amp;"-"&amp;8)</f>
        <v>0</v>
      </c>
      <c r="R44" s="3">
        <f>COUNTIF(車両台帳!$BJ$57:$BJ$2056,R$3&amp;"-"&amp;8)</f>
        <v>0</v>
      </c>
      <c r="S44" s="3">
        <f>COUNTIF(車両台帳!$BJ$57:$BJ$2056,S$3&amp;"-"&amp;8)</f>
        <v>0</v>
      </c>
      <c r="T44" s="3">
        <f>COUNTIF(車両台帳!$BJ$57:$BJ$2056,T$3&amp;"-"&amp;8)</f>
        <v>0</v>
      </c>
      <c r="U44" s="3">
        <f>COUNTIF(車両台帳!$BJ$57:$BJ$2056,U$3&amp;"-"&amp;8)</f>
        <v>0</v>
      </c>
      <c r="V44" s="3">
        <f>COUNTIF(車両台帳!$BJ$57:$BJ$2056,V$3&amp;"-"&amp;8)</f>
        <v>0</v>
      </c>
      <c r="W44" s="3">
        <f>COUNTIF(車両台帳!$BJ$57:$BJ$2056,W$3&amp;"-"&amp;8)</f>
        <v>0</v>
      </c>
      <c r="X44" s="3">
        <f>COUNTIF(車両台帳!$BJ$57:$BJ$2056,X$3&amp;"-"&amp;8)</f>
        <v>0</v>
      </c>
      <c r="Y44" s="3">
        <f>COUNTIF(車両台帳!$BJ$57:$BJ$2056,Y$3&amp;"-"&amp;8)</f>
        <v>0</v>
      </c>
      <c r="Z44" s="3">
        <f>COUNTIF(車両台帳!$BJ$57:$BJ$2056,Z$3&amp;"-"&amp;8)</f>
        <v>0</v>
      </c>
      <c r="AA44" s="3">
        <f>COUNTIF(車両台帳!$BJ$57:$BJ$2056,AA$3&amp;"-"&amp;8)</f>
        <v>0</v>
      </c>
      <c r="AB44" s="3">
        <f>COUNTIF(車両台帳!$BJ$57:$BJ$2056,AB$3&amp;"-"&amp;8)</f>
        <v>0</v>
      </c>
      <c r="AC44" s="3">
        <f>COUNTIF(車両台帳!$BJ$57:$BJ$2056,AC$3&amp;"-"&amp;8)</f>
        <v>0</v>
      </c>
      <c r="AD44" s="3">
        <f>COUNTIF(車両台帳!$BJ$57:$BJ$2056,AD$3&amp;"-"&amp;8)</f>
        <v>0</v>
      </c>
      <c r="AE44" s="3">
        <f>COUNTIF(車両台帳!$BJ$57:$BJ$2056,AE$3&amp;"-"&amp;8)</f>
        <v>0</v>
      </c>
      <c r="AF44" s="3">
        <f>COUNTIF(車両台帳!$BJ$57:$BJ$2056,AF$3&amp;"-"&amp;8)</f>
        <v>0</v>
      </c>
      <c r="AG44" s="3">
        <f>COUNTIF(車両台帳!$BJ$57:$BJ$2056,AG$3&amp;"-"&amp;8)</f>
        <v>0</v>
      </c>
      <c r="AH44" s="3">
        <f>COUNTIF(車両台帳!$BJ$57:$BJ$2056,AH$3&amp;"-"&amp;8)</f>
        <v>0</v>
      </c>
      <c r="AI44" s="3">
        <f>COUNTIF(車両台帳!$BJ$57:$BJ$2056,AI$3&amp;"-"&amp;8)</f>
        <v>0</v>
      </c>
      <c r="AJ44" s="3">
        <f>COUNTIF(車両台帳!$BJ$57:$BJ$2056,AJ$3&amp;"-"&amp;8)</f>
        <v>0</v>
      </c>
      <c r="AK44" s="3">
        <f>COUNTIF(車両台帳!$BJ$57:$BJ$2056,AK$3&amp;"-"&amp;8)</f>
        <v>0</v>
      </c>
      <c r="AL44" s="3">
        <f>COUNTIF(車両台帳!$BJ$57:$BJ$2056,AL$3&amp;"-"&amp;8)</f>
        <v>0</v>
      </c>
      <c r="AM44" s="3">
        <f>COUNTIF(車両台帳!$BJ$57:$BJ$2056,AM$3&amp;"-"&amp;8)</f>
        <v>0</v>
      </c>
      <c r="AN44" s="3">
        <f>COUNTIF(車両台帳!$BJ$57:$BJ$2056,AN$3&amp;"-"&amp;8)</f>
        <v>0</v>
      </c>
      <c r="AO44" s="3">
        <f>COUNTIF(車両台帳!$BJ$57:$BJ$2056,AO$3&amp;"-"&amp;8)</f>
        <v>0</v>
      </c>
      <c r="AP44" s="3">
        <f>COUNTIF(車両台帳!$BJ$57:$BJ$2056,AP$3&amp;"-"&amp;8)</f>
        <v>0</v>
      </c>
      <c r="AQ44" s="3">
        <f>COUNTIF(車両台帳!$BJ$57:$BJ$2056,AQ$3&amp;"-"&amp;8)</f>
        <v>0</v>
      </c>
      <c r="AR44" s="3">
        <f>COUNTIF(車両台帳!$BJ$57:$BJ$2056,AR$3&amp;"-"&amp;8)</f>
        <v>0</v>
      </c>
      <c r="AS44" s="3">
        <f>COUNTIF(車両台帳!$BJ$57:$BJ$2056,AS$3&amp;"-"&amp;8)</f>
        <v>0</v>
      </c>
      <c r="AT44" s="3">
        <f>COUNTIF(車両台帳!$BJ$57:$BJ$2056,AT$3&amp;"-"&amp;8)</f>
        <v>0</v>
      </c>
      <c r="AU44" s="3">
        <f>COUNTIF(車両台帳!$BJ$57:$BJ$2056,AU$3&amp;"-"&amp;8)</f>
        <v>0</v>
      </c>
      <c r="AV44" s="3">
        <f>COUNTIF(車両台帳!$BJ$57:$BJ$2056,AV$3&amp;"-"&amp;8)</f>
        <v>0</v>
      </c>
      <c r="AW44" s="3">
        <f>COUNTIF(車両台帳!$BJ$57:$BJ$2056,AW$3&amp;"-"&amp;8)</f>
        <v>0</v>
      </c>
      <c r="AX44" s="3">
        <f>COUNTIF(車両台帳!$BJ$57:$BJ$2056,AX$3&amp;"-"&amp;8)</f>
        <v>0</v>
      </c>
      <c r="AY44" s="3">
        <f>COUNTIF(車両台帳!$BJ$57:$BJ$2056,AY$3&amp;"-"&amp;8)</f>
        <v>0</v>
      </c>
      <c r="AZ44" s="3">
        <f>COUNTIF(車両台帳!$BJ$57:$BJ$2056,AZ$3&amp;"-"&amp;8)</f>
        <v>0</v>
      </c>
      <c r="BA44" s="3">
        <f>COUNTIF(車両台帳!$BJ$57:$BJ$2056,BA$3&amp;"-"&amp;8)</f>
        <v>0</v>
      </c>
      <c r="BB44" s="3">
        <f>COUNTIF(車両台帳!$BJ$57:$BJ$2056,BB$3&amp;"-"&amp;8)</f>
        <v>0</v>
      </c>
      <c r="BC44" s="3">
        <f>COUNTIF(車両台帳!$BJ$57:$BJ$2056,BC$3&amp;"-"&amp;8)</f>
        <v>0</v>
      </c>
      <c r="BD44" s="3">
        <f>COUNTIF(車両台帳!$BJ$57:$BJ$2056,BD$3&amp;"-"&amp;8)</f>
        <v>0</v>
      </c>
      <c r="BE44" s="3">
        <f>COUNTIF(車両台帳!$BJ$57:$BJ$2056,BE$3&amp;"-"&amp;8)</f>
        <v>0</v>
      </c>
      <c r="BF44" s="3">
        <f>COUNTIF(車両台帳!$BJ$57:$BJ$2056,BF$3&amp;"-"&amp;8)</f>
        <v>0</v>
      </c>
      <c r="BG44" s="3">
        <f>COUNTIF(車両台帳!$BJ$57:$BJ$2056,BG$3&amp;"-"&amp;8)</f>
        <v>0</v>
      </c>
      <c r="BH44" s="3">
        <f>COUNTIF(車両台帳!$BJ$57:$BJ$2056,BH$3&amp;"-"&amp;8)</f>
        <v>0</v>
      </c>
      <c r="BI44" s="3">
        <f>COUNTIF(車両台帳!$BJ$57:$BJ$2056,BI$3&amp;"-"&amp;8)</f>
        <v>0</v>
      </c>
      <c r="BJ44" s="3">
        <f>COUNTIF(車両台帳!$BJ$57:$BJ$2056,BJ$3&amp;"-"&amp;8)</f>
        <v>0</v>
      </c>
      <c r="BK44" s="3">
        <f>COUNTIF(車両台帳!$BJ$57:$BJ$2056,BK$3&amp;"-"&amp;8)</f>
        <v>0</v>
      </c>
      <c r="BL44" s="3">
        <f>COUNTIF(車両台帳!$BJ$57:$BJ$2056,BL$3&amp;"-"&amp;8)</f>
        <v>0</v>
      </c>
      <c r="BM44" s="3">
        <f>COUNTIF(車両台帳!$BJ$57:$BJ$2056,BM$3&amp;"-"&amp;8)</f>
        <v>0</v>
      </c>
      <c r="BN44" s="3">
        <f>COUNTIF(車両台帳!$BJ$57:$BJ$2056,BN$3&amp;"-"&amp;8)</f>
        <v>0</v>
      </c>
      <c r="BO44" s="3">
        <f>COUNTIF(車両台帳!$BJ$57:$BJ$2056,BO$3&amp;"-"&amp;8)</f>
        <v>0</v>
      </c>
      <c r="BP44" s="3">
        <f>COUNTIF(車両台帳!$BJ$57:$BJ$2056,BP$3&amp;"-"&amp;8)</f>
        <v>0</v>
      </c>
      <c r="BQ44" s="3">
        <f>COUNTIF(車両台帳!$BJ$57:$BJ$2056,BQ$3&amp;"-"&amp;8)</f>
        <v>0</v>
      </c>
      <c r="BR44" s="3">
        <f>COUNTIF(車両台帳!$BJ$57:$BJ$2056,BR$3&amp;"-"&amp;8)</f>
        <v>0</v>
      </c>
      <c r="BS44" s="3">
        <f>COUNTIF(車両台帳!$BJ$57:$BJ$2056,BS$3&amp;"-"&amp;8)</f>
        <v>0</v>
      </c>
      <c r="BT44" s="3">
        <f>COUNTIF(車両台帳!$BJ$57:$BJ$2056,BT$3&amp;"-"&amp;8)</f>
        <v>0</v>
      </c>
      <c r="BU44" s="3">
        <f>COUNTIF(車両台帳!$BJ$57:$BJ$2056,BU$3&amp;"-"&amp;8)</f>
        <v>0</v>
      </c>
      <c r="BV44" s="3">
        <f>COUNTIF(車両台帳!$BJ$57:$BJ$2056,BV$3&amp;"-"&amp;8)</f>
        <v>0</v>
      </c>
      <c r="BW44" s="3">
        <f>COUNTIF(車両台帳!$BJ$57:$BJ$2056,BW$3&amp;"-"&amp;8)</f>
        <v>0</v>
      </c>
      <c r="BX44" s="3">
        <f>COUNTIF(車両台帳!$BJ$57:$BJ$2056,BX$3&amp;"-"&amp;8)</f>
        <v>0</v>
      </c>
      <c r="BY44" s="3">
        <f>COUNTIF(車両台帳!$BJ$57:$BJ$2056,BY$3&amp;"-"&amp;8)</f>
        <v>0</v>
      </c>
      <c r="BZ44" s="3">
        <f>COUNTIF(車両台帳!$BJ$57:$BJ$2056,BZ$3&amp;"-"&amp;8)</f>
        <v>0</v>
      </c>
      <c r="CA44" s="3">
        <f>COUNTIF(車両台帳!$BJ$57:$BJ$2056,CA$3&amp;"-"&amp;8)</f>
        <v>0</v>
      </c>
      <c r="CB44" s="3">
        <f>COUNTIF(車両台帳!$BJ$57:$BJ$2056,CB$3&amp;"-"&amp;8)</f>
        <v>0</v>
      </c>
      <c r="CC44" s="3">
        <f>COUNTIF(車両台帳!$BJ$57:$BJ$2056,CC$3&amp;"-"&amp;8)</f>
        <v>0</v>
      </c>
      <c r="CD44" s="3">
        <f>COUNTIF(車両台帳!$BJ$57:$BJ$2056,CD$3&amp;"-"&amp;8)</f>
        <v>0</v>
      </c>
      <c r="CE44" s="3">
        <f>COUNTIF(車両台帳!$BJ$57:$BJ$2056,CE$3&amp;"-"&amp;8)</f>
        <v>0</v>
      </c>
      <c r="CF44" s="3">
        <f>COUNTIF(車両台帳!$BJ$57:$BJ$2056,CF$3&amp;"-"&amp;8)</f>
        <v>0</v>
      </c>
      <c r="CG44" s="3">
        <f>COUNTIF(車両台帳!$BJ$57:$BJ$2056,CG$3&amp;"-"&amp;8)</f>
        <v>0</v>
      </c>
      <c r="CH44" s="3">
        <f>COUNTIF(車両台帳!$BJ$57:$BJ$2056,CH$3&amp;"-"&amp;8)</f>
        <v>0</v>
      </c>
      <c r="CI44" s="3">
        <f>COUNTIF(車両台帳!$BJ$57:$BJ$2056,CI$3&amp;"-"&amp;8)</f>
        <v>0</v>
      </c>
      <c r="CJ44" s="3">
        <f>COUNTIF(車両台帳!$BJ$57:$BJ$2056,CJ$3&amp;"-"&amp;8)</f>
        <v>0</v>
      </c>
      <c r="CK44" s="3">
        <f>COUNTIF(車両台帳!$BJ$57:$BJ$2056,CK$3&amp;"-"&amp;8)</f>
        <v>0</v>
      </c>
      <c r="CL44" s="3">
        <f>COUNTIF(車両台帳!$BJ$57:$BJ$2056,CL$3&amp;"-"&amp;8)</f>
        <v>0</v>
      </c>
      <c r="CM44" s="3">
        <f>COUNTIF(車両台帳!$BJ$57:$BJ$2056,CM$3&amp;"-"&amp;8)</f>
        <v>0</v>
      </c>
      <c r="CN44" s="3">
        <f>COUNTIF(車両台帳!$BJ$57:$BJ$2056,CN$3&amp;"-"&amp;8)</f>
        <v>0</v>
      </c>
      <c r="CO44" s="3">
        <f>COUNTIF(車両台帳!$BJ$57:$BJ$2056,CO$3&amp;"-"&amp;8)</f>
        <v>0</v>
      </c>
      <c r="CP44" s="3">
        <f>COUNTIF(車両台帳!$BJ$57:$BJ$2056,CP$3&amp;"-"&amp;8)</f>
        <v>0</v>
      </c>
      <c r="CQ44" s="3">
        <f>COUNTIF(車両台帳!$BJ$57:$BJ$2056,CQ$3&amp;"-"&amp;8)</f>
        <v>0</v>
      </c>
      <c r="CR44" s="3">
        <f>COUNTIF(車両台帳!$BJ$57:$BJ$2056,CR$3&amp;"-"&amp;8)</f>
        <v>0</v>
      </c>
      <c r="CS44" s="3">
        <f>COUNTIF(車両台帳!$BJ$57:$BJ$2056,CS$3&amp;"-"&amp;8)</f>
        <v>0</v>
      </c>
      <c r="CT44" s="3">
        <f>COUNTIF(車両台帳!$BJ$57:$BJ$2056,CT$3&amp;"-"&amp;8)</f>
        <v>0</v>
      </c>
      <c r="CU44" s="3">
        <f>COUNTIF(車両台帳!$BJ$57:$BJ$2056,CU$3&amp;"-"&amp;8)</f>
        <v>0</v>
      </c>
      <c r="CV44" s="3">
        <f>COUNTIF(車両台帳!$BJ$57:$BJ$2056,CV$3&amp;"-"&amp;8)</f>
        <v>0</v>
      </c>
      <c r="CW44" s="3">
        <f>COUNTIF(車両台帳!$BJ$57:$BJ$2056,CW$3&amp;"-"&amp;8)</f>
        <v>0</v>
      </c>
      <c r="CX44" s="3">
        <f>COUNTIF(車両台帳!$BJ$57:$BJ$2056,CX$3&amp;"-"&amp;8)</f>
        <v>0</v>
      </c>
      <c r="CY44" s="3">
        <f>COUNTIF(車両台帳!$BJ$57:$BJ$2056,CY$3&amp;"-"&amp;8)</f>
        <v>0</v>
      </c>
      <c r="CZ44" s="3">
        <f>COUNTIF(車両台帳!$BJ$57:$BJ$2056,CZ$3&amp;"-"&amp;8)</f>
        <v>0</v>
      </c>
      <c r="DA44" s="3">
        <f>COUNTIF(車両台帳!$BJ$57:$BJ$2056,DA$3&amp;"-"&amp;8)</f>
        <v>0</v>
      </c>
      <c r="DB44" s="3">
        <f>COUNTIF(車両台帳!$BJ$57:$BJ$2056,DB$3&amp;"-"&amp;8)</f>
        <v>0</v>
      </c>
      <c r="DC44" s="3">
        <f>COUNTIF(車両台帳!$BJ$57:$BJ$2056,DC$3&amp;"-"&amp;8)</f>
        <v>0</v>
      </c>
      <c r="DD44" s="3">
        <f>COUNTIF(車両台帳!$BJ$57:$BJ$2056,DD$3&amp;"-"&amp;8)</f>
        <v>0</v>
      </c>
      <c r="DE44" s="3">
        <f>COUNTIF(車両台帳!$BJ$57:$BJ$2056,DE$3&amp;"-"&amp;8)</f>
        <v>0</v>
      </c>
      <c r="DF44" s="3">
        <f>COUNTIF(車両台帳!$BJ$57:$BJ$2056,DF$3&amp;"-"&amp;8)</f>
        <v>0</v>
      </c>
      <c r="DG44" s="3">
        <f>COUNTIF(車両台帳!$BJ$57:$BJ$2056,DG$3&amp;"-"&amp;8)</f>
        <v>0</v>
      </c>
      <c r="DH44" s="3">
        <f>COUNTIF(車両台帳!$BJ$57:$BJ$2056,DH$3&amp;"-"&amp;8)</f>
        <v>0</v>
      </c>
      <c r="DI44" s="3">
        <f>COUNTIF(車両台帳!$BJ$57:$BJ$2056,DI$3&amp;"-"&amp;8)</f>
        <v>0</v>
      </c>
      <c r="DJ44" s="3">
        <f>COUNTIF(車両台帳!$BJ$57:$BJ$2056,DJ$3&amp;"-"&amp;8)</f>
        <v>0</v>
      </c>
      <c r="DK44" s="3">
        <f>COUNTIF(車両台帳!$BJ$57:$BJ$2056,DK$3&amp;"-"&amp;8)</f>
        <v>0</v>
      </c>
      <c r="DL44" s="3">
        <f>COUNTIF(車両台帳!$BJ$57:$BJ$2056,DL$3&amp;"-"&amp;8)</f>
        <v>0</v>
      </c>
      <c r="DM44" s="3">
        <f>COUNTIF(車両台帳!$BJ$57:$BJ$2056,DM$3&amp;"-"&amp;8)</f>
        <v>0</v>
      </c>
      <c r="DN44" s="3">
        <f>COUNTIF(車両台帳!$BJ$57:$BJ$2056,DN$3&amp;"-"&amp;8)</f>
        <v>0</v>
      </c>
      <c r="DO44" s="3">
        <f>COUNTIF(車両台帳!$BJ$57:$BJ$2056,DO$3&amp;"-"&amp;8)</f>
        <v>0</v>
      </c>
      <c r="DP44" s="3">
        <f>COUNTIF(車両台帳!$BJ$57:$BJ$2056,DP$3&amp;"-"&amp;8)</f>
        <v>0</v>
      </c>
      <c r="DQ44" s="3">
        <f>COUNTIF(車両台帳!$BJ$57:$BJ$2056,DQ$3&amp;"-"&amp;8)</f>
        <v>0</v>
      </c>
      <c r="DR44" s="3">
        <f>COUNTIF(車両台帳!$BJ$57:$BJ$2056,DR$3&amp;"-"&amp;8)</f>
        <v>0</v>
      </c>
      <c r="DS44" s="3">
        <f>COUNTIF(車両台帳!$BJ$57:$BJ$2056,DS$3&amp;"-"&amp;8)</f>
        <v>0</v>
      </c>
      <c r="DT44" s="3">
        <f>COUNTIF(車両台帳!$BJ$57:$BJ$2056,DT$3&amp;"-"&amp;8)</f>
        <v>0</v>
      </c>
      <c r="DU44" s="3">
        <f>COUNTIF(車両台帳!$BJ$57:$BJ$2056,DU$3&amp;"-"&amp;8)</f>
        <v>0</v>
      </c>
      <c r="DV44" s="3">
        <f>COUNTIF(車両台帳!$BJ$57:$BJ$2056,DV$3&amp;"-"&amp;8)</f>
        <v>0</v>
      </c>
      <c r="DW44" s="3">
        <f>COUNTIF(車両台帳!$BJ$57:$BJ$2056,DW$3&amp;"-"&amp;8)</f>
        <v>0</v>
      </c>
      <c r="DX44" s="3">
        <f>COUNTIF(車両台帳!$BJ$57:$BJ$2056,DX$3&amp;"-"&amp;8)</f>
        <v>0</v>
      </c>
      <c r="DY44" s="3">
        <f>COUNTIF(車両台帳!$BJ$57:$BJ$2056,DY$3&amp;"-"&amp;8)</f>
        <v>0</v>
      </c>
      <c r="DZ44" s="3">
        <f>COUNTIF(車両台帳!$BJ$57:$BJ$2056,DZ$3&amp;"-"&amp;8)</f>
        <v>0</v>
      </c>
      <c r="EA44" s="3">
        <f>COUNTIF(車両台帳!$BJ$57:$BJ$2056,EA$3&amp;"-"&amp;8)</f>
        <v>0</v>
      </c>
      <c r="EB44" s="3">
        <f>COUNTIF(車両台帳!$BJ$57:$BJ$2056,EB$3&amp;"-"&amp;8)</f>
        <v>0</v>
      </c>
      <c r="EC44" s="3">
        <f>COUNTIF(車両台帳!$BJ$57:$BJ$2056,EC$3&amp;"-"&amp;8)</f>
        <v>0</v>
      </c>
      <c r="ED44" s="3">
        <f>COUNTIF(車両台帳!$BJ$57:$BJ$2056,ED$3&amp;"-"&amp;8)</f>
        <v>0</v>
      </c>
      <c r="EE44" s="3">
        <f>COUNTIF(車両台帳!$BJ$57:$BJ$2056,EE$3&amp;"-"&amp;8)</f>
        <v>0</v>
      </c>
      <c r="EF44" s="3">
        <f>COUNTIF(車両台帳!$BJ$57:$BJ$2056,EF$3&amp;"-"&amp;8)</f>
        <v>0</v>
      </c>
      <c r="EG44" s="3">
        <f>COUNTIF(車両台帳!$BJ$57:$BJ$2056,EG$3&amp;"-"&amp;8)</f>
        <v>0</v>
      </c>
      <c r="EH44" s="3">
        <f>COUNTIF(車両台帳!$BJ$57:$BJ$2056,EH$3&amp;"-"&amp;8)</f>
        <v>0</v>
      </c>
      <c r="EI44" s="3">
        <f>COUNTIF(車両台帳!$BJ$57:$BJ$2056,EI$3&amp;"-"&amp;8)</f>
        <v>0</v>
      </c>
      <c r="EJ44" s="3">
        <f>COUNTIF(車両台帳!$BJ$57:$BJ$2056,EJ$3&amp;"-"&amp;8)</f>
        <v>0</v>
      </c>
      <c r="EK44" s="3">
        <f>COUNTIF(車両台帳!$BJ$57:$BJ$2056,EK$3&amp;"-"&amp;8)</f>
        <v>0</v>
      </c>
      <c r="EL44" s="3">
        <f>COUNTIF(車両台帳!$BJ$57:$BJ$2056,EL$3&amp;"-"&amp;8)</f>
        <v>0</v>
      </c>
      <c r="EM44" s="3">
        <f>COUNTIF(車両台帳!$BJ$57:$BJ$2056,EM$3&amp;"-"&amp;8)</f>
        <v>0</v>
      </c>
      <c r="EN44" s="3">
        <f>COUNTIF(車両台帳!$BJ$57:$BJ$2056,EN$3&amp;"-"&amp;8)</f>
        <v>0</v>
      </c>
      <c r="EO44" s="3">
        <f>COUNTIF(車両台帳!$BJ$57:$BJ$2056,EO$3&amp;"-"&amp;8)</f>
        <v>0</v>
      </c>
      <c r="EP44" s="3">
        <f>COUNTIF(車両台帳!$BJ$57:$BJ$2056,EP$3&amp;"-"&amp;8)</f>
        <v>0</v>
      </c>
      <c r="EQ44" s="3">
        <f>COUNTIF(車両台帳!$BJ$57:$BJ$2056,EQ$3&amp;"-"&amp;8)</f>
        <v>0</v>
      </c>
      <c r="ER44" s="3">
        <f>COUNTIF(車両台帳!$BJ$57:$BJ$2056,ER$3&amp;"-"&amp;8)</f>
        <v>0</v>
      </c>
      <c r="ES44" s="3">
        <f>COUNTIF(車両台帳!$BJ$57:$BJ$2056,ES$3&amp;"-"&amp;8)</f>
        <v>0</v>
      </c>
      <c r="ET44" s="3">
        <f>COUNTIF(車両台帳!$BJ$57:$BJ$2056,ET$3&amp;"-"&amp;8)</f>
        <v>0</v>
      </c>
      <c r="EU44" s="3">
        <f>COUNTIF(車両台帳!$BJ$57:$BJ$2056,EU$3&amp;"-"&amp;8)</f>
        <v>0</v>
      </c>
      <c r="EV44" s="3">
        <f>COUNTIF(車両台帳!$BJ$57:$BJ$2056,EV$3&amp;"-"&amp;8)</f>
        <v>0</v>
      </c>
      <c r="EW44" s="3">
        <f>COUNTIF(車両台帳!$BJ$57:$BJ$2056,EW$3&amp;"-"&amp;8)</f>
        <v>0</v>
      </c>
      <c r="EX44" s="3">
        <f>COUNTIF(車両台帳!$BJ$57:$BJ$2056,EX$3&amp;"-"&amp;8)</f>
        <v>0</v>
      </c>
      <c r="EY44" s="3">
        <f>COUNTIF(車両台帳!$BJ$57:$BJ$2056,EY$3&amp;"-"&amp;8)</f>
        <v>0</v>
      </c>
      <c r="EZ44" s="3">
        <f>COUNTIF(車両台帳!$BJ$57:$BJ$2056,EZ$3&amp;"-"&amp;8)</f>
        <v>0</v>
      </c>
      <c r="FA44" s="3">
        <f>COUNTIF(車両台帳!$BJ$57:$BJ$2056,FA$3&amp;"-"&amp;8)</f>
        <v>0</v>
      </c>
      <c r="FB44" s="3">
        <f>COUNTIF(車両台帳!$BJ$57:$BJ$2056,FB$3&amp;"-"&amp;8)</f>
        <v>0</v>
      </c>
      <c r="FC44" s="3">
        <f>COUNTIF(車両台帳!$BJ$57:$BJ$2056,FC$3&amp;"-"&amp;8)</f>
        <v>0</v>
      </c>
      <c r="FD44" s="3">
        <f>COUNTIF(車両台帳!$BJ$57:$BJ$2056,FD$3&amp;"-"&amp;8)</f>
        <v>0</v>
      </c>
      <c r="FE44" s="3">
        <f>COUNTIF(車両台帳!$BJ$57:$BJ$2056,FE$3&amp;"-"&amp;8)</f>
        <v>0</v>
      </c>
      <c r="FF44" s="3">
        <f>COUNTIF(車両台帳!$BJ$57:$BJ$2056,FF$3&amp;"-"&amp;8)</f>
        <v>0</v>
      </c>
      <c r="FG44" s="3">
        <f>COUNTIF(車両台帳!$BJ$57:$BJ$2056,FG$3&amp;"-"&amp;8)</f>
        <v>0</v>
      </c>
      <c r="FH44" s="3">
        <f>COUNTIF(車両台帳!$BJ$57:$BJ$2056,FH$3&amp;"-"&amp;8)</f>
        <v>0</v>
      </c>
      <c r="FI44" s="3">
        <f>COUNTIF(車両台帳!$BJ$57:$BJ$2056,FI$3&amp;"-"&amp;8)</f>
        <v>0</v>
      </c>
      <c r="FJ44" s="3">
        <f>COUNTIF(車両台帳!$BJ$57:$BJ$2056,FJ$3&amp;"-"&amp;8)</f>
        <v>0</v>
      </c>
      <c r="FK44" s="3">
        <f>COUNTIF(車両台帳!$BJ$57:$BJ$2056,FK$3&amp;"-"&amp;8)</f>
        <v>0</v>
      </c>
      <c r="FL44" s="3">
        <f>COUNTIF(車両台帳!$BJ$57:$BJ$2056,FL$3&amp;"-"&amp;8)</f>
        <v>0</v>
      </c>
      <c r="FM44" s="3">
        <f>COUNTIF(車両台帳!$BJ$57:$BJ$2056,FM$3&amp;"-"&amp;8)</f>
        <v>0</v>
      </c>
      <c r="FN44" s="3">
        <f>COUNTIF(車両台帳!$BJ$57:$BJ$2056,FN$3&amp;"-"&amp;8)</f>
        <v>0</v>
      </c>
      <c r="FO44" s="3">
        <f>COUNTIF(車両台帳!$BJ$57:$BJ$2056,FO$3&amp;"-"&amp;8)</f>
        <v>0</v>
      </c>
      <c r="FP44" s="3">
        <f>COUNTIF(車両台帳!$BJ$57:$BJ$2056,FP$3&amp;"-"&amp;8)</f>
        <v>0</v>
      </c>
      <c r="FQ44" s="3">
        <f>COUNTIF(車両台帳!$BJ$57:$BJ$2056,FQ$3&amp;"-"&amp;8)</f>
        <v>0</v>
      </c>
      <c r="FR44" s="3">
        <f>COUNTIF(車両台帳!$BJ$57:$BJ$2056,FR$3&amp;"-"&amp;8)</f>
        <v>0</v>
      </c>
      <c r="FS44" s="3">
        <f>COUNTIF(車両台帳!$BJ$57:$BJ$2056,FS$3&amp;"-"&amp;8)</f>
        <v>0</v>
      </c>
      <c r="FT44" s="3">
        <f>COUNTIF(車両台帳!$BJ$57:$BJ$2056,FT$3&amp;"-"&amp;8)</f>
        <v>0</v>
      </c>
      <c r="FU44" s="3">
        <f>COUNTIF(車両台帳!$BJ$57:$BJ$2056,FU$3&amp;"-"&amp;8)</f>
        <v>0</v>
      </c>
      <c r="FV44" s="3">
        <f>COUNTIF(車両台帳!$BJ$57:$BJ$2056,FV$3&amp;"-"&amp;8)</f>
        <v>0</v>
      </c>
      <c r="FW44" s="3">
        <f>COUNTIF(車両台帳!$BJ$57:$BJ$2056,FW$3&amp;"-"&amp;8)</f>
        <v>0</v>
      </c>
      <c r="FX44" s="3">
        <f>COUNTIF(車両台帳!$BJ$57:$BJ$2056,FX$3&amp;"-"&amp;8)</f>
        <v>0</v>
      </c>
      <c r="FY44" s="3">
        <f>COUNTIF(車両台帳!$BJ$57:$BJ$2056,FY$3&amp;"-"&amp;8)</f>
        <v>0</v>
      </c>
      <c r="FZ44" s="3">
        <f>COUNTIF(車両台帳!$BJ$57:$BJ$2056,FZ$3&amp;"-"&amp;8)</f>
        <v>0</v>
      </c>
      <c r="GA44" s="3">
        <f>COUNTIF(車両台帳!$BJ$57:$BJ$2056,GA$3&amp;"-"&amp;8)</f>
        <v>0</v>
      </c>
      <c r="GB44" s="3">
        <f>COUNTIF(車両台帳!$BJ$57:$BJ$2056,GB$3&amp;"-"&amp;8)</f>
        <v>0</v>
      </c>
      <c r="GC44" s="3">
        <f>COUNTIF(車両台帳!$BJ$57:$BJ$2056,GC$3&amp;"-"&amp;8)</f>
        <v>0</v>
      </c>
      <c r="GD44" s="3">
        <f>COUNTIF(車両台帳!$BJ$57:$BJ$2056,GD$3&amp;"-"&amp;8)</f>
        <v>0</v>
      </c>
      <c r="GE44" s="3">
        <f>COUNTIF(車両台帳!$BJ$57:$BJ$2056,GE$3&amp;"-"&amp;8)</f>
        <v>0</v>
      </c>
      <c r="GF44" s="3">
        <f>COUNTIF(車両台帳!$BJ$57:$BJ$2056,GF$3&amp;"-"&amp;8)</f>
        <v>0</v>
      </c>
      <c r="GG44" s="3">
        <f>COUNTIF(車両台帳!$BJ$57:$BJ$2056,GG$3&amp;"-"&amp;8)</f>
        <v>0</v>
      </c>
      <c r="GH44" s="3">
        <f>COUNTIF(車両台帳!$BJ$57:$BJ$2056,GH$3&amp;"-"&amp;8)</f>
        <v>0</v>
      </c>
      <c r="GI44" s="3">
        <f>COUNTIF(車両台帳!$BJ$57:$BJ$2056,GI$3&amp;"-"&amp;8)</f>
        <v>0</v>
      </c>
      <c r="GJ44" s="3">
        <f>COUNTIF(車両台帳!$BJ$57:$BJ$2056,GJ$3&amp;"-"&amp;8)</f>
        <v>0</v>
      </c>
      <c r="GK44" s="3">
        <f>COUNTIF(車両台帳!$BJ$57:$BJ$2056,GK$3&amp;"-"&amp;8)</f>
        <v>0</v>
      </c>
      <c r="GL44" s="3">
        <f>COUNTIF(車両台帳!$BJ$57:$BJ$2056,GL$3&amp;"-"&amp;8)</f>
        <v>0</v>
      </c>
      <c r="GM44" s="3">
        <f>COUNTIF(車両台帳!$BJ$57:$BJ$2056,GM$3&amp;"-"&amp;8)</f>
        <v>0</v>
      </c>
      <c r="GN44" s="3">
        <f>COUNTIF(車両台帳!$BJ$57:$BJ$2056,GN$3&amp;"-"&amp;8)</f>
        <v>0</v>
      </c>
      <c r="GO44" s="3">
        <f>COUNTIF(車両台帳!$BJ$57:$BJ$2056,GO$3&amp;"-"&amp;8)</f>
        <v>0</v>
      </c>
      <c r="GP44" s="3">
        <f>COUNTIF(車両台帳!$BJ$57:$BJ$2056,GP$3&amp;"-"&amp;8)</f>
        <v>0</v>
      </c>
      <c r="GQ44" s="3">
        <f>COUNTIF(車両台帳!$BJ$57:$BJ$2056,GQ$3&amp;"-"&amp;8)</f>
        <v>0</v>
      </c>
      <c r="GR44" s="3">
        <f>COUNTIF(車両台帳!$BJ$57:$BJ$2056,GR$3&amp;"-"&amp;8)</f>
        <v>0</v>
      </c>
      <c r="GS44" s="3">
        <f>COUNTIF(車両台帳!$BJ$57:$BJ$2056,GS$3&amp;"-"&amp;8)</f>
        <v>0</v>
      </c>
      <c r="GT44" s="3">
        <f>COUNTIF(車両台帳!$BJ$57:$BJ$2056,GT$3&amp;"-"&amp;8)</f>
        <v>0</v>
      </c>
      <c r="GU44" s="3">
        <f>COUNTIF(車両台帳!$BJ$57:$BJ$2056,GU$3&amp;"-"&amp;8)</f>
        <v>0</v>
      </c>
    </row>
    <row r="45" spans="2:203" ht="14.25" thickBot="1">
      <c r="C45" s="92" t="s">
        <v>634</v>
      </c>
      <c r="D45" s="93">
        <f>COUNTIF(車両台帳!$BJ$57:$BJ$2056,D$3&amp;"-"&amp;9)</f>
        <v>0</v>
      </c>
      <c r="E45" s="93">
        <f>COUNTIF(車両台帳!$BJ$57:$BJ$2056,E$3&amp;"-"&amp;9)</f>
        <v>0</v>
      </c>
      <c r="F45" s="93">
        <f>COUNTIF(車両台帳!$BJ$57:$BJ$2056,F$3&amp;"-"&amp;9)</f>
        <v>0</v>
      </c>
      <c r="G45" s="93">
        <f>COUNTIF(車両台帳!$BJ$57:$BJ$2056,G$3&amp;"-"&amp;9)</f>
        <v>0</v>
      </c>
      <c r="H45" s="93">
        <f>COUNTIF(車両台帳!$BJ$57:$BJ$2056,H$3&amp;"-"&amp;9)</f>
        <v>0</v>
      </c>
      <c r="I45" s="93">
        <f>COUNTIF(車両台帳!$BJ$57:$BJ$2056,I$3&amp;"-"&amp;9)</f>
        <v>0</v>
      </c>
      <c r="J45" s="93">
        <f>COUNTIF(車両台帳!$BJ$57:$BJ$2056,J$3&amp;"-"&amp;9)</f>
        <v>0</v>
      </c>
      <c r="K45" s="93">
        <f>COUNTIF(車両台帳!$BJ$57:$BJ$2056,K$3&amp;"-"&amp;9)</f>
        <v>0</v>
      </c>
      <c r="L45" s="93">
        <f>COUNTIF(車両台帳!$BJ$57:$BJ$2056,L$3&amp;"-"&amp;9)</f>
        <v>0</v>
      </c>
      <c r="M45" s="93">
        <f>COUNTIF(車両台帳!$BJ$57:$BJ$2056,M$3&amp;"-"&amp;9)</f>
        <v>0</v>
      </c>
      <c r="N45" s="93">
        <f>COUNTIF(車両台帳!$BJ$57:$BJ$2056,N$3&amp;"-"&amp;9)</f>
        <v>0</v>
      </c>
      <c r="O45" s="93">
        <f>COUNTIF(車両台帳!$BJ$57:$BJ$2056,O$3&amp;"-"&amp;9)</f>
        <v>0</v>
      </c>
      <c r="P45" s="93">
        <f>COUNTIF(車両台帳!$BJ$57:$BJ$2056,P$3&amp;"-"&amp;9)</f>
        <v>0</v>
      </c>
      <c r="Q45" s="93">
        <f>COUNTIF(車両台帳!$BJ$57:$BJ$2056,Q$3&amp;"-"&amp;9)</f>
        <v>0</v>
      </c>
      <c r="R45" s="93">
        <f>COUNTIF(車両台帳!$BJ$57:$BJ$2056,R$3&amp;"-"&amp;9)</f>
        <v>0</v>
      </c>
      <c r="S45" s="93">
        <f>COUNTIF(車両台帳!$BJ$57:$BJ$2056,S$3&amp;"-"&amp;9)</f>
        <v>0</v>
      </c>
      <c r="T45" s="93">
        <f>COUNTIF(車両台帳!$BJ$57:$BJ$2056,T$3&amp;"-"&amp;9)</f>
        <v>0</v>
      </c>
      <c r="U45" s="93">
        <f>COUNTIF(車両台帳!$BJ$57:$BJ$2056,U$3&amp;"-"&amp;9)</f>
        <v>0</v>
      </c>
      <c r="V45" s="93">
        <f>COUNTIF(車両台帳!$BJ$57:$BJ$2056,V$3&amp;"-"&amp;9)</f>
        <v>0</v>
      </c>
      <c r="W45" s="93">
        <f>COUNTIF(車両台帳!$BJ$57:$BJ$2056,W$3&amp;"-"&amp;9)</f>
        <v>0</v>
      </c>
      <c r="X45" s="93">
        <f>COUNTIF(車両台帳!$BJ$57:$BJ$2056,X$3&amp;"-"&amp;9)</f>
        <v>0</v>
      </c>
      <c r="Y45" s="93">
        <f>COUNTIF(車両台帳!$BJ$57:$BJ$2056,Y$3&amp;"-"&amp;9)</f>
        <v>0</v>
      </c>
      <c r="Z45" s="93">
        <f>COUNTIF(車両台帳!$BJ$57:$BJ$2056,Z$3&amp;"-"&amp;9)</f>
        <v>0</v>
      </c>
      <c r="AA45" s="93">
        <f>COUNTIF(車両台帳!$BJ$57:$BJ$2056,AA$3&amp;"-"&amp;9)</f>
        <v>0</v>
      </c>
      <c r="AB45" s="93">
        <f>COUNTIF(車両台帳!$BJ$57:$BJ$2056,AB$3&amp;"-"&amp;9)</f>
        <v>0</v>
      </c>
      <c r="AC45" s="93">
        <f>COUNTIF(車両台帳!$BJ$57:$BJ$2056,AC$3&amp;"-"&amp;9)</f>
        <v>0</v>
      </c>
      <c r="AD45" s="93">
        <f>COUNTIF(車両台帳!$BJ$57:$BJ$2056,AD$3&amp;"-"&amp;9)</f>
        <v>0</v>
      </c>
      <c r="AE45" s="93">
        <f>COUNTIF(車両台帳!$BJ$57:$BJ$2056,AE$3&amp;"-"&amp;9)</f>
        <v>0</v>
      </c>
      <c r="AF45" s="93">
        <f>COUNTIF(車両台帳!$BJ$57:$BJ$2056,AF$3&amp;"-"&amp;9)</f>
        <v>0</v>
      </c>
      <c r="AG45" s="93">
        <f>COUNTIF(車両台帳!$BJ$57:$BJ$2056,AG$3&amp;"-"&amp;9)</f>
        <v>0</v>
      </c>
      <c r="AH45" s="93">
        <f>COUNTIF(車両台帳!$BJ$57:$BJ$2056,AH$3&amp;"-"&amp;9)</f>
        <v>0</v>
      </c>
      <c r="AI45" s="93">
        <f>COUNTIF(車両台帳!$BJ$57:$BJ$2056,AI$3&amp;"-"&amp;9)</f>
        <v>0</v>
      </c>
      <c r="AJ45" s="93">
        <f>COUNTIF(車両台帳!$BJ$57:$BJ$2056,AJ$3&amp;"-"&amp;9)</f>
        <v>0</v>
      </c>
      <c r="AK45" s="93">
        <f>COUNTIF(車両台帳!$BJ$57:$BJ$2056,AK$3&amp;"-"&amp;9)</f>
        <v>0</v>
      </c>
      <c r="AL45" s="93">
        <f>COUNTIF(車両台帳!$BJ$57:$BJ$2056,AL$3&amp;"-"&amp;9)</f>
        <v>0</v>
      </c>
      <c r="AM45" s="93">
        <f>COUNTIF(車両台帳!$BJ$57:$BJ$2056,AM$3&amp;"-"&amp;9)</f>
        <v>0</v>
      </c>
      <c r="AN45" s="93">
        <f>COUNTIF(車両台帳!$BJ$57:$BJ$2056,AN$3&amp;"-"&amp;9)</f>
        <v>0</v>
      </c>
      <c r="AO45" s="93">
        <f>COUNTIF(車両台帳!$BJ$57:$BJ$2056,AO$3&amp;"-"&amp;9)</f>
        <v>0</v>
      </c>
      <c r="AP45" s="93">
        <f>COUNTIF(車両台帳!$BJ$57:$BJ$2056,AP$3&amp;"-"&amp;9)</f>
        <v>0</v>
      </c>
      <c r="AQ45" s="93">
        <f>COUNTIF(車両台帳!$BJ$57:$BJ$2056,AQ$3&amp;"-"&amp;9)</f>
        <v>0</v>
      </c>
      <c r="AR45" s="93">
        <f>COUNTIF(車両台帳!$BJ$57:$BJ$2056,AR$3&amp;"-"&amp;9)</f>
        <v>0</v>
      </c>
      <c r="AS45" s="93">
        <f>COUNTIF(車両台帳!$BJ$57:$BJ$2056,AS$3&amp;"-"&amp;9)</f>
        <v>0</v>
      </c>
      <c r="AT45" s="93">
        <f>COUNTIF(車両台帳!$BJ$57:$BJ$2056,AT$3&amp;"-"&amp;9)</f>
        <v>0</v>
      </c>
      <c r="AU45" s="93">
        <f>COUNTIF(車両台帳!$BJ$57:$BJ$2056,AU$3&amp;"-"&amp;9)</f>
        <v>0</v>
      </c>
      <c r="AV45" s="93">
        <f>COUNTIF(車両台帳!$BJ$57:$BJ$2056,AV$3&amp;"-"&amp;9)</f>
        <v>0</v>
      </c>
      <c r="AW45" s="93">
        <f>COUNTIF(車両台帳!$BJ$57:$BJ$2056,AW$3&amp;"-"&amp;9)</f>
        <v>0</v>
      </c>
      <c r="AX45" s="93">
        <f>COUNTIF(車両台帳!$BJ$57:$BJ$2056,AX$3&amp;"-"&amp;9)</f>
        <v>0</v>
      </c>
      <c r="AY45" s="93">
        <f>COUNTIF(車両台帳!$BJ$57:$BJ$2056,AY$3&amp;"-"&amp;9)</f>
        <v>0</v>
      </c>
      <c r="AZ45" s="93">
        <f>COUNTIF(車両台帳!$BJ$57:$BJ$2056,AZ$3&amp;"-"&amp;9)</f>
        <v>0</v>
      </c>
      <c r="BA45" s="93">
        <f>COUNTIF(車両台帳!$BJ$57:$BJ$2056,BA$3&amp;"-"&amp;9)</f>
        <v>0</v>
      </c>
      <c r="BB45" s="93">
        <f>COUNTIF(車両台帳!$BJ$57:$BJ$2056,BB$3&amp;"-"&amp;9)</f>
        <v>0</v>
      </c>
      <c r="BC45" s="93">
        <f>COUNTIF(車両台帳!$BJ$57:$BJ$2056,BC$3&amp;"-"&amp;9)</f>
        <v>0</v>
      </c>
      <c r="BD45" s="93">
        <f>COUNTIF(車両台帳!$BJ$57:$BJ$2056,BD$3&amp;"-"&amp;9)</f>
        <v>0</v>
      </c>
      <c r="BE45" s="93">
        <f>COUNTIF(車両台帳!$BJ$57:$BJ$2056,BE$3&amp;"-"&amp;9)</f>
        <v>0</v>
      </c>
      <c r="BF45" s="93">
        <f>COUNTIF(車両台帳!$BJ$57:$BJ$2056,BF$3&amp;"-"&amp;9)</f>
        <v>0</v>
      </c>
      <c r="BG45" s="93">
        <f>COUNTIF(車両台帳!$BJ$57:$BJ$2056,BG$3&amp;"-"&amp;9)</f>
        <v>0</v>
      </c>
      <c r="BH45" s="93">
        <f>COUNTIF(車両台帳!$BJ$57:$BJ$2056,BH$3&amp;"-"&amp;9)</f>
        <v>0</v>
      </c>
      <c r="BI45" s="93">
        <f>COUNTIF(車両台帳!$BJ$57:$BJ$2056,BI$3&amp;"-"&amp;9)</f>
        <v>0</v>
      </c>
      <c r="BJ45" s="93">
        <f>COUNTIF(車両台帳!$BJ$57:$BJ$2056,BJ$3&amp;"-"&amp;9)</f>
        <v>0</v>
      </c>
      <c r="BK45" s="93">
        <f>COUNTIF(車両台帳!$BJ$57:$BJ$2056,BK$3&amp;"-"&amp;9)</f>
        <v>0</v>
      </c>
      <c r="BL45" s="93">
        <f>COUNTIF(車両台帳!$BJ$57:$BJ$2056,BL$3&amp;"-"&amp;9)</f>
        <v>0</v>
      </c>
      <c r="BM45" s="93">
        <f>COUNTIF(車両台帳!$BJ$57:$BJ$2056,BM$3&amp;"-"&amp;9)</f>
        <v>0</v>
      </c>
      <c r="BN45" s="93">
        <f>COUNTIF(車両台帳!$BJ$57:$BJ$2056,BN$3&amp;"-"&amp;9)</f>
        <v>0</v>
      </c>
      <c r="BO45" s="93">
        <f>COUNTIF(車両台帳!$BJ$57:$BJ$2056,BO$3&amp;"-"&amp;9)</f>
        <v>0</v>
      </c>
      <c r="BP45" s="93">
        <f>COUNTIF(車両台帳!$BJ$57:$BJ$2056,BP$3&amp;"-"&amp;9)</f>
        <v>0</v>
      </c>
      <c r="BQ45" s="93">
        <f>COUNTIF(車両台帳!$BJ$57:$BJ$2056,BQ$3&amp;"-"&amp;9)</f>
        <v>0</v>
      </c>
      <c r="BR45" s="93">
        <f>COUNTIF(車両台帳!$BJ$57:$BJ$2056,BR$3&amp;"-"&amp;9)</f>
        <v>0</v>
      </c>
      <c r="BS45" s="93">
        <f>COUNTIF(車両台帳!$BJ$57:$BJ$2056,BS$3&amp;"-"&amp;9)</f>
        <v>0</v>
      </c>
      <c r="BT45" s="93">
        <f>COUNTIF(車両台帳!$BJ$57:$BJ$2056,BT$3&amp;"-"&amp;9)</f>
        <v>0</v>
      </c>
      <c r="BU45" s="93">
        <f>COUNTIF(車両台帳!$BJ$57:$BJ$2056,BU$3&amp;"-"&amp;9)</f>
        <v>0</v>
      </c>
      <c r="BV45" s="93">
        <f>COUNTIF(車両台帳!$BJ$57:$BJ$2056,BV$3&amp;"-"&amp;9)</f>
        <v>0</v>
      </c>
      <c r="BW45" s="93">
        <f>COUNTIF(車両台帳!$BJ$57:$BJ$2056,BW$3&amp;"-"&amp;9)</f>
        <v>0</v>
      </c>
      <c r="BX45" s="93">
        <f>COUNTIF(車両台帳!$BJ$57:$BJ$2056,BX$3&amp;"-"&amp;9)</f>
        <v>0</v>
      </c>
      <c r="BY45" s="93">
        <f>COUNTIF(車両台帳!$BJ$57:$BJ$2056,BY$3&amp;"-"&amp;9)</f>
        <v>0</v>
      </c>
      <c r="BZ45" s="93">
        <f>COUNTIF(車両台帳!$BJ$57:$BJ$2056,BZ$3&amp;"-"&amp;9)</f>
        <v>0</v>
      </c>
      <c r="CA45" s="93">
        <f>COUNTIF(車両台帳!$BJ$57:$BJ$2056,CA$3&amp;"-"&amp;9)</f>
        <v>0</v>
      </c>
      <c r="CB45" s="93">
        <f>COUNTIF(車両台帳!$BJ$57:$BJ$2056,CB$3&amp;"-"&amp;9)</f>
        <v>0</v>
      </c>
      <c r="CC45" s="93">
        <f>COUNTIF(車両台帳!$BJ$57:$BJ$2056,CC$3&amp;"-"&amp;9)</f>
        <v>0</v>
      </c>
      <c r="CD45" s="93">
        <f>COUNTIF(車両台帳!$BJ$57:$BJ$2056,CD$3&amp;"-"&amp;9)</f>
        <v>0</v>
      </c>
      <c r="CE45" s="93">
        <f>COUNTIF(車両台帳!$BJ$57:$BJ$2056,CE$3&amp;"-"&amp;9)</f>
        <v>0</v>
      </c>
      <c r="CF45" s="93">
        <f>COUNTIF(車両台帳!$BJ$57:$BJ$2056,CF$3&amp;"-"&amp;9)</f>
        <v>0</v>
      </c>
      <c r="CG45" s="93">
        <f>COUNTIF(車両台帳!$BJ$57:$BJ$2056,CG$3&amp;"-"&amp;9)</f>
        <v>0</v>
      </c>
      <c r="CH45" s="93">
        <f>COUNTIF(車両台帳!$BJ$57:$BJ$2056,CH$3&amp;"-"&amp;9)</f>
        <v>0</v>
      </c>
      <c r="CI45" s="93">
        <f>COUNTIF(車両台帳!$BJ$57:$BJ$2056,CI$3&amp;"-"&amp;9)</f>
        <v>0</v>
      </c>
      <c r="CJ45" s="93">
        <f>COUNTIF(車両台帳!$BJ$57:$BJ$2056,CJ$3&amp;"-"&amp;9)</f>
        <v>0</v>
      </c>
      <c r="CK45" s="93">
        <f>COUNTIF(車両台帳!$BJ$57:$BJ$2056,CK$3&amp;"-"&amp;9)</f>
        <v>0</v>
      </c>
      <c r="CL45" s="93">
        <f>COUNTIF(車両台帳!$BJ$57:$BJ$2056,CL$3&amp;"-"&amp;9)</f>
        <v>0</v>
      </c>
      <c r="CM45" s="93">
        <f>COUNTIF(車両台帳!$BJ$57:$BJ$2056,CM$3&amp;"-"&amp;9)</f>
        <v>0</v>
      </c>
      <c r="CN45" s="93">
        <f>COUNTIF(車両台帳!$BJ$57:$BJ$2056,CN$3&amp;"-"&amp;9)</f>
        <v>0</v>
      </c>
      <c r="CO45" s="93">
        <f>COUNTIF(車両台帳!$BJ$57:$BJ$2056,CO$3&amp;"-"&amp;9)</f>
        <v>0</v>
      </c>
      <c r="CP45" s="93">
        <f>COUNTIF(車両台帳!$BJ$57:$BJ$2056,CP$3&amp;"-"&amp;9)</f>
        <v>0</v>
      </c>
      <c r="CQ45" s="93">
        <f>COUNTIF(車両台帳!$BJ$57:$BJ$2056,CQ$3&amp;"-"&amp;9)</f>
        <v>0</v>
      </c>
      <c r="CR45" s="93">
        <f>COUNTIF(車両台帳!$BJ$57:$BJ$2056,CR$3&amp;"-"&amp;9)</f>
        <v>0</v>
      </c>
      <c r="CS45" s="93">
        <f>COUNTIF(車両台帳!$BJ$57:$BJ$2056,CS$3&amp;"-"&amp;9)</f>
        <v>0</v>
      </c>
      <c r="CT45" s="93">
        <f>COUNTIF(車両台帳!$BJ$57:$BJ$2056,CT$3&amp;"-"&amp;9)</f>
        <v>0</v>
      </c>
      <c r="CU45" s="93">
        <f>COUNTIF(車両台帳!$BJ$57:$BJ$2056,CU$3&amp;"-"&amp;9)</f>
        <v>0</v>
      </c>
      <c r="CV45" s="93">
        <f>COUNTIF(車両台帳!$BJ$57:$BJ$2056,CV$3&amp;"-"&amp;9)</f>
        <v>0</v>
      </c>
      <c r="CW45" s="93">
        <f>COUNTIF(車両台帳!$BJ$57:$BJ$2056,CW$3&amp;"-"&amp;9)</f>
        <v>0</v>
      </c>
      <c r="CX45" s="93">
        <f>COUNTIF(車両台帳!$BJ$57:$BJ$2056,CX$3&amp;"-"&amp;9)</f>
        <v>0</v>
      </c>
      <c r="CY45" s="93">
        <f>COUNTIF(車両台帳!$BJ$57:$BJ$2056,CY$3&amp;"-"&amp;9)</f>
        <v>0</v>
      </c>
      <c r="CZ45" s="93">
        <f>COUNTIF(車両台帳!$BJ$57:$BJ$2056,CZ$3&amp;"-"&amp;9)</f>
        <v>0</v>
      </c>
      <c r="DA45" s="93">
        <f>COUNTIF(車両台帳!$BJ$57:$BJ$2056,DA$3&amp;"-"&amp;9)</f>
        <v>0</v>
      </c>
      <c r="DB45" s="93">
        <f>COUNTIF(車両台帳!$BJ$57:$BJ$2056,DB$3&amp;"-"&amp;9)</f>
        <v>0</v>
      </c>
      <c r="DC45" s="93">
        <f>COUNTIF(車両台帳!$BJ$57:$BJ$2056,DC$3&amp;"-"&amp;9)</f>
        <v>0</v>
      </c>
      <c r="DD45" s="93">
        <f>COUNTIF(車両台帳!$BJ$57:$BJ$2056,DD$3&amp;"-"&amp;9)</f>
        <v>0</v>
      </c>
      <c r="DE45" s="93">
        <f>COUNTIF(車両台帳!$BJ$57:$BJ$2056,DE$3&amp;"-"&amp;9)</f>
        <v>0</v>
      </c>
      <c r="DF45" s="93">
        <f>COUNTIF(車両台帳!$BJ$57:$BJ$2056,DF$3&amp;"-"&amp;9)</f>
        <v>0</v>
      </c>
      <c r="DG45" s="93">
        <f>COUNTIF(車両台帳!$BJ$57:$BJ$2056,DG$3&amp;"-"&amp;9)</f>
        <v>0</v>
      </c>
      <c r="DH45" s="93">
        <f>COUNTIF(車両台帳!$BJ$57:$BJ$2056,DH$3&amp;"-"&amp;9)</f>
        <v>0</v>
      </c>
      <c r="DI45" s="93">
        <f>COUNTIF(車両台帳!$BJ$57:$BJ$2056,DI$3&amp;"-"&amp;9)</f>
        <v>0</v>
      </c>
      <c r="DJ45" s="93">
        <f>COUNTIF(車両台帳!$BJ$57:$BJ$2056,DJ$3&amp;"-"&amp;9)</f>
        <v>0</v>
      </c>
      <c r="DK45" s="93">
        <f>COUNTIF(車両台帳!$BJ$57:$BJ$2056,DK$3&amp;"-"&amp;9)</f>
        <v>0</v>
      </c>
      <c r="DL45" s="93">
        <f>COUNTIF(車両台帳!$BJ$57:$BJ$2056,DL$3&amp;"-"&amp;9)</f>
        <v>0</v>
      </c>
      <c r="DM45" s="93">
        <f>COUNTIF(車両台帳!$BJ$57:$BJ$2056,DM$3&amp;"-"&amp;9)</f>
        <v>0</v>
      </c>
      <c r="DN45" s="93">
        <f>COUNTIF(車両台帳!$BJ$57:$BJ$2056,DN$3&amp;"-"&amp;9)</f>
        <v>0</v>
      </c>
      <c r="DO45" s="93">
        <f>COUNTIF(車両台帳!$BJ$57:$BJ$2056,DO$3&amp;"-"&amp;9)</f>
        <v>0</v>
      </c>
      <c r="DP45" s="93">
        <f>COUNTIF(車両台帳!$BJ$57:$BJ$2056,DP$3&amp;"-"&amp;9)</f>
        <v>0</v>
      </c>
      <c r="DQ45" s="93">
        <f>COUNTIF(車両台帳!$BJ$57:$BJ$2056,DQ$3&amp;"-"&amp;9)</f>
        <v>0</v>
      </c>
      <c r="DR45" s="93">
        <f>COUNTIF(車両台帳!$BJ$57:$BJ$2056,DR$3&amp;"-"&amp;9)</f>
        <v>0</v>
      </c>
      <c r="DS45" s="93">
        <f>COUNTIF(車両台帳!$BJ$57:$BJ$2056,DS$3&amp;"-"&amp;9)</f>
        <v>0</v>
      </c>
      <c r="DT45" s="93">
        <f>COUNTIF(車両台帳!$BJ$57:$BJ$2056,DT$3&amp;"-"&amp;9)</f>
        <v>0</v>
      </c>
      <c r="DU45" s="93">
        <f>COUNTIF(車両台帳!$BJ$57:$BJ$2056,DU$3&amp;"-"&amp;9)</f>
        <v>0</v>
      </c>
      <c r="DV45" s="93">
        <f>COUNTIF(車両台帳!$BJ$57:$BJ$2056,DV$3&amp;"-"&amp;9)</f>
        <v>0</v>
      </c>
      <c r="DW45" s="93">
        <f>COUNTIF(車両台帳!$BJ$57:$BJ$2056,DW$3&amp;"-"&amp;9)</f>
        <v>0</v>
      </c>
      <c r="DX45" s="93">
        <f>COUNTIF(車両台帳!$BJ$57:$BJ$2056,DX$3&amp;"-"&amp;9)</f>
        <v>0</v>
      </c>
      <c r="DY45" s="93">
        <f>COUNTIF(車両台帳!$BJ$57:$BJ$2056,DY$3&amp;"-"&amp;9)</f>
        <v>0</v>
      </c>
      <c r="DZ45" s="93">
        <f>COUNTIF(車両台帳!$BJ$57:$BJ$2056,DZ$3&amp;"-"&amp;9)</f>
        <v>0</v>
      </c>
      <c r="EA45" s="93">
        <f>COUNTIF(車両台帳!$BJ$57:$BJ$2056,EA$3&amp;"-"&amp;9)</f>
        <v>0</v>
      </c>
      <c r="EB45" s="93">
        <f>COUNTIF(車両台帳!$BJ$57:$BJ$2056,EB$3&amp;"-"&amp;9)</f>
        <v>0</v>
      </c>
      <c r="EC45" s="93">
        <f>COUNTIF(車両台帳!$BJ$57:$BJ$2056,EC$3&amp;"-"&amp;9)</f>
        <v>0</v>
      </c>
      <c r="ED45" s="93">
        <f>COUNTIF(車両台帳!$BJ$57:$BJ$2056,ED$3&amp;"-"&amp;9)</f>
        <v>0</v>
      </c>
      <c r="EE45" s="93">
        <f>COUNTIF(車両台帳!$BJ$57:$BJ$2056,EE$3&amp;"-"&amp;9)</f>
        <v>0</v>
      </c>
      <c r="EF45" s="93">
        <f>COUNTIF(車両台帳!$BJ$57:$BJ$2056,EF$3&amp;"-"&amp;9)</f>
        <v>0</v>
      </c>
      <c r="EG45" s="93">
        <f>COUNTIF(車両台帳!$BJ$57:$BJ$2056,EG$3&amp;"-"&amp;9)</f>
        <v>0</v>
      </c>
      <c r="EH45" s="93">
        <f>COUNTIF(車両台帳!$BJ$57:$BJ$2056,EH$3&amp;"-"&amp;9)</f>
        <v>0</v>
      </c>
      <c r="EI45" s="93">
        <f>COUNTIF(車両台帳!$BJ$57:$BJ$2056,EI$3&amp;"-"&amp;9)</f>
        <v>0</v>
      </c>
      <c r="EJ45" s="93">
        <f>COUNTIF(車両台帳!$BJ$57:$BJ$2056,EJ$3&amp;"-"&amp;9)</f>
        <v>0</v>
      </c>
      <c r="EK45" s="93">
        <f>COUNTIF(車両台帳!$BJ$57:$BJ$2056,EK$3&amp;"-"&amp;9)</f>
        <v>0</v>
      </c>
      <c r="EL45" s="93">
        <f>COUNTIF(車両台帳!$BJ$57:$BJ$2056,EL$3&amp;"-"&amp;9)</f>
        <v>0</v>
      </c>
      <c r="EM45" s="93">
        <f>COUNTIF(車両台帳!$BJ$57:$BJ$2056,EM$3&amp;"-"&amp;9)</f>
        <v>0</v>
      </c>
      <c r="EN45" s="93">
        <f>COUNTIF(車両台帳!$BJ$57:$BJ$2056,EN$3&amp;"-"&amp;9)</f>
        <v>0</v>
      </c>
      <c r="EO45" s="93">
        <f>COUNTIF(車両台帳!$BJ$57:$BJ$2056,EO$3&amp;"-"&amp;9)</f>
        <v>0</v>
      </c>
      <c r="EP45" s="93">
        <f>COUNTIF(車両台帳!$BJ$57:$BJ$2056,EP$3&amp;"-"&amp;9)</f>
        <v>0</v>
      </c>
      <c r="EQ45" s="93">
        <f>COUNTIF(車両台帳!$BJ$57:$BJ$2056,EQ$3&amp;"-"&amp;9)</f>
        <v>0</v>
      </c>
      <c r="ER45" s="93">
        <f>COUNTIF(車両台帳!$BJ$57:$BJ$2056,ER$3&amp;"-"&amp;9)</f>
        <v>0</v>
      </c>
      <c r="ES45" s="93">
        <f>COUNTIF(車両台帳!$BJ$57:$BJ$2056,ES$3&amp;"-"&amp;9)</f>
        <v>0</v>
      </c>
      <c r="ET45" s="93">
        <f>COUNTIF(車両台帳!$BJ$57:$BJ$2056,ET$3&amp;"-"&amp;9)</f>
        <v>0</v>
      </c>
      <c r="EU45" s="93">
        <f>COUNTIF(車両台帳!$BJ$57:$BJ$2056,EU$3&amp;"-"&amp;9)</f>
        <v>0</v>
      </c>
      <c r="EV45" s="93">
        <f>COUNTIF(車両台帳!$BJ$57:$BJ$2056,EV$3&amp;"-"&amp;9)</f>
        <v>0</v>
      </c>
      <c r="EW45" s="93">
        <f>COUNTIF(車両台帳!$BJ$57:$BJ$2056,EW$3&amp;"-"&amp;9)</f>
        <v>0</v>
      </c>
      <c r="EX45" s="93">
        <f>COUNTIF(車両台帳!$BJ$57:$BJ$2056,EX$3&amp;"-"&amp;9)</f>
        <v>0</v>
      </c>
      <c r="EY45" s="93">
        <f>COUNTIF(車両台帳!$BJ$57:$BJ$2056,EY$3&amp;"-"&amp;9)</f>
        <v>0</v>
      </c>
      <c r="EZ45" s="93">
        <f>COUNTIF(車両台帳!$BJ$57:$BJ$2056,EZ$3&amp;"-"&amp;9)</f>
        <v>0</v>
      </c>
      <c r="FA45" s="93">
        <f>COUNTIF(車両台帳!$BJ$57:$BJ$2056,FA$3&amp;"-"&amp;9)</f>
        <v>0</v>
      </c>
      <c r="FB45" s="93">
        <f>COUNTIF(車両台帳!$BJ$57:$BJ$2056,FB$3&amp;"-"&amp;9)</f>
        <v>0</v>
      </c>
      <c r="FC45" s="93">
        <f>COUNTIF(車両台帳!$BJ$57:$BJ$2056,FC$3&amp;"-"&amp;9)</f>
        <v>0</v>
      </c>
      <c r="FD45" s="93">
        <f>COUNTIF(車両台帳!$BJ$57:$BJ$2056,FD$3&amp;"-"&amp;9)</f>
        <v>0</v>
      </c>
      <c r="FE45" s="93">
        <f>COUNTIF(車両台帳!$BJ$57:$BJ$2056,FE$3&amp;"-"&amp;9)</f>
        <v>0</v>
      </c>
      <c r="FF45" s="93">
        <f>COUNTIF(車両台帳!$BJ$57:$BJ$2056,FF$3&amp;"-"&amp;9)</f>
        <v>0</v>
      </c>
      <c r="FG45" s="93">
        <f>COUNTIF(車両台帳!$BJ$57:$BJ$2056,FG$3&amp;"-"&amp;9)</f>
        <v>0</v>
      </c>
      <c r="FH45" s="93">
        <f>COUNTIF(車両台帳!$BJ$57:$BJ$2056,FH$3&amp;"-"&amp;9)</f>
        <v>0</v>
      </c>
      <c r="FI45" s="93">
        <f>COUNTIF(車両台帳!$BJ$57:$BJ$2056,FI$3&amp;"-"&amp;9)</f>
        <v>0</v>
      </c>
      <c r="FJ45" s="93">
        <f>COUNTIF(車両台帳!$BJ$57:$BJ$2056,FJ$3&amp;"-"&amp;9)</f>
        <v>0</v>
      </c>
      <c r="FK45" s="93">
        <f>COUNTIF(車両台帳!$BJ$57:$BJ$2056,FK$3&amp;"-"&amp;9)</f>
        <v>0</v>
      </c>
      <c r="FL45" s="93">
        <f>COUNTIF(車両台帳!$BJ$57:$BJ$2056,FL$3&amp;"-"&amp;9)</f>
        <v>0</v>
      </c>
      <c r="FM45" s="93">
        <f>COUNTIF(車両台帳!$BJ$57:$BJ$2056,FM$3&amp;"-"&amp;9)</f>
        <v>0</v>
      </c>
      <c r="FN45" s="93">
        <f>COUNTIF(車両台帳!$BJ$57:$BJ$2056,FN$3&amp;"-"&amp;9)</f>
        <v>0</v>
      </c>
      <c r="FO45" s="93">
        <f>COUNTIF(車両台帳!$BJ$57:$BJ$2056,FO$3&amp;"-"&amp;9)</f>
        <v>0</v>
      </c>
      <c r="FP45" s="93">
        <f>COUNTIF(車両台帳!$BJ$57:$BJ$2056,FP$3&amp;"-"&amp;9)</f>
        <v>0</v>
      </c>
      <c r="FQ45" s="93">
        <f>COUNTIF(車両台帳!$BJ$57:$BJ$2056,FQ$3&amp;"-"&amp;9)</f>
        <v>0</v>
      </c>
      <c r="FR45" s="93">
        <f>COUNTIF(車両台帳!$BJ$57:$BJ$2056,FR$3&amp;"-"&amp;9)</f>
        <v>0</v>
      </c>
      <c r="FS45" s="93">
        <f>COUNTIF(車両台帳!$BJ$57:$BJ$2056,FS$3&amp;"-"&amp;9)</f>
        <v>0</v>
      </c>
      <c r="FT45" s="93">
        <f>COUNTIF(車両台帳!$BJ$57:$BJ$2056,FT$3&amp;"-"&amp;9)</f>
        <v>0</v>
      </c>
      <c r="FU45" s="93">
        <f>COUNTIF(車両台帳!$BJ$57:$BJ$2056,FU$3&amp;"-"&amp;9)</f>
        <v>0</v>
      </c>
      <c r="FV45" s="93">
        <f>COUNTIF(車両台帳!$BJ$57:$BJ$2056,FV$3&amp;"-"&amp;9)</f>
        <v>0</v>
      </c>
      <c r="FW45" s="93">
        <f>COUNTIF(車両台帳!$BJ$57:$BJ$2056,FW$3&amp;"-"&amp;9)</f>
        <v>0</v>
      </c>
      <c r="FX45" s="93">
        <f>COUNTIF(車両台帳!$BJ$57:$BJ$2056,FX$3&amp;"-"&amp;9)</f>
        <v>0</v>
      </c>
      <c r="FY45" s="93">
        <f>COUNTIF(車両台帳!$BJ$57:$BJ$2056,FY$3&amp;"-"&amp;9)</f>
        <v>0</v>
      </c>
      <c r="FZ45" s="93">
        <f>COUNTIF(車両台帳!$BJ$57:$BJ$2056,FZ$3&amp;"-"&amp;9)</f>
        <v>0</v>
      </c>
      <c r="GA45" s="93">
        <f>COUNTIF(車両台帳!$BJ$57:$BJ$2056,GA$3&amp;"-"&amp;9)</f>
        <v>0</v>
      </c>
      <c r="GB45" s="93">
        <f>COUNTIF(車両台帳!$BJ$57:$BJ$2056,GB$3&amp;"-"&amp;9)</f>
        <v>0</v>
      </c>
      <c r="GC45" s="93">
        <f>COUNTIF(車両台帳!$BJ$57:$BJ$2056,GC$3&amp;"-"&amp;9)</f>
        <v>0</v>
      </c>
      <c r="GD45" s="93">
        <f>COUNTIF(車両台帳!$BJ$57:$BJ$2056,GD$3&amp;"-"&amp;9)</f>
        <v>0</v>
      </c>
      <c r="GE45" s="93">
        <f>COUNTIF(車両台帳!$BJ$57:$BJ$2056,GE$3&amp;"-"&amp;9)</f>
        <v>0</v>
      </c>
      <c r="GF45" s="93">
        <f>COUNTIF(車両台帳!$BJ$57:$BJ$2056,GF$3&amp;"-"&amp;9)</f>
        <v>0</v>
      </c>
      <c r="GG45" s="93">
        <f>COUNTIF(車両台帳!$BJ$57:$BJ$2056,GG$3&amp;"-"&amp;9)</f>
        <v>0</v>
      </c>
      <c r="GH45" s="93">
        <f>COUNTIF(車両台帳!$BJ$57:$BJ$2056,GH$3&amp;"-"&amp;9)</f>
        <v>0</v>
      </c>
      <c r="GI45" s="93">
        <f>COUNTIF(車両台帳!$BJ$57:$BJ$2056,GI$3&amp;"-"&amp;9)</f>
        <v>0</v>
      </c>
      <c r="GJ45" s="93">
        <f>COUNTIF(車両台帳!$BJ$57:$BJ$2056,GJ$3&amp;"-"&amp;9)</f>
        <v>0</v>
      </c>
      <c r="GK45" s="93">
        <f>COUNTIF(車両台帳!$BJ$57:$BJ$2056,GK$3&amp;"-"&amp;9)</f>
        <v>0</v>
      </c>
      <c r="GL45" s="93">
        <f>COUNTIF(車両台帳!$BJ$57:$BJ$2056,GL$3&amp;"-"&amp;9)</f>
        <v>0</v>
      </c>
      <c r="GM45" s="93">
        <f>COUNTIF(車両台帳!$BJ$57:$BJ$2056,GM$3&amp;"-"&amp;9)</f>
        <v>0</v>
      </c>
      <c r="GN45" s="93">
        <f>COUNTIF(車両台帳!$BJ$57:$BJ$2056,GN$3&amp;"-"&amp;9)</f>
        <v>0</v>
      </c>
      <c r="GO45" s="93">
        <f>COUNTIF(車両台帳!$BJ$57:$BJ$2056,GO$3&amp;"-"&amp;9)</f>
        <v>0</v>
      </c>
      <c r="GP45" s="93">
        <f>COUNTIF(車両台帳!$BJ$57:$BJ$2056,GP$3&amp;"-"&amp;9)</f>
        <v>0</v>
      </c>
      <c r="GQ45" s="93">
        <f>COUNTIF(車両台帳!$BJ$57:$BJ$2056,GQ$3&amp;"-"&amp;9)</f>
        <v>0</v>
      </c>
      <c r="GR45" s="93">
        <f>COUNTIF(車両台帳!$BJ$57:$BJ$2056,GR$3&amp;"-"&amp;9)</f>
        <v>0</v>
      </c>
      <c r="GS45" s="93">
        <f>COUNTIF(車両台帳!$BJ$57:$BJ$2056,GS$3&amp;"-"&amp;9)</f>
        <v>0</v>
      </c>
      <c r="GT45" s="93">
        <f>COUNTIF(車両台帳!$BJ$57:$BJ$2056,GT$3&amp;"-"&amp;9)</f>
        <v>0</v>
      </c>
      <c r="GU45" s="93">
        <f>COUNTIF(車両台帳!$BJ$57:$BJ$2056,GU$3&amp;"-"&amp;9)</f>
        <v>0</v>
      </c>
    </row>
    <row r="46" spans="2:203" ht="14.25" thickTop="1">
      <c r="B46" s="314">
        <f>SUM(D46:GU46)</f>
        <v>0</v>
      </c>
      <c r="C46" s="94" t="s">
        <v>1638</v>
      </c>
      <c r="D46" s="94">
        <f>SUM(D35:D45)</f>
        <v>0</v>
      </c>
      <c r="E46" s="94">
        <f t="shared" ref="E46:BP46" si="0">SUM(E35:E45)</f>
        <v>0</v>
      </c>
      <c r="F46" s="94">
        <f t="shared" si="0"/>
        <v>0</v>
      </c>
      <c r="G46" s="94">
        <f t="shared" si="0"/>
        <v>0</v>
      </c>
      <c r="H46" s="94">
        <f t="shared" si="0"/>
        <v>0</v>
      </c>
      <c r="I46" s="94">
        <f t="shared" si="0"/>
        <v>0</v>
      </c>
      <c r="J46" s="94">
        <f t="shared" si="0"/>
        <v>0</v>
      </c>
      <c r="K46" s="94">
        <f t="shared" si="0"/>
        <v>0</v>
      </c>
      <c r="L46" s="94">
        <f t="shared" si="0"/>
        <v>0</v>
      </c>
      <c r="M46" s="94">
        <f t="shared" si="0"/>
        <v>0</v>
      </c>
      <c r="N46" s="94">
        <f t="shared" si="0"/>
        <v>0</v>
      </c>
      <c r="O46" s="94">
        <f t="shared" si="0"/>
        <v>0</v>
      </c>
      <c r="P46" s="94">
        <f t="shared" si="0"/>
        <v>0</v>
      </c>
      <c r="Q46" s="94">
        <f t="shared" si="0"/>
        <v>0</v>
      </c>
      <c r="R46" s="94">
        <f t="shared" si="0"/>
        <v>0</v>
      </c>
      <c r="S46" s="94">
        <f t="shared" si="0"/>
        <v>0</v>
      </c>
      <c r="T46" s="94">
        <f t="shared" si="0"/>
        <v>0</v>
      </c>
      <c r="U46" s="94">
        <f t="shared" si="0"/>
        <v>0</v>
      </c>
      <c r="V46" s="94">
        <f t="shared" si="0"/>
        <v>0</v>
      </c>
      <c r="W46" s="94">
        <f t="shared" si="0"/>
        <v>0</v>
      </c>
      <c r="X46" s="94">
        <f t="shared" si="0"/>
        <v>0</v>
      </c>
      <c r="Y46" s="94">
        <f t="shared" si="0"/>
        <v>0</v>
      </c>
      <c r="Z46" s="94">
        <f t="shared" si="0"/>
        <v>0</v>
      </c>
      <c r="AA46" s="94">
        <f t="shared" si="0"/>
        <v>0</v>
      </c>
      <c r="AB46" s="94">
        <f t="shared" si="0"/>
        <v>0</v>
      </c>
      <c r="AC46" s="94">
        <f t="shared" si="0"/>
        <v>0</v>
      </c>
      <c r="AD46" s="94">
        <f t="shared" si="0"/>
        <v>0</v>
      </c>
      <c r="AE46" s="94">
        <f t="shared" si="0"/>
        <v>0</v>
      </c>
      <c r="AF46" s="94">
        <f t="shared" si="0"/>
        <v>0</v>
      </c>
      <c r="AG46" s="94">
        <f t="shared" si="0"/>
        <v>0</v>
      </c>
      <c r="AH46" s="94">
        <f t="shared" si="0"/>
        <v>0</v>
      </c>
      <c r="AI46" s="94">
        <f t="shared" si="0"/>
        <v>0</v>
      </c>
      <c r="AJ46" s="94">
        <f t="shared" si="0"/>
        <v>0</v>
      </c>
      <c r="AK46" s="94">
        <f t="shared" si="0"/>
        <v>0</v>
      </c>
      <c r="AL46" s="94">
        <f t="shared" si="0"/>
        <v>0</v>
      </c>
      <c r="AM46" s="94">
        <f t="shared" si="0"/>
        <v>0</v>
      </c>
      <c r="AN46" s="94">
        <f t="shared" si="0"/>
        <v>0</v>
      </c>
      <c r="AO46" s="94">
        <f t="shared" si="0"/>
        <v>0</v>
      </c>
      <c r="AP46" s="94">
        <f t="shared" si="0"/>
        <v>0</v>
      </c>
      <c r="AQ46" s="94">
        <f t="shared" si="0"/>
        <v>0</v>
      </c>
      <c r="AR46" s="94">
        <f t="shared" si="0"/>
        <v>0</v>
      </c>
      <c r="AS46" s="94">
        <f t="shared" si="0"/>
        <v>0</v>
      </c>
      <c r="AT46" s="94">
        <f t="shared" si="0"/>
        <v>0</v>
      </c>
      <c r="AU46" s="94">
        <f t="shared" si="0"/>
        <v>0</v>
      </c>
      <c r="AV46" s="94">
        <f t="shared" si="0"/>
        <v>0</v>
      </c>
      <c r="AW46" s="94">
        <f t="shared" si="0"/>
        <v>0</v>
      </c>
      <c r="AX46" s="94">
        <f t="shared" si="0"/>
        <v>0</v>
      </c>
      <c r="AY46" s="94">
        <f t="shared" si="0"/>
        <v>0</v>
      </c>
      <c r="AZ46" s="94">
        <f t="shared" si="0"/>
        <v>0</v>
      </c>
      <c r="BA46" s="94">
        <f t="shared" si="0"/>
        <v>0</v>
      </c>
      <c r="BB46" s="94">
        <f t="shared" si="0"/>
        <v>0</v>
      </c>
      <c r="BC46" s="94">
        <f t="shared" si="0"/>
        <v>0</v>
      </c>
      <c r="BD46" s="94">
        <f t="shared" si="0"/>
        <v>0</v>
      </c>
      <c r="BE46" s="94">
        <f t="shared" si="0"/>
        <v>0</v>
      </c>
      <c r="BF46" s="94">
        <f t="shared" si="0"/>
        <v>0</v>
      </c>
      <c r="BG46" s="94">
        <f t="shared" si="0"/>
        <v>0</v>
      </c>
      <c r="BH46" s="94">
        <f t="shared" si="0"/>
        <v>0</v>
      </c>
      <c r="BI46" s="94">
        <f t="shared" si="0"/>
        <v>0</v>
      </c>
      <c r="BJ46" s="94">
        <f t="shared" si="0"/>
        <v>0</v>
      </c>
      <c r="BK46" s="94">
        <f t="shared" si="0"/>
        <v>0</v>
      </c>
      <c r="BL46" s="94">
        <f t="shared" si="0"/>
        <v>0</v>
      </c>
      <c r="BM46" s="94">
        <f t="shared" si="0"/>
        <v>0</v>
      </c>
      <c r="BN46" s="94">
        <f t="shared" si="0"/>
        <v>0</v>
      </c>
      <c r="BO46" s="94">
        <f t="shared" si="0"/>
        <v>0</v>
      </c>
      <c r="BP46" s="94">
        <f t="shared" si="0"/>
        <v>0</v>
      </c>
      <c r="BQ46" s="94">
        <f t="shared" ref="BQ46:EB46" si="1">SUM(BQ35:BQ45)</f>
        <v>0</v>
      </c>
      <c r="BR46" s="94">
        <f t="shared" si="1"/>
        <v>0</v>
      </c>
      <c r="BS46" s="94">
        <f t="shared" si="1"/>
        <v>0</v>
      </c>
      <c r="BT46" s="94">
        <f t="shared" si="1"/>
        <v>0</v>
      </c>
      <c r="BU46" s="94">
        <f t="shared" si="1"/>
        <v>0</v>
      </c>
      <c r="BV46" s="94">
        <f t="shared" si="1"/>
        <v>0</v>
      </c>
      <c r="BW46" s="94">
        <f t="shared" si="1"/>
        <v>0</v>
      </c>
      <c r="BX46" s="94">
        <f t="shared" si="1"/>
        <v>0</v>
      </c>
      <c r="BY46" s="94">
        <f t="shared" si="1"/>
        <v>0</v>
      </c>
      <c r="BZ46" s="94">
        <f t="shared" si="1"/>
        <v>0</v>
      </c>
      <c r="CA46" s="94">
        <f t="shared" si="1"/>
        <v>0</v>
      </c>
      <c r="CB46" s="94">
        <f t="shared" si="1"/>
        <v>0</v>
      </c>
      <c r="CC46" s="94">
        <f t="shared" si="1"/>
        <v>0</v>
      </c>
      <c r="CD46" s="94">
        <f t="shared" si="1"/>
        <v>0</v>
      </c>
      <c r="CE46" s="94">
        <f t="shared" si="1"/>
        <v>0</v>
      </c>
      <c r="CF46" s="94">
        <f t="shared" si="1"/>
        <v>0</v>
      </c>
      <c r="CG46" s="94">
        <f t="shared" si="1"/>
        <v>0</v>
      </c>
      <c r="CH46" s="94">
        <f t="shared" si="1"/>
        <v>0</v>
      </c>
      <c r="CI46" s="94">
        <f t="shared" si="1"/>
        <v>0</v>
      </c>
      <c r="CJ46" s="94">
        <f t="shared" si="1"/>
        <v>0</v>
      </c>
      <c r="CK46" s="94">
        <f t="shared" si="1"/>
        <v>0</v>
      </c>
      <c r="CL46" s="94">
        <f t="shared" si="1"/>
        <v>0</v>
      </c>
      <c r="CM46" s="94">
        <f t="shared" si="1"/>
        <v>0</v>
      </c>
      <c r="CN46" s="94">
        <f t="shared" si="1"/>
        <v>0</v>
      </c>
      <c r="CO46" s="94">
        <f t="shared" si="1"/>
        <v>0</v>
      </c>
      <c r="CP46" s="94">
        <f t="shared" si="1"/>
        <v>0</v>
      </c>
      <c r="CQ46" s="94">
        <f t="shared" si="1"/>
        <v>0</v>
      </c>
      <c r="CR46" s="94">
        <f t="shared" si="1"/>
        <v>0</v>
      </c>
      <c r="CS46" s="94">
        <f t="shared" si="1"/>
        <v>0</v>
      </c>
      <c r="CT46" s="94">
        <f t="shared" si="1"/>
        <v>0</v>
      </c>
      <c r="CU46" s="94">
        <f t="shared" si="1"/>
        <v>0</v>
      </c>
      <c r="CV46" s="94">
        <f t="shared" si="1"/>
        <v>0</v>
      </c>
      <c r="CW46" s="94">
        <f t="shared" si="1"/>
        <v>0</v>
      </c>
      <c r="CX46" s="94">
        <f t="shared" si="1"/>
        <v>0</v>
      </c>
      <c r="CY46" s="94">
        <f t="shared" si="1"/>
        <v>0</v>
      </c>
      <c r="CZ46" s="94">
        <f t="shared" si="1"/>
        <v>0</v>
      </c>
      <c r="DA46" s="94">
        <f t="shared" si="1"/>
        <v>0</v>
      </c>
      <c r="DB46" s="94">
        <f t="shared" si="1"/>
        <v>0</v>
      </c>
      <c r="DC46" s="94">
        <f t="shared" si="1"/>
        <v>0</v>
      </c>
      <c r="DD46" s="94">
        <f t="shared" si="1"/>
        <v>0</v>
      </c>
      <c r="DE46" s="94">
        <f t="shared" si="1"/>
        <v>0</v>
      </c>
      <c r="DF46" s="94">
        <f t="shared" si="1"/>
        <v>0</v>
      </c>
      <c r="DG46" s="94">
        <f t="shared" si="1"/>
        <v>0</v>
      </c>
      <c r="DH46" s="94">
        <f t="shared" si="1"/>
        <v>0</v>
      </c>
      <c r="DI46" s="94">
        <f t="shared" si="1"/>
        <v>0</v>
      </c>
      <c r="DJ46" s="94">
        <f t="shared" si="1"/>
        <v>0</v>
      </c>
      <c r="DK46" s="94">
        <f t="shared" si="1"/>
        <v>0</v>
      </c>
      <c r="DL46" s="94">
        <f t="shared" si="1"/>
        <v>0</v>
      </c>
      <c r="DM46" s="94">
        <f t="shared" si="1"/>
        <v>0</v>
      </c>
      <c r="DN46" s="94">
        <f t="shared" si="1"/>
        <v>0</v>
      </c>
      <c r="DO46" s="94">
        <f t="shared" si="1"/>
        <v>0</v>
      </c>
      <c r="DP46" s="94">
        <f t="shared" si="1"/>
        <v>0</v>
      </c>
      <c r="DQ46" s="94">
        <f t="shared" si="1"/>
        <v>0</v>
      </c>
      <c r="DR46" s="94">
        <f t="shared" si="1"/>
        <v>0</v>
      </c>
      <c r="DS46" s="94">
        <f t="shared" si="1"/>
        <v>0</v>
      </c>
      <c r="DT46" s="94">
        <f t="shared" si="1"/>
        <v>0</v>
      </c>
      <c r="DU46" s="94">
        <f t="shared" si="1"/>
        <v>0</v>
      </c>
      <c r="DV46" s="94">
        <f t="shared" si="1"/>
        <v>0</v>
      </c>
      <c r="DW46" s="94">
        <f t="shared" si="1"/>
        <v>0</v>
      </c>
      <c r="DX46" s="94">
        <f t="shared" si="1"/>
        <v>0</v>
      </c>
      <c r="DY46" s="94">
        <f t="shared" si="1"/>
        <v>0</v>
      </c>
      <c r="DZ46" s="94">
        <f t="shared" si="1"/>
        <v>0</v>
      </c>
      <c r="EA46" s="94">
        <f t="shared" si="1"/>
        <v>0</v>
      </c>
      <c r="EB46" s="94">
        <f t="shared" si="1"/>
        <v>0</v>
      </c>
      <c r="EC46" s="94">
        <f t="shared" ref="EC46:FH46" si="2">SUM(EC35:EC45)</f>
        <v>0</v>
      </c>
      <c r="ED46" s="94">
        <f t="shared" si="2"/>
        <v>0</v>
      </c>
      <c r="EE46" s="94">
        <f t="shared" si="2"/>
        <v>0</v>
      </c>
      <c r="EF46" s="94">
        <f t="shared" si="2"/>
        <v>0</v>
      </c>
      <c r="EG46" s="94">
        <f t="shared" si="2"/>
        <v>0</v>
      </c>
      <c r="EH46" s="94">
        <f t="shared" si="2"/>
        <v>0</v>
      </c>
      <c r="EI46" s="94">
        <f t="shared" si="2"/>
        <v>0</v>
      </c>
      <c r="EJ46" s="94">
        <f t="shared" si="2"/>
        <v>0</v>
      </c>
      <c r="EK46" s="94">
        <f t="shared" si="2"/>
        <v>0</v>
      </c>
      <c r="EL46" s="94">
        <f t="shared" si="2"/>
        <v>0</v>
      </c>
      <c r="EM46" s="94">
        <f t="shared" si="2"/>
        <v>0</v>
      </c>
      <c r="EN46" s="94">
        <f t="shared" si="2"/>
        <v>0</v>
      </c>
      <c r="EO46" s="94">
        <f t="shared" si="2"/>
        <v>0</v>
      </c>
      <c r="EP46" s="94">
        <f t="shared" si="2"/>
        <v>0</v>
      </c>
      <c r="EQ46" s="94">
        <f t="shared" si="2"/>
        <v>0</v>
      </c>
      <c r="ER46" s="94">
        <f t="shared" si="2"/>
        <v>0</v>
      </c>
      <c r="ES46" s="94">
        <f t="shared" si="2"/>
        <v>0</v>
      </c>
      <c r="ET46" s="94">
        <f t="shared" si="2"/>
        <v>0</v>
      </c>
      <c r="EU46" s="94">
        <f t="shared" si="2"/>
        <v>0</v>
      </c>
      <c r="EV46" s="94">
        <f t="shared" ref="EV46:FG46" si="3">SUM(EV35:EV45)</f>
        <v>0</v>
      </c>
      <c r="EW46" s="94">
        <f t="shared" si="3"/>
        <v>0</v>
      </c>
      <c r="EX46" s="94">
        <f t="shared" si="3"/>
        <v>0</v>
      </c>
      <c r="EY46" s="94">
        <f t="shared" si="3"/>
        <v>0</v>
      </c>
      <c r="EZ46" s="94">
        <f t="shared" si="3"/>
        <v>0</v>
      </c>
      <c r="FA46" s="94">
        <f t="shared" si="3"/>
        <v>0</v>
      </c>
      <c r="FB46" s="94">
        <f t="shared" si="3"/>
        <v>0</v>
      </c>
      <c r="FC46" s="94">
        <f t="shared" si="3"/>
        <v>0</v>
      </c>
      <c r="FD46" s="94">
        <f t="shared" si="3"/>
        <v>0</v>
      </c>
      <c r="FE46" s="94">
        <f t="shared" si="3"/>
        <v>0</v>
      </c>
      <c r="FF46" s="94">
        <f t="shared" si="3"/>
        <v>0</v>
      </c>
      <c r="FG46" s="94">
        <f t="shared" si="3"/>
        <v>0</v>
      </c>
      <c r="FH46" s="94">
        <f t="shared" si="2"/>
        <v>0</v>
      </c>
      <c r="FI46" s="94">
        <f t="shared" ref="FI46:GL46" si="4">SUM(FI35:FI45)</f>
        <v>0</v>
      </c>
      <c r="FJ46" s="94">
        <f t="shared" si="4"/>
        <v>0</v>
      </c>
      <c r="FK46" s="94">
        <f t="shared" si="4"/>
        <v>0</v>
      </c>
      <c r="FL46" s="94">
        <f t="shared" si="4"/>
        <v>0</v>
      </c>
      <c r="FM46" s="94">
        <f t="shared" si="4"/>
        <v>0</v>
      </c>
      <c r="FN46" s="94">
        <f t="shared" si="4"/>
        <v>0</v>
      </c>
      <c r="FO46" s="94">
        <f t="shared" si="4"/>
        <v>0</v>
      </c>
      <c r="FP46" s="94">
        <f t="shared" si="4"/>
        <v>0</v>
      </c>
      <c r="FQ46" s="94">
        <f t="shared" si="4"/>
        <v>0</v>
      </c>
      <c r="FR46" s="94">
        <f t="shared" si="4"/>
        <v>0</v>
      </c>
      <c r="FS46" s="94">
        <f t="shared" si="4"/>
        <v>0</v>
      </c>
      <c r="FT46" s="94">
        <f t="shared" si="4"/>
        <v>0</v>
      </c>
      <c r="FU46" s="94">
        <f t="shared" si="4"/>
        <v>0</v>
      </c>
      <c r="FV46" s="94">
        <f t="shared" si="4"/>
        <v>0</v>
      </c>
      <c r="FW46" s="94">
        <f t="shared" si="4"/>
        <v>0</v>
      </c>
      <c r="FX46" s="94">
        <f t="shared" si="4"/>
        <v>0</v>
      </c>
      <c r="FY46" s="94">
        <f t="shared" si="4"/>
        <v>0</v>
      </c>
      <c r="FZ46" s="94">
        <f t="shared" si="4"/>
        <v>0</v>
      </c>
      <c r="GA46" s="94">
        <f t="shared" si="4"/>
        <v>0</v>
      </c>
      <c r="GB46" s="94">
        <f t="shared" si="4"/>
        <v>0</v>
      </c>
      <c r="GC46" s="94">
        <f t="shared" si="4"/>
        <v>0</v>
      </c>
      <c r="GD46" s="94">
        <f t="shared" si="4"/>
        <v>0</v>
      </c>
      <c r="GE46" s="94">
        <f t="shared" si="4"/>
        <v>0</v>
      </c>
      <c r="GF46" s="94">
        <f t="shared" si="4"/>
        <v>0</v>
      </c>
      <c r="GG46" s="94">
        <f t="shared" si="4"/>
        <v>0</v>
      </c>
      <c r="GH46" s="94">
        <f t="shared" si="4"/>
        <v>0</v>
      </c>
      <c r="GI46" s="94">
        <f t="shared" si="4"/>
        <v>0</v>
      </c>
      <c r="GJ46" s="94">
        <f t="shared" si="4"/>
        <v>0</v>
      </c>
      <c r="GK46" s="94">
        <f t="shared" si="4"/>
        <v>0</v>
      </c>
      <c r="GL46" s="94">
        <f t="shared" si="4"/>
        <v>0</v>
      </c>
      <c r="GM46" s="94">
        <f t="shared" ref="GM46:GT46" si="5">SUM(GM35:GM45)</f>
        <v>0</v>
      </c>
      <c r="GN46" s="94">
        <f t="shared" si="5"/>
        <v>0</v>
      </c>
      <c r="GO46" s="94">
        <f t="shared" si="5"/>
        <v>0</v>
      </c>
      <c r="GP46" s="94">
        <f t="shared" si="5"/>
        <v>0</v>
      </c>
      <c r="GQ46" s="94">
        <f t="shared" si="5"/>
        <v>0</v>
      </c>
      <c r="GR46" s="94">
        <f t="shared" si="5"/>
        <v>0</v>
      </c>
      <c r="GS46" s="94">
        <f t="shared" si="5"/>
        <v>0</v>
      </c>
      <c r="GT46" s="94">
        <f t="shared" si="5"/>
        <v>0</v>
      </c>
      <c r="GU46" s="94">
        <f>SUM(GU35:GU45)</f>
        <v>0</v>
      </c>
    </row>
    <row r="48" spans="2:203">
      <c r="B48" s="682" t="s">
        <v>2447</v>
      </c>
      <c r="C48" s="683">
        <f>表紙!U42</f>
        <v>0</v>
      </c>
    </row>
    <row r="49" spans="1:3">
      <c r="B49" s="682" t="s">
        <v>2448</v>
      </c>
      <c r="C49" s="683">
        <f>SUM(C10:C13)</f>
        <v>0</v>
      </c>
    </row>
    <row r="50" spans="1:3">
      <c r="B50" s="682" t="s">
        <v>2449</v>
      </c>
      <c r="C50" s="683">
        <f>SUM(C14:C17)</f>
        <v>0</v>
      </c>
    </row>
    <row r="51" spans="1:3">
      <c r="B51" s="682" t="s">
        <v>2450</v>
      </c>
      <c r="C51" s="683">
        <f>SUM(C18:C21)</f>
        <v>0</v>
      </c>
    </row>
    <row r="52" spans="1:3">
      <c r="B52" s="682" t="s">
        <v>2451</v>
      </c>
      <c r="C52" s="683">
        <f>SUM(C22:C25)</f>
        <v>0</v>
      </c>
    </row>
    <row r="53" spans="1:3">
      <c r="B53" s="682" t="s">
        <v>2452</v>
      </c>
      <c r="C53" s="683">
        <f>SUM(C26:C29)</f>
        <v>0</v>
      </c>
    </row>
    <row r="54" spans="1:3">
      <c r="B54" s="682" t="s">
        <v>56</v>
      </c>
      <c r="C54" s="683" t="str">
        <f>C30</f>
        <v/>
      </c>
    </row>
    <row r="55" spans="1:3">
      <c r="B55" s="682" t="s">
        <v>2453</v>
      </c>
      <c r="C55" s="683" t="str">
        <f>実績2!E5</f>
        <v/>
      </c>
    </row>
    <row r="56" spans="1:3">
      <c r="B56" s="682" t="s">
        <v>2454</v>
      </c>
      <c r="C56" s="683" t="str">
        <f>実績2!Q5</f>
        <v/>
      </c>
    </row>
    <row r="57" spans="1:3">
      <c r="B57" s="682" t="s">
        <v>2455</v>
      </c>
      <c r="C57" s="683" t="str">
        <f>実績2!E8</f>
        <v/>
      </c>
    </row>
    <row r="58" spans="1:3">
      <c r="B58" s="682" t="s">
        <v>2456</v>
      </c>
      <c r="C58" s="683" t="str">
        <f>実績2!Q8</f>
        <v/>
      </c>
    </row>
    <row r="59" spans="1:3">
      <c r="B59" s="682" t="s">
        <v>2457</v>
      </c>
      <c r="C59" s="683" t="str">
        <f>実績2!E11</f>
        <v/>
      </c>
    </row>
    <row r="60" spans="1:3">
      <c r="B60" s="682" t="s">
        <v>2458</v>
      </c>
      <c r="C60" s="683" t="str">
        <f>実績2!Q11</f>
        <v/>
      </c>
    </row>
    <row r="61" spans="1:3">
      <c r="C61" s="683"/>
    </row>
    <row r="62" spans="1:3">
      <c r="A62" s="682" t="s">
        <v>2459</v>
      </c>
      <c r="B62" s="682" t="s">
        <v>2460</v>
      </c>
      <c r="C62" s="683">
        <f>IF(計画1!$C$4="あり",1,0)</f>
        <v>0</v>
      </c>
    </row>
    <row r="63" spans="1:3">
      <c r="B63" s="682" t="s">
        <v>2461</v>
      </c>
      <c r="C63" s="683">
        <f>IF(計画1!$C$11="あり",1,0)</f>
        <v>0</v>
      </c>
    </row>
    <row r="64" spans="1:3">
      <c r="B64" s="682" t="s">
        <v>2462</v>
      </c>
      <c r="C64" s="683">
        <f>IF(計画1!$C$17="あり",1,0)</f>
        <v>0</v>
      </c>
    </row>
    <row r="65" spans="1:3">
      <c r="B65" s="682" t="s">
        <v>2463</v>
      </c>
      <c r="C65" s="683">
        <f>IF(計画1!$C$20="あり",1,0)</f>
        <v>0</v>
      </c>
    </row>
    <row r="66" spans="1:3">
      <c r="B66" s="682" t="s">
        <v>2464</v>
      </c>
      <c r="C66" s="683">
        <f>IF(計画1!$C$22="あり",1,0)</f>
        <v>0</v>
      </c>
    </row>
    <row r="67" spans="1:3">
      <c r="B67" s="682" t="s">
        <v>2465</v>
      </c>
      <c r="C67" s="683">
        <f>IF(計画1!$C$24="あり",1,0)</f>
        <v>0</v>
      </c>
    </row>
    <row r="68" spans="1:3">
      <c r="B68" s="682" t="s">
        <v>2466</v>
      </c>
      <c r="C68" s="683">
        <f>IF(計画1!$C$27="あり",1,0)</f>
        <v>0</v>
      </c>
    </row>
    <row r="69" spans="1:3">
      <c r="B69" s="682" t="s">
        <v>2467</v>
      </c>
      <c r="C69" s="683">
        <f>IF(計画1!$C$29="あり",1,0)</f>
        <v>0</v>
      </c>
    </row>
    <row r="70" spans="1:3">
      <c r="B70" s="682" t="s">
        <v>2468</v>
      </c>
      <c r="C70" s="683">
        <f>IF(計画1!$C$32="あり",1,0)</f>
        <v>0</v>
      </c>
    </row>
    <row r="71" spans="1:3">
      <c r="B71" s="682" t="s">
        <v>2469</v>
      </c>
      <c r="C71" s="683">
        <f>IF(計画1!$C$34="あり",1,0)</f>
        <v>0</v>
      </c>
    </row>
    <row r="72" spans="1:3">
      <c r="B72" s="682" t="s">
        <v>2470</v>
      </c>
      <c r="C72" s="683">
        <f>IF(計画1!$C$37="あり",1,0)</f>
        <v>0</v>
      </c>
    </row>
    <row r="73" spans="1:3">
      <c r="B73" s="682" t="s">
        <v>2471</v>
      </c>
      <c r="C73" s="683">
        <f>IF(計画1!$C$42="あり",1,0)</f>
        <v>0</v>
      </c>
    </row>
    <row r="74" spans="1:3">
      <c r="B74" s="682" t="s">
        <v>2472</v>
      </c>
      <c r="C74" s="683">
        <f>IF(計画1!$C$47="あり",1,0)</f>
        <v>0</v>
      </c>
    </row>
    <row r="75" spans="1:3">
      <c r="B75" s="682" t="s">
        <v>1683</v>
      </c>
      <c r="C75" s="683">
        <f>IF(計画1!$C$52="あり",1,0)</f>
        <v>0</v>
      </c>
    </row>
    <row r="76" spans="1:3">
      <c r="C76" s="683"/>
    </row>
    <row r="77" spans="1:3">
      <c r="A77" s="682" t="s">
        <v>2473</v>
      </c>
      <c r="B77" s="682" t="s">
        <v>2460</v>
      </c>
      <c r="C77" s="683">
        <f>IF(実績1!$C$4="あり",1,0)</f>
        <v>0</v>
      </c>
    </row>
    <row r="78" spans="1:3">
      <c r="B78" s="682" t="s">
        <v>2461</v>
      </c>
      <c r="C78" s="683">
        <f>IF(実績1!$C$11="あり",1,0)</f>
        <v>0</v>
      </c>
    </row>
    <row r="79" spans="1:3">
      <c r="B79" s="682" t="s">
        <v>2462</v>
      </c>
      <c r="C79" s="683">
        <f>IF(実績1!$C$17="あり",1,0)</f>
        <v>0</v>
      </c>
    </row>
    <row r="80" spans="1:3">
      <c r="B80" s="682" t="s">
        <v>2463</v>
      </c>
      <c r="C80" s="683">
        <f>IF(実績1!$C$20="あり",1,0)</f>
        <v>0</v>
      </c>
    </row>
    <row r="81" spans="1:17">
      <c r="B81" s="682" t="s">
        <v>2464</v>
      </c>
      <c r="C81" s="683">
        <f>IF(実績1!$C$22="あり",1,0)</f>
        <v>0</v>
      </c>
    </row>
    <row r="82" spans="1:17">
      <c r="B82" s="682" t="s">
        <v>2465</v>
      </c>
      <c r="C82" s="683">
        <f>IF(実績1!$C$24="あり",1,0)</f>
        <v>0</v>
      </c>
    </row>
    <row r="83" spans="1:17">
      <c r="B83" s="682" t="s">
        <v>2466</v>
      </c>
      <c r="C83" s="683">
        <f>IF(実績1!$C$27="あり",1,0)</f>
        <v>0</v>
      </c>
    </row>
    <row r="84" spans="1:17">
      <c r="B84" s="682" t="s">
        <v>2467</v>
      </c>
      <c r="C84" s="683">
        <f>IF(実績1!$C$29="あり",1,0)</f>
        <v>0</v>
      </c>
    </row>
    <row r="85" spans="1:17">
      <c r="B85" s="682" t="s">
        <v>2468</v>
      </c>
      <c r="C85" s="683">
        <f>IF(実績1!$C$32="あり",1,0)</f>
        <v>0</v>
      </c>
    </row>
    <row r="86" spans="1:17">
      <c r="B86" s="682" t="s">
        <v>2469</v>
      </c>
      <c r="C86" s="683">
        <f>IF(実績1!$C$34="あり",1,0)</f>
        <v>0</v>
      </c>
    </row>
    <row r="87" spans="1:17">
      <c r="B87" s="682" t="s">
        <v>2470</v>
      </c>
      <c r="C87" s="683">
        <f>IF(実績1!$C$37="あり",1,0)</f>
        <v>0</v>
      </c>
    </row>
    <row r="88" spans="1:17">
      <c r="B88" s="682" t="s">
        <v>2471</v>
      </c>
      <c r="C88" s="683">
        <f>IF(実績1!$C$42="あり",1,0)</f>
        <v>0</v>
      </c>
    </row>
    <row r="89" spans="1:17">
      <c r="B89" s="682" t="s">
        <v>2472</v>
      </c>
      <c r="C89" s="683">
        <f>IF(実績1!$C$47="あり",1,0)</f>
        <v>0</v>
      </c>
    </row>
    <row r="90" spans="1:17">
      <c r="B90" s="682" t="s">
        <v>1683</v>
      </c>
      <c r="C90" s="683">
        <f>IF(実績1!$C$52="あり",1,0)</f>
        <v>0</v>
      </c>
    </row>
    <row r="92" spans="1:17">
      <c r="A92" s="683"/>
      <c r="B92" s="683"/>
      <c r="C92" s="684" t="s">
        <v>2474</v>
      </c>
      <c r="D92" s="684"/>
      <c r="E92" s="684" t="s">
        <v>2475</v>
      </c>
      <c r="F92" s="684"/>
      <c r="G92" s="684" t="s">
        <v>2476</v>
      </c>
      <c r="H92" s="684"/>
      <c r="I92" s="684" t="s">
        <v>2477</v>
      </c>
      <c r="J92" s="684"/>
      <c r="K92" s="684" t="s">
        <v>2478</v>
      </c>
      <c r="L92" s="684"/>
      <c r="M92" s="683"/>
      <c r="N92" s="683"/>
      <c r="O92" s="683"/>
      <c r="P92" s="683"/>
      <c r="Q92" s="683"/>
    </row>
    <row r="93" spans="1:17">
      <c r="A93" s="683" t="s">
        <v>2479</v>
      </c>
      <c r="B93" s="683" t="s">
        <v>676</v>
      </c>
      <c r="C93" s="683">
        <f>計画2!G20</f>
        <v>0</v>
      </c>
      <c r="D93" s="683">
        <f>計画2!H20</f>
        <v>0</v>
      </c>
      <c r="E93" s="683">
        <f>計画2!I20</f>
        <v>0</v>
      </c>
      <c r="F93" s="683">
        <f>計画2!J20</f>
        <v>0</v>
      </c>
      <c r="G93" s="683">
        <f>計画2!K20</f>
        <v>0</v>
      </c>
      <c r="H93" s="683">
        <f>計画2!L20</f>
        <v>0</v>
      </c>
      <c r="I93" s="683">
        <f>計画2!M20</f>
        <v>0</v>
      </c>
      <c r="J93" s="683">
        <f>計画2!N20</f>
        <v>0</v>
      </c>
      <c r="K93" s="683">
        <f>計画2!O20</f>
        <v>0</v>
      </c>
      <c r="L93" s="683">
        <f>計画2!P20</f>
        <v>0</v>
      </c>
      <c r="M93" s="683"/>
      <c r="N93" s="683"/>
      <c r="O93" s="683"/>
      <c r="P93" s="683"/>
      <c r="Q93" s="683"/>
    </row>
    <row r="94" spans="1:17">
      <c r="A94" s="683"/>
      <c r="B94" s="683" t="s">
        <v>2480</v>
      </c>
      <c r="C94" s="683">
        <f>計画2!G21</f>
        <v>0</v>
      </c>
      <c r="D94" s="683">
        <f>計画2!H21</f>
        <v>0</v>
      </c>
      <c r="E94" s="683">
        <f>計画2!I21</f>
        <v>0</v>
      </c>
      <c r="F94" s="683">
        <f>計画2!J21</f>
        <v>0</v>
      </c>
      <c r="G94" s="683">
        <f>計画2!K21</f>
        <v>0</v>
      </c>
      <c r="H94" s="683">
        <f>計画2!L21</f>
        <v>0</v>
      </c>
      <c r="I94" s="683">
        <f>計画2!M21</f>
        <v>0</v>
      </c>
      <c r="J94" s="683">
        <f>計画2!N21</f>
        <v>0</v>
      </c>
      <c r="K94" s="683">
        <f>計画2!O21</f>
        <v>0</v>
      </c>
      <c r="L94" s="683">
        <f>計画2!P21</f>
        <v>0</v>
      </c>
      <c r="M94" s="683"/>
      <c r="N94" s="683"/>
      <c r="O94" s="683"/>
      <c r="P94" s="683"/>
      <c r="Q94" s="683"/>
    </row>
    <row r="95" spans="1:17">
      <c r="A95" s="683"/>
      <c r="B95" s="683" t="s">
        <v>2481</v>
      </c>
      <c r="C95" s="683">
        <f>計画2!G22</f>
        <v>0</v>
      </c>
      <c r="D95" s="683">
        <f>計画2!H22</f>
        <v>0</v>
      </c>
      <c r="E95" s="683">
        <f>計画2!I22</f>
        <v>0</v>
      </c>
      <c r="F95" s="683">
        <f>計画2!J22</f>
        <v>0</v>
      </c>
      <c r="G95" s="683">
        <f>計画2!K22</f>
        <v>0</v>
      </c>
      <c r="H95" s="683">
        <f>計画2!L22</f>
        <v>0</v>
      </c>
      <c r="I95" s="683">
        <f>計画2!M22</f>
        <v>0</v>
      </c>
      <c r="J95" s="683">
        <f>計画2!N22</f>
        <v>0</v>
      </c>
      <c r="K95" s="683">
        <f>計画2!O22</f>
        <v>0</v>
      </c>
      <c r="L95" s="683">
        <f>計画2!P22</f>
        <v>0</v>
      </c>
      <c r="M95" s="683"/>
      <c r="N95" s="683"/>
      <c r="O95" s="683"/>
      <c r="P95" s="683"/>
      <c r="Q95" s="683"/>
    </row>
    <row r="96" spans="1:17">
      <c r="A96" s="683"/>
      <c r="B96" s="683" t="s">
        <v>278</v>
      </c>
      <c r="C96" s="683">
        <f>計画2!G23</f>
        <v>0</v>
      </c>
      <c r="D96" s="683">
        <f>計画2!H23</f>
        <v>0</v>
      </c>
      <c r="E96" s="683">
        <f>計画2!I23</f>
        <v>0</v>
      </c>
      <c r="F96" s="683">
        <f>計画2!J23</f>
        <v>0</v>
      </c>
      <c r="G96" s="683">
        <f>計画2!K23</f>
        <v>0</v>
      </c>
      <c r="H96" s="683">
        <f>計画2!L23</f>
        <v>0</v>
      </c>
      <c r="I96" s="683">
        <f>計画2!M23</f>
        <v>0</v>
      </c>
      <c r="J96" s="683">
        <f>計画2!N23</f>
        <v>0</v>
      </c>
      <c r="K96" s="683">
        <f>計画2!O23</f>
        <v>0</v>
      </c>
      <c r="L96" s="683">
        <f>計画2!P23</f>
        <v>0</v>
      </c>
      <c r="M96" s="683"/>
      <c r="N96" s="683"/>
      <c r="O96" s="683"/>
      <c r="P96" s="683"/>
      <c r="Q96" s="683"/>
    </row>
    <row r="97" spans="1:19">
      <c r="A97" s="683"/>
      <c r="B97" s="683" t="s">
        <v>277</v>
      </c>
      <c r="C97" s="683">
        <f>計画2!G24</f>
        <v>0</v>
      </c>
      <c r="D97" s="683">
        <f>計画2!H24</f>
        <v>0</v>
      </c>
      <c r="E97" s="683">
        <f>計画2!I24</f>
        <v>0</v>
      </c>
      <c r="F97" s="683">
        <f>計画2!J24</f>
        <v>0</v>
      </c>
      <c r="G97" s="683">
        <f>計画2!K24</f>
        <v>0</v>
      </c>
      <c r="H97" s="683">
        <f>計画2!L24</f>
        <v>0</v>
      </c>
      <c r="I97" s="683">
        <f>計画2!M24</f>
        <v>0</v>
      </c>
      <c r="J97" s="683">
        <f>計画2!N24</f>
        <v>0</v>
      </c>
      <c r="K97" s="683">
        <f>計画2!O24</f>
        <v>0</v>
      </c>
      <c r="L97" s="683">
        <f>計画2!P24</f>
        <v>0</v>
      </c>
      <c r="M97" s="683"/>
      <c r="N97" s="683"/>
      <c r="O97" s="683"/>
      <c r="P97" s="683"/>
      <c r="Q97" s="683"/>
    </row>
    <row r="98" spans="1:19">
      <c r="A98" s="683"/>
      <c r="B98" s="683" t="s">
        <v>2482</v>
      </c>
      <c r="C98" s="683">
        <f>計画2!G25</f>
        <v>0</v>
      </c>
      <c r="D98" s="683">
        <f>計画2!H25</f>
        <v>0</v>
      </c>
      <c r="E98" s="683">
        <f>計画2!I25</f>
        <v>0</v>
      </c>
      <c r="F98" s="683">
        <f>計画2!J25</f>
        <v>0</v>
      </c>
      <c r="G98" s="683">
        <f>計画2!K25</f>
        <v>0</v>
      </c>
      <c r="H98" s="683">
        <f>計画2!L25</f>
        <v>0</v>
      </c>
      <c r="I98" s="683">
        <f>計画2!M25</f>
        <v>0</v>
      </c>
      <c r="J98" s="683">
        <f>計画2!N25</f>
        <v>0</v>
      </c>
      <c r="K98" s="683">
        <f>計画2!O25</f>
        <v>0</v>
      </c>
      <c r="L98" s="683">
        <f>計画2!P25</f>
        <v>0</v>
      </c>
      <c r="M98" s="683"/>
      <c r="N98" s="683"/>
      <c r="O98" s="683"/>
      <c r="P98" s="683"/>
      <c r="Q98" s="683"/>
    </row>
    <row r="99" spans="1:19">
      <c r="A99" s="683"/>
      <c r="B99" s="683" t="s">
        <v>1291</v>
      </c>
      <c r="C99" s="683">
        <f>計画2!G26</f>
        <v>0</v>
      </c>
      <c r="D99" s="683">
        <f>計画2!H26</f>
        <v>0</v>
      </c>
      <c r="E99" s="683">
        <f>計画2!I26</f>
        <v>0</v>
      </c>
      <c r="F99" s="683">
        <f>計画2!J26</f>
        <v>0</v>
      </c>
      <c r="G99" s="683">
        <f>計画2!K26</f>
        <v>0</v>
      </c>
      <c r="H99" s="683">
        <f>計画2!L26</f>
        <v>0</v>
      </c>
      <c r="I99" s="683">
        <f>計画2!M26</f>
        <v>0</v>
      </c>
      <c r="J99" s="683">
        <f>計画2!N26</f>
        <v>0</v>
      </c>
      <c r="K99" s="683">
        <f>計画2!O26</f>
        <v>0</v>
      </c>
      <c r="L99" s="683">
        <f>計画2!P26</f>
        <v>0</v>
      </c>
      <c r="M99" s="683"/>
      <c r="N99" s="683"/>
      <c r="O99" s="683"/>
      <c r="P99" s="683"/>
      <c r="Q99" s="683"/>
    </row>
    <row r="100" spans="1:19">
      <c r="A100" s="683"/>
      <c r="B100" s="683" t="s">
        <v>1290</v>
      </c>
      <c r="C100" s="683">
        <f>計画2!G27</f>
        <v>0</v>
      </c>
      <c r="D100" s="683">
        <f>計画2!H27</f>
        <v>0</v>
      </c>
      <c r="E100" s="683">
        <f>計画2!I27</f>
        <v>0</v>
      </c>
      <c r="F100" s="683">
        <f>計画2!J27</f>
        <v>0</v>
      </c>
      <c r="G100" s="683">
        <f>計画2!K27</f>
        <v>0</v>
      </c>
      <c r="H100" s="683">
        <f>計画2!L27</f>
        <v>0</v>
      </c>
      <c r="I100" s="683">
        <f>計画2!M27</f>
        <v>0</v>
      </c>
      <c r="J100" s="683">
        <f>計画2!N27</f>
        <v>0</v>
      </c>
      <c r="K100" s="683">
        <f>計画2!O27</f>
        <v>0</v>
      </c>
      <c r="L100" s="683">
        <f>計画2!P27</f>
        <v>0</v>
      </c>
      <c r="M100" s="683"/>
      <c r="N100" s="683"/>
      <c r="O100" s="683"/>
      <c r="P100" s="683"/>
      <c r="Q100" s="683"/>
    </row>
    <row r="101" spans="1:19">
      <c r="A101" s="683"/>
      <c r="B101" s="683" t="s">
        <v>30</v>
      </c>
      <c r="C101" s="683">
        <f>計画2!G28</f>
        <v>0</v>
      </c>
      <c r="D101" s="683">
        <f>計画2!H28</f>
        <v>0</v>
      </c>
      <c r="E101" s="683">
        <f>計画2!I28</f>
        <v>0</v>
      </c>
      <c r="F101" s="683">
        <f>計画2!J28</f>
        <v>0</v>
      </c>
      <c r="G101" s="683">
        <f>計画2!K28</f>
        <v>0</v>
      </c>
      <c r="H101" s="683">
        <f>計画2!L28</f>
        <v>0</v>
      </c>
      <c r="I101" s="683">
        <f>計画2!M28</f>
        <v>0</v>
      </c>
      <c r="J101" s="683">
        <f>計画2!N28</f>
        <v>0</v>
      </c>
      <c r="K101" s="683">
        <f>計画2!O28</f>
        <v>0</v>
      </c>
      <c r="L101" s="683">
        <f>計画2!P28</f>
        <v>0</v>
      </c>
      <c r="M101" s="683"/>
      <c r="N101" s="683"/>
      <c r="O101" s="683"/>
      <c r="P101" s="683"/>
      <c r="Q101" s="683"/>
    </row>
    <row r="102" spans="1:19">
      <c r="A102" s="683"/>
      <c r="B102" s="683" t="s">
        <v>2216</v>
      </c>
      <c r="C102" s="683">
        <f>計画2!G29</f>
        <v>0</v>
      </c>
      <c r="D102" s="683">
        <f>計画2!H29</f>
        <v>0</v>
      </c>
      <c r="E102" s="683">
        <f>計画2!I29</f>
        <v>0</v>
      </c>
      <c r="F102" s="683">
        <f>計画2!J29</f>
        <v>0</v>
      </c>
      <c r="G102" s="683">
        <f>計画2!K29</f>
        <v>0</v>
      </c>
      <c r="H102" s="683">
        <f>計画2!L29</f>
        <v>0</v>
      </c>
      <c r="I102" s="683">
        <f>計画2!M29</f>
        <v>0</v>
      </c>
      <c r="J102" s="683">
        <f>計画2!N29</f>
        <v>0</v>
      </c>
      <c r="K102" s="683">
        <f>計画2!O29</f>
        <v>0</v>
      </c>
      <c r="L102" s="683">
        <f>計画2!P29</f>
        <v>0</v>
      </c>
      <c r="M102" s="683"/>
      <c r="N102" s="683"/>
      <c r="O102" s="683"/>
      <c r="P102" s="683"/>
      <c r="Q102" s="683"/>
    </row>
    <row r="103" spans="1:19">
      <c r="A103" s="683"/>
      <c r="B103" s="683" t="s">
        <v>2483</v>
      </c>
      <c r="C103" s="683">
        <f>計画2!G30</f>
        <v>0</v>
      </c>
      <c r="D103" s="683">
        <f>計画2!H30</f>
        <v>0</v>
      </c>
      <c r="E103" s="683">
        <f>計画2!I30</f>
        <v>0</v>
      </c>
      <c r="F103" s="683">
        <f>計画2!J30</f>
        <v>0</v>
      </c>
      <c r="G103" s="683">
        <f>計画2!K30</f>
        <v>0</v>
      </c>
      <c r="H103" s="683">
        <f>計画2!L30</f>
        <v>0</v>
      </c>
      <c r="I103" s="683">
        <f>計画2!M30</f>
        <v>0</v>
      </c>
      <c r="J103" s="683">
        <f>計画2!N30</f>
        <v>0</v>
      </c>
      <c r="K103" s="683">
        <f>計画2!O30</f>
        <v>0</v>
      </c>
      <c r="L103" s="683">
        <f>計画2!P30</f>
        <v>0</v>
      </c>
      <c r="M103" s="683"/>
      <c r="N103" s="683"/>
      <c r="O103" s="683"/>
      <c r="P103" s="683"/>
      <c r="Q103" s="683"/>
    </row>
    <row r="104" spans="1:19">
      <c r="A104" s="683"/>
      <c r="B104" s="683" t="s">
        <v>1291</v>
      </c>
      <c r="C104" s="683">
        <f>計画2!G31</f>
        <v>0</v>
      </c>
      <c r="D104" s="683">
        <f>計画2!H31</f>
        <v>0</v>
      </c>
      <c r="E104" s="683">
        <f>計画2!I31</f>
        <v>0</v>
      </c>
      <c r="F104" s="683">
        <f>計画2!J31</f>
        <v>0</v>
      </c>
      <c r="G104" s="683">
        <f>計画2!K31</f>
        <v>0</v>
      </c>
      <c r="H104" s="683">
        <f>計画2!L31</f>
        <v>0</v>
      </c>
      <c r="I104" s="683">
        <f>計画2!M31</f>
        <v>0</v>
      </c>
      <c r="J104" s="683">
        <f>計画2!N31</f>
        <v>0</v>
      </c>
      <c r="K104" s="683">
        <f>計画2!O31</f>
        <v>0</v>
      </c>
      <c r="L104" s="683">
        <f>計画2!P31</f>
        <v>0</v>
      </c>
      <c r="M104" s="683"/>
      <c r="N104" s="683"/>
      <c r="O104" s="683"/>
      <c r="P104" s="683"/>
      <c r="Q104" s="683"/>
    </row>
    <row r="105" spans="1:19">
      <c r="A105" s="683"/>
      <c r="B105" s="683" t="s">
        <v>638</v>
      </c>
      <c r="C105" s="683">
        <f>計画2!G32</f>
        <v>0</v>
      </c>
      <c r="D105" s="683">
        <f>計画2!H32</f>
        <v>0</v>
      </c>
      <c r="E105" s="683">
        <f>計画2!I32</f>
        <v>0</v>
      </c>
      <c r="F105" s="683">
        <f>計画2!J32</f>
        <v>0</v>
      </c>
      <c r="G105" s="683">
        <f>計画2!K32</f>
        <v>0</v>
      </c>
      <c r="H105" s="683">
        <f>計画2!L32</f>
        <v>0</v>
      </c>
      <c r="I105" s="683">
        <f>計画2!M32</f>
        <v>0</v>
      </c>
      <c r="J105" s="683">
        <f>計画2!N32</f>
        <v>0</v>
      </c>
      <c r="K105" s="683">
        <f>計画2!O32</f>
        <v>0</v>
      </c>
      <c r="L105" s="683">
        <f>計画2!P32</f>
        <v>0</v>
      </c>
      <c r="M105" s="683"/>
      <c r="N105" s="683"/>
      <c r="O105" s="683"/>
      <c r="P105" s="683"/>
      <c r="Q105" s="683"/>
    </row>
    <row r="106" spans="1:19">
      <c r="A106" s="683"/>
      <c r="B106" s="683" t="s">
        <v>2484</v>
      </c>
      <c r="C106" s="683">
        <f>計画2!G33</f>
        <v>0</v>
      </c>
      <c r="D106" s="683">
        <f>計画2!H33</f>
        <v>0</v>
      </c>
      <c r="E106" s="683">
        <f>計画2!I33</f>
        <v>0</v>
      </c>
      <c r="F106" s="683">
        <f>計画2!J33</f>
        <v>0</v>
      </c>
      <c r="G106" s="683">
        <f>計画2!K33</f>
        <v>0</v>
      </c>
      <c r="H106" s="683">
        <f>計画2!L33</f>
        <v>0</v>
      </c>
      <c r="I106" s="683">
        <f>計画2!M33</f>
        <v>0</v>
      </c>
      <c r="J106" s="683">
        <f>計画2!N33</f>
        <v>0</v>
      </c>
      <c r="K106" s="683">
        <f>計画2!O33</f>
        <v>0</v>
      </c>
      <c r="L106" s="683">
        <f>計画2!P33</f>
        <v>0</v>
      </c>
      <c r="M106" s="683"/>
      <c r="N106" s="683"/>
      <c r="O106" s="683"/>
      <c r="P106" s="683"/>
      <c r="Q106" s="683"/>
    </row>
    <row r="107" spans="1:19">
      <c r="A107" s="683"/>
      <c r="B107" s="683" t="s">
        <v>1634</v>
      </c>
      <c r="C107" s="683">
        <f>計画2!G34</f>
        <v>0</v>
      </c>
      <c r="D107" s="683">
        <f>計画2!H34</f>
        <v>0</v>
      </c>
      <c r="E107" s="683">
        <f>計画2!I34</f>
        <v>0</v>
      </c>
      <c r="F107" s="683">
        <f>計画2!J34</f>
        <v>0</v>
      </c>
      <c r="G107" s="683">
        <f>計画2!K34</f>
        <v>0</v>
      </c>
      <c r="H107" s="683">
        <f>計画2!L34</f>
        <v>0</v>
      </c>
      <c r="I107" s="683">
        <f>計画2!M34</f>
        <v>0</v>
      </c>
      <c r="J107" s="683">
        <f>計画2!N34</f>
        <v>0</v>
      </c>
      <c r="K107" s="683">
        <f>計画2!O34</f>
        <v>0</v>
      </c>
      <c r="L107" s="683">
        <f>計画2!P34</f>
        <v>0</v>
      </c>
      <c r="M107" s="683"/>
      <c r="N107" s="683"/>
      <c r="O107" s="683"/>
      <c r="P107" s="683"/>
      <c r="Q107" s="683"/>
    </row>
    <row r="108" spans="1:19">
      <c r="A108" s="683"/>
      <c r="B108" s="683"/>
      <c r="C108" s="683"/>
      <c r="D108" s="683"/>
      <c r="E108" s="683"/>
      <c r="F108" s="683"/>
      <c r="G108" s="683"/>
      <c r="H108" s="683"/>
      <c r="I108" s="683"/>
      <c r="J108" s="683"/>
      <c r="K108" s="683"/>
      <c r="L108" s="683"/>
      <c r="M108" s="683"/>
      <c r="N108" s="683"/>
      <c r="O108" s="683"/>
      <c r="P108" s="683"/>
      <c r="Q108" s="683"/>
    </row>
    <row r="109" spans="1:19">
      <c r="A109" s="683"/>
      <c r="B109" s="683"/>
      <c r="C109" s="684" t="s">
        <v>2474</v>
      </c>
      <c r="D109" s="684"/>
      <c r="E109" s="684"/>
      <c r="F109" s="684" t="s">
        <v>2475</v>
      </c>
      <c r="G109" s="684"/>
      <c r="H109" s="684"/>
      <c r="I109" s="684" t="s">
        <v>2476</v>
      </c>
      <c r="J109" s="684"/>
      <c r="K109" s="684"/>
      <c r="L109" s="684" t="s">
        <v>2477</v>
      </c>
      <c r="M109" s="684"/>
      <c r="N109" s="684"/>
      <c r="O109" s="684" t="s">
        <v>2478</v>
      </c>
      <c r="P109" s="684"/>
      <c r="Q109" s="684"/>
      <c r="R109" s="684" t="s">
        <v>57</v>
      </c>
      <c r="S109" s="684"/>
    </row>
    <row r="110" spans="1:19">
      <c r="A110" s="683" t="s">
        <v>2485</v>
      </c>
      <c r="B110" s="683" t="s">
        <v>676</v>
      </c>
      <c r="C110" s="683">
        <f>実績2!I20</f>
        <v>0</v>
      </c>
      <c r="D110" s="683">
        <f>実績2!J20</f>
        <v>0</v>
      </c>
      <c r="E110" s="683">
        <f>計画2!$F20-C110+D110</f>
        <v>0</v>
      </c>
      <c r="F110" s="683">
        <f>実績2!K20</f>
        <v>0</v>
      </c>
      <c r="G110" s="683">
        <f>実績2!L20</f>
        <v>0</v>
      </c>
      <c r="H110" s="683">
        <f>E110-F110+G110</f>
        <v>0</v>
      </c>
      <c r="I110" s="683">
        <f>実績2!M20</f>
        <v>0</v>
      </c>
      <c r="J110" s="683">
        <f>実績2!N20</f>
        <v>0</v>
      </c>
      <c r="K110" s="683">
        <f>H110-I110+J110</f>
        <v>0</v>
      </c>
      <c r="L110" s="683">
        <f>実績2!O20</f>
        <v>0</v>
      </c>
      <c r="M110" s="683">
        <f>実績2!P20</f>
        <v>0</v>
      </c>
      <c r="N110" s="683">
        <f>K110-L110+M110</f>
        <v>0</v>
      </c>
      <c r="O110" s="683">
        <f>実績2!Q20</f>
        <v>0</v>
      </c>
      <c r="P110" s="683">
        <f>実績2!R20</f>
        <v>0</v>
      </c>
      <c r="Q110" s="683">
        <f>N110-O110+P110</f>
        <v>0</v>
      </c>
      <c r="R110" s="683">
        <f>実績2!S20</f>
        <v>0</v>
      </c>
      <c r="S110" s="683">
        <f>実績2!T20</f>
        <v>0</v>
      </c>
    </row>
    <row r="111" spans="1:19">
      <c r="A111" s="683"/>
      <c r="B111" s="683" t="s">
        <v>2480</v>
      </c>
      <c r="C111" s="683">
        <f>実績2!I21</f>
        <v>0</v>
      </c>
      <c r="D111" s="683">
        <f>実績2!J21</f>
        <v>0</v>
      </c>
      <c r="E111" s="683">
        <f>計画2!$F21-C111+D111</f>
        <v>0</v>
      </c>
      <c r="F111" s="683">
        <f>実績2!K21</f>
        <v>0</v>
      </c>
      <c r="G111" s="683">
        <f>実績2!L21</f>
        <v>0</v>
      </c>
      <c r="H111" s="683">
        <f t="shared" ref="H111:H124" si="6">E111-F111+G111</f>
        <v>0</v>
      </c>
      <c r="I111" s="683">
        <f>実績2!M21</f>
        <v>0</v>
      </c>
      <c r="J111" s="683">
        <f>実績2!N21</f>
        <v>0</v>
      </c>
      <c r="K111" s="683">
        <f t="shared" ref="K111:K124" si="7">H111-I111+J111</f>
        <v>0</v>
      </c>
      <c r="L111" s="683">
        <f>実績2!O21</f>
        <v>0</v>
      </c>
      <c r="M111" s="683">
        <f>実績2!P21</f>
        <v>0</v>
      </c>
      <c r="N111" s="683">
        <f t="shared" ref="N111:N124" si="8">K111-L111+M111</f>
        <v>0</v>
      </c>
      <c r="O111" s="683">
        <f>実績2!Q21</f>
        <v>0</v>
      </c>
      <c r="P111" s="683">
        <f>実績2!R21</f>
        <v>0</v>
      </c>
      <c r="Q111" s="683">
        <f t="shared" ref="Q111:Q124" si="9">N111-O111+P111</f>
        <v>0</v>
      </c>
      <c r="R111" s="683">
        <f>実績2!S21</f>
        <v>0</v>
      </c>
      <c r="S111" s="683">
        <f>実績2!T21</f>
        <v>0</v>
      </c>
    </row>
    <row r="112" spans="1:19">
      <c r="A112" s="683"/>
      <c r="B112" s="683" t="s">
        <v>2481</v>
      </c>
      <c r="C112" s="683">
        <f>実績2!I22</f>
        <v>0</v>
      </c>
      <c r="D112" s="683">
        <f>実績2!J22</f>
        <v>0</v>
      </c>
      <c r="E112" s="683">
        <f>計画2!$F22-C112+D112</f>
        <v>0</v>
      </c>
      <c r="F112" s="683">
        <f>実績2!K22</f>
        <v>0</v>
      </c>
      <c r="G112" s="683">
        <f>実績2!L22</f>
        <v>0</v>
      </c>
      <c r="H112" s="683">
        <f t="shared" si="6"/>
        <v>0</v>
      </c>
      <c r="I112" s="683">
        <f>実績2!M22</f>
        <v>0</v>
      </c>
      <c r="J112" s="683">
        <f>実績2!N22</f>
        <v>0</v>
      </c>
      <c r="K112" s="683">
        <f t="shared" si="7"/>
        <v>0</v>
      </c>
      <c r="L112" s="683">
        <f>実績2!O22</f>
        <v>0</v>
      </c>
      <c r="M112" s="683">
        <f>実績2!P22</f>
        <v>0</v>
      </c>
      <c r="N112" s="683">
        <f t="shared" si="8"/>
        <v>0</v>
      </c>
      <c r="O112" s="683">
        <f>実績2!Q22</f>
        <v>0</v>
      </c>
      <c r="P112" s="683">
        <f>実績2!R22</f>
        <v>0</v>
      </c>
      <c r="Q112" s="683">
        <f t="shared" si="9"/>
        <v>0</v>
      </c>
      <c r="R112" s="683">
        <f>実績2!S22</f>
        <v>0</v>
      </c>
      <c r="S112" s="683">
        <f>実績2!T22</f>
        <v>0</v>
      </c>
    </row>
    <row r="113" spans="1:19">
      <c r="A113" s="683"/>
      <c r="B113" s="683" t="s">
        <v>278</v>
      </c>
      <c r="C113" s="683">
        <f>実績2!I23</f>
        <v>0</v>
      </c>
      <c r="D113" s="683">
        <f>実績2!J23</f>
        <v>0</v>
      </c>
      <c r="E113" s="683">
        <f>計画2!$F23-C113+D113</f>
        <v>0</v>
      </c>
      <c r="F113" s="683">
        <f>実績2!K23</f>
        <v>0</v>
      </c>
      <c r="G113" s="683">
        <f>実績2!L23</f>
        <v>0</v>
      </c>
      <c r="H113" s="683">
        <f t="shared" si="6"/>
        <v>0</v>
      </c>
      <c r="I113" s="683">
        <f>実績2!M23</f>
        <v>0</v>
      </c>
      <c r="J113" s="683">
        <f>実績2!N23</f>
        <v>0</v>
      </c>
      <c r="K113" s="683">
        <f t="shared" si="7"/>
        <v>0</v>
      </c>
      <c r="L113" s="683">
        <f>実績2!O23</f>
        <v>0</v>
      </c>
      <c r="M113" s="683">
        <f>実績2!P23</f>
        <v>0</v>
      </c>
      <c r="N113" s="683">
        <f t="shared" si="8"/>
        <v>0</v>
      </c>
      <c r="O113" s="683">
        <f>実績2!Q23</f>
        <v>0</v>
      </c>
      <c r="P113" s="683">
        <f>実績2!R23</f>
        <v>0</v>
      </c>
      <c r="Q113" s="683">
        <f t="shared" si="9"/>
        <v>0</v>
      </c>
      <c r="R113" s="683">
        <f>実績2!S23</f>
        <v>0</v>
      </c>
      <c r="S113" s="683">
        <f>実績2!T23</f>
        <v>0</v>
      </c>
    </row>
    <row r="114" spans="1:19">
      <c r="A114" s="683"/>
      <c r="B114" s="683" t="s">
        <v>277</v>
      </c>
      <c r="C114" s="683">
        <f>実績2!I24</f>
        <v>0</v>
      </c>
      <c r="D114" s="683">
        <f>実績2!J24</f>
        <v>0</v>
      </c>
      <c r="E114" s="683">
        <f>計画2!$F24-C114+D114</f>
        <v>0</v>
      </c>
      <c r="F114" s="683">
        <f>実績2!K24</f>
        <v>0</v>
      </c>
      <c r="G114" s="683">
        <f>実績2!L24</f>
        <v>0</v>
      </c>
      <c r="H114" s="683">
        <f t="shared" si="6"/>
        <v>0</v>
      </c>
      <c r="I114" s="683">
        <f>実績2!M24</f>
        <v>0</v>
      </c>
      <c r="J114" s="683">
        <f>実績2!N24</f>
        <v>0</v>
      </c>
      <c r="K114" s="683">
        <f t="shared" si="7"/>
        <v>0</v>
      </c>
      <c r="L114" s="683">
        <f>実績2!O24</f>
        <v>0</v>
      </c>
      <c r="M114" s="683">
        <f>実績2!P24</f>
        <v>0</v>
      </c>
      <c r="N114" s="683">
        <f t="shared" si="8"/>
        <v>0</v>
      </c>
      <c r="O114" s="683">
        <f>実績2!Q24</f>
        <v>0</v>
      </c>
      <c r="P114" s="683">
        <f>実績2!R24</f>
        <v>0</v>
      </c>
      <c r="Q114" s="683">
        <f t="shared" si="9"/>
        <v>0</v>
      </c>
      <c r="R114" s="683">
        <f>実績2!S24</f>
        <v>0</v>
      </c>
      <c r="S114" s="683">
        <f>実績2!T24</f>
        <v>0</v>
      </c>
    </row>
    <row r="115" spans="1:19">
      <c r="A115" s="683"/>
      <c r="B115" s="683" t="s">
        <v>2482</v>
      </c>
      <c r="C115" s="683">
        <f>実績2!I25</f>
        <v>0</v>
      </c>
      <c r="D115" s="683">
        <f>実績2!J25</f>
        <v>0</v>
      </c>
      <c r="E115" s="683">
        <f>計画2!$F25-C115+D115</f>
        <v>0</v>
      </c>
      <c r="F115" s="683">
        <f>実績2!K25</f>
        <v>0</v>
      </c>
      <c r="G115" s="683">
        <f>実績2!L25</f>
        <v>0</v>
      </c>
      <c r="H115" s="683">
        <f t="shared" si="6"/>
        <v>0</v>
      </c>
      <c r="I115" s="683">
        <f>実績2!M25</f>
        <v>0</v>
      </c>
      <c r="J115" s="683">
        <f>実績2!N25</f>
        <v>0</v>
      </c>
      <c r="K115" s="683">
        <f t="shared" si="7"/>
        <v>0</v>
      </c>
      <c r="L115" s="683">
        <f>実績2!O25</f>
        <v>0</v>
      </c>
      <c r="M115" s="683">
        <f>実績2!P25</f>
        <v>0</v>
      </c>
      <c r="N115" s="683">
        <f t="shared" si="8"/>
        <v>0</v>
      </c>
      <c r="O115" s="683">
        <f>実績2!Q25</f>
        <v>0</v>
      </c>
      <c r="P115" s="683">
        <f>実績2!R25</f>
        <v>0</v>
      </c>
      <c r="Q115" s="683">
        <f t="shared" si="9"/>
        <v>0</v>
      </c>
      <c r="R115" s="683">
        <f>実績2!S25</f>
        <v>0</v>
      </c>
      <c r="S115" s="683">
        <f>実績2!T25</f>
        <v>0</v>
      </c>
    </row>
    <row r="116" spans="1:19">
      <c r="A116" s="683"/>
      <c r="B116" s="683" t="s">
        <v>1291</v>
      </c>
      <c r="C116" s="683">
        <f>実績2!I26</f>
        <v>0</v>
      </c>
      <c r="D116" s="683">
        <f>実績2!J26</f>
        <v>0</v>
      </c>
      <c r="E116" s="683">
        <f>計画2!$F26-C116+D116</f>
        <v>0</v>
      </c>
      <c r="F116" s="683">
        <f>実績2!K26</f>
        <v>0</v>
      </c>
      <c r="G116" s="683">
        <f>実績2!L26</f>
        <v>0</v>
      </c>
      <c r="H116" s="683">
        <f t="shared" si="6"/>
        <v>0</v>
      </c>
      <c r="I116" s="683">
        <f>実績2!M26</f>
        <v>0</v>
      </c>
      <c r="J116" s="683">
        <f>実績2!N26</f>
        <v>0</v>
      </c>
      <c r="K116" s="683">
        <f t="shared" si="7"/>
        <v>0</v>
      </c>
      <c r="L116" s="683">
        <f>実績2!O26</f>
        <v>0</v>
      </c>
      <c r="M116" s="683">
        <f>実績2!P26</f>
        <v>0</v>
      </c>
      <c r="N116" s="683">
        <f t="shared" si="8"/>
        <v>0</v>
      </c>
      <c r="O116" s="683">
        <f>実績2!Q26</f>
        <v>0</v>
      </c>
      <c r="P116" s="683">
        <f>実績2!R26</f>
        <v>0</v>
      </c>
      <c r="Q116" s="683">
        <f t="shared" si="9"/>
        <v>0</v>
      </c>
      <c r="R116" s="683">
        <f>実績2!S26</f>
        <v>0</v>
      </c>
      <c r="S116" s="683">
        <f>実績2!T26</f>
        <v>0</v>
      </c>
    </row>
    <row r="117" spans="1:19">
      <c r="A117" s="683"/>
      <c r="B117" s="683" t="s">
        <v>1290</v>
      </c>
      <c r="C117" s="683">
        <f>実績2!I27</f>
        <v>0</v>
      </c>
      <c r="D117" s="683">
        <f>実績2!J27</f>
        <v>0</v>
      </c>
      <c r="E117" s="683">
        <f>計画2!$F27-C117+D117</f>
        <v>0</v>
      </c>
      <c r="F117" s="683">
        <f>実績2!K27</f>
        <v>0</v>
      </c>
      <c r="G117" s="683">
        <f>実績2!L27</f>
        <v>0</v>
      </c>
      <c r="H117" s="683">
        <f t="shared" si="6"/>
        <v>0</v>
      </c>
      <c r="I117" s="683">
        <f>実績2!M27</f>
        <v>0</v>
      </c>
      <c r="J117" s="683">
        <f>実績2!N27</f>
        <v>0</v>
      </c>
      <c r="K117" s="683">
        <f t="shared" si="7"/>
        <v>0</v>
      </c>
      <c r="L117" s="683">
        <f>実績2!O27</f>
        <v>0</v>
      </c>
      <c r="M117" s="683">
        <f>実績2!P27</f>
        <v>0</v>
      </c>
      <c r="N117" s="683">
        <f t="shared" si="8"/>
        <v>0</v>
      </c>
      <c r="O117" s="683">
        <f>実績2!Q27</f>
        <v>0</v>
      </c>
      <c r="P117" s="683">
        <f>実績2!R27</f>
        <v>0</v>
      </c>
      <c r="Q117" s="683">
        <f t="shared" si="9"/>
        <v>0</v>
      </c>
      <c r="R117" s="683">
        <f>実績2!S27</f>
        <v>0</v>
      </c>
      <c r="S117" s="683">
        <f>実績2!T27</f>
        <v>0</v>
      </c>
    </row>
    <row r="118" spans="1:19">
      <c r="A118" s="683"/>
      <c r="B118" s="683" t="s">
        <v>30</v>
      </c>
      <c r="C118" s="683">
        <f>実績2!I28</f>
        <v>0</v>
      </c>
      <c r="D118" s="683">
        <f>実績2!J28</f>
        <v>0</v>
      </c>
      <c r="E118" s="683">
        <f>計画2!$F28-C118+D118</f>
        <v>0</v>
      </c>
      <c r="F118" s="683">
        <f>実績2!K28</f>
        <v>0</v>
      </c>
      <c r="G118" s="683">
        <f>実績2!L28</f>
        <v>0</v>
      </c>
      <c r="H118" s="683">
        <f t="shared" si="6"/>
        <v>0</v>
      </c>
      <c r="I118" s="683">
        <f>実績2!M28</f>
        <v>0</v>
      </c>
      <c r="J118" s="683">
        <f>実績2!N28</f>
        <v>0</v>
      </c>
      <c r="K118" s="683">
        <f t="shared" si="7"/>
        <v>0</v>
      </c>
      <c r="L118" s="683">
        <f>実績2!O28</f>
        <v>0</v>
      </c>
      <c r="M118" s="683">
        <f>実績2!P28</f>
        <v>0</v>
      </c>
      <c r="N118" s="683">
        <f t="shared" si="8"/>
        <v>0</v>
      </c>
      <c r="O118" s="683">
        <f>実績2!Q28</f>
        <v>0</v>
      </c>
      <c r="P118" s="683">
        <f>実績2!R28</f>
        <v>0</v>
      </c>
      <c r="Q118" s="683">
        <f t="shared" si="9"/>
        <v>0</v>
      </c>
      <c r="R118" s="683">
        <f>実績2!S28</f>
        <v>0</v>
      </c>
      <c r="S118" s="683">
        <f>実績2!T28</f>
        <v>0</v>
      </c>
    </row>
    <row r="119" spans="1:19">
      <c r="A119" s="683"/>
      <c r="B119" s="683" t="s">
        <v>2216</v>
      </c>
      <c r="C119" s="683">
        <f>実績2!I29</f>
        <v>0</v>
      </c>
      <c r="D119" s="683">
        <f>実績2!J29</f>
        <v>0</v>
      </c>
      <c r="E119" s="683">
        <f>計画2!$F29-C119+D119</f>
        <v>0</v>
      </c>
      <c r="F119" s="683">
        <f>実績2!K29</f>
        <v>0</v>
      </c>
      <c r="G119" s="683">
        <f>実績2!L29</f>
        <v>0</v>
      </c>
      <c r="H119" s="683">
        <f t="shared" si="6"/>
        <v>0</v>
      </c>
      <c r="I119" s="683">
        <f>実績2!M29</f>
        <v>0</v>
      </c>
      <c r="J119" s="683">
        <f>実績2!N29</f>
        <v>0</v>
      </c>
      <c r="K119" s="683">
        <f t="shared" si="7"/>
        <v>0</v>
      </c>
      <c r="L119" s="683">
        <f>実績2!O29</f>
        <v>0</v>
      </c>
      <c r="M119" s="683">
        <f>実績2!P29</f>
        <v>0</v>
      </c>
      <c r="N119" s="683">
        <f t="shared" si="8"/>
        <v>0</v>
      </c>
      <c r="O119" s="683">
        <f>実績2!Q29</f>
        <v>0</v>
      </c>
      <c r="P119" s="683">
        <f>実績2!R29</f>
        <v>0</v>
      </c>
      <c r="Q119" s="683">
        <f t="shared" si="9"/>
        <v>0</v>
      </c>
      <c r="R119" s="683">
        <f>実績2!S29</f>
        <v>0</v>
      </c>
      <c r="S119" s="683">
        <f>実績2!T29</f>
        <v>0</v>
      </c>
    </row>
    <row r="120" spans="1:19">
      <c r="A120" s="683"/>
      <c r="B120" s="683" t="s">
        <v>2483</v>
      </c>
      <c r="C120" s="683">
        <f>実績2!I30</f>
        <v>0</v>
      </c>
      <c r="D120" s="683">
        <f>実績2!J30</f>
        <v>0</v>
      </c>
      <c r="E120" s="683">
        <f>計画2!$F30-C120+D120</f>
        <v>0</v>
      </c>
      <c r="F120" s="683">
        <f>実績2!K30</f>
        <v>0</v>
      </c>
      <c r="G120" s="683">
        <f>実績2!L30</f>
        <v>0</v>
      </c>
      <c r="H120" s="683">
        <f t="shared" si="6"/>
        <v>0</v>
      </c>
      <c r="I120" s="683">
        <f>実績2!M30</f>
        <v>0</v>
      </c>
      <c r="J120" s="683">
        <f>実績2!N30</f>
        <v>0</v>
      </c>
      <c r="K120" s="683">
        <f t="shared" si="7"/>
        <v>0</v>
      </c>
      <c r="L120" s="683">
        <f>実績2!O30</f>
        <v>0</v>
      </c>
      <c r="M120" s="683">
        <f>実績2!P30</f>
        <v>0</v>
      </c>
      <c r="N120" s="683">
        <f t="shared" si="8"/>
        <v>0</v>
      </c>
      <c r="O120" s="683">
        <f>実績2!Q30</f>
        <v>0</v>
      </c>
      <c r="P120" s="683">
        <f>実績2!R30</f>
        <v>0</v>
      </c>
      <c r="Q120" s="683">
        <f t="shared" si="9"/>
        <v>0</v>
      </c>
      <c r="R120" s="683">
        <f>実績2!S30</f>
        <v>0</v>
      </c>
      <c r="S120" s="683">
        <f>実績2!T30</f>
        <v>0</v>
      </c>
    </row>
    <row r="121" spans="1:19">
      <c r="A121" s="683"/>
      <c r="B121" s="683" t="s">
        <v>1291</v>
      </c>
      <c r="C121" s="683">
        <f>実績2!I31</f>
        <v>0</v>
      </c>
      <c r="D121" s="683">
        <f>実績2!J31</f>
        <v>0</v>
      </c>
      <c r="E121" s="683">
        <f>計画2!$F31-C121+D121</f>
        <v>0</v>
      </c>
      <c r="F121" s="683">
        <f>実績2!K31</f>
        <v>0</v>
      </c>
      <c r="G121" s="683">
        <f>実績2!L31</f>
        <v>0</v>
      </c>
      <c r="H121" s="683">
        <f t="shared" si="6"/>
        <v>0</v>
      </c>
      <c r="I121" s="683">
        <f>実績2!M31</f>
        <v>0</v>
      </c>
      <c r="J121" s="683">
        <f>実績2!N31</f>
        <v>0</v>
      </c>
      <c r="K121" s="683">
        <f t="shared" si="7"/>
        <v>0</v>
      </c>
      <c r="L121" s="683">
        <f>実績2!O31</f>
        <v>0</v>
      </c>
      <c r="M121" s="683">
        <f>実績2!P31</f>
        <v>0</v>
      </c>
      <c r="N121" s="683">
        <f t="shared" si="8"/>
        <v>0</v>
      </c>
      <c r="O121" s="683">
        <f>実績2!Q31</f>
        <v>0</v>
      </c>
      <c r="P121" s="683">
        <f>実績2!R31</f>
        <v>0</v>
      </c>
      <c r="Q121" s="683">
        <f t="shared" si="9"/>
        <v>0</v>
      </c>
      <c r="R121" s="683">
        <f>実績2!S31</f>
        <v>0</v>
      </c>
      <c r="S121" s="683">
        <f>実績2!T31</f>
        <v>0</v>
      </c>
    </row>
    <row r="122" spans="1:19">
      <c r="A122" s="683"/>
      <c r="B122" s="683" t="s">
        <v>638</v>
      </c>
      <c r="C122" s="683">
        <f>実績2!I32</f>
        <v>0</v>
      </c>
      <c r="D122" s="683">
        <f>実績2!J32</f>
        <v>0</v>
      </c>
      <c r="E122" s="683">
        <f>計画2!$F32-C122+D122</f>
        <v>0</v>
      </c>
      <c r="F122" s="683">
        <f>実績2!K32</f>
        <v>0</v>
      </c>
      <c r="G122" s="683">
        <f>実績2!L32</f>
        <v>0</v>
      </c>
      <c r="H122" s="683">
        <f t="shared" si="6"/>
        <v>0</v>
      </c>
      <c r="I122" s="683">
        <f>実績2!M32</f>
        <v>0</v>
      </c>
      <c r="J122" s="683">
        <f>実績2!N32</f>
        <v>0</v>
      </c>
      <c r="K122" s="683">
        <f t="shared" si="7"/>
        <v>0</v>
      </c>
      <c r="L122" s="683">
        <f>実績2!O32</f>
        <v>0</v>
      </c>
      <c r="M122" s="683">
        <f>実績2!P32</f>
        <v>0</v>
      </c>
      <c r="N122" s="683">
        <f t="shared" si="8"/>
        <v>0</v>
      </c>
      <c r="O122" s="683">
        <f>実績2!Q32</f>
        <v>0</v>
      </c>
      <c r="P122" s="683">
        <f>実績2!R32</f>
        <v>0</v>
      </c>
      <c r="Q122" s="683">
        <f t="shared" si="9"/>
        <v>0</v>
      </c>
      <c r="R122" s="683">
        <f>実績2!S32</f>
        <v>0</v>
      </c>
      <c r="S122" s="683">
        <f>実績2!T32</f>
        <v>0</v>
      </c>
    </row>
    <row r="123" spans="1:19">
      <c r="A123" s="683"/>
      <c r="B123" s="683" t="s">
        <v>2484</v>
      </c>
      <c r="C123" s="683">
        <f>実績2!I33</f>
        <v>0</v>
      </c>
      <c r="D123" s="683">
        <f>実績2!J33</f>
        <v>0</v>
      </c>
      <c r="E123" s="683">
        <f>計画2!$F33-C123+D123</f>
        <v>0</v>
      </c>
      <c r="F123" s="683">
        <f>実績2!K33</f>
        <v>0</v>
      </c>
      <c r="G123" s="683">
        <f>実績2!L33</f>
        <v>0</v>
      </c>
      <c r="H123" s="683">
        <f t="shared" si="6"/>
        <v>0</v>
      </c>
      <c r="I123" s="683">
        <f>実績2!M33</f>
        <v>0</v>
      </c>
      <c r="J123" s="683">
        <f>実績2!N33</f>
        <v>0</v>
      </c>
      <c r="K123" s="683">
        <f t="shared" si="7"/>
        <v>0</v>
      </c>
      <c r="L123" s="683">
        <f>実績2!O33</f>
        <v>0</v>
      </c>
      <c r="M123" s="683">
        <f>実績2!P33</f>
        <v>0</v>
      </c>
      <c r="N123" s="683">
        <f t="shared" si="8"/>
        <v>0</v>
      </c>
      <c r="O123" s="683">
        <f>実績2!Q33</f>
        <v>0</v>
      </c>
      <c r="P123" s="683">
        <f>実績2!R33</f>
        <v>0</v>
      </c>
      <c r="Q123" s="683">
        <f t="shared" si="9"/>
        <v>0</v>
      </c>
      <c r="R123" s="683">
        <f>実績2!S33</f>
        <v>0</v>
      </c>
      <c r="S123" s="683">
        <f>実績2!T33</f>
        <v>0</v>
      </c>
    </row>
    <row r="124" spans="1:19">
      <c r="A124" s="683"/>
      <c r="B124" s="683" t="s">
        <v>1634</v>
      </c>
      <c r="C124" s="683">
        <f>実績2!I34</f>
        <v>0</v>
      </c>
      <c r="D124" s="683">
        <f>実績2!J34</f>
        <v>0</v>
      </c>
      <c r="E124" s="683">
        <f>計画2!$F34-C124+D124</f>
        <v>0</v>
      </c>
      <c r="F124" s="683">
        <f>実績2!K34</f>
        <v>0</v>
      </c>
      <c r="G124" s="683">
        <f>実績2!L34</f>
        <v>0</v>
      </c>
      <c r="H124" s="683">
        <f t="shared" si="6"/>
        <v>0</v>
      </c>
      <c r="I124" s="683">
        <f>実績2!M34</f>
        <v>0</v>
      </c>
      <c r="J124" s="683">
        <f>実績2!N34</f>
        <v>0</v>
      </c>
      <c r="K124" s="683">
        <f t="shared" si="7"/>
        <v>0</v>
      </c>
      <c r="L124" s="683">
        <f>実績2!O34</f>
        <v>0</v>
      </c>
      <c r="M124" s="683">
        <f>実績2!P34</f>
        <v>0</v>
      </c>
      <c r="N124" s="683">
        <f t="shared" si="8"/>
        <v>0</v>
      </c>
      <c r="O124" s="683">
        <f>実績2!Q34</f>
        <v>0</v>
      </c>
      <c r="P124" s="683">
        <f>実績2!R34</f>
        <v>0</v>
      </c>
      <c r="Q124" s="683">
        <f t="shared" si="9"/>
        <v>0</v>
      </c>
      <c r="R124" s="683">
        <f>実績2!S34</f>
        <v>0</v>
      </c>
      <c r="S124" s="683">
        <f>実績2!T34</f>
        <v>0</v>
      </c>
    </row>
  </sheetData>
  <sheetProtection sheet="1" objects="1" scenarios="1"/>
  <mergeCells count="13">
    <mergeCell ref="A8:B8"/>
    <mergeCell ref="A3:B3"/>
    <mergeCell ref="A4:B4"/>
    <mergeCell ref="A5:B5"/>
    <mergeCell ref="A6:B6"/>
    <mergeCell ref="A7:B7"/>
    <mergeCell ref="A26:A29"/>
    <mergeCell ref="A31:B31"/>
    <mergeCell ref="A30:B30"/>
    <mergeCell ref="A10:A13"/>
    <mergeCell ref="A14:A17"/>
    <mergeCell ref="A18:A21"/>
    <mergeCell ref="A22:A25"/>
  </mergeCells>
  <phoneticPr fontId="2"/>
  <pageMargins left="0.98425196850393704" right="0.6692913385826772" top="0.78740157480314965" bottom="0.39370078740157483" header="0.39370078740157483" footer="0.19685039370078741"/>
  <headerFooter alignWithMargins="0">
    <oddHeader>&amp;A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E102"/>
  <sheetViews>
    <sheetView workbookViewId="0">
      <selection activeCell="C4" sqref="C4:C10"/>
    </sheetView>
  </sheetViews>
  <sheetFormatPr defaultColWidth="9" defaultRowHeight="13.5"/>
  <cols>
    <col min="1" max="1" width="3.875" style="19" customWidth="1"/>
    <col min="2" max="2" width="36.625" style="19" customWidth="1"/>
    <col min="3" max="3" width="4.5" style="19" customWidth="1"/>
    <col min="4" max="4" width="4.375" style="19" customWidth="1"/>
    <col min="5" max="5" width="36.625" style="19" customWidth="1"/>
    <col min="6" max="16384" width="9" style="19"/>
  </cols>
  <sheetData>
    <row r="1" spans="1:5" s="28" customFormat="1">
      <c r="E1" s="29" t="s">
        <v>652</v>
      </c>
    </row>
    <row r="2" spans="1:5" s="6" customFormat="1" ht="17.25">
      <c r="A2" s="1198" t="s">
        <v>653</v>
      </c>
      <c r="B2" s="1198"/>
      <c r="C2" s="1198"/>
      <c r="D2" s="1198"/>
      <c r="E2" s="1198"/>
    </row>
    <row r="3" spans="1:5" ht="14.25" thickBot="1">
      <c r="A3" s="28"/>
      <c r="B3" s="28"/>
      <c r="C3" s="28"/>
      <c r="D3" s="28"/>
      <c r="E3" s="28"/>
    </row>
    <row r="4" spans="1:5" s="1" customFormat="1" ht="15" customHeight="1">
      <c r="A4" s="641">
        <v>1</v>
      </c>
      <c r="B4" s="642" t="s">
        <v>654</v>
      </c>
      <c r="C4" s="643"/>
      <c r="D4" s="641">
        <v>50</v>
      </c>
      <c r="E4" s="642" t="s">
        <v>2401</v>
      </c>
    </row>
    <row r="5" spans="1:5" s="1" customFormat="1" ht="15" customHeight="1">
      <c r="A5" s="644">
        <v>2</v>
      </c>
      <c r="B5" s="645" t="s">
        <v>656</v>
      </c>
      <c r="C5" s="643"/>
      <c r="D5" s="646">
        <v>51</v>
      </c>
      <c r="E5" s="647" t="s">
        <v>655</v>
      </c>
    </row>
    <row r="6" spans="1:5" s="1" customFormat="1" ht="15" customHeight="1">
      <c r="A6" s="644">
        <v>3</v>
      </c>
      <c r="B6" s="645" t="s">
        <v>2402</v>
      </c>
      <c r="C6" s="643"/>
      <c r="D6" s="644">
        <v>52</v>
      </c>
      <c r="E6" s="645" t="s">
        <v>2403</v>
      </c>
    </row>
    <row r="7" spans="1:5" s="1" customFormat="1" ht="15" customHeight="1">
      <c r="A7" s="644">
        <v>4</v>
      </c>
      <c r="B7" s="645" t="s">
        <v>657</v>
      </c>
      <c r="C7" s="643"/>
      <c r="D7" s="644">
        <v>53</v>
      </c>
      <c r="E7" s="645" t="s">
        <v>2404</v>
      </c>
    </row>
    <row r="8" spans="1:5" s="1" customFormat="1" ht="15" customHeight="1">
      <c r="A8" s="644">
        <v>5</v>
      </c>
      <c r="B8" s="645" t="s">
        <v>2405</v>
      </c>
      <c r="C8" s="643"/>
      <c r="D8" s="644">
        <v>54</v>
      </c>
      <c r="E8" s="645" t="s">
        <v>658</v>
      </c>
    </row>
    <row r="9" spans="1:5" s="1" customFormat="1" ht="15" customHeight="1">
      <c r="A9" s="644">
        <v>6</v>
      </c>
      <c r="B9" s="645" t="s">
        <v>660</v>
      </c>
      <c r="C9" s="643"/>
      <c r="D9" s="644">
        <v>55</v>
      </c>
      <c r="E9" s="645" t="s">
        <v>659</v>
      </c>
    </row>
    <row r="10" spans="1:5" s="1" customFormat="1" ht="15" customHeight="1">
      <c r="A10" s="644">
        <v>7</v>
      </c>
      <c r="B10" s="645" t="s">
        <v>663</v>
      </c>
      <c r="C10" s="643"/>
      <c r="D10" s="644">
        <v>56</v>
      </c>
      <c r="E10" s="645" t="s">
        <v>661</v>
      </c>
    </row>
    <row r="11" spans="1:5" s="1" customFormat="1" ht="15" customHeight="1">
      <c r="A11" s="644">
        <v>8</v>
      </c>
      <c r="B11" s="645" t="s">
        <v>665</v>
      </c>
      <c r="C11" s="643"/>
      <c r="D11" s="644">
        <v>57</v>
      </c>
      <c r="E11" s="645" t="s">
        <v>664</v>
      </c>
    </row>
    <row r="12" spans="1:5" s="1" customFormat="1" ht="15" customHeight="1">
      <c r="A12" s="644">
        <v>9</v>
      </c>
      <c r="B12" s="645" t="s">
        <v>667</v>
      </c>
      <c r="C12" s="643"/>
      <c r="D12" s="644">
        <v>58</v>
      </c>
      <c r="E12" s="645" t="s">
        <v>666</v>
      </c>
    </row>
    <row r="13" spans="1:5" s="1" customFormat="1" ht="15" customHeight="1">
      <c r="A13" s="644">
        <v>10</v>
      </c>
      <c r="B13" s="645" t="s">
        <v>668</v>
      </c>
      <c r="C13" s="643"/>
      <c r="D13" s="644">
        <v>59</v>
      </c>
      <c r="E13" s="645" t="s">
        <v>2406</v>
      </c>
    </row>
    <row r="14" spans="1:5" s="1" customFormat="1" ht="15" customHeight="1">
      <c r="A14" s="644">
        <v>11</v>
      </c>
      <c r="B14" s="645" t="s">
        <v>2407</v>
      </c>
      <c r="C14" s="643"/>
      <c r="D14" s="644">
        <v>60</v>
      </c>
      <c r="E14" s="645" t="s">
        <v>1725</v>
      </c>
    </row>
    <row r="15" spans="1:5" s="1" customFormat="1" ht="15" customHeight="1">
      <c r="A15" s="644">
        <v>12</v>
      </c>
      <c r="B15" s="645" t="s">
        <v>1727</v>
      </c>
      <c r="C15" s="643"/>
      <c r="D15" s="644">
        <v>61</v>
      </c>
      <c r="E15" s="645" t="s">
        <v>2408</v>
      </c>
    </row>
    <row r="16" spans="1:5" s="1" customFormat="1" ht="15" customHeight="1">
      <c r="A16" s="644">
        <v>13</v>
      </c>
      <c r="B16" s="645" t="s">
        <v>1729</v>
      </c>
      <c r="C16" s="643"/>
      <c r="D16" s="644">
        <v>62</v>
      </c>
      <c r="E16" s="645" t="s">
        <v>1726</v>
      </c>
    </row>
    <row r="17" spans="1:5" s="1" customFormat="1" ht="15" customHeight="1">
      <c r="A17" s="644">
        <v>14</v>
      </c>
      <c r="B17" s="645" t="s">
        <v>1731</v>
      </c>
      <c r="C17" s="643"/>
      <c r="D17" s="644">
        <v>63</v>
      </c>
      <c r="E17" s="645" t="s">
        <v>1728</v>
      </c>
    </row>
    <row r="18" spans="1:5" s="1" customFormat="1" ht="15" customHeight="1">
      <c r="A18" s="644">
        <v>15</v>
      </c>
      <c r="B18" s="645" t="s">
        <v>1732</v>
      </c>
      <c r="C18" s="643"/>
      <c r="D18" s="644">
        <v>64</v>
      </c>
      <c r="E18" s="645" t="s">
        <v>2409</v>
      </c>
    </row>
    <row r="19" spans="1:5" s="1" customFormat="1" ht="15" customHeight="1">
      <c r="A19" s="644">
        <v>16</v>
      </c>
      <c r="B19" s="645" t="s">
        <v>1733</v>
      </c>
      <c r="C19" s="643"/>
      <c r="D19" s="644">
        <v>65</v>
      </c>
      <c r="E19" s="645" t="s">
        <v>2410</v>
      </c>
    </row>
    <row r="20" spans="1:5" s="1" customFormat="1" ht="15" customHeight="1">
      <c r="A20" s="644">
        <v>17</v>
      </c>
      <c r="B20" s="645" t="s">
        <v>1734</v>
      </c>
      <c r="C20" s="643"/>
      <c r="D20" s="644">
        <v>66</v>
      </c>
      <c r="E20" s="648" t="s">
        <v>2411</v>
      </c>
    </row>
    <row r="21" spans="1:5" s="1" customFormat="1" ht="15" customHeight="1">
      <c r="A21" s="644">
        <v>18</v>
      </c>
      <c r="B21" s="645" t="s">
        <v>1736</v>
      </c>
      <c r="C21" s="643"/>
      <c r="D21" s="644">
        <v>67</v>
      </c>
      <c r="E21" s="645" t="s">
        <v>1735</v>
      </c>
    </row>
    <row r="22" spans="1:5" s="1" customFormat="1" ht="15" customHeight="1">
      <c r="A22" s="644">
        <v>19</v>
      </c>
      <c r="B22" s="645" t="s">
        <v>1738</v>
      </c>
      <c r="C22" s="643"/>
      <c r="D22" s="644">
        <v>68</v>
      </c>
      <c r="E22" s="645" t="s">
        <v>1737</v>
      </c>
    </row>
    <row r="23" spans="1:5" s="1" customFormat="1" ht="15" customHeight="1">
      <c r="A23" s="644">
        <v>20</v>
      </c>
      <c r="B23" s="645" t="s">
        <v>1740</v>
      </c>
      <c r="C23" s="643"/>
      <c r="D23" s="644">
        <v>69</v>
      </c>
      <c r="E23" s="645" t="s">
        <v>1739</v>
      </c>
    </row>
    <row r="24" spans="1:5" s="1" customFormat="1" ht="15" customHeight="1">
      <c r="A24" s="644">
        <v>21</v>
      </c>
      <c r="B24" s="645" t="s">
        <v>1741</v>
      </c>
      <c r="C24" s="643"/>
      <c r="D24" s="644">
        <v>70</v>
      </c>
      <c r="E24" s="645" t="s">
        <v>1774</v>
      </c>
    </row>
    <row r="25" spans="1:5" s="1" customFormat="1" ht="15" customHeight="1">
      <c r="A25" s="644">
        <v>22</v>
      </c>
      <c r="B25" s="645" t="s">
        <v>1742</v>
      </c>
      <c r="C25" s="643"/>
      <c r="D25" s="644">
        <v>71</v>
      </c>
      <c r="E25" s="645" t="s">
        <v>2412</v>
      </c>
    </row>
    <row r="26" spans="1:5" s="1" customFormat="1" ht="15" customHeight="1">
      <c r="A26" s="644">
        <v>23</v>
      </c>
      <c r="B26" s="645" t="s">
        <v>1744</v>
      </c>
      <c r="C26" s="643"/>
      <c r="D26" s="644">
        <v>72</v>
      </c>
      <c r="E26" s="645" t="s">
        <v>1755</v>
      </c>
    </row>
    <row r="27" spans="1:5" s="1" customFormat="1" ht="15" customHeight="1">
      <c r="A27" s="644">
        <v>24</v>
      </c>
      <c r="B27" s="645" t="s">
        <v>1746</v>
      </c>
      <c r="C27" s="643"/>
      <c r="D27" s="644">
        <v>73</v>
      </c>
      <c r="E27" s="645" t="s">
        <v>1776</v>
      </c>
    </row>
    <row r="28" spans="1:5" s="1" customFormat="1" ht="15" customHeight="1">
      <c r="A28" s="644">
        <v>25</v>
      </c>
      <c r="B28" s="645" t="s">
        <v>2413</v>
      </c>
      <c r="C28" s="643"/>
      <c r="D28" s="644">
        <v>74</v>
      </c>
      <c r="E28" s="645" t="s">
        <v>2414</v>
      </c>
    </row>
    <row r="29" spans="1:5" s="1" customFormat="1" ht="15" customHeight="1">
      <c r="A29" s="644">
        <v>26</v>
      </c>
      <c r="B29" s="645" t="s">
        <v>2415</v>
      </c>
      <c r="C29" s="643"/>
      <c r="D29" s="644">
        <v>75</v>
      </c>
      <c r="E29" s="645" t="s">
        <v>1743</v>
      </c>
    </row>
    <row r="30" spans="1:5" s="1" customFormat="1" ht="15" customHeight="1">
      <c r="A30" s="644">
        <v>27</v>
      </c>
      <c r="B30" s="645" t="s">
        <v>2416</v>
      </c>
      <c r="C30" s="643"/>
      <c r="D30" s="644">
        <v>76</v>
      </c>
      <c r="E30" s="645" t="s">
        <v>2417</v>
      </c>
    </row>
    <row r="31" spans="1:5" s="1" customFormat="1" ht="15" customHeight="1">
      <c r="A31" s="644">
        <v>28</v>
      </c>
      <c r="B31" s="645" t="s">
        <v>2418</v>
      </c>
      <c r="C31" s="643"/>
      <c r="D31" s="644">
        <v>77</v>
      </c>
      <c r="E31" s="645" t="s">
        <v>2419</v>
      </c>
    </row>
    <row r="32" spans="1:5" s="1" customFormat="1" ht="15" customHeight="1">
      <c r="A32" s="644">
        <v>29</v>
      </c>
      <c r="B32" s="645" t="s">
        <v>1749</v>
      </c>
      <c r="C32" s="643"/>
      <c r="D32" s="644">
        <v>78</v>
      </c>
      <c r="E32" s="645" t="s">
        <v>1758</v>
      </c>
    </row>
    <row r="33" spans="1:5" s="1" customFormat="1" ht="15" customHeight="1">
      <c r="A33" s="644">
        <v>30</v>
      </c>
      <c r="B33" s="645" t="s">
        <v>1751</v>
      </c>
      <c r="C33" s="643"/>
      <c r="D33" s="644">
        <v>79</v>
      </c>
      <c r="E33" s="645" t="s">
        <v>1760</v>
      </c>
    </row>
    <row r="34" spans="1:5" s="1" customFormat="1" ht="15" customHeight="1">
      <c r="A34" s="644">
        <v>31</v>
      </c>
      <c r="B34" s="645" t="s">
        <v>1753</v>
      </c>
      <c r="C34" s="643"/>
      <c r="D34" s="644">
        <v>80</v>
      </c>
      <c r="E34" s="645" t="s">
        <v>1762</v>
      </c>
    </row>
    <row r="35" spans="1:5" s="1" customFormat="1" ht="15" customHeight="1">
      <c r="A35" s="644">
        <v>32</v>
      </c>
      <c r="B35" s="645" t="s">
        <v>1756</v>
      </c>
      <c r="C35" s="643"/>
      <c r="D35" s="644">
        <v>81</v>
      </c>
      <c r="E35" s="645" t="s">
        <v>1750</v>
      </c>
    </row>
    <row r="36" spans="1:5" s="1" customFormat="1" ht="15" customHeight="1">
      <c r="A36" s="644">
        <v>33</v>
      </c>
      <c r="B36" s="645" t="s">
        <v>1757</v>
      </c>
      <c r="C36" s="643"/>
      <c r="D36" s="644">
        <v>82</v>
      </c>
      <c r="E36" s="645" t="s">
        <v>1752</v>
      </c>
    </row>
    <row r="37" spans="1:5" s="1" customFormat="1" ht="15" customHeight="1">
      <c r="A37" s="644">
        <v>34</v>
      </c>
      <c r="B37" s="645" t="s">
        <v>1759</v>
      </c>
      <c r="C37" s="643"/>
      <c r="D37" s="644">
        <v>83</v>
      </c>
      <c r="E37" s="645" t="s">
        <v>1745</v>
      </c>
    </row>
    <row r="38" spans="1:5" s="1" customFormat="1" ht="15" customHeight="1">
      <c r="A38" s="644">
        <v>35</v>
      </c>
      <c r="B38" s="645" t="s">
        <v>1761</v>
      </c>
      <c r="C38" s="643"/>
      <c r="D38" s="644">
        <v>84</v>
      </c>
      <c r="E38" s="645" t="s">
        <v>1747</v>
      </c>
    </row>
    <row r="39" spans="1:5" s="1" customFormat="1" ht="15" customHeight="1">
      <c r="A39" s="644">
        <v>36</v>
      </c>
      <c r="B39" s="645" t="s">
        <v>1763</v>
      </c>
      <c r="C39" s="643"/>
      <c r="D39" s="644">
        <v>85</v>
      </c>
      <c r="E39" s="645" t="s">
        <v>1748</v>
      </c>
    </row>
    <row r="40" spans="1:5" s="1" customFormat="1" ht="15" customHeight="1">
      <c r="A40" s="644">
        <v>37</v>
      </c>
      <c r="B40" s="645" t="s">
        <v>1765</v>
      </c>
      <c r="C40" s="643"/>
      <c r="D40" s="644">
        <v>86</v>
      </c>
      <c r="E40" s="645" t="s">
        <v>2420</v>
      </c>
    </row>
    <row r="41" spans="1:5" s="1" customFormat="1" ht="15" customHeight="1">
      <c r="A41" s="644">
        <v>38</v>
      </c>
      <c r="B41" s="645" t="s">
        <v>1768</v>
      </c>
      <c r="C41" s="643"/>
      <c r="D41" s="644">
        <v>87</v>
      </c>
      <c r="E41" s="645" t="s">
        <v>1754</v>
      </c>
    </row>
    <row r="42" spans="1:5" s="1" customFormat="1" ht="15" customHeight="1">
      <c r="A42" s="644">
        <v>39</v>
      </c>
      <c r="B42" s="645" t="s">
        <v>1773</v>
      </c>
      <c r="C42" s="643"/>
      <c r="D42" s="644">
        <v>88</v>
      </c>
      <c r="E42" s="645" t="s">
        <v>1764</v>
      </c>
    </row>
    <row r="43" spans="1:5" s="1" customFormat="1" ht="15" customHeight="1">
      <c r="A43" s="644">
        <v>40</v>
      </c>
      <c r="B43" s="645" t="s">
        <v>1775</v>
      </c>
      <c r="C43" s="643"/>
      <c r="D43" s="644">
        <v>89</v>
      </c>
      <c r="E43" s="645" t="s">
        <v>1766</v>
      </c>
    </row>
    <row r="44" spans="1:5" s="1" customFormat="1" ht="15" customHeight="1">
      <c r="A44" s="644">
        <v>41</v>
      </c>
      <c r="B44" s="645" t="s">
        <v>1777</v>
      </c>
      <c r="C44" s="643"/>
      <c r="D44" s="644">
        <v>90</v>
      </c>
      <c r="E44" s="645" t="s">
        <v>1769</v>
      </c>
    </row>
    <row r="45" spans="1:5" s="1" customFormat="1" ht="15" customHeight="1">
      <c r="A45" s="644">
        <v>42</v>
      </c>
      <c r="B45" s="645" t="s">
        <v>1778</v>
      </c>
      <c r="C45" s="643"/>
      <c r="D45" s="644">
        <v>91</v>
      </c>
      <c r="E45" s="645" t="s">
        <v>2421</v>
      </c>
    </row>
    <row r="46" spans="1:5" s="1" customFormat="1" ht="15" customHeight="1">
      <c r="A46" s="644">
        <v>43</v>
      </c>
      <c r="B46" s="645" t="s">
        <v>1780</v>
      </c>
      <c r="C46" s="643"/>
      <c r="D46" s="644">
        <v>92</v>
      </c>
      <c r="E46" s="645" t="s">
        <v>2422</v>
      </c>
    </row>
    <row r="47" spans="1:5" s="1" customFormat="1" ht="15" customHeight="1">
      <c r="A47" s="644">
        <v>44</v>
      </c>
      <c r="B47" s="645" t="s">
        <v>1782</v>
      </c>
      <c r="C47" s="643"/>
      <c r="D47" s="644">
        <v>93</v>
      </c>
      <c r="E47" s="645" t="s">
        <v>1779</v>
      </c>
    </row>
    <row r="48" spans="1:5" s="1" customFormat="1" ht="15" customHeight="1">
      <c r="A48" s="644">
        <v>45</v>
      </c>
      <c r="B48" s="645" t="s">
        <v>1784</v>
      </c>
      <c r="C48" s="643"/>
      <c r="D48" s="644">
        <v>94</v>
      </c>
      <c r="E48" s="645" t="s">
        <v>1781</v>
      </c>
    </row>
    <row r="49" spans="1:5" s="1" customFormat="1" ht="15" customHeight="1">
      <c r="A49" s="644">
        <v>46</v>
      </c>
      <c r="B49" s="645" t="s">
        <v>1786</v>
      </c>
      <c r="C49" s="643"/>
      <c r="D49" s="644">
        <v>95</v>
      </c>
      <c r="E49" s="645" t="s">
        <v>1783</v>
      </c>
    </row>
    <row r="50" spans="1:5" s="1" customFormat="1" ht="15" customHeight="1">
      <c r="A50" s="644">
        <v>47</v>
      </c>
      <c r="B50" s="645" t="s">
        <v>1788</v>
      </c>
      <c r="C50" s="643"/>
      <c r="D50" s="644">
        <v>96</v>
      </c>
      <c r="E50" s="645" t="s">
        <v>1785</v>
      </c>
    </row>
    <row r="51" spans="1:5" s="1" customFormat="1" ht="15" customHeight="1">
      <c r="A51" s="644">
        <v>48</v>
      </c>
      <c r="B51" s="645" t="s">
        <v>1790</v>
      </c>
      <c r="C51" s="643"/>
      <c r="D51" s="644">
        <v>97</v>
      </c>
      <c r="E51" s="645" t="s">
        <v>1787</v>
      </c>
    </row>
    <row r="52" spans="1:5" s="1" customFormat="1" ht="15" customHeight="1" thickBot="1">
      <c r="A52" s="649">
        <v>49</v>
      </c>
      <c r="B52" s="650" t="s">
        <v>2423</v>
      </c>
      <c r="C52" s="651"/>
      <c r="D52" s="644">
        <v>98</v>
      </c>
      <c r="E52" s="645" t="s">
        <v>1789</v>
      </c>
    </row>
    <row r="53" spans="1:5" ht="14.25" thickBot="1">
      <c r="A53" s="652">
        <v>50</v>
      </c>
      <c r="B53" s="652" t="s">
        <v>2401</v>
      </c>
      <c r="C53" s="28"/>
      <c r="D53" s="649">
        <v>99</v>
      </c>
      <c r="E53" s="650" t="s">
        <v>1791</v>
      </c>
    </row>
    <row r="54" spans="1:5">
      <c r="A54" s="88">
        <v>51</v>
      </c>
      <c r="B54" s="88" t="s">
        <v>655</v>
      </c>
      <c r="C54" s="28"/>
      <c r="D54" s="28"/>
      <c r="E54" s="28"/>
    </row>
    <row r="55" spans="1:5">
      <c r="A55" s="88">
        <v>52</v>
      </c>
      <c r="B55" s="88" t="s">
        <v>2403</v>
      </c>
      <c r="C55" s="28"/>
      <c r="D55" s="28"/>
      <c r="E55" s="28"/>
    </row>
    <row r="56" spans="1:5">
      <c r="A56" s="88">
        <v>53</v>
      </c>
      <c r="B56" s="88" t="s">
        <v>2404</v>
      </c>
      <c r="C56" s="28"/>
      <c r="D56" s="28"/>
      <c r="E56" s="28"/>
    </row>
    <row r="57" spans="1:5">
      <c r="A57" s="88">
        <v>54</v>
      </c>
      <c r="B57" s="88" t="s">
        <v>658</v>
      </c>
      <c r="C57" s="28"/>
      <c r="D57" s="28"/>
      <c r="E57" s="28"/>
    </row>
    <row r="58" spans="1:5">
      <c r="A58" s="88">
        <v>55</v>
      </c>
      <c r="B58" s="88" t="s">
        <v>659</v>
      </c>
      <c r="C58" s="28"/>
      <c r="D58" s="28"/>
      <c r="E58" s="28"/>
    </row>
    <row r="59" spans="1:5">
      <c r="A59" s="88">
        <v>56</v>
      </c>
      <c r="B59" s="88" t="s">
        <v>661</v>
      </c>
      <c r="C59" s="28"/>
      <c r="D59" s="28"/>
      <c r="E59" s="28"/>
    </row>
    <row r="60" spans="1:5">
      <c r="A60" s="88">
        <v>57</v>
      </c>
      <c r="B60" s="88" t="s">
        <v>664</v>
      </c>
      <c r="C60" s="28"/>
      <c r="D60" s="28"/>
      <c r="E60" s="28"/>
    </row>
    <row r="61" spans="1:5">
      <c r="A61" s="88">
        <v>58</v>
      </c>
      <c r="B61" s="88" t="s">
        <v>666</v>
      </c>
      <c r="C61" s="28"/>
      <c r="D61" s="28"/>
      <c r="E61" s="28"/>
    </row>
    <row r="62" spans="1:5">
      <c r="A62" s="88">
        <v>59</v>
      </c>
      <c r="B62" s="88" t="s">
        <v>2406</v>
      </c>
      <c r="C62" s="28"/>
      <c r="D62" s="28"/>
      <c r="E62" s="28"/>
    </row>
    <row r="63" spans="1:5">
      <c r="A63" s="88">
        <v>60</v>
      </c>
      <c r="B63" s="88" t="s">
        <v>1725</v>
      </c>
      <c r="C63" s="28"/>
      <c r="D63" s="28"/>
      <c r="E63" s="28"/>
    </row>
    <row r="64" spans="1:5">
      <c r="A64" s="88">
        <v>61</v>
      </c>
      <c r="B64" s="88" t="s">
        <v>2408</v>
      </c>
      <c r="C64" s="28"/>
      <c r="D64" s="28"/>
      <c r="E64" s="28"/>
    </row>
    <row r="65" spans="1:5">
      <c r="A65" s="88">
        <v>62</v>
      </c>
      <c r="B65" s="88" t="s">
        <v>1726</v>
      </c>
      <c r="C65" s="28"/>
      <c r="D65" s="28"/>
      <c r="E65" s="28"/>
    </row>
    <row r="66" spans="1:5">
      <c r="A66" s="88">
        <v>63</v>
      </c>
      <c r="B66" s="88" t="s">
        <v>1728</v>
      </c>
      <c r="C66" s="28"/>
      <c r="D66" s="28"/>
      <c r="E66" s="28"/>
    </row>
    <row r="67" spans="1:5">
      <c r="A67" s="88">
        <v>64</v>
      </c>
      <c r="B67" s="88" t="s">
        <v>2409</v>
      </c>
      <c r="C67" s="28"/>
      <c r="D67" s="28"/>
      <c r="E67" s="28"/>
    </row>
    <row r="68" spans="1:5">
      <c r="A68" s="88">
        <v>65</v>
      </c>
      <c r="B68" s="88" t="s">
        <v>2410</v>
      </c>
      <c r="C68" s="28"/>
      <c r="D68" s="28"/>
      <c r="E68" s="28"/>
    </row>
    <row r="69" spans="1:5">
      <c r="A69" s="88">
        <v>66</v>
      </c>
      <c r="B69" s="88" t="s">
        <v>2411</v>
      </c>
      <c r="C69" s="28"/>
      <c r="D69" s="28"/>
      <c r="E69" s="28"/>
    </row>
    <row r="70" spans="1:5">
      <c r="A70" s="88">
        <v>67</v>
      </c>
      <c r="B70" s="88" t="s">
        <v>1735</v>
      </c>
      <c r="C70" s="28"/>
      <c r="D70" s="28"/>
      <c r="E70" s="28"/>
    </row>
    <row r="71" spans="1:5">
      <c r="A71" s="88">
        <v>68</v>
      </c>
      <c r="B71" s="88" t="s">
        <v>1737</v>
      </c>
      <c r="C71" s="28"/>
      <c r="D71" s="28"/>
      <c r="E71" s="28"/>
    </row>
    <row r="72" spans="1:5">
      <c r="A72" s="88">
        <v>69</v>
      </c>
      <c r="B72" s="88" t="s">
        <v>1739</v>
      </c>
      <c r="C72" s="28"/>
      <c r="D72" s="28"/>
      <c r="E72" s="28"/>
    </row>
    <row r="73" spans="1:5">
      <c r="A73" s="88">
        <v>70</v>
      </c>
      <c r="B73" s="88" t="s">
        <v>1774</v>
      </c>
      <c r="C73" s="28"/>
      <c r="D73" s="28"/>
      <c r="E73" s="28"/>
    </row>
    <row r="74" spans="1:5">
      <c r="A74" s="88">
        <v>71</v>
      </c>
      <c r="B74" s="88" t="s">
        <v>2412</v>
      </c>
      <c r="C74" s="28"/>
      <c r="D74" s="28"/>
      <c r="E74" s="28"/>
    </row>
    <row r="75" spans="1:5">
      <c r="A75" s="88">
        <v>72</v>
      </c>
      <c r="B75" s="88" t="s">
        <v>1755</v>
      </c>
      <c r="C75" s="28"/>
      <c r="D75" s="28"/>
      <c r="E75" s="28"/>
    </row>
    <row r="76" spans="1:5">
      <c r="A76" s="88">
        <v>73</v>
      </c>
      <c r="B76" s="88" t="s">
        <v>1776</v>
      </c>
      <c r="C76" s="28"/>
      <c r="D76" s="28"/>
      <c r="E76" s="28"/>
    </row>
    <row r="77" spans="1:5">
      <c r="A77" s="88">
        <v>74</v>
      </c>
      <c r="B77" s="88" t="s">
        <v>2414</v>
      </c>
      <c r="C77" s="28"/>
      <c r="D77" s="28"/>
      <c r="E77" s="28"/>
    </row>
    <row r="78" spans="1:5">
      <c r="A78" s="88">
        <v>75</v>
      </c>
      <c r="B78" s="88" t="s">
        <v>1743</v>
      </c>
      <c r="C78" s="28"/>
      <c r="D78" s="28"/>
      <c r="E78" s="28"/>
    </row>
    <row r="79" spans="1:5">
      <c r="A79" s="88">
        <v>76</v>
      </c>
      <c r="B79" s="88" t="s">
        <v>2417</v>
      </c>
      <c r="C79" s="28"/>
      <c r="D79" s="28"/>
      <c r="E79" s="28"/>
    </row>
    <row r="80" spans="1:5">
      <c r="A80" s="88">
        <v>77</v>
      </c>
      <c r="B80" s="88" t="s">
        <v>2419</v>
      </c>
      <c r="C80" s="28"/>
      <c r="D80" s="28"/>
      <c r="E80" s="28"/>
    </row>
    <row r="81" spans="1:5">
      <c r="A81" s="88">
        <v>78</v>
      </c>
      <c r="B81" s="88" t="s">
        <v>1758</v>
      </c>
      <c r="C81" s="28"/>
      <c r="D81" s="28"/>
      <c r="E81" s="28"/>
    </row>
    <row r="82" spans="1:5">
      <c r="A82" s="88">
        <v>79</v>
      </c>
      <c r="B82" s="88" t="s">
        <v>1760</v>
      </c>
      <c r="C82" s="28"/>
      <c r="D82" s="28"/>
      <c r="E82" s="28"/>
    </row>
    <row r="83" spans="1:5">
      <c r="A83" s="88">
        <v>80</v>
      </c>
      <c r="B83" s="88" t="s">
        <v>1762</v>
      </c>
      <c r="C83" s="28"/>
      <c r="D83" s="28"/>
      <c r="E83" s="28"/>
    </row>
    <row r="84" spans="1:5">
      <c r="A84" s="88">
        <v>81</v>
      </c>
      <c r="B84" s="88" t="s">
        <v>1750</v>
      </c>
      <c r="C84" s="28"/>
      <c r="D84" s="28"/>
      <c r="E84" s="28"/>
    </row>
    <row r="85" spans="1:5">
      <c r="A85" s="88">
        <v>82</v>
      </c>
      <c r="B85" s="88" t="s">
        <v>1752</v>
      </c>
      <c r="C85" s="28"/>
      <c r="D85" s="28"/>
      <c r="E85" s="28"/>
    </row>
    <row r="86" spans="1:5">
      <c r="A86" s="88">
        <v>83</v>
      </c>
      <c r="B86" s="88" t="s">
        <v>1745</v>
      </c>
      <c r="C86" s="28"/>
      <c r="D86" s="28"/>
      <c r="E86" s="28"/>
    </row>
    <row r="87" spans="1:5">
      <c r="A87" s="88">
        <v>84</v>
      </c>
      <c r="B87" s="88" t="s">
        <v>1747</v>
      </c>
      <c r="C87" s="28"/>
      <c r="D87" s="28"/>
      <c r="E87" s="28"/>
    </row>
    <row r="88" spans="1:5">
      <c r="A88" s="88">
        <v>85</v>
      </c>
      <c r="B88" s="88" t="s">
        <v>1748</v>
      </c>
      <c r="C88" s="28"/>
      <c r="D88" s="28"/>
      <c r="E88" s="28"/>
    </row>
    <row r="89" spans="1:5">
      <c r="A89" s="88">
        <v>86</v>
      </c>
      <c r="B89" s="88" t="s">
        <v>2420</v>
      </c>
      <c r="C89" s="28"/>
      <c r="D89" s="28"/>
      <c r="E89" s="28"/>
    </row>
    <row r="90" spans="1:5">
      <c r="A90" s="88">
        <v>87</v>
      </c>
      <c r="B90" s="88" t="s">
        <v>1754</v>
      </c>
      <c r="C90" s="28"/>
      <c r="D90" s="28"/>
      <c r="E90" s="28"/>
    </row>
    <row r="91" spans="1:5">
      <c r="A91" s="88">
        <v>88</v>
      </c>
      <c r="B91" s="88" t="s">
        <v>1764</v>
      </c>
      <c r="C91" s="28"/>
      <c r="D91" s="28"/>
      <c r="E91" s="28"/>
    </row>
    <row r="92" spans="1:5">
      <c r="A92" s="88">
        <v>89</v>
      </c>
      <c r="B92" s="88" t="s">
        <v>1766</v>
      </c>
      <c r="C92" s="28"/>
      <c r="D92" s="28"/>
      <c r="E92" s="28"/>
    </row>
    <row r="93" spans="1:5">
      <c r="A93" s="88">
        <v>90</v>
      </c>
      <c r="B93" s="88" t="s">
        <v>1769</v>
      </c>
      <c r="C93" s="28"/>
      <c r="D93" s="28"/>
      <c r="E93" s="28"/>
    </row>
    <row r="94" spans="1:5">
      <c r="A94" s="88">
        <v>91</v>
      </c>
      <c r="B94" s="88" t="s">
        <v>2421</v>
      </c>
      <c r="C94" s="28"/>
      <c r="D94" s="28"/>
      <c r="E94" s="28"/>
    </row>
    <row r="95" spans="1:5">
      <c r="A95" s="88">
        <v>92</v>
      </c>
      <c r="B95" s="88" t="s">
        <v>2422</v>
      </c>
      <c r="C95" s="28"/>
      <c r="D95" s="28"/>
      <c r="E95" s="28"/>
    </row>
    <row r="96" spans="1:5">
      <c r="A96" s="88">
        <v>93</v>
      </c>
      <c r="B96" s="88" t="s">
        <v>1779</v>
      </c>
      <c r="C96" s="28"/>
      <c r="D96" s="28"/>
      <c r="E96" s="28"/>
    </row>
    <row r="97" spans="1:5">
      <c r="A97" s="88">
        <v>94</v>
      </c>
      <c r="B97" s="88" t="s">
        <v>1781</v>
      </c>
      <c r="C97" s="28"/>
      <c r="D97" s="28"/>
      <c r="E97" s="28"/>
    </row>
    <row r="98" spans="1:5">
      <c r="A98" s="88">
        <v>95</v>
      </c>
      <c r="B98" s="88" t="s">
        <v>1783</v>
      </c>
      <c r="C98" s="28"/>
      <c r="D98" s="28"/>
      <c r="E98" s="28"/>
    </row>
    <row r="99" spans="1:5">
      <c r="A99" s="88">
        <v>96</v>
      </c>
      <c r="B99" s="88" t="s">
        <v>1785</v>
      </c>
      <c r="C99" s="28"/>
      <c r="D99" s="28"/>
      <c r="E99" s="28"/>
    </row>
    <row r="100" spans="1:5">
      <c r="A100" s="88">
        <v>97</v>
      </c>
      <c r="B100" s="88" t="s">
        <v>1787</v>
      </c>
      <c r="C100" s="28"/>
      <c r="D100" s="28"/>
      <c r="E100" s="28"/>
    </row>
    <row r="101" spans="1:5">
      <c r="A101" s="653">
        <v>98</v>
      </c>
      <c r="B101" s="653" t="s">
        <v>1789</v>
      </c>
      <c r="C101" s="28"/>
      <c r="D101" s="28"/>
      <c r="E101" s="28"/>
    </row>
    <row r="102" spans="1:5">
      <c r="A102" s="653">
        <v>99</v>
      </c>
      <c r="B102" s="653" t="s">
        <v>1791</v>
      </c>
      <c r="C102" s="28"/>
      <c r="D102" s="28"/>
      <c r="E102" s="28"/>
    </row>
  </sheetData>
  <sheetProtection password="CC23" sheet="1" objects="1" scenarios="1"/>
  <mergeCells count="1">
    <mergeCell ref="A2:E2"/>
  </mergeCells>
  <phoneticPr fontId="2"/>
  <pageMargins left="0.78740157480314965" right="0.78740157480314965" top="0.62992125984251968" bottom="0.98425196850393704" header="0.51181102362204722" footer="0.51181102362204722"/>
  <headerFooter alignWithMargins="0">
    <oddHeader>&amp;L&amp;A&amp;R&amp;"Century,標準"&amp;P/&amp;N</oddHeader>
    <oddFooter>&amp;L&amp;D</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33"/>
  <sheetViews>
    <sheetView topLeftCell="A571" workbookViewId="0">
      <selection activeCell="D603" sqref="D603"/>
    </sheetView>
  </sheetViews>
  <sheetFormatPr defaultRowHeight="13.5"/>
  <cols>
    <col min="1" max="1" width="168.625" customWidth="1"/>
  </cols>
  <sheetData>
    <row r="1" spans="1:10" ht="233.25" customHeight="1">
      <c r="A1" s="776" t="s">
        <v>2863</v>
      </c>
    </row>
    <row r="2" spans="1:10" s="778" customFormat="1" ht="320.25" customHeight="1" thickBot="1">
      <c r="A2" s="777" t="s">
        <v>2864</v>
      </c>
    </row>
    <row r="3" spans="1:10" s="781" customFormat="1" ht="17.25">
      <c r="A3" s="779" t="s">
        <v>2865</v>
      </c>
      <c r="B3" s="780"/>
      <c r="C3" s="780"/>
      <c r="D3" s="780"/>
      <c r="E3" s="780"/>
      <c r="F3" s="780"/>
      <c r="G3" s="780"/>
      <c r="H3" s="780"/>
      <c r="I3" s="780"/>
      <c r="J3" s="780"/>
    </row>
    <row r="4" spans="1:10" s="4" customFormat="1">
      <c r="A4" s="782" t="s">
        <v>2866</v>
      </c>
    </row>
    <row r="5" spans="1:10" s="4" customFormat="1">
      <c r="A5" s="782" t="s">
        <v>2867</v>
      </c>
    </row>
    <row r="6" spans="1:10" s="4" customFormat="1">
      <c r="A6" s="782" t="s">
        <v>2868</v>
      </c>
    </row>
    <row r="7" spans="1:10" s="4" customFormat="1">
      <c r="A7" s="782" t="s">
        <v>2869</v>
      </c>
    </row>
    <row r="8" spans="1:10" s="4" customFormat="1">
      <c r="A8" s="782" t="s">
        <v>2870</v>
      </c>
    </row>
    <row r="9" spans="1:10" s="4" customFormat="1">
      <c r="A9" s="782" t="s">
        <v>2871</v>
      </c>
    </row>
    <row r="10" spans="1:10" s="4" customFormat="1">
      <c r="A10" s="782" t="s">
        <v>2872</v>
      </c>
    </row>
    <row r="11" spans="1:10" s="4" customFormat="1">
      <c r="A11" s="782" t="s">
        <v>2873</v>
      </c>
    </row>
    <row r="12" spans="1:10" s="4" customFormat="1">
      <c r="A12" s="782" t="s">
        <v>2874</v>
      </c>
    </row>
    <row r="13" spans="1:10" s="4" customFormat="1">
      <c r="A13" s="782" t="s">
        <v>2875</v>
      </c>
    </row>
    <row r="14" spans="1:10" s="4" customFormat="1">
      <c r="A14" s="782" t="s">
        <v>2876</v>
      </c>
    </row>
    <row r="15" spans="1:10" s="4" customFormat="1">
      <c r="A15" s="782" t="s">
        <v>2877</v>
      </c>
    </row>
    <row r="16" spans="1:10" s="4" customFormat="1">
      <c r="A16" s="782" t="s">
        <v>2878</v>
      </c>
    </row>
    <row r="17" spans="1:10" s="4" customFormat="1">
      <c r="A17" s="782" t="s">
        <v>2879</v>
      </c>
    </row>
    <row r="18" spans="1:10" s="4" customFormat="1">
      <c r="A18" s="782" t="s">
        <v>2880</v>
      </c>
    </row>
    <row r="19" spans="1:10" s="4" customFormat="1">
      <c r="A19" s="782" t="s">
        <v>2881</v>
      </c>
    </row>
    <row r="20" spans="1:10" s="4" customFormat="1">
      <c r="A20" s="782" t="s">
        <v>2882</v>
      </c>
    </row>
    <row r="21" spans="1:10" s="4" customFormat="1">
      <c r="A21" s="782" t="s">
        <v>2883</v>
      </c>
    </row>
    <row r="22" spans="1:10" s="4" customFormat="1">
      <c r="A22" s="782" t="s">
        <v>2884</v>
      </c>
    </row>
    <row r="23" spans="1:10" s="4" customFormat="1">
      <c r="A23" s="782" t="s">
        <v>2885</v>
      </c>
    </row>
    <row r="24" spans="1:10" s="4" customFormat="1">
      <c r="A24" s="782" t="s">
        <v>2886</v>
      </c>
    </row>
    <row r="25" spans="1:10" s="4" customFormat="1">
      <c r="A25" s="782" t="s">
        <v>2887</v>
      </c>
    </row>
    <row r="26" spans="1:10" s="4" customFormat="1">
      <c r="A26" s="782" t="s">
        <v>2888</v>
      </c>
    </row>
    <row r="27" spans="1:10" s="4" customFormat="1" ht="14.25" thickBot="1">
      <c r="A27" s="783" t="s">
        <v>2889</v>
      </c>
    </row>
    <row r="28" spans="1:10" s="781" customFormat="1" ht="17.25">
      <c r="A28" s="784" t="s">
        <v>2890</v>
      </c>
      <c r="B28" s="780"/>
      <c r="C28" s="780"/>
      <c r="D28" s="780"/>
      <c r="E28" s="780"/>
      <c r="F28" s="780"/>
      <c r="G28" s="780"/>
      <c r="H28" s="780"/>
      <c r="I28" s="780"/>
      <c r="J28" s="780"/>
    </row>
    <row r="29" spans="1:10" s="4" customFormat="1">
      <c r="A29" s="782" t="s">
        <v>2866</v>
      </c>
    </row>
    <row r="30" spans="1:10" s="4" customFormat="1">
      <c r="A30" s="782" t="s">
        <v>2867</v>
      </c>
    </row>
    <row r="31" spans="1:10" s="4" customFormat="1">
      <c r="A31" s="782" t="s">
        <v>2868</v>
      </c>
    </row>
    <row r="32" spans="1:10" s="4" customFormat="1">
      <c r="A32" s="782" t="s">
        <v>2891</v>
      </c>
    </row>
    <row r="33" spans="1:10" s="4" customFormat="1">
      <c r="A33" s="782" t="s">
        <v>2892</v>
      </c>
    </row>
    <row r="34" spans="1:10" s="4" customFormat="1">
      <c r="A34" s="782" t="s">
        <v>2893</v>
      </c>
    </row>
    <row r="35" spans="1:10" s="4" customFormat="1">
      <c r="A35" s="782" t="s">
        <v>2894</v>
      </c>
    </row>
    <row r="36" spans="1:10" s="4" customFormat="1">
      <c r="A36" s="782" t="s">
        <v>2895</v>
      </c>
    </row>
    <row r="37" spans="1:10" s="4" customFormat="1">
      <c r="A37" s="782" t="s">
        <v>2896</v>
      </c>
    </row>
    <row r="38" spans="1:10" s="4" customFormat="1">
      <c r="A38" s="782" t="s">
        <v>2897</v>
      </c>
    </row>
    <row r="39" spans="1:10" s="4" customFormat="1">
      <c r="A39" s="782" t="s">
        <v>2898</v>
      </c>
    </row>
    <row r="40" spans="1:10" s="4" customFormat="1">
      <c r="A40" s="782" t="s">
        <v>2899</v>
      </c>
    </row>
    <row r="41" spans="1:10" s="4" customFormat="1">
      <c r="A41" s="782" t="s">
        <v>2900</v>
      </c>
    </row>
    <row r="42" spans="1:10" s="4" customFormat="1" ht="14.25" thickBot="1">
      <c r="A42" s="783" t="s">
        <v>2901</v>
      </c>
    </row>
    <row r="43" spans="1:10" s="781" customFormat="1" ht="17.25">
      <c r="A43" s="784" t="s">
        <v>2902</v>
      </c>
      <c r="B43" s="780"/>
      <c r="C43" s="780"/>
      <c r="D43" s="780"/>
      <c r="E43" s="780"/>
      <c r="F43" s="780"/>
      <c r="G43" s="780"/>
      <c r="H43" s="780"/>
      <c r="I43" s="780"/>
      <c r="J43" s="780"/>
    </row>
    <row r="44" spans="1:10" s="4" customFormat="1">
      <c r="A44" s="782" t="s">
        <v>2866</v>
      </c>
    </row>
    <row r="45" spans="1:10" s="4" customFormat="1">
      <c r="A45" s="782" t="s">
        <v>2867</v>
      </c>
    </row>
    <row r="46" spans="1:10" s="4" customFormat="1">
      <c r="A46" s="782" t="s">
        <v>2868</v>
      </c>
    </row>
    <row r="47" spans="1:10" s="4" customFormat="1">
      <c r="A47" s="782" t="s">
        <v>2903</v>
      </c>
    </row>
    <row r="48" spans="1:10" s="4" customFormat="1">
      <c r="A48" s="782" t="s">
        <v>2904</v>
      </c>
    </row>
    <row r="49" spans="1:6" s="4" customFormat="1">
      <c r="A49" s="782" t="s">
        <v>2905</v>
      </c>
    </row>
    <row r="50" spans="1:6" s="4" customFormat="1">
      <c r="A50" s="782" t="s">
        <v>2906</v>
      </c>
    </row>
    <row r="51" spans="1:6" s="4" customFormat="1">
      <c r="A51" s="782" t="s">
        <v>2907</v>
      </c>
    </row>
    <row r="52" spans="1:6" s="4" customFormat="1">
      <c r="A52" s="782" t="s">
        <v>2908</v>
      </c>
    </row>
    <row r="53" spans="1:6" s="4" customFormat="1">
      <c r="A53" s="782" t="s">
        <v>2909</v>
      </c>
    </row>
    <row r="54" spans="1:6" s="4" customFormat="1">
      <c r="A54" s="782" t="s">
        <v>2910</v>
      </c>
    </row>
    <row r="55" spans="1:6" s="4" customFormat="1">
      <c r="A55" s="782" t="s">
        <v>2911</v>
      </c>
    </row>
    <row r="56" spans="1:6" s="4" customFormat="1">
      <c r="A56" s="782" t="s">
        <v>2912</v>
      </c>
    </row>
    <row r="57" spans="1:6" s="4" customFormat="1" ht="14.25" thickBot="1">
      <c r="A57" s="783" t="s">
        <v>2913</v>
      </c>
    </row>
    <row r="58" spans="1:6" s="781" customFormat="1" ht="17.25">
      <c r="A58" s="784" t="s">
        <v>2914</v>
      </c>
      <c r="B58" s="780"/>
      <c r="C58" s="780"/>
      <c r="D58" s="780"/>
      <c r="E58" s="780"/>
      <c r="F58" s="780"/>
    </row>
    <row r="59" spans="1:6" s="4" customFormat="1">
      <c r="A59" s="782" t="s">
        <v>2866</v>
      </c>
    </row>
    <row r="60" spans="1:6" s="4" customFormat="1">
      <c r="A60" s="782" t="s">
        <v>2867</v>
      </c>
    </row>
    <row r="61" spans="1:6" s="4" customFormat="1">
      <c r="A61" s="782" t="s">
        <v>2868</v>
      </c>
    </row>
    <row r="62" spans="1:6" s="4" customFormat="1">
      <c r="A62" s="782" t="s">
        <v>2915</v>
      </c>
    </row>
    <row r="63" spans="1:6" s="4" customFormat="1">
      <c r="A63" s="782" t="s">
        <v>2916</v>
      </c>
    </row>
    <row r="64" spans="1:6" s="4" customFormat="1">
      <c r="A64" s="782" t="s">
        <v>2917</v>
      </c>
    </row>
    <row r="65" spans="1:6" s="4" customFormat="1">
      <c r="A65" s="782" t="s">
        <v>2918</v>
      </c>
    </row>
    <row r="66" spans="1:6" s="4" customFormat="1">
      <c r="A66" s="782" t="s">
        <v>2919</v>
      </c>
    </row>
    <row r="67" spans="1:6" s="4" customFormat="1">
      <c r="A67" s="782" t="s">
        <v>2920</v>
      </c>
    </row>
    <row r="68" spans="1:6" s="4" customFormat="1">
      <c r="A68" s="782" t="s">
        <v>2921</v>
      </c>
    </row>
    <row r="69" spans="1:6" s="4" customFormat="1" ht="14.25" thickBot="1">
      <c r="A69" s="783" t="s">
        <v>2922</v>
      </c>
    </row>
    <row r="70" spans="1:6" s="781" customFormat="1" ht="17.25">
      <c r="A70" s="784" t="s">
        <v>2923</v>
      </c>
      <c r="B70" s="780"/>
      <c r="C70" s="780"/>
      <c r="D70" s="780"/>
      <c r="E70" s="780"/>
      <c r="F70" s="780"/>
    </row>
    <row r="71" spans="1:6" s="4" customFormat="1">
      <c r="A71" s="782" t="s">
        <v>2866</v>
      </c>
    </row>
    <row r="72" spans="1:6" s="4" customFormat="1">
      <c r="A72" s="782" t="s">
        <v>2867</v>
      </c>
    </row>
    <row r="73" spans="1:6" s="4" customFormat="1">
      <c r="A73" s="782" t="s">
        <v>2868</v>
      </c>
    </row>
    <row r="74" spans="1:6" s="4" customFormat="1">
      <c r="A74" s="782" t="s">
        <v>2924</v>
      </c>
    </row>
    <row r="75" spans="1:6" s="4" customFormat="1">
      <c r="A75" s="782" t="s">
        <v>2925</v>
      </c>
    </row>
    <row r="76" spans="1:6" s="4" customFormat="1">
      <c r="A76" s="782" t="s">
        <v>2926</v>
      </c>
    </row>
    <row r="77" spans="1:6" s="4" customFormat="1">
      <c r="A77" s="782" t="s">
        <v>2927</v>
      </c>
    </row>
    <row r="78" spans="1:6" s="4" customFormat="1">
      <c r="A78" s="782" t="s">
        <v>2928</v>
      </c>
    </row>
    <row r="79" spans="1:6" s="4" customFormat="1">
      <c r="A79" s="782" t="s">
        <v>2929</v>
      </c>
    </row>
    <row r="80" spans="1:6" s="4" customFormat="1">
      <c r="A80" s="782" t="s">
        <v>2930</v>
      </c>
    </row>
    <row r="81" spans="1:1" s="4" customFormat="1">
      <c r="A81" s="782" t="s">
        <v>2931</v>
      </c>
    </row>
    <row r="82" spans="1:1" s="4" customFormat="1">
      <c r="A82" s="782" t="s">
        <v>2932</v>
      </c>
    </row>
    <row r="83" spans="1:1" s="4" customFormat="1">
      <c r="A83" s="782" t="s">
        <v>2933</v>
      </c>
    </row>
    <row r="84" spans="1:1" s="4" customFormat="1">
      <c r="A84" s="782" t="s">
        <v>2934</v>
      </c>
    </row>
    <row r="85" spans="1:1" s="4" customFormat="1">
      <c r="A85" s="782" t="s">
        <v>2935</v>
      </c>
    </row>
    <row r="86" spans="1:1" s="4" customFormat="1">
      <c r="A86" s="782" t="s">
        <v>2936</v>
      </c>
    </row>
    <row r="87" spans="1:1" s="4" customFormat="1">
      <c r="A87" s="782" t="s">
        <v>2937</v>
      </c>
    </row>
    <row r="88" spans="1:1" s="4" customFormat="1">
      <c r="A88" s="782" t="s">
        <v>2938</v>
      </c>
    </row>
    <row r="89" spans="1:1" s="4" customFormat="1">
      <c r="A89" s="782" t="s">
        <v>2939</v>
      </c>
    </row>
    <row r="90" spans="1:1" s="4" customFormat="1">
      <c r="A90" s="782" t="s">
        <v>2940</v>
      </c>
    </row>
    <row r="91" spans="1:1" s="4" customFormat="1">
      <c r="A91" s="782" t="s">
        <v>2941</v>
      </c>
    </row>
    <row r="92" spans="1:1" s="4" customFormat="1">
      <c r="A92" s="782" t="s">
        <v>2942</v>
      </c>
    </row>
    <row r="93" spans="1:1" s="4" customFormat="1">
      <c r="A93" s="782" t="s">
        <v>2943</v>
      </c>
    </row>
    <row r="94" spans="1:1" s="4" customFormat="1">
      <c r="A94" s="782" t="s">
        <v>2944</v>
      </c>
    </row>
    <row r="95" spans="1:1" s="4" customFormat="1">
      <c r="A95" s="782" t="s">
        <v>2945</v>
      </c>
    </row>
    <row r="96" spans="1:1" s="4" customFormat="1">
      <c r="A96" s="782" t="s">
        <v>2946</v>
      </c>
    </row>
    <row r="97" spans="1:6" s="4" customFormat="1">
      <c r="A97" s="782" t="s">
        <v>2947</v>
      </c>
    </row>
    <row r="98" spans="1:6" s="4" customFormat="1">
      <c r="A98" s="782" t="s">
        <v>2948</v>
      </c>
    </row>
    <row r="99" spans="1:6" s="4" customFormat="1">
      <c r="A99" s="782" t="s">
        <v>2949</v>
      </c>
    </row>
    <row r="100" spans="1:6" s="4" customFormat="1">
      <c r="A100" s="782" t="s">
        <v>2950</v>
      </c>
    </row>
    <row r="101" spans="1:6" s="4" customFormat="1">
      <c r="A101" s="782" t="s">
        <v>2951</v>
      </c>
    </row>
    <row r="102" spans="1:6" s="4" customFormat="1">
      <c r="A102" s="782" t="s">
        <v>2952</v>
      </c>
    </row>
    <row r="103" spans="1:6" s="4" customFormat="1">
      <c r="A103" s="782" t="s">
        <v>2953</v>
      </c>
    </row>
    <row r="104" spans="1:6" s="4" customFormat="1">
      <c r="A104" s="782" t="s">
        <v>2954</v>
      </c>
    </row>
    <row r="105" spans="1:6" s="4" customFormat="1">
      <c r="A105" s="782" t="s">
        <v>2955</v>
      </c>
    </row>
    <row r="106" spans="1:6" s="4" customFormat="1">
      <c r="A106" s="782" t="s">
        <v>2956</v>
      </c>
    </row>
    <row r="107" spans="1:6" s="4" customFormat="1">
      <c r="A107" s="782" t="s">
        <v>2957</v>
      </c>
    </row>
    <row r="108" spans="1:6" s="4" customFormat="1">
      <c r="A108" s="782" t="s">
        <v>2958</v>
      </c>
    </row>
    <row r="109" spans="1:6" s="4" customFormat="1" ht="14.25" thickBot="1">
      <c r="A109" s="783" t="s">
        <v>2959</v>
      </c>
    </row>
    <row r="110" spans="1:6" s="781" customFormat="1" ht="17.25">
      <c r="A110" s="784" t="s">
        <v>2960</v>
      </c>
      <c r="B110" s="780"/>
      <c r="C110" s="780"/>
      <c r="D110" s="780"/>
      <c r="E110" s="780"/>
      <c r="F110" s="780"/>
    </row>
    <row r="111" spans="1:6" s="4" customFormat="1">
      <c r="A111" s="782" t="s">
        <v>2866</v>
      </c>
    </row>
    <row r="112" spans="1:6" s="4" customFormat="1">
      <c r="A112" s="782" t="s">
        <v>2867</v>
      </c>
    </row>
    <row r="113" spans="1:6" s="4" customFormat="1">
      <c r="A113" s="782" t="s">
        <v>2868</v>
      </c>
    </row>
    <row r="114" spans="1:6" s="4" customFormat="1">
      <c r="A114" s="782" t="s">
        <v>2961</v>
      </c>
    </row>
    <row r="115" spans="1:6" s="4" customFormat="1">
      <c r="A115" s="782" t="s">
        <v>2962</v>
      </c>
    </row>
    <row r="116" spans="1:6" s="4" customFormat="1">
      <c r="A116" s="782" t="s">
        <v>2963</v>
      </c>
    </row>
    <row r="117" spans="1:6" s="4" customFormat="1">
      <c r="A117" s="782" t="s">
        <v>2964</v>
      </c>
    </row>
    <row r="118" spans="1:6" s="4" customFormat="1">
      <c r="A118" s="782" t="s">
        <v>2965</v>
      </c>
    </row>
    <row r="119" spans="1:6" s="4" customFormat="1">
      <c r="A119" s="782" t="s">
        <v>2966</v>
      </c>
    </row>
    <row r="120" spans="1:6" s="4" customFormat="1">
      <c r="A120" s="782" t="s">
        <v>2967</v>
      </c>
    </row>
    <row r="121" spans="1:6" s="4" customFormat="1">
      <c r="A121" s="782" t="s">
        <v>2968</v>
      </c>
    </row>
    <row r="122" spans="1:6" s="4" customFormat="1" ht="14.25" thickBot="1">
      <c r="A122" s="783" t="s">
        <v>2969</v>
      </c>
    </row>
    <row r="123" spans="1:6" s="781" customFormat="1" ht="17.25">
      <c r="A123" s="784" t="s">
        <v>2970</v>
      </c>
      <c r="B123" s="780"/>
      <c r="C123" s="780"/>
      <c r="D123" s="780"/>
      <c r="E123" s="780"/>
      <c r="F123" s="780"/>
    </row>
    <row r="124" spans="1:6" s="4" customFormat="1">
      <c r="A124" s="782" t="s">
        <v>2866</v>
      </c>
    </row>
    <row r="125" spans="1:6" s="4" customFormat="1">
      <c r="A125" s="782" t="s">
        <v>2867</v>
      </c>
    </row>
    <row r="126" spans="1:6" s="4" customFormat="1">
      <c r="A126" s="782" t="s">
        <v>2868</v>
      </c>
    </row>
    <row r="127" spans="1:6" s="4" customFormat="1">
      <c r="A127" s="782" t="s">
        <v>2971</v>
      </c>
    </row>
    <row r="128" spans="1:6" s="4" customFormat="1">
      <c r="A128" s="782" t="s">
        <v>2972</v>
      </c>
    </row>
    <row r="129" spans="1:1" s="4" customFormat="1">
      <c r="A129" s="782" t="s">
        <v>2973</v>
      </c>
    </row>
    <row r="130" spans="1:1" s="4" customFormat="1">
      <c r="A130" s="782" t="s">
        <v>2974</v>
      </c>
    </row>
    <row r="131" spans="1:1" s="4" customFormat="1">
      <c r="A131" s="782" t="s">
        <v>2975</v>
      </c>
    </row>
    <row r="132" spans="1:1" s="4" customFormat="1">
      <c r="A132" s="782" t="s">
        <v>2976</v>
      </c>
    </row>
    <row r="133" spans="1:1" s="4" customFormat="1">
      <c r="A133" s="782" t="s">
        <v>2977</v>
      </c>
    </row>
    <row r="134" spans="1:1" s="4" customFormat="1">
      <c r="A134" s="782" t="s">
        <v>2978</v>
      </c>
    </row>
    <row r="135" spans="1:1" s="4" customFormat="1">
      <c r="A135" s="782" t="s">
        <v>2979</v>
      </c>
    </row>
    <row r="136" spans="1:1" s="4" customFormat="1">
      <c r="A136" s="782" t="s">
        <v>2980</v>
      </c>
    </row>
    <row r="137" spans="1:1" s="4" customFormat="1">
      <c r="A137" s="782" t="s">
        <v>2981</v>
      </c>
    </row>
    <row r="138" spans="1:1" s="4" customFormat="1">
      <c r="A138" s="782" t="s">
        <v>2982</v>
      </c>
    </row>
    <row r="139" spans="1:1" s="4" customFormat="1">
      <c r="A139" s="782" t="s">
        <v>2983</v>
      </c>
    </row>
    <row r="140" spans="1:1" s="4" customFormat="1">
      <c r="A140" s="782" t="s">
        <v>2983</v>
      </c>
    </row>
    <row r="141" spans="1:1" s="4" customFormat="1">
      <c r="A141" s="782" t="s">
        <v>2984</v>
      </c>
    </row>
    <row r="142" spans="1:1" s="4" customFormat="1">
      <c r="A142" s="782" t="s">
        <v>2985</v>
      </c>
    </row>
    <row r="143" spans="1:1" s="4" customFormat="1">
      <c r="A143" s="782" t="s">
        <v>2986</v>
      </c>
    </row>
    <row r="144" spans="1:1" s="4" customFormat="1">
      <c r="A144" s="782" t="s">
        <v>2987</v>
      </c>
    </row>
    <row r="145" spans="1:6" s="4" customFormat="1">
      <c r="A145" s="782" t="s">
        <v>2988</v>
      </c>
    </row>
    <row r="146" spans="1:6" s="4" customFormat="1">
      <c r="A146" s="782" t="s">
        <v>2989</v>
      </c>
    </row>
    <row r="147" spans="1:6" s="4" customFormat="1">
      <c r="A147" s="782" t="s">
        <v>2990</v>
      </c>
    </row>
    <row r="148" spans="1:6" s="4" customFormat="1">
      <c r="A148" s="782" t="s">
        <v>2991</v>
      </c>
    </row>
    <row r="149" spans="1:6" s="4" customFormat="1">
      <c r="A149" s="782" t="s">
        <v>2992</v>
      </c>
    </row>
    <row r="150" spans="1:6" s="4" customFormat="1">
      <c r="A150" s="782" t="s">
        <v>2993</v>
      </c>
    </row>
    <row r="151" spans="1:6" s="4" customFormat="1">
      <c r="A151" s="782" t="s">
        <v>2994</v>
      </c>
    </row>
    <row r="152" spans="1:6" s="4" customFormat="1">
      <c r="A152" s="782" t="s">
        <v>2995</v>
      </c>
    </row>
    <row r="153" spans="1:6" s="4" customFormat="1">
      <c r="A153" s="782" t="s">
        <v>2996</v>
      </c>
    </row>
    <row r="154" spans="1:6" s="4" customFormat="1">
      <c r="A154" s="782" t="s">
        <v>2997</v>
      </c>
    </row>
    <row r="155" spans="1:6" s="4" customFormat="1">
      <c r="A155" s="782" t="s">
        <v>2998</v>
      </c>
    </row>
    <row r="156" spans="1:6" s="4" customFormat="1">
      <c r="A156" s="782" t="s">
        <v>2999</v>
      </c>
    </row>
    <row r="157" spans="1:6" s="4" customFormat="1" ht="14.25" thickBot="1">
      <c r="A157" s="783" t="s">
        <v>3000</v>
      </c>
    </row>
    <row r="158" spans="1:6" s="781" customFormat="1" ht="17.25">
      <c r="A158" s="784" t="s">
        <v>3001</v>
      </c>
      <c r="B158" s="780"/>
      <c r="C158" s="780"/>
      <c r="D158" s="780"/>
      <c r="E158" s="780"/>
      <c r="F158" s="780"/>
    </row>
    <row r="159" spans="1:6" s="4" customFormat="1">
      <c r="A159" s="782" t="s">
        <v>2866</v>
      </c>
    </row>
    <row r="160" spans="1:6" s="4" customFormat="1">
      <c r="A160" s="782" t="s">
        <v>2867</v>
      </c>
    </row>
    <row r="161" spans="1:1" s="4" customFormat="1">
      <c r="A161" s="782" t="s">
        <v>2868</v>
      </c>
    </row>
    <row r="162" spans="1:1" s="4" customFormat="1">
      <c r="A162" s="782" t="s">
        <v>3002</v>
      </c>
    </row>
    <row r="163" spans="1:1" s="4" customFormat="1">
      <c r="A163" s="782" t="s">
        <v>3003</v>
      </c>
    </row>
    <row r="164" spans="1:1" s="4" customFormat="1">
      <c r="A164" s="782" t="s">
        <v>3004</v>
      </c>
    </row>
    <row r="165" spans="1:1" s="4" customFormat="1">
      <c r="A165" s="782" t="s">
        <v>3005</v>
      </c>
    </row>
    <row r="166" spans="1:1" s="4" customFormat="1">
      <c r="A166" s="782" t="s">
        <v>3006</v>
      </c>
    </row>
    <row r="167" spans="1:1" s="4" customFormat="1">
      <c r="A167" s="782" t="s">
        <v>3007</v>
      </c>
    </row>
    <row r="168" spans="1:1" s="4" customFormat="1">
      <c r="A168" s="782" t="s">
        <v>3008</v>
      </c>
    </row>
    <row r="169" spans="1:1" s="4" customFormat="1">
      <c r="A169" s="782" t="s">
        <v>3009</v>
      </c>
    </row>
    <row r="170" spans="1:1" s="4" customFormat="1">
      <c r="A170" s="782" t="s">
        <v>3010</v>
      </c>
    </row>
    <row r="171" spans="1:1" s="4" customFormat="1">
      <c r="A171" s="782" t="s">
        <v>3011</v>
      </c>
    </row>
    <row r="172" spans="1:1" s="4" customFormat="1">
      <c r="A172" s="782" t="s">
        <v>3012</v>
      </c>
    </row>
    <row r="173" spans="1:1" s="4" customFormat="1">
      <c r="A173" s="782" t="s">
        <v>3013</v>
      </c>
    </row>
    <row r="174" spans="1:1" s="4" customFormat="1">
      <c r="A174" s="782" t="s">
        <v>3014</v>
      </c>
    </row>
    <row r="175" spans="1:1" s="4" customFormat="1">
      <c r="A175" s="782" t="s">
        <v>3015</v>
      </c>
    </row>
    <row r="176" spans="1:1" s="4" customFormat="1">
      <c r="A176" s="782" t="s">
        <v>3016</v>
      </c>
    </row>
    <row r="177" spans="1:6" s="4" customFormat="1">
      <c r="A177" s="782" t="s">
        <v>3017</v>
      </c>
    </row>
    <row r="178" spans="1:6" s="4" customFormat="1">
      <c r="A178" s="782" t="s">
        <v>3018</v>
      </c>
    </row>
    <row r="179" spans="1:6" s="4" customFormat="1">
      <c r="A179" s="782" t="s">
        <v>3019</v>
      </c>
    </row>
    <row r="180" spans="1:6" s="4" customFormat="1">
      <c r="A180" s="782" t="s">
        <v>3020</v>
      </c>
    </row>
    <row r="181" spans="1:6" s="4" customFormat="1" ht="14.25" thickBot="1">
      <c r="A181" s="783" t="s">
        <v>3021</v>
      </c>
    </row>
    <row r="182" spans="1:6" s="781" customFormat="1" ht="17.25">
      <c r="A182" s="784" t="s">
        <v>3022</v>
      </c>
      <c r="B182" s="780"/>
      <c r="C182" s="780"/>
      <c r="D182" s="780"/>
      <c r="E182" s="780"/>
      <c r="F182" s="780"/>
    </row>
    <row r="183" spans="1:6" s="4" customFormat="1">
      <c r="A183" s="782" t="s">
        <v>2866</v>
      </c>
    </row>
    <row r="184" spans="1:6" s="4" customFormat="1">
      <c r="A184" s="782" t="s">
        <v>2867</v>
      </c>
    </row>
    <row r="185" spans="1:6" s="4" customFormat="1">
      <c r="A185" s="782" t="s">
        <v>2868</v>
      </c>
    </row>
    <row r="186" spans="1:6" s="4" customFormat="1">
      <c r="A186" s="782" t="s">
        <v>3023</v>
      </c>
    </row>
    <row r="187" spans="1:6" s="4" customFormat="1">
      <c r="A187" s="782" t="s">
        <v>3024</v>
      </c>
    </row>
    <row r="188" spans="1:6" s="4" customFormat="1">
      <c r="A188" s="782" t="s">
        <v>3025</v>
      </c>
    </row>
    <row r="189" spans="1:6" s="4" customFormat="1">
      <c r="A189" s="782" t="s">
        <v>3026</v>
      </c>
    </row>
    <row r="190" spans="1:6" s="4" customFormat="1">
      <c r="A190" s="782" t="s">
        <v>3027</v>
      </c>
    </row>
    <row r="191" spans="1:6" s="4" customFormat="1">
      <c r="A191" s="782" t="s">
        <v>3028</v>
      </c>
    </row>
    <row r="192" spans="1:6" s="4" customFormat="1">
      <c r="A192" s="782" t="s">
        <v>3029</v>
      </c>
    </row>
    <row r="193" spans="1:1" s="4" customFormat="1">
      <c r="A193" s="782" t="s">
        <v>3030</v>
      </c>
    </row>
    <row r="194" spans="1:1" s="4" customFormat="1">
      <c r="A194" s="782" t="s">
        <v>3031</v>
      </c>
    </row>
    <row r="195" spans="1:1" s="4" customFormat="1">
      <c r="A195" s="782" t="s">
        <v>3032</v>
      </c>
    </row>
    <row r="196" spans="1:1" s="4" customFormat="1">
      <c r="A196" s="782" t="s">
        <v>3033</v>
      </c>
    </row>
    <row r="197" spans="1:1" s="4" customFormat="1">
      <c r="A197" s="782" t="s">
        <v>3034</v>
      </c>
    </row>
    <row r="198" spans="1:1" s="4" customFormat="1">
      <c r="A198" s="782" t="s">
        <v>3035</v>
      </c>
    </row>
    <row r="199" spans="1:1" s="4" customFormat="1">
      <c r="A199" s="782" t="s">
        <v>3036</v>
      </c>
    </row>
    <row r="200" spans="1:1" s="4" customFormat="1">
      <c r="A200" s="782" t="s">
        <v>3037</v>
      </c>
    </row>
    <row r="201" spans="1:1" s="4" customFormat="1">
      <c r="A201" s="782" t="s">
        <v>3038</v>
      </c>
    </row>
    <row r="202" spans="1:1" s="4" customFormat="1">
      <c r="A202" s="782" t="s">
        <v>3039</v>
      </c>
    </row>
    <row r="203" spans="1:1" s="4" customFormat="1">
      <c r="A203" s="782" t="s">
        <v>3040</v>
      </c>
    </row>
    <row r="204" spans="1:1" s="4" customFormat="1">
      <c r="A204" s="782" t="s">
        <v>3041</v>
      </c>
    </row>
    <row r="205" spans="1:1" s="4" customFormat="1">
      <c r="A205" s="782" t="s">
        <v>3042</v>
      </c>
    </row>
    <row r="206" spans="1:1" s="4" customFormat="1">
      <c r="A206" s="782" t="s">
        <v>3043</v>
      </c>
    </row>
    <row r="207" spans="1:1" s="4" customFormat="1">
      <c r="A207" s="782" t="s">
        <v>3044</v>
      </c>
    </row>
    <row r="208" spans="1:1" s="4" customFormat="1">
      <c r="A208" s="782" t="s">
        <v>3045</v>
      </c>
    </row>
    <row r="209" spans="1:1" s="4" customFormat="1">
      <c r="A209" s="782" t="s">
        <v>3046</v>
      </c>
    </row>
    <row r="210" spans="1:1" s="4" customFormat="1">
      <c r="A210" s="782" t="s">
        <v>3047</v>
      </c>
    </row>
    <row r="211" spans="1:1" s="4" customFormat="1">
      <c r="A211" s="782" t="s">
        <v>3048</v>
      </c>
    </row>
    <row r="212" spans="1:1" s="4" customFormat="1">
      <c r="A212" s="782" t="s">
        <v>3049</v>
      </c>
    </row>
    <row r="213" spans="1:1" s="4" customFormat="1">
      <c r="A213" s="782" t="s">
        <v>3050</v>
      </c>
    </row>
    <row r="214" spans="1:1" s="4" customFormat="1">
      <c r="A214" s="782" t="s">
        <v>3051</v>
      </c>
    </row>
    <row r="215" spans="1:1" s="4" customFormat="1">
      <c r="A215" s="782" t="s">
        <v>3052</v>
      </c>
    </row>
    <row r="216" spans="1:1" s="4" customFormat="1">
      <c r="A216" s="782" t="s">
        <v>3053</v>
      </c>
    </row>
    <row r="217" spans="1:1" s="4" customFormat="1">
      <c r="A217" s="782" t="s">
        <v>3054</v>
      </c>
    </row>
    <row r="218" spans="1:1" s="4" customFormat="1">
      <c r="A218" s="782" t="s">
        <v>3055</v>
      </c>
    </row>
    <row r="219" spans="1:1" s="4" customFormat="1">
      <c r="A219" s="782" t="s">
        <v>3056</v>
      </c>
    </row>
    <row r="220" spans="1:1" s="4" customFormat="1">
      <c r="A220" s="782" t="s">
        <v>3057</v>
      </c>
    </row>
    <row r="221" spans="1:1" s="4" customFormat="1">
      <c r="A221" s="782" t="s">
        <v>3058</v>
      </c>
    </row>
    <row r="222" spans="1:1" s="4" customFormat="1">
      <c r="A222" s="782" t="s">
        <v>3059</v>
      </c>
    </row>
    <row r="223" spans="1:1" s="4" customFormat="1">
      <c r="A223" s="782" t="s">
        <v>3060</v>
      </c>
    </row>
    <row r="224" spans="1:1" s="4" customFormat="1">
      <c r="A224" s="782" t="s">
        <v>3061</v>
      </c>
    </row>
    <row r="225" spans="1:6" s="4" customFormat="1">
      <c r="A225" s="782" t="s">
        <v>3062</v>
      </c>
    </row>
    <row r="226" spans="1:6" s="4" customFormat="1">
      <c r="A226" s="782" t="s">
        <v>3063</v>
      </c>
    </row>
    <row r="227" spans="1:6" s="4" customFormat="1">
      <c r="A227" s="782" t="s">
        <v>3064</v>
      </c>
    </row>
    <row r="228" spans="1:6" s="4" customFormat="1">
      <c r="A228" s="782" t="s">
        <v>3065</v>
      </c>
    </row>
    <row r="229" spans="1:6" s="4" customFormat="1">
      <c r="A229" s="782" t="s">
        <v>3066</v>
      </c>
    </row>
    <row r="230" spans="1:6" s="4" customFormat="1">
      <c r="A230" s="782" t="s">
        <v>3067</v>
      </c>
    </row>
    <row r="231" spans="1:6" s="4" customFormat="1">
      <c r="A231" s="782" t="s">
        <v>3068</v>
      </c>
    </row>
    <row r="232" spans="1:6" s="4" customFormat="1">
      <c r="A232" s="782" t="s">
        <v>3069</v>
      </c>
    </row>
    <row r="233" spans="1:6" s="4" customFormat="1">
      <c r="A233" s="782" t="s">
        <v>3070</v>
      </c>
    </row>
    <row r="234" spans="1:6" s="4" customFormat="1">
      <c r="A234" s="782" t="s">
        <v>3071</v>
      </c>
    </row>
    <row r="235" spans="1:6" s="4" customFormat="1" ht="14.25" thickBot="1">
      <c r="A235" s="783" t="s">
        <v>3072</v>
      </c>
    </row>
    <row r="236" spans="1:6" s="781" customFormat="1" ht="17.25">
      <c r="A236" s="784" t="s">
        <v>3073</v>
      </c>
      <c r="B236" s="780"/>
      <c r="C236" s="780"/>
      <c r="D236" s="780"/>
      <c r="E236" s="780"/>
      <c r="F236" s="780"/>
    </row>
    <row r="237" spans="1:6" s="4" customFormat="1">
      <c r="A237" s="782" t="s">
        <v>2866</v>
      </c>
    </row>
    <row r="238" spans="1:6" s="4" customFormat="1">
      <c r="A238" s="782" t="s">
        <v>2867</v>
      </c>
    </row>
    <row r="239" spans="1:6" s="4" customFormat="1">
      <c r="A239" s="782" t="s">
        <v>2868</v>
      </c>
    </row>
    <row r="240" spans="1:6" s="4" customFormat="1">
      <c r="A240" s="782" t="s">
        <v>3074</v>
      </c>
    </row>
    <row r="241" spans="1:1" s="4" customFormat="1">
      <c r="A241" s="782" t="s">
        <v>3075</v>
      </c>
    </row>
    <row r="242" spans="1:1" s="4" customFormat="1">
      <c r="A242" s="782" t="s">
        <v>3076</v>
      </c>
    </row>
    <row r="243" spans="1:1" s="4" customFormat="1">
      <c r="A243" s="782" t="s">
        <v>3077</v>
      </c>
    </row>
    <row r="244" spans="1:1" s="4" customFormat="1">
      <c r="A244" s="782" t="s">
        <v>3078</v>
      </c>
    </row>
    <row r="245" spans="1:1" s="4" customFormat="1">
      <c r="A245" s="782" t="s">
        <v>3079</v>
      </c>
    </row>
    <row r="246" spans="1:1" s="4" customFormat="1">
      <c r="A246" s="782" t="s">
        <v>3080</v>
      </c>
    </row>
    <row r="247" spans="1:1" s="4" customFormat="1">
      <c r="A247" s="782" t="s">
        <v>3081</v>
      </c>
    </row>
    <row r="248" spans="1:1" s="4" customFormat="1">
      <c r="A248" s="782" t="s">
        <v>3082</v>
      </c>
    </row>
    <row r="249" spans="1:1" s="4" customFormat="1">
      <c r="A249" s="782" t="s">
        <v>3083</v>
      </c>
    </row>
    <row r="250" spans="1:1" s="4" customFormat="1">
      <c r="A250" s="782" t="s">
        <v>3084</v>
      </c>
    </row>
    <row r="251" spans="1:1" s="4" customFormat="1">
      <c r="A251" s="782" t="s">
        <v>3085</v>
      </c>
    </row>
    <row r="252" spans="1:1" s="4" customFormat="1">
      <c r="A252" s="782" t="s">
        <v>3086</v>
      </c>
    </row>
    <row r="253" spans="1:1" s="4" customFormat="1">
      <c r="A253" s="782" t="s">
        <v>3087</v>
      </c>
    </row>
    <row r="254" spans="1:1" s="4" customFormat="1">
      <c r="A254" s="782" t="s">
        <v>3088</v>
      </c>
    </row>
    <row r="255" spans="1:1" s="4" customFormat="1">
      <c r="A255" s="782" t="s">
        <v>3089</v>
      </c>
    </row>
    <row r="256" spans="1:1" s="4" customFormat="1" ht="14.25" thickBot="1">
      <c r="A256" s="783" t="s">
        <v>3090</v>
      </c>
    </row>
    <row r="257" spans="1:6" s="781" customFormat="1" ht="17.25">
      <c r="A257" s="784" t="s">
        <v>3091</v>
      </c>
      <c r="B257" s="780"/>
      <c r="C257" s="780"/>
      <c r="D257" s="780"/>
      <c r="E257" s="780"/>
      <c r="F257" s="780"/>
    </row>
    <row r="258" spans="1:6" s="4" customFormat="1">
      <c r="A258" s="782" t="s">
        <v>2866</v>
      </c>
    </row>
    <row r="259" spans="1:6" s="4" customFormat="1">
      <c r="A259" s="782" t="s">
        <v>2867</v>
      </c>
    </row>
    <row r="260" spans="1:6" s="4" customFormat="1">
      <c r="A260" s="782" t="s">
        <v>2868</v>
      </c>
    </row>
    <row r="261" spans="1:6" s="4" customFormat="1">
      <c r="A261" s="782" t="s">
        <v>3092</v>
      </c>
    </row>
    <row r="262" spans="1:6" s="4" customFormat="1">
      <c r="A262" s="782" t="s">
        <v>3093</v>
      </c>
    </row>
    <row r="263" spans="1:6" s="4" customFormat="1">
      <c r="A263" s="782" t="s">
        <v>3094</v>
      </c>
    </row>
    <row r="264" spans="1:6" s="4" customFormat="1">
      <c r="A264" s="782" t="s">
        <v>3095</v>
      </c>
    </row>
    <row r="265" spans="1:6" s="4" customFormat="1">
      <c r="A265" s="782" t="s">
        <v>3096</v>
      </c>
    </row>
    <row r="266" spans="1:6" s="4" customFormat="1">
      <c r="A266" s="782" t="s">
        <v>3097</v>
      </c>
    </row>
    <row r="267" spans="1:6" s="4" customFormat="1">
      <c r="A267" s="782" t="s">
        <v>3098</v>
      </c>
    </row>
    <row r="268" spans="1:6" s="4" customFormat="1">
      <c r="A268" s="782" t="s">
        <v>3099</v>
      </c>
    </row>
    <row r="269" spans="1:6" s="4" customFormat="1">
      <c r="A269" s="782" t="s">
        <v>3100</v>
      </c>
    </row>
    <row r="270" spans="1:6" s="4" customFormat="1">
      <c r="A270" s="782" t="s">
        <v>3101</v>
      </c>
    </row>
    <row r="271" spans="1:6" s="4" customFormat="1">
      <c r="A271" s="782" t="s">
        <v>3102</v>
      </c>
    </row>
    <row r="272" spans="1:6" s="4" customFormat="1">
      <c r="A272" s="782" t="s">
        <v>3103</v>
      </c>
    </row>
    <row r="273" spans="1:1" s="4" customFormat="1">
      <c r="A273" s="782" t="s">
        <v>3104</v>
      </c>
    </row>
    <row r="274" spans="1:1" s="4" customFormat="1">
      <c r="A274" s="782" t="s">
        <v>3105</v>
      </c>
    </row>
    <row r="275" spans="1:1" s="4" customFormat="1">
      <c r="A275" s="782" t="s">
        <v>3106</v>
      </c>
    </row>
    <row r="276" spans="1:1" s="4" customFormat="1">
      <c r="A276" s="782" t="s">
        <v>3107</v>
      </c>
    </row>
    <row r="277" spans="1:1" s="4" customFormat="1">
      <c r="A277" s="782" t="s">
        <v>3108</v>
      </c>
    </row>
    <row r="278" spans="1:1" s="4" customFormat="1">
      <c r="A278" s="782" t="s">
        <v>3109</v>
      </c>
    </row>
    <row r="279" spans="1:1" s="4" customFormat="1">
      <c r="A279" s="782" t="s">
        <v>3110</v>
      </c>
    </row>
    <row r="280" spans="1:1" s="4" customFormat="1">
      <c r="A280" s="782" t="s">
        <v>3111</v>
      </c>
    </row>
    <row r="281" spans="1:1" s="4" customFormat="1">
      <c r="A281" s="782" t="s">
        <v>3112</v>
      </c>
    </row>
    <row r="282" spans="1:1" s="4" customFormat="1">
      <c r="A282" s="782" t="s">
        <v>3113</v>
      </c>
    </row>
    <row r="283" spans="1:1" s="4" customFormat="1">
      <c r="A283" s="782" t="s">
        <v>3114</v>
      </c>
    </row>
    <row r="284" spans="1:1" s="4" customFormat="1">
      <c r="A284" s="782" t="s">
        <v>3115</v>
      </c>
    </row>
    <row r="285" spans="1:1" s="4" customFormat="1">
      <c r="A285" s="782" t="s">
        <v>3116</v>
      </c>
    </row>
    <row r="286" spans="1:1" s="4" customFormat="1">
      <c r="A286" s="782" t="s">
        <v>3117</v>
      </c>
    </row>
    <row r="287" spans="1:1" s="4" customFormat="1">
      <c r="A287" s="782" t="s">
        <v>3118</v>
      </c>
    </row>
    <row r="288" spans="1:1" s="4" customFormat="1">
      <c r="A288" s="782" t="s">
        <v>3119</v>
      </c>
    </row>
    <row r="289" spans="1:1" s="4" customFormat="1">
      <c r="A289" s="782" t="s">
        <v>3120</v>
      </c>
    </row>
    <row r="290" spans="1:1" s="4" customFormat="1">
      <c r="A290" s="782" t="s">
        <v>3121</v>
      </c>
    </row>
    <row r="291" spans="1:1" s="4" customFormat="1">
      <c r="A291" s="782" t="s">
        <v>3122</v>
      </c>
    </row>
    <row r="292" spans="1:1" s="4" customFormat="1">
      <c r="A292" s="782" t="s">
        <v>3123</v>
      </c>
    </row>
    <row r="293" spans="1:1" s="4" customFormat="1">
      <c r="A293" s="782" t="s">
        <v>3124</v>
      </c>
    </row>
    <row r="294" spans="1:1" s="4" customFormat="1">
      <c r="A294" s="782" t="s">
        <v>3125</v>
      </c>
    </row>
    <row r="295" spans="1:1" s="4" customFormat="1">
      <c r="A295" s="782" t="s">
        <v>3126</v>
      </c>
    </row>
    <row r="296" spans="1:1" s="4" customFormat="1">
      <c r="A296" s="782" t="s">
        <v>3127</v>
      </c>
    </row>
    <row r="297" spans="1:1" s="4" customFormat="1">
      <c r="A297" s="782" t="s">
        <v>3128</v>
      </c>
    </row>
    <row r="298" spans="1:1" s="4" customFormat="1">
      <c r="A298" s="782" t="s">
        <v>3129</v>
      </c>
    </row>
    <row r="299" spans="1:1" s="4" customFormat="1">
      <c r="A299" s="782" t="s">
        <v>3130</v>
      </c>
    </row>
    <row r="300" spans="1:1" s="4" customFormat="1">
      <c r="A300" s="782" t="s">
        <v>3131</v>
      </c>
    </row>
    <row r="301" spans="1:1" s="4" customFormat="1">
      <c r="A301" s="782" t="s">
        <v>3132</v>
      </c>
    </row>
    <row r="302" spans="1:1" s="4" customFormat="1">
      <c r="A302" s="782" t="s">
        <v>3133</v>
      </c>
    </row>
    <row r="303" spans="1:1" s="4" customFormat="1">
      <c r="A303" s="782" t="s">
        <v>3134</v>
      </c>
    </row>
    <row r="304" spans="1:1" s="4" customFormat="1">
      <c r="A304" s="782" t="s">
        <v>3135</v>
      </c>
    </row>
    <row r="305" spans="1:1" s="4" customFormat="1">
      <c r="A305" s="782" t="s">
        <v>3136</v>
      </c>
    </row>
    <row r="306" spans="1:1" s="4" customFormat="1">
      <c r="A306" s="782" t="s">
        <v>3137</v>
      </c>
    </row>
    <row r="307" spans="1:1" s="4" customFormat="1">
      <c r="A307" s="782" t="s">
        <v>3138</v>
      </c>
    </row>
    <row r="308" spans="1:1" s="4" customFormat="1">
      <c r="A308" s="782" t="s">
        <v>3139</v>
      </c>
    </row>
    <row r="309" spans="1:1" s="4" customFormat="1">
      <c r="A309" s="782" t="s">
        <v>3140</v>
      </c>
    </row>
    <row r="310" spans="1:1" s="4" customFormat="1">
      <c r="A310" s="782" t="s">
        <v>3141</v>
      </c>
    </row>
    <row r="311" spans="1:1" s="4" customFormat="1">
      <c r="A311" s="782" t="s">
        <v>3142</v>
      </c>
    </row>
    <row r="312" spans="1:1" s="4" customFormat="1">
      <c r="A312" s="782" t="s">
        <v>3143</v>
      </c>
    </row>
    <row r="313" spans="1:1" s="4" customFormat="1">
      <c r="A313" s="782" t="s">
        <v>3144</v>
      </c>
    </row>
    <row r="314" spans="1:1" s="4" customFormat="1">
      <c r="A314" s="782" t="s">
        <v>3145</v>
      </c>
    </row>
    <row r="315" spans="1:1" s="4" customFormat="1">
      <c r="A315" s="782" t="s">
        <v>3146</v>
      </c>
    </row>
    <row r="316" spans="1:1" s="4" customFormat="1">
      <c r="A316" s="782" t="s">
        <v>3147</v>
      </c>
    </row>
    <row r="317" spans="1:1" s="4" customFormat="1">
      <c r="A317" s="782" t="s">
        <v>3148</v>
      </c>
    </row>
    <row r="318" spans="1:1" s="4" customFormat="1">
      <c r="A318" s="782" t="s">
        <v>3149</v>
      </c>
    </row>
    <row r="319" spans="1:1" s="4" customFormat="1">
      <c r="A319" s="782" t="s">
        <v>3150</v>
      </c>
    </row>
    <row r="320" spans="1:1" s="4" customFormat="1">
      <c r="A320" s="782" t="s">
        <v>3151</v>
      </c>
    </row>
    <row r="321" spans="1:6" s="4" customFormat="1">
      <c r="A321" s="782" t="s">
        <v>3152</v>
      </c>
    </row>
    <row r="322" spans="1:6" s="4" customFormat="1">
      <c r="A322" s="782" t="s">
        <v>3153</v>
      </c>
    </row>
    <row r="323" spans="1:6" s="4" customFormat="1">
      <c r="A323" s="782" t="s">
        <v>3154</v>
      </c>
    </row>
    <row r="324" spans="1:6" s="4" customFormat="1">
      <c r="A324" s="782" t="s">
        <v>3155</v>
      </c>
    </row>
    <row r="325" spans="1:6" s="4" customFormat="1">
      <c r="A325" s="782" t="s">
        <v>3156</v>
      </c>
    </row>
    <row r="326" spans="1:6" s="4" customFormat="1">
      <c r="A326" s="782" t="s">
        <v>3157</v>
      </c>
    </row>
    <row r="327" spans="1:6" s="4" customFormat="1">
      <c r="A327" s="782" t="s">
        <v>3158</v>
      </c>
    </row>
    <row r="328" spans="1:6" s="4" customFormat="1">
      <c r="A328" s="782" t="s">
        <v>3159</v>
      </c>
    </row>
    <row r="329" spans="1:6" s="4" customFormat="1">
      <c r="A329" s="782" t="s">
        <v>3160</v>
      </c>
    </row>
    <row r="330" spans="1:6" s="4" customFormat="1">
      <c r="A330" s="782" t="s">
        <v>3161</v>
      </c>
    </row>
    <row r="331" spans="1:6" s="4" customFormat="1">
      <c r="A331" s="782" t="s">
        <v>3162</v>
      </c>
    </row>
    <row r="332" spans="1:6" s="4" customFormat="1" ht="14.25" thickBot="1">
      <c r="A332" s="783" t="s">
        <v>3163</v>
      </c>
    </row>
    <row r="333" spans="1:6" s="781" customFormat="1" ht="17.25">
      <c r="A333" s="784" t="s">
        <v>3164</v>
      </c>
      <c r="B333" s="780"/>
      <c r="C333" s="780"/>
      <c r="D333" s="780"/>
      <c r="E333" s="780"/>
      <c r="F333" s="780"/>
    </row>
    <row r="334" spans="1:6" s="4" customFormat="1">
      <c r="A334" s="782" t="s">
        <v>2866</v>
      </c>
    </row>
    <row r="335" spans="1:6" s="4" customFormat="1">
      <c r="A335" s="782" t="s">
        <v>2867</v>
      </c>
    </row>
    <row r="336" spans="1:6" s="4" customFormat="1">
      <c r="A336" s="782" t="s">
        <v>2868</v>
      </c>
    </row>
    <row r="337" spans="1:1" s="4" customFormat="1">
      <c r="A337" s="782" t="s">
        <v>3165</v>
      </c>
    </row>
    <row r="338" spans="1:1" s="4" customFormat="1">
      <c r="A338" s="782" t="s">
        <v>3166</v>
      </c>
    </row>
    <row r="339" spans="1:1" s="4" customFormat="1">
      <c r="A339" s="782" t="s">
        <v>3167</v>
      </c>
    </row>
    <row r="340" spans="1:1" s="4" customFormat="1">
      <c r="A340" s="782" t="s">
        <v>3168</v>
      </c>
    </row>
    <row r="341" spans="1:1" s="4" customFormat="1">
      <c r="A341" s="782" t="s">
        <v>3169</v>
      </c>
    </row>
    <row r="342" spans="1:1" s="4" customFormat="1">
      <c r="A342" s="782" t="s">
        <v>3170</v>
      </c>
    </row>
    <row r="343" spans="1:1" s="4" customFormat="1">
      <c r="A343" s="782" t="s">
        <v>3171</v>
      </c>
    </row>
    <row r="344" spans="1:1" s="4" customFormat="1">
      <c r="A344" s="782" t="s">
        <v>3172</v>
      </c>
    </row>
    <row r="345" spans="1:1" s="4" customFormat="1">
      <c r="A345" s="782" t="s">
        <v>3173</v>
      </c>
    </row>
    <row r="346" spans="1:1" s="4" customFormat="1">
      <c r="A346" s="782" t="s">
        <v>3174</v>
      </c>
    </row>
    <row r="347" spans="1:1" s="4" customFormat="1">
      <c r="A347" s="782" t="s">
        <v>3175</v>
      </c>
    </row>
    <row r="348" spans="1:1" s="4" customFormat="1">
      <c r="A348" s="782" t="s">
        <v>3176</v>
      </c>
    </row>
    <row r="349" spans="1:1" s="4" customFormat="1">
      <c r="A349" s="782" t="s">
        <v>3177</v>
      </c>
    </row>
    <row r="350" spans="1:1" s="4" customFormat="1">
      <c r="A350" s="782" t="s">
        <v>3178</v>
      </c>
    </row>
    <row r="351" spans="1:1" s="4" customFormat="1">
      <c r="A351" s="782" t="s">
        <v>3179</v>
      </c>
    </row>
    <row r="352" spans="1:1" s="4" customFormat="1">
      <c r="A352" s="782" t="s">
        <v>3180</v>
      </c>
    </row>
    <row r="353" spans="1:6" s="4" customFormat="1">
      <c r="A353" s="782" t="s">
        <v>3181</v>
      </c>
    </row>
    <row r="354" spans="1:6" s="4" customFormat="1">
      <c r="A354" s="782" t="s">
        <v>3182</v>
      </c>
    </row>
    <row r="355" spans="1:6" s="4" customFormat="1">
      <c r="A355" s="782" t="s">
        <v>3183</v>
      </c>
    </row>
    <row r="356" spans="1:6" s="4" customFormat="1">
      <c r="A356" s="782" t="s">
        <v>3184</v>
      </c>
    </row>
    <row r="357" spans="1:6" s="4" customFormat="1">
      <c r="A357" s="782" t="s">
        <v>3185</v>
      </c>
    </row>
    <row r="358" spans="1:6" s="4" customFormat="1" ht="14.25" thickBot="1">
      <c r="A358" s="783" t="s">
        <v>3186</v>
      </c>
    </row>
    <row r="359" spans="1:6" s="781" customFormat="1" ht="17.25">
      <c r="A359" s="784" t="s">
        <v>3187</v>
      </c>
      <c r="B359" s="780"/>
      <c r="C359" s="780"/>
      <c r="D359" s="780"/>
      <c r="E359" s="780"/>
      <c r="F359" s="780"/>
    </row>
    <row r="360" spans="1:6" s="4" customFormat="1">
      <c r="A360" s="782" t="s">
        <v>2866</v>
      </c>
      <c r="B360" s="785"/>
      <c r="C360" s="785"/>
      <c r="D360" s="785"/>
      <c r="E360" s="785"/>
      <c r="F360" s="785"/>
    </row>
    <row r="361" spans="1:6" s="4" customFormat="1">
      <c r="A361" s="782" t="s">
        <v>2867</v>
      </c>
      <c r="B361" s="785"/>
      <c r="C361" s="785"/>
      <c r="D361" s="785"/>
      <c r="E361" s="785"/>
      <c r="F361" s="785"/>
    </row>
    <row r="362" spans="1:6" s="4" customFormat="1">
      <c r="A362" s="782" t="s">
        <v>2868</v>
      </c>
    </row>
    <row r="363" spans="1:6" s="4" customFormat="1">
      <c r="A363" s="782" t="s">
        <v>3188</v>
      </c>
    </row>
    <row r="364" spans="1:6" s="4" customFormat="1">
      <c r="A364" s="782" t="s">
        <v>3189</v>
      </c>
    </row>
    <row r="365" spans="1:6" s="4" customFormat="1">
      <c r="A365" s="782" t="s">
        <v>3190</v>
      </c>
    </row>
    <row r="366" spans="1:6" s="4" customFormat="1">
      <c r="A366" s="782" t="s">
        <v>3191</v>
      </c>
    </row>
    <row r="367" spans="1:6" s="4" customFormat="1">
      <c r="A367" s="782" t="s">
        <v>3192</v>
      </c>
    </row>
    <row r="368" spans="1:6" s="4" customFormat="1">
      <c r="A368" s="782" t="s">
        <v>3193</v>
      </c>
    </row>
    <row r="369" spans="1:6" s="4" customFormat="1">
      <c r="A369" s="782" t="s">
        <v>3194</v>
      </c>
    </row>
    <row r="370" spans="1:6" s="4" customFormat="1">
      <c r="A370" s="782" t="s">
        <v>3195</v>
      </c>
    </row>
    <row r="371" spans="1:6" s="4" customFormat="1">
      <c r="A371" s="782" t="s">
        <v>3196</v>
      </c>
    </row>
    <row r="372" spans="1:6" s="4" customFormat="1">
      <c r="A372" s="782" t="s">
        <v>3197</v>
      </c>
    </row>
    <row r="373" spans="1:6" s="4" customFormat="1" ht="14.25" thickBot="1">
      <c r="A373" s="783" t="s">
        <v>3198</v>
      </c>
    </row>
    <row r="374" spans="1:6" s="781" customFormat="1" ht="17.25">
      <c r="A374" s="784" t="s">
        <v>3199</v>
      </c>
      <c r="B374" s="780"/>
      <c r="C374" s="780"/>
      <c r="D374" s="780"/>
      <c r="E374" s="780"/>
      <c r="F374" s="780"/>
    </row>
    <row r="375" spans="1:6" s="4" customFormat="1">
      <c r="A375" s="782" t="s">
        <v>2866</v>
      </c>
    </row>
    <row r="376" spans="1:6" s="4" customFormat="1">
      <c r="A376" s="782" t="s">
        <v>2867</v>
      </c>
    </row>
    <row r="377" spans="1:6" s="4" customFormat="1">
      <c r="A377" s="782" t="s">
        <v>2868</v>
      </c>
    </row>
    <row r="378" spans="1:6" s="4" customFormat="1">
      <c r="A378" s="782" t="s">
        <v>3200</v>
      </c>
    </row>
    <row r="379" spans="1:6" s="4" customFormat="1">
      <c r="A379" s="782" t="s">
        <v>3201</v>
      </c>
    </row>
    <row r="380" spans="1:6" s="4" customFormat="1">
      <c r="A380" s="782" t="s">
        <v>3202</v>
      </c>
    </row>
    <row r="381" spans="1:6" s="4" customFormat="1">
      <c r="A381" s="782" t="s">
        <v>3203</v>
      </c>
    </row>
    <row r="382" spans="1:6" s="4" customFormat="1">
      <c r="A382" s="782" t="s">
        <v>3204</v>
      </c>
    </row>
    <row r="383" spans="1:6" s="4" customFormat="1">
      <c r="A383" s="782" t="s">
        <v>3205</v>
      </c>
    </row>
    <row r="384" spans="1:6" s="4" customFormat="1">
      <c r="A384" s="782" t="s">
        <v>3206</v>
      </c>
    </row>
    <row r="385" spans="1:6" s="4" customFormat="1">
      <c r="A385" s="782" t="s">
        <v>3207</v>
      </c>
    </row>
    <row r="386" spans="1:6" s="4" customFormat="1">
      <c r="A386" s="782" t="s">
        <v>3208</v>
      </c>
    </row>
    <row r="387" spans="1:6" s="4" customFormat="1">
      <c r="A387" s="782" t="s">
        <v>3209</v>
      </c>
    </row>
    <row r="388" spans="1:6" s="4" customFormat="1">
      <c r="A388" s="782" t="s">
        <v>3210</v>
      </c>
    </row>
    <row r="389" spans="1:6" s="4" customFormat="1">
      <c r="A389" s="782" t="s">
        <v>3211</v>
      </c>
    </row>
    <row r="390" spans="1:6" s="4" customFormat="1">
      <c r="A390" s="782" t="s">
        <v>3212</v>
      </c>
    </row>
    <row r="391" spans="1:6" s="4" customFormat="1">
      <c r="A391" s="782" t="s">
        <v>3213</v>
      </c>
    </row>
    <row r="392" spans="1:6" s="4" customFormat="1">
      <c r="A392" s="782" t="s">
        <v>3214</v>
      </c>
    </row>
    <row r="393" spans="1:6" s="4" customFormat="1">
      <c r="A393" s="782" t="s">
        <v>3215</v>
      </c>
    </row>
    <row r="394" spans="1:6" s="4" customFormat="1">
      <c r="A394" s="782" t="s">
        <v>3216</v>
      </c>
    </row>
    <row r="395" spans="1:6" s="4" customFormat="1">
      <c r="A395" s="782" t="s">
        <v>3217</v>
      </c>
    </row>
    <row r="396" spans="1:6" s="4" customFormat="1">
      <c r="A396" s="782" t="s">
        <v>3218</v>
      </c>
    </row>
    <row r="397" spans="1:6" s="4" customFormat="1" ht="14.25" thickBot="1">
      <c r="A397" s="783" t="s">
        <v>3219</v>
      </c>
    </row>
    <row r="398" spans="1:6" s="781" customFormat="1" ht="17.25">
      <c r="A398" s="784" t="s">
        <v>3220</v>
      </c>
      <c r="B398" s="780"/>
      <c r="C398" s="780"/>
      <c r="D398" s="780"/>
      <c r="E398" s="780"/>
      <c r="F398" s="780"/>
    </row>
    <row r="399" spans="1:6" s="4" customFormat="1">
      <c r="A399" s="782" t="s">
        <v>2866</v>
      </c>
    </row>
    <row r="400" spans="1:6" s="4" customFormat="1">
      <c r="A400" s="782" t="s">
        <v>2867</v>
      </c>
    </row>
    <row r="401" spans="1:6" s="4" customFormat="1">
      <c r="A401" s="782" t="s">
        <v>2868</v>
      </c>
    </row>
    <row r="402" spans="1:6" s="4" customFormat="1">
      <c r="A402" s="782" t="s">
        <v>3221</v>
      </c>
    </row>
    <row r="403" spans="1:6" s="4" customFormat="1">
      <c r="A403" s="782" t="s">
        <v>3222</v>
      </c>
    </row>
    <row r="404" spans="1:6" s="4" customFormat="1">
      <c r="A404" s="782" t="s">
        <v>3223</v>
      </c>
    </row>
    <row r="405" spans="1:6" s="4" customFormat="1">
      <c r="A405" s="782" t="s">
        <v>3224</v>
      </c>
    </row>
    <row r="406" spans="1:6" s="4" customFormat="1">
      <c r="A406" s="782" t="s">
        <v>3225</v>
      </c>
    </row>
    <row r="407" spans="1:6" s="4" customFormat="1">
      <c r="A407" s="782" t="s">
        <v>3226</v>
      </c>
    </row>
    <row r="408" spans="1:6" s="4" customFormat="1">
      <c r="A408" s="782" t="s">
        <v>3227</v>
      </c>
    </row>
    <row r="409" spans="1:6" s="4" customFormat="1">
      <c r="A409" s="782" t="s">
        <v>3228</v>
      </c>
    </row>
    <row r="410" spans="1:6" s="4" customFormat="1" ht="14.25" thickBot="1">
      <c r="A410" s="783" t="s">
        <v>3229</v>
      </c>
    </row>
    <row r="411" spans="1:6" s="781" customFormat="1" ht="17.25">
      <c r="A411" s="784" t="s">
        <v>3230</v>
      </c>
      <c r="B411" s="780"/>
      <c r="C411" s="780"/>
      <c r="D411" s="780"/>
      <c r="E411" s="780"/>
      <c r="F411" s="780"/>
    </row>
    <row r="412" spans="1:6" s="4" customFormat="1">
      <c r="A412" s="782" t="s">
        <v>2866</v>
      </c>
    </row>
    <row r="413" spans="1:6" s="4" customFormat="1">
      <c r="A413" s="782" t="s">
        <v>2867</v>
      </c>
    </row>
    <row r="414" spans="1:6" s="4" customFormat="1">
      <c r="A414" s="782" t="s">
        <v>2868</v>
      </c>
    </row>
    <row r="415" spans="1:6" s="4" customFormat="1">
      <c r="A415" s="782" t="s">
        <v>3231</v>
      </c>
    </row>
    <row r="416" spans="1:6" s="4" customFormat="1">
      <c r="A416" s="782" t="s">
        <v>3232</v>
      </c>
    </row>
    <row r="417" spans="1:1" s="4" customFormat="1">
      <c r="A417" s="782" t="s">
        <v>3233</v>
      </c>
    </row>
    <row r="418" spans="1:1" s="4" customFormat="1">
      <c r="A418" s="782" t="s">
        <v>3234</v>
      </c>
    </row>
    <row r="419" spans="1:1" s="4" customFormat="1">
      <c r="A419" s="782" t="s">
        <v>3235</v>
      </c>
    </row>
    <row r="420" spans="1:1" s="4" customFormat="1">
      <c r="A420" s="782" t="s">
        <v>3236</v>
      </c>
    </row>
    <row r="421" spans="1:1" s="4" customFormat="1">
      <c r="A421" s="782" t="s">
        <v>3237</v>
      </c>
    </row>
    <row r="422" spans="1:1" s="4" customFormat="1">
      <c r="A422" s="782" t="s">
        <v>3238</v>
      </c>
    </row>
    <row r="423" spans="1:1" s="4" customFormat="1">
      <c r="A423" s="782" t="s">
        <v>3239</v>
      </c>
    </row>
    <row r="424" spans="1:1" s="4" customFormat="1">
      <c r="A424" s="782" t="s">
        <v>3240</v>
      </c>
    </row>
    <row r="425" spans="1:1" s="4" customFormat="1">
      <c r="A425" s="782" t="s">
        <v>3241</v>
      </c>
    </row>
    <row r="426" spans="1:1" s="4" customFormat="1">
      <c r="A426" s="782" t="s">
        <v>3242</v>
      </c>
    </row>
    <row r="427" spans="1:1" s="4" customFormat="1">
      <c r="A427" s="782" t="s">
        <v>3243</v>
      </c>
    </row>
    <row r="428" spans="1:1" s="4" customFormat="1">
      <c r="A428" s="782" t="s">
        <v>3244</v>
      </c>
    </row>
    <row r="429" spans="1:1" s="4" customFormat="1">
      <c r="A429" s="782" t="s">
        <v>3245</v>
      </c>
    </row>
    <row r="430" spans="1:1" s="4" customFormat="1">
      <c r="A430" s="782" t="s">
        <v>3246</v>
      </c>
    </row>
    <row r="431" spans="1:1" s="4" customFormat="1">
      <c r="A431" s="782" t="s">
        <v>3247</v>
      </c>
    </row>
    <row r="432" spans="1:1" s="4" customFormat="1">
      <c r="A432" s="782" t="s">
        <v>3248</v>
      </c>
    </row>
    <row r="433" spans="1:1" s="4" customFormat="1">
      <c r="A433" s="782" t="s">
        <v>3249</v>
      </c>
    </row>
    <row r="434" spans="1:1" s="4" customFormat="1">
      <c r="A434" s="782" t="s">
        <v>3250</v>
      </c>
    </row>
    <row r="435" spans="1:1" s="4" customFormat="1">
      <c r="A435" s="782" t="s">
        <v>3251</v>
      </c>
    </row>
    <row r="436" spans="1:1" s="4" customFormat="1">
      <c r="A436" s="782" t="s">
        <v>3252</v>
      </c>
    </row>
    <row r="437" spans="1:1" s="4" customFormat="1">
      <c r="A437" s="782" t="s">
        <v>3253</v>
      </c>
    </row>
    <row r="438" spans="1:1" s="4" customFormat="1">
      <c r="A438" s="782" t="s">
        <v>3254</v>
      </c>
    </row>
    <row r="439" spans="1:1" s="4" customFormat="1">
      <c r="A439" s="782" t="s">
        <v>3255</v>
      </c>
    </row>
    <row r="440" spans="1:1" s="4" customFormat="1">
      <c r="A440" s="782" t="s">
        <v>3256</v>
      </c>
    </row>
    <row r="441" spans="1:1" s="4" customFormat="1">
      <c r="A441" s="782" t="s">
        <v>3257</v>
      </c>
    </row>
    <row r="442" spans="1:1" s="4" customFormat="1">
      <c r="A442" s="782" t="s">
        <v>3258</v>
      </c>
    </row>
    <row r="443" spans="1:1" s="4" customFormat="1">
      <c r="A443" s="782" t="s">
        <v>3259</v>
      </c>
    </row>
    <row r="444" spans="1:1" s="4" customFormat="1">
      <c r="A444" s="782" t="s">
        <v>3260</v>
      </c>
    </row>
    <row r="445" spans="1:1" s="4" customFormat="1">
      <c r="A445" s="782" t="s">
        <v>3261</v>
      </c>
    </row>
    <row r="446" spans="1:1" s="4" customFormat="1">
      <c r="A446" s="782" t="s">
        <v>3262</v>
      </c>
    </row>
    <row r="447" spans="1:1" s="4" customFormat="1">
      <c r="A447" s="782" t="s">
        <v>3263</v>
      </c>
    </row>
    <row r="448" spans="1:1" s="4" customFormat="1">
      <c r="A448" s="782" t="s">
        <v>3264</v>
      </c>
    </row>
    <row r="449" spans="1:6" s="4" customFormat="1">
      <c r="A449" s="782" t="s">
        <v>3265</v>
      </c>
    </row>
    <row r="450" spans="1:6" s="4" customFormat="1">
      <c r="A450" s="782" t="s">
        <v>3266</v>
      </c>
    </row>
    <row r="451" spans="1:6" s="4" customFormat="1">
      <c r="A451" s="782" t="s">
        <v>3267</v>
      </c>
    </row>
    <row r="452" spans="1:6" s="4" customFormat="1">
      <c r="A452" s="782" t="s">
        <v>3268</v>
      </c>
    </row>
    <row r="453" spans="1:6" s="4" customFormat="1">
      <c r="A453" s="782" t="s">
        <v>3269</v>
      </c>
    </row>
    <row r="454" spans="1:6" s="4" customFormat="1">
      <c r="A454" s="782" t="s">
        <v>3270</v>
      </c>
    </row>
    <row r="455" spans="1:6" s="4" customFormat="1">
      <c r="A455" s="782" t="s">
        <v>3271</v>
      </c>
    </row>
    <row r="456" spans="1:6" s="4" customFormat="1">
      <c r="A456" s="782" t="s">
        <v>3272</v>
      </c>
    </row>
    <row r="457" spans="1:6" s="4" customFormat="1">
      <c r="A457" s="782" t="s">
        <v>3273</v>
      </c>
    </row>
    <row r="458" spans="1:6" s="4" customFormat="1">
      <c r="A458" s="782" t="s">
        <v>3274</v>
      </c>
    </row>
    <row r="459" spans="1:6" s="4" customFormat="1" ht="14.25" thickBot="1">
      <c r="A459" s="783" t="s">
        <v>3275</v>
      </c>
    </row>
    <row r="460" spans="1:6" s="781" customFormat="1" ht="17.25">
      <c r="A460" s="784" t="s">
        <v>3276</v>
      </c>
      <c r="B460" s="780"/>
      <c r="C460" s="780"/>
      <c r="D460" s="780"/>
      <c r="E460" s="780"/>
      <c r="F460" s="780"/>
    </row>
    <row r="461" spans="1:6" s="4" customFormat="1">
      <c r="A461" s="782" t="s">
        <v>2866</v>
      </c>
    </row>
    <row r="462" spans="1:6" s="4" customFormat="1">
      <c r="A462" s="782" t="s">
        <v>2867</v>
      </c>
    </row>
    <row r="463" spans="1:6" s="4" customFormat="1">
      <c r="A463" s="782" t="s">
        <v>2868</v>
      </c>
    </row>
    <row r="464" spans="1:6" s="4" customFormat="1">
      <c r="A464" s="782" t="s">
        <v>3277</v>
      </c>
    </row>
    <row r="465" spans="1:6" s="4" customFormat="1">
      <c r="A465" s="782" t="s">
        <v>3278</v>
      </c>
    </row>
    <row r="466" spans="1:6" s="4" customFormat="1">
      <c r="A466" s="782" t="s">
        <v>3279</v>
      </c>
    </row>
    <row r="467" spans="1:6" s="4" customFormat="1">
      <c r="A467" s="782" t="s">
        <v>3280</v>
      </c>
    </row>
    <row r="468" spans="1:6" s="4" customFormat="1" ht="14.25" thickBot="1">
      <c r="A468" s="783" t="s">
        <v>3281</v>
      </c>
    </row>
    <row r="469" spans="1:6" s="781" customFormat="1" ht="17.25">
      <c r="A469" s="784" t="s">
        <v>3282</v>
      </c>
      <c r="B469" s="780"/>
      <c r="C469" s="780"/>
      <c r="D469" s="780"/>
      <c r="E469" s="780"/>
      <c r="F469" s="780"/>
    </row>
    <row r="470" spans="1:6" s="4" customFormat="1">
      <c r="A470" s="782" t="s">
        <v>2866</v>
      </c>
    </row>
    <row r="471" spans="1:6" s="4" customFormat="1">
      <c r="A471" s="782" t="s">
        <v>2867</v>
      </c>
    </row>
    <row r="472" spans="1:6" s="4" customFormat="1">
      <c r="A472" s="782" t="s">
        <v>2868</v>
      </c>
    </row>
    <row r="473" spans="1:6" s="4" customFormat="1">
      <c r="A473" s="782" t="s">
        <v>3283</v>
      </c>
    </row>
    <row r="474" spans="1:6" s="4" customFormat="1">
      <c r="A474" s="782" t="s">
        <v>3284</v>
      </c>
    </row>
    <row r="475" spans="1:6" s="4" customFormat="1">
      <c r="A475" s="782" t="s">
        <v>3285</v>
      </c>
    </row>
    <row r="476" spans="1:6" s="4" customFormat="1">
      <c r="A476" s="782" t="s">
        <v>3286</v>
      </c>
    </row>
    <row r="477" spans="1:6" s="4" customFormat="1">
      <c r="A477" s="782" t="s">
        <v>3287</v>
      </c>
    </row>
    <row r="478" spans="1:6" s="4" customFormat="1">
      <c r="A478" s="782" t="s">
        <v>3288</v>
      </c>
    </row>
    <row r="479" spans="1:6" s="4" customFormat="1">
      <c r="A479" s="782" t="s">
        <v>3289</v>
      </c>
    </row>
    <row r="480" spans="1:6" s="4" customFormat="1">
      <c r="A480" s="782" t="s">
        <v>3290</v>
      </c>
    </row>
    <row r="481" spans="1:1" s="4" customFormat="1">
      <c r="A481" s="782" t="s">
        <v>3291</v>
      </c>
    </row>
    <row r="482" spans="1:1" s="4" customFormat="1">
      <c r="A482" s="782" t="s">
        <v>3292</v>
      </c>
    </row>
    <row r="483" spans="1:1" s="4" customFormat="1">
      <c r="A483" s="782" t="s">
        <v>3293</v>
      </c>
    </row>
    <row r="484" spans="1:1" s="4" customFormat="1">
      <c r="A484" s="782" t="s">
        <v>3294</v>
      </c>
    </row>
    <row r="485" spans="1:1" s="4" customFormat="1">
      <c r="A485" s="782" t="s">
        <v>3295</v>
      </c>
    </row>
    <row r="486" spans="1:1" s="4" customFormat="1">
      <c r="A486" s="782" t="s">
        <v>3296</v>
      </c>
    </row>
    <row r="487" spans="1:1" s="4" customFormat="1">
      <c r="A487" s="782" t="s">
        <v>3297</v>
      </c>
    </row>
    <row r="488" spans="1:1" s="4" customFormat="1">
      <c r="A488" s="782" t="s">
        <v>3298</v>
      </c>
    </row>
    <row r="489" spans="1:1" s="4" customFormat="1">
      <c r="A489" s="782" t="s">
        <v>3299</v>
      </c>
    </row>
    <row r="490" spans="1:1" s="4" customFormat="1">
      <c r="A490" s="782" t="s">
        <v>3300</v>
      </c>
    </row>
    <row r="491" spans="1:1" s="4" customFormat="1">
      <c r="A491" s="782" t="s">
        <v>3301</v>
      </c>
    </row>
    <row r="492" spans="1:1" s="4" customFormat="1">
      <c r="A492" s="782" t="s">
        <v>3302</v>
      </c>
    </row>
    <row r="493" spans="1:1" s="4" customFormat="1">
      <c r="A493" s="782" t="s">
        <v>3303</v>
      </c>
    </row>
    <row r="494" spans="1:1" s="4" customFormat="1">
      <c r="A494" s="782" t="s">
        <v>3304</v>
      </c>
    </row>
    <row r="495" spans="1:1" s="4" customFormat="1">
      <c r="A495" s="782" t="s">
        <v>3305</v>
      </c>
    </row>
    <row r="496" spans="1:1" s="4" customFormat="1">
      <c r="A496" s="782" t="s">
        <v>3306</v>
      </c>
    </row>
    <row r="497" spans="1:6" s="4" customFormat="1">
      <c r="A497" s="782" t="s">
        <v>3307</v>
      </c>
    </row>
    <row r="498" spans="1:6" s="4" customFormat="1">
      <c r="A498" s="782" t="s">
        <v>3308</v>
      </c>
    </row>
    <row r="499" spans="1:6" s="4" customFormat="1">
      <c r="A499" s="782" t="s">
        <v>3309</v>
      </c>
    </row>
    <row r="500" spans="1:6" s="4" customFormat="1">
      <c r="A500" s="782" t="s">
        <v>3310</v>
      </c>
    </row>
    <row r="501" spans="1:6" s="4" customFormat="1">
      <c r="A501" s="782" t="s">
        <v>3311</v>
      </c>
    </row>
    <row r="502" spans="1:6" s="4" customFormat="1">
      <c r="A502" s="782" t="s">
        <v>3312</v>
      </c>
    </row>
    <row r="503" spans="1:6" s="4" customFormat="1" ht="14.25" thickBot="1">
      <c r="A503" s="783" t="s">
        <v>3313</v>
      </c>
    </row>
    <row r="504" spans="1:6" s="781" customFormat="1" ht="17.25">
      <c r="A504" s="784" t="s">
        <v>3314</v>
      </c>
      <c r="B504" s="780"/>
      <c r="C504" s="780"/>
      <c r="D504" s="780"/>
      <c r="E504" s="780"/>
      <c r="F504" s="780"/>
    </row>
    <row r="505" spans="1:6" s="4" customFormat="1">
      <c r="A505" s="782" t="s">
        <v>2866</v>
      </c>
    </row>
    <row r="506" spans="1:6" s="4" customFormat="1">
      <c r="A506" s="782" t="s">
        <v>2867</v>
      </c>
    </row>
    <row r="507" spans="1:6" s="4" customFormat="1">
      <c r="A507" s="782" t="s">
        <v>2868</v>
      </c>
    </row>
    <row r="508" spans="1:6" s="4" customFormat="1">
      <c r="A508" s="782" t="s">
        <v>3315</v>
      </c>
    </row>
    <row r="509" spans="1:6" s="4" customFormat="1">
      <c r="A509" s="782" t="s">
        <v>3316</v>
      </c>
    </row>
    <row r="510" spans="1:6" s="4" customFormat="1">
      <c r="A510" s="782" t="s">
        <v>3317</v>
      </c>
    </row>
    <row r="511" spans="1:6" s="4" customFormat="1">
      <c r="A511" s="782" t="s">
        <v>3318</v>
      </c>
    </row>
    <row r="512" spans="1:6" s="4" customFormat="1">
      <c r="A512" s="782" t="s">
        <v>3319</v>
      </c>
    </row>
    <row r="513" spans="1:6" s="4" customFormat="1">
      <c r="A513" s="782" t="s">
        <v>3320</v>
      </c>
    </row>
    <row r="514" spans="1:6" s="4" customFormat="1">
      <c r="A514" s="782" t="s">
        <v>3321</v>
      </c>
    </row>
    <row r="515" spans="1:6" s="4" customFormat="1">
      <c r="A515" s="782" t="s">
        <v>3322</v>
      </c>
    </row>
    <row r="516" spans="1:6" s="4" customFormat="1">
      <c r="A516" s="782" t="s">
        <v>3323</v>
      </c>
    </row>
    <row r="517" spans="1:6" s="4" customFormat="1">
      <c r="A517" s="782" t="s">
        <v>3324</v>
      </c>
    </row>
    <row r="518" spans="1:6" s="4" customFormat="1">
      <c r="A518" s="782" t="s">
        <v>3325</v>
      </c>
    </row>
    <row r="519" spans="1:6" s="4" customFormat="1">
      <c r="A519" s="782" t="s">
        <v>3326</v>
      </c>
    </row>
    <row r="520" spans="1:6" s="4" customFormat="1">
      <c r="A520" s="782" t="s">
        <v>3327</v>
      </c>
    </row>
    <row r="521" spans="1:6" s="4" customFormat="1">
      <c r="A521" s="782" t="s">
        <v>3328</v>
      </c>
    </row>
    <row r="522" spans="1:6" s="4" customFormat="1">
      <c r="A522" s="782" t="s">
        <v>3329</v>
      </c>
    </row>
    <row r="523" spans="1:6" s="4" customFormat="1">
      <c r="A523" s="782" t="s">
        <v>3330</v>
      </c>
    </row>
    <row r="524" spans="1:6" s="4" customFormat="1" ht="14.25" thickBot="1">
      <c r="A524" s="783" t="s">
        <v>3331</v>
      </c>
    </row>
    <row r="525" spans="1:6" s="781" customFormat="1" ht="17.25">
      <c r="A525" s="784" t="s">
        <v>3332</v>
      </c>
      <c r="B525" s="780"/>
      <c r="C525" s="780"/>
      <c r="D525" s="780"/>
      <c r="E525" s="780"/>
      <c r="F525" s="780"/>
    </row>
    <row r="526" spans="1:6" s="4" customFormat="1">
      <c r="A526" s="782" t="s">
        <v>2866</v>
      </c>
    </row>
    <row r="527" spans="1:6" s="4" customFormat="1">
      <c r="A527" s="782" t="s">
        <v>2867</v>
      </c>
    </row>
    <row r="528" spans="1:6" s="4" customFormat="1">
      <c r="A528" s="782" t="s">
        <v>2868</v>
      </c>
    </row>
    <row r="529" spans="1:6" s="4" customFormat="1">
      <c r="A529" s="782" t="s">
        <v>3333</v>
      </c>
    </row>
    <row r="530" spans="1:6" s="4" customFormat="1">
      <c r="A530" s="782" t="s">
        <v>3334</v>
      </c>
    </row>
    <row r="531" spans="1:6" s="4" customFormat="1">
      <c r="A531" s="782" t="s">
        <v>3335</v>
      </c>
    </row>
    <row r="532" spans="1:6" s="4" customFormat="1">
      <c r="A532" s="782" t="s">
        <v>3336</v>
      </c>
    </row>
    <row r="533" spans="1:6" s="4" customFormat="1">
      <c r="A533" s="782" t="s">
        <v>3337</v>
      </c>
    </row>
    <row r="534" spans="1:6" s="4" customFormat="1">
      <c r="A534" s="782" t="s">
        <v>3338</v>
      </c>
    </row>
    <row r="535" spans="1:6" s="4" customFormat="1">
      <c r="A535" s="782" t="s">
        <v>3339</v>
      </c>
    </row>
    <row r="536" spans="1:6" s="4" customFormat="1">
      <c r="A536" s="782" t="s">
        <v>3340</v>
      </c>
    </row>
    <row r="537" spans="1:6" s="4" customFormat="1">
      <c r="A537" s="782" t="s">
        <v>3341</v>
      </c>
    </row>
    <row r="538" spans="1:6" s="4" customFormat="1">
      <c r="A538" s="782" t="s">
        <v>3342</v>
      </c>
    </row>
    <row r="539" spans="1:6" s="4" customFormat="1" ht="14.25" thickBot="1">
      <c r="A539" s="783" t="s">
        <v>3343</v>
      </c>
    </row>
    <row r="540" spans="1:6" s="781" customFormat="1" ht="17.25">
      <c r="A540" s="784" t="s">
        <v>3344</v>
      </c>
      <c r="B540" s="780"/>
      <c r="C540" s="780"/>
      <c r="D540" s="780"/>
      <c r="E540" s="780"/>
      <c r="F540" s="780"/>
    </row>
    <row r="541" spans="1:6" s="4" customFormat="1">
      <c r="A541" s="782" t="s">
        <v>2866</v>
      </c>
      <c r="B541" s="785"/>
      <c r="C541" s="785"/>
      <c r="D541" s="785"/>
      <c r="E541" s="785"/>
      <c r="F541" s="785"/>
    </row>
    <row r="542" spans="1:6" s="4" customFormat="1">
      <c r="A542" s="782" t="s">
        <v>2867</v>
      </c>
      <c r="B542" s="785"/>
      <c r="C542" s="785"/>
      <c r="D542" s="785"/>
      <c r="E542" s="785"/>
      <c r="F542" s="785"/>
    </row>
    <row r="543" spans="1:6" s="4" customFormat="1">
      <c r="A543" s="782" t="s">
        <v>2868</v>
      </c>
    </row>
    <row r="544" spans="1:6" s="4" customFormat="1">
      <c r="A544" s="782" t="s">
        <v>3345</v>
      </c>
    </row>
    <row r="545" spans="1:1" s="4" customFormat="1">
      <c r="A545" s="782" t="s">
        <v>3346</v>
      </c>
    </row>
    <row r="546" spans="1:1" s="4" customFormat="1">
      <c r="A546" s="782" t="s">
        <v>3347</v>
      </c>
    </row>
    <row r="547" spans="1:1" s="4" customFormat="1">
      <c r="A547" s="782" t="s">
        <v>3348</v>
      </c>
    </row>
    <row r="548" spans="1:1" s="4" customFormat="1">
      <c r="A548" s="782" t="s">
        <v>3349</v>
      </c>
    </row>
    <row r="549" spans="1:1" s="4" customFormat="1">
      <c r="A549" s="782" t="s">
        <v>3350</v>
      </c>
    </row>
    <row r="550" spans="1:1" s="4" customFormat="1">
      <c r="A550" s="782" t="s">
        <v>3351</v>
      </c>
    </row>
    <row r="551" spans="1:1" s="4" customFormat="1">
      <c r="A551" s="782" t="s">
        <v>3352</v>
      </c>
    </row>
    <row r="552" spans="1:1" s="4" customFormat="1">
      <c r="A552" s="782" t="s">
        <v>3353</v>
      </c>
    </row>
    <row r="553" spans="1:1" s="4" customFormat="1">
      <c r="A553" s="782" t="s">
        <v>3354</v>
      </c>
    </row>
    <row r="554" spans="1:1" s="4" customFormat="1">
      <c r="A554" s="782" t="s">
        <v>3355</v>
      </c>
    </row>
    <row r="555" spans="1:1" s="4" customFormat="1">
      <c r="A555" s="782" t="s">
        <v>3356</v>
      </c>
    </row>
    <row r="556" spans="1:1" s="4" customFormat="1">
      <c r="A556" s="782" t="s">
        <v>3357</v>
      </c>
    </row>
    <row r="557" spans="1:1" s="4" customFormat="1">
      <c r="A557" s="782" t="s">
        <v>3358</v>
      </c>
    </row>
    <row r="558" spans="1:1" s="4" customFormat="1">
      <c r="A558" s="782" t="s">
        <v>3359</v>
      </c>
    </row>
    <row r="559" spans="1:1" s="4" customFormat="1">
      <c r="A559" s="782" t="s">
        <v>3360</v>
      </c>
    </row>
    <row r="560" spans="1:1" s="4" customFormat="1">
      <c r="A560" s="782" t="s">
        <v>3361</v>
      </c>
    </row>
    <row r="561" spans="1:1" s="4" customFormat="1">
      <c r="A561" s="782" t="s">
        <v>3362</v>
      </c>
    </row>
    <row r="562" spans="1:1" s="4" customFormat="1">
      <c r="A562" s="782" t="s">
        <v>3363</v>
      </c>
    </row>
    <row r="563" spans="1:1" s="4" customFormat="1">
      <c r="A563" s="782" t="s">
        <v>3364</v>
      </c>
    </row>
    <row r="564" spans="1:1" s="4" customFormat="1">
      <c r="A564" s="782" t="s">
        <v>3365</v>
      </c>
    </row>
    <row r="565" spans="1:1" s="4" customFormat="1">
      <c r="A565" s="782" t="s">
        <v>3366</v>
      </c>
    </row>
    <row r="566" spans="1:1" s="4" customFormat="1">
      <c r="A566" s="782" t="s">
        <v>3367</v>
      </c>
    </row>
    <row r="567" spans="1:1" s="4" customFormat="1">
      <c r="A567" s="782" t="s">
        <v>3368</v>
      </c>
    </row>
    <row r="568" spans="1:1" s="4" customFormat="1">
      <c r="A568" s="782" t="s">
        <v>3369</v>
      </c>
    </row>
    <row r="569" spans="1:1" s="4" customFormat="1">
      <c r="A569" s="782" t="s">
        <v>3370</v>
      </c>
    </row>
    <row r="570" spans="1:1" s="4" customFormat="1">
      <c r="A570" s="782" t="s">
        <v>3371</v>
      </c>
    </row>
    <row r="571" spans="1:1" s="4" customFormat="1">
      <c r="A571" s="782" t="s">
        <v>3372</v>
      </c>
    </row>
    <row r="572" spans="1:1" s="4" customFormat="1">
      <c r="A572" s="782" t="s">
        <v>3373</v>
      </c>
    </row>
    <row r="573" spans="1:1" s="4" customFormat="1">
      <c r="A573" s="782" t="s">
        <v>3374</v>
      </c>
    </row>
    <row r="574" spans="1:1" s="4" customFormat="1">
      <c r="A574" s="782" t="s">
        <v>3375</v>
      </c>
    </row>
    <row r="575" spans="1:1" s="4" customFormat="1">
      <c r="A575" s="782" t="s">
        <v>3376</v>
      </c>
    </row>
    <row r="576" spans="1:1" s="4" customFormat="1">
      <c r="A576" s="782" t="s">
        <v>3377</v>
      </c>
    </row>
    <row r="577" spans="1:1" s="4" customFormat="1">
      <c r="A577" s="782" t="s">
        <v>3378</v>
      </c>
    </row>
    <row r="578" spans="1:1" s="4" customFormat="1">
      <c r="A578" s="782" t="s">
        <v>3379</v>
      </c>
    </row>
    <row r="579" spans="1:1" s="4" customFormat="1">
      <c r="A579" s="782" t="s">
        <v>3380</v>
      </c>
    </row>
    <row r="580" spans="1:1" s="4" customFormat="1">
      <c r="A580" s="782" t="s">
        <v>3381</v>
      </c>
    </row>
    <row r="581" spans="1:1" s="4" customFormat="1">
      <c r="A581" s="782" t="s">
        <v>3382</v>
      </c>
    </row>
    <row r="582" spans="1:1" s="4" customFormat="1">
      <c r="A582" s="782" t="s">
        <v>3383</v>
      </c>
    </row>
    <row r="583" spans="1:1" s="4" customFormat="1">
      <c r="A583" s="782" t="s">
        <v>3384</v>
      </c>
    </row>
    <row r="584" spans="1:1" s="4" customFormat="1">
      <c r="A584" s="782" t="s">
        <v>3385</v>
      </c>
    </row>
    <row r="585" spans="1:1" s="4" customFormat="1">
      <c r="A585" s="782" t="s">
        <v>3386</v>
      </c>
    </row>
    <row r="586" spans="1:1" s="4" customFormat="1">
      <c r="A586" s="782" t="s">
        <v>3387</v>
      </c>
    </row>
    <row r="587" spans="1:1" s="4" customFormat="1">
      <c r="A587" s="782" t="s">
        <v>3388</v>
      </c>
    </row>
    <row r="588" spans="1:1" s="4" customFormat="1">
      <c r="A588" s="782" t="s">
        <v>3389</v>
      </c>
    </row>
    <row r="589" spans="1:1" s="4" customFormat="1">
      <c r="A589" s="782" t="s">
        <v>3390</v>
      </c>
    </row>
    <row r="590" spans="1:1" s="4" customFormat="1">
      <c r="A590" s="782" t="s">
        <v>3391</v>
      </c>
    </row>
    <row r="591" spans="1:1" s="4" customFormat="1">
      <c r="A591" s="782" t="s">
        <v>3392</v>
      </c>
    </row>
    <row r="592" spans="1:1" s="4" customFormat="1">
      <c r="A592" s="782" t="s">
        <v>3393</v>
      </c>
    </row>
    <row r="593" spans="1:6" s="788" customFormat="1">
      <c r="A593" s="786" t="s">
        <v>3394</v>
      </c>
    </row>
    <row r="594" spans="1:6" s="4" customFormat="1">
      <c r="A594" s="782" t="s">
        <v>3395</v>
      </c>
    </row>
    <row r="595" spans="1:6" s="4" customFormat="1">
      <c r="A595" s="782" t="s">
        <v>3396</v>
      </c>
    </row>
    <row r="596" spans="1:6" s="4" customFormat="1" ht="14.25" thickBot="1">
      <c r="A596" s="783" t="s">
        <v>3397</v>
      </c>
    </row>
    <row r="597" spans="1:6" s="781" customFormat="1" ht="17.25">
      <c r="A597" s="784" t="s">
        <v>3398</v>
      </c>
      <c r="B597" s="780"/>
      <c r="C597" s="780"/>
      <c r="D597" s="780"/>
      <c r="E597" s="780"/>
      <c r="F597" s="780"/>
    </row>
    <row r="598" spans="1:6" s="4" customFormat="1">
      <c r="A598" s="782" t="s">
        <v>2866</v>
      </c>
    </row>
    <row r="599" spans="1:6" s="4" customFormat="1">
      <c r="A599" s="782" t="s">
        <v>2867</v>
      </c>
    </row>
    <row r="600" spans="1:6" s="4" customFormat="1">
      <c r="A600" s="782" t="s">
        <v>2868</v>
      </c>
    </row>
    <row r="601" spans="1:6" s="4" customFormat="1">
      <c r="A601" s="782" t="s">
        <v>3399</v>
      </c>
    </row>
    <row r="602" spans="1:6" s="4" customFormat="1">
      <c r="A602" s="782" t="s">
        <v>3400</v>
      </c>
    </row>
    <row r="603" spans="1:6" s="4" customFormat="1">
      <c r="A603" s="782" t="s">
        <v>3401</v>
      </c>
    </row>
    <row r="604" spans="1:6" s="4" customFormat="1">
      <c r="A604" s="782" t="s">
        <v>3402</v>
      </c>
    </row>
    <row r="605" spans="1:6" s="4" customFormat="1">
      <c r="A605" s="782" t="s">
        <v>3403</v>
      </c>
    </row>
    <row r="606" spans="1:6" s="4" customFormat="1">
      <c r="A606" s="782" t="s">
        <v>3404</v>
      </c>
    </row>
    <row r="607" spans="1:6" s="4" customFormat="1">
      <c r="A607" s="782" t="s">
        <v>3405</v>
      </c>
    </row>
    <row r="608" spans="1:6" s="4" customFormat="1">
      <c r="A608" s="782" t="s">
        <v>3406</v>
      </c>
    </row>
    <row r="609" spans="1:1" s="4" customFormat="1">
      <c r="A609" s="782" t="s">
        <v>3407</v>
      </c>
    </row>
    <row r="610" spans="1:1" s="4" customFormat="1">
      <c r="A610" s="782" t="s">
        <v>3408</v>
      </c>
    </row>
    <row r="611" spans="1:1" s="4" customFormat="1">
      <c r="A611" s="782" t="s">
        <v>3409</v>
      </c>
    </row>
    <row r="612" spans="1:1" s="4" customFormat="1">
      <c r="A612" s="782" t="s">
        <v>3410</v>
      </c>
    </row>
    <row r="613" spans="1:1" s="4" customFormat="1">
      <c r="A613" s="782" t="s">
        <v>3411</v>
      </c>
    </row>
    <row r="614" spans="1:1" s="4" customFormat="1">
      <c r="A614" s="782" t="s">
        <v>3412</v>
      </c>
    </row>
    <row r="615" spans="1:1" s="4" customFormat="1">
      <c r="A615" s="782" t="s">
        <v>3413</v>
      </c>
    </row>
    <row r="616" spans="1:1" s="4" customFormat="1">
      <c r="A616" s="782" t="s">
        <v>3414</v>
      </c>
    </row>
    <row r="617" spans="1:1" s="4" customFormat="1">
      <c r="A617" s="782" t="s">
        <v>3415</v>
      </c>
    </row>
    <row r="618" spans="1:1" s="4" customFormat="1">
      <c r="A618" s="782" t="s">
        <v>3416</v>
      </c>
    </row>
    <row r="619" spans="1:1" s="4" customFormat="1">
      <c r="A619" s="782" t="s">
        <v>3417</v>
      </c>
    </row>
    <row r="620" spans="1:1" s="4" customFormat="1">
      <c r="A620" s="782" t="s">
        <v>3418</v>
      </c>
    </row>
    <row r="621" spans="1:1" s="4" customFormat="1">
      <c r="A621" s="782" t="s">
        <v>3419</v>
      </c>
    </row>
    <row r="622" spans="1:1" s="4" customFormat="1">
      <c r="A622" s="782" t="s">
        <v>3420</v>
      </c>
    </row>
    <row r="623" spans="1:1" s="4" customFormat="1">
      <c r="A623" s="782" t="s">
        <v>3421</v>
      </c>
    </row>
    <row r="624" spans="1:1" s="4" customFormat="1">
      <c r="A624" s="782" t="s">
        <v>3422</v>
      </c>
    </row>
    <row r="625" spans="1:6" s="4" customFormat="1">
      <c r="A625" s="782" t="s">
        <v>3423</v>
      </c>
    </row>
    <row r="626" spans="1:6" s="4" customFormat="1">
      <c r="A626" s="782" t="s">
        <v>3424</v>
      </c>
    </row>
    <row r="627" spans="1:6" s="4" customFormat="1">
      <c r="A627" s="782" t="s">
        <v>3425</v>
      </c>
    </row>
    <row r="628" spans="1:6" s="4" customFormat="1">
      <c r="A628" s="782" t="s">
        <v>3426</v>
      </c>
    </row>
    <row r="629" spans="1:6" s="4" customFormat="1" ht="14.25" thickBot="1">
      <c r="A629" s="783" t="s">
        <v>3427</v>
      </c>
    </row>
    <row r="630" spans="1:6" s="781" customFormat="1" ht="17.25">
      <c r="A630" s="784" t="s">
        <v>3428</v>
      </c>
      <c r="B630" s="780"/>
      <c r="C630" s="780"/>
      <c r="D630" s="780"/>
      <c r="E630" s="780"/>
      <c r="F630" s="780"/>
    </row>
    <row r="631" spans="1:6" s="4" customFormat="1">
      <c r="A631" s="782" t="s">
        <v>2866</v>
      </c>
    </row>
    <row r="632" spans="1:6" s="4" customFormat="1">
      <c r="A632" s="782" t="s">
        <v>2867</v>
      </c>
    </row>
    <row r="633" spans="1:6" s="4" customFormat="1">
      <c r="A633" s="782" t="s">
        <v>2868</v>
      </c>
    </row>
    <row r="634" spans="1:6" s="4" customFormat="1">
      <c r="A634" s="782" t="s">
        <v>3429</v>
      </c>
    </row>
    <row r="635" spans="1:6" s="4" customFormat="1">
      <c r="A635" s="782" t="s">
        <v>3430</v>
      </c>
    </row>
    <row r="636" spans="1:6" s="4" customFormat="1">
      <c r="A636" s="782" t="s">
        <v>3431</v>
      </c>
    </row>
    <row r="637" spans="1:6" s="4" customFormat="1">
      <c r="A637" s="782" t="s">
        <v>3432</v>
      </c>
    </row>
    <row r="638" spans="1:6" s="4" customFormat="1">
      <c r="A638" s="782" t="s">
        <v>3433</v>
      </c>
    </row>
    <row r="639" spans="1:6" s="4" customFormat="1">
      <c r="A639" s="782" t="s">
        <v>3434</v>
      </c>
    </row>
    <row r="640" spans="1:6" s="4" customFormat="1">
      <c r="A640" s="782" t="s">
        <v>3435</v>
      </c>
    </row>
    <row r="641" spans="1:1" s="4" customFormat="1">
      <c r="A641" s="782" t="s">
        <v>3436</v>
      </c>
    </row>
    <row r="642" spans="1:1" s="4" customFormat="1">
      <c r="A642" s="782" t="s">
        <v>3437</v>
      </c>
    </row>
    <row r="643" spans="1:1" s="4" customFormat="1">
      <c r="A643" s="782" t="s">
        <v>3438</v>
      </c>
    </row>
    <row r="644" spans="1:1" s="4" customFormat="1">
      <c r="A644" s="782" t="s">
        <v>3439</v>
      </c>
    </row>
    <row r="645" spans="1:1" s="4" customFormat="1">
      <c r="A645" s="782" t="s">
        <v>3440</v>
      </c>
    </row>
    <row r="646" spans="1:1" s="4" customFormat="1">
      <c r="A646" s="782" t="s">
        <v>3441</v>
      </c>
    </row>
    <row r="647" spans="1:1" s="4" customFormat="1">
      <c r="A647" s="782" t="s">
        <v>3442</v>
      </c>
    </row>
    <row r="648" spans="1:1" s="4" customFormat="1">
      <c r="A648" s="782" t="s">
        <v>3443</v>
      </c>
    </row>
    <row r="649" spans="1:1" s="4" customFormat="1">
      <c r="A649" s="782" t="s">
        <v>3444</v>
      </c>
    </row>
    <row r="650" spans="1:1" s="4" customFormat="1">
      <c r="A650" s="782" t="s">
        <v>3445</v>
      </c>
    </row>
    <row r="651" spans="1:1" s="4" customFormat="1">
      <c r="A651" s="782" t="s">
        <v>3446</v>
      </c>
    </row>
    <row r="652" spans="1:1" s="4" customFormat="1">
      <c r="A652" s="782" t="s">
        <v>3447</v>
      </c>
    </row>
    <row r="653" spans="1:1" s="4" customFormat="1">
      <c r="A653" s="782" t="s">
        <v>3448</v>
      </c>
    </row>
    <row r="654" spans="1:1" s="4" customFormat="1">
      <c r="A654" s="782" t="s">
        <v>3449</v>
      </c>
    </row>
    <row r="655" spans="1:1" s="4" customFormat="1">
      <c r="A655" s="782" t="s">
        <v>3450</v>
      </c>
    </row>
    <row r="656" spans="1:1" s="4" customFormat="1">
      <c r="A656" s="782" t="s">
        <v>3451</v>
      </c>
    </row>
    <row r="657" spans="1:7" s="4" customFormat="1" ht="14.25" thickBot="1">
      <c r="A657" s="783" t="s">
        <v>3452</v>
      </c>
    </row>
    <row r="658" spans="1:7" s="781" customFormat="1" ht="17.25">
      <c r="A658" s="784" t="s">
        <v>3453</v>
      </c>
      <c r="B658" s="780"/>
      <c r="C658" s="780"/>
      <c r="D658" s="780"/>
      <c r="E658" s="780"/>
      <c r="F658" s="780"/>
      <c r="G658" s="780"/>
    </row>
    <row r="659" spans="1:7" s="4" customFormat="1">
      <c r="A659" s="782" t="s">
        <v>2866</v>
      </c>
    </row>
    <row r="660" spans="1:7" s="4" customFormat="1">
      <c r="A660" s="782" t="s">
        <v>2867</v>
      </c>
    </row>
    <row r="661" spans="1:7" s="4" customFormat="1">
      <c r="A661" s="782" t="s">
        <v>2868</v>
      </c>
    </row>
    <row r="662" spans="1:7" s="4" customFormat="1">
      <c r="A662" s="782" t="s">
        <v>3454</v>
      </c>
    </row>
    <row r="663" spans="1:7" s="4" customFormat="1">
      <c r="A663" s="782" t="s">
        <v>3455</v>
      </c>
    </row>
    <row r="664" spans="1:7" s="4" customFormat="1">
      <c r="A664" s="782" t="s">
        <v>3456</v>
      </c>
    </row>
    <row r="665" spans="1:7" s="4" customFormat="1">
      <c r="A665" s="782" t="s">
        <v>3457</v>
      </c>
    </row>
    <row r="666" spans="1:7" s="4" customFormat="1">
      <c r="A666" s="782" t="s">
        <v>3458</v>
      </c>
    </row>
    <row r="667" spans="1:7" s="4" customFormat="1">
      <c r="A667" s="782" t="s">
        <v>3459</v>
      </c>
    </row>
    <row r="668" spans="1:7" s="4" customFormat="1">
      <c r="A668" s="782" t="s">
        <v>3460</v>
      </c>
    </row>
    <row r="669" spans="1:7" s="4" customFormat="1">
      <c r="A669" s="782" t="s">
        <v>3461</v>
      </c>
    </row>
    <row r="670" spans="1:7" s="4" customFormat="1">
      <c r="A670" s="782" t="s">
        <v>3462</v>
      </c>
    </row>
    <row r="671" spans="1:7" s="4" customFormat="1">
      <c r="A671" s="782" t="s">
        <v>3463</v>
      </c>
    </row>
    <row r="672" spans="1:7" s="4" customFormat="1">
      <c r="A672" s="782" t="s">
        <v>3464</v>
      </c>
    </row>
    <row r="673" spans="1:1" s="4" customFormat="1">
      <c r="A673" s="782" t="s">
        <v>3465</v>
      </c>
    </row>
    <row r="674" spans="1:1" s="4" customFormat="1">
      <c r="A674" s="782" t="s">
        <v>3466</v>
      </c>
    </row>
    <row r="675" spans="1:1" s="4" customFormat="1">
      <c r="A675" s="782" t="s">
        <v>3467</v>
      </c>
    </row>
    <row r="676" spans="1:1" s="4" customFormat="1">
      <c r="A676" s="782" t="s">
        <v>3468</v>
      </c>
    </row>
    <row r="677" spans="1:1" s="4" customFormat="1">
      <c r="A677" s="782" t="s">
        <v>3469</v>
      </c>
    </row>
    <row r="678" spans="1:1" s="4" customFormat="1">
      <c r="A678" s="782" t="s">
        <v>3470</v>
      </c>
    </row>
    <row r="679" spans="1:1" s="4" customFormat="1">
      <c r="A679" s="782" t="s">
        <v>3471</v>
      </c>
    </row>
    <row r="680" spans="1:1" s="4" customFormat="1">
      <c r="A680" s="782" t="s">
        <v>3472</v>
      </c>
    </row>
    <row r="681" spans="1:1" s="4" customFormat="1">
      <c r="A681" s="782" t="s">
        <v>3473</v>
      </c>
    </row>
    <row r="682" spans="1:1" s="4" customFormat="1">
      <c r="A682" s="782" t="s">
        <v>3474</v>
      </c>
    </row>
    <row r="683" spans="1:1" s="4" customFormat="1">
      <c r="A683" s="782" t="s">
        <v>3475</v>
      </c>
    </row>
    <row r="684" spans="1:1" s="4" customFormat="1">
      <c r="A684" s="782" t="s">
        <v>3476</v>
      </c>
    </row>
    <row r="685" spans="1:1" s="4" customFormat="1">
      <c r="A685" s="782" t="s">
        <v>3477</v>
      </c>
    </row>
    <row r="686" spans="1:1" s="4" customFormat="1">
      <c r="A686" s="782" t="s">
        <v>3478</v>
      </c>
    </row>
    <row r="687" spans="1:1" s="4" customFormat="1">
      <c r="A687" s="782" t="s">
        <v>3479</v>
      </c>
    </row>
    <row r="688" spans="1:1" s="4" customFormat="1">
      <c r="A688" s="782" t="s">
        <v>3480</v>
      </c>
    </row>
    <row r="689" spans="1:6" s="4" customFormat="1">
      <c r="A689" s="782" t="s">
        <v>3481</v>
      </c>
    </row>
    <row r="690" spans="1:6" s="4" customFormat="1">
      <c r="A690" s="782" t="s">
        <v>3482</v>
      </c>
    </row>
    <row r="691" spans="1:6" s="4" customFormat="1">
      <c r="A691" s="782" t="s">
        <v>3483</v>
      </c>
    </row>
    <row r="692" spans="1:6" s="4" customFormat="1">
      <c r="A692" s="782" t="s">
        <v>3484</v>
      </c>
    </row>
    <row r="693" spans="1:6" s="4" customFormat="1">
      <c r="A693" s="782" t="s">
        <v>3485</v>
      </c>
    </row>
    <row r="694" spans="1:6" s="4" customFormat="1">
      <c r="A694" s="782" t="s">
        <v>3486</v>
      </c>
    </row>
    <row r="695" spans="1:6" s="4" customFormat="1">
      <c r="A695" s="782" t="s">
        <v>3487</v>
      </c>
    </row>
    <row r="696" spans="1:6" s="4" customFormat="1">
      <c r="A696" s="782" t="s">
        <v>3488</v>
      </c>
    </row>
    <row r="697" spans="1:6" s="4" customFormat="1">
      <c r="A697" s="782" t="s">
        <v>3489</v>
      </c>
    </row>
    <row r="698" spans="1:6" s="4" customFormat="1">
      <c r="A698" s="782" t="s">
        <v>3490</v>
      </c>
    </row>
    <row r="699" spans="1:6" s="4" customFormat="1">
      <c r="A699" s="782" t="s">
        <v>3491</v>
      </c>
    </row>
    <row r="700" spans="1:6" s="4" customFormat="1">
      <c r="A700" s="782" t="s">
        <v>3492</v>
      </c>
    </row>
    <row r="701" spans="1:6" s="4" customFormat="1" ht="14.25" thickBot="1">
      <c r="A701" s="783" t="s">
        <v>3493</v>
      </c>
    </row>
    <row r="702" spans="1:6" s="781" customFormat="1" ht="17.25">
      <c r="A702" s="784" t="s">
        <v>3494</v>
      </c>
      <c r="B702" s="780"/>
      <c r="C702" s="780"/>
      <c r="D702" s="780"/>
      <c r="E702" s="780"/>
      <c r="F702" s="780"/>
    </row>
    <row r="703" spans="1:6" s="4" customFormat="1">
      <c r="A703" s="782" t="s">
        <v>2866</v>
      </c>
    </row>
    <row r="704" spans="1:6" s="4" customFormat="1">
      <c r="A704" s="782" t="s">
        <v>2867</v>
      </c>
    </row>
    <row r="705" spans="1:1" s="4" customFormat="1">
      <c r="A705" s="782" t="s">
        <v>2868</v>
      </c>
    </row>
    <row r="706" spans="1:1" s="4" customFormat="1">
      <c r="A706" s="782" t="s">
        <v>3495</v>
      </c>
    </row>
    <row r="707" spans="1:1" s="4" customFormat="1">
      <c r="A707" s="782" t="s">
        <v>3496</v>
      </c>
    </row>
    <row r="708" spans="1:1" s="4" customFormat="1">
      <c r="A708" s="782" t="s">
        <v>3497</v>
      </c>
    </row>
    <row r="709" spans="1:1" s="4" customFormat="1">
      <c r="A709" s="782" t="s">
        <v>3498</v>
      </c>
    </row>
    <row r="710" spans="1:1" s="4" customFormat="1">
      <c r="A710" s="782" t="s">
        <v>3499</v>
      </c>
    </row>
    <row r="711" spans="1:1" s="4" customFormat="1">
      <c r="A711" s="782" t="s">
        <v>3500</v>
      </c>
    </row>
    <row r="712" spans="1:1" s="4" customFormat="1">
      <c r="A712" s="782" t="s">
        <v>3501</v>
      </c>
    </row>
    <row r="713" spans="1:1" s="4" customFormat="1">
      <c r="A713" s="782" t="s">
        <v>3502</v>
      </c>
    </row>
    <row r="714" spans="1:1" s="4" customFormat="1">
      <c r="A714" s="782" t="s">
        <v>3503</v>
      </c>
    </row>
    <row r="715" spans="1:1" s="4" customFormat="1">
      <c r="A715" s="782" t="s">
        <v>3504</v>
      </c>
    </row>
    <row r="716" spans="1:1" s="4" customFormat="1">
      <c r="A716" s="782" t="s">
        <v>3505</v>
      </c>
    </row>
    <row r="717" spans="1:1" s="4" customFormat="1">
      <c r="A717" s="782" t="s">
        <v>3506</v>
      </c>
    </row>
    <row r="718" spans="1:1" s="4" customFormat="1">
      <c r="A718" s="782" t="s">
        <v>3507</v>
      </c>
    </row>
    <row r="719" spans="1:1" s="4" customFormat="1">
      <c r="A719" s="782" t="s">
        <v>3508</v>
      </c>
    </row>
    <row r="720" spans="1:1" s="4" customFormat="1">
      <c r="A720" s="782" t="s">
        <v>3509</v>
      </c>
    </row>
    <row r="721" spans="1:7" s="4" customFormat="1">
      <c r="A721" s="782" t="s">
        <v>3510</v>
      </c>
    </row>
    <row r="722" spans="1:7" s="4" customFormat="1">
      <c r="A722" s="782" t="s">
        <v>3511</v>
      </c>
    </row>
    <row r="723" spans="1:7" s="4" customFormat="1">
      <c r="A723" s="782" t="s">
        <v>3512</v>
      </c>
    </row>
    <row r="724" spans="1:7" s="4" customFormat="1">
      <c r="A724" s="782" t="s">
        <v>3513</v>
      </c>
    </row>
    <row r="725" spans="1:7" s="4" customFormat="1">
      <c r="A725" s="782" t="s">
        <v>3514</v>
      </c>
    </row>
    <row r="726" spans="1:7" s="4" customFormat="1">
      <c r="A726" s="782" t="s">
        <v>3515</v>
      </c>
    </row>
    <row r="727" spans="1:7" s="4" customFormat="1">
      <c r="A727" s="782" t="s">
        <v>3516</v>
      </c>
    </row>
    <row r="728" spans="1:7" s="4" customFormat="1" ht="14.25" thickBot="1">
      <c r="A728" s="783" t="s">
        <v>3517</v>
      </c>
    </row>
    <row r="729" spans="1:7" s="781" customFormat="1" ht="17.25">
      <c r="A729" s="784" t="s">
        <v>3518</v>
      </c>
      <c r="B729" s="780"/>
      <c r="C729" s="780"/>
      <c r="D729" s="780"/>
      <c r="E729" s="780"/>
      <c r="F729" s="780"/>
      <c r="G729" s="780"/>
    </row>
    <row r="730" spans="1:7" s="4" customFormat="1">
      <c r="A730" s="782" t="s">
        <v>2866</v>
      </c>
    </row>
    <row r="731" spans="1:7" s="4" customFormat="1">
      <c r="A731" s="782" t="s">
        <v>2867</v>
      </c>
    </row>
    <row r="732" spans="1:7" s="4" customFormat="1">
      <c r="A732" s="782" t="s">
        <v>2868</v>
      </c>
    </row>
    <row r="733" spans="1:7" s="4" customFormat="1">
      <c r="A733" s="782" t="s">
        <v>3519</v>
      </c>
    </row>
    <row r="734" spans="1:7" s="4" customFormat="1">
      <c r="A734" s="782" t="s">
        <v>3520</v>
      </c>
    </row>
    <row r="735" spans="1:7" s="4" customFormat="1">
      <c r="A735" s="782" t="s">
        <v>3521</v>
      </c>
    </row>
    <row r="736" spans="1:7" s="4" customFormat="1">
      <c r="A736" s="782" t="s">
        <v>3522</v>
      </c>
    </row>
    <row r="737" spans="1:1" s="4" customFormat="1">
      <c r="A737" s="782" t="s">
        <v>3523</v>
      </c>
    </row>
    <row r="738" spans="1:1" s="4" customFormat="1">
      <c r="A738" s="782" t="s">
        <v>3524</v>
      </c>
    </row>
    <row r="739" spans="1:1" s="4" customFormat="1">
      <c r="A739" s="782" t="s">
        <v>3525</v>
      </c>
    </row>
    <row r="740" spans="1:1" s="4" customFormat="1">
      <c r="A740" s="782" t="s">
        <v>3526</v>
      </c>
    </row>
    <row r="741" spans="1:1" s="4" customFormat="1">
      <c r="A741" s="782" t="s">
        <v>3527</v>
      </c>
    </row>
    <row r="742" spans="1:1" s="4" customFormat="1">
      <c r="A742" s="782" t="s">
        <v>3528</v>
      </c>
    </row>
    <row r="743" spans="1:1" s="4" customFormat="1">
      <c r="A743" s="782" t="s">
        <v>3529</v>
      </c>
    </row>
    <row r="744" spans="1:1" s="4" customFormat="1">
      <c r="A744" s="782" t="s">
        <v>3530</v>
      </c>
    </row>
    <row r="745" spans="1:1" s="4" customFormat="1">
      <c r="A745" s="782" t="s">
        <v>3531</v>
      </c>
    </row>
    <row r="746" spans="1:1" s="4" customFormat="1">
      <c r="A746" s="782" t="s">
        <v>3532</v>
      </c>
    </row>
    <row r="747" spans="1:1" s="4" customFormat="1">
      <c r="A747" s="782" t="s">
        <v>3533</v>
      </c>
    </row>
    <row r="748" spans="1:1" s="4" customFormat="1">
      <c r="A748" s="782" t="s">
        <v>3534</v>
      </c>
    </row>
    <row r="749" spans="1:1" s="4" customFormat="1">
      <c r="A749" s="782" t="s">
        <v>3535</v>
      </c>
    </row>
    <row r="750" spans="1:1" s="4" customFormat="1">
      <c r="A750" s="782" t="s">
        <v>3536</v>
      </c>
    </row>
    <row r="751" spans="1:1" s="4" customFormat="1">
      <c r="A751" s="782" t="s">
        <v>3537</v>
      </c>
    </row>
    <row r="752" spans="1:1" s="4" customFormat="1">
      <c r="A752" s="782" t="s">
        <v>3538</v>
      </c>
    </row>
    <row r="753" spans="1:6" s="4" customFormat="1">
      <c r="A753" s="782" t="s">
        <v>3539</v>
      </c>
    </row>
    <row r="754" spans="1:6" s="4" customFormat="1">
      <c r="A754" s="782" t="s">
        <v>3540</v>
      </c>
    </row>
    <row r="755" spans="1:6" s="4" customFormat="1">
      <c r="A755" s="782" t="s">
        <v>3541</v>
      </c>
    </row>
    <row r="756" spans="1:6" s="4" customFormat="1">
      <c r="A756" s="782" t="s">
        <v>3542</v>
      </c>
    </row>
    <row r="757" spans="1:6" s="4" customFormat="1">
      <c r="A757" s="782" t="s">
        <v>3543</v>
      </c>
    </row>
    <row r="758" spans="1:6" s="4" customFormat="1">
      <c r="A758" s="782" t="s">
        <v>3544</v>
      </c>
    </row>
    <row r="759" spans="1:6" s="4" customFormat="1">
      <c r="A759" s="782" t="s">
        <v>3545</v>
      </c>
    </row>
    <row r="760" spans="1:6" s="4" customFormat="1">
      <c r="A760" s="782" t="s">
        <v>3546</v>
      </c>
    </row>
    <row r="761" spans="1:6" s="4" customFormat="1">
      <c r="A761" s="782" t="s">
        <v>3547</v>
      </c>
    </row>
    <row r="762" spans="1:6" s="4" customFormat="1">
      <c r="A762" s="782" t="s">
        <v>3548</v>
      </c>
    </row>
    <row r="763" spans="1:6" s="4" customFormat="1" ht="14.25" thickBot="1">
      <c r="A763" s="783" t="s">
        <v>3549</v>
      </c>
    </row>
    <row r="764" spans="1:6" s="781" customFormat="1" ht="17.25">
      <c r="A764" s="784" t="s">
        <v>3550</v>
      </c>
      <c r="B764" s="780"/>
      <c r="C764" s="780"/>
      <c r="D764" s="780"/>
      <c r="E764" s="780"/>
      <c r="F764" s="780"/>
    </row>
    <row r="765" spans="1:6" s="4" customFormat="1">
      <c r="A765" s="782" t="s">
        <v>2866</v>
      </c>
    </row>
    <row r="766" spans="1:6" s="4" customFormat="1">
      <c r="A766" s="782" t="s">
        <v>2867</v>
      </c>
    </row>
    <row r="767" spans="1:6" s="4" customFormat="1">
      <c r="A767" s="782" t="s">
        <v>2868</v>
      </c>
    </row>
    <row r="768" spans="1:6" s="4" customFormat="1">
      <c r="A768" s="782" t="s">
        <v>3551</v>
      </c>
    </row>
    <row r="769" spans="1:1" s="4" customFormat="1">
      <c r="A769" s="782" t="s">
        <v>3552</v>
      </c>
    </row>
    <row r="770" spans="1:1" s="4" customFormat="1">
      <c r="A770" s="782" t="s">
        <v>3553</v>
      </c>
    </row>
    <row r="771" spans="1:1" s="4" customFormat="1">
      <c r="A771" s="782" t="s">
        <v>3554</v>
      </c>
    </row>
    <row r="772" spans="1:1" s="4" customFormat="1">
      <c r="A772" s="782" t="s">
        <v>3555</v>
      </c>
    </row>
    <row r="773" spans="1:1" s="4" customFormat="1">
      <c r="A773" s="782" t="s">
        <v>3556</v>
      </c>
    </row>
    <row r="774" spans="1:1" s="4" customFormat="1">
      <c r="A774" s="782" t="s">
        <v>3557</v>
      </c>
    </row>
    <row r="775" spans="1:1" s="4" customFormat="1">
      <c r="A775" s="782" t="s">
        <v>3558</v>
      </c>
    </row>
    <row r="776" spans="1:1" s="4" customFormat="1">
      <c r="A776" s="782" t="s">
        <v>3559</v>
      </c>
    </row>
    <row r="777" spans="1:1" s="4" customFormat="1">
      <c r="A777" s="782" t="s">
        <v>3560</v>
      </c>
    </row>
    <row r="778" spans="1:1" s="4" customFormat="1">
      <c r="A778" s="782" t="s">
        <v>3561</v>
      </c>
    </row>
    <row r="779" spans="1:1" s="4" customFormat="1">
      <c r="A779" s="782" t="s">
        <v>3562</v>
      </c>
    </row>
    <row r="780" spans="1:1" s="4" customFormat="1">
      <c r="A780" s="782" t="s">
        <v>3563</v>
      </c>
    </row>
    <row r="781" spans="1:1" s="4" customFormat="1">
      <c r="A781" s="782" t="s">
        <v>3564</v>
      </c>
    </row>
    <row r="782" spans="1:1" s="4" customFormat="1">
      <c r="A782" s="782" t="s">
        <v>3565</v>
      </c>
    </row>
    <row r="783" spans="1:1" s="4" customFormat="1">
      <c r="A783" s="782" t="s">
        <v>3566</v>
      </c>
    </row>
    <row r="784" spans="1:1" s="4" customFormat="1">
      <c r="A784" s="782" t="s">
        <v>3567</v>
      </c>
    </row>
    <row r="785" spans="1:6" s="4" customFormat="1">
      <c r="A785" s="782" t="s">
        <v>3568</v>
      </c>
    </row>
    <row r="786" spans="1:6" s="4" customFormat="1">
      <c r="A786" s="782" t="s">
        <v>3569</v>
      </c>
    </row>
    <row r="787" spans="1:6" s="4" customFormat="1">
      <c r="A787" s="782" t="s">
        <v>3570</v>
      </c>
    </row>
    <row r="788" spans="1:6" s="4" customFormat="1">
      <c r="A788" s="782" t="s">
        <v>3571</v>
      </c>
    </row>
    <row r="789" spans="1:6" s="4" customFormat="1">
      <c r="A789" s="782" t="s">
        <v>3572</v>
      </c>
    </row>
    <row r="790" spans="1:6" s="4" customFormat="1">
      <c r="A790" s="782" t="s">
        <v>3573</v>
      </c>
    </row>
    <row r="791" spans="1:6" s="4" customFormat="1">
      <c r="A791" s="782" t="s">
        <v>3574</v>
      </c>
    </row>
    <row r="792" spans="1:6" s="4" customFormat="1">
      <c r="A792" s="782" t="s">
        <v>3575</v>
      </c>
    </row>
    <row r="793" spans="1:6" s="4" customFormat="1">
      <c r="A793" s="782" t="s">
        <v>3576</v>
      </c>
    </row>
    <row r="794" spans="1:6" s="4" customFormat="1" ht="14.25" thickBot="1">
      <c r="A794" s="783" t="s">
        <v>3577</v>
      </c>
    </row>
    <row r="795" spans="1:6" s="781" customFormat="1" ht="17.25">
      <c r="A795" s="784" t="s">
        <v>3578</v>
      </c>
      <c r="B795" s="780"/>
      <c r="C795" s="780"/>
      <c r="D795" s="780"/>
      <c r="E795" s="780"/>
      <c r="F795" s="780"/>
    </row>
    <row r="796" spans="1:6" s="4" customFormat="1">
      <c r="A796" s="782" t="s">
        <v>2866</v>
      </c>
    </row>
    <row r="797" spans="1:6" s="4" customFormat="1">
      <c r="A797" s="782" t="s">
        <v>2867</v>
      </c>
    </row>
    <row r="798" spans="1:6" s="4" customFormat="1">
      <c r="A798" s="782" t="s">
        <v>2868</v>
      </c>
    </row>
    <row r="799" spans="1:6" s="4" customFormat="1">
      <c r="A799" s="782" t="s">
        <v>3579</v>
      </c>
    </row>
    <row r="800" spans="1:6" s="4" customFormat="1">
      <c r="A800" s="782" t="s">
        <v>3580</v>
      </c>
    </row>
    <row r="801" spans="1:1" s="4" customFormat="1">
      <c r="A801" s="782" t="s">
        <v>3581</v>
      </c>
    </row>
    <row r="802" spans="1:1" s="4" customFormat="1">
      <c r="A802" s="782" t="s">
        <v>3582</v>
      </c>
    </row>
    <row r="803" spans="1:1" s="4" customFormat="1">
      <c r="A803" s="782" t="s">
        <v>3583</v>
      </c>
    </row>
    <row r="804" spans="1:1" s="4" customFormat="1">
      <c r="A804" s="782" t="s">
        <v>3584</v>
      </c>
    </row>
    <row r="805" spans="1:1" s="4" customFormat="1">
      <c r="A805" s="782" t="s">
        <v>3585</v>
      </c>
    </row>
    <row r="806" spans="1:1" s="4" customFormat="1">
      <c r="A806" s="782" t="s">
        <v>3586</v>
      </c>
    </row>
    <row r="807" spans="1:1" s="4" customFormat="1">
      <c r="A807" s="782" t="s">
        <v>3587</v>
      </c>
    </row>
    <row r="808" spans="1:1" s="4" customFormat="1">
      <c r="A808" s="782" t="s">
        <v>3588</v>
      </c>
    </row>
    <row r="809" spans="1:1" s="4" customFormat="1">
      <c r="A809" s="782" t="s">
        <v>3589</v>
      </c>
    </row>
    <row r="810" spans="1:1" s="4" customFormat="1">
      <c r="A810" s="782" t="s">
        <v>3590</v>
      </c>
    </row>
    <row r="811" spans="1:1" s="4" customFormat="1">
      <c r="A811" s="782" t="s">
        <v>3591</v>
      </c>
    </row>
    <row r="812" spans="1:1" s="4" customFormat="1">
      <c r="A812" s="782" t="s">
        <v>3592</v>
      </c>
    </row>
    <row r="813" spans="1:1" s="4" customFormat="1">
      <c r="A813" s="782" t="s">
        <v>3593</v>
      </c>
    </row>
    <row r="814" spans="1:1" s="4" customFormat="1">
      <c r="A814" s="782" t="s">
        <v>3594</v>
      </c>
    </row>
    <row r="815" spans="1:1" s="4" customFormat="1">
      <c r="A815" s="782" t="s">
        <v>3595</v>
      </c>
    </row>
    <row r="816" spans="1:1" s="4" customFormat="1">
      <c r="A816" s="782" t="s">
        <v>3596</v>
      </c>
    </row>
    <row r="817" spans="1:6" s="4" customFormat="1" ht="14.25" thickBot="1">
      <c r="A817" s="783" t="s">
        <v>3597</v>
      </c>
    </row>
    <row r="818" spans="1:6" s="781" customFormat="1" ht="17.25">
      <c r="A818" s="784" t="s">
        <v>3598</v>
      </c>
      <c r="B818" s="780"/>
      <c r="C818" s="780"/>
      <c r="D818" s="780"/>
      <c r="E818" s="780"/>
      <c r="F818" s="780"/>
    </row>
    <row r="819" spans="1:6" s="4" customFormat="1">
      <c r="A819" s="782" t="s">
        <v>2866</v>
      </c>
    </row>
    <row r="820" spans="1:6" s="4" customFormat="1">
      <c r="A820" s="782" t="s">
        <v>2867</v>
      </c>
    </row>
    <row r="821" spans="1:6" s="4" customFormat="1">
      <c r="A821" s="782" t="s">
        <v>2868</v>
      </c>
    </row>
    <row r="822" spans="1:6" s="4" customFormat="1">
      <c r="A822" s="782" t="s">
        <v>3599</v>
      </c>
    </row>
    <row r="823" spans="1:6" s="4" customFormat="1">
      <c r="A823" s="782" t="s">
        <v>3600</v>
      </c>
    </row>
    <row r="824" spans="1:6" s="4" customFormat="1">
      <c r="A824" s="782" t="s">
        <v>3601</v>
      </c>
    </row>
    <row r="825" spans="1:6" s="4" customFormat="1">
      <c r="A825" s="782" t="s">
        <v>3602</v>
      </c>
    </row>
    <row r="826" spans="1:6" s="4" customFormat="1">
      <c r="A826" s="782" t="s">
        <v>3603</v>
      </c>
    </row>
    <row r="827" spans="1:6" s="4" customFormat="1">
      <c r="A827" s="782" t="s">
        <v>3604</v>
      </c>
    </row>
    <row r="828" spans="1:6" s="4" customFormat="1">
      <c r="A828" s="782" t="s">
        <v>3605</v>
      </c>
    </row>
    <row r="829" spans="1:6" s="4" customFormat="1">
      <c r="A829" s="782" t="s">
        <v>3606</v>
      </c>
    </row>
    <row r="830" spans="1:6" s="4" customFormat="1">
      <c r="A830" s="782" t="s">
        <v>3607</v>
      </c>
    </row>
    <row r="831" spans="1:6" s="4" customFormat="1">
      <c r="A831" s="782" t="s">
        <v>3608</v>
      </c>
    </row>
    <row r="832" spans="1:6" s="4" customFormat="1">
      <c r="A832" s="782" t="s">
        <v>3609</v>
      </c>
    </row>
    <row r="833" spans="1:1" s="4" customFormat="1">
      <c r="A833" s="782" t="s">
        <v>3610</v>
      </c>
    </row>
    <row r="834" spans="1:1" s="4" customFormat="1">
      <c r="A834" s="782" t="s">
        <v>3611</v>
      </c>
    </row>
    <row r="835" spans="1:1" s="4" customFormat="1">
      <c r="A835" s="782" t="s">
        <v>3612</v>
      </c>
    </row>
    <row r="836" spans="1:1" s="4" customFormat="1">
      <c r="A836" s="782" t="s">
        <v>3613</v>
      </c>
    </row>
    <row r="837" spans="1:1" s="4" customFormat="1">
      <c r="A837" s="782" t="s">
        <v>3614</v>
      </c>
    </row>
    <row r="838" spans="1:1" s="4" customFormat="1">
      <c r="A838" s="782" t="s">
        <v>3615</v>
      </c>
    </row>
    <row r="839" spans="1:1" s="4" customFormat="1">
      <c r="A839" s="782" t="s">
        <v>3616</v>
      </c>
    </row>
    <row r="840" spans="1:1" s="4" customFormat="1">
      <c r="A840" s="782" t="s">
        <v>3617</v>
      </c>
    </row>
    <row r="841" spans="1:1" s="4" customFormat="1">
      <c r="A841" s="782" t="s">
        <v>3618</v>
      </c>
    </row>
    <row r="842" spans="1:1" s="4" customFormat="1">
      <c r="A842" s="782" t="s">
        <v>3619</v>
      </c>
    </row>
    <row r="843" spans="1:1" s="4" customFormat="1">
      <c r="A843" s="782" t="s">
        <v>3620</v>
      </c>
    </row>
    <row r="844" spans="1:1" s="4" customFormat="1">
      <c r="A844" s="782" t="s">
        <v>3621</v>
      </c>
    </row>
    <row r="845" spans="1:1" s="4" customFormat="1">
      <c r="A845" s="782" t="s">
        <v>3622</v>
      </c>
    </row>
    <row r="846" spans="1:1" s="4" customFormat="1">
      <c r="A846" s="782" t="s">
        <v>3623</v>
      </c>
    </row>
    <row r="847" spans="1:1" s="4" customFormat="1">
      <c r="A847" s="782" t="s">
        <v>3624</v>
      </c>
    </row>
    <row r="848" spans="1:1" s="4" customFormat="1">
      <c r="A848" s="782" t="s">
        <v>3625</v>
      </c>
    </row>
    <row r="849" spans="1:6" s="4" customFormat="1">
      <c r="A849" s="782" t="s">
        <v>3626</v>
      </c>
    </row>
    <row r="850" spans="1:6" s="4" customFormat="1">
      <c r="A850" s="782" t="s">
        <v>3627</v>
      </c>
    </row>
    <row r="851" spans="1:6" s="4" customFormat="1" ht="14.25" thickBot="1">
      <c r="A851" s="783" t="s">
        <v>3628</v>
      </c>
      <c r="B851" s="785"/>
      <c r="C851" s="785"/>
      <c r="D851" s="785"/>
      <c r="E851" s="785"/>
      <c r="F851" s="785"/>
    </row>
    <row r="852" spans="1:6" s="781" customFormat="1" ht="17.25">
      <c r="A852" s="784" t="s">
        <v>3629</v>
      </c>
      <c r="B852" s="780"/>
      <c r="C852" s="780"/>
      <c r="D852" s="780"/>
      <c r="E852" s="780"/>
      <c r="F852" s="780"/>
    </row>
    <row r="853" spans="1:6" s="4" customFormat="1">
      <c r="A853" s="782" t="s">
        <v>2866</v>
      </c>
    </row>
    <row r="854" spans="1:6" s="4" customFormat="1">
      <c r="A854" s="782" t="s">
        <v>2867</v>
      </c>
    </row>
    <row r="855" spans="1:6" s="4" customFormat="1">
      <c r="A855" s="782" t="s">
        <v>2868</v>
      </c>
    </row>
    <row r="856" spans="1:6" s="4" customFormat="1">
      <c r="A856" s="782" t="s">
        <v>3630</v>
      </c>
    </row>
    <row r="857" spans="1:6" s="4" customFormat="1">
      <c r="A857" s="782" t="s">
        <v>3631</v>
      </c>
    </row>
    <row r="858" spans="1:6" s="4" customFormat="1">
      <c r="A858" s="782" t="s">
        <v>3632</v>
      </c>
    </row>
    <row r="859" spans="1:6" s="4" customFormat="1">
      <c r="A859" s="782" t="s">
        <v>3633</v>
      </c>
    </row>
    <row r="860" spans="1:6" s="4" customFormat="1">
      <c r="A860" s="782" t="s">
        <v>3634</v>
      </c>
    </row>
    <row r="861" spans="1:6" s="4" customFormat="1">
      <c r="A861" s="782" t="s">
        <v>3635</v>
      </c>
    </row>
    <row r="862" spans="1:6" s="4" customFormat="1">
      <c r="A862" s="782" t="s">
        <v>3636</v>
      </c>
    </row>
    <row r="863" spans="1:6" s="4" customFormat="1">
      <c r="A863" s="782" t="s">
        <v>3637</v>
      </c>
    </row>
    <row r="864" spans="1:6" s="4" customFormat="1">
      <c r="A864" s="782" t="s">
        <v>3638</v>
      </c>
    </row>
    <row r="865" spans="1:6" s="4" customFormat="1">
      <c r="A865" s="782" t="s">
        <v>3639</v>
      </c>
    </row>
    <row r="866" spans="1:6" s="4" customFormat="1">
      <c r="A866" s="782" t="s">
        <v>3640</v>
      </c>
    </row>
    <row r="867" spans="1:6" s="4" customFormat="1">
      <c r="A867" s="782" t="s">
        <v>3641</v>
      </c>
    </row>
    <row r="868" spans="1:6" s="4" customFormat="1">
      <c r="A868" s="782" t="s">
        <v>3642</v>
      </c>
    </row>
    <row r="869" spans="1:6" s="4" customFormat="1">
      <c r="A869" s="782" t="s">
        <v>3643</v>
      </c>
    </row>
    <row r="870" spans="1:6" s="4" customFormat="1">
      <c r="A870" s="782" t="s">
        <v>3644</v>
      </c>
    </row>
    <row r="871" spans="1:6" s="4" customFormat="1">
      <c r="A871" s="782" t="s">
        <v>3645</v>
      </c>
    </row>
    <row r="872" spans="1:6" s="4" customFormat="1">
      <c r="A872" s="782" t="s">
        <v>3646</v>
      </c>
    </row>
    <row r="873" spans="1:6" s="4" customFormat="1" ht="14.25" thickBot="1">
      <c r="A873" s="783" t="s">
        <v>3647</v>
      </c>
    </row>
    <row r="874" spans="1:6" s="781" customFormat="1" ht="17.25">
      <c r="A874" s="784" t="s">
        <v>3648</v>
      </c>
      <c r="B874" s="780"/>
      <c r="C874" s="780"/>
      <c r="D874" s="780"/>
      <c r="E874" s="780"/>
      <c r="F874" s="780"/>
    </row>
    <row r="875" spans="1:6" s="4" customFormat="1">
      <c r="A875" s="782" t="s">
        <v>2866</v>
      </c>
    </row>
    <row r="876" spans="1:6" s="4" customFormat="1">
      <c r="A876" s="782" t="s">
        <v>2867</v>
      </c>
    </row>
    <row r="877" spans="1:6" s="4" customFormat="1">
      <c r="A877" s="782" t="s">
        <v>2868</v>
      </c>
    </row>
    <row r="878" spans="1:6" s="4" customFormat="1">
      <c r="A878" s="782" t="s">
        <v>3649</v>
      </c>
    </row>
    <row r="879" spans="1:6" s="4" customFormat="1">
      <c r="A879" s="782" t="s">
        <v>3650</v>
      </c>
    </row>
    <row r="880" spans="1:6" s="4" customFormat="1">
      <c r="A880" s="782" t="s">
        <v>3651</v>
      </c>
    </row>
    <row r="881" spans="1:1" s="4" customFormat="1">
      <c r="A881" s="782" t="s">
        <v>3652</v>
      </c>
    </row>
    <row r="882" spans="1:1" s="4" customFormat="1">
      <c r="A882" s="782" t="s">
        <v>3653</v>
      </c>
    </row>
    <row r="883" spans="1:1" s="4" customFormat="1">
      <c r="A883" s="782" t="s">
        <v>3654</v>
      </c>
    </row>
    <row r="884" spans="1:1" s="4" customFormat="1">
      <c r="A884" s="782" t="s">
        <v>3655</v>
      </c>
    </row>
    <row r="885" spans="1:1" s="4" customFormat="1">
      <c r="A885" s="782" t="s">
        <v>3656</v>
      </c>
    </row>
    <row r="886" spans="1:1" s="4" customFormat="1">
      <c r="A886" s="782" t="s">
        <v>3657</v>
      </c>
    </row>
    <row r="887" spans="1:1" s="4" customFormat="1">
      <c r="A887" s="782" t="s">
        <v>3658</v>
      </c>
    </row>
    <row r="888" spans="1:1" s="4" customFormat="1">
      <c r="A888" s="782" t="s">
        <v>3659</v>
      </c>
    </row>
    <row r="889" spans="1:1" s="4" customFormat="1">
      <c r="A889" s="782" t="s">
        <v>3660</v>
      </c>
    </row>
    <row r="890" spans="1:1" s="4" customFormat="1">
      <c r="A890" s="782" t="s">
        <v>3661</v>
      </c>
    </row>
    <row r="891" spans="1:1" s="4" customFormat="1">
      <c r="A891" s="782" t="s">
        <v>3662</v>
      </c>
    </row>
    <row r="892" spans="1:1" s="4" customFormat="1">
      <c r="A892" s="782" t="s">
        <v>3663</v>
      </c>
    </row>
    <row r="893" spans="1:1" s="4" customFormat="1">
      <c r="A893" s="782" t="s">
        <v>3664</v>
      </c>
    </row>
    <row r="894" spans="1:1" s="4" customFormat="1">
      <c r="A894" s="782" t="s">
        <v>3665</v>
      </c>
    </row>
    <row r="895" spans="1:1" s="4" customFormat="1">
      <c r="A895" s="782" t="s">
        <v>3666</v>
      </c>
    </row>
    <row r="896" spans="1:1" s="4" customFormat="1">
      <c r="A896" s="782" t="s">
        <v>3667</v>
      </c>
    </row>
    <row r="897" spans="1:6" s="4" customFormat="1">
      <c r="A897" s="782" t="s">
        <v>3668</v>
      </c>
    </row>
    <row r="898" spans="1:6" s="4" customFormat="1">
      <c r="A898" s="782" t="s">
        <v>3669</v>
      </c>
    </row>
    <row r="899" spans="1:6" s="4" customFormat="1" ht="14.25" thickBot="1">
      <c r="A899" s="783" t="s">
        <v>3670</v>
      </c>
    </row>
    <row r="900" spans="1:6" s="781" customFormat="1" ht="17.25">
      <c r="A900" s="784" t="s">
        <v>3671</v>
      </c>
      <c r="B900" s="780"/>
      <c r="C900" s="780"/>
      <c r="D900" s="780"/>
      <c r="E900" s="780"/>
      <c r="F900" s="780"/>
    </row>
    <row r="901" spans="1:6" s="4" customFormat="1">
      <c r="A901" s="782" t="s">
        <v>2866</v>
      </c>
    </row>
    <row r="902" spans="1:6" s="4" customFormat="1">
      <c r="A902" s="782" t="s">
        <v>2867</v>
      </c>
    </row>
    <row r="903" spans="1:6" s="4" customFormat="1">
      <c r="A903" s="782" t="s">
        <v>2868</v>
      </c>
    </row>
    <row r="904" spans="1:6" s="4" customFormat="1">
      <c r="A904" s="782" t="s">
        <v>3672</v>
      </c>
    </row>
    <row r="905" spans="1:6" s="4" customFormat="1">
      <c r="A905" s="782" t="s">
        <v>3673</v>
      </c>
    </row>
    <row r="906" spans="1:6" s="4" customFormat="1">
      <c r="A906" s="782" t="s">
        <v>3674</v>
      </c>
    </row>
    <row r="907" spans="1:6" s="4" customFormat="1">
      <c r="A907" s="782" t="s">
        <v>3675</v>
      </c>
    </row>
    <row r="908" spans="1:6" s="4" customFormat="1">
      <c r="A908" s="782" t="s">
        <v>3676</v>
      </c>
    </row>
    <row r="909" spans="1:6" s="4" customFormat="1">
      <c r="A909" s="782" t="s">
        <v>3677</v>
      </c>
    </row>
    <row r="910" spans="1:6" s="4" customFormat="1">
      <c r="A910" s="782" t="s">
        <v>3678</v>
      </c>
    </row>
    <row r="911" spans="1:6" s="4" customFormat="1">
      <c r="A911" s="782" t="s">
        <v>3679</v>
      </c>
    </row>
    <row r="912" spans="1:6" s="4" customFormat="1">
      <c r="A912" s="782" t="s">
        <v>3680</v>
      </c>
    </row>
    <row r="913" spans="1:1" s="4" customFormat="1">
      <c r="A913" s="782" t="s">
        <v>3681</v>
      </c>
    </row>
    <row r="914" spans="1:1" s="4" customFormat="1">
      <c r="A914" s="782" t="s">
        <v>3682</v>
      </c>
    </row>
    <row r="915" spans="1:1" s="4" customFormat="1">
      <c r="A915" s="782" t="s">
        <v>3683</v>
      </c>
    </row>
    <row r="916" spans="1:1" s="4" customFormat="1">
      <c r="A916" s="782" t="s">
        <v>3684</v>
      </c>
    </row>
    <row r="917" spans="1:1" s="4" customFormat="1">
      <c r="A917" s="782" t="s">
        <v>3685</v>
      </c>
    </row>
    <row r="918" spans="1:1" s="4" customFormat="1">
      <c r="A918" s="782" t="s">
        <v>3686</v>
      </c>
    </row>
    <row r="919" spans="1:1" s="4" customFormat="1">
      <c r="A919" s="782" t="s">
        <v>3687</v>
      </c>
    </row>
    <row r="920" spans="1:1" s="4" customFormat="1">
      <c r="A920" s="782" t="s">
        <v>3688</v>
      </c>
    </row>
    <row r="921" spans="1:1" s="4" customFormat="1">
      <c r="A921" s="782" t="s">
        <v>3689</v>
      </c>
    </row>
    <row r="922" spans="1:1" s="4" customFormat="1">
      <c r="A922" s="782" t="s">
        <v>3690</v>
      </c>
    </row>
    <row r="923" spans="1:1" s="4" customFormat="1">
      <c r="A923" s="782" t="s">
        <v>3691</v>
      </c>
    </row>
    <row r="924" spans="1:1" s="4" customFormat="1">
      <c r="A924" s="782" t="s">
        <v>3692</v>
      </c>
    </row>
    <row r="925" spans="1:1" s="4" customFormat="1">
      <c r="A925" s="782" t="s">
        <v>3693</v>
      </c>
    </row>
    <row r="926" spans="1:1" s="4" customFormat="1">
      <c r="A926" s="782" t="s">
        <v>3694</v>
      </c>
    </row>
    <row r="927" spans="1:1" s="4" customFormat="1">
      <c r="A927" s="782" t="s">
        <v>3695</v>
      </c>
    </row>
    <row r="928" spans="1:1" s="4" customFormat="1">
      <c r="A928" s="782" t="s">
        <v>3696</v>
      </c>
    </row>
    <row r="929" spans="1:6" s="4" customFormat="1">
      <c r="A929" s="782" t="s">
        <v>3697</v>
      </c>
    </row>
    <row r="930" spans="1:6" s="4" customFormat="1">
      <c r="A930" s="782" t="s">
        <v>3698</v>
      </c>
    </row>
    <row r="931" spans="1:6" s="4" customFormat="1">
      <c r="A931" s="782" t="s">
        <v>3699</v>
      </c>
    </row>
    <row r="932" spans="1:6" s="4" customFormat="1">
      <c r="A932" s="782" t="s">
        <v>3700</v>
      </c>
    </row>
    <row r="933" spans="1:6" s="4" customFormat="1">
      <c r="A933" s="782" t="s">
        <v>3701</v>
      </c>
    </row>
    <row r="934" spans="1:6" s="4" customFormat="1">
      <c r="A934" s="782" t="s">
        <v>3702</v>
      </c>
    </row>
    <row r="935" spans="1:6" s="4" customFormat="1">
      <c r="A935" s="782" t="s">
        <v>3703</v>
      </c>
    </row>
    <row r="936" spans="1:6" s="4" customFormat="1">
      <c r="A936" s="782" t="s">
        <v>3704</v>
      </c>
    </row>
    <row r="937" spans="1:6" s="4" customFormat="1">
      <c r="A937" s="782" t="s">
        <v>3705</v>
      </c>
    </row>
    <row r="938" spans="1:6" s="4" customFormat="1">
      <c r="A938" s="782" t="s">
        <v>3706</v>
      </c>
    </row>
    <row r="939" spans="1:6" s="4" customFormat="1">
      <c r="A939" s="782" t="s">
        <v>3707</v>
      </c>
    </row>
    <row r="940" spans="1:6" s="4" customFormat="1">
      <c r="A940" s="782" t="s">
        <v>3708</v>
      </c>
    </row>
    <row r="941" spans="1:6" s="4" customFormat="1">
      <c r="A941" s="782" t="s">
        <v>3709</v>
      </c>
    </row>
    <row r="942" spans="1:6" s="4" customFormat="1" ht="14.25" thickBot="1">
      <c r="A942" s="783" t="s">
        <v>3710</v>
      </c>
    </row>
    <row r="943" spans="1:6" s="781" customFormat="1" ht="17.25">
      <c r="A943" s="784" t="s">
        <v>3711</v>
      </c>
      <c r="B943" s="780"/>
      <c r="C943" s="780"/>
      <c r="D943" s="780"/>
      <c r="E943" s="780"/>
      <c r="F943" s="780"/>
    </row>
    <row r="944" spans="1:6" s="4" customFormat="1">
      <c r="A944" s="782" t="s">
        <v>2866</v>
      </c>
    </row>
    <row r="945" spans="1:6" s="4" customFormat="1">
      <c r="A945" s="782" t="s">
        <v>2867</v>
      </c>
    </row>
    <row r="946" spans="1:6" s="4" customFormat="1">
      <c r="A946" s="782" t="s">
        <v>2868</v>
      </c>
    </row>
    <row r="947" spans="1:6" s="4" customFormat="1">
      <c r="A947" s="782" t="s">
        <v>3712</v>
      </c>
    </row>
    <row r="948" spans="1:6" s="4" customFormat="1">
      <c r="A948" s="782" t="s">
        <v>3713</v>
      </c>
    </row>
    <row r="949" spans="1:6" s="4" customFormat="1" ht="14.25" thickBot="1">
      <c r="A949" s="783" t="s">
        <v>3714</v>
      </c>
    </row>
    <row r="950" spans="1:6" s="781" customFormat="1" ht="17.25">
      <c r="A950" s="784" t="s">
        <v>3715</v>
      </c>
      <c r="B950" s="780"/>
      <c r="C950" s="780"/>
      <c r="D950" s="780"/>
      <c r="E950" s="780"/>
      <c r="F950" s="780"/>
    </row>
    <row r="951" spans="1:6" s="4" customFormat="1">
      <c r="A951" s="782" t="s">
        <v>2866</v>
      </c>
    </row>
    <row r="952" spans="1:6" s="4" customFormat="1">
      <c r="A952" s="782" t="s">
        <v>2867</v>
      </c>
    </row>
    <row r="953" spans="1:6" s="4" customFormat="1">
      <c r="A953" s="782" t="s">
        <v>2868</v>
      </c>
    </row>
    <row r="954" spans="1:6" s="4" customFormat="1">
      <c r="A954" s="782" t="s">
        <v>3716</v>
      </c>
    </row>
    <row r="955" spans="1:6" s="4" customFormat="1">
      <c r="A955" s="782" t="s">
        <v>3717</v>
      </c>
    </row>
    <row r="956" spans="1:6" s="4" customFormat="1" ht="14.25" thickBot="1">
      <c r="A956" s="783" t="s">
        <v>3718</v>
      </c>
    </row>
    <row r="957" spans="1:6" s="781" customFormat="1" ht="17.25">
      <c r="A957" s="784" t="s">
        <v>3719</v>
      </c>
      <c r="B957" s="780"/>
      <c r="C957" s="780"/>
      <c r="D957" s="780"/>
      <c r="E957" s="780"/>
      <c r="F957" s="780"/>
    </row>
    <row r="958" spans="1:6" s="4" customFormat="1">
      <c r="A958" s="782" t="s">
        <v>2866</v>
      </c>
    </row>
    <row r="959" spans="1:6" s="4" customFormat="1">
      <c r="A959" s="782" t="s">
        <v>2867</v>
      </c>
    </row>
    <row r="960" spans="1:6" s="4" customFormat="1">
      <c r="A960" s="782" t="s">
        <v>2868</v>
      </c>
    </row>
    <row r="961" spans="1:6" s="4" customFormat="1" ht="14.25" thickBot="1">
      <c r="A961" s="783" t="s">
        <v>3720</v>
      </c>
    </row>
    <row r="962" spans="1:6" s="781" customFormat="1" ht="17.25">
      <c r="A962" s="784" t="s">
        <v>3721</v>
      </c>
      <c r="B962" s="780"/>
      <c r="C962" s="780"/>
      <c r="D962" s="780"/>
      <c r="E962" s="780"/>
      <c r="F962" s="780"/>
    </row>
    <row r="963" spans="1:6" s="4" customFormat="1">
      <c r="A963" s="782" t="s">
        <v>2866</v>
      </c>
    </row>
    <row r="964" spans="1:6" s="4" customFormat="1">
      <c r="A964" s="782" t="s">
        <v>2867</v>
      </c>
    </row>
    <row r="965" spans="1:6" s="4" customFormat="1">
      <c r="A965" s="782" t="s">
        <v>2868</v>
      </c>
    </row>
    <row r="966" spans="1:6" s="4" customFormat="1">
      <c r="A966" s="782" t="s">
        <v>3722</v>
      </c>
    </row>
    <row r="967" spans="1:6" s="4" customFormat="1">
      <c r="A967" s="782" t="s">
        <v>3723</v>
      </c>
    </row>
    <row r="968" spans="1:6" s="4" customFormat="1">
      <c r="A968" s="782" t="s">
        <v>3724</v>
      </c>
    </row>
    <row r="969" spans="1:6" s="4" customFormat="1">
      <c r="A969" s="782" t="s">
        <v>3725</v>
      </c>
    </row>
    <row r="970" spans="1:6" s="4" customFormat="1" ht="14.25" thickBot="1">
      <c r="A970" s="783" t="s">
        <v>3726</v>
      </c>
    </row>
    <row r="971" spans="1:6" s="781" customFormat="1" ht="17.25">
      <c r="A971" s="784" t="s">
        <v>3727</v>
      </c>
      <c r="B971" s="780"/>
      <c r="C971" s="780"/>
      <c r="D971" s="780"/>
      <c r="E971" s="780"/>
      <c r="F971" s="780"/>
    </row>
    <row r="972" spans="1:6" s="4" customFormat="1">
      <c r="A972" s="782" t="s">
        <v>2866</v>
      </c>
    </row>
    <row r="973" spans="1:6" s="4" customFormat="1">
      <c r="A973" s="782" t="s">
        <v>2867</v>
      </c>
    </row>
    <row r="974" spans="1:6" s="4" customFormat="1">
      <c r="A974" s="782" t="s">
        <v>2868</v>
      </c>
    </row>
    <row r="975" spans="1:6" s="4" customFormat="1">
      <c r="A975" s="782" t="s">
        <v>3728</v>
      </c>
    </row>
    <row r="976" spans="1:6" s="4" customFormat="1">
      <c r="A976" s="782" t="s">
        <v>3729</v>
      </c>
    </row>
    <row r="977" spans="1:7" s="4" customFormat="1">
      <c r="A977" s="782" t="s">
        <v>3730</v>
      </c>
    </row>
    <row r="978" spans="1:7" s="4" customFormat="1">
      <c r="A978" s="782" t="s">
        <v>3731</v>
      </c>
    </row>
    <row r="979" spans="1:7" s="4" customFormat="1">
      <c r="A979" s="782" t="s">
        <v>3732</v>
      </c>
    </row>
    <row r="980" spans="1:7" s="4" customFormat="1">
      <c r="A980" s="782" t="s">
        <v>3733</v>
      </c>
    </row>
    <row r="981" spans="1:7" s="4" customFormat="1" ht="14.25" thickBot="1">
      <c r="A981" s="783" t="s">
        <v>3734</v>
      </c>
    </row>
    <row r="982" spans="1:7" s="781" customFormat="1" ht="17.25">
      <c r="A982" s="784" t="s">
        <v>3735</v>
      </c>
      <c r="B982" s="780"/>
      <c r="C982" s="780"/>
      <c r="D982" s="780"/>
      <c r="E982" s="780"/>
      <c r="F982" s="780"/>
      <c r="G982" s="780"/>
    </row>
    <row r="983" spans="1:7" s="4" customFormat="1">
      <c r="A983" s="782" t="s">
        <v>2866</v>
      </c>
      <c r="B983" s="785"/>
      <c r="C983" s="785"/>
      <c r="D983" s="785"/>
      <c r="E983" s="785"/>
      <c r="F983" s="785"/>
      <c r="G983" s="785"/>
    </row>
    <row r="984" spans="1:7" s="4" customFormat="1">
      <c r="A984" s="782" t="s">
        <v>2867</v>
      </c>
      <c r="B984" s="785"/>
      <c r="C984" s="785"/>
      <c r="D984" s="785"/>
      <c r="E984" s="785"/>
      <c r="F984" s="785"/>
      <c r="G984" s="785"/>
    </row>
    <row r="985" spans="1:7" s="4" customFormat="1">
      <c r="A985" s="782" t="s">
        <v>2868</v>
      </c>
    </row>
    <row r="986" spans="1:7" s="4" customFormat="1">
      <c r="A986" s="782" t="s">
        <v>3736</v>
      </c>
    </row>
    <row r="987" spans="1:7" s="4" customFormat="1">
      <c r="A987" s="782" t="s">
        <v>3737</v>
      </c>
    </row>
    <row r="988" spans="1:7" s="4" customFormat="1">
      <c r="A988" s="782" t="s">
        <v>3738</v>
      </c>
    </row>
    <row r="989" spans="1:7" s="4" customFormat="1">
      <c r="A989" s="782" t="s">
        <v>3739</v>
      </c>
    </row>
    <row r="990" spans="1:7" s="4" customFormat="1">
      <c r="A990" s="782" t="s">
        <v>3740</v>
      </c>
    </row>
    <row r="991" spans="1:7" s="4" customFormat="1">
      <c r="A991" s="782" t="s">
        <v>3741</v>
      </c>
    </row>
    <row r="992" spans="1:7" s="4" customFormat="1">
      <c r="A992" s="782" t="s">
        <v>3742</v>
      </c>
    </row>
    <row r="993" spans="1:6" s="4" customFormat="1">
      <c r="A993" s="782" t="s">
        <v>3743</v>
      </c>
    </row>
    <row r="994" spans="1:6" s="4" customFormat="1" ht="14.25" thickBot="1">
      <c r="A994" s="783" t="s">
        <v>3744</v>
      </c>
    </row>
    <row r="995" spans="1:6" s="781" customFormat="1" ht="17.25">
      <c r="A995" s="784" t="s">
        <v>3745</v>
      </c>
      <c r="B995" s="780"/>
      <c r="C995" s="780"/>
      <c r="D995" s="780"/>
      <c r="E995" s="780"/>
      <c r="F995" s="780"/>
    </row>
    <row r="996" spans="1:6" s="4" customFormat="1">
      <c r="A996" s="782" t="s">
        <v>2866</v>
      </c>
    </row>
    <row r="997" spans="1:6" s="4" customFormat="1">
      <c r="A997" s="782" t="s">
        <v>2867</v>
      </c>
    </row>
    <row r="998" spans="1:6" s="4" customFormat="1">
      <c r="A998" s="782" t="s">
        <v>2868</v>
      </c>
    </row>
    <row r="999" spans="1:6" s="4" customFormat="1">
      <c r="A999" s="782" t="s">
        <v>3746</v>
      </c>
    </row>
    <row r="1000" spans="1:6" s="4" customFormat="1">
      <c r="A1000" s="782" t="s">
        <v>3747</v>
      </c>
    </row>
    <row r="1001" spans="1:6" s="4" customFormat="1">
      <c r="A1001" s="782" t="s">
        <v>3748</v>
      </c>
    </row>
    <row r="1002" spans="1:6" s="4" customFormat="1">
      <c r="A1002" s="782" t="s">
        <v>3749</v>
      </c>
    </row>
    <row r="1003" spans="1:6" s="4" customFormat="1">
      <c r="A1003" s="782" t="s">
        <v>3750</v>
      </c>
    </row>
    <row r="1004" spans="1:6" s="4" customFormat="1">
      <c r="A1004" s="782" t="s">
        <v>3751</v>
      </c>
    </row>
    <row r="1005" spans="1:6" s="4" customFormat="1">
      <c r="A1005" s="782" t="s">
        <v>3752</v>
      </c>
    </row>
    <row r="1006" spans="1:6" s="4" customFormat="1">
      <c r="A1006" s="782" t="s">
        <v>3753</v>
      </c>
    </row>
    <row r="1007" spans="1:6" s="4" customFormat="1">
      <c r="A1007" s="782" t="s">
        <v>3754</v>
      </c>
    </row>
    <row r="1008" spans="1:6" s="4" customFormat="1" ht="14.25" thickBot="1">
      <c r="A1008" s="783" t="s">
        <v>3755</v>
      </c>
    </row>
    <row r="1009" spans="1:6" s="781" customFormat="1" ht="17.25">
      <c r="A1009" s="784" t="s">
        <v>3756</v>
      </c>
      <c r="B1009" s="780"/>
      <c r="C1009" s="780"/>
      <c r="D1009" s="780"/>
      <c r="E1009" s="780"/>
      <c r="F1009" s="780"/>
    </row>
    <row r="1010" spans="1:6" s="4" customFormat="1">
      <c r="A1010" s="782" t="s">
        <v>2866</v>
      </c>
    </row>
    <row r="1011" spans="1:6" s="4" customFormat="1">
      <c r="A1011" s="782" t="s">
        <v>2867</v>
      </c>
    </row>
    <row r="1012" spans="1:6" s="4" customFormat="1">
      <c r="A1012" s="782" t="s">
        <v>2868</v>
      </c>
    </row>
    <row r="1013" spans="1:6" s="4" customFormat="1">
      <c r="A1013" s="782" t="s">
        <v>3757</v>
      </c>
    </row>
    <row r="1014" spans="1:6" s="4" customFormat="1">
      <c r="A1014" s="782" t="s">
        <v>3758</v>
      </c>
    </row>
    <row r="1015" spans="1:6" s="4" customFormat="1">
      <c r="A1015" s="782" t="s">
        <v>3759</v>
      </c>
    </row>
    <row r="1016" spans="1:6" s="4" customFormat="1" ht="14.25" thickBot="1">
      <c r="A1016" s="783" t="s">
        <v>3760</v>
      </c>
    </row>
    <row r="1017" spans="1:6" s="781" customFormat="1" ht="17.25">
      <c r="A1017" s="784" t="s">
        <v>3761</v>
      </c>
      <c r="B1017" s="780"/>
      <c r="C1017" s="780"/>
      <c r="D1017" s="780"/>
      <c r="E1017" s="780"/>
      <c r="F1017" s="780"/>
    </row>
    <row r="1018" spans="1:6" s="4" customFormat="1">
      <c r="A1018" s="782" t="s">
        <v>2866</v>
      </c>
    </row>
    <row r="1019" spans="1:6" s="4" customFormat="1">
      <c r="A1019" s="782" t="s">
        <v>2867</v>
      </c>
    </row>
    <row r="1020" spans="1:6" s="4" customFormat="1">
      <c r="A1020" s="782" t="s">
        <v>2868</v>
      </c>
    </row>
    <row r="1021" spans="1:6" s="4" customFormat="1">
      <c r="A1021" s="782" t="s">
        <v>3762</v>
      </c>
    </row>
    <row r="1022" spans="1:6" s="4" customFormat="1">
      <c r="A1022" s="782" t="s">
        <v>3763</v>
      </c>
    </row>
    <row r="1023" spans="1:6" s="4" customFormat="1">
      <c r="A1023" s="782" t="s">
        <v>3764</v>
      </c>
    </row>
    <row r="1024" spans="1:6" s="4" customFormat="1">
      <c r="A1024" s="782" t="s">
        <v>3765</v>
      </c>
    </row>
    <row r="1025" spans="1:6" s="4" customFormat="1">
      <c r="A1025" s="782" t="s">
        <v>3766</v>
      </c>
    </row>
    <row r="1026" spans="1:6" s="4" customFormat="1">
      <c r="A1026" s="782" t="s">
        <v>3767</v>
      </c>
    </row>
    <row r="1027" spans="1:6" s="4" customFormat="1">
      <c r="A1027" s="782" t="s">
        <v>3768</v>
      </c>
    </row>
    <row r="1028" spans="1:6" s="4" customFormat="1">
      <c r="A1028" s="782" t="s">
        <v>3769</v>
      </c>
    </row>
    <row r="1029" spans="1:6" s="4" customFormat="1">
      <c r="A1029" s="782" t="s">
        <v>3770</v>
      </c>
    </row>
    <row r="1030" spans="1:6" s="4" customFormat="1">
      <c r="A1030" s="782" t="s">
        <v>3771</v>
      </c>
    </row>
    <row r="1031" spans="1:6" s="4" customFormat="1">
      <c r="A1031" s="782" t="s">
        <v>3772</v>
      </c>
    </row>
    <row r="1032" spans="1:6" s="4" customFormat="1">
      <c r="A1032" s="782" t="s">
        <v>3773</v>
      </c>
    </row>
    <row r="1033" spans="1:6" s="4" customFormat="1">
      <c r="A1033" s="782" t="s">
        <v>3774</v>
      </c>
    </row>
    <row r="1034" spans="1:6" s="4" customFormat="1" ht="14.25" thickBot="1">
      <c r="A1034" s="783" t="s">
        <v>3775</v>
      </c>
    </row>
    <row r="1035" spans="1:6" s="781" customFormat="1" ht="17.25">
      <c r="A1035" s="784" t="s">
        <v>3776</v>
      </c>
      <c r="B1035" s="780"/>
      <c r="C1035" s="780"/>
      <c r="D1035" s="780"/>
      <c r="E1035" s="780"/>
      <c r="F1035" s="780"/>
    </row>
    <row r="1036" spans="1:6" s="4" customFormat="1">
      <c r="A1036" s="782" t="s">
        <v>2866</v>
      </c>
    </row>
    <row r="1037" spans="1:6" s="4" customFormat="1">
      <c r="A1037" s="782" t="s">
        <v>2867</v>
      </c>
    </row>
    <row r="1038" spans="1:6" s="4" customFormat="1">
      <c r="A1038" s="782" t="s">
        <v>2868</v>
      </c>
    </row>
    <row r="1039" spans="1:6" s="4" customFormat="1">
      <c r="A1039" s="782" t="s">
        <v>3777</v>
      </c>
    </row>
    <row r="1040" spans="1:6" s="4" customFormat="1">
      <c r="A1040" s="782" t="s">
        <v>3778</v>
      </c>
    </row>
    <row r="1041" spans="1:6" s="4" customFormat="1">
      <c r="A1041" s="782" t="s">
        <v>3779</v>
      </c>
    </row>
    <row r="1042" spans="1:6" s="4" customFormat="1">
      <c r="A1042" s="782" t="s">
        <v>3780</v>
      </c>
    </row>
    <row r="1043" spans="1:6" s="4" customFormat="1">
      <c r="A1043" s="782" t="s">
        <v>3781</v>
      </c>
    </row>
    <row r="1044" spans="1:6" s="4" customFormat="1">
      <c r="A1044" s="782" t="s">
        <v>3782</v>
      </c>
    </row>
    <row r="1045" spans="1:6" s="4" customFormat="1">
      <c r="A1045" s="782" t="s">
        <v>3783</v>
      </c>
    </row>
    <row r="1046" spans="1:6" s="4" customFormat="1">
      <c r="A1046" s="782" t="s">
        <v>3784</v>
      </c>
    </row>
    <row r="1047" spans="1:6" s="4" customFormat="1" ht="14.25" thickBot="1">
      <c r="A1047" s="783" t="s">
        <v>3785</v>
      </c>
    </row>
    <row r="1048" spans="1:6" s="781" customFormat="1" ht="17.25">
      <c r="A1048" s="784" t="s">
        <v>3786</v>
      </c>
      <c r="B1048" s="780"/>
      <c r="C1048" s="780"/>
      <c r="D1048" s="780"/>
      <c r="E1048" s="780"/>
      <c r="F1048" s="780"/>
    </row>
    <row r="1049" spans="1:6" s="4" customFormat="1">
      <c r="A1049" s="782" t="s">
        <v>2866</v>
      </c>
    </row>
    <row r="1050" spans="1:6" s="4" customFormat="1">
      <c r="A1050" s="782" t="s">
        <v>2867</v>
      </c>
    </row>
    <row r="1051" spans="1:6" s="4" customFormat="1">
      <c r="A1051" s="782" t="s">
        <v>2868</v>
      </c>
    </row>
    <row r="1052" spans="1:6" s="4" customFormat="1">
      <c r="A1052" s="782" t="s">
        <v>3787</v>
      </c>
    </row>
    <row r="1053" spans="1:6" s="4" customFormat="1">
      <c r="A1053" s="782" t="s">
        <v>3788</v>
      </c>
    </row>
    <row r="1054" spans="1:6" s="4" customFormat="1">
      <c r="A1054" s="782" t="s">
        <v>3789</v>
      </c>
    </row>
    <row r="1055" spans="1:6" s="4" customFormat="1">
      <c r="A1055" s="782" t="s">
        <v>3790</v>
      </c>
    </row>
    <row r="1056" spans="1:6" s="4" customFormat="1">
      <c r="A1056" s="782" t="s">
        <v>3791</v>
      </c>
    </row>
    <row r="1057" spans="1:6" s="4" customFormat="1" ht="14.25" thickBot="1">
      <c r="A1057" s="783" t="s">
        <v>3792</v>
      </c>
    </row>
    <row r="1058" spans="1:6" s="781" customFormat="1" ht="17.25">
      <c r="A1058" s="784" t="s">
        <v>3793</v>
      </c>
      <c r="B1058" s="780"/>
      <c r="C1058" s="780"/>
      <c r="D1058" s="780"/>
      <c r="E1058" s="780"/>
      <c r="F1058" s="780"/>
    </row>
    <row r="1059" spans="1:6" s="4" customFormat="1">
      <c r="A1059" s="782" t="s">
        <v>2866</v>
      </c>
    </row>
    <row r="1060" spans="1:6" s="4" customFormat="1">
      <c r="A1060" s="782" t="s">
        <v>2867</v>
      </c>
    </row>
    <row r="1061" spans="1:6" s="4" customFormat="1">
      <c r="A1061" s="782" t="s">
        <v>2868</v>
      </c>
    </row>
    <row r="1062" spans="1:6" s="4" customFormat="1">
      <c r="A1062" s="782" t="s">
        <v>3794</v>
      </c>
    </row>
    <row r="1063" spans="1:6" s="4" customFormat="1">
      <c r="A1063" s="782" t="s">
        <v>3795</v>
      </c>
    </row>
    <row r="1064" spans="1:6" s="4" customFormat="1">
      <c r="A1064" s="782" t="s">
        <v>3796</v>
      </c>
    </row>
    <row r="1065" spans="1:6" s="4" customFormat="1">
      <c r="A1065" s="782" t="s">
        <v>3797</v>
      </c>
    </row>
    <row r="1066" spans="1:6" s="4" customFormat="1">
      <c r="A1066" s="782" t="s">
        <v>3798</v>
      </c>
    </row>
    <row r="1067" spans="1:6" s="4" customFormat="1">
      <c r="A1067" s="782" t="s">
        <v>3799</v>
      </c>
    </row>
    <row r="1068" spans="1:6" s="4" customFormat="1" ht="14.25" thickBot="1">
      <c r="A1068" s="783" t="s">
        <v>3800</v>
      </c>
    </row>
    <row r="1069" spans="1:6" s="781" customFormat="1" ht="17.25">
      <c r="A1069" s="784" t="s">
        <v>3801</v>
      </c>
      <c r="B1069" s="780"/>
      <c r="C1069" s="780"/>
      <c r="D1069" s="780"/>
      <c r="E1069" s="780"/>
      <c r="F1069" s="780"/>
    </row>
    <row r="1070" spans="1:6" s="4" customFormat="1">
      <c r="A1070" s="782" t="s">
        <v>2866</v>
      </c>
    </row>
    <row r="1071" spans="1:6" s="4" customFormat="1">
      <c r="A1071" s="782" t="s">
        <v>2867</v>
      </c>
    </row>
    <row r="1072" spans="1:6" s="4" customFormat="1">
      <c r="A1072" s="782" t="s">
        <v>2868</v>
      </c>
    </row>
    <row r="1073" spans="1:6" s="4" customFormat="1">
      <c r="A1073" s="782" t="s">
        <v>3802</v>
      </c>
    </row>
    <row r="1074" spans="1:6" s="4" customFormat="1">
      <c r="A1074" s="782" t="s">
        <v>3803</v>
      </c>
    </row>
    <row r="1075" spans="1:6" s="4" customFormat="1">
      <c r="A1075" s="782" t="s">
        <v>3804</v>
      </c>
    </row>
    <row r="1076" spans="1:6" s="4" customFormat="1">
      <c r="A1076" s="782" t="s">
        <v>3805</v>
      </c>
    </row>
    <row r="1077" spans="1:6" s="4" customFormat="1">
      <c r="A1077" s="782" t="s">
        <v>3806</v>
      </c>
    </row>
    <row r="1078" spans="1:6" s="4" customFormat="1">
      <c r="A1078" s="782" t="s">
        <v>3807</v>
      </c>
    </row>
    <row r="1079" spans="1:6" s="4" customFormat="1">
      <c r="A1079" s="782" t="s">
        <v>3808</v>
      </c>
    </row>
    <row r="1080" spans="1:6" s="4" customFormat="1">
      <c r="A1080" s="782" t="s">
        <v>3809</v>
      </c>
    </row>
    <row r="1081" spans="1:6" s="4" customFormat="1">
      <c r="A1081" s="782" t="s">
        <v>3810</v>
      </c>
    </row>
    <row r="1082" spans="1:6" s="4" customFormat="1">
      <c r="A1082" s="782" t="s">
        <v>3811</v>
      </c>
    </row>
    <row r="1083" spans="1:6" s="4" customFormat="1">
      <c r="A1083" s="782" t="s">
        <v>3812</v>
      </c>
    </row>
    <row r="1084" spans="1:6" s="4" customFormat="1">
      <c r="A1084" s="782" t="s">
        <v>3813</v>
      </c>
    </row>
    <row r="1085" spans="1:6" s="4" customFormat="1" ht="14.25" thickBot="1">
      <c r="A1085" s="783" t="s">
        <v>3814</v>
      </c>
    </row>
    <row r="1086" spans="1:6" s="781" customFormat="1" ht="17.25">
      <c r="A1086" s="784" t="s">
        <v>3815</v>
      </c>
      <c r="B1086" s="780"/>
      <c r="C1086" s="780"/>
      <c r="D1086" s="780"/>
      <c r="E1086" s="780"/>
      <c r="F1086" s="780"/>
    </row>
    <row r="1087" spans="1:6" s="4" customFormat="1">
      <c r="A1087" s="782" t="s">
        <v>2866</v>
      </c>
    </row>
    <row r="1088" spans="1:6" s="4" customFormat="1">
      <c r="A1088" s="782" t="s">
        <v>2867</v>
      </c>
    </row>
    <row r="1089" spans="1:6" s="4" customFormat="1">
      <c r="A1089" s="782" t="s">
        <v>2868</v>
      </c>
    </row>
    <row r="1090" spans="1:6" s="4" customFormat="1">
      <c r="A1090" s="782" t="s">
        <v>3816</v>
      </c>
    </row>
    <row r="1091" spans="1:6" s="4" customFormat="1" ht="14.25" thickBot="1">
      <c r="A1091" s="783" t="s">
        <v>3817</v>
      </c>
    </row>
    <row r="1092" spans="1:6" s="781" customFormat="1" ht="17.25">
      <c r="A1092" s="784" t="s">
        <v>3818</v>
      </c>
      <c r="B1092" s="780"/>
      <c r="C1092" s="780"/>
      <c r="D1092" s="780"/>
      <c r="E1092" s="780"/>
      <c r="F1092" s="780"/>
    </row>
    <row r="1093" spans="1:6" s="4" customFormat="1">
      <c r="A1093" s="782" t="s">
        <v>2866</v>
      </c>
    </row>
    <row r="1094" spans="1:6" s="4" customFormat="1">
      <c r="A1094" s="782" t="s">
        <v>2867</v>
      </c>
    </row>
    <row r="1095" spans="1:6" s="4" customFormat="1">
      <c r="A1095" s="782" t="s">
        <v>2868</v>
      </c>
    </row>
    <row r="1096" spans="1:6" s="4" customFormat="1">
      <c r="A1096" s="782" t="s">
        <v>3819</v>
      </c>
    </row>
    <row r="1097" spans="1:6" s="4" customFormat="1" ht="14.25" thickBot="1">
      <c r="A1097" s="783" t="s">
        <v>3820</v>
      </c>
    </row>
    <row r="1098" spans="1:6" s="781" customFormat="1" ht="17.25">
      <c r="A1098" s="784" t="s">
        <v>3821</v>
      </c>
      <c r="B1098" s="780"/>
      <c r="C1098" s="780"/>
      <c r="D1098" s="780"/>
      <c r="E1098" s="780"/>
      <c r="F1098" s="780"/>
    </row>
    <row r="1099" spans="1:6" s="4" customFormat="1">
      <c r="A1099" s="782" t="s">
        <v>2866</v>
      </c>
    </row>
    <row r="1100" spans="1:6" s="4" customFormat="1">
      <c r="A1100" s="782" t="s">
        <v>2867</v>
      </c>
    </row>
    <row r="1101" spans="1:6" s="4" customFormat="1">
      <c r="A1101" s="782" t="s">
        <v>2868</v>
      </c>
    </row>
    <row r="1102" spans="1:6" s="4" customFormat="1">
      <c r="A1102" s="782" t="s">
        <v>3822</v>
      </c>
    </row>
    <row r="1103" spans="1:6" s="4" customFormat="1">
      <c r="A1103" s="782" t="s">
        <v>3823</v>
      </c>
    </row>
    <row r="1104" spans="1:6" s="4" customFormat="1">
      <c r="A1104" s="782" t="s">
        <v>3824</v>
      </c>
    </row>
    <row r="1105" spans="1:6" s="4" customFormat="1">
      <c r="A1105" s="782" t="s">
        <v>3825</v>
      </c>
    </row>
    <row r="1106" spans="1:6" s="4" customFormat="1">
      <c r="A1106" s="782" t="s">
        <v>3826</v>
      </c>
    </row>
    <row r="1107" spans="1:6" s="4" customFormat="1">
      <c r="A1107" s="782" t="s">
        <v>3827</v>
      </c>
    </row>
    <row r="1108" spans="1:6" s="4" customFormat="1">
      <c r="A1108" s="782" t="s">
        <v>3828</v>
      </c>
    </row>
    <row r="1109" spans="1:6" s="4" customFormat="1">
      <c r="A1109" s="782" t="s">
        <v>3829</v>
      </c>
    </row>
    <row r="1110" spans="1:6" s="4" customFormat="1">
      <c r="A1110" s="782" t="s">
        <v>3830</v>
      </c>
    </row>
    <row r="1111" spans="1:6" s="4" customFormat="1">
      <c r="A1111" s="782" t="s">
        <v>3831</v>
      </c>
    </row>
    <row r="1112" spans="1:6" s="4" customFormat="1">
      <c r="A1112" s="782" t="s">
        <v>3832</v>
      </c>
    </row>
    <row r="1113" spans="1:6" s="4" customFormat="1">
      <c r="A1113" s="782" t="s">
        <v>3833</v>
      </c>
    </row>
    <row r="1114" spans="1:6" s="4" customFormat="1">
      <c r="A1114" s="782" t="s">
        <v>3834</v>
      </c>
    </row>
    <row r="1115" spans="1:6" s="4" customFormat="1">
      <c r="A1115" s="782" t="s">
        <v>3835</v>
      </c>
    </row>
    <row r="1116" spans="1:6" s="4" customFormat="1">
      <c r="A1116" s="782" t="s">
        <v>3836</v>
      </c>
    </row>
    <row r="1117" spans="1:6" s="4" customFormat="1">
      <c r="A1117" s="782" t="s">
        <v>3837</v>
      </c>
    </row>
    <row r="1118" spans="1:6" s="4" customFormat="1" ht="14.25" thickBot="1">
      <c r="A1118" s="783" t="s">
        <v>3838</v>
      </c>
    </row>
    <row r="1119" spans="1:6" s="781" customFormat="1" ht="17.25">
      <c r="A1119" s="784" t="s">
        <v>3839</v>
      </c>
      <c r="B1119" s="780"/>
      <c r="C1119" s="780"/>
      <c r="D1119" s="780"/>
      <c r="E1119" s="780"/>
      <c r="F1119" s="780"/>
    </row>
    <row r="1120" spans="1:6" s="4" customFormat="1">
      <c r="A1120" s="782" t="s">
        <v>2866</v>
      </c>
    </row>
    <row r="1121" spans="1:6" s="4" customFormat="1" ht="14.25" thickBot="1">
      <c r="A1121" s="783" t="s">
        <v>3840</v>
      </c>
    </row>
    <row r="1122" spans="1:6" s="781" customFormat="1" ht="17.25">
      <c r="A1122" s="784" t="s">
        <v>3841</v>
      </c>
      <c r="B1122" s="780"/>
      <c r="C1122" s="780"/>
      <c r="D1122" s="780"/>
      <c r="E1122" s="780"/>
      <c r="F1122" s="780"/>
    </row>
    <row r="1123" spans="1:6" s="4" customFormat="1">
      <c r="A1123" s="782" t="s">
        <v>2866</v>
      </c>
    </row>
    <row r="1124" spans="1:6" s="4" customFormat="1">
      <c r="A1124" s="782" t="s">
        <v>2867</v>
      </c>
    </row>
    <row r="1125" spans="1:6" s="4" customFormat="1">
      <c r="A1125" s="782" t="s">
        <v>3842</v>
      </c>
    </row>
    <row r="1126" spans="1:6" s="4" customFormat="1">
      <c r="A1126" s="782" t="s">
        <v>2868</v>
      </c>
    </row>
    <row r="1127" spans="1:6" s="4" customFormat="1">
      <c r="A1127" s="782" t="s">
        <v>3843</v>
      </c>
    </row>
    <row r="1128" spans="1:6" s="4" customFormat="1">
      <c r="A1128" s="782" t="s">
        <v>3844</v>
      </c>
    </row>
    <row r="1129" spans="1:6" s="4" customFormat="1" ht="14.25" thickBot="1">
      <c r="A1129" s="783" t="s">
        <v>3845</v>
      </c>
    </row>
    <row r="1130" spans="1:6" s="781" customFormat="1" ht="17.25">
      <c r="A1130" s="784" t="s">
        <v>3846</v>
      </c>
      <c r="B1130" s="780"/>
      <c r="C1130" s="780"/>
      <c r="D1130" s="780"/>
      <c r="E1130" s="780"/>
      <c r="F1130" s="780"/>
    </row>
    <row r="1131" spans="1:6" s="4" customFormat="1">
      <c r="A1131" s="782" t="s">
        <v>2866</v>
      </c>
    </row>
    <row r="1132" spans="1:6" s="4" customFormat="1">
      <c r="A1132" s="782" t="s">
        <v>2867</v>
      </c>
    </row>
    <row r="1133" spans="1:6" s="4" customFormat="1">
      <c r="A1133" s="782" t="s">
        <v>3842</v>
      </c>
    </row>
    <row r="1134" spans="1:6" s="4" customFormat="1">
      <c r="A1134" s="782" t="s">
        <v>2868</v>
      </c>
    </row>
    <row r="1135" spans="1:6" s="4" customFormat="1">
      <c r="A1135" s="782" t="s">
        <v>3847</v>
      </c>
    </row>
    <row r="1136" spans="1:6" s="4" customFormat="1">
      <c r="A1136" s="782" t="s">
        <v>3848</v>
      </c>
    </row>
    <row r="1137" spans="1:6" s="4" customFormat="1">
      <c r="A1137" s="782" t="s">
        <v>3849</v>
      </c>
    </row>
    <row r="1138" spans="1:6" s="4" customFormat="1">
      <c r="A1138" s="782" t="s">
        <v>3850</v>
      </c>
    </row>
    <row r="1139" spans="1:6" s="4" customFormat="1">
      <c r="A1139" s="782" t="s">
        <v>3851</v>
      </c>
    </row>
    <row r="1140" spans="1:6" s="4" customFormat="1">
      <c r="A1140" s="782" t="s">
        <v>3852</v>
      </c>
    </row>
    <row r="1141" spans="1:6" s="4" customFormat="1">
      <c r="A1141" s="782" t="s">
        <v>3853</v>
      </c>
    </row>
    <row r="1142" spans="1:6" s="4" customFormat="1">
      <c r="A1142" s="782" t="s">
        <v>3854</v>
      </c>
    </row>
    <row r="1143" spans="1:6" s="4" customFormat="1">
      <c r="A1143" s="782" t="s">
        <v>3855</v>
      </c>
    </row>
    <row r="1144" spans="1:6" s="4" customFormat="1">
      <c r="A1144" s="782" t="s">
        <v>3856</v>
      </c>
    </row>
    <row r="1145" spans="1:6" s="4" customFormat="1">
      <c r="A1145" s="782" t="s">
        <v>3857</v>
      </c>
    </row>
    <row r="1146" spans="1:6" s="4" customFormat="1">
      <c r="A1146" s="782" t="s">
        <v>3858</v>
      </c>
    </row>
    <row r="1147" spans="1:6" s="4" customFormat="1">
      <c r="A1147" s="782" t="s">
        <v>3859</v>
      </c>
    </row>
    <row r="1148" spans="1:6" s="4" customFormat="1" ht="14.25" thickBot="1">
      <c r="A1148" s="783" t="s">
        <v>3860</v>
      </c>
    </row>
    <row r="1149" spans="1:6" s="781" customFormat="1" ht="17.25">
      <c r="A1149" s="784" t="s">
        <v>3861</v>
      </c>
      <c r="B1149" s="780"/>
      <c r="C1149" s="780"/>
      <c r="D1149" s="780"/>
      <c r="E1149" s="780"/>
      <c r="F1149" s="780"/>
    </row>
    <row r="1150" spans="1:6" s="4" customFormat="1">
      <c r="A1150" s="782" t="s">
        <v>2866</v>
      </c>
    </row>
    <row r="1151" spans="1:6" s="4" customFormat="1">
      <c r="A1151" s="782" t="s">
        <v>2867</v>
      </c>
    </row>
    <row r="1152" spans="1:6" s="4" customFormat="1">
      <c r="A1152" s="782" t="s">
        <v>3842</v>
      </c>
    </row>
    <row r="1153" spans="1:1" s="4" customFormat="1">
      <c r="A1153" s="782" t="s">
        <v>2868</v>
      </c>
    </row>
    <row r="1154" spans="1:1" s="4" customFormat="1">
      <c r="A1154" s="782" t="s">
        <v>3862</v>
      </c>
    </row>
    <row r="1155" spans="1:1" s="4" customFormat="1">
      <c r="A1155" s="782" t="s">
        <v>3863</v>
      </c>
    </row>
    <row r="1156" spans="1:1" s="4" customFormat="1">
      <c r="A1156" s="782" t="s">
        <v>3864</v>
      </c>
    </row>
    <row r="1157" spans="1:1" s="4" customFormat="1">
      <c r="A1157" s="782" t="s">
        <v>3865</v>
      </c>
    </row>
    <row r="1158" spans="1:1" s="4" customFormat="1">
      <c r="A1158" s="782" t="s">
        <v>3866</v>
      </c>
    </row>
    <row r="1159" spans="1:1" s="4" customFormat="1">
      <c r="A1159" s="782" t="s">
        <v>3867</v>
      </c>
    </row>
    <row r="1160" spans="1:1" s="4" customFormat="1">
      <c r="A1160" s="782" t="s">
        <v>3868</v>
      </c>
    </row>
    <row r="1161" spans="1:1" s="4" customFormat="1">
      <c r="A1161" s="782" t="s">
        <v>3869</v>
      </c>
    </row>
    <row r="1162" spans="1:1" s="4" customFormat="1">
      <c r="A1162" s="782" t="s">
        <v>3870</v>
      </c>
    </row>
    <row r="1163" spans="1:1" s="4" customFormat="1">
      <c r="A1163" s="782" t="s">
        <v>3871</v>
      </c>
    </row>
    <row r="1164" spans="1:1" s="4" customFormat="1">
      <c r="A1164" s="782" t="s">
        <v>3872</v>
      </c>
    </row>
    <row r="1165" spans="1:1" s="4" customFormat="1">
      <c r="A1165" s="782" t="s">
        <v>3873</v>
      </c>
    </row>
    <row r="1166" spans="1:1" s="4" customFormat="1">
      <c r="A1166" s="782" t="s">
        <v>3874</v>
      </c>
    </row>
    <row r="1167" spans="1:1" s="4" customFormat="1">
      <c r="A1167" s="782" t="s">
        <v>3875</v>
      </c>
    </row>
    <row r="1168" spans="1:1" s="4" customFormat="1">
      <c r="A1168" s="782" t="s">
        <v>3876</v>
      </c>
    </row>
    <row r="1169" spans="1:6" s="4" customFormat="1">
      <c r="A1169" s="782" t="s">
        <v>3877</v>
      </c>
    </row>
    <row r="1170" spans="1:6" s="4" customFormat="1" ht="14.25" thickBot="1">
      <c r="A1170" s="783" t="s">
        <v>3878</v>
      </c>
    </row>
    <row r="1171" spans="1:6" s="781" customFormat="1" ht="17.25">
      <c r="A1171" s="784" t="s">
        <v>3879</v>
      </c>
      <c r="B1171" s="780"/>
      <c r="C1171" s="780"/>
      <c r="D1171" s="780"/>
      <c r="E1171" s="780"/>
      <c r="F1171" s="780"/>
    </row>
    <row r="1172" spans="1:6" s="4" customFormat="1">
      <c r="A1172" s="782" t="s">
        <v>2866</v>
      </c>
    </row>
    <row r="1173" spans="1:6" s="4" customFormat="1">
      <c r="A1173" s="782" t="s">
        <v>2867</v>
      </c>
    </row>
    <row r="1174" spans="1:6" s="4" customFormat="1">
      <c r="A1174" s="782" t="s">
        <v>3842</v>
      </c>
    </row>
    <row r="1175" spans="1:6" s="4" customFormat="1">
      <c r="A1175" s="782" t="s">
        <v>2868</v>
      </c>
    </row>
    <row r="1176" spans="1:6" s="4" customFormat="1">
      <c r="A1176" s="782" t="s">
        <v>3880</v>
      </c>
    </row>
    <row r="1177" spans="1:6" s="4" customFormat="1">
      <c r="A1177" s="782" t="s">
        <v>3881</v>
      </c>
    </row>
    <row r="1178" spans="1:6" s="4" customFormat="1">
      <c r="A1178" s="782" t="s">
        <v>3882</v>
      </c>
    </row>
    <row r="1179" spans="1:6" s="4" customFormat="1">
      <c r="A1179" s="782" t="s">
        <v>3883</v>
      </c>
    </row>
    <row r="1180" spans="1:6" s="4" customFormat="1">
      <c r="A1180" s="782" t="s">
        <v>3884</v>
      </c>
    </row>
    <row r="1181" spans="1:6" s="4" customFormat="1">
      <c r="A1181" s="782" t="s">
        <v>3885</v>
      </c>
    </row>
    <row r="1182" spans="1:6" s="4" customFormat="1">
      <c r="A1182" s="782" t="s">
        <v>3886</v>
      </c>
    </row>
    <row r="1183" spans="1:6" s="4" customFormat="1">
      <c r="A1183" s="782" t="s">
        <v>3887</v>
      </c>
    </row>
    <row r="1184" spans="1:6" s="4" customFormat="1">
      <c r="A1184" s="782" t="s">
        <v>3888</v>
      </c>
    </row>
    <row r="1185" spans="1:1" s="4" customFormat="1">
      <c r="A1185" s="782" t="s">
        <v>3889</v>
      </c>
    </row>
    <row r="1186" spans="1:1" s="4" customFormat="1">
      <c r="A1186" s="782" t="s">
        <v>3890</v>
      </c>
    </row>
    <row r="1187" spans="1:1" s="4" customFormat="1">
      <c r="A1187" s="782" t="s">
        <v>3891</v>
      </c>
    </row>
    <row r="1188" spans="1:1" s="4" customFormat="1">
      <c r="A1188" s="782" t="s">
        <v>3892</v>
      </c>
    </row>
    <row r="1189" spans="1:1" s="4" customFormat="1">
      <c r="A1189" s="782" t="s">
        <v>3893</v>
      </c>
    </row>
    <row r="1190" spans="1:1" s="4" customFormat="1">
      <c r="A1190" s="782" t="s">
        <v>3894</v>
      </c>
    </row>
    <row r="1191" spans="1:1" s="4" customFormat="1">
      <c r="A1191" s="782" t="s">
        <v>3895</v>
      </c>
    </row>
    <row r="1192" spans="1:1" s="4" customFormat="1">
      <c r="A1192" s="782" t="s">
        <v>3896</v>
      </c>
    </row>
    <row r="1193" spans="1:1" s="4" customFormat="1">
      <c r="A1193" s="782" t="s">
        <v>3897</v>
      </c>
    </row>
    <row r="1194" spans="1:1" s="4" customFormat="1">
      <c r="A1194" s="782" t="s">
        <v>3898</v>
      </c>
    </row>
    <row r="1195" spans="1:1" s="4" customFormat="1">
      <c r="A1195" s="782" t="s">
        <v>3899</v>
      </c>
    </row>
    <row r="1196" spans="1:1" s="4" customFormat="1">
      <c r="A1196" s="782" t="s">
        <v>3900</v>
      </c>
    </row>
    <row r="1197" spans="1:1" s="4" customFormat="1">
      <c r="A1197" s="782" t="s">
        <v>3901</v>
      </c>
    </row>
    <row r="1198" spans="1:1" s="4" customFormat="1">
      <c r="A1198" s="782" t="s">
        <v>3902</v>
      </c>
    </row>
    <row r="1199" spans="1:1" s="4" customFormat="1">
      <c r="A1199" s="782" t="s">
        <v>3903</v>
      </c>
    </row>
    <row r="1200" spans="1:1" s="4" customFormat="1">
      <c r="A1200" s="782" t="s">
        <v>3904</v>
      </c>
    </row>
    <row r="1201" spans="1:6" s="4" customFormat="1" ht="14.25" thickBot="1">
      <c r="A1201" s="783" t="s">
        <v>3905</v>
      </c>
    </row>
    <row r="1202" spans="1:6" s="781" customFormat="1" ht="17.25">
      <c r="A1202" s="784" t="s">
        <v>3906</v>
      </c>
      <c r="B1202" s="780"/>
      <c r="C1202" s="780"/>
      <c r="D1202" s="780"/>
      <c r="E1202" s="780"/>
      <c r="F1202" s="780"/>
    </row>
    <row r="1203" spans="1:6" s="4" customFormat="1">
      <c r="A1203" s="782" t="s">
        <v>2866</v>
      </c>
    </row>
    <row r="1204" spans="1:6" s="4" customFormat="1">
      <c r="A1204" s="782" t="s">
        <v>2867</v>
      </c>
    </row>
    <row r="1205" spans="1:6" s="4" customFormat="1">
      <c r="A1205" s="782" t="s">
        <v>3842</v>
      </c>
    </row>
    <row r="1206" spans="1:6" s="4" customFormat="1">
      <c r="A1206" s="782" t="s">
        <v>2868</v>
      </c>
    </row>
    <row r="1207" spans="1:6" s="4" customFormat="1">
      <c r="A1207" s="782" t="s">
        <v>3907</v>
      </c>
    </row>
    <row r="1208" spans="1:6" s="4" customFormat="1">
      <c r="A1208" s="782" t="s">
        <v>3908</v>
      </c>
    </row>
    <row r="1209" spans="1:6" s="4" customFormat="1">
      <c r="A1209" s="782" t="s">
        <v>3909</v>
      </c>
    </row>
    <row r="1210" spans="1:6" s="4" customFormat="1">
      <c r="A1210" s="782" t="s">
        <v>3910</v>
      </c>
    </row>
    <row r="1211" spans="1:6" s="4" customFormat="1">
      <c r="A1211" s="782" t="s">
        <v>3911</v>
      </c>
    </row>
    <row r="1212" spans="1:6" s="4" customFormat="1">
      <c r="A1212" s="782" t="s">
        <v>3912</v>
      </c>
    </row>
    <row r="1213" spans="1:6" s="4" customFormat="1">
      <c r="A1213" s="782" t="s">
        <v>3913</v>
      </c>
    </row>
    <row r="1214" spans="1:6" s="4" customFormat="1">
      <c r="A1214" s="782" t="s">
        <v>3914</v>
      </c>
    </row>
    <row r="1215" spans="1:6" s="4" customFormat="1">
      <c r="A1215" s="782" t="s">
        <v>3915</v>
      </c>
    </row>
    <row r="1216" spans="1:6" s="4" customFormat="1">
      <c r="A1216" s="782" t="s">
        <v>3916</v>
      </c>
    </row>
    <row r="1217" spans="1:6" s="4" customFormat="1">
      <c r="A1217" s="782" t="s">
        <v>3917</v>
      </c>
    </row>
    <row r="1218" spans="1:6" s="4" customFormat="1">
      <c r="A1218" s="782" t="s">
        <v>3918</v>
      </c>
    </row>
    <row r="1219" spans="1:6" s="4" customFormat="1">
      <c r="A1219" s="782" t="s">
        <v>3919</v>
      </c>
    </row>
    <row r="1220" spans="1:6" s="4" customFormat="1">
      <c r="A1220" s="782" t="s">
        <v>3920</v>
      </c>
    </row>
    <row r="1221" spans="1:6" s="4" customFormat="1">
      <c r="A1221" s="782" t="s">
        <v>3921</v>
      </c>
    </row>
    <row r="1222" spans="1:6" s="4" customFormat="1" ht="14.25" thickBot="1">
      <c r="A1222" s="783" t="s">
        <v>3922</v>
      </c>
    </row>
    <row r="1223" spans="1:6" s="781" customFormat="1" ht="17.25">
      <c r="A1223" s="784" t="s">
        <v>3923</v>
      </c>
      <c r="B1223" s="780"/>
      <c r="C1223" s="780"/>
      <c r="D1223" s="780"/>
      <c r="E1223" s="780"/>
      <c r="F1223" s="780"/>
    </row>
    <row r="1224" spans="1:6" s="4" customFormat="1">
      <c r="A1224" s="782" t="s">
        <v>2866</v>
      </c>
    </row>
    <row r="1225" spans="1:6" s="4" customFormat="1">
      <c r="A1225" s="782" t="s">
        <v>2867</v>
      </c>
    </row>
    <row r="1226" spans="1:6" s="4" customFormat="1">
      <c r="A1226" s="782" t="s">
        <v>3842</v>
      </c>
    </row>
    <row r="1227" spans="1:6" s="4" customFormat="1">
      <c r="A1227" s="782" t="s">
        <v>2868</v>
      </c>
    </row>
    <row r="1228" spans="1:6" s="4" customFormat="1">
      <c r="A1228" s="782" t="s">
        <v>3924</v>
      </c>
    </row>
    <row r="1229" spans="1:6" s="4" customFormat="1">
      <c r="A1229" s="782" t="s">
        <v>3925</v>
      </c>
    </row>
    <row r="1230" spans="1:6" s="4" customFormat="1">
      <c r="A1230" s="782" t="s">
        <v>3926</v>
      </c>
    </row>
    <row r="1231" spans="1:6" s="4" customFormat="1">
      <c r="A1231" s="782" t="s">
        <v>3927</v>
      </c>
    </row>
    <row r="1232" spans="1:6" s="4" customFormat="1">
      <c r="A1232" s="782" t="s">
        <v>3928</v>
      </c>
    </row>
    <row r="1233" spans="1:1" s="4" customFormat="1">
      <c r="A1233" s="782" t="s">
        <v>3929</v>
      </c>
    </row>
    <row r="1234" spans="1:1" s="4" customFormat="1">
      <c r="A1234" s="782" t="s">
        <v>3930</v>
      </c>
    </row>
    <row r="1235" spans="1:1" s="4" customFormat="1">
      <c r="A1235" s="782" t="s">
        <v>3931</v>
      </c>
    </row>
    <row r="1236" spans="1:1" s="4" customFormat="1">
      <c r="A1236" s="782" t="s">
        <v>3932</v>
      </c>
    </row>
    <row r="1237" spans="1:1" s="4" customFormat="1">
      <c r="A1237" s="782" t="s">
        <v>3933</v>
      </c>
    </row>
    <row r="1238" spans="1:1" s="4" customFormat="1">
      <c r="A1238" s="782" t="s">
        <v>3934</v>
      </c>
    </row>
    <row r="1239" spans="1:1" s="4" customFormat="1">
      <c r="A1239" s="782" t="s">
        <v>3935</v>
      </c>
    </row>
    <row r="1240" spans="1:1" s="4" customFormat="1">
      <c r="A1240" s="782" t="s">
        <v>3936</v>
      </c>
    </row>
    <row r="1241" spans="1:1" s="4" customFormat="1">
      <c r="A1241" s="782" t="s">
        <v>3937</v>
      </c>
    </row>
    <row r="1242" spans="1:1" s="4" customFormat="1">
      <c r="A1242" s="782" t="s">
        <v>3938</v>
      </c>
    </row>
    <row r="1243" spans="1:1" s="4" customFormat="1">
      <c r="A1243" s="782" t="s">
        <v>3939</v>
      </c>
    </row>
    <row r="1244" spans="1:1" s="4" customFormat="1">
      <c r="A1244" s="782" t="s">
        <v>3940</v>
      </c>
    </row>
    <row r="1245" spans="1:1" s="4" customFormat="1">
      <c r="A1245" s="782" t="s">
        <v>3941</v>
      </c>
    </row>
    <row r="1246" spans="1:1" s="4" customFormat="1">
      <c r="A1246" s="782" t="s">
        <v>3942</v>
      </c>
    </row>
    <row r="1247" spans="1:1" s="4" customFormat="1">
      <c r="A1247" s="782" t="s">
        <v>3943</v>
      </c>
    </row>
    <row r="1248" spans="1:1" s="4" customFormat="1">
      <c r="A1248" s="782" t="s">
        <v>3944</v>
      </c>
    </row>
    <row r="1249" spans="1:6" s="4" customFormat="1">
      <c r="A1249" s="782" t="s">
        <v>3945</v>
      </c>
    </row>
    <row r="1250" spans="1:6" s="4" customFormat="1">
      <c r="A1250" s="782" t="s">
        <v>3946</v>
      </c>
    </row>
    <row r="1251" spans="1:6" s="4" customFormat="1">
      <c r="A1251" s="782" t="s">
        <v>3947</v>
      </c>
    </row>
    <row r="1252" spans="1:6" s="4" customFormat="1" ht="14.25" thickBot="1">
      <c r="A1252" s="783" t="s">
        <v>3948</v>
      </c>
    </row>
    <row r="1253" spans="1:6" s="781" customFormat="1" ht="17.25">
      <c r="A1253" s="784" t="s">
        <v>3949</v>
      </c>
      <c r="B1253" s="780"/>
      <c r="C1253" s="780"/>
      <c r="D1253" s="780"/>
      <c r="E1253" s="780"/>
      <c r="F1253" s="780"/>
    </row>
    <row r="1254" spans="1:6" s="4" customFormat="1">
      <c r="A1254" s="782" t="s">
        <v>2866</v>
      </c>
    </row>
    <row r="1255" spans="1:6" s="4" customFormat="1">
      <c r="A1255" s="782" t="s">
        <v>2867</v>
      </c>
    </row>
    <row r="1256" spans="1:6" s="4" customFormat="1">
      <c r="A1256" s="782" t="s">
        <v>3842</v>
      </c>
    </row>
    <row r="1257" spans="1:6" s="4" customFormat="1">
      <c r="A1257" s="782" t="s">
        <v>2868</v>
      </c>
    </row>
    <row r="1258" spans="1:6" s="4" customFormat="1">
      <c r="A1258" s="782" t="s">
        <v>3950</v>
      </c>
    </row>
    <row r="1259" spans="1:6" s="4" customFormat="1" ht="14.25" thickBot="1">
      <c r="A1259" s="783" t="s">
        <v>3951</v>
      </c>
    </row>
    <row r="1260" spans="1:6" s="781" customFormat="1" ht="17.25">
      <c r="A1260" s="784" t="s">
        <v>3952</v>
      </c>
      <c r="B1260" s="780"/>
      <c r="C1260" s="780"/>
      <c r="D1260" s="780"/>
      <c r="E1260" s="780"/>
      <c r="F1260" s="780"/>
    </row>
    <row r="1261" spans="1:6" s="4" customFormat="1">
      <c r="A1261" s="782" t="s">
        <v>2866</v>
      </c>
    </row>
    <row r="1262" spans="1:6" s="4" customFormat="1">
      <c r="A1262" s="782" t="s">
        <v>2867</v>
      </c>
    </row>
    <row r="1263" spans="1:6" s="4" customFormat="1">
      <c r="A1263" s="782" t="s">
        <v>3842</v>
      </c>
    </row>
    <row r="1264" spans="1:6" s="4" customFormat="1">
      <c r="A1264" s="782" t="s">
        <v>2868</v>
      </c>
    </row>
    <row r="1265" spans="1:6" s="4" customFormat="1">
      <c r="A1265" s="782" t="s">
        <v>3953</v>
      </c>
    </row>
    <row r="1266" spans="1:6" s="4" customFormat="1">
      <c r="A1266" s="782" t="s">
        <v>3954</v>
      </c>
    </row>
    <row r="1267" spans="1:6" s="4" customFormat="1">
      <c r="A1267" s="782" t="s">
        <v>3955</v>
      </c>
    </row>
    <row r="1268" spans="1:6" s="4" customFormat="1">
      <c r="A1268" s="782" t="s">
        <v>3956</v>
      </c>
    </row>
    <row r="1269" spans="1:6" s="4" customFormat="1">
      <c r="A1269" s="782" t="s">
        <v>3957</v>
      </c>
    </row>
    <row r="1270" spans="1:6" s="4" customFormat="1">
      <c r="A1270" s="782" t="s">
        <v>3958</v>
      </c>
    </row>
    <row r="1271" spans="1:6" s="4" customFormat="1">
      <c r="A1271" s="782" t="s">
        <v>3959</v>
      </c>
    </row>
    <row r="1272" spans="1:6" s="4" customFormat="1">
      <c r="A1272" s="782" t="s">
        <v>3960</v>
      </c>
    </row>
    <row r="1273" spans="1:6" s="4" customFormat="1">
      <c r="A1273" s="782" t="s">
        <v>3961</v>
      </c>
    </row>
    <row r="1274" spans="1:6" s="4" customFormat="1">
      <c r="A1274" s="782" t="s">
        <v>3962</v>
      </c>
    </row>
    <row r="1275" spans="1:6" s="4" customFormat="1">
      <c r="A1275" s="782" t="s">
        <v>3963</v>
      </c>
    </row>
    <row r="1276" spans="1:6" s="4" customFormat="1">
      <c r="A1276" s="782" t="s">
        <v>3964</v>
      </c>
    </row>
    <row r="1277" spans="1:6" s="4" customFormat="1">
      <c r="A1277" s="782" t="s">
        <v>3965</v>
      </c>
    </row>
    <row r="1278" spans="1:6" s="4" customFormat="1">
      <c r="A1278" s="782" t="s">
        <v>3966</v>
      </c>
    </row>
    <row r="1279" spans="1:6" s="4" customFormat="1" ht="14.25" thickBot="1">
      <c r="A1279" s="783" t="s">
        <v>3967</v>
      </c>
    </row>
    <row r="1280" spans="1:6" s="781" customFormat="1" ht="17.25">
      <c r="A1280" s="784" t="s">
        <v>3968</v>
      </c>
      <c r="B1280" s="780"/>
      <c r="C1280" s="780"/>
      <c r="D1280" s="780"/>
      <c r="E1280" s="780"/>
      <c r="F1280" s="780"/>
    </row>
    <row r="1281" spans="1:1" s="4" customFormat="1">
      <c r="A1281" s="782" t="s">
        <v>2866</v>
      </c>
    </row>
    <row r="1282" spans="1:1" s="4" customFormat="1">
      <c r="A1282" s="782" t="s">
        <v>2867</v>
      </c>
    </row>
    <row r="1283" spans="1:1" s="4" customFormat="1">
      <c r="A1283" s="782" t="s">
        <v>3842</v>
      </c>
    </row>
    <row r="1284" spans="1:1" s="4" customFormat="1">
      <c r="A1284" s="782" t="s">
        <v>2868</v>
      </c>
    </row>
    <row r="1285" spans="1:1" s="4" customFormat="1">
      <c r="A1285" s="782" t="s">
        <v>3969</v>
      </c>
    </row>
    <row r="1286" spans="1:1" s="4" customFormat="1">
      <c r="A1286" s="782" t="s">
        <v>3970</v>
      </c>
    </row>
    <row r="1287" spans="1:1" s="4" customFormat="1">
      <c r="A1287" s="782" t="s">
        <v>3971</v>
      </c>
    </row>
    <row r="1288" spans="1:1" s="4" customFormat="1">
      <c r="A1288" s="782" t="s">
        <v>3972</v>
      </c>
    </row>
    <row r="1289" spans="1:1" s="4" customFormat="1">
      <c r="A1289" s="782" t="s">
        <v>3973</v>
      </c>
    </row>
    <row r="1290" spans="1:1" s="4" customFormat="1">
      <c r="A1290" s="782" t="s">
        <v>3974</v>
      </c>
    </row>
    <row r="1291" spans="1:1" s="4" customFormat="1">
      <c r="A1291" s="782" t="s">
        <v>3975</v>
      </c>
    </row>
    <row r="1292" spans="1:1" s="4" customFormat="1">
      <c r="A1292" s="782" t="s">
        <v>3976</v>
      </c>
    </row>
    <row r="1293" spans="1:1" s="4" customFormat="1">
      <c r="A1293" s="782" t="s">
        <v>3977</v>
      </c>
    </row>
    <row r="1294" spans="1:1" s="4" customFormat="1">
      <c r="A1294" s="782" t="s">
        <v>3978</v>
      </c>
    </row>
    <row r="1295" spans="1:1" s="4" customFormat="1">
      <c r="A1295" s="782" t="s">
        <v>3979</v>
      </c>
    </row>
    <row r="1296" spans="1:1" s="4" customFormat="1">
      <c r="A1296" s="782" t="s">
        <v>3980</v>
      </c>
    </row>
    <row r="1297" spans="1:6" s="4" customFormat="1">
      <c r="A1297" s="782" t="s">
        <v>3981</v>
      </c>
    </row>
    <row r="1298" spans="1:6" s="4" customFormat="1">
      <c r="A1298" s="782" t="s">
        <v>3982</v>
      </c>
    </row>
    <row r="1299" spans="1:6" s="4" customFormat="1">
      <c r="A1299" s="782" t="s">
        <v>3983</v>
      </c>
    </row>
    <row r="1300" spans="1:6" s="4" customFormat="1">
      <c r="A1300" s="782" t="s">
        <v>3984</v>
      </c>
    </row>
    <row r="1301" spans="1:6" s="4" customFormat="1">
      <c r="A1301" s="782" t="s">
        <v>3985</v>
      </c>
    </row>
    <row r="1302" spans="1:6" s="4" customFormat="1">
      <c r="A1302" s="782" t="s">
        <v>3986</v>
      </c>
    </row>
    <row r="1303" spans="1:6" s="4" customFormat="1">
      <c r="A1303" s="782" t="s">
        <v>3987</v>
      </c>
    </row>
    <row r="1304" spans="1:6" s="4" customFormat="1">
      <c r="A1304" s="782" t="s">
        <v>3988</v>
      </c>
    </row>
    <row r="1305" spans="1:6" s="4" customFormat="1">
      <c r="A1305" s="782" t="s">
        <v>3989</v>
      </c>
    </row>
    <row r="1306" spans="1:6" s="4" customFormat="1">
      <c r="A1306" s="782" t="s">
        <v>3990</v>
      </c>
    </row>
    <row r="1307" spans="1:6" s="4" customFormat="1">
      <c r="A1307" s="782" t="s">
        <v>3991</v>
      </c>
    </row>
    <row r="1308" spans="1:6" s="4" customFormat="1" ht="14.25" thickBot="1">
      <c r="A1308" s="783" t="s">
        <v>3992</v>
      </c>
    </row>
    <row r="1309" spans="1:6" s="781" customFormat="1" ht="17.25">
      <c r="A1309" s="784" t="s">
        <v>3993</v>
      </c>
      <c r="B1309" s="780"/>
      <c r="C1309" s="780"/>
      <c r="D1309" s="780"/>
      <c r="E1309" s="780"/>
      <c r="F1309" s="780"/>
    </row>
    <row r="1310" spans="1:6" s="4" customFormat="1">
      <c r="A1310" s="782" t="s">
        <v>2866</v>
      </c>
    </row>
    <row r="1311" spans="1:6" s="4" customFormat="1">
      <c r="A1311" s="782" t="s">
        <v>2867</v>
      </c>
    </row>
    <row r="1312" spans="1:6" s="4" customFormat="1">
      <c r="A1312" s="782" t="s">
        <v>3842</v>
      </c>
    </row>
    <row r="1313" spans="1:6" s="4" customFormat="1">
      <c r="A1313" s="782" t="s">
        <v>2868</v>
      </c>
    </row>
    <row r="1314" spans="1:6" s="4" customFormat="1">
      <c r="A1314" s="782" t="s">
        <v>3994</v>
      </c>
    </row>
    <row r="1315" spans="1:6" s="4" customFormat="1">
      <c r="A1315" s="782" t="s">
        <v>3995</v>
      </c>
    </row>
    <row r="1316" spans="1:6" s="4" customFormat="1">
      <c r="A1316" s="782" t="s">
        <v>3996</v>
      </c>
    </row>
    <row r="1317" spans="1:6" s="4" customFormat="1">
      <c r="A1317" s="782" t="s">
        <v>3997</v>
      </c>
    </row>
    <row r="1318" spans="1:6" s="4" customFormat="1">
      <c r="A1318" s="782" t="s">
        <v>3998</v>
      </c>
    </row>
    <row r="1319" spans="1:6" s="4" customFormat="1">
      <c r="A1319" s="782" t="s">
        <v>3999</v>
      </c>
    </row>
    <row r="1320" spans="1:6" s="4" customFormat="1">
      <c r="A1320" s="782" t="s">
        <v>4000</v>
      </c>
    </row>
    <row r="1321" spans="1:6" s="4" customFormat="1">
      <c r="A1321" s="782" t="s">
        <v>4001</v>
      </c>
    </row>
    <row r="1322" spans="1:6" s="4" customFormat="1">
      <c r="A1322" s="782" t="s">
        <v>4002</v>
      </c>
    </row>
    <row r="1323" spans="1:6" s="4" customFormat="1" ht="14.25" thickBot="1">
      <c r="A1323" s="783" t="s">
        <v>4003</v>
      </c>
    </row>
    <row r="1324" spans="1:6" s="781" customFormat="1" ht="17.25">
      <c r="A1324" s="784" t="s">
        <v>4004</v>
      </c>
      <c r="B1324" s="780"/>
      <c r="C1324" s="780"/>
      <c r="D1324" s="780"/>
      <c r="E1324" s="780"/>
      <c r="F1324" s="780"/>
    </row>
    <row r="1325" spans="1:6" s="4" customFormat="1">
      <c r="A1325" s="782" t="s">
        <v>2866</v>
      </c>
    </row>
    <row r="1326" spans="1:6" s="4" customFormat="1">
      <c r="A1326" s="782" t="s">
        <v>2867</v>
      </c>
    </row>
    <row r="1327" spans="1:6" s="4" customFormat="1">
      <c r="A1327" s="782" t="s">
        <v>3842</v>
      </c>
    </row>
    <row r="1328" spans="1:6" s="4" customFormat="1">
      <c r="A1328" s="782" t="s">
        <v>2868</v>
      </c>
    </row>
    <row r="1329" spans="1:1" s="4" customFormat="1">
      <c r="A1329" s="782" t="s">
        <v>4005</v>
      </c>
    </row>
    <row r="1330" spans="1:1" s="4" customFormat="1">
      <c r="A1330" s="782" t="s">
        <v>4006</v>
      </c>
    </row>
    <row r="1331" spans="1:1" s="4" customFormat="1">
      <c r="A1331" s="782" t="s">
        <v>4007</v>
      </c>
    </row>
    <row r="1332" spans="1:1" s="4" customFormat="1">
      <c r="A1332" s="782" t="s">
        <v>4008</v>
      </c>
    </row>
    <row r="1333" spans="1:1" s="4" customFormat="1">
      <c r="A1333" s="782" t="s">
        <v>4009</v>
      </c>
    </row>
    <row r="1334" spans="1:1" s="4" customFormat="1">
      <c r="A1334" s="782" t="s">
        <v>4010</v>
      </c>
    </row>
    <row r="1335" spans="1:1" s="4" customFormat="1">
      <c r="A1335" s="782" t="s">
        <v>4011</v>
      </c>
    </row>
    <row r="1336" spans="1:1" s="4" customFormat="1">
      <c r="A1336" s="782" t="s">
        <v>4012</v>
      </c>
    </row>
    <row r="1337" spans="1:1" s="4" customFormat="1">
      <c r="A1337" s="782" t="s">
        <v>4013</v>
      </c>
    </row>
    <row r="1338" spans="1:1" s="4" customFormat="1">
      <c r="A1338" s="782" t="s">
        <v>4014</v>
      </c>
    </row>
    <row r="1339" spans="1:1" s="4" customFormat="1">
      <c r="A1339" s="782" t="s">
        <v>4015</v>
      </c>
    </row>
    <row r="1340" spans="1:1" s="4" customFormat="1">
      <c r="A1340" s="782" t="s">
        <v>4016</v>
      </c>
    </row>
    <row r="1341" spans="1:1" s="4" customFormat="1">
      <c r="A1341" s="782" t="s">
        <v>4017</v>
      </c>
    </row>
    <row r="1342" spans="1:1" s="4" customFormat="1">
      <c r="A1342" s="782" t="s">
        <v>4018</v>
      </c>
    </row>
    <row r="1343" spans="1:1" s="4" customFormat="1">
      <c r="A1343" s="782" t="s">
        <v>4019</v>
      </c>
    </row>
    <row r="1344" spans="1:1" s="4" customFormat="1">
      <c r="A1344" s="782" t="s">
        <v>4020</v>
      </c>
    </row>
    <row r="1345" spans="1:1" s="4" customFormat="1">
      <c r="A1345" s="782" t="s">
        <v>4021</v>
      </c>
    </row>
    <row r="1346" spans="1:1" s="4" customFormat="1">
      <c r="A1346" s="782" t="s">
        <v>4022</v>
      </c>
    </row>
    <row r="1347" spans="1:1" s="4" customFormat="1">
      <c r="A1347" s="782" t="s">
        <v>4023</v>
      </c>
    </row>
    <row r="1348" spans="1:1" s="4" customFormat="1">
      <c r="A1348" s="782" t="s">
        <v>4024</v>
      </c>
    </row>
    <row r="1349" spans="1:1" s="4" customFormat="1">
      <c r="A1349" s="782" t="s">
        <v>4025</v>
      </c>
    </row>
    <row r="1350" spans="1:1" s="4" customFormat="1">
      <c r="A1350" s="782" t="s">
        <v>4026</v>
      </c>
    </row>
    <row r="1351" spans="1:1" s="4" customFormat="1">
      <c r="A1351" s="782" t="s">
        <v>4027</v>
      </c>
    </row>
    <row r="1352" spans="1:1" s="4" customFormat="1">
      <c r="A1352" s="782" t="s">
        <v>4028</v>
      </c>
    </row>
    <row r="1353" spans="1:1" s="4" customFormat="1">
      <c r="A1353" s="782" t="s">
        <v>4029</v>
      </c>
    </row>
    <row r="1354" spans="1:1" s="4" customFormat="1">
      <c r="A1354" s="782" t="s">
        <v>4030</v>
      </c>
    </row>
    <row r="1355" spans="1:1" s="4" customFormat="1">
      <c r="A1355" s="782" t="s">
        <v>4031</v>
      </c>
    </row>
    <row r="1356" spans="1:1" s="4" customFormat="1">
      <c r="A1356" s="782" t="s">
        <v>4032</v>
      </c>
    </row>
    <row r="1357" spans="1:1" s="4" customFormat="1">
      <c r="A1357" s="782" t="s">
        <v>4033</v>
      </c>
    </row>
    <row r="1358" spans="1:1" s="4" customFormat="1">
      <c r="A1358" s="782" t="s">
        <v>4034</v>
      </c>
    </row>
    <row r="1359" spans="1:1" s="4" customFormat="1">
      <c r="A1359" s="782" t="s">
        <v>4035</v>
      </c>
    </row>
    <row r="1360" spans="1:1" s="4" customFormat="1">
      <c r="A1360" s="782" t="s">
        <v>4036</v>
      </c>
    </row>
    <row r="1361" spans="1:6" s="4" customFormat="1">
      <c r="A1361" s="782" t="s">
        <v>4037</v>
      </c>
    </row>
    <row r="1362" spans="1:6" s="4" customFormat="1">
      <c r="A1362" s="782" t="s">
        <v>4038</v>
      </c>
    </row>
    <row r="1363" spans="1:6" s="4" customFormat="1">
      <c r="A1363" s="782" t="s">
        <v>4039</v>
      </c>
    </row>
    <row r="1364" spans="1:6" s="4" customFormat="1">
      <c r="A1364" s="782" t="s">
        <v>4040</v>
      </c>
    </row>
    <row r="1365" spans="1:6" s="4" customFormat="1">
      <c r="A1365" s="782" t="s">
        <v>4041</v>
      </c>
    </row>
    <row r="1366" spans="1:6" s="4" customFormat="1">
      <c r="A1366" s="782" t="s">
        <v>4042</v>
      </c>
    </row>
    <row r="1367" spans="1:6" s="4" customFormat="1">
      <c r="A1367" s="782" t="s">
        <v>4043</v>
      </c>
    </row>
    <row r="1368" spans="1:6" s="4" customFormat="1">
      <c r="A1368" s="782" t="s">
        <v>4044</v>
      </c>
    </row>
    <row r="1369" spans="1:6" s="4" customFormat="1">
      <c r="A1369" s="782" t="s">
        <v>4045</v>
      </c>
    </row>
    <row r="1370" spans="1:6" s="4" customFormat="1">
      <c r="A1370" s="782" t="s">
        <v>4046</v>
      </c>
    </row>
    <row r="1371" spans="1:6" s="4" customFormat="1">
      <c r="A1371" s="782" t="s">
        <v>4047</v>
      </c>
    </row>
    <row r="1372" spans="1:6" s="4" customFormat="1" ht="14.25" thickBot="1">
      <c r="A1372" s="783" t="s">
        <v>4048</v>
      </c>
    </row>
    <row r="1373" spans="1:6" s="781" customFormat="1" ht="17.25">
      <c r="A1373" s="784" t="s">
        <v>4049</v>
      </c>
      <c r="B1373" s="780"/>
      <c r="C1373" s="780"/>
      <c r="D1373" s="780"/>
      <c r="E1373" s="780"/>
      <c r="F1373" s="780"/>
    </row>
    <row r="1374" spans="1:6" s="4" customFormat="1">
      <c r="A1374" s="782" t="s">
        <v>2866</v>
      </c>
    </row>
    <row r="1375" spans="1:6" s="4" customFormat="1">
      <c r="A1375" s="782" t="s">
        <v>2867</v>
      </c>
    </row>
    <row r="1376" spans="1:6" s="4" customFormat="1">
      <c r="A1376" s="782" t="s">
        <v>3842</v>
      </c>
    </row>
    <row r="1377" spans="1:6" s="4" customFormat="1">
      <c r="A1377" s="782" t="s">
        <v>2868</v>
      </c>
    </row>
    <row r="1378" spans="1:6" s="4" customFormat="1">
      <c r="A1378" s="782" t="s">
        <v>4050</v>
      </c>
    </row>
    <row r="1379" spans="1:6" s="4" customFormat="1">
      <c r="A1379" s="782" t="s">
        <v>4051</v>
      </c>
    </row>
    <row r="1380" spans="1:6" s="4" customFormat="1">
      <c r="A1380" s="782" t="s">
        <v>4052</v>
      </c>
    </row>
    <row r="1381" spans="1:6" s="4" customFormat="1">
      <c r="A1381" s="782" t="s">
        <v>4053</v>
      </c>
    </row>
    <row r="1382" spans="1:6" s="4" customFormat="1">
      <c r="A1382" s="782" t="s">
        <v>4054</v>
      </c>
    </row>
    <row r="1383" spans="1:6" s="4" customFormat="1">
      <c r="A1383" s="782" t="s">
        <v>4055</v>
      </c>
    </row>
    <row r="1384" spans="1:6" s="4" customFormat="1">
      <c r="A1384" s="782" t="s">
        <v>4056</v>
      </c>
    </row>
    <row r="1385" spans="1:6" s="4" customFormat="1" ht="14.25" thickBot="1">
      <c r="A1385" s="783" t="s">
        <v>4057</v>
      </c>
    </row>
    <row r="1386" spans="1:6" s="781" customFormat="1" ht="17.25">
      <c r="A1386" s="784" t="s">
        <v>4058</v>
      </c>
      <c r="B1386" s="780"/>
      <c r="C1386" s="780"/>
      <c r="D1386" s="780"/>
      <c r="E1386" s="780"/>
      <c r="F1386" s="780"/>
    </row>
    <row r="1387" spans="1:6" s="4" customFormat="1">
      <c r="A1387" s="782" t="s">
        <v>2866</v>
      </c>
      <c r="B1387" s="785"/>
      <c r="C1387" s="785"/>
      <c r="D1387" s="785"/>
      <c r="E1387" s="785"/>
      <c r="F1387" s="785"/>
    </row>
    <row r="1388" spans="1:6" s="4" customFormat="1">
      <c r="A1388" s="782" t="s">
        <v>2867</v>
      </c>
      <c r="B1388" s="785"/>
      <c r="C1388" s="785"/>
      <c r="D1388" s="785"/>
      <c r="E1388" s="785"/>
      <c r="F1388" s="785"/>
    </row>
    <row r="1389" spans="1:6" s="4" customFormat="1">
      <c r="A1389" s="782" t="s">
        <v>2868</v>
      </c>
    </row>
    <row r="1390" spans="1:6" s="4" customFormat="1">
      <c r="A1390" s="782" t="s">
        <v>4059</v>
      </c>
    </row>
    <row r="1391" spans="1:6" s="4" customFormat="1">
      <c r="A1391" s="782" t="s">
        <v>4060</v>
      </c>
    </row>
    <row r="1392" spans="1:6" s="4" customFormat="1">
      <c r="A1392" s="782" t="s">
        <v>4061</v>
      </c>
    </row>
    <row r="1393" spans="1:6" s="4" customFormat="1">
      <c r="A1393" s="782" t="s">
        <v>4062</v>
      </c>
    </row>
    <row r="1394" spans="1:6" s="4" customFormat="1">
      <c r="A1394" s="782" t="s">
        <v>4063</v>
      </c>
    </row>
    <row r="1395" spans="1:6" s="4" customFormat="1" ht="14.25" thickBot="1">
      <c r="A1395" s="783" t="s">
        <v>4064</v>
      </c>
    </row>
    <row r="1396" spans="1:6" s="781" customFormat="1" ht="17.25">
      <c r="A1396" s="784" t="s">
        <v>4065</v>
      </c>
      <c r="B1396" s="780"/>
      <c r="C1396" s="780"/>
      <c r="D1396" s="780"/>
      <c r="E1396" s="780"/>
      <c r="F1396" s="780"/>
    </row>
    <row r="1397" spans="1:6" s="4" customFormat="1">
      <c r="A1397" s="782" t="s">
        <v>2866</v>
      </c>
    </row>
    <row r="1398" spans="1:6" s="4" customFormat="1">
      <c r="A1398" s="782" t="s">
        <v>2867</v>
      </c>
    </row>
    <row r="1399" spans="1:6" s="4" customFormat="1">
      <c r="A1399" s="782" t="s">
        <v>2868</v>
      </c>
    </row>
    <row r="1400" spans="1:6" s="4" customFormat="1">
      <c r="A1400" s="782" t="s">
        <v>4066</v>
      </c>
    </row>
    <row r="1401" spans="1:6" s="4" customFormat="1">
      <c r="A1401" s="782" t="s">
        <v>4067</v>
      </c>
    </row>
    <row r="1402" spans="1:6" s="4" customFormat="1">
      <c r="A1402" s="782" t="s">
        <v>4068</v>
      </c>
    </row>
    <row r="1403" spans="1:6" s="4" customFormat="1">
      <c r="A1403" s="782" t="s">
        <v>4069</v>
      </c>
    </row>
    <row r="1404" spans="1:6" s="4" customFormat="1">
      <c r="A1404" s="782" t="s">
        <v>4070</v>
      </c>
    </row>
    <row r="1405" spans="1:6" s="4" customFormat="1">
      <c r="A1405" s="782" t="s">
        <v>4071</v>
      </c>
    </row>
    <row r="1406" spans="1:6" s="4" customFormat="1">
      <c r="A1406" s="782" t="s">
        <v>4072</v>
      </c>
    </row>
    <row r="1407" spans="1:6" s="4" customFormat="1">
      <c r="A1407" s="782" t="s">
        <v>4073</v>
      </c>
    </row>
    <row r="1408" spans="1:6" s="4" customFormat="1">
      <c r="A1408" s="782" t="s">
        <v>4074</v>
      </c>
    </row>
    <row r="1409" spans="1:6" s="4" customFormat="1">
      <c r="A1409" s="782" t="s">
        <v>4075</v>
      </c>
    </row>
    <row r="1410" spans="1:6" s="4" customFormat="1" ht="14.25" thickBot="1">
      <c r="A1410" s="783" t="s">
        <v>4076</v>
      </c>
    </row>
    <row r="1411" spans="1:6" s="781" customFormat="1" ht="17.25">
      <c r="A1411" s="784" t="s">
        <v>4077</v>
      </c>
      <c r="B1411" s="780"/>
      <c r="C1411" s="780"/>
      <c r="D1411" s="780"/>
      <c r="E1411" s="780"/>
      <c r="F1411" s="780"/>
    </row>
    <row r="1412" spans="1:6" s="4" customFormat="1">
      <c r="A1412" s="782" t="s">
        <v>2866</v>
      </c>
    </row>
    <row r="1413" spans="1:6" s="4" customFormat="1">
      <c r="A1413" s="782" t="s">
        <v>2867</v>
      </c>
    </row>
    <row r="1414" spans="1:6" s="4" customFormat="1">
      <c r="A1414" s="782" t="s">
        <v>2868</v>
      </c>
    </row>
    <row r="1415" spans="1:6" s="4" customFormat="1">
      <c r="A1415" s="782" t="s">
        <v>4078</v>
      </c>
    </row>
    <row r="1416" spans="1:6" s="4" customFormat="1">
      <c r="A1416" s="782" t="s">
        <v>4079</v>
      </c>
    </row>
    <row r="1417" spans="1:6" s="4" customFormat="1">
      <c r="A1417" s="782" t="s">
        <v>4080</v>
      </c>
    </row>
    <row r="1418" spans="1:6" s="4" customFormat="1">
      <c r="A1418" s="782" t="s">
        <v>4081</v>
      </c>
    </row>
    <row r="1419" spans="1:6" s="4" customFormat="1">
      <c r="A1419" s="782" t="s">
        <v>4082</v>
      </c>
    </row>
    <row r="1420" spans="1:6" s="4" customFormat="1">
      <c r="A1420" s="782" t="s">
        <v>4083</v>
      </c>
    </row>
    <row r="1421" spans="1:6" s="4" customFormat="1">
      <c r="A1421" s="782" t="s">
        <v>4084</v>
      </c>
    </row>
    <row r="1422" spans="1:6" s="4" customFormat="1">
      <c r="A1422" s="782" t="s">
        <v>4085</v>
      </c>
    </row>
    <row r="1423" spans="1:6" s="4" customFormat="1">
      <c r="A1423" s="782" t="s">
        <v>4086</v>
      </c>
    </row>
    <row r="1424" spans="1:6" s="4" customFormat="1">
      <c r="A1424" s="782" t="s">
        <v>4087</v>
      </c>
    </row>
    <row r="1425" spans="1:6" s="4" customFormat="1">
      <c r="A1425" s="782" t="s">
        <v>4088</v>
      </c>
    </row>
    <row r="1426" spans="1:6" s="4" customFormat="1" ht="14.25" thickBot="1">
      <c r="A1426" s="783" t="s">
        <v>4089</v>
      </c>
    </row>
    <row r="1427" spans="1:6" s="781" customFormat="1" ht="17.25">
      <c r="A1427" s="784" t="s">
        <v>4090</v>
      </c>
      <c r="B1427" s="780"/>
      <c r="C1427" s="780"/>
      <c r="D1427" s="780"/>
      <c r="E1427" s="780"/>
      <c r="F1427" s="780"/>
    </row>
    <row r="1428" spans="1:6" s="4" customFormat="1">
      <c r="A1428" s="782" t="s">
        <v>2866</v>
      </c>
    </row>
    <row r="1429" spans="1:6" s="4" customFormat="1">
      <c r="A1429" s="782" t="s">
        <v>2867</v>
      </c>
    </row>
    <row r="1430" spans="1:6" s="4" customFormat="1">
      <c r="A1430" s="782" t="s">
        <v>2868</v>
      </c>
    </row>
    <row r="1431" spans="1:6" s="4" customFormat="1">
      <c r="A1431" s="782" t="s">
        <v>4091</v>
      </c>
    </row>
    <row r="1432" spans="1:6" s="4" customFormat="1">
      <c r="A1432" s="782" t="s">
        <v>4092</v>
      </c>
    </row>
    <row r="1433" spans="1:6" s="4" customFormat="1">
      <c r="A1433" s="782" t="s">
        <v>4093</v>
      </c>
    </row>
    <row r="1434" spans="1:6" s="4" customFormat="1">
      <c r="A1434" s="782" t="s">
        <v>4094</v>
      </c>
    </row>
    <row r="1435" spans="1:6" s="4" customFormat="1">
      <c r="A1435" s="782" t="s">
        <v>4095</v>
      </c>
    </row>
    <row r="1436" spans="1:6" s="4" customFormat="1">
      <c r="A1436" s="782" t="s">
        <v>4096</v>
      </c>
    </row>
    <row r="1437" spans="1:6" s="4" customFormat="1">
      <c r="A1437" s="782" t="s">
        <v>4097</v>
      </c>
    </row>
    <row r="1438" spans="1:6" s="4" customFormat="1">
      <c r="A1438" s="782" t="s">
        <v>4098</v>
      </c>
    </row>
    <row r="1439" spans="1:6" s="4" customFormat="1" ht="14.25" thickBot="1">
      <c r="A1439" s="783" t="s">
        <v>4099</v>
      </c>
    </row>
    <row r="1440" spans="1:6" s="781" customFormat="1" ht="17.25">
      <c r="A1440" s="784" t="s">
        <v>4100</v>
      </c>
      <c r="B1440" s="780"/>
      <c r="C1440" s="780"/>
      <c r="D1440" s="780"/>
      <c r="E1440" s="780"/>
      <c r="F1440" s="780"/>
    </row>
    <row r="1441" spans="1:1" s="4" customFormat="1">
      <c r="A1441" s="782" t="s">
        <v>2866</v>
      </c>
    </row>
    <row r="1442" spans="1:1" s="4" customFormat="1">
      <c r="A1442" s="782" t="s">
        <v>2867</v>
      </c>
    </row>
    <row r="1443" spans="1:1" s="4" customFormat="1">
      <c r="A1443" s="782" t="s">
        <v>2868</v>
      </c>
    </row>
    <row r="1444" spans="1:1" s="4" customFormat="1">
      <c r="A1444" s="782" t="s">
        <v>4101</v>
      </c>
    </row>
    <row r="1445" spans="1:1" s="4" customFormat="1">
      <c r="A1445" s="782" t="s">
        <v>4102</v>
      </c>
    </row>
    <row r="1446" spans="1:1" s="4" customFormat="1">
      <c r="A1446" s="782" t="s">
        <v>4103</v>
      </c>
    </row>
    <row r="1447" spans="1:1" s="4" customFormat="1">
      <c r="A1447" s="782" t="s">
        <v>4104</v>
      </c>
    </row>
    <row r="1448" spans="1:1" s="4" customFormat="1">
      <c r="A1448" s="782" t="s">
        <v>4105</v>
      </c>
    </row>
    <row r="1449" spans="1:1" s="4" customFormat="1">
      <c r="A1449" s="782" t="s">
        <v>4106</v>
      </c>
    </row>
    <row r="1450" spans="1:1" s="4" customFormat="1">
      <c r="A1450" s="782" t="s">
        <v>4107</v>
      </c>
    </row>
    <row r="1451" spans="1:1" s="4" customFormat="1">
      <c r="A1451" s="782" t="s">
        <v>4108</v>
      </c>
    </row>
    <row r="1452" spans="1:1" s="4" customFormat="1">
      <c r="A1452" s="782" t="s">
        <v>4109</v>
      </c>
    </row>
    <row r="1453" spans="1:1" s="4" customFormat="1">
      <c r="A1453" s="782" t="s">
        <v>4110</v>
      </c>
    </row>
    <row r="1454" spans="1:1" s="4" customFormat="1">
      <c r="A1454" s="782" t="s">
        <v>4111</v>
      </c>
    </row>
    <row r="1455" spans="1:1" s="4" customFormat="1">
      <c r="A1455" s="782" t="s">
        <v>4112</v>
      </c>
    </row>
    <row r="1456" spans="1:1" s="4" customFormat="1">
      <c r="A1456" s="782" t="s">
        <v>4113</v>
      </c>
    </row>
    <row r="1457" spans="1:6" s="4" customFormat="1">
      <c r="A1457" s="782" t="s">
        <v>4114</v>
      </c>
    </row>
    <row r="1458" spans="1:6" s="4" customFormat="1">
      <c r="A1458" s="782" t="s">
        <v>4115</v>
      </c>
    </row>
    <row r="1459" spans="1:6" s="4" customFormat="1">
      <c r="A1459" s="782" t="s">
        <v>4116</v>
      </c>
    </row>
    <row r="1460" spans="1:6" s="4" customFormat="1" ht="14.25" thickBot="1">
      <c r="A1460" s="783" t="s">
        <v>4117</v>
      </c>
    </row>
    <row r="1461" spans="1:6" s="781" customFormat="1" ht="17.25">
      <c r="A1461" s="784" t="s">
        <v>4118</v>
      </c>
      <c r="B1461" s="780"/>
      <c r="C1461" s="780"/>
      <c r="D1461" s="780"/>
      <c r="E1461" s="780"/>
      <c r="F1461" s="780"/>
    </row>
    <row r="1462" spans="1:6" s="4" customFormat="1">
      <c r="A1462" s="782" t="s">
        <v>2866</v>
      </c>
    </row>
    <row r="1463" spans="1:6" s="4" customFormat="1">
      <c r="A1463" s="782" t="s">
        <v>2867</v>
      </c>
    </row>
    <row r="1464" spans="1:6" s="4" customFormat="1">
      <c r="A1464" s="782" t="s">
        <v>2868</v>
      </c>
    </row>
    <row r="1465" spans="1:6" s="4" customFormat="1">
      <c r="A1465" s="782" t="s">
        <v>4119</v>
      </c>
    </row>
    <row r="1466" spans="1:6" s="4" customFormat="1">
      <c r="A1466" s="782" t="s">
        <v>4120</v>
      </c>
    </row>
    <row r="1467" spans="1:6" s="4" customFormat="1">
      <c r="A1467" s="782" t="s">
        <v>4121</v>
      </c>
    </row>
    <row r="1468" spans="1:6" s="4" customFormat="1">
      <c r="A1468" s="782" t="s">
        <v>4122</v>
      </c>
    </row>
    <row r="1469" spans="1:6" s="4" customFormat="1">
      <c r="A1469" s="782" t="s">
        <v>4123</v>
      </c>
    </row>
    <row r="1470" spans="1:6" s="4" customFormat="1">
      <c r="A1470" s="782" t="s">
        <v>4124</v>
      </c>
    </row>
    <row r="1471" spans="1:6" s="4" customFormat="1">
      <c r="A1471" s="782" t="s">
        <v>4125</v>
      </c>
    </row>
    <row r="1472" spans="1:6" s="4" customFormat="1">
      <c r="A1472" s="782" t="s">
        <v>4126</v>
      </c>
    </row>
    <row r="1473" spans="1:6" s="4" customFormat="1">
      <c r="A1473" s="782" t="s">
        <v>4127</v>
      </c>
    </row>
    <row r="1474" spans="1:6" s="4" customFormat="1">
      <c r="A1474" s="782" t="s">
        <v>4128</v>
      </c>
    </row>
    <row r="1475" spans="1:6" s="4" customFormat="1">
      <c r="A1475" s="782" t="s">
        <v>4129</v>
      </c>
    </row>
    <row r="1476" spans="1:6" s="4" customFormat="1">
      <c r="A1476" s="782" t="s">
        <v>4130</v>
      </c>
    </row>
    <row r="1477" spans="1:6" s="4" customFormat="1">
      <c r="A1477" s="782" t="s">
        <v>4131</v>
      </c>
    </row>
    <row r="1478" spans="1:6" s="4" customFormat="1">
      <c r="A1478" s="782" t="s">
        <v>4132</v>
      </c>
    </row>
    <row r="1479" spans="1:6" s="4" customFormat="1">
      <c r="A1479" s="782" t="s">
        <v>4133</v>
      </c>
    </row>
    <row r="1480" spans="1:6" s="4" customFormat="1">
      <c r="A1480" s="782" t="s">
        <v>4134</v>
      </c>
    </row>
    <row r="1481" spans="1:6" s="4" customFormat="1">
      <c r="A1481" s="782" t="s">
        <v>4135</v>
      </c>
    </row>
    <row r="1482" spans="1:6" s="4" customFormat="1">
      <c r="A1482" s="782" t="s">
        <v>4136</v>
      </c>
    </row>
    <row r="1483" spans="1:6" s="4" customFormat="1">
      <c r="A1483" s="782" t="s">
        <v>4137</v>
      </c>
    </row>
    <row r="1484" spans="1:6" s="4" customFormat="1">
      <c r="A1484" s="782" t="s">
        <v>4138</v>
      </c>
    </row>
    <row r="1485" spans="1:6" s="4" customFormat="1" ht="14.25" thickBot="1">
      <c r="A1485" s="783" t="s">
        <v>4139</v>
      </c>
    </row>
    <row r="1486" spans="1:6" s="781" customFormat="1" ht="17.25">
      <c r="A1486" s="784" t="s">
        <v>4140</v>
      </c>
      <c r="B1486" s="780"/>
      <c r="C1486" s="780"/>
      <c r="D1486" s="780"/>
      <c r="E1486" s="780"/>
      <c r="F1486" s="780"/>
    </row>
    <row r="1487" spans="1:6" s="4" customFormat="1">
      <c r="A1487" s="782" t="s">
        <v>2866</v>
      </c>
    </row>
    <row r="1488" spans="1:6" s="4" customFormat="1">
      <c r="A1488" s="782" t="s">
        <v>2867</v>
      </c>
    </row>
    <row r="1489" spans="1:6" s="4" customFormat="1">
      <c r="A1489" s="782" t="s">
        <v>2868</v>
      </c>
    </row>
    <row r="1490" spans="1:6" s="4" customFormat="1">
      <c r="A1490" s="782" t="s">
        <v>4141</v>
      </c>
    </row>
    <row r="1491" spans="1:6" s="4" customFormat="1">
      <c r="A1491" s="782" t="s">
        <v>4142</v>
      </c>
    </row>
    <row r="1492" spans="1:6" s="4" customFormat="1">
      <c r="A1492" s="782" t="s">
        <v>4143</v>
      </c>
    </row>
    <row r="1493" spans="1:6" s="4" customFormat="1" ht="14.25" thickBot="1">
      <c r="A1493" s="783" t="s">
        <v>4144</v>
      </c>
    </row>
    <row r="1494" spans="1:6" s="781" customFormat="1" ht="17.25">
      <c r="A1494" s="784" t="s">
        <v>4145</v>
      </c>
      <c r="B1494" s="780"/>
      <c r="C1494" s="780"/>
      <c r="D1494" s="780"/>
      <c r="E1494" s="780"/>
      <c r="F1494" s="780"/>
    </row>
    <row r="1495" spans="1:6" s="4" customFormat="1">
      <c r="A1495" s="782" t="s">
        <v>2866</v>
      </c>
    </row>
    <row r="1496" spans="1:6" s="4" customFormat="1">
      <c r="A1496" s="782" t="s">
        <v>2867</v>
      </c>
    </row>
    <row r="1497" spans="1:6" s="4" customFormat="1">
      <c r="A1497" s="782" t="s">
        <v>2868</v>
      </c>
    </row>
    <row r="1498" spans="1:6" s="4" customFormat="1">
      <c r="A1498" s="782" t="s">
        <v>4146</v>
      </c>
    </row>
    <row r="1499" spans="1:6" s="4" customFormat="1">
      <c r="A1499" s="782" t="s">
        <v>4147</v>
      </c>
    </row>
    <row r="1500" spans="1:6" s="4" customFormat="1">
      <c r="A1500" s="782" t="s">
        <v>4148</v>
      </c>
    </row>
    <row r="1501" spans="1:6" s="4" customFormat="1">
      <c r="A1501" s="782" t="s">
        <v>4149</v>
      </c>
    </row>
    <row r="1502" spans="1:6" s="4" customFormat="1">
      <c r="A1502" s="782" t="s">
        <v>4150</v>
      </c>
    </row>
    <row r="1503" spans="1:6" s="4" customFormat="1">
      <c r="A1503" s="782" t="s">
        <v>4151</v>
      </c>
    </row>
    <row r="1504" spans="1:6" s="4" customFormat="1">
      <c r="A1504" s="782" t="s">
        <v>4152</v>
      </c>
    </row>
    <row r="1505" spans="1:6" s="4" customFormat="1">
      <c r="A1505" s="782" t="s">
        <v>4153</v>
      </c>
    </row>
    <row r="1506" spans="1:6" s="4" customFormat="1" ht="14.25" thickBot="1">
      <c r="A1506" s="783" t="s">
        <v>4154</v>
      </c>
    </row>
    <row r="1507" spans="1:6" s="781" customFormat="1" ht="17.25">
      <c r="A1507" s="784" t="s">
        <v>4155</v>
      </c>
      <c r="B1507" s="780"/>
      <c r="C1507" s="780"/>
      <c r="D1507" s="780"/>
      <c r="E1507" s="780"/>
      <c r="F1507" s="780"/>
    </row>
    <row r="1508" spans="1:6" s="4" customFormat="1">
      <c r="A1508" s="782" t="s">
        <v>2866</v>
      </c>
    </row>
    <row r="1509" spans="1:6" s="4" customFormat="1">
      <c r="A1509" s="782" t="s">
        <v>2867</v>
      </c>
    </row>
    <row r="1510" spans="1:6" s="4" customFormat="1">
      <c r="A1510" s="782" t="s">
        <v>2868</v>
      </c>
    </row>
    <row r="1511" spans="1:6" s="4" customFormat="1">
      <c r="A1511" s="782" t="s">
        <v>4156</v>
      </c>
    </row>
    <row r="1512" spans="1:6" s="4" customFormat="1">
      <c r="A1512" s="782" t="s">
        <v>4157</v>
      </c>
    </row>
    <row r="1513" spans="1:6" s="4" customFormat="1">
      <c r="A1513" s="782" t="s">
        <v>4158</v>
      </c>
    </row>
    <row r="1514" spans="1:6" s="4" customFormat="1">
      <c r="A1514" s="782" t="s">
        <v>4159</v>
      </c>
    </row>
    <row r="1515" spans="1:6" s="4" customFormat="1">
      <c r="A1515" s="782" t="s">
        <v>4160</v>
      </c>
    </row>
    <row r="1516" spans="1:6" s="4" customFormat="1">
      <c r="A1516" s="782" t="s">
        <v>4161</v>
      </c>
    </row>
    <row r="1517" spans="1:6" s="4" customFormat="1">
      <c r="A1517" s="782" t="s">
        <v>4162</v>
      </c>
    </row>
    <row r="1518" spans="1:6" s="4" customFormat="1">
      <c r="A1518" s="782" t="s">
        <v>4163</v>
      </c>
    </row>
    <row r="1519" spans="1:6" s="4" customFormat="1">
      <c r="A1519" s="782" t="s">
        <v>4164</v>
      </c>
    </row>
    <row r="1520" spans="1:6" s="4" customFormat="1">
      <c r="A1520" s="782" t="s">
        <v>4165</v>
      </c>
    </row>
    <row r="1521" spans="1:6" s="4" customFormat="1">
      <c r="A1521" s="782" t="s">
        <v>4165</v>
      </c>
    </row>
    <row r="1522" spans="1:6" s="4" customFormat="1">
      <c r="A1522" s="782" t="s">
        <v>4166</v>
      </c>
    </row>
    <row r="1523" spans="1:6" s="4" customFormat="1">
      <c r="A1523" s="782" t="s">
        <v>4167</v>
      </c>
    </row>
    <row r="1524" spans="1:6" s="4" customFormat="1">
      <c r="A1524" s="782" t="s">
        <v>4168</v>
      </c>
    </row>
    <row r="1525" spans="1:6" s="4" customFormat="1">
      <c r="A1525" s="782" t="s">
        <v>4169</v>
      </c>
    </row>
    <row r="1526" spans="1:6" s="4" customFormat="1">
      <c r="A1526" s="782" t="s">
        <v>4170</v>
      </c>
    </row>
    <row r="1527" spans="1:6" s="4" customFormat="1" ht="14.25" thickBot="1">
      <c r="A1527" s="783" t="s">
        <v>4171</v>
      </c>
    </row>
    <row r="1528" spans="1:6" s="781" customFormat="1" ht="17.25">
      <c r="A1528" s="784" t="s">
        <v>4172</v>
      </c>
      <c r="B1528" s="780"/>
      <c r="C1528" s="780"/>
      <c r="D1528" s="780"/>
      <c r="E1528" s="780"/>
      <c r="F1528" s="780"/>
    </row>
    <row r="1529" spans="1:6" s="4" customFormat="1">
      <c r="A1529" s="782" t="s">
        <v>2866</v>
      </c>
    </row>
    <row r="1530" spans="1:6" s="4" customFormat="1">
      <c r="A1530" s="782" t="s">
        <v>2867</v>
      </c>
    </row>
    <row r="1531" spans="1:6" s="4" customFormat="1">
      <c r="A1531" s="782" t="s">
        <v>4173</v>
      </c>
    </row>
    <row r="1532" spans="1:6" s="4" customFormat="1">
      <c r="A1532" s="782" t="s">
        <v>4174</v>
      </c>
    </row>
    <row r="1533" spans="1:6" s="4" customFormat="1">
      <c r="A1533" s="782" t="s">
        <v>4175</v>
      </c>
    </row>
    <row r="1534" spans="1:6" s="4" customFormat="1">
      <c r="A1534" s="782" t="s">
        <v>4176</v>
      </c>
    </row>
    <row r="1535" spans="1:6" s="4" customFormat="1">
      <c r="A1535" s="782" t="s">
        <v>4177</v>
      </c>
    </row>
    <row r="1536" spans="1:6" s="4" customFormat="1" ht="14.25" thickBot="1">
      <c r="A1536" s="783" t="s">
        <v>4178</v>
      </c>
    </row>
    <row r="1537" spans="1:6" s="781" customFormat="1" ht="17.25">
      <c r="A1537" s="784" t="s">
        <v>4179</v>
      </c>
      <c r="B1537" s="780"/>
      <c r="C1537" s="780"/>
      <c r="D1537" s="780"/>
      <c r="E1537" s="780"/>
      <c r="F1537" s="780"/>
    </row>
    <row r="1538" spans="1:6" s="4" customFormat="1">
      <c r="A1538" s="782" t="s">
        <v>2866</v>
      </c>
    </row>
    <row r="1539" spans="1:6" s="4" customFormat="1">
      <c r="A1539" s="782" t="s">
        <v>2867</v>
      </c>
    </row>
    <row r="1540" spans="1:6" s="4" customFormat="1">
      <c r="A1540" s="782" t="s">
        <v>4180</v>
      </c>
    </row>
    <row r="1541" spans="1:6" s="4" customFormat="1">
      <c r="A1541" s="782" t="s">
        <v>4181</v>
      </c>
    </row>
    <row r="1542" spans="1:6" s="4" customFormat="1">
      <c r="A1542" s="782" t="s">
        <v>4182</v>
      </c>
    </row>
    <row r="1543" spans="1:6" s="4" customFormat="1">
      <c r="A1543" s="782" t="s">
        <v>4183</v>
      </c>
    </row>
    <row r="1544" spans="1:6" s="4" customFormat="1">
      <c r="A1544" s="782" t="s">
        <v>4184</v>
      </c>
    </row>
    <row r="1545" spans="1:6" s="4" customFormat="1">
      <c r="A1545" s="782" t="s">
        <v>4185</v>
      </c>
    </row>
    <row r="1546" spans="1:6" s="4" customFormat="1">
      <c r="A1546" s="782" t="s">
        <v>4186</v>
      </c>
    </row>
    <row r="1547" spans="1:6" s="4" customFormat="1">
      <c r="A1547" s="782" t="s">
        <v>4187</v>
      </c>
    </row>
    <row r="1548" spans="1:6" s="4" customFormat="1">
      <c r="A1548" s="782" t="s">
        <v>4188</v>
      </c>
    </row>
    <row r="1549" spans="1:6" s="4" customFormat="1">
      <c r="A1549" s="782" t="s">
        <v>4189</v>
      </c>
    </row>
    <row r="1550" spans="1:6" s="4" customFormat="1">
      <c r="A1550" s="782" t="s">
        <v>4190</v>
      </c>
    </row>
    <row r="1551" spans="1:6" s="4" customFormat="1">
      <c r="A1551" s="782" t="s">
        <v>4191</v>
      </c>
    </row>
    <row r="1552" spans="1:6" s="4" customFormat="1">
      <c r="A1552" s="782" t="s">
        <v>4192</v>
      </c>
    </row>
    <row r="1553" spans="1:6" s="4" customFormat="1">
      <c r="A1553" s="782" t="s">
        <v>4193</v>
      </c>
    </row>
    <row r="1554" spans="1:6" s="4" customFormat="1">
      <c r="A1554" s="782" t="s">
        <v>4194</v>
      </c>
    </row>
    <row r="1555" spans="1:6" s="4" customFormat="1">
      <c r="A1555" s="782" t="s">
        <v>4195</v>
      </c>
    </row>
    <row r="1556" spans="1:6" s="4" customFormat="1">
      <c r="A1556" s="782" t="s">
        <v>4196</v>
      </c>
    </row>
    <row r="1557" spans="1:6" s="4" customFormat="1">
      <c r="A1557" s="782" t="s">
        <v>4197</v>
      </c>
    </row>
    <row r="1558" spans="1:6" s="4" customFormat="1">
      <c r="A1558" s="782" t="s">
        <v>4198</v>
      </c>
    </row>
    <row r="1559" spans="1:6" s="4" customFormat="1">
      <c r="A1559" s="782" t="s">
        <v>4199</v>
      </c>
    </row>
    <row r="1560" spans="1:6" s="4" customFormat="1">
      <c r="A1560" s="782" t="s">
        <v>4200</v>
      </c>
    </row>
    <row r="1561" spans="1:6" s="4" customFormat="1">
      <c r="A1561" s="782" t="s">
        <v>4201</v>
      </c>
    </row>
    <row r="1562" spans="1:6" s="4" customFormat="1">
      <c r="A1562" s="782" t="s">
        <v>4202</v>
      </c>
    </row>
    <row r="1563" spans="1:6" s="4" customFormat="1" ht="14.25" thickBot="1">
      <c r="A1563" s="783" t="s">
        <v>4203</v>
      </c>
    </row>
    <row r="1564" spans="1:6" s="781" customFormat="1" ht="17.25">
      <c r="A1564" s="784" t="s">
        <v>4204</v>
      </c>
      <c r="B1564" s="780"/>
      <c r="C1564" s="780"/>
      <c r="D1564" s="780"/>
      <c r="E1564" s="780"/>
      <c r="F1564" s="780"/>
    </row>
    <row r="1565" spans="1:6" s="4" customFormat="1">
      <c r="A1565" s="782" t="s">
        <v>2866</v>
      </c>
    </row>
    <row r="1566" spans="1:6" s="4" customFormat="1">
      <c r="A1566" s="782" t="s">
        <v>2867</v>
      </c>
    </row>
    <row r="1567" spans="1:6" s="4" customFormat="1">
      <c r="A1567" s="782" t="s">
        <v>2868</v>
      </c>
    </row>
    <row r="1568" spans="1:6" s="4" customFormat="1" ht="14.25" thickBot="1">
      <c r="A1568" s="783" t="s">
        <v>4205</v>
      </c>
    </row>
    <row r="1569" spans="1:6" s="781" customFormat="1" ht="17.25">
      <c r="A1569" s="784" t="s">
        <v>4206</v>
      </c>
      <c r="B1569" s="780"/>
      <c r="C1569" s="780"/>
      <c r="D1569" s="780"/>
      <c r="E1569" s="780"/>
      <c r="F1569" s="780"/>
    </row>
    <row r="1570" spans="1:6" s="4" customFormat="1">
      <c r="A1570" s="782" t="s">
        <v>2866</v>
      </c>
    </row>
    <row r="1571" spans="1:6" s="4" customFormat="1">
      <c r="A1571" s="782" t="s">
        <v>2867</v>
      </c>
    </row>
    <row r="1572" spans="1:6" s="4" customFormat="1">
      <c r="A1572" s="782" t="s">
        <v>4207</v>
      </c>
    </row>
    <row r="1573" spans="1:6" s="4" customFormat="1">
      <c r="A1573" s="782" t="s">
        <v>4208</v>
      </c>
    </row>
    <row r="1574" spans="1:6" s="4" customFormat="1">
      <c r="A1574" s="782" t="s">
        <v>4209</v>
      </c>
    </row>
    <row r="1575" spans="1:6" s="4" customFormat="1">
      <c r="A1575" s="782" t="s">
        <v>4210</v>
      </c>
    </row>
    <row r="1576" spans="1:6" s="4" customFormat="1">
      <c r="A1576" s="782" t="s">
        <v>4211</v>
      </c>
    </row>
    <row r="1577" spans="1:6" s="4" customFormat="1">
      <c r="A1577" s="782" t="s">
        <v>4212</v>
      </c>
    </row>
    <row r="1578" spans="1:6" s="4" customFormat="1">
      <c r="A1578" s="782" t="s">
        <v>4213</v>
      </c>
    </row>
    <row r="1579" spans="1:6" s="4" customFormat="1">
      <c r="A1579" s="782" t="s">
        <v>4214</v>
      </c>
    </row>
    <row r="1580" spans="1:6" s="4" customFormat="1">
      <c r="A1580" s="782" t="s">
        <v>4215</v>
      </c>
    </row>
    <row r="1581" spans="1:6" s="4" customFormat="1">
      <c r="A1581" s="782" t="s">
        <v>4216</v>
      </c>
    </row>
    <row r="1582" spans="1:6" s="4" customFormat="1">
      <c r="A1582" s="782" t="s">
        <v>4217</v>
      </c>
    </row>
    <row r="1583" spans="1:6" s="4" customFormat="1">
      <c r="A1583" s="782" t="s">
        <v>4218</v>
      </c>
    </row>
    <row r="1584" spans="1:6" s="4" customFormat="1">
      <c r="A1584" s="782" t="s">
        <v>4219</v>
      </c>
    </row>
    <row r="1585" spans="1:6" s="4" customFormat="1">
      <c r="A1585" s="782" t="s">
        <v>4220</v>
      </c>
    </row>
    <row r="1586" spans="1:6" s="4" customFormat="1">
      <c r="A1586" s="782" t="s">
        <v>4221</v>
      </c>
    </row>
    <row r="1587" spans="1:6" s="4" customFormat="1">
      <c r="A1587" s="782" t="s">
        <v>4222</v>
      </c>
    </row>
    <row r="1588" spans="1:6" s="4" customFormat="1" ht="14.25" thickBot="1">
      <c r="A1588" s="783" t="s">
        <v>4223</v>
      </c>
    </row>
    <row r="1589" spans="1:6" s="781" customFormat="1" ht="17.25">
      <c r="A1589" s="784" t="s">
        <v>4224</v>
      </c>
      <c r="B1589" s="780"/>
      <c r="C1589" s="780"/>
      <c r="D1589" s="780"/>
      <c r="E1589" s="780"/>
      <c r="F1589" s="780"/>
    </row>
    <row r="1590" spans="1:6" s="4" customFormat="1">
      <c r="A1590" s="782" t="s">
        <v>2866</v>
      </c>
    </row>
    <row r="1591" spans="1:6" s="4" customFormat="1">
      <c r="A1591" s="782" t="s">
        <v>2867</v>
      </c>
    </row>
    <row r="1592" spans="1:6" s="4" customFormat="1">
      <c r="A1592" s="782" t="s">
        <v>2868</v>
      </c>
    </row>
    <row r="1593" spans="1:6" s="4" customFormat="1">
      <c r="A1593" s="782" t="s">
        <v>4225</v>
      </c>
    </row>
    <row r="1594" spans="1:6" s="4" customFormat="1">
      <c r="A1594" s="782" t="s">
        <v>4226</v>
      </c>
    </row>
    <row r="1595" spans="1:6" s="4" customFormat="1">
      <c r="A1595" s="782" t="s">
        <v>4227</v>
      </c>
    </row>
    <row r="1596" spans="1:6" s="4" customFormat="1">
      <c r="A1596" s="782" t="s">
        <v>4228</v>
      </c>
    </row>
    <row r="1597" spans="1:6" s="4" customFormat="1">
      <c r="A1597" s="782" t="s">
        <v>4229</v>
      </c>
    </row>
    <row r="1598" spans="1:6" s="4" customFormat="1">
      <c r="A1598" s="782" t="s">
        <v>4230</v>
      </c>
    </row>
    <row r="1599" spans="1:6" s="4" customFormat="1" ht="14.25" thickBot="1">
      <c r="A1599" s="783" t="s">
        <v>4231</v>
      </c>
    </row>
    <row r="1600" spans="1:6" s="781" customFormat="1" ht="17.25">
      <c r="A1600" s="784" t="s">
        <v>4232</v>
      </c>
      <c r="B1600" s="780"/>
      <c r="C1600" s="780"/>
      <c r="D1600" s="780"/>
      <c r="E1600" s="780"/>
      <c r="F1600" s="780"/>
    </row>
    <row r="1601" spans="1:6" s="4" customFormat="1">
      <c r="A1601" s="782" t="s">
        <v>2866</v>
      </c>
      <c r="B1601" s="785"/>
      <c r="C1601" s="785"/>
      <c r="D1601" s="785"/>
      <c r="E1601" s="785"/>
      <c r="F1601" s="785"/>
    </row>
    <row r="1602" spans="1:6" s="4" customFormat="1">
      <c r="A1602" s="782" t="s">
        <v>2867</v>
      </c>
      <c r="B1602" s="785"/>
      <c r="C1602" s="785"/>
      <c r="D1602" s="785"/>
      <c r="E1602" s="785"/>
      <c r="F1602" s="785"/>
    </row>
    <row r="1603" spans="1:6" s="4" customFormat="1">
      <c r="A1603" s="782" t="s">
        <v>2868</v>
      </c>
    </row>
    <row r="1604" spans="1:6" s="4" customFormat="1">
      <c r="A1604" s="782" t="s">
        <v>4233</v>
      </c>
    </row>
    <row r="1605" spans="1:6" s="4" customFormat="1">
      <c r="A1605" s="782" t="s">
        <v>4234</v>
      </c>
    </row>
    <row r="1606" spans="1:6" s="4" customFormat="1">
      <c r="A1606" s="782" t="s">
        <v>4235</v>
      </c>
    </row>
    <row r="1607" spans="1:6" s="4" customFormat="1">
      <c r="A1607" s="782" t="s">
        <v>4236</v>
      </c>
    </row>
    <row r="1608" spans="1:6" s="4" customFormat="1">
      <c r="A1608" s="782" t="s">
        <v>4237</v>
      </c>
    </row>
    <row r="1609" spans="1:6" s="4" customFormat="1">
      <c r="A1609" s="782" t="s">
        <v>4238</v>
      </c>
    </row>
    <row r="1610" spans="1:6" s="4" customFormat="1">
      <c r="A1610" s="782" t="s">
        <v>4239</v>
      </c>
    </row>
    <row r="1611" spans="1:6" s="4" customFormat="1">
      <c r="A1611" s="782" t="s">
        <v>4240</v>
      </c>
    </row>
    <row r="1612" spans="1:6" s="4" customFormat="1">
      <c r="A1612" s="782" t="s">
        <v>4241</v>
      </c>
    </row>
    <row r="1613" spans="1:6" s="4" customFormat="1">
      <c r="A1613" s="782" t="s">
        <v>4242</v>
      </c>
    </row>
    <row r="1614" spans="1:6" s="4" customFormat="1">
      <c r="A1614" s="782" t="s">
        <v>4243</v>
      </c>
    </row>
    <row r="1615" spans="1:6" s="4" customFormat="1">
      <c r="A1615" s="782" t="s">
        <v>4244</v>
      </c>
    </row>
    <row r="1616" spans="1:6" s="4" customFormat="1">
      <c r="A1616" s="782" t="s">
        <v>4245</v>
      </c>
    </row>
    <row r="1617" spans="1:6" s="4" customFormat="1">
      <c r="A1617" s="782" t="s">
        <v>4246</v>
      </c>
    </row>
    <row r="1618" spans="1:6" s="4" customFormat="1">
      <c r="A1618" s="782" t="s">
        <v>4247</v>
      </c>
    </row>
    <row r="1619" spans="1:6" s="4" customFormat="1">
      <c r="A1619" s="782" t="s">
        <v>4248</v>
      </c>
    </row>
    <row r="1620" spans="1:6" s="4" customFormat="1" ht="14.25" thickBot="1">
      <c r="A1620" s="783" t="s">
        <v>4249</v>
      </c>
    </row>
    <row r="1621" spans="1:6" s="781" customFormat="1" ht="17.25">
      <c r="A1621" s="784" t="s">
        <v>4250</v>
      </c>
      <c r="B1621" s="780"/>
      <c r="C1621" s="780"/>
      <c r="D1621" s="780"/>
      <c r="E1621" s="780"/>
      <c r="F1621" s="780"/>
    </row>
    <row r="1622" spans="1:6" s="4" customFormat="1">
      <c r="A1622" s="782" t="s">
        <v>2866</v>
      </c>
    </row>
    <row r="1623" spans="1:6" s="4" customFormat="1">
      <c r="A1623" s="782" t="s">
        <v>2867</v>
      </c>
    </row>
    <row r="1624" spans="1:6" s="4" customFormat="1">
      <c r="A1624" s="782" t="s">
        <v>2868</v>
      </c>
    </row>
    <row r="1625" spans="1:6" s="4" customFormat="1">
      <c r="A1625" s="782" t="s">
        <v>4251</v>
      </c>
    </row>
    <row r="1626" spans="1:6" s="4" customFormat="1" ht="14.25" thickBot="1">
      <c r="A1626" s="783" t="s">
        <v>4252</v>
      </c>
    </row>
    <row r="1627" spans="1:6" s="781" customFormat="1" ht="17.25">
      <c r="A1627" s="784" t="s">
        <v>4253</v>
      </c>
      <c r="B1627" s="780"/>
      <c r="C1627" s="780"/>
      <c r="D1627" s="780"/>
      <c r="E1627" s="780"/>
      <c r="F1627" s="780"/>
    </row>
    <row r="1628" spans="1:6" s="4" customFormat="1">
      <c r="A1628" s="782" t="s">
        <v>2866</v>
      </c>
    </row>
    <row r="1629" spans="1:6" s="4" customFormat="1">
      <c r="A1629" s="782" t="s">
        <v>2867</v>
      </c>
    </row>
    <row r="1630" spans="1:6" s="4" customFormat="1">
      <c r="A1630" s="782" t="s">
        <v>2868</v>
      </c>
    </row>
    <row r="1631" spans="1:6" s="4" customFormat="1">
      <c r="A1631" s="782" t="s">
        <v>4254</v>
      </c>
    </row>
    <row r="1632" spans="1:6" s="4" customFormat="1">
      <c r="A1632" s="782" t="s">
        <v>4255</v>
      </c>
    </row>
    <row r="1633" spans="1:6" s="4" customFormat="1">
      <c r="A1633" s="782" t="s">
        <v>4256</v>
      </c>
    </row>
    <row r="1634" spans="1:6" s="4" customFormat="1">
      <c r="A1634" s="782" t="s">
        <v>4257</v>
      </c>
    </row>
    <row r="1635" spans="1:6" s="4" customFormat="1">
      <c r="A1635" s="782" t="s">
        <v>4258</v>
      </c>
    </row>
    <row r="1636" spans="1:6" s="4" customFormat="1">
      <c r="A1636" s="782" t="s">
        <v>4259</v>
      </c>
    </row>
    <row r="1637" spans="1:6" s="4" customFormat="1">
      <c r="A1637" s="782" t="s">
        <v>4260</v>
      </c>
    </row>
    <row r="1638" spans="1:6" s="4" customFormat="1">
      <c r="A1638" s="782" t="s">
        <v>4261</v>
      </c>
    </row>
    <row r="1639" spans="1:6" s="4" customFormat="1">
      <c r="A1639" s="782" t="s">
        <v>4262</v>
      </c>
    </row>
    <row r="1640" spans="1:6" s="4" customFormat="1">
      <c r="A1640" s="782" t="s">
        <v>4263</v>
      </c>
    </row>
    <row r="1641" spans="1:6" s="4" customFormat="1">
      <c r="A1641" s="782" t="s">
        <v>4264</v>
      </c>
    </row>
    <row r="1642" spans="1:6" s="4" customFormat="1">
      <c r="A1642" s="782" t="s">
        <v>4265</v>
      </c>
    </row>
    <row r="1643" spans="1:6" s="4" customFormat="1">
      <c r="A1643" s="782" t="s">
        <v>4266</v>
      </c>
    </row>
    <row r="1644" spans="1:6" s="4" customFormat="1" ht="14.25" thickBot="1">
      <c r="A1644" s="783" t="s">
        <v>4267</v>
      </c>
    </row>
    <row r="1645" spans="1:6" s="781" customFormat="1" ht="17.25">
      <c r="A1645" s="784" t="s">
        <v>4268</v>
      </c>
      <c r="B1645" s="780"/>
      <c r="C1645" s="780"/>
      <c r="D1645" s="780"/>
      <c r="E1645" s="780"/>
      <c r="F1645" s="780"/>
    </row>
    <row r="1646" spans="1:6" s="4" customFormat="1">
      <c r="A1646" s="782" t="s">
        <v>2866</v>
      </c>
    </row>
    <row r="1647" spans="1:6" s="4" customFormat="1">
      <c r="A1647" s="782" t="s">
        <v>2867</v>
      </c>
    </row>
    <row r="1648" spans="1:6" s="4" customFormat="1">
      <c r="A1648" s="782" t="s">
        <v>2868</v>
      </c>
    </row>
    <row r="1649" spans="1:1" s="4" customFormat="1">
      <c r="A1649" s="782" t="s">
        <v>4269</v>
      </c>
    </row>
    <row r="1650" spans="1:1" s="4" customFormat="1">
      <c r="A1650" s="782" t="s">
        <v>4270</v>
      </c>
    </row>
    <row r="1651" spans="1:1" s="4" customFormat="1">
      <c r="A1651" s="782" t="s">
        <v>4271</v>
      </c>
    </row>
    <row r="1652" spans="1:1" s="4" customFormat="1">
      <c r="A1652" s="782" t="s">
        <v>4272</v>
      </c>
    </row>
    <row r="1653" spans="1:1" s="4" customFormat="1">
      <c r="A1653" s="782" t="s">
        <v>4273</v>
      </c>
    </row>
    <row r="1654" spans="1:1" s="4" customFormat="1">
      <c r="A1654" s="782" t="s">
        <v>4274</v>
      </c>
    </row>
    <row r="1655" spans="1:1" s="4" customFormat="1">
      <c r="A1655" s="782" t="s">
        <v>4275</v>
      </c>
    </row>
    <row r="1656" spans="1:1" s="4" customFormat="1">
      <c r="A1656" s="782" t="s">
        <v>4276</v>
      </c>
    </row>
    <row r="1657" spans="1:1" s="4" customFormat="1">
      <c r="A1657" s="782" t="s">
        <v>4277</v>
      </c>
    </row>
    <row r="1658" spans="1:1" s="4" customFormat="1">
      <c r="A1658" s="782" t="s">
        <v>4278</v>
      </c>
    </row>
    <row r="1659" spans="1:1" s="4" customFormat="1">
      <c r="A1659" s="782" t="s">
        <v>4279</v>
      </c>
    </row>
    <row r="1660" spans="1:1" s="4" customFormat="1">
      <c r="A1660" s="782" t="s">
        <v>4280</v>
      </c>
    </row>
    <row r="1661" spans="1:1" s="4" customFormat="1">
      <c r="A1661" s="782" t="s">
        <v>4281</v>
      </c>
    </row>
    <row r="1662" spans="1:1" s="4" customFormat="1">
      <c r="A1662" s="782" t="s">
        <v>4282</v>
      </c>
    </row>
    <row r="1663" spans="1:1" s="4" customFormat="1">
      <c r="A1663" s="782" t="s">
        <v>4283</v>
      </c>
    </row>
    <row r="1664" spans="1:1" s="4" customFormat="1">
      <c r="A1664" s="782" t="s">
        <v>4284</v>
      </c>
    </row>
    <row r="1665" spans="1:6" s="4" customFormat="1">
      <c r="A1665" s="782" t="s">
        <v>4285</v>
      </c>
    </row>
    <row r="1666" spans="1:6" s="4" customFormat="1">
      <c r="A1666" s="782" t="s">
        <v>4286</v>
      </c>
    </row>
    <row r="1667" spans="1:6" s="4" customFormat="1" ht="14.25" thickBot="1">
      <c r="A1667" s="783" t="s">
        <v>4287</v>
      </c>
    </row>
    <row r="1668" spans="1:6" s="781" customFormat="1" ht="17.25">
      <c r="A1668" s="784" t="s">
        <v>4288</v>
      </c>
      <c r="B1668" s="780"/>
      <c r="C1668" s="780"/>
      <c r="D1668" s="780"/>
      <c r="E1668" s="780"/>
      <c r="F1668" s="780"/>
    </row>
    <row r="1669" spans="1:6" s="4" customFormat="1">
      <c r="A1669" s="782" t="s">
        <v>2866</v>
      </c>
    </row>
    <row r="1670" spans="1:6" s="4" customFormat="1">
      <c r="A1670" s="782" t="s">
        <v>2867</v>
      </c>
    </row>
    <row r="1671" spans="1:6" s="4" customFormat="1">
      <c r="A1671" s="782" t="s">
        <v>2868</v>
      </c>
    </row>
    <row r="1672" spans="1:6" s="4" customFormat="1">
      <c r="A1672" s="782" t="s">
        <v>4289</v>
      </c>
    </row>
    <row r="1673" spans="1:6" s="4" customFormat="1">
      <c r="A1673" s="782" t="s">
        <v>4290</v>
      </c>
    </row>
    <row r="1674" spans="1:6" s="4" customFormat="1">
      <c r="A1674" s="782" t="s">
        <v>4291</v>
      </c>
    </row>
    <row r="1675" spans="1:6" s="4" customFormat="1">
      <c r="A1675" s="782" t="s">
        <v>4292</v>
      </c>
    </row>
    <row r="1676" spans="1:6" s="4" customFormat="1">
      <c r="A1676" s="782" t="s">
        <v>4293</v>
      </c>
    </row>
    <row r="1677" spans="1:6" s="4" customFormat="1">
      <c r="A1677" s="782" t="s">
        <v>4294</v>
      </c>
    </row>
    <row r="1678" spans="1:6" s="4" customFormat="1">
      <c r="A1678" s="782" t="s">
        <v>4295</v>
      </c>
    </row>
    <row r="1679" spans="1:6" s="4" customFormat="1">
      <c r="A1679" s="782" t="s">
        <v>4296</v>
      </c>
    </row>
    <row r="1680" spans="1:6" s="4" customFormat="1">
      <c r="A1680" s="782" t="s">
        <v>4297</v>
      </c>
    </row>
    <row r="1681" spans="1:1" s="4" customFormat="1">
      <c r="A1681" s="782" t="s">
        <v>4298</v>
      </c>
    </row>
    <row r="1682" spans="1:1" s="4" customFormat="1">
      <c r="A1682" s="782" t="s">
        <v>4299</v>
      </c>
    </row>
    <row r="1683" spans="1:1" s="4" customFormat="1">
      <c r="A1683" s="782" t="s">
        <v>4300</v>
      </c>
    </row>
    <row r="1684" spans="1:1" s="4" customFormat="1">
      <c r="A1684" s="782" t="s">
        <v>4301</v>
      </c>
    </row>
    <row r="1685" spans="1:1" s="4" customFormat="1">
      <c r="A1685" s="782" t="s">
        <v>4302</v>
      </c>
    </row>
    <row r="1686" spans="1:1" s="4" customFormat="1">
      <c r="A1686" s="782" t="s">
        <v>4303</v>
      </c>
    </row>
    <row r="1687" spans="1:1" s="4" customFormat="1">
      <c r="A1687" s="782" t="s">
        <v>4304</v>
      </c>
    </row>
    <row r="1688" spans="1:1" s="4" customFormat="1">
      <c r="A1688" s="782" t="s">
        <v>4305</v>
      </c>
    </row>
    <row r="1689" spans="1:1" s="4" customFormat="1">
      <c r="A1689" s="782" t="s">
        <v>4306</v>
      </c>
    </row>
    <row r="1690" spans="1:1" s="4" customFormat="1">
      <c r="A1690" s="782" t="s">
        <v>4307</v>
      </c>
    </row>
    <row r="1691" spans="1:1" s="4" customFormat="1">
      <c r="A1691" s="782" t="s">
        <v>4308</v>
      </c>
    </row>
    <row r="1692" spans="1:1" s="4" customFormat="1">
      <c r="A1692" s="782" t="s">
        <v>4309</v>
      </c>
    </row>
    <row r="1693" spans="1:1" s="4" customFormat="1">
      <c r="A1693" s="782" t="s">
        <v>4310</v>
      </c>
    </row>
    <row r="1694" spans="1:1" s="4" customFormat="1">
      <c r="A1694" s="782" t="s">
        <v>4311</v>
      </c>
    </row>
    <row r="1695" spans="1:1" s="4" customFormat="1">
      <c r="A1695" s="782" t="s">
        <v>4312</v>
      </c>
    </row>
    <row r="1696" spans="1:1" s="4" customFormat="1">
      <c r="A1696" s="782" t="s">
        <v>4313</v>
      </c>
    </row>
    <row r="1697" spans="1:1" s="4" customFormat="1">
      <c r="A1697" s="782" t="s">
        <v>4314</v>
      </c>
    </row>
    <row r="1698" spans="1:1" s="4" customFormat="1">
      <c r="A1698" s="782" t="s">
        <v>4315</v>
      </c>
    </row>
    <row r="1699" spans="1:1" s="4" customFormat="1">
      <c r="A1699" s="782" t="s">
        <v>4316</v>
      </c>
    </row>
    <row r="1700" spans="1:1" s="4" customFormat="1">
      <c r="A1700" s="782" t="s">
        <v>4317</v>
      </c>
    </row>
    <row r="1701" spans="1:1" s="4" customFormat="1">
      <c r="A1701" s="782" t="s">
        <v>4318</v>
      </c>
    </row>
    <row r="1702" spans="1:1" s="4" customFormat="1">
      <c r="A1702" s="782" t="s">
        <v>4319</v>
      </c>
    </row>
    <row r="1703" spans="1:1" s="4" customFormat="1">
      <c r="A1703" s="782" t="s">
        <v>4320</v>
      </c>
    </row>
    <row r="1704" spans="1:1" s="4" customFormat="1">
      <c r="A1704" s="782" t="s">
        <v>4321</v>
      </c>
    </row>
    <row r="1705" spans="1:1" s="4" customFormat="1">
      <c r="A1705" s="782" t="s">
        <v>4322</v>
      </c>
    </row>
    <row r="1706" spans="1:1" s="4" customFormat="1">
      <c r="A1706" s="782" t="s">
        <v>4323</v>
      </c>
    </row>
    <row r="1707" spans="1:1" s="4" customFormat="1">
      <c r="A1707" s="782" t="s">
        <v>4324</v>
      </c>
    </row>
    <row r="1708" spans="1:1" s="4" customFormat="1">
      <c r="A1708" s="782" t="s">
        <v>4325</v>
      </c>
    </row>
    <row r="1709" spans="1:1" s="4" customFormat="1">
      <c r="A1709" s="782" t="s">
        <v>4326</v>
      </c>
    </row>
    <row r="1710" spans="1:1" s="4" customFormat="1">
      <c r="A1710" s="782" t="s">
        <v>4327</v>
      </c>
    </row>
    <row r="1711" spans="1:1" s="4" customFormat="1">
      <c r="A1711" s="782" t="s">
        <v>4328</v>
      </c>
    </row>
    <row r="1712" spans="1:1" s="4" customFormat="1">
      <c r="A1712" s="782" t="s">
        <v>4329</v>
      </c>
    </row>
    <row r="1713" spans="1:6" s="4" customFormat="1" ht="14.25" thickBot="1">
      <c r="A1713" s="783" t="s">
        <v>4330</v>
      </c>
    </row>
    <row r="1714" spans="1:6" s="781" customFormat="1" ht="17.25">
      <c r="A1714" s="784" t="s">
        <v>4331</v>
      </c>
      <c r="B1714" s="780"/>
      <c r="C1714" s="780"/>
      <c r="D1714" s="780"/>
      <c r="E1714" s="780"/>
      <c r="F1714" s="780"/>
    </row>
    <row r="1715" spans="1:6" s="4" customFormat="1">
      <c r="A1715" s="782" t="s">
        <v>2866</v>
      </c>
    </row>
    <row r="1716" spans="1:6" s="4" customFormat="1">
      <c r="A1716" s="782" t="s">
        <v>2867</v>
      </c>
    </row>
    <row r="1717" spans="1:6" s="4" customFormat="1">
      <c r="A1717" s="782" t="s">
        <v>4332</v>
      </c>
    </row>
    <row r="1718" spans="1:6" s="4" customFormat="1">
      <c r="A1718" s="782" t="s">
        <v>4333</v>
      </c>
    </row>
    <row r="1719" spans="1:6" s="4" customFormat="1">
      <c r="A1719" s="782" t="s">
        <v>4334</v>
      </c>
    </row>
    <row r="1720" spans="1:6" s="4" customFormat="1">
      <c r="A1720" s="782" t="s">
        <v>4335</v>
      </c>
    </row>
    <row r="1721" spans="1:6" s="4" customFormat="1">
      <c r="A1721" s="782" t="s">
        <v>4336</v>
      </c>
    </row>
    <row r="1722" spans="1:6" s="4" customFormat="1">
      <c r="A1722" s="782" t="s">
        <v>4337</v>
      </c>
    </row>
    <row r="1723" spans="1:6" s="4" customFormat="1">
      <c r="A1723" s="782" t="s">
        <v>4338</v>
      </c>
    </row>
    <row r="1724" spans="1:6" s="4" customFormat="1">
      <c r="A1724" s="782" t="s">
        <v>4339</v>
      </c>
    </row>
    <row r="1725" spans="1:6" s="4" customFormat="1">
      <c r="A1725" s="782" t="s">
        <v>4340</v>
      </c>
    </row>
    <row r="1726" spans="1:6" s="4" customFormat="1">
      <c r="A1726" s="782" t="s">
        <v>4341</v>
      </c>
    </row>
    <row r="1727" spans="1:6" s="4" customFormat="1">
      <c r="A1727" s="782" t="s">
        <v>4342</v>
      </c>
    </row>
    <row r="1728" spans="1:6" s="4" customFormat="1">
      <c r="A1728" s="782" t="s">
        <v>4343</v>
      </c>
    </row>
    <row r="1729" spans="1:6" s="4" customFormat="1">
      <c r="A1729" s="782" t="s">
        <v>4344</v>
      </c>
    </row>
    <row r="1730" spans="1:6" s="4" customFormat="1">
      <c r="A1730" s="782" t="s">
        <v>4345</v>
      </c>
    </row>
    <row r="1731" spans="1:6" s="4" customFormat="1" ht="14.25" thickBot="1">
      <c r="A1731" s="783" t="s">
        <v>4346</v>
      </c>
    </row>
    <row r="1732" spans="1:6" s="781" customFormat="1" ht="17.25">
      <c r="A1732" s="784" t="s">
        <v>4347</v>
      </c>
      <c r="B1732" s="780"/>
      <c r="C1732" s="780"/>
      <c r="D1732" s="780"/>
      <c r="E1732" s="780"/>
      <c r="F1732" s="780"/>
    </row>
    <row r="1733" spans="1:6" s="4" customFormat="1">
      <c r="A1733" s="782" t="s">
        <v>2866</v>
      </c>
      <c r="B1733" s="785"/>
      <c r="C1733" s="785"/>
      <c r="D1733" s="785"/>
      <c r="E1733" s="785"/>
      <c r="F1733" s="785"/>
    </row>
    <row r="1734" spans="1:6" s="4" customFormat="1">
      <c r="A1734" s="782" t="s">
        <v>2867</v>
      </c>
      <c r="B1734" s="785"/>
      <c r="C1734" s="785"/>
      <c r="D1734" s="785"/>
      <c r="E1734" s="785"/>
      <c r="F1734" s="785"/>
    </row>
    <row r="1735" spans="1:6" s="4" customFormat="1">
      <c r="A1735" s="782" t="s">
        <v>2868</v>
      </c>
    </row>
    <row r="1736" spans="1:6" s="4" customFormat="1">
      <c r="A1736" s="782" t="s">
        <v>4348</v>
      </c>
    </row>
    <row r="1737" spans="1:6" s="4" customFormat="1">
      <c r="A1737" s="782" t="s">
        <v>4349</v>
      </c>
    </row>
    <row r="1738" spans="1:6" s="4" customFormat="1">
      <c r="A1738" s="782" t="s">
        <v>4350</v>
      </c>
    </row>
    <row r="1739" spans="1:6" s="4" customFormat="1">
      <c r="A1739" s="782" t="s">
        <v>4351</v>
      </c>
    </row>
    <row r="1740" spans="1:6" s="4" customFormat="1">
      <c r="A1740" s="782" t="s">
        <v>4352</v>
      </c>
    </row>
    <row r="1741" spans="1:6" s="4" customFormat="1">
      <c r="A1741" s="782" t="s">
        <v>4353</v>
      </c>
    </row>
    <row r="1742" spans="1:6" s="4" customFormat="1">
      <c r="A1742" s="782" t="s">
        <v>4354</v>
      </c>
    </row>
    <row r="1743" spans="1:6" s="4" customFormat="1">
      <c r="A1743" s="782" t="s">
        <v>4355</v>
      </c>
    </row>
    <row r="1744" spans="1:6" s="4" customFormat="1">
      <c r="A1744" s="782" t="s">
        <v>4356</v>
      </c>
    </row>
    <row r="1745" spans="1:6" s="4" customFormat="1">
      <c r="A1745" s="782" t="s">
        <v>4357</v>
      </c>
    </row>
    <row r="1746" spans="1:6" s="4" customFormat="1">
      <c r="A1746" s="782" t="s">
        <v>4358</v>
      </c>
    </row>
    <row r="1747" spans="1:6" s="4" customFormat="1">
      <c r="A1747" s="782" t="s">
        <v>4359</v>
      </c>
    </row>
    <row r="1748" spans="1:6" s="4" customFormat="1">
      <c r="A1748" s="782" t="s">
        <v>4360</v>
      </c>
    </row>
    <row r="1749" spans="1:6" s="4" customFormat="1">
      <c r="A1749" s="782" t="s">
        <v>4361</v>
      </c>
    </row>
    <row r="1750" spans="1:6" s="4" customFormat="1">
      <c r="A1750" s="782" t="s">
        <v>4362</v>
      </c>
    </row>
    <row r="1751" spans="1:6" s="4" customFormat="1">
      <c r="A1751" s="782" t="s">
        <v>4363</v>
      </c>
    </row>
    <row r="1752" spans="1:6" s="4" customFormat="1">
      <c r="A1752" s="782" t="s">
        <v>4364</v>
      </c>
    </row>
    <row r="1753" spans="1:6" s="4" customFormat="1">
      <c r="A1753" s="782" t="s">
        <v>4365</v>
      </c>
    </row>
    <row r="1754" spans="1:6" s="4" customFormat="1">
      <c r="A1754" s="782" t="s">
        <v>4366</v>
      </c>
    </row>
    <row r="1755" spans="1:6" s="4" customFormat="1">
      <c r="A1755" s="782" t="s">
        <v>4367</v>
      </c>
    </row>
    <row r="1756" spans="1:6" s="4" customFormat="1">
      <c r="A1756" s="782" t="s">
        <v>4368</v>
      </c>
    </row>
    <row r="1757" spans="1:6" s="4" customFormat="1" ht="14.25" thickBot="1">
      <c r="A1757" s="783" t="s">
        <v>4369</v>
      </c>
    </row>
    <row r="1758" spans="1:6" s="781" customFormat="1" ht="17.25">
      <c r="A1758" s="784" t="s">
        <v>4370</v>
      </c>
      <c r="B1758" s="780"/>
      <c r="C1758" s="780"/>
      <c r="D1758" s="780"/>
      <c r="E1758" s="780"/>
      <c r="F1758" s="780"/>
    </row>
    <row r="1759" spans="1:6" s="4" customFormat="1">
      <c r="A1759" s="782" t="s">
        <v>2866</v>
      </c>
      <c r="B1759" s="785"/>
      <c r="C1759" s="785"/>
      <c r="D1759" s="785"/>
      <c r="E1759" s="785"/>
      <c r="F1759" s="785"/>
    </row>
    <row r="1760" spans="1:6" s="4" customFormat="1">
      <c r="A1760" s="782" t="s">
        <v>2867</v>
      </c>
      <c r="B1760" s="785"/>
      <c r="C1760" s="785"/>
      <c r="D1760" s="785"/>
      <c r="E1760" s="785"/>
      <c r="F1760" s="785"/>
    </row>
    <row r="1761" spans="1:1" s="4" customFormat="1">
      <c r="A1761" s="782" t="s">
        <v>2868</v>
      </c>
    </row>
    <row r="1762" spans="1:1" s="4" customFormat="1">
      <c r="A1762" s="782" t="s">
        <v>4371</v>
      </c>
    </row>
    <row r="1763" spans="1:1" s="4" customFormat="1">
      <c r="A1763" s="782" t="s">
        <v>4372</v>
      </c>
    </row>
    <row r="1764" spans="1:1" s="4" customFormat="1">
      <c r="A1764" s="782" t="s">
        <v>4373</v>
      </c>
    </row>
    <row r="1765" spans="1:1" s="4" customFormat="1">
      <c r="A1765" s="782" t="s">
        <v>4374</v>
      </c>
    </row>
    <row r="1766" spans="1:1" s="4" customFormat="1">
      <c r="A1766" s="782" t="s">
        <v>4375</v>
      </c>
    </row>
    <row r="1767" spans="1:1" s="4" customFormat="1">
      <c r="A1767" s="782" t="s">
        <v>4376</v>
      </c>
    </row>
    <row r="1768" spans="1:1" s="4" customFormat="1">
      <c r="A1768" s="782" t="s">
        <v>4377</v>
      </c>
    </row>
    <row r="1769" spans="1:1" s="4" customFormat="1">
      <c r="A1769" s="782" t="s">
        <v>4377</v>
      </c>
    </row>
    <row r="1770" spans="1:1" s="4" customFormat="1">
      <c r="A1770" s="782" t="s">
        <v>4378</v>
      </c>
    </row>
    <row r="1771" spans="1:1" s="4" customFormat="1">
      <c r="A1771" s="782" t="s">
        <v>4379</v>
      </c>
    </row>
    <row r="1772" spans="1:1" s="4" customFormat="1">
      <c r="A1772" s="782" t="s">
        <v>4380</v>
      </c>
    </row>
    <row r="1773" spans="1:1" s="4" customFormat="1">
      <c r="A1773" s="782" t="s">
        <v>4381</v>
      </c>
    </row>
    <row r="1774" spans="1:1" s="4" customFormat="1">
      <c r="A1774" s="782" t="s">
        <v>4382</v>
      </c>
    </row>
    <row r="1775" spans="1:1" s="4" customFormat="1">
      <c r="A1775" s="782" t="s">
        <v>4383</v>
      </c>
    </row>
    <row r="1776" spans="1:1" s="4" customFormat="1">
      <c r="A1776" s="782" t="s">
        <v>4384</v>
      </c>
    </row>
    <row r="1777" spans="1:6" s="4" customFormat="1">
      <c r="A1777" s="782" t="s">
        <v>4385</v>
      </c>
    </row>
    <row r="1778" spans="1:6" s="4" customFormat="1" ht="14.25" thickBot="1">
      <c r="A1778" s="783" t="s">
        <v>4386</v>
      </c>
    </row>
    <row r="1779" spans="1:6" s="781" customFormat="1" ht="17.25">
      <c r="A1779" s="784" t="s">
        <v>4387</v>
      </c>
      <c r="B1779" s="780"/>
      <c r="C1779" s="780"/>
      <c r="D1779" s="780"/>
      <c r="E1779" s="780"/>
      <c r="F1779" s="780"/>
    </row>
    <row r="1780" spans="1:6" s="4" customFormat="1">
      <c r="A1780" s="782" t="s">
        <v>2866</v>
      </c>
      <c r="B1780" s="785"/>
      <c r="C1780" s="785"/>
      <c r="D1780" s="785"/>
      <c r="E1780" s="785"/>
      <c r="F1780" s="785"/>
    </row>
    <row r="1781" spans="1:6" s="4" customFormat="1">
      <c r="A1781" s="782" t="s">
        <v>2867</v>
      </c>
      <c r="B1781" s="785"/>
      <c r="C1781" s="785"/>
      <c r="D1781" s="785"/>
      <c r="E1781" s="785"/>
      <c r="F1781" s="785"/>
    </row>
    <row r="1782" spans="1:6" s="4" customFormat="1">
      <c r="A1782" s="782" t="s">
        <v>2868</v>
      </c>
    </row>
    <row r="1783" spans="1:6" s="4" customFormat="1">
      <c r="A1783" s="782" t="s">
        <v>4388</v>
      </c>
    </row>
    <row r="1784" spans="1:6" s="4" customFormat="1">
      <c r="A1784" s="782" t="s">
        <v>4389</v>
      </c>
    </row>
    <row r="1785" spans="1:6" s="4" customFormat="1">
      <c r="A1785" s="782" t="s">
        <v>4390</v>
      </c>
    </row>
    <row r="1786" spans="1:6" s="4" customFormat="1">
      <c r="A1786" s="782" t="s">
        <v>4391</v>
      </c>
    </row>
    <row r="1787" spans="1:6" s="4" customFormat="1">
      <c r="A1787" s="782" t="s">
        <v>4392</v>
      </c>
    </row>
    <row r="1788" spans="1:6" s="4" customFormat="1">
      <c r="A1788" s="782" t="s">
        <v>4393</v>
      </c>
    </row>
    <row r="1789" spans="1:6" s="4" customFormat="1">
      <c r="A1789" s="782" t="s">
        <v>4394</v>
      </c>
    </row>
    <row r="1790" spans="1:6" s="4" customFormat="1">
      <c r="A1790" s="782" t="s">
        <v>4395</v>
      </c>
    </row>
    <row r="1791" spans="1:6" s="4" customFormat="1">
      <c r="A1791" s="782" t="s">
        <v>4396</v>
      </c>
    </row>
    <row r="1792" spans="1:6" s="4" customFormat="1">
      <c r="A1792" s="782" t="s">
        <v>4397</v>
      </c>
    </row>
    <row r="1793" spans="1:6" s="4" customFormat="1" ht="14.25" thickBot="1">
      <c r="A1793" s="783" t="s">
        <v>4398</v>
      </c>
    </row>
    <row r="1794" spans="1:6" s="781" customFormat="1" ht="17.25">
      <c r="A1794" s="784" t="s">
        <v>4399</v>
      </c>
      <c r="B1794" s="780"/>
      <c r="C1794" s="780"/>
      <c r="D1794" s="780"/>
      <c r="E1794" s="780"/>
      <c r="F1794" s="780"/>
    </row>
    <row r="1795" spans="1:6" s="4" customFormat="1">
      <c r="A1795" s="782" t="s">
        <v>2866</v>
      </c>
    </row>
    <row r="1796" spans="1:6" s="4" customFormat="1">
      <c r="A1796" s="782" t="s">
        <v>2867</v>
      </c>
    </row>
    <row r="1797" spans="1:6" s="4" customFormat="1">
      <c r="A1797" s="782" t="s">
        <v>2868</v>
      </c>
    </row>
    <row r="1798" spans="1:6" s="4" customFormat="1">
      <c r="A1798" s="782" t="s">
        <v>4400</v>
      </c>
    </row>
    <row r="1799" spans="1:6" s="4" customFormat="1">
      <c r="A1799" s="782" t="s">
        <v>4401</v>
      </c>
    </row>
    <row r="1800" spans="1:6" s="4" customFormat="1">
      <c r="A1800" s="782" t="s">
        <v>4402</v>
      </c>
    </row>
    <row r="1801" spans="1:6" s="4" customFormat="1">
      <c r="A1801" s="782" t="s">
        <v>4403</v>
      </c>
    </row>
    <row r="1802" spans="1:6" s="4" customFormat="1">
      <c r="A1802" s="782" t="s">
        <v>4404</v>
      </c>
    </row>
    <row r="1803" spans="1:6" s="4" customFormat="1">
      <c r="A1803" s="782" t="s">
        <v>4405</v>
      </c>
    </row>
    <row r="1804" spans="1:6" s="4" customFormat="1">
      <c r="A1804" s="782" t="s">
        <v>4406</v>
      </c>
    </row>
    <row r="1805" spans="1:6" s="4" customFormat="1">
      <c r="A1805" s="782" t="s">
        <v>4407</v>
      </c>
    </row>
    <row r="1806" spans="1:6" s="4" customFormat="1">
      <c r="A1806" s="782" t="s">
        <v>4408</v>
      </c>
    </row>
    <row r="1807" spans="1:6" s="4" customFormat="1">
      <c r="A1807" s="782" t="s">
        <v>4409</v>
      </c>
    </row>
    <row r="1808" spans="1:6" s="4" customFormat="1">
      <c r="A1808" s="782" t="s">
        <v>4410</v>
      </c>
    </row>
    <row r="1809" spans="1:6" s="4" customFormat="1">
      <c r="A1809" s="782" t="s">
        <v>4411</v>
      </c>
    </row>
    <row r="1810" spans="1:6" s="4" customFormat="1">
      <c r="A1810" s="782" t="s">
        <v>4412</v>
      </c>
    </row>
    <row r="1811" spans="1:6" s="4" customFormat="1">
      <c r="A1811" s="782" t="s">
        <v>4413</v>
      </c>
    </row>
    <row r="1812" spans="1:6" s="4" customFormat="1">
      <c r="A1812" s="782" t="s">
        <v>4414</v>
      </c>
    </row>
    <row r="1813" spans="1:6" s="4" customFormat="1">
      <c r="A1813" s="782" t="s">
        <v>4415</v>
      </c>
    </row>
    <row r="1814" spans="1:6" s="4" customFormat="1">
      <c r="A1814" s="782" t="s">
        <v>4416</v>
      </c>
    </row>
    <row r="1815" spans="1:6" s="4" customFormat="1">
      <c r="A1815" s="782" t="s">
        <v>4417</v>
      </c>
    </row>
    <row r="1816" spans="1:6" s="4" customFormat="1" ht="14.25" thickBot="1">
      <c r="A1816" s="783" t="s">
        <v>4418</v>
      </c>
    </row>
    <row r="1817" spans="1:6" s="781" customFormat="1" ht="17.25">
      <c r="A1817" s="784" t="s">
        <v>4419</v>
      </c>
      <c r="B1817" s="780"/>
      <c r="C1817" s="780"/>
      <c r="D1817" s="780"/>
      <c r="E1817" s="780"/>
      <c r="F1817" s="780"/>
    </row>
    <row r="1818" spans="1:6" s="4" customFormat="1">
      <c r="A1818" s="782" t="s">
        <v>2866</v>
      </c>
    </row>
    <row r="1819" spans="1:6" s="4" customFormat="1">
      <c r="A1819" s="782" t="s">
        <v>4420</v>
      </c>
    </row>
    <row r="1820" spans="1:6" s="4" customFormat="1">
      <c r="A1820" s="782" t="s">
        <v>4421</v>
      </c>
    </row>
    <row r="1821" spans="1:6" s="4" customFormat="1">
      <c r="A1821" s="782" t="s">
        <v>4422</v>
      </c>
    </row>
    <row r="1822" spans="1:6" s="4" customFormat="1" ht="14.25" thickBot="1">
      <c r="A1822" s="783" t="s">
        <v>4423</v>
      </c>
    </row>
    <row r="1823" spans="1:6" s="781" customFormat="1" ht="17.25">
      <c r="A1823" s="784" t="s">
        <v>4424</v>
      </c>
      <c r="B1823" s="780"/>
      <c r="C1823" s="780"/>
      <c r="D1823" s="780"/>
      <c r="E1823" s="780"/>
      <c r="F1823" s="780"/>
    </row>
    <row r="1824" spans="1:6" s="4" customFormat="1">
      <c r="A1824" s="782" t="s">
        <v>2866</v>
      </c>
    </row>
    <row r="1825" spans="1:6" s="4" customFormat="1">
      <c r="A1825" s="782" t="s">
        <v>4425</v>
      </c>
    </row>
    <row r="1826" spans="1:6" s="4" customFormat="1">
      <c r="A1826" s="782" t="s">
        <v>4426</v>
      </c>
    </row>
    <row r="1827" spans="1:6" s="4" customFormat="1">
      <c r="A1827" s="782" t="s">
        <v>4427</v>
      </c>
    </row>
    <row r="1828" spans="1:6" s="4" customFormat="1">
      <c r="A1828" s="782" t="s">
        <v>4428</v>
      </c>
    </row>
    <row r="1829" spans="1:6" s="4" customFormat="1">
      <c r="A1829" s="782" t="s">
        <v>4429</v>
      </c>
    </row>
    <row r="1830" spans="1:6" s="4" customFormat="1" ht="14.25" thickBot="1">
      <c r="A1830" s="783" t="s">
        <v>4430</v>
      </c>
    </row>
    <row r="1831" spans="1:6" s="781" customFormat="1" ht="17.25">
      <c r="A1831" s="784" t="s">
        <v>4431</v>
      </c>
      <c r="B1831" s="780"/>
      <c r="C1831" s="780"/>
      <c r="D1831" s="780"/>
      <c r="E1831" s="780"/>
      <c r="F1831" s="780"/>
    </row>
    <row r="1832" spans="1:6" s="4" customFormat="1">
      <c r="A1832" s="782" t="s">
        <v>2866</v>
      </c>
    </row>
    <row r="1833" spans="1:6" s="4" customFormat="1">
      <c r="A1833" s="782" t="s">
        <v>2867</v>
      </c>
    </row>
    <row r="1834" spans="1:6" s="4" customFormat="1">
      <c r="A1834" s="782" t="s">
        <v>2868</v>
      </c>
    </row>
    <row r="1835" spans="1:6" s="4" customFormat="1">
      <c r="A1835" s="782" t="s">
        <v>4432</v>
      </c>
    </row>
    <row r="1836" spans="1:6" s="4" customFormat="1">
      <c r="A1836" s="782" t="s">
        <v>4433</v>
      </c>
    </row>
    <row r="1837" spans="1:6" s="4" customFormat="1">
      <c r="A1837" s="782" t="s">
        <v>4434</v>
      </c>
    </row>
    <row r="1838" spans="1:6" s="4" customFormat="1">
      <c r="A1838" s="782" t="s">
        <v>4435</v>
      </c>
    </row>
    <row r="1839" spans="1:6" s="4" customFormat="1">
      <c r="A1839" s="782" t="s">
        <v>4436</v>
      </c>
    </row>
    <row r="1840" spans="1:6" s="4" customFormat="1">
      <c r="A1840" s="786" t="s">
        <v>4437</v>
      </c>
    </row>
    <row r="1841" spans="1:7" s="4" customFormat="1">
      <c r="A1841" s="782" t="s">
        <v>4438</v>
      </c>
    </row>
    <row r="1842" spans="1:7" s="4" customFormat="1">
      <c r="A1842" s="782" t="s">
        <v>4439</v>
      </c>
    </row>
    <row r="1843" spans="1:7" s="4" customFormat="1">
      <c r="A1843" s="782" t="s">
        <v>4440</v>
      </c>
    </row>
    <row r="1844" spans="1:7" s="4" customFormat="1">
      <c r="A1844" s="782" t="s">
        <v>4441</v>
      </c>
    </row>
    <row r="1845" spans="1:7" s="4" customFormat="1">
      <c r="A1845" s="782" t="s">
        <v>4442</v>
      </c>
    </row>
    <row r="1846" spans="1:7" s="4" customFormat="1">
      <c r="A1846" s="782" t="s">
        <v>4443</v>
      </c>
    </row>
    <row r="1847" spans="1:7" s="4" customFormat="1">
      <c r="A1847" s="782" t="s">
        <v>4444</v>
      </c>
    </row>
    <row r="1848" spans="1:7" s="4" customFormat="1">
      <c r="A1848" s="782" t="s">
        <v>4445</v>
      </c>
    </row>
    <row r="1849" spans="1:7" s="4" customFormat="1">
      <c r="A1849" s="782" t="s">
        <v>4446</v>
      </c>
    </row>
    <row r="1850" spans="1:7" s="4" customFormat="1" ht="14.25" thickBot="1">
      <c r="A1850" s="783" t="s">
        <v>4447</v>
      </c>
    </row>
    <row r="1851" spans="1:7" s="781" customFormat="1" ht="17.25">
      <c r="A1851" s="784" t="s">
        <v>4448</v>
      </c>
      <c r="B1851" s="780"/>
      <c r="C1851" s="780"/>
      <c r="D1851" s="780"/>
      <c r="E1851" s="780"/>
      <c r="F1851" s="780"/>
    </row>
    <row r="1852" spans="1:7" s="4" customFormat="1">
      <c r="A1852" s="782" t="s">
        <v>2866</v>
      </c>
    </row>
    <row r="1853" spans="1:7" s="4" customFormat="1">
      <c r="A1853" s="782" t="s">
        <v>4449</v>
      </c>
    </row>
    <row r="1854" spans="1:7" s="4" customFormat="1">
      <c r="A1854" s="782" t="s">
        <v>4450</v>
      </c>
    </row>
    <row r="1855" spans="1:7" s="4" customFormat="1" ht="14.25" thickBot="1">
      <c r="A1855" s="783" t="s">
        <v>4451</v>
      </c>
    </row>
    <row r="1856" spans="1:7" s="781" customFormat="1" ht="17.25">
      <c r="A1856" s="784" t="s">
        <v>4452</v>
      </c>
      <c r="B1856" s="780"/>
      <c r="C1856" s="780"/>
      <c r="D1856" s="780"/>
      <c r="E1856" s="780"/>
      <c r="F1856" s="780"/>
      <c r="G1856" s="780"/>
    </row>
    <row r="1857" spans="1:6" s="4" customFormat="1">
      <c r="A1857" s="782" t="s">
        <v>2866</v>
      </c>
    </row>
    <row r="1858" spans="1:6" s="4" customFormat="1">
      <c r="A1858" s="782" t="s">
        <v>2867</v>
      </c>
    </row>
    <row r="1859" spans="1:6" s="4" customFormat="1">
      <c r="A1859" s="782" t="s">
        <v>2868</v>
      </c>
    </row>
    <row r="1860" spans="1:6" s="4" customFormat="1">
      <c r="A1860" s="782" t="s">
        <v>4453</v>
      </c>
    </row>
    <row r="1861" spans="1:6" s="4" customFormat="1">
      <c r="A1861" s="782" t="s">
        <v>4454</v>
      </c>
    </row>
    <row r="1862" spans="1:6" s="4" customFormat="1">
      <c r="A1862" s="782" t="s">
        <v>4455</v>
      </c>
    </row>
    <row r="1863" spans="1:6" s="4" customFormat="1">
      <c r="A1863" s="782" t="s">
        <v>4456</v>
      </c>
    </row>
    <row r="1864" spans="1:6" s="4" customFormat="1">
      <c r="A1864" s="782" t="s">
        <v>4457</v>
      </c>
    </row>
    <row r="1865" spans="1:6" s="4" customFormat="1">
      <c r="A1865" s="782" t="s">
        <v>4458</v>
      </c>
    </row>
    <row r="1866" spans="1:6" s="4" customFormat="1">
      <c r="A1866" s="782" t="s">
        <v>4459</v>
      </c>
    </row>
    <row r="1867" spans="1:6" s="4" customFormat="1">
      <c r="A1867" s="782" t="s">
        <v>4460</v>
      </c>
    </row>
    <row r="1868" spans="1:6" s="4" customFormat="1">
      <c r="A1868" s="782" t="s">
        <v>4461</v>
      </c>
    </row>
    <row r="1869" spans="1:6" s="4" customFormat="1">
      <c r="A1869" s="782" t="s">
        <v>4462</v>
      </c>
    </row>
    <row r="1870" spans="1:6" s="4" customFormat="1" ht="14.25" thickBot="1">
      <c r="A1870" s="783" t="s">
        <v>4463</v>
      </c>
    </row>
    <row r="1871" spans="1:6" s="781" customFormat="1" ht="17.25">
      <c r="A1871" s="784" t="s">
        <v>4464</v>
      </c>
      <c r="B1871" s="780"/>
      <c r="C1871" s="780"/>
      <c r="D1871" s="780"/>
      <c r="E1871" s="780"/>
      <c r="F1871" s="780"/>
    </row>
    <row r="1872" spans="1:6" s="4" customFormat="1">
      <c r="A1872" s="782" t="s">
        <v>2866</v>
      </c>
    </row>
    <row r="1873" spans="1:6" s="4" customFormat="1">
      <c r="A1873" s="782" t="s">
        <v>2867</v>
      </c>
    </row>
    <row r="1874" spans="1:6" s="4" customFormat="1">
      <c r="A1874" s="782" t="s">
        <v>2868</v>
      </c>
    </row>
    <row r="1875" spans="1:6" s="4" customFormat="1">
      <c r="A1875" s="782" t="s">
        <v>4465</v>
      </c>
    </row>
    <row r="1876" spans="1:6" s="4" customFormat="1" ht="14.25" thickBot="1">
      <c r="A1876" s="783" t="s">
        <v>4466</v>
      </c>
    </row>
    <row r="1877" spans="1:6" s="781" customFormat="1" ht="17.25">
      <c r="A1877" s="784" t="s">
        <v>4467</v>
      </c>
      <c r="B1877" s="780"/>
      <c r="C1877" s="780"/>
      <c r="D1877" s="780"/>
      <c r="E1877" s="780"/>
      <c r="F1877" s="780"/>
    </row>
    <row r="1878" spans="1:6" s="4" customFormat="1">
      <c r="A1878" s="782" t="s">
        <v>2866</v>
      </c>
    </row>
    <row r="1879" spans="1:6" s="4" customFormat="1">
      <c r="A1879" s="782" t="s">
        <v>2867</v>
      </c>
    </row>
    <row r="1880" spans="1:6" s="4" customFormat="1">
      <c r="A1880" s="782" t="s">
        <v>2868</v>
      </c>
    </row>
    <row r="1881" spans="1:6" s="4" customFormat="1">
      <c r="A1881" s="782" t="s">
        <v>4468</v>
      </c>
    </row>
    <row r="1882" spans="1:6" s="4" customFormat="1">
      <c r="A1882" s="782" t="s">
        <v>4469</v>
      </c>
    </row>
    <row r="1883" spans="1:6" s="4" customFormat="1">
      <c r="A1883" s="782" t="s">
        <v>4470</v>
      </c>
    </row>
    <row r="1884" spans="1:6" s="4" customFormat="1">
      <c r="A1884" s="782" t="s">
        <v>4471</v>
      </c>
    </row>
    <row r="1885" spans="1:6" s="4" customFormat="1">
      <c r="A1885" s="782" t="s">
        <v>4472</v>
      </c>
    </row>
    <row r="1886" spans="1:6" s="4" customFormat="1">
      <c r="A1886" s="782" t="s">
        <v>4473</v>
      </c>
    </row>
    <row r="1887" spans="1:6" s="4" customFormat="1">
      <c r="A1887" s="782" t="s">
        <v>4474</v>
      </c>
    </row>
    <row r="1888" spans="1:6" s="4" customFormat="1">
      <c r="A1888" s="782" t="s">
        <v>4475</v>
      </c>
    </row>
    <row r="1889" spans="1:6" s="4" customFormat="1">
      <c r="A1889" s="782" t="s">
        <v>4476</v>
      </c>
    </row>
    <row r="1890" spans="1:6" s="4" customFormat="1">
      <c r="A1890" s="782" t="s">
        <v>4477</v>
      </c>
    </row>
    <row r="1891" spans="1:6" s="4" customFormat="1">
      <c r="A1891" s="782" t="s">
        <v>4478</v>
      </c>
    </row>
    <row r="1892" spans="1:6" s="4" customFormat="1">
      <c r="A1892" s="782" t="s">
        <v>4479</v>
      </c>
    </row>
    <row r="1893" spans="1:6" s="4" customFormat="1" ht="14.25" thickBot="1">
      <c r="A1893" s="783" t="s">
        <v>4480</v>
      </c>
    </row>
    <row r="1894" spans="1:6" s="781" customFormat="1" ht="17.25">
      <c r="A1894" s="784" t="s">
        <v>4481</v>
      </c>
      <c r="B1894" s="780"/>
      <c r="C1894" s="780"/>
      <c r="D1894" s="780"/>
      <c r="E1894" s="780"/>
      <c r="F1894" s="780"/>
    </row>
    <row r="1895" spans="1:6" s="4" customFormat="1">
      <c r="A1895" s="782" t="s">
        <v>4482</v>
      </c>
    </row>
    <row r="1896" spans="1:6" s="4" customFormat="1">
      <c r="A1896" s="782" t="s">
        <v>4483</v>
      </c>
    </row>
    <row r="1897" spans="1:6" s="4" customFormat="1">
      <c r="A1897" s="782" t="s">
        <v>4484</v>
      </c>
    </row>
    <row r="1898" spans="1:6" s="4" customFormat="1">
      <c r="A1898" s="782" t="s">
        <v>4485</v>
      </c>
    </row>
    <row r="1899" spans="1:6" s="4" customFormat="1">
      <c r="A1899" s="782" t="s">
        <v>4486</v>
      </c>
    </row>
    <row r="1900" spans="1:6" s="4" customFormat="1">
      <c r="A1900" s="782" t="s">
        <v>4487</v>
      </c>
    </row>
    <row r="1901" spans="1:6" s="4" customFormat="1">
      <c r="A1901" s="782" t="s">
        <v>4488</v>
      </c>
    </row>
    <row r="1902" spans="1:6" s="4" customFormat="1">
      <c r="A1902" s="782" t="s">
        <v>4489</v>
      </c>
    </row>
    <row r="1903" spans="1:6" s="4" customFormat="1" ht="14.25" thickBot="1">
      <c r="A1903" s="783" t="s">
        <v>4490</v>
      </c>
    </row>
    <row r="1904" spans="1:6" s="781" customFormat="1" ht="17.25">
      <c r="A1904" s="784" t="s">
        <v>4491</v>
      </c>
      <c r="B1904" s="780"/>
      <c r="C1904" s="780"/>
      <c r="D1904" s="780"/>
      <c r="E1904" s="780"/>
      <c r="F1904" s="780"/>
    </row>
    <row r="1905" spans="1:6" s="4" customFormat="1">
      <c r="A1905" s="782" t="s">
        <v>4492</v>
      </c>
    </row>
    <row r="1906" spans="1:6" s="4" customFormat="1">
      <c r="A1906" s="782" t="s">
        <v>4493</v>
      </c>
    </row>
    <row r="1907" spans="1:6" s="4" customFormat="1">
      <c r="A1907" s="782" t="s">
        <v>4494</v>
      </c>
    </row>
    <row r="1908" spans="1:6" s="4" customFormat="1">
      <c r="A1908" s="782" t="s">
        <v>4495</v>
      </c>
    </row>
    <row r="1909" spans="1:6" s="4" customFormat="1">
      <c r="A1909" s="782" t="s">
        <v>4496</v>
      </c>
    </row>
    <row r="1910" spans="1:6" s="4" customFormat="1">
      <c r="A1910" s="782" t="s">
        <v>4497</v>
      </c>
    </row>
    <row r="1911" spans="1:6" s="4" customFormat="1">
      <c r="A1911" s="782" t="s">
        <v>4498</v>
      </c>
    </row>
    <row r="1912" spans="1:6" s="4" customFormat="1">
      <c r="A1912" s="782" t="s">
        <v>4499</v>
      </c>
    </row>
    <row r="1913" spans="1:6" s="4" customFormat="1">
      <c r="A1913" s="782" t="s">
        <v>4500</v>
      </c>
    </row>
    <row r="1914" spans="1:6" s="4" customFormat="1">
      <c r="A1914" s="782" t="s">
        <v>4501</v>
      </c>
    </row>
    <row r="1915" spans="1:6" s="4" customFormat="1">
      <c r="A1915" s="782" t="s">
        <v>4502</v>
      </c>
    </row>
    <row r="1916" spans="1:6" s="4" customFormat="1" ht="14.25" thickBot="1">
      <c r="A1916" s="783" t="s">
        <v>4503</v>
      </c>
    </row>
    <row r="1917" spans="1:6" s="781" customFormat="1" ht="17.25">
      <c r="A1917" s="784" t="s">
        <v>4504</v>
      </c>
      <c r="B1917" s="780"/>
      <c r="C1917" s="780"/>
      <c r="D1917" s="780"/>
      <c r="E1917" s="780"/>
      <c r="F1917" s="780"/>
    </row>
    <row r="1918" spans="1:6" s="4" customFormat="1">
      <c r="A1918" s="782" t="s">
        <v>2866</v>
      </c>
    </row>
    <row r="1919" spans="1:6" s="4" customFormat="1">
      <c r="A1919" s="782" t="s">
        <v>4505</v>
      </c>
    </row>
    <row r="1920" spans="1:6" s="4" customFormat="1">
      <c r="A1920" s="782" t="s">
        <v>4506</v>
      </c>
    </row>
    <row r="1921" spans="1:6" s="4" customFormat="1" ht="14.25" thickBot="1">
      <c r="A1921" s="783" t="s">
        <v>4507</v>
      </c>
    </row>
    <row r="1922" spans="1:6" s="781" customFormat="1" ht="17.25">
      <c r="A1922" s="784" t="s">
        <v>4508</v>
      </c>
      <c r="B1922" s="780"/>
      <c r="C1922" s="780"/>
      <c r="D1922" s="780"/>
      <c r="E1922" s="780"/>
      <c r="F1922" s="780"/>
    </row>
    <row r="1923" spans="1:6" s="4" customFormat="1">
      <c r="A1923" s="782" t="s">
        <v>4509</v>
      </c>
    </row>
    <row r="1924" spans="1:6" s="4" customFormat="1" ht="14.25" thickBot="1">
      <c r="A1924" s="783" t="s">
        <v>4510</v>
      </c>
    </row>
    <row r="1925" spans="1:6" s="781" customFormat="1" ht="17.25">
      <c r="A1925" s="784" t="s">
        <v>4511</v>
      </c>
      <c r="B1925" s="780"/>
      <c r="C1925" s="780"/>
      <c r="D1925" s="780"/>
      <c r="E1925" s="780"/>
      <c r="F1925" s="780"/>
    </row>
    <row r="1926" spans="1:6" s="4" customFormat="1">
      <c r="A1926" s="782" t="s">
        <v>4512</v>
      </c>
    </row>
    <row r="1927" spans="1:6" s="4" customFormat="1">
      <c r="A1927" s="782" t="s">
        <v>4513</v>
      </c>
    </row>
    <row r="1928" spans="1:6" s="4" customFormat="1" ht="14.25" thickBot="1">
      <c r="A1928" s="783" t="s">
        <v>4514</v>
      </c>
    </row>
    <row r="1929" spans="1:6" s="781" customFormat="1" ht="17.25">
      <c r="A1929" s="784" t="s">
        <v>4515</v>
      </c>
      <c r="B1929" s="780"/>
      <c r="C1929" s="780"/>
      <c r="D1929" s="780"/>
      <c r="E1929" s="780"/>
      <c r="F1929" s="780"/>
    </row>
    <row r="1930" spans="1:6" s="4" customFormat="1">
      <c r="A1930" s="782" t="s">
        <v>4516</v>
      </c>
    </row>
    <row r="1931" spans="1:6" s="4" customFormat="1" ht="14.25" thickBot="1">
      <c r="A1931" s="783" t="s">
        <v>4517</v>
      </c>
    </row>
    <row r="1932" spans="1:6" s="781" customFormat="1" ht="17.25">
      <c r="A1932" s="784" t="s">
        <v>4518</v>
      </c>
      <c r="B1932" s="780"/>
      <c r="C1932" s="780"/>
      <c r="D1932" s="780"/>
      <c r="E1932" s="780"/>
      <c r="F1932" s="780"/>
    </row>
    <row r="1933" spans="1:6" ht="14.25" thickBot="1">
      <c r="A1933" s="787"/>
    </row>
  </sheetData>
  <sheetProtection algorithmName="SHA-512" hashValue="qdAlKhb+cVYtFicFbDVqqedKses+2y2/yPQczr7nd5vw5rkTFRqUuJauCrVfP8BSMLCUDw/n/p4R7TtX64gGLQ==" saltValue="+EGfDnNAY+zH6Fafdp8Orw==" spinCount="100000" sheet="1" objects="1" scenarios="1"/>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2:BW1157"/>
  <sheetViews>
    <sheetView topLeftCell="AH436" workbookViewId="0">
      <selection activeCell="BC470" sqref="BC470"/>
    </sheetView>
  </sheetViews>
  <sheetFormatPr defaultColWidth="9" defaultRowHeight="12"/>
  <cols>
    <col min="1" max="1" width="1.625" style="1" hidden="1" customWidth="1"/>
    <col min="2" max="2" width="5.875" style="1" hidden="1" customWidth="1"/>
    <col min="3" max="3" width="6" style="1" hidden="1" customWidth="1"/>
    <col min="4" max="4" width="7.125" style="1" hidden="1" customWidth="1"/>
    <col min="5" max="5" width="6" style="1" hidden="1" customWidth="1"/>
    <col min="6" max="6" width="6.125" style="1" hidden="1" customWidth="1"/>
    <col min="7" max="7" width="5.875" style="1" hidden="1" customWidth="1"/>
    <col min="8" max="8" width="6.875" style="1" hidden="1" customWidth="1"/>
    <col min="9" max="9" width="8.25" style="1" hidden="1" customWidth="1"/>
    <col min="10" max="10" width="6" style="1" hidden="1" customWidth="1"/>
    <col min="11" max="11" width="5.5" style="1" hidden="1" customWidth="1"/>
    <col min="12" max="12" width="5.125" style="1" hidden="1" customWidth="1"/>
    <col min="13" max="13" width="5.375" style="1" hidden="1" customWidth="1"/>
    <col min="14" max="14" width="6.125" style="1" hidden="1" customWidth="1"/>
    <col min="15" max="15" width="8" style="1" hidden="1" customWidth="1"/>
    <col min="16" max="16" width="8.5" style="1" hidden="1" customWidth="1"/>
    <col min="17" max="17" width="7.875" style="1" hidden="1" customWidth="1"/>
    <col min="18" max="18" width="5.25" style="1" hidden="1" customWidth="1"/>
    <col min="19" max="19" width="5.5" style="1" hidden="1" customWidth="1"/>
    <col min="20" max="20" width="6" style="1" hidden="1" customWidth="1"/>
    <col min="21" max="21" width="6.375" style="1" hidden="1" customWidth="1"/>
    <col min="22" max="22" width="4.125" style="1" hidden="1" customWidth="1"/>
    <col min="23" max="23" width="6.125" style="1" hidden="1" customWidth="1"/>
    <col min="24" max="24" width="7.75" style="1" hidden="1" customWidth="1"/>
    <col min="25" max="25" width="1.875" style="1" hidden="1" customWidth="1"/>
    <col min="26" max="26" width="2.75" style="1" hidden="1" customWidth="1"/>
    <col min="27" max="27" width="4.25" style="1" hidden="1" customWidth="1"/>
    <col min="28" max="28" width="2.5" style="1" hidden="1" customWidth="1"/>
    <col min="29" max="29" width="2.875" style="1" hidden="1" customWidth="1"/>
    <col min="30" max="30" width="2.375" style="1" hidden="1" customWidth="1"/>
    <col min="31" max="31" width="2.625" style="1" hidden="1" customWidth="1"/>
    <col min="32" max="32" width="1.125" style="1" hidden="1" customWidth="1"/>
    <col min="33" max="33" width="1.375" style="1" hidden="1" customWidth="1"/>
    <col min="34" max="34" width="2.75" style="1" customWidth="1"/>
    <col min="35" max="35" width="7.625" style="1" customWidth="1"/>
    <col min="36" max="36" width="22.5" style="1" customWidth="1"/>
    <col min="37" max="37" width="9" style="1"/>
    <col min="38" max="38" width="6.125" style="1" customWidth="1"/>
    <col min="39" max="39" width="11.625" style="1" customWidth="1"/>
    <col min="40" max="40" width="8.625" style="1" customWidth="1"/>
    <col min="41" max="41" width="7.625" style="1" customWidth="1"/>
    <col min="42" max="43" width="5.625" style="1" customWidth="1"/>
    <col min="44" max="44" width="20.375" style="1" customWidth="1"/>
    <col min="45" max="45" width="9" style="1"/>
    <col min="46" max="46" width="6.125" style="1" customWidth="1"/>
    <col min="47" max="47" width="11.625" style="1" customWidth="1"/>
    <col min="48" max="48" width="8.625" style="1" customWidth="1"/>
    <col min="49" max="49" width="7.625" style="1" customWidth="1"/>
    <col min="50" max="51" width="5.625" style="1" customWidth="1"/>
    <col min="52" max="52" width="21" style="1" customWidth="1"/>
    <col min="53" max="53" width="9" style="1"/>
    <col min="54" max="54" width="6.125" style="1" customWidth="1"/>
    <col min="55" max="55" width="19.625" style="1" customWidth="1"/>
    <col min="56" max="56" width="11.625" style="1" customWidth="1"/>
    <col min="57" max="59" width="7.625" style="1" customWidth="1"/>
    <col min="60" max="60" width="22.125" style="1" customWidth="1"/>
    <col min="61" max="61" width="9" style="1"/>
    <col min="62" max="62" width="6.125" style="1" customWidth="1"/>
    <col min="63" max="63" width="11.625" style="1" customWidth="1"/>
    <col min="64" max="64" width="8.625" style="1" customWidth="1"/>
    <col min="65" max="67" width="7.625" style="1" customWidth="1"/>
    <col min="68" max="68" width="23.625" style="1" customWidth="1"/>
    <col min="69" max="69" width="9" style="1"/>
    <col min="70" max="70" width="6.125" style="1" customWidth="1"/>
    <col min="71" max="71" width="11.625" style="1" customWidth="1"/>
    <col min="72" max="72" width="8.625" style="1" customWidth="1"/>
    <col min="73" max="75" width="7.625" style="1" customWidth="1"/>
    <col min="76" max="16384" width="9" style="1"/>
  </cols>
  <sheetData>
    <row r="2" spans="1:75" ht="12.75" thickBot="1">
      <c r="A2" s="1" t="s">
        <v>2177</v>
      </c>
      <c r="F2" s="1" t="s">
        <v>2752</v>
      </c>
      <c r="G2" s="1" t="s">
        <v>2752</v>
      </c>
      <c r="H2" s="1" t="s">
        <v>2753</v>
      </c>
      <c r="T2" s="1218" t="s">
        <v>2178</v>
      </c>
      <c r="U2" s="1218"/>
      <c r="V2" s="1218"/>
      <c r="W2" s="1218"/>
      <c r="X2" s="1218"/>
      <c r="Y2" s="1218"/>
      <c r="Z2" s="161"/>
      <c r="AA2" s="1218" t="s">
        <v>2179</v>
      </c>
      <c r="AB2" s="1218"/>
      <c r="AC2" s="1218"/>
      <c r="AD2" s="1218"/>
      <c r="AE2" s="1218"/>
      <c r="AF2" s="1218"/>
      <c r="AG2" s="1218"/>
      <c r="AJ2" s="1218" t="s">
        <v>2180</v>
      </c>
      <c r="AK2" s="1218"/>
      <c r="AL2" s="1218"/>
      <c r="AM2" s="1218"/>
      <c r="AN2" s="1218"/>
      <c r="AO2" s="1218"/>
      <c r="AP2" s="1218"/>
      <c r="AQ2" s="1218"/>
    </row>
    <row r="3" spans="1:75" ht="42" customHeight="1" thickBot="1">
      <c r="A3" s="1" t="s">
        <v>2181</v>
      </c>
      <c r="B3" s="1" t="s">
        <v>2182</v>
      </c>
      <c r="C3" s="1" t="s">
        <v>635</v>
      </c>
      <c r="D3" s="1" t="s">
        <v>2183</v>
      </c>
      <c r="E3" s="1" t="s">
        <v>2184</v>
      </c>
      <c r="F3" s="1" t="s">
        <v>289</v>
      </c>
      <c r="G3" s="1" t="s">
        <v>290</v>
      </c>
      <c r="H3" s="1" t="s">
        <v>2185</v>
      </c>
      <c r="I3" s="162" t="s">
        <v>2186</v>
      </c>
      <c r="J3" s="1" t="s">
        <v>2187</v>
      </c>
      <c r="T3" s="1221" t="s">
        <v>2188</v>
      </c>
      <c r="U3" s="1243"/>
      <c r="V3" s="163" t="s">
        <v>2189</v>
      </c>
      <c r="W3" s="164" t="s">
        <v>2190</v>
      </c>
      <c r="X3" s="165" t="s">
        <v>2191</v>
      </c>
      <c r="Y3" s="166" t="s">
        <v>2754</v>
      </c>
      <c r="Z3" s="167"/>
      <c r="AA3" s="1221" t="s">
        <v>2188</v>
      </c>
      <c r="AB3" s="1243"/>
      <c r="AC3" s="749" t="s">
        <v>2189</v>
      </c>
      <c r="AD3" s="164" t="s">
        <v>2190</v>
      </c>
      <c r="AE3" s="165" t="s">
        <v>2191</v>
      </c>
      <c r="AF3" s="165" t="s">
        <v>2754</v>
      </c>
      <c r="AG3" s="166" t="s">
        <v>2755</v>
      </c>
      <c r="AI3" s="751" t="s">
        <v>28</v>
      </c>
      <c r="AJ3" s="752" t="s">
        <v>1853</v>
      </c>
      <c r="AK3" s="752" t="s">
        <v>1854</v>
      </c>
      <c r="AL3" s="752" t="s">
        <v>1855</v>
      </c>
      <c r="AM3" s="753" t="s">
        <v>245</v>
      </c>
      <c r="AN3" s="753" t="s">
        <v>246</v>
      </c>
      <c r="AO3" s="754" t="s">
        <v>1856</v>
      </c>
      <c r="AP3" s="754" t="s">
        <v>1857</v>
      </c>
      <c r="AQ3" s="755" t="s">
        <v>1858</v>
      </c>
      <c r="AR3" s="168" t="s">
        <v>1853</v>
      </c>
      <c r="AS3" s="169" t="s">
        <v>1854</v>
      </c>
      <c r="AT3" s="169" t="s">
        <v>1855</v>
      </c>
      <c r="AU3" s="170" t="s">
        <v>245</v>
      </c>
      <c r="AV3" s="170" t="s">
        <v>246</v>
      </c>
      <c r="AW3" s="171" t="s">
        <v>1856</v>
      </c>
      <c r="AX3" s="171" t="s">
        <v>1857</v>
      </c>
      <c r="AY3" s="172" t="s">
        <v>1858</v>
      </c>
      <c r="AZ3" s="756" t="s">
        <v>1853</v>
      </c>
      <c r="BA3" s="169" t="s">
        <v>1854</v>
      </c>
      <c r="BB3" s="169" t="s">
        <v>1855</v>
      </c>
      <c r="BC3" s="170" t="s">
        <v>245</v>
      </c>
      <c r="BD3" s="170" t="s">
        <v>246</v>
      </c>
      <c r="BE3" s="171" t="s">
        <v>1856</v>
      </c>
      <c r="BF3" s="171" t="s">
        <v>1857</v>
      </c>
      <c r="BG3" s="172" t="s">
        <v>1858</v>
      </c>
      <c r="BH3" s="168" t="s">
        <v>1853</v>
      </c>
      <c r="BI3" s="169" t="s">
        <v>1854</v>
      </c>
      <c r="BJ3" s="169" t="s">
        <v>1855</v>
      </c>
      <c r="BK3" s="170" t="s">
        <v>245</v>
      </c>
      <c r="BL3" s="170" t="s">
        <v>246</v>
      </c>
      <c r="BM3" s="171" t="s">
        <v>1856</v>
      </c>
      <c r="BN3" s="171" t="s">
        <v>1857</v>
      </c>
      <c r="BO3" s="172" t="s">
        <v>1858</v>
      </c>
      <c r="BP3" s="168" t="s">
        <v>1853</v>
      </c>
      <c r="BQ3" s="169" t="s">
        <v>1854</v>
      </c>
      <c r="BR3" s="169" t="s">
        <v>1855</v>
      </c>
      <c r="BS3" s="170" t="s">
        <v>245</v>
      </c>
      <c r="BT3" s="170" t="s">
        <v>246</v>
      </c>
      <c r="BU3" s="171" t="s">
        <v>1856</v>
      </c>
      <c r="BV3" s="171" t="s">
        <v>1857</v>
      </c>
      <c r="BW3" s="172" t="s">
        <v>1858</v>
      </c>
    </row>
    <row r="4" spans="1:75">
      <c r="A4" s="1" t="s">
        <v>681</v>
      </c>
      <c r="B4" s="1" t="s">
        <v>682</v>
      </c>
      <c r="C4" s="1" t="s">
        <v>683</v>
      </c>
      <c r="D4" s="1" t="s">
        <v>1859</v>
      </c>
      <c r="E4" s="1" t="s">
        <v>1817</v>
      </c>
      <c r="F4" s="1">
        <v>2.1800000000000002</v>
      </c>
      <c r="G4" s="1">
        <v>0</v>
      </c>
      <c r="H4" s="1">
        <v>2.3199999999999998</v>
      </c>
      <c r="I4" s="20" t="s">
        <v>684</v>
      </c>
      <c r="T4" s="1244" t="s">
        <v>2756</v>
      </c>
      <c r="U4" s="173" t="s">
        <v>1860</v>
      </c>
      <c r="V4" s="174" t="s">
        <v>1859</v>
      </c>
      <c r="W4" s="175" t="s">
        <v>1817</v>
      </c>
      <c r="X4" s="175" t="s">
        <v>1861</v>
      </c>
      <c r="Y4" s="176">
        <v>2.1800000000000002</v>
      </c>
      <c r="Z4" s="177"/>
      <c r="AA4" s="1244" t="s">
        <v>2756</v>
      </c>
      <c r="AB4" s="178" t="s">
        <v>1860</v>
      </c>
      <c r="AC4" s="179" t="s">
        <v>1862</v>
      </c>
      <c r="AD4" s="180" t="s">
        <v>1817</v>
      </c>
      <c r="AE4" s="175" t="s">
        <v>1861</v>
      </c>
      <c r="AF4" s="181">
        <v>1.7034482758620688</v>
      </c>
      <c r="AG4" s="182">
        <v>0.2</v>
      </c>
      <c r="AI4" s="251">
        <v>1</v>
      </c>
      <c r="AJ4" s="257" t="s">
        <v>2709</v>
      </c>
      <c r="AK4" s="244" t="s">
        <v>1859</v>
      </c>
      <c r="AL4" s="748" t="s">
        <v>1817</v>
      </c>
      <c r="AM4" s="748" t="s">
        <v>1730</v>
      </c>
      <c r="AN4" s="748" t="s">
        <v>1730</v>
      </c>
      <c r="AO4" s="244">
        <v>2.1800000000000002</v>
      </c>
      <c r="AP4" s="244">
        <v>0</v>
      </c>
      <c r="AQ4" s="204">
        <v>2.3199999999999998</v>
      </c>
      <c r="AR4" s="11" t="s">
        <v>2710</v>
      </c>
      <c r="AS4" s="186" t="s">
        <v>1859</v>
      </c>
      <c r="AT4" s="747" t="s">
        <v>1817</v>
      </c>
      <c r="AU4" s="747" t="s">
        <v>1730</v>
      </c>
      <c r="AV4" s="747" t="s">
        <v>1730</v>
      </c>
      <c r="AW4" s="186">
        <v>2.1800000000000002</v>
      </c>
      <c r="AX4" s="186">
        <v>0</v>
      </c>
      <c r="AY4" s="12">
        <v>3</v>
      </c>
      <c r="AZ4" s="11" t="s">
        <v>1970</v>
      </c>
      <c r="BA4" s="186" t="s">
        <v>1862</v>
      </c>
      <c r="BB4" s="747" t="s">
        <v>1817</v>
      </c>
      <c r="BC4" s="747" t="s">
        <v>1730</v>
      </c>
      <c r="BD4" s="747" t="s">
        <v>1730</v>
      </c>
      <c r="BE4" s="186">
        <v>1.7</v>
      </c>
      <c r="BF4" s="186">
        <v>0.2</v>
      </c>
      <c r="BG4" s="12">
        <v>2.58</v>
      </c>
      <c r="BH4" s="11" t="s">
        <v>2047</v>
      </c>
      <c r="BI4" s="186" t="s">
        <v>42</v>
      </c>
      <c r="BJ4" s="747" t="s">
        <v>1821</v>
      </c>
      <c r="BK4" s="747" t="s">
        <v>515</v>
      </c>
      <c r="BL4" s="747" t="s">
        <v>1730</v>
      </c>
      <c r="BM4" s="186">
        <v>0.03</v>
      </c>
      <c r="BN4" s="186">
        <v>0</v>
      </c>
      <c r="BO4" s="12">
        <v>2.23</v>
      </c>
      <c r="BP4" s="11" t="s">
        <v>2078</v>
      </c>
      <c r="BQ4" s="186" t="s">
        <v>1709</v>
      </c>
      <c r="BR4" s="747" t="s">
        <v>1821</v>
      </c>
      <c r="BS4" s="747" t="s">
        <v>515</v>
      </c>
      <c r="BT4" s="747" t="s">
        <v>1730</v>
      </c>
      <c r="BU4" s="186">
        <v>0.105</v>
      </c>
      <c r="BV4" s="186">
        <v>0</v>
      </c>
      <c r="BW4" s="12">
        <v>1.37</v>
      </c>
    </row>
    <row r="5" spans="1:75">
      <c r="A5" s="1" t="s">
        <v>685</v>
      </c>
      <c r="B5" s="1" t="s">
        <v>682</v>
      </c>
      <c r="C5" s="1" t="s">
        <v>683</v>
      </c>
      <c r="D5" s="1" t="s">
        <v>1863</v>
      </c>
      <c r="E5" s="1" t="s">
        <v>1804</v>
      </c>
      <c r="F5" s="1">
        <v>2.1800000000000002</v>
      </c>
      <c r="G5" s="1">
        <v>0</v>
      </c>
      <c r="H5" s="1">
        <v>2.3199999999999998</v>
      </c>
      <c r="I5" s="20" t="s">
        <v>684</v>
      </c>
      <c r="T5" s="1245"/>
      <c r="U5" s="173"/>
      <c r="V5" s="187" t="s">
        <v>1863</v>
      </c>
      <c r="W5" s="188" t="s">
        <v>1804</v>
      </c>
      <c r="X5" s="173"/>
      <c r="Y5" s="189">
        <v>2.1800000000000002</v>
      </c>
      <c r="Z5" s="190"/>
      <c r="AA5" s="1245"/>
      <c r="AB5" s="191"/>
      <c r="AC5" s="192" t="s">
        <v>1864</v>
      </c>
      <c r="AD5" s="188" t="s">
        <v>1838</v>
      </c>
      <c r="AE5" s="173"/>
      <c r="AF5" s="193">
        <v>1.5241379310344827</v>
      </c>
      <c r="AG5" s="194">
        <v>0.2</v>
      </c>
      <c r="AI5" s="757"/>
      <c r="AJ5" s="195" t="s">
        <v>2709</v>
      </c>
      <c r="AK5" s="186" t="s">
        <v>1863</v>
      </c>
      <c r="AL5" s="747" t="s">
        <v>1804</v>
      </c>
      <c r="AM5" s="747" t="s">
        <v>1730</v>
      </c>
      <c r="AN5" s="747" t="s">
        <v>1730</v>
      </c>
      <c r="AO5" s="186">
        <v>2.1800000000000002</v>
      </c>
      <c r="AP5" s="186">
        <v>0</v>
      </c>
      <c r="AQ5" s="12">
        <v>2.3199999999999998</v>
      </c>
      <c r="AR5" s="11" t="s">
        <v>2710</v>
      </c>
      <c r="AS5" s="186" t="s">
        <v>1863</v>
      </c>
      <c r="AT5" s="747" t="s">
        <v>1804</v>
      </c>
      <c r="AU5" s="747" t="s">
        <v>1730</v>
      </c>
      <c r="AV5" s="747" t="s">
        <v>1730</v>
      </c>
      <c r="AW5" s="186">
        <v>2.1800000000000002</v>
      </c>
      <c r="AX5" s="186">
        <v>0</v>
      </c>
      <c r="AY5" s="12">
        <v>3</v>
      </c>
      <c r="AZ5" s="11" t="s">
        <v>1970</v>
      </c>
      <c r="BA5" s="186" t="s">
        <v>1864</v>
      </c>
      <c r="BB5" s="747" t="s">
        <v>1838</v>
      </c>
      <c r="BC5" s="747" t="s">
        <v>1730</v>
      </c>
      <c r="BD5" s="747" t="s">
        <v>1730</v>
      </c>
      <c r="BE5" s="186">
        <v>1.52</v>
      </c>
      <c r="BF5" s="186">
        <v>0.2</v>
      </c>
      <c r="BG5" s="12">
        <v>2.58</v>
      </c>
      <c r="BH5" s="11" t="s">
        <v>2047</v>
      </c>
      <c r="BI5" s="186" t="s">
        <v>42</v>
      </c>
      <c r="BJ5" s="747" t="s">
        <v>1822</v>
      </c>
      <c r="BK5" s="747" t="s">
        <v>516</v>
      </c>
      <c r="BL5" s="747" t="s">
        <v>1730</v>
      </c>
      <c r="BM5" s="186">
        <v>0.02</v>
      </c>
      <c r="BN5" s="186">
        <v>0</v>
      </c>
      <c r="BO5" s="12">
        <v>2.23</v>
      </c>
      <c r="BP5" s="11" t="s">
        <v>2078</v>
      </c>
      <c r="BQ5" s="186" t="s">
        <v>1709</v>
      </c>
      <c r="BR5" s="747" t="s">
        <v>1822</v>
      </c>
      <c r="BS5" s="747" t="s">
        <v>516</v>
      </c>
      <c r="BT5" s="747" t="s">
        <v>1730</v>
      </c>
      <c r="BU5" s="186">
        <v>7.0000000000000007E-2</v>
      </c>
      <c r="BV5" s="186">
        <v>0</v>
      </c>
      <c r="BW5" s="12">
        <v>1.37</v>
      </c>
    </row>
    <row r="6" spans="1:75">
      <c r="A6" s="1" t="s">
        <v>686</v>
      </c>
      <c r="B6" s="1" t="s">
        <v>682</v>
      </c>
      <c r="C6" s="1" t="s">
        <v>683</v>
      </c>
      <c r="D6" s="1" t="s">
        <v>1864</v>
      </c>
      <c r="E6" s="1" t="s">
        <v>1805</v>
      </c>
      <c r="F6" s="1">
        <v>1</v>
      </c>
      <c r="G6" s="1">
        <v>0</v>
      </c>
      <c r="H6" s="1">
        <v>2.3199999999999998</v>
      </c>
      <c r="I6" s="20" t="s">
        <v>684</v>
      </c>
      <c r="T6" s="1245"/>
      <c r="U6" s="173"/>
      <c r="V6" s="187" t="s">
        <v>1864</v>
      </c>
      <c r="W6" s="188" t="s">
        <v>1805</v>
      </c>
      <c r="X6" s="173"/>
      <c r="Y6" s="189">
        <v>1</v>
      </c>
      <c r="Z6" s="190"/>
      <c r="AA6" s="1245"/>
      <c r="AB6" s="191"/>
      <c r="AC6" s="192" t="s">
        <v>1865</v>
      </c>
      <c r="AD6" s="188" t="s">
        <v>1866</v>
      </c>
      <c r="AE6" s="173"/>
      <c r="AF6" s="193">
        <v>1.3</v>
      </c>
      <c r="AG6" s="194">
        <v>0.2</v>
      </c>
      <c r="AI6" s="757"/>
      <c r="AJ6" s="195" t="s">
        <v>2709</v>
      </c>
      <c r="AK6" s="186" t="s">
        <v>1864</v>
      </c>
      <c r="AL6" s="747" t="s">
        <v>1805</v>
      </c>
      <c r="AM6" s="747" t="s">
        <v>1730</v>
      </c>
      <c r="AN6" s="747" t="s">
        <v>1730</v>
      </c>
      <c r="AO6" s="186">
        <v>1</v>
      </c>
      <c r="AP6" s="186">
        <v>0</v>
      </c>
      <c r="AQ6" s="12">
        <v>2.3199999999999998</v>
      </c>
      <c r="AR6" s="11" t="s">
        <v>2710</v>
      </c>
      <c r="AS6" s="186" t="s">
        <v>1864</v>
      </c>
      <c r="AT6" s="747" t="s">
        <v>1805</v>
      </c>
      <c r="AU6" s="747" t="s">
        <v>1730</v>
      </c>
      <c r="AV6" s="747" t="s">
        <v>1730</v>
      </c>
      <c r="AW6" s="186">
        <v>1</v>
      </c>
      <c r="AX6" s="186">
        <v>0</v>
      </c>
      <c r="AY6" s="12">
        <v>3</v>
      </c>
      <c r="AZ6" s="11" t="s">
        <v>1970</v>
      </c>
      <c r="BA6" s="186" t="s">
        <v>1865</v>
      </c>
      <c r="BB6" s="747" t="s">
        <v>1807</v>
      </c>
      <c r="BC6" s="747" t="s">
        <v>1730</v>
      </c>
      <c r="BD6" s="747" t="s">
        <v>1730</v>
      </c>
      <c r="BE6" s="186">
        <v>1.3</v>
      </c>
      <c r="BF6" s="186">
        <v>0.2</v>
      </c>
      <c r="BG6" s="12">
        <v>2.58</v>
      </c>
      <c r="BH6" s="11" t="s">
        <v>2047</v>
      </c>
      <c r="BI6" s="186" t="s">
        <v>42</v>
      </c>
      <c r="BJ6" s="747" t="s">
        <v>1823</v>
      </c>
      <c r="BK6" s="747" t="s">
        <v>517</v>
      </c>
      <c r="BL6" s="747" t="s">
        <v>1730</v>
      </c>
      <c r="BM6" s="186">
        <v>0.01</v>
      </c>
      <c r="BN6" s="186">
        <v>0</v>
      </c>
      <c r="BO6" s="12">
        <v>2.23</v>
      </c>
      <c r="BP6" s="11" t="s">
        <v>2078</v>
      </c>
      <c r="BQ6" s="186" t="s">
        <v>1709</v>
      </c>
      <c r="BR6" s="747" t="s">
        <v>1823</v>
      </c>
      <c r="BS6" s="747" t="s">
        <v>517</v>
      </c>
      <c r="BT6" s="747" t="s">
        <v>1730</v>
      </c>
      <c r="BU6" s="186">
        <v>3.5000000000000003E-2</v>
      </c>
      <c r="BV6" s="186">
        <v>0</v>
      </c>
      <c r="BW6" s="12">
        <v>1.37</v>
      </c>
    </row>
    <row r="7" spans="1:75">
      <c r="A7" s="1" t="s">
        <v>687</v>
      </c>
      <c r="B7" s="1" t="s">
        <v>682</v>
      </c>
      <c r="C7" s="1" t="s">
        <v>683</v>
      </c>
      <c r="D7" s="1" t="s">
        <v>1867</v>
      </c>
      <c r="E7" s="1" t="s">
        <v>1806</v>
      </c>
      <c r="F7" s="1">
        <v>0.6</v>
      </c>
      <c r="G7" s="1">
        <v>0</v>
      </c>
      <c r="H7" s="1">
        <v>2.3199999999999998</v>
      </c>
      <c r="I7" s="20" t="s">
        <v>684</v>
      </c>
      <c r="T7" s="1245"/>
      <c r="U7" s="173"/>
      <c r="V7" s="187" t="s">
        <v>1867</v>
      </c>
      <c r="W7" s="188" t="s">
        <v>1806</v>
      </c>
      <c r="X7" s="173"/>
      <c r="Y7" s="189">
        <v>0.6</v>
      </c>
      <c r="Z7" s="190"/>
      <c r="AA7" s="1245"/>
      <c r="AB7" s="191"/>
      <c r="AC7" s="192" t="s">
        <v>1868</v>
      </c>
      <c r="AD7" s="188" t="s">
        <v>1869</v>
      </c>
      <c r="AE7" s="173"/>
      <c r="AF7" s="193">
        <v>0.9</v>
      </c>
      <c r="AG7" s="194">
        <v>0.2</v>
      </c>
      <c r="AI7" s="757"/>
      <c r="AJ7" s="195" t="s">
        <v>2709</v>
      </c>
      <c r="AK7" s="186" t="s">
        <v>1867</v>
      </c>
      <c r="AL7" s="747" t="s">
        <v>1806</v>
      </c>
      <c r="AM7" s="747" t="s">
        <v>1730</v>
      </c>
      <c r="AN7" s="747" t="s">
        <v>1730</v>
      </c>
      <c r="AO7" s="186">
        <v>0.6</v>
      </c>
      <c r="AP7" s="186">
        <v>0</v>
      </c>
      <c r="AQ7" s="12">
        <v>2.3199999999999998</v>
      </c>
      <c r="AR7" s="11" t="s">
        <v>2710</v>
      </c>
      <c r="AS7" s="186" t="s">
        <v>1867</v>
      </c>
      <c r="AT7" s="747" t="s">
        <v>1806</v>
      </c>
      <c r="AU7" s="747" t="s">
        <v>1730</v>
      </c>
      <c r="AV7" s="747" t="s">
        <v>1730</v>
      </c>
      <c r="AW7" s="186">
        <v>0.6</v>
      </c>
      <c r="AX7" s="186">
        <v>0</v>
      </c>
      <c r="AY7" s="12">
        <v>3</v>
      </c>
      <c r="AZ7" s="11" t="s">
        <v>1970</v>
      </c>
      <c r="BA7" s="186" t="s">
        <v>1865</v>
      </c>
      <c r="BB7" s="747" t="s">
        <v>1808</v>
      </c>
      <c r="BC7" s="747" t="s">
        <v>1730</v>
      </c>
      <c r="BD7" s="747" t="s">
        <v>1730</v>
      </c>
      <c r="BE7" s="186">
        <v>1.3</v>
      </c>
      <c r="BF7" s="186">
        <v>0.2</v>
      </c>
      <c r="BG7" s="12">
        <v>2.58</v>
      </c>
      <c r="BH7" s="11" t="s">
        <v>2047</v>
      </c>
      <c r="BI7" s="186" t="s">
        <v>1710</v>
      </c>
      <c r="BJ7" s="747" t="s">
        <v>2048</v>
      </c>
      <c r="BK7" s="747" t="s">
        <v>1730</v>
      </c>
      <c r="BL7" s="747" t="s">
        <v>1730</v>
      </c>
      <c r="BM7" s="186">
        <v>2.5000000000000001E-2</v>
      </c>
      <c r="BN7" s="186">
        <v>0</v>
      </c>
      <c r="BO7" s="12">
        <v>2.23</v>
      </c>
      <c r="BP7" s="11" t="s">
        <v>2078</v>
      </c>
      <c r="BQ7" s="186" t="s">
        <v>1710</v>
      </c>
      <c r="BR7" s="747" t="s">
        <v>2079</v>
      </c>
      <c r="BS7" s="747" t="s">
        <v>1730</v>
      </c>
      <c r="BT7" s="747" t="s">
        <v>1730</v>
      </c>
      <c r="BU7" s="186">
        <v>7.0000000000000007E-2</v>
      </c>
      <c r="BV7" s="186">
        <v>0</v>
      </c>
      <c r="BW7" s="12">
        <v>1.37</v>
      </c>
    </row>
    <row r="8" spans="1:75">
      <c r="A8" s="1" t="s">
        <v>688</v>
      </c>
      <c r="B8" s="1" t="s">
        <v>682</v>
      </c>
      <c r="C8" s="1" t="s">
        <v>683</v>
      </c>
      <c r="D8" s="1" t="s">
        <v>1870</v>
      </c>
      <c r="E8" s="1" t="s">
        <v>1871</v>
      </c>
      <c r="F8" s="1">
        <v>0.25</v>
      </c>
      <c r="G8" s="1">
        <v>0</v>
      </c>
      <c r="H8" s="1">
        <v>2.3199999999999998</v>
      </c>
      <c r="I8" s="20" t="s">
        <v>684</v>
      </c>
      <c r="T8" s="1245"/>
      <c r="U8" s="173"/>
      <c r="V8" s="196" t="s">
        <v>1870</v>
      </c>
      <c r="W8" s="188" t="s">
        <v>1872</v>
      </c>
      <c r="X8" s="173"/>
      <c r="Y8" s="189">
        <v>0.25</v>
      </c>
      <c r="Z8" s="190"/>
      <c r="AA8" s="1245"/>
      <c r="AB8" s="191"/>
      <c r="AC8" s="192" t="s">
        <v>1873</v>
      </c>
      <c r="AD8" s="188" t="s">
        <v>1874</v>
      </c>
      <c r="AE8" s="173"/>
      <c r="AF8" s="193">
        <v>0.6</v>
      </c>
      <c r="AG8" s="194">
        <v>0.2</v>
      </c>
      <c r="AI8" s="757"/>
      <c r="AJ8" s="195" t="s">
        <v>2709</v>
      </c>
      <c r="AK8" s="186" t="s">
        <v>1870</v>
      </c>
      <c r="AL8" s="747" t="s">
        <v>1871</v>
      </c>
      <c r="AM8" s="747" t="s">
        <v>1730</v>
      </c>
      <c r="AN8" s="747" t="s">
        <v>1730</v>
      </c>
      <c r="AO8" s="186">
        <v>0.25</v>
      </c>
      <c r="AP8" s="186">
        <v>0</v>
      </c>
      <c r="AQ8" s="12">
        <v>2.3199999999999998</v>
      </c>
      <c r="AR8" s="11" t="s">
        <v>2710</v>
      </c>
      <c r="AS8" s="186" t="s">
        <v>1870</v>
      </c>
      <c r="AT8" s="747" t="s">
        <v>1871</v>
      </c>
      <c r="AU8" s="747" t="s">
        <v>1730</v>
      </c>
      <c r="AV8" s="747" t="s">
        <v>1730</v>
      </c>
      <c r="AW8" s="186">
        <v>0.25</v>
      </c>
      <c r="AX8" s="186">
        <v>0</v>
      </c>
      <c r="AY8" s="12">
        <v>3</v>
      </c>
      <c r="AZ8" s="11" t="s">
        <v>1970</v>
      </c>
      <c r="BA8" s="186" t="s">
        <v>1868</v>
      </c>
      <c r="BB8" s="747" t="s">
        <v>1869</v>
      </c>
      <c r="BC8" s="747" t="s">
        <v>1730</v>
      </c>
      <c r="BD8" s="747" t="s">
        <v>1730</v>
      </c>
      <c r="BE8" s="186">
        <v>0.9</v>
      </c>
      <c r="BF8" s="186">
        <v>0.2</v>
      </c>
      <c r="BG8" s="12">
        <v>2.58</v>
      </c>
      <c r="BH8" s="11" t="s">
        <v>2047</v>
      </c>
      <c r="BI8" s="186" t="s">
        <v>1710</v>
      </c>
      <c r="BJ8" s="747" t="s">
        <v>2049</v>
      </c>
      <c r="BK8" s="747" t="s">
        <v>1730</v>
      </c>
      <c r="BL8" s="747" t="s">
        <v>1730</v>
      </c>
      <c r="BM8" s="186">
        <v>1.2500000000000001E-2</v>
      </c>
      <c r="BN8" s="186">
        <v>0</v>
      </c>
      <c r="BO8" s="12">
        <v>2.23</v>
      </c>
      <c r="BP8" s="11" t="s">
        <v>2078</v>
      </c>
      <c r="BQ8" s="186" t="s">
        <v>1710</v>
      </c>
      <c r="BR8" s="747" t="s">
        <v>2080</v>
      </c>
      <c r="BS8" s="747" t="s">
        <v>1730</v>
      </c>
      <c r="BT8" s="747" t="s">
        <v>1730</v>
      </c>
      <c r="BU8" s="186">
        <v>3.5000000000000003E-2</v>
      </c>
      <c r="BV8" s="186">
        <v>0</v>
      </c>
      <c r="BW8" s="12">
        <v>1.37</v>
      </c>
    </row>
    <row r="9" spans="1:75">
      <c r="A9" s="1" t="s">
        <v>689</v>
      </c>
      <c r="B9" s="1" t="s">
        <v>682</v>
      </c>
      <c r="C9" s="1" t="s">
        <v>683</v>
      </c>
      <c r="D9" s="1" t="s">
        <v>1870</v>
      </c>
      <c r="E9" s="1" t="s">
        <v>1875</v>
      </c>
      <c r="F9" s="1">
        <v>0.25</v>
      </c>
      <c r="G9" s="1">
        <v>0</v>
      </c>
      <c r="H9" s="1">
        <v>2.3199999999999998</v>
      </c>
      <c r="I9" s="20" t="s">
        <v>684</v>
      </c>
      <c r="T9" s="1245"/>
      <c r="U9" s="197"/>
      <c r="V9" s="196" t="s">
        <v>42</v>
      </c>
      <c r="W9" s="192" t="s">
        <v>1876</v>
      </c>
      <c r="X9" s="173"/>
      <c r="Y9" s="189">
        <v>0.08</v>
      </c>
      <c r="Z9" s="190"/>
      <c r="AA9" s="1245"/>
      <c r="AB9" s="191"/>
      <c r="AC9" s="192" t="s">
        <v>1877</v>
      </c>
      <c r="AD9" s="188" t="s">
        <v>1878</v>
      </c>
      <c r="AE9" s="173"/>
      <c r="AF9" s="193">
        <v>0.4</v>
      </c>
      <c r="AG9" s="194">
        <v>0.08</v>
      </c>
      <c r="AI9" s="757"/>
      <c r="AJ9" s="195" t="s">
        <v>2709</v>
      </c>
      <c r="AK9" s="186" t="s">
        <v>1870</v>
      </c>
      <c r="AL9" s="747" t="s">
        <v>1875</v>
      </c>
      <c r="AM9" s="747" t="s">
        <v>1730</v>
      </c>
      <c r="AN9" s="747" t="s">
        <v>1730</v>
      </c>
      <c r="AO9" s="186">
        <v>0.25</v>
      </c>
      <c r="AP9" s="186">
        <v>0</v>
      </c>
      <c r="AQ9" s="12">
        <v>2.3199999999999998</v>
      </c>
      <c r="AR9" s="11" t="s">
        <v>2710</v>
      </c>
      <c r="AS9" s="186" t="s">
        <v>1870</v>
      </c>
      <c r="AT9" s="747" t="s">
        <v>1875</v>
      </c>
      <c r="AU9" s="747" t="s">
        <v>1730</v>
      </c>
      <c r="AV9" s="747" t="s">
        <v>1730</v>
      </c>
      <c r="AW9" s="186">
        <v>0.25</v>
      </c>
      <c r="AX9" s="186">
        <v>0</v>
      </c>
      <c r="AY9" s="12">
        <v>3</v>
      </c>
      <c r="AZ9" s="11" t="s">
        <v>1970</v>
      </c>
      <c r="BA9" s="186" t="s">
        <v>1971</v>
      </c>
      <c r="BB9" s="747" t="s">
        <v>1874</v>
      </c>
      <c r="BC9" s="747" t="s">
        <v>1730</v>
      </c>
      <c r="BD9" s="747" t="s">
        <v>1730</v>
      </c>
      <c r="BE9" s="186">
        <v>0.6</v>
      </c>
      <c r="BF9" s="186">
        <v>0.2</v>
      </c>
      <c r="BG9" s="12">
        <v>2.58</v>
      </c>
      <c r="BH9" s="11" t="s">
        <v>2047</v>
      </c>
      <c r="BI9" s="186" t="s">
        <v>1710</v>
      </c>
      <c r="BJ9" s="747" t="s">
        <v>2050</v>
      </c>
      <c r="BK9" s="747" t="s">
        <v>518</v>
      </c>
      <c r="BL9" s="747" t="s">
        <v>1730</v>
      </c>
      <c r="BM9" s="186">
        <v>2.2499999999999999E-2</v>
      </c>
      <c r="BN9" s="186">
        <v>0</v>
      </c>
      <c r="BO9" s="12">
        <v>2.23</v>
      </c>
      <c r="BP9" s="11" t="s">
        <v>2078</v>
      </c>
      <c r="BQ9" s="186" t="s">
        <v>1710</v>
      </c>
      <c r="BR9" s="747" t="s">
        <v>2081</v>
      </c>
      <c r="BS9" s="747" t="s">
        <v>518</v>
      </c>
      <c r="BT9" s="747" t="s">
        <v>1730</v>
      </c>
      <c r="BU9" s="186">
        <v>6.3000000000000014E-2</v>
      </c>
      <c r="BV9" s="186">
        <v>0</v>
      </c>
      <c r="BW9" s="12">
        <v>1.37</v>
      </c>
    </row>
    <row r="10" spans="1:75">
      <c r="A10" s="1" t="s">
        <v>690</v>
      </c>
      <c r="B10" s="1" t="s">
        <v>682</v>
      </c>
      <c r="C10" s="1" t="s">
        <v>683</v>
      </c>
      <c r="D10" s="1" t="s">
        <v>1870</v>
      </c>
      <c r="E10" s="1" t="s">
        <v>1818</v>
      </c>
      <c r="F10" s="1">
        <v>0.125</v>
      </c>
      <c r="G10" s="1">
        <v>0</v>
      </c>
      <c r="H10" s="1">
        <v>2.3199999999999998</v>
      </c>
      <c r="I10" s="20" t="s">
        <v>691</v>
      </c>
      <c r="J10" s="1" t="s">
        <v>692</v>
      </c>
      <c r="T10" s="1245"/>
      <c r="U10" s="197"/>
      <c r="V10" s="198" t="s">
        <v>2757</v>
      </c>
      <c r="W10" s="175" t="s">
        <v>2758</v>
      </c>
      <c r="X10" s="173"/>
      <c r="Y10" s="199">
        <v>0.05</v>
      </c>
      <c r="Z10" s="190"/>
      <c r="AA10" s="1245"/>
      <c r="AB10" s="191"/>
      <c r="AC10" s="192" t="s">
        <v>1709</v>
      </c>
      <c r="AD10" s="188" t="s">
        <v>1879</v>
      </c>
      <c r="AE10" s="173"/>
      <c r="AF10" s="193">
        <v>0.28000000000000003</v>
      </c>
      <c r="AG10" s="194">
        <v>5.1999999999999998E-2</v>
      </c>
      <c r="AI10" s="757"/>
      <c r="AJ10" s="195" t="s">
        <v>2709</v>
      </c>
      <c r="AK10" s="186" t="s">
        <v>1870</v>
      </c>
      <c r="AL10" s="747" t="s">
        <v>1818</v>
      </c>
      <c r="AM10" s="747" t="s">
        <v>1730</v>
      </c>
      <c r="AN10" s="747" t="s">
        <v>1730</v>
      </c>
      <c r="AO10" s="186">
        <v>0.125</v>
      </c>
      <c r="AP10" s="186">
        <v>0</v>
      </c>
      <c r="AQ10" s="12">
        <v>2.3199999999999998</v>
      </c>
      <c r="AR10" s="11" t="s">
        <v>2710</v>
      </c>
      <c r="AS10" s="186" t="s">
        <v>1870</v>
      </c>
      <c r="AT10" s="747" t="s">
        <v>1818</v>
      </c>
      <c r="AU10" s="747" t="s">
        <v>1730</v>
      </c>
      <c r="AV10" s="747" t="s">
        <v>1730</v>
      </c>
      <c r="AW10" s="186">
        <v>0.125</v>
      </c>
      <c r="AX10" s="186">
        <v>0</v>
      </c>
      <c r="AY10" s="12">
        <v>3</v>
      </c>
      <c r="AZ10" s="11" t="s">
        <v>1970</v>
      </c>
      <c r="BA10" s="186" t="s">
        <v>1972</v>
      </c>
      <c r="BB10" s="747" t="s">
        <v>1973</v>
      </c>
      <c r="BC10" s="747" t="s">
        <v>1730</v>
      </c>
      <c r="BD10" s="747" t="s">
        <v>1730</v>
      </c>
      <c r="BE10" s="186">
        <v>0.4</v>
      </c>
      <c r="BF10" s="186">
        <v>0.08</v>
      </c>
      <c r="BG10" s="12">
        <v>2.58</v>
      </c>
      <c r="BH10" s="11" t="s">
        <v>2047</v>
      </c>
      <c r="BI10" s="186" t="s">
        <v>1710</v>
      </c>
      <c r="BJ10" s="747" t="s">
        <v>2051</v>
      </c>
      <c r="BK10" s="747" t="s">
        <v>518</v>
      </c>
      <c r="BL10" s="747" t="s">
        <v>1730</v>
      </c>
      <c r="BM10" s="186">
        <v>2.2499999999999999E-2</v>
      </c>
      <c r="BN10" s="186">
        <v>0</v>
      </c>
      <c r="BO10" s="12">
        <v>2.23</v>
      </c>
      <c r="BP10" s="11" t="s">
        <v>2078</v>
      </c>
      <c r="BQ10" s="186" t="s">
        <v>1710</v>
      </c>
      <c r="BR10" s="747" t="s">
        <v>2082</v>
      </c>
      <c r="BS10" s="747" t="s">
        <v>518</v>
      </c>
      <c r="BT10" s="747" t="s">
        <v>1730</v>
      </c>
      <c r="BU10" s="186">
        <v>6.3000000000000014E-2</v>
      </c>
      <c r="BV10" s="186">
        <v>0</v>
      </c>
      <c r="BW10" s="12">
        <v>1.37</v>
      </c>
    </row>
    <row r="11" spans="1:75">
      <c r="A11" s="1" t="s">
        <v>693</v>
      </c>
      <c r="B11" s="1" t="s">
        <v>682</v>
      </c>
      <c r="C11" s="1" t="s">
        <v>683</v>
      </c>
      <c r="D11" s="1" t="s">
        <v>42</v>
      </c>
      <c r="E11" s="1" t="s">
        <v>1819</v>
      </c>
      <c r="F11" s="1">
        <v>0.08</v>
      </c>
      <c r="G11" s="1">
        <v>0</v>
      </c>
      <c r="H11" s="1">
        <v>2.3199999999999998</v>
      </c>
      <c r="I11" s="20" t="s">
        <v>684</v>
      </c>
      <c r="T11" s="1245"/>
      <c r="U11" s="200" t="s">
        <v>1880</v>
      </c>
      <c r="V11" s="201" t="s">
        <v>1859</v>
      </c>
      <c r="W11" s="202" t="s">
        <v>1817</v>
      </c>
      <c r="X11" s="202" t="s">
        <v>1861</v>
      </c>
      <c r="Y11" s="203">
        <v>2.1800000000000002</v>
      </c>
      <c r="Z11" s="190"/>
      <c r="AA11" s="1245"/>
      <c r="AB11" s="204"/>
      <c r="AC11" s="192" t="s">
        <v>2757</v>
      </c>
      <c r="AD11" s="188" t="s">
        <v>2759</v>
      </c>
      <c r="AE11" s="173"/>
      <c r="AF11" s="193">
        <v>0.14000000000000001</v>
      </c>
      <c r="AG11" s="194">
        <v>1.2999999999999999E-2</v>
      </c>
      <c r="AI11" s="757"/>
      <c r="AJ11" s="195" t="s">
        <v>2709</v>
      </c>
      <c r="AK11" s="186" t="s">
        <v>42</v>
      </c>
      <c r="AL11" s="747" t="s">
        <v>1819</v>
      </c>
      <c r="AM11" s="747" t="s">
        <v>1730</v>
      </c>
      <c r="AN11" s="747" t="s">
        <v>1730</v>
      </c>
      <c r="AO11" s="186">
        <v>0.08</v>
      </c>
      <c r="AP11" s="186">
        <v>0</v>
      </c>
      <c r="AQ11" s="12">
        <v>2.3199999999999998</v>
      </c>
      <c r="AR11" s="11" t="s">
        <v>2710</v>
      </c>
      <c r="AS11" s="186" t="s">
        <v>42</v>
      </c>
      <c r="AT11" s="747" t="s">
        <v>1819</v>
      </c>
      <c r="AU11" s="747" t="s">
        <v>1730</v>
      </c>
      <c r="AV11" s="747" t="s">
        <v>1730</v>
      </c>
      <c r="AW11" s="186">
        <v>0.08</v>
      </c>
      <c r="AX11" s="186">
        <v>0</v>
      </c>
      <c r="AY11" s="12">
        <v>3</v>
      </c>
      <c r="AZ11" s="11" t="s">
        <v>1970</v>
      </c>
      <c r="BA11" s="186" t="s">
        <v>1972</v>
      </c>
      <c r="BB11" s="747" t="s">
        <v>1974</v>
      </c>
      <c r="BC11" s="747" t="s">
        <v>1730</v>
      </c>
      <c r="BD11" s="747" t="s">
        <v>1730</v>
      </c>
      <c r="BE11" s="186">
        <v>0.2</v>
      </c>
      <c r="BF11" s="186">
        <v>0.04</v>
      </c>
      <c r="BG11" s="12">
        <v>2.58</v>
      </c>
      <c r="BH11" s="11" t="s">
        <v>2047</v>
      </c>
      <c r="BI11" s="186" t="s">
        <v>1710</v>
      </c>
      <c r="BJ11" s="747" t="s">
        <v>2052</v>
      </c>
      <c r="BK11" s="747" t="s">
        <v>519</v>
      </c>
      <c r="BL11" s="747" t="s">
        <v>1730</v>
      </c>
      <c r="BM11" s="186">
        <v>1.2500000000000001E-2</v>
      </c>
      <c r="BN11" s="186">
        <v>0</v>
      </c>
      <c r="BO11" s="12">
        <v>2.23</v>
      </c>
      <c r="BP11" s="11" t="s">
        <v>2078</v>
      </c>
      <c r="BQ11" s="186" t="s">
        <v>1710</v>
      </c>
      <c r="BR11" s="747" t="s">
        <v>2083</v>
      </c>
      <c r="BS11" s="747" t="s">
        <v>519</v>
      </c>
      <c r="BT11" s="747" t="s">
        <v>1730</v>
      </c>
      <c r="BU11" s="186">
        <v>3.5000000000000003E-2</v>
      </c>
      <c r="BV11" s="186">
        <v>0</v>
      </c>
      <c r="BW11" s="12">
        <v>1.37</v>
      </c>
    </row>
    <row r="12" spans="1:75">
      <c r="A12" s="1" t="s">
        <v>694</v>
      </c>
      <c r="B12" s="1" t="s">
        <v>682</v>
      </c>
      <c r="C12" s="1" t="s">
        <v>683</v>
      </c>
      <c r="D12" s="1" t="s">
        <v>42</v>
      </c>
      <c r="E12" s="1" t="s">
        <v>1820</v>
      </c>
      <c r="F12" s="1">
        <v>0.04</v>
      </c>
      <c r="G12" s="1">
        <v>0</v>
      </c>
      <c r="H12" s="1">
        <v>2.3199999999999998</v>
      </c>
      <c r="I12" s="20" t="s">
        <v>691</v>
      </c>
      <c r="J12" s="1" t="s">
        <v>692</v>
      </c>
      <c r="T12" s="1245"/>
      <c r="U12" s="173"/>
      <c r="V12" s="187" t="s">
        <v>1863</v>
      </c>
      <c r="W12" s="188" t="s">
        <v>1804</v>
      </c>
      <c r="X12" s="173"/>
      <c r="Y12" s="189">
        <v>1.8</v>
      </c>
      <c r="Z12" s="190"/>
      <c r="AA12" s="1245"/>
      <c r="AB12" s="200" t="s">
        <v>1880</v>
      </c>
      <c r="AC12" s="205" t="s">
        <v>1862</v>
      </c>
      <c r="AD12" s="206" t="s">
        <v>1817</v>
      </c>
      <c r="AE12" s="202" t="s">
        <v>1861</v>
      </c>
      <c r="AF12" s="207">
        <v>2.8275391204988716</v>
      </c>
      <c r="AG12" s="208">
        <v>0.25</v>
      </c>
      <c r="AI12" s="757"/>
      <c r="AJ12" s="195" t="s">
        <v>2709</v>
      </c>
      <c r="AK12" s="186" t="s">
        <v>42</v>
      </c>
      <c r="AL12" s="747" t="s">
        <v>1820</v>
      </c>
      <c r="AM12" s="747" t="s">
        <v>1730</v>
      </c>
      <c r="AN12" s="747" t="s">
        <v>1730</v>
      </c>
      <c r="AO12" s="186">
        <v>0.04</v>
      </c>
      <c r="AP12" s="186">
        <v>0</v>
      </c>
      <c r="AQ12" s="12">
        <v>2.3199999999999998</v>
      </c>
      <c r="AR12" s="11" t="s">
        <v>2710</v>
      </c>
      <c r="AS12" s="186" t="s">
        <v>42</v>
      </c>
      <c r="AT12" s="747" t="s">
        <v>1820</v>
      </c>
      <c r="AU12" s="747" t="s">
        <v>1730</v>
      </c>
      <c r="AV12" s="747" t="s">
        <v>1730</v>
      </c>
      <c r="AW12" s="186">
        <v>0.04</v>
      </c>
      <c r="AX12" s="186">
        <v>0</v>
      </c>
      <c r="AY12" s="12">
        <v>3</v>
      </c>
      <c r="AZ12" s="11" t="s">
        <v>1970</v>
      </c>
      <c r="BA12" s="186" t="s">
        <v>1709</v>
      </c>
      <c r="BB12" s="747" t="s">
        <v>1975</v>
      </c>
      <c r="BC12" s="747" t="s">
        <v>1730</v>
      </c>
      <c r="BD12" s="747" t="s">
        <v>1730</v>
      </c>
      <c r="BE12" s="186">
        <v>0.28000000000000003</v>
      </c>
      <c r="BF12" s="186">
        <v>5.1999999999999998E-2</v>
      </c>
      <c r="BG12" s="12">
        <v>2.58</v>
      </c>
      <c r="BH12" s="11" t="s">
        <v>2047</v>
      </c>
      <c r="BI12" s="186" t="s">
        <v>1710</v>
      </c>
      <c r="BJ12" s="747" t="s">
        <v>2053</v>
      </c>
      <c r="BK12" s="747" t="s">
        <v>519</v>
      </c>
      <c r="BL12" s="747" t="s">
        <v>1730</v>
      </c>
      <c r="BM12" s="186">
        <v>1.2500000000000001E-2</v>
      </c>
      <c r="BN12" s="186">
        <v>0</v>
      </c>
      <c r="BO12" s="12">
        <v>2.23</v>
      </c>
      <c r="BP12" s="11" t="s">
        <v>2078</v>
      </c>
      <c r="BQ12" s="186" t="s">
        <v>1710</v>
      </c>
      <c r="BR12" s="747" t="s">
        <v>2084</v>
      </c>
      <c r="BS12" s="747" t="s">
        <v>519</v>
      </c>
      <c r="BT12" s="747" t="s">
        <v>1730</v>
      </c>
      <c r="BU12" s="186">
        <v>3.5000000000000003E-2</v>
      </c>
      <c r="BV12" s="186">
        <v>0</v>
      </c>
      <c r="BW12" s="12">
        <v>1.37</v>
      </c>
    </row>
    <row r="13" spans="1:75">
      <c r="A13" s="1" t="s">
        <v>695</v>
      </c>
      <c r="B13" s="1" t="s">
        <v>682</v>
      </c>
      <c r="C13" s="1" t="s">
        <v>683</v>
      </c>
      <c r="D13" s="1" t="s">
        <v>42</v>
      </c>
      <c r="E13" s="1" t="s">
        <v>1881</v>
      </c>
      <c r="F13" s="1">
        <v>0.06</v>
      </c>
      <c r="G13" s="1">
        <v>0</v>
      </c>
      <c r="H13" s="1">
        <v>2.3199999999999998</v>
      </c>
      <c r="I13" s="20" t="s">
        <v>684</v>
      </c>
      <c r="J13" s="1" t="s">
        <v>515</v>
      </c>
      <c r="T13" s="1245"/>
      <c r="U13" s="173"/>
      <c r="V13" s="187" t="s">
        <v>1864</v>
      </c>
      <c r="W13" s="188" t="s">
        <v>1805</v>
      </c>
      <c r="X13" s="173"/>
      <c r="Y13" s="189">
        <v>1.2</v>
      </c>
      <c r="Z13" s="190"/>
      <c r="AA13" s="1245"/>
      <c r="AB13" s="191"/>
      <c r="AC13" s="192" t="s">
        <v>1864</v>
      </c>
      <c r="AD13" s="188" t="s">
        <v>1838</v>
      </c>
      <c r="AE13" s="173"/>
      <c r="AF13" s="193">
        <v>2.5299034236042535</v>
      </c>
      <c r="AG13" s="194">
        <v>0.25</v>
      </c>
      <c r="AI13" s="757"/>
      <c r="AJ13" s="195" t="s">
        <v>2709</v>
      </c>
      <c r="AK13" s="186" t="s">
        <v>42</v>
      </c>
      <c r="AL13" s="747" t="s">
        <v>1881</v>
      </c>
      <c r="AM13" s="747" t="s">
        <v>515</v>
      </c>
      <c r="AN13" s="747" t="s">
        <v>1730</v>
      </c>
      <c r="AO13" s="186">
        <v>0.06</v>
      </c>
      <c r="AP13" s="186">
        <v>0</v>
      </c>
      <c r="AQ13" s="12">
        <v>2.3199999999999998</v>
      </c>
      <c r="AR13" s="11" t="s">
        <v>2710</v>
      </c>
      <c r="AS13" s="186" t="s">
        <v>42</v>
      </c>
      <c r="AT13" s="747" t="s">
        <v>1881</v>
      </c>
      <c r="AU13" s="747" t="s">
        <v>515</v>
      </c>
      <c r="AV13" s="747" t="s">
        <v>1730</v>
      </c>
      <c r="AW13" s="186">
        <v>0.06</v>
      </c>
      <c r="AX13" s="186">
        <v>0</v>
      </c>
      <c r="AY13" s="12">
        <v>3</v>
      </c>
      <c r="AZ13" s="11" t="s">
        <v>1970</v>
      </c>
      <c r="BA13" s="186" t="s">
        <v>1709</v>
      </c>
      <c r="BB13" s="747" t="s">
        <v>1976</v>
      </c>
      <c r="BC13" s="747" t="s">
        <v>1730</v>
      </c>
      <c r="BD13" s="747" t="s">
        <v>1730</v>
      </c>
      <c r="BE13" s="186">
        <v>0.14000000000000001</v>
      </c>
      <c r="BF13" s="186">
        <v>2.5999999999999999E-2</v>
      </c>
      <c r="BG13" s="12">
        <v>2.58</v>
      </c>
      <c r="BH13" s="11" t="s">
        <v>2047</v>
      </c>
      <c r="BI13" s="186" t="s">
        <v>1710</v>
      </c>
      <c r="BJ13" s="747" t="s">
        <v>2054</v>
      </c>
      <c r="BK13" s="747" t="s">
        <v>520</v>
      </c>
      <c r="BL13" s="747" t="s">
        <v>1730</v>
      </c>
      <c r="BM13" s="186">
        <v>6.2500000000000003E-3</v>
      </c>
      <c r="BN13" s="186">
        <v>0</v>
      </c>
      <c r="BO13" s="12">
        <v>2.23</v>
      </c>
      <c r="BP13" s="11" t="s">
        <v>2078</v>
      </c>
      <c r="BQ13" s="186" t="s">
        <v>1710</v>
      </c>
      <c r="BR13" s="747" t="s">
        <v>2085</v>
      </c>
      <c r="BS13" s="747" t="s">
        <v>520</v>
      </c>
      <c r="BT13" s="747" t="s">
        <v>1730</v>
      </c>
      <c r="BU13" s="186">
        <v>1.7500000000000002E-2</v>
      </c>
      <c r="BV13" s="186">
        <v>0</v>
      </c>
      <c r="BW13" s="12">
        <v>1.37</v>
      </c>
    </row>
    <row r="14" spans="1:75">
      <c r="A14" s="1" t="s">
        <v>696</v>
      </c>
      <c r="B14" s="1" t="s">
        <v>682</v>
      </c>
      <c r="C14" s="1" t="s">
        <v>683</v>
      </c>
      <c r="D14" s="1" t="s">
        <v>42</v>
      </c>
      <c r="E14" s="1" t="s">
        <v>1882</v>
      </c>
      <c r="F14" s="1">
        <v>0.06</v>
      </c>
      <c r="G14" s="1">
        <v>0</v>
      </c>
      <c r="H14" s="1">
        <v>2.3199999999999998</v>
      </c>
      <c r="I14" s="20" t="s">
        <v>691</v>
      </c>
      <c r="J14" s="1" t="s">
        <v>697</v>
      </c>
      <c r="T14" s="1245"/>
      <c r="U14" s="173"/>
      <c r="V14" s="187" t="s">
        <v>1867</v>
      </c>
      <c r="W14" s="188" t="s">
        <v>1806</v>
      </c>
      <c r="X14" s="173"/>
      <c r="Y14" s="189">
        <v>0.9</v>
      </c>
      <c r="Z14" s="190"/>
      <c r="AA14" s="1245"/>
      <c r="AB14" s="191"/>
      <c r="AC14" s="192" t="s">
        <v>1865</v>
      </c>
      <c r="AD14" s="188" t="s">
        <v>1866</v>
      </c>
      <c r="AE14" s="173"/>
      <c r="AF14" s="193">
        <v>2.1578588024859808</v>
      </c>
      <c r="AG14" s="194">
        <v>0.25</v>
      </c>
      <c r="AI14" s="757"/>
      <c r="AJ14" s="195" t="s">
        <v>2709</v>
      </c>
      <c r="AK14" s="186" t="s">
        <v>42</v>
      </c>
      <c r="AL14" s="747" t="s">
        <v>1882</v>
      </c>
      <c r="AM14" s="747" t="s">
        <v>515</v>
      </c>
      <c r="AN14" s="747" t="s">
        <v>1730</v>
      </c>
      <c r="AO14" s="186">
        <v>0.06</v>
      </c>
      <c r="AP14" s="186">
        <v>0</v>
      </c>
      <c r="AQ14" s="12">
        <v>2.3199999999999998</v>
      </c>
      <c r="AR14" s="11" t="s">
        <v>2710</v>
      </c>
      <c r="AS14" s="186" t="s">
        <v>42</v>
      </c>
      <c r="AT14" s="747" t="s">
        <v>1882</v>
      </c>
      <c r="AU14" s="747" t="s">
        <v>515</v>
      </c>
      <c r="AV14" s="747" t="s">
        <v>1730</v>
      </c>
      <c r="AW14" s="186">
        <v>0.06</v>
      </c>
      <c r="AX14" s="186">
        <v>0</v>
      </c>
      <c r="AY14" s="12">
        <v>3</v>
      </c>
      <c r="AZ14" s="11" t="s">
        <v>1970</v>
      </c>
      <c r="BA14" s="186" t="s">
        <v>1709</v>
      </c>
      <c r="BB14" s="747" t="s">
        <v>1977</v>
      </c>
      <c r="BC14" s="747" t="s">
        <v>515</v>
      </c>
      <c r="BD14" s="747" t="s">
        <v>1730</v>
      </c>
      <c r="BE14" s="186">
        <v>0.21</v>
      </c>
      <c r="BF14" s="186">
        <v>3.9E-2</v>
      </c>
      <c r="BG14" s="12">
        <v>2.58</v>
      </c>
      <c r="BH14" s="11" t="s">
        <v>2047</v>
      </c>
      <c r="BI14" s="186" t="s">
        <v>1710</v>
      </c>
      <c r="BJ14" s="747" t="s">
        <v>2055</v>
      </c>
      <c r="BK14" s="747" t="s">
        <v>520</v>
      </c>
      <c r="BL14" s="747" t="s">
        <v>1730</v>
      </c>
      <c r="BM14" s="186">
        <v>6.2500000000000003E-3</v>
      </c>
      <c r="BN14" s="186">
        <v>0</v>
      </c>
      <c r="BO14" s="12">
        <v>2.23</v>
      </c>
      <c r="BP14" s="11" t="s">
        <v>2078</v>
      </c>
      <c r="BQ14" s="186" t="s">
        <v>1710</v>
      </c>
      <c r="BR14" s="747" t="s">
        <v>2086</v>
      </c>
      <c r="BS14" s="747" t="s">
        <v>520</v>
      </c>
      <c r="BT14" s="747" t="s">
        <v>1730</v>
      </c>
      <c r="BU14" s="186">
        <v>1.7500000000000002E-2</v>
      </c>
      <c r="BV14" s="186">
        <v>0</v>
      </c>
      <c r="BW14" s="12">
        <v>1.37</v>
      </c>
    </row>
    <row r="15" spans="1:75">
      <c r="A15" s="1" t="s">
        <v>698</v>
      </c>
      <c r="B15" s="1" t="s">
        <v>682</v>
      </c>
      <c r="C15" s="1" t="s">
        <v>683</v>
      </c>
      <c r="D15" s="1" t="s">
        <v>42</v>
      </c>
      <c r="E15" s="1" t="s">
        <v>1883</v>
      </c>
      <c r="F15" s="1">
        <v>0.04</v>
      </c>
      <c r="G15" s="1">
        <v>0</v>
      </c>
      <c r="H15" s="1">
        <v>2.3199999999999998</v>
      </c>
      <c r="I15" s="20" t="s">
        <v>684</v>
      </c>
      <c r="J15" s="1" t="s">
        <v>516</v>
      </c>
      <c r="T15" s="1245"/>
      <c r="U15" s="173"/>
      <c r="V15" s="187" t="s">
        <v>1884</v>
      </c>
      <c r="W15" s="188" t="s">
        <v>1824</v>
      </c>
      <c r="X15" s="173"/>
      <c r="Y15" s="189">
        <v>0.7</v>
      </c>
      <c r="Z15" s="190"/>
      <c r="AA15" s="1245"/>
      <c r="AB15" s="191"/>
      <c r="AC15" s="192" t="s">
        <v>1868</v>
      </c>
      <c r="AD15" s="188" t="s">
        <v>1869</v>
      </c>
      <c r="AE15" s="173"/>
      <c r="AF15" s="193">
        <v>1.9346320298150173</v>
      </c>
      <c r="AG15" s="194">
        <v>0.25</v>
      </c>
      <c r="AI15" s="757"/>
      <c r="AJ15" s="195" t="s">
        <v>2709</v>
      </c>
      <c r="AK15" s="186" t="s">
        <v>42</v>
      </c>
      <c r="AL15" s="747" t="s">
        <v>1883</v>
      </c>
      <c r="AM15" s="747" t="s">
        <v>516</v>
      </c>
      <c r="AN15" s="747" t="s">
        <v>1730</v>
      </c>
      <c r="AO15" s="186">
        <v>0.04</v>
      </c>
      <c r="AP15" s="186">
        <v>0</v>
      </c>
      <c r="AQ15" s="12">
        <v>2.3199999999999998</v>
      </c>
      <c r="AR15" s="11" t="s">
        <v>2710</v>
      </c>
      <c r="AS15" s="186" t="s">
        <v>42</v>
      </c>
      <c r="AT15" s="747" t="s">
        <v>1883</v>
      </c>
      <c r="AU15" s="747" t="s">
        <v>516</v>
      </c>
      <c r="AV15" s="747" t="s">
        <v>1730</v>
      </c>
      <c r="AW15" s="186">
        <v>0.04</v>
      </c>
      <c r="AX15" s="186">
        <v>0</v>
      </c>
      <c r="AY15" s="12">
        <v>3</v>
      </c>
      <c r="AZ15" s="11" t="s">
        <v>1970</v>
      </c>
      <c r="BA15" s="186" t="s">
        <v>1709</v>
      </c>
      <c r="BB15" s="747" t="s">
        <v>1978</v>
      </c>
      <c r="BC15" s="747" t="s">
        <v>515</v>
      </c>
      <c r="BD15" s="747" t="s">
        <v>1730</v>
      </c>
      <c r="BE15" s="186">
        <v>0.21</v>
      </c>
      <c r="BF15" s="186">
        <v>3.9E-2</v>
      </c>
      <c r="BG15" s="12">
        <v>2.58</v>
      </c>
      <c r="BH15" s="11" t="s">
        <v>2047</v>
      </c>
      <c r="BI15" s="186" t="s">
        <v>523</v>
      </c>
      <c r="BJ15" s="747" t="s">
        <v>1488</v>
      </c>
      <c r="BK15" s="747" t="s">
        <v>1730</v>
      </c>
      <c r="BL15" s="747" t="s">
        <v>1730</v>
      </c>
      <c r="BM15" s="186">
        <v>2.5000000000000001E-2</v>
      </c>
      <c r="BN15" s="186">
        <v>0</v>
      </c>
      <c r="BO15" s="12">
        <v>2.23</v>
      </c>
      <c r="BP15" s="11" t="s">
        <v>2078</v>
      </c>
      <c r="BQ15" s="186" t="s">
        <v>523</v>
      </c>
      <c r="BR15" s="747" t="s">
        <v>1514</v>
      </c>
      <c r="BS15" s="747" t="s">
        <v>1730</v>
      </c>
      <c r="BT15" s="747" t="s">
        <v>1730</v>
      </c>
      <c r="BU15" s="186">
        <v>0.04</v>
      </c>
      <c r="BV15" s="186">
        <v>0</v>
      </c>
      <c r="BW15" s="12">
        <v>1.37</v>
      </c>
    </row>
    <row r="16" spans="1:75">
      <c r="A16" s="1" t="s">
        <v>699</v>
      </c>
      <c r="B16" s="1" t="s">
        <v>682</v>
      </c>
      <c r="C16" s="1" t="s">
        <v>683</v>
      </c>
      <c r="D16" s="1" t="s">
        <v>42</v>
      </c>
      <c r="E16" s="1" t="s">
        <v>1885</v>
      </c>
      <c r="F16" s="1">
        <v>0.04</v>
      </c>
      <c r="G16" s="1">
        <v>0</v>
      </c>
      <c r="H16" s="1">
        <v>2.3199999999999998</v>
      </c>
      <c r="I16" s="20" t="s">
        <v>691</v>
      </c>
      <c r="J16" s="1" t="s">
        <v>700</v>
      </c>
      <c r="T16" s="1245"/>
      <c r="U16" s="173"/>
      <c r="V16" s="187" t="s">
        <v>1886</v>
      </c>
      <c r="W16" s="209" t="s">
        <v>1887</v>
      </c>
      <c r="X16" s="173"/>
      <c r="Y16" s="189">
        <v>0.4</v>
      </c>
      <c r="Z16" s="190"/>
      <c r="AA16" s="1245"/>
      <c r="AB16" s="191"/>
      <c r="AC16" s="210" t="s">
        <v>1873</v>
      </c>
      <c r="AD16" s="209" t="s">
        <v>1888</v>
      </c>
      <c r="AE16" s="173"/>
      <c r="AF16" s="193">
        <v>1.3</v>
      </c>
      <c r="AG16" s="194">
        <v>0.25</v>
      </c>
      <c r="AI16" s="757"/>
      <c r="AJ16" s="195" t="s">
        <v>2709</v>
      </c>
      <c r="AK16" s="186" t="s">
        <v>42</v>
      </c>
      <c r="AL16" s="747" t="s">
        <v>1885</v>
      </c>
      <c r="AM16" s="747" t="s">
        <v>516</v>
      </c>
      <c r="AN16" s="747" t="s">
        <v>1730</v>
      </c>
      <c r="AO16" s="186">
        <v>0.04</v>
      </c>
      <c r="AP16" s="186">
        <v>0</v>
      </c>
      <c r="AQ16" s="12">
        <v>2.3199999999999998</v>
      </c>
      <c r="AR16" s="11" t="s">
        <v>2710</v>
      </c>
      <c r="AS16" s="186" t="s">
        <v>42</v>
      </c>
      <c r="AT16" s="747" t="s">
        <v>1885</v>
      </c>
      <c r="AU16" s="747" t="s">
        <v>516</v>
      </c>
      <c r="AV16" s="747" t="s">
        <v>1730</v>
      </c>
      <c r="AW16" s="186">
        <v>0.04</v>
      </c>
      <c r="AX16" s="186">
        <v>0</v>
      </c>
      <c r="AY16" s="12">
        <v>3</v>
      </c>
      <c r="AZ16" s="11" t="s">
        <v>1970</v>
      </c>
      <c r="BA16" s="186" t="s">
        <v>1709</v>
      </c>
      <c r="BB16" s="747" t="s">
        <v>1979</v>
      </c>
      <c r="BC16" s="747" t="s">
        <v>516</v>
      </c>
      <c r="BD16" s="747" t="s">
        <v>1730</v>
      </c>
      <c r="BE16" s="186">
        <v>0.14000000000000001</v>
      </c>
      <c r="BF16" s="186">
        <v>2.5999999999999999E-2</v>
      </c>
      <c r="BG16" s="12">
        <v>2.58</v>
      </c>
      <c r="BH16" s="11" t="s">
        <v>2047</v>
      </c>
      <c r="BI16" s="186" t="s">
        <v>523</v>
      </c>
      <c r="BJ16" s="747" t="s">
        <v>1489</v>
      </c>
      <c r="BK16" s="747" t="s">
        <v>1730</v>
      </c>
      <c r="BL16" s="747" t="s">
        <v>1730</v>
      </c>
      <c r="BM16" s="186">
        <v>1.2500000000000001E-2</v>
      </c>
      <c r="BN16" s="186">
        <v>0</v>
      </c>
      <c r="BO16" s="12">
        <v>2.23</v>
      </c>
      <c r="BP16" s="11" t="s">
        <v>2078</v>
      </c>
      <c r="BQ16" s="186" t="s">
        <v>523</v>
      </c>
      <c r="BR16" s="747" t="s">
        <v>1515</v>
      </c>
      <c r="BS16" s="747" t="s">
        <v>1730</v>
      </c>
      <c r="BT16" s="747" t="s">
        <v>1730</v>
      </c>
      <c r="BU16" s="186">
        <v>0.02</v>
      </c>
      <c r="BV16" s="186">
        <v>0</v>
      </c>
      <c r="BW16" s="12">
        <v>1.37</v>
      </c>
    </row>
    <row r="17" spans="1:75" ht="12" customHeight="1">
      <c r="A17" s="1" t="s">
        <v>701</v>
      </c>
      <c r="B17" s="1" t="s">
        <v>682</v>
      </c>
      <c r="C17" s="1" t="s">
        <v>683</v>
      </c>
      <c r="D17" s="1" t="s">
        <v>42</v>
      </c>
      <c r="E17" s="1" t="s">
        <v>1889</v>
      </c>
      <c r="F17" s="1">
        <v>0.02</v>
      </c>
      <c r="G17" s="1">
        <v>0</v>
      </c>
      <c r="H17" s="1">
        <v>2.3199999999999998</v>
      </c>
      <c r="I17" s="20" t="s">
        <v>684</v>
      </c>
      <c r="J17" s="1" t="s">
        <v>517</v>
      </c>
      <c r="T17" s="1245"/>
      <c r="U17" s="173"/>
      <c r="V17" s="196" t="s">
        <v>1803</v>
      </c>
      <c r="W17" s="188" t="s">
        <v>1890</v>
      </c>
      <c r="X17" s="173"/>
      <c r="Y17" s="189">
        <v>0.13</v>
      </c>
      <c r="Z17" s="190"/>
      <c r="AA17" s="1245"/>
      <c r="AB17" s="191"/>
      <c r="AC17" s="192" t="s">
        <v>1891</v>
      </c>
      <c r="AD17" s="211" t="s">
        <v>1892</v>
      </c>
      <c r="AE17" s="173"/>
      <c r="AF17" s="193">
        <v>0.7</v>
      </c>
      <c r="AG17" s="194">
        <v>0.09</v>
      </c>
      <c r="AI17" s="757"/>
      <c r="AJ17" s="195" t="s">
        <v>2709</v>
      </c>
      <c r="AK17" s="186" t="s">
        <v>42</v>
      </c>
      <c r="AL17" s="747" t="s">
        <v>1889</v>
      </c>
      <c r="AM17" s="747" t="s">
        <v>517</v>
      </c>
      <c r="AN17" s="747" t="s">
        <v>1730</v>
      </c>
      <c r="AO17" s="186">
        <v>0.02</v>
      </c>
      <c r="AP17" s="186">
        <v>0</v>
      </c>
      <c r="AQ17" s="12">
        <v>2.3199999999999998</v>
      </c>
      <c r="AR17" s="11" t="s">
        <v>2710</v>
      </c>
      <c r="AS17" s="186" t="s">
        <v>42</v>
      </c>
      <c r="AT17" s="747" t="s">
        <v>1889</v>
      </c>
      <c r="AU17" s="747" t="s">
        <v>517</v>
      </c>
      <c r="AV17" s="747" t="s">
        <v>1730</v>
      </c>
      <c r="AW17" s="186">
        <v>0.02</v>
      </c>
      <c r="AX17" s="186">
        <v>0</v>
      </c>
      <c r="AY17" s="12">
        <v>3</v>
      </c>
      <c r="AZ17" s="11" t="s">
        <v>1970</v>
      </c>
      <c r="BA17" s="186" t="s">
        <v>1709</v>
      </c>
      <c r="BB17" s="747" t="s">
        <v>1980</v>
      </c>
      <c r="BC17" s="747" t="s">
        <v>516</v>
      </c>
      <c r="BD17" s="747" t="s">
        <v>1730</v>
      </c>
      <c r="BE17" s="186">
        <v>0.14000000000000001</v>
      </c>
      <c r="BF17" s="186">
        <v>2.5999999999999999E-2</v>
      </c>
      <c r="BG17" s="12">
        <v>2.58</v>
      </c>
      <c r="BH17" s="11" t="s">
        <v>2047</v>
      </c>
      <c r="BI17" s="186" t="s">
        <v>523</v>
      </c>
      <c r="BJ17" s="747" t="s">
        <v>1490</v>
      </c>
      <c r="BK17" s="747" t="s">
        <v>519</v>
      </c>
      <c r="BL17" s="747" t="s">
        <v>1730</v>
      </c>
      <c r="BM17" s="186">
        <v>1.2500000000000001E-2</v>
      </c>
      <c r="BN17" s="186">
        <v>0</v>
      </c>
      <c r="BO17" s="12">
        <v>2.23</v>
      </c>
      <c r="BP17" s="11" t="s">
        <v>2078</v>
      </c>
      <c r="BQ17" s="186" t="s">
        <v>523</v>
      </c>
      <c r="BR17" s="747" t="s">
        <v>1516</v>
      </c>
      <c r="BS17" s="747" t="s">
        <v>519</v>
      </c>
      <c r="BT17" s="747" t="s">
        <v>1730</v>
      </c>
      <c r="BU17" s="186">
        <v>0.02</v>
      </c>
      <c r="BV17" s="186">
        <v>0</v>
      </c>
      <c r="BW17" s="12">
        <v>1.37</v>
      </c>
    </row>
    <row r="18" spans="1:75">
      <c r="A18" s="1" t="s">
        <v>702</v>
      </c>
      <c r="B18" s="1" t="s">
        <v>682</v>
      </c>
      <c r="C18" s="1" t="s">
        <v>683</v>
      </c>
      <c r="D18" s="1" t="s">
        <v>42</v>
      </c>
      <c r="E18" s="1" t="s">
        <v>1893</v>
      </c>
      <c r="F18" s="1">
        <v>0.02</v>
      </c>
      <c r="G18" s="1">
        <v>0</v>
      </c>
      <c r="H18" s="1">
        <v>2.3199999999999998</v>
      </c>
      <c r="I18" s="20" t="s">
        <v>691</v>
      </c>
      <c r="J18" s="1" t="s">
        <v>703</v>
      </c>
      <c r="T18" s="1245"/>
      <c r="U18" s="197"/>
      <c r="V18" s="198" t="s">
        <v>2757</v>
      </c>
      <c r="W18" s="180" t="s">
        <v>2760</v>
      </c>
      <c r="X18" s="173"/>
      <c r="Y18" s="199">
        <v>7.0000000000000007E-2</v>
      </c>
      <c r="Z18" s="190"/>
      <c r="AA18" s="1245"/>
      <c r="AB18" s="191"/>
      <c r="AC18" s="192" t="s">
        <v>1713</v>
      </c>
      <c r="AD18" s="188" t="s">
        <v>1894</v>
      </c>
      <c r="AE18" s="173"/>
      <c r="AF18" s="193">
        <v>0.49</v>
      </c>
      <c r="AG18" s="194">
        <v>0.06</v>
      </c>
      <c r="AI18" s="757"/>
      <c r="AJ18" s="195" t="s">
        <v>2709</v>
      </c>
      <c r="AK18" s="186" t="s">
        <v>42</v>
      </c>
      <c r="AL18" s="747" t="s">
        <v>1893</v>
      </c>
      <c r="AM18" s="747" t="s">
        <v>517</v>
      </c>
      <c r="AN18" s="747" t="s">
        <v>1730</v>
      </c>
      <c r="AO18" s="186">
        <v>0.02</v>
      </c>
      <c r="AP18" s="186">
        <v>0</v>
      </c>
      <c r="AQ18" s="12">
        <v>2.3199999999999998</v>
      </c>
      <c r="AR18" s="11" t="s">
        <v>2710</v>
      </c>
      <c r="AS18" s="186" t="s">
        <v>42</v>
      </c>
      <c r="AT18" s="747" t="s">
        <v>1893</v>
      </c>
      <c r="AU18" s="747" t="s">
        <v>517</v>
      </c>
      <c r="AV18" s="747" t="s">
        <v>1730</v>
      </c>
      <c r="AW18" s="186">
        <v>0.02</v>
      </c>
      <c r="AX18" s="186">
        <v>0</v>
      </c>
      <c r="AY18" s="12">
        <v>3</v>
      </c>
      <c r="AZ18" s="11" t="s">
        <v>1970</v>
      </c>
      <c r="BA18" s="186" t="s">
        <v>1709</v>
      </c>
      <c r="BB18" s="747" t="s">
        <v>1981</v>
      </c>
      <c r="BC18" s="747" t="s">
        <v>517</v>
      </c>
      <c r="BD18" s="747" t="s">
        <v>1730</v>
      </c>
      <c r="BE18" s="186">
        <v>7.0000000000000007E-2</v>
      </c>
      <c r="BF18" s="186">
        <v>1.2999999999999999E-2</v>
      </c>
      <c r="BG18" s="12">
        <v>2.58</v>
      </c>
      <c r="BH18" s="11" t="s">
        <v>2047</v>
      </c>
      <c r="BI18" s="186" t="s">
        <v>523</v>
      </c>
      <c r="BJ18" s="747" t="s">
        <v>1491</v>
      </c>
      <c r="BK18" s="747" t="s">
        <v>519</v>
      </c>
      <c r="BL18" s="747" t="s">
        <v>1730</v>
      </c>
      <c r="BM18" s="186">
        <v>1.2500000000000001E-2</v>
      </c>
      <c r="BN18" s="186">
        <v>0</v>
      </c>
      <c r="BO18" s="12">
        <v>2.23</v>
      </c>
      <c r="BP18" s="11" t="s">
        <v>2078</v>
      </c>
      <c r="BQ18" s="186" t="s">
        <v>523</v>
      </c>
      <c r="BR18" s="747" t="s">
        <v>1517</v>
      </c>
      <c r="BS18" s="747" t="s">
        <v>519</v>
      </c>
      <c r="BT18" s="747" t="s">
        <v>1730</v>
      </c>
      <c r="BU18" s="186">
        <v>0.02</v>
      </c>
      <c r="BV18" s="186">
        <v>0</v>
      </c>
      <c r="BW18" s="12">
        <v>1.37</v>
      </c>
    </row>
    <row r="19" spans="1:75">
      <c r="A19" s="1" t="s">
        <v>704</v>
      </c>
      <c r="B19" s="1" t="s">
        <v>682</v>
      </c>
      <c r="C19" s="1" t="s">
        <v>683</v>
      </c>
      <c r="D19" s="1" t="s">
        <v>1710</v>
      </c>
      <c r="E19" s="1" t="s">
        <v>1896</v>
      </c>
      <c r="F19" s="1">
        <v>0.05</v>
      </c>
      <c r="G19" s="1">
        <v>0</v>
      </c>
      <c r="H19" s="1">
        <v>2.3199999999999998</v>
      </c>
      <c r="I19" s="20" t="s">
        <v>684</v>
      </c>
      <c r="T19" s="1245"/>
      <c r="U19" s="200" t="s">
        <v>1895</v>
      </c>
      <c r="V19" s="201" t="s">
        <v>1862</v>
      </c>
      <c r="W19" s="206" t="s">
        <v>1817</v>
      </c>
      <c r="X19" s="202" t="s">
        <v>1861</v>
      </c>
      <c r="Y19" s="212">
        <v>1.8</v>
      </c>
      <c r="Z19" s="190"/>
      <c r="AA19" s="1245"/>
      <c r="AB19" s="204"/>
      <c r="AC19" s="210" t="s">
        <v>2757</v>
      </c>
      <c r="AD19" s="209" t="s">
        <v>2761</v>
      </c>
      <c r="AE19" s="173"/>
      <c r="AF19" s="213">
        <v>0.25</v>
      </c>
      <c r="AG19" s="214">
        <v>1.4999999999999999E-2</v>
      </c>
      <c r="AI19" s="757"/>
      <c r="AJ19" s="195" t="s">
        <v>2709</v>
      </c>
      <c r="AK19" s="186" t="s">
        <v>1710</v>
      </c>
      <c r="AL19" s="747" t="s">
        <v>1896</v>
      </c>
      <c r="AM19" s="747" t="s">
        <v>1730</v>
      </c>
      <c r="AN19" s="693" t="s">
        <v>1730</v>
      </c>
      <c r="AO19" s="186">
        <v>0.05</v>
      </c>
      <c r="AP19" s="186">
        <v>0</v>
      </c>
      <c r="AQ19" s="12">
        <v>2.3199999999999998</v>
      </c>
      <c r="AR19" s="11" t="s">
        <v>2710</v>
      </c>
      <c r="AS19" s="186" t="s">
        <v>1710</v>
      </c>
      <c r="AT19" s="747" t="s">
        <v>1896</v>
      </c>
      <c r="AU19" s="747" t="s">
        <v>1730</v>
      </c>
      <c r="AV19" s="693" t="s">
        <v>1730</v>
      </c>
      <c r="AW19" s="186">
        <v>0.05</v>
      </c>
      <c r="AX19" s="186">
        <v>0</v>
      </c>
      <c r="AY19" s="12">
        <v>3</v>
      </c>
      <c r="AZ19" s="11" t="s">
        <v>1970</v>
      </c>
      <c r="BA19" s="186" t="s">
        <v>1709</v>
      </c>
      <c r="BB19" s="747" t="s">
        <v>1982</v>
      </c>
      <c r="BC19" s="747" t="s">
        <v>517</v>
      </c>
      <c r="BD19" s="747" t="s">
        <v>1730</v>
      </c>
      <c r="BE19" s="186">
        <v>7.0000000000000007E-2</v>
      </c>
      <c r="BF19" s="186">
        <v>1.2999999999999999E-2</v>
      </c>
      <c r="BG19" s="12">
        <v>2.58</v>
      </c>
      <c r="BH19" s="11" t="s">
        <v>2047</v>
      </c>
      <c r="BI19" s="186" t="s">
        <v>523</v>
      </c>
      <c r="BJ19" s="747" t="s">
        <v>1492</v>
      </c>
      <c r="BK19" s="747" t="s">
        <v>520</v>
      </c>
      <c r="BL19" s="747" t="s">
        <v>1730</v>
      </c>
      <c r="BM19" s="186">
        <v>6.2500000000000003E-3</v>
      </c>
      <c r="BN19" s="186">
        <v>0</v>
      </c>
      <c r="BO19" s="12">
        <v>2.23</v>
      </c>
      <c r="BP19" s="11" t="s">
        <v>2078</v>
      </c>
      <c r="BQ19" s="186" t="s">
        <v>523</v>
      </c>
      <c r="BR19" s="747" t="s">
        <v>1518</v>
      </c>
      <c r="BS19" s="747" t="s">
        <v>520</v>
      </c>
      <c r="BT19" s="747" t="s">
        <v>1730</v>
      </c>
      <c r="BU19" s="186">
        <v>0.01</v>
      </c>
      <c r="BV19" s="186">
        <v>0</v>
      </c>
      <c r="BW19" s="12">
        <v>1.37</v>
      </c>
    </row>
    <row r="20" spans="1:75">
      <c r="A20" s="1" t="s">
        <v>705</v>
      </c>
      <c r="B20" s="1" t="s">
        <v>682</v>
      </c>
      <c r="C20" s="1" t="s">
        <v>683</v>
      </c>
      <c r="D20" s="1" t="s">
        <v>1710</v>
      </c>
      <c r="E20" s="1" t="s">
        <v>1897</v>
      </c>
      <c r="F20" s="1">
        <v>2.5000000000000001E-2</v>
      </c>
      <c r="G20" s="1">
        <v>0</v>
      </c>
      <c r="H20" s="1">
        <v>2.3199999999999998</v>
      </c>
      <c r="I20" s="20" t="s">
        <v>691</v>
      </c>
      <c r="J20" s="1" t="s">
        <v>692</v>
      </c>
      <c r="T20" s="1245"/>
      <c r="U20" s="191"/>
      <c r="V20" s="187" t="s">
        <v>1864</v>
      </c>
      <c r="W20" s="188" t="s">
        <v>1805</v>
      </c>
      <c r="X20" s="173"/>
      <c r="Y20" s="189">
        <v>1.2</v>
      </c>
      <c r="Z20" s="190"/>
      <c r="AA20" s="1245"/>
      <c r="AB20" s="200" t="s">
        <v>1895</v>
      </c>
      <c r="AC20" s="201" t="s">
        <v>1862</v>
      </c>
      <c r="AD20" s="206" t="s">
        <v>1817</v>
      </c>
      <c r="AE20" s="202" t="s">
        <v>1861</v>
      </c>
      <c r="AF20" s="207">
        <v>2.8275391204988716</v>
      </c>
      <c r="AG20" s="208">
        <v>0.25</v>
      </c>
      <c r="AI20" s="757"/>
      <c r="AJ20" s="195" t="s">
        <v>2709</v>
      </c>
      <c r="AK20" s="186" t="s">
        <v>1710</v>
      </c>
      <c r="AL20" s="747" t="s">
        <v>1897</v>
      </c>
      <c r="AM20" s="747" t="s">
        <v>1730</v>
      </c>
      <c r="AN20" s="693" t="s">
        <v>1730</v>
      </c>
      <c r="AO20" s="186">
        <v>2.5000000000000001E-2</v>
      </c>
      <c r="AP20" s="186">
        <v>0</v>
      </c>
      <c r="AQ20" s="12">
        <v>2.3199999999999998</v>
      </c>
      <c r="AR20" s="11" t="s">
        <v>2710</v>
      </c>
      <c r="AS20" s="186" t="s">
        <v>1710</v>
      </c>
      <c r="AT20" s="747" t="s">
        <v>1897</v>
      </c>
      <c r="AU20" s="747" t="s">
        <v>1730</v>
      </c>
      <c r="AV20" s="693" t="s">
        <v>1730</v>
      </c>
      <c r="AW20" s="186">
        <v>2.5000000000000001E-2</v>
      </c>
      <c r="AX20" s="186">
        <v>0</v>
      </c>
      <c r="AY20" s="12">
        <v>3</v>
      </c>
      <c r="AZ20" s="11" t="s">
        <v>1970</v>
      </c>
      <c r="BA20" s="186" t="s">
        <v>1710</v>
      </c>
      <c r="BB20" s="747" t="s">
        <v>1983</v>
      </c>
      <c r="BC20" s="747" t="s">
        <v>1730</v>
      </c>
      <c r="BD20" s="747" t="s">
        <v>247</v>
      </c>
      <c r="BE20" s="186">
        <v>0.14000000000000001</v>
      </c>
      <c r="BF20" s="186">
        <v>1.2999999999999999E-2</v>
      </c>
      <c r="BG20" s="12">
        <v>2.58</v>
      </c>
      <c r="BH20" s="11" t="s">
        <v>2047</v>
      </c>
      <c r="BI20" s="186" t="s">
        <v>523</v>
      </c>
      <c r="BJ20" s="747" t="s">
        <v>1493</v>
      </c>
      <c r="BK20" s="747" t="s">
        <v>520</v>
      </c>
      <c r="BL20" s="747" t="s">
        <v>1730</v>
      </c>
      <c r="BM20" s="186">
        <v>6.2500000000000003E-3</v>
      </c>
      <c r="BN20" s="186">
        <v>0</v>
      </c>
      <c r="BO20" s="12">
        <v>2.23</v>
      </c>
      <c r="BP20" s="11" t="s">
        <v>2078</v>
      </c>
      <c r="BQ20" s="186" t="s">
        <v>523</v>
      </c>
      <c r="BR20" s="747" t="s">
        <v>1519</v>
      </c>
      <c r="BS20" s="747" t="s">
        <v>520</v>
      </c>
      <c r="BT20" s="747" t="s">
        <v>1730</v>
      </c>
      <c r="BU20" s="186">
        <v>0.01</v>
      </c>
      <c r="BV20" s="186">
        <v>0</v>
      </c>
      <c r="BW20" s="12">
        <v>1.37</v>
      </c>
    </row>
    <row r="21" spans="1:75">
      <c r="A21" s="1" t="s">
        <v>706</v>
      </c>
      <c r="B21" s="1" t="s">
        <v>682</v>
      </c>
      <c r="C21" s="1" t="s">
        <v>683</v>
      </c>
      <c r="D21" s="1" t="s">
        <v>1710</v>
      </c>
      <c r="E21" s="1" t="s">
        <v>1898</v>
      </c>
      <c r="F21" s="1">
        <v>4.4999999999999998E-2</v>
      </c>
      <c r="G21" s="1">
        <v>0</v>
      </c>
      <c r="H21" s="1">
        <v>2.3199999999999998</v>
      </c>
      <c r="I21" s="20" t="s">
        <v>691</v>
      </c>
      <c r="J21" s="1" t="s">
        <v>697</v>
      </c>
      <c r="T21" s="1245"/>
      <c r="U21" s="191"/>
      <c r="V21" s="187" t="s">
        <v>1899</v>
      </c>
      <c r="W21" s="188" t="s">
        <v>1833</v>
      </c>
      <c r="X21" s="173"/>
      <c r="Y21" s="189">
        <v>0.9</v>
      </c>
      <c r="Z21" s="190"/>
      <c r="AA21" s="1245"/>
      <c r="AB21" s="191"/>
      <c r="AC21" s="192" t="s">
        <v>1864</v>
      </c>
      <c r="AD21" s="188" t="s">
        <v>1838</v>
      </c>
      <c r="AE21" s="173"/>
      <c r="AF21" s="193">
        <v>2.5299034236042535</v>
      </c>
      <c r="AG21" s="194">
        <v>0.25</v>
      </c>
      <c r="AI21" s="757"/>
      <c r="AJ21" s="195" t="s">
        <v>2709</v>
      </c>
      <c r="AK21" s="186" t="s">
        <v>1710</v>
      </c>
      <c r="AL21" s="747" t="s">
        <v>1898</v>
      </c>
      <c r="AM21" s="747" t="s">
        <v>518</v>
      </c>
      <c r="AN21" s="693" t="s">
        <v>1730</v>
      </c>
      <c r="AO21" s="186">
        <v>4.4999999999999998E-2</v>
      </c>
      <c r="AP21" s="186">
        <v>0</v>
      </c>
      <c r="AQ21" s="12">
        <v>2.3199999999999998</v>
      </c>
      <c r="AR21" s="11" t="s">
        <v>2710</v>
      </c>
      <c r="AS21" s="186" t="s">
        <v>1710</v>
      </c>
      <c r="AT21" s="747" t="s">
        <v>1898</v>
      </c>
      <c r="AU21" s="747" t="s">
        <v>518</v>
      </c>
      <c r="AV21" s="693" t="s">
        <v>1730</v>
      </c>
      <c r="AW21" s="186">
        <v>4.4999999999999998E-2</v>
      </c>
      <c r="AX21" s="186">
        <v>0</v>
      </c>
      <c r="AY21" s="12">
        <v>3</v>
      </c>
      <c r="AZ21" s="11" t="s">
        <v>1970</v>
      </c>
      <c r="BA21" s="186" t="s">
        <v>1710</v>
      </c>
      <c r="BB21" s="747" t="s">
        <v>1984</v>
      </c>
      <c r="BC21" s="747" t="s">
        <v>1730</v>
      </c>
      <c r="BD21" s="747" t="s">
        <v>247</v>
      </c>
      <c r="BE21" s="186">
        <v>7.0000000000000007E-2</v>
      </c>
      <c r="BF21" s="186">
        <v>6.4999999999999997E-3</v>
      </c>
      <c r="BG21" s="12">
        <v>2.58</v>
      </c>
      <c r="BH21" s="11" t="s">
        <v>2047</v>
      </c>
      <c r="BI21" s="186" t="s">
        <v>523</v>
      </c>
      <c r="BJ21" s="747" t="s">
        <v>1220</v>
      </c>
      <c r="BK21" s="747" t="s">
        <v>1171</v>
      </c>
      <c r="BL21" s="747" t="s">
        <v>1730</v>
      </c>
      <c r="BM21" s="186">
        <v>2.2499999999999999E-2</v>
      </c>
      <c r="BN21" s="186">
        <v>0</v>
      </c>
      <c r="BO21" s="12">
        <v>2.23</v>
      </c>
      <c r="BP21" s="11" t="s">
        <v>2078</v>
      </c>
      <c r="BQ21" s="186" t="s">
        <v>523</v>
      </c>
      <c r="BR21" s="747" t="s">
        <v>1228</v>
      </c>
      <c r="BS21" s="747" t="s">
        <v>1171</v>
      </c>
      <c r="BT21" s="747" t="s">
        <v>1730</v>
      </c>
      <c r="BU21" s="186">
        <v>3.6000000000000004E-2</v>
      </c>
      <c r="BV21" s="186">
        <v>0</v>
      </c>
      <c r="BW21" s="12">
        <v>1.37</v>
      </c>
    </row>
    <row r="22" spans="1:75">
      <c r="A22" s="1" t="s">
        <v>707</v>
      </c>
      <c r="B22" s="1" t="s">
        <v>682</v>
      </c>
      <c r="C22" s="1" t="s">
        <v>683</v>
      </c>
      <c r="D22" s="1" t="s">
        <v>1710</v>
      </c>
      <c r="E22" s="1" t="s">
        <v>1900</v>
      </c>
      <c r="F22" s="1">
        <v>4.4999999999999998E-2</v>
      </c>
      <c r="G22" s="1">
        <v>0</v>
      </c>
      <c r="H22" s="1">
        <v>2.3199999999999998</v>
      </c>
      <c r="I22" s="20" t="s">
        <v>684</v>
      </c>
      <c r="J22" s="1" t="s">
        <v>515</v>
      </c>
      <c r="T22" s="1245"/>
      <c r="U22" s="191"/>
      <c r="V22" s="187" t="s">
        <v>1884</v>
      </c>
      <c r="W22" s="188" t="s">
        <v>1824</v>
      </c>
      <c r="X22" s="173"/>
      <c r="Y22" s="189">
        <v>0.7</v>
      </c>
      <c r="Z22" s="190"/>
      <c r="AA22" s="1245"/>
      <c r="AB22" s="191"/>
      <c r="AC22" s="192" t="s">
        <v>1865</v>
      </c>
      <c r="AD22" s="188" t="s">
        <v>1866</v>
      </c>
      <c r="AE22" s="173"/>
      <c r="AF22" s="193">
        <v>2.1578588024859808</v>
      </c>
      <c r="AG22" s="194">
        <v>0.25</v>
      </c>
      <c r="AI22" s="757"/>
      <c r="AJ22" s="195" t="s">
        <v>2709</v>
      </c>
      <c r="AK22" s="186" t="s">
        <v>1710</v>
      </c>
      <c r="AL22" s="747" t="s">
        <v>1900</v>
      </c>
      <c r="AM22" s="747" t="s">
        <v>518</v>
      </c>
      <c r="AN22" s="693" t="s">
        <v>1730</v>
      </c>
      <c r="AO22" s="186">
        <v>4.4999999999999998E-2</v>
      </c>
      <c r="AP22" s="186">
        <v>0</v>
      </c>
      <c r="AQ22" s="12">
        <v>2.3199999999999998</v>
      </c>
      <c r="AR22" s="11" t="s">
        <v>2710</v>
      </c>
      <c r="AS22" s="186" t="s">
        <v>1710</v>
      </c>
      <c r="AT22" s="747" t="s">
        <v>1900</v>
      </c>
      <c r="AU22" s="747" t="s">
        <v>518</v>
      </c>
      <c r="AV22" s="693" t="s">
        <v>1730</v>
      </c>
      <c r="AW22" s="186">
        <v>4.4999999999999998E-2</v>
      </c>
      <c r="AX22" s="186">
        <v>0</v>
      </c>
      <c r="AY22" s="12">
        <v>3</v>
      </c>
      <c r="AZ22" s="11" t="s">
        <v>1970</v>
      </c>
      <c r="BA22" s="186" t="s">
        <v>1710</v>
      </c>
      <c r="BB22" s="747" t="s">
        <v>1987</v>
      </c>
      <c r="BC22" s="747" t="s">
        <v>519</v>
      </c>
      <c r="BD22" s="747" t="s">
        <v>247</v>
      </c>
      <c r="BE22" s="186">
        <v>7.0000000000000007E-2</v>
      </c>
      <c r="BF22" s="186">
        <v>6.4999999999999997E-3</v>
      </c>
      <c r="BG22" s="12">
        <v>2.58</v>
      </c>
      <c r="BH22" s="11" t="s">
        <v>2047</v>
      </c>
      <c r="BI22" s="186" t="s">
        <v>523</v>
      </c>
      <c r="BJ22" s="747" t="s">
        <v>1221</v>
      </c>
      <c r="BK22" s="747" t="s">
        <v>1171</v>
      </c>
      <c r="BL22" s="747" t="s">
        <v>1730</v>
      </c>
      <c r="BM22" s="186">
        <v>2.2499999999999999E-2</v>
      </c>
      <c r="BN22" s="186">
        <v>0</v>
      </c>
      <c r="BO22" s="12">
        <v>2.23</v>
      </c>
      <c r="BP22" s="11" t="s">
        <v>2078</v>
      </c>
      <c r="BQ22" s="186" t="s">
        <v>523</v>
      </c>
      <c r="BR22" s="747" t="s">
        <v>1229</v>
      </c>
      <c r="BS22" s="747" t="s">
        <v>1171</v>
      </c>
      <c r="BT22" s="747" t="s">
        <v>1730</v>
      </c>
      <c r="BU22" s="186">
        <v>3.6000000000000004E-2</v>
      </c>
      <c r="BV22" s="186">
        <v>0</v>
      </c>
      <c r="BW22" s="12">
        <v>1.37</v>
      </c>
    </row>
    <row r="23" spans="1:75">
      <c r="A23" s="1" t="s">
        <v>708</v>
      </c>
      <c r="B23" s="1" t="s">
        <v>682</v>
      </c>
      <c r="C23" s="1" t="s">
        <v>683</v>
      </c>
      <c r="D23" s="1" t="s">
        <v>1710</v>
      </c>
      <c r="E23" s="1" t="s">
        <v>1901</v>
      </c>
      <c r="F23" s="1">
        <v>2.5000000000000001E-2</v>
      </c>
      <c r="G23" s="1">
        <v>0</v>
      </c>
      <c r="H23" s="1">
        <v>2.3199999999999998</v>
      </c>
      <c r="I23" s="20" t="s">
        <v>691</v>
      </c>
      <c r="J23" s="1" t="s">
        <v>700</v>
      </c>
      <c r="T23" s="1245"/>
      <c r="U23" s="191"/>
      <c r="V23" s="174" t="s">
        <v>1902</v>
      </c>
      <c r="W23" s="188" t="s">
        <v>1834</v>
      </c>
      <c r="X23" s="173"/>
      <c r="Y23" s="189">
        <v>0.48888888888888893</v>
      </c>
      <c r="Z23" s="190"/>
      <c r="AA23" s="1245"/>
      <c r="AB23" s="191"/>
      <c r="AC23" s="192" t="s">
        <v>1903</v>
      </c>
      <c r="AD23" s="188" t="s">
        <v>1904</v>
      </c>
      <c r="AE23" s="173"/>
      <c r="AF23" s="193">
        <v>1.9346320298150173</v>
      </c>
      <c r="AG23" s="194">
        <v>0.25</v>
      </c>
      <c r="AI23" s="757"/>
      <c r="AJ23" s="195" t="s">
        <v>2709</v>
      </c>
      <c r="AK23" s="186" t="s">
        <v>1710</v>
      </c>
      <c r="AL23" s="747" t="s">
        <v>1901</v>
      </c>
      <c r="AM23" s="747" t="s">
        <v>519</v>
      </c>
      <c r="AN23" s="693" t="s">
        <v>1730</v>
      </c>
      <c r="AO23" s="186">
        <v>2.5000000000000001E-2</v>
      </c>
      <c r="AP23" s="186">
        <v>0</v>
      </c>
      <c r="AQ23" s="12">
        <v>2.3199999999999998</v>
      </c>
      <c r="AR23" s="11" t="s">
        <v>2710</v>
      </c>
      <c r="AS23" s="186" t="s">
        <v>1710</v>
      </c>
      <c r="AT23" s="747" t="s">
        <v>1901</v>
      </c>
      <c r="AU23" s="747" t="s">
        <v>519</v>
      </c>
      <c r="AV23" s="693" t="s">
        <v>1730</v>
      </c>
      <c r="AW23" s="186">
        <v>2.5000000000000001E-2</v>
      </c>
      <c r="AX23" s="186">
        <v>0</v>
      </c>
      <c r="AY23" s="12">
        <v>3</v>
      </c>
      <c r="AZ23" s="11" t="s">
        <v>1970</v>
      </c>
      <c r="BA23" s="186" t="s">
        <v>1710</v>
      </c>
      <c r="BB23" s="747" t="s">
        <v>1988</v>
      </c>
      <c r="BC23" s="747" t="s">
        <v>519</v>
      </c>
      <c r="BD23" s="747" t="s">
        <v>247</v>
      </c>
      <c r="BE23" s="186">
        <v>7.0000000000000007E-2</v>
      </c>
      <c r="BF23" s="186">
        <v>6.4999999999999997E-3</v>
      </c>
      <c r="BG23" s="12">
        <v>2.58</v>
      </c>
      <c r="BH23" s="758" t="s">
        <v>2762</v>
      </c>
      <c r="BI23" s="759" t="s">
        <v>1710</v>
      </c>
      <c r="BJ23" s="760" t="s">
        <v>1905</v>
      </c>
      <c r="BK23" s="760" t="s">
        <v>519</v>
      </c>
      <c r="BL23" s="760" t="s">
        <v>1730</v>
      </c>
      <c r="BM23" s="759">
        <v>1.2500000000000001E-2</v>
      </c>
      <c r="BN23" s="759">
        <v>0</v>
      </c>
      <c r="BO23" s="761">
        <v>2.23</v>
      </c>
      <c r="BP23" s="685" t="s">
        <v>2078</v>
      </c>
      <c r="BQ23" s="686" t="s">
        <v>2496</v>
      </c>
      <c r="BR23" s="687" t="s">
        <v>2497</v>
      </c>
      <c r="BS23" s="687" t="s">
        <v>1730</v>
      </c>
      <c r="BT23" s="687" t="s">
        <v>1730</v>
      </c>
      <c r="BU23" s="686">
        <v>7.4999999999999997E-2</v>
      </c>
      <c r="BV23" s="686">
        <v>0</v>
      </c>
      <c r="BW23" s="688">
        <v>1.37</v>
      </c>
    </row>
    <row r="24" spans="1:75">
      <c r="A24" s="1" t="s">
        <v>709</v>
      </c>
      <c r="B24" s="1" t="s">
        <v>682</v>
      </c>
      <c r="C24" s="1" t="s">
        <v>683</v>
      </c>
      <c r="D24" s="1" t="s">
        <v>1710</v>
      </c>
      <c r="E24" s="1" t="s">
        <v>1905</v>
      </c>
      <c r="F24" s="1">
        <v>2.5000000000000001E-2</v>
      </c>
      <c r="G24" s="1">
        <v>0</v>
      </c>
      <c r="H24" s="1">
        <v>2.3199999999999998</v>
      </c>
      <c r="I24" s="20" t="s">
        <v>710</v>
      </c>
      <c r="J24" s="1" t="s">
        <v>516</v>
      </c>
      <c r="T24" s="1245"/>
      <c r="U24" s="191"/>
      <c r="V24" s="187" t="s">
        <v>1906</v>
      </c>
      <c r="W24" s="188" t="s">
        <v>1907</v>
      </c>
      <c r="X24" s="173"/>
      <c r="Y24" s="189">
        <v>0.4</v>
      </c>
      <c r="Z24" s="190"/>
      <c r="AA24" s="1245"/>
      <c r="AB24" s="191"/>
      <c r="AC24" s="192" t="s">
        <v>1908</v>
      </c>
      <c r="AD24" s="188" t="s">
        <v>1839</v>
      </c>
      <c r="AE24" s="173"/>
      <c r="AF24" s="193">
        <v>1.3</v>
      </c>
      <c r="AG24" s="194">
        <v>0.25</v>
      </c>
      <c r="AI24" s="757"/>
      <c r="AJ24" s="195" t="s">
        <v>2762</v>
      </c>
      <c r="AK24" s="186" t="s">
        <v>1710</v>
      </c>
      <c r="AL24" s="747" t="s">
        <v>1905</v>
      </c>
      <c r="AM24" s="747" t="s">
        <v>519</v>
      </c>
      <c r="AN24" s="693" t="s">
        <v>1730</v>
      </c>
      <c r="AO24" s="186">
        <v>2.5000000000000001E-2</v>
      </c>
      <c r="AP24" s="186">
        <v>0</v>
      </c>
      <c r="AQ24" s="12">
        <v>2.3199999999999998</v>
      </c>
      <c r="AR24" s="11" t="s">
        <v>2763</v>
      </c>
      <c r="AS24" s="186" t="s">
        <v>1710</v>
      </c>
      <c r="AT24" s="747" t="s">
        <v>1905</v>
      </c>
      <c r="AU24" s="747" t="s">
        <v>519</v>
      </c>
      <c r="AV24" s="693" t="s">
        <v>1730</v>
      </c>
      <c r="AW24" s="186">
        <v>2.5000000000000001E-2</v>
      </c>
      <c r="AX24" s="186">
        <v>0</v>
      </c>
      <c r="AY24" s="12">
        <v>3</v>
      </c>
      <c r="AZ24" s="11" t="s">
        <v>1970</v>
      </c>
      <c r="BA24" s="186" t="s">
        <v>1710</v>
      </c>
      <c r="BB24" s="747" t="s">
        <v>1989</v>
      </c>
      <c r="BC24" s="747" t="s">
        <v>520</v>
      </c>
      <c r="BD24" s="747" t="s">
        <v>247</v>
      </c>
      <c r="BE24" s="186">
        <v>3.5000000000000003E-2</v>
      </c>
      <c r="BF24" s="186">
        <v>3.2499999999999999E-3</v>
      </c>
      <c r="BG24" s="12">
        <v>2.58</v>
      </c>
      <c r="BH24" s="758" t="s">
        <v>2762</v>
      </c>
      <c r="BI24" s="759" t="s">
        <v>1710</v>
      </c>
      <c r="BJ24" s="760" t="s">
        <v>1911</v>
      </c>
      <c r="BK24" s="760" t="s">
        <v>520</v>
      </c>
      <c r="BL24" s="760" t="s">
        <v>1730</v>
      </c>
      <c r="BM24" s="759">
        <v>6.2500000000000003E-3</v>
      </c>
      <c r="BN24" s="759">
        <v>0</v>
      </c>
      <c r="BO24" s="761">
        <v>2.23</v>
      </c>
      <c r="BP24" s="685" t="s">
        <v>2078</v>
      </c>
      <c r="BQ24" s="686" t="s">
        <v>2496</v>
      </c>
      <c r="BR24" s="687" t="s">
        <v>2498</v>
      </c>
      <c r="BS24" s="687" t="s">
        <v>1730</v>
      </c>
      <c r="BT24" s="687" t="s">
        <v>1730</v>
      </c>
      <c r="BU24" s="686">
        <v>3.7499999999999999E-2</v>
      </c>
      <c r="BV24" s="686">
        <v>0</v>
      </c>
      <c r="BW24" s="688">
        <v>1.37</v>
      </c>
    </row>
    <row r="25" spans="1:75">
      <c r="A25" s="1" t="s">
        <v>711</v>
      </c>
      <c r="B25" s="1" t="s">
        <v>682</v>
      </c>
      <c r="C25" s="1" t="s">
        <v>683</v>
      </c>
      <c r="D25" s="1" t="s">
        <v>1710</v>
      </c>
      <c r="E25" s="1" t="s">
        <v>1909</v>
      </c>
      <c r="F25" s="1">
        <v>1.2500000000000001E-2</v>
      </c>
      <c r="G25" s="1">
        <v>0</v>
      </c>
      <c r="H25" s="1">
        <v>2.3199999999999998</v>
      </c>
      <c r="I25" s="20" t="s">
        <v>691</v>
      </c>
      <c r="J25" s="1" t="s">
        <v>703</v>
      </c>
      <c r="T25" s="1245"/>
      <c r="U25" s="191"/>
      <c r="V25" s="187" t="s">
        <v>1803</v>
      </c>
      <c r="W25" s="188" t="s">
        <v>1890</v>
      </c>
      <c r="X25" s="173"/>
      <c r="Y25" s="189">
        <v>0.13</v>
      </c>
      <c r="Z25" s="190"/>
      <c r="AA25" s="1245"/>
      <c r="AB25" s="191"/>
      <c r="AC25" s="192" t="s">
        <v>1877</v>
      </c>
      <c r="AD25" s="188" t="s">
        <v>1910</v>
      </c>
      <c r="AE25" s="173"/>
      <c r="AF25" s="193">
        <v>0.7</v>
      </c>
      <c r="AG25" s="194">
        <v>0.09</v>
      </c>
      <c r="AI25" s="757"/>
      <c r="AJ25" s="195" t="s">
        <v>2762</v>
      </c>
      <c r="AK25" s="186" t="s">
        <v>1710</v>
      </c>
      <c r="AL25" s="747" t="s">
        <v>1909</v>
      </c>
      <c r="AM25" s="747" t="s">
        <v>520</v>
      </c>
      <c r="AN25" s="693" t="s">
        <v>1730</v>
      </c>
      <c r="AO25" s="186">
        <v>1.2500000000000001E-2</v>
      </c>
      <c r="AP25" s="186">
        <v>0</v>
      </c>
      <c r="AQ25" s="12">
        <v>2.3199999999999998</v>
      </c>
      <c r="AR25" s="11" t="s">
        <v>2763</v>
      </c>
      <c r="AS25" s="186" t="s">
        <v>1710</v>
      </c>
      <c r="AT25" s="747" t="s">
        <v>1909</v>
      </c>
      <c r="AU25" s="747" t="s">
        <v>520</v>
      </c>
      <c r="AV25" s="693" t="s">
        <v>1730</v>
      </c>
      <c r="AW25" s="186">
        <v>1.2500000000000001E-2</v>
      </c>
      <c r="AX25" s="186">
        <v>0</v>
      </c>
      <c r="AY25" s="12">
        <v>3</v>
      </c>
      <c r="AZ25" s="11" t="s">
        <v>1970</v>
      </c>
      <c r="BA25" s="186" t="s">
        <v>1710</v>
      </c>
      <c r="BB25" s="747" t="s">
        <v>1990</v>
      </c>
      <c r="BC25" s="747" t="s">
        <v>520</v>
      </c>
      <c r="BD25" s="747" t="s">
        <v>247</v>
      </c>
      <c r="BE25" s="186">
        <v>3.5000000000000003E-2</v>
      </c>
      <c r="BF25" s="186">
        <v>3.2499999999999999E-3</v>
      </c>
      <c r="BG25" s="12">
        <v>2.58</v>
      </c>
      <c r="BH25" s="685" t="s">
        <v>2047</v>
      </c>
      <c r="BI25" s="686" t="s">
        <v>2496</v>
      </c>
      <c r="BJ25" s="687" t="s">
        <v>2499</v>
      </c>
      <c r="BK25" s="687" t="s">
        <v>1730</v>
      </c>
      <c r="BL25" s="687" t="s">
        <v>1730</v>
      </c>
      <c r="BM25" s="686">
        <v>2.5000000000000001E-2</v>
      </c>
      <c r="BN25" s="686">
        <v>0</v>
      </c>
      <c r="BO25" s="688">
        <v>2.23</v>
      </c>
      <c r="BP25" s="685" t="s">
        <v>2078</v>
      </c>
      <c r="BQ25" s="686" t="s">
        <v>2496</v>
      </c>
      <c r="BR25" s="687" t="s">
        <v>2500</v>
      </c>
      <c r="BS25" s="687" t="s">
        <v>1180</v>
      </c>
      <c r="BT25" s="687" t="s">
        <v>1730</v>
      </c>
      <c r="BU25" s="686">
        <v>5.6249999999999994E-2</v>
      </c>
      <c r="BV25" s="686">
        <v>0</v>
      </c>
      <c r="BW25" s="688">
        <v>1.37</v>
      </c>
    </row>
    <row r="26" spans="1:75">
      <c r="A26" s="1" t="s">
        <v>712</v>
      </c>
      <c r="B26" s="1" t="s">
        <v>682</v>
      </c>
      <c r="C26" s="1" t="s">
        <v>683</v>
      </c>
      <c r="D26" s="1" t="s">
        <v>1710</v>
      </c>
      <c r="E26" s="1" t="s">
        <v>1911</v>
      </c>
      <c r="F26" s="1">
        <v>1.2500000000000001E-2</v>
      </c>
      <c r="G26" s="1">
        <v>0</v>
      </c>
      <c r="H26" s="1">
        <v>2.3199999999999998</v>
      </c>
      <c r="I26" s="20" t="s">
        <v>713</v>
      </c>
      <c r="J26" s="1" t="s">
        <v>517</v>
      </c>
      <c r="T26" s="1245"/>
      <c r="U26" s="215"/>
      <c r="V26" s="216" t="s">
        <v>2764</v>
      </c>
      <c r="W26" s="180" t="s">
        <v>2765</v>
      </c>
      <c r="X26" s="173"/>
      <c r="Y26" s="217">
        <v>7.0000000000000007E-2</v>
      </c>
      <c r="Z26" s="190"/>
      <c r="AA26" s="1245"/>
      <c r="AB26" s="191"/>
      <c r="AC26" s="192" t="s">
        <v>1713</v>
      </c>
      <c r="AD26" s="188" t="s">
        <v>1912</v>
      </c>
      <c r="AE26" s="173"/>
      <c r="AF26" s="193">
        <v>0.49</v>
      </c>
      <c r="AG26" s="194">
        <v>0.06</v>
      </c>
      <c r="AI26" s="757"/>
      <c r="AJ26" s="195" t="s">
        <v>2709</v>
      </c>
      <c r="AK26" s="186" t="s">
        <v>1710</v>
      </c>
      <c r="AL26" s="747" t="s">
        <v>1911</v>
      </c>
      <c r="AM26" s="747" t="s">
        <v>520</v>
      </c>
      <c r="AN26" s="693" t="s">
        <v>1730</v>
      </c>
      <c r="AO26" s="186">
        <v>1.2500000000000001E-2</v>
      </c>
      <c r="AP26" s="186">
        <v>0</v>
      </c>
      <c r="AQ26" s="12">
        <v>2.3199999999999998</v>
      </c>
      <c r="AR26" s="11" t="s">
        <v>2710</v>
      </c>
      <c r="AS26" s="186" t="s">
        <v>1710</v>
      </c>
      <c r="AT26" s="747" t="s">
        <v>1911</v>
      </c>
      <c r="AU26" s="747" t="s">
        <v>520</v>
      </c>
      <c r="AV26" s="693" t="s">
        <v>1730</v>
      </c>
      <c r="AW26" s="186">
        <v>1.2500000000000001E-2</v>
      </c>
      <c r="AX26" s="186">
        <v>0</v>
      </c>
      <c r="AY26" s="12">
        <v>3</v>
      </c>
      <c r="AZ26" s="11" t="s">
        <v>1970</v>
      </c>
      <c r="BA26" s="186" t="s">
        <v>523</v>
      </c>
      <c r="BB26" s="747" t="s">
        <v>563</v>
      </c>
      <c r="BC26" s="747" t="s">
        <v>1730</v>
      </c>
      <c r="BD26" s="747" t="s">
        <v>248</v>
      </c>
      <c r="BE26" s="186">
        <v>0.08</v>
      </c>
      <c r="BF26" s="186">
        <v>5.0000000000000001E-3</v>
      </c>
      <c r="BG26" s="12">
        <v>2.58</v>
      </c>
      <c r="BH26" s="685" t="s">
        <v>2047</v>
      </c>
      <c r="BI26" s="686" t="s">
        <v>2496</v>
      </c>
      <c r="BJ26" s="687" t="s">
        <v>2501</v>
      </c>
      <c r="BK26" s="687" t="s">
        <v>1730</v>
      </c>
      <c r="BL26" s="687" t="s">
        <v>1730</v>
      </c>
      <c r="BM26" s="686">
        <v>1.2500000000000001E-2</v>
      </c>
      <c r="BN26" s="686">
        <v>0</v>
      </c>
      <c r="BO26" s="688">
        <v>2.23</v>
      </c>
      <c r="BP26" s="685" t="s">
        <v>2078</v>
      </c>
      <c r="BQ26" s="686" t="s">
        <v>2496</v>
      </c>
      <c r="BR26" s="687" t="s">
        <v>2502</v>
      </c>
      <c r="BS26" s="687" t="s">
        <v>1180</v>
      </c>
      <c r="BT26" s="687" t="s">
        <v>1730</v>
      </c>
      <c r="BU26" s="686">
        <v>5.6249999999999994E-2</v>
      </c>
      <c r="BV26" s="686">
        <v>0</v>
      </c>
      <c r="BW26" s="688">
        <v>1.37</v>
      </c>
    </row>
    <row r="27" spans="1:75">
      <c r="A27" s="1" t="s">
        <v>714</v>
      </c>
      <c r="B27" s="1" t="s">
        <v>682</v>
      </c>
      <c r="C27" s="1" t="s">
        <v>683</v>
      </c>
      <c r="D27" s="1" t="s">
        <v>1710</v>
      </c>
      <c r="E27" s="1" t="s">
        <v>521</v>
      </c>
      <c r="F27" s="1">
        <v>4.4999999999999998E-2</v>
      </c>
      <c r="G27" s="1">
        <v>0</v>
      </c>
      <c r="H27" s="1">
        <v>2.3199999999999998</v>
      </c>
      <c r="I27" s="20" t="s">
        <v>691</v>
      </c>
      <c r="J27" s="1" t="s">
        <v>697</v>
      </c>
      <c r="T27" s="1245"/>
      <c r="U27" s="218" t="s">
        <v>1913</v>
      </c>
      <c r="V27" s="201" t="s">
        <v>1862</v>
      </c>
      <c r="W27" s="206" t="s">
        <v>1817</v>
      </c>
      <c r="X27" s="202" t="s">
        <v>1914</v>
      </c>
      <c r="Y27" s="212">
        <v>1.167843710106818</v>
      </c>
      <c r="Z27" s="190"/>
      <c r="AA27" s="1245"/>
      <c r="AB27" s="219"/>
      <c r="AC27" s="210" t="s">
        <v>2757</v>
      </c>
      <c r="AD27" s="209" t="s">
        <v>2761</v>
      </c>
      <c r="AE27" s="173"/>
      <c r="AF27" s="213">
        <v>0.25</v>
      </c>
      <c r="AG27" s="214">
        <v>1.4999999999999999E-2</v>
      </c>
      <c r="AI27" s="757"/>
      <c r="AJ27" s="195" t="s">
        <v>2766</v>
      </c>
      <c r="AK27" s="186" t="s">
        <v>523</v>
      </c>
      <c r="AL27" s="747" t="s">
        <v>524</v>
      </c>
      <c r="AM27" s="747" t="s">
        <v>1730</v>
      </c>
      <c r="AN27" s="693" t="s">
        <v>1730</v>
      </c>
      <c r="AO27" s="186">
        <v>0.05</v>
      </c>
      <c r="AP27" s="186">
        <v>0</v>
      </c>
      <c r="AQ27" s="12">
        <v>2.3199999999999998</v>
      </c>
      <c r="AR27" s="11" t="s">
        <v>2767</v>
      </c>
      <c r="AS27" s="186" t="s">
        <v>523</v>
      </c>
      <c r="AT27" s="747" t="s">
        <v>524</v>
      </c>
      <c r="AU27" s="747" t="s">
        <v>1730</v>
      </c>
      <c r="AV27" s="693" t="s">
        <v>1730</v>
      </c>
      <c r="AW27" s="186">
        <v>0.05</v>
      </c>
      <c r="AX27" s="186">
        <v>0</v>
      </c>
      <c r="AY27" s="12">
        <v>3</v>
      </c>
      <c r="AZ27" s="11" t="s">
        <v>1970</v>
      </c>
      <c r="BA27" s="186" t="s">
        <v>523</v>
      </c>
      <c r="BB27" s="747" t="s">
        <v>565</v>
      </c>
      <c r="BC27" s="747" t="s">
        <v>1730</v>
      </c>
      <c r="BD27" s="747" t="s">
        <v>248</v>
      </c>
      <c r="BE27" s="186">
        <v>0.04</v>
      </c>
      <c r="BF27" s="186">
        <v>2.5000000000000001E-3</v>
      </c>
      <c r="BG27" s="12">
        <v>2.58</v>
      </c>
      <c r="BH27" s="685" t="s">
        <v>2047</v>
      </c>
      <c r="BI27" s="686" t="s">
        <v>2496</v>
      </c>
      <c r="BJ27" s="687" t="s">
        <v>2503</v>
      </c>
      <c r="BK27" s="687" t="s">
        <v>1180</v>
      </c>
      <c r="BL27" s="687" t="s">
        <v>1730</v>
      </c>
      <c r="BM27" s="686">
        <v>1.8749999999999999E-2</v>
      </c>
      <c r="BN27" s="686">
        <v>0</v>
      </c>
      <c r="BO27" s="688">
        <v>2.23</v>
      </c>
      <c r="BP27" s="685" t="s">
        <v>2078</v>
      </c>
      <c r="BQ27" s="686" t="s">
        <v>2496</v>
      </c>
      <c r="BR27" s="687" t="s">
        <v>2504</v>
      </c>
      <c r="BS27" s="687" t="s">
        <v>277</v>
      </c>
      <c r="BT27" s="687" t="s">
        <v>1730</v>
      </c>
      <c r="BU27" s="686">
        <v>3.7499999999999999E-2</v>
      </c>
      <c r="BV27" s="686">
        <v>0</v>
      </c>
      <c r="BW27" s="688">
        <v>1.37</v>
      </c>
    </row>
    <row r="28" spans="1:75">
      <c r="A28" s="1" t="s">
        <v>715</v>
      </c>
      <c r="B28" s="1" t="s">
        <v>682</v>
      </c>
      <c r="C28" s="1" t="s">
        <v>683</v>
      </c>
      <c r="D28" s="1" t="s">
        <v>1710</v>
      </c>
      <c r="E28" s="1" t="s">
        <v>522</v>
      </c>
      <c r="F28" s="1">
        <v>4.4999999999999998E-2</v>
      </c>
      <c r="G28" s="1">
        <v>0</v>
      </c>
      <c r="H28" s="1">
        <v>2.3199999999999998</v>
      </c>
      <c r="I28" s="20" t="s">
        <v>684</v>
      </c>
      <c r="J28" s="1" t="s">
        <v>515</v>
      </c>
      <c r="T28" s="1245"/>
      <c r="V28" s="187" t="s">
        <v>1864</v>
      </c>
      <c r="W28" s="188" t="s">
        <v>1805</v>
      </c>
      <c r="X28" s="173"/>
      <c r="Y28" s="189">
        <v>0.82879231039838697</v>
      </c>
      <c r="Z28" s="190"/>
      <c r="AA28" s="1245"/>
      <c r="AB28" s="220" t="s">
        <v>1913</v>
      </c>
      <c r="AC28" s="205" t="s">
        <v>1862</v>
      </c>
      <c r="AD28" s="206" t="s">
        <v>1817</v>
      </c>
      <c r="AE28" s="202" t="s">
        <v>1914</v>
      </c>
      <c r="AF28" s="207">
        <v>0.9030642837233096</v>
      </c>
      <c r="AG28" s="221">
        <v>6.5000000000000002E-2</v>
      </c>
      <c r="AI28" s="757"/>
      <c r="AJ28" s="195" t="s">
        <v>2709</v>
      </c>
      <c r="AK28" s="186" t="s">
        <v>523</v>
      </c>
      <c r="AL28" s="747" t="s">
        <v>525</v>
      </c>
      <c r="AM28" s="747" t="s">
        <v>1730</v>
      </c>
      <c r="AN28" s="693" t="s">
        <v>1730</v>
      </c>
      <c r="AO28" s="186">
        <v>2.5000000000000001E-2</v>
      </c>
      <c r="AP28" s="186">
        <v>0</v>
      </c>
      <c r="AQ28" s="12">
        <v>2.3199999999999998</v>
      </c>
      <c r="AR28" s="11" t="s">
        <v>2710</v>
      </c>
      <c r="AS28" s="186" t="s">
        <v>523</v>
      </c>
      <c r="AT28" s="747" t="s">
        <v>525</v>
      </c>
      <c r="AU28" s="747" t="s">
        <v>1730</v>
      </c>
      <c r="AV28" s="693" t="s">
        <v>1730</v>
      </c>
      <c r="AW28" s="186">
        <v>2.5000000000000001E-2</v>
      </c>
      <c r="AX28" s="186">
        <v>0</v>
      </c>
      <c r="AY28" s="12">
        <v>3</v>
      </c>
      <c r="AZ28" s="11" t="s">
        <v>1970</v>
      </c>
      <c r="BA28" s="186" t="s">
        <v>523</v>
      </c>
      <c r="BB28" s="747" t="s">
        <v>567</v>
      </c>
      <c r="BC28" s="747" t="s">
        <v>519</v>
      </c>
      <c r="BD28" s="747" t="s">
        <v>248</v>
      </c>
      <c r="BE28" s="186">
        <v>0.04</v>
      </c>
      <c r="BF28" s="186">
        <v>2.5000000000000001E-3</v>
      </c>
      <c r="BG28" s="12">
        <v>2.58</v>
      </c>
      <c r="BH28" s="685" t="s">
        <v>2047</v>
      </c>
      <c r="BI28" s="686" t="s">
        <v>2496</v>
      </c>
      <c r="BJ28" s="687" t="s">
        <v>2505</v>
      </c>
      <c r="BK28" s="687" t="s">
        <v>1180</v>
      </c>
      <c r="BL28" s="687" t="s">
        <v>1730</v>
      </c>
      <c r="BM28" s="686">
        <v>1.8749999999999999E-2</v>
      </c>
      <c r="BN28" s="686">
        <v>0</v>
      </c>
      <c r="BO28" s="688">
        <v>2.23</v>
      </c>
      <c r="BP28" s="685" t="s">
        <v>2078</v>
      </c>
      <c r="BQ28" s="686" t="s">
        <v>2496</v>
      </c>
      <c r="BR28" s="687" t="s">
        <v>2506</v>
      </c>
      <c r="BS28" s="687" t="s">
        <v>277</v>
      </c>
      <c r="BT28" s="687" t="s">
        <v>1730</v>
      </c>
      <c r="BU28" s="686">
        <v>3.7499999999999999E-2</v>
      </c>
      <c r="BV28" s="686">
        <v>0</v>
      </c>
      <c r="BW28" s="688">
        <v>1.37</v>
      </c>
    </row>
    <row r="29" spans="1:75">
      <c r="A29" s="1" t="s">
        <v>716</v>
      </c>
      <c r="B29" s="1" t="s">
        <v>682</v>
      </c>
      <c r="C29" s="1" t="s">
        <v>683</v>
      </c>
      <c r="D29" s="1" t="s">
        <v>523</v>
      </c>
      <c r="E29" s="1" t="s">
        <v>524</v>
      </c>
      <c r="F29" s="1">
        <v>0.05</v>
      </c>
      <c r="G29" s="1">
        <v>0</v>
      </c>
      <c r="I29" s="20"/>
      <c r="T29" s="1245"/>
      <c r="U29" s="173"/>
      <c r="V29" s="187" t="s">
        <v>1899</v>
      </c>
      <c r="W29" s="188" t="s">
        <v>1833</v>
      </c>
      <c r="X29" s="173"/>
      <c r="Y29" s="189">
        <v>0.56508566618071843</v>
      </c>
      <c r="Z29" s="190"/>
      <c r="AA29" s="1245"/>
      <c r="AB29" s="191"/>
      <c r="AC29" s="192" t="s">
        <v>1864</v>
      </c>
      <c r="AD29" s="188" t="s">
        <v>1838</v>
      </c>
      <c r="AE29" s="173"/>
      <c r="AF29" s="193">
        <v>0.75</v>
      </c>
      <c r="AG29" s="222">
        <v>6.5000000000000002E-2</v>
      </c>
      <c r="AI29" s="757"/>
      <c r="AJ29" s="195" t="s">
        <v>2709</v>
      </c>
      <c r="AK29" s="186" t="s">
        <v>523</v>
      </c>
      <c r="AL29" s="747" t="s">
        <v>526</v>
      </c>
      <c r="AM29" s="747" t="s">
        <v>519</v>
      </c>
      <c r="AN29" s="693" t="s">
        <v>1730</v>
      </c>
      <c r="AO29" s="186">
        <v>2.5000000000000001E-2</v>
      </c>
      <c r="AP29" s="186">
        <v>0</v>
      </c>
      <c r="AQ29" s="12">
        <v>2.3199999999999998</v>
      </c>
      <c r="AR29" s="11" t="s">
        <v>2710</v>
      </c>
      <c r="AS29" s="186" t="s">
        <v>523</v>
      </c>
      <c r="AT29" s="747" t="s">
        <v>526</v>
      </c>
      <c r="AU29" s="747" t="s">
        <v>519</v>
      </c>
      <c r="AV29" s="693" t="s">
        <v>1730</v>
      </c>
      <c r="AW29" s="186">
        <v>2.5000000000000001E-2</v>
      </c>
      <c r="AX29" s="186">
        <v>0</v>
      </c>
      <c r="AY29" s="12">
        <v>3</v>
      </c>
      <c r="AZ29" s="11" t="s">
        <v>1970</v>
      </c>
      <c r="BA29" s="186" t="s">
        <v>523</v>
      </c>
      <c r="BB29" s="747" t="s">
        <v>569</v>
      </c>
      <c r="BC29" s="747" t="s">
        <v>519</v>
      </c>
      <c r="BD29" s="747" t="s">
        <v>248</v>
      </c>
      <c r="BE29" s="186">
        <v>0.04</v>
      </c>
      <c r="BF29" s="186">
        <v>2.5000000000000001E-3</v>
      </c>
      <c r="BG29" s="12">
        <v>2.58</v>
      </c>
      <c r="BH29" s="685" t="s">
        <v>2047</v>
      </c>
      <c r="BI29" s="686" t="s">
        <v>2496</v>
      </c>
      <c r="BJ29" s="687" t="s">
        <v>2507</v>
      </c>
      <c r="BK29" s="687" t="s">
        <v>277</v>
      </c>
      <c r="BL29" s="687" t="s">
        <v>1730</v>
      </c>
      <c r="BM29" s="686">
        <v>1.2500000000000001E-2</v>
      </c>
      <c r="BN29" s="686">
        <v>0</v>
      </c>
      <c r="BO29" s="688">
        <v>2.23</v>
      </c>
      <c r="BP29" s="685" t="s">
        <v>2078</v>
      </c>
      <c r="BQ29" s="686" t="s">
        <v>2496</v>
      </c>
      <c r="BR29" s="687" t="s">
        <v>2508</v>
      </c>
      <c r="BS29" s="687" t="s">
        <v>2482</v>
      </c>
      <c r="BT29" s="687" t="s">
        <v>1730</v>
      </c>
      <c r="BU29" s="686">
        <v>1.8749999999999999E-2</v>
      </c>
      <c r="BV29" s="686">
        <v>0</v>
      </c>
      <c r="BW29" s="688">
        <v>1.37</v>
      </c>
    </row>
    <row r="30" spans="1:75">
      <c r="A30" s="1" t="s">
        <v>717</v>
      </c>
      <c r="B30" s="1" t="s">
        <v>682</v>
      </c>
      <c r="C30" s="1" t="s">
        <v>683</v>
      </c>
      <c r="D30" s="1" t="s">
        <v>523</v>
      </c>
      <c r="E30" s="1" t="s">
        <v>525</v>
      </c>
      <c r="F30" s="1">
        <v>2.5000000000000001E-2</v>
      </c>
      <c r="G30" s="1">
        <v>0</v>
      </c>
      <c r="I30" s="20"/>
      <c r="J30" s="1" t="s">
        <v>692</v>
      </c>
      <c r="T30" s="1245"/>
      <c r="U30" s="173"/>
      <c r="V30" s="187" t="s">
        <v>1884</v>
      </c>
      <c r="W30" s="188" t="s">
        <v>1824</v>
      </c>
      <c r="X30" s="173"/>
      <c r="Y30" s="189">
        <v>0.48974091068995595</v>
      </c>
      <c r="Z30" s="190"/>
      <c r="AA30" s="1245"/>
      <c r="AB30" s="191"/>
      <c r="AC30" s="192" t="s">
        <v>1865</v>
      </c>
      <c r="AD30" s="188" t="s">
        <v>1866</v>
      </c>
      <c r="AE30" s="173"/>
      <c r="AF30" s="193">
        <v>0.65298494361531612</v>
      </c>
      <c r="AG30" s="222">
        <v>6.5000000000000002E-2</v>
      </c>
      <c r="AI30" s="757"/>
      <c r="AJ30" s="195" t="s">
        <v>2766</v>
      </c>
      <c r="AK30" s="186" t="s">
        <v>523</v>
      </c>
      <c r="AL30" s="747" t="s">
        <v>527</v>
      </c>
      <c r="AM30" s="747" t="s">
        <v>519</v>
      </c>
      <c r="AN30" s="693" t="s">
        <v>1730</v>
      </c>
      <c r="AO30" s="186">
        <v>2.5000000000000001E-2</v>
      </c>
      <c r="AP30" s="186">
        <v>0</v>
      </c>
      <c r="AQ30" s="12">
        <v>2.3199999999999998</v>
      </c>
      <c r="AR30" s="11" t="s">
        <v>2710</v>
      </c>
      <c r="AS30" s="186" t="s">
        <v>523</v>
      </c>
      <c r="AT30" s="747" t="s">
        <v>527</v>
      </c>
      <c r="AU30" s="747" t="s">
        <v>519</v>
      </c>
      <c r="AV30" s="693" t="s">
        <v>1730</v>
      </c>
      <c r="AW30" s="186">
        <v>2.5000000000000001E-2</v>
      </c>
      <c r="AX30" s="186">
        <v>0</v>
      </c>
      <c r="AY30" s="12">
        <v>3</v>
      </c>
      <c r="AZ30" s="11" t="s">
        <v>1970</v>
      </c>
      <c r="BA30" s="186" t="s">
        <v>523</v>
      </c>
      <c r="BB30" s="747" t="s">
        <v>571</v>
      </c>
      <c r="BC30" s="747" t="s">
        <v>520</v>
      </c>
      <c r="BD30" s="747" t="s">
        <v>248</v>
      </c>
      <c r="BE30" s="186">
        <v>0.02</v>
      </c>
      <c r="BF30" s="186">
        <v>1.25E-3</v>
      </c>
      <c r="BG30" s="12">
        <v>2.58</v>
      </c>
      <c r="BH30" s="685" t="s">
        <v>2047</v>
      </c>
      <c r="BI30" s="686" t="s">
        <v>2496</v>
      </c>
      <c r="BJ30" s="687" t="s">
        <v>2509</v>
      </c>
      <c r="BK30" s="687" t="s">
        <v>277</v>
      </c>
      <c r="BL30" s="687" t="s">
        <v>1730</v>
      </c>
      <c r="BM30" s="686">
        <v>1.2500000000000001E-2</v>
      </c>
      <c r="BN30" s="686">
        <v>0</v>
      </c>
      <c r="BO30" s="688">
        <v>2.23</v>
      </c>
      <c r="BP30" s="685" t="s">
        <v>2078</v>
      </c>
      <c r="BQ30" s="686" t="s">
        <v>2496</v>
      </c>
      <c r="BR30" s="687" t="s">
        <v>2510</v>
      </c>
      <c r="BS30" s="687" t="s">
        <v>2482</v>
      </c>
      <c r="BT30" s="687" t="s">
        <v>1730</v>
      </c>
      <c r="BU30" s="686">
        <v>1.8749999999999999E-2</v>
      </c>
      <c r="BV30" s="686">
        <v>0</v>
      </c>
      <c r="BW30" s="688">
        <v>1.37</v>
      </c>
    </row>
    <row r="31" spans="1:75">
      <c r="A31" s="1" t="s">
        <v>718</v>
      </c>
      <c r="B31" s="1" t="s">
        <v>682</v>
      </c>
      <c r="C31" s="1" t="s">
        <v>683</v>
      </c>
      <c r="D31" s="1" t="s">
        <v>523</v>
      </c>
      <c r="E31" s="1" t="s">
        <v>526</v>
      </c>
      <c r="F31" s="1">
        <v>2.5000000000000001E-2</v>
      </c>
      <c r="G31" s="1">
        <v>0</v>
      </c>
      <c r="I31" s="20"/>
      <c r="J31" s="1" t="s">
        <v>519</v>
      </c>
      <c r="T31" s="1245"/>
      <c r="U31" s="173"/>
      <c r="V31" s="174" t="s">
        <v>1902</v>
      </c>
      <c r="W31" s="188" t="s">
        <v>1834</v>
      </c>
      <c r="X31" s="173"/>
      <c r="Y31" s="189">
        <v>0.39770679654841412</v>
      </c>
      <c r="Z31" s="190"/>
      <c r="AA31" s="1245"/>
      <c r="AB31" s="191"/>
      <c r="AC31" s="192" t="s">
        <v>1915</v>
      </c>
      <c r="AD31" s="188" t="s">
        <v>1916</v>
      </c>
      <c r="AE31" s="173"/>
      <c r="AF31" s="193">
        <v>0.55573186690665199</v>
      </c>
      <c r="AG31" s="222">
        <v>6.5000000000000002E-2</v>
      </c>
      <c r="AI31" s="757"/>
      <c r="AJ31" s="195" t="s">
        <v>2709</v>
      </c>
      <c r="AK31" s="186" t="s">
        <v>523</v>
      </c>
      <c r="AL31" s="747" t="s">
        <v>528</v>
      </c>
      <c r="AM31" s="747" t="s">
        <v>520</v>
      </c>
      <c r="AN31" s="693" t="s">
        <v>1730</v>
      </c>
      <c r="AO31" s="186">
        <v>1.2500000000000001E-2</v>
      </c>
      <c r="AP31" s="186">
        <v>0</v>
      </c>
      <c r="AQ31" s="12">
        <v>2.3199999999999998</v>
      </c>
      <c r="AR31" s="11" t="s">
        <v>2767</v>
      </c>
      <c r="AS31" s="186" t="s">
        <v>523</v>
      </c>
      <c r="AT31" s="747" t="s">
        <v>528</v>
      </c>
      <c r="AU31" s="747" t="s">
        <v>520</v>
      </c>
      <c r="AV31" s="693" t="s">
        <v>1730</v>
      </c>
      <c r="AW31" s="186">
        <v>1.2500000000000001E-2</v>
      </c>
      <c r="AX31" s="186">
        <v>0</v>
      </c>
      <c r="AY31" s="12">
        <v>3</v>
      </c>
      <c r="AZ31" s="11" t="s">
        <v>1970</v>
      </c>
      <c r="BA31" s="186" t="s">
        <v>523</v>
      </c>
      <c r="BB31" s="747" t="s">
        <v>573</v>
      </c>
      <c r="BC31" s="747" t="s">
        <v>520</v>
      </c>
      <c r="BD31" s="747" t="s">
        <v>248</v>
      </c>
      <c r="BE31" s="186">
        <v>0.02</v>
      </c>
      <c r="BF31" s="186">
        <v>1.25E-3</v>
      </c>
      <c r="BG31" s="12">
        <v>2.58</v>
      </c>
      <c r="BH31" s="685" t="s">
        <v>2047</v>
      </c>
      <c r="BI31" s="686" t="s">
        <v>2496</v>
      </c>
      <c r="BJ31" s="687" t="s">
        <v>2511</v>
      </c>
      <c r="BK31" s="687" t="s">
        <v>2482</v>
      </c>
      <c r="BL31" s="687" t="s">
        <v>1730</v>
      </c>
      <c r="BM31" s="686">
        <v>6.2500000000000003E-3</v>
      </c>
      <c r="BN31" s="686">
        <v>0</v>
      </c>
      <c r="BO31" s="688">
        <v>2.23</v>
      </c>
      <c r="BP31" s="11"/>
      <c r="BQ31" s="186"/>
      <c r="BR31" s="747"/>
      <c r="BS31" s="747"/>
      <c r="BT31" s="747"/>
      <c r="BU31" s="186"/>
      <c r="BV31" s="186"/>
      <c r="BW31" s="12"/>
    </row>
    <row r="32" spans="1:75">
      <c r="A32" s="1" t="s">
        <v>719</v>
      </c>
      <c r="B32" s="1" t="s">
        <v>682</v>
      </c>
      <c r="C32" s="1" t="s">
        <v>683</v>
      </c>
      <c r="D32" s="1" t="s">
        <v>523</v>
      </c>
      <c r="E32" s="1" t="s">
        <v>527</v>
      </c>
      <c r="F32" s="1">
        <v>2.5000000000000001E-2</v>
      </c>
      <c r="G32" s="1">
        <v>0</v>
      </c>
      <c r="I32" s="20"/>
      <c r="J32" s="1" t="s">
        <v>720</v>
      </c>
      <c r="T32" s="1245"/>
      <c r="U32" s="173"/>
      <c r="V32" s="187" t="s">
        <v>1906</v>
      </c>
      <c r="W32" s="188" t="s">
        <v>1907</v>
      </c>
      <c r="X32" s="173"/>
      <c r="Y32" s="189">
        <v>0.32539646990324794</v>
      </c>
      <c r="Z32" s="190"/>
      <c r="AA32" s="1245"/>
      <c r="AB32" s="191"/>
      <c r="AC32" s="192" t="s">
        <v>1908</v>
      </c>
      <c r="AD32" s="188" t="s">
        <v>1839</v>
      </c>
      <c r="AE32" s="173"/>
      <c r="AF32" s="193">
        <v>0.46311350654176214</v>
      </c>
      <c r="AG32" s="222">
        <v>6.5000000000000002E-2</v>
      </c>
      <c r="AI32" s="757"/>
      <c r="AJ32" s="195" t="s">
        <v>2709</v>
      </c>
      <c r="AK32" s="186" t="s">
        <v>523</v>
      </c>
      <c r="AL32" s="747" t="s">
        <v>529</v>
      </c>
      <c r="AM32" s="747" t="s">
        <v>520</v>
      </c>
      <c r="AN32" s="693" t="s">
        <v>1730</v>
      </c>
      <c r="AO32" s="186">
        <v>1.2500000000000001E-2</v>
      </c>
      <c r="AP32" s="186">
        <v>0</v>
      </c>
      <c r="AQ32" s="12">
        <v>2.3199999999999998</v>
      </c>
      <c r="AR32" s="11" t="s">
        <v>2710</v>
      </c>
      <c r="AS32" s="186" t="s">
        <v>523</v>
      </c>
      <c r="AT32" s="747" t="s">
        <v>529</v>
      </c>
      <c r="AU32" s="747" t="s">
        <v>520</v>
      </c>
      <c r="AV32" s="693" t="s">
        <v>1730</v>
      </c>
      <c r="AW32" s="186">
        <v>1.2500000000000001E-2</v>
      </c>
      <c r="AX32" s="186">
        <v>0</v>
      </c>
      <c r="AY32" s="12">
        <v>3</v>
      </c>
      <c r="AZ32" s="11" t="s">
        <v>1970</v>
      </c>
      <c r="BA32" s="186" t="s">
        <v>523</v>
      </c>
      <c r="BB32" s="747" t="s">
        <v>1182</v>
      </c>
      <c r="BC32" s="693" t="s">
        <v>518</v>
      </c>
      <c r="BD32" s="747" t="s">
        <v>248</v>
      </c>
      <c r="BE32" s="186">
        <v>7.2000000000000008E-2</v>
      </c>
      <c r="BF32" s="186">
        <v>4.5000000000000005E-3</v>
      </c>
      <c r="BG32" s="12">
        <v>2.58</v>
      </c>
      <c r="BH32" s="685" t="s">
        <v>2047</v>
      </c>
      <c r="BI32" s="686" t="s">
        <v>2496</v>
      </c>
      <c r="BJ32" s="687" t="s">
        <v>2512</v>
      </c>
      <c r="BK32" s="687" t="s">
        <v>2482</v>
      </c>
      <c r="BL32" s="687" t="s">
        <v>1730</v>
      </c>
      <c r="BM32" s="686">
        <v>6.2500000000000003E-3</v>
      </c>
      <c r="BN32" s="686">
        <v>0</v>
      </c>
      <c r="BO32" s="688">
        <v>2.23</v>
      </c>
      <c r="BP32" s="11"/>
      <c r="BQ32" s="186"/>
      <c r="BR32" s="747"/>
      <c r="BS32" s="747"/>
      <c r="BT32" s="747"/>
      <c r="BU32" s="186"/>
      <c r="BV32" s="186"/>
      <c r="BW32" s="12"/>
    </row>
    <row r="33" spans="1:75">
      <c r="A33" s="1" t="s">
        <v>721</v>
      </c>
      <c r="B33" s="1" t="s">
        <v>682</v>
      </c>
      <c r="C33" s="1" t="s">
        <v>683</v>
      </c>
      <c r="D33" s="1" t="s">
        <v>523</v>
      </c>
      <c r="E33" s="1" t="s">
        <v>528</v>
      </c>
      <c r="F33" s="1">
        <v>1.2500000000000001E-2</v>
      </c>
      <c r="G33" s="1">
        <v>0</v>
      </c>
      <c r="I33" s="20"/>
      <c r="J33" s="1" t="s">
        <v>520</v>
      </c>
      <c r="T33" s="1245"/>
      <c r="U33" s="173"/>
      <c r="V33" s="187" t="s">
        <v>1803</v>
      </c>
      <c r="W33" s="188" t="s">
        <v>1918</v>
      </c>
      <c r="X33" s="173"/>
      <c r="Y33" s="189">
        <v>0.10123445730323269</v>
      </c>
      <c r="Z33" s="190"/>
      <c r="AA33" s="1245"/>
      <c r="AB33" s="191"/>
      <c r="AC33" s="192" t="s">
        <v>1708</v>
      </c>
      <c r="AD33" s="188" t="s">
        <v>1919</v>
      </c>
      <c r="AE33" s="173"/>
      <c r="AF33" s="193">
        <v>0.34733512990632159</v>
      </c>
      <c r="AG33" s="222">
        <v>2.3E-2</v>
      </c>
      <c r="AI33" s="757"/>
      <c r="AJ33" s="195" t="s">
        <v>2709</v>
      </c>
      <c r="AK33" s="186" t="s">
        <v>523</v>
      </c>
      <c r="AL33" s="747" t="s">
        <v>1169</v>
      </c>
      <c r="AM33" s="747" t="s">
        <v>1171</v>
      </c>
      <c r="AN33" s="693" t="s">
        <v>1730</v>
      </c>
      <c r="AO33" s="186">
        <v>4.4999999999999998E-2</v>
      </c>
      <c r="AP33" s="186">
        <v>0</v>
      </c>
      <c r="AQ33" s="12">
        <v>2.3199999999999998</v>
      </c>
      <c r="AR33" s="11" t="s">
        <v>1176</v>
      </c>
      <c r="AS33" s="186" t="s">
        <v>523</v>
      </c>
      <c r="AT33" s="747" t="s">
        <v>1169</v>
      </c>
      <c r="AU33" s="747" t="s">
        <v>1171</v>
      </c>
      <c r="AV33" s="693" t="s">
        <v>1730</v>
      </c>
      <c r="AW33" s="186">
        <v>4.4999999999999998E-2</v>
      </c>
      <c r="AX33" s="186">
        <v>0</v>
      </c>
      <c r="AY33" s="12">
        <v>3</v>
      </c>
      <c r="AZ33" s="11" t="s">
        <v>1970</v>
      </c>
      <c r="BA33" s="186" t="s">
        <v>523</v>
      </c>
      <c r="BB33" s="747" t="s">
        <v>1183</v>
      </c>
      <c r="BC33" s="693" t="s">
        <v>518</v>
      </c>
      <c r="BD33" s="747" t="s">
        <v>248</v>
      </c>
      <c r="BE33" s="186">
        <v>7.2000000000000008E-2</v>
      </c>
      <c r="BF33" s="186">
        <v>4.5000000000000005E-3</v>
      </c>
      <c r="BG33" s="12">
        <v>2.58</v>
      </c>
      <c r="BH33" s="11"/>
      <c r="BI33" s="186"/>
      <c r="BJ33" s="747"/>
      <c r="BK33" s="747"/>
      <c r="BL33" s="747"/>
      <c r="BM33" s="186"/>
      <c r="BN33" s="186"/>
      <c r="BO33" s="12"/>
      <c r="BP33" s="11"/>
      <c r="BQ33" s="186"/>
      <c r="BR33" s="747"/>
      <c r="BS33" s="747"/>
      <c r="BT33" s="747"/>
      <c r="BU33" s="186"/>
      <c r="BV33" s="186"/>
      <c r="BW33" s="12"/>
    </row>
    <row r="34" spans="1:75" ht="12.75" thickBot="1">
      <c r="A34" s="1" t="s">
        <v>722</v>
      </c>
      <c r="B34" s="1" t="s">
        <v>682</v>
      </c>
      <c r="C34" s="1" t="s">
        <v>683</v>
      </c>
      <c r="D34" s="1" t="s">
        <v>523</v>
      </c>
      <c r="E34" s="1" t="s">
        <v>529</v>
      </c>
      <c r="F34" s="1">
        <v>1.2500000000000001E-2</v>
      </c>
      <c r="G34" s="1">
        <v>0</v>
      </c>
      <c r="I34" s="20"/>
      <c r="J34" s="1" t="s">
        <v>723</v>
      </c>
      <c r="T34" s="1246"/>
      <c r="U34" s="223"/>
      <c r="V34" s="174" t="s">
        <v>2764</v>
      </c>
      <c r="W34" s="175" t="s">
        <v>2768</v>
      </c>
      <c r="X34" s="173"/>
      <c r="Y34" s="224">
        <v>0.05</v>
      </c>
      <c r="Z34" s="190"/>
      <c r="AA34" s="1245"/>
      <c r="AB34" s="191"/>
      <c r="AC34" s="210" t="s">
        <v>1720</v>
      </c>
      <c r="AD34" s="209" t="s">
        <v>1920</v>
      </c>
      <c r="AE34" s="173"/>
      <c r="AF34" s="213">
        <v>0.26088727535185929</v>
      </c>
      <c r="AG34" s="225">
        <v>1.7000000000000001E-2</v>
      </c>
      <c r="AI34" s="757"/>
      <c r="AJ34" s="195" t="s">
        <v>2709</v>
      </c>
      <c r="AK34" s="186" t="s">
        <v>523</v>
      </c>
      <c r="AL34" s="747" t="s">
        <v>1170</v>
      </c>
      <c r="AM34" s="747" t="s">
        <v>1171</v>
      </c>
      <c r="AN34" s="693" t="s">
        <v>1730</v>
      </c>
      <c r="AO34" s="186">
        <v>4.4999999999999998E-2</v>
      </c>
      <c r="AP34" s="186">
        <v>0</v>
      </c>
      <c r="AQ34" s="12">
        <v>2.3199999999999998</v>
      </c>
      <c r="AR34" s="11" t="s">
        <v>1176</v>
      </c>
      <c r="AS34" s="186" t="s">
        <v>523</v>
      </c>
      <c r="AT34" s="747" t="s">
        <v>1170</v>
      </c>
      <c r="AU34" s="747" t="s">
        <v>1171</v>
      </c>
      <c r="AV34" s="693" t="s">
        <v>1730</v>
      </c>
      <c r="AW34" s="186">
        <v>4.4999999999999998E-2</v>
      </c>
      <c r="AX34" s="186">
        <v>0</v>
      </c>
      <c r="AY34" s="12">
        <v>3</v>
      </c>
      <c r="AZ34" s="685" t="s">
        <v>1970</v>
      </c>
      <c r="BA34" s="686" t="s">
        <v>1710</v>
      </c>
      <c r="BB34" s="687" t="s">
        <v>2534</v>
      </c>
      <c r="BC34" s="687" t="s">
        <v>1730</v>
      </c>
      <c r="BD34" s="687" t="s">
        <v>247</v>
      </c>
      <c r="BE34" s="686">
        <v>3.5000000000000003E-2</v>
      </c>
      <c r="BF34" s="686">
        <v>3.2499999999999999E-3</v>
      </c>
      <c r="BG34" s="688">
        <v>2.58</v>
      </c>
      <c r="BH34" s="11"/>
      <c r="BI34" s="186"/>
      <c r="BJ34" s="747"/>
      <c r="BK34" s="747"/>
      <c r="BL34" s="747"/>
      <c r="BM34" s="186"/>
      <c r="BN34" s="186"/>
      <c r="BO34" s="12"/>
      <c r="BP34" s="11"/>
      <c r="BQ34" s="186"/>
      <c r="BR34" s="747"/>
      <c r="BS34" s="747"/>
      <c r="BT34" s="747"/>
      <c r="BU34" s="186"/>
      <c r="BV34" s="186"/>
      <c r="BW34" s="12"/>
    </row>
    <row r="35" spans="1:75" ht="12.75" thickBot="1">
      <c r="A35" s="1" t="s">
        <v>724</v>
      </c>
      <c r="B35" s="1" t="s">
        <v>725</v>
      </c>
      <c r="C35" s="1" t="s">
        <v>726</v>
      </c>
      <c r="D35" s="1" t="s">
        <v>1859</v>
      </c>
      <c r="E35" s="1" t="s">
        <v>1817</v>
      </c>
      <c r="F35" s="1">
        <v>2.1800000000000002</v>
      </c>
      <c r="G35" s="1">
        <v>0</v>
      </c>
      <c r="H35" s="1">
        <v>2.3199999999999998</v>
      </c>
      <c r="I35" s="20" t="s">
        <v>684</v>
      </c>
      <c r="T35" s="1247" t="s">
        <v>2197</v>
      </c>
      <c r="U35" s="1248"/>
      <c r="V35" s="226" t="s">
        <v>1859</v>
      </c>
      <c r="W35" s="227" t="s">
        <v>1817</v>
      </c>
      <c r="X35" s="227" t="s">
        <v>1861</v>
      </c>
      <c r="Y35" s="228">
        <v>2.1800000000000002</v>
      </c>
      <c r="Z35" s="190"/>
      <c r="AA35" s="1246"/>
      <c r="AB35" s="191"/>
      <c r="AC35" s="210" t="s">
        <v>2757</v>
      </c>
      <c r="AD35" s="209" t="s">
        <v>2769</v>
      </c>
      <c r="AE35" s="173"/>
      <c r="AF35" s="213">
        <v>0.15</v>
      </c>
      <c r="AG35" s="229">
        <v>3.0000000000000001E-3</v>
      </c>
      <c r="AI35" s="757"/>
      <c r="AJ35" s="689" t="s">
        <v>2513</v>
      </c>
      <c r="AK35" s="686" t="s">
        <v>1710</v>
      </c>
      <c r="AL35" s="687" t="s">
        <v>2514</v>
      </c>
      <c r="AM35" s="762" t="s">
        <v>1730</v>
      </c>
      <c r="AN35" s="762" t="s">
        <v>1730</v>
      </c>
      <c r="AO35" s="686">
        <v>1.2500000000000001E-2</v>
      </c>
      <c r="AP35" s="686">
        <v>0</v>
      </c>
      <c r="AQ35" s="688">
        <v>2.3199999999999998</v>
      </c>
      <c r="AR35" s="685" t="s">
        <v>2710</v>
      </c>
      <c r="AS35" s="686" t="s">
        <v>1710</v>
      </c>
      <c r="AT35" s="687" t="s">
        <v>2514</v>
      </c>
      <c r="AU35" s="687" t="s">
        <v>1730</v>
      </c>
      <c r="AV35" s="762" t="s">
        <v>1730</v>
      </c>
      <c r="AW35" s="686">
        <v>1.2500000000000001E-2</v>
      </c>
      <c r="AX35" s="686">
        <v>0</v>
      </c>
      <c r="AY35" s="688">
        <v>3</v>
      </c>
      <c r="AZ35" s="685" t="s">
        <v>1970</v>
      </c>
      <c r="BA35" s="686" t="s">
        <v>1710</v>
      </c>
      <c r="BB35" s="687" t="s">
        <v>2535</v>
      </c>
      <c r="BC35" s="687" t="s">
        <v>278</v>
      </c>
      <c r="BD35" s="687" t="s">
        <v>247</v>
      </c>
      <c r="BE35" s="686">
        <v>7.0000000000000007E-2</v>
      </c>
      <c r="BF35" s="686">
        <v>6.4999999999999997E-3</v>
      </c>
      <c r="BG35" s="688">
        <v>2.58</v>
      </c>
      <c r="BH35" s="11"/>
      <c r="BI35" s="186"/>
      <c r="BJ35" s="747"/>
      <c r="BK35" s="747"/>
      <c r="BL35" s="747"/>
      <c r="BM35" s="186"/>
      <c r="BN35" s="186"/>
      <c r="BO35" s="12"/>
      <c r="BP35" s="11"/>
      <c r="BQ35" s="186"/>
      <c r="BR35" s="747"/>
      <c r="BS35" s="747"/>
      <c r="BT35" s="747"/>
      <c r="BU35" s="186"/>
      <c r="BV35" s="186"/>
      <c r="BW35" s="12"/>
    </row>
    <row r="36" spans="1:75">
      <c r="A36" s="1" t="s">
        <v>727</v>
      </c>
      <c r="B36" s="1" t="s">
        <v>725</v>
      </c>
      <c r="C36" s="1" t="s">
        <v>726</v>
      </c>
      <c r="D36" s="1" t="s">
        <v>1863</v>
      </c>
      <c r="E36" s="1" t="s">
        <v>1804</v>
      </c>
      <c r="F36" s="1">
        <v>1.8</v>
      </c>
      <c r="G36" s="1">
        <v>0</v>
      </c>
      <c r="H36" s="1">
        <v>2.3199999999999998</v>
      </c>
      <c r="I36" s="20" t="s">
        <v>684</v>
      </c>
      <c r="T36" s="1249"/>
      <c r="U36" s="1250"/>
      <c r="V36" s="187" t="s">
        <v>1863</v>
      </c>
      <c r="W36" s="188" t="s">
        <v>1840</v>
      </c>
      <c r="X36" s="173"/>
      <c r="Y36" s="189">
        <v>1.2</v>
      </c>
      <c r="Z36" s="190"/>
      <c r="AA36" s="1247" t="s">
        <v>2198</v>
      </c>
      <c r="AB36" s="1248"/>
      <c r="AC36" s="230" t="s">
        <v>1862</v>
      </c>
      <c r="AD36" s="231" t="s">
        <v>1817</v>
      </c>
      <c r="AE36" s="227" t="s">
        <v>1861</v>
      </c>
      <c r="AF36" s="232">
        <v>1.3357535578264381</v>
      </c>
      <c r="AG36" s="233">
        <v>0.2</v>
      </c>
      <c r="AI36" s="757"/>
      <c r="AJ36" s="689" t="s">
        <v>2513</v>
      </c>
      <c r="AK36" s="686" t="s">
        <v>1710</v>
      </c>
      <c r="AL36" s="687" t="s">
        <v>2515</v>
      </c>
      <c r="AM36" s="687" t="s">
        <v>519</v>
      </c>
      <c r="AN36" s="762" t="s">
        <v>1730</v>
      </c>
      <c r="AO36" s="686">
        <v>2.5000000000000001E-2</v>
      </c>
      <c r="AP36" s="686">
        <v>0</v>
      </c>
      <c r="AQ36" s="688">
        <v>2.3199999999999998</v>
      </c>
      <c r="AR36" s="685" t="s">
        <v>2710</v>
      </c>
      <c r="AS36" s="686" t="s">
        <v>1710</v>
      </c>
      <c r="AT36" s="687" t="s">
        <v>2515</v>
      </c>
      <c r="AU36" s="687" t="s">
        <v>519</v>
      </c>
      <c r="AV36" s="762" t="s">
        <v>1730</v>
      </c>
      <c r="AW36" s="686">
        <v>2.5000000000000001E-2</v>
      </c>
      <c r="AX36" s="686">
        <v>0</v>
      </c>
      <c r="AY36" s="688">
        <v>3</v>
      </c>
      <c r="AZ36" s="685" t="s">
        <v>1970</v>
      </c>
      <c r="BA36" s="686" t="s">
        <v>1710</v>
      </c>
      <c r="BB36" s="687" t="s">
        <v>2536</v>
      </c>
      <c r="BC36" s="687" t="s">
        <v>277</v>
      </c>
      <c r="BD36" s="687" t="s">
        <v>247</v>
      </c>
      <c r="BE36" s="686">
        <v>3.5000000000000003E-2</v>
      </c>
      <c r="BF36" s="686">
        <v>3.2499999999999999E-3</v>
      </c>
      <c r="BG36" s="688">
        <v>2.58</v>
      </c>
      <c r="BH36" s="11"/>
      <c r="BI36" s="186"/>
      <c r="BJ36" s="747"/>
      <c r="BK36" s="747"/>
      <c r="BL36" s="747"/>
      <c r="BM36" s="186"/>
      <c r="BN36" s="186"/>
      <c r="BO36" s="12"/>
      <c r="BP36" s="11"/>
      <c r="BQ36" s="186"/>
      <c r="BR36" s="747"/>
      <c r="BS36" s="747"/>
      <c r="BT36" s="747"/>
      <c r="BU36" s="186"/>
      <c r="BV36" s="186"/>
      <c r="BW36" s="12"/>
    </row>
    <row r="37" spans="1:75">
      <c r="A37" s="1" t="s">
        <v>728</v>
      </c>
      <c r="B37" s="1" t="s">
        <v>725</v>
      </c>
      <c r="C37" s="1" t="s">
        <v>726</v>
      </c>
      <c r="D37" s="1" t="s">
        <v>1864</v>
      </c>
      <c r="E37" s="1" t="s">
        <v>1805</v>
      </c>
      <c r="F37" s="1">
        <v>1.2</v>
      </c>
      <c r="G37" s="1">
        <v>0</v>
      </c>
      <c r="H37" s="1">
        <v>2.3199999999999998</v>
      </c>
      <c r="I37" s="20" t="s">
        <v>684</v>
      </c>
      <c r="T37" s="1249"/>
      <c r="U37" s="1250"/>
      <c r="V37" s="187" t="s">
        <v>1922</v>
      </c>
      <c r="W37" s="188" t="s">
        <v>1923</v>
      </c>
      <c r="X37" s="173"/>
      <c r="Y37" s="189">
        <v>0.6</v>
      </c>
      <c r="Z37" s="190"/>
      <c r="AA37" s="1249"/>
      <c r="AB37" s="1250"/>
      <c r="AC37" s="192" t="s">
        <v>1864</v>
      </c>
      <c r="AD37" s="188" t="s">
        <v>1838</v>
      </c>
      <c r="AE37" s="173"/>
      <c r="AF37" s="193">
        <v>1.1951479201604973</v>
      </c>
      <c r="AG37" s="194">
        <v>0.2</v>
      </c>
      <c r="AI37" s="757"/>
      <c r="AJ37" s="689" t="s">
        <v>2513</v>
      </c>
      <c r="AK37" s="686" t="s">
        <v>1710</v>
      </c>
      <c r="AL37" s="687" t="s">
        <v>2516</v>
      </c>
      <c r="AM37" s="687" t="s">
        <v>277</v>
      </c>
      <c r="AN37" s="762" t="s">
        <v>1730</v>
      </c>
      <c r="AO37" s="686">
        <v>1.2500000000000001E-2</v>
      </c>
      <c r="AP37" s="686">
        <v>0</v>
      </c>
      <c r="AQ37" s="688">
        <v>2.3199999999999998</v>
      </c>
      <c r="AR37" s="685" t="s">
        <v>2710</v>
      </c>
      <c r="AS37" s="686" t="s">
        <v>1710</v>
      </c>
      <c r="AT37" s="687" t="s">
        <v>2516</v>
      </c>
      <c r="AU37" s="687" t="s">
        <v>277</v>
      </c>
      <c r="AV37" s="762" t="s">
        <v>1730</v>
      </c>
      <c r="AW37" s="686">
        <v>1.2500000000000001E-2</v>
      </c>
      <c r="AX37" s="686">
        <v>0</v>
      </c>
      <c r="AY37" s="688">
        <v>3</v>
      </c>
      <c r="AZ37" s="685" t="s">
        <v>1970</v>
      </c>
      <c r="BA37" s="686" t="s">
        <v>523</v>
      </c>
      <c r="BB37" s="687" t="s">
        <v>2537</v>
      </c>
      <c r="BC37" s="687" t="s">
        <v>1730</v>
      </c>
      <c r="BD37" s="687" t="s">
        <v>248</v>
      </c>
      <c r="BE37" s="686">
        <v>0.02</v>
      </c>
      <c r="BF37" s="686">
        <v>1.25E-3</v>
      </c>
      <c r="BG37" s="688">
        <v>2.58</v>
      </c>
      <c r="BH37" s="11"/>
      <c r="BI37" s="186"/>
      <c r="BJ37" s="747"/>
      <c r="BK37" s="747"/>
      <c r="BL37" s="747"/>
      <c r="BM37" s="186"/>
      <c r="BN37" s="186"/>
      <c r="BO37" s="12"/>
      <c r="BP37" s="11"/>
      <c r="BQ37" s="186"/>
      <c r="BR37" s="747"/>
      <c r="BS37" s="747"/>
      <c r="BT37" s="747"/>
      <c r="BU37" s="186"/>
      <c r="BV37" s="186"/>
      <c r="BW37" s="12"/>
    </row>
    <row r="38" spans="1:75">
      <c r="A38" s="1" t="s">
        <v>729</v>
      </c>
      <c r="B38" s="1" t="s">
        <v>725</v>
      </c>
      <c r="C38" s="1" t="s">
        <v>726</v>
      </c>
      <c r="D38" s="1" t="s">
        <v>1867</v>
      </c>
      <c r="E38" s="1" t="s">
        <v>1806</v>
      </c>
      <c r="F38" s="1">
        <v>0.9</v>
      </c>
      <c r="G38" s="1">
        <v>0</v>
      </c>
      <c r="H38" s="1">
        <v>2.3199999999999998</v>
      </c>
      <c r="I38" s="20" t="s">
        <v>684</v>
      </c>
      <c r="T38" s="1249"/>
      <c r="U38" s="1250"/>
      <c r="V38" s="187" t="s">
        <v>1925</v>
      </c>
      <c r="W38" s="188" t="s">
        <v>1926</v>
      </c>
      <c r="X38" s="173"/>
      <c r="Y38" s="189">
        <v>0.25</v>
      </c>
      <c r="Z38" s="190"/>
      <c r="AA38" s="1249"/>
      <c r="AB38" s="1250"/>
      <c r="AC38" s="192" t="s">
        <v>1865</v>
      </c>
      <c r="AD38" s="188" t="s">
        <v>1866</v>
      </c>
      <c r="AE38" s="173"/>
      <c r="AF38" s="193">
        <v>1.0193908730780712</v>
      </c>
      <c r="AG38" s="194">
        <v>0.2</v>
      </c>
      <c r="AI38" s="757"/>
      <c r="AJ38" s="689" t="s">
        <v>2513</v>
      </c>
      <c r="AK38" s="686" t="s">
        <v>523</v>
      </c>
      <c r="AL38" s="687" t="s">
        <v>2517</v>
      </c>
      <c r="AM38" s="687" t="s">
        <v>1730</v>
      </c>
      <c r="AN38" s="762" t="s">
        <v>1730</v>
      </c>
      <c r="AO38" s="686">
        <v>1.2500000000000001E-2</v>
      </c>
      <c r="AP38" s="686">
        <v>0</v>
      </c>
      <c r="AQ38" s="688">
        <v>2.3199999999999998</v>
      </c>
      <c r="AR38" s="685" t="s">
        <v>2767</v>
      </c>
      <c r="AS38" s="686" t="s">
        <v>523</v>
      </c>
      <c r="AT38" s="687" t="s">
        <v>2517</v>
      </c>
      <c r="AU38" s="687" t="s">
        <v>1730</v>
      </c>
      <c r="AV38" s="762" t="s">
        <v>1730</v>
      </c>
      <c r="AW38" s="686">
        <v>1.2500000000000001E-2</v>
      </c>
      <c r="AX38" s="686">
        <v>0</v>
      </c>
      <c r="AY38" s="688">
        <v>3</v>
      </c>
      <c r="AZ38" s="685" t="s">
        <v>1970</v>
      </c>
      <c r="BA38" s="686" t="s">
        <v>523</v>
      </c>
      <c r="BB38" s="687" t="s">
        <v>2538</v>
      </c>
      <c r="BC38" s="687" t="s">
        <v>1180</v>
      </c>
      <c r="BD38" s="687" t="s">
        <v>248</v>
      </c>
      <c r="BE38" s="686">
        <v>0.04</v>
      </c>
      <c r="BF38" s="686">
        <v>2.5000000000000001E-3</v>
      </c>
      <c r="BG38" s="688">
        <v>2.58</v>
      </c>
      <c r="BH38" s="11"/>
      <c r="BI38" s="186"/>
      <c r="BJ38" s="747"/>
      <c r="BK38" s="747"/>
      <c r="BL38" s="747"/>
      <c r="BM38" s="186"/>
      <c r="BN38" s="186"/>
      <c r="BO38" s="12"/>
      <c r="BP38" s="11"/>
      <c r="BQ38" s="186"/>
      <c r="BR38" s="747"/>
      <c r="BS38" s="747"/>
      <c r="BT38" s="747"/>
      <c r="BU38" s="186"/>
      <c r="BV38" s="186"/>
      <c r="BW38" s="12"/>
    </row>
    <row r="39" spans="1:75">
      <c r="A39" s="1" t="s">
        <v>730</v>
      </c>
      <c r="B39" s="1" t="s">
        <v>725</v>
      </c>
      <c r="C39" s="1" t="s">
        <v>726</v>
      </c>
      <c r="D39" s="1" t="s">
        <v>1884</v>
      </c>
      <c r="E39" s="1" t="s">
        <v>1824</v>
      </c>
      <c r="F39" s="1">
        <v>0.7</v>
      </c>
      <c r="G39" s="1">
        <v>0</v>
      </c>
      <c r="H39" s="1">
        <v>2.3199999999999998</v>
      </c>
      <c r="I39" s="20" t="s">
        <v>684</v>
      </c>
      <c r="T39" s="1249"/>
      <c r="U39" s="1250"/>
      <c r="V39" s="196" t="s">
        <v>42</v>
      </c>
      <c r="W39" s="175" t="s">
        <v>1928</v>
      </c>
      <c r="X39" s="173"/>
      <c r="Y39" s="224">
        <v>0.08</v>
      </c>
      <c r="Z39" s="190"/>
      <c r="AA39" s="1249"/>
      <c r="AB39" s="1250"/>
      <c r="AC39" s="192" t="s">
        <v>1929</v>
      </c>
      <c r="AD39" s="188" t="s">
        <v>1930</v>
      </c>
      <c r="AE39" s="173"/>
      <c r="AF39" s="193">
        <v>0.7</v>
      </c>
      <c r="AG39" s="194">
        <v>0.2</v>
      </c>
      <c r="AI39" s="757"/>
      <c r="AJ39" s="689" t="s">
        <v>2513</v>
      </c>
      <c r="AK39" s="686" t="s">
        <v>523</v>
      </c>
      <c r="AL39" s="687" t="s">
        <v>2519</v>
      </c>
      <c r="AM39" s="687" t="s">
        <v>1180</v>
      </c>
      <c r="AN39" s="762" t="s">
        <v>1730</v>
      </c>
      <c r="AO39" s="686">
        <v>2.5000000000000001E-2</v>
      </c>
      <c r="AP39" s="686">
        <v>0</v>
      </c>
      <c r="AQ39" s="688">
        <v>2.3199999999999998</v>
      </c>
      <c r="AR39" s="685" t="s">
        <v>2710</v>
      </c>
      <c r="AS39" s="686" t="s">
        <v>523</v>
      </c>
      <c r="AT39" s="687" t="s">
        <v>2519</v>
      </c>
      <c r="AU39" s="687" t="s">
        <v>1180</v>
      </c>
      <c r="AV39" s="762" t="s">
        <v>1730</v>
      </c>
      <c r="AW39" s="686">
        <v>2.5000000000000001E-2</v>
      </c>
      <c r="AX39" s="686">
        <v>0</v>
      </c>
      <c r="AY39" s="688">
        <v>3</v>
      </c>
      <c r="AZ39" s="685" t="s">
        <v>1970</v>
      </c>
      <c r="BA39" s="686" t="s">
        <v>523</v>
      </c>
      <c r="BB39" s="687" t="s">
        <v>2539</v>
      </c>
      <c r="BC39" s="687" t="s">
        <v>1181</v>
      </c>
      <c r="BD39" s="687" t="s">
        <v>248</v>
      </c>
      <c r="BE39" s="686">
        <v>0.02</v>
      </c>
      <c r="BF39" s="686">
        <v>1.25E-3</v>
      </c>
      <c r="BG39" s="688">
        <v>2.58</v>
      </c>
      <c r="BH39" s="11"/>
      <c r="BI39" s="186"/>
      <c r="BJ39" s="747"/>
      <c r="BK39" s="747"/>
      <c r="BL39" s="747"/>
      <c r="BM39" s="186"/>
      <c r="BN39" s="186"/>
      <c r="BO39" s="12"/>
      <c r="BP39" s="11"/>
      <c r="BQ39" s="186"/>
      <c r="BR39" s="747"/>
      <c r="BS39" s="747"/>
      <c r="BT39" s="747"/>
      <c r="BU39" s="186"/>
      <c r="BV39" s="186"/>
      <c r="BW39" s="12"/>
    </row>
    <row r="40" spans="1:75">
      <c r="A40" s="1" t="s">
        <v>731</v>
      </c>
      <c r="B40" s="1" t="s">
        <v>725</v>
      </c>
      <c r="C40" s="1" t="s">
        <v>726</v>
      </c>
      <c r="D40" s="1" t="s">
        <v>1917</v>
      </c>
      <c r="E40" s="1" t="s">
        <v>1825</v>
      </c>
      <c r="F40" s="1">
        <v>0.4</v>
      </c>
      <c r="G40" s="1">
        <v>0</v>
      </c>
      <c r="H40" s="1">
        <v>2.3199999999999998</v>
      </c>
      <c r="I40" s="20" t="s">
        <v>684</v>
      </c>
      <c r="T40" s="1249"/>
      <c r="U40" s="1250"/>
      <c r="V40" s="174"/>
      <c r="W40" s="188" t="s">
        <v>1932</v>
      </c>
      <c r="X40" s="173"/>
      <c r="Y40" s="189">
        <v>0.06</v>
      </c>
      <c r="Z40" s="190"/>
      <c r="AA40" s="1249"/>
      <c r="AB40" s="1250"/>
      <c r="AC40" s="192" t="s">
        <v>1933</v>
      </c>
      <c r="AD40" s="188" t="s">
        <v>1934</v>
      </c>
      <c r="AE40" s="173"/>
      <c r="AF40" s="193">
        <v>0.5</v>
      </c>
      <c r="AG40" s="194">
        <v>0.2</v>
      </c>
      <c r="AI40" s="757"/>
      <c r="AJ40" s="689" t="s">
        <v>2513</v>
      </c>
      <c r="AK40" s="686" t="s">
        <v>523</v>
      </c>
      <c r="AL40" s="687" t="s">
        <v>2520</v>
      </c>
      <c r="AM40" s="687" t="s">
        <v>277</v>
      </c>
      <c r="AN40" s="762" t="s">
        <v>1730</v>
      </c>
      <c r="AO40" s="686">
        <v>1.2500000000000001E-2</v>
      </c>
      <c r="AP40" s="686">
        <v>0</v>
      </c>
      <c r="AQ40" s="688">
        <v>2.3199999999999998</v>
      </c>
      <c r="AR40" s="685" t="s">
        <v>2710</v>
      </c>
      <c r="AS40" s="686" t="s">
        <v>523</v>
      </c>
      <c r="AT40" s="687" t="s">
        <v>2520</v>
      </c>
      <c r="AU40" s="687" t="s">
        <v>277</v>
      </c>
      <c r="AV40" s="762" t="s">
        <v>1730</v>
      </c>
      <c r="AW40" s="686">
        <v>1.2500000000000001E-2</v>
      </c>
      <c r="AX40" s="686">
        <v>0</v>
      </c>
      <c r="AY40" s="688">
        <v>3</v>
      </c>
      <c r="AZ40" s="685" t="s">
        <v>1970</v>
      </c>
      <c r="BA40" s="686" t="s">
        <v>523</v>
      </c>
      <c r="BB40" s="687" t="s">
        <v>2540</v>
      </c>
      <c r="BC40" s="762" t="s">
        <v>1730</v>
      </c>
      <c r="BD40" s="687" t="s">
        <v>248</v>
      </c>
      <c r="BE40" s="686">
        <v>7.1999999999999995E-2</v>
      </c>
      <c r="BF40" s="686">
        <v>4.4999999999999997E-3</v>
      </c>
      <c r="BG40" s="688">
        <v>2.58</v>
      </c>
      <c r="BH40" s="11"/>
      <c r="BI40" s="186"/>
      <c r="BJ40" s="747"/>
      <c r="BK40" s="747"/>
      <c r="BL40" s="747"/>
      <c r="BM40" s="186"/>
      <c r="BN40" s="186"/>
      <c r="BO40" s="12"/>
      <c r="BP40" s="11"/>
      <c r="BQ40" s="186"/>
      <c r="BR40" s="747"/>
      <c r="BS40" s="747"/>
      <c r="BT40" s="747"/>
      <c r="BU40" s="186"/>
      <c r="BV40" s="186"/>
      <c r="BW40" s="12"/>
    </row>
    <row r="41" spans="1:75">
      <c r="A41" s="1" t="s">
        <v>732</v>
      </c>
      <c r="B41" s="1" t="s">
        <v>725</v>
      </c>
      <c r="C41" s="1" t="s">
        <v>726</v>
      </c>
      <c r="D41" s="1" t="s">
        <v>1917</v>
      </c>
      <c r="E41" s="1" t="s">
        <v>1826</v>
      </c>
      <c r="F41" s="1">
        <v>0.4</v>
      </c>
      <c r="G41" s="1">
        <v>0</v>
      </c>
      <c r="H41" s="1">
        <v>2.3199999999999998</v>
      </c>
      <c r="I41" s="20" t="s">
        <v>684</v>
      </c>
      <c r="T41" s="1249"/>
      <c r="U41" s="1250"/>
      <c r="V41" s="174"/>
      <c r="W41" s="188" t="s">
        <v>1936</v>
      </c>
      <c r="X41" s="173"/>
      <c r="Y41" s="189">
        <v>0.04</v>
      </c>
      <c r="Z41" s="190"/>
      <c r="AA41" s="1249"/>
      <c r="AB41" s="1250"/>
      <c r="AC41" s="210" t="s">
        <v>1937</v>
      </c>
      <c r="AD41" s="188" t="s">
        <v>1938</v>
      </c>
      <c r="AE41" s="175"/>
      <c r="AF41" s="193">
        <v>0.5</v>
      </c>
      <c r="AG41" s="194">
        <v>0.2</v>
      </c>
      <c r="AI41" s="757"/>
      <c r="AJ41" s="689" t="s">
        <v>2513</v>
      </c>
      <c r="AK41" s="686" t="s">
        <v>523</v>
      </c>
      <c r="AL41" s="687" t="s">
        <v>2521</v>
      </c>
      <c r="AM41" s="687" t="s">
        <v>1171</v>
      </c>
      <c r="AN41" s="762" t="s">
        <v>1730</v>
      </c>
      <c r="AO41" s="686">
        <v>4.4999999999999998E-2</v>
      </c>
      <c r="AP41" s="686">
        <v>0</v>
      </c>
      <c r="AQ41" s="688">
        <v>2.3199999999999998</v>
      </c>
      <c r="AR41" s="685" t="s">
        <v>2710</v>
      </c>
      <c r="AS41" s="686" t="s">
        <v>523</v>
      </c>
      <c r="AT41" s="687" t="s">
        <v>2521</v>
      </c>
      <c r="AU41" s="687" t="s">
        <v>1171</v>
      </c>
      <c r="AV41" s="762" t="s">
        <v>1730</v>
      </c>
      <c r="AW41" s="686">
        <v>4.4999999999999998E-2</v>
      </c>
      <c r="AX41" s="686">
        <v>0</v>
      </c>
      <c r="AY41" s="688">
        <v>3</v>
      </c>
      <c r="AZ41" s="685" t="s">
        <v>1970</v>
      </c>
      <c r="BA41" s="686" t="s">
        <v>2496</v>
      </c>
      <c r="BB41" s="687" t="s">
        <v>2541</v>
      </c>
      <c r="BC41" s="687" t="s">
        <v>1730</v>
      </c>
      <c r="BD41" s="687" t="s">
        <v>2490</v>
      </c>
      <c r="BE41" s="686">
        <v>0.15</v>
      </c>
      <c r="BF41" s="686">
        <v>5.0000000000000001E-3</v>
      </c>
      <c r="BG41" s="688">
        <v>2.58</v>
      </c>
      <c r="BH41" s="11"/>
      <c r="BI41" s="186"/>
      <c r="BJ41" s="747"/>
      <c r="BK41" s="747"/>
      <c r="BL41" s="747"/>
      <c r="BM41" s="186"/>
      <c r="BN41" s="186"/>
      <c r="BO41" s="12"/>
      <c r="BP41" s="11"/>
      <c r="BQ41" s="186"/>
      <c r="BR41" s="747"/>
      <c r="BS41" s="747"/>
      <c r="BT41" s="747"/>
      <c r="BU41" s="186"/>
      <c r="BV41" s="186"/>
      <c r="BW41" s="12"/>
    </row>
    <row r="42" spans="1:75">
      <c r="A42" s="1" t="s">
        <v>733</v>
      </c>
      <c r="B42" s="1" t="s">
        <v>725</v>
      </c>
      <c r="C42" s="1" t="s">
        <v>726</v>
      </c>
      <c r="D42" s="1" t="s">
        <v>1917</v>
      </c>
      <c r="E42" s="1" t="s">
        <v>1827</v>
      </c>
      <c r="F42" s="1">
        <v>0.2</v>
      </c>
      <c r="G42" s="1">
        <v>0</v>
      </c>
      <c r="H42" s="1">
        <v>2.3199999999999998</v>
      </c>
      <c r="I42" s="20" t="s">
        <v>691</v>
      </c>
      <c r="J42" s="1" t="s">
        <v>692</v>
      </c>
      <c r="T42" s="1249"/>
      <c r="U42" s="1250"/>
      <c r="V42" s="174"/>
      <c r="W42" s="175" t="s">
        <v>1940</v>
      </c>
      <c r="X42" s="173"/>
      <c r="Y42" s="224">
        <v>0.02</v>
      </c>
      <c r="Z42" s="190"/>
      <c r="AA42" s="1249"/>
      <c r="AB42" s="1250"/>
      <c r="AC42" s="192" t="s">
        <v>1941</v>
      </c>
      <c r="AD42" s="188" t="s">
        <v>1942</v>
      </c>
      <c r="AE42" s="173"/>
      <c r="AF42" s="193">
        <v>0.4</v>
      </c>
      <c r="AG42" s="194">
        <v>0.08</v>
      </c>
      <c r="AI42" s="757"/>
      <c r="AJ42" s="689" t="s">
        <v>2513</v>
      </c>
      <c r="AK42" s="686" t="s">
        <v>2496</v>
      </c>
      <c r="AL42" s="687" t="s">
        <v>2522</v>
      </c>
      <c r="AM42" s="687" t="s">
        <v>1730</v>
      </c>
      <c r="AN42" s="762" t="s">
        <v>1730</v>
      </c>
      <c r="AO42" s="686">
        <v>0.05</v>
      </c>
      <c r="AP42" s="686">
        <v>0</v>
      </c>
      <c r="AQ42" s="688">
        <v>2.3199999999999998</v>
      </c>
      <c r="AR42" s="685" t="s">
        <v>2710</v>
      </c>
      <c r="AS42" s="686" t="s">
        <v>2496</v>
      </c>
      <c r="AT42" s="687" t="s">
        <v>2522</v>
      </c>
      <c r="AU42" s="687" t="s">
        <v>1730</v>
      </c>
      <c r="AV42" s="762" t="s">
        <v>1730</v>
      </c>
      <c r="AW42" s="686">
        <v>0.05</v>
      </c>
      <c r="AX42" s="686">
        <v>0</v>
      </c>
      <c r="AY42" s="688">
        <v>3</v>
      </c>
      <c r="AZ42" s="685" t="s">
        <v>1970</v>
      </c>
      <c r="BA42" s="686" t="s">
        <v>2496</v>
      </c>
      <c r="BB42" s="687" t="s">
        <v>2542</v>
      </c>
      <c r="BC42" s="687" t="s">
        <v>1730</v>
      </c>
      <c r="BD42" s="687" t="s">
        <v>2490</v>
      </c>
      <c r="BE42" s="686">
        <v>7.4999999999999997E-2</v>
      </c>
      <c r="BF42" s="686">
        <v>2.5000000000000001E-3</v>
      </c>
      <c r="BG42" s="688">
        <v>2.58</v>
      </c>
      <c r="BH42" s="11"/>
      <c r="BI42" s="186"/>
      <c r="BJ42" s="747"/>
      <c r="BK42" s="747"/>
      <c r="BL42" s="747"/>
      <c r="BM42" s="186"/>
      <c r="BN42" s="186"/>
      <c r="BO42" s="12"/>
      <c r="BP42" s="11"/>
      <c r="BQ42" s="186"/>
      <c r="BR42" s="747"/>
      <c r="BS42" s="747"/>
      <c r="BT42" s="747"/>
      <c r="BU42" s="186"/>
      <c r="BV42" s="186"/>
      <c r="BW42" s="12"/>
    </row>
    <row r="43" spans="1:75" ht="12.75" thickBot="1">
      <c r="A43" s="1" t="s">
        <v>734</v>
      </c>
      <c r="B43" s="1" t="s">
        <v>725</v>
      </c>
      <c r="C43" s="1" t="s">
        <v>726</v>
      </c>
      <c r="D43" s="1" t="s">
        <v>1803</v>
      </c>
      <c r="E43" s="1" t="s">
        <v>1828</v>
      </c>
      <c r="F43" s="1">
        <v>0.13</v>
      </c>
      <c r="G43" s="1">
        <v>0</v>
      </c>
      <c r="H43" s="1">
        <v>2.3199999999999998</v>
      </c>
      <c r="I43" s="20" t="s">
        <v>684</v>
      </c>
      <c r="T43" s="1251"/>
      <c r="U43" s="1252"/>
      <c r="V43" s="234" t="s">
        <v>2757</v>
      </c>
      <c r="W43" s="235" t="s">
        <v>2770</v>
      </c>
      <c r="X43" s="236"/>
      <c r="Y43" s="237">
        <v>0.05</v>
      </c>
      <c r="Z43" s="190"/>
      <c r="AA43" s="1249"/>
      <c r="AB43" s="1250"/>
      <c r="AC43" s="210" t="s">
        <v>1709</v>
      </c>
      <c r="AD43" s="209" t="s">
        <v>1943</v>
      </c>
      <c r="AE43" s="173"/>
      <c r="AF43" s="213">
        <v>0.28000000000000003</v>
      </c>
      <c r="AG43" s="214">
        <v>5.1999999999999998E-2</v>
      </c>
      <c r="AI43" s="757"/>
      <c r="AJ43" s="689" t="s">
        <v>2513</v>
      </c>
      <c r="AK43" s="686" t="s">
        <v>2496</v>
      </c>
      <c r="AL43" s="687" t="s">
        <v>2523</v>
      </c>
      <c r="AM43" s="687" t="s">
        <v>1730</v>
      </c>
      <c r="AN43" s="762" t="s">
        <v>1730</v>
      </c>
      <c r="AO43" s="686">
        <v>2.5000000000000001E-2</v>
      </c>
      <c r="AP43" s="686">
        <v>0</v>
      </c>
      <c r="AQ43" s="688">
        <v>2.3199999999999998</v>
      </c>
      <c r="AR43" s="685" t="s">
        <v>2710</v>
      </c>
      <c r="AS43" s="686" t="s">
        <v>2496</v>
      </c>
      <c r="AT43" s="687" t="s">
        <v>2523</v>
      </c>
      <c r="AU43" s="687" t="s">
        <v>1730</v>
      </c>
      <c r="AV43" s="762" t="s">
        <v>1730</v>
      </c>
      <c r="AW43" s="686">
        <v>2.5000000000000001E-2</v>
      </c>
      <c r="AX43" s="686">
        <v>0</v>
      </c>
      <c r="AY43" s="688">
        <v>3</v>
      </c>
      <c r="AZ43" s="685" t="s">
        <v>1970</v>
      </c>
      <c r="BA43" s="686" t="s">
        <v>2496</v>
      </c>
      <c r="BB43" s="687" t="s">
        <v>2543</v>
      </c>
      <c r="BC43" s="687" t="s">
        <v>1730</v>
      </c>
      <c r="BD43" s="687" t="s">
        <v>2490</v>
      </c>
      <c r="BE43" s="686">
        <v>3.7499999999999999E-2</v>
      </c>
      <c r="BF43" s="686">
        <v>1.25E-3</v>
      </c>
      <c r="BG43" s="688">
        <v>2.58</v>
      </c>
      <c r="BH43" s="11"/>
      <c r="BI43" s="186"/>
      <c r="BJ43" s="747"/>
      <c r="BK43" s="747"/>
      <c r="BL43" s="747"/>
      <c r="BM43" s="186"/>
      <c r="BN43" s="186"/>
      <c r="BO43" s="12"/>
      <c r="BP43" s="11"/>
      <c r="BQ43" s="186"/>
      <c r="BR43" s="747"/>
      <c r="BS43" s="747"/>
      <c r="BT43" s="747"/>
      <c r="BU43" s="186"/>
      <c r="BV43" s="186"/>
      <c r="BW43" s="12"/>
    </row>
    <row r="44" spans="1:75" ht="12.75" thickBot="1">
      <c r="A44" s="1" t="s">
        <v>735</v>
      </c>
      <c r="B44" s="1" t="s">
        <v>725</v>
      </c>
      <c r="C44" s="1" t="s">
        <v>726</v>
      </c>
      <c r="D44" s="1" t="s">
        <v>1803</v>
      </c>
      <c r="E44" s="1" t="s">
        <v>1829</v>
      </c>
      <c r="F44" s="1">
        <v>6.5000000000000002E-2</v>
      </c>
      <c r="G44" s="1">
        <v>0</v>
      </c>
      <c r="H44" s="1">
        <v>2.3199999999999998</v>
      </c>
      <c r="I44" s="20" t="s">
        <v>691</v>
      </c>
      <c r="J44" s="1" t="s">
        <v>692</v>
      </c>
      <c r="T44" s="238"/>
      <c r="U44" s="177"/>
      <c r="V44" s="177"/>
      <c r="W44" s="177"/>
      <c r="X44" s="239"/>
      <c r="Y44" s="190"/>
      <c r="Z44" s="190"/>
      <c r="AA44" s="1251"/>
      <c r="AB44" s="1252"/>
      <c r="AC44" s="234" t="s">
        <v>2757</v>
      </c>
      <c r="AD44" s="235" t="s">
        <v>2771</v>
      </c>
      <c r="AE44" s="236"/>
      <c r="AF44" s="240">
        <v>0.14000000000000001</v>
      </c>
      <c r="AG44" s="241">
        <v>1.2999999999999999E-2</v>
      </c>
      <c r="AI44" s="757"/>
      <c r="AJ44" s="689" t="s">
        <v>2513</v>
      </c>
      <c r="AK44" s="686" t="s">
        <v>2496</v>
      </c>
      <c r="AL44" s="687" t="s">
        <v>2524</v>
      </c>
      <c r="AM44" s="687" t="s">
        <v>1730</v>
      </c>
      <c r="AN44" s="762" t="s">
        <v>1730</v>
      </c>
      <c r="AO44" s="686">
        <v>1.2500000000000001E-2</v>
      </c>
      <c r="AP44" s="686">
        <v>0</v>
      </c>
      <c r="AQ44" s="688">
        <v>2.3199999999999998</v>
      </c>
      <c r="AR44" s="685" t="s">
        <v>2710</v>
      </c>
      <c r="AS44" s="686" t="s">
        <v>2496</v>
      </c>
      <c r="AT44" s="687" t="s">
        <v>2524</v>
      </c>
      <c r="AU44" s="687" t="s">
        <v>1730</v>
      </c>
      <c r="AV44" s="762" t="s">
        <v>1730</v>
      </c>
      <c r="AW44" s="686">
        <v>1.2500000000000001E-2</v>
      </c>
      <c r="AX44" s="686">
        <v>0</v>
      </c>
      <c r="AY44" s="688">
        <v>3</v>
      </c>
      <c r="AZ44" s="685" t="s">
        <v>1970</v>
      </c>
      <c r="BA44" s="686" t="s">
        <v>2496</v>
      </c>
      <c r="BB44" s="687" t="s">
        <v>2544</v>
      </c>
      <c r="BC44" s="687" t="s">
        <v>1180</v>
      </c>
      <c r="BD44" s="687" t="s">
        <v>2490</v>
      </c>
      <c r="BE44" s="686">
        <v>0.11249999999999999</v>
      </c>
      <c r="BF44" s="686">
        <v>3.7499999999999999E-3</v>
      </c>
      <c r="BG44" s="688">
        <v>2.58</v>
      </c>
      <c r="BH44" s="11"/>
      <c r="BI44" s="186"/>
      <c r="BJ44" s="747"/>
      <c r="BK44" s="747"/>
      <c r="BL44" s="747"/>
      <c r="BM44" s="186"/>
      <c r="BN44" s="186"/>
      <c r="BO44" s="12"/>
      <c r="BP44" s="11"/>
      <c r="BQ44" s="186"/>
      <c r="BR44" s="747"/>
      <c r="BS44" s="747"/>
      <c r="BT44" s="747"/>
      <c r="BU44" s="186"/>
      <c r="BV44" s="186"/>
      <c r="BW44" s="12"/>
    </row>
    <row r="45" spans="1:75">
      <c r="A45" s="1" t="s">
        <v>736</v>
      </c>
      <c r="B45" s="1" t="s">
        <v>725</v>
      </c>
      <c r="C45" s="1" t="s">
        <v>726</v>
      </c>
      <c r="D45" s="1" t="s">
        <v>1803</v>
      </c>
      <c r="E45" s="1" t="s">
        <v>1921</v>
      </c>
      <c r="F45" s="1">
        <v>9.7500000000000003E-2</v>
      </c>
      <c r="G45" s="1">
        <v>0</v>
      </c>
      <c r="H45" s="1">
        <v>2.3199999999999998</v>
      </c>
      <c r="I45" s="20" t="s">
        <v>684</v>
      </c>
      <c r="J45" s="1" t="s">
        <v>515</v>
      </c>
      <c r="AI45" s="757"/>
      <c r="AJ45" s="689" t="s">
        <v>2513</v>
      </c>
      <c r="AK45" s="686" t="s">
        <v>2496</v>
      </c>
      <c r="AL45" s="687" t="s">
        <v>2525</v>
      </c>
      <c r="AM45" s="687" t="s">
        <v>1180</v>
      </c>
      <c r="AN45" s="762" t="s">
        <v>1730</v>
      </c>
      <c r="AO45" s="686">
        <v>3.7499999999999999E-2</v>
      </c>
      <c r="AP45" s="686">
        <v>0</v>
      </c>
      <c r="AQ45" s="688">
        <v>2.3199999999999998</v>
      </c>
      <c r="AR45" s="685" t="s">
        <v>2710</v>
      </c>
      <c r="AS45" s="686" t="s">
        <v>2496</v>
      </c>
      <c r="AT45" s="687" t="s">
        <v>2525</v>
      </c>
      <c r="AU45" s="687" t="s">
        <v>1180</v>
      </c>
      <c r="AV45" s="762" t="s">
        <v>1730</v>
      </c>
      <c r="AW45" s="686">
        <v>3.7499999999999999E-2</v>
      </c>
      <c r="AX45" s="686">
        <v>0</v>
      </c>
      <c r="AY45" s="688">
        <v>3</v>
      </c>
      <c r="AZ45" s="685" t="s">
        <v>1970</v>
      </c>
      <c r="BA45" s="686" t="s">
        <v>2496</v>
      </c>
      <c r="BB45" s="687" t="s">
        <v>2545</v>
      </c>
      <c r="BC45" s="687" t="s">
        <v>1180</v>
      </c>
      <c r="BD45" s="687" t="s">
        <v>2490</v>
      </c>
      <c r="BE45" s="686">
        <v>0.11249999999999999</v>
      </c>
      <c r="BF45" s="686">
        <v>3.7499999999999999E-3</v>
      </c>
      <c r="BG45" s="688">
        <v>2.58</v>
      </c>
      <c r="BH45" s="11"/>
      <c r="BI45" s="186"/>
      <c r="BJ45" s="747"/>
      <c r="BK45" s="747"/>
      <c r="BL45" s="747"/>
      <c r="BM45" s="186"/>
      <c r="BN45" s="186"/>
      <c r="BO45" s="12"/>
      <c r="BP45" s="11"/>
      <c r="BQ45" s="186"/>
      <c r="BR45" s="747"/>
      <c r="BS45" s="747"/>
      <c r="BT45" s="747"/>
      <c r="BU45" s="186"/>
      <c r="BV45" s="186"/>
      <c r="BW45" s="12"/>
    </row>
    <row r="46" spans="1:75">
      <c r="A46" s="1" t="s">
        <v>737</v>
      </c>
      <c r="B46" s="1" t="s">
        <v>725</v>
      </c>
      <c r="C46" s="1" t="s">
        <v>726</v>
      </c>
      <c r="D46" s="1" t="s">
        <v>1803</v>
      </c>
      <c r="E46" s="1" t="s">
        <v>1924</v>
      </c>
      <c r="F46" s="1">
        <v>9.7500000000000003E-2</v>
      </c>
      <c r="G46" s="1">
        <v>0</v>
      </c>
      <c r="H46" s="1">
        <v>2.3199999999999998</v>
      </c>
      <c r="I46" s="20" t="s">
        <v>691</v>
      </c>
      <c r="J46" s="1" t="s">
        <v>697</v>
      </c>
      <c r="T46" s="1" t="s">
        <v>2199</v>
      </c>
      <c r="AI46" s="757"/>
      <c r="AJ46" s="689" t="s">
        <v>2513</v>
      </c>
      <c r="AK46" s="686" t="s">
        <v>2496</v>
      </c>
      <c r="AL46" s="687" t="s">
        <v>2526</v>
      </c>
      <c r="AM46" s="687" t="s">
        <v>1180</v>
      </c>
      <c r="AN46" s="762" t="s">
        <v>1730</v>
      </c>
      <c r="AO46" s="686">
        <v>3.7499999999999999E-2</v>
      </c>
      <c r="AP46" s="686">
        <v>0</v>
      </c>
      <c r="AQ46" s="688">
        <v>2.3199999999999998</v>
      </c>
      <c r="AR46" s="685" t="s">
        <v>2710</v>
      </c>
      <c r="AS46" s="686" t="s">
        <v>2496</v>
      </c>
      <c r="AT46" s="687" t="s">
        <v>2526</v>
      </c>
      <c r="AU46" s="687" t="s">
        <v>1180</v>
      </c>
      <c r="AV46" s="762" t="s">
        <v>1730</v>
      </c>
      <c r="AW46" s="686">
        <v>3.7499999999999999E-2</v>
      </c>
      <c r="AX46" s="686">
        <v>0</v>
      </c>
      <c r="AY46" s="688">
        <v>3</v>
      </c>
      <c r="AZ46" s="685" t="s">
        <v>1970</v>
      </c>
      <c r="BA46" s="686" t="s">
        <v>2496</v>
      </c>
      <c r="BB46" s="687" t="s">
        <v>2546</v>
      </c>
      <c r="BC46" s="687" t="s">
        <v>1180</v>
      </c>
      <c r="BD46" s="687" t="s">
        <v>2490</v>
      </c>
      <c r="BE46" s="686">
        <v>0.11249999999999999</v>
      </c>
      <c r="BF46" s="686">
        <v>3.7499999999999999E-3</v>
      </c>
      <c r="BG46" s="688">
        <v>2.58</v>
      </c>
      <c r="BH46" s="11"/>
      <c r="BI46" s="186"/>
      <c r="BJ46" s="747"/>
      <c r="BK46" s="747"/>
      <c r="BL46" s="747"/>
      <c r="BM46" s="186"/>
      <c r="BN46" s="186"/>
      <c r="BO46" s="12"/>
      <c r="BP46" s="11"/>
      <c r="BQ46" s="186"/>
      <c r="BR46" s="747"/>
      <c r="BS46" s="747"/>
      <c r="BT46" s="747"/>
      <c r="BU46" s="186"/>
      <c r="BV46" s="186"/>
      <c r="BW46" s="12"/>
    </row>
    <row r="47" spans="1:75">
      <c r="A47" s="1" t="s">
        <v>738</v>
      </c>
      <c r="B47" s="1" t="s">
        <v>725</v>
      </c>
      <c r="C47" s="1" t="s">
        <v>726</v>
      </c>
      <c r="D47" s="1" t="s">
        <v>1803</v>
      </c>
      <c r="E47" s="1" t="s">
        <v>1927</v>
      </c>
      <c r="F47" s="1">
        <v>6.5000000000000002E-2</v>
      </c>
      <c r="G47" s="1">
        <v>0</v>
      </c>
      <c r="H47" s="1">
        <v>2.3199999999999998</v>
      </c>
      <c r="I47" s="20" t="s">
        <v>684</v>
      </c>
      <c r="J47" s="1" t="s">
        <v>516</v>
      </c>
      <c r="U47" s="1" t="s">
        <v>261</v>
      </c>
      <c r="AI47" s="757"/>
      <c r="AJ47" s="689" t="s">
        <v>2513</v>
      </c>
      <c r="AK47" s="686" t="s">
        <v>2496</v>
      </c>
      <c r="AL47" s="687" t="s">
        <v>2527</v>
      </c>
      <c r="AM47" s="687" t="s">
        <v>1180</v>
      </c>
      <c r="AN47" s="762" t="s">
        <v>1730</v>
      </c>
      <c r="AO47" s="686">
        <v>3.7499999999999999E-2</v>
      </c>
      <c r="AP47" s="686">
        <v>0</v>
      </c>
      <c r="AQ47" s="688">
        <v>2.3199999999999998</v>
      </c>
      <c r="AR47" s="685" t="s">
        <v>2710</v>
      </c>
      <c r="AS47" s="686" t="s">
        <v>2496</v>
      </c>
      <c r="AT47" s="687" t="s">
        <v>2527</v>
      </c>
      <c r="AU47" s="687" t="s">
        <v>1180</v>
      </c>
      <c r="AV47" s="762" t="s">
        <v>1730</v>
      </c>
      <c r="AW47" s="686">
        <v>3.7499999999999999E-2</v>
      </c>
      <c r="AX47" s="686">
        <v>0</v>
      </c>
      <c r="AY47" s="688">
        <v>3</v>
      </c>
      <c r="AZ47" s="685" t="s">
        <v>1970</v>
      </c>
      <c r="BA47" s="686" t="s">
        <v>2496</v>
      </c>
      <c r="BB47" s="687" t="s">
        <v>2547</v>
      </c>
      <c r="BC47" s="687" t="s">
        <v>277</v>
      </c>
      <c r="BD47" s="687" t="s">
        <v>2490</v>
      </c>
      <c r="BE47" s="686">
        <v>7.4999999999999997E-2</v>
      </c>
      <c r="BF47" s="686">
        <v>2.5000000000000001E-3</v>
      </c>
      <c r="BG47" s="688">
        <v>2.58</v>
      </c>
      <c r="BH47" s="11"/>
      <c r="BI47" s="186"/>
      <c r="BJ47" s="747"/>
      <c r="BK47" s="747"/>
      <c r="BL47" s="747"/>
      <c r="BM47" s="186"/>
      <c r="BN47" s="186"/>
      <c r="BO47" s="12"/>
      <c r="BP47" s="11"/>
      <c r="BQ47" s="186"/>
      <c r="BR47" s="747"/>
      <c r="BS47" s="747"/>
      <c r="BT47" s="747"/>
      <c r="BU47" s="186"/>
      <c r="BV47" s="186"/>
      <c r="BW47" s="12"/>
    </row>
    <row r="48" spans="1:75">
      <c r="A48" s="1" t="s">
        <v>739</v>
      </c>
      <c r="B48" s="1" t="s">
        <v>725</v>
      </c>
      <c r="C48" s="1" t="s">
        <v>726</v>
      </c>
      <c r="D48" s="1" t="s">
        <v>1803</v>
      </c>
      <c r="E48" s="1" t="s">
        <v>1931</v>
      </c>
      <c r="F48" s="1">
        <v>6.5000000000000002E-2</v>
      </c>
      <c r="G48" s="1">
        <v>0</v>
      </c>
      <c r="H48" s="1">
        <v>2.3199999999999998</v>
      </c>
      <c r="I48" s="20" t="s">
        <v>691</v>
      </c>
      <c r="J48" s="1" t="s">
        <v>700</v>
      </c>
      <c r="U48" s="1" t="s">
        <v>262</v>
      </c>
      <c r="AI48" s="757"/>
      <c r="AJ48" s="689" t="s">
        <v>2513</v>
      </c>
      <c r="AK48" s="686" t="s">
        <v>2496</v>
      </c>
      <c r="AL48" s="687" t="s">
        <v>2528</v>
      </c>
      <c r="AM48" s="687" t="s">
        <v>277</v>
      </c>
      <c r="AN48" s="762" t="s">
        <v>1730</v>
      </c>
      <c r="AO48" s="686">
        <v>2.5000000000000001E-2</v>
      </c>
      <c r="AP48" s="686">
        <v>0</v>
      </c>
      <c r="AQ48" s="688">
        <v>2.3199999999999998</v>
      </c>
      <c r="AR48" s="685" t="s">
        <v>2767</v>
      </c>
      <c r="AS48" s="686" t="s">
        <v>2496</v>
      </c>
      <c r="AT48" s="687" t="s">
        <v>2528</v>
      </c>
      <c r="AU48" s="687" t="s">
        <v>277</v>
      </c>
      <c r="AV48" s="762" t="s">
        <v>1730</v>
      </c>
      <c r="AW48" s="686">
        <v>2.5000000000000001E-2</v>
      </c>
      <c r="AX48" s="686">
        <v>0</v>
      </c>
      <c r="AY48" s="688">
        <v>3</v>
      </c>
      <c r="AZ48" s="685" t="s">
        <v>1970</v>
      </c>
      <c r="BA48" s="686" t="s">
        <v>2496</v>
      </c>
      <c r="BB48" s="687" t="s">
        <v>2548</v>
      </c>
      <c r="BC48" s="687" t="s">
        <v>277</v>
      </c>
      <c r="BD48" s="687" t="s">
        <v>2490</v>
      </c>
      <c r="BE48" s="686">
        <v>7.4999999999999997E-2</v>
      </c>
      <c r="BF48" s="686">
        <v>2.5000000000000001E-3</v>
      </c>
      <c r="BG48" s="688">
        <v>2.58</v>
      </c>
      <c r="BH48" s="11"/>
      <c r="BI48" s="186"/>
      <c r="BJ48" s="747"/>
      <c r="BK48" s="747"/>
      <c r="BL48" s="747"/>
      <c r="BM48" s="186"/>
      <c r="BN48" s="186"/>
      <c r="BO48" s="12"/>
      <c r="BP48" s="11"/>
      <c r="BQ48" s="186"/>
      <c r="BR48" s="747"/>
      <c r="BS48" s="747"/>
      <c r="BT48" s="747"/>
      <c r="BU48" s="186"/>
      <c r="BV48" s="186"/>
      <c r="BW48" s="12"/>
    </row>
    <row r="49" spans="1:75">
      <c r="A49" s="1" t="s">
        <v>740</v>
      </c>
      <c r="B49" s="1" t="s">
        <v>725</v>
      </c>
      <c r="C49" s="1" t="s">
        <v>726</v>
      </c>
      <c r="D49" s="1" t="s">
        <v>1803</v>
      </c>
      <c r="E49" s="1" t="s">
        <v>1935</v>
      </c>
      <c r="F49" s="1">
        <v>3.2500000000000001E-2</v>
      </c>
      <c r="G49" s="1">
        <v>0</v>
      </c>
      <c r="H49" s="1">
        <v>2.3199999999999998</v>
      </c>
      <c r="I49" s="20" t="s">
        <v>684</v>
      </c>
      <c r="J49" s="1" t="s">
        <v>517</v>
      </c>
      <c r="AI49" s="757"/>
      <c r="AJ49" s="689" t="s">
        <v>2513</v>
      </c>
      <c r="AK49" s="686" t="s">
        <v>2496</v>
      </c>
      <c r="AL49" s="687" t="s">
        <v>2529</v>
      </c>
      <c r="AM49" s="687" t="s">
        <v>277</v>
      </c>
      <c r="AN49" s="762" t="s">
        <v>1730</v>
      </c>
      <c r="AO49" s="686">
        <v>2.5000000000000001E-2</v>
      </c>
      <c r="AP49" s="686">
        <v>0</v>
      </c>
      <c r="AQ49" s="688">
        <v>2.3199999999999998</v>
      </c>
      <c r="AR49" s="685" t="s">
        <v>2710</v>
      </c>
      <c r="AS49" s="686" t="s">
        <v>2496</v>
      </c>
      <c r="AT49" s="687" t="s">
        <v>2529</v>
      </c>
      <c r="AU49" s="687" t="s">
        <v>277</v>
      </c>
      <c r="AV49" s="762" t="s">
        <v>1730</v>
      </c>
      <c r="AW49" s="686">
        <v>2.5000000000000001E-2</v>
      </c>
      <c r="AX49" s="686">
        <v>0</v>
      </c>
      <c r="AY49" s="688">
        <v>3</v>
      </c>
      <c r="AZ49" s="685" t="s">
        <v>1970</v>
      </c>
      <c r="BA49" s="686" t="s">
        <v>2496</v>
      </c>
      <c r="BB49" s="687" t="s">
        <v>2549</v>
      </c>
      <c r="BC49" s="687" t="s">
        <v>277</v>
      </c>
      <c r="BD49" s="687" t="s">
        <v>2490</v>
      </c>
      <c r="BE49" s="686">
        <v>7.4999999999999997E-2</v>
      </c>
      <c r="BF49" s="686">
        <v>2.5000000000000001E-3</v>
      </c>
      <c r="BG49" s="688">
        <v>2.58</v>
      </c>
      <c r="BH49" s="11"/>
      <c r="BI49" s="186"/>
      <c r="BJ49" s="747"/>
      <c r="BK49" s="747"/>
      <c r="BL49" s="747"/>
      <c r="BM49" s="186"/>
      <c r="BN49" s="186"/>
      <c r="BO49" s="12"/>
      <c r="BP49" s="11"/>
      <c r="BQ49" s="186"/>
      <c r="BR49" s="747"/>
      <c r="BS49" s="747"/>
      <c r="BT49" s="747"/>
      <c r="BU49" s="186"/>
      <c r="BV49" s="186"/>
      <c r="BW49" s="12"/>
    </row>
    <row r="50" spans="1:75">
      <c r="A50" s="1" t="s">
        <v>741</v>
      </c>
      <c r="B50" s="1" t="s">
        <v>725</v>
      </c>
      <c r="C50" s="1" t="s">
        <v>726</v>
      </c>
      <c r="D50" s="1" t="s">
        <v>1803</v>
      </c>
      <c r="E50" s="1" t="s">
        <v>1939</v>
      </c>
      <c r="F50" s="1">
        <v>3.2500000000000001E-2</v>
      </c>
      <c r="G50" s="1">
        <v>0</v>
      </c>
      <c r="H50" s="1">
        <v>2.3199999999999998</v>
      </c>
      <c r="I50" s="20" t="s">
        <v>691</v>
      </c>
      <c r="J50" s="1" t="s">
        <v>703</v>
      </c>
      <c r="U50" s="1253" t="s">
        <v>2200</v>
      </c>
      <c r="V50" s="1254"/>
      <c r="W50" s="1234" t="s">
        <v>2772</v>
      </c>
      <c r="X50" s="1234"/>
      <c r="AI50" s="757"/>
      <c r="AJ50" s="689" t="s">
        <v>2513</v>
      </c>
      <c r="AK50" s="686" t="s">
        <v>2496</v>
      </c>
      <c r="AL50" s="687" t="s">
        <v>2530</v>
      </c>
      <c r="AM50" s="687" t="s">
        <v>277</v>
      </c>
      <c r="AN50" s="762" t="s">
        <v>1730</v>
      </c>
      <c r="AO50" s="686">
        <v>2.5000000000000001E-2</v>
      </c>
      <c r="AP50" s="686">
        <v>0</v>
      </c>
      <c r="AQ50" s="688">
        <v>2.3199999999999998</v>
      </c>
      <c r="AR50" s="685" t="s">
        <v>2710</v>
      </c>
      <c r="AS50" s="686" t="s">
        <v>2496</v>
      </c>
      <c r="AT50" s="687" t="s">
        <v>2530</v>
      </c>
      <c r="AU50" s="687" t="s">
        <v>277</v>
      </c>
      <c r="AV50" s="762" t="s">
        <v>1730</v>
      </c>
      <c r="AW50" s="686">
        <v>2.5000000000000001E-2</v>
      </c>
      <c r="AX50" s="686">
        <v>0</v>
      </c>
      <c r="AY50" s="688">
        <v>3</v>
      </c>
      <c r="AZ50" s="685" t="s">
        <v>1970</v>
      </c>
      <c r="BA50" s="686" t="s">
        <v>2496</v>
      </c>
      <c r="BB50" s="687" t="s">
        <v>2550</v>
      </c>
      <c r="BC50" s="687" t="s">
        <v>2482</v>
      </c>
      <c r="BD50" s="687" t="s">
        <v>2490</v>
      </c>
      <c r="BE50" s="686">
        <v>3.7499999999999999E-2</v>
      </c>
      <c r="BF50" s="686">
        <v>1.25E-3</v>
      </c>
      <c r="BG50" s="688">
        <v>2.58</v>
      </c>
      <c r="BH50" s="11"/>
      <c r="BI50" s="186"/>
      <c r="BJ50" s="747"/>
      <c r="BK50" s="747"/>
      <c r="BL50" s="747"/>
      <c r="BM50" s="186"/>
      <c r="BN50" s="186"/>
      <c r="BO50" s="12"/>
      <c r="BP50" s="11"/>
      <c r="BQ50" s="186"/>
      <c r="BR50" s="747"/>
      <c r="BS50" s="747"/>
      <c r="BT50" s="747"/>
      <c r="BU50" s="186"/>
      <c r="BV50" s="186"/>
      <c r="BW50" s="12"/>
    </row>
    <row r="51" spans="1:75">
      <c r="A51" s="1" t="s">
        <v>742</v>
      </c>
      <c r="B51" s="1" t="s">
        <v>725</v>
      </c>
      <c r="C51" s="1" t="s">
        <v>726</v>
      </c>
      <c r="D51" s="1" t="s">
        <v>1710</v>
      </c>
      <c r="E51" s="1" t="s">
        <v>1944</v>
      </c>
      <c r="F51" s="1">
        <v>7.0000000000000007E-2</v>
      </c>
      <c r="G51" s="1">
        <v>0</v>
      </c>
      <c r="H51" s="1">
        <v>2.3199999999999998</v>
      </c>
      <c r="I51" s="20" t="s">
        <v>684</v>
      </c>
      <c r="U51" s="1255"/>
      <c r="V51" s="1256"/>
      <c r="W51" s="1230" t="s">
        <v>2774</v>
      </c>
      <c r="X51" s="1230"/>
      <c r="AI51" s="757"/>
      <c r="AJ51" s="689" t="s">
        <v>2513</v>
      </c>
      <c r="AK51" s="686" t="s">
        <v>2496</v>
      </c>
      <c r="AL51" s="687" t="s">
        <v>2531</v>
      </c>
      <c r="AM51" s="687" t="s">
        <v>2482</v>
      </c>
      <c r="AN51" s="762" t="s">
        <v>1730</v>
      </c>
      <c r="AO51" s="686">
        <v>1.2500000000000001E-2</v>
      </c>
      <c r="AP51" s="686">
        <v>0</v>
      </c>
      <c r="AQ51" s="688">
        <v>2.3199999999999998</v>
      </c>
      <c r="AR51" s="685" t="s">
        <v>2710</v>
      </c>
      <c r="AS51" s="686" t="s">
        <v>2496</v>
      </c>
      <c r="AT51" s="687" t="s">
        <v>2531</v>
      </c>
      <c r="AU51" s="687" t="s">
        <v>2482</v>
      </c>
      <c r="AV51" s="762" t="s">
        <v>1730</v>
      </c>
      <c r="AW51" s="686">
        <v>1.2500000000000001E-2</v>
      </c>
      <c r="AX51" s="686">
        <v>0</v>
      </c>
      <c r="AY51" s="688">
        <v>3</v>
      </c>
      <c r="AZ51" s="685" t="s">
        <v>1970</v>
      </c>
      <c r="BA51" s="686" t="s">
        <v>2496</v>
      </c>
      <c r="BB51" s="687" t="s">
        <v>2551</v>
      </c>
      <c r="BC51" s="687" t="s">
        <v>2482</v>
      </c>
      <c r="BD51" s="687" t="s">
        <v>2490</v>
      </c>
      <c r="BE51" s="686">
        <v>3.7499999999999999E-2</v>
      </c>
      <c r="BF51" s="686">
        <v>1.25E-3</v>
      </c>
      <c r="BG51" s="688">
        <v>2.58</v>
      </c>
      <c r="BH51" s="11"/>
      <c r="BI51" s="186"/>
      <c r="BJ51" s="747"/>
      <c r="BK51" s="747"/>
      <c r="BL51" s="747"/>
      <c r="BM51" s="186"/>
      <c r="BN51" s="186"/>
      <c r="BO51" s="12"/>
      <c r="BP51" s="11"/>
      <c r="BQ51" s="186"/>
      <c r="BR51" s="747"/>
      <c r="BS51" s="747"/>
      <c r="BT51" s="747"/>
      <c r="BU51" s="186"/>
      <c r="BV51" s="186"/>
      <c r="BW51" s="12"/>
    </row>
    <row r="52" spans="1:75">
      <c r="A52" s="1" t="s">
        <v>743</v>
      </c>
      <c r="B52" s="1" t="s">
        <v>725</v>
      </c>
      <c r="C52" s="1" t="s">
        <v>726</v>
      </c>
      <c r="D52" s="1" t="s">
        <v>1710</v>
      </c>
      <c r="E52" s="1" t="s">
        <v>1945</v>
      </c>
      <c r="F52" s="1">
        <v>3.5000000000000003E-2</v>
      </c>
      <c r="G52" s="1">
        <v>0</v>
      </c>
      <c r="H52" s="1">
        <v>2.3199999999999998</v>
      </c>
      <c r="I52" s="20" t="s">
        <v>691</v>
      </c>
      <c r="J52" s="1" t="s">
        <v>692</v>
      </c>
      <c r="U52" s="1231" t="s">
        <v>2201</v>
      </c>
      <c r="V52" s="1232"/>
      <c r="W52" s="1232"/>
      <c r="X52" s="1233"/>
      <c r="AI52" s="757"/>
      <c r="AJ52" s="689" t="s">
        <v>2513</v>
      </c>
      <c r="AK52" s="686" t="s">
        <v>2496</v>
      </c>
      <c r="AL52" s="687" t="s">
        <v>2532</v>
      </c>
      <c r="AM52" s="687" t="s">
        <v>2482</v>
      </c>
      <c r="AN52" s="762" t="s">
        <v>1730</v>
      </c>
      <c r="AO52" s="686">
        <v>1.2500000000000001E-2</v>
      </c>
      <c r="AP52" s="686">
        <v>0</v>
      </c>
      <c r="AQ52" s="688">
        <v>2.3199999999999998</v>
      </c>
      <c r="AR52" s="685" t="s">
        <v>2710</v>
      </c>
      <c r="AS52" s="686" t="s">
        <v>2496</v>
      </c>
      <c r="AT52" s="687" t="s">
        <v>2532</v>
      </c>
      <c r="AU52" s="687" t="s">
        <v>2482</v>
      </c>
      <c r="AV52" s="762" t="s">
        <v>1730</v>
      </c>
      <c r="AW52" s="686">
        <v>1.2500000000000001E-2</v>
      </c>
      <c r="AX52" s="686">
        <v>0</v>
      </c>
      <c r="AY52" s="688">
        <v>3</v>
      </c>
      <c r="AZ52" s="685" t="s">
        <v>1970</v>
      </c>
      <c r="BA52" s="686" t="s">
        <v>2496</v>
      </c>
      <c r="BB52" s="687" t="s">
        <v>2552</v>
      </c>
      <c r="BC52" s="687" t="s">
        <v>2482</v>
      </c>
      <c r="BD52" s="687" t="s">
        <v>2490</v>
      </c>
      <c r="BE52" s="686">
        <v>3.7499999999999999E-2</v>
      </c>
      <c r="BF52" s="686">
        <v>1.25E-3</v>
      </c>
      <c r="BG52" s="688">
        <v>2.58</v>
      </c>
      <c r="BH52" s="11"/>
      <c r="BI52" s="186"/>
      <c r="BJ52" s="747"/>
      <c r="BK52" s="747"/>
      <c r="BL52" s="747"/>
      <c r="BM52" s="186"/>
      <c r="BN52" s="186"/>
      <c r="BO52" s="12"/>
      <c r="BP52" s="11"/>
      <c r="BQ52" s="186"/>
      <c r="BR52" s="747"/>
      <c r="BS52" s="747"/>
      <c r="BT52" s="747"/>
      <c r="BU52" s="186"/>
      <c r="BV52" s="186"/>
      <c r="BW52" s="12"/>
    </row>
    <row r="53" spans="1:75">
      <c r="A53" s="1" t="s">
        <v>744</v>
      </c>
      <c r="B53" s="1" t="s">
        <v>725</v>
      </c>
      <c r="C53" s="1" t="s">
        <v>726</v>
      </c>
      <c r="D53" s="1" t="s">
        <v>1710</v>
      </c>
      <c r="E53" s="1" t="s">
        <v>1946</v>
      </c>
      <c r="F53" s="1">
        <v>6.3000000000000014E-2</v>
      </c>
      <c r="G53" s="1">
        <v>0</v>
      </c>
      <c r="H53" s="1">
        <v>2.3199999999999998</v>
      </c>
      <c r="I53" s="20" t="s">
        <v>691</v>
      </c>
      <c r="J53" s="1" t="s">
        <v>697</v>
      </c>
      <c r="U53" s="1253" t="s">
        <v>263</v>
      </c>
      <c r="V53" s="1254"/>
      <c r="W53" s="1234" t="s">
        <v>2775</v>
      </c>
      <c r="X53" s="1234"/>
      <c r="AI53" s="757"/>
      <c r="AJ53" s="689" t="s">
        <v>2513</v>
      </c>
      <c r="AK53" s="686" t="s">
        <v>2496</v>
      </c>
      <c r="AL53" s="687" t="s">
        <v>2533</v>
      </c>
      <c r="AM53" s="687" t="s">
        <v>2482</v>
      </c>
      <c r="AN53" s="762" t="s">
        <v>1730</v>
      </c>
      <c r="AO53" s="686">
        <v>1.2500000000000001E-2</v>
      </c>
      <c r="AP53" s="686">
        <v>0</v>
      </c>
      <c r="AQ53" s="688">
        <v>2.3199999999999998</v>
      </c>
      <c r="AR53" s="685" t="s">
        <v>2710</v>
      </c>
      <c r="AS53" s="686" t="s">
        <v>2496</v>
      </c>
      <c r="AT53" s="687" t="s">
        <v>2533</v>
      </c>
      <c r="AU53" s="687" t="s">
        <v>2482</v>
      </c>
      <c r="AV53" s="762" t="s">
        <v>1730</v>
      </c>
      <c r="AW53" s="686">
        <v>1.2500000000000001E-2</v>
      </c>
      <c r="AX53" s="686">
        <v>0</v>
      </c>
      <c r="AY53" s="688">
        <v>3</v>
      </c>
      <c r="AZ53" s="11"/>
      <c r="BA53" s="186"/>
      <c r="BB53" s="747"/>
      <c r="BC53" s="747"/>
      <c r="BD53" s="747"/>
      <c r="BE53" s="186"/>
      <c r="BF53" s="186"/>
      <c r="BG53" s="12"/>
      <c r="BH53" s="11"/>
      <c r="BI53" s="186"/>
      <c r="BJ53" s="747"/>
      <c r="BK53" s="747"/>
      <c r="BL53" s="747"/>
      <c r="BM53" s="186"/>
      <c r="BN53" s="186"/>
      <c r="BO53" s="12"/>
      <c r="BP53" s="11"/>
      <c r="BQ53" s="186"/>
      <c r="BR53" s="747"/>
      <c r="BS53" s="747"/>
      <c r="BT53" s="747"/>
      <c r="BU53" s="186"/>
      <c r="BV53" s="186"/>
      <c r="BW53" s="12"/>
    </row>
    <row r="54" spans="1:75">
      <c r="A54" s="1" t="s">
        <v>745</v>
      </c>
      <c r="B54" s="1" t="s">
        <v>725</v>
      </c>
      <c r="C54" s="1" t="s">
        <v>726</v>
      </c>
      <c r="D54" s="1" t="s">
        <v>1710</v>
      </c>
      <c r="E54" s="1" t="s">
        <v>1947</v>
      </c>
      <c r="F54" s="1">
        <v>6.3000000000000014E-2</v>
      </c>
      <c r="G54" s="1">
        <v>0</v>
      </c>
      <c r="H54" s="1">
        <v>2.3199999999999998</v>
      </c>
      <c r="I54" s="20" t="s">
        <v>684</v>
      </c>
      <c r="J54" s="1" t="s">
        <v>515</v>
      </c>
      <c r="U54" s="1255"/>
      <c r="V54" s="1256"/>
      <c r="W54" s="1230" t="s">
        <v>2773</v>
      </c>
      <c r="X54" s="1230"/>
      <c r="AI54" s="757"/>
      <c r="AJ54" s="195"/>
      <c r="AK54" s="186"/>
      <c r="AL54" s="747"/>
      <c r="AM54" s="747"/>
      <c r="AN54" s="747"/>
      <c r="AO54" s="186"/>
      <c r="AP54" s="186"/>
      <c r="AQ54" s="12"/>
      <c r="AR54" s="11"/>
      <c r="AS54" s="186"/>
      <c r="AT54" s="747"/>
      <c r="AU54" s="747"/>
      <c r="AV54" s="747"/>
      <c r="AW54" s="186"/>
      <c r="AX54" s="186"/>
      <c r="AY54" s="12"/>
      <c r="AZ54" s="11"/>
      <c r="BA54" s="186"/>
      <c r="BB54" s="747"/>
      <c r="BC54" s="747"/>
      <c r="BD54" s="747"/>
      <c r="BE54" s="186"/>
      <c r="BF54" s="186"/>
      <c r="BG54" s="12"/>
      <c r="BH54" s="11"/>
      <c r="BI54" s="186"/>
      <c r="BJ54" s="747"/>
      <c r="BK54" s="747"/>
      <c r="BL54" s="747"/>
      <c r="BM54" s="186"/>
      <c r="BN54" s="186"/>
      <c r="BO54" s="12"/>
      <c r="BP54" s="11"/>
      <c r="BQ54" s="186"/>
      <c r="BR54" s="747"/>
      <c r="BS54" s="747"/>
      <c r="BT54" s="747"/>
      <c r="BU54" s="186"/>
      <c r="BV54" s="186"/>
      <c r="BW54" s="12"/>
    </row>
    <row r="55" spans="1:75">
      <c r="A55" s="1" t="s">
        <v>746</v>
      </c>
      <c r="B55" s="1" t="s">
        <v>725</v>
      </c>
      <c r="C55" s="1" t="s">
        <v>726</v>
      </c>
      <c r="D55" s="1" t="s">
        <v>1710</v>
      </c>
      <c r="E55" s="1" t="s">
        <v>1948</v>
      </c>
      <c r="F55" s="1">
        <v>3.5000000000000003E-2</v>
      </c>
      <c r="G55" s="1">
        <v>0</v>
      </c>
      <c r="H55" s="1">
        <v>2.3199999999999998</v>
      </c>
      <c r="I55" s="20" t="s">
        <v>691</v>
      </c>
      <c r="J55" s="1" t="s">
        <v>700</v>
      </c>
      <c r="U55" s="1253" t="s">
        <v>264</v>
      </c>
      <c r="V55" s="1254"/>
      <c r="W55" s="1234" t="s">
        <v>2776</v>
      </c>
      <c r="X55" s="1234"/>
      <c r="AI55" s="757"/>
      <c r="AJ55" s="195"/>
      <c r="AK55" s="186"/>
      <c r="AL55" s="747"/>
      <c r="AM55" s="747"/>
      <c r="AN55" s="747"/>
      <c r="AO55" s="186"/>
      <c r="AP55" s="186"/>
      <c r="AQ55" s="12"/>
      <c r="AR55" s="11"/>
      <c r="AS55" s="186"/>
      <c r="AT55" s="747"/>
      <c r="AU55" s="747"/>
      <c r="AV55" s="747"/>
      <c r="AW55" s="186"/>
      <c r="AX55" s="186"/>
      <c r="AY55" s="12"/>
      <c r="AZ55" s="11"/>
      <c r="BA55" s="186"/>
      <c r="BB55" s="747"/>
      <c r="BC55" s="747"/>
      <c r="BD55" s="747"/>
      <c r="BE55" s="186"/>
      <c r="BF55" s="186"/>
      <c r="BG55" s="12"/>
      <c r="BH55" s="11"/>
      <c r="BI55" s="186"/>
      <c r="BJ55" s="747"/>
      <c r="BK55" s="747"/>
      <c r="BL55" s="747"/>
      <c r="BM55" s="186"/>
      <c r="BN55" s="186"/>
      <c r="BO55" s="12"/>
      <c r="BP55" s="11"/>
      <c r="BQ55" s="186"/>
      <c r="BR55" s="747"/>
      <c r="BS55" s="747"/>
      <c r="BT55" s="747"/>
      <c r="BU55" s="186"/>
      <c r="BV55" s="186"/>
      <c r="BW55" s="12"/>
    </row>
    <row r="56" spans="1:75">
      <c r="I56" s="20"/>
      <c r="U56" s="1258"/>
      <c r="V56" s="1259"/>
      <c r="W56" s="322"/>
      <c r="X56" s="322"/>
      <c r="AI56" s="757"/>
      <c r="AJ56" s="195"/>
      <c r="AK56" s="186"/>
      <c r="AL56" s="747"/>
      <c r="AM56" s="747"/>
      <c r="AN56" s="747"/>
      <c r="AO56" s="186"/>
      <c r="AP56" s="186"/>
      <c r="AQ56" s="12"/>
      <c r="AR56" s="11"/>
      <c r="AS56" s="186"/>
      <c r="AT56" s="747"/>
      <c r="AU56" s="747"/>
      <c r="AV56" s="747"/>
      <c r="AW56" s="186"/>
      <c r="AX56" s="186"/>
      <c r="AY56" s="12"/>
      <c r="AZ56" s="11"/>
      <c r="BA56" s="186"/>
      <c r="BB56" s="747"/>
      <c r="BC56" s="747"/>
      <c r="BD56" s="747"/>
      <c r="BE56" s="186"/>
      <c r="BF56" s="186"/>
      <c r="BG56" s="12"/>
      <c r="BH56" s="11"/>
      <c r="BI56" s="186"/>
      <c r="BJ56" s="747"/>
      <c r="BK56" s="747"/>
      <c r="BL56" s="747"/>
      <c r="BM56" s="186"/>
      <c r="BN56" s="186"/>
      <c r="BO56" s="12"/>
      <c r="BP56" s="11"/>
      <c r="BQ56" s="186"/>
      <c r="BR56" s="747"/>
      <c r="BS56" s="747"/>
      <c r="BT56" s="747"/>
      <c r="BU56" s="186"/>
      <c r="BV56" s="186"/>
      <c r="BW56" s="12"/>
    </row>
    <row r="57" spans="1:75">
      <c r="I57" s="20"/>
      <c r="U57" s="1258"/>
      <c r="V57" s="1259"/>
      <c r="W57" s="322"/>
      <c r="X57" s="322"/>
      <c r="AI57" s="757"/>
      <c r="AJ57" s="195"/>
      <c r="AK57" s="186"/>
      <c r="AL57" s="747"/>
      <c r="AM57" s="747"/>
      <c r="AN57" s="747"/>
      <c r="AO57" s="186"/>
      <c r="AP57" s="186"/>
      <c r="AQ57" s="12"/>
      <c r="AR57" s="11"/>
      <c r="AS57" s="186"/>
      <c r="AT57" s="747"/>
      <c r="AU57" s="747"/>
      <c r="AV57" s="747"/>
      <c r="AW57" s="186"/>
      <c r="AX57" s="186"/>
      <c r="AY57" s="12"/>
      <c r="AZ57" s="11"/>
      <c r="BA57" s="186"/>
      <c r="BB57" s="747"/>
      <c r="BC57" s="747"/>
      <c r="BD57" s="747"/>
      <c r="BE57" s="186"/>
      <c r="BF57" s="186"/>
      <c r="BG57" s="12"/>
      <c r="BH57" s="11"/>
      <c r="BI57" s="186"/>
      <c r="BJ57" s="747"/>
      <c r="BK57" s="747"/>
      <c r="BL57" s="747"/>
      <c r="BM57" s="186"/>
      <c r="BN57" s="186"/>
      <c r="BO57" s="12"/>
      <c r="BP57" s="11"/>
      <c r="BQ57" s="186"/>
      <c r="BR57" s="747"/>
      <c r="BS57" s="747"/>
      <c r="BT57" s="747"/>
      <c r="BU57" s="186"/>
      <c r="BV57" s="186"/>
      <c r="BW57" s="12"/>
    </row>
    <row r="58" spans="1:75">
      <c r="I58" s="20"/>
      <c r="U58" s="1258"/>
      <c r="V58" s="1259"/>
      <c r="W58" s="322"/>
      <c r="X58" s="322"/>
      <c r="AI58" s="757"/>
      <c r="AJ58" s="195"/>
      <c r="AK58" s="186"/>
      <c r="AL58" s="747"/>
      <c r="AM58" s="747"/>
      <c r="AN58" s="747"/>
      <c r="AO58" s="186"/>
      <c r="AP58" s="186"/>
      <c r="AQ58" s="12"/>
      <c r="AR58" s="11"/>
      <c r="AS58" s="186"/>
      <c r="AT58" s="747"/>
      <c r="AU58" s="747"/>
      <c r="AV58" s="747"/>
      <c r="AW58" s="186"/>
      <c r="AX58" s="186"/>
      <c r="AY58" s="12"/>
      <c r="AZ58" s="11"/>
      <c r="BA58" s="186"/>
      <c r="BB58" s="747"/>
      <c r="BC58" s="747"/>
      <c r="BD58" s="747"/>
      <c r="BE58" s="186"/>
      <c r="BF58" s="186"/>
      <c r="BG58" s="12"/>
      <c r="BH58" s="11"/>
      <c r="BI58" s="186"/>
      <c r="BJ58" s="747"/>
      <c r="BK58" s="747"/>
      <c r="BL58" s="747"/>
      <c r="BM58" s="186"/>
      <c r="BN58" s="186"/>
      <c r="BO58" s="12"/>
      <c r="BP58" s="11"/>
      <c r="BQ58" s="186"/>
      <c r="BR58" s="747"/>
      <c r="BS58" s="747"/>
      <c r="BT58" s="747"/>
      <c r="BU58" s="186"/>
      <c r="BV58" s="186"/>
      <c r="BW58" s="12"/>
    </row>
    <row r="59" spans="1:75">
      <c r="I59" s="20"/>
      <c r="U59" s="1258"/>
      <c r="V59" s="1259"/>
      <c r="W59" s="322"/>
      <c r="X59" s="322"/>
      <c r="AI59" s="757"/>
      <c r="AJ59" s="195"/>
      <c r="AK59" s="186"/>
      <c r="AL59" s="747"/>
      <c r="AM59" s="747"/>
      <c r="AN59" s="747"/>
      <c r="AO59" s="186"/>
      <c r="AP59" s="186"/>
      <c r="AQ59" s="12"/>
      <c r="AR59" s="11"/>
      <c r="AS59" s="186"/>
      <c r="AT59" s="747"/>
      <c r="AU59" s="747"/>
      <c r="AV59" s="747"/>
      <c r="AW59" s="186"/>
      <c r="AX59" s="186"/>
      <c r="AY59" s="12"/>
      <c r="AZ59" s="11"/>
      <c r="BA59" s="186"/>
      <c r="BB59" s="747"/>
      <c r="BC59" s="747"/>
      <c r="BD59" s="747"/>
      <c r="BE59" s="186"/>
      <c r="BF59" s="186"/>
      <c r="BG59" s="12"/>
      <c r="BH59" s="11"/>
      <c r="BI59" s="186"/>
      <c r="BJ59" s="747"/>
      <c r="BK59" s="747"/>
      <c r="BL59" s="747"/>
      <c r="BM59" s="186"/>
      <c r="BN59" s="186"/>
      <c r="BO59" s="12"/>
      <c r="BP59" s="11"/>
      <c r="BQ59" s="186"/>
      <c r="BR59" s="747"/>
      <c r="BS59" s="747"/>
      <c r="BT59" s="747"/>
      <c r="BU59" s="186"/>
      <c r="BV59" s="186"/>
      <c r="BW59" s="12"/>
    </row>
    <row r="60" spans="1:75">
      <c r="I60" s="20"/>
      <c r="U60" s="1258"/>
      <c r="V60" s="1259"/>
      <c r="W60" s="322"/>
      <c r="X60" s="322"/>
      <c r="AI60" s="757"/>
      <c r="AJ60" s="195"/>
      <c r="AK60" s="186"/>
      <c r="AL60" s="747"/>
      <c r="AM60" s="747"/>
      <c r="AN60" s="747"/>
      <c r="AO60" s="186"/>
      <c r="AP60" s="186"/>
      <c r="AQ60" s="12"/>
      <c r="AR60" s="11"/>
      <c r="AS60" s="186"/>
      <c r="AT60" s="747"/>
      <c r="AU60" s="747"/>
      <c r="AV60" s="747"/>
      <c r="AW60" s="186"/>
      <c r="AX60" s="186"/>
      <c r="AY60" s="12"/>
      <c r="AZ60" s="11"/>
      <c r="BA60" s="186"/>
      <c r="BB60" s="747"/>
      <c r="BC60" s="747"/>
      <c r="BD60" s="747"/>
      <c r="BE60" s="186"/>
      <c r="BF60" s="186"/>
      <c r="BG60" s="12"/>
      <c r="BH60" s="11"/>
      <c r="BI60" s="186"/>
      <c r="BJ60" s="747"/>
      <c r="BK60" s="747"/>
      <c r="BL60" s="747"/>
      <c r="BM60" s="186"/>
      <c r="BN60" s="186"/>
      <c r="BO60" s="12"/>
      <c r="BP60" s="11"/>
      <c r="BQ60" s="186"/>
      <c r="BR60" s="747"/>
      <c r="BS60" s="747"/>
      <c r="BT60" s="747"/>
      <c r="BU60" s="186"/>
      <c r="BV60" s="186"/>
      <c r="BW60" s="12"/>
    </row>
    <row r="61" spans="1:75">
      <c r="I61" s="20"/>
      <c r="U61" s="1258"/>
      <c r="V61" s="1259"/>
      <c r="W61" s="322"/>
      <c r="X61" s="322"/>
      <c r="AI61" s="757"/>
      <c r="AJ61" s="195"/>
      <c r="AK61" s="186"/>
      <c r="AL61" s="747"/>
      <c r="AM61" s="747"/>
      <c r="AN61" s="747"/>
      <c r="AO61" s="186"/>
      <c r="AP61" s="186"/>
      <c r="AQ61" s="12"/>
      <c r="AR61" s="11"/>
      <c r="AS61" s="186"/>
      <c r="AT61" s="747"/>
      <c r="AU61" s="747"/>
      <c r="AV61" s="747"/>
      <c r="AW61" s="186"/>
      <c r="AX61" s="186"/>
      <c r="AY61" s="12"/>
      <c r="AZ61" s="11"/>
      <c r="BA61" s="186"/>
      <c r="BB61" s="747"/>
      <c r="BC61" s="747"/>
      <c r="BD61" s="747"/>
      <c r="BE61" s="186"/>
      <c r="BF61" s="186"/>
      <c r="BG61" s="12"/>
      <c r="BH61" s="11"/>
      <c r="BI61" s="186"/>
      <c r="BJ61" s="747"/>
      <c r="BK61" s="747"/>
      <c r="BL61" s="747"/>
      <c r="BM61" s="186"/>
      <c r="BN61" s="186"/>
      <c r="BO61" s="12"/>
      <c r="BP61" s="11"/>
      <c r="BQ61" s="186"/>
      <c r="BR61" s="747"/>
      <c r="BS61" s="747"/>
      <c r="BT61" s="747"/>
      <c r="BU61" s="186"/>
      <c r="BV61" s="186"/>
      <c r="BW61" s="12"/>
    </row>
    <row r="62" spans="1:75">
      <c r="I62" s="20"/>
      <c r="U62" s="1258"/>
      <c r="V62" s="1259"/>
      <c r="W62" s="322"/>
      <c r="X62" s="322"/>
      <c r="AI62" s="757"/>
      <c r="AJ62" s="195"/>
      <c r="AK62" s="186"/>
      <c r="AL62" s="747"/>
      <c r="AM62" s="747"/>
      <c r="AN62" s="747"/>
      <c r="AO62" s="186"/>
      <c r="AP62" s="186"/>
      <c r="AQ62" s="12"/>
      <c r="AR62" s="11"/>
      <c r="AS62" s="186"/>
      <c r="AT62" s="747"/>
      <c r="AU62" s="747"/>
      <c r="AV62" s="747"/>
      <c r="AW62" s="186"/>
      <c r="AX62" s="186"/>
      <c r="AY62" s="12"/>
      <c r="AZ62" s="11"/>
      <c r="BA62" s="186"/>
      <c r="BB62" s="747"/>
      <c r="BC62" s="747"/>
      <c r="BD62" s="747"/>
      <c r="BE62" s="186"/>
      <c r="BF62" s="186"/>
      <c r="BG62" s="12"/>
      <c r="BH62" s="11"/>
      <c r="BI62" s="186"/>
      <c r="BJ62" s="747"/>
      <c r="BK62" s="747"/>
      <c r="BL62" s="747"/>
      <c r="BM62" s="186"/>
      <c r="BN62" s="186"/>
      <c r="BO62" s="12"/>
      <c r="BP62" s="11"/>
      <c r="BQ62" s="186"/>
      <c r="BR62" s="747"/>
      <c r="BS62" s="747"/>
      <c r="BT62" s="747"/>
      <c r="BU62" s="186"/>
      <c r="BV62" s="186"/>
      <c r="BW62" s="12"/>
    </row>
    <row r="63" spans="1:75">
      <c r="I63" s="20"/>
      <c r="U63" s="1258"/>
      <c r="V63" s="1259"/>
      <c r="W63" s="322"/>
      <c r="X63" s="322"/>
      <c r="AI63" s="757"/>
      <c r="AJ63" s="195"/>
      <c r="AK63" s="186"/>
      <c r="AL63" s="747"/>
      <c r="AM63" s="747"/>
      <c r="AN63" s="747"/>
      <c r="AO63" s="186"/>
      <c r="AP63" s="186"/>
      <c r="AQ63" s="12"/>
      <c r="AR63" s="11"/>
      <c r="AS63" s="186"/>
      <c r="AT63" s="747"/>
      <c r="AU63" s="747"/>
      <c r="AV63" s="747"/>
      <c r="AW63" s="186"/>
      <c r="AX63" s="186"/>
      <c r="AY63" s="12"/>
      <c r="AZ63" s="11"/>
      <c r="BA63" s="186"/>
      <c r="BB63" s="747"/>
      <c r="BC63" s="747"/>
      <c r="BD63" s="747"/>
      <c r="BE63" s="186"/>
      <c r="BF63" s="186"/>
      <c r="BG63" s="12"/>
      <c r="BH63" s="11"/>
      <c r="BI63" s="186"/>
      <c r="BJ63" s="747"/>
      <c r="BK63" s="747"/>
      <c r="BL63" s="747"/>
      <c r="BM63" s="186"/>
      <c r="BN63" s="186"/>
      <c r="BO63" s="12"/>
      <c r="BP63" s="11"/>
      <c r="BQ63" s="186"/>
      <c r="BR63" s="747"/>
      <c r="BS63" s="747"/>
      <c r="BT63" s="747"/>
      <c r="BU63" s="186"/>
      <c r="BV63" s="186"/>
      <c r="BW63" s="12"/>
    </row>
    <row r="64" spans="1:75">
      <c r="I64" s="20"/>
      <c r="U64" s="1258"/>
      <c r="V64" s="1259"/>
      <c r="W64" s="322"/>
      <c r="X64" s="322"/>
      <c r="AI64" s="757"/>
      <c r="AJ64" s="195"/>
      <c r="AK64" s="186"/>
      <c r="AL64" s="747"/>
      <c r="AM64" s="747"/>
      <c r="AN64" s="747"/>
      <c r="AO64" s="186"/>
      <c r="AP64" s="186"/>
      <c r="AQ64" s="12"/>
      <c r="AR64" s="11"/>
      <c r="AS64" s="186"/>
      <c r="AT64" s="747"/>
      <c r="AU64" s="747"/>
      <c r="AV64" s="747"/>
      <c r="AW64" s="186"/>
      <c r="AX64" s="186"/>
      <c r="AY64" s="12"/>
      <c r="AZ64" s="11"/>
      <c r="BA64" s="186"/>
      <c r="BB64" s="747"/>
      <c r="BC64" s="747"/>
      <c r="BD64" s="747"/>
      <c r="BE64" s="186"/>
      <c r="BF64" s="186"/>
      <c r="BG64" s="12"/>
      <c r="BH64" s="11"/>
      <c r="BI64" s="186"/>
      <c r="BJ64" s="747"/>
      <c r="BK64" s="747"/>
      <c r="BL64" s="747"/>
      <c r="BM64" s="186"/>
      <c r="BN64" s="186"/>
      <c r="BO64" s="12"/>
      <c r="BP64" s="11"/>
      <c r="BQ64" s="186"/>
      <c r="BR64" s="747"/>
      <c r="BS64" s="747"/>
      <c r="BT64" s="747"/>
      <c r="BU64" s="186"/>
      <c r="BV64" s="186"/>
      <c r="BW64" s="12"/>
    </row>
    <row r="65" spans="1:75">
      <c r="I65" s="20"/>
      <c r="U65" s="1258"/>
      <c r="V65" s="1259"/>
      <c r="W65" s="322"/>
      <c r="X65" s="322"/>
      <c r="AI65" s="757"/>
      <c r="AJ65" s="195"/>
      <c r="AK65" s="186"/>
      <c r="AL65" s="747"/>
      <c r="AM65" s="747"/>
      <c r="AN65" s="747"/>
      <c r="AO65" s="186"/>
      <c r="AP65" s="186"/>
      <c r="AQ65" s="12"/>
      <c r="AR65" s="11"/>
      <c r="AS65" s="186"/>
      <c r="AT65" s="747"/>
      <c r="AU65" s="747"/>
      <c r="AV65" s="747"/>
      <c r="AW65" s="186"/>
      <c r="AX65" s="186"/>
      <c r="AY65" s="12"/>
      <c r="AZ65" s="11"/>
      <c r="BA65" s="186"/>
      <c r="BB65" s="747"/>
      <c r="BC65" s="747"/>
      <c r="BD65" s="747"/>
      <c r="BE65" s="186"/>
      <c r="BF65" s="186"/>
      <c r="BG65" s="12"/>
      <c r="BH65" s="11"/>
      <c r="BI65" s="186"/>
      <c r="BJ65" s="747"/>
      <c r="BK65" s="747"/>
      <c r="BL65" s="747"/>
      <c r="BM65" s="186"/>
      <c r="BN65" s="186"/>
      <c r="BO65" s="12"/>
      <c r="BP65" s="11"/>
      <c r="BQ65" s="186"/>
      <c r="BR65" s="747"/>
      <c r="BS65" s="747"/>
      <c r="BT65" s="747"/>
      <c r="BU65" s="186"/>
      <c r="BV65" s="186"/>
      <c r="BW65" s="12"/>
    </row>
    <row r="66" spans="1:75">
      <c r="I66" s="20"/>
      <c r="U66" s="1258"/>
      <c r="V66" s="1259"/>
      <c r="W66" s="322"/>
      <c r="X66" s="322"/>
      <c r="AI66" s="757"/>
      <c r="AJ66" s="195"/>
      <c r="AK66" s="186"/>
      <c r="AL66" s="747"/>
      <c r="AM66" s="747"/>
      <c r="AN66" s="747"/>
      <c r="AO66" s="186"/>
      <c r="AP66" s="186"/>
      <c r="AQ66" s="12"/>
      <c r="AR66" s="11"/>
      <c r="AS66" s="186"/>
      <c r="AT66" s="747"/>
      <c r="AU66" s="747"/>
      <c r="AV66" s="747"/>
      <c r="AW66" s="186"/>
      <c r="AX66" s="186"/>
      <c r="AY66" s="12"/>
      <c r="AZ66" s="11"/>
      <c r="BA66" s="186"/>
      <c r="BB66" s="747"/>
      <c r="BC66" s="747"/>
      <c r="BD66" s="747"/>
      <c r="BE66" s="186"/>
      <c r="BF66" s="186"/>
      <c r="BG66" s="12"/>
      <c r="BH66" s="11"/>
      <c r="BI66" s="186"/>
      <c r="BJ66" s="747"/>
      <c r="BK66" s="747"/>
      <c r="BL66" s="747"/>
      <c r="BM66" s="186"/>
      <c r="BN66" s="186"/>
      <c r="BO66" s="12"/>
      <c r="BP66" s="11"/>
      <c r="BQ66" s="186"/>
      <c r="BR66" s="747"/>
      <c r="BS66" s="747"/>
      <c r="BT66" s="747"/>
      <c r="BU66" s="186"/>
      <c r="BV66" s="186"/>
      <c r="BW66" s="12"/>
    </row>
    <row r="67" spans="1:75">
      <c r="I67" s="20"/>
      <c r="U67" s="1258"/>
      <c r="V67" s="1259"/>
      <c r="W67" s="322"/>
      <c r="X67" s="322"/>
      <c r="AI67" s="757"/>
      <c r="AJ67" s="195"/>
      <c r="AK67" s="186"/>
      <c r="AL67" s="747"/>
      <c r="AM67" s="747"/>
      <c r="AN67" s="747"/>
      <c r="AO67" s="186"/>
      <c r="AP67" s="186"/>
      <c r="AQ67" s="12"/>
      <c r="AR67" s="11"/>
      <c r="AS67" s="186"/>
      <c r="AT67" s="747"/>
      <c r="AU67" s="747"/>
      <c r="AV67" s="747"/>
      <c r="AW67" s="186"/>
      <c r="AX67" s="186"/>
      <c r="AY67" s="12"/>
      <c r="AZ67" s="11"/>
      <c r="BA67" s="186"/>
      <c r="BB67" s="747"/>
      <c r="BC67" s="747"/>
      <c r="BD67" s="747"/>
      <c r="BE67" s="186"/>
      <c r="BF67" s="186"/>
      <c r="BG67" s="12"/>
      <c r="BH67" s="11"/>
      <c r="BI67" s="186"/>
      <c r="BJ67" s="747"/>
      <c r="BK67" s="747"/>
      <c r="BL67" s="747"/>
      <c r="BM67" s="186"/>
      <c r="BN67" s="186"/>
      <c r="BO67" s="12"/>
      <c r="BP67" s="11"/>
      <c r="BQ67" s="186"/>
      <c r="BR67" s="747"/>
      <c r="BS67" s="747"/>
      <c r="BT67" s="747"/>
      <c r="BU67" s="186"/>
      <c r="BV67" s="186"/>
      <c r="BW67" s="12"/>
    </row>
    <row r="68" spans="1:75">
      <c r="I68" s="20"/>
      <c r="U68" s="1258"/>
      <c r="V68" s="1259"/>
      <c r="W68" s="322"/>
      <c r="X68" s="322"/>
      <c r="AI68" s="757"/>
      <c r="AJ68" s="195"/>
      <c r="AK68" s="186"/>
      <c r="AL68" s="747"/>
      <c r="AM68" s="747"/>
      <c r="AN68" s="747"/>
      <c r="AO68" s="186"/>
      <c r="AP68" s="186"/>
      <c r="AQ68" s="12"/>
      <c r="AR68" s="11"/>
      <c r="AS68" s="186"/>
      <c r="AT68" s="747"/>
      <c r="AU68" s="747"/>
      <c r="AV68" s="747"/>
      <c r="AW68" s="186"/>
      <c r="AX68" s="186"/>
      <c r="AY68" s="12"/>
      <c r="AZ68" s="11"/>
      <c r="BA68" s="186"/>
      <c r="BB68" s="747"/>
      <c r="BC68" s="747"/>
      <c r="BD68" s="747"/>
      <c r="BE68" s="186"/>
      <c r="BF68" s="186"/>
      <c r="BG68" s="12"/>
      <c r="BH68" s="11"/>
      <c r="BI68" s="186"/>
      <c r="BJ68" s="747"/>
      <c r="BK68" s="747"/>
      <c r="BL68" s="747"/>
      <c r="BM68" s="186"/>
      <c r="BN68" s="186"/>
      <c r="BO68" s="12"/>
      <c r="BP68" s="11"/>
      <c r="BQ68" s="186"/>
      <c r="BR68" s="747"/>
      <c r="BS68" s="747"/>
      <c r="BT68" s="747"/>
      <c r="BU68" s="186"/>
      <c r="BV68" s="186"/>
      <c r="BW68" s="12"/>
    </row>
    <row r="69" spans="1:75">
      <c r="I69" s="20"/>
      <c r="U69" s="1258"/>
      <c r="V69" s="1259"/>
      <c r="W69" s="322"/>
      <c r="X69" s="322"/>
      <c r="AI69" s="757"/>
      <c r="AJ69" s="195"/>
      <c r="AK69" s="186"/>
      <c r="AL69" s="747"/>
      <c r="AM69" s="747"/>
      <c r="AN69" s="747"/>
      <c r="AO69" s="186"/>
      <c r="AP69" s="186"/>
      <c r="AQ69" s="12"/>
      <c r="AR69" s="11"/>
      <c r="AS69" s="186"/>
      <c r="AT69" s="747"/>
      <c r="AU69" s="747"/>
      <c r="AV69" s="747"/>
      <c r="AW69" s="186"/>
      <c r="AX69" s="186"/>
      <c r="AY69" s="12"/>
      <c r="AZ69" s="11"/>
      <c r="BA69" s="186"/>
      <c r="BB69" s="747"/>
      <c r="BC69" s="747"/>
      <c r="BD69" s="747"/>
      <c r="BE69" s="186"/>
      <c r="BF69" s="186"/>
      <c r="BG69" s="12"/>
      <c r="BH69" s="11"/>
      <c r="BI69" s="186"/>
      <c r="BJ69" s="747"/>
      <c r="BK69" s="747"/>
      <c r="BL69" s="747"/>
      <c r="BM69" s="186"/>
      <c r="BN69" s="186"/>
      <c r="BO69" s="12"/>
      <c r="BP69" s="11"/>
      <c r="BQ69" s="186"/>
      <c r="BR69" s="747"/>
      <c r="BS69" s="747"/>
      <c r="BT69" s="747"/>
      <c r="BU69" s="186"/>
      <c r="BV69" s="186"/>
      <c r="BW69" s="12"/>
    </row>
    <row r="70" spans="1:75">
      <c r="I70" s="20"/>
      <c r="U70" s="1258"/>
      <c r="V70" s="1259"/>
      <c r="W70" s="322"/>
      <c r="X70" s="322"/>
      <c r="AI70" s="757"/>
      <c r="AJ70" s="195"/>
      <c r="AK70" s="186"/>
      <c r="AL70" s="747"/>
      <c r="AM70" s="747"/>
      <c r="AN70" s="747"/>
      <c r="AO70" s="186"/>
      <c r="AP70" s="186"/>
      <c r="AQ70" s="12"/>
      <c r="AR70" s="11"/>
      <c r="AS70" s="186"/>
      <c r="AT70" s="747"/>
      <c r="AU70" s="747"/>
      <c r="AV70" s="747"/>
      <c r="AW70" s="186"/>
      <c r="AX70" s="186"/>
      <c r="AY70" s="12"/>
      <c r="AZ70" s="11"/>
      <c r="BA70" s="186"/>
      <c r="BB70" s="747"/>
      <c r="BC70" s="747"/>
      <c r="BD70" s="747"/>
      <c r="BE70" s="186"/>
      <c r="BF70" s="186"/>
      <c r="BG70" s="12"/>
      <c r="BH70" s="11"/>
      <c r="BI70" s="186"/>
      <c r="BJ70" s="747"/>
      <c r="BK70" s="747"/>
      <c r="BL70" s="747"/>
      <c r="BM70" s="186"/>
      <c r="BN70" s="186"/>
      <c r="BO70" s="12"/>
      <c r="BP70" s="11"/>
      <c r="BQ70" s="186"/>
      <c r="BR70" s="747"/>
      <c r="BS70" s="747"/>
      <c r="BT70" s="747"/>
      <c r="BU70" s="186"/>
      <c r="BV70" s="186"/>
      <c r="BW70" s="12"/>
    </row>
    <row r="71" spans="1:75">
      <c r="I71" s="20"/>
      <c r="U71" s="1258"/>
      <c r="V71" s="1259"/>
      <c r="W71" s="322"/>
      <c r="X71" s="322"/>
      <c r="AI71" s="757"/>
      <c r="AJ71" s="195"/>
      <c r="AK71" s="186"/>
      <c r="AL71" s="747"/>
      <c r="AM71" s="747"/>
      <c r="AN71" s="747"/>
      <c r="AO71" s="186"/>
      <c r="AP71" s="186"/>
      <c r="AQ71" s="12"/>
      <c r="AR71" s="11"/>
      <c r="AS71" s="186"/>
      <c r="AT71" s="747"/>
      <c r="AU71" s="747"/>
      <c r="AV71" s="747"/>
      <c r="AW71" s="186"/>
      <c r="AX71" s="186"/>
      <c r="AY71" s="12"/>
      <c r="AZ71" s="11"/>
      <c r="BA71" s="186"/>
      <c r="BB71" s="747"/>
      <c r="BC71" s="747"/>
      <c r="BD71" s="747"/>
      <c r="BE71" s="186"/>
      <c r="BF71" s="186"/>
      <c r="BG71" s="12"/>
      <c r="BH71" s="11"/>
      <c r="BI71" s="186"/>
      <c r="BJ71" s="747"/>
      <c r="BK71" s="747"/>
      <c r="BL71" s="747"/>
      <c r="BM71" s="186"/>
      <c r="BN71" s="186"/>
      <c r="BO71" s="12"/>
      <c r="BP71" s="11"/>
      <c r="BQ71" s="186"/>
      <c r="BR71" s="747"/>
      <c r="BS71" s="747"/>
      <c r="BT71" s="747"/>
      <c r="BU71" s="186"/>
      <c r="BV71" s="186"/>
      <c r="BW71" s="12"/>
    </row>
    <row r="72" spans="1:75">
      <c r="I72" s="20"/>
      <c r="U72" s="1258"/>
      <c r="V72" s="1259"/>
      <c r="W72" s="322"/>
      <c r="X72" s="322"/>
      <c r="AI72" s="757"/>
      <c r="AJ72" s="195"/>
      <c r="AK72" s="186"/>
      <c r="AL72" s="747"/>
      <c r="AM72" s="747"/>
      <c r="AN72" s="747"/>
      <c r="AO72" s="186"/>
      <c r="AP72" s="186"/>
      <c r="AQ72" s="12"/>
      <c r="AR72" s="11"/>
      <c r="AS72" s="186"/>
      <c r="AT72" s="747"/>
      <c r="AU72" s="747"/>
      <c r="AV72" s="747"/>
      <c r="AW72" s="186"/>
      <c r="AX72" s="186"/>
      <c r="AY72" s="12"/>
      <c r="AZ72" s="11"/>
      <c r="BA72" s="186"/>
      <c r="BB72" s="747"/>
      <c r="BC72" s="747"/>
      <c r="BD72" s="747"/>
      <c r="BE72" s="186"/>
      <c r="BF72" s="186"/>
      <c r="BG72" s="12"/>
      <c r="BH72" s="11"/>
      <c r="BI72" s="186"/>
      <c r="BJ72" s="747"/>
      <c r="BK72" s="747"/>
      <c r="BL72" s="747"/>
      <c r="BM72" s="186"/>
      <c r="BN72" s="186"/>
      <c r="BO72" s="12"/>
      <c r="BP72" s="11"/>
      <c r="BQ72" s="186"/>
      <c r="BR72" s="747"/>
      <c r="BS72" s="747"/>
      <c r="BT72" s="747"/>
      <c r="BU72" s="186"/>
      <c r="BV72" s="186"/>
      <c r="BW72" s="12"/>
    </row>
    <row r="73" spans="1:75">
      <c r="I73" s="20"/>
      <c r="U73" s="1258"/>
      <c r="V73" s="1259"/>
      <c r="W73" s="322"/>
      <c r="X73" s="322"/>
      <c r="AI73" s="757"/>
      <c r="AJ73" s="195"/>
      <c r="AK73" s="186"/>
      <c r="AL73" s="747"/>
      <c r="AM73" s="747"/>
      <c r="AN73" s="747"/>
      <c r="AO73" s="186"/>
      <c r="AP73" s="186"/>
      <c r="AQ73" s="12"/>
      <c r="AR73" s="11"/>
      <c r="AS73" s="186"/>
      <c r="AT73" s="747"/>
      <c r="AU73" s="747"/>
      <c r="AV73" s="747"/>
      <c r="AW73" s="186"/>
      <c r="AX73" s="186"/>
      <c r="AY73" s="12"/>
      <c r="AZ73" s="11"/>
      <c r="BA73" s="186"/>
      <c r="BB73" s="747"/>
      <c r="BC73" s="747"/>
      <c r="BD73" s="747"/>
      <c r="BE73" s="186"/>
      <c r="BF73" s="186"/>
      <c r="BG73" s="12"/>
      <c r="BH73" s="11"/>
      <c r="BI73" s="186"/>
      <c r="BJ73" s="747"/>
      <c r="BK73" s="747"/>
      <c r="BL73" s="747"/>
      <c r="BM73" s="186"/>
      <c r="BN73" s="186"/>
      <c r="BO73" s="12"/>
      <c r="BP73" s="11"/>
      <c r="BQ73" s="186"/>
      <c r="BR73" s="747"/>
      <c r="BS73" s="747"/>
      <c r="BT73" s="747"/>
      <c r="BU73" s="186"/>
      <c r="BV73" s="186"/>
      <c r="BW73" s="12"/>
    </row>
    <row r="74" spans="1:75">
      <c r="I74" s="20"/>
      <c r="U74" s="1258"/>
      <c r="V74" s="1259"/>
      <c r="W74" s="322"/>
      <c r="X74" s="322"/>
      <c r="AI74" s="757"/>
      <c r="AJ74" s="195"/>
      <c r="AK74" s="186"/>
      <c r="AL74" s="747"/>
      <c r="AM74" s="747"/>
      <c r="AN74" s="747"/>
      <c r="AO74" s="186"/>
      <c r="AP74" s="186"/>
      <c r="AQ74" s="12"/>
      <c r="AR74" s="11"/>
      <c r="AS74" s="186"/>
      <c r="AT74" s="747"/>
      <c r="AU74" s="747"/>
      <c r="AV74" s="747"/>
      <c r="AW74" s="186"/>
      <c r="AX74" s="186"/>
      <c r="AY74" s="12"/>
      <c r="AZ74" s="11"/>
      <c r="BA74" s="186"/>
      <c r="BB74" s="747"/>
      <c r="BC74" s="747"/>
      <c r="BD74" s="747"/>
      <c r="BE74" s="186"/>
      <c r="BF74" s="186"/>
      <c r="BG74" s="12"/>
      <c r="BH74" s="11"/>
      <c r="BI74" s="186"/>
      <c r="BJ74" s="747"/>
      <c r="BK74" s="747"/>
      <c r="BL74" s="747"/>
      <c r="BM74" s="186"/>
      <c r="BN74" s="186"/>
      <c r="BO74" s="12"/>
      <c r="BP74" s="11"/>
      <c r="BQ74" s="186"/>
      <c r="BR74" s="747"/>
      <c r="BS74" s="747"/>
      <c r="BT74" s="747"/>
      <c r="BU74" s="186"/>
      <c r="BV74" s="186"/>
      <c r="BW74" s="12"/>
    </row>
    <row r="75" spans="1:75">
      <c r="I75" s="20"/>
      <c r="U75" s="1258"/>
      <c r="V75" s="1259"/>
      <c r="W75" s="322"/>
      <c r="X75" s="322"/>
      <c r="AI75" s="757"/>
      <c r="AJ75" s="195"/>
      <c r="AK75" s="186"/>
      <c r="AL75" s="747"/>
      <c r="AM75" s="747"/>
      <c r="AN75" s="747"/>
      <c r="AO75" s="186"/>
      <c r="AP75" s="186"/>
      <c r="AQ75" s="12"/>
      <c r="AR75" s="11"/>
      <c r="AS75" s="186"/>
      <c r="AT75" s="747"/>
      <c r="AU75" s="747"/>
      <c r="AV75" s="747"/>
      <c r="AW75" s="186"/>
      <c r="AX75" s="186"/>
      <c r="AY75" s="12"/>
      <c r="AZ75" s="11"/>
      <c r="BA75" s="186"/>
      <c r="BB75" s="747"/>
      <c r="BC75" s="747"/>
      <c r="BD75" s="747"/>
      <c r="BE75" s="186"/>
      <c r="BF75" s="186"/>
      <c r="BG75" s="12"/>
      <c r="BH75" s="11"/>
      <c r="BI75" s="186"/>
      <c r="BJ75" s="747"/>
      <c r="BK75" s="747"/>
      <c r="BL75" s="747"/>
      <c r="BM75" s="186"/>
      <c r="BN75" s="186"/>
      <c r="BO75" s="12"/>
      <c r="BP75" s="11"/>
      <c r="BQ75" s="186"/>
      <c r="BR75" s="747"/>
      <c r="BS75" s="747"/>
      <c r="BT75" s="747"/>
      <c r="BU75" s="186"/>
      <c r="BV75" s="186"/>
      <c r="BW75" s="12"/>
    </row>
    <row r="76" spans="1:75">
      <c r="A76" s="1" t="s">
        <v>747</v>
      </c>
      <c r="B76" s="1" t="s">
        <v>725</v>
      </c>
      <c r="C76" s="1" t="s">
        <v>726</v>
      </c>
      <c r="D76" s="1" t="s">
        <v>1710</v>
      </c>
      <c r="E76" s="1" t="s">
        <v>1949</v>
      </c>
      <c r="F76" s="1">
        <v>3.5000000000000003E-2</v>
      </c>
      <c r="G76" s="1">
        <v>0</v>
      </c>
      <c r="H76" s="1">
        <v>2.3199999999999998</v>
      </c>
      <c r="I76" s="20" t="s">
        <v>710</v>
      </c>
      <c r="J76" s="1" t="s">
        <v>516</v>
      </c>
      <c r="U76" s="1255"/>
      <c r="V76" s="1256"/>
      <c r="W76" s="1230" t="s">
        <v>2777</v>
      </c>
      <c r="X76" s="1230"/>
      <c r="AI76" s="757"/>
      <c r="AJ76" s="195"/>
      <c r="AK76" s="186"/>
      <c r="AL76" s="747"/>
      <c r="AM76" s="747"/>
      <c r="AN76" s="747"/>
      <c r="AO76" s="186"/>
      <c r="AP76" s="186"/>
      <c r="AQ76" s="12"/>
      <c r="AR76" s="11"/>
      <c r="AS76" s="186"/>
      <c r="AT76" s="747"/>
      <c r="AU76" s="747"/>
      <c r="AV76" s="747"/>
      <c r="AW76" s="186"/>
      <c r="AX76" s="186"/>
      <c r="AY76" s="12"/>
      <c r="AZ76" s="11"/>
      <c r="BA76" s="186"/>
      <c r="BB76" s="747"/>
      <c r="BC76" s="747"/>
      <c r="BD76" s="747"/>
      <c r="BE76" s="186"/>
      <c r="BF76" s="186"/>
      <c r="BG76" s="12"/>
      <c r="BH76" s="11"/>
      <c r="BI76" s="186"/>
      <c r="BJ76" s="747"/>
      <c r="BK76" s="747"/>
      <c r="BL76" s="747"/>
      <c r="BM76" s="186"/>
      <c r="BN76" s="186"/>
      <c r="BO76" s="12"/>
      <c r="BP76" s="11"/>
      <c r="BQ76" s="186"/>
      <c r="BR76" s="747"/>
      <c r="BS76" s="747"/>
      <c r="BT76" s="747"/>
      <c r="BU76" s="186"/>
      <c r="BV76" s="186"/>
      <c r="BW76" s="12"/>
    </row>
    <row r="77" spans="1:75">
      <c r="A77" s="1" t="s">
        <v>748</v>
      </c>
      <c r="B77" s="1" t="s">
        <v>725</v>
      </c>
      <c r="C77" s="1" t="s">
        <v>726</v>
      </c>
      <c r="D77" s="1" t="s">
        <v>1710</v>
      </c>
      <c r="E77" s="1" t="s">
        <v>1950</v>
      </c>
      <c r="F77" s="1">
        <v>1.7500000000000002E-2</v>
      </c>
      <c r="G77" s="1">
        <v>0</v>
      </c>
      <c r="H77" s="1">
        <v>2.3199999999999998</v>
      </c>
      <c r="I77" s="20" t="s">
        <v>691</v>
      </c>
      <c r="J77" s="1" t="s">
        <v>703</v>
      </c>
      <c r="U77" s="1253" t="s">
        <v>265</v>
      </c>
      <c r="V77" s="1254"/>
      <c r="W77" s="1234" t="s">
        <v>2778</v>
      </c>
      <c r="X77" s="1234"/>
      <c r="AI77" s="757"/>
      <c r="AJ77" s="195"/>
      <c r="AK77" s="186"/>
      <c r="AL77" s="747"/>
      <c r="AM77" s="747"/>
      <c r="AN77" s="747"/>
      <c r="AO77" s="186"/>
      <c r="AP77" s="186"/>
      <c r="AQ77" s="12"/>
      <c r="AR77" s="11"/>
      <c r="AS77" s="186"/>
      <c r="AT77" s="747"/>
      <c r="AU77" s="747"/>
      <c r="AV77" s="747"/>
      <c r="AW77" s="186"/>
      <c r="AX77" s="186"/>
      <c r="AY77" s="12"/>
      <c r="AZ77" s="11"/>
      <c r="BA77" s="186"/>
      <c r="BB77" s="747"/>
      <c r="BC77" s="747"/>
      <c r="BD77" s="747"/>
      <c r="BE77" s="186"/>
      <c r="BF77" s="186"/>
      <c r="BG77" s="12"/>
      <c r="BH77" s="11"/>
      <c r="BI77" s="186"/>
      <c r="BJ77" s="747"/>
      <c r="BK77" s="747"/>
      <c r="BL77" s="747"/>
      <c r="BM77" s="186"/>
      <c r="BN77" s="186"/>
      <c r="BO77" s="12"/>
      <c r="BP77" s="11"/>
      <c r="BQ77" s="186"/>
      <c r="BR77" s="747"/>
      <c r="BS77" s="747"/>
      <c r="BT77" s="747"/>
      <c r="BU77" s="186"/>
      <c r="BV77" s="186"/>
      <c r="BW77" s="12"/>
    </row>
    <row r="78" spans="1:75">
      <c r="A78" s="1" t="s">
        <v>749</v>
      </c>
      <c r="B78" s="1" t="s">
        <v>725</v>
      </c>
      <c r="C78" s="1" t="s">
        <v>726</v>
      </c>
      <c r="D78" s="1" t="s">
        <v>1710</v>
      </c>
      <c r="E78" s="1" t="s">
        <v>1951</v>
      </c>
      <c r="F78" s="1">
        <v>1.7500000000000002E-2</v>
      </c>
      <c r="G78" s="1">
        <v>0</v>
      </c>
      <c r="H78" s="1">
        <v>2.3199999999999998</v>
      </c>
      <c r="I78" s="20" t="s">
        <v>713</v>
      </c>
      <c r="J78" s="1" t="s">
        <v>517</v>
      </c>
      <c r="U78" s="1255"/>
      <c r="V78" s="1256"/>
      <c r="W78" s="1230" t="s">
        <v>2779</v>
      </c>
      <c r="X78" s="1230"/>
      <c r="AI78" s="757"/>
      <c r="AJ78" s="195"/>
      <c r="AK78" s="186"/>
      <c r="AL78" s="747"/>
      <c r="AM78" s="747"/>
      <c r="AN78" s="747"/>
      <c r="AO78" s="186"/>
      <c r="AP78" s="186"/>
      <c r="AQ78" s="12"/>
      <c r="AR78" s="11"/>
      <c r="AS78" s="186"/>
      <c r="AT78" s="747"/>
      <c r="AU78" s="747"/>
      <c r="AV78" s="747"/>
      <c r="AW78" s="186"/>
      <c r="AX78" s="186"/>
      <c r="AY78" s="12"/>
      <c r="AZ78" s="11"/>
      <c r="BA78" s="186"/>
      <c r="BB78" s="747"/>
      <c r="BC78" s="747"/>
      <c r="BD78" s="747"/>
      <c r="BE78" s="186"/>
      <c r="BF78" s="186"/>
      <c r="BG78" s="12"/>
      <c r="BH78" s="11"/>
      <c r="BI78" s="186"/>
      <c r="BJ78" s="747"/>
      <c r="BK78" s="747"/>
      <c r="BL78" s="747"/>
      <c r="BM78" s="186"/>
      <c r="BN78" s="186"/>
      <c r="BO78" s="12"/>
      <c r="BP78" s="11"/>
      <c r="BQ78" s="186"/>
      <c r="BR78" s="747"/>
      <c r="BS78" s="747"/>
      <c r="BT78" s="747"/>
      <c r="BU78" s="186"/>
      <c r="BV78" s="186"/>
      <c r="BW78" s="12"/>
    </row>
    <row r="79" spans="1:75">
      <c r="A79" s="1" t="s">
        <v>750</v>
      </c>
      <c r="B79" s="1" t="s">
        <v>725</v>
      </c>
      <c r="C79" s="1" t="s">
        <v>726</v>
      </c>
      <c r="D79" s="1" t="s">
        <v>1710</v>
      </c>
      <c r="E79" s="1" t="s">
        <v>530</v>
      </c>
      <c r="F79" s="1">
        <v>6.3000000000000014E-2</v>
      </c>
      <c r="G79" s="1">
        <v>0</v>
      </c>
      <c r="H79" s="1">
        <v>2.3199999999999998</v>
      </c>
      <c r="I79" s="20" t="s">
        <v>691</v>
      </c>
      <c r="J79" s="1" t="s">
        <v>697</v>
      </c>
      <c r="U79" s="1253" t="s">
        <v>266</v>
      </c>
      <c r="V79" s="1254"/>
      <c r="W79" s="1234" t="s">
        <v>2780</v>
      </c>
      <c r="X79" s="1234"/>
      <c r="AI79" s="757"/>
      <c r="AJ79" s="195"/>
      <c r="AK79" s="186"/>
      <c r="AL79" s="747"/>
      <c r="AM79" s="747"/>
      <c r="AN79" s="747"/>
      <c r="AO79" s="186"/>
      <c r="AP79" s="186"/>
      <c r="AQ79" s="12"/>
      <c r="AR79" s="11"/>
      <c r="AS79" s="186"/>
      <c r="AT79" s="747"/>
      <c r="AU79" s="747"/>
      <c r="AV79" s="747"/>
      <c r="AW79" s="186"/>
      <c r="AX79" s="186"/>
      <c r="AY79" s="12"/>
      <c r="AZ79" s="11"/>
      <c r="BA79" s="186"/>
      <c r="BB79" s="747"/>
      <c r="BC79" s="747"/>
      <c r="BD79" s="747"/>
      <c r="BE79" s="186"/>
      <c r="BF79" s="186"/>
      <c r="BG79" s="12"/>
      <c r="BH79" s="11"/>
      <c r="BI79" s="186"/>
      <c r="BJ79" s="747"/>
      <c r="BK79" s="747"/>
      <c r="BL79" s="747"/>
      <c r="BM79" s="186"/>
      <c r="BN79" s="186"/>
      <c r="BO79" s="12"/>
      <c r="BP79" s="11"/>
      <c r="BQ79" s="186"/>
      <c r="BR79" s="747"/>
      <c r="BS79" s="747"/>
      <c r="BT79" s="747"/>
      <c r="BU79" s="186"/>
      <c r="BV79" s="186"/>
      <c r="BW79" s="12"/>
    </row>
    <row r="80" spans="1:75">
      <c r="A80" s="1" t="s">
        <v>751</v>
      </c>
      <c r="B80" s="1" t="s">
        <v>725</v>
      </c>
      <c r="C80" s="1" t="s">
        <v>726</v>
      </c>
      <c r="D80" s="1" t="s">
        <v>1710</v>
      </c>
      <c r="E80" s="1" t="s">
        <v>531</v>
      </c>
      <c r="F80" s="1">
        <v>6.3000000000000014E-2</v>
      </c>
      <c r="G80" s="1">
        <v>0</v>
      </c>
      <c r="H80" s="1">
        <v>2.3199999999999998</v>
      </c>
      <c r="I80" s="20" t="s">
        <v>684</v>
      </c>
      <c r="J80" s="1" t="s">
        <v>515</v>
      </c>
      <c r="U80" s="1255"/>
      <c r="V80" s="1256"/>
      <c r="W80" s="1230" t="s">
        <v>2781</v>
      </c>
      <c r="X80" s="1230"/>
      <c r="AI80" s="757"/>
      <c r="AJ80" s="195"/>
      <c r="AK80" s="186"/>
      <c r="AL80" s="747"/>
      <c r="AM80" s="747"/>
      <c r="AN80" s="747"/>
      <c r="AO80" s="186"/>
      <c r="AP80" s="186"/>
      <c r="AQ80" s="12"/>
      <c r="AR80" s="11"/>
      <c r="AS80" s="186"/>
      <c r="AT80" s="747"/>
      <c r="AU80" s="747"/>
      <c r="AV80" s="747"/>
      <c r="AW80" s="186"/>
      <c r="AX80" s="186"/>
      <c r="AY80" s="12"/>
      <c r="AZ80" s="11"/>
      <c r="BA80" s="186"/>
      <c r="BB80" s="747"/>
      <c r="BC80" s="747"/>
      <c r="BD80" s="747"/>
      <c r="BE80" s="186"/>
      <c r="BF80" s="186"/>
      <c r="BG80" s="12"/>
      <c r="BH80" s="11"/>
      <c r="BI80" s="186"/>
      <c r="BJ80" s="747"/>
      <c r="BK80" s="747"/>
      <c r="BL80" s="747"/>
      <c r="BM80" s="186"/>
      <c r="BN80" s="186"/>
      <c r="BO80" s="12"/>
      <c r="BP80" s="11"/>
      <c r="BQ80" s="186"/>
      <c r="BR80" s="747"/>
      <c r="BS80" s="747"/>
      <c r="BT80" s="747"/>
      <c r="BU80" s="186"/>
      <c r="BV80" s="186"/>
      <c r="BW80" s="12"/>
    </row>
    <row r="81" spans="1:75">
      <c r="A81" s="1" t="s">
        <v>752</v>
      </c>
      <c r="B81" s="1" t="s">
        <v>725</v>
      </c>
      <c r="C81" s="1" t="s">
        <v>726</v>
      </c>
      <c r="D81" s="1" t="s">
        <v>523</v>
      </c>
      <c r="E81" s="1" t="s">
        <v>532</v>
      </c>
      <c r="F81" s="1">
        <v>7.0000000000000007E-2</v>
      </c>
      <c r="G81" s="1">
        <v>0</v>
      </c>
      <c r="I81" s="20"/>
      <c r="AI81" s="757"/>
      <c r="AJ81" s="195"/>
      <c r="AK81" s="186"/>
      <c r="AL81" s="747"/>
      <c r="AM81" s="747"/>
      <c r="AN81" s="747"/>
      <c r="AO81" s="186"/>
      <c r="AP81" s="186"/>
      <c r="AQ81" s="12"/>
      <c r="AR81" s="11"/>
      <c r="AS81" s="186"/>
      <c r="AT81" s="747"/>
      <c r="AU81" s="747"/>
      <c r="AV81" s="747"/>
      <c r="AW81" s="186"/>
      <c r="AX81" s="186"/>
      <c r="AY81" s="12"/>
      <c r="AZ81" s="11"/>
      <c r="BA81" s="186"/>
      <c r="BB81" s="747"/>
      <c r="BC81" s="747"/>
      <c r="BD81" s="747"/>
      <c r="BE81" s="186"/>
      <c r="BF81" s="186"/>
      <c r="BG81" s="12"/>
      <c r="BH81" s="11"/>
      <c r="BI81" s="186"/>
      <c r="BJ81" s="747"/>
      <c r="BK81" s="747"/>
      <c r="BL81" s="747"/>
      <c r="BM81" s="186"/>
      <c r="BN81" s="186"/>
      <c r="BO81" s="12"/>
      <c r="BP81" s="11"/>
      <c r="BQ81" s="186"/>
      <c r="BR81" s="747"/>
      <c r="BS81" s="747"/>
      <c r="BT81" s="747"/>
      <c r="BU81" s="186"/>
      <c r="BV81" s="186"/>
      <c r="BW81" s="12"/>
    </row>
    <row r="82" spans="1:75">
      <c r="I82" s="20"/>
      <c r="AI82" s="757"/>
      <c r="AJ82" s="195"/>
      <c r="AK82" s="186"/>
      <c r="AL82" s="747"/>
      <c r="AM82" s="747"/>
      <c r="AN82" s="747"/>
      <c r="AO82" s="186"/>
      <c r="AP82" s="186"/>
      <c r="AQ82" s="12"/>
      <c r="AR82" s="11"/>
      <c r="AS82" s="186"/>
      <c r="AT82" s="747"/>
      <c r="AU82" s="747"/>
      <c r="AV82" s="747"/>
      <c r="AW82" s="186"/>
      <c r="AX82" s="186"/>
      <c r="AY82" s="12"/>
      <c r="AZ82" s="11"/>
      <c r="BA82" s="186"/>
      <c r="BB82" s="747"/>
      <c r="BC82" s="747"/>
      <c r="BD82" s="747"/>
      <c r="BE82" s="186"/>
      <c r="BF82" s="186"/>
      <c r="BG82" s="12"/>
      <c r="BH82" s="11"/>
      <c r="BI82" s="186"/>
      <c r="BJ82" s="747"/>
      <c r="BK82" s="747"/>
      <c r="BL82" s="747"/>
      <c r="BM82" s="186"/>
      <c r="BN82" s="186"/>
      <c r="BO82" s="12"/>
      <c r="BP82" s="11"/>
      <c r="BQ82" s="186"/>
      <c r="BR82" s="747"/>
      <c r="BS82" s="747"/>
      <c r="BT82" s="747"/>
      <c r="BU82" s="186"/>
      <c r="BV82" s="186"/>
      <c r="BW82" s="12"/>
    </row>
    <row r="83" spans="1:75">
      <c r="I83" s="20"/>
      <c r="AI83" s="757"/>
      <c r="AJ83" s="195"/>
      <c r="AK83" s="186"/>
      <c r="AL83" s="747"/>
      <c r="AM83" s="747"/>
      <c r="AN83" s="747"/>
      <c r="AO83" s="186"/>
      <c r="AP83" s="186"/>
      <c r="AQ83" s="12"/>
      <c r="AR83" s="11"/>
      <c r="AS83" s="186"/>
      <c r="AT83" s="747"/>
      <c r="AU83" s="747"/>
      <c r="AV83" s="747"/>
      <c r="AW83" s="186"/>
      <c r="AX83" s="186"/>
      <c r="AY83" s="12"/>
      <c r="AZ83" s="11"/>
      <c r="BA83" s="186"/>
      <c r="BB83" s="747"/>
      <c r="BC83" s="747"/>
      <c r="BD83" s="747"/>
      <c r="BE83" s="186"/>
      <c r="BF83" s="186"/>
      <c r="BG83" s="12"/>
      <c r="BH83" s="11"/>
      <c r="BI83" s="186"/>
      <c r="BJ83" s="747"/>
      <c r="BK83" s="747"/>
      <c r="BL83" s="747"/>
      <c r="BM83" s="186"/>
      <c r="BN83" s="186"/>
      <c r="BO83" s="12"/>
      <c r="BP83" s="11"/>
      <c r="BQ83" s="186"/>
      <c r="BR83" s="747"/>
      <c r="BS83" s="747"/>
      <c r="BT83" s="747"/>
      <c r="BU83" s="186"/>
      <c r="BV83" s="186"/>
      <c r="BW83" s="12"/>
    </row>
    <row r="84" spans="1:75">
      <c r="I84" s="20"/>
      <c r="AI84" s="757"/>
      <c r="AJ84" s="195"/>
      <c r="AK84" s="186"/>
      <c r="AL84" s="747"/>
      <c r="AM84" s="747"/>
      <c r="AN84" s="747"/>
      <c r="AO84" s="186"/>
      <c r="AP84" s="186"/>
      <c r="AQ84" s="12"/>
      <c r="AR84" s="11"/>
      <c r="AS84" s="186"/>
      <c r="AT84" s="747"/>
      <c r="AU84" s="747"/>
      <c r="AV84" s="747"/>
      <c r="AW84" s="186"/>
      <c r="AX84" s="186"/>
      <c r="AY84" s="12"/>
      <c r="AZ84" s="11"/>
      <c r="BA84" s="186"/>
      <c r="BB84" s="747"/>
      <c r="BC84" s="747"/>
      <c r="BD84" s="747"/>
      <c r="BE84" s="186"/>
      <c r="BF84" s="186"/>
      <c r="BG84" s="12"/>
      <c r="BH84" s="11"/>
      <c r="BI84" s="186"/>
      <c r="BJ84" s="747"/>
      <c r="BK84" s="747"/>
      <c r="BL84" s="747"/>
      <c r="BM84" s="186"/>
      <c r="BN84" s="186"/>
      <c r="BO84" s="12"/>
      <c r="BP84" s="11"/>
      <c r="BQ84" s="186"/>
      <c r="BR84" s="747"/>
      <c r="BS84" s="747"/>
      <c r="BT84" s="747"/>
      <c r="BU84" s="186"/>
      <c r="BV84" s="186"/>
      <c r="BW84" s="12"/>
    </row>
    <row r="85" spans="1:75">
      <c r="I85" s="20"/>
      <c r="AI85" s="757"/>
      <c r="AJ85" s="195"/>
      <c r="AK85" s="186"/>
      <c r="AL85" s="747"/>
      <c r="AM85" s="747"/>
      <c r="AN85" s="747"/>
      <c r="AO85" s="186"/>
      <c r="AP85" s="186"/>
      <c r="AQ85" s="12"/>
      <c r="AR85" s="11"/>
      <c r="AS85" s="186"/>
      <c r="AT85" s="747"/>
      <c r="AU85" s="747"/>
      <c r="AV85" s="747"/>
      <c r="AW85" s="186"/>
      <c r="AX85" s="186"/>
      <c r="AY85" s="12"/>
      <c r="AZ85" s="11"/>
      <c r="BA85" s="186"/>
      <c r="BB85" s="747"/>
      <c r="BC85" s="747"/>
      <c r="BD85" s="747"/>
      <c r="BE85" s="186"/>
      <c r="BF85" s="186"/>
      <c r="BG85" s="12"/>
      <c r="BH85" s="11"/>
      <c r="BI85" s="186"/>
      <c r="BJ85" s="747"/>
      <c r="BK85" s="747"/>
      <c r="BL85" s="747"/>
      <c r="BM85" s="186"/>
      <c r="BN85" s="186"/>
      <c r="BO85" s="12"/>
      <c r="BP85" s="11"/>
      <c r="BQ85" s="186"/>
      <c r="BR85" s="747"/>
      <c r="BS85" s="747"/>
      <c r="BT85" s="747"/>
      <c r="BU85" s="186"/>
      <c r="BV85" s="186"/>
      <c r="BW85" s="12"/>
    </row>
    <row r="86" spans="1:75">
      <c r="I86" s="20"/>
      <c r="AI86" s="757"/>
      <c r="AJ86" s="195"/>
      <c r="AK86" s="186"/>
      <c r="AL86" s="747"/>
      <c r="AM86" s="747"/>
      <c r="AN86" s="747"/>
      <c r="AO86" s="186"/>
      <c r="AP86" s="186"/>
      <c r="AQ86" s="12"/>
      <c r="AR86" s="11"/>
      <c r="AS86" s="186"/>
      <c r="AT86" s="747"/>
      <c r="AU86" s="747"/>
      <c r="AV86" s="747"/>
      <c r="AW86" s="186"/>
      <c r="AX86" s="186"/>
      <c r="AY86" s="12"/>
      <c r="AZ86" s="11"/>
      <c r="BA86" s="186"/>
      <c r="BB86" s="747"/>
      <c r="BC86" s="747"/>
      <c r="BD86" s="747"/>
      <c r="BE86" s="186"/>
      <c r="BF86" s="186"/>
      <c r="BG86" s="12"/>
      <c r="BH86" s="11"/>
      <c r="BI86" s="186"/>
      <c r="BJ86" s="747"/>
      <c r="BK86" s="747"/>
      <c r="BL86" s="747"/>
      <c r="BM86" s="186"/>
      <c r="BN86" s="186"/>
      <c r="BO86" s="12"/>
      <c r="BP86" s="11"/>
      <c r="BQ86" s="186"/>
      <c r="BR86" s="747"/>
      <c r="BS86" s="747"/>
      <c r="BT86" s="747"/>
      <c r="BU86" s="186"/>
      <c r="BV86" s="186"/>
      <c r="BW86" s="12"/>
    </row>
    <row r="87" spans="1:75">
      <c r="I87" s="20"/>
      <c r="AI87" s="757"/>
      <c r="AJ87" s="195"/>
      <c r="AK87" s="186"/>
      <c r="AL87" s="747"/>
      <c r="AM87" s="747"/>
      <c r="AN87" s="747"/>
      <c r="AO87" s="186"/>
      <c r="AP87" s="186"/>
      <c r="AQ87" s="12"/>
      <c r="AR87" s="11"/>
      <c r="AS87" s="186"/>
      <c r="AT87" s="747"/>
      <c r="AU87" s="747"/>
      <c r="AV87" s="747"/>
      <c r="AW87" s="186"/>
      <c r="AX87" s="186"/>
      <c r="AY87" s="12"/>
      <c r="AZ87" s="11"/>
      <c r="BA87" s="186"/>
      <c r="BB87" s="747"/>
      <c r="BC87" s="747"/>
      <c r="BD87" s="747"/>
      <c r="BE87" s="186"/>
      <c r="BF87" s="186"/>
      <c r="BG87" s="12"/>
      <c r="BH87" s="11"/>
      <c r="BI87" s="186"/>
      <c r="BJ87" s="747"/>
      <c r="BK87" s="747"/>
      <c r="BL87" s="747"/>
      <c r="BM87" s="186"/>
      <c r="BN87" s="186"/>
      <c r="BO87" s="12"/>
      <c r="BP87" s="11"/>
      <c r="BQ87" s="186"/>
      <c r="BR87" s="747"/>
      <c r="BS87" s="747"/>
      <c r="BT87" s="747"/>
      <c r="BU87" s="186"/>
      <c r="BV87" s="186"/>
      <c r="BW87" s="12"/>
    </row>
    <row r="88" spans="1:75">
      <c r="I88" s="20"/>
      <c r="AI88" s="757"/>
      <c r="AJ88" s="195"/>
      <c r="AK88" s="186"/>
      <c r="AL88" s="747"/>
      <c r="AM88" s="747"/>
      <c r="AN88" s="747"/>
      <c r="AO88" s="186"/>
      <c r="AP88" s="186"/>
      <c r="AQ88" s="12"/>
      <c r="AR88" s="11"/>
      <c r="AS88" s="186"/>
      <c r="AT88" s="747"/>
      <c r="AU88" s="747"/>
      <c r="AV88" s="747"/>
      <c r="AW88" s="186"/>
      <c r="AX88" s="186"/>
      <c r="AY88" s="12"/>
      <c r="AZ88" s="11"/>
      <c r="BA88" s="186"/>
      <c r="BB88" s="747"/>
      <c r="BC88" s="747"/>
      <c r="BD88" s="747"/>
      <c r="BE88" s="186"/>
      <c r="BF88" s="186"/>
      <c r="BG88" s="12"/>
      <c r="BH88" s="11"/>
      <c r="BI88" s="186"/>
      <c r="BJ88" s="747"/>
      <c r="BK88" s="747"/>
      <c r="BL88" s="747"/>
      <c r="BM88" s="186"/>
      <c r="BN88" s="186"/>
      <c r="BO88" s="12"/>
      <c r="BP88" s="11"/>
      <c r="BQ88" s="186"/>
      <c r="BR88" s="747"/>
      <c r="BS88" s="747"/>
      <c r="BT88" s="747"/>
      <c r="BU88" s="186"/>
      <c r="BV88" s="186"/>
      <c r="BW88" s="12"/>
    </row>
    <row r="89" spans="1:75">
      <c r="I89" s="20"/>
      <c r="AI89" s="757"/>
      <c r="AJ89" s="195"/>
      <c r="AK89" s="186"/>
      <c r="AL89" s="747"/>
      <c r="AM89" s="747"/>
      <c r="AN89" s="747"/>
      <c r="AO89" s="186"/>
      <c r="AP89" s="186"/>
      <c r="AQ89" s="12"/>
      <c r="AR89" s="11"/>
      <c r="AS89" s="186"/>
      <c r="AT89" s="747"/>
      <c r="AU89" s="747"/>
      <c r="AV89" s="747"/>
      <c r="AW89" s="186"/>
      <c r="AX89" s="186"/>
      <c r="AY89" s="12"/>
      <c r="AZ89" s="11"/>
      <c r="BA89" s="186"/>
      <c r="BB89" s="747"/>
      <c r="BC89" s="747"/>
      <c r="BD89" s="747"/>
      <c r="BE89" s="186"/>
      <c r="BF89" s="186"/>
      <c r="BG89" s="12"/>
      <c r="BH89" s="11"/>
      <c r="BI89" s="186"/>
      <c r="BJ89" s="747"/>
      <c r="BK89" s="747"/>
      <c r="BL89" s="747"/>
      <c r="BM89" s="186"/>
      <c r="BN89" s="186"/>
      <c r="BO89" s="12"/>
      <c r="BP89" s="11"/>
      <c r="BQ89" s="186"/>
      <c r="BR89" s="747"/>
      <c r="BS89" s="747"/>
      <c r="BT89" s="747"/>
      <c r="BU89" s="186"/>
      <c r="BV89" s="186"/>
      <c r="BW89" s="12"/>
    </row>
    <row r="90" spans="1:75">
      <c r="I90" s="20"/>
      <c r="AI90" s="757"/>
      <c r="AJ90" s="195"/>
      <c r="AK90" s="186"/>
      <c r="AL90" s="747"/>
      <c r="AM90" s="747"/>
      <c r="AN90" s="747"/>
      <c r="AO90" s="186"/>
      <c r="AP90" s="186"/>
      <c r="AQ90" s="12"/>
      <c r="AR90" s="11"/>
      <c r="AS90" s="186"/>
      <c r="AT90" s="747"/>
      <c r="AU90" s="747"/>
      <c r="AV90" s="747"/>
      <c r="AW90" s="186"/>
      <c r="AX90" s="186"/>
      <c r="AY90" s="12"/>
      <c r="AZ90" s="11"/>
      <c r="BA90" s="186"/>
      <c r="BB90" s="747"/>
      <c r="BC90" s="747"/>
      <c r="BD90" s="747"/>
      <c r="BE90" s="186"/>
      <c r="BF90" s="186"/>
      <c r="BG90" s="12"/>
      <c r="BH90" s="11"/>
      <c r="BI90" s="186"/>
      <c r="BJ90" s="747"/>
      <c r="BK90" s="747"/>
      <c r="BL90" s="747"/>
      <c r="BM90" s="186"/>
      <c r="BN90" s="186"/>
      <c r="BO90" s="12"/>
      <c r="BP90" s="11"/>
      <c r="BQ90" s="186"/>
      <c r="BR90" s="747"/>
      <c r="BS90" s="747"/>
      <c r="BT90" s="747"/>
      <c r="BU90" s="186"/>
      <c r="BV90" s="186"/>
      <c r="BW90" s="12"/>
    </row>
    <row r="91" spans="1:75">
      <c r="I91" s="20"/>
      <c r="AI91" s="757"/>
      <c r="AJ91" s="195"/>
      <c r="AK91" s="186"/>
      <c r="AL91" s="747"/>
      <c r="AM91" s="747"/>
      <c r="AN91" s="747"/>
      <c r="AO91" s="186"/>
      <c r="AP91" s="186"/>
      <c r="AQ91" s="12"/>
      <c r="AR91" s="11"/>
      <c r="AS91" s="186"/>
      <c r="AT91" s="747"/>
      <c r="AU91" s="747"/>
      <c r="AV91" s="747"/>
      <c r="AW91" s="186"/>
      <c r="AX91" s="186"/>
      <c r="AY91" s="12"/>
      <c r="AZ91" s="11"/>
      <c r="BA91" s="186"/>
      <c r="BB91" s="747"/>
      <c r="BC91" s="747"/>
      <c r="BD91" s="747"/>
      <c r="BE91" s="186"/>
      <c r="BF91" s="186"/>
      <c r="BG91" s="12"/>
      <c r="BH91" s="11"/>
      <c r="BI91" s="186"/>
      <c r="BJ91" s="747"/>
      <c r="BK91" s="747"/>
      <c r="BL91" s="747"/>
      <c r="BM91" s="186"/>
      <c r="BN91" s="186"/>
      <c r="BO91" s="12"/>
      <c r="BP91" s="11"/>
      <c r="BQ91" s="186"/>
      <c r="BR91" s="747"/>
      <c r="BS91" s="747"/>
      <c r="BT91" s="747"/>
      <c r="BU91" s="186"/>
      <c r="BV91" s="186"/>
      <c r="BW91" s="12"/>
    </row>
    <row r="92" spans="1:75">
      <c r="I92" s="20"/>
      <c r="AI92" s="757"/>
      <c r="AJ92" s="195"/>
      <c r="AK92" s="186"/>
      <c r="AL92" s="747"/>
      <c r="AM92" s="747"/>
      <c r="AN92" s="747"/>
      <c r="AO92" s="186"/>
      <c r="AP92" s="186"/>
      <c r="AQ92" s="12"/>
      <c r="AR92" s="11"/>
      <c r="AS92" s="186"/>
      <c r="AT92" s="747"/>
      <c r="AU92" s="747"/>
      <c r="AV92" s="747"/>
      <c r="AW92" s="186"/>
      <c r="AX92" s="186"/>
      <c r="AY92" s="12"/>
      <c r="AZ92" s="11"/>
      <c r="BA92" s="186"/>
      <c r="BB92" s="747"/>
      <c r="BC92" s="747"/>
      <c r="BD92" s="747"/>
      <c r="BE92" s="186"/>
      <c r="BF92" s="186"/>
      <c r="BG92" s="12"/>
      <c r="BH92" s="11"/>
      <c r="BI92" s="186"/>
      <c r="BJ92" s="747"/>
      <c r="BK92" s="747"/>
      <c r="BL92" s="747"/>
      <c r="BM92" s="186"/>
      <c r="BN92" s="186"/>
      <c r="BO92" s="12"/>
      <c r="BP92" s="11"/>
      <c r="BQ92" s="186"/>
      <c r="BR92" s="747"/>
      <c r="BS92" s="747"/>
      <c r="BT92" s="747"/>
      <c r="BU92" s="186"/>
      <c r="BV92" s="186"/>
      <c r="BW92" s="12"/>
    </row>
    <row r="93" spans="1:75">
      <c r="I93" s="20"/>
      <c r="AI93" s="757"/>
      <c r="AJ93" s="195"/>
      <c r="AK93" s="186"/>
      <c r="AL93" s="747"/>
      <c r="AM93" s="747"/>
      <c r="AN93" s="747"/>
      <c r="AO93" s="186"/>
      <c r="AP93" s="186"/>
      <c r="AQ93" s="12"/>
      <c r="AR93" s="11"/>
      <c r="AS93" s="186"/>
      <c r="AT93" s="747"/>
      <c r="AU93" s="747"/>
      <c r="AV93" s="747"/>
      <c r="AW93" s="186"/>
      <c r="AX93" s="186"/>
      <c r="AY93" s="12"/>
      <c r="AZ93" s="11"/>
      <c r="BA93" s="186"/>
      <c r="BB93" s="747"/>
      <c r="BC93" s="747"/>
      <c r="BD93" s="747"/>
      <c r="BE93" s="186"/>
      <c r="BF93" s="186"/>
      <c r="BG93" s="12"/>
      <c r="BH93" s="11"/>
      <c r="BI93" s="186"/>
      <c r="BJ93" s="747"/>
      <c r="BK93" s="747"/>
      <c r="BL93" s="747"/>
      <c r="BM93" s="186"/>
      <c r="BN93" s="186"/>
      <c r="BO93" s="12"/>
      <c r="BP93" s="11"/>
      <c r="BQ93" s="186"/>
      <c r="BR93" s="747"/>
      <c r="BS93" s="747"/>
      <c r="BT93" s="747"/>
      <c r="BU93" s="186"/>
      <c r="BV93" s="186"/>
      <c r="BW93" s="12"/>
    </row>
    <row r="94" spans="1:75">
      <c r="I94" s="20"/>
      <c r="AI94" s="757"/>
      <c r="AJ94" s="195"/>
      <c r="AK94" s="186"/>
      <c r="AL94" s="747"/>
      <c r="AM94" s="747"/>
      <c r="AN94" s="747"/>
      <c r="AO94" s="186"/>
      <c r="AP94" s="186"/>
      <c r="AQ94" s="12"/>
      <c r="AR94" s="11"/>
      <c r="AS94" s="186"/>
      <c r="AT94" s="747"/>
      <c r="AU94" s="747"/>
      <c r="AV94" s="747"/>
      <c r="AW94" s="186"/>
      <c r="AX94" s="186"/>
      <c r="AY94" s="12"/>
      <c r="AZ94" s="11"/>
      <c r="BA94" s="186"/>
      <c r="BB94" s="747"/>
      <c r="BC94" s="747"/>
      <c r="BD94" s="747"/>
      <c r="BE94" s="186"/>
      <c r="BF94" s="186"/>
      <c r="BG94" s="12"/>
      <c r="BH94" s="11"/>
      <c r="BI94" s="186"/>
      <c r="BJ94" s="747"/>
      <c r="BK94" s="747"/>
      <c r="BL94" s="747"/>
      <c r="BM94" s="186"/>
      <c r="BN94" s="186"/>
      <c r="BO94" s="12"/>
      <c r="BP94" s="11"/>
      <c r="BQ94" s="186"/>
      <c r="BR94" s="747"/>
      <c r="BS94" s="747"/>
      <c r="BT94" s="747"/>
      <c r="BU94" s="186"/>
      <c r="BV94" s="186"/>
      <c r="BW94" s="12"/>
    </row>
    <row r="95" spans="1:75">
      <c r="I95" s="20"/>
      <c r="AI95" s="757"/>
      <c r="AJ95" s="195"/>
      <c r="AK95" s="186"/>
      <c r="AL95" s="747"/>
      <c r="AM95" s="747"/>
      <c r="AN95" s="747"/>
      <c r="AO95" s="186"/>
      <c r="AP95" s="186"/>
      <c r="AQ95" s="12"/>
      <c r="AR95" s="11"/>
      <c r="AS95" s="186"/>
      <c r="AT95" s="747"/>
      <c r="AU95" s="747"/>
      <c r="AV95" s="747"/>
      <c r="AW95" s="186"/>
      <c r="AX95" s="186"/>
      <c r="AY95" s="12"/>
      <c r="AZ95" s="11"/>
      <c r="BA95" s="186"/>
      <c r="BB95" s="747"/>
      <c r="BC95" s="747"/>
      <c r="BD95" s="747"/>
      <c r="BE95" s="186"/>
      <c r="BF95" s="186"/>
      <c r="BG95" s="12"/>
      <c r="BH95" s="11"/>
      <c r="BI95" s="186"/>
      <c r="BJ95" s="747"/>
      <c r="BK95" s="747"/>
      <c r="BL95" s="747"/>
      <c r="BM95" s="186"/>
      <c r="BN95" s="186"/>
      <c r="BO95" s="12"/>
      <c r="BP95" s="11"/>
      <c r="BQ95" s="186"/>
      <c r="BR95" s="747"/>
      <c r="BS95" s="747"/>
      <c r="BT95" s="747"/>
      <c r="BU95" s="186"/>
      <c r="BV95" s="186"/>
      <c r="BW95" s="12"/>
    </row>
    <row r="96" spans="1:75">
      <c r="I96" s="20"/>
      <c r="AI96" s="757"/>
      <c r="AJ96" s="195"/>
      <c r="AK96" s="186"/>
      <c r="AL96" s="747"/>
      <c r="AM96" s="747"/>
      <c r="AN96" s="747"/>
      <c r="AO96" s="186"/>
      <c r="AP96" s="186"/>
      <c r="AQ96" s="12"/>
      <c r="AR96" s="11"/>
      <c r="AS96" s="186"/>
      <c r="AT96" s="747"/>
      <c r="AU96" s="747"/>
      <c r="AV96" s="747"/>
      <c r="AW96" s="186"/>
      <c r="AX96" s="186"/>
      <c r="AY96" s="12"/>
      <c r="AZ96" s="11"/>
      <c r="BA96" s="186"/>
      <c r="BB96" s="747"/>
      <c r="BC96" s="747"/>
      <c r="BD96" s="747"/>
      <c r="BE96" s="186"/>
      <c r="BF96" s="186"/>
      <c r="BG96" s="12"/>
      <c r="BH96" s="11"/>
      <c r="BI96" s="186"/>
      <c r="BJ96" s="747"/>
      <c r="BK96" s="747"/>
      <c r="BL96" s="747"/>
      <c r="BM96" s="186"/>
      <c r="BN96" s="186"/>
      <c r="BO96" s="12"/>
      <c r="BP96" s="11"/>
      <c r="BQ96" s="186"/>
      <c r="BR96" s="747"/>
      <c r="BS96" s="747"/>
      <c r="BT96" s="747"/>
      <c r="BU96" s="186"/>
      <c r="BV96" s="186"/>
      <c r="BW96" s="12"/>
    </row>
    <row r="97" spans="1:75">
      <c r="I97" s="20"/>
      <c r="AI97" s="757"/>
      <c r="AJ97" s="195"/>
      <c r="AK97" s="186"/>
      <c r="AL97" s="747"/>
      <c r="AM97" s="747"/>
      <c r="AN97" s="747"/>
      <c r="AO97" s="186"/>
      <c r="AP97" s="186"/>
      <c r="AQ97" s="12"/>
      <c r="AR97" s="11"/>
      <c r="AS97" s="186"/>
      <c r="AT97" s="747"/>
      <c r="AU97" s="747"/>
      <c r="AV97" s="747"/>
      <c r="AW97" s="186"/>
      <c r="AX97" s="186"/>
      <c r="AY97" s="12"/>
      <c r="AZ97" s="11"/>
      <c r="BA97" s="186"/>
      <c r="BB97" s="747"/>
      <c r="BC97" s="747"/>
      <c r="BD97" s="747"/>
      <c r="BE97" s="186"/>
      <c r="BF97" s="186"/>
      <c r="BG97" s="12"/>
      <c r="BH97" s="11"/>
      <c r="BI97" s="186"/>
      <c r="BJ97" s="747"/>
      <c r="BK97" s="747"/>
      <c r="BL97" s="747"/>
      <c r="BM97" s="186"/>
      <c r="BN97" s="186"/>
      <c r="BO97" s="12"/>
      <c r="BP97" s="11"/>
      <c r="BQ97" s="186"/>
      <c r="BR97" s="747"/>
      <c r="BS97" s="747"/>
      <c r="BT97" s="747"/>
      <c r="BU97" s="186"/>
      <c r="BV97" s="186"/>
      <c r="BW97" s="12"/>
    </row>
    <row r="98" spans="1:75">
      <c r="I98" s="20"/>
      <c r="AI98" s="757"/>
      <c r="AJ98" s="195"/>
      <c r="AK98" s="186"/>
      <c r="AL98" s="747"/>
      <c r="AM98" s="747"/>
      <c r="AN98" s="747"/>
      <c r="AO98" s="186"/>
      <c r="AP98" s="186"/>
      <c r="AQ98" s="12"/>
      <c r="AR98" s="11"/>
      <c r="AS98" s="186"/>
      <c r="AT98" s="747"/>
      <c r="AU98" s="747"/>
      <c r="AV98" s="747"/>
      <c r="AW98" s="186"/>
      <c r="AX98" s="186"/>
      <c r="AY98" s="12"/>
      <c r="AZ98" s="11"/>
      <c r="BA98" s="186"/>
      <c r="BB98" s="747"/>
      <c r="BC98" s="747"/>
      <c r="BD98" s="747"/>
      <c r="BE98" s="186"/>
      <c r="BF98" s="186"/>
      <c r="BG98" s="12"/>
      <c r="BH98" s="11"/>
      <c r="BI98" s="186"/>
      <c r="BJ98" s="747"/>
      <c r="BK98" s="747"/>
      <c r="BL98" s="747"/>
      <c r="BM98" s="186"/>
      <c r="BN98" s="186"/>
      <c r="BO98" s="12"/>
      <c r="BP98" s="11"/>
      <c r="BQ98" s="186"/>
      <c r="BR98" s="747"/>
      <c r="BS98" s="747"/>
      <c r="BT98" s="747"/>
      <c r="BU98" s="186"/>
      <c r="BV98" s="186"/>
      <c r="BW98" s="12"/>
    </row>
    <row r="99" spans="1:75">
      <c r="I99" s="20"/>
      <c r="AI99" s="757"/>
      <c r="AJ99" s="195"/>
      <c r="AK99" s="186"/>
      <c r="AL99" s="747"/>
      <c r="AM99" s="747"/>
      <c r="AN99" s="747"/>
      <c r="AO99" s="186"/>
      <c r="AP99" s="186"/>
      <c r="AQ99" s="12"/>
      <c r="AR99" s="11"/>
      <c r="AS99" s="186"/>
      <c r="AT99" s="747"/>
      <c r="AU99" s="747"/>
      <c r="AV99" s="747"/>
      <c r="AW99" s="186"/>
      <c r="AX99" s="186"/>
      <c r="AY99" s="12"/>
      <c r="AZ99" s="11"/>
      <c r="BA99" s="186"/>
      <c r="BB99" s="747"/>
      <c r="BC99" s="747"/>
      <c r="BD99" s="747"/>
      <c r="BE99" s="186"/>
      <c r="BF99" s="186"/>
      <c r="BG99" s="12"/>
      <c r="BH99" s="11"/>
      <c r="BI99" s="186"/>
      <c r="BJ99" s="747"/>
      <c r="BK99" s="747"/>
      <c r="BL99" s="747"/>
      <c r="BM99" s="186"/>
      <c r="BN99" s="186"/>
      <c r="BO99" s="12"/>
      <c r="BP99" s="11"/>
      <c r="BQ99" s="186"/>
      <c r="BR99" s="747"/>
      <c r="BS99" s="747"/>
      <c r="BT99" s="747"/>
      <c r="BU99" s="186"/>
      <c r="BV99" s="186"/>
      <c r="BW99" s="12"/>
    </row>
    <row r="100" spans="1:75">
      <c r="I100" s="20"/>
      <c r="AI100" s="757"/>
      <c r="AJ100" s="195"/>
      <c r="AK100" s="186"/>
      <c r="AL100" s="747"/>
      <c r="AM100" s="747"/>
      <c r="AN100" s="747"/>
      <c r="AO100" s="186"/>
      <c r="AP100" s="186"/>
      <c r="AQ100" s="12"/>
      <c r="AR100" s="11"/>
      <c r="AS100" s="186"/>
      <c r="AT100" s="747"/>
      <c r="AU100" s="747"/>
      <c r="AV100" s="747"/>
      <c r="AW100" s="186"/>
      <c r="AX100" s="186"/>
      <c r="AY100" s="12"/>
      <c r="AZ100" s="11"/>
      <c r="BA100" s="186"/>
      <c r="BB100" s="747"/>
      <c r="BC100" s="747"/>
      <c r="BD100" s="747"/>
      <c r="BE100" s="186"/>
      <c r="BF100" s="186"/>
      <c r="BG100" s="12"/>
      <c r="BH100" s="11"/>
      <c r="BI100" s="186"/>
      <c r="BJ100" s="747"/>
      <c r="BK100" s="747"/>
      <c r="BL100" s="747"/>
      <c r="BM100" s="186"/>
      <c r="BN100" s="186"/>
      <c r="BO100" s="12"/>
      <c r="BP100" s="11"/>
      <c r="BQ100" s="186"/>
      <c r="BR100" s="747"/>
      <c r="BS100" s="747"/>
      <c r="BT100" s="747"/>
      <c r="BU100" s="186"/>
      <c r="BV100" s="186"/>
      <c r="BW100" s="12"/>
    </row>
    <row r="101" spans="1:75">
      <c r="A101" s="1" t="s">
        <v>753</v>
      </c>
      <c r="B101" s="1" t="s">
        <v>725</v>
      </c>
      <c r="C101" s="1" t="s">
        <v>726</v>
      </c>
      <c r="D101" s="1" t="s">
        <v>523</v>
      </c>
      <c r="E101" s="1" t="s">
        <v>533</v>
      </c>
      <c r="F101" s="1">
        <v>3.5000000000000003E-2</v>
      </c>
      <c r="G101" s="1">
        <v>0</v>
      </c>
      <c r="I101" s="20"/>
      <c r="J101" s="1" t="s">
        <v>692</v>
      </c>
      <c r="U101" s="1" t="s">
        <v>267</v>
      </c>
      <c r="AI101" s="757"/>
      <c r="AJ101" s="195"/>
      <c r="AK101" s="186"/>
      <c r="AL101" s="747"/>
      <c r="AM101" s="747"/>
      <c r="AN101" s="747"/>
      <c r="AO101" s="186"/>
      <c r="AP101" s="186"/>
      <c r="AQ101" s="12"/>
      <c r="AR101" s="11"/>
      <c r="AS101" s="186"/>
      <c r="AT101" s="747"/>
      <c r="AU101" s="747"/>
      <c r="AV101" s="747"/>
      <c r="AW101" s="186"/>
      <c r="AX101" s="186"/>
      <c r="AY101" s="12"/>
      <c r="AZ101" s="11"/>
      <c r="BA101" s="186"/>
      <c r="BB101" s="747"/>
      <c r="BC101" s="747"/>
      <c r="BD101" s="747"/>
      <c r="BE101" s="186"/>
      <c r="BF101" s="186"/>
      <c r="BG101" s="12"/>
      <c r="BH101" s="11"/>
      <c r="BI101" s="186"/>
      <c r="BJ101" s="747"/>
      <c r="BK101" s="747"/>
      <c r="BL101" s="747"/>
      <c r="BM101" s="186"/>
      <c r="BN101" s="186"/>
      <c r="BO101" s="12"/>
      <c r="BP101" s="11"/>
      <c r="BQ101" s="186"/>
      <c r="BR101" s="747"/>
      <c r="BS101" s="747"/>
      <c r="BT101" s="747"/>
      <c r="BU101" s="186"/>
      <c r="BV101" s="186"/>
      <c r="BW101" s="12"/>
    </row>
    <row r="102" spans="1:75" ht="12.75" thickBot="1">
      <c r="A102" s="1" t="s">
        <v>754</v>
      </c>
      <c r="B102" s="1" t="s">
        <v>725</v>
      </c>
      <c r="C102" s="1" t="s">
        <v>726</v>
      </c>
      <c r="D102" s="1" t="s">
        <v>523</v>
      </c>
      <c r="E102" s="1" t="s">
        <v>534</v>
      </c>
      <c r="F102" s="1">
        <v>3.5000000000000003E-2</v>
      </c>
      <c r="G102" s="1">
        <v>0</v>
      </c>
      <c r="I102" s="20"/>
      <c r="J102" s="1" t="s">
        <v>519</v>
      </c>
      <c r="U102" s="1" t="s">
        <v>268</v>
      </c>
      <c r="AI102" s="757"/>
      <c r="AJ102" s="195"/>
      <c r="AK102" s="186"/>
      <c r="AL102" s="747"/>
      <c r="AM102" s="747"/>
      <c r="AN102" s="747"/>
      <c r="AO102" s="186"/>
      <c r="AP102" s="186"/>
      <c r="AQ102" s="12"/>
      <c r="AR102" s="11"/>
      <c r="AS102" s="186"/>
      <c r="AT102" s="747"/>
      <c r="AU102" s="747"/>
      <c r="AV102" s="747"/>
      <c r="AW102" s="186"/>
      <c r="AX102" s="186"/>
      <c r="AY102" s="12"/>
      <c r="AZ102" s="13"/>
      <c r="BA102" s="242"/>
      <c r="BB102" s="22"/>
      <c r="BC102" s="22"/>
      <c r="BD102" s="22"/>
      <c r="BE102" s="242"/>
      <c r="BF102" s="242"/>
      <c r="BG102" s="14"/>
      <c r="BH102" s="13"/>
      <c r="BI102" s="242"/>
      <c r="BJ102" s="22"/>
      <c r="BK102" s="22"/>
      <c r="BL102" s="22"/>
      <c r="BM102" s="242"/>
      <c r="BN102" s="242"/>
      <c r="BO102" s="14"/>
      <c r="BP102" s="13"/>
      <c r="BQ102" s="242"/>
      <c r="BR102" s="22"/>
      <c r="BS102" s="22"/>
      <c r="BT102" s="22"/>
      <c r="BU102" s="242"/>
      <c r="BV102" s="242"/>
      <c r="BW102" s="14"/>
    </row>
    <row r="103" spans="1:75">
      <c r="A103" s="1" t="s">
        <v>755</v>
      </c>
      <c r="B103" s="1" t="s">
        <v>725</v>
      </c>
      <c r="C103" s="1" t="s">
        <v>726</v>
      </c>
      <c r="D103" s="1" t="s">
        <v>523</v>
      </c>
      <c r="E103" s="1" t="s">
        <v>535</v>
      </c>
      <c r="F103" s="1">
        <v>3.5000000000000003E-2</v>
      </c>
      <c r="G103" s="1">
        <v>0</v>
      </c>
      <c r="I103" s="20"/>
      <c r="J103" s="1" t="s">
        <v>756</v>
      </c>
      <c r="AI103" s="763">
        <v>2</v>
      </c>
      <c r="AJ103" s="184" t="s">
        <v>2711</v>
      </c>
      <c r="AK103" s="185" t="s">
        <v>1859</v>
      </c>
      <c r="AL103" s="21" t="s">
        <v>1817</v>
      </c>
      <c r="AM103" s="21" t="s">
        <v>1730</v>
      </c>
      <c r="AN103" s="21" t="s">
        <v>1730</v>
      </c>
      <c r="AO103" s="185">
        <v>2.1800000000000002</v>
      </c>
      <c r="AP103" s="185">
        <v>0</v>
      </c>
      <c r="AQ103" s="10">
        <v>2.3199999999999998</v>
      </c>
      <c r="AR103" s="9" t="s">
        <v>2712</v>
      </c>
      <c r="AS103" s="185" t="s">
        <v>1859</v>
      </c>
      <c r="AT103" s="21" t="s">
        <v>1817</v>
      </c>
      <c r="AU103" s="21" t="s">
        <v>1730</v>
      </c>
      <c r="AV103" s="21" t="s">
        <v>1730</v>
      </c>
      <c r="AW103" s="185">
        <v>2.1800000000000002</v>
      </c>
      <c r="AX103" s="185">
        <v>0</v>
      </c>
      <c r="AY103" s="10">
        <v>3</v>
      </c>
      <c r="AZ103" s="243" t="s">
        <v>1991</v>
      </c>
      <c r="BA103" s="244" t="s">
        <v>1862</v>
      </c>
      <c r="BB103" s="748" t="s">
        <v>1817</v>
      </c>
      <c r="BC103" s="748" t="s">
        <v>1730</v>
      </c>
      <c r="BD103" s="748" t="s">
        <v>1730</v>
      </c>
      <c r="BE103" s="244">
        <v>2.83</v>
      </c>
      <c r="BF103" s="244">
        <v>0.25</v>
      </c>
      <c r="BG103" s="204">
        <v>2.58</v>
      </c>
      <c r="BH103" s="243" t="s">
        <v>2056</v>
      </c>
      <c r="BI103" s="244" t="s">
        <v>1803</v>
      </c>
      <c r="BJ103" s="748" t="s">
        <v>1830</v>
      </c>
      <c r="BK103" s="748" t="s">
        <v>515</v>
      </c>
      <c r="BL103" s="748" t="s">
        <v>1730</v>
      </c>
      <c r="BM103" s="244">
        <v>4.8750000000000002E-2</v>
      </c>
      <c r="BN103" s="244">
        <v>0</v>
      </c>
      <c r="BO103" s="204">
        <v>2.23</v>
      </c>
      <c r="BP103" s="243" t="s">
        <v>2087</v>
      </c>
      <c r="BQ103" s="244" t="s">
        <v>1713</v>
      </c>
      <c r="BR103" s="748" t="s">
        <v>1830</v>
      </c>
      <c r="BS103" s="748" t="s">
        <v>515</v>
      </c>
      <c r="BT103" s="748" t="s">
        <v>1730</v>
      </c>
      <c r="BU103" s="244">
        <v>0.18375</v>
      </c>
      <c r="BV103" s="244">
        <v>0</v>
      </c>
      <c r="BW103" s="204">
        <v>1.37</v>
      </c>
    </row>
    <row r="104" spans="1:75">
      <c r="A104" s="1" t="s">
        <v>757</v>
      </c>
      <c r="B104" s="1" t="s">
        <v>725</v>
      </c>
      <c r="C104" s="1" t="s">
        <v>726</v>
      </c>
      <c r="D104" s="1" t="s">
        <v>523</v>
      </c>
      <c r="E104" s="1" t="s">
        <v>536</v>
      </c>
      <c r="F104" s="1">
        <v>1.7500000000000002E-2</v>
      </c>
      <c r="G104" s="1">
        <v>0</v>
      </c>
      <c r="I104" s="20"/>
      <c r="J104" s="1" t="s">
        <v>520</v>
      </c>
      <c r="U104" s="1257" t="s">
        <v>2202</v>
      </c>
      <c r="V104" s="1257"/>
      <c r="W104" s="1257"/>
      <c r="X104" s="1257"/>
      <c r="Y104" s="1257"/>
      <c r="Z104" s="1257"/>
      <c r="AA104" s="1257"/>
      <c r="AB104" s="1257"/>
      <c r="AC104" s="1257"/>
      <c r="AD104" s="1257"/>
      <c r="AI104" s="757"/>
      <c r="AJ104" s="195" t="s">
        <v>2711</v>
      </c>
      <c r="AK104" s="186" t="s">
        <v>1863</v>
      </c>
      <c r="AL104" s="747" t="s">
        <v>1804</v>
      </c>
      <c r="AM104" s="747" t="s">
        <v>1730</v>
      </c>
      <c r="AN104" s="747" t="s">
        <v>1730</v>
      </c>
      <c r="AO104" s="186">
        <v>1.8</v>
      </c>
      <c r="AP104" s="186">
        <v>0</v>
      </c>
      <c r="AQ104" s="12">
        <v>2.3199999999999998</v>
      </c>
      <c r="AR104" s="11" t="s">
        <v>2712</v>
      </c>
      <c r="AS104" s="186" t="s">
        <v>1863</v>
      </c>
      <c r="AT104" s="747" t="s">
        <v>1804</v>
      </c>
      <c r="AU104" s="747" t="s">
        <v>1730</v>
      </c>
      <c r="AV104" s="747" t="s">
        <v>1730</v>
      </c>
      <c r="AW104" s="186">
        <v>1.8</v>
      </c>
      <c r="AX104" s="186">
        <v>0</v>
      </c>
      <c r="AY104" s="12">
        <v>3</v>
      </c>
      <c r="AZ104" s="11" t="s">
        <v>1991</v>
      </c>
      <c r="BA104" s="186" t="s">
        <v>1864</v>
      </c>
      <c r="BB104" s="747" t="s">
        <v>1838</v>
      </c>
      <c r="BC104" s="747" t="s">
        <v>1730</v>
      </c>
      <c r="BD104" s="747" t="s">
        <v>1730</v>
      </c>
      <c r="BE104" s="186">
        <v>2.5299999999999998</v>
      </c>
      <c r="BF104" s="186">
        <v>0.25</v>
      </c>
      <c r="BG104" s="12">
        <v>2.58</v>
      </c>
      <c r="BH104" s="11" t="s">
        <v>2056</v>
      </c>
      <c r="BI104" s="186" t="s">
        <v>1803</v>
      </c>
      <c r="BJ104" s="747" t="s">
        <v>1831</v>
      </c>
      <c r="BK104" s="747" t="s">
        <v>516</v>
      </c>
      <c r="BL104" s="747" t="s">
        <v>1730</v>
      </c>
      <c r="BM104" s="186">
        <v>3.2500000000000001E-2</v>
      </c>
      <c r="BN104" s="186">
        <v>0</v>
      </c>
      <c r="BO104" s="12">
        <v>2.23</v>
      </c>
      <c r="BP104" s="11" t="s">
        <v>2087</v>
      </c>
      <c r="BQ104" s="186" t="s">
        <v>1713</v>
      </c>
      <c r="BR104" s="747" t="s">
        <v>1831</v>
      </c>
      <c r="BS104" s="747" t="s">
        <v>516</v>
      </c>
      <c r="BT104" s="747" t="s">
        <v>1730</v>
      </c>
      <c r="BU104" s="186">
        <v>0.1225</v>
      </c>
      <c r="BV104" s="186">
        <v>0</v>
      </c>
      <c r="BW104" s="12">
        <v>1.37</v>
      </c>
    </row>
    <row r="105" spans="1:75">
      <c r="A105" s="1" t="s">
        <v>758</v>
      </c>
      <c r="B105" s="1" t="s">
        <v>725</v>
      </c>
      <c r="C105" s="1" t="s">
        <v>726</v>
      </c>
      <c r="D105" s="1" t="s">
        <v>523</v>
      </c>
      <c r="E105" s="1" t="s">
        <v>537</v>
      </c>
      <c r="F105" s="1">
        <v>1.7500000000000002E-2</v>
      </c>
      <c r="G105" s="1">
        <v>0</v>
      </c>
      <c r="I105" s="20"/>
      <c r="J105" s="1" t="s">
        <v>759</v>
      </c>
      <c r="U105" s="1238"/>
      <c r="V105" s="1240"/>
      <c r="W105" s="1227" t="s">
        <v>2782</v>
      </c>
      <c r="X105" s="1228"/>
      <c r="Y105" s="1228"/>
      <c r="Z105" s="1228"/>
      <c r="AA105" s="1229"/>
      <c r="AB105" s="1227" t="s">
        <v>2783</v>
      </c>
      <c r="AC105" s="1228"/>
      <c r="AD105" s="1229"/>
      <c r="AI105" s="757"/>
      <c r="AJ105" s="195" t="s">
        <v>2711</v>
      </c>
      <c r="AK105" s="186" t="s">
        <v>1864</v>
      </c>
      <c r="AL105" s="747" t="s">
        <v>1805</v>
      </c>
      <c r="AM105" s="747" t="s">
        <v>1730</v>
      </c>
      <c r="AN105" s="747" t="s">
        <v>1730</v>
      </c>
      <c r="AO105" s="186">
        <v>1.2</v>
      </c>
      <c r="AP105" s="186">
        <v>0</v>
      </c>
      <c r="AQ105" s="12">
        <v>2.3199999999999998</v>
      </c>
      <c r="AR105" s="11" t="s">
        <v>2712</v>
      </c>
      <c r="AS105" s="186" t="s">
        <v>1864</v>
      </c>
      <c r="AT105" s="747" t="s">
        <v>1805</v>
      </c>
      <c r="AU105" s="747" t="s">
        <v>1730</v>
      </c>
      <c r="AV105" s="747" t="s">
        <v>1730</v>
      </c>
      <c r="AW105" s="186">
        <v>1.2</v>
      </c>
      <c r="AX105" s="186">
        <v>0</v>
      </c>
      <c r="AY105" s="12">
        <v>3</v>
      </c>
      <c r="AZ105" s="11" t="s">
        <v>1991</v>
      </c>
      <c r="BA105" s="186" t="s">
        <v>1865</v>
      </c>
      <c r="BB105" s="747" t="s">
        <v>1807</v>
      </c>
      <c r="BC105" s="747" t="s">
        <v>1730</v>
      </c>
      <c r="BD105" s="747" t="s">
        <v>1730</v>
      </c>
      <c r="BE105" s="186">
        <v>2.16</v>
      </c>
      <c r="BF105" s="186">
        <v>0.25</v>
      </c>
      <c r="BG105" s="12">
        <v>2.58</v>
      </c>
      <c r="BH105" s="11" t="s">
        <v>2056</v>
      </c>
      <c r="BI105" s="186" t="s">
        <v>1803</v>
      </c>
      <c r="BJ105" s="747" t="s">
        <v>1832</v>
      </c>
      <c r="BK105" s="747" t="s">
        <v>517</v>
      </c>
      <c r="BL105" s="747" t="s">
        <v>1730</v>
      </c>
      <c r="BM105" s="186">
        <v>1.6250000000000001E-2</v>
      </c>
      <c r="BN105" s="186">
        <v>0</v>
      </c>
      <c r="BO105" s="12">
        <v>2.23</v>
      </c>
      <c r="BP105" s="11" t="s">
        <v>2087</v>
      </c>
      <c r="BQ105" s="186" t="s">
        <v>1713</v>
      </c>
      <c r="BR105" s="747" t="s">
        <v>1832</v>
      </c>
      <c r="BS105" s="747" t="s">
        <v>517</v>
      </c>
      <c r="BT105" s="747" t="s">
        <v>1730</v>
      </c>
      <c r="BU105" s="186">
        <v>6.1249999999999999E-2</v>
      </c>
      <c r="BV105" s="186">
        <v>0</v>
      </c>
      <c r="BW105" s="12">
        <v>1.37</v>
      </c>
    </row>
    <row r="106" spans="1:75">
      <c r="A106" s="1" t="s">
        <v>760</v>
      </c>
      <c r="B106" s="1" t="s">
        <v>761</v>
      </c>
      <c r="C106" s="1" t="s">
        <v>762</v>
      </c>
      <c r="D106" s="1" t="s">
        <v>1862</v>
      </c>
      <c r="E106" s="1" t="s">
        <v>1817</v>
      </c>
      <c r="F106" s="1">
        <v>1.8</v>
      </c>
      <c r="G106" s="1">
        <v>0</v>
      </c>
      <c r="H106" s="1">
        <v>2.3199999999999998</v>
      </c>
      <c r="I106" s="20" t="s">
        <v>684</v>
      </c>
      <c r="U106" s="1209"/>
      <c r="V106" s="1211"/>
      <c r="W106" s="1235" t="s">
        <v>269</v>
      </c>
      <c r="X106" s="1235"/>
      <c r="Y106" s="1235"/>
      <c r="Z106" s="1235"/>
      <c r="AA106" s="1235"/>
      <c r="AB106" s="1235" t="s">
        <v>270</v>
      </c>
      <c r="AC106" s="1235"/>
      <c r="AD106" s="1235"/>
      <c r="AI106" s="757"/>
      <c r="AJ106" s="195" t="s">
        <v>2711</v>
      </c>
      <c r="AK106" s="186" t="s">
        <v>1867</v>
      </c>
      <c r="AL106" s="747" t="s">
        <v>1806</v>
      </c>
      <c r="AM106" s="747" t="s">
        <v>1730</v>
      </c>
      <c r="AN106" s="747" t="s">
        <v>1730</v>
      </c>
      <c r="AO106" s="186">
        <v>0.9</v>
      </c>
      <c r="AP106" s="186">
        <v>0</v>
      </c>
      <c r="AQ106" s="12">
        <v>2.3199999999999998</v>
      </c>
      <c r="AR106" s="11" t="s">
        <v>2712</v>
      </c>
      <c r="AS106" s="186" t="s">
        <v>1867</v>
      </c>
      <c r="AT106" s="747" t="s">
        <v>1806</v>
      </c>
      <c r="AU106" s="747" t="s">
        <v>1730</v>
      </c>
      <c r="AV106" s="747" t="s">
        <v>1730</v>
      </c>
      <c r="AW106" s="186">
        <v>0.9</v>
      </c>
      <c r="AX106" s="186">
        <v>0</v>
      </c>
      <c r="AY106" s="12">
        <v>3</v>
      </c>
      <c r="AZ106" s="11" t="s">
        <v>1991</v>
      </c>
      <c r="BA106" s="186" t="s">
        <v>1865</v>
      </c>
      <c r="BB106" s="747" t="s">
        <v>1808</v>
      </c>
      <c r="BC106" s="747" t="s">
        <v>1730</v>
      </c>
      <c r="BD106" s="747" t="s">
        <v>1730</v>
      </c>
      <c r="BE106" s="186">
        <v>2.16</v>
      </c>
      <c r="BF106" s="186">
        <v>0.25</v>
      </c>
      <c r="BG106" s="12">
        <v>2.58</v>
      </c>
      <c r="BH106" s="11" t="s">
        <v>2056</v>
      </c>
      <c r="BI106" s="186" t="s">
        <v>1710</v>
      </c>
      <c r="BJ106" s="747" t="s">
        <v>2057</v>
      </c>
      <c r="BK106" s="747" t="s">
        <v>1730</v>
      </c>
      <c r="BL106" s="747" t="s">
        <v>1730</v>
      </c>
      <c r="BM106" s="186">
        <v>3.5000000000000003E-2</v>
      </c>
      <c r="BN106" s="186">
        <v>0</v>
      </c>
      <c r="BO106" s="12">
        <v>2.23</v>
      </c>
      <c r="BP106" s="11" t="s">
        <v>2087</v>
      </c>
      <c r="BQ106" s="186" t="s">
        <v>1710</v>
      </c>
      <c r="BR106" s="747" t="s">
        <v>2088</v>
      </c>
      <c r="BS106" s="747" t="s">
        <v>1730</v>
      </c>
      <c r="BT106" s="747" t="s">
        <v>1730</v>
      </c>
      <c r="BU106" s="186">
        <v>0.125</v>
      </c>
      <c r="BV106" s="186">
        <v>0</v>
      </c>
      <c r="BW106" s="12">
        <v>1.37</v>
      </c>
    </row>
    <row r="107" spans="1:75">
      <c r="A107" s="1" t="s">
        <v>763</v>
      </c>
      <c r="B107" s="1" t="s">
        <v>761</v>
      </c>
      <c r="C107" s="1" t="s">
        <v>762</v>
      </c>
      <c r="D107" s="1" t="s">
        <v>1864</v>
      </c>
      <c r="E107" s="1" t="s">
        <v>1805</v>
      </c>
      <c r="F107" s="1">
        <v>1.2</v>
      </c>
      <c r="G107" s="1">
        <v>0</v>
      </c>
      <c r="H107" s="1">
        <v>2.3199999999999998</v>
      </c>
      <c r="I107" s="20" t="s">
        <v>684</v>
      </c>
      <c r="U107" s="1236" t="s">
        <v>263</v>
      </c>
      <c r="V107" s="1237"/>
      <c r="W107" s="1238" t="s">
        <v>2784</v>
      </c>
      <c r="X107" s="1239"/>
      <c r="Y107" s="1239"/>
      <c r="Z107" s="1239"/>
      <c r="AA107" s="1240"/>
      <c r="AB107" s="1238" t="s">
        <v>2785</v>
      </c>
      <c r="AC107" s="1239"/>
      <c r="AD107" s="1240"/>
      <c r="AI107" s="757"/>
      <c r="AJ107" s="195" t="s">
        <v>2711</v>
      </c>
      <c r="AK107" s="186" t="s">
        <v>1884</v>
      </c>
      <c r="AL107" s="747" t="s">
        <v>1824</v>
      </c>
      <c r="AM107" s="747" t="s">
        <v>1730</v>
      </c>
      <c r="AN107" s="747" t="s">
        <v>1730</v>
      </c>
      <c r="AO107" s="186">
        <v>0.7</v>
      </c>
      <c r="AP107" s="186">
        <v>0</v>
      </c>
      <c r="AQ107" s="12">
        <v>2.3199999999999998</v>
      </c>
      <c r="AR107" s="11" t="s">
        <v>2712</v>
      </c>
      <c r="AS107" s="186" t="s">
        <v>1884</v>
      </c>
      <c r="AT107" s="747" t="s">
        <v>1824</v>
      </c>
      <c r="AU107" s="747" t="s">
        <v>1730</v>
      </c>
      <c r="AV107" s="747" t="s">
        <v>1730</v>
      </c>
      <c r="AW107" s="186">
        <v>0.7</v>
      </c>
      <c r="AX107" s="186">
        <v>0</v>
      </c>
      <c r="AY107" s="12">
        <v>3</v>
      </c>
      <c r="AZ107" s="11" t="s">
        <v>1991</v>
      </c>
      <c r="BA107" s="186" t="s">
        <v>1868</v>
      </c>
      <c r="BB107" s="747" t="s">
        <v>1869</v>
      </c>
      <c r="BC107" s="747" t="s">
        <v>1730</v>
      </c>
      <c r="BD107" s="747" t="s">
        <v>1730</v>
      </c>
      <c r="BE107" s="186">
        <v>1.93</v>
      </c>
      <c r="BF107" s="186">
        <v>0.25</v>
      </c>
      <c r="BG107" s="12">
        <v>2.58</v>
      </c>
      <c r="BH107" s="11" t="s">
        <v>2056</v>
      </c>
      <c r="BI107" s="186" t="s">
        <v>1710</v>
      </c>
      <c r="BJ107" s="747" t="s">
        <v>2058</v>
      </c>
      <c r="BK107" s="747" t="s">
        <v>1730</v>
      </c>
      <c r="BL107" s="747" t="s">
        <v>1730</v>
      </c>
      <c r="BM107" s="186">
        <v>1.7500000000000002E-2</v>
      </c>
      <c r="BN107" s="186">
        <v>0</v>
      </c>
      <c r="BO107" s="12">
        <v>2.23</v>
      </c>
      <c r="BP107" s="11" t="s">
        <v>2087</v>
      </c>
      <c r="BQ107" s="186" t="s">
        <v>1710</v>
      </c>
      <c r="BR107" s="747" t="s">
        <v>2089</v>
      </c>
      <c r="BS107" s="747" t="s">
        <v>1730</v>
      </c>
      <c r="BT107" s="747" t="s">
        <v>1730</v>
      </c>
      <c r="BU107" s="186">
        <v>6.25E-2</v>
      </c>
      <c r="BV107" s="186">
        <v>0</v>
      </c>
      <c r="BW107" s="12">
        <v>1.37</v>
      </c>
    </row>
    <row r="108" spans="1:75">
      <c r="A108" s="1" t="s">
        <v>764</v>
      </c>
      <c r="B108" s="1" t="s">
        <v>761</v>
      </c>
      <c r="C108" s="1" t="s">
        <v>762</v>
      </c>
      <c r="D108" s="1" t="s">
        <v>1899</v>
      </c>
      <c r="E108" s="1" t="s">
        <v>1833</v>
      </c>
      <c r="F108" s="1">
        <v>0.9</v>
      </c>
      <c r="G108" s="1">
        <v>0</v>
      </c>
      <c r="H108" s="1">
        <v>2.3199999999999998</v>
      </c>
      <c r="I108" s="20" t="s">
        <v>684</v>
      </c>
      <c r="U108" s="1241" t="s">
        <v>264</v>
      </c>
      <c r="V108" s="1242"/>
      <c r="W108" s="1224" t="s">
        <v>2787</v>
      </c>
      <c r="X108" s="1225"/>
      <c r="Y108" s="1225"/>
      <c r="Z108" s="1225"/>
      <c r="AA108" s="1226"/>
      <c r="AB108" s="1224" t="s">
        <v>2788</v>
      </c>
      <c r="AC108" s="1225"/>
      <c r="AD108" s="1226"/>
      <c r="AI108" s="757"/>
      <c r="AJ108" s="195" t="s">
        <v>2711</v>
      </c>
      <c r="AK108" s="186" t="s">
        <v>1917</v>
      </c>
      <c r="AL108" s="747" t="s">
        <v>1825</v>
      </c>
      <c r="AM108" s="747" t="s">
        <v>1730</v>
      </c>
      <c r="AN108" s="747" t="s">
        <v>1730</v>
      </c>
      <c r="AO108" s="186">
        <v>0.4</v>
      </c>
      <c r="AP108" s="186">
        <v>0</v>
      </c>
      <c r="AQ108" s="12">
        <v>2.3199999999999998</v>
      </c>
      <c r="AR108" s="11" t="s">
        <v>2712</v>
      </c>
      <c r="AS108" s="186" t="s">
        <v>1917</v>
      </c>
      <c r="AT108" s="747" t="s">
        <v>1825</v>
      </c>
      <c r="AU108" s="747" t="s">
        <v>1730</v>
      </c>
      <c r="AV108" s="747" t="s">
        <v>1730</v>
      </c>
      <c r="AW108" s="186">
        <v>0.4</v>
      </c>
      <c r="AX108" s="186">
        <v>0</v>
      </c>
      <c r="AY108" s="12">
        <v>3</v>
      </c>
      <c r="AZ108" s="11" t="s">
        <v>1991</v>
      </c>
      <c r="BA108" s="186" t="s">
        <v>1971</v>
      </c>
      <c r="BB108" s="747" t="s">
        <v>1888</v>
      </c>
      <c r="BC108" s="747" t="s">
        <v>1730</v>
      </c>
      <c r="BD108" s="747" t="s">
        <v>1730</v>
      </c>
      <c r="BE108" s="186">
        <v>1.3</v>
      </c>
      <c r="BF108" s="186">
        <v>0.25</v>
      </c>
      <c r="BG108" s="12">
        <v>2.58</v>
      </c>
      <c r="BH108" s="11" t="s">
        <v>2056</v>
      </c>
      <c r="BI108" s="186" t="s">
        <v>1710</v>
      </c>
      <c r="BJ108" s="747" t="s">
        <v>2059</v>
      </c>
      <c r="BK108" s="747" t="s">
        <v>518</v>
      </c>
      <c r="BL108" s="747" t="s">
        <v>1730</v>
      </c>
      <c r="BM108" s="186">
        <v>3.1500000000000007E-2</v>
      </c>
      <c r="BN108" s="186">
        <v>0</v>
      </c>
      <c r="BO108" s="12">
        <v>2.23</v>
      </c>
      <c r="BP108" s="11" t="s">
        <v>2087</v>
      </c>
      <c r="BQ108" s="186" t="s">
        <v>1710</v>
      </c>
      <c r="BR108" s="747" t="s">
        <v>2090</v>
      </c>
      <c r="BS108" s="747" t="s">
        <v>518</v>
      </c>
      <c r="BT108" s="747" t="s">
        <v>1730</v>
      </c>
      <c r="BU108" s="186">
        <v>0.1125</v>
      </c>
      <c r="BV108" s="186">
        <v>0</v>
      </c>
      <c r="BW108" s="12">
        <v>1.37</v>
      </c>
    </row>
    <row r="109" spans="1:75">
      <c r="A109" s="1" t="s">
        <v>765</v>
      </c>
      <c r="B109" s="1" t="s">
        <v>761</v>
      </c>
      <c r="C109" s="1" t="s">
        <v>762</v>
      </c>
      <c r="D109" s="1" t="s">
        <v>1884</v>
      </c>
      <c r="E109" s="1" t="s">
        <v>1824</v>
      </c>
      <c r="F109" s="1">
        <v>0.7</v>
      </c>
      <c r="G109" s="1">
        <v>0</v>
      </c>
      <c r="H109" s="1">
        <v>2.3199999999999998</v>
      </c>
      <c r="I109" s="20" t="s">
        <v>684</v>
      </c>
      <c r="U109" s="1241" t="s">
        <v>265</v>
      </c>
      <c r="V109" s="1242"/>
      <c r="W109" s="1224" t="s">
        <v>2786</v>
      </c>
      <c r="X109" s="1225"/>
      <c r="Y109" s="1225"/>
      <c r="Z109" s="1225"/>
      <c r="AA109" s="1226"/>
      <c r="AB109" s="1224" t="s">
        <v>2789</v>
      </c>
      <c r="AC109" s="1225"/>
      <c r="AD109" s="1226"/>
      <c r="AI109" s="757"/>
      <c r="AJ109" s="195" t="s">
        <v>2711</v>
      </c>
      <c r="AK109" s="186" t="s">
        <v>1917</v>
      </c>
      <c r="AL109" s="747" t="s">
        <v>1826</v>
      </c>
      <c r="AM109" s="46" t="s">
        <v>2713</v>
      </c>
      <c r="AN109" s="46" t="s">
        <v>1730</v>
      </c>
      <c r="AO109" s="186">
        <v>0.4</v>
      </c>
      <c r="AP109" s="186">
        <v>0</v>
      </c>
      <c r="AQ109" s="12">
        <v>2.3199999999999998</v>
      </c>
      <c r="AR109" s="11" t="s">
        <v>2790</v>
      </c>
      <c r="AS109" s="186" t="s">
        <v>1917</v>
      </c>
      <c r="AT109" s="747" t="s">
        <v>1826</v>
      </c>
      <c r="AU109" s="747" t="s">
        <v>1730</v>
      </c>
      <c r="AV109" s="747" t="s">
        <v>1730</v>
      </c>
      <c r="AW109" s="186">
        <v>0.4</v>
      </c>
      <c r="AX109" s="186">
        <v>0</v>
      </c>
      <c r="AY109" s="12">
        <v>3</v>
      </c>
      <c r="AZ109" s="11" t="s">
        <v>1991</v>
      </c>
      <c r="BA109" s="186" t="s">
        <v>1992</v>
      </c>
      <c r="BB109" s="747" t="s">
        <v>1993</v>
      </c>
      <c r="BC109" s="747" t="s">
        <v>1730</v>
      </c>
      <c r="BD109" s="747" t="s">
        <v>1730</v>
      </c>
      <c r="BE109" s="186">
        <v>0.7</v>
      </c>
      <c r="BF109" s="186">
        <v>0.09</v>
      </c>
      <c r="BG109" s="12">
        <v>2.58</v>
      </c>
      <c r="BH109" s="11" t="s">
        <v>2056</v>
      </c>
      <c r="BI109" s="186" t="s">
        <v>1710</v>
      </c>
      <c r="BJ109" s="747" t="s">
        <v>2060</v>
      </c>
      <c r="BK109" s="747" t="s">
        <v>518</v>
      </c>
      <c r="BL109" s="747" t="s">
        <v>1730</v>
      </c>
      <c r="BM109" s="186">
        <v>3.1500000000000007E-2</v>
      </c>
      <c r="BN109" s="186">
        <v>0</v>
      </c>
      <c r="BO109" s="12">
        <v>2.23</v>
      </c>
      <c r="BP109" s="11" t="s">
        <v>2087</v>
      </c>
      <c r="BQ109" s="186" t="s">
        <v>1710</v>
      </c>
      <c r="BR109" s="747" t="s">
        <v>2091</v>
      </c>
      <c r="BS109" s="747" t="s">
        <v>518</v>
      </c>
      <c r="BT109" s="747" t="s">
        <v>1730</v>
      </c>
      <c r="BU109" s="186">
        <v>0.1125</v>
      </c>
      <c r="BV109" s="186">
        <v>0</v>
      </c>
      <c r="BW109" s="12">
        <v>1.37</v>
      </c>
    </row>
    <row r="110" spans="1:75">
      <c r="A110" s="1" t="s">
        <v>766</v>
      </c>
      <c r="B110" s="1" t="s">
        <v>761</v>
      </c>
      <c r="C110" s="1" t="s">
        <v>762</v>
      </c>
      <c r="D110" s="1" t="s">
        <v>1952</v>
      </c>
      <c r="E110" s="1" t="s">
        <v>1834</v>
      </c>
      <c r="F110" s="1">
        <v>0.49</v>
      </c>
      <c r="G110" s="1">
        <v>0</v>
      </c>
      <c r="H110" s="1">
        <v>2.3199999999999998</v>
      </c>
      <c r="I110" s="20" t="s">
        <v>684</v>
      </c>
      <c r="U110" s="1214" t="s">
        <v>266</v>
      </c>
      <c r="V110" s="1215"/>
      <c r="W110" s="1209" t="s">
        <v>2791</v>
      </c>
      <c r="X110" s="1210"/>
      <c r="Y110" s="1210"/>
      <c r="Z110" s="1210"/>
      <c r="AA110" s="1211"/>
      <c r="AB110" s="1209" t="s">
        <v>2792</v>
      </c>
      <c r="AC110" s="1210"/>
      <c r="AD110" s="1211"/>
      <c r="AI110" s="757"/>
      <c r="AJ110" s="195" t="s">
        <v>2711</v>
      </c>
      <c r="AK110" s="186" t="s">
        <v>1917</v>
      </c>
      <c r="AL110" s="747" t="s">
        <v>1827</v>
      </c>
      <c r="AM110" s="747" t="s">
        <v>1730</v>
      </c>
      <c r="AN110" s="747" t="s">
        <v>1730</v>
      </c>
      <c r="AO110" s="186">
        <v>0.2</v>
      </c>
      <c r="AP110" s="186">
        <v>0</v>
      </c>
      <c r="AQ110" s="12">
        <v>2.3199999999999998</v>
      </c>
      <c r="AR110" s="11" t="s">
        <v>2790</v>
      </c>
      <c r="AS110" s="186" t="s">
        <v>1917</v>
      </c>
      <c r="AT110" s="747" t="s">
        <v>1827</v>
      </c>
      <c r="AU110" s="747" t="s">
        <v>1730</v>
      </c>
      <c r="AV110" s="747" t="s">
        <v>1730</v>
      </c>
      <c r="AW110" s="186">
        <v>0.2</v>
      </c>
      <c r="AX110" s="186">
        <v>0</v>
      </c>
      <c r="AY110" s="12">
        <v>3</v>
      </c>
      <c r="AZ110" s="11" t="s">
        <v>1991</v>
      </c>
      <c r="BA110" s="186" t="s">
        <v>1992</v>
      </c>
      <c r="BB110" s="747" t="s">
        <v>1994</v>
      </c>
      <c r="BC110" s="747" t="s">
        <v>1730</v>
      </c>
      <c r="BD110" s="747" t="s">
        <v>1730</v>
      </c>
      <c r="BE110" s="186">
        <v>0.35</v>
      </c>
      <c r="BF110" s="186">
        <v>4.4999999999999998E-2</v>
      </c>
      <c r="BG110" s="12">
        <v>2.58</v>
      </c>
      <c r="BH110" s="11" t="s">
        <v>2056</v>
      </c>
      <c r="BI110" s="186" t="s">
        <v>1710</v>
      </c>
      <c r="BJ110" s="747" t="s">
        <v>2061</v>
      </c>
      <c r="BK110" s="747" t="s">
        <v>519</v>
      </c>
      <c r="BL110" s="747" t="s">
        <v>1730</v>
      </c>
      <c r="BM110" s="186">
        <v>1.7500000000000002E-2</v>
      </c>
      <c r="BN110" s="186">
        <v>0</v>
      </c>
      <c r="BO110" s="12">
        <v>2.23</v>
      </c>
      <c r="BP110" s="11" t="s">
        <v>2087</v>
      </c>
      <c r="BQ110" s="186" t="s">
        <v>1710</v>
      </c>
      <c r="BR110" s="747" t="s">
        <v>2092</v>
      </c>
      <c r="BS110" s="747" t="s">
        <v>519</v>
      </c>
      <c r="BT110" s="747" t="s">
        <v>1730</v>
      </c>
      <c r="BU110" s="186">
        <v>6.25E-2</v>
      </c>
      <c r="BV110" s="186">
        <v>0</v>
      </c>
      <c r="BW110" s="12">
        <v>1.37</v>
      </c>
    </row>
    <row r="111" spans="1:75">
      <c r="A111" s="1" t="s">
        <v>767</v>
      </c>
      <c r="B111" s="1" t="s">
        <v>761</v>
      </c>
      <c r="C111" s="1" t="s">
        <v>762</v>
      </c>
      <c r="D111" s="1" t="s">
        <v>1953</v>
      </c>
      <c r="E111" s="1" t="s">
        <v>1835</v>
      </c>
      <c r="F111" s="1">
        <v>0.4</v>
      </c>
      <c r="G111" s="1">
        <v>0</v>
      </c>
      <c r="H111" s="1">
        <v>2.3199999999999998</v>
      </c>
      <c r="I111" s="20" t="s">
        <v>684</v>
      </c>
      <c r="U111" s="2"/>
      <c r="V111" s="2"/>
      <c r="W111" s="2"/>
      <c r="X111" s="245"/>
      <c r="Y111" s="246"/>
      <c r="Z111" s="246"/>
      <c r="AI111" s="757"/>
      <c r="AJ111" s="195" t="s">
        <v>2711</v>
      </c>
      <c r="AK111" s="186" t="s">
        <v>1803</v>
      </c>
      <c r="AL111" s="747" t="s">
        <v>1828</v>
      </c>
      <c r="AM111" s="747" t="s">
        <v>1730</v>
      </c>
      <c r="AN111" s="747" t="s">
        <v>1730</v>
      </c>
      <c r="AO111" s="186">
        <v>0.13</v>
      </c>
      <c r="AP111" s="186">
        <v>0</v>
      </c>
      <c r="AQ111" s="12">
        <v>2.3199999999999998</v>
      </c>
      <c r="AR111" s="11" t="s">
        <v>2712</v>
      </c>
      <c r="AS111" s="186" t="s">
        <v>1803</v>
      </c>
      <c r="AT111" s="747" t="s">
        <v>1828</v>
      </c>
      <c r="AU111" s="747" t="s">
        <v>1730</v>
      </c>
      <c r="AV111" s="747" t="s">
        <v>1730</v>
      </c>
      <c r="AW111" s="186">
        <v>0.13</v>
      </c>
      <c r="AX111" s="186">
        <v>0</v>
      </c>
      <c r="AY111" s="12">
        <v>3</v>
      </c>
      <c r="AZ111" s="11" t="s">
        <v>1991</v>
      </c>
      <c r="BA111" s="186" t="s">
        <v>1992</v>
      </c>
      <c r="BB111" s="747" t="s">
        <v>1995</v>
      </c>
      <c r="BC111" s="747" t="s">
        <v>1730</v>
      </c>
      <c r="BD111" s="747" t="s">
        <v>1730</v>
      </c>
      <c r="BE111" s="186">
        <v>0.7</v>
      </c>
      <c r="BF111" s="186">
        <v>0.09</v>
      </c>
      <c r="BG111" s="12">
        <v>2.58</v>
      </c>
      <c r="BH111" s="11" t="s">
        <v>2056</v>
      </c>
      <c r="BI111" s="186" t="s">
        <v>1710</v>
      </c>
      <c r="BJ111" s="747" t="s">
        <v>2062</v>
      </c>
      <c r="BK111" s="747" t="s">
        <v>519</v>
      </c>
      <c r="BL111" s="747" t="s">
        <v>1730</v>
      </c>
      <c r="BM111" s="186">
        <v>1.7500000000000002E-2</v>
      </c>
      <c r="BN111" s="186">
        <v>0</v>
      </c>
      <c r="BO111" s="12">
        <v>2.23</v>
      </c>
      <c r="BP111" s="11" t="s">
        <v>2087</v>
      </c>
      <c r="BQ111" s="186" t="s">
        <v>1710</v>
      </c>
      <c r="BR111" s="747" t="s">
        <v>2093</v>
      </c>
      <c r="BS111" s="747" t="s">
        <v>519</v>
      </c>
      <c r="BT111" s="747" t="s">
        <v>1730</v>
      </c>
      <c r="BU111" s="186">
        <v>6.25E-2</v>
      </c>
      <c r="BV111" s="186">
        <v>0</v>
      </c>
      <c r="BW111" s="12">
        <v>1.37</v>
      </c>
    </row>
    <row r="112" spans="1:75">
      <c r="A112" s="1" t="s">
        <v>768</v>
      </c>
      <c r="B112" s="1" t="s">
        <v>761</v>
      </c>
      <c r="C112" s="1" t="s">
        <v>762</v>
      </c>
      <c r="D112" s="1" t="s">
        <v>1953</v>
      </c>
      <c r="E112" s="1" t="s">
        <v>1836</v>
      </c>
      <c r="F112" s="1">
        <v>0.4</v>
      </c>
      <c r="G112" s="1">
        <v>0</v>
      </c>
      <c r="H112" s="1">
        <v>2.3199999999999998</v>
      </c>
      <c r="I112" s="20" t="s">
        <v>684</v>
      </c>
      <c r="U112" s="247"/>
      <c r="V112" s="247"/>
      <c r="W112" s="245"/>
      <c r="X112" s="245"/>
      <c r="Y112" s="246"/>
      <c r="Z112" s="246"/>
      <c r="AI112" s="757"/>
      <c r="AJ112" s="195" t="s">
        <v>2711</v>
      </c>
      <c r="AK112" s="186" t="s">
        <v>1803</v>
      </c>
      <c r="AL112" s="747" t="s">
        <v>1829</v>
      </c>
      <c r="AM112" s="747" t="s">
        <v>1730</v>
      </c>
      <c r="AN112" s="747" t="s">
        <v>1730</v>
      </c>
      <c r="AO112" s="186">
        <v>6.5000000000000002E-2</v>
      </c>
      <c r="AP112" s="186">
        <v>0</v>
      </c>
      <c r="AQ112" s="12">
        <v>2.3199999999999998</v>
      </c>
      <c r="AR112" s="11" t="s">
        <v>2790</v>
      </c>
      <c r="AS112" s="186" t="s">
        <v>1803</v>
      </c>
      <c r="AT112" s="747" t="s">
        <v>1829</v>
      </c>
      <c r="AU112" s="747" t="s">
        <v>1730</v>
      </c>
      <c r="AV112" s="747" t="s">
        <v>1730</v>
      </c>
      <c r="AW112" s="186">
        <v>6.5000000000000002E-2</v>
      </c>
      <c r="AX112" s="186">
        <v>0</v>
      </c>
      <c r="AY112" s="12">
        <v>3</v>
      </c>
      <c r="AZ112" s="11" t="s">
        <v>1991</v>
      </c>
      <c r="BA112" s="186" t="s">
        <v>1992</v>
      </c>
      <c r="BB112" s="747" t="s">
        <v>1996</v>
      </c>
      <c r="BC112" s="747" t="s">
        <v>1730</v>
      </c>
      <c r="BD112" s="747" t="s">
        <v>1730</v>
      </c>
      <c r="BE112" s="186">
        <v>0.35</v>
      </c>
      <c r="BF112" s="186">
        <v>4.4999999999999998E-2</v>
      </c>
      <c r="BG112" s="12">
        <v>2.58</v>
      </c>
      <c r="BH112" s="11" t="s">
        <v>2056</v>
      </c>
      <c r="BI112" s="186" t="s">
        <v>1710</v>
      </c>
      <c r="BJ112" s="747" t="s">
        <v>2063</v>
      </c>
      <c r="BK112" s="747" t="s">
        <v>520</v>
      </c>
      <c r="BL112" s="747" t="s">
        <v>1730</v>
      </c>
      <c r="BM112" s="186">
        <v>8.7500000000000008E-3</v>
      </c>
      <c r="BN112" s="186">
        <v>0</v>
      </c>
      <c r="BO112" s="12">
        <v>2.23</v>
      </c>
      <c r="BP112" s="11" t="s">
        <v>2087</v>
      </c>
      <c r="BQ112" s="186" t="s">
        <v>1710</v>
      </c>
      <c r="BR112" s="747" t="s">
        <v>2094</v>
      </c>
      <c r="BS112" s="747" t="s">
        <v>520</v>
      </c>
      <c r="BT112" s="747" t="s">
        <v>1730</v>
      </c>
      <c r="BU112" s="186">
        <v>3.125E-2</v>
      </c>
      <c r="BV112" s="186">
        <v>0</v>
      </c>
      <c r="BW112" s="12">
        <v>1.37</v>
      </c>
    </row>
    <row r="113" spans="1:75" ht="12.75" thickBot="1">
      <c r="A113" s="1" t="s">
        <v>769</v>
      </c>
      <c r="B113" s="1" t="s">
        <v>761</v>
      </c>
      <c r="C113" s="1" t="s">
        <v>762</v>
      </c>
      <c r="D113" s="1" t="s">
        <v>1953</v>
      </c>
      <c r="E113" s="1" t="s">
        <v>1837</v>
      </c>
      <c r="F113" s="1">
        <v>0.2</v>
      </c>
      <c r="G113" s="1">
        <v>0</v>
      </c>
      <c r="H113" s="1">
        <v>2.3199999999999998</v>
      </c>
      <c r="I113" s="20" t="s">
        <v>691</v>
      </c>
      <c r="J113" s="1" t="s">
        <v>692</v>
      </c>
      <c r="T113" s="1218" t="s">
        <v>2203</v>
      </c>
      <c r="U113" s="1218"/>
      <c r="V113" s="1218"/>
      <c r="W113" s="1218"/>
      <c r="X113" s="1218"/>
      <c r="Y113" s="246"/>
      <c r="Z113" s="246"/>
      <c r="AI113" s="757"/>
      <c r="AJ113" s="195" t="s">
        <v>2711</v>
      </c>
      <c r="AK113" s="186" t="s">
        <v>1803</v>
      </c>
      <c r="AL113" s="747" t="s">
        <v>1921</v>
      </c>
      <c r="AM113" s="747" t="s">
        <v>515</v>
      </c>
      <c r="AN113" s="747" t="s">
        <v>1730</v>
      </c>
      <c r="AO113" s="186">
        <v>9.7500000000000003E-2</v>
      </c>
      <c r="AP113" s="186">
        <v>0</v>
      </c>
      <c r="AQ113" s="12">
        <v>2.3199999999999998</v>
      </c>
      <c r="AR113" s="11" t="s">
        <v>2712</v>
      </c>
      <c r="AS113" s="186" t="s">
        <v>1803</v>
      </c>
      <c r="AT113" s="747" t="s">
        <v>1921</v>
      </c>
      <c r="AU113" s="747" t="s">
        <v>515</v>
      </c>
      <c r="AV113" s="747" t="s">
        <v>1730</v>
      </c>
      <c r="AW113" s="186">
        <v>9.7500000000000003E-2</v>
      </c>
      <c r="AX113" s="186">
        <v>0</v>
      </c>
      <c r="AY113" s="12">
        <v>3</v>
      </c>
      <c r="AZ113" s="11" t="s">
        <v>1991</v>
      </c>
      <c r="BA113" s="186" t="s">
        <v>1992</v>
      </c>
      <c r="BB113" s="747" t="s">
        <v>1997</v>
      </c>
      <c r="BC113" s="747" t="s">
        <v>515</v>
      </c>
      <c r="BD113" s="747" t="s">
        <v>1730</v>
      </c>
      <c r="BE113" s="186">
        <v>0.52500000000000002</v>
      </c>
      <c r="BF113" s="186">
        <v>6.7500000000000004E-2</v>
      </c>
      <c r="BG113" s="12">
        <v>2.58</v>
      </c>
      <c r="BH113" s="11" t="s">
        <v>2056</v>
      </c>
      <c r="BI113" s="186" t="s">
        <v>1710</v>
      </c>
      <c r="BJ113" s="747" t="s">
        <v>2064</v>
      </c>
      <c r="BK113" s="747" t="s">
        <v>520</v>
      </c>
      <c r="BL113" s="747" t="s">
        <v>1730</v>
      </c>
      <c r="BM113" s="186">
        <v>8.7500000000000008E-3</v>
      </c>
      <c r="BN113" s="186">
        <v>0</v>
      </c>
      <c r="BO113" s="12">
        <v>2.23</v>
      </c>
      <c r="BP113" s="11" t="s">
        <v>2087</v>
      </c>
      <c r="BQ113" s="186" t="s">
        <v>1710</v>
      </c>
      <c r="BR113" s="747" t="s">
        <v>2095</v>
      </c>
      <c r="BS113" s="747" t="s">
        <v>520</v>
      </c>
      <c r="BT113" s="747" t="s">
        <v>1730</v>
      </c>
      <c r="BU113" s="186">
        <v>3.125E-2</v>
      </c>
      <c r="BV113" s="186">
        <v>0</v>
      </c>
      <c r="BW113" s="12">
        <v>1.37</v>
      </c>
    </row>
    <row r="114" spans="1:75" ht="12.75" thickBot="1">
      <c r="A114" s="1" t="s">
        <v>770</v>
      </c>
      <c r="B114" s="1" t="s">
        <v>761</v>
      </c>
      <c r="C114" s="1" t="s">
        <v>762</v>
      </c>
      <c r="D114" s="1" t="s">
        <v>1803</v>
      </c>
      <c r="E114" s="1" t="s">
        <v>1828</v>
      </c>
      <c r="F114" s="1">
        <v>0.13</v>
      </c>
      <c r="G114" s="1">
        <v>0</v>
      </c>
      <c r="H114" s="1">
        <v>2.3199999999999998</v>
      </c>
      <c r="I114" s="20" t="s">
        <v>684</v>
      </c>
      <c r="T114" s="1221" t="s">
        <v>2204</v>
      </c>
      <c r="U114" s="1217"/>
      <c r="V114" s="1216" t="s">
        <v>2205</v>
      </c>
      <c r="W114" s="1217"/>
      <c r="X114" s="248" t="s">
        <v>2793</v>
      </c>
      <c r="Y114" s="246"/>
      <c r="Z114" s="246"/>
      <c r="AI114" s="757"/>
      <c r="AJ114" s="195" t="s">
        <v>2794</v>
      </c>
      <c r="AK114" s="186" t="s">
        <v>1803</v>
      </c>
      <c r="AL114" s="747" t="s">
        <v>1924</v>
      </c>
      <c r="AM114" s="747" t="s">
        <v>515</v>
      </c>
      <c r="AN114" s="747" t="s">
        <v>1730</v>
      </c>
      <c r="AO114" s="186">
        <v>9.7500000000000003E-2</v>
      </c>
      <c r="AP114" s="186">
        <v>0</v>
      </c>
      <c r="AQ114" s="12">
        <v>2.3199999999999998</v>
      </c>
      <c r="AR114" s="11" t="s">
        <v>2790</v>
      </c>
      <c r="AS114" s="186" t="s">
        <v>1803</v>
      </c>
      <c r="AT114" s="747" t="s">
        <v>1924</v>
      </c>
      <c r="AU114" s="747" t="s">
        <v>515</v>
      </c>
      <c r="AV114" s="747" t="s">
        <v>1730</v>
      </c>
      <c r="AW114" s="186">
        <v>9.7500000000000003E-2</v>
      </c>
      <c r="AX114" s="186">
        <v>0</v>
      </c>
      <c r="AY114" s="12">
        <v>3</v>
      </c>
      <c r="AZ114" s="11" t="s">
        <v>1991</v>
      </c>
      <c r="BA114" s="186" t="s">
        <v>1992</v>
      </c>
      <c r="BB114" s="747" t="s">
        <v>1998</v>
      </c>
      <c r="BC114" s="747" t="s">
        <v>515</v>
      </c>
      <c r="BD114" s="747" t="s">
        <v>1730</v>
      </c>
      <c r="BE114" s="186">
        <v>0.52500000000000002</v>
      </c>
      <c r="BF114" s="186">
        <v>6.7500000000000004E-2</v>
      </c>
      <c r="BG114" s="12">
        <v>2.58</v>
      </c>
      <c r="BH114" s="11" t="s">
        <v>2056</v>
      </c>
      <c r="BI114" s="186" t="s">
        <v>1710</v>
      </c>
      <c r="BJ114" s="747" t="s">
        <v>1494</v>
      </c>
      <c r="BK114" s="747" t="s">
        <v>254</v>
      </c>
      <c r="BL114" s="747" t="s">
        <v>1730</v>
      </c>
      <c r="BM114" s="186">
        <v>3.1500000000000007E-2</v>
      </c>
      <c r="BN114" s="186">
        <v>0</v>
      </c>
      <c r="BO114" s="12">
        <v>2.23</v>
      </c>
      <c r="BP114" s="11" t="s">
        <v>2087</v>
      </c>
      <c r="BQ114" s="186" t="s">
        <v>523</v>
      </c>
      <c r="BR114" s="747" t="s">
        <v>1520</v>
      </c>
      <c r="BS114" s="747" t="s">
        <v>1730</v>
      </c>
      <c r="BT114" s="747" t="s">
        <v>1730</v>
      </c>
      <c r="BU114" s="186">
        <v>7.4999999999999997E-2</v>
      </c>
      <c r="BV114" s="186">
        <v>0</v>
      </c>
      <c r="BW114" s="12">
        <v>1.37</v>
      </c>
    </row>
    <row r="115" spans="1:75" ht="12.75">
      <c r="A115" s="1" t="s">
        <v>771</v>
      </c>
      <c r="B115" s="1" t="s">
        <v>761</v>
      </c>
      <c r="C115" s="1" t="s">
        <v>762</v>
      </c>
      <c r="D115" s="1" t="s">
        <v>1803</v>
      </c>
      <c r="E115" s="1" t="s">
        <v>1829</v>
      </c>
      <c r="F115" s="1">
        <v>6.5000000000000002E-2</v>
      </c>
      <c r="G115" s="1">
        <v>0</v>
      </c>
      <c r="H115" s="1">
        <v>2.3199999999999998</v>
      </c>
      <c r="I115" s="20" t="s">
        <v>691</v>
      </c>
      <c r="J115" s="1" t="s">
        <v>692</v>
      </c>
      <c r="T115" s="1222" t="s">
        <v>512</v>
      </c>
      <c r="U115" s="1223"/>
      <c r="V115" s="1219" t="s">
        <v>2795</v>
      </c>
      <c r="W115" s="1220"/>
      <c r="X115" s="10">
        <v>2.3199999999999998</v>
      </c>
      <c r="AI115" s="757"/>
      <c r="AJ115" s="195" t="s">
        <v>2794</v>
      </c>
      <c r="AK115" s="186" t="s">
        <v>1803</v>
      </c>
      <c r="AL115" s="747" t="s">
        <v>1927</v>
      </c>
      <c r="AM115" s="747" t="s">
        <v>516</v>
      </c>
      <c r="AN115" s="747" t="s">
        <v>1730</v>
      </c>
      <c r="AO115" s="186">
        <v>6.5000000000000002E-2</v>
      </c>
      <c r="AP115" s="186">
        <v>0</v>
      </c>
      <c r="AQ115" s="12">
        <v>2.3199999999999998</v>
      </c>
      <c r="AR115" s="11" t="s">
        <v>2790</v>
      </c>
      <c r="AS115" s="186" t="s">
        <v>1803</v>
      </c>
      <c r="AT115" s="747" t="s">
        <v>1927</v>
      </c>
      <c r="AU115" s="747" t="s">
        <v>516</v>
      </c>
      <c r="AV115" s="747" t="s">
        <v>1730</v>
      </c>
      <c r="AW115" s="186">
        <v>6.5000000000000002E-2</v>
      </c>
      <c r="AX115" s="186">
        <v>0</v>
      </c>
      <c r="AY115" s="12">
        <v>3</v>
      </c>
      <c r="AZ115" s="11" t="s">
        <v>1991</v>
      </c>
      <c r="BA115" s="186" t="s">
        <v>1992</v>
      </c>
      <c r="BB115" s="747" t="s">
        <v>1999</v>
      </c>
      <c r="BC115" s="747" t="s">
        <v>516</v>
      </c>
      <c r="BD115" s="747" t="s">
        <v>1730</v>
      </c>
      <c r="BE115" s="186">
        <v>0.35</v>
      </c>
      <c r="BF115" s="186">
        <v>4.4999999999999998E-2</v>
      </c>
      <c r="BG115" s="12">
        <v>2.58</v>
      </c>
      <c r="BH115" s="11" t="s">
        <v>2056</v>
      </c>
      <c r="BI115" s="186" t="s">
        <v>1710</v>
      </c>
      <c r="BJ115" s="747" t="s">
        <v>1495</v>
      </c>
      <c r="BK115" s="747" t="s">
        <v>254</v>
      </c>
      <c r="BL115" s="747" t="s">
        <v>1730</v>
      </c>
      <c r="BM115" s="186">
        <v>3.1500000000000007E-2</v>
      </c>
      <c r="BN115" s="186">
        <v>0</v>
      </c>
      <c r="BO115" s="12">
        <v>2.23</v>
      </c>
      <c r="BP115" s="11" t="s">
        <v>2087</v>
      </c>
      <c r="BQ115" s="183" t="s">
        <v>523</v>
      </c>
      <c r="BR115" s="23" t="s">
        <v>1521</v>
      </c>
      <c r="BS115" s="23" t="s">
        <v>1730</v>
      </c>
      <c r="BT115" s="23" t="s">
        <v>1730</v>
      </c>
      <c r="BU115" s="183">
        <v>3.7499999999999999E-2</v>
      </c>
      <c r="BV115" s="183">
        <v>0</v>
      </c>
      <c r="BW115" s="249">
        <v>1.37</v>
      </c>
    </row>
    <row r="116" spans="1:75" ht="12.75">
      <c r="A116" s="1" t="s">
        <v>772</v>
      </c>
      <c r="B116" s="1" t="s">
        <v>761</v>
      </c>
      <c r="C116" s="1" t="s">
        <v>762</v>
      </c>
      <c r="D116" s="1" t="s">
        <v>1803</v>
      </c>
      <c r="E116" s="1" t="s">
        <v>1921</v>
      </c>
      <c r="F116" s="1">
        <v>9.7500000000000003E-2</v>
      </c>
      <c r="G116" s="1">
        <v>0</v>
      </c>
      <c r="H116" s="1">
        <v>2.3199999999999998</v>
      </c>
      <c r="I116" s="20" t="s">
        <v>684</v>
      </c>
      <c r="J116" s="1" t="s">
        <v>515</v>
      </c>
      <c r="T116" s="1204" t="s">
        <v>637</v>
      </c>
      <c r="U116" s="1205"/>
      <c r="V116" s="1212" t="s">
        <v>2796</v>
      </c>
      <c r="W116" s="1213"/>
      <c r="X116" s="12">
        <v>2.58</v>
      </c>
      <c r="AI116" s="757"/>
      <c r="AJ116" s="195" t="s">
        <v>2711</v>
      </c>
      <c r="AK116" s="186" t="s">
        <v>1803</v>
      </c>
      <c r="AL116" s="747" t="s">
        <v>1931</v>
      </c>
      <c r="AM116" s="747" t="s">
        <v>516</v>
      </c>
      <c r="AN116" s="747" t="s">
        <v>1730</v>
      </c>
      <c r="AO116" s="186">
        <v>6.5000000000000002E-2</v>
      </c>
      <c r="AP116" s="186">
        <v>0</v>
      </c>
      <c r="AQ116" s="12">
        <v>2.3199999999999998</v>
      </c>
      <c r="AR116" s="11" t="s">
        <v>2712</v>
      </c>
      <c r="AS116" s="186" t="s">
        <v>1803</v>
      </c>
      <c r="AT116" s="747" t="s">
        <v>1931</v>
      </c>
      <c r="AU116" s="747" t="s">
        <v>516</v>
      </c>
      <c r="AV116" s="747" t="s">
        <v>1730</v>
      </c>
      <c r="AW116" s="186">
        <v>6.5000000000000002E-2</v>
      </c>
      <c r="AX116" s="186">
        <v>0</v>
      </c>
      <c r="AY116" s="12">
        <v>3</v>
      </c>
      <c r="AZ116" s="11" t="s">
        <v>1991</v>
      </c>
      <c r="BA116" s="186" t="s">
        <v>1992</v>
      </c>
      <c r="BB116" s="747" t="s">
        <v>2000</v>
      </c>
      <c r="BC116" s="747" t="s">
        <v>516</v>
      </c>
      <c r="BD116" s="747" t="s">
        <v>1730</v>
      </c>
      <c r="BE116" s="186">
        <v>0.35</v>
      </c>
      <c r="BF116" s="186">
        <v>4.4999999999999998E-2</v>
      </c>
      <c r="BG116" s="12">
        <v>2.58</v>
      </c>
      <c r="BH116" s="11" t="s">
        <v>2056</v>
      </c>
      <c r="BI116" s="186" t="s">
        <v>523</v>
      </c>
      <c r="BJ116" s="747" t="s">
        <v>1496</v>
      </c>
      <c r="BK116" s="747" t="s">
        <v>1730</v>
      </c>
      <c r="BL116" s="747" t="s">
        <v>1730</v>
      </c>
      <c r="BM116" s="186">
        <v>3.5000000000000003E-2</v>
      </c>
      <c r="BN116" s="186">
        <v>0</v>
      </c>
      <c r="BO116" s="12">
        <v>2.23</v>
      </c>
      <c r="BP116" s="11" t="s">
        <v>2087</v>
      </c>
      <c r="BQ116" s="183" t="s">
        <v>523</v>
      </c>
      <c r="BR116" s="23" t="s">
        <v>1522</v>
      </c>
      <c r="BS116" s="23" t="s">
        <v>519</v>
      </c>
      <c r="BT116" s="23" t="s">
        <v>1730</v>
      </c>
      <c r="BU116" s="183">
        <v>3.7499999999999999E-2</v>
      </c>
      <c r="BV116" s="183">
        <v>0</v>
      </c>
      <c r="BW116" s="249">
        <v>1.37</v>
      </c>
    </row>
    <row r="117" spans="1:75" ht="12.75">
      <c r="A117" s="1" t="s">
        <v>773</v>
      </c>
      <c r="B117" s="1" t="s">
        <v>761</v>
      </c>
      <c r="C117" s="1" t="s">
        <v>762</v>
      </c>
      <c r="D117" s="1" t="s">
        <v>1803</v>
      </c>
      <c r="E117" s="1" t="s">
        <v>1924</v>
      </c>
      <c r="F117" s="1">
        <v>9.7500000000000003E-2</v>
      </c>
      <c r="G117" s="1">
        <v>0</v>
      </c>
      <c r="H117" s="1">
        <v>2.3199999999999998</v>
      </c>
      <c r="I117" s="20" t="s">
        <v>691</v>
      </c>
      <c r="J117" s="1" t="s">
        <v>697</v>
      </c>
      <c r="T117" s="1206" t="s">
        <v>2797</v>
      </c>
      <c r="U117" s="1207"/>
      <c r="V117" s="1208" t="s">
        <v>2798</v>
      </c>
      <c r="W117" s="1208"/>
      <c r="X117" s="12">
        <v>3</v>
      </c>
      <c r="AI117" s="757"/>
      <c r="AJ117" s="195" t="s">
        <v>2794</v>
      </c>
      <c r="AK117" s="186" t="s">
        <v>1803</v>
      </c>
      <c r="AL117" s="747" t="s">
        <v>1935</v>
      </c>
      <c r="AM117" s="747" t="s">
        <v>517</v>
      </c>
      <c r="AN117" s="747" t="s">
        <v>1730</v>
      </c>
      <c r="AO117" s="186">
        <v>3.2500000000000001E-2</v>
      </c>
      <c r="AP117" s="186">
        <v>0</v>
      </c>
      <c r="AQ117" s="12">
        <v>2.3199999999999998</v>
      </c>
      <c r="AR117" s="11" t="s">
        <v>2790</v>
      </c>
      <c r="AS117" s="186" t="s">
        <v>1803</v>
      </c>
      <c r="AT117" s="747" t="s">
        <v>1935</v>
      </c>
      <c r="AU117" s="747" t="s">
        <v>517</v>
      </c>
      <c r="AV117" s="747" t="s">
        <v>1730</v>
      </c>
      <c r="AW117" s="186">
        <v>3.2500000000000001E-2</v>
      </c>
      <c r="AX117" s="186">
        <v>0</v>
      </c>
      <c r="AY117" s="12">
        <v>3</v>
      </c>
      <c r="AZ117" s="11" t="s">
        <v>1991</v>
      </c>
      <c r="BA117" s="186" t="s">
        <v>1992</v>
      </c>
      <c r="BB117" s="747" t="s">
        <v>2001</v>
      </c>
      <c r="BC117" s="747" t="s">
        <v>517</v>
      </c>
      <c r="BD117" s="747" t="s">
        <v>1730</v>
      </c>
      <c r="BE117" s="186">
        <v>0.17499999999999999</v>
      </c>
      <c r="BF117" s="186">
        <v>2.2499999999999999E-2</v>
      </c>
      <c r="BG117" s="12">
        <v>2.58</v>
      </c>
      <c r="BH117" s="11" t="s">
        <v>2056</v>
      </c>
      <c r="BI117" s="186" t="s">
        <v>523</v>
      </c>
      <c r="BJ117" s="747" t="s">
        <v>1497</v>
      </c>
      <c r="BK117" s="747" t="s">
        <v>1730</v>
      </c>
      <c r="BL117" s="747" t="s">
        <v>1730</v>
      </c>
      <c r="BM117" s="186">
        <v>1.7500000000000002E-2</v>
      </c>
      <c r="BN117" s="186">
        <v>0</v>
      </c>
      <c r="BO117" s="12">
        <v>2.23</v>
      </c>
      <c r="BP117" s="11" t="s">
        <v>2087</v>
      </c>
      <c r="BQ117" s="183" t="s">
        <v>523</v>
      </c>
      <c r="BR117" s="23" t="s">
        <v>1523</v>
      </c>
      <c r="BS117" s="23" t="s">
        <v>519</v>
      </c>
      <c r="BT117" s="23" t="s">
        <v>1730</v>
      </c>
      <c r="BU117" s="183">
        <v>3.7499999999999999E-2</v>
      </c>
      <c r="BV117" s="183">
        <v>0</v>
      </c>
      <c r="BW117" s="249">
        <v>1.37</v>
      </c>
    </row>
    <row r="118" spans="1:75" ht="13.5">
      <c r="A118" s="1" t="s">
        <v>774</v>
      </c>
      <c r="B118" s="1" t="s">
        <v>761</v>
      </c>
      <c r="C118" s="1" t="s">
        <v>762</v>
      </c>
      <c r="D118" s="1" t="s">
        <v>1803</v>
      </c>
      <c r="E118" s="1" t="s">
        <v>1927</v>
      </c>
      <c r="F118" s="1">
        <v>6.5000000000000002E-2</v>
      </c>
      <c r="G118" s="1">
        <v>0</v>
      </c>
      <c r="H118" s="1">
        <v>2.3199999999999998</v>
      </c>
      <c r="I118" s="20" t="s">
        <v>684</v>
      </c>
      <c r="J118" s="1" t="s">
        <v>516</v>
      </c>
      <c r="T118" s="1206" t="s">
        <v>2799</v>
      </c>
      <c r="U118" s="1207"/>
      <c r="V118" s="1208" t="s">
        <v>2800</v>
      </c>
      <c r="W118" s="1208"/>
      <c r="X118" s="12">
        <v>2.23</v>
      </c>
      <c r="AI118" s="757"/>
      <c r="AJ118" s="195" t="s">
        <v>2801</v>
      </c>
      <c r="AK118" s="186" t="s">
        <v>1803</v>
      </c>
      <c r="AL118" s="747" t="s">
        <v>1939</v>
      </c>
      <c r="AM118" s="747" t="s">
        <v>517</v>
      </c>
      <c r="AN118" s="747" t="s">
        <v>1730</v>
      </c>
      <c r="AO118" s="186">
        <v>3.2500000000000001E-2</v>
      </c>
      <c r="AP118" s="186">
        <v>0</v>
      </c>
      <c r="AQ118" s="12">
        <v>2.3199999999999998</v>
      </c>
      <c r="AR118" s="11" t="s">
        <v>2802</v>
      </c>
      <c r="AS118" s="186" t="s">
        <v>1803</v>
      </c>
      <c r="AT118" s="747" t="s">
        <v>1939</v>
      </c>
      <c r="AU118" s="747" t="s">
        <v>517</v>
      </c>
      <c r="AV118" s="747" t="s">
        <v>1730</v>
      </c>
      <c r="AW118" s="186">
        <v>3.2500000000000001E-2</v>
      </c>
      <c r="AX118" s="186">
        <v>0</v>
      </c>
      <c r="AY118" s="12">
        <v>3</v>
      </c>
      <c r="AZ118" s="11" t="s">
        <v>1991</v>
      </c>
      <c r="BA118" s="186" t="s">
        <v>1992</v>
      </c>
      <c r="BB118" s="747" t="s">
        <v>2002</v>
      </c>
      <c r="BC118" s="747" t="s">
        <v>517</v>
      </c>
      <c r="BD118" s="747" t="s">
        <v>1730</v>
      </c>
      <c r="BE118" s="186">
        <v>0.17499999999999999</v>
      </c>
      <c r="BF118" s="186">
        <v>2.2499999999999999E-2</v>
      </c>
      <c r="BG118" s="12">
        <v>2.58</v>
      </c>
      <c r="BH118" s="11" t="s">
        <v>2056</v>
      </c>
      <c r="BI118" s="186" t="s">
        <v>523</v>
      </c>
      <c r="BJ118" s="747" t="s">
        <v>1498</v>
      </c>
      <c r="BK118" s="747" t="s">
        <v>519</v>
      </c>
      <c r="BL118" s="747" t="s">
        <v>1730</v>
      </c>
      <c r="BM118" s="186">
        <v>1.7500000000000002E-2</v>
      </c>
      <c r="BN118" s="186">
        <v>0</v>
      </c>
      <c r="BO118" s="12">
        <v>2.23</v>
      </c>
      <c r="BP118" s="11" t="s">
        <v>2087</v>
      </c>
      <c r="BQ118" s="183" t="s">
        <v>523</v>
      </c>
      <c r="BR118" s="23" t="s">
        <v>1524</v>
      </c>
      <c r="BS118" s="23" t="s">
        <v>520</v>
      </c>
      <c r="BT118" s="23" t="s">
        <v>1730</v>
      </c>
      <c r="BU118" s="183">
        <v>1.8749999999999999E-2</v>
      </c>
      <c r="BV118" s="183">
        <v>0</v>
      </c>
      <c r="BW118" s="249">
        <v>1.37</v>
      </c>
    </row>
    <row r="119" spans="1:75" ht="12.75">
      <c r="A119" s="1" t="s">
        <v>775</v>
      </c>
      <c r="B119" s="1" t="s">
        <v>761</v>
      </c>
      <c r="C119" s="1" t="s">
        <v>762</v>
      </c>
      <c r="D119" s="1" t="s">
        <v>1803</v>
      </c>
      <c r="E119" s="1" t="s">
        <v>1931</v>
      </c>
      <c r="F119" s="1">
        <v>6.5000000000000002E-2</v>
      </c>
      <c r="G119" s="1">
        <v>0</v>
      </c>
      <c r="H119" s="1">
        <v>2.3199999999999998</v>
      </c>
      <c r="I119" s="20" t="s">
        <v>691</v>
      </c>
      <c r="J119" s="1" t="s">
        <v>700</v>
      </c>
      <c r="T119" s="1206" t="s">
        <v>2206</v>
      </c>
      <c r="U119" s="1207"/>
      <c r="V119" s="1208" t="s">
        <v>2803</v>
      </c>
      <c r="W119" s="1208"/>
      <c r="X119" s="12">
        <v>0</v>
      </c>
      <c r="Y119" s="250"/>
      <c r="AI119" s="757"/>
      <c r="AJ119" s="195" t="s">
        <v>2801</v>
      </c>
      <c r="AK119" s="186" t="s">
        <v>1710</v>
      </c>
      <c r="AL119" s="747" t="s">
        <v>1944</v>
      </c>
      <c r="AM119" s="747" t="s">
        <v>1730</v>
      </c>
      <c r="AN119" s="693" t="s">
        <v>1730</v>
      </c>
      <c r="AO119" s="186">
        <v>7.0000000000000007E-2</v>
      </c>
      <c r="AP119" s="186">
        <v>0</v>
      </c>
      <c r="AQ119" s="12">
        <v>2.3199999999999998</v>
      </c>
      <c r="AR119" s="11" t="s">
        <v>2790</v>
      </c>
      <c r="AS119" s="186" t="s">
        <v>1710</v>
      </c>
      <c r="AT119" s="747" t="s">
        <v>1944</v>
      </c>
      <c r="AU119" s="747" t="s">
        <v>1730</v>
      </c>
      <c r="AV119" s="693" t="s">
        <v>1730</v>
      </c>
      <c r="AW119" s="186">
        <v>7.0000000000000007E-2</v>
      </c>
      <c r="AX119" s="186">
        <v>0</v>
      </c>
      <c r="AY119" s="12">
        <v>3</v>
      </c>
      <c r="AZ119" s="11" t="s">
        <v>1991</v>
      </c>
      <c r="BA119" s="186" t="s">
        <v>1992</v>
      </c>
      <c r="BB119" s="747" t="s">
        <v>2003</v>
      </c>
      <c r="BC119" s="747" t="s">
        <v>515</v>
      </c>
      <c r="BD119" s="747" t="s">
        <v>1730</v>
      </c>
      <c r="BE119" s="186">
        <v>0.52500000000000002</v>
      </c>
      <c r="BF119" s="186">
        <v>6.7500000000000004E-2</v>
      </c>
      <c r="BG119" s="12">
        <v>2.58</v>
      </c>
      <c r="BH119" s="11" t="s">
        <v>2056</v>
      </c>
      <c r="BI119" s="186" t="s">
        <v>523</v>
      </c>
      <c r="BJ119" s="747" t="s">
        <v>1499</v>
      </c>
      <c r="BK119" s="747" t="s">
        <v>519</v>
      </c>
      <c r="BL119" s="747" t="s">
        <v>1730</v>
      </c>
      <c r="BM119" s="186">
        <v>1.7500000000000002E-2</v>
      </c>
      <c r="BN119" s="186">
        <v>0</v>
      </c>
      <c r="BO119" s="12">
        <v>2.23</v>
      </c>
      <c r="BP119" s="11" t="s">
        <v>2087</v>
      </c>
      <c r="BQ119" s="183" t="s">
        <v>523</v>
      </c>
      <c r="BR119" s="23" t="s">
        <v>1525</v>
      </c>
      <c r="BS119" s="23" t="s">
        <v>520</v>
      </c>
      <c r="BT119" s="23" t="s">
        <v>1730</v>
      </c>
      <c r="BU119" s="183">
        <v>1.8749999999999999E-2</v>
      </c>
      <c r="BV119" s="183">
        <v>0</v>
      </c>
      <c r="BW119" s="249">
        <v>1.37</v>
      </c>
    </row>
    <row r="120" spans="1:75" ht="13.5" thickBot="1">
      <c r="A120" s="1" t="s">
        <v>776</v>
      </c>
      <c r="B120" s="1" t="s">
        <v>761</v>
      </c>
      <c r="C120" s="1" t="s">
        <v>762</v>
      </c>
      <c r="D120" s="1" t="s">
        <v>1803</v>
      </c>
      <c r="E120" s="1" t="s">
        <v>1935</v>
      </c>
      <c r="F120" s="1">
        <v>3.2500000000000001E-2</v>
      </c>
      <c r="G120" s="1">
        <v>0</v>
      </c>
      <c r="H120" s="1">
        <v>2.3199999999999998</v>
      </c>
      <c r="I120" s="20" t="s">
        <v>684</v>
      </c>
      <c r="J120" s="1" t="s">
        <v>517</v>
      </c>
      <c r="T120" s="1202" t="s">
        <v>2804</v>
      </c>
      <c r="U120" s="1203"/>
      <c r="V120" s="1199" t="s">
        <v>2798</v>
      </c>
      <c r="W120" s="1199"/>
      <c r="X120" s="14">
        <v>1.37</v>
      </c>
      <c r="AI120" s="757"/>
      <c r="AJ120" s="195" t="s">
        <v>2801</v>
      </c>
      <c r="AK120" s="186" t="s">
        <v>1710</v>
      </c>
      <c r="AL120" s="747" t="s">
        <v>1945</v>
      </c>
      <c r="AM120" s="747" t="s">
        <v>1730</v>
      </c>
      <c r="AN120" s="693" t="s">
        <v>1730</v>
      </c>
      <c r="AO120" s="186">
        <v>3.5000000000000003E-2</v>
      </c>
      <c r="AP120" s="186">
        <v>0</v>
      </c>
      <c r="AQ120" s="12">
        <v>2.3199999999999998</v>
      </c>
      <c r="AR120" s="11" t="s">
        <v>2790</v>
      </c>
      <c r="AS120" s="186" t="s">
        <v>1710</v>
      </c>
      <c r="AT120" s="747" t="s">
        <v>1945</v>
      </c>
      <c r="AU120" s="747" t="s">
        <v>1730</v>
      </c>
      <c r="AV120" s="693" t="s">
        <v>1730</v>
      </c>
      <c r="AW120" s="186">
        <v>3.5000000000000003E-2</v>
      </c>
      <c r="AX120" s="186">
        <v>0</v>
      </c>
      <c r="AY120" s="12">
        <v>3</v>
      </c>
      <c r="AZ120" s="11" t="s">
        <v>1991</v>
      </c>
      <c r="BA120" s="186" t="s">
        <v>1992</v>
      </c>
      <c r="BB120" s="747" t="s">
        <v>2004</v>
      </c>
      <c r="BC120" s="747" t="s">
        <v>515</v>
      </c>
      <c r="BD120" s="747" t="s">
        <v>1730</v>
      </c>
      <c r="BE120" s="186">
        <v>0.52500000000000002</v>
      </c>
      <c r="BF120" s="186">
        <v>6.7500000000000004E-2</v>
      </c>
      <c r="BG120" s="12">
        <v>2.58</v>
      </c>
      <c r="BH120" s="11" t="s">
        <v>2056</v>
      </c>
      <c r="BI120" s="186" t="s">
        <v>523</v>
      </c>
      <c r="BJ120" s="747" t="s">
        <v>1500</v>
      </c>
      <c r="BK120" s="747" t="s">
        <v>520</v>
      </c>
      <c r="BL120" s="747" t="s">
        <v>1730</v>
      </c>
      <c r="BM120" s="186">
        <v>8.7500000000000008E-3</v>
      </c>
      <c r="BN120" s="186">
        <v>0</v>
      </c>
      <c r="BO120" s="12">
        <v>2.23</v>
      </c>
      <c r="BP120" s="11" t="s">
        <v>2087</v>
      </c>
      <c r="BQ120" s="183" t="s">
        <v>523</v>
      </c>
      <c r="BR120" s="23" t="s">
        <v>1230</v>
      </c>
      <c r="BS120" s="23" t="s">
        <v>1171</v>
      </c>
      <c r="BT120" s="23" t="s">
        <v>1730</v>
      </c>
      <c r="BU120" s="183">
        <v>6.7500000000000004E-2</v>
      </c>
      <c r="BV120" s="183">
        <v>0</v>
      </c>
      <c r="BW120" s="249">
        <v>1.37</v>
      </c>
    </row>
    <row r="121" spans="1:75">
      <c r="A121" s="1" t="s">
        <v>777</v>
      </c>
      <c r="B121" s="1" t="s">
        <v>761</v>
      </c>
      <c r="C121" s="1" t="s">
        <v>762</v>
      </c>
      <c r="D121" s="1" t="s">
        <v>1803</v>
      </c>
      <c r="E121" s="1" t="s">
        <v>1939</v>
      </c>
      <c r="F121" s="1">
        <v>3.2500000000000001E-2</v>
      </c>
      <c r="G121" s="1">
        <v>0</v>
      </c>
      <c r="H121" s="1">
        <v>2.3199999999999998</v>
      </c>
      <c r="I121" s="20" t="s">
        <v>691</v>
      </c>
      <c r="J121" s="1" t="s">
        <v>703</v>
      </c>
      <c r="AI121" s="757"/>
      <c r="AJ121" s="195" t="s">
        <v>2794</v>
      </c>
      <c r="AK121" s="186" t="s">
        <v>1710</v>
      </c>
      <c r="AL121" s="747" t="s">
        <v>1948</v>
      </c>
      <c r="AM121" s="747" t="s">
        <v>519</v>
      </c>
      <c r="AN121" s="693" t="s">
        <v>1730</v>
      </c>
      <c r="AO121" s="186">
        <v>3.5000000000000003E-2</v>
      </c>
      <c r="AP121" s="186">
        <v>0</v>
      </c>
      <c r="AQ121" s="12">
        <v>2.3199999999999998</v>
      </c>
      <c r="AR121" s="11" t="s">
        <v>2790</v>
      </c>
      <c r="AS121" s="186" t="s">
        <v>1710</v>
      </c>
      <c r="AT121" s="747" t="s">
        <v>1946</v>
      </c>
      <c r="AU121" s="747" t="s">
        <v>518</v>
      </c>
      <c r="AV121" s="693" t="s">
        <v>1730</v>
      </c>
      <c r="AW121" s="186">
        <v>6.3000000000000014E-2</v>
      </c>
      <c r="AX121" s="186">
        <v>0</v>
      </c>
      <c r="AY121" s="12">
        <v>3</v>
      </c>
      <c r="AZ121" s="11" t="s">
        <v>1991</v>
      </c>
      <c r="BA121" s="186" t="s">
        <v>1992</v>
      </c>
      <c r="BB121" s="747" t="s">
        <v>2005</v>
      </c>
      <c r="BC121" s="747" t="s">
        <v>516</v>
      </c>
      <c r="BD121" s="747" t="s">
        <v>1730</v>
      </c>
      <c r="BE121" s="186">
        <v>0.35</v>
      </c>
      <c r="BF121" s="186">
        <v>4.4999999999999998E-2</v>
      </c>
      <c r="BG121" s="12">
        <v>2.58</v>
      </c>
      <c r="BH121" s="11" t="s">
        <v>2056</v>
      </c>
      <c r="BI121" s="186" t="s">
        <v>523</v>
      </c>
      <c r="BJ121" s="747" t="s">
        <v>1501</v>
      </c>
      <c r="BK121" s="747" t="s">
        <v>520</v>
      </c>
      <c r="BL121" s="747" t="s">
        <v>1730</v>
      </c>
      <c r="BM121" s="186">
        <v>8.7500000000000008E-3</v>
      </c>
      <c r="BN121" s="186">
        <v>0</v>
      </c>
      <c r="BO121" s="12">
        <v>2.23</v>
      </c>
      <c r="BP121" s="11" t="s">
        <v>2087</v>
      </c>
      <c r="BQ121" s="183" t="s">
        <v>523</v>
      </c>
      <c r="BR121" s="23" t="s">
        <v>1231</v>
      </c>
      <c r="BS121" s="23" t="s">
        <v>1171</v>
      </c>
      <c r="BT121" s="23" t="s">
        <v>1730</v>
      </c>
      <c r="BU121" s="183">
        <v>6.7500000000000004E-2</v>
      </c>
      <c r="BV121" s="183">
        <v>0</v>
      </c>
      <c r="BW121" s="249">
        <v>1.37</v>
      </c>
    </row>
    <row r="122" spans="1:75">
      <c r="A122" s="1" t="s">
        <v>778</v>
      </c>
      <c r="B122" s="1" t="s">
        <v>761</v>
      </c>
      <c r="C122" s="1" t="s">
        <v>762</v>
      </c>
      <c r="D122" s="1" t="s">
        <v>1710</v>
      </c>
      <c r="E122" s="1" t="s">
        <v>1944</v>
      </c>
      <c r="F122" s="1">
        <v>7.0000000000000007E-2</v>
      </c>
      <c r="G122" s="1">
        <v>0</v>
      </c>
      <c r="H122" s="1">
        <v>2.3199999999999998</v>
      </c>
      <c r="I122" s="20" t="s">
        <v>684</v>
      </c>
      <c r="AI122" s="757"/>
      <c r="AJ122" s="195" t="s">
        <v>2794</v>
      </c>
      <c r="AK122" s="186" t="s">
        <v>1710</v>
      </c>
      <c r="AL122" s="747" t="s">
        <v>1949</v>
      </c>
      <c r="AM122" s="747" t="s">
        <v>519</v>
      </c>
      <c r="AN122" s="693" t="s">
        <v>1730</v>
      </c>
      <c r="AO122" s="186">
        <v>3.5000000000000003E-2</v>
      </c>
      <c r="AP122" s="186">
        <v>0</v>
      </c>
      <c r="AQ122" s="12">
        <v>2.3199999999999998</v>
      </c>
      <c r="AR122" s="11" t="s">
        <v>2790</v>
      </c>
      <c r="AS122" s="186" t="s">
        <v>1710</v>
      </c>
      <c r="AT122" s="747" t="s">
        <v>1947</v>
      </c>
      <c r="AU122" s="747" t="s">
        <v>518</v>
      </c>
      <c r="AV122" s="693" t="s">
        <v>1730</v>
      </c>
      <c r="AW122" s="186">
        <v>6.3000000000000014E-2</v>
      </c>
      <c r="AX122" s="186">
        <v>0</v>
      </c>
      <c r="AY122" s="12">
        <v>3</v>
      </c>
      <c r="AZ122" s="11" t="s">
        <v>1991</v>
      </c>
      <c r="BA122" s="186" t="s">
        <v>1992</v>
      </c>
      <c r="BB122" s="747" t="s">
        <v>2006</v>
      </c>
      <c r="BC122" s="747" t="s">
        <v>516</v>
      </c>
      <c r="BD122" s="747" t="s">
        <v>1730</v>
      </c>
      <c r="BE122" s="186">
        <v>0.35</v>
      </c>
      <c r="BF122" s="186">
        <v>4.4999999999999998E-2</v>
      </c>
      <c r="BG122" s="12">
        <v>2.58</v>
      </c>
      <c r="BH122" s="11" t="s">
        <v>2056</v>
      </c>
      <c r="BI122" s="186" t="s">
        <v>523</v>
      </c>
      <c r="BJ122" s="747" t="s">
        <v>1222</v>
      </c>
      <c r="BK122" s="747" t="s">
        <v>1171</v>
      </c>
      <c r="BL122" s="747" t="s">
        <v>1730</v>
      </c>
      <c r="BM122" s="186">
        <v>3.15E-2</v>
      </c>
      <c r="BN122" s="186">
        <v>0</v>
      </c>
      <c r="BO122" s="12">
        <v>2.23</v>
      </c>
      <c r="BP122" s="685" t="s">
        <v>2087</v>
      </c>
      <c r="BQ122" s="690" t="s">
        <v>2496</v>
      </c>
      <c r="BR122" s="691" t="s">
        <v>2553</v>
      </c>
      <c r="BS122" s="691" t="s">
        <v>1730</v>
      </c>
      <c r="BT122" s="691" t="s">
        <v>1730</v>
      </c>
      <c r="BU122" s="690">
        <v>0.12</v>
      </c>
      <c r="BV122" s="690">
        <v>0</v>
      </c>
      <c r="BW122" s="692">
        <v>1.37</v>
      </c>
    </row>
    <row r="123" spans="1:75">
      <c r="A123" s="1" t="s">
        <v>779</v>
      </c>
      <c r="B123" s="1" t="s">
        <v>761</v>
      </c>
      <c r="C123" s="1" t="s">
        <v>762</v>
      </c>
      <c r="D123" s="1" t="s">
        <v>1710</v>
      </c>
      <c r="E123" s="1" t="s">
        <v>1945</v>
      </c>
      <c r="F123" s="1">
        <v>3.5000000000000003E-2</v>
      </c>
      <c r="G123" s="1">
        <v>0</v>
      </c>
      <c r="H123" s="1">
        <v>2.3199999999999998</v>
      </c>
      <c r="I123" s="20" t="s">
        <v>691</v>
      </c>
      <c r="J123" s="1" t="s">
        <v>692</v>
      </c>
      <c r="AI123" s="757"/>
      <c r="AJ123" s="195" t="s">
        <v>2801</v>
      </c>
      <c r="AK123" s="186" t="s">
        <v>1710</v>
      </c>
      <c r="AL123" s="747" t="s">
        <v>1950</v>
      </c>
      <c r="AM123" s="747" t="s">
        <v>520</v>
      </c>
      <c r="AN123" s="693" t="s">
        <v>1730</v>
      </c>
      <c r="AO123" s="186">
        <v>1.7500000000000002E-2</v>
      </c>
      <c r="AP123" s="186">
        <v>0</v>
      </c>
      <c r="AQ123" s="12">
        <v>2.3199999999999998</v>
      </c>
      <c r="AR123" s="11" t="s">
        <v>2790</v>
      </c>
      <c r="AS123" s="186" t="s">
        <v>1710</v>
      </c>
      <c r="AT123" s="747" t="s">
        <v>1948</v>
      </c>
      <c r="AU123" s="747" t="s">
        <v>519</v>
      </c>
      <c r="AV123" s="693" t="s">
        <v>1730</v>
      </c>
      <c r="AW123" s="186">
        <v>3.5000000000000003E-2</v>
      </c>
      <c r="AX123" s="186">
        <v>0</v>
      </c>
      <c r="AY123" s="12">
        <v>3</v>
      </c>
      <c r="AZ123" s="11" t="s">
        <v>1991</v>
      </c>
      <c r="BA123" s="186" t="s">
        <v>1992</v>
      </c>
      <c r="BB123" s="747" t="s">
        <v>2007</v>
      </c>
      <c r="BC123" s="747" t="s">
        <v>517</v>
      </c>
      <c r="BD123" s="747" t="s">
        <v>1730</v>
      </c>
      <c r="BE123" s="186">
        <v>0.17499999999999999</v>
      </c>
      <c r="BF123" s="186">
        <v>2.2499999999999999E-2</v>
      </c>
      <c r="BG123" s="12">
        <v>2.58</v>
      </c>
      <c r="BH123" s="11" t="s">
        <v>2056</v>
      </c>
      <c r="BI123" s="186" t="s">
        <v>523</v>
      </c>
      <c r="BJ123" s="747" t="s">
        <v>1223</v>
      </c>
      <c r="BK123" s="747" t="s">
        <v>1171</v>
      </c>
      <c r="BL123" s="747" t="s">
        <v>1730</v>
      </c>
      <c r="BM123" s="186">
        <v>3.15E-2</v>
      </c>
      <c r="BN123" s="186">
        <v>0</v>
      </c>
      <c r="BO123" s="12">
        <v>2.23</v>
      </c>
      <c r="BP123" s="685" t="s">
        <v>2087</v>
      </c>
      <c r="BQ123" s="690" t="s">
        <v>2496</v>
      </c>
      <c r="BR123" s="691" t="s">
        <v>2554</v>
      </c>
      <c r="BS123" s="691" t="s">
        <v>1730</v>
      </c>
      <c r="BT123" s="691" t="s">
        <v>1730</v>
      </c>
      <c r="BU123" s="690">
        <v>0.06</v>
      </c>
      <c r="BV123" s="690">
        <v>0</v>
      </c>
      <c r="BW123" s="692">
        <v>1.37</v>
      </c>
    </row>
    <row r="124" spans="1:75">
      <c r="A124" s="1" t="s">
        <v>780</v>
      </c>
      <c r="B124" s="1" t="s">
        <v>761</v>
      </c>
      <c r="C124" s="1" t="s">
        <v>762</v>
      </c>
      <c r="D124" s="1" t="s">
        <v>1710</v>
      </c>
      <c r="E124" s="1" t="s">
        <v>1946</v>
      </c>
      <c r="F124" s="1">
        <v>6.3000000000000014E-2</v>
      </c>
      <c r="G124" s="1">
        <v>0</v>
      </c>
      <c r="H124" s="1">
        <v>2.3199999999999998</v>
      </c>
      <c r="I124" s="20" t="s">
        <v>691</v>
      </c>
      <c r="J124" s="1" t="s">
        <v>697</v>
      </c>
      <c r="AI124" s="757"/>
      <c r="AJ124" s="186" t="s">
        <v>2801</v>
      </c>
      <c r="AK124" s="186" t="s">
        <v>1710</v>
      </c>
      <c r="AL124" s="747" t="s">
        <v>1951</v>
      </c>
      <c r="AM124" s="747" t="s">
        <v>520</v>
      </c>
      <c r="AN124" s="693" t="s">
        <v>1730</v>
      </c>
      <c r="AO124" s="186">
        <v>1.7500000000000002E-2</v>
      </c>
      <c r="AP124" s="186">
        <v>0</v>
      </c>
      <c r="AQ124" s="12">
        <v>2.3199999999999998</v>
      </c>
      <c r="AR124" s="11" t="s">
        <v>2790</v>
      </c>
      <c r="AS124" s="186" t="s">
        <v>1710</v>
      </c>
      <c r="AT124" s="747" t="s">
        <v>1949</v>
      </c>
      <c r="AU124" s="747" t="s">
        <v>519</v>
      </c>
      <c r="AV124" s="693" t="s">
        <v>1730</v>
      </c>
      <c r="AW124" s="186">
        <v>3.5000000000000003E-2</v>
      </c>
      <c r="AX124" s="186">
        <v>0</v>
      </c>
      <c r="AY124" s="12">
        <v>3</v>
      </c>
      <c r="AZ124" s="11" t="s">
        <v>1991</v>
      </c>
      <c r="BA124" s="186" t="s">
        <v>1992</v>
      </c>
      <c r="BB124" s="747" t="s">
        <v>2008</v>
      </c>
      <c r="BC124" s="747" t="s">
        <v>517</v>
      </c>
      <c r="BD124" s="747" t="s">
        <v>1730</v>
      </c>
      <c r="BE124" s="186">
        <v>0.17499999999999999</v>
      </c>
      <c r="BF124" s="186">
        <v>2.2499999999999999E-2</v>
      </c>
      <c r="BG124" s="12">
        <v>2.58</v>
      </c>
      <c r="BH124" s="758" t="s">
        <v>2794</v>
      </c>
      <c r="BI124" s="759" t="s">
        <v>1710</v>
      </c>
      <c r="BJ124" s="760" t="s">
        <v>1949</v>
      </c>
      <c r="BK124" s="760" t="s">
        <v>519</v>
      </c>
      <c r="BL124" s="760" t="s">
        <v>1730</v>
      </c>
      <c r="BM124" s="759">
        <v>1.7500000000000002E-2</v>
      </c>
      <c r="BN124" s="759">
        <v>0</v>
      </c>
      <c r="BO124" s="761">
        <v>2.23</v>
      </c>
      <c r="BP124" s="685" t="s">
        <v>2087</v>
      </c>
      <c r="BQ124" s="690" t="s">
        <v>2496</v>
      </c>
      <c r="BR124" s="691" t="s">
        <v>2555</v>
      </c>
      <c r="BS124" s="691" t="s">
        <v>1180</v>
      </c>
      <c r="BT124" s="691" t="s">
        <v>1730</v>
      </c>
      <c r="BU124" s="690">
        <v>0.09</v>
      </c>
      <c r="BV124" s="690">
        <v>0</v>
      </c>
      <c r="BW124" s="692">
        <v>1.37</v>
      </c>
    </row>
    <row r="125" spans="1:75">
      <c r="A125" s="1" t="s">
        <v>781</v>
      </c>
      <c r="B125" s="1" t="s">
        <v>761</v>
      </c>
      <c r="C125" s="1" t="s">
        <v>762</v>
      </c>
      <c r="D125" s="1" t="s">
        <v>1710</v>
      </c>
      <c r="E125" s="1" t="s">
        <v>1947</v>
      </c>
      <c r="F125" s="1">
        <v>6.3000000000000014E-2</v>
      </c>
      <c r="G125" s="1">
        <v>0</v>
      </c>
      <c r="H125" s="1">
        <v>2.3199999999999998</v>
      </c>
      <c r="I125" s="20" t="s">
        <v>684</v>
      </c>
      <c r="J125" s="1" t="s">
        <v>515</v>
      </c>
      <c r="AI125" s="757"/>
      <c r="AJ125" s="186" t="s">
        <v>2794</v>
      </c>
      <c r="AK125" s="186" t="s">
        <v>1710</v>
      </c>
      <c r="AL125" s="747" t="s">
        <v>530</v>
      </c>
      <c r="AM125" s="747" t="s">
        <v>254</v>
      </c>
      <c r="AN125" s="693" t="s">
        <v>1730</v>
      </c>
      <c r="AO125" s="186">
        <v>6.3E-2</v>
      </c>
      <c r="AP125" s="186">
        <v>0</v>
      </c>
      <c r="AQ125" s="12">
        <v>2.3199999999999998</v>
      </c>
      <c r="AR125" s="11" t="s">
        <v>2790</v>
      </c>
      <c r="AS125" s="186" t="s">
        <v>1710</v>
      </c>
      <c r="AT125" s="747" t="s">
        <v>1950</v>
      </c>
      <c r="AU125" s="747" t="s">
        <v>520</v>
      </c>
      <c r="AV125" s="693" t="s">
        <v>1730</v>
      </c>
      <c r="AW125" s="186">
        <v>1.7500000000000002E-2</v>
      </c>
      <c r="AX125" s="186">
        <v>0</v>
      </c>
      <c r="AY125" s="12">
        <v>3</v>
      </c>
      <c r="AZ125" s="11" t="s">
        <v>1991</v>
      </c>
      <c r="BA125" s="186" t="s">
        <v>1713</v>
      </c>
      <c r="BB125" s="747" t="s">
        <v>2009</v>
      </c>
      <c r="BC125" s="747" t="s">
        <v>1730</v>
      </c>
      <c r="BD125" s="747" t="s">
        <v>1730</v>
      </c>
      <c r="BE125" s="186">
        <v>0.49</v>
      </c>
      <c r="BF125" s="186">
        <v>0.06</v>
      </c>
      <c r="BG125" s="12">
        <v>2.58</v>
      </c>
      <c r="BH125" s="685" t="s">
        <v>2056</v>
      </c>
      <c r="BI125" s="686" t="s">
        <v>2496</v>
      </c>
      <c r="BJ125" s="687" t="s">
        <v>2556</v>
      </c>
      <c r="BK125" s="687" t="s">
        <v>1730</v>
      </c>
      <c r="BL125" s="687" t="s">
        <v>1730</v>
      </c>
      <c r="BM125" s="686">
        <v>3.5000000000000003E-2</v>
      </c>
      <c r="BN125" s="686">
        <v>0</v>
      </c>
      <c r="BO125" s="688">
        <v>2.23</v>
      </c>
      <c r="BP125" s="685" t="s">
        <v>2087</v>
      </c>
      <c r="BQ125" s="690" t="s">
        <v>2496</v>
      </c>
      <c r="BR125" s="691" t="s">
        <v>2557</v>
      </c>
      <c r="BS125" s="691" t="s">
        <v>1180</v>
      </c>
      <c r="BT125" s="691" t="s">
        <v>1730</v>
      </c>
      <c r="BU125" s="690">
        <v>0.09</v>
      </c>
      <c r="BV125" s="690">
        <v>0</v>
      </c>
      <c r="BW125" s="692">
        <v>1.37</v>
      </c>
    </row>
    <row r="126" spans="1:75">
      <c r="A126" s="1" t="s">
        <v>782</v>
      </c>
      <c r="B126" s="1" t="s">
        <v>761</v>
      </c>
      <c r="C126" s="1" t="s">
        <v>762</v>
      </c>
      <c r="D126" s="1" t="s">
        <v>1710</v>
      </c>
      <c r="E126" s="1" t="s">
        <v>1948</v>
      </c>
      <c r="F126" s="1">
        <v>3.5000000000000003E-2</v>
      </c>
      <c r="G126" s="1">
        <v>0</v>
      </c>
      <c r="H126" s="1">
        <v>2.3199999999999998</v>
      </c>
      <c r="I126" s="20" t="s">
        <v>691</v>
      </c>
      <c r="J126" s="1" t="s">
        <v>700</v>
      </c>
      <c r="AI126" s="757"/>
      <c r="AJ126" s="186" t="s">
        <v>2794</v>
      </c>
      <c r="AK126" s="186" t="s">
        <v>1710</v>
      </c>
      <c r="AL126" s="747" t="s">
        <v>531</v>
      </c>
      <c r="AM126" s="747" t="s">
        <v>254</v>
      </c>
      <c r="AN126" s="693" t="s">
        <v>1730</v>
      </c>
      <c r="AO126" s="186">
        <v>6.3E-2</v>
      </c>
      <c r="AP126" s="186">
        <v>0</v>
      </c>
      <c r="AQ126" s="12">
        <v>2.3199999999999998</v>
      </c>
      <c r="AR126" s="11" t="s">
        <v>2712</v>
      </c>
      <c r="AS126" s="186" t="s">
        <v>1710</v>
      </c>
      <c r="AT126" s="747" t="s">
        <v>1951</v>
      </c>
      <c r="AU126" s="747" t="s">
        <v>520</v>
      </c>
      <c r="AV126" s="693" t="s">
        <v>1730</v>
      </c>
      <c r="AW126" s="186">
        <v>1.7500000000000002E-2</v>
      </c>
      <c r="AX126" s="186">
        <v>0</v>
      </c>
      <c r="AY126" s="12">
        <v>3</v>
      </c>
      <c r="AZ126" s="11" t="s">
        <v>1991</v>
      </c>
      <c r="BA126" s="186" t="s">
        <v>1713</v>
      </c>
      <c r="BB126" s="747" t="s">
        <v>2010</v>
      </c>
      <c r="BC126" s="747" t="s">
        <v>1730</v>
      </c>
      <c r="BD126" s="747" t="s">
        <v>1730</v>
      </c>
      <c r="BE126" s="186">
        <v>0.245</v>
      </c>
      <c r="BF126" s="186">
        <v>0.03</v>
      </c>
      <c r="BG126" s="12">
        <v>2.58</v>
      </c>
      <c r="BH126" s="685" t="s">
        <v>2056</v>
      </c>
      <c r="BI126" s="686" t="s">
        <v>2496</v>
      </c>
      <c r="BJ126" s="687" t="s">
        <v>2558</v>
      </c>
      <c r="BK126" s="687" t="s">
        <v>1730</v>
      </c>
      <c r="BL126" s="687" t="s">
        <v>1730</v>
      </c>
      <c r="BM126" s="686">
        <v>1.7500000000000002E-2</v>
      </c>
      <c r="BN126" s="686">
        <v>0</v>
      </c>
      <c r="BO126" s="688">
        <v>2.23</v>
      </c>
      <c r="BP126" s="685" t="s">
        <v>2087</v>
      </c>
      <c r="BQ126" s="690" t="s">
        <v>2496</v>
      </c>
      <c r="BR126" s="691" t="s">
        <v>2559</v>
      </c>
      <c r="BS126" s="691" t="s">
        <v>277</v>
      </c>
      <c r="BT126" s="691" t="s">
        <v>1730</v>
      </c>
      <c r="BU126" s="690">
        <v>0.06</v>
      </c>
      <c r="BV126" s="690">
        <v>0</v>
      </c>
      <c r="BW126" s="692">
        <v>1.37</v>
      </c>
    </row>
    <row r="127" spans="1:75">
      <c r="A127" s="1" t="s">
        <v>783</v>
      </c>
      <c r="B127" s="1" t="s">
        <v>761</v>
      </c>
      <c r="C127" s="1" t="s">
        <v>762</v>
      </c>
      <c r="D127" s="1" t="s">
        <v>1710</v>
      </c>
      <c r="E127" s="1" t="s">
        <v>1949</v>
      </c>
      <c r="F127" s="1">
        <v>3.5000000000000003E-2</v>
      </c>
      <c r="G127" s="1">
        <v>0</v>
      </c>
      <c r="H127" s="1">
        <v>2.3199999999999998</v>
      </c>
      <c r="I127" s="20" t="s">
        <v>710</v>
      </c>
      <c r="J127" s="1" t="s">
        <v>516</v>
      </c>
      <c r="AI127" s="757"/>
      <c r="AJ127" s="186" t="s">
        <v>2801</v>
      </c>
      <c r="AK127" s="186" t="s">
        <v>523</v>
      </c>
      <c r="AL127" s="747" t="s">
        <v>532</v>
      </c>
      <c r="AM127" s="747" t="s">
        <v>1730</v>
      </c>
      <c r="AN127" s="693" t="s">
        <v>1730</v>
      </c>
      <c r="AO127" s="186">
        <v>7.0000000000000007E-2</v>
      </c>
      <c r="AP127" s="186">
        <v>0</v>
      </c>
      <c r="AQ127" s="12">
        <v>2.3199999999999998</v>
      </c>
      <c r="AR127" s="11" t="s">
        <v>2802</v>
      </c>
      <c r="AS127" s="186" t="s">
        <v>523</v>
      </c>
      <c r="AT127" s="747" t="s">
        <v>532</v>
      </c>
      <c r="AU127" s="747" t="s">
        <v>1730</v>
      </c>
      <c r="AV127" s="693" t="s">
        <v>1730</v>
      </c>
      <c r="AW127" s="186">
        <v>7.0000000000000007E-2</v>
      </c>
      <c r="AX127" s="186">
        <v>0</v>
      </c>
      <c r="AY127" s="12">
        <v>3</v>
      </c>
      <c r="AZ127" s="11" t="s">
        <v>1991</v>
      </c>
      <c r="BA127" s="186" t="s">
        <v>1713</v>
      </c>
      <c r="BB127" s="747" t="s">
        <v>2011</v>
      </c>
      <c r="BC127" s="747" t="s">
        <v>515</v>
      </c>
      <c r="BD127" s="747" t="s">
        <v>1730</v>
      </c>
      <c r="BE127" s="186">
        <v>0.36749999999999999</v>
      </c>
      <c r="BF127" s="186">
        <v>4.4999999999999998E-2</v>
      </c>
      <c r="BG127" s="12">
        <v>2.58</v>
      </c>
      <c r="BH127" s="685" t="s">
        <v>2056</v>
      </c>
      <c r="BI127" s="686" t="s">
        <v>2496</v>
      </c>
      <c r="BJ127" s="687" t="s">
        <v>2560</v>
      </c>
      <c r="BK127" s="687" t="s">
        <v>1180</v>
      </c>
      <c r="BL127" s="687" t="s">
        <v>1730</v>
      </c>
      <c r="BM127" s="686">
        <v>2.6250000000000002E-2</v>
      </c>
      <c r="BN127" s="686">
        <v>0</v>
      </c>
      <c r="BO127" s="688">
        <v>2.23</v>
      </c>
      <c r="BP127" s="685" t="s">
        <v>2087</v>
      </c>
      <c r="BQ127" s="690" t="s">
        <v>2496</v>
      </c>
      <c r="BR127" s="691" t="s">
        <v>2561</v>
      </c>
      <c r="BS127" s="691" t="s">
        <v>277</v>
      </c>
      <c r="BT127" s="691" t="s">
        <v>1730</v>
      </c>
      <c r="BU127" s="690">
        <v>0.06</v>
      </c>
      <c r="BV127" s="690">
        <v>0</v>
      </c>
      <c r="BW127" s="692">
        <v>1.37</v>
      </c>
    </row>
    <row r="128" spans="1:75">
      <c r="A128" s="1" t="s">
        <v>784</v>
      </c>
      <c r="B128" s="1" t="s">
        <v>761</v>
      </c>
      <c r="C128" s="1" t="s">
        <v>762</v>
      </c>
      <c r="D128" s="1" t="s">
        <v>1710</v>
      </c>
      <c r="E128" s="1" t="s">
        <v>1950</v>
      </c>
      <c r="F128" s="1">
        <v>1.7500000000000002E-2</v>
      </c>
      <c r="G128" s="1">
        <v>0</v>
      </c>
      <c r="H128" s="1">
        <v>2.3199999999999998</v>
      </c>
      <c r="I128" s="20" t="s">
        <v>691</v>
      </c>
      <c r="J128" s="1" t="s">
        <v>703</v>
      </c>
      <c r="AI128" s="757"/>
      <c r="AJ128" s="186" t="s">
        <v>2801</v>
      </c>
      <c r="AK128" s="186" t="s">
        <v>523</v>
      </c>
      <c r="AL128" s="747" t="s">
        <v>533</v>
      </c>
      <c r="AM128" s="747" t="s">
        <v>1730</v>
      </c>
      <c r="AN128" s="693" t="s">
        <v>1730</v>
      </c>
      <c r="AO128" s="186">
        <v>3.5000000000000003E-2</v>
      </c>
      <c r="AP128" s="186">
        <v>0</v>
      </c>
      <c r="AQ128" s="12">
        <v>2.3199999999999998</v>
      </c>
      <c r="AR128" s="11" t="s">
        <v>2712</v>
      </c>
      <c r="AS128" s="186" t="s">
        <v>523</v>
      </c>
      <c r="AT128" s="747" t="s">
        <v>533</v>
      </c>
      <c r="AU128" s="747" t="s">
        <v>1730</v>
      </c>
      <c r="AV128" s="693" t="s">
        <v>1730</v>
      </c>
      <c r="AW128" s="186">
        <v>3.5000000000000003E-2</v>
      </c>
      <c r="AX128" s="186">
        <v>0</v>
      </c>
      <c r="AY128" s="12">
        <v>3</v>
      </c>
      <c r="AZ128" s="11" t="s">
        <v>1991</v>
      </c>
      <c r="BA128" s="186" t="s">
        <v>1713</v>
      </c>
      <c r="BB128" s="747" t="s">
        <v>2012</v>
      </c>
      <c r="BC128" s="747" t="s">
        <v>515</v>
      </c>
      <c r="BD128" s="747" t="s">
        <v>1730</v>
      </c>
      <c r="BE128" s="186">
        <v>0.36749999999999999</v>
      </c>
      <c r="BF128" s="186">
        <v>4.4999999999999998E-2</v>
      </c>
      <c r="BG128" s="12">
        <v>2.58</v>
      </c>
      <c r="BH128" s="685" t="s">
        <v>2056</v>
      </c>
      <c r="BI128" s="686" t="s">
        <v>2496</v>
      </c>
      <c r="BJ128" s="687" t="s">
        <v>2562</v>
      </c>
      <c r="BK128" s="687" t="s">
        <v>1180</v>
      </c>
      <c r="BL128" s="687" t="s">
        <v>1730</v>
      </c>
      <c r="BM128" s="686">
        <v>2.6249999999999999E-2</v>
      </c>
      <c r="BN128" s="686">
        <v>0</v>
      </c>
      <c r="BO128" s="688">
        <v>2.23</v>
      </c>
      <c r="BP128" s="685" t="s">
        <v>2087</v>
      </c>
      <c r="BQ128" s="690" t="s">
        <v>2496</v>
      </c>
      <c r="BR128" s="691" t="s">
        <v>2563</v>
      </c>
      <c r="BS128" s="691" t="s">
        <v>2482</v>
      </c>
      <c r="BT128" s="691" t="s">
        <v>1730</v>
      </c>
      <c r="BU128" s="690">
        <v>0.03</v>
      </c>
      <c r="BV128" s="690">
        <v>0</v>
      </c>
      <c r="BW128" s="692">
        <v>1.37</v>
      </c>
    </row>
    <row r="129" spans="1:75">
      <c r="A129" s="1" t="s">
        <v>785</v>
      </c>
      <c r="B129" s="1" t="s">
        <v>761</v>
      </c>
      <c r="C129" s="1" t="s">
        <v>762</v>
      </c>
      <c r="D129" s="1" t="s">
        <v>1710</v>
      </c>
      <c r="E129" s="1" t="s">
        <v>1951</v>
      </c>
      <c r="F129" s="1">
        <v>1.7500000000000002E-2</v>
      </c>
      <c r="G129" s="1">
        <v>0</v>
      </c>
      <c r="H129" s="1">
        <v>2.3199999999999998</v>
      </c>
      <c r="I129" s="20" t="s">
        <v>713</v>
      </c>
      <c r="J129" s="1" t="s">
        <v>517</v>
      </c>
      <c r="AI129" s="757"/>
      <c r="AJ129" s="186" t="s">
        <v>2801</v>
      </c>
      <c r="AK129" s="186" t="s">
        <v>523</v>
      </c>
      <c r="AL129" s="747" t="s">
        <v>534</v>
      </c>
      <c r="AM129" s="747" t="s">
        <v>519</v>
      </c>
      <c r="AN129" s="693" t="s">
        <v>1730</v>
      </c>
      <c r="AO129" s="186">
        <v>3.5000000000000003E-2</v>
      </c>
      <c r="AP129" s="186">
        <v>0</v>
      </c>
      <c r="AQ129" s="12">
        <v>2.3199999999999998</v>
      </c>
      <c r="AR129" s="11" t="s">
        <v>2790</v>
      </c>
      <c r="AS129" s="186" t="s">
        <v>523</v>
      </c>
      <c r="AT129" s="747" t="s">
        <v>534</v>
      </c>
      <c r="AU129" s="747" t="s">
        <v>519</v>
      </c>
      <c r="AV129" s="693" t="s">
        <v>1730</v>
      </c>
      <c r="AW129" s="186">
        <v>3.5000000000000003E-2</v>
      </c>
      <c r="AX129" s="186">
        <v>0</v>
      </c>
      <c r="AY129" s="12">
        <v>3</v>
      </c>
      <c r="AZ129" s="11" t="s">
        <v>1991</v>
      </c>
      <c r="BA129" s="186" t="s">
        <v>1713</v>
      </c>
      <c r="BB129" s="747" t="s">
        <v>2013</v>
      </c>
      <c r="BC129" s="747" t="s">
        <v>516</v>
      </c>
      <c r="BD129" s="747" t="s">
        <v>1730</v>
      </c>
      <c r="BE129" s="186">
        <v>0.245</v>
      </c>
      <c r="BF129" s="186">
        <v>0.03</v>
      </c>
      <c r="BG129" s="12">
        <v>2.58</v>
      </c>
      <c r="BH129" s="685" t="s">
        <v>2056</v>
      </c>
      <c r="BI129" s="686" t="s">
        <v>2496</v>
      </c>
      <c r="BJ129" s="687" t="s">
        <v>2564</v>
      </c>
      <c r="BK129" s="687" t="s">
        <v>277</v>
      </c>
      <c r="BL129" s="687" t="s">
        <v>1730</v>
      </c>
      <c r="BM129" s="686">
        <v>1.7500000000000002E-2</v>
      </c>
      <c r="BN129" s="686">
        <v>0</v>
      </c>
      <c r="BO129" s="688">
        <v>2.23</v>
      </c>
      <c r="BP129" s="685" t="s">
        <v>2087</v>
      </c>
      <c r="BQ129" s="690" t="s">
        <v>2496</v>
      </c>
      <c r="BR129" s="691" t="s">
        <v>2565</v>
      </c>
      <c r="BS129" s="691" t="s">
        <v>2482</v>
      </c>
      <c r="BT129" s="691" t="s">
        <v>1730</v>
      </c>
      <c r="BU129" s="690">
        <v>0.03</v>
      </c>
      <c r="BV129" s="690">
        <v>0</v>
      </c>
      <c r="BW129" s="692">
        <v>1.37</v>
      </c>
    </row>
    <row r="130" spans="1:75">
      <c r="A130" s="1" t="s">
        <v>786</v>
      </c>
      <c r="B130" s="1" t="s">
        <v>761</v>
      </c>
      <c r="C130" s="1" t="s">
        <v>762</v>
      </c>
      <c r="D130" s="1" t="s">
        <v>1710</v>
      </c>
      <c r="E130" s="1" t="s">
        <v>530</v>
      </c>
      <c r="F130" s="1">
        <v>6.3000000000000014E-2</v>
      </c>
      <c r="G130" s="1">
        <v>0</v>
      </c>
      <c r="H130" s="1">
        <v>2.3199999999999998</v>
      </c>
      <c r="I130" s="20" t="s">
        <v>691</v>
      </c>
      <c r="J130" s="1" t="s">
        <v>697</v>
      </c>
      <c r="AI130" s="757"/>
      <c r="AJ130" s="186" t="s">
        <v>2801</v>
      </c>
      <c r="AK130" s="186" t="s">
        <v>523</v>
      </c>
      <c r="AL130" s="747" t="s">
        <v>535</v>
      </c>
      <c r="AM130" s="747" t="s">
        <v>519</v>
      </c>
      <c r="AN130" s="693" t="s">
        <v>1730</v>
      </c>
      <c r="AO130" s="186">
        <v>3.5000000000000003E-2</v>
      </c>
      <c r="AP130" s="186">
        <v>0</v>
      </c>
      <c r="AQ130" s="12">
        <v>2.3199999999999998</v>
      </c>
      <c r="AR130" s="11" t="s">
        <v>2790</v>
      </c>
      <c r="AS130" s="186" t="s">
        <v>523</v>
      </c>
      <c r="AT130" s="747" t="s">
        <v>535</v>
      </c>
      <c r="AU130" s="747" t="s">
        <v>519</v>
      </c>
      <c r="AV130" s="693" t="s">
        <v>1730</v>
      </c>
      <c r="AW130" s="186">
        <v>3.5000000000000003E-2</v>
      </c>
      <c r="AX130" s="186">
        <v>0</v>
      </c>
      <c r="AY130" s="12">
        <v>3</v>
      </c>
      <c r="AZ130" s="11" t="s">
        <v>1991</v>
      </c>
      <c r="BA130" s="186" t="s">
        <v>1713</v>
      </c>
      <c r="BB130" s="747" t="s">
        <v>2014</v>
      </c>
      <c r="BC130" s="747" t="s">
        <v>516</v>
      </c>
      <c r="BD130" s="747" t="s">
        <v>1730</v>
      </c>
      <c r="BE130" s="186">
        <v>0.245</v>
      </c>
      <c r="BF130" s="186">
        <v>0.03</v>
      </c>
      <c r="BG130" s="12">
        <v>2.58</v>
      </c>
      <c r="BH130" s="685" t="s">
        <v>2056</v>
      </c>
      <c r="BI130" s="686" t="s">
        <v>2496</v>
      </c>
      <c r="BJ130" s="687" t="s">
        <v>2566</v>
      </c>
      <c r="BK130" s="687" t="s">
        <v>277</v>
      </c>
      <c r="BL130" s="687" t="s">
        <v>1730</v>
      </c>
      <c r="BM130" s="686">
        <v>1.7500000000000002E-2</v>
      </c>
      <c r="BN130" s="686">
        <v>0</v>
      </c>
      <c r="BO130" s="688">
        <v>2.23</v>
      </c>
      <c r="BP130" s="251"/>
      <c r="BQ130" s="183"/>
      <c r="BR130" s="23"/>
      <c r="BS130" s="23"/>
      <c r="BT130" s="23"/>
      <c r="BU130" s="183"/>
      <c r="BV130" s="183"/>
      <c r="BW130" s="249"/>
    </row>
    <row r="131" spans="1:75">
      <c r="A131" s="1" t="s">
        <v>787</v>
      </c>
      <c r="B131" s="1" t="s">
        <v>761</v>
      </c>
      <c r="C131" s="1" t="s">
        <v>762</v>
      </c>
      <c r="D131" s="1" t="s">
        <v>1710</v>
      </c>
      <c r="E131" s="1" t="s">
        <v>531</v>
      </c>
      <c r="F131" s="1">
        <v>6.3000000000000014E-2</v>
      </c>
      <c r="G131" s="1">
        <v>0</v>
      </c>
      <c r="H131" s="1">
        <v>2.3199999999999998</v>
      </c>
      <c r="I131" s="20" t="s">
        <v>684</v>
      </c>
      <c r="J131" s="1" t="s">
        <v>515</v>
      </c>
      <c r="AI131" s="757"/>
      <c r="AJ131" s="186" t="s">
        <v>2794</v>
      </c>
      <c r="AK131" s="186" t="s">
        <v>523</v>
      </c>
      <c r="AL131" s="747" t="s">
        <v>536</v>
      </c>
      <c r="AM131" s="747" t="s">
        <v>520</v>
      </c>
      <c r="AN131" s="693" t="s">
        <v>1730</v>
      </c>
      <c r="AO131" s="186">
        <v>1.7500000000000002E-2</v>
      </c>
      <c r="AP131" s="186">
        <v>0</v>
      </c>
      <c r="AQ131" s="12">
        <v>2.3199999999999998</v>
      </c>
      <c r="AR131" s="11" t="s">
        <v>2790</v>
      </c>
      <c r="AS131" s="186" t="s">
        <v>523</v>
      </c>
      <c r="AT131" s="747" t="s">
        <v>536</v>
      </c>
      <c r="AU131" s="747" t="s">
        <v>520</v>
      </c>
      <c r="AV131" s="693" t="s">
        <v>1730</v>
      </c>
      <c r="AW131" s="186">
        <v>1.7500000000000002E-2</v>
      </c>
      <c r="AX131" s="186">
        <v>0</v>
      </c>
      <c r="AY131" s="12">
        <v>3</v>
      </c>
      <c r="AZ131" s="11" t="s">
        <v>1991</v>
      </c>
      <c r="BA131" s="186" t="s">
        <v>1713</v>
      </c>
      <c r="BB131" s="747" t="s">
        <v>2015</v>
      </c>
      <c r="BC131" s="747" t="s">
        <v>517</v>
      </c>
      <c r="BD131" s="747" t="s">
        <v>1730</v>
      </c>
      <c r="BE131" s="186">
        <v>0.1225</v>
      </c>
      <c r="BF131" s="186">
        <v>1.4999999999999999E-2</v>
      </c>
      <c r="BG131" s="12">
        <v>2.58</v>
      </c>
      <c r="BH131" s="685" t="s">
        <v>2056</v>
      </c>
      <c r="BI131" s="686" t="s">
        <v>2496</v>
      </c>
      <c r="BJ131" s="687" t="s">
        <v>2567</v>
      </c>
      <c r="BK131" s="687" t="s">
        <v>2482</v>
      </c>
      <c r="BL131" s="687" t="s">
        <v>1730</v>
      </c>
      <c r="BM131" s="686">
        <v>8.7500000000000008E-3</v>
      </c>
      <c r="BN131" s="686">
        <v>0</v>
      </c>
      <c r="BO131" s="688">
        <v>2.23</v>
      </c>
      <c r="BP131" s="251"/>
      <c r="BQ131" s="183"/>
      <c r="BR131" s="23"/>
      <c r="BS131" s="23"/>
      <c r="BT131" s="23"/>
      <c r="BU131" s="183"/>
      <c r="BV131" s="183"/>
      <c r="BW131" s="249"/>
    </row>
    <row r="132" spans="1:75">
      <c r="A132" s="1" t="s">
        <v>788</v>
      </c>
      <c r="B132" s="1" t="s">
        <v>761</v>
      </c>
      <c r="C132" s="1" t="s">
        <v>762</v>
      </c>
      <c r="D132" s="1" t="s">
        <v>523</v>
      </c>
      <c r="E132" s="1" t="s">
        <v>532</v>
      </c>
      <c r="F132" s="1">
        <v>7.0000000000000007E-2</v>
      </c>
      <c r="G132" s="1">
        <v>0</v>
      </c>
      <c r="I132" s="20"/>
      <c r="AI132" s="757"/>
      <c r="AJ132" s="186" t="s">
        <v>2794</v>
      </c>
      <c r="AK132" s="186" t="s">
        <v>523</v>
      </c>
      <c r="AL132" s="747" t="s">
        <v>537</v>
      </c>
      <c r="AM132" s="747" t="s">
        <v>520</v>
      </c>
      <c r="AN132" s="693" t="s">
        <v>1730</v>
      </c>
      <c r="AO132" s="186">
        <v>1.7500000000000002E-2</v>
      </c>
      <c r="AP132" s="186">
        <v>0</v>
      </c>
      <c r="AQ132" s="12">
        <v>2.3199999999999998</v>
      </c>
      <c r="AR132" s="11" t="s">
        <v>2712</v>
      </c>
      <c r="AS132" s="186" t="s">
        <v>523</v>
      </c>
      <c r="AT132" s="747" t="s">
        <v>537</v>
      </c>
      <c r="AU132" s="747" t="s">
        <v>520</v>
      </c>
      <c r="AV132" s="693" t="s">
        <v>1730</v>
      </c>
      <c r="AW132" s="186">
        <v>1.7500000000000002E-2</v>
      </c>
      <c r="AX132" s="186">
        <v>0</v>
      </c>
      <c r="AY132" s="12">
        <v>3</v>
      </c>
      <c r="AZ132" s="11" t="s">
        <v>1991</v>
      </c>
      <c r="BA132" s="186" t="s">
        <v>1713</v>
      </c>
      <c r="BB132" s="747" t="s">
        <v>2016</v>
      </c>
      <c r="BC132" s="747" t="s">
        <v>517</v>
      </c>
      <c r="BD132" s="747" t="s">
        <v>1730</v>
      </c>
      <c r="BE132" s="186">
        <v>0.1225</v>
      </c>
      <c r="BF132" s="186">
        <v>1.4999999999999999E-2</v>
      </c>
      <c r="BG132" s="12">
        <v>2.58</v>
      </c>
      <c r="BH132" s="685" t="s">
        <v>2056</v>
      </c>
      <c r="BI132" s="686" t="s">
        <v>2496</v>
      </c>
      <c r="BJ132" s="687" t="s">
        <v>2568</v>
      </c>
      <c r="BK132" s="687" t="s">
        <v>2482</v>
      </c>
      <c r="BL132" s="687" t="s">
        <v>1730</v>
      </c>
      <c r="BM132" s="686">
        <v>8.7500000000000008E-3</v>
      </c>
      <c r="BN132" s="686">
        <v>0</v>
      </c>
      <c r="BO132" s="688">
        <v>2.23</v>
      </c>
      <c r="BP132" s="251"/>
      <c r="BQ132" s="183"/>
      <c r="BR132" s="23"/>
      <c r="BS132" s="23"/>
      <c r="BT132" s="23"/>
      <c r="BU132" s="183"/>
      <c r="BV132" s="183"/>
      <c r="BW132" s="249"/>
    </row>
    <row r="133" spans="1:75">
      <c r="A133" s="1" t="s">
        <v>789</v>
      </c>
      <c r="B133" s="1" t="s">
        <v>761</v>
      </c>
      <c r="C133" s="1" t="s">
        <v>762</v>
      </c>
      <c r="D133" s="1" t="s">
        <v>523</v>
      </c>
      <c r="E133" s="1" t="s">
        <v>533</v>
      </c>
      <c r="F133" s="1">
        <v>3.5000000000000003E-2</v>
      </c>
      <c r="G133" s="1">
        <v>0</v>
      </c>
      <c r="I133" s="20"/>
      <c r="J133" s="1" t="s">
        <v>692</v>
      </c>
      <c r="AI133" s="757"/>
      <c r="AJ133" s="186" t="s">
        <v>2794</v>
      </c>
      <c r="AK133" s="186" t="s">
        <v>523</v>
      </c>
      <c r="AL133" s="747" t="s">
        <v>1172</v>
      </c>
      <c r="AM133" s="747" t="s">
        <v>1171</v>
      </c>
      <c r="AN133" s="693" t="s">
        <v>1730</v>
      </c>
      <c r="AO133" s="186">
        <v>6.3E-2</v>
      </c>
      <c r="AP133" s="186">
        <v>0</v>
      </c>
      <c r="AQ133" s="12">
        <v>2.3199999999999998</v>
      </c>
      <c r="AR133" s="11" t="s">
        <v>1177</v>
      </c>
      <c r="AS133" s="186" t="s">
        <v>523</v>
      </c>
      <c r="AT133" s="747" t="s">
        <v>1172</v>
      </c>
      <c r="AU133" s="747" t="s">
        <v>1171</v>
      </c>
      <c r="AV133" s="693" t="s">
        <v>1730</v>
      </c>
      <c r="AW133" s="186">
        <v>6.3E-2</v>
      </c>
      <c r="AX133" s="186">
        <v>0</v>
      </c>
      <c r="AY133" s="12">
        <v>3</v>
      </c>
      <c r="AZ133" s="11" t="s">
        <v>1991</v>
      </c>
      <c r="BA133" s="186" t="s">
        <v>1710</v>
      </c>
      <c r="BB133" s="747" t="s">
        <v>1712</v>
      </c>
      <c r="BC133" s="747" t="s">
        <v>1730</v>
      </c>
      <c r="BD133" s="747" t="s">
        <v>247</v>
      </c>
      <c r="BE133" s="186">
        <v>0.25</v>
      </c>
      <c r="BF133" s="186">
        <v>1.4999999999999999E-2</v>
      </c>
      <c r="BG133" s="12">
        <v>2.58</v>
      </c>
      <c r="BH133" s="11"/>
      <c r="BI133" s="186"/>
      <c r="BJ133" s="747"/>
      <c r="BK133" s="747"/>
      <c r="BL133" s="747"/>
      <c r="BM133" s="186"/>
      <c r="BN133" s="186"/>
      <c r="BO133" s="12"/>
      <c r="BP133" s="251"/>
      <c r="BQ133" s="183"/>
      <c r="BR133" s="23"/>
      <c r="BS133" s="23"/>
      <c r="BT133" s="23"/>
      <c r="BU133" s="183"/>
      <c r="BV133" s="183"/>
      <c r="BW133" s="249"/>
    </row>
    <row r="134" spans="1:75">
      <c r="A134" s="1" t="s">
        <v>790</v>
      </c>
      <c r="B134" s="1" t="s">
        <v>761</v>
      </c>
      <c r="C134" s="1" t="s">
        <v>762</v>
      </c>
      <c r="D134" s="1" t="s">
        <v>523</v>
      </c>
      <c r="E134" s="1" t="s">
        <v>534</v>
      </c>
      <c r="F134" s="1">
        <v>3.5000000000000003E-2</v>
      </c>
      <c r="G134" s="1">
        <v>0</v>
      </c>
      <c r="I134" s="20"/>
      <c r="J134" s="1" t="s">
        <v>519</v>
      </c>
      <c r="AI134" s="757"/>
      <c r="AJ134" s="186" t="s">
        <v>2794</v>
      </c>
      <c r="AK134" s="186" t="s">
        <v>523</v>
      </c>
      <c r="AL134" s="747" t="s">
        <v>1173</v>
      </c>
      <c r="AM134" s="747" t="s">
        <v>1171</v>
      </c>
      <c r="AN134" s="693" t="s">
        <v>1730</v>
      </c>
      <c r="AO134" s="186">
        <v>6.3E-2</v>
      </c>
      <c r="AP134" s="186">
        <v>0</v>
      </c>
      <c r="AQ134" s="12">
        <v>2.3199999999999998</v>
      </c>
      <c r="AR134" s="11" t="s">
        <v>1177</v>
      </c>
      <c r="AS134" s="186" t="s">
        <v>523</v>
      </c>
      <c r="AT134" s="747" t="s">
        <v>1173</v>
      </c>
      <c r="AU134" s="747" t="s">
        <v>1171</v>
      </c>
      <c r="AV134" s="693" t="s">
        <v>1730</v>
      </c>
      <c r="AW134" s="186">
        <v>6.3E-2</v>
      </c>
      <c r="AX134" s="186">
        <v>0</v>
      </c>
      <c r="AY134" s="12">
        <v>3</v>
      </c>
      <c r="AZ134" s="11" t="s">
        <v>1991</v>
      </c>
      <c r="BA134" s="186" t="s">
        <v>1710</v>
      </c>
      <c r="BB134" s="747" t="s">
        <v>1711</v>
      </c>
      <c r="BC134" s="747" t="s">
        <v>1730</v>
      </c>
      <c r="BD134" s="747" t="s">
        <v>247</v>
      </c>
      <c r="BE134" s="186">
        <v>0.125</v>
      </c>
      <c r="BF134" s="186">
        <v>7.4999999999999997E-3</v>
      </c>
      <c r="BG134" s="12">
        <v>2.58</v>
      </c>
      <c r="BH134" s="11"/>
      <c r="BI134" s="186"/>
      <c r="BJ134" s="747"/>
      <c r="BK134" s="747"/>
      <c r="BL134" s="747"/>
      <c r="BM134" s="186"/>
      <c r="BN134" s="186"/>
      <c r="BO134" s="12"/>
      <c r="BP134" s="251"/>
      <c r="BQ134" s="183"/>
      <c r="BR134" s="23"/>
      <c r="BS134" s="23"/>
      <c r="BT134" s="23"/>
      <c r="BU134" s="183"/>
      <c r="BV134" s="183"/>
      <c r="BW134" s="249"/>
    </row>
    <row r="135" spans="1:75">
      <c r="A135" s="1" t="s">
        <v>791</v>
      </c>
      <c r="B135" s="1" t="s">
        <v>761</v>
      </c>
      <c r="C135" s="1" t="s">
        <v>762</v>
      </c>
      <c r="D135" s="1" t="s">
        <v>523</v>
      </c>
      <c r="E135" s="1" t="s">
        <v>535</v>
      </c>
      <c r="F135" s="1">
        <v>3.5000000000000003E-2</v>
      </c>
      <c r="G135" s="1">
        <v>0</v>
      </c>
      <c r="I135" s="20"/>
      <c r="J135" s="1" t="s">
        <v>756</v>
      </c>
      <c r="AI135" s="757"/>
      <c r="AJ135" s="686" t="s">
        <v>2569</v>
      </c>
      <c r="AK135" s="686" t="s">
        <v>1710</v>
      </c>
      <c r="AL135" s="687" t="s">
        <v>2570</v>
      </c>
      <c r="AM135" s="762" t="s">
        <v>1730</v>
      </c>
      <c r="AN135" s="762" t="s">
        <v>1730</v>
      </c>
      <c r="AO135" s="686">
        <v>1.7500000000000002E-2</v>
      </c>
      <c r="AP135" s="686">
        <v>0</v>
      </c>
      <c r="AQ135" s="688">
        <v>2.3199999999999998</v>
      </c>
      <c r="AR135" s="685" t="s">
        <v>2802</v>
      </c>
      <c r="AS135" s="686" t="s">
        <v>1710</v>
      </c>
      <c r="AT135" s="687" t="s">
        <v>2570</v>
      </c>
      <c r="AU135" s="687" t="s">
        <v>1730</v>
      </c>
      <c r="AV135" s="762" t="s">
        <v>1730</v>
      </c>
      <c r="AW135" s="686">
        <v>1.7500000000000002E-2</v>
      </c>
      <c r="AX135" s="686">
        <v>0</v>
      </c>
      <c r="AY135" s="688">
        <v>3</v>
      </c>
      <c r="AZ135" s="11" t="s">
        <v>1991</v>
      </c>
      <c r="BA135" s="186" t="s">
        <v>1710</v>
      </c>
      <c r="BB135" s="747" t="s">
        <v>1714</v>
      </c>
      <c r="BC135" s="747" t="s">
        <v>518</v>
      </c>
      <c r="BD135" s="747" t="s">
        <v>2692</v>
      </c>
      <c r="BE135" s="186">
        <v>0.22500000000000001</v>
      </c>
      <c r="BF135" s="186">
        <v>1.35E-2</v>
      </c>
      <c r="BG135" s="12">
        <v>2.58</v>
      </c>
      <c r="BH135" s="11"/>
      <c r="BI135" s="186"/>
      <c r="BJ135" s="747"/>
      <c r="BK135" s="747"/>
      <c r="BL135" s="747"/>
      <c r="BM135" s="186"/>
      <c r="BN135" s="186"/>
      <c r="BO135" s="12"/>
      <c r="BP135" s="251"/>
      <c r="BQ135" s="183"/>
      <c r="BR135" s="23"/>
      <c r="BS135" s="23"/>
      <c r="BT135" s="23"/>
      <c r="BU135" s="183"/>
      <c r="BV135" s="183"/>
      <c r="BW135" s="249"/>
    </row>
    <row r="136" spans="1:75">
      <c r="A136" s="1" t="s">
        <v>792</v>
      </c>
      <c r="B136" s="1" t="s">
        <v>761</v>
      </c>
      <c r="C136" s="1" t="s">
        <v>762</v>
      </c>
      <c r="D136" s="1" t="s">
        <v>523</v>
      </c>
      <c r="E136" s="1" t="s">
        <v>536</v>
      </c>
      <c r="F136" s="1">
        <v>1.7500000000000002E-2</v>
      </c>
      <c r="G136" s="1">
        <v>0</v>
      </c>
      <c r="I136" s="20"/>
      <c r="J136" s="1" t="s">
        <v>520</v>
      </c>
      <c r="AI136" s="757"/>
      <c r="AJ136" s="686" t="s">
        <v>2569</v>
      </c>
      <c r="AK136" s="686" t="s">
        <v>1710</v>
      </c>
      <c r="AL136" s="687" t="s">
        <v>2571</v>
      </c>
      <c r="AM136" s="687" t="s">
        <v>278</v>
      </c>
      <c r="AN136" s="762" t="s">
        <v>1730</v>
      </c>
      <c r="AO136" s="686">
        <v>3.5000000000000003E-2</v>
      </c>
      <c r="AP136" s="686">
        <v>0</v>
      </c>
      <c r="AQ136" s="688">
        <v>2.3199999999999998</v>
      </c>
      <c r="AR136" s="685" t="s">
        <v>2802</v>
      </c>
      <c r="AS136" s="686" t="s">
        <v>1710</v>
      </c>
      <c r="AT136" s="687" t="s">
        <v>2571</v>
      </c>
      <c r="AU136" s="687" t="s">
        <v>278</v>
      </c>
      <c r="AV136" s="762" t="s">
        <v>1730</v>
      </c>
      <c r="AW136" s="686">
        <v>3.5000000000000003E-2</v>
      </c>
      <c r="AX136" s="686">
        <v>0</v>
      </c>
      <c r="AY136" s="688">
        <v>3</v>
      </c>
      <c r="AZ136" s="11" t="s">
        <v>1991</v>
      </c>
      <c r="BA136" s="186" t="s">
        <v>1710</v>
      </c>
      <c r="BB136" s="747" t="s">
        <v>1715</v>
      </c>
      <c r="BC136" s="747" t="s">
        <v>518</v>
      </c>
      <c r="BD136" s="747" t="s">
        <v>2692</v>
      </c>
      <c r="BE136" s="186">
        <v>0.22500000000000001</v>
      </c>
      <c r="BF136" s="186">
        <v>1.35E-2</v>
      </c>
      <c r="BG136" s="12">
        <v>2.58</v>
      </c>
      <c r="BH136" s="11"/>
      <c r="BI136" s="186"/>
      <c r="BJ136" s="747"/>
      <c r="BK136" s="747"/>
      <c r="BL136" s="747"/>
      <c r="BM136" s="186"/>
      <c r="BN136" s="186"/>
      <c r="BO136" s="12"/>
      <c r="BP136" s="251"/>
      <c r="BQ136" s="183"/>
      <c r="BR136" s="23"/>
      <c r="BS136" s="23"/>
      <c r="BT136" s="23"/>
      <c r="BU136" s="183"/>
      <c r="BV136" s="183"/>
      <c r="BW136" s="249"/>
    </row>
    <row r="137" spans="1:75">
      <c r="A137" s="1" t="s">
        <v>793</v>
      </c>
      <c r="B137" s="1" t="s">
        <v>761</v>
      </c>
      <c r="C137" s="1" t="s">
        <v>762</v>
      </c>
      <c r="D137" s="1" t="s">
        <v>523</v>
      </c>
      <c r="E137" s="1" t="s">
        <v>537</v>
      </c>
      <c r="F137" s="1">
        <v>1.7500000000000002E-2</v>
      </c>
      <c r="G137" s="1">
        <v>0</v>
      </c>
      <c r="I137" s="20"/>
      <c r="J137" s="1" t="s">
        <v>759</v>
      </c>
      <c r="AI137" s="757"/>
      <c r="AJ137" s="686" t="s">
        <v>2569</v>
      </c>
      <c r="AK137" s="686" t="s">
        <v>1710</v>
      </c>
      <c r="AL137" s="687" t="s">
        <v>2572</v>
      </c>
      <c r="AM137" s="687" t="s">
        <v>1181</v>
      </c>
      <c r="AN137" s="762" t="s">
        <v>1730</v>
      </c>
      <c r="AO137" s="686">
        <v>1.7500000000000002E-2</v>
      </c>
      <c r="AP137" s="686">
        <v>0</v>
      </c>
      <c r="AQ137" s="688">
        <v>2.3199999999999998</v>
      </c>
      <c r="AR137" s="685" t="s">
        <v>2790</v>
      </c>
      <c r="AS137" s="686" t="s">
        <v>1710</v>
      </c>
      <c r="AT137" s="687" t="s">
        <v>2572</v>
      </c>
      <c r="AU137" s="687" t="s">
        <v>1181</v>
      </c>
      <c r="AV137" s="762" t="s">
        <v>1730</v>
      </c>
      <c r="AW137" s="686">
        <v>1.7500000000000002E-2</v>
      </c>
      <c r="AX137" s="686">
        <v>0</v>
      </c>
      <c r="AY137" s="688">
        <v>3</v>
      </c>
      <c r="AZ137" s="11" t="s">
        <v>1991</v>
      </c>
      <c r="BA137" s="186" t="s">
        <v>1710</v>
      </c>
      <c r="BB137" s="747" t="s">
        <v>1716</v>
      </c>
      <c r="BC137" s="747" t="s">
        <v>519</v>
      </c>
      <c r="BD137" s="747" t="s">
        <v>247</v>
      </c>
      <c r="BE137" s="186">
        <v>0.125</v>
      </c>
      <c r="BF137" s="186">
        <v>7.4999999999999997E-3</v>
      </c>
      <c r="BG137" s="12">
        <v>2.58</v>
      </c>
      <c r="BH137" s="11"/>
      <c r="BI137" s="186"/>
      <c r="BJ137" s="747"/>
      <c r="BK137" s="747"/>
      <c r="BL137" s="747"/>
      <c r="BM137" s="186"/>
      <c r="BN137" s="186"/>
      <c r="BO137" s="12"/>
      <c r="BP137" s="251"/>
      <c r="BQ137" s="183"/>
      <c r="BR137" s="23"/>
      <c r="BS137" s="23"/>
      <c r="BT137" s="23"/>
      <c r="BU137" s="183"/>
      <c r="BV137" s="183"/>
      <c r="BW137" s="249"/>
    </row>
    <row r="138" spans="1:75">
      <c r="A138" s="1" t="s">
        <v>794</v>
      </c>
      <c r="B138" s="1" t="s">
        <v>795</v>
      </c>
      <c r="C138" s="1" t="s">
        <v>796</v>
      </c>
      <c r="D138" s="1" t="s">
        <v>1862</v>
      </c>
      <c r="E138" s="1" t="s">
        <v>1817</v>
      </c>
      <c r="F138" s="1">
        <v>1.17</v>
      </c>
      <c r="G138" s="1">
        <v>0</v>
      </c>
      <c r="H138" s="1">
        <v>2.3199999999999998</v>
      </c>
      <c r="I138" s="20" t="s">
        <v>684</v>
      </c>
      <c r="AI138" s="757"/>
      <c r="AJ138" s="686" t="s">
        <v>2569</v>
      </c>
      <c r="AK138" s="686" t="s">
        <v>523</v>
      </c>
      <c r="AL138" s="687" t="s">
        <v>2573</v>
      </c>
      <c r="AM138" s="687" t="s">
        <v>1730</v>
      </c>
      <c r="AN138" s="762" t="s">
        <v>1730</v>
      </c>
      <c r="AO138" s="686">
        <v>1.7500000000000002E-2</v>
      </c>
      <c r="AP138" s="686">
        <v>0</v>
      </c>
      <c r="AQ138" s="688">
        <v>2.3199999999999998</v>
      </c>
      <c r="AR138" s="685" t="s">
        <v>2802</v>
      </c>
      <c r="AS138" s="686" t="s">
        <v>523</v>
      </c>
      <c r="AT138" s="687" t="s">
        <v>2573</v>
      </c>
      <c r="AU138" s="687" t="s">
        <v>1730</v>
      </c>
      <c r="AV138" s="762" t="s">
        <v>1730</v>
      </c>
      <c r="AW138" s="686">
        <v>1.7500000000000002E-2</v>
      </c>
      <c r="AX138" s="686">
        <v>0</v>
      </c>
      <c r="AY138" s="688">
        <v>3</v>
      </c>
      <c r="AZ138" s="11" t="s">
        <v>1991</v>
      </c>
      <c r="BA138" s="186" t="s">
        <v>1710</v>
      </c>
      <c r="BB138" s="747" t="s">
        <v>1717</v>
      </c>
      <c r="BC138" s="747" t="s">
        <v>519</v>
      </c>
      <c r="BD138" s="747" t="s">
        <v>247</v>
      </c>
      <c r="BE138" s="186">
        <v>0.125</v>
      </c>
      <c r="BF138" s="186">
        <v>7.4999999999999997E-3</v>
      </c>
      <c r="BG138" s="12">
        <v>2.58</v>
      </c>
      <c r="BH138" s="11"/>
      <c r="BI138" s="186"/>
      <c r="BJ138" s="747"/>
      <c r="BK138" s="747"/>
      <c r="BL138" s="747"/>
      <c r="BM138" s="186"/>
      <c r="BN138" s="186"/>
      <c r="BO138" s="12"/>
      <c r="BP138" s="251"/>
      <c r="BQ138" s="183"/>
      <c r="BR138" s="23"/>
      <c r="BS138" s="23"/>
      <c r="BT138" s="23"/>
      <c r="BU138" s="183"/>
      <c r="BV138" s="183"/>
      <c r="BW138" s="249"/>
    </row>
    <row r="139" spans="1:75">
      <c r="A139" s="1" t="s">
        <v>797</v>
      </c>
      <c r="B139" s="1" t="s">
        <v>795</v>
      </c>
      <c r="C139" s="1" t="s">
        <v>796</v>
      </c>
      <c r="D139" s="1" t="s">
        <v>1864</v>
      </c>
      <c r="E139" s="1" t="s">
        <v>1805</v>
      </c>
      <c r="F139" s="1">
        <v>0.83</v>
      </c>
      <c r="G139" s="1">
        <v>0</v>
      </c>
      <c r="H139" s="1">
        <v>2.3199999999999998</v>
      </c>
      <c r="I139" s="20" t="s">
        <v>684</v>
      </c>
      <c r="AI139" s="757"/>
      <c r="AJ139" s="686" t="s">
        <v>2569</v>
      </c>
      <c r="AK139" s="686" t="s">
        <v>523</v>
      </c>
      <c r="AL139" s="687" t="s">
        <v>2574</v>
      </c>
      <c r="AM139" s="687" t="s">
        <v>1180</v>
      </c>
      <c r="AN139" s="762" t="s">
        <v>1730</v>
      </c>
      <c r="AO139" s="686">
        <v>3.5000000000000003E-2</v>
      </c>
      <c r="AP139" s="686">
        <v>0</v>
      </c>
      <c r="AQ139" s="688">
        <v>2.3199999999999998</v>
      </c>
      <c r="AR139" s="685" t="s">
        <v>2802</v>
      </c>
      <c r="AS139" s="686" t="s">
        <v>523</v>
      </c>
      <c r="AT139" s="687" t="s">
        <v>2574</v>
      </c>
      <c r="AU139" s="687" t="s">
        <v>1180</v>
      </c>
      <c r="AV139" s="762" t="s">
        <v>1730</v>
      </c>
      <c r="AW139" s="686">
        <v>3.5000000000000003E-2</v>
      </c>
      <c r="AX139" s="686">
        <v>0</v>
      </c>
      <c r="AY139" s="688">
        <v>3</v>
      </c>
      <c r="AZ139" s="11" t="s">
        <v>1991</v>
      </c>
      <c r="BA139" s="186" t="s">
        <v>1710</v>
      </c>
      <c r="BB139" s="747" t="s">
        <v>1718</v>
      </c>
      <c r="BC139" s="747" t="s">
        <v>520</v>
      </c>
      <c r="BD139" s="747" t="s">
        <v>247</v>
      </c>
      <c r="BE139" s="186">
        <v>6.25E-2</v>
      </c>
      <c r="BF139" s="186">
        <v>3.7499999999999999E-3</v>
      </c>
      <c r="BG139" s="12">
        <v>2.58</v>
      </c>
      <c r="BH139" s="11"/>
      <c r="BI139" s="186"/>
      <c r="BJ139" s="747"/>
      <c r="BK139" s="747"/>
      <c r="BL139" s="747"/>
      <c r="BM139" s="186"/>
      <c r="BN139" s="186"/>
      <c r="BO139" s="12"/>
      <c r="BP139" s="251"/>
      <c r="BQ139" s="183"/>
      <c r="BR139" s="23"/>
      <c r="BS139" s="23"/>
      <c r="BT139" s="23"/>
      <c r="BU139" s="183"/>
      <c r="BV139" s="183"/>
      <c r="BW139" s="249"/>
    </row>
    <row r="140" spans="1:75">
      <c r="A140" s="1" t="s">
        <v>798</v>
      </c>
      <c r="B140" s="1" t="s">
        <v>795</v>
      </c>
      <c r="C140" s="1" t="s">
        <v>796</v>
      </c>
      <c r="D140" s="1" t="s">
        <v>1899</v>
      </c>
      <c r="E140" s="1" t="s">
        <v>1833</v>
      </c>
      <c r="F140" s="1">
        <v>0.56999999999999995</v>
      </c>
      <c r="G140" s="1">
        <v>0</v>
      </c>
      <c r="H140" s="1">
        <v>2.3199999999999998</v>
      </c>
      <c r="I140" s="20" t="s">
        <v>684</v>
      </c>
      <c r="AI140" s="757"/>
      <c r="AJ140" s="686" t="s">
        <v>2569</v>
      </c>
      <c r="AK140" s="686" t="s">
        <v>523</v>
      </c>
      <c r="AL140" s="687" t="s">
        <v>2575</v>
      </c>
      <c r="AM140" s="687" t="s">
        <v>277</v>
      </c>
      <c r="AN140" s="762" t="s">
        <v>1730</v>
      </c>
      <c r="AO140" s="686">
        <v>1.7500000000000002E-2</v>
      </c>
      <c r="AP140" s="686">
        <v>0</v>
      </c>
      <c r="AQ140" s="688">
        <v>2.3199999999999998</v>
      </c>
      <c r="AR140" s="685" t="s">
        <v>2790</v>
      </c>
      <c r="AS140" s="686" t="s">
        <v>523</v>
      </c>
      <c r="AT140" s="687" t="s">
        <v>2575</v>
      </c>
      <c r="AU140" s="687" t="s">
        <v>277</v>
      </c>
      <c r="AV140" s="762" t="s">
        <v>1730</v>
      </c>
      <c r="AW140" s="686">
        <v>1.7500000000000002E-2</v>
      </c>
      <c r="AX140" s="686">
        <v>0</v>
      </c>
      <c r="AY140" s="688">
        <v>3</v>
      </c>
      <c r="AZ140" s="11" t="s">
        <v>1991</v>
      </c>
      <c r="BA140" s="186" t="s">
        <v>1710</v>
      </c>
      <c r="BB140" s="747" t="s">
        <v>1719</v>
      </c>
      <c r="BC140" s="747" t="s">
        <v>520</v>
      </c>
      <c r="BD140" s="747" t="s">
        <v>247</v>
      </c>
      <c r="BE140" s="186">
        <v>6.25E-2</v>
      </c>
      <c r="BF140" s="186">
        <v>3.7499999999999999E-3</v>
      </c>
      <c r="BG140" s="12">
        <v>2.58</v>
      </c>
      <c r="BH140" s="11"/>
      <c r="BI140" s="186"/>
      <c r="BJ140" s="747"/>
      <c r="BK140" s="747"/>
      <c r="BL140" s="747"/>
      <c r="BM140" s="186"/>
      <c r="BN140" s="186"/>
      <c r="BO140" s="12"/>
      <c r="BP140" s="251"/>
      <c r="BQ140" s="183"/>
      <c r="BR140" s="23"/>
      <c r="BS140" s="23"/>
      <c r="BT140" s="23"/>
      <c r="BU140" s="183"/>
      <c r="BV140" s="183"/>
      <c r="BW140" s="249"/>
    </row>
    <row r="141" spans="1:75">
      <c r="A141" s="1" t="s">
        <v>799</v>
      </c>
      <c r="B141" s="1" t="s">
        <v>795</v>
      </c>
      <c r="C141" s="1" t="s">
        <v>796</v>
      </c>
      <c r="D141" s="1" t="s">
        <v>1884</v>
      </c>
      <c r="E141" s="1" t="s">
        <v>1824</v>
      </c>
      <c r="F141" s="1">
        <v>0.49</v>
      </c>
      <c r="G141" s="1">
        <v>0</v>
      </c>
      <c r="H141" s="1">
        <v>2.3199999999999998</v>
      </c>
      <c r="I141" s="20" t="s">
        <v>684</v>
      </c>
      <c r="AI141" s="757"/>
      <c r="AJ141" s="686" t="s">
        <v>2569</v>
      </c>
      <c r="AK141" s="686" t="s">
        <v>523</v>
      </c>
      <c r="AL141" s="687" t="s">
        <v>2576</v>
      </c>
      <c r="AM141" s="687" t="s">
        <v>1171</v>
      </c>
      <c r="AN141" s="762" t="s">
        <v>1730</v>
      </c>
      <c r="AO141" s="686">
        <v>6.3E-2</v>
      </c>
      <c r="AP141" s="686">
        <v>0</v>
      </c>
      <c r="AQ141" s="688">
        <v>2.3199999999999998</v>
      </c>
      <c r="AR141" s="685" t="s">
        <v>2802</v>
      </c>
      <c r="AS141" s="686" t="s">
        <v>523</v>
      </c>
      <c r="AT141" s="687" t="s">
        <v>2576</v>
      </c>
      <c r="AU141" s="687" t="s">
        <v>1171</v>
      </c>
      <c r="AV141" s="762" t="s">
        <v>1730</v>
      </c>
      <c r="AW141" s="686">
        <v>6.3E-2</v>
      </c>
      <c r="AX141" s="686">
        <v>0</v>
      </c>
      <c r="AY141" s="688">
        <v>3</v>
      </c>
      <c r="AZ141" s="11" t="s">
        <v>1991</v>
      </c>
      <c r="BA141" s="186" t="s">
        <v>591</v>
      </c>
      <c r="BB141" s="747" t="s">
        <v>592</v>
      </c>
      <c r="BC141" s="747" t="s">
        <v>1730</v>
      </c>
      <c r="BD141" s="747" t="s">
        <v>248</v>
      </c>
      <c r="BE141" s="186">
        <v>0.15</v>
      </c>
      <c r="BF141" s="186">
        <v>7.0000000000000001E-3</v>
      </c>
      <c r="BG141" s="12">
        <v>2.58</v>
      </c>
      <c r="BH141" s="11"/>
      <c r="BI141" s="186"/>
      <c r="BJ141" s="747"/>
      <c r="BK141" s="747"/>
      <c r="BL141" s="747"/>
      <c r="BM141" s="186"/>
      <c r="BN141" s="186"/>
      <c r="BO141" s="12"/>
      <c r="BP141" s="251"/>
      <c r="BQ141" s="183"/>
      <c r="BR141" s="23"/>
      <c r="BS141" s="23"/>
      <c r="BT141" s="23"/>
      <c r="BU141" s="183"/>
      <c r="BV141" s="183"/>
      <c r="BW141" s="249"/>
    </row>
    <row r="142" spans="1:75">
      <c r="A142" s="1" t="s">
        <v>800</v>
      </c>
      <c r="B142" s="1" t="s">
        <v>795</v>
      </c>
      <c r="C142" s="1" t="s">
        <v>796</v>
      </c>
      <c r="D142" s="1" t="s">
        <v>1952</v>
      </c>
      <c r="E142" s="1" t="s">
        <v>1834</v>
      </c>
      <c r="F142" s="1">
        <v>0.4</v>
      </c>
      <c r="G142" s="1">
        <v>0</v>
      </c>
      <c r="H142" s="1">
        <v>2.3199999999999998</v>
      </c>
      <c r="I142" s="20" t="s">
        <v>684</v>
      </c>
      <c r="AI142" s="757"/>
      <c r="AJ142" s="686" t="s">
        <v>2569</v>
      </c>
      <c r="AK142" s="686" t="s">
        <v>2496</v>
      </c>
      <c r="AL142" s="687" t="s">
        <v>2577</v>
      </c>
      <c r="AM142" s="687" t="s">
        <v>1730</v>
      </c>
      <c r="AN142" s="762" t="s">
        <v>1730</v>
      </c>
      <c r="AO142" s="686">
        <v>7.0000000000000007E-2</v>
      </c>
      <c r="AP142" s="686">
        <v>0</v>
      </c>
      <c r="AQ142" s="688">
        <v>2.3199999999999998</v>
      </c>
      <c r="AR142" s="685" t="s">
        <v>2802</v>
      </c>
      <c r="AS142" s="686" t="s">
        <v>2496</v>
      </c>
      <c r="AT142" s="687" t="s">
        <v>2577</v>
      </c>
      <c r="AU142" s="687" t="s">
        <v>1730</v>
      </c>
      <c r="AV142" s="762" t="s">
        <v>1730</v>
      </c>
      <c r="AW142" s="686">
        <v>7.0000000000000007E-2</v>
      </c>
      <c r="AX142" s="686">
        <v>0</v>
      </c>
      <c r="AY142" s="688">
        <v>3</v>
      </c>
      <c r="AZ142" s="11" t="s">
        <v>1991</v>
      </c>
      <c r="BA142" s="186" t="s">
        <v>591</v>
      </c>
      <c r="BB142" s="747" t="s">
        <v>594</v>
      </c>
      <c r="BC142" s="747" t="s">
        <v>1730</v>
      </c>
      <c r="BD142" s="747" t="s">
        <v>248</v>
      </c>
      <c r="BE142" s="186">
        <v>7.4999999999999997E-2</v>
      </c>
      <c r="BF142" s="186">
        <v>3.5000000000000001E-3</v>
      </c>
      <c r="BG142" s="12">
        <v>2.58</v>
      </c>
      <c r="BH142" s="11"/>
      <c r="BI142" s="186"/>
      <c r="BJ142" s="747"/>
      <c r="BK142" s="747"/>
      <c r="BL142" s="747"/>
      <c r="BM142" s="186"/>
      <c r="BN142" s="186"/>
      <c r="BO142" s="12"/>
      <c r="BP142" s="251"/>
      <c r="BQ142" s="183"/>
      <c r="BR142" s="23"/>
      <c r="BS142" s="23"/>
      <c r="BT142" s="23"/>
      <c r="BU142" s="183"/>
      <c r="BV142" s="183"/>
      <c r="BW142" s="249"/>
    </row>
    <row r="143" spans="1:75">
      <c r="A143" s="1" t="s">
        <v>801</v>
      </c>
      <c r="B143" s="1" t="s">
        <v>795</v>
      </c>
      <c r="C143" s="1" t="s">
        <v>796</v>
      </c>
      <c r="D143" s="1" t="s">
        <v>1953</v>
      </c>
      <c r="E143" s="1" t="s">
        <v>1835</v>
      </c>
      <c r="F143" s="1">
        <v>0.33</v>
      </c>
      <c r="G143" s="1">
        <v>0</v>
      </c>
      <c r="H143" s="1">
        <v>2.3199999999999998</v>
      </c>
      <c r="I143" s="20" t="s">
        <v>684</v>
      </c>
      <c r="AI143" s="757"/>
      <c r="AJ143" s="686" t="s">
        <v>2569</v>
      </c>
      <c r="AK143" s="686" t="s">
        <v>2496</v>
      </c>
      <c r="AL143" s="687" t="s">
        <v>2578</v>
      </c>
      <c r="AM143" s="687" t="s">
        <v>1730</v>
      </c>
      <c r="AN143" s="762" t="s">
        <v>1730</v>
      </c>
      <c r="AO143" s="686">
        <v>3.5000000000000003E-2</v>
      </c>
      <c r="AP143" s="686">
        <v>0</v>
      </c>
      <c r="AQ143" s="688">
        <v>2.3199999999999998</v>
      </c>
      <c r="AR143" s="685" t="s">
        <v>2790</v>
      </c>
      <c r="AS143" s="686" t="s">
        <v>2496</v>
      </c>
      <c r="AT143" s="687" t="s">
        <v>2578</v>
      </c>
      <c r="AU143" s="687" t="s">
        <v>1730</v>
      </c>
      <c r="AV143" s="762" t="s">
        <v>1730</v>
      </c>
      <c r="AW143" s="686">
        <v>3.5000000000000003E-2</v>
      </c>
      <c r="AX143" s="686">
        <v>0</v>
      </c>
      <c r="AY143" s="688">
        <v>3</v>
      </c>
      <c r="AZ143" s="11" t="s">
        <v>1991</v>
      </c>
      <c r="BA143" s="186" t="s">
        <v>591</v>
      </c>
      <c r="BB143" s="747" t="s">
        <v>1184</v>
      </c>
      <c r="BC143" s="693" t="s">
        <v>1730</v>
      </c>
      <c r="BD143" s="747" t="s">
        <v>248</v>
      </c>
      <c r="BE143" s="186">
        <v>0.13500000000000001</v>
      </c>
      <c r="BF143" s="186">
        <v>6.3E-3</v>
      </c>
      <c r="BG143" s="12">
        <v>2.58</v>
      </c>
      <c r="BH143" s="11"/>
      <c r="BI143" s="186"/>
      <c r="BJ143" s="747"/>
      <c r="BK143" s="747"/>
      <c r="BL143" s="747"/>
      <c r="BM143" s="186"/>
      <c r="BN143" s="186"/>
      <c r="BO143" s="12"/>
      <c r="BP143" s="251"/>
      <c r="BQ143" s="183"/>
      <c r="BR143" s="23"/>
      <c r="BS143" s="23"/>
      <c r="BT143" s="23"/>
      <c r="BU143" s="183"/>
      <c r="BV143" s="183"/>
      <c r="BW143" s="249"/>
    </row>
    <row r="144" spans="1:75">
      <c r="A144" s="1" t="s">
        <v>802</v>
      </c>
      <c r="B144" s="1" t="s">
        <v>795</v>
      </c>
      <c r="C144" s="1" t="s">
        <v>796</v>
      </c>
      <c r="D144" s="1" t="s">
        <v>1953</v>
      </c>
      <c r="E144" s="1" t="s">
        <v>1836</v>
      </c>
      <c r="F144" s="1">
        <v>0.33</v>
      </c>
      <c r="G144" s="1">
        <v>0</v>
      </c>
      <c r="H144" s="1">
        <v>2.3199999999999998</v>
      </c>
      <c r="I144" s="20" t="s">
        <v>684</v>
      </c>
      <c r="AI144" s="757"/>
      <c r="AJ144" s="686" t="s">
        <v>2569</v>
      </c>
      <c r="AK144" s="686" t="s">
        <v>2496</v>
      </c>
      <c r="AL144" s="687" t="s">
        <v>2579</v>
      </c>
      <c r="AM144" s="687" t="s">
        <v>1730</v>
      </c>
      <c r="AN144" s="762" t="s">
        <v>1730</v>
      </c>
      <c r="AO144" s="686">
        <v>1.7500000000000002E-2</v>
      </c>
      <c r="AP144" s="686">
        <v>0</v>
      </c>
      <c r="AQ144" s="688">
        <v>2.3199999999999998</v>
      </c>
      <c r="AR144" s="685" t="s">
        <v>2802</v>
      </c>
      <c r="AS144" s="686" t="s">
        <v>2496</v>
      </c>
      <c r="AT144" s="687" t="s">
        <v>2579</v>
      </c>
      <c r="AU144" s="687" t="s">
        <v>1730</v>
      </c>
      <c r="AV144" s="762" t="s">
        <v>1730</v>
      </c>
      <c r="AW144" s="686">
        <v>1.7500000000000002E-2</v>
      </c>
      <c r="AX144" s="686">
        <v>0</v>
      </c>
      <c r="AY144" s="688">
        <v>3</v>
      </c>
      <c r="AZ144" s="11" t="s">
        <v>1991</v>
      </c>
      <c r="BA144" s="186" t="s">
        <v>591</v>
      </c>
      <c r="BB144" s="747" t="s">
        <v>1185</v>
      </c>
      <c r="BC144" s="693" t="s">
        <v>1730</v>
      </c>
      <c r="BD144" s="747" t="s">
        <v>248</v>
      </c>
      <c r="BE144" s="186">
        <v>0.13500000000000001</v>
      </c>
      <c r="BF144" s="186">
        <v>6.3E-3</v>
      </c>
      <c r="BG144" s="12">
        <v>2.58</v>
      </c>
      <c r="BH144" s="11"/>
      <c r="BI144" s="186"/>
      <c r="BJ144" s="747"/>
      <c r="BK144" s="747"/>
      <c r="BL144" s="747"/>
      <c r="BM144" s="186"/>
      <c r="BN144" s="186"/>
      <c r="BO144" s="12"/>
      <c r="BP144" s="251"/>
      <c r="BQ144" s="183"/>
      <c r="BR144" s="23"/>
      <c r="BS144" s="23"/>
      <c r="BT144" s="23"/>
      <c r="BU144" s="183"/>
      <c r="BV144" s="183"/>
      <c r="BW144" s="249"/>
    </row>
    <row r="145" spans="1:75">
      <c r="A145" s="1" t="s">
        <v>803</v>
      </c>
      <c r="B145" s="1" t="s">
        <v>795</v>
      </c>
      <c r="C145" s="1" t="s">
        <v>796</v>
      </c>
      <c r="D145" s="1" t="s">
        <v>1953</v>
      </c>
      <c r="E145" s="1" t="s">
        <v>1837</v>
      </c>
      <c r="F145" s="1">
        <v>0.16500000000000001</v>
      </c>
      <c r="G145" s="1">
        <v>0</v>
      </c>
      <c r="H145" s="1">
        <v>2.3199999999999998</v>
      </c>
      <c r="I145" s="20" t="s">
        <v>691</v>
      </c>
      <c r="J145" s="1" t="s">
        <v>692</v>
      </c>
      <c r="AI145" s="757"/>
      <c r="AJ145" s="686" t="s">
        <v>2569</v>
      </c>
      <c r="AK145" s="686" t="s">
        <v>2496</v>
      </c>
      <c r="AL145" s="687" t="s">
        <v>2580</v>
      </c>
      <c r="AM145" s="687" t="s">
        <v>1180</v>
      </c>
      <c r="AN145" s="762" t="s">
        <v>1730</v>
      </c>
      <c r="AO145" s="686">
        <v>5.2500000000000005E-2</v>
      </c>
      <c r="AP145" s="686">
        <v>0</v>
      </c>
      <c r="AQ145" s="688">
        <v>2.3199999999999998</v>
      </c>
      <c r="AR145" s="685" t="s">
        <v>2790</v>
      </c>
      <c r="AS145" s="686" t="s">
        <v>2496</v>
      </c>
      <c r="AT145" s="687" t="s">
        <v>2580</v>
      </c>
      <c r="AU145" s="687" t="s">
        <v>1180</v>
      </c>
      <c r="AV145" s="762" t="s">
        <v>1730</v>
      </c>
      <c r="AW145" s="686">
        <v>5.2500000000000005E-2</v>
      </c>
      <c r="AX145" s="686">
        <v>0</v>
      </c>
      <c r="AY145" s="688">
        <v>3</v>
      </c>
      <c r="AZ145" s="685" t="s">
        <v>1991</v>
      </c>
      <c r="BA145" s="686" t="s">
        <v>1710</v>
      </c>
      <c r="BB145" s="687" t="s">
        <v>2589</v>
      </c>
      <c r="BC145" s="687" t="s">
        <v>1730</v>
      </c>
      <c r="BD145" s="687" t="s">
        <v>247</v>
      </c>
      <c r="BE145" s="686">
        <v>6.25E-2</v>
      </c>
      <c r="BF145" s="686">
        <v>3.7499999999999999E-3</v>
      </c>
      <c r="BG145" s="688">
        <v>2.58</v>
      </c>
      <c r="BH145" s="11"/>
      <c r="BI145" s="186"/>
      <c r="BJ145" s="747"/>
      <c r="BK145" s="747"/>
      <c r="BL145" s="747"/>
      <c r="BM145" s="186"/>
      <c r="BN145" s="186"/>
      <c r="BO145" s="12"/>
      <c r="BP145" s="251"/>
      <c r="BQ145" s="183"/>
      <c r="BR145" s="23"/>
      <c r="BS145" s="23"/>
      <c r="BT145" s="23"/>
      <c r="BU145" s="183"/>
      <c r="BV145" s="183"/>
      <c r="BW145" s="249"/>
    </row>
    <row r="146" spans="1:75">
      <c r="A146" s="1" t="s">
        <v>804</v>
      </c>
      <c r="B146" s="1" t="s">
        <v>795</v>
      </c>
      <c r="C146" s="1" t="s">
        <v>796</v>
      </c>
      <c r="D146" s="1" t="s">
        <v>1803</v>
      </c>
      <c r="E146" s="1" t="s">
        <v>1954</v>
      </c>
      <c r="F146" s="1">
        <v>0.1</v>
      </c>
      <c r="G146" s="1">
        <v>0</v>
      </c>
      <c r="H146" s="1">
        <v>2.3199999999999998</v>
      </c>
      <c r="I146" s="20" t="s">
        <v>684</v>
      </c>
      <c r="AI146" s="757"/>
      <c r="AJ146" s="686" t="s">
        <v>2569</v>
      </c>
      <c r="AK146" s="686" t="s">
        <v>2496</v>
      </c>
      <c r="AL146" s="687" t="s">
        <v>2581</v>
      </c>
      <c r="AM146" s="687" t="s">
        <v>1180</v>
      </c>
      <c r="AN146" s="762" t="s">
        <v>1730</v>
      </c>
      <c r="AO146" s="686">
        <v>5.2499999999999998E-2</v>
      </c>
      <c r="AP146" s="686">
        <v>0</v>
      </c>
      <c r="AQ146" s="688">
        <v>2.3199999999999998</v>
      </c>
      <c r="AR146" s="685" t="s">
        <v>2802</v>
      </c>
      <c r="AS146" s="686" t="s">
        <v>2496</v>
      </c>
      <c r="AT146" s="687" t="s">
        <v>2581</v>
      </c>
      <c r="AU146" s="687" t="s">
        <v>1180</v>
      </c>
      <c r="AV146" s="762" t="s">
        <v>1730</v>
      </c>
      <c r="AW146" s="686">
        <v>5.2499999999999998E-2</v>
      </c>
      <c r="AX146" s="686">
        <v>0</v>
      </c>
      <c r="AY146" s="688">
        <v>3</v>
      </c>
      <c r="AZ146" s="685" t="s">
        <v>1991</v>
      </c>
      <c r="BA146" s="686" t="s">
        <v>1710</v>
      </c>
      <c r="BB146" s="687" t="s">
        <v>2590</v>
      </c>
      <c r="BC146" s="687" t="s">
        <v>278</v>
      </c>
      <c r="BD146" s="687" t="s">
        <v>247</v>
      </c>
      <c r="BE146" s="686">
        <v>0.125</v>
      </c>
      <c r="BF146" s="686">
        <v>7.4999999999999997E-3</v>
      </c>
      <c r="BG146" s="688">
        <v>2.58</v>
      </c>
      <c r="BH146" s="11"/>
      <c r="BI146" s="186"/>
      <c r="BJ146" s="747"/>
      <c r="BK146" s="747"/>
      <c r="BL146" s="747"/>
      <c r="BM146" s="186"/>
      <c r="BN146" s="186"/>
      <c r="BO146" s="12"/>
      <c r="BP146" s="251"/>
      <c r="BQ146" s="183"/>
      <c r="BR146" s="23"/>
      <c r="BS146" s="23"/>
      <c r="BT146" s="23"/>
      <c r="BU146" s="183"/>
      <c r="BV146" s="183"/>
      <c r="BW146" s="249"/>
    </row>
    <row r="147" spans="1:75">
      <c r="A147" s="1" t="s">
        <v>805</v>
      </c>
      <c r="B147" s="1" t="s">
        <v>795</v>
      </c>
      <c r="C147" s="1" t="s">
        <v>796</v>
      </c>
      <c r="D147" s="1" t="s">
        <v>1803</v>
      </c>
      <c r="E147" s="1" t="s">
        <v>1955</v>
      </c>
      <c r="F147" s="1">
        <v>0.05</v>
      </c>
      <c r="G147" s="1">
        <v>0</v>
      </c>
      <c r="H147" s="1">
        <v>2.3199999999999998</v>
      </c>
      <c r="I147" s="20" t="s">
        <v>691</v>
      </c>
      <c r="J147" s="1" t="s">
        <v>692</v>
      </c>
      <c r="AI147" s="757"/>
      <c r="AJ147" s="686" t="s">
        <v>2569</v>
      </c>
      <c r="AK147" s="686" t="s">
        <v>2496</v>
      </c>
      <c r="AL147" s="687" t="s">
        <v>2582</v>
      </c>
      <c r="AM147" s="687" t="s">
        <v>1180</v>
      </c>
      <c r="AN147" s="762" t="s">
        <v>1730</v>
      </c>
      <c r="AO147" s="686">
        <v>5.2499999999999998E-2</v>
      </c>
      <c r="AP147" s="686">
        <v>0</v>
      </c>
      <c r="AQ147" s="688">
        <v>2.3199999999999998</v>
      </c>
      <c r="AR147" s="685" t="s">
        <v>2790</v>
      </c>
      <c r="AS147" s="686" t="s">
        <v>2496</v>
      </c>
      <c r="AT147" s="687" t="s">
        <v>2582</v>
      </c>
      <c r="AU147" s="687" t="s">
        <v>1180</v>
      </c>
      <c r="AV147" s="762" t="s">
        <v>1730</v>
      </c>
      <c r="AW147" s="686">
        <v>5.2499999999999998E-2</v>
      </c>
      <c r="AX147" s="686">
        <v>0</v>
      </c>
      <c r="AY147" s="688">
        <v>3</v>
      </c>
      <c r="AZ147" s="685" t="s">
        <v>1991</v>
      </c>
      <c r="BA147" s="686" t="s">
        <v>1710</v>
      </c>
      <c r="BB147" s="687" t="s">
        <v>2591</v>
      </c>
      <c r="BC147" s="687" t="s">
        <v>277</v>
      </c>
      <c r="BD147" s="687" t="s">
        <v>247</v>
      </c>
      <c r="BE147" s="686">
        <v>6.25E-2</v>
      </c>
      <c r="BF147" s="686">
        <v>3.7499999999999999E-3</v>
      </c>
      <c r="BG147" s="688">
        <v>2.58</v>
      </c>
      <c r="BH147" s="11"/>
      <c r="BI147" s="186"/>
      <c r="BJ147" s="747"/>
      <c r="BK147" s="747"/>
      <c r="BL147" s="747"/>
      <c r="BM147" s="186"/>
      <c r="BN147" s="186"/>
      <c r="BO147" s="12"/>
      <c r="BP147" s="251"/>
      <c r="BQ147" s="183"/>
      <c r="BR147" s="23"/>
      <c r="BS147" s="23"/>
      <c r="BT147" s="23"/>
      <c r="BU147" s="183"/>
      <c r="BV147" s="183"/>
      <c r="BW147" s="249"/>
    </row>
    <row r="148" spans="1:75">
      <c r="A148" s="1" t="s">
        <v>806</v>
      </c>
      <c r="B148" s="1" t="s">
        <v>795</v>
      </c>
      <c r="C148" s="1" t="s">
        <v>796</v>
      </c>
      <c r="D148" s="1" t="s">
        <v>1803</v>
      </c>
      <c r="E148" s="1" t="s">
        <v>1956</v>
      </c>
      <c r="F148" s="1">
        <v>7.4999999999999997E-2</v>
      </c>
      <c r="G148" s="1">
        <v>0</v>
      </c>
      <c r="H148" s="1">
        <v>2.3199999999999998</v>
      </c>
      <c r="I148" s="20" t="s">
        <v>684</v>
      </c>
      <c r="J148" s="1" t="s">
        <v>515</v>
      </c>
      <c r="AI148" s="757"/>
      <c r="AJ148" s="686" t="s">
        <v>2569</v>
      </c>
      <c r="AK148" s="686" t="s">
        <v>2496</v>
      </c>
      <c r="AL148" s="687" t="s">
        <v>2583</v>
      </c>
      <c r="AM148" s="687" t="s">
        <v>277</v>
      </c>
      <c r="AN148" s="762" t="s">
        <v>1730</v>
      </c>
      <c r="AO148" s="686">
        <v>3.5000000000000003E-2</v>
      </c>
      <c r="AP148" s="686">
        <v>0</v>
      </c>
      <c r="AQ148" s="688">
        <v>2.3199999999999998</v>
      </c>
      <c r="AR148" s="685" t="s">
        <v>2790</v>
      </c>
      <c r="AS148" s="686" t="s">
        <v>2496</v>
      </c>
      <c r="AT148" s="687" t="s">
        <v>2583</v>
      </c>
      <c r="AU148" s="687" t="s">
        <v>277</v>
      </c>
      <c r="AV148" s="762" t="s">
        <v>1730</v>
      </c>
      <c r="AW148" s="686">
        <v>3.5000000000000003E-2</v>
      </c>
      <c r="AX148" s="686">
        <v>0</v>
      </c>
      <c r="AY148" s="688">
        <v>3</v>
      </c>
      <c r="AZ148" s="685" t="s">
        <v>1991</v>
      </c>
      <c r="BA148" s="686" t="s">
        <v>591</v>
      </c>
      <c r="BB148" s="687" t="s">
        <v>2592</v>
      </c>
      <c r="BC148" s="687" t="s">
        <v>1730</v>
      </c>
      <c r="BD148" s="687" t="s">
        <v>248</v>
      </c>
      <c r="BE148" s="686">
        <v>3.7499999999999999E-2</v>
      </c>
      <c r="BF148" s="686">
        <v>1.75E-3</v>
      </c>
      <c r="BG148" s="688">
        <v>2.58</v>
      </c>
      <c r="BH148" s="11"/>
      <c r="BI148" s="186"/>
      <c r="BJ148" s="747"/>
      <c r="BK148" s="747"/>
      <c r="BL148" s="747"/>
      <c r="BM148" s="186"/>
      <c r="BN148" s="186"/>
      <c r="BO148" s="12"/>
      <c r="BP148" s="251"/>
      <c r="BQ148" s="183"/>
      <c r="BR148" s="23"/>
      <c r="BS148" s="23"/>
      <c r="BT148" s="23"/>
      <c r="BU148" s="183"/>
      <c r="BV148" s="183"/>
      <c r="BW148" s="249"/>
    </row>
    <row r="149" spans="1:75">
      <c r="A149" s="1" t="s">
        <v>807</v>
      </c>
      <c r="B149" s="1" t="s">
        <v>795</v>
      </c>
      <c r="C149" s="1" t="s">
        <v>796</v>
      </c>
      <c r="D149" s="1" t="s">
        <v>1803</v>
      </c>
      <c r="E149" s="1" t="s">
        <v>1957</v>
      </c>
      <c r="F149" s="1">
        <v>7.4999999999999997E-2</v>
      </c>
      <c r="G149" s="1">
        <v>0</v>
      </c>
      <c r="H149" s="1">
        <v>2.3199999999999998</v>
      </c>
      <c r="I149" s="20" t="s">
        <v>691</v>
      </c>
      <c r="J149" s="1" t="s">
        <v>697</v>
      </c>
      <c r="AI149" s="757"/>
      <c r="AJ149" s="686" t="s">
        <v>2569</v>
      </c>
      <c r="AK149" s="686" t="s">
        <v>2496</v>
      </c>
      <c r="AL149" s="687" t="s">
        <v>2584</v>
      </c>
      <c r="AM149" s="687" t="s">
        <v>277</v>
      </c>
      <c r="AN149" s="762" t="s">
        <v>1730</v>
      </c>
      <c r="AO149" s="686">
        <v>3.5000000000000003E-2</v>
      </c>
      <c r="AP149" s="686">
        <v>0</v>
      </c>
      <c r="AQ149" s="688">
        <v>2.3199999999999998</v>
      </c>
      <c r="AR149" s="685" t="s">
        <v>2790</v>
      </c>
      <c r="AS149" s="686" t="s">
        <v>2496</v>
      </c>
      <c r="AT149" s="687" t="s">
        <v>2584</v>
      </c>
      <c r="AU149" s="687" t="s">
        <v>277</v>
      </c>
      <c r="AV149" s="762" t="s">
        <v>1730</v>
      </c>
      <c r="AW149" s="686">
        <v>3.5000000000000003E-2</v>
      </c>
      <c r="AX149" s="686">
        <v>0</v>
      </c>
      <c r="AY149" s="688">
        <v>3</v>
      </c>
      <c r="AZ149" s="685" t="s">
        <v>1991</v>
      </c>
      <c r="BA149" s="686" t="s">
        <v>591</v>
      </c>
      <c r="BB149" s="687" t="s">
        <v>2593</v>
      </c>
      <c r="BC149" s="762" t="s">
        <v>1730</v>
      </c>
      <c r="BD149" s="687" t="s">
        <v>248</v>
      </c>
      <c r="BE149" s="686">
        <v>0.13500000000000001</v>
      </c>
      <c r="BF149" s="686">
        <v>6.3E-3</v>
      </c>
      <c r="BG149" s="688">
        <v>2.58</v>
      </c>
      <c r="BH149" s="11"/>
      <c r="BI149" s="186"/>
      <c r="BJ149" s="747"/>
      <c r="BK149" s="747"/>
      <c r="BL149" s="747"/>
      <c r="BM149" s="186"/>
      <c r="BN149" s="186"/>
      <c r="BO149" s="12"/>
      <c r="BP149" s="251"/>
      <c r="BQ149" s="183"/>
      <c r="BR149" s="23"/>
      <c r="BS149" s="23"/>
      <c r="BT149" s="23"/>
      <c r="BU149" s="183"/>
      <c r="BV149" s="183"/>
      <c r="BW149" s="249"/>
    </row>
    <row r="150" spans="1:75">
      <c r="A150" s="1" t="s">
        <v>808</v>
      </c>
      <c r="B150" s="1" t="s">
        <v>795</v>
      </c>
      <c r="C150" s="1" t="s">
        <v>796</v>
      </c>
      <c r="D150" s="1" t="s">
        <v>1803</v>
      </c>
      <c r="E150" s="1" t="s">
        <v>1958</v>
      </c>
      <c r="F150" s="1">
        <v>0.05</v>
      </c>
      <c r="G150" s="1">
        <v>0</v>
      </c>
      <c r="H150" s="1">
        <v>2.3199999999999998</v>
      </c>
      <c r="I150" s="20" t="s">
        <v>684</v>
      </c>
      <c r="J150" s="1" t="s">
        <v>516</v>
      </c>
      <c r="AI150" s="757"/>
      <c r="AJ150" s="686" t="s">
        <v>2569</v>
      </c>
      <c r="AK150" s="686" t="s">
        <v>2496</v>
      </c>
      <c r="AL150" s="687" t="s">
        <v>2585</v>
      </c>
      <c r="AM150" s="687" t="s">
        <v>277</v>
      </c>
      <c r="AN150" s="762" t="s">
        <v>1730</v>
      </c>
      <c r="AO150" s="686">
        <v>3.5000000000000003E-2</v>
      </c>
      <c r="AP150" s="686">
        <v>0</v>
      </c>
      <c r="AQ150" s="688">
        <v>2.3199999999999998</v>
      </c>
      <c r="AR150" s="685" t="s">
        <v>2790</v>
      </c>
      <c r="AS150" s="686" t="s">
        <v>2496</v>
      </c>
      <c r="AT150" s="687" t="s">
        <v>2585</v>
      </c>
      <c r="AU150" s="687" t="s">
        <v>277</v>
      </c>
      <c r="AV150" s="762" t="s">
        <v>1730</v>
      </c>
      <c r="AW150" s="686">
        <v>3.5000000000000003E-2</v>
      </c>
      <c r="AX150" s="686">
        <v>0</v>
      </c>
      <c r="AY150" s="688">
        <v>3</v>
      </c>
      <c r="AZ150" s="685" t="s">
        <v>1991</v>
      </c>
      <c r="BA150" s="686" t="s">
        <v>2496</v>
      </c>
      <c r="BB150" s="687" t="s">
        <v>2594</v>
      </c>
      <c r="BC150" s="687" t="s">
        <v>1730</v>
      </c>
      <c r="BD150" s="687" t="s">
        <v>2490</v>
      </c>
      <c r="BE150" s="686">
        <v>0.24</v>
      </c>
      <c r="BF150" s="686">
        <v>7.0000000000000001E-3</v>
      </c>
      <c r="BG150" s="688">
        <v>2.58</v>
      </c>
      <c r="BH150" s="11"/>
      <c r="BI150" s="186"/>
      <c r="BJ150" s="747"/>
      <c r="BK150" s="747"/>
      <c r="BL150" s="747"/>
      <c r="BM150" s="186"/>
      <c r="BN150" s="186"/>
      <c r="BO150" s="12"/>
      <c r="BP150" s="251"/>
      <c r="BQ150" s="183"/>
      <c r="BR150" s="23"/>
      <c r="BS150" s="23"/>
      <c r="BT150" s="23"/>
      <c r="BU150" s="183"/>
      <c r="BV150" s="183"/>
      <c r="BW150" s="249"/>
    </row>
    <row r="151" spans="1:75">
      <c r="A151" s="1" t="s">
        <v>809</v>
      </c>
      <c r="B151" s="1" t="s">
        <v>795</v>
      </c>
      <c r="C151" s="1" t="s">
        <v>796</v>
      </c>
      <c r="D151" s="1" t="s">
        <v>1803</v>
      </c>
      <c r="E151" s="1" t="s">
        <v>1959</v>
      </c>
      <c r="F151" s="1">
        <v>0.05</v>
      </c>
      <c r="G151" s="1">
        <v>0</v>
      </c>
      <c r="H151" s="1">
        <v>2.3199999999999998</v>
      </c>
      <c r="I151" s="20" t="s">
        <v>691</v>
      </c>
      <c r="J151" s="1" t="s">
        <v>700</v>
      </c>
      <c r="AI151" s="757"/>
      <c r="AJ151" s="686" t="s">
        <v>2569</v>
      </c>
      <c r="AK151" s="686" t="s">
        <v>2496</v>
      </c>
      <c r="AL151" s="687" t="s">
        <v>2586</v>
      </c>
      <c r="AM151" s="687" t="s">
        <v>2482</v>
      </c>
      <c r="AN151" s="762" t="s">
        <v>1730</v>
      </c>
      <c r="AO151" s="686">
        <v>1.7500000000000002E-2</v>
      </c>
      <c r="AP151" s="686">
        <v>0</v>
      </c>
      <c r="AQ151" s="688">
        <v>2.3199999999999998</v>
      </c>
      <c r="AR151" s="685" t="s">
        <v>2712</v>
      </c>
      <c r="AS151" s="686" t="s">
        <v>2496</v>
      </c>
      <c r="AT151" s="687" t="s">
        <v>2586</v>
      </c>
      <c r="AU151" s="687" t="s">
        <v>2482</v>
      </c>
      <c r="AV151" s="762" t="s">
        <v>1730</v>
      </c>
      <c r="AW151" s="686">
        <v>1.7500000000000002E-2</v>
      </c>
      <c r="AX151" s="686">
        <v>0</v>
      </c>
      <c r="AY151" s="688">
        <v>3</v>
      </c>
      <c r="AZ151" s="685" t="s">
        <v>1991</v>
      </c>
      <c r="BA151" s="686" t="s">
        <v>2496</v>
      </c>
      <c r="BB151" s="687" t="s">
        <v>2595</v>
      </c>
      <c r="BC151" s="687" t="s">
        <v>1730</v>
      </c>
      <c r="BD151" s="687" t="s">
        <v>2490</v>
      </c>
      <c r="BE151" s="686">
        <v>0.12</v>
      </c>
      <c r="BF151" s="686">
        <v>3.5000000000000001E-3</v>
      </c>
      <c r="BG151" s="688">
        <v>2.58</v>
      </c>
      <c r="BH151" s="11"/>
      <c r="BI151" s="186"/>
      <c r="BJ151" s="747"/>
      <c r="BK151" s="747"/>
      <c r="BL151" s="747"/>
      <c r="BM151" s="186"/>
      <c r="BN151" s="186"/>
      <c r="BO151" s="12"/>
      <c r="BP151" s="251"/>
      <c r="BQ151" s="183"/>
      <c r="BR151" s="23"/>
      <c r="BS151" s="23"/>
      <c r="BT151" s="23"/>
      <c r="BU151" s="183"/>
      <c r="BV151" s="183"/>
      <c r="BW151" s="249"/>
    </row>
    <row r="152" spans="1:75">
      <c r="A152" s="1" t="s">
        <v>810</v>
      </c>
      <c r="B152" s="1" t="s">
        <v>795</v>
      </c>
      <c r="C152" s="1" t="s">
        <v>796</v>
      </c>
      <c r="D152" s="1" t="s">
        <v>1803</v>
      </c>
      <c r="E152" s="1" t="s">
        <v>1960</v>
      </c>
      <c r="F152" s="1">
        <v>2.5000000000000001E-2</v>
      </c>
      <c r="G152" s="1">
        <v>0</v>
      </c>
      <c r="H152" s="1">
        <v>2.3199999999999998</v>
      </c>
      <c r="I152" s="20" t="s">
        <v>684</v>
      </c>
      <c r="J152" s="1" t="s">
        <v>517</v>
      </c>
      <c r="AI152" s="757"/>
      <c r="AJ152" s="686" t="s">
        <v>2569</v>
      </c>
      <c r="AK152" s="686" t="s">
        <v>2496</v>
      </c>
      <c r="AL152" s="687" t="s">
        <v>2587</v>
      </c>
      <c r="AM152" s="687" t="s">
        <v>2482</v>
      </c>
      <c r="AN152" s="762" t="s">
        <v>1730</v>
      </c>
      <c r="AO152" s="686">
        <v>1.7500000000000002E-2</v>
      </c>
      <c r="AP152" s="686">
        <v>0</v>
      </c>
      <c r="AQ152" s="688">
        <v>2.3199999999999998</v>
      </c>
      <c r="AR152" s="685" t="s">
        <v>2802</v>
      </c>
      <c r="AS152" s="686" t="s">
        <v>2496</v>
      </c>
      <c r="AT152" s="687" t="s">
        <v>2587</v>
      </c>
      <c r="AU152" s="687" t="s">
        <v>2482</v>
      </c>
      <c r="AV152" s="762" t="s">
        <v>1730</v>
      </c>
      <c r="AW152" s="686">
        <v>1.7500000000000002E-2</v>
      </c>
      <c r="AX152" s="686">
        <v>0</v>
      </c>
      <c r="AY152" s="688">
        <v>3</v>
      </c>
      <c r="AZ152" s="685" t="s">
        <v>1991</v>
      </c>
      <c r="BA152" s="686" t="s">
        <v>2496</v>
      </c>
      <c r="BB152" s="687" t="s">
        <v>2596</v>
      </c>
      <c r="BC152" s="687" t="s">
        <v>1730</v>
      </c>
      <c r="BD152" s="687" t="s">
        <v>2490</v>
      </c>
      <c r="BE152" s="686">
        <v>0.06</v>
      </c>
      <c r="BF152" s="686">
        <v>1.75E-3</v>
      </c>
      <c r="BG152" s="688">
        <v>2.58</v>
      </c>
      <c r="BH152" s="11"/>
      <c r="BI152" s="186"/>
      <c r="BJ152" s="747"/>
      <c r="BK152" s="747"/>
      <c r="BL152" s="747"/>
      <c r="BM152" s="186"/>
      <c r="BN152" s="186"/>
      <c r="BO152" s="12"/>
      <c r="BP152" s="251"/>
      <c r="BQ152" s="183"/>
      <c r="BR152" s="23"/>
      <c r="BS152" s="23"/>
      <c r="BT152" s="23"/>
      <c r="BU152" s="183"/>
      <c r="BV152" s="183"/>
      <c r="BW152" s="249"/>
    </row>
    <row r="153" spans="1:75">
      <c r="A153" s="1" t="s">
        <v>811</v>
      </c>
      <c r="B153" s="1" t="s">
        <v>795</v>
      </c>
      <c r="C153" s="1" t="s">
        <v>796</v>
      </c>
      <c r="D153" s="1" t="s">
        <v>1803</v>
      </c>
      <c r="E153" s="1" t="s">
        <v>1961</v>
      </c>
      <c r="F153" s="1">
        <v>2.5000000000000001E-2</v>
      </c>
      <c r="G153" s="1">
        <v>0</v>
      </c>
      <c r="H153" s="1">
        <v>2.3199999999999998</v>
      </c>
      <c r="I153" s="20" t="s">
        <v>691</v>
      </c>
      <c r="J153" s="1" t="s">
        <v>703</v>
      </c>
      <c r="AI153" s="757"/>
      <c r="AJ153" s="686" t="s">
        <v>2569</v>
      </c>
      <c r="AK153" s="686" t="s">
        <v>2496</v>
      </c>
      <c r="AL153" s="687" t="s">
        <v>2588</v>
      </c>
      <c r="AM153" s="687" t="s">
        <v>2482</v>
      </c>
      <c r="AN153" s="762" t="s">
        <v>1730</v>
      </c>
      <c r="AO153" s="686">
        <v>1.7500000000000002E-2</v>
      </c>
      <c r="AP153" s="686">
        <v>0</v>
      </c>
      <c r="AQ153" s="688">
        <v>2.3199999999999998</v>
      </c>
      <c r="AR153" s="685" t="s">
        <v>2712</v>
      </c>
      <c r="AS153" s="686" t="s">
        <v>2496</v>
      </c>
      <c r="AT153" s="687" t="s">
        <v>2588</v>
      </c>
      <c r="AU153" s="687" t="s">
        <v>2482</v>
      </c>
      <c r="AV153" s="762" t="s">
        <v>1730</v>
      </c>
      <c r="AW153" s="686">
        <v>1.7500000000000002E-2</v>
      </c>
      <c r="AX153" s="686">
        <v>0</v>
      </c>
      <c r="AY153" s="688">
        <v>3</v>
      </c>
      <c r="AZ153" s="685" t="s">
        <v>1991</v>
      </c>
      <c r="BA153" s="686" t="s">
        <v>2496</v>
      </c>
      <c r="BB153" s="687" t="s">
        <v>2597</v>
      </c>
      <c r="BC153" s="687" t="s">
        <v>1180</v>
      </c>
      <c r="BD153" s="687" t="s">
        <v>2490</v>
      </c>
      <c r="BE153" s="686">
        <v>0.18</v>
      </c>
      <c r="BF153" s="686">
        <v>5.2500000000000003E-3</v>
      </c>
      <c r="BG153" s="688">
        <v>2.58</v>
      </c>
      <c r="BH153" s="11"/>
      <c r="BI153" s="186"/>
      <c r="BJ153" s="747"/>
      <c r="BK153" s="747"/>
      <c r="BL153" s="747"/>
      <c r="BM153" s="186"/>
      <c r="BN153" s="186"/>
      <c r="BO153" s="12"/>
      <c r="BP153" s="251"/>
      <c r="BQ153" s="183"/>
      <c r="BR153" s="23"/>
      <c r="BS153" s="23"/>
      <c r="BT153" s="23"/>
      <c r="BU153" s="183"/>
      <c r="BV153" s="183"/>
      <c r="BW153" s="249"/>
    </row>
    <row r="154" spans="1:75">
      <c r="A154" s="1" t="s">
        <v>812</v>
      </c>
      <c r="B154" s="1" t="s">
        <v>795</v>
      </c>
      <c r="C154" s="1" t="s">
        <v>796</v>
      </c>
      <c r="D154" s="1" t="s">
        <v>1710</v>
      </c>
      <c r="E154" s="1" t="s">
        <v>1962</v>
      </c>
      <c r="F154" s="1">
        <v>0.05</v>
      </c>
      <c r="G154" s="1">
        <v>0</v>
      </c>
      <c r="H154" s="1">
        <v>2.3199999999999998</v>
      </c>
      <c r="I154" s="20" t="s">
        <v>684</v>
      </c>
      <c r="AI154" s="757"/>
      <c r="AJ154" s="186"/>
      <c r="AK154" s="186"/>
      <c r="AL154" s="747"/>
      <c r="AM154" s="747"/>
      <c r="AN154" s="747"/>
      <c r="AO154" s="186"/>
      <c r="AP154" s="186"/>
      <c r="AQ154" s="12"/>
      <c r="AR154" s="11"/>
      <c r="AS154" s="186"/>
      <c r="AT154" s="747"/>
      <c r="AU154" s="747"/>
      <c r="AV154" s="747"/>
      <c r="AW154" s="186"/>
      <c r="AX154" s="186"/>
      <c r="AY154" s="12"/>
      <c r="AZ154" s="685" t="s">
        <v>1991</v>
      </c>
      <c r="BA154" s="686" t="s">
        <v>2496</v>
      </c>
      <c r="BB154" s="687" t="s">
        <v>2598</v>
      </c>
      <c r="BC154" s="687" t="s">
        <v>1180</v>
      </c>
      <c r="BD154" s="687" t="s">
        <v>2490</v>
      </c>
      <c r="BE154" s="686">
        <v>0.18</v>
      </c>
      <c r="BF154" s="686">
        <v>5.2500000000000003E-3</v>
      </c>
      <c r="BG154" s="688">
        <v>2.58</v>
      </c>
      <c r="BH154" s="11"/>
      <c r="BI154" s="186"/>
      <c r="BJ154" s="747"/>
      <c r="BK154" s="747"/>
      <c r="BL154" s="747"/>
      <c r="BM154" s="186"/>
      <c r="BN154" s="186"/>
      <c r="BO154" s="12"/>
      <c r="BP154" s="251"/>
      <c r="BQ154" s="183"/>
      <c r="BR154" s="23"/>
      <c r="BS154" s="23"/>
      <c r="BT154" s="23"/>
      <c r="BU154" s="183"/>
      <c r="BV154" s="183"/>
      <c r="BW154" s="249"/>
    </row>
    <row r="155" spans="1:75">
      <c r="A155" s="1" t="s">
        <v>813</v>
      </c>
      <c r="B155" s="1" t="s">
        <v>795</v>
      </c>
      <c r="C155" s="1" t="s">
        <v>796</v>
      </c>
      <c r="D155" s="1" t="s">
        <v>1710</v>
      </c>
      <c r="E155" s="1" t="s">
        <v>1963</v>
      </c>
      <c r="F155" s="1">
        <v>2.5000000000000001E-2</v>
      </c>
      <c r="G155" s="1">
        <v>0</v>
      </c>
      <c r="H155" s="1">
        <v>2.3199999999999998</v>
      </c>
      <c r="I155" s="20" t="s">
        <v>691</v>
      </c>
      <c r="J155" s="1" t="s">
        <v>692</v>
      </c>
      <c r="AI155" s="757"/>
      <c r="AJ155" s="186"/>
      <c r="AK155" s="186"/>
      <c r="AL155" s="747"/>
      <c r="AM155" s="747"/>
      <c r="AN155" s="747"/>
      <c r="AO155" s="186"/>
      <c r="AP155" s="186"/>
      <c r="AQ155" s="12"/>
      <c r="AR155" s="11"/>
      <c r="AS155" s="186"/>
      <c r="AT155" s="747"/>
      <c r="AU155" s="747"/>
      <c r="AV155" s="747"/>
      <c r="AW155" s="186"/>
      <c r="AX155" s="186"/>
      <c r="AY155" s="12"/>
      <c r="AZ155" s="685" t="s">
        <v>1991</v>
      </c>
      <c r="BA155" s="686" t="s">
        <v>2496</v>
      </c>
      <c r="BB155" s="687" t="s">
        <v>2599</v>
      </c>
      <c r="BC155" s="687" t="s">
        <v>1180</v>
      </c>
      <c r="BD155" s="687" t="s">
        <v>2490</v>
      </c>
      <c r="BE155" s="686">
        <v>0.18</v>
      </c>
      <c r="BF155" s="686">
        <v>5.2500000000000003E-3</v>
      </c>
      <c r="BG155" s="688">
        <v>2.58</v>
      </c>
      <c r="BH155" s="11"/>
      <c r="BI155" s="186"/>
      <c r="BJ155" s="747"/>
      <c r="BK155" s="747"/>
      <c r="BL155" s="747"/>
      <c r="BM155" s="186"/>
      <c r="BN155" s="186"/>
      <c r="BO155" s="12"/>
      <c r="BP155" s="251"/>
      <c r="BQ155" s="183"/>
      <c r="BR155" s="23"/>
      <c r="BS155" s="23"/>
      <c r="BT155" s="23"/>
      <c r="BU155" s="183"/>
      <c r="BV155" s="183"/>
      <c r="BW155" s="249"/>
    </row>
    <row r="156" spans="1:75">
      <c r="A156" s="1" t="s">
        <v>814</v>
      </c>
      <c r="B156" s="1" t="s">
        <v>795</v>
      </c>
      <c r="C156" s="1" t="s">
        <v>796</v>
      </c>
      <c r="D156" s="1" t="s">
        <v>1710</v>
      </c>
      <c r="E156" s="1" t="s">
        <v>1964</v>
      </c>
      <c r="F156" s="1">
        <v>4.4999999999999998E-2</v>
      </c>
      <c r="G156" s="1">
        <v>0</v>
      </c>
      <c r="H156" s="1">
        <v>2.3199999999999998</v>
      </c>
      <c r="I156" s="20" t="s">
        <v>691</v>
      </c>
      <c r="J156" s="1" t="s">
        <v>697</v>
      </c>
      <c r="AI156" s="757"/>
      <c r="AJ156" s="186"/>
      <c r="AK156" s="186"/>
      <c r="AL156" s="747"/>
      <c r="AM156" s="747"/>
      <c r="AN156" s="747"/>
      <c r="AO156" s="186"/>
      <c r="AP156" s="186"/>
      <c r="AQ156" s="12"/>
      <c r="AR156" s="11"/>
      <c r="AS156" s="186"/>
      <c r="AT156" s="747"/>
      <c r="AU156" s="747"/>
      <c r="AV156" s="747"/>
      <c r="AW156" s="186"/>
      <c r="AX156" s="186"/>
      <c r="AY156" s="12"/>
      <c r="AZ156" s="685" t="s">
        <v>1991</v>
      </c>
      <c r="BA156" s="686" t="s">
        <v>2496</v>
      </c>
      <c r="BB156" s="687" t="s">
        <v>2600</v>
      </c>
      <c r="BC156" s="687" t="s">
        <v>277</v>
      </c>
      <c r="BD156" s="687" t="s">
        <v>2490</v>
      </c>
      <c r="BE156" s="686">
        <v>0.12</v>
      </c>
      <c r="BF156" s="686">
        <v>0.35</v>
      </c>
      <c r="BG156" s="688">
        <v>2.58</v>
      </c>
      <c r="BH156" s="11"/>
      <c r="BI156" s="186"/>
      <c r="BJ156" s="747"/>
      <c r="BK156" s="747"/>
      <c r="BL156" s="747"/>
      <c r="BM156" s="186"/>
      <c r="BN156" s="186"/>
      <c r="BO156" s="12"/>
      <c r="BP156" s="251"/>
      <c r="BQ156" s="183"/>
      <c r="BR156" s="23"/>
      <c r="BS156" s="23"/>
      <c r="BT156" s="23"/>
      <c r="BU156" s="183"/>
      <c r="BV156" s="183"/>
      <c r="BW156" s="249"/>
    </row>
    <row r="157" spans="1:75">
      <c r="A157" s="1" t="s">
        <v>815</v>
      </c>
      <c r="B157" s="1" t="s">
        <v>795</v>
      </c>
      <c r="C157" s="1" t="s">
        <v>796</v>
      </c>
      <c r="D157" s="1" t="s">
        <v>1710</v>
      </c>
      <c r="E157" s="1" t="s">
        <v>1965</v>
      </c>
      <c r="F157" s="1">
        <v>4.4999999999999998E-2</v>
      </c>
      <c r="G157" s="1">
        <v>0</v>
      </c>
      <c r="H157" s="1">
        <v>2.3199999999999998</v>
      </c>
      <c r="I157" s="20" t="s">
        <v>684</v>
      </c>
      <c r="J157" s="1" t="s">
        <v>515</v>
      </c>
      <c r="AI157" s="757"/>
      <c r="AJ157" s="186"/>
      <c r="AK157" s="186"/>
      <c r="AL157" s="747"/>
      <c r="AM157" s="747"/>
      <c r="AN157" s="747"/>
      <c r="AO157" s="186"/>
      <c r="AP157" s="186"/>
      <c r="AQ157" s="12"/>
      <c r="AR157" s="11"/>
      <c r="AS157" s="186"/>
      <c r="AT157" s="747"/>
      <c r="AU157" s="747"/>
      <c r="AV157" s="747"/>
      <c r="AW157" s="186"/>
      <c r="AX157" s="186"/>
      <c r="AY157" s="12"/>
      <c r="AZ157" s="685" t="s">
        <v>1991</v>
      </c>
      <c r="BA157" s="686" t="s">
        <v>2496</v>
      </c>
      <c r="BB157" s="687" t="s">
        <v>2601</v>
      </c>
      <c r="BC157" s="687" t="s">
        <v>277</v>
      </c>
      <c r="BD157" s="687" t="s">
        <v>2490</v>
      </c>
      <c r="BE157" s="686">
        <v>0.12</v>
      </c>
      <c r="BF157" s="686">
        <v>0.35</v>
      </c>
      <c r="BG157" s="688">
        <v>2.58</v>
      </c>
      <c r="BH157" s="11"/>
      <c r="BI157" s="186"/>
      <c r="BJ157" s="747"/>
      <c r="BK157" s="747"/>
      <c r="BL157" s="747"/>
      <c r="BM157" s="186"/>
      <c r="BN157" s="186"/>
      <c r="BO157" s="12"/>
      <c r="BP157" s="251"/>
      <c r="BQ157" s="183"/>
      <c r="BR157" s="23"/>
      <c r="BS157" s="23"/>
      <c r="BT157" s="23"/>
      <c r="BU157" s="183"/>
      <c r="BV157" s="183"/>
      <c r="BW157" s="249"/>
    </row>
    <row r="158" spans="1:75">
      <c r="A158" s="1" t="s">
        <v>816</v>
      </c>
      <c r="B158" s="1" t="s">
        <v>795</v>
      </c>
      <c r="C158" s="1" t="s">
        <v>796</v>
      </c>
      <c r="D158" s="1" t="s">
        <v>1710</v>
      </c>
      <c r="E158" s="1" t="s">
        <v>1966</v>
      </c>
      <c r="F158" s="1">
        <v>2.5000000000000001E-2</v>
      </c>
      <c r="G158" s="1">
        <v>0</v>
      </c>
      <c r="H158" s="1">
        <v>2.3199999999999998</v>
      </c>
      <c r="I158" s="20" t="s">
        <v>691</v>
      </c>
      <c r="J158" s="1" t="s">
        <v>700</v>
      </c>
      <c r="AI158" s="757"/>
      <c r="AJ158" s="186"/>
      <c r="AK158" s="186"/>
      <c r="AL158" s="747"/>
      <c r="AM158" s="747"/>
      <c r="AN158" s="747"/>
      <c r="AO158" s="186"/>
      <c r="AP158" s="186"/>
      <c r="AQ158" s="12"/>
      <c r="AR158" s="11"/>
      <c r="AS158" s="186"/>
      <c r="AT158" s="747"/>
      <c r="AU158" s="747"/>
      <c r="AV158" s="747"/>
      <c r="AW158" s="186"/>
      <c r="AX158" s="186"/>
      <c r="AY158" s="12"/>
      <c r="AZ158" s="685" t="s">
        <v>1991</v>
      </c>
      <c r="BA158" s="686" t="s">
        <v>2496</v>
      </c>
      <c r="BB158" s="687" t="s">
        <v>2602</v>
      </c>
      <c r="BC158" s="687" t="s">
        <v>277</v>
      </c>
      <c r="BD158" s="687" t="s">
        <v>2490</v>
      </c>
      <c r="BE158" s="686">
        <v>0.12</v>
      </c>
      <c r="BF158" s="686">
        <v>0.35</v>
      </c>
      <c r="BG158" s="688">
        <v>2.58</v>
      </c>
      <c r="BH158" s="11"/>
      <c r="BI158" s="186"/>
      <c r="BJ158" s="747"/>
      <c r="BK158" s="747"/>
      <c r="BL158" s="747"/>
      <c r="BM158" s="186"/>
      <c r="BN158" s="186"/>
      <c r="BO158" s="12"/>
      <c r="BP158" s="251"/>
      <c r="BQ158" s="183"/>
      <c r="BR158" s="23"/>
      <c r="BS158" s="23"/>
      <c r="BT158" s="23"/>
      <c r="BU158" s="183"/>
      <c r="BV158" s="183"/>
      <c r="BW158" s="249"/>
    </row>
    <row r="159" spans="1:75">
      <c r="A159" s="1" t="s">
        <v>817</v>
      </c>
      <c r="B159" s="1" t="s">
        <v>795</v>
      </c>
      <c r="C159" s="1" t="s">
        <v>796</v>
      </c>
      <c r="D159" s="1" t="s">
        <v>1710</v>
      </c>
      <c r="E159" s="1" t="s">
        <v>1967</v>
      </c>
      <c r="F159" s="1">
        <v>2.5000000000000001E-2</v>
      </c>
      <c r="G159" s="1">
        <v>0</v>
      </c>
      <c r="H159" s="1">
        <v>2.3199999999999998</v>
      </c>
      <c r="I159" s="20" t="s">
        <v>710</v>
      </c>
      <c r="J159" s="1" t="s">
        <v>516</v>
      </c>
      <c r="AI159" s="757"/>
      <c r="AJ159" s="186"/>
      <c r="AK159" s="186"/>
      <c r="AL159" s="747"/>
      <c r="AM159" s="747"/>
      <c r="AN159" s="747"/>
      <c r="AO159" s="186"/>
      <c r="AP159" s="186"/>
      <c r="AQ159" s="12"/>
      <c r="AR159" s="11"/>
      <c r="AS159" s="186"/>
      <c r="AT159" s="747"/>
      <c r="AU159" s="747"/>
      <c r="AV159" s="747"/>
      <c r="AW159" s="186"/>
      <c r="AX159" s="186"/>
      <c r="AY159" s="12"/>
      <c r="AZ159" s="685" t="s">
        <v>1991</v>
      </c>
      <c r="BA159" s="686" t="s">
        <v>2496</v>
      </c>
      <c r="BB159" s="687" t="s">
        <v>2603</v>
      </c>
      <c r="BC159" s="687" t="s">
        <v>2482</v>
      </c>
      <c r="BD159" s="687" t="s">
        <v>2490</v>
      </c>
      <c r="BE159" s="686">
        <v>0.06</v>
      </c>
      <c r="BF159" s="686">
        <v>1.75E-3</v>
      </c>
      <c r="BG159" s="688">
        <v>2.58</v>
      </c>
      <c r="BH159" s="11"/>
      <c r="BI159" s="186"/>
      <c r="BJ159" s="747"/>
      <c r="BK159" s="747"/>
      <c r="BL159" s="747"/>
      <c r="BM159" s="186"/>
      <c r="BN159" s="186"/>
      <c r="BO159" s="12"/>
      <c r="BP159" s="251"/>
      <c r="BQ159" s="183"/>
      <c r="BR159" s="23"/>
      <c r="BS159" s="23"/>
      <c r="BT159" s="23"/>
      <c r="BU159" s="183"/>
      <c r="BV159" s="183"/>
      <c r="BW159" s="249"/>
    </row>
    <row r="160" spans="1:75">
      <c r="A160" s="1" t="s">
        <v>818</v>
      </c>
      <c r="B160" s="1" t="s">
        <v>795</v>
      </c>
      <c r="C160" s="1" t="s">
        <v>796</v>
      </c>
      <c r="D160" s="1" t="s">
        <v>1710</v>
      </c>
      <c r="E160" s="1" t="s">
        <v>1968</v>
      </c>
      <c r="F160" s="1">
        <v>1.2500000000000001E-2</v>
      </c>
      <c r="G160" s="1">
        <v>0</v>
      </c>
      <c r="H160" s="1">
        <v>2.3199999999999998</v>
      </c>
      <c r="I160" s="20" t="s">
        <v>691</v>
      </c>
      <c r="J160" s="1" t="s">
        <v>703</v>
      </c>
      <c r="AI160" s="757"/>
      <c r="AJ160" s="186"/>
      <c r="AK160" s="186"/>
      <c r="AL160" s="747"/>
      <c r="AM160" s="747"/>
      <c r="AN160" s="747"/>
      <c r="AO160" s="186"/>
      <c r="AP160" s="186"/>
      <c r="AQ160" s="12"/>
      <c r="AR160" s="11"/>
      <c r="AS160" s="186"/>
      <c r="AT160" s="747"/>
      <c r="AU160" s="747"/>
      <c r="AV160" s="747"/>
      <c r="AW160" s="186"/>
      <c r="AX160" s="186"/>
      <c r="AY160" s="12"/>
      <c r="AZ160" s="685" t="s">
        <v>1991</v>
      </c>
      <c r="BA160" s="686" t="s">
        <v>2496</v>
      </c>
      <c r="BB160" s="687" t="s">
        <v>2604</v>
      </c>
      <c r="BC160" s="687" t="s">
        <v>2482</v>
      </c>
      <c r="BD160" s="687" t="s">
        <v>2490</v>
      </c>
      <c r="BE160" s="686">
        <v>0.06</v>
      </c>
      <c r="BF160" s="686">
        <v>1.75E-3</v>
      </c>
      <c r="BG160" s="688">
        <v>2.58</v>
      </c>
      <c r="BH160" s="11"/>
      <c r="BI160" s="186"/>
      <c r="BJ160" s="747"/>
      <c r="BK160" s="747"/>
      <c r="BL160" s="747"/>
      <c r="BM160" s="186"/>
      <c r="BN160" s="186"/>
      <c r="BO160" s="12"/>
      <c r="BP160" s="251"/>
      <c r="BQ160" s="183"/>
      <c r="BR160" s="23"/>
      <c r="BS160" s="23"/>
      <c r="BT160" s="23"/>
      <c r="BU160" s="183"/>
      <c r="BV160" s="183"/>
      <c r="BW160" s="249"/>
    </row>
    <row r="161" spans="9:75">
      <c r="I161" s="20"/>
      <c r="AI161" s="757"/>
      <c r="AJ161" s="186"/>
      <c r="AK161" s="186"/>
      <c r="AL161" s="747"/>
      <c r="AM161" s="747"/>
      <c r="AN161" s="747"/>
      <c r="AO161" s="186"/>
      <c r="AP161" s="186"/>
      <c r="AQ161" s="12"/>
      <c r="AR161" s="11"/>
      <c r="AS161" s="186"/>
      <c r="AT161" s="747"/>
      <c r="AU161" s="747"/>
      <c r="AV161" s="747"/>
      <c r="AW161" s="186"/>
      <c r="AX161" s="186"/>
      <c r="AY161" s="12"/>
      <c r="AZ161" s="685" t="s">
        <v>1991</v>
      </c>
      <c r="BA161" s="686" t="s">
        <v>2496</v>
      </c>
      <c r="BB161" s="687" t="s">
        <v>2605</v>
      </c>
      <c r="BC161" s="687" t="s">
        <v>2482</v>
      </c>
      <c r="BD161" s="687" t="s">
        <v>2490</v>
      </c>
      <c r="BE161" s="686">
        <v>0.06</v>
      </c>
      <c r="BF161" s="686">
        <v>1.75E-3</v>
      </c>
      <c r="BG161" s="688">
        <v>2.58</v>
      </c>
      <c r="BH161" s="11"/>
      <c r="BI161" s="186"/>
      <c r="BJ161" s="747"/>
      <c r="BK161" s="747"/>
      <c r="BL161" s="747"/>
      <c r="BM161" s="186"/>
      <c r="BN161" s="186"/>
      <c r="BO161" s="12"/>
      <c r="BP161" s="251"/>
      <c r="BQ161" s="183"/>
      <c r="BR161" s="23"/>
      <c r="BS161" s="23"/>
      <c r="BT161" s="23"/>
      <c r="BU161" s="183"/>
      <c r="BV161" s="183"/>
      <c r="BW161" s="249"/>
    </row>
    <row r="162" spans="9:75">
      <c r="I162" s="20"/>
      <c r="AI162" s="757"/>
      <c r="AJ162" s="186"/>
      <c r="AK162" s="186"/>
      <c r="AL162" s="747"/>
      <c r="AM162" s="747"/>
      <c r="AN162" s="747"/>
      <c r="AO162" s="186"/>
      <c r="AP162" s="186"/>
      <c r="AQ162" s="12"/>
      <c r="AR162" s="11"/>
      <c r="AS162" s="186"/>
      <c r="AT162" s="747"/>
      <c r="AU162" s="747"/>
      <c r="AV162" s="747"/>
      <c r="AW162" s="186"/>
      <c r="AX162" s="186"/>
      <c r="AY162" s="12"/>
      <c r="AZ162" s="11"/>
      <c r="BA162" s="186"/>
      <c r="BB162" s="747"/>
      <c r="BC162" s="747"/>
      <c r="BD162" s="747"/>
      <c r="BE162" s="186"/>
      <c r="BF162" s="186"/>
      <c r="BG162" s="12"/>
      <c r="BH162" s="11"/>
      <c r="BI162" s="186"/>
      <c r="BJ162" s="747"/>
      <c r="BK162" s="747"/>
      <c r="BL162" s="747"/>
      <c r="BM162" s="186"/>
      <c r="BN162" s="186"/>
      <c r="BO162" s="12"/>
      <c r="BP162" s="251"/>
      <c r="BQ162" s="183"/>
      <c r="BR162" s="23"/>
      <c r="BS162" s="23"/>
      <c r="BT162" s="23"/>
      <c r="BU162" s="183"/>
      <c r="BV162" s="183"/>
      <c r="BW162" s="249"/>
    </row>
    <row r="163" spans="9:75">
      <c r="I163" s="20"/>
      <c r="AI163" s="757"/>
      <c r="AJ163" s="186"/>
      <c r="AK163" s="186"/>
      <c r="AL163" s="747"/>
      <c r="AM163" s="747"/>
      <c r="AN163" s="747"/>
      <c r="AO163" s="186"/>
      <c r="AP163" s="186"/>
      <c r="AQ163" s="12"/>
      <c r="AR163" s="11"/>
      <c r="AS163" s="186"/>
      <c r="AT163" s="747"/>
      <c r="AU163" s="747"/>
      <c r="AV163" s="747"/>
      <c r="AW163" s="186"/>
      <c r="AX163" s="186"/>
      <c r="AY163" s="12"/>
      <c r="AZ163" s="11"/>
      <c r="BA163" s="186"/>
      <c r="BB163" s="747"/>
      <c r="BC163" s="747"/>
      <c r="BD163" s="747"/>
      <c r="BE163" s="186"/>
      <c r="BF163" s="186"/>
      <c r="BG163" s="12"/>
      <c r="BH163" s="11"/>
      <c r="BI163" s="186"/>
      <c r="BJ163" s="747"/>
      <c r="BK163" s="747"/>
      <c r="BL163" s="747"/>
      <c r="BM163" s="186"/>
      <c r="BN163" s="186"/>
      <c r="BO163" s="12"/>
      <c r="BP163" s="251"/>
      <c r="BQ163" s="183"/>
      <c r="BR163" s="23"/>
      <c r="BS163" s="23"/>
      <c r="BT163" s="23"/>
      <c r="BU163" s="183"/>
      <c r="BV163" s="183"/>
      <c r="BW163" s="249"/>
    </row>
    <row r="164" spans="9:75">
      <c r="I164" s="20"/>
      <c r="AI164" s="757"/>
      <c r="AJ164" s="186"/>
      <c r="AK164" s="186"/>
      <c r="AL164" s="747"/>
      <c r="AM164" s="747"/>
      <c r="AN164" s="747"/>
      <c r="AO164" s="186"/>
      <c r="AP164" s="186"/>
      <c r="AQ164" s="12"/>
      <c r="AR164" s="11"/>
      <c r="AS164" s="186"/>
      <c r="AT164" s="747"/>
      <c r="AU164" s="747"/>
      <c r="AV164" s="747"/>
      <c r="AW164" s="186"/>
      <c r="AX164" s="186"/>
      <c r="AY164" s="12"/>
      <c r="AZ164" s="11"/>
      <c r="BA164" s="186"/>
      <c r="BB164" s="747"/>
      <c r="BC164" s="747"/>
      <c r="BD164" s="747"/>
      <c r="BE164" s="186"/>
      <c r="BF164" s="186"/>
      <c r="BG164" s="12"/>
      <c r="BH164" s="11"/>
      <c r="BI164" s="186"/>
      <c r="BJ164" s="747"/>
      <c r="BK164" s="747"/>
      <c r="BL164" s="747"/>
      <c r="BM164" s="186"/>
      <c r="BN164" s="186"/>
      <c r="BO164" s="12"/>
      <c r="BP164" s="251"/>
      <c r="BQ164" s="183"/>
      <c r="BR164" s="23"/>
      <c r="BS164" s="23"/>
      <c r="BT164" s="23"/>
      <c r="BU164" s="183"/>
      <c r="BV164" s="183"/>
      <c r="BW164" s="249"/>
    </row>
    <row r="165" spans="9:75">
      <c r="I165" s="20"/>
      <c r="AI165" s="757"/>
      <c r="AJ165" s="186"/>
      <c r="AK165" s="186"/>
      <c r="AL165" s="747"/>
      <c r="AM165" s="747"/>
      <c r="AN165" s="747"/>
      <c r="AO165" s="186"/>
      <c r="AP165" s="186"/>
      <c r="AQ165" s="12"/>
      <c r="AR165" s="11"/>
      <c r="AS165" s="186"/>
      <c r="AT165" s="747"/>
      <c r="AU165" s="747"/>
      <c r="AV165" s="747"/>
      <c r="AW165" s="186"/>
      <c r="AX165" s="186"/>
      <c r="AY165" s="12"/>
      <c r="AZ165" s="11"/>
      <c r="BA165" s="186"/>
      <c r="BB165" s="747"/>
      <c r="BC165" s="747"/>
      <c r="BD165" s="747"/>
      <c r="BE165" s="186"/>
      <c r="BF165" s="186"/>
      <c r="BG165" s="12"/>
      <c r="BH165" s="11"/>
      <c r="BI165" s="186"/>
      <c r="BJ165" s="747"/>
      <c r="BK165" s="747"/>
      <c r="BL165" s="747"/>
      <c r="BM165" s="186"/>
      <c r="BN165" s="186"/>
      <c r="BO165" s="12"/>
      <c r="BP165" s="251"/>
      <c r="BQ165" s="183"/>
      <c r="BR165" s="23"/>
      <c r="BS165" s="23"/>
      <c r="BT165" s="23"/>
      <c r="BU165" s="183"/>
      <c r="BV165" s="183"/>
      <c r="BW165" s="249"/>
    </row>
    <row r="166" spans="9:75">
      <c r="I166" s="20"/>
      <c r="AI166" s="757"/>
      <c r="AJ166" s="186"/>
      <c r="AK166" s="186"/>
      <c r="AL166" s="747"/>
      <c r="AM166" s="747"/>
      <c r="AN166" s="747"/>
      <c r="AO166" s="186"/>
      <c r="AP166" s="186"/>
      <c r="AQ166" s="12"/>
      <c r="AR166" s="11"/>
      <c r="AS166" s="186"/>
      <c r="AT166" s="747"/>
      <c r="AU166" s="747"/>
      <c r="AV166" s="747"/>
      <c r="AW166" s="186"/>
      <c r="AX166" s="186"/>
      <c r="AY166" s="12"/>
      <c r="AZ166" s="11"/>
      <c r="BA166" s="186"/>
      <c r="BB166" s="747"/>
      <c r="BC166" s="747"/>
      <c r="BD166" s="747"/>
      <c r="BE166" s="186"/>
      <c r="BF166" s="186"/>
      <c r="BG166" s="12"/>
      <c r="BH166" s="11"/>
      <c r="BI166" s="186"/>
      <c r="BJ166" s="747"/>
      <c r="BK166" s="747"/>
      <c r="BL166" s="747"/>
      <c r="BM166" s="186"/>
      <c r="BN166" s="186"/>
      <c r="BO166" s="12"/>
      <c r="BP166" s="251"/>
      <c r="BQ166" s="183"/>
      <c r="BR166" s="23"/>
      <c r="BS166" s="23"/>
      <c r="BT166" s="23"/>
      <c r="BU166" s="183"/>
      <c r="BV166" s="183"/>
      <c r="BW166" s="249"/>
    </row>
    <row r="167" spans="9:75">
      <c r="I167" s="20"/>
      <c r="AI167" s="757"/>
      <c r="AJ167" s="186"/>
      <c r="AK167" s="186"/>
      <c r="AL167" s="747"/>
      <c r="AM167" s="747"/>
      <c r="AN167" s="747"/>
      <c r="AO167" s="186"/>
      <c r="AP167" s="186"/>
      <c r="AQ167" s="12"/>
      <c r="AR167" s="11"/>
      <c r="AS167" s="186"/>
      <c r="AT167" s="747"/>
      <c r="AU167" s="747"/>
      <c r="AV167" s="747"/>
      <c r="AW167" s="186"/>
      <c r="AX167" s="186"/>
      <c r="AY167" s="12"/>
      <c r="AZ167" s="11"/>
      <c r="BA167" s="186"/>
      <c r="BB167" s="747"/>
      <c r="BC167" s="747"/>
      <c r="BD167" s="747"/>
      <c r="BE167" s="186"/>
      <c r="BF167" s="186"/>
      <c r="BG167" s="12"/>
      <c r="BH167" s="11"/>
      <c r="BI167" s="186"/>
      <c r="BJ167" s="747"/>
      <c r="BK167" s="747"/>
      <c r="BL167" s="747"/>
      <c r="BM167" s="186"/>
      <c r="BN167" s="186"/>
      <c r="BO167" s="12"/>
      <c r="BP167" s="251"/>
      <c r="BQ167" s="183"/>
      <c r="BR167" s="23"/>
      <c r="BS167" s="23"/>
      <c r="BT167" s="23"/>
      <c r="BU167" s="183"/>
      <c r="BV167" s="183"/>
      <c r="BW167" s="249"/>
    </row>
    <row r="168" spans="9:75">
      <c r="I168" s="20"/>
      <c r="AI168" s="757"/>
      <c r="AJ168" s="186"/>
      <c r="AK168" s="186"/>
      <c r="AL168" s="747"/>
      <c r="AM168" s="747"/>
      <c r="AN168" s="747"/>
      <c r="AO168" s="186"/>
      <c r="AP168" s="186"/>
      <c r="AQ168" s="12"/>
      <c r="AR168" s="11"/>
      <c r="AS168" s="186"/>
      <c r="AT168" s="747"/>
      <c r="AU168" s="747"/>
      <c r="AV168" s="747"/>
      <c r="AW168" s="186"/>
      <c r="AX168" s="186"/>
      <c r="AY168" s="12"/>
      <c r="AZ168" s="11"/>
      <c r="BA168" s="186"/>
      <c r="BB168" s="747"/>
      <c r="BC168" s="747"/>
      <c r="BD168" s="747"/>
      <c r="BE168" s="186"/>
      <c r="BF168" s="186"/>
      <c r="BG168" s="12"/>
      <c r="BH168" s="11"/>
      <c r="BI168" s="186"/>
      <c r="BJ168" s="747"/>
      <c r="BK168" s="747"/>
      <c r="BL168" s="747"/>
      <c r="BM168" s="186"/>
      <c r="BN168" s="186"/>
      <c r="BO168" s="12"/>
      <c r="BP168" s="251"/>
      <c r="BQ168" s="183"/>
      <c r="BR168" s="23"/>
      <c r="BS168" s="23"/>
      <c r="BT168" s="23"/>
      <c r="BU168" s="183"/>
      <c r="BV168" s="183"/>
      <c r="BW168" s="249"/>
    </row>
    <row r="169" spans="9:75">
      <c r="I169" s="20"/>
      <c r="AI169" s="757"/>
      <c r="AJ169" s="186"/>
      <c r="AK169" s="186"/>
      <c r="AL169" s="747"/>
      <c r="AM169" s="747"/>
      <c r="AN169" s="747"/>
      <c r="AO169" s="186"/>
      <c r="AP169" s="186"/>
      <c r="AQ169" s="12"/>
      <c r="AR169" s="11"/>
      <c r="AS169" s="186"/>
      <c r="AT169" s="747"/>
      <c r="AU169" s="747"/>
      <c r="AV169" s="747"/>
      <c r="AW169" s="186"/>
      <c r="AX169" s="186"/>
      <c r="AY169" s="12"/>
      <c r="AZ169" s="11"/>
      <c r="BA169" s="186"/>
      <c r="BB169" s="747"/>
      <c r="BC169" s="747"/>
      <c r="BD169" s="747"/>
      <c r="BE169" s="186"/>
      <c r="BF169" s="186"/>
      <c r="BG169" s="12"/>
      <c r="BH169" s="11"/>
      <c r="BI169" s="186"/>
      <c r="BJ169" s="747"/>
      <c r="BK169" s="747"/>
      <c r="BL169" s="747"/>
      <c r="BM169" s="186"/>
      <c r="BN169" s="186"/>
      <c r="BO169" s="12"/>
      <c r="BP169" s="251"/>
      <c r="BQ169" s="183"/>
      <c r="BR169" s="23"/>
      <c r="BS169" s="23"/>
      <c r="BT169" s="23"/>
      <c r="BU169" s="183"/>
      <c r="BV169" s="183"/>
      <c r="BW169" s="249"/>
    </row>
    <row r="170" spans="9:75">
      <c r="I170" s="20"/>
      <c r="AI170" s="757"/>
      <c r="AJ170" s="186"/>
      <c r="AK170" s="186"/>
      <c r="AL170" s="747"/>
      <c r="AM170" s="747"/>
      <c r="AN170" s="747"/>
      <c r="AO170" s="186"/>
      <c r="AP170" s="186"/>
      <c r="AQ170" s="12"/>
      <c r="AR170" s="11"/>
      <c r="AS170" s="186"/>
      <c r="AT170" s="747"/>
      <c r="AU170" s="747"/>
      <c r="AV170" s="747"/>
      <c r="AW170" s="186"/>
      <c r="AX170" s="186"/>
      <c r="AY170" s="12"/>
      <c r="AZ170" s="11"/>
      <c r="BA170" s="186"/>
      <c r="BB170" s="747"/>
      <c r="BC170" s="747"/>
      <c r="BD170" s="747"/>
      <c r="BE170" s="186"/>
      <c r="BF170" s="186"/>
      <c r="BG170" s="12"/>
      <c r="BH170" s="11"/>
      <c r="BI170" s="186"/>
      <c r="BJ170" s="747"/>
      <c r="BK170" s="747"/>
      <c r="BL170" s="747"/>
      <c r="BM170" s="186"/>
      <c r="BN170" s="186"/>
      <c r="BO170" s="12"/>
      <c r="BP170" s="251"/>
      <c r="BQ170" s="183"/>
      <c r="BR170" s="23"/>
      <c r="BS170" s="23"/>
      <c r="BT170" s="23"/>
      <c r="BU170" s="183"/>
      <c r="BV170" s="183"/>
      <c r="BW170" s="249"/>
    </row>
    <row r="171" spans="9:75">
      <c r="I171" s="20"/>
      <c r="AI171" s="757"/>
      <c r="AJ171" s="186"/>
      <c r="AK171" s="186"/>
      <c r="AL171" s="747"/>
      <c r="AM171" s="747"/>
      <c r="AN171" s="747"/>
      <c r="AO171" s="186"/>
      <c r="AP171" s="186"/>
      <c r="AQ171" s="12"/>
      <c r="AR171" s="11"/>
      <c r="AS171" s="186"/>
      <c r="AT171" s="747"/>
      <c r="AU171" s="747"/>
      <c r="AV171" s="747"/>
      <c r="AW171" s="186"/>
      <c r="AX171" s="186"/>
      <c r="AY171" s="12"/>
      <c r="AZ171" s="11"/>
      <c r="BA171" s="186"/>
      <c r="BB171" s="747"/>
      <c r="BC171" s="747"/>
      <c r="BD171" s="747"/>
      <c r="BE171" s="186"/>
      <c r="BF171" s="186"/>
      <c r="BG171" s="12"/>
      <c r="BH171" s="11"/>
      <c r="BI171" s="186"/>
      <c r="BJ171" s="747"/>
      <c r="BK171" s="747"/>
      <c r="BL171" s="747"/>
      <c r="BM171" s="186"/>
      <c r="BN171" s="186"/>
      <c r="BO171" s="12"/>
      <c r="BP171" s="251"/>
      <c r="BQ171" s="183"/>
      <c r="BR171" s="23"/>
      <c r="BS171" s="23"/>
      <c r="BT171" s="23"/>
      <c r="BU171" s="183"/>
      <c r="BV171" s="183"/>
      <c r="BW171" s="249"/>
    </row>
    <row r="172" spans="9:75">
      <c r="I172" s="20"/>
      <c r="AI172" s="757"/>
      <c r="AJ172" s="186"/>
      <c r="AK172" s="186"/>
      <c r="AL172" s="747"/>
      <c r="AM172" s="747"/>
      <c r="AN172" s="747"/>
      <c r="AO172" s="186"/>
      <c r="AP172" s="186"/>
      <c r="AQ172" s="12"/>
      <c r="AR172" s="11"/>
      <c r="AS172" s="186"/>
      <c r="AT172" s="747"/>
      <c r="AU172" s="747"/>
      <c r="AV172" s="747"/>
      <c r="AW172" s="186"/>
      <c r="AX172" s="186"/>
      <c r="AY172" s="12"/>
      <c r="AZ172" s="11"/>
      <c r="BA172" s="186"/>
      <c r="BB172" s="747"/>
      <c r="BC172" s="747"/>
      <c r="BD172" s="747"/>
      <c r="BE172" s="186"/>
      <c r="BF172" s="186"/>
      <c r="BG172" s="12"/>
      <c r="BH172" s="11"/>
      <c r="BI172" s="186"/>
      <c r="BJ172" s="747"/>
      <c r="BK172" s="747"/>
      <c r="BL172" s="747"/>
      <c r="BM172" s="186"/>
      <c r="BN172" s="186"/>
      <c r="BO172" s="12"/>
      <c r="BP172" s="251"/>
      <c r="BQ172" s="183"/>
      <c r="BR172" s="23"/>
      <c r="BS172" s="23"/>
      <c r="BT172" s="23"/>
      <c r="BU172" s="183"/>
      <c r="BV172" s="183"/>
      <c r="BW172" s="249"/>
    </row>
    <row r="173" spans="9:75">
      <c r="I173" s="20"/>
      <c r="AI173" s="757"/>
      <c r="AJ173" s="186"/>
      <c r="AK173" s="186"/>
      <c r="AL173" s="747"/>
      <c r="AM173" s="747"/>
      <c r="AN173" s="747"/>
      <c r="AO173" s="186"/>
      <c r="AP173" s="186"/>
      <c r="AQ173" s="12"/>
      <c r="AR173" s="11"/>
      <c r="AS173" s="186"/>
      <c r="AT173" s="747"/>
      <c r="AU173" s="747"/>
      <c r="AV173" s="747"/>
      <c r="AW173" s="186"/>
      <c r="AX173" s="186"/>
      <c r="AY173" s="12"/>
      <c r="AZ173" s="11"/>
      <c r="BA173" s="186"/>
      <c r="BB173" s="747"/>
      <c r="BC173" s="747"/>
      <c r="BD173" s="747"/>
      <c r="BE173" s="186"/>
      <c r="BF173" s="186"/>
      <c r="BG173" s="12"/>
      <c r="BH173" s="11"/>
      <c r="BI173" s="186"/>
      <c r="BJ173" s="747"/>
      <c r="BK173" s="747"/>
      <c r="BL173" s="747"/>
      <c r="BM173" s="186"/>
      <c r="BN173" s="186"/>
      <c r="BO173" s="12"/>
      <c r="BP173" s="251"/>
      <c r="BQ173" s="183"/>
      <c r="BR173" s="23"/>
      <c r="BS173" s="23"/>
      <c r="BT173" s="23"/>
      <c r="BU173" s="183"/>
      <c r="BV173" s="183"/>
      <c r="BW173" s="249"/>
    </row>
    <row r="174" spans="9:75">
      <c r="I174" s="20"/>
      <c r="AI174" s="757"/>
      <c r="AJ174" s="186"/>
      <c r="AK174" s="186"/>
      <c r="AL174" s="747"/>
      <c r="AM174" s="747"/>
      <c r="AN174" s="747"/>
      <c r="AO174" s="186"/>
      <c r="AP174" s="186"/>
      <c r="AQ174" s="12"/>
      <c r="AR174" s="11"/>
      <c r="AS174" s="186"/>
      <c r="AT174" s="747"/>
      <c r="AU174" s="747"/>
      <c r="AV174" s="747"/>
      <c r="AW174" s="186"/>
      <c r="AX174" s="186"/>
      <c r="AY174" s="12"/>
      <c r="AZ174" s="11"/>
      <c r="BA174" s="186"/>
      <c r="BB174" s="747"/>
      <c r="BC174" s="747"/>
      <c r="BD174" s="747"/>
      <c r="BE174" s="186"/>
      <c r="BF174" s="186"/>
      <c r="BG174" s="12"/>
      <c r="BH174" s="11"/>
      <c r="BI174" s="186"/>
      <c r="BJ174" s="747"/>
      <c r="BK174" s="747"/>
      <c r="BL174" s="747"/>
      <c r="BM174" s="186"/>
      <c r="BN174" s="186"/>
      <c r="BO174" s="12"/>
      <c r="BP174" s="251"/>
      <c r="BQ174" s="183"/>
      <c r="BR174" s="23"/>
      <c r="BS174" s="23"/>
      <c r="BT174" s="23"/>
      <c r="BU174" s="183"/>
      <c r="BV174" s="183"/>
      <c r="BW174" s="249"/>
    </row>
    <row r="175" spans="9:75">
      <c r="I175" s="20"/>
      <c r="AI175" s="757"/>
      <c r="AJ175" s="186"/>
      <c r="AK175" s="186"/>
      <c r="AL175" s="747"/>
      <c r="AM175" s="747"/>
      <c r="AN175" s="747"/>
      <c r="AO175" s="186"/>
      <c r="AP175" s="186"/>
      <c r="AQ175" s="12"/>
      <c r="AR175" s="11"/>
      <c r="AS175" s="186"/>
      <c r="AT175" s="747"/>
      <c r="AU175" s="747"/>
      <c r="AV175" s="747"/>
      <c r="AW175" s="186"/>
      <c r="AX175" s="186"/>
      <c r="AY175" s="12"/>
      <c r="AZ175" s="11"/>
      <c r="BA175" s="186"/>
      <c r="BB175" s="747"/>
      <c r="BC175" s="747"/>
      <c r="BD175" s="747"/>
      <c r="BE175" s="186"/>
      <c r="BF175" s="186"/>
      <c r="BG175" s="12"/>
      <c r="BH175" s="11"/>
      <c r="BI175" s="186"/>
      <c r="BJ175" s="747"/>
      <c r="BK175" s="747"/>
      <c r="BL175" s="747"/>
      <c r="BM175" s="186"/>
      <c r="BN175" s="186"/>
      <c r="BO175" s="12"/>
      <c r="BP175" s="251"/>
      <c r="BQ175" s="183"/>
      <c r="BR175" s="23"/>
      <c r="BS175" s="23"/>
      <c r="BT175" s="23"/>
      <c r="BU175" s="183"/>
      <c r="BV175" s="183"/>
      <c r="BW175" s="249"/>
    </row>
    <row r="176" spans="9:75">
      <c r="I176" s="20"/>
      <c r="AI176" s="757"/>
      <c r="AJ176" s="186"/>
      <c r="AK176" s="186"/>
      <c r="AL176" s="747"/>
      <c r="AM176" s="747"/>
      <c r="AN176" s="747"/>
      <c r="AO176" s="186"/>
      <c r="AP176" s="186"/>
      <c r="AQ176" s="12"/>
      <c r="AR176" s="11"/>
      <c r="AS176" s="186"/>
      <c r="AT176" s="747"/>
      <c r="AU176" s="747"/>
      <c r="AV176" s="747"/>
      <c r="AW176" s="186"/>
      <c r="AX176" s="186"/>
      <c r="AY176" s="12"/>
      <c r="AZ176" s="11"/>
      <c r="BA176" s="186"/>
      <c r="BB176" s="747"/>
      <c r="BC176" s="747"/>
      <c r="BD176" s="747"/>
      <c r="BE176" s="186"/>
      <c r="BF176" s="186"/>
      <c r="BG176" s="12"/>
      <c r="BH176" s="11"/>
      <c r="BI176" s="186"/>
      <c r="BJ176" s="747"/>
      <c r="BK176" s="747"/>
      <c r="BL176" s="747"/>
      <c r="BM176" s="186"/>
      <c r="BN176" s="186"/>
      <c r="BO176" s="12"/>
      <c r="BP176" s="251"/>
      <c r="BQ176" s="183"/>
      <c r="BR176" s="23"/>
      <c r="BS176" s="23"/>
      <c r="BT176" s="23"/>
      <c r="BU176" s="183"/>
      <c r="BV176" s="183"/>
      <c r="BW176" s="249"/>
    </row>
    <row r="177" spans="1:75">
      <c r="I177" s="20"/>
      <c r="AI177" s="757"/>
      <c r="AJ177" s="186"/>
      <c r="AK177" s="186"/>
      <c r="AL177" s="747"/>
      <c r="AM177" s="747"/>
      <c r="AN177" s="747"/>
      <c r="AO177" s="186"/>
      <c r="AP177" s="186"/>
      <c r="AQ177" s="12"/>
      <c r="AR177" s="11"/>
      <c r="AS177" s="186"/>
      <c r="AT177" s="747"/>
      <c r="AU177" s="747"/>
      <c r="AV177" s="747"/>
      <c r="AW177" s="186"/>
      <c r="AX177" s="186"/>
      <c r="AY177" s="12"/>
      <c r="AZ177" s="11"/>
      <c r="BA177" s="186"/>
      <c r="BB177" s="747"/>
      <c r="BC177" s="747"/>
      <c r="BD177" s="747"/>
      <c r="BE177" s="186"/>
      <c r="BF177" s="186"/>
      <c r="BG177" s="12"/>
      <c r="BH177" s="11"/>
      <c r="BI177" s="186"/>
      <c r="BJ177" s="747"/>
      <c r="BK177" s="747"/>
      <c r="BL177" s="747"/>
      <c r="BM177" s="186"/>
      <c r="BN177" s="186"/>
      <c r="BO177" s="12"/>
      <c r="BP177" s="251"/>
      <c r="BQ177" s="183"/>
      <c r="BR177" s="23"/>
      <c r="BS177" s="23"/>
      <c r="BT177" s="23"/>
      <c r="BU177" s="183"/>
      <c r="BV177" s="183"/>
      <c r="BW177" s="249"/>
    </row>
    <row r="178" spans="1:75">
      <c r="I178" s="20"/>
      <c r="AI178" s="757"/>
      <c r="AJ178" s="186"/>
      <c r="AK178" s="186"/>
      <c r="AL178" s="747"/>
      <c r="AM178" s="747"/>
      <c r="AN178" s="747"/>
      <c r="AO178" s="186"/>
      <c r="AP178" s="186"/>
      <c r="AQ178" s="12"/>
      <c r="AR178" s="11"/>
      <c r="AS178" s="186"/>
      <c r="AT178" s="747"/>
      <c r="AU178" s="747"/>
      <c r="AV178" s="747"/>
      <c r="AW178" s="186"/>
      <c r="AX178" s="186"/>
      <c r="AY178" s="12"/>
      <c r="AZ178" s="11"/>
      <c r="BA178" s="186"/>
      <c r="BB178" s="747"/>
      <c r="BC178" s="747"/>
      <c r="BD178" s="747"/>
      <c r="BE178" s="186"/>
      <c r="BF178" s="186"/>
      <c r="BG178" s="12"/>
      <c r="BH178" s="11"/>
      <c r="BI178" s="186"/>
      <c r="BJ178" s="747"/>
      <c r="BK178" s="747"/>
      <c r="BL178" s="747"/>
      <c r="BM178" s="186"/>
      <c r="BN178" s="186"/>
      <c r="BO178" s="12"/>
      <c r="BP178" s="251"/>
      <c r="BQ178" s="183"/>
      <c r="BR178" s="23"/>
      <c r="BS178" s="23"/>
      <c r="BT178" s="23"/>
      <c r="BU178" s="183"/>
      <c r="BV178" s="183"/>
      <c r="BW178" s="249"/>
    </row>
    <row r="179" spans="1:75">
      <c r="I179" s="20"/>
      <c r="AI179" s="757"/>
      <c r="AJ179" s="186"/>
      <c r="AK179" s="186"/>
      <c r="AL179" s="747"/>
      <c r="AM179" s="747"/>
      <c r="AN179" s="747"/>
      <c r="AO179" s="186"/>
      <c r="AP179" s="186"/>
      <c r="AQ179" s="12"/>
      <c r="AR179" s="11"/>
      <c r="AS179" s="186"/>
      <c r="AT179" s="747"/>
      <c r="AU179" s="747"/>
      <c r="AV179" s="747"/>
      <c r="AW179" s="186"/>
      <c r="AX179" s="186"/>
      <c r="AY179" s="12"/>
      <c r="AZ179" s="11"/>
      <c r="BA179" s="186"/>
      <c r="BB179" s="747"/>
      <c r="BC179" s="747"/>
      <c r="BD179" s="747"/>
      <c r="BE179" s="186"/>
      <c r="BF179" s="186"/>
      <c r="BG179" s="12"/>
      <c r="BH179" s="11"/>
      <c r="BI179" s="186"/>
      <c r="BJ179" s="747"/>
      <c r="BK179" s="747"/>
      <c r="BL179" s="747"/>
      <c r="BM179" s="186"/>
      <c r="BN179" s="186"/>
      <c r="BO179" s="12"/>
      <c r="BP179" s="251"/>
      <c r="BQ179" s="183"/>
      <c r="BR179" s="23"/>
      <c r="BS179" s="23"/>
      <c r="BT179" s="23"/>
      <c r="BU179" s="183"/>
      <c r="BV179" s="183"/>
      <c r="BW179" s="249"/>
    </row>
    <row r="180" spans="1:75">
      <c r="I180" s="20"/>
      <c r="AI180" s="757"/>
      <c r="AJ180" s="186"/>
      <c r="AK180" s="186"/>
      <c r="AL180" s="747"/>
      <c r="AM180" s="747"/>
      <c r="AN180" s="747"/>
      <c r="AO180" s="186"/>
      <c r="AP180" s="186"/>
      <c r="AQ180" s="12"/>
      <c r="AR180" s="11"/>
      <c r="AS180" s="186"/>
      <c r="AT180" s="747"/>
      <c r="AU180" s="747"/>
      <c r="AV180" s="747"/>
      <c r="AW180" s="186"/>
      <c r="AX180" s="186"/>
      <c r="AY180" s="12"/>
      <c r="AZ180" s="11"/>
      <c r="BA180" s="186"/>
      <c r="BB180" s="747"/>
      <c r="BC180" s="747"/>
      <c r="BD180" s="747"/>
      <c r="BE180" s="186"/>
      <c r="BF180" s="186"/>
      <c r="BG180" s="12"/>
      <c r="BH180" s="11"/>
      <c r="BI180" s="186"/>
      <c r="BJ180" s="747"/>
      <c r="BK180" s="747"/>
      <c r="BL180" s="747"/>
      <c r="BM180" s="186"/>
      <c r="BN180" s="186"/>
      <c r="BO180" s="12"/>
      <c r="BP180" s="251"/>
      <c r="BQ180" s="183"/>
      <c r="BR180" s="23"/>
      <c r="BS180" s="23"/>
      <c r="BT180" s="23"/>
      <c r="BU180" s="183"/>
      <c r="BV180" s="183"/>
      <c r="BW180" s="249"/>
    </row>
    <row r="181" spans="1:75">
      <c r="A181" s="1" t="s">
        <v>819</v>
      </c>
      <c r="B181" s="1" t="s">
        <v>795</v>
      </c>
      <c r="C181" s="1" t="s">
        <v>796</v>
      </c>
      <c r="D181" s="1" t="s">
        <v>1710</v>
      </c>
      <c r="E181" s="1" t="s">
        <v>1969</v>
      </c>
      <c r="F181" s="1">
        <v>1.2500000000000001E-2</v>
      </c>
      <c r="G181" s="1">
        <v>0</v>
      </c>
      <c r="H181" s="1">
        <v>2.3199999999999998</v>
      </c>
      <c r="I181" s="20" t="s">
        <v>713</v>
      </c>
      <c r="J181" s="1" t="s">
        <v>517</v>
      </c>
      <c r="AI181" s="757"/>
      <c r="AJ181" s="186"/>
      <c r="AK181" s="186"/>
      <c r="AL181" s="747"/>
      <c r="AM181" s="747"/>
      <c r="AN181" s="747"/>
      <c r="AO181" s="186"/>
      <c r="AP181" s="186"/>
      <c r="AQ181" s="12"/>
      <c r="AR181" s="11"/>
      <c r="AS181" s="186"/>
      <c r="AT181" s="747"/>
      <c r="AU181" s="747"/>
      <c r="AV181" s="747"/>
      <c r="AW181" s="186"/>
      <c r="AX181" s="186"/>
      <c r="AY181" s="12"/>
      <c r="AZ181" s="11"/>
      <c r="BA181" s="186"/>
      <c r="BB181" s="747"/>
      <c r="BC181" s="747"/>
      <c r="BD181" s="747"/>
      <c r="BE181" s="186"/>
      <c r="BF181" s="186"/>
      <c r="BG181" s="12"/>
      <c r="BH181" s="11"/>
      <c r="BI181" s="186"/>
      <c r="BJ181" s="747"/>
      <c r="BK181" s="747"/>
      <c r="BL181" s="747"/>
      <c r="BM181" s="186"/>
      <c r="BN181" s="186"/>
      <c r="BO181" s="12"/>
      <c r="BP181" s="251"/>
      <c r="BQ181" s="183"/>
      <c r="BR181" s="23"/>
      <c r="BS181" s="23"/>
      <c r="BT181" s="23"/>
      <c r="BU181" s="183"/>
      <c r="BV181" s="183"/>
      <c r="BW181" s="249"/>
    </row>
    <row r="182" spans="1:75">
      <c r="A182" s="1" t="s">
        <v>820</v>
      </c>
      <c r="B182" s="1" t="s">
        <v>795</v>
      </c>
      <c r="C182" s="1" t="s">
        <v>796</v>
      </c>
      <c r="D182" s="1" t="s">
        <v>1710</v>
      </c>
      <c r="E182" s="1" t="s">
        <v>538</v>
      </c>
      <c r="F182" s="1">
        <v>4.4999999999999998E-2</v>
      </c>
      <c r="G182" s="1">
        <v>0</v>
      </c>
      <c r="H182" s="1">
        <v>2.3199999999999998</v>
      </c>
      <c r="I182" s="20" t="s">
        <v>691</v>
      </c>
      <c r="J182" s="1" t="s">
        <v>697</v>
      </c>
      <c r="AI182" s="757"/>
      <c r="AJ182" s="186"/>
      <c r="AK182" s="186"/>
      <c r="AL182" s="747"/>
      <c r="AM182" s="747"/>
      <c r="AN182" s="747"/>
      <c r="AO182" s="186"/>
      <c r="AP182" s="186"/>
      <c r="AQ182" s="12"/>
      <c r="AR182" s="11"/>
      <c r="AS182" s="186"/>
      <c r="AT182" s="747"/>
      <c r="AU182" s="747"/>
      <c r="AV182" s="747"/>
      <c r="AW182" s="186"/>
      <c r="AX182" s="186"/>
      <c r="AY182" s="12"/>
      <c r="AZ182" s="11"/>
      <c r="BA182" s="186"/>
      <c r="BB182" s="747"/>
      <c r="BC182" s="747"/>
      <c r="BD182" s="747"/>
      <c r="BE182" s="186"/>
      <c r="BF182" s="186"/>
      <c r="BG182" s="12"/>
      <c r="BH182" s="11"/>
      <c r="BI182" s="186"/>
      <c r="BJ182" s="747"/>
      <c r="BK182" s="747"/>
      <c r="BL182" s="747"/>
      <c r="BM182" s="186"/>
      <c r="BN182" s="186"/>
      <c r="BO182" s="12"/>
      <c r="BP182" s="251"/>
      <c r="BQ182" s="183"/>
      <c r="BR182" s="23"/>
      <c r="BS182" s="23"/>
      <c r="BT182" s="23"/>
      <c r="BU182" s="183"/>
      <c r="BV182" s="183"/>
      <c r="BW182" s="249"/>
    </row>
    <row r="183" spans="1:75">
      <c r="A183" s="1" t="s">
        <v>821</v>
      </c>
      <c r="B183" s="1" t="s">
        <v>795</v>
      </c>
      <c r="C183" s="1" t="s">
        <v>796</v>
      </c>
      <c r="D183" s="1" t="s">
        <v>1710</v>
      </c>
      <c r="E183" s="1" t="s">
        <v>539</v>
      </c>
      <c r="F183" s="1">
        <v>4.4999999999999998E-2</v>
      </c>
      <c r="G183" s="1">
        <v>0</v>
      </c>
      <c r="H183" s="1">
        <v>2.3199999999999998</v>
      </c>
      <c r="I183" s="20" t="s">
        <v>684</v>
      </c>
      <c r="J183" s="1" t="s">
        <v>515</v>
      </c>
      <c r="AI183" s="757"/>
      <c r="AJ183" s="186"/>
      <c r="AK183" s="186"/>
      <c r="AL183" s="747"/>
      <c r="AM183" s="747"/>
      <c r="AN183" s="747"/>
      <c r="AO183" s="186"/>
      <c r="AP183" s="186"/>
      <c r="AQ183" s="12"/>
      <c r="AR183" s="11"/>
      <c r="AS183" s="186"/>
      <c r="AT183" s="747"/>
      <c r="AU183" s="747"/>
      <c r="AV183" s="747"/>
      <c r="AW183" s="186"/>
      <c r="AX183" s="186"/>
      <c r="AY183" s="12"/>
      <c r="AZ183" s="11"/>
      <c r="BA183" s="186"/>
      <c r="BB183" s="747"/>
      <c r="BC183" s="747"/>
      <c r="BD183" s="747"/>
      <c r="BE183" s="186"/>
      <c r="BF183" s="186"/>
      <c r="BG183" s="12"/>
      <c r="BH183" s="11"/>
      <c r="BI183" s="186"/>
      <c r="BJ183" s="747"/>
      <c r="BK183" s="747"/>
      <c r="BL183" s="747"/>
      <c r="BM183" s="186"/>
      <c r="BN183" s="186"/>
      <c r="BO183" s="12"/>
      <c r="BP183" s="251"/>
      <c r="BQ183" s="183"/>
      <c r="BR183" s="23"/>
      <c r="BS183" s="23"/>
      <c r="BT183" s="23"/>
      <c r="BU183" s="183"/>
      <c r="BV183" s="183"/>
      <c r="BW183" s="249"/>
    </row>
    <row r="184" spans="1:75">
      <c r="A184" s="1" t="s">
        <v>822</v>
      </c>
      <c r="B184" s="1" t="s">
        <v>795</v>
      </c>
      <c r="C184" s="1" t="s">
        <v>796</v>
      </c>
      <c r="D184" s="1" t="s">
        <v>523</v>
      </c>
      <c r="E184" s="1" t="s">
        <v>540</v>
      </c>
      <c r="F184" s="1">
        <v>0.05</v>
      </c>
      <c r="G184" s="1">
        <v>0</v>
      </c>
      <c r="I184" s="20"/>
      <c r="AI184" s="757"/>
      <c r="AJ184" s="186"/>
      <c r="AK184" s="186"/>
      <c r="AL184" s="747"/>
      <c r="AM184" s="747"/>
      <c r="AN184" s="747"/>
      <c r="AO184" s="186"/>
      <c r="AP184" s="186"/>
      <c r="AQ184" s="12"/>
      <c r="AR184" s="11"/>
      <c r="AS184" s="186"/>
      <c r="AT184" s="747"/>
      <c r="AU184" s="747"/>
      <c r="AV184" s="747"/>
      <c r="AW184" s="186"/>
      <c r="AX184" s="186"/>
      <c r="AY184" s="12"/>
      <c r="AZ184" s="11"/>
      <c r="BA184" s="186"/>
      <c r="BB184" s="747"/>
      <c r="BC184" s="747"/>
      <c r="BD184" s="747"/>
      <c r="BE184" s="186"/>
      <c r="BF184" s="186"/>
      <c r="BG184" s="12"/>
      <c r="BH184" s="11"/>
      <c r="BI184" s="186"/>
      <c r="BJ184" s="747"/>
      <c r="BK184" s="747"/>
      <c r="BL184" s="747"/>
      <c r="BM184" s="186"/>
      <c r="BN184" s="186"/>
      <c r="BO184" s="12"/>
      <c r="BP184" s="251"/>
      <c r="BQ184" s="183"/>
      <c r="BR184" s="23"/>
      <c r="BS184" s="23"/>
      <c r="BT184" s="23"/>
      <c r="BU184" s="183"/>
      <c r="BV184" s="183"/>
      <c r="BW184" s="249"/>
    </row>
    <row r="185" spans="1:75">
      <c r="I185" s="20"/>
      <c r="AI185" s="757"/>
      <c r="AJ185" s="186"/>
      <c r="AK185" s="186"/>
      <c r="AL185" s="747"/>
      <c r="AM185" s="747"/>
      <c r="AN185" s="747"/>
      <c r="AO185" s="186"/>
      <c r="AP185" s="186"/>
      <c r="AQ185" s="12"/>
      <c r="AR185" s="11"/>
      <c r="AS185" s="186"/>
      <c r="AT185" s="747"/>
      <c r="AU185" s="747"/>
      <c r="AV185" s="747"/>
      <c r="AW185" s="186"/>
      <c r="AX185" s="186"/>
      <c r="AY185" s="12"/>
      <c r="AZ185" s="11"/>
      <c r="BA185" s="186"/>
      <c r="BB185" s="747"/>
      <c r="BC185" s="747"/>
      <c r="BD185" s="747"/>
      <c r="BE185" s="186"/>
      <c r="BF185" s="186"/>
      <c r="BG185" s="12"/>
      <c r="BH185" s="11"/>
      <c r="BI185" s="186"/>
      <c r="BJ185" s="747"/>
      <c r="BK185" s="747"/>
      <c r="BL185" s="747"/>
      <c r="BM185" s="186"/>
      <c r="BN185" s="186"/>
      <c r="BO185" s="12"/>
      <c r="BP185" s="251"/>
      <c r="BQ185" s="183"/>
      <c r="BR185" s="23"/>
      <c r="BS185" s="23"/>
      <c r="BT185" s="23"/>
      <c r="BU185" s="183"/>
      <c r="BV185" s="183"/>
      <c r="BW185" s="249"/>
    </row>
    <row r="186" spans="1:75">
      <c r="I186" s="20"/>
      <c r="AI186" s="757"/>
      <c r="AJ186" s="186"/>
      <c r="AK186" s="186"/>
      <c r="AL186" s="747"/>
      <c r="AM186" s="747"/>
      <c r="AN186" s="747"/>
      <c r="AO186" s="186"/>
      <c r="AP186" s="186"/>
      <c r="AQ186" s="12"/>
      <c r="AR186" s="11"/>
      <c r="AS186" s="186"/>
      <c r="AT186" s="747"/>
      <c r="AU186" s="747"/>
      <c r="AV186" s="747"/>
      <c r="AW186" s="186"/>
      <c r="AX186" s="186"/>
      <c r="AY186" s="12"/>
      <c r="AZ186" s="11"/>
      <c r="BA186" s="186"/>
      <c r="BB186" s="747"/>
      <c r="BC186" s="747"/>
      <c r="BD186" s="747"/>
      <c r="BE186" s="186"/>
      <c r="BF186" s="186"/>
      <c r="BG186" s="12"/>
      <c r="BH186" s="11"/>
      <c r="BI186" s="186"/>
      <c r="BJ186" s="747"/>
      <c r="BK186" s="747"/>
      <c r="BL186" s="747"/>
      <c r="BM186" s="186"/>
      <c r="BN186" s="186"/>
      <c r="BO186" s="12"/>
      <c r="BP186" s="251"/>
      <c r="BQ186" s="183"/>
      <c r="BR186" s="23"/>
      <c r="BS186" s="23"/>
      <c r="BT186" s="23"/>
      <c r="BU186" s="183"/>
      <c r="BV186" s="183"/>
      <c r="BW186" s="249"/>
    </row>
    <row r="187" spans="1:75">
      <c r="I187" s="20"/>
      <c r="AI187" s="757"/>
      <c r="AJ187" s="186"/>
      <c r="AK187" s="186"/>
      <c r="AL187" s="747"/>
      <c r="AM187" s="747"/>
      <c r="AN187" s="747"/>
      <c r="AO187" s="186"/>
      <c r="AP187" s="186"/>
      <c r="AQ187" s="12"/>
      <c r="AR187" s="11"/>
      <c r="AS187" s="186"/>
      <c r="AT187" s="747"/>
      <c r="AU187" s="747"/>
      <c r="AV187" s="747"/>
      <c r="AW187" s="186"/>
      <c r="AX187" s="186"/>
      <c r="AY187" s="12"/>
      <c r="AZ187" s="11"/>
      <c r="BA187" s="186"/>
      <c r="BB187" s="747"/>
      <c r="BC187" s="747"/>
      <c r="BD187" s="747"/>
      <c r="BE187" s="186"/>
      <c r="BF187" s="186"/>
      <c r="BG187" s="12"/>
      <c r="BH187" s="11"/>
      <c r="BI187" s="186"/>
      <c r="BJ187" s="747"/>
      <c r="BK187" s="747"/>
      <c r="BL187" s="747"/>
      <c r="BM187" s="186"/>
      <c r="BN187" s="186"/>
      <c r="BO187" s="12"/>
      <c r="BP187" s="251"/>
      <c r="BQ187" s="183"/>
      <c r="BR187" s="23"/>
      <c r="BS187" s="23"/>
      <c r="BT187" s="23"/>
      <c r="BU187" s="183"/>
      <c r="BV187" s="183"/>
      <c r="BW187" s="249"/>
    </row>
    <row r="188" spans="1:75">
      <c r="I188" s="20"/>
      <c r="AI188" s="757"/>
      <c r="AJ188" s="186"/>
      <c r="AK188" s="186"/>
      <c r="AL188" s="747"/>
      <c r="AM188" s="747"/>
      <c r="AN188" s="747"/>
      <c r="AO188" s="186"/>
      <c r="AP188" s="186"/>
      <c r="AQ188" s="12"/>
      <c r="AR188" s="11"/>
      <c r="AS188" s="186"/>
      <c r="AT188" s="747"/>
      <c r="AU188" s="747"/>
      <c r="AV188" s="747"/>
      <c r="AW188" s="186"/>
      <c r="AX188" s="186"/>
      <c r="AY188" s="12"/>
      <c r="AZ188" s="11"/>
      <c r="BA188" s="186"/>
      <c r="BB188" s="747"/>
      <c r="BC188" s="747"/>
      <c r="BD188" s="747"/>
      <c r="BE188" s="186"/>
      <c r="BF188" s="186"/>
      <c r="BG188" s="12"/>
      <c r="BH188" s="11"/>
      <c r="BI188" s="186"/>
      <c r="BJ188" s="747"/>
      <c r="BK188" s="747"/>
      <c r="BL188" s="747"/>
      <c r="BM188" s="186"/>
      <c r="BN188" s="186"/>
      <c r="BO188" s="12"/>
      <c r="BP188" s="251"/>
      <c r="BQ188" s="183"/>
      <c r="BR188" s="23"/>
      <c r="BS188" s="23"/>
      <c r="BT188" s="23"/>
      <c r="BU188" s="183"/>
      <c r="BV188" s="183"/>
      <c r="BW188" s="249"/>
    </row>
    <row r="189" spans="1:75">
      <c r="I189" s="20"/>
      <c r="AI189" s="757"/>
      <c r="AJ189" s="186"/>
      <c r="AK189" s="186"/>
      <c r="AL189" s="747"/>
      <c r="AM189" s="747"/>
      <c r="AN189" s="747"/>
      <c r="AO189" s="186"/>
      <c r="AP189" s="186"/>
      <c r="AQ189" s="12"/>
      <c r="AR189" s="11"/>
      <c r="AS189" s="186"/>
      <c r="AT189" s="747"/>
      <c r="AU189" s="747"/>
      <c r="AV189" s="747"/>
      <c r="AW189" s="186"/>
      <c r="AX189" s="186"/>
      <c r="AY189" s="12"/>
      <c r="AZ189" s="11"/>
      <c r="BA189" s="186"/>
      <c r="BB189" s="747"/>
      <c r="BC189" s="747"/>
      <c r="BD189" s="747"/>
      <c r="BE189" s="186"/>
      <c r="BF189" s="186"/>
      <c r="BG189" s="12"/>
      <c r="BH189" s="11"/>
      <c r="BI189" s="186"/>
      <c r="BJ189" s="747"/>
      <c r="BK189" s="747"/>
      <c r="BL189" s="747"/>
      <c r="BM189" s="186"/>
      <c r="BN189" s="186"/>
      <c r="BO189" s="12"/>
      <c r="BP189" s="251"/>
      <c r="BQ189" s="183"/>
      <c r="BR189" s="23"/>
      <c r="BS189" s="23"/>
      <c r="BT189" s="23"/>
      <c r="BU189" s="183"/>
      <c r="BV189" s="183"/>
      <c r="BW189" s="249"/>
    </row>
    <row r="190" spans="1:75">
      <c r="I190" s="20"/>
      <c r="AI190" s="757"/>
      <c r="AJ190" s="186"/>
      <c r="AK190" s="186"/>
      <c r="AL190" s="747"/>
      <c r="AM190" s="747"/>
      <c r="AN190" s="747"/>
      <c r="AO190" s="186"/>
      <c r="AP190" s="186"/>
      <c r="AQ190" s="12"/>
      <c r="AR190" s="11"/>
      <c r="AS190" s="186"/>
      <c r="AT190" s="747"/>
      <c r="AU190" s="747"/>
      <c r="AV190" s="747"/>
      <c r="AW190" s="186"/>
      <c r="AX190" s="186"/>
      <c r="AY190" s="12"/>
      <c r="AZ190" s="11"/>
      <c r="BA190" s="186"/>
      <c r="BB190" s="747"/>
      <c r="BC190" s="747"/>
      <c r="BD190" s="747"/>
      <c r="BE190" s="186"/>
      <c r="BF190" s="186"/>
      <c r="BG190" s="12"/>
      <c r="BH190" s="11"/>
      <c r="BI190" s="186"/>
      <c r="BJ190" s="747"/>
      <c r="BK190" s="747"/>
      <c r="BL190" s="747"/>
      <c r="BM190" s="186"/>
      <c r="BN190" s="186"/>
      <c r="BO190" s="12"/>
      <c r="BP190" s="251"/>
      <c r="BQ190" s="183"/>
      <c r="BR190" s="23"/>
      <c r="BS190" s="23"/>
      <c r="BT190" s="23"/>
      <c r="BU190" s="183"/>
      <c r="BV190" s="183"/>
      <c r="BW190" s="249"/>
    </row>
    <row r="191" spans="1:75">
      <c r="I191" s="20"/>
      <c r="AI191" s="757"/>
      <c r="AJ191" s="186"/>
      <c r="AK191" s="186"/>
      <c r="AL191" s="747"/>
      <c r="AM191" s="747"/>
      <c r="AN191" s="747"/>
      <c r="AO191" s="186"/>
      <c r="AP191" s="186"/>
      <c r="AQ191" s="12"/>
      <c r="AR191" s="11"/>
      <c r="AS191" s="186"/>
      <c r="AT191" s="747"/>
      <c r="AU191" s="747"/>
      <c r="AV191" s="747"/>
      <c r="AW191" s="186"/>
      <c r="AX191" s="186"/>
      <c r="AY191" s="12"/>
      <c r="AZ191" s="11"/>
      <c r="BA191" s="186"/>
      <c r="BB191" s="747"/>
      <c r="BC191" s="747"/>
      <c r="BD191" s="747"/>
      <c r="BE191" s="186"/>
      <c r="BF191" s="186"/>
      <c r="BG191" s="12"/>
      <c r="BH191" s="11"/>
      <c r="BI191" s="186"/>
      <c r="BJ191" s="747"/>
      <c r="BK191" s="747"/>
      <c r="BL191" s="747"/>
      <c r="BM191" s="186"/>
      <c r="BN191" s="186"/>
      <c r="BO191" s="12"/>
      <c r="BP191" s="251"/>
      <c r="BQ191" s="183"/>
      <c r="BR191" s="23"/>
      <c r="BS191" s="23"/>
      <c r="BT191" s="23"/>
      <c r="BU191" s="183"/>
      <c r="BV191" s="183"/>
      <c r="BW191" s="249"/>
    </row>
    <row r="192" spans="1:75">
      <c r="I192" s="20"/>
      <c r="AI192" s="757"/>
      <c r="AJ192" s="186"/>
      <c r="AK192" s="186"/>
      <c r="AL192" s="747"/>
      <c r="AM192" s="747"/>
      <c r="AN192" s="747"/>
      <c r="AO192" s="186"/>
      <c r="AP192" s="186"/>
      <c r="AQ192" s="12"/>
      <c r="AR192" s="11"/>
      <c r="AS192" s="186"/>
      <c r="AT192" s="747"/>
      <c r="AU192" s="747"/>
      <c r="AV192" s="747"/>
      <c r="AW192" s="186"/>
      <c r="AX192" s="186"/>
      <c r="AY192" s="12"/>
      <c r="AZ192" s="11"/>
      <c r="BA192" s="186"/>
      <c r="BB192" s="747"/>
      <c r="BC192" s="747"/>
      <c r="BD192" s="747"/>
      <c r="BE192" s="186"/>
      <c r="BF192" s="186"/>
      <c r="BG192" s="12"/>
      <c r="BH192" s="11"/>
      <c r="BI192" s="186"/>
      <c r="BJ192" s="747"/>
      <c r="BK192" s="747"/>
      <c r="BL192" s="747"/>
      <c r="BM192" s="186"/>
      <c r="BN192" s="186"/>
      <c r="BO192" s="12"/>
      <c r="BP192" s="251"/>
      <c r="BQ192" s="183"/>
      <c r="BR192" s="23"/>
      <c r="BS192" s="23"/>
      <c r="BT192" s="23"/>
      <c r="BU192" s="183"/>
      <c r="BV192" s="183"/>
      <c r="BW192" s="249"/>
    </row>
    <row r="193" spans="1:75">
      <c r="I193" s="20"/>
      <c r="AI193" s="757"/>
      <c r="AJ193" s="186"/>
      <c r="AK193" s="186"/>
      <c r="AL193" s="747"/>
      <c r="AM193" s="747"/>
      <c r="AN193" s="747"/>
      <c r="AO193" s="186"/>
      <c r="AP193" s="186"/>
      <c r="AQ193" s="12"/>
      <c r="AR193" s="11"/>
      <c r="AS193" s="186"/>
      <c r="AT193" s="747"/>
      <c r="AU193" s="747"/>
      <c r="AV193" s="747"/>
      <c r="AW193" s="186"/>
      <c r="AX193" s="186"/>
      <c r="AY193" s="12"/>
      <c r="AZ193" s="11"/>
      <c r="BA193" s="186"/>
      <c r="BB193" s="747"/>
      <c r="BC193" s="747"/>
      <c r="BD193" s="747"/>
      <c r="BE193" s="186"/>
      <c r="BF193" s="186"/>
      <c r="BG193" s="12"/>
      <c r="BH193" s="11"/>
      <c r="BI193" s="186"/>
      <c r="BJ193" s="747"/>
      <c r="BK193" s="747"/>
      <c r="BL193" s="747"/>
      <c r="BM193" s="186"/>
      <c r="BN193" s="186"/>
      <c r="BO193" s="12"/>
      <c r="BP193" s="251"/>
      <c r="BQ193" s="183"/>
      <c r="BR193" s="23"/>
      <c r="BS193" s="23"/>
      <c r="BT193" s="23"/>
      <c r="BU193" s="183"/>
      <c r="BV193" s="183"/>
      <c r="BW193" s="249"/>
    </row>
    <row r="194" spans="1:75">
      <c r="I194" s="20"/>
      <c r="AI194" s="757"/>
      <c r="AJ194" s="186"/>
      <c r="AK194" s="186"/>
      <c r="AL194" s="747"/>
      <c r="AM194" s="747"/>
      <c r="AN194" s="747"/>
      <c r="AO194" s="186"/>
      <c r="AP194" s="186"/>
      <c r="AQ194" s="12"/>
      <c r="AR194" s="11"/>
      <c r="AS194" s="186"/>
      <c r="AT194" s="747"/>
      <c r="AU194" s="747"/>
      <c r="AV194" s="747"/>
      <c r="AW194" s="186"/>
      <c r="AX194" s="186"/>
      <c r="AY194" s="12"/>
      <c r="AZ194" s="11"/>
      <c r="BA194" s="186"/>
      <c r="BB194" s="747"/>
      <c r="BC194" s="747"/>
      <c r="BD194" s="747"/>
      <c r="BE194" s="186"/>
      <c r="BF194" s="186"/>
      <c r="BG194" s="12"/>
      <c r="BH194" s="11"/>
      <c r="BI194" s="186"/>
      <c r="BJ194" s="747"/>
      <c r="BK194" s="747"/>
      <c r="BL194" s="747"/>
      <c r="BM194" s="186"/>
      <c r="BN194" s="186"/>
      <c r="BO194" s="12"/>
      <c r="BP194" s="251"/>
      <c r="BQ194" s="183"/>
      <c r="BR194" s="23"/>
      <c r="BS194" s="23"/>
      <c r="BT194" s="23"/>
      <c r="BU194" s="183"/>
      <c r="BV194" s="183"/>
      <c r="BW194" s="249"/>
    </row>
    <row r="195" spans="1:75">
      <c r="I195" s="20"/>
      <c r="AI195" s="757"/>
      <c r="AJ195" s="186"/>
      <c r="AK195" s="186"/>
      <c r="AL195" s="747"/>
      <c r="AM195" s="747"/>
      <c r="AN195" s="747"/>
      <c r="AO195" s="186"/>
      <c r="AP195" s="186"/>
      <c r="AQ195" s="12"/>
      <c r="AR195" s="11"/>
      <c r="AS195" s="186"/>
      <c r="AT195" s="747"/>
      <c r="AU195" s="747"/>
      <c r="AV195" s="747"/>
      <c r="AW195" s="186"/>
      <c r="AX195" s="186"/>
      <c r="AY195" s="12"/>
      <c r="AZ195" s="11"/>
      <c r="BA195" s="186"/>
      <c r="BB195" s="747"/>
      <c r="BC195" s="747"/>
      <c r="BD195" s="747"/>
      <c r="BE195" s="186"/>
      <c r="BF195" s="186"/>
      <c r="BG195" s="12"/>
      <c r="BH195" s="11"/>
      <c r="BI195" s="186"/>
      <c r="BJ195" s="747"/>
      <c r="BK195" s="747"/>
      <c r="BL195" s="747"/>
      <c r="BM195" s="186"/>
      <c r="BN195" s="186"/>
      <c r="BO195" s="12"/>
      <c r="BP195" s="251"/>
      <c r="BQ195" s="183"/>
      <c r="BR195" s="23"/>
      <c r="BS195" s="23"/>
      <c r="BT195" s="23"/>
      <c r="BU195" s="183"/>
      <c r="BV195" s="183"/>
      <c r="BW195" s="249"/>
    </row>
    <row r="196" spans="1:75">
      <c r="I196" s="20"/>
      <c r="AI196" s="757"/>
      <c r="AJ196" s="186"/>
      <c r="AK196" s="186"/>
      <c r="AL196" s="747"/>
      <c r="AM196" s="747"/>
      <c r="AN196" s="747"/>
      <c r="AO196" s="186"/>
      <c r="AP196" s="186"/>
      <c r="AQ196" s="12"/>
      <c r="AR196" s="11"/>
      <c r="AS196" s="186"/>
      <c r="AT196" s="747"/>
      <c r="AU196" s="747"/>
      <c r="AV196" s="747"/>
      <c r="AW196" s="186"/>
      <c r="AX196" s="186"/>
      <c r="AY196" s="12"/>
      <c r="AZ196" s="11"/>
      <c r="BA196" s="186"/>
      <c r="BB196" s="747"/>
      <c r="BC196" s="747"/>
      <c r="BD196" s="747"/>
      <c r="BE196" s="186"/>
      <c r="BF196" s="186"/>
      <c r="BG196" s="12"/>
      <c r="BH196" s="11"/>
      <c r="BI196" s="186"/>
      <c r="BJ196" s="747"/>
      <c r="BK196" s="747"/>
      <c r="BL196" s="747"/>
      <c r="BM196" s="186"/>
      <c r="BN196" s="186"/>
      <c r="BO196" s="12"/>
      <c r="BP196" s="251"/>
      <c r="BQ196" s="183"/>
      <c r="BR196" s="23"/>
      <c r="BS196" s="23"/>
      <c r="BT196" s="23"/>
      <c r="BU196" s="183"/>
      <c r="BV196" s="183"/>
      <c r="BW196" s="249"/>
    </row>
    <row r="197" spans="1:75">
      <c r="I197" s="20"/>
      <c r="AI197" s="757"/>
      <c r="AJ197" s="186"/>
      <c r="AK197" s="186"/>
      <c r="AL197" s="747"/>
      <c r="AM197" s="747"/>
      <c r="AN197" s="747"/>
      <c r="AO197" s="186"/>
      <c r="AP197" s="186"/>
      <c r="AQ197" s="12"/>
      <c r="AR197" s="11"/>
      <c r="AS197" s="186"/>
      <c r="AT197" s="747"/>
      <c r="AU197" s="747"/>
      <c r="AV197" s="747"/>
      <c r="AW197" s="186"/>
      <c r="AX197" s="186"/>
      <c r="AY197" s="12"/>
      <c r="AZ197" s="11"/>
      <c r="BA197" s="186"/>
      <c r="BB197" s="747"/>
      <c r="BC197" s="747"/>
      <c r="BD197" s="747"/>
      <c r="BE197" s="186"/>
      <c r="BF197" s="186"/>
      <c r="BG197" s="12"/>
      <c r="BH197" s="11"/>
      <c r="BI197" s="186"/>
      <c r="BJ197" s="747"/>
      <c r="BK197" s="747"/>
      <c r="BL197" s="747"/>
      <c r="BM197" s="186"/>
      <c r="BN197" s="186"/>
      <c r="BO197" s="12"/>
      <c r="BP197" s="251"/>
      <c r="BQ197" s="183"/>
      <c r="BR197" s="23"/>
      <c r="BS197" s="23"/>
      <c r="BT197" s="23"/>
      <c r="BU197" s="183"/>
      <c r="BV197" s="183"/>
      <c r="BW197" s="249"/>
    </row>
    <row r="198" spans="1:75">
      <c r="I198" s="20"/>
      <c r="AI198" s="757"/>
      <c r="AJ198" s="186"/>
      <c r="AK198" s="186"/>
      <c r="AL198" s="747"/>
      <c r="AM198" s="747"/>
      <c r="AN198" s="747"/>
      <c r="AO198" s="186"/>
      <c r="AP198" s="186"/>
      <c r="AQ198" s="12"/>
      <c r="AR198" s="11"/>
      <c r="AS198" s="186"/>
      <c r="AT198" s="747"/>
      <c r="AU198" s="747"/>
      <c r="AV198" s="747"/>
      <c r="AW198" s="186"/>
      <c r="AX198" s="186"/>
      <c r="AY198" s="12"/>
      <c r="AZ198" s="11"/>
      <c r="BA198" s="186"/>
      <c r="BB198" s="747"/>
      <c r="BC198" s="747"/>
      <c r="BD198" s="747"/>
      <c r="BE198" s="186"/>
      <c r="BF198" s="186"/>
      <c r="BG198" s="12"/>
      <c r="BH198" s="11"/>
      <c r="BI198" s="186"/>
      <c r="BJ198" s="747"/>
      <c r="BK198" s="747"/>
      <c r="BL198" s="747"/>
      <c r="BM198" s="186"/>
      <c r="BN198" s="186"/>
      <c r="BO198" s="12"/>
      <c r="BP198" s="251"/>
      <c r="BQ198" s="183"/>
      <c r="BR198" s="23"/>
      <c r="BS198" s="23"/>
      <c r="BT198" s="23"/>
      <c r="BU198" s="183"/>
      <c r="BV198" s="183"/>
      <c r="BW198" s="249"/>
    </row>
    <row r="199" spans="1:75">
      <c r="I199" s="20"/>
      <c r="AI199" s="757"/>
      <c r="AJ199" s="186"/>
      <c r="AK199" s="186"/>
      <c r="AL199" s="747"/>
      <c r="AM199" s="747"/>
      <c r="AN199" s="747"/>
      <c r="AO199" s="186"/>
      <c r="AP199" s="186"/>
      <c r="AQ199" s="12"/>
      <c r="AR199" s="11"/>
      <c r="AS199" s="186"/>
      <c r="AT199" s="747"/>
      <c r="AU199" s="747"/>
      <c r="AV199" s="747"/>
      <c r="AW199" s="186"/>
      <c r="AX199" s="186"/>
      <c r="AY199" s="12"/>
      <c r="AZ199" s="11"/>
      <c r="BA199" s="186"/>
      <c r="BB199" s="747"/>
      <c r="BC199" s="747"/>
      <c r="BD199" s="747"/>
      <c r="BE199" s="186"/>
      <c r="BF199" s="186"/>
      <c r="BG199" s="12"/>
      <c r="BH199" s="11"/>
      <c r="BI199" s="186"/>
      <c r="BJ199" s="747"/>
      <c r="BK199" s="747"/>
      <c r="BL199" s="747"/>
      <c r="BM199" s="186"/>
      <c r="BN199" s="186"/>
      <c r="BO199" s="12"/>
      <c r="BP199" s="251"/>
      <c r="BQ199" s="183"/>
      <c r="BR199" s="23"/>
      <c r="BS199" s="23"/>
      <c r="BT199" s="23"/>
      <c r="BU199" s="183"/>
      <c r="BV199" s="183"/>
      <c r="BW199" s="249"/>
    </row>
    <row r="200" spans="1:75">
      <c r="I200" s="20"/>
      <c r="AI200" s="757"/>
      <c r="AJ200" s="186"/>
      <c r="AK200" s="186"/>
      <c r="AL200" s="747"/>
      <c r="AM200" s="747"/>
      <c r="AN200" s="747"/>
      <c r="AO200" s="186"/>
      <c r="AP200" s="186"/>
      <c r="AQ200" s="12"/>
      <c r="AR200" s="11"/>
      <c r="AS200" s="186"/>
      <c r="AT200" s="747"/>
      <c r="AU200" s="747"/>
      <c r="AV200" s="747"/>
      <c r="AW200" s="186"/>
      <c r="AX200" s="186"/>
      <c r="AY200" s="12"/>
      <c r="AZ200" s="11"/>
      <c r="BA200" s="186"/>
      <c r="BB200" s="747"/>
      <c r="BC200" s="747"/>
      <c r="BD200" s="747"/>
      <c r="BE200" s="186"/>
      <c r="BF200" s="186"/>
      <c r="BG200" s="12"/>
      <c r="BH200" s="11"/>
      <c r="BI200" s="186"/>
      <c r="BJ200" s="747"/>
      <c r="BK200" s="747"/>
      <c r="BL200" s="747"/>
      <c r="BM200" s="186"/>
      <c r="BN200" s="186"/>
      <c r="BO200" s="12"/>
      <c r="BP200" s="251"/>
      <c r="BQ200" s="183"/>
      <c r="BR200" s="23"/>
      <c r="BS200" s="23"/>
      <c r="BT200" s="23"/>
      <c r="BU200" s="183"/>
      <c r="BV200" s="183"/>
      <c r="BW200" s="249"/>
    </row>
    <row r="201" spans="1:75">
      <c r="I201" s="20"/>
      <c r="AI201" s="757"/>
      <c r="AJ201" s="186"/>
      <c r="AK201" s="186"/>
      <c r="AL201" s="747"/>
      <c r="AM201" s="747"/>
      <c r="AN201" s="747"/>
      <c r="AO201" s="186"/>
      <c r="AP201" s="186"/>
      <c r="AQ201" s="12"/>
      <c r="AR201" s="11"/>
      <c r="AS201" s="186"/>
      <c r="AT201" s="747"/>
      <c r="AU201" s="747"/>
      <c r="AV201" s="747"/>
      <c r="AW201" s="186"/>
      <c r="AX201" s="186"/>
      <c r="AY201" s="12"/>
      <c r="AZ201" s="11"/>
      <c r="BA201" s="186"/>
      <c r="BB201" s="747"/>
      <c r="BC201" s="747"/>
      <c r="BD201" s="747"/>
      <c r="BE201" s="186"/>
      <c r="BF201" s="186"/>
      <c r="BG201" s="12"/>
      <c r="BH201" s="11"/>
      <c r="BI201" s="186"/>
      <c r="BJ201" s="747"/>
      <c r="BK201" s="747"/>
      <c r="BL201" s="747"/>
      <c r="BM201" s="186"/>
      <c r="BN201" s="186"/>
      <c r="BO201" s="12"/>
      <c r="BP201" s="251"/>
      <c r="BQ201" s="183"/>
      <c r="BR201" s="23"/>
      <c r="BS201" s="23"/>
      <c r="BT201" s="23"/>
      <c r="BU201" s="183"/>
      <c r="BV201" s="183"/>
      <c r="BW201" s="249"/>
    </row>
    <row r="202" spans="1:75">
      <c r="A202" s="1" t="s">
        <v>823</v>
      </c>
      <c r="B202" s="1" t="s">
        <v>795</v>
      </c>
      <c r="C202" s="1" t="s">
        <v>796</v>
      </c>
      <c r="D202" s="1" t="s">
        <v>523</v>
      </c>
      <c r="E202" s="1" t="s">
        <v>541</v>
      </c>
      <c r="F202" s="1">
        <v>2.5000000000000001E-2</v>
      </c>
      <c r="G202" s="1">
        <v>0</v>
      </c>
      <c r="I202" s="20"/>
      <c r="J202" s="1" t="s">
        <v>692</v>
      </c>
      <c r="AI202" s="757"/>
      <c r="AJ202" s="186"/>
      <c r="AK202" s="186"/>
      <c r="AL202" s="747"/>
      <c r="AM202" s="747"/>
      <c r="AN202" s="747"/>
      <c r="AO202" s="186"/>
      <c r="AP202" s="186"/>
      <c r="AQ202" s="12"/>
      <c r="AR202" s="11"/>
      <c r="AS202" s="186"/>
      <c r="AT202" s="747"/>
      <c r="AU202" s="747"/>
      <c r="AV202" s="747"/>
      <c r="AW202" s="186"/>
      <c r="AX202" s="186"/>
      <c r="AY202" s="12"/>
      <c r="AZ202" s="11"/>
      <c r="BA202" s="186"/>
      <c r="BB202" s="747"/>
      <c r="BC202" s="747"/>
      <c r="BD202" s="747"/>
      <c r="BE202" s="186"/>
      <c r="BF202" s="186"/>
      <c r="BG202" s="12"/>
      <c r="BH202" s="11"/>
      <c r="BI202" s="186"/>
      <c r="BJ202" s="747"/>
      <c r="BK202" s="747"/>
      <c r="BL202" s="747"/>
      <c r="BM202" s="186"/>
      <c r="BN202" s="186"/>
      <c r="BO202" s="12"/>
      <c r="BP202" s="251"/>
      <c r="BQ202" s="183"/>
      <c r="BR202" s="23"/>
      <c r="BS202" s="23"/>
      <c r="BT202" s="23"/>
      <c r="BU202" s="183"/>
      <c r="BV202" s="183"/>
      <c r="BW202" s="249"/>
    </row>
    <row r="203" spans="1:75" ht="12.75" thickBot="1">
      <c r="A203" s="1" t="s">
        <v>824</v>
      </c>
      <c r="B203" s="1" t="s">
        <v>795</v>
      </c>
      <c r="C203" s="1" t="s">
        <v>796</v>
      </c>
      <c r="D203" s="1" t="s">
        <v>523</v>
      </c>
      <c r="E203" s="1" t="s">
        <v>542</v>
      </c>
      <c r="F203" s="1">
        <v>2.5000000000000001E-2</v>
      </c>
      <c r="G203" s="1">
        <v>0</v>
      </c>
      <c r="I203" s="20"/>
      <c r="J203" s="1" t="s">
        <v>519</v>
      </c>
      <c r="AI203" s="757"/>
      <c r="AJ203" s="186"/>
      <c r="AK203" s="186"/>
      <c r="AL203" s="747"/>
      <c r="AM203" s="747"/>
      <c r="AN203" s="747"/>
      <c r="AO203" s="186"/>
      <c r="AP203" s="186"/>
      <c r="AQ203" s="12"/>
      <c r="AR203" s="11"/>
      <c r="AS203" s="186"/>
      <c r="AT203" s="747"/>
      <c r="AU203" s="747"/>
      <c r="AV203" s="747"/>
      <c r="AW203" s="186"/>
      <c r="AX203" s="186"/>
      <c r="AY203" s="14"/>
      <c r="AZ203" s="13"/>
      <c r="BA203" s="242"/>
      <c r="BB203" s="22"/>
      <c r="BC203" s="22"/>
      <c r="BD203" s="22"/>
      <c r="BE203" s="242"/>
      <c r="BF203" s="242"/>
      <c r="BG203" s="14"/>
      <c r="BH203" s="11"/>
      <c r="BI203" s="186"/>
      <c r="BJ203" s="747"/>
      <c r="BK203" s="747"/>
      <c r="BL203" s="747"/>
      <c r="BM203" s="186"/>
      <c r="BN203" s="186"/>
      <c r="BO203" s="12"/>
      <c r="BP203" s="251"/>
      <c r="BQ203" s="183"/>
      <c r="BR203" s="23"/>
      <c r="BS203" s="23"/>
      <c r="BT203" s="23"/>
      <c r="BU203" s="183"/>
      <c r="BV203" s="183"/>
      <c r="BW203" s="249"/>
    </row>
    <row r="204" spans="1:75">
      <c r="A204" s="1" t="s">
        <v>825</v>
      </c>
      <c r="B204" s="1" t="s">
        <v>795</v>
      </c>
      <c r="C204" s="1" t="s">
        <v>796</v>
      </c>
      <c r="D204" s="1" t="s">
        <v>523</v>
      </c>
      <c r="E204" s="1" t="s">
        <v>543</v>
      </c>
      <c r="F204" s="1">
        <v>2.5000000000000001E-2</v>
      </c>
      <c r="G204" s="1">
        <v>0</v>
      </c>
      <c r="I204" s="20"/>
      <c r="J204" s="1" t="s">
        <v>756</v>
      </c>
      <c r="AI204" s="763">
        <v>3</v>
      </c>
      <c r="AJ204" s="184" t="s">
        <v>2714</v>
      </c>
      <c r="AK204" s="185" t="s">
        <v>1862</v>
      </c>
      <c r="AL204" s="21" t="s">
        <v>1817</v>
      </c>
      <c r="AM204" s="21" t="s">
        <v>1730</v>
      </c>
      <c r="AN204" s="21" t="s">
        <v>1730</v>
      </c>
      <c r="AO204" s="185">
        <v>1.8</v>
      </c>
      <c r="AP204" s="185">
        <v>0</v>
      </c>
      <c r="AQ204" s="10">
        <v>2.3199999999999998</v>
      </c>
      <c r="AR204" s="9" t="s">
        <v>2805</v>
      </c>
      <c r="AS204" s="185" t="s">
        <v>1862</v>
      </c>
      <c r="AT204" s="21" t="s">
        <v>1817</v>
      </c>
      <c r="AU204" s="21" t="s">
        <v>1730</v>
      </c>
      <c r="AV204" s="21" t="s">
        <v>1730</v>
      </c>
      <c r="AW204" s="185">
        <v>1.8</v>
      </c>
      <c r="AX204" s="185">
        <v>0</v>
      </c>
      <c r="AY204" s="10">
        <v>3</v>
      </c>
      <c r="AZ204" s="243" t="s">
        <v>2017</v>
      </c>
      <c r="BA204" s="244" t="s">
        <v>1862</v>
      </c>
      <c r="BB204" s="748" t="s">
        <v>1817</v>
      </c>
      <c r="BC204" s="748" t="s">
        <v>1730</v>
      </c>
      <c r="BD204" s="748" t="s">
        <v>1730</v>
      </c>
      <c r="BE204" s="244">
        <v>2.83</v>
      </c>
      <c r="BF204" s="244">
        <v>0.25</v>
      </c>
      <c r="BG204" s="204">
        <v>2.58</v>
      </c>
      <c r="BH204" s="9" t="s">
        <v>2065</v>
      </c>
      <c r="BI204" s="185" t="s">
        <v>1803</v>
      </c>
      <c r="BJ204" s="21" t="s">
        <v>1830</v>
      </c>
      <c r="BK204" s="21" t="s">
        <v>515</v>
      </c>
      <c r="BL204" s="21" t="s">
        <v>1730</v>
      </c>
      <c r="BM204" s="185">
        <v>4.8750000000000002E-2</v>
      </c>
      <c r="BN204" s="185">
        <v>0</v>
      </c>
      <c r="BO204" s="10">
        <v>2.23</v>
      </c>
      <c r="BP204" s="9" t="s">
        <v>2096</v>
      </c>
      <c r="BQ204" s="185" t="s">
        <v>1713</v>
      </c>
      <c r="BR204" s="21" t="s">
        <v>1830</v>
      </c>
      <c r="BS204" s="21" t="s">
        <v>515</v>
      </c>
      <c r="BT204" s="21" t="s">
        <v>1730</v>
      </c>
      <c r="BU204" s="185">
        <v>0.18375</v>
      </c>
      <c r="BV204" s="185">
        <v>0</v>
      </c>
      <c r="BW204" s="10">
        <v>1.37</v>
      </c>
    </row>
    <row r="205" spans="1:75">
      <c r="A205" s="1" t="s">
        <v>826</v>
      </c>
      <c r="B205" s="1" t="s">
        <v>795</v>
      </c>
      <c r="C205" s="1" t="s">
        <v>796</v>
      </c>
      <c r="D205" s="1" t="s">
        <v>523</v>
      </c>
      <c r="E205" s="1" t="s">
        <v>544</v>
      </c>
      <c r="F205" s="1">
        <v>1.2500000000000001E-2</v>
      </c>
      <c r="G205" s="1">
        <v>0</v>
      </c>
      <c r="I205" s="20"/>
      <c r="J205" s="1" t="s">
        <v>520</v>
      </c>
      <c r="AI205" s="757"/>
      <c r="AJ205" s="195" t="s">
        <v>2806</v>
      </c>
      <c r="AK205" s="186" t="s">
        <v>1864</v>
      </c>
      <c r="AL205" s="747" t="s">
        <v>1805</v>
      </c>
      <c r="AM205" s="747" t="s">
        <v>1730</v>
      </c>
      <c r="AN205" s="747" t="s">
        <v>1730</v>
      </c>
      <c r="AO205" s="186">
        <v>1.2</v>
      </c>
      <c r="AP205" s="186">
        <v>0</v>
      </c>
      <c r="AQ205" s="12">
        <v>2.3199999999999998</v>
      </c>
      <c r="AR205" s="11" t="s">
        <v>2715</v>
      </c>
      <c r="AS205" s="186" t="s">
        <v>1864</v>
      </c>
      <c r="AT205" s="747" t="s">
        <v>1805</v>
      </c>
      <c r="AU205" s="747" t="s">
        <v>1730</v>
      </c>
      <c r="AV205" s="747" t="s">
        <v>1730</v>
      </c>
      <c r="AW205" s="186">
        <v>1.2</v>
      </c>
      <c r="AX205" s="186">
        <v>0</v>
      </c>
      <c r="AY205" s="12">
        <v>3</v>
      </c>
      <c r="AZ205" s="11" t="s">
        <v>2017</v>
      </c>
      <c r="BA205" s="186" t="s">
        <v>1864</v>
      </c>
      <c r="BB205" s="747" t="s">
        <v>1838</v>
      </c>
      <c r="BC205" s="747" t="s">
        <v>1730</v>
      </c>
      <c r="BD205" s="747" t="s">
        <v>1730</v>
      </c>
      <c r="BE205" s="186">
        <v>2.5299999999999998</v>
      </c>
      <c r="BF205" s="186">
        <v>0.25</v>
      </c>
      <c r="BG205" s="12">
        <v>2.58</v>
      </c>
      <c r="BH205" s="11" t="s">
        <v>2065</v>
      </c>
      <c r="BI205" s="186" t="s">
        <v>1803</v>
      </c>
      <c r="BJ205" s="747" t="s">
        <v>1831</v>
      </c>
      <c r="BK205" s="747" t="s">
        <v>516</v>
      </c>
      <c r="BL205" s="747" t="s">
        <v>1730</v>
      </c>
      <c r="BM205" s="186">
        <v>3.2500000000000001E-2</v>
      </c>
      <c r="BN205" s="186">
        <v>0</v>
      </c>
      <c r="BO205" s="12">
        <v>2.23</v>
      </c>
      <c r="BP205" s="11" t="s">
        <v>2096</v>
      </c>
      <c r="BQ205" s="186" t="s">
        <v>1713</v>
      </c>
      <c r="BR205" s="747" t="s">
        <v>1831</v>
      </c>
      <c r="BS205" s="747" t="s">
        <v>516</v>
      </c>
      <c r="BT205" s="747" t="s">
        <v>1730</v>
      </c>
      <c r="BU205" s="186">
        <v>0.1225</v>
      </c>
      <c r="BV205" s="186">
        <v>0</v>
      </c>
      <c r="BW205" s="12">
        <v>1.37</v>
      </c>
    </row>
    <row r="206" spans="1:75">
      <c r="A206" s="1" t="s">
        <v>827</v>
      </c>
      <c r="B206" s="1" t="s">
        <v>795</v>
      </c>
      <c r="C206" s="1" t="s">
        <v>796</v>
      </c>
      <c r="D206" s="1" t="s">
        <v>523</v>
      </c>
      <c r="E206" s="1" t="s">
        <v>545</v>
      </c>
      <c r="F206" s="1">
        <v>1.2500000000000001E-2</v>
      </c>
      <c r="G206" s="1">
        <v>0</v>
      </c>
      <c r="I206" s="20"/>
      <c r="J206" s="1" t="s">
        <v>759</v>
      </c>
      <c r="AI206" s="757"/>
      <c r="AJ206" s="195" t="s">
        <v>2807</v>
      </c>
      <c r="AK206" s="186" t="s">
        <v>1899</v>
      </c>
      <c r="AL206" s="747" t="s">
        <v>1833</v>
      </c>
      <c r="AM206" s="747" t="s">
        <v>1730</v>
      </c>
      <c r="AN206" s="747" t="s">
        <v>1730</v>
      </c>
      <c r="AO206" s="186">
        <v>0.9</v>
      </c>
      <c r="AP206" s="186">
        <v>0</v>
      </c>
      <c r="AQ206" s="12">
        <v>2.3199999999999998</v>
      </c>
      <c r="AR206" s="11" t="s">
        <v>2805</v>
      </c>
      <c r="AS206" s="186" t="s">
        <v>1899</v>
      </c>
      <c r="AT206" s="747" t="s">
        <v>1833</v>
      </c>
      <c r="AU206" s="747" t="s">
        <v>1730</v>
      </c>
      <c r="AV206" s="747" t="s">
        <v>1730</v>
      </c>
      <c r="AW206" s="186">
        <v>0.9</v>
      </c>
      <c r="AX206" s="186">
        <v>0</v>
      </c>
      <c r="AY206" s="12">
        <v>3</v>
      </c>
      <c r="AZ206" s="11" t="s">
        <v>2017</v>
      </c>
      <c r="BA206" s="186" t="s">
        <v>1865</v>
      </c>
      <c r="BB206" s="747" t="s">
        <v>1807</v>
      </c>
      <c r="BC206" s="747" t="s">
        <v>1730</v>
      </c>
      <c r="BD206" s="747" t="s">
        <v>1730</v>
      </c>
      <c r="BE206" s="186">
        <v>2.16</v>
      </c>
      <c r="BF206" s="186">
        <v>0.25</v>
      </c>
      <c r="BG206" s="12">
        <v>2.58</v>
      </c>
      <c r="BH206" s="11" t="s">
        <v>2065</v>
      </c>
      <c r="BI206" s="186" t="s">
        <v>1803</v>
      </c>
      <c r="BJ206" s="747" t="s">
        <v>1832</v>
      </c>
      <c r="BK206" s="747" t="s">
        <v>517</v>
      </c>
      <c r="BL206" s="747" t="s">
        <v>1730</v>
      </c>
      <c r="BM206" s="186">
        <v>1.6250000000000001E-2</v>
      </c>
      <c r="BN206" s="186">
        <v>0</v>
      </c>
      <c r="BO206" s="12">
        <v>2.23</v>
      </c>
      <c r="BP206" s="243" t="s">
        <v>2096</v>
      </c>
      <c r="BQ206" s="244" t="s">
        <v>1713</v>
      </c>
      <c r="BR206" s="748" t="s">
        <v>1832</v>
      </c>
      <c r="BS206" s="748" t="s">
        <v>517</v>
      </c>
      <c r="BT206" s="748" t="s">
        <v>1730</v>
      </c>
      <c r="BU206" s="244">
        <v>6.1249999999999999E-2</v>
      </c>
      <c r="BV206" s="244">
        <v>0</v>
      </c>
      <c r="BW206" s="204">
        <v>1.37</v>
      </c>
    </row>
    <row r="207" spans="1:75">
      <c r="A207" s="1" t="s">
        <v>828</v>
      </c>
      <c r="B207" s="1" t="s">
        <v>682</v>
      </c>
      <c r="C207" s="1" t="s">
        <v>829</v>
      </c>
      <c r="D207" s="1" t="s">
        <v>1859</v>
      </c>
      <c r="E207" s="1" t="s">
        <v>1817</v>
      </c>
      <c r="F207" s="1">
        <v>2.1800000000000002</v>
      </c>
      <c r="G207" s="1">
        <v>0</v>
      </c>
      <c r="H207" s="1">
        <v>3</v>
      </c>
      <c r="I207" s="20" t="s">
        <v>684</v>
      </c>
      <c r="AI207" s="757"/>
      <c r="AJ207" s="195" t="s">
        <v>2806</v>
      </c>
      <c r="AK207" s="186" t="s">
        <v>1884</v>
      </c>
      <c r="AL207" s="747" t="s">
        <v>1824</v>
      </c>
      <c r="AM207" s="747" t="s">
        <v>1730</v>
      </c>
      <c r="AN207" s="747" t="s">
        <v>1730</v>
      </c>
      <c r="AO207" s="186">
        <v>0.7</v>
      </c>
      <c r="AP207" s="186">
        <v>0</v>
      </c>
      <c r="AQ207" s="12">
        <v>2.3199999999999998</v>
      </c>
      <c r="AR207" s="11" t="s">
        <v>2805</v>
      </c>
      <c r="AS207" s="186" t="s">
        <v>1884</v>
      </c>
      <c r="AT207" s="747" t="s">
        <v>1824</v>
      </c>
      <c r="AU207" s="747" t="s">
        <v>1730</v>
      </c>
      <c r="AV207" s="747" t="s">
        <v>1730</v>
      </c>
      <c r="AW207" s="186">
        <v>0.7</v>
      </c>
      <c r="AX207" s="186">
        <v>0</v>
      </c>
      <c r="AY207" s="12">
        <v>3</v>
      </c>
      <c r="AZ207" s="11" t="s">
        <v>2017</v>
      </c>
      <c r="BA207" s="186" t="s">
        <v>1865</v>
      </c>
      <c r="BB207" s="747" t="s">
        <v>1808</v>
      </c>
      <c r="BC207" s="747" t="s">
        <v>1730</v>
      </c>
      <c r="BD207" s="747" t="s">
        <v>1730</v>
      </c>
      <c r="BE207" s="186">
        <v>2.16</v>
      </c>
      <c r="BF207" s="186">
        <v>0.25</v>
      </c>
      <c r="BG207" s="12">
        <v>2.58</v>
      </c>
      <c r="BH207" s="11" t="s">
        <v>2065</v>
      </c>
      <c r="BI207" s="186" t="s">
        <v>1710</v>
      </c>
      <c r="BJ207" s="747" t="s">
        <v>2057</v>
      </c>
      <c r="BK207" s="747" t="s">
        <v>1730</v>
      </c>
      <c r="BL207" s="747" t="s">
        <v>1730</v>
      </c>
      <c r="BM207" s="186">
        <v>3.5000000000000003E-2</v>
      </c>
      <c r="BN207" s="186">
        <v>0</v>
      </c>
      <c r="BO207" s="12">
        <v>2.23</v>
      </c>
      <c r="BP207" s="11" t="s">
        <v>2096</v>
      </c>
      <c r="BQ207" s="186" t="s">
        <v>1710</v>
      </c>
      <c r="BR207" s="747" t="s">
        <v>2088</v>
      </c>
      <c r="BS207" s="747" t="s">
        <v>1730</v>
      </c>
      <c r="BT207" s="747" t="s">
        <v>1730</v>
      </c>
      <c r="BU207" s="186">
        <v>0.125</v>
      </c>
      <c r="BV207" s="186">
        <v>0</v>
      </c>
      <c r="BW207" s="12">
        <v>1.37</v>
      </c>
    </row>
    <row r="208" spans="1:75">
      <c r="A208" s="1" t="s">
        <v>830</v>
      </c>
      <c r="B208" s="1" t="s">
        <v>682</v>
      </c>
      <c r="C208" s="1" t="s">
        <v>829</v>
      </c>
      <c r="D208" s="1" t="s">
        <v>1863</v>
      </c>
      <c r="E208" s="1" t="s">
        <v>1804</v>
      </c>
      <c r="F208" s="1">
        <v>2.1800000000000002</v>
      </c>
      <c r="G208" s="1">
        <v>0</v>
      </c>
      <c r="H208" s="1">
        <v>3</v>
      </c>
      <c r="I208" s="20" t="s">
        <v>684</v>
      </c>
      <c r="AI208" s="757"/>
      <c r="AJ208" s="195" t="s">
        <v>2714</v>
      </c>
      <c r="AK208" s="186" t="s">
        <v>1952</v>
      </c>
      <c r="AL208" s="747" t="s">
        <v>1834</v>
      </c>
      <c r="AM208" s="747" t="s">
        <v>1730</v>
      </c>
      <c r="AN208" s="747" t="s">
        <v>1730</v>
      </c>
      <c r="AO208" s="186">
        <v>0.49</v>
      </c>
      <c r="AP208" s="186">
        <v>0</v>
      </c>
      <c r="AQ208" s="12">
        <v>2.3199999999999998</v>
      </c>
      <c r="AR208" s="11" t="s">
        <v>2805</v>
      </c>
      <c r="AS208" s="186" t="s">
        <v>1952</v>
      </c>
      <c r="AT208" s="747" t="s">
        <v>1834</v>
      </c>
      <c r="AU208" s="747" t="s">
        <v>1730</v>
      </c>
      <c r="AV208" s="747" t="s">
        <v>1730</v>
      </c>
      <c r="AW208" s="186">
        <v>0.49</v>
      </c>
      <c r="AX208" s="186">
        <v>0</v>
      </c>
      <c r="AY208" s="12">
        <v>3</v>
      </c>
      <c r="AZ208" s="11" t="s">
        <v>2017</v>
      </c>
      <c r="BA208" s="186" t="s">
        <v>1903</v>
      </c>
      <c r="BB208" s="747" t="s">
        <v>1869</v>
      </c>
      <c r="BC208" s="747" t="s">
        <v>1730</v>
      </c>
      <c r="BD208" s="747" t="s">
        <v>1730</v>
      </c>
      <c r="BE208" s="186">
        <v>1.93</v>
      </c>
      <c r="BF208" s="186">
        <v>0.25</v>
      </c>
      <c r="BG208" s="12">
        <v>2.58</v>
      </c>
      <c r="BH208" s="11" t="s">
        <v>2065</v>
      </c>
      <c r="BI208" s="186" t="s">
        <v>1710</v>
      </c>
      <c r="BJ208" s="747" t="s">
        <v>2058</v>
      </c>
      <c r="BK208" s="747" t="s">
        <v>1730</v>
      </c>
      <c r="BL208" s="747" t="s">
        <v>1730</v>
      </c>
      <c r="BM208" s="186">
        <v>1.7500000000000002E-2</v>
      </c>
      <c r="BN208" s="186">
        <v>0</v>
      </c>
      <c r="BO208" s="12">
        <v>2.23</v>
      </c>
      <c r="BP208" s="11" t="s">
        <v>2096</v>
      </c>
      <c r="BQ208" s="186" t="s">
        <v>1710</v>
      </c>
      <c r="BR208" s="747" t="s">
        <v>2089</v>
      </c>
      <c r="BS208" s="747" t="s">
        <v>1730</v>
      </c>
      <c r="BT208" s="747" t="s">
        <v>1730</v>
      </c>
      <c r="BU208" s="186">
        <v>6.25E-2</v>
      </c>
      <c r="BV208" s="186">
        <v>0</v>
      </c>
      <c r="BW208" s="12">
        <v>1.37</v>
      </c>
    </row>
    <row r="209" spans="1:75">
      <c r="A209" s="1" t="s">
        <v>831</v>
      </c>
      <c r="B209" s="1" t="s">
        <v>682</v>
      </c>
      <c r="C209" s="1" t="s">
        <v>829</v>
      </c>
      <c r="D209" s="1" t="s">
        <v>1864</v>
      </c>
      <c r="E209" s="1" t="s">
        <v>1805</v>
      </c>
      <c r="F209" s="1">
        <v>1</v>
      </c>
      <c r="G209" s="1">
        <v>0</v>
      </c>
      <c r="H209" s="1">
        <v>3</v>
      </c>
      <c r="I209" s="20" t="s">
        <v>684</v>
      </c>
      <c r="AI209" s="757"/>
      <c r="AJ209" s="195" t="s">
        <v>2806</v>
      </c>
      <c r="AK209" s="186" t="s">
        <v>1953</v>
      </c>
      <c r="AL209" s="747" t="s">
        <v>1835</v>
      </c>
      <c r="AM209" s="747" t="s">
        <v>1730</v>
      </c>
      <c r="AN209" s="747" t="s">
        <v>1730</v>
      </c>
      <c r="AO209" s="186">
        <v>0.4</v>
      </c>
      <c r="AP209" s="186">
        <v>0</v>
      </c>
      <c r="AQ209" s="12">
        <v>2.3199999999999998</v>
      </c>
      <c r="AR209" s="11" t="s">
        <v>2808</v>
      </c>
      <c r="AS209" s="186" t="s">
        <v>1953</v>
      </c>
      <c r="AT209" s="747" t="s">
        <v>1835</v>
      </c>
      <c r="AU209" s="747" t="s">
        <v>1730</v>
      </c>
      <c r="AV209" s="747" t="s">
        <v>1730</v>
      </c>
      <c r="AW209" s="186">
        <v>0.4</v>
      </c>
      <c r="AX209" s="186">
        <v>0</v>
      </c>
      <c r="AY209" s="12">
        <v>3</v>
      </c>
      <c r="AZ209" s="11" t="s">
        <v>2017</v>
      </c>
      <c r="BA209" s="186" t="s">
        <v>1903</v>
      </c>
      <c r="BB209" s="747" t="s">
        <v>1809</v>
      </c>
      <c r="BC209" s="747" t="s">
        <v>1730</v>
      </c>
      <c r="BD209" s="747" t="s">
        <v>1730</v>
      </c>
      <c r="BE209" s="186">
        <v>1.93</v>
      </c>
      <c r="BF209" s="186">
        <v>0.25</v>
      </c>
      <c r="BG209" s="12">
        <v>2.58</v>
      </c>
      <c r="BH209" s="11" t="s">
        <v>2065</v>
      </c>
      <c r="BI209" s="186" t="s">
        <v>1710</v>
      </c>
      <c r="BJ209" s="747" t="s">
        <v>2059</v>
      </c>
      <c r="BK209" s="747" t="s">
        <v>518</v>
      </c>
      <c r="BL209" s="747" t="s">
        <v>1730</v>
      </c>
      <c r="BM209" s="186">
        <v>3.1500000000000007E-2</v>
      </c>
      <c r="BN209" s="186">
        <v>0</v>
      </c>
      <c r="BO209" s="12">
        <v>2.23</v>
      </c>
      <c r="BP209" s="11" t="s">
        <v>2096</v>
      </c>
      <c r="BQ209" s="186" t="s">
        <v>1710</v>
      </c>
      <c r="BR209" s="747" t="s">
        <v>2090</v>
      </c>
      <c r="BS209" s="747" t="s">
        <v>518</v>
      </c>
      <c r="BT209" s="747" t="s">
        <v>1730</v>
      </c>
      <c r="BU209" s="186">
        <v>0.1125</v>
      </c>
      <c r="BV209" s="186">
        <v>0</v>
      </c>
      <c r="BW209" s="12">
        <v>1.37</v>
      </c>
    </row>
    <row r="210" spans="1:75">
      <c r="A210" s="1" t="s">
        <v>832</v>
      </c>
      <c r="B210" s="1" t="s">
        <v>682</v>
      </c>
      <c r="C210" s="1" t="s">
        <v>829</v>
      </c>
      <c r="D210" s="1" t="s">
        <v>1867</v>
      </c>
      <c r="E210" s="1" t="s">
        <v>1806</v>
      </c>
      <c r="F210" s="1">
        <v>0.6</v>
      </c>
      <c r="G210" s="1">
        <v>0</v>
      </c>
      <c r="H210" s="1">
        <v>3</v>
      </c>
      <c r="I210" s="20" t="s">
        <v>684</v>
      </c>
      <c r="AI210" s="757"/>
      <c r="AJ210" s="195" t="s">
        <v>2806</v>
      </c>
      <c r="AK210" s="186" t="s">
        <v>1953</v>
      </c>
      <c r="AL210" s="747" t="s">
        <v>1836</v>
      </c>
      <c r="AM210" s="747" t="s">
        <v>1730</v>
      </c>
      <c r="AN210" s="747" t="s">
        <v>1730</v>
      </c>
      <c r="AO210" s="186">
        <v>0.4</v>
      </c>
      <c r="AP210" s="186">
        <v>0</v>
      </c>
      <c r="AQ210" s="12">
        <v>2.3199999999999998</v>
      </c>
      <c r="AR210" s="11" t="s">
        <v>2715</v>
      </c>
      <c r="AS210" s="186" t="s">
        <v>1953</v>
      </c>
      <c r="AT210" s="747" t="s">
        <v>1836</v>
      </c>
      <c r="AU210" s="747" t="s">
        <v>1730</v>
      </c>
      <c r="AV210" s="747" t="s">
        <v>1730</v>
      </c>
      <c r="AW210" s="186">
        <v>0.4</v>
      </c>
      <c r="AX210" s="186">
        <v>0</v>
      </c>
      <c r="AY210" s="12">
        <v>3</v>
      </c>
      <c r="AZ210" s="11" t="s">
        <v>2017</v>
      </c>
      <c r="BA210" s="186" t="s">
        <v>1937</v>
      </c>
      <c r="BB210" s="747" t="s">
        <v>1839</v>
      </c>
      <c r="BC210" s="747" t="s">
        <v>1730</v>
      </c>
      <c r="BD210" s="747" t="s">
        <v>1730</v>
      </c>
      <c r="BE210" s="186">
        <v>1.3</v>
      </c>
      <c r="BF210" s="186">
        <v>0.25</v>
      </c>
      <c r="BG210" s="12">
        <v>2.58</v>
      </c>
      <c r="BH210" s="11" t="s">
        <v>2065</v>
      </c>
      <c r="BI210" s="186" t="s">
        <v>1710</v>
      </c>
      <c r="BJ210" s="747" t="s">
        <v>2060</v>
      </c>
      <c r="BK210" s="747" t="s">
        <v>518</v>
      </c>
      <c r="BL210" s="747" t="s">
        <v>1730</v>
      </c>
      <c r="BM210" s="186">
        <v>3.1500000000000007E-2</v>
      </c>
      <c r="BN210" s="186">
        <v>0</v>
      </c>
      <c r="BO210" s="12">
        <v>2.23</v>
      </c>
      <c r="BP210" s="11" t="s">
        <v>2096</v>
      </c>
      <c r="BQ210" s="186" t="s">
        <v>1710</v>
      </c>
      <c r="BR210" s="747" t="s">
        <v>2091</v>
      </c>
      <c r="BS210" s="747" t="s">
        <v>518</v>
      </c>
      <c r="BT210" s="747" t="s">
        <v>1730</v>
      </c>
      <c r="BU210" s="186">
        <v>0.1125</v>
      </c>
      <c r="BV210" s="186">
        <v>0</v>
      </c>
      <c r="BW210" s="12">
        <v>1.37</v>
      </c>
    </row>
    <row r="211" spans="1:75">
      <c r="A211" s="1" t="s">
        <v>833</v>
      </c>
      <c r="B211" s="1" t="s">
        <v>682</v>
      </c>
      <c r="C211" s="1" t="s">
        <v>829</v>
      </c>
      <c r="D211" s="1" t="s">
        <v>1870</v>
      </c>
      <c r="E211" s="1" t="s">
        <v>1871</v>
      </c>
      <c r="F211" s="1">
        <v>0.25</v>
      </c>
      <c r="G211" s="1">
        <v>0</v>
      </c>
      <c r="H211" s="1">
        <v>3</v>
      </c>
      <c r="I211" s="20" t="s">
        <v>684</v>
      </c>
      <c r="AI211" s="757"/>
      <c r="AJ211" s="195" t="s">
        <v>2807</v>
      </c>
      <c r="AK211" s="186" t="s">
        <v>1953</v>
      </c>
      <c r="AL211" s="747" t="s">
        <v>1837</v>
      </c>
      <c r="AM211" s="747" t="s">
        <v>1730</v>
      </c>
      <c r="AN211" s="747" t="s">
        <v>1730</v>
      </c>
      <c r="AO211" s="186">
        <v>0.2</v>
      </c>
      <c r="AP211" s="186">
        <v>0</v>
      </c>
      <c r="AQ211" s="12">
        <v>2.3199999999999998</v>
      </c>
      <c r="AR211" s="11" t="s">
        <v>2808</v>
      </c>
      <c r="AS211" s="186" t="s">
        <v>1953</v>
      </c>
      <c r="AT211" s="747" t="s">
        <v>1837</v>
      </c>
      <c r="AU211" s="747" t="s">
        <v>1730</v>
      </c>
      <c r="AV211" s="747" t="s">
        <v>1730</v>
      </c>
      <c r="AW211" s="186">
        <v>0.2</v>
      </c>
      <c r="AX211" s="186">
        <v>0</v>
      </c>
      <c r="AY211" s="12">
        <v>3</v>
      </c>
      <c r="AZ211" s="11" t="s">
        <v>2017</v>
      </c>
      <c r="BA211" s="186" t="s">
        <v>1972</v>
      </c>
      <c r="BB211" s="747" t="s">
        <v>2018</v>
      </c>
      <c r="BC211" s="747" t="s">
        <v>1730</v>
      </c>
      <c r="BD211" s="747" t="s">
        <v>1730</v>
      </c>
      <c r="BE211" s="186">
        <v>0.7</v>
      </c>
      <c r="BF211" s="186">
        <v>0.09</v>
      </c>
      <c r="BG211" s="12">
        <v>2.58</v>
      </c>
      <c r="BH211" s="11" t="s">
        <v>2065</v>
      </c>
      <c r="BI211" s="186" t="s">
        <v>1710</v>
      </c>
      <c r="BJ211" s="747" t="s">
        <v>2061</v>
      </c>
      <c r="BK211" s="747" t="s">
        <v>519</v>
      </c>
      <c r="BL211" s="747" t="s">
        <v>1730</v>
      </c>
      <c r="BM211" s="186">
        <v>1.7500000000000002E-2</v>
      </c>
      <c r="BN211" s="186">
        <v>0</v>
      </c>
      <c r="BO211" s="12">
        <v>2.23</v>
      </c>
      <c r="BP211" s="11" t="s">
        <v>2096</v>
      </c>
      <c r="BQ211" s="186" t="s">
        <v>1710</v>
      </c>
      <c r="BR211" s="747" t="s">
        <v>2092</v>
      </c>
      <c r="BS211" s="747" t="s">
        <v>519</v>
      </c>
      <c r="BT211" s="747" t="s">
        <v>1730</v>
      </c>
      <c r="BU211" s="186">
        <v>6.25E-2</v>
      </c>
      <c r="BV211" s="186">
        <v>0</v>
      </c>
      <c r="BW211" s="12">
        <v>1.37</v>
      </c>
    </row>
    <row r="212" spans="1:75">
      <c r="A212" s="1" t="s">
        <v>834</v>
      </c>
      <c r="B212" s="1" t="s">
        <v>682</v>
      </c>
      <c r="C212" s="1" t="s">
        <v>829</v>
      </c>
      <c r="D212" s="1" t="s">
        <v>1870</v>
      </c>
      <c r="E212" s="1" t="s">
        <v>1875</v>
      </c>
      <c r="F212" s="1">
        <v>0.25</v>
      </c>
      <c r="G212" s="1">
        <v>0</v>
      </c>
      <c r="H212" s="1">
        <v>3</v>
      </c>
      <c r="I212" s="20" t="s">
        <v>684</v>
      </c>
      <c r="AI212" s="757"/>
      <c r="AJ212" s="195" t="s">
        <v>2806</v>
      </c>
      <c r="AK212" s="186" t="s">
        <v>1803</v>
      </c>
      <c r="AL212" s="747" t="s">
        <v>1828</v>
      </c>
      <c r="AM212" s="747" t="s">
        <v>1730</v>
      </c>
      <c r="AN212" s="747" t="s">
        <v>1730</v>
      </c>
      <c r="AO212" s="186">
        <v>0.13</v>
      </c>
      <c r="AP212" s="186">
        <v>0</v>
      </c>
      <c r="AQ212" s="12">
        <v>2.3199999999999998</v>
      </c>
      <c r="AR212" s="11" t="s">
        <v>2808</v>
      </c>
      <c r="AS212" s="186" t="s">
        <v>1803</v>
      </c>
      <c r="AT212" s="747" t="s">
        <v>1828</v>
      </c>
      <c r="AU212" s="747" t="s">
        <v>1730</v>
      </c>
      <c r="AV212" s="747" t="s">
        <v>1730</v>
      </c>
      <c r="AW212" s="186">
        <v>0.13</v>
      </c>
      <c r="AX212" s="186">
        <v>0</v>
      </c>
      <c r="AY212" s="12">
        <v>3</v>
      </c>
      <c r="AZ212" s="11" t="s">
        <v>2017</v>
      </c>
      <c r="BA212" s="186" t="s">
        <v>1972</v>
      </c>
      <c r="BB212" s="747" t="s">
        <v>2019</v>
      </c>
      <c r="BC212" s="747" t="s">
        <v>1730</v>
      </c>
      <c r="BD212" s="747" t="s">
        <v>1730</v>
      </c>
      <c r="BE212" s="186">
        <v>0.35</v>
      </c>
      <c r="BF212" s="186">
        <v>4.4999999999999998E-2</v>
      </c>
      <c r="BG212" s="12">
        <v>2.58</v>
      </c>
      <c r="BH212" s="11" t="s">
        <v>2065</v>
      </c>
      <c r="BI212" s="186" t="s">
        <v>1710</v>
      </c>
      <c r="BJ212" s="747" t="s">
        <v>2062</v>
      </c>
      <c r="BK212" s="747" t="s">
        <v>519</v>
      </c>
      <c r="BL212" s="747" t="s">
        <v>1730</v>
      </c>
      <c r="BM212" s="186">
        <v>1.7500000000000002E-2</v>
      </c>
      <c r="BN212" s="186">
        <v>0</v>
      </c>
      <c r="BO212" s="12">
        <v>2.23</v>
      </c>
      <c r="BP212" s="11" t="s">
        <v>2096</v>
      </c>
      <c r="BQ212" s="186" t="s">
        <v>1710</v>
      </c>
      <c r="BR212" s="747" t="s">
        <v>2093</v>
      </c>
      <c r="BS212" s="747" t="s">
        <v>519</v>
      </c>
      <c r="BT212" s="747" t="s">
        <v>1730</v>
      </c>
      <c r="BU212" s="186">
        <v>6.25E-2</v>
      </c>
      <c r="BV212" s="186">
        <v>0</v>
      </c>
      <c r="BW212" s="12">
        <v>1.37</v>
      </c>
    </row>
    <row r="213" spans="1:75">
      <c r="A213" s="1" t="s">
        <v>835</v>
      </c>
      <c r="B213" s="1" t="s">
        <v>682</v>
      </c>
      <c r="C213" s="1" t="s">
        <v>829</v>
      </c>
      <c r="D213" s="1" t="s">
        <v>1870</v>
      </c>
      <c r="E213" s="1" t="s">
        <v>1818</v>
      </c>
      <c r="F213" s="1">
        <v>0.125</v>
      </c>
      <c r="G213" s="1">
        <v>0</v>
      </c>
      <c r="H213" s="1">
        <v>3</v>
      </c>
      <c r="I213" s="20" t="s">
        <v>691</v>
      </c>
      <c r="J213" s="1" t="s">
        <v>692</v>
      </c>
      <c r="AI213" s="757"/>
      <c r="AJ213" s="195" t="s">
        <v>2714</v>
      </c>
      <c r="AK213" s="186" t="s">
        <v>1803</v>
      </c>
      <c r="AL213" s="747" t="s">
        <v>1829</v>
      </c>
      <c r="AM213" s="747" t="s">
        <v>1730</v>
      </c>
      <c r="AN213" s="747" t="s">
        <v>1730</v>
      </c>
      <c r="AO213" s="186">
        <v>6.5000000000000002E-2</v>
      </c>
      <c r="AP213" s="186">
        <v>0</v>
      </c>
      <c r="AQ213" s="12">
        <v>2.3199999999999998</v>
      </c>
      <c r="AR213" s="11" t="s">
        <v>2805</v>
      </c>
      <c r="AS213" s="186" t="s">
        <v>1803</v>
      </c>
      <c r="AT213" s="747" t="s">
        <v>1829</v>
      </c>
      <c r="AU213" s="747" t="s">
        <v>1730</v>
      </c>
      <c r="AV213" s="747" t="s">
        <v>1730</v>
      </c>
      <c r="AW213" s="186">
        <v>6.5000000000000002E-2</v>
      </c>
      <c r="AX213" s="186">
        <v>0</v>
      </c>
      <c r="AY213" s="12">
        <v>3</v>
      </c>
      <c r="AZ213" s="11" t="s">
        <v>2017</v>
      </c>
      <c r="BA213" s="186" t="s">
        <v>1972</v>
      </c>
      <c r="BB213" s="747" t="s">
        <v>2020</v>
      </c>
      <c r="BC213" s="747" t="s">
        <v>515</v>
      </c>
      <c r="BD213" s="747" t="s">
        <v>1730</v>
      </c>
      <c r="BE213" s="186">
        <v>0.52500000000000002</v>
      </c>
      <c r="BF213" s="186">
        <v>6.7500000000000004E-2</v>
      </c>
      <c r="BG213" s="12">
        <v>2.58</v>
      </c>
      <c r="BH213" s="11" t="s">
        <v>2065</v>
      </c>
      <c r="BI213" s="186" t="s">
        <v>1710</v>
      </c>
      <c r="BJ213" s="747" t="s">
        <v>2063</v>
      </c>
      <c r="BK213" s="747" t="s">
        <v>520</v>
      </c>
      <c r="BL213" s="747" t="s">
        <v>1730</v>
      </c>
      <c r="BM213" s="186">
        <v>8.7500000000000008E-3</v>
      </c>
      <c r="BN213" s="186">
        <v>0</v>
      </c>
      <c r="BO213" s="12">
        <v>2.23</v>
      </c>
      <c r="BP213" s="11" t="s">
        <v>2096</v>
      </c>
      <c r="BQ213" s="186" t="s">
        <v>1710</v>
      </c>
      <c r="BR213" s="747" t="s">
        <v>2094</v>
      </c>
      <c r="BS213" s="747" t="s">
        <v>520</v>
      </c>
      <c r="BT213" s="747" t="s">
        <v>1730</v>
      </c>
      <c r="BU213" s="186">
        <v>3.125E-2</v>
      </c>
      <c r="BV213" s="186">
        <v>0</v>
      </c>
      <c r="BW213" s="12">
        <v>1.37</v>
      </c>
    </row>
    <row r="214" spans="1:75">
      <c r="A214" s="1" t="s">
        <v>836</v>
      </c>
      <c r="B214" s="1" t="s">
        <v>682</v>
      </c>
      <c r="C214" s="1" t="s">
        <v>829</v>
      </c>
      <c r="D214" s="1" t="s">
        <v>42</v>
      </c>
      <c r="E214" s="1" t="s">
        <v>1819</v>
      </c>
      <c r="F214" s="1">
        <v>0.08</v>
      </c>
      <c r="G214" s="1">
        <v>0</v>
      </c>
      <c r="H214" s="1">
        <v>3</v>
      </c>
      <c r="I214" s="20" t="s">
        <v>684</v>
      </c>
      <c r="AI214" s="757"/>
      <c r="AJ214" s="195" t="s">
        <v>2806</v>
      </c>
      <c r="AK214" s="186" t="s">
        <v>1803</v>
      </c>
      <c r="AL214" s="747" t="s">
        <v>1921</v>
      </c>
      <c r="AM214" s="747" t="s">
        <v>515</v>
      </c>
      <c r="AN214" s="747" t="s">
        <v>1730</v>
      </c>
      <c r="AO214" s="186">
        <v>9.7500000000000003E-2</v>
      </c>
      <c r="AP214" s="186">
        <v>0</v>
      </c>
      <c r="AQ214" s="12">
        <v>2.3199999999999998</v>
      </c>
      <c r="AR214" s="11" t="s">
        <v>2805</v>
      </c>
      <c r="AS214" s="186" t="s">
        <v>1803</v>
      </c>
      <c r="AT214" s="747" t="s">
        <v>1921</v>
      </c>
      <c r="AU214" s="747" t="s">
        <v>515</v>
      </c>
      <c r="AV214" s="747" t="s">
        <v>1730</v>
      </c>
      <c r="AW214" s="186">
        <v>9.7500000000000003E-2</v>
      </c>
      <c r="AX214" s="186">
        <v>0</v>
      </c>
      <c r="AY214" s="12">
        <v>3</v>
      </c>
      <c r="AZ214" s="11" t="s">
        <v>2017</v>
      </c>
      <c r="BA214" s="186" t="s">
        <v>1972</v>
      </c>
      <c r="BB214" s="747" t="s">
        <v>2021</v>
      </c>
      <c r="BC214" s="747" t="s">
        <v>515</v>
      </c>
      <c r="BD214" s="747" t="s">
        <v>1730</v>
      </c>
      <c r="BE214" s="186">
        <v>0.52500000000000002</v>
      </c>
      <c r="BF214" s="186">
        <v>6.7500000000000004E-2</v>
      </c>
      <c r="BG214" s="12">
        <v>2.58</v>
      </c>
      <c r="BH214" s="11" t="s">
        <v>2065</v>
      </c>
      <c r="BI214" s="186" t="s">
        <v>1710</v>
      </c>
      <c r="BJ214" s="747" t="s">
        <v>2064</v>
      </c>
      <c r="BK214" s="747" t="s">
        <v>520</v>
      </c>
      <c r="BL214" s="747" t="s">
        <v>1730</v>
      </c>
      <c r="BM214" s="186">
        <v>8.7500000000000008E-3</v>
      </c>
      <c r="BN214" s="186">
        <v>0</v>
      </c>
      <c r="BO214" s="12">
        <v>2.23</v>
      </c>
      <c r="BP214" s="11" t="s">
        <v>2096</v>
      </c>
      <c r="BQ214" s="186" t="s">
        <v>1710</v>
      </c>
      <c r="BR214" s="747" t="s">
        <v>2095</v>
      </c>
      <c r="BS214" s="747" t="s">
        <v>520</v>
      </c>
      <c r="BT214" s="747" t="s">
        <v>1730</v>
      </c>
      <c r="BU214" s="186">
        <v>3.125E-2</v>
      </c>
      <c r="BV214" s="186">
        <v>0</v>
      </c>
      <c r="BW214" s="12">
        <v>1.37</v>
      </c>
    </row>
    <row r="215" spans="1:75">
      <c r="A215" s="1" t="s">
        <v>837</v>
      </c>
      <c r="B215" s="1" t="s">
        <v>682</v>
      </c>
      <c r="C215" s="1" t="s">
        <v>829</v>
      </c>
      <c r="D215" s="1" t="s">
        <v>42</v>
      </c>
      <c r="E215" s="1" t="s">
        <v>1820</v>
      </c>
      <c r="F215" s="1">
        <v>0.04</v>
      </c>
      <c r="G215" s="1">
        <v>0</v>
      </c>
      <c r="H215" s="1">
        <v>3</v>
      </c>
      <c r="I215" s="20" t="s">
        <v>691</v>
      </c>
      <c r="J215" s="1" t="s">
        <v>692</v>
      </c>
      <c r="AI215" s="757"/>
      <c r="AJ215" s="195" t="s">
        <v>2806</v>
      </c>
      <c r="AK215" s="186" t="s">
        <v>1803</v>
      </c>
      <c r="AL215" s="747" t="s">
        <v>1924</v>
      </c>
      <c r="AM215" s="747" t="s">
        <v>515</v>
      </c>
      <c r="AN215" s="747" t="s">
        <v>1730</v>
      </c>
      <c r="AO215" s="186">
        <v>9.7500000000000003E-2</v>
      </c>
      <c r="AP215" s="186">
        <v>0</v>
      </c>
      <c r="AQ215" s="12">
        <v>2.3199999999999998</v>
      </c>
      <c r="AR215" s="11" t="s">
        <v>2805</v>
      </c>
      <c r="AS215" s="186" t="s">
        <v>1803</v>
      </c>
      <c r="AT215" s="747" t="s">
        <v>1924</v>
      </c>
      <c r="AU215" s="747" t="s">
        <v>515</v>
      </c>
      <c r="AV215" s="747" t="s">
        <v>1730</v>
      </c>
      <c r="AW215" s="186">
        <v>9.7500000000000003E-2</v>
      </c>
      <c r="AX215" s="186">
        <v>0</v>
      </c>
      <c r="AY215" s="12">
        <v>3</v>
      </c>
      <c r="AZ215" s="11" t="s">
        <v>2017</v>
      </c>
      <c r="BA215" s="186" t="s">
        <v>1972</v>
      </c>
      <c r="BB215" s="747" t="s">
        <v>2022</v>
      </c>
      <c r="BC215" s="747" t="s">
        <v>516</v>
      </c>
      <c r="BD215" s="747" t="s">
        <v>1730</v>
      </c>
      <c r="BE215" s="186">
        <v>0.35</v>
      </c>
      <c r="BF215" s="186">
        <v>4.4999999999999998E-2</v>
      </c>
      <c r="BG215" s="12">
        <v>2.58</v>
      </c>
      <c r="BH215" s="11" t="s">
        <v>2065</v>
      </c>
      <c r="BI215" s="186" t="s">
        <v>1710</v>
      </c>
      <c r="BJ215" s="747" t="s">
        <v>1494</v>
      </c>
      <c r="BK215" s="747" t="s">
        <v>254</v>
      </c>
      <c r="BL215" s="747" t="s">
        <v>1730</v>
      </c>
      <c r="BM215" s="186">
        <v>3.1500000000000007E-2</v>
      </c>
      <c r="BN215" s="186">
        <v>0</v>
      </c>
      <c r="BO215" s="12">
        <v>2.23</v>
      </c>
      <c r="BP215" s="11" t="s">
        <v>2096</v>
      </c>
      <c r="BQ215" s="186" t="s">
        <v>523</v>
      </c>
      <c r="BR215" s="747" t="s">
        <v>1520</v>
      </c>
      <c r="BS215" s="747" t="s">
        <v>1730</v>
      </c>
      <c r="BT215" s="747" t="s">
        <v>1730</v>
      </c>
      <c r="BU215" s="186">
        <v>7.4999999999999997E-2</v>
      </c>
      <c r="BV215" s="186">
        <v>0</v>
      </c>
      <c r="BW215" s="12">
        <v>1.37</v>
      </c>
    </row>
    <row r="216" spans="1:75">
      <c r="A216" s="1" t="s">
        <v>838</v>
      </c>
      <c r="B216" s="1" t="s">
        <v>682</v>
      </c>
      <c r="C216" s="1" t="s">
        <v>829</v>
      </c>
      <c r="D216" s="1" t="s">
        <v>42</v>
      </c>
      <c r="E216" s="1" t="s">
        <v>1881</v>
      </c>
      <c r="F216" s="1">
        <v>0.06</v>
      </c>
      <c r="G216" s="1">
        <v>0</v>
      </c>
      <c r="H216" s="1">
        <v>3</v>
      </c>
      <c r="I216" s="20" t="s">
        <v>684</v>
      </c>
      <c r="J216" s="1" t="s">
        <v>515</v>
      </c>
      <c r="AI216" s="757"/>
      <c r="AJ216" s="195" t="s">
        <v>2806</v>
      </c>
      <c r="AK216" s="186" t="s">
        <v>1803</v>
      </c>
      <c r="AL216" s="747" t="s">
        <v>1927</v>
      </c>
      <c r="AM216" s="747" t="s">
        <v>516</v>
      </c>
      <c r="AN216" s="747" t="s">
        <v>1730</v>
      </c>
      <c r="AO216" s="186">
        <v>6.5000000000000002E-2</v>
      </c>
      <c r="AP216" s="186">
        <v>0</v>
      </c>
      <c r="AQ216" s="12">
        <v>2.3199999999999998</v>
      </c>
      <c r="AR216" s="11" t="s">
        <v>2805</v>
      </c>
      <c r="AS216" s="186" t="s">
        <v>1803</v>
      </c>
      <c r="AT216" s="747" t="s">
        <v>1927</v>
      </c>
      <c r="AU216" s="747" t="s">
        <v>516</v>
      </c>
      <c r="AV216" s="747" t="s">
        <v>1730</v>
      </c>
      <c r="AW216" s="186">
        <v>6.5000000000000002E-2</v>
      </c>
      <c r="AX216" s="186">
        <v>0</v>
      </c>
      <c r="AY216" s="12">
        <v>3</v>
      </c>
      <c r="AZ216" s="11" t="s">
        <v>2017</v>
      </c>
      <c r="BA216" s="186" t="s">
        <v>1972</v>
      </c>
      <c r="BB216" s="747" t="s">
        <v>2023</v>
      </c>
      <c r="BC216" s="747" t="s">
        <v>516</v>
      </c>
      <c r="BD216" s="747" t="s">
        <v>1730</v>
      </c>
      <c r="BE216" s="186">
        <v>0.35</v>
      </c>
      <c r="BF216" s="186">
        <v>4.4999999999999998E-2</v>
      </c>
      <c r="BG216" s="12">
        <v>2.58</v>
      </c>
      <c r="BH216" s="11" t="s">
        <v>2065</v>
      </c>
      <c r="BI216" s="186" t="s">
        <v>1710</v>
      </c>
      <c r="BJ216" s="747" t="s">
        <v>1495</v>
      </c>
      <c r="BK216" s="747" t="s">
        <v>254</v>
      </c>
      <c r="BL216" s="747" t="s">
        <v>1730</v>
      </c>
      <c r="BM216" s="186">
        <v>3.1500000000000007E-2</v>
      </c>
      <c r="BN216" s="186">
        <v>0</v>
      </c>
      <c r="BO216" s="12">
        <v>2.23</v>
      </c>
      <c r="BP216" s="11" t="s">
        <v>2096</v>
      </c>
      <c r="BQ216" s="186" t="s">
        <v>523</v>
      </c>
      <c r="BR216" s="747" t="s">
        <v>1521</v>
      </c>
      <c r="BS216" s="747" t="s">
        <v>1730</v>
      </c>
      <c r="BT216" s="747" t="s">
        <v>1730</v>
      </c>
      <c r="BU216" s="186">
        <v>3.7499999999999999E-2</v>
      </c>
      <c r="BV216" s="186">
        <v>0</v>
      </c>
      <c r="BW216" s="12">
        <v>1.37</v>
      </c>
    </row>
    <row r="217" spans="1:75">
      <c r="A217" s="1" t="s">
        <v>839</v>
      </c>
      <c r="B217" s="1" t="s">
        <v>682</v>
      </c>
      <c r="C217" s="1" t="s">
        <v>829</v>
      </c>
      <c r="D217" s="1" t="s">
        <v>42</v>
      </c>
      <c r="E217" s="1" t="s">
        <v>1882</v>
      </c>
      <c r="F217" s="1">
        <v>0.06</v>
      </c>
      <c r="G217" s="1">
        <v>0</v>
      </c>
      <c r="H217" s="1">
        <v>3</v>
      </c>
      <c r="I217" s="20" t="s">
        <v>691</v>
      </c>
      <c r="J217" s="1" t="s">
        <v>697</v>
      </c>
      <c r="AI217" s="757"/>
      <c r="AJ217" s="195" t="s">
        <v>2807</v>
      </c>
      <c r="AK217" s="186" t="s">
        <v>1803</v>
      </c>
      <c r="AL217" s="747" t="s">
        <v>1931</v>
      </c>
      <c r="AM217" s="747" t="s">
        <v>516</v>
      </c>
      <c r="AN217" s="747" t="s">
        <v>1730</v>
      </c>
      <c r="AO217" s="186">
        <v>6.5000000000000002E-2</v>
      </c>
      <c r="AP217" s="186">
        <v>0</v>
      </c>
      <c r="AQ217" s="12">
        <v>2.3199999999999998</v>
      </c>
      <c r="AR217" s="11" t="s">
        <v>2805</v>
      </c>
      <c r="AS217" s="186" t="s">
        <v>1803</v>
      </c>
      <c r="AT217" s="747" t="s">
        <v>1931</v>
      </c>
      <c r="AU217" s="747" t="s">
        <v>516</v>
      </c>
      <c r="AV217" s="747" t="s">
        <v>1730</v>
      </c>
      <c r="AW217" s="186">
        <v>6.5000000000000002E-2</v>
      </c>
      <c r="AX217" s="186">
        <v>0</v>
      </c>
      <c r="AY217" s="12">
        <v>3</v>
      </c>
      <c r="AZ217" s="11" t="s">
        <v>2017</v>
      </c>
      <c r="BA217" s="186" t="s">
        <v>1972</v>
      </c>
      <c r="BB217" s="747" t="s">
        <v>2024</v>
      </c>
      <c r="BC217" s="747" t="s">
        <v>517</v>
      </c>
      <c r="BD217" s="747" t="s">
        <v>1730</v>
      </c>
      <c r="BE217" s="186">
        <v>0.17499999999999999</v>
      </c>
      <c r="BF217" s="186">
        <v>2.2499999999999999E-2</v>
      </c>
      <c r="BG217" s="12">
        <v>2.58</v>
      </c>
      <c r="BH217" s="11" t="s">
        <v>2065</v>
      </c>
      <c r="BI217" s="186" t="s">
        <v>523</v>
      </c>
      <c r="BJ217" s="747" t="s">
        <v>1496</v>
      </c>
      <c r="BK217" s="747" t="s">
        <v>1730</v>
      </c>
      <c r="BL217" s="747" t="s">
        <v>1730</v>
      </c>
      <c r="BM217" s="186">
        <v>3.5000000000000003E-2</v>
      </c>
      <c r="BN217" s="186">
        <v>0</v>
      </c>
      <c r="BO217" s="12">
        <v>2.23</v>
      </c>
      <c r="BP217" s="11" t="s">
        <v>2096</v>
      </c>
      <c r="BQ217" s="186" t="s">
        <v>523</v>
      </c>
      <c r="BR217" s="747" t="s">
        <v>1522</v>
      </c>
      <c r="BS217" s="747" t="s">
        <v>519</v>
      </c>
      <c r="BT217" s="747" t="s">
        <v>1730</v>
      </c>
      <c r="BU217" s="186">
        <v>3.7499999999999999E-2</v>
      </c>
      <c r="BV217" s="186">
        <v>0</v>
      </c>
      <c r="BW217" s="12">
        <v>1.37</v>
      </c>
    </row>
    <row r="218" spans="1:75">
      <c r="A218" s="1" t="s">
        <v>840</v>
      </c>
      <c r="B218" s="1" t="s">
        <v>682</v>
      </c>
      <c r="C218" s="1" t="s">
        <v>829</v>
      </c>
      <c r="D218" s="1" t="s">
        <v>42</v>
      </c>
      <c r="E218" s="1" t="s">
        <v>1883</v>
      </c>
      <c r="F218" s="1">
        <v>0.04</v>
      </c>
      <c r="G218" s="1">
        <v>0</v>
      </c>
      <c r="H218" s="1">
        <v>3</v>
      </c>
      <c r="I218" s="20" t="s">
        <v>684</v>
      </c>
      <c r="J218" s="1" t="s">
        <v>516</v>
      </c>
      <c r="AI218" s="757"/>
      <c r="AJ218" s="195" t="s">
        <v>2807</v>
      </c>
      <c r="AK218" s="186" t="s">
        <v>1803</v>
      </c>
      <c r="AL218" s="747" t="s">
        <v>1935</v>
      </c>
      <c r="AM218" s="747" t="s">
        <v>517</v>
      </c>
      <c r="AN218" s="747" t="s">
        <v>1730</v>
      </c>
      <c r="AO218" s="186">
        <v>3.2500000000000001E-2</v>
      </c>
      <c r="AP218" s="186">
        <v>0</v>
      </c>
      <c r="AQ218" s="12">
        <v>2.3199999999999998</v>
      </c>
      <c r="AR218" s="11" t="s">
        <v>2715</v>
      </c>
      <c r="AS218" s="186" t="s">
        <v>1803</v>
      </c>
      <c r="AT218" s="747" t="s">
        <v>1935</v>
      </c>
      <c r="AU218" s="747" t="s">
        <v>517</v>
      </c>
      <c r="AV218" s="747" t="s">
        <v>1730</v>
      </c>
      <c r="AW218" s="186">
        <v>3.2500000000000001E-2</v>
      </c>
      <c r="AX218" s="186">
        <v>0</v>
      </c>
      <c r="AY218" s="12">
        <v>3</v>
      </c>
      <c r="AZ218" s="11" t="s">
        <v>2017</v>
      </c>
      <c r="BA218" s="186" t="s">
        <v>1972</v>
      </c>
      <c r="BB218" s="747" t="s">
        <v>2025</v>
      </c>
      <c r="BC218" s="747" t="s">
        <v>517</v>
      </c>
      <c r="BD218" s="747" t="s">
        <v>1730</v>
      </c>
      <c r="BE218" s="186">
        <v>0.17499999999999999</v>
      </c>
      <c r="BF218" s="186">
        <v>2.2499999999999999E-2</v>
      </c>
      <c r="BG218" s="12">
        <v>2.58</v>
      </c>
      <c r="BH218" s="11" t="s">
        <v>2065</v>
      </c>
      <c r="BI218" s="186" t="s">
        <v>523</v>
      </c>
      <c r="BJ218" s="747" t="s">
        <v>1497</v>
      </c>
      <c r="BK218" s="747" t="s">
        <v>1730</v>
      </c>
      <c r="BL218" s="747" t="s">
        <v>1730</v>
      </c>
      <c r="BM218" s="186">
        <v>1.7500000000000002E-2</v>
      </c>
      <c r="BN218" s="186">
        <v>0</v>
      </c>
      <c r="BO218" s="12">
        <v>2.23</v>
      </c>
      <c r="BP218" s="11" t="s">
        <v>2096</v>
      </c>
      <c r="BQ218" s="186" t="s">
        <v>523</v>
      </c>
      <c r="BR218" s="747" t="s">
        <v>1523</v>
      </c>
      <c r="BS218" s="747" t="s">
        <v>519</v>
      </c>
      <c r="BT218" s="747" t="s">
        <v>1730</v>
      </c>
      <c r="BU218" s="186">
        <v>3.7499999999999999E-2</v>
      </c>
      <c r="BV218" s="186">
        <v>0</v>
      </c>
      <c r="BW218" s="12">
        <v>1.37</v>
      </c>
    </row>
    <row r="219" spans="1:75">
      <c r="A219" s="1" t="s">
        <v>841</v>
      </c>
      <c r="B219" s="1" t="s">
        <v>682</v>
      </c>
      <c r="C219" s="1" t="s">
        <v>829</v>
      </c>
      <c r="D219" s="1" t="s">
        <v>42</v>
      </c>
      <c r="E219" s="1" t="s">
        <v>1885</v>
      </c>
      <c r="F219" s="1">
        <v>0.04</v>
      </c>
      <c r="G219" s="1">
        <v>0</v>
      </c>
      <c r="H219" s="1">
        <v>3</v>
      </c>
      <c r="I219" s="20" t="s">
        <v>691</v>
      </c>
      <c r="J219" s="1" t="s">
        <v>700</v>
      </c>
      <c r="AI219" s="757"/>
      <c r="AJ219" s="195" t="s">
        <v>2807</v>
      </c>
      <c r="AK219" s="186" t="s">
        <v>1803</v>
      </c>
      <c r="AL219" s="747" t="s">
        <v>1939</v>
      </c>
      <c r="AM219" s="747" t="s">
        <v>517</v>
      </c>
      <c r="AN219" s="747" t="s">
        <v>1730</v>
      </c>
      <c r="AO219" s="186">
        <v>3.2500000000000001E-2</v>
      </c>
      <c r="AP219" s="186">
        <v>0</v>
      </c>
      <c r="AQ219" s="12">
        <v>2.3199999999999998</v>
      </c>
      <c r="AR219" s="11" t="s">
        <v>2805</v>
      </c>
      <c r="AS219" s="186" t="s">
        <v>1803</v>
      </c>
      <c r="AT219" s="747" t="s">
        <v>1939</v>
      </c>
      <c r="AU219" s="747" t="s">
        <v>517</v>
      </c>
      <c r="AV219" s="747" t="s">
        <v>1730</v>
      </c>
      <c r="AW219" s="186">
        <v>3.2500000000000001E-2</v>
      </c>
      <c r="AX219" s="186">
        <v>0</v>
      </c>
      <c r="AY219" s="12">
        <v>3</v>
      </c>
      <c r="AZ219" s="11" t="s">
        <v>2017</v>
      </c>
      <c r="BA219" s="186" t="s">
        <v>1713</v>
      </c>
      <c r="BB219" s="747" t="s">
        <v>1815</v>
      </c>
      <c r="BC219" s="747" t="s">
        <v>1730</v>
      </c>
      <c r="BD219" s="747" t="s">
        <v>1730</v>
      </c>
      <c r="BE219" s="186">
        <v>0.49</v>
      </c>
      <c r="BF219" s="186">
        <v>0.06</v>
      </c>
      <c r="BG219" s="12">
        <v>2.58</v>
      </c>
      <c r="BH219" s="11" t="s">
        <v>2065</v>
      </c>
      <c r="BI219" s="186" t="s">
        <v>523</v>
      </c>
      <c r="BJ219" s="747" t="s">
        <v>1498</v>
      </c>
      <c r="BK219" s="747" t="s">
        <v>519</v>
      </c>
      <c r="BL219" s="747" t="s">
        <v>1730</v>
      </c>
      <c r="BM219" s="186">
        <v>1.7500000000000002E-2</v>
      </c>
      <c r="BN219" s="186">
        <v>0</v>
      </c>
      <c r="BO219" s="12">
        <v>2.23</v>
      </c>
      <c r="BP219" s="11" t="s">
        <v>2096</v>
      </c>
      <c r="BQ219" s="186" t="s">
        <v>523</v>
      </c>
      <c r="BR219" s="747" t="s">
        <v>1524</v>
      </c>
      <c r="BS219" s="747" t="s">
        <v>520</v>
      </c>
      <c r="BT219" s="747" t="s">
        <v>1730</v>
      </c>
      <c r="BU219" s="186">
        <v>1.8749999999999999E-2</v>
      </c>
      <c r="BV219" s="186">
        <v>0</v>
      </c>
      <c r="BW219" s="12">
        <v>1.37</v>
      </c>
    </row>
    <row r="220" spans="1:75">
      <c r="A220" s="1" t="s">
        <v>842</v>
      </c>
      <c r="B220" s="1" t="s">
        <v>682</v>
      </c>
      <c r="C220" s="1" t="s">
        <v>829</v>
      </c>
      <c r="D220" s="1" t="s">
        <v>42</v>
      </c>
      <c r="E220" s="1" t="s">
        <v>1889</v>
      </c>
      <c r="F220" s="1">
        <v>0.02</v>
      </c>
      <c r="G220" s="1">
        <v>0</v>
      </c>
      <c r="H220" s="1">
        <v>3</v>
      </c>
      <c r="I220" s="20" t="s">
        <v>684</v>
      </c>
      <c r="J220" s="1" t="s">
        <v>517</v>
      </c>
      <c r="AI220" s="757"/>
      <c r="AJ220" s="195" t="s">
        <v>2806</v>
      </c>
      <c r="AK220" s="186" t="s">
        <v>1710</v>
      </c>
      <c r="AL220" s="747" t="s">
        <v>1944</v>
      </c>
      <c r="AM220" s="747" t="s">
        <v>1730</v>
      </c>
      <c r="AN220" s="693" t="s">
        <v>1730</v>
      </c>
      <c r="AO220" s="186">
        <v>7.0000000000000007E-2</v>
      </c>
      <c r="AP220" s="186">
        <v>0</v>
      </c>
      <c r="AQ220" s="12">
        <v>2.3199999999999998</v>
      </c>
      <c r="AR220" s="11" t="s">
        <v>2715</v>
      </c>
      <c r="AS220" s="186" t="s">
        <v>1710</v>
      </c>
      <c r="AT220" s="747" t="s">
        <v>1944</v>
      </c>
      <c r="AU220" s="747" t="s">
        <v>1730</v>
      </c>
      <c r="AV220" s="693" t="s">
        <v>1730</v>
      </c>
      <c r="AW220" s="186">
        <v>7.0000000000000007E-2</v>
      </c>
      <c r="AX220" s="186">
        <v>0</v>
      </c>
      <c r="AY220" s="12">
        <v>3</v>
      </c>
      <c r="AZ220" s="11" t="s">
        <v>2017</v>
      </c>
      <c r="BA220" s="186" t="s">
        <v>1713</v>
      </c>
      <c r="BB220" s="747" t="s">
        <v>1816</v>
      </c>
      <c r="BC220" s="747" t="s">
        <v>1730</v>
      </c>
      <c r="BD220" s="747" t="s">
        <v>1730</v>
      </c>
      <c r="BE220" s="186">
        <v>0.245</v>
      </c>
      <c r="BF220" s="186">
        <v>0.03</v>
      </c>
      <c r="BG220" s="12">
        <v>2.58</v>
      </c>
      <c r="BH220" s="11" t="s">
        <v>2065</v>
      </c>
      <c r="BI220" s="186" t="s">
        <v>523</v>
      </c>
      <c r="BJ220" s="747" t="s">
        <v>1499</v>
      </c>
      <c r="BK220" s="747" t="s">
        <v>519</v>
      </c>
      <c r="BL220" s="747" t="s">
        <v>1730</v>
      </c>
      <c r="BM220" s="186">
        <v>1.7500000000000002E-2</v>
      </c>
      <c r="BN220" s="186">
        <v>0</v>
      </c>
      <c r="BO220" s="12">
        <v>2.23</v>
      </c>
      <c r="BP220" s="11" t="s">
        <v>2096</v>
      </c>
      <c r="BQ220" s="186" t="s">
        <v>523</v>
      </c>
      <c r="BR220" s="747" t="s">
        <v>1525</v>
      </c>
      <c r="BS220" s="747" t="s">
        <v>520</v>
      </c>
      <c r="BT220" s="747" t="s">
        <v>1730</v>
      </c>
      <c r="BU220" s="186">
        <v>1.8749999999999999E-2</v>
      </c>
      <c r="BV220" s="186">
        <v>0</v>
      </c>
      <c r="BW220" s="12">
        <v>1.37</v>
      </c>
    </row>
    <row r="221" spans="1:75">
      <c r="A221" s="1" t="s">
        <v>843</v>
      </c>
      <c r="B221" s="1" t="s">
        <v>682</v>
      </c>
      <c r="C221" s="1" t="s">
        <v>829</v>
      </c>
      <c r="D221" s="1" t="s">
        <v>42</v>
      </c>
      <c r="E221" s="1" t="s">
        <v>1893</v>
      </c>
      <c r="F221" s="1">
        <v>0.02</v>
      </c>
      <c r="G221" s="1">
        <v>0</v>
      </c>
      <c r="H221" s="1">
        <v>3</v>
      </c>
      <c r="I221" s="20" t="s">
        <v>691</v>
      </c>
      <c r="J221" s="1" t="s">
        <v>703</v>
      </c>
      <c r="AI221" s="757"/>
      <c r="AJ221" s="195" t="s">
        <v>2806</v>
      </c>
      <c r="AK221" s="186" t="s">
        <v>1710</v>
      </c>
      <c r="AL221" s="747" t="s">
        <v>1945</v>
      </c>
      <c r="AM221" s="747" t="s">
        <v>1730</v>
      </c>
      <c r="AN221" s="693" t="s">
        <v>1730</v>
      </c>
      <c r="AO221" s="186">
        <v>3.5000000000000003E-2</v>
      </c>
      <c r="AP221" s="186">
        <v>0</v>
      </c>
      <c r="AQ221" s="12">
        <v>2.3199999999999998</v>
      </c>
      <c r="AR221" s="11" t="s">
        <v>2715</v>
      </c>
      <c r="AS221" s="186" t="s">
        <v>1710</v>
      </c>
      <c r="AT221" s="747" t="s">
        <v>1945</v>
      </c>
      <c r="AU221" s="747" t="s">
        <v>1730</v>
      </c>
      <c r="AV221" s="693" t="s">
        <v>1730</v>
      </c>
      <c r="AW221" s="186">
        <v>3.5000000000000003E-2</v>
      </c>
      <c r="AX221" s="186">
        <v>0</v>
      </c>
      <c r="AY221" s="12">
        <v>3</v>
      </c>
      <c r="AZ221" s="11" t="s">
        <v>2017</v>
      </c>
      <c r="BA221" s="186" t="s">
        <v>1713</v>
      </c>
      <c r="BB221" s="747" t="s">
        <v>2026</v>
      </c>
      <c r="BC221" s="747" t="s">
        <v>515</v>
      </c>
      <c r="BD221" s="747" t="s">
        <v>1730</v>
      </c>
      <c r="BE221" s="186">
        <v>0.36749999999999999</v>
      </c>
      <c r="BF221" s="186">
        <v>4.4999999999999998E-2</v>
      </c>
      <c r="BG221" s="12">
        <v>2.58</v>
      </c>
      <c r="BH221" s="11" t="s">
        <v>2065</v>
      </c>
      <c r="BI221" s="186" t="s">
        <v>523</v>
      </c>
      <c r="BJ221" s="747" t="s">
        <v>1500</v>
      </c>
      <c r="BK221" s="747" t="s">
        <v>520</v>
      </c>
      <c r="BL221" s="747" t="s">
        <v>1730</v>
      </c>
      <c r="BM221" s="186">
        <v>8.7500000000000008E-3</v>
      </c>
      <c r="BN221" s="186">
        <v>0</v>
      </c>
      <c r="BO221" s="12">
        <v>2.23</v>
      </c>
      <c r="BP221" s="11" t="s">
        <v>2096</v>
      </c>
      <c r="BQ221" s="186" t="s">
        <v>523</v>
      </c>
      <c r="BR221" s="747" t="s">
        <v>1230</v>
      </c>
      <c r="BS221" s="747" t="s">
        <v>1171</v>
      </c>
      <c r="BT221" s="747" t="s">
        <v>1730</v>
      </c>
      <c r="BU221" s="186">
        <v>6.7500000000000004E-2</v>
      </c>
      <c r="BV221" s="186">
        <v>0</v>
      </c>
      <c r="BW221" s="12">
        <v>1.37</v>
      </c>
    </row>
    <row r="222" spans="1:75">
      <c r="A222" s="1" t="s">
        <v>844</v>
      </c>
      <c r="B222" s="1" t="s">
        <v>682</v>
      </c>
      <c r="C222" s="1" t="s">
        <v>829</v>
      </c>
      <c r="D222" s="1" t="s">
        <v>1710</v>
      </c>
      <c r="E222" s="1" t="s">
        <v>1896</v>
      </c>
      <c r="F222" s="1">
        <v>0.05</v>
      </c>
      <c r="G222" s="1">
        <v>0</v>
      </c>
      <c r="H222" s="1">
        <v>3</v>
      </c>
      <c r="I222" s="20" t="s">
        <v>684</v>
      </c>
      <c r="AI222" s="757"/>
      <c r="AJ222" s="195" t="s">
        <v>2714</v>
      </c>
      <c r="AK222" s="186" t="s">
        <v>1710</v>
      </c>
      <c r="AL222" s="747" t="s">
        <v>1948</v>
      </c>
      <c r="AM222" s="747" t="s">
        <v>519</v>
      </c>
      <c r="AN222" s="693" t="s">
        <v>1730</v>
      </c>
      <c r="AO222" s="186">
        <v>3.5000000000000003E-2</v>
      </c>
      <c r="AP222" s="186">
        <v>0</v>
      </c>
      <c r="AQ222" s="12">
        <v>2.3199999999999998</v>
      </c>
      <c r="AR222" s="11" t="s">
        <v>2808</v>
      </c>
      <c r="AS222" s="186" t="s">
        <v>1710</v>
      </c>
      <c r="AT222" s="747" t="s">
        <v>1948</v>
      </c>
      <c r="AU222" s="747" t="s">
        <v>519</v>
      </c>
      <c r="AV222" s="693" t="s">
        <v>1730</v>
      </c>
      <c r="AW222" s="186">
        <v>3.5000000000000003E-2</v>
      </c>
      <c r="AX222" s="186">
        <v>0</v>
      </c>
      <c r="AY222" s="12">
        <v>3</v>
      </c>
      <c r="AZ222" s="11" t="s">
        <v>2017</v>
      </c>
      <c r="BA222" s="186" t="s">
        <v>1713</v>
      </c>
      <c r="BB222" s="747" t="s">
        <v>2027</v>
      </c>
      <c r="BC222" s="747" t="s">
        <v>515</v>
      </c>
      <c r="BD222" s="747" t="s">
        <v>1730</v>
      </c>
      <c r="BE222" s="186">
        <v>0.36749999999999999</v>
      </c>
      <c r="BF222" s="186">
        <v>4.4999999999999998E-2</v>
      </c>
      <c r="BG222" s="12">
        <v>2.58</v>
      </c>
      <c r="BH222" s="11" t="s">
        <v>2065</v>
      </c>
      <c r="BI222" s="186" t="s">
        <v>523</v>
      </c>
      <c r="BJ222" s="747" t="s">
        <v>1501</v>
      </c>
      <c r="BK222" s="747" t="s">
        <v>520</v>
      </c>
      <c r="BL222" s="747" t="s">
        <v>1730</v>
      </c>
      <c r="BM222" s="186">
        <v>8.7500000000000008E-3</v>
      </c>
      <c r="BN222" s="186">
        <v>0</v>
      </c>
      <c r="BO222" s="12">
        <v>2.23</v>
      </c>
      <c r="BP222" s="11" t="s">
        <v>2096</v>
      </c>
      <c r="BQ222" s="186" t="s">
        <v>523</v>
      </c>
      <c r="BR222" s="747" t="s">
        <v>1231</v>
      </c>
      <c r="BS222" s="747" t="s">
        <v>1171</v>
      </c>
      <c r="BT222" s="747" t="s">
        <v>1730</v>
      </c>
      <c r="BU222" s="186">
        <v>6.7500000000000004E-2</v>
      </c>
      <c r="BV222" s="186">
        <v>0</v>
      </c>
      <c r="BW222" s="12">
        <v>1.37</v>
      </c>
    </row>
    <row r="223" spans="1:75">
      <c r="A223" s="1" t="s">
        <v>845</v>
      </c>
      <c r="B223" s="1" t="s">
        <v>682</v>
      </c>
      <c r="C223" s="1" t="s">
        <v>829</v>
      </c>
      <c r="D223" s="1" t="s">
        <v>1710</v>
      </c>
      <c r="E223" s="1" t="s">
        <v>1897</v>
      </c>
      <c r="F223" s="1">
        <v>2.5000000000000001E-2</v>
      </c>
      <c r="G223" s="1">
        <v>0</v>
      </c>
      <c r="H223" s="1">
        <v>3</v>
      </c>
      <c r="I223" s="20" t="s">
        <v>691</v>
      </c>
      <c r="J223" s="1" t="s">
        <v>692</v>
      </c>
      <c r="AI223" s="757"/>
      <c r="AJ223" s="195" t="s">
        <v>2806</v>
      </c>
      <c r="AK223" s="186" t="s">
        <v>1710</v>
      </c>
      <c r="AL223" s="747" t="s">
        <v>1949</v>
      </c>
      <c r="AM223" s="747" t="s">
        <v>519</v>
      </c>
      <c r="AN223" s="693" t="s">
        <v>1730</v>
      </c>
      <c r="AO223" s="186">
        <v>3.5000000000000003E-2</v>
      </c>
      <c r="AP223" s="186">
        <v>0</v>
      </c>
      <c r="AQ223" s="12">
        <v>2.3199999999999998</v>
      </c>
      <c r="AR223" s="11" t="s">
        <v>2805</v>
      </c>
      <c r="AS223" s="186" t="s">
        <v>1710</v>
      </c>
      <c r="AT223" s="747" t="s">
        <v>1949</v>
      </c>
      <c r="AU223" s="747" t="s">
        <v>519</v>
      </c>
      <c r="AV223" s="693" t="s">
        <v>1730</v>
      </c>
      <c r="AW223" s="186">
        <v>3.5000000000000003E-2</v>
      </c>
      <c r="AX223" s="186">
        <v>0</v>
      </c>
      <c r="AY223" s="12">
        <v>3</v>
      </c>
      <c r="AZ223" s="11" t="s">
        <v>2017</v>
      </c>
      <c r="BA223" s="186" t="s">
        <v>1713</v>
      </c>
      <c r="BB223" s="747" t="s">
        <v>2028</v>
      </c>
      <c r="BC223" s="747" t="s">
        <v>516</v>
      </c>
      <c r="BD223" s="747" t="s">
        <v>1730</v>
      </c>
      <c r="BE223" s="186">
        <v>0.245</v>
      </c>
      <c r="BF223" s="186">
        <v>0.03</v>
      </c>
      <c r="BG223" s="12">
        <v>2.58</v>
      </c>
      <c r="BH223" s="11" t="s">
        <v>2065</v>
      </c>
      <c r="BI223" s="186" t="s">
        <v>523</v>
      </c>
      <c r="BJ223" s="747" t="s">
        <v>1222</v>
      </c>
      <c r="BK223" s="747" t="s">
        <v>1171</v>
      </c>
      <c r="BL223" s="747" t="s">
        <v>1730</v>
      </c>
      <c r="BM223" s="186">
        <v>3.15E-2</v>
      </c>
      <c r="BN223" s="186">
        <v>0</v>
      </c>
      <c r="BO223" s="12">
        <v>2.23</v>
      </c>
      <c r="BP223" s="685" t="s">
        <v>2096</v>
      </c>
      <c r="BQ223" s="686" t="s">
        <v>2496</v>
      </c>
      <c r="BR223" s="687" t="s">
        <v>2553</v>
      </c>
      <c r="BS223" s="687" t="s">
        <v>1730</v>
      </c>
      <c r="BT223" s="687" t="s">
        <v>1730</v>
      </c>
      <c r="BU223" s="686">
        <v>0.12</v>
      </c>
      <c r="BV223" s="686">
        <v>0</v>
      </c>
      <c r="BW223" s="688">
        <v>1.37</v>
      </c>
    </row>
    <row r="224" spans="1:75">
      <c r="A224" s="1" t="s">
        <v>846</v>
      </c>
      <c r="B224" s="1" t="s">
        <v>682</v>
      </c>
      <c r="C224" s="1" t="s">
        <v>829</v>
      </c>
      <c r="D224" s="1" t="s">
        <v>1710</v>
      </c>
      <c r="E224" s="1" t="s">
        <v>1898</v>
      </c>
      <c r="F224" s="1">
        <v>4.4999999999999998E-2</v>
      </c>
      <c r="G224" s="1">
        <v>0</v>
      </c>
      <c r="H224" s="1">
        <v>3</v>
      </c>
      <c r="I224" s="20" t="s">
        <v>691</v>
      </c>
      <c r="J224" s="1" t="s">
        <v>697</v>
      </c>
      <c r="AI224" s="757"/>
      <c r="AJ224" s="195" t="s">
        <v>2714</v>
      </c>
      <c r="AK224" s="186" t="s">
        <v>1710</v>
      </c>
      <c r="AL224" s="747" t="s">
        <v>1950</v>
      </c>
      <c r="AM224" s="747" t="s">
        <v>520</v>
      </c>
      <c r="AN224" s="693" t="s">
        <v>1730</v>
      </c>
      <c r="AO224" s="186">
        <v>1.7500000000000002E-2</v>
      </c>
      <c r="AP224" s="186">
        <v>0</v>
      </c>
      <c r="AQ224" s="12">
        <v>2.3199999999999998</v>
      </c>
      <c r="AR224" s="11" t="s">
        <v>2808</v>
      </c>
      <c r="AS224" s="186" t="s">
        <v>1710</v>
      </c>
      <c r="AT224" s="747" t="s">
        <v>1950</v>
      </c>
      <c r="AU224" s="747" t="s">
        <v>520</v>
      </c>
      <c r="AV224" s="693" t="s">
        <v>1730</v>
      </c>
      <c r="AW224" s="186">
        <v>1.7500000000000002E-2</v>
      </c>
      <c r="AX224" s="186">
        <v>0</v>
      </c>
      <c r="AY224" s="12">
        <v>3</v>
      </c>
      <c r="AZ224" s="11" t="s">
        <v>2017</v>
      </c>
      <c r="BA224" s="186" t="s">
        <v>1713</v>
      </c>
      <c r="BB224" s="747" t="s">
        <v>2029</v>
      </c>
      <c r="BC224" s="747" t="s">
        <v>516</v>
      </c>
      <c r="BD224" s="747" t="s">
        <v>1730</v>
      </c>
      <c r="BE224" s="186">
        <v>0.245</v>
      </c>
      <c r="BF224" s="186">
        <v>0.03</v>
      </c>
      <c r="BG224" s="12">
        <v>2.58</v>
      </c>
      <c r="BH224" s="11" t="s">
        <v>2065</v>
      </c>
      <c r="BI224" s="186" t="s">
        <v>523</v>
      </c>
      <c r="BJ224" s="747" t="s">
        <v>1223</v>
      </c>
      <c r="BK224" s="747" t="s">
        <v>1171</v>
      </c>
      <c r="BL224" s="747" t="s">
        <v>1730</v>
      </c>
      <c r="BM224" s="186">
        <v>3.15E-2</v>
      </c>
      <c r="BN224" s="186">
        <v>0</v>
      </c>
      <c r="BO224" s="12">
        <v>2.23</v>
      </c>
      <c r="BP224" s="685" t="s">
        <v>2096</v>
      </c>
      <c r="BQ224" s="686" t="s">
        <v>2496</v>
      </c>
      <c r="BR224" s="687" t="s">
        <v>2554</v>
      </c>
      <c r="BS224" s="687" t="s">
        <v>1730</v>
      </c>
      <c r="BT224" s="687" t="s">
        <v>1730</v>
      </c>
      <c r="BU224" s="686">
        <v>0.06</v>
      </c>
      <c r="BV224" s="686">
        <v>0</v>
      </c>
      <c r="BW224" s="688">
        <v>1.37</v>
      </c>
    </row>
    <row r="225" spans="1:75">
      <c r="A225" s="1" t="s">
        <v>847</v>
      </c>
      <c r="B225" s="1" t="s">
        <v>682</v>
      </c>
      <c r="C225" s="1" t="s">
        <v>829</v>
      </c>
      <c r="D225" s="1" t="s">
        <v>1710</v>
      </c>
      <c r="E225" s="1" t="s">
        <v>1900</v>
      </c>
      <c r="F225" s="1">
        <v>4.4999999999999998E-2</v>
      </c>
      <c r="G225" s="1">
        <v>0</v>
      </c>
      <c r="H225" s="1">
        <v>3</v>
      </c>
      <c r="I225" s="20" t="s">
        <v>684</v>
      </c>
      <c r="J225" s="1" t="s">
        <v>515</v>
      </c>
      <c r="AI225" s="757"/>
      <c r="AJ225" s="195" t="s">
        <v>2807</v>
      </c>
      <c r="AK225" s="186" t="s">
        <v>1710</v>
      </c>
      <c r="AL225" s="747" t="s">
        <v>1951</v>
      </c>
      <c r="AM225" s="747" t="s">
        <v>520</v>
      </c>
      <c r="AN225" s="693" t="s">
        <v>1730</v>
      </c>
      <c r="AO225" s="186">
        <v>1.7500000000000002E-2</v>
      </c>
      <c r="AP225" s="186">
        <v>0</v>
      </c>
      <c r="AQ225" s="12">
        <v>2.3199999999999998</v>
      </c>
      <c r="AR225" s="11" t="s">
        <v>2715</v>
      </c>
      <c r="AS225" s="186" t="s">
        <v>1710</v>
      </c>
      <c r="AT225" s="747" t="s">
        <v>1951</v>
      </c>
      <c r="AU225" s="747" t="s">
        <v>520</v>
      </c>
      <c r="AV225" s="693" t="s">
        <v>1730</v>
      </c>
      <c r="AW225" s="186">
        <v>1.7500000000000002E-2</v>
      </c>
      <c r="AX225" s="186">
        <v>0</v>
      </c>
      <c r="AY225" s="12">
        <v>3</v>
      </c>
      <c r="AZ225" s="11" t="s">
        <v>2017</v>
      </c>
      <c r="BA225" s="186" t="s">
        <v>1713</v>
      </c>
      <c r="BB225" s="747" t="s">
        <v>2030</v>
      </c>
      <c r="BC225" s="747" t="s">
        <v>517</v>
      </c>
      <c r="BD225" s="747" t="s">
        <v>1730</v>
      </c>
      <c r="BE225" s="186">
        <v>0.1225</v>
      </c>
      <c r="BF225" s="186">
        <v>1.4999999999999999E-2</v>
      </c>
      <c r="BG225" s="12">
        <v>2.58</v>
      </c>
      <c r="BH225" s="758" t="s">
        <v>2807</v>
      </c>
      <c r="BI225" s="759" t="s">
        <v>1710</v>
      </c>
      <c r="BJ225" s="760" t="s">
        <v>1949</v>
      </c>
      <c r="BK225" s="760" t="s">
        <v>519</v>
      </c>
      <c r="BL225" s="760" t="s">
        <v>1730</v>
      </c>
      <c r="BM225" s="759">
        <v>1.7500000000000002E-2</v>
      </c>
      <c r="BN225" s="759">
        <v>0</v>
      </c>
      <c r="BO225" s="761">
        <v>2.23</v>
      </c>
      <c r="BP225" s="685" t="s">
        <v>2096</v>
      </c>
      <c r="BQ225" s="686" t="s">
        <v>2496</v>
      </c>
      <c r="BR225" s="687" t="s">
        <v>2555</v>
      </c>
      <c r="BS225" s="687" t="s">
        <v>1180</v>
      </c>
      <c r="BT225" s="687" t="s">
        <v>1730</v>
      </c>
      <c r="BU225" s="686">
        <v>0.09</v>
      </c>
      <c r="BV225" s="686">
        <v>0</v>
      </c>
      <c r="BW225" s="688">
        <v>1.37</v>
      </c>
    </row>
    <row r="226" spans="1:75">
      <c r="A226" s="1" t="s">
        <v>848</v>
      </c>
      <c r="B226" s="1" t="s">
        <v>682</v>
      </c>
      <c r="C226" s="1" t="s">
        <v>829</v>
      </c>
      <c r="D226" s="1" t="s">
        <v>1710</v>
      </c>
      <c r="E226" s="1" t="s">
        <v>1901</v>
      </c>
      <c r="F226" s="1">
        <v>2.5000000000000001E-2</v>
      </c>
      <c r="G226" s="1">
        <v>0</v>
      </c>
      <c r="H226" s="1">
        <v>3</v>
      </c>
      <c r="I226" s="20" t="s">
        <v>691</v>
      </c>
      <c r="J226" s="1" t="s">
        <v>700</v>
      </c>
      <c r="AI226" s="757"/>
      <c r="AJ226" s="195" t="s">
        <v>2806</v>
      </c>
      <c r="AK226" s="186" t="s">
        <v>1710</v>
      </c>
      <c r="AL226" s="747" t="s">
        <v>530</v>
      </c>
      <c r="AM226" s="747" t="s">
        <v>254</v>
      </c>
      <c r="AN226" s="693" t="s">
        <v>1730</v>
      </c>
      <c r="AO226" s="186">
        <v>6.3E-2</v>
      </c>
      <c r="AP226" s="186">
        <v>0</v>
      </c>
      <c r="AQ226" s="12">
        <v>2.3199999999999998</v>
      </c>
      <c r="AR226" s="11" t="s">
        <v>2808</v>
      </c>
      <c r="AS226" s="186" t="s">
        <v>1710</v>
      </c>
      <c r="AT226" s="747" t="s">
        <v>530</v>
      </c>
      <c r="AU226" s="747" t="s">
        <v>254</v>
      </c>
      <c r="AV226" s="693" t="s">
        <v>1730</v>
      </c>
      <c r="AW226" s="186">
        <v>6.3E-2</v>
      </c>
      <c r="AX226" s="186">
        <v>0</v>
      </c>
      <c r="AY226" s="12">
        <v>3</v>
      </c>
      <c r="AZ226" s="11" t="s">
        <v>2017</v>
      </c>
      <c r="BA226" s="186" t="s">
        <v>1713</v>
      </c>
      <c r="BB226" s="747" t="s">
        <v>2031</v>
      </c>
      <c r="BC226" s="747" t="s">
        <v>517</v>
      </c>
      <c r="BD226" s="747" t="s">
        <v>1730</v>
      </c>
      <c r="BE226" s="186">
        <v>0.1225</v>
      </c>
      <c r="BF226" s="186">
        <v>1.4999999999999999E-2</v>
      </c>
      <c r="BG226" s="12">
        <v>2.58</v>
      </c>
      <c r="BH226" s="685" t="s">
        <v>2065</v>
      </c>
      <c r="BI226" s="686" t="s">
        <v>2496</v>
      </c>
      <c r="BJ226" s="687" t="s">
        <v>2556</v>
      </c>
      <c r="BK226" s="687" t="s">
        <v>1730</v>
      </c>
      <c r="BL226" s="687" t="s">
        <v>1730</v>
      </c>
      <c r="BM226" s="686">
        <v>3.5000000000000003E-2</v>
      </c>
      <c r="BN226" s="686">
        <v>0</v>
      </c>
      <c r="BO226" s="688">
        <v>2.23</v>
      </c>
      <c r="BP226" s="685" t="s">
        <v>2096</v>
      </c>
      <c r="BQ226" s="686" t="s">
        <v>2496</v>
      </c>
      <c r="BR226" s="687" t="s">
        <v>2557</v>
      </c>
      <c r="BS226" s="687" t="s">
        <v>1180</v>
      </c>
      <c r="BT226" s="687" t="s">
        <v>1730</v>
      </c>
      <c r="BU226" s="686">
        <v>0.09</v>
      </c>
      <c r="BV226" s="686">
        <v>0</v>
      </c>
      <c r="BW226" s="688">
        <v>1.37</v>
      </c>
    </row>
    <row r="227" spans="1:75">
      <c r="A227" s="1" t="s">
        <v>849</v>
      </c>
      <c r="B227" s="1" t="s">
        <v>682</v>
      </c>
      <c r="C227" s="1" t="s">
        <v>829</v>
      </c>
      <c r="D227" s="1" t="s">
        <v>1710</v>
      </c>
      <c r="E227" s="1" t="s">
        <v>1905</v>
      </c>
      <c r="F227" s="1">
        <v>2.5000000000000001E-2</v>
      </c>
      <c r="G227" s="1">
        <v>0</v>
      </c>
      <c r="H227" s="1">
        <v>3</v>
      </c>
      <c r="I227" s="20" t="s">
        <v>710</v>
      </c>
      <c r="J227" s="1" t="s">
        <v>516</v>
      </c>
      <c r="AI227" s="757"/>
      <c r="AJ227" s="195" t="s">
        <v>2806</v>
      </c>
      <c r="AK227" s="186" t="s">
        <v>1710</v>
      </c>
      <c r="AL227" s="747" t="s">
        <v>531</v>
      </c>
      <c r="AM227" s="747" t="s">
        <v>254</v>
      </c>
      <c r="AN227" s="693" t="s">
        <v>1730</v>
      </c>
      <c r="AO227" s="186">
        <v>6.3E-2</v>
      </c>
      <c r="AP227" s="186">
        <v>0</v>
      </c>
      <c r="AQ227" s="12">
        <v>2.3199999999999998</v>
      </c>
      <c r="AR227" s="11" t="s">
        <v>2805</v>
      </c>
      <c r="AS227" s="186" t="s">
        <v>1710</v>
      </c>
      <c r="AT227" s="747" t="s">
        <v>531</v>
      </c>
      <c r="AU227" s="747" t="s">
        <v>254</v>
      </c>
      <c r="AV227" s="693" t="s">
        <v>1730</v>
      </c>
      <c r="AW227" s="186">
        <v>6.3E-2</v>
      </c>
      <c r="AX227" s="186">
        <v>0</v>
      </c>
      <c r="AY227" s="12">
        <v>3</v>
      </c>
      <c r="AZ227" s="11" t="s">
        <v>2017</v>
      </c>
      <c r="BA227" s="186" t="s">
        <v>1710</v>
      </c>
      <c r="BB227" s="747" t="s">
        <v>1712</v>
      </c>
      <c r="BC227" s="747" t="s">
        <v>1730</v>
      </c>
      <c r="BD227" s="747" t="s">
        <v>247</v>
      </c>
      <c r="BE227" s="186">
        <v>0.25</v>
      </c>
      <c r="BF227" s="186">
        <v>1.4999999999999999E-2</v>
      </c>
      <c r="BG227" s="12">
        <v>2.58</v>
      </c>
      <c r="BH227" s="685" t="s">
        <v>2065</v>
      </c>
      <c r="BI227" s="686" t="s">
        <v>2496</v>
      </c>
      <c r="BJ227" s="687" t="s">
        <v>2558</v>
      </c>
      <c r="BK227" s="687" t="s">
        <v>1730</v>
      </c>
      <c r="BL227" s="687" t="s">
        <v>1730</v>
      </c>
      <c r="BM227" s="686">
        <v>1.7500000000000002E-2</v>
      </c>
      <c r="BN227" s="686">
        <v>0</v>
      </c>
      <c r="BO227" s="688">
        <v>2.23</v>
      </c>
      <c r="BP227" s="685" t="s">
        <v>2096</v>
      </c>
      <c r="BQ227" s="686" t="s">
        <v>2496</v>
      </c>
      <c r="BR227" s="687" t="s">
        <v>2559</v>
      </c>
      <c r="BS227" s="687" t="s">
        <v>277</v>
      </c>
      <c r="BT227" s="687" t="s">
        <v>1730</v>
      </c>
      <c r="BU227" s="686">
        <v>0.06</v>
      </c>
      <c r="BV227" s="686">
        <v>0</v>
      </c>
      <c r="BW227" s="688">
        <v>1.37</v>
      </c>
    </row>
    <row r="228" spans="1:75">
      <c r="A228" s="1" t="s">
        <v>850</v>
      </c>
      <c r="B228" s="1" t="s">
        <v>682</v>
      </c>
      <c r="C228" s="1" t="s">
        <v>829</v>
      </c>
      <c r="D228" s="1" t="s">
        <v>1710</v>
      </c>
      <c r="E228" s="1" t="s">
        <v>1909</v>
      </c>
      <c r="F228" s="1">
        <v>1.2500000000000001E-2</v>
      </c>
      <c r="G228" s="1">
        <v>0</v>
      </c>
      <c r="H228" s="1">
        <v>3</v>
      </c>
      <c r="I228" s="20" t="s">
        <v>691</v>
      </c>
      <c r="J228" s="1" t="s">
        <v>703</v>
      </c>
      <c r="AI228" s="757"/>
      <c r="AJ228" s="195" t="s">
        <v>2807</v>
      </c>
      <c r="AK228" s="186" t="s">
        <v>523</v>
      </c>
      <c r="AL228" s="747" t="s">
        <v>532</v>
      </c>
      <c r="AM228" s="747" t="s">
        <v>1730</v>
      </c>
      <c r="AN228" s="693" t="s">
        <v>1730</v>
      </c>
      <c r="AO228" s="186">
        <v>7.0000000000000007E-2</v>
      </c>
      <c r="AP228" s="186">
        <v>0</v>
      </c>
      <c r="AQ228" s="12">
        <v>2.3199999999999998</v>
      </c>
      <c r="AR228" s="11" t="s">
        <v>2805</v>
      </c>
      <c r="AS228" s="186" t="s">
        <v>523</v>
      </c>
      <c r="AT228" s="747" t="s">
        <v>532</v>
      </c>
      <c r="AU228" s="747" t="s">
        <v>1730</v>
      </c>
      <c r="AV228" s="693" t="s">
        <v>1730</v>
      </c>
      <c r="AW228" s="186">
        <v>7.0000000000000007E-2</v>
      </c>
      <c r="AX228" s="186">
        <v>0</v>
      </c>
      <c r="AY228" s="12">
        <v>3</v>
      </c>
      <c r="AZ228" s="11" t="s">
        <v>2017</v>
      </c>
      <c r="BA228" s="186" t="s">
        <v>1710</v>
      </c>
      <c r="BB228" s="747" t="s">
        <v>1711</v>
      </c>
      <c r="BC228" s="747" t="s">
        <v>1730</v>
      </c>
      <c r="BD228" s="747" t="s">
        <v>247</v>
      </c>
      <c r="BE228" s="186">
        <v>0.125</v>
      </c>
      <c r="BF228" s="186">
        <v>7.4999999999999997E-3</v>
      </c>
      <c r="BG228" s="12">
        <v>2.58</v>
      </c>
      <c r="BH228" s="685" t="s">
        <v>2065</v>
      </c>
      <c r="BI228" s="686" t="s">
        <v>2496</v>
      </c>
      <c r="BJ228" s="687" t="s">
        <v>2560</v>
      </c>
      <c r="BK228" s="687" t="s">
        <v>1180</v>
      </c>
      <c r="BL228" s="687" t="s">
        <v>1730</v>
      </c>
      <c r="BM228" s="686">
        <v>2.6250000000000002E-2</v>
      </c>
      <c r="BN228" s="686">
        <v>0</v>
      </c>
      <c r="BO228" s="688">
        <v>2.23</v>
      </c>
      <c r="BP228" s="685" t="s">
        <v>2096</v>
      </c>
      <c r="BQ228" s="686" t="s">
        <v>2496</v>
      </c>
      <c r="BR228" s="687" t="s">
        <v>2561</v>
      </c>
      <c r="BS228" s="687" t="s">
        <v>277</v>
      </c>
      <c r="BT228" s="687" t="s">
        <v>1730</v>
      </c>
      <c r="BU228" s="686">
        <v>0.06</v>
      </c>
      <c r="BV228" s="686">
        <v>0</v>
      </c>
      <c r="BW228" s="688">
        <v>1.37</v>
      </c>
    </row>
    <row r="229" spans="1:75">
      <c r="A229" s="1" t="s">
        <v>851</v>
      </c>
      <c r="B229" s="1" t="s">
        <v>682</v>
      </c>
      <c r="C229" s="1" t="s">
        <v>829</v>
      </c>
      <c r="D229" s="1" t="s">
        <v>1710</v>
      </c>
      <c r="E229" s="1" t="s">
        <v>1911</v>
      </c>
      <c r="F229" s="1">
        <v>1.2500000000000001E-2</v>
      </c>
      <c r="G229" s="1">
        <v>0</v>
      </c>
      <c r="H229" s="1">
        <v>3</v>
      </c>
      <c r="I229" s="20" t="s">
        <v>713</v>
      </c>
      <c r="J229" s="1" t="s">
        <v>517</v>
      </c>
      <c r="AI229" s="757"/>
      <c r="AJ229" s="195" t="s">
        <v>2806</v>
      </c>
      <c r="AK229" s="186" t="s">
        <v>523</v>
      </c>
      <c r="AL229" s="747" t="s">
        <v>533</v>
      </c>
      <c r="AM229" s="747" t="s">
        <v>1730</v>
      </c>
      <c r="AN229" s="693" t="s">
        <v>1730</v>
      </c>
      <c r="AO229" s="186">
        <v>3.5000000000000003E-2</v>
      </c>
      <c r="AP229" s="186">
        <v>0</v>
      </c>
      <c r="AQ229" s="12">
        <v>2.3199999999999998</v>
      </c>
      <c r="AR229" s="11" t="s">
        <v>2805</v>
      </c>
      <c r="AS229" s="186" t="s">
        <v>523</v>
      </c>
      <c r="AT229" s="747" t="s">
        <v>533</v>
      </c>
      <c r="AU229" s="747" t="s">
        <v>1730</v>
      </c>
      <c r="AV229" s="693" t="s">
        <v>1730</v>
      </c>
      <c r="AW229" s="186">
        <v>3.5000000000000003E-2</v>
      </c>
      <c r="AX229" s="186">
        <v>0</v>
      </c>
      <c r="AY229" s="12">
        <v>3</v>
      </c>
      <c r="AZ229" s="11" t="s">
        <v>2017</v>
      </c>
      <c r="BA229" s="186" t="s">
        <v>1710</v>
      </c>
      <c r="BB229" s="747" t="s">
        <v>1716</v>
      </c>
      <c r="BC229" s="747" t="s">
        <v>519</v>
      </c>
      <c r="BD229" s="747" t="s">
        <v>247</v>
      </c>
      <c r="BE229" s="186">
        <v>0.125</v>
      </c>
      <c r="BF229" s="186">
        <v>7.4999999999999997E-3</v>
      </c>
      <c r="BG229" s="12">
        <v>2.58</v>
      </c>
      <c r="BH229" s="685" t="s">
        <v>2065</v>
      </c>
      <c r="BI229" s="686" t="s">
        <v>2496</v>
      </c>
      <c r="BJ229" s="687" t="s">
        <v>2562</v>
      </c>
      <c r="BK229" s="687" t="s">
        <v>1180</v>
      </c>
      <c r="BL229" s="687" t="s">
        <v>1730</v>
      </c>
      <c r="BM229" s="686">
        <v>2.6249999999999999E-2</v>
      </c>
      <c r="BN229" s="686">
        <v>0</v>
      </c>
      <c r="BO229" s="688">
        <v>2.23</v>
      </c>
      <c r="BP229" s="685" t="s">
        <v>2096</v>
      </c>
      <c r="BQ229" s="686" t="s">
        <v>2496</v>
      </c>
      <c r="BR229" s="687" t="s">
        <v>2563</v>
      </c>
      <c r="BS229" s="687" t="s">
        <v>2482</v>
      </c>
      <c r="BT229" s="687" t="s">
        <v>1730</v>
      </c>
      <c r="BU229" s="686">
        <v>0.03</v>
      </c>
      <c r="BV229" s="686">
        <v>0</v>
      </c>
      <c r="BW229" s="688">
        <v>1.37</v>
      </c>
    </row>
    <row r="230" spans="1:75">
      <c r="A230" s="1" t="s">
        <v>852</v>
      </c>
      <c r="B230" s="1" t="s">
        <v>682</v>
      </c>
      <c r="C230" s="1" t="s">
        <v>829</v>
      </c>
      <c r="D230" s="1" t="s">
        <v>1710</v>
      </c>
      <c r="E230" s="1" t="s">
        <v>521</v>
      </c>
      <c r="F230" s="1">
        <v>4.4999999999999998E-2</v>
      </c>
      <c r="G230" s="1">
        <v>0</v>
      </c>
      <c r="H230" s="1">
        <v>2.3199999999999998</v>
      </c>
      <c r="I230" s="20" t="s">
        <v>691</v>
      </c>
      <c r="J230" s="1" t="s">
        <v>697</v>
      </c>
      <c r="AI230" s="757"/>
      <c r="AJ230" s="195" t="s">
        <v>2806</v>
      </c>
      <c r="AK230" s="186" t="s">
        <v>523</v>
      </c>
      <c r="AL230" s="747" t="s">
        <v>534</v>
      </c>
      <c r="AM230" s="747" t="s">
        <v>519</v>
      </c>
      <c r="AN230" s="693" t="s">
        <v>1730</v>
      </c>
      <c r="AO230" s="186">
        <v>3.5000000000000003E-2</v>
      </c>
      <c r="AP230" s="186">
        <v>0</v>
      </c>
      <c r="AQ230" s="12">
        <v>2.3199999999999998</v>
      </c>
      <c r="AR230" s="11" t="s">
        <v>2805</v>
      </c>
      <c r="AS230" s="186" t="s">
        <v>523</v>
      </c>
      <c r="AT230" s="747" t="s">
        <v>534</v>
      </c>
      <c r="AU230" s="747" t="s">
        <v>519</v>
      </c>
      <c r="AV230" s="693" t="s">
        <v>1730</v>
      </c>
      <c r="AW230" s="186">
        <v>3.5000000000000003E-2</v>
      </c>
      <c r="AX230" s="186">
        <v>0</v>
      </c>
      <c r="AY230" s="12">
        <v>3</v>
      </c>
      <c r="AZ230" s="11" t="s">
        <v>2017</v>
      </c>
      <c r="BA230" s="186" t="s">
        <v>1710</v>
      </c>
      <c r="BB230" s="747" t="s">
        <v>1717</v>
      </c>
      <c r="BC230" s="747" t="s">
        <v>519</v>
      </c>
      <c r="BD230" s="747" t="s">
        <v>247</v>
      </c>
      <c r="BE230" s="186">
        <v>0.125</v>
      </c>
      <c r="BF230" s="186">
        <v>7.4999999999999997E-3</v>
      </c>
      <c r="BG230" s="12">
        <v>2.58</v>
      </c>
      <c r="BH230" s="685" t="s">
        <v>2065</v>
      </c>
      <c r="BI230" s="686" t="s">
        <v>2496</v>
      </c>
      <c r="BJ230" s="687" t="s">
        <v>2564</v>
      </c>
      <c r="BK230" s="687" t="s">
        <v>277</v>
      </c>
      <c r="BL230" s="687" t="s">
        <v>1730</v>
      </c>
      <c r="BM230" s="686">
        <v>1.7500000000000002E-2</v>
      </c>
      <c r="BN230" s="686">
        <v>0</v>
      </c>
      <c r="BO230" s="688">
        <v>2.23</v>
      </c>
      <c r="BP230" s="685" t="s">
        <v>2096</v>
      </c>
      <c r="BQ230" s="686" t="s">
        <v>2496</v>
      </c>
      <c r="BR230" s="687" t="s">
        <v>2565</v>
      </c>
      <c r="BS230" s="687" t="s">
        <v>2482</v>
      </c>
      <c r="BT230" s="687" t="s">
        <v>1730</v>
      </c>
      <c r="BU230" s="686">
        <v>0.03</v>
      </c>
      <c r="BV230" s="686">
        <v>0</v>
      </c>
      <c r="BW230" s="688">
        <v>1.37</v>
      </c>
    </row>
    <row r="231" spans="1:75">
      <c r="A231" s="1" t="s">
        <v>853</v>
      </c>
      <c r="B231" s="1" t="s">
        <v>682</v>
      </c>
      <c r="C231" s="1" t="s">
        <v>829</v>
      </c>
      <c r="D231" s="1" t="s">
        <v>1710</v>
      </c>
      <c r="E231" s="1" t="s">
        <v>522</v>
      </c>
      <c r="F231" s="1">
        <v>4.4999999999999998E-2</v>
      </c>
      <c r="G231" s="1">
        <v>0</v>
      </c>
      <c r="H231" s="1">
        <v>2.3199999999999998</v>
      </c>
      <c r="I231" s="20" t="s">
        <v>684</v>
      </c>
      <c r="J231" s="1" t="s">
        <v>515</v>
      </c>
      <c r="AI231" s="757"/>
      <c r="AJ231" s="195" t="s">
        <v>2807</v>
      </c>
      <c r="AK231" s="186" t="s">
        <v>523</v>
      </c>
      <c r="AL231" s="747" t="s">
        <v>535</v>
      </c>
      <c r="AM231" s="747" t="s">
        <v>519</v>
      </c>
      <c r="AN231" s="693" t="s">
        <v>1730</v>
      </c>
      <c r="AO231" s="186">
        <v>3.5000000000000003E-2</v>
      </c>
      <c r="AP231" s="186">
        <v>0</v>
      </c>
      <c r="AQ231" s="12">
        <v>2.3199999999999998</v>
      </c>
      <c r="AR231" s="11" t="s">
        <v>2715</v>
      </c>
      <c r="AS231" s="186" t="s">
        <v>523</v>
      </c>
      <c r="AT231" s="747" t="s">
        <v>535</v>
      </c>
      <c r="AU231" s="747" t="s">
        <v>519</v>
      </c>
      <c r="AV231" s="693" t="s">
        <v>1730</v>
      </c>
      <c r="AW231" s="186">
        <v>3.5000000000000003E-2</v>
      </c>
      <c r="AX231" s="186">
        <v>0</v>
      </c>
      <c r="AY231" s="12">
        <v>3</v>
      </c>
      <c r="AZ231" s="11" t="s">
        <v>2017</v>
      </c>
      <c r="BA231" s="186" t="s">
        <v>1710</v>
      </c>
      <c r="BB231" s="747" t="s">
        <v>1718</v>
      </c>
      <c r="BC231" s="747" t="s">
        <v>520</v>
      </c>
      <c r="BD231" s="747" t="s">
        <v>247</v>
      </c>
      <c r="BE231" s="186">
        <v>6.25E-2</v>
      </c>
      <c r="BF231" s="186">
        <v>3.7499999999999999E-3</v>
      </c>
      <c r="BG231" s="12">
        <v>2.58</v>
      </c>
      <c r="BH231" s="685" t="s">
        <v>2065</v>
      </c>
      <c r="BI231" s="686" t="s">
        <v>2496</v>
      </c>
      <c r="BJ231" s="687" t="s">
        <v>2566</v>
      </c>
      <c r="BK231" s="687" t="s">
        <v>277</v>
      </c>
      <c r="BL231" s="687" t="s">
        <v>1730</v>
      </c>
      <c r="BM231" s="686">
        <v>1.7500000000000002E-2</v>
      </c>
      <c r="BN231" s="686">
        <v>0</v>
      </c>
      <c r="BO231" s="688">
        <v>2.23</v>
      </c>
      <c r="BP231" s="11"/>
      <c r="BQ231" s="186"/>
      <c r="BR231" s="747"/>
      <c r="BS231" s="747"/>
      <c r="BT231" s="747"/>
      <c r="BU231" s="186"/>
      <c r="BV231" s="186"/>
      <c r="BW231" s="12"/>
    </row>
    <row r="232" spans="1:75">
      <c r="A232" s="1" t="s">
        <v>854</v>
      </c>
      <c r="B232" s="1" t="s">
        <v>682</v>
      </c>
      <c r="C232" s="1" t="s">
        <v>829</v>
      </c>
      <c r="D232" s="1" t="s">
        <v>523</v>
      </c>
      <c r="E232" s="1" t="s">
        <v>524</v>
      </c>
      <c r="F232" s="1">
        <v>0.05</v>
      </c>
      <c r="G232" s="1">
        <v>0</v>
      </c>
      <c r="I232" s="20"/>
      <c r="AI232" s="757"/>
      <c r="AJ232" s="195" t="s">
        <v>2807</v>
      </c>
      <c r="AK232" s="186" t="s">
        <v>523</v>
      </c>
      <c r="AL232" s="747" t="s">
        <v>536</v>
      </c>
      <c r="AM232" s="747" t="s">
        <v>520</v>
      </c>
      <c r="AN232" s="693" t="s">
        <v>1730</v>
      </c>
      <c r="AO232" s="186">
        <v>1.7500000000000002E-2</v>
      </c>
      <c r="AP232" s="186">
        <v>0</v>
      </c>
      <c r="AQ232" s="12">
        <v>2.3199999999999998</v>
      </c>
      <c r="AR232" s="11" t="s">
        <v>2805</v>
      </c>
      <c r="AS232" s="186" t="s">
        <v>523</v>
      </c>
      <c r="AT232" s="747" t="s">
        <v>536</v>
      </c>
      <c r="AU232" s="747" t="s">
        <v>520</v>
      </c>
      <c r="AV232" s="693" t="s">
        <v>1730</v>
      </c>
      <c r="AW232" s="186">
        <v>1.7500000000000002E-2</v>
      </c>
      <c r="AX232" s="186">
        <v>0</v>
      </c>
      <c r="AY232" s="12">
        <v>3</v>
      </c>
      <c r="AZ232" s="11" t="s">
        <v>2017</v>
      </c>
      <c r="BA232" s="186" t="s">
        <v>1710</v>
      </c>
      <c r="BB232" s="747" t="s">
        <v>1719</v>
      </c>
      <c r="BC232" s="747" t="s">
        <v>520</v>
      </c>
      <c r="BD232" s="747" t="s">
        <v>247</v>
      </c>
      <c r="BE232" s="186">
        <v>6.25E-2</v>
      </c>
      <c r="BF232" s="186">
        <v>3.7499999999999999E-3</v>
      </c>
      <c r="BG232" s="12">
        <v>2.58</v>
      </c>
      <c r="BH232" s="685" t="s">
        <v>2065</v>
      </c>
      <c r="BI232" s="686" t="s">
        <v>2496</v>
      </c>
      <c r="BJ232" s="687" t="s">
        <v>2567</v>
      </c>
      <c r="BK232" s="687" t="s">
        <v>2482</v>
      </c>
      <c r="BL232" s="687" t="s">
        <v>1730</v>
      </c>
      <c r="BM232" s="686">
        <v>8.7500000000000008E-3</v>
      </c>
      <c r="BN232" s="686">
        <v>0</v>
      </c>
      <c r="BO232" s="688">
        <v>2.23</v>
      </c>
      <c r="BP232" s="11"/>
      <c r="BQ232" s="186"/>
      <c r="BR232" s="747"/>
      <c r="BS232" s="747"/>
      <c r="BT232" s="747"/>
      <c r="BU232" s="186"/>
      <c r="BV232" s="186"/>
      <c r="BW232" s="12"/>
    </row>
    <row r="233" spans="1:75">
      <c r="A233" s="1" t="s">
        <v>855</v>
      </c>
      <c r="B233" s="1" t="s">
        <v>682</v>
      </c>
      <c r="C233" s="1" t="s">
        <v>829</v>
      </c>
      <c r="D233" s="1" t="s">
        <v>523</v>
      </c>
      <c r="E233" s="1" t="s">
        <v>525</v>
      </c>
      <c r="F233" s="1">
        <v>2.5000000000000001E-2</v>
      </c>
      <c r="G233" s="1">
        <v>0</v>
      </c>
      <c r="I233" s="20"/>
      <c r="J233" s="1" t="s">
        <v>692</v>
      </c>
      <c r="AI233" s="757"/>
      <c r="AJ233" s="195" t="s">
        <v>2807</v>
      </c>
      <c r="AK233" s="186" t="s">
        <v>523</v>
      </c>
      <c r="AL233" s="747" t="s">
        <v>537</v>
      </c>
      <c r="AM233" s="747" t="s">
        <v>520</v>
      </c>
      <c r="AN233" s="693" t="s">
        <v>1730</v>
      </c>
      <c r="AO233" s="186">
        <v>1.7500000000000002E-2</v>
      </c>
      <c r="AP233" s="186">
        <v>0</v>
      </c>
      <c r="AQ233" s="12">
        <v>2.3199999999999998</v>
      </c>
      <c r="AR233" s="11" t="s">
        <v>2805</v>
      </c>
      <c r="AS233" s="186" t="s">
        <v>523</v>
      </c>
      <c r="AT233" s="747" t="s">
        <v>537</v>
      </c>
      <c r="AU233" s="747" t="s">
        <v>520</v>
      </c>
      <c r="AV233" s="693" t="s">
        <v>1730</v>
      </c>
      <c r="AW233" s="186">
        <v>1.7500000000000002E-2</v>
      </c>
      <c r="AX233" s="186">
        <v>0</v>
      </c>
      <c r="AY233" s="12">
        <v>3</v>
      </c>
      <c r="AZ233" s="11" t="s">
        <v>2017</v>
      </c>
      <c r="BA233" s="186" t="s">
        <v>523</v>
      </c>
      <c r="BB233" s="747" t="s">
        <v>596</v>
      </c>
      <c r="BC233" s="747" t="s">
        <v>1730</v>
      </c>
      <c r="BD233" s="747" t="s">
        <v>248</v>
      </c>
      <c r="BE233" s="186">
        <v>0.15</v>
      </c>
      <c r="BF233" s="186">
        <v>7.0000000000000001E-3</v>
      </c>
      <c r="BG233" s="12">
        <v>2.58</v>
      </c>
      <c r="BH233" s="685" t="s">
        <v>2065</v>
      </c>
      <c r="BI233" s="686" t="s">
        <v>2496</v>
      </c>
      <c r="BJ233" s="687" t="s">
        <v>2568</v>
      </c>
      <c r="BK233" s="687" t="s">
        <v>2482</v>
      </c>
      <c r="BL233" s="687" t="s">
        <v>1730</v>
      </c>
      <c r="BM233" s="686">
        <v>8.7500000000000008E-3</v>
      </c>
      <c r="BN233" s="686">
        <v>0</v>
      </c>
      <c r="BO233" s="688">
        <v>2.23</v>
      </c>
      <c r="BP233" s="11"/>
      <c r="BQ233" s="186"/>
      <c r="BR233" s="747"/>
      <c r="BS233" s="747"/>
      <c r="BT233" s="747"/>
      <c r="BU233" s="186"/>
      <c r="BV233" s="186"/>
      <c r="BW233" s="12"/>
    </row>
    <row r="234" spans="1:75">
      <c r="A234" s="1" t="s">
        <v>856</v>
      </c>
      <c r="B234" s="1" t="s">
        <v>682</v>
      </c>
      <c r="C234" s="1" t="s">
        <v>829</v>
      </c>
      <c r="D234" s="1" t="s">
        <v>523</v>
      </c>
      <c r="E234" s="1" t="s">
        <v>526</v>
      </c>
      <c r="F234" s="1">
        <v>2.5000000000000001E-2</v>
      </c>
      <c r="G234" s="1">
        <v>0</v>
      </c>
      <c r="I234" s="20"/>
      <c r="J234" s="1" t="s">
        <v>519</v>
      </c>
      <c r="AI234" s="757"/>
      <c r="AJ234" s="195" t="s">
        <v>2714</v>
      </c>
      <c r="AK234" s="186" t="s">
        <v>523</v>
      </c>
      <c r="AL234" s="747" t="s">
        <v>1172</v>
      </c>
      <c r="AM234" s="747" t="s">
        <v>1171</v>
      </c>
      <c r="AN234" s="693" t="s">
        <v>1730</v>
      </c>
      <c r="AO234" s="186">
        <v>6.3E-2</v>
      </c>
      <c r="AP234" s="186">
        <v>0</v>
      </c>
      <c r="AQ234" s="12">
        <v>2.3199999999999998</v>
      </c>
      <c r="AR234" s="11" t="s">
        <v>1178</v>
      </c>
      <c r="AS234" s="186" t="s">
        <v>523</v>
      </c>
      <c r="AT234" s="747" t="s">
        <v>1172</v>
      </c>
      <c r="AU234" s="747" t="s">
        <v>1171</v>
      </c>
      <c r="AV234" s="693" t="s">
        <v>1730</v>
      </c>
      <c r="AW234" s="186">
        <v>6.3E-2</v>
      </c>
      <c r="AX234" s="186">
        <v>0</v>
      </c>
      <c r="AY234" s="12">
        <v>3</v>
      </c>
      <c r="AZ234" s="11" t="s">
        <v>2017</v>
      </c>
      <c r="BA234" s="186" t="s">
        <v>523</v>
      </c>
      <c r="BB234" s="747" t="s">
        <v>598</v>
      </c>
      <c r="BC234" s="747" t="s">
        <v>1730</v>
      </c>
      <c r="BD234" s="747" t="s">
        <v>248</v>
      </c>
      <c r="BE234" s="186">
        <v>7.4999999999999997E-2</v>
      </c>
      <c r="BF234" s="186">
        <v>3.5000000000000001E-3</v>
      </c>
      <c r="BG234" s="12">
        <v>2.58</v>
      </c>
      <c r="BH234" s="11"/>
      <c r="BI234" s="186"/>
      <c r="BJ234" s="747"/>
      <c r="BK234" s="747"/>
      <c r="BL234" s="747"/>
      <c r="BM234" s="186"/>
      <c r="BN234" s="186"/>
      <c r="BO234" s="12"/>
      <c r="BP234" s="11"/>
      <c r="BQ234" s="186"/>
      <c r="BR234" s="747"/>
      <c r="BS234" s="747"/>
      <c r="BT234" s="747"/>
      <c r="BU234" s="186"/>
      <c r="BV234" s="186"/>
      <c r="BW234" s="12"/>
    </row>
    <row r="235" spans="1:75">
      <c r="A235" s="1" t="s">
        <v>857</v>
      </c>
      <c r="B235" s="1" t="s">
        <v>682</v>
      </c>
      <c r="C235" s="1" t="s">
        <v>829</v>
      </c>
      <c r="D235" s="1" t="s">
        <v>523</v>
      </c>
      <c r="E235" s="1" t="s">
        <v>527</v>
      </c>
      <c r="F235" s="1">
        <v>2.5000000000000001E-2</v>
      </c>
      <c r="G235" s="1">
        <v>0</v>
      </c>
      <c r="I235" s="20"/>
      <c r="J235" s="1" t="s">
        <v>756</v>
      </c>
      <c r="AI235" s="757"/>
      <c r="AJ235" s="195" t="s">
        <v>2714</v>
      </c>
      <c r="AK235" s="186" t="s">
        <v>523</v>
      </c>
      <c r="AL235" s="747" t="s">
        <v>1173</v>
      </c>
      <c r="AM235" s="747" t="s">
        <v>1171</v>
      </c>
      <c r="AN235" s="693" t="s">
        <v>1730</v>
      </c>
      <c r="AO235" s="186">
        <v>6.3E-2</v>
      </c>
      <c r="AP235" s="186">
        <v>0</v>
      </c>
      <c r="AQ235" s="12">
        <v>2.3199999999999998</v>
      </c>
      <c r="AR235" s="11" t="s">
        <v>1178</v>
      </c>
      <c r="AS235" s="186" t="s">
        <v>523</v>
      </c>
      <c r="AT235" s="747" t="s">
        <v>1173</v>
      </c>
      <c r="AU235" s="747" t="s">
        <v>1171</v>
      </c>
      <c r="AV235" s="693" t="s">
        <v>1730</v>
      </c>
      <c r="AW235" s="186">
        <v>6.3E-2</v>
      </c>
      <c r="AX235" s="186">
        <v>0</v>
      </c>
      <c r="AY235" s="12">
        <v>3</v>
      </c>
      <c r="AZ235" s="11" t="s">
        <v>2017</v>
      </c>
      <c r="BA235" s="186" t="s">
        <v>523</v>
      </c>
      <c r="BB235" s="747" t="s">
        <v>600</v>
      </c>
      <c r="BC235" s="747" t="s">
        <v>519</v>
      </c>
      <c r="BD235" s="747" t="s">
        <v>248</v>
      </c>
      <c r="BE235" s="186">
        <v>7.4999999999999997E-2</v>
      </c>
      <c r="BF235" s="186">
        <v>3.5000000000000001E-3</v>
      </c>
      <c r="BG235" s="12">
        <v>2.58</v>
      </c>
      <c r="BH235" s="11"/>
      <c r="BI235" s="186"/>
      <c r="BJ235" s="747"/>
      <c r="BK235" s="747"/>
      <c r="BL235" s="747"/>
      <c r="BM235" s="186"/>
      <c r="BN235" s="186"/>
      <c r="BO235" s="12"/>
      <c r="BP235" s="11"/>
      <c r="BQ235" s="186"/>
      <c r="BR235" s="747"/>
      <c r="BS235" s="747"/>
      <c r="BT235" s="747"/>
      <c r="BU235" s="186"/>
      <c r="BV235" s="186"/>
      <c r="BW235" s="12"/>
    </row>
    <row r="236" spans="1:75">
      <c r="A236" s="1" t="s">
        <v>858</v>
      </c>
      <c r="B236" s="1" t="s">
        <v>682</v>
      </c>
      <c r="C236" s="1" t="s">
        <v>829</v>
      </c>
      <c r="D236" s="1" t="s">
        <v>523</v>
      </c>
      <c r="E236" s="1" t="s">
        <v>528</v>
      </c>
      <c r="F236" s="1">
        <v>1.2500000000000001E-2</v>
      </c>
      <c r="G236" s="1">
        <v>0</v>
      </c>
      <c r="I236" s="20"/>
      <c r="J236" s="1" t="s">
        <v>520</v>
      </c>
      <c r="AI236" s="757"/>
      <c r="AJ236" s="689" t="s">
        <v>2714</v>
      </c>
      <c r="AK236" s="686" t="s">
        <v>1710</v>
      </c>
      <c r="AL236" s="687" t="s">
        <v>2570</v>
      </c>
      <c r="AM236" s="687" t="s">
        <v>1730</v>
      </c>
      <c r="AN236" s="762" t="s">
        <v>1730</v>
      </c>
      <c r="AO236" s="686">
        <v>1.7500000000000002E-2</v>
      </c>
      <c r="AP236" s="686">
        <v>0</v>
      </c>
      <c r="AQ236" s="688">
        <v>2.3199999999999998</v>
      </c>
      <c r="AR236" s="685" t="s">
        <v>2715</v>
      </c>
      <c r="AS236" s="686" t="s">
        <v>1710</v>
      </c>
      <c r="AT236" s="687" t="s">
        <v>2570</v>
      </c>
      <c r="AU236" s="687" t="s">
        <v>1730</v>
      </c>
      <c r="AV236" s="762" t="s">
        <v>1730</v>
      </c>
      <c r="AW236" s="686">
        <v>1.7500000000000002E-2</v>
      </c>
      <c r="AX236" s="686">
        <v>0</v>
      </c>
      <c r="AY236" s="688">
        <v>3</v>
      </c>
      <c r="AZ236" s="11" t="s">
        <v>2017</v>
      </c>
      <c r="BA236" s="186" t="s">
        <v>523</v>
      </c>
      <c r="BB236" s="747" t="s">
        <v>602</v>
      </c>
      <c r="BC236" s="747" t="s">
        <v>519</v>
      </c>
      <c r="BD236" s="747" t="s">
        <v>248</v>
      </c>
      <c r="BE236" s="186">
        <v>7.4999999999999997E-2</v>
      </c>
      <c r="BF236" s="186">
        <v>3.5000000000000001E-3</v>
      </c>
      <c r="BG236" s="12">
        <v>2.58</v>
      </c>
      <c r="BH236" s="11"/>
      <c r="BI236" s="186"/>
      <c r="BJ236" s="747"/>
      <c r="BK236" s="747"/>
      <c r="BL236" s="747"/>
      <c r="BM236" s="186"/>
      <c r="BN236" s="186"/>
      <c r="BO236" s="12"/>
      <c r="BP236" s="11"/>
      <c r="BQ236" s="186"/>
      <c r="BR236" s="747"/>
      <c r="BS236" s="747"/>
      <c r="BT236" s="747"/>
      <c r="BU236" s="186"/>
      <c r="BV236" s="186"/>
      <c r="BW236" s="12"/>
    </row>
    <row r="237" spans="1:75">
      <c r="A237" s="1" t="s">
        <v>859</v>
      </c>
      <c r="B237" s="1" t="s">
        <v>682</v>
      </c>
      <c r="C237" s="1" t="s">
        <v>829</v>
      </c>
      <c r="D237" s="1" t="s">
        <v>523</v>
      </c>
      <c r="E237" s="1" t="s">
        <v>529</v>
      </c>
      <c r="F237" s="1">
        <v>1.2500000000000001E-2</v>
      </c>
      <c r="G237" s="1">
        <v>0</v>
      </c>
      <c r="I237" s="20"/>
      <c r="J237" s="1" t="s">
        <v>759</v>
      </c>
      <c r="AI237" s="757"/>
      <c r="AJ237" s="689" t="s">
        <v>2807</v>
      </c>
      <c r="AK237" s="686" t="s">
        <v>1710</v>
      </c>
      <c r="AL237" s="687" t="s">
        <v>2571</v>
      </c>
      <c r="AM237" s="687" t="s">
        <v>278</v>
      </c>
      <c r="AN237" s="762" t="s">
        <v>1730</v>
      </c>
      <c r="AO237" s="686">
        <v>3.5000000000000003E-2</v>
      </c>
      <c r="AP237" s="686">
        <v>0</v>
      </c>
      <c r="AQ237" s="688">
        <v>2.3199999999999998</v>
      </c>
      <c r="AR237" s="685" t="s">
        <v>2715</v>
      </c>
      <c r="AS237" s="686" t="s">
        <v>1710</v>
      </c>
      <c r="AT237" s="687" t="s">
        <v>2571</v>
      </c>
      <c r="AU237" s="687" t="s">
        <v>278</v>
      </c>
      <c r="AV237" s="762" t="s">
        <v>1730</v>
      </c>
      <c r="AW237" s="686">
        <v>3.5000000000000003E-2</v>
      </c>
      <c r="AX237" s="686">
        <v>0</v>
      </c>
      <c r="AY237" s="688">
        <v>3</v>
      </c>
      <c r="AZ237" s="11" t="s">
        <v>2017</v>
      </c>
      <c r="BA237" s="186" t="s">
        <v>523</v>
      </c>
      <c r="BB237" s="747" t="s">
        <v>604</v>
      </c>
      <c r="BC237" s="747" t="s">
        <v>520</v>
      </c>
      <c r="BD237" s="747" t="s">
        <v>248</v>
      </c>
      <c r="BE237" s="186">
        <v>3.7499999999999999E-2</v>
      </c>
      <c r="BF237" s="186">
        <v>1.75E-3</v>
      </c>
      <c r="BG237" s="12">
        <v>2.58</v>
      </c>
      <c r="BH237" s="11"/>
      <c r="BI237" s="186"/>
      <c r="BJ237" s="747"/>
      <c r="BK237" s="747"/>
      <c r="BL237" s="747"/>
      <c r="BM237" s="186"/>
      <c r="BN237" s="186"/>
      <c r="BO237" s="12"/>
      <c r="BP237" s="11"/>
      <c r="BQ237" s="186"/>
      <c r="BR237" s="747"/>
      <c r="BS237" s="747"/>
      <c r="BT237" s="747"/>
      <c r="BU237" s="186"/>
      <c r="BV237" s="186"/>
      <c r="BW237" s="12"/>
    </row>
    <row r="238" spans="1:75">
      <c r="A238" s="1" t="s">
        <v>860</v>
      </c>
      <c r="B238" s="1" t="s">
        <v>725</v>
      </c>
      <c r="C238" s="1" t="s">
        <v>861</v>
      </c>
      <c r="D238" s="1" t="s">
        <v>1859</v>
      </c>
      <c r="E238" s="1" t="s">
        <v>1817</v>
      </c>
      <c r="F238" s="1">
        <v>2.1800000000000002</v>
      </c>
      <c r="G238" s="1">
        <v>0</v>
      </c>
      <c r="H238" s="1">
        <v>3</v>
      </c>
      <c r="I238" s="20" t="s">
        <v>684</v>
      </c>
      <c r="AI238" s="757"/>
      <c r="AJ238" s="689" t="s">
        <v>2806</v>
      </c>
      <c r="AK238" s="686" t="s">
        <v>1710</v>
      </c>
      <c r="AL238" s="687" t="s">
        <v>2572</v>
      </c>
      <c r="AM238" s="687" t="s">
        <v>1181</v>
      </c>
      <c r="AN238" s="762" t="s">
        <v>1730</v>
      </c>
      <c r="AO238" s="686">
        <v>1.7500000000000002E-2</v>
      </c>
      <c r="AP238" s="686">
        <v>0</v>
      </c>
      <c r="AQ238" s="688">
        <v>2.3199999999999998</v>
      </c>
      <c r="AR238" s="685" t="s">
        <v>2715</v>
      </c>
      <c r="AS238" s="686" t="s">
        <v>1710</v>
      </c>
      <c r="AT238" s="687" t="s">
        <v>2572</v>
      </c>
      <c r="AU238" s="687" t="s">
        <v>1181</v>
      </c>
      <c r="AV238" s="762" t="s">
        <v>1730</v>
      </c>
      <c r="AW238" s="686">
        <v>1.7500000000000002E-2</v>
      </c>
      <c r="AX238" s="686">
        <v>0</v>
      </c>
      <c r="AY238" s="688">
        <v>3</v>
      </c>
      <c r="AZ238" s="11" t="s">
        <v>2017</v>
      </c>
      <c r="BA238" s="186" t="s">
        <v>523</v>
      </c>
      <c r="BB238" s="747" t="s">
        <v>606</v>
      </c>
      <c r="BC238" s="747" t="s">
        <v>520</v>
      </c>
      <c r="BD238" s="747" t="s">
        <v>248</v>
      </c>
      <c r="BE238" s="186">
        <v>3.7499999999999999E-2</v>
      </c>
      <c r="BF238" s="186">
        <v>1.75E-3</v>
      </c>
      <c r="BG238" s="12">
        <v>2.58</v>
      </c>
      <c r="BH238" s="11"/>
      <c r="BI238" s="186"/>
      <c r="BJ238" s="747"/>
      <c r="BK238" s="747"/>
      <c r="BL238" s="747"/>
      <c r="BM238" s="186"/>
      <c r="BN238" s="186"/>
      <c r="BO238" s="12"/>
      <c r="BP238" s="11"/>
      <c r="BQ238" s="186"/>
      <c r="BR238" s="747"/>
      <c r="BS238" s="747"/>
      <c r="BT238" s="747"/>
      <c r="BU238" s="186"/>
      <c r="BV238" s="186"/>
      <c r="BW238" s="12"/>
    </row>
    <row r="239" spans="1:75">
      <c r="A239" s="1" t="s">
        <v>862</v>
      </c>
      <c r="B239" s="1" t="s">
        <v>725</v>
      </c>
      <c r="C239" s="1" t="s">
        <v>861</v>
      </c>
      <c r="D239" s="1" t="s">
        <v>1863</v>
      </c>
      <c r="E239" s="1" t="s">
        <v>1804</v>
      </c>
      <c r="F239" s="1">
        <v>1.8</v>
      </c>
      <c r="G239" s="1">
        <v>0</v>
      </c>
      <c r="H239" s="1">
        <v>3</v>
      </c>
      <c r="I239" s="20" t="s">
        <v>684</v>
      </c>
      <c r="AI239" s="757"/>
      <c r="AJ239" s="689" t="s">
        <v>2807</v>
      </c>
      <c r="AK239" s="686" t="s">
        <v>523</v>
      </c>
      <c r="AL239" s="687" t="s">
        <v>2573</v>
      </c>
      <c r="AM239" s="687" t="s">
        <v>1730</v>
      </c>
      <c r="AN239" s="762" t="s">
        <v>1730</v>
      </c>
      <c r="AO239" s="686">
        <v>1.7500000000000002E-2</v>
      </c>
      <c r="AP239" s="686">
        <v>0</v>
      </c>
      <c r="AQ239" s="688">
        <v>2.3199999999999998</v>
      </c>
      <c r="AR239" s="685" t="s">
        <v>2808</v>
      </c>
      <c r="AS239" s="686" t="s">
        <v>523</v>
      </c>
      <c r="AT239" s="687" t="s">
        <v>2573</v>
      </c>
      <c r="AU239" s="687" t="s">
        <v>1730</v>
      </c>
      <c r="AV239" s="762" t="s">
        <v>1730</v>
      </c>
      <c r="AW239" s="686">
        <v>1.7500000000000002E-2</v>
      </c>
      <c r="AX239" s="686">
        <v>0</v>
      </c>
      <c r="AY239" s="688">
        <v>3</v>
      </c>
      <c r="AZ239" s="11" t="s">
        <v>2017</v>
      </c>
      <c r="BA239" s="186" t="s">
        <v>523</v>
      </c>
      <c r="BB239" s="747" t="s">
        <v>1186</v>
      </c>
      <c r="BC239" s="693" t="s">
        <v>1730</v>
      </c>
      <c r="BD239" s="747" t="s">
        <v>248</v>
      </c>
      <c r="BE239" s="186">
        <v>0.13500000000000001</v>
      </c>
      <c r="BF239" s="186">
        <v>6.3E-3</v>
      </c>
      <c r="BG239" s="12">
        <v>2.58</v>
      </c>
      <c r="BH239" s="11"/>
      <c r="BI239" s="186"/>
      <c r="BJ239" s="747"/>
      <c r="BK239" s="747"/>
      <c r="BL239" s="747"/>
      <c r="BM239" s="186"/>
      <c r="BN239" s="186"/>
      <c r="BO239" s="12"/>
      <c r="BP239" s="11"/>
      <c r="BQ239" s="186"/>
      <c r="BR239" s="747"/>
      <c r="BS239" s="747"/>
      <c r="BT239" s="747"/>
      <c r="BU239" s="186"/>
      <c r="BV239" s="186"/>
      <c r="BW239" s="12"/>
    </row>
    <row r="240" spans="1:75">
      <c r="A240" s="1" t="s">
        <v>863</v>
      </c>
      <c r="B240" s="1" t="s">
        <v>725</v>
      </c>
      <c r="C240" s="1" t="s">
        <v>861</v>
      </c>
      <c r="D240" s="1" t="s">
        <v>1864</v>
      </c>
      <c r="E240" s="1" t="s">
        <v>1805</v>
      </c>
      <c r="F240" s="1">
        <v>1.2</v>
      </c>
      <c r="G240" s="1">
        <v>0</v>
      </c>
      <c r="H240" s="1">
        <v>3</v>
      </c>
      <c r="I240" s="20" t="s">
        <v>684</v>
      </c>
      <c r="AI240" s="757"/>
      <c r="AJ240" s="689" t="s">
        <v>2714</v>
      </c>
      <c r="AK240" s="686" t="s">
        <v>523</v>
      </c>
      <c r="AL240" s="687" t="s">
        <v>2574</v>
      </c>
      <c r="AM240" s="687" t="s">
        <v>1180</v>
      </c>
      <c r="AN240" s="762" t="s">
        <v>1730</v>
      </c>
      <c r="AO240" s="686">
        <v>3.5000000000000003E-2</v>
      </c>
      <c r="AP240" s="686">
        <v>0</v>
      </c>
      <c r="AQ240" s="688">
        <v>2.3199999999999998</v>
      </c>
      <c r="AR240" s="685" t="s">
        <v>2808</v>
      </c>
      <c r="AS240" s="686" t="s">
        <v>523</v>
      </c>
      <c r="AT240" s="687" t="s">
        <v>2574</v>
      </c>
      <c r="AU240" s="687" t="s">
        <v>1180</v>
      </c>
      <c r="AV240" s="762" t="s">
        <v>1730</v>
      </c>
      <c r="AW240" s="686">
        <v>3.5000000000000003E-2</v>
      </c>
      <c r="AX240" s="686">
        <v>0</v>
      </c>
      <c r="AY240" s="688">
        <v>3</v>
      </c>
      <c r="AZ240" s="11" t="s">
        <v>2017</v>
      </c>
      <c r="BA240" s="186" t="s">
        <v>523</v>
      </c>
      <c r="BB240" s="747" t="s">
        <v>1187</v>
      </c>
      <c r="BC240" s="693" t="s">
        <v>1730</v>
      </c>
      <c r="BD240" s="747" t="s">
        <v>248</v>
      </c>
      <c r="BE240" s="186">
        <v>0.13500000000000001</v>
      </c>
      <c r="BF240" s="186">
        <v>6.3E-3</v>
      </c>
      <c r="BG240" s="12">
        <v>2.58</v>
      </c>
      <c r="BH240" s="11"/>
      <c r="BI240" s="186"/>
      <c r="BJ240" s="747"/>
      <c r="BK240" s="747"/>
      <c r="BL240" s="747"/>
      <c r="BM240" s="186"/>
      <c r="BN240" s="186"/>
      <c r="BO240" s="12"/>
      <c r="BP240" s="11"/>
      <c r="BQ240" s="186"/>
      <c r="BR240" s="747"/>
      <c r="BS240" s="747"/>
      <c r="BT240" s="747"/>
      <c r="BU240" s="186"/>
      <c r="BV240" s="186"/>
      <c r="BW240" s="12"/>
    </row>
    <row r="241" spans="1:75">
      <c r="A241" s="1" t="s">
        <v>864</v>
      </c>
      <c r="B241" s="1" t="s">
        <v>725</v>
      </c>
      <c r="C241" s="1" t="s">
        <v>861</v>
      </c>
      <c r="D241" s="1" t="s">
        <v>1867</v>
      </c>
      <c r="E241" s="1" t="s">
        <v>1806</v>
      </c>
      <c r="F241" s="1">
        <v>0.9</v>
      </c>
      <c r="G241" s="1">
        <v>0</v>
      </c>
      <c r="H241" s="1">
        <v>3</v>
      </c>
      <c r="I241" s="20" t="s">
        <v>684</v>
      </c>
      <c r="AI241" s="757"/>
      <c r="AJ241" s="689" t="s">
        <v>2806</v>
      </c>
      <c r="AK241" s="686" t="s">
        <v>523</v>
      </c>
      <c r="AL241" s="687" t="s">
        <v>2575</v>
      </c>
      <c r="AM241" s="687" t="s">
        <v>277</v>
      </c>
      <c r="AN241" s="762" t="s">
        <v>1730</v>
      </c>
      <c r="AO241" s="686">
        <v>1.7500000000000002E-2</v>
      </c>
      <c r="AP241" s="686">
        <v>0</v>
      </c>
      <c r="AQ241" s="688">
        <v>2.3199999999999998</v>
      </c>
      <c r="AR241" s="685" t="s">
        <v>2808</v>
      </c>
      <c r="AS241" s="686" t="s">
        <v>523</v>
      </c>
      <c r="AT241" s="687" t="s">
        <v>2575</v>
      </c>
      <c r="AU241" s="687" t="s">
        <v>277</v>
      </c>
      <c r="AV241" s="762" t="s">
        <v>1730</v>
      </c>
      <c r="AW241" s="686">
        <v>1.7500000000000002E-2</v>
      </c>
      <c r="AX241" s="686">
        <v>0</v>
      </c>
      <c r="AY241" s="688">
        <v>3</v>
      </c>
      <c r="AZ241" s="685" t="s">
        <v>2017</v>
      </c>
      <c r="BA241" s="686" t="s">
        <v>1710</v>
      </c>
      <c r="BB241" s="687" t="s">
        <v>2589</v>
      </c>
      <c r="BC241" s="687" t="s">
        <v>1730</v>
      </c>
      <c r="BD241" s="687" t="s">
        <v>247</v>
      </c>
      <c r="BE241" s="686">
        <v>6.25E-2</v>
      </c>
      <c r="BF241" s="686">
        <v>3.7499999999999999E-3</v>
      </c>
      <c r="BG241" s="688">
        <v>2.58</v>
      </c>
      <c r="BH241" s="11"/>
      <c r="BI241" s="186"/>
      <c r="BJ241" s="747"/>
      <c r="BK241" s="747"/>
      <c r="BL241" s="747"/>
      <c r="BM241" s="186"/>
      <c r="BN241" s="186"/>
      <c r="BO241" s="12"/>
      <c r="BP241" s="11"/>
      <c r="BQ241" s="186"/>
      <c r="BR241" s="747"/>
      <c r="BS241" s="747"/>
      <c r="BT241" s="747"/>
      <c r="BU241" s="186"/>
      <c r="BV241" s="186"/>
      <c r="BW241" s="12"/>
    </row>
    <row r="242" spans="1:75">
      <c r="A242" s="1" t="s">
        <v>865</v>
      </c>
      <c r="B242" s="1" t="s">
        <v>725</v>
      </c>
      <c r="C242" s="1" t="s">
        <v>861</v>
      </c>
      <c r="D242" s="1" t="s">
        <v>1884</v>
      </c>
      <c r="E242" s="1" t="s">
        <v>1824</v>
      </c>
      <c r="F242" s="1">
        <v>0.7</v>
      </c>
      <c r="G242" s="1">
        <v>0</v>
      </c>
      <c r="H242" s="1">
        <v>3</v>
      </c>
      <c r="I242" s="20" t="s">
        <v>684</v>
      </c>
      <c r="AI242" s="757"/>
      <c r="AJ242" s="689" t="s">
        <v>2806</v>
      </c>
      <c r="AK242" s="686" t="s">
        <v>523</v>
      </c>
      <c r="AL242" s="687" t="s">
        <v>2576</v>
      </c>
      <c r="AM242" s="687" t="s">
        <v>1171</v>
      </c>
      <c r="AN242" s="762" t="s">
        <v>1730</v>
      </c>
      <c r="AO242" s="686">
        <v>6.3E-2</v>
      </c>
      <c r="AP242" s="686">
        <v>0</v>
      </c>
      <c r="AQ242" s="688">
        <v>2.3199999999999998</v>
      </c>
      <c r="AR242" s="685" t="s">
        <v>2805</v>
      </c>
      <c r="AS242" s="686" t="s">
        <v>523</v>
      </c>
      <c r="AT242" s="687" t="s">
        <v>2576</v>
      </c>
      <c r="AU242" s="687" t="s">
        <v>1171</v>
      </c>
      <c r="AV242" s="762" t="s">
        <v>1730</v>
      </c>
      <c r="AW242" s="686">
        <v>6.3E-2</v>
      </c>
      <c r="AX242" s="686">
        <v>0</v>
      </c>
      <c r="AY242" s="688">
        <v>3</v>
      </c>
      <c r="AZ242" s="685" t="s">
        <v>2017</v>
      </c>
      <c r="BA242" s="686" t="s">
        <v>1710</v>
      </c>
      <c r="BB242" s="687" t="s">
        <v>2590</v>
      </c>
      <c r="BC242" s="687" t="s">
        <v>519</v>
      </c>
      <c r="BD242" s="687" t="s">
        <v>247</v>
      </c>
      <c r="BE242" s="686">
        <v>0.125</v>
      </c>
      <c r="BF242" s="686">
        <v>7.4999999999999997E-3</v>
      </c>
      <c r="BG242" s="688">
        <v>2.58</v>
      </c>
      <c r="BH242" s="11"/>
      <c r="BI242" s="186"/>
      <c r="BJ242" s="747"/>
      <c r="BK242" s="747"/>
      <c r="BL242" s="747"/>
      <c r="BM242" s="186"/>
      <c r="BN242" s="186"/>
      <c r="BO242" s="12"/>
      <c r="BP242" s="11"/>
      <c r="BQ242" s="186"/>
      <c r="BR242" s="747"/>
      <c r="BS242" s="747"/>
      <c r="BT242" s="747"/>
      <c r="BU242" s="186"/>
      <c r="BV242" s="186"/>
      <c r="BW242" s="12"/>
    </row>
    <row r="243" spans="1:75">
      <c r="A243" s="1" t="s">
        <v>866</v>
      </c>
      <c r="B243" s="1" t="s">
        <v>725</v>
      </c>
      <c r="C243" s="1" t="s">
        <v>861</v>
      </c>
      <c r="D243" s="1" t="s">
        <v>1917</v>
      </c>
      <c r="E243" s="1" t="s">
        <v>1825</v>
      </c>
      <c r="F243" s="1">
        <v>0.4</v>
      </c>
      <c r="G243" s="1">
        <v>0</v>
      </c>
      <c r="H243" s="1">
        <v>3</v>
      </c>
      <c r="I243" s="20" t="s">
        <v>684</v>
      </c>
      <c r="AI243" s="757"/>
      <c r="AJ243" s="689" t="s">
        <v>2806</v>
      </c>
      <c r="AK243" s="686" t="s">
        <v>2496</v>
      </c>
      <c r="AL243" s="687" t="s">
        <v>2577</v>
      </c>
      <c r="AM243" s="687" t="s">
        <v>1730</v>
      </c>
      <c r="AN243" s="762" t="s">
        <v>1730</v>
      </c>
      <c r="AO243" s="686">
        <v>7.0000000000000007E-2</v>
      </c>
      <c r="AP243" s="686">
        <v>0</v>
      </c>
      <c r="AQ243" s="688">
        <v>2.3199999999999998</v>
      </c>
      <c r="AR243" s="685" t="s">
        <v>2808</v>
      </c>
      <c r="AS243" s="686" t="s">
        <v>2496</v>
      </c>
      <c r="AT243" s="687" t="s">
        <v>2577</v>
      </c>
      <c r="AU243" s="687" t="s">
        <v>1730</v>
      </c>
      <c r="AV243" s="762" t="s">
        <v>1730</v>
      </c>
      <c r="AW243" s="686">
        <v>7.0000000000000007E-2</v>
      </c>
      <c r="AX243" s="686">
        <v>0</v>
      </c>
      <c r="AY243" s="688">
        <v>3</v>
      </c>
      <c r="AZ243" s="685" t="s">
        <v>2017</v>
      </c>
      <c r="BA243" s="686" t="s">
        <v>1710</v>
      </c>
      <c r="BB243" s="687" t="s">
        <v>2591</v>
      </c>
      <c r="BC243" s="687" t="s">
        <v>520</v>
      </c>
      <c r="BD243" s="687" t="s">
        <v>247</v>
      </c>
      <c r="BE243" s="686">
        <v>6.25E-2</v>
      </c>
      <c r="BF243" s="686">
        <v>3.7499999999999999E-3</v>
      </c>
      <c r="BG243" s="688">
        <v>2.58</v>
      </c>
      <c r="BH243" s="11"/>
      <c r="BI243" s="186"/>
      <c r="BJ243" s="747"/>
      <c r="BK243" s="747"/>
      <c r="BL243" s="747"/>
      <c r="BM243" s="186"/>
      <c r="BN243" s="186"/>
      <c r="BO243" s="12"/>
      <c r="BP243" s="11"/>
      <c r="BQ243" s="186"/>
      <c r="BR243" s="747"/>
      <c r="BS243" s="747"/>
      <c r="BT243" s="747"/>
      <c r="BU243" s="186"/>
      <c r="BV243" s="186"/>
      <c r="BW243" s="12"/>
    </row>
    <row r="244" spans="1:75">
      <c r="A244" s="1" t="s">
        <v>867</v>
      </c>
      <c r="B244" s="1" t="s">
        <v>725</v>
      </c>
      <c r="C244" s="1" t="s">
        <v>861</v>
      </c>
      <c r="D244" s="1" t="s">
        <v>1917</v>
      </c>
      <c r="E244" s="1" t="s">
        <v>1826</v>
      </c>
      <c r="F244" s="1">
        <v>0.4</v>
      </c>
      <c r="G244" s="1">
        <v>0</v>
      </c>
      <c r="H244" s="1">
        <v>3</v>
      </c>
      <c r="I244" s="20" t="s">
        <v>684</v>
      </c>
      <c r="AI244" s="757"/>
      <c r="AJ244" s="689" t="s">
        <v>2806</v>
      </c>
      <c r="AK244" s="686" t="s">
        <v>2496</v>
      </c>
      <c r="AL244" s="687" t="s">
        <v>2578</v>
      </c>
      <c r="AM244" s="687" t="s">
        <v>1730</v>
      </c>
      <c r="AN244" s="762" t="s">
        <v>1730</v>
      </c>
      <c r="AO244" s="686">
        <v>3.5000000000000003E-2</v>
      </c>
      <c r="AP244" s="686">
        <v>0</v>
      </c>
      <c r="AQ244" s="688">
        <v>2.3199999999999998</v>
      </c>
      <c r="AR244" s="685" t="s">
        <v>2805</v>
      </c>
      <c r="AS244" s="686" t="s">
        <v>2496</v>
      </c>
      <c r="AT244" s="687" t="s">
        <v>2578</v>
      </c>
      <c r="AU244" s="687" t="s">
        <v>1730</v>
      </c>
      <c r="AV244" s="762" t="s">
        <v>1730</v>
      </c>
      <c r="AW244" s="686">
        <v>3.5000000000000003E-2</v>
      </c>
      <c r="AX244" s="686">
        <v>0</v>
      </c>
      <c r="AY244" s="688">
        <v>3</v>
      </c>
      <c r="AZ244" s="685" t="s">
        <v>2017</v>
      </c>
      <c r="BA244" s="686" t="s">
        <v>523</v>
      </c>
      <c r="BB244" s="687" t="s">
        <v>2606</v>
      </c>
      <c r="BC244" s="687" t="s">
        <v>1730</v>
      </c>
      <c r="BD244" s="687" t="s">
        <v>248</v>
      </c>
      <c r="BE244" s="686">
        <v>3.7499999999999999E-2</v>
      </c>
      <c r="BF244" s="686">
        <v>1.75E-3</v>
      </c>
      <c r="BG244" s="688">
        <v>2.58</v>
      </c>
      <c r="BH244" s="11"/>
      <c r="BI244" s="186"/>
      <c r="BJ244" s="747"/>
      <c r="BK244" s="747"/>
      <c r="BL244" s="747"/>
      <c r="BM244" s="186"/>
      <c r="BN244" s="186"/>
      <c r="BO244" s="12"/>
      <c r="BP244" s="11"/>
      <c r="BQ244" s="186"/>
      <c r="BR244" s="747"/>
      <c r="BS244" s="747"/>
      <c r="BT244" s="747"/>
      <c r="BU244" s="186"/>
      <c r="BV244" s="186"/>
      <c r="BW244" s="12"/>
    </row>
    <row r="245" spans="1:75">
      <c r="A245" s="1" t="s">
        <v>868</v>
      </c>
      <c r="B245" s="1" t="s">
        <v>725</v>
      </c>
      <c r="C245" s="1" t="s">
        <v>861</v>
      </c>
      <c r="D245" s="1" t="s">
        <v>1917</v>
      </c>
      <c r="E245" s="1" t="s">
        <v>1827</v>
      </c>
      <c r="F245" s="1">
        <v>0.2</v>
      </c>
      <c r="G245" s="1">
        <v>0</v>
      </c>
      <c r="H245" s="1">
        <v>3</v>
      </c>
      <c r="I245" s="20" t="s">
        <v>691</v>
      </c>
      <c r="J245" s="1" t="s">
        <v>692</v>
      </c>
      <c r="AI245" s="757"/>
      <c r="AJ245" s="689" t="s">
        <v>2807</v>
      </c>
      <c r="AK245" s="686" t="s">
        <v>2496</v>
      </c>
      <c r="AL245" s="687" t="s">
        <v>2579</v>
      </c>
      <c r="AM245" s="687" t="s">
        <v>1730</v>
      </c>
      <c r="AN245" s="762" t="s">
        <v>1730</v>
      </c>
      <c r="AO245" s="686">
        <v>1.7500000000000002E-2</v>
      </c>
      <c r="AP245" s="686">
        <v>0</v>
      </c>
      <c r="AQ245" s="688">
        <v>2.3199999999999998</v>
      </c>
      <c r="AR245" s="685" t="s">
        <v>2805</v>
      </c>
      <c r="AS245" s="686" t="s">
        <v>2496</v>
      </c>
      <c r="AT245" s="687" t="s">
        <v>2579</v>
      </c>
      <c r="AU245" s="687" t="s">
        <v>1730</v>
      </c>
      <c r="AV245" s="762" t="s">
        <v>1730</v>
      </c>
      <c r="AW245" s="686">
        <v>1.7500000000000002E-2</v>
      </c>
      <c r="AX245" s="686">
        <v>0</v>
      </c>
      <c r="AY245" s="688">
        <v>3</v>
      </c>
      <c r="AZ245" s="685" t="s">
        <v>2017</v>
      </c>
      <c r="BA245" s="686" t="s">
        <v>523</v>
      </c>
      <c r="BB245" s="687" t="s">
        <v>2607</v>
      </c>
      <c r="BC245" s="687" t="s">
        <v>1180</v>
      </c>
      <c r="BD245" s="687" t="s">
        <v>248</v>
      </c>
      <c r="BE245" s="686">
        <v>7.4999999999999997E-2</v>
      </c>
      <c r="BF245" s="686">
        <v>3.5000000000000001E-3</v>
      </c>
      <c r="BG245" s="688">
        <v>2.58</v>
      </c>
      <c r="BH245" s="11"/>
      <c r="BI245" s="186"/>
      <c r="BJ245" s="747"/>
      <c r="BK245" s="747"/>
      <c r="BL245" s="747"/>
      <c r="BM245" s="186"/>
      <c r="BN245" s="186"/>
      <c r="BO245" s="12"/>
      <c r="BP245" s="11"/>
      <c r="BQ245" s="186"/>
      <c r="BR245" s="747"/>
      <c r="BS245" s="747"/>
      <c r="BT245" s="747"/>
      <c r="BU245" s="186"/>
      <c r="BV245" s="186"/>
      <c r="BW245" s="12"/>
    </row>
    <row r="246" spans="1:75">
      <c r="A246" s="1" t="s">
        <v>869</v>
      </c>
      <c r="B246" s="1" t="s">
        <v>725</v>
      </c>
      <c r="C246" s="1" t="s">
        <v>861</v>
      </c>
      <c r="D246" s="1" t="s">
        <v>1803</v>
      </c>
      <c r="E246" s="1" t="s">
        <v>1828</v>
      </c>
      <c r="F246" s="1">
        <v>0.13</v>
      </c>
      <c r="G246" s="1">
        <v>0</v>
      </c>
      <c r="H246" s="1">
        <v>3</v>
      </c>
      <c r="I246" s="20" t="s">
        <v>684</v>
      </c>
      <c r="AI246" s="757"/>
      <c r="AJ246" s="689" t="s">
        <v>2806</v>
      </c>
      <c r="AK246" s="686" t="s">
        <v>2496</v>
      </c>
      <c r="AL246" s="687" t="s">
        <v>2580</v>
      </c>
      <c r="AM246" s="687" t="s">
        <v>1180</v>
      </c>
      <c r="AN246" s="762" t="s">
        <v>1730</v>
      </c>
      <c r="AO246" s="686">
        <v>5.2500000000000005E-2</v>
      </c>
      <c r="AP246" s="686">
        <v>0</v>
      </c>
      <c r="AQ246" s="688">
        <v>2.3199999999999998</v>
      </c>
      <c r="AR246" s="685" t="s">
        <v>2805</v>
      </c>
      <c r="AS246" s="686" t="s">
        <v>2496</v>
      </c>
      <c r="AT246" s="687" t="s">
        <v>2580</v>
      </c>
      <c r="AU246" s="687" t="s">
        <v>1180</v>
      </c>
      <c r="AV246" s="762" t="s">
        <v>1730</v>
      </c>
      <c r="AW246" s="686">
        <v>5.2500000000000005E-2</v>
      </c>
      <c r="AX246" s="686">
        <v>0</v>
      </c>
      <c r="AY246" s="688">
        <v>3</v>
      </c>
      <c r="AZ246" s="685" t="s">
        <v>2017</v>
      </c>
      <c r="BA246" s="686" t="s">
        <v>523</v>
      </c>
      <c r="BB246" s="687" t="s">
        <v>2608</v>
      </c>
      <c r="BC246" s="687" t="s">
        <v>1181</v>
      </c>
      <c r="BD246" s="687" t="s">
        <v>248</v>
      </c>
      <c r="BE246" s="686">
        <v>3.7499999999999999E-2</v>
      </c>
      <c r="BF246" s="686">
        <v>1.75E-3</v>
      </c>
      <c r="BG246" s="688">
        <v>2.58</v>
      </c>
      <c r="BH246" s="11"/>
      <c r="BI246" s="186"/>
      <c r="BJ246" s="747"/>
      <c r="BK246" s="747"/>
      <c r="BL246" s="747"/>
      <c r="BM246" s="186"/>
      <c r="BN246" s="186"/>
      <c r="BO246" s="12"/>
      <c r="BP246" s="11"/>
      <c r="BQ246" s="186"/>
      <c r="BR246" s="747"/>
      <c r="BS246" s="747"/>
      <c r="BT246" s="747"/>
      <c r="BU246" s="186"/>
      <c r="BV246" s="186"/>
      <c r="BW246" s="12"/>
    </row>
    <row r="247" spans="1:75">
      <c r="A247" s="1" t="s">
        <v>870</v>
      </c>
      <c r="B247" s="1" t="s">
        <v>725</v>
      </c>
      <c r="C247" s="1" t="s">
        <v>861</v>
      </c>
      <c r="D247" s="1" t="s">
        <v>1803</v>
      </c>
      <c r="E247" s="1" t="s">
        <v>1829</v>
      </c>
      <c r="F247" s="1">
        <v>6.5000000000000002E-2</v>
      </c>
      <c r="G247" s="1">
        <v>0</v>
      </c>
      <c r="H247" s="1">
        <v>3</v>
      </c>
      <c r="I247" s="20" t="s">
        <v>691</v>
      </c>
      <c r="J247" s="1" t="s">
        <v>692</v>
      </c>
      <c r="AI247" s="757"/>
      <c r="AJ247" s="689" t="s">
        <v>2807</v>
      </c>
      <c r="AK247" s="686" t="s">
        <v>2496</v>
      </c>
      <c r="AL247" s="687" t="s">
        <v>2581</v>
      </c>
      <c r="AM247" s="687" t="s">
        <v>1180</v>
      </c>
      <c r="AN247" s="762" t="s">
        <v>1730</v>
      </c>
      <c r="AO247" s="686">
        <v>5.2499999999999998E-2</v>
      </c>
      <c r="AP247" s="686">
        <v>0</v>
      </c>
      <c r="AQ247" s="688">
        <v>2.3199999999999998</v>
      </c>
      <c r="AR247" s="685" t="s">
        <v>2808</v>
      </c>
      <c r="AS247" s="686" t="s">
        <v>2496</v>
      </c>
      <c r="AT247" s="687" t="s">
        <v>2581</v>
      </c>
      <c r="AU247" s="687" t="s">
        <v>1180</v>
      </c>
      <c r="AV247" s="762" t="s">
        <v>1730</v>
      </c>
      <c r="AW247" s="686">
        <v>5.2499999999999998E-2</v>
      </c>
      <c r="AX247" s="686">
        <v>0</v>
      </c>
      <c r="AY247" s="688">
        <v>3</v>
      </c>
      <c r="AZ247" s="685" t="s">
        <v>2017</v>
      </c>
      <c r="BA247" s="686" t="s">
        <v>523</v>
      </c>
      <c r="BB247" s="687" t="s">
        <v>2609</v>
      </c>
      <c r="BC247" s="762" t="s">
        <v>1730</v>
      </c>
      <c r="BD247" s="687" t="s">
        <v>248</v>
      </c>
      <c r="BE247" s="686">
        <v>0.13500000000000001</v>
      </c>
      <c r="BF247" s="686">
        <v>6.3E-3</v>
      </c>
      <c r="BG247" s="688">
        <v>2.58</v>
      </c>
      <c r="BH247" s="11"/>
      <c r="BI247" s="186"/>
      <c r="BJ247" s="747"/>
      <c r="BK247" s="747"/>
      <c r="BL247" s="747"/>
      <c r="BM247" s="186"/>
      <c r="BN247" s="186"/>
      <c r="BO247" s="12"/>
      <c r="BP247" s="11"/>
      <c r="BQ247" s="186"/>
      <c r="BR247" s="747"/>
      <c r="BS247" s="747"/>
      <c r="BT247" s="747"/>
      <c r="BU247" s="186"/>
      <c r="BV247" s="186"/>
      <c r="BW247" s="12"/>
    </row>
    <row r="248" spans="1:75">
      <c r="A248" s="1" t="s">
        <v>871</v>
      </c>
      <c r="B248" s="1" t="s">
        <v>725</v>
      </c>
      <c r="C248" s="1" t="s">
        <v>861</v>
      </c>
      <c r="D248" s="1" t="s">
        <v>1803</v>
      </c>
      <c r="E248" s="1" t="s">
        <v>1921</v>
      </c>
      <c r="F248" s="1">
        <v>9.7500000000000003E-2</v>
      </c>
      <c r="G248" s="1">
        <v>0</v>
      </c>
      <c r="H248" s="1">
        <v>3</v>
      </c>
      <c r="I248" s="20" t="s">
        <v>684</v>
      </c>
      <c r="J248" s="1" t="s">
        <v>515</v>
      </c>
      <c r="AI248" s="757"/>
      <c r="AJ248" s="689" t="s">
        <v>2806</v>
      </c>
      <c r="AK248" s="686" t="s">
        <v>2496</v>
      </c>
      <c r="AL248" s="687" t="s">
        <v>2582</v>
      </c>
      <c r="AM248" s="687" t="s">
        <v>1180</v>
      </c>
      <c r="AN248" s="762" t="s">
        <v>1730</v>
      </c>
      <c r="AO248" s="686">
        <v>5.2499999999999998E-2</v>
      </c>
      <c r="AP248" s="686">
        <v>0</v>
      </c>
      <c r="AQ248" s="688">
        <v>2.3199999999999998</v>
      </c>
      <c r="AR248" s="685" t="s">
        <v>2805</v>
      </c>
      <c r="AS248" s="686" t="s">
        <v>2496</v>
      </c>
      <c r="AT248" s="687" t="s">
        <v>2582</v>
      </c>
      <c r="AU248" s="687" t="s">
        <v>1180</v>
      </c>
      <c r="AV248" s="762" t="s">
        <v>1730</v>
      </c>
      <c r="AW248" s="686">
        <v>5.2499999999999998E-2</v>
      </c>
      <c r="AX248" s="686">
        <v>0</v>
      </c>
      <c r="AY248" s="688">
        <v>3</v>
      </c>
      <c r="AZ248" s="685" t="s">
        <v>2017</v>
      </c>
      <c r="BA248" s="686" t="s">
        <v>2496</v>
      </c>
      <c r="BB248" s="687" t="s">
        <v>2594</v>
      </c>
      <c r="BC248" s="687" t="s">
        <v>1730</v>
      </c>
      <c r="BD248" s="687" t="s">
        <v>2490</v>
      </c>
      <c r="BE248" s="686">
        <v>0.24</v>
      </c>
      <c r="BF248" s="686">
        <v>7.0000000000000001E-3</v>
      </c>
      <c r="BG248" s="688">
        <v>2.58</v>
      </c>
      <c r="BH248" s="11"/>
      <c r="BI248" s="186"/>
      <c r="BJ248" s="747"/>
      <c r="BK248" s="747"/>
      <c r="BL248" s="747"/>
      <c r="BM248" s="186"/>
      <c r="BN248" s="186"/>
      <c r="BO248" s="12"/>
      <c r="BP248" s="11"/>
      <c r="BQ248" s="186"/>
      <c r="BR248" s="747"/>
      <c r="BS248" s="747"/>
      <c r="BT248" s="747"/>
      <c r="BU248" s="186"/>
      <c r="BV248" s="186"/>
      <c r="BW248" s="12"/>
    </row>
    <row r="249" spans="1:75">
      <c r="A249" s="1" t="s">
        <v>872</v>
      </c>
      <c r="B249" s="1" t="s">
        <v>725</v>
      </c>
      <c r="C249" s="1" t="s">
        <v>861</v>
      </c>
      <c r="D249" s="1" t="s">
        <v>1803</v>
      </c>
      <c r="E249" s="1" t="s">
        <v>1924</v>
      </c>
      <c r="F249" s="1">
        <v>9.7500000000000003E-2</v>
      </c>
      <c r="G249" s="1">
        <v>0</v>
      </c>
      <c r="H249" s="1">
        <v>3</v>
      </c>
      <c r="I249" s="20" t="s">
        <v>691</v>
      </c>
      <c r="J249" s="1" t="s">
        <v>697</v>
      </c>
      <c r="AI249" s="757"/>
      <c r="AJ249" s="689" t="s">
        <v>2807</v>
      </c>
      <c r="AK249" s="686" t="s">
        <v>2496</v>
      </c>
      <c r="AL249" s="687" t="s">
        <v>2583</v>
      </c>
      <c r="AM249" s="687" t="s">
        <v>277</v>
      </c>
      <c r="AN249" s="762" t="s">
        <v>1730</v>
      </c>
      <c r="AO249" s="686">
        <v>3.5000000000000003E-2</v>
      </c>
      <c r="AP249" s="686">
        <v>0</v>
      </c>
      <c r="AQ249" s="688">
        <v>2.3199999999999998</v>
      </c>
      <c r="AR249" s="685" t="s">
        <v>2805</v>
      </c>
      <c r="AS249" s="686" t="s">
        <v>2496</v>
      </c>
      <c r="AT249" s="687" t="s">
        <v>2583</v>
      </c>
      <c r="AU249" s="687" t="s">
        <v>277</v>
      </c>
      <c r="AV249" s="762" t="s">
        <v>1730</v>
      </c>
      <c r="AW249" s="686">
        <v>3.5000000000000003E-2</v>
      </c>
      <c r="AX249" s="686">
        <v>0</v>
      </c>
      <c r="AY249" s="688">
        <v>3</v>
      </c>
      <c r="AZ249" s="685" t="s">
        <v>2017</v>
      </c>
      <c r="BA249" s="686" t="s">
        <v>2496</v>
      </c>
      <c r="BB249" s="687" t="s">
        <v>2595</v>
      </c>
      <c r="BC249" s="687" t="s">
        <v>1730</v>
      </c>
      <c r="BD249" s="687" t="s">
        <v>2490</v>
      </c>
      <c r="BE249" s="686">
        <v>0.12</v>
      </c>
      <c r="BF249" s="686">
        <v>3.5000000000000001E-3</v>
      </c>
      <c r="BG249" s="688">
        <v>2.58</v>
      </c>
      <c r="BH249" s="11"/>
      <c r="BI249" s="186"/>
      <c r="BJ249" s="747"/>
      <c r="BK249" s="747"/>
      <c r="BL249" s="747"/>
      <c r="BM249" s="186"/>
      <c r="BN249" s="186"/>
      <c r="BO249" s="12"/>
      <c r="BP249" s="11"/>
      <c r="BQ249" s="186"/>
      <c r="BR249" s="747"/>
      <c r="BS249" s="747"/>
      <c r="BT249" s="747"/>
      <c r="BU249" s="186"/>
      <c r="BV249" s="186"/>
      <c r="BW249" s="12"/>
    </row>
    <row r="250" spans="1:75">
      <c r="A250" s="1" t="s">
        <v>873</v>
      </c>
      <c r="B250" s="1" t="s">
        <v>725</v>
      </c>
      <c r="C250" s="1" t="s">
        <v>861</v>
      </c>
      <c r="D250" s="1" t="s">
        <v>1803</v>
      </c>
      <c r="E250" s="1" t="s">
        <v>1927</v>
      </c>
      <c r="F250" s="1">
        <v>6.5000000000000002E-2</v>
      </c>
      <c r="G250" s="1">
        <v>0</v>
      </c>
      <c r="H250" s="1">
        <v>3</v>
      </c>
      <c r="I250" s="20" t="s">
        <v>684</v>
      </c>
      <c r="J250" s="1" t="s">
        <v>516</v>
      </c>
      <c r="AI250" s="757"/>
      <c r="AJ250" s="689" t="s">
        <v>2806</v>
      </c>
      <c r="AK250" s="686" t="s">
        <v>2496</v>
      </c>
      <c r="AL250" s="687" t="s">
        <v>2584</v>
      </c>
      <c r="AM250" s="687" t="s">
        <v>277</v>
      </c>
      <c r="AN250" s="762" t="s">
        <v>1730</v>
      </c>
      <c r="AO250" s="686">
        <v>3.5000000000000003E-2</v>
      </c>
      <c r="AP250" s="686">
        <v>0</v>
      </c>
      <c r="AQ250" s="688">
        <v>2.3199999999999998</v>
      </c>
      <c r="AR250" s="685" t="s">
        <v>2715</v>
      </c>
      <c r="AS250" s="686" t="s">
        <v>2496</v>
      </c>
      <c r="AT250" s="687" t="s">
        <v>2584</v>
      </c>
      <c r="AU250" s="687" t="s">
        <v>277</v>
      </c>
      <c r="AV250" s="762" t="s">
        <v>1730</v>
      </c>
      <c r="AW250" s="686">
        <v>3.5000000000000003E-2</v>
      </c>
      <c r="AX250" s="686">
        <v>0</v>
      </c>
      <c r="AY250" s="688">
        <v>3</v>
      </c>
      <c r="AZ250" s="685" t="s">
        <v>2017</v>
      </c>
      <c r="BA250" s="686" t="s">
        <v>2496</v>
      </c>
      <c r="BB250" s="687" t="s">
        <v>2596</v>
      </c>
      <c r="BC250" s="687" t="s">
        <v>1730</v>
      </c>
      <c r="BD250" s="687" t="s">
        <v>2490</v>
      </c>
      <c r="BE250" s="686">
        <v>0.06</v>
      </c>
      <c r="BF250" s="686">
        <v>1.75E-3</v>
      </c>
      <c r="BG250" s="688">
        <v>2.58</v>
      </c>
      <c r="BH250" s="11"/>
      <c r="BI250" s="186"/>
      <c r="BJ250" s="747"/>
      <c r="BK250" s="747"/>
      <c r="BL250" s="747"/>
      <c r="BM250" s="186"/>
      <c r="BN250" s="186"/>
      <c r="BO250" s="12"/>
      <c r="BP250" s="11"/>
      <c r="BQ250" s="186"/>
      <c r="BR250" s="747"/>
      <c r="BS250" s="747"/>
      <c r="BT250" s="747"/>
      <c r="BU250" s="186"/>
      <c r="BV250" s="186"/>
      <c r="BW250" s="12"/>
    </row>
    <row r="251" spans="1:75">
      <c r="A251" s="1" t="s">
        <v>874</v>
      </c>
      <c r="B251" s="1" t="s">
        <v>725</v>
      </c>
      <c r="C251" s="1" t="s">
        <v>861</v>
      </c>
      <c r="D251" s="1" t="s">
        <v>1803</v>
      </c>
      <c r="E251" s="1" t="s">
        <v>1931</v>
      </c>
      <c r="F251" s="1">
        <v>6.5000000000000002E-2</v>
      </c>
      <c r="G251" s="1">
        <v>0</v>
      </c>
      <c r="H251" s="1">
        <v>3</v>
      </c>
      <c r="I251" s="20" t="s">
        <v>691</v>
      </c>
      <c r="J251" s="1" t="s">
        <v>700</v>
      </c>
      <c r="AI251" s="757"/>
      <c r="AJ251" s="689" t="s">
        <v>2807</v>
      </c>
      <c r="AK251" s="686" t="s">
        <v>2496</v>
      </c>
      <c r="AL251" s="687" t="s">
        <v>2585</v>
      </c>
      <c r="AM251" s="687" t="s">
        <v>277</v>
      </c>
      <c r="AN251" s="762" t="s">
        <v>1730</v>
      </c>
      <c r="AO251" s="686">
        <v>3.5000000000000003E-2</v>
      </c>
      <c r="AP251" s="686">
        <v>0</v>
      </c>
      <c r="AQ251" s="688">
        <v>2.3199999999999998</v>
      </c>
      <c r="AR251" s="685" t="s">
        <v>2808</v>
      </c>
      <c r="AS251" s="686" t="s">
        <v>2496</v>
      </c>
      <c r="AT251" s="687" t="s">
        <v>2585</v>
      </c>
      <c r="AU251" s="687" t="s">
        <v>277</v>
      </c>
      <c r="AV251" s="762" t="s">
        <v>1730</v>
      </c>
      <c r="AW251" s="686">
        <v>3.5000000000000003E-2</v>
      </c>
      <c r="AX251" s="686">
        <v>0</v>
      </c>
      <c r="AY251" s="688">
        <v>3</v>
      </c>
      <c r="AZ251" s="685" t="s">
        <v>2017</v>
      </c>
      <c r="BA251" s="686" t="s">
        <v>2496</v>
      </c>
      <c r="BB251" s="687" t="s">
        <v>2597</v>
      </c>
      <c r="BC251" s="687" t="s">
        <v>1180</v>
      </c>
      <c r="BD251" s="687" t="s">
        <v>2490</v>
      </c>
      <c r="BE251" s="686">
        <v>0.18</v>
      </c>
      <c r="BF251" s="686">
        <v>5.2500000000000003E-3</v>
      </c>
      <c r="BG251" s="688">
        <v>2.58</v>
      </c>
      <c r="BH251" s="11"/>
      <c r="BI251" s="186"/>
      <c r="BJ251" s="747"/>
      <c r="BK251" s="747"/>
      <c r="BL251" s="747"/>
      <c r="BM251" s="186"/>
      <c r="BN251" s="186"/>
      <c r="BO251" s="12"/>
      <c r="BP251" s="11"/>
      <c r="BQ251" s="186"/>
      <c r="BR251" s="747"/>
      <c r="BS251" s="747"/>
      <c r="BT251" s="747"/>
      <c r="BU251" s="186"/>
      <c r="BV251" s="186"/>
      <c r="BW251" s="12"/>
    </row>
    <row r="252" spans="1:75">
      <c r="A252" s="1" t="s">
        <v>875</v>
      </c>
      <c r="B252" s="1" t="s">
        <v>725</v>
      </c>
      <c r="C252" s="1" t="s">
        <v>861</v>
      </c>
      <c r="D252" s="1" t="s">
        <v>1803</v>
      </c>
      <c r="E252" s="1" t="s">
        <v>1935</v>
      </c>
      <c r="F252" s="1">
        <v>3.2500000000000001E-2</v>
      </c>
      <c r="G252" s="1">
        <v>0</v>
      </c>
      <c r="H252" s="1">
        <v>3</v>
      </c>
      <c r="I252" s="20" t="s">
        <v>684</v>
      </c>
      <c r="J252" s="1" t="s">
        <v>517</v>
      </c>
      <c r="AI252" s="757"/>
      <c r="AJ252" s="689" t="s">
        <v>2806</v>
      </c>
      <c r="AK252" s="686" t="s">
        <v>2496</v>
      </c>
      <c r="AL252" s="687" t="s">
        <v>2586</v>
      </c>
      <c r="AM252" s="687" t="s">
        <v>2482</v>
      </c>
      <c r="AN252" s="762" t="s">
        <v>1730</v>
      </c>
      <c r="AO252" s="686">
        <v>1.7500000000000002E-2</v>
      </c>
      <c r="AP252" s="686">
        <v>0</v>
      </c>
      <c r="AQ252" s="688">
        <v>2.3199999999999998</v>
      </c>
      <c r="AR252" s="685" t="s">
        <v>2808</v>
      </c>
      <c r="AS252" s="686" t="s">
        <v>2496</v>
      </c>
      <c r="AT252" s="687" t="s">
        <v>2586</v>
      </c>
      <c r="AU252" s="687" t="s">
        <v>2482</v>
      </c>
      <c r="AV252" s="762" t="s">
        <v>1730</v>
      </c>
      <c r="AW252" s="686">
        <v>1.7500000000000002E-2</v>
      </c>
      <c r="AX252" s="686">
        <v>0</v>
      </c>
      <c r="AY252" s="688">
        <v>3</v>
      </c>
      <c r="AZ252" s="685" t="s">
        <v>2017</v>
      </c>
      <c r="BA252" s="686" t="s">
        <v>2496</v>
      </c>
      <c r="BB252" s="687" t="s">
        <v>2598</v>
      </c>
      <c r="BC252" s="687" t="s">
        <v>1180</v>
      </c>
      <c r="BD252" s="687" t="s">
        <v>2490</v>
      </c>
      <c r="BE252" s="686">
        <v>0.18</v>
      </c>
      <c r="BF252" s="686">
        <v>5.2500000000000003E-3</v>
      </c>
      <c r="BG252" s="688">
        <v>2.58</v>
      </c>
      <c r="BH252" s="11"/>
      <c r="BI252" s="186"/>
      <c r="BJ252" s="747"/>
      <c r="BK252" s="747"/>
      <c r="BL252" s="747"/>
      <c r="BM252" s="186"/>
      <c r="BN252" s="186"/>
      <c r="BO252" s="12"/>
      <c r="BP252" s="11"/>
      <c r="BQ252" s="186"/>
      <c r="BR252" s="747"/>
      <c r="BS252" s="747"/>
      <c r="BT252" s="747"/>
      <c r="BU252" s="186"/>
      <c r="BV252" s="186"/>
      <c r="BW252" s="12"/>
    </row>
    <row r="253" spans="1:75">
      <c r="A253" s="1" t="s">
        <v>876</v>
      </c>
      <c r="B253" s="1" t="s">
        <v>725</v>
      </c>
      <c r="C253" s="1" t="s">
        <v>861</v>
      </c>
      <c r="D253" s="1" t="s">
        <v>1803</v>
      </c>
      <c r="E253" s="1" t="s">
        <v>1939</v>
      </c>
      <c r="F253" s="1">
        <v>3.2500000000000001E-2</v>
      </c>
      <c r="G253" s="1">
        <v>0</v>
      </c>
      <c r="H253" s="1">
        <v>3</v>
      </c>
      <c r="I253" s="20" t="s">
        <v>691</v>
      </c>
      <c r="J253" s="1" t="s">
        <v>703</v>
      </c>
      <c r="AI253" s="757"/>
      <c r="AJ253" s="689" t="s">
        <v>2806</v>
      </c>
      <c r="AK253" s="686" t="s">
        <v>2496</v>
      </c>
      <c r="AL253" s="687" t="s">
        <v>2587</v>
      </c>
      <c r="AM253" s="687" t="s">
        <v>2482</v>
      </c>
      <c r="AN253" s="762" t="s">
        <v>1730</v>
      </c>
      <c r="AO253" s="686">
        <v>1.7500000000000002E-2</v>
      </c>
      <c r="AP253" s="686">
        <v>0</v>
      </c>
      <c r="AQ253" s="688">
        <v>2.3199999999999998</v>
      </c>
      <c r="AR253" s="685" t="s">
        <v>2715</v>
      </c>
      <c r="AS253" s="686" t="s">
        <v>2496</v>
      </c>
      <c r="AT253" s="687" t="s">
        <v>2587</v>
      </c>
      <c r="AU253" s="687" t="s">
        <v>2482</v>
      </c>
      <c r="AV253" s="762" t="s">
        <v>1730</v>
      </c>
      <c r="AW253" s="686">
        <v>1.7500000000000002E-2</v>
      </c>
      <c r="AX253" s="686">
        <v>0</v>
      </c>
      <c r="AY253" s="688">
        <v>3</v>
      </c>
      <c r="AZ253" s="685" t="s">
        <v>2017</v>
      </c>
      <c r="BA253" s="686" t="s">
        <v>2496</v>
      </c>
      <c r="BB253" s="687" t="s">
        <v>2599</v>
      </c>
      <c r="BC253" s="687" t="s">
        <v>1180</v>
      </c>
      <c r="BD253" s="687" t="s">
        <v>2490</v>
      </c>
      <c r="BE253" s="686">
        <v>0.18</v>
      </c>
      <c r="BF253" s="686">
        <v>5.2500000000000003E-3</v>
      </c>
      <c r="BG253" s="688">
        <v>2.58</v>
      </c>
      <c r="BH253" s="11"/>
      <c r="BI253" s="186"/>
      <c r="BJ253" s="747"/>
      <c r="BK253" s="747"/>
      <c r="BL253" s="747"/>
      <c r="BM253" s="186"/>
      <c r="BN253" s="186"/>
      <c r="BO253" s="12"/>
      <c r="BP253" s="11"/>
      <c r="BQ253" s="186"/>
      <c r="BR253" s="747"/>
      <c r="BS253" s="747"/>
      <c r="BT253" s="747"/>
      <c r="BU253" s="186"/>
      <c r="BV253" s="186"/>
      <c r="BW253" s="12"/>
    </row>
    <row r="254" spans="1:75">
      <c r="A254" s="1" t="s">
        <v>877</v>
      </c>
      <c r="B254" s="1" t="s">
        <v>725</v>
      </c>
      <c r="C254" s="1" t="s">
        <v>861</v>
      </c>
      <c r="D254" s="1" t="s">
        <v>1710</v>
      </c>
      <c r="E254" s="1" t="s">
        <v>1944</v>
      </c>
      <c r="F254" s="1">
        <v>7.0000000000000007E-2</v>
      </c>
      <c r="G254" s="1">
        <v>0</v>
      </c>
      <c r="H254" s="1">
        <v>3</v>
      </c>
      <c r="I254" s="20" t="s">
        <v>684</v>
      </c>
      <c r="AI254" s="757"/>
      <c r="AJ254" s="689" t="s">
        <v>2714</v>
      </c>
      <c r="AK254" s="686" t="s">
        <v>2496</v>
      </c>
      <c r="AL254" s="687" t="s">
        <v>2588</v>
      </c>
      <c r="AM254" s="687" t="s">
        <v>2482</v>
      </c>
      <c r="AN254" s="762" t="s">
        <v>1730</v>
      </c>
      <c r="AO254" s="686">
        <v>1.7500000000000002E-2</v>
      </c>
      <c r="AP254" s="686">
        <v>0</v>
      </c>
      <c r="AQ254" s="688">
        <v>2.3199999999999998</v>
      </c>
      <c r="AR254" s="685" t="s">
        <v>2805</v>
      </c>
      <c r="AS254" s="686" t="s">
        <v>2496</v>
      </c>
      <c r="AT254" s="687" t="s">
        <v>2588</v>
      </c>
      <c r="AU254" s="687" t="s">
        <v>2482</v>
      </c>
      <c r="AV254" s="762" t="s">
        <v>1730</v>
      </c>
      <c r="AW254" s="686">
        <v>1.7500000000000002E-2</v>
      </c>
      <c r="AX254" s="686">
        <v>0</v>
      </c>
      <c r="AY254" s="688">
        <v>3</v>
      </c>
      <c r="AZ254" s="685" t="s">
        <v>2017</v>
      </c>
      <c r="BA254" s="686" t="s">
        <v>2496</v>
      </c>
      <c r="BB254" s="687" t="s">
        <v>2600</v>
      </c>
      <c r="BC254" s="687" t="s">
        <v>277</v>
      </c>
      <c r="BD254" s="687" t="s">
        <v>2490</v>
      </c>
      <c r="BE254" s="686">
        <v>0.12</v>
      </c>
      <c r="BF254" s="686">
        <v>0.35</v>
      </c>
      <c r="BG254" s="688">
        <v>2.58</v>
      </c>
      <c r="BH254" s="11"/>
      <c r="BI254" s="186"/>
      <c r="BJ254" s="747"/>
      <c r="BK254" s="747"/>
      <c r="BL254" s="747"/>
      <c r="BM254" s="186"/>
      <c r="BN254" s="186"/>
      <c r="BO254" s="12"/>
      <c r="BP254" s="11"/>
      <c r="BQ254" s="186"/>
      <c r="BR254" s="747"/>
      <c r="BS254" s="747"/>
      <c r="BT254" s="747"/>
      <c r="BU254" s="186"/>
      <c r="BV254" s="186"/>
      <c r="BW254" s="12"/>
    </row>
    <row r="255" spans="1:75">
      <c r="A255" s="1" t="s">
        <v>878</v>
      </c>
      <c r="B255" s="1" t="s">
        <v>725</v>
      </c>
      <c r="C255" s="1" t="s">
        <v>861</v>
      </c>
      <c r="D255" s="1" t="s">
        <v>1710</v>
      </c>
      <c r="E255" s="1" t="s">
        <v>1945</v>
      </c>
      <c r="F255" s="1">
        <v>3.5000000000000003E-2</v>
      </c>
      <c r="G255" s="1">
        <v>0</v>
      </c>
      <c r="H255" s="1">
        <v>3</v>
      </c>
      <c r="I255" s="20" t="s">
        <v>691</v>
      </c>
      <c r="J255" s="1" t="s">
        <v>692</v>
      </c>
      <c r="AI255" s="757"/>
      <c r="AJ255" s="195"/>
      <c r="AK255" s="186"/>
      <c r="AL255" s="747"/>
      <c r="AM255" s="747"/>
      <c r="AN255" s="747"/>
      <c r="AO255" s="186"/>
      <c r="AP255" s="186"/>
      <c r="AQ255" s="12"/>
      <c r="AR255" s="11"/>
      <c r="AS255" s="186"/>
      <c r="AT255" s="747"/>
      <c r="AU255" s="747"/>
      <c r="AV255" s="747"/>
      <c r="AW255" s="186"/>
      <c r="AX255" s="186"/>
      <c r="AY255" s="12"/>
      <c r="AZ255" s="685" t="s">
        <v>2017</v>
      </c>
      <c r="BA255" s="686" t="s">
        <v>2496</v>
      </c>
      <c r="BB255" s="687" t="s">
        <v>2601</v>
      </c>
      <c r="BC255" s="687" t="s">
        <v>277</v>
      </c>
      <c r="BD255" s="687" t="s">
        <v>2490</v>
      </c>
      <c r="BE255" s="686">
        <v>0.12</v>
      </c>
      <c r="BF255" s="686">
        <v>0.35</v>
      </c>
      <c r="BG255" s="688">
        <v>2.58</v>
      </c>
      <c r="BH255" s="11"/>
      <c r="BI255" s="186"/>
      <c r="BJ255" s="747"/>
      <c r="BK255" s="747"/>
      <c r="BL255" s="747"/>
      <c r="BM255" s="186"/>
      <c r="BN255" s="186"/>
      <c r="BO255" s="12"/>
      <c r="BP255" s="11"/>
      <c r="BQ255" s="186"/>
      <c r="BR255" s="747"/>
      <c r="BS255" s="747"/>
      <c r="BT255" s="747"/>
      <c r="BU255" s="186"/>
      <c r="BV255" s="186"/>
      <c r="BW255" s="12"/>
    </row>
    <row r="256" spans="1:75">
      <c r="A256" s="1" t="s">
        <v>879</v>
      </c>
      <c r="B256" s="1" t="s">
        <v>725</v>
      </c>
      <c r="C256" s="1" t="s">
        <v>861</v>
      </c>
      <c r="D256" s="1" t="s">
        <v>1710</v>
      </c>
      <c r="E256" s="1" t="s">
        <v>1946</v>
      </c>
      <c r="F256" s="1">
        <v>6.3000000000000014E-2</v>
      </c>
      <c r="G256" s="1">
        <v>0</v>
      </c>
      <c r="H256" s="1">
        <v>3</v>
      </c>
      <c r="I256" s="20" t="s">
        <v>691</v>
      </c>
      <c r="J256" s="1" t="s">
        <v>697</v>
      </c>
      <c r="AI256" s="757"/>
      <c r="AJ256" s="195"/>
      <c r="AK256" s="186"/>
      <c r="AL256" s="747"/>
      <c r="AM256" s="747"/>
      <c r="AN256" s="747"/>
      <c r="AO256" s="186"/>
      <c r="AP256" s="186"/>
      <c r="AQ256" s="12"/>
      <c r="AR256" s="11"/>
      <c r="AS256" s="186"/>
      <c r="AT256" s="747"/>
      <c r="AU256" s="747"/>
      <c r="AV256" s="747"/>
      <c r="AW256" s="186"/>
      <c r="AX256" s="186"/>
      <c r="AY256" s="12"/>
      <c r="AZ256" s="685" t="s">
        <v>2017</v>
      </c>
      <c r="BA256" s="686" t="s">
        <v>2496</v>
      </c>
      <c r="BB256" s="687" t="s">
        <v>2602</v>
      </c>
      <c r="BC256" s="687" t="s">
        <v>277</v>
      </c>
      <c r="BD256" s="687" t="s">
        <v>2490</v>
      </c>
      <c r="BE256" s="686">
        <v>0.12</v>
      </c>
      <c r="BF256" s="686">
        <v>0.35</v>
      </c>
      <c r="BG256" s="688">
        <v>2.58</v>
      </c>
      <c r="BH256" s="11"/>
      <c r="BI256" s="186"/>
      <c r="BJ256" s="747"/>
      <c r="BK256" s="747"/>
      <c r="BL256" s="747"/>
      <c r="BM256" s="186"/>
      <c r="BN256" s="186"/>
      <c r="BO256" s="12"/>
      <c r="BP256" s="11"/>
      <c r="BQ256" s="186"/>
      <c r="BR256" s="747"/>
      <c r="BS256" s="747"/>
      <c r="BT256" s="747"/>
      <c r="BU256" s="186"/>
      <c r="BV256" s="186"/>
      <c r="BW256" s="12"/>
    </row>
    <row r="257" spans="1:75">
      <c r="A257" s="1" t="s">
        <v>880</v>
      </c>
      <c r="B257" s="1" t="s">
        <v>725</v>
      </c>
      <c r="C257" s="1" t="s">
        <v>861</v>
      </c>
      <c r="D257" s="1" t="s">
        <v>1710</v>
      </c>
      <c r="E257" s="1" t="s">
        <v>1947</v>
      </c>
      <c r="F257" s="1">
        <v>6.3000000000000014E-2</v>
      </c>
      <c r="G257" s="1">
        <v>0</v>
      </c>
      <c r="H257" s="1">
        <v>3</v>
      </c>
      <c r="I257" s="20" t="s">
        <v>684</v>
      </c>
      <c r="J257" s="1" t="s">
        <v>515</v>
      </c>
      <c r="AI257" s="757"/>
      <c r="AJ257" s="195"/>
      <c r="AK257" s="186"/>
      <c r="AL257" s="747"/>
      <c r="AM257" s="747"/>
      <c r="AN257" s="747"/>
      <c r="AO257" s="186"/>
      <c r="AP257" s="186"/>
      <c r="AQ257" s="12"/>
      <c r="AR257" s="11"/>
      <c r="AS257" s="186"/>
      <c r="AT257" s="747"/>
      <c r="AU257" s="747"/>
      <c r="AV257" s="747"/>
      <c r="AW257" s="186"/>
      <c r="AX257" s="186"/>
      <c r="AY257" s="12"/>
      <c r="AZ257" s="685" t="s">
        <v>2017</v>
      </c>
      <c r="BA257" s="686" t="s">
        <v>2496</v>
      </c>
      <c r="BB257" s="687" t="s">
        <v>2603</v>
      </c>
      <c r="BC257" s="687" t="s">
        <v>2482</v>
      </c>
      <c r="BD257" s="687" t="s">
        <v>2490</v>
      </c>
      <c r="BE257" s="686">
        <v>0.06</v>
      </c>
      <c r="BF257" s="686">
        <v>1.75E-3</v>
      </c>
      <c r="BG257" s="688">
        <v>2.58</v>
      </c>
      <c r="BH257" s="11"/>
      <c r="BI257" s="186"/>
      <c r="BJ257" s="747"/>
      <c r="BK257" s="747"/>
      <c r="BL257" s="747"/>
      <c r="BM257" s="186"/>
      <c r="BN257" s="186"/>
      <c r="BO257" s="12"/>
      <c r="BP257" s="11"/>
      <c r="BQ257" s="186"/>
      <c r="BR257" s="747"/>
      <c r="BS257" s="747"/>
      <c r="BT257" s="747"/>
      <c r="BU257" s="186"/>
      <c r="BV257" s="186"/>
      <c r="BW257" s="12"/>
    </row>
    <row r="258" spans="1:75">
      <c r="A258" s="1" t="s">
        <v>881</v>
      </c>
      <c r="B258" s="1" t="s">
        <v>725</v>
      </c>
      <c r="C258" s="1" t="s">
        <v>861</v>
      </c>
      <c r="D258" s="1" t="s">
        <v>1710</v>
      </c>
      <c r="E258" s="1" t="s">
        <v>1948</v>
      </c>
      <c r="F258" s="1">
        <v>3.5000000000000003E-2</v>
      </c>
      <c r="G258" s="1">
        <v>0</v>
      </c>
      <c r="H258" s="1">
        <v>3</v>
      </c>
      <c r="I258" s="20" t="s">
        <v>691</v>
      </c>
      <c r="J258" s="1" t="s">
        <v>700</v>
      </c>
      <c r="AI258" s="757"/>
      <c r="AJ258" s="195"/>
      <c r="AK258" s="186"/>
      <c r="AL258" s="747"/>
      <c r="AM258" s="747"/>
      <c r="AN258" s="747"/>
      <c r="AO258" s="186"/>
      <c r="AP258" s="186"/>
      <c r="AQ258" s="12"/>
      <c r="AR258" s="11"/>
      <c r="AS258" s="186"/>
      <c r="AT258" s="747"/>
      <c r="AU258" s="747"/>
      <c r="AV258" s="747"/>
      <c r="AW258" s="186"/>
      <c r="AX258" s="186"/>
      <c r="AY258" s="12"/>
      <c r="AZ258" s="685" t="s">
        <v>2017</v>
      </c>
      <c r="BA258" s="686" t="s">
        <v>2496</v>
      </c>
      <c r="BB258" s="687" t="s">
        <v>2604</v>
      </c>
      <c r="BC258" s="687" t="s">
        <v>2482</v>
      </c>
      <c r="BD258" s="687" t="s">
        <v>2490</v>
      </c>
      <c r="BE258" s="686">
        <v>0.06</v>
      </c>
      <c r="BF258" s="686">
        <v>1.75E-3</v>
      </c>
      <c r="BG258" s="688">
        <v>2.58</v>
      </c>
      <c r="BH258" s="11"/>
      <c r="BI258" s="186"/>
      <c r="BJ258" s="747"/>
      <c r="BK258" s="747"/>
      <c r="BL258" s="747"/>
      <c r="BM258" s="186"/>
      <c r="BN258" s="186"/>
      <c r="BO258" s="12"/>
      <c r="BP258" s="11"/>
      <c r="BQ258" s="186"/>
      <c r="BR258" s="747"/>
      <c r="BS258" s="747"/>
      <c r="BT258" s="747"/>
      <c r="BU258" s="186"/>
      <c r="BV258" s="186"/>
      <c r="BW258" s="12"/>
    </row>
    <row r="259" spans="1:75">
      <c r="A259" s="1" t="s">
        <v>882</v>
      </c>
      <c r="B259" s="1" t="s">
        <v>725</v>
      </c>
      <c r="C259" s="1" t="s">
        <v>861</v>
      </c>
      <c r="D259" s="1" t="s">
        <v>1710</v>
      </c>
      <c r="E259" s="1" t="s">
        <v>1949</v>
      </c>
      <c r="F259" s="1">
        <v>3.5000000000000003E-2</v>
      </c>
      <c r="G259" s="1">
        <v>0</v>
      </c>
      <c r="H259" s="1">
        <v>3</v>
      </c>
      <c r="I259" s="20" t="s">
        <v>710</v>
      </c>
      <c r="J259" s="1" t="s">
        <v>516</v>
      </c>
      <c r="AI259" s="757"/>
      <c r="AJ259" s="195"/>
      <c r="AK259" s="186"/>
      <c r="AL259" s="747"/>
      <c r="AM259" s="747"/>
      <c r="AN259" s="747"/>
      <c r="AO259" s="186"/>
      <c r="AP259" s="186"/>
      <c r="AQ259" s="12"/>
      <c r="AR259" s="11"/>
      <c r="AS259" s="186"/>
      <c r="AT259" s="747"/>
      <c r="AU259" s="747"/>
      <c r="AV259" s="747"/>
      <c r="AW259" s="186"/>
      <c r="AX259" s="186"/>
      <c r="AY259" s="12"/>
      <c r="AZ259" s="685" t="s">
        <v>2017</v>
      </c>
      <c r="BA259" s="686" t="s">
        <v>2496</v>
      </c>
      <c r="BB259" s="687" t="s">
        <v>2605</v>
      </c>
      <c r="BC259" s="687" t="s">
        <v>2482</v>
      </c>
      <c r="BD259" s="687" t="s">
        <v>2490</v>
      </c>
      <c r="BE259" s="686">
        <v>0.06</v>
      </c>
      <c r="BF259" s="686">
        <v>1.75E-3</v>
      </c>
      <c r="BG259" s="688">
        <v>2.58</v>
      </c>
      <c r="BH259" s="11"/>
      <c r="BI259" s="186"/>
      <c r="BJ259" s="747"/>
      <c r="BK259" s="747"/>
      <c r="BL259" s="747"/>
      <c r="BM259" s="186"/>
      <c r="BN259" s="186"/>
      <c r="BO259" s="12"/>
      <c r="BP259" s="11"/>
      <c r="BQ259" s="186"/>
      <c r="BR259" s="747"/>
      <c r="BS259" s="747"/>
      <c r="BT259" s="747"/>
      <c r="BU259" s="186"/>
      <c r="BV259" s="186"/>
      <c r="BW259" s="12"/>
    </row>
    <row r="260" spans="1:75">
      <c r="A260" s="1" t="s">
        <v>883</v>
      </c>
      <c r="B260" s="1" t="s">
        <v>725</v>
      </c>
      <c r="C260" s="1" t="s">
        <v>861</v>
      </c>
      <c r="D260" s="1" t="s">
        <v>1710</v>
      </c>
      <c r="E260" s="1" t="s">
        <v>1950</v>
      </c>
      <c r="F260" s="1">
        <v>1.7500000000000002E-2</v>
      </c>
      <c r="G260" s="1">
        <v>0</v>
      </c>
      <c r="H260" s="1">
        <v>3</v>
      </c>
      <c r="I260" s="20" t="s">
        <v>691</v>
      </c>
      <c r="J260" s="1" t="s">
        <v>703</v>
      </c>
      <c r="AI260" s="757"/>
      <c r="AJ260" s="195"/>
      <c r="AK260" s="186"/>
      <c r="AL260" s="747"/>
      <c r="AM260" s="747"/>
      <c r="AN260" s="747"/>
      <c r="AO260" s="186"/>
      <c r="AP260" s="186"/>
      <c r="AQ260" s="12"/>
      <c r="AR260" s="11"/>
      <c r="AS260" s="186"/>
      <c r="AT260" s="747"/>
      <c r="AU260" s="747"/>
      <c r="AV260" s="747"/>
      <c r="AW260" s="186"/>
      <c r="AX260" s="186"/>
      <c r="AY260" s="12"/>
      <c r="AZ260" s="11"/>
      <c r="BA260" s="186"/>
      <c r="BB260" s="747"/>
      <c r="BC260" s="747"/>
      <c r="BD260" s="747"/>
      <c r="BE260" s="186"/>
      <c r="BF260" s="186"/>
      <c r="BG260" s="12"/>
      <c r="BH260" s="11"/>
      <c r="BI260" s="186"/>
      <c r="BJ260" s="747"/>
      <c r="BK260" s="747"/>
      <c r="BL260" s="747"/>
      <c r="BM260" s="186"/>
      <c r="BN260" s="186"/>
      <c r="BO260" s="12"/>
      <c r="BP260" s="11"/>
      <c r="BQ260" s="186"/>
      <c r="BR260" s="747"/>
      <c r="BS260" s="747"/>
      <c r="BT260" s="747"/>
      <c r="BU260" s="186"/>
      <c r="BV260" s="186"/>
      <c r="BW260" s="12"/>
    </row>
    <row r="261" spans="1:75">
      <c r="A261" s="1" t="s">
        <v>884</v>
      </c>
      <c r="B261" s="1" t="s">
        <v>725</v>
      </c>
      <c r="C261" s="1" t="s">
        <v>861</v>
      </c>
      <c r="D261" s="1" t="s">
        <v>1710</v>
      </c>
      <c r="E261" s="1" t="s">
        <v>1951</v>
      </c>
      <c r="F261" s="1">
        <v>1.7500000000000002E-2</v>
      </c>
      <c r="G261" s="1">
        <v>0</v>
      </c>
      <c r="H261" s="1">
        <v>3</v>
      </c>
      <c r="I261" s="20" t="s">
        <v>713</v>
      </c>
      <c r="J261" s="1" t="s">
        <v>517</v>
      </c>
      <c r="AI261" s="757"/>
      <c r="AJ261" s="195"/>
      <c r="AK261" s="186"/>
      <c r="AL261" s="747"/>
      <c r="AM261" s="747"/>
      <c r="AN261" s="747"/>
      <c r="AO261" s="186"/>
      <c r="AP261" s="186"/>
      <c r="AQ261" s="12"/>
      <c r="AR261" s="11"/>
      <c r="AS261" s="186"/>
      <c r="AT261" s="747"/>
      <c r="AU261" s="747"/>
      <c r="AV261" s="747"/>
      <c r="AW261" s="186"/>
      <c r="AX261" s="186"/>
      <c r="AY261" s="12"/>
      <c r="AZ261" s="11"/>
      <c r="BA261" s="186"/>
      <c r="BB261" s="747"/>
      <c r="BC261" s="747"/>
      <c r="BD261" s="747"/>
      <c r="BE261" s="186"/>
      <c r="BF261" s="186"/>
      <c r="BG261" s="12"/>
      <c r="BH261" s="11"/>
      <c r="BI261" s="186"/>
      <c r="BJ261" s="747"/>
      <c r="BK261" s="747"/>
      <c r="BL261" s="747"/>
      <c r="BM261" s="186"/>
      <c r="BN261" s="186"/>
      <c r="BO261" s="12"/>
      <c r="BP261" s="11"/>
      <c r="BQ261" s="186"/>
      <c r="BR261" s="747"/>
      <c r="BS261" s="747"/>
      <c r="BT261" s="747"/>
      <c r="BU261" s="186"/>
      <c r="BV261" s="186"/>
      <c r="BW261" s="12"/>
    </row>
    <row r="262" spans="1:75">
      <c r="A262" s="1" t="s">
        <v>885</v>
      </c>
      <c r="B262" s="1" t="s">
        <v>761</v>
      </c>
      <c r="C262" s="1" t="s">
        <v>861</v>
      </c>
      <c r="D262" s="1" t="s">
        <v>1710</v>
      </c>
      <c r="E262" s="1" t="s">
        <v>530</v>
      </c>
      <c r="F262" s="1">
        <v>6.3000000000000014E-2</v>
      </c>
      <c r="G262" s="1">
        <v>0</v>
      </c>
      <c r="H262" s="1">
        <v>3</v>
      </c>
      <c r="I262" s="20" t="s">
        <v>691</v>
      </c>
      <c r="J262" s="1" t="s">
        <v>697</v>
      </c>
      <c r="AI262" s="757"/>
      <c r="AJ262" s="195"/>
      <c r="AK262" s="186"/>
      <c r="AL262" s="747"/>
      <c r="AM262" s="747"/>
      <c r="AN262" s="747"/>
      <c r="AO262" s="186"/>
      <c r="AP262" s="186"/>
      <c r="AQ262" s="12"/>
      <c r="AR262" s="11"/>
      <c r="AS262" s="186"/>
      <c r="AT262" s="747"/>
      <c r="AU262" s="747"/>
      <c r="AV262" s="747"/>
      <c r="AW262" s="186"/>
      <c r="AX262" s="186"/>
      <c r="AY262" s="12"/>
      <c r="AZ262" s="11"/>
      <c r="BA262" s="186"/>
      <c r="BB262" s="747"/>
      <c r="BC262" s="747"/>
      <c r="BD262" s="747"/>
      <c r="BE262" s="186"/>
      <c r="BF262" s="186"/>
      <c r="BG262" s="12"/>
      <c r="BH262" s="11"/>
      <c r="BI262" s="186"/>
      <c r="BJ262" s="747"/>
      <c r="BK262" s="747"/>
      <c r="BL262" s="747"/>
      <c r="BM262" s="186"/>
      <c r="BN262" s="186"/>
      <c r="BO262" s="12"/>
      <c r="BP262" s="11"/>
      <c r="BQ262" s="186"/>
      <c r="BR262" s="747"/>
      <c r="BS262" s="747"/>
      <c r="BT262" s="747"/>
      <c r="BU262" s="186"/>
      <c r="BV262" s="186"/>
      <c r="BW262" s="12"/>
    </row>
    <row r="263" spans="1:75">
      <c r="I263" s="20"/>
      <c r="AI263" s="757"/>
      <c r="AJ263" s="195"/>
      <c r="AK263" s="186"/>
      <c r="AL263" s="747"/>
      <c r="AM263" s="747"/>
      <c r="AN263" s="747"/>
      <c r="AO263" s="186"/>
      <c r="AP263" s="186"/>
      <c r="AQ263" s="12"/>
      <c r="AR263" s="11"/>
      <c r="AS263" s="186"/>
      <c r="AT263" s="747"/>
      <c r="AU263" s="747"/>
      <c r="AV263" s="747"/>
      <c r="AW263" s="186"/>
      <c r="AX263" s="186"/>
      <c r="AY263" s="12"/>
      <c r="AZ263" s="11"/>
      <c r="BA263" s="186"/>
      <c r="BB263" s="747"/>
      <c r="BC263" s="747"/>
      <c r="BD263" s="747"/>
      <c r="BE263" s="186"/>
      <c r="BF263" s="186"/>
      <c r="BG263" s="12"/>
      <c r="BH263" s="11"/>
      <c r="BI263" s="186"/>
      <c r="BJ263" s="747"/>
      <c r="BK263" s="747"/>
      <c r="BL263" s="747"/>
      <c r="BM263" s="186"/>
      <c r="BN263" s="186"/>
      <c r="BO263" s="12"/>
      <c r="BP263" s="11"/>
      <c r="BQ263" s="186"/>
      <c r="BR263" s="747"/>
      <c r="BS263" s="747"/>
      <c r="BT263" s="747"/>
      <c r="BU263" s="186"/>
      <c r="BV263" s="186"/>
      <c r="BW263" s="12"/>
    </row>
    <row r="264" spans="1:75">
      <c r="I264" s="20"/>
      <c r="AI264" s="757"/>
      <c r="AJ264" s="195"/>
      <c r="AK264" s="186"/>
      <c r="AL264" s="747"/>
      <c r="AM264" s="747"/>
      <c r="AN264" s="747"/>
      <c r="AO264" s="186"/>
      <c r="AP264" s="186"/>
      <c r="AQ264" s="12"/>
      <c r="AR264" s="11"/>
      <c r="AS264" s="186"/>
      <c r="AT264" s="747"/>
      <c r="AU264" s="747"/>
      <c r="AV264" s="747"/>
      <c r="AW264" s="186"/>
      <c r="AX264" s="186"/>
      <c r="AY264" s="12"/>
      <c r="AZ264" s="11"/>
      <c r="BA264" s="186"/>
      <c r="BB264" s="747"/>
      <c r="BC264" s="747"/>
      <c r="BD264" s="747"/>
      <c r="BE264" s="186"/>
      <c r="BF264" s="186"/>
      <c r="BG264" s="12"/>
      <c r="BH264" s="11"/>
      <c r="BI264" s="186"/>
      <c r="BJ264" s="747"/>
      <c r="BK264" s="747"/>
      <c r="BL264" s="747"/>
      <c r="BM264" s="186"/>
      <c r="BN264" s="186"/>
      <c r="BO264" s="12"/>
      <c r="BP264" s="11"/>
      <c r="BQ264" s="186"/>
      <c r="BR264" s="747"/>
      <c r="BS264" s="747"/>
      <c r="BT264" s="747"/>
      <c r="BU264" s="186"/>
      <c r="BV264" s="186"/>
      <c r="BW264" s="12"/>
    </row>
    <row r="265" spans="1:75">
      <c r="I265" s="20"/>
      <c r="AI265" s="757"/>
      <c r="AJ265" s="195"/>
      <c r="AK265" s="186"/>
      <c r="AL265" s="747"/>
      <c r="AM265" s="747"/>
      <c r="AN265" s="747"/>
      <c r="AO265" s="186"/>
      <c r="AP265" s="186"/>
      <c r="AQ265" s="12"/>
      <c r="AR265" s="11"/>
      <c r="AS265" s="186"/>
      <c r="AT265" s="747"/>
      <c r="AU265" s="747"/>
      <c r="AV265" s="747"/>
      <c r="AW265" s="186"/>
      <c r="AX265" s="186"/>
      <c r="AY265" s="12"/>
      <c r="AZ265" s="11"/>
      <c r="BA265" s="186"/>
      <c r="BB265" s="747"/>
      <c r="BC265" s="747"/>
      <c r="BD265" s="747"/>
      <c r="BE265" s="186"/>
      <c r="BF265" s="186"/>
      <c r="BG265" s="12"/>
      <c r="BH265" s="11"/>
      <c r="BI265" s="186"/>
      <c r="BJ265" s="747"/>
      <c r="BK265" s="747"/>
      <c r="BL265" s="747"/>
      <c r="BM265" s="186"/>
      <c r="BN265" s="186"/>
      <c r="BO265" s="12"/>
      <c r="BP265" s="11"/>
      <c r="BQ265" s="186"/>
      <c r="BR265" s="747"/>
      <c r="BS265" s="747"/>
      <c r="BT265" s="747"/>
      <c r="BU265" s="186"/>
      <c r="BV265" s="186"/>
      <c r="BW265" s="12"/>
    </row>
    <row r="266" spans="1:75">
      <c r="I266" s="20"/>
      <c r="AI266" s="757"/>
      <c r="AJ266" s="195"/>
      <c r="AK266" s="186"/>
      <c r="AL266" s="747"/>
      <c r="AM266" s="747"/>
      <c r="AN266" s="747"/>
      <c r="AO266" s="186"/>
      <c r="AP266" s="186"/>
      <c r="AQ266" s="12"/>
      <c r="AR266" s="11"/>
      <c r="AS266" s="186"/>
      <c r="AT266" s="747"/>
      <c r="AU266" s="747"/>
      <c r="AV266" s="747"/>
      <c r="AW266" s="186"/>
      <c r="AX266" s="186"/>
      <c r="AY266" s="12"/>
      <c r="AZ266" s="11"/>
      <c r="BA266" s="186"/>
      <c r="BB266" s="747"/>
      <c r="BC266" s="747"/>
      <c r="BD266" s="747"/>
      <c r="BE266" s="186"/>
      <c r="BF266" s="186"/>
      <c r="BG266" s="12"/>
      <c r="BH266" s="11"/>
      <c r="BI266" s="186"/>
      <c r="BJ266" s="747"/>
      <c r="BK266" s="747"/>
      <c r="BL266" s="747"/>
      <c r="BM266" s="186"/>
      <c r="BN266" s="186"/>
      <c r="BO266" s="12"/>
      <c r="BP266" s="11"/>
      <c r="BQ266" s="186"/>
      <c r="BR266" s="747"/>
      <c r="BS266" s="747"/>
      <c r="BT266" s="747"/>
      <c r="BU266" s="186"/>
      <c r="BV266" s="186"/>
      <c r="BW266" s="12"/>
    </row>
    <row r="267" spans="1:75">
      <c r="I267" s="20"/>
      <c r="AI267" s="757"/>
      <c r="AJ267" s="195"/>
      <c r="AK267" s="186"/>
      <c r="AL267" s="747"/>
      <c r="AM267" s="747"/>
      <c r="AN267" s="747"/>
      <c r="AO267" s="186"/>
      <c r="AP267" s="186"/>
      <c r="AQ267" s="12"/>
      <c r="AR267" s="11"/>
      <c r="AS267" s="186"/>
      <c r="AT267" s="747"/>
      <c r="AU267" s="747"/>
      <c r="AV267" s="747"/>
      <c r="AW267" s="186"/>
      <c r="AX267" s="186"/>
      <c r="AY267" s="12"/>
      <c r="AZ267" s="11"/>
      <c r="BA267" s="186"/>
      <c r="BB267" s="747"/>
      <c r="BC267" s="747"/>
      <c r="BD267" s="747"/>
      <c r="BE267" s="186"/>
      <c r="BF267" s="186"/>
      <c r="BG267" s="12"/>
      <c r="BH267" s="11"/>
      <c r="BI267" s="186"/>
      <c r="BJ267" s="747"/>
      <c r="BK267" s="747"/>
      <c r="BL267" s="747"/>
      <c r="BM267" s="186"/>
      <c r="BN267" s="186"/>
      <c r="BO267" s="12"/>
      <c r="BP267" s="11"/>
      <c r="BQ267" s="186"/>
      <c r="BR267" s="747"/>
      <c r="BS267" s="747"/>
      <c r="BT267" s="747"/>
      <c r="BU267" s="186"/>
      <c r="BV267" s="186"/>
      <c r="BW267" s="12"/>
    </row>
    <row r="268" spans="1:75">
      <c r="I268" s="20"/>
      <c r="AI268" s="757"/>
      <c r="AJ268" s="195"/>
      <c r="AK268" s="186"/>
      <c r="AL268" s="747"/>
      <c r="AM268" s="747"/>
      <c r="AN268" s="747"/>
      <c r="AO268" s="186"/>
      <c r="AP268" s="186"/>
      <c r="AQ268" s="12"/>
      <c r="AR268" s="11"/>
      <c r="AS268" s="186"/>
      <c r="AT268" s="747"/>
      <c r="AU268" s="747"/>
      <c r="AV268" s="747"/>
      <c r="AW268" s="186"/>
      <c r="AX268" s="186"/>
      <c r="AY268" s="12"/>
      <c r="AZ268" s="11"/>
      <c r="BA268" s="186"/>
      <c r="BB268" s="747"/>
      <c r="BC268" s="747"/>
      <c r="BD268" s="747"/>
      <c r="BE268" s="186"/>
      <c r="BF268" s="186"/>
      <c r="BG268" s="12"/>
      <c r="BH268" s="11"/>
      <c r="BI268" s="186"/>
      <c r="BJ268" s="747"/>
      <c r="BK268" s="747"/>
      <c r="BL268" s="747"/>
      <c r="BM268" s="186"/>
      <c r="BN268" s="186"/>
      <c r="BO268" s="12"/>
      <c r="BP268" s="11"/>
      <c r="BQ268" s="186"/>
      <c r="BR268" s="747"/>
      <c r="BS268" s="747"/>
      <c r="BT268" s="747"/>
      <c r="BU268" s="186"/>
      <c r="BV268" s="186"/>
      <c r="BW268" s="12"/>
    </row>
    <row r="269" spans="1:75">
      <c r="I269" s="20"/>
      <c r="AI269" s="757"/>
      <c r="AJ269" s="195"/>
      <c r="AK269" s="186"/>
      <c r="AL269" s="747"/>
      <c r="AM269" s="747"/>
      <c r="AN269" s="747"/>
      <c r="AO269" s="186"/>
      <c r="AP269" s="186"/>
      <c r="AQ269" s="12"/>
      <c r="AR269" s="11"/>
      <c r="AS269" s="186"/>
      <c r="AT269" s="747"/>
      <c r="AU269" s="747"/>
      <c r="AV269" s="747"/>
      <c r="AW269" s="186"/>
      <c r="AX269" s="186"/>
      <c r="AY269" s="12"/>
      <c r="AZ269" s="11"/>
      <c r="BA269" s="186"/>
      <c r="BB269" s="747"/>
      <c r="BC269" s="747"/>
      <c r="BD269" s="747"/>
      <c r="BE269" s="186"/>
      <c r="BF269" s="186"/>
      <c r="BG269" s="12"/>
      <c r="BH269" s="11"/>
      <c r="BI269" s="186"/>
      <c r="BJ269" s="747"/>
      <c r="BK269" s="747"/>
      <c r="BL269" s="747"/>
      <c r="BM269" s="186"/>
      <c r="BN269" s="186"/>
      <c r="BO269" s="12"/>
      <c r="BP269" s="11"/>
      <c r="BQ269" s="186"/>
      <c r="BR269" s="747"/>
      <c r="BS269" s="747"/>
      <c r="BT269" s="747"/>
      <c r="BU269" s="186"/>
      <c r="BV269" s="186"/>
      <c r="BW269" s="12"/>
    </row>
    <row r="270" spans="1:75">
      <c r="I270" s="20"/>
      <c r="AI270" s="757"/>
      <c r="AJ270" s="195"/>
      <c r="AK270" s="186"/>
      <c r="AL270" s="747"/>
      <c r="AM270" s="747"/>
      <c r="AN270" s="747"/>
      <c r="AO270" s="186"/>
      <c r="AP270" s="186"/>
      <c r="AQ270" s="12"/>
      <c r="AR270" s="11"/>
      <c r="AS270" s="186"/>
      <c r="AT270" s="747"/>
      <c r="AU270" s="747"/>
      <c r="AV270" s="747"/>
      <c r="AW270" s="186"/>
      <c r="AX270" s="186"/>
      <c r="AY270" s="12"/>
      <c r="AZ270" s="11"/>
      <c r="BA270" s="186"/>
      <c r="BB270" s="747"/>
      <c r="BC270" s="747"/>
      <c r="BD270" s="747"/>
      <c r="BE270" s="186"/>
      <c r="BF270" s="186"/>
      <c r="BG270" s="12"/>
      <c r="BH270" s="11"/>
      <c r="BI270" s="186"/>
      <c r="BJ270" s="747"/>
      <c r="BK270" s="747"/>
      <c r="BL270" s="747"/>
      <c r="BM270" s="186"/>
      <c r="BN270" s="186"/>
      <c r="BO270" s="12"/>
      <c r="BP270" s="11"/>
      <c r="BQ270" s="186"/>
      <c r="BR270" s="747"/>
      <c r="BS270" s="747"/>
      <c r="BT270" s="747"/>
      <c r="BU270" s="186"/>
      <c r="BV270" s="186"/>
      <c r="BW270" s="12"/>
    </row>
    <row r="271" spans="1:75">
      <c r="I271" s="20"/>
      <c r="AI271" s="757"/>
      <c r="AJ271" s="195"/>
      <c r="AK271" s="186"/>
      <c r="AL271" s="747"/>
      <c r="AM271" s="747"/>
      <c r="AN271" s="747"/>
      <c r="AO271" s="186"/>
      <c r="AP271" s="186"/>
      <c r="AQ271" s="12"/>
      <c r="AR271" s="11"/>
      <c r="AS271" s="186"/>
      <c r="AT271" s="747"/>
      <c r="AU271" s="747"/>
      <c r="AV271" s="747"/>
      <c r="AW271" s="186"/>
      <c r="AX271" s="186"/>
      <c r="AY271" s="12"/>
      <c r="AZ271" s="11"/>
      <c r="BA271" s="186"/>
      <c r="BB271" s="747"/>
      <c r="BC271" s="747"/>
      <c r="BD271" s="747"/>
      <c r="BE271" s="186"/>
      <c r="BF271" s="186"/>
      <c r="BG271" s="12"/>
      <c r="BH271" s="11"/>
      <c r="BI271" s="186"/>
      <c r="BJ271" s="747"/>
      <c r="BK271" s="747"/>
      <c r="BL271" s="747"/>
      <c r="BM271" s="186"/>
      <c r="BN271" s="186"/>
      <c r="BO271" s="12"/>
      <c r="BP271" s="11"/>
      <c r="BQ271" s="186"/>
      <c r="BR271" s="747"/>
      <c r="BS271" s="747"/>
      <c r="BT271" s="747"/>
      <c r="BU271" s="186"/>
      <c r="BV271" s="186"/>
      <c r="BW271" s="12"/>
    </row>
    <row r="272" spans="1:75">
      <c r="I272" s="20"/>
      <c r="AI272" s="757"/>
      <c r="AJ272" s="195"/>
      <c r="AK272" s="186"/>
      <c r="AL272" s="747"/>
      <c r="AM272" s="747"/>
      <c r="AN272" s="747"/>
      <c r="AO272" s="186"/>
      <c r="AP272" s="186"/>
      <c r="AQ272" s="12"/>
      <c r="AR272" s="11"/>
      <c r="AS272" s="186"/>
      <c r="AT272" s="747"/>
      <c r="AU272" s="747"/>
      <c r="AV272" s="747"/>
      <c r="AW272" s="186"/>
      <c r="AX272" s="186"/>
      <c r="AY272" s="12"/>
      <c r="AZ272" s="11"/>
      <c r="BA272" s="186"/>
      <c r="BB272" s="747"/>
      <c r="BC272" s="747"/>
      <c r="BD272" s="747"/>
      <c r="BE272" s="186"/>
      <c r="BF272" s="186"/>
      <c r="BG272" s="12"/>
      <c r="BH272" s="11"/>
      <c r="BI272" s="186"/>
      <c r="BJ272" s="747"/>
      <c r="BK272" s="747"/>
      <c r="BL272" s="747"/>
      <c r="BM272" s="186"/>
      <c r="BN272" s="186"/>
      <c r="BO272" s="12"/>
      <c r="BP272" s="11"/>
      <c r="BQ272" s="186"/>
      <c r="BR272" s="747"/>
      <c r="BS272" s="747"/>
      <c r="BT272" s="747"/>
      <c r="BU272" s="186"/>
      <c r="BV272" s="186"/>
      <c r="BW272" s="12"/>
    </row>
    <row r="273" spans="1:75">
      <c r="I273" s="20"/>
      <c r="AI273" s="757"/>
      <c r="AJ273" s="195"/>
      <c r="AK273" s="186"/>
      <c r="AL273" s="747"/>
      <c r="AM273" s="747"/>
      <c r="AN273" s="747"/>
      <c r="AO273" s="186"/>
      <c r="AP273" s="186"/>
      <c r="AQ273" s="12"/>
      <c r="AR273" s="11"/>
      <c r="AS273" s="186"/>
      <c r="AT273" s="747"/>
      <c r="AU273" s="747"/>
      <c r="AV273" s="747"/>
      <c r="AW273" s="186"/>
      <c r="AX273" s="186"/>
      <c r="AY273" s="12"/>
      <c r="AZ273" s="11"/>
      <c r="BA273" s="186"/>
      <c r="BB273" s="747"/>
      <c r="BC273" s="747"/>
      <c r="BD273" s="747"/>
      <c r="BE273" s="186"/>
      <c r="BF273" s="186"/>
      <c r="BG273" s="12"/>
      <c r="BH273" s="11"/>
      <c r="BI273" s="186"/>
      <c r="BJ273" s="747"/>
      <c r="BK273" s="747"/>
      <c r="BL273" s="747"/>
      <c r="BM273" s="186"/>
      <c r="BN273" s="186"/>
      <c r="BO273" s="12"/>
      <c r="BP273" s="11"/>
      <c r="BQ273" s="186"/>
      <c r="BR273" s="747"/>
      <c r="BS273" s="747"/>
      <c r="BT273" s="747"/>
      <c r="BU273" s="186"/>
      <c r="BV273" s="186"/>
      <c r="BW273" s="12"/>
    </row>
    <row r="274" spans="1:75">
      <c r="I274" s="20"/>
      <c r="AI274" s="757"/>
      <c r="AJ274" s="195"/>
      <c r="AK274" s="186"/>
      <c r="AL274" s="747"/>
      <c r="AM274" s="747"/>
      <c r="AN274" s="747"/>
      <c r="AO274" s="186"/>
      <c r="AP274" s="186"/>
      <c r="AQ274" s="12"/>
      <c r="AR274" s="11"/>
      <c r="AS274" s="186"/>
      <c r="AT274" s="747"/>
      <c r="AU274" s="747"/>
      <c r="AV274" s="747"/>
      <c r="AW274" s="186"/>
      <c r="AX274" s="186"/>
      <c r="AY274" s="12"/>
      <c r="AZ274" s="11"/>
      <c r="BA274" s="186"/>
      <c r="BB274" s="747"/>
      <c r="BC274" s="747"/>
      <c r="BD274" s="747"/>
      <c r="BE274" s="186"/>
      <c r="BF274" s="186"/>
      <c r="BG274" s="12"/>
      <c r="BH274" s="11"/>
      <c r="BI274" s="186"/>
      <c r="BJ274" s="747"/>
      <c r="BK274" s="747"/>
      <c r="BL274" s="747"/>
      <c r="BM274" s="186"/>
      <c r="BN274" s="186"/>
      <c r="BO274" s="12"/>
      <c r="BP274" s="11"/>
      <c r="BQ274" s="186"/>
      <c r="BR274" s="747"/>
      <c r="BS274" s="747"/>
      <c r="BT274" s="747"/>
      <c r="BU274" s="186"/>
      <c r="BV274" s="186"/>
      <c r="BW274" s="12"/>
    </row>
    <row r="275" spans="1:75">
      <c r="I275" s="20"/>
      <c r="AI275" s="757"/>
      <c r="AJ275" s="195"/>
      <c r="AK275" s="186"/>
      <c r="AL275" s="747"/>
      <c r="AM275" s="747"/>
      <c r="AN275" s="747"/>
      <c r="AO275" s="186"/>
      <c r="AP275" s="186"/>
      <c r="AQ275" s="12"/>
      <c r="AR275" s="11"/>
      <c r="AS275" s="186"/>
      <c r="AT275" s="747"/>
      <c r="AU275" s="747"/>
      <c r="AV275" s="747"/>
      <c r="AW275" s="186"/>
      <c r="AX275" s="186"/>
      <c r="AY275" s="12"/>
      <c r="AZ275" s="11"/>
      <c r="BA275" s="186"/>
      <c r="BB275" s="747"/>
      <c r="BC275" s="747"/>
      <c r="BD275" s="747"/>
      <c r="BE275" s="186"/>
      <c r="BF275" s="186"/>
      <c r="BG275" s="12"/>
      <c r="BH275" s="11"/>
      <c r="BI275" s="186"/>
      <c r="BJ275" s="747"/>
      <c r="BK275" s="747"/>
      <c r="BL275" s="747"/>
      <c r="BM275" s="186"/>
      <c r="BN275" s="186"/>
      <c r="BO275" s="12"/>
      <c r="BP275" s="11"/>
      <c r="BQ275" s="186"/>
      <c r="BR275" s="747"/>
      <c r="BS275" s="747"/>
      <c r="BT275" s="747"/>
      <c r="BU275" s="186"/>
      <c r="BV275" s="186"/>
      <c r="BW275" s="12"/>
    </row>
    <row r="276" spans="1:75">
      <c r="I276" s="20"/>
      <c r="AI276" s="757"/>
      <c r="AJ276" s="195"/>
      <c r="AK276" s="186"/>
      <c r="AL276" s="747"/>
      <c r="AM276" s="747"/>
      <c r="AN276" s="747"/>
      <c r="AO276" s="186"/>
      <c r="AP276" s="186"/>
      <c r="AQ276" s="12"/>
      <c r="AR276" s="11"/>
      <c r="AS276" s="186"/>
      <c r="AT276" s="747"/>
      <c r="AU276" s="747"/>
      <c r="AV276" s="747"/>
      <c r="AW276" s="186"/>
      <c r="AX276" s="186"/>
      <c r="AY276" s="12"/>
      <c r="AZ276" s="11"/>
      <c r="BA276" s="186"/>
      <c r="BB276" s="747"/>
      <c r="BC276" s="747"/>
      <c r="BD276" s="747"/>
      <c r="BE276" s="186"/>
      <c r="BF276" s="186"/>
      <c r="BG276" s="12"/>
      <c r="BH276" s="11"/>
      <c r="BI276" s="186"/>
      <c r="BJ276" s="747"/>
      <c r="BK276" s="747"/>
      <c r="BL276" s="747"/>
      <c r="BM276" s="186"/>
      <c r="BN276" s="186"/>
      <c r="BO276" s="12"/>
      <c r="BP276" s="11"/>
      <c r="BQ276" s="186"/>
      <c r="BR276" s="747"/>
      <c r="BS276" s="747"/>
      <c r="BT276" s="747"/>
      <c r="BU276" s="186"/>
      <c r="BV276" s="186"/>
      <c r="BW276" s="12"/>
    </row>
    <row r="277" spans="1:75">
      <c r="I277" s="20"/>
      <c r="AI277" s="757"/>
      <c r="AJ277" s="195"/>
      <c r="AK277" s="186"/>
      <c r="AL277" s="747"/>
      <c r="AM277" s="747"/>
      <c r="AN277" s="747"/>
      <c r="AO277" s="186"/>
      <c r="AP277" s="186"/>
      <c r="AQ277" s="12"/>
      <c r="AR277" s="11"/>
      <c r="AS277" s="186"/>
      <c r="AT277" s="747"/>
      <c r="AU277" s="747"/>
      <c r="AV277" s="747"/>
      <c r="AW277" s="186"/>
      <c r="AX277" s="186"/>
      <c r="AY277" s="12"/>
      <c r="AZ277" s="11"/>
      <c r="BA277" s="186"/>
      <c r="BB277" s="747"/>
      <c r="BC277" s="747"/>
      <c r="BD277" s="747"/>
      <c r="BE277" s="186"/>
      <c r="BF277" s="186"/>
      <c r="BG277" s="12"/>
      <c r="BH277" s="11"/>
      <c r="BI277" s="186"/>
      <c r="BJ277" s="747"/>
      <c r="BK277" s="747"/>
      <c r="BL277" s="747"/>
      <c r="BM277" s="186"/>
      <c r="BN277" s="186"/>
      <c r="BO277" s="12"/>
      <c r="BP277" s="11"/>
      <c r="BQ277" s="186"/>
      <c r="BR277" s="747"/>
      <c r="BS277" s="747"/>
      <c r="BT277" s="747"/>
      <c r="BU277" s="186"/>
      <c r="BV277" s="186"/>
      <c r="BW277" s="12"/>
    </row>
    <row r="278" spans="1:75">
      <c r="I278" s="20"/>
      <c r="AI278" s="757"/>
      <c r="AJ278" s="195"/>
      <c r="AK278" s="186"/>
      <c r="AL278" s="747"/>
      <c r="AM278" s="747"/>
      <c r="AN278" s="747"/>
      <c r="AO278" s="186"/>
      <c r="AP278" s="186"/>
      <c r="AQ278" s="12"/>
      <c r="AR278" s="11"/>
      <c r="AS278" s="186"/>
      <c r="AT278" s="747"/>
      <c r="AU278" s="747"/>
      <c r="AV278" s="747"/>
      <c r="AW278" s="186"/>
      <c r="AX278" s="186"/>
      <c r="AY278" s="12"/>
      <c r="AZ278" s="11"/>
      <c r="BA278" s="186"/>
      <c r="BB278" s="747"/>
      <c r="BC278" s="747"/>
      <c r="BD278" s="747"/>
      <c r="BE278" s="186"/>
      <c r="BF278" s="186"/>
      <c r="BG278" s="12"/>
      <c r="BH278" s="11"/>
      <c r="BI278" s="186"/>
      <c r="BJ278" s="747"/>
      <c r="BK278" s="747"/>
      <c r="BL278" s="747"/>
      <c r="BM278" s="186"/>
      <c r="BN278" s="186"/>
      <c r="BO278" s="12"/>
      <c r="BP278" s="11"/>
      <c r="BQ278" s="186"/>
      <c r="BR278" s="747"/>
      <c r="BS278" s="747"/>
      <c r="BT278" s="747"/>
      <c r="BU278" s="186"/>
      <c r="BV278" s="186"/>
      <c r="BW278" s="12"/>
    </row>
    <row r="279" spans="1:75">
      <c r="I279" s="20"/>
      <c r="AI279" s="757"/>
      <c r="AJ279" s="195"/>
      <c r="AK279" s="186"/>
      <c r="AL279" s="747"/>
      <c r="AM279" s="747"/>
      <c r="AN279" s="747"/>
      <c r="AO279" s="186"/>
      <c r="AP279" s="186"/>
      <c r="AQ279" s="12"/>
      <c r="AR279" s="11"/>
      <c r="AS279" s="186"/>
      <c r="AT279" s="747"/>
      <c r="AU279" s="747"/>
      <c r="AV279" s="747"/>
      <c r="AW279" s="186"/>
      <c r="AX279" s="186"/>
      <c r="AY279" s="12"/>
      <c r="AZ279" s="11"/>
      <c r="BA279" s="186"/>
      <c r="BB279" s="747"/>
      <c r="BC279" s="747"/>
      <c r="BD279" s="747"/>
      <c r="BE279" s="186"/>
      <c r="BF279" s="186"/>
      <c r="BG279" s="12"/>
      <c r="BH279" s="11"/>
      <c r="BI279" s="186"/>
      <c r="BJ279" s="747"/>
      <c r="BK279" s="747"/>
      <c r="BL279" s="747"/>
      <c r="BM279" s="186"/>
      <c r="BN279" s="186"/>
      <c r="BO279" s="12"/>
      <c r="BP279" s="11"/>
      <c r="BQ279" s="186"/>
      <c r="BR279" s="747"/>
      <c r="BS279" s="747"/>
      <c r="BT279" s="747"/>
      <c r="BU279" s="186"/>
      <c r="BV279" s="186"/>
      <c r="BW279" s="12"/>
    </row>
    <row r="280" spans="1:75">
      <c r="I280" s="20"/>
      <c r="AI280" s="757"/>
      <c r="AJ280" s="195"/>
      <c r="AK280" s="186"/>
      <c r="AL280" s="747"/>
      <c r="AM280" s="747"/>
      <c r="AN280" s="747"/>
      <c r="AO280" s="186"/>
      <c r="AP280" s="186"/>
      <c r="AQ280" s="12"/>
      <c r="AR280" s="11"/>
      <c r="AS280" s="186"/>
      <c r="AT280" s="747"/>
      <c r="AU280" s="747"/>
      <c r="AV280" s="747"/>
      <c r="AW280" s="186"/>
      <c r="AX280" s="186"/>
      <c r="AY280" s="12"/>
      <c r="AZ280" s="11"/>
      <c r="BA280" s="186"/>
      <c r="BB280" s="747"/>
      <c r="BC280" s="747"/>
      <c r="BD280" s="747"/>
      <c r="BE280" s="186"/>
      <c r="BF280" s="186"/>
      <c r="BG280" s="12"/>
      <c r="BH280" s="11"/>
      <c r="BI280" s="186"/>
      <c r="BJ280" s="747"/>
      <c r="BK280" s="747"/>
      <c r="BL280" s="747"/>
      <c r="BM280" s="186"/>
      <c r="BN280" s="186"/>
      <c r="BO280" s="12"/>
      <c r="BP280" s="11"/>
      <c r="BQ280" s="186"/>
      <c r="BR280" s="747"/>
      <c r="BS280" s="747"/>
      <c r="BT280" s="747"/>
      <c r="BU280" s="186"/>
      <c r="BV280" s="186"/>
      <c r="BW280" s="12"/>
    </row>
    <row r="281" spans="1:75">
      <c r="I281" s="20"/>
      <c r="AI281" s="757"/>
      <c r="AJ281" s="195"/>
      <c r="AK281" s="186"/>
      <c r="AL281" s="747"/>
      <c r="AM281" s="747"/>
      <c r="AN281" s="747"/>
      <c r="AO281" s="186"/>
      <c r="AP281" s="186"/>
      <c r="AQ281" s="12"/>
      <c r="AR281" s="11"/>
      <c r="AS281" s="186"/>
      <c r="AT281" s="747"/>
      <c r="AU281" s="747"/>
      <c r="AV281" s="747"/>
      <c r="AW281" s="186"/>
      <c r="AX281" s="186"/>
      <c r="AY281" s="12"/>
      <c r="AZ281" s="11"/>
      <c r="BA281" s="186"/>
      <c r="BB281" s="747"/>
      <c r="BC281" s="747"/>
      <c r="BD281" s="747"/>
      <c r="BE281" s="186"/>
      <c r="BF281" s="186"/>
      <c r="BG281" s="12"/>
      <c r="BH281" s="11"/>
      <c r="BI281" s="186"/>
      <c r="BJ281" s="747"/>
      <c r="BK281" s="747"/>
      <c r="BL281" s="747"/>
      <c r="BM281" s="186"/>
      <c r="BN281" s="186"/>
      <c r="BO281" s="12"/>
      <c r="BP281" s="11"/>
      <c r="BQ281" s="186"/>
      <c r="BR281" s="747"/>
      <c r="BS281" s="747"/>
      <c r="BT281" s="747"/>
      <c r="BU281" s="186"/>
      <c r="BV281" s="186"/>
      <c r="BW281" s="12"/>
    </row>
    <row r="282" spans="1:75">
      <c r="I282" s="20"/>
      <c r="AI282" s="757"/>
      <c r="AJ282" s="195"/>
      <c r="AK282" s="186"/>
      <c r="AL282" s="747"/>
      <c r="AM282" s="747"/>
      <c r="AN282" s="747"/>
      <c r="AO282" s="186"/>
      <c r="AP282" s="186"/>
      <c r="AQ282" s="12"/>
      <c r="AR282" s="11"/>
      <c r="AS282" s="186"/>
      <c r="AT282" s="747"/>
      <c r="AU282" s="747"/>
      <c r="AV282" s="747"/>
      <c r="AW282" s="186"/>
      <c r="AX282" s="186"/>
      <c r="AY282" s="12"/>
      <c r="AZ282" s="11"/>
      <c r="BA282" s="186"/>
      <c r="BB282" s="747"/>
      <c r="BC282" s="747"/>
      <c r="BD282" s="747"/>
      <c r="BE282" s="186"/>
      <c r="BF282" s="186"/>
      <c r="BG282" s="12"/>
      <c r="BH282" s="11"/>
      <c r="BI282" s="186"/>
      <c r="BJ282" s="747"/>
      <c r="BK282" s="747"/>
      <c r="BL282" s="747"/>
      <c r="BM282" s="186"/>
      <c r="BN282" s="186"/>
      <c r="BO282" s="12"/>
      <c r="BP282" s="11"/>
      <c r="BQ282" s="186"/>
      <c r="BR282" s="747"/>
      <c r="BS282" s="747"/>
      <c r="BT282" s="747"/>
      <c r="BU282" s="186"/>
      <c r="BV282" s="186"/>
      <c r="BW282" s="12"/>
    </row>
    <row r="283" spans="1:75">
      <c r="A283" s="1" t="s">
        <v>886</v>
      </c>
      <c r="B283" s="1" t="s">
        <v>761</v>
      </c>
      <c r="C283" s="1" t="s">
        <v>861</v>
      </c>
      <c r="D283" s="1" t="s">
        <v>1710</v>
      </c>
      <c r="E283" s="1" t="s">
        <v>531</v>
      </c>
      <c r="F283" s="1">
        <v>6.3000000000000014E-2</v>
      </c>
      <c r="G283" s="1">
        <v>0</v>
      </c>
      <c r="H283" s="1">
        <v>3</v>
      </c>
      <c r="I283" s="20" t="s">
        <v>684</v>
      </c>
      <c r="J283" s="1" t="s">
        <v>515</v>
      </c>
      <c r="AI283" s="757"/>
      <c r="AJ283" s="195"/>
      <c r="AK283" s="186"/>
      <c r="AL283" s="747"/>
      <c r="AM283" s="747"/>
      <c r="AN283" s="747"/>
      <c r="AO283" s="186"/>
      <c r="AP283" s="186"/>
      <c r="AQ283" s="12"/>
      <c r="AR283" s="11"/>
      <c r="AS283" s="186"/>
      <c r="AT283" s="747"/>
      <c r="AU283" s="747"/>
      <c r="AV283" s="747"/>
      <c r="AW283" s="186"/>
      <c r="AX283" s="186"/>
      <c r="AY283" s="12"/>
      <c r="AZ283" s="11"/>
      <c r="BA283" s="186"/>
      <c r="BB283" s="747"/>
      <c r="BC283" s="747"/>
      <c r="BD283" s="747"/>
      <c r="BE283" s="186"/>
      <c r="BF283" s="186"/>
      <c r="BG283" s="12"/>
      <c r="BH283" s="11"/>
      <c r="BI283" s="186"/>
      <c r="BJ283" s="747"/>
      <c r="BK283" s="747"/>
      <c r="BL283" s="747"/>
      <c r="BM283" s="186"/>
      <c r="BN283" s="186"/>
      <c r="BO283" s="12"/>
      <c r="BP283" s="11"/>
      <c r="BQ283" s="186"/>
      <c r="BR283" s="747"/>
      <c r="BS283" s="747"/>
      <c r="BT283" s="747"/>
      <c r="BU283" s="186"/>
      <c r="BV283" s="186"/>
      <c r="BW283" s="12"/>
    </row>
    <row r="284" spans="1:75">
      <c r="I284" s="20"/>
      <c r="AI284" s="757"/>
      <c r="AJ284" s="195"/>
      <c r="AK284" s="186"/>
      <c r="AL284" s="747"/>
      <c r="AM284" s="747"/>
      <c r="AN284" s="747"/>
      <c r="AO284" s="186"/>
      <c r="AP284" s="186"/>
      <c r="AQ284" s="12"/>
      <c r="AR284" s="11"/>
      <c r="AS284" s="186"/>
      <c r="AT284" s="747"/>
      <c r="AU284" s="747"/>
      <c r="AV284" s="747"/>
      <c r="AW284" s="186"/>
      <c r="AX284" s="186"/>
      <c r="AY284" s="12"/>
      <c r="AZ284" s="11"/>
      <c r="BA284" s="186"/>
      <c r="BB284" s="747"/>
      <c r="BC284" s="747"/>
      <c r="BD284" s="747"/>
      <c r="BE284" s="186"/>
      <c r="BF284" s="186"/>
      <c r="BG284" s="12"/>
      <c r="BH284" s="11"/>
      <c r="BI284" s="186"/>
      <c r="BJ284" s="747"/>
      <c r="BK284" s="747"/>
      <c r="BL284" s="747"/>
      <c r="BM284" s="186"/>
      <c r="BN284" s="186"/>
      <c r="BO284" s="12"/>
      <c r="BP284" s="11"/>
      <c r="BQ284" s="186"/>
      <c r="BR284" s="747"/>
      <c r="BS284" s="747"/>
      <c r="BT284" s="747"/>
      <c r="BU284" s="186"/>
      <c r="BV284" s="186"/>
      <c r="BW284" s="12"/>
    </row>
    <row r="285" spans="1:75">
      <c r="I285" s="20"/>
      <c r="AI285" s="757"/>
      <c r="AJ285" s="195"/>
      <c r="AK285" s="186"/>
      <c r="AL285" s="747"/>
      <c r="AM285" s="747"/>
      <c r="AN285" s="747"/>
      <c r="AO285" s="186"/>
      <c r="AP285" s="186"/>
      <c r="AQ285" s="12"/>
      <c r="AR285" s="11"/>
      <c r="AS285" s="186"/>
      <c r="AT285" s="747"/>
      <c r="AU285" s="747"/>
      <c r="AV285" s="747"/>
      <c r="AW285" s="186"/>
      <c r="AX285" s="186"/>
      <c r="AY285" s="12"/>
      <c r="AZ285" s="11"/>
      <c r="BA285" s="186"/>
      <c r="BB285" s="747"/>
      <c r="BC285" s="747"/>
      <c r="BD285" s="747"/>
      <c r="BE285" s="186"/>
      <c r="BF285" s="186"/>
      <c r="BG285" s="12"/>
      <c r="BH285" s="11"/>
      <c r="BI285" s="186"/>
      <c r="BJ285" s="747"/>
      <c r="BK285" s="747"/>
      <c r="BL285" s="747"/>
      <c r="BM285" s="186"/>
      <c r="BN285" s="186"/>
      <c r="BO285" s="12"/>
      <c r="BP285" s="11"/>
      <c r="BQ285" s="186"/>
      <c r="BR285" s="747"/>
      <c r="BS285" s="747"/>
      <c r="BT285" s="747"/>
      <c r="BU285" s="186"/>
      <c r="BV285" s="186"/>
      <c r="BW285" s="12"/>
    </row>
    <row r="286" spans="1:75">
      <c r="I286" s="20"/>
      <c r="AI286" s="757"/>
      <c r="AJ286" s="195"/>
      <c r="AK286" s="186"/>
      <c r="AL286" s="747"/>
      <c r="AM286" s="747"/>
      <c r="AN286" s="747"/>
      <c r="AO286" s="186"/>
      <c r="AP286" s="186"/>
      <c r="AQ286" s="12"/>
      <c r="AR286" s="11"/>
      <c r="AS286" s="186"/>
      <c r="AT286" s="747"/>
      <c r="AU286" s="747"/>
      <c r="AV286" s="747"/>
      <c r="AW286" s="186"/>
      <c r="AX286" s="186"/>
      <c r="AY286" s="12"/>
      <c r="AZ286" s="11"/>
      <c r="BA286" s="186"/>
      <c r="BB286" s="747"/>
      <c r="BC286" s="747"/>
      <c r="BD286" s="747"/>
      <c r="BE286" s="186"/>
      <c r="BF286" s="186"/>
      <c r="BG286" s="12"/>
      <c r="BH286" s="11"/>
      <c r="BI286" s="186"/>
      <c r="BJ286" s="747"/>
      <c r="BK286" s="747"/>
      <c r="BL286" s="747"/>
      <c r="BM286" s="186"/>
      <c r="BN286" s="186"/>
      <c r="BO286" s="12"/>
      <c r="BP286" s="11"/>
      <c r="BQ286" s="186"/>
      <c r="BR286" s="747"/>
      <c r="BS286" s="747"/>
      <c r="BT286" s="747"/>
      <c r="BU286" s="186"/>
      <c r="BV286" s="186"/>
      <c r="BW286" s="12"/>
    </row>
    <row r="287" spans="1:75">
      <c r="I287" s="20"/>
      <c r="AI287" s="757"/>
      <c r="AJ287" s="195"/>
      <c r="AK287" s="186"/>
      <c r="AL287" s="747"/>
      <c r="AM287" s="747"/>
      <c r="AN287" s="747"/>
      <c r="AO287" s="186"/>
      <c r="AP287" s="186"/>
      <c r="AQ287" s="12"/>
      <c r="AR287" s="11"/>
      <c r="AS287" s="186"/>
      <c r="AT287" s="747"/>
      <c r="AU287" s="747"/>
      <c r="AV287" s="747"/>
      <c r="AW287" s="186"/>
      <c r="AX287" s="186"/>
      <c r="AY287" s="12"/>
      <c r="AZ287" s="11"/>
      <c r="BA287" s="186"/>
      <c r="BB287" s="747"/>
      <c r="BC287" s="747"/>
      <c r="BD287" s="747"/>
      <c r="BE287" s="186"/>
      <c r="BF287" s="186"/>
      <c r="BG287" s="12"/>
      <c r="BH287" s="11"/>
      <c r="BI287" s="186"/>
      <c r="BJ287" s="747"/>
      <c r="BK287" s="747"/>
      <c r="BL287" s="747"/>
      <c r="BM287" s="186"/>
      <c r="BN287" s="186"/>
      <c r="BO287" s="12"/>
      <c r="BP287" s="11"/>
      <c r="BQ287" s="186"/>
      <c r="BR287" s="747"/>
      <c r="BS287" s="747"/>
      <c r="BT287" s="747"/>
      <c r="BU287" s="186"/>
      <c r="BV287" s="186"/>
      <c r="BW287" s="12"/>
    </row>
    <row r="288" spans="1:75">
      <c r="I288" s="20"/>
      <c r="AI288" s="757"/>
      <c r="AJ288" s="195"/>
      <c r="AK288" s="186"/>
      <c r="AL288" s="747"/>
      <c r="AM288" s="747"/>
      <c r="AN288" s="747"/>
      <c r="AO288" s="186"/>
      <c r="AP288" s="186"/>
      <c r="AQ288" s="12"/>
      <c r="AR288" s="11"/>
      <c r="AS288" s="186"/>
      <c r="AT288" s="747"/>
      <c r="AU288" s="747"/>
      <c r="AV288" s="747"/>
      <c r="AW288" s="186"/>
      <c r="AX288" s="186"/>
      <c r="AY288" s="12"/>
      <c r="AZ288" s="11"/>
      <c r="BA288" s="186"/>
      <c r="BB288" s="747"/>
      <c r="BC288" s="747"/>
      <c r="BD288" s="747"/>
      <c r="BE288" s="186"/>
      <c r="BF288" s="186"/>
      <c r="BG288" s="12"/>
      <c r="BH288" s="11"/>
      <c r="BI288" s="186"/>
      <c r="BJ288" s="747"/>
      <c r="BK288" s="747"/>
      <c r="BL288" s="747"/>
      <c r="BM288" s="186"/>
      <c r="BN288" s="186"/>
      <c r="BO288" s="12"/>
      <c r="BP288" s="11"/>
      <c r="BQ288" s="186"/>
      <c r="BR288" s="747"/>
      <c r="BS288" s="747"/>
      <c r="BT288" s="747"/>
      <c r="BU288" s="186"/>
      <c r="BV288" s="186"/>
      <c r="BW288" s="12"/>
    </row>
    <row r="289" spans="1:75">
      <c r="I289" s="20"/>
      <c r="AI289" s="757"/>
      <c r="AJ289" s="195"/>
      <c r="AK289" s="186"/>
      <c r="AL289" s="747"/>
      <c r="AM289" s="747"/>
      <c r="AN289" s="747"/>
      <c r="AO289" s="186"/>
      <c r="AP289" s="186"/>
      <c r="AQ289" s="12"/>
      <c r="AR289" s="11"/>
      <c r="AS289" s="186"/>
      <c r="AT289" s="747"/>
      <c r="AU289" s="747"/>
      <c r="AV289" s="747"/>
      <c r="AW289" s="186"/>
      <c r="AX289" s="186"/>
      <c r="AY289" s="12"/>
      <c r="AZ289" s="11"/>
      <c r="BA289" s="186"/>
      <c r="BB289" s="747"/>
      <c r="BC289" s="747"/>
      <c r="BD289" s="747"/>
      <c r="BE289" s="186"/>
      <c r="BF289" s="186"/>
      <c r="BG289" s="12"/>
      <c r="BH289" s="11"/>
      <c r="BI289" s="186"/>
      <c r="BJ289" s="747"/>
      <c r="BK289" s="747"/>
      <c r="BL289" s="747"/>
      <c r="BM289" s="186"/>
      <c r="BN289" s="186"/>
      <c r="BO289" s="12"/>
      <c r="BP289" s="11"/>
      <c r="BQ289" s="186"/>
      <c r="BR289" s="747"/>
      <c r="BS289" s="747"/>
      <c r="BT289" s="747"/>
      <c r="BU289" s="186"/>
      <c r="BV289" s="186"/>
      <c r="BW289" s="12"/>
    </row>
    <row r="290" spans="1:75">
      <c r="I290" s="20"/>
      <c r="AI290" s="757"/>
      <c r="AJ290" s="195"/>
      <c r="AK290" s="186"/>
      <c r="AL290" s="747"/>
      <c r="AM290" s="747"/>
      <c r="AN290" s="747"/>
      <c r="AO290" s="186"/>
      <c r="AP290" s="186"/>
      <c r="AQ290" s="12"/>
      <c r="AR290" s="11"/>
      <c r="AS290" s="186"/>
      <c r="AT290" s="747"/>
      <c r="AU290" s="747"/>
      <c r="AV290" s="747"/>
      <c r="AW290" s="186"/>
      <c r="AX290" s="186"/>
      <c r="AY290" s="12"/>
      <c r="AZ290" s="11"/>
      <c r="BA290" s="186"/>
      <c r="BB290" s="747"/>
      <c r="BC290" s="747"/>
      <c r="BD290" s="747"/>
      <c r="BE290" s="186"/>
      <c r="BF290" s="186"/>
      <c r="BG290" s="12"/>
      <c r="BH290" s="11"/>
      <c r="BI290" s="186"/>
      <c r="BJ290" s="747"/>
      <c r="BK290" s="747"/>
      <c r="BL290" s="747"/>
      <c r="BM290" s="186"/>
      <c r="BN290" s="186"/>
      <c r="BO290" s="12"/>
      <c r="BP290" s="11"/>
      <c r="BQ290" s="186"/>
      <c r="BR290" s="747"/>
      <c r="BS290" s="747"/>
      <c r="BT290" s="747"/>
      <c r="BU290" s="186"/>
      <c r="BV290" s="186"/>
      <c r="BW290" s="12"/>
    </row>
    <row r="291" spans="1:75">
      <c r="I291" s="20"/>
      <c r="AI291" s="757"/>
      <c r="AJ291" s="195"/>
      <c r="AK291" s="186"/>
      <c r="AL291" s="747"/>
      <c r="AM291" s="747"/>
      <c r="AN291" s="747"/>
      <c r="AO291" s="186"/>
      <c r="AP291" s="186"/>
      <c r="AQ291" s="12"/>
      <c r="AR291" s="11"/>
      <c r="AS291" s="186"/>
      <c r="AT291" s="747"/>
      <c r="AU291" s="747"/>
      <c r="AV291" s="747"/>
      <c r="AW291" s="186"/>
      <c r="AX291" s="186"/>
      <c r="AY291" s="12"/>
      <c r="AZ291" s="11"/>
      <c r="BA291" s="186"/>
      <c r="BB291" s="747"/>
      <c r="BC291" s="747"/>
      <c r="BD291" s="747"/>
      <c r="BE291" s="186"/>
      <c r="BF291" s="186"/>
      <c r="BG291" s="12"/>
      <c r="BH291" s="11"/>
      <c r="BI291" s="186"/>
      <c r="BJ291" s="747"/>
      <c r="BK291" s="747"/>
      <c r="BL291" s="747"/>
      <c r="BM291" s="186"/>
      <c r="BN291" s="186"/>
      <c r="BO291" s="12"/>
      <c r="BP291" s="11"/>
      <c r="BQ291" s="186"/>
      <c r="BR291" s="747"/>
      <c r="BS291" s="747"/>
      <c r="BT291" s="747"/>
      <c r="BU291" s="186"/>
      <c r="BV291" s="186"/>
      <c r="BW291" s="12"/>
    </row>
    <row r="292" spans="1:75">
      <c r="I292" s="20"/>
      <c r="AI292" s="757"/>
      <c r="AJ292" s="195"/>
      <c r="AK292" s="186"/>
      <c r="AL292" s="747"/>
      <c r="AM292" s="747"/>
      <c r="AN292" s="747"/>
      <c r="AO292" s="186"/>
      <c r="AP292" s="186"/>
      <c r="AQ292" s="12"/>
      <c r="AR292" s="11"/>
      <c r="AS292" s="186"/>
      <c r="AT292" s="747"/>
      <c r="AU292" s="747"/>
      <c r="AV292" s="747"/>
      <c r="AW292" s="186"/>
      <c r="AX292" s="186"/>
      <c r="AY292" s="12"/>
      <c r="AZ292" s="11"/>
      <c r="BA292" s="186"/>
      <c r="BB292" s="747"/>
      <c r="BC292" s="747"/>
      <c r="BD292" s="747"/>
      <c r="BE292" s="186"/>
      <c r="BF292" s="186"/>
      <c r="BG292" s="12"/>
      <c r="BH292" s="11"/>
      <c r="BI292" s="186"/>
      <c r="BJ292" s="747"/>
      <c r="BK292" s="747"/>
      <c r="BL292" s="747"/>
      <c r="BM292" s="186"/>
      <c r="BN292" s="186"/>
      <c r="BO292" s="12"/>
      <c r="BP292" s="11"/>
      <c r="BQ292" s="186"/>
      <c r="BR292" s="747"/>
      <c r="BS292" s="747"/>
      <c r="BT292" s="747"/>
      <c r="BU292" s="186"/>
      <c r="BV292" s="186"/>
      <c r="BW292" s="12"/>
    </row>
    <row r="293" spans="1:75">
      <c r="I293" s="20"/>
      <c r="AI293" s="757"/>
      <c r="AJ293" s="195"/>
      <c r="AK293" s="186"/>
      <c r="AL293" s="747"/>
      <c r="AM293" s="747"/>
      <c r="AN293" s="747"/>
      <c r="AO293" s="186"/>
      <c r="AP293" s="186"/>
      <c r="AQ293" s="12"/>
      <c r="AR293" s="11"/>
      <c r="AS293" s="186"/>
      <c r="AT293" s="747"/>
      <c r="AU293" s="747"/>
      <c r="AV293" s="747"/>
      <c r="AW293" s="186"/>
      <c r="AX293" s="186"/>
      <c r="AY293" s="12"/>
      <c r="AZ293" s="11"/>
      <c r="BA293" s="186"/>
      <c r="BB293" s="747"/>
      <c r="BC293" s="747"/>
      <c r="BD293" s="747"/>
      <c r="BE293" s="186"/>
      <c r="BF293" s="186"/>
      <c r="BG293" s="12"/>
      <c r="BH293" s="11"/>
      <c r="BI293" s="186"/>
      <c r="BJ293" s="747"/>
      <c r="BK293" s="747"/>
      <c r="BL293" s="747"/>
      <c r="BM293" s="186"/>
      <c r="BN293" s="186"/>
      <c r="BO293" s="12"/>
      <c r="BP293" s="11"/>
      <c r="BQ293" s="186"/>
      <c r="BR293" s="747"/>
      <c r="BS293" s="747"/>
      <c r="BT293" s="747"/>
      <c r="BU293" s="186"/>
      <c r="BV293" s="186"/>
      <c r="BW293" s="12"/>
    </row>
    <row r="294" spans="1:75">
      <c r="I294" s="20"/>
      <c r="AI294" s="757"/>
      <c r="AJ294" s="195"/>
      <c r="AK294" s="186"/>
      <c r="AL294" s="747"/>
      <c r="AM294" s="747"/>
      <c r="AN294" s="747"/>
      <c r="AO294" s="186"/>
      <c r="AP294" s="186"/>
      <c r="AQ294" s="12"/>
      <c r="AR294" s="11"/>
      <c r="AS294" s="186"/>
      <c r="AT294" s="747"/>
      <c r="AU294" s="747"/>
      <c r="AV294" s="747"/>
      <c r="AW294" s="186"/>
      <c r="AX294" s="186"/>
      <c r="AY294" s="12"/>
      <c r="AZ294" s="11"/>
      <c r="BA294" s="186"/>
      <c r="BB294" s="747"/>
      <c r="BC294" s="747"/>
      <c r="BD294" s="747"/>
      <c r="BE294" s="186"/>
      <c r="BF294" s="186"/>
      <c r="BG294" s="12"/>
      <c r="BH294" s="11"/>
      <c r="BI294" s="186"/>
      <c r="BJ294" s="747"/>
      <c r="BK294" s="747"/>
      <c r="BL294" s="747"/>
      <c r="BM294" s="186"/>
      <c r="BN294" s="186"/>
      <c r="BO294" s="12"/>
      <c r="BP294" s="11"/>
      <c r="BQ294" s="186"/>
      <c r="BR294" s="747"/>
      <c r="BS294" s="747"/>
      <c r="BT294" s="747"/>
      <c r="BU294" s="186"/>
      <c r="BV294" s="186"/>
      <c r="BW294" s="12"/>
    </row>
    <row r="295" spans="1:75">
      <c r="I295" s="20"/>
      <c r="AI295" s="757"/>
      <c r="AJ295" s="195"/>
      <c r="AK295" s="186"/>
      <c r="AL295" s="747"/>
      <c r="AM295" s="747"/>
      <c r="AN295" s="747"/>
      <c r="AO295" s="186"/>
      <c r="AP295" s="186"/>
      <c r="AQ295" s="12"/>
      <c r="AR295" s="11"/>
      <c r="AS295" s="186"/>
      <c r="AT295" s="747"/>
      <c r="AU295" s="747"/>
      <c r="AV295" s="747"/>
      <c r="AW295" s="186"/>
      <c r="AX295" s="186"/>
      <c r="AY295" s="12"/>
      <c r="AZ295" s="11"/>
      <c r="BA295" s="186"/>
      <c r="BB295" s="747"/>
      <c r="BC295" s="747"/>
      <c r="BD295" s="747"/>
      <c r="BE295" s="186"/>
      <c r="BF295" s="186"/>
      <c r="BG295" s="12"/>
      <c r="BH295" s="11"/>
      <c r="BI295" s="186"/>
      <c r="BJ295" s="747"/>
      <c r="BK295" s="747"/>
      <c r="BL295" s="747"/>
      <c r="BM295" s="186"/>
      <c r="BN295" s="186"/>
      <c r="BO295" s="12"/>
      <c r="BP295" s="11"/>
      <c r="BQ295" s="186"/>
      <c r="BR295" s="747"/>
      <c r="BS295" s="747"/>
      <c r="BT295" s="747"/>
      <c r="BU295" s="186"/>
      <c r="BV295" s="186"/>
      <c r="BW295" s="12"/>
    </row>
    <row r="296" spans="1:75">
      <c r="I296" s="20"/>
      <c r="AI296" s="757"/>
      <c r="AJ296" s="195"/>
      <c r="AK296" s="186"/>
      <c r="AL296" s="747"/>
      <c r="AM296" s="747"/>
      <c r="AN296" s="747"/>
      <c r="AO296" s="186"/>
      <c r="AP296" s="186"/>
      <c r="AQ296" s="12"/>
      <c r="AR296" s="11"/>
      <c r="AS296" s="186"/>
      <c r="AT296" s="747"/>
      <c r="AU296" s="747"/>
      <c r="AV296" s="747"/>
      <c r="AW296" s="186"/>
      <c r="AX296" s="186"/>
      <c r="AY296" s="12"/>
      <c r="AZ296" s="11"/>
      <c r="BA296" s="186"/>
      <c r="BB296" s="747"/>
      <c r="BC296" s="747"/>
      <c r="BD296" s="747"/>
      <c r="BE296" s="186"/>
      <c r="BF296" s="186"/>
      <c r="BG296" s="12"/>
      <c r="BH296" s="11"/>
      <c r="BI296" s="186"/>
      <c r="BJ296" s="747"/>
      <c r="BK296" s="747"/>
      <c r="BL296" s="747"/>
      <c r="BM296" s="186"/>
      <c r="BN296" s="186"/>
      <c r="BO296" s="12"/>
      <c r="BP296" s="11"/>
      <c r="BQ296" s="186"/>
      <c r="BR296" s="747"/>
      <c r="BS296" s="747"/>
      <c r="BT296" s="747"/>
      <c r="BU296" s="186"/>
      <c r="BV296" s="186"/>
      <c r="BW296" s="12"/>
    </row>
    <row r="297" spans="1:75">
      <c r="I297" s="20"/>
      <c r="AI297" s="757"/>
      <c r="AJ297" s="195"/>
      <c r="AK297" s="186"/>
      <c r="AL297" s="747"/>
      <c r="AM297" s="747"/>
      <c r="AN297" s="747"/>
      <c r="AO297" s="186"/>
      <c r="AP297" s="186"/>
      <c r="AQ297" s="12"/>
      <c r="AR297" s="11"/>
      <c r="AS297" s="186"/>
      <c r="AT297" s="747"/>
      <c r="AU297" s="747"/>
      <c r="AV297" s="747"/>
      <c r="AW297" s="186"/>
      <c r="AX297" s="186"/>
      <c r="AY297" s="12"/>
      <c r="AZ297" s="11"/>
      <c r="BA297" s="186"/>
      <c r="BB297" s="747"/>
      <c r="BC297" s="747"/>
      <c r="BD297" s="747"/>
      <c r="BE297" s="186"/>
      <c r="BF297" s="186"/>
      <c r="BG297" s="12"/>
      <c r="BH297" s="11"/>
      <c r="BI297" s="186"/>
      <c r="BJ297" s="747"/>
      <c r="BK297" s="747"/>
      <c r="BL297" s="747"/>
      <c r="BM297" s="186"/>
      <c r="BN297" s="186"/>
      <c r="BO297" s="12"/>
      <c r="BP297" s="11"/>
      <c r="BQ297" s="186"/>
      <c r="BR297" s="747"/>
      <c r="BS297" s="747"/>
      <c r="BT297" s="747"/>
      <c r="BU297" s="186"/>
      <c r="BV297" s="186"/>
      <c r="BW297" s="12"/>
    </row>
    <row r="298" spans="1:75">
      <c r="I298" s="20"/>
      <c r="AI298" s="757"/>
      <c r="AJ298" s="195"/>
      <c r="AK298" s="186"/>
      <c r="AL298" s="747"/>
      <c r="AM298" s="747"/>
      <c r="AN298" s="747"/>
      <c r="AO298" s="186"/>
      <c r="AP298" s="186"/>
      <c r="AQ298" s="12"/>
      <c r="AR298" s="11"/>
      <c r="AS298" s="186"/>
      <c r="AT298" s="747"/>
      <c r="AU298" s="747"/>
      <c r="AV298" s="747"/>
      <c r="AW298" s="186"/>
      <c r="AX298" s="186"/>
      <c r="AY298" s="12"/>
      <c r="AZ298" s="11"/>
      <c r="BA298" s="186"/>
      <c r="BB298" s="747"/>
      <c r="BC298" s="747"/>
      <c r="BD298" s="747"/>
      <c r="BE298" s="186"/>
      <c r="BF298" s="186"/>
      <c r="BG298" s="12"/>
      <c r="BH298" s="11"/>
      <c r="BI298" s="186"/>
      <c r="BJ298" s="747"/>
      <c r="BK298" s="747"/>
      <c r="BL298" s="747"/>
      <c r="BM298" s="186"/>
      <c r="BN298" s="186"/>
      <c r="BO298" s="12"/>
      <c r="BP298" s="11"/>
      <c r="BQ298" s="186"/>
      <c r="BR298" s="747"/>
      <c r="BS298" s="747"/>
      <c r="BT298" s="747"/>
      <c r="BU298" s="186"/>
      <c r="BV298" s="186"/>
      <c r="BW298" s="12"/>
    </row>
    <row r="299" spans="1:75">
      <c r="I299" s="20"/>
      <c r="AI299" s="757"/>
      <c r="AJ299" s="195"/>
      <c r="AK299" s="186"/>
      <c r="AL299" s="747"/>
      <c r="AM299" s="747"/>
      <c r="AN299" s="747"/>
      <c r="AO299" s="186"/>
      <c r="AP299" s="186"/>
      <c r="AQ299" s="12"/>
      <c r="AR299" s="11"/>
      <c r="AS299" s="186"/>
      <c r="AT299" s="747"/>
      <c r="AU299" s="747"/>
      <c r="AV299" s="747"/>
      <c r="AW299" s="186"/>
      <c r="AX299" s="186"/>
      <c r="AY299" s="12"/>
      <c r="AZ299" s="11"/>
      <c r="BA299" s="186"/>
      <c r="BB299" s="747"/>
      <c r="BC299" s="747"/>
      <c r="BD299" s="747"/>
      <c r="BE299" s="186"/>
      <c r="BF299" s="186"/>
      <c r="BG299" s="12"/>
      <c r="BH299" s="11"/>
      <c r="BI299" s="186"/>
      <c r="BJ299" s="747"/>
      <c r="BK299" s="747"/>
      <c r="BL299" s="747"/>
      <c r="BM299" s="186"/>
      <c r="BN299" s="186"/>
      <c r="BO299" s="12"/>
      <c r="BP299" s="11"/>
      <c r="BQ299" s="186"/>
      <c r="BR299" s="747"/>
      <c r="BS299" s="747"/>
      <c r="BT299" s="747"/>
      <c r="BU299" s="186"/>
      <c r="BV299" s="186"/>
      <c r="BW299" s="12"/>
    </row>
    <row r="300" spans="1:75">
      <c r="I300" s="20"/>
      <c r="AI300" s="757"/>
      <c r="AJ300" s="195"/>
      <c r="AK300" s="186"/>
      <c r="AL300" s="747"/>
      <c r="AM300" s="747"/>
      <c r="AN300" s="747"/>
      <c r="AO300" s="186"/>
      <c r="AP300" s="186"/>
      <c r="AQ300" s="12"/>
      <c r="AR300" s="11"/>
      <c r="AS300" s="186"/>
      <c r="AT300" s="747"/>
      <c r="AU300" s="747"/>
      <c r="AV300" s="747"/>
      <c r="AW300" s="186"/>
      <c r="AX300" s="186"/>
      <c r="AY300" s="12"/>
      <c r="AZ300" s="11"/>
      <c r="BA300" s="186"/>
      <c r="BB300" s="747"/>
      <c r="BC300" s="747"/>
      <c r="BD300" s="747"/>
      <c r="BE300" s="186"/>
      <c r="BF300" s="186"/>
      <c r="BG300" s="12"/>
      <c r="BH300" s="11"/>
      <c r="BI300" s="186"/>
      <c r="BJ300" s="747"/>
      <c r="BK300" s="747"/>
      <c r="BL300" s="747"/>
      <c r="BM300" s="186"/>
      <c r="BN300" s="186"/>
      <c r="BO300" s="12"/>
      <c r="BP300" s="11"/>
      <c r="BQ300" s="186"/>
      <c r="BR300" s="747"/>
      <c r="BS300" s="747"/>
      <c r="BT300" s="747"/>
      <c r="BU300" s="186"/>
      <c r="BV300" s="186"/>
      <c r="BW300" s="12"/>
    </row>
    <row r="301" spans="1:75">
      <c r="I301" s="20"/>
      <c r="AI301" s="757"/>
      <c r="AJ301" s="195"/>
      <c r="AK301" s="186"/>
      <c r="AL301" s="747"/>
      <c r="AM301" s="747"/>
      <c r="AN301" s="747"/>
      <c r="AO301" s="186"/>
      <c r="AP301" s="186"/>
      <c r="AQ301" s="12"/>
      <c r="AR301" s="11"/>
      <c r="AS301" s="186"/>
      <c r="AT301" s="747"/>
      <c r="AU301" s="747"/>
      <c r="AV301" s="747"/>
      <c r="AW301" s="186"/>
      <c r="AX301" s="186"/>
      <c r="AY301" s="12"/>
      <c r="AZ301" s="11"/>
      <c r="BA301" s="186"/>
      <c r="BB301" s="747"/>
      <c r="BC301" s="747"/>
      <c r="BD301" s="747"/>
      <c r="BE301" s="186"/>
      <c r="BF301" s="186"/>
      <c r="BG301" s="12"/>
      <c r="BH301" s="11"/>
      <c r="BI301" s="186"/>
      <c r="BJ301" s="747"/>
      <c r="BK301" s="747"/>
      <c r="BL301" s="747"/>
      <c r="BM301" s="186"/>
      <c r="BN301" s="186"/>
      <c r="BO301" s="12"/>
      <c r="BP301" s="11"/>
      <c r="BQ301" s="186"/>
      <c r="BR301" s="747"/>
      <c r="BS301" s="747"/>
      <c r="BT301" s="747"/>
      <c r="BU301" s="186"/>
      <c r="BV301" s="186"/>
      <c r="BW301" s="12"/>
    </row>
    <row r="302" spans="1:75">
      <c r="I302" s="20"/>
      <c r="AI302" s="757"/>
      <c r="AJ302" s="195"/>
      <c r="AK302" s="186"/>
      <c r="AL302" s="747"/>
      <c r="AM302" s="747"/>
      <c r="AN302" s="747"/>
      <c r="AO302" s="186"/>
      <c r="AP302" s="186"/>
      <c r="AQ302" s="12"/>
      <c r="AR302" s="11"/>
      <c r="AS302" s="186"/>
      <c r="AT302" s="747"/>
      <c r="AU302" s="747"/>
      <c r="AV302" s="747"/>
      <c r="AW302" s="186"/>
      <c r="AX302" s="186"/>
      <c r="AY302" s="12"/>
      <c r="AZ302" s="11"/>
      <c r="BA302" s="186"/>
      <c r="BB302" s="747"/>
      <c r="BC302" s="747"/>
      <c r="BD302" s="747"/>
      <c r="BE302" s="186"/>
      <c r="BF302" s="186"/>
      <c r="BG302" s="12"/>
      <c r="BH302" s="11"/>
      <c r="BI302" s="186"/>
      <c r="BJ302" s="747"/>
      <c r="BK302" s="747"/>
      <c r="BL302" s="747"/>
      <c r="BM302" s="186"/>
      <c r="BN302" s="186"/>
      <c r="BO302" s="12"/>
      <c r="BP302" s="11"/>
      <c r="BQ302" s="186"/>
      <c r="BR302" s="747"/>
      <c r="BS302" s="747"/>
      <c r="BT302" s="747"/>
      <c r="BU302" s="186"/>
      <c r="BV302" s="186"/>
      <c r="BW302" s="12"/>
    </row>
    <row r="303" spans="1:75">
      <c r="A303" s="1" t="s">
        <v>887</v>
      </c>
      <c r="B303" s="1" t="s">
        <v>725</v>
      </c>
      <c r="C303" s="1" t="s">
        <v>861</v>
      </c>
      <c r="D303" s="1" t="s">
        <v>523</v>
      </c>
      <c r="E303" s="1" t="s">
        <v>532</v>
      </c>
      <c r="F303" s="1">
        <v>7.0000000000000007E-2</v>
      </c>
      <c r="G303" s="1">
        <v>0</v>
      </c>
      <c r="I303" s="20"/>
      <c r="AI303" s="757"/>
      <c r="AJ303" s="195"/>
      <c r="AK303" s="186"/>
      <c r="AL303" s="747"/>
      <c r="AM303" s="747"/>
      <c r="AN303" s="747"/>
      <c r="AO303" s="186"/>
      <c r="AP303" s="186"/>
      <c r="AQ303" s="12"/>
      <c r="AR303" s="11"/>
      <c r="AS303" s="186"/>
      <c r="AT303" s="747"/>
      <c r="AU303" s="747"/>
      <c r="AV303" s="747"/>
      <c r="AW303" s="186"/>
      <c r="AX303" s="186"/>
      <c r="AY303" s="12"/>
      <c r="AZ303" s="11"/>
      <c r="BA303" s="186"/>
      <c r="BB303" s="747"/>
      <c r="BC303" s="747"/>
      <c r="BD303" s="747"/>
      <c r="BE303" s="186"/>
      <c r="BF303" s="186"/>
      <c r="BG303" s="12"/>
      <c r="BH303" s="11"/>
      <c r="BI303" s="186"/>
      <c r="BJ303" s="747"/>
      <c r="BK303" s="747"/>
      <c r="BL303" s="747"/>
      <c r="BM303" s="186"/>
      <c r="BN303" s="186"/>
      <c r="BO303" s="12"/>
      <c r="BP303" s="11"/>
      <c r="BQ303" s="186"/>
      <c r="BR303" s="747"/>
      <c r="BS303" s="747"/>
      <c r="BT303" s="747"/>
      <c r="BU303" s="186"/>
      <c r="BV303" s="186"/>
      <c r="BW303" s="12"/>
    </row>
    <row r="304" spans="1:75">
      <c r="A304" s="1" t="s">
        <v>888</v>
      </c>
      <c r="B304" s="1" t="s">
        <v>725</v>
      </c>
      <c r="C304" s="1" t="s">
        <v>861</v>
      </c>
      <c r="D304" s="1" t="s">
        <v>523</v>
      </c>
      <c r="E304" s="1" t="s">
        <v>533</v>
      </c>
      <c r="F304" s="1">
        <v>3.5000000000000003E-2</v>
      </c>
      <c r="G304" s="1">
        <v>0</v>
      </c>
      <c r="I304" s="20"/>
      <c r="J304" s="1" t="s">
        <v>692</v>
      </c>
      <c r="AI304" s="757"/>
      <c r="AJ304" s="195"/>
      <c r="AK304" s="186"/>
      <c r="AL304" s="747"/>
      <c r="AM304" s="747"/>
      <c r="AN304" s="747"/>
      <c r="AO304" s="186"/>
      <c r="AP304" s="186"/>
      <c r="AQ304" s="12"/>
      <c r="AR304" s="11"/>
      <c r="AS304" s="186"/>
      <c r="AT304" s="747"/>
      <c r="AU304" s="747"/>
      <c r="AV304" s="747"/>
      <c r="AW304" s="186"/>
      <c r="AX304" s="186"/>
      <c r="AY304" s="12"/>
      <c r="AZ304" s="11"/>
      <c r="BA304" s="186"/>
      <c r="BB304" s="747"/>
      <c r="BC304" s="747"/>
      <c r="BD304" s="747"/>
      <c r="BE304" s="186"/>
      <c r="BF304" s="186"/>
      <c r="BG304" s="12"/>
      <c r="BH304" s="11"/>
      <c r="BI304" s="186"/>
      <c r="BJ304" s="747"/>
      <c r="BK304" s="747"/>
      <c r="BL304" s="747"/>
      <c r="BM304" s="186"/>
      <c r="BN304" s="186"/>
      <c r="BO304" s="12"/>
      <c r="BP304" s="11"/>
      <c r="BQ304" s="186"/>
      <c r="BR304" s="747"/>
      <c r="BS304" s="747"/>
      <c r="BT304" s="747"/>
      <c r="BU304" s="186"/>
      <c r="BV304" s="186"/>
      <c r="BW304" s="12"/>
    </row>
    <row r="305" spans="1:75">
      <c r="A305" s="1" t="s">
        <v>889</v>
      </c>
      <c r="B305" s="1" t="s">
        <v>725</v>
      </c>
      <c r="C305" s="1" t="s">
        <v>861</v>
      </c>
      <c r="D305" s="1" t="s">
        <v>523</v>
      </c>
      <c r="E305" s="1" t="s">
        <v>534</v>
      </c>
      <c r="F305" s="1">
        <v>3.5000000000000003E-2</v>
      </c>
      <c r="G305" s="1">
        <v>0</v>
      </c>
      <c r="I305" s="20"/>
      <c r="J305" s="1" t="s">
        <v>519</v>
      </c>
      <c r="AI305" s="757"/>
      <c r="AJ305" s="195"/>
      <c r="AK305" s="186"/>
      <c r="AL305" s="747"/>
      <c r="AM305" s="747"/>
      <c r="AN305" s="747"/>
      <c r="AO305" s="186"/>
      <c r="AP305" s="186"/>
      <c r="AQ305" s="12"/>
      <c r="AR305" s="11"/>
      <c r="AS305" s="186"/>
      <c r="AT305" s="747"/>
      <c r="AU305" s="747"/>
      <c r="AV305" s="747"/>
      <c r="AW305" s="186"/>
      <c r="AX305" s="186"/>
      <c r="AY305" s="12"/>
      <c r="AZ305" s="11"/>
      <c r="BA305" s="186"/>
      <c r="BB305" s="747"/>
      <c r="BC305" s="747"/>
      <c r="BD305" s="747"/>
      <c r="BE305" s="186"/>
      <c r="BF305" s="186"/>
      <c r="BG305" s="12"/>
      <c r="BH305" s="11"/>
      <c r="BI305" s="186"/>
      <c r="BJ305" s="747"/>
      <c r="BK305" s="747"/>
      <c r="BL305" s="747"/>
      <c r="BM305" s="186"/>
      <c r="BN305" s="186"/>
      <c r="BO305" s="12"/>
      <c r="BP305" s="11"/>
      <c r="BQ305" s="186"/>
      <c r="BR305" s="747"/>
      <c r="BS305" s="747"/>
      <c r="BT305" s="747"/>
      <c r="BU305" s="186"/>
      <c r="BV305" s="186"/>
      <c r="BW305" s="12"/>
    </row>
    <row r="306" spans="1:75">
      <c r="A306" s="1" t="s">
        <v>890</v>
      </c>
      <c r="B306" s="1" t="s">
        <v>725</v>
      </c>
      <c r="C306" s="1" t="s">
        <v>861</v>
      </c>
      <c r="D306" s="1" t="s">
        <v>523</v>
      </c>
      <c r="E306" s="1" t="s">
        <v>535</v>
      </c>
      <c r="F306" s="1">
        <v>3.5000000000000003E-2</v>
      </c>
      <c r="G306" s="1">
        <v>0</v>
      </c>
      <c r="I306" s="20"/>
      <c r="J306" s="1" t="s">
        <v>756</v>
      </c>
      <c r="AI306" s="757"/>
      <c r="AJ306" s="195"/>
      <c r="AK306" s="186"/>
      <c r="AL306" s="747"/>
      <c r="AM306" s="747"/>
      <c r="AN306" s="747"/>
      <c r="AO306" s="186"/>
      <c r="AP306" s="186"/>
      <c r="AQ306" s="12"/>
      <c r="AR306" s="11"/>
      <c r="AS306" s="186"/>
      <c r="AT306" s="747"/>
      <c r="AU306" s="747"/>
      <c r="AV306" s="747"/>
      <c r="AW306" s="186"/>
      <c r="AX306" s="186"/>
      <c r="AY306" s="12"/>
      <c r="AZ306" s="11"/>
      <c r="BA306" s="186"/>
      <c r="BB306" s="747"/>
      <c r="BC306" s="747"/>
      <c r="BD306" s="747"/>
      <c r="BE306" s="186"/>
      <c r="BF306" s="186"/>
      <c r="BG306" s="12"/>
      <c r="BH306" s="11"/>
      <c r="BI306" s="186"/>
      <c r="BJ306" s="747"/>
      <c r="BK306" s="747"/>
      <c r="BL306" s="747"/>
      <c r="BM306" s="186"/>
      <c r="BN306" s="186"/>
      <c r="BO306" s="12"/>
      <c r="BP306" s="11"/>
      <c r="BQ306" s="186"/>
      <c r="BR306" s="747"/>
      <c r="BS306" s="747"/>
      <c r="BT306" s="747"/>
      <c r="BU306" s="186"/>
      <c r="BV306" s="186"/>
      <c r="BW306" s="12"/>
    </row>
    <row r="307" spans="1:75">
      <c r="A307" s="1" t="s">
        <v>891</v>
      </c>
      <c r="B307" s="1" t="s">
        <v>725</v>
      </c>
      <c r="C307" s="1" t="s">
        <v>861</v>
      </c>
      <c r="D307" s="1" t="s">
        <v>523</v>
      </c>
      <c r="E307" s="1" t="s">
        <v>536</v>
      </c>
      <c r="F307" s="1">
        <v>1.7500000000000002E-2</v>
      </c>
      <c r="G307" s="1">
        <v>0</v>
      </c>
      <c r="I307" s="20"/>
      <c r="J307" s="1" t="s">
        <v>520</v>
      </c>
      <c r="AI307" s="757"/>
      <c r="AJ307" s="195"/>
      <c r="AK307" s="186"/>
      <c r="AL307" s="747"/>
      <c r="AM307" s="747"/>
      <c r="AN307" s="747"/>
      <c r="AO307" s="186"/>
      <c r="AP307" s="186"/>
      <c r="AQ307" s="12"/>
      <c r="AR307" s="11"/>
      <c r="AS307" s="186"/>
      <c r="AT307" s="747"/>
      <c r="AU307" s="747"/>
      <c r="AV307" s="747"/>
      <c r="AW307" s="186"/>
      <c r="AX307" s="186"/>
      <c r="AY307" s="12"/>
      <c r="AZ307" s="11"/>
      <c r="BA307" s="186"/>
      <c r="BB307" s="747"/>
      <c r="BC307" s="747"/>
      <c r="BD307" s="747"/>
      <c r="BE307" s="186"/>
      <c r="BF307" s="186"/>
      <c r="BG307" s="12"/>
      <c r="BH307" s="11"/>
      <c r="BI307" s="186"/>
      <c r="BJ307" s="747"/>
      <c r="BK307" s="747"/>
      <c r="BL307" s="747"/>
      <c r="BM307" s="186"/>
      <c r="BN307" s="186"/>
      <c r="BO307" s="12"/>
      <c r="BP307" s="11"/>
      <c r="BQ307" s="186"/>
      <c r="BR307" s="747"/>
      <c r="BS307" s="747"/>
      <c r="BT307" s="747"/>
      <c r="BU307" s="186"/>
      <c r="BV307" s="186"/>
      <c r="BW307" s="12"/>
    </row>
    <row r="308" spans="1:75" ht="12.75" thickBot="1">
      <c r="A308" s="1" t="s">
        <v>892</v>
      </c>
      <c r="B308" s="1" t="s">
        <v>725</v>
      </c>
      <c r="C308" s="1" t="s">
        <v>861</v>
      </c>
      <c r="D308" s="1" t="s">
        <v>523</v>
      </c>
      <c r="E308" s="1" t="s">
        <v>537</v>
      </c>
      <c r="F308" s="1">
        <v>1.7500000000000002E-2</v>
      </c>
      <c r="G308" s="1">
        <v>0</v>
      </c>
      <c r="I308" s="20"/>
      <c r="J308" s="1" t="s">
        <v>759</v>
      </c>
      <c r="AI308" s="764"/>
      <c r="AJ308" s="195"/>
      <c r="AK308" s="186"/>
      <c r="AL308" s="747"/>
      <c r="AM308" s="747"/>
      <c r="AN308" s="747"/>
      <c r="AO308" s="186"/>
      <c r="AP308" s="186"/>
      <c r="AQ308" s="12"/>
      <c r="AR308" s="11"/>
      <c r="AS308" s="186"/>
      <c r="AT308" s="747"/>
      <c r="AU308" s="747"/>
      <c r="AV308" s="747"/>
      <c r="AW308" s="186"/>
      <c r="AX308" s="186"/>
      <c r="AY308" s="12"/>
      <c r="AZ308" s="11"/>
      <c r="BA308" s="186"/>
      <c r="BB308" s="747"/>
      <c r="BC308" s="747"/>
      <c r="BD308" s="747"/>
      <c r="BE308" s="186"/>
      <c r="BF308" s="186"/>
      <c r="BG308" s="12"/>
      <c r="BH308" s="11"/>
      <c r="BI308" s="186"/>
      <c r="BJ308" s="747"/>
      <c r="BK308" s="747"/>
      <c r="BL308" s="747"/>
      <c r="BM308" s="186"/>
      <c r="BN308" s="186"/>
      <c r="BO308" s="12"/>
      <c r="BP308" s="11"/>
      <c r="BQ308" s="186"/>
      <c r="BR308" s="747"/>
      <c r="BS308" s="747"/>
      <c r="BT308" s="747"/>
      <c r="BU308" s="186"/>
      <c r="BV308" s="186"/>
      <c r="BW308" s="12"/>
    </row>
    <row r="309" spans="1:75">
      <c r="A309" s="1" t="s">
        <v>893</v>
      </c>
      <c r="B309" s="1" t="s">
        <v>761</v>
      </c>
      <c r="C309" s="1" t="s">
        <v>894</v>
      </c>
      <c r="D309" s="1" t="s">
        <v>1862</v>
      </c>
      <c r="E309" s="1" t="s">
        <v>1817</v>
      </c>
      <c r="F309" s="1">
        <v>1.8</v>
      </c>
      <c r="G309" s="1">
        <v>0</v>
      </c>
      <c r="H309" s="1">
        <v>3</v>
      </c>
      <c r="I309" s="20" t="s">
        <v>684</v>
      </c>
      <c r="AI309" s="763">
        <v>4</v>
      </c>
      <c r="AJ309" s="184" t="s">
        <v>2716</v>
      </c>
      <c r="AK309" s="185" t="s">
        <v>1862</v>
      </c>
      <c r="AL309" s="21" t="s">
        <v>1817</v>
      </c>
      <c r="AM309" s="21" t="s">
        <v>1730</v>
      </c>
      <c r="AN309" s="21" t="s">
        <v>1730</v>
      </c>
      <c r="AO309" s="185">
        <v>1.17</v>
      </c>
      <c r="AP309" s="185">
        <v>0</v>
      </c>
      <c r="AQ309" s="10">
        <v>2.3199999999999998</v>
      </c>
      <c r="AR309" s="9" t="s">
        <v>2809</v>
      </c>
      <c r="AS309" s="185" t="s">
        <v>1862</v>
      </c>
      <c r="AT309" s="21" t="s">
        <v>1817</v>
      </c>
      <c r="AU309" s="21" t="s">
        <v>1730</v>
      </c>
      <c r="AV309" s="21" t="s">
        <v>1730</v>
      </c>
      <c r="AW309" s="185">
        <v>1.17</v>
      </c>
      <c r="AX309" s="185">
        <v>0</v>
      </c>
      <c r="AY309" s="10">
        <v>3</v>
      </c>
      <c r="AZ309" s="9" t="s">
        <v>2032</v>
      </c>
      <c r="BA309" s="185" t="s">
        <v>1862</v>
      </c>
      <c r="BB309" s="21" t="s">
        <v>1817</v>
      </c>
      <c r="BC309" s="21" t="s">
        <v>1730</v>
      </c>
      <c r="BD309" s="21" t="s">
        <v>1730</v>
      </c>
      <c r="BE309" s="185">
        <v>0.9</v>
      </c>
      <c r="BF309" s="185">
        <v>6.5000000000000002E-2</v>
      </c>
      <c r="BG309" s="10">
        <v>2.58</v>
      </c>
      <c r="BH309" s="9" t="s">
        <v>2066</v>
      </c>
      <c r="BI309" s="185" t="s">
        <v>1720</v>
      </c>
      <c r="BJ309" s="21" t="s">
        <v>2067</v>
      </c>
      <c r="BK309" s="21" t="s">
        <v>515</v>
      </c>
      <c r="BL309" s="21" t="s">
        <v>1730</v>
      </c>
      <c r="BM309" s="185">
        <v>9.7500000000000003E-2</v>
      </c>
      <c r="BN309" s="185">
        <v>0</v>
      </c>
      <c r="BO309" s="10">
        <v>2.23</v>
      </c>
      <c r="BP309" s="9" t="s">
        <v>2097</v>
      </c>
      <c r="BQ309" s="185" t="s">
        <v>1720</v>
      </c>
      <c r="BR309" s="21" t="s">
        <v>2067</v>
      </c>
      <c r="BS309" s="21" t="s">
        <v>515</v>
      </c>
      <c r="BT309" s="21" t="s">
        <v>1730</v>
      </c>
      <c r="BU309" s="185">
        <v>9.7500000000000003E-2</v>
      </c>
      <c r="BV309" s="185">
        <v>0</v>
      </c>
      <c r="BW309" s="10">
        <v>1.37</v>
      </c>
    </row>
    <row r="310" spans="1:75">
      <c r="A310" s="1" t="s">
        <v>895</v>
      </c>
      <c r="B310" s="1" t="s">
        <v>761</v>
      </c>
      <c r="C310" s="1" t="s">
        <v>894</v>
      </c>
      <c r="D310" s="1" t="s">
        <v>1864</v>
      </c>
      <c r="E310" s="1" t="s">
        <v>1805</v>
      </c>
      <c r="F310" s="1">
        <v>1.2</v>
      </c>
      <c r="G310" s="1">
        <v>0</v>
      </c>
      <c r="H310" s="1">
        <v>3</v>
      </c>
      <c r="I310" s="20" t="s">
        <v>684</v>
      </c>
      <c r="AI310" s="757"/>
      <c r="AJ310" s="195" t="s">
        <v>2810</v>
      </c>
      <c r="AK310" s="186" t="s">
        <v>1864</v>
      </c>
      <c r="AL310" s="747" t="s">
        <v>1805</v>
      </c>
      <c r="AM310" s="747" t="s">
        <v>1730</v>
      </c>
      <c r="AN310" s="747" t="s">
        <v>1730</v>
      </c>
      <c r="AO310" s="186">
        <v>0.83</v>
      </c>
      <c r="AP310" s="186">
        <v>0</v>
      </c>
      <c r="AQ310" s="12">
        <v>2.3199999999999998</v>
      </c>
      <c r="AR310" s="11" t="s">
        <v>2809</v>
      </c>
      <c r="AS310" s="186" t="s">
        <v>1864</v>
      </c>
      <c r="AT310" s="747" t="s">
        <v>1805</v>
      </c>
      <c r="AU310" s="747" t="s">
        <v>1730</v>
      </c>
      <c r="AV310" s="747" t="s">
        <v>1730</v>
      </c>
      <c r="AW310" s="186">
        <v>0.83</v>
      </c>
      <c r="AX310" s="186">
        <v>0</v>
      </c>
      <c r="AY310" s="12">
        <v>3</v>
      </c>
      <c r="AZ310" s="11" t="s">
        <v>2032</v>
      </c>
      <c r="BA310" s="186" t="s">
        <v>1864</v>
      </c>
      <c r="BB310" s="747" t="s">
        <v>1838</v>
      </c>
      <c r="BC310" s="747" t="s">
        <v>1730</v>
      </c>
      <c r="BD310" s="747" t="s">
        <v>1730</v>
      </c>
      <c r="BE310" s="186">
        <v>0.75</v>
      </c>
      <c r="BF310" s="186">
        <v>6.5000000000000002E-2</v>
      </c>
      <c r="BG310" s="12">
        <v>2.58</v>
      </c>
      <c r="BH310" s="11" t="s">
        <v>2066</v>
      </c>
      <c r="BI310" s="186" t="s">
        <v>1720</v>
      </c>
      <c r="BJ310" s="747" t="s">
        <v>2068</v>
      </c>
      <c r="BK310" s="747" t="s">
        <v>516</v>
      </c>
      <c r="BL310" s="747" t="s">
        <v>1730</v>
      </c>
      <c r="BM310" s="186">
        <v>6.5000000000000002E-2</v>
      </c>
      <c r="BN310" s="186">
        <v>0</v>
      </c>
      <c r="BO310" s="12">
        <v>2.23</v>
      </c>
      <c r="BP310" s="11" t="s">
        <v>2097</v>
      </c>
      <c r="BQ310" s="186" t="s">
        <v>1720</v>
      </c>
      <c r="BR310" s="747" t="s">
        <v>2068</v>
      </c>
      <c r="BS310" s="747" t="s">
        <v>516</v>
      </c>
      <c r="BT310" s="747" t="s">
        <v>1730</v>
      </c>
      <c r="BU310" s="186">
        <v>6.5000000000000002E-2</v>
      </c>
      <c r="BV310" s="186">
        <v>0</v>
      </c>
      <c r="BW310" s="12">
        <v>1.37</v>
      </c>
    </row>
    <row r="311" spans="1:75">
      <c r="A311" s="1" t="s">
        <v>896</v>
      </c>
      <c r="B311" s="1" t="s">
        <v>761</v>
      </c>
      <c r="C311" s="1" t="s">
        <v>894</v>
      </c>
      <c r="D311" s="1" t="s">
        <v>1899</v>
      </c>
      <c r="E311" s="1" t="s">
        <v>1833</v>
      </c>
      <c r="F311" s="1">
        <v>0.9</v>
      </c>
      <c r="G311" s="1">
        <v>0</v>
      </c>
      <c r="H311" s="1">
        <v>3</v>
      </c>
      <c r="I311" s="20" t="s">
        <v>684</v>
      </c>
      <c r="AI311" s="757"/>
      <c r="AJ311" s="195" t="s">
        <v>2716</v>
      </c>
      <c r="AK311" s="186" t="s">
        <v>1899</v>
      </c>
      <c r="AL311" s="747" t="s">
        <v>1833</v>
      </c>
      <c r="AM311" s="747" t="s">
        <v>1730</v>
      </c>
      <c r="AN311" s="747" t="s">
        <v>1730</v>
      </c>
      <c r="AO311" s="186">
        <v>0.56999999999999995</v>
      </c>
      <c r="AP311" s="186">
        <v>0</v>
      </c>
      <c r="AQ311" s="12">
        <v>2.3199999999999998</v>
      </c>
      <c r="AR311" s="11" t="s">
        <v>2809</v>
      </c>
      <c r="AS311" s="186" t="s">
        <v>1899</v>
      </c>
      <c r="AT311" s="747" t="s">
        <v>1833</v>
      </c>
      <c r="AU311" s="747" t="s">
        <v>1730</v>
      </c>
      <c r="AV311" s="747" t="s">
        <v>1730</v>
      </c>
      <c r="AW311" s="186">
        <v>0.56999999999999995</v>
      </c>
      <c r="AX311" s="186">
        <v>0</v>
      </c>
      <c r="AY311" s="12">
        <v>3</v>
      </c>
      <c r="AZ311" s="11" t="s">
        <v>2032</v>
      </c>
      <c r="BA311" s="186" t="s">
        <v>1865</v>
      </c>
      <c r="BB311" s="747" t="s">
        <v>1807</v>
      </c>
      <c r="BC311" s="747" t="s">
        <v>1730</v>
      </c>
      <c r="BD311" s="747" t="s">
        <v>1730</v>
      </c>
      <c r="BE311" s="186">
        <v>0.65</v>
      </c>
      <c r="BF311" s="186">
        <v>6.5000000000000002E-2</v>
      </c>
      <c r="BG311" s="12">
        <v>2.58</v>
      </c>
      <c r="BH311" s="11" t="s">
        <v>2066</v>
      </c>
      <c r="BI311" s="186" t="s">
        <v>1720</v>
      </c>
      <c r="BJ311" s="747" t="s">
        <v>2069</v>
      </c>
      <c r="BK311" s="747" t="s">
        <v>517</v>
      </c>
      <c r="BL311" s="747" t="s">
        <v>1730</v>
      </c>
      <c r="BM311" s="186">
        <v>3.2500000000000001E-2</v>
      </c>
      <c r="BN311" s="186">
        <v>0</v>
      </c>
      <c r="BO311" s="12">
        <v>2.23</v>
      </c>
      <c r="BP311" s="11" t="s">
        <v>2097</v>
      </c>
      <c r="BQ311" s="186" t="s">
        <v>1720</v>
      </c>
      <c r="BR311" s="747" t="s">
        <v>2069</v>
      </c>
      <c r="BS311" s="747" t="s">
        <v>517</v>
      </c>
      <c r="BT311" s="747" t="s">
        <v>1730</v>
      </c>
      <c r="BU311" s="186">
        <v>3.2500000000000001E-2</v>
      </c>
      <c r="BV311" s="186">
        <v>0</v>
      </c>
      <c r="BW311" s="12">
        <v>1.37</v>
      </c>
    </row>
    <row r="312" spans="1:75">
      <c r="A312" s="1" t="s">
        <v>897</v>
      </c>
      <c r="B312" s="1" t="s">
        <v>761</v>
      </c>
      <c r="C312" s="1" t="s">
        <v>894</v>
      </c>
      <c r="D312" s="1" t="s">
        <v>1884</v>
      </c>
      <c r="E312" s="1" t="s">
        <v>1824</v>
      </c>
      <c r="F312" s="1">
        <v>0.7</v>
      </c>
      <c r="G312" s="1">
        <v>0</v>
      </c>
      <c r="H312" s="1">
        <v>3</v>
      </c>
      <c r="I312" s="20" t="s">
        <v>684</v>
      </c>
      <c r="AI312" s="757"/>
      <c r="AJ312" s="195" t="s">
        <v>2811</v>
      </c>
      <c r="AK312" s="186" t="s">
        <v>1884</v>
      </c>
      <c r="AL312" s="747" t="s">
        <v>1824</v>
      </c>
      <c r="AM312" s="747" t="s">
        <v>1730</v>
      </c>
      <c r="AN312" s="747" t="s">
        <v>1730</v>
      </c>
      <c r="AO312" s="186">
        <v>0.49</v>
      </c>
      <c r="AP312" s="186">
        <v>0</v>
      </c>
      <c r="AQ312" s="12">
        <v>2.3199999999999998</v>
      </c>
      <c r="AR312" s="11" t="s">
        <v>2809</v>
      </c>
      <c r="AS312" s="186" t="s">
        <v>1884</v>
      </c>
      <c r="AT312" s="747" t="s">
        <v>1824</v>
      </c>
      <c r="AU312" s="747" t="s">
        <v>1730</v>
      </c>
      <c r="AV312" s="747" t="s">
        <v>1730</v>
      </c>
      <c r="AW312" s="186">
        <v>0.49</v>
      </c>
      <c r="AX312" s="186">
        <v>0</v>
      </c>
      <c r="AY312" s="12">
        <v>3</v>
      </c>
      <c r="AZ312" s="11" t="s">
        <v>2032</v>
      </c>
      <c r="BA312" s="186" t="s">
        <v>1865</v>
      </c>
      <c r="BB312" s="747" t="s">
        <v>1808</v>
      </c>
      <c r="BC312" s="747" t="s">
        <v>1730</v>
      </c>
      <c r="BD312" s="747" t="s">
        <v>1730</v>
      </c>
      <c r="BE312" s="186">
        <v>0.65</v>
      </c>
      <c r="BF312" s="186">
        <v>6.5000000000000002E-2</v>
      </c>
      <c r="BG312" s="12">
        <v>2.58</v>
      </c>
      <c r="BH312" s="11" t="s">
        <v>2066</v>
      </c>
      <c r="BI312" s="186" t="s">
        <v>1710</v>
      </c>
      <c r="BJ312" s="747" t="s">
        <v>2070</v>
      </c>
      <c r="BK312" s="747" t="s">
        <v>1730</v>
      </c>
      <c r="BL312" s="747" t="s">
        <v>1730</v>
      </c>
      <c r="BM312" s="186">
        <v>7.4999999999999997E-2</v>
      </c>
      <c r="BN312" s="186">
        <v>0</v>
      </c>
      <c r="BO312" s="12">
        <v>2.23</v>
      </c>
      <c r="BP312" s="11" t="s">
        <v>2097</v>
      </c>
      <c r="BQ312" s="186" t="s">
        <v>1710</v>
      </c>
      <c r="BR312" s="747" t="s">
        <v>2098</v>
      </c>
      <c r="BS312" s="747" t="s">
        <v>1730</v>
      </c>
      <c r="BT312" s="747" t="s">
        <v>1730</v>
      </c>
      <c r="BU312" s="186">
        <v>7.4999999999999997E-2</v>
      </c>
      <c r="BV312" s="186">
        <v>0</v>
      </c>
      <c r="BW312" s="12">
        <v>1.37</v>
      </c>
    </row>
    <row r="313" spans="1:75">
      <c r="A313" s="1" t="s">
        <v>898</v>
      </c>
      <c r="B313" s="1" t="s">
        <v>761</v>
      </c>
      <c r="C313" s="1" t="s">
        <v>894</v>
      </c>
      <c r="D313" s="1" t="s">
        <v>1952</v>
      </c>
      <c r="E313" s="1" t="s">
        <v>1834</v>
      </c>
      <c r="F313" s="1">
        <v>0.49</v>
      </c>
      <c r="G313" s="1">
        <v>0</v>
      </c>
      <c r="H313" s="1">
        <v>3</v>
      </c>
      <c r="I313" s="20" t="s">
        <v>684</v>
      </c>
      <c r="AI313" s="757"/>
      <c r="AJ313" s="195" t="s">
        <v>2810</v>
      </c>
      <c r="AK313" s="186" t="s">
        <v>1952</v>
      </c>
      <c r="AL313" s="747" t="s">
        <v>1834</v>
      </c>
      <c r="AM313" s="747" t="s">
        <v>1730</v>
      </c>
      <c r="AN313" s="747" t="s">
        <v>1730</v>
      </c>
      <c r="AO313" s="186">
        <v>0.4</v>
      </c>
      <c r="AP313" s="186">
        <v>0</v>
      </c>
      <c r="AQ313" s="12">
        <v>2.3199999999999998</v>
      </c>
      <c r="AR313" s="11" t="s">
        <v>2809</v>
      </c>
      <c r="AS313" s="186" t="s">
        <v>1952</v>
      </c>
      <c r="AT313" s="747" t="s">
        <v>1834</v>
      </c>
      <c r="AU313" s="747" t="s">
        <v>1730</v>
      </c>
      <c r="AV313" s="747" t="s">
        <v>1730</v>
      </c>
      <c r="AW313" s="186">
        <v>0.4</v>
      </c>
      <c r="AX313" s="186">
        <v>0</v>
      </c>
      <c r="AY313" s="12">
        <v>3</v>
      </c>
      <c r="AZ313" s="11" t="s">
        <v>2032</v>
      </c>
      <c r="BA313" s="186" t="s">
        <v>1915</v>
      </c>
      <c r="BB313" s="747" t="s">
        <v>1809</v>
      </c>
      <c r="BC313" s="747" t="s">
        <v>1730</v>
      </c>
      <c r="BD313" s="747" t="s">
        <v>1730</v>
      </c>
      <c r="BE313" s="186">
        <v>0.56000000000000005</v>
      </c>
      <c r="BF313" s="186">
        <v>6.5000000000000002E-2</v>
      </c>
      <c r="BG313" s="12">
        <v>2.58</v>
      </c>
      <c r="BH313" s="11" t="s">
        <v>2066</v>
      </c>
      <c r="BI313" s="186" t="s">
        <v>1710</v>
      </c>
      <c r="BJ313" s="747" t="s">
        <v>2071</v>
      </c>
      <c r="BK313" s="747" t="s">
        <v>1730</v>
      </c>
      <c r="BL313" s="747" t="s">
        <v>1730</v>
      </c>
      <c r="BM313" s="186">
        <v>3.7499999999999999E-2</v>
      </c>
      <c r="BN313" s="186">
        <v>0</v>
      </c>
      <c r="BO313" s="12">
        <v>2.23</v>
      </c>
      <c r="BP313" s="11" t="s">
        <v>2097</v>
      </c>
      <c r="BQ313" s="186" t="s">
        <v>1710</v>
      </c>
      <c r="BR313" s="747" t="s">
        <v>2099</v>
      </c>
      <c r="BS313" s="747" t="s">
        <v>1730</v>
      </c>
      <c r="BT313" s="747" t="s">
        <v>1730</v>
      </c>
      <c r="BU313" s="186">
        <v>3.7499999999999999E-2</v>
      </c>
      <c r="BV313" s="186">
        <v>0</v>
      </c>
      <c r="BW313" s="12">
        <v>1.37</v>
      </c>
    </row>
    <row r="314" spans="1:75">
      <c r="A314" s="1" t="s">
        <v>899</v>
      </c>
      <c r="B314" s="1" t="s">
        <v>761</v>
      </c>
      <c r="C314" s="1" t="s">
        <v>894</v>
      </c>
      <c r="D314" s="1" t="s">
        <v>1953</v>
      </c>
      <c r="E314" s="1" t="s">
        <v>1835</v>
      </c>
      <c r="F314" s="1">
        <v>0.4</v>
      </c>
      <c r="G314" s="1">
        <v>0</v>
      </c>
      <c r="H314" s="1">
        <v>3</v>
      </c>
      <c r="I314" s="20" t="s">
        <v>684</v>
      </c>
      <c r="AI314" s="757"/>
      <c r="AJ314" s="195" t="s">
        <v>2716</v>
      </c>
      <c r="AK314" s="186" t="s">
        <v>1953</v>
      </c>
      <c r="AL314" s="747" t="s">
        <v>1835</v>
      </c>
      <c r="AM314" s="747" t="s">
        <v>1730</v>
      </c>
      <c r="AN314" s="747" t="s">
        <v>1730</v>
      </c>
      <c r="AO314" s="186">
        <v>0.33</v>
      </c>
      <c r="AP314" s="186">
        <v>0</v>
      </c>
      <c r="AQ314" s="12">
        <v>2.3199999999999998</v>
      </c>
      <c r="AR314" s="11" t="s">
        <v>2809</v>
      </c>
      <c r="AS314" s="186" t="s">
        <v>1953</v>
      </c>
      <c r="AT314" s="747" t="s">
        <v>1835</v>
      </c>
      <c r="AU314" s="747" t="s">
        <v>1730</v>
      </c>
      <c r="AV314" s="747" t="s">
        <v>1730</v>
      </c>
      <c r="AW314" s="186">
        <v>0.33</v>
      </c>
      <c r="AX314" s="186">
        <v>0</v>
      </c>
      <c r="AY314" s="12">
        <v>3</v>
      </c>
      <c r="AZ314" s="11" t="s">
        <v>2032</v>
      </c>
      <c r="BA314" s="186" t="s">
        <v>1915</v>
      </c>
      <c r="BB314" s="747" t="s">
        <v>1810</v>
      </c>
      <c r="BC314" s="747" t="s">
        <v>1730</v>
      </c>
      <c r="BD314" s="747" t="s">
        <v>1730</v>
      </c>
      <c r="BE314" s="186">
        <v>0.56000000000000005</v>
      </c>
      <c r="BF314" s="186">
        <v>6.5000000000000002E-2</v>
      </c>
      <c r="BG314" s="12">
        <v>2.58</v>
      </c>
      <c r="BH314" s="11" t="s">
        <v>2066</v>
      </c>
      <c r="BI314" s="186" t="s">
        <v>1710</v>
      </c>
      <c r="BJ314" s="747" t="s">
        <v>2072</v>
      </c>
      <c r="BK314" s="747" t="s">
        <v>518</v>
      </c>
      <c r="BL314" s="747" t="s">
        <v>1730</v>
      </c>
      <c r="BM314" s="186">
        <v>6.7500000000000004E-2</v>
      </c>
      <c r="BN314" s="186">
        <v>0</v>
      </c>
      <c r="BO314" s="12">
        <v>2.23</v>
      </c>
      <c r="BP314" s="11" t="s">
        <v>2097</v>
      </c>
      <c r="BQ314" s="186" t="s">
        <v>1710</v>
      </c>
      <c r="BR314" s="747" t="s">
        <v>2100</v>
      </c>
      <c r="BS314" s="747" t="s">
        <v>518</v>
      </c>
      <c r="BT314" s="747" t="s">
        <v>1730</v>
      </c>
      <c r="BU314" s="186">
        <v>6.7500000000000004E-2</v>
      </c>
      <c r="BV314" s="186">
        <v>0</v>
      </c>
      <c r="BW314" s="12">
        <v>1.37</v>
      </c>
    </row>
    <row r="315" spans="1:75">
      <c r="A315" s="1" t="s">
        <v>900</v>
      </c>
      <c r="B315" s="1" t="s">
        <v>761</v>
      </c>
      <c r="C315" s="1" t="s">
        <v>894</v>
      </c>
      <c r="D315" s="1" t="s">
        <v>1953</v>
      </c>
      <c r="E315" s="1" t="s">
        <v>1836</v>
      </c>
      <c r="F315" s="1">
        <v>0.4</v>
      </c>
      <c r="G315" s="1">
        <v>0</v>
      </c>
      <c r="H315" s="1">
        <v>3</v>
      </c>
      <c r="I315" s="20" t="s">
        <v>684</v>
      </c>
      <c r="AI315" s="757"/>
      <c r="AJ315" s="195" t="s">
        <v>2811</v>
      </c>
      <c r="AK315" s="186" t="s">
        <v>1953</v>
      </c>
      <c r="AL315" s="747" t="s">
        <v>1836</v>
      </c>
      <c r="AM315" s="747" t="s">
        <v>1730</v>
      </c>
      <c r="AN315" s="747" t="s">
        <v>1730</v>
      </c>
      <c r="AO315" s="186">
        <v>0.33</v>
      </c>
      <c r="AP315" s="186">
        <v>0</v>
      </c>
      <c r="AQ315" s="12">
        <v>2.3199999999999998</v>
      </c>
      <c r="AR315" s="11" t="s">
        <v>2812</v>
      </c>
      <c r="AS315" s="186" t="s">
        <v>1953</v>
      </c>
      <c r="AT315" s="747" t="s">
        <v>1836</v>
      </c>
      <c r="AU315" s="747" t="s">
        <v>1730</v>
      </c>
      <c r="AV315" s="747" t="s">
        <v>1730</v>
      </c>
      <c r="AW315" s="186">
        <v>0.33</v>
      </c>
      <c r="AX315" s="186">
        <v>0</v>
      </c>
      <c r="AY315" s="12">
        <v>3</v>
      </c>
      <c r="AZ315" s="11" t="s">
        <v>2032</v>
      </c>
      <c r="BA315" s="186" t="s">
        <v>1937</v>
      </c>
      <c r="BB315" s="747" t="s">
        <v>1839</v>
      </c>
      <c r="BC315" s="747" t="s">
        <v>1730</v>
      </c>
      <c r="BD315" s="747" t="s">
        <v>1730</v>
      </c>
      <c r="BE315" s="186">
        <v>0.46</v>
      </c>
      <c r="BF315" s="186">
        <v>6.5000000000000002E-2</v>
      </c>
      <c r="BG315" s="12">
        <v>2.58</v>
      </c>
      <c r="BH315" s="11" t="s">
        <v>2066</v>
      </c>
      <c r="BI315" s="186" t="s">
        <v>1710</v>
      </c>
      <c r="BJ315" s="747" t="s">
        <v>2073</v>
      </c>
      <c r="BK315" s="747" t="s">
        <v>518</v>
      </c>
      <c r="BL315" s="747" t="s">
        <v>1730</v>
      </c>
      <c r="BM315" s="186">
        <v>6.7500000000000004E-2</v>
      </c>
      <c r="BN315" s="186">
        <v>0</v>
      </c>
      <c r="BO315" s="12">
        <v>2.23</v>
      </c>
      <c r="BP315" s="11" t="s">
        <v>2097</v>
      </c>
      <c r="BQ315" s="186" t="s">
        <v>1710</v>
      </c>
      <c r="BR315" s="747" t="s">
        <v>2101</v>
      </c>
      <c r="BS315" s="747" t="s">
        <v>518</v>
      </c>
      <c r="BT315" s="747" t="s">
        <v>1730</v>
      </c>
      <c r="BU315" s="186">
        <v>6.7500000000000004E-2</v>
      </c>
      <c r="BV315" s="186">
        <v>0</v>
      </c>
      <c r="BW315" s="12">
        <v>1.37</v>
      </c>
    </row>
    <row r="316" spans="1:75">
      <c r="A316" s="1" t="s">
        <v>901</v>
      </c>
      <c r="B316" s="1" t="s">
        <v>761</v>
      </c>
      <c r="C316" s="1" t="s">
        <v>894</v>
      </c>
      <c r="D316" s="1" t="s">
        <v>1953</v>
      </c>
      <c r="E316" s="1" t="s">
        <v>1837</v>
      </c>
      <c r="F316" s="1">
        <v>0.2</v>
      </c>
      <c r="G316" s="1">
        <v>0</v>
      </c>
      <c r="H316" s="1">
        <v>3</v>
      </c>
      <c r="I316" s="20" t="s">
        <v>691</v>
      </c>
      <c r="J316" s="1" t="s">
        <v>692</v>
      </c>
      <c r="AI316" s="757"/>
      <c r="AJ316" s="195" t="s">
        <v>2810</v>
      </c>
      <c r="AK316" s="186" t="s">
        <v>1953</v>
      </c>
      <c r="AL316" s="747" t="s">
        <v>1837</v>
      </c>
      <c r="AM316" s="747" t="s">
        <v>1730</v>
      </c>
      <c r="AN316" s="747" t="s">
        <v>1730</v>
      </c>
      <c r="AO316" s="186">
        <v>0.16500000000000001</v>
      </c>
      <c r="AP316" s="186">
        <v>0</v>
      </c>
      <c r="AQ316" s="12">
        <v>2.3199999999999998</v>
      </c>
      <c r="AR316" s="11" t="s">
        <v>2812</v>
      </c>
      <c r="AS316" s="186" t="s">
        <v>1953</v>
      </c>
      <c r="AT316" s="747" t="s">
        <v>1837</v>
      </c>
      <c r="AU316" s="747" t="s">
        <v>1730</v>
      </c>
      <c r="AV316" s="747" t="s">
        <v>1730</v>
      </c>
      <c r="AW316" s="186">
        <v>0.16500000000000001</v>
      </c>
      <c r="AX316" s="186">
        <v>0</v>
      </c>
      <c r="AY316" s="12">
        <v>3</v>
      </c>
      <c r="AZ316" s="11" t="s">
        <v>2032</v>
      </c>
      <c r="BA316" s="186" t="s">
        <v>1708</v>
      </c>
      <c r="BB316" s="747" t="s">
        <v>1811</v>
      </c>
      <c r="BC316" s="747" t="s">
        <v>1730</v>
      </c>
      <c r="BD316" s="747" t="s">
        <v>1730</v>
      </c>
      <c r="BE316" s="186">
        <v>0.35</v>
      </c>
      <c r="BF316" s="186">
        <v>2.3E-2</v>
      </c>
      <c r="BG316" s="12">
        <v>2.58</v>
      </c>
      <c r="BH316" s="11" t="s">
        <v>2066</v>
      </c>
      <c r="BI316" s="186" t="s">
        <v>1710</v>
      </c>
      <c r="BJ316" s="747" t="s">
        <v>2074</v>
      </c>
      <c r="BK316" s="747" t="s">
        <v>519</v>
      </c>
      <c r="BL316" s="747" t="s">
        <v>1730</v>
      </c>
      <c r="BM316" s="186">
        <v>3.7499999999999999E-2</v>
      </c>
      <c r="BN316" s="186">
        <v>0</v>
      </c>
      <c r="BO316" s="12">
        <v>2.23</v>
      </c>
      <c r="BP316" s="11" t="s">
        <v>2097</v>
      </c>
      <c r="BQ316" s="186" t="s">
        <v>1710</v>
      </c>
      <c r="BR316" s="747" t="s">
        <v>2102</v>
      </c>
      <c r="BS316" s="747" t="s">
        <v>519</v>
      </c>
      <c r="BT316" s="747" t="s">
        <v>1730</v>
      </c>
      <c r="BU316" s="186">
        <v>3.7499999999999999E-2</v>
      </c>
      <c r="BV316" s="186">
        <v>0</v>
      </c>
      <c r="BW316" s="12">
        <v>1.37</v>
      </c>
    </row>
    <row r="317" spans="1:75">
      <c r="A317" s="1" t="s">
        <v>902</v>
      </c>
      <c r="B317" s="1" t="s">
        <v>761</v>
      </c>
      <c r="C317" s="1" t="s">
        <v>894</v>
      </c>
      <c r="D317" s="1" t="s">
        <v>1803</v>
      </c>
      <c r="E317" s="1" t="s">
        <v>1828</v>
      </c>
      <c r="F317" s="1">
        <v>0.13</v>
      </c>
      <c r="G317" s="1">
        <v>0</v>
      </c>
      <c r="H317" s="1">
        <v>3</v>
      </c>
      <c r="I317" s="20" t="s">
        <v>684</v>
      </c>
      <c r="AI317" s="757"/>
      <c r="AJ317" s="195" t="s">
        <v>2811</v>
      </c>
      <c r="AK317" s="186" t="s">
        <v>1803</v>
      </c>
      <c r="AL317" s="747" t="s">
        <v>1954</v>
      </c>
      <c r="AM317" s="747" t="s">
        <v>1730</v>
      </c>
      <c r="AN317" s="747" t="s">
        <v>1730</v>
      </c>
      <c r="AO317" s="186">
        <v>0.1</v>
      </c>
      <c r="AP317" s="186">
        <v>0</v>
      </c>
      <c r="AQ317" s="12">
        <v>2.3199999999999998</v>
      </c>
      <c r="AR317" s="11" t="s">
        <v>2812</v>
      </c>
      <c r="AS317" s="186" t="s">
        <v>1803</v>
      </c>
      <c r="AT317" s="747" t="s">
        <v>1954</v>
      </c>
      <c r="AU317" s="747" t="s">
        <v>1730</v>
      </c>
      <c r="AV317" s="747" t="s">
        <v>1730</v>
      </c>
      <c r="AW317" s="186">
        <v>0.1</v>
      </c>
      <c r="AX317" s="186">
        <v>0</v>
      </c>
      <c r="AY317" s="12">
        <v>3</v>
      </c>
      <c r="AZ317" s="11" t="s">
        <v>2032</v>
      </c>
      <c r="BA317" s="186" t="s">
        <v>1708</v>
      </c>
      <c r="BB317" s="747" t="s">
        <v>1813</v>
      </c>
      <c r="BC317" s="747" t="s">
        <v>1730</v>
      </c>
      <c r="BD317" s="747" t="s">
        <v>1730</v>
      </c>
      <c r="BE317" s="186">
        <v>0.17499999999999999</v>
      </c>
      <c r="BF317" s="186">
        <v>1.15E-2</v>
      </c>
      <c r="BG317" s="12">
        <v>2.58</v>
      </c>
      <c r="BH317" s="11" t="s">
        <v>2066</v>
      </c>
      <c r="BI317" s="186" t="s">
        <v>1710</v>
      </c>
      <c r="BJ317" s="747" t="s">
        <v>2075</v>
      </c>
      <c r="BK317" s="747" t="s">
        <v>519</v>
      </c>
      <c r="BL317" s="747" t="s">
        <v>1730</v>
      </c>
      <c r="BM317" s="186">
        <v>3.7499999999999999E-2</v>
      </c>
      <c r="BN317" s="186">
        <v>0</v>
      </c>
      <c r="BO317" s="12">
        <v>2.23</v>
      </c>
      <c r="BP317" s="11" t="s">
        <v>2097</v>
      </c>
      <c r="BQ317" s="186" t="s">
        <v>1710</v>
      </c>
      <c r="BR317" s="747" t="s">
        <v>2103</v>
      </c>
      <c r="BS317" s="747" t="s">
        <v>519</v>
      </c>
      <c r="BT317" s="747" t="s">
        <v>1730</v>
      </c>
      <c r="BU317" s="186">
        <v>3.7499999999999999E-2</v>
      </c>
      <c r="BV317" s="186">
        <v>0</v>
      </c>
      <c r="BW317" s="12">
        <v>1.37</v>
      </c>
    </row>
    <row r="318" spans="1:75">
      <c r="A318" s="1" t="s">
        <v>903</v>
      </c>
      <c r="B318" s="1" t="s">
        <v>761</v>
      </c>
      <c r="C318" s="1" t="s">
        <v>894</v>
      </c>
      <c r="D318" s="1" t="s">
        <v>1803</v>
      </c>
      <c r="E318" s="1" t="s">
        <v>1829</v>
      </c>
      <c r="F318" s="1">
        <v>6.5000000000000002E-2</v>
      </c>
      <c r="G318" s="1">
        <v>0</v>
      </c>
      <c r="H318" s="1">
        <v>3</v>
      </c>
      <c r="I318" s="20" t="s">
        <v>691</v>
      </c>
      <c r="J318" s="1" t="s">
        <v>692</v>
      </c>
      <c r="AI318" s="757"/>
      <c r="AJ318" s="195" t="s">
        <v>2810</v>
      </c>
      <c r="AK318" s="186" t="s">
        <v>1803</v>
      </c>
      <c r="AL318" s="747" t="s">
        <v>1955</v>
      </c>
      <c r="AM318" s="747" t="s">
        <v>1730</v>
      </c>
      <c r="AN318" s="747" t="s">
        <v>1730</v>
      </c>
      <c r="AO318" s="186">
        <v>0.05</v>
      </c>
      <c r="AP318" s="186">
        <v>0</v>
      </c>
      <c r="AQ318" s="12">
        <v>2.3199999999999998</v>
      </c>
      <c r="AR318" s="11" t="s">
        <v>2812</v>
      </c>
      <c r="AS318" s="186" t="s">
        <v>1803</v>
      </c>
      <c r="AT318" s="747" t="s">
        <v>1955</v>
      </c>
      <c r="AU318" s="747" t="s">
        <v>1730</v>
      </c>
      <c r="AV318" s="747" t="s">
        <v>1730</v>
      </c>
      <c r="AW318" s="186">
        <v>0.05</v>
      </c>
      <c r="AX318" s="186">
        <v>0</v>
      </c>
      <c r="AY318" s="12">
        <v>3</v>
      </c>
      <c r="AZ318" s="11" t="s">
        <v>2032</v>
      </c>
      <c r="BA318" s="186" t="s">
        <v>1708</v>
      </c>
      <c r="BB318" s="747" t="s">
        <v>1812</v>
      </c>
      <c r="BC318" s="747" t="s">
        <v>1730</v>
      </c>
      <c r="BD318" s="747" t="s">
        <v>1730</v>
      </c>
      <c r="BE318" s="186">
        <v>0.35</v>
      </c>
      <c r="BF318" s="186">
        <v>2.3E-2</v>
      </c>
      <c r="BG318" s="12">
        <v>2.58</v>
      </c>
      <c r="BH318" s="11" t="s">
        <v>2066</v>
      </c>
      <c r="BI318" s="186" t="s">
        <v>1710</v>
      </c>
      <c r="BJ318" s="747" t="s">
        <v>2076</v>
      </c>
      <c r="BK318" s="747" t="s">
        <v>520</v>
      </c>
      <c r="BL318" s="747" t="s">
        <v>1730</v>
      </c>
      <c r="BM318" s="186">
        <v>1.8749999999999999E-2</v>
      </c>
      <c r="BN318" s="186">
        <v>0</v>
      </c>
      <c r="BO318" s="12">
        <v>2.23</v>
      </c>
      <c r="BP318" s="11" t="s">
        <v>2097</v>
      </c>
      <c r="BQ318" s="186" t="s">
        <v>1710</v>
      </c>
      <c r="BR318" s="747" t="s">
        <v>2104</v>
      </c>
      <c r="BS318" s="747" t="s">
        <v>520</v>
      </c>
      <c r="BT318" s="747" t="s">
        <v>1730</v>
      </c>
      <c r="BU318" s="186">
        <v>1.8749999999999999E-2</v>
      </c>
      <c r="BV318" s="186">
        <v>0</v>
      </c>
      <c r="BW318" s="12">
        <v>1.37</v>
      </c>
    </row>
    <row r="319" spans="1:75">
      <c r="A319" s="1" t="s">
        <v>904</v>
      </c>
      <c r="B319" s="1" t="s">
        <v>761</v>
      </c>
      <c r="C319" s="1" t="s">
        <v>894</v>
      </c>
      <c r="D319" s="1" t="s">
        <v>1803</v>
      </c>
      <c r="E319" s="1" t="s">
        <v>1921</v>
      </c>
      <c r="F319" s="1">
        <v>9.7500000000000003E-2</v>
      </c>
      <c r="G319" s="1">
        <v>0</v>
      </c>
      <c r="H319" s="1">
        <v>3</v>
      </c>
      <c r="I319" s="20" t="s">
        <v>684</v>
      </c>
      <c r="J319" s="1" t="s">
        <v>515</v>
      </c>
      <c r="AI319" s="757"/>
      <c r="AJ319" s="195" t="s">
        <v>2811</v>
      </c>
      <c r="AK319" s="186" t="s">
        <v>1803</v>
      </c>
      <c r="AL319" s="747" t="s">
        <v>1956</v>
      </c>
      <c r="AM319" s="747" t="s">
        <v>515</v>
      </c>
      <c r="AN319" s="747" t="s">
        <v>1730</v>
      </c>
      <c r="AO319" s="186">
        <v>7.4999999999999997E-2</v>
      </c>
      <c r="AP319" s="186">
        <v>0</v>
      </c>
      <c r="AQ319" s="12">
        <v>2.3199999999999998</v>
      </c>
      <c r="AR319" s="11" t="s">
        <v>2809</v>
      </c>
      <c r="AS319" s="186" t="s">
        <v>1803</v>
      </c>
      <c r="AT319" s="747" t="s">
        <v>1956</v>
      </c>
      <c r="AU319" s="747" t="s">
        <v>515</v>
      </c>
      <c r="AV319" s="747" t="s">
        <v>1730</v>
      </c>
      <c r="AW319" s="186">
        <v>7.4999999999999997E-2</v>
      </c>
      <c r="AX319" s="186">
        <v>0</v>
      </c>
      <c r="AY319" s="12">
        <v>3</v>
      </c>
      <c r="AZ319" s="11" t="s">
        <v>2032</v>
      </c>
      <c r="BA319" s="186" t="s">
        <v>1708</v>
      </c>
      <c r="BB319" s="747" t="s">
        <v>1814</v>
      </c>
      <c r="BC319" s="747" t="s">
        <v>1730</v>
      </c>
      <c r="BD319" s="747" t="s">
        <v>1730</v>
      </c>
      <c r="BE319" s="186">
        <v>0.17499999999999999</v>
      </c>
      <c r="BF319" s="186">
        <v>1.15E-2</v>
      </c>
      <c r="BG319" s="12">
        <v>2.58</v>
      </c>
      <c r="BH319" s="11" t="s">
        <v>2066</v>
      </c>
      <c r="BI319" s="186" t="s">
        <v>1710</v>
      </c>
      <c r="BJ319" s="747" t="s">
        <v>2077</v>
      </c>
      <c r="BK319" s="747" t="s">
        <v>520</v>
      </c>
      <c r="BL319" s="747" t="s">
        <v>1730</v>
      </c>
      <c r="BM319" s="186">
        <v>1.8749999999999999E-2</v>
      </c>
      <c r="BN319" s="186">
        <v>0</v>
      </c>
      <c r="BO319" s="12">
        <v>2.23</v>
      </c>
      <c r="BP319" s="11" t="s">
        <v>2097</v>
      </c>
      <c r="BQ319" s="186" t="s">
        <v>1710</v>
      </c>
      <c r="BR319" s="747" t="s">
        <v>2105</v>
      </c>
      <c r="BS319" s="747" t="s">
        <v>520</v>
      </c>
      <c r="BT319" s="747" t="s">
        <v>1730</v>
      </c>
      <c r="BU319" s="186">
        <v>1.8749999999999999E-2</v>
      </c>
      <c r="BV319" s="186">
        <v>0</v>
      </c>
      <c r="BW319" s="12">
        <v>1.37</v>
      </c>
    </row>
    <row r="320" spans="1:75">
      <c r="A320" s="1" t="s">
        <v>905</v>
      </c>
      <c r="B320" s="1" t="s">
        <v>761</v>
      </c>
      <c r="C320" s="1" t="s">
        <v>894</v>
      </c>
      <c r="D320" s="1" t="s">
        <v>1803</v>
      </c>
      <c r="E320" s="1" t="s">
        <v>1924</v>
      </c>
      <c r="F320" s="1">
        <v>9.7500000000000003E-2</v>
      </c>
      <c r="G320" s="1">
        <v>0</v>
      </c>
      <c r="H320" s="1">
        <v>3</v>
      </c>
      <c r="I320" s="20" t="s">
        <v>691</v>
      </c>
      <c r="J320" s="1" t="s">
        <v>697</v>
      </c>
      <c r="AI320" s="757"/>
      <c r="AJ320" s="195" t="s">
        <v>2716</v>
      </c>
      <c r="AK320" s="186" t="s">
        <v>1803</v>
      </c>
      <c r="AL320" s="747" t="s">
        <v>1957</v>
      </c>
      <c r="AM320" s="747" t="s">
        <v>515</v>
      </c>
      <c r="AN320" s="747" t="s">
        <v>1730</v>
      </c>
      <c r="AO320" s="186">
        <v>7.4999999999999997E-2</v>
      </c>
      <c r="AP320" s="186">
        <v>0</v>
      </c>
      <c r="AQ320" s="12">
        <v>2.3199999999999998</v>
      </c>
      <c r="AR320" s="11" t="s">
        <v>2809</v>
      </c>
      <c r="AS320" s="186" t="s">
        <v>1803</v>
      </c>
      <c r="AT320" s="747" t="s">
        <v>1957</v>
      </c>
      <c r="AU320" s="747" t="s">
        <v>515</v>
      </c>
      <c r="AV320" s="747" t="s">
        <v>1730</v>
      </c>
      <c r="AW320" s="186">
        <v>7.4999999999999997E-2</v>
      </c>
      <c r="AX320" s="186">
        <v>0</v>
      </c>
      <c r="AY320" s="12">
        <v>3</v>
      </c>
      <c r="AZ320" s="11" t="s">
        <v>2032</v>
      </c>
      <c r="BA320" s="186" t="s">
        <v>2033</v>
      </c>
      <c r="BB320" s="747" t="s">
        <v>2034</v>
      </c>
      <c r="BC320" s="747" t="s">
        <v>515</v>
      </c>
      <c r="BD320" s="747" t="s">
        <v>1730</v>
      </c>
      <c r="BE320" s="186">
        <v>0.26250000000000001</v>
      </c>
      <c r="BF320" s="186">
        <v>1.7250000000000001E-2</v>
      </c>
      <c r="BG320" s="12">
        <v>2.58</v>
      </c>
      <c r="BH320" s="11" t="s">
        <v>2066</v>
      </c>
      <c r="BI320" s="186" t="s">
        <v>1710</v>
      </c>
      <c r="BJ320" s="747" t="s">
        <v>1502</v>
      </c>
      <c r="BK320" s="747" t="s">
        <v>254</v>
      </c>
      <c r="BL320" s="747" t="s">
        <v>1730</v>
      </c>
      <c r="BM320" s="186">
        <v>6.7500000000000004E-2</v>
      </c>
      <c r="BN320" s="186">
        <v>0</v>
      </c>
      <c r="BO320" s="12">
        <v>2.23</v>
      </c>
      <c r="BP320" s="11" t="s">
        <v>2097</v>
      </c>
      <c r="BQ320" s="186" t="s">
        <v>523</v>
      </c>
      <c r="BR320" s="747" t="s">
        <v>1526</v>
      </c>
      <c r="BS320" s="747" t="s">
        <v>1730</v>
      </c>
      <c r="BT320" s="747" t="s">
        <v>1730</v>
      </c>
      <c r="BU320" s="186">
        <v>2.5000000000000001E-2</v>
      </c>
      <c r="BV320" s="186">
        <v>0</v>
      </c>
      <c r="BW320" s="12">
        <v>1.37</v>
      </c>
    </row>
    <row r="321" spans="1:75">
      <c r="A321" s="1" t="s">
        <v>906</v>
      </c>
      <c r="B321" s="1" t="s">
        <v>761</v>
      </c>
      <c r="C321" s="1" t="s">
        <v>894</v>
      </c>
      <c r="D321" s="1" t="s">
        <v>1803</v>
      </c>
      <c r="E321" s="1" t="s">
        <v>1927</v>
      </c>
      <c r="F321" s="1">
        <v>6.5000000000000002E-2</v>
      </c>
      <c r="G321" s="1">
        <v>0</v>
      </c>
      <c r="H321" s="1">
        <v>3</v>
      </c>
      <c r="I321" s="20" t="s">
        <v>684</v>
      </c>
      <c r="J321" s="1" t="s">
        <v>516</v>
      </c>
      <c r="AI321" s="757"/>
      <c r="AJ321" s="195" t="s">
        <v>2810</v>
      </c>
      <c r="AK321" s="186" t="s">
        <v>1803</v>
      </c>
      <c r="AL321" s="747" t="s">
        <v>1958</v>
      </c>
      <c r="AM321" s="747" t="s">
        <v>516</v>
      </c>
      <c r="AN321" s="747" t="s">
        <v>1730</v>
      </c>
      <c r="AO321" s="186">
        <v>0.05</v>
      </c>
      <c r="AP321" s="186">
        <v>0</v>
      </c>
      <c r="AQ321" s="12">
        <v>2.3199999999999998</v>
      </c>
      <c r="AR321" s="11" t="s">
        <v>2809</v>
      </c>
      <c r="AS321" s="186" t="s">
        <v>1803</v>
      </c>
      <c r="AT321" s="747" t="s">
        <v>1958</v>
      </c>
      <c r="AU321" s="747" t="s">
        <v>516</v>
      </c>
      <c r="AV321" s="747" t="s">
        <v>1730</v>
      </c>
      <c r="AW321" s="186">
        <v>0.05</v>
      </c>
      <c r="AX321" s="186">
        <v>0</v>
      </c>
      <c r="AY321" s="12">
        <v>3</v>
      </c>
      <c r="AZ321" s="11" t="s">
        <v>2032</v>
      </c>
      <c r="BA321" s="186" t="s">
        <v>2033</v>
      </c>
      <c r="BB321" s="747" t="s">
        <v>2035</v>
      </c>
      <c r="BC321" s="747" t="s">
        <v>515</v>
      </c>
      <c r="BD321" s="747" t="s">
        <v>1730</v>
      </c>
      <c r="BE321" s="186">
        <v>0.26250000000000001</v>
      </c>
      <c r="BF321" s="186">
        <v>1.7250000000000001E-2</v>
      </c>
      <c r="BG321" s="12">
        <v>2.58</v>
      </c>
      <c r="BH321" s="11" t="s">
        <v>2066</v>
      </c>
      <c r="BI321" s="186" t="s">
        <v>1710</v>
      </c>
      <c r="BJ321" s="747" t="s">
        <v>1503</v>
      </c>
      <c r="BK321" s="747" t="s">
        <v>254</v>
      </c>
      <c r="BL321" s="747" t="s">
        <v>1730</v>
      </c>
      <c r="BM321" s="186">
        <v>6.7500000000000004E-2</v>
      </c>
      <c r="BN321" s="186">
        <v>0</v>
      </c>
      <c r="BO321" s="12">
        <v>2.23</v>
      </c>
      <c r="BP321" s="11" t="s">
        <v>2097</v>
      </c>
      <c r="BQ321" s="186" t="s">
        <v>523</v>
      </c>
      <c r="BR321" s="747" t="s">
        <v>1527</v>
      </c>
      <c r="BS321" s="747" t="s">
        <v>1730</v>
      </c>
      <c r="BT321" s="747" t="s">
        <v>1730</v>
      </c>
      <c r="BU321" s="186">
        <v>1.2500000000000001E-2</v>
      </c>
      <c r="BV321" s="186">
        <v>0</v>
      </c>
      <c r="BW321" s="12">
        <v>1.37</v>
      </c>
    </row>
    <row r="322" spans="1:75">
      <c r="A322" s="1" t="s">
        <v>907</v>
      </c>
      <c r="B322" s="1" t="s">
        <v>761</v>
      </c>
      <c r="C322" s="1" t="s">
        <v>894</v>
      </c>
      <c r="D322" s="1" t="s">
        <v>1803</v>
      </c>
      <c r="E322" s="1" t="s">
        <v>1931</v>
      </c>
      <c r="F322" s="1">
        <v>6.5000000000000002E-2</v>
      </c>
      <c r="G322" s="1">
        <v>0</v>
      </c>
      <c r="H322" s="1">
        <v>3</v>
      </c>
      <c r="I322" s="20" t="s">
        <v>691</v>
      </c>
      <c r="J322" s="1" t="s">
        <v>700</v>
      </c>
      <c r="AI322" s="757"/>
      <c r="AJ322" s="195" t="s">
        <v>2810</v>
      </c>
      <c r="AK322" s="186" t="s">
        <v>1803</v>
      </c>
      <c r="AL322" s="747" t="s">
        <v>1959</v>
      </c>
      <c r="AM322" s="747" t="s">
        <v>516</v>
      </c>
      <c r="AN322" s="747" t="s">
        <v>1730</v>
      </c>
      <c r="AO322" s="186">
        <v>0.05</v>
      </c>
      <c r="AP322" s="186">
        <v>0</v>
      </c>
      <c r="AQ322" s="12">
        <v>2.3199999999999998</v>
      </c>
      <c r="AR322" s="11" t="s">
        <v>2809</v>
      </c>
      <c r="AS322" s="186" t="s">
        <v>1803</v>
      </c>
      <c r="AT322" s="747" t="s">
        <v>1959</v>
      </c>
      <c r="AU322" s="747" t="s">
        <v>516</v>
      </c>
      <c r="AV322" s="747" t="s">
        <v>1730</v>
      </c>
      <c r="AW322" s="186">
        <v>0.05</v>
      </c>
      <c r="AX322" s="186">
        <v>0</v>
      </c>
      <c r="AY322" s="12">
        <v>3</v>
      </c>
      <c r="AZ322" s="11" t="s">
        <v>2032</v>
      </c>
      <c r="BA322" s="186" t="s">
        <v>2033</v>
      </c>
      <c r="BB322" s="747" t="s">
        <v>2036</v>
      </c>
      <c r="BC322" s="747" t="s">
        <v>516</v>
      </c>
      <c r="BD322" s="747" t="s">
        <v>1730</v>
      </c>
      <c r="BE322" s="186">
        <v>0.17499999999999999</v>
      </c>
      <c r="BF322" s="186">
        <v>1.15E-2</v>
      </c>
      <c r="BG322" s="12">
        <v>2.58</v>
      </c>
      <c r="BH322" s="11" t="s">
        <v>2066</v>
      </c>
      <c r="BI322" s="186" t="s">
        <v>1710</v>
      </c>
      <c r="BJ322" s="747" t="s">
        <v>1504</v>
      </c>
      <c r="BK322" s="747" t="s">
        <v>559</v>
      </c>
      <c r="BL322" s="747" t="s">
        <v>1730</v>
      </c>
      <c r="BM322" s="186">
        <v>7.4999999999999997E-2</v>
      </c>
      <c r="BN322" s="186">
        <v>0</v>
      </c>
      <c r="BO322" s="12">
        <v>2.23</v>
      </c>
      <c r="BP322" s="11" t="s">
        <v>2097</v>
      </c>
      <c r="BQ322" s="186" t="s">
        <v>523</v>
      </c>
      <c r="BR322" s="747" t="s">
        <v>1528</v>
      </c>
      <c r="BS322" s="747" t="s">
        <v>519</v>
      </c>
      <c r="BT322" s="747" t="s">
        <v>1730</v>
      </c>
      <c r="BU322" s="186">
        <v>1.2500000000000001E-2</v>
      </c>
      <c r="BV322" s="186">
        <v>0</v>
      </c>
      <c r="BW322" s="12">
        <v>1.37</v>
      </c>
    </row>
    <row r="323" spans="1:75">
      <c r="A323" s="1" t="s">
        <v>908</v>
      </c>
      <c r="B323" s="1" t="s">
        <v>761</v>
      </c>
      <c r="C323" s="1" t="s">
        <v>894</v>
      </c>
      <c r="D323" s="1" t="s">
        <v>1803</v>
      </c>
      <c r="E323" s="1" t="s">
        <v>1935</v>
      </c>
      <c r="F323" s="1">
        <v>3.2500000000000001E-2</v>
      </c>
      <c r="G323" s="1">
        <v>0</v>
      </c>
      <c r="H323" s="1">
        <v>3</v>
      </c>
      <c r="I323" s="20" t="s">
        <v>684</v>
      </c>
      <c r="J323" s="1" t="s">
        <v>517</v>
      </c>
      <c r="AI323" s="757"/>
      <c r="AJ323" s="195" t="s">
        <v>2810</v>
      </c>
      <c r="AK323" s="186" t="s">
        <v>1803</v>
      </c>
      <c r="AL323" s="747" t="s">
        <v>1960</v>
      </c>
      <c r="AM323" s="747" t="s">
        <v>517</v>
      </c>
      <c r="AN323" s="747" t="s">
        <v>1730</v>
      </c>
      <c r="AO323" s="186">
        <v>2.5000000000000001E-2</v>
      </c>
      <c r="AP323" s="186">
        <v>0</v>
      </c>
      <c r="AQ323" s="12">
        <v>2.3199999999999998</v>
      </c>
      <c r="AR323" s="11" t="s">
        <v>2809</v>
      </c>
      <c r="AS323" s="186" t="s">
        <v>1803</v>
      </c>
      <c r="AT323" s="747" t="s">
        <v>1960</v>
      </c>
      <c r="AU323" s="747" t="s">
        <v>517</v>
      </c>
      <c r="AV323" s="747" t="s">
        <v>1730</v>
      </c>
      <c r="AW323" s="186">
        <v>2.5000000000000001E-2</v>
      </c>
      <c r="AX323" s="186">
        <v>0</v>
      </c>
      <c r="AY323" s="12">
        <v>3</v>
      </c>
      <c r="AZ323" s="11" t="s">
        <v>2032</v>
      </c>
      <c r="BA323" s="186" t="s">
        <v>2033</v>
      </c>
      <c r="BB323" s="747" t="s">
        <v>2037</v>
      </c>
      <c r="BC323" s="747" t="s">
        <v>516</v>
      </c>
      <c r="BD323" s="747" t="s">
        <v>1730</v>
      </c>
      <c r="BE323" s="186">
        <v>0.17499999999999999</v>
      </c>
      <c r="BF323" s="186">
        <v>1.15E-2</v>
      </c>
      <c r="BG323" s="12">
        <v>2.58</v>
      </c>
      <c r="BH323" s="11" t="s">
        <v>2066</v>
      </c>
      <c r="BI323" s="186" t="s">
        <v>1710</v>
      </c>
      <c r="BJ323" s="747" t="s">
        <v>1505</v>
      </c>
      <c r="BK323" s="747" t="s">
        <v>559</v>
      </c>
      <c r="BL323" s="747" t="s">
        <v>1730</v>
      </c>
      <c r="BM323" s="186">
        <v>7.4999999999999997E-2</v>
      </c>
      <c r="BN323" s="186">
        <v>0</v>
      </c>
      <c r="BO323" s="12">
        <v>2.23</v>
      </c>
      <c r="BP323" s="11" t="s">
        <v>2097</v>
      </c>
      <c r="BQ323" s="186" t="s">
        <v>523</v>
      </c>
      <c r="BR323" s="747" t="s">
        <v>1529</v>
      </c>
      <c r="BS323" s="747" t="s">
        <v>519</v>
      </c>
      <c r="BT323" s="747" t="s">
        <v>1730</v>
      </c>
      <c r="BU323" s="186">
        <v>1.2500000000000001E-2</v>
      </c>
      <c r="BV323" s="186">
        <v>0</v>
      </c>
      <c r="BW323" s="12">
        <v>1.37</v>
      </c>
    </row>
    <row r="324" spans="1:75">
      <c r="A324" s="1" t="s">
        <v>909</v>
      </c>
      <c r="B324" s="1" t="s">
        <v>761</v>
      </c>
      <c r="C324" s="1" t="s">
        <v>894</v>
      </c>
      <c r="D324" s="1" t="s">
        <v>1803</v>
      </c>
      <c r="E324" s="1" t="s">
        <v>1939</v>
      </c>
      <c r="F324" s="1">
        <v>3.2500000000000001E-2</v>
      </c>
      <c r="G324" s="1">
        <v>0</v>
      </c>
      <c r="H324" s="1">
        <v>3</v>
      </c>
      <c r="I324" s="20" t="s">
        <v>691</v>
      </c>
      <c r="J324" s="1" t="s">
        <v>703</v>
      </c>
      <c r="AI324" s="757"/>
      <c r="AJ324" s="195" t="s">
        <v>2810</v>
      </c>
      <c r="AK324" s="186" t="s">
        <v>1803</v>
      </c>
      <c r="AL324" s="747" t="s">
        <v>1961</v>
      </c>
      <c r="AM324" s="747" t="s">
        <v>517</v>
      </c>
      <c r="AN324" s="747" t="s">
        <v>1730</v>
      </c>
      <c r="AO324" s="186">
        <v>2.5000000000000001E-2</v>
      </c>
      <c r="AP324" s="186">
        <v>0</v>
      </c>
      <c r="AQ324" s="12">
        <v>2.3199999999999998</v>
      </c>
      <c r="AR324" s="11" t="s">
        <v>2812</v>
      </c>
      <c r="AS324" s="186" t="s">
        <v>1803</v>
      </c>
      <c r="AT324" s="747" t="s">
        <v>1961</v>
      </c>
      <c r="AU324" s="747" t="s">
        <v>517</v>
      </c>
      <c r="AV324" s="747" t="s">
        <v>1730</v>
      </c>
      <c r="AW324" s="186">
        <v>2.5000000000000001E-2</v>
      </c>
      <c r="AX324" s="186">
        <v>0</v>
      </c>
      <c r="AY324" s="12">
        <v>3</v>
      </c>
      <c r="AZ324" s="11" t="s">
        <v>2032</v>
      </c>
      <c r="BA324" s="186" t="s">
        <v>2033</v>
      </c>
      <c r="BB324" s="747" t="s">
        <v>2038</v>
      </c>
      <c r="BC324" s="747" t="s">
        <v>517</v>
      </c>
      <c r="BD324" s="747" t="s">
        <v>1730</v>
      </c>
      <c r="BE324" s="186">
        <v>8.7499999999999994E-2</v>
      </c>
      <c r="BF324" s="186">
        <v>5.7499999999999999E-3</v>
      </c>
      <c r="BG324" s="12">
        <v>2.58</v>
      </c>
      <c r="BH324" s="11" t="s">
        <v>2066</v>
      </c>
      <c r="BI324" s="186" t="s">
        <v>523</v>
      </c>
      <c r="BJ324" s="747" t="s">
        <v>1506</v>
      </c>
      <c r="BK324" s="747" t="s">
        <v>1730</v>
      </c>
      <c r="BL324" s="747" t="s">
        <v>1730</v>
      </c>
      <c r="BM324" s="186">
        <v>2.5000000000000001E-2</v>
      </c>
      <c r="BN324" s="186">
        <v>0</v>
      </c>
      <c r="BO324" s="12">
        <v>2.23</v>
      </c>
      <c r="BP324" s="11" t="s">
        <v>2097</v>
      </c>
      <c r="BQ324" s="186" t="s">
        <v>523</v>
      </c>
      <c r="BR324" s="747" t="s">
        <v>1530</v>
      </c>
      <c r="BS324" s="747" t="s">
        <v>520</v>
      </c>
      <c r="BT324" s="747" t="s">
        <v>1730</v>
      </c>
      <c r="BU324" s="186">
        <v>6.2500000000000003E-3</v>
      </c>
      <c r="BV324" s="186">
        <v>0</v>
      </c>
      <c r="BW324" s="12">
        <v>1.37</v>
      </c>
    </row>
    <row r="325" spans="1:75">
      <c r="A325" s="1" t="s">
        <v>910</v>
      </c>
      <c r="B325" s="1" t="s">
        <v>761</v>
      </c>
      <c r="C325" s="1" t="s">
        <v>894</v>
      </c>
      <c r="D325" s="1" t="s">
        <v>1710</v>
      </c>
      <c r="E325" s="1" t="s">
        <v>1944</v>
      </c>
      <c r="F325" s="1">
        <v>7.0000000000000007E-2</v>
      </c>
      <c r="G325" s="1">
        <v>0</v>
      </c>
      <c r="H325" s="1">
        <v>3</v>
      </c>
      <c r="I325" s="20" t="s">
        <v>684</v>
      </c>
      <c r="AI325" s="757"/>
      <c r="AJ325" s="195" t="s">
        <v>2811</v>
      </c>
      <c r="AK325" s="186" t="s">
        <v>1710</v>
      </c>
      <c r="AL325" s="747" t="s">
        <v>1962</v>
      </c>
      <c r="AM325" s="747" t="s">
        <v>1730</v>
      </c>
      <c r="AN325" s="693" t="s">
        <v>1730</v>
      </c>
      <c r="AO325" s="186">
        <v>0.05</v>
      </c>
      <c r="AP325" s="186">
        <v>0</v>
      </c>
      <c r="AQ325" s="12">
        <v>2.3199999999999998</v>
      </c>
      <c r="AR325" s="11" t="s">
        <v>2812</v>
      </c>
      <c r="AS325" s="186" t="s">
        <v>1710</v>
      </c>
      <c r="AT325" s="747" t="s">
        <v>1962</v>
      </c>
      <c r="AU325" s="747" t="s">
        <v>1730</v>
      </c>
      <c r="AV325" s="693" t="s">
        <v>1730</v>
      </c>
      <c r="AW325" s="186">
        <v>0.05</v>
      </c>
      <c r="AX325" s="186">
        <v>0</v>
      </c>
      <c r="AY325" s="12">
        <v>3</v>
      </c>
      <c r="AZ325" s="11" t="s">
        <v>2032</v>
      </c>
      <c r="BA325" s="186" t="s">
        <v>2033</v>
      </c>
      <c r="BB325" s="747" t="s">
        <v>2039</v>
      </c>
      <c r="BC325" s="747" t="s">
        <v>517</v>
      </c>
      <c r="BD325" s="747" t="s">
        <v>1730</v>
      </c>
      <c r="BE325" s="186">
        <v>8.7499999999999994E-2</v>
      </c>
      <c r="BF325" s="186">
        <v>5.7499999999999999E-3</v>
      </c>
      <c r="BG325" s="12">
        <v>2.58</v>
      </c>
      <c r="BH325" s="11" t="s">
        <v>2066</v>
      </c>
      <c r="BI325" s="186" t="s">
        <v>523</v>
      </c>
      <c r="BJ325" s="747" t="s">
        <v>1507</v>
      </c>
      <c r="BK325" s="747" t="s">
        <v>1730</v>
      </c>
      <c r="BL325" s="747" t="s">
        <v>1730</v>
      </c>
      <c r="BM325" s="186">
        <v>1.2500000000000001E-2</v>
      </c>
      <c r="BN325" s="186">
        <v>0</v>
      </c>
      <c r="BO325" s="12">
        <v>2.23</v>
      </c>
      <c r="BP325" s="11" t="s">
        <v>2097</v>
      </c>
      <c r="BQ325" s="186" t="s">
        <v>523</v>
      </c>
      <c r="BR325" s="747" t="s">
        <v>1531</v>
      </c>
      <c r="BS325" s="747" t="s">
        <v>520</v>
      </c>
      <c r="BT325" s="747" t="s">
        <v>1730</v>
      </c>
      <c r="BU325" s="186">
        <v>6.2500000000000003E-3</v>
      </c>
      <c r="BV325" s="186">
        <v>0</v>
      </c>
      <c r="BW325" s="12">
        <v>1.37</v>
      </c>
    </row>
    <row r="326" spans="1:75">
      <c r="A326" s="1" t="s">
        <v>911</v>
      </c>
      <c r="B326" s="1" t="s">
        <v>761</v>
      </c>
      <c r="C326" s="1" t="s">
        <v>894</v>
      </c>
      <c r="D326" s="1" t="s">
        <v>1710</v>
      </c>
      <c r="E326" s="1" t="s">
        <v>1945</v>
      </c>
      <c r="F326" s="1">
        <v>3.5000000000000003E-2</v>
      </c>
      <c r="G326" s="1">
        <v>0</v>
      </c>
      <c r="H326" s="1">
        <v>3</v>
      </c>
      <c r="I326" s="20" t="s">
        <v>691</v>
      </c>
      <c r="J326" s="1" t="s">
        <v>692</v>
      </c>
      <c r="AI326" s="757"/>
      <c r="AJ326" s="195" t="s">
        <v>2810</v>
      </c>
      <c r="AK326" s="186" t="s">
        <v>1710</v>
      </c>
      <c r="AL326" s="747" t="s">
        <v>1963</v>
      </c>
      <c r="AM326" s="747" t="s">
        <v>1730</v>
      </c>
      <c r="AN326" s="693" t="s">
        <v>1730</v>
      </c>
      <c r="AO326" s="186">
        <v>2.5000000000000001E-2</v>
      </c>
      <c r="AP326" s="186">
        <v>0</v>
      </c>
      <c r="AQ326" s="12">
        <v>2.3199999999999998</v>
      </c>
      <c r="AR326" s="11" t="s">
        <v>2809</v>
      </c>
      <c r="AS326" s="186" t="s">
        <v>1710</v>
      </c>
      <c r="AT326" s="747" t="s">
        <v>1963</v>
      </c>
      <c r="AU326" s="747" t="s">
        <v>1730</v>
      </c>
      <c r="AV326" s="693" t="s">
        <v>1730</v>
      </c>
      <c r="AW326" s="186">
        <v>2.5000000000000001E-2</v>
      </c>
      <c r="AX326" s="186">
        <v>0</v>
      </c>
      <c r="AY326" s="12">
        <v>3</v>
      </c>
      <c r="AZ326" s="11" t="s">
        <v>2032</v>
      </c>
      <c r="BA326" s="186" t="s">
        <v>2040</v>
      </c>
      <c r="BB326" s="747" t="s">
        <v>2041</v>
      </c>
      <c r="BC326" s="747" t="s">
        <v>515</v>
      </c>
      <c r="BD326" s="747" t="s">
        <v>1730</v>
      </c>
      <c r="BE326" s="186">
        <v>0.26250000000000001</v>
      </c>
      <c r="BF326" s="186">
        <v>1.7250000000000001E-2</v>
      </c>
      <c r="BG326" s="12">
        <v>2.58</v>
      </c>
      <c r="BH326" s="11" t="s">
        <v>2066</v>
      </c>
      <c r="BI326" s="186" t="s">
        <v>523</v>
      </c>
      <c r="BJ326" s="747" t="s">
        <v>1508</v>
      </c>
      <c r="BK326" s="747" t="s">
        <v>519</v>
      </c>
      <c r="BL326" s="747" t="s">
        <v>1730</v>
      </c>
      <c r="BM326" s="186">
        <v>1.2500000000000001E-2</v>
      </c>
      <c r="BN326" s="186">
        <v>0</v>
      </c>
      <c r="BO326" s="12">
        <v>2.23</v>
      </c>
      <c r="BP326" s="11" t="s">
        <v>2097</v>
      </c>
      <c r="BQ326" s="186" t="s">
        <v>591</v>
      </c>
      <c r="BR326" s="747" t="s">
        <v>1532</v>
      </c>
      <c r="BS326" s="747" t="s">
        <v>1730</v>
      </c>
      <c r="BT326" s="747" t="s">
        <v>1730</v>
      </c>
      <c r="BU326" s="186">
        <v>2.5000000000000001E-2</v>
      </c>
      <c r="BV326" s="186">
        <v>0</v>
      </c>
      <c r="BW326" s="12">
        <v>1.37</v>
      </c>
    </row>
    <row r="327" spans="1:75">
      <c r="A327" s="1" t="s">
        <v>912</v>
      </c>
      <c r="B327" s="1" t="s">
        <v>761</v>
      </c>
      <c r="C327" s="1" t="s">
        <v>894</v>
      </c>
      <c r="D327" s="1" t="s">
        <v>1710</v>
      </c>
      <c r="E327" s="1" t="s">
        <v>1946</v>
      </c>
      <c r="F327" s="1">
        <v>6.3000000000000014E-2</v>
      </c>
      <c r="G327" s="1">
        <v>0</v>
      </c>
      <c r="H327" s="1">
        <v>3</v>
      </c>
      <c r="I327" s="20" t="s">
        <v>691</v>
      </c>
      <c r="J327" s="1" t="s">
        <v>697</v>
      </c>
      <c r="AI327" s="757"/>
      <c r="AJ327" s="195" t="s">
        <v>2811</v>
      </c>
      <c r="AK327" s="186" t="s">
        <v>1710</v>
      </c>
      <c r="AL327" s="747" t="s">
        <v>1964</v>
      </c>
      <c r="AM327" s="747" t="s">
        <v>518</v>
      </c>
      <c r="AN327" s="693" t="s">
        <v>1730</v>
      </c>
      <c r="AO327" s="186">
        <v>4.4999999999999998E-2</v>
      </c>
      <c r="AP327" s="186">
        <v>0</v>
      </c>
      <c r="AQ327" s="12">
        <v>2.3199999999999998</v>
      </c>
      <c r="AR327" s="11" t="s">
        <v>2809</v>
      </c>
      <c r="AS327" s="186" t="s">
        <v>1710</v>
      </c>
      <c r="AT327" s="747" t="s">
        <v>1964</v>
      </c>
      <c r="AU327" s="747" t="s">
        <v>518</v>
      </c>
      <c r="AV327" s="693" t="s">
        <v>1730</v>
      </c>
      <c r="AW327" s="186">
        <v>4.4999999999999998E-2</v>
      </c>
      <c r="AX327" s="186">
        <v>0</v>
      </c>
      <c r="AY327" s="12">
        <v>3</v>
      </c>
      <c r="AZ327" s="11" t="s">
        <v>2032</v>
      </c>
      <c r="BA327" s="186" t="s">
        <v>2040</v>
      </c>
      <c r="BB327" s="747" t="s">
        <v>2042</v>
      </c>
      <c r="BC327" s="747" t="s">
        <v>515</v>
      </c>
      <c r="BD327" s="747" t="s">
        <v>1730</v>
      </c>
      <c r="BE327" s="186">
        <v>0.26250000000000001</v>
      </c>
      <c r="BF327" s="186">
        <v>1.7250000000000001E-2</v>
      </c>
      <c r="BG327" s="12">
        <v>2.58</v>
      </c>
      <c r="BH327" s="11" t="s">
        <v>2066</v>
      </c>
      <c r="BI327" s="186" t="s">
        <v>523</v>
      </c>
      <c r="BJ327" s="747" t="s">
        <v>1509</v>
      </c>
      <c r="BK327" s="747" t="s">
        <v>519</v>
      </c>
      <c r="BL327" s="747" t="s">
        <v>1730</v>
      </c>
      <c r="BM327" s="186">
        <v>1.2500000000000001E-2</v>
      </c>
      <c r="BN327" s="186">
        <v>0</v>
      </c>
      <c r="BO327" s="12">
        <v>2.23</v>
      </c>
      <c r="BP327" s="11" t="s">
        <v>2097</v>
      </c>
      <c r="BQ327" s="186" t="s">
        <v>591</v>
      </c>
      <c r="BR327" s="747" t="s">
        <v>1533</v>
      </c>
      <c r="BS327" s="747" t="s">
        <v>1730</v>
      </c>
      <c r="BT327" s="747" t="s">
        <v>1730</v>
      </c>
      <c r="BU327" s="186">
        <v>1.2500000000000001E-2</v>
      </c>
      <c r="BV327" s="186">
        <v>0</v>
      </c>
      <c r="BW327" s="12">
        <v>1.37</v>
      </c>
    </row>
    <row r="328" spans="1:75">
      <c r="A328" s="1" t="s">
        <v>913</v>
      </c>
      <c r="B328" s="1" t="s">
        <v>761</v>
      </c>
      <c r="C328" s="1" t="s">
        <v>894</v>
      </c>
      <c r="D328" s="1" t="s">
        <v>1710</v>
      </c>
      <c r="E328" s="1" t="s">
        <v>1947</v>
      </c>
      <c r="F328" s="1">
        <v>6.3000000000000014E-2</v>
      </c>
      <c r="G328" s="1">
        <v>0</v>
      </c>
      <c r="H328" s="1">
        <v>3</v>
      </c>
      <c r="I328" s="20" t="s">
        <v>684</v>
      </c>
      <c r="J328" s="1" t="s">
        <v>515</v>
      </c>
      <c r="AI328" s="757"/>
      <c r="AJ328" s="195" t="s">
        <v>2716</v>
      </c>
      <c r="AK328" s="186" t="s">
        <v>1710</v>
      </c>
      <c r="AL328" s="747" t="s">
        <v>1965</v>
      </c>
      <c r="AM328" s="747" t="s">
        <v>518</v>
      </c>
      <c r="AN328" s="693" t="s">
        <v>1730</v>
      </c>
      <c r="AO328" s="186">
        <v>4.4999999999999998E-2</v>
      </c>
      <c r="AP328" s="186">
        <v>0</v>
      </c>
      <c r="AQ328" s="12">
        <v>2.3199999999999998</v>
      </c>
      <c r="AR328" s="11" t="s">
        <v>2809</v>
      </c>
      <c r="AS328" s="186" t="s">
        <v>1710</v>
      </c>
      <c r="AT328" s="747" t="s">
        <v>1965</v>
      </c>
      <c r="AU328" s="747" t="s">
        <v>518</v>
      </c>
      <c r="AV328" s="693" t="s">
        <v>1730</v>
      </c>
      <c r="AW328" s="186">
        <v>4.4999999999999998E-2</v>
      </c>
      <c r="AX328" s="186">
        <v>0</v>
      </c>
      <c r="AY328" s="12">
        <v>3</v>
      </c>
      <c r="AZ328" s="11" t="s">
        <v>2032</v>
      </c>
      <c r="BA328" s="186" t="s">
        <v>2040</v>
      </c>
      <c r="BB328" s="747" t="s">
        <v>2043</v>
      </c>
      <c r="BC328" s="747" t="s">
        <v>516</v>
      </c>
      <c r="BD328" s="747" t="s">
        <v>1730</v>
      </c>
      <c r="BE328" s="186">
        <v>0.17499999999999999</v>
      </c>
      <c r="BF328" s="186">
        <v>1.15E-2</v>
      </c>
      <c r="BG328" s="12">
        <v>2.58</v>
      </c>
      <c r="BH328" s="11" t="s">
        <v>2066</v>
      </c>
      <c r="BI328" s="186" t="s">
        <v>523</v>
      </c>
      <c r="BJ328" s="747" t="s">
        <v>1510</v>
      </c>
      <c r="BK328" s="747" t="s">
        <v>520</v>
      </c>
      <c r="BL328" s="747" t="s">
        <v>1730</v>
      </c>
      <c r="BM328" s="186">
        <v>6.2500000000000003E-3</v>
      </c>
      <c r="BN328" s="186">
        <v>0</v>
      </c>
      <c r="BO328" s="12">
        <v>2.23</v>
      </c>
      <c r="BP328" s="11" t="s">
        <v>2097</v>
      </c>
      <c r="BQ328" s="186" t="s">
        <v>523</v>
      </c>
      <c r="BR328" s="747" t="s">
        <v>1232</v>
      </c>
      <c r="BS328" s="747" t="s">
        <v>1171</v>
      </c>
      <c r="BT328" s="747" t="s">
        <v>1730</v>
      </c>
      <c r="BU328" s="186">
        <v>2.2499999999999999E-2</v>
      </c>
      <c r="BV328" s="186">
        <v>0</v>
      </c>
      <c r="BW328" s="12">
        <v>1.37</v>
      </c>
    </row>
    <row r="329" spans="1:75">
      <c r="A329" s="1" t="s">
        <v>914</v>
      </c>
      <c r="B329" s="1" t="s">
        <v>761</v>
      </c>
      <c r="C329" s="1" t="s">
        <v>894</v>
      </c>
      <c r="D329" s="1" t="s">
        <v>1710</v>
      </c>
      <c r="E329" s="1" t="s">
        <v>1948</v>
      </c>
      <c r="F329" s="1">
        <v>3.5000000000000003E-2</v>
      </c>
      <c r="G329" s="1">
        <v>0</v>
      </c>
      <c r="H329" s="1">
        <v>3</v>
      </c>
      <c r="I329" s="20" t="s">
        <v>691</v>
      </c>
      <c r="J329" s="1" t="s">
        <v>700</v>
      </c>
      <c r="AI329" s="757"/>
      <c r="AJ329" s="195" t="s">
        <v>2716</v>
      </c>
      <c r="AK329" s="186" t="s">
        <v>1710</v>
      </c>
      <c r="AL329" s="747" t="s">
        <v>1966</v>
      </c>
      <c r="AM329" s="747" t="s">
        <v>519</v>
      </c>
      <c r="AN329" s="693" t="s">
        <v>1730</v>
      </c>
      <c r="AO329" s="186">
        <v>2.5000000000000001E-2</v>
      </c>
      <c r="AP329" s="186">
        <v>0</v>
      </c>
      <c r="AQ329" s="12">
        <v>2.3199999999999998</v>
      </c>
      <c r="AR329" s="11" t="s">
        <v>2809</v>
      </c>
      <c r="AS329" s="186" t="s">
        <v>1710</v>
      </c>
      <c r="AT329" s="747" t="s">
        <v>1966</v>
      </c>
      <c r="AU329" s="747" t="s">
        <v>519</v>
      </c>
      <c r="AV329" s="693" t="s">
        <v>1730</v>
      </c>
      <c r="AW329" s="186">
        <v>2.5000000000000001E-2</v>
      </c>
      <c r="AX329" s="186">
        <v>0</v>
      </c>
      <c r="AY329" s="12">
        <v>3</v>
      </c>
      <c r="AZ329" s="11" t="s">
        <v>2032</v>
      </c>
      <c r="BA329" s="186" t="s">
        <v>2040</v>
      </c>
      <c r="BB329" s="747" t="s">
        <v>2044</v>
      </c>
      <c r="BC329" s="747" t="s">
        <v>516</v>
      </c>
      <c r="BD329" s="747" t="s">
        <v>1730</v>
      </c>
      <c r="BE329" s="186">
        <v>0.17499999999999999</v>
      </c>
      <c r="BF329" s="186">
        <v>1.15E-2</v>
      </c>
      <c r="BG329" s="12">
        <v>2.58</v>
      </c>
      <c r="BH329" s="11" t="s">
        <v>2066</v>
      </c>
      <c r="BI329" s="186" t="s">
        <v>523</v>
      </c>
      <c r="BJ329" s="747" t="s">
        <v>1511</v>
      </c>
      <c r="BK329" s="747" t="s">
        <v>520</v>
      </c>
      <c r="BL329" s="747" t="s">
        <v>1730</v>
      </c>
      <c r="BM329" s="186">
        <v>6.2500000000000003E-3</v>
      </c>
      <c r="BN329" s="186">
        <v>0</v>
      </c>
      <c r="BO329" s="12">
        <v>2.23</v>
      </c>
      <c r="BP329" s="11" t="s">
        <v>2097</v>
      </c>
      <c r="BQ329" s="186" t="s">
        <v>523</v>
      </c>
      <c r="BR329" s="747" t="s">
        <v>1233</v>
      </c>
      <c r="BS329" s="747" t="s">
        <v>1171</v>
      </c>
      <c r="BT329" s="747" t="s">
        <v>1730</v>
      </c>
      <c r="BU329" s="186">
        <v>2.2499999999999999E-2</v>
      </c>
      <c r="BV329" s="186">
        <v>0</v>
      </c>
      <c r="BW329" s="12">
        <v>1.37</v>
      </c>
    </row>
    <row r="330" spans="1:75">
      <c r="A330" s="1" t="s">
        <v>915</v>
      </c>
      <c r="B330" s="1" t="s">
        <v>761</v>
      </c>
      <c r="C330" s="1" t="s">
        <v>894</v>
      </c>
      <c r="D330" s="1" t="s">
        <v>1710</v>
      </c>
      <c r="E330" s="1" t="s">
        <v>1949</v>
      </c>
      <c r="F330" s="1">
        <v>3.5000000000000003E-2</v>
      </c>
      <c r="G330" s="1">
        <v>0</v>
      </c>
      <c r="H330" s="1">
        <v>3</v>
      </c>
      <c r="I330" s="20" t="s">
        <v>710</v>
      </c>
      <c r="J330" s="1" t="s">
        <v>516</v>
      </c>
      <c r="AI330" s="757"/>
      <c r="AJ330" s="195" t="s">
        <v>2716</v>
      </c>
      <c r="AK330" s="186" t="s">
        <v>1710</v>
      </c>
      <c r="AL330" s="747" t="s">
        <v>1967</v>
      </c>
      <c r="AM330" s="747" t="s">
        <v>519</v>
      </c>
      <c r="AN330" s="693" t="s">
        <v>1730</v>
      </c>
      <c r="AO330" s="186">
        <v>2.5000000000000001E-2</v>
      </c>
      <c r="AP330" s="186">
        <v>0</v>
      </c>
      <c r="AQ330" s="12">
        <v>2.3199999999999998</v>
      </c>
      <c r="AR330" s="11" t="s">
        <v>2809</v>
      </c>
      <c r="AS330" s="186" t="s">
        <v>1710</v>
      </c>
      <c r="AT330" s="747" t="s">
        <v>1967</v>
      </c>
      <c r="AU330" s="747" t="s">
        <v>519</v>
      </c>
      <c r="AV330" s="693" t="s">
        <v>1730</v>
      </c>
      <c r="AW330" s="186">
        <v>2.5000000000000001E-2</v>
      </c>
      <c r="AX330" s="186">
        <v>0</v>
      </c>
      <c r="AY330" s="12">
        <v>3</v>
      </c>
      <c r="AZ330" s="11" t="s">
        <v>2032</v>
      </c>
      <c r="BA330" s="186" t="s">
        <v>2040</v>
      </c>
      <c r="BB330" s="747" t="s">
        <v>2045</v>
      </c>
      <c r="BC330" s="747" t="s">
        <v>517</v>
      </c>
      <c r="BD330" s="747" t="s">
        <v>1730</v>
      </c>
      <c r="BE330" s="186">
        <v>8.7499999999999994E-2</v>
      </c>
      <c r="BF330" s="186">
        <v>5.7499999999999999E-3</v>
      </c>
      <c r="BG330" s="12">
        <v>2.58</v>
      </c>
      <c r="BH330" s="11" t="s">
        <v>2066</v>
      </c>
      <c r="BI330" s="186" t="s">
        <v>591</v>
      </c>
      <c r="BJ330" s="747" t="s">
        <v>1512</v>
      </c>
      <c r="BK330" s="747" t="s">
        <v>1730</v>
      </c>
      <c r="BL330" s="747" t="s">
        <v>1730</v>
      </c>
      <c r="BM330" s="186">
        <v>2.5000000000000001E-2</v>
      </c>
      <c r="BN330" s="186">
        <v>0</v>
      </c>
      <c r="BO330" s="12">
        <v>2.23</v>
      </c>
      <c r="BP330" s="11" t="s">
        <v>2097</v>
      </c>
      <c r="BQ330" s="186" t="s">
        <v>591</v>
      </c>
      <c r="BR330" s="747" t="s">
        <v>1234</v>
      </c>
      <c r="BS330" s="747" t="s">
        <v>1171</v>
      </c>
      <c r="BT330" s="747" t="s">
        <v>1730</v>
      </c>
      <c r="BU330" s="186">
        <v>2.2499999999999999E-2</v>
      </c>
      <c r="BV330" s="186">
        <v>0</v>
      </c>
      <c r="BW330" s="12">
        <v>1.37</v>
      </c>
    </row>
    <row r="331" spans="1:75">
      <c r="A331" s="1" t="s">
        <v>916</v>
      </c>
      <c r="B331" s="1" t="s">
        <v>761</v>
      </c>
      <c r="C331" s="1" t="s">
        <v>894</v>
      </c>
      <c r="D331" s="1" t="s">
        <v>1710</v>
      </c>
      <c r="E331" s="1" t="s">
        <v>1950</v>
      </c>
      <c r="F331" s="1">
        <v>1.7500000000000002E-2</v>
      </c>
      <c r="G331" s="1">
        <v>0</v>
      </c>
      <c r="H331" s="1">
        <v>3</v>
      </c>
      <c r="I331" s="20" t="s">
        <v>691</v>
      </c>
      <c r="J331" s="1" t="s">
        <v>703</v>
      </c>
      <c r="AI331" s="757"/>
      <c r="AJ331" s="195" t="s">
        <v>2810</v>
      </c>
      <c r="AK331" s="186" t="s">
        <v>1710</v>
      </c>
      <c r="AL331" s="747" t="s">
        <v>538</v>
      </c>
      <c r="AM331" s="747" t="s">
        <v>254</v>
      </c>
      <c r="AN331" s="693" t="s">
        <v>1730</v>
      </c>
      <c r="AO331" s="186">
        <v>4.4999999999999998E-2</v>
      </c>
      <c r="AP331" s="186">
        <v>0</v>
      </c>
      <c r="AQ331" s="12">
        <v>2.3199999999999998</v>
      </c>
      <c r="AR331" s="11" t="s">
        <v>2809</v>
      </c>
      <c r="AS331" s="186" t="s">
        <v>1710</v>
      </c>
      <c r="AT331" s="747" t="s">
        <v>538</v>
      </c>
      <c r="AU331" s="747" t="s">
        <v>254</v>
      </c>
      <c r="AV331" s="693" t="s">
        <v>1730</v>
      </c>
      <c r="AW331" s="186">
        <v>4.4999999999999998E-2</v>
      </c>
      <c r="AX331" s="186">
        <v>0</v>
      </c>
      <c r="AY331" s="12">
        <v>3</v>
      </c>
      <c r="AZ331" s="11" t="s">
        <v>2032</v>
      </c>
      <c r="BA331" s="186" t="s">
        <v>2040</v>
      </c>
      <c r="BB331" s="747" t="s">
        <v>2046</v>
      </c>
      <c r="BC331" s="747" t="s">
        <v>517</v>
      </c>
      <c r="BD331" s="747" t="s">
        <v>1730</v>
      </c>
      <c r="BE331" s="186">
        <v>8.7499999999999994E-2</v>
      </c>
      <c r="BF331" s="186">
        <v>5.7499999999999999E-3</v>
      </c>
      <c r="BG331" s="12">
        <v>2.58</v>
      </c>
      <c r="BH331" s="11" t="s">
        <v>2066</v>
      </c>
      <c r="BI331" s="186" t="s">
        <v>591</v>
      </c>
      <c r="BJ331" s="747" t="s">
        <v>1513</v>
      </c>
      <c r="BK331" s="747" t="s">
        <v>1730</v>
      </c>
      <c r="BL331" s="747" t="s">
        <v>1730</v>
      </c>
      <c r="BM331" s="186">
        <v>1.2500000000000001E-2</v>
      </c>
      <c r="BN331" s="186">
        <v>0</v>
      </c>
      <c r="BO331" s="12">
        <v>2.23</v>
      </c>
      <c r="BP331" s="11" t="s">
        <v>2097</v>
      </c>
      <c r="BQ331" s="186" t="s">
        <v>591</v>
      </c>
      <c r="BR331" s="747" t="s">
        <v>1235</v>
      </c>
      <c r="BS331" s="747" t="s">
        <v>1171</v>
      </c>
      <c r="BT331" s="747" t="s">
        <v>1730</v>
      </c>
      <c r="BU331" s="186">
        <v>2.2499999999999999E-2</v>
      </c>
      <c r="BV331" s="186">
        <v>0</v>
      </c>
      <c r="BW331" s="12">
        <v>1.37</v>
      </c>
    </row>
    <row r="332" spans="1:75">
      <c r="A332" s="1" t="s">
        <v>917</v>
      </c>
      <c r="B332" s="1" t="s">
        <v>761</v>
      </c>
      <c r="C332" s="1" t="s">
        <v>894</v>
      </c>
      <c r="D332" s="1" t="s">
        <v>1710</v>
      </c>
      <c r="E332" s="1" t="s">
        <v>1951</v>
      </c>
      <c r="F332" s="1">
        <v>1.7500000000000002E-2</v>
      </c>
      <c r="G332" s="1">
        <v>0</v>
      </c>
      <c r="H332" s="1">
        <v>3</v>
      </c>
      <c r="I332" s="20" t="s">
        <v>713</v>
      </c>
      <c r="J332" s="1" t="s">
        <v>517</v>
      </c>
      <c r="AI332" s="757"/>
      <c r="AJ332" s="195" t="s">
        <v>2811</v>
      </c>
      <c r="AK332" s="186" t="s">
        <v>1710</v>
      </c>
      <c r="AL332" s="747" t="s">
        <v>539</v>
      </c>
      <c r="AM332" s="747" t="s">
        <v>254</v>
      </c>
      <c r="AN332" s="693" t="s">
        <v>1730</v>
      </c>
      <c r="AO332" s="186">
        <v>4.4999999999999998E-2</v>
      </c>
      <c r="AP332" s="186">
        <v>0</v>
      </c>
      <c r="AQ332" s="12">
        <v>2.3199999999999998</v>
      </c>
      <c r="AR332" s="11" t="s">
        <v>2809</v>
      </c>
      <c r="AS332" s="186" t="s">
        <v>1710</v>
      </c>
      <c r="AT332" s="747" t="s">
        <v>539</v>
      </c>
      <c r="AU332" s="747" t="s">
        <v>254</v>
      </c>
      <c r="AV332" s="693" t="s">
        <v>1730</v>
      </c>
      <c r="AW332" s="186">
        <v>4.4999999999999998E-2</v>
      </c>
      <c r="AX332" s="186">
        <v>0</v>
      </c>
      <c r="AY332" s="12">
        <v>3</v>
      </c>
      <c r="AZ332" s="11" t="s">
        <v>2032</v>
      </c>
      <c r="BA332" s="186" t="s">
        <v>1720</v>
      </c>
      <c r="BB332" s="747" t="s">
        <v>1815</v>
      </c>
      <c r="BC332" s="747" t="s">
        <v>1730</v>
      </c>
      <c r="BD332" s="747" t="s">
        <v>1730</v>
      </c>
      <c r="BE332" s="186">
        <v>0.26</v>
      </c>
      <c r="BF332" s="186">
        <v>1.7000000000000001E-2</v>
      </c>
      <c r="BG332" s="12">
        <v>2.58</v>
      </c>
      <c r="BH332" s="11" t="s">
        <v>2066</v>
      </c>
      <c r="BI332" s="186" t="s">
        <v>591</v>
      </c>
      <c r="BJ332" s="747" t="s">
        <v>1224</v>
      </c>
      <c r="BK332" s="747" t="s">
        <v>1171</v>
      </c>
      <c r="BL332" s="747" t="s">
        <v>1730</v>
      </c>
      <c r="BM332" s="186">
        <v>2.2499999999999999E-2</v>
      </c>
      <c r="BN332" s="186">
        <v>0</v>
      </c>
      <c r="BO332" s="12">
        <v>2.23</v>
      </c>
      <c r="BP332" s="685" t="s">
        <v>2097</v>
      </c>
      <c r="BQ332" s="686" t="s">
        <v>2610</v>
      </c>
      <c r="BR332" s="687" t="s">
        <v>2611</v>
      </c>
      <c r="BS332" s="687" t="s">
        <v>1730</v>
      </c>
      <c r="BT332" s="687" t="s">
        <v>1730</v>
      </c>
      <c r="BU332" s="686">
        <v>1.4999999999999999E-2</v>
      </c>
      <c r="BV332" s="686">
        <v>0</v>
      </c>
      <c r="BW332" s="688">
        <v>1.37</v>
      </c>
    </row>
    <row r="333" spans="1:75">
      <c r="A333" s="1" t="s">
        <v>918</v>
      </c>
      <c r="B333" s="1" t="s">
        <v>761</v>
      </c>
      <c r="C333" s="1" t="s">
        <v>894</v>
      </c>
      <c r="D333" s="1" t="s">
        <v>1710</v>
      </c>
      <c r="E333" s="1" t="s">
        <v>530</v>
      </c>
      <c r="F333" s="1">
        <v>6.3000000000000014E-2</v>
      </c>
      <c r="G333" s="1">
        <v>0</v>
      </c>
      <c r="H333" s="1">
        <v>3</v>
      </c>
      <c r="I333" s="20" t="s">
        <v>691</v>
      </c>
      <c r="J333" s="1" t="s">
        <v>697</v>
      </c>
      <c r="AI333" s="757"/>
      <c r="AJ333" s="195" t="s">
        <v>2716</v>
      </c>
      <c r="AK333" s="186" t="s">
        <v>523</v>
      </c>
      <c r="AL333" s="747" t="s">
        <v>540</v>
      </c>
      <c r="AM333" s="747" t="s">
        <v>1730</v>
      </c>
      <c r="AN333" s="693" t="s">
        <v>1730</v>
      </c>
      <c r="AO333" s="186">
        <v>0.05</v>
      </c>
      <c r="AP333" s="186">
        <v>0</v>
      </c>
      <c r="AQ333" s="12">
        <v>2.3199999999999998</v>
      </c>
      <c r="AR333" s="11" t="s">
        <v>2812</v>
      </c>
      <c r="AS333" s="186" t="s">
        <v>523</v>
      </c>
      <c r="AT333" s="747" t="s">
        <v>540</v>
      </c>
      <c r="AU333" s="747" t="s">
        <v>1730</v>
      </c>
      <c r="AV333" s="693" t="s">
        <v>1730</v>
      </c>
      <c r="AW333" s="186">
        <v>0.05</v>
      </c>
      <c r="AX333" s="186">
        <v>0</v>
      </c>
      <c r="AY333" s="12">
        <v>3</v>
      </c>
      <c r="AZ333" s="11" t="s">
        <v>2032</v>
      </c>
      <c r="BA333" s="186" t="s">
        <v>1720</v>
      </c>
      <c r="BB333" s="747" t="s">
        <v>1816</v>
      </c>
      <c r="BC333" s="747" t="s">
        <v>1730</v>
      </c>
      <c r="BD333" s="747" t="s">
        <v>1730</v>
      </c>
      <c r="BE333" s="186">
        <v>0.13</v>
      </c>
      <c r="BF333" s="186">
        <v>8.5000000000000006E-3</v>
      </c>
      <c r="BG333" s="12">
        <v>2.58</v>
      </c>
      <c r="BH333" s="11" t="s">
        <v>2066</v>
      </c>
      <c r="BI333" s="186" t="s">
        <v>591</v>
      </c>
      <c r="BJ333" s="747" t="s">
        <v>1225</v>
      </c>
      <c r="BK333" s="747" t="s">
        <v>1171</v>
      </c>
      <c r="BL333" s="747" t="s">
        <v>1730</v>
      </c>
      <c r="BM333" s="186">
        <v>2.2499999999999999E-2</v>
      </c>
      <c r="BN333" s="186">
        <v>0</v>
      </c>
      <c r="BO333" s="12">
        <v>2.23</v>
      </c>
      <c r="BP333" s="685" t="s">
        <v>2097</v>
      </c>
      <c r="BQ333" s="686" t="s">
        <v>2610</v>
      </c>
      <c r="BR333" s="687" t="s">
        <v>2612</v>
      </c>
      <c r="BS333" s="687" t="s">
        <v>1730</v>
      </c>
      <c r="BT333" s="687" t="s">
        <v>1730</v>
      </c>
      <c r="BU333" s="686">
        <v>7.4999999999999997E-3</v>
      </c>
      <c r="BV333" s="686">
        <v>0</v>
      </c>
      <c r="BW333" s="688">
        <v>1.37</v>
      </c>
    </row>
    <row r="334" spans="1:75">
      <c r="A334" s="1" t="s">
        <v>919</v>
      </c>
      <c r="B334" s="1" t="s">
        <v>761</v>
      </c>
      <c r="C334" s="1" t="s">
        <v>894</v>
      </c>
      <c r="D334" s="1" t="s">
        <v>1710</v>
      </c>
      <c r="E334" s="1" t="s">
        <v>531</v>
      </c>
      <c r="F334" s="1">
        <v>6.3000000000000014E-2</v>
      </c>
      <c r="G334" s="1">
        <v>0</v>
      </c>
      <c r="H334" s="1">
        <v>3</v>
      </c>
      <c r="I334" s="20" t="s">
        <v>684</v>
      </c>
      <c r="J334" s="1" t="s">
        <v>515</v>
      </c>
      <c r="AI334" s="757"/>
      <c r="AJ334" s="195" t="s">
        <v>2811</v>
      </c>
      <c r="AK334" s="186" t="s">
        <v>523</v>
      </c>
      <c r="AL334" s="747" t="s">
        <v>541</v>
      </c>
      <c r="AM334" s="747" t="s">
        <v>1730</v>
      </c>
      <c r="AN334" s="693" t="s">
        <v>1730</v>
      </c>
      <c r="AO334" s="186">
        <v>2.5000000000000001E-2</v>
      </c>
      <c r="AP334" s="186">
        <v>0</v>
      </c>
      <c r="AQ334" s="12">
        <v>2.3199999999999998</v>
      </c>
      <c r="AR334" s="11" t="s">
        <v>2809</v>
      </c>
      <c r="AS334" s="186" t="s">
        <v>523</v>
      </c>
      <c r="AT334" s="747" t="s">
        <v>541</v>
      </c>
      <c r="AU334" s="747" t="s">
        <v>1730</v>
      </c>
      <c r="AV334" s="693" t="s">
        <v>1730</v>
      </c>
      <c r="AW334" s="186">
        <v>2.5000000000000001E-2</v>
      </c>
      <c r="AX334" s="186">
        <v>0</v>
      </c>
      <c r="AY334" s="12">
        <v>3</v>
      </c>
      <c r="AZ334" s="11" t="s">
        <v>2032</v>
      </c>
      <c r="BA334" s="186" t="s">
        <v>1720</v>
      </c>
      <c r="BB334" s="747" t="s">
        <v>296</v>
      </c>
      <c r="BC334" s="747" t="s">
        <v>1730</v>
      </c>
      <c r="BD334" s="747" t="s">
        <v>1730</v>
      </c>
      <c r="BE334" s="186">
        <v>0.26</v>
      </c>
      <c r="BF334" s="186">
        <v>1.7000000000000001E-2</v>
      </c>
      <c r="BG334" s="12">
        <v>2.58</v>
      </c>
      <c r="BH334" s="11" t="s">
        <v>2066</v>
      </c>
      <c r="BI334" s="186" t="s">
        <v>523</v>
      </c>
      <c r="BJ334" s="747" t="s">
        <v>1226</v>
      </c>
      <c r="BK334" s="747" t="s">
        <v>1171</v>
      </c>
      <c r="BL334" s="747" t="s">
        <v>1730</v>
      </c>
      <c r="BM334" s="186">
        <v>2.2499999999999999E-2</v>
      </c>
      <c r="BN334" s="186">
        <v>0</v>
      </c>
      <c r="BO334" s="12">
        <v>2.23</v>
      </c>
      <c r="BP334" s="11"/>
      <c r="BQ334" s="186"/>
      <c r="BR334" s="747"/>
      <c r="BS334" s="747"/>
      <c r="BT334" s="747"/>
      <c r="BU334" s="186"/>
      <c r="BV334" s="186"/>
      <c r="BW334" s="12"/>
    </row>
    <row r="335" spans="1:75">
      <c r="A335" s="1" t="s">
        <v>920</v>
      </c>
      <c r="B335" s="1" t="s">
        <v>761</v>
      </c>
      <c r="C335" s="1" t="s">
        <v>894</v>
      </c>
      <c r="D335" s="1" t="s">
        <v>523</v>
      </c>
      <c r="E335" s="1" t="s">
        <v>532</v>
      </c>
      <c r="F335" s="1">
        <v>7.0000000000000007E-2</v>
      </c>
      <c r="G335" s="1">
        <v>0</v>
      </c>
      <c r="I335" s="20"/>
      <c r="AI335" s="757"/>
      <c r="AJ335" s="195" t="s">
        <v>2810</v>
      </c>
      <c r="AK335" s="186" t="s">
        <v>523</v>
      </c>
      <c r="AL335" s="747" t="s">
        <v>542</v>
      </c>
      <c r="AM335" s="747" t="s">
        <v>519</v>
      </c>
      <c r="AN335" s="693" t="s">
        <v>1730</v>
      </c>
      <c r="AO335" s="186">
        <v>2.5000000000000001E-2</v>
      </c>
      <c r="AP335" s="186">
        <v>0</v>
      </c>
      <c r="AQ335" s="12">
        <v>2.3199999999999998</v>
      </c>
      <c r="AR335" s="11" t="s">
        <v>2812</v>
      </c>
      <c r="AS335" s="186" t="s">
        <v>523</v>
      </c>
      <c r="AT335" s="747" t="s">
        <v>542</v>
      </c>
      <c r="AU335" s="747" t="s">
        <v>519</v>
      </c>
      <c r="AV335" s="693" t="s">
        <v>1730</v>
      </c>
      <c r="AW335" s="186">
        <v>2.5000000000000001E-2</v>
      </c>
      <c r="AX335" s="186">
        <v>0</v>
      </c>
      <c r="AY335" s="12">
        <v>3</v>
      </c>
      <c r="AZ335" s="11" t="s">
        <v>2032</v>
      </c>
      <c r="BA335" s="186" t="s">
        <v>1720</v>
      </c>
      <c r="BB335" s="747" t="s">
        <v>297</v>
      </c>
      <c r="BC335" s="747" t="s">
        <v>1730</v>
      </c>
      <c r="BD335" s="747" t="s">
        <v>1730</v>
      </c>
      <c r="BE335" s="186">
        <v>0.13</v>
      </c>
      <c r="BF335" s="186">
        <v>8.5000000000000006E-3</v>
      </c>
      <c r="BG335" s="12">
        <v>2.58</v>
      </c>
      <c r="BH335" s="11" t="s">
        <v>2718</v>
      </c>
      <c r="BI335" s="186" t="s">
        <v>523</v>
      </c>
      <c r="BJ335" s="747" t="s">
        <v>1227</v>
      </c>
      <c r="BK335" s="747" t="s">
        <v>1171</v>
      </c>
      <c r="BL335" s="747" t="s">
        <v>1730</v>
      </c>
      <c r="BM335" s="186">
        <v>2.2499999999999999E-2</v>
      </c>
      <c r="BN335" s="186">
        <v>0</v>
      </c>
      <c r="BO335" s="12">
        <v>2.23</v>
      </c>
      <c r="BP335" s="11"/>
      <c r="BQ335" s="186"/>
      <c r="BR335" s="747"/>
      <c r="BS335" s="747"/>
      <c r="BT335" s="747"/>
      <c r="BU335" s="186"/>
      <c r="BV335" s="186"/>
      <c r="BW335" s="12"/>
    </row>
    <row r="336" spans="1:75">
      <c r="A336" s="1" t="s">
        <v>921</v>
      </c>
      <c r="B336" s="1" t="s">
        <v>761</v>
      </c>
      <c r="C336" s="1" t="s">
        <v>894</v>
      </c>
      <c r="D336" s="1" t="s">
        <v>523</v>
      </c>
      <c r="E336" s="1" t="s">
        <v>533</v>
      </c>
      <c r="F336" s="1">
        <v>3.5000000000000003E-2</v>
      </c>
      <c r="G336" s="1">
        <v>0</v>
      </c>
      <c r="I336" s="20"/>
      <c r="J336" s="1" t="s">
        <v>692</v>
      </c>
      <c r="AI336" s="757"/>
      <c r="AJ336" s="195" t="s">
        <v>2716</v>
      </c>
      <c r="AK336" s="186" t="s">
        <v>523</v>
      </c>
      <c r="AL336" s="747" t="s">
        <v>543</v>
      </c>
      <c r="AM336" s="747" t="s">
        <v>519</v>
      </c>
      <c r="AN336" s="693" t="s">
        <v>1730</v>
      </c>
      <c r="AO336" s="186">
        <v>2.5000000000000001E-2</v>
      </c>
      <c r="AP336" s="186">
        <v>0</v>
      </c>
      <c r="AQ336" s="12">
        <v>2.3199999999999998</v>
      </c>
      <c r="AR336" s="11" t="s">
        <v>2809</v>
      </c>
      <c r="AS336" s="186" t="s">
        <v>523</v>
      </c>
      <c r="AT336" s="747" t="s">
        <v>543</v>
      </c>
      <c r="AU336" s="747" t="s">
        <v>519</v>
      </c>
      <c r="AV336" s="693" t="s">
        <v>1730</v>
      </c>
      <c r="AW336" s="186">
        <v>2.5000000000000001E-2</v>
      </c>
      <c r="AX336" s="186">
        <v>0</v>
      </c>
      <c r="AY336" s="12">
        <v>3</v>
      </c>
      <c r="AZ336" s="11" t="s">
        <v>2032</v>
      </c>
      <c r="BA336" s="186" t="s">
        <v>1720</v>
      </c>
      <c r="BB336" s="747" t="s">
        <v>298</v>
      </c>
      <c r="BC336" s="747" t="s">
        <v>515</v>
      </c>
      <c r="BD336" s="747" t="s">
        <v>1730</v>
      </c>
      <c r="BE336" s="186">
        <v>0.19500000000000001</v>
      </c>
      <c r="BF336" s="186">
        <v>1.2750000000000001E-2</v>
      </c>
      <c r="BG336" s="12">
        <v>2.58</v>
      </c>
      <c r="BH336" s="765" t="s">
        <v>2032</v>
      </c>
      <c r="BI336" s="759" t="s">
        <v>1708</v>
      </c>
      <c r="BJ336" s="760" t="s">
        <v>1811</v>
      </c>
      <c r="BK336" s="760" t="s">
        <v>1730</v>
      </c>
      <c r="BL336" s="760" t="s">
        <v>1730</v>
      </c>
      <c r="BM336" s="759">
        <v>0.17499999999999999</v>
      </c>
      <c r="BN336" s="759">
        <v>0</v>
      </c>
      <c r="BO336" s="761">
        <v>2.23</v>
      </c>
      <c r="BP336" s="11"/>
      <c r="BQ336" s="186"/>
      <c r="BR336" s="747"/>
      <c r="BS336" s="747"/>
      <c r="BT336" s="747"/>
      <c r="BU336" s="186"/>
      <c r="BV336" s="186"/>
      <c r="BW336" s="12"/>
    </row>
    <row r="337" spans="1:75">
      <c r="A337" s="1" t="s">
        <v>922</v>
      </c>
      <c r="B337" s="1" t="s">
        <v>761</v>
      </c>
      <c r="C337" s="1" t="s">
        <v>894</v>
      </c>
      <c r="D337" s="1" t="s">
        <v>523</v>
      </c>
      <c r="E337" s="1" t="s">
        <v>534</v>
      </c>
      <c r="F337" s="1">
        <v>3.5000000000000003E-2</v>
      </c>
      <c r="G337" s="1">
        <v>0</v>
      </c>
      <c r="I337" s="20"/>
      <c r="J337" s="1" t="s">
        <v>519</v>
      </c>
      <c r="AI337" s="757"/>
      <c r="AJ337" s="195" t="s">
        <v>2810</v>
      </c>
      <c r="AK337" s="186" t="s">
        <v>523</v>
      </c>
      <c r="AL337" s="747" t="s">
        <v>544</v>
      </c>
      <c r="AM337" s="747" t="s">
        <v>520</v>
      </c>
      <c r="AN337" s="693" t="s">
        <v>1730</v>
      </c>
      <c r="AO337" s="186">
        <v>1.2500000000000001E-2</v>
      </c>
      <c r="AP337" s="186">
        <v>0</v>
      </c>
      <c r="AQ337" s="12">
        <v>2.3199999999999998</v>
      </c>
      <c r="AR337" s="11" t="s">
        <v>2812</v>
      </c>
      <c r="AS337" s="186" t="s">
        <v>523</v>
      </c>
      <c r="AT337" s="747" t="s">
        <v>544</v>
      </c>
      <c r="AU337" s="747" t="s">
        <v>520</v>
      </c>
      <c r="AV337" s="693" t="s">
        <v>1730</v>
      </c>
      <c r="AW337" s="186">
        <v>1.2500000000000001E-2</v>
      </c>
      <c r="AX337" s="186">
        <v>0</v>
      </c>
      <c r="AY337" s="12">
        <v>3</v>
      </c>
      <c r="AZ337" s="11" t="s">
        <v>2032</v>
      </c>
      <c r="BA337" s="186" t="s">
        <v>1720</v>
      </c>
      <c r="BB337" s="747" t="s">
        <v>299</v>
      </c>
      <c r="BC337" s="747" t="s">
        <v>515</v>
      </c>
      <c r="BD337" s="747" t="s">
        <v>1730</v>
      </c>
      <c r="BE337" s="186">
        <v>0.19500000000000001</v>
      </c>
      <c r="BF337" s="186">
        <v>1.2750000000000001E-2</v>
      </c>
      <c r="BG337" s="12">
        <v>2.58</v>
      </c>
      <c r="BH337" s="765" t="s">
        <v>2032</v>
      </c>
      <c r="BI337" s="759" t="s">
        <v>1720</v>
      </c>
      <c r="BJ337" s="760" t="s">
        <v>1815</v>
      </c>
      <c r="BK337" s="760" t="s">
        <v>1730</v>
      </c>
      <c r="BL337" s="760" t="s">
        <v>1730</v>
      </c>
      <c r="BM337" s="759">
        <v>0.13</v>
      </c>
      <c r="BN337" s="759">
        <v>0</v>
      </c>
      <c r="BO337" s="761">
        <v>2.23</v>
      </c>
      <c r="BP337" s="11"/>
      <c r="BQ337" s="186"/>
      <c r="BR337" s="747"/>
      <c r="BS337" s="747"/>
      <c r="BT337" s="747"/>
      <c r="BU337" s="186"/>
      <c r="BV337" s="186"/>
      <c r="BW337" s="12"/>
    </row>
    <row r="338" spans="1:75">
      <c r="A338" s="1" t="s">
        <v>923</v>
      </c>
      <c r="B338" s="1" t="s">
        <v>761</v>
      </c>
      <c r="C338" s="1" t="s">
        <v>894</v>
      </c>
      <c r="D338" s="1" t="s">
        <v>523</v>
      </c>
      <c r="E338" s="1" t="s">
        <v>535</v>
      </c>
      <c r="F338" s="1">
        <v>3.5000000000000003E-2</v>
      </c>
      <c r="G338" s="1">
        <v>0</v>
      </c>
      <c r="I338" s="20"/>
      <c r="J338" s="1" t="s">
        <v>756</v>
      </c>
      <c r="AI338" s="757"/>
      <c r="AJ338" s="195" t="s">
        <v>2810</v>
      </c>
      <c r="AK338" s="186" t="s">
        <v>523</v>
      </c>
      <c r="AL338" s="747" t="s">
        <v>545</v>
      </c>
      <c r="AM338" s="747" t="s">
        <v>520</v>
      </c>
      <c r="AN338" s="693" t="s">
        <v>1730</v>
      </c>
      <c r="AO338" s="186">
        <v>1.2500000000000001E-2</v>
      </c>
      <c r="AP338" s="186">
        <v>0</v>
      </c>
      <c r="AQ338" s="12">
        <v>2.3199999999999998</v>
      </c>
      <c r="AR338" s="11" t="s">
        <v>2717</v>
      </c>
      <c r="AS338" s="186" t="s">
        <v>523</v>
      </c>
      <c r="AT338" s="747" t="s">
        <v>545</v>
      </c>
      <c r="AU338" s="747" t="s">
        <v>520</v>
      </c>
      <c r="AV338" s="693" t="s">
        <v>1730</v>
      </c>
      <c r="AW338" s="186">
        <v>1.2500000000000001E-2</v>
      </c>
      <c r="AX338" s="186">
        <v>0</v>
      </c>
      <c r="AY338" s="12">
        <v>3</v>
      </c>
      <c r="AZ338" s="11" t="s">
        <v>2032</v>
      </c>
      <c r="BA338" s="186" t="s">
        <v>1720</v>
      </c>
      <c r="BB338" s="747" t="s">
        <v>300</v>
      </c>
      <c r="BC338" s="747" t="s">
        <v>516</v>
      </c>
      <c r="BD338" s="747" t="s">
        <v>1730</v>
      </c>
      <c r="BE338" s="186">
        <v>0.13</v>
      </c>
      <c r="BF338" s="186">
        <v>8.5000000000000006E-3</v>
      </c>
      <c r="BG338" s="12">
        <v>2.58</v>
      </c>
      <c r="BH338" s="765" t="s">
        <v>2032</v>
      </c>
      <c r="BI338" s="759" t="s">
        <v>1720</v>
      </c>
      <c r="BJ338" s="760" t="s">
        <v>305</v>
      </c>
      <c r="BK338" s="760" t="s">
        <v>609</v>
      </c>
      <c r="BL338" s="760" t="s">
        <v>1730</v>
      </c>
      <c r="BM338" s="759">
        <v>0.13</v>
      </c>
      <c r="BN338" s="759">
        <v>0</v>
      </c>
      <c r="BO338" s="761">
        <v>2.23</v>
      </c>
      <c r="BP338" s="11"/>
      <c r="BQ338" s="186"/>
      <c r="BR338" s="747"/>
      <c r="BS338" s="747"/>
      <c r="BT338" s="747"/>
      <c r="BU338" s="186"/>
      <c r="BV338" s="186"/>
      <c r="BW338" s="12"/>
    </row>
    <row r="339" spans="1:75">
      <c r="A339" s="1" t="s">
        <v>924</v>
      </c>
      <c r="B339" s="1" t="s">
        <v>761</v>
      </c>
      <c r="C339" s="1" t="s">
        <v>894</v>
      </c>
      <c r="D339" s="1" t="s">
        <v>523</v>
      </c>
      <c r="E339" s="1" t="s">
        <v>536</v>
      </c>
      <c r="F339" s="1">
        <v>1.7500000000000002E-2</v>
      </c>
      <c r="G339" s="1">
        <v>0</v>
      </c>
      <c r="I339" s="20"/>
      <c r="J339" s="1" t="s">
        <v>520</v>
      </c>
      <c r="AI339" s="757"/>
      <c r="AJ339" s="195" t="s">
        <v>2810</v>
      </c>
      <c r="AK339" s="186" t="s">
        <v>523</v>
      </c>
      <c r="AL339" s="747" t="s">
        <v>1174</v>
      </c>
      <c r="AM339" s="747" t="s">
        <v>1171</v>
      </c>
      <c r="AN339" s="693" t="s">
        <v>1730</v>
      </c>
      <c r="AO339" s="186">
        <v>4.4999999999999998E-2</v>
      </c>
      <c r="AP339" s="186">
        <v>0</v>
      </c>
      <c r="AQ339" s="12">
        <v>2.3199999999999998</v>
      </c>
      <c r="AR339" s="11" t="s">
        <v>1179</v>
      </c>
      <c r="AS339" s="186" t="s">
        <v>523</v>
      </c>
      <c r="AT339" s="747" t="s">
        <v>1174</v>
      </c>
      <c r="AU339" s="747" t="s">
        <v>1171</v>
      </c>
      <c r="AV339" s="693" t="s">
        <v>1730</v>
      </c>
      <c r="AW339" s="186">
        <v>4.4999999999999998E-2</v>
      </c>
      <c r="AX339" s="186">
        <v>0</v>
      </c>
      <c r="AY339" s="12">
        <v>3</v>
      </c>
      <c r="AZ339" s="11" t="s">
        <v>2032</v>
      </c>
      <c r="BA339" s="186" t="s">
        <v>1720</v>
      </c>
      <c r="BB339" s="747" t="s">
        <v>301</v>
      </c>
      <c r="BC339" s="747" t="s">
        <v>516</v>
      </c>
      <c r="BD339" s="747" t="s">
        <v>1730</v>
      </c>
      <c r="BE339" s="186">
        <v>0.13</v>
      </c>
      <c r="BF339" s="186">
        <v>8.5000000000000006E-3</v>
      </c>
      <c r="BG339" s="12">
        <v>2.58</v>
      </c>
      <c r="BH339" s="765" t="s">
        <v>2032</v>
      </c>
      <c r="BI339" s="759" t="s">
        <v>1915</v>
      </c>
      <c r="BJ339" s="760" t="s">
        <v>1809</v>
      </c>
      <c r="BK339" s="760" t="s">
        <v>1730</v>
      </c>
      <c r="BL339" s="760" t="s">
        <v>1730</v>
      </c>
      <c r="BM339" s="759">
        <v>0.28000000000000003</v>
      </c>
      <c r="BN339" s="759">
        <v>0</v>
      </c>
      <c r="BO339" s="761">
        <v>2.23</v>
      </c>
      <c r="BP339" s="11"/>
      <c r="BQ339" s="186"/>
      <c r="BR339" s="747"/>
      <c r="BS339" s="747"/>
      <c r="BT339" s="747"/>
      <c r="BU339" s="186"/>
      <c r="BV339" s="186"/>
      <c r="BW339" s="12"/>
    </row>
    <row r="340" spans="1:75">
      <c r="A340" s="1" t="s">
        <v>925</v>
      </c>
      <c r="B340" s="1" t="s">
        <v>761</v>
      </c>
      <c r="C340" s="1" t="s">
        <v>894</v>
      </c>
      <c r="D340" s="1" t="s">
        <v>523</v>
      </c>
      <c r="E340" s="1" t="s">
        <v>537</v>
      </c>
      <c r="F340" s="1">
        <v>1.7500000000000002E-2</v>
      </c>
      <c r="G340" s="1">
        <v>0</v>
      </c>
      <c r="I340" s="20"/>
      <c r="J340" s="1" t="s">
        <v>759</v>
      </c>
      <c r="AI340" s="757"/>
      <c r="AJ340" s="195" t="s">
        <v>2811</v>
      </c>
      <c r="AK340" s="186" t="s">
        <v>523</v>
      </c>
      <c r="AL340" s="747" t="s">
        <v>1175</v>
      </c>
      <c r="AM340" s="747" t="s">
        <v>1171</v>
      </c>
      <c r="AN340" s="693" t="s">
        <v>1730</v>
      </c>
      <c r="AO340" s="186">
        <v>4.4999999999999998E-2</v>
      </c>
      <c r="AP340" s="186">
        <v>0</v>
      </c>
      <c r="AQ340" s="12">
        <v>2.3199999999999998</v>
      </c>
      <c r="AR340" s="11" t="s">
        <v>1179</v>
      </c>
      <c r="AS340" s="186" t="s">
        <v>523</v>
      </c>
      <c r="AT340" s="747" t="s">
        <v>1175</v>
      </c>
      <c r="AU340" s="747" t="s">
        <v>1171</v>
      </c>
      <c r="AV340" s="693" t="s">
        <v>1730</v>
      </c>
      <c r="AW340" s="186">
        <v>4.4999999999999998E-2</v>
      </c>
      <c r="AX340" s="186">
        <v>0</v>
      </c>
      <c r="AY340" s="12">
        <v>3</v>
      </c>
      <c r="AZ340" s="11" t="s">
        <v>2032</v>
      </c>
      <c r="BA340" s="186" t="s">
        <v>1720</v>
      </c>
      <c r="BB340" s="747" t="s">
        <v>302</v>
      </c>
      <c r="BC340" s="747" t="s">
        <v>517</v>
      </c>
      <c r="BD340" s="747" t="s">
        <v>1730</v>
      </c>
      <c r="BE340" s="186">
        <v>6.5000000000000002E-2</v>
      </c>
      <c r="BF340" s="186">
        <v>4.2500000000000003E-3</v>
      </c>
      <c r="BG340" s="12">
        <v>2.58</v>
      </c>
      <c r="BH340" s="765" t="s">
        <v>2032</v>
      </c>
      <c r="BI340" s="759" t="s">
        <v>1937</v>
      </c>
      <c r="BJ340" s="760" t="s">
        <v>1839</v>
      </c>
      <c r="BK340" s="760" t="s">
        <v>1730</v>
      </c>
      <c r="BL340" s="760" t="s">
        <v>1730</v>
      </c>
      <c r="BM340" s="759">
        <v>0.23</v>
      </c>
      <c r="BN340" s="759">
        <v>0</v>
      </c>
      <c r="BO340" s="761">
        <v>2.23</v>
      </c>
      <c r="BP340" s="11"/>
      <c r="BQ340" s="186"/>
      <c r="BR340" s="747"/>
      <c r="BS340" s="747"/>
      <c r="BT340" s="747"/>
      <c r="BU340" s="186"/>
      <c r="BV340" s="186"/>
      <c r="BW340" s="12"/>
    </row>
    <row r="341" spans="1:75">
      <c r="A341" s="1" t="s">
        <v>926</v>
      </c>
      <c r="B341" s="1" t="s">
        <v>795</v>
      </c>
      <c r="C341" s="1" t="s">
        <v>927</v>
      </c>
      <c r="D341" s="1" t="s">
        <v>1862</v>
      </c>
      <c r="E341" s="1" t="s">
        <v>1817</v>
      </c>
      <c r="F341" s="1">
        <v>1.17</v>
      </c>
      <c r="G341" s="1">
        <v>0</v>
      </c>
      <c r="H341" s="1">
        <v>3</v>
      </c>
      <c r="I341" s="20" t="s">
        <v>684</v>
      </c>
      <c r="AI341" s="757"/>
      <c r="AJ341" s="689" t="s">
        <v>2811</v>
      </c>
      <c r="AK341" s="686" t="s">
        <v>1710</v>
      </c>
      <c r="AL341" s="687" t="s">
        <v>2613</v>
      </c>
      <c r="AM341" s="687" t="s">
        <v>1730</v>
      </c>
      <c r="AN341" s="762" t="s">
        <v>1730</v>
      </c>
      <c r="AO341" s="686">
        <v>1.2500000000000001E-2</v>
      </c>
      <c r="AP341" s="686">
        <v>0</v>
      </c>
      <c r="AQ341" s="688">
        <v>2.3199999999999998</v>
      </c>
      <c r="AR341" s="765" t="s">
        <v>2032</v>
      </c>
      <c r="AS341" s="759" t="s">
        <v>1708</v>
      </c>
      <c r="AT341" s="760" t="s">
        <v>1811</v>
      </c>
      <c r="AU341" s="760" t="s">
        <v>1730</v>
      </c>
      <c r="AV341" s="760" t="s">
        <v>1730</v>
      </c>
      <c r="AW341" s="759">
        <v>0.17499999999999999</v>
      </c>
      <c r="AX341" s="759">
        <v>0</v>
      </c>
      <c r="AY341" s="761">
        <v>3</v>
      </c>
      <c r="AZ341" s="11" t="s">
        <v>2032</v>
      </c>
      <c r="BA341" s="186" t="s">
        <v>1720</v>
      </c>
      <c r="BB341" s="747" t="s">
        <v>303</v>
      </c>
      <c r="BC341" s="747" t="s">
        <v>517</v>
      </c>
      <c r="BD341" s="747" t="s">
        <v>1730</v>
      </c>
      <c r="BE341" s="186">
        <v>6.5000000000000002E-2</v>
      </c>
      <c r="BF341" s="186">
        <v>4.2500000000000003E-3</v>
      </c>
      <c r="BG341" s="12">
        <v>2.58</v>
      </c>
      <c r="BH341" s="765" t="s">
        <v>2032</v>
      </c>
      <c r="BI341" s="759" t="s">
        <v>1720</v>
      </c>
      <c r="BJ341" s="760" t="s">
        <v>630</v>
      </c>
      <c r="BK341" s="760" t="s">
        <v>608</v>
      </c>
      <c r="BL341" s="760" t="s">
        <v>1730</v>
      </c>
      <c r="BM341" s="759">
        <v>0.13</v>
      </c>
      <c r="BN341" s="759">
        <v>0</v>
      </c>
      <c r="BO341" s="761">
        <v>2.23</v>
      </c>
      <c r="BP341" s="11"/>
      <c r="BQ341" s="186"/>
      <c r="BR341" s="747"/>
      <c r="BS341" s="747"/>
      <c r="BT341" s="747"/>
      <c r="BU341" s="186"/>
      <c r="BV341" s="186"/>
      <c r="BW341" s="12"/>
    </row>
    <row r="342" spans="1:75">
      <c r="A342" s="1" t="s">
        <v>928</v>
      </c>
      <c r="B342" s="1" t="s">
        <v>795</v>
      </c>
      <c r="C342" s="1" t="s">
        <v>927</v>
      </c>
      <c r="D342" s="1" t="s">
        <v>1864</v>
      </c>
      <c r="E342" s="1" t="s">
        <v>1805</v>
      </c>
      <c r="F342" s="1">
        <v>0.83</v>
      </c>
      <c r="G342" s="1">
        <v>0</v>
      </c>
      <c r="H342" s="1">
        <v>3</v>
      </c>
      <c r="I342" s="20" t="s">
        <v>684</v>
      </c>
      <c r="AI342" s="757"/>
      <c r="AJ342" s="689" t="s">
        <v>2811</v>
      </c>
      <c r="AK342" s="686" t="s">
        <v>1710</v>
      </c>
      <c r="AL342" s="687" t="s">
        <v>2614</v>
      </c>
      <c r="AM342" s="687" t="s">
        <v>2495</v>
      </c>
      <c r="AN342" s="762" t="s">
        <v>1730</v>
      </c>
      <c r="AO342" s="686">
        <v>4.4999999999999998E-2</v>
      </c>
      <c r="AP342" s="686">
        <v>0</v>
      </c>
      <c r="AQ342" s="688">
        <v>2.3199999999999998</v>
      </c>
      <c r="AR342" s="765" t="s">
        <v>2032</v>
      </c>
      <c r="AS342" s="759" t="s">
        <v>1720</v>
      </c>
      <c r="AT342" s="760" t="s">
        <v>1815</v>
      </c>
      <c r="AU342" s="760" t="s">
        <v>1730</v>
      </c>
      <c r="AV342" s="760" t="s">
        <v>1730</v>
      </c>
      <c r="AW342" s="759">
        <v>0.13</v>
      </c>
      <c r="AX342" s="759">
        <v>0</v>
      </c>
      <c r="AY342" s="761">
        <v>3</v>
      </c>
      <c r="AZ342" s="11" t="s">
        <v>2032</v>
      </c>
      <c r="BA342" s="186" t="s">
        <v>1720</v>
      </c>
      <c r="BB342" s="747" t="s">
        <v>630</v>
      </c>
      <c r="BC342" s="747" t="s">
        <v>608</v>
      </c>
      <c r="BD342" s="747" t="s">
        <v>1730</v>
      </c>
      <c r="BE342" s="186">
        <v>0.26</v>
      </c>
      <c r="BF342" s="186">
        <v>4.2500000000000003E-3</v>
      </c>
      <c r="BG342" s="12">
        <v>2.58</v>
      </c>
      <c r="BH342" s="758" t="s">
        <v>2811</v>
      </c>
      <c r="BI342" s="759" t="s">
        <v>1803</v>
      </c>
      <c r="BJ342" s="760" t="s">
        <v>1958</v>
      </c>
      <c r="BK342" s="760" t="s">
        <v>516</v>
      </c>
      <c r="BL342" s="760" t="s">
        <v>1730</v>
      </c>
      <c r="BM342" s="759">
        <v>2.5000000000000001E-2</v>
      </c>
      <c r="BN342" s="759">
        <v>0</v>
      </c>
      <c r="BO342" s="761">
        <v>2.23</v>
      </c>
      <c r="BP342" s="11"/>
      <c r="BQ342" s="186"/>
      <c r="BR342" s="747"/>
      <c r="BS342" s="747"/>
      <c r="BT342" s="747"/>
      <c r="BU342" s="186"/>
      <c r="BV342" s="186"/>
      <c r="BW342" s="12"/>
    </row>
    <row r="343" spans="1:75">
      <c r="A343" s="1" t="s">
        <v>929</v>
      </c>
      <c r="B343" s="1" t="s">
        <v>795</v>
      </c>
      <c r="C343" s="1" t="s">
        <v>927</v>
      </c>
      <c r="D343" s="1" t="s">
        <v>1899</v>
      </c>
      <c r="E343" s="1" t="s">
        <v>1833</v>
      </c>
      <c r="F343" s="1">
        <v>0.56999999999999995</v>
      </c>
      <c r="G343" s="1">
        <v>0</v>
      </c>
      <c r="H343" s="1">
        <v>3</v>
      </c>
      <c r="I343" s="20" t="s">
        <v>684</v>
      </c>
      <c r="AI343" s="757"/>
      <c r="AJ343" s="689" t="s">
        <v>2810</v>
      </c>
      <c r="AK343" s="686" t="s">
        <v>1710</v>
      </c>
      <c r="AL343" s="687" t="s">
        <v>2615</v>
      </c>
      <c r="AM343" s="687" t="s">
        <v>2495</v>
      </c>
      <c r="AN343" s="762" t="s">
        <v>1730</v>
      </c>
      <c r="AO343" s="686">
        <v>4.4999999999999998E-2</v>
      </c>
      <c r="AP343" s="686">
        <v>0</v>
      </c>
      <c r="AQ343" s="688">
        <v>2.3199999999999998</v>
      </c>
      <c r="AR343" s="765" t="s">
        <v>2032</v>
      </c>
      <c r="AS343" s="759" t="s">
        <v>1720</v>
      </c>
      <c r="AT343" s="760" t="s">
        <v>305</v>
      </c>
      <c r="AU343" s="760" t="s">
        <v>609</v>
      </c>
      <c r="AV343" s="760" t="s">
        <v>1730</v>
      </c>
      <c r="AW343" s="759">
        <v>0.13</v>
      </c>
      <c r="AX343" s="759">
        <v>0</v>
      </c>
      <c r="AY343" s="761">
        <v>3</v>
      </c>
      <c r="AZ343" s="11" t="s">
        <v>2032</v>
      </c>
      <c r="BA343" s="186" t="s">
        <v>1720</v>
      </c>
      <c r="BB343" s="747" t="s">
        <v>304</v>
      </c>
      <c r="BC343" s="747" t="s">
        <v>608</v>
      </c>
      <c r="BD343" s="747" t="s">
        <v>1730</v>
      </c>
      <c r="BE343" s="186">
        <v>0.13</v>
      </c>
      <c r="BF343" s="186">
        <v>4.2500000000000003E-3</v>
      </c>
      <c r="BG343" s="12">
        <v>2.58</v>
      </c>
      <c r="BH343" s="765" t="s">
        <v>2032</v>
      </c>
      <c r="BI343" s="759" t="s">
        <v>1710</v>
      </c>
      <c r="BJ343" s="760" t="s">
        <v>613</v>
      </c>
      <c r="BK343" s="760" t="s">
        <v>518</v>
      </c>
      <c r="BL343" s="760" t="s">
        <v>1730</v>
      </c>
      <c r="BM343" s="759">
        <v>6.7500000000000004E-2</v>
      </c>
      <c r="BN343" s="759">
        <v>0</v>
      </c>
      <c r="BO343" s="761">
        <v>2.23</v>
      </c>
      <c r="BP343" s="11"/>
      <c r="BQ343" s="186"/>
      <c r="BR343" s="747"/>
      <c r="BS343" s="747"/>
      <c r="BT343" s="747"/>
      <c r="BU343" s="186"/>
      <c r="BV343" s="186"/>
      <c r="BW343" s="12"/>
    </row>
    <row r="344" spans="1:75">
      <c r="A344" s="1" t="s">
        <v>930</v>
      </c>
      <c r="B344" s="1" t="s">
        <v>795</v>
      </c>
      <c r="C344" s="1" t="s">
        <v>927</v>
      </c>
      <c r="D344" s="1" t="s">
        <v>1884</v>
      </c>
      <c r="E344" s="1" t="s">
        <v>1824</v>
      </c>
      <c r="F344" s="1">
        <v>0.49</v>
      </c>
      <c r="G344" s="1">
        <v>0</v>
      </c>
      <c r="H344" s="1">
        <v>3</v>
      </c>
      <c r="I344" s="20" t="s">
        <v>684</v>
      </c>
      <c r="AI344" s="757"/>
      <c r="AJ344" s="689" t="s">
        <v>2810</v>
      </c>
      <c r="AK344" s="686" t="s">
        <v>1710</v>
      </c>
      <c r="AL344" s="687" t="s">
        <v>2616</v>
      </c>
      <c r="AM344" s="687" t="s">
        <v>2518</v>
      </c>
      <c r="AN344" s="762" t="s">
        <v>1730</v>
      </c>
      <c r="AO344" s="686">
        <v>0.05</v>
      </c>
      <c r="AP344" s="686">
        <v>0</v>
      </c>
      <c r="AQ344" s="688">
        <v>2.3199999999999998</v>
      </c>
      <c r="AR344" s="685" t="s">
        <v>2809</v>
      </c>
      <c r="AS344" s="686" t="s">
        <v>1710</v>
      </c>
      <c r="AT344" s="687" t="s">
        <v>2613</v>
      </c>
      <c r="AU344" s="687" t="s">
        <v>1730</v>
      </c>
      <c r="AV344" s="762" t="s">
        <v>1730</v>
      </c>
      <c r="AW344" s="686">
        <v>1.2500000000000001E-2</v>
      </c>
      <c r="AX344" s="686">
        <v>0</v>
      </c>
      <c r="AY344" s="688">
        <v>3</v>
      </c>
      <c r="AZ344" s="11" t="s">
        <v>2032</v>
      </c>
      <c r="BA344" s="186" t="s">
        <v>1720</v>
      </c>
      <c r="BB344" s="747" t="s">
        <v>305</v>
      </c>
      <c r="BC344" s="747" t="s">
        <v>609</v>
      </c>
      <c r="BD344" s="747" t="s">
        <v>1730</v>
      </c>
      <c r="BE344" s="186">
        <v>0.26</v>
      </c>
      <c r="BF344" s="186">
        <v>2.5500000000000002E-3</v>
      </c>
      <c r="BG344" s="12">
        <v>2.58</v>
      </c>
      <c r="BH344" s="765" t="s">
        <v>2032</v>
      </c>
      <c r="BI344" s="759" t="s">
        <v>1710</v>
      </c>
      <c r="BJ344" s="760" t="s">
        <v>631</v>
      </c>
      <c r="BK344" s="760" t="s">
        <v>559</v>
      </c>
      <c r="BL344" s="760" t="s">
        <v>1730</v>
      </c>
      <c r="BM344" s="759">
        <v>7.4999999999999997E-2</v>
      </c>
      <c r="BN344" s="759">
        <v>0</v>
      </c>
      <c r="BO344" s="761">
        <v>2.23</v>
      </c>
      <c r="BP344" s="11"/>
      <c r="BQ344" s="186"/>
      <c r="BR344" s="747"/>
      <c r="BS344" s="747"/>
      <c r="BT344" s="747"/>
      <c r="BU344" s="186"/>
      <c r="BV344" s="186"/>
      <c r="BW344" s="12"/>
    </row>
    <row r="345" spans="1:75">
      <c r="A345" s="1" t="s">
        <v>931</v>
      </c>
      <c r="B345" s="1" t="s">
        <v>795</v>
      </c>
      <c r="C345" s="1" t="s">
        <v>927</v>
      </c>
      <c r="D345" s="1" t="s">
        <v>1952</v>
      </c>
      <c r="E345" s="1" t="s">
        <v>1834</v>
      </c>
      <c r="F345" s="1">
        <v>0.4</v>
      </c>
      <c r="G345" s="1">
        <v>0</v>
      </c>
      <c r="H345" s="1">
        <v>3</v>
      </c>
      <c r="I345" s="20" t="s">
        <v>684</v>
      </c>
      <c r="AI345" s="757"/>
      <c r="AJ345" s="689" t="s">
        <v>2811</v>
      </c>
      <c r="AK345" s="686" t="s">
        <v>523</v>
      </c>
      <c r="AL345" s="687" t="s">
        <v>2617</v>
      </c>
      <c r="AM345" s="687" t="s">
        <v>1730</v>
      </c>
      <c r="AN345" s="762" t="s">
        <v>1730</v>
      </c>
      <c r="AO345" s="686">
        <v>1.2500000000000001E-2</v>
      </c>
      <c r="AP345" s="686">
        <v>0</v>
      </c>
      <c r="AQ345" s="688">
        <v>2.3199999999999998</v>
      </c>
      <c r="AR345" s="685" t="s">
        <v>2717</v>
      </c>
      <c r="AS345" s="686" t="s">
        <v>1710</v>
      </c>
      <c r="AT345" s="687" t="s">
        <v>2614</v>
      </c>
      <c r="AU345" s="687" t="s">
        <v>2495</v>
      </c>
      <c r="AV345" s="762" t="s">
        <v>1730</v>
      </c>
      <c r="AW345" s="686">
        <v>4.4999999999999998E-2</v>
      </c>
      <c r="AX345" s="686">
        <v>0</v>
      </c>
      <c r="AY345" s="688">
        <v>3</v>
      </c>
      <c r="AZ345" s="11" t="s">
        <v>2032</v>
      </c>
      <c r="BA345" s="186" t="s">
        <v>1720</v>
      </c>
      <c r="BB345" s="747" t="s">
        <v>306</v>
      </c>
      <c r="BC345" s="747" t="s">
        <v>609</v>
      </c>
      <c r="BD345" s="747" t="s">
        <v>1730</v>
      </c>
      <c r="BE345" s="186">
        <v>0.13</v>
      </c>
      <c r="BF345" s="186">
        <v>2.5500000000000002E-3</v>
      </c>
      <c r="BG345" s="12">
        <v>2.58</v>
      </c>
      <c r="BH345" s="765" t="s">
        <v>2032</v>
      </c>
      <c r="BI345" s="759" t="s">
        <v>1708</v>
      </c>
      <c r="BJ345" s="760" t="s">
        <v>1812</v>
      </c>
      <c r="BK345" s="760" t="s">
        <v>1730</v>
      </c>
      <c r="BL345" s="760" t="s">
        <v>1730</v>
      </c>
      <c r="BM345" s="759">
        <v>0.17499999999999999</v>
      </c>
      <c r="BN345" s="759">
        <v>0</v>
      </c>
      <c r="BO345" s="761">
        <v>2.23</v>
      </c>
      <c r="BP345" s="11"/>
      <c r="BQ345" s="186"/>
      <c r="BR345" s="747"/>
      <c r="BS345" s="747"/>
      <c r="BT345" s="747"/>
      <c r="BU345" s="186"/>
      <c r="BV345" s="186"/>
      <c r="BW345" s="12"/>
    </row>
    <row r="346" spans="1:75">
      <c r="A346" s="1" t="s">
        <v>932</v>
      </c>
      <c r="B346" s="1" t="s">
        <v>795</v>
      </c>
      <c r="C346" s="1" t="s">
        <v>927</v>
      </c>
      <c r="D346" s="1" t="s">
        <v>1953</v>
      </c>
      <c r="E346" s="1" t="s">
        <v>1835</v>
      </c>
      <c r="F346" s="1">
        <v>0.33</v>
      </c>
      <c r="G346" s="1">
        <v>0</v>
      </c>
      <c r="H346" s="1">
        <v>3</v>
      </c>
      <c r="I346" s="20" t="s">
        <v>684</v>
      </c>
      <c r="AI346" s="757"/>
      <c r="AJ346" s="689" t="s">
        <v>2716</v>
      </c>
      <c r="AK346" s="686" t="s">
        <v>523</v>
      </c>
      <c r="AL346" s="687" t="s">
        <v>2618</v>
      </c>
      <c r="AM346" s="687" t="s">
        <v>519</v>
      </c>
      <c r="AN346" s="762" t="s">
        <v>1730</v>
      </c>
      <c r="AO346" s="686">
        <v>2.5000000000000001E-2</v>
      </c>
      <c r="AP346" s="686">
        <v>0</v>
      </c>
      <c r="AQ346" s="688">
        <v>2.3199999999999998</v>
      </c>
      <c r="AR346" s="685" t="s">
        <v>2812</v>
      </c>
      <c r="AS346" s="686" t="s">
        <v>1710</v>
      </c>
      <c r="AT346" s="687" t="s">
        <v>2615</v>
      </c>
      <c r="AU346" s="687" t="s">
        <v>2495</v>
      </c>
      <c r="AV346" s="762" t="s">
        <v>1730</v>
      </c>
      <c r="AW346" s="686">
        <v>4.4999999999999998E-2</v>
      </c>
      <c r="AX346" s="686">
        <v>0</v>
      </c>
      <c r="AY346" s="688">
        <v>3</v>
      </c>
      <c r="AZ346" s="11" t="s">
        <v>2032</v>
      </c>
      <c r="BA346" s="186" t="s">
        <v>1720</v>
      </c>
      <c r="BB346" s="747" t="s">
        <v>307</v>
      </c>
      <c r="BC346" s="747" t="s">
        <v>255</v>
      </c>
      <c r="BD346" s="747" t="s">
        <v>1730</v>
      </c>
      <c r="BE346" s="186">
        <v>0.19500000000000001</v>
      </c>
      <c r="BF346" s="186">
        <v>4.2500000000000003E-3</v>
      </c>
      <c r="BG346" s="12">
        <v>2.58</v>
      </c>
      <c r="BH346" s="685" t="s">
        <v>2066</v>
      </c>
      <c r="BI346" s="686" t="s">
        <v>2610</v>
      </c>
      <c r="BJ346" s="687" t="s">
        <v>2619</v>
      </c>
      <c r="BK346" s="687" t="s">
        <v>1730</v>
      </c>
      <c r="BL346" s="687" t="s">
        <v>1730</v>
      </c>
      <c r="BM346" s="686">
        <v>1.4999999999999999E-2</v>
      </c>
      <c r="BN346" s="686">
        <v>0</v>
      </c>
      <c r="BO346" s="688">
        <v>2.23</v>
      </c>
      <c r="BP346" s="11"/>
      <c r="BQ346" s="186"/>
      <c r="BR346" s="747"/>
      <c r="BS346" s="747"/>
      <c r="BT346" s="747"/>
      <c r="BU346" s="186"/>
      <c r="BV346" s="186"/>
      <c r="BW346" s="12"/>
    </row>
    <row r="347" spans="1:75">
      <c r="A347" s="1" t="s">
        <v>933</v>
      </c>
      <c r="B347" s="1" t="s">
        <v>795</v>
      </c>
      <c r="C347" s="1" t="s">
        <v>927</v>
      </c>
      <c r="D347" s="1" t="s">
        <v>1953</v>
      </c>
      <c r="E347" s="1" t="s">
        <v>1836</v>
      </c>
      <c r="F347" s="1">
        <v>0.33</v>
      </c>
      <c r="G347" s="1">
        <v>0</v>
      </c>
      <c r="H347" s="1">
        <v>3</v>
      </c>
      <c r="I347" s="20" t="s">
        <v>684</v>
      </c>
      <c r="AI347" s="757"/>
      <c r="AJ347" s="689" t="s">
        <v>2716</v>
      </c>
      <c r="AK347" s="686" t="s">
        <v>523</v>
      </c>
      <c r="AL347" s="687" t="s">
        <v>2620</v>
      </c>
      <c r="AM347" s="687" t="s">
        <v>277</v>
      </c>
      <c r="AN347" s="762" t="s">
        <v>1730</v>
      </c>
      <c r="AO347" s="686">
        <v>1.2500000000000001E-2</v>
      </c>
      <c r="AP347" s="686">
        <v>0</v>
      </c>
      <c r="AQ347" s="688">
        <v>2.3199999999999998</v>
      </c>
      <c r="AR347" s="685" t="s">
        <v>2809</v>
      </c>
      <c r="AS347" s="686" t="s">
        <v>1710</v>
      </c>
      <c r="AT347" s="687" t="s">
        <v>2616</v>
      </c>
      <c r="AU347" s="687" t="s">
        <v>2518</v>
      </c>
      <c r="AV347" s="762" t="s">
        <v>1730</v>
      </c>
      <c r="AW347" s="686">
        <v>0.05</v>
      </c>
      <c r="AX347" s="686">
        <v>0</v>
      </c>
      <c r="AY347" s="688">
        <v>3</v>
      </c>
      <c r="AZ347" s="11" t="s">
        <v>2032</v>
      </c>
      <c r="BA347" s="186" t="s">
        <v>1720</v>
      </c>
      <c r="BB347" s="747" t="s">
        <v>308</v>
      </c>
      <c r="BC347" s="747" t="s">
        <v>255</v>
      </c>
      <c r="BD347" s="747" t="s">
        <v>1730</v>
      </c>
      <c r="BE347" s="186">
        <v>0.19500000000000001</v>
      </c>
      <c r="BF347" s="186">
        <v>4.2500000000000003E-3</v>
      </c>
      <c r="BG347" s="12">
        <v>2.58</v>
      </c>
      <c r="BH347" s="685" t="s">
        <v>2066</v>
      </c>
      <c r="BI347" s="686" t="s">
        <v>2610</v>
      </c>
      <c r="BJ347" s="687" t="s">
        <v>2621</v>
      </c>
      <c r="BK347" s="687" t="s">
        <v>1730</v>
      </c>
      <c r="BL347" s="687" t="s">
        <v>1730</v>
      </c>
      <c r="BM347" s="686">
        <v>7.4999999999999997E-3</v>
      </c>
      <c r="BN347" s="686">
        <v>0</v>
      </c>
      <c r="BO347" s="688">
        <v>2.23</v>
      </c>
      <c r="BP347" s="11"/>
      <c r="BQ347" s="186"/>
      <c r="BR347" s="747"/>
      <c r="BS347" s="747"/>
      <c r="BT347" s="747"/>
      <c r="BU347" s="186"/>
      <c r="BV347" s="186"/>
      <c r="BW347" s="12"/>
    </row>
    <row r="348" spans="1:75">
      <c r="A348" s="1" t="s">
        <v>934</v>
      </c>
      <c r="B348" s="1" t="s">
        <v>795</v>
      </c>
      <c r="C348" s="1" t="s">
        <v>927</v>
      </c>
      <c r="D348" s="1" t="s">
        <v>1953</v>
      </c>
      <c r="E348" s="1" t="s">
        <v>1837</v>
      </c>
      <c r="F348" s="1">
        <v>0.16500000000000001</v>
      </c>
      <c r="G348" s="1">
        <v>0</v>
      </c>
      <c r="H348" s="1">
        <v>3</v>
      </c>
      <c r="I348" s="20" t="s">
        <v>691</v>
      </c>
      <c r="J348" s="1" t="s">
        <v>692</v>
      </c>
      <c r="AI348" s="757"/>
      <c r="AJ348" s="689" t="s">
        <v>2716</v>
      </c>
      <c r="AK348" s="686" t="s">
        <v>523</v>
      </c>
      <c r="AL348" s="687" t="s">
        <v>2622</v>
      </c>
      <c r="AM348" s="687" t="s">
        <v>1171</v>
      </c>
      <c r="AN348" s="762" t="s">
        <v>1730</v>
      </c>
      <c r="AO348" s="686">
        <v>4.4999999999999998E-2</v>
      </c>
      <c r="AP348" s="686">
        <v>0</v>
      </c>
      <c r="AQ348" s="688">
        <v>2.3199999999999998</v>
      </c>
      <c r="AR348" s="685" t="s">
        <v>2812</v>
      </c>
      <c r="AS348" s="686" t="s">
        <v>523</v>
      </c>
      <c r="AT348" s="687" t="s">
        <v>2617</v>
      </c>
      <c r="AU348" s="687" t="s">
        <v>1730</v>
      </c>
      <c r="AV348" s="762" t="s">
        <v>1730</v>
      </c>
      <c r="AW348" s="686">
        <v>1.2500000000000001E-2</v>
      </c>
      <c r="AX348" s="686">
        <v>0</v>
      </c>
      <c r="AY348" s="688">
        <v>3</v>
      </c>
      <c r="AZ348" s="11" t="s">
        <v>2032</v>
      </c>
      <c r="BA348" s="186" t="s">
        <v>1720</v>
      </c>
      <c r="BB348" s="747" t="s">
        <v>309</v>
      </c>
      <c r="BC348" s="747" t="s">
        <v>256</v>
      </c>
      <c r="BD348" s="747" t="s">
        <v>1730</v>
      </c>
      <c r="BE348" s="186">
        <v>0.19500000000000001</v>
      </c>
      <c r="BF348" s="186">
        <v>2.5500000000000002E-3</v>
      </c>
      <c r="BG348" s="12">
        <v>2.58</v>
      </c>
      <c r="BH348" s="11"/>
      <c r="BI348" s="186"/>
      <c r="BJ348" s="747"/>
      <c r="BK348" s="747"/>
      <c r="BL348" s="747"/>
      <c r="BM348" s="186"/>
      <c r="BN348" s="186"/>
      <c r="BO348" s="12"/>
      <c r="BP348" s="11"/>
      <c r="BQ348" s="186"/>
      <c r="BR348" s="747"/>
      <c r="BS348" s="747"/>
      <c r="BT348" s="747"/>
      <c r="BU348" s="186"/>
      <c r="BV348" s="186"/>
      <c r="BW348" s="12"/>
    </row>
    <row r="349" spans="1:75">
      <c r="A349" s="1" t="s">
        <v>935</v>
      </c>
      <c r="B349" s="1" t="s">
        <v>795</v>
      </c>
      <c r="C349" s="1" t="s">
        <v>927</v>
      </c>
      <c r="D349" s="1" t="s">
        <v>1803</v>
      </c>
      <c r="E349" s="1" t="s">
        <v>1954</v>
      </c>
      <c r="F349" s="1">
        <v>0.1</v>
      </c>
      <c r="G349" s="1">
        <v>0</v>
      </c>
      <c r="H349" s="1">
        <v>3</v>
      </c>
      <c r="I349" s="20" t="s">
        <v>684</v>
      </c>
      <c r="AI349" s="757"/>
      <c r="AJ349" s="195"/>
      <c r="AK349" s="186"/>
      <c r="AL349" s="747"/>
      <c r="AM349" s="747"/>
      <c r="AN349" s="747"/>
      <c r="AO349" s="186"/>
      <c r="AP349" s="186"/>
      <c r="AQ349" s="12"/>
      <c r="AR349" s="685" t="s">
        <v>2809</v>
      </c>
      <c r="AS349" s="686" t="s">
        <v>523</v>
      </c>
      <c r="AT349" s="687" t="s">
        <v>2618</v>
      </c>
      <c r="AU349" s="687" t="s">
        <v>519</v>
      </c>
      <c r="AV349" s="762" t="s">
        <v>1730</v>
      </c>
      <c r="AW349" s="686">
        <v>2.5000000000000001E-2</v>
      </c>
      <c r="AX349" s="686">
        <v>0</v>
      </c>
      <c r="AY349" s="688">
        <v>3</v>
      </c>
      <c r="AZ349" s="11" t="s">
        <v>2032</v>
      </c>
      <c r="BA349" s="186" t="s">
        <v>1720</v>
      </c>
      <c r="BB349" s="747" t="s">
        <v>310</v>
      </c>
      <c r="BC349" s="747" t="s">
        <v>256</v>
      </c>
      <c r="BD349" s="747" t="s">
        <v>1730</v>
      </c>
      <c r="BE349" s="186">
        <v>0.19500000000000001</v>
      </c>
      <c r="BF349" s="186">
        <v>2.5500000000000002E-3</v>
      </c>
      <c r="BG349" s="12">
        <v>2.58</v>
      </c>
      <c r="BH349" s="11"/>
      <c r="BI349" s="186"/>
      <c r="BJ349" s="747"/>
      <c r="BK349" s="747"/>
      <c r="BL349" s="747"/>
      <c r="BM349" s="186"/>
      <c r="BN349" s="186"/>
      <c r="BO349" s="12"/>
      <c r="BP349" s="11"/>
      <c r="BQ349" s="186"/>
      <c r="BR349" s="747"/>
      <c r="BS349" s="747"/>
      <c r="BT349" s="747"/>
      <c r="BU349" s="186"/>
      <c r="BV349" s="186"/>
      <c r="BW349" s="12"/>
    </row>
    <row r="350" spans="1:75">
      <c r="A350" s="1" t="s">
        <v>936</v>
      </c>
      <c r="B350" s="1" t="s">
        <v>795</v>
      </c>
      <c r="C350" s="1" t="s">
        <v>927</v>
      </c>
      <c r="D350" s="1" t="s">
        <v>1803</v>
      </c>
      <c r="E350" s="1" t="s">
        <v>1955</v>
      </c>
      <c r="F350" s="1">
        <v>0.05</v>
      </c>
      <c r="G350" s="1">
        <v>0</v>
      </c>
      <c r="H350" s="1">
        <v>3</v>
      </c>
      <c r="I350" s="20" t="s">
        <v>691</v>
      </c>
      <c r="J350" s="1" t="s">
        <v>692</v>
      </c>
      <c r="AI350" s="757"/>
      <c r="AJ350" s="195"/>
      <c r="AK350" s="186"/>
      <c r="AL350" s="747"/>
      <c r="AM350" s="747"/>
      <c r="AN350" s="747"/>
      <c r="AO350" s="186"/>
      <c r="AP350" s="186"/>
      <c r="AQ350" s="12"/>
      <c r="AR350" s="685" t="s">
        <v>2809</v>
      </c>
      <c r="AS350" s="686" t="s">
        <v>523</v>
      </c>
      <c r="AT350" s="687" t="s">
        <v>2620</v>
      </c>
      <c r="AU350" s="687" t="s">
        <v>277</v>
      </c>
      <c r="AV350" s="762" t="s">
        <v>1730</v>
      </c>
      <c r="AW350" s="686">
        <v>1.2500000000000001E-2</v>
      </c>
      <c r="AX350" s="686">
        <v>0</v>
      </c>
      <c r="AY350" s="688">
        <v>3</v>
      </c>
      <c r="AZ350" s="11" t="s">
        <v>2032</v>
      </c>
      <c r="BA350" s="186" t="s">
        <v>1720</v>
      </c>
      <c r="BB350" s="747" t="s">
        <v>311</v>
      </c>
      <c r="BC350" s="747" t="s">
        <v>257</v>
      </c>
      <c r="BD350" s="747" t="s">
        <v>1730</v>
      </c>
      <c r="BE350" s="186">
        <v>0.13</v>
      </c>
      <c r="BF350" s="186">
        <v>4.2500000000000003E-3</v>
      </c>
      <c r="BG350" s="12">
        <v>2.58</v>
      </c>
      <c r="BH350" s="11"/>
      <c r="BI350" s="186"/>
      <c r="BJ350" s="747"/>
      <c r="BK350" s="747"/>
      <c r="BL350" s="747"/>
      <c r="BM350" s="186"/>
      <c r="BN350" s="186"/>
      <c r="BO350" s="12"/>
      <c r="BP350" s="11"/>
      <c r="BQ350" s="186"/>
      <c r="BR350" s="747"/>
      <c r="BS350" s="747"/>
      <c r="BT350" s="747"/>
      <c r="BU350" s="186"/>
      <c r="BV350" s="186"/>
      <c r="BW350" s="12"/>
    </row>
    <row r="351" spans="1:75">
      <c r="A351" s="1" t="s">
        <v>937</v>
      </c>
      <c r="B351" s="1" t="s">
        <v>795</v>
      </c>
      <c r="C351" s="1" t="s">
        <v>927</v>
      </c>
      <c r="D351" s="1" t="s">
        <v>1803</v>
      </c>
      <c r="E351" s="1" t="s">
        <v>1956</v>
      </c>
      <c r="F351" s="1">
        <v>7.4999999999999997E-2</v>
      </c>
      <c r="G351" s="1">
        <v>0</v>
      </c>
      <c r="H351" s="1">
        <v>3</v>
      </c>
      <c r="I351" s="20" t="s">
        <v>684</v>
      </c>
      <c r="J351" s="1" t="s">
        <v>515</v>
      </c>
      <c r="AI351" s="757"/>
      <c r="AJ351" s="195"/>
      <c r="AK351" s="186"/>
      <c r="AL351" s="747"/>
      <c r="AM351" s="747"/>
      <c r="AN351" s="747"/>
      <c r="AO351" s="186"/>
      <c r="AP351" s="186"/>
      <c r="AQ351" s="12"/>
      <c r="AR351" s="685" t="s">
        <v>2812</v>
      </c>
      <c r="AS351" s="686" t="s">
        <v>523</v>
      </c>
      <c r="AT351" s="687" t="s">
        <v>2622</v>
      </c>
      <c r="AU351" s="687" t="s">
        <v>1171</v>
      </c>
      <c r="AV351" s="762" t="s">
        <v>1730</v>
      </c>
      <c r="AW351" s="686">
        <v>4.4999999999999998E-2</v>
      </c>
      <c r="AX351" s="686">
        <v>0</v>
      </c>
      <c r="AY351" s="688">
        <v>3</v>
      </c>
      <c r="AZ351" s="11" t="s">
        <v>2032</v>
      </c>
      <c r="BA351" s="186" t="s">
        <v>1720</v>
      </c>
      <c r="BB351" s="747" t="s">
        <v>312</v>
      </c>
      <c r="BC351" s="747" t="s">
        <v>257</v>
      </c>
      <c r="BD351" s="747" t="s">
        <v>1730</v>
      </c>
      <c r="BE351" s="186">
        <v>0.13</v>
      </c>
      <c r="BF351" s="186">
        <v>4.2500000000000003E-3</v>
      </c>
      <c r="BG351" s="12">
        <v>2.58</v>
      </c>
      <c r="BH351" s="11"/>
      <c r="BI351" s="186"/>
      <c r="BJ351" s="747"/>
      <c r="BK351" s="747"/>
      <c r="BL351" s="747"/>
      <c r="BM351" s="186"/>
      <c r="BN351" s="186"/>
      <c r="BO351" s="12"/>
      <c r="BP351" s="11"/>
      <c r="BQ351" s="186"/>
      <c r="BR351" s="747"/>
      <c r="BS351" s="747"/>
      <c r="BT351" s="747"/>
      <c r="BU351" s="186"/>
      <c r="BV351" s="186"/>
      <c r="BW351" s="12"/>
    </row>
    <row r="352" spans="1:75">
      <c r="A352" s="1" t="s">
        <v>938</v>
      </c>
      <c r="B352" s="1" t="s">
        <v>795</v>
      </c>
      <c r="C352" s="1" t="s">
        <v>927</v>
      </c>
      <c r="D352" s="1" t="s">
        <v>1803</v>
      </c>
      <c r="E352" s="1" t="s">
        <v>1957</v>
      </c>
      <c r="F352" s="1">
        <v>7.4999999999999997E-2</v>
      </c>
      <c r="G352" s="1">
        <v>0</v>
      </c>
      <c r="H352" s="1">
        <v>3</v>
      </c>
      <c r="I352" s="20" t="s">
        <v>691</v>
      </c>
      <c r="J352" s="1" t="s">
        <v>697</v>
      </c>
      <c r="AI352" s="757"/>
      <c r="AJ352" s="195"/>
      <c r="AK352" s="186"/>
      <c r="AL352" s="747"/>
      <c r="AM352" s="747"/>
      <c r="AN352" s="747"/>
      <c r="AO352" s="186"/>
      <c r="AP352" s="186"/>
      <c r="AQ352" s="12"/>
      <c r="AR352" s="11"/>
      <c r="AS352" s="186"/>
      <c r="AT352" s="747"/>
      <c r="AU352" s="747"/>
      <c r="AV352" s="747"/>
      <c r="AW352" s="186"/>
      <c r="AX352" s="186"/>
      <c r="AY352" s="12"/>
      <c r="AZ352" s="11" t="s">
        <v>2032</v>
      </c>
      <c r="BA352" s="186" t="s">
        <v>1720</v>
      </c>
      <c r="BB352" s="747" t="s">
        <v>313</v>
      </c>
      <c r="BC352" s="747" t="s">
        <v>258</v>
      </c>
      <c r="BD352" s="747" t="s">
        <v>1730</v>
      </c>
      <c r="BE352" s="186">
        <v>0.13</v>
      </c>
      <c r="BF352" s="186">
        <v>2.5500000000000002E-3</v>
      </c>
      <c r="BG352" s="12">
        <v>2.58</v>
      </c>
      <c r="BH352" s="11"/>
      <c r="BI352" s="186"/>
      <c r="BJ352" s="747"/>
      <c r="BK352" s="747"/>
      <c r="BL352" s="747"/>
      <c r="BM352" s="186"/>
      <c r="BN352" s="186"/>
      <c r="BO352" s="12"/>
      <c r="BP352" s="11"/>
      <c r="BQ352" s="186"/>
      <c r="BR352" s="747"/>
      <c r="BS352" s="747"/>
      <c r="BT352" s="747"/>
      <c r="BU352" s="186"/>
      <c r="BV352" s="186"/>
      <c r="BW352" s="12"/>
    </row>
    <row r="353" spans="1:75">
      <c r="A353" s="1" t="s">
        <v>939</v>
      </c>
      <c r="B353" s="1" t="s">
        <v>795</v>
      </c>
      <c r="C353" s="1" t="s">
        <v>927</v>
      </c>
      <c r="D353" s="1" t="s">
        <v>1803</v>
      </c>
      <c r="E353" s="1" t="s">
        <v>1958</v>
      </c>
      <c r="F353" s="1">
        <v>0.05</v>
      </c>
      <c r="G353" s="1">
        <v>0</v>
      </c>
      <c r="H353" s="1">
        <v>3</v>
      </c>
      <c r="I353" s="20" t="s">
        <v>684</v>
      </c>
      <c r="J353" s="1" t="s">
        <v>516</v>
      </c>
      <c r="AI353" s="757"/>
      <c r="AJ353" s="195"/>
      <c r="AK353" s="186"/>
      <c r="AL353" s="747"/>
      <c r="AM353" s="747"/>
      <c r="AN353" s="747"/>
      <c r="AO353" s="186"/>
      <c r="AP353" s="186"/>
      <c r="AQ353" s="12"/>
      <c r="AR353" s="11"/>
      <c r="AS353" s="186"/>
      <c r="AT353" s="747"/>
      <c r="AU353" s="747"/>
      <c r="AV353" s="747"/>
      <c r="AW353" s="186"/>
      <c r="AX353" s="186"/>
      <c r="AY353" s="12"/>
      <c r="AZ353" s="11" t="s">
        <v>2032</v>
      </c>
      <c r="BA353" s="186" t="s">
        <v>1720</v>
      </c>
      <c r="BB353" s="747" t="s">
        <v>314</v>
      </c>
      <c r="BC353" s="747" t="s">
        <v>258</v>
      </c>
      <c r="BD353" s="747" t="s">
        <v>1730</v>
      </c>
      <c r="BE353" s="186">
        <v>0.13</v>
      </c>
      <c r="BF353" s="186">
        <v>2.5500000000000002E-3</v>
      </c>
      <c r="BG353" s="12">
        <v>2.58</v>
      </c>
      <c r="BH353" s="11"/>
      <c r="BI353" s="186"/>
      <c r="BJ353" s="747"/>
      <c r="BK353" s="747"/>
      <c r="BL353" s="747"/>
      <c r="BM353" s="186"/>
      <c r="BN353" s="186"/>
      <c r="BO353" s="12"/>
      <c r="BP353" s="11"/>
      <c r="BQ353" s="186"/>
      <c r="BR353" s="747"/>
      <c r="BS353" s="747"/>
      <c r="BT353" s="747"/>
      <c r="BU353" s="186"/>
      <c r="BV353" s="186"/>
      <c r="BW353" s="12"/>
    </row>
    <row r="354" spans="1:75">
      <c r="A354" s="1" t="s">
        <v>940</v>
      </c>
      <c r="B354" s="1" t="s">
        <v>795</v>
      </c>
      <c r="C354" s="1" t="s">
        <v>927</v>
      </c>
      <c r="D354" s="1" t="s">
        <v>1803</v>
      </c>
      <c r="E354" s="1" t="s">
        <v>1959</v>
      </c>
      <c r="F354" s="1">
        <v>0.05</v>
      </c>
      <c r="G354" s="1">
        <v>0</v>
      </c>
      <c r="H354" s="1">
        <v>3</v>
      </c>
      <c r="I354" s="20" t="s">
        <v>691</v>
      </c>
      <c r="J354" s="1" t="s">
        <v>700</v>
      </c>
      <c r="AI354" s="757"/>
      <c r="AJ354" s="195"/>
      <c r="AK354" s="186"/>
      <c r="AL354" s="747"/>
      <c r="AM354" s="747"/>
      <c r="AN354" s="747"/>
      <c r="AO354" s="186"/>
      <c r="AP354" s="186"/>
      <c r="AQ354" s="12"/>
      <c r="AR354" s="11"/>
      <c r="AS354" s="186"/>
      <c r="AT354" s="747"/>
      <c r="AU354" s="747"/>
      <c r="AV354" s="747"/>
      <c r="AW354" s="186"/>
      <c r="AX354" s="186"/>
      <c r="AY354" s="12"/>
      <c r="AZ354" s="11" t="s">
        <v>2032</v>
      </c>
      <c r="BA354" s="186" t="s">
        <v>1720</v>
      </c>
      <c r="BB354" s="747" t="s">
        <v>315</v>
      </c>
      <c r="BC354" s="747" t="s">
        <v>259</v>
      </c>
      <c r="BD354" s="747" t="s">
        <v>1730</v>
      </c>
      <c r="BE354" s="186">
        <v>6.5000000000000002E-2</v>
      </c>
      <c r="BF354" s="186">
        <v>4.2500000000000003E-3</v>
      </c>
      <c r="BG354" s="12">
        <v>2.58</v>
      </c>
      <c r="BH354" s="11"/>
      <c r="BI354" s="186"/>
      <c r="BJ354" s="747"/>
      <c r="BK354" s="747"/>
      <c r="BL354" s="747"/>
      <c r="BM354" s="186"/>
      <c r="BN354" s="186"/>
      <c r="BO354" s="12"/>
      <c r="BP354" s="11"/>
      <c r="BQ354" s="186"/>
      <c r="BR354" s="747"/>
      <c r="BS354" s="747"/>
      <c r="BT354" s="747"/>
      <c r="BU354" s="186"/>
      <c r="BV354" s="186"/>
      <c r="BW354" s="12"/>
    </row>
    <row r="355" spans="1:75">
      <c r="A355" s="1" t="s">
        <v>941</v>
      </c>
      <c r="B355" s="1" t="s">
        <v>795</v>
      </c>
      <c r="C355" s="1" t="s">
        <v>927</v>
      </c>
      <c r="D355" s="1" t="s">
        <v>1803</v>
      </c>
      <c r="E355" s="1" t="s">
        <v>1960</v>
      </c>
      <c r="F355" s="1">
        <v>2.5000000000000001E-2</v>
      </c>
      <c r="G355" s="1">
        <v>0</v>
      </c>
      <c r="H355" s="1">
        <v>3</v>
      </c>
      <c r="I355" s="20" t="s">
        <v>684</v>
      </c>
      <c r="J355" s="1" t="s">
        <v>517</v>
      </c>
      <c r="AI355" s="757"/>
      <c r="AJ355" s="195"/>
      <c r="AK355" s="186"/>
      <c r="AL355" s="747"/>
      <c r="AM355" s="747"/>
      <c r="AN355" s="747"/>
      <c r="AO355" s="186"/>
      <c r="AP355" s="186"/>
      <c r="AQ355" s="12"/>
      <c r="AR355" s="11"/>
      <c r="AS355" s="186"/>
      <c r="AT355" s="747"/>
      <c r="AU355" s="747"/>
      <c r="AV355" s="747"/>
      <c r="AW355" s="186"/>
      <c r="AX355" s="186"/>
      <c r="AY355" s="12"/>
      <c r="AZ355" s="11" t="s">
        <v>2032</v>
      </c>
      <c r="BA355" s="186" t="s">
        <v>1720</v>
      </c>
      <c r="BB355" s="747" t="s">
        <v>316</v>
      </c>
      <c r="BC355" s="747" t="s">
        <v>259</v>
      </c>
      <c r="BD355" s="747" t="s">
        <v>1730</v>
      </c>
      <c r="BE355" s="186">
        <v>6.5000000000000002E-2</v>
      </c>
      <c r="BF355" s="186">
        <v>4.2500000000000003E-3</v>
      </c>
      <c r="BG355" s="12">
        <v>2.58</v>
      </c>
      <c r="BH355" s="11"/>
      <c r="BI355" s="186"/>
      <c r="BJ355" s="747"/>
      <c r="BK355" s="747"/>
      <c r="BL355" s="747"/>
      <c r="BM355" s="186"/>
      <c r="BN355" s="186"/>
      <c r="BO355" s="12"/>
      <c r="BP355" s="11"/>
      <c r="BQ355" s="186"/>
      <c r="BR355" s="747"/>
      <c r="BS355" s="747"/>
      <c r="BT355" s="747"/>
      <c r="BU355" s="186"/>
      <c r="BV355" s="186"/>
      <c r="BW355" s="12"/>
    </row>
    <row r="356" spans="1:75">
      <c r="A356" s="1" t="s">
        <v>942</v>
      </c>
      <c r="B356" s="1" t="s">
        <v>795</v>
      </c>
      <c r="C356" s="1" t="s">
        <v>927</v>
      </c>
      <c r="D356" s="1" t="s">
        <v>1803</v>
      </c>
      <c r="E356" s="1" t="s">
        <v>1961</v>
      </c>
      <c r="F356" s="1">
        <v>2.5000000000000001E-2</v>
      </c>
      <c r="G356" s="1">
        <v>0</v>
      </c>
      <c r="H356" s="1">
        <v>3</v>
      </c>
      <c r="I356" s="20" t="s">
        <v>691</v>
      </c>
      <c r="J356" s="1" t="s">
        <v>703</v>
      </c>
      <c r="AI356" s="757"/>
      <c r="AJ356" s="195"/>
      <c r="AK356" s="186"/>
      <c r="AL356" s="747"/>
      <c r="AM356" s="747"/>
      <c r="AN356" s="747"/>
      <c r="AO356" s="186"/>
      <c r="AP356" s="186"/>
      <c r="AQ356" s="12"/>
      <c r="AR356" s="11"/>
      <c r="AS356" s="186"/>
      <c r="AT356" s="747"/>
      <c r="AU356" s="747"/>
      <c r="AV356" s="747"/>
      <c r="AW356" s="186"/>
      <c r="AX356" s="186"/>
      <c r="AY356" s="12"/>
      <c r="AZ356" s="11" t="s">
        <v>2032</v>
      </c>
      <c r="BA356" s="186" t="s">
        <v>1720</v>
      </c>
      <c r="BB356" s="747" t="s">
        <v>317</v>
      </c>
      <c r="BC356" s="747" t="s">
        <v>260</v>
      </c>
      <c r="BD356" s="747" t="s">
        <v>1730</v>
      </c>
      <c r="BE356" s="186">
        <v>6.5000000000000002E-2</v>
      </c>
      <c r="BF356" s="186">
        <v>2.5500000000000002E-3</v>
      </c>
      <c r="BG356" s="12">
        <v>2.58</v>
      </c>
      <c r="BH356" s="11"/>
      <c r="BI356" s="186"/>
      <c r="BJ356" s="747"/>
      <c r="BK356" s="747"/>
      <c r="BL356" s="747"/>
      <c r="BM356" s="186"/>
      <c r="BN356" s="186"/>
      <c r="BO356" s="12"/>
      <c r="BP356" s="11"/>
      <c r="BQ356" s="186"/>
      <c r="BR356" s="747"/>
      <c r="BS356" s="747"/>
      <c r="BT356" s="747"/>
      <c r="BU356" s="186"/>
      <c r="BV356" s="186"/>
      <c r="BW356" s="12"/>
    </row>
    <row r="357" spans="1:75">
      <c r="A357" s="1" t="s">
        <v>943</v>
      </c>
      <c r="B357" s="1" t="s">
        <v>795</v>
      </c>
      <c r="C357" s="1" t="s">
        <v>927</v>
      </c>
      <c r="D357" s="1" t="s">
        <v>1710</v>
      </c>
      <c r="E357" s="1" t="s">
        <v>1962</v>
      </c>
      <c r="F357" s="1">
        <v>0.05</v>
      </c>
      <c r="G357" s="1">
        <v>0</v>
      </c>
      <c r="H357" s="1">
        <v>3</v>
      </c>
      <c r="I357" s="20" t="s">
        <v>684</v>
      </c>
      <c r="AI357" s="757"/>
      <c r="AJ357" s="195"/>
      <c r="AK357" s="186"/>
      <c r="AL357" s="747"/>
      <c r="AM357" s="747"/>
      <c r="AN357" s="747"/>
      <c r="AO357" s="186"/>
      <c r="AP357" s="186"/>
      <c r="AQ357" s="12"/>
      <c r="AR357" s="11"/>
      <c r="AS357" s="186"/>
      <c r="AT357" s="747"/>
      <c r="AU357" s="747"/>
      <c r="AV357" s="747"/>
      <c r="AW357" s="186"/>
      <c r="AX357" s="186"/>
      <c r="AY357" s="12"/>
      <c r="AZ357" s="11" t="s">
        <v>2032</v>
      </c>
      <c r="BA357" s="186" t="s">
        <v>1720</v>
      </c>
      <c r="BB357" s="747" t="s">
        <v>318</v>
      </c>
      <c r="BC357" s="747" t="s">
        <v>260</v>
      </c>
      <c r="BD357" s="747" t="s">
        <v>1730</v>
      </c>
      <c r="BE357" s="186">
        <v>6.5000000000000002E-2</v>
      </c>
      <c r="BF357" s="186">
        <v>2.5500000000000002E-3</v>
      </c>
      <c r="BG357" s="12">
        <v>2.58</v>
      </c>
      <c r="BH357" s="11"/>
      <c r="BI357" s="186"/>
      <c r="BJ357" s="747"/>
      <c r="BK357" s="747"/>
      <c r="BL357" s="747"/>
      <c r="BM357" s="186"/>
      <c r="BN357" s="186"/>
      <c r="BO357" s="12"/>
      <c r="BP357" s="11"/>
      <c r="BQ357" s="186"/>
      <c r="BR357" s="747"/>
      <c r="BS357" s="747"/>
      <c r="BT357" s="747"/>
      <c r="BU357" s="186"/>
      <c r="BV357" s="186"/>
      <c r="BW357" s="12"/>
    </row>
    <row r="358" spans="1:75">
      <c r="A358" s="1" t="s">
        <v>944</v>
      </c>
      <c r="B358" s="1" t="s">
        <v>795</v>
      </c>
      <c r="C358" s="1" t="s">
        <v>927</v>
      </c>
      <c r="D358" s="1" t="s">
        <v>1710</v>
      </c>
      <c r="E358" s="1" t="s">
        <v>1963</v>
      </c>
      <c r="F358" s="1">
        <v>2.5000000000000001E-2</v>
      </c>
      <c r="G358" s="1">
        <v>0</v>
      </c>
      <c r="H358" s="1">
        <v>3</v>
      </c>
      <c r="I358" s="20" t="s">
        <v>691</v>
      </c>
      <c r="J358" s="1" t="s">
        <v>692</v>
      </c>
      <c r="AI358" s="757"/>
      <c r="AJ358" s="195"/>
      <c r="AK358" s="186"/>
      <c r="AL358" s="747"/>
      <c r="AM358" s="747"/>
      <c r="AN358" s="747"/>
      <c r="AO358" s="186"/>
      <c r="AP358" s="186"/>
      <c r="AQ358" s="12"/>
      <c r="AR358" s="11"/>
      <c r="AS358" s="186"/>
      <c r="AT358" s="747"/>
      <c r="AU358" s="747"/>
      <c r="AV358" s="747"/>
      <c r="AW358" s="186"/>
      <c r="AX358" s="186"/>
      <c r="AY358" s="12"/>
      <c r="AZ358" s="11" t="s">
        <v>2032</v>
      </c>
      <c r="BA358" s="186" t="s">
        <v>1720</v>
      </c>
      <c r="BB358" s="747" t="s">
        <v>319</v>
      </c>
      <c r="BC358" s="747" t="s">
        <v>2813</v>
      </c>
      <c r="BD358" s="747" t="s">
        <v>1730</v>
      </c>
      <c r="BE358" s="186">
        <v>0.19500000000000001</v>
      </c>
      <c r="BF358" s="186">
        <v>1.2750000000000001E-2</v>
      </c>
      <c r="BG358" s="12">
        <v>2.58</v>
      </c>
      <c r="BH358" s="11"/>
      <c r="BI358" s="186"/>
      <c r="BJ358" s="747"/>
      <c r="BK358" s="747"/>
      <c r="BL358" s="747"/>
      <c r="BM358" s="186"/>
      <c r="BN358" s="186"/>
      <c r="BO358" s="12"/>
      <c r="BP358" s="11"/>
      <c r="BQ358" s="186"/>
      <c r="BR358" s="747"/>
      <c r="BS358" s="747"/>
      <c r="BT358" s="747"/>
      <c r="BU358" s="186"/>
      <c r="BV358" s="186"/>
      <c r="BW358" s="12"/>
    </row>
    <row r="359" spans="1:75">
      <c r="A359" s="1" t="s">
        <v>945</v>
      </c>
      <c r="B359" s="1" t="s">
        <v>795</v>
      </c>
      <c r="C359" s="1" t="s">
        <v>927</v>
      </c>
      <c r="D359" s="1" t="s">
        <v>1710</v>
      </c>
      <c r="E359" s="1" t="s">
        <v>1964</v>
      </c>
      <c r="F359" s="1">
        <v>4.4999999999999998E-2</v>
      </c>
      <c r="G359" s="1">
        <v>0</v>
      </c>
      <c r="H359" s="1">
        <v>3</v>
      </c>
      <c r="I359" s="20" t="s">
        <v>691</v>
      </c>
      <c r="J359" s="1" t="s">
        <v>697</v>
      </c>
      <c r="AI359" s="757"/>
      <c r="AJ359" s="195"/>
      <c r="AK359" s="186"/>
      <c r="AL359" s="747"/>
      <c r="AM359" s="747"/>
      <c r="AN359" s="747"/>
      <c r="AO359" s="186"/>
      <c r="AP359" s="186"/>
      <c r="AQ359" s="12"/>
      <c r="AR359" s="11"/>
      <c r="AS359" s="186"/>
      <c r="AT359" s="747"/>
      <c r="AU359" s="747"/>
      <c r="AV359" s="747"/>
      <c r="AW359" s="186"/>
      <c r="AX359" s="186"/>
      <c r="AY359" s="12"/>
      <c r="AZ359" s="11" t="s">
        <v>2032</v>
      </c>
      <c r="BA359" s="186" t="s">
        <v>1720</v>
      </c>
      <c r="BB359" s="747" t="s">
        <v>320</v>
      </c>
      <c r="BC359" s="747" t="s">
        <v>515</v>
      </c>
      <c r="BD359" s="747" t="s">
        <v>1730</v>
      </c>
      <c r="BE359" s="186">
        <v>0.19500000000000001</v>
      </c>
      <c r="BF359" s="186">
        <v>1.2750000000000001E-2</v>
      </c>
      <c r="BG359" s="12">
        <v>2.58</v>
      </c>
      <c r="BH359" s="11"/>
      <c r="BI359" s="186"/>
      <c r="BJ359" s="747"/>
      <c r="BK359" s="747"/>
      <c r="BL359" s="747"/>
      <c r="BM359" s="186"/>
      <c r="BN359" s="186"/>
      <c r="BO359" s="12"/>
      <c r="BP359" s="11"/>
      <c r="BQ359" s="186"/>
      <c r="BR359" s="747"/>
      <c r="BS359" s="747"/>
      <c r="BT359" s="747"/>
      <c r="BU359" s="186"/>
      <c r="BV359" s="186"/>
      <c r="BW359" s="12"/>
    </row>
    <row r="360" spans="1:75">
      <c r="A360" s="1" t="s">
        <v>946</v>
      </c>
      <c r="B360" s="1" t="s">
        <v>795</v>
      </c>
      <c r="C360" s="1" t="s">
        <v>927</v>
      </c>
      <c r="D360" s="1" t="s">
        <v>1710</v>
      </c>
      <c r="E360" s="1" t="s">
        <v>1965</v>
      </c>
      <c r="F360" s="1">
        <v>4.4999999999999998E-2</v>
      </c>
      <c r="G360" s="1">
        <v>0</v>
      </c>
      <c r="H360" s="1">
        <v>3</v>
      </c>
      <c r="I360" s="20" t="s">
        <v>684</v>
      </c>
      <c r="J360" s="1" t="s">
        <v>515</v>
      </c>
      <c r="AI360" s="757"/>
      <c r="AJ360" s="195"/>
      <c r="AK360" s="186"/>
      <c r="AL360" s="747"/>
      <c r="AM360" s="747"/>
      <c r="AN360" s="747"/>
      <c r="AO360" s="186"/>
      <c r="AP360" s="186"/>
      <c r="AQ360" s="12"/>
      <c r="AR360" s="11"/>
      <c r="AS360" s="186"/>
      <c r="AT360" s="747"/>
      <c r="AU360" s="747"/>
      <c r="AV360" s="747"/>
      <c r="AW360" s="186"/>
      <c r="AX360" s="186"/>
      <c r="AY360" s="12"/>
      <c r="AZ360" s="11" t="s">
        <v>2032</v>
      </c>
      <c r="BA360" s="186" t="s">
        <v>1720</v>
      </c>
      <c r="BB360" s="747" t="s">
        <v>321</v>
      </c>
      <c r="BC360" s="747" t="s">
        <v>516</v>
      </c>
      <c r="BD360" s="747" t="s">
        <v>1730</v>
      </c>
      <c r="BE360" s="186">
        <v>0.13</v>
      </c>
      <c r="BF360" s="186">
        <v>8.5000000000000006E-3</v>
      </c>
      <c r="BG360" s="12">
        <v>2.58</v>
      </c>
      <c r="BH360" s="11"/>
      <c r="BI360" s="186"/>
      <c r="BJ360" s="747"/>
      <c r="BK360" s="747"/>
      <c r="BL360" s="747"/>
      <c r="BM360" s="186"/>
      <c r="BN360" s="186"/>
      <c r="BO360" s="12"/>
      <c r="BP360" s="11"/>
      <c r="BQ360" s="186"/>
      <c r="BR360" s="747"/>
      <c r="BS360" s="747"/>
      <c r="BT360" s="747"/>
      <c r="BU360" s="186"/>
      <c r="BV360" s="186"/>
      <c r="BW360" s="12"/>
    </row>
    <row r="361" spans="1:75">
      <c r="A361" s="1" t="s">
        <v>947</v>
      </c>
      <c r="B361" s="1" t="s">
        <v>795</v>
      </c>
      <c r="C361" s="1" t="s">
        <v>927</v>
      </c>
      <c r="D361" s="1" t="s">
        <v>1710</v>
      </c>
      <c r="E361" s="1" t="s">
        <v>1966</v>
      </c>
      <c r="F361" s="1">
        <v>2.5000000000000001E-2</v>
      </c>
      <c r="G361" s="1">
        <v>0</v>
      </c>
      <c r="H361" s="1">
        <v>3</v>
      </c>
      <c r="I361" s="20" t="s">
        <v>691</v>
      </c>
      <c r="J361" s="1" t="s">
        <v>700</v>
      </c>
      <c r="AI361" s="757"/>
      <c r="AJ361" s="195"/>
      <c r="AK361" s="186"/>
      <c r="AL361" s="747"/>
      <c r="AM361" s="747"/>
      <c r="AN361" s="747"/>
      <c r="AO361" s="186"/>
      <c r="AP361" s="186"/>
      <c r="AQ361" s="12"/>
      <c r="AR361" s="11"/>
      <c r="AS361" s="186"/>
      <c r="AT361" s="747"/>
      <c r="AU361" s="747"/>
      <c r="AV361" s="747"/>
      <c r="AW361" s="186"/>
      <c r="AX361" s="186"/>
      <c r="AY361" s="12"/>
      <c r="AZ361" s="11" t="s">
        <v>2032</v>
      </c>
      <c r="BA361" s="186" t="s">
        <v>1720</v>
      </c>
      <c r="BB361" s="747" t="s">
        <v>322</v>
      </c>
      <c r="BC361" s="747" t="s">
        <v>516</v>
      </c>
      <c r="BD361" s="747" t="s">
        <v>1730</v>
      </c>
      <c r="BE361" s="186">
        <v>0.13</v>
      </c>
      <c r="BF361" s="186">
        <v>8.5000000000000006E-3</v>
      </c>
      <c r="BG361" s="12">
        <v>2.58</v>
      </c>
      <c r="BH361" s="11"/>
      <c r="BI361" s="186"/>
      <c r="BJ361" s="747"/>
      <c r="BK361" s="747"/>
      <c r="BL361" s="747"/>
      <c r="BM361" s="186"/>
      <c r="BN361" s="186"/>
      <c r="BO361" s="12"/>
      <c r="BP361" s="11"/>
      <c r="BQ361" s="186"/>
      <c r="BR361" s="747"/>
      <c r="BS361" s="747"/>
      <c r="BT361" s="747"/>
      <c r="BU361" s="186"/>
      <c r="BV361" s="186"/>
      <c r="BW361" s="12"/>
    </row>
    <row r="362" spans="1:75">
      <c r="A362" s="1" t="s">
        <v>948</v>
      </c>
      <c r="B362" s="1" t="s">
        <v>795</v>
      </c>
      <c r="C362" s="1" t="s">
        <v>927</v>
      </c>
      <c r="D362" s="1" t="s">
        <v>1710</v>
      </c>
      <c r="E362" s="1" t="s">
        <v>1967</v>
      </c>
      <c r="F362" s="1">
        <v>2.5000000000000001E-2</v>
      </c>
      <c r="G362" s="1">
        <v>0</v>
      </c>
      <c r="H362" s="1">
        <v>3</v>
      </c>
      <c r="I362" s="20" t="s">
        <v>710</v>
      </c>
      <c r="J362" s="1" t="s">
        <v>516</v>
      </c>
      <c r="AI362" s="757"/>
      <c r="AJ362" s="195"/>
      <c r="AK362" s="186"/>
      <c r="AL362" s="747"/>
      <c r="AM362" s="747"/>
      <c r="AN362" s="747"/>
      <c r="AO362" s="186"/>
      <c r="AP362" s="186"/>
      <c r="AQ362" s="12"/>
      <c r="AR362" s="11"/>
      <c r="AS362" s="186"/>
      <c r="AT362" s="747"/>
      <c r="AU362" s="747"/>
      <c r="AV362" s="747"/>
      <c r="AW362" s="186"/>
      <c r="AX362" s="186"/>
      <c r="AY362" s="12"/>
      <c r="AZ362" s="11" t="s">
        <v>2032</v>
      </c>
      <c r="BA362" s="186" t="s">
        <v>1720</v>
      </c>
      <c r="BB362" s="747" t="s">
        <v>323</v>
      </c>
      <c r="BC362" s="747" t="s">
        <v>517</v>
      </c>
      <c r="BD362" s="747" t="s">
        <v>1730</v>
      </c>
      <c r="BE362" s="186">
        <v>6.5000000000000002E-2</v>
      </c>
      <c r="BF362" s="186">
        <v>4.2500000000000003E-3</v>
      </c>
      <c r="BG362" s="12">
        <v>2.58</v>
      </c>
      <c r="BH362" s="11"/>
      <c r="BI362" s="186"/>
      <c r="BJ362" s="747"/>
      <c r="BK362" s="747"/>
      <c r="BL362" s="747"/>
      <c r="BM362" s="186"/>
      <c r="BN362" s="186"/>
      <c r="BO362" s="12"/>
      <c r="BP362" s="11"/>
      <c r="BQ362" s="186"/>
      <c r="BR362" s="747"/>
      <c r="BS362" s="747"/>
      <c r="BT362" s="747"/>
      <c r="BU362" s="186"/>
      <c r="BV362" s="186"/>
      <c r="BW362" s="12"/>
    </row>
    <row r="363" spans="1:75">
      <c r="A363" s="1" t="s">
        <v>949</v>
      </c>
      <c r="B363" s="1" t="s">
        <v>795</v>
      </c>
      <c r="C363" s="1" t="s">
        <v>927</v>
      </c>
      <c r="D363" s="1" t="s">
        <v>1710</v>
      </c>
      <c r="E363" s="1" t="s">
        <v>1968</v>
      </c>
      <c r="F363" s="1">
        <v>1.2500000000000001E-2</v>
      </c>
      <c r="G363" s="1">
        <v>0</v>
      </c>
      <c r="H363" s="1">
        <v>3</v>
      </c>
      <c r="I363" s="20" t="s">
        <v>691</v>
      </c>
      <c r="J363" s="1" t="s">
        <v>703</v>
      </c>
      <c r="AI363" s="757"/>
      <c r="AJ363" s="195"/>
      <c r="AK363" s="186"/>
      <c r="AL363" s="747"/>
      <c r="AM363" s="747"/>
      <c r="AN363" s="747"/>
      <c r="AO363" s="186"/>
      <c r="AP363" s="186"/>
      <c r="AQ363" s="12"/>
      <c r="AR363" s="11"/>
      <c r="AS363" s="186"/>
      <c r="AT363" s="747"/>
      <c r="AU363" s="747"/>
      <c r="AV363" s="747"/>
      <c r="AW363" s="186"/>
      <c r="AX363" s="186"/>
      <c r="AY363" s="12"/>
      <c r="AZ363" s="11" t="s">
        <v>2032</v>
      </c>
      <c r="BA363" s="186" t="s">
        <v>1720</v>
      </c>
      <c r="BB363" s="747" t="s">
        <v>324</v>
      </c>
      <c r="BC363" s="747" t="s">
        <v>517</v>
      </c>
      <c r="BD363" s="747" t="s">
        <v>1730</v>
      </c>
      <c r="BE363" s="186">
        <v>6.5000000000000002E-2</v>
      </c>
      <c r="BF363" s="186">
        <v>4.2500000000000003E-3</v>
      </c>
      <c r="BG363" s="12">
        <v>2.58</v>
      </c>
      <c r="BH363" s="11"/>
      <c r="BI363" s="186"/>
      <c r="BJ363" s="747"/>
      <c r="BK363" s="747"/>
      <c r="BL363" s="747"/>
      <c r="BM363" s="186"/>
      <c r="BN363" s="186"/>
      <c r="BO363" s="12"/>
      <c r="BP363" s="11"/>
      <c r="BQ363" s="186"/>
      <c r="BR363" s="747"/>
      <c r="BS363" s="747"/>
      <c r="BT363" s="747"/>
      <c r="BU363" s="186"/>
      <c r="BV363" s="186"/>
      <c r="BW363" s="12"/>
    </row>
    <row r="364" spans="1:75">
      <c r="A364" s="1" t="s">
        <v>950</v>
      </c>
      <c r="B364" s="1" t="s">
        <v>795</v>
      </c>
      <c r="C364" s="1" t="s">
        <v>927</v>
      </c>
      <c r="D364" s="1" t="s">
        <v>1710</v>
      </c>
      <c r="E364" s="1" t="s">
        <v>1969</v>
      </c>
      <c r="F364" s="1">
        <v>1.2500000000000001E-2</v>
      </c>
      <c r="G364" s="1">
        <v>0</v>
      </c>
      <c r="H364" s="1">
        <v>3</v>
      </c>
      <c r="I364" s="20" t="s">
        <v>713</v>
      </c>
      <c r="J364" s="1" t="s">
        <v>517</v>
      </c>
      <c r="AI364" s="757"/>
      <c r="AJ364" s="195"/>
      <c r="AK364" s="186"/>
      <c r="AL364" s="747"/>
      <c r="AM364" s="747"/>
      <c r="AN364" s="747"/>
      <c r="AO364" s="186"/>
      <c r="AP364" s="186"/>
      <c r="AQ364" s="12"/>
      <c r="AR364" s="11"/>
      <c r="AS364" s="186"/>
      <c r="AT364" s="747"/>
      <c r="AU364" s="747"/>
      <c r="AV364" s="747"/>
      <c r="AW364" s="186"/>
      <c r="AX364" s="186"/>
      <c r="AY364" s="12"/>
      <c r="AZ364" s="11" t="s">
        <v>2032</v>
      </c>
      <c r="BA364" s="186" t="s">
        <v>1720</v>
      </c>
      <c r="BB364" s="747" t="s">
        <v>325</v>
      </c>
      <c r="BC364" s="747" t="s">
        <v>608</v>
      </c>
      <c r="BD364" s="747" t="s">
        <v>1730</v>
      </c>
      <c r="BE364" s="186">
        <v>0.26</v>
      </c>
      <c r="BF364" s="186">
        <v>4.2500000000000003E-3</v>
      </c>
      <c r="BG364" s="12">
        <v>2.58</v>
      </c>
      <c r="BH364" s="11"/>
      <c r="BI364" s="186"/>
      <c r="BJ364" s="747"/>
      <c r="BK364" s="747"/>
      <c r="BL364" s="747"/>
      <c r="BM364" s="186"/>
      <c r="BN364" s="186"/>
      <c r="BO364" s="12"/>
      <c r="BP364" s="11"/>
      <c r="BQ364" s="186"/>
      <c r="BR364" s="747"/>
      <c r="BS364" s="747"/>
      <c r="BT364" s="747"/>
      <c r="BU364" s="186"/>
      <c r="BV364" s="186"/>
      <c r="BW364" s="12"/>
    </row>
    <row r="365" spans="1:75">
      <c r="A365" s="1" t="s">
        <v>951</v>
      </c>
      <c r="B365" s="1" t="s">
        <v>795</v>
      </c>
      <c r="C365" s="1" t="s">
        <v>927</v>
      </c>
      <c r="D365" s="1" t="s">
        <v>1710</v>
      </c>
      <c r="E365" s="1" t="s">
        <v>538</v>
      </c>
      <c r="F365" s="1">
        <v>4.4999999999999998E-2</v>
      </c>
      <c r="G365" s="1">
        <v>0</v>
      </c>
      <c r="H365" s="1">
        <v>3</v>
      </c>
      <c r="I365" s="20"/>
      <c r="J365" s="1" t="s">
        <v>952</v>
      </c>
      <c r="AI365" s="757"/>
      <c r="AJ365" s="195"/>
      <c r="AK365" s="186"/>
      <c r="AL365" s="747"/>
      <c r="AM365" s="747"/>
      <c r="AN365" s="747"/>
      <c r="AO365" s="186"/>
      <c r="AP365" s="186"/>
      <c r="AQ365" s="12"/>
      <c r="AR365" s="11"/>
      <c r="AS365" s="186"/>
      <c r="AT365" s="747"/>
      <c r="AU365" s="747"/>
      <c r="AV365" s="747"/>
      <c r="AW365" s="186"/>
      <c r="AX365" s="186"/>
      <c r="AY365" s="12"/>
      <c r="AZ365" s="11" t="s">
        <v>2032</v>
      </c>
      <c r="BA365" s="186" t="s">
        <v>1720</v>
      </c>
      <c r="BB365" s="747" t="s">
        <v>326</v>
      </c>
      <c r="BC365" s="747" t="s">
        <v>608</v>
      </c>
      <c r="BD365" s="747" t="s">
        <v>1730</v>
      </c>
      <c r="BE365" s="186">
        <v>0.13</v>
      </c>
      <c r="BF365" s="186">
        <v>4.2500000000000003E-3</v>
      </c>
      <c r="BG365" s="12">
        <v>2.58</v>
      </c>
      <c r="BH365" s="11"/>
      <c r="BI365" s="186"/>
      <c r="BJ365" s="747"/>
      <c r="BK365" s="747"/>
      <c r="BL365" s="747"/>
      <c r="BM365" s="186"/>
      <c r="BN365" s="186"/>
      <c r="BO365" s="12"/>
      <c r="BP365" s="11"/>
      <c r="BQ365" s="186"/>
      <c r="BR365" s="747"/>
      <c r="BS365" s="747"/>
      <c r="BT365" s="747"/>
      <c r="BU365" s="186"/>
      <c r="BV365" s="186"/>
      <c r="BW365" s="12"/>
    </row>
    <row r="366" spans="1:75">
      <c r="A366" s="1" t="s">
        <v>953</v>
      </c>
      <c r="B366" s="1" t="s">
        <v>795</v>
      </c>
      <c r="C366" s="1" t="s">
        <v>927</v>
      </c>
      <c r="D366" s="1" t="s">
        <v>1710</v>
      </c>
      <c r="E366" s="1" t="s">
        <v>539</v>
      </c>
      <c r="F366" s="1">
        <v>4.4999999999999998E-2</v>
      </c>
      <c r="G366" s="1">
        <v>0</v>
      </c>
      <c r="H366" s="1">
        <v>3</v>
      </c>
      <c r="I366" s="20"/>
      <c r="J366" s="1" t="s">
        <v>515</v>
      </c>
      <c r="AI366" s="757"/>
      <c r="AJ366" s="195"/>
      <c r="AK366" s="186"/>
      <c r="AL366" s="747"/>
      <c r="AM366" s="747"/>
      <c r="AN366" s="747"/>
      <c r="AO366" s="186"/>
      <c r="AP366" s="186"/>
      <c r="AQ366" s="12"/>
      <c r="AR366" s="11"/>
      <c r="AS366" s="186"/>
      <c r="AT366" s="747"/>
      <c r="AU366" s="747"/>
      <c r="AV366" s="747"/>
      <c r="AW366" s="186"/>
      <c r="AX366" s="186"/>
      <c r="AY366" s="12"/>
      <c r="AZ366" s="11" t="s">
        <v>2032</v>
      </c>
      <c r="BA366" s="186" t="s">
        <v>1720</v>
      </c>
      <c r="BB366" s="747" t="s">
        <v>327</v>
      </c>
      <c r="BC366" s="747" t="s">
        <v>609</v>
      </c>
      <c r="BD366" s="747" t="s">
        <v>1730</v>
      </c>
      <c r="BE366" s="186">
        <v>0.26</v>
      </c>
      <c r="BF366" s="186">
        <v>2.5500000000000002E-3</v>
      </c>
      <c r="BG366" s="12">
        <v>2.58</v>
      </c>
      <c r="BH366" s="11"/>
      <c r="BI366" s="186"/>
      <c r="BJ366" s="747"/>
      <c r="BK366" s="747"/>
      <c r="BL366" s="747"/>
      <c r="BM366" s="186"/>
      <c r="BN366" s="186"/>
      <c r="BO366" s="12"/>
      <c r="BP366" s="11"/>
      <c r="BQ366" s="186"/>
      <c r="BR366" s="747"/>
      <c r="BS366" s="747"/>
      <c r="BT366" s="747"/>
      <c r="BU366" s="186"/>
      <c r="BV366" s="186"/>
      <c r="BW366" s="12"/>
    </row>
    <row r="367" spans="1:75">
      <c r="A367" s="1" t="s">
        <v>954</v>
      </c>
      <c r="B367" s="1" t="s">
        <v>795</v>
      </c>
      <c r="C367" s="1" t="s">
        <v>927</v>
      </c>
      <c r="D367" s="1" t="s">
        <v>523</v>
      </c>
      <c r="E367" s="1" t="s">
        <v>540</v>
      </c>
      <c r="F367" s="1">
        <v>0.05</v>
      </c>
      <c r="G367" s="1">
        <v>0</v>
      </c>
      <c r="I367" s="20"/>
      <c r="AI367" s="757"/>
      <c r="AJ367" s="195"/>
      <c r="AK367" s="186"/>
      <c r="AL367" s="747"/>
      <c r="AM367" s="747"/>
      <c r="AN367" s="747"/>
      <c r="AO367" s="186"/>
      <c r="AP367" s="186"/>
      <c r="AQ367" s="12"/>
      <c r="AR367" s="11"/>
      <c r="AS367" s="186"/>
      <c r="AT367" s="747"/>
      <c r="AU367" s="747"/>
      <c r="AV367" s="747"/>
      <c r="AW367" s="186"/>
      <c r="AX367" s="186"/>
      <c r="AY367" s="12"/>
      <c r="AZ367" s="11" t="s">
        <v>2032</v>
      </c>
      <c r="BA367" s="186" t="s">
        <v>1720</v>
      </c>
      <c r="BB367" s="747" t="s">
        <v>328</v>
      </c>
      <c r="BC367" s="747" t="s">
        <v>609</v>
      </c>
      <c r="BD367" s="747" t="s">
        <v>1730</v>
      </c>
      <c r="BE367" s="186">
        <v>0.13</v>
      </c>
      <c r="BF367" s="186">
        <v>2.5500000000000002E-3</v>
      </c>
      <c r="BG367" s="12">
        <v>2.58</v>
      </c>
      <c r="BH367" s="11"/>
      <c r="BI367" s="186"/>
      <c r="BJ367" s="747"/>
      <c r="BK367" s="747"/>
      <c r="BL367" s="747"/>
      <c r="BM367" s="186"/>
      <c r="BN367" s="186"/>
      <c r="BO367" s="12"/>
      <c r="BP367" s="11"/>
      <c r="BQ367" s="186"/>
      <c r="BR367" s="747"/>
      <c r="BS367" s="747"/>
      <c r="BT367" s="747"/>
      <c r="BU367" s="186"/>
      <c r="BV367" s="186"/>
      <c r="BW367" s="12"/>
    </row>
    <row r="368" spans="1:75">
      <c r="A368" s="1" t="s">
        <v>955</v>
      </c>
      <c r="B368" s="1" t="s">
        <v>795</v>
      </c>
      <c r="C368" s="1" t="s">
        <v>927</v>
      </c>
      <c r="D368" s="1" t="s">
        <v>523</v>
      </c>
      <c r="E368" s="1" t="s">
        <v>541</v>
      </c>
      <c r="F368" s="1">
        <v>2.5000000000000001E-2</v>
      </c>
      <c r="G368" s="1">
        <v>0</v>
      </c>
      <c r="I368" s="20"/>
      <c r="J368" s="1" t="s">
        <v>692</v>
      </c>
      <c r="AI368" s="757"/>
      <c r="AJ368" s="195"/>
      <c r="AK368" s="186"/>
      <c r="AL368" s="747"/>
      <c r="AM368" s="747"/>
      <c r="AN368" s="747"/>
      <c r="AO368" s="186"/>
      <c r="AP368" s="186"/>
      <c r="AQ368" s="12"/>
      <c r="AR368" s="11"/>
      <c r="AS368" s="186"/>
      <c r="AT368" s="747"/>
      <c r="AU368" s="747"/>
      <c r="AV368" s="747"/>
      <c r="AW368" s="186"/>
      <c r="AX368" s="186"/>
      <c r="AY368" s="12"/>
      <c r="AZ368" s="11" t="s">
        <v>2032</v>
      </c>
      <c r="BA368" s="186" t="s">
        <v>1720</v>
      </c>
      <c r="BB368" s="747" t="s">
        <v>329</v>
      </c>
      <c r="BC368" s="747" t="s">
        <v>255</v>
      </c>
      <c r="BD368" s="747" t="s">
        <v>1730</v>
      </c>
      <c r="BE368" s="186">
        <v>0.19500000000000001</v>
      </c>
      <c r="BF368" s="186">
        <v>4.2500000000000003E-3</v>
      </c>
      <c r="BG368" s="12">
        <v>2.58</v>
      </c>
      <c r="BH368" s="11"/>
      <c r="BI368" s="186"/>
      <c r="BJ368" s="747"/>
      <c r="BK368" s="747"/>
      <c r="BL368" s="747"/>
      <c r="BM368" s="186"/>
      <c r="BN368" s="186"/>
      <c r="BO368" s="12"/>
      <c r="BP368" s="11"/>
      <c r="BQ368" s="186"/>
      <c r="BR368" s="747"/>
      <c r="BS368" s="747"/>
      <c r="BT368" s="747"/>
      <c r="BU368" s="186"/>
      <c r="BV368" s="186"/>
      <c r="BW368" s="12"/>
    </row>
    <row r="369" spans="1:75">
      <c r="A369" s="1" t="s">
        <v>956</v>
      </c>
      <c r="B369" s="1" t="s">
        <v>795</v>
      </c>
      <c r="C369" s="1" t="s">
        <v>927</v>
      </c>
      <c r="D369" s="1" t="s">
        <v>523</v>
      </c>
      <c r="E369" s="1" t="s">
        <v>542</v>
      </c>
      <c r="F369" s="1">
        <v>2.5000000000000001E-2</v>
      </c>
      <c r="G369" s="1">
        <v>0</v>
      </c>
      <c r="I369" s="20"/>
      <c r="J369" s="1" t="s">
        <v>519</v>
      </c>
      <c r="AI369" s="757"/>
      <c r="AJ369" s="195"/>
      <c r="AK369" s="186"/>
      <c r="AL369" s="747"/>
      <c r="AM369" s="747"/>
      <c r="AN369" s="747"/>
      <c r="AO369" s="186"/>
      <c r="AP369" s="186"/>
      <c r="AQ369" s="12"/>
      <c r="AR369" s="11"/>
      <c r="AS369" s="186"/>
      <c r="AT369" s="747"/>
      <c r="AU369" s="747"/>
      <c r="AV369" s="747"/>
      <c r="AW369" s="186"/>
      <c r="AX369" s="186"/>
      <c r="AY369" s="12"/>
      <c r="AZ369" s="11" t="s">
        <v>2032</v>
      </c>
      <c r="BA369" s="186" t="s">
        <v>1720</v>
      </c>
      <c r="BB369" s="747" t="s">
        <v>330</v>
      </c>
      <c r="BC369" s="747" t="s">
        <v>255</v>
      </c>
      <c r="BD369" s="747" t="s">
        <v>1730</v>
      </c>
      <c r="BE369" s="186">
        <v>0.19500000000000001</v>
      </c>
      <c r="BF369" s="186">
        <v>4.2500000000000003E-3</v>
      </c>
      <c r="BG369" s="12">
        <v>2.58</v>
      </c>
      <c r="BH369" s="11"/>
      <c r="BI369" s="186"/>
      <c r="BJ369" s="747"/>
      <c r="BK369" s="747"/>
      <c r="BL369" s="747"/>
      <c r="BM369" s="186"/>
      <c r="BN369" s="186"/>
      <c r="BO369" s="12"/>
      <c r="BP369" s="11"/>
      <c r="BQ369" s="186"/>
      <c r="BR369" s="747"/>
      <c r="BS369" s="747"/>
      <c r="BT369" s="747"/>
      <c r="BU369" s="186"/>
      <c r="BV369" s="186"/>
      <c r="BW369" s="12"/>
    </row>
    <row r="370" spans="1:75">
      <c r="A370" s="1" t="s">
        <v>957</v>
      </c>
      <c r="B370" s="1" t="s">
        <v>795</v>
      </c>
      <c r="C370" s="1" t="s">
        <v>927</v>
      </c>
      <c r="D370" s="1" t="s">
        <v>523</v>
      </c>
      <c r="E370" s="1" t="s">
        <v>543</v>
      </c>
      <c r="F370" s="1">
        <v>2.5000000000000001E-2</v>
      </c>
      <c r="G370" s="1">
        <v>0</v>
      </c>
      <c r="I370" s="20"/>
      <c r="J370" s="1" t="s">
        <v>756</v>
      </c>
      <c r="AI370" s="757"/>
      <c r="AJ370" s="195"/>
      <c r="AK370" s="186"/>
      <c r="AL370" s="747"/>
      <c r="AM370" s="747"/>
      <c r="AN370" s="747"/>
      <c r="AO370" s="186"/>
      <c r="AP370" s="186"/>
      <c r="AQ370" s="12"/>
      <c r="AR370" s="11"/>
      <c r="AS370" s="186"/>
      <c r="AT370" s="747"/>
      <c r="AU370" s="747"/>
      <c r="AV370" s="747"/>
      <c r="AW370" s="186"/>
      <c r="AX370" s="186"/>
      <c r="AY370" s="12"/>
      <c r="AZ370" s="11" t="s">
        <v>2032</v>
      </c>
      <c r="BA370" s="186" t="s">
        <v>1720</v>
      </c>
      <c r="BB370" s="747" t="s">
        <v>331</v>
      </c>
      <c r="BC370" s="747" t="s">
        <v>256</v>
      </c>
      <c r="BD370" s="747" t="s">
        <v>1730</v>
      </c>
      <c r="BE370" s="186">
        <v>0.19500000000000001</v>
      </c>
      <c r="BF370" s="186">
        <v>2.5500000000000002E-3</v>
      </c>
      <c r="BG370" s="12">
        <v>2.58</v>
      </c>
      <c r="BH370" s="11"/>
      <c r="BI370" s="186"/>
      <c r="BJ370" s="747"/>
      <c r="BK370" s="747"/>
      <c r="BL370" s="747"/>
      <c r="BM370" s="186"/>
      <c r="BN370" s="186"/>
      <c r="BO370" s="12"/>
      <c r="BP370" s="11"/>
      <c r="BQ370" s="186"/>
      <c r="BR370" s="747"/>
      <c r="BS370" s="747"/>
      <c r="BT370" s="747"/>
      <c r="BU370" s="186"/>
      <c r="BV370" s="186"/>
      <c r="BW370" s="12"/>
    </row>
    <row r="371" spans="1:75">
      <c r="A371" s="1" t="s">
        <v>958</v>
      </c>
      <c r="B371" s="1" t="s">
        <v>795</v>
      </c>
      <c r="C371" s="1" t="s">
        <v>927</v>
      </c>
      <c r="D371" s="1" t="s">
        <v>523</v>
      </c>
      <c r="E371" s="1" t="s">
        <v>544</v>
      </c>
      <c r="F371" s="1">
        <v>1.2500000000000001E-2</v>
      </c>
      <c r="G371" s="1">
        <v>0</v>
      </c>
      <c r="I371" s="20"/>
      <c r="J371" s="1" t="s">
        <v>520</v>
      </c>
      <c r="AI371" s="757"/>
      <c r="AJ371" s="195"/>
      <c r="AK371" s="186"/>
      <c r="AL371" s="747"/>
      <c r="AM371" s="747"/>
      <c r="AN371" s="747"/>
      <c r="AO371" s="186"/>
      <c r="AP371" s="186"/>
      <c r="AQ371" s="12"/>
      <c r="AR371" s="11"/>
      <c r="AS371" s="186"/>
      <c r="AT371" s="747"/>
      <c r="AU371" s="747"/>
      <c r="AV371" s="747"/>
      <c r="AW371" s="186"/>
      <c r="AX371" s="186"/>
      <c r="AY371" s="12"/>
      <c r="AZ371" s="11" t="s">
        <v>2032</v>
      </c>
      <c r="BA371" s="186" t="s">
        <v>1720</v>
      </c>
      <c r="BB371" s="747" t="s">
        <v>332</v>
      </c>
      <c r="BC371" s="747" t="s">
        <v>256</v>
      </c>
      <c r="BD371" s="747" t="s">
        <v>1730</v>
      </c>
      <c r="BE371" s="186">
        <v>0.19500000000000001</v>
      </c>
      <c r="BF371" s="186">
        <v>2.5500000000000002E-3</v>
      </c>
      <c r="BG371" s="12">
        <v>2.58</v>
      </c>
      <c r="BH371" s="11"/>
      <c r="BI371" s="186"/>
      <c r="BJ371" s="747"/>
      <c r="BK371" s="747"/>
      <c r="BL371" s="747"/>
      <c r="BM371" s="186"/>
      <c r="BN371" s="186"/>
      <c r="BO371" s="12"/>
      <c r="BP371" s="11"/>
      <c r="BQ371" s="186"/>
      <c r="BR371" s="747"/>
      <c r="BS371" s="747"/>
      <c r="BT371" s="747"/>
      <c r="BU371" s="186"/>
      <c r="BV371" s="186"/>
      <c r="BW371" s="12"/>
    </row>
    <row r="372" spans="1:75">
      <c r="A372" s="1" t="s">
        <v>959</v>
      </c>
      <c r="B372" s="1" t="s">
        <v>795</v>
      </c>
      <c r="C372" s="1" t="s">
        <v>927</v>
      </c>
      <c r="D372" s="1" t="s">
        <v>523</v>
      </c>
      <c r="E372" s="1" t="s">
        <v>545</v>
      </c>
      <c r="F372" s="1">
        <v>1.2500000000000001E-2</v>
      </c>
      <c r="G372" s="1">
        <v>0</v>
      </c>
      <c r="I372" s="20"/>
      <c r="J372" s="1" t="s">
        <v>759</v>
      </c>
      <c r="AI372" s="757"/>
      <c r="AJ372" s="195"/>
      <c r="AK372" s="186"/>
      <c r="AL372" s="747"/>
      <c r="AM372" s="747"/>
      <c r="AN372" s="747"/>
      <c r="AO372" s="186"/>
      <c r="AP372" s="186"/>
      <c r="AQ372" s="12"/>
      <c r="AR372" s="11"/>
      <c r="AS372" s="186"/>
      <c r="AT372" s="747"/>
      <c r="AU372" s="747"/>
      <c r="AV372" s="747"/>
      <c r="AW372" s="186"/>
      <c r="AX372" s="186"/>
      <c r="AY372" s="12"/>
      <c r="AZ372" s="11" t="s">
        <v>2032</v>
      </c>
      <c r="BA372" s="186" t="s">
        <v>1720</v>
      </c>
      <c r="BB372" s="747" t="s">
        <v>333</v>
      </c>
      <c r="BC372" s="747" t="s">
        <v>257</v>
      </c>
      <c r="BD372" s="747" t="s">
        <v>1730</v>
      </c>
      <c r="BE372" s="186">
        <v>0.13</v>
      </c>
      <c r="BF372" s="186">
        <v>4.2500000000000003E-3</v>
      </c>
      <c r="BG372" s="12">
        <v>2.58</v>
      </c>
      <c r="BH372" s="11"/>
      <c r="BI372" s="186"/>
      <c r="BJ372" s="747"/>
      <c r="BK372" s="747"/>
      <c r="BL372" s="747"/>
      <c r="BM372" s="186"/>
      <c r="BN372" s="186"/>
      <c r="BO372" s="12"/>
      <c r="BP372" s="11"/>
      <c r="BQ372" s="186"/>
      <c r="BR372" s="747"/>
      <c r="BS372" s="747"/>
      <c r="BT372" s="747"/>
      <c r="BU372" s="186"/>
      <c r="BV372" s="186"/>
      <c r="BW372" s="12"/>
    </row>
    <row r="373" spans="1:75">
      <c r="A373" s="1" t="s">
        <v>960</v>
      </c>
      <c r="B373" s="1" t="s">
        <v>961</v>
      </c>
      <c r="C373" s="1" t="s">
        <v>962</v>
      </c>
      <c r="D373" s="1" t="s">
        <v>1862</v>
      </c>
      <c r="E373" s="1" t="s">
        <v>1817</v>
      </c>
      <c r="F373" s="1">
        <v>1.7</v>
      </c>
      <c r="G373" s="1">
        <v>0.2</v>
      </c>
      <c r="H373" s="1">
        <v>2.62</v>
      </c>
      <c r="I373" s="20" t="s">
        <v>963</v>
      </c>
      <c r="AI373" s="757"/>
      <c r="AJ373" s="195"/>
      <c r="AK373" s="186"/>
      <c r="AL373" s="747"/>
      <c r="AM373" s="747"/>
      <c r="AN373" s="747"/>
      <c r="AO373" s="186"/>
      <c r="AP373" s="186"/>
      <c r="AQ373" s="12"/>
      <c r="AR373" s="11"/>
      <c r="AS373" s="186"/>
      <c r="AT373" s="747"/>
      <c r="AU373" s="747"/>
      <c r="AV373" s="747"/>
      <c r="AW373" s="186"/>
      <c r="AX373" s="186"/>
      <c r="AY373" s="12"/>
      <c r="AZ373" s="11" t="s">
        <v>2032</v>
      </c>
      <c r="BA373" s="186" t="s">
        <v>1720</v>
      </c>
      <c r="BB373" s="747" t="s">
        <v>334</v>
      </c>
      <c r="BC373" s="747" t="s">
        <v>257</v>
      </c>
      <c r="BD373" s="747" t="s">
        <v>1730</v>
      </c>
      <c r="BE373" s="186">
        <v>0.13</v>
      </c>
      <c r="BF373" s="186">
        <v>4.2500000000000003E-3</v>
      </c>
      <c r="BG373" s="12">
        <v>2.58</v>
      </c>
      <c r="BH373" s="11"/>
      <c r="BI373" s="186"/>
      <c r="BJ373" s="747"/>
      <c r="BK373" s="747"/>
      <c r="BL373" s="747"/>
      <c r="BM373" s="186"/>
      <c r="BN373" s="186"/>
      <c r="BO373" s="12"/>
      <c r="BP373" s="11"/>
      <c r="BQ373" s="186"/>
      <c r="BR373" s="747"/>
      <c r="BS373" s="747"/>
      <c r="BT373" s="747"/>
      <c r="BU373" s="186"/>
      <c r="BV373" s="186"/>
      <c r="BW373" s="12"/>
    </row>
    <row r="374" spans="1:75">
      <c r="A374" s="1" t="s">
        <v>964</v>
      </c>
      <c r="B374" s="1" t="s">
        <v>961</v>
      </c>
      <c r="C374" s="1" t="s">
        <v>962</v>
      </c>
      <c r="D374" s="1" t="s">
        <v>1864</v>
      </c>
      <c r="E374" s="1" t="s">
        <v>1838</v>
      </c>
      <c r="F374" s="1">
        <v>1.52</v>
      </c>
      <c r="G374" s="1">
        <v>0.2</v>
      </c>
      <c r="H374" s="1">
        <v>2.62</v>
      </c>
      <c r="I374" s="20" t="s">
        <v>963</v>
      </c>
      <c r="AI374" s="757"/>
      <c r="AJ374" s="195"/>
      <c r="AK374" s="186"/>
      <c r="AL374" s="747"/>
      <c r="AM374" s="747"/>
      <c r="AN374" s="747"/>
      <c r="AO374" s="186"/>
      <c r="AP374" s="186"/>
      <c r="AQ374" s="12"/>
      <c r="AR374" s="11"/>
      <c r="AS374" s="186"/>
      <c r="AT374" s="747"/>
      <c r="AU374" s="747"/>
      <c r="AV374" s="747"/>
      <c r="AW374" s="186"/>
      <c r="AX374" s="186"/>
      <c r="AY374" s="12"/>
      <c r="AZ374" s="11" t="s">
        <v>2032</v>
      </c>
      <c r="BA374" s="186" t="s">
        <v>1720</v>
      </c>
      <c r="BB374" s="747" t="s">
        <v>335</v>
      </c>
      <c r="BC374" s="747" t="s">
        <v>258</v>
      </c>
      <c r="BD374" s="747" t="s">
        <v>1730</v>
      </c>
      <c r="BE374" s="186">
        <v>0.13</v>
      </c>
      <c r="BF374" s="186">
        <v>2.5500000000000002E-3</v>
      </c>
      <c r="BG374" s="12">
        <v>2.58</v>
      </c>
      <c r="BH374" s="11"/>
      <c r="BI374" s="186"/>
      <c r="BJ374" s="747"/>
      <c r="BK374" s="747"/>
      <c r="BL374" s="747"/>
      <c r="BM374" s="186"/>
      <c r="BN374" s="186"/>
      <c r="BO374" s="12"/>
      <c r="BP374" s="11"/>
      <c r="BQ374" s="186"/>
      <c r="BR374" s="747"/>
      <c r="BS374" s="747"/>
      <c r="BT374" s="747"/>
      <c r="BU374" s="186"/>
      <c r="BV374" s="186"/>
      <c r="BW374" s="12"/>
    </row>
    <row r="375" spans="1:75">
      <c r="A375" s="1" t="s">
        <v>965</v>
      </c>
      <c r="B375" s="1" t="s">
        <v>961</v>
      </c>
      <c r="C375" s="1" t="s">
        <v>962</v>
      </c>
      <c r="D375" s="1" t="s">
        <v>1865</v>
      </c>
      <c r="E375" s="1" t="s">
        <v>1807</v>
      </c>
      <c r="F375" s="1">
        <v>1.3</v>
      </c>
      <c r="G375" s="1">
        <v>0.2</v>
      </c>
      <c r="H375" s="1">
        <v>2.62</v>
      </c>
      <c r="I375" s="20" t="s">
        <v>963</v>
      </c>
      <c r="AI375" s="757"/>
      <c r="AJ375" s="195"/>
      <c r="AK375" s="186"/>
      <c r="AL375" s="747"/>
      <c r="AM375" s="747"/>
      <c r="AN375" s="747"/>
      <c r="AO375" s="186"/>
      <c r="AP375" s="186"/>
      <c r="AQ375" s="12"/>
      <c r="AR375" s="11"/>
      <c r="AS375" s="186"/>
      <c r="AT375" s="747"/>
      <c r="AU375" s="747"/>
      <c r="AV375" s="747"/>
      <c r="AW375" s="186"/>
      <c r="AX375" s="186"/>
      <c r="AY375" s="12"/>
      <c r="AZ375" s="11" t="s">
        <v>2032</v>
      </c>
      <c r="BA375" s="186" t="s">
        <v>1720</v>
      </c>
      <c r="BB375" s="747" t="s">
        <v>336</v>
      </c>
      <c r="BC375" s="747" t="s">
        <v>258</v>
      </c>
      <c r="BD375" s="747" t="s">
        <v>1730</v>
      </c>
      <c r="BE375" s="186">
        <v>0.13</v>
      </c>
      <c r="BF375" s="186">
        <v>2.5500000000000002E-3</v>
      </c>
      <c r="BG375" s="12">
        <v>2.58</v>
      </c>
      <c r="BH375" s="11"/>
      <c r="BI375" s="186"/>
      <c r="BJ375" s="747"/>
      <c r="BK375" s="747"/>
      <c r="BL375" s="747"/>
      <c r="BM375" s="186"/>
      <c r="BN375" s="186"/>
      <c r="BO375" s="12"/>
      <c r="BP375" s="11"/>
      <c r="BQ375" s="186"/>
      <c r="BR375" s="747"/>
      <c r="BS375" s="747"/>
      <c r="BT375" s="747"/>
      <c r="BU375" s="186"/>
      <c r="BV375" s="186"/>
      <c r="BW375" s="12"/>
    </row>
    <row r="376" spans="1:75">
      <c r="A376" s="1" t="s">
        <v>966</v>
      </c>
      <c r="B376" s="1" t="s">
        <v>961</v>
      </c>
      <c r="C376" s="1" t="s">
        <v>962</v>
      </c>
      <c r="D376" s="1" t="s">
        <v>1865</v>
      </c>
      <c r="E376" s="1" t="s">
        <v>1808</v>
      </c>
      <c r="F376" s="1">
        <v>1.3</v>
      </c>
      <c r="G376" s="1">
        <v>0.2</v>
      </c>
      <c r="H376" s="1">
        <v>2.62</v>
      </c>
      <c r="I376" s="20" t="s">
        <v>963</v>
      </c>
      <c r="AI376" s="757"/>
      <c r="AJ376" s="195"/>
      <c r="AK376" s="186"/>
      <c r="AL376" s="747"/>
      <c r="AM376" s="747"/>
      <c r="AN376" s="747"/>
      <c r="AO376" s="186"/>
      <c r="AP376" s="186"/>
      <c r="AQ376" s="12"/>
      <c r="AR376" s="11"/>
      <c r="AS376" s="186"/>
      <c r="AT376" s="747"/>
      <c r="AU376" s="747"/>
      <c r="AV376" s="747"/>
      <c r="AW376" s="186"/>
      <c r="AX376" s="186"/>
      <c r="AY376" s="12"/>
      <c r="AZ376" s="11" t="s">
        <v>2032</v>
      </c>
      <c r="BA376" s="186" t="s">
        <v>1720</v>
      </c>
      <c r="BB376" s="747" t="s">
        <v>337</v>
      </c>
      <c r="BC376" s="747" t="s">
        <v>259</v>
      </c>
      <c r="BD376" s="747" t="s">
        <v>1730</v>
      </c>
      <c r="BE376" s="186">
        <v>6.5000000000000002E-2</v>
      </c>
      <c r="BF376" s="186">
        <v>4.2500000000000003E-3</v>
      </c>
      <c r="BG376" s="12">
        <v>2.58</v>
      </c>
      <c r="BH376" s="11"/>
      <c r="BI376" s="186"/>
      <c r="BJ376" s="747"/>
      <c r="BK376" s="747"/>
      <c r="BL376" s="747"/>
      <c r="BM376" s="186"/>
      <c r="BN376" s="186"/>
      <c r="BO376" s="12"/>
      <c r="BP376" s="11"/>
      <c r="BQ376" s="186"/>
      <c r="BR376" s="747"/>
      <c r="BS376" s="747"/>
      <c r="BT376" s="747"/>
      <c r="BU376" s="186"/>
      <c r="BV376" s="186"/>
      <c r="BW376" s="12"/>
    </row>
    <row r="377" spans="1:75">
      <c r="A377" s="1" t="s">
        <v>967</v>
      </c>
      <c r="B377" s="1" t="s">
        <v>961</v>
      </c>
      <c r="C377" s="1" t="s">
        <v>962</v>
      </c>
      <c r="D377" s="1" t="s">
        <v>1868</v>
      </c>
      <c r="E377" s="1" t="s">
        <v>1869</v>
      </c>
      <c r="F377" s="1">
        <v>0.9</v>
      </c>
      <c r="G377" s="1">
        <v>0.2</v>
      </c>
      <c r="H377" s="1">
        <v>2.62</v>
      </c>
      <c r="I377" s="20" t="s">
        <v>963</v>
      </c>
      <c r="AI377" s="757"/>
      <c r="AJ377" s="195"/>
      <c r="AK377" s="186"/>
      <c r="AL377" s="747"/>
      <c r="AM377" s="747"/>
      <c r="AN377" s="747"/>
      <c r="AO377" s="186"/>
      <c r="AP377" s="186"/>
      <c r="AQ377" s="12"/>
      <c r="AR377" s="11"/>
      <c r="AS377" s="186"/>
      <c r="AT377" s="747"/>
      <c r="AU377" s="747"/>
      <c r="AV377" s="747"/>
      <c r="AW377" s="186"/>
      <c r="AX377" s="186"/>
      <c r="AY377" s="12"/>
      <c r="AZ377" s="11" t="s">
        <v>2032</v>
      </c>
      <c r="BA377" s="186" t="s">
        <v>1720</v>
      </c>
      <c r="BB377" s="747" t="s">
        <v>338</v>
      </c>
      <c r="BC377" s="747" t="s">
        <v>259</v>
      </c>
      <c r="BD377" s="747" t="s">
        <v>1730</v>
      </c>
      <c r="BE377" s="186">
        <v>6.5000000000000002E-2</v>
      </c>
      <c r="BF377" s="186">
        <v>4.2500000000000003E-3</v>
      </c>
      <c r="BG377" s="12">
        <v>2.58</v>
      </c>
      <c r="BH377" s="11"/>
      <c r="BI377" s="186"/>
      <c r="BJ377" s="747"/>
      <c r="BK377" s="747"/>
      <c r="BL377" s="747"/>
      <c r="BM377" s="186"/>
      <c r="BN377" s="186"/>
      <c r="BO377" s="12"/>
      <c r="BP377" s="11"/>
      <c r="BQ377" s="186"/>
      <c r="BR377" s="747"/>
      <c r="BS377" s="747"/>
      <c r="BT377" s="747"/>
      <c r="BU377" s="186"/>
      <c r="BV377" s="186"/>
      <c r="BW377" s="12"/>
    </row>
    <row r="378" spans="1:75">
      <c r="A378" s="1" t="s">
        <v>968</v>
      </c>
      <c r="B378" s="1" t="s">
        <v>961</v>
      </c>
      <c r="C378" s="1" t="s">
        <v>962</v>
      </c>
      <c r="D378" s="1" t="s">
        <v>1971</v>
      </c>
      <c r="E378" s="1" t="s">
        <v>1874</v>
      </c>
      <c r="F378" s="1">
        <v>0.6</v>
      </c>
      <c r="G378" s="1">
        <v>0.2</v>
      </c>
      <c r="H378" s="1">
        <v>2.62</v>
      </c>
      <c r="I378" s="20" t="s">
        <v>963</v>
      </c>
      <c r="AI378" s="757"/>
      <c r="AJ378" s="195"/>
      <c r="AK378" s="186"/>
      <c r="AL378" s="747"/>
      <c r="AM378" s="747"/>
      <c r="AN378" s="747"/>
      <c r="AO378" s="186"/>
      <c r="AP378" s="186"/>
      <c r="AQ378" s="12"/>
      <c r="AR378" s="11"/>
      <c r="AS378" s="186"/>
      <c r="AT378" s="747"/>
      <c r="AU378" s="747"/>
      <c r="AV378" s="747"/>
      <c r="AW378" s="186"/>
      <c r="AX378" s="186"/>
      <c r="AY378" s="12"/>
      <c r="AZ378" s="11" t="s">
        <v>2032</v>
      </c>
      <c r="BA378" s="186" t="s">
        <v>1720</v>
      </c>
      <c r="BB378" s="747" t="s">
        <v>339</v>
      </c>
      <c r="BC378" s="747" t="s">
        <v>260</v>
      </c>
      <c r="BD378" s="747" t="s">
        <v>1730</v>
      </c>
      <c r="BE378" s="186">
        <v>6.5000000000000002E-2</v>
      </c>
      <c r="BF378" s="186">
        <v>2.5500000000000002E-3</v>
      </c>
      <c r="BG378" s="12">
        <v>2.58</v>
      </c>
      <c r="BH378" s="11"/>
      <c r="BI378" s="186"/>
      <c r="BJ378" s="747"/>
      <c r="BK378" s="747"/>
      <c r="BL378" s="747"/>
      <c r="BM378" s="186"/>
      <c r="BN378" s="186"/>
      <c r="BO378" s="12"/>
      <c r="BP378" s="11"/>
      <c r="BQ378" s="186"/>
      <c r="BR378" s="747"/>
      <c r="BS378" s="747"/>
      <c r="BT378" s="747"/>
      <c r="BU378" s="186"/>
      <c r="BV378" s="186"/>
      <c r="BW378" s="12"/>
    </row>
    <row r="379" spans="1:75">
      <c r="A379" s="1" t="s">
        <v>969</v>
      </c>
      <c r="B379" s="1" t="s">
        <v>961</v>
      </c>
      <c r="C379" s="1" t="s">
        <v>962</v>
      </c>
      <c r="D379" s="1" t="s">
        <v>1972</v>
      </c>
      <c r="E379" s="1" t="s">
        <v>1973</v>
      </c>
      <c r="F379" s="1">
        <v>0.4</v>
      </c>
      <c r="G379" s="1">
        <v>0.08</v>
      </c>
      <c r="H379" s="1">
        <v>2.62</v>
      </c>
      <c r="I379" s="20" t="s">
        <v>963</v>
      </c>
      <c r="AI379" s="757"/>
      <c r="AJ379" s="195"/>
      <c r="AK379" s="186"/>
      <c r="AL379" s="747"/>
      <c r="AM379" s="747"/>
      <c r="AN379" s="747"/>
      <c r="AO379" s="186"/>
      <c r="AP379" s="186"/>
      <c r="AQ379" s="12"/>
      <c r="AR379" s="11"/>
      <c r="AS379" s="186"/>
      <c r="AT379" s="747"/>
      <c r="AU379" s="747"/>
      <c r="AV379" s="747"/>
      <c r="AW379" s="186"/>
      <c r="AX379" s="186"/>
      <c r="AY379" s="12"/>
      <c r="AZ379" s="11" t="s">
        <v>2032</v>
      </c>
      <c r="BA379" s="186" t="s">
        <v>1720</v>
      </c>
      <c r="BB379" s="747" t="s">
        <v>340</v>
      </c>
      <c r="BC379" s="747" t="s">
        <v>260</v>
      </c>
      <c r="BD379" s="747" t="s">
        <v>1730</v>
      </c>
      <c r="BE379" s="186">
        <v>6.5000000000000002E-2</v>
      </c>
      <c r="BF379" s="186">
        <v>2.5500000000000002E-3</v>
      </c>
      <c r="BG379" s="12">
        <v>2.58</v>
      </c>
      <c r="BH379" s="11"/>
      <c r="BI379" s="186"/>
      <c r="BJ379" s="747"/>
      <c r="BK379" s="747"/>
      <c r="BL379" s="747"/>
      <c r="BM379" s="186"/>
      <c r="BN379" s="186"/>
      <c r="BO379" s="12"/>
      <c r="BP379" s="11"/>
      <c r="BQ379" s="186"/>
      <c r="BR379" s="747"/>
      <c r="BS379" s="747"/>
      <c r="BT379" s="747"/>
      <c r="BU379" s="186"/>
      <c r="BV379" s="186"/>
      <c r="BW379" s="12"/>
    </row>
    <row r="380" spans="1:75">
      <c r="A380" s="1" t="s">
        <v>970</v>
      </c>
      <c r="B380" s="1" t="s">
        <v>961</v>
      </c>
      <c r="C380" s="1" t="s">
        <v>962</v>
      </c>
      <c r="D380" s="1" t="s">
        <v>1972</v>
      </c>
      <c r="E380" s="1" t="s">
        <v>1974</v>
      </c>
      <c r="F380" s="1">
        <v>0.2</v>
      </c>
      <c r="G380" s="1">
        <v>0.04</v>
      </c>
      <c r="H380" s="1">
        <v>2.62</v>
      </c>
      <c r="I380" s="20" t="s">
        <v>691</v>
      </c>
      <c r="J380" s="1" t="s">
        <v>692</v>
      </c>
      <c r="AI380" s="757"/>
      <c r="AJ380" s="195"/>
      <c r="AK380" s="186"/>
      <c r="AL380" s="747"/>
      <c r="AM380" s="747"/>
      <c r="AN380" s="747"/>
      <c r="AO380" s="186"/>
      <c r="AP380" s="186"/>
      <c r="AQ380" s="12"/>
      <c r="AR380" s="11"/>
      <c r="AS380" s="186"/>
      <c r="AT380" s="747"/>
      <c r="AU380" s="747"/>
      <c r="AV380" s="747"/>
      <c r="AW380" s="186"/>
      <c r="AX380" s="186"/>
      <c r="AY380" s="12"/>
      <c r="AZ380" s="11" t="s">
        <v>2032</v>
      </c>
      <c r="BA380" s="186" t="s">
        <v>1710</v>
      </c>
      <c r="BB380" s="747" t="s">
        <v>1277</v>
      </c>
      <c r="BC380" s="747" t="s">
        <v>1730</v>
      </c>
      <c r="BD380" s="747" t="s">
        <v>247</v>
      </c>
      <c r="BE380" s="186">
        <v>0.15</v>
      </c>
      <c r="BF380" s="186">
        <v>3.0000000000000001E-3</v>
      </c>
      <c r="BG380" s="12">
        <v>2.58</v>
      </c>
      <c r="BH380" s="11"/>
      <c r="BI380" s="186"/>
      <c r="BJ380" s="747"/>
      <c r="BK380" s="747"/>
      <c r="BL380" s="747"/>
      <c r="BM380" s="186"/>
      <c r="BN380" s="186"/>
      <c r="BO380" s="12"/>
      <c r="BP380" s="11"/>
      <c r="BQ380" s="186"/>
      <c r="BR380" s="747"/>
      <c r="BS380" s="747"/>
      <c r="BT380" s="747"/>
      <c r="BU380" s="186"/>
      <c r="BV380" s="186"/>
      <c r="BW380" s="12"/>
    </row>
    <row r="381" spans="1:75">
      <c r="A381" s="1" t="s">
        <v>971</v>
      </c>
      <c r="B381" s="1" t="s">
        <v>961</v>
      </c>
      <c r="C381" s="1" t="s">
        <v>962</v>
      </c>
      <c r="D381" s="1" t="s">
        <v>1709</v>
      </c>
      <c r="E381" s="1" t="s">
        <v>1975</v>
      </c>
      <c r="F381" s="1">
        <v>0.28000000000000003</v>
      </c>
      <c r="G381" s="1">
        <v>5.1999999999999998E-2</v>
      </c>
      <c r="H381" s="1">
        <v>2.62</v>
      </c>
      <c r="I381" s="20" t="s">
        <v>963</v>
      </c>
      <c r="AI381" s="757"/>
      <c r="AJ381" s="195"/>
      <c r="AK381" s="186"/>
      <c r="AL381" s="747"/>
      <c r="AM381" s="747"/>
      <c r="AN381" s="747"/>
      <c r="AO381" s="186"/>
      <c r="AP381" s="186"/>
      <c r="AQ381" s="12"/>
      <c r="AR381" s="11"/>
      <c r="AS381" s="186"/>
      <c r="AT381" s="747"/>
      <c r="AU381" s="747"/>
      <c r="AV381" s="747"/>
      <c r="AW381" s="186"/>
      <c r="AX381" s="186"/>
      <c r="AY381" s="12"/>
      <c r="AZ381" s="11" t="s">
        <v>2032</v>
      </c>
      <c r="BA381" s="186" t="s">
        <v>1710</v>
      </c>
      <c r="BB381" s="747" t="s">
        <v>610</v>
      </c>
      <c r="BC381" s="747" t="s">
        <v>1730</v>
      </c>
      <c r="BD381" s="747" t="s">
        <v>247</v>
      </c>
      <c r="BE381" s="186">
        <v>0.15</v>
      </c>
      <c r="BF381" s="186">
        <v>3.0000000000000001E-3</v>
      </c>
      <c r="BG381" s="12">
        <v>2.58</v>
      </c>
      <c r="BH381" s="11"/>
      <c r="BI381" s="186"/>
      <c r="BJ381" s="747"/>
      <c r="BK381" s="747"/>
      <c r="BL381" s="747"/>
      <c r="BM381" s="186"/>
      <c r="BN381" s="186"/>
      <c r="BO381" s="12"/>
      <c r="BP381" s="11"/>
      <c r="BQ381" s="186"/>
      <c r="BR381" s="747"/>
      <c r="BS381" s="747"/>
      <c r="BT381" s="747"/>
      <c r="BU381" s="186"/>
      <c r="BV381" s="186"/>
      <c r="BW381" s="12"/>
    </row>
    <row r="382" spans="1:75">
      <c r="A382" s="1" t="s">
        <v>972</v>
      </c>
      <c r="B382" s="1" t="s">
        <v>961</v>
      </c>
      <c r="C382" s="1" t="s">
        <v>962</v>
      </c>
      <c r="D382" s="1" t="s">
        <v>1709</v>
      </c>
      <c r="E382" s="1" t="s">
        <v>1976</v>
      </c>
      <c r="F382" s="1">
        <v>0.14000000000000001</v>
      </c>
      <c r="G382" s="1">
        <v>2.5999999999999999E-2</v>
      </c>
      <c r="H382" s="1">
        <v>2.62</v>
      </c>
      <c r="I382" s="20" t="s">
        <v>691</v>
      </c>
      <c r="J382" s="1" t="s">
        <v>692</v>
      </c>
      <c r="AI382" s="757"/>
      <c r="AJ382" s="195"/>
      <c r="AK382" s="186"/>
      <c r="AL382" s="747"/>
      <c r="AM382" s="747"/>
      <c r="AN382" s="747"/>
      <c r="AO382" s="186"/>
      <c r="AP382" s="186"/>
      <c r="AQ382" s="12"/>
      <c r="AR382" s="11"/>
      <c r="AS382" s="186"/>
      <c r="AT382" s="747"/>
      <c r="AU382" s="747"/>
      <c r="AV382" s="747"/>
      <c r="AW382" s="186"/>
      <c r="AX382" s="186"/>
      <c r="AY382" s="12"/>
      <c r="AZ382" s="11" t="s">
        <v>2032</v>
      </c>
      <c r="BA382" s="186" t="s">
        <v>1710</v>
      </c>
      <c r="BB382" s="747" t="s">
        <v>1278</v>
      </c>
      <c r="BC382" s="747" t="s">
        <v>1730</v>
      </c>
      <c r="BD382" s="747" t="s">
        <v>247</v>
      </c>
      <c r="BE382" s="186">
        <v>7.4999999999999997E-2</v>
      </c>
      <c r="BF382" s="186">
        <v>1.5E-3</v>
      </c>
      <c r="BG382" s="12">
        <v>2.58</v>
      </c>
      <c r="BH382" s="11"/>
      <c r="BI382" s="186"/>
      <c r="BJ382" s="747"/>
      <c r="BK382" s="747"/>
      <c r="BL382" s="747"/>
      <c r="BM382" s="186"/>
      <c r="BN382" s="186"/>
      <c r="BO382" s="12"/>
      <c r="BP382" s="11"/>
      <c r="BQ382" s="186"/>
      <c r="BR382" s="747"/>
      <c r="BS382" s="747"/>
      <c r="BT382" s="747"/>
      <c r="BU382" s="186"/>
      <c r="BV382" s="186"/>
      <c r="BW382" s="12"/>
    </row>
    <row r="383" spans="1:75">
      <c r="A383" s="1" t="s">
        <v>973</v>
      </c>
      <c r="B383" s="1" t="s">
        <v>961</v>
      </c>
      <c r="C383" s="1" t="s">
        <v>962</v>
      </c>
      <c r="D383" s="1" t="s">
        <v>1709</v>
      </c>
      <c r="E383" s="1" t="s">
        <v>1977</v>
      </c>
      <c r="F383" s="1">
        <v>0.21</v>
      </c>
      <c r="G383" s="1">
        <v>3.9E-2</v>
      </c>
      <c r="H383" s="1">
        <v>2.62</v>
      </c>
      <c r="I383" s="20" t="s">
        <v>963</v>
      </c>
      <c r="J383" s="1" t="s">
        <v>515</v>
      </c>
      <c r="AI383" s="757"/>
      <c r="AJ383" s="195"/>
      <c r="AK383" s="186"/>
      <c r="AL383" s="747"/>
      <c r="AM383" s="747"/>
      <c r="AN383" s="747"/>
      <c r="AO383" s="186"/>
      <c r="AP383" s="186"/>
      <c r="AQ383" s="12"/>
      <c r="AR383" s="11"/>
      <c r="AS383" s="186"/>
      <c r="AT383" s="747"/>
      <c r="AU383" s="747"/>
      <c r="AV383" s="747"/>
      <c r="AW383" s="186"/>
      <c r="AX383" s="186"/>
      <c r="AY383" s="12"/>
      <c r="AZ383" s="11" t="s">
        <v>2032</v>
      </c>
      <c r="BA383" s="186" t="s">
        <v>1710</v>
      </c>
      <c r="BB383" s="747" t="s">
        <v>611</v>
      </c>
      <c r="BC383" s="747" t="s">
        <v>1730</v>
      </c>
      <c r="BD383" s="747" t="s">
        <v>247</v>
      </c>
      <c r="BE383" s="186">
        <v>7.4999999999999997E-2</v>
      </c>
      <c r="BF383" s="186">
        <v>1.5E-3</v>
      </c>
      <c r="BG383" s="12">
        <v>2.58</v>
      </c>
      <c r="BH383" s="11"/>
      <c r="BI383" s="186"/>
      <c r="BJ383" s="747"/>
      <c r="BK383" s="747"/>
      <c r="BL383" s="747"/>
      <c r="BM383" s="186"/>
      <c r="BN383" s="186"/>
      <c r="BO383" s="12"/>
      <c r="BP383" s="11"/>
      <c r="BQ383" s="186"/>
      <c r="BR383" s="747"/>
      <c r="BS383" s="747"/>
      <c r="BT383" s="747"/>
      <c r="BU383" s="186"/>
      <c r="BV383" s="186"/>
      <c r="BW383" s="12"/>
    </row>
    <row r="384" spans="1:75">
      <c r="A384" s="1" t="s">
        <v>974</v>
      </c>
      <c r="B384" s="1" t="s">
        <v>961</v>
      </c>
      <c r="C384" s="1" t="s">
        <v>962</v>
      </c>
      <c r="D384" s="1" t="s">
        <v>1709</v>
      </c>
      <c r="E384" s="1" t="s">
        <v>1978</v>
      </c>
      <c r="F384" s="1">
        <v>0.21</v>
      </c>
      <c r="G384" s="1">
        <v>3.9E-2</v>
      </c>
      <c r="H384" s="1">
        <v>2.62</v>
      </c>
      <c r="I384" s="20" t="s">
        <v>691</v>
      </c>
      <c r="J384" s="1" t="s">
        <v>697</v>
      </c>
      <c r="AI384" s="757"/>
      <c r="AJ384" s="195"/>
      <c r="AK384" s="186"/>
      <c r="AL384" s="747"/>
      <c r="AM384" s="747"/>
      <c r="AN384" s="747"/>
      <c r="AO384" s="186"/>
      <c r="AP384" s="186"/>
      <c r="AQ384" s="12"/>
      <c r="AR384" s="11"/>
      <c r="AS384" s="186"/>
      <c r="AT384" s="747"/>
      <c r="AU384" s="747"/>
      <c r="AV384" s="747"/>
      <c r="AW384" s="186"/>
      <c r="AX384" s="186"/>
      <c r="AY384" s="12"/>
      <c r="AZ384" s="11" t="s">
        <v>2032</v>
      </c>
      <c r="BA384" s="186" t="s">
        <v>1710</v>
      </c>
      <c r="BB384" s="747" t="s">
        <v>1279</v>
      </c>
      <c r="BC384" s="747" t="s">
        <v>518</v>
      </c>
      <c r="BD384" s="747" t="s">
        <v>2692</v>
      </c>
      <c r="BE384" s="186">
        <v>0.13500000000000001</v>
      </c>
      <c r="BF384" s="186">
        <v>2.7000000000000001E-3</v>
      </c>
      <c r="BG384" s="12">
        <v>2.58</v>
      </c>
      <c r="BH384" s="11"/>
      <c r="BI384" s="186"/>
      <c r="BJ384" s="747"/>
      <c r="BK384" s="747"/>
      <c r="BL384" s="747"/>
      <c r="BM384" s="186"/>
      <c r="BN384" s="186"/>
      <c r="BO384" s="12"/>
      <c r="BP384" s="11"/>
      <c r="BQ384" s="186"/>
      <c r="BR384" s="747"/>
      <c r="BS384" s="747"/>
      <c r="BT384" s="747"/>
      <c r="BU384" s="186"/>
      <c r="BV384" s="186"/>
      <c r="BW384" s="12"/>
    </row>
    <row r="385" spans="1:75">
      <c r="A385" s="1" t="s">
        <v>975</v>
      </c>
      <c r="B385" s="1" t="s">
        <v>961</v>
      </c>
      <c r="C385" s="1" t="s">
        <v>962</v>
      </c>
      <c r="D385" s="1" t="s">
        <v>1709</v>
      </c>
      <c r="E385" s="1" t="s">
        <v>1979</v>
      </c>
      <c r="F385" s="1">
        <v>0.14000000000000001</v>
      </c>
      <c r="G385" s="1">
        <v>2.5999999999999999E-2</v>
      </c>
      <c r="H385" s="1">
        <v>2.62</v>
      </c>
      <c r="I385" s="20" t="s">
        <v>963</v>
      </c>
      <c r="J385" s="1" t="s">
        <v>516</v>
      </c>
      <c r="AI385" s="757"/>
      <c r="AJ385" s="195"/>
      <c r="AK385" s="186"/>
      <c r="AL385" s="747"/>
      <c r="AM385" s="747"/>
      <c r="AN385" s="747"/>
      <c r="AO385" s="186"/>
      <c r="AP385" s="186"/>
      <c r="AQ385" s="12"/>
      <c r="AR385" s="11"/>
      <c r="AS385" s="186"/>
      <c r="AT385" s="747"/>
      <c r="AU385" s="747"/>
      <c r="AV385" s="747"/>
      <c r="AW385" s="186"/>
      <c r="AX385" s="186"/>
      <c r="AY385" s="12"/>
      <c r="AZ385" s="11" t="s">
        <v>2032</v>
      </c>
      <c r="BA385" s="186" t="s">
        <v>1710</v>
      </c>
      <c r="BB385" s="747" t="s">
        <v>612</v>
      </c>
      <c r="BC385" s="747" t="s">
        <v>518</v>
      </c>
      <c r="BD385" s="747" t="s">
        <v>2692</v>
      </c>
      <c r="BE385" s="186">
        <v>0.13500000000000001</v>
      </c>
      <c r="BF385" s="186">
        <v>2.7000000000000001E-3</v>
      </c>
      <c r="BG385" s="12">
        <v>2.58</v>
      </c>
      <c r="BH385" s="11"/>
      <c r="BI385" s="186"/>
      <c r="BJ385" s="747"/>
      <c r="BK385" s="747"/>
      <c r="BL385" s="747"/>
      <c r="BM385" s="186"/>
      <c r="BN385" s="186"/>
      <c r="BO385" s="12"/>
      <c r="BP385" s="11"/>
      <c r="BQ385" s="186"/>
      <c r="BR385" s="747"/>
      <c r="BS385" s="747"/>
      <c r="BT385" s="747"/>
      <c r="BU385" s="186"/>
      <c r="BV385" s="186"/>
      <c r="BW385" s="12"/>
    </row>
    <row r="386" spans="1:75">
      <c r="A386" s="1" t="s">
        <v>976</v>
      </c>
      <c r="B386" s="1" t="s">
        <v>961</v>
      </c>
      <c r="C386" s="1" t="s">
        <v>962</v>
      </c>
      <c r="D386" s="1" t="s">
        <v>1709</v>
      </c>
      <c r="E386" s="1" t="s">
        <v>1980</v>
      </c>
      <c r="F386" s="1">
        <v>0.14000000000000001</v>
      </c>
      <c r="G386" s="1">
        <v>2.5999999999999999E-2</v>
      </c>
      <c r="H386" s="1">
        <v>2.62</v>
      </c>
      <c r="I386" s="20" t="s">
        <v>691</v>
      </c>
      <c r="J386" s="1" t="s">
        <v>700</v>
      </c>
      <c r="AI386" s="757"/>
      <c r="AJ386" s="195"/>
      <c r="AK386" s="186"/>
      <c r="AL386" s="747"/>
      <c r="AM386" s="747"/>
      <c r="AN386" s="747"/>
      <c r="AO386" s="186"/>
      <c r="AP386" s="186"/>
      <c r="AQ386" s="12"/>
      <c r="AR386" s="11"/>
      <c r="AS386" s="186"/>
      <c r="AT386" s="747"/>
      <c r="AU386" s="747"/>
      <c r="AV386" s="747"/>
      <c r="AW386" s="186"/>
      <c r="AX386" s="186"/>
      <c r="AY386" s="12"/>
      <c r="AZ386" s="11" t="s">
        <v>2032</v>
      </c>
      <c r="BA386" s="186" t="s">
        <v>1710</v>
      </c>
      <c r="BB386" s="747" t="s">
        <v>1280</v>
      </c>
      <c r="BC386" s="747" t="s">
        <v>518</v>
      </c>
      <c r="BD386" s="747" t="s">
        <v>2692</v>
      </c>
      <c r="BE386" s="186">
        <v>0.13500000000000001</v>
      </c>
      <c r="BF386" s="186">
        <v>2.7000000000000001E-3</v>
      </c>
      <c r="BG386" s="12">
        <v>2.58</v>
      </c>
      <c r="BH386" s="11"/>
      <c r="BI386" s="186"/>
      <c r="BJ386" s="747"/>
      <c r="BK386" s="747"/>
      <c r="BL386" s="747"/>
      <c r="BM386" s="186"/>
      <c r="BN386" s="186"/>
      <c r="BO386" s="12"/>
      <c r="BP386" s="11"/>
      <c r="BQ386" s="186"/>
      <c r="BR386" s="747"/>
      <c r="BS386" s="747"/>
      <c r="BT386" s="747"/>
      <c r="BU386" s="186"/>
      <c r="BV386" s="186"/>
      <c r="BW386" s="12"/>
    </row>
    <row r="387" spans="1:75">
      <c r="A387" s="1" t="s">
        <v>977</v>
      </c>
      <c r="B387" s="1" t="s">
        <v>961</v>
      </c>
      <c r="C387" s="1" t="s">
        <v>962</v>
      </c>
      <c r="D387" s="1" t="s">
        <v>1709</v>
      </c>
      <c r="E387" s="1" t="s">
        <v>1981</v>
      </c>
      <c r="F387" s="1">
        <v>7.0000000000000007E-2</v>
      </c>
      <c r="G387" s="1">
        <v>1.2999999999999999E-2</v>
      </c>
      <c r="H387" s="1">
        <v>2.62</v>
      </c>
      <c r="I387" s="20" t="s">
        <v>963</v>
      </c>
      <c r="J387" s="1" t="s">
        <v>517</v>
      </c>
      <c r="AI387" s="757"/>
      <c r="AJ387" s="195"/>
      <c r="AK387" s="186"/>
      <c r="AL387" s="747"/>
      <c r="AM387" s="747"/>
      <c r="AN387" s="747"/>
      <c r="AO387" s="186"/>
      <c r="AP387" s="186"/>
      <c r="AQ387" s="12"/>
      <c r="AR387" s="11"/>
      <c r="AS387" s="186"/>
      <c r="AT387" s="747"/>
      <c r="AU387" s="747"/>
      <c r="AV387" s="747"/>
      <c r="AW387" s="186"/>
      <c r="AX387" s="186"/>
      <c r="AY387" s="12"/>
      <c r="AZ387" s="11" t="s">
        <v>2032</v>
      </c>
      <c r="BA387" s="186" t="s">
        <v>1710</v>
      </c>
      <c r="BB387" s="747" t="s">
        <v>613</v>
      </c>
      <c r="BC387" s="747" t="s">
        <v>518</v>
      </c>
      <c r="BD387" s="747" t="s">
        <v>2692</v>
      </c>
      <c r="BE387" s="186">
        <v>0.13500000000000001</v>
      </c>
      <c r="BF387" s="186">
        <v>2.7000000000000001E-3</v>
      </c>
      <c r="BG387" s="12">
        <v>2.58</v>
      </c>
      <c r="BH387" s="11"/>
      <c r="BI387" s="186"/>
      <c r="BJ387" s="747"/>
      <c r="BK387" s="747"/>
      <c r="BL387" s="747"/>
      <c r="BM387" s="186"/>
      <c r="BN387" s="186"/>
      <c r="BO387" s="12"/>
      <c r="BP387" s="11"/>
      <c r="BQ387" s="186"/>
      <c r="BR387" s="747"/>
      <c r="BS387" s="747"/>
      <c r="BT387" s="747"/>
      <c r="BU387" s="186"/>
      <c r="BV387" s="186"/>
      <c r="BW387" s="12"/>
    </row>
    <row r="388" spans="1:75">
      <c r="A388" s="1" t="s">
        <v>978</v>
      </c>
      <c r="B388" s="1" t="s">
        <v>961</v>
      </c>
      <c r="C388" s="1" t="s">
        <v>962</v>
      </c>
      <c r="D388" s="1" t="s">
        <v>1709</v>
      </c>
      <c r="E388" s="1" t="s">
        <v>1982</v>
      </c>
      <c r="F388" s="1">
        <v>7.0000000000000007E-2</v>
      </c>
      <c r="G388" s="1">
        <v>1.2999999999999999E-2</v>
      </c>
      <c r="H388" s="1">
        <v>2.62</v>
      </c>
      <c r="I388" s="20" t="s">
        <v>691</v>
      </c>
      <c r="J388" s="1" t="s">
        <v>703</v>
      </c>
      <c r="AI388" s="757"/>
      <c r="AJ388" s="195"/>
      <c r="AK388" s="186"/>
      <c r="AL388" s="747"/>
      <c r="AM388" s="747"/>
      <c r="AN388" s="747"/>
      <c r="AO388" s="186"/>
      <c r="AP388" s="186"/>
      <c r="AQ388" s="12"/>
      <c r="AR388" s="11"/>
      <c r="AS388" s="186"/>
      <c r="AT388" s="747"/>
      <c r="AU388" s="747"/>
      <c r="AV388" s="747"/>
      <c r="AW388" s="186"/>
      <c r="AX388" s="186"/>
      <c r="AY388" s="12"/>
      <c r="AZ388" s="11" t="s">
        <v>2032</v>
      </c>
      <c r="BA388" s="186" t="s">
        <v>1710</v>
      </c>
      <c r="BB388" s="747" t="s">
        <v>1281</v>
      </c>
      <c r="BC388" s="747" t="s">
        <v>519</v>
      </c>
      <c r="BD388" s="747" t="s">
        <v>247</v>
      </c>
      <c r="BE388" s="186">
        <v>7.4999999999999997E-2</v>
      </c>
      <c r="BF388" s="186">
        <v>1.5E-3</v>
      </c>
      <c r="BG388" s="12">
        <v>2.58</v>
      </c>
      <c r="BH388" s="11"/>
      <c r="BI388" s="186"/>
      <c r="BJ388" s="747"/>
      <c r="BK388" s="747"/>
      <c r="BL388" s="747"/>
      <c r="BM388" s="186"/>
      <c r="BN388" s="186"/>
      <c r="BO388" s="12"/>
      <c r="BP388" s="11"/>
      <c r="BQ388" s="186"/>
      <c r="BR388" s="747"/>
      <c r="BS388" s="747"/>
      <c r="BT388" s="747"/>
      <c r="BU388" s="186"/>
      <c r="BV388" s="186"/>
      <c r="BW388" s="12"/>
    </row>
    <row r="389" spans="1:75">
      <c r="A389" s="1" t="s">
        <v>979</v>
      </c>
      <c r="B389" s="1" t="s">
        <v>961</v>
      </c>
      <c r="C389" s="1" t="s">
        <v>962</v>
      </c>
      <c r="D389" s="1" t="s">
        <v>1710</v>
      </c>
      <c r="E389" s="1" t="s">
        <v>1983</v>
      </c>
      <c r="F389" s="1">
        <v>0.14000000000000001</v>
      </c>
      <c r="G389" s="1">
        <v>1.2999999999999999E-2</v>
      </c>
      <c r="H389" s="1">
        <v>2.62</v>
      </c>
      <c r="I389" s="20" t="s">
        <v>980</v>
      </c>
      <c r="AI389" s="757"/>
      <c r="AJ389" s="195"/>
      <c r="AK389" s="186"/>
      <c r="AL389" s="747"/>
      <c r="AM389" s="747"/>
      <c r="AN389" s="747"/>
      <c r="AO389" s="186"/>
      <c r="AP389" s="186"/>
      <c r="AQ389" s="12"/>
      <c r="AR389" s="11"/>
      <c r="AS389" s="186"/>
      <c r="AT389" s="747"/>
      <c r="AU389" s="747"/>
      <c r="AV389" s="747"/>
      <c r="AW389" s="186"/>
      <c r="AX389" s="186"/>
      <c r="AY389" s="12"/>
      <c r="AZ389" s="11" t="s">
        <v>2032</v>
      </c>
      <c r="BA389" s="186" t="s">
        <v>1710</v>
      </c>
      <c r="BB389" s="747" t="s">
        <v>614</v>
      </c>
      <c r="BC389" s="747" t="s">
        <v>519</v>
      </c>
      <c r="BD389" s="747" t="s">
        <v>247</v>
      </c>
      <c r="BE389" s="186">
        <v>7.4999999999999997E-2</v>
      </c>
      <c r="BF389" s="186">
        <v>1.5E-3</v>
      </c>
      <c r="BG389" s="12">
        <v>2.58</v>
      </c>
      <c r="BH389" s="11"/>
      <c r="BI389" s="186"/>
      <c r="BJ389" s="747"/>
      <c r="BK389" s="747"/>
      <c r="BL389" s="747"/>
      <c r="BM389" s="186"/>
      <c r="BN389" s="186"/>
      <c r="BO389" s="12"/>
      <c r="BP389" s="11"/>
      <c r="BQ389" s="186"/>
      <c r="BR389" s="747"/>
      <c r="BS389" s="747"/>
      <c r="BT389" s="747"/>
      <c r="BU389" s="186"/>
      <c r="BV389" s="186"/>
      <c r="BW389" s="12"/>
    </row>
    <row r="390" spans="1:75">
      <c r="A390" s="1" t="s">
        <v>981</v>
      </c>
      <c r="B390" s="1" t="s">
        <v>961</v>
      </c>
      <c r="C390" s="1" t="s">
        <v>962</v>
      </c>
      <c r="D390" s="1" t="s">
        <v>1710</v>
      </c>
      <c r="E390" s="1" t="s">
        <v>546</v>
      </c>
      <c r="F390" s="1">
        <v>0.14000000000000001</v>
      </c>
      <c r="G390" s="1">
        <v>1.2999999999999999E-2</v>
      </c>
      <c r="I390" s="20"/>
      <c r="AI390" s="757"/>
      <c r="AJ390" s="195"/>
      <c r="AK390" s="186"/>
      <c r="AL390" s="747"/>
      <c r="AM390" s="747"/>
      <c r="AN390" s="747"/>
      <c r="AO390" s="186"/>
      <c r="AP390" s="186"/>
      <c r="AQ390" s="12"/>
      <c r="AR390" s="11"/>
      <c r="AS390" s="186"/>
      <c r="AT390" s="747"/>
      <c r="AU390" s="747"/>
      <c r="AV390" s="747"/>
      <c r="AW390" s="186"/>
      <c r="AX390" s="186"/>
      <c r="AY390" s="12"/>
      <c r="AZ390" s="11" t="s">
        <v>2032</v>
      </c>
      <c r="BA390" s="186" t="s">
        <v>1710</v>
      </c>
      <c r="BB390" s="747" t="s">
        <v>1282</v>
      </c>
      <c r="BC390" s="747" t="s">
        <v>519</v>
      </c>
      <c r="BD390" s="747" t="s">
        <v>247</v>
      </c>
      <c r="BE390" s="186">
        <v>7.4999999999999997E-2</v>
      </c>
      <c r="BF390" s="186">
        <v>1.5E-3</v>
      </c>
      <c r="BG390" s="12">
        <v>2.58</v>
      </c>
      <c r="BH390" s="11"/>
      <c r="BI390" s="186"/>
      <c r="BJ390" s="747"/>
      <c r="BK390" s="747"/>
      <c r="BL390" s="747"/>
      <c r="BM390" s="186"/>
      <c r="BN390" s="186"/>
      <c r="BO390" s="12"/>
      <c r="BP390" s="11"/>
      <c r="BQ390" s="186"/>
      <c r="BR390" s="747"/>
      <c r="BS390" s="747"/>
      <c r="BT390" s="747"/>
      <c r="BU390" s="186"/>
      <c r="BV390" s="186"/>
      <c r="BW390" s="12"/>
    </row>
    <row r="391" spans="1:75">
      <c r="A391" s="1" t="s">
        <v>982</v>
      </c>
      <c r="B391" s="1" t="s">
        <v>961</v>
      </c>
      <c r="C391" s="1" t="s">
        <v>962</v>
      </c>
      <c r="D391" s="1" t="s">
        <v>1710</v>
      </c>
      <c r="E391" s="1" t="s">
        <v>1984</v>
      </c>
      <c r="F391" s="1">
        <v>7.0000000000000007E-2</v>
      </c>
      <c r="G391" s="1">
        <v>6.4999999999999997E-3</v>
      </c>
      <c r="H391" s="1">
        <v>2.62</v>
      </c>
      <c r="I391" s="20" t="s">
        <v>691</v>
      </c>
      <c r="J391" s="1" t="s">
        <v>692</v>
      </c>
      <c r="AI391" s="757"/>
      <c r="AJ391" s="195"/>
      <c r="AK391" s="186"/>
      <c r="AL391" s="747"/>
      <c r="AM391" s="747"/>
      <c r="AN391" s="747"/>
      <c r="AO391" s="186"/>
      <c r="AP391" s="186"/>
      <c r="AQ391" s="12"/>
      <c r="AR391" s="11"/>
      <c r="AS391" s="186"/>
      <c r="AT391" s="747"/>
      <c r="AU391" s="747"/>
      <c r="AV391" s="747"/>
      <c r="AW391" s="186"/>
      <c r="AX391" s="186"/>
      <c r="AY391" s="12"/>
      <c r="AZ391" s="11" t="s">
        <v>2032</v>
      </c>
      <c r="BA391" s="186" t="s">
        <v>1710</v>
      </c>
      <c r="BB391" s="747" t="s">
        <v>615</v>
      </c>
      <c r="BC391" s="747" t="s">
        <v>519</v>
      </c>
      <c r="BD391" s="747" t="s">
        <v>247</v>
      </c>
      <c r="BE391" s="186">
        <v>7.4999999999999997E-2</v>
      </c>
      <c r="BF391" s="186">
        <v>1.5E-3</v>
      </c>
      <c r="BG391" s="12">
        <v>2.58</v>
      </c>
      <c r="BH391" s="11"/>
      <c r="BI391" s="186"/>
      <c r="BJ391" s="747"/>
      <c r="BK391" s="747"/>
      <c r="BL391" s="747"/>
      <c r="BM391" s="186"/>
      <c r="BN391" s="186"/>
      <c r="BO391" s="12"/>
      <c r="BP391" s="11"/>
      <c r="BQ391" s="186"/>
      <c r="BR391" s="747"/>
      <c r="BS391" s="747"/>
      <c r="BT391" s="747"/>
      <c r="BU391" s="186"/>
      <c r="BV391" s="186"/>
      <c r="BW391" s="12"/>
    </row>
    <row r="392" spans="1:75">
      <c r="A392" s="1" t="s">
        <v>983</v>
      </c>
      <c r="B392" s="1" t="s">
        <v>961</v>
      </c>
      <c r="C392" s="1" t="s">
        <v>962</v>
      </c>
      <c r="D392" s="1" t="s">
        <v>1710</v>
      </c>
      <c r="E392" s="1" t="s">
        <v>547</v>
      </c>
      <c r="F392" s="1">
        <v>7.0000000000000007E-2</v>
      </c>
      <c r="G392" s="1">
        <v>6.4999999999999997E-3</v>
      </c>
      <c r="I392" s="20"/>
      <c r="J392" s="1" t="s">
        <v>692</v>
      </c>
      <c r="AI392" s="757"/>
      <c r="AJ392" s="195"/>
      <c r="AK392" s="186"/>
      <c r="AL392" s="747"/>
      <c r="AM392" s="747"/>
      <c r="AN392" s="747"/>
      <c r="AO392" s="186"/>
      <c r="AP392" s="186"/>
      <c r="AQ392" s="12"/>
      <c r="AR392" s="11"/>
      <c r="AS392" s="186"/>
      <c r="AT392" s="747"/>
      <c r="AU392" s="747"/>
      <c r="AV392" s="747"/>
      <c r="AW392" s="186"/>
      <c r="AX392" s="186"/>
      <c r="AY392" s="12"/>
      <c r="AZ392" s="11" t="s">
        <v>2032</v>
      </c>
      <c r="BA392" s="186" t="s">
        <v>1710</v>
      </c>
      <c r="BB392" s="747" t="s">
        <v>618</v>
      </c>
      <c r="BC392" s="747" t="s">
        <v>254</v>
      </c>
      <c r="BD392" s="747" t="s">
        <v>2692</v>
      </c>
      <c r="BE392" s="186">
        <v>0.13500000000000001</v>
      </c>
      <c r="BF392" s="186">
        <v>3.0000000000000001E-3</v>
      </c>
      <c r="BG392" s="12">
        <v>2.58</v>
      </c>
      <c r="BH392" s="11"/>
      <c r="BI392" s="186"/>
      <c r="BJ392" s="747"/>
      <c r="BK392" s="747"/>
      <c r="BL392" s="747"/>
      <c r="BM392" s="186"/>
      <c r="BN392" s="186"/>
      <c r="BO392" s="12"/>
      <c r="BP392" s="11"/>
      <c r="BQ392" s="186"/>
      <c r="BR392" s="747"/>
      <c r="BS392" s="747"/>
      <c r="BT392" s="747"/>
      <c r="BU392" s="186"/>
      <c r="BV392" s="186"/>
      <c r="BW392" s="12"/>
    </row>
    <row r="393" spans="1:75">
      <c r="A393" s="1" t="s">
        <v>984</v>
      </c>
      <c r="B393" s="1" t="s">
        <v>961</v>
      </c>
      <c r="C393" s="1" t="s">
        <v>962</v>
      </c>
      <c r="D393" s="1" t="s">
        <v>1710</v>
      </c>
      <c r="E393" s="1" t="s">
        <v>1985</v>
      </c>
      <c r="F393" s="1">
        <v>0.12600000000000003</v>
      </c>
      <c r="G393" s="1">
        <v>9.75E-3</v>
      </c>
      <c r="H393" s="1">
        <v>2.62</v>
      </c>
      <c r="I393" s="20" t="s">
        <v>691</v>
      </c>
      <c r="J393" s="1" t="s">
        <v>697</v>
      </c>
      <c r="AI393" s="757"/>
      <c r="AJ393" s="195"/>
      <c r="AK393" s="186"/>
      <c r="AL393" s="747"/>
      <c r="AM393" s="747"/>
      <c r="AN393" s="747"/>
      <c r="AO393" s="186"/>
      <c r="AP393" s="186"/>
      <c r="AQ393" s="12"/>
      <c r="AR393" s="11"/>
      <c r="AS393" s="186"/>
      <c r="AT393" s="747"/>
      <c r="AU393" s="747"/>
      <c r="AV393" s="747"/>
      <c r="AW393" s="186"/>
      <c r="AX393" s="186"/>
      <c r="AY393" s="12"/>
      <c r="AZ393" s="11" t="s">
        <v>2032</v>
      </c>
      <c r="BA393" s="186" t="s">
        <v>1710</v>
      </c>
      <c r="BB393" s="747" t="s">
        <v>619</v>
      </c>
      <c r="BC393" s="747" t="s">
        <v>254</v>
      </c>
      <c r="BD393" s="747" t="s">
        <v>2692</v>
      </c>
      <c r="BE393" s="186">
        <v>0.13500000000000001</v>
      </c>
      <c r="BF393" s="186">
        <v>3.0000000000000001E-3</v>
      </c>
      <c r="BG393" s="12">
        <v>2.58</v>
      </c>
      <c r="BH393" s="11"/>
      <c r="BI393" s="186"/>
      <c r="BJ393" s="747"/>
      <c r="BK393" s="747"/>
      <c r="BL393" s="747"/>
      <c r="BM393" s="186"/>
      <c r="BN393" s="186"/>
      <c r="BO393" s="12"/>
      <c r="BP393" s="11"/>
      <c r="BQ393" s="186"/>
      <c r="BR393" s="747"/>
      <c r="BS393" s="747"/>
      <c r="BT393" s="747"/>
      <c r="BU393" s="186"/>
      <c r="BV393" s="186"/>
      <c r="BW393" s="12"/>
    </row>
    <row r="394" spans="1:75">
      <c r="A394" s="1" t="s">
        <v>985</v>
      </c>
      <c r="B394" s="1" t="s">
        <v>961</v>
      </c>
      <c r="C394" s="1" t="s">
        <v>962</v>
      </c>
      <c r="D394" s="1" t="s">
        <v>1710</v>
      </c>
      <c r="E394" s="1" t="s">
        <v>548</v>
      </c>
      <c r="F394" s="1">
        <v>0.12600000000000003</v>
      </c>
      <c r="G394" s="1">
        <v>9.75E-3</v>
      </c>
      <c r="I394" s="20"/>
      <c r="J394" s="1" t="s">
        <v>952</v>
      </c>
      <c r="AI394" s="757"/>
      <c r="AJ394" s="195"/>
      <c r="AK394" s="186"/>
      <c r="AL394" s="747"/>
      <c r="AM394" s="747"/>
      <c r="AN394" s="747"/>
      <c r="AO394" s="186"/>
      <c r="AP394" s="186"/>
      <c r="AQ394" s="12"/>
      <c r="AR394" s="11"/>
      <c r="AS394" s="186"/>
      <c r="AT394" s="747"/>
      <c r="AU394" s="747"/>
      <c r="AV394" s="747"/>
      <c r="AW394" s="186"/>
      <c r="AX394" s="186"/>
      <c r="AY394" s="12"/>
      <c r="AZ394" s="11" t="s">
        <v>2032</v>
      </c>
      <c r="BA394" s="186" t="s">
        <v>1710</v>
      </c>
      <c r="BB394" s="747" t="s">
        <v>620</v>
      </c>
      <c r="BC394" s="747" t="s">
        <v>254</v>
      </c>
      <c r="BD394" s="747" t="s">
        <v>2692</v>
      </c>
      <c r="BE394" s="186">
        <v>0.13500000000000001</v>
      </c>
      <c r="BF394" s="186">
        <v>3.0000000000000001E-3</v>
      </c>
      <c r="BG394" s="12">
        <v>2.58</v>
      </c>
      <c r="BH394" s="11"/>
      <c r="BI394" s="186"/>
      <c r="BJ394" s="747"/>
      <c r="BK394" s="747"/>
      <c r="BL394" s="747"/>
      <c r="BM394" s="186"/>
      <c r="BN394" s="186"/>
      <c r="BO394" s="12"/>
      <c r="BP394" s="11"/>
      <c r="BQ394" s="186"/>
      <c r="BR394" s="747"/>
      <c r="BS394" s="747"/>
      <c r="BT394" s="747"/>
      <c r="BU394" s="186"/>
      <c r="BV394" s="186"/>
      <c r="BW394" s="12"/>
    </row>
    <row r="395" spans="1:75">
      <c r="A395" s="1" t="s">
        <v>986</v>
      </c>
      <c r="B395" s="1" t="s">
        <v>961</v>
      </c>
      <c r="C395" s="1" t="s">
        <v>962</v>
      </c>
      <c r="D395" s="1" t="s">
        <v>1710</v>
      </c>
      <c r="E395" s="1" t="s">
        <v>1986</v>
      </c>
      <c r="F395" s="1">
        <v>0.12600000000000003</v>
      </c>
      <c r="G395" s="1">
        <v>9.75E-3</v>
      </c>
      <c r="H395" s="1">
        <v>2.62</v>
      </c>
      <c r="I395" s="20" t="s">
        <v>980</v>
      </c>
      <c r="J395" s="1" t="s">
        <v>515</v>
      </c>
      <c r="AI395" s="757"/>
      <c r="AJ395" s="195"/>
      <c r="AK395" s="186"/>
      <c r="AL395" s="747"/>
      <c r="AM395" s="747"/>
      <c r="AN395" s="747"/>
      <c r="AO395" s="186"/>
      <c r="AP395" s="186"/>
      <c r="AQ395" s="12"/>
      <c r="AR395" s="11"/>
      <c r="AS395" s="186"/>
      <c r="AT395" s="747"/>
      <c r="AU395" s="747"/>
      <c r="AV395" s="747"/>
      <c r="AW395" s="186"/>
      <c r="AX395" s="186"/>
      <c r="AY395" s="12"/>
      <c r="AZ395" s="11" t="s">
        <v>2032</v>
      </c>
      <c r="BA395" s="186" t="s">
        <v>1710</v>
      </c>
      <c r="BB395" s="747" t="s">
        <v>621</v>
      </c>
      <c r="BC395" s="747" t="s">
        <v>254</v>
      </c>
      <c r="BD395" s="747" t="s">
        <v>2692</v>
      </c>
      <c r="BE395" s="186">
        <v>0.13500000000000001</v>
      </c>
      <c r="BF395" s="186">
        <v>3.0000000000000001E-3</v>
      </c>
      <c r="BG395" s="12">
        <v>2.58</v>
      </c>
      <c r="BH395" s="11"/>
      <c r="BI395" s="186"/>
      <c r="BJ395" s="747"/>
      <c r="BK395" s="747"/>
      <c r="BL395" s="747"/>
      <c r="BM395" s="186"/>
      <c r="BN395" s="186"/>
      <c r="BO395" s="12"/>
      <c r="BP395" s="11"/>
      <c r="BQ395" s="186"/>
      <c r="BR395" s="747"/>
      <c r="BS395" s="747"/>
      <c r="BT395" s="747"/>
      <c r="BU395" s="186"/>
      <c r="BV395" s="186"/>
      <c r="BW395" s="12"/>
    </row>
    <row r="396" spans="1:75">
      <c r="A396" s="1" t="s">
        <v>987</v>
      </c>
      <c r="B396" s="1" t="s">
        <v>961</v>
      </c>
      <c r="C396" s="1" t="s">
        <v>962</v>
      </c>
      <c r="D396" s="1" t="s">
        <v>1710</v>
      </c>
      <c r="E396" s="1" t="s">
        <v>549</v>
      </c>
      <c r="F396" s="1">
        <v>0.12600000000000003</v>
      </c>
      <c r="G396" s="1">
        <v>9.75E-3</v>
      </c>
      <c r="I396" s="20"/>
      <c r="J396" s="1" t="s">
        <v>515</v>
      </c>
      <c r="AI396" s="757"/>
      <c r="AJ396" s="195"/>
      <c r="AK396" s="186"/>
      <c r="AL396" s="747"/>
      <c r="AM396" s="747"/>
      <c r="AN396" s="747"/>
      <c r="AO396" s="186"/>
      <c r="AP396" s="186"/>
      <c r="AQ396" s="12"/>
      <c r="AR396" s="11"/>
      <c r="AS396" s="186"/>
      <c r="AT396" s="747"/>
      <c r="AU396" s="747"/>
      <c r="AV396" s="747"/>
      <c r="AW396" s="186"/>
      <c r="AX396" s="186"/>
      <c r="AY396" s="12"/>
      <c r="AZ396" s="11" t="s">
        <v>2032</v>
      </c>
      <c r="BA396" s="186" t="s">
        <v>1710</v>
      </c>
      <c r="BB396" s="747" t="s">
        <v>622</v>
      </c>
      <c r="BC396" s="747" t="s">
        <v>559</v>
      </c>
      <c r="BD396" s="747" t="s">
        <v>2692</v>
      </c>
      <c r="BE396" s="186">
        <v>0.15</v>
      </c>
      <c r="BF396" s="186">
        <v>2.7000000000000001E-3</v>
      </c>
      <c r="BG396" s="12">
        <v>2.58</v>
      </c>
      <c r="BH396" s="11"/>
      <c r="BI396" s="186"/>
      <c r="BJ396" s="747"/>
      <c r="BK396" s="747"/>
      <c r="BL396" s="747"/>
      <c r="BM396" s="186"/>
      <c r="BN396" s="186"/>
      <c r="BO396" s="12"/>
      <c r="BP396" s="11"/>
      <c r="BQ396" s="186"/>
      <c r="BR396" s="747"/>
      <c r="BS396" s="747"/>
      <c r="BT396" s="747"/>
      <c r="BU396" s="186"/>
      <c r="BV396" s="186"/>
      <c r="BW396" s="12"/>
    </row>
    <row r="397" spans="1:75">
      <c r="A397" s="1" t="s">
        <v>988</v>
      </c>
      <c r="B397" s="1" t="s">
        <v>961</v>
      </c>
      <c r="C397" s="1" t="s">
        <v>962</v>
      </c>
      <c r="D397" s="1" t="s">
        <v>1710</v>
      </c>
      <c r="E397" s="1" t="s">
        <v>1987</v>
      </c>
      <c r="F397" s="1">
        <v>7.0000000000000007E-2</v>
      </c>
      <c r="G397" s="1">
        <v>6.4999999999999997E-3</v>
      </c>
      <c r="H397" s="1">
        <v>2.62</v>
      </c>
      <c r="I397" s="20" t="s">
        <v>691</v>
      </c>
      <c r="J397" s="1" t="s">
        <v>703</v>
      </c>
      <c r="AI397" s="757"/>
      <c r="AJ397" s="195"/>
      <c r="AK397" s="186"/>
      <c r="AL397" s="747"/>
      <c r="AM397" s="747"/>
      <c r="AN397" s="747"/>
      <c r="AO397" s="186"/>
      <c r="AP397" s="186"/>
      <c r="AQ397" s="12"/>
      <c r="AR397" s="11"/>
      <c r="AS397" s="186"/>
      <c r="AT397" s="747"/>
      <c r="AU397" s="747"/>
      <c r="AV397" s="747"/>
      <c r="AW397" s="186"/>
      <c r="AX397" s="186"/>
      <c r="AY397" s="12"/>
      <c r="AZ397" s="11" t="s">
        <v>2032</v>
      </c>
      <c r="BA397" s="186" t="s">
        <v>1710</v>
      </c>
      <c r="BB397" s="747" t="s">
        <v>623</v>
      </c>
      <c r="BC397" s="747" t="s">
        <v>559</v>
      </c>
      <c r="BD397" s="747" t="s">
        <v>2692</v>
      </c>
      <c r="BE397" s="186">
        <v>0.15</v>
      </c>
      <c r="BF397" s="186">
        <v>2.7000000000000001E-3</v>
      </c>
      <c r="BG397" s="12">
        <v>2.58</v>
      </c>
      <c r="BH397" s="11"/>
      <c r="BI397" s="186"/>
      <c r="BJ397" s="747"/>
      <c r="BK397" s="747"/>
      <c r="BL397" s="747"/>
      <c r="BM397" s="186"/>
      <c r="BN397" s="186"/>
      <c r="BO397" s="12"/>
      <c r="BP397" s="11"/>
      <c r="BQ397" s="186"/>
      <c r="BR397" s="747"/>
      <c r="BS397" s="747"/>
      <c r="BT397" s="747"/>
      <c r="BU397" s="186"/>
      <c r="BV397" s="186"/>
      <c r="BW397" s="12"/>
    </row>
    <row r="398" spans="1:75">
      <c r="A398" s="1" t="s">
        <v>989</v>
      </c>
      <c r="B398" s="1" t="s">
        <v>961</v>
      </c>
      <c r="C398" s="1" t="s">
        <v>962</v>
      </c>
      <c r="D398" s="1" t="s">
        <v>1710</v>
      </c>
      <c r="E398" s="1" t="s">
        <v>550</v>
      </c>
      <c r="F398" s="1">
        <v>7.0000000000000007E-2</v>
      </c>
      <c r="G398" s="1">
        <v>6.4999999999999997E-3</v>
      </c>
      <c r="I398" s="20"/>
      <c r="J398" s="1" t="s">
        <v>990</v>
      </c>
      <c r="AI398" s="757"/>
      <c r="AJ398" s="195"/>
      <c r="AK398" s="186"/>
      <c r="AL398" s="747"/>
      <c r="AM398" s="747"/>
      <c r="AN398" s="747"/>
      <c r="AO398" s="186"/>
      <c r="AP398" s="186"/>
      <c r="AQ398" s="12"/>
      <c r="AR398" s="11"/>
      <c r="AS398" s="186"/>
      <c r="AT398" s="747"/>
      <c r="AU398" s="747"/>
      <c r="AV398" s="747"/>
      <c r="AW398" s="186"/>
      <c r="AX398" s="186"/>
      <c r="AY398" s="12"/>
      <c r="AZ398" s="11" t="s">
        <v>2032</v>
      </c>
      <c r="BA398" s="186" t="s">
        <v>1710</v>
      </c>
      <c r="BB398" s="747" t="s">
        <v>631</v>
      </c>
      <c r="BC398" s="747" t="s">
        <v>559</v>
      </c>
      <c r="BD398" s="747" t="s">
        <v>2692</v>
      </c>
      <c r="BE398" s="186">
        <v>0.15</v>
      </c>
      <c r="BF398" s="186">
        <v>2.7000000000000001E-3</v>
      </c>
      <c r="BG398" s="12">
        <v>2.58</v>
      </c>
      <c r="BH398" s="11"/>
      <c r="BI398" s="186"/>
      <c r="BJ398" s="747"/>
      <c r="BK398" s="747"/>
      <c r="BL398" s="747"/>
      <c r="BM398" s="186"/>
      <c r="BN398" s="186"/>
      <c r="BO398" s="12"/>
      <c r="BP398" s="11"/>
      <c r="BQ398" s="186"/>
      <c r="BR398" s="747"/>
      <c r="BS398" s="747"/>
      <c r="BT398" s="747"/>
      <c r="BU398" s="186"/>
      <c r="BV398" s="186"/>
      <c r="BW398" s="12"/>
    </row>
    <row r="399" spans="1:75">
      <c r="A399" s="1" t="s">
        <v>991</v>
      </c>
      <c r="B399" s="1" t="s">
        <v>961</v>
      </c>
      <c r="C399" s="1" t="s">
        <v>962</v>
      </c>
      <c r="D399" s="1" t="s">
        <v>1710</v>
      </c>
      <c r="E399" s="1" t="s">
        <v>1988</v>
      </c>
      <c r="F399" s="1">
        <v>7.0000000000000007E-2</v>
      </c>
      <c r="G399" s="1">
        <v>6.4999999999999997E-3</v>
      </c>
      <c r="H399" s="1">
        <v>2.62</v>
      </c>
      <c r="I399" s="20" t="s">
        <v>980</v>
      </c>
      <c r="J399" s="1" t="s">
        <v>517</v>
      </c>
      <c r="AI399" s="757"/>
      <c r="AJ399" s="195"/>
      <c r="AK399" s="186"/>
      <c r="AL399" s="747"/>
      <c r="AM399" s="747"/>
      <c r="AN399" s="747"/>
      <c r="AO399" s="186"/>
      <c r="AP399" s="186"/>
      <c r="AQ399" s="12"/>
      <c r="AR399" s="11"/>
      <c r="AS399" s="186"/>
      <c r="AT399" s="747"/>
      <c r="AU399" s="747"/>
      <c r="AV399" s="747"/>
      <c r="AW399" s="186"/>
      <c r="AX399" s="186"/>
      <c r="AY399" s="12"/>
      <c r="AZ399" s="11" t="s">
        <v>2032</v>
      </c>
      <c r="BA399" s="186" t="s">
        <v>1710</v>
      </c>
      <c r="BB399" s="747" t="s">
        <v>624</v>
      </c>
      <c r="BC399" s="747" t="s">
        <v>559</v>
      </c>
      <c r="BD399" s="747" t="s">
        <v>2692</v>
      </c>
      <c r="BE399" s="186">
        <v>0.15</v>
      </c>
      <c r="BF399" s="186">
        <v>2.7000000000000001E-3</v>
      </c>
      <c r="BG399" s="12">
        <v>2.58</v>
      </c>
      <c r="BH399" s="11"/>
      <c r="BI399" s="186"/>
      <c r="BJ399" s="747"/>
      <c r="BK399" s="747"/>
      <c r="BL399" s="747"/>
      <c r="BM399" s="186"/>
      <c r="BN399" s="186"/>
      <c r="BO399" s="12"/>
      <c r="BP399" s="11"/>
      <c r="BQ399" s="186"/>
      <c r="BR399" s="747"/>
      <c r="BS399" s="747"/>
      <c r="BT399" s="747"/>
      <c r="BU399" s="186"/>
      <c r="BV399" s="186"/>
      <c r="BW399" s="12"/>
    </row>
    <row r="400" spans="1:75">
      <c r="A400" s="1" t="s">
        <v>992</v>
      </c>
      <c r="B400" s="1" t="s">
        <v>961</v>
      </c>
      <c r="C400" s="1" t="s">
        <v>962</v>
      </c>
      <c r="D400" s="1" t="s">
        <v>1710</v>
      </c>
      <c r="E400" s="1" t="s">
        <v>551</v>
      </c>
      <c r="F400" s="1">
        <v>7.0000000000000007E-2</v>
      </c>
      <c r="G400" s="1">
        <v>6.4999999999999997E-3</v>
      </c>
      <c r="I400" s="20"/>
      <c r="J400" s="1" t="s">
        <v>517</v>
      </c>
      <c r="AI400" s="757"/>
      <c r="AJ400" s="195"/>
      <c r="AK400" s="186"/>
      <c r="AL400" s="747"/>
      <c r="AM400" s="747"/>
      <c r="AN400" s="747"/>
      <c r="AO400" s="186"/>
      <c r="AP400" s="186"/>
      <c r="AQ400" s="12"/>
      <c r="AR400" s="11"/>
      <c r="AS400" s="186"/>
      <c r="AT400" s="747"/>
      <c r="AU400" s="747"/>
      <c r="AV400" s="747"/>
      <c r="AW400" s="186"/>
      <c r="AX400" s="186"/>
      <c r="AY400" s="12"/>
      <c r="AZ400" s="11" t="s">
        <v>2032</v>
      </c>
      <c r="BA400" s="186" t="s">
        <v>523</v>
      </c>
      <c r="BB400" s="747" t="s">
        <v>625</v>
      </c>
      <c r="BC400" s="747" t="s">
        <v>1730</v>
      </c>
      <c r="BD400" s="747" t="s">
        <v>248</v>
      </c>
      <c r="BE400" s="186">
        <v>0.05</v>
      </c>
      <c r="BF400" s="186">
        <v>1E-3</v>
      </c>
      <c r="BG400" s="12">
        <v>2.58</v>
      </c>
      <c r="BH400" s="11"/>
      <c r="BI400" s="186"/>
      <c r="BJ400" s="747"/>
      <c r="BK400" s="747"/>
      <c r="BL400" s="747"/>
      <c r="BM400" s="186"/>
      <c r="BN400" s="186"/>
      <c r="BO400" s="12"/>
      <c r="BP400" s="11"/>
      <c r="BQ400" s="186"/>
      <c r="BR400" s="747"/>
      <c r="BS400" s="747"/>
      <c r="BT400" s="747"/>
      <c r="BU400" s="186"/>
      <c r="BV400" s="186"/>
      <c r="BW400" s="12"/>
    </row>
    <row r="401" spans="1:75">
      <c r="A401" s="1" t="s">
        <v>993</v>
      </c>
      <c r="B401" s="1" t="s">
        <v>961</v>
      </c>
      <c r="C401" s="1" t="s">
        <v>962</v>
      </c>
      <c r="D401" s="1" t="s">
        <v>1710</v>
      </c>
      <c r="E401" s="1" t="s">
        <v>1989</v>
      </c>
      <c r="F401" s="1">
        <v>3.5000000000000003E-2</v>
      </c>
      <c r="G401" s="1">
        <v>3.2499999999999999E-3</v>
      </c>
      <c r="H401" s="1">
        <v>2.62</v>
      </c>
      <c r="I401" s="20" t="s">
        <v>691</v>
      </c>
      <c r="J401" s="1" t="s">
        <v>994</v>
      </c>
      <c r="AI401" s="757"/>
      <c r="AJ401" s="195"/>
      <c r="AK401" s="186"/>
      <c r="AL401" s="747"/>
      <c r="AM401" s="747"/>
      <c r="AN401" s="747"/>
      <c r="AO401" s="186"/>
      <c r="AP401" s="186"/>
      <c r="AQ401" s="12"/>
      <c r="AR401" s="11"/>
      <c r="AS401" s="186"/>
      <c r="AT401" s="747"/>
      <c r="AU401" s="747"/>
      <c r="AV401" s="747"/>
      <c r="AW401" s="186"/>
      <c r="AX401" s="186"/>
      <c r="AY401" s="12"/>
      <c r="AZ401" s="11" t="s">
        <v>2032</v>
      </c>
      <c r="BA401" s="186" t="s">
        <v>523</v>
      </c>
      <c r="BB401" s="747" t="s">
        <v>626</v>
      </c>
      <c r="BC401" s="747" t="s">
        <v>1730</v>
      </c>
      <c r="BD401" s="747" t="s">
        <v>248</v>
      </c>
      <c r="BE401" s="186">
        <v>0.05</v>
      </c>
      <c r="BF401" s="186">
        <v>1E-3</v>
      </c>
      <c r="BG401" s="12">
        <v>2.58</v>
      </c>
      <c r="BH401" s="11"/>
      <c r="BI401" s="186"/>
      <c r="BJ401" s="747"/>
      <c r="BK401" s="747"/>
      <c r="BL401" s="747"/>
      <c r="BM401" s="186"/>
      <c r="BN401" s="186"/>
      <c r="BO401" s="12"/>
      <c r="BP401" s="11"/>
      <c r="BQ401" s="186"/>
      <c r="BR401" s="747"/>
      <c r="BS401" s="747"/>
      <c r="BT401" s="747"/>
      <c r="BU401" s="186"/>
      <c r="BV401" s="186"/>
      <c r="BW401" s="12"/>
    </row>
    <row r="402" spans="1:75">
      <c r="A402" s="1" t="s">
        <v>995</v>
      </c>
      <c r="B402" s="1" t="s">
        <v>961</v>
      </c>
      <c r="C402" s="1" t="s">
        <v>962</v>
      </c>
      <c r="D402" s="1" t="s">
        <v>1710</v>
      </c>
      <c r="E402" s="1" t="s">
        <v>552</v>
      </c>
      <c r="F402" s="1">
        <v>3.5000000000000003E-2</v>
      </c>
      <c r="G402" s="1">
        <v>3.2499999999999999E-3</v>
      </c>
      <c r="I402" s="20"/>
      <c r="J402" s="1" t="s">
        <v>994</v>
      </c>
      <c r="AI402" s="757"/>
      <c r="AJ402" s="195"/>
      <c r="AK402" s="186"/>
      <c r="AL402" s="747"/>
      <c r="AM402" s="747"/>
      <c r="AN402" s="747"/>
      <c r="AO402" s="186"/>
      <c r="AP402" s="186"/>
      <c r="AQ402" s="12"/>
      <c r="AR402" s="11"/>
      <c r="AS402" s="186"/>
      <c r="AT402" s="747"/>
      <c r="AU402" s="747"/>
      <c r="AV402" s="747"/>
      <c r="AW402" s="186"/>
      <c r="AX402" s="186"/>
      <c r="AY402" s="12"/>
      <c r="AZ402" s="11" t="s">
        <v>2032</v>
      </c>
      <c r="BA402" s="186" t="s">
        <v>523</v>
      </c>
      <c r="BB402" s="747" t="s">
        <v>627</v>
      </c>
      <c r="BC402" s="747" t="s">
        <v>1730</v>
      </c>
      <c r="BD402" s="747" t="s">
        <v>248</v>
      </c>
      <c r="BE402" s="186">
        <v>2.5000000000000001E-2</v>
      </c>
      <c r="BF402" s="186">
        <v>5.0000000000000001E-4</v>
      </c>
      <c r="BG402" s="12">
        <v>2.58</v>
      </c>
      <c r="BH402" s="11"/>
      <c r="BI402" s="186"/>
      <c r="BJ402" s="747"/>
      <c r="BK402" s="747"/>
      <c r="BL402" s="747"/>
      <c r="BM402" s="186"/>
      <c r="BN402" s="186"/>
      <c r="BO402" s="12"/>
      <c r="BP402" s="11"/>
      <c r="BQ402" s="186"/>
      <c r="BR402" s="747"/>
      <c r="BS402" s="747"/>
      <c r="BT402" s="747"/>
      <c r="BU402" s="186"/>
      <c r="BV402" s="186"/>
      <c r="BW402" s="12"/>
    </row>
    <row r="403" spans="1:75">
      <c r="A403" s="1" t="s">
        <v>996</v>
      </c>
      <c r="B403" s="1" t="s">
        <v>961</v>
      </c>
      <c r="C403" s="1" t="s">
        <v>962</v>
      </c>
      <c r="D403" s="1" t="s">
        <v>1710</v>
      </c>
      <c r="E403" s="1" t="s">
        <v>1990</v>
      </c>
      <c r="F403" s="1">
        <v>3.5000000000000003E-2</v>
      </c>
      <c r="G403" s="1">
        <v>3.2499999999999999E-3</v>
      </c>
      <c r="H403" s="1">
        <v>2.62</v>
      </c>
      <c r="I403" s="20" t="s">
        <v>980</v>
      </c>
      <c r="J403" s="1" t="s">
        <v>997</v>
      </c>
      <c r="AI403" s="757"/>
      <c r="AJ403" s="195"/>
      <c r="AK403" s="186"/>
      <c r="AL403" s="747"/>
      <c r="AM403" s="747"/>
      <c r="AN403" s="747"/>
      <c r="AO403" s="186"/>
      <c r="AP403" s="186"/>
      <c r="AQ403" s="12"/>
      <c r="AR403" s="11"/>
      <c r="AS403" s="186"/>
      <c r="AT403" s="747"/>
      <c r="AU403" s="747"/>
      <c r="AV403" s="747"/>
      <c r="AW403" s="186"/>
      <c r="AX403" s="186"/>
      <c r="AY403" s="12"/>
      <c r="AZ403" s="11" t="s">
        <v>2032</v>
      </c>
      <c r="BA403" s="186" t="s">
        <v>523</v>
      </c>
      <c r="BB403" s="747" t="s">
        <v>628</v>
      </c>
      <c r="BC403" s="747" t="s">
        <v>1730</v>
      </c>
      <c r="BD403" s="747" t="s">
        <v>248</v>
      </c>
      <c r="BE403" s="186">
        <v>2.5000000000000001E-2</v>
      </c>
      <c r="BF403" s="186">
        <v>5.0000000000000001E-4</v>
      </c>
      <c r="BG403" s="12">
        <v>2.58</v>
      </c>
      <c r="BH403" s="11"/>
      <c r="BI403" s="186"/>
      <c r="BJ403" s="747"/>
      <c r="BK403" s="747"/>
      <c r="BL403" s="747"/>
      <c r="BM403" s="186"/>
      <c r="BN403" s="186"/>
      <c r="BO403" s="12"/>
      <c r="BP403" s="11"/>
      <c r="BQ403" s="186"/>
      <c r="BR403" s="747"/>
      <c r="BS403" s="747"/>
      <c r="BT403" s="747"/>
      <c r="BU403" s="186"/>
      <c r="BV403" s="186"/>
      <c r="BW403" s="12"/>
    </row>
    <row r="404" spans="1:75">
      <c r="A404" s="1" t="s">
        <v>998</v>
      </c>
      <c r="B404" s="1" t="s">
        <v>961</v>
      </c>
      <c r="C404" s="1" t="s">
        <v>962</v>
      </c>
      <c r="D404" s="1" t="s">
        <v>1710</v>
      </c>
      <c r="E404" s="1" t="s">
        <v>553</v>
      </c>
      <c r="F404" s="1">
        <v>3.5000000000000003E-2</v>
      </c>
      <c r="G404" s="1">
        <v>3.2499999999999999E-3</v>
      </c>
      <c r="I404" s="20"/>
      <c r="J404" s="1" t="s">
        <v>997</v>
      </c>
      <c r="AI404" s="757"/>
      <c r="AJ404" s="195"/>
      <c r="AK404" s="186"/>
      <c r="AL404" s="747"/>
      <c r="AM404" s="747"/>
      <c r="AN404" s="747"/>
      <c r="AO404" s="186"/>
      <c r="AP404" s="186"/>
      <c r="AQ404" s="12"/>
      <c r="AR404" s="11"/>
      <c r="AS404" s="186"/>
      <c r="AT404" s="747"/>
      <c r="AU404" s="747"/>
      <c r="AV404" s="747"/>
      <c r="AW404" s="186"/>
      <c r="AX404" s="186"/>
      <c r="AY404" s="12"/>
      <c r="AZ404" s="11" t="s">
        <v>2032</v>
      </c>
      <c r="BA404" s="186" t="s">
        <v>523</v>
      </c>
      <c r="BB404" s="747" t="s">
        <v>629</v>
      </c>
      <c r="BC404" s="747" t="s">
        <v>519</v>
      </c>
      <c r="BD404" s="747" t="s">
        <v>248</v>
      </c>
      <c r="BE404" s="186">
        <v>2.5000000000000001E-2</v>
      </c>
      <c r="BF404" s="186">
        <v>5.0000000000000001E-4</v>
      </c>
      <c r="BG404" s="12">
        <v>2.58</v>
      </c>
      <c r="BH404" s="11"/>
      <c r="BI404" s="186"/>
      <c r="BJ404" s="747"/>
      <c r="BK404" s="747"/>
      <c r="BL404" s="747"/>
      <c r="BM404" s="186"/>
      <c r="BN404" s="186"/>
      <c r="BO404" s="12"/>
      <c r="BP404" s="11"/>
      <c r="BQ404" s="186"/>
      <c r="BR404" s="747"/>
      <c r="BS404" s="747"/>
      <c r="BT404" s="747"/>
      <c r="BU404" s="186"/>
      <c r="BV404" s="186"/>
      <c r="BW404" s="12"/>
    </row>
    <row r="405" spans="1:75">
      <c r="A405" s="1" t="s">
        <v>999</v>
      </c>
      <c r="B405" s="1" t="s">
        <v>961</v>
      </c>
      <c r="C405" s="1" t="s">
        <v>962</v>
      </c>
      <c r="D405" s="1" t="s">
        <v>1710</v>
      </c>
      <c r="E405" s="1" t="s">
        <v>554</v>
      </c>
      <c r="F405" s="1">
        <v>0.12600000000000003</v>
      </c>
      <c r="G405" s="1">
        <v>1.2999999999999999E-2</v>
      </c>
      <c r="I405" s="20"/>
      <c r="J405" s="1" t="s">
        <v>1000</v>
      </c>
      <c r="AI405" s="757"/>
      <c r="AJ405" s="195"/>
      <c r="AK405" s="186"/>
      <c r="AL405" s="747"/>
      <c r="AM405" s="747"/>
      <c r="AN405" s="747"/>
      <c r="AO405" s="186"/>
      <c r="AP405" s="186"/>
      <c r="AQ405" s="12"/>
      <c r="AR405" s="11"/>
      <c r="AS405" s="186"/>
      <c r="AT405" s="747"/>
      <c r="AU405" s="747"/>
      <c r="AV405" s="747"/>
      <c r="AW405" s="186"/>
      <c r="AX405" s="186"/>
      <c r="AY405" s="12"/>
      <c r="AZ405" s="11" t="s">
        <v>2032</v>
      </c>
      <c r="BA405" s="186" t="s">
        <v>523</v>
      </c>
      <c r="BB405" s="747" t="s">
        <v>1477</v>
      </c>
      <c r="BC405" s="747" t="s">
        <v>519</v>
      </c>
      <c r="BD405" s="747" t="s">
        <v>248</v>
      </c>
      <c r="BE405" s="186">
        <v>2.5000000000000001E-2</v>
      </c>
      <c r="BF405" s="186">
        <v>5.0000000000000001E-4</v>
      </c>
      <c r="BG405" s="12">
        <v>2.58</v>
      </c>
      <c r="BH405" s="11"/>
      <c r="BI405" s="186"/>
      <c r="BJ405" s="747"/>
      <c r="BK405" s="747"/>
      <c r="BL405" s="747"/>
      <c r="BM405" s="186"/>
      <c r="BN405" s="186"/>
      <c r="BO405" s="12"/>
      <c r="BP405" s="11"/>
      <c r="BQ405" s="186"/>
      <c r="BR405" s="747"/>
      <c r="BS405" s="747"/>
      <c r="BT405" s="747"/>
      <c r="BU405" s="186"/>
      <c r="BV405" s="186"/>
      <c r="BW405" s="12"/>
    </row>
    <row r="406" spans="1:75">
      <c r="A406" s="1" t="s">
        <v>1001</v>
      </c>
      <c r="B406" s="1" t="s">
        <v>961</v>
      </c>
      <c r="C406" s="1" t="s">
        <v>962</v>
      </c>
      <c r="D406" s="1" t="s">
        <v>1710</v>
      </c>
      <c r="E406" s="1" t="s">
        <v>555</v>
      </c>
      <c r="F406" s="1">
        <v>0.12600000000000003</v>
      </c>
      <c r="G406" s="1">
        <v>1.2999999999999999E-2</v>
      </c>
      <c r="I406" s="20"/>
      <c r="J406" s="1" t="s">
        <v>1000</v>
      </c>
      <c r="AI406" s="757"/>
      <c r="AJ406" s="195"/>
      <c r="AK406" s="186"/>
      <c r="AL406" s="747"/>
      <c r="AM406" s="747"/>
      <c r="AN406" s="747"/>
      <c r="AO406" s="186"/>
      <c r="AP406" s="186"/>
      <c r="AQ406" s="12"/>
      <c r="AR406" s="11"/>
      <c r="AS406" s="186"/>
      <c r="AT406" s="747"/>
      <c r="AU406" s="747"/>
      <c r="AV406" s="747"/>
      <c r="AW406" s="186"/>
      <c r="AX406" s="186"/>
      <c r="AY406" s="12"/>
      <c r="AZ406" s="11" t="s">
        <v>2032</v>
      </c>
      <c r="BA406" s="186" t="s">
        <v>523</v>
      </c>
      <c r="BB406" s="747" t="s">
        <v>1478</v>
      </c>
      <c r="BC406" s="747" t="s">
        <v>519</v>
      </c>
      <c r="BD406" s="747" t="s">
        <v>248</v>
      </c>
      <c r="BE406" s="186">
        <v>2.5000000000000001E-2</v>
      </c>
      <c r="BF406" s="186">
        <v>5.0000000000000001E-4</v>
      </c>
      <c r="BG406" s="12">
        <v>2.58</v>
      </c>
      <c r="BH406" s="11"/>
      <c r="BI406" s="186"/>
      <c r="BJ406" s="747"/>
      <c r="BK406" s="747"/>
      <c r="BL406" s="747"/>
      <c r="BM406" s="186"/>
      <c r="BN406" s="186"/>
      <c r="BO406" s="12"/>
      <c r="BP406" s="11"/>
      <c r="BQ406" s="186"/>
      <c r="BR406" s="747"/>
      <c r="BS406" s="747"/>
      <c r="BT406" s="747"/>
      <c r="BU406" s="186"/>
      <c r="BV406" s="186"/>
      <c r="BW406" s="12"/>
    </row>
    <row r="407" spans="1:75">
      <c r="A407" s="1" t="s">
        <v>1002</v>
      </c>
      <c r="B407" s="1" t="s">
        <v>961</v>
      </c>
      <c r="C407" s="1" t="s">
        <v>962</v>
      </c>
      <c r="D407" s="1" t="s">
        <v>1710</v>
      </c>
      <c r="E407" s="1" t="s">
        <v>556</v>
      </c>
      <c r="F407" s="1">
        <v>6.3000000000000014E-2</v>
      </c>
      <c r="G407" s="1">
        <v>1.2999999999999999E-2</v>
      </c>
      <c r="I407" s="20"/>
      <c r="J407" s="1" t="s">
        <v>518</v>
      </c>
      <c r="AI407" s="757"/>
      <c r="AJ407" s="195"/>
      <c r="AK407" s="186"/>
      <c r="AL407" s="747"/>
      <c r="AM407" s="747"/>
      <c r="AN407" s="747"/>
      <c r="AO407" s="186"/>
      <c r="AP407" s="186"/>
      <c r="AQ407" s="12"/>
      <c r="AR407" s="11"/>
      <c r="AS407" s="186"/>
      <c r="AT407" s="747"/>
      <c r="AU407" s="747"/>
      <c r="AV407" s="747"/>
      <c r="AW407" s="186"/>
      <c r="AX407" s="186"/>
      <c r="AY407" s="12"/>
      <c r="AZ407" s="11" t="s">
        <v>2032</v>
      </c>
      <c r="BA407" s="186" t="s">
        <v>523</v>
      </c>
      <c r="BB407" s="747" t="s">
        <v>1479</v>
      </c>
      <c r="BC407" s="747" t="s">
        <v>519</v>
      </c>
      <c r="BD407" s="747" t="s">
        <v>248</v>
      </c>
      <c r="BE407" s="186">
        <v>2.5000000000000001E-2</v>
      </c>
      <c r="BF407" s="186">
        <v>5.0000000000000001E-4</v>
      </c>
      <c r="BG407" s="12">
        <v>2.58</v>
      </c>
      <c r="BH407" s="11"/>
      <c r="BI407" s="186"/>
      <c r="BJ407" s="747"/>
      <c r="BK407" s="747"/>
      <c r="BL407" s="747"/>
      <c r="BM407" s="186"/>
      <c r="BN407" s="186"/>
      <c r="BO407" s="12"/>
      <c r="BP407" s="11"/>
      <c r="BQ407" s="186"/>
      <c r="BR407" s="747"/>
      <c r="BS407" s="747"/>
      <c r="BT407" s="747"/>
      <c r="BU407" s="186"/>
      <c r="BV407" s="186"/>
      <c r="BW407" s="12"/>
    </row>
    <row r="408" spans="1:75">
      <c r="A408" s="1" t="s">
        <v>1003</v>
      </c>
      <c r="B408" s="1" t="s">
        <v>961</v>
      </c>
      <c r="C408" s="1" t="s">
        <v>962</v>
      </c>
      <c r="D408" s="1" t="s">
        <v>1710</v>
      </c>
      <c r="E408" s="1" t="s">
        <v>557</v>
      </c>
      <c r="F408" s="1">
        <v>6.3000000000000014E-2</v>
      </c>
      <c r="G408" s="1">
        <v>1.2999999999999999E-2</v>
      </c>
      <c r="I408" s="20"/>
      <c r="J408" s="1" t="s">
        <v>518</v>
      </c>
      <c r="AI408" s="757"/>
      <c r="AJ408" s="195"/>
      <c r="AK408" s="186"/>
      <c r="AL408" s="747"/>
      <c r="AM408" s="747"/>
      <c r="AN408" s="747"/>
      <c r="AO408" s="186"/>
      <c r="AP408" s="186"/>
      <c r="AQ408" s="12"/>
      <c r="AR408" s="11"/>
      <c r="AS408" s="186"/>
      <c r="AT408" s="747"/>
      <c r="AU408" s="747"/>
      <c r="AV408" s="747"/>
      <c r="AW408" s="186"/>
      <c r="AX408" s="186"/>
      <c r="AY408" s="12"/>
      <c r="AZ408" s="11" t="s">
        <v>2032</v>
      </c>
      <c r="BA408" s="186" t="s">
        <v>523</v>
      </c>
      <c r="BB408" s="747" t="s">
        <v>1480</v>
      </c>
      <c r="BC408" s="747" t="s">
        <v>520</v>
      </c>
      <c r="BD408" s="747" t="s">
        <v>248</v>
      </c>
      <c r="BE408" s="186">
        <v>1.2500000000000001E-2</v>
      </c>
      <c r="BF408" s="186">
        <v>2.5000000000000001E-4</v>
      </c>
      <c r="BG408" s="12">
        <v>2.58</v>
      </c>
      <c r="BH408" s="11"/>
      <c r="BI408" s="186"/>
      <c r="BJ408" s="747"/>
      <c r="BK408" s="747"/>
      <c r="BL408" s="747"/>
      <c r="BM408" s="186"/>
      <c r="BN408" s="186"/>
      <c r="BO408" s="12"/>
      <c r="BP408" s="11"/>
      <c r="BQ408" s="186"/>
      <c r="BR408" s="747"/>
      <c r="BS408" s="747"/>
      <c r="BT408" s="747"/>
      <c r="BU408" s="186"/>
      <c r="BV408" s="186"/>
      <c r="BW408" s="12"/>
    </row>
    <row r="409" spans="1:75">
      <c r="A409" s="1" t="s">
        <v>1004</v>
      </c>
      <c r="B409" s="1" t="s">
        <v>961</v>
      </c>
      <c r="C409" s="1" t="s">
        <v>962</v>
      </c>
      <c r="D409" s="1" t="s">
        <v>1710</v>
      </c>
      <c r="E409" s="1" t="s">
        <v>558</v>
      </c>
      <c r="F409" s="1">
        <v>0.14000000000000001</v>
      </c>
      <c r="G409" s="1">
        <v>1.17E-2</v>
      </c>
      <c r="I409" s="20"/>
      <c r="J409" s="1" t="s">
        <v>1005</v>
      </c>
      <c r="AI409" s="757"/>
      <c r="AJ409" s="195"/>
      <c r="AK409" s="186"/>
      <c r="AL409" s="747"/>
      <c r="AM409" s="747"/>
      <c r="AN409" s="747"/>
      <c r="AO409" s="186"/>
      <c r="AP409" s="186"/>
      <c r="AQ409" s="12"/>
      <c r="AR409" s="11"/>
      <c r="AS409" s="186"/>
      <c r="AT409" s="747"/>
      <c r="AU409" s="747"/>
      <c r="AV409" s="747"/>
      <c r="AW409" s="186"/>
      <c r="AX409" s="186"/>
      <c r="AY409" s="12"/>
      <c r="AZ409" s="11" t="s">
        <v>2032</v>
      </c>
      <c r="BA409" s="186" t="s">
        <v>523</v>
      </c>
      <c r="BB409" s="747" t="s">
        <v>1481</v>
      </c>
      <c r="BC409" s="747" t="s">
        <v>520</v>
      </c>
      <c r="BD409" s="747" t="s">
        <v>248</v>
      </c>
      <c r="BE409" s="186">
        <v>1.2500000000000001E-2</v>
      </c>
      <c r="BF409" s="186">
        <v>2.5000000000000001E-4</v>
      </c>
      <c r="BG409" s="12">
        <v>2.58</v>
      </c>
      <c r="BH409" s="11"/>
      <c r="BI409" s="186"/>
      <c r="BJ409" s="747"/>
      <c r="BK409" s="747"/>
      <c r="BL409" s="747"/>
      <c r="BM409" s="186"/>
      <c r="BN409" s="186"/>
      <c r="BO409" s="12"/>
      <c r="BP409" s="11"/>
      <c r="BQ409" s="186"/>
      <c r="BR409" s="747"/>
      <c r="BS409" s="747"/>
      <c r="BT409" s="747"/>
      <c r="BU409" s="186"/>
      <c r="BV409" s="186"/>
      <c r="BW409" s="12"/>
    </row>
    <row r="410" spans="1:75">
      <c r="A410" s="1" t="s">
        <v>1006</v>
      </c>
      <c r="B410" s="1" t="s">
        <v>961</v>
      </c>
      <c r="C410" s="1" t="s">
        <v>962</v>
      </c>
      <c r="D410" s="1" t="s">
        <v>1710</v>
      </c>
      <c r="E410" s="1" t="s">
        <v>560</v>
      </c>
      <c r="F410" s="1">
        <v>0.14000000000000001</v>
      </c>
      <c r="G410" s="1">
        <v>1.17E-2</v>
      </c>
      <c r="I410" s="20"/>
      <c r="J410" s="1" t="s">
        <v>1005</v>
      </c>
      <c r="AI410" s="757"/>
      <c r="AJ410" s="195"/>
      <c r="AK410" s="186"/>
      <c r="AL410" s="747"/>
      <c r="AM410" s="747"/>
      <c r="AN410" s="747"/>
      <c r="AO410" s="186"/>
      <c r="AP410" s="186"/>
      <c r="AQ410" s="12"/>
      <c r="AR410" s="11"/>
      <c r="AS410" s="186"/>
      <c r="AT410" s="747"/>
      <c r="AU410" s="747"/>
      <c r="AV410" s="747"/>
      <c r="AW410" s="186"/>
      <c r="AX410" s="186"/>
      <c r="AY410" s="12"/>
      <c r="AZ410" s="11" t="s">
        <v>2032</v>
      </c>
      <c r="BA410" s="186" t="s">
        <v>523</v>
      </c>
      <c r="BB410" s="747" t="s">
        <v>1482</v>
      </c>
      <c r="BC410" s="747" t="s">
        <v>520</v>
      </c>
      <c r="BD410" s="747" t="s">
        <v>248</v>
      </c>
      <c r="BE410" s="186">
        <v>1.2500000000000001E-2</v>
      </c>
      <c r="BF410" s="186">
        <v>2.5000000000000001E-4</v>
      </c>
      <c r="BG410" s="12">
        <v>2.58</v>
      </c>
      <c r="BH410" s="11"/>
      <c r="BI410" s="186"/>
      <c r="BJ410" s="747"/>
      <c r="BK410" s="747"/>
      <c r="BL410" s="747"/>
      <c r="BM410" s="186"/>
      <c r="BN410" s="186"/>
      <c r="BO410" s="12"/>
      <c r="BP410" s="11"/>
      <c r="BQ410" s="186"/>
      <c r="BR410" s="747"/>
      <c r="BS410" s="747"/>
      <c r="BT410" s="747"/>
      <c r="BU410" s="186"/>
      <c r="BV410" s="186"/>
      <c r="BW410" s="12"/>
    </row>
    <row r="411" spans="1:75">
      <c r="A411" s="1" t="s">
        <v>1007</v>
      </c>
      <c r="B411" s="1" t="s">
        <v>961</v>
      </c>
      <c r="C411" s="1" t="s">
        <v>962</v>
      </c>
      <c r="D411" s="1" t="s">
        <v>1710</v>
      </c>
      <c r="E411" s="1" t="s">
        <v>561</v>
      </c>
      <c r="F411" s="1">
        <v>0.14000000000000001</v>
      </c>
      <c r="G411" s="1">
        <v>1.17E-2</v>
      </c>
      <c r="I411" s="20"/>
      <c r="J411" s="1" t="s">
        <v>559</v>
      </c>
      <c r="AI411" s="757"/>
      <c r="AJ411" s="195"/>
      <c r="AK411" s="186"/>
      <c r="AL411" s="747"/>
      <c r="AM411" s="747"/>
      <c r="AN411" s="747"/>
      <c r="AO411" s="186"/>
      <c r="AP411" s="186"/>
      <c r="AQ411" s="12"/>
      <c r="AR411" s="11"/>
      <c r="AS411" s="186"/>
      <c r="AT411" s="747"/>
      <c r="AU411" s="747"/>
      <c r="AV411" s="747"/>
      <c r="AW411" s="186"/>
      <c r="AX411" s="186"/>
      <c r="AY411" s="12"/>
      <c r="AZ411" s="11" t="s">
        <v>2032</v>
      </c>
      <c r="BA411" s="186" t="s">
        <v>523</v>
      </c>
      <c r="BB411" s="747" t="s">
        <v>1483</v>
      </c>
      <c r="BC411" s="747" t="s">
        <v>520</v>
      </c>
      <c r="BD411" s="747" t="s">
        <v>248</v>
      </c>
      <c r="BE411" s="186">
        <v>1.2500000000000001E-2</v>
      </c>
      <c r="BF411" s="186">
        <v>2.5000000000000001E-4</v>
      </c>
      <c r="BG411" s="12">
        <v>2.58</v>
      </c>
      <c r="BH411" s="11"/>
      <c r="BI411" s="186"/>
      <c r="BJ411" s="747"/>
      <c r="BK411" s="747"/>
      <c r="BL411" s="747"/>
      <c r="BM411" s="186"/>
      <c r="BN411" s="186"/>
      <c r="BO411" s="12"/>
      <c r="BP411" s="11"/>
      <c r="BQ411" s="186"/>
      <c r="BR411" s="747"/>
      <c r="BS411" s="747"/>
      <c r="BT411" s="747"/>
      <c r="BU411" s="186"/>
      <c r="BV411" s="186"/>
      <c r="BW411" s="12"/>
    </row>
    <row r="412" spans="1:75">
      <c r="A412" s="1" t="s">
        <v>1008</v>
      </c>
      <c r="B412" s="1" t="s">
        <v>961</v>
      </c>
      <c r="C412" s="1" t="s">
        <v>962</v>
      </c>
      <c r="D412" s="1" t="s">
        <v>1710</v>
      </c>
      <c r="E412" s="1" t="s">
        <v>562</v>
      </c>
      <c r="F412" s="1">
        <v>0.14000000000000001</v>
      </c>
      <c r="G412" s="1">
        <v>1.17E-2</v>
      </c>
      <c r="I412" s="20"/>
      <c r="J412" s="1" t="s">
        <v>559</v>
      </c>
      <c r="AI412" s="757"/>
      <c r="AJ412" s="195"/>
      <c r="AK412" s="186"/>
      <c r="AL412" s="747"/>
      <c r="AM412" s="747"/>
      <c r="AN412" s="747"/>
      <c r="AO412" s="186"/>
      <c r="AP412" s="186"/>
      <c r="AQ412" s="12"/>
      <c r="AR412" s="11"/>
      <c r="AS412" s="186"/>
      <c r="AT412" s="747"/>
      <c r="AU412" s="747"/>
      <c r="AV412" s="747"/>
      <c r="AW412" s="186"/>
      <c r="AX412" s="186"/>
      <c r="AY412" s="12"/>
      <c r="AZ412" s="11" t="s">
        <v>2032</v>
      </c>
      <c r="BA412" s="186" t="s">
        <v>591</v>
      </c>
      <c r="BB412" s="747" t="s">
        <v>1484</v>
      </c>
      <c r="BC412" s="747" t="s">
        <v>1730</v>
      </c>
      <c r="BD412" s="747" t="s">
        <v>248</v>
      </c>
      <c r="BE412" s="186">
        <v>0.05</v>
      </c>
      <c r="BF412" s="186">
        <v>1E-3</v>
      </c>
      <c r="BG412" s="12">
        <v>2.58</v>
      </c>
      <c r="BH412" s="11"/>
      <c r="BI412" s="186"/>
      <c r="BJ412" s="747"/>
      <c r="BK412" s="747"/>
      <c r="BL412" s="747"/>
      <c r="BM412" s="186"/>
      <c r="BN412" s="186"/>
      <c r="BO412" s="12"/>
      <c r="BP412" s="11"/>
      <c r="BQ412" s="186"/>
      <c r="BR412" s="747"/>
      <c r="BS412" s="747"/>
      <c r="BT412" s="747"/>
      <c r="BU412" s="186"/>
      <c r="BV412" s="186"/>
      <c r="BW412" s="12"/>
    </row>
    <row r="413" spans="1:75">
      <c r="A413" s="1" t="s">
        <v>1009</v>
      </c>
      <c r="B413" s="1" t="s">
        <v>961</v>
      </c>
      <c r="C413" s="1" t="s">
        <v>962</v>
      </c>
      <c r="D413" s="1" t="s">
        <v>523</v>
      </c>
      <c r="E413" s="1" t="s">
        <v>563</v>
      </c>
      <c r="F413" s="1">
        <v>0.08</v>
      </c>
      <c r="G413" s="1">
        <v>5.0000000000000001E-3</v>
      </c>
      <c r="I413" s="20"/>
      <c r="AI413" s="757"/>
      <c r="AJ413" s="195"/>
      <c r="AK413" s="186"/>
      <c r="AL413" s="747"/>
      <c r="AM413" s="747"/>
      <c r="AN413" s="747"/>
      <c r="AO413" s="186"/>
      <c r="AP413" s="186"/>
      <c r="AQ413" s="12"/>
      <c r="AR413" s="11"/>
      <c r="AS413" s="186"/>
      <c r="AT413" s="747"/>
      <c r="AU413" s="747"/>
      <c r="AV413" s="747"/>
      <c r="AW413" s="186"/>
      <c r="AX413" s="186"/>
      <c r="AY413" s="12"/>
      <c r="AZ413" s="11" t="s">
        <v>2032</v>
      </c>
      <c r="BA413" s="186" t="s">
        <v>591</v>
      </c>
      <c r="BB413" s="747" t="s">
        <v>1485</v>
      </c>
      <c r="BC413" s="747" t="s">
        <v>1730</v>
      </c>
      <c r="BD413" s="747" t="s">
        <v>248</v>
      </c>
      <c r="BE413" s="186">
        <v>0.05</v>
      </c>
      <c r="BF413" s="186">
        <v>1E-3</v>
      </c>
      <c r="BG413" s="12">
        <v>2.58</v>
      </c>
      <c r="BH413" s="11"/>
      <c r="BI413" s="186"/>
      <c r="BJ413" s="747"/>
      <c r="BK413" s="747"/>
      <c r="BL413" s="747"/>
      <c r="BM413" s="186"/>
      <c r="BN413" s="186"/>
      <c r="BO413" s="12"/>
      <c r="BP413" s="11"/>
      <c r="BQ413" s="186"/>
      <c r="BR413" s="747"/>
      <c r="BS413" s="747"/>
      <c r="BT413" s="747"/>
      <c r="BU413" s="186"/>
      <c r="BV413" s="186"/>
      <c r="BW413" s="12"/>
    </row>
    <row r="414" spans="1:75">
      <c r="A414" s="1" t="s">
        <v>1010</v>
      </c>
      <c r="B414" s="1" t="s">
        <v>961</v>
      </c>
      <c r="C414" s="1" t="s">
        <v>962</v>
      </c>
      <c r="D414" s="1" t="s">
        <v>523</v>
      </c>
      <c r="E414" s="1" t="s">
        <v>564</v>
      </c>
      <c r="F414" s="1">
        <v>0.08</v>
      </c>
      <c r="G414" s="1">
        <v>5.0000000000000001E-3</v>
      </c>
      <c r="I414" s="20"/>
      <c r="AI414" s="757"/>
      <c r="AJ414" s="195"/>
      <c r="AK414" s="186"/>
      <c r="AL414" s="747"/>
      <c r="AM414" s="747"/>
      <c r="AN414" s="747"/>
      <c r="AO414" s="186"/>
      <c r="AP414" s="186"/>
      <c r="AQ414" s="12"/>
      <c r="AR414" s="11"/>
      <c r="AS414" s="186"/>
      <c r="AT414" s="747"/>
      <c r="AU414" s="747"/>
      <c r="AV414" s="747"/>
      <c r="AW414" s="186"/>
      <c r="AX414" s="186"/>
      <c r="AY414" s="12"/>
      <c r="AZ414" s="11" t="s">
        <v>2032</v>
      </c>
      <c r="BA414" s="186" t="s">
        <v>591</v>
      </c>
      <c r="BB414" s="747" t="s">
        <v>1486</v>
      </c>
      <c r="BC414" s="747" t="s">
        <v>1730</v>
      </c>
      <c r="BD414" s="747" t="s">
        <v>248</v>
      </c>
      <c r="BE414" s="186">
        <v>2.5000000000000001E-2</v>
      </c>
      <c r="BF414" s="186">
        <v>5.0000000000000001E-4</v>
      </c>
      <c r="BG414" s="12">
        <v>2.58</v>
      </c>
      <c r="BH414" s="11"/>
      <c r="BI414" s="186"/>
      <c r="BJ414" s="747"/>
      <c r="BK414" s="747"/>
      <c r="BL414" s="747"/>
      <c r="BM414" s="186"/>
      <c r="BN414" s="186"/>
      <c r="BO414" s="12"/>
      <c r="BP414" s="11"/>
      <c r="BQ414" s="186"/>
      <c r="BR414" s="747"/>
      <c r="BS414" s="747"/>
      <c r="BT414" s="747"/>
      <c r="BU414" s="186"/>
      <c r="BV414" s="186"/>
      <c r="BW414" s="12"/>
    </row>
    <row r="415" spans="1:75">
      <c r="A415" s="1" t="s">
        <v>1011</v>
      </c>
      <c r="B415" s="1" t="s">
        <v>961</v>
      </c>
      <c r="C415" s="1" t="s">
        <v>962</v>
      </c>
      <c r="D415" s="1" t="s">
        <v>523</v>
      </c>
      <c r="E415" s="1" t="s">
        <v>565</v>
      </c>
      <c r="F415" s="1">
        <v>0.04</v>
      </c>
      <c r="G415" s="1">
        <v>2.5000000000000001E-3</v>
      </c>
      <c r="I415" s="20"/>
      <c r="J415" s="1" t="s">
        <v>692</v>
      </c>
      <c r="AI415" s="757"/>
      <c r="AJ415" s="195"/>
      <c r="AK415" s="186"/>
      <c r="AL415" s="747"/>
      <c r="AM415" s="747"/>
      <c r="AN415" s="747"/>
      <c r="AO415" s="186"/>
      <c r="AP415" s="186"/>
      <c r="AQ415" s="12"/>
      <c r="AR415" s="11"/>
      <c r="AS415" s="186"/>
      <c r="AT415" s="747"/>
      <c r="AU415" s="747"/>
      <c r="AV415" s="747"/>
      <c r="AW415" s="186"/>
      <c r="AX415" s="186"/>
      <c r="AY415" s="12"/>
      <c r="AZ415" s="11" t="s">
        <v>2032</v>
      </c>
      <c r="BA415" s="186" t="s">
        <v>591</v>
      </c>
      <c r="BB415" s="747" t="s">
        <v>1487</v>
      </c>
      <c r="BC415" s="747" t="s">
        <v>1730</v>
      </c>
      <c r="BD415" s="747" t="s">
        <v>248</v>
      </c>
      <c r="BE415" s="186">
        <v>2.5000000000000001E-2</v>
      </c>
      <c r="BF415" s="186">
        <v>5.0000000000000001E-4</v>
      </c>
      <c r="BG415" s="12">
        <v>2.58</v>
      </c>
      <c r="BH415" s="11"/>
      <c r="BI415" s="186"/>
      <c r="BJ415" s="747"/>
      <c r="BK415" s="747"/>
      <c r="BL415" s="747"/>
      <c r="BM415" s="186"/>
      <c r="BN415" s="186"/>
      <c r="BO415" s="12"/>
      <c r="BP415" s="11"/>
      <c r="BQ415" s="186"/>
      <c r="BR415" s="747"/>
      <c r="BS415" s="747"/>
      <c r="BT415" s="747"/>
      <c r="BU415" s="186"/>
      <c r="BV415" s="186"/>
      <c r="BW415" s="12"/>
    </row>
    <row r="416" spans="1:75">
      <c r="A416" s="1" t="s">
        <v>1012</v>
      </c>
      <c r="B416" s="1" t="s">
        <v>961</v>
      </c>
      <c r="C416" s="1" t="s">
        <v>962</v>
      </c>
      <c r="D416" s="1" t="s">
        <v>523</v>
      </c>
      <c r="E416" s="1" t="s">
        <v>566</v>
      </c>
      <c r="F416" s="1">
        <v>0.04</v>
      </c>
      <c r="G416" s="1">
        <v>2.5000000000000001E-3</v>
      </c>
      <c r="I416" s="20"/>
      <c r="J416" s="1" t="s">
        <v>692</v>
      </c>
      <c r="AI416" s="757"/>
      <c r="AJ416" s="195"/>
      <c r="AK416" s="186"/>
      <c r="AL416" s="747"/>
      <c r="AM416" s="747"/>
      <c r="AN416" s="747"/>
      <c r="AO416" s="186"/>
      <c r="AP416" s="186"/>
      <c r="AQ416" s="12"/>
      <c r="AR416" s="11"/>
      <c r="AS416" s="186"/>
      <c r="AT416" s="747"/>
      <c r="AU416" s="747"/>
      <c r="AV416" s="747"/>
      <c r="AW416" s="186"/>
      <c r="AX416" s="186"/>
      <c r="AY416" s="12"/>
      <c r="AZ416" s="11" t="s">
        <v>2032</v>
      </c>
      <c r="BA416" s="186" t="s">
        <v>523</v>
      </c>
      <c r="BB416" s="747" t="s">
        <v>1188</v>
      </c>
      <c r="BC416" s="747" t="s">
        <v>1730</v>
      </c>
      <c r="BD416" s="747" t="s">
        <v>248</v>
      </c>
      <c r="BE416" s="186">
        <v>0.05</v>
      </c>
      <c r="BF416" s="186">
        <v>1E-3</v>
      </c>
      <c r="BG416" s="12">
        <v>2.58</v>
      </c>
      <c r="BH416" s="11"/>
      <c r="BI416" s="186"/>
      <c r="BJ416" s="747"/>
      <c r="BK416" s="747"/>
      <c r="BL416" s="747"/>
      <c r="BM416" s="186"/>
      <c r="BN416" s="186"/>
      <c r="BO416" s="12"/>
      <c r="BP416" s="11"/>
      <c r="BQ416" s="186"/>
      <c r="BR416" s="747"/>
      <c r="BS416" s="747"/>
      <c r="BT416" s="747"/>
      <c r="BU416" s="186"/>
      <c r="BV416" s="186"/>
      <c r="BW416" s="12"/>
    </row>
    <row r="417" spans="1:75">
      <c r="A417" s="1" t="s">
        <v>1013</v>
      </c>
      <c r="B417" s="1" t="s">
        <v>961</v>
      </c>
      <c r="C417" s="1" t="s">
        <v>962</v>
      </c>
      <c r="D417" s="1" t="s">
        <v>523</v>
      </c>
      <c r="E417" s="1" t="s">
        <v>567</v>
      </c>
      <c r="F417" s="1">
        <v>0.04</v>
      </c>
      <c r="G417" s="1">
        <v>2.5000000000000001E-3</v>
      </c>
      <c r="I417" s="20"/>
      <c r="J417" s="1" t="s">
        <v>519</v>
      </c>
      <c r="AI417" s="757"/>
      <c r="AJ417" s="195"/>
      <c r="AK417" s="186"/>
      <c r="AL417" s="747"/>
      <c r="AM417" s="747"/>
      <c r="AN417" s="747"/>
      <c r="AO417" s="186"/>
      <c r="AP417" s="186"/>
      <c r="AQ417" s="12"/>
      <c r="AR417" s="11"/>
      <c r="AS417" s="186"/>
      <c r="AT417" s="747"/>
      <c r="AU417" s="747"/>
      <c r="AV417" s="747"/>
      <c r="AW417" s="186"/>
      <c r="AX417" s="186"/>
      <c r="AY417" s="12"/>
      <c r="AZ417" s="11" t="s">
        <v>2032</v>
      </c>
      <c r="BA417" s="186" t="s">
        <v>523</v>
      </c>
      <c r="BB417" s="747" t="s">
        <v>1189</v>
      </c>
      <c r="BC417" s="747" t="s">
        <v>1730</v>
      </c>
      <c r="BD417" s="747" t="s">
        <v>248</v>
      </c>
      <c r="BE417" s="186">
        <v>0.05</v>
      </c>
      <c r="BF417" s="186">
        <v>1E-3</v>
      </c>
      <c r="BG417" s="12">
        <v>2.58</v>
      </c>
      <c r="BH417" s="11"/>
      <c r="BI417" s="186"/>
      <c r="BJ417" s="747"/>
      <c r="BK417" s="747"/>
      <c r="BL417" s="747"/>
      <c r="BM417" s="186"/>
      <c r="BN417" s="186"/>
      <c r="BO417" s="12"/>
      <c r="BP417" s="11"/>
      <c r="BQ417" s="186"/>
      <c r="BR417" s="747"/>
      <c r="BS417" s="747"/>
      <c r="BT417" s="747"/>
      <c r="BU417" s="186"/>
      <c r="BV417" s="186"/>
      <c r="BW417" s="12"/>
    </row>
    <row r="418" spans="1:75">
      <c r="A418" s="1" t="s">
        <v>1014</v>
      </c>
      <c r="B418" s="1" t="s">
        <v>961</v>
      </c>
      <c r="C418" s="1" t="s">
        <v>962</v>
      </c>
      <c r="D418" s="1" t="s">
        <v>523</v>
      </c>
      <c r="E418" s="1" t="s">
        <v>568</v>
      </c>
      <c r="F418" s="1">
        <v>0.04</v>
      </c>
      <c r="G418" s="1">
        <v>2.5000000000000001E-3</v>
      </c>
      <c r="I418" s="20"/>
      <c r="J418" s="1" t="s">
        <v>519</v>
      </c>
      <c r="AI418" s="757"/>
      <c r="AJ418" s="195"/>
      <c r="AK418" s="186"/>
      <c r="AL418" s="747"/>
      <c r="AM418" s="747"/>
      <c r="AN418" s="747"/>
      <c r="AO418" s="186"/>
      <c r="AP418" s="186"/>
      <c r="AQ418" s="12"/>
      <c r="AR418" s="11"/>
      <c r="AS418" s="186"/>
      <c r="AT418" s="747"/>
      <c r="AU418" s="747"/>
      <c r="AV418" s="747"/>
      <c r="AW418" s="186"/>
      <c r="AX418" s="186"/>
      <c r="AY418" s="12"/>
      <c r="AZ418" s="11" t="s">
        <v>2032</v>
      </c>
      <c r="BA418" s="186" t="s">
        <v>523</v>
      </c>
      <c r="BB418" s="747" t="s">
        <v>1190</v>
      </c>
      <c r="BC418" s="747" t="s">
        <v>1730</v>
      </c>
      <c r="BD418" s="747" t="s">
        <v>248</v>
      </c>
      <c r="BE418" s="186">
        <v>2.5000000000000001E-2</v>
      </c>
      <c r="BF418" s="186">
        <v>5.0000000000000001E-4</v>
      </c>
      <c r="BG418" s="12">
        <v>2.58</v>
      </c>
      <c r="BH418" s="11"/>
      <c r="BI418" s="186"/>
      <c r="BJ418" s="747"/>
      <c r="BK418" s="747"/>
      <c r="BL418" s="747"/>
      <c r="BM418" s="186"/>
      <c r="BN418" s="186"/>
      <c r="BO418" s="12"/>
      <c r="BP418" s="11"/>
      <c r="BQ418" s="186"/>
      <c r="BR418" s="747"/>
      <c r="BS418" s="747"/>
      <c r="BT418" s="747"/>
      <c r="BU418" s="186"/>
      <c r="BV418" s="186"/>
      <c r="BW418" s="12"/>
    </row>
    <row r="419" spans="1:75">
      <c r="A419" s="1" t="s">
        <v>1015</v>
      </c>
      <c r="B419" s="1" t="s">
        <v>961</v>
      </c>
      <c r="C419" s="1" t="s">
        <v>962</v>
      </c>
      <c r="D419" s="1" t="s">
        <v>523</v>
      </c>
      <c r="E419" s="1" t="s">
        <v>569</v>
      </c>
      <c r="F419" s="1">
        <v>0.04</v>
      </c>
      <c r="G419" s="1">
        <v>2.5000000000000001E-3</v>
      </c>
      <c r="I419" s="20"/>
      <c r="J419" s="1" t="s">
        <v>756</v>
      </c>
      <c r="AI419" s="757"/>
      <c r="AJ419" s="195"/>
      <c r="AK419" s="186"/>
      <c r="AL419" s="747"/>
      <c r="AM419" s="747"/>
      <c r="AN419" s="747"/>
      <c r="AO419" s="186"/>
      <c r="AP419" s="186"/>
      <c r="AQ419" s="12"/>
      <c r="AR419" s="11"/>
      <c r="AS419" s="186"/>
      <c r="AT419" s="747"/>
      <c r="AU419" s="747"/>
      <c r="AV419" s="747"/>
      <c r="AW419" s="186"/>
      <c r="AX419" s="186"/>
      <c r="AY419" s="12"/>
      <c r="AZ419" s="11" t="s">
        <v>2032</v>
      </c>
      <c r="BA419" s="186" t="s">
        <v>523</v>
      </c>
      <c r="BB419" s="747" t="s">
        <v>1191</v>
      </c>
      <c r="BC419" s="747" t="s">
        <v>1730</v>
      </c>
      <c r="BD419" s="747" t="s">
        <v>248</v>
      </c>
      <c r="BE419" s="186">
        <v>2.5000000000000001E-2</v>
      </c>
      <c r="BF419" s="186">
        <v>5.0000000000000001E-4</v>
      </c>
      <c r="BG419" s="12">
        <v>2.58</v>
      </c>
      <c r="BH419" s="11"/>
      <c r="BI419" s="186"/>
      <c r="BJ419" s="747"/>
      <c r="BK419" s="747"/>
      <c r="BL419" s="747"/>
      <c r="BM419" s="186"/>
      <c r="BN419" s="186"/>
      <c r="BO419" s="12"/>
      <c r="BP419" s="11"/>
      <c r="BQ419" s="186"/>
      <c r="BR419" s="747"/>
      <c r="BS419" s="747"/>
      <c r="BT419" s="747"/>
      <c r="BU419" s="186"/>
      <c r="BV419" s="186"/>
      <c r="BW419" s="12"/>
    </row>
    <row r="420" spans="1:75">
      <c r="I420" s="20"/>
      <c r="AI420" s="757"/>
      <c r="AJ420" s="195"/>
      <c r="AK420" s="186"/>
      <c r="AL420" s="747"/>
      <c r="AM420" s="747"/>
      <c r="AN420" s="747"/>
      <c r="AO420" s="186"/>
      <c r="AP420" s="186"/>
      <c r="AQ420" s="12"/>
      <c r="AR420" s="11"/>
      <c r="AS420" s="186"/>
      <c r="AT420" s="747"/>
      <c r="AU420" s="747"/>
      <c r="AV420" s="747"/>
      <c r="AW420" s="186"/>
      <c r="AX420" s="186"/>
      <c r="AY420" s="12"/>
      <c r="AZ420" s="11" t="s">
        <v>2032</v>
      </c>
      <c r="BA420" s="186" t="s">
        <v>523</v>
      </c>
      <c r="BB420" s="747" t="s">
        <v>1192</v>
      </c>
      <c r="BC420" s="747" t="s">
        <v>1180</v>
      </c>
      <c r="BD420" s="747" t="s">
        <v>248</v>
      </c>
      <c r="BE420" s="186">
        <v>2.5000000000000001E-2</v>
      </c>
      <c r="BF420" s="186">
        <v>5.0000000000000001E-4</v>
      </c>
      <c r="BG420" s="12">
        <v>2.58</v>
      </c>
      <c r="BH420" s="11"/>
      <c r="BI420" s="186"/>
      <c r="BJ420" s="747"/>
      <c r="BK420" s="747"/>
      <c r="BL420" s="747"/>
      <c r="BM420" s="186"/>
      <c r="BN420" s="186"/>
      <c r="BO420" s="12"/>
      <c r="BP420" s="11"/>
      <c r="BQ420" s="186"/>
      <c r="BR420" s="747"/>
      <c r="BS420" s="747"/>
      <c r="BT420" s="747"/>
      <c r="BU420" s="186"/>
      <c r="BV420" s="186"/>
      <c r="BW420" s="12"/>
    </row>
    <row r="421" spans="1:75">
      <c r="I421" s="20"/>
      <c r="AI421" s="757"/>
      <c r="AJ421" s="195"/>
      <c r="AK421" s="186"/>
      <c r="AL421" s="747"/>
      <c r="AM421" s="747"/>
      <c r="AN421" s="747"/>
      <c r="AO421" s="186"/>
      <c r="AP421" s="186"/>
      <c r="AQ421" s="12"/>
      <c r="AR421" s="11"/>
      <c r="AS421" s="186"/>
      <c r="AT421" s="747"/>
      <c r="AU421" s="747"/>
      <c r="AV421" s="747"/>
      <c r="AW421" s="186"/>
      <c r="AX421" s="186"/>
      <c r="AY421" s="12"/>
      <c r="AZ421" s="11" t="s">
        <v>2032</v>
      </c>
      <c r="BA421" s="186" t="s">
        <v>523</v>
      </c>
      <c r="BB421" s="747" t="s">
        <v>1193</v>
      </c>
      <c r="BC421" s="747" t="s">
        <v>1180</v>
      </c>
      <c r="BD421" s="747" t="s">
        <v>248</v>
      </c>
      <c r="BE421" s="186">
        <v>2.5000000000000001E-2</v>
      </c>
      <c r="BF421" s="186">
        <v>5.0000000000000001E-4</v>
      </c>
      <c r="BG421" s="12">
        <v>2.58</v>
      </c>
      <c r="BH421" s="11"/>
      <c r="BI421" s="186"/>
      <c r="BJ421" s="747"/>
      <c r="BK421" s="747"/>
      <c r="BL421" s="747"/>
      <c r="BM421" s="186"/>
      <c r="BN421" s="186"/>
      <c r="BO421" s="12"/>
      <c r="BP421" s="11"/>
      <c r="BQ421" s="186"/>
      <c r="BR421" s="747"/>
      <c r="BS421" s="747"/>
      <c r="BT421" s="747"/>
      <c r="BU421" s="186"/>
      <c r="BV421" s="186"/>
      <c r="BW421" s="12"/>
    </row>
    <row r="422" spans="1:75">
      <c r="I422" s="20"/>
      <c r="AI422" s="757"/>
      <c r="AJ422" s="195"/>
      <c r="AK422" s="186"/>
      <c r="AL422" s="747"/>
      <c r="AM422" s="747"/>
      <c r="AN422" s="747"/>
      <c r="AO422" s="186"/>
      <c r="AP422" s="186"/>
      <c r="AQ422" s="12"/>
      <c r="AR422" s="11"/>
      <c r="AS422" s="186"/>
      <c r="AT422" s="747"/>
      <c r="AU422" s="747"/>
      <c r="AV422" s="747"/>
      <c r="AW422" s="186"/>
      <c r="AX422" s="186"/>
      <c r="AY422" s="12"/>
      <c r="AZ422" s="11" t="s">
        <v>2032</v>
      </c>
      <c r="BA422" s="186" t="s">
        <v>523</v>
      </c>
      <c r="BB422" s="747" t="s">
        <v>1194</v>
      </c>
      <c r="BC422" s="747" t="s">
        <v>1180</v>
      </c>
      <c r="BD422" s="747" t="s">
        <v>248</v>
      </c>
      <c r="BE422" s="186">
        <v>2.5000000000000001E-2</v>
      </c>
      <c r="BF422" s="186">
        <v>5.0000000000000001E-4</v>
      </c>
      <c r="BG422" s="12">
        <v>2.58</v>
      </c>
      <c r="BH422" s="11"/>
      <c r="BI422" s="186"/>
      <c r="BJ422" s="747"/>
      <c r="BK422" s="747"/>
      <c r="BL422" s="747"/>
      <c r="BM422" s="186"/>
      <c r="BN422" s="186"/>
      <c r="BO422" s="12"/>
      <c r="BP422" s="11"/>
      <c r="BQ422" s="186"/>
      <c r="BR422" s="747"/>
      <c r="BS422" s="747"/>
      <c r="BT422" s="747"/>
      <c r="BU422" s="186"/>
      <c r="BV422" s="186"/>
      <c r="BW422" s="12"/>
    </row>
    <row r="423" spans="1:75">
      <c r="I423" s="20"/>
      <c r="AI423" s="757"/>
      <c r="AJ423" s="195"/>
      <c r="AK423" s="186"/>
      <c r="AL423" s="747"/>
      <c r="AM423" s="747"/>
      <c r="AN423" s="747"/>
      <c r="AO423" s="186"/>
      <c r="AP423" s="186"/>
      <c r="AQ423" s="12"/>
      <c r="AR423" s="11"/>
      <c r="AS423" s="186"/>
      <c r="AT423" s="747"/>
      <c r="AU423" s="747"/>
      <c r="AV423" s="747"/>
      <c r="AW423" s="186"/>
      <c r="AX423" s="186"/>
      <c r="AY423" s="12"/>
      <c r="AZ423" s="11" t="s">
        <v>2032</v>
      </c>
      <c r="BA423" s="186" t="s">
        <v>523</v>
      </c>
      <c r="BB423" s="747" t="s">
        <v>1195</v>
      </c>
      <c r="BC423" s="747" t="s">
        <v>1180</v>
      </c>
      <c r="BD423" s="747" t="s">
        <v>248</v>
      </c>
      <c r="BE423" s="186">
        <v>2.5000000000000001E-2</v>
      </c>
      <c r="BF423" s="186">
        <v>5.0000000000000001E-4</v>
      </c>
      <c r="BG423" s="12">
        <v>2.58</v>
      </c>
      <c r="BH423" s="11"/>
      <c r="BI423" s="186"/>
      <c r="BJ423" s="747"/>
      <c r="BK423" s="747"/>
      <c r="BL423" s="747"/>
      <c r="BM423" s="186"/>
      <c r="BN423" s="186"/>
      <c r="BO423" s="12"/>
      <c r="BP423" s="11"/>
      <c r="BQ423" s="186"/>
      <c r="BR423" s="747"/>
      <c r="BS423" s="747"/>
      <c r="BT423" s="747"/>
      <c r="BU423" s="186"/>
      <c r="BV423" s="186"/>
      <c r="BW423" s="12"/>
    </row>
    <row r="424" spans="1:75">
      <c r="I424" s="20"/>
      <c r="AI424" s="757"/>
      <c r="AJ424" s="195"/>
      <c r="AK424" s="186"/>
      <c r="AL424" s="747"/>
      <c r="AM424" s="747"/>
      <c r="AN424" s="747"/>
      <c r="AO424" s="186"/>
      <c r="AP424" s="186"/>
      <c r="AQ424" s="12"/>
      <c r="AR424" s="11"/>
      <c r="AS424" s="186"/>
      <c r="AT424" s="747"/>
      <c r="AU424" s="747"/>
      <c r="AV424" s="747"/>
      <c r="AW424" s="186"/>
      <c r="AX424" s="186"/>
      <c r="AY424" s="12"/>
      <c r="AZ424" s="11" t="s">
        <v>2032</v>
      </c>
      <c r="BA424" s="186" t="s">
        <v>523</v>
      </c>
      <c r="BB424" s="747" t="s">
        <v>1196</v>
      </c>
      <c r="BC424" s="747" t="s">
        <v>1181</v>
      </c>
      <c r="BD424" s="747" t="s">
        <v>248</v>
      </c>
      <c r="BE424" s="186">
        <v>1.2500000000000001E-2</v>
      </c>
      <c r="BF424" s="186">
        <v>2.5000000000000001E-4</v>
      </c>
      <c r="BG424" s="12">
        <v>2.58</v>
      </c>
      <c r="BH424" s="11"/>
      <c r="BI424" s="186"/>
      <c r="BJ424" s="747"/>
      <c r="BK424" s="747"/>
      <c r="BL424" s="747"/>
      <c r="BM424" s="186"/>
      <c r="BN424" s="186"/>
      <c r="BO424" s="12"/>
      <c r="BP424" s="11"/>
      <c r="BQ424" s="186"/>
      <c r="BR424" s="747"/>
      <c r="BS424" s="747"/>
      <c r="BT424" s="747"/>
      <c r="BU424" s="186"/>
      <c r="BV424" s="186"/>
      <c r="BW424" s="12"/>
    </row>
    <row r="425" spans="1:75">
      <c r="I425" s="20"/>
      <c r="AI425" s="757"/>
      <c r="AJ425" s="195"/>
      <c r="AK425" s="186"/>
      <c r="AL425" s="747"/>
      <c r="AM425" s="747"/>
      <c r="AN425" s="747"/>
      <c r="AO425" s="186"/>
      <c r="AP425" s="186"/>
      <c r="AQ425" s="12"/>
      <c r="AR425" s="11"/>
      <c r="AS425" s="186"/>
      <c r="AT425" s="747"/>
      <c r="AU425" s="747"/>
      <c r="AV425" s="747"/>
      <c r="AW425" s="186"/>
      <c r="AX425" s="186"/>
      <c r="AY425" s="12"/>
      <c r="AZ425" s="11" t="s">
        <v>2032</v>
      </c>
      <c r="BA425" s="186" t="s">
        <v>523</v>
      </c>
      <c r="BB425" s="747" t="s">
        <v>1197</v>
      </c>
      <c r="BC425" s="747" t="s">
        <v>1181</v>
      </c>
      <c r="BD425" s="747" t="s">
        <v>248</v>
      </c>
      <c r="BE425" s="186">
        <v>1.2500000000000001E-2</v>
      </c>
      <c r="BF425" s="186">
        <v>2.5000000000000001E-4</v>
      </c>
      <c r="BG425" s="12">
        <v>2.58</v>
      </c>
      <c r="BH425" s="11"/>
      <c r="BI425" s="186"/>
      <c r="BJ425" s="747"/>
      <c r="BK425" s="747"/>
      <c r="BL425" s="747"/>
      <c r="BM425" s="186"/>
      <c r="BN425" s="186"/>
      <c r="BO425" s="12"/>
      <c r="BP425" s="11"/>
      <c r="BQ425" s="186"/>
      <c r="BR425" s="747"/>
      <c r="BS425" s="747"/>
      <c r="BT425" s="747"/>
      <c r="BU425" s="186"/>
      <c r="BV425" s="186"/>
      <c r="BW425" s="12"/>
    </row>
    <row r="426" spans="1:75">
      <c r="I426" s="20"/>
      <c r="AI426" s="757"/>
      <c r="AJ426" s="195"/>
      <c r="AK426" s="186"/>
      <c r="AL426" s="747"/>
      <c r="AM426" s="747"/>
      <c r="AN426" s="747"/>
      <c r="AO426" s="186"/>
      <c r="AP426" s="186"/>
      <c r="AQ426" s="12"/>
      <c r="AR426" s="11"/>
      <c r="AS426" s="186"/>
      <c r="AT426" s="747"/>
      <c r="AU426" s="747"/>
      <c r="AV426" s="747"/>
      <c r="AW426" s="186"/>
      <c r="AX426" s="186"/>
      <c r="AY426" s="12"/>
      <c r="AZ426" s="11" t="s">
        <v>2032</v>
      </c>
      <c r="BA426" s="186" t="s">
        <v>523</v>
      </c>
      <c r="BB426" s="747" t="s">
        <v>1198</v>
      </c>
      <c r="BC426" s="747" t="s">
        <v>1181</v>
      </c>
      <c r="BD426" s="747" t="s">
        <v>248</v>
      </c>
      <c r="BE426" s="186">
        <v>1.2500000000000001E-2</v>
      </c>
      <c r="BF426" s="186">
        <v>2.5000000000000001E-4</v>
      </c>
      <c r="BG426" s="12">
        <v>2.58</v>
      </c>
      <c r="BH426" s="11"/>
      <c r="BI426" s="186"/>
      <c r="BJ426" s="747"/>
      <c r="BK426" s="747"/>
      <c r="BL426" s="747"/>
      <c r="BM426" s="186"/>
      <c r="BN426" s="186"/>
      <c r="BO426" s="12"/>
      <c r="BP426" s="11"/>
      <c r="BQ426" s="186"/>
      <c r="BR426" s="747"/>
      <c r="BS426" s="747"/>
      <c r="BT426" s="747"/>
      <c r="BU426" s="186"/>
      <c r="BV426" s="186"/>
      <c r="BW426" s="12"/>
    </row>
    <row r="427" spans="1:75">
      <c r="I427" s="20"/>
      <c r="AI427" s="757"/>
      <c r="AJ427" s="195"/>
      <c r="AK427" s="186"/>
      <c r="AL427" s="747"/>
      <c r="AM427" s="747"/>
      <c r="AN427" s="747"/>
      <c r="AO427" s="186"/>
      <c r="AP427" s="186"/>
      <c r="AQ427" s="12"/>
      <c r="AR427" s="11"/>
      <c r="AS427" s="186"/>
      <c r="AT427" s="747"/>
      <c r="AU427" s="747"/>
      <c r="AV427" s="747"/>
      <c r="AW427" s="186"/>
      <c r="AX427" s="186"/>
      <c r="AY427" s="12"/>
      <c r="AZ427" s="11" t="s">
        <v>2032</v>
      </c>
      <c r="BA427" s="186" t="s">
        <v>523</v>
      </c>
      <c r="BB427" s="747" t="s">
        <v>1199</v>
      </c>
      <c r="BC427" s="747" t="s">
        <v>1181</v>
      </c>
      <c r="BD427" s="747" t="s">
        <v>248</v>
      </c>
      <c r="BE427" s="186">
        <v>1.2500000000000001E-2</v>
      </c>
      <c r="BF427" s="186">
        <v>2.5000000000000001E-4</v>
      </c>
      <c r="BG427" s="12">
        <v>2.58</v>
      </c>
      <c r="BH427" s="11"/>
      <c r="BI427" s="186"/>
      <c r="BJ427" s="747"/>
      <c r="BK427" s="747"/>
      <c r="BL427" s="747"/>
      <c r="BM427" s="186"/>
      <c r="BN427" s="186"/>
      <c r="BO427" s="12"/>
      <c r="BP427" s="11"/>
      <c r="BQ427" s="186"/>
      <c r="BR427" s="747"/>
      <c r="BS427" s="747"/>
      <c r="BT427" s="747"/>
      <c r="BU427" s="186"/>
      <c r="BV427" s="186"/>
      <c r="BW427" s="12"/>
    </row>
    <row r="428" spans="1:75">
      <c r="I428" s="20"/>
      <c r="AI428" s="757"/>
      <c r="AJ428" s="195"/>
      <c r="AK428" s="186"/>
      <c r="AL428" s="747"/>
      <c r="AM428" s="747"/>
      <c r="AN428" s="747"/>
      <c r="AO428" s="186"/>
      <c r="AP428" s="186"/>
      <c r="AQ428" s="12"/>
      <c r="AR428" s="11"/>
      <c r="AS428" s="186"/>
      <c r="AT428" s="747"/>
      <c r="AU428" s="747"/>
      <c r="AV428" s="747"/>
      <c r="AW428" s="186"/>
      <c r="AX428" s="186"/>
      <c r="AY428" s="12"/>
      <c r="AZ428" s="11" t="s">
        <v>2032</v>
      </c>
      <c r="BA428" s="186" t="s">
        <v>591</v>
      </c>
      <c r="BB428" s="747" t="s">
        <v>1200</v>
      </c>
      <c r="BC428" s="747" t="s">
        <v>1730</v>
      </c>
      <c r="BD428" s="747" t="s">
        <v>248</v>
      </c>
      <c r="BE428" s="186">
        <v>0.05</v>
      </c>
      <c r="BF428" s="186">
        <v>1E-3</v>
      </c>
      <c r="BG428" s="12">
        <v>2.58</v>
      </c>
      <c r="BH428" s="11"/>
      <c r="BI428" s="186"/>
      <c r="BJ428" s="747"/>
      <c r="BK428" s="747"/>
      <c r="BL428" s="747"/>
      <c r="BM428" s="186"/>
      <c r="BN428" s="186"/>
      <c r="BO428" s="12"/>
      <c r="BP428" s="11"/>
      <c r="BQ428" s="186"/>
      <c r="BR428" s="747"/>
      <c r="BS428" s="747"/>
      <c r="BT428" s="747"/>
      <c r="BU428" s="186"/>
      <c r="BV428" s="186"/>
      <c r="BW428" s="12"/>
    </row>
    <row r="429" spans="1:75">
      <c r="I429" s="20"/>
      <c r="AI429" s="757"/>
      <c r="AJ429" s="195"/>
      <c r="AK429" s="186"/>
      <c r="AL429" s="747"/>
      <c r="AM429" s="747"/>
      <c r="AN429" s="747"/>
      <c r="AO429" s="186"/>
      <c r="AP429" s="186"/>
      <c r="AQ429" s="12"/>
      <c r="AR429" s="11"/>
      <c r="AS429" s="186"/>
      <c r="AT429" s="747"/>
      <c r="AU429" s="747"/>
      <c r="AV429" s="747"/>
      <c r="AW429" s="186"/>
      <c r="AX429" s="186"/>
      <c r="AY429" s="12"/>
      <c r="AZ429" s="11" t="s">
        <v>2032</v>
      </c>
      <c r="BA429" s="186" t="s">
        <v>591</v>
      </c>
      <c r="BB429" s="747" t="s">
        <v>1201</v>
      </c>
      <c r="BC429" s="747" t="s">
        <v>1730</v>
      </c>
      <c r="BD429" s="747" t="s">
        <v>248</v>
      </c>
      <c r="BE429" s="186">
        <v>0.05</v>
      </c>
      <c r="BF429" s="186">
        <v>1E-3</v>
      </c>
      <c r="BG429" s="12">
        <v>2.58</v>
      </c>
      <c r="BH429" s="11"/>
      <c r="BI429" s="186"/>
      <c r="BJ429" s="747"/>
      <c r="BK429" s="747"/>
      <c r="BL429" s="747"/>
      <c r="BM429" s="186"/>
      <c r="BN429" s="186"/>
      <c r="BO429" s="12"/>
      <c r="BP429" s="11"/>
      <c r="BQ429" s="186"/>
      <c r="BR429" s="747"/>
      <c r="BS429" s="747"/>
      <c r="BT429" s="747"/>
      <c r="BU429" s="186"/>
      <c r="BV429" s="186"/>
      <c r="BW429" s="12"/>
    </row>
    <row r="430" spans="1:75">
      <c r="I430" s="20"/>
      <c r="AI430" s="757"/>
      <c r="AJ430" s="195"/>
      <c r="AK430" s="186"/>
      <c r="AL430" s="747"/>
      <c r="AM430" s="747"/>
      <c r="AN430" s="747"/>
      <c r="AO430" s="186"/>
      <c r="AP430" s="186"/>
      <c r="AQ430" s="12"/>
      <c r="AR430" s="11"/>
      <c r="AS430" s="186"/>
      <c r="AT430" s="747"/>
      <c r="AU430" s="747"/>
      <c r="AV430" s="747"/>
      <c r="AW430" s="186"/>
      <c r="AX430" s="186"/>
      <c r="AY430" s="12"/>
      <c r="AZ430" s="11" t="s">
        <v>2032</v>
      </c>
      <c r="BA430" s="186" t="s">
        <v>591</v>
      </c>
      <c r="BB430" s="747" t="s">
        <v>1202</v>
      </c>
      <c r="BC430" s="747" t="s">
        <v>1730</v>
      </c>
      <c r="BD430" s="747" t="s">
        <v>248</v>
      </c>
      <c r="BE430" s="186">
        <v>2.5000000000000001E-2</v>
      </c>
      <c r="BF430" s="186">
        <v>5.0000000000000001E-4</v>
      </c>
      <c r="BG430" s="12">
        <v>2.58</v>
      </c>
      <c r="BH430" s="11"/>
      <c r="BI430" s="186"/>
      <c r="BJ430" s="747"/>
      <c r="BK430" s="747"/>
      <c r="BL430" s="747"/>
      <c r="BM430" s="186"/>
      <c r="BN430" s="186"/>
      <c r="BO430" s="12"/>
      <c r="BP430" s="11"/>
      <c r="BQ430" s="186"/>
      <c r="BR430" s="747"/>
      <c r="BS430" s="747"/>
      <c r="BT430" s="747"/>
      <c r="BU430" s="186"/>
      <c r="BV430" s="186"/>
      <c r="BW430" s="12"/>
    </row>
    <row r="431" spans="1:75">
      <c r="I431" s="20"/>
      <c r="AI431" s="757"/>
      <c r="AJ431" s="195"/>
      <c r="AK431" s="186"/>
      <c r="AL431" s="747"/>
      <c r="AM431" s="747"/>
      <c r="AN431" s="747"/>
      <c r="AO431" s="186"/>
      <c r="AP431" s="186"/>
      <c r="AQ431" s="12"/>
      <c r="AR431" s="11"/>
      <c r="AS431" s="186"/>
      <c r="AT431" s="747"/>
      <c r="AU431" s="747"/>
      <c r="AV431" s="747"/>
      <c r="AW431" s="186"/>
      <c r="AX431" s="186"/>
      <c r="AY431" s="12"/>
      <c r="AZ431" s="11" t="s">
        <v>2032</v>
      </c>
      <c r="BA431" s="186" t="s">
        <v>591</v>
      </c>
      <c r="BB431" s="747" t="s">
        <v>1203</v>
      </c>
      <c r="BC431" s="747" t="s">
        <v>1730</v>
      </c>
      <c r="BD431" s="747" t="s">
        <v>248</v>
      </c>
      <c r="BE431" s="186">
        <v>2.5000000000000001E-2</v>
      </c>
      <c r="BF431" s="186">
        <v>5.0000000000000001E-4</v>
      </c>
      <c r="BG431" s="12">
        <v>2.58</v>
      </c>
      <c r="BH431" s="11"/>
      <c r="BI431" s="186"/>
      <c r="BJ431" s="747"/>
      <c r="BK431" s="747"/>
      <c r="BL431" s="747"/>
      <c r="BM431" s="186"/>
      <c r="BN431" s="186"/>
      <c r="BO431" s="12"/>
      <c r="BP431" s="11"/>
      <c r="BQ431" s="186"/>
      <c r="BR431" s="747"/>
      <c r="BS431" s="747"/>
      <c r="BT431" s="747"/>
      <c r="BU431" s="186"/>
      <c r="BV431" s="186"/>
      <c r="BW431" s="12"/>
    </row>
    <row r="432" spans="1:75">
      <c r="I432" s="20"/>
      <c r="AI432" s="757"/>
      <c r="AJ432" s="195"/>
      <c r="AK432" s="186"/>
      <c r="AL432" s="747"/>
      <c r="AM432" s="747"/>
      <c r="AN432" s="747"/>
      <c r="AO432" s="186"/>
      <c r="AP432" s="186"/>
      <c r="AQ432" s="12"/>
      <c r="AR432" s="11"/>
      <c r="AS432" s="186"/>
      <c r="AT432" s="747"/>
      <c r="AU432" s="747"/>
      <c r="AV432" s="747"/>
      <c r="AW432" s="186"/>
      <c r="AX432" s="186"/>
      <c r="AY432" s="12"/>
      <c r="AZ432" s="11" t="s">
        <v>2032</v>
      </c>
      <c r="BA432" s="186" t="s">
        <v>523</v>
      </c>
      <c r="BB432" s="747" t="s">
        <v>1204</v>
      </c>
      <c r="BC432" s="693" t="s">
        <v>1730</v>
      </c>
      <c r="BD432" s="747" t="s">
        <v>248</v>
      </c>
      <c r="BE432" s="186">
        <v>4.4999999999999998E-2</v>
      </c>
      <c r="BF432" s="186">
        <v>9.0000000000000008E-4</v>
      </c>
      <c r="BG432" s="12">
        <v>2.58</v>
      </c>
      <c r="BH432" s="11"/>
      <c r="BI432" s="186"/>
      <c r="BJ432" s="747"/>
      <c r="BK432" s="747"/>
      <c r="BL432" s="747"/>
      <c r="BM432" s="186"/>
      <c r="BN432" s="186"/>
      <c r="BO432" s="12"/>
      <c r="BP432" s="11"/>
      <c r="BQ432" s="186"/>
      <c r="BR432" s="747"/>
      <c r="BS432" s="747"/>
      <c r="BT432" s="747"/>
      <c r="BU432" s="186"/>
      <c r="BV432" s="186"/>
      <c r="BW432" s="12"/>
    </row>
    <row r="433" spans="9:75">
      <c r="I433" s="20"/>
      <c r="AI433" s="757"/>
      <c r="AJ433" s="195"/>
      <c r="AK433" s="186"/>
      <c r="AL433" s="747"/>
      <c r="AM433" s="747"/>
      <c r="AN433" s="747"/>
      <c r="AO433" s="186"/>
      <c r="AP433" s="186"/>
      <c r="AQ433" s="12"/>
      <c r="AR433" s="11"/>
      <c r="AS433" s="186"/>
      <c r="AT433" s="747"/>
      <c r="AU433" s="747"/>
      <c r="AV433" s="747"/>
      <c r="AW433" s="186"/>
      <c r="AX433" s="186"/>
      <c r="AY433" s="12"/>
      <c r="AZ433" s="11" t="s">
        <v>2032</v>
      </c>
      <c r="BA433" s="186" t="s">
        <v>523</v>
      </c>
      <c r="BB433" s="747" t="s">
        <v>1205</v>
      </c>
      <c r="BC433" s="693" t="s">
        <v>1730</v>
      </c>
      <c r="BD433" s="747" t="s">
        <v>248</v>
      </c>
      <c r="BE433" s="186">
        <v>4.4999999999999998E-2</v>
      </c>
      <c r="BF433" s="186">
        <v>9.0000000000000008E-4</v>
      </c>
      <c r="BG433" s="12">
        <v>2.58</v>
      </c>
      <c r="BH433" s="11"/>
      <c r="BI433" s="186"/>
      <c r="BJ433" s="747"/>
      <c r="BK433" s="747"/>
      <c r="BL433" s="747"/>
      <c r="BM433" s="186"/>
      <c r="BN433" s="186"/>
      <c r="BO433" s="12"/>
      <c r="BP433" s="11"/>
      <c r="BQ433" s="186"/>
      <c r="BR433" s="747"/>
      <c r="BS433" s="747"/>
      <c r="BT433" s="747"/>
      <c r="BU433" s="186"/>
      <c r="BV433" s="186"/>
      <c r="BW433" s="12"/>
    </row>
    <row r="434" spans="9:75">
      <c r="I434" s="20"/>
      <c r="AI434" s="757"/>
      <c r="AJ434" s="195"/>
      <c r="AK434" s="186"/>
      <c r="AL434" s="747"/>
      <c r="AM434" s="747"/>
      <c r="AN434" s="747"/>
      <c r="AO434" s="186"/>
      <c r="AP434" s="186"/>
      <c r="AQ434" s="12"/>
      <c r="AR434" s="11"/>
      <c r="AS434" s="186"/>
      <c r="AT434" s="747"/>
      <c r="AU434" s="747"/>
      <c r="AV434" s="747"/>
      <c r="AW434" s="186"/>
      <c r="AX434" s="186"/>
      <c r="AY434" s="12"/>
      <c r="AZ434" s="11" t="s">
        <v>2032</v>
      </c>
      <c r="BA434" s="186" t="s">
        <v>523</v>
      </c>
      <c r="BB434" s="747" t="s">
        <v>1206</v>
      </c>
      <c r="BC434" s="693" t="s">
        <v>1730</v>
      </c>
      <c r="BD434" s="747" t="s">
        <v>248</v>
      </c>
      <c r="BE434" s="186">
        <v>4.4999999999999998E-2</v>
      </c>
      <c r="BF434" s="186">
        <v>9.0000000000000008E-4</v>
      </c>
      <c r="BG434" s="12">
        <v>2.58</v>
      </c>
      <c r="BH434" s="11"/>
      <c r="BI434" s="186"/>
      <c r="BJ434" s="747"/>
      <c r="BK434" s="747"/>
      <c r="BL434" s="747"/>
      <c r="BM434" s="186"/>
      <c r="BN434" s="186"/>
      <c r="BO434" s="12"/>
      <c r="BP434" s="11"/>
      <c r="BQ434" s="186"/>
      <c r="BR434" s="747"/>
      <c r="BS434" s="747"/>
      <c r="BT434" s="747"/>
      <c r="BU434" s="186"/>
      <c r="BV434" s="186"/>
      <c r="BW434" s="12"/>
    </row>
    <row r="435" spans="9:75">
      <c r="I435" s="20"/>
      <c r="AI435" s="757"/>
      <c r="AJ435" s="195"/>
      <c r="AK435" s="186"/>
      <c r="AL435" s="747"/>
      <c r="AM435" s="747"/>
      <c r="AN435" s="747"/>
      <c r="AO435" s="186"/>
      <c r="AP435" s="186"/>
      <c r="AQ435" s="12"/>
      <c r="AR435" s="11"/>
      <c r="AS435" s="186"/>
      <c r="AT435" s="747"/>
      <c r="AU435" s="747"/>
      <c r="AV435" s="747"/>
      <c r="AW435" s="186"/>
      <c r="AX435" s="186"/>
      <c r="AY435" s="12"/>
      <c r="AZ435" s="11" t="s">
        <v>2032</v>
      </c>
      <c r="BA435" s="186" t="s">
        <v>523</v>
      </c>
      <c r="BB435" s="747" t="s">
        <v>1207</v>
      </c>
      <c r="BC435" s="693" t="s">
        <v>1730</v>
      </c>
      <c r="BD435" s="747" t="s">
        <v>248</v>
      </c>
      <c r="BE435" s="186">
        <v>4.4999999999999998E-2</v>
      </c>
      <c r="BF435" s="186">
        <v>9.0000000000000008E-4</v>
      </c>
      <c r="BG435" s="12">
        <v>2.58</v>
      </c>
      <c r="BH435" s="11"/>
      <c r="BI435" s="186"/>
      <c r="BJ435" s="747"/>
      <c r="BK435" s="747"/>
      <c r="BL435" s="747"/>
      <c r="BM435" s="186"/>
      <c r="BN435" s="186"/>
      <c r="BO435" s="12"/>
      <c r="BP435" s="11"/>
      <c r="BQ435" s="186"/>
      <c r="BR435" s="747"/>
      <c r="BS435" s="747"/>
      <c r="BT435" s="747"/>
      <c r="BU435" s="186"/>
      <c r="BV435" s="186"/>
      <c r="BW435" s="12"/>
    </row>
    <row r="436" spans="9:75">
      <c r="I436" s="20"/>
      <c r="AI436" s="757"/>
      <c r="AJ436" s="195"/>
      <c r="AK436" s="186"/>
      <c r="AL436" s="747"/>
      <c r="AM436" s="747"/>
      <c r="AN436" s="747"/>
      <c r="AO436" s="186"/>
      <c r="AP436" s="186"/>
      <c r="AQ436" s="12"/>
      <c r="AR436" s="11"/>
      <c r="AS436" s="186"/>
      <c r="AT436" s="747"/>
      <c r="AU436" s="747"/>
      <c r="AV436" s="747"/>
      <c r="AW436" s="186"/>
      <c r="AX436" s="186"/>
      <c r="AY436" s="12"/>
      <c r="AZ436" s="11" t="s">
        <v>2032</v>
      </c>
      <c r="BA436" s="186" t="s">
        <v>523</v>
      </c>
      <c r="BB436" s="747" t="s">
        <v>1208</v>
      </c>
      <c r="BC436" s="693" t="s">
        <v>1730</v>
      </c>
      <c r="BD436" s="747" t="s">
        <v>248</v>
      </c>
      <c r="BE436" s="186">
        <v>4.4999999999999998E-2</v>
      </c>
      <c r="BF436" s="186">
        <v>9.0000000000000008E-4</v>
      </c>
      <c r="BG436" s="12">
        <v>2.58</v>
      </c>
      <c r="BH436" s="11"/>
      <c r="BI436" s="186"/>
      <c r="BJ436" s="747"/>
      <c r="BK436" s="747"/>
      <c r="BL436" s="747"/>
      <c r="BM436" s="186"/>
      <c r="BN436" s="186"/>
      <c r="BO436" s="12"/>
      <c r="BP436" s="11"/>
      <c r="BQ436" s="186"/>
      <c r="BR436" s="747"/>
      <c r="BS436" s="747"/>
      <c r="BT436" s="747"/>
      <c r="BU436" s="186"/>
      <c r="BV436" s="186"/>
      <c r="BW436" s="12"/>
    </row>
    <row r="437" spans="9:75">
      <c r="I437" s="20"/>
      <c r="AI437" s="757"/>
      <c r="AJ437" s="195"/>
      <c r="AK437" s="186"/>
      <c r="AL437" s="747"/>
      <c r="AM437" s="747"/>
      <c r="AN437" s="747"/>
      <c r="AO437" s="186"/>
      <c r="AP437" s="186"/>
      <c r="AQ437" s="12"/>
      <c r="AR437" s="11"/>
      <c r="AS437" s="186"/>
      <c r="AT437" s="747"/>
      <c r="AU437" s="747"/>
      <c r="AV437" s="747"/>
      <c r="AW437" s="186"/>
      <c r="AX437" s="186"/>
      <c r="AY437" s="12"/>
      <c r="AZ437" s="11" t="s">
        <v>2032</v>
      </c>
      <c r="BA437" s="186" t="s">
        <v>523</v>
      </c>
      <c r="BB437" s="747" t="s">
        <v>1209</v>
      </c>
      <c r="BC437" s="693" t="s">
        <v>1730</v>
      </c>
      <c r="BD437" s="747" t="s">
        <v>248</v>
      </c>
      <c r="BE437" s="186">
        <v>4.4999999999999998E-2</v>
      </c>
      <c r="BF437" s="186">
        <v>9.0000000000000008E-4</v>
      </c>
      <c r="BG437" s="12">
        <v>2.58</v>
      </c>
      <c r="BH437" s="11"/>
      <c r="BI437" s="186"/>
      <c r="BJ437" s="747"/>
      <c r="BK437" s="747"/>
      <c r="BL437" s="747"/>
      <c r="BM437" s="186"/>
      <c r="BN437" s="186"/>
      <c r="BO437" s="12"/>
      <c r="BP437" s="11"/>
      <c r="BQ437" s="186"/>
      <c r="BR437" s="747"/>
      <c r="BS437" s="747"/>
      <c r="BT437" s="747"/>
      <c r="BU437" s="186"/>
      <c r="BV437" s="186"/>
      <c r="BW437" s="12"/>
    </row>
    <row r="438" spans="9:75">
      <c r="I438" s="20"/>
      <c r="AI438" s="757"/>
      <c r="AJ438" s="195"/>
      <c r="AK438" s="186"/>
      <c r="AL438" s="747"/>
      <c r="AM438" s="747"/>
      <c r="AN438" s="747"/>
      <c r="AO438" s="186"/>
      <c r="AP438" s="186"/>
      <c r="AQ438" s="12"/>
      <c r="AR438" s="11"/>
      <c r="AS438" s="186"/>
      <c r="AT438" s="747"/>
      <c r="AU438" s="747"/>
      <c r="AV438" s="747"/>
      <c r="AW438" s="186"/>
      <c r="AX438" s="186"/>
      <c r="AY438" s="12"/>
      <c r="AZ438" s="11" t="s">
        <v>2032</v>
      </c>
      <c r="BA438" s="186" t="s">
        <v>523</v>
      </c>
      <c r="BB438" s="747" t="s">
        <v>1210</v>
      </c>
      <c r="BC438" s="693" t="s">
        <v>1730</v>
      </c>
      <c r="BD438" s="747" t="s">
        <v>248</v>
      </c>
      <c r="BE438" s="186">
        <v>4.4999999999999998E-2</v>
      </c>
      <c r="BF438" s="186">
        <v>9.0000000000000008E-4</v>
      </c>
      <c r="BG438" s="12">
        <v>2.58</v>
      </c>
      <c r="BH438" s="11"/>
      <c r="BI438" s="186"/>
      <c r="BJ438" s="747"/>
      <c r="BK438" s="747"/>
      <c r="BL438" s="747"/>
      <c r="BM438" s="186"/>
      <c r="BN438" s="186"/>
      <c r="BO438" s="12"/>
      <c r="BP438" s="11"/>
      <c r="BQ438" s="186"/>
      <c r="BR438" s="747"/>
      <c r="BS438" s="747"/>
      <c r="BT438" s="747"/>
      <c r="BU438" s="186"/>
      <c r="BV438" s="186"/>
      <c r="BW438" s="12"/>
    </row>
    <row r="439" spans="9:75">
      <c r="I439" s="20"/>
      <c r="AI439" s="757"/>
      <c r="AJ439" s="195"/>
      <c r="AK439" s="186"/>
      <c r="AL439" s="747"/>
      <c r="AM439" s="747"/>
      <c r="AN439" s="747"/>
      <c r="AO439" s="186"/>
      <c r="AP439" s="186"/>
      <c r="AQ439" s="12"/>
      <c r="AR439" s="11"/>
      <c r="AS439" s="186"/>
      <c r="AT439" s="747"/>
      <c r="AU439" s="747"/>
      <c r="AV439" s="747"/>
      <c r="AW439" s="186"/>
      <c r="AX439" s="186"/>
      <c r="AY439" s="12"/>
      <c r="AZ439" s="11" t="s">
        <v>2032</v>
      </c>
      <c r="BA439" s="186" t="s">
        <v>523</v>
      </c>
      <c r="BB439" s="747" t="s">
        <v>1211</v>
      </c>
      <c r="BC439" s="693" t="s">
        <v>1730</v>
      </c>
      <c r="BD439" s="747" t="s">
        <v>248</v>
      </c>
      <c r="BE439" s="186">
        <v>4.4999999999999998E-2</v>
      </c>
      <c r="BF439" s="186">
        <v>9.0000000000000008E-4</v>
      </c>
      <c r="BG439" s="12">
        <v>2.58</v>
      </c>
      <c r="BH439" s="11"/>
      <c r="BI439" s="186"/>
      <c r="BJ439" s="747"/>
      <c r="BK439" s="747"/>
      <c r="BL439" s="747"/>
      <c r="BM439" s="186"/>
      <c r="BN439" s="186"/>
      <c r="BO439" s="12"/>
      <c r="BP439" s="11"/>
      <c r="BQ439" s="186"/>
      <c r="BR439" s="747"/>
      <c r="BS439" s="747"/>
      <c r="BT439" s="747"/>
      <c r="BU439" s="186"/>
      <c r="BV439" s="186"/>
      <c r="BW439" s="12"/>
    </row>
    <row r="440" spans="9:75">
      <c r="I440" s="20"/>
      <c r="AI440" s="757"/>
      <c r="AJ440" s="195"/>
      <c r="AK440" s="186"/>
      <c r="AL440" s="747"/>
      <c r="AM440" s="747"/>
      <c r="AN440" s="747"/>
      <c r="AO440" s="186"/>
      <c r="AP440" s="186"/>
      <c r="AQ440" s="12"/>
      <c r="AR440" s="11"/>
      <c r="AS440" s="186"/>
      <c r="AT440" s="747"/>
      <c r="AU440" s="747"/>
      <c r="AV440" s="747"/>
      <c r="AW440" s="186"/>
      <c r="AX440" s="186"/>
      <c r="AY440" s="12"/>
      <c r="AZ440" s="11" t="s">
        <v>2032</v>
      </c>
      <c r="BA440" s="186" t="s">
        <v>591</v>
      </c>
      <c r="BB440" s="747" t="s">
        <v>1212</v>
      </c>
      <c r="BC440" s="693" t="s">
        <v>1730</v>
      </c>
      <c r="BD440" s="747" t="s">
        <v>248</v>
      </c>
      <c r="BE440" s="186">
        <v>4.4999999999999998E-2</v>
      </c>
      <c r="BF440" s="186">
        <v>9.0000000000000008E-4</v>
      </c>
      <c r="BG440" s="12">
        <v>2.58</v>
      </c>
      <c r="BH440" s="11"/>
      <c r="BI440" s="186"/>
      <c r="BJ440" s="747"/>
      <c r="BK440" s="747"/>
      <c r="BL440" s="747"/>
      <c r="BM440" s="186"/>
      <c r="BN440" s="186"/>
      <c r="BO440" s="12"/>
      <c r="BP440" s="11"/>
      <c r="BQ440" s="186"/>
      <c r="BR440" s="747"/>
      <c r="BS440" s="747"/>
      <c r="BT440" s="747"/>
      <c r="BU440" s="186"/>
      <c r="BV440" s="186"/>
      <c r="BW440" s="12"/>
    </row>
    <row r="441" spans="9:75">
      <c r="I441" s="20"/>
      <c r="AI441" s="757"/>
      <c r="AJ441" s="195"/>
      <c r="AK441" s="186"/>
      <c r="AL441" s="747"/>
      <c r="AM441" s="747"/>
      <c r="AN441" s="747"/>
      <c r="AO441" s="186"/>
      <c r="AP441" s="186"/>
      <c r="AQ441" s="12"/>
      <c r="AR441" s="11"/>
      <c r="AS441" s="186"/>
      <c r="AT441" s="747"/>
      <c r="AU441" s="747"/>
      <c r="AV441" s="747"/>
      <c r="AW441" s="186"/>
      <c r="AX441" s="186"/>
      <c r="AY441" s="12"/>
      <c r="AZ441" s="11" t="s">
        <v>2032</v>
      </c>
      <c r="BA441" s="186" t="s">
        <v>591</v>
      </c>
      <c r="BB441" s="747" t="s">
        <v>1213</v>
      </c>
      <c r="BC441" s="693" t="s">
        <v>1730</v>
      </c>
      <c r="BD441" s="747" t="s">
        <v>248</v>
      </c>
      <c r="BE441" s="186">
        <v>4.4999999999999998E-2</v>
      </c>
      <c r="BF441" s="186">
        <v>9.0000000000000008E-4</v>
      </c>
      <c r="BG441" s="12">
        <v>2.58</v>
      </c>
      <c r="BH441" s="11"/>
      <c r="BI441" s="186"/>
      <c r="BJ441" s="747"/>
      <c r="BK441" s="747"/>
      <c r="BL441" s="747"/>
      <c r="BM441" s="186"/>
      <c r="BN441" s="186"/>
      <c r="BO441" s="12"/>
      <c r="BP441" s="11"/>
      <c r="BQ441" s="186"/>
      <c r="BR441" s="747"/>
      <c r="BS441" s="747"/>
      <c r="BT441" s="747"/>
      <c r="BU441" s="186"/>
      <c r="BV441" s="186"/>
      <c r="BW441" s="12"/>
    </row>
    <row r="442" spans="9:75">
      <c r="I442" s="20"/>
      <c r="AI442" s="757"/>
      <c r="AJ442" s="195"/>
      <c r="AK442" s="186"/>
      <c r="AL442" s="747"/>
      <c r="AM442" s="747"/>
      <c r="AN442" s="747"/>
      <c r="AO442" s="186"/>
      <c r="AP442" s="186"/>
      <c r="AQ442" s="12"/>
      <c r="AR442" s="11"/>
      <c r="AS442" s="186"/>
      <c r="AT442" s="747"/>
      <c r="AU442" s="747"/>
      <c r="AV442" s="747"/>
      <c r="AW442" s="186"/>
      <c r="AX442" s="186"/>
      <c r="AY442" s="12"/>
      <c r="AZ442" s="11" t="s">
        <v>2032</v>
      </c>
      <c r="BA442" s="186" t="s">
        <v>591</v>
      </c>
      <c r="BB442" s="747" t="s">
        <v>1214</v>
      </c>
      <c r="BC442" s="693" t="s">
        <v>1730</v>
      </c>
      <c r="BD442" s="747" t="s">
        <v>248</v>
      </c>
      <c r="BE442" s="186">
        <v>4.4999999999999998E-2</v>
      </c>
      <c r="BF442" s="186">
        <v>9.0000000000000008E-4</v>
      </c>
      <c r="BG442" s="12">
        <v>2.58</v>
      </c>
      <c r="BH442" s="11"/>
      <c r="BI442" s="186"/>
      <c r="BJ442" s="747"/>
      <c r="BK442" s="747"/>
      <c r="BL442" s="747"/>
      <c r="BM442" s="186"/>
      <c r="BN442" s="186"/>
      <c r="BO442" s="12"/>
      <c r="BP442" s="11"/>
      <c r="BQ442" s="186"/>
      <c r="BR442" s="747"/>
      <c r="BS442" s="747"/>
      <c r="BT442" s="747"/>
      <c r="BU442" s="186"/>
      <c r="BV442" s="186"/>
      <c r="BW442" s="12"/>
    </row>
    <row r="443" spans="9:75">
      <c r="I443" s="20"/>
      <c r="AI443" s="757"/>
      <c r="AJ443" s="195"/>
      <c r="AK443" s="186"/>
      <c r="AL443" s="747"/>
      <c r="AM443" s="747"/>
      <c r="AN443" s="747"/>
      <c r="AO443" s="186"/>
      <c r="AP443" s="186"/>
      <c r="AQ443" s="12"/>
      <c r="AR443" s="11"/>
      <c r="AS443" s="186"/>
      <c r="AT443" s="747"/>
      <c r="AU443" s="747"/>
      <c r="AV443" s="747"/>
      <c r="AW443" s="186"/>
      <c r="AX443" s="186"/>
      <c r="AY443" s="12"/>
      <c r="AZ443" s="11" t="s">
        <v>2032</v>
      </c>
      <c r="BA443" s="186" t="s">
        <v>591</v>
      </c>
      <c r="BB443" s="747" t="s">
        <v>1215</v>
      </c>
      <c r="BC443" s="693" t="s">
        <v>1730</v>
      </c>
      <c r="BD443" s="747" t="s">
        <v>248</v>
      </c>
      <c r="BE443" s="186">
        <v>4.4999999999999998E-2</v>
      </c>
      <c r="BF443" s="186">
        <v>9.0000000000000008E-4</v>
      </c>
      <c r="BG443" s="12">
        <v>2.58</v>
      </c>
      <c r="BH443" s="11"/>
      <c r="BI443" s="186"/>
      <c r="BJ443" s="747"/>
      <c r="BK443" s="747"/>
      <c r="BL443" s="747"/>
      <c r="BM443" s="186"/>
      <c r="BN443" s="186"/>
      <c r="BO443" s="12"/>
      <c r="BP443" s="11"/>
      <c r="BQ443" s="186"/>
      <c r="BR443" s="747"/>
      <c r="BS443" s="747"/>
      <c r="BT443" s="747"/>
      <c r="BU443" s="186"/>
      <c r="BV443" s="186"/>
      <c r="BW443" s="12"/>
    </row>
    <row r="444" spans="9:75">
      <c r="I444" s="20"/>
      <c r="AI444" s="757"/>
      <c r="AJ444" s="195"/>
      <c r="AK444" s="186"/>
      <c r="AL444" s="747"/>
      <c r="AM444" s="747"/>
      <c r="AN444" s="747"/>
      <c r="AO444" s="186"/>
      <c r="AP444" s="186"/>
      <c r="AQ444" s="12"/>
      <c r="AR444" s="11"/>
      <c r="AS444" s="186"/>
      <c r="AT444" s="747"/>
      <c r="AU444" s="747"/>
      <c r="AV444" s="747"/>
      <c r="AW444" s="186"/>
      <c r="AX444" s="186"/>
      <c r="AY444" s="12"/>
      <c r="AZ444" s="11" t="s">
        <v>2032</v>
      </c>
      <c r="BA444" s="186" t="s">
        <v>591</v>
      </c>
      <c r="BB444" s="747" t="s">
        <v>1216</v>
      </c>
      <c r="BC444" s="693" t="s">
        <v>1730</v>
      </c>
      <c r="BD444" s="747" t="s">
        <v>248</v>
      </c>
      <c r="BE444" s="186">
        <v>4.4999999999999998E-2</v>
      </c>
      <c r="BF444" s="186">
        <v>9.0000000000000008E-4</v>
      </c>
      <c r="BG444" s="12">
        <v>2.58</v>
      </c>
      <c r="BH444" s="11"/>
      <c r="BI444" s="186"/>
      <c r="BJ444" s="747"/>
      <c r="BK444" s="747"/>
      <c r="BL444" s="747"/>
      <c r="BM444" s="186"/>
      <c r="BN444" s="186"/>
      <c r="BO444" s="12"/>
      <c r="BP444" s="11"/>
      <c r="BQ444" s="186"/>
      <c r="BR444" s="747"/>
      <c r="BS444" s="747"/>
      <c r="BT444" s="747"/>
      <c r="BU444" s="186"/>
      <c r="BV444" s="186"/>
      <c r="BW444" s="12"/>
    </row>
    <row r="445" spans="9:75">
      <c r="I445" s="20"/>
      <c r="AI445" s="757"/>
      <c r="AJ445" s="195"/>
      <c r="AK445" s="186"/>
      <c r="AL445" s="747"/>
      <c r="AM445" s="747"/>
      <c r="AN445" s="747"/>
      <c r="AO445" s="186"/>
      <c r="AP445" s="186"/>
      <c r="AQ445" s="12"/>
      <c r="AR445" s="11"/>
      <c r="AS445" s="186"/>
      <c r="AT445" s="747"/>
      <c r="AU445" s="747"/>
      <c r="AV445" s="747"/>
      <c r="AW445" s="186"/>
      <c r="AX445" s="186"/>
      <c r="AY445" s="12"/>
      <c r="AZ445" s="11" t="s">
        <v>2032</v>
      </c>
      <c r="BA445" s="186" t="s">
        <v>591</v>
      </c>
      <c r="BB445" s="747" t="s">
        <v>1217</v>
      </c>
      <c r="BC445" s="693" t="s">
        <v>1730</v>
      </c>
      <c r="BD445" s="747" t="s">
        <v>248</v>
      </c>
      <c r="BE445" s="186">
        <v>4.4999999999999998E-2</v>
      </c>
      <c r="BF445" s="186">
        <v>9.0000000000000008E-4</v>
      </c>
      <c r="BG445" s="12">
        <v>2.58</v>
      </c>
      <c r="BH445" s="11"/>
      <c r="BI445" s="186"/>
      <c r="BJ445" s="747"/>
      <c r="BK445" s="747"/>
      <c r="BL445" s="747"/>
      <c r="BM445" s="186"/>
      <c r="BN445" s="186"/>
      <c r="BO445" s="12"/>
      <c r="BP445" s="11"/>
      <c r="BQ445" s="186"/>
      <c r="BR445" s="747"/>
      <c r="BS445" s="747"/>
      <c r="BT445" s="747"/>
      <c r="BU445" s="186"/>
      <c r="BV445" s="186"/>
      <c r="BW445" s="12"/>
    </row>
    <row r="446" spans="9:75">
      <c r="I446" s="20"/>
      <c r="AI446" s="757"/>
      <c r="AJ446" s="195"/>
      <c r="AK446" s="186"/>
      <c r="AL446" s="747"/>
      <c r="AM446" s="747"/>
      <c r="AN446" s="747"/>
      <c r="AO446" s="186"/>
      <c r="AP446" s="186"/>
      <c r="AQ446" s="12"/>
      <c r="AR446" s="11"/>
      <c r="AS446" s="186"/>
      <c r="AT446" s="747"/>
      <c r="AU446" s="747"/>
      <c r="AV446" s="747"/>
      <c r="AW446" s="186"/>
      <c r="AX446" s="186"/>
      <c r="AY446" s="12"/>
      <c r="AZ446" s="11" t="s">
        <v>2032</v>
      </c>
      <c r="BA446" s="186" t="s">
        <v>591</v>
      </c>
      <c r="BB446" s="747" t="s">
        <v>1218</v>
      </c>
      <c r="BC446" s="693" t="s">
        <v>1730</v>
      </c>
      <c r="BD446" s="747" t="s">
        <v>248</v>
      </c>
      <c r="BE446" s="186">
        <v>4.4999999999999998E-2</v>
      </c>
      <c r="BF446" s="186">
        <v>9.0000000000000008E-4</v>
      </c>
      <c r="BG446" s="12">
        <v>2.58</v>
      </c>
      <c r="BH446" s="11"/>
      <c r="BI446" s="186"/>
      <c r="BJ446" s="747"/>
      <c r="BK446" s="747"/>
      <c r="BL446" s="747"/>
      <c r="BM446" s="186"/>
      <c r="BN446" s="186"/>
      <c r="BO446" s="12"/>
      <c r="BP446" s="11"/>
      <c r="BQ446" s="186"/>
      <c r="BR446" s="747"/>
      <c r="BS446" s="747"/>
      <c r="BT446" s="747"/>
      <c r="BU446" s="186"/>
      <c r="BV446" s="186"/>
      <c r="BW446" s="12"/>
    </row>
    <row r="447" spans="9:75">
      <c r="I447" s="20"/>
      <c r="AI447" s="757"/>
      <c r="AJ447" s="195"/>
      <c r="AK447" s="186"/>
      <c r="AL447" s="747"/>
      <c r="AM447" s="747"/>
      <c r="AN447" s="747"/>
      <c r="AO447" s="186"/>
      <c r="AP447" s="186"/>
      <c r="AQ447" s="12"/>
      <c r="AR447" s="11"/>
      <c r="AS447" s="186"/>
      <c r="AT447" s="747"/>
      <c r="AU447" s="747"/>
      <c r="AV447" s="747"/>
      <c r="AW447" s="186"/>
      <c r="AX447" s="186"/>
      <c r="AY447" s="12"/>
      <c r="AZ447" s="11" t="s">
        <v>2032</v>
      </c>
      <c r="BA447" s="186" t="s">
        <v>591</v>
      </c>
      <c r="BB447" s="747" t="s">
        <v>1219</v>
      </c>
      <c r="BC447" s="693" t="s">
        <v>1730</v>
      </c>
      <c r="BD447" s="747" t="s">
        <v>248</v>
      </c>
      <c r="BE447" s="186">
        <v>4.4999999999999998E-2</v>
      </c>
      <c r="BF447" s="186">
        <v>9.0000000000000008E-4</v>
      </c>
      <c r="BG447" s="12">
        <v>2.58</v>
      </c>
      <c r="BH447" s="11"/>
      <c r="BI447" s="186"/>
      <c r="BJ447" s="747"/>
      <c r="BK447" s="747"/>
      <c r="BL447" s="747"/>
      <c r="BM447" s="186"/>
      <c r="BN447" s="186"/>
      <c r="BO447" s="12"/>
      <c r="BP447" s="11"/>
      <c r="BQ447" s="186"/>
      <c r="BR447" s="747"/>
      <c r="BS447" s="747"/>
      <c r="BT447" s="747"/>
      <c r="BU447" s="186"/>
      <c r="BV447" s="186"/>
      <c r="BW447" s="12"/>
    </row>
    <row r="448" spans="9:75">
      <c r="I448" s="20"/>
      <c r="AI448" s="757"/>
      <c r="AJ448" s="195"/>
      <c r="AK448" s="186"/>
      <c r="AL448" s="747"/>
      <c r="AM448" s="747"/>
      <c r="AN448" s="747"/>
      <c r="AO448" s="186"/>
      <c r="AP448" s="186"/>
      <c r="AQ448" s="12"/>
      <c r="AR448" s="11"/>
      <c r="AS448" s="186"/>
      <c r="AT448" s="747"/>
      <c r="AU448" s="747"/>
      <c r="AV448" s="747"/>
      <c r="AW448" s="186"/>
      <c r="AX448" s="186"/>
      <c r="AY448" s="12"/>
      <c r="AZ448" s="685" t="s">
        <v>2032</v>
      </c>
      <c r="BA448" s="686" t="s">
        <v>1710</v>
      </c>
      <c r="BB448" s="687" t="s">
        <v>2623</v>
      </c>
      <c r="BC448" s="687" t="s">
        <v>1730</v>
      </c>
      <c r="BD448" s="687" t="s">
        <v>247</v>
      </c>
      <c r="BE448" s="686">
        <v>3.7499999999999999E-2</v>
      </c>
      <c r="BF448" s="686">
        <v>7.5000000000000002E-4</v>
      </c>
      <c r="BG448" s="688">
        <v>2.58</v>
      </c>
      <c r="BH448" s="11"/>
      <c r="BI448" s="186"/>
      <c r="BJ448" s="747"/>
      <c r="BK448" s="747"/>
      <c r="BL448" s="747"/>
      <c r="BM448" s="186"/>
      <c r="BN448" s="186"/>
      <c r="BO448" s="12"/>
      <c r="BP448" s="11"/>
      <c r="BQ448" s="186"/>
      <c r="BR448" s="747"/>
      <c r="BS448" s="747"/>
      <c r="BT448" s="747"/>
      <c r="BU448" s="186"/>
      <c r="BV448" s="186"/>
      <c r="BW448" s="12"/>
    </row>
    <row r="449" spans="1:75">
      <c r="I449" s="20"/>
      <c r="AI449" s="757"/>
      <c r="AJ449" s="195"/>
      <c r="AK449" s="186"/>
      <c r="AL449" s="747"/>
      <c r="AM449" s="747"/>
      <c r="AN449" s="747"/>
      <c r="AO449" s="186"/>
      <c r="AP449" s="186"/>
      <c r="AQ449" s="12"/>
      <c r="AR449" s="11"/>
      <c r="AS449" s="186"/>
      <c r="AT449" s="747"/>
      <c r="AU449" s="747"/>
      <c r="AV449" s="747"/>
      <c r="AW449" s="186"/>
      <c r="AX449" s="186"/>
      <c r="AY449" s="12"/>
      <c r="AZ449" s="685" t="s">
        <v>2032</v>
      </c>
      <c r="BA449" s="686" t="s">
        <v>1710</v>
      </c>
      <c r="BB449" s="687" t="s">
        <v>2624</v>
      </c>
      <c r="BC449" s="687" t="s">
        <v>2495</v>
      </c>
      <c r="BD449" s="762" t="s">
        <v>2692</v>
      </c>
      <c r="BE449" s="686">
        <v>0.13500000000000001</v>
      </c>
      <c r="BF449" s="686">
        <v>2.7000000000000001E-3</v>
      </c>
      <c r="BG449" s="688">
        <v>2.58</v>
      </c>
      <c r="BH449" s="11"/>
      <c r="BI449" s="186"/>
      <c r="BJ449" s="747"/>
      <c r="BK449" s="747"/>
      <c r="BL449" s="747"/>
      <c r="BM449" s="186"/>
      <c r="BN449" s="186"/>
      <c r="BO449" s="12"/>
      <c r="BP449" s="11"/>
      <c r="BQ449" s="186"/>
      <c r="BR449" s="747"/>
      <c r="BS449" s="747"/>
      <c r="BT449" s="747"/>
      <c r="BU449" s="186"/>
      <c r="BV449" s="186"/>
      <c r="BW449" s="12"/>
    </row>
    <row r="450" spans="1:75">
      <c r="A450" s="1" t="s">
        <v>1016</v>
      </c>
      <c r="B450" s="1" t="s">
        <v>961</v>
      </c>
      <c r="C450" s="1" t="s">
        <v>962</v>
      </c>
      <c r="D450" s="1" t="s">
        <v>523</v>
      </c>
      <c r="E450" s="1" t="s">
        <v>570</v>
      </c>
      <c r="F450" s="1">
        <v>0.04</v>
      </c>
      <c r="G450" s="1">
        <v>2.5000000000000001E-3</v>
      </c>
      <c r="I450" s="20"/>
      <c r="J450" s="1" t="s">
        <v>756</v>
      </c>
      <c r="AI450" s="757"/>
      <c r="AJ450" s="195"/>
      <c r="AK450" s="186"/>
      <c r="AL450" s="747"/>
      <c r="AM450" s="747"/>
      <c r="AN450" s="747"/>
      <c r="AO450" s="186"/>
      <c r="AP450" s="186"/>
      <c r="AQ450" s="12"/>
      <c r="AR450" s="11"/>
      <c r="AS450" s="186"/>
      <c r="AT450" s="747"/>
      <c r="AU450" s="747"/>
      <c r="AV450" s="747"/>
      <c r="AW450" s="186"/>
      <c r="AX450" s="186"/>
      <c r="AY450" s="12"/>
      <c r="AZ450" s="685" t="s">
        <v>2032</v>
      </c>
      <c r="BA450" s="686" t="s">
        <v>1710</v>
      </c>
      <c r="BB450" s="687" t="s">
        <v>2625</v>
      </c>
      <c r="BC450" s="687" t="s">
        <v>2495</v>
      </c>
      <c r="BD450" s="762" t="s">
        <v>2692</v>
      </c>
      <c r="BE450" s="686">
        <v>0.13500000000000001</v>
      </c>
      <c r="BF450" s="686">
        <v>3.0000000000000001E-3</v>
      </c>
      <c r="BG450" s="688">
        <v>2.58</v>
      </c>
      <c r="BH450" s="11"/>
      <c r="BI450" s="186"/>
      <c r="BJ450" s="747"/>
      <c r="BK450" s="747"/>
      <c r="BL450" s="747"/>
      <c r="BM450" s="186"/>
      <c r="BN450" s="186"/>
      <c r="BO450" s="12"/>
      <c r="BP450" s="11"/>
      <c r="BQ450" s="186"/>
      <c r="BR450" s="747"/>
      <c r="BS450" s="747"/>
      <c r="BT450" s="747"/>
      <c r="BU450" s="186"/>
      <c r="BV450" s="186"/>
      <c r="BW450" s="12"/>
    </row>
    <row r="451" spans="1:75">
      <c r="A451" s="1" t="s">
        <v>1017</v>
      </c>
      <c r="B451" s="1" t="s">
        <v>961</v>
      </c>
      <c r="C451" s="1" t="s">
        <v>962</v>
      </c>
      <c r="D451" s="1" t="s">
        <v>523</v>
      </c>
      <c r="E451" s="1" t="s">
        <v>571</v>
      </c>
      <c r="F451" s="1">
        <v>0.02</v>
      </c>
      <c r="G451" s="1">
        <v>1.25E-3</v>
      </c>
      <c r="I451" s="20"/>
      <c r="J451" s="1" t="s">
        <v>520</v>
      </c>
      <c r="AI451" s="757"/>
      <c r="AJ451" s="195"/>
      <c r="AK451" s="186"/>
      <c r="AL451" s="747"/>
      <c r="AM451" s="747"/>
      <c r="AN451" s="747"/>
      <c r="AO451" s="186"/>
      <c r="AP451" s="186"/>
      <c r="AQ451" s="12"/>
      <c r="AR451" s="11"/>
      <c r="AS451" s="186"/>
      <c r="AT451" s="747"/>
      <c r="AU451" s="747"/>
      <c r="AV451" s="747"/>
      <c r="AW451" s="186"/>
      <c r="AX451" s="186"/>
      <c r="AY451" s="12"/>
      <c r="AZ451" s="685" t="s">
        <v>2032</v>
      </c>
      <c r="BA451" s="686" t="s">
        <v>1710</v>
      </c>
      <c r="BB451" s="687" t="s">
        <v>2626</v>
      </c>
      <c r="BC451" s="687" t="s">
        <v>2518</v>
      </c>
      <c r="BD451" s="762" t="s">
        <v>2692</v>
      </c>
      <c r="BE451" s="686">
        <v>0.15</v>
      </c>
      <c r="BF451" s="686">
        <v>2.7000000000000001E-3</v>
      </c>
      <c r="BG451" s="688">
        <v>2.58</v>
      </c>
      <c r="BH451" s="11"/>
      <c r="BI451" s="186"/>
      <c r="BJ451" s="747"/>
      <c r="BK451" s="747"/>
      <c r="BL451" s="747"/>
      <c r="BM451" s="186"/>
      <c r="BN451" s="186"/>
      <c r="BO451" s="12"/>
      <c r="BP451" s="11"/>
      <c r="BQ451" s="186"/>
      <c r="BR451" s="747"/>
      <c r="BS451" s="747"/>
      <c r="BT451" s="747"/>
      <c r="BU451" s="186"/>
      <c r="BV451" s="186"/>
      <c r="BW451" s="12"/>
    </row>
    <row r="452" spans="1:75">
      <c r="A452" s="1" t="s">
        <v>1018</v>
      </c>
      <c r="B452" s="1" t="s">
        <v>961</v>
      </c>
      <c r="C452" s="1" t="s">
        <v>962</v>
      </c>
      <c r="D452" s="1" t="s">
        <v>523</v>
      </c>
      <c r="E452" s="1" t="s">
        <v>572</v>
      </c>
      <c r="F452" s="1">
        <v>0.02</v>
      </c>
      <c r="G452" s="1">
        <v>1.25E-3</v>
      </c>
      <c r="I452" s="20"/>
      <c r="J452" s="1" t="s">
        <v>520</v>
      </c>
      <c r="AI452" s="757"/>
      <c r="AJ452" s="195"/>
      <c r="AK452" s="186"/>
      <c r="AL452" s="747"/>
      <c r="AM452" s="747"/>
      <c r="AN452" s="747"/>
      <c r="AO452" s="186"/>
      <c r="AP452" s="186"/>
      <c r="AQ452" s="12"/>
      <c r="AR452" s="11"/>
      <c r="AS452" s="186"/>
      <c r="AT452" s="747"/>
      <c r="AU452" s="747"/>
      <c r="AV452" s="747"/>
      <c r="AW452" s="186"/>
      <c r="AX452" s="186"/>
      <c r="AY452" s="12"/>
      <c r="AZ452" s="685" t="s">
        <v>2032</v>
      </c>
      <c r="BA452" s="686" t="s">
        <v>523</v>
      </c>
      <c r="BB452" s="687" t="s">
        <v>2627</v>
      </c>
      <c r="BC452" s="687" t="s">
        <v>1730</v>
      </c>
      <c r="BD452" s="687" t="s">
        <v>248</v>
      </c>
      <c r="BE452" s="686">
        <v>0.05</v>
      </c>
      <c r="BF452" s="686">
        <v>1E-3</v>
      </c>
      <c r="BG452" s="688">
        <v>2.58</v>
      </c>
      <c r="BH452" s="11"/>
      <c r="BI452" s="186"/>
      <c r="BJ452" s="747"/>
      <c r="BK452" s="747"/>
      <c r="BL452" s="747"/>
      <c r="BM452" s="186"/>
      <c r="BN452" s="186"/>
      <c r="BO452" s="12"/>
      <c r="BP452" s="11"/>
      <c r="BQ452" s="186"/>
      <c r="BR452" s="747"/>
      <c r="BS452" s="747"/>
      <c r="BT452" s="747"/>
      <c r="BU452" s="186"/>
      <c r="BV452" s="186"/>
      <c r="BW452" s="12"/>
    </row>
    <row r="453" spans="1:75">
      <c r="A453" s="1" t="s">
        <v>1019</v>
      </c>
      <c r="B453" s="1" t="s">
        <v>961</v>
      </c>
      <c r="C453" s="1" t="s">
        <v>962</v>
      </c>
      <c r="D453" s="1" t="s">
        <v>523</v>
      </c>
      <c r="E453" s="1" t="s">
        <v>573</v>
      </c>
      <c r="F453" s="1">
        <v>0.02</v>
      </c>
      <c r="G453" s="1">
        <v>1.25E-3</v>
      </c>
      <c r="I453" s="20"/>
      <c r="J453" s="1" t="s">
        <v>1020</v>
      </c>
      <c r="AI453" s="757"/>
      <c r="AJ453" s="195"/>
      <c r="AK453" s="186"/>
      <c r="AL453" s="747"/>
      <c r="AM453" s="747"/>
      <c r="AN453" s="747"/>
      <c r="AO453" s="186"/>
      <c r="AP453" s="186"/>
      <c r="AQ453" s="12"/>
      <c r="AR453" s="11"/>
      <c r="AS453" s="186"/>
      <c r="AT453" s="747"/>
      <c r="AU453" s="747"/>
      <c r="AV453" s="747"/>
      <c r="AW453" s="186"/>
      <c r="AX453" s="186"/>
      <c r="AY453" s="12"/>
      <c r="AZ453" s="685" t="s">
        <v>2032</v>
      </c>
      <c r="BA453" s="686" t="s">
        <v>523</v>
      </c>
      <c r="BB453" s="687" t="s">
        <v>2628</v>
      </c>
      <c r="BC453" s="687" t="s">
        <v>1730</v>
      </c>
      <c r="BD453" s="687" t="s">
        <v>248</v>
      </c>
      <c r="BE453" s="686">
        <v>2.5000000000000001E-2</v>
      </c>
      <c r="BF453" s="686">
        <v>5.0000000000000001E-4</v>
      </c>
      <c r="BG453" s="688">
        <v>2.58</v>
      </c>
      <c r="BH453" s="11"/>
      <c r="BI453" s="186"/>
      <c r="BJ453" s="747"/>
      <c r="BK453" s="747"/>
      <c r="BL453" s="747"/>
      <c r="BM453" s="186"/>
      <c r="BN453" s="186"/>
      <c r="BO453" s="12"/>
      <c r="BP453" s="11"/>
      <c r="BQ453" s="186"/>
      <c r="BR453" s="747"/>
      <c r="BS453" s="747"/>
      <c r="BT453" s="747"/>
      <c r="BU453" s="186"/>
      <c r="BV453" s="186"/>
      <c r="BW453" s="12"/>
    </row>
    <row r="454" spans="1:75">
      <c r="I454" s="20"/>
      <c r="AI454" s="757"/>
      <c r="AJ454" s="195"/>
      <c r="AK454" s="186"/>
      <c r="AL454" s="747"/>
      <c r="AM454" s="747"/>
      <c r="AN454" s="747"/>
      <c r="AO454" s="186"/>
      <c r="AP454" s="186"/>
      <c r="AQ454" s="12"/>
      <c r="AR454" s="11"/>
      <c r="AS454" s="186"/>
      <c r="AT454" s="747"/>
      <c r="AU454" s="747"/>
      <c r="AV454" s="747"/>
      <c r="AW454" s="186"/>
      <c r="AX454" s="186"/>
      <c r="AY454" s="12"/>
      <c r="AZ454" s="685" t="s">
        <v>2032</v>
      </c>
      <c r="BA454" s="686" t="s">
        <v>523</v>
      </c>
      <c r="BB454" s="687" t="s">
        <v>2629</v>
      </c>
      <c r="BC454" s="687" t="s">
        <v>1730</v>
      </c>
      <c r="BD454" s="687" t="s">
        <v>248</v>
      </c>
      <c r="BE454" s="686">
        <v>1.2500000000000001E-2</v>
      </c>
      <c r="BF454" s="686">
        <v>2.5000000000000001E-4</v>
      </c>
      <c r="BG454" s="688">
        <v>2.58</v>
      </c>
      <c r="BH454" s="11"/>
      <c r="BI454" s="186"/>
      <c r="BJ454" s="747"/>
      <c r="BK454" s="747"/>
      <c r="BL454" s="747"/>
      <c r="BM454" s="186"/>
      <c r="BN454" s="186"/>
      <c r="BO454" s="12"/>
      <c r="BP454" s="11"/>
      <c r="BQ454" s="186"/>
      <c r="BR454" s="747"/>
      <c r="BS454" s="747"/>
      <c r="BT454" s="747"/>
      <c r="BU454" s="186"/>
      <c r="BV454" s="186"/>
      <c r="BW454" s="12"/>
    </row>
    <row r="455" spans="1:75">
      <c r="I455" s="20"/>
      <c r="AI455" s="757"/>
      <c r="AJ455" s="195"/>
      <c r="AK455" s="186"/>
      <c r="AL455" s="747"/>
      <c r="AM455" s="747"/>
      <c r="AN455" s="747"/>
      <c r="AO455" s="186"/>
      <c r="AP455" s="186"/>
      <c r="AQ455" s="12"/>
      <c r="AR455" s="11"/>
      <c r="AS455" s="186"/>
      <c r="AT455" s="747"/>
      <c r="AU455" s="747"/>
      <c r="AV455" s="747"/>
      <c r="AW455" s="186"/>
      <c r="AX455" s="186"/>
      <c r="AY455" s="12"/>
      <c r="AZ455" s="685" t="s">
        <v>2032</v>
      </c>
      <c r="BA455" s="686" t="s">
        <v>523</v>
      </c>
      <c r="BB455" s="687" t="s">
        <v>2630</v>
      </c>
      <c r="BC455" s="687" t="s">
        <v>1180</v>
      </c>
      <c r="BD455" s="687" t="s">
        <v>248</v>
      </c>
      <c r="BE455" s="686">
        <v>2.5000000000000001E-2</v>
      </c>
      <c r="BF455" s="686">
        <v>5.0000000000000001E-4</v>
      </c>
      <c r="BG455" s="688">
        <v>2.58</v>
      </c>
      <c r="BH455" s="11"/>
      <c r="BI455" s="186"/>
      <c r="BJ455" s="747"/>
      <c r="BK455" s="747"/>
      <c r="BL455" s="747"/>
      <c r="BM455" s="186"/>
      <c r="BN455" s="186"/>
      <c r="BO455" s="12"/>
      <c r="BP455" s="11"/>
      <c r="BQ455" s="186"/>
      <c r="BR455" s="747"/>
      <c r="BS455" s="747"/>
      <c r="BT455" s="747"/>
      <c r="BU455" s="186"/>
      <c r="BV455" s="186"/>
      <c r="BW455" s="12"/>
    </row>
    <row r="456" spans="1:75">
      <c r="I456" s="20"/>
      <c r="AI456" s="757"/>
      <c r="AJ456" s="195"/>
      <c r="AK456" s="186"/>
      <c r="AL456" s="747"/>
      <c r="AM456" s="747"/>
      <c r="AN456" s="747"/>
      <c r="AO456" s="186"/>
      <c r="AP456" s="186"/>
      <c r="AQ456" s="12"/>
      <c r="AR456" s="11"/>
      <c r="AS456" s="186"/>
      <c r="AT456" s="747"/>
      <c r="AU456" s="747"/>
      <c r="AV456" s="747"/>
      <c r="AW456" s="186"/>
      <c r="AX456" s="186"/>
      <c r="AY456" s="12"/>
      <c r="AZ456" s="685" t="s">
        <v>2032</v>
      </c>
      <c r="BA456" s="686" t="s">
        <v>523</v>
      </c>
      <c r="BB456" s="687" t="s">
        <v>2631</v>
      </c>
      <c r="BC456" s="687" t="s">
        <v>1181</v>
      </c>
      <c r="BD456" s="687" t="s">
        <v>248</v>
      </c>
      <c r="BE456" s="686">
        <v>1.2500000000000001E-2</v>
      </c>
      <c r="BF456" s="686">
        <v>2.5000000000000001E-4</v>
      </c>
      <c r="BG456" s="688">
        <v>2.58</v>
      </c>
      <c r="BH456" s="11"/>
      <c r="BI456" s="186"/>
      <c r="BJ456" s="747"/>
      <c r="BK456" s="747"/>
      <c r="BL456" s="747"/>
      <c r="BM456" s="186"/>
      <c r="BN456" s="186"/>
      <c r="BO456" s="12"/>
      <c r="BP456" s="11"/>
      <c r="BQ456" s="186"/>
      <c r="BR456" s="747"/>
      <c r="BS456" s="747"/>
      <c r="BT456" s="747"/>
      <c r="BU456" s="186"/>
      <c r="BV456" s="186"/>
      <c r="BW456" s="12"/>
    </row>
    <row r="457" spans="1:75">
      <c r="I457" s="20"/>
      <c r="AI457" s="757"/>
      <c r="AJ457" s="195"/>
      <c r="AK457" s="186"/>
      <c r="AL457" s="747"/>
      <c r="AM457" s="747"/>
      <c r="AN457" s="747"/>
      <c r="AO457" s="186"/>
      <c r="AP457" s="186"/>
      <c r="AQ457" s="12"/>
      <c r="AR457" s="11"/>
      <c r="AS457" s="186"/>
      <c r="AT457" s="747"/>
      <c r="AU457" s="747"/>
      <c r="AV457" s="747"/>
      <c r="AW457" s="186"/>
      <c r="AX457" s="186"/>
      <c r="AY457" s="12"/>
      <c r="AZ457" s="685" t="s">
        <v>2032</v>
      </c>
      <c r="BA457" s="686" t="s">
        <v>523</v>
      </c>
      <c r="BB457" s="687" t="s">
        <v>2632</v>
      </c>
      <c r="BC457" s="762" t="s">
        <v>1730</v>
      </c>
      <c r="BD457" s="687" t="s">
        <v>248</v>
      </c>
      <c r="BE457" s="686">
        <v>4.5000000000000005E-2</v>
      </c>
      <c r="BF457" s="686">
        <v>9.0000000000000008E-4</v>
      </c>
      <c r="BG457" s="688">
        <v>2.58</v>
      </c>
      <c r="BH457" s="11"/>
      <c r="BI457" s="186"/>
      <c r="BJ457" s="747"/>
      <c r="BK457" s="747"/>
      <c r="BL457" s="747"/>
      <c r="BM457" s="186"/>
      <c r="BN457" s="186"/>
      <c r="BO457" s="12"/>
      <c r="BP457" s="11"/>
      <c r="BQ457" s="186"/>
      <c r="BR457" s="747"/>
      <c r="BS457" s="747"/>
      <c r="BT457" s="747"/>
      <c r="BU457" s="186"/>
      <c r="BV457" s="186"/>
      <c r="BW457" s="12"/>
    </row>
    <row r="458" spans="1:75">
      <c r="I458" s="20"/>
      <c r="AI458" s="757"/>
      <c r="AJ458" s="195"/>
      <c r="AK458" s="186"/>
      <c r="AL458" s="747"/>
      <c r="AM458" s="747"/>
      <c r="AN458" s="747"/>
      <c r="AO458" s="186"/>
      <c r="AP458" s="186"/>
      <c r="AQ458" s="12"/>
      <c r="AR458" s="11"/>
      <c r="AS458" s="186"/>
      <c r="AT458" s="747"/>
      <c r="AU458" s="747"/>
      <c r="AV458" s="747"/>
      <c r="AW458" s="186"/>
      <c r="AX458" s="186"/>
      <c r="AY458" s="12"/>
      <c r="AZ458" s="685" t="s">
        <v>2032</v>
      </c>
      <c r="BA458" s="686" t="s">
        <v>523</v>
      </c>
      <c r="BB458" s="687" t="s">
        <v>2633</v>
      </c>
      <c r="BC458" s="762" t="s">
        <v>1730</v>
      </c>
      <c r="BD458" s="687" t="s">
        <v>248</v>
      </c>
      <c r="BE458" s="686">
        <v>4.5000000000000005E-2</v>
      </c>
      <c r="BF458" s="686">
        <v>9.0000000000000008E-4</v>
      </c>
      <c r="BG458" s="688">
        <v>2.58</v>
      </c>
      <c r="BH458" s="11"/>
      <c r="BI458" s="186"/>
      <c r="BJ458" s="747"/>
      <c r="BK458" s="747"/>
      <c r="BL458" s="747"/>
      <c r="BM458" s="186"/>
      <c r="BN458" s="186"/>
      <c r="BO458" s="12"/>
      <c r="BP458" s="11"/>
      <c r="BQ458" s="186"/>
      <c r="BR458" s="747"/>
      <c r="BS458" s="747"/>
      <c r="BT458" s="747"/>
      <c r="BU458" s="186"/>
      <c r="BV458" s="186"/>
      <c r="BW458" s="12"/>
    </row>
    <row r="459" spans="1:75">
      <c r="I459" s="20"/>
      <c r="AI459" s="757"/>
      <c r="AJ459" s="195"/>
      <c r="AK459" s="186"/>
      <c r="AL459" s="747"/>
      <c r="AM459" s="747"/>
      <c r="AN459" s="747"/>
      <c r="AO459" s="186"/>
      <c r="AP459" s="186"/>
      <c r="AQ459" s="12"/>
      <c r="AR459" s="11"/>
      <c r="AS459" s="186"/>
      <c r="AT459" s="747"/>
      <c r="AU459" s="747"/>
      <c r="AV459" s="747"/>
      <c r="AW459" s="186"/>
      <c r="AX459" s="186"/>
      <c r="AY459" s="12"/>
      <c r="AZ459" s="685" t="s">
        <v>2032</v>
      </c>
      <c r="BA459" s="686" t="s">
        <v>523</v>
      </c>
      <c r="BB459" s="687" t="s">
        <v>2634</v>
      </c>
      <c r="BC459" s="762" t="s">
        <v>1730</v>
      </c>
      <c r="BD459" s="687" t="s">
        <v>248</v>
      </c>
      <c r="BE459" s="686">
        <v>4.4999999999999998E-2</v>
      </c>
      <c r="BF459" s="686">
        <v>8.9999999999999998E-4</v>
      </c>
      <c r="BG459" s="688">
        <v>2.58</v>
      </c>
      <c r="BH459" s="11"/>
      <c r="BI459" s="186"/>
      <c r="BJ459" s="747"/>
      <c r="BK459" s="747"/>
      <c r="BL459" s="747"/>
      <c r="BM459" s="186"/>
      <c r="BN459" s="186"/>
      <c r="BO459" s="12"/>
      <c r="BP459" s="11"/>
      <c r="BQ459" s="186"/>
      <c r="BR459" s="747"/>
      <c r="BS459" s="747"/>
      <c r="BT459" s="747"/>
      <c r="BU459" s="186"/>
      <c r="BV459" s="186"/>
      <c r="BW459" s="12"/>
    </row>
    <row r="460" spans="1:75">
      <c r="I460" s="20"/>
      <c r="AI460" s="757"/>
      <c r="AJ460" s="195"/>
      <c r="AK460" s="186"/>
      <c r="AL460" s="747"/>
      <c r="AM460" s="747"/>
      <c r="AN460" s="747"/>
      <c r="AO460" s="186"/>
      <c r="AP460" s="186"/>
      <c r="AQ460" s="12"/>
      <c r="AR460" s="11"/>
      <c r="AS460" s="186"/>
      <c r="AT460" s="747"/>
      <c r="AU460" s="747"/>
      <c r="AV460" s="747"/>
      <c r="AW460" s="186"/>
      <c r="AX460" s="186"/>
      <c r="AY460" s="12"/>
      <c r="AZ460" s="685" t="s">
        <v>2032</v>
      </c>
      <c r="BA460" s="686" t="s">
        <v>591</v>
      </c>
      <c r="BB460" s="687" t="s">
        <v>2635</v>
      </c>
      <c r="BC460" s="762" t="s">
        <v>1730</v>
      </c>
      <c r="BD460" s="687" t="s">
        <v>248</v>
      </c>
      <c r="BE460" s="686">
        <v>0.05</v>
      </c>
      <c r="BF460" s="686">
        <v>1E-3</v>
      </c>
      <c r="BG460" s="688">
        <v>2.58</v>
      </c>
      <c r="BH460" s="11"/>
      <c r="BI460" s="186"/>
      <c r="BJ460" s="747"/>
      <c r="BK460" s="747"/>
      <c r="BL460" s="747"/>
      <c r="BM460" s="186"/>
      <c r="BN460" s="186"/>
      <c r="BO460" s="12"/>
      <c r="BP460" s="11"/>
      <c r="BQ460" s="186"/>
      <c r="BR460" s="747"/>
      <c r="BS460" s="747"/>
      <c r="BT460" s="747"/>
      <c r="BU460" s="186"/>
      <c r="BV460" s="186"/>
      <c r="BW460" s="12"/>
    </row>
    <row r="461" spans="1:75">
      <c r="I461" s="20"/>
      <c r="AI461" s="757"/>
      <c r="AJ461" s="195"/>
      <c r="AK461" s="186"/>
      <c r="AL461" s="747"/>
      <c r="AM461" s="747"/>
      <c r="AN461" s="747"/>
      <c r="AO461" s="186"/>
      <c r="AP461" s="186"/>
      <c r="AQ461" s="12"/>
      <c r="AR461" s="11"/>
      <c r="AS461" s="186"/>
      <c r="AT461" s="747"/>
      <c r="AU461" s="747"/>
      <c r="AV461" s="747"/>
      <c r="AW461" s="186"/>
      <c r="AX461" s="186"/>
      <c r="AY461" s="12"/>
      <c r="AZ461" s="685" t="s">
        <v>2032</v>
      </c>
      <c r="BA461" s="686" t="s">
        <v>591</v>
      </c>
      <c r="BB461" s="687" t="s">
        <v>2636</v>
      </c>
      <c r="BC461" s="762" t="s">
        <v>1730</v>
      </c>
      <c r="BD461" s="687" t="s">
        <v>248</v>
      </c>
      <c r="BE461" s="686">
        <v>2.5000000000000001E-2</v>
      </c>
      <c r="BF461" s="686">
        <v>5.0000000000000001E-4</v>
      </c>
      <c r="BG461" s="688">
        <v>2.58</v>
      </c>
      <c r="BH461" s="11"/>
      <c r="BI461" s="186"/>
      <c r="BJ461" s="747"/>
      <c r="BK461" s="747"/>
      <c r="BL461" s="747"/>
      <c r="BM461" s="186"/>
      <c r="BN461" s="186"/>
      <c r="BO461" s="12"/>
      <c r="BP461" s="11"/>
      <c r="BQ461" s="186"/>
      <c r="BR461" s="747"/>
      <c r="BS461" s="747"/>
      <c r="BT461" s="747"/>
      <c r="BU461" s="186"/>
      <c r="BV461" s="186"/>
      <c r="BW461" s="12"/>
    </row>
    <row r="462" spans="1:75">
      <c r="I462" s="20"/>
      <c r="AI462" s="757"/>
      <c r="AJ462" s="195"/>
      <c r="AK462" s="186"/>
      <c r="AL462" s="747"/>
      <c r="AM462" s="747"/>
      <c r="AN462" s="747"/>
      <c r="AO462" s="186"/>
      <c r="AP462" s="186"/>
      <c r="AQ462" s="12"/>
      <c r="AR462" s="11"/>
      <c r="AS462" s="186"/>
      <c r="AT462" s="747"/>
      <c r="AU462" s="747"/>
      <c r="AV462" s="747"/>
      <c r="AW462" s="186"/>
      <c r="AX462" s="186"/>
      <c r="AY462" s="12"/>
      <c r="AZ462" s="685" t="s">
        <v>2032</v>
      </c>
      <c r="BA462" s="686" t="s">
        <v>591</v>
      </c>
      <c r="BB462" s="687" t="s">
        <v>2637</v>
      </c>
      <c r="BC462" s="762" t="s">
        <v>1730</v>
      </c>
      <c r="BD462" s="687" t="s">
        <v>248</v>
      </c>
      <c r="BE462" s="686">
        <v>1.2500000000000001E-2</v>
      </c>
      <c r="BF462" s="686">
        <v>2.5000000000000001E-4</v>
      </c>
      <c r="BG462" s="688">
        <v>2.58</v>
      </c>
      <c r="BH462" s="11"/>
      <c r="BI462" s="186"/>
      <c r="BJ462" s="747"/>
      <c r="BK462" s="747"/>
      <c r="BL462" s="747"/>
      <c r="BM462" s="186"/>
      <c r="BN462" s="186"/>
      <c r="BO462" s="12"/>
      <c r="BP462" s="11"/>
      <c r="BQ462" s="186"/>
      <c r="BR462" s="747"/>
      <c r="BS462" s="747"/>
      <c r="BT462" s="747"/>
      <c r="BU462" s="186"/>
      <c r="BV462" s="186"/>
      <c r="BW462" s="12"/>
    </row>
    <row r="463" spans="1:75">
      <c r="I463" s="20"/>
      <c r="AI463" s="757"/>
      <c r="AJ463" s="195"/>
      <c r="AK463" s="186"/>
      <c r="AL463" s="747"/>
      <c r="AM463" s="747"/>
      <c r="AN463" s="747"/>
      <c r="AO463" s="186"/>
      <c r="AP463" s="186"/>
      <c r="AQ463" s="12"/>
      <c r="AR463" s="11"/>
      <c r="AS463" s="186"/>
      <c r="AT463" s="747"/>
      <c r="AU463" s="747"/>
      <c r="AV463" s="747"/>
      <c r="AW463" s="186"/>
      <c r="AX463" s="186"/>
      <c r="AY463" s="12"/>
      <c r="AZ463" s="685" t="s">
        <v>2032</v>
      </c>
      <c r="BA463" s="686" t="s">
        <v>591</v>
      </c>
      <c r="BB463" s="687" t="s">
        <v>2638</v>
      </c>
      <c r="BC463" s="762" t="s">
        <v>1730</v>
      </c>
      <c r="BD463" s="687" t="s">
        <v>248</v>
      </c>
      <c r="BE463" s="686">
        <v>4.4999999999999998E-2</v>
      </c>
      <c r="BF463" s="686">
        <v>9.0000000000000008E-4</v>
      </c>
      <c r="BG463" s="688">
        <v>2.58</v>
      </c>
      <c r="BH463" s="11"/>
      <c r="BI463" s="186"/>
      <c r="BJ463" s="747"/>
      <c r="BK463" s="747"/>
      <c r="BL463" s="747"/>
      <c r="BM463" s="186"/>
      <c r="BN463" s="186"/>
      <c r="BO463" s="12"/>
      <c r="BP463" s="11"/>
      <c r="BQ463" s="186"/>
      <c r="BR463" s="747"/>
      <c r="BS463" s="747"/>
      <c r="BT463" s="747"/>
      <c r="BU463" s="186"/>
      <c r="BV463" s="186"/>
      <c r="BW463" s="12"/>
    </row>
    <row r="464" spans="1:75">
      <c r="I464" s="20"/>
      <c r="AI464" s="757"/>
      <c r="AJ464" s="195"/>
      <c r="AK464" s="186"/>
      <c r="AL464" s="747"/>
      <c r="AM464" s="747"/>
      <c r="AN464" s="747"/>
      <c r="AO464" s="186"/>
      <c r="AP464" s="186"/>
      <c r="AQ464" s="12"/>
      <c r="AR464" s="11"/>
      <c r="AS464" s="186"/>
      <c r="AT464" s="747"/>
      <c r="AU464" s="747"/>
      <c r="AV464" s="747"/>
      <c r="AW464" s="186"/>
      <c r="AX464" s="186"/>
      <c r="AY464" s="12"/>
      <c r="AZ464" s="685" t="s">
        <v>2032</v>
      </c>
      <c r="BA464" s="686" t="s">
        <v>591</v>
      </c>
      <c r="BB464" s="687" t="s">
        <v>2639</v>
      </c>
      <c r="BC464" s="762" t="s">
        <v>1730</v>
      </c>
      <c r="BD464" s="687" t="s">
        <v>248</v>
      </c>
      <c r="BE464" s="686">
        <v>4.4999999999999998E-2</v>
      </c>
      <c r="BF464" s="686">
        <v>9.0000000000000008E-4</v>
      </c>
      <c r="BG464" s="688">
        <v>2.58</v>
      </c>
      <c r="BH464" s="11"/>
      <c r="BI464" s="186"/>
      <c r="BJ464" s="747"/>
      <c r="BK464" s="747"/>
      <c r="BL464" s="747"/>
      <c r="BM464" s="186"/>
      <c r="BN464" s="186"/>
      <c r="BO464" s="12"/>
      <c r="BP464" s="11"/>
      <c r="BQ464" s="186"/>
      <c r="BR464" s="747"/>
      <c r="BS464" s="747"/>
      <c r="BT464" s="747"/>
      <c r="BU464" s="186"/>
      <c r="BV464" s="186"/>
      <c r="BW464" s="12"/>
    </row>
    <row r="465" spans="9:75">
      <c r="I465" s="20"/>
      <c r="AI465" s="757"/>
      <c r="AJ465" s="195"/>
      <c r="AK465" s="186"/>
      <c r="AL465" s="747"/>
      <c r="AM465" s="747"/>
      <c r="AN465" s="747"/>
      <c r="AO465" s="186"/>
      <c r="AP465" s="186"/>
      <c r="AQ465" s="12"/>
      <c r="AR465" s="11"/>
      <c r="AS465" s="186"/>
      <c r="AT465" s="747"/>
      <c r="AU465" s="747"/>
      <c r="AV465" s="747"/>
      <c r="AW465" s="186"/>
      <c r="AX465" s="186"/>
      <c r="AY465" s="12"/>
      <c r="AZ465" s="685" t="s">
        <v>2032</v>
      </c>
      <c r="BA465" s="686" t="s">
        <v>591</v>
      </c>
      <c r="BB465" s="687" t="s">
        <v>2640</v>
      </c>
      <c r="BC465" s="762" t="s">
        <v>1730</v>
      </c>
      <c r="BD465" s="687" t="s">
        <v>248</v>
      </c>
      <c r="BE465" s="686">
        <v>4.4999999999999998E-2</v>
      </c>
      <c r="BF465" s="686">
        <v>9.0000000000000008E-4</v>
      </c>
      <c r="BG465" s="688">
        <v>2.58</v>
      </c>
      <c r="BH465" s="11"/>
      <c r="BI465" s="186"/>
      <c r="BJ465" s="747"/>
      <c r="BK465" s="747"/>
      <c r="BL465" s="747"/>
      <c r="BM465" s="186"/>
      <c r="BN465" s="186"/>
      <c r="BO465" s="12"/>
      <c r="BP465" s="11"/>
      <c r="BQ465" s="186"/>
      <c r="BR465" s="747"/>
      <c r="BS465" s="747"/>
      <c r="BT465" s="747"/>
      <c r="BU465" s="186"/>
      <c r="BV465" s="186"/>
      <c r="BW465" s="12"/>
    </row>
    <row r="466" spans="9:75">
      <c r="I466" s="20"/>
      <c r="AI466" s="757"/>
      <c r="AJ466" s="195"/>
      <c r="AK466" s="186"/>
      <c r="AL466" s="747"/>
      <c r="AM466" s="747"/>
      <c r="AN466" s="747"/>
      <c r="AO466" s="186"/>
      <c r="AP466" s="186"/>
      <c r="AQ466" s="12"/>
      <c r="AR466" s="11"/>
      <c r="AS466" s="186"/>
      <c r="AT466" s="747"/>
      <c r="AU466" s="747"/>
      <c r="AV466" s="747"/>
      <c r="AW466" s="186"/>
      <c r="AX466" s="186"/>
      <c r="AY466" s="12"/>
      <c r="AZ466" s="685" t="s">
        <v>2032</v>
      </c>
      <c r="BA466" s="686" t="s">
        <v>2610</v>
      </c>
      <c r="BB466" s="687" t="s">
        <v>2641</v>
      </c>
      <c r="BC466" s="687" t="s">
        <v>1730</v>
      </c>
      <c r="BD466" s="687" t="s">
        <v>2490</v>
      </c>
      <c r="BE466" s="686">
        <v>0.03</v>
      </c>
      <c r="BF466" s="686">
        <v>1E-3</v>
      </c>
      <c r="BG466" s="688">
        <v>2.58</v>
      </c>
      <c r="BH466" s="11"/>
      <c r="BI466" s="186"/>
      <c r="BJ466" s="747"/>
      <c r="BK466" s="747"/>
      <c r="BL466" s="747"/>
      <c r="BM466" s="186"/>
      <c r="BN466" s="186"/>
      <c r="BO466" s="12"/>
      <c r="BP466" s="11"/>
      <c r="BQ466" s="186"/>
      <c r="BR466" s="747"/>
      <c r="BS466" s="747"/>
      <c r="BT466" s="747"/>
      <c r="BU466" s="186"/>
      <c r="BV466" s="186"/>
      <c r="BW466" s="12"/>
    </row>
    <row r="467" spans="9:75">
      <c r="I467" s="20"/>
      <c r="AI467" s="757"/>
      <c r="AJ467" s="195"/>
      <c r="AK467" s="186"/>
      <c r="AL467" s="747"/>
      <c r="AM467" s="747"/>
      <c r="AN467" s="747"/>
      <c r="AO467" s="186"/>
      <c r="AP467" s="186"/>
      <c r="AQ467" s="12"/>
      <c r="AR467" s="11"/>
      <c r="AS467" s="186"/>
      <c r="AT467" s="747"/>
      <c r="AU467" s="747"/>
      <c r="AV467" s="747"/>
      <c r="AW467" s="186"/>
      <c r="AX467" s="186"/>
      <c r="AY467" s="12"/>
      <c r="AZ467" s="685" t="s">
        <v>2032</v>
      </c>
      <c r="BA467" s="686" t="s">
        <v>2610</v>
      </c>
      <c r="BB467" s="687" t="s">
        <v>2642</v>
      </c>
      <c r="BC467" s="687" t="s">
        <v>1730</v>
      </c>
      <c r="BD467" s="687" t="s">
        <v>2490</v>
      </c>
      <c r="BE467" s="686">
        <v>0.03</v>
      </c>
      <c r="BF467" s="686">
        <v>1E-3</v>
      </c>
      <c r="BG467" s="688">
        <v>2.58</v>
      </c>
      <c r="BH467" s="11"/>
      <c r="BI467" s="186"/>
      <c r="BJ467" s="747"/>
      <c r="BK467" s="747"/>
      <c r="BL467" s="747"/>
      <c r="BM467" s="186"/>
      <c r="BN467" s="186"/>
      <c r="BO467" s="12"/>
      <c r="BP467" s="11"/>
      <c r="BQ467" s="186"/>
      <c r="BR467" s="747"/>
      <c r="BS467" s="747"/>
      <c r="BT467" s="747"/>
      <c r="BU467" s="186"/>
      <c r="BV467" s="186"/>
      <c r="BW467" s="12"/>
    </row>
    <row r="468" spans="9:75">
      <c r="I468" s="20"/>
      <c r="AI468" s="757"/>
      <c r="AJ468" s="195"/>
      <c r="AK468" s="186"/>
      <c r="AL468" s="747"/>
      <c r="AM468" s="747"/>
      <c r="AN468" s="747"/>
      <c r="AO468" s="186"/>
      <c r="AP468" s="186"/>
      <c r="AQ468" s="12"/>
      <c r="AR468" s="11"/>
      <c r="AS468" s="186"/>
      <c r="AT468" s="747"/>
      <c r="AU468" s="747"/>
      <c r="AV468" s="747"/>
      <c r="AW468" s="186"/>
      <c r="AX468" s="186"/>
      <c r="AY468" s="12"/>
      <c r="AZ468" s="685" t="s">
        <v>2032</v>
      </c>
      <c r="BA468" s="686" t="s">
        <v>2610</v>
      </c>
      <c r="BB468" s="687" t="s">
        <v>2643</v>
      </c>
      <c r="BC468" s="687" t="s">
        <v>1730</v>
      </c>
      <c r="BD468" s="687" t="s">
        <v>2490</v>
      </c>
      <c r="BE468" s="686">
        <v>0.03</v>
      </c>
      <c r="BF468" s="686">
        <v>1E-3</v>
      </c>
      <c r="BG468" s="688">
        <v>2.58</v>
      </c>
      <c r="BH468" s="11"/>
      <c r="BI468" s="186"/>
      <c r="BJ468" s="747"/>
      <c r="BK468" s="747"/>
      <c r="BL468" s="747"/>
      <c r="BM468" s="186"/>
      <c r="BN468" s="186"/>
      <c r="BO468" s="12"/>
      <c r="BP468" s="11"/>
      <c r="BQ468" s="186"/>
      <c r="BR468" s="747"/>
      <c r="BS468" s="747"/>
      <c r="BT468" s="747"/>
      <c r="BU468" s="186"/>
      <c r="BV468" s="186"/>
      <c r="BW468" s="12"/>
    </row>
    <row r="469" spans="9:75">
      <c r="I469" s="20"/>
      <c r="AI469" s="757"/>
      <c r="AJ469" s="195"/>
      <c r="AK469" s="186"/>
      <c r="AL469" s="747"/>
      <c r="AM469" s="747"/>
      <c r="AN469" s="747"/>
      <c r="AO469" s="186"/>
      <c r="AP469" s="186"/>
      <c r="AQ469" s="12"/>
      <c r="AR469" s="11"/>
      <c r="AS469" s="186"/>
      <c r="AT469" s="747"/>
      <c r="AU469" s="747"/>
      <c r="AV469" s="747"/>
      <c r="AW469" s="186"/>
      <c r="AX469" s="186"/>
      <c r="AY469" s="12"/>
      <c r="AZ469" s="685" t="s">
        <v>2032</v>
      </c>
      <c r="BA469" s="686" t="s">
        <v>2610</v>
      </c>
      <c r="BB469" s="687" t="s">
        <v>2644</v>
      </c>
      <c r="BC469" s="687" t="s">
        <v>1730</v>
      </c>
      <c r="BD469" s="687" t="s">
        <v>2490</v>
      </c>
      <c r="BE469" s="686">
        <v>0.03</v>
      </c>
      <c r="BF469" s="686">
        <v>1E-3</v>
      </c>
      <c r="BG469" s="688">
        <v>2.58</v>
      </c>
      <c r="BH469" s="11"/>
      <c r="BI469" s="186"/>
      <c r="BJ469" s="747"/>
      <c r="BK469" s="747"/>
      <c r="BL469" s="747"/>
      <c r="BM469" s="186"/>
      <c r="BN469" s="186"/>
      <c r="BO469" s="12"/>
      <c r="BP469" s="11"/>
      <c r="BQ469" s="186"/>
      <c r="BR469" s="747"/>
      <c r="BS469" s="747"/>
      <c r="BT469" s="747"/>
      <c r="BU469" s="186"/>
      <c r="BV469" s="186"/>
      <c r="BW469" s="12"/>
    </row>
    <row r="470" spans="9:75">
      <c r="I470" s="20"/>
      <c r="AI470" s="757"/>
      <c r="AJ470" s="195"/>
      <c r="AK470" s="186"/>
      <c r="AL470" s="747"/>
      <c r="AM470" s="747"/>
      <c r="AN470" s="747"/>
      <c r="AO470" s="186"/>
      <c r="AP470" s="186"/>
      <c r="AQ470" s="12"/>
      <c r="AR470" s="11"/>
      <c r="AS470" s="186"/>
      <c r="AT470" s="747"/>
      <c r="AU470" s="747"/>
      <c r="AV470" s="747"/>
      <c r="AW470" s="186"/>
      <c r="AX470" s="186"/>
      <c r="AY470" s="12"/>
      <c r="AZ470" s="685" t="s">
        <v>2032</v>
      </c>
      <c r="BA470" s="686" t="s">
        <v>2610</v>
      </c>
      <c r="BB470" s="687" t="s">
        <v>2645</v>
      </c>
      <c r="BC470" s="687" t="s">
        <v>1730</v>
      </c>
      <c r="BD470" s="687" t="s">
        <v>2490</v>
      </c>
      <c r="BE470" s="686">
        <v>0.03</v>
      </c>
      <c r="BF470" s="686">
        <v>1E-3</v>
      </c>
      <c r="BG470" s="688">
        <v>2.58</v>
      </c>
      <c r="BH470" s="11"/>
      <c r="BI470" s="186"/>
      <c r="BJ470" s="747"/>
      <c r="BK470" s="747"/>
      <c r="BL470" s="747"/>
      <c r="BM470" s="186"/>
      <c r="BN470" s="186"/>
      <c r="BO470" s="12"/>
      <c r="BP470" s="11"/>
      <c r="BQ470" s="186"/>
      <c r="BR470" s="747"/>
      <c r="BS470" s="747"/>
      <c r="BT470" s="747"/>
      <c r="BU470" s="186"/>
      <c r="BV470" s="186"/>
      <c r="BW470" s="12"/>
    </row>
    <row r="471" spans="9:75">
      <c r="I471" s="20"/>
      <c r="AI471" s="757"/>
      <c r="AJ471" s="195"/>
      <c r="AK471" s="186"/>
      <c r="AL471" s="747"/>
      <c r="AM471" s="747"/>
      <c r="AN471" s="747"/>
      <c r="AO471" s="186"/>
      <c r="AP471" s="186"/>
      <c r="AQ471" s="12"/>
      <c r="AR471" s="11"/>
      <c r="AS471" s="186"/>
      <c r="AT471" s="747"/>
      <c r="AU471" s="747"/>
      <c r="AV471" s="747"/>
      <c r="AW471" s="186"/>
      <c r="AX471" s="186"/>
      <c r="AY471" s="12"/>
      <c r="AZ471" s="685" t="s">
        <v>2032</v>
      </c>
      <c r="BA471" s="686" t="s">
        <v>2610</v>
      </c>
      <c r="BB471" s="687" t="s">
        <v>2646</v>
      </c>
      <c r="BC471" s="687" t="s">
        <v>1730</v>
      </c>
      <c r="BD471" s="687" t="s">
        <v>2490</v>
      </c>
      <c r="BE471" s="686">
        <v>1.4999999999999999E-2</v>
      </c>
      <c r="BF471" s="686">
        <v>5.0000000000000001E-4</v>
      </c>
      <c r="BG471" s="688">
        <v>2.58</v>
      </c>
      <c r="BH471" s="11"/>
      <c r="BI471" s="186"/>
      <c r="BJ471" s="747"/>
      <c r="BK471" s="747"/>
      <c r="BL471" s="747"/>
      <c r="BM471" s="186"/>
      <c r="BN471" s="186"/>
      <c r="BO471" s="12"/>
      <c r="BP471" s="11"/>
      <c r="BQ471" s="186"/>
      <c r="BR471" s="747"/>
      <c r="BS471" s="747"/>
      <c r="BT471" s="747"/>
      <c r="BU471" s="186"/>
      <c r="BV471" s="186"/>
      <c r="BW471" s="12"/>
    </row>
    <row r="472" spans="9:75">
      <c r="I472" s="20"/>
      <c r="AI472" s="757"/>
      <c r="AJ472" s="195"/>
      <c r="AK472" s="186"/>
      <c r="AL472" s="747"/>
      <c r="AM472" s="747"/>
      <c r="AN472" s="747"/>
      <c r="AO472" s="186"/>
      <c r="AP472" s="186"/>
      <c r="AQ472" s="12"/>
      <c r="AR472" s="11"/>
      <c r="AS472" s="186"/>
      <c r="AT472" s="747"/>
      <c r="AU472" s="747"/>
      <c r="AV472" s="747"/>
      <c r="AW472" s="186"/>
      <c r="AX472" s="186"/>
      <c r="AY472" s="12"/>
      <c r="AZ472" s="685" t="s">
        <v>2032</v>
      </c>
      <c r="BA472" s="686" t="s">
        <v>2610</v>
      </c>
      <c r="BB472" s="687" t="s">
        <v>2647</v>
      </c>
      <c r="BC472" s="687" t="s">
        <v>1730</v>
      </c>
      <c r="BD472" s="687" t="s">
        <v>2490</v>
      </c>
      <c r="BE472" s="686">
        <v>1.4999999999999999E-2</v>
      </c>
      <c r="BF472" s="686">
        <v>5.0000000000000001E-4</v>
      </c>
      <c r="BG472" s="688">
        <v>2.58</v>
      </c>
      <c r="BH472" s="11"/>
      <c r="BI472" s="186"/>
      <c r="BJ472" s="747"/>
      <c r="BK472" s="747"/>
      <c r="BL472" s="747"/>
      <c r="BM472" s="186"/>
      <c r="BN472" s="186"/>
      <c r="BO472" s="12"/>
      <c r="BP472" s="11"/>
      <c r="BQ472" s="186"/>
      <c r="BR472" s="747"/>
      <c r="BS472" s="747"/>
      <c r="BT472" s="747"/>
      <c r="BU472" s="186"/>
      <c r="BV472" s="186"/>
      <c r="BW472" s="12"/>
    </row>
    <row r="473" spans="9:75">
      <c r="I473" s="20"/>
      <c r="AI473" s="757"/>
      <c r="AJ473" s="195"/>
      <c r="AK473" s="186"/>
      <c r="AL473" s="747"/>
      <c r="AM473" s="747"/>
      <c r="AN473" s="747"/>
      <c r="AO473" s="186"/>
      <c r="AP473" s="186"/>
      <c r="AQ473" s="12"/>
      <c r="AR473" s="11"/>
      <c r="AS473" s="186"/>
      <c r="AT473" s="747"/>
      <c r="AU473" s="747"/>
      <c r="AV473" s="747"/>
      <c r="AW473" s="186"/>
      <c r="AX473" s="186"/>
      <c r="AY473" s="12"/>
      <c r="AZ473" s="685" t="s">
        <v>2032</v>
      </c>
      <c r="BA473" s="686" t="s">
        <v>2610</v>
      </c>
      <c r="BB473" s="687" t="s">
        <v>2648</v>
      </c>
      <c r="BC473" s="687" t="s">
        <v>1730</v>
      </c>
      <c r="BD473" s="687" t="s">
        <v>2490</v>
      </c>
      <c r="BE473" s="686">
        <v>1.4999999999999999E-2</v>
      </c>
      <c r="BF473" s="686">
        <v>5.0000000000000001E-4</v>
      </c>
      <c r="BG473" s="688">
        <v>2.58</v>
      </c>
      <c r="BH473" s="11"/>
      <c r="BI473" s="186"/>
      <c r="BJ473" s="747"/>
      <c r="BK473" s="747"/>
      <c r="BL473" s="747"/>
      <c r="BM473" s="186"/>
      <c r="BN473" s="186"/>
      <c r="BO473" s="12"/>
      <c r="BP473" s="11"/>
      <c r="BQ473" s="186"/>
      <c r="BR473" s="747"/>
      <c r="BS473" s="747"/>
      <c r="BT473" s="747"/>
      <c r="BU473" s="186"/>
      <c r="BV473" s="186"/>
      <c r="BW473" s="12"/>
    </row>
    <row r="474" spans="9:75">
      <c r="I474" s="20"/>
      <c r="AI474" s="757"/>
      <c r="AJ474" s="195"/>
      <c r="AK474" s="186"/>
      <c r="AL474" s="747"/>
      <c r="AM474" s="747"/>
      <c r="AN474" s="747"/>
      <c r="AO474" s="186"/>
      <c r="AP474" s="186"/>
      <c r="AQ474" s="12"/>
      <c r="AR474" s="11"/>
      <c r="AS474" s="186"/>
      <c r="AT474" s="747"/>
      <c r="AU474" s="747"/>
      <c r="AV474" s="747"/>
      <c r="AW474" s="186"/>
      <c r="AX474" s="186"/>
      <c r="AY474" s="12"/>
      <c r="AZ474" s="685" t="s">
        <v>2032</v>
      </c>
      <c r="BA474" s="686" t="s">
        <v>2610</v>
      </c>
      <c r="BB474" s="687" t="s">
        <v>2649</v>
      </c>
      <c r="BC474" s="687" t="s">
        <v>1730</v>
      </c>
      <c r="BD474" s="687" t="s">
        <v>2490</v>
      </c>
      <c r="BE474" s="686">
        <v>1.4999999999999999E-2</v>
      </c>
      <c r="BF474" s="686">
        <v>5.0000000000000001E-4</v>
      </c>
      <c r="BG474" s="688">
        <v>2.58</v>
      </c>
      <c r="BH474" s="11"/>
      <c r="BI474" s="186"/>
      <c r="BJ474" s="747"/>
      <c r="BK474" s="747"/>
      <c r="BL474" s="747"/>
      <c r="BM474" s="186"/>
      <c r="BN474" s="186"/>
      <c r="BO474" s="12"/>
      <c r="BP474" s="11"/>
      <c r="BQ474" s="186"/>
      <c r="BR474" s="747"/>
      <c r="BS474" s="747"/>
      <c r="BT474" s="747"/>
      <c r="BU474" s="186"/>
      <c r="BV474" s="186"/>
      <c r="BW474" s="12"/>
    </row>
    <row r="475" spans="9:75">
      <c r="I475" s="20"/>
      <c r="AI475" s="757"/>
      <c r="AJ475" s="195"/>
      <c r="AK475" s="186"/>
      <c r="AL475" s="747"/>
      <c r="AM475" s="747"/>
      <c r="AN475" s="747"/>
      <c r="AO475" s="186"/>
      <c r="AP475" s="186"/>
      <c r="AQ475" s="12"/>
      <c r="AR475" s="11"/>
      <c r="AS475" s="186"/>
      <c r="AT475" s="747"/>
      <c r="AU475" s="747"/>
      <c r="AV475" s="747"/>
      <c r="AW475" s="186"/>
      <c r="AX475" s="186"/>
      <c r="AY475" s="12"/>
      <c r="AZ475" s="685" t="s">
        <v>2032</v>
      </c>
      <c r="BA475" s="686" t="s">
        <v>2610</v>
      </c>
      <c r="BB475" s="687" t="s">
        <v>2650</v>
      </c>
      <c r="BC475" s="687" t="s">
        <v>1730</v>
      </c>
      <c r="BD475" s="687" t="s">
        <v>2490</v>
      </c>
      <c r="BE475" s="686">
        <v>1.4999999999999999E-2</v>
      </c>
      <c r="BF475" s="686">
        <v>5.0000000000000001E-4</v>
      </c>
      <c r="BG475" s="688">
        <v>2.58</v>
      </c>
      <c r="BH475" s="11"/>
      <c r="BI475" s="186"/>
      <c r="BJ475" s="747"/>
      <c r="BK475" s="747"/>
      <c r="BL475" s="747"/>
      <c r="BM475" s="186"/>
      <c r="BN475" s="186"/>
      <c r="BO475" s="12"/>
      <c r="BP475" s="11"/>
      <c r="BQ475" s="186"/>
      <c r="BR475" s="747"/>
      <c r="BS475" s="747"/>
      <c r="BT475" s="747"/>
      <c r="BU475" s="186"/>
      <c r="BV475" s="186"/>
      <c r="BW475" s="12"/>
    </row>
    <row r="476" spans="9:75">
      <c r="I476" s="20"/>
      <c r="AI476" s="757"/>
      <c r="AJ476" s="195"/>
      <c r="AK476" s="186"/>
      <c r="AL476" s="747"/>
      <c r="AM476" s="747"/>
      <c r="AN476" s="747"/>
      <c r="AO476" s="186"/>
      <c r="AP476" s="186"/>
      <c r="AQ476" s="12"/>
      <c r="AR476" s="11"/>
      <c r="AS476" s="186"/>
      <c r="AT476" s="747"/>
      <c r="AU476" s="747"/>
      <c r="AV476" s="747"/>
      <c r="AW476" s="186"/>
      <c r="AX476" s="186"/>
      <c r="AY476" s="12"/>
      <c r="AZ476" s="685" t="s">
        <v>2032</v>
      </c>
      <c r="BA476" s="686" t="s">
        <v>2610</v>
      </c>
      <c r="BB476" s="687" t="s">
        <v>2651</v>
      </c>
      <c r="BC476" s="687" t="s">
        <v>1730</v>
      </c>
      <c r="BD476" s="687" t="s">
        <v>2490</v>
      </c>
      <c r="BE476" s="686">
        <v>7.4999999999999997E-3</v>
      </c>
      <c r="BF476" s="686">
        <v>2.5000000000000001E-4</v>
      </c>
      <c r="BG476" s="688">
        <v>2.58</v>
      </c>
      <c r="BH476" s="11"/>
      <c r="BI476" s="186"/>
      <c r="BJ476" s="747"/>
      <c r="BK476" s="747"/>
      <c r="BL476" s="747"/>
      <c r="BM476" s="186"/>
      <c r="BN476" s="186"/>
      <c r="BO476" s="12"/>
      <c r="BP476" s="11"/>
      <c r="BQ476" s="186"/>
      <c r="BR476" s="747"/>
      <c r="BS476" s="747"/>
      <c r="BT476" s="747"/>
      <c r="BU476" s="186"/>
      <c r="BV476" s="186"/>
      <c r="BW476" s="12"/>
    </row>
    <row r="477" spans="9:75">
      <c r="I477" s="20"/>
      <c r="AI477" s="757"/>
      <c r="AJ477" s="195"/>
      <c r="AK477" s="186"/>
      <c r="AL477" s="747"/>
      <c r="AM477" s="747"/>
      <c r="AN477" s="747"/>
      <c r="AO477" s="186"/>
      <c r="AP477" s="186"/>
      <c r="AQ477" s="12"/>
      <c r="AR477" s="11"/>
      <c r="AS477" s="186"/>
      <c r="AT477" s="747"/>
      <c r="AU477" s="747"/>
      <c r="AV477" s="747"/>
      <c r="AW477" s="186"/>
      <c r="AX477" s="186"/>
      <c r="AY477" s="12"/>
      <c r="AZ477" s="800" t="s">
        <v>2032</v>
      </c>
      <c r="BA477" s="801" t="s">
        <v>1710</v>
      </c>
      <c r="BB477" s="802" t="s">
        <v>617</v>
      </c>
      <c r="BC477" s="802" t="s">
        <v>1730</v>
      </c>
      <c r="BD477" s="802" t="s">
        <v>4525</v>
      </c>
      <c r="BE477" s="801">
        <v>3.7499999999999999E-2</v>
      </c>
      <c r="BF477" s="801">
        <v>7.5000000000000002E-4</v>
      </c>
      <c r="BG477" s="803">
        <v>2.58</v>
      </c>
      <c r="BH477" s="11"/>
      <c r="BI477" s="186"/>
      <c r="BJ477" s="747"/>
      <c r="BK477" s="747"/>
      <c r="BL477" s="747"/>
      <c r="BM477" s="186"/>
      <c r="BN477" s="186"/>
      <c r="BO477" s="12"/>
      <c r="BP477" s="11"/>
      <c r="BQ477" s="186"/>
      <c r="BR477" s="747"/>
      <c r="BS477" s="747"/>
      <c r="BT477" s="747"/>
      <c r="BU477" s="186"/>
      <c r="BV477" s="186"/>
      <c r="BW477" s="12"/>
    </row>
    <row r="478" spans="9:75">
      <c r="I478" s="20"/>
      <c r="AI478" s="757"/>
      <c r="AJ478" s="195"/>
      <c r="AK478" s="186"/>
      <c r="AL478" s="747"/>
      <c r="AM478" s="747"/>
      <c r="AN478" s="747"/>
      <c r="AO478" s="186"/>
      <c r="AP478" s="186"/>
      <c r="AQ478" s="12"/>
      <c r="AR478" s="11"/>
      <c r="AS478" s="186"/>
      <c r="AT478" s="747"/>
      <c r="AU478" s="747"/>
      <c r="AV478" s="747"/>
      <c r="AW478" s="186"/>
      <c r="AX478" s="186"/>
      <c r="AY478" s="12"/>
      <c r="AZ478" s="11"/>
      <c r="BA478" s="186"/>
      <c r="BB478" s="747"/>
      <c r="BC478" s="747"/>
      <c r="BD478" s="747"/>
      <c r="BE478" s="186"/>
      <c r="BF478" s="186"/>
      <c r="BG478" s="12"/>
      <c r="BH478" s="11"/>
      <c r="BI478" s="186"/>
      <c r="BJ478" s="747"/>
      <c r="BK478" s="747"/>
      <c r="BL478" s="747"/>
      <c r="BM478" s="186"/>
      <c r="BN478" s="186"/>
      <c r="BO478" s="12"/>
      <c r="BP478" s="11"/>
      <c r="BQ478" s="186"/>
      <c r="BR478" s="747"/>
      <c r="BS478" s="747"/>
      <c r="BT478" s="747"/>
      <c r="BU478" s="186"/>
      <c r="BV478" s="186"/>
      <c r="BW478" s="12"/>
    </row>
    <row r="479" spans="9:75">
      <c r="I479" s="20"/>
      <c r="AI479" s="757"/>
      <c r="AJ479" s="195"/>
      <c r="AK479" s="186"/>
      <c r="AL479" s="747"/>
      <c r="AM479" s="747"/>
      <c r="AN479" s="747"/>
      <c r="AO479" s="186"/>
      <c r="AP479" s="186"/>
      <c r="AQ479" s="12"/>
      <c r="AR479" s="11"/>
      <c r="AS479" s="186"/>
      <c r="AT479" s="747"/>
      <c r="AU479" s="747"/>
      <c r="AV479" s="747"/>
      <c r="AW479" s="186"/>
      <c r="AX479" s="186"/>
      <c r="AY479" s="12"/>
      <c r="AZ479" s="11"/>
      <c r="BA479" s="186"/>
      <c r="BB479" s="747"/>
      <c r="BC479" s="747"/>
      <c r="BD479" s="747"/>
      <c r="BE479" s="186"/>
      <c r="BF479" s="186"/>
      <c r="BG479" s="12"/>
      <c r="BH479" s="11"/>
      <c r="BI479" s="186"/>
      <c r="BJ479" s="747"/>
      <c r="BK479" s="747"/>
      <c r="BL479" s="747"/>
      <c r="BM479" s="186"/>
      <c r="BN479" s="186"/>
      <c r="BO479" s="12"/>
      <c r="BP479" s="11"/>
      <c r="BQ479" s="186"/>
      <c r="BR479" s="747"/>
      <c r="BS479" s="747"/>
      <c r="BT479" s="747"/>
      <c r="BU479" s="186"/>
      <c r="BV479" s="186"/>
      <c r="BW479" s="12"/>
    </row>
    <row r="480" spans="9:75">
      <c r="I480" s="20"/>
      <c r="AI480" s="757"/>
      <c r="AJ480" s="195"/>
      <c r="AK480" s="186"/>
      <c r="AL480" s="747"/>
      <c r="AM480" s="747"/>
      <c r="AN480" s="747"/>
      <c r="AO480" s="186"/>
      <c r="AP480" s="186"/>
      <c r="AQ480" s="12"/>
      <c r="AR480" s="11"/>
      <c r="AS480" s="186"/>
      <c r="AT480" s="747"/>
      <c r="AU480" s="747"/>
      <c r="AV480" s="747"/>
      <c r="AW480" s="186"/>
      <c r="AX480" s="186"/>
      <c r="AY480" s="12"/>
      <c r="AZ480" s="11"/>
      <c r="BA480" s="186"/>
      <c r="BB480" s="747"/>
      <c r="BC480" s="747"/>
      <c r="BD480" s="747"/>
      <c r="BE480" s="186"/>
      <c r="BF480" s="186"/>
      <c r="BG480" s="12"/>
      <c r="BH480" s="11"/>
      <c r="BI480" s="186"/>
      <c r="BJ480" s="747"/>
      <c r="BK480" s="747"/>
      <c r="BL480" s="747"/>
      <c r="BM480" s="186"/>
      <c r="BN480" s="186"/>
      <c r="BO480" s="12"/>
      <c r="BP480" s="11"/>
      <c r="BQ480" s="186"/>
      <c r="BR480" s="747"/>
      <c r="BS480" s="747"/>
      <c r="BT480" s="747"/>
      <c r="BU480" s="186"/>
      <c r="BV480" s="186"/>
      <c r="BW480" s="12"/>
    </row>
    <row r="481" spans="1:75">
      <c r="I481" s="20"/>
      <c r="AI481" s="757"/>
      <c r="AJ481" s="195"/>
      <c r="AK481" s="186"/>
      <c r="AL481" s="747"/>
      <c r="AM481" s="747"/>
      <c r="AN481" s="747"/>
      <c r="AO481" s="186"/>
      <c r="AP481" s="186"/>
      <c r="AQ481" s="12"/>
      <c r="AR481" s="11"/>
      <c r="AS481" s="186"/>
      <c r="AT481" s="747"/>
      <c r="AU481" s="747"/>
      <c r="AV481" s="747"/>
      <c r="AW481" s="186"/>
      <c r="AX481" s="186"/>
      <c r="AY481" s="12"/>
      <c r="AZ481" s="11"/>
      <c r="BA481" s="186"/>
      <c r="BB481" s="747"/>
      <c r="BC481" s="747"/>
      <c r="BD481" s="747"/>
      <c r="BE481" s="186"/>
      <c r="BF481" s="186"/>
      <c r="BG481" s="12"/>
      <c r="BH481" s="11"/>
      <c r="BI481" s="186"/>
      <c r="BJ481" s="747"/>
      <c r="BK481" s="747"/>
      <c r="BL481" s="747"/>
      <c r="BM481" s="186"/>
      <c r="BN481" s="186"/>
      <c r="BO481" s="12"/>
      <c r="BP481" s="11"/>
      <c r="BQ481" s="186"/>
      <c r="BR481" s="747"/>
      <c r="BS481" s="747"/>
      <c r="BT481" s="747"/>
      <c r="BU481" s="186"/>
      <c r="BV481" s="186"/>
      <c r="BW481" s="12"/>
    </row>
    <row r="482" spans="1:75">
      <c r="I482" s="20"/>
      <c r="AI482" s="757"/>
      <c r="AJ482" s="195"/>
      <c r="AK482" s="186"/>
      <c r="AL482" s="747"/>
      <c r="AM482" s="747"/>
      <c r="AN482" s="747"/>
      <c r="AO482" s="186"/>
      <c r="AP482" s="186"/>
      <c r="AQ482" s="12"/>
      <c r="AR482" s="11"/>
      <c r="AS482" s="186"/>
      <c r="AT482" s="747"/>
      <c r="AU482" s="747"/>
      <c r="AV482" s="747"/>
      <c r="AW482" s="186"/>
      <c r="AX482" s="186"/>
      <c r="AY482" s="12"/>
      <c r="AZ482" s="11"/>
      <c r="BA482" s="186"/>
      <c r="BB482" s="747"/>
      <c r="BC482" s="747"/>
      <c r="BD482" s="747"/>
      <c r="BE482" s="186"/>
      <c r="BF482" s="186"/>
      <c r="BG482" s="12"/>
      <c r="BH482" s="11"/>
      <c r="BI482" s="186"/>
      <c r="BJ482" s="747"/>
      <c r="BK482" s="747"/>
      <c r="BL482" s="747"/>
      <c r="BM482" s="186"/>
      <c r="BN482" s="186"/>
      <c r="BO482" s="12"/>
      <c r="BP482" s="11"/>
      <c r="BQ482" s="186"/>
      <c r="BR482" s="747"/>
      <c r="BS482" s="747"/>
      <c r="BT482" s="747"/>
      <c r="BU482" s="186"/>
      <c r="BV482" s="186"/>
      <c r="BW482" s="12"/>
    </row>
    <row r="483" spans="1:75">
      <c r="A483" s="1" t="s">
        <v>1021</v>
      </c>
      <c r="B483" s="1" t="s">
        <v>961</v>
      </c>
      <c r="C483" s="1" t="s">
        <v>962</v>
      </c>
      <c r="D483" s="1" t="s">
        <v>523</v>
      </c>
      <c r="E483" s="1" t="s">
        <v>574</v>
      </c>
      <c r="F483" s="1">
        <v>0.02</v>
      </c>
      <c r="G483" s="1">
        <v>1.25E-3</v>
      </c>
      <c r="I483" s="20"/>
      <c r="J483" s="1" t="s">
        <v>759</v>
      </c>
      <c r="AI483" s="757"/>
      <c r="AJ483" s="195"/>
      <c r="AK483" s="186"/>
      <c r="AL483" s="747"/>
      <c r="AM483" s="747"/>
      <c r="AN483" s="747"/>
      <c r="AO483" s="186"/>
      <c r="AP483" s="186"/>
      <c r="AQ483" s="12"/>
      <c r="AR483" s="11"/>
      <c r="AS483" s="186"/>
      <c r="AT483" s="747"/>
      <c r="AU483" s="747"/>
      <c r="AV483" s="747"/>
      <c r="AW483" s="186"/>
      <c r="AX483" s="186"/>
      <c r="AY483" s="12"/>
      <c r="AZ483" s="11"/>
      <c r="BA483" s="186"/>
      <c r="BB483" s="747"/>
      <c r="BC483" s="747"/>
      <c r="BD483" s="747"/>
      <c r="BE483" s="186"/>
      <c r="BF483" s="186"/>
      <c r="BG483" s="12"/>
      <c r="BH483" s="11"/>
      <c r="BI483" s="186"/>
      <c r="BJ483" s="747"/>
      <c r="BK483" s="747"/>
      <c r="BL483" s="747"/>
      <c r="BM483" s="186"/>
      <c r="BN483" s="186"/>
      <c r="BO483" s="12"/>
      <c r="BP483" s="11"/>
      <c r="BQ483" s="186"/>
      <c r="BR483" s="747"/>
      <c r="BS483" s="747"/>
      <c r="BT483" s="747"/>
      <c r="BU483" s="186"/>
      <c r="BV483" s="186"/>
      <c r="BW483" s="12"/>
    </row>
    <row r="484" spans="1:75">
      <c r="A484" s="1" t="s">
        <v>1022</v>
      </c>
      <c r="B484" s="1" t="s">
        <v>1023</v>
      </c>
      <c r="C484" s="1" t="s">
        <v>1024</v>
      </c>
      <c r="D484" s="1" t="s">
        <v>1862</v>
      </c>
      <c r="E484" s="1" t="s">
        <v>1817</v>
      </c>
      <c r="F484" s="1">
        <v>2.83</v>
      </c>
      <c r="G484" s="1">
        <v>0.25</v>
      </c>
      <c r="H484" s="1">
        <v>2.62</v>
      </c>
      <c r="I484" s="20" t="s">
        <v>963</v>
      </c>
      <c r="AI484" s="757"/>
      <c r="AJ484" s="195"/>
      <c r="AK484" s="186"/>
      <c r="AL484" s="747"/>
      <c r="AM484" s="747"/>
      <c r="AN484" s="747"/>
      <c r="AO484" s="186"/>
      <c r="AP484" s="186"/>
      <c r="AQ484" s="12"/>
      <c r="AR484" s="11"/>
      <c r="AS484" s="186"/>
      <c r="AT484" s="747"/>
      <c r="AU484" s="747"/>
      <c r="AV484" s="747"/>
      <c r="AW484" s="186"/>
      <c r="AX484" s="186"/>
      <c r="AY484" s="12"/>
      <c r="AZ484" s="11"/>
      <c r="BA484" s="186"/>
      <c r="BB484" s="747"/>
      <c r="BC484" s="747"/>
      <c r="BD484" s="747"/>
      <c r="BE484" s="186"/>
      <c r="BF484" s="186"/>
      <c r="BG484" s="12"/>
      <c r="BH484" s="11"/>
      <c r="BI484" s="186"/>
      <c r="BJ484" s="747"/>
      <c r="BK484" s="747"/>
      <c r="BL484" s="747"/>
      <c r="BM484" s="186"/>
      <c r="BN484" s="186"/>
      <c r="BO484" s="12"/>
      <c r="BP484" s="11"/>
      <c r="BQ484" s="186"/>
      <c r="BR484" s="747"/>
      <c r="BS484" s="747"/>
      <c r="BT484" s="747"/>
      <c r="BU484" s="186"/>
      <c r="BV484" s="186"/>
      <c r="BW484" s="12"/>
    </row>
    <row r="485" spans="1:75">
      <c r="A485" s="1" t="s">
        <v>1025</v>
      </c>
      <c r="B485" s="1" t="s">
        <v>1023</v>
      </c>
      <c r="C485" s="1" t="s">
        <v>1024</v>
      </c>
      <c r="D485" s="1" t="s">
        <v>1864</v>
      </c>
      <c r="E485" s="1" t="s">
        <v>1838</v>
      </c>
      <c r="F485" s="1">
        <v>2.5299999999999998</v>
      </c>
      <c r="G485" s="1">
        <v>0.25</v>
      </c>
      <c r="H485" s="1">
        <v>2.62</v>
      </c>
      <c r="I485" s="20" t="s">
        <v>963</v>
      </c>
      <c r="AI485" s="757"/>
      <c r="AJ485" s="195"/>
      <c r="AK485" s="186"/>
      <c r="AL485" s="747"/>
      <c r="AM485" s="747"/>
      <c r="AN485" s="747"/>
      <c r="AO485" s="186"/>
      <c r="AP485" s="186"/>
      <c r="AQ485" s="12"/>
      <c r="AR485" s="11"/>
      <c r="AS485" s="186"/>
      <c r="AT485" s="747"/>
      <c r="AU485" s="747"/>
      <c r="AV485" s="747"/>
      <c r="AW485" s="186"/>
      <c r="AX485" s="186"/>
      <c r="AY485" s="12"/>
      <c r="AZ485" s="11"/>
      <c r="BA485" s="186"/>
      <c r="BB485" s="747"/>
      <c r="BC485" s="747"/>
      <c r="BD485" s="747"/>
      <c r="BE485" s="186"/>
      <c r="BF485" s="186"/>
      <c r="BG485" s="12"/>
      <c r="BH485" s="11"/>
      <c r="BI485" s="186"/>
      <c r="BJ485" s="747"/>
      <c r="BK485" s="747"/>
      <c r="BL485" s="747"/>
      <c r="BM485" s="186"/>
      <c r="BN485" s="186"/>
      <c r="BO485" s="12"/>
      <c r="BP485" s="11"/>
      <c r="BQ485" s="186"/>
      <c r="BR485" s="747"/>
      <c r="BS485" s="747"/>
      <c r="BT485" s="747"/>
      <c r="BU485" s="186"/>
      <c r="BV485" s="186"/>
      <c r="BW485" s="12"/>
    </row>
    <row r="486" spans="1:75">
      <c r="A486" s="1" t="s">
        <v>1026</v>
      </c>
      <c r="B486" s="1" t="s">
        <v>1023</v>
      </c>
      <c r="C486" s="1" t="s">
        <v>1024</v>
      </c>
      <c r="D486" s="1" t="s">
        <v>1865</v>
      </c>
      <c r="E486" s="1" t="s">
        <v>1807</v>
      </c>
      <c r="F486" s="1">
        <v>2.16</v>
      </c>
      <c r="G486" s="1">
        <v>0.25</v>
      </c>
      <c r="H486" s="1">
        <v>2.62</v>
      </c>
      <c r="I486" s="20" t="s">
        <v>963</v>
      </c>
      <c r="AI486" s="757"/>
      <c r="AJ486" s="195"/>
      <c r="AK486" s="186"/>
      <c r="AL486" s="747"/>
      <c r="AM486" s="747"/>
      <c r="AN486" s="747"/>
      <c r="AO486" s="186"/>
      <c r="AP486" s="186"/>
      <c r="AQ486" s="12"/>
      <c r="AR486" s="11"/>
      <c r="AS486" s="186"/>
      <c r="AT486" s="747"/>
      <c r="AU486" s="747"/>
      <c r="AV486" s="747"/>
      <c r="AW486" s="186"/>
      <c r="AX486" s="186"/>
      <c r="AY486" s="12"/>
      <c r="AZ486" s="11"/>
      <c r="BA486" s="186"/>
      <c r="BB486" s="747"/>
      <c r="BC486" s="747"/>
      <c r="BD486" s="747"/>
      <c r="BE486" s="186"/>
      <c r="BF486" s="186"/>
      <c r="BG486" s="12"/>
      <c r="BH486" s="11"/>
      <c r="BI486" s="186"/>
      <c r="BJ486" s="747"/>
      <c r="BK486" s="747"/>
      <c r="BL486" s="747"/>
      <c r="BM486" s="186"/>
      <c r="BN486" s="186"/>
      <c r="BO486" s="12"/>
      <c r="BP486" s="11"/>
      <c r="BQ486" s="186"/>
      <c r="BR486" s="747"/>
      <c r="BS486" s="747"/>
      <c r="BT486" s="747"/>
      <c r="BU486" s="186"/>
      <c r="BV486" s="186"/>
      <c r="BW486" s="12"/>
    </row>
    <row r="487" spans="1:75">
      <c r="A487" s="1" t="s">
        <v>1027</v>
      </c>
      <c r="B487" s="1" t="s">
        <v>1023</v>
      </c>
      <c r="C487" s="1" t="s">
        <v>1024</v>
      </c>
      <c r="D487" s="1" t="s">
        <v>1865</v>
      </c>
      <c r="E487" s="1" t="s">
        <v>1808</v>
      </c>
      <c r="F487" s="1">
        <v>2.16</v>
      </c>
      <c r="G487" s="1">
        <v>0.25</v>
      </c>
      <c r="H487" s="1">
        <v>2.62</v>
      </c>
      <c r="I487" s="20" t="s">
        <v>963</v>
      </c>
      <c r="AI487" s="757"/>
      <c r="AJ487" s="195"/>
      <c r="AK487" s="186"/>
      <c r="AL487" s="747"/>
      <c r="AM487" s="747"/>
      <c r="AN487" s="747"/>
      <c r="AO487" s="186"/>
      <c r="AP487" s="186"/>
      <c r="AQ487" s="12"/>
      <c r="AR487" s="11"/>
      <c r="AS487" s="186"/>
      <c r="AT487" s="747"/>
      <c r="AU487" s="747"/>
      <c r="AV487" s="747"/>
      <c r="AW487" s="186"/>
      <c r="AX487" s="186"/>
      <c r="AY487" s="12"/>
      <c r="AZ487" s="11"/>
      <c r="BA487" s="186"/>
      <c r="BB487" s="747"/>
      <c r="BC487" s="747"/>
      <c r="BD487" s="747"/>
      <c r="BE487" s="186"/>
      <c r="BF487" s="186"/>
      <c r="BG487" s="12"/>
      <c r="BH487" s="11"/>
      <c r="BI487" s="186"/>
      <c r="BJ487" s="747"/>
      <c r="BK487" s="747"/>
      <c r="BL487" s="747"/>
      <c r="BM487" s="186"/>
      <c r="BN487" s="186"/>
      <c r="BO487" s="12"/>
      <c r="BP487" s="11"/>
      <c r="BQ487" s="186"/>
      <c r="BR487" s="747"/>
      <c r="BS487" s="747"/>
      <c r="BT487" s="747"/>
      <c r="BU487" s="186"/>
      <c r="BV487" s="186"/>
      <c r="BW487" s="12"/>
    </row>
    <row r="488" spans="1:75" ht="12.75" thickBot="1">
      <c r="A488" s="1" t="s">
        <v>1028</v>
      </c>
      <c r="B488" s="1" t="s">
        <v>1023</v>
      </c>
      <c r="C488" s="1" t="s">
        <v>1024</v>
      </c>
      <c r="D488" s="1" t="s">
        <v>1868</v>
      </c>
      <c r="E488" s="1" t="s">
        <v>1869</v>
      </c>
      <c r="F488" s="1">
        <v>1.93</v>
      </c>
      <c r="G488" s="1">
        <v>0.25</v>
      </c>
      <c r="H488" s="1">
        <v>2.62</v>
      </c>
      <c r="I488" s="20" t="s">
        <v>963</v>
      </c>
      <c r="AI488" s="757"/>
      <c r="AJ488" s="195"/>
      <c r="AK488" s="186"/>
      <c r="AL488" s="747"/>
      <c r="AM488" s="747"/>
      <c r="AN488" s="747"/>
      <c r="AO488" s="186"/>
      <c r="AP488" s="186"/>
      <c r="AQ488" s="12"/>
      <c r="AR488" s="11"/>
      <c r="AS488" s="186"/>
      <c r="AT488" s="747"/>
      <c r="AU488" s="747"/>
      <c r="AV488" s="747"/>
      <c r="AW488" s="186"/>
      <c r="AX488" s="186"/>
      <c r="AY488" s="12"/>
      <c r="AZ488" s="11"/>
      <c r="BA488" s="186"/>
      <c r="BB488" s="747"/>
      <c r="BC488" s="747"/>
      <c r="BD488" s="747"/>
      <c r="BE488" s="186"/>
      <c r="BF488" s="186"/>
      <c r="BG488" s="12"/>
      <c r="BH488" s="11"/>
      <c r="BI488" s="186"/>
      <c r="BJ488" s="747"/>
      <c r="BK488" s="747"/>
      <c r="BL488" s="747"/>
      <c r="BM488" s="186"/>
      <c r="BN488" s="186"/>
      <c r="BO488" s="12"/>
      <c r="BP488" s="11"/>
      <c r="BQ488" s="186"/>
      <c r="BR488" s="747"/>
      <c r="BS488" s="747"/>
      <c r="BT488" s="747"/>
      <c r="BU488" s="186"/>
      <c r="BV488" s="186"/>
      <c r="BW488" s="12"/>
    </row>
    <row r="489" spans="1:75">
      <c r="A489" s="1" t="s">
        <v>1029</v>
      </c>
      <c r="B489" s="1" t="s">
        <v>1023</v>
      </c>
      <c r="C489" s="1" t="s">
        <v>1024</v>
      </c>
      <c r="D489" s="1" t="s">
        <v>1971</v>
      </c>
      <c r="E489" s="1" t="s">
        <v>1888</v>
      </c>
      <c r="F489" s="1">
        <v>1.3</v>
      </c>
      <c r="G489" s="1">
        <v>0.25</v>
      </c>
      <c r="H489" s="1">
        <v>2.62</v>
      </c>
      <c r="I489" s="20" t="s">
        <v>963</v>
      </c>
      <c r="AI489" s="763">
        <v>5</v>
      </c>
      <c r="AJ489" s="184" t="s">
        <v>2810</v>
      </c>
      <c r="AK489" s="185" t="s">
        <v>1862</v>
      </c>
      <c r="AL489" s="21" t="s">
        <v>1817</v>
      </c>
      <c r="AM489" s="21" t="s">
        <v>1730</v>
      </c>
      <c r="AN489" s="21" t="s">
        <v>1730</v>
      </c>
      <c r="AO489" s="185">
        <v>1.17</v>
      </c>
      <c r="AP489" s="185">
        <v>0</v>
      </c>
      <c r="AQ489" s="10">
        <v>2.3199999999999998</v>
      </c>
      <c r="AR489" s="9" t="s">
        <v>2812</v>
      </c>
      <c r="AS489" s="185" t="s">
        <v>1862</v>
      </c>
      <c r="AT489" s="21" t="s">
        <v>1817</v>
      </c>
      <c r="AU489" s="21" t="s">
        <v>1730</v>
      </c>
      <c r="AV489" s="21" t="s">
        <v>1730</v>
      </c>
      <c r="AW489" s="185">
        <v>1.17</v>
      </c>
      <c r="AX489" s="185">
        <v>0</v>
      </c>
      <c r="AY489" s="10">
        <v>3</v>
      </c>
      <c r="AZ489" s="9" t="s">
        <v>2032</v>
      </c>
      <c r="BA489" s="185" t="s">
        <v>1862</v>
      </c>
      <c r="BB489" s="21" t="s">
        <v>1817</v>
      </c>
      <c r="BC489" s="21" t="s">
        <v>1730</v>
      </c>
      <c r="BD489" s="21" t="s">
        <v>1730</v>
      </c>
      <c r="BE489" s="185">
        <v>0.9</v>
      </c>
      <c r="BF489" s="185">
        <v>6.5000000000000002E-2</v>
      </c>
      <c r="BG489" s="10">
        <v>2.58</v>
      </c>
      <c r="BH489" s="9" t="s">
        <v>2066</v>
      </c>
      <c r="BI489" s="185" t="s">
        <v>1720</v>
      </c>
      <c r="BJ489" s="21" t="s">
        <v>2067</v>
      </c>
      <c r="BK489" s="21" t="s">
        <v>515</v>
      </c>
      <c r="BL489" s="21" t="s">
        <v>1730</v>
      </c>
      <c r="BM489" s="185">
        <v>9.7500000000000003E-2</v>
      </c>
      <c r="BN489" s="185">
        <v>0</v>
      </c>
      <c r="BO489" s="10">
        <v>2.23</v>
      </c>
      <c r="BP489" s="9" t="s">
        <v>2097</v>
      </c>
      <c r="BQ489" s="185" t="s">
        <v>1720</v>
      </c>
      <c r="BR489" s="21" t="s">
        <v>2067</v>
      </c>
      <c r="BS489" s="21" t="s">
        <v>515</v>
      </c>
      <c r="BT489" s="21" t="s">
        <v>1730</v>
      </c>
      <c r="BU489" s="185">
        <v>9.7500000000000003E-2</v>
      </c>
      <c r="BV489" s="185">
        <v>0</v>
      </c>
      <c r="BW489" s="10">
        <v>1.37</v>
      </c>
    </row>
    <row r="490" spans="1:75">
      <c r="A490" s="1" t="s">
        <v>1030</v>
      </c>
      <c r="B490" s="1" t="s">
        <v>1023</v>
      </c>
      <c r="C490" s="1" t="s">
        <v>1024</v>
      </c>
      <c r="D490" s="1" t="s">
        <v>1992</v>
      </c>
      <c r="E490" s="1" t="s">
        <v>1993</v>
      </c>
      <c r="F490" s="1">
        <v>0.7</v>
      </c>
      <c r="G490" s="1">
        <v>0.09</v>
      </c>
      <c r="H490" s="1">
        <v>2.62</v>
      </c>
      <c r="I490" s="20" t="s">
        <v>963</v>
      </c>
      <c r="AI490" s="757"/>
      <c r="AJ490" s="195" t="s">
        <v>2810</v>
      </c>
      <c r="AK490" s="186" t="s">
        <v>1864</v>
      </c>
      <c r="AL490" s="747" t="s">
        <v>1805</v>
      </c>
      <c r="AM490" s="747" t="s">
        <v>1730</v>
      </c>
      <c r="AN490" s="747" t="s">
        <v>1730</v>
      </c>
      <c r="AO490" s="186">
        <v>0.83</v>
      </c>
      <c r="AP490" s="186">
        <v>0</v>
      </c>
      <c r="AQ490" s="12">
        <v>2.3199999999999998</v>
      </c>
      <c r="AR490" s="11" t="s">
        <v>2809</v>
      </c>
      <c r="AS490" s="186" t="s">
        <v>1864</v>
      </c>
      <c r="AT490" s="747" t="s">
        <v>1805</v>
      </c>
      <c r="AU490" s="747" t="s">
        <v>1730</v>
      </c>
      <c r="AV490" s="747" t="s">
        <v>1730</v>
      </c>
      <c r="AW490" s="186">
        <v>0.83</v>
      </c>
      <c r="AX490" s="186">
        <v>0</v>
      </c>
      <c r="AY490" s="12">
        <v>3</v>
      </c>
      <c r="AZ490" s="11" t="s">
        <v>2032</v>
      </c>
      <c r="BA490" s="186" t="s">
        <v>1864</v>
      </c>
      <c r="BB490" s="747" t="s">
        <v>1838</v>
      </c>
      <c r="BC490" s="747" t="s">
        <v>1730</v>
      </c>
      <c r="BD490" s="747" t="s">
        <v>1730</v>
      </c>
      <c r="BE490" s="186">
        <v>0.75</v>
      </c>
      <c r="BF490" s="186">
        <v>6.5000000000000002E-2</v>
      </c>
      <c r="BG490" s="12">
        <v>2.58</v>
      </c>
      <c r="BH490" s="11" t="s">
        <v>2066</v>
      </c>
      <c r="BI490" s="186" t="s">
        <v>1720</v>
      </c>
      <c r="BJ490" s="747" t="s">
        <v>2068</v>
      </c>
      <c r="BK490" s="747" t="s">
        <v>516</v>
      </c>
      <c r="BL490" s="747" t="s">
        <v>1730</v>
      </c>
      <c r="BM490" s="186">
        <v>6.5000000000000002E-2</v>
      </c>
      <c r="BN490" s="186">
        <v>0</v>
      </c>
      <c r="BO490" s="12">
        <v>2.23</v>
      </c>
      <c r="BP490" s="11" t="s">
        <v>2097</v>
      </c>
      <c r="BQ490" s="186" t="s">
        <v>1720</v>
      </c>
      <c r="BR490" s="747" t="s">
        <v>2068</v>
      </c>
      <c r="BS490" s="747" t="s">
        <v>516</v>
      </c>
      <c r="BT490" s="747" t="s">
        <v>1730</v>
      </c>
      <c r="BU490" s="186">
        <v>6.5000000000000002E-2</v>
      </c>
      <c r="BV490" s="186">
        <v>0</v>
      </c>
      <c r="BW490" s="12">
        <v>1.37</v>
      </c>
    </row>
    <row r="491" spans="1:75">
      <c r="A491" s="1" t="s">
        <v>1031</v>
      </c>
      <c r="B491" s="1" t="s">
        <v>1023</v>
      </c>
      <c r="C491" s="1" t="s">
        <v>1024</v>
      </c>
      <c r="D491" s="1" t="s">
        <v>1992</v>
      </c>
      <c r="E491" s="1" t="s">
        <v>1994</v>
      </c>
      <c r="F491" s="1">
        <v>0.35</v>
      </c>
      <c r="G491" s="1">
        <v>4.4999999999999998E-2</v>
      </c>
      <c r="H491" s="1">
        <v>2.62</v>
      </c>
      <c r="I491" s="20" t="s">
        <v>691</v>
      </c>
      <c r="J491" s="1" t="s">
        <v>692</v>
      </c>
      <c r="AI491" s="757"/>
      <c r="AJ491" s="195" t="s">
        <v>2810</v>
      </c>
      <c r="AK491" s="186" t="s">
        <v>1899</v>
      </c>
      <c r="AL491" s="747" t="s">
        <v>1833</v>
      </c>
      <c r="AM491" s="747" t="s">
        <v>1730</v>
      </c>
      <c r="AN491" s="747" t="s">
        <v>1730</v>
      </c>
      <c r="AO491" s="186">
        <v>0.56999999999999995</v>
      </c>
      <c r="AP491" s="186">
        <v>0</v>
      </c>
      <c r="AQ491" s="12">
        <v>2.3199999999999998</v>
      </c>
      <c r="AR491" s="11" t="s">
        <v>2812</v>
      </c>
      <c r="AS491" s="186" t="s">
        <v>1899</v>
      </c>
      <c r="AT491" s="747" t="s">
        <v>1833</v>
      </c>
      <c r="AU491" s="747" t="s">
        <v>1730</v>
      </c>
      <c r="AV491" s="747" t="s">
        <v>1730</v>
      </c>
      <c r="AW491" s="186">
        <v>0.56999999999999995</v>
      </c>
      <c r="AX491" s="186">
        <v>0</v>
      </c>
      <c r="AY491" s="12">
        <v>3</v>
      </c>
      <c r="AZ491" s="11" t="s">
        <v>2032</v>
      </c>
      <c r="BA491" s="186" t="s">
        <v>1865</v>
      </c>
      <c r="BB491" s="747" t="s">
        <v>1807</v>
      </c>
      <c r="BC491" s="747" t="s">
        <v>1730</v>
      </c>
      <c r="BD491" s="747" t="s">
        <v>1730</v>
      </c>
      <c r="BE491" s="186">
        <v>0.65</v>
      </c>
      <c r="BF491" s="186">
        <v>6.5000000000000002E-2</v>
      </c>
      <c r="BG491" s="12">
        <v>2.58</v>
      </c>
      <c r="BH491" s="11" t="s">
        <v>2066</v>
      </c>
      <c r="BI491" s="186" t="s">
        <v>1720</v>
      </c>
      <c r="BJ491" s="747" t="s">
        <v>2069</v>
      </c>
      <c r="BK491" s="747" t="s">
        <v>517</v>
      </c>
      <c r="BL491" s="747" t="s">
        <v>1730</v>
      </c>
      <c r="BM491" s="186">
        <v>3.2500000000000001E-2</v>
      </c>
      <c r="BN491" s="186">
        <v>0</v>
      </c>
      <c r="BO491" s="12">
        <v>2.23</v>
      </c>
      <c r="BP491" s="11" t="s">
        <v>2097</v>
      </c>
      <c r="BQ491" s="186" t="s">
        <v>1720</v>
      </c>
      <c r="BR491" s="747" t="s">
        <v>2069</v>
      </c>
      <c r="BS491" s="747" t="s">
        <v>517</v>
      </c>
      <c r="BT491" s="747" t="s">
        <v>1730</v>
      </c>
      <c r="BU491" s="186">
        <v>3.2500000000000001E-2</v>
      </c>
      <c r="BV491" s="186">
        <v>0</v>
      </c>
      <c r="BW491" s="12">
        <v>1.37</v>
      </c>
    </row>
    <row r="492" spans="1:75">
      <c r="A492" s="1" t="s">
        <v>1032</v>
      </c>
      <c r="B492" s="1" t="s">
        <v>1023</v>
      </c>
      <c r="C492" s="1" t="s">
        <v>1024</v>
      </c>
      <c r="D492" s="1" t="s">
        <v>1992</v>
      </c>
      <c r="E492" s="1" t="s">
        <v>1995</v>
      </c>
      <c r="F492" s="1">
        <v>0.7</v>
      </c>
      <c r="G492" s="1">
        <v>0.09</v>
      </c>
      <c r="H492" s="1">
        <v>2.62</v>
      </c>
      <c r="I492" s="20" t="s">
        <v>963</v>
      </c>
      <c r="AI492" s="757"/>
      <c r="AJ492" s="195" t="s">
        <v>2811</v>
      </c>
      <c r="AK492" s="186" t="s">
        <v>1884</v>
      </c>
      <c r="AL492" s="747" t="s">
        <v>1824</v>
      </c>
      <c r="AM492" s="747" t="s">
        <v>1730</v>
      </c>
      <c r="AN492" s="747" t="s">
        <v>1730</v>
      </c>
      <c r="AO492" s="186">
        <v>0.49</v>
      </c>
      <c r="AP492" s="186">
        <v>0</v>
      </c>
      <c r="AQ492" s="12">
        <v>2.3199999999999998</v>
      </c>
      <c r="AR492" s="11" t="s">
        <v>2809</v>
      </c>
      <c r="AS492" s="186" t="s">
        <v>1884</v>
      </c>
      <c r="AT492" s="747" t="s">
        <v>1824</v>
      </c>
      <c r="AU492" s="747" t="s">
        <v>1730</v>
      </c>
      <c r="AV492" s="747" t="s">
        <v>1730</v>
      </c>
      <c r="AW492" s="186">
        <v>0.49</v>
      </c>
      <c r="AX492" s="186">
        <v>0</v>
      </c>
      <c r="AY492" s="12">
        <v>3</v>
      </c>
      <c r="AZ492" s="11" t="s">
        <v>2032</v>
      </c>
      <c r="BA492" s="186" t="s">
        <v>1865</v>
      </c>
      <c r="BB492" s="747" t="s">
        <v>1808</v>
      </c>
      <c r="BC492" s="747" t="s">
        <v>1730</v>
      </c>
      <c r="BD492" s="747" t="s">
        <v>1730</v>
      </c>
      <c r="BE492" s="186">
        <v>0.65</v>
      </c>
      <c r="BF492" s="186">
        <v>6.5000000000000002E-2</v>
      </c>
      <c r="BG492" s="12">
        <v>2.58</v>
      </c>
      <c r="BH492" s="11" t="s">
        <v>2066</v>
      </c>
      <c r="BI492" s="186" t="s">
        <v>1710</v>
      </c>
      <c r="BJ492" s="747" t="s">
        <v>2070</v>
      </c>
      <c r="BK492" s="747" t="s">
        <v>1730</v>
      </c>
      <c r="BL492" s="747" t="s">
        <v>1730</v>
      </c>
      <c r="BM492" s="186">
        <v>7.4999999999999997E-2</v>
      </c>
      <c r="BN492" s="186">
        <v>0</v>
      </c>
      <c r="BO492" s="12">
        <v>2.23</v>
      </c>
      <c r="BP492" s="11" t="s">
        <v>2097</v>
      </c>
      <c r="BQ492" s="186" t="s">
        <v>1710</v>
      </c>
      <c r="BR492" s="747" t="s">
        <v>2098</v>
      </c>
      <c r="BS492" s="747" t="s">
        <v>1730</v>
      </c>
      <c r="BT492" s="747" t="s">
        <v>1730</v>
      </c>
      <c r="BU492" s="186">
        <v>7.4999999999999997E-2</v>
      </c>
      <c r="BV492" s="186">
        <v>0</v>
      </c>
      <c r="BW492" s="12">
        <v>1.37</v>
      </c>
    </row>
    <row r="493" spans="1:75">
      <c r="A493" s="1" t="s">
        <v>1033</v>
      </c>
      <c r="B493" s="1" t="s">
        <v>1023</v>
      </c>
      <c r="C493" s="1" t="s">
        <v>1024</v>
      </c>
      <c r="D493" s="1" t="s">
        <v>1992</v>
      </c>
      <c r="E493" s="1" t="s">
        <v>1996</v>
      </c>
      <c r="F493" s="1">
        <v>0.35</v>
      </c>
      <c r="G493" s="1">
        <v>4.4999999999999998E-2</v>
      </c>
      <c r="H493" s="1">
        <v>2.62</v>
      </c>
      <c r="I493" s="20" t="s">
        <v>691</v>
      </c>
      <c r="J493" s="1" t="s">
        <v>692</v>
      </c>
      <c r="AI493" s="757"/>
      <c r="AJ493" s="195" t="s">
        <v>2811</v>
      </c>
      <c r="AK493" s="186" t="s">
        <v>1952</v>
      </c>
      <c r="AL493" s="747" t="s">
        <v>1834</v>
      </c>
      <c r="AM493" s="747" t="s">
        <v>1730</v>
      </c>
      <c r="AN493" s="747" t="s">
        <v>1730</v>
      </c>
      <c r="AO493" s="186">
        <v>0.4</v>
      </c>
      <c r="AP493" s="186">
        <v>0</v>
      </c>
      <c r="AQ493" s="12">
        <v>2.3199999999999998</v>
      </c>
      <c r="AR493" s="11" t="s">
        <v>2809</v>
      </c>
      <c r="AS493" s="186" t="s">
        <v>1952</v>
      </c>
      <c r="AT493" s="747" t="s">
        <v>1834</v>
      </c>
      <c r="AU493" s="747" t="s">
        <v>1730</v>
      </c>
      <c r="AV493" s="747" t="s">
        <v>1730</v>
      </c>
      <c r="AW493" s="186">
        <v>0.4</v>
      </c>
      <c r="AX493" s="186">
        <v>0</v>
      </c>
      <c r="AY493" s="12">
        <v>3</v>
      </c>
      <c r="AZ493" s="11" t="s">
        <v>2032</v>
      </c>
      <c r="BA493" s="186" t="s">
        <v>1915</v>
      </c>
      <c r="BB493" s="747" t="s">
        <v>1809</v>
      </c>
      <c r="BC493" s="747" t="s">
        <v>1730</v>
      </c>
      <c r="BD493" s="747" t="s">
        <v>1730</v>
      </c>
      <c r="BE493" s="186">
        <v>0.56000000000000005</v>
      </c>
      <c r="BF493" s="186">
        <v>6.5000000000000002E-2</v>
      </c>
      <c r="BG493" s="12">
        <v>2.58</v>
      </c>
      <c r="BH493" s="11" t="s">
        <v>2066</v>
      </c>
      <c r="BI493" s="186" t="s">
        <v>1710</v>
      </c>
      <c r="BJ493" s="747" t="s">
        <v>2071</v>
      </c>
      <c r="BK493" s="747" t="s">
        <v>1730</v>
      </c>
      <c r="BL493" s="747" t="s">
        <v>1730</v>
      </c>
      <c r="BM493" s="186">
        <v>3.7499999999999999E-2</v>
      </c>
      <c r="BN493" s="186">
        <v>0</v>
      </c>
      <c r="BO493" s="12">
        <v>2.23</v>
      </c>
      <c r="BP493" s="11" t="s">
        <v>2097</v>
      </c>
      <c r="BQ493" s="186" t="s">
        <v>1710</v>
      </c>
      <c r="BR493" s="747" t="s">
        <v>2099</v>
      </c>
      <c r="BS493" s="747" t="s">
        <v>1730</v>
      </c>
      <c r="BT493" s="747" t="s">
        <v>1730</v>
      </c>
      <c r="BU493" s="186">
        <v>3.7499999999999999E-2</v>
      </c>
      <c r="BV493" s="186">
        <v>0</v>
      </c>
      <c r="BW493" s="12">
        <v>1.37</v>
      </c>
    </row>
    <row r="494" spans="1:75">
      <c r="A494" s="1" t="s">
        <v>1034</v>
      </c>
      <c r="B494" s="1" t="s">
        <v>1023</v>
      </c>
      <c r="C494" s="1" t="s">
        <v>1024</v>
      </c>
      <c r="D494" s="1" t="s">
        <v>1992</v>
      </c>
      <c r="E494" s="1" t="s">
        <v>1997</v>
      </c>
      <c r="F494" s="1">
        <v>0.52500000000000002</v>
      </c>
      <c r="G494" s="1">
        <v>6.7500000000000004E-2</v>
      </c>
      <c r="H494" s="1">
        <v>2.62</v>
      </c>
      <c r="I494" s="20" t="s">
        <v>963</v>
      </c>
      <c r="J494" s="1" t="s">
        <v>515</v>
      </c>
      <c r="AI494" s="757"/>
      <c r="AJ494" s="195" t="s">
        <v>2811</v>
      </c>
      <c r="AK494" s="186" t="s">
        <v>1953</v>
      </c>
      <c r="AL494" s="747" t="s">
        <v>1835</v>
      </c>
      <c r="AM494" s="747" t="s">
        <v>1730</v>
      </c>
      <c r="AN494" s="747" t="s">
        <v>1730</v>
      </c>
      <c r="AO494" s="186">
        <v>0.33</v>
      </c>
      <c r="AP494" s="186">
        <v>0</v>
      </c>
      <c r="AQ494" s="12">
        <v>2.3199999999999998</v>
      </c>
      <c r="AR494" s="11" t="s">
        <v>2812</v>
      </c>
      <c r="AS494" s="186" t="s">
        <v>1953</v>
      </c>
      <c r="AT494" s="747" t="s">
        <v>1835</v>
      </c>
      <c r="AU494" s="747" t="s">
        <v>1730</v>
      </c>
      <c r="AV494" s="747" t="s">
        <v>1730</v>
      </c>
      <c r="AW494" s="186">
        <v>0.33</v>
      </c>
      <c r="AX494" s="186">
        <v>0</v>
      </c>
      <c r="AY494" s="12">
        <v>3</v>
      </c>
      <c r="AZ494" s="11" t="s">
        <v>2032</v>
      </c>
      <c r="BA494" s="186" t="s">
        <v>1915</v>
      </c>
      <c r="BB494" s="747" t="s">
        <v>1810</v>
      </c>
      <c r="BC494" s="747" t="s">
        <v>1730</v>
      </c>
      <c r="BD494" s="747" t="s">
        <v>1730</v>
      </c>
      <c r="BE494" s="186">
        <v>0.56000000000000005</v>
      </c>
      <c r="BF494" s="186">
        <v>6.5000000000000002E-2</v>
      </c>
      <c r="BG494" s="12">
        <v>2.58</v>
      </c>
      <c r="BH494" s="11" t="s">
        <v>2066</v>
      </c>
      <c r="BI494" s="186" t="s">
        <v>1710</v>
      </c>
      <c r="BJ494" s="747" t="s">
        <v>2072</v>
      </c>
      <c r="BK494" s="747" t="s">
        <v>518</v>
      </c>
      <c r="BL494" s="747" t="s">
        <v>1730</v>
      </c>
      <c r="BM494" s="186">
        <v>6.7500000000000004E-2</v>
      </c>
      <c r="BN494" s="186">
        <v>0</v>
      </c>
      <c r="BO494" s="12">
        <v>2.23</v>
      </c>
      <c r="BP494" s="11" t="s">
        <v>2097</v>
      </c>
      <c r="BQ494" s="186" t="s">
        <v>1710</v>
      </c>
      <c r="BR494" s="747" t="s">
        <v>2100</v>
      </c>
      <c r="BS494" s="747" t="s">
        <v>518</v>
      </c>
      <c r="BT494" s="747" t="s">
        <v>1730</v>
      </c>
      <c r="BU494" s="186">
        <v>6.7500000000000004E-2</v>
      </c>
      <c r="BV494" s="186">
        <v>0</v>
      </c>
      <c r="BW494" s="12">
        <v>1.37</v>
      </c>
    </row>
    <row r="495" spans="1:75">
      <c r="A495" s="1" t="s">
        <v>1035</v>
      </c>
      <c r="B495" s="1" t="s">
        <v>1023</v>
      </c>
      <c r="C495" s="1" t="s">
        <v>1024</v>
      </c>
      <c r="D495" s="1" t="s">
        <v>1992</v>
      </c>
      <c r="E495" s="1" t="s">
        <v>1998</v>
      </c>
      <c r="F495" s="1">
        <v>0.52500000000000002</v>
      </c>
      <c r="G495" s="1">
        <v>6.7500000000000004E-2</v>
      </c>
      <c r="H495" s="1">
        <v>2.62</v>
      </c>
      <c r="I495" s="20" t="s">
        <v>691</v>
      </c>
      <c r="J495" s="1" t="s">
        <v>697</v>
      </c>
      <c r="AI495" s="757"/>
      <c r="AJ495" s="195" t="s">
        <v>2811</v>
      </c>
      <c r="AK495" s="186" t="s">
        <v>1953</v>
      </c>
      <c r="AL495" s="747" t="s">
        <v>1836</v>
      </c>
      <c r="AM495" s="747" t="s">
        <v>1730</v>
      </c>
      <c r="AN495" s="747" t="s">
        <v>1730</v>
      </c>
      <c r="AO495" s="186">
        <v>0.33</v>
      </c>
      <c r="AP495" s="186">
        <v>0</v>
      </c>
      <c r="AQ495" s="12">
        <v>2.3199999999999998</v>
      </c>
      <c r="AR495" s="11" t="s">
        <v>2717</v>
      </c>
      <c r="AS495" s="186" t="s">
        <v>1953</v>
      </c>
      <c r="AT495" s="747" t="s">
        <v>1836</v>
      </c>
      <c r="AU495" s="747" t="s">
        <v>1730</v>
      </c>
      <c r="AV495" s="747" t="s">
        <v>1730</v>
      </c>
      <c r="AW495" s="186">
        <v>0.33</v>
      </c>
      <c r="AX495" s="186">
        <v>0</v>
      </c>
      <c r="AY495" s="12">
        <v>3</v>
      </c>
      <c r="AZ495" s="11" t="s">
        <v>2032</v>
      </c>
      <c r="BA495" s="186" t="s">
        <v>1937</v>
      </c>
      <c r="BB495" s="747" t="s">
        <v>1839</v>
      </c>
      <c r="BC495" s="747" t="s">
        <v>1730</v>
      </c>
      <c r="BD495" s="747" t="s">
        <v>1730</v>
      </c>
      <c r="BE495" s="186">
        <v>0.46</v>
      </c>
      <c r="BF495" s="186">
        <v>6.5000000000000002E-2</v>
      </c>
      <c r="BG495" s="12">
        <v>2.58</v>
      </c>
      <c r="BH495" s="11" t="s">
        <v>2066</v>
      </c>
      <c r="BI495" s="186" t="s">
        <v>1710</v>
      </c>
      <c r="BJ495" s="747" t="s">
        <v>2073</v>
      </c>
      <c r="BK495" s="747" t="s">
        <v>518</v>
      </c>
      <c r="BL495" s="747" t="s">
        <v>1730</v>
      </c>
      <c r="BM495" s="186">
        <v>6.7500000000000004E-2</v>
      </c>
      <c r="BN495" s="186">
        <v>0</v>
      </c>
      <c r="BO495" s="12">
        <v>2.23</v>
      </c>
      <c r="BP495" s="11" t="s">
        <v>2097</v>
      </c>
      <c r="BQ495" s="186" t="s">
        <v>1710</v>
      </c>
      <c r="BR495" s="747" t="s">
        <v>2101</v>
      </c>
      <c r="BS495" s="747" t="s">
        <v>518</v>
      </c>
      <c r="BT495" s="747" t="s">
        <v>1730</v>
      </c>
      <c r="BU495" s="186">
        <v>6.7500000000000004E-2</v>
      </c>
      <c r="BV495" s="186">
        <v>0</v>
      </c>
      <c r="BW495" s="12">
        <v>1.37</v>
      </c>
    </row>
    <row r="496" spans="1:75">
      <c r="A496" s="1" t="s">
        <v>1036</v>
      </c>
      <c r="B496" s="1" t="s">
        <v>1023</v>
      </c>
      <c r="C496" s="1" t="s">
        <v>1024</v>
      </c>
      <c r="D496" s="1" t="s">
        <v>1992</v>
      </c>
      <c r="E496" s="1" t="s">
        <v>1999</v>
      </c>
      <c r="F496" s="1">
        <v>0.35</v>
      </c>
      <c r="G496" s="1">
        <v>4.4999999999999998E-2</v>
      </c>
      <c r="H496" s="1">
        <v>2.62</v>
      </c>
      <c r="I496" s="20" t="s">
        <v>963</v>
      </c>
      <c r="J496" s="1" t="s">
        <v>516</v>
      </c>
      <c r="AI496" s="757"/>
      <c r="AJ496" s="195" t="s">
        <v>2811</v>
      </c>
      <c r="AK496" s="186" t="s">
        <v>1953</v>
      </c>
      <c r="AL496" s="747" t="s">
        <v>1837</v>
      </c>
      <c r="AM496" s="747" t="s">
        <v>1730</v>
      </c>
      <c r="AN496" s="747" t="s">
        <v>1730</v>
      </c>
      <c r="AO496" s="186">
        <v>0.16500000000000001</v>
      </c>
      <c r="AP496" s="186">
        <v>0</v>
      </c>
      <c r="AQ496" s="12">
        <v>2.3199999999999998</v>
      </c>
      <c r="AR496" s="11" t="s">
        <v>2809</v>
      </c>
      <c r="AS496" s="186" t="s">
        <v>1953</v>
      </c>
      <c r="AT496" s="747" t="s">
        <v>1837</v>
      </c>
      <c r="AU496" s="747" t="s">
        <v>1730</v>
      </c>
      <c r="AV496" s="747" t="s">
        <v>1730</v>
      </c>
      <c r="AW496" s="186">
        <v>0.16500000000000001</v>
      </c>
      <c r="AX496" s="186">
        <v>0</v>
      </c>
      <c r="AY496" s="12">
        <v>3</v>
      </c>
      <c r="AZ496" s="11" t="s">
        <v>2032</v>
      </c>
      <c r="BA496" s="186" t="s">
        <v>1708</v>
      </c>
      <c r="BB496" s="747" t="s">
        <v>1811</v>
      </c>
      <c r="BC496" s="747" t="s">
        <v>1730</v>
      </c>
      <c r="BD496" s="747" t="s">
        <v>1730</v>
      </c>
      <c r="BE496" s="186">
        <v>0.35</v>
      </c>
      <c r="BF496" s="186">
        <v>2.3E-2</v>
      </c>
      <c r="BG496" s="12">
        <v>2.58</v>
      </c>
      <c r="BH496" s="11" t="s">
        <v>2066</v>
      </c>
      <c r="BI496" s="186" t="s">
        <v>1710</v>
      </c>
      <c r="BJ496" s="747" t="s">
        <v>2074</v>
      </c>
      <c r="BK496" s="747" t="s">
        <v>519</v>
      </c>
      <c r="BL496" s="747" t="s">
        <v>1730</v>
      </c>
      <c r="BM496" s="186">
        <v>3.7499999999999999E-2</v>
      </c>
      <c r="BN496" s="186">
        <v>0</v>
      </c>
      <c r="BO496" s="12">
        <v>2.23</v>
      </c>
      <c r="BP496" s="11" t="s">
        <v>2097</v>
      </c>
      <c r="BQ496" s="186" t="s">
        <v>1710</v>
      </c>
      <c r="BR496" s="747" t="s">
        <v>2102</v>
      </c>
      <c r="BS496" s="747" t="s">
        <v>519</v>
      </c>
      <c r="BT496" s="747" t="s">
        <v>1730</v>
      </c>
      <c r="BU496" s="186">
        <v>3.7499999999999999E-2</v>
      </c>
      <c r="BV496" s="186">
        <v>0</v>
      </c>
      <c r="BW496" s="12">
        <v>1.37</v>
      </c>
    </row>
    <row r="497" spans="1:75">
      <c r="A497" s="1" t="s">
        <v>1037</v>
      </c>
      <c r="B497" s="1" t="s">
        <v>1023</v>
      </c>
      <c r="C497" s="1" t="s">
        <v>1024</v>
      </c>
      <c r="D497" s="1" t="s">
        <v>1992</v>
      </c>
      <c r="E497" s="1" t="s">
        <v>2000</v>
      </c>
      <c r="F497" s="1">
        <v>0.35</v>
      </c>
      <c r="G497" s="1">
        <v>4.4999999999999998E-2</v>
      </c>
      <c r="H497" s="1">
        <v>2.62</v>
      </c>
      <c r="I497" s="20" t="s">
        <v>691</v>
      </c>
      <c r="J497" s="1" t="s">
        <v>700</v>
      </c>
      <c r="AI497" s="757"/>
      <c r="AJ497" s="195" t="s">
        <v>2811</v>
      </c>
      <c r="AK497" s="186" t="s">
        <v>1803</v>
      </c>
      <c r="AL497" s="747" t="s">
        <v>1954</v>
      </c>
      <c r="AM497" s="747" t="s">
        <v>1730</v>
      </c>
      <c r="AN497" s="747" t="s">
        <v>1730</v>
      </c>
      <c r="AO497" s="186">
        <v>0.1</v>
      </c>
      <c r="AP497" s="186">
        <v>0</v>
      </c>
      <c r="AQ497" s="12">
        <v>2.3199999999999998</v>
      </c>
      <c r="AR497" s="11" t="s">
        <v>2809</v>
      </c>
      <c r="AS497" s="186" t="s">
        <v>1803</v>
      </c>
      <c r="AT497" s="747" t="s">
        <v>1954</v>
      </c>
      <c r="AU497" s="747" t="s">
        <v>1730</v>
      </c>
      <c r="AV497" s="747" t="s">
        <v>1730</v>
      </c>
      <c r="AW497" s="186">
        <v>0.1</v>
      </c>
      <c r="AX497" s="186">
        <v>0</v>
      </c>
      <c r="AY497" s="12">
        <v>3</v>
      </c>
      <c r="AZ497" s="11" t="s">
        <v>2032</v>
      </c>
      <c r="BA497" s="186" t="s">
        <v>1708</v>
      </c>
      <c r="BB497" s="747" t="s">
        <v>1813</v>
      </c>
      <c r="BC497" s="747" t="s">
        <v>1730</v>
      </c>
      <c r="BD497" s="747" t="s">
        <v>1730</v>
      </c>
      <c r="BE497" s="186">
        <v>0.17499999999999999</v>
      </c>
      <c r="BF497" s="186">
        <v>1.15E-2</v>
      </c>
      <c r="BG497" s="12">
        <v>2.58</v>
      </c>
      <c r="BH497" s="11" t="s">
        <v>2066</v>
      </c>
      <c r="BI497" s="186" t="s">
        <v>1710</v>
      </c>
      <c r="BJ497" s="747" t="s">
        <v>2075</v>
      </c>
      <c r="BK497" s="747" t="s">
        <v>519</v>
      </c>
      <c r="BL497" s="747" t="s">
        <v>1730</v>
      </c>
      <c r="BM497" s="186">
        <v>3.7499999999999999E-2</v>
      </c>
      <c r="BN497" s="186">
        <v>0</v>
      </c>
      <c r="BO497" s="12">
        <v>2.23</v>
      </c>
      <c r="BP497" s="11" t="s">
        <v>2097</v>
      </c>
      <c r="BQ497" s="186" t="s">
        <v>1710</v>
      </c>
      <c r="BR497" s="747" t="s">
        <v>2103</v>
      </c>
      <c r="BS497" s="747" t="s">
        <v>519</v>
      </c>
      <c r="BT497" s="747" t="s">
        <v>1730</v>
      </c>
      <c r="BU497" s="186">
        <v>3.7499999999999999E-2</v>
      </c>
      <c r="BV497" s="186">
        <v>0</v>
      </c>
      <c r="BW497" s="12">
        <v>1.37</v>
      </c>
    </row>
    <row r="498" spans="1:75">
      <c r="A498" s="1" t="s">
        <v>1038</v>
      </c>
      <c r="B498" s="1" t="s">
        <v>1023</v>
      </c>
      <c r="C498" s="1" t="s">
        <v>1024</v>
      </c>
      <c r="D498" s="1" t="s">
        <v>1992</v>
      </c>
      <c r="E498" s="1" t="s">
        <v>2001</v>
      </c>
      <c r="F498" s="1">
        <v>0.17499999999999999</v>
      </c>
      <c r="G498" s="1">
        <v>2.2499999999999999E-2</v>
      </c>
      <c r="H498" s="1">
        <v>2.62</v>
      </c>
      <c r="I498" s="20" t="s">
        <v>963</v>
      </c>
      <c r="J498" s="1" t="s">
        <v>517</v>
      </c>
      <c r="AI498" s="757"/>
      <c r="AJ498" s="195" t="s">
        <v>2811</v>
      </c>
      <c r="AK498" s="186" t="s">
        <v>1803</v>
      </c>
      <c r="AL498" s="747" t="s">
        <v>1955</v>
      </c>
      <c r="AM498" s="747" t="s">
        <v>1730</v>
      </c>
      <c r="AN498" s="747" t="s">
        <v>1730</v>
      </c>
      <c r="AO498" s="186">
        <v>0.05</v>
      </c>
      <c r="AP498" s="186">
        <v>0</v>
      </c>
      <c r="AQ498" s="12">
        <v>2.3199999999999998</v>
      </c>
      <c r="AR498" s="11" t="s">
        <v>2812</v>
      </c>
      <c r="AS498" s="186" t="s">
        <v>1803</v>
      </c>
      <c r="AT498" s="747" t="s">
        <v>1955</v>
      </c>
      <c r="AU498" s="747" t="s">
        <v>1730</v>
      </c>
      <c r="AV498" s="747" t="s">
        <v>1730</v>
      </c>
      <c r="AW498" s="186">
        <v>0.05</v>
      </c>
      <c r="AX498" s="186">
        <v>0</v>
      </c>
      <c r="AY498" s="12">
        <v>3</v>
      </c>
      <c r="AZ498" s="11" t="s">
        <v>2032</v>
      </c>
      <c r="BA498" s="186" t="s">
        <v>1708</v>
      </c>
      <c r="BB498" s="747" t="s">
        <v>1812</v>
      </c>
      <c r="BC498" s="747" t="s">
        <v>1730</v>
      </c>
      <c r="BD498" s="747" t="s">
        <v>1730</v>
      </c>
      <c r="BE498" s="186">
        <v>0.35</v>
      </c>
      <c r="BF498" s="186">
        <v>2.3E-2</v>
      </c>
      <c r="BG498" s="12">
        <v>2.58</v>
      </c>
      <c r="BH498" s="11" t="s">
        <v>2066</v>
      </c>
      <c r="BI498" s="186" t="s">
        <v>1710</v>
      </c>
      <c r="BJ498" s="747" t="s">
        <v>2076</v>
      </c>
      <c r="BK498" s="747" t="s">
        <v>520</v>
      </c>
      <c r="BL498" s="747" t="s">
        <v>1730</v>
      </c>
      <c r="BM498" s="186">
        <v>1.8749999999999999E-2</v>
      </c>
      <c r="BN498" s="186">
        <v>0</v>
      </c>
      <c r="BO498" s="12">
        <v>2.23</v>
      </c>
      <c r="BP498" s="11" t="s">
        <v>2097</v>
      </c>
      <c r="BQ498" s="186" t="s">
        <v>1710</v>
      </c>
      <c r="BR498" s="747" t="s">
        <v>2104</v>
      </c>
      <c r="BS498" s="747" t="s">
        <v>520</v>
      </c>
      <c r="BT498" s="747" t="s">
        <v>1730</v>
      </c>
      <c r="BU498" s="186">
        <v>1.8749999999999999E-2</v>
      </c>
      <c r="BV498" s="186">
        <v>0</v>
      </c>
      <c r="BW498" s="12">
        <v>1.37</v>
      </c>
    </row>
    <row r="499" spans="1:75">
      <c r="A499" s="1" t="s">
        <v>1039</v>
      </c>
      <c r="B499" s="1" t="s">
        <v>1023</v>
      </c>
      <c r="C499" s="1" t="s">
        <v>1024</v>
      </c>
      <c r="D499" s="1" t="s">
        <v>1992</v>
      </c>
      <c r="E499" s="1" t="s">
        <v>2002</v>
      </c>
      <c r="F499" s="1">
        <v>0.17499999999999999</v>
      </c>
      <c r="G499" s="1">
        <v>2.2499999999999999E-2</v>
      </c>
      <c r="H499" s="1">
        <v>2.62</v>
      </c>
      <c r="I499" s="20" t="s">
        <v>691</v>
      </c>
      <c r="J499" s="1" t="s">
        <v>703</v>
      </c>
      <c r="AI499" s="757"/>
      <c r="AJ499" s="195" t="s">
        <v>2810</v>
      </c>
      <c r="AK499" s="186" t="s">
        <v>1803</v>
      </c>
      <c r="AL499" s="747" t="s">
        <v>1956</v>
      </c>
      <c r="AM499" s="747" t="s">
        <v>515</v>
      </c>
      <c r="AN499" s="747" t="s">
        <v>1730</v>
      </c>
      <c r="AO499" s="186">
        <v>7.4999999999999997E-2</v>
      </c>
      <c r="AP499" s="186">
        <v>0</v>
      </c>
      <c r="AQ499" s="12">
        <v>2.3199999999999998</v>
      </c>
      <c r="AR499" s="11" t="s">
        <v>2717</v>
      </c>
      <c r="AS499" s="186" t="s">
        <v>1803</v>
      </c>
      <c r="AT499" s="747" t="s">
        <v>1956</v>
      </c>
      <c r="AU499" s="747" t="s">
        <v>515</v>
      </c>
      <c r="AV499" s="747" t="s">
        <v>1730</v>
      </c>
      <c r="AW499" s="186">
        <v>7.4999999999999997E-2</v>
      </c>
      <c r="AX499" s="186">
        <v>0</v>
      </c>
      <c r="AY499" s="12">
        <v>3</v>
      </c>
      <c r="AZ499" s="11" t="s">
        <v>2032</v>
      </c>
      <c r="BA499" s="186" t="s">
        <v>1708</v>
      </c>
      <c r="BB499" s="747" t="s">
        <v>1814</v>
      </c>
      <c r="BC499" s="747" t="s">
        <v>1730</v>
      </c>
      <c r="BD499" s="747" t="s">
        <v>1730</v>
      </c>
      <c r="BE499" s="186">
        <v>0.17499999999999999</v>
      </c>
      <c r="BF499" s="186">
        <v>1.15E-2</v>
      </c>
      <c r="BG499" s="12">
        <v>2.58</v>
      </c>
      <c r="BH499" s="11" t="s">
        <v>2066</v>
      </c>
      <c r="BI499" s="186" t="s">
        <v>1710</v>
      </c>
      <c r="BJ499" s="747" t="s">
        <v>2077</v>
      </c>
      <c r="BK499" s="747" t="s">
        <v>520</v>
      </c>
      <c r="BL499" s="747" t="s">
        <v>1730</v>
      </c>
      <c r="BM499" s="186">
        <v>1.8749999999999999E-2</v>
      </c>
      <c r="BN499" s="186">
        <v>0</v>
      </c>
      <c r="BO499" s="12">
        <v>2.23</v>
      </c>
      <c r="BP499" s="11" t="s">
        <v>2097</v>
      </c>
      <c r="BQ499" s="186" t="s">
        <v>1710</v>
      </c>
      <c r="BR499" s="747" t="s">
        <v>2105</v>
      </c>
      <c r="BS499" s="747" t="s">
        <v>520</v>
      </c>
      <c r="BT499" s="747" t="s">
        <v>1730</v>
      </c>
      <c r="BU499" s="186">
        <v>1.8749999999999999E-2</v>
      </c>
      <c r="BV499" s="186">
        <v>0</v>
      </c>
      <c r="BW499" s="12">
        <v>1.37</v>
      </c>
    </row>
    <row r="500" spans="1:75">
      <c r="A500" s="1" t="s">
        <v>1040</v>
      </c>
      <c r="B500" s="1" t="s">
        <v>1023</v>
      </c>
      <c r="C500" s="1" t="s">
        <v>1024</v>
      </c>
      <c r="D500" s="1" t="s">
        <v>1992</v>
      </c>
      <c r="E500" s="1" t="s">
        <v>2003</v>
      </c>
      <c r="F500" s="1">
        <v>0.52500000000000002</v>
      </c>
      <c r="G500" s="1">
        <v>6.7500000000000004E-2</v>
      </c>
      <c r="H500" s="1">
        <v>2.62</v>
      </c>
      <c r="I500" s="20" t="s">
        <v>963</v>
      </c>
      <c r="J500" s="1" t="s">
        <v>515</v>
      </c>
      <c r="AI500" s="757"/>
      <c r="AJ500" s="195" t="s">
        <v>2811</v>
      </c>
      <c r="AK500" s="186" t="s">
        <v>1803</v>
      </c>
      <c r="AL500" s="747" t="s">
        <v>1957</v>
      </c>
      <c r="AM500" s="747" t="s">
        <v>515</v>
      </c>
      <c r="AN500" s="747" t="s">
        <v>1730</v>
      </c>
      <c r="AO500" s="186">
        <v>7.4999999999999997E-2</v>
      </c>
      <c r="AP500" s="186">
        <v>0</v>
      </c>
      <c r="AQ500" s="12">
        <v>2.3199999999999998</v>
      </c>
      <c r="AR500" s="11" t="s">
        <v>2812</v>
      </c>
      <c r="AS500" s="186" t="s">
        <v>1803</v>
      </c>
      <c r="AT500" s="747" t="s">
        <v>1957</v>
      </c>
      <c r="AU500" s="747" t="s">
        <v>515</v>
      </c>
      <c r="AV500" s="747" t="s">
        <v>1730</v>
      </c>
      <c r="AW500" s="186">
        <v>7.4999999999999997E-2</v>
      </c>
      <c r="AX500" s="186">
        <v>0</v>
      </c>
      <c r="AY500" s="12">
        <v>3</v>
      </c>
      <c r="AZ500" s="11" t="s">
        <v>2032</v>
      </c>
      <c r="BA500" s="186" t="s">
        <v>2033</v>
      </c>
      <c r="BB500" s="747" t="s">
        <v>2034</v>
      </c>
      <c r="BC500" s="747" t="s">
        <v>515</v>
      </c>
      <c r="BD500" s="747" t="s">
        <v>1730</v>
      </c>
      <c r="BE500" s="186">
        <v>0.26250000000000001</v>
      </c>
      <c r="BF500" s="186">
        <v>1.7250000000000001E-2</v>
      </c>
      <c r="BG500" s="12">
        <v>2.58</v>
      </c>
      <c r="BH500" s="11" t="s">
        <v>2066</v>
      </c>
      <c r="BI500" s="186" t="s">
        <v>1710</v>
      </c>
      <c r="BJ500" s="747" t="s">
        <v>1502</v>
      </c>
      <c r="BK500" s="747" t="s">
        <v>254</v>
      </c>
      <c r="BL500" s="747" t="s">
        <v>1730</v>
      </c>
      <c r="BM500" s="186">
        <v>6.7500000000000004E-2</v>
      </c>
      <c r="BN500" s="186">
        <v>0</v>
      </c>
      <c r="BO500" s="12">
        <v>2.23</v>
      </c>
      <c r="BP500" s="11" t="s">
        <v>2097</v>
      </c>
      <c r="BQ500" s="186" t="s">
        <v>523</v>
      </c>
      <c r="BR500" s="747" t="s">
        <v>1526</v>
      </c>
      <c r="BS500" s="747" t="s">
        <v>1730</v>
      </c>
      <c r="BT500" s="747" t="s">
        <v>1730</v>
      </c>
      <c r="BU500" s="186">
        <v>2.5000000000000001E-2</v>
      </c>
      <c r="BV500" s="186">
        <v>0</v>
      </c>
      <c r="BW500" s="12">
        <v>1.37</v>
      </c>
    </row>
    <row r="501" spans="1:75">
      <c r="A501" s="1" t="s">
        <v>1041</v>
      </c>
      <c r="B501" s="1" t="s">
        <v>1023</v>
      </c>
      <c r="C501" s="1" t="s">
        <v>1024</v>
      </c>
      <c r="D501" s="1" t="s">
        <v>1992</v>
      </c>
      <c r="E501" s="1" t="s">
        <v>2004</v>
      </c>
      <c r="F501" s="1">
        <v>0.52500000000000002</v>
      </c>
      <c r="G501" s="1">
        <v>6.7500000000000004E-2</v>
      </c>
      <c r="H501" s="1">
        <v>2.62</v>
      </c>
      <c r="I501" s="20" t="s">
        <v>691</v>
      </c>
      <c r="J501" s="1" t="s">
        <v>697</v>
      </c>
      <c r="AI501" s="757"/>
      <c r="AJ501" s="195" t="s">
        <v>2810</v>
      </c>
      <c r="AK501" s="186" t="s">
        <v>1803</v>
      </c>
      <c r="AL501" s="747" t="s">
        <v>1958</v>
      </c>
      <c r="AM501" s="747" t="s">
        <v>516</v>
      </c>
      <c r="AN501" s="747" t="s">
        <v>1730</v>
      </c>
      <c r="AO501" s="186">
        <v>0.05</v>
      </c>
      <c r="AP501" s="186">
        <v>0</v>
      </c>
      <c r="AQ501" s="12">
        <v>2.3199999999999998</v>
      </c>
      <c r="AR501" s="11" t="s">
        <v>2809</v>
      </c>
      <c r="AS501" s="186" t="s">
        <v>1803</v>
      </c>
      <c r="AT501" s="747" t="s">
        <v>1958</v>
      </c>
      <c r="AU501" s="747" t="s">
        <v>516</v>
      </c>
      <c r="AV501" s="747" t="s">
        <v>1730</v>
      </c>
      <c r="AW501" s="186">
        <v>0.05</v>
      </c>
      <c r="AX501" s="186">
        <v>0</v>
      </c>
      <c r="AY501" s="12">
        <v>3</v>
      </c>
      <c r="AZ501" s="11" t="s">
        <v>2032</v>
      </c>
      <c r="BA501" s="186" t="s">
        <v>2033</v>
      </c>
      <c r="BB501" s="747" t="s">
        <v>2035</v>
      </c>
      <c r="BC501" s="747" t="s">
        <v>515</v>
      </c>
      <c r="BD501" s="747" t="s">
        <v>1730</v>
      </c>
      <c r="BE501" s="186">
        <v>0.26250000000000001</v>
      </c>
      <c r="BF501" s="186">
        <v>1.7250000000000001E-2</v>
      </c>
      <c r="BG501" s="12">
        <v>2.58</v>
      </c>
      <c r="BH501" s="11" t="s">
        <v>2066</v>
      </c>
      <c r="BI501" s="186" t="s">
        <v>1710</v>
      </c>
      <c r="BJ501" s="747" t="s">
        <v>1503</v>
      </c>
      <c r="BK501" s="747" t="s">
        <v>254</v>
      </c>
      <c r="BL501" s="747" t="s">
        <v>1730</v>
      </c>
      <c r="BM501" s="186">
        <v>6.7500000000000004E-2</v>
      </c>
      <c r="BN501" s="186">
        <v>0</v>
      </c>
      <c r="BO501" s="12">
        <v>2.23</v>
      </c>
      <c r="BP501" s="11" t="s">
        <v>2097</v>
      </c>
      <c r="BQ501" s="186" t="s">
        <v>523</v>
      </c>
      <c r="BR501" s="747" t="s">
        <v>1527</v>
      </c>
      <c r="BS501" s="747" t="s">
        <v>1730</v>
      </c>
      <c r="BT501" s="747" t="s">
        <v>1730</v>
      </c>
      <c r="BU501" s="186">
        <v>1.2500000000000001E-2</v>
      </c>
      <c r="BV501" s="186">
        <v>0</v>
      </c>
      <c r="BW501" s="12">
        <v>1.37</v>
      </c>
    </row>
    <row r="502" spans="1:75">
      <c r="A502" s="1" t="s">
        <v>1042</v>
      </c>
      <c r="B502" s="1" t="s">
        <v>1023</v>
      </c>
      <c r="C502" s="1" t="s">
        <v>1024</v>
      </c>
      <c r="D502" s="1" t="s">
        <v>1992</v>
      </c>
      <c r="E502" s="1" t="s">
        <v>2005</v>
      </c>
      <c r="F502" s="1">
        <v>0.35</v>
      </c>
      <c r="G502" s="1">
        <v>4.4999999999999998E-2</v>
      </c>
      <c r="H502" s="1">
        <v>2.62</v>
      </c>
      <c r="I502" s="20" t="s">
        <v>963</v>
      </c>
      <c r="J502" s="1" t="s">
        <v>516</v>
      </c>
      <c r="AI502" s="757"/>
      <c r="AJ502" s="195" t="s">
        <v>2810</v>
      </c>
      <c r="AK502" s="186" t="s">
        <v>1803</v>
      </c>
      <c r="AL502" s="747" t="s">
        <v>1959</v>
      </c>
      <c r="AM502" s="747" t="s">
        <v>516</v>
      </c>
      <c r="AN502" s="747" t="s">
        <v>1730</v>
      </c>
      <c r="AO502" s="186">
        <v>0.05</v>
      </c>
      <c r="AP502" s="186">
        <v>0</v>
      </c>
      <c r="AQ502" s="12">
        <v>2.3199999999999998</v>
      </c>
      <c r="AR502" s="11" t="s">
        <v>2717</v>
      </c>
      <c r="AS502" s="186" t="s">
        <v>1803</v>
      </c>
      <c r="AT502" s="747" t="s">
        <v>1959</v>
      </c>
      <c r="AU502" s="747" t="s">
        <v>516</v>
      </c>
      <c r="AV502" s="747" t="s">
        <v>1730</v>
      </c>
      <c r="AW502" s="186">
        <v>0.05</v>
      </c>
      <c r="AX502" s="186">
        <v>0</v>
      </c>
      <c r="AY502" s="12">
        <v>3</v>
      </c>
      <c r="AZ502" s="11" t="s">
        <v>2032</v>
      </c>
      <c r="BA502" s="186" t="s">
        <v>2033</v>
      </c>
      <c r="BB502" s="747" t="s">
        <v>2036</v>
      </c>
      <c r="BC502" s="747" t="s">
        <v>516</v>
      </c>
      <c r="BD502" s="747" t="s">
        <v>1730</v>
      </c>
      <c r="BE502" s="186">
        <v>0.17499999999999999</v>
      </c>
      <c r="BF502" s="186">
        <v>1.15E-2</v>
      </c>
      <c r="BG502" s="12">
        <v>2.58</v>
      </c>
      <c r="BH502" s="11" t="s">
        <v>2066</v>
      </c>
      <c r="BI502" s="186" t="s">
        <v>1710</v>
      </c>
      <c r="BJ502" s="747" t="s">
        <v>1504</v>
      </c>
      <c r="BK502" s="747" t="s">
        <v>559</v>
      </c>
      <c r="BL502" s="747" t="s">
        <v>1730</v>
      </c>
      <c r="BM502" s="186">
        <v>7.4999999999999997E-2</v>
      </c>
      <c r="BN502" s="186">
        <v>0</v>
      </c>
      <c r="BO502" s="12">
        <v>2.23</v>
      </c>
      <c r="BP502" s="11" t="s">
        <v>2097</v>
      </c>
      <c r="BQ502" s="186" t="s">
        <v>523</v>
      </c>
      <c r="BR502" s="747" t="s">
        <v>1528</v>
      </c>
      <c r="BS502" s="747" t="s">
        <v>519</v>
      </c>
      <c r="BT502" s="747" t="s">
        <v>1730</v>
      </c>
      <c r="BU502" s="186">
        <v>1.2500000000000001E-2</v>
      </c>
      <c r="BV502" s="186">
        <v>0</v>
      </c>
      <c r="BW502" s="12">
        <v>1.37</v>
      </c>
    </row>
    <row r="503" spans="1:75">
      <c r="A503" s="1" t="s">
        <v>1043</v>
      </c>
      <c r="B503" s="1" t="s">
        <v>1023</v>
      </c>
      <c r="C503" s="1" t="s">
        <v>1024</v>
      </c>
      <c r="D503" s="1" t="s">
        <v>1992</v>
      </c>
      <c r="E503" s="1" t="s">
        <v>2006</v>
      </c>
      <c r="F503" s="1">
        <v>0.35</v>
      </c>
      <c r="G503" s="1">
        <v>4.4999999999999998E-2</v>
      </c>
      <c r="H503" s="1">
        <v>2.62</v>
      </c>
      <c r="I503" s="20" t="s">
        <v>691</v>
      </c>
      <c r="J503" s="1" t="s">
        <v>700</v>
      </c>
      <c r="AI503" s="757"/>
      <c r="AJ503" s="195" t="s">
        <v>2811</v>
      </c>
      <c r="AK503" s="186" t="s">
        <v>1803</v>
      </c>
      <c r="AL503" s="747" t="s">
        <v>1960</v>
      </c>
      <c r="AM503" s="747" t="s">
        <v>517</v>
      </c>
      <c r="AN503" s="747" t="s">
        <v>1730</v>
      </c>
      <c r="AO503" s="186">
        <v>2.5000000000000001E-2</v>
      </c>
      <c r="AP503" s="186">
        <v>0</v>
      </c>
      <c r="AQ503" s="12">
        <v>2.3199999999999998</v>
      </c>
      <c r="AR503" s="11" t="s">
        <v>2809</v>
      </c>
      <c r="AS503" s="186" t="s">
        <v>1803</v>
      </c>
      <c r="AT503" s="747" t="s">
        <v>1960</v>
      </c>
      <c r="AU503" s="747" t="s">
        <v>517</v>
      </c>
      <c r="AV503" s="747" t="s">
        <v>1730</v>
      </c>
      <c r="AW503" s="186">
        <v>2.5000000000000001E-2</v>
      </c>
      <c r="AX503" s="186">
        <v>0</v>
      </c>
      <c r="AY503" s="12">
        <v>3</v>
      </c>
      <c r="AZ503" s="11" t="s">
        <v>2032</v>
      </c>
      <c r="BA503" s="186" t="s">
        <v>2033</v>
      </c>
      <c r="BB503" s="747" t="s">
        <v>2037</v>
      </c>
      <c r="BC503" s="747" t="s">
        <v>516</v>
      </c>
      <c r="BD503" s="747" t="s">
        <v>1730</v>
      </c>
      <c r="BE503" s="186">
        <v>0.17499999999999999</v>
      </c>
      <c r="BF503" s="186">
        <v>1.15E-2</v>
      </c>
      <c r="BG503" s="12">
        <v>2.58</v>
      </c>
      <c r="BH503" s="11" t="s">
        <v>2066</v>
      </c>
      <c r="BI503" s="186" t="s">
        <v>1710</v>
      </c>
      <c r="BJ503" s="747" t="s">
        <v>1505</v>
      </c>
      <c r="BK503" s="747" t="s">
        <v>559</v>
      </c>
      <c r="BL503" s="747" t="s">
        <v>1730</v>
      </c>
      <c r="BM503" s="186">
        <v>7.4999999999999997E-2</v>
      </c>
      <c r="BN503" s="186">
        <v>0</v>
      </c>
      <c r="BO503" s="12">
        <v>2.23</v>
      </c>
      <c r="BP503" s="11" t="s">
        <v>2097</v>
      </c>
      <c r="BQ503" s="186" t="s">
        <v>523</v>
      </c>
      <c r="BR503" s="747" t="s">
        <v>1529</v>
      </c>
      <c r="BS503" s="747" t="s">
        <v>519</v>
      </c>
      <c r="BT503" s="747" t="s">
        <v>1730</v>
      </c>
      <c r="BU503" s="186">
        <v>1.2500000000000001E-2</v>
      </c>
      <c r="BV503" s="186">
        <v>0</v>
      </c>
      <c r="BW503" s="12">
        <v>1.37</v>
      </c>
    </row>
    <row r="504" spans="1:75">
      <c r="A504" s="1" t="s">
        <v>1044</v>
      </c>
      <c r="B504" s="1" t="s">
        <v>1023</v>
      </c>
      <c r="C504" s="1" t="s">
        <v>1024</v>
      </c>
      <c r="D504" s="1" t="s">
        <v>1992</v>
      </c>
      <c r="E504" s="1" t="s">
        <v>2007</v>
      </c>
      <c r="F504" s="1">
        <v>0.17499999999999999</v>
      </c>
      <c r="G504" s="1">
        <v>2.2499999999999999E-2</v>
      </c>
      <c r="H504" s="1">
        <v>2.62</v>
      </c>
      <c r="I504" s="20" t="s">
        <v>963</v>
      </c>
      <c r="J504" s="1" t="s">
        <v>517</v>
      </c>
      <c r="AI504" s="757"/>
      <c r="AJ504" s="195" t="s">
        <v>2811</v>
      </c>
      <c r="AK504" s="186" t="s">
        <v>1803</v>
      </c>
      <c r="AL504" s="747" t="s">
        <v>1961</v>
      </c>
      <c r="AM504" s="747" t="s">
        <v>517</v>
      </c>
      <c r="AN504" s="747" t="s">
        <v>1730</v>
      </c>
      <c r="AO504" s="186">
        <v>2.5000000000000001E-2</v>
      </c>
      <c r="AP504" s="186">
        <v>0</v>
      </c>
      <c r="AQ504" s="12">
        <v>2.3199999999999998</v>
      </c>
      <c r="AR504" s="11" t="s">
        <v>2812</v>
      </c>
      <c r="AS504" s="186" t="s">
        <v>1803</v>
      </c>
      <c r="AT504" s="747" t="s">
        <v>1961</v>
      </c>
      <c r="AU504" s="747" t="s">
        <v>517</v>
      </c>
      <c r="AV504" s="747" t="s">
        <v>1730</v>
      </c>
      <c r="AW504" s="186">
        <v>2.5000000000000001E-2</v>
      </c>
      <c r="AX504" s="186">
        <v>0</v>
      </c>
      <c r="AY504" s="12">
        <v>3</v>
      </c>
      <c r="AZ504" s="11" t="s">
        <v>2032</v>
      </c>
      <c r="BA504" s="186" t="s">
        <v>2033</v>
      </c>
      <c r="BB504" s="747" t="s">
        <v>2038</v>
      </c>
      <c r="BC504" s="747" t="s">
        <v>517</v>
      </c>
      <c r="BD504" s="747" t="s">
        <v>1730</v>
      </c>
      <c r="BE504" s="186">
        <v>8.7499999999999994E-2</v>
      </c>
      <c r="BF504" s="186">
        <v>5.7499999999999999E-3</v>
      </c>
      <c r="BG504" s="12">
        <v>2.58</v>
      </c>
      <c r="BH504" s="11" t="s">
        <v>2066</v>
      </c>
      <c r="BI504" s="186" t="s">
        <v>523</v>
      </c>
      <c r="BJ504" s="747" t="s">
        <v>1506</v>
      </c>
      <c r="BK504" s="747" t="s">
        <v>1730</v>
      </c>
      <c r="BL504" s="747" t="s">
        <v>1730</v>
      </c>
      <c r="BM504" s="186">
        <v>2.5000000000000001E-2</v>
      </c>
      <c r="BN504" s="186">
        <v>0</v>
      </c>
      <c r="BO504" s="12">
        <v>2.23</v>
      </c>
      <c r="BP504" s="11" t="s">
        <v>2097</v>
      </c>
      <c r="BQ504" s="186" t="s">
        <v>523</v>
      </c>
      <c r="BR504" s="747" t="s">
        <v>1530</v>
      </c>
      <c r="BS504" s="747" t="s">
        <v>520</v>
      </c>
      <c r="BT504" s="747" t="s">
        <v>1730</v>
      </c>
      <c r="BU504" s="186">
        <v>6.2500000000000003E-3</v>
      </c>
      <c r="BV504" s="186">
        <v>0</v>
      </c>
      <c r="BW504" s="12">
        <v>1.37</v>
      </c>
    </row>
    <row r="505" spans="1:75">
      <c r="A505" s="1" t="s">
        <v>1045</v>
      </c>
      <c r="B505" s="1" t="s">
        <v>1023</v>
      </c>
      <c r="C505" s="1" t="s">
        <v>1024</v>
      </c>
      <c r="D505" s="1" t="s">
        <v>1992</v>
      </c>
      <c r="E505" s="1" t="s">
        <v>2008</v>
      </c>
      <c r="F505" s="1">
        <v>0.17499999999999999</v>
      </c>
      <c r="G505" s="1">
        <v>2.2499999999999999E-2</v>
      </c>
      <c r="H505" s="1">
        <v>2.62</v>
      </c>
      <c r="I505" s="20" t="s">
        <v>691</v>
      </c>
      <c r="J505" s="1" t="s">
        <v>703</v>
      </c>
      <c r="AI505" s="757"/>
      <c r="AJ505" s="195" t="s">
        <v>2810</v>
      </c>
      <c r="AK505" s="186" t="s">
        <v>1710</v>
      </c>
      <c r="AL505" s="747" t="s">
        <v>1962</v>
      </c>
      <c r="AM505" s="747" t="s">
        <v>1730</v>
      </c>
      <c r="AN505" s="693" t="s">
        <v>1730</v>
      </c>
      <c r="AO505" s="186">
        <v>0.05</v>
      </c>
      <c r="AP505" s="186">
        <v>0</v>
      </c>
      <c r="AQ505" s="12">
        <v>2.3199999999999998</v>
      </c>
      <c r="AR505" s="11" t="s">
        <v>2809</v>
      </c>
      <c r="AS505" s="186" t="s">
        <v>1710</v>
      </c>
      <c r="AT505" s="747" t="s">
        <v>1962</v>
      </c>
      <c r="AU505" s="747" t="s">
        <v>1730</v>
      </c>
      <c r="AV505" s="693" t="s">
        <v>1730</v>
      </c>
      <c r="AW505" s="186">
        <v>0.05</v>
      </c>
      <c r="AX505" s="186">
        <v>0</v>
      </c>
      <c r="AY505" s="12">
        <v>3</v>
      </c>
      <c r="AZ505" s="11" t="s">
        <v>2032</v>
      </c>
      <c r="BA505" s="186" t="s">
        <v>2033</v>
      </c>
      <c r="BB505" s="747" t="s">
        <v>2039</v>
      </c>
      <c r="BC505" s="747" t="s">
        <v>517</v>
      </c>
      <c r="BD505" s="747" t="s">
        <v>1730</v>
      </c>
      <c r="BE505" s="186">
        <v>8.7499999999999994E-2</v>
      </c>
      <c r="BF505" s="186">
        <v>5.7499999999999999E-3</v>
      </c>
      <c r="BG505" s="12">
        <v>2.58</v>
      </c>
      <c r="BH505" s="11" t="s">
        <v>2066</v>
      </c>
      <c r="BI505" s="186" t="s">
        <v>523</v>
      </c>
      <c r="BJ505" s="747" t="s">
        <v>1507</v>
      </c>
      <c r="BK505" s="747" t="s">
        <v>1730</v>
      </c>
      <c r="BL505" s="747" t="s">
        <v>1730</v>
      </c>
      <c r="BM505" s="186">
        <v>1.2500000000000001E-2</v>
      </c>
      <c r="BN505" s="186">
        <v>0</v>
      </c>
      <c r="BO505" s="12">
        <v>2.23</v>
      </c>
      <c r="BP505" s="11" t="s">
        <v>2097</v>
      </c>
      <c r="BQ505" s="186" t="s">
        <v>523</v>
      </c>
      <c r="BR505" s="747" t="s">
        <v>1531</v>
      </c>
      <c r="BS505" s="747" t="s">
        <v>520</v>
      </c>
      <c r="BT505" s="747" t="s">
        <v>1730</v>
      </c>
      <c r="BU505" s="186">
        <v>6.2500000000000003E-3</v>
      </c>
      <c r="BV505" s="186">
        <v>0</v>
      </c>
      <c r="BW505" s="12">
        <v>1.37</v>
      </c>
    </row>
    <row r="506" spans="1:75">
      <c r="A506" s="1" t="s">
        <v>1046</v>
      </c>
      <c r="B506" s="1" t="s">
        <v>1023</v>
      </c>
      <c r="C506" s="1" t="s">
        <v>1024</v>
      </c>
      <c r="D506" s="1" t="s">
        <v>1713</v>
      </c>
      <c r="E506" s="1" t="s">
        <v>2009</v>
      </c>
      <c r="F506" s="1">
        <v>0.49</v>
      </c>
      <c r="G506" s="1">
        <v>0.06</v>
      </c>
      <c r="H506" s="1">
        <v>2.62</v>
      </c>
      <c r="I506" s="20" t="s">
        <v>963</v>
      </c>
      <c r="AI506" s="757"/>
      <c r="AJ506" s="195" t="s">
        <v>2811</v>
      </c>
      <c r="AK506" s="186" t="s">
        <v>1710</v>
      </c>
      <c r="AL506" s="747" t="s">
        <v>1963</v>
      </c>
      <c r="AM506" s="747" t="s">
        <v>1730</v>
      </c>
      <c r="AN506" s="693" t="s">
        <v>1730</v>
      </c>
      <c r="AO506" s="186">
        <v>2.5000000000000001E-2</v>
      </c>
      <c r="AP506" s="186">
        <v>0</v>
      </c>
      <c r="AQ506" s="12">
        <v>2.3199999999999998</v>
      </c>
      <c r="AR506" s="11" t="s">
        <v>2809</v>
      </c>
      <c r="AS506" s="186" t="s">
        <v>1710</v>
      </c>
      <c r="AT506" s="747" t="s">
        <v>1963</v>
      </c>
      <c r="AU506" s="747" t="s">
        <v>1730</v>
      </c>
      <c r="AV506" s="693" t="s">
        <v>1730</v>
      </c>
      <c r="AW506" s="186">
        <v>2.5000000000000001E-2</v>
      </c>
      <c r="AX506" s="186">
        <v>0</v>
      </c>
      <c r="AY506" s="12">
        <v>3</v>
      </c>
      <c r="AZ506" s="11" t="s">
        <v>2032</v>
      </c>
      <c r="BA506" s="186" t="s">
        <v>2040</v>
      </c>
      <c r="BB506" s="747" t="s">
        <v>2041</v>
      </c>
      <c r="BC506" s="747" t="s">
        <v>515</v>
      </c>
      <c r="BD506" s="747" t="s">
        <v>1730</v>
      </c>
      <c r="BE506" s="186">
        <v>0.26250000000000001</v>
      </c>
      <c r="BF506" s="186">
        <v>1.7250000000000001E-2</v>
      </c>
      <c r="BG506" s="12">
        <v>2.58</v>
      </c>
      <c r="BH506" s="11" t="s">
        <v>2066</v>
      </c>
      <c r="BI506" s="186" t="s">
        <v>523</v>
      </c>
      <c r="BJ506" s="747" t="s">
        <v>1508</v>
      </c>
      <c r="BK506" s="747" t="s">
        <v>519</v>
      </c>
      <c r="BL506" s="747" t="s">
        <v>1730</v>
      </c>
      <c r="BM506" s="186">
        <v>1.2500000000000001E-2</v>
      </c>
      <c r="BN506" s="186">
        <v>0</v>
      </c>
      <c r="BO506" s="12">
        <v>2.23</v>
      </c>
      <c r="BP506" s="11" t="s">
        <v>2097</v>
      </c>
      <c r="BQ506" s="186" t="s">
        <v>591</v>
      </c>
      <c r="BR506" s="747" t="s">
        <v>1532</v>
      </c>
      <c r="BS506" s="747" t="s">
        <v>1730</v>
      </c>
      <c r="BT506" s="747" t="s">
        <v>1730</v>
      </c>
      <c r="BU506" s="186">
        <v>2.5000000000000001E-2</v>
      </c>
      <c r="BV506" s="186">
        <v>0</v>
      </c>
      <c r="BW506" s="12">
        <v>1.37</v>
      </c>
    </row>
    <row r="507" spans="1:75">
      <c r="A507" s="1" t="s">
        <v>1047</v>
      </c>
      <c r="B507" s="1" t="s">
        <v>1023</v>
      </c>
      <c r="C507" s="1" t="s">
        <v>1024</v>
      </c>
      <c r="D507" s="1" t="s">
        <v>1713</v>
      </c>
      <c r="E507" s="1" t="s">
        <v>2010</v>
      </c>
      <c r="F507" s="1">
        <v>0.245</v>
      </c>
      <c r="G507" s="1">
        <v>0.03</v>
      </c>
      <c r="H507" s="1">
        <v>2.62</v>
      </c>
      <c r="I507" s="20" t="s">
        <v>691</v>
      </c>
      <c r="J507" s="1" t="s">
        <v>692</v>
      </c>
      <c r="AI507" s="757"/>
      <c r="AJ507" s="195" t="s">
        <v>2716</v>
      </c>
      <c r="AK507" s="186" t="s">
        <v>1710</v>
      </c>
      <c r="AL507" s="747" t="s">
        <v>1964</v>
      </c>
      <c r="AM507" s="747" t="s">
        <v>518</v>
      </c>
      <c r="AN507" s="693" t="s">
        <v>1730</v>
      </c>
      <c r="AO507" s="186">
        <v>4.4999999999999998E-2</v>
      </c>
      <c r="AP507" s="186">
        <v>0</v>
      </c>
      <c r="AQ507" s="12">
        <v>2.3199999999999998</v>
      </c>
      <c r="AR507" s="11" t="s">
        <v>2717</v>
      </c>
      <c r="AS507" s="186" t="s">
        <v>1710</v>
      </c>
      <c r="AT507" s="747" t="s">
        <v>1964</v>
      </c>
      <c r="AU507" s="747" t="s">
        <v>518</v>
      </c>
      <c r="AV507" s="693" t="s">
        <v>1730</v>
      </c>
      <c r="AW507" s="186">
        <v>4.4999999999999998E-2</v>
      </c>
      <c r="AX507" s="186">
        <v>0</v>
      </c>
      <c r="AY507" s="12">
        <v>3</v>
      </c>
      <c r="AZ507" s="11" t="s">
        <v>2032</v>
      </c>
      <c r="BA507" s="186" t="s">
        <v>2040</v>
      </c>
      <c r="BB507" s="747" t="s">
        <v>2042</v>
      </c>
      <c r="BC507" s="747" t="s">
        <v>515</v>
      </c>
      <c r="BD507" s="747" t="s">
        <v>1730</v>
      </c>
      <c r="BE507" s="186">
        <v>0.26250000000000001</v>
      </c>
      <c r="BF507" s="186">
        <v>1.7250000000000001E-2</v>
      </c>
      <c r="BG507" s="12">
        <v>2.58</v>
      </c>
      <c r="BH507" s="11" t="s">
        <v>2066</v>
      </c>
      <c r="BI507" s="186" t="s">
        <v>523</v>
      </c>
      <c r="BJ507" s="747" t="s">
        <v>1509</v>
      </c>
      <c r="BK507" s="747" t="s">
        <v>519</v>
      </c>
      <c r="BL507" s="747" t="s">
        <v>1730</v>
      </c>
      <c r="BM507" s="186">
        <v>1.2500000000000001E-2</v>
      </c>
      <c r="BN507" s="186">
        <v>0</v>
      </c>
      <c r="BO507" s="12">
        <v>2.23</v>
      </c>
      <c r="BP507" s="11" t="s">
        <v>2097</v>
      </c>
      <c r="BQ507" s="186" t="s">
        <v>591</v>
      </c>
      <c r="BR507" s="747" t="s">
        <v>1533</v>
      </c>
      <c r="BS507" s="747" t="s">
        <v>1730</v>
      </c>
      <c r="BT507" s="747" t="s">
        <v>1730</v>
      </c>
      <c r="BU507" s="186">
        <v>1.2500000000000001E-2</v>
      </c>
      <c r="BV507" s="186">
        <v>0</v>
      </c>
      <c r="BW507" s="12">
        <v>1.37</v>
      </c>
    </row>
    <row r="508" spans="1:75">
      <c r="A508" s="1" t="s">
        <v>1048</v>
      </c>
      <c r="B508" s="1" t="s">
        <v>1023</v>
      </c>
      <c r="C508" s="1" t="s">
        <v>1024</v>
      </c>
      <c r="D508" s="1" t="s">
        <v>1713</v>
      </c>
      <c r="E508" s="1" t="s">
        <v>2011</v>
      </c>
      <c r="F508" s="1">
        <v>0.36749999999999999</v>
      </c>
      <c r="G508" s="1">
        <v>4.4999999999999998E-2</v>
      </c>
      <c r="H508" s="1">
        <v>2.62</v>
      </c>
      <c r="I508" s="20" t="s">
        <v>963</v>
      </c>
      <c r="J508" s="1" t="s">
        <v>515</v>
      </c>
      <c r="AI508" s="757"/>
      <c r="AJ508" s="195" t="s">
        <v>2810</v>
      </c>
      <c r="AK508" s="186" t="s">
        <v>1710</v>
      </c>
      <c r="AL508" s="747" t="s">
        <v>1965</v>
      </c>
      <c r="AM508" s="747" t="s">
        <v>518</v>
      </c>
      <c r="AN508" s="693" t="s">
        <v>1730</v>
      </c>
      <c r="AO508" s="186">
        <v>4.4999999999999998E-2</v>
      </c>
      <c r="AP508" s="186">
        <v>0</v>
      </c>
      <c r="AQ508" s="12">
        <v>2.3199999999999998</v>
      </c>
      <c r="AR508" s="11" t="s">
        <v>2812</v>
      </c>
      <c r="AS508" s="186" t="s">
        <v>1710</v>
      </c>
      <c r="AT508" s="747" t="s">
        <v>1965</v>
      </c>
      <c r="AU508" s="747" t="s">
        <v>518</v>
      </c>
      <c r="AV508" s="693" t="s">
        <v>1730</v>
      </c>
      <c r="AW508" s="186">
        <v>4.4999999999999998E-2</v>
      </c>
      <c r="AX508" s="186">
        <v>0</v>
      </c>
      <c r="AY508" s="12">
        <v>3</v>
      </c>
      <c r="AZ508" s="11" t="s">
        <v>2032</v>
      </c>
      <c r="BA508" s="186" t="s">
        <v>2040</v>
      </c>
      <c r="BB508" s="747" t="s">
        <v>2043</v>
      </c>
      <c r="BC508" s="747" t="s">
        <v>516</v>
      </c>
      <c r="BD508" s="747" t="s">
        <v>1730</v>
      </c>
      <c r="BE508" s="186">
        <v>0.17499999999999999</v>
      </c>
      <c r="BF508" s="186">
        <v>1.15E-2</v>
      </c>
      <c r="BG508" s="12">
        <v>2.58</v>
      </c>
      <c r="BH508" s="11" t="s">
        <v>2066</v>
      </c>
      <c r="BI508" s="186" t="s">
        <v>523</v>
      </c>
      <c r="BJ508" s="747" t="s">
        <v>1510</v>
      </c>
      <c r="BK508" s="747" t="s">
        <v>520</v>
      </c>
      <c r="BL508" s="747" t="s">
        <v>1730</v>
      </c>
      <c r="BM508" s="186">
        <v>6.2500000000000003E-3</v>
      </c>
      <c r="BN508" s="186">
        <v>0</v>
      </c>
      <c r="BO508" s="12">
        <v>2.23</v>
      </c>
      <c r="BP508" s="11" t="s">
        <v>2097</v>
      </c>
      <c r="BQ508" s="186" t="s">
        <v>523</v>
      </c>
      <c r="BR508" s="747" t="s">
        <v>1232</v>
      </c>
      <c r="BS508" s="747" t="s">
        <v>1171</v>
      </c>
      <c r="BT508" s="747" t="s">
        <v>1730</v>
      </c>
      <c r="BU508" s="186">
        <v>2.2499999999999999E-2</v>
      </c>
      <c r="BV508" s="186">
        <v>0</v>
      </c>
      <c r="BW508" s="12">
        <v>1.37</v>
      </c>
    </row>
    <row r="509" spans="1:75">
      <c r="A509" s="1" t="s">
        <v>1049</v>
      </c>
      <c r="B509" s="1" t="s">
        <v>1023</v>
      </c>
      <c r="C509" s="1" t="s">
        <v>1024</v>
      </c>
      <c r="D509" s="1" t="s">
        <v>1713</v>
      </c>
      <c r="E509" s="1" t="s">
        <v>2012</v>
      </c>
      <c r="F509" s="1">
        <v>0.36749999999999999</v>
      </c>
      <c r="G509" s="1">
        <v>4.4999999999999998E-2</v>
      </c>
      <c r="H509" s="1">
        <v>2.62</v>
      </c>
      <c r="I509" s="20" t="s">
        <v>691</v>
      </c>
      <c r="J509" s="1" t="s">
        <v>697</v>
      </c>
      <c r="AI509" s="757"/>
      <c r="AJ509" s="195" t="s">
        <v>2811</v>
      </c>
      <c r="AK509" s="186" t="s">
        <v>1710</v>
      </c>
      <c r="AL509" s="747" t="s">
        <v>1966</v>
      </c>
      <c r="AM509" s="747" t="s">
        <v>519</v>
      </c>
      <c r="AN509" s="693" t="s">
        <v>1730</v>
      </c>
      <c r="AO509" s="186">
        <v>2.5000000000000001E-2</v>
      </c>
      <c r="AP509" s="186">
        <v>0</v>
      </c>
      <c r="AQ509" s="12">
        <v>2.3199999999999998</v>
      </c>
      <c r="AR509" s="11" t="s">
        <v>2809</v>
      </c>
      <c r="AS509" s="186" t="s">
        <v>1710</v>
      </c>
      <c r="AT509" s="747" t="s">
        <v>1966</v>
      </c>
      <c r="AU509" s="747" t="s">
        <v>519</v>
      </c>
      <c r="AV509" s="693" t="s">
        <v>1730</v>
      </c>
      <c r="AW509" s="186">
        <v>2.5000000000000001E-2</v>
      </c>
      <c r="AX509" s="186">
        <v>0</v>
      </c>
      <c r="AY509" s="12">
        <v>3</v>
      </c>
      <c r="AZ509" s="11" t="s">
        <v>2032</v>
      </c>
      <c r="BA509" s="186" t="s">
        <v>2040</v>
      </c>
      <c r="BB509" s="747" t="s">
        <v>2044</v>
      </c>
      <c r="BC509" s="747" t="s">
        <v>516</v>
      </c>
      <c r="BD509" s="747" t="s">
        <v>1730</v>
      </c>
      <c r="BE509" s="186">
        <v>0.17499999999999999</v>
      </c>
      <c r="BF509" s="186">
        <v>1.15E-2</v>
      </c>
      <c r="BG509" s="12">
        <v>2.58</v>
      </c>
      <c r="BH509" s="11" t="s">
        <v>2066</v>
      </c>
      <c r="BI509" s="186" t="s">
        <v>523</v>
      </c>
      <c r="BJ509" s="747" t="s">
        <v>1511</v>
      </c>
      <c r="BK509" s="747" t="s">
        <v>520</v>
      </c>
      <c r="BL509" s="747" t="s">
        <v>1730</v>
      </c>
      <c r="BM509" s="186">
        <v>6.2500000000000003E-3</v>
      </c>
      <c r="BN509" s="186">
        <v>0</v>
      </c>
      <c r="BO509" s="12">
        <v>2.23</v>
      </c>
      <c r="BP509" s="11" t="s">
        <v>2097</v>
      </c>
      <c r="BQ509" s="186" t="s">
        <v>523</v>
      </c>
      <c r="BR509" s="747" t="s">
        <v>1233</v>
      </c>
      <c r="BS509" s="747" t="s">
        <v>1171</v>
      </c>
      <c r="BT509" s="747" t="s">
        <v>1730</v>
      </c>
      <c r="BU509" s="186">
        <v>2.2499999999999999E-2</v>
      </c>
      <c r="BV509" s="186">
        <v>0</v>
      </c>
      <c r="BW509" s="12">
        <v>1.37</v>
      </c>
    </row>
    <row r="510" spans="1:75">
      <c r="A510" s="1" t="s">
        <v>1050</v>
      </c>
      <c r="B510" s="1" t="s">
        <v>1023</v>
      </c>
      <c r="C510" s="1" t="s">
        <v>1024</v>
      </c>
      <c r="D510" s="1" t="s">
        <v>1713</v>
      </c>
      <c r="E510" s="1" t="s">
        <v>2013</v>
      </c>
      <c r="F510" s="1">
        <v>0.245</v>
      </c>
      <c r="G510" s="1">
        <v>0.03</v>
      </c>
      <c r="H510" s="1">
        <v>2.62</v>
      </c>
      <c r="I510" s="20" t="s">
        <v>963</v>
      </c>
      <c r="J510" s="1" t="s">
        <v>516</v>
      </c>
      <c r="AI510" s="757"/>
      <c r="AJ510" s="195" t="s">
        <v>2810</v>
      </c>
      <c r="AK510" s="186" t="s">
        <v>1710</v>
      </c>
      <c r="AL510" s="747" t="s">
        <v>1967</v>
      </c>
      <c r="AM510" s="747" t="s">
        <v>519</v>
      </c>
      <c r="AN510" s="693" t="s">
        <v>1730</v>
      </c>
      <c r="AO510" s="186">
        <v>2.5000000000000001E-2</v>
      </c>
      <c r="AP510" s="186">
        <v>0</v>
      </c>
      <c r="AQ510" s="12">
        <v>2.3199999999999998</v>
      </c>
      <c r="AR510" s="11" t="s">
        <v>2809</v>
      </c>
      <c r="AS510" s="186" t="s">
        <v>1710</v>
      </c>
      <c r="AT510" s="747" t="s">
        <v>1967</v>
      </c>
      <c r="AU510" s="747" t="s">
        <v>519</v>
      </c>
      <c r="AV510" s="693" t="s">
        <v>1730</v>
      </c>
      <c r="AW510" s="186">
        <v>2.5000000000000001E-2</v>
      </c>
      <c r="AX510" s="186">
        <v>0</v>
      </c>
      <c r="AY510" s="12">
        <v>3</v>
      </c>
      <c r="AZ510" s="11" t="s">
        <v>2032</v>
      </c>
      <c r="BA510" s="186" t="s">
        <v>2040</v>
      </c>
      <c r="BB510" s="747" t="s">
        <v>2045</v>
      </c>
      <c r="BC510" s="747" t="s">
        <v>517</v>
      </c>
      <c r="BD510" s="747" t="s">
        <v>1730</v>
      </c>
      <c r="BE510" s="186">
        <v>8.7499999999999994E-2</v>
      </c>
      <c r="BF510" s="186">
        <v>5.7499999999999999E-3</v>
      </c>
      <c r="BG510" s="12">
        <v>2.58</v>
      </c>
      <c r="BH510" s="11" t="s">
        <v>2066</v>
      </c>
      <c r="BI510" s="186" t="s">
        <v>591</v>
      </c>
      <c r="BJ510" s="747" t="s">
        <v>1512</v>
      </c>
      <c r="BK510" s="747" t="s">
        <v>1730</v>
      </c>
      <c r="BL510" s="747" t="s">
        <v>1730</v>
      </c>
      <c r="BM510" s="186">
        <v>2.5000000000000001E-2</v>
      </c>
      <c r="BN510" s="186">
        <v>0</v>
      </c>
      <c r="BO510" s="12">
        <v>2.23</v>
      </c>
      <c r="BP510" s="11" t="s">
        <v>2097</v>
      </c>
      <c r="BQ510" s="186" t="s">
        <v>591</v>
      </c>
      <c r="BR510" s="747" t="s">
        <v>1234</v>
      </c>
      <c r="BS510" s="747" t="s">
        <v>1171</v>
      </c>
      <c r="BT510" s="747" t="s">
        <v>1730</v>
      </c>
      <c r="BU510" s="186">
        <v>2.2499999999999999E-2</v>
      </c>
      <c r="BV510" s="186">
        <v>0</v>
      </c>
      <c r="BW510" s="12">
        <v>1.37</v>
      </c>
    </row>
    <row r="511" spans="1:75">
      <c r="A511" s="1" t="s">
        <v>1051</v>
      </c>
      <c r="B511" s="1" t="s">
        <v>1023</v>
      </c>
      <c r="C511" s="1" t="s">
        <v>1024</v>
      </c>
      <c r="D511" s="1" t="s">
        <v>1713</v>
      </c>
      <c r="E511" s="1" t="s">
        <v>2014</v>
      </c>
      <c r="F511" s="1">
        <v>0.245</v>
      </c>
      <c r="G511" s="1">
        <v>0.03</v>
      </c>
      <c r="H511" s="1">
        <v>2.62</v>
      </c>
      <c r="I511" s="20" t="s">
        <v>691</v>
      </c>
      <c r="J511" s="1" t="s">
        <v>700</v>
      </c>
      <c r="AI511" s="757"/>
      <c r="AJ511" s="195" t="s">
        <v>2811</v>
      </c>
      <c r="AK511" s="186" t="s">
        <v>1710</v>
      </c>
      <c r="AL511" s="747" t="s">
        <v>538</v>
      </c>
      <c r="AM511" s="747" t="s">
        <v>254</v>
      </c>
      <c r="AN511" s="693" t="s">
        <v>1730</v>
      </c>
      <c r="AO511" s="186">
        <v>4.4999999999999998E-2</v>
      </c>
      <c r="AP511" s="186">
        <v>0</v>
      </c>
      <c r="AQ511" s="12">
        <v>2.3199999999999998</v>
      </c>
      <c r="AR511" s="11" t="s">
        <v>2812</v>
      </c>
      <c r="AS511" s="186" t="s">
        <v>1710</v>
      </c>
      <c r="AT511" s="747" t="s">
        <v>538</v>
      </c>
      <c r="AU511" s="747" t="s">
        <v>254</v>
      </c>
      <c r="AV511" s="693" t="s">
        <v>1730</v>
      </c>
      <c r="AW511" s="186">
        <v>4.4999999999999998E-2</v>
      </c>
      <c r="AX511" s="186">
        <v>0</v>
      </c>
      <c r="AY511" s="12">
        <v>3</v>
      </c>
      <c r="AZ511" s="11" t="s">
        <v>2032</v>
      </c>
      <c r="BA511" s="186" t="s">
        <v>2040</v>
      </c>
      <c r="BB511" s="747" t="s">
        <v>2046</v>
      </c>
      <c r="BC511" s="747" t="s">
        <v>517</v>
      </c>
      <c r="BD511" s="747" t="s">
        <v>1730</v>
      </c>
      <c r="BE511" s="186">
        <v>8.7499999999999994E-2</v>
      </c>
      <c r="BF511" s="186">
        <v>5.7499999999999999E-3</v>
      </c>
      <c r="BG511" s="12">
        <v>2.58</v>
      </c>
      <c r="BH511" s="11" t="s">
        <v>2066</v>
      </c>
      <c r="BI511" s="186" t="s">
        <v>591</v>
      </c>
      <c r="BJ511" s="747" t="s">
        <v>1513</v>
      </c>
      <c r="BK511" s="747" t="s">
        <v>1730</v>
      </c>
      <c r="BL511" s="747" t="s">
        <v>1730</v>
      </c>
      <c r="BM511" s="186">
        <v>1.2500000000000001E-2</v>
      </c>
      <c r="BN511" s="186">
        <v>0</v>
      </c>
      <c r="BO511" s="12">
        <v>2.23</v>
      </c>
      <c r="BP511" s="11" t="s">
        <v>2097</v>
      </c>
      <c r="BQ511" s="186" t="s">
        <v>591</v>
      </c>
      <c r="BR511" s="747" t="s">
        <v>1235</v>
      </c>
      <c r="BS511" s="747" t="s">
        <v>1171</v>
      </c>
      <c r="BT511" s="747" t="s">
        <v>1730</v>
      </c>
      <c r="BU511" s="186">
        <v>2.2499999999999999E-2</v>
      </c>
      <c r="BV511" s="186">
        <v>0</v>
      </c>
      <c r="BW511" s="12">
        <v>1.37</v>
      </c>
    </row>
    <row r="512" spans="1:75">
      <c r="A512" s="1" t="s">
        <v>1052</v>
      </c>
      <c r="B512" s="1" t="s">
        <v>1023</v>
      </c>
      <c r="C512" s="1" t="s">
        <v>1024</v>
      </c>
      <c r="D512" s="1" t="s">
        <v>1713</v>
      </c>
      <c r="E512" s="1" t="s">
        <v>2015</v>
      </c>
      <c r="F512" s="1">
        <v>0.1225</v>
      </c>
      <c r="G512" s="1">
        <v>1.4999999999999999E-2</v>
      </c>
      <c r="H512" s="1">
        <v>2.62</v>
      </c>
      <c r="I512" s="20" t="s">
        <v>963</v>
      </c>
      <c r="J512" s="1" t="s">
        <v>517</v>
      </c>
      <c r="AI512" s="757"/>
      <c r="AJ512" s="195" t="s">
        <v>2810</v>
      </c>
      <c r="AK512" s="186" t="s">
        <v>1710</v>
      </c>
      <c r="AL512" s="747" t="s">
        <v>539</v>
      </c>
      <c r="AM512" s="747" t="s">
        <v>254</v>
      </c>
      <c r="AN512" s="693" t="s">
        <v>1730</v>
      </c>
      <c r="AO512" s="186">
        <v>4.4999999999999998E-2</v>
      </c>
      <c r="AP512" s="186">
        <v>0</v>
      </c>
      <c r="AQ512" s="12">
        <v>2.3199999999999998</v>
      </c>
      <c r="AR512" s="11" t="s">
        <v>2809</v>
      </c>
      <c r="AS512" s="186" t="s">
        <v>1710</v>
      </c>
      <c r="AT512" s="747" t="s">
        <v>539</v>
      </c>
      <c r="AU512" s="747" t="s">
        <v>254</v>
      </c>
      <c r="AV512" s="693" t="s">
        <v>1730</v>
      </c>
      <c r="AW512" s="186">
        <v>4.4999999999999998E-2</v>
      </c>
      <c r="AX512" s="186">
        <v>0</v>
      </c>
      <c r="AY512" s="12">
        <v>3</v>
      </c>
      <c r="AZ512" s="11" t="s">
        <v>2032</v>
      </c>
      <c r="BA512" s="186" t="s">
        <v>1720</v>
      </c>
      <c r="BB512" s="747" t="s">
        <v>1815</v>
      </c>
      <c r="BC512" s="747" t="s">
        <v>1730</v>
      </c>
      <c r="BD512" s="747" t="s">
        <v>1730</v>
      </c>
      <c r="BE512" s="186">
        <v>0.26</v>
      </c>
      <c r="BF512" s="186">
        <v>1.7000000000000001E-2</v>
      </c>
      <c r="BG512" s="12">
        <v>2.58</v>
      </c>
      <c r="BH512" s="11" t="s">
        <v>2066</v>
      </c>
      <c r="BI512" s="186" t="s">
        <v>591</v>
      </c>
      <c r="BJ512" s="747" t="s">
        <v>1224</v>
      </c>
      <c r="BK512" s="747" t="s">
        <v>1171</v>
      </c>
      <c r="BL512" s="747" t="s">
        <v>1730</v>
      </c>
      <c r="BM512" s="186">
        <v>2.2499999999999999E-2</v>
      </c>
      <c r="BN512" s="186">
        <v>0</v>
      </c>
      <c r="BO512" s="12">
        <v>2.23</v>
      </c>
      <c r="BP512" s="685" t="s">
        <v>2097</v>
      </c>
      <c r="BQ512" s="686" t="s">
        <v>2610</v>
      </c>
      <c r="BR512" s="687" t="s">
        <v>2611</v>
      </c>
      <c r="BS512" s="687" t="s">
        <v>1730</v>
      </c>
      <c r="BT512" s="687" t="s">
        <v>1730</v>
      </c>
      <c r="BU512" s="686">
        <v>1.4999999999999999E-2</v>
      </c>
      <c r="BV512" s="686">
        <v>0</v>
      </c>
      <c r="BW512" s="688">
        <v>1.37</v>
      </c>
    </row>
    <row r="513" spans="1:75">
      <c r="A513" s="1" t="s">
        <v>1053</v>
      </c>
      <c r="B513" s="1" t="s">
        <v>1023</v>
      </c>
      <c r="C513" s="1" t="s">
        <v>1024</v>
      </c>
      <c r="D513" s="1" t="s">
        <v>1713</v>
      </c>
      <c r="E513" s="1" t="s">
        <v>2016</v>
      </c>
      <c r="F513" s="1">
        <v>0.1225</v>
      </c>
      <c r="G513" s="1">
        <v>1.4999999999999999E-2</v>
      </c>
      <c r="H513" s="1">
        <v>2.62</v>
      </c>
      <c r="I513" s="20" t="s">
        <v>691</v>
      </c>
      <c r="J513" s="1" t="s">
        <v>703</v>
      </c>
      <c r="AI513" s="757"/>
      <c r="AJ513" s="195" t="s">
        <v>2811</v>
      </c>
      <c r="AK513" s="186" t="s">
        <v>523</v>
      </c>
      <c r="AL513" s="747" t="s">
        <v>540</v>
      </c>
      <c r="AM513" s="747" t="s">
        <v>1730</v>
      </c>
      <c r="AN513" s="693" t="s">
        <v>1730</v>
      </c>
      <c r="AO513" s="186">
        <v>0.05</v>
      </c>
      <c r="AP513" s="186">
        <v>0</v>
      </c>
      <c r="AQ513" s="12">
        <v>2.3199999999999998</v>
      </c>
      <c r="AR513" s="11" t="s">
        <v>2717</v>
      </c>
      <c r="AS513" s="186" t="s">
        <v>523</v>
      </c>
      <c r="AT513" s="747" t="s">
        <v>540</v>
      </c>
      <c r="AU513" s="747" t="s">
        <v>1730</v>
      </c>
      <c r="AV513" s="693" t="s">
        <v>1730</v>
      </c>
      <c r="AW513" s="186">
        <v>0.05</v>
      </c>
      <c r="AX513" s="186">
        <v>0</v>
      </c>
      <c r="AY513" s="12">
        <v>3</v>
      </c>
      <c r="AZ513" s="11" t="s">
        <v>2032</v>
      </c>
      <c r="BA513" s="186" t="s">
        <v>1720</v>
      </c>
      <c r="BB513" s="747" t="s">
        <v>1816</v>
      </c>
      <c r="BC513" s="747" t="s">
        <v>1730</v>
      </c>
      <c r="BD513" s="747" t="s">
        <v>1730</v>
      </c>
      <c r="BE513" s="186">
        <v>0.13</v>
      </c>
      <c r="BF513" s="186">
        <v>8.5000000000000006E-3</v>
      </c>
      <c r="BG513" s="12">
        <v>2.58</v>
      </c>
      <c r="BH513" s="11" t="s">
        <v>2066</v>
      </c>
      <c r="BI513" s="186" t="s">
        <v>591</v>
      </c>
      <c r="BJ513" s="747" t="s">
        <v>1225</v>
      </c>
      <c r="BK513" s="747" t="s">
        <v>1171</v>
      </c>
      <c r="BL513" s="747" t="s">
        <v>1730</v>
      </c>
      <c r="BM513" s="186">
        <v>2.2499999999999999E-2</v>
      </c>
      <c r="BN513" s="186">
        <v>0</v>
      </c>
      <c r="BO513" s="12">
        <v>2.23</v>
      </c>
      <c r="BP513" s="685" t="s">
        <v>2097</v>
      </c>
      <c r="BQ513" s="686" t="s">
        <v>2610</v>
      </c>
      <c r="BR513" s="687" t="s">
        <v>2612</v>
      </c>
      <c r="BS513" s="687" t="s">
        <v>1730</v>
      </c>
      <c r="BT513" s="687" t="s">
        <v>1730</v>
      </c>
      <c r="BU513" s="686">
        <v>7.4999999999999997E-3</v>
      </c>
      <c r="BV513" s="686">
        <v>0</v>
      </c>
      <c r="BW513" s="688">
        <v>1.37</v>
      </c>
    </row>
    <row r="514" spans="1:75">
      <c r="A514" s="1" t="s">
        <v>1054</v>
      </c>
      <c r="B514" s="1" t="s">
        <v>1023</v>
      </c>
      <c r="C514" s="1" t="s">
        <v>1024</v>
      </c>
      <c r="D514" s="1" t="s">
        <v>1710</v>
      </c>
      <c r="E514" s="1" t="s">
        <v>1712</v>
      </c>
      <c r="F514" s="1">
        <v>0.25</v>
      </c>
      <c r="G514" s="1">
        <v>1.4999999999999999E-2</v>
      </c>
      <c r="H514" s="1">
        <v>2.62</v>
      </c>
      <c r="I514" s="20" t="s">
        <v>980</v>
      </c>
      <c r="AI514" s="757"/>
      <c r="AJ514" s="195" t="s">
        <v>2811</v>
      </c>
      <c r="AK514" s="186" t="s">
        <v>523</v>
      </c>
      <c r="AL514" s="747" t="s">
        <v>541</v>
      </c>
      <c r="AM514" s="747" t="s">
        <v>1730</v>
      </c>
      <c r="AN514" s="693" t="s">
        <v>1730</v>
      </c>
      <c r="AO514" s="186">
        <v>2.5000000000000001E-2</v>
      </c>
      <c r="AP514" s="186">
        <v>0</v>
      </c>
      <c r="AQ514" s="12">
        <v>2.3199999999999998</v>
      </c>
      <c r="AR514" s="11" t="s">
        <v>2809</v>
      </c>
      <c r="AS514" s="186" t="s">
        <v>523</v>
      </c>
      <c r="AT514" s="747" t="s">
        <v>541</v>
      </c>
      <c r="AU514" s="747" t="s">
        <v>1730</v>
      </c>
      <c r="AV514" s="693" t="s">
        <v>1730</v>
      </c>
      <c r="AW514" s="186">
        <v>2.5000000000000001E-2</v>
      </c>
      <c r="AX514" s="186">
        <v>0</v>
      </c>
      <c r="AY514" s="12">
        <v>3</v>
      </c>
      <c r="AZ514" s="11" t="s">
        <v>2032</v>
      </c>
      <c r="BA514" s="186" t="s">
        <v>1720</v>
      </c>
      <c r="BB514" s="747" t="s">
        <v>296</v>
      </c>
      <c r="BC514" s="747" t="s">
        <v>1730</v>
      </c>
      <c r="BD514" s="747" t="s">
        <v>1730</v>
      </c>
      <c r="BE514" s="186">
        <v>0.26</v>
      </c>
      <c r="BF514" s="186">
        <v>1.7000000000000001E-2</v>
      </c>
      <c r="BG514" s="12">
        <v>2.58</v>
      </c>
      <c r="BH514" s="11" t="s">
        <v>2066</v>
      </c>
      <c r="BI514" s="186" t="s">
        <v>523</v>
      </c>
      <c r="BJ514" s="747" t="s">
        <v>1226</v>
      </c>
      <c r="BK514" s="747" t="s">
        <v>1171</v>
      </c>
      <c r="BL514" s="747" t="s">
        <v>1730</v>
      </c>
      <c r="BM514" s="186">
        <v>2.2499999999999999E-2</v>
      </c>
      <c r="BN514" s="186">
        <v>0</v>
      </c>
      <c r="BO514" s="12">
        <v>2.23</v>
      </c>
      <c r="BP514" s="11"/>
      <c r="BQ514" s="186"/>
      <c r="BR514" s="747"/>
      <c r="BS514" s="747"/>
      <c r="BT514" s="747"/>
      <c r="BU514" s="186"/>
      <c r="BV514" s="186"/>
      <c r="BW514" s="12"/>
    </row>
    <row r="515" spans="1:75">
      <c r="A515" s="1" t="s">
        <v>1055</v>
      </c>
      <c r="B515" s="1" t="s">
        <v>1023</v>
      </c>
      <c r="C515" s="1" t="s">
        <v>1024</v>
      </c>
      <c r="D515" s="1" t="s">
        <v>1710</v>
      </c>
      <c r="E515" s="1" t="s">
        <v>575</v>
      </c>
      <c r="F515" s="1">
        <v>0.25</v>
      </c>
      <c r="G515" s="1">
        <v>1.4999999999999999E-2</v>
      </c>
      <c r="I515" s="20"/>
      <c r="AI515" s="757"/>
      <c r="AJ515" s="195" t="s">
        <v>2810</v>
      </c>
      <c r="AK515" s="186" t="s">
        <v>523</v>
      </c>
      <c r="AL515" s="747" t="s">
        <v>542</v>
      </c>
      <c r="AM515" s="747" t="s">
        <v>519</v>
      </c>
      <c r="AN515" s="693" t="s">
        <v>1730</v>
      </c>
      <c r="AO515" s="186">
        <v>2.5000000000000001E-2</v>
      </c>
      <c r="AP515" s="186">
        <v>0</v>
      </c>
      <c r="AQ515" s="12">
        <v>2.3199999999999998</v>
      </c>
      <c r="AR515" s="11" t="s">
        <v>2809</v>
      </c>
      <c r="AS515" s="186" t="s">
        <v>523</v>
      </c>
      <c r="AT515" s="747" t="s">
        <v>542</v>
      </c>
      <c r="AU515" s="747" t="s">
        <v>519</v>
      </c>
      <c r="AV515" s="693" t="s">
        <v>1730</v>
      </c>
      <c r="AW515" s="186">
        <v>2.5000000000000001E-2</v>
      </c>
      <c r="AX515" s="186">
        <v>0</v>
      </c>
      <c r="AY515" s="12">
        <v>3</v>
      </c>
      <c r="AZ515" s="11" t="s">
        <v>2032</v>
      </c>
      <c r="BA515" s="186" t="s">
        <v>1720</v>
      </c>
      <c r="BB515" s="747" t="s">
        <v>297</v>
      </c>
      <c r="BC515" s="747" t="s">
        <v>1730</v>
      </c>
      <c r="BD515" s="747" t="s">
        <v>1730</v>
      </c>
      <c r="BE515" s="186">
        <v>0.13</v>
      </c>
      <c r="BF515" s="186">
        <v>8.5000000000000006E-3</v>
      </c>
      <c r="BG515" s="12">
        <v>2.58</v>
      </c>
      <c r="BH515" s="11" t="s">
        <v>2066</v>
      </c>
      <c r="BI515" s="186" t="s">
        <v>523</v>
      </c>
      <c r="BJ515" s="747" t="s">
        <v>1227</v>
      </c>
      <c r="BK515" s="747" t="s">
        <v>1171</v>
      </c>
      <c r="BL515" s="747" t="s">
        <v>1730</v>
      </c>
      <c r="BM515" s="186">
        <v>2.2499999999999999E-2</v>
      </c>
      <c r="BN515" s="186">
        <v>0</v>
      </c>
      <c r="BO515" s="12">
        <v>2.23</v>
      </c>
      <c r="BP515" s="11"/>
      <c r="BQ515" s="186"/>
      <c r="BR515" s="747"/>
      <c r="BS515" s="747"/>
      <c r="BT515" s="747"/>
      <c r="BU515" s="186"/>
      <c r="BV515" s="186"/>
      <c r="BW515" s="12"/>
    </row>
    <row r="516" spans="1:75">
      <c r="A516" s="1" t="s">
        <v>1056</v>
      </c>
      <c r="B516" s="1" t="s">
        <v>1023</v>
      </c>
      <c r="C516" s="1" t="s">
        <v>1024</v>
      </c>
      <c r="D516" s="1" t="s">
        <v>1710</v>
      </c>
      <c r="E516" s="1" t="s">
        <v>1711</v>
      </c>
      <c r="F516" s="1">
        <v>0.125</v>
      </c>
      <c r="G516" s="1">
        <v>7.4999999999999997E-3</v>
      </c>
      <c r="H516" s="1">
        <v>2.62</v>
      </c>
      <c r="I516" s="20" t="s">
        <v>691</v>
      </c>
      <c r="J516" s="1" t="s">
        <v>692</v>
      </c>
      <c r="AI516" s="757"/>
      <c r="AJ516" s="195" t="s">
        <v>2810</v>
      </c>
      <c r="AK516" s="186" t="s">
        <v>523</v>
      </c>
      <c r="AL516" s="747" t="s">
        <v>543</v>
      </c>
      <c r="AM516" s="747" t="s">
        <v>519</v>
      </c>
      <c r="AN516" s="693" t="s">
        <v>1730</v>
      </c>
      <c r="AO516" s="186">
        <v>2.5000000000000001E-2</v>
      </c>
      <c r="AP516" s="186">
        <v>0</v>
      </c>
      <c r="AQ516" s="12">
        <v>2.3199999999999998</v>
      </c>
      <c r="AR516" s="11" t="s">
        <v>2812</v>
      </c>
      <c r="AS516" s="186" t="s">
        <v>523</v>
      </c>
      <c r="AT516" s="747" t="s">
        <v>543</v>
      </c>
      <c r="AU516" s="747" t="s">
        <v>519</v>
      </c>
      <c r="AV516" s="693" t="s">
        <v>1730</v>
      </c>
      <c r="AW516" s="186">
        <v>2.5000000000000001E-2</v>
      </c>
      <c r="AX516" s="186">
        <v>0</v>
      </c>
      <c r="AY516" s="12">
        <v>3</v>
      </c>
      <c r="AZ516" s="11" t="s">
        <v>2032</v>
      </c>
      <c r="BA516" s="186" t="s">
        <v>1720</v>
      </c>
      <c r="BB516" s="747" t="s">
        <v>298</v>
      </c>
      <c r="BC516" s="747" t="s">
        <v>515</v>
      </c>
      <c r="BD516" s="747" t="s">
        <v>1730</v>
      </c>
      <c r="BE516" s="186">
        <v>0.19500000000000001</v>
      </c>
      <c r="BF516" s="186">
        <v>1.2750000000000001E-2</v>
      </c>
      <c r="BG516" s="12">
        <v>2.58</v>
      </c>
      <c r="BH516" s="765" t="s">
        <v>2032</v>
      </c>
      <c r="BI516" s="759" t="s">
        <v>1708</v>
      </c>
      <c r="BJ516" s="760" t="s">
        <v>1811</v>
      </c>
      <c r="BK516" s="760" t="s">
        <v>1730</v>
      </c>
      <c r="BL516" s="760" t="s">
        <v>1730</v>
      </c>
      <c r="BM516" s="759">
        <v>0.17499999999999999</v>
      </c>
      <c r="BN516" s="759">
        <v>0</v>
      </c>
      <c r="BO516" s="761">
        <v>2.23</v>
      </c>
      <c r="BP516" s="11"/>
      <c r="BQ516" s="186"/>
      <c r="BR516" s="747"/>
      <c r="BS516" s="747"/>
      <c r="BT516" s="747"/>
      <c r="BU516" s="186"/>
      <c r="BV516" s="186"/>
      <c r="BW516" s="12"/>
    </row>
    <row r="517" spans="1:75">
      <c r="A517" s="1" t="s">
        <v>1057</v>
      </c>
      <c r="B517" s="1" t="s">
        <v>1023</v>
      </c>
      <c r="C517" s="1" t="s">
        <v>1024</v>
      </c>
      <c r="D517" s="1" t="s">
        <v>1710</v>
      </c>
      <c r="E517" s="1" t="s">
        <v>576</v>
      </c>
      <c r="F517" s="1">
        <v>0.125</v>
      </c>
      <c r="G517" s="1">
        <v>7.4999999999999997E-3</v>
      </c>
      <c r="I517" s="20"/>
      <c r="J517" s="1" t="s">
        <v>692</v>
      </c>
      <c r="AI517" s="757"/>
      <c r="AJ517" s="195" t="s">
        <v>2810</v>
      </c>
      <c r="AK517" s="186" t="s">
        <v>523</v>
      </c>
      <c r="AL517" s="747" t="s">
        <v>544</v>
      </c>
      <c r="AM517" s="747" t="s">
        <v>520</v>
      </c>
      <c r="AN517" s="693" t="s">
        <v>1730</v>
      </c>
      <c r="AO517" s="186">
        <v>1.2500000000000001E-2</v>
      </c>
      <c r="AP517" s="186">
        <v>0</v>
      </c>
      <c r="AQ517" s="12">
        <v>2.3199999999999998</v>
      </c>
      <c r="AR517" s="11" t="s">
        <v>2717</v>
      </c>
      <c r="AS517" s="186" t="s">
        <v>523</v>
      </c>
      <c r="AT517" s="747" t="s">
        <v>544</v>
      </c>
      <c r="AU517" s="747" t="s">
        <v>520</v>
      </c>
      <c r="AV517" s="693" t="s">
        <v>1730</v>
      </c>
      <c r="AW517" s="186">
        <v>1.2500000000000001E-2</v>
      </c>
      <c r="AX517" s="186">
        <v>0</v>
      </c>
      <c r="AY517" s="12">
        <v>3</v>
      </c>
      <c r="AZ517" s="11" t="s">
        <v>2032</v>
      </c>
      <c r="BA517" s="186" t="s">
        <v>1720</v>
      </c>
      <c r="BB517" s="747" t="s">
        <v>299</v>
      </c>
      <c r="BC517" s="747" t="s">
        <v>515</v>
      </c>
      <c r="BD517" s="747" t="s">
        <v>1730</v>
      </c>
      <c r="BE517" s="186">
        <v>0.19500000000000001</v>
      </c>
      <c r="BF517" s="186">
        <v>1.2750000000000001E-2</v>
      </c>
      <c r="BG517" s="12">
        <v>2.58</v>
      </c>
      <c r="BH517" s="765" t="s">
        <v>2032</v>
      </c>
      <c r="BI517" s="759" t="s">
        <v>1720</v>
      </c>
      <c r="BJ517" s="760" t="s">
        <v>1815</v>
      </c>
      <c r="BK517" s="760" t="s">
        <v>1730</v>
      </c>
      <c r="BL517" s="760" t="s">
        <v>1730</v>
      </c>
      <c r="BM517" s="759">
        <v>0.13</v>
      </c>
      <c r="BN517" s="759">
        <v>0</v>
      </c>
      <c r="BO517" s="761">
        <v>2.23</v>
      </c>
      <c r="BP517" s="11"/>
      <c r="BQ517" s="186"/>
      <c r="BR517" s="747"/>
      <c r="BS517" s="747"/>
      <c r="BT517" s="747"/>
      <c r="BU517" s="186"/>
      <c r="BV517" s="186"/>
      <c r="BW517" s="12"/>
    </row>
    <row r="518" spans="1:75">
      <c r="A518" s="1" t="s">
        <v>1058</v>
      </c>
      <c r="B518" s="1" t="s">
        <v>1023</v>
      </c>
      <c r="C518" s="1" t="s">
        <v>1024</v>
      </c>
      <c r="D518" s="1" t="s">
        <v>1710</v>
      </c>
      <c r="E518" s="1" t="s">
        <v>1714</v>
      </c>
      <c r="F518" s="1">
        <v>0.22500000000000001</v>
      </c>
      <c r="G518" s="1">
        <v>1.35E-2</v>
      </c>
      <c r="H518" s="1">
        <v>2.62</v>
      </c>
      <c r="I518" s="20" t="s">
        <v>691</v>
      </c>
      <c r="J518" s="1" t="s">
        <v>697</v>
      </c>
      <c r="AI518" s="757"/>
      <c r="AJ518" s="195" t="s">
        <v>2811</v>
      </c>
      <c r="AK518" s="186" t="s">
        <v>523</v>
      </c>
      <c r="AL518" s="747" t="s">
        <v>545</v>
      </c>
      <c r="AM518" s="747" t="s">
        <v>520</v>
      </c>
      <c r="AN518" s="693" t="s">
        <v>1730</v>
      </c>
      <c r="AO518" s="186">
        <v>1.2500000000000001E-2</v>
      </c>
      <c r="AP518" s="186">
        <v>0</v>
      </c>
      <c r="AQ518" s="12">
        <v>2.3199999999999998</v>
      </c>
      <c r="AR518" s="11" t="s">
        <v>2717</v>
      </c>
      <c r="AS518" s="186" t="s">
        <v>523</v>
      </c>
      <c r="AT518" s="747" t="s">
        <v>545</v>
      </c>
      <c r="AU518" s="747" t="s">
        <v>520</v>
      </c>
      <c r="AV518" s="693" t="s">
        <v>1730</v>
      </c>
      <c r="AW518" s="186">
        <v>1.2500000000000001E-2</v>
      </c>
      <c r="AX518" s="186">
        <v>0</v>
      </c>
      <c r="AY518" s="12">
        <v>3</v>
      </c>
      <c r="AZ518" s="11" t="s">
        <v>2032</v>
      </c>
      <c r="BA518" s="186" t="s">
        <v>1720</v>
      </c>
      <c r="BB518" s="747" t="s">
        <v>300</v>
      </c>
      <c r="BC518" s="747" t="s">
        <v>516</v>
      </c>
      <c r="BD518" s="747" t="s">
        <v>1730</v>
      </c>
      <c r="BE518" s="186">
        <v>0.13</v>
      </c>
      <c r="BF518" s="186">
        <v>8.5000000000000006E-3</v>
      </c>
      <c r="BG518" s="12">
        <v>2.58</v>
      </c>
      <c r="BH518" s="765" t="s">
        <v>2032</v>
      </c>
      <c r="BI518" s="759" t="s">
        <v>1720</v>
      </c>
      <c r="BJ518" s="760" t="s">
        <v>305</v>
      </c>
      <c r="BK518" s="760" t="s">
        <v>609</v>
      </c>
      <c r="BL518" s="760" t="s">
        <v>1730</v>
      </c>
      <c r="BM518" s="759">
        <v>0.13</v>
      </c>
      <c r="BN518" s="759">
        <v>0</v>
      </c>
      <c r="BO518" s="761">
        <v>2.23</v>
      </c>
      <c r="BP518" s="11"/>
      <c r="BQ518" s="186"/>
      <c r="BR518" s="747"/>
      <c r="BS518" s="747"/>
      <c r="BT518" s="747"/>
      <c r="BU518" s="186"/>
      <c r="BV518" s="186"/>
      <c r="BW518" s="12"/>
    </row>
    <row r="519" spans="1:75">
      <c r="A519" s="1" t="s">
        <v>1059</v>
      </c>
      <c r="B519" s="1" t="s">
        <v>1023</v>
      </c>
      <c r="C519" s="1" t="s">
        <v>1024</v>
      </c>
      <c r="D519" s="1" t="s">
        <v>1710</v>
      </c>
      <c r="E519" s="1" t="s">
        <v>577</v>
      </c>
      <c r="F519" s="1">
        <v>0.22500000000000001</v>
      </c>
      <c r="G519" s="1">
        <v>1.35E-2</v>
      </c>
      <c r="I519" s="20"/>
      <c r="J519" s="1" t="s">
        <v>952</v>
      </c>
      <c r="AI519" s="757"/>
      <c r="AJ519" s="195" t="s">
        <v>2810</v>
      </c>
      <c r="AK519" s="186" t="s">
        <v>523</v>
      </c>
      <c r="AL519" s="747" t="s">
        <v>1174</v>
      </c>
      <c r="AM519" s="747" t="s">
        <v>1171</v>
      </c>
      <c r="AN519" s="693" t="s">
        <v>1730</v>
      </c>
      <c r="AO519" s="186">
        <v>4.4999999999999998E-2</v>
      </c>
      <c r="AP519" s="186">
        <v>0</v>
      </c>
      <c r="AQ519" s="12">
        <v>2.3199999999999998</v>
      </c>
      <c r="AR519" s="11" t="s">
        <v>1179</v>
      </c>
      <c r="AS519" s="186" t="s">
        <v>523</v>
      </c>
      <c r="AT519" s="747" t="s">
        <v>1174</v>
      </c>
      <c r="AU519" s="747" t="s">
        <v>1171</v>
      </c>
      <c r="AV519" s="693" t="s">
        <v>1730</v>
      </c>
      <c r="AW519" s="186">
        <v>4.4999999999999998E-2</v>
      </c>
      <c r="AX519" s="186">
        <v>0</v>
      </c>
      <c r="AY519" s="12">
        <v>3</v>
      </c>
      <c r="AZ519" s="11" t="s">
        <v>2032</v>
      </c>
      <c r="BA519" s="186" t="s">
        <v>1720</v>
      </c>
      <c r="BB519" s="747" t="s">
        <v>301</v>
      </c>
      <c r="BC519" s="747" t="s">
        <v>516</v>
      </c>
      <c r="BD519" s="747" t="s">
        <v>1730</v>
      </c>
      <c r="BE519" s="186">
        <v>0.13</v>
      </c>
      <c r="BF519" s="186">
        <v>8.5000000000000006E-3</v>
      </c>
      <c r="BG519" s="12">
        <v>2.58</v>
      </c>
      <c r="BH519" s="765" t="s">
        <v>2032</v>
      </c>
      <c r="BI519" s="759" t="s">
        <v>1915</v>
      </c>
      <c r="BJ519" s="760" t="s">
        <v>1809</v>
      </c>
      <c r="BK519" s="760" t="s">
        <v>1730</v>
      </c>
      <c r="BL519" s="760" t="s">
        <v>1730</v>
      </c>
      <c r="BM519" s="759">
        <v>0.28000000000000003</v>
      </c>
      <c r="BN519" s="759">
        <v>0</v>
      </c>
      <c r="BO519" s="761">
        <v>2.23</v>
      </c>
      <c r="BP519" s="11"/>
      <c r="BQ519" s="186"/>
      <c r="BR519" s="747"/>
      <c r="BS519" s="747"/>
      <c r="BT519" s="747"/>
      <c r="BU519" s="186"/>
      <c r="BV519" s="186"/>
      <c r="BW519" s="12"/>
    </row>
    <row r="520" spans="1:75">
      <c r="A520" s="1" t="s">
        <v>1060</v>
      </c>
      <c r="B520" s="1" t="s">
        <v>1023</v>
      </c>
      <c r="C520" s="1" t="s">
        <v>1024</v>
      </c>
      <c r="D520" s="1" t="s">
        <v>1710</v>
      </c>
      <c r="E520" s="1" t="s">
        <v>1715</v>
      </c>
      <c r="F520" s="1">
        <v>0.22500000000000001</v>
      </c>
      <c r="G520" s="1">
        <v>1.35E-2</v>
      </c>
      <c r="H520" s="1">
        <v>2.62</v>
      </c>
      <c r="I520" s="20" t="s">
        <v>980</v>
      </c>
      <c r="J520" s="1" t="s">
        <v>515</v>
      </c>
      <c r="AI520" s="757"/>
      <c r="AJ520" s="195" t="s">
        <v>2811</v>
      </c>
      <c r="AK520" s="186" t="s">
        <v>523</v>
      </c>
      <c r="AL520" s="747" t="s">
        <v>1175</v>
      </c>
      <c r="AM520" s="747" t="s">
        <v>1171</v>
      </c>
      <c r="AN520" s="693" t="s">
        <v>1730</v>
      </c>
      <c r="AO520" s="186">
        <v>4.4999999999999998E-2</v>
      </c>
      <c r="AP520" s="186">
        <v>0</v>
      </c>
      <c r="AQ520" s="12">
        <v>2.3199999999999998</v>
      </c>
      <c r="AR520" s="11" t="s">
        <v>1179</v>
      </c>
      <c r="AS520" s="186" t="s">
        <v>523</v>
      </c>
      <c r="AT520" s="747" t="s">
        <v>1175</v>
      </c>
      <c r="AU520" s="747" t="s">
        <v>1171</v>
      </c>
      <c r="AV520" s="693" t="s">
        <v>1730</v>
      </c>
      <c r="AW520" s="186">
        <v>4.4999999999999998E-2</v>
      </c>
      <c r="AX520" s="186">
        <v>0</v>
      </c>
      <c r="AY520" s="12">
        <v>3</v>
      </c>
      <c r="AZ520" s="11" t="s">
        <v>2032</v>
      </c>
      <c r="BA520" s="186" t="s">
        <v>1720</v>
      </c>
      <c r="BB520" s="747" t="s">
        <v>302</v>
      </c>
      <c r="BC520" s="747" t="s">
        <v>517</v>
      </c>
      <c r="BD520" s="747" t="s">
        <v>1730</v>
      </c>
      <c r="BE520" s="186">
        <v>6.5000000000000002E-2</v>
      </c>
      <c r="BF520" s="186">
        <v>4.2500000000000003E-3</v>
      </c>
      <c r="BG520" s="12">
        <v>2.58</v>
      </c>
      <c r="BH520" s="765" t="s">
        <v>2032</v>
      </c>
      <c r="BI520" s="759" t="s">
        <v>1937</v>
      </c>
      <c r="BJ520" s="760" t="s">
        <v>1839</v>
      </c>
      <c r="BK520" s="760" t="s">
        <v>1730</v>
      </c>
      <c r="BL520" s="760" t="s">
        <v>1730</v>
      </c>
      <c r="BM520" s="759">
        <v>0.23</v>
      </c>
      <c r="BN520" s="759">
        <v>0</v>
      </c>
      <c r="BO520" s="761">
        <v>2.23</v>
      </c>
      <c r="BP520" s="11"/>
      <c r="BQ520" s="186"/>
      <c r="BR520" s="747"/>
      <c r="BS520" s="747"/>
      <c r="BT520" s="747"/>
      <c r="BU520" s="186"/>
      <c r="BV520" s="186"/>
      <c r="BW520" s="12"/>
    </row>
    <row r="521" spans="1:75">
      <c r="A521" s="1" t="s">
        <v>1061</v>
      </c>
      <c r="B521" s="1" t="s">
        <v>1023</v>
      </c>
      <c r="C521" s="1" t="s">
        <v>1024</v>
      </c>
      <c r="D521" s="1" t="s">
        <v>1710</v>
      </c>
      <c r="E521" s="1" t="s">
        <v>578</v>
      </c>
      <c r="F521" s="1">
        <v>0.22500000000000001</v>
      </c>
      <c r="G521" s="1">
        <v>1.35E-2</v>
      </c>
      <c r="I521" s="20"/>
      <c r="J521" s="1" t="s">
        <v>515</v>
      </c>
      <c r="AI521" s="757"/>
      <c r="AJ521" s="689" t="s">
        <v>2811</v>
      </c>
      <c r="AK521" s="686" t="s">
        <v>1710</v>
      </c>
      <c r="AL521" s="687" t="s">
        <v>2613</v>
      </c>
      <c r="AM521" s="687" t="s">
        <v>1730</v>
      </c>
      <c r="AN521" s="762" t="s">
        <v>1730</v>
      </c>
      <c r="AO521" s="686">
        <v>1.2500000000000001E-2</v>
      </c>
      <c r="AP521" s="686">
        <v>0</v>
      </c>
      <c r="AQ521" s="688">
        <v>2.3199999999999998</v>
      </c>
      <c r="AR521" s="765" t="s">
        <v>2032</v>
      </c>
      <c r="AS521" s="759" t="s">
        <v>1708</v>
      </c>
      <c r="AT521" s="760" t="s">
        <v>1811</v>
      </c>
      <c r="AU521" s="760" t="s">
        <v>1730</v>
      </c>
      <c r="AV521" s="760" t="s">
        <v>1730</v>
      </c>
      <c r="AW521" s="759">
        <v>0.17499999999999999</v>
      </c>
      <c r="AX521" s="759">
        <v>0</v>
      </c>
      <c r="AY521" s="761">
        <v>3</v>
      </c>
      <c r="AZ521" s="11" t="s">
        <v>2032</v>
      </c>
      <c r="BA521" s="186" t="s">
        <v>1720</v>
      </c>
      <c r="BB521" s="747" t="s">
        <v>303</v>
      </c>
      <c r="BC521" s="747" t="s">
        <v>517</v>
      </c>
      <c r="BD521" s="747" t="s">
        <v>1730</v>
      </c>
      <c r="BE521" s="186">
        <v>6.5000000000000002E-2</v>
      </c>
      <c r="BF521" s="186">
        <v>4.2500000000000003E-3</v>
      </c>
      <c r="BG521" s="12">
        <v>2.58</v>
      </c>
      <c r="BH521" s="765" t="s">
        <v>2032</v>
      </c>
      <c r="BI521" s="759" t="s">
        <v>1720</v>
      </c>
      <c r="BJ521" s="760" t="s">
        <v>630</v>
      </c>
      <c r="BK521" s="760" t="s">
        <v>608</v>
      </c>
      <c r="BL521" s="760" t="s">
        <v>1730</v>
      </c>
      <c r="BM521" s="759">
        <v>0.13</v>
      </c>
      <c r="BN521" s="759">
        <v>0</v>
      </c>
      <c r="BO521" s="761">
        <v>2.23</v>
      </c>
      <c r="BP521" s="11"/>
      <c r="BQ521" s="186"/>
      <c r="BR521" s="747"/>
      <c r="BS521" s="747"/>
      <c r="BT521" s="747"/>
      <c r="BU521" s="186"/>
      <c r="BV521" s="186"/>
      <c r="BW521" s="12"/>
    </row>
    <row r="522" spans="1:75">
      <c r="A522" s="1" t="s">
        <v>1062</v>
      </c>
      <c r="B522" s="1" t="s">
        <v>1023</v>
      </c>
      <c r="C522" s="1" t="s">
        <v>1024</v>
      </c>
      <c r="D522" s="1" t="s">
        <v>1710</v>
      </c>
      <c r="E522" s="1" t="s">
        <v>1716</v>
      </c>
      <c r="F522" s="1">
        <v>0.125</v>
      </c>
      <c r="G522" s="1">
        <v>7.4999999999999997E-3</v>
      </c>
      <c r="H522" s="1">
        <v>2.62</v>
      </c>
      <c r="I522" s="20" t="s">
        <v>691</v>
      </c>
      <c r="J522" s="1" t="s">
        <v>703</v>
      </c>
      <c r="AI522" s="757"/>
      <c r="AJ522" s="689" t="s">
        <v>2811</v>
      </c>
      <c r="AK522" s="686" t="s">
        <v>1710</v>
      </c>
      <c r="AL522" s="687" t="s">
        <v>2614</v>
      </c>
      <c r="AM522" s="687" t="s">
        <v>2495</v>
      </c>
      <c r="AN522" s="762" t="s">
        <v>1730</v>
      </c>
      <c r="AO522" s="686">
        <v>4.4999999999999998E-2</v>
      </c>
      <c r="AP522" s="686">
        <v>0</v>
      </c>
      <c r="AQ522" s="688">
        <v>2.3199999999999998</v>
      </c>
      <c r="AR522" s="765" t="s">
        <v>2032</v>
      </c>
      <c r="AS522" s="759" t="s">
        <v>1720</v>
      </c>
      <c r="AT522" s="760" t="s">
        <v>1815</v>
      </c>
      <c r="AU522" s="760" t="s">
        <v>1730</v>
      </c>
      <c r="AV522" s="760" t="s">
        <v>1730</v>
      </c>
      <c r="AW522" s="759">
        <v>0.13</v>
      </c>
      <c r="AX522" s="759">
        <v>0</v>
      </c>
      <c r="AY522" s="761">
        <v>3</v>
      </c>
      <c r="AZ522" s="11" t="s">
        <v>2032</v>
      </c>
      <c r="BA522" s="186" t="s">
        <v>1720</v>
      </c>
      <c r="BB522" s="747" t="s">
        <v>630</v>
      </c>
      <c r="BC522" s="747" t="s">
        <v>608</v>
      </c>
      <c r="BD522" s="747" t="s">
        <v>1730</v>
      </c>
      <c r="BE522" s="186">
        <v>0.26</v>
      </c>
      <c r="BF522" s="186">
        <v>4.2500000000000003E-3</v>
      </c>
      <c r="BG522" s="12">
        <v>2.58</v>
      </c>
      <c r="BH522" s="758" t="s">
        <v>2716</v>
      </c>
      <c r="BI522" s="759" t="s">
        <v>1803</v>
      </c>
      <c r="BJ522" s="760" t="s">
        <v>1958</v>
      </c>
      <c r="BK522" s="760" t="s">
        <v>516</v>
      </c>
      <c r="BL522" s="760" t="s">
        <v>1730</v>
      </c>
      <c r="BM522" s="759">
        <v>2.5000000000000001E-2</v>
      </c>
      <c r="BN522" s="759">
        <v>0</v>
      </c>
      <c r="BO522" s="761">
        <v>2.23</v>
      </c>
      <c r="BP522" s="11"/>
      <c r="BQ522" s="186"/>
      <c r="BR522" s="747"/>
      <c r="BS522" s="747"/>
      <c r="BT522" s="747"/>
      <c r="BU522" s="186"/>
      <c r="BV522" s="186"/>
      <c r="BW522" s="12"/>
    </row>
    <row r="523" spans="1:75">
      <c r="A523" s="1" t="s">
        <v>1063</v>
      </c>
      <c r="B523" s="1" t="s">
        <v>1023</v>
      </c>
      <c r="C523" s="1" t="s">
        <v>1024</v>
      </c>
      <c r="D523" s="1" t="s">
        <v>1710</v>
      </c>
      <c r="E523" s="1" t="s">
        <v>579</v>
      </c>
      <c r="F523" s="1">
        <v>0.125</v>
      </c>
      <c r="G523" s="1">
        <v>7.4999999999999997E-3</v>
      </c>
      <c r="I523" s="20"/>
      <c r="J523" s="1" t="s">
        <v>990</v>
      </c>
      <c r="AI523" s="757"/>
      <c r="AJ523" s="689" t="s">
        <v>2811</v>
      </c>
      <c r="AK523" s="686" t="s">
        <v>1710</v>
      </c>
      <c r="AL523" s="687" t="s">
        <v>2615</v>
      </c>
      <c r="AM523" s="687" t="s">
        <v>2495</v>
      </c>
      <c r="AN523" s="762" t="s">
        <v>1730</v>
      </c>
      <c r="AO523" s="686">
        <v>4.4999999999999998E-2</v>
      </c>
      <c r="AP523" s="686">
        <v>0</v>
      </c>
      <c r="AQ523" s="688">
        <v>2.3199999999999998</v>
      </c>
      <c r="AR523" s="765" t="s">
        <v>2032</v>
      </c>
      <c r="AS523" s="759" t="s">
        <v>1720</v>
      </c>
      <c r="AT523" s="760" t="s">
        <v>305</v>
      </c>
      <c r="AU523" s="760" t="s">
        <v>609</v>
      </c>
      <c r="AV523" s="760" t="s">
        <v>1730</v>
      </c>
      <c r="AW523" s="759">
        <v>0.13</v>
      </c>
      <c r="AX523" s="759">
        <v>0</v>
      </c>
      <c r="AY523" s="761">
        <v>3</v>
      </c>
      <c r="AZ523" s="11" t="s">
        <v>2032</v>
      </c>
      <c r="BA523" s="186" t="s">
        <v>1720</v>
      </c>
      <c r="BB523" s="747" t="s">
        <v>304</v>
      </c>
      <c r="BC523" s="747" t="s">
        <v>608</v>
      </c>
      <c r="BD523" s="747" t="s">
        <v>1730</v>
      </c>
      <c r="BE523" s="186">
        <v>0.13</v>
      </c>
      <c r="BF523" s="186">
        <v>4.2500000000000003E-3</v>
      </c>
      <c r="BG523" s="12">
        <v>2.58</v>
      </c>
      <c r="BH523" s="765" t="s">
        <v>2032</v>
      </c>
      <c r="BI523" s="759" t="s">
        <v>1710</v>
      </c>
      <c r="BJ523" s="760" t="s">
        <v>613</v>
      </c>
      <c r="BK523" s="760" t="s">
        <v>518</v>
      </c>
      <c r="BL523" s="760" t="s">
        <v>1730</v>
      </c>
      <c r="BM523" s="759">
        <v>6.7500000000000004E-2</v>
      </c>
      <c r="BN523" s="759">
        <v>0</v>
      </c>
      <c r="BO523" s="761">
        <v>2.23</v>
      </c>
      <c r="BP523" s="11"/>
      <c r="BQ523" s="186"/>
      <c r="BR523" s="747"/>
      <c r="BS523" s="747"/>
      <c r="BT523" s="747"/>
      <c r="BU523" s="186"/>
      <c r="BV523" s="186"/>
      <c r="BW523" s="12"/>
    </row>
    <row r="524" spans="1:75">
      <c r="A524" s="1" t="s">
        <v>1064</v>
      </c>
      <c r="B524" s="1" t="s">
        <v>1023</v>
      </c>
      <c r="C524" s="1" t="s">
        <v>1024</v>
      </c>
      <c r="D524" s="1" t="s">
        <v>1710</v>
      </c>
      <c r="E524" s="1" t="s">
        <v>1717</v>
      </c>
      <c r="F524" s="1">
        <v>0.125</v>
      </c>
      <c r="G524" s="1">
        <v>7.4999999999999997E-3</v>
      </c>
      <c r="H524" s="1">
        <v>2.62</v>
      </c>
      <c r="I524" s="20" t="s">
        <v>980</v>
      </c>
      <c r="J524" s="1" t="s">
        <v>517</v>
      </c>
      <c r="AI524" s="757"/>
      <c r="AJ524" s="689" t="s">
        <v>2810</v>
      </c>
      <c r="AK524" s="686" t="s">
        <v>1710</v>
      </c>
      <c r="AL524" s="687" t="s">
        <v>2616</v>
      </c>
      <c r="AM524" s="687" t="s">
        <v>2518</v>
      </c>
      <c r="AN524" s="762" t="s">
        <v>1730</v>
      </c>
      <c r="AO524" s="686">
        <v>0.05</v>
      </c>
      <c r="AP524" s="686">
        <v>0</v>
      </c>
      <c r="AQ524" s="688">
        <v>2.3199999999999998</v>
      </c>
      <c r="AR524" s="685" t="s">
        <v>2809</v>
      </c>
      <c r="AS524" s="686" t="s">
        <v>1710</v>
      </c>
      <c r="AT524" s="687" t="s">
        <v>2613</v>
      </c>
      <c r="AU524" s="687" t="s">
        <v>1730</v>
      </c>
      <c r="AV524" s="762" t="s">
        <v>1730</v>
      </c>
      <c r="AW524" s="686">
        <v>1.2500000000000001E-2</v>
      </c>
      <c r="AX524" s="686">
        <v>0</v>
      </c>
      <c r="AY524" s="688">
        <v>3</v>
      </c>
      <c r="AZ524" s="11" t="s">
        <v>2032</v>
      </c>
      <c r="BA524" s="186" t="s">
        <v>1720</v>
      </c>
      <c r="BB524" s="747" t="s">
        <v>305</v>
      </c>
      <c r="BC524" s="747" t="s">
        <v>609</v>
      </c>
      <c r="BD524" s="747" t="s">
        <v>1730</v>
      </c>
      <c r="BE524" s="186">
        <v>0.26</v>
      </c>
      <c r="BF524" s="186">
        <v>2.5500000000000002E-3</v>
      </c>
      <c r="BG524" s="12">
        <v>2.58</v>
      </c>
      <c r="BH524" s="765" t="s">
        <v>2032</v>
      </c>
      <c r="BI524" s="759" t="s">
        <v>1710</v>
      </c>
      <c r="BJ524" s="760" t="s">
        <v>631</v>
      </c>
      <c r="BK524" s="760" t="s">
        <v>559</v>
      </c>
      <c r="BL524" s="760" t="s">
        <v>1730</v>
      </c>
      <c r="BM524" s="759">
        <v>7.4999999999999997E-2</v>
      </c>
      <c r="BN524" s="759">
        <v>0</v>
      </c>
      <c r="BO524" s="761">
        <v>2.23</v>
      </c>
      <c r="BP524" s="11"/>
      <c r="BQ524" s="186"/>
      <c r="BR524" s="747"/>
      <c r="BS524" s="747"/>
      <c r="BT524" s="747"/>
      <c r="BU524" s="186"/>
      <c r="BV524" s="186"/>
      <c r="BW524" s="12"/>
    </row>
    <row r="525" spans="1:75">
      <c r="A525" s="1" t="s">
        <v>1065</v>
      </c>
      <c r="B525" s="1" t="s">
        <v>1023</v>
      </c>
      <c r="C525" s="1" t="s">
        <v>1024</v>
      </c>
      <c r="D525" s="1" t="s">
        <v>1710</v>
      </c>
      <c r="E525" s="1" t="s">
        <v>580</v>
      </c>
      <c r="F525" s="1">
        <v>0.125</v>
      </c>
      <c r="G525" s="1">
        <v>7.4999999999999997E-3</v>
      </c>
      <c r="I525" s="20"/>
      <c r="J525" s="1" t="s">
        <v>517</v>
      </c>
      <c r="AI525" s="757"/>
      <c r="AJ525" s="689" t="s">
        <v>2716</v>
      </c>
      <c r="AK525" s="686" t="s">
        <v>523</v>
      </c>
      <c r="AL525" s="687" t="s">
        <v>2617</v>
      </c>
      <c r="AM525" s="687" t="s">
        <v>1730</v>
      </c>
      <c r="AN525" s="762" t="s">
        <v>1730</v>
      </c>
      <c r="AO525" s="686">
        <v>1.2500000000000001E-2</v>
      </c>
      <c r="AP525" s="686">
        <v>0</v>
      </c>
      <c r="AQ525" s="688">
        <v>2.3199999999999998</v>
      </c>
      <c r="AR525" s="685" t="s">
        <v>2809</v>
      </c>
      <c r="AS525" s="686" t="s">
        <v>1710</v>
      </c>
      <c r="AT525" s="687" t="s">
        <v>2614</v>
      </c>
      <c r="AU525" s="687" t="s">
        <v>2495</v>
      </c>
      <c r="AV525" s="762" t="s">
        <v>1730</v>
      </c>
      <c r="AW525" s="686">
        <v>4.4999999999999998E-2</v>
      </c>
      <c r="AX525" s="686">
        <v>0</v>
      </c>
      <c r="AY525" s="688">
        <v>3</v>
      </c>
      <c r="AZ525" s="11" t="s">
        <v>2032</v>
      </c>
      <c r="BA525" s="186" t="s">
        <v>1720</v>
      </c>
      <c r="BB525" s="747" t="s">
        <v>306</v>
      </c>
      <c r="BC525" s="747" t="s">
        <v>609</v>
      </c>
      <c r="BD525" s="747" t="s">
        <v>1730</v>
      </c>
      <c r="BE525" s="186">
        <v>0.13</v>
      </c>
      <c r="BF525" s="186">
        <v>2.5500000000000002E-3</v>
      </c>
      <c r="BG525" s="12">
        <v>2.58</v>
      </c>
      <c r="BH525" s="765" t="s">
        <v>2032</v>
      </c>
      <c r="BI525" s="759" t="s">
        <v>1708</v>
      </c>
      <c r="BJ525" s="760" t="s">
        <v>1812</v>
      </c>
      <c r="BK525" s="760" t="s">
        <v>1730</v>
      </c>
      <c r="BL525" s="760" t="s">
        <v>1730</v>
      </c>
      <c r="BM525" s="759">
        <v>0.17499999999999999</v>
      </c>
      <c r="BN525" s="759">
        <v>0</v>
      </c>
      <c r="BO525" s="761">
        <v>2.23</v>
      </c>
      <c r="BP525" s="11"/>
      <c r="BQ525" s="186"/>
      <c r="BR525" s="747"/>
      <c r="BS525" s="747"/>
      <c r="BT525" s="747"/>
      <c r="BU525" s="186"/>
      <c r="BV525" s="186"/>
      <c r="BW525" s="12"/>
    </row>
    <row r="526" spans="1:75">
      <c r="A526" s="1" t="s">
        <v>1066</v>
      </c>
      <c r="B526" s="1" t="s">
        <v>1023</v>
      </c>
      <c r="C526" s="1" t="s">
        <v>1024</v>
      </c>
      <c r="D526" s="1" t="s">
        <v>1710</v>
      </c>
      <c r="E526" s="1" t="s">
        <v>1718</v>
      </c>
      <c r="F526" s="1">
        <v>6.25E-2</v>
      </c>
      <c r="G526" s="1">
        <v>3.7499999999999999E-3</v>
      </c>
      <c r="H526" s="1">
        <v>2.62</v>
      </c>
      <c r="I526" s="20" t="s">
        <v>691</v>
      </c>
      <c r="J526" s="1" t="s">
        <v>994</v>
      </c>
      <c r="AI526" s="757"/>
      <c r="AJ526" s="689" t="s">
        <v>2810</v>
      </c>
      <c r="AK526" s="686" t="s">
        <v>523</v>
      </c>
      <c r="AL526" s="687" t="s">
        <v>2618</v>
      </c>
      <c r="AM526" s="687" t="s">
        <v>519</v>
      </c>
      <c r="AN526" s="762" t="s">
        <v>1730</v>
      </c>
      <c r="AO526" s="686">
        <v>2.5000000000000001E-2</v>
      </c>
      <c r="AP526" s="686">
        <v>0</v>
      </c>
      <c r="AQ526" s="688">
        <v>2.3199999999999998</v>
      </c>
      <c r="AR526" s="685" t="s">
        <v>2809</v>
      </c>
      <c r="AS526" s="686" t="s">
        <v>1710</v>
      </c>
      <c r="AT526" s="687" t="s">
        <v>2615</v>
      </c>
      <c r="AU526" s="687" t="s">
        <v>2495</v>
      </c>
      <c r="AV526" s="762" t="s">
        <v>1730</v>
      </c>
      <c r="AW526" s="686">
        <v>4.4999999999999998E-2</v>
      </c>
      <c r="AX526" s="686">
        <v>0</v>
      </c>
      <c r="AY526" s="688">
        <v>3</v>
      </c>
      <c r="AZ526" s="11" t="s">
        <v>2032</v>
      </c>
      <c r="BA526" s="186" t="s">
        <v>1720</v>
      </c>
      <c r="BB526" s="747" t="s">
        <v>307</v>
      </c>
      <c r="BC526" s="747" t="s">
        <v>255</v>
      </c>
      <c r="BD526" s="747" t="s">
        <v>1730</v>
      </c>
      <c r="BE526" s="186">
        <v>0.19500000000000001</v>
      </c>
      <c r="BF526" s="186">
        <v>4.2500000000000003E-3</v>
      </c>
      <c r="BG526" s="12">
        <v>2.58</v>
      </c>
      <c r="BH526" s="685" t="s">
        <v>2066</v>
      </c>
      <c r="BI526" s="686" t="s">
        <v>2610</v>
      </c>
      <c r="BJ526" s="687" t="s">
        <v>2619</v>
      </c>
      <c r="BK526" s="687" t="s">
        <v>1730</v>
      </c>
      <c r="BL526" s="687" t="s">
        <v>1730</v>
      </c>
      <c r="BM526" s="686">
        <v>1.4999999999999999E-2</v>
      </c>
      <c r="BN526" s="686">
        <v>0</v>
      </c>
      <c r="BO526" s="688">
        <v>2.23</v>
      </c>
      <c r="BP526" s="11"/>
      <c r="BQ526" s="186"/>
      <c r="BR526" s="747"/>
      <c r="BS526" s="747"/>
      <c r="BT526" s="747"/>
      <c r="BU526" s="186"/>
      <c r="BV526" s="186"/>
      <c r="BW526" s="12"/>
    </row>
    <row r="527" spans="1:75">
      <c r="A527" s="1" t="s">
        <v>1067</v>
      </c>
      <c r="B527" s="1" t="s">
        <v>1023</v>
      </c>
      <c r="C527" s="1" t="s">
        <v>1024</v>
      </c>
      <c r="D527" s="1" t="s">
        <v>1710</v>
      </c>
      <c r="E527" s="1" t="s">
        <v>581</v>
      </c>
      <c r="F527" s="1">
        <v>6.3E-2</v>
      </c>
      <c r="G527" s="1">
        <v>3.7499999999999999E-3</v>
      </c>
      <c r="I527" s="20"/>
      <c r="J527" s="1" t="s">
        <v>994</v>
      </c>
      <c r="AI527" s="757"/>
      <c r="AJ527" s="689" t="s">
        <v>2716</v>
      </c>
      <c r="AK527" s="686" t="s">
        <v>523</v>
      </c>
      <c r="AL527" s="687" t="s">
        <v>2620</v>
      </c>
      <c r="AM527" s="687" t="s">
        <v>277</v>
      </c>
      <c r="AN527" s="762" t="s">
        <v>1730</v>
      </c>
      <c r="AO527" s="686">
        <v>1.2500000000000001E-2</v>
      </c>
      <c r="AP527" s="686">
        <v>0</v>
      </c>
      <c r="AQ527" s="688">
        <v>2.3199999999999998</v>
      </c>
      <c r="AR527" s="685" t="s">
        <v>2717</v>
      </c>
      <c r="AS527" s="686" t="s">
        <v>1710</v>
      </c>
      <c r="AT527" s="687" t="s">
        <v>2616</v>
      </c>
      <c r="AU527" s="687" t="s">
        <v>2518</v>
      </c>
      <c r="AV527" s="762" t="s">
        <v>1730</v>
      </c>
      <c r="AW527" s="686">
        <v>0.05</v>
      </c>
      <c r="AX527" s="686">
        <v>0</v>
      </c>
      <c r="AY527" s="688">
        <v>3</v>
      </c>
      <c r="AZ527" s="11" t="s">
        <v>2032</v>
      </c>
      <c r="BA527" s="186" t="s">
        <v>1720</v>
      </c>
      <c r="BB527" s="747" t="s">
        <v>308</v>
      </c>
      <c r="BC527" s="747" t="s">
        <v>255</v>
      </c>
      <c r="BD527" s="747" t="s">
        <v>1730</v>
      </c>
      <c r="BE527" s="186">
        <v>0.19500000000000001</v>
      </c>
      <c r="BF527" s="186">
        <v>4.2500000000000003E-3</v>
      </c>
      <c r="BG527" s="12">
        <v>2.58</v>
      </c>
      <c r="BH527" s="685" t="s">
        <v>2066</v>
      </c>
      <c r="BI527" s="686" t="s">
        <v>2610</v>
      </c>
      <c r="BJ527" s="687" t="s">
        <v>2621</v>
      </c>
      <c r="BK527" s="687" t="s">
        <v>1730</v>
      </c>
      <c r="BL527" s="687" t="s">
        <v>1730</v>
      </c>
      <c r="BM527" s="686">
        <v>7.4999999999999997E-3</v>
      </c>
      <c r="BN527" s="686">
        <v>0</v>
      </c>
      <c r="BO527" s="688">
        <v>2.23</v>
      </c>
      <c r="BP527" s="11"/>
      <c r="BQ527" s="186"/>
      <c r="BR527" s="747"/>
      <c r="BS527" s="747"/>
      <c r="BT527" s="747"/>
      <c r="BU527" s="186"/>
      <c r="BV527" s="186"/>
      <c r="BW527" s="12"/>
    </row>
    <row r="528" spans="1:75">
      <c r="A528" s="1" t="s">
        <v>1068</v>
      </c>
      <c r="B528" s="1" t="s">
        <v>1023</v>
      </c>
      <c r="C528" s="1" t="s">
        <v>1024</v>
      </c>
      <c r="D528" s="1" t="s">
        <v>1710</v>
      </c>
      <c r="E528" s="1" t="s">
        <v>1719</v>
      </c>
      <c r="F528" s="1">
        <v>6.25E-2</v>
      </c>
      <c r="G528" s="1">
        <v>3.7499999999999999E-3</v>
      </c>
      <c r="H528" s="1">
        <v>2.62</v>
      </c>
      <c r="I528" s="20" t="s">
        <v>980</v>
      </c>
      <c r="J528" s="1" t="s">
        <v>997</v>
      </c>
      <c r="AI528" s="757"/>
      <c r="AJ528" s="689" t="s">
        <v>2810</v>
      </c>
      <c r="AK528" s="686" t="s">
        <v>523</v>
      </c>
      <c r="AL528" s="687" t="s">
        <v>2622</v>
      </c>
      <c r="AM528" s="687" t="s">
        <v>1171</v>
      </c>
      <c r="AN528" s="762" t="s">
        <v>1730</v>
      </c>
      <c r="AO528" s="686">
        <v>4.4999999999999998E-2</v>
      </c>
      <c r="AP528" s="686">
        <v>0</v>
      </c>
      <c r="AQ528" s="688">
        <v>2.3199999999999998</v>
      </c>
      <c r="AR528" s="685" t="s">
        <v>2717</v>
      </c>
      <c r="AS528" s="686" t="s">
        <v>523</v>
      </c>
      <c r="AT528" s="687" t="s">
        <v>2617</v>
      </c>
      <c r="AU528" s="687" t="s">
        <v>1730</v>
      </c>
      <c r="AV528" s="762" t="s">
        <v>1730</v>
      </c>
      <c r="AW528" s="686">
        <v>1.2500000000000001E-2</v>
      </c>
      <c r="AX528" s="686">
        <v>0</v>
      </c>
      <c r="AY528" s="688">
        <v>3</v>
      </c>
      <c r="AZ528" s="11" t="s">
        <v>2032</v>
      </c>
      <c r="BA528" s="186" t="s">
        <v>1720</v>
      </c>
      <c r="BB528" s="747" t="s">
        <v>309</v>
      </c>
      <c r="BC528" s="747" t="s">
        <v>256</v>
      </c>
      <c r="BD528" s="747" t="s">
        <v>1730</v>
      </c>
      <c r="BE528" s="186">
        <v>0.19500000000000001</v>
      </c>
      <c r="BF528" s="186">
        <v>2.5500000000000002E-3</v>
      </c>
      <c r="BG528" s="12">
        <v>2.58</v>
      </c>
      <c r="BH528" s="11"/>
      <c r="BI528" s="186"/>
      <c r="BJ528" s="747"/>
      <c r="BK528" s="747"/>
      <c r="BL528" s="747"/>
      <c r="BM528" s="186"/>
      <c r="BN528" s="186"/>
      <c r="BO528" s="12"/>
      <c r="BP528" s="11"/>
      <c r="BQ528" s="186"/>
      <c r="BR528" s="747"/>
      <c r="BS528" s="747"/>
      <c r="BT528" s="747"/>
      <c r="BU528" s="186"/>
      <c r="BV528" s="186"/>
      <c r="BW528" s="12"/>
    </row>
    <row r="529" spans="1:75">
      <c r="A529" s="1" t="s">
        <v>1069</v>
      </c>
      <c r="B529" s="1" t="s">
        <v>1023</v>
      </c>
      <c r="C529" s="1" t="s">
        <v>1024</v>
      </c>
      <c r="D529" s="1" t="s">
        <v>1710</v>
      </c>
      <c r="E529" s="1" t="s">
        <v>582</v>
      </c>
      <c r="F529" s="1">
        <v>6.3E-2</v>
      </c>
      <c r="G529" s="1">
        <v>3.7499999999999999E-3</v>
      </c>
      <c r="I529" s="20"/>
      <c r="J529" s="1" t="s">
        <v>997</v>
      </c>
      <c r="AI529" s="757"/>
      <c r="AJ529" s="195"/>
      <c r="AK529" s="186"/>
      <c r="AL529" s="747"/>
      <c r="AM529" s="747"/>
      <c r="AN529" s="747"/>
      <c r="AO529" s="186"/>
      <c r="AP529" s="186"/>
      <c r="AQ529" s="12"/>
      <c r="AR529" s="685" t="s">
        <v>2812</v>
      </c>
      <c r="AS529" s="686" t="s">
        <v>523</v>
      </c>
      <c r="AT529" s="687" t="s">
        <v>2618</v>
      </c>
      <c r="AU529" s="687" t="s">
        <v>519</v>
      </c>
      <c r="AV529" s="762" t="s">
        <v>1730</v>
      </c>
      <c r="AW529" s="686">
        <v>2.5000000000000001E-2</v>
      </c>
      <c r="AX529" s="686">
        <v>0</v>
      </c>
      <c r="AY529" s="688">
        <v>3</v>
      </c>
      <c r="AZ529" s="11" t="s">
        <v>2032</v>
      </c>
      <c r="BA529" s="186" t="s">
        <v>1720</v>
      </c>
      <c r="BB529" s="747" t="s">
        <v>310</v>
      </c>
      <c r="BC529" s="747" t="s">
        <v>256</v>
      </c>
      <c r="BD529" s="747" t="s">
        <v>1730</v>
      </c>
      <c r="BE529" s="186">
        <v>0.19500000000000001</v>
      </c>
      <c r="BF529" s="186">
        <v>2.5500000000000002E-3</v>
      </c>
      <c r="BG529" s="12">
        <v>2.58</v>
      </c>
      <c r="BH529" s="11"/>
      <c r="BI529" s="186"/>
      <c r="BJ529" s="747"/>
      <c r="BK529" s="747"/>
      <c r="BL529" s="747"/>
      <c r="BM529" s="186"/>
      <c r="BN529" s="186"/>
      <c r="BO529" s="12"/>
      <c r="BP529" s="11"/>
      <c r="BQ529" s="186"/>
      <c r="BR529" s="747"/>
      <c r="BS529" s="747"/>
      <c r="BT529" s="747"/>
      <c r="BU529" s="186"/>
      <c r="BV529" s="186"/>
      <c r="BW529" s="12"/>
    </row>
    <row r="530" spans="1:75">
      <c r="A530" s="1" t="s">
        <v>1070</v>
      </c>
      <c r="B530" s="1" t="s">
        <v>1023</v>
      </c>
      <c r="C530" s="1" t="s">
        <v>1024</v>
      </c>
      <c r="D530" s="1" t="s">
        <v>1710</v>
      </c>
      <c r="E530" s="1" t="s">
        <v>583</v>
      </c>
      <c r="F530" s="1">
        <v>0.22500000000000001</v>
      </c>
      <c r="G530" s="1">
        <v>1.4999999999999999E-2</v>
      </c>
      <c r="I530" s="20"/>
      <c r="J530" s="1" t="s">
        <v>1000</v>
      </c>
      <c r="AI530" s="757"/>
      <c r="AJ530" s="195"/>
      <c r="AK530" s="186"/>
      <c r="AL530" s="747"/>
      <c r="AM530" s="747"/>
      <c r="AN530" s="747"/>
      <c r="AO530" s="186"/>
      <c r="AP530" s="186"/>
      <c r="AQ530" s="12"/>
      <c r="AR530" s="685" t="s">
        <v>2809</v>
      </c>
      <c r="AS530" s="686" t="s">
        <v>523</v>
      </c>
      <c r="AT530" s="687" t="s">
        <v>2620</v>
      </c>
      <c r="AU530" s="687" t="s">
        <v>277</v>
      </c>
      <c r="AV530" s="762" t="s">
        <v>1730</v>
      </c>
      <c r="AW530" s="686">
        <v>1.2500000000000001E-2</v>
      </c>
      <c r="AX530" s="686">
        <v>0</v>
      </c>
      <c r="AY530" s="688">
        <v>3</v>
      </c>
      <c r="AZ530" s="11" t="s">
        <v>2032</v>
      </c>
      <c r="BA530" s="186" t="s">
        <v>1720</v>
      </c>
      <c r="BB530" s="747" t="s">
        <v>311</v>
      </c>
      <c r="BC530" s="747" t="s">
        <v>257</v>
      </c>
      <c r="BD530" s="747" t="s">
        <v>1730</v>
      </c>
      <c r="BE530" s="186">
        <v>0.13</v>
      </c>
      <c r="BF530" s="186">
        <v>4.2500000000000003E-3</v>
      </c>
      <c r="BG530" s="12">
        <v>2.58</v>
      </c>
      <c r="BH530" s="11"/>
      <c r="BI530" s="186"/>
      <c r="BJ530" s="747"/>
      <c r="BK530" s="747"/>
      <c r="BL530" s="747"/>
      <c r="BM530" s="186"/>
      <c r="BN530" s="186"/>
      <c r="BO530" s="12"/>
      <c r="BP530" s="11"/>
      <c r="BQ530" s="186"/>
      <c r="BR530" s="747"/>
      <c r="BS530" s="747"/>
      <c r="BT530" s="747"/>
      <c r="BU530" s="186"/>
      <c r="BV530" s="186"/>
      <c r="BW530" s="12"/>
    </row>
    <row r="531" spans="1:75">
      <c r="A531" s="1" t="s">
        <v>1071</v>
      </c>
      <c r="B531" s="1" t="s">
        <v>1023</v>
      </c>
      <c r="C531" s="1" t="s">
        <v>1024</v>
      </c>
      <c r="D531" s="1" t="s">
        <v>1710</v>
      </c>
      <c r="E531" s="1" t="s">
        <v>584</v>
      </c>
      <c r="F531" s="1">
        <v>0.22500000000000001</v>
      </c>
      <c r="G531" s="1">
        <v>1.4999999999999999E-2</v>
      </c>
      <c r="I531" s="20"/>
      <c r="J531" s="1" t="s">
        <v>1000</v>
      </c>
      <c r="AI531" s="757"/>
      <c r="AJ531" s="195"/>
      <c r="AK531" s="186"/>
      <c r="AL531" s="747"/>
      <c r="AM531" s="747"/>
      <c r="AN531" s="747"/>
      <c r="AO531" s="186"/>
      <c r="AP531" s="186"/>
      <c r="AQ531" s="12"/>
      <c r="AR531" s="685" t="s">
        <v>2809</v>
      </c>
      <c r="AS531" s="686" t="s">
        <v>523</v>
      </c>
      <c r="AT531" s="687" t="s">
        <v>2622</v>
      </c>
      <c r="AU531" s="687" t="s">
        <v>1171</v>
      </c>
      <c r="AV531" s="762" t="s">
        <v>1730</v>
      </c>
      <c r="AW531" s="686">
        <v>4.4999999999999998E-2</v>
      </c>
      <c r="AX531" s="686">
        <v>0</v>
      </c>
      <c r="AY531" s="688">
        <v>3</v>
      </c>
      <c r="AZ531" s="11" t="s">
        <v>2032</v>
      </c>
      <c r="BA531" s="186" t="s">
        <v>1720</v>
      </c>
      <c r="BB531" s="747" t="s">
        <v>312</v>
      </c>
      <c r="BC531" s="747" t="s">
        <v>257</v>
      </c>
      <c r="BD531" s="747" t="s">
        <v>1730</v>
      </c>
      <c r="BE531" s="186">
        <v>0.13</v>
      </c>
      <c r="BF531" s="186">
        <v>4.2500000000000003E-3</v>
      </c>
      <c r="BG531" s="12">
        <v>2.58</v>
      </c>
      <c r="BH531" s="11"/>
      <c r="BI531" s="186"/>
      <c r="BJ531" s="747"/>
      <c r="BK531" s="747"/>
      <c r="BL531" s="747"/>
      <c r="BM531" s="186"/>
      <c r="BN531" s="186"/>
      <c r="BO531" s="12"/>
      <c r="BP531" s="11"/>
      <c r="BQ531" s="186"/>
      <c r="BR531" s="747"/>
      <c r="BS531" s="747"/>
      <c r="BT531" s="747"/>
      <c r="BU531" s="186"/>
      <c r="BV531" s="186"/>
      <c r="BW531" s="12"/>
    </row>
    <row r="532" spans="1:75">
      <c r="A532" s="1" t="s">
        <v>1072</v>
      </c>
      <c r="B532" s="1" t="s">
        <v>1023</v>
      </c>
      <c r="C532" s="1" t="s">
        <v>1024</v>
      </c>
      <c r="D532" s="1" t="s">
        <v>1710</v>
      </c>
      <c r="E532" s="1" t="s">
        <v>585</v>
      </c>
      <c r="F532" s="1">
        <v>0.22500000000000001</v>
      </c>
      <c r="G532" s="1">
        <v>1.4999999999999999E-2</v>
      </c>
      <c r="I532" s="20"/>
      <c r="J532" s="1" t="s">
        <v>518</v>
      </c>
      <c r="AI532" s="757"/>
      <c r="AJ532" s="195"/>
      <c r="AK532" s="186"/>
      <c r="AL532" s="747"/>
      <c r="AM532" s="747"/>
      <c r="AN532" s="747"/>
      <c r="AO532" s="186"/>
      <c r="AP532" s="186"/>
      <c r="AQ532" s="12"/>
      <c r="AR532" s="11"/>
      <c r="AS532" s="186"/>
      <c r="AT532" s="747"/>
      <c r="AU532" s="747"/>
      <c r="AV532" s="747"/>
      <c r="AW532" s="186"/>
      <c r="AX532" s="186"/>
      <c r="AY532" s="12"/>
      <c r="AZ532" s="11" t="s">
        <v>2032</v>
      </c>
      <c r="BA532" s="186" t="s">
        <v>1720</v>
      </c>
      <c r="BB532" s="747" t="s">
        <v>313</v>
      </c>
      <c r="BC532" s="747" t="s">
        <v>258</v>
      </c>
      <c r="BD532" s="747" t="s">
        <v>1730</v>
      </c>
      <c r="BE532" s="186">
        <v>0.13</v>
      </c>
      <c r="BF532" s="186">
        <v>2.5500000000000002E-3</v>
      </c>
      <c r="BG532" s="12">
        <v>2.58</v>
      </c>
      <c r="BH532" s="11"/>
      <c r="BI532" s="186"/>
      <c r="BJ532" s="747"/>
      <c r="BK532" s="747"/>
      <c r="BL532" s="747"/>
      <c r="BM532" s="186"/>
      <c r="BN532" s="186"/>
      <c r="BO532" s="12"/>
      <c r="BP532" s="11"/>
      <c r="BQ532" s="186"/>
      <c r="BR532" s="747"/>
      <c r="BS532" s="747"/>
      <c r="BT532" s="747"/>
      <c r="BU532" s="186"/>
      <c r="BV532" s="186"/>
      <c r="BW532" s="12"/>
    </row>
    <row r="533" spans="1:75">
      <c r="A533" s="1" t="s">
        <v>1073</v>
      </c>
      <c r="B533" s="1" t="s">
        <v>1023</v>
      </c>
      <c r="C533" s="1" t="s">
        <v>1024</v>
      </c>
      <c r="D533" s="1" t="s">
        <v>1710</v>
      </c>
      <c r="E533" s="1" t="s">
        <v>586</v>
      </c>
      <c r="F533" s="1">
        <v>0.22500000000000001</v>
      </c>
      <c r="G533" s="1">
        <v>1.4999999999999999E-2</v>
      </c>
      <c r="I533" s="20"/>
      <c r="J533" s="1" t="s">
        <v>518</v>
      </c>
      <c r="AI533" s="757"/>
      <c r="AJ533" s="195"/>
      <c r="AK533" s="186"/>
      <c r="AL533" s="747"/>
      <c r="AM533" s="747"/>
      <c r="AN533" s="747"/>
      <c r="AO533" s="186"/>
      <c r="AP533" s="186"/>
      <c r="AQ533" s="12"/>
      <c r="AR533" s="11"/>
      <c r="AS533" s="186"/>
      <c r="AT533" s="747"/>
      <c r="AU533" s="747"/>
      <c r="AV533" s="747"/>
      <c r="AW533" s="186"/>
      <c r="AX533" s="186"/>
      <c r="AY533" s="12"/>
      <c r="AZ533" s="11" t="s">
        <v>2032</v>
      </c>
      <c r="BA533" s="186" t="s">
        <v>1720</v>
      </c>
      <c r="BB533" s="747" t="s">
        <v>314</v>
      </c>
      <c r="BC533" s="747" t="s">
        <v>258</v>
      </c>
      <c r="BD533" s="747" t="s">
        <v>1730</v>
      </c>
      <c r="BE533" s="186">
        <v>0.13</v>
      </c>
      <c r="BF533" s="186">
        <v>2.5500000000000002E-3</v>
      </c>
      <c r="BG533" s="12">
        <v>2.58</v>
      </c>
      <c r="BH533" s="11"/>
      <c r="BI533" s="186"/>
      <c r="BJ533" s="747"/>
      <c r="BK533" s="747"/>
      <c r="BL533" s="747"/>
      <c r="BM533" s="186"/>
      <c r="BN533" s="186"/>
      <c r="BO533" s="12"/>
      <c r="BP533" s="11"/>
      <c r="BQ533" s="186"/>
      <c r="BR533" s="747"/>
      <c r="BS533" s="747"/>
      <c r="BT533" s="747"/>
      <c r="BU533" s="186"/>
      <c r="BV533" s="186"/>
      <c r="BW533" s="12"/>
    </row>
    <row r="534" spans="1:75">
      <c r="A534" s="1" t="s">
        <v>1074</v>
      </c>
      <c r="B534" s="1" t="s">
        <v>1023</v>
      </c>
      <c r="C534" s="1" t="s">
        <v>1024</v>
      </c>
      <c r="D534" s="1" t="s">
        <v>1710</v>
      </c>
      <c r="E534" s="1" t="s">
        <v>587</v>
      </c>
      <c r="F534" s="1">
        <v>0.25</v>
      </c>
      <c r="G534" s="1">
        <v>1.35E-2</v>
      </c>
      <c r="J534" s="1" t="s">
        <v>1005</v>
      </c>
      <c r="AI534" s="757"/>
      <c r="AJ534" s="195"/>
      <c r="AK534" s="186"/>
      <c r="AL534" s="747"/>
      <c r="AM534" s="747"/>
      <c r="AN534" s="747"/>
      <c r="AO534" s="186"/>
      <c r="AP534" s="186"/>
      <c r="AQ534" s="12"/>
      <c r="AR534" s="11"/>
      <c r="AS534" s="186"/>
      <c r="AT534" s="747"/>
      <c r="AU534" s="747"/>
      <c r="AV534" s="747"/>
      <c r="AW534" s="186"/>
      <c r="AX534" s="186"/>
      <c r="AY534" s="12"/>
      <c r="AZ534" s="11" t="s">
        <v>2032</v>
      </c>
      <c r="BA534" s="186" t="s">
        <v>1720</v>
      </c>
      <c r="BB534" s="747" t="s">
        <v>315</v>
      </c>
      <c r="BC534" s="747" t="s">
        <v>259</v>
      </c>
      <c r="BD534" s="747" t="s">
        <v>1730</v>
      </c>
      <c r="BE534" s="186">
        <v>6.5000000000000002E-2</v>
      </c>
      <c r="BF534" s="186">
        <v>4.2500000000000003E-3</v>
      </c>
      <c r="BG534" s="12">
        <v>2.58</v>
      </c>
      <c r="BH534" s="11"/>
      <c r="BI534" s="186"/>
      <c r="BJ534" s="747"/>
      <c r="BK534" s="747"/>
      <c r="BL534" s="747"/>
      <c r="BM534" s="186"/>
      <c r="BN534" s="186"/>
      <c r="BO534" s="12"/>
      <c r="BP534" s="11"/>
      <c r="BQ534" s="186"/>
      <c r="BR534" s="747"/>
      <c r="BS534" s="747"/>
      <c r="BT534" s="747"/>
      <c r="BU534" s="186"/>
      <c r="BV534" s="186"/>
      <c r="BW534" s="12"/>
    </row>
    <row r="535" spans="1:75">
      <c r="A535" s="1" t="s">
        <v>1075</v>
      </c>
      <c r="B535" s="1" t="s">
        <v>1023</v>
      </c>
      <c r="C535" s="1" t="s">
        <v>1024</v>
      </c>
      <c r="D535" s="1" t="s">
        <v>1710</v>
      </c>
      <c r="E535" s="1" t="s">
        <v>588</v>
      </c>
      <c r="F535" s="1">
        <v>0.25</v>
      </c>
      <c r="G535" s="1">
        <v>1.35E-2</v>
      </c>
      <c r="J535" s="1" t="s">
        <v>1005</v>
      </c>
      <c r="AI535" s="757"/>
      <c r="AJ535" s="195"/>
      <c r="AK535" s="186"/>
      <c r="AL535" s="747"/>
      <c r="AM535" s="747"/>
      <c r="AN535" s="747"/>
      <c r="AO535" s="186"/>
      <c r="AP535" s="186"/>
      <c r="AQ535" s="12"/>
      <c r="AR535" s="11"/>
      <c r="AS535" s="186"/>
      <c r="AT535" s="747"/>
      <c r="AU535" s="747"/>
      <c r="AV535" s="747"/>
      <c r="AW535" s="186"/>
      <c r="AX535" s="186"/>
      <c r="AY535" s="12"/>
      <c r="AZ535" s="11" t="s">
        <v>2032</v>
      </c>
      <c r="BA535" s="186" t="s">
        <v>1720</v>
      </c>
      <c r="BB535" s="747" t="s">
        <v>316</v>
      </c>
      <c r="BC535" s="747" t="s">
        <v>259</v>
      </c>
      <c r="BD535" s="747" t="s">
        <v>1730</v>
      </c>
      <c r="BE535" s="186">
        <v>6.5000000000000002E-2</v>
      </c>
      <c r="BF535" s="186">
        <v>4.2500000000000003E-3</v>
      </c>
      <c r="BG535" s="12">
        <v>2.58</v>
      </c>
      <c r="BH535" s="11"/>
      <c r="BI535" s="186"/>
      <c r="BJ535" s="747"/>
      <c r="BK535" s="747"/>
      <c r="BL535" s="747"/>
      <c r="BM535" s="186"/>
      <c r="BN535" s="186"/>
      <c r="BO535" s="12"/>
      <c r="BP535" s="11"/>
      <c r="BQ535" s="186"/>
      <c r="BR535" s="747"/>
      <c r="BS535" s="747"/>
      <c r="BT535" s="747"/>
      <c r="BU535" s="186"/>
      <c r="BV535" s="186"/>
      <c r="BW535" s="12"/>
    </row>
    <row r="536" spans="1:75">
      <c r="A536" s="1" t="s">
        <v>1076</v>
      </c>
      <c r="B536" s="1" t="s">
        <v>1023</v>
      </c>
      <c r="C536" s="1" t="s">
        <v>1024</v>
      </c>
      <c r="D536" s="1" t="s">
        <v>1710</v>
      </c>
      <c r="E536" s="1" t="s">
        <v>589</v>
      </c>
      <c r="F536" s="1">
        <v>0.25</v>
      </c>
      <c r="G536" s="1">
        <v>1.35E-2</v>
      </c>
      <c r="J536" s="1" t="s">
        <v>559</v>
      </c>
      <c r="AI536" s="757"/>
      <c r="AJ536" s="195"/>
      <c r="AK536" s="186"/>
      <c r="AL536" s="747"/>
      <c r="AM536" s="747"/>
      <c r="AN536" s="747"/>
      <c r="AO536" s="186"/>
      <c r="AP536" s="186"/>
      <c r="AQ536" s="12"/>
      <c r="AR536" s="11"/>
      <c r="AS536" s="186"/>
      <c r="AT536" s="747"/>
      <c r="AU536" s="747"/>
      <c r="AV536" s="747"/>
      <c r="AW536" s="186"/>
      <c r="AX536" s="186"/>
      <c r="AY536" s="12"/>
      <c r="AZ536" s="11" t="s">
        <v>2032</v>
      </c>
      <c r="BA536" s="186" t="s">
        <v>1720</v>
      </c>
      <c r="BB536" s="747" t="s">
        <v>317</v>
      </c>
      <c r="BC536" s="747" t="s">
        <v>260</v>
      </c>
      <c r="BD536" s="747" t="s">
        <v>1730</v>
      </c>
      <c r="BE536" s="186">
        <v>6.5000000000000002E-2</v>
      </c>
      <c r="BF536" s="186">
        <v>2.5500000000000002E-3</v>
      </c>
      <c r="BG536" s="12">
        <v>2.58</v>
      </c>
      <c r="BH536" s="11"/>
      <c r="BI536" s="186"/>
      <c r="BJ536" s="747"/>
      <c r="BK536" s="747"/>
      <c r="BL536" s="747"/>
      <c r="BM536" s="186"/>
      <c r="BN536" s="186"/>
      <c r="BO536" s="12"/>
      <c r="BP536" s="11"/>
      <c r="BQ536" s="186"/>
      <c r="BR536" s="747"/>
      <c r="BS536" s="747"/>
      <c r="BT536" s="747"/>
      <c r="BU536" s="186"/>
      <c r="BV536" s="186"/>
      <c r="BW536" s="12"/>
    </row>
    <row r="537" spans="1:75">
      <c r="A537" s="1" t="s">
        <v>1077</v>
      </c>
      <c r="B537" s="1" t="s">
        <v>1023</v>
      </c>
      <c r="C537" s="1" t="s">
        <v>1024</v>
      </c>
      <c r="D537" s="1" t="s">
        <v>1710</v>
      </c>
      <c r="E537" s="1" t="s">
        <v>590</v>
      </c>
      <c r="F537" s="1">
        <v>0.25</v>
      </c>
      <c r="G537" s="1">
        <v>1.35E-2</v>
      </c>
      <c r="J537" s="1" t="s">
        <v>559</v>
      </c>
      <c r="AI537" s="757"/>
      <c r="AJ537" s="195"/>
      <c r="AK537" s="186"/>
      <c r="AL537" s="747"/>
      <c r="AM537" s="747"/>
      <c r="AN537" s="747"/>
      <c r="AO537" s="186"/>
      <c r="AP537" s="186"/>
      <c r="AQ537" s="12"/>
      <c r="AR537" s="11"/>
      <c r="AS537" s="186"/>
      <c r="AT537" s="747"/>
      <c r="AU537" s="747"/>
      <c r="AV537" s="747"/>
      <c r="AW537" s="186"/>
      <c r="AX537" s="186"/>
      <c r="AY537" s="12"/>
      <c r="AZ537" s="11" t="s">
        <v>2032</v>
      </c>
      <c r="BA537" s="186" t="s">
        <v>1720</v>
      </c>
      <c r="BB537" s="747" t="s">
        <v>318</v>
      </c>
      <c r="BC537" s="747" t="s">
        <v>260</v>
      </c>
      <c r="BD537" s="747" t="s">
        <v>1730</v>
      </c>
      <c r="BE537" s="186">
        <v>6.5000000000000002E-2</v>
      </c>
      <c r="BF537" s="186">
        <v>2.5500000000000002E-3</v>
      </c>
      <c r="BG537" s="12">
        <v>2.58</v>
      </c>
      <c r="BH537" s="11"/>
      <c r="BI537" s="186"/>
      <c r="BJ537" s="747"/>
      <c r="BK537" s="747"/>
      <c r="BL537" s="747"/>
      <c r="BM537" s="186"/>
      <c r="BN537" s="186"/>
      <c r="BO537" s="12"/>
      <c r="BP537" s="11"/>
      <c r="BQ537" s="186"/>
      <c r="BR537" s="747"/>
      <c r="BS537" s="747"/>
      <c r="BT537" s="747"/>
      <c r="BU537" s="186"/>
      <c r="BV537" s="186"/>
      <c r="BW537" s="12"/>
    </row>
    <row r="538" spans="1:75">
      <c r="A538" s="1" t="s">
        <v>1078</v>
      </c>
      <c r="B538" s="1" t="s">
        <v>1023</v>
      </c>
      <c r="C538" s="1" t="s">
        <v>1024</v>
      </c>
      <c r="D538" s="1" t="s">
        <v>591</v>
      </c>
      <c r="E538" s="1" t="s">
        <v>592</v>
      </c>
      <c r="F538" s="1">
        <v>0.15</v>
      </c>
      <c r="G538" s="1">
        <v>7.0000000000000001E-3</v>
      </c>
      <c r="AI538" s="757"/>
      <c r="AJ538" s="195"/>
      <c r="AK538" s="186"/>
      <c r="AL538" s="747"/>
      <c r="AM538" s="747"/>
      <c r="AN538" s="747"/>
      <c r="AO538" s="186"/>
      <c r="AP538" s="186"/>
      <c r="AQ538" s="12"/>
      <c r="AR538" s="11"/>
      <c r="AS538" s="186"/>
      <c r="AT538" s="747"/>
      <c r="AU538" s="747"/>
      <c r="AV538" s="747"/>
      <c r="AW538" s="186"/>
      <c r="AX538" s="186"/>
      <c r="AY538" s="12"/>
      <c r="AZ538" s="11" t="s">
        <v>2032</v>
      </c>
      <c r="BA538" s="186" t="s">
        <v>1720</v>
      </c>
      <c r="BB538" s="747" t="s">
        <v>319</v>
      </c>
      <c r="BC538" s="747" t="s">
        <v>2814</v>
      </c>
      <c r="BD538" s="747" t="s">
        <v>1730</v>
      </c>
      <c r="BE538" s="186">
        <v>0.19500000000000001</v>
      </c>
      <c r="BF538" s="186">
        <v>1.2750000000000001E-2</v>
      </c>
      <c r="BG538" s="12">
        <v>2.58</v>
      </c>
      <c r="BH538" s="11"/>
      <c r="BI538" s="186"/>
      <c r="BJ538" s="747"/>
      <c r="BK538" s="747"/>
      <c r="BL538" s="747"/>
      <c r="BM538" s="186"/>
      <c r="BN538" s="186"/>
      <c r="BO538" s="12"/>
      <c r="BP538" s="11"/>
      <c r="BQ538" s="186"/>
      <c r="BR538" s="747"/>
      <c r="BS538" s="747"/>
      <c r="BT538" s="747"/>
      <c r="BU538" s="186"/>
      <c r="BV538" s="186"/>
      <c r="BW538" s="12"/>
    </row>
    <row r="539" spans="1:75">
      <c r="A539" s="1" t="s">
        <v>1079</v>
      </c>
      <c r="B539" s="1" t="s">
        <v>1023</v>
      </c>
      <c r="C539" s="1" t="s">
        <v>1024</v>
      </c>
      <c r="D539" s="1" t="s">
        <v>591</v>
      </c>
      <c r="E539" s="1" t="s">
        <v>593</v>
      </c>
      <c r="F539" s="1">
        <v>0.15</v>
      </c>
      <c r="G539" s="1">
        <v>7.0000000000000001E-3</v>
      </c>
      <c r="AI539" s="757"/>
      <c r="AJ539" s="195"/>
      <c r="AK539" s="186"/>
      <c r="AL539" s="747"/>
      <c r="AM539" s="747"/>
      <c r="AN539" s="747"/>
      <c r="AO539" s="186"/>
      <c r="AP539" s="186"/>
      <c r="AQ539" s="12"/>
      <c r="AR539" s="11"/>
      <c r="AS539" s="186"/>
      <c r="AT539" s="747"/>
      <c r="AU539" s="747"/>
      <c r="AV539" s="747"/>
      <c r="AW539" s="186"/>
      <c r="AX539" s="186"/>
      <c r="AY539" s="12"/>
      <c r="AZ539" s="11" t="s">
        <v>2032</v>
      </c>
      <c r="BA539" s="186" t="s">
        <v>1720</v>
      </c>
      <c r="BB539" s="747" t="s">
        <v>320</v>
      </c>
      <c r="BC539" s="747" t="s">
        <v>515</v>
      </c>
      <c r="BD539" s="747" t="s">
        <v>1730</v>
      </c>
      <c r="BE539" s="186">
        <v>0.19500000000000001</v>
      </c>
      <c r="BF539" s="186">
        <v>1.2750000000000001E-2</v>
      </c>
      <c r="BG539" s="12">
        <v>2.58</v>
      </c>
      <c r="BH539" s="11"/>
      <c r="BI539" s="186"/>
      <c r="BJ539" s="747"/>
      <c r="BK539" s="747"/>
      <c r="BL539" s="747"/>
      <c r="BM539" s="186"/>
      <c r="BN539" s="186"/>
      <c r="BO539" s="12"/>
      <c r="BP539" s="11"/>
      <c r="BQ539" s="186"/>
      <c r="BR539" s="747"/>
      <c r="BS539" s="747"/>
      <c r="BT539" s="747"/>
      <c r="BU539" s="186"/>
      <c r="BV539" s="186"/>
      <c r="BW539" s="12"/>
    </row>
    <row r="540" spans="1:75">
      <c r="A540" s="1" t="s">
        <v>1080</v>
      </c>
      <c r="B540" s="1" t="s">
        <v>1023</v>
      </c>
      <c r="C540" s="1" t="s">
        <v>1024</v>
      </c>
      <c r="D540" s="1" t="s">
        <v>591</v>
      </c>
      <c r="E540" s="1" t="s">
        <v>594</v>
      </c>
      <c r="F540" s="1">
        <v>7.4999999999999997E-2</v>
      </c>
      <c r="G540" s="1">
        <v>3.5000000000000001E-3</v>
      </c>
      <c r="J540" s="1" t="s">
        <v>692</v>
      </c>
      <c r="AI540" s="757"/>
      <c r="AJ540" s="195"/>
      <c r="AK540" s="186"/>
      <c r="AL540" s="747"/>
      <c r="AM540" s="747"/>
      <c r="AN540" s="747"/>
      <c r="AO540" s="186"/>
      <c r="AP540" s="186"/>
      <c r="AQ540" s="12"/>
      <c r="AR540" s="11"/>
      <c r="AS540" s="186"/>
      <c r="AT540" s="747"/>
      <c r="AU540" s="747"/>
      <c r="AV540" s="747"/>
      <c r="AW540" s="186"/>
      <c r="AX540" s="186"/>
      <c r="AY540" s="12"/>
      <c r="AZ540" s="11" t="s">
        <v>2032</v>
      </c>
      <c r="BA540" s="186" t="s">
        <v>1720</v>
      </c>
      <c r="BB540" s="747" t="s">
        <v>321</v>
      </c>
      <c r="BC540" s="747" t="s">
        <v>516</v>
      </c>
      <c r="BD540" s="747" t="s">
        <v>1730</v>
      </c>
      <c r="BE540" s="186">
        <v>0.13</v>
      </c>
      <c r="BF540" s="186">
        <v>8.5000000000000006E-3</v>
      </c>
      <c r="BG540" s="12">
        <v>2.58</v>
      </c>
      <c r="BH540" s="11"/>
      <c r="BI540" s="186"/>
      <c r="BJ540" s="747"/>
      <c r="BK540" s="747"/>
      <c r="BL540" s="747"/>
      <c r="BM540" s="186"/>
      <c r="BN540" s="186"/>
      <c r="BO540" s="12"/>
      <c r="BP540" s="11"/>
      <c r="BQ540" s="186"/>
      <c r="BR540" s="747"/>
      <c r="BS540" s="747"/>
      <c r="BT540" s="747"/>
      <c r="BU540" s="186"/>
      <c r="BV540" s="186"/>
      <c r="BW540" s="12"/>
    </row>
    <row r="541" spans="1:75">
      <c r="A541" s="1" t="s">
        <v>1081</v>
      </c>
      <c r="B541" s="1" t="s">
        <v>1023</v>
      </c>
      <c r="C541" s="1" t="s">
        <v>1024</v>
      </c>
      <c r="D541" s="1" t="s">
        <v>591</v>
      </c>
      <c r="E541" s="1" t="s">
        <v>595</v>
      </c>
      <c r="F541" s="1">
        <v>7.4999999999999997E-2</v>
      </c>
      <c r="G541" s="1">
        <v>3.5000000000000001E-3</v>
      </c>
      <c r="J541" s="1" t="s">
        <v>692</v>
      </c>
      <c r="AI541" s="757"/>
      <c r="AJ541" s="195"/>
      <c r="AK541" s="186"/>
      <c r="AL541" s="747"/>
      <c r="AM541" s="747"/>
      <c r="AN541" s="747"/>
      <c r="AO541" s="186"/>
      <c r="AP541" s="186"/>
      <c r="AQ541" s="12"/>
      <c r="AR541" s="11"/>
      <c r="AS541" s="186"/>
      <c r="AT541" s="747"/>
      <c r="AU541" s="747"/>
      <c r="AV541" s="747"/>
      <c r="AW541" s="186"/>
      <c r="AX541" s="186"/>
      <c r="AY541" s="12"/>
      <c r="AZ541" s="11" t="s">
        <v>2032</v>
      </c>
      <c r="BA541" s="186" t="s">
        <v>1720</v>
      </c>
      <c r="BB541" s="747" t="s">
        <v>322</v>
      </c>
      <c r="BC541" s="747" t="s">
        <v>516</v>
      </c>
      <c r="BD541" s="747" t="s">
        <v>1730</v>
      </c>
      <c r="BE541" s="186">
        <v>0.13</v>
      </c>
      <c r="BF541" s="186">
        <v>8.5000000000000006E-3</v>
      </c>
      <c r="BG541" s="12">
        <v>2.58</v>
      </c>
      <c r="BH541" s="11"/>
      <c r="BI541" s="186"/>
      <c r="BJ541" s="747"/>
      <c r="BK541" s="747"/>
      <c r="BL541" s="747"/>
      <c r="BM541" s="186"/>
      <c r="BN541" s="186"/>
      <c r="BO541" s="12"/>
      <c r="BP541" s="11"/>
      <c r="BQ541" s="186"/>
      <c r="BR541" s="747"/>
      <c r="BS541" s="747"/>
      <c r="BT541" s="747"/>
      <c r="BU541" s="186"/>
      <c r="BV541" s="186"/>
      <c r="BW541" s="12"/>
    </row>
    <row r="542" spans="1:75">
      <c r="A542" s="1" t="s">
        <v>1082</v>
      </c>
      <c r="B542" s="1" t="s">
        <v>1083</v>
      </c>
      <c r="C542" s="1" t="s">
        <v>1084</v>
      </c>
      <c r="D542" s="1" t="s">
        <v>1862</v>
      </c>
      <c r="E542" s="1" t="s">
        <v>1817</v>
      </c>
      <c r="F542" s="1">
        <v>2.83</v>
      </c>
      <c r="G542" s="1">
        <v>0.25</v>
      </c>
      <c r="H542" s="1">
        <v>2.62</v>
      </c>
      <c r="I542" s="1" t="s">
        <v>963</v>
      </c>
      <c r="AI542" s="757"/>
      <c r="AJ542" s="195"/>
      <c r="AK542" s="186"/>
      <c r="AL542" s="747"/>
      <c r="AM542" s="747"/>
      <c r="AN542" s="747"/>
      <c r="AO542" s="186"/>
      <c r="AP542" s="186"/>
      <c r="AQ542" s="12"/>
      <c r="AR542" s="11"/>
      <c r="AS542" s="186"/>
      <c r="AT542" s="747"/>
      <c r="AU542" s="747"/>
      <c r="AV542" s="747"/>
      <c r="AW542" s="186"/>
      <c r="AX542" s="186"/>
      <c r="AY542" s="12"/>
      <c r="AZ542" s="11" t="s">
        <v>2032</v>
      </c>
      <c r="BA542" s="186" t="s">
        <v>1720</v>
      </c>
      <c r="BB542" s="747" t="s">
        <v>323</v>
      </c>
      <c r="BC542" s="747" t="s">
        <v>517</v>
      </c>
      <c r="BD542" s="747" t="s">
        <v>1730</v>
      </c>
      <c r="BE542" s="186">
        <v>6.5000000000000002E-2</v>
      </c>
      <c r="BF542" s="186">
        <v>4.2500000000000003E-3</v>
      </c>
      <c r="BG542" s="12">
        <v>2.58</v>
      </c>
      <c r="BH542" s="11"/>
      <c r="BI542" s="186"/>
      <c r="BJ542" s="747"/>
      <c r="BK542" s="747"/>
      <c r="BL542" s="747"/>
      <c r="BM542" s="186"/>
      <c r="BN542" s="186"/>
      <c r="BO542" s="12"/>
      <c r="BP542" s="11"/>
      <c r="BQ542" s="186"/>
      <c r="BR542" s="747"/>
      <c r="BS542" s="747"/>
      <c r="BT542" s="747"/>
      <c r="BU542" s="186"/>
      <c r="BV542" s="186"/>
      <c r="BW542" s="12"/>
    </row>
    <row r="543" spans="1:75">
      <c r="A543" s="1" t="s">
        <v>1085</v>
      </c>
      <c r="B543" s="1" t="s">
        <v>1083</v>
      </c>
      <c r="C543" s="1" t="s">
        <v>1084</v>
      </c>
      <c r="D543" s="1" t="s">
        <v>1864</v>
      </c>
      <c r="E543" s="1" t="s">
        <v>1838</v>
      </c>
      <c r="F543" s="1">
        <v>2.5299999999999998</v>
      </c>
      <c r="G543" s="1">
        <v>0.25</v>
      </c>
      <c r="H543" s="1">
        <v>2.62</v>
      </c>
      <c r="I543" s="1" t="s">
        <v>963</v>
      </c>
      <c r="AI543" s="757"/>
      <c r="AJ543" s="195"/>
      <c r="AK543" s="186"/>
      <c r="AL543" s="747"/>
      <c r="AM543" s="747"/>
      <c r="AN543" s="747"/>
      <c r="AO543" s="186"/>
      <c r="AP543" s="186"/>
      <c r="AQ543" s="12"/>
      <c r="AR543" s="11"/>
      <c r="AS543" s="186"/>
      <c r="AT543" s="747"/>
      <c r="AU543" s="747"/>
      <c r="AV543" s="747"/>
      <c r="AW543" s="186"/>
      <c r="AX543" s="186"/>
      <c r="AY543" s="12"/>
      <c r="AZ543" s="11" t="s">
        <v>2032</v>
      </c>
      <c r="BA543" s="186" t="s">
        <v>1720</v>
      </c>
      <c r="BB543" s="747" t="s">
        <v>324</v>
      </c>
      <c r="BC543" s="747" t="s">
        <v>517</v>
      </c>
      <c r="BD543" s="747" t="s">
        <v>1730</v>
      </c>
      <c r="BE543" s="186">
        <v>6.5000000000000002E-2</v>
      </c>
      <c r="BF543" s="186">
        <v>4.2500000000000003E-3</v>
      </c>
      <c r="BG543" s="12">
        <v>2.58</v>
      </c>
      <c r="BH543" s="11"/>
      <c r="BI543" s="186"/>
      <c r="BJ543" s="747"/>
      <c r="BK543" s="747"/>
      <c r="BL543" s="747"/>
      <c r="BM543" s="186"/>
      <c r="BN543" s="186"/>
      <c r="BO543" s="12"/>
      <c r="BP543" s="11"/>
      <c r="BQ543" s="186"/>
      <c r="BR543" s="747"/>
      <c r="BS543" s="747"/>
      <c r="BT543" s="747"/>
      <c r="BU543" s="186"/>
      <c r="BV543" s="186"/>
      <c r="BW543" s="12"/>
    </row>
    <row r="544" spans="1:75">
      <c r="A544" s="1" t="s">
        <v>1086</v>
      </c>
      <c r="B544" s="1" t="s">
        <v>1083</v>
      </c>
      <c r="C544" s="1" t="s">
        <v>1084</v>
      </c>
      <c r="D544" s="1" t="s">
        <v>1865</v>
      </c>
      <c r="E544" s="1" t="s">
        <v>1807</v>
      </c>
      <c r="F544" s="1">
        <v>2.16</v>
      </c>
      <c r="G544" s="1">
        <v>0.25</v>
      </c>
      <c r="H544" s="1">
        <v>2.62</v>
      </c>
      <c r="I544" s="1" t="s">
        <v>963</v>
      </c>
      <c r="AI544" s="757"/>
      <c r="AJ544" s="195"/>
      <c r="AK544" s="186"/>
      <c r="AL544" s="747"/>
      <c r="AM544" s="747"/>
      <c r="AN544" s="747"/>
      <c r="AO544" s="186"/>
      <c r="AP544" s="186"/>
      <c r="AQ544" s="12"/>
      <c r="AR544" s="11"/>
      <c r="AS544" s="186"/>
      <c r="AT544" s="747"/>
      <c r="AU544" s="747"/>
      <c r="AV544" s="747"/>
      <c r="AW544" s="186"/>
      <c r="AX544" s="186"/>
      <c r="AY544" s="12"/>
      <c r="AZ544" s="11" t="s">
        <v>2032</v>
      </c>
      <c r="BA544" s="186" t="s">
        <v>1720</v>
      </c>
      <c r="BB544" s="747" t="s">
        <v>325</v>
      </c>
      <c r="BC544" s="747" t="s">
        <v>608</v>
      </c>
      <c r="BD544" s="747" t="s">
        <v>1730</v>
      </c>
      <c r="BE544" s="186">
        <v>0.26</v>
      </c>
      <c r="BF544" s="186">
        <v>4.2500000000000003E-3</v>
      </c>
      <c r="BG544" s="12">
        <v>2.58</v>
      </c>
      <c r="BH544" s="11"/>
      <c r="BI544" s="186"/>
      <c r="BJ544" s="747"/>
      <c r="BK544" s="747"/>
      <c r="BL544" s="747"/>
      <c r="BM544" s="186"/>
      <c r="BN544" s="186"/>
      <c r="BO544" s="12"/>
      <c r="BP544" s="11"/>
      <c r="BQ544" s="186"/>
      <c r="BR544" s="747"/>
      <c r="BS544" s="747"/>
      <c r="BT544" s="747"/>
      <c r="BU544" s="186"/>
      <c r="BV544" s="186"/>
      <c r="BW544" s="12"/>
    </row>
    <row r="545" spans="1:75">
      <c r="A545" s="1" t="s">
        <v>1087</v>
      </c>
      <c r="B545" s="1" t="s">
        <v>1083</v>
      </c>
      <c r="C545" s="1" t="s">
        <v>1084</v>
      </c>
      <c r="D545" s="1" t="s">
        <v>1865</v>
      </c>
      <c r="E545" s="1" t="s">
        <v>1808</v>
      </c>
      <c r="F545" s="1">
        <v>2.16</v>
      </c>
      <c r="G545" s="1">
        <v>0.25</v>
      </c>
      <c r="H545" s="1">
        <v>2.62</v>
      </c>
      <c r="I545" s="1" t="s">
        <v>963</v>
      </c>
      <c r="AI545" s="757"/>
      <c r="AJ545" s="195"/>
      <c r="AK545" s="186"/>
      <c r="AL545" s="747"/>
      <c r="AM545" s="747"/>
      <c r="AN545" s="747"/>
      <c r="AO545" s="186"/>
      <c r="AP545" s="186"/>
      <c r="AQ545" s="12"/>
      <c r="AR545" s="11"/>
      <c r="AS545" s="186"/>
      <c r="AT545" s="747"/>
      <c r="AU545" s="747"/>
      <c r="AV545" s="747"/>
      <c r="AW545" s="186"/>
      <c r="AX545" s="186"/>
      <c r="AY545" s="12"/>
      <c r="AZ545" s="11" t="s">
        <v>2032</v>
      </c>
      <c r="BA545" s="186" t="s">
        <v>1720</v>
      </c>
      <c r="BB545" s="747" t="s">
        <v>326</v>
      </c>
      <c r="BC545" s="747" t="s">
        <v>608</v>
      </c>
      <c r="BD545" s="747" t="s">
        <v>1730</v>
      </c>
      <c r="BE545" s="186">
        <v>0.13</v>
      </c>
      <c r="BF545" s="186">
        <v>4.2500000000000003E-3</v>
      </c>
      <c r="BG545" s="12">
        <v>2.58</v>
      </c>
      <c r="BH545" s="11"/>
      <c r="BI545" s="186"/>
      <c r="BJ545" s="747"/>
      <c r="BK545" s="747"/>
      <c r="BL545" s="747"/>
      <c r="BM545" s="186"/>
      <c r="BN545" s="186"/>
      <c r="BO545" s="12"/>
      <c r="BP545" s="11"/>
      <c r="BQ545" s="186"/>
      <c r="BR545" s="747"/>
      <c r="BS545" s="747"/>
      <c r="BT545" s="747"/>
      <c r="BU545" s="186"/>
      <c r="BV545" s="186"/>
      <c r="BW545" s="12"/>
    </row>
    <row r="546" spans="1:75">
      <c r="A546" s="1" t="s">
        <v>1088</v>
      </c>
      <c r="B546" s="1" t="s">
        <v>1083</v>
      </c>
      <c r="C546" s="1" t="s">
        <v>1084</v>
      </c>
      <c r="D546" s="1" t="s">
        <v>1903</v>
      </c>
      <c r="E546" s="1" t="s">
        <v>1869</v>
      </c>
      <c r="F546" s="1">
        <v>1.93</v>
      </c>
      <c r="G546" s="1">
        <v>0.25</v>
      </c>
      <c r="H546" s="1">
        <v>2.62</v>
      </c>
      <c r="I546" s="1" t="s">
        <v>963</v>
      </c>
      <c r="AI546" s="757"/>
      <c r="AJ546" s="195"/>
      <c r="AK546" s="186"/>
      <c r="AL546" s="747"/>
      <c r="AM546" s="747"/>
      <c r="AN546" s="747"/>
      <c r="AO546" s="186"/>
      <c r="AP546" s="186"/>
      <c r="AQ546" s="12"/>
      <c r="AR546" s="11"/>
      <c r="AS546" s="186"/>
      <c r="AT546" s="747"/>
      <c r="AU546" s="747"/>
      <c r="AV546" s="747"/>
      <c r="AW546" s="186"/>
      <c r="AX546" s="186"/>
      <c r="AY546" s="12"/>
      <c r="AZ546" s="11" t="s">
        <v>2032</v>
      </c>
      <c r="BA546" s="186" t="s">
        <v>1720</v>
      </c>
      <c r="BB546" s="747" t="s">
        <v>327</v>
      </c>
      <c r="BC546" s="747" t="s">
        <v>609</v>
      </c>
      <c r="BD546" s="747" t="s">
        <v>1730</v>
      </c>
      <c r="BE546" s="186">
        <v>0.26</v>
      </c>
      <c r="BF546" s="186">
        <v>2.5500000000000002E-3</v>
      </c>
      <c r="BG546" s="12">
        <v>2.58</v>
      </c>
      <c r="BH546" s="11"/>
      <c r="BI546" s="186"/>
      <c r="BJ546" s="747"/>
      <c r="BK546" s="747"/>
      <c r="BL546" s="747"/>
      <c r="BM546" s="186"/>
      <c r="BN546" s="186"/>
      <c r="BO546" s="12"/>
      <c r="BP546" s="11"/>
      <c r="BQ546" s="186"/>
      <c r="BR546" s="747"/>
      <c r="BS546" s="747"/>
      <c r="BT546" s="747"/>
      <c r="BU546" s="186"/>
      <c r="BV546" s="186"/>
      <c r="BW546" s="12"/>
    </row>
    <row r="547" spans="1:75">
      <c r="A547" s="1" t="s">
        <v>1089</v>
      </c>
      <c r="B547" s="1" t="s">
        <v>1083</v>
      </c>
      <c r="C547" s="1" t="s">
        <v>1084</v>
      </c>
      <c r="D547" s="1" t="s">
        <v>1903</v>
      </c>
      <c r="E547" s="1" t="s">
        <v>1809</v>
      </c>
      <c r="F547" s="1">
        <v>1.93</v>
      </c>
      <c r="G547" s="1">
        <v>0.25</v>
      </c>
      <c r="H547" s="1">
        <v>2.62</v>
      </c>
      <c r="I547" s="1" t="s">
        <v>963</v>
      </c>
      <c r="AI547" s="757"/>
      <c r="AJ547" s="195"/>
      <c r="AK547" s="186"/>
      <c r="AL547" s="747"/>
      <c r="AM547" s="747"/>
      <c r="AN547" s="747"/>
      <c r="AO547" s="186"/>
      <c r="AP547" s="186"/>
      <c r="AQ547" s="12"/>
      <c r="AR547" s="11"/>
      <c r="AS547" s="186"/>
      <c r="AT547" s="747"/>
      <c r="AU547" s="747"/>
      <c r="AV547" s="747"/>
      <c r="AW547" s="186"/>
      <c r="AX547" s="186"/>
      <c r="AY547" s="12"/>
      <c r="AZ547" s="11" t="s">
        <v>2032</v>
      </c>
      <c r="BA547" s="186" t="s">
        <v>1720</v>
      </c>
      <c r="BB547" s="747" t="s">
        <v>328</v>
      </c>
      <c r="BC547" s="747" t="s">
        <v>609</v>
      </c>
      <c r="BD547" s="747" t="s">
        <v>1730</v>
      </c>
      <c r="BE547" s="186">
        <v>0.13</v>
      </c>
      <c r="BF547" s="186">
        <v>2.5500000000000002E-3</v>
      </c>
      <c r="BG547" s="12">
        <v>2.58</v>
      </c>
      <c r="BH547" s="11"/>
      <c r="BI547" s="186"/>
      <c r="BJ547" s="747"/>
      <c r="BK547" s="747"/>
      <c r="BL547" s="747"/>
      <c r="BM547" s="186"/>
      <c r="BN547" s="186"/>
      <c r="BO547" s="12"/>
      <c r="BP547" s="11"/>
      <c r="BQ547" s="186"/>
      <c r="BR547" s="747"/>
      <c r="BS547" s="747"/>
      <c r="BT547" s="747"/>
      <c r="BU547" s="186"/>
      <c r="BV547" s="186"/>
      <c r="BW547" s="12"/>
    </row>
    <row r="548" spans="1:75">
      <c r="A548" s="1" t="s">
        <v>1090</v>
      </c>
      <c r="B548" s="1" t="s">
        <v>1083</v>
      </c>
      <c r="C548" s="1" t="s">
        <v>1084</v>
      </c>
      <c r="D548" s="1" t="s">
        <v>1937</v>
      </c>
      <c r="E548" s="1" t="s">
        <v>1839</v>
      </c>
      <c r="F548" s="1">
        <v>1.3</v>
      </c>
      <c r="G548" s="1">
        <v>0.25</v>
      </c>
      <c r="H548" s="1">
        <v>2.62</v>
      </c>
      <c r="I548" s="1" t="s">
        <v>963</v>
      </c>
      <c r="AI548" s="757"/>
      <c r="AJ548" s="195"/>
      <c r="AK548" s="186"/>
      <c r="AL548" s="747"/>
      <c r="AM548" s="747"/>
      <c r="AN548" s="747"/>
      <c r="AO548" s="186"/>
      <c r="AP548" s="186"/>
      <c r="AQ548" s="12"/>
      <c r="AR548" s="11"/>
      <c r="AS548" s="186"/>
      <c r="AT548" s="747"/>
      <c r="AU548" s="747"/>
      <c r="AV548" s="747"/>
      <c r="AW548" s="186"/>
      <c r="AX548" s="186"/>
      <c r="AY548" s="12"/>
      <c r="AZ548" s="11" t="s">
        <v>2032</v>
      </c>
      <c r="BA548" s="186" t="s">
        <v>1720</v>
      </c>
      <c r="BB548" s="747" t="s">
        <v>329</v>
      </c>
      <c r="BC548" s="747" t="s">
        <v>255</v>
      </c>
      <c r="BD548" s="747" t="s">
        <v>1730</v>
      </c>
      <c r="BE548" s="186">
        <v>0.19500000000000001</v>
      </c>
      <c r="BF548" s="186">
        <v>4.2500000000000003E-3</v>
      </c>
      <c r="BG548" s="12">
        <v>2.58</v>
      </c>
      <c r="BH548" s="11"/>
      <c r="BI548" s="186"/>
      <c r="BJ548" s="747"/>
      <c r="BK548" s="747"/>
      <c r="BL548" s="747"/>
      <c r="BM548" s="186"/>
      <c r="BN548" s="186"/>
      <c r="BO548" s="12"/>
      <c r="BP548" s="11"/>
      <c r="BQ548" s="186"/>
      <c r="BR548" s="747"/>
      <c r="BS548" s="747"/>
      <c r="BT548" s="747"/>
      <c r="BU548" s="186"/>
      <c r="BV548" s="186"/>
      <c r="BW548" s="12"/>
    </row>
    <row r="549" spans="1:75">
      <c r="A549" s="1" t="s">
        <v>1091</v>
      </c>
      <c r="B549" s="1" t="s">
        <v>1083</v>
      </c>
      <c r="C549" s="1" t="s">
        <v>1084</v>
      </c>
      <c r="D549" s="1" t="s">
        <v>1972</v>
      </c>
      <c r="E549" s="1" t="s">
        <v>2018</v>
      </c>
      <c r="F549" s="1">
        <v>0.7</v>
      </c>
      <c r="G549" s="1">
        <v>0.09</v>
      </c>
      <c r="H549" s="1">
        <v>2.62</v>
      </c>
      <c r="I549" s="1" t="s">
        <v>963</v>
      </c>
      <c r="AI549" s="757"/>
      <c r="AJ549" s="195"/>
      <c r="AK549" s="186"/>
      <c r="AL549" s="747"/>
      <c r="AM549" s="747"/>
      <c r="AN549" s="747"/>
      <c r="AO549" s="186"/>
      <c r="AP549" s="186"/>
      <c r="AQ549" s="12"/>
      <c r="AR549" s="11"/>
      <c r="AS549" s="186"/>
      <c r="AT549" s="747"/>
      <c r="AU549" s="747"/>
      <c r="AV549" s="747"/>
      <c r="AW549" s="186"/>
      <c r="AX549" s="186"/>
      <c r="AY549" s="12"/>
      <c r="AZ549" s="11" t="s">
        <v>2032</v>
      </c>
      <c r="BA549" s="186" t="s">
        <v>1720</v>
      </c>
      <c r="BB549" s="747" t="s">
        <v>330</v>
      </c>
      <c r="BC549" s="747" t="s">
        <v>255</v>
      </c>
      <c r="BD549" s="747" t="s">
        <v>1730</v>
      </c>
      <c r="BE549" s="186">
        <v>0.19500000000000001</v>
      </c>
      <c r="BF549" s="186">
        <v>4.2500000000000003E-3</v>
      </c>
      <c r="BG549" s="12">
        <v>2.58</v>
      </c>
      <c r="BH549" s="11"/>
      <c r="BI549" s="186"/>
      <c r="BJ549" s="747"/>
      <c r="BK549" s="747"/>
      <c r="BL549" s="747"/>
      <c r="BM549" s="186"/>
      <c r="BN549" s="186"/>
      <c r="BO549" s="12"/>
      <c r="BP549" s="11"/>
      <c r="BQ549" s="186"/>
      <c r="BR549" s="747"/>
      <c r="BS549" s="747"/>
      <c r="BT549" s="747"/>
      <c r="BU549" s="186"/>
      <c r="BV549" s="186"/>
      <c r="BW549" s="12"/>
    </row>
    <row r="550" spans="1:75">
      <c r="A550" s="1" t="s">
        <v>1092</v>
      </c>
      <c r="B550" s="1" t="s">
        <v>1083</v>
      </c>
      <c r="C550" s="1" t="s">
        <v>1084</v>
      </c>
      <c r="D550" s="1" t="s">
        <v>1972</v>
      </c>
      <c r="E550" s="1" t="s">
        <v>2019</v>
      </c>
      <c r="F550" s="1">
        <v>0.35</v>
      </c>
      <c r="G550" s="1">
        <v>4.4999999999999998E-2</v>
      </c>
      <c r="H550" s="1">
        <v>2.62</v>
      </c>
      <c r="I550" s="1" t="s">
        <v>691</v>
      </c>
      <c r="J550" s="1" t="s">
        <v>692</v>
      </c>
      <c r="AI550" s="757"/>
      <c r="AJ550" s="195"/>
      <c r="AK550" s="186"/>
      <c r="AL550" s="747"/>
      <c r="AM550" s="747"/>
      <c r="AN550" s="747"/>
      <c r="AO550" s="186"/>
      <c r="AP550" s="186"/>
      <c r="AQ550" s="12"/>
      <c r="AR550" s="11"/>
      <c r="AS550" s="186"/>
      <c r="AT550" s="747"/>
      <c r="AU550" s="747"/>
      <c r="AV550" s="747"/>
      <c r="AW550" s="186"/>
      <c r="AX550" s="186"/>
      <c r="AY550" s="12"/>
      <c r="AZ550" s="11" t="s">
        <v>2032</v>
      </c>
      <c r="BA550" s="186" t="s">
        <v>1720</v>
      </c>
      <c r="BB550" s="747" t="s">
        <v>331</v>
      </c>
      <c r="BC550" s="747" t="s">
        <v>256</v>
      </c>
      <c r="BD550" s="747" t="s">
        <v>1730</v>
      </c>
      <c r="BE550" s="186">
        <v>0.19500000000000001</v>
      </c>
      <c r="BF550" s="186">
        <v>2.5500000000000002E-3</v>
      </c>
      <c r="BG550" s="12">
        <v>2.58</v>
      </c>
      <c r="BH550" s="11"/>
      <c r="BI550" s="186"/>
      <c r="BJ550" s="747"/>
      <c r="BK550" s="747"/>
      <c r="BL550" s="747"/>
      <c r="BM550" s="186"/>
      <c r="BN550" s="186"/>
      <c r="BO550" s="12"/>
      <c r="BP550" s="11"/>
      <c r="BQ550" s="186"/>
      <c r="BR550" s="747"/>
      <c r="BS550" s="747"/>
      <c r="BT550" s="747"/>
      <c r="BU550" s="186"/>
      <c r="BV550" s="186"/>
      <c r="BW550" s="12"/>
    </row>
    <row r="551" spans="1:75">
      <c r="A551" s="1" t="s">
        <v>1093</v>
      </c>
      <c r="B551" s="1" t="s">
        <v>1023</v>
      </c>
      <c r="C551" s="1" t="s">
        <v>1084</v>
      </c>
      <c r="D551" s="1" t="s">
        <v>1972</v>
      </c>
      <c r="E551" s="1" t="s">
        <v>2020</v>
      </c>
      <c r="F551" s="1">
        <v>0.52500000000000002</v>
      </c>
      <c r="G551" s="1">
        <v>6.7500000000000004E-2</v>
      </c>
      <c r="H551" s="1">
        <v>2.62</v>
      </c>
      <c r="I551" s="1" t="s">
        <v>963</v>
      </c>
      <c r="J551" s="1" t="s">
        <v>515</v>
      </c>
      <c r="AI551" s="757"/>
      <c r="AJ551" s="195"/>
      <c r="AK551" s="186"/>
      <c r="AL551" s="747"/>
      <c r="AM551" s="747"/>
      <c r="AN551" s="747"/>
      <c r="AO551" s="186"/>
      <c r="AP551" s="186"/>
      <c r="AQ551" s="12"/>
      <c r="AR551" s="11"/>
      <c r="AS551" s="186"/>
      <c r="AT551" s="747"/>
      <c r="AU551" s="747"/>
      <c r="AV551" s="747"/>
      <c r="AW551" s="186"/>
      <c r="AX551" s="186"/>
      <c r="AY551" s="12"/>
      <c r="AZ551" s="11" t="s">
        <v>2032</v>
      </c>
      <c r="BA551" s="186" t="s">
        <v>1720</v>
      </c>
      <c r="BB551" s="747" t="s">
        <v>332</v>
      </c>
      <c r="BC551" s="747" t="s">
        <v>256</v>
      </c>
      <c r="BD551" s="747" t="s">
        <v>1730</v>
      </c>
      <c r="BE551" s="186">
        <v>0.19500000000000001</v>
      </c>
      <c r="BF551" s="186">
        <v>2.5500000000000002E-3</v>
      </c>
      <c r="BG551" s="12">
        <v>2.58</v>
      </c>
      <c r="BH551" s="11"/>
      <c r="BI551" s="186"/>
      <c r="BJ551" s="747"/>
      <c r="BK551" s="747"/>
      <c r="BL551" s="747"/>
      <c r="BM551" s="186"/>
      <c r="BN551" s="186"/>
      <c r="BO551" s="12"/>
      <c r="BP551" s="11"/>
      <c r="BQ551" s="186"/>
      <c r="BR551" s="747"/>
      <c r="BS551" s="747"/>
      <c r="BT551" s="747"/>
      <c r="BU551" s="186"/>
      <c r="BV551" s="186"/>
      <c r="BW551" s="12"/>
    </row>
    <row r="552" spans="1:75">
      <c r="A552" s="1" t="s">
        <v>1094</v>
      </c>
      <c r="B552" s="1" t="s">
        <v>1023</v>
      </c>
      <c r="C552" s="1" t="s">
        <v>1084</v>
      </c>
      <c r="D552" s="1" t="s">
        <v>1972</v>
      </c>
      <c r="E552" s="1" t="s">
        <v>2021</v>
      </c>
      <c r="F552" s="1">
        <v>0.52500000000000002</v>
      </c>
      <c r="G552" s="1">
        <v>6.7500000000000004E-2</v>
      </c>
      <c r="H552" s="1">
        <v>2.62</v>
      </c>
      <c r="I552" s="1" t="s">
        <v>691</v>
      </c>
      <c r="J552" s="1" t="s">
        <v>697</v>
      </c>
      <c r="AI552" s="757"/>
      <c r="AJ552" s="195"/>
      <c r="AK552" s="186"/>
      <c r="AL552" s="747"/>
      <c r="AM552" s="747"/>
      <c r="AN552" s="747"/>
      <c r="AO552" s="186"/>
      <c r="AP552" s="186"/>
      <c r="AQ552" s="12"/>
      <c r="AR552" s="11"/>
      <c r="AS552" s="186"/>
      <c r="AT552" s="747"/>
      <c r="AU552" s="747"/>
      <c r="AV552" s="747"/>
      <c r="AW552" s="186"/>
      <c r="AX552" s="186"/>
      <c r="AY552" s="12"/>
      <c r="AZ552" s="11" t="s">
        <v>2032</v>
      </c>
      <c r="BA552" s="186" t="s">
        <v>1720</v>
      </c>
      <c r="BB552" s="747" t="s">
        <v>333</v>
      </c>
      <c r="BC552" s="747" t="s">
        <v>257</v>
      </c>
      <c r="BD552" s="747" t="s">
        <v>1730</v>
      </c>
      <c r="BE552" s="186">
        <v>0.13</v>
      </c>
      <c r="BF552" s="186">
        <v>4.2500000000000003E-3</v>
      </c>
      <c r="BG552" s="12">
        <v>2.58</v>
      </c>
      <c r="BH552" s="11"/>
      <c r="BI552" s="186"/>
      <c r="BJ552" s="747"/>
      <c r="BK552" s="747"/>
      <c r="BL552" s="747"/>
      <c r="BM552" s="186"/>
      <c r="BN552" s="186"/>
      <c r="BO552" s="12"/>
      <c r="BP552" s="11"/>
      <c r="BQ552" s="186"/>
      <c r="BR552" s="747"/>
      <c r="BS552" s="747"/>
      <c r="BT552" s="747"/>
      <c r="BU552" s="186"/>
      <c r="BV552" s="186"/>
      <c r="BW552" s="12"/>
    </row>
    <row r="553" spans="1:75">
      <c r="A553" s="1" t="s">
        <v>1095</v>
      </c>
      <c r="B553" s="1" t="s">
        <v>1023</v>
      </c>
      <c r="C553" s="1" t="s">
        <v>1084</v>
      </c>
      <c r="D553" s="1" t="s">
        <v>1972</v>
      </c>
      <c r="E553" s="1" t="s">
        <v>2022</v>
      </c>
      <c r="F553" s="1">
        <v>0.35</v>
      </c>
      <c r="G553" s="1">
        <v>4.4999999999999998E-2</v>
      </c>
      <c r="H553" s="1">
        <v>2.62</v>
      </c>
      <c r="I553" s="1" t="s">
        <v>963</v>
      </c>
      <c r="J553" s="1" t="s">
        <v>516</v>
      </c>
      <c r="AI553" s="757"/>
      <c r="AJ553" s="195"/>
      <c r="AK553" s="186"/>
      <c r="AL553" s="747"/>
      <c r="AM553" s="747"/>
      <c r="AN553" s="747"/>
      <c r="AO553" s="186"/>
      <c r="AP553" s="186"/>
      <c r="AQ553" s="12"/>
      <c r="AR553" s="11"/>
      <c r="AS553" s="186"/>
      <c r="AT553" s="747"/>
      <c r="AU553" s="747"/>
      <c r="AV553" s="747"/>
      <c r="AW553" s="186"/>
      <c r="AX553" s="186"/>
      <c r="AY553" s="12"/>
      <c r="AZ553" s="11" t="s">
        <v>2032</v>
      </c>
      <c r="BA553" s="186" t="s">
        <v>1720</v>
      </c>
      <c r="BB553" s="747" t="s">
        <v>334</v>
      </c>
      <c r="BC553" s="747" t="s">
        <v>257</v>
      </c>
      <c r="BD553" s="747" t="s">
        <v>1730</v>
      </c>
      <c r="BE553" s="186">
        <v>0.13</v>
      </c>
      <c r="BF553" s="186">
        <v>4.2500000000000003E-3</v>
      </c>
      <c r="BG553" s="12">
        <v>2.58</v>
      </c>
      <c r="BH553" s="11"/>
      <c r="BI553" s="186"/>
      <c r="BJ553" s="747"/>
      <c r="BK553" s="747"/>
      <c r="BL553" s="747"/>
      <c r="BM553" s="186"/>
      <c r="BN553" s="186"/>
      <c r="BO553" s="12"/>
      <c r="BP553" s="11"/>
      <c r="BQ553" s="186"/>
      <c r="BR553" s="747"/>
      <c r="BS553" s="747"/>
      <c r="BT553" s="747"/>
      <c r="BU553" s="186"/>
      <c r="BV553" s="186"/>
      <c r="BW553" s="12"/>
    </row>
    <row r="554" spans="1:75">
      <c r="A554" s="1" t="s">
        <v>1096</v>
      </c>
      <c r="B554" s="1" t="s">
        <v>1023</v>
      </c>
      <c r="C554" s="1" t="s">
        <v>1084</v>
      </c>
      <c r="D554" s="1" t="s">
        <v>1972</v>
      </c>
      <c r="E554" s="1" t="s">
        <v>2023</v>
      </c>
      <c r="F554" s="1">
        <v>0.35</v>
      </c>
      <c r="G554" s="1">
        <v>4.4999999999999998E-2</v>
      </c>
      <c r="H554" s="1">
        <v>2.62</v>
      </c>
      <c r="I554" s="1" t="s">
        <v>691</v>
      </c>
      <c r="J554" s="1" t="s">
        <v>700</v>
      </c>
      <c r="AI554" s="757"/>
      <c r="AJ554" s="195"/>
      <c r="AK554" s="186"/>
      <c r="AL554" s="747"/>
      <c r="AM554" s="747"/>
      <c r="AN554" s="747"/>
      <c r="AO554" s="186"/>
      <c r="AP554" s="186"/>
      <c r="AQ554" s="12"/>
      <c r="AR554" s="11"/>
      <c r="AS554" s="186"/>
      <c r="AT554" s="747"/>
      <c r="AU554" s="747"/>
      <c r="AV554" s="747"/>
      <c r="AW554" s="186"/>
      <c r="AX554" s="186"/>
      <c r="AY554" s="12"/>
      <c r="AZ554" s="11" t="s">
        <v>2032</v>
      </c>
      <c r="BA554" s="186" t="s">
        <v>1720</v>
      </c>
      <c r="BB554" s="747" t="s">
        <v>335</v>
      </c>
      <c r="BC554" s="747" t="s">
        <v>258</v>
      </c>
      <c r="BD554" s="747" t="s">
        <v>1730</v>
      </c>
      <c r="BE554" s="186">
        <v>0.13</v>
      </c>
      <c r="BF554" s="186">
        <v>2.5500000000000002E-3</v>
      </c>
      <c r="BG554" s="12">
        <v>2.58</v>
      </c>
      <c r="BH554" s="11"/>
      <c r="BI554" s="186"/>
      <c r="BJ554" s="747"/>
      <c r="BK554" s="747"/>
      <c r="BL554" s="747"/>
      <c r="BM554" s="186"/>
      <c r="BN554" s="186"/>
      <c r="BO554" s="12"/>
      <c r="BP554" s="11"/>
      <c r="BQ554" s="186"/>
      <c r="BR554" s="747"/>
      <c r="BS554" s="747"/>
      <c r="BT554" s="747"/>
      <c r="BU554" s="186"/>
      <c r="BV554" s="186"/>
      <c r="BW554" s="12"/>
    </row>
    <row r="555" spans="1:75">
      <c r="A555" s="1" t="s">
        <v>1097</v>
      </c>
      <c r="B555" s="1" t="s">
        <v>1023</v>
      </c>
      <c r="C555" s="1" t="s">
        <v>1084</v>
      </c>
      <c r="D555" s="1" t="s">
        <v>1972</v>
      </c>
      <c r="E555" s="1" t="s">
        <v>2024</v>
      </c>
      <c r="F555" s="1">
        <v>0.17499999999999999</v>
      </c>
      <c r="G555" s="1">
        <v>2.2499999999999999E-2</v>
      </c>
      <c r="H555" s="1">
        <v>2.62</v>
      </c>
      <c r="I555" s="1" t="s">
        <v>963</v>
      </c>
      <c r="J555" s="1" t="s">
        <v>517</v>
      </c>
      <c r="AI555" s="757"/>
      <c r="AJ555" s="195"/>
      <c r="AK555" s="186"/>
      <c r="AL555" s="747"/>
      <c r="AM555" s="747"/>
      <c r="AN555" s="747"/>
      <c r="AO555" s="186"/>
      <c r="AP555" s="186"/>
      <c r="AQ555" s="12"/>
      <c r="AR555" s="11"/>
      <c r="AS555" s="186"/>
      <c r="AT555" s="747"/>
      <c r="AU555" s="747"/>
      <c r="AV555" s="747"/>
      <c r="AW555" s="186"/>
      <c r="AX555" s="186"/>
      <c r="AY555" s="12"/>
      <c r="AZ555" s="11" t="s">
        <v>2032</v>
      </c>
      <c r="BA555" s="186" t="s">
        <v>1720</v>
      </c>
      <c r="BB555" s="747" t="s">
        <v>336</v>
      </c>
      <c r="BC555" s="747" t="s">
        <v>258</v>
      </c>
      <c r="BD555" s="747" t="s">
        <v>1730</v>
      </c>
      <c r="BE555" s="186">
        <v>0.13</v>
      </c>
      <c r="BF555" s="186">
        <v>2.5500000000000002E-3</v>
      </c>
      <c r="BG555" s="12">
        <v>2.58</v>
      </c>
      <c r="BH555" s="11"/>
      <c r="BI555" s="186"/>
      <c r="BJ555" s="747"/>
      <c r="BK555" s="747"/>
      <c r="BL555" s="747"/>
      <c r="BM555" s="186"/>
      <c r="BN555" s="186"/>
      <c r="BO555" s="12"/>
      <c r="BP555" s="11"/>
      <c r="BQ555" s="186"/>
      <c r="BR555" s="747"/>
      <c r="BS555" s="747"/>
      <c r="BT555" s="747"/>
      <c r="BU555" s="186"/>
      <c r="BV555" s="186"/>
      <c r="BW555" s="12"/>
    </row>
    <row r="556" spans="1:75">
      <c r="A556" s="1" t="s">
        <v>1098</v>
      </c>
      <c r="B556" s="1" t="s">
        <v>1023</v>
      </c>
      <c r="C556" s="1" t="s">
        <v>1084</v>
      </c>
      <c r="D556" s="1" t="s">
        <v>1972</v>
      </c>
      <c r="E556" s="1" t="s">
        <v>2025</v>
      </c>
      <c r="F556" s="1">
        <v>0.17499999999999999</v>
      </c>
      <c r="G556" s="1">
        <v>2.2499999999999999E-2</v>
      </c>
      <c r="H556" s="1">
        <v>2.62</v>
      </c>
      <c r="I556" s="1" t="s">
        <v>691</v>
      </c>
      <c r="J556" s="1" t="s">
        <v>703</v>
      </c>
      <c r="AI556" s="757"/>
      <c r="AJ556" s="195"/>
      <c r="AK556" s="186"/>
      <c r="AL556" s="747"/>
      <c r="AM556" s="747"/>
      <c r="AN556" s="747"/>
      <c r="AO556" s="186"/>
      <c r="AP556" s="186"/>
      <c r="AQ556" s="12"/>
      <c r="AR556" s="11"/>
      <c r="AS556" s="186"/>
      <c r="AT556" s="747"/>
      <c r="AU556" s="747"/>
      <c r="AV556" s="747"/>
      <c r="AW556" s="186"/>
      <c r="AX556" s="186"/>
      <c r="AY556" s="12"/>
      <c r="AZ556" s="11" t="s">
        <v>2032</v>
      </c>
      <c r="BA556" s="186" t="s">
        <v>1720</v>
      </c>
      <c r="BB556" s="747" t="s">
        <v>337</v>
      </c>
      <c r="BC556" s="747" t="s">
        <v>259</v>
      </c>
      <c r="BD556" s="747" t="s">
        <v>1730</v>
      </c>
      <c r="BE556" s="186">
        <v>6.5000000000000002E-2</v>
      </c>
      <c r="BF556" s="186">
        <v>4.2500000000000003E-3</v>
      </c>
      <c r="BG556" s="12">
        <v>2.58</v>
      </c>
      <c r="BH556" s="11"/>
      <c r="BI556" s="186"/>
      <c r="BJ556" s="747"/>
      <c r="BK556" s="747"/>
      <c r="BL556" s="747"/>
      <c r="BM556" s="186"/>
      <c r="BN556" s="186"/>
      <c r="BO556" s="12"/>
      <c r="BP556" s="11"/>
      <c r="BQ556" s="186"/>
      <c r="BR556" s="747"/>
      <c r="BS556" s="747"/>
      <c r="BT556" s="747"/>
      <c r="BU556" s="186"/>
      <c r="BV556" s="186"/>
      <c r="BW556" s="12"/>
    </row>
    <row r="557" spans="1:75">
      <c r="A557" s="1" t="s">
        <v>1099</v>
      </c>
      <c r="B557" s="1" t="s">
        <v>1083</v>
      </c>
      <c r="C557" s="1" t="s">
        <v>1084</v>
      </c>
      <c r="D557" s="1" t="s">
        <v>1713</v>
      </c>
      <c r="E557" s="1" t="s">
        <v>1815</v>
      </c>
      <c r="F557" s="1">
        <v>0.49</v>
      </c>
      <c r="G557" s="1">
        <v>0.06</v>
      </c>
      <c r="H557" s="1">
        <v>2.62</v>
      </c>
      <c r="I557" s="1" t="s">
        <v>963</v>
      </c>
      <c r="AI557" s="757"/>
      <c r="AJ557" s="195"/>
      <c r="AK557" s="186"/>
      <c r="AL557" s="747"/>
      <c r="AM557" s="747"/>
      <c r="AN557" s="747"/>
      <c r="AO557" s="186"/>
      <c r="AP557" s="186"/>
      <c r="AQ557" s="12"/>
      <c r="AR557" s="11"/>
      <c r="AS557" s="186"/>
      <c r="AT557" s="747"/>
      <c r="AU557" s="747"/>
      <c r="AV557" s="747"/>
      <c r="AW557" s="186"/>
      <c r="AX557" s="186"/>
      <c r="AY557" s="12"/>
      <c r="AZ557" s="11" t="s">
        <v>2032</v>
      </c>
      <c r="BA557" s="186" t="s">
        <v>1720</v>
      </c>
      <c r="BB557" s="747" t="s">
        <v>338</v>
      </c>
      <c r="BC557" s="747" t="s">
        <v>259</v>
      </c>
      <c r="BD557" s="747" t="s">
        <v>1730</v>
      </c>
      <c r="BE557" s="186">
        <v>6.5000000000000002E-2</v>
      </c>
      <c r="BF557" s="186">
        <v>4.2500000000000003E-3</v>
      </c>
      <c r="BG557" s="12">
        <v>2.58</v>
      </c>
      <c r="BH557" s="11"/>
      <c r="BI557" s="186"/>
      <c r="BJ557" s="747"/>
      <c r="BK557" s="747"/>
      <c r="BL557" s="747"/>
      <c r="BM557" s="186"/>
      <c r="BN557" s="186"/>
      <c r="BO557" s="12"/>
      <c r="BP557" s="11"/>
      <c r="BQ557" s="186"/>
      <c r="BR557" s="747"/>
      <c r="BS557" s="747"/>
      <c r="BT557" s="747"/>
      <c r="BU557" s="186"/>
      <c r="BV557" s="186"/>
      <c r="BW557" s="12"/>
    </row>
    <row r="558" spans="1:75">
      <c r="A558" s="1" t="s">
        <v>1100</v>
      </c>
      <c r="B558" s="1" t="s">
        <v>1083</v>
      </c>
      <c r="C558" s="1" t="s">
        <v>1084</v>
      </c>
      <c r="D558" s="1" t="s">
        <v>1713</v>
      </c>
      <c r="E558" s="1" t="s">
        <v>1816</v>
      </c>
      <c r="F558" s="1">
        <v>0.245</v>
      </c>
      <c r="G558" s="1">
        <v>0.03</v>
      </c>
      <c r="H558" s="1">
        <v>2.62</v>
      </c>
      <c r="I558" s="1" t="s">
        <v>691</v>
      </c>
      <c r="J558" s="1" t="s">
        <v>692</v>
      </c>
      <c r="AI558" s="757"/>
      <c r="AJ558" s="195"/>
      <c r="AK558" s="186"/>
      <c r="AL558" s="747"/>
      <c r="AM558" s="747"/>
      <c r="AN558" s="747"/>
      <c r="AO558" s="186"/>
      <c r="AP558" s="186"/>
      <c r="AQ558" s="12"/>
      <c r="AR558" s="11"/>
      <c r="AS558" s="186"/>
      <c r="AT558" s="747"/>
      <c r="AU558" s="747"/>
      <c r="AV558" s="747"/>
      <c r="AW558" s="186"/>
      <c r="AX558" s="186"/>
      <c r="AY558" s="12"/>
      <c r="AZ558" s="11" t="s">
        <v>2032</v>
      </c>
      <c r="BA558" s="186" t="s">
        <v>1720</v>
      </c>
      <c r="BB558" s="747" t="s">
        <v>339</v>
      </c>
      <c r="BC558" s="747" t="s">
        <v>260</v>
      </c>
      <c r="BD558" s="747" t="s">
        <v>1730</v>
      </c>
      <c r="BE558" s="186">
        <v>6.5000000000000002E-2</v>
      </c>
      <c r="BF558" s="186">
        <v>2.5500000000000002E-3</v>
      </c>
      <c r="BG558" s="12">
        <v>2.58</v>
      </c>
      <c r="BH558" s="11"/>
      <c r="BI558" s="186"/>
      <c r="BJ558" s="747"/>
      <c r="BK558" s="747"/>
      <c r="BL558" s="747"/>
      <c r="BM558" s="186"/>
      <c r="BN558" s="186"/>
      <c r="BO558" s="12"/>
      <c r="BP558" s="11"/>
      <c r="BQ558" s="186"/>
      <c r="BR558" s="747"/>
      <c r="BS558" s="747"/>
      <c r="BT558" s="747"/>
      <c r="BU558" s="186"/>
      <c r="BV558" s="186"/>
      <c r="BW558" s="12"/>
    </row>
    <row r="559" spans="1:75">
      <c r="A559" s="1" t="s">
        <v>1101</v>
      </c>
      <c r="B559" s="1" t="s">
        <v>1083</v>
      </c>
      <c r="C559" s="1" t="s">
        <v>1084</v>
      </c>
      <c r="D559" s="1" t="s">
        <v>1713</v>
      </c>
      <c r="E559" s="1" t="s">
        <v>2026</v>
      </c>
      <c r="F559" s="1">
        <v>0.36749999999999999</v>
      </c>
      <c r="G559" s="1">
        <v>4.4999999999999998E-2</v>
      </c>
      <c r="H559" s="1">
        <v>2.62</v>
      </c>
      <c r="I559" s="1" t="s">
        <v>963</v>
      </c>
      <c r="J559" s="1" t="s">
        <v>515</v>
      </c>
      <c r="AI559" s="757"/>
      <c r="AJ559" s="195"/>
      <c r="AK559" s="186"/>
      <c r="AL559" s="747"/>
      <c r="AM559" s="747"/>
      <c r="AN559" s="747"/>
      <c r="AO559" s="186"/>
      <c r="AP559" s="186"/>
      <c r="AQ559" s="12"/>
      <c r="AR559" s="11"/>
      <c r="AS559" s="186"/>
      <c r="AT559" s="747"/>
      <c r="AU559" s="747"/>
      <c r="AV559" s="747"/>
      <c r="AW559" s="186"/>
      <c r="AX559" s="186"/>
      <c r="AY559" s="12"/>
      <c r="AZ559" s="11" t="s">
        <v>2032</v>
      </c>
      <c r="BA559" s="186" t="s">
        <v>1720</v>
      </c>
      <c r="BB559" s="747" t="s">
        <v>340</v>
      </c>
      <c r="BC559" s="747" t="s">
        <v>260</v>
      </c>
      <c r="BD559" s="747" t="s">
        <v>1730</v>
      </c>
      <c r="BE559" s="186">
        <v>6.5000000000000002E-2</v>
      </c>
      <c r="BF559" s="186">
        <v>2.5500000000000002E-3</v>
      </c>
      <c r="BG559" s="12">
        <v>2.58</v>
      </c>
      <c r="BH559" s="11"/>
      <c r="BI559" s="186"/>
      <c r="BJ559" s="747"/>
      <c r="BK559" s="747"/>
      <c r="BL559" s="747"/>
      <c r="BM559" s="186"/>
      <c r="BN559" s="186"/>
      <c r="BO559" s="12"/>
      <c r="BP559" s="11"/>
      <c r="BQ559" s="186"/>
      <c r="BR559" s="747"/>
      <c r="BS559" s="747"/>
      <c r="BT559" s="747"/>
      <c r="BU559" s="186"/>
      <c r="BV559" s="186"/>
      <c r="BW559" s="12"/>
    </row>
    <row r="560" spans="1:75">
      <c r="A560" s="1" t="s">
        <v>1102</v>
      </c>
      <c r="B560" s="1" t="s">
        <v>1083</v>
      </c>
      <c r="C560" s="1" t="s">
        <v>1084</v>
      </c>
      <c r="D560" s="1" t="s">
        <v>1713</v>
      </c>
      <c r="E560" s="1" t="s">
        <v>2027</v>
      </c>
      <c r="F560" s="1">
        <v>0.36749999999999999</v>
      </c>
      <c r="G560" s="1">
        <v>4.4999999999999998E-2</v>
      </c>
      <c r="H560" s="1">
        <v>2.62</v>
      </c>
      <c r="I560" s="1" t="s">
        <v>691</v>
      </c>
      <c r="J560" s="1" t="s">
        <v>697</v>
      </c>
      <c r="AI560" s="757"/>
      <c r="AJ560" s="195"/>
      <c r="AK560" s="186"/>
      <c r="AL560" s="747"/>
      <c r="AM560" s="747"/>
      <c r="AN560" s="747"/>
      <c r="AO560" s="186"/>
      <c r="AP560" s="186"/>
      <c r="AQ560" s="12"/>
      <c r="AR560" s="11"/>
      <c r="AS560" s="186"/>
      <c r="AT560" s="747"/>
      <c r="AU560" s="747"/>
      <c r="AV560" s="747"/>
      <c r="AW560" s="186"/>
      <c r="AX560" s="186"/>
      <c r="AY560" s="12"/>
      <c r="AZ560" s="11" t="s">
        <v>2032</v>
      </c>
      <c r="BA560" s="186" t="s">
        <v>1710</v>
      </c>
      <c r="BB560" s="747" t="s">
        <v>1277</v>
      </c>
      <c r="BC560" s="747" t="s">
        <v>1730</v>
      </c>
      <c r="BD560" s="747" t="s">
        <v>247</v>
      </c>
      <c r="BE560" s="186">
        <v>0.15</v>
      </c>
      <c r="BF560" s="186">
        <v>3.0000000000000001E-3</v>
      </c>
      <c r="BG560" s="12">
        <v>2.58</v>
      </c>
      <c r="BH560" s="11"/>
      <c r="BI560" s="186"/>
      <c r="BJ560" s="747"/>
      <c r="BK560" s="747"/>
      <c r="BL560" s="747"/>
      <c r="BM560" s="186"/>
      <c r="BN560" s="186"/>
      <c r="BO560" s="12"/>
      <c r="BP560" s="11"/>
      <c r="BQ560" s="186"/>
      <c r="BR560" s="747"/>
      <c r="BS560" s="747"/>
      <c r="BT560" s="747"/>
      <c r="BU560" s="186"/>
      <c r="BV560" s="186"/>
      <c r="BW560" s="12"/>
    </row>
    <row r="561" spans="1:75">
      <c r="A561" s="1" t="s">
        <v>1103</v>
      </c>
      <c r="B561" s="1" t="s">
        <v>1083</v>
      </c>
      <c r="C561" s="1" t="s">
        <v>1084</v>
      </c>
      <c r="D561" s="1" t="s">
        <v>1713</v>
      </c>
      <c r="E561" s="1" t="s">
        <v>2028</v>
      </c>
      <c r="F561" s="1">
        <v>0.245</v>
      </c>
      <c r="G561" s="1">
        <v>0.03</v>
      </c>
      <c r="H561" s="1">
        <v>2.62</v>
      </c>
      <c r="I561" s="1" t="s">
        <v>963</v>
      </c>
      <c r="J561" s="1" t="s">
        <v>516</v>
      </c>
      <c r="AI561" s="757"/>
      <c r="AJ561" s="195"/>
      <c r="AK561" s="186"/>
      <c r="AL561" s="747"/>
      <c r="AM561" s="747"/>
      <c r="AN561" s="747"/>
      <c r="AO561" s="186"/>
      <c r="AP561" s="186"/>
      <c r="AQ561" s="12"/>
      <c r="AR561" s="11"/>
      <c r="AS561" s="186"/>
      <c r="AT561" s="747"/>
      <c r="AU561" s="747"/>
      <c r="AV561" s="747"/>
      <c r="AW561" s="186"/>
      <c r="AX561" s="186"/>
      <c r="AY561" s="12"/>
      <c r="AZ561" s="11" t="s">
        <v>2032</v>
      </c>
      <c r="BA561" s="186" t="s">
        <v>1710</v>
      </c>
      <c r="BB561" s="747" t="s">
        <v>610</v>
      </c>
      <c r="BC561" s="747" t="s">
        <v>1730</v>
      </c>
      <c r="BD561" s="747" t="s">
        <v>247</v>
      </c>
      <c r="BE561" s="186">
        <v>0.15</v>
      </c>
      <c r="BF561" s="186">
        <v>3.0000000000000001E-3</v>
      </c>
      <c r="BG561" s="12">
        <v>2.58</v>
      </c>
      <c r="BH561" s="11"/>
      <c r="BI561" s="186"/>
      <c r="BJ561" s="747"/>
      <c r="BK561" s="747"/>
      <c r="BL561" s="747"/>
      <c r="BM561" s="186"/>
      <c r="BN561" s="186"/>
      <c r="BO561" s="12"/>
      <c r="BP561" s="11"/>
      <c r="BQ561" s="186"/>
      <c r="BR561" s="747"/>
      <c r="BS561" s="747"/>
      <c r="BT561" s="747"/>
      <c r="BU561" s="186"/>
      <c r="BV561" s="186"/>
      <c r="BW561" s="12"/>
    </row>
    <row r="562" spans="1:75">
      <c r="A562" s="1" t="s">
        <v>1104</v>
      </c>
      <c r="B562" s="1" t="s">
        <v>1083</v>
      </c>
      <c r="C562" s="1" t="s">
        <v>1084</v>
      </c>
      <c r="D562" s="1" t="s">
        <v>1713</v>
      </c>
      <c r="E562" s="1" t="s">
        <v>2029</v>
      </c>
      <c r="F562" s="1">
        <v>0.245</v>
      </c>
      <c r="G562" s="1">
        <v>0.03</v>
      </c>
      <c r="H562" s="1">
        <v>2.62</v>
      </c>
      <c r="I562" s="1" t="s">
        <v>691</v>
      </c>
      <c r="J562" s="1" t="s">
        <v>700</v>
      </c>
      <c r="AI562" s="757"/>
      <c r="AJ562" s="195"/>
      <c r="AK562" s="186"/>
      <c r="AL562" s="747"/>
      <c r="AM562" s="747"/>
      <c r="AN562" s="747"/>
      <c r="AO562" s="186"/>
      <c r="AP562" s="186"/>
      <c r="AQ562" s="12"/>
      <c r="AR562" s="11"/>
      <c r="AS562" s="186"/>
      <c r="AT562" s="747"/>
      <c r="AU562" s="747"/>
      <c r="AV562" s="747"/>
      <c r="AW562" s="186"/>
      <c r="AX562" s="186"/>
      <c r="AY562" s="12"/>
      <c r="AZ562" s="11" t="s">
        <v>2032</v>
      </c>
      <c r="BA562" s="186" t="s">
        <v>1710</v>
      </c>
      <c r="BB562" s="747" t="s">
        <v>1278</v>
      </c>
      <c r="BC562" s="747" t="s">
        <v>1730</v>
      </c>
      <c r="BD562" s="747" t="s">
        <v>247</v>
      </c>
      <c r="BE562" s="186">
        <v>7.4999999999999997E-2</v>
      </c>
      <c r="BF562" s="186">
        <v>1.5E-3</v>
      </c>
      <c r="BG562" s="12">
        <v>2.58</v>
      </c>
      <c r="BH562" s="11"/>
      <c r="BI562" s="186"/>
      <c r="BJ562" s="747"/>
      <c r="BK562" s="747"/>
      <c r="BL562" s="747"/>
      <c r="BM562" s="186"/>
      <c r="BN562" s="186"/>
      <c r="BO562" s="12"/>
      <c r="BP562" s="11"/>
      <c r="BQ562" s="186"/>
      <c r="BR562" s="747"/>
      <c r="BS562" s="747"/>
      <c r="BT562" s="747"/>
      <c r="BU562" s="186"/>
      <c r="BV562" s="186"/>
      <c r="BW562" s="12"/>
    </row>
    <row r="563" spans="1:75">
      <c r="A563" s="1" t="s">
        <v>1105</v>
      </c>
      <c r="B563" s="1" t="s">
        <v>1083</v>
      </c>
      <c r="C563" s="1" t="s">
        <v>1084</v>
      </c>
      <c r="D563" s="1" t="s">
        <v>1713</v>
      </c>
      <c r="E563" s="1" t="s">
        <v>2030</v>
      </c>
      <c r="F563" s="1">
        <v>0.1225</v>
      </c>
      <c r="G563" s="1">
        <v>1.4999999999999999E-2</v>
      </c>
      <c r="H563" s="1">
        <v>2.62</v>
      </c>
      <c r="I563" s="1" t="s">
        <v>963</v>
      </c>
      <c r="J563" s="1" t="s">
        <v>517</v>
      </c>
      <c r="AI563" s="757"/>
      <c r="AJ563" s="195"/>
      <c r="AK563" s="186"/>
      <c r="AL563" s="747"/>
      <c r="AM563" s="747"/>
      <c r="AN563" s="747"/>
      <c r="AO563" s="186"/>
      <c r="AP563" s="186"/>
      <c r="AQ563" s="12"/>
      <c r="AR563" s="11"/>
      <c r="AS563" s="186"/>
      <c r="AT563" s="747"/>
      <c r="AU563" s="747"/>
      <c r="AV563" s="747"/>
      <c r="AW563" s="186"/>
      <c r="AX563" s="186"/>
      <c r="AY563" s="12"/>
      <c r="AZ563" s="11" t="s">
        <v>2032</v>
      </c>
      <c r="BA563" s="186" t="s">
        <v>1710</v>
      </c>
      <c r="BB563" s="747" t="s">
        <v>611</v>
      </c>
      <c r="BC563" s="747" t="s">
        <v>1730</v>
      </c>
      <c r="BD563" s="747" t="s">
        <v>247</v>
      </c>
      <c r="BE563" s="186">
        <v>7.4999999999999997E-2</v>
      </c>
      <c r="BF563" s="186">
        <v>1.5E-3</v>
      </c>
      <c r="BG563" s="12">
        <v>2.58</v>
      </c>
      <c r="BH563" s="11"/>
      <c r="BI563" s="186"/>
      <c r="BJ563" s="747"/>
      <c r="BK563" s="747"/>
      <c r="BL563" s="747"/>
      <c r="BM563" s="186"/>
      <c r="BN563" s="186"/>
      <c r="BO563" s="12"/>
      <c r="BP563" s="11"/>
      <c r="BQ563" s="186"/>
      <c r="BR563" s="747"/>
      <c r="BS563" s="747"/>
      <c r="BT563" s="747"/>
      <c r="BU563" s="186"/>
      <c r="BV563" s="186"/>
      <c r="BW563" s="12"/>
    </row>
    <row r="564" spans="1:75">
      <c r="A564" s="1" t="s">
        <v>1106</v>
      </c>
      <c r="B564" s="1" t="s">
        <v>1083</v>
      </c>
      <c r="C564" s="1" t="s">
        <v>1084</v>
      </c>
      <c r="D564" s="1" t="s">
        <v>1713</v>
      </c>
      <c r="E564" s="1" t="s">
        <v>2031</v>
      </c>
      <c r="F564" s="1">
        <v>0.1225</v>
      </c>
      <c r="G564" s="1">
        <v>1.4999999999999999E-2</v>
      </c>
      <c r="H564" s="1">
        <v>2.62</v>
      </c>
      <c r="I564" s="1" t="s">
        <v>691</v>
      </c>
      <c r="J564" s="1" t="s">
        <v>703</v>
      </c>
      <c r="AI564" s="757"/>
      <c r="AJ564" s="195"/>
      <c r="AK564" s="186"/>
      <c r="AL564" s="747"/>
      <c r="AM564" s="747"/>
      <c r="AN564" s="747"/>
      <c r="AO564" s="186"/>
      <c r="AP564" s="186"/>
      <c r="AQ564" s="12"/>
      <c r="AR564" s="11"/>
      <c r="AS564" s="186"/>
      <c r="AT564" s="747"/>
      <c r="AU564" s="747"/>
      <c r="AV564" s="747"/>
      <c r="AW564" s="186"/>
      <c r="AX564" s="186"/>
      <c r="AY564" s="12"/>
      <c r="AZ564" s="11" t="s">
        <v>2032</v>
      </c>
      <c r="BA564" s="186" t="s">
        <v>1710</v>
      </c>
      <c r="BB564" s="747" t="s">
        <v>1279</v>
      </c>
      <c r="BC564" s="747" t="s">
        <v>518</v>
      </c>
      <c r="BD564" s="747" t="s">
        <v>2692</v>
      </c>
      <c r="BE564" s="186">
        <v>0.13500000000000001</v>
      </c>
      <c r="BF564" s="186">
        <v>2.7000000000000001E-3</v>
      </c>
      <c r="BG564" s="12">
        <v>2.58</v>
      </c>
      <c r="BH564" s="11"/>
      <c r="BI564" s="186"/>
      <c r="BJ564" s="747"/>
      <c r="BK564" s="747"/>
      <c r="BL564" s="747"/>
      <c r="BM564" s="186"/>
      <c r="BN564" s="186"/>
      <c r="BO564" s="12"/>
      <c r="BP564" s="11"/>
      <c r="BQ564" s="186"/>
      <c r="BR564" s="747"/>
      <c r="BS564" s="747"/>
      <c r="BT564" s="747"/>
      <c r="BU564" s="186"/>
      <c r="BV564" s="186"/>
      <c r="BW564" s="12"/>
    </row>
    <row r="565" spans="1:75">
      <c r="A565" s="1" t="s">
        <v>1107</v>
      </c>
      <c r="B565" s="1" t="s">
        <v>1083</v>
      </c>
      <c r="C565" s="1" t="s">
        <v>1084</v>
      </c>
      <c r="D565" s="1" t="s">
        <v>1710</v>
      </c>
      <c r="E565" s="1" t="s">
        <v>1712</v>
      </c>
      <c r="F565" s="1">
        <v>0.25</v>
      </c>
      <c r="G565" s="1">
        <v>1.4999999999999999E-2</v>
      </c>
      <c r="H565" s="1">
        <v>2.62</v>
      </c>
      <c r="I565" s="1" t="s">
        <v>980</v>
      </c>
      <c r="AI565" s="757"/>
      <c r="AJ565" s="195"/>
      <c r="AK565" s="186"/>
      <c r="AL565" s="747"/>
      <c r="AM565" s="747"/>
      <c r="AN565" s="747"/>
      <c r="AO565" s="186"/>
      <c r="AP565" s="186"/>
      <c r="AQ565" s="12"/>
      <c r="AR565" s="11"/>
      <c r="AS565" s="186"/>
      <c r="AT565" s="747"/>
      <c r="AU565" s="747"/>
      <c r="AV565" s="747"/>
      <c r="AW565" s="186"/>
      <c r="AX565" s="186"/>
      <c r="AY565" s="12"/>
      <c r="AZ565" s="11" t="s">
        <v>2032</v>
      </c>
      <c r="BA565" s="186" t="s">
        <v>1710</v>
      </c>
      <c r="BB565" s="747" t="s">
        <v>612</v>
      </c>
      <c r="BC565" s="747" t="s">
        <v>518</v>
      </c>
      <c r="BD565" s="747" t="s">
        <v>2692</v>
      </c>
      <c r="BE565" s="186">
        <v>0.13500000000000001</v>
      </c>
      <c r="BF565" s="186">
        <v>2.7000000000000001E-3</v>
      </c>
      <c r="BG565" s="12">
        <v>2.58</v>
      </c>
      <c r="BH565" s="11"/>
      <c r="BI565" s="186"/>
      <c r="BJ565" s="747"/>
      <c r="BK565" s="747"/>
      <c r="BL565" s="747"/>
      <c r="BM565" s="186"/>
      <c r="BN565" s="186"/>
      <c r="BO565" s="12"/>
      <c r="BP565" s="11"/>
      <c r="BQ565" s="186"/>
      <c r="BR565" s="747"/>
      <c r="BS565" s="747"/>
      <c r="BT565" s="747"/>
      <c r="BU565" s="186"/>
      <c r="BV565" s="186"/>
      <c r="BW565" s="12"/>
    </row>
    <row r="566" spans="1:75">
      <c r="A566" s="1" t="s">
        <v>1108</v>
      </c>
      <c r="B566" s="1" t="s">
        <v>1083</v>
      </c>
      <c r="C566" s="1" t="s">
        <v>1084</v>
      </c>
      <c r="D566" s="1" t="s">
        <v>1710</v>
      </c>
      <c r="E566" s="1" t="s">
        <v>575</v>
      </c>
      <c r="F566" s="1">
        <v>0.25</v>
      </c>
      <c r="G566" s="1">
        <v>1.4999999999999999E-2</v>
      </c>
      <c r="AI566" s="757"/>
      <c r="AJ566" s="195"/>
      <c r="AK566" s="186"/>
      <c r="AL566" s="747"/>
      <c r="AM566" s="747"/>
      <c r="AN566" s="747"/>
      <c r="AO566" s="186"/>
      <c r="AP566" s="186"/>
      <c r="AQ566" s="12"/>
      <c r="AR566" s="11"/>
      <c r="AS566" s="186"/>
      <c r="AT566" s="747"/>
      <c r="AU566" s="747"/>
      <c r="AV566" s="747"/>
      <c r="AW566" s="186"/>
      <c r="AX566" s="186"/>
      <c r="AY566" s="12"/>
      <c r="AZ566" s="11" t="s">
        <v>2032</v>
      </c>
      <c r="BA566" s="186" t="s">
        <v>1710</v>
      </c>
      <c r="BB566" s="747" t="s">
        <v>1280</v>
      </c>
      <c r="BC566" s="747" t="s">
        <v>518</v>
      </c>
      <c r="BD566" s="747" t="s">
        <v>2692</v>
      </c>
      <c r="BE566" s="186">
        <v>0.13500000000000001</v>
      </c>
      <c r="BF566" s="186">
        <v>2.7000000000000001E-3</v>
      </c>
      <c r="BG566" s="12">
        <v>2.58</v>
      </c>
      <c r="BH566" s="11"/>
      <c r="BI566" s="186"/>
      <c r="BJ566" s="747"/>
      <c r="BK566" s="747"/>
      <c r="BL566" s="747"/>
      <c r="BM566" s="186"/>
      <c r="BN566" s="186"/>
      <c r="BO566" s="12"/>
      <c r="BP566" s="11"/>
      <c r="BQ566" s="186"/>
      <c r="BR566" s="747"/>
      <c r="BS566" s="747"/>
      <c r="BT566" s="747"/>
      <c r="BU566" s="186"/>
      <c r="BV566" s="186"/>
      <c r="BW566" s="12"/>
    </row>
    <row r="567" spans="1:75">
      <c r="A567" s="1" t="s">
        <v>1109</v>
      </c>
      <c r="B567" s="1" t="s">
        <v>1083</v>
      </c>
      <c r="C567" s="1" t="s">
        <v>1084</v>
      </c>
      <c r="D567" s="1" t="s">
        <v>1710</v>
      </c>
      <c r="E567" s="1" t="s">
        <v>1711</v>
      </c>
      <c r="F567" s="1">
        <v>0.125</v>
      </c>
      <c r="G567" s="1">
        <v>7.4999999999999997E-3</v>
      </c>
      <c r="H567" s="1">
        <v>2.62</v>
      </c>
      <c r="I567" s="1" t="s">
        <v>691</v>
      </c>
      <c r="J567" s="1" t="s">
        <v>692</v>
      </c>
      <c r="AI567" s="757"/>
      <c r="AJ567" s="195"/>
      <c r="AK567" s="186"/>
      <c r="AL567" s="747"/>
      <c r="AM567" s="747"/>
      <c r="AN567" s="747"/>
      <c r="AO567" s="186"/>
      <c r="AP567" s="186"/>
      <c r="AQ567" s="12"/>
      <c r="AR567" s="11"/>
      <c r="AS567" s="186"/>
      <c r="AT567" s="747"/>
      <c r="AU567" s="747"/>
      <c r="AV567" s="747"/>
      <c r="AW567" s="186"/>
      <c r="AX567" s="186"/>
      <c r="AY567" s="12"/>
      <c r="AZ567" s="11" t="s">
        <v>2032</v>
      </c>
      <c r="BA567" s="186" t="s">
        <v>1710</v>
      </c>
      <c r="BB567" s="747" t="s">
        <v>613</v>
      </c>
      <c r="BC567" s="747" t="s">
        <v>518</v>
      </c>
      <c r="BD567" s="747" t="s">
        <v>2692</v>
      </c>
      <c r="BE567" s="186">
        <v>0.13500000000000001</v>
      </c>
      <c r="BF567" s="186">
        <v>2.7000000000000001E-3</v>
      </c>
      <c r="BG567" s="12">
        <v>2.58</v>
      </c>
      <c r="BH567" s="11"/>
      <c r="BI567" s="186"/>
      <c r="BJ567" s="747"/>
      <c r="BK567" s="747"/>
      <c r="BL567" s="747"/>
      <c r="BM567" s="186"/>
      <c r="BN567" s="186"/>
      <c r="BO567" s="12"/>
      <c r="BP567" s="11"/>
      <c r="BQ567" s="186"/>
      <c r="BR567" s="747"/>
      <c r="BS567" s="747"/>
      <c r="BT567" s="747"/>
      <c r="BU567" s="186"/>
      <c r="BV567" s="186"/>
      <c r="BW567" s="12"/>
    </row>
    <row r="568" spans="1:75">
      <c r="A568" s="1" t="s">
        <v>1110</v>
      </c>
      <c r="B568" s="1" t="s">
        <v>1083</v>
      </c>
      <c r="C568" s="1" t="s">
        <v>1084</v>
      </c>
      <c r="D568" s="1" t="s">
        <v>1710</v>
      </c>
      <c r="E568" s="1" t="s">
        <v>576</v>
      </c>
      <c r="F568" s="1">
        <v>0.125</v>
      </c>
      <c r="G568" s="1">
        <v>7.4999999999999997E-3</v>
      </c>
      <c r="J568" s="1" t="s">
        <v>692</v>
      </c>
      <c r="AI568" s="757"/>
      <c r="AJ568" s="195"/>
      <c r="AK568" s="186"/>
      <c r="AL568" s="747"/>
      <c r="AM568" s="747"/>
      <c r="AN568" s="747"/>
      <c r="AO568" s="186"/>
      <c r="AP568" s="186"/>
      <c r="AQ568" s="12"/>
      <c r="AR568" s="11"/>
      <c r="AS568" s="186"/>
      <c r="AT568" s="747"/>
      <c r="AU568" s="747"/>
      <c r="AV568" s="747"/>
      <c r="AW568" s="186"/>
      <c r="AX568" s="186"/>
      <c r="AY568" s="12"/>
      <c r="AZ568" s="11" t="s">
        <v>2032</v>
      </c>
      <c r="BA568" s="186" t="s">
        <v>1710</v>
      </c>
      <c r="BB568" s="747" t="s">
        <v>1281</v>
      </c>
      <c r="BC568" s="747" t="s">
        <v>519</v>
      </c>
      <c r="BD568" s="747" t="s">
        <v>247</v>
      </c>
      <c r="BE568" s="186">
        <v>7.4999999999999997E-2</v>
      </c>
      <c r="BF568" s="186">
        <v>1.5E-3</v>
      </c>
      <c r="BG568" s="12">
        <v>2.58</v>
      </c>
      <c r="BH568" s="11"/>
      <c r="BI568" s="186"/>
      <c r="BJ568" s="747"/>
      <c r="BK568" s="747"/>
      <c r="BL568" s="747"/>
      <c r="BM568" s="186"/>
      <c r="BN568" s="186"/>
      <c r="BO568" s="12"/>
      <c r="BP568" s="11"/>
      <c r="BQ568" s="186"/>
      <c r="BR568" s="747"/>
      <c r="BS568" s="747"/>
      <c r="BT568" s="747"/>
      <c r="BU568" s="186"/>
      <c r="BV568" s="186"/>
      <c r="BW568" s="12"/>
    </row>
    <row r="569" spans="1:75">
      <c r="A569" s="1" t="s">
        <v>1111</v>
      </c>
      <c r="B569" s="1" t="s">
        <v>1083</v>
      </c>
      <c r="C569" s="1" t="s">
        <v>1084</v>
      </c>
      <c r="D569" s="1" t="s">
        <v>1710</v>
      </c>
      <c r="E569" s="1" t="s">
        <v>1714</v>
      </c>
      <c r="F569" s="1">
        <v>0.22500000000000001</v>
      </c>
      <c r="G569" s="1">
        <v>1.35E-2</v>
      </c>
      <c r="H569" s="1">
        <v>2.62</v>
      </c>
      <c r="I569" s="1" t="s">
        <v>691</v>
      </c>
      <c r="J569" s="1" t="s">
        <v>697</v>
      </c>
      <c r="AI569" s="757"/>
      <c r="AJ569" s="195"/>
      <c r="AK569" s="186"/>
      <c r="AL569" s="747"/>
      <c r="AM569" s="747"/>
      <c r="AN569" s="747"/>
      <c r="AO569" s="186"/>
      <c r="AP569" s="186"/>
      <c r="AQ569" s="12"/>
      <c r="AR569" s="11"/>
      <c r="AS569" s="186"/>
      <c r="AT569" s="747"/>
      <c r="AU569" s="747"/>
      <c r="AV569" s="747"/>
      <c r="AW569" s="186"/>
      <c r="AX569" s="186"/>
      <c r="AY569" s="12"/>
      <c r="AZ569" s="11" t="s">
        <v>2032</v>
      </c>
      <c r="BA569" s="186" t="s">
        <v>1710</v>
      </c>
      <c r="BB569" s="747" t="s">
        <v>614</v>
      </c>
      <c r="BC569" s="747" t="s">
        <v>519</v>
      </c>
      <c r="BD569" s="747" t="s">
        <v>247</v>
      </c>
      <c r="BE569" s="186">
        <v>7.4999999999999997E-2</v>
      </c>
      <c r="BF569" s="186">
        <v>1.5E-3</v>
      </c>
      <c r="BG569" s="12">
        <v>2.58</v>
      </c>
      <c r="BH569" s="11"/>
      <c r="BI569" s="186"/>
      <c r="BJ569" s="747"/>
      <c r="BK569" s="747"/>
      <c r="BL569" s="747"/>
      <c r="BM569" s="186"/>
      <c r="BN569" s="186"/>
      <c r="BO569" s="12"/>
      <c r="BP569" s="11"/>
      <c r="BQ569" s="186"/>
      <c r="BR569" s="747"/>
      <c r="BS569" s="747"/>
      <c r="BT569" s="747"/>
      <c r="BU569" s="186"/>
      <c r="BV569" s="186"/>
      <c r="BW569" s="12"/>
    </row>
    <row r="570" spans="1:75">
      <c r="A570" s="1" t="s">
        <v>1112</v>
      </c>
      <c r="B570" s="1" t="s">
        <v>1083</v>
      </c>
      <c r="C570" s="1" t="s">
        <v>1084</v>
      </c>
      <c r="D570" s="1" t="s">
        <v>1710</v>
      </c>
      <c r="E570" s="1" t="s">
        <v>577</v>
      </c>
      <c r="F570" s="1">
        <v>0.22500000000000001</v>
      </c>
      <c r="G570" s="1">
        <v>1.35E-2</v>
      </c>
      <c r="J570" s="1" t="s">
        <v>952</v>
      </c>
      <c r="AI570" s="757"/>
      <c r="AJ570" s="195"/>
      <c r="AK570" s="186"/>
      <c r="AL570" s="747"/>
      <c r="AM570" s="747"/>
      <c r="AN570" s="747"/>
      <c r="AO570" s="186"/>
      <c r="AP570" s="186"/>
      <c r="AQ570" s="12"/>
      <c r="AR570" s="11"/>
      <c r="AS570" s="186"/>
      <c r="AT570" s="747"/>
      <c r="AU570" s="747"/>
      <c r="AV570" s="747"/>
      <c r="AW570" s="186"/>
      <c r="AX570" s="186"/>
      <c r="AY570" s="12"/>
      <c r="AZ570" s="11" t="s">
        <v>2032</v>
      </c>
      <c r="BA570" s="186" t="s">
        <v>1710</v>
      </c>
      <c r="BB570" s="747" t="s">
        <v>1282</v>
      </c>
      <c r="BC570" s="747" t="s">
        <v>519</v>
      </c>
      <c r="BD570" s="747" t="s">
        <v>247</v>
      </c>
      <c r="BE570" s="186">
        <v>7.4999999999999997E-2</v>
      </c>
      <c r="BF570" s="186">
        <v>1.5E-3</v>
      </c>
      <c r="BG570" s="12">
        <v>2.58</v>
      </c>
      <c r="BH570" s="11"/>
      <c r="BI570" s="186"/>
      <c r="BJ570" s="747"/>
      <c r="BK570" s="747"/>
      <c r="BL570" s="747"/>
      <c r="BM570" s="186"/>
      <c r="BN570" s="186"/>
      <c r="BO570" s="12"/>
      <c r="BP570" s="11"/>
      <c r="BQ570" s="186"/>
      <c r="BR570" s="747"/>
      <c r="BS570" s="747"/>
      <c r="BT570" s="747"/>
      <c r="BU570" s="186"/>
      <c r="BV570" s="186"/>
      <c r="BW570" s="12"/>
    </row>
    <row r="571" spans="1:75">
      <c r="A571" s="1" t="s">
        <v>1113</v>
      </c>
      <c r="B571" s="1" t="s">
        <v>1083</v>
      </c>
      <c r="C571" s="1" t="s">
        <v>1084</v>
      </c>
      <c r="D571" s="1" t="s">
        <v>1710</v>
      </c>
      <c r="E571" s="1" t="s">
        <v>1715</v>
      </c>
      <c r="F571" s="1">
        <v>0.22500000000000001</v>
      </c>
      <c r="G571" s="1">
        <v>1.35E-2</v>
      </c>
      <c r="H571" s="1">
        <v>2.62</v>
      </c>
      <c r="I571" s="1" t="s">
        <v>980</v>
      </c>
      <c r="J571" s="1" t="s">
        <v>515</v>
      </c>
      <c r="AI571" s="757"/>
      <c r="AJ571" s="195"/>
      <c r="AK571" s="186"/>
      <c r="AL571" s="747"/>
      <c r="AM571" s="747"/>
      <c r="AN571" s="747"/>
      <c r="AO571" s="186"/>
      <c r="AP571" s="186"/>
      <c r="AQ571" s="12"/>
      <c r="AR571" s="11"/>
      <c r="AS571" s="186"/>
      <c r="AT571" s="747"/>
      <c r="AU571" s="747"/>
      <c r="AV571" s="747"/>
      <c r="AW571" s="186"/>
      <c r="AX571" s="186"/>
      <c r="AY571" s="12"/>
      <c r="AZ571" s="11" t="s">
        <v>2032</v>
      </c>
      <c r="BA571" s="186" t="s">
        <v>1710</v>
      </c>
      <c r="BB571" s="747" t="s">
        <v>615</v>
      </c>
      <c r="BC571" s="747" t="s">
        <v>519</v>
      </c>
      <c r="BD571" s="747" t="s">
        <v>247</v>
      </c>
      <c r="BE571" s="186">
        <v>7.4999999999999997E-2</v>
      </c>
      <c r="BF571" s="186">
        <v>1.5E-3</v>
      </c>
      <c r="BG571" s="12">
        <v>2.58</v>
      </c>
      <c r="BH571" s="11"/>
      <c r="BI571" s="186"/>
      <c r="BJ571" s="747"/>
      <c r="BK571" s="747"/>
      <c r="BL571" s="747"/>
      <c r="BM571" s="186"/>
      <c r="BN571" s="186"/>
      <c r="BO571" s="12"/>
      <c r="BP571" s="11"/>
      <c r="BQ571" s="186"/>
      <c r="BR571" s="747"/>
      <c r="BS571" s="747"/>
      <c r="BT571" s="747"/>
      <c r="BU571" s="186"/>
      <c r="BV571" s="186"/>
      <c r="BW571" s="12"/>
    </row>
    <row r="572" spans="1:75">
      <c r="A572" s="1" t="s">
        <v>1114</v>
      </c>
      <c r="B572" s="1" t="s">
        <v>1083</v>
      </c>
      <c r="C572" s="1" t="s">
        <v>1084</v>
      </c>
      <c r="D572" s="1" t="s">
        <v>1710</v>
      </c>
      <c r="E572" s="1" t="s">
        <v>578</v>
      </c>
      <c r="F572" s="1">
        <v>0.22500000000000001</v>
      </c>
      <c r="G572" s="1">
        <v>1.35E-2</v>
      </c>
      <c r="J572" s="1" t="s">
        <v>515</v>
      </c>
      <c r="AI572" s="757"/>
      <c r="AJ572" s="195"/>
      <c r="AK572" s="186"/>
      <c r="AL572" s="747"/>
      <c r="AM572" s="747"/>
      <c r="AN572" s="747"/>
      <c r="AO572" s="186"/>
      <c r="AP572" s="186"/>
      <c r="AQ572" s="12"/>
      <c r="AR572" s="11"/>
      <c r="AS572" s="186"/>
      <c r="AT572" s="747"/>
      <c r="AU572" s="747"/>
      <c r="AV572" s="747"/>
      <c r="AW572" s="186"/>
      <c r="AX572" s="186"/>
      <c r="AY572" s="12"/>
      <c r="AZ572" s="11" t="s">
        <v>2032</v>
      </c>
      <c r="BA572" s="186" t="s">
        <v>1710</v>
      </c>
      <c r="BB572" s="747" t="s">
        <v>618</v>
      </c>
      <c r="BC572" s="747" t="s">
        <v>254</v>
      </c>
      <c r="BD572" s="747" t="s">
        <v>2692</v>
      </c>
      <c r="BE572" s="186">
        <v>0.13500000000000001</v>
      </c>
      <c r="BF572" s="186">
        <v>3.0000000000000001E-3</v>
      </c>
      <c r="BG572" s="12">
        <v>2.58</v>
      </c>
      <c r="BH572" s="11"/>
      <c r="BI572" s="186"/>
      <c r="BJ572" s="747"/>
      <c r="BK572" s="747"/>
      <c r="BL572" s="747"/>
      <c r="BM572" s="186"/>
      <c r="BN572" s="186"/>
      <c r="BO572" s="12"/>
      <c r="BP572" s="11"/>
      <c r="BQ572" s="186"/>
      <c r="BR572" s="747"/>
      <c r="BS572" s="747"/>
      <c r="BT572" s="747"/>
      <c r="BU572" s="186"/>
      <c r="BV572" s="186"/>
      <c r="BW572" s="12"/>
    </row>
    <row r="573" spans="1:75">
      <c r="A573" s="1" t="s">
        <v>1115</v>
      </c>
      <c r="B573" s="1" t="s">
        <v>1083</v>
      </c>
      <c r="C573" s="1" t="s">
        <v>1084</v>
      </c>
      <c r="D573" s="1" t="s">
        <v>1710</v>
      </c>
      <c r="E573" s="1" t="s">
        <v>1716</v>
      </c>
      <c r="F573" s="1">
        <v>0.125</v>
      </c>
      <c r="G573" s="1">
        <v>7.4999999999999997E-3</v>
      </c>
      <c r="H573" s="1">
        <v>2.62</v>
      </c>
      <c r="I573" s="1" t="s">
        <v>691</v>
      </c>
      <c r="J573" s="1" t="s">
        <v>703</v>
      </c>
      <c r="AI573" s="757"/>
      <c r="AJ573" s="195"/>
      <c r="AK573" s="186"/>
      <c r="AL573" s="747"/>
      <c r="AM573" s="747"/>
      <c r="AN573" s="747"/>
      <c r="AO573" s="186"/>
      <c r="AP573" s="186"/>
      <c r="AQ573" s="12"/>
      <c r="AR573" s="11"/>
      <c r="AS573" s="186"/>
      <c r="AT573" s="747"/>
      <c r="AU573" s="747"/>
      <c r="AV573" s="747"/>
      <c r="AW573" s="186"/>
      <c r="AX573" s="186"/>
      <c r="AY573" s="12"/>
      <c r="AZ573" s="11" t="s">
        <v>2032</v>
      </c>
      <c r="BA573" s="186" t="s">
        <v>1710</v>
      </c>
      <c r="BB573" s="747" t="s">
        <v>619</v>
      </c>
      <c r="BC573" s="747" t="s">
        <v>254</v>
      </c>
      <c r="BD573" s="747" t="s">
        <v>2692</v>
      </c>
      <c r="BE573" s="186">
        <v>0.13500000000000001</v>
      </c>
      <c r="BF573" s="186">
        <v>3.0000000000000001E-3</v>
      </c>
      <c r="BG573" s="12">
        <v>2.58</v>
      </c>
      <c r="BH573" s="11"/>
      <c r="BI573" s="186"/>
      <c r="BJ573" s="747"/>
      <c r="BK573" s="747"/>
      <c r="BL573" s="747"/>
      <c r="BM573" s="186"/>
      <c r="BN573" s="186"/>
      <c r="BO573" s="12"/>
      <c r="BP573" s="11"/>
      <c r="BQ573" s="186"/>
      <c r="BR573" s="747"/>
      <c r="BS573" s="747"/>
      <c r="BT573" s="747"/>
      <c r="BU573" s="186"/>
      <c r="BV573" s="186"/>
      <c r="BW573" s="12"/>
    </row>
    <row r="574" spans="1:75">
      <c r="A574" s="1" t="s">
        <v>1116</v>
      </c>
      <c r="B574" s="1" t="s">
        <v>1083</v>
      </c>
      <c r="C574" s="1" t="s">
        <v>1084</v>
      </c>
      <c r="D574" s="1" t="s">
        <v>1710</v>
      </c>
      <c r="E574" s="1" t="s">
        <v>579</v>
      </c>
      <c r="F574" s="1">
        <v>0.125</v>
      </c>
      <c r="G574" s="1">
        <v>7.4999999999999997E-3</v>
      </c>
      <c r="J574" s="1" t="s">
        <v>990</v>
      </c>
      <c r="AI574" s="757"/>
      <c r="AJ574" s="195"/>
      <c r="AK574" s="186"/>
      <c r="AL574" s="747"/>
      <c r="AM574" s="747"/>
      <c r="AN574" s="747"/>
      <c r="AO574" s="186"/>
      <c r="AP574" s="186"/>
      <c r="AQ574" s="12"/>
      <c r="AR574" s="11"/>
      <c r="AS574" s="186"/>
      <c r="AT574" s="747"/>
      <c r="AU574" s="747"/>
      <c r="AV574" s="747"/>
      <c r="AW574" s="186"/>
      <c r="AX574" s="186"/>
      <c r="AY574" s="12"/>
      <c r="AZ574" s="11" t="s">
        <v>2032</v>
      </c>
      <c r="BA574" s="186" t="s">
        <v>1710</v>
      </c>
      <c r="BB574" s="747" t="s">
        <v>620</v>
      </c>
      <c r="BC574" s="747" t="s">
        <v>254</v>
      </c>
      <c r="BD574" s="747" t="s">
        <v>2692</v>
      </c>
      <c r="BE574" s="186">
        <v>0.13500000000000001</v>
      </c>
      <c r="BF574" s="186">
        <v>3.0000000000000001E-3</v>
      </c>
      <c r="BG574" s="12">
        <v>2.58</v>
      </c>
      <c r="BH574" s="11"/>
      <c r="BI574" s="186"/>
      <c r="BJ574" s="747"/>
      <c r="BK574" s="747"/>
      <c r="BL574" s="747"/>
      <c r="BM574" s="186"/>
      <c r="BN574" s="186"/>
      <c r="BO574" s="12"/>
      <c r="BP574" s="11"/>
      <c r="BQ574" s="186"/>
      <c r="BR574" s="747"/>
      <c r="BS574" s="747"/>
      <c r="BT574" s="747"/>
      <c r="BU574" s="186"/>
      <c r="BV574" s="186"/>
      <c r="BW574" s="12"/>
    </row>
    <row r="575" spans="1:75">
      <c r="A575" s="1" t="s">
        <v>1117</v>
      </c>
      <c r="B575" s="1" t="s">
        <v>1083</v>
      </c>
      <c r="C575" s="1" t="s">
        <v>1084</v>
      </c>
      <c r="D575" s="1" t="s">
        <v>1710</v>
      </c>
      <c r="E575" s="1" t="s">
        <v>1717</v>
      </c>
      <c r="F575" s="1">
        <v>0.125</v>
      </c>
      <c r="G575" s="1">
        <v>7.4999999999999997E-3</v>
      </c>
      <c r="H575" s="1">
        <v>2.62</v>
      </c>
      <c r="I575" s="1" t="s">
        <v>980</v>
      </c>
      <c r="J575" s="1" t="s">
        <v>517</v>
      </c>
      <c r="AI575" s="757"/>
      <c r="AJ575" s="195"/>
      <c r="AK575" s="186"/>
      <c r="AL575" s="747"/>
      <c r="AM575" s="747"/>
      <c r="AN575" s="747"/>
      <c r="AO575" s="186"/>
      <c r="AP575" s="186"/>
      <c r="AQ575" s="12"/>
      <c r="AR575" s="11"/>
      <c r="AS575" s="186"/>
      <c r="AT575" s="747"/>
      <c r="AU575" s="747"/>
      <c r="AV575" s="747"/>
      <c r="AW575" s="186"/>
      <c r="AX575" s="186"/>
      <c r="AY575" s="12"/>
      <c r="AZ575" s="11" t="s">
        <v>2032</v>
      </c>
      <c r="BA575" s="186" t="s">
        <v>1710</v>
      </c>
      <c r="BB575" s="747" t="s">
        <v>621</v>
      </c>
      <c r="BC575" s="747" t="s">
        <v>254</v>
      </c>
      <c r="BD575" s="747" t="s">
        <v>2692</v>
      </c>
      <c r="BE575" s="186">
        <v>0.13500000000000001</v>
      </c>
      <c r="BF575" s="186">
        <v>3.0000000000000001E-3</v>
      </c>
      <c r="BG575" s="12">
        <v>2.58</v>
      </c>
      <c r="BH575" s="11"/>
      <c r="BI575" s="186"/>
      <c r="BJ575" s="747"/>
      <c r="BK575" s="747"/>
      <c r="BL575" s="747"/>
      <c r="BM575" s="186"/>
      <c r="BN575" s="186"/>
      <c r="BO575" s="12"/>
      <c r="BP575" s="11"/>
      <c r="BQ575" s="186"/>
      <c r="BR575" s="747"/>
      <c r="BS575" s="747"/>
      <c r="BT575" s="747"/>
      <c r="BU575" s="186"/>
      <c r="BV575" s="186"/>
      <c r="BW575" s="12"/>
    </row>
    <row r="576" spans="1:75">
      <c r="A576" s="1" t="s">
        <v>1118</v>
      </c>
      <c r="B576" s="1" t="s">
        <v>1083</v>
      </c>
      <c r="C576" s="1" t="s">
        <v>1084</v>
      </c>
      <c r="D576" s="1" t="s">
        <v>1710</v>
      </c>
      <c r="E576" s="1" t="s">
        <v>580</v>
      </c>
      <c r="F576" s="1">
        <v>0.125</v>
      </c>
      <c r="G576" s="1">
        <v>7.4999999999999997E-3</v>
      </c>
      <c r="J576" s="1" t="s">
        <v>517</v>
      </c>
      <c r="AI576" s="757"/>
      <c r="AJ576" s="195"/>
      <c r="AK576" s="186"/>
      <c r="AL576" s="747"/>
      <c r="AM576" s="747"/>
      <c r="AN576" s="747"/>
      <c r="AO576" s="186"/>
      <c r="AP576" s="186"/>
      <c r="AQ576" s="12"/>
      <c r="AR576" s="11"/>
      <c r="AS576" s="186"/>
      <c r="AT576" s="747"/>
      <c r="AU576" s="747"/>
      <c r="AV576" s="747"/>
      <c r="AW576" s="186"/>
      <c r="AX576" s="186"/>
      <c r="AY576" s="12"/>
      <c r="AZ576" s="11" t="s">
        <v>2032</v>
      </c>
      <c r="BA576" s="186" t="s">
        <v>1710</v>
      </c>
      <c r="BB576" s="747" t="s">
        <v>622</v>
      </c>
      <c r="BC576" s="747" t="s">
        <v>559</v>
      </c>
      <c r="BD576" s="747" t="s">
        <v>2692</v>
      </c>
      <c r="BE576" s="186">
        <v>0.15</v>
      </c>
      <c r="BF576" s="186">
        <v>2.7000000000000001E-3</v>
      </c>
      <c r="BG576" s="12">
        <v>2.58</v>
      </c>
      <c r="BH576" s="11"/>
      <c r="BI576" s="186"/>
      <c r="BJ576" s="747"/>
      <c r="BK576" s="747"/>
      <c r="BL576" s="747"/>
      <c r="BM576" s="186"/>
      <c r="BN576" s="186"/>
      <c r="BO576" s="12"/>
      <c r="BP576" s="11"/>
      <c r="BQ576" s="186"/>
      <c r="BR576" s="747"/>
      <c r="BS576" s="747"/>
      <c r="BT576" s="747"/>
      <c r="BU576" s="186"/>
      <c r="BV576" s="186"/>
      <c r="BW576" s="12"/>
    </row>
    <row r="577" spans="1:75">
      <c r="A577" s="1" t="s">
        <v>1119</v>
      </c>
      <c r="B577" s="1" t="s">
        <v>1083</v>
      </c>
      <c r="C577" s="1" t="s">
        <v>1084</v>
      </c>
      <c r="D577" s="1" t="s">
        <v>1710</v>
      </c>
      <c r="E577" s="1" t="s">
        <v>1718</v>
      </c>
      <c r="F577" s="1">
        <v>6.25E-2</v>
      </c>
      <c r="G577" s="1">
        <v>3.7499999999999999E-3</v>
      </c>
      <c r="H577" s="1">
        <v>2.62</v>
      </c>
      <c r="I577" s="1" t="s">
        <v>691</v>
      </c>
      <c r="J577" s="1" t="s">
        <v>994</v>
      </c>
      <c r="AI577" s="757"/>
      <c r="AJ577" s="195"/>
      <c r="AK577" s="186"/>
      <c r="AL577" s="747"/>
      <c r="AM577" s="747"/>
      <c r="AN577" s="747"/>
      <c r="AO577" s="186"/>
      <c r="AP577" s="186"/>
      <c r="AQ577" s="12"/>
      <c r="AR577" s="11"/>
      <c r="AS577" s="186"/>
      <c r="AT577" s="747"/>
      <c r="AU577" s="747"/>
      <c r="AV577" s="747"/>
      <c r="AW577" s="186"/>
      <c r="AX577" s="186"/>
      <c r="AY577" s="12"/>
      <c r="AZ577" s="11" t="s">
        <v>2032</v>
      </c>
      <c r="BA577" s="186" t="s">
        <v>1710</v>
      </c>
      <c r="BB577" s="747" t="s">
        <v>623</v>
      </c>
      <c r="BC577" s="747" t="s">
        <v>559</v>
      </c>
      <c r="BD577" s="747" t="s">
        <v>2692</v>
      </c>
      <c r="BE577" s="186">
        <v>0.15</v>
      </c>
      <c r="BF577" s="186">
        <v>2.7000000000000001E-3</v>
      </c>
      <c r="BG577" s="12">
        <v>2.58</v>
      </c>
      <c r="BH577" s="11"/>
      <c r="BI577" s="186"/>
      <c r="BJ577" s="747"/>
      <c r="BK577" s="747"/>
      <c r="BL577" s="747"/>
      <c r="BM577" s="186"/>
      <c r="BN577" s="186"/>
      <c r="BO577" s="12"/>
      <c r="BP577" s="11"/>
      <c r="BQ577" s="186"/>
      <c r="BR577" s="747"/>
      <c r="BS577" s="747"/>
      <c r="BT577" s="747"/>
      <c r="BU577" s="186"/>
      <c r="BV577" s="186"/>
      <c r="BW577" s="12"/>
    </row>
    <row r="578" spans="1:75">
      <c r="A578" s="1" t="s">
        <v>1120</v>
      </c>
      <c r="B578" s="1" t="s">
        <v>1083</v>
      </c>
      <c r="C578" s="1" t="s">
        <v>1084</v>
      </c>
      <c r="D578" s="1" t="s">
        <v>1710</v>
      </c>
      <c r="E578" s="1" t="s">
        <v>581</v>
      </c>
      <c r="F578" s="1">
        <v>6.3E-2</v>
      </c>
      <c r="G578" s="1">
        <v>3.7499999999999999E-3</v>
      </c>
      <c r="J578" s="1" t="s">
        <v>1121</v>
      </c>
      <c r="AI578" s="757"/>
      <c r="AJ578" s="195"/>
      <c r="AK578" s="186"/>
      <c r="AL578" s="747"/>
      <c r="AM578" s="747"/>
      <c r="AN578" s="747"/>
      <c r="AO578" s="186"/>
      <c r="AP578" s="186"/>
      <c r="AQ578" s="12"/>
      <c r="AR578" s="11"/>
      <c r="AS578" s="186"/>
      <c r="AT578" s="747"/>
      <c r="AU578" s="747"/>
      <c r="AV578" s="747"/>
      <c r="AW578" s="186"/>
      <c r="AX578" s="186"/>
      <c r="AY578" s="12"/>
      <c r="AZ578" s="11" t="s">
        <v>2032</v>
      </c>
      <c r="BA578" s="186" t="s">
        <v>1710</v>
      </c>
      <c r="BB578" s="747" t="s">
        <v>631</v>
      </c>
      <c r="BC578" s="747" t="s">
        <v>559</v>
      </c>
      <c r="BD578" s="747" t="s">
        <v>2692</v>
      </c>
      <c r="BE578" s="186">
        <v>0.15</v>
      </c>
      <c r="BF578" s="186">
        <v>2.7000000000000001E-3</v>
      </c>
      <c r="BG578" s="12">
        <v>2.58</v>
      </c>
      <c r="BH578" s="11"/>
      <c r="BI578" s="186"/>
      <c r="BJ578" s="747"/>
      <c r="BK578" s="747"/>
      <c r="BL578" s="747"/>
      <c r="BM578" s="186"/>
      <c r="BN578" s="186"/>
      <c r="BO578" s="12"/>
      <c r="BP578" s="11"/>
      <c r="BQ578" s="186"/>
      <c r="BR578" s="747"/>
      <c r="BS578" s="747"/>
      <c r="BT578" s="747"/>
      <c r="BU578" s="186"/>
      <c r="BV578" s="186"/>
      <c r="BW578" s="12"/>
    </row>
    <row r="579" spans="1:75">
      <c r="A579" s="1" t="s">
        <v>1122</v>
      </c>
      <c r="B579" s="1" t="s">
        <v>1083</v>
      </c>
      <c r="C579" s="1" t="s">
        <v>1084</v>
      </c>
      <c r="D579" s="1" t="s">
        <v>1710</v>
      </c>
      <c r="E579" s="1" t="s">
        <v>1719</v>
      </c>
      <c r="F579" s="1">
        <v>6.25E-2</v>
      </c>
      <c r="G579" s="1">
        <v>3.7499999999999999E-3</v>
      </c>
      <c r="H579" s="1">
        <v>2.62</v>
      </c>
      <c r="I579" s="1" t="s">
        <v>980</v>
      </c>
      <c r="J579" s="1" t="s">
        <v>997</v>
      </c>
      <c r="AI579" s="757"/>
      <c r="AJ579" s="195"/>
      <c r="AK579" s="186"/>
      <c r="AL579" s="747"/>
      <c r="AM579" s="747"/>
      <c r="AN579" s="747"/>
      <c r="AO579" s="186"/>
      <c r="AP579" s="186"/>
      <c r="AQ579" s="12"/>
      <c r="AR579" s="11"/>
      <c r="AS579" s="186"/>
      <c r="AT579" s="747"/>
      <c r="AU579" s="747"/>
      <c r="AV579" s="747"/>
      <c r="AW579" s="186"/>
      <c r="AX579" s="186"/>
      <c r="AY579" s="12"/>
      <c r="AZ579" s="11" t="s">
        <v>2032</v>
      </c>
      <c r="BA579" s="186" t="s">
        <v>1710</v>
      </c>
      <c r="BB579" s="747" t="s">
        <v>624</v>
      </c>
      <c r="BC579" s="747" t="s">
        <v>559</v>
      </c>
      <c r="BD579" s="747" t="s">
        <v>2692</v>
      </c>
      <c r="BE579" s="186">
        <v>0.15</v>
      </c>
      <c r="BF579" s="186">
        <v>2.7000000000000001E-3</v>
      </c>
      <c r="BG579" s="12">
        <v>2.58</v>
      </c>
      <c r="BH579" s="11"/>
      <c r="BI579" s="186"/>
      <c r="BJ579" s="747"/>
      <c r="BK579" s="747"/>
      <c r="BL579" s="747"/>
      <c r="BM579" s="186"/>
      <c r="BN579" s="186"/>
      <c r="BO579" s="12"/>
      <c r="BP579" s="11"/>
      <c r="BQ579" s="186"/>
      <c r="BR579" s="747"/>
      <c r="BS579" s="747"/>
      <c r="BT579" s="747"/>
      <c r="BU579" s="186"/>
      <c r="BV579" s="186"/>
      <c r="BW579" s="12"/>
    </row>
    <row r="580" spans="1:75">
      <c r="A580" s="1" t="s">
        <v>1123</v>
      </c>
      <c r="B580" s="1" t="s">
        <v>1083</v>
      </c>
      <c r="C580" s="1" t="s">
        <v>1084</v>
      </c>
      <c r="D580" s="1" t="s">
        <v>1710</v>
      </c>
      <c r="E580" s="1" t="s">
        <v>582</v>
      </c>
      <c r="F580" s="1">
        <v>6.3E-2</v>
      </c>
      <c r="G580" s="1">
        <v>3.7499999999999999E-3</v>
      </c>
      <c r="J580" s="1" t="s">
        <v>997</v>
      </c>
      <c r="AI580" s="757"/>
      <c r="AJ580" s="195"/>
      <c r="AK580" s="186"/>
      <c r="AL580" s="747"/>
      <c r="AM580" s="747"/>
      <c r="AN580" s="747"/>
      <c r="AO580" s="186"/>
      <c r="AP580" s="186"/>
      <c r="AQ580" s="12"/>
      <c r="AR580" s="11"/>
      <c r="AS580" s="186"/>
      <c r="AT580" s="747"/>
      <c r="AU580" s="747"/>
      <c r="AV580" s="747"/>
      <c r="AW580" s="186"/>
      <c r="AX580" s="186"/>
      <c r="AY580" s="12"/>
      <c r="AZ580" s="11" t="s">
        <v>2032</v>
      </c>
      <c r="BA580" s="186" t="s">
        <v>523</v>
      </c>
      <c r="BB580" s="747" t="s">
        <v>625</v>
      </c>
      <c r="BC580" s="747" t="s">
        <v>1730</v>
      </c>
      <c r="BD580" s="747" t="s">
        <v>248</v>
      </c>
      <c r="BE580" s="186">
        <v>0.05</v>
      </c>
      <c r="BF580" s="186">
        <v>1E-3</v>
      </c>
      <c r="BG580" s="12">
        <v>2.58</v>
      </c>
      <c r="BH580" s="11"/>
      <c r="BI580" s="186"/>
      <c r="BJ580" s="747"/>
      <c r="BK580" s="747"/>
      <c r="BL580" s="747"/>
      <c r="BM580" s="186"/>
      <c r="BN580" s="186"/>
      <c r="BO580" s="12"/>
      <c r="BP580" s="11"/>
      <c r="BQ580" s="186"/>
      <c r="BR580" s="747"/>
      <c r="BS580" s="747"/>
      <c r="BT580" s="747"/>
      <c r="BU580" s="186"/>
      <c r="BV580" s="186"/>
      <c r="BW580" s="12"/>
    </row>
    <row r="581" spans="1:75">
      <c r="A581" s="1" t="s">
        <v>1124</v>
      </c>
      <c r="B581" s="1" t="s">
        <v>1083</v>
      </c>
      <c r="C581" s="1" t="s">
        <v>1084</v>
      </c>
      <c r="D581" s="1" t="s">
        <v>1710</v>
      </c>
      <c r="E581" s="1" t="s">
        <v>583</v>
      </c>
      <c r="F581" s="1">
        <v>0.22500000000000001</v>
      </c>
      <c r="G581" s="1">
        <v>1.4999999999999999E-2</v>
      </c>
      <c r="J581" s="1" t="s">
        <v>1000</v>
      </c>
      <c r="AI581" s="757"/>
      <c r="AJ581" s="195"/>
      <c r="AK581" s="186"/>
      <c r="AL581" s="747"/>
      <c r="AM581" s="747"/>
      <c r="AN581" s="747"/>
      <c r="AO581" s="186"/>
      <c r="AP581" s="186"/>
      <c r="AQ581" s="12"/>
      <c r="AR581" s="11"/>
      <c r="AS581" s="186"/>
      <c r="AT581" s="747"/>
      <c r="AU581" s="747"/>
      <c r="AV581" s="747"/>
      <c r="AW581" s="186"/>
      <c r="AX581" s="186"/>
      <c r="AY581" s="12"/>
      <c r="AZ581" s="11" t="s">
        <v>2032</v>
      </c>
      <c r="BA581" s="186" t="s">
        <v>523</v>
      </c>
      <c r="BB581" s="747" t="s">
        <v>626</v>
      </c>
      <c r="BC581" s="747" t="s">
        <v>1730</v>
      </c>
      <c r="BD581" s="747" t="s">
        <v>248</v>
      </c>
      <c r="BE581" s="186">
        <v>0.05</v>
      </c>
      <c r="BF581" s="186">
        <v>1E-3</v>
      </c>
      <c r="BG581" s="12">
        <v>2.58</v>
      </c>
      <c r="BH581" s="11"/>
      <c r="BI581" s="186"/>
      <c r="BJ581" s="747"/>
      <c r="BK581" s="747"/>
      <c r="BL581" s="747"/>
      <c r="BM581" s="186"/>
      <c r="BN581" s="186"/>
      <c r="BO581" s="12"/>
      <c r="BP581" s="11"/>
      <c r="BQ581" s="186"/>
      <c r="BR581" s="747"/>
      <c r="BS581" s="747"/>
      <c r="BT581" s="747"/>
      <c r="BU581" s="186"/>
      <c r="BV581" s="186"/>
      <c r="BW581" s="12"/>
    </row>
    <row r="582" spans="1:75">
      <c r="A582" s="1" t="s">
        <v>1125</v>
      </c>
      <c r="B582" s="1" t="s">
        <v>1083</v>
      </c>
      <c r="C582" s="1" t="s">
        <v>1084</v>
      </c>
      <c r="D582" s="1" t="s">
        <v>1710</v>
      </c>
      <c r="E582" s="1" t="s">
        <v>584</v>
      </c>
      <c r="F582" s="1">
        <v>0.22500000000000001</v>
      </c>
      <c r="G582" s="1">
        <v>1.4999999999999999E-2</v>
      </c>
      <c r="J582" s="1" t="s">
        <v>1000</v>
      </c>
      <c r="AI582" s="757"/>
      <c r="AJ582" s="195"/>
      <c r="AK582" s="186"/>
      <c r="AL582" s="747"/>
      <c r="AM582" s="747"/>
      <c r="AN582" s="747"/>
      <c r="AO582" s="186"/>
      <c r="AP582" s="186"/>
      <c r="AQ582" s="12"/>
      <c r="AR582" s="11"/>
      <c r="AS582" s="186"/>
      <c r="AT582" s="747"/>
      <c r="AU582" s="747"/>
      <c r="AV582" s="747"/>
      <c r="AW582" s="186"/>
      <c r="AX582" s="186"/>
      <c r="AY582" s="12"/>
      <c r="AZ582" s="11" t="s">
        <v>2032</v>
      </c>
      <c r="BA582" s="186" t="s">
        <v>523</v>
      </c>
      <c r="BB582" s="747" t="s">
        <v>627</v>
      </c>
      <c r="BC582" s="747" t="s">
        <v>1730</v>
      </c>
      <c r="BD582" s="747" t="s">
        <v>248</v>
      </c>
      <c r="BE582" s="186">
        <v>2.5000000000000001E-2</v>
      </c>
      <c r="BF582" s="186">
        <v>5.0000000000000001E-4</v>
      </c>
      <c r="BG582" s="12">
        <v>2.58</v>
      </c>
      <c r="BH582" s="11"/>
      <c r="BI582" s="186"/>
      <c r="BJ582" s="747"/>
      <c r="BK582" s="747"/>
      <c r="BL582" s="747"/>
      <c r="BM582" s="186"/>
      <c r="BN582" s="186"/>
      <c r="BO582" s="12"/>
      <c r="BP582" s="11"/>
      <c r="BQ582" s="186"/>
      <c r="BR582" s="747"/>
      <c r="BS582" s="747"/>
      <c r="BT582" s="747"/>
      <c r="BU582" s="186"/>
      <c r="BV582" s="186"/>
      <c r="BW582" s="12"/>
    </row>
    <row r="583" spans="1:75">
      <c r="A583" s="1" t="s">
        <v>1126</v>
      </c>
      <c r="B583" s="1" t="s">
        <v>1083</v>
      </c>
      <c r="C583" s="1" t="s">
        <v>1084</v>
      </c>
      <c r="D583" s="1" t="s">
        <v>1710</v>
      </c>
      <c r="E583" s="1" t="s">
        <v>585</v>
      </c>
      <c r="F583" s="1">
        <v>0.22500000000000001</v>
      </c>
      <c r="G583" s="1">
        <v>1.4999999999999999E-2</v>
      </c>
      <c r="J583" s="1" t="s">
        <v>518</v>
      </c>
      <c r="AI583" s="757"/>
      <c r="AJ583" s="195"/>
      <c r="AK583" s="186"/>
      <c r="AL583" s="747"/>
      <c r="AM583" s="747"/>
      <c r="AN583" s="747"/>
      <c r="AO583" s="186"/>
      <c r="AP583" s="186"/>
      <c r="AQ583" s="12"/>
      <c r="AR583" s="11"/>
      <c r="AS583" s="186"/>
      <c r="AT583" s="747"/>
      <c r="AU583" s="747"/>
      <c r="AV583" s="747"/>
      <c r="AW583" s="186"/>
      <c r="AX583" s="186"/>
      <c r="AY583" s="12"/>
      <c r="AZ583" s="11" t="s">
        <v>2032</v>
      </c>
      <c r="BA583" s="186" t="s">
        <v>523</v>
      </c>
      <c r="BB583" s="747" t="s">
        <v>628</v>
      </c>
      <c r="BC583" s="747" t="s">
        <v>1730</v>
      </c>
      <c r="BD583" s="747" t="s">
        <v>248</v>
      </c>
      <c r="BE583" s="186">
        <v>2.5000000000000001E-2</v>
      </c>
      <c r="BF583" s="186">
        <v>5.0000000000000001E-4</v>
      </c>
      <c r="BG583" s="12">
        <v>2.58</v>
      </c>
      <c r="BH583" s="11"/>
      <c r="BI583" s="186"/>
      <c r="BJ583" s="747"/>
      <c r="BK583" s="747"/>
      <c r="BL583" s="747"/>
      <c r="BM583" s="186"/>
      <c r="BN583" s="186"/>
      <c r="BO583" s="12"/>
      <c r="BP583" s="11"/>
      <c r="BQ583" s="186"/>
      <c r="BR583" s="747"/>
      <c r="BS583" s="747"/>
      <c r="BT583" s="747"/>
      <c r="BU583" s="186"/>
      <c r="BV583" s="186"/>
      <c r="BW583" s="12"/>
    </row>
    <row r="584" spans="1:75">
      <c r="A584" s="1" t="s">
        <v>1127</v>
      </c>
      <c r="B584" s="1" t="s">
        <v>1083</v>
      </c>
      <c r="C584" s="1" t="s">
        <v>1084</v>
      </c>
      <c r="D584" s="1" t="s">
        <v>1710</v>
      </c>
      <c r="E584" s="1" t="s">
        <v>586</v>
      </c>
      <c r="F584" s="1">
        <v>0.22500000000000001</v>
      </c>
      <c r="G584" s="1">
        <v>1.4999999999999999E-2</v>
      </c>
      <c r="J584" s="1" t="s">
        <v>518</v>
      </c>
      <c r="AI584" s="757"/>
      <c r="AJ584" s="195"/>
      <c r="AK584" s="186"/>
      <c r="AL584" s="747"/>
      <c r="AM584" s="747"/>
      <c r="AN584" s="747"/>
      <c r="AO584" s="186"/>
      <c r="AP584" s="186"/>
      <c r="AQ584" s="12"/>
      <c r="AR584" s="11"/>
      <c r="AS584" s="186"/>
      <c r="AT584" s="747"/>
      <c r="AU584" s="747"/>
      <c r="AV584" s="747"/>
      <c r="AW584" s="186"/>
      <c r="AX584" s="186"/>
      <c r="AY584" s="12"/>
      <c r="AZ584" s="11" t="s">
        <v>2032</v>
      </c>
      <c r="BA584" s="186" t="s">
        <v>523</v>
      </c>
      <c r="BB584" s="747" t="s">
        <v>629</v>
      </c>
      <c r="BC584" s="747" t="s">
        <v>519</v>
      </c>
      <c r="BD584" s="747" t="s">
        <v>248</v>
      </c>
      <c r="BE584" s="186">
        <v>2.5000000000000001E-2</v>
      </c>
      <c r="BF584" s="186">
        <v>5.0000000000000001E-4</v>
      </c>
      <c r="BG584" s="12">
        <v>2.58</v>
      </c>
      <c r="BH584" s="11"/>
      <c r="BI584" s="186"/>
      <c r="BJ584" s="747"/>
      <c r="BK584" s="747"/>
      <c r="BL584" s="747"/>
      <c r="BM584" s="186"/>
      <c r="BN584" s="186"/>
      <c r="BO584" s="12"/>
      <c r="BP584" s="11"/>
      <c r="BQ584" s="186"/>
      <c r="BR584" s="747"/>
      <c r="BS584" s="747"/>
      <c r="BT584" s="747"/>
      <c r="BU584" s="186"/>
      <c r="BV584" s="186"/>
      <c r="BW584" s="12"/>
    </row>
    <row r="585" spans="1:75">
      <c r="A585" s="1" t="s">
        <v>1128</v>
      </c>
      <c r="B585" s="1" t="s">
        <v>1083</v>
      </c>
      <c r="C585" s="1" t="s">
        <v>1084</v>
      </c>
      <c r="D585" s="1" t="s">
        <v>1710</v>
      </c>
      <c r="E585" s="1" t="s">
        <v>587</v>
      </c>
      <c r="F585" s="1">
        <v>0.25</v>
      </c>
      <c r="G585" s="1">
        <v>1.35E-2</v>
      </c>
      <c r="J585" s="1" t="s">
        <v>1005</v>
      </c>
      <c r="AI585" s="757"/>
      <c r="AJ585" s="195"/>
      <c r="AK585" s="186"/>
      <c r="AL585" s="747"/>
      <c r="AM585" s="747"/>
      <c r="AN585" s="747"/>
      <c r="AO585" s="186"/>
      <c r="AP585" s="186"/>
      <c r="AQ585" s="12"/>
      <c r="AR585" s="11"/>
      <c r="AS585" s="186"/>
      <c r="AT585" s="747"/>
      <c r="AU585" s="747"/>
      <c r="AV585" s="747"/>
      <c r="AW585" s="186"/>
      <c r="AX585" s="186"/>
      <c r="AY585" s="12"/>
      <c r="AZ585" s="11" t="s">
        <v>2032</v>
      </c>
      <c r="BA585" s="186" t="s">
        <v>523</v>
      </c>
      <c r="BB585" s="747" t="s">
        <v>1477</v>
      </c>
      <c r="BC585" s="747" t="s">
        <v>519</v>
      </c>
      <c r="BD585" s="747" t="s">
        <v>248</v>
      </c>
      <c r="BE585" s="186">
        <v>2.5000000000000001E-2</v>
      </c>
      <c r="BF585" s="186">
        <v>5.0000000000000001E-4</v>
      </c>
      <c r="BG585" s="12">
        <v>2.58</v>
      </c>
      <c r="BH585" s="11"/>
      <c r="BI585" s="186"/>
      <c r="BJ585" s="747"/>
      <c r="BK585" s="747"/>
      <c r="BL585" s="747"/>
      <c r="BM585" s="186"/>
      <c r="BN585" s="186"/>
      <c r="BO585" s="12"/>
      <c r="BP585" s="11"/>
      <c r="BQ585" s="186"/>
      <c r="BR585" s="747"/>
      <c r="BS585" s="747"/>
      <c r="BT585" s="747"/>
      <c r="BU585" s="186"/>
      <c r="BV585" s="186"/>
      <c r="BW585" s="12"/>
    </row>
    <row r="586" spans="1:75">
      <c r="A586" s="1" t="s">
        <v>1129</v>
      </c>
      <c r="B586" s="1" t="s">
        <v>1083</v>
      </c>
      <c r="C586" s="1" t="s">
        <v>1084</v>
      </c>
      <c r="D586" s="1" t="s">
        <v>1710</v>
      </c>
      <c r="E586" s="1" t="s">
        <v>588</v>
      </c>
      <c r="F586" s="1">
        <v>0.25</v>
      </c>
      <c r="G586" s="1">
        <v>1.35E-2</v>
      </c>
      <c r="J586" s="1" t="s">
        <v>1005</v>
      </c>
      <c r="AI586" s="757"/>
      <c r="AJ586" s="195"/>
      <c r="AK586" s="186"/>
      <c r="AL586" s="747"/>
      <c r="AM586" s="747"/>
      <c r="AN586" s="747"/>
      <c r="AO586" s="186"/>
      <c r="AP586" s="186"/>
      <c r="AQ586" s="12"/>
      <c r="AR586" s="11"/>
      <c r="AS586" s="186"/>
      <c r="AT586" s="747"/>
      <c r="AU586" s="747"/>
      <c r="AV586" s="747"/>
      <c r="AW586" s="186"/>
      <c r="AX586" s="186"/>
      <c r="AY586" s="12"/>
      <c r="AZ586" s="11" t="s">
        <v>2032</v>
      </c>
      <c r="BA586" s="186" t="s">
        <v>523</v>
      </c>
      <c r="BB586" s="747" t="s">
        <v>1478</v>
      </c>
      <c r="BC586" s="747" t="s">
        <v>519</v>
      </c>
      <c r="BD586" s="747" t="s">
        <v>248</v>
      </c>
      <c r="BE586" s="186">
        <v>2.5000000000000001E-2</v>
      </c>
      <c r="BF586" s="186">
        <v>5.0000000000000001E-4</v>
      </c>
      <c r="BG586" s="12">
        <v>2.58</v>
      </c>
      <c r="BH586" s="11"/>
      <c r="BI586" s="186"/>
      <c r="BJ586" s="747"/>
      <c r="BK586" s="747"/>
      <c r="BL586" s="747"/>
      <c r="BM586" s="186"/>
      <c r="BN586" s="186"/>
      <c r="BO586" s="12"/>
      <c r="BP586" s="11"/>
      <c r="BQ586" s="186"/>
      <c r="BR586" s="747"/>
      <c r="BS586" s="747"/>
      <c r="BT586" s="747"/>
      <c r="BU586" s="186"/>
      <c r="BV586" s="186"/>
      <c r="BW586" s="12"/>
    </row>
    <row r="587" spans="1:75">
      <c r="A587" s="1" t="s">
        <v>1130</v>
      </c>
      <c r="B587" s="1" t="s">
        <v>1083</v>
      </c>
      <c r="C587" s="1" t="s">
        <v>1084</v>
      </c>
      <c r="D587" s="1" t="s">
        <v>1710</v>
      </c>
      <c r="E587" s="1" t="s">
        <v>589</v>
      </c>
      <c r="F587" s="1">
        <v>0.25</v>
      </c>
      <c r="G587" s="1">
        <v>1.35E-2</v>
      </c>
      <c r="J587" s="1" t="s">
        <v>559</v>
      </c>
      <c r="AI587" s="757"/>
      <c r="AJ587" s="195"/>
      <c r="AK587" s="186"/>
      <c r="AL587" s="747"/>
      <c r="AM587" s="747"/>
      <c r="AN587" s="747"/>
      <c r="AO587" s="186"/>
      <c r="AP587" s="186"/>
      <c r="AQ587" s="12"/>
      <c r="AR587" s="11"/>
      <c r="AS587" s="186"/>
      <c r="AT587" s="747"/>
      <c r="AU587" s="747"/>
      <c r="AV587" s="747"/>
      <c r="AW587" s="186"/>
      <c r="AX587" s="186"/>
      <c r="AY587" s="12"/>
      <c r="AZ587" s="11" t="s">
        <v>2032</v>
      </c>
      <c r="BA587" s="186" t="s">
        <v>523</v>
      </c>
      <c r="BB587" s="747" t="s">
        <v>1479</v>
      </c>
      <c r="BC587" s="747" t="s">
        <v>519</v>
      </c>
      <c r="BD587" s="747" t="s">
        <v>248</v>
      </c>
      <c r="BE587" s="186">
        <v>2.5000000000000001E-2</v>
      </c>
      <c r="BF587" s="186">
        <v>5.0000000000000001E-4</v>
      </c>
      <c r="BG587" s="12">
        <v>2.58</v>
      </c>
      <c r="BH587" s="11"/>
      <c r="BI587" s="186"/>
      <c r="BJ587" s="747"/>
      <c r="BK587" s="747"/>
      <c r="BL587" s="747"/>
      <c r="BM587" s="186"/>
      <c r="BN587" s="186"/>
      <c r="BO587" s="12"/>
      <c r="BP587" s="11"/>
      <c r="BQ587" s="186"/>
      <c r="BR587" s="747"/>
      <c r="BS587" s="747"/>
      <c r="BT587" s="747"/>
      <c r="BU587" s="186"/>
      <c r="BV587" s="186"/>
      <c r="BW587" s="12"/>
    </row>
    <row r="588" spans="1:75">
      <c r="A588" s="1" t="s">
        <v>1131</v>
      </c>
      <c r="B588" s="1" t="s">
        <v>1083</v>
      </c>
      <c r="C588" s="1" t="s">
        <v>1084</v>
      </c>
      <c r="D588" s="1" t="s">
        <v>1710</v>
      </c>
      <c r="E588" s="1" t="s">
        <v>590</v>
      </c>
      <c r="F588" s="1">
        <v>0.25</v>
      </c>
      <c r="G588" s="1">
        <v>1.35E-2</v>
      </c>
      <c r="J588" s="1" t="s">
        <v>559</v>
      </c>
      <c r="AI588" s="757"/>
      <c r="AJ588" s="195"/>
      <c r="AK588" s="186"/>
      <c r="AL588" s="747"/>
      <c r="AM588" s="747"/>
      <c r="AN588" s="747"/>
      <c r="AO588" s="186"/>
      <c r="AP588" s="186"/>
      <c r="AQ588" s="12"/>
      <c r="AR588" s="11"/>
      <c r="AS588" s="186"/>
      <c r="AT588" s="747"/>
      <c r="AU588" s="747"/>
      <c r="AV588" s="747"/>
      <c r="AW588" s="186"/>
      <c r="AX588" s="186"/>
      <c r="AY588" s="12"/>
      <c r="AZ588" s="11" t="s">
        <v>2032</v>
      </c>
      <c r="BA588" s="186" t="s">
        <v>523</v>
      </c>
      <c r="BB588" s="747" t="s">
        <v>1480</v>
      </c>
      <c r="BC588" s="747" t="s">
        <v>520</v>
      </c>
      <c r="BD588" s="747" t="s">
        <v>248</v>
      </c>
      <c r="BE588" s="186">
        <v>1.2500000000000001E-2</v>
      </c>
      <c r="BF588" s="186">
        <v>2.5000000000000001E-4</v>
      </c>
      <c r="BG588" s="12">
        <v>2.58</v>
      </c>
      <c r="BH588" s="11"/>
      <c r="BI588" s="186"/>
      <c r="BJ588" s="747"/>
      <c r="BK588" s="747"/>
      <c r="BL588" s="747"/>
      <c r="BM588" s="186"/>
      <c r="BN588" s="186"/>
      <c r="BO588" s="12"/>
      <c r="BP588" s="11"/>
      <c r="BQ588" s="186"/>
      <c r="BR588" s="747"/>
      <c r="BS588" s="747"/>
      <c r="BT588" s="747"/>
      <c r="BU588" s="186"/>
      <c r="BV588" s="186"/>
      <c r="BW588" s="12"/>
    </row>
    <row r="589" spans="1:75">
      <c r="A589" s="1" t="s">
        <v>1132</v>
      </c>
      <c r="B589" s="1" t="s">
        <v>1083</v>
      </c>
      <c r="C589" s="1" t="s">
        <v>1084</v>
      </c>
      <c r="D589" s="1" t="s">
        <v>523</v>
      </c>
      <c r="E589" s="1" t="s">
        <v>596</v>
      </c>
      <c r="F589" s="1">
        <v>0.15</v>
      </c>
      <c r="G589" s="1">
        <v>7.0000000000000001E-3</v>
      </c>
      <c r="AI589" s="757"/>
      <c r="AJ589" s="195"/>
      <c r="AK589" s="186"/>
      <c r="AL589" s="747"/>
      <c r="AM589" s="747"/>
      <c r="AN589" s="747"/>
      <c r="AO589" s="186"/>
      <c r="AP589" s="186"/>
      <c r="AQ589" s="12"/>
      <c r="AR589" s="11"/>
      <c r="AS589" s="186"/>
      <c r="AT589" s="747"/>
      <c r="AU589" s="747"/>
      <c r="AV589" s="747"/>
      <c r="AW589" s="186"/>
      <c r="AX589" s="186"/>
      <c r="AY589" s="12"/>
      <c r="AZ589" s="11" t="s">
        <v>2032</v>
      </c>
      <c r="BA589" s="186" t="s">
        <v>523</v>
      </c>
      <c r="BB589" s="747" t="s">
        <v>1481</v>
      </c>
      <c r="BC589" s="747" t="s">
        <v>520</v>
      </c>
      <c r="BD589" s="747" t="s">
        <v>248</v>
      </c>
      <c r="BE589" s="186">
        <v>1.2500000000000001E-2</v>
      </c>
      <c r="BF589" s="186">
        <v>2.5000000000000001E-4</v>
      </c>
      <c r="BG589" s="12">
        <v>2.58</v>
      </c>
      <c r="BH589" s="11"/>
      <c r="BI589" s="186"/>
      <c r="BJ589" s="747"/>
      <c r="BK589" s="747"/>
      <c r="BL589" s="747"/>
      <c r="BM589" s="186"/>
      <c r="BN589" s="186"/>
      <c r="BO589" s="12"/>
      <c r="BP589" s="11"/>
      <c r="BQ589" s="186"/>
      <c r="BR589" s="747"/>
      <c r="BS589" s="747"/>
      <c r="BT589" s="747"/>
      <c r="BU589" s="186"/>
      <c r="BV589" s="186"/>
      <c r="BW589" s="12"/>
    </row>
    <row r="590" spans="1:75">
      <c r="A590" s="1" t="s">
        <v>1133</v>
      </c>
      <c r="B590" s="1" t="s">
        <v>1083</v>
      </c>
      <c r="C590" s="1" t="s">
        <v>1084</v>
      </c>
      <c r="D590" s="1" t="s">
        <v>523</v>
      </c>
      <c r="E590" s="1" t="s">
        <v>597</v>
      </c>
      <c r="F590" s="1">
        <v>0.15</v>
      </c>
      <c r="G590" s="1">
        <v>7.0000000000000001E-3</v>
      </c>
      <c r="AI590" s="757"/>
      <c r="AJ590" s="195"/>
      <c r="AK590" s="186"/>
      <c r="AL590" s="747"/>
      <c r="AM590" s="747"/>
      <c r="AN590" s="747"/>
      <c r="AO590" s="186"/>
      <c r="AP590" s="186"/>
      <c r="AQ590" s="12"/>
      <c r="AR590" s="11"/>
      <c r="AS590" s="186"/>
      <c r="AT590" s="747"/>
      <c r="AU590" s="747"/>
      <c r="AV590" s="747"/>
      <c r="AW590" s="186"/>
      <c r="AX590" s="186"/>
      <c r="AY590" s="12"/>
      <c r="AZ590" s="11" t="s">
        <v>2032</v>
      </c>
      <c r="BA590" s="186" t="s">
        <v>523</v>
      </c>
      <c r="BB590" s="747" t="s">
        <v>1482</v>
      </c>
      <c r="BC590" s="747" t="s">
        <v>520</v>
      </c>
      <c r="BD590" s="747" t="s">
        <v>248</v>
      </c>
      <c r="BE590" s="186">
        <v>1.2500000000000001E-2</v>
      </c>
      <c r="BF590" s="186">
        <v>2.5000000000000001E-4</v>
      </c>
      <c r="BG590" s="12">
        <v>2.58</v>
      </c>
      <c r="BH590" s="11"/>
      <c r="BI590" s="186"/>
      <c r="BJ590" s="747"/>
      <c r="BK590" s="747"/>
      <c r="BL590" s="747"/>
      <c r="BM590" s="186"/>
      <c r="BN590" s="186"/>
      <c r="BO590" s="12"/>
      <c r="BP590" s="11"/>
      <c r="BQ590" s="186"/>
      <c r="BR590" s="747"/>
      <c r="BS590" s="747"/>
      <c r="BT590" s="747"/>
      <c r="BU590" s="186"/>
      <c r="BV590" s="186"/>
      <c r="BW590" s="12"/>
    </row>
    <row r="591" spans="1:75">
      <c r="A591" s="1" t="s">
        <v>1134</v>
      </c>
      <c r="B591" s="1" t="s">
        <v>1083</v>
      </c>
      <c r="C591" s="1" t="s">
        <v>1084</v>
      </c>
      <c r="D591" s="1" t="s">
        <v>523</v>
      </c>
      <c r="E591" s="1" t="s">
        <v>598</v>
      </c>
      <c r="F591" s="1">
        <v>7.4999999999999997E-2</v>
      </c>
      <c r="G591" s="1">
        <v>3.5000000000000001E-3</v>
      </c>
      <c r="J591" s="1" t="s">
        <v>692</v>
      </c>
      <c r="AI591" s="757"/>
      <c r="AJ591" s="195"/>
      <c r="AK591" s="186"/>
      <c r="AL591" s="747"/>
      <c r="AM591" s="747"/>
      <c r="AN591" s="747"/>
      <c r="AO591" s="186"/>
      <c r="AP591" s="186"/>
      <c r="AQ591" s="12"/>
      <c r="AR591" s="11"/>
      <c r="AS591" s="186"/>
      <c r="AT591" s="747"/>
      <c r="AU591" s="747"/>
      <c r="AV591" s="747"/>
      <c r="AW591" s="186"/>
      <c r="AX591" s="186"/>
      <c r="AY591" s="12"/>
      <c r="AZ591" s="11" t="s">
        <v>2032</v>
      </c>
      <c r="BA591" s="186" t="s">
        <v>523</v>
      </c>
      <c r="BB591" s="747" t="s">
        <v>1483</v>
      </c>
      <c r="BC591" s="747" t="s">
        <v>520</v>
      </c>
      <c r="BD591" s="747" t="s">
        <v>248</v>
      </c>
      <c r="BE591" s="186">
        <v>1.2500000000000001E-2</v>
      </c>
      <c r="BF591" s="186">
        <v>2.5000000000000001E-4</v>
      </c>
      <c r="BG591" s="12">
        <v>2.58</v>
      </c>
      <c r="BH591" s="11"/>
      <c r="BI591" s="186"/>
      <c r="BJ591" s="747"/>
      <c r="BK591" s="747"/>
      <c r="BL591" s="747"/>
      <c r="BM591" s="186"/>
      <c r="BN591" s="186"/>
      <c r="BO591" s="12"/>
      <c r="BP591" s="11"/>
      <c r="BQ591" s="186"/>
      <c r="BR591" s="747"/>
      <c r="BS591" s="747"/>
      <c r="BT591" s="747"/>
      <c r="BU591" s="186"/>
      <c r="BV591" s="186"/>
      <c r="BW591" s="12"/>
    </row>
    <row r="592" spans="1:75">
      <c r="A592" s="1" t="s">
        <v>1135</v>
      </c>
      <c r="B592" s="1" t="s">
        <v>1083</v>
      </c>
      <c r="C592" s="1" t="s">
        <v>1084</v>
      </c>
      <c r="D592" s="1" t="s">
        <v>523</v>
      </c>
      <c r="E592" s="1" t="s">
        <v>599</v>
      </c>
      <c r="F592" s="1">
        <v>7.4999999999999997E-2</v>
      </c>
      <c r="G592" s="1">
        <v>3.5000000000000001E-3</v>
      </c>
      <c r="J592" s="1" t="s">
        <v>692</v>
      </c>
      <c r="AI592" s="757"/>
      <c r="AJ592" s="195"/>
      <c r="AK592" s="186"/>
      <c r="AL592" s="747"/>
      <c r="AM592" s="747"/>
      <c r="AN592" s="747"/>
      <c r="AO592" s="186"/>
      <c r="AP592" s="186"/>
      <c r="AQ592" s="12"/>
      <c r="AR592" s="11"/>
      <c r="AS592" s="186"/>
      <c r="AT592" s="747"/>
      <c r="AU592" s="747"/>
      <c r="AV592" s="747"/>
      <c r="AW592" s="186"/>
      <c r="AX592" s="186"/>
      <c r="AY592" s="12"/>
      <c r="AZ592" s="11" t="s">
        <v>2032</v>
      </c>
      <c r="BA592" s="186" t="s">
        <v>591</v>
      </c>
      <c r="BB592" s="747" t="s">
        <v>1484</v>
      </c>
      <c r="BC592" s="747" t="s">
        <v>1730</v>
      </c>
      <c r="BD592" s="747" t="s">
        <v>248</v>
      </c>
      <c r="BE592" s="186">
        <v>0.05</v>
      </c>
      <c r="BF592" s="186">
        <v>1E-3</v>
      </c>
      <c r="BG592" s="12">
        <v>2.58</v>
      </c>
      <c r="BH592" s="11"/>
      <c r="BI592" s="186"/>
      <c r="BJ592" s="747"/>
      <c r="BK592" s="747"/>
      <c r="BL592" s="747"/>
      <c r="BM592" s="186"/>
      <c r="BN592" s="186"/>
      <c r="BO592" s="12"/>
      <c r="BP592" s="11"/>
      <c r="BQ592" s="186"/>
      <c r="BR592" s="747"/>
      <c r="BS592" s="747"/>
      <c r="BT592" s="747"/>
      <c r="BU592" s="186"/>
      <c r="BV592" s="186"/>
      <c r="BW592" s="12"/>
    </row>
    <row r="593" spans="1:75">
      <c r="A593" s="1" t="s">
        <v>1136</v>
      </c>
      <c r="B593" s="1" t="s">
        <v>1083</v>
      </c>
      <c r="C593" s="1" t="s">
        <v>1084</v>
      </c>
      <c r="D593" s="1" t="s">
        <v>523</v>
      </c>
      <c r="E593" s="1" t="s">
        <v>600</v>
      </c>
      <c r="F593" s="1">
        <v>7.4999999999999997E-2</v>
      </c>
      <c r="G593" s="1">
        <v>3.5000000000000001E-3</v>
      </c>
      <c r="J593" s="1" t="s">
        <v>519</v>
      </c>
      <c r="AI593" s="757"/>
      <c r="AJ593" s="195"/>
      <c r="AK593" s="186"/>
      <c r="AL593" s="747"/>
      <c r="AM593" s="747"/>
      <c r="AN593" s="747"/>
      <c r="AO593" s="186"/>
      <c r="AP593" s="186"/>
      <c r="AQ593" s="12"/>
      <c r="AR593" s="11"/>
      <c r="AS593" s="186"/>
      <c r="AT593" s="747"/>
      <c r="AU593" s="747"/>
      <c r="AV593" s="747"/>
      <c r="AW593" s="186"/>
      <c r="AX593" s="186"/>
      <c r="AY593" s="12"/>
      <c r="AZ593" s="11" t="s">
        <v>2032</v>
      </c>
      <c r="BA593" s="186" t="s">
        <v>591</v>
      </c>
      <c r="BB593" s="747" t="s">
        <v>1485</v>
      </c>
      <c r="BC593" s="747" t="s">
        <v>1730</v>
      </c>
      <c r="BD593" s="747" t="s">
        <v>248</v>
      </c>
      <c r="BE593" s="186">
        <v>0.05</v>
      </c>
      <c r="BF593" s="186">
        <v>1E-3</v>
      </c>
      <c r="BG593" s="12">
        <v>2.58</v>
      </c>
      <c r="BH593" s="11"/>
      <c r="BI593" s="186"/>
      <c r="BJ593" s="747"/>
      <c r="BK593" s="747"/>
      <c r="BL593" s="747"/>
      <c r="BM593" s="186"/>
      <c r="BN593" s="186"/>
      <c r="BO593" s="12"/>
      <c r="BP593" s="11"/>
      <c r="BQ593" s="186"/>
      <c r="BR593" s="747"/>
      <c r="BS593" s="747"/>
      <c r="BT593" s="747"/>
      <c r="BU593" s="186"/>
      <c r="BV593" s="186"/>
      <c r="BW593" s="12"/>
    </row>
    <row r="594" spans="1:75">
      <c r="A594" s="1" t="s">
        <v>1137</v>
      </c>
      <c r="B594" s="1" t="s">
        <v>1083</v>
      </c>
      <c r="C594" s="1" t="s">
        <v>1084</v>
      </c>
      <c r="D594" s="1" t="s">
        <v>523</v>
      </c>
      <c r="E594" s="1" t="s">
        <v>601</v>
      </c>
      <c r="F594" s="1">
        <v>7.4999999999999997E-2</v>
      </c>
      <c r="G594" s="1">
        <v>3.5000000000000001E-3</v>
      </c>
      <c r="J594" s="1" t="s">
        <v>519</v>
      </c>
      <c r="AI594" s="757"/>
      <c r="AJ594" s="195"/>
      <c r="AK594" s="186"/>
      <c r="AL594" s="747"/>
      <c r="AM594" s="747"/>
      <c r="AN594" s="747"/>
      <c r="AO594" s="186"/>
      <c r="AP594" s="186"/>
      <c r="AQ594" s="12"/>
      <c r="AR594" s="11"/>
      <c r="AS594" s="186"/>
      <c r="AT594" s="747"/>
      <c r="AU594" s="747"/>
      <c r="AV594" s="747"/>
      <c r="AW594" s="186"/>
      <c r="AX594" s="186"/>
      <c r="AY594" s="12"/>
      <c r="AZ594" s="11" t="s">
        <v>2032</v>
      </c>
      <c r="BA594" s="186" t="s">
        <v>591</v>
      </c>
      <c r="BB594" s="747" t="s">
        <v>1486</v>
      </c>
      <c r="BC594" s="747" t="s">
        <v>1730</v>
      </c>
      <c r="BD594" s="747" t="s">
        <v>248</v>
      </c>
      <c r="BE594" s="186">
        <v>2.5000000000000001E-2</v>
      </c>
      <c r="BF594" s="186">
        <v>5.0000000000000001E-4</v>
      </c>
      <c r="BG594" s="12">
        <v>2.58</v>
      </c>
      <c r="BH594" s="11"/>
      <c r="BI594" s="186"/>
      <c r="BJ594" s="747"/>
      <c r="BK594" s="747"/>
      <c r="BL594" s="747"/>
      <c r="BM594" s="186"/>
      <c r="BN594" s="186"/>
      <c r="BO594" s="12"/>
      <c r="BP594" s="11"/>
      <c r="BQ594" s="186"/>
      <c r="BR594" s="747"/>
      <c r="BS594" s="747"/>
      <c r="BT594" s="747"/>
      <c r="BU594" s="186"/>
      <c r="BV594" s="186"/>
      <c r="BW594" s="12"/>
    </row>
    <row r="595" spans="1:75">
      <c r="A595" s="1" t="s">
        <v>1138</v>
      </c>
      <c r="B595" s="1" t="s">
        <v>1083</v>
      </c>
      <c r="C595" s="1" t="s">
        <v>1084</v>
      </c>
      <c r="D595" s="1" t="s">
        <v>523</v>
      </c>
      <c r="E595" s="1" t="s">
        <v>602</v>
      </c>
      <c r="F595" s="1">
        <v>7.4999999999999997E-2</v>
      </c>
      <c r="G595" s="1">
        <v>3.5000000000000001E-3</v>
      </c>
      <c r="J595" s="1" t="s">
        <v>1139</v>
      </c>
      <c r="AI595" s="757"/>
      <c r="AJ595" s="195"/>
      <c r="AK595" s="186"/>
      <c r="AL595" s="747"/>
      <c r="AM595" s="747"/>
      <c r="AN595" s="747"/>
      <c r="AO595" s="186"/>
      <c r="AP595" s="186"/>
      <c r="AQ595" s="12"/>
      <c r="AR595" s="11"/>
      <c r="AS595" s="186"/>
      <c r="AT595" s="747"/>
      <c r="AU595" s="747"/>
      <c r="AV595" s="747"/>
      <c r="AW595" s="186"/>
      <c r="AX595" s="186"/>
      <c r="AY595" s="12"/>
      <c r="AZ595" s="11" t="s">
        <v>2032</v>
      </c>
      <c r="BA595" s="186" t="s">
        <v>591</v>
      </c>
      <c r="BB595" s="747" t="s">
        <v>1487</v>
      </c>
      <c r="BC595" s="747" t="s">
        <v>1730</v>
      </c>
      <c r="BD595" s="747" t="s">
        <v>248</v>
      </c>
      <c r="BE595" s="186">
        <v>2.5000000000000001E-2</v>
      </c>
      <c r="BF595" s="186">
        <v>5.0000000000000001E-4</v>
      </c>
      <c r="BG595" s="12">
        <v>2.58</v>
      </c>
      <c r="BH595" s="11"/>
      <c r="BI595" s="186"/>
      <c r="BJ595" s="747"/>
      <c r="BK595" s="747"/>
      <c r="BL595" s="747"/>
      <c r="BM595" s="186"/>
      <c r="BN595" s="186"/>
      <c r="BO595" s="12"/>
      <c r="BP595" s="11"/>
      <c r="BQ595" s="186"/>
      <c r="BR595" s="747"/>
      <c r="BS595" s="747"/>
      <c r="BT595" s="747"/>
      <c r="BU595" s="186"/>
      <c r="BV595" s="186"/>
      <c r="BW595" s="12"/>
    </row>
    <row r="596" spans="1:75">
      <c r="A596" s="1" t="s">
        <v>1140</v>
      </c>
      <c r="B596" s="1" t="s">
        <v>1083</v>
      </c>
      <c r="C596" s="1" t="s">
        <v>1084</v>
      </c>
      <c r="D596" s="1" t="s">
        <v>523</v>
      </c>
      <c r="E596" s="1" t="s">
        <v>603</v>
      </c>
      <c r="F596" s="1">
        <v>7.4999999999999997E-2</v>
      </c>
      <c r="G596" s="1">
        <v>3.5000000000000001E-3</v>
      </c>
      <c r="J596" s="1" t="s">
        <v>1139</v>
      </c>
      <c r="AI596" s="757"/>
      <c r="AJ596" s="195"/>
      <c r="AK596" s="186"/>
      <c r="AL596" s="747"/>
      <c r="AM596" s="747"/>
      <c r="AN596" s="747"/>
      <c r="AO596" s="186"/>
      <c r="AP596" s="186"/>
      <c r="AQ596" s="12"/>
      <c r="AR596" s="11"/>
      <c r="AS596" s="186"/>
      <c r="AT596" s="747"/>
      <c r="AU596" s="747"/>
      <c r="AV596" s="747"/>
      <c r="AW596" s="186"/>
      <c r="AX596" s="186"/>
      <c r="AY596" s="12"/>
      <c r="AZ596" s="11" t="s">
        <v>2032</v>
      </c>
      <c r="BA596" s="186" t="s">
        <v>523</v>
      </c>
      <c r="BB596" s="747" t="s">
        <v>1188</v>
      </c>
      <c r="BC596" s="747" t="s">
        <v>1730</v>
      </c>
      <c r="BD596" s="747" t="s">
        <v>248</v>
      </c>
      <c r="BE596" s="186">
        <v>0.05</v>
      </c>
      <c r="BF596" s="186">
        <v>1E-3</v>
      </c>
      <c r="BG596" s="12">
        <v>2.58</v>
      </c>
      <c r="BH596" s="11"/>
      <c r="BI596" s="186"/>
      <c r="BJ596" s="747"/>
      <c r="BK596" s="747"/>
      <c r="BL596" s="747"/>
      <c r="BM596" s="186"/>
      <c r="BN596" s="186"/>
      <c r="BO596" s="12"/>
      <c r="BP596" s="11"/>
      <c r="BQ596" s="186"/>
      <c r="BR596" s="747"/>
      <c r="BS596" s="747"/>
      <c r="BT596" s="747"/>
      <c r="BU596" s="186"/>
      <c r="BV596" s="186"/>
      <c r="BW596" s="12"/>
    </row>
    <row r="597" spans="1:75">
      <c r="A597" s="1" t="s">
        <v>1141</v>
      </c>
      <c r="B597" s="1" t="s">
        <v>1083</v>
      </c>
      <c r="C597" s="1" t="s">
        <v>1084</v>
      </c>
      <c r="D597" s="1" t="s">
        <v>523</v>
      </c>
      <c r="E597" s="1" t="s">
        <v>604</v>
      </c>
      <c r="F597" s="1">
        <v>3.7499999999999999E-2</v>
      </c>
      <c r="G597" s="1">
        <v>1.75E-3</v>
      </c>
      <c r="J597" s="1" t="s">
        <v>520</v>
      </c>
      <c r="AI597" s="757"/>
      <c r="AJ597" s="195"/>
      <c r="AK597" s="186"/>
      <c r="AL597" s="747"/>
      <c r="AM597" s="747"/>
      <c r="AN597" s="747"/>
      <c r="AO597" s="186"/>
      <c r="AP597" s="186"/>
      <c r="AQ597" s="12"/>
      <c r="AR597" s="11"/>
      <c r="AS597" s="186"/>
      <c r="AT597" s="747"/>
      <c r="AU597" s="747"/>
      <c r="AV597" s="747"/>
      <c r="AW597" s="186"/>
      <c r="AX597" s="186"/>
      <c r="AY597" s="12"/>
      <c r="AZ597" s="11" t="s">
        <v>2032</v>
      </c>
      <c r="BA597" s="186" t="s">
        <v>523</v>
      </c>
      <c r="BB597" s="747" t="s">
        <v>1189</v>
      </c>
      <c r="BC597" s="747" t="s">
        <v>1730</v>
      </c>
      <c r="BD597" s="747" t="s">
        <v>248</v>
      </c>
      <c r="BE597" s="186">
        <v>0.05</v>
      </c>
      <c r="BF597" s="186">
        <v>1E-3</v>
      </c>
      <c r="BG597" s="12">
        <v>2.58</v>
      </c>
      <c r="BH597" s="11"/>
      <c r="BI597" s="186"/>
      <c r="BJ597" s="747"/>
      <c r="BK597" s="747"/>
      <c r="BL597" s="747"/>
      <c r="BM597" s="186"/>
      <c r="BN597" s="186"/>
      <c r="BO597" s="12"/>
      <c r="BP597" s="11"/>
      <c r="BQ597" s="186"/>
      <c r="BR597" s="747"/>
      <c r="BS597" s="747"/>
      <c r="BT597" s="747"/>
      <c r="BU597" s="186"/>
      <c r="BV597" s="186"/>
      <c r="BW597" s="12"/>
    </row>
    <row r="598" spans="1:75">
      <c r="A598" s="1" t="s">
        <v>1142</v>
      </c>
      <c r="B598" s="1" t="s">
        <v>1083</v>
      </c>
      <c r="C598" s="1" t="s">
        <v>1084</v>
      </c>
      <c r="D598" s="1" t="s">
        <v>523</v>
      </c>
      <c r="E598" s="1" t="s">
        <v>605</v>
      </c>
      <c r="F598" s="1">
        <v>3.7499999999999999E-2</v>
      </c>
      <c r="G598" s="1">
        <v>1.75E-3</v>
      </c>
      <c r="J598" s="1" t="s">
        <v>520</v>
      </c>
      <c r="AI598" s="757"/>
      <c r="AJ598" s="195"/>
      <c r="AK598" s="186"/>
      <c r="AL598" s="747"/>
      <c r="AM598" s="747"/>
      <c r="AN598" s="747"/>
      <c r="AO598" s="186"/>
      <c r="AP598" s="186"/>
      <c r="AQ598" s="12"/>
      <c r="AR598" s="11"/>
      <c r="AS598" s="186"/>
      <c r="AT598" s="747"/>
      <c r="AU598" s="747"/>
      <c r="AV598" s="747"/>
      <c r="AW598" s="186"/>
      <c r="AX598" s="186"/>
      <c r="AY598" s="12"/>
      <c r="AZ598" s="11" t="s">
        <v>2032</v>
      </c>
      <c r="BA598" s="186" t="s">
        <v>523</v>
      </c>
      <c r="BB598" s="747" t="s">
        <v>1190</v>
      </c>
      <c r="BC598" s="747" t="s">
        <v>1730</v>
      </c>
      <c r="BD598" s="747" t="s">
        <v>248</v>
      </c>
      <c r="BE598" s="186">
        <v>2.5000000000000001E-2</v>
      </c>
      <c r="BF598" s="186">
        <v>5.0000000000000001E-4</v>
      </c>
      <c r="BG598" s="12">
        <v>2.58</v>
      </c>
      <c r="BH598" s="11"/>
      <c r="BI598" s="186"/>
      <c r="BJ598" s="747"/>
      <c r="BK598" s="747"/>
      <c r="BL598" s="747"/>
      <c r="BM598" s="186"/>
      <c r="BN598" s="186"/>
      <c r="BO598" s="12"/>
      <c r="BP598" s="11"/>
      <c r="BQ598" s="186"/>
      <c r="BR598" s="747"/>
      <c r="BS598" s="747"/>
      <c r="BT598" s="747"/>
      <c r="BU598" s="186"/>
      <c r="BV598" s="186"/>
      <c r="BW598" s="12"/>
    </row>
    <row r="599" spans="1:75">
      <c r="A599" s="1" t="s">
        <v>1143</v>
      </c>
      <c r="B599" s="1" t="s">
        <v>1083</v>
      </c>
      <c r="C599" s="1" t="s">
        <v>1084</v>
      </c>
      <c r="D599" s="1" t="s">
        <v>523</v>
      </c>
      <c r="E599" s="1" t="s">
        <v>606</v>
      </c>
      <c r="F599" s="1">
        <v>3.7499999999999999E-2</v>
      </c>
      <c r="G599" s="1">
        <v>1.75E-3</v>
      </c>
      <c r="J599" s="1" t="s">
        <v>1020</v>
      </c>
      <c r="AI599" s="757"/>
      <c r="AJ599" s="195"/>
      <c r="AK599" s="186"/>
      <c r="AL599" s="747"/>
      <c r="AM599" s="747"/>
      <c r="AN599" s="747"/>
      <c r="AO599" s="186"/>
      <c r="AP599" s="186"/>
      <c r="AQ599" s="12"/>
      <c r="AR599" s="11"/>
      <c r="AS599" s="186"/>
      <c r="AT599" s="747"/>
      <c r="AU599" s="747"/>
      <c r="AV599" s="747"/>
      <c r="AW599" s="186"/>
      <c r="AX599" s="186"/>
      <c r="AY599" s="12"/>
      <c r="AZ599" s="11" t="s">
        <v>2032</v>
      </c>
      <c r="BA599" s="186" t="s">
        <v>523</v>
      </c>
      <c r="BB599" s="747" t="s">
        <v>1191</v>
      </c>
      <c r="BC599" s="747" t="s">
        <v>1730</v>
      </c>
      <c r="BD599" s="747" t="s">
        <v>248</v>
      </c>
      <c r="BE599" s="186">
        <v>2.5000000000000001E-2</v>
      </c>
      <c r="BF599" s="186">
        <v>5.0000000000000001E-4</v>
      </c>
      <c r="BG599" s="12">
        <v>2.58</v>
      </c>
      <c r="BH599" s="11"/>
      <c r="BI599" s="186"/>
      <c r="BJ599" s="747"/>
      <c r="BK599" s="747"/>
      <c r="BL599" s="747"/>
      <c r="BM599" s="186"/>
      <c r="BN599" s="186"/>
      <c r="BO599" s="12"/>
      <c r="BP599" s="11"/>
      <c r="BQ599" s="186"/>
      <c r="BR599" s="747"/>
      <c r="BS599" s="747"/>
      <c r="BT599" s="747"/>
      <c r="BU599" s="186"/>
      <c r="BV599" s="186"/>
      <c r="BW599" s="12"/>
    </row>
    <row r="600" spans="1:75">
      <c r="AI600" s="757"/>
      <c r="AJ600" s="195"/>
      <c r="AK600" s="186"/>
      <c r="AL600" s="747"/>
      <c r="AM600" s="747"/>
      <c r="AN600" s="747"/>
      <c r="AO600" s="186"/>
      <c r="AP600" s="186"/>
      <c r="AQ600" s="12"/>
      <c r="AR600" s="11"/>
      <c r="AS600" s="186"/>
      <c r="AT600" s="747"/>
      <c r="AU600" s="747"/>
      <c r="AV600" s="747"/>
      <c r="AW600" s="186"/>
      <c r="AX600" s="186"/>
      <c r="AY600" s="12"/>
      <c r="AZ600" s="11" t="s">
        <v>2032</v>
      </c>
      <c r="BA600" s="186" t="s">
        <v>523</v>
      </c>
      <c r="BB600" s="747" t="s">
        <v>1192</v>
      </c>
      <c r="BC600" s="747" t="s">
        <v>1180</v>
      </c>
      <c r="BD600" s="747" t="s">
        <v>248</v>
      </c>
      <c r="BE600" s="186">
        <v>2.5000000000000001E-2</v>
      </c>
      <c r="BF600" s="186">
        <v>5.0000000000000001E-4</v>
      </c>
      <c r="BG600" s="12">
        <v>2.58</v>
      </c>
      <c r="BH600" s="11"/>
      <c r="BI600" s="186"/>
      <c r="BJ600" s="747"/>
      <c r="BK600" s="747"/>
      <c r="BL600" s="747"/>
      <c r="BM600" s="186"/>
      <c r="BN600" s="186"/>
      <c r="BO600" s="12"/>
      <c r="BP600" s="11"/>
      <c r="BQ600" s="186"/>
      <c r="BR600" s="747"/>
      <c r="BS600" s="747"/>
      <c r="BT600" s="747"/>
      <c r="BU600" s="186"/>
      <c r="BV600" s="186"/>
      <c r="BW600" s="12"/>
    </row>
    <row r="601" spans="1:75">
      <c r="AI601" s="757"/>
      <c r="AJ601" s="195"/>
      <c r="AK601" s="186"/>
      <c r="AL601" s="747"/>
      <c r="AM601" s="747"/>
      <c r="AN601" s="747"/>
      <c r="AO601" s="186"/>
      <c r="AP601" s="186"/>
      <c r="AQ601" s="12"/>
      <c r="AR601" s="11"/>
      <c r="AS601" s="186"/>
      <c r="AT601" s="747"/>
      <c r="AU601" s="747"/>
      <c r="AV601" s="747"/>
      <c r="AW601" s="186"/>
      <c r="AX601" s="186"/>
      <c r="AY601" s="12"/>
      <c r="AZ601" s="11" t="s">
        <v>2032</v>
      </c>
      <c r="BA601" s="186" t="s">
        <v>523</v>
      </c>
      <c r="BB601" s="747" t="s">
        <v>1193</v>
      </c>
      <c r="BC601" s="747" t="s">
        <v>1180</v>
      </c>
      <c r="BD601" s="747" t="s">
        <v>248</v>
      </c>
      <c r="BE601" s="186">
        <v>2.5000000000000001E-2</v>
      </c>
      <c r="BF601" s="186">
        <v>5.0000000000000001E-4</v>
      </c>
      <c r="BG601" s="12">
        <v>2.58</v>
      </c>
      <c r="BH601" s="11"/>
      <c r="BI601" s="186"/>
      <c r="BJ601" s="747"/>
      <c r="BK601" s="747"/>
      <c r="BL601" s="747"/>
      <c r="BM601" s="186"/>
      <c r="BN601" s="186"/>
      <c r="BO601" s="12"/>
      <c r="BP601" s="11"/>
      <c r="BQ601" s="186"/>
      <c r="BR601" s="747"/>
      <c r="BS601" s="747"/>
      <c r="BT601" s="747"/>
      <c r="BU601" s="186"/>
      <c r="BV601" s="186"/>
      <c r="BW601" s="12"/>
    </row>
    <row r="602" spans="1:75">
      <c r="AI602" s="757"/>
      <c r="AJ602" s="195"/>
      <c r="AK602" s="186"/>
      <c r="AL602" s="747"/>
      <c r="AM602" s="747"/>
      <c r="AN602" s="747"/>
      <c r="AO602" s="186"/>
      <c r="AP602" s="186"/>
      <c r="AQ602" s="12"/>
      <c r="AR602" s="11"/>
      <c r="AS602" s="186"/>
      <c r="AT602" s="747"/>
      <c r="AU602" s="747"/>
      <c r="AV602" s="747"/>
      <c r="AW602" s="186"/>
      <c r="AX602" s="186"/>
      <c r="AY602" s="12"/>
      <c r="AZ602" s="11" t="s">
        <v>2032</v>
      </c>
      <c r="BA602" s="186" t="s">
        <v>523</v>
      </c>
      <c r="BB602" s="747" t="s">
        <v>1194</v>
      </c>
      <c r="BC602" s="747" t="s">
        <v>1180</v>
      </c>
      <c r="BD602" s="747" t="s">
        <v>248</v>
      </c>
      <c r="BE602" s="186">
        <v>2.5000000000000001E-2</v>
      </c>
      <c r="BF602" s="186">
        <v>5.0000000000000001E-4</v>
      </c>
      <c r="BG602" s="12">
        <v>2.58</v>
      </c>
      <c r="BH602" s="11"/>
      <c r="BI602" s="186"/>
      <c r="BJ602" s="747"/>
      <c r="BK602" s="747"/>
      <c r="BL602" s="747"/>
      <c r="BM602" s="186"/>
      <c r="BN602" s="186"/>
      <c r="BO602" s="12"/>
      <c r="BP602" s="11"/>
      <c r="BQ602" s="186"/>
      <c r="BR602" s="747"/>
      <c r="BS602" s="747"/>
      <c r="BT602" s="747"/>
      <c r="BU602" s="186"/>
      <c r="BV602" s="186"/>
      <c r="BW602" s="12"/>
    </row>
    <row r="603" spans="1:75">
      <c r="AI603" s="757"/>
      <c r="AJ603" s="195"/>
      <c r="AK603" s="186"/>
      <c r="AL603" s="747"/>
      <c r="AM603" s="747"/>
      <c r="AN603" s="747"/>
      <c r="AO603" s="186"/>
      <c r="AP603" s="186"/>
      <c r="AQ603" s="12"/>
      <c r="AR603" s="11"/>
      <c r="AS603" s="186"/>
      <c r="AT603" s="747"/>
      <c r="AU603" s="747"/>
      <c r="AV603" s="747"/>
      <c r="AW603" s="186"/>
      <c r="AX603" s="186"/>
      <c r="AY603" s="12"/>
      <c r="AZ603" s="11" t="s">
        <v>2032</v>
      </c>
      <c r="BA603" s="186" t="s">
        <v>523</v>
      </c>
      <c r="BB603" s="747" t="s">
        <v>1195</v>
      </c>
      <c r="BC603" s="747" t="s">
        <v>1180</v>
      </c>
      <c r="BD603" s="747" t="s">
        <v>248</v>
      </c>
      <c r="BE603" s="186">
        <v>2.5000000000000001E-2</v>
      </c>
      <c r="BF603" s="186">
        <v>5.0000000000000001E-4</v>
      </c>
      <c r="BG603" s="12">
        <v>2.58</v>
      </c>
      <c r="BH603" s="11"/>
      <c r="BI603" s="186"/>
      <c r="BJ603" s="747"/>
      <c r="BK603" s="747"/>
      <c r="BL603" s="747"/>
      <c r="BM603" s="186"/>
      <c r="BN603" s="186"/>
      <c r="BO603" s="12"/>
      <c r="BP603" s="11"/>
      <c r="BQ603" s="186"/>
      <c r="BR603" s="747"/>
      <c r="BS603" s="747"/>
      <c r="BT603" s="747"/>
      <c r="BU603" s="186"/>
      <c r="BV603" s="186"/>
      <c r="BW603" s="12"/>
    </row>
    <row r="604" spans="1:75">
      <c r="AI604" s="757"/>
      <c r="AJ604" s="195"/>
      <c r="AK604" s="186"/>
      <c r="AL604" s="747"/>
      <c r="AM604" s="747"/>
      <c r="AN604" s="747"/>
      <c r="AO604" s="186"/>
      <c r="AP604" s="186"/>
      <c r="AQ604" s="12"/>
      <c r="AR604" s="11"/>
      <c r="AS604" s="186"/>
      <c r="AT604" s="747"/>
      <c r="AU604" s="747"/>
      <c r="AV604" s="747"/>
      <c r="AW604" s="186"/>
      <c r="AX604" s="186"/>
      <c r="AY604" s="12"/>
      <c r="AZ604" s="11" t="s">
        <v>2032</v>
      </c>
      <c r="BA604" s="186" t="s">
        <v>523</v>
      </c>
      <c r="BB604" s="747" t="s">
        <v>1196</v>
      </c>
      <c r="BC604" s="747" t="s">
        <v>1181</v>
      </c>
      <c r="BD604" s="747" t="s">
        <v>248</v>
      </c>
      <c r="BE604" s="186">
        <v>1.2500000000000001E-2</v>
      </c>
      <c r="BF604" s="186">
        <v>2.5000000000000001E-4</v>
      </c>
      <c r="BG604" s="12">
        <v>2.58</v>
      </c>
      <c r="BH604" s="11"/>
      <c r="BI604" s="186"/>
      <c r="BJ604" s="747"/>
      <c r="BK604" s="747"/>
      <c r="BL604" s="747"/>
      <c r="BM604" s="186"/>
      <c r="BN604" s="186"/>
      <c r="BO604" s="12"/>
      <c r="BP604" s="11"/>
      <c r="BQ604" s="186"/>
      <c r="BR604" s="747"/>
      <c r="BS604" s="747"/>
      <c r="BT604" s="747"/>
      <c r="BU604" s="186"/>
      <c r="BV604" s="186"/>
      <c r="BW604" s="12"/>
    </row>
    <row r="605" spans="1:75">
      <c r="AI605" s="757"/>
      <c r="AJ605" s="195"/>
      <c r="AK605" s="186"/>
      <c r="AL605" s="747"/>
      <c r="AM605" s="747"/>
      <c r="AN605" s="747"/>
      <c r="AO605" s="186"/>
      <c r="AP605" s="186"/>
      <c r="AQ605" s="12"/>
      <c r="AR605" s="11"/>
      <c r="AS605" s="186"/>
      <c r="AT605" s="747"/>
      <c r="AU605" s="747"/>
      <c r="AV605" s="747"/>
      <c r="AW605" s="186"/>
      <c r="AX605" s="186"/>
      <c r="AY605" s="12"/>
      <c r="AZ605" s="11" t="s">
        <v>2032</v>
      </c>
      <c r="BA605" s="186" t="s">
        <v>523</v>
      </c>
      <c r="BB605" s="747" t="s">
        <v>1197</v>
      </c>
      <c r="BC605" s="747" t="s">
        <v>1181</v>
      </c>
      <c r="BD605" s="747" t="s">
        <v>248</v>
      </c>
      <c r="BE605" s="186">
        <v>1.2500000000000001E-2</v>
      </c>
      <c r="BF605" s="186">
        <v>2.5000000000000001E-4</v>
      </c>
      <c r="BG605" s="12">
        <v>2.58</v>
      </c>
      <c r="BH605" s="11"/>
      <c r="BI605" s="186"/>
      <c r="BJ605" s="747"/>
      <c r="BK605" s="747"/>
      <c r="BL605" s="747"/>
      <c r="BM605" s="186"/>
      <c r="BN605" s="186"/>
      <c r="BO605" s="12"/>
      <c r="BP605" s="11"/>
      <c r="BQ605" s="186"/>
      <c r="BR605" s="747"/>
      <c r="BS605" s="747"/>
      <c r="BT605" s="747"/>
      <c r="BU605" s="186"/>
      <c r="BV605" s="186"/>
      <c r="BW605" s="12"/>
    </row>
    <row r="606" spans="1:75">
      <c r="AI606" s="757"/>
      <c r="AJ606" s="195"/>
      <c r="AK606" s="186"/>
      <c r="AL606" s="747"/>
      <c r="AM606" s="747"/>
      <c r="AN606" s="747"/>
      <c r="AO606" s="186"/>
      <c r="AP606" s="186"/>
      <c r="AQ606" s="12"/>
      <c r="AR606" s="11"/>
      <c r="AS606" s="186"/>
      <c r="AT606" s="747"/>
      <c r="AU606" s="747"/>
      <c r="AV606" s="747"/>
      <c r="AW606" s="186"/>
      <c r="AX606" s="186"/>
      <c r="AY606" s="12"/>
      <c r="AZ606" s="11" t="s">
        <v>2032</v>
      </c>
      <c r="BA606" s="186" t="s">
        <v>523</v>
      </c>
      <c r="BB606" s="747" t="s">
        <v>1198</v>
      </c>
      <c r="BC606" s="747" t="s">
        <v>1181</v>
      </c>
      <c r="BD606" s="747" t="s">
        <v>248</v>
      </c>
      <c r="BE606" s="186">
        <v>1.2500000000000001E-2</v>
      </c>
      <c r="BF606" s="186">
        <v>2.5000000000000001E-4</v>
      </c>
      <c r="BG606" s="12">
        <v>2.58</v>
      </c>
      <c r="BH606" s="11"/>
      <c r="BI606" s="186"/>
      <c r="BJ606" s="747"/>
      <c r="BK606" s="747"/>
      <c r="BL606" s="747"/>
      <c r="BM606" s="186"/>
      <c r="BN606" s="186"/>
      <c r="BO606" s="12"/>
      <c r="BP606" s="11"/>
      <c r="BQ606" s="186"/>
      <c r="BR606" s="747"/>
      <c r="BS606" s="747"/>
      <c r="BT606" s="747"/>
      <c r="BU606" s="186"/>
      <c r="BV606" s="186"/>
      <c r="BW606" s="12"/>
    </row>
    <row r="607" spans="1:75">
      <c r="AI607" s="757"/>
      <c r="AJ607" s="195"/>
      <c r="AK607" s="186"/>
      <c r="AL607" s="747"/>
      <c r="AM607" s="747"/>
      <c r="AN607" s="747"/>
      <c r="AO607" s="186"/>
      <c r="AP607" s="186"/>
      <c r="AQ607" s="12"/>
      <c r="AR607" s="11"/>
      <c r="AS607" s="186"/>
      <c r="AT607" s="747"/>
      <c r="AU607" s="747"/>
      <c r="AV607" s="747"/>
      <c r="AW607" s="186"/>
      <c r="AX607" s="186"/>
      <c r="AY607" s="12"/>
      <c r="AZ607" s="11" t="s">
        <v>2032</v>
      </c>
      <c r="BA607" s="186" t="s">
        <v>523</v>
      </c>
      <c r="BB607" s="747" t="s">
        <v>1199</v>
      </c>
      <c r="BC607" s="747" t="s">
        <v>1181</v>
      </c>
      <c r="BD607" s="747" t="s">
        <v>248</v>
      </c>
      <c r="BE607" s="186">
        <v>1.2500000000000001E-2</v>
      </c>
      <c r="BF607" s="186">
        <v>2.5000000000000001E-4</v>
      </c>
      <c r="BG607" s="12">
        <v>2.58</v>
      </c>
      <c r="BH607" s="11"/>
      <c r="BI607" s="186"/>
      <c r="BJ607" s="747"/>
      <c r="BK607" s="747"/>
      <c r="BL607" s="747"/>
      <c r="BM607" s="186"/>
      <c r="BN607" s="186"/>
      <c r="BO607" s="12"/>
      <c r="BP607" s="11"/>
      <c r="BQ607" s="186"/>
      <c r="BR607" s="747"/>
      <c r="BS607" s="747"/>
      <c r="BT607" s="747"/>
      <c r="BU607" s="186"/>
      <c r="BV607" s="186"/>
      <c r="BW607" s="12"/>
    </row>
    <row r="608" spans="1:75">
      <c r="AI608" s="757"/>
      <c r="AJ608" s="195"/>
      <c r="AK608" s="186"/>
      <c r="AL608" s="747"/>
      <c r="AM608" s="747"/>
      <c r="AN608" s="747"/>
      <c r="AO608" s="186"/>
      <c r="AP608" s="186"/>
      <c r="AQ608" s="12"/>
      <c r="AR608" s="11"/>
      <c r="AS608" s="186"/>
      <c r="AT608" s="747"/>
      <c r="AU608" s="747"/>
      <c r="AV608" s="747"/>
      <c r="AW608" s="186"/>
      <c r="AX608" s="186"/>
      <c r="AY608" s="12"/>
      <c r="AZ608" s="11" t="s">
        <v>2032</v>
      </c>
      <c r="BA608" s="186" t="s">
        <v>591</v>
      </c>
      <c r="BB608" s="747" t="s">
        <v>1200</v>
      </c>
      <c r="BC608" s="747" t="s">
        <v>1730</v>
      </c>
      <c r="BD608" s="747" t="s">
        <v>248</v>
      </c>
      <c r="BE608" s="186">
        <v>0.05</v>
      </c>
      <c r="BF608" s="186">
        <v>1E-3</v>
      </c>
      <c r="BG608" s="12">
        <v>2.58</v>
      </c>
      <c r="BH608" s="11"/>
      <c r="BI608" s="186"/>
      <c r="BJ608" s="747"/>
      <c r="BK608" s="747"/>
      <c r="BL608" s="747"/>
      <c r="BM608" s="186"/>
      <c r="BN608" s="186"/>
      <c r="BO608" s="12"/>
      <c r="BP608" s="11"/>
      <c r="BQ608" s="186"/>
      <c r="BR608" s="747"/>
      <c r="BS608" s="747"/>
      <c r="BT608" s="747"/>
      <c r="BU608" s="186"/>
      <c r="BV608" s="186"/>
      <c r="BW608" s="12"/>
    </row>
    <row r="609" spans="35:75">
      <c r="AI609" s="757"/>
      <c r="AJ609" s="195"/>
      <c r="AK609" s="186"/>
      <c r="AL609" s="747"/>
      <c r="AM609" s="747"/>
      <c r="AN609" s="747"/>
      <c r="AO609" s="186"/>
      <c r="AP609" s="186"/>
      <c r="AQ609" s="12"/>
      <c r="AR609" s="11"/>
      <c r="AS609" s="186"/>
      <c r="AT609" s="747"/>
      <c r="AU609" s="747"/>
      <c r="AV609" s="747"/>
      <c r="AW609" s="186"/>
      <c r="AX609" s="186"/>
      <c r="AY609" s="12"/>
      <c r="AZ609" s="11" t="s">
        <v>2032</v>
      </c>
      <c r="BA609" s="186" t="s">
        <v>591</v>
      </c>
      <c r="BB609" s="747" t="s">
        <v>1201</v>
      </c>
      <c r="BC609" s="747" t="s">
        <v>1730</v>
      </c>
      <c r="BD609" s="747" t="s">
        <v>248</v>
      </c>
      <c r="BE609" s="186">
        <v>0.05</v>
      </c>
      <c r="BF609" s="186">
        <v>1E-3</v>
      </c>
      <c r="BG609" s="12">
        <v>2.58</v>
      </c>
      <c r="BH609" s="11"/>
      <c r="BI609" s="186"/>
      <c r="BJ609" s="747"/>
      <c r="BK609" s="747"/>
      <c r="BL609" s="747"/>
      <c r="BM609" s="186"/>
      <c r="BN609" s="186"/>
      <c r="BO609" s="12"/>
      <c r="BP609" s="11"/>
      <c r="BQ609" s="186"/>
      <c r="BR609" s="747"/>
      <c r="BS609" s="747"/>
      <c r="BT609" s="747"/>
      <c r="BU609" s="186"/>
      <c r="BV609" s="186"/>
      <c r="BW609" s="12"/>
    </row>
    <row r="610" spans="35:75">
      <c r="AI610" s="757"/>
      <c r="AJ610" s="195"/>
      <c r="AK610" s="186"/>
      <c r="AL610" s="747"/>
      <c r="AM610" s="747"/>
      <c r="AN610" s="747"/>
      <c r="AO610" s="186"/>
      <c r="AP610" s="186"/>
      <c r="AQ610" s="12"/>
      <c r="AR610" s="11"/>
      <c r="AS610" s="186"/>
      <c r="AT610" s="747"/>
      <c r="AU610" s="747"/>
      <c r="AV610" s="747"/>
      <c r="AW610" s="186"/>
      <c r="AX610" s="186"/>
      <c r="AY610" s="12"/>
      <c r="AZ610" s="11" t="s">
        <v>2032</v>
      </c>
      <c r="BA610" s="186" t="s">
        <v>591</v>
      </c>
      <c r="BB610" s="747" t="s">
        <v>1202</v>
      </c>
      <c r="BC610" s="747" t="s">
        <v>1730</v>
      </c>
      <c r="BD610" s="747" t="s">
        <v>248</v>
      </c>
      <c r="BE610" s="186">
        <v>2.5000000000000001E-2</v>
      </c>
      <c r="BF610" s="186">
        <v>5.0000000000000001E-4</v>
      </c>
      <c r="BG610" s="12">
        <v>2.58</v>
      </c>
      <c r="BH610" s="11"/>
      <c r="BI610" s="186"/>
      <c r="BJ610" s="747"/>
      <c r="BK610" s="747"/>
      <c r="BL610" s="747"/>
      <c r="BM610" s="186"/>
      <c r="BN610" s="186"/>
      <c r="BO610" s="12"/>
      <c r="BP610" s="11"/>
      <c r="BQ610" s="186"/>
      <c r="BR610" s="747"/>
      <c r="BS610" s="747"/>
      <c r="BT610" s="747"/>
      <c r="BU610" s="186"/>
      <c r="BV610" s="186"/>
      <c r="BW610" s="12"/>
    </row>
    <row r="611" spans="35:75">
      <c r="AI611" s="757"/>
      <c r="AJ611" s="195"/>
      <c r="AK611" s="186"/>
      <c r="AL611" s="747"/>
      <c r="AM611" s="747"/>
      <c r="AN611" s="747"/>
      <c r="AO611" s="186"/>
      <c r="AP611" s="186"/>
      <c r="AQ611" s="12"/>
      <c r="AR611" s="11"/>
      <c r="AS611" s="186"/>
      <c r="AT611" s="747"/>
      <c r="AU611" s="747"/>
      <c r="AV611" s="747"/>
      <c r="AW611" s="186"/>
      <c r="AX611" s="186"/>
      <c r="AY611" s="12"/>
      <c r="AZ611" s="11" t="s">
        <v>2032</v>
      </c>
      <c r="BA611" s="186" t="s">
        <v>591</v>
      </c>
      <c r="BB611" s="747" t="s">
        <v>1203</v>
      </c>
      <c r="BC611" s="747" t="s">
        <v>1730</v>
      </c>
      <c r="BD611" s="747" t="s">
        <v>248</v>
      </c>
      <c r="BE611" s="186">
        <v>2.5000000000000001E-2</v>
      </c>
      <c r="BF611" s="186">
        <v>5.0000000000000001E-4</v>
      </c>
      <c r="BG611" s="12">
        <v>2.58</v>
      </c>
      <c r="BH611" s="11"/>
      <c r="BI611" s="186"/>
      <c r="BJ611" s="747"/>
      <c r="BK611" s="747"/>
      <c r="BL611" s="747"/>
      <c r="BM611" s="186"/>
      <c r="BN611" s="186"/>
      <c r="BO611" s="12"/>
      <c r="BP611" s="11"/>
      <c r="BQ611" s="186"/>
      <c r="BR611" s="747"/>
      <c r="BS611" s="747"/>
      <c r="BT611" s="747"/>
      <c r="BU611" s="186"/>
      <c r="BV611" s="186"/>
      <c r="BW611" s="12"/>
    </row>
    <row r="612" spans="35:75">
      <c r="AI612" s="757"/>
      <c r="AJ612" s="195"/>
      <c r="AK612" s="186"/>
      <c r="AL612" s="747"/>
      <c r="AM612" s="747"/>
      <c r="AN612" s="747"/>
      <c r="AO612" s="186"/>
      <c r="AP612" s="186"/>
      <c r="AQ612" s="12"/>
      <c r="AR612" s="11"/>
      <c r="AS612" s="186"/>
      <c r="AT612" s="747"/>
      <c r="AU612" s="747"/>
      <c r="AV612" s="747"/>
      <c r="AW612" s="186"/>
      <c r="AX612" s="186"/>
      <c r="AY612" s="12"/>
      <c r="AZ612" s="11" t="s">
        <v>2032</v>
      </c>
      <c r="BA612" s="186" t="s">
        <v>523</v>
      </c>
      <c r="BB612" s="747" t="s">
        <v>1204</v>
      </c>
      <c r="BC612" s="693" t="s">
        <v>1730</v>
      </c>
      <c r="BD612" s="747" t="s">
        <v>248</v>
      </c>
      <c r="BE612" s="186">
        <v>4.4999999999999998E-2</v>
      </c>
      <c r="BF612" s="186">
        <v>9.0000000000000008E-4</v>
      </c>
      <c r="BG612" s="12">
        <v>2.58</v>
      </c>
      <c r="BH612" s="11"/>
      <c r="BI612" s="186"/>
      <c r="BJ612" s="747"/>
      <c r="BK612" s="747"/>
      <c r="BL612" s="747"/>
      <c r="BM612" s="186"/>
      <c r="BN612" s="186"/>
      <c r="BO612" s="12"/>
      <c r="BP612" s="11"/>
      <c r="BQ612" s="186"/>
      <c r="BR612" s="747"/>
      <c r="BS612" s="747"/>
      <c r="BT612" s="747"/>
      <c r="BU612" s="186"/>
      <c r="BV612" s="186"/>
      <c r="BW612" s="12"/>
    </row>
    <row r="613" spans="35:75">
      <c r="AI613" s="757"/>
      <c r="AJ613" s="195"/>
      <c r="AK613" s="186"/>
      <c r="AL613" s="747"/>
      <c r="AM613" s="747"/>
      <c r="AN613" s="747"/>
      <c r="AO613" s="186"/>
      <c r="AP613" s="186"/>
      <c r="AQ613" s="12"/>
      <c r="AR613" s="11"/>
      <c r="AS613" s="186"/>
      <c r="AT613" s="747"/>
      <c r="AU613" s="747"/>
      <c r="AV613" s="747"/>
      <c r="AW613" s="186"/>
      <c r="AX613" s="186"/>
      <c r="AY613" s="12"/>
      <c r="AZ613" s="11" t="s">
        <v>2032</v>
      </c>
      <c r="BA613" s="186" t="s">
        <v>523</v>
      </c>
      <c r="BB613" s="747" t="s">
        <v>1205</v>
      </c>
      <c r="BC613" s="693" t="s">
        <v>1730</v>
      </c>
      <c r="BD613" s="747" t="s">
        <v>248</v>
      </c>
      <c r="BE613" s="186">
        <v>4.4999999999999998E-2</v>
      </c>
      <c r="BF613" s="186">
        <v>9.0000000000000008E-4</v>
      </c>
      <c r="BG613" s="12">
        <v>2.58</v>
      </c>
      <c r="BH613" s="11"/>
      <c r="BI613" s="186"/>
      <c r="BJ613" s="747"/>
      <c r="BK613" s="747"/>
      <c r="BL613" s="747"/>
      <c r="BM613" s="186"/>
      <c r="BN613" s="186"/>
      <c r="BO613" s="12"/>
      <c r="BP613" s="11"/>
      <c r="BQ613" s="186"/>
      <c r="BR613" s="747"/>
      <c r="BS613" s="747"/>
      <c r="BT613" s="747"/>
      <c r="BU613" s="186"/>
      <c r="BV613" s="186"/>
      <c r="BW613" s="12"/>
    </row>
    <row r="614" spans="35:75">
      <c r="AI614" s="757"/>
      <c r="AJ614" s="195"/>
      <c r="AK614" s="186"/>
      <c r="AL614" s="747"/>
      <c r="AM614" s="747"/>
      <c r="AN614" s="747"/>
      <c r="AO614" s="186"/>
      <c r="AP614" s="186"/>
      <c r="AQ614" s="12"/>
      <c r="AR614" s="11"/>
      <c r="AS614" s="186"/>
      <c r="AT614" s="747"/>
      <c r="AU614" s="747"/>
      <c r="AV614" s="747"/>
      <c r="AW614" s="186"/>
      <c r="AX614" s="186"/>
      <c r="AY614" s="12"/>
      <c r="AZ614" s="11" t="s">
        <v>2032</v>
      </c>
      <c r="BA614" s="186" t="s">
        <v>523</v>
      </c>
      <c r="BB614" s="747" t="s">
        <v>1206</v>
      </c>
      <c r="BC614" s="693" t="s">
        <v>1730</v>
      </c>
      <c r="BD614" s="747" t="s">
        <v>248</v>
      </c>
      <c r="BE614" s="186">
        <v>4.4999999999999998E-2</v>
      </c>
      <c r="BF614" s="186">
        <v>9.0000000000000008E-4</v>
      </c>
      <c r="BG614" s="12">
        <v>2.58</v>
      </c>
      <c r="BH614" s="11"/>
      <c r="BI614" s="186"/>
      <c r="BJ614" s="747"/>
      <c r="BK614" s="747"/>
      <c r="BL614" s="747"/>
      <c r="BM614" s="186"/>
      <c r="BN614" s="186"/>
      <c r="BO614" s="12"/>
      <c r="BP614" s="11"/>
      <c r="BQ614" s="186"/>
      <c r="BR614" s="747"/>
      <c r="BS614" s="747"/>
      <c r="BT614" s="747"/>
      <c r="BU614" s="186"/>
      <c r="BV614" s="186"/>
      <c r="BW614" s="12"/>
    </row>
    <row r="615" spans="35:75">
      <c r="AI615" s="757"/>
      <c r="AJ615" s="195"/>
      <c r="AK615" s="186"/>
      <c r="AL615" s="747"/>
      <c r="AM615" s="747"/>
      <c r="AN615" s="747"/>
      <c r="AO615" s="186"/>
      <c r="AP615" s="186"/>
      <c r="AQ615" s="12"/>
      <c r="AR615" s="11"/>
      <c r="AS615" s="186"/>
      <c r="AT615" s="747"/>
      <c r="AU615" s="747"/>
      <c r="AV615" s="747"/>
      <c r="AW615" s="186"/>
      <c r="AX615" s="186"/>
      <c r="AY615" s="12"/>
      <c r="AZ615" s="11" t="s">
        <v>2032</v>
      </c>
      <c r="BA615" s="186" t="s">
        <v>523</v>
      </c>
      <c r="BB615" s="747" t="s">
        <v>1207</v>
      </c>
      <c r="BC615" s="693" t="s">
        <v>1730</v>
      </c>
      <c r="BD615" s="747" t="s">
        <v>248</v>
      </c>
      <c r="BE615" s="186">
        <v>4.4999999999999998E-2</v>
      </c>
      <c r="BF615" s="186">
        <v>9.0000000000000008E-4</v>
      </c>
      <c r="BG615" s="12">
        <v>2.58</v>
      </c>
      <c r="BH615" s="11"/>
      <c r="BI615" s="186"/>
      <c r="BJ615" s="747"/>
      <c r="BK615" s="747"/>
      <c r="BL615" s="747"/>
      <c r="BM615" s="186"/>
      <c r="BN615" s="186"/>
      <c r="BO615" s="12"/>
      <c r="BP615" s="11"/>
      <c r="BQ615" s="186"/>
      <c r="BR615" s="747"/>
      <c r="BS615" s="747"/>
      <c r="BT615" s="747"/>
      <c r="BU615" s="186"/>
      <c r="BV615" s="186"/>
      <c r="BW615" s="12"/>
    </row>
    <row r="616" spans="35:75">
      <c r="AI616" s="757"/>
      <c r="AJ616" s="195"/>
      <c r="AK616" s="186"/>
      <c r="AL616" s="747"/>
      <c r="AM616" s="747"/>
      <c r="AN616" s="747"/>
      <c r="AO616" s="186"/>
      <c r="AP616" s="186"/>
      <c r="AQ616" s="12"/>
      <c r="AR616" s="11"/>
      <c r="AS616" s="186"/>
      <c r="AT616" s="747"/>
      <c r="AU616" s="747"/>
      <c r="AV616" s="747"/>
      <c r="AW616" s="186"/>
      <c r="AX616" s="186"/>
      <c r="AY616" s="12"/>
      <c r="AZ616" s="11" t="s">
        <v>2032</v>
      </c>
      <c r="BA616" s="186" t="s">
        <v>523</v>
      </c>
      <c r="BB616" s="747" t="s">
        <v>1208</v>
      </c>
      <c r="BC616" s="693" t="s">
        <v>1730</v>
      </c>
      <c r="BD616" s="747" t="s">
        <v>248</v>
      </c>
      <c r="BE616" s="186">
        <v>4.4999999999999998E-2</v>
      </c>
      <c r="BF616" s="186">
        <v>9.0000000000000008E-4</v>
      </c>
      <c r="BG616" s="12">
        <v>2.58</v>
      </c>
      <c r="BH616" s="11"/>
      <c r="BI616" s="186"/>
      <c r="BJ616" s="747"/>
      <c r="BK616" s="747"/>
      <c r="BL616" s="747"/>
      <c r="BM616" s="186"/>
      <c r="BN616" s="186"/>
      <c r="BO616" s="12"/>
      <c r="BP616" s="11"/>
      <c r="BQ616" s="186"/>
      <c r="BR616" s="747"/>
      <c r="BS616" s="747"/>
      <c r="BT616" s="747"/>
      <c r="BU616" s="186"/>
      <c r="BV616" s="186"/>
      <c r="BW616" s="12"/>
    </row>
    <row r="617" spans="35:75">
      <c r="AI617" s="757"/>
      <c r="AJ617" s="195"/>
      <c r="AK617" s="186"/>
      <c r="AL617" s="747"/>
      <c r="AM617" s="747"/>
      <c r="AN617" s="747"/>
      <c r="AO617" s="186"/>
      <c r="AP617" s="186"/>
      <c r="AQ617" s="12"/>
      <c r="AR617" s="11"/>
      <c r="AS617" s="186"/>
      <c r="AT617" s="747"/>
      <c r="AU617" s="747"/>
      <c r="AV617" s="747"/>
      <c r="AW617" s="186"/>
      <c r="AX617" s="186"/>
      <c r="AY617" s="12"/>
      <c r="AZ617" s="11" t="s">
        <v>2032</v>
      </c>
      <c r="BA617" s="186" t="s">
        <v>523</v>
      </c>
      <c r="BB617" s="747" t="s">
        <v>1209</v>
      </c>
      <c r="BC617" s="693" t="s">
        <v>1730</v>
      </c>
      <c r="BD617" s="747" t="s">
        <v>248</v>
      </c>
      <c r="BE617" s="186">
        <v>4.4999999999999998E-2</v>
      </c>
      <c r="BF617" s="186">
        <v>9.0000000000000008E-4</v>
      </c>
      <c r="BG617" s="12">
        <v>2.58</v>
      </c>
      <c r="BH617" s="11"/>
      <c r="BI617" s="186"/>
      <c r="BJ617" s="747"/>
      <c r="BK617" s="747"/>
      <c r="BL617" s="747"/>
      <c r="BM617" s="186"/>
      <c r="BN617" s="186"/>
      <c r="BO617" s="12"/>
      <c r="BP617" s="11"/>
      <c r="BQ617" s="186"/>
      <c r="BR617" s="747"/>
      <c r="BS617" s="747"/>
      <c r="BT617" s="747"/>
      <c r="BU617" s="186"/>
      <c r="BV617" s="186"/>
      <c r="BW617" s="12"/>
    </row>
    <row r="618" spans="35:75">
      <c r="AI618" s="757"/>
      <c r="AJ618" s="195"/>
      <c r="AK618" s="186"/>
      <c r="AL618" s="747"/>
      <c r="AM618" s="747"/>
      <c r="AN618" s="747"/>
      <c r="AO618" s="186"/>
      <c r="AP618" s="186"/>
      <c r="AQ618" s="12"/>
      <c r="AR618" s="11"/>
      <c r="AS618" s="186"/>
      <c r="AT618" s="747"/>
      <c r="AU618" s="747"/>
      <c r="AV618" s="747"/>
      <c r="AW618" s="186"/>
      <c r="AX618" s="186"/>
      <c r="AY618" s="12"/>
      <c r="AZ618" s="11" t="s">
        <v>2032</v>
      </c>
      <c r="BA618" s="186" t="s">
        <v>523</v>
      </c>
      <c r="BB618" s="747" t="s">
        <v>1210</v>
      </c>
      <c r="BC618" s="693" t="s">
        <v>1730</v>
      </c>
      <c r="BD618" s="747" t="s">
        <v>248</v>
      </c>
      <c r="BE618" s="186">
        <v>4.4999999999999998E-2</v>
      </c>
      <c r="BF618" s="186">
        <v>9.0000000000000008E-4</v>
      </c>
      <c r="BG618" s="12">
        <v>2.58</v>
      </c>
      <c r="BH618" s="11"/>
      <c r="BI618" s="186"/>
      <c r="BJ618" s="747"/>
      <c r="BK618" s="747"/>
      <c r="BL618" s="747"/>
      <c r="BM618" s="186"/>
      <c r="BN618" s="186"/>
      <c r="BO618" s="12"/>
      <c r="BP618" s="11"/>
      <c r="BQ618" s="186"/>
      <c r="BR618" s="747"/>
      <c r="BS618" s="747"/>
      <c r="BT618" s="747"/>
      <c r="BU618" s="186"/>
      <c r="BV618" s="186"/>
      <c r="BW618" s="12"/>
    </row>
    <row r="619" spans="35:75">
      <c r="AI619" s="757"/>
      <c r="AJ619" s="195"/>
      <c r="AK619" s="186"/>
      <c r="AL619" s="747"/>
      <c r="AM619" s="747"/>
      <c r="AN619" s="747"/>
      <c r="AO619" s="186"/>
      <c r="AP619" s="186"/>
      <c r="AQ619" s="12"/>
      <c r="AR619" s="11"/>
      <c r="AS619" s="186"/>
      <c r="AT619" s="747"/>
      <c r="AU619" s="747"/>
      <c r="AV619" s="747"/>
      <c r="AW619" s="186"/>
      <c r="AX619" s="186"/>
      <c r="AY619" s="12"/>
      <c r="AZ619" s="11" t="s">
        <v>2032</v>
      </c>
      <c r="BA619" s="186" t="s">
        <v>523</v>
      </c>
      <c r="BB619" s="747" t="s">
        <v>1211</v>
      </c>
      <c r="BC619" s="693" t="s">
        <v>1730</v>
      </c>
      <c r="BD619" s="747" t="s">
        <v>248</v>
      </c>
      <c r="BE619" s="186">
        <v>4.4999999999999998E-2</v>
      </c>
      <c r="BF619" s="186">
        <v>9.0000000000000008E-4</v>
      </c>
      <c r="BG619" s="12">
        <v>2.58</v>
      </c>
      <c r="BH619" s="11"/>
      <c r="BI619" s="186"/>
      <c r="BJ619" s="747"/>
      <c r="BK619" s="747"/>
      <c r="BL619" s="747"/>
      <c r="BM619" s="186"/>
      <c r="BN619" s="186"/>
      <c r="BO619" s="12"/>
      <c r="BP619" s="11"/>
      <c r="BQ619" s="186"/>
      <c r="BR619" s="747"/>
      <c r="BS619" s="747"/>
      <c r="BT619" s="747"/>
      <c r="BU619" s="186"/>
      <c r="BV619" s="186"/>
      <c r="BW619" s="12"/>
    </row>
    <row r="620" spans="35:75">
      <c r="AI620" s="757"/>
      <c r="AJ620" s="195"/>
      <c r="AK620" s="186"/>
      <c r="AL620" s="747"/>
      <c r="AM620" s="747"/>
      <c r="AN620" s="747"/>
      <c r="AO620" s="186"/>
      <c r="AP620" s="186"/>
      <c r="AQ620" s="12"/>
      <c r="AR620" s="11"/>
      <c r="AS620" s="186"/>
      <c r="AT620" s="747"/>
      <c r="AU620" s="747"/>
      <c r="AV620" s="747"/>
      <c r="AW620" s="186"/>
      <c r="AX620" s="186"/>
      <c r="AY620" s="12"/>
      <c r="AZ620" s="11" t="s">
        <v>2032</v>
      </c>
      <c r="BA620" s="186" t="s">
        <v>591</v>
      </c>
      <c r="BB620" s="747" t="s">
        <v>1212</v>
      </c>
      <c r="BC620" s="693" t="s">
        <v>1730</v>
      </c>
      <c r="BD620" s="747" t="s">
        <v>248</v>
      </c>
      <c r="BE620" s="186">
        <v>4.4999999999999998E-2</v>
      </c>
      <c r="BF620" s="186">
        <v>9.0000000000000008E-4</v>
      </c>
      <c r="BG620" s="12">
        <v>2.58</v>
      </c>
      <c r="BH620" s="11"/>
      <c r="BI620" s="186"/>
      <c r="BJ620" s="747"/>
      <c r="BK620" s="747"/>
      <c r="BL620" s="747"/>
      <c r="BM620" s="186"/>
      <c r="BN620" s="186"/>
      <c r="BO620" s="12"/>
      <c r="BP620" s="11"/>
      <c r="BQ620" s="186"/>
      <c r="BR620" s="747"/>
      <c r="BS620" s="747"/>
      <c r="BT620" s="747"/>
      <c r="BU620" s="186"/>
      <c r="BV620" s="186"/>
      <c r="BW620" s="12"/>
    </row>
    <row r="621" spans="35:75">
      <c r="AI621" s="757"/>
      <c r="AJ621" s="195"/>
      <c r="AK621" s="186"/>
      <c r="AL621" s="747"/>
      <c r="AM621" s="747"/>
      <c r="AN621" s="747"/>
      <c r="AO621" s="186"/>
      <c r="AP621" s="186"/>
      <c r="AQ621" s="12"/>
      <c r="AR621" s="11"/>
      <c r="AS621" s="186"/>
      <c r="AT621" s="747"/>
      <c r="AU621" s="747"/>
      <c r="AV621" s="747"/>
      <c r="AW621" s="186"/>
      <c r="AX621" s="186"/>
      <c r="AY621" s="12"/>
      <c r="AZ621" s="11" t="s">
        <v>2032</v>
      </c>
      <c r="BA621" s="186" t="s">
        <v>591</v>
      </c>
      <c r="BB621" s="747" t="s">
        <v>1213</v>
      </c>
      <c r="BC621" s="693" t="s">
        <v>1730</v>
      </c>
      <c r="BD621" s="747" t="s">
        <v>248</v>
      </c>
      <c r="BE621" s="186">
        <v>4.4999999999999998E-2</v>
      </c>
      <c r="BF621" s="186">
        <v>9.0000000000000008E-4</v>
      </c>
      <c r="BG621" s="12">
        <v>2.58</v>
      </c>
      <c r="BH621" s="11"/>
      <c r="BI621" s="186"/>
      <c r="BJ621" s="747"/>
      <c r="BK621" s="747"/>
      <c r="BL621" s="747"/>
      <c r="BM621" s="186"/>
      <c r="BN621" s="186"/>
      <c r="BO621" s="12"/>
      <c r="BP621" s="11"/>
      <c r="BQ621" s="186"/>
      <c r="BR621" s="747"/>
      <c r="BS621" s="747"/>
      <c r="BT621" s="747"/>
      <c r="BU621" s="186"/>
      <c r="BV621" s="186"/>
      <c r="BW621" s="12"/>
    </row>
    <row r="622" spans="35:75">
      <c r="AI622" s="757"/>
      <c r="AJ622" s="195"/>
      <c r="AK622" s="186"/>
      <c r="AL622" s="747"/>
      <c r="AM622" s="747"/>
      <c r="AN622" s="747"/>
      <c r="AO622" s="186"/>
      <c r="AP622" s="186"/>
      <c r="AQ622" s="12"/>
      <c r="AR622" s="11"/>
      <c r="AS622" s="186"/>
      <c r="AT622" s="747"/>
      <c r="AU622" s="747"/>
      <c r="AV622" s="747"/>
      <c r="AW622" s="186"/>
      <c r="AX622" s="186"/>
      <c r="AY622" s="12"/>
      <c r="AZ622" s="11" t="s">
        <v>2032</v>
      </c>
      <c r="BA622" s="186" t="s">
        <v>591</v>
      </c>
      <c r="BB622" s="747" t="s">
        <v>1214</v>
      </c>
      <c r="BC622" s="693" t="s">
        <v>1730</v>
      </c>
      <c r="BD622" s="747" t="s">
        <v>248</v>
      </c>
      <c r="BE622" s="186">
        <v>4.4999999999999998E-2</v>
      </c>
      <c r="BF622" s="186">
        <v>9.0000000000000008E-4</v>
      </c>
      <c r="BG622" s="12">
        <v>2.58</v>
      </c>
      <c r="BH622" s="11"/>
      <c r="BI622" s="186"/>
      <c r="BJ622" s="747"/>
      <c r="BK622" s="747"/>
      <c r="BL622" s="747"/>
      <c r="BM622" s="186"/>
      <c r="BN622" s="186"/>
      <c r="BO622" s="12"/>
      <c r="BP622" s="11"/>
      <c r="BQ622" s="186"/>
      <c r="BR622" s="747"/>
      <c r="BS622" s="747"/>
      <c r="BT622" s="747"/>
      <c r="BU622" s="186"/>
      <c r="BV622" s="186"/>
      <c r="BW622" s="12"/>
    </row>
    <row r="623" spans="35:75">
      <c r="AI623" s="757"/>
      <c r="AJ623" s="195"/>
      <c r="AK623" s="186"/>
      <c r="AL623" s="747"/>
      <c r="AM623" s="747"/>
      <c r="AN623" s="747"/>
      <c r="AO623" s="186"/>
      <c r="AP623" s="186"/>
      <c r="AQ623" s="12"/>
      <c r="AR623" s="11"/>
      <c r="AS623" s="186"/>
      <c r="AT623" s="747"/>
      <c r="AU623" s="747"/>
      <c r="AV623" s="747"/>
      <c r="AW623" s="186"/>
      <c r="AX623" s="186"/>
      <c r="AY623" s="12"/>
      <c r="AZ623" s="11" t="s">
        <v>2032</v>
      </c>
      <c r="BA623" s="186" t="s">
        <v>591</v>
      </c>
      <c r="BB623" s="747" t="s">
        <v>1215</v>
      </c>
      <c r="BC623" s="693" t="s">
        <v>1730</v>
      </c>
      <c r="BD623" s="747" t="s">
        <v>248</v>
      </c>
      <c r="BE623" s="186">
        <v>4.4999999999999998E-2</v>
      </c>
      <c r="BF623" s="186">
        <v>9.0000000000000008E-4</v>
      </c>
      <c r="BG623" s="12">
        <v>2.58</v>
      </c>
      <c r="BH623" s="11"/>
      <c r="BI623" s="186"/>
      <c r="BJ623" s="747"/>
      <c r="BK623" s="747"/>
      <c r="BL623" s="747"/>
      <c r="BM623" s="186"/>
      <c r="BN623" s="186"/>
      <c r="BO623" s="12"/>
      <c r="BP623" s="11"/>
      <c r="BQ623" s="186"/>
      <c r="BR623" s="747"/>
      <c r="BS623" s="747"/>
      <c r="BT623" s="747"/>
      <c r="BU623" s="186"/>
      <c r="BV623" s="186"/>
      <c r="BW623" s="12"/>
    </row>
    <row r="624" spans="35:75">
      <c r="AI624" s="757"/>
      <c r="AJ624" s="195"/>
      <c r="AK624" s="186"/>
      <c r="AL624" s="747"/>
      <c r="AM624" s="747"/>
      <c r="AN624" s="747"/>
      <c r="AO624" s="186"/>
      <c r="AP624" s="186"/>
      <c r="AQ624" s="12"/>
      <c r="AR624" s="11"/>
      <c r="AS624" s="186"/>
      <c r="AT624" s="747"/>
      <c r="AU624" s="747"/>
      <c r="AV624" s="747"/>
      <c r="AW624" s="186"/>
      <c r="AX624" s="186"/>
      <c r="AY624" s="12"/>
      <c r="AZ624" s="11" t="s">
        <v>2032</v>
      </c>
      <c r="BA624" s="186" t="s">
        <v>591</v>
      </c>
      <c r="BB624" s="747" t="s">
        <v>1216</v>
      </c>
      <c r="BC624" s="693" t="s">
        <v>1730</v>
      </c>
      <c r="BD624" s="747" t="s">
        <v>248</v>
      </c>
      <c r="BE624" s="186">
        <v>4.4999999999999998E-2</v>
      </c>
      <c r="BF624" s="186">
        <v>9.0000000000000008E-4</v>
      </c>
      <c r="BG624" s="12">
        <v>2.58</v>
      </c>
      <c r="BH624" s="11"/>
      <c r="BI624" s="186"/>
      <c r="BJ624" s="747"/>
      <c r="BK624" s="747"/>
      <c r="BL624" s="747"/>
      <c r="BM624" s="186"/>
      <c r="BN624" s="186"/>
      <c r="BO624" s="12"/>
      <c r="BP624" s="11"/>
      <c r="BQ624" s="186"/>
      <c r="BR624" s="747"/>
      <c r="BS624" s="747"/>
      <c r="BT624" s="747"/>
      <c r="BU624" s="186"/>
      <c r="BV624" s="186"/>
      <c r="BW624" s="12"/>
    </row>
    <row r="625" spans="1:75">
      <c r="AI625" s="757"/>
      <c r="AJ625" s="195"/>
      <c r="AK625" s="186"/>
      <c r="AL625" s="747"/>
      <c r="AM625" s="747"/>
      <c r="AN625" s="747"/>
      <c r="AO625" s="186"/>
      <c r="AP625" s="186"/>
      <c r="AQ625" s="12"/>
      <c r="AR625" s="11"/>
      <c r="AS625" s="186"/>
      <c r="AT625" s="747"/>
      <c r="AU625" s="747"/>
      <c r="AV625" s="747"/>
      <c r="AW625" s="186"/>
      <c r="AX625" s="186"/>
      <c r="AY625" s="12"/>
      <c r="AZ625" s="11" t="s">
        <v>2032</v>
      </c>
      <c r="BA625" s="186" t="s">
        <v>591</v>
      </c>
      <c r="BB625" s="747" t="s">
        <v>1217</v>
      </c>
      <c r="BC625" s="693" t="s">
        <v>1730</v>
      </c>
      <c r="BD625" s="747" t="s">
        <v>248</v>
      </c>
      <c r="BE625" s="186">
        <v>4.4999999999999998E-2</v>
      </c>
      <c r="BF625" s="186">
        <v>9.0000000000000008E-4</v>
      </c>
      <c r="BG625" s="12">
        <v>2.58</v>
      </c>
      <c r="BH625" s="11"/>
      <c r="BI625" s="186"/>
      <c r="BJ625" s="747"/>
      <c r="BK625" s="747"/>
      <c r="BL625" s="747"/>
      <c r="BM625" s="186"/>
      <c r="BN625" s="186"/>
      <c r="BO625" s="12"/>
      <c r="BP625" s="11"/>
      <c r="BQ625" s="186"/>
      <c r="BR625" s="747"/>
      <c r="BS625" s="747"/>
      <c r="BT625" s="747"/>
      <c r="BU625" s="186"/>
      <c r="BV625" s="186"/>
      <c r="BW625" s="12"/>
    </row>
    <row r="626" spans="1:75">
      <c r="AI626" s="757"/>
      <c r="AJ626" s="195"/>
      <c r="AK626" s="186"/>
      <c r="AL626" s="747"/>
      <c r="AM626" s="747"/>
      <c r="AN626" s="747"/>
      <c r="AO626" s="186"/>
      <c r="AP626" s="186"/>
      <c r="AQ626" s="12"/>
      <c r="AR626" s="11"/>
      <c r="AS626" s="186"/>
      <c r="AT626" s="747"/>
      <c r="AU626" s="747"/>
      <c r="AV626" s="747"/>
      <c r="AW626" s="186"/>
      <c r="AX626" s="186"/>
      <c r="AY626" s="12"/>
      <c r="AZ626" s="11" t="s">
        <v>2032</v>
      </c>
      <c r="BA626" s="186" t="s">
        <v>591</v>
      </c>
      <c r="BB626" s="747" t="s">
        <v>1218</v>
      </c>
      <c r="BC626" s="693" t="s">
        <v>1730</v>
      </c>
      <c r="BD626" s="747" t="s">
        <v>248</v>
      </c>
      <c r="BE626" s="186">
        <v>4.4999999999999998E-2</v>
      </c>
      <c r="BF626" s="186">
        <v>9.0000000000000008E-4</v>
      </c>
      <c r="BG626" s="12">
        <v>2.58</v>
      </c>
      <c r="BH626" s="11"/>
      <c r="BI626" s="186"/>
      <c r="BJ626" s="747"/>
      <c r="BK626" s="747"/>
      <c r="BL626" s="747"/>
      <c r="BM626" s="186"/>
      <c r="BN626" s="186"/>
      <c r="BO626" s="12"/>
      <c r="BP626" s="11"/>
      <c r="BQ626" s="186"/>
      <c r="BR626" s="747"/>
      <c r="BS626" s="747"/>
      <c r="BT626" s="747"/>
      <c r="BU626" s="186"/>
      <c r="BV626" s="186"/>
      <c r="BW626" s="12"/>
    </row>
    <row r="627" spans="1:75">
      <c r="AI627" s="757"/>
      <c r="AJ627" s="195"/>
      <c r="AK627" s="186"/>
      <c r="AL627" s="747"/>
      <c r="AM627" s="747"/>
      <c r="AN627" s="747"/>
      <c r="AO627" s="186"/>
      <c r="AP627" s="186"/>
      <c r="AQ627" s="12"/>
      <c r="AR627" s="11"/>
      <c r="AS627" s="186"/>
      <c r="AT627" s="747"/>
      <c r="AU627" s="747"/>
      <c r="AV627" s="747"/>
      <c r="AW627" s="186"/>
      <c r="AX627" s="186"/>
      <c r="AY627" s="12"/>
      <c r="AZ627" s="11" t="s">
        <v>2032</v>
      </c>
      <c r="BA627" s="186" t="s">
        <v>591</v>
      </c>
      <c r="BB627" s="747" t="s">
        <v>1219</v>
      </c>
      <c r="BC627" s="693" t="s">
        <v>1730</v>
      </c>
      <c r="BD627" s="747" t="s">
        <v>248</v>
      </c>
      <c r="BE627" s="186">
        <v>4.4999999999999998E-2</v>
      </c>
      <c r="BF627" s="186">
        <v>9.0000000000000008E-4</v>
      </c>
      <c r="BG627" s="12">
        <v>2.58</v>
      </c>
      <c r="BH627" s="11"/>
      <c r="BI627" s="186"/>
      <c r="BJ627" s="747"/>
      <c r="BK627" s="747"/>
      <c r="BL627" s="747"/>
      <c r="BM627" s="186"/>
      <c r="BN627" s="186"/>
      <c r="BO627" s="12"/>
      <c r="BP627" s="11"/>
      <c r="BQ627" s="186"/>
      <c r="BR627" s="747"/>
      <c r="BS627" s="747"/>
      <c r="BT627" s="747"/>
      <c r="BU627" s="186"/>
      <c r="BV627" s="186"/>
      <c r="BW627" s="12"/>
    </row>
    <row r="628" spans="1:75">
      <c r="AI628" s="757"/>
      <c r="AJ628" s="195"/>
      <c r="AK628" s="186"/>
      <c r="AL628" s="747"/>
      <c r="AM628" s="747"/>
      <c r="AN628" s="747"/>
      <c r="AO628" s="186"/>
      <c r="AP628" s="186"/>
      <c r="AQ628" s="12"/>
      <c r="AR628" s="11"/>
      <c r="AS628" s="186"/>
      <c r="AT628" s="747"/>
      <c r="AU628" s="747"/>
      <c r="AV628" s="747"/>
      <c r="AW628" s="186"/>
      <c r="AX628" s="186"/>
      <c r="AY628" s="12"/>
      <c r="AZ628" s="685" t="s">
        <v>2032</v>
      </c>
      <c r="BA628" s="686" t="s">
        <v>1710</v>
      </c>
      <c r="BB628" s="687" t="s">
        <v>2623</v>
      </c>
      <c r="BC628" s="687" t="s">
        <v>1730</v>
      </c>
      <c r="BD628" s="687" t="s">
        <v>247</v>
      </c>
      <c r="BE628" s="686">
        <v>3.7499999999999999E-2</v>
      </c>
      <c r="BF628" s="686">
        <v>7.5000000000000002E-4</v>
      </c>
      <c r="BG628" s="688">
        <v>2.58</v>
      </c>
      <c r="BH628" s="11"/>
      <c r="BI628" s="186"/>
      <c r="BJ628" s="747"/>
      <c r="BK628" s="747"/>
      <c r="BL628" s="747"/>
      <c r="BM628" s="186"/>
      <c r="BN628" s="186"/>
      <c r="BO628" s="12"/>
      <c r="BP628" s="11"/>
      <c r="BQ628" s="186"/>
      <c r="BR628" s="747"/>
      <c r="BS628" s="747"/>
      <c r="BT628" s="747"/>
      <c r="BU628" s="186"/>
      <c r="BV628" s="186"/>
      <c r="BW628" s="12"/>
    </row>
    <row r="629" spans="1:75">
      <c r="AI629" s="757"/>
      <c r="AJ629" s="195"/>
      <c r="AK629" s="186"/>
      <c r="AL629" s="747"/>
      <c r="AM629" s="747"/>
      <c r="AN629" s="747"/>
      <c r="AO629" s="186"/>
      <c r="AP629" s="186"/>
      <c r="AQ629" s="12"/>
      <c r="AR629" s="11"/>
      <c r="AS629" s="186"/>
      <c r="AT629" s="747"/>
      <c r="AU629" s="747"/>
      <c r="AV629" s="747"/>
      <c r="AW629" s="186"/>
      <c r="AX629" s="186"/>
      <c r="AY629" s="12"/>
      <c r="AZ629" s="685" t="s">
        <v>2032</v>
      </c>
      <c r="BA629" s="686" t="s">
        <v>1710</v>
      </c>
      <c r="BB629" s="687" t="s">
        <v>2624</v>
      </c>
      <c r="BC629" s="687" t="s">
        <v>2495</v>
      </c>
      <c r="BD629" s="762" t="s">
        <v>2692</v>
      </c>
      <c r="BE629" s="686">
        <v>0.13500000000000001</v>
      </c>
      <c r="BF629" s="686">
        <v>2.7000000000000001E-3</v>
      </c>
      <c r="BG629" s="688">
        <v>2.58</v>
      </c>
      <c r="BH629" s="11"/>
      <c r="BI629" s="186"/>
      <c r="BJ629" s="747"/>
      <c r="BK629" s="747"/>
      <c r="BL629" s="747"/>
      <c r="BM629" s="186"/>
      <c r="BN629" s="186"/>
      <c r="BO629" s="12"/>
      <c r="BP629" s="11"/>
      <c r="BQ629" s="186"/>
      <c r="BR629" s="747"/>
      <c r="BS629" s="747"/>
      <c r="BT629" s="747"/>
      <c r="BU629" s="186"/>
      <c r="BV629" s="186"/>
      <c r="BW629" s="12"/>
    </row>
    <row r="630" spans="1:75">
      <c r="A630" s="1" t="s">
        <v>1144</v>
      </c>
      <c r="B630" s="1" t="s">
        <v>1083</v>
      </c>
      <c r="C630" s="1" t="s">
        <v>1084</v>
      </c>
      <c r="D630" s="1" t="s">
        <v>523</v>
      </c>
      <c r="E630" s="1" t="s">
        <v>607</v>
      </c>
      <c r="F630" s="1">
        <v>3.7499999999999999E-2</v>
      </c>
      <c r="G630" s="1">
        <v>1.75E-3</v>
      </c>
      <c r="J630" s="1" t="s">
        <v>759</v>
      </c>
      <c r="AI630" s="757"/>
      <c r="AJ630" s="195"/>
      <c r="AK630" s="186"/>
      <c r="AL630" s="747"/>
      <c r="AM630" s="747"/>
      <c r="AN630" s="747"/>
      <c r="AO630" s="186"/>
      <c r="AP630" s="186"/>
      <c r="AQ630" s="12"/>
      <c r="AR630" s="11"/>
      <c r="AS630" s="186"/>
      <c r="AT630" s="747"/>
      <c r="AU630" s="747"/>
      <c r="AV630" s="747"/>
      <c r="AW630" s="186"/>
      <c r="AX630" s="186"/>
      <c r="AY630" s="12"/>
      <c r="AZ630" s="685" t="s">
        <v>2032</v>
      </c>
      <c r="BA630" s="686" t="s">
        <v>1710</v>
      </c>
      <c r="BB630" s="687" t="s">
        <v>2625</v>
      </c>
      <c r="BC630" s="687" t="s">
        <v>2495</v>
      </c>
      <c r="BD630" s="762" t="s">
        <v>2692</v>
      </c>
      <c r="BE630" s="686">
        <v>0.13500000000000001</v>
      </c>
      <c r="BF630" s="686">
        <v>3.0000000000000001E-3</v>
      </c>
      <c r="BG630" s="688">
        <v>2.58</v>
      </c>
      <c r="BH630" s="11"/>
      <c r="BI630" s="186"/>
      <c r="BJ630" s="747"/>
      <c r="BK630" s="747"/>
      <c r="BL630" s="747"/>
      <c r="BM630" s="186"/>
      <c r="BN630" s="186"/>
      <c r="BO630" s="12"/>
      <c r="BP630" s="11"/>
      <c r="BQ630" s="186"/>
      <c r="BR630" s="747"/>
      <c r="BS630" s="747"/>
      <c r="BT630" s="747"/>
      <c r="BU630" s="186"/>
      <c r="BV630" s="186"/>
      <c r="BW630" s="12"/>
    </row>
    <row r="631" spans="1:75">
      <c r="A631" s="1" t="s">
        <v>1145</v>
      </c>
      <c r="B631" s="1" t="s">
        <v>1146</v>
      </c>
      <c r="C631" s="1" t="s">
        <v>1147</v>
      </c>
      <c r="D631" s="1" t="s">
        <v>1862</v>
      </c>
      <c r="E631" s="1" t="s">
        <v>1817</v>
      </c>
      <c r="F631" s="1">
        <v>0.9</v>
      </c>
      <c r="G631" s="1">
        <v>6.5000000000000002E-2</v>
      </c>
      <c r="H631" s="1">
        <v>2.62</v>
      </c>
      <c r="I631" s="1" t="s">
        <v>963</v>
      </c>
      <c r="AI631" s="757"/>
      <c r="AJ631" s="195"/>
      <c r="AK631" s="186"/>
      <c r="AL631" s="747"/>
      <c r="AM631" s="747"/>
      <c r="AN631" s="747"/>
      <c r="AO631" s="186"/>
      <c r="AP631" s="186"/>
      <c r="AQ631" s="12"/>
      <c r="AR631" s="11"/>
      <c r="AS631" s="186"/>
      <c r="AT631" s="747"/>
      <c r="AU631" s="747"/>
      <c r="AV631" s="747"/>
      <c r="AW631" s="186"/>
      <c r="AX631" s="186"/>
      <c r="AY631" s="12"/>
      <c r="AZ631" s="685" t="s">
        <v>2032</v>
      </c>
      <c r="BA631" s="686" t="s">
        <v>1710</v>
      </c>
      <c r="BB631" s="687" t="s">
        <v>2626</v>
      </c>
      <c r="BC631" s="687" t="s">
        <v>2518</v>
      </c>
      <c r="BD631" s="762" t="s">
        <v>2692</v>
      </c>
      <c r="BE631" s="686">
        <v>0.15</v>
      </c>
      <c r="BF631" s="686">
        <v>2.7000000000000001E-3</v>
      </c>
      <c r="BG631" s="688">
        <v>2.58</v>
      </c>
      <c r="BH631" s="11"/>
      <c r="BI631" s="186"/>
      <c r="BJ631" s="747"/>
      <c r="BK631" s="747"/>
      <c r="BL631" s="747"/>
      <c r="BM631" s="186"/>
      <c r="BN631" s="186"/>
      <c r="BO631" s="12"/>
      <c r="BP631" s="11"/>
      <c r="BQ631" s="186"/>
      <c r="BR631" s="747"/>
      <c r="BS631" s="747"/>
      <c r="BT631" s="747"/>
      <c r="BU631" s="186"/>
      <c r="BV631" s="186"/>
      <c r="BW631" s="12"/>
    </row>
    <row r="632" spans="1:75">
      <c r="A632" s="1" t="s">
        <v>1148</v>
      </c>
      <c r="B632" s="1" t="s">
        <v>1146</v>
      </c>
      <c r="C632" s="1" t="s">
        <v>1147</v>
      </c>
      <c r="D632" s="1" t="s">
        <v>1864</v>
      </c>
      <c r="E632" s="1" t="s">
        <v>1838</v>
      </c>
      <c r="F632" s="1">
        <v>0.75</v>
      </c>
      <c r="G632" s="1">
        <v>6.5000000000000002E-2</v>
      </c>
      <c r="H632" s="1">
        <v>2.62</v>
      </c>
      <c r="I632" s="1" t="s">
        <v>963</v>
      </c>
      <c r="AI632" s="757"/>
      <c r="AJ632" s="195"/>
      <c r="AK632" s="186"/>
      <c r="AL632" s="747"/>
      <c r="AM632" s="747"/>
      <c r="AN632" s="747"/>
      <c r="AO632" s="186"/>
      <c r="AP632" s="186"/>
      <c r="AQ632" s="12"/>
      <c r="AR632" s="11"/>
      <c r="AS632" s="186"/>
      <c r="AT632" s="747"/>
      <c r="AU632" s="747"/>
      <c r="AV632" s="747"/>
      <c r="AW632" s="186"/>
      <c r="AX632" s="186"/>
      <c r="AY632" s="12"/>
      <c r="AZ632" s="685" t="s">
        <v>2032</v>
      </c>
      <c r="BA632" s="686" t="s">
        <v>523</v>
      </c>
      <c r="BB632" s="687" t="s">
        <v>2627</v>
      </c>
      <c r="BC632" s="687" t="s">
        <v>1730</v>
      </c>
      <c r="BD632" s="687" t="s">
        <v>248</v>
      </c>
      <c r="BE632" s="686">
        <v>0.05</v>
      </c>
      <c r="BF632" s="686">
        <v>1E-3</v>
      </c>
      <c r="BG632" s="688">
        <v>2.58</v>
      </c>
      <c r="BH632" s="11"/>
      <c r="BI632" s="186"/>
      <c r="BJ632" s="747"/>
      <c r="BK632" s="747"/>
      <c r="BL632" s="747"/>
      <c r="BM632" s="186"/>
      <c r="BN632" s="186"/>
      <c r="BO632" s="12"/>
      <c r="BP632" s="11"/>
      <c r="BQ632" s="186"/>
      <c r="BR632" s="747"/>
      <c r="BS632" s="747"/>
      <c r="BT632" s="747"/>
      <c r="BU632" s="186"/>
      <c r="BV632" s="186"/>
      <c r="BW632" s="12"/>
    </row>
    <row r="633" spans="1:75">
      <c r="A633" s="1" t="s">
        <v>1149</v>
      </c>
      <c r="B633" s="1" t="s">
        <v>1146</v>
      </c>
      <c r="C633" s="1" t="s">
        <v>1147</v>
      </c>
      <c r="D633" s="1" t="s">
        <v>1865</v>
      </c>
      <c r="E633" s="1" t="s">
        <v>1807</v>
      </c>
      <c r="F633" s="1">
        <v>0.65</v>
      </c>
      <c r="G633" s="1">
        <v>6.5000000000000002E-2</v>
      </c>
      <c r="H633" s="1">
        <v>2.62</v>
      </c>
      <c r="I633" s="1" t="s">
        <v>963</v>
      </c>
      <c r="AI633" s="757"/>
      <c r="AJ633" s="195"/>
      <c r="AK633" s="186"/>
      <c r="AL633" s="747"/>
      <c r="AM633" s="747"/>
      <c r="AN633" s="747"/>
      <c r="AO633" s="186"/>
      <c r="AP633" s="186"/>
      <c r="AQ633" s="12"/>
      <c r="AR633" s="11"/>
      <c r="AS633" s="186"/>
      <c r="AT633" s="747"/>
      <c r="AU633" s="747"/>
      <c r="AV633" s="747"/>
      <c r="AW633" s="186"/>
      <c r="AX633" s="186"/>
      <c r="AY633" s="12"/>
      <c r="AZ633" s="685" t="s">
        <v>2032</v>
      </c>
      <c r="BA633" s="686" t="s">
        <v>523</v>
      </c>
      <c r="BB633" s="687" t="s">
        <v>2628</v>
      </c>
      <c r="BC633" s="687" t="s">
        <v>1730</v>
      </c>
      <c r="BD633" s="687" t="s">
        <v>248</v>
      </c>
      <c r="BE633" s="686">
        <v>2.5000000000000001E-2</v>
      </c>
      <c r="BF633" s="686">
        <v>5.0000000000000001E-4</v>
      </c>
      <c r="BG633" s="688">
        <v>2.58</v>
      </c>
      <c r="BH633" s="11"/>
      <c r="BI633" s="186"/>
      <c r="BJ633" s="747"/>
      <c r="BK633" s="747"/>
      <c r="BL633" s="747"/>
      <c r="BM633" s="186"/>
      <c r="BN633" s="186"/>
      <c r="BO633" s="12"/>
      <c r="BP633" s="11"/>
      <c r="BQ633" s="186"/>
      <c r="BR633" s="747"/>
      <c r="BS633" s="747"/>
      <c r="BT633" s="747"/>
      <c r="BU633" s="186"/>
      <c r="BV633" s="186"/>
      <c r="BW633" s="12"/>
    </row>
    <row r="634" spans="1:75">
      <c r="A634" s="1" t="s">
        <v>1150</v>
      </c>
      <c r="B634" s="1" t="s">
        <v>1146</v>
      </c>
      <c r="C634" s="1" t="s">
        <v>1147</v>
      </c>
      <c r="D634" s="1" t="s">
        <v>1865</v>
      </c>
      <c r="E634" s="1" t="s">
        <v>1808</v>
      </c>
      <c r="F634" s="1">
        <v>0.65</v>
      </c>
      <c r="G634" s="1">
        <v>6.5000000000000002E-2</v>
      </c>
      <c r="H634" s="1">
        <v>2.62</v>
      </c>
      <c r="I634" s="1" t="s">
        <v>963</v>
      </c>
      <c r="AI634" s="757"/>
      <c r="AJ634" s="195"/>
      <c r="AK634" s="186"/>
      <c r="AL634" s="747"/>
      <c r="AM634" s="747"/>
      <c r="AN634" s="747"/>
      <c r="AO634" s="186"/>
      <c r="AP634" s="186"/>
      <c r="AQ634" s="12"/>
      <c r="AR634" s="11"/>
      <c r="AS634" s="186"/>
      <c r="AT634" s="747"/>
      <c r="AU634" s="747"/>
      <c r="AV634" s="747"/>
      <c r="AW634" s="186"/>
      <c r="AX634" s="186"/>
      <c r="AY634" s="12"/>
      <c r="AZ634" s="685" t="s">
        <v>2032</v>
      </c>
      <c r="BA634" s="686" t="s">
        <v>523</v>
      </c>
      <c r="BB634" s="687" t="s">
        <v>2629</v>
      </c>
      <c r="BC634" s="687" t="s">
        <v>1730</v>
      </c>
      <c r="BD634" s="687" t="s">
        <v>248</v>
      </c>
      <c r="BE634" s="686">
        <v>1.2500000000000001E-2</v>
      </c>
      <c r="BF634" s="686">
        <v>2.5000000000000001E-4</v>
      </c>
      <c r="BG634" s="688">
        <v>2.58</v>
      </c>
      <c r="BH634" s="11"/>
      <c r="BI634" s="186"/>
      <c r="BJ634" s="747"/>
      <c r="BK634" s="747"/>
      <c r="BL634" s="747"/>
      <c r="BM634" s="186"/>
      <c r="BN634" s="186"/>
      <c r="BO634" s="12"/>
      <c r="BP634" s="11"/>
      <c r="BQ634" s="186"/>
      <c r="BR634" s="747"/>
      <c r="BS634" s="747"/>
      <c r="BT634" s="747"/>
      <c r="BU634" s="186"/>
      <c r="BV634" s="186"/>
      <c r="BW634" s="12"/>
    </row>
    <row r="635" spans="1:75">
      <c r="AI635" s="757"/>
      <c r="AJ635" s="195"/>
      <c r="AK635" s="186"/>
      <c r="AL635" s="747"/>
      <c r="AM635" s="747"/>
      <c r="AN635" s="747"/>
      <c r="AO635" s="186"/>
      <c r="AP635" s="186"/>
      <c r="AQ635" s="12"/>
      <c r="AR635" s="11"/>
      <c r="AS635" s="186"/>
      <c r="AT635" s="747"/>
      <c r="AU635" s="747"/>
      <c r="AV635" s="747"/>
      <c r="AW635" s="186"/>
      <c r="AX635" s="186"/>
      <c r="AY635" s="12"/>
      <c r="AZ635" s="685" t="s">
        <v>2032</v>
      </c>
      <c r="BA635" s="686" t="s">
        <v>523</v>
      </c>
      <c r="BB635" s="687" t="s">
        <v>2630</v>
      </c>
      <c r="BC635" s="687" t="s">
        <v>1180</v>
      </c>
      <c r="BD635" s="687" t="s">
        <v>248</v>
      </c>
      <c r="BE635" s="686">
        <v>2.5000000000000001E-2</v>
      </c>
      <c r="BF635" s="686">
        <v>5.0000000000000001E-4</v>
      </c>
      <c r="BG635" s="688">
        <v>2.58</v>
      </c>
      <c r="BH635" s="11"/>
      <c r="BI635" s="186"/>
      <c r="BJ635" s="747"/>
      <c r="BK635" s="747"/>
      <c r="BL635" s="747"/>
      <c r="BM635" s="186"/>
      <c r="BN635" s="186"/>
      <c r="BO635" s="12"/>
      <c r="BP635" s="11"/>
      <c r="BQ635" s="186"/>
      <c r="BR635" s="747"/>
      <c r="BS635" s="747"/>
      <c r="BT635" s="747"/>
      <c r="BU635" s="186"/>
      <c r="BV635" s="186"/>
      <c r="BW635" s="12"/>
    </row>
    <row r="636" spans="1:75">
      <c r="AI636" s="757"/>
      <c r="AJ636" s="195"/>
      <c r="AK636" s="186"/>
      <c r="AL636" s="747"/>
      <c r="AM636" s="747"/>
      <c r="AN636" s="747"/>
      <c r="AO636" s="186"/>
      <c r="AP636" s="186"/>
      <c r="AQ636" s="12"/>
      <c r="AR636" s="11"/>
      <c r="AS636" s="186"/>
      <c r="AT636" s="747"/>
      <c r="AU636" s="747"/>
      <c r="AV636" s="747"/>
      <c r="AW636" s="186"/>
      <c r="AX636" s="186"/>
      <c r="AY636" s="12"/>
      <c r="AZ636" s="685" t="s">
        <v>2032</v>
      </c>
      <c r="BA636" s="686" t="s">
        <v>523</v>
      </c>
      <c r="BB636" s="687" t="s">
        <v>2631</v>
      </c>
      <c r="BC636" s="687" t="s">
        <v>1181</v>
      </c>
      <c r="BD636" s="687" t="s">
        <v>248</v>
      </c>
      <c r="BE636" s="686">
        <v>1.2500000000000001E-2</v>
      </c>
      <c r="BF636" s="686">
        <v>2.5000000000000001E-4</v>
      </c>
      <c r="BG636" s="688">
        <v>2.58</v>
      </c>
      <c r="BH636" s="11"/>
      <c r="BI636" s="186"/>
      <c r="BJ636" s="747"/>
      <c r="BK636" s="747"/>
      <c r="BL636" s="747"/>
      <c r="BM636" s="186"/>
      <c r="BN636" s="186"/>
      <c r="BO636" s="12"/>
      <c r="BP636" s="11"/>
      <c r="BQ636" s="186"/>
      <c r="BR636" s="747"/>
      <c r="BS636" s="747"/>
      <c r="BT636" s="747"/>
      <c r="BU636" s="186"/>
      <c r="BV636" s="186"/>
      <c r="BW636" s="12"/>
    </row>
    <row r="637" spans="1:75">
      <c r="AI637" s="757"/>
      <c r="AJ637" s="195"/>
      <c r="AK637" s="186"/>
      <c r="AL637" s="747"/>
      <c r="AM637" s="747"/>
      <c r="AN637" s="747"/>
      <c r="AO637" s="186"/>
      <c r="AP637" s="186"/>
      <c r="AQ637" s="12"/>
      <c r="AR637" s="11"/>
      <c r="AS637" s="186"/>
      <c r="AT637" s="747"/>
      <c r="AU637" s="747"/>
      <c r="AV637" s="747"/>
      <c r="AW637" s="186"/>
      <c r="AX637" s="186"/>
      <c r="AY637" s="12"/>
      <c r="AZ637" s="685" t="s">
        <v>2032</v>
      </c>
      <c r="BA637" s="686" t="s">
        <v>523</v>
      </c>
      <c r="BB637" s="687" t="s">
        <v>2632</v>
      </c>
      <c r="BC637" s="762" t="s">
        <v>1730</v>
      </c>
      <c r="BD637" s="687" t="s">
        <v>248</v>
      </c>
      <c r="BE637" s="686">
        <v>4.5000000000000005E-2</v>
      </c>
      <c r="BF637" s="686">
        <v>9.0000000000000008E-4</v>
      </c>
      <c r="BG637" s="688">
        <v>2.58</v>
      </c>
      <c r="BH637" s="11"/>
      <c r="BI637" s="186"/>
      <c r="BJ637" s="747"/>
      <c r="BK637" s="747"/>
      <c r="BL637" s="747"/>
      <c r="BM637" s="186"/>
      <c r="BN637" s="186"/>
      <c r="BO637" s="12"/>
      <c r="BP637" s="11"/>
      <c r="BQ637" s="186"/>
      <c r="BR637" s="747"/>
      <c r="BS637" s="747"/>
      <c r="BT637" s="747"/>
      <c r="BU637" s="186"/>
      <c r="BV637" s="186"/>
      <c r="BW637" s="12"/>
    </row>
    <row r="638" spans="1:75">
      <c r="AI638" s="757"/>
      <c r="AJ638" s="195"/>
      <c r="AK638" s="186"/>
      <c r="AL638" s="747"/>
      <c r="AM638" s="747"/>
      <c r="AN638" s="747"/>
      <c r="AO638" s="186"/>
      <c r="AP638" s="186"/>
      <c r="AQ638" s="12"/>
      <c r="AR638" s="11"/>
      <c r="AS638" s="186"/>
      <c r="AT638" s="747"/>
      <c r="AU638" s="747"/>
      <c r="AV638" s="747"/>
      <c r="AW638" s="186"/>
      <c r="AX638" s="186"/>
      <c r="AY638" s="12"/>
      <c r="AZ638" s="685" t="s">
        <v>2032</v>
      </c>
      <c r="BA638" s="686" t="s">
        <v>523</v>
      </c>
      <c r="BB638" s="687" t="s">
        <v>2633</v>
      </c>
      <c r="BC638" s="762" t="s">
        <v>1730</v>
      </c>
      <c r="BD638" s="687" t="s">
        <v>248</v>
      </c>
      <c r="BE638" s="686">
        <v>4.5000000000000005E-2</v>
      </c>
      <c r="BF638" s="686">
        <v>9.0000000000000008E-4</v>
      </c>
      <c r="BG638" s="688">
        <v>2.58</v>
      </c>
      <c r="BH638" s="11"/>
      <c r="BI638" s="186"/>
      <c r="BJ638" s="747"/>
      <c r="BK638" s="747"/>
      <c r="BL638" s="747"/>
      <c r="BM638" s="186"/>
      <c r="BN638" s="186"/>
      <c r="BO638" s="12"/>
      <c r="BP638" s="11"/>
      <c r="BQ638" s="186"/>
      <c r="BR638" s="747"/>
      <c r="BS638" s="747"/>
      <c r="BT638" s="747"/>
      <c r="BU638" s="186"/>
      <c r="BV638" s="186"/>
      <c r="BW638" s="12"/>
    </row>
    <row r="639" spans="1:75">
      <c r="AI639" s="757"/>
      <c r="AJ639" s="195"/>
      <c r="AK639" s="186"/>
      <c r="AL639" s="747"/>
      <c r="AM639" s="747"/>
      <c r="AN639" s="747"/>
      <c r="AO639" s="186"/>
      <c r="AP639" s="186"/>
      <c r="AQ639" s="12"/>
      <c r="AR639" s="11"/>
      <c r="AS639" s="186"/>
      <c r="AT639" s="747"/>
      <c r="AU639" s="747"/>
      <c r="AV639" s="747"/>
      <c r="AW639" s="186"/>
      <c r="AX639" s="186"/>
      <c r="AY639" s="12"/>
      <c r="AZ639" s="685" t="s">
        <v>2032</v>
      </c>
      <c r="BA639" s="686" t="s">
        <v>523</v>
      </c>
      <c r="BB639" s="687" t="s">
        <v>2634</v>
      </c>
      <c r="BC639" s="762" t="s">
        <v>1730</v>
      </c>
      <c r="BD639" s="687" t="s">
        <v>248</v>
      </c>
      <c r="BE639" s="686">
        <v>4.4999999999999998E-2</v>
      </c>
      <c r="BF639" s="686">
        <v>8.9999999999999998E-4</v>
      </c>
      <c r="BG639" s="688">
        <v>2.58</v>
      </c>
      <c r="BH639" s="11"/>
      <c r="BI639" s="186"/>
      <c r="BJ639" s="747"/>
      <c r="BK639" s="747"/>
      <c r="BL639" s="747"/>
      <c r="BM639" s="186"/>
      <c r="BN639" s="186"/>
      <c r="BO639" s="12"/>
      <c r="BP639" s="11"/>
      <c r="BQ639" s="186"/>
      <c r="BR639" s="747"/>
      <c r="BS639" s="747"/>
      <c r="BT639" s="747"/>
      <c r="BU639" s="186"/>
      <c r="BV639" s="186"/>
      <c r="BW639" s="12"/>
    </row>
    <row r="640" spans="1:75">
      <c r="AI640" s="757"/>
      <c r="AJ640" s="195"/>
      <c r="AK640" s="186"/>
      <c r="AL640" s="747"/>
      <c r="AM640" s="747"/>
      <c r="AN640" s="747"/>
      <c r="AO640" s="186"/>
      <c r="AP640" s="186"/>
      <c r="AQ640" s="12"/>
      <c r="AR640" s="11"/>
      <c r="AS640" s="186"/>
      <c r="AT640" s="747"/>
      <c r="AU640" s="747"/>
      <c r="AV640" s="747"/>
      <c r="AW640" s="186"/>
      <c r="AX640" s="186"/>
      <c r="AY640" s="12"/>
      <c r="AZ640" s="685" t="s">
        <v>2032</v>
      </c>
      <c r="BA640" s="686" t="s">
        <v>591</v>
      </c>
      <c r="BB640" s="687" t="s">
        <v>2635</v>
      </c>
      <c r="BC640" s="762" t="s">
        <v>1730</v>
      </c>
      <c r="BD640" s="687" t="s">
        <v>248</v>
      </c>
      <c r="BE640" s="686">
        <v>0.05</v>
      </c>
      <c r="BF640" s="686">
        <v>1E-3</v>
      </c>
      <c r="BG640" s="688">
        <v>2.58</v>
      </c>
      <c r="BH640" s="11"/>
      <c r="BI640" s="186"/>
      <c r="BJ640" s="747"/>
      <c r="BK640" s="747"/>
      <c r="BL640" s="747"/>
      <c r="BM640" s="186"/>
      <c r="BN640" s="186"/>
      <c r="BO640" s="12"/>
      <c r="BP640" s="11"/>
      <c r="BQ640" s="186"/>
      <c r="BR640" s="747"/>
      <c r="BS640" s="747"/>
      <c r="BT640" s="747"/>
      <c r="BU640" s="186"/>
      <c r="BV640" s="186"/>
      <c r="BW640" s="12"/>
    </row>
    <row r="641" spans="35:75">
      <c r="AI641" s="757"/>
      <c r="AJ641" s="195"/>
      <c r="AK641" s="186"/>
      <c r="AL641" s="747"/>
      <c r="AM641" s="747"/>
      <c r="AN641" s="747"/>
      <c r="AO641" s="186"/>
      <c r="AP641" s="186"/>
      <c r="AQ641" s="12"/>
      <c r="AR641" s="11"/>
      <c r="AS641" s="186"/>
      <c r="AT641" s="747"/>
      <c r="AU641" s="747"/>
      <c r="AV641" s="747"/>
      <c r="AW641" s="186"/>
      <c r="AX641" s="186"/>
      <c r="AY641" s="12"/>
      <c r="AZ641" s="685" t="s">
        <v>2032</v>
      </c>
      <c r="BA641" s="686" t="s">
        <v>591</v>
      </c>
      <c r="BB641" s="687" t="s">
        <v>2636</v>
      </c>
      <c r="BC641" s="762" t="s">
        <v>1730</v>
      </c>
      <c r="BD641" s="687" t="s">
        <v>248</v>
      </c>
      <c r="BE641" s="686">
        <v>2.5000000000000001E-2</v>
      </c>
      <c r="BF641" s="686">
        <v>5.0000000000000001E-4</v>
      </c>
      <c r="BG641" s="688">
        <v>2.58</v>
      </c>
      <c r="BH641" s="11"/>
      <c r="BI641" s="186"/>
      <c r="BJ641" s="747"/>
      <c r="BK641" s="747"/>
      <c r="BL641" s="747"/>
      <c r="BM641" s="186"/>
      <c r="BN641" s="186"/>
      <c r="BO641" s="12"/>
      <c r="BP641" s="11"/>
      <c r="BQ641" s="186"/>
      <c r="BR641" s="747"/>
      <c r="BS641" s="747"/>
      <c r="BT641" s="747"/>
      <c r="BU641" s="186"/>
      <c r="BV641" s="186"/>
      <c r="BW641" s="12"/>
    </row>
    <row r="642" spans="35:75">
      <c r="AI642" s="757"/>
      <c r="AJ642" s="195"/>
      <c r="AK642" s="186"/>
      <c r="AL642" s="747"/>
      <c r="AM642" s="747"/>
      <c r="AN642" s="747"/>
      <c r="AO642" s="186"/>
      <c r="AP642" s="186"/>
      <c r="AQ642" s="12"/>
      <c r="AR642" s="11"/>
      <c r="AS642" s="186"/>
      <c r="AT642" s="747"/>
      <c r="AU642" s="747"/>
      <c r="AV642" s="747"/>
      <c r="AW642" s="186"/>
      <c r="AX642" s="186"/>
      <c r="AY642" s="12"/>
      <c r="AZ642" s="685" t="s">
        <v>2032</v>
      </c>
      <c r="BA642" s="686" t="s">
        <v>591</v>
      </c>
      <c r="BB642" s="687" t="s">
        <v>2637</v>
      </c>
      <c r="BC642" s="762" t="s">
        <v>1730</v>
      </c>
      <c r="BD642" s="687" t="s">
        <v>248</v>
      </c>
      <c r="BE642" s="686">
        <v>1.2500000000000001E-2</v>
      </c>
      <c r="BF642" s="686">
        <v>2.5000000000000001E-4</v>
      </c>
      <c r="BG642" s="688">
        <v>2.58</v>
      </c>
      <c r="BH642" s="11"/>
      <c r="BI642" s="186"/>
      <c r="BJ642" s="747"/>
      <c r="BK642" s="747"/>
      <c r="BL642" s="747"/>
      <c r="BM642" s="186"/>
      <c r="BN642" s="186"/>
      <c r="BO642" s="12"/>
      <c r="BP642" s="11"/>
      <c r="BQ642" s="186"/>
      <c r="BR642" s="747"/>
      <c r="BS642" s="747"/>
      <c r="BT642" s="747"/>
      <c r="BU642" s="186"/>
      <c r="BV642" s="186"/>
      <c r="BW642" s="12"/>
    </row>
    <row r="643" spans="35:75">
      <c r="AI643" s="757"/>
      <c r="AJ643" s="195"/>
      <c r="AK643" s="186"/>
      <c r="AL643" s="747"/>
      <c r="AM643" s="747"/>
      <c r="AN643" s="747"/>
      <c r="AO643" s="186"/>
      <c r="AP643" s="186"/>
      <c r="AQ643" s="12"/>
      <c r="AR643" s="11"/>
      <c r="AS643" s="186"/>
      <c r="AT643" s="747"/>
      <c r="AU643" s="747"/>
      <c r="AV643" s="747"/>
      <c r="AW643" s="186"/>
      <c r="AX643" s="186"/>
      <c r="AY643" s="12"/>
      <c r="AZ643" s="685" t="s">
        <v>2032</v>
      </c>
      <c r="BA643" s="686" t="s">
        <v>591</v>
      </c>
      <c r="BB643" s="687" t="s">
        <v>2638</v>
      </c>
      <c r="BC643" s="762" t="s">
        <v>1730</v>
      </c>
      <c r="BD643" s="687" t="s">
        <v>248</v>
      </c>
      <c r="BE643" s="686">
        <v>4.4999999999999998E-2</v>
      </c>
      <c r="BF643" s="686">
        <v>9.0000000000000008E-4</v>
      </c>
      <c r="BG643" s="688">
        <v>2.58</v>
      </c>
      <c r="BH643" s="11"/>
      <c r="BI643" s="186"/>
      <c r="BJ643" s="747"/>
      <c r="BK643" s="747"/>
      <c r="BL643" s="747"/>
      <c r="BM643" s="186"/>
      <c r="BN643" s="186"/>
      <c r="BO643" s="12"/>
      <c r="BP643" s="11"/>
      <c r="BQ643" s="186"/>
      <c r="BR643" s="747"/>
      <c r="BS643" s="747"/>
      <c r="BT643" s="747"/>
      <c r="BU643" s="186"/>
      <c r="BV643" s="186"/>
      <c r="BW643" s="12"/>
    </row>
    <row r="644" spans="35:75">
      <c r="AI644" s="757"/>
      <c r="AJ644" s="195"/>
      <c r="AK644" s="186"/>
      <c r="AL644" s="747"/>
      <c r="AM644" s="747"/>
      <c r="AN644" s="747"/>
      <c r="AO644" s="186"/>
      <c r="AP644" s="186"/>
      <c r="AQ644" s="12"/>
      <c r="AR644" s="11"/>
      <c r="AS644" s="186"/>
      <c r="AT644" s="747"/>
      <c r="AU644" s="747"/>
      <c r="AV644" s="747"/>
      <c r="AW644" s="186"/>
      <c r="AX644" s="186"/>
      <c r="AY644" s="12"/>
      <c r="AZ644" s="685" t="s">
        <v>2032</v>
      </c>
      <c r="BA644" s="686" t="s">
        <v>591</v>
      </c>
      <c r="BB644" s="687" t="s">
        <v>2639</v>
      </c>
      <c r="BC644" s="762" t="s">
        <v>1730</v>
      </c>
      <c r="BD644" s="687" t="s">
        <v>248</v>
      </c>
      <c r="BE644" s="686">
        <v>4.4999999999999998E-2</v>
      </c>
      <c r="BF644" s="686">
        <v>9.0000000000000008E-4</v>
      </c>
      <c r="BG644" s="688">
        <v>2.58</v>
      </c>
      <c r="BH644" s="11"/>
      <c r="BI644" s="186"/>
      <c r="BJ644" s="747"/>
      <c r="BK644" s="747"/>
      <c r="BL644" s="747"/>
      <c r="BM644" s="186"/>
      <c r="BN644" s="186"/>
      <c r="BO644" s="12"/>
      <c r="BP644" s="11"/>
      <c r="BQ644" s="186"/>
      <c r="BR644" s="747"/>
      <c r="BS644" s="747"/>
      <c r="BT644" s="747"/>
      <c r="BU644" s="186"/>
      <c r="BV644" s="186"/>
      <c r="BW644" s="12"/>
    </row>
    <row r="645" spans="35:75">
      <c r="AI645" s="757"/>
      <c r="AJ645" s="195"/>
      <c r="AK645" s="186"/>
      <c r="AL645" s="747"/>
      <c r="AM645" s="747"/>
      <c r="AN645" s="747"/>
      <c r="AO645" s="186"/>
      <c r="AP645" s="186"/>
      <c r="AQ645" s="12"/>
      <c r="AR645" s="11"/>
      <c r="AS645" s="186"/>
      <c r="AT645" s="747"/>
      <c r="AU645" s="747"/>
      <c r="AV645" s="747"/>
      <c r="AW645" s="186"/>
      <c r="AX645" s="186"/>
      <c r="AY645" s="12"/>
      <c r="AZ645" s="685" t="s">
        <v>2032</v>
      </c>
      <c r="BA645" s="686" t="s">
        <v>591</v>
      </c>
      <c r="BB645" s="687" t="s">
        <v>2640</v>
      </c>
      <c r="BC645" s="762" t="s">
        <v>1730</v>
      </c>
      <c r="BD645" s="687" t="s">
        <v>248</v>
      </c>
      <c r="BE645" s="686">
        <v>4.4999999999999998E-2</v>
      </c>
      <c r="BF645" s="686">
        <v>9.0000000000000008E-4</v>
      </c>
      <c r="BG645" s="688">
        <v>2.58</v>
      </c>
      <c r="BH645" s="11"/>
      <c r="BI645" s="186"/>
      <c r="BJ645" s="747"/>
      <c r="BK645" s="747"/>
      <c r="BL645" s="747"/>
      <c r="BM645" s="186"/>
      <c r="BN645" s="186"/>
      <c r="BO645" s="12"/>
      <c r="BP645" s="11"/>
      <c r="BQ645" s="186"/>
      <c r="BR645" s="747"/>
      <c r="BS645" s="747"/>
      <c r="BT645" s="747"/>
      <c r="BU645" s="186"/>
      <c r="BV645" s="186"/>
      <c r="BW645" s="12"/>
    </row>
    <row r="646" spans="35:75">
      <c r="AI646" s="757"/>
      <c r="AJ646" s="195"/>
      <c r="AK646" s="186"/>
      <c r="AL646" s="747"/>
      <c r="AM646" s="747"/>
      <c r="AN646" s="747"/>
      <c r="AO646" s="186"/>
      <c r="AP646" s="186"/>
      <c r="AQ646" s="12"/>
      <c r="AR646" s="11"/>
      <c r="AS646" s="186"/>
      <c r="AT646" s="747"/>
      <c r="AU646" s="747"/>
      <c r="AV646" s="747"/>
      <c r="AW646" s="186"/>
      <c r="AX646" s="186"/>
      <c r="AY646" s="12"/>
      <c r="AZ646" s="685" t="s">
        <v>2032</v>
      </c>
      <c r="BA646" s="686" t="s">
        <v>2610</v>
      </c>
      <c r="BB646" s="687" t="s">
        <v>2641</v>
      </c>
      <c r="BC646" s="687" t="s">
        <v>1730</v>
      </c>
      <c r="BD646" s="687" t="s">
        <v>2490</v>
      </c>
      <c r="BE646" s="686">
        <v>0.03</v>
      </c>
      <c r="BF646" s="686">
        <v>1E-3</v>
      </c>
      <c r="BG646" s="688">
        <v>2.58</v>
      </c>
      <c r="BH646" s="11"/>
      <c r="BI646" s="186"/>
      <c r="BJ646" s="747"/>
      <c r="BK646" s="747"/>
      <c r="BL646" s="747"/>
      <c r="BM646" s="186"/>
      <c r="BN646" s="186"/>
      <c r="BO646" s="12"/>
      <c r="BP646" s="11"/>
      <c r="BQ646" s="186"/>
      <c r="BR646" s="747"/>
      <c r="BS646" s="747"/>
      <c r="BT646" s="747"/>
      <c r="BU646" s="186"/>
      <c r="BV646" s="186"/>
      <c r="BW646" s="12"/>
    </row>
    <row r="647" spans="35:75">
      <c r="AI647" s="757"/>
      <c r="AJ647" s="195"/>
      <c r="AK647" s="186"/>
      <c r="AL647" s="747"/>
      <c r="AM647" s="747"/>
      <c r="AN647" s="747"/>
      <c r="AO647" s="186"/>
      <c r="AP647" s="186"/>
      <c r="AQ647" s="12"/>
      <c r="AR647" s="11"/>
      <c r="AS647" s="186"/>
      <c r="AT647" s="747"/>
      <c r="AU647" s="747"/>
      <c r="AV647" s="747"/>
      <c r="AW647" s="186"/>
      <c r="AX647" s="186"/>
      <c r="AY647" s="12"/>
      <c r="AZ647" s="685" t="s">
        <v>2032</v>
      </c>
      <c r="BA647" s="686" t="s">
        <v>2610</v>
      </c>
      <c r="BB647" s="687" t="s">
        <v>2642</v>
      </c>
      <c r="BC647" s="687" t="s">
        <v>1730</v>
      </c>
      <c r="BD647" s="687" t="s">
        <v>2490</v>
      </c>
      <c r="BE647" s="686">
        <v>0.03</v>
      </c>
      <c r="BF647" s="686">
        <v>1E-3</v>
      </c>
      <c r="BG647" s="688">
        <v>2.58</v>
      </c>
      <c r="BH647" s="11"/>
      <c r="BI647" s="186"/>
      <c r="BJ647" s="747"/>
      <c r="BK647" s="747"/>
      <c r="BL647" s="747"/>
      <c r="BM647" s="186"/>
      <c r="BN647" s="186"/>
      <c r="BO647" s="12"/>
      <c r="BP647" s="11"/>
      <c r="BQ647" s="186"/>
      <c r="BR647" s="747"/>
      <c r="BS647" s="747"/>
      <c r="BT647" s="747"/>
      <c r="BU647" s="186"/>
      <c r="BV647" s="186"/>
      <c r="BW647" s="12"/>
    </row>
    <row r="648" spans="35:75">
      <c r="AI648" s="757"/>
      <c r="AJ648" s="195"/>
      <c r="AK648" s="186"/>
      <c r="AL648" s="747"/>
      <c r="AM648" s="747"/>
      <c r="AN648" s="747"/>
      <c r="AO648" s="186"/>
      <c r="AP648" s="186"/>
      <c r="AQ648" s="12"/>
      <c r="AR648" s="11"/>
      <c r="AS648" s="186"/>
      <c r="AT648" s="747"/>
      <c r="AU648" s="747"/>
      <c r="AV648" s="747"/>
      <c r="AW648" s="186"/>
      <c r="AX648" s="186"/>
      <c r="AY648" s="12"/>
      <c r="AZ648" s="685" t="s">
        <v>2032</v>
      </c>
      <c r="BA648" s="686" t="s">
        <v>2610</v>
      </c>
      <c r="BB648" s="687" t="s">
        <v>2643</v>
      </c>
      <c r="BC648" s="687" t="s">
        <v>1730</v>
      </c>
      <c r="BD648" s="687" t="s">
        <v>2490</v>
      </c>
      <c r="BE648" s="686">
        <v>0.03</v>
      </c>
      <c r="BF648" s="686">
        <v>1E-3</v>
      </c>
      <c r="BG648" s="688">
        <v>2.58</v>
      </c>
      <c r="BH648" s="11"/>
      <c r="BI648" s="186"/>
      <c r="BJ648" s="747"/>
      <c r="BK648" s="747"/>
      <c r="BL648" s="747"/>
      <c r="BM648" s="186"/>
      <c r="BN648" s="186"/>
      <c r="BO648" s="12"/>
      <c r="BP648" s="11"/>
      <c r="BQ648" s="186"/>
      <c r="BR648" s="747"/>
      <c r="BS648" s="747"/>
      <c r="BT648" s="747"/>
      <c r="BU648" s="186"/>
      <c r="BV648" s="186"/>
      <c r="BW648" s="12"/>
    </row>
    <row r="649" spans="35:75">
      <c r="AI649" s="757"/>
      <c r="AJ649" s="195"/>
      <c r="AK649" s="186"/>
      <c r="AL649" s="747"/>
      <c r="AM649" s="747"/>
      <c r="AN649" s="747"/>
      <c r="AO649" s="186"/>
      <c r="AP649" s="186"/>
      <c r="AQ649" s="12"/>
      <c r="AR649" s="11"/>
      <c r="AS649" s="186"/>
      <c r="AT649" s="747"/>
      <c r="AU649" s="747"/>
      <c r="AV649" s="747"/>
      <c r="AW649" s="186"/>
      <c r="AX649" s="186"/>
      <c r="AY649" s="12"/>
      <c r="AZ649" s="685" t="s">
        <v>2032</v>
      </c>
      <c r="BA649" s="686" t="s">
        <v>2610</v>
      </c>
      <c r="BB649" s="687" t="s">
        <v>2644</v>
      </c>
      <c r="BC649" s="687" t="s">
        <v>1730</v>
      </c>
      <c r="BD649" s="687" t="s">
        <v>2490</v>
      </c>
      <c r="BE649" s="686">
        <v>0.03</v>
      </c>
      <c r="BF649" s="686">
        <v>1E-3</v>
      </c>
      <c r="BG649" s="688">
        <v>2.58</v>
      </c>
      <c r="BH649" s="11"/>
      <c r="BI649" s="186"/>
      <c r="BJ649" s="747"/>
      <c r="BK649" s="747"/>
      <c r="BL649" s="747"/>
      <c r="BM649" s="186"/>
      <c r="BN649" s="186"/>
      <c r="BO649" s="12"/>
      <c r="BP649" s="11"/>
      <c r="BQ649" s="186"/>
      <c r="BR649" s="747"/>
      <c r="BS649" s="747"/>
      <c r="BT649" s="747"/>
      <c r="BU649" s="186"/>
      <c r="BV649" s="186"/>
      <c r="BW649" s="12"/>
    </row>
    <row r="650" spans="35:75">
      <c r="AI650" s="757"/>
      <c r="AJ650" s="195"/>
      <c r="AK650" s="186"/>
      <c r="AL650" s="747"/>
      <c r="AM650" s="747"/>
      <c r="AN650" s="747"/>
      <c r="AO650" s="186"/>
      <c r="AP650" s="186"/>
      <c r="AQ650" s="12"/>
      <c r="AR650" s="11"/>
      <c r="AS650" s="186"/>
      <c r="AT650" s="747"/>
      <c r="AU650" s="747"/>
      <c r="AV650" s="747"/>
      <c r="AW650" s="186"/>
      <c r="AX650" s="186"/>
      <c r="AY650" s="12"/>
      <c r="AZ650" s="685" t="s">
        <v>2032</v>
      </c>
      <c r="BA650" s="686" t="s">
        <v>2610</v>
      </c>
      <c r="BB650" s="687" t="s">
        <v>2645</v>
      </c>
      <c r="BC650" s="687" t="s">
        <v>1730</v>
      </c>
      <c r="BD650" s="687" t="s">
        <v>2490</v>
      </c>
      <c r="BE650" s="686">
        <v>0.03</v>
      </c>
      <c r="BF650" s="686">
        <v>1E-3</v>
      </c>
      <c r="BG650" s="688">
        <v>2.58</v>
      </c>
      <c r="BH650" s="11"/>
      <c r="BI650" s="186"/>
      <c r="BJ650" s="747"/>
      <c r="BK650" s="747"/>
      <c r="BL650" s="747"/>
      <c r="BM650" s="186"/>
      <c r="BN650" s="186"/>
      <c r="BO650" s="12"/>
      <c r="BP650" s="11"/>
      <c r="BQ650" s="186"/>
      <c r="BR650" s="747"/>
      <c r="BS650" s="747"/>
      <c r="BT650" s="747"/>
      <c r="BU650" s="186"/>
      <c r="BV650" s="186"/>
      <c r="BW650" s="12"/>
    </row>
    <row r="651" spans="35:75">
      <c r="AI651" s="757"/>
      <c r="AJ651" s="195"/>
      <c r="AK651" s="186"/>
      <c r="AL651" s="747"/>
      <c r="AM651" s="747"/>
      <c r="AN651" s="747"/>
      <c r="AO651" s="186"/>
      <c r="AP651" s="186"/>
      <c r="AQ651" s="12"/>
      <c r="AR651" s="11"/>
      <c r="AS651" s="186"/>
      <c r="AT651" s="747"/>
      <c r="AU651" s="747"/>
      <c r="AV651" s="747"/>
      <c r="AW651" s="186"/>
      <c r="AX651" s="186"/>
      <c r="AY651" s="12"/>
      <c r="AZ651" s="685" t="s">
        <v>2032</v>
      </c>
      <c r="BA651" s="686" t="s">
        <v>2610</v>
      </c>
      <c r="BB651" s="687" t="s">
        <v>2646</v>
      </c>
      <c r="BC651" s="687" t="s">
        <v>1730</v>
      </c>
      <c r="BD651" s="687" t="s">
        <v>2490</v>
      </c>
      <c r="BE651" s="686">
        <v>1.4999999999999999E-2</v>
      </c>
      <c r="BF651" s="686">
        <v>5.0000000000000001E-4</v>
      </c>
      <c r="BG651" s="688">
        <v>2.58</v>
      </c>
      <c r="BH651" s="11"/>
      <c r="BI651" s="186"/>
      <c r="BJ651" s="747"/>
      <c r="BK651" s="747"/>
      <c r="BL651" s="747"/>
      <c r="BM651" s="186"/>
      <c r="BN651" s="186"/>
      <c r="BO651" s="12"/>
      <c r="BP651" s="11"/>
      <c r="BQ651" s="186"/>
      <c r="BR651" s="747"/>
      <c r="BS651" s="747"/>
      <c r="BT651" s="747"/>
      <c r="BU651" s="186"/>
      <c r="BV651" s="186"/>
      <c r="BW651" s="12"/>
    </row>
    <row r="652" spans="35:75">
      <c r="AI652" s="757"/>
      <c r="AJ652" s="195"/>
      <c r="AK652" s="186"/>
      <c r="AL652" s="747"/>
      <c r="AM652" s="747"/>
      <c r="AN652" s="747"/>
      <c r="AO652" s="186"/>
      <c r="AP652" s="186"/>
      <c r="AQ652" s="12"/>
      <c r="AR652" s="11"/>
      <c r="AS652" s="186"/>
      <c r="AT652" s="747"/>
      <c r="AU652" s="747"/>
      <c r="AV652" s="747"/>
      <c r="AW652" s="186"/>
      <c r="AX652" s="186"/>
      <c r="AY652" s="12"/>
      <c r="AZ652" s="685" t="s">
        <v>2032</v>
      </c>
      <c r="BA652" s="686" t="s">
        <v>2610</v>
      </c>
      <c r="BB652" s="687" t="s">
        <v>2647</v>
      </c>
      <c r="BC652" s="687" t="s">
        <v>1730</v>
      </c>
      <c r="BD652" s="687" t="s">
        <v>2490</v>
      </c>
      <c r="BE652" s="686">
        <v>1.4999999999999999E-2</v>
      </c>
      <c r="BF652" s="686">
        <v>5.0000000000000001E-4</v>
      </c>
      <c r="BG652" s="688">
        <v>2.58</v>
      </c>
      <c r="BH652" s="11"/>
      <c r="BI652" s="186"/>
      <c r="BJ652" s="747"/>
      <c r="BK652" s="747"/>
      <c r="BL652" s="747"/>
      <c r="BM652" s="186"/>
      <c r="BN652" s="186"/>
      <c r="BO652" s="12"/>
      <c r="BP652" s="11"/>
      <c r="BQ652" s="186"/>
      <c r="BR652" s="747"/>
      <c r="BS652" s="747"/>
      <c r="BT652" s="747"/>
      <c r="BU652" s="186"/>
      <c r="BV652" s="186"/>
      <c r="BW652" s="12"/>
    </row>
    <row r="653" spans="35:75">
      <c r="AI653" s="757"/>
      <c r="AJ653" s="195"/>
      <c r="AK653" s="186"/>
      <c r="AL653" s="747"/>
      <c r="AM653" s="747"/>
      <c r="AN653" s="747"/>
      <c r="AO653" s="186"/>
      <c r="AP653" s="186"/>
      <c r="AQ653" s="12"/>
      <c r="AR653" s="11"/>
      <c r="AS653" s="186"/>
      <c r="AT653" s="747"/>
      <c r="AU653" s="747"/>
      <c r="AV653" s="747"/>
      <c r="AW653" s="186"/>
      <c r="AX653" s="186"/>
      <c r="AY653" s="12"/>
      <c r="AZ653" s="685" t="s">
        <v>2032</v>
      </c>
      <c r="BA653" s="686" t="s">
        <v>2610</v>
      </c>
      <c r="BB653" s="687" t="s">
        <v>2648</v>
      </c>
      <c r="BC653" s="687" t="s">
        <v>1730</v>
      </c>
      <c r="BD653" s="687" t="s">
        <v>2490</v>
      </c>
      <c r="BE653" s="686">
        <v>1.4999999999999999E-2</v>
      </c>
      <c r="BF653" s="686">
        <v>5.0000000000000001E-4</v>
      </c>
      <c r="BG653" s="688">
        <v>2.58</v>
      </c>
      <c r="BH653" s="11"/>
      <c r="BI653" s="186"/>
      <c r="BJ653" s="747"/>
      <c r="BK653" s="747"/>
      <c r="BL653" s="747"/>
      <c r="BM653" s="186"/>
      <c r="BN653" s="186"/>
      <c r="BO653" s="12"/>
      <c r="BP653" s="11"/>
      <c r="BQ653" s="186"/>
      <c r="BR653" s="747"/>
      <c r="BS653" s="747"/>
      <c r="BT653" s="747"/>
      <c r="BU653" s="186"/>
      <c r="BV653" s="186"/>
      <c r="BW653" s="12"/>
    </row>
    <row r="654" spans="35:75">
      <c r="AI654" s="757"/>
      <c r="AJ654" s="195"/>
      <c r="AK654" s="186"/>
      <c r="AL654" s="747"/>
      <c r="AM654" s="747"/>
      <c r="AN654" s="747"/>
      <c r="AO654" s="186"/>
      <c r="AP654" s="186"/>
      <c r="AQ654" s="12"/>
      <c r="AR654" s="11"/>
      <c r="AS654" s="186"/>
      <c r="AT654" s="747"/>
      <c r="AU654" s="747"/>
      <c r="AV654" s="747"/>
      <c r="AW654" s="186"/>
      <c r="AX654" s="186"/>
      <c r="AY654" s="12"/>
      <c r="AZ654" s="685" t="s">
        <v>2032</v>
      </c>
      <c r="BA654" s="686" t="s">
        <v>2610</v>
      </c>
      <c r="BB654" s="687" t="s">
        <v>2649</v>
      </c>
      <c r="BC654" s="687" t="s">
        <v>1730</v>
      </c>
      <c r="BD654" s="687" t="s">
        <v>2490</v>
      </c>
      <c r="BE654" s="686">
        <v>1.4999999999999999E-2</v>
      </c>
      <c r="BF654" s="686">
        <v>5.0000000000000001E-4</v>
      </c>
      <c r="BG654" s="688">
        <v>2.58</v>
      </c>
      <c r="BH654" s="11"/>
      <c r="BI654" s="186"/>
      <c r="BJ654" s="747"/>
      <c r="BK654" s="747"/>
      <c r="BL654" s="747"/>
      <c r="BM654" s="186"/>
      <c r="BN654" s="186"/>
      <c r="BO654" s="12"/>
      <c r="BP654" s="11"/>
      <c r="BQ654" s="186"/>
      <c r="BR654" s="747"/>
      <c r="BS654" s="747"/>
      <c r="BT654" s="747"/>
      <c r="BU654" s="186"/>
      <c r="BV654" s="186"/>
      <c r="BW654" s="12"/>
    </row>
    <row r="655" spans="35:75">
      <c r="AI655" s="757"/>
      <c r="AJ655" s="195"/>
      <c r="AK655" s="186"/>
      <c r="AL655" s="747"/>
      <c r="AM655" s="747"/>
      <c r="AN655" s="747"/>
      <c r="AO655" s="186"/>
      <c r="AP655" s="186"/>
      <c r="AQ655" s="12"/>
      <c r="AR655" s="11"/>
      <c r="AS655" s="186"/>
      <c r="AT655" s="747"/>
      <c r="AU655" s="747"/>
      <c r="AV655" s="747"/>
      <c r="AW655" s="186"/>
      <c r="AX655" s="186"/>
      <c r="AY655" s="12"/>
      <c r="AZ655" s="685" t="s">
        <v>2032</v>
      </c>
      <c r="BA655" s="686" t="s">
        <v>2610</v>
      </c>
      <c r="BB655" s="687" t="s">
        <v>2650</v>
      </c>
      <c r="BC655" s="687" t="s">
        <v>1730</v>
      </c>
      <c r="BD655" s="687" t="s">
        <v>2490</v>
      </c>
      <c r="BE655" s="686">
        <v>1.4999999999999999E-2</v>
      </c>
      <c r="BF655" s="686">
        <v>5.0000000000000001E-4</v>
      </c>
      <c r="BG655" s="688">
        <v>2.58</v>
      </c>
      <c r="BH655" s="11"/>
      <c r="BI655" s="186"/>
      <c r="BJ655" s="747"/>
      <c r="BK655" s="747"/>
      <c r="BL655" s="747"/>
      <c r="BM655" s="186"/>
      <c r="BN655" s="186"/>
      <c r="BO655" s="12"/>
      <c r="BP655" s="11"/>
      <c r="BQ655" s="186"/>
      <c r="BR655" s="747"/>
      <c r="BS655" s="747"/>
      <c r="BT655" s="747"/>
      <c r="BU655" s="186"/>
      <c r="BV655" s="186"/>
      <c r="BW655" s="12"/>
    </row>
    <row r="656" spans="35:75">
      <c r="AI656" s="757"/>
      <c r="AJ656" s="195"/>
      <c r="AK656" s="186"/>
      <c r="AL656" s="747"/>
      <c r="AM656" s="747"/>
      <c r="AN656" s="747"/>
      <c r="AO656" s="186"/>
      <c r="AP656" s="186"/>
      <c r="AQ656" s="12"/>
      <c r="AR656" s="11"/>
      <c r="AS656" s="186"/>
      <c r="AT656" s="747"/>
      <c r="AU656" s="747"/>
      <c r="AV656" s="747"/>
      <c r="AW656" s="186"/>
      <c r="AX656" s="186"/>
      <c r="AY656" s="12"/>
      <c r="AZ656" s="685" t="s">
        <v>2032</v>
      </c>
      <c r="BA656" s="686" t="s">
        <v>2610</v>
      </c>
      <c r="BB656" s="687" t="s">
        <v>2651</v>
      </c>
      <c r="BC656" s="687" t="s">
        <v>1730</v>
      </c>
      <c r="BD656" s="687" t="s">
        <v>2490</v>
      </c>
      <c r="BE656" s="686">
        <v>7.4999999999999997E-3</v>
      </c>
      <c r="BF656" s="686">
        <v>2.5000000000000001E-4</v>
      </c>
      <c r="BG656" s="688">
        <v>2.58</v>
      </c>
      <c r="BH656" s="11"/>
      <c r="BI656" s="186"/>
      <c r="BJ656" s="747"/>
      <c r="BK656" s="747"/>
      <c r="BL656" s="747"/>
      <c r="BM656" s="186"/>
      <c r="BN656" s="186"/>
      <c r="BO656" s="12"/>
      <c r="BP656" s="11"/>
      <c r="BQ656" s="186"/>
      <c r="BR656" s="747"/>
      <c r="BS656" s="747"/>
      <c r="BT656" s="747"/>
      <c r="BU656" s="186"/>
      <c r="BV656" s="186"/>
      <c r="BW656" s="12"/>
    </row>
    <row r="657" spans="1:75">
      <c r="AI657" s="757"/>
      <c r="AJ657" s="195"/>
      <c r="AK657" s="186"/>
      <c r="AL657" s="747"/>
      <c r="AM657" s="747"/>
      <c r="AN657" s="747"/>
      <c r="AO657" s="186"/>
      <c r="AP657" s="186"/>
      <c r="AQ657" s="12"/>
      <c r="AR657" s="11"/>
      <c r="AS657" s="186"/>
      <c r="AT657" s="747"/>
      <c r="AU657" s="747"/>
      <c r="AV657" s="747"/>
      <c r="AW657" s="186"/>
      <c r="AX657" s="186"/>
      <c r="AY657" s="12"/>
      <c r="AZ657" s="11"/>
      <c r="BA657" s="186"/>
      <c r="BB657" s="747"/>
      <c r="BC657" s="747"/>
      <c r="BD657" s="747"/>
      <c r="BE657" s="186"/>
      <c r="BF657" s="186"/>
      <c r="BG657" s="12"/>
      <c r="BH657" s="11"/>
      <c r="BI657" s="186"/>
      <c r="BJ657" s="747"/>
      <c r="BK657" s="747"/>
      <c r="BL657" s="747"/>
      <c r="BM657" s="186"/>
      <c r="BN657" s="186"/>
      <c r="BO657" s="12"/>
      <c r="BP657" s="11"/>
      <c r="BQ657" s="186"/>
      <c r="BR657" s="747"/>
      <c r="BS657" s="747"/>
      <c r="BT657" s="747"/>
      <c r="BU657" s="186"/>
      <c r="BV657" s="186"/>
      <c r="BW657" s="12"/>
    </row>
    <row r="658" spans="1:75">
      <c r="AI658" s="757"/>
      <c r="AJ658" s="195"/>
      <c r="AK658" s="186"/>
      <c r="AL658" s="747"/>
      <c r="AM658" s="747"/>
      <c r="AN658" s="747"/>
      <c r="AO658" s="186"/>
      <c r="AP658" s="186"/>
      <c r="AQ658" s="12"/>
      <c r="AR658" s="11"/>
      <c r="AS658" s="186"/>
      <c r="AT658" s="747"/>
      <c r="AU658" s="747"/>
      <c r="AV658" s="747"/>
      <c r="AW658" s="186"/>
      <c r="AX658" s="186"/>
      <c r="AY658" s="12"/>
      <c r="AZ658" s="11"/>
      <c r="BA658" s="186"/>
      <c r="BB658" s="747"/>
      <c r="BC658" s="747"/>
      <c r="BD658" s="747"/>
      <c r="BE658" s="186"/>
      <c r="BF658" s="186"/>
      <c r="BG658" s="12"/>
      <c r="BH658" s="11"/>
      <c r="BI658" s="186"/>
      <c r="BJ658" s="747"/>
      <c r="BK658" s="747"/>
      <c r="BL658" s="747"/>
      <c r="BM658" s="186"/>
      <c r="BN658" s="186"/>
      <c r="BO658" s="12"/>
      <c r="BP658" s="11"/>
      <c r="BQ658" s="186"/>
      <c r="BR658" s="747"/>
      <c r="BS658" s="747"/>
      <c r="BT658" s="747"/>
      <c r="BU658" s="186"/>
      <c r="BV658" s="186"/>
      <c r="BW658" s="12"/>
    </row>
    <row r="659" spans="1:75">
      <c r="AI659" s="757"/>
      <c r="AJ659" s="195"/>
      <c r="AK659" s="186"/>
      <c r="AL659" s="747"/>
      <c r="AM659" s="747"/>
      <c r="AN659" s="747"/>
      <c r="AO659" s="186"/>
      <c r="AP659" s="186"/>
      <c r="AQ659" s="12"/>
      <c r="AR659" s="11"/>
      <c r="AS659" s="186"/>
      <c r="AT659" s="747"/>
      <c r="AU659" s="747"/>
      <c r="AV659" s="747"/>
      <c r="AW659" s="186"/>
      <c r="AX659" s="186"/>
      <c r="AY659" s="12"/>
      <c r="AZ659" s="11"/>
      <c r="BA659" s="186"/>
      <c r="BB659" s="747"/>
      <c r="BC659" s="747"/>
      <c r="BD659" s="747"/>
      <c r="BE659" s="186"/>
      <c r="BF659" s="186"/>
      <c r="BG659" s="12"/>
      <c r="BH659" s="11"/>
      <c r="BI659" s="186"/>
      <c r="BJ659" s="747"/>
      <c r="BK659" s="747"/>
      <c r="BL659" s="747"/>
      <c r="BM659" s="186"/>
      <c r="BN659" s="186"/>
      <c r="BO659" s="12"/>
      <c r="BP659" s="11"/>
      <c r="BQ659" s="186"/>
      <c r="BR659" s="747"/>
      <c r="BS659" s="747"/>
      <c r="BT659" s="747"/>
      <c r="BU659" s="186"/>
      <c r="BV659" s="186"/>
      <c r="BW659" s="12"/>
    </row>
    <row r="660" spans="1:75">
      <c r="AI660" s="757"/>
      <c r="AJ660" s="195"/>
      <c r="AK660" s="186"/>
      <c r="AL660" s="747"/>
      <c r="AM660" s="747"/>
      <c r="AN660" s="747"/>
      <c r="AO660" s="186"/>
      <c r="AP660" s="186"/>
      <c r="AQ660" s="12"/>
      <c r="AR660" s="11"/>
      <c r="AS660" s="186"/>
      <c r="AT660" s="747"/>
      <c r="AU660" s="747"/>
      <c r="AV660" s="747"/>
      <c r="AW660" s="186"/>
      <c r="AX660" s="186"/>
      <c r="AY660" s="12"/>
      <c r="AZ660" s="11"/>
      <c r="BA660" s="186"/>
      <c r="BB660" s="747"/>
      <c r="BC660" s="747"/>
      <c r="BD660" s="747"/>
      <c r="BE660" s="186"/>
      <c r="BF660" s="186"/>
      <c r="BG660" s="12"/>
      <c r="BH660" s="11"/>
      <c r="BI660" s="186"/>
      <c r="BJ660" s="747"/>
      <c r="BK660" s="747"/>
      <c r="BL660" s="747"/>
      <c r="BM660" s="186"/>
      <c r="BN660" s="186"/>
      <c r="BO660" s="12"/>
      <c r="BP660" s="11"/>
      <c r="BQ660" s="186"/>
      <c r="BR660" s="747"/>
      <c r="BS660" s="747"/>
      <c r="BT660" s="747"/>
      <c r="BU660" s="186"/>
      <c r="BV660" s="186"/>
      <c r="BW660" s="12"/>
    </row>
    <row r="661" spans="1:75">
      <c r="AI661" s="757"/>
      <c r="AJ661" s="195"/>
      <c r="AK661" s="186"/>
      <c r="AL661" s="747"/>
      <c r="AM661" s="747"/>
      <c r="AN661" s="747"/>
      <c r="AO661" s="186"/>
      <c r="AP661" s="186"/>
      <c r="AQ661" s="12"/>
      <c r="AR661" s="11"/>
      <c r="AS661" s="186"/>
      <c r="AT661" s="747"/>
      <c r="AU661" s="747"/>
      <c r="AV661" s="747"/>
      <c r="AW661" s="186"/>
      <c r="AX661" s="186"/>
      <c r="AY661" s="12"/>
      <c r="AZ661" s="11"/>
      <c r="BA661" s="186"/>
      <c r="BB661" s="747"/>
      <c r="BC661" s="747"/>
      <c r="BD661" s="747"/>
      <c r="BE661" s="186"/>
      <c r="BF661" s="186"/>
      <c r="BG661" s="12"/>
      <c r="BH661" s="11"/>
      <c r="BI661" s="186"/>
      <c r="BJ661" s="747"/>
      <c r="BK661" s="747"/>
      <c r="BL661" s="747"/>
      <c r="BM661" s="186"/>
      <c r="BN661" s="186"/>
      <c r="BO661" s="12"/>
      <c r="BP661" s="11"/>
      <c r="BQ661" s="186"/>
      <c r="BR661" s="747"/>
      <c r="BS661" s="747"/>
      <c r="BT661" s="747"/>
      <c r="BU661" s="186"/>
      <c r="BV661" s="186"/>
      <c r="BW661" s="12"/>
    </row>
    <row r="662" spans="1:75">
      <c r="AI662" s="757"/>
      <c r="AJ662" s="195"/>
      <c r="AK662" s="186"/>
      <c r="AL662" s="747"/>
      <c r="AM662" s="747"/>
      <c r="AN662" s="747"/>
      <c r="AO662" s="186"/>
      <c r="AP662" s="186"/>
      <c r="AQ662" s="12"/>
      <c r="AR662" s="11"/>
      <c r="AS662" s="186"/>
      <c r="AT662" s="747"/>
      <c r="AU662" s="747"/>
      <c r="AV662" s="747"/>
      <c r="AW662" s="186"/>
      <c r="AX662" s="186"/>
      <c r="AY662" s="12"/>
      <c r="AZ662" s="11"/>
      <c r="BA662" s="186"/>
      <c r="BB662" s="747"/>
      <c r="BC662" s="747"/>
      <c r="BD662" s="747"/>
      <c r="BE662" s="186"/>
      <c r="BF662" s="186"/>
      <c r="BG662" s="12"/>
      <c r="BH662" s="11"/>
      <c r="BI662" s="186"/>
      <c r="BJ662" s="747"/>
      <c r="BK662" s="747"/>
      <c r="BL662" s="747"/>
      <c r="BM662" s="186"/>
      <c r="BN662" s="186"/>
      <c r="BO662" s="12"/>
      <c r="BP662" s="11"/>
      <c r="BQ662" s="186"/>
      <c r="BR662" s="747"/>
      <c r="BS662" s="747"/>
      <c r="BT662" s="747"/>
      <c r="BU662" s="186"/>
      <c r="BV662" s="186"/>
      <c r="BW662" s="12"/>
    </row>
    <row r="663" spans="1:75">
      <c r="AI663" s="757"/>
      <c r="AJ663" s="195"/>
      <c r="AK663" s="186"/>
      <c r="AL663" s="747"/>
      <c r="AM663" s="747"/>
      <c r="AN663" s="747"/>
      <c r="AO663" s="186"/>
      <c r="AP663" s="186"/>
      <c r="AQ663" s="12"/>
      <c r="AR663" s="11"/>
      <c r="AS663" s="186"/>
      <c r="AT663" s="747"/>
      <c r="AU663" s="747"/>
      <c r="AV663" s="747"/>
      <c r="AW663" s="186"/>
      <c r="AX663" s="186"/>
      <c r="AY663" s="12"/>
      <c r="AZ663" s="11"/>
      <c r="BA663" s="186"/>
      <c r="BB663" s="747"/>
      <c r="BC663" s="747"/>
      <c r="BD663" s="747"/>
      <c r="BE663" s="186"/>
      <c r="BF663" s="186"/>
      <c r="BG663" s="12"/>
      <c r="BH663" s="11"/>
      <c r="BI663" s="186"/>
      <c r="BJ663" s="747"/>
      <c r="BK663" s="747"/>
      <c r="BL663" s="747"/>
      <c r="BM663" s="186"/>
      <c r="BN663" s="186"/>
      <c r="BO663" s="12"/>
      <c r="BP663" s="11"/>
      <c r="BQ663" s="186"/>
      <c r="BR663" s="747"/>
      <c r="BS663" s="747"/>
      <c r="BT663" s="747"/>
      <c r="BU663" s="186"/>
      <c r="BV663" s="186"/>
      <c r="BW663" s="12"/>
    </row>
    <row r="664" spans="1:75">
      <c r="A664" s="1" t="s">
        <v>1151</v>
      </c>
      <c r="B664" s="1" t="s">
        <v>1146</v>
      </c>
      <c r="C664" s="1" t="s">
        <v>1147</v>
      </c>
      <c r="D664" s="1" t="s">
        <v>1915</v>
      </c>
      <c r="E664" s="1" t="s">
        <v>1809</v>
      </c>
      <c r="F664" s="1">
        <v>0.56000000000000005</v>
      </c>
      <c r="G664" s="1">
        <v>6.5000000000000002E-2</v>
      </c>
      <c r="H664" s="1">
        <v>2.62</v>
      </c>
      <c r="I664" s="1" t="s">
        <v>963</v>
      </c>
      <c r="AI664" s="757"/>
      <c r="AJ664" s="195"/>
      <c r="AK664" s="186"/>
      <c r="AL664" s="747"/>
      <c r="AM664" s="747"/>
      <c r="AN664" s="747"/>
      <c r="AO664" s="186"/>
      <c r="AP664" s="186"/>
      <c r="AQ664" s="12"/>
      <c r="AR664" s="11"/>
      <c r="AS664" s="186"/>
      <c r="AT664" s="747"/>
      <c r="AU664" s="747"/>
      <c r="AV664" s="747"/>
      <c r="AW664" s="186"/>
      <c r="AX664" s="186"/>
      <c r="AY664" s="12"/>
      <c r="AZ664" s="11"/>
      <c r="BA664" s="186"/>
      <c r="BB664" s="747"/>
      <c r="BC664" s="747"/>
      <c r="BD664" s="747"/>
      <c r="BE664" s="186"/>
      <c r="BF664" s="186"/>
      <c r="BG664" s="12"/>
      <c r="BH664" s="11"/>
      <c r="BI664" s="186"/>
      <c r="BJ664" s="747"/>
      <c r="BK664" s="747"/>
      <c r="BL664" s="747"/>
      <c r="BM664" s="186"/>
      <c r="BN664" s="186"/>
      <c r="BO664" s="12"/>
      <c r="BP664" s="11"/>
      <c r="BQ664" s="186"/>
      <c r="BR664" s="747"/>
      <c r="BS664" s="747"/>
      <c r="BT664" s="747"/>
      <c r="BU664" s="186"/>
      <c r="BV664" s="186"/>
      <c r="BW664" s="12"/>
    </row>
    <row r="665" spans="1:75">
      <c r="A665" s="1" t="s">
        <v>1152</v>
      </c>
      <c r="B665" s="1" t="s">
        <v>1146</v>
      </c>
      <c r="C665" s="1" t="s">
        <v>1147</v>
      </c>
      <c r="D665" s="1" t="s">
        <v>1915</v>
      </c>
      <c r="E665" s="1" t="s">
        <v>1810</v>
      </c>
      <c r="F665" s="1">
        <v>0.56000000000000005</v>
      </c>
      <c r="G665" s="1">
        <v>6.5000000000000002E-2</v>
      </c>
      <c r="H665" s="1">
        <v>2.62</v>
      </c>
      <c r="I665" s="1" t="s">
        <v>963</v>
      </c>
      <c r="AI665" s="757"/>
      <c r="AJ665" s="195"/>
      <c r="AK665" s="186"/>
      <c r="AL665" s="747"/>
      <c r="AM665" s="747"/>
      <c r="AN665" s="747"/>
      <c r="AO665" s="186"/>
      <c r="AP665" s="186"/>
      <c r="AQ665" s="12"/>
      <c r="AR665" s="11"/>
      <c r="AS665" s="186"/>
      <c r="AT665" s="747"/>
      <c r="AU665" s="747"/>
      <c r="AV665" s="747"/>
      <c r="AW665" s="186"/>
      <c r="AX665" s="186"/>
      <c r="AY665" s="12"/>
      <c r="AZ665" s="11"/>
      <c r="BA665" s="186"/>
      <c r="BB665" s="747"/>
      <c r="BC665" s="747"/>
      <c r="BD665" s="747"/>
      <c r="BE665" s="186"/>
      <c r="BF665" s="186"/>
      <c r="BG665" s="12"/>
      <c r="BH665" s="11"/>
      <c r="BI665" s="186"/>
      <c r="BJ665" s="747"/>
      <c r="BK665" s="747"/>
      <c r="BL665" s="747"/>
      <c r="BM665" s="186"/>
      <c r="BN665" s="186"/>
      <c r="BO665" s="12"/>
      <c r="BP665" s="11"/>
      <c r="BQ665" s="186"/>
      <c r="BR665" s="747"/>
      <c r="BS665" s="747"/>
      <c r="BT665" s="747"/>
      <c r="BU665" s="186"/>
      <c r="BV665" s="186"/>
      <c r="BW665" s="12"/>
    </row>
    <row r="666" spans="1:75">
      <c r="A666" s="1" t="s">
        <v>1153</v>
      </c>
      <c r="B666" s="1" t="s">
        <v>1146</v>
      </c>
      <c r="C666" s="1" t="s">
        <v>1147</v>
      </c>
      <c r="D666" s="1" t="s">
        <v>1937</v>
      </c>
      <c r="E666" s="1" t="s">
        <v>1839</v>
      </c>
      <c r="F666" s="1">
        <v>0.46</v>
      </c>
      <c r="G666" s="1">
        <v>6.5000000000000002E-2</v>
      </c>
      <c r="H666" s="1">
        <v>2.62</v>
      </c>
      <c r="I666" s="1" t="s">
        <v>963</v>
      </c>
      <c r="AI666" s="757"/>
      <c r="AJ666" s="195"/>
      <c r="AK666" s="186"/>
      <c r="AL666" s="747"/>
      <c r="AM666" s="747"/>
      <c r="AN666" s="747"/>
      <c r="AO666" s="186"/>
      <c r="AP666" s="186"/>
      <c r="AQ666" s="12"/>
      <c r="AR666" s="11"/>
      <c r="AS666" s="186"/>
      <c r="AT666" s="747"/>
      <c r="AU666" s="747"/>
      <c r="AV666" s="747"/>
      <c r="AW666" s="186"/>
      <c r="AX666" s="186"/>
      <c r="AY666" s="12"/>
      <c r="AZ666" s="11"/>
      <c r="BA666" s="186"/>
      <c r="BB666" s="747"/>
      <c r="BC666" s="747"/>
      <c r="BD666" s="747"/>
      <c r="BE666" s="186"/>
      <c r="BF666" s="186"/>
      <c r="BG666" s="12"/>
      <c r="BH666" s="11"/>
      <c r="BI666" s="186"/>
      <c r="BJ666" s="747"/>
      <c r="BK666" s="747"/>
      <c r="BL666" s="747"/>
      <c r="BM666" s="186"/>
      <c r="BN666" s="186"/>
      <c r="BO666" s="12"/>
      <c r="BP666" s="11"/>
      <c r="BQ666" s="186"/>
      <c r="BR666" s="747"/>
      <c r="BS666" s="747"/>
      <c r="BT666" s="747"/>
      <c r="BU666" s="186"/>
      <c r="BV666" s="186"/>
      <c r="BW666" s="12"/>
    </row>
    <row r="667" spans="1:75">
      <c r="A667" s="1" t="s">
        <v>1154</v>
      </c>
      <c r="B667" s="1" t="s">
        <v>1146</v>
      </c>
      <c r="C667" s="1" t="s">
        <v>1147</v>
      </c>
      <c r="D667" s="1" t="s">
        <v>1708</v>
      </c>
      <c r="E667" s="1" t="s">
        <v>1811</v>
      </c>
      <c r="F667" s="1">
        <v>0.35</v>
      </c>
      <c r="G667" s="1">
        <v>2.3E-2</v>
      </c>
      <c r="H667" s="1">
        <v>2.62</v>
      </c>
      <c r="I667" s="1" t="s">
        <v>963</v>
      </c>
      <c r="AI667" s="757"/>
      <c r="AJ667" s="195"/>
      <c r="AK667" s="186"/>
      <c r="AL667" s="747"/>
      <c r="AM667" s="747"/>
      <c r="AN667" s="747"/>
      <c r="AO667" s="186"/>
      <c r="AP667" s="186"/>
      <c r="AQ667" s="12"/>
      <c r="AR667" s="11"/>
      <c r="AS667" s="186"/>
      <c r="AT667" s="747"/>
      <c r="AU667" s="747"/>
      <c r="AV667" s="747"/>
      <c r="AW667" s="186"/>
      <c r="AX667" s="186"/>
      <c r="AY667" s="12"/>
      <c r="AZ667" s="11"/>
      <c r="BA667" s="186"/>
      <c r="BB667" s="747"/>
      <c r="BC667" s="747"/>
      <c r="BD667" s="747"/>
      <c r="BE667" s="186"/>
      <c r="BF667" s="186"/>
      <c r="BG667" s="12"/>
      <c r="BH667" s="11"/>
      <c r="BI667" s="186"/>
      <c r="BJ667" s="747"/>
      <c r="BK667" s="747"/>
      <c r="BL667" s="747"/>
      <c r="BM667" s="186"/>
      <c r="BN667" s="186"/>
      <c r="BO667" s="12"/>
      <c r="BP667" s="11"/>
      <c r="BQ667" s="186"/>
      <c r="BR667" s="747"/>
      <c r="BS667" s="747"/>
      <c r="BT667" s="747"/>
      <c r="BU667" s="186"/>
      <c r="BV667" s="186"/>
      <c r="BW667" s="12"/>
    </row>
    <row r="668" spans="1:75" ht="12.75" thickBot="1">
      <c r="A668" s="1" t="s">
        <v>1155</v>
      </c>
      <c r="B668" s="1" t="s">
        <v>1146</v>
      </c>
      <c r="C668" s="1" t="s">
        <v>1147</v>
      </c>
      <c r="D668" s="1" t="s">
        <v>1708</v>
      </c>
      <c r="E668" s="1" t="s">
        <v>1813</v>
      </c>
      <c r="F668" s="1">
        <v>0.17499999999999999</v>
      </c>
      <c r="G668" s="1">
        <v>1.15E-2</v>
      </c>
      <c r="H668" s="1">
        <v>2.62</v>
      </c>
      <c r="I668" s="1" t="s">
        <v>691</v>
      </c>
      <c r="J668" s="1" t="s">
        <v>692</v>
      </c>
      <c r="AI668" s="757"/>
      <c r="AJ668" s="195"/>
      <c r="AK668" s="186"/>
      <c r="AL668" s="747"/>
      <c r="AM668" s="747"/>
      <c r="AN668" s="747"/>
      <c r="AO668" s="186"/>
      <c r="AP668" s="186"/>
      <c r="AQ668" s="12"/>
      <c r="AR668" s="11"/>
      <c r="AS668" s="186"/>
      <c r="AT668" s="747"/>
      <c r="AU668" s="747"/>
      <c r="AV668" s="747"/>
      <c r="AW668" s="186"/>
      <c r="AX668" s="186"/>
      <c r="AY668" s="12"/>
      <c r="AZ668" s="11"/>
      <c r="BA668" s="186"/>
      <c r="BB668" s="747"/>
      <c r="BC668" s="747"/>
      <c r="BD668" s="747"/>
      <c r="BE668" s="186"/>
      <c r="BF668" s="186"/>
      <c r="BG668" s="12"/>
      <c r="BH668" s="11"/>
      <c r="BI668" s="186"/>
      <c r="BJ668" s="747"/>
      <c r="BK668" s="747"/>
      <c r="BL668" s="747"/>
      <c r="BM668" s="186"/>
      <c r="BN668" s="186"/>
      <c r="BO668" s="12"/>
      <c r="BP668" s="11"/>
      <c r="BQ668" s="186"/>
      <c r="BR668" s="747"/>
      <c r="BS668" s="747"/>
      <c r="BT668" s="747"/>
      <c r="BU668" s="186"/>
      <c r="BV668" s="186"/>
      <c r="BW668" s="12"/>
    </row>
    <row r="669" spans="1:75">
      <c r="A669" s="1" t="s">
        <v>1156</v>
      </c>
      <c r="B669" s="1" t="s">
        <v>1146</v>
      </c>
      <c r="C669" s="1" t="s">
        <v>1147</v>
      </c>
      <c r="D669" s="1" t="s">
        <v>1708</v>
      </c>
      <c r="E669" s="1" t="s">
        <v>1812</v>
      </c>
      <c r="F669" s="1">
        <v>0.35</v>
      </c>
      <c r="G669" s="1">
        <v>2.3E-2</v>
      </c>
      <c r="H669" s="1">
        <v>2.62</v>
      </c>
      <c r="I669" s="1" t="s">
        <v>963</v>
      </c>
      <c r="AI669" s="766"/>
      <c r="AJ669" s="252"/>
      <c r="AK669" s="252"/>
      <c r="AL669" s="252"/>
      <c r="AM669" s="252"/>
      <c r="AN669" s="252"/>
      <c r="AO669" s="252"/>
      <c r="AP669" s="252"/>
      <c r="AQ669" s="252"/>
      <c r="AR669" s="252"/>
      <c r="AS669" s="252"/>
      <c r="AT669" s="252"/>
      <c r="AU669" s="252"/>
      <c r="AV669" s="252"/>
      <c r="AW669" s="252"/>
      <c r="AX669" s="252"/>
      <c r="AY669" s="767"/>
      <c r="AZ669" s="768"/>
      <c r="BA669" s="252"/>
      <c r="BB669" s="252"/>
      <c r="BC669" s="252"/>
      <c r="BD669" s="252"/>
      <c r="BE669" s="252"/>
      <c r="BF669" s="252"/>
      <c r="BG669" s="252"/>
      <c r="BH669" s="252"/>
      <c r="BI669" s="252"/>
      <c r="BJ669" s="252"/>
      <c r="BK669" s="252"/>
      <c r="BL669" s="252"/>
      <c r="BM669" s="252"/>
      <c r="BN669" s="252"/>
      <c r="BO669" s="252"/>
      <c r="BP669" s="252"/>
      <c r="BQ669" s="252"/>
      <c r="BR669" s="252"/>
      <c r="BS669" s="252"/>
      <c r="BT669" s="252"/>
      <c r="BU669" s="252"/>
      <c r="BV669" s="252"/>
      <c r="BW669" s="252"/>
    </row>
    <row r="670" spans="1:75" ht="12.75" thickBot="1">
      <c r="A670" s="1" t="s">
        <v>1157</v>
      </c>
      <c r="B670" s="1" t="s">
        <v>1146</v>
      </c>
      <c r="C670" s="1" t="s">
        <v>1147</v>
      </c>
      <c r="D670" s="1" t="s">
        <v>1708</v>
      </c>
      <c r="E670" s="1" t="s">
        <v>1814</v>
      </c>
      <c r="F670" s="1">
        <v>0.17499999999999999</v>
      </c>
      <c r="G670" s="1">
        <v>1.15E-2</v>
      </c>
      <c r="H670" s="1">
        <v>2.62</v>
      </c>
      <c r="I670" s="1" t="s">
        <v>691</v>
      </c>
      <c r="J670" s="1" t="s">
        <v>692</v>
      </c>
      <c r="AI670" s="769"/>
      <c r="AY670" s="255"/>
      <c r="AZ670" s="766"/>
    </row>
    <row r="671" spans="1:75">
      <c r="A671" s="1" t="s">
        <v>1158</v>
      </c>
      <c r="B671" s="1" t="s">
        <v>1146</v>
      </c>
      <c r="C671" s="1" t="s">
        <v>1147</v>
      </c>
      <c r="D671" s="1" t="s">
        <v>2033</v>
      </c>
      <c r="E671" s="1" t="s">
        <v>2034</v>
      </c>
      <c r="F671" s="1">
        <v>0.26250000000000001</v>
      </c>
      <c r="G671" s="1">
        <v>1.7250000000000001E-2</v>
      </c>
      <c r="H671" s="1">
        <v>2.62</v>
      </c>
      <c r="I671" s="1" t="s">
        <v>963</v>
      </c>
      <c r="J671" s="1" t="s">
        <v>515</v>
      </c>
      <c r="AI671" s="763">
        <v>6</v>
      </c>
      <c r="AJ671" s="195" t="s">
        <v>2815</v>
      </c>
      <c r="AK671" s="186" t="s">
        <v>1859</v>
      </c>
      <c r="AL671" s="747" t="s">
        <v>1817</v>
      </c>
      <c r="AM671" s="747" t="s">
        <v>1730</v>
      </c>
      <c r="AN671" s="747" t="s">
        <v>1730</v>
      </c>
      <c r="AO671" s="186">
        <v>2.1800000000000002</v>
      </c>
      <c r="AP671" s="186">
        <v>0</v>
      </c>
      <c r="AQ671" s="12">
        <v>2.3199999999999998</v>
      </c>
      <c r="AR671" s="11" t="s">
        <v>2816</v>
      </c>
      <c r="AS671" s="186" t="s">
        <v>1859</v>
      </c>
      <c r="AT671" s="747" t="s">
        <v>1817</v>
      </c>
      <c r="AU671" s="747" t="s">
        <v>1730</v>
      </c>
      <c r="AV671" s="747" t="s">
        <v>1730</v>
      </c>
      <c r="AW671" s="186">
        <v>2.1800000000000002</v>
      </c>
      <c r="AX671" s="186">
        <v>0</v>
      </c>
      <c r="AY671" s="12">
        <v>3</v>
      </c>
      <c r="AZ671" s="11" t="s">
        <v>2115</v>
      </c>
      <c r="BA671" s="186" t="s">
        <v>1862</v>
      </c>
      <c r="BB671" s="747" t="s">
        <v>1817</v>
      </c>
      <c r="BC671" s="747" t="s">
        <v>1730</v>
      </c>
      <c r="BD671" s="747" t="s">
        <v>1730</v>
      </c>
      <c r="BE671" s="186">
        <v>1.34</v>
      </c>
      <c r="BF671" s="186">
        <v>0.2</v>
      </c>
      <c r="BG671" s="12">
        <v>2.58</v>
      </c>
      <c r="BH671" s="11" t="s">
        <v>2161</v>
      </c>
      <c r="BI671" s="186" t="s">
        <v>42</v>
      </c>
      <c r="BJ671" s="747" t="s">
        <v>2160</v>
      </c>
      <c r="BK671" s="747" t="s">
        <v>515</v>
      </c>
      <c r="BL671" s="747" t="s">
        <v>1730</v>
      </c>
      <c r="BM671" s="186">
        <v>0.03</v>
      </c>
      <c r="BN671" s="186">
        <v>0</v>
      </c>
      <c r="BO671" s="12">
        <v>2.23</v>
      </c>
      <c r="BP671" s="11" t="s">
        <v>2170</v>
      </c>
      <c r="BQ671" s="186" t="s">
        <v>1709</v>
      </c>
      <c r="BR671" s="747" t="s">
        <v>2160</v>
      </c>
      <c r="BS671" s="747" t="s">
        <v>1730</v>
      </c>
      <c r="BT671" s="747" t="s">
        <v>1730</v>
      </c>
      <c r="BU671" s="186">
        <v>0.105</v>
      </c>
      <c r="BV671" s="186">
        <v>0</v>
      </c>
      <c r="BW671" s="12">
        <v>1.37</v>
      </c>
    </row>
    <row r="672" spans="1:75">
      <c r="A672" s="1" t="s">
        <v>1159</v>
      </c>
      <c r="B672" s="1" t="s">
        <v>1146</v>
      </c>
      <c r="C672" s="1" t="s">
        <v>1147</v>
      </c>
      <c r="D672" s="1" t="s">
        <v>2033</v>
      </c>
      <c r="E672" s="1" t="s">
        <v>2035</v>
      </c>
      <c r="F672" s="1">
        <v>0.26250000000000001</v>
      </c>
      <c r="G672" s="1">
        <v>1.7250000000000001E-2</v>
      </c>
      <c r="H672" s="1">
        <v>2.62</v>
      </c>
      <c r="I672" s="1" t="s">
        <v>691</v>
      </c>
      <c r="J672" s="1" t="s">
        <v>697</v>
      </c>
      <c r="AI672" s="757"/>
      <c r="AJ672" s="195" t="s">
        <v>2815</v>
      </c>
      <c r="AK672" s="186" t="s">
        <v>1863</v>
      </c>
      <c r="AL672" s="747" t="s">
        <v>1840</v>
      </c>
      <c r="AM672" s="747" t="s">
        <v>1730</v>
      </c>
      <c r="AN672" s="747" t="s">
        <v>1730</v>
      </c>
      <c r="AO672" s="186">
        <v>1.2</v>
      </c>
      <c r="AP672" s="186">
        <v>0</v>
      </c>
      <c r="AQ672" s="12">
        <v>2.3199999999999998</v>
      </c>
      <c r="AR672" s="11" t="s">
        <v>2720</v>
      </c>
      <c r="AS672" s="186" t="s">
        <v>1863</v>
      </c>
      <c r="AT672" s="747" t="s">
        <v>1840</v>
      </c>
      <c r="AU672" s="747" t="s">
        <v>1730</v>
      </c>
      <c r="AV672" s="747" t="s">
        <v>1730</v>
      </c>
      <c r="AW672" s="186">
        <v>1.2</v>
      </c>
      <c r="AX672" s="186">
        <v>0</v>
      </c>
      <c r="AY672" s="12">
        <v>3</v>
      </c>
      <c r="AZ672" s="11" t="s">
        <v>2115</v>
      </c>
      <c r="BA672" s="186" t="s">
        <v>1864</v>
      </c>
      <c r="BB672" s="747" t="s">
        <v>1838</v>
      </c>
      <c r="BC672" s="747" t="s">
        <v>1730</v>
      </c>
      <c r="BD672" s="747" t="s">
        <v>1730</v>
      </c>
      <c r="BE672" s="186">
        <v>1.2</v>
      </c>
      <c r="BF672" s="186">
        <v>0.2</v>
      </c>
      <c r="BG672" s="12">
        <v>2.58</v>
      </c>
      <c r="BH672" s="11" t="s">
        <v>2161</v>
      </c>
      <c r="BI672" s="186" t="s">
        <v>42</v>
      </c>
      <c r="BJ672" s="747" t="s">
        <v>2162</v>
      </c>
      <c r="BK672" s="747" t="s">
        <v>516</v>
      </c>
      <c r="BL672" s="747" t="s">
        <v>1730</v>
      </c>
      <c r="BM672" s="186">
        <v>0.02</v>
      </c>
      <c r="BN672" s="186">
        <v>0</v>
      </c>
      <c r="BO672" s="12">
        <v>2.23</v>
      </c>
      <c r="BP672" s="11" t="s">
        <v>2170</v>
      </c>
      <c r="BQ672" s="186" t="s">
        <v>1709</v>
      </c>
      <c r="BR672" s="747" t="s">
        <v>2162</v>
      </c>
      <c r="BS672" s="747" t="s">
        <v>1730</v>
      </c>
      <c r="BT672" s="747" t="s">
        <v>1730</v>
      </c>
      <c r="BU672" s="186">
        <v>7.0000000000000007E-2</v>
      </c>
      <c r="BV672" s="186">
        <v>0</v>
      </c>
      <c r="BW672" s="12">
        <v>1.37</v>
      </c>
    </row>
    <row r="673" spans="1:75">
      <c r="A673" s="1" t="s">
        <v>1160</v>
      </c>
      <c r="B673" s="1" t="s">
        <v>1146</v>
      </c>
      <c r="C673" s="1" t="s">
        <v>1147</v>
      </c>
      <c r="D673" s="1" t="s">
        <v>2033</v>
      </c>
      <c r="E673" s="1" t="s">
        <v>2036</v>
      </c>
      <c r="F673" s="1">
        <v>0.17499999999999999</v>
      </c>
      <c r="G673" s="1">
        <v>1.15E-2</v>
      </c>
      <c r="H673" s="1">
        <v>2.62</v>
      </c>
      <c r="I673" s="1" t="s">
        <v>963</v>
      </c>
      <c r="J673" s="1" t="s">
        <v>516</v>
      </c>
      <c r="AI673" s="757"/>
      <c r="AJ673" s="195" t="s">
        <v>2815</v>
      </c>
      <c r="AK673" s="186" t="s">
        <v>1922</v>
      </c>
      <c r="AL673" s="747" t="s">
        <v>1841</v>
      </c>
      <c r="AM673" s="747" t="s">
        <v>1730</v>
      </c>
      <c r="AN673" s="747" t="s">
        <v>1730</v>
      </c>
      <c r="AO673" s="186">
        <v>0.6</v>
      </c>
      <c r="AP673" s="186">
        <v>0</v>
      </c>
      <c r="AQ673" s="12">
        <v>2.3199999999999998</v>
      </c>
      <c r="AR673" s="11" t="s">
        <v>2816</v>
      </c>
      <c r="AS673" s="186" t="s">
        <v>1922</v>
      </c>
      <c r="AT673" s="747" t="s">
        <v>1841</v>
      </c>
      <c r="AU673" s="747" t="s">
        <v>1730</v>
      </c>
      <c r="AV673" s="747" t="s">
        <v>1730</v>
      </c>
      <c r="AW673" s="186">
        <v>0.6</v>
      </c>
      <c r="AX673" s="186">
        <v>0</v>
      </c>
      <c r="AY673" s="12">
        <v>3</v>
      </c>
      <c r="AZ673" s="11" t="s">
        <v>2115</v>
      </c>
      <c r="BA673" s="186" t="s">
        <v>1865</v>
      </c>
      <c r="BB673" s="747" t="s">
        <v>1807</v>
      </c>
      <c r="BC673" s="747" t="s">
        <v>1730</v>
      </c>
      <c r="BD673" s="747" t="s">
        <v>1730</v>
      </c>
      <c r="BE673" s="186">
        <v>1.02</v>
      </c>
      <c r="BF673" s="186">
        <v>0.2</v>
      </c>
      <c r="BG673" s="12">
        <v>2.58</v>
      </c>
      <c r="BH673" s="11" t="s">
        <v>2161</v>
      </c>
      <c r="BI673" s="186" t="s">
        <v>42</v>
      </c>
      <c r="BJ673" s="747" t="s">
        <v>2163</v>
      </c>
      <c r="BK673" s="747" t="s">
        <v>517</v>
      </c>
      <c r="BL673" s="747" t="s">
        <v>1730</v>
      </c>
      <c r="BM673" s="186">
        <v>0.01</v>
      </c>
      <c r="BN673" s="186">
        <v>0</v>
      </c>
      <c r="BO673" s="12">
        <v>2.23</v>
      </c>
      <c r="BP673" s="11" t="s">
        <v>2170</v>
      </c>
      <c r="BQ673" s="186" t="s">
        <v>1709</v>
      </c>
      <c r="BR673" s="747" t="s">
        <v>2163</v>
      </c>
      <c r="BS673" s="747" t="s">
        <v>1730</v>
      </c>
      <c r="BT673" s="747" t="s">
        <v>1730</v>
      </c>
      <c r="BU673" s="186">
        <v>3.5000000000000003E-2</v>
      </c>
      <c r="BV673" s="186">
        <v>0</v>
      </c>
      <c r="BW673" s="12">
        <v>1.37</v>
      </c>
    </row>
    <row r="674" spans="1:75">
      <c r="A674" s="1" t="s">
        <v>1161</v>
      </c>
      <c r="B674" s="1" t="s">
        <v>1146</v>
      </c>
      <c r="C674" s="1" t="s">
        <v>1147</v>
      </c>
      <c r="D674" s="1" t="s">
        <v>2033</v>
      </c>
      <c r="E674" s="1" t="s">
        <v>2037</v>
      </c>
      <c r="F674" s="1">
        <v>0.17499999999999999</v>
      </c>
      <c r="G674" s="1">
        <v>1.15E-2</v>
      </c>
      <c r="H674" s="1">
        <v>2.62</v>
      </c>
      <c r="I674" s="1" t="s">
        <v>691</v>
      </c>
      <c r="J674" s="1" t="s">
        <v>700</v>
      </c>
      <c r="AI674" s="757"/>
      <c r="AJ674" s="195" t="s">
        <v>2817</v>
      </c>
      <c r="AK674" s="186" t="s">
        <v>1922</v>
      </c>
      <c r="AL674" s="747" t="s">
        <v>1842</v>
      </c>
      <c r="AM674" s="747" t="s">
        <v>1730</v>
      </c>
      <c r="AN674" s="747" t="s">
        <v>1730</v>
      </c>
      <c r="AO674" s="186">
        <v>0.6</v>
      </c>
      <c r="AP674" s="186">
        <v>0</v>
      </c>
      <c r="AQ674" s="12">
        <v>2.3199999999999998</v>
      </c>
      <c r="AR674" s="11" t="s">
        <v>2818</v>
      </c>
      <c r="AS674" s="186" t="s">
        <v>1922</v>
      </c>
      <c r="AT674" s="747" t="s">
        <v>1842</v>
      </c>
      <c r="AU674" s="747" t="s">
        <v>1730</v>
      </c>
      <c r="AV674" s="747" t="s">
        <v>1730</v>
      </c>
      <c r="AW674" s="186">
        <v>0.6</v>
      </c>
      <c r="AX674" s="186">
        <v>0</v>
      </c>
      <c r="AY674" s="12">
        <v>3</v>
      </c>
      <c r="AZ674" s="11" t="s">
        <v>2115</v>
      </c>
      <c r="BA674" s="186" t="s">
        <v>1865</v>
      </c>
      <c r="BB674" s="747" t="s">
        <v>1808</v>
      </c>
      <c r="BC674" s="747" t="s">
        <v>1730</v>
      </c>
      <c r="BD674" s="747" t="s">
        <v>1730</v>
      </c>
      <c r="BE674" s="186">
        <v>1.02</v>
      </c>
      <c r="BF674" s="186">
        <v>0.2</v>
      </c>
      <c r="BG674" s="12">
        <v>2.58</v>
      </c>
      <c r="BH674" s="11" t="s">
        <v>2161</v>
      </c>
      <c r="BI674" s="186" t="s">
        <v>1710</v>
      </c>
      <c r="BJ674" s="747" t="s">
        <v>2164</v>
      </c>
      <c r="BK674" s="747" t="s">
        <v>1730</v>
      </c>
      <c r="BL674" s="747" t="s">
        <v>1730</v>
      </c>
      <c r="BM674" s="186">
        <v>2.5000000000000001E-2</v>
      </c>
      <c r="BN674" s="186">
        <v>0</v>
      </c>
      <c r="BO674" s="12">
        <v>2.23</v>
      </c>
      <c r="BP674" s="11" t="s">
        <v>2170</v>
      </c>
      <c r="BQ674" s="186" t="s">
        <v>1710</v>
      </c>
      <c r="BR674" s="747" t="s">
        <v>2171</v>
      </c>
      <c r="BS674" s="747" t="s">
        <v>1730</v>
      </c>
      <c r="BT674" s="747" t="s">
        <v>1730</v>
      </c>
      <c r="BU674" s="186">
        <v>7.0000000000000007E-2</v>
      </c>
      <c r="BV674" s="186">
        <v>0</v>
      </c>
      <c r="BW674" s="12">
        <v>1.37</v>
      </c>
    </row>
    <row r="675" spans="1:75">
      <c r="A675" s="1" t="s">
        <v>1162</v>
      </c>
      <c r="B675" s="1" t="s">
        <v>1146</v>
      </c>
      <c r="C675" s="1" t="s">
        <v>1147</v>
      </c>
      <c r="D675" s="1" t="s">
        <v>2033</v>
      </c>
      <c r="E675" s="1" t="s">
        <v>2038</v>
      </c>
      <c r="F675" s="1">
        <v>8.7499999999999994E-2</v>
      </c>
      <c r="G675" s="1">
        <v>5.7499999999999999E-3</v>
      </c>
      <c r="H675" s="1">
        <v>2.62</v>
      </c>
      <c r="I675" s="1" t="s">
        <v>1163</v>
      </c>
      <c r="J675" s="1" t="s">
        <v>517</v>
      </c>
      <c r="AI675" s="757"/>
      <c r="AJ675" s="195" t="s">
        <v>2817</v>
      </c>
      <c r="AK675" s="186" t="s">
        <v>1925</v>
      </c>
      <c r="AL675" s="747" t="s">
        <v>1843</v>
      </c>
      <c r="AM675" s="747" t="s">
        <v>1730</v>
      </c>
      <c r="AN675" s="747" t="s">
        <v>1730</v>
      </c>
      <c r="AO675" s="186">
        <v>0.25</v>
      </c>
      <c r="AP675" s="186">
        <v>0</v>
      </c>
      <c r="AQ675" s="12">
        <v>2.3199999999999998</v>
      </c>
      <c r="AR675" s="11" t="s">
        <v>2720</v>
      </c>
      <c r="AS675" s="186" t="s">
        <v>1925</v>
      </c>
      <c r="AT675" s="747" t="s">
        <v>1843</v>
      </c>
      <c r="AU675" s="747" t="s">
        <v>1730</v>
      </c>
      <c r="AV675" s="747" t="s">
        <v>1730</v>
      </c>
      <c r="AW675" s="186">
        <v>0.25</v>
      </c>
      <c r="AX675" s="186">
        <v>0</v>
      </c>
      <c r="AY675" s="12">
        <v>3</v>
      </c>
      <c r="AZ675" s="11" t="s">
        <v>2115</v>
      </c>
      <c r="BA675" s="186" t="s">
        <v>1929</v>
      </c>
      <c r="BB675" s="747" t="s">
        <v>1930</v>
      </c>
      <c r="BC675" s="747" t="s">
        <v>1730</v>
      </c>
      <c r="BD675" s="747" t="s">
        <v>1730</v>
      </c>
      <c r="BE675" s="186">
        <v>0.7</v>
      </c>
      <c r="BF675" s="186">
        <v>0.2</v>
      </c>
      <c r="BG675" s="12">
        <v>2.58</v>
      </c>
      <c r="BH675" s="11" t="s">
        <v>2161</v>
      </c>
      <c r="BI675" s="186" t="s">
        <v>1710</v>
      </c>
      <c r="BJ675" s="747" t="s">
        <v>1570</v>
      </c>
      <c r="BK675" s="747" t="s">
        <v>1730</v>
      </c>
      <c r="BL675" s="747" t="s">
        <v>1730</v>
      </c>
      <c r="BM675" s="186">
        <v>2.5000000000000001E-2</v>
      </c>
      <c r="BN675" s="186">
        <v>0</v>
      </c>
      <c r="BO675" s="12">
        <v>2.23</v>
      </c>
      <c r="BP675" s="11" t="s">
        <v>2170</v>
      </c>
      <c r="BQ675" s="186" t="s">
        <v>1710</v>
      </c>
      <c r="BR675" s="747" t="s">
        <v>2172</v>
      </c>
      <c r="BS675" s="747" t="s">
        <v>1730</v>
      </c>
      <c r="BT675" s="747" t="s">
        <v>1730</v>
      </c>
      <c r="BU675" s="186">
        <v>3.5000000000000003E-2</v>
      </c>
      <c r="BV675" s="186">
        <v>0</v>
      </c>
      <c r="BW675" s="12">
        <v>1.37</v>
      </c>
    </row>
    <row r="676" spans="1:75">
      <c r="A676" s="1" t="s">
        <v>1164</v>
      </c>
      <c r="B676" s="1" t="s">
        <v>1146</v>
      </c>
      <c r="C676" s="1" t="s">
        <v>1147</v>
      </c>
      <c r="D676" s="1" t="s">
        <v>2033</v>
      </c>
      <c r="E676" s="1" t="s">
        <v>2039</v>
      </c>
      <c r="F676" s="1">
        <v>8.7499999999999994E-2</v>
      </c>
      <c r="G676" s="1">
        <v>5.7499999999999999E-3</v>
      </c>
      <c r="H676" s="1">
        <v>2.62</v>
      </c>
      <c r="I676" s="1" t="s">
        <v>691</v>
      </c>
      <c r="J676" s="1" t="s">
        <v>703</v>
      </c>
      <c r="AI676" s="757"/>
      <c r="AJ676" s="195" t="s">
        <v>2815</v>
      </c>
      <c r="AK676" s="186" t="s">
        <v>1925</v>
      </c>
      <c r="AL676" s="747" t="s">
        <v>1844</v>
      </c>
      <c r="AM676" s="747" t="s">
        <v>1730</v>
      </c>
      <c r="AN676" s="747" t="s">
        <v>1730</v>
      </c>
      <c r="AO676" s="186">
        <v>0.25</v>
      </c>
      <c r="AP676" s="186">
        <v>0</v>
      </c>
      <c r="AQ676" s="12">
        <v>2.3199999999999998</v>
      </c>
      <c r="AR676" s="11" t="s">
        <v>2816</v>
      </c>
      <c r="AS676" s="186" t="s">
        <v>1925</v>
      </c>
      <c r="AT676" s="747" t="s">
        <v>1844</v>
      </c>
      <c r="AU676" s="747" t="s">
        <v>1730</v>
      </c>
      <c r="AV676" s="747" t="s">
        <v>1730</v>
      </c>
      <c r="AW676" s="186">
        <v>0.25</v>
      </c>
      <c r="AX676" s="186">
        <v>0</v>
      </c>
      <c r="AY676" s="12">
        <v>3</v>
      </c>
      <c r="AZ676" s="11" t="s">
        <v>2115</v>
      </c>
      <c r="BA676" s="186" t="s">
        <v>1933</v>
      </c>
      <c r="BB676" s="747" t="s">
        <v>2116</v>
      </c>
      <c r="BC676" s="747" t="s">
        <v>1730</v>
      </c>
      <c r="BD676" s="747" t="s">
        <v>1730</v>
      </c>
      <c r="BE676" s="186">
        <v>0.5</v>
      </c>
      <c r="BF676" s="186">
        <v>0.2</v>
      </c>
      <c r="BG676" s="12">
        <v>2.58</v>
      </c>
      <c r="BH676" s="11" t="s">
        <v>2161</v>
      </c>
      <c r="BI676" s="186" t="s">
        <v>1710</v>
      </c>
      <c r="BJ676" s="747" t="s">
        <v>2165</v>
      </c>
      <c r="BK676" s="747" t="s">
        <v>1730</v>
      </c>
      <c r="BL676" s="747" t="s">
        <v>1730</v>
      </c>
      <c r="BM676" s="186">
        <v>1.2500000000000001E-2</v>
      </c>
      <c r="BN676" s="186">
        <v>0</v>
      </c>
      <c r="BO676" s="12">
        <v>2.23</v>
      </c>
      <c r="BP676" s="11" t="s">
        <v>2170</v>
      </c>
      <c r="BQ676" s="186" t="s">
        <v>1710</v>
      </c>
      <c r="BR676" s="747" t="s">
        <v>2173</v>
      </c>
      <c r="BS676" s="747" t="s">
        <v>519</v>
      </c>
      <c r="BT676" s="747" t="s">
        <v>1730</v>
      </c>
      <c r="BU676" s="186">
        <v>3.5000000000000003E-2</v>
      </c>
      <c r="BV676" s="186">
        <v>0</v>
      </c>
      <c r="BW676" s="12">
        <v>1.37</v>
      </c>
    </row>
    <row r="677" spans="1:75">
      <c r="A677" s="1" t="s">
        <v>1165</v>
      </c>
      <c r="B677" s="1" t="s">
        <v>1146</v>
      </c>
      <c r="C677" s="1" t="s">
        <v>1147</v>
      </c>
      <c r="D677" s="1" t="s">
        <v>2040</v>
      </c>
      <c r="E677" s="1" t="s">
        <v>2041</v>
      </c>
      <c r="F677" s="1">
        <v>0.26250000000000001</v>
      </c>
      <c r="G677" s="1">
        <v>1.7250000000000001E-2</v>
      </c>
      <c r="H677" s="1">
        <v>2.62</v>
      </c>
      <c r="I677" s="1" t="s">
        <v>963</v>
      </c>
      <c r="J677" s="1" t="s">
        <v>515</v>
      </c>
      <c r="AI677" s="757"/>
      <c r="AJ677" s="195" t="s">
        <v>2817</v>
      </c>
      <c r="AK677" s="186" t="s">
        <v>1925</v>
      </c>
      <c r="AL677" s="747" t="s">
        <v>1845</v>
      </c>
      <c r="AM677" s="747" t="s">
        <v>1730</v>
      </c>
      <c r="AN677" s="747" t="s">
        <v>1730</v>
      </c>
      <c r="AO677" s="186">
        <v>0.125</v>
      </c>
      <c r="AP677" s="186">
        <v>0</v>
      </c>
      <c r="AQ677" s="12">
        <v>2.3199999999999998</v>
      </c>
      <c r="AR677" s="11" t="s">
        <v>2816</v>
      </c>
      <c r="AS677" s="186" t="s">
        <v>1925</v>
      </c>
      <c r="AT677" s="747" t="s">
        <v>1845</v>
      </c>
      <c r="AU677" s="747" t="s">
        <v>1730</v>
      </c>
      <c r="AV677" s="747" t="s">
        <v>1730</v>
      </c>
      <c r="AW677" s="186">
        <v>0.125</v>
      </c>
      <c r="AX677" s="186">
        <v>0</v>
      </c>
      <c r="AY677" s="12">
        <v>3</v>
      </c>
      <c r="AZ677" s="11" t="s">
        <v>2115</v>
      </c>
      <c r="BA677" s="186" t="s">
        <v>1933</v>
      </c>
      <c r="BB677" s="747" t="s">
        <v>2117</v>
      </c>
      <c r="BC677" s="747" t="s">
        <v>1730</v>
      </c>
      <c r="BD677" s="747" t="s">
        <v>1730</v>
      </c>
      <c r="BE677" s="186">
        <v>0.5</v>
      </c>
      <c r="BF677" s="186">
        <v>0.2</v>
      </c>
      <c r="BG677" s="12">
        <v>2.58</v>
      </c>
      <c r="BH677" s="11" t="s">
        <v>2161</v>
      </c>
      <c r="BI677" s="186" t="s">
        <v>1710</v>
      </c>
      <c r="BJ677" s="747" t="s">
        <v>1571</v>
      </c>
      <c r="BK677" s="747" t="s">
        <v>1730</v>
      </c>
      <c r="BL677" s="747" t="s">
        <v>1730</v>
      </c>
      <c r="BM677" s="186">
        <v>1.2500000000000001E-2</v>
      </c>
      <c r="BN677" s="186">
        <v>0</v>
      </c>
      <c r="BO677" s="12">
        <v>2.23</v>
      </c>
      <c r="BP677" s="11" t="s">
        <v>2170</v>
      </c>
      <c r="BQ677" s="186" t="s">
        <v>1710</v>
      </c>
      <c r="BR677" s="747" t="s">
        <v>2174</v>
      </c>
      <c r="BS677" s="747" t="s">
        <v>519</v>
      </c>
      <c r="BT677" s="747" t="s">
        <v>1730</v>
      </c>
      <c r="BU677" s="186">
        <v>3.5000000000000003E-2</v>
      </c>
      <c r="BV677" s="186">
        <v>0</v>
      </c>
      <c r="BW677" s="12">
        <v>1.37</v>
      </c>
    </row>
    <row r="678" spans="1:75">
      <c r="A678" s="1" t="s">
        <v>1166</v>
      </c>
      <c r="B678" s="1" t="s">
        <v>1146</v>
      </c>
      <c r="C678" s="1" t="s">
        <v>1147</v>
      </c>
      <c r="D678" s="1" t="s">
        <v>2040</v>
      </c>
      <c r="E678" s="1" t="s">
        <v>2042</v>
      </c>
      <c r="F678" s="1">
        <v>0.26250000000000001</v>
      </c>
      <c r="G678" s="1">
        <v>1.7250000000000001E-2</v>
      </c>
      <c r="H678" s="1">
        <v>2.62</v>
      </c>
      <c r="I678" s="1" t="s">
        <v>691</v>
      </c>
      <c r="J678" s="1" t="s">
        <v>697</v>
      </c>
      <c r="AI678" s="757"/>
      <c r="AJ678" s="195" t="s">
        <v>2817</v>
      </c>
      <c r="AK678" s="186" t="s">
        <v>42</v>
      </c>
      <c r="AL678" s="747" t="s">
        <v>1846</v>
      </c>
      <c r="AM678" s="747" t="s">
        <v>1730</v>
      </c>
      <c r="AN678" s="747" t="s">
        <v>1730</v>
      </c>
      <c r="AO678" s="186">
        <v>0.08</v>
      </c>
      <c r="AP678" s="186">
        <v>0</v>
      </c>
      <c r="AQ678" s="12">
        <v>2.3199999999999998</v>
      </c>
      <c r="AR678" s="11" t="s">
        <v>2818</v>
      </c>
      <c r="AS678" s="186" t="s">
        <v>42</v>
      </c>
      <c r="AT678" s="747" t="s">
        <v>1846</v>
      </c>
      <c r="AU678" s="747" t="s">
        <v>1730</v>
      </c>
      <c r="AV678" s="747" t="s">
        <v>1730</v>
      </c>
      <c r="AW678" s="186">
        <v>0.08</v>
      </c>
      <c r="AX678" s="186">
        <v>0</v>
      </c>
      <c r="AY678" s="12">
        <v>3</v>
      </c>
      <c r="AZ678" s="11" t="s">
        <v>2115</v>
      </c>
      <c r="BA678" s="186" t="s">
        <v>1937</v>
      </c>
      <c r="BB678" s="747" t="s">
        <v>1938</v>
      </c>
      <c r="BC678" s="747" t="s">
        <v>1730</v>
      </c>
      <c r="BD678" s="747" t="s">
        <v>1730</v>
      </c>
      <c r="BE678" s="186">
        <v>0.5</v>
      </c>
      <c r="BF678" s="186">
        <v>0.2</v>
      </c>
      <c r="BG678" s="12">
        <v>2.58</v>
      </c>
      <c r="BH678" s="11" t="s">
        <v>2161</v>
      </c>
      <c r="BI678" s="186" t="s">
        <v>1710</v>
      </c>
      <c r="BJ678" s="747" t="s">
        <v>2166</v>
      </c>
      <c r="BK678" s="747" t="s">
        <v>519</v>
      </c>
      <c r="BL678" s="747" t="s">
        <v>1730</v>
      </c>
      <c r="BM678" s="186">
        <v>1.2500000000000001E-2</v>
      </c>
      <c r="BN678" s="186">
        <v>0</v>
      </c>
      <c r="BO678" s="12">
        <v>2.23</v>
      </c>
      <c r="BP678" s="11" t="s">
        <v>2170</v>
      </c>
      <c r="BQ678" s="186" t="s">
        <v>1710</v>
      </c>
      <c r="BR678" s="747" t="s">
        <v>2175</v>
      </c>
      <c r="BS678" s="747" t="s">
        <v>520</v>
      </c>
      <c r="BT678" s="747" t="s">
        <v>1730</v>
      </c>
      <c r="BU678" s="186">
        <v>1.7500000000000002E-2</v>
      </c>
      <c r="BV678" s="186">
        <v>0</v>
      </c>
      <c r="BW678" s="12">
        <v>1.37</v>
      </c>
    </row>
    <row r="679" spans="1:75">
      <c r="A679" s="1" t="s">
        <v>1167</v>
      </c>
      <c r="B679" s="1" t="s">
        <v>1146</v>
      </c>
      <c r="C679" s="1" t="s">
        <v>1147</v>
      </c>
      <c r="D679" s="1" t="s">
        <v>2040</v>
      </c>
      <c r="E679" s="1" t="s">
        <v>2043</v>
      </c>
      <c r="F679" s="1">
        <v>0.17499999999999999</v>
      </c>
      <c r="G679" s="1">
        <v>1.15E-2</v>
      </c>
      <c r="H679" s="1">
        <v>2.62</v>
      </c>
      <c r="I679" s="1" t="s">
        <v>963</v>
      </c>
      <c r="J679" s="1" t="s">
        <v>516</v>
      </c>
      <c r="AI679" s="757"/>
      <c r="AJ679" s="195" t="s">
        <v>2817</v>
      </c>
      <c r="AK679" s="186" t="s">
        <v>42</v>
      </c>
      <c r="AL679" s="747" t="s">
        <v>1847</v>
      </c>
      <c r="AM679" s="747" t="s">
        <v>1730</v>
      </c>
      <c r="AN679" s="747" t="s">
        <v>1730</v>
      </c>
      <c r="AO679" s="186">
        <v>0.04</v>
      </c>
      <c r="AP679" s="186">
        <v>0</v>
      </c>
      <c r="AQ679" s="12">
        <v>2.3199999999999998</v>
      </c>
      <c r="AR679" s="11" t="s">
        <v>2816</v>
      </c>
      <c r="AS679" s="186" t="s">
        <v>42</v>
      </c>
      <c r="AT679" s="747" t="s">
        <v>1847</v>
      </c>
      <c r="AU679" s="747" t="s">
        <v>1730</v>
      </c>
      <c r="AV679" s="747" t="s">
        <v>1730</v>
      </c>
      <c r="AW679" s="186">
        <v>0.04</v>
      </c>
      <c r="AX679" s="186">
        <v>0</v>
      </c>
      <c r="AY679" s="12">
        <v>3</v>
      </c>
      <c r="AZ679" s="11" t="s">
        <v>2115</v>
      </c>
      <c r="BA679" s="186" t="s">
        <v>1941</v>
      </c>
      <c r="BB679" s="747" t="s">
        <v>1973</v>
      </c>
      <c r="BC679" s="747" t="s">
        <v>1730</v>
      </c>
      <c r="BD679" s="747" t="s">
        <v>1730</v>
      </c>
      <c r="BE679" s="186">
        <v>0.4</v>
      </c>
      <c r="BF679" s="186">
        <v>0.08</v>
      </c>
      <c r="BG679" s="12">
        <v>2.58</v>
      </c>
      <c r="BH679" s="11" t="s">
        <v>2161</v>
      </c>
      <c r="BI679" s="186" t="s">
        <v>1710</v>
      </c>
      <c r="BJ679" s="747" t="s">
        <v>2167</v>
      </c>
      <c r="BK679" s="747" t="s">
        <v>519</v>
      </c>
      <c r="BL679" s="747" t="s">
        <v>1730</v>
      </c>
      <c r="BM679" s="186">
        <v>1.2500000000000001E-2</v>
      </c>
      <c r="BN679" s="186">
        <v>0</v>
      </c>
      <c r="BO679" s="12">
        <v>2.23</v>
      </c>
      <c r="BP679" s="11" t="s">
        <v>2170</v>
      </c>
      <c r="BQ679" s="186" t="s">
        <v>1710</v>
      </c>
      <c r="BR679" s="747" t="s">
        <v>2176</v>
      </c>
      <c r="BS679" s="747" t="s">
        <v>520</v>
      </c>
      <c r="BT679" s="747" t="s">
        <v>1730</v>
      </c>
      <c r="BU679" s="186">
        <v>1.7500000000000002E-2</v>
      </c>
      <c r="BV679" s="186">
        <v>0</v>
      </c>
      <c r="BW679" s="12">
        <v>1.37</v>
      </c>
    </row>
    <row r="680" spans="1:75">
      <c r="A680" s="1" t="s">
        <v>1168</v>
      </c>
      <c r="B680" s="1" t="s">
        <v>1146</v>
      </c>
      <c r="C680" s="1" t="s">
        <v>1147</v>
      </c>
      <c r="D680" s="1" t="s">
        <v>2040</v>
      </c>
      <c r="E680" s="1" t="s">
        <v>2044</v>
      </c>
      <c r="F680" s="1">
        <v>0.17499999999999999</v>
      </c>
      <c r="G680" s="1">
        <v>1.15E-2</v>
      </c>
      <c r="H680" s="1">
        <v>2.62</v>
      </c>
      <c r="I680" s="1" t="s">
        <v>691</v>
      </c>
      <c r="J680" s="1" t="s">
        <v>700</v>
      </c>
      <c r="AI680" s="757"/>
      <c r="AJ680" s="195" t="s">
        <v>2817</v>
      </c>
      <c r="AK680" s="186" t="s">
        <v>42</v>
      </c>
      <c r="AL680" s="747" t="s">
        <v>1848</v>
      </c>
      <c r="AM680" s="747" t="s">
        <v>515</v>
      </c>
      <c r="AN680" s="747" t="s">
        <v>1730</v>
      </c>
      <c r="AO680" s="186">
        <v>0.06</v>
      </c>
      <c r="AP680" s="186">
        <v>0</v>
      </c>
      <c r="AQ680" s="12">
        <v>2.3199999999999998</v>
      </c>
      <c r="AR680" s="11" t="s">
        <v>2818</v>
      </c>
      <c r="AS680" s="186" t="s">
        <v>42</v>
      </c>
      <c r="AT680" s="747" t="s">
        <v>1848</v>
      </c>
      <c r="AU680" s="747" t="s">
        <v>515</v>
      </c>
      <c r="AV680" s="747" t="s">
        <v>1730</v>
      </c>
      <c r="AW680" s="186">
        <v>0.06</v>
      </c>
      <c r="AX680" s="186">
        <v>0</v>
      </c>
      <c r="AY680" s="12">
        <v>3</v>
      </c>
      <c r="AZ680" s="11" t="s">
        <v>2115</v>
      </c>
      <c r="BA680" s="186" t="s">
        <v>1941</v>
      </c>
      <c r="BB680" s="747" t="s">
        <v>1974</v>
      </c>
      <c r="BC680" s="747" t="s">
        <v>1730</v>
      </c>
      <c r="BD680" s="747" t="s">
        <v>1730</v>
      </c>
      <c r="BE680" s="186">
        <v>0.2</v>
      </c>
      <c r="BF680" s="186">
        <v>0.04</v>
      </c>
      <c r="BG680" s="12">
        <v>2.58</v>
      </c>
      <c r="BH680" s="11" t="s">
        <v>2161</v>
      </c>
      <c r="BI680" s="186" t="s">
        <v>1710</v>
      </c>
      <c r="BJ680" s="747" t="s">
        <v>2168</v>
      </c>
      <c r="BK680" s="747" t="s">
        <v>520</v>
      </c>
      <c r="BL680" s="747" t="s">
        <v>1730</v>
      </c>
      <c r="BM680" s="186">
        <v>6.2500000000000003E-3</v>
      </c>
      <c r="BN680" s="186">
        <v>0</v>
      </c>
      <c r="BO680" s="12">
        <v>2.23</v>
      </c>
      <c r="BP680" s="11" t="s">
        <v>2170</v>
      </c>
      <c r="BQ680" s="186" t="s">
        <v>523</v>
      </c>
      <c r="BR680" s="747" t="s">
        <v>1578</v>
      </c>
      <c r="BS680" s="747" t="s">
        <v>1730</v>
      </c>
      <c r="BT680" s="747" t="s">
        <v>1730</v>
      </c>
      <c r="BU680" s="186">
        <v>0.04</v>
      </c>
      <c r="BV680" s="186">
        <v>0</v>
      </c>
      <c r="BW680" s="12">
        <v>1.37</v>
      </c>
    </row>
    <row r="681" spans="1:75">
      <c r="A681" s="1" t="s">
        <v>1269</v>
      </c>
      <c r="B681" s="1" t="s">
        <v>1146</v>
      </c>
      <c r="C681" s="1" t="s">
        <v>1147</v>
      </c>
      <c r="D681" s="1" t="s">
        <v>2040</v>
      </c>
      <c r="E681" s="1" t="s">
        <v>2045</v>
      </c>
      <c r="F681" s="1">
        <v>8.7499999999999994E-2</v>
      </c>
      <c r="G681" s="1">
        <v>5.7499999999999999E-3</v>
      </c>
      <c r="H681" s="1">
        <v>2.62</v>
      </c>
      <c r="I681" s="1" t="s">
        <v>1163</v>
      </c>
      <c r="J681" s="1" t="s">
        <v>517</v>
      </c>
      <c r="AI681" s="757"/>
      <c r="AJ681" s="195" t="s">
        <v>2817</v>
      </c>
      <c r="AK681" s="186" t="s">
        <v>42</v>
      </c>
      <c r="AL681" s="747" t="s">
        <v>2106</v>
      </c>
      <c r="AM681" s="747" t="s">
        <v>515</v>
      </c>
      <c r="AN681" s="747" t="s">
        <v>1730</v>
      </c>
      <c r="AO681" s="186">
        <v>0.06</v>
      </c>
      <c r="AP681" s="186">
        <v>0</v>
      </c>
      <c r="AQ681" s="12">
        <v>2.3199999999999998</v>
      </c>
      <c r="AR681" s="11" t="s">
        <v>2816</v>
      </c>
      <c r="AS681" s="186" t="s">
        <v>42</v>
      </c>
      <c r="AT681" s="747" t="s">
        <v>2106</v>
      </c>
      <c r="AU681" s="747" t="s">
        <v>515</v>
      </c>
      <c r="AV681" s="747" t="s">
        <v>1730</v>
      </c>
      <c r="AW681" s="186">
        <v>0.06</v>
      </c>
      <c r="AX681" s="186">
        <v>0</v>
      </c>
      <c r="AY681" s="12">
        <v>3</v>
      </c>
      <c r="AZ681" s="11" t="s">
        <v>2115</v>
      </c>
      <c r="BA681" s="186" t="s">
        <v>1941</v>
      </c>
      <c r="BB681" s="747" t="s">
        <v>2118</v>
      </c>
      <c r="BC681" s="747" t="s">
        <v>1730</v>
      </c>
      <c r="BD681" s="747" t="s">
        <v>1730</v>
      </c>
      <c r="BE681" s="186">
        <v>0.4</v>
      </c>
      <c r="BF681" s="186">
        <v>0.08</v>
      </c>
      <c r="BG681" s="12">
        <v>2.58</v>
      </c>
      <c r="BH681" s="11" t="s">
        <v>2161</v>
      </c>
      <c r="BI681" s="186" t="s">
        <v>1710</v>
      </c>
      <c r="BJ681" s="747" t="s">
        <v>2169</v>
      </c>
      <c r="BK681" s="747" t="s">
        <v>520</v>
      </c>
      <c r="BL681" s="747" t="s">
        <v>1730</v>
      </c>
      <c r="BM681" s="186">
        <v>6.2500000000000003E-3</v>
      </c>
      <c r="BN681" s="186">
        <v>0</v>
      </c>
      <c r="BO681" s="12">
        <v>2.23</v>
      </c>
      <c r="BP681" s="11" t="s">
        <v>2170</v>
      </c>
      <c r="BQ681" s="186" t="s">
        <v>523</v>
      </c>
      <c r="BR681" s="747" t="s">
        <v>1579</v>
      </c>
      <c r="BS681" s="747" t="s">
        <v>1730</v>
      </c>
      <c r="BT681" s="747" t="s">
        <v>1730</v>
      </c>
      <c r="BU681" s="186">
        <v>0.02</v>
      </c>
      <c r="BV681" s="186">
        <v>0</v>
      </c>
      <c r="BW681" s="12">
        <v>1.37</v>
      </c>
    </row>
    <row r="682" spans="1:75">
      <c r="A682" s="1" t="s">
        <v>1270</v>
      </c>
      <c r="B682" s="1" t="s">
        <v>1146</v>
      </c>
      <c r="C682" s="1" t="s">
        <v>1147</v>
      </c>
      <c r="D682" s="1" t="s">
        <v>2040</v>
      </c>
      <c r="E682" s="1" t="s">
        <v>2046</v>
      </c>
      <c r="F682" s="1">
        <v>8.7499999999999994E-2</v>
      </c>
      <c r="G682" s="1">
        <v>5.7499999999999999E-3</v>
      </c>
      <c r="H682" s="1">
        <v>2.62</v>
      </c>
      <c r="I682" s="1" t="s">
        <v>691</v>
      </c>
      <c r="J682" s="1" t="s">
        <v>703</v>
      </c>
      <c r="AI682" s="757"/>
      <c r="AJ682" s="195" t="s">
        <v>2817</v>
      </c>
      <c r="AK682" s="186" t="s">
        <v>42</v>
      </c>
      <c r="AL682" s="747" t="s">
        <v>1849</v>
      </c>
      <c r="AM682" s="747" t="s">
        <v>516</v>
      </c>
      <c r="AN682" s="747" t="s">
        <v>1730</v>
      </c>
      <c r="AO682" s="186">
        <v>0.04</v>
      </c>
      <c r="AP682" s="186">
        <v>0</v>
      </c>
      <c r="AQ682" s="12">
        <v>2.3199999999999998</v>
      </c>
      <c r="AR682" s="11" t="s">
        <v>2816</v>
      </c>
      <c r="AS682" s="186" t="s">
        <v>42</v>
      </c>
      <c r="AT682" s="747" t="s">
        <v>1849</v>
      </c>
      <c r="AU682" s="747" t="s">
        <v>516</v>
      </c>
      <c r="AV682" s="747" t="s">
        <v>1730</v>
      </c>
      <c r="AW682" s="186">
        <v>0.04</v>
      </c>
      <c r="AX682" s="186">
        <v>0</v>
      </c>
      <c r="AY682" s="12">
        <v>3</v>
      </c>
      <c r="AZ682" s="11" t="s">
        <v>2115</v>
      </c>
      <c r="BA682" s="186" t="s">
        <v>1941</v>
      </c>
      <c r="BB682" s="747" t="s">
        <v>2119</v>
      </c>
      <c r="BC682" s="747" t="s">
        <v>1730</v>
      </c>
      <c r="BD682" s="747" t="s">
        <v>1730</v>
      </c>
      <c r="BE682" s="186">
        <v>0.2</v>
      </c>
      <c r="BF682" s="186">
        <v>0.04</v>
      </c>
      <c r="BG682" s="12">
        <v>2.58</v>
      </c>
      <c r="BH682" s="11" t="s">
        <v>2161</v>
      </c>
      <c r="BI682" s="186" t="s">
        <v>523</v>
      </c>
      <c r="BJ682" s="747" t="s">
        <v>1572</v>
      </c>
      <c r="BK682" s="747" t="s">
        <v>1730</v>
      </c>
      <c r="BL682" s="747" t="s">
        <v>1730</v>
      </c>
      <c r="BM682" s="186">
        <v>2.5000000000000001E-2</v>
      </c>
      <c r="BN682" s="186">
        <v>0</v>
      </c>
      <c r="BO682" s="12">
        <v>2.23</v>
      </c>
      <c r="BP682" s="11" t="s">
        <v>2170</v>
      </c>
      <c r="BQ682" s="186" t="s">
        <v>523</v>
      </c>
      <c r="BR682" s="747" t="s">
        <v>1580</v>
      </c>
      <c r="BS682" s="747" t="s">
        <v>519</v>
      </c>
      <c r="BT682" s="747" t="s">
        <v>1730</v>
      </c>
      <c r="BU682" s="186">
        <v>0.02</v>
      </c>
      <c r="BV682" s="186">
        <v>0</v>
      </c>
      <c r="BW682" s="12">
        <v>1.37</v>
      </c>
    </row>
    <row r="683" spans="1:75">
      <c r="A683" s="1" t="s">
        <v>1271</v>
      </c>
      <c r="B683" s="1" t="s">
        <v>1146</v>
      </c>
      <c r="C683" s="1" t="s">
        <v>1147</v>
      </c>
      <c r="D683" s="1" t="s">
        <v>1720</v>
      </c>
      <c r="E683" s="1" t="s">
        <v>1815</v>
      </c>
      <c r="F683" s="1">
        <v>0.26</v>
      </c>
      <c r="G683" s="1">
        <v>1.7000000000000001E-2</v>
      </c>
      <c r="H683" s="1">
        <v>2.62</v>
      </c>
      <c r="I683" s="1" t="s">
        <v>963</v>
      </c>
      <c r="AI683" s="757"/>
      <c r="AJ683" s="195" t="s">
        <v>2817</v>
      </c>
      <c r="AK683" s="186" t="s">
        <v>42</v>
      </c>
      <c r="AL683" s="747" t="s">
        <v>2107</v>
      </c>
      <c r="AM683" s="747" t="s">
        <v>516</v>
      </c>
      <c r="AN683" s="747" t="s">
        <v>1730</v>
      </c>
      <c r="AO683" s="186">
        <v>0.04</v>
      </c>
      <c r="AP683" s="186">
        <v>0</v>
      </c>
      <c r="AQ683" s="12">
        <v>2.3199999999999998</v>
      </c>
      <c r="AR683" s="11" t="s">
        <v>2818</v>
      </c>
      <c r="AS683" s="186" t="s">
        <v>42</v>
      </c>
      <c r="AT683" s="747" t="s">
        <v>2107</v>
      </c>
      <c r="AU683" s="747" t="s">
        <v>516</v>
      </c>
      <c r="AV683" s="747" t="s">
        <v>1730</v>
      </c>
      <c r="AW683" s="186">
        <v>0.04</v>
      </c>
      <c r="AX683" s="186">
        <v>0</v>
      </c>
      <c r="AY683" s="12">
        <v>3</v>
      </c>
      <c r="AZ683" s="11" t="s">
        <v>2115</v>
      </c>
      <c r="BA683" s="186" t="s">
        <v>1941</v>
      </c>
      <c r="BB683" s="747" t="s">
        <v>2120</v>
      </c>
      <c r="BC683" s="747" t="s">
        <v>515</v>
      </c>
      <c r="BD683" s="747" t="s">
        <v>1730</v>
      </c>
      <c r="BE683" s="186">
        <v>0.3</v>
      </c>
      <c r="BF683" s="186">
        <v>0.06</v>
      </c>
      <c r="BG683" s="12">
        <v>2.58</v>
      </c>
      <c r="BH683" s="11" t="s">
        <v>2161</v>
      </c>
      <c r="BI683" s="186" t="s">
        <v>523</v>
      </c>
      <c r="BJ683" s="747" t="s">
        <v>1573</v>
      </c>
      <c r="BK683" s="747" t="s">
        <v>1730</v>
      </c>
      <c r="BL683" s="747" t="s">
        <v>1730</v>
      </c>
      <c r="BM683" s="186">
        <v>1.2500000000000001E-2</v>
      </c>
      <c r="BN683" s="186">
        <v>0</v>
      </c>
      <c r="BO683" s="12">
        <v>2.23</v>
      </c>
      <c r="BP683" s="11" t="s">
        <v>2170</v>
      </c>
      <c r="BQ683" s="186" t="s">
        <v>523</v>
      </c>
      <c r="BR683" s="747" t="s">
        <v>1581</v>
      </c>
      <c r="BS683" s="747" t="s">
        <v>519</v>
      </c>
      <c r="BT683" s="747" t="s">
        <v>1730</v>
      </c>
      <c r="BU683" s="186">
        <v>0.02</v>
      </c>
      <c r="BV683" s="186">
        <v>0</v>
      </c>
      <c r="BW683" s="12">
        <v>1.37</v>
      </c>
    </row>
    <row r="684" spans="1:75">
      <c r="A684" s="1" t="s">
        <v>1272</v>
      </c>
      <c r="B684" s="1" t="s">
        <v>1146</v>
      </c>
      <c r="C684" s="1" t="s">
        <v>1147</v>
      </c>
      <c r="D684" s="1" t="s">
        <v>1720</v>
      </c>
      <c r="E684" s="1" t="s">
        <v>1816</v>
      </c>
      <c r="F684" s="1">
        <v>0.13</v>
      </c>
      <c r="G684" s="1">
        <v>8.5000000000000006E-3</v>
      </c>
      <c r="H684" s="1">
        <v>2.62</v>
      </c>
      <c r="I684" s="1" t="s">
        <v>691</v>
      </c>
      <c r="J684" s="1" t="s">
        <v>692</v>
      </c>
      <c r="AI684" s="757"/>
      <c r="AJ684" s="195" t="s">
        <v>2815</v>
      </c>
      <c r="AK684" s="186" t="s">
        <v>42</v>
      </c>
      <c r="AL684" s="747" t="s">
        <v>1850</v>
      </c>
      <c r="AM684" s="747" t="s">
        <v>517</v>
      </c>
      <c r="AN684" s="747" t="s">
        <v>1730</v>
      </c>
      <c r="AO684" s="186">
        <v>0.02</v>
      </c>
      <c r="AP684" s="186">
        <v>0</v>
      </c>
      <c r="AQ684" s="12">
        <v>2.3199999999999998</v>
      </c>
      <c r="AR684" s="11" t="s">
        <v>2818</v>
      </c>
      <c r="AS684" s="186" t="s">
        <v>42</v>
      </c>
      <c r="AT684" s="747" t="s">
        <v>1850</v>
      </c>
      <c r="AU684" s="747" t="s">
        <v>517</v>
      </c>
      <c r="AV684" s="747" t="s">
        <v>1730</v>
      </c>
      <c r="AW684" s="186">
        <v>0.02</v>
      </c>
      <c r="AX684" s="186">
        <v>0</v>
      </c>
      <c r="AY684" s="12">
        <v>3</v>
      </c>
      <c r="AZ684" s="11" t="s">
        <v>2115</v>
      </c>
      <c r="BA684" s="186" t="s">
        <v>1941</v>
      </c>
      <c r="BB684" s="747" t="s">
        <v>2121</v>
      </c>
      <c r="BC684" s="747" t="s">
        <v>515</v>
      </c>
      <c r="BD684" s="747" t="s">
        <v>1730</v>
      </c>
      <c r="BE684" s="186">
        <v>0.3</v>
      </c>
      <c r="BF684" s="186">
        <v>0.06</v>
      </c>
      <c r="BG684" s="12">
        <v>2.58</v>
      </c>
      <c r="BH684" s="11" t="s">
        <v>2161</v>
      </c>
      <c r="BI684" s="186" t="s">
        <v>523</v>
      </c>
      <c r="BJ684" s="747" t="s">
        <v>1574</v>
      </c>
      <c r="BK684" s="747" t="s">
        <v>519</v>
      </c>
      <c r="BL684" s="747" t="s">
        <v>1730</v>
      </c>
      <c r="BM684" s="186">
        <v>1.2500000000000001E-2</v>
      </c>
      <c r="BN684" s="186">
        <v>0</v>
      </c>
      <c r="BO684" s="12">
        <v>2.23</v>
      </c>
      <c r="BP684" s="11" t="s">
        <v>2170</v>
      </c>
      <c r="BQ684" s="186" t="s">
        <v>523</v>
      </c>
      <c r="BR684" s="747" t="s">
        <v>1582</v>
      </c>
      <c r="BS684" s="747" t="s">
        <v>520</v>
      </c>
      <c r="BT684" s="747" t="s">
        <v>1730</v>
      </c>
      <c r="BU684" s="186">
        <v>0.01</v>
      </c>
      <c r="BV684" s="186">
        <v>0</v>
      </c>
      <c r="BW684" s="12">
        <v>1.37</v>
      </c>
    </row>
    <row r="685" spans="1:75">
      <c r="A685" s="1" t="s">
        <v>1273</v>
      </c>
      <c r="B685" s="1" t="s">
        <v>1146</v>
      </c>
      <c r="C685" s="1" t="s">
        <v>1147</v>
      </c>
      <c r="D685" s="1" t="s">
        <v>1720</v>
      </c>
      <c r="E685" s="1" t="s">
        <v>296</v>
      </c>
      <c r="F685" s="1">
        <v>0.26</v>
      </c>
      <c r="G685" s="1">
        <v>1.7000000000000001E-2</v>
      </c>
      <c r="H685" s="1">
        <v>2.62</v>
      </c>
      <c r="I685" s="1" t="s">
        <v>963</v>
      </c>
      <c r="AI685" s="757"/>
      <c r="AJ685" s="195" t="s">
        <v>2719</v>
      </c>
      <c r="AK685" s="186" t="s">
        <v>42</v>
      </c>
      <c r="AL685" s="747" t="s">
        <v>2108</v>
      </c>
      <c r="AM685" s="747" t="s">
        <v>517</v>
      </c>
      <c r="AN685" s="747" t="s">
        <v>1730</v>
      </c>
      <c r="AO685" s="186">
        <v>0.02</v>
      </c>
      <c r="AP685" s="186">
        <v>0</v>
      </c>
      <c r="AQ685" s="12">
        <v>2.3199999999999998</v>
      </c>
      <c r="AR685" s="11" t="s">
        <v>2818</v>
      </c>
      <c r="AS685" s="186" t="s">
        <v>42</v>
      </c>
      <c r="AT685" s="747" t="s">
        <v>2108</v>
      </c>
      <c r="AU685" s="747" t="s">
        <v>517</v>
      </c>
      <c r="AV685" s="747" t="s">
        <v>1730</v>
      </c>
      <c r="AW685" s="186">
        <v>0.02</v>
      </c>
      <c r="AX685" s="186">
        <v>0</v>
      </c>
      <c r="AY685" s="12">
        <v>3</v>
      </c>
      <c r="AZ685" s="11" t="s">
        <v>2115</v>
      </c>
      <c r="BA685" s="186" t="s">
        <v>1941</v>
      </c>
      <c r="BB685" s="747" t="s">
        <v>2122</v>
      </c>
      <c r="BC685" s="747" t="s">
        <v>516</v>
      </c>
      <c r="BD685" s="747" t="s">
        <v>1730</v>
      </c>
      <c r="BE685" s="186">
        <v>0.2</v>
      </c>
      <c r="BF685" s="186">
        <v>0.04</v>
      </c>
      <c r="BG685" s="12">
        <v>2.58</v>
      </c>
      <c r="BH685" s="11" t="s">
        <v>2161</v>
      </c>
      <c r="BI685" s="186" t="s">
        <v>523</v>
      </c>
      <c r="BJ685" s="747" t="s">
        <v>1575</v>
      </c>
      <c r="BK685" s="747" t="s">
        <v>519</v>
      </c>
      <c r="BL685" s="747" t="s">
        <v>1730</v>
      </c>
      <c r="BM685" s="186">
        <v>1.2500000000000001E-2</v>
      </c>
      <c r="BN685" s="186">
        <v>0</v>
      </c>
      <c r="BO685" s="12">
        <v>2.23</v>
      </c>
      <c r="BP685" s="11" t="s">
        <v>2170</v>
      </c>
      <c r="BQ685" s="186" t="s">
        <v>523</v>
      </c>
      <c r="BR685" s="747" t="s">
        <v>1583</v>
      </c>
      <c r="BS685" s="747" t="s">
        <v>520</v>
      </c>
      <c r="BT685" s="747" t="s">
        <v>1730</v>
      </c>
      <c r="BU685" s="186">
        <v>0.01</v>
      </c>
      <c r="BV685" s="186">
        <v>0</v>
      </c>
      <c r="BW685" s="12">
        <v>1.37</v>
      </c>
    </row>
    <row r="686" spans="1:75">
      <c r="A686" s="1" t="s">
        <v>1274</v>
      </c>
      <c r="B686" s="1" t="s">
        <v>1146</v>
      </c>
      <c r="C686" s="1" t="s">
        <v>1147</v>
      </c>
      <c r="D686" s="1" t="s">
        <v>1720</v>
      </c>
      <c r="E686" s="1" t="s">
        <v>297</v>
      </c>
      <c r="F686" s="1">
        <v>0.13</v>
      </c>
      <c r="G686" s="1">
        <v>8.5000000000000006E-3</v>
      </c>
      <c r="H686" s="1">
        <v>2.62</v>
      </c>
      <c r="I686" s="1" t="s">
        <v>691</v>
      </c>
      <c r="J686" s="1" t="s">
        <v>692</v>
      </c>
      <c r="AI686" s="757"/>
      <c r="AJ686" s="195" t="s">
        <v>2817</v>
      </c>
      <c r="AK686" s="186" t="s">
        <v>1710</v>
      </c>
      <c r="AL686" s="747" t="s">
        <v>2109</v>
      </c>
      <c r="AM686" s="747" t="s">
        <v>1730</v>
      </c>
      <c r="AN686" s="693" t="s">
        <v>1730</v>
      </c>
      <c r="AO686" s="186">
        <v>0.05</v>
      </c>
      <c r="AP686" s="186">
        <v>0</v>
      </c>
      <c r="AQ686" s="12">
        <v>2.3199999999999998</v>
      </c>
      <c r="AR686" s="11" t="s">
        <v>2816</v>
      </c>
      <c r="AS686" s="186" t="s">
        <v>1710</v>
      </c>
      <c r="AT686" s="747" t="s">
        <v>2109</v>
      </c>
      <c r="AU686" s="747" t="s">
        <v>1730</v>
      </c>
      <c r="AV686" s="693" t="s">
        <v>1730</v>
      </c>
      <c r="AW686" s="186">
        <v>0.05</v>
      </c>
      <c r="AX686" s="186">
        <v>0</v>
      </c>
      <c r="AY686" s="12">
        <v>3</v>
      </c>
      <c r="AZ686" s="11" t="s">
        <v>2115</v>
      </c>
      <c r="BA686" s="186" t="s">
        <v>1941</v>
      </c>
      <c r="BB686" s="747" t="s">
        <v>2123</v>
      </c>
      <c r="BC686" s="747" t="s">
        <v>516</v>
      </c>
      <c r="BD686" s="747" t="s">
        <v>1730</v>
      </c>
      <c r="BE686" s="186">
        <v>0.2</v>
      </c>
      <c r="BF686" s="186">
        <v>0.04</v>
      </c>
      <c r="BG686" s="12">
        <v>2.58</v>
      </c>
      <c r="BH686" s="11" t="s">
        <v>2161</v>
      </c>
      <c r="BI686" s="186" t="s">
        <v>523</v>
      </c>
      <c r="BJ686" s="747" t="s">
        <v>1576</v>
      </c>
      <c r="BK686" s="747" t="s">
        <v>520</v>
      </c>
      <c r="BL686" s="747" t="s">
        <v>1730</v>
      </c>
      <c r="BM686" s="186">
        <v>6.2500000000000003E-3</v>
      </c>
      <c r="BN686" s="186">
        <v>0</v>
      </c>
      <c r="BO686" s="12">
        <v>2.23</v>
      </c>
      <c r="BP686" s="11" t="s">
        <v>2170</v>
      </c>
      <c r="BQ686" s="186" t="s">
        <v>523</v>
      </c>
      <c r="BR686" s="747" t="s">
        <v>1267</v>
      </c>
      <c r="BS686" s="747" t="s">
        <v>1171</v>
      </c>
      <c r="BT686" s="747" t="s">
        <v>1730</v>
      </c>
      <c r="BU686" s="186">
        <v>3.5999999999999997E-2</v>
      </c>
      <c r="BV686" s="186">
        <v>0</v>
      </c>
      <c r="BW686" s="12">
        <v>1.37</v>
      </c>
    </row>
    <row r="687" spans="1:75">
      <c r="A687" s="1" t="s">
        <v>1275</v>
      </c>
      <c r="B687" s="1" t="s">
        <v>1146</v>
      </c>
      <c r="C687" s="1" t="s">
        <v>1147</v>
      </c>
      <c r="D687" s="1" t="s">
        <v>1720</v>
      </c>
      <c r="E687" s="1" t="s">
        <v>298</v>
      </c>
      <c r="F687" s="1">
        <v>0.19500000000000001</v>
      </c>
      <c r="G687" s="1">
        <v>1.2750000000000001E-2</v>
      </c>
      <c r="H687" s="1">
        <v>2.62</v>
      </c>
      <c r="I687" s="1" t="s">
        <v>963</v>
      </c>
      <c r="J687" s="1" t="s">
        <v>515</v>
      </c>
      <c r="AI687" s="757"/>
      <c r="AJ687" s="195" t="s">
        <v>2817</v>
      </c>
      <c r="AK687" s="186" t="s">
        <v>1710</v>
      </c>
      <c r="AL687" s="747" t="s">
        <v>2110</v>
      </c>
      <c r="AM687" s="747" t="s">
        <v>1730</v>
      </c>
      <c r="AN687" s="693" t="s">
        <v>1730</v>
      </c>
      <c r="AO687" s="186">
        <v>2.5000000000000001E-2</v>
      </c>
      <c r="AP687" s="186">
        <v>0</v>
      </c>
      <c r="AQ687" s="12">
        <v>2.3199999999999998</v>
      </c>
      <c r="AR687" s="11" t="s">
        <v>2816</v>
      </c>
      <c r="AS687" s="186" t="s">
        <v>1710</v>
      </c>
      <c r="AT687" s="747" t="s">
        <v>2110</v>
      </c>
      <c r="AU687" s="747" t="s">
        <v>1730</v>
      </c>
      <c r="AV687" s="693" t="s">
        <v>1730</v>
      </c>
      <c r="AW687" s="186">
        <v>2.5000000000000001E-2</v>
      </c>
      <c r="AX687" s="186">
        <v>0</v>
      </c>
      <c r="AY687" s="12">
        <v>3</v>
      </c>
      <c r="AZ687" s="11" t="s">
        <v>2115</v>
      </c>
      <c r="BA687" s="186" t="s">
        <v>1941</v>
      </c>
      <c r="BB687" s="747" t="s">
        <v>2124</v>
      </c>
      <c r="BC687" s="747" t="s">
        <v>517</v>
      </c>
      <c r="BD687" s="747" t="s">
        <v>1730</v>
      </c>
      <c r="BE687" s="186">
        <v>0.1</v>
      </c>
      <c r="BF687" s="186">
        <v>0.02</v>
      </c>
      <c r="BG687" s="12">
        <v>2.58</v>
      </c>
      <c r="BH687" s="11" t="s">
        <v>2161</v>
      </c>
      <c r="BI687" s="186" t="s">
        <v>523</v>
      </c>
      <c r="BJ687" s="747" t="s">
        <v>1577</v>
      </c>
      <c r="BK687" s="747" t="s">
        <v>520</v>
      </c>
      <c r="BL687" s="747" t="s">
        <v>1730</v>
      </c>
      <c r="BM687" s="186">
        <v>6.2500000000000003E-3</v>
      </c>
      <c r="BN687" s="186">
        <v>0</v>
      </c>
      <c r="BO687" s="12">
        <v>2.23</v>
      </c>
      <c r="BP687" s="11" t="s">
        <v>2170</v>
      </c>
      <c r="BQ687" s="186" t="s">
        <v>523</v>
      </c>
      <c r="BR687" s="747" t="s">
        <v>1268</v>
      </c>
      <c r="BS687" s="747" t="s">
        <v>1171</v>
      </c>
      <c r="BT687" s="747" t="s">
        <v>1730</v>
      </c>
      <c r="BU687" s="186">
        <v>3.5999999999999997E-2</v>
      </c>
      <c r="BV687" s="186">
        <v>0</v>
      </c>
      <c r="BW687" s="12">
        <v>1.37</v>
      </c>
    </row>
    <row r="688" spans="1:75">
      <c r="A688" s="1" t="s">
        <v>1276</v>
      </c>
      <c r="B688" s="1" t="s">
        <v>1146</v>
      </c>
      <c r="C688" s="1" t="s">
        <v>1147</v>
      </c>
      <c r="D688" s="1" t="s">
        <v>1720</v>
      </c>
      <c r="E688" s="1" t="s">
        <v>299</v>
      </c>
      <c r="F688" s="1">
        <v>0.19500000000000001</v>
      </c>
      <c r="G688" s="1">
        <v>1.2750000000000001E-2</v>
      </c>
      <c r="H688" s="1">
        <v>2.62</v>
      </c>
      <c r="I688" s="1" t="s">
        <v>691</v>
      </c>
      <c r="J688" s="1" t="s">
        <v>697</v>
      </c>
      <c r="AI688" s="757"/>
      <c r="AJ688" s="195" t="s">
        <v>2815</v>
      </c>
      <c r="AK688" s="186" t="s">
        <v>1710</v>
      </c>
      <c r="AL688" s="747" t="s">
        <v>1534</v>
      </c>
      <c r="AM688" s="747" t="s">
        <v>1730</v>
      </c>
      <c r="AN688" s="693" t="s">
        <v>1730</v>
      </c>
      <c r="AO688" s="186">
        <v>1.2500000000000001E-2</v>
      </c>
      <c r="AP688" s="186">
        <v>0</v>
      </c>
      <c r="AQ688" s="12">
        <v>2.3199999999999998</v>
      </c>
      <c r="AR688" s="11" t="s">
        <v>2720</v>
      </c>
      <c r="AS688" s="186" t="s">
        <v>1710</v>
      </c>
      <c r="AT688" s="747" t="s">
        <v>1534</v>
      </c>
      <c r="AU688" s="747" t="s">
        <v>1730</v>
      </c>
      <c r="AV688" s="693" t="s">
        <v>1730</v>
      </c>
      <c r="AW688" s="186">
        <v>1.2500000000000001E-2</v>
      </c>
      <c r="AX688" s="186">
        <v>0</v>
      </c>
      <c r="AY688" s="12">
        <v>3</v>
      </c>
      <c r="AZ688" s="11" t="s">
        <v>2115</v>
      </c>
      <c r="BA688" s="186" t="s">
        <v>1941</v>
      </c>
      <c r="BB688" s="747" t="s">
        <v>2125</v>
      </c>
      <c r="BC688" s="747" t="s">
        <v>517</v>
      </c>
      <c r="BD688" s="747" t="s">
        <v>1730</v>
      </c>
      <c r="BE688" s="186">
        <v>0.1</v>
      </c>
      <c r="BF688" s="186">
        <v>0.02</v>
      </c>
      <c r="BG688" s="12">
        <v>2.58</v>
      </c>
      <c r="BH688" s="11" t="s">
        <v>2161</v>
      </c>
      <c r="BI688" s="186" t="s">
        <v>523</v>
      </c>
      <c r="BJ688" s="747" t="s">
        <v>1265</v>
      </c>
      <c r="BK688" s="747" t="s">
        <v>1171</v>
      </c>
      <c r="BL688" s="747" t="s">
        <v>1730</v>
      </c>
      <c r="BM688" s="186">
        <v>2.2499999999999999E-2</v>
      </c>
      <c r="BN688" s="186">
        <v>0</v>
      </c>
      <c r="BO688" s="12">
        <v>2.23</v>
      </c>
      <c r="BP688" s="685" t="s">
        <v>2170</v>
      </c>
      <c r="BQ688" s="686" t="s">
        <v>2496</v>
      </c>
      <c r="BR688" s="687" t="s">
        <v>2652</v>
      </c>
      <c r="BS688" s="687" t="s">
        <v>1730</v>
      </c>
      <c r="BT688" s="687" t="s">
        <v>1730</v>
      </c>
      <c r="BU688" s="686">
        <v>7.4999999999999997E-2</v>
      </c>
      <c r="BV688" s="686">
        <v>0</v>
      </c>
      <c r="BW688" s="688">
        <v>1.37</v>
      </c>
    </row>
    <row r="689" spans="1:75">
      <c r="A689" s="1" t="s">
        <v>69</v>
      </c>
      <c r="B689" s="1" t="s">
        <v>1146</v>
      </c>
      <c r="C689" s="1" t="s">
        <v>1147</v>
      </c>
      <c r="D689" s="1" t="s">
        <v>1720</v>
      </c>
      <c r="E689" s="1" t="s">
        <v>300</v>
      </c>
      <c r="F689" s="1">
        <v>0.13</v>
      </c>
      <c r="G689" s="1">
        <v>8.5000000000000006E-3</v>
      </c>
      <c r="H689" s="1">
        <v>2.62</v>
      </c>
      <c r="I689" s="1" t="s">
        <v>963</v>
      </c>
      <c r="J689" s="1" t="s">
        <v>516</v>
      </c>
      <c r="AI689" s="757"/>
      <c r="AJ689" s="195" t="s">
        <v>2815</v>
      </c>
      <c r="AK689" s="186" t="s">
        <v>1710</v>
      </c>
      <c r="AL689" s="747" t="s">
        <v>2111</v>
      </c>
      <c r="AM689" s="747" t="s">
        <v>519</v>
      </c>
      <c r="AN689" s="693" t="s">
        <v>1730</v>
      </c>
      <c r="AO689" s="186">
        <v>2.5000000000000001E-2</v>
      </c>
      <c r="AP689" s="186">
        <v>0</v>
      </c>
      <c r="AQ689" s="12">
        <v>2.3199999999999998</v>
      </c>
      <c r="AR689" s="11" t="s">
        <v>2816</v>
      </c>
      <c r="AS689" s="186" t="s">
        <v>1710</v>
      </c>
      <c r="AT689" s="747" t="s">
        <v>2111</v>
      </c>
      <c r="AU689" s="747" t="s">
        <v>519</v>
      </c>
      <c r="AV689" s="693" t="s">
        <v>1730</v>
      </c>
      <c r="AW689" s="186">
        <v>2.5000000000000001E-2</v>
      </c>
      <c r="AX689" s="186">
        <v>0</v>
      </c>
      <c r="AY689" s="12">
        <v>3</v>
      </c>
      <c r="AZ689" s="11" t="s">
        <v>2115</v>
      </c>
      <c r="BA689" s="186" t="s">
        <v>1941</v>
      </c>
      <c r="BB689" s="747" t="s">
        <v>2126</v>
      </c>
      <c r="BC689" s="747" t="s">
        <v>515</v>
      </c>
      <c r="BD689" s="747" t="s">
        <v>1730</v>
      </c>
      <c r="BE689" s="186">
        <v>0.3</v>
      </c>
      <c r="BF689" s="186">
        <v>0.06</v>
      </c>
      <c r="BG689" s="12">
        <v>2.58</v>
      </c>
      <c r="BH689" s="11" t="s">
        <v>2161</v>
      </c>
      <c r="BI689" s="186" t="s">
        <v>523</v>
      </c>
      <c r="BJ689" s="747" t="s">
        <v>1266</v>
      </c>
      <c r="BK689" s="747" t="s">
        <v>1171</v>
      </c>
      <c r="BL689" s="747" t="s">
        <v>1730</v>
      </c>
      <c r="BM689" s="186">
        <v>2.2499999999999999E-2</v>
      </c>
      <c r="BN689" s="186">
        <v>0</v>
      </c>
      <c r="BO689" s="12">
        <v>2.23</v>
      </c>
      <c r="BP689" s="685" t="s">
        <v>2170</v>
      </c>
      <c r="BQ689" s="686" t="s">
        <v>2496</v>
      </c>
      <c r="BR689" s="687" t="s">
        <v>2653</v>
      </c>
      <c r="BS689" s="687" t="s">
        <v>1730</v>
      </c>
      <c r="BT689" s="687" t="s">
        <v>1730</v>
      </c>
      <c r="BU689" s="686">
        <v>3.7499999999999999E-2</v>
      </c>
      <c r="BV689" s="686">
        <v>0</v>
      </c>
      <c r="BW689" s="688">
        <v>1.37</v>
      </c>
    </row>
    <row r="690" spans="1:75">
      <c r="A690" s="1" t="s">
        <v>70</v>
      </c>
      <c r="B690" s="1" t="s">
        <v>1146</v>
      </c>
      <c r="C690" s="1" t="s">
        <v>1147</v>
      </c>
      <c r="D690" s="1" t="s">
        <v>1720</v>
      </c>
      <c r="E690" s="1" t="s">
        <v>301</v>
      </c>
      <c r="F690" s="1">
        <v>0.13</v>
      </c>
      <c r="G690" s="1">
        <v>8.5000000000000006E-3</v>
      </c>
      <c r="H690" s="1">
        <v>2.62</v>
      </c>
      <c r="I690" s="1" t="s">
        <v>691</v>
      </c>
      <c r="J690" s="1" t="s">
        <v>700</v>
      </c>
      <c r="AI690" s="757"/>
      <c r="AJ690" s="195" t="s">
        <v>2817</v>
      </c>
      <c r="AK690" s="186" t="s">
        <v>1710</v>
      </c>
      <c r="AL690" s="747" t="s">
        <v>2112</v>
      </c>
      <c r="AM690" s="747" t="s">
        <v>519</v>
      </c>
      <c r="AN690" s="693" t="s">
        <v>1730</v>
      </c>
      <c r="AO690" s="186">
        <v>2.5000000000000001E-2</v>
      </c>
      <c r="AP690" s="186">
        <v>0</v>
      </c>
      <c r="AQ690" s="12">
        <v>2.3199999999999998</v>
      </c>
      <c r="AR690" s="11" t="s">
        <v>2816</v>
      </c>
      <c r="AS690" s="186" t="s">
        <v>1710</v>
      </c>
      <c r="AT690" s="747" t="s">
        <v>2112</v>
      </c>
      <c r="AU690" s="747" t="s">
        <v>519</v>
      </c>
      <c r="AV690" s="693" t="s">
        <v>1730</v>
      </c>
      <c r="AW690" s="186">
        <v>2.5000000000000001E-2</v>
      </c>
      <c r="AX690" s="186">
        <v>0</v>
      </c>
      <c r="AY690" s="12">
        <v>3</v>
      </c>
      <c r="AZ690" s="11" t="s">
        <v>2115</v>
      </c>
      <c r="BA690" s="186" t="s">
        <v>1941</v>
      </c>
      <c r="BB690" s="747" t="s">
        <v>2127</v>
      </c>
      <c r="BC690" s="747" t="s">
        <v>515</v>
      </c>
      <c r="BD690" s="747" t="s">
        <v>1730</v>
      </c>
      <c r="BE690" s="186">
        <v>0.3</v>
      </c>
      <c r="BF690" s="186">
        <v>0.06</v>
      </c>
      <c r="BG690" s="12">
        <v>2.58</v>
      </c>
      <c r="BH690" s="765" t="s">
        <v>2815</v>
      </c>
      <c r="BI690" s="759" t="s">
        <v>42</v>
      </c>
      <c r="BJ690" s="760" t="s">
        <v>1848</v>
      </c>
      <c r="BK690" s="760" t="s">
        <v>515</v>
      </c>
      <c r="BL690" s="760" t="s">
        <v>1730</v>
      </c>
      <c r="BM690" s="759">
        <v>0.03</v>
      </c>
      <c r="BN690" s="759">
        <v>0</v>
      </c>
      <c r="BO690" s="761">
        <v>2.23</v>
      </c>
      <c r="BP690" s="685" t="s">
        <v>2170</v>
      </c>
      <c r="BQ690" s="686" t="s">
        <v>2496</v>
      </c>
      <c r="BR690" s="687" t="s">
        <v>2654</v>
      </c>
      <c r="BS690" s="687" t="s">
        <v>1180</v>
      </c>
      <c r="BT690" s="687" t="s">
        <v>1730</v>
      </c>
      <c r="BU690" s="686">
        <v>5.6249999999999994E-2</v>
      </c>
      <c r="BV690" s="686">
        <v>0</v>
      </c>
      <c r="BW690" s="688">
        <v>1.37</v>
      </c>
    </row>
    <row r="691" spans="1:75">
      <c r="A691" s="1" t="s">
        <v>71</v>
      </c>
      <c r="B691" s="1" t="s">
        <v>1146</v>
      </c>
      <c r="C691" s="1" t="s">
        <v>1147</v>
      </c>
      <c r="D691" s="1" t="s">
        <v>1720</v>
      </c>
      <c r="E691" s="1" t="s">
        <v>302</v>
      </c>
      <c r="F691" s="1">
        <v>6.5000000000000002E-2</v>
      </c>
      <c r="G691" s="1">
        <v>4.2500000000000003E-3</v>
      </c>
      <c r="H691" s="1">
        <v>2.62</v>
      </c>
      <c r="I691" s="1" t="s">
        <v>1163</v>
      </c>
      <c r="J691" s="1" t="s">
        <v>517</v>
      </c>
      <c r="AI691" s="757"/>
      <c r="AJ691" s="195" t="s">
        <v>2719</v>
      </c>
      <c r="AK691" s="186" t="s">
        <v>1710</v>
      </c>
      <c r="AL691" s="747" t="s">
        <v>1535</v>
      </c>
      <c r="AM691" s="747" t="s">
        <v>519</v>
      </c>
      <c r="AN691" s="693" t="s">
        <v>1730</v>
      </c>
      <c r="AO691" s="186">
        <v>2.5000000000000001E-2</v>
      </c>
      <c r="AP691" s="186">
        <v>0</v>
      </c>
      <c r="AQ691" s="12">
        <v>2.3199999999999998</v>
      </c>
      <c r="AR691" s="11" t="s">
        <v>2816</v>
      </c>
      <c r="AS691" s="186" t="s">
        <v>1710</v>
      </c>
      <c r="AT691" s="747" t="s">
        <v>1535</v>
      </c>
      <c r="AU691" s="747" t="s">
        <v>519</v>
      </c>
      <c r="AV691" s="693" t="s">
        <v>1730</v>
      </c>
      <c r="AW691" s="186">
        <v>2.5000000000000001E-2</v>
      </c>
      <c r="AX691" s="186">
        <v>0</v>
      </c>
      <c r="AY691" s="12">
        <v>3</v>
      </c>
      <c r="AZ691" s="11" t="s">
        <v>2115</v>
      </c>
      <c r="BA691" s="186" t="s">
        <v>1941</v>
      </c>
      <c r="BB691" s="747" t="s">
        <v>2128</v>
      </c>
      <c r="BC691" s="747" t="s">
        <v>516</v>
      </c>
      <c r="BD691" s="747" t="s">
        <v>1730</v>
      </c>
      <c r="BE691" s="186">
        <v>0.2</v>
      </c>
      <c r="BF691" s="186">
        <v>0.04</v>
      </c>
      <c r="BG691" s="12">
        <v>2.58</v>
      </c>
      <c r="BH691" s="765" t="s">
        <v>2817</v>
      </c>
      <c r="BI691" s="759" t="s">
        <v>1710</v>
      </c>
      <c r="BJ691" s="760" t="s">
        <v>2112</v>
      </c>
      <c r="BK691" s="760" t="s">
        <v>519</v>
      </c>
      <c r="BL691" s="760" t="s">
        <v>1730</v>
      </c>
      <c r="BM691" s="759">
        <v>1.2500000000000001E-2</v>
      </c>
      <c r="BN691" s="759">
        <v>0</v>
      </c>
      <c r="BO691" s="761">
        <v>2.23</v>
      </c>
      <c r="BP691" s="685" t="s">
        <v>2170</v>
      </c>
      <c r="BQ691" s="686" t="s">
        <v>2496</v>
      </c>
      <c r="BR691" s="687" t="s">
        <v>2655</v>
      </c>
      <c r="BS691" s="687" t="s">
        <v>1180</v>
      </c>
      <c r="BT691" s="687" t="s">
        <v>1730</v>
      </c>
      <c r="BU691" s="686">
        <v>5.6249999999999994E-2</v>
      </c>
      <c r="BV691" s="686">
        <v>0</v>
      </c>
      <c r="BW691" s="688">
        <v>1.37</v>
      </c>
    </row>
    <row r="692" spans="1:75">
      <c r="A692" s="1" t="s">
        <v>72</v>
      </c>
      <c r="B692" s="1" t="s">
        <v>1146</v>
      </c>
      <c r="C692" s="1" t="s">
        <v>1147</v>
      </c>
      <c r="D692" s="1" t="s">
        <v>1720</v>
      </c>
      <c r="E692" s="1" t="s">
        <v>303</v>
      </c>
      <c r="F692" s="1">
        <v>6.5000000000000002E-2</v>
      </c>
      <c r="G692" s="1">
        <v>4.2500000000000003E-3</v>
      </c>
      <c r="H692" s="1">
        <v>2.62</v>
      </c>
      <c r="I692" s="1" t="s">
        <v>691</v>
      </c>
      <c r="J692" s="1" t="s">
        <v>703</v>
      </c>
      <c r="AI692" s="757"/>
      <c r="AJ692" s="195" t="s">
        <v>2719</v>
      </c>
      <c r="AK692" s="186" t="s">
        <v>1710</v>
      </c>
      <c r="AL692" s="747" t="s">
        <v>2113</v>
      </c>
      <c r="AM692" s="747" t="s">
        <v>520</v>
      </c>
      <c r="AN692" s="693" t="s">
        <v>1730</v>
      </c>
      <c r="AO692" s="186">
        <v>1.2500000000000001E-2</v>
      </c>
      <c r="AP692" s="186">
        <v>0</v>
      </c>
      <c r="AQ692" s="12">
        <v>2.3199999999999998</v>
      </c>
      <c r="AR692" s="11" t="s">
        <v>2818</v>
      </c>
      <c r="AS692" s="186" t="s">
        <v>1710</v>
      </c>
      <c r="AT692" s="747" t="s">
        <v>2113</v>
      </c>
      <c r="AU692" s="747" t="s">
        <v>520</v>
      </c>
      <c r="AV692" s="693" t="s">
        <v>1730</v>
      </c>
      <c r="AW692" s="186">
        <v>1.2500000000000001E-2</v>
      </c>
      <c r="AX692" s="186">
        <v>0</v>
      </c>
      <c r="AY692" s="12">
        <v>3</v>
      </c>
      <c r="AZ692" s="11" t="s">
        <v>2115</v>
      </c>
      <c r="BA692" s="186" t="s">
        <v>1941</v>
      </c>
      <c r="BB692" s="747" t="s">
        <v>2129</v>
      </c>
      <c r="BC692" s="747" t="s">
        <v>516</v>
      </c>
      <c r="BD692" s="747" t="s">
        <v>1730</v>
      </c>
      <c r="BE692" s="186">
        <v>0.2</v>
      </c>
      <c r="BF692" s="186">
        <v>0.04</v>
      </c>
      <c r="BG692" s="12">
        <v>2.58</v>
      </c>
      <c r="BH692" s="685" t="s">
        <v>2161</v>
      </c>
      <c r="BI692" s="686" t="s">
        <v>2496</v>
      </c>
      <c r="BJ692" s="687" t="s">
        <v>2656</v>
      </c>
      <c r="BK692" s="687" t="s">
        <v>1730</v>
      </c>
      <c r="BL692" s="687" t="s">
        <v>1730</v>
      </c>
      <c r="BM692" s="686">
        <v>2.5000000000000001E-2</v>
      </c>
      <c r="BN692" s="686">
        <v>0</v>
      </c>
      <c r="BO692" s="688">
        <v>2.23</v>
      </c>
      <c r="BP692" s="685" t="s">
        <v>2170</v>
      </c>
      <c r="BQ692" s="686" t="s">
        <v>2496</v>
      </c>
      <c r="BR692" s="687" t="s">
        <v>2657</v>
      </c>
      <c r="BS692" s="687" t="s">
        <v>277</v>
      </c>
      <c r="BT692" s="687" t="s">
        <v>1730</v>
      </c>
      <c r="BU692" s="686">
        <v>3.7499999999999999E-2</v>
      </c>
      <c r="BV692" s="686">
        <v>0</v>
      </c>
      <c r="BW692" s="688">
        <v>1.37</v>
      </c>
    </row>
    <row r="693" spans="1:75">
      <c r="A693" s="1" t="s">
        <v>73</v>
      </c>
      <c r="B693" s="1" t="s">
        <v>1146</v>
      </c>
      <c r="C693" s="1" t="s">
        <v>1147</v>
      </c>
      <c r="D693" s="1" t="s">
        <v>1720</v>
      </c>
      <c r="E693" s="1" t="s">
        <v>630</v>
      </c>
      <c r="F693" s="1">
        <v>0.26</v>
      </c>
      <c r="G693" s="1">
        <v>4.2500000000000003E-3</v>
      </c>
      <c r="H693" s="1">
        <v>2.62</v>
      </c>
      <c r="I693" s="1" t="s">
        <v>1163</v>
      </c>
      <c r="J693" s="1" t="s">
        <v>74</v>
      </c>
      <c r="AI693" s="757"/>
      <c r="AJ693" s="195" t="s">
        <v>2817</v>
      </c>
      <c r="AK693" s="186" t="s">
        <v>1710</v>
      </c>
      <c r="AL693" s="747" t="s">
        <v>2114</v>
      </c>
      <c r="AM693" s="747" t="s">
        <v>520</v>
      </c>
      <c r="AN693" s="693" t="s">
        <v>1730</v>
      </c>
      <c r="AO693" s="186">
        <v>1.2500000000000001E-2</v>
      </c>
      <c r="AP693" s="186">
        <v>0</v>
      </c>
      <c r="AQ693" s="12">
        <v>2.3199999999999998</v>
      </c>
      <c r="AR693" s="11" t="s">
        <v>2818</v>
      </c>
      <c r="AS693" s="186" t="s">
        <v>1710</v>
      </c>
      <c r="AT693" s="747" t="s">
        <v>2114</v>
      </c>
      <c r="AU693" s="747" t="s">
        <v>520</v>
      </c>
      <c r="AV693" s="693" t="s">
        <v>1730</v>
      </c>
      <c r="AW693" s="186">
        <v>1.2500000000000001E-2</v>
      </c>
      <c r="AX693" s="186">
        <v>0</v>
      </c>
      <c r="AY693" s="12">
        <v>3</v>
      </c>
      <c r="AZ693" s="11" t="s">
        <v>2115</v>
      </c>
      <c r="BA693" s="186" t="s">
        <v>1941</v>
      </c>
      <c r="BB693" s="747" t="s">
        <v>2130</v>
      </c>
      <c r="BC693" s="747" t="s">
        <v>517</v>
      </c>
      <c r="BD693" s="747" t="s">
        <v>1730</v>
      </c>
      <c r="BE693" s="186">
        <v>0.1</v>
      </c>
      <c r="BF693" s="186">
        <v>0.02</v>
      </c>
      <c r="BG693" s="12">
        <v>2.58</v>
      </c>
      <c r="BH693" s="685" t="s">
        <v>2161</v>
      </c>
      <c r="BI693" s="686" t="s">
        <v>2496</v>
      </c>
      <c r="BJ693" s="687" t="s">
        <v>2658</v>
      </c>
      <c r="BK693" s="687" t="s">
        <v>1730</v>
      </c>
      <c r="BL693" s="687" t="s">
        <v>1730</v>
      </c>
      <c r="BM693" s="686">
        <v>1.2500000000000001E-2</v>
      </c>
      <c r="BN693" s="686">
        <v>0</v>
      </c>
      <c r="BO693" s="688">
        <v>2.23</v>
      </c>
      <c r="BP693" s="685" t="s">
        <v>2170</v>
      </c>
      <c r="BQ693" s="686" t="s">
        <v>2496</v>
      </c>
      <c r="BR693" s="687" t="s">
        <v>2659</v>
      </c>
      <c r="BS693" s="687" t="s">
        <v>277</v>
      </c>
      <c r="BT693" s="687" t="s">
        <v>1730</v>
      </c>
      <c r="BU693" s="686">
        <v>3.7499999999999999E-2</v>
      </c>
      <c r="BV693" s="686">
        <v>0</v>
      </c>
      <c r="BW693" s="688">
        <v>1.37</v>
      </c>
    </row>
    <row r="694" spans="1:75">
      <c r="A694" s="1" t="s">
        <v>75</v>
      </c>
      <c r="B694" s="1" t="s">
        <v>1146</v>
      </c>
      <c r="C694" s="1" t="s">
        <v>1147</v>
      </c>
      <c r="D694" s="1" t="s">
        <v>1720</v>
      </c>
      <c r="E694" s="1" t="s">
        <v>304</v>
      </c>
      <c r="F694" s="1">
        <v>0.13</v>
      </c>
      <c r="G694" s="1">
        <v>4.2500000000000003E-3</v>
      </c>
      <c r="H694" s="1">
        <v>2.62</v>
      </c>
      <c r="I694" s="1" t="s">
        <v>691</v>
      </c>
      <c r="J694" s="1" t="s">
        <v>76</v>
      </c>
      <c r="AI694" s="757"/>
      <c r="AJ694" s="195" t="s">
        <v>2815</v>
      </c>
      <c r="AK694" s="186" t="s">
        <v>1710</v>
      </c>
      <c r="AL694" s="747" t="s">
        <v>1536</v>
      </c>
      <c r="AM694" s="747" t="s">
        <v>520</v>
      </c>
      <c r="AN694" s="693" t="s">
        <v>1730</v>
      </c>
      <c r="AO694" s="186">
        <v>1.2500000000000001E-2</v>
      </c>
      <c r="AP694" s="186">
        <v>0</v>
      </c>
      <c r="AQ694" s="12">
        <v>2.3199999999999998</v>
      </c>
      <c r="AR694" s="11" t="s">
        <v>2816</v>
      </c>
      <c r="AS694" s="186" t="s">
        <v>1710</v>
      </c>
      <c r="AT694" s="747" t="s">
        <v>1536</v>
      </c>
      <c r="AU694" s="747" t="s">
        <v>520</v>
      </c>
      <c r="AV694" s="693" t="s">
        <v>1730</v>
      </c>
      <c r="AW694" s="186">
        <v>1.2500000000000001E-2</v>
      </c>
      <c r="AX694" s="186">
        <v>0</v>
      </c>
      <c r="AY694" s="12">
        <v>3</v>
      </c>
      <c r="AZ694" s="11" t="s">
        <v>2115</v>
      </c>
      <c r="BA694" s="186" t="s">
        <v>1941</v>
      </c>
      <c r="BB694" s="747" t="s">
        <v>2131</v>
      </c>
      <c r="BC694" s="747" t="s">
        <v>517</v>
      </c>
      <c r="BD694" s="747" t="s">
        <v>1730</v>
      </c>
      <c r="BE694" s="186">
        <v>0.1</v>
      </c>
      <c r="BF694" s="186">
        <v>0.02</v>
      </c>
      <c r="BG694" s="12">
        <v>2.58</v>
      </c>
      <c r="BH694" s="685" t="s">
        <v>2161</v>
      </c>
      <c r="BI694" s="686" t="s">
        <v>2496</v>
      </c>
      <c r="BJ694" s="687" t="s">
        <v>2660</v>
      </c>
      <c r="BK694" s="687" t="s">
        <v>1180</v>
      </c>
      <c r="BL694" s="687" t="s">
        <v>1730</v>
      </c>
      <c r="BM694" s="686">
        <v>1.8750000000000003E-2</v>
      </c>
      <c r="BN694" s="686">
        <v>0</v>
      </c>
      <c r="BO694" s="688">
        <v>2.23</v>
      </c>
      <c r="BP694" s="685" t="s">
        <v>2170</v>
      </c>
      <c r="BQ694" s="686" t="s">
        <v>2496</v>
      </c>
      <c r="BR694" s="687" t="s">
        <v>2661</v>
      </c>
      <c r="BS694" s="687" t="s">
        <v>2482</v>
      </c>
      <c r="BT694" s="687" t="s">
        <v>1730</v>
      </c>
      <c r="BU694" s="686">
        <v>1.8749999999999999E-2</v>
      </c>
      <c r="BV694" s="686">
        <v>0</v>
      </c>
      <c r="BW694" s="688">
        <v>1.37</v>
      </c>
    </row>
    <row r="695" spans="1:75">
      <c r="A695" s="1" t="s">
        <v>77</v>
      </c>
      <c r="B695" s="1" t="s">
        <v>1146</v>
      </c>
      <c r="C695" s="1" t="s">
        <v>1147</v>
      </c>
      <c r="D695" s="1" t="s">
        <v>1720</v>
      </c>
      <c r="E695" s="1" t="s">
        <v>305</v>
      </c>
      <c r="F695" s="1">
        <v>0.26</v>
      </c>
      <c r="G695" s="1">
        <v>2.5500000000000002E-3</v>
      </c>
      <c r="H695" s="1">
        <v>2.62</v>
      </c>
      <c r="I695" s="1" t="s">
        <v>78</v>
      </c>
      <c r="J695" s="1" t="s">
        <v>79</v>
      </c>
      <c r="AI695" s="757"/>
      <c r="AJ695" s="195" t="s">
        <v>2815</v>
      </c>
      <c r="AK695" s="186" t="s">
        <v>523</v>
      </c>
      <c r="AL695" s="747" t="s">
        <v>1537</v>
      </c>
      <c r="AM695" s="747" t="s">
        <v>1730</v>
      </c>
      <c r="AN695" s="693" t="s">
        <v>1730</v>
      </c>
      <c r="AO695" s="186">
        <v>0.05</v>
      </c>
      <c r="AP695" s="186">
        <v>0</v>
      </c>
      <c r="AQ695" s="12">
        <v>2.3199999999999998</v>
      </c>
      <c r="AR695" s="11" t="s">
        <v>2816</v>
      </c>
      <c r="AS695" s="186" t="s">
        <v>523</v>
      </c>
      <c r="AT695" s="747" t="s">
        <v>1537</v>
      </c>
      <c r="AU695" s="747" t="s">
        <v>1730</v>
      </c>
      <c r="AV695" s="693" t="s">
        <v>1730</v>
      </c>
      <c r="AW695" s="186">
        <v>0.05</v>
      </c>
      <c r="AX695" s="186">
        <v>0</v>
      </c>
      <c r="AY695" s="12">
        <v>3</v>
      </c>
      <c r="AZ695" s="11" t="s">
        <v>2115</v>
      </c>
      <c r="BA695" s="186" t="s">
        <v>1709</v>
      </c>
      <c r="BB695" s="747" t="s">
        <v>2132</v>
      </c>
      <c r="BC695" s="747" t="s">
        <v>1730</v>
      </c>
      <c r="BD695" s="747" t="s">
        <v>1730</v>
      </c>
      <c r="BE695" s="186">
        <v>0.28000000000000003</v>
      </c>
      <c r="BF695" s="186">
        <v>5.1999999999999998E-2</v>
      </c>
      <c r="BG695" s="12">
        <v>2.58</v>
      </c>
      <c r="BH695" s="685" t="s">
        <v>2161</v>
      </c>
      <c r="BI695" s="686" t="s">
        <v>2496</v>
      </c>
      <c r="BJ695" s="687" t="s">
        <v>2662</v>
      </c>
      <c r="BK695" s="687" t="s">
        <v>1180</v>
      </c>
      <c r="BL695" s="687" t="s">
        <v>1730</v>
      </c>
      <c r="BM695" s="686">
        <v>1.8750000000000003E-2</v>
      </c>
      <c r="BN695" s="686">
        <v>0</v>
      </c>
      <c r="BO695" s="688">
        <v>2.23</v>
      </c>
      <c r="BP695" s="685" t="s">
        <v>2170</v>
      </c>
      <c r="BQ695" s="686" t="s">
        <v>2496</v>
      </c>
      <c r="BR695" s="687" t="s">
        <v>2663</v>
      </c>
      <c r="BS695" s="687" t="s">
        <v>2482</v>
      </c>
      <c r="BT695" s="687" t="s">
        <v>1730</v>
      </c>
      <c r="BU695" s="686">
        <v>1.8749999999999999E-2</v>
      </c>
      <c r="BV695" s="686">
        <v>0</v>
      </c>
      <c r="BW695" s="688">
        <v>1.37</v>
      </c>
    </row>
    <row r="696" spans="1:75">
      <c r="A696" s="1" t="s">
        <v>80</v>
      </c>
      <c r="B696" s="1" t="s">
        <v>1146</v>
      </c>
      <c r="C696" s="1" t="s">
        <v>1147</v>
      </c>
      <c r="D696" s="1" t="s">
        <v>1720</v>
      </c>
      <c r="E696" s="1" t="s">
        <v>306</v>
      </c>
      <c r="F696" s="1">
        <v>0.13</v>
      </c>
      <c r="G696" s="1">
        <v>2.5500000000000002E-3</v>
      </c>
      <c r="H696" s="1">
        <v>2.62</v>
      </c>
      <c r="I696" s="1" t="s">
        <v>691</v>
      </c>
      <c r="J696" s="1" t="s">
        <v>81</v>
      </c>
      <c r="AI696" s="757"/>
      <c r="AJ696" s="195" t="s">
        <v>2719</v>
      </c>
      <c r="AK696" s="186" t="s">
        <v>523</v>
      </c>
      <c r="AL696" s="747" t="s">
        <v>1538</v>
      </c>
      <c r="AM696" s="747" t="s">
        <v>1730</v>
      </c>
      <c r="AN696" s="693" t="s">
        <v>1730</v>
      </c>
      <c r="AO696" s="186">
        <v>2.5000000000000001E-2</v>
      </c>
      <c r="AP696" s="186">
        <v>0</v>
      </c>
      <c r="AQ696" s="12">
        <v>2.3199999999999998</v>
      </c>
      <c r="AR696" s="11" t="s">
        <v>2720</v>
      </c>
      <c r="AS696" s="186" t="s">
        <v>523</v>
      </c>
      <c r="AT696" s="747" t="s">
        <v>1538</v>
      </c>
      <c r="AU696" s="747" t="s">
        <v>1730</v>
      </c>
      <c r="AV696" s="693" t="s">
        <v>1730</v>
      </c>
      <c r="AW696" s="186">
        <v>2.5000000000000001E-2</v>
      </c>
      <c r="AX696" s="186">
        <v>0</v>
      </c>
      <c r="AY696" s="12">
        <v>3</v>
      </c>
      <c r="AZ696" s="11" t="s">
        <v>2115</v>
      </c>
      <c r="BA696" s="186" t="s">
        <v>1709</v>
      </c>
      <c r="BB696" s="747" t="s">
        <v>2133</v>
      </c>
      <c r="BC696" s="747" t="s">
        <v>1730</v>
      </c>
      <c r="BD696" s="747" t="s">
        <v>1730</v>
      </c>
      <c r="BE696" s="186">
        <v>0.14000000000000001</v>
      </c>
      <c r="BF696" s="186">
        <v>2.5999999999999999E-2</v>
      </c>
      <c r="BG696" s="12">
        <v>2.58</v>
      </c>
      <c r="BH696" s="685" t="s">
        <v>2161</v>
      </c>
      <c r="BI696" s="686" t="s">
        <v>2496</v>
      </c>
      <c r="BJ696" s="687" t="s">
        <v>2664</v>
      </c>
      <c r="BK696" s="687" t="s">
        <v>277</v>
      </c>
      <c r="BL696" s="687" t="s">
        <v>1730</v>
      </c>
      <c r="BM696" s="686">
        <v>1.2500000000000001E-2</v>
      </c>
      <c r="BN696" s="686">
        <v>0</v>
      </c>
      <c r="BO696" s="688">
        <v>2.23</v>
      </c>
      <c r="BP696" s="11"/>
      <c r="BQ696" s="186"/>
      <c r="BR696" s="747"/>
      <c r="BS696" s="747"/>
      <c r="BT696" s="747"/>
      <c r="BU696" s="186"/>
      <c r="BV696" s="186"/>
      <c r="BW696" s="12"/>
    </row>
    <row r="697" spans="1:75">
      <c r="A697" s="1" t="s">
        <v>82</v>
      </c>
      <c r="B697" s="1" t="s">
        <v>1146</v>
      </c>
      <c r="C697" s="1" t="s">
        <v>1147</v>
      </c>
      <c r="D697" s="1" t="s">
        <v>1720</v>
      </c>
      <c r="E697" s="1" t="s">
        <v>307</v>
      </c>
      <c r="F697" s="1">
        <v>0.19500000000000001</v>
      </c>
      <c r="G697" s="1">
        <v>4.2500000000000003E-3</v>
      </c>
      <c r="H697" s="1">
        <v>2.62</v>
      </c>
      <c r="I697" s="1" t="s">
        <v>1163</v>
      </c>
      <c r="J697" s="1" t="s">
        <v>83</v>
      </c>
      <c r="AI697" s="757"/>
      <c r="AJ697" s="195" t="s">
        <v>2719</v>
      </c>
      <c r="AK697" s="186" t="s">
        <v>523</v>
      </c>
      <c r="AL697" s="747" t="s">
        <v>1539</v>
      </c>
      <c r="AM697" s="747" t="s">
        <v>1730</v>
      </c>
      <c r="AN697" s="693" t="s">
        <v>1730</v>
      </c>
      <c r="AO697" s="186">
        <v>1.2500000000000001E-2</v>
      </c>
      <c r="AP697" s="186">
        <v>0</v>
      </c>
      <c r="AQ697" s="12">
        <v>2.3199999999999998</v>
      </c>
      <c r="AR697" s="11" t="s">
        <v>2816</v>
      </c>
      <c r="AS697" s="186" t="s">
        <v>523</v>
      </c>
      <c r="AT697" s="747" t="s">
        <v>1539</v>
      </c>
      <c r="AU697" s="747" t="s">
        <v>1730</v>
      </c>
      <c r="AV697" s="693" t="s">
        <v>1730</v>
      </c>
      <c r="AW697" s="186">
        <v>1.2500000000000001E-2</v>
      </c>
      <c r="AX697" s="186">
        <v>0</v>
      </c>
      <c r="AY697" s="12">
        <v>3</v>
      </c>
      <c r="AZ697" s="11" t="s">
        <v>2115</v>
      </c>
      <c r="BA697" s="186" t="s">
        <v>1709</v>
      </c>
      <c r="BB697" s="747" t="s">
        <v>2134</v>
      </c>
      <c r="BC697" s="747" t="s">
        <v>1730</v>
      </c>
      <c r="BD697" s="747" t="s">
        <v>1730</v>
      </c>
      <c r="BE697" s="186">
        <v>0.28000000000000003</v>
      </c>
      <c r="BF697" s="186">
        <v>5.1999999999999998E-2</v>
      </c>
      <c r="BG697" s="12">
        <v>2.58</v>
      </c>
      <c r="BH697" s="685" t="s">
        <v>2161</v>
      </c>
      <c r="BI697" s="686" t="s">
        <v>2496</v>
      </c>
      <c r="BJ697" s="687" t="s">
        <v>2665</v>
      </c>
      <c r="BK697" s="687" t="s">
        <v>277</v>
      </c>
      <c r="BL697" s="687" t="s">
        <v>1730</v>
      </c>
      <c r="BM697" s="686">
        <v>1.2500000000000001E-2</v>
      </c>
      <c r="BN697" s="686">
        <v>0</v>
      </c>
      <c r="BO697" s="688">
        <v>2.23</v>
      </c>
      <c r="BP697" s="11"/>
      <c r="BQ697" s="186"/>
      <c r="BR697" s="747"/>
      <c r="BS697" s="747"/>
      <c r="BT697" s="747"/>
      <c r="BU697" s="186"/>
      <c r="BV697" s="186"/>
      <c r="BW697" s="12"/>
    </row>
    <row r="698" spans="1:75">
      <c r="A698" s="1" t="s">
        <v>84</v>
      </c>
      <c r="B698" s="1" t="s">
        <v>1146</v>
      </c>
      <c r="C698" s="1" t="s">
        <v>1147</v>
      </c>
      <c r="D698" s="1" t="s">
        <v>1720</v>
      </c>
      <c r="E698" s="1" t="s">
        <v>308</v>
      </c>
      <c r="F698" s="1">
        <v>0.19500000000000001</v>
      </c>
      <c r="G698" s="1">
        <v>4.2500000000000003E-3</v>
      </c>
      <c r="H698" s="1">
        <v>2.62</v>
      </c>
      <c r="I698" s="1" t="s">
        <v>691</v>
      </c>
      <c r="J698" s="1" t="s">
        <v>85</v>
      </c>
      <c r="AI698" s="757"/>
      <c r="AJ698" s="195" t="s">
        <v>2817</v>
      </c>
      <c r="AK698" s="186" t="s">
        <v>523</v>
      </c>
      <c r="AL698" s="747" t="s">
        <v>1540</v>
      </c>
      <c r="AM698" s="747" t="s">
        <v>519</v>
      </c>
      <c r="AN698" s="693" t="s">
        <v>1730</v>
      </c>
      <c r="AO698" s="186">
        <v>2.5000000000000001E-2</v>
      </c>
      <c r="AP698" s="186">
        <v>0</v>
      </c>
      <c r="AQ698" s="12">
        <v>2.3199999999999998</v>
      </c>
      <c r="AR698" s="11" t="s">
        <v>2720</v>
      </c>
      <c r="AS698" s="186" t="s">
        <v>523</v>
      </c>
      <c r="AT698" s="747" t="s">
        <v>1540</v>
      </c>
      <c r="AU698" s="747" t="s">
        <v>519</v>
      </c>
      <c r="AV698" s="693" t="s">
        <v>1730</v>
      </c>
      <c r="AW698" s="186">
        <v>2.5000000000000001E-2</v>
      </c>
      <c r="AX698" s="186">
        <v>0</v>
      </c>
      <c r="AY698" s="12">
        <v>3</v>
      </c>
      <c r="AZ698" s="11" t="s">
        <v>2115</v>
      </c>
      <c r="BA698" s="186" t="s">
        <v>1709</v>
      </c>
      <c r="BB698" s="747" t="s">
        <v>2135</v>
      </c>
      <c r="BC698" s="747" t="s">
        <v>1730</v>
      </c>
      <c r="BD698" s="747" t="s">
        <v>1730</v>
      </c>
      <c r="BE698" s="186">
        <v>0.14000000000000001</v>
      </c>
      <c r="BF698" s="186">
        <v>2.5999999999999999E-2</v>
      </c>
      <c r="BG698" s="12">
        <v>2.58</v>
      </c>
      <c r="BH698" s="685" t="s">
        <v>2161</v>
      </c>
      <c r="BI698" s="686" t="s">
        <v>2496</v>
      </c>
      <c r="BJ698" s="687" t="s">
        <v>2666</v>
      </c>
      <c r="BK698" s="687" t="s">
        <v>2482</v>
      </c>
      <c r="BL698" s="687" t="s">
        <v>1730</v>
      </c>
      <c r="BM698" s="686">
        <v>6.2500000000000003E-3</v>
      </c>
      <c r="BN698" s="686">
        <v>0</v>
      </c>
      <c r="BO698" s="688">
        <v>2.23</v>
      </c>
      <c r="BP698" s="11"/>
      <c r="BQ698" s="186"/>
      <c r="BR698" s="747"/>
      <c r="BS698" s="747"/>
      <c r="BT698" s="747"/>
      <c r="BU698" s="186"/>
      <c r="BV698" s="186"/>
      <c r="BW698" s="12"/>
    </row>
    <row r="699" spans="1:75">
      <c r="A699" s="1" t="s">
        <v>86</v>
      </c>
      <c r="B699" s="1" t="s">
        <v>1146</v>
      </c>
      <c r="C699" s="1" t="s">
        <v>1147</v>
      </c>
      <c r="D699" s="1" t="s">
        <v>1720</v>
      </c>
      <c r="E699" s="1" t="s">
        <v>309</v>
      </c>
      <c r="F699" s="1">
        <v>0.19500000000000001</v>
      </c>
      <c r="G699" s="1">
        <v>2.5500000000000002E-3</v>
      </c>
      <c r="H699" s="1">
        <v>2.62</v>
      </c>
      <c r="I699" s="1" t="s">
        <v>78</v>
      </c>
      <c r="J699" s="1" t="s">
        <v>87</v>
      </c>
      <c r="AI699" s="757"/>
      <c r="AJ699" s="195" t="s">
        <v>2815</v>
      </c>
      <c r="AK699" s="186" t="s">
        <v>523</v>
      </c>
      <c r="AL699" s="747" t="s">
        <v>1541</v>
      </c>
      <c r="AM699" s="747" t="s">
        <v>519</v>
      </c>
      <c r="AN699" s="693" t="s">
        <v>1730</v>
      </c>
      <c r="AO699" s="186">
        <v>2.5000000000000001E-2</v>
      </c>
      <c r="AP699" s="186">
        <v>0</v>
      </c>
      <c r="AQ699" s="12">
        <v>2.3199999999999998</v>
      </c>
      <c r="AR699" s="11" t="s">
        <v>2816</v>
      </c>
      <c r="AS699" s="186" t="s">
        <v>523</v>
      </c>
      <c r="AT699" s="747" t="s">
        <v>1541</v>
      </c>
      <c r="AU699" s="747" t="s">
        <v>519</v>
      </c>
      <c r="AV699" s="693" t="s">
        <v>1730</v>
      </c>
      <c r="AW699" s="186">
        <v>2.5000000000000001E-2</v>
      </c>
      <c r="AX699" s="186">
        <v>0</v>
      </c>
      <c r="AY699" s="12">
        <v>3</v>
      </c>
      <c r="AZ699" s="11" t="s">
        <v>2115</v>
      </c>
      <c r="BA699" s="186" t="s">
        <v>1709</v>
      </c>
      <c r="BB699" s="747" t="s">
        <v>2136</v>
      </c>
      <c r="BC699" s="747" t="s">
        <v>515</v>
      </c>
      <c r="BD699" s="747" t="s">
        <v>1730</v>
      </c>
      <c r="BE699" s="186">
        <v>0.21</v>
      </c>
      <c r="BF699" s="186">
        <v>3.9E-2</v>
      </c>
      <c r="BG699" s="12">
        <v>2.58</v>
      </c>
      <c r="BH699" s="685" t="s">
        <v>2161</v>
      </c>
      <c r="BI699" s="686" t="s">
        <v>2496</v>
      </c>
      <c r="BJ699" s="687" t="s">
        <v>2667</v>
      </c>
      <c r="BK699" s="687" t="s">
        <v>2482</v>
      </c>
      <c r="BL699" s="687" t="s">
        <v>1730</v>
      </c>
      <c r="BM699" s="686">
        <v>6.2500000000000003E-3</v>
      </c>
      <c r="BN699" s="686">
        <v>0</v>
      </c>
      <c r="BO699" s="688">
        <v>2.23</v>
      </c>
      <c r="BP699" s="11"/>
      <c r="BQ699" s="186"/>
      <c r="BR699" s="747"/>
      <c r="BS699" s="747"/>
      <c r="BT699" s="747"/>
      <c r="BU699" s="186"/>
      <c r="BV699" s="186"/>
      <c r="BW699" s="12"/>
    </row>
    <row r="700" spans="1:75">
      <c r="A700" s="1" t="s">
        <v>88</v>
      </c>
      <c r="B700" s="1" t="s">
        <v>1146</v>
      </c>
      <c r="C700" s="1" t="s">
        <v>1147</v>
      </c>
      <c r="D700" s="1" t="s">
        <v>1720</v>
      </c>
      <c r="E700" s="1" t="s">
        <v>310</v>
      </c>
      <c r="F700" s="1">
        <v>0.19500000000000001</v>
      </c>
      <c r="G700" s="1">
        <v>2.5500000000000002E-3</v>
      </c>
      <c r="H700" s="1">
        <v>2.62</v>
      </c>
      <c r="I700" s="1" t="s">
        <v>691</v>
      </c>
      <c r="J700" s="1" t="s">
        <v>89</v>
      </c>
      <c r="AI700" s="757"/>
      <c r="AJ700" s="195" t="s">
        <v>2719</v>
      </c>
      <c r="AK700" s="186" t="s">
        <v>523</v>
      </c>
      <c r="AL700" s="747" t="s">
        <v>1542</v>
      </c>
      <c r="AM700" s="747" t="s">
        <v>519</v>
      </c>
      <c r="AN700" s="693" t="s">
        <v>1730</v>
      </c>
      <c r="AO700" s="186">
        <v>2.5000000000000001E-2</v>
      </c>
      <c r="AP700" s="186">
        <v>0</v>
      </c>
      <c r="AQ700" s="12">
        <v>2.3199999999999998</v>
      </c>
      <c r="AR700" s="11" t="s">
        <v>2818</v>
      </c>
      <c r="AS700" s="186" t="s">
        <v>523</v>
      </c>
      <c r="AT700" s="747" t="s">
        <v>1542</v>
      </c>
      <c r="AU700" s="747" t="s">
        <v>519</v>
      </c>
      <c r="AV700" s="693" t="s">
        <v>1730</v>
      </c>
      <c r="AW700" s="186">
        <v>2.5000000000000001E-2</v>
      </c>
      <c r="AX700" s="186">
        <v>0</v>
      </c>
      <c r="AY700" s="12">
        <v>3</v>
      </c>
      <c r="AZ700" s="11" t="s">
        <v>2115</v>
      </c>
      <c r="BA700" s="186" t="s">
        <v>1709</v>
      </c>
      <c r="BB700" s="747" t="s">
        <v>2137</v>
      </c>
      <c r="BC700" s="747" t="s">
        <v>515</v>
      </c>
      <c r="BD700" s="747" t="s">
        <v>1730</v>
      </c>
      <c r="BE700" s="186">
        <v>0.21</v>
      </c>
      <c r="BF700" s="186">
        <v>3.9E-2</v>
      </c>
      <c r="BG700" s="12">
        <v>2.58</v>
      </c>
      <c r="BH700" s="11"/>
      <c r="BI700" s="186"/>
      <c r="BJ700" s="747"/>
      <c r="BK700" s="747"/>
      <c r="BL700" s="747"/>
      <c r="BM700" s="186"/>
      <c r="BN700" s="186"/>
      <c r="BO700" s="12"/>
      <c r="BP700" s="11"/>
      <c r="BQ700" s="186"/>
      <c r="BR700" s="747"/>
      <c r="BS700" s="747"/>
      <c r="BT700" s="747"/>
      <c r="BU700" s="186"/>
      <c r="BV700" s="186"/>
      <c r="BW700" s="12"/>
    </row>
    <row r="701" spans="1:75">
      <c r="A701" s="1" t="s">
        <v>90</v>
      </c>
      <c r="B701" s="1" t="s">
        <v>1146</v>
      </c>
      <c r="C701" s="1" t="s">
        <v>1147</v>
      </c>
      <c r="D701" s="1" t="s">
        <v>1720</v>
      </c>
      <c r="E701" s="1" t="s">
        <v>311</v>
      </c>
      <c r="F701" s="1">
        <v>0.13</v>
      </c>
      <c r="G701" s="1">
        <v>4.2500000000000003E-3</v>
      </c>
      <c r="H701" s="1">
        <v>2.62</v>
      </c>
      <c r="I701" s="1" t="s">
        <v>1163</v>
      </c>
      <c r="J701" s="1" t="s">
        <v>91</v>
      </c>
      <c r="AI701" s="757"/>
      <c r="AJ701" s="195" t="s">
        <v>2719</v>
      </c>
      <c r="AK701" s="186" t="s">
        <v>523</v>
      </c>
      <c r="AL701" s="747" t="s">
        <v>1543</v>
      </c>
      <c r="AM701" s="747" t="s">
        <v>520</v>
      </c>
      <c r="AN701" s="693" t="s">
        <v>1730</v>
      </c>
      <c r="AO701" s="186">
        <v>1.2500000000000001E-2</v>
      </c>
      <c r="AP701" s="186">
        <v>0</v>
      </c>
      <c r="AQ701" s="12">
        <v>2.3199999999999998</v>
      </c>
      <c r="AR701" s="11" t="s">
        <v>2816</v>
      </c>
      <c r="AS701" s="186" t="s">
        <v>523</v>
      </c>
      <c r="AT701" s="747" t="s">
        <v>1543</v>
      </c>
      <c r="AU701" s="747" t="s">
        <v>520</v>
      </c>
      <c r="AV701" s="693" t="s">
        <v>1730</v>
      </c>
      <c r="AW701" s="186">
        <v>1.2500000000000001E-2</v>
      </c>
      <c r="AX701" s="186">
        <v>0</v>
      </c>
      <c r="AY701" s="12">
        <v>3</v>
      </c>
      <c r="AZ701" s="11" t="s">
        <v>2115</v>
      </c>
      <c r="BA701" s="186" t="s">
        <v>1709</v>
      </c>
      <c r="BB701" s="747" t="s">
        <v>2138</v>
      </c>
      <c r="BC701" s="747" t="s">
        <v>515</v>
      </c>
      <c r="BD701" s="747" t="s">
        <v>1730</v>
      </c>
      <c r="BE701" s="186">
        <v>0.21</v>
      </c>
      <c r="BF701" s="186">
        <v>3.9E-2</v>
      </c>
      <c r="BG701" s="12">
        <v>2.58</v>
      </c>
      <c r="BH701" s="11"/>
      <c r="BI701" s="186"/>
      <c r="BJ701" s="747"/>
      <c r="BK701" s="747"/>
      <c r="BL701" s="747"/>
      <c r="BM701" s="186"/>
      <c r="BN701" s="186"/>
      <c r="BO701" s="12"/>
      <c r="BP701" s="11"/>
      <c r="BQ701" s="186"/>
      <c r="BR701" s="747"/>
      <c r="BS701" s="747"/>
      <c r="BT701" s="747"/>
      <c r="BU701" s="186"/>
      <c r="BV701" s="186"/>
      <c r="BW701" s="12"/>
    </row>
    <row r="702" spans="1:75">
      <c r="A702" s="1" t="s">
        <v>92</v>
      </c>
      <c r="B702" s="1" t="s">
        <v>1146</v>
      </c>
      <c r="C702" s="1" t="s">
        <v>1147</v>
      </c>
      <c r="D702" s="1" t="s">
        <v>1720</v>
      </c>
      <c r="E702" s="1" t="s">
        <v>312</v>
      </c>
      <c r="F702" s="1">
        <v>0.13</v>
      </c>
      <c r="G702" s="1">
        <v>4.2500000000000003E-3</v>
      </c>
      <c r="H702" s="1">
        <v>2.62</v>
      </c>
      <c r="I702" s="1" t="s">
        <v>691</v>
      </c>
      <c r="J702" s="1" t="s">
        <v>93</v>
      </c>
      <c r="AI702" s="757"/>
      <c r="AJ702" s="195" t="s">
        <v>2815</v>
      </c>
      <c r="AK702" s="186" t="s">
        <v>523</v>
      </c>
      <c r="AL702" s="747" t="s">
        <v>1544</v>
      </c>
      <c r="AM702" s="747" t="s">
        <v>520</v>
      </c>
      <c r="AN702" s="693" t="s">
        <v>1730</v>
      </c>
      <c r="AO702" s="186">
        <v>1.2500000000000001E-2</v>
      </c>
      <c r="AP702" s="186">
        <v>0</v>
      </c>
      <c r="AQ702" s="12">
        <v>2.3199999999999998</v>
      </c>
      <c r="AR702" s="11" t="s">
        <v>2818</v>
      </c>
      <c r="AS702" s="186" t="s">
        <v>523</v>
      </c>
      <c r="AT702" s="747" t="s">
        <v>1544</v>
      </c>
      <c r="AU702" s="747" t="s">
        <v>520</v>
      </c>
      <c r="AV702" s="693" t="s">
        <v>1730</v>
      </c>
      <c r="AW702" s="186">
        <v>1.2500000000000001E-2</v>
      </c>
      <c r="AX702" s="186">
        <v>0</v>
      </c>
      <c r="AY702" s="12">
        <v>3</v>
      </c>
      <c r="AZ702" s="11" t="s">
        <v>2115</v>
      </c>
      <c r="BA702" s="186" t="s">
        <v>1709</v>
      </c>
      <c r="BB702" s="747" t="s">
        <v>2139</v>
      </c>
      <c r="BC702" s="747" t="s">
        <v>515</v>
      </c>
      <c r="BD702" s="747" t="s">
        <v>1730</v>
      </c>
      <c r="BE702" s="186">
        <v>0.21</v>
      </c>
      <c r="BF702" s="186">
        <v>3.9E-2</v>
      </c>
      <c r="BG702" s="12">
        <v>2.58</v>
      </c>
      <c r="BH702" s="11"/>
      <c r="BI702" s="186"/>
      <c r="BJ702" s="747"/>
      <c r="BK702" s="747"/>
      <c r="BL702" s="747"/>
      <c r="BM702" s="186"/>
      <c r="BN702" s="186"/>
      <c r="BO702" s="12"/>
      <c r="BP702" s="11"/>
      <c r="BQ702" s="186"/>
      <c r="BR702" s="747"/>
      <c r="BS702" s="747"/>
      <c r="BT702" s="747"/>
      <c r="BU702" s="186"/>
      <c r="BV702" s="186"/>
      <c r="BW702" s="12"/>
    </row>
    <row r="703" spans="1:75">
      <c r="A703" s="1" t="s">
        <v>94</v>
      </c>
      <c r="B703" s="1" t="s">
        <v>1146</v>
      </c>
      <c r="C703" s="1" t="s">
        <v>1147</v>
      </c>
      <c r="D703" s="1" t="s">
        <v>1720</v>
      </c>
      <c r="E703" s="1" t="s">
        <v>313</v>
      </c>
      <c r="F703" s="1">
        <v>0.13</v>
      </c>
      <c r="G703" s="1">
        <v>2.5500000000000002E-3</v>
      </c>
      <c r="H703" s="1">
        <v>2.62</v>
      </c>
      <c r="I703" s="1" t="s">
        <v>78</v>
      </c>
      <c r="J703" s="1" t="s">
        <v>95</v>
      </c>
      <c r="AI703" s="757"/>
      <c r="AJ703" s="195" t="s">
        <v>2817</v>
      </c>
      <c r="AK703" s="186" t="s">
        <v>523</v>
      </c>
      <c r="AL703" s="747" t="s">
        <v>1545</v>
      </c>
      <c r="AM703" s="747" t="s">
        <v>520</v>
      </c>
      <c r="AN703" s="693" t="s">
        <v>1730</v>
      </c>
      <c r="AO703" s="186">
        <v>1.2500000000000001E-2</v>
      </c>
      <c r="AP703" s="186">
        <v>0</v>
      </c>
      <c r="AQ703" s="12">
        <v>2.3199999999999998</v>
      </c>
      <c r="AR703" s="11" t="s">
        <v>2818</v>
      </c>
      <c r="AS703" s="186" t="s">
        <v>523</v>
      </c>
      <c r="AT703" s="747" t="s">
        <v>1545</v>
      </c>
      <c r="AU703" s="747" t="s">
        <v>520</v>
      </c>
      <c r="AV703" s="693" t="s">
        <v>1730</v>
      </c>
      <c r="AW703" s="186">
        <v>1.2500000000000001E-2</v>
      </c>
      <c r="AX703" s="186">
        <v>0</v>
      </c>
      <c r="AY703" s="12">
        <v>3</v>
      </c>
      <c r="AZ703" s="11" t="s">
        <v>2115</v>
      </c>
      <c r="BA703" s="186" t="s">
        <v>1709</v>
      </c>
      <c r="BB703" s="747" t="s">
        <v>2140</v>
      </c>
      <c r="BC703" s="747" t="s">
        <v>516</v>
      </c>
      <c r="BD703" s="747" t="s">
        <v>1730</v>
      </c>
      <c r="BE703" s="186">
        <v>0.14000000000000001</v>
      </c>
      <c r="BF703" s="186">
        <v>2.5999999999999999E-2</v>
      </c>
      <c r="BG703" s="12">
        <v>2.58</v>
      </c>
      <c r="BH703" s="11"/>
      <c r="BI703" s="186"/>
      <c r="BJ703" s="747"/>
      <c r="BK703" s="747"/>
      <c r="BL703" s="747"/>
      <c r="BM703" s="186"/>
      <c r="BN703" s="186"/>
      <c r="BO703" s="12"/>
      <c r="BP703" s="11"/>
      <c r="BQ703" s="186"/>
      <c r="BR703" s="747"/>
      <c r="BS703" s="747"/>
      <c r="BT703" s="747"/>
      <c r="BU703" s="186"/>
      <c r="BV703" s="186"/>
      <c r="BW703" s="12"/>
    </row>
    <row r="704" spans="1:75">
      <c r="A704" s="1" t="s">
        <v>96</v>
      </c>
      <c r="B704" s="1" t="s">
        <v>1146</v>
      </c>
      <c r="C704" s="1" t="s">
        <v>1147</v>
      </c>
      <c r="D704" s="1" t="s">
        <v>1720</v>
      </c>
      <c r="E704" s="1" t="s">
        <v>314</v>
      </c>
      <c r="F704" s="1">
        <v>0.13</v>
      </c>
      <c r="G704" s="1">
        <v>2.5500000000000002E-3</v>
      </c>
      <c r="H704" s="1">
        <v>2.62</v>
      </c>
      <c r="I704" s="1" t="s">
        <v>691</v>
      </c>
      <c r="J704" s="1" t="s">
        <v>97</v>
      </c>
      <c r="AI704" s="757"/>
      <c r="AJ704" s="195" t="s">
        <v>1239</v>
      </c>
      <c r="AK704" s="186" t="s">
        <v>523</v>
      </c>
      <c r="AL704" s="747" t="s">
        <v>1236</v>
      </c>
      <c r="AM704" s="747" t="s">
        <v>1171</v>
      </c>
      <c r="AN704" s="693" t="s">
        <v>1730</v>
      </c>
      <c r="AO704" s="186">
        <v>4.4999999999999998E-2</v>
      </c>
      <c r="AP704" s="186">
        <v>0</v>
      </c>
      <c r="AQ704" s="12">
        <v>2.3199999999999998</v>
      </c>
      <c r="AR704" s="11" t="s">
        <v>1240</v>
      </c>
      <c r="AS704" s="186" t="s">
        <v>523</v>
      </c>
      <c r="AT704" s="747" t="s">
        <v>1236</v>
      </c>
      <c r="AU704" s="747" t="s">
        <v>1171</v>
      </c>
      <c r="AV704" s="693" t="s">
        <v>1730</v>
      </c>
      <c r="AW704" s="186">
        <v>4.4999999999999998E-2</v>
      </c>
      <c r="AX704" s="186">
        <v>0</v>
      </c>
      <c r="AY704" s="12">
        <v>3</v>
      </c>
      <c r="AZ704" s="11" t="s">
        <v>2115</v>
      </c>
      <c r="BA704" s="186" t="s">
        <v>1709</v>
      </c>
      <c r="BB704" s="747" t="s">
        <v>2141</v>
      </c>
      <c r="BC704" s="747" t="s">
        <v>516</v>
      </c>
      <c r="BD704" s="747" t="s">
        <v>1730</v>
      </c>
      <c r="BE704" s="186">
        <v>0.14000000000000001</v>
      </c>
      <c r="BF704" s="186">
        <v>2.5999999999999999E-2</v>
      </c>
      <c r="BG704" s="12">
        <v>2.58</v>
      </c>
      <c r="BH704" s="11"/>
      <c r="BI704" s="186"/>
      <c r="BJ704" s="747"/>
      <c r="BK704" s="747"/>
      <c r="BL704" s="747"/>
      <c r="BM704" s="186"/>
      <c r="BN704" s="186"/>
      <c r="BO704" s="12"/>
      <c r="BP704" s="11"/>
      <c r="BQ704" s="186"/>
      <c r="BR704" s="747"/>
      <c r="BS704" s="747"/>
      <c r="BT704" s="747"/>
      <c r="BU704" s="186"/>
      <c r="BV704" s="186"/>
      <c r="BW704" s="12"/>
    </row>
    <row r="705" spans="1:75">
      <c r="A705" s="1" t="s">
        <v>98</v>
      </c>
      <c r="B705" s="1" t="s">
        <v>1146</v>
      </c>
      <c r="C705" s="1" t="s">
        <v>1147</v>
      </c>
      <c r="D705" s="1" t="s">
        <v>1720</v>
      </c>
      <c r="E705" s="1" t="s">
        <v>315</v>
      </c>
      <c r="F705" s="1">
        <v>6.5000000000000002E-2</v>
      </c>
      <c r="G705" s="1">
        <v>4.2500000000000003E-3</v>
      </c>
      <c r="H705" s="1">
        <v>2.62</v>
      </c>
      <c r="I705" s="1" t="s">
        <v>1163</v>
      </c>
      <c r="J705" s="1" t="s">
        <v>99</v>
      </c>
      <c r="AI705" s="757"/>
      <c r="AJ705" s="195" t="s">
        <v>1239</v>
      </c>
      <c r="AK705" s="186" t="s">
        <v>523</v>
      </c>
      <c r="AL705" s="747" t="s">
        <v>1237</v>
      </c>
      <c r="AM705" s="747" t="s">
        <v>1171</v>
      </c>
      <c r="AN705" s="693" t="s">
        <v>1730</v>
      </c>
      <c r="AO705" s="186">
        <v>4.4999999999999998E-2</v>
      </c>
      <c r="AP705" s="186">
        <v>0</v>
      </c>
      <c r="AQ705" s="12">
        <v>2.3199999999999998</v>
      </c>
      <c r="AR705" s="11" t="s">
        <v>1240</v>
      </c>
      <c r="AS705" s="186" t="s">
        <v>523</v>
      </c>
      <c r="AT705" s="747" t="s">
        <v>1237</v>
      </c>
      <c r="AU705" s="747" t="s">
        <v>1171</v>
      </c>
      <c r="AV705" s="693" t="s">
        <v>1730</v>
      </c>
      <c r="AW705" s="186">
        <v>4.4999999999999998E-2</v>
      </c>
      <c r="AX705" s="186">
        <v>0</v>
      </c>
      <c r="AY705" s="12">
        <v>3</v>
      </c>
      <c r="AZ705" s="11" t="s">
        <v>2115</v>
      </c>
      <c r="BA705" s="186" t="s">
        <v>1709</v>
      </c>
      <c r="BB705" s="747" t="s">
        <v>2142</v>
      </c>
      <c r="BC705" s="747" t="s">
        <v>516</v>
      </c>
      <c r="BD705" s="747" t="s">
        <v>1730</v>
      </c>
      <c r="BE705" s="186">
        <v>0.14000000000000001</v>
      </c>
      <c r="BF705" s="186">
        <v>2.5999999999999999E-2</v>
      </c>
      <c r="BG705" s="12">
        <v>2.58</v>
      </c>
      <c r="BH705" s="11"/>
      <c r="BI705" s="186"/>
      <c r="BJ705" s="747"/>
      <c r="BK705" s="747"/>
      <c r="BL705" s="747"/>
      <c r="BM705" s="186"/>
      <c r="BN705" s="186"/>
      <c r="BO705" s="12"/>
      <c r="BP705" s="11"/>
      <c r="BQ705" s="186"/>
      <c r="BR705" s="747"/>
      <c r="BS705" s="747"/>
      <c r="BT705" s="747"/>
      <c r="BU705" s="186"/>
      <c r="BV705" s="186"/>
      <c r="BW705" s="12"/>
    </row>
    <row r="706" spans="1:75">
      <c r="A706" s="1" t="s">
        <v>100</v>
      </c>
      <c r="B706" s="1" t="s">
        <v>1146</v>
      </c>
      <c r="C706" s="1" t="s">
        <v>1147</v>
      </c>
      <c r="D706" s="1" t="s">
        <v>1720</v>
      </c>
      <c r="E706" s="1" t="s">
        <v>316</v>
      </c>
      <c r="F706" s="1">
        <v>6.5000000000000002E-2</v>
      </c>
      <c r="G706" s="1">
        <v>4.2500000000000003E-3</v>
      </c>
      <c r="H706" s="1">
        <v>2.62</v>
      </c>
      <c r="I706" s="1" t="s">
        <v>691</v>
      </c>
      <c r="J706" s="1" t="s">
        <v>101</v>
      </c>
      <c r="AI706" s="757"/>
      <c r="AJ706" s="195" t="s">
        <v>1239</v>
      </c>
      <c r="AK706" s="186" t="s">
        <v>523</v>
      </c>
      <c r="AL706" s="747" t="s">
        <v>1238</v>
      </c>
      <c r="AM706" s="747" t="s">
        <v>1171</v>
      </c>
      <c r="AN706" s="693" t="s">
        <v>1730</v>
      </c>
      <c r="AO706" s="186">
        <v>4.4999999999999998E-2</v>
      </c>
      <c r="AP706" s="186">
        <v>0</v>
      </c>
      <c r="AQ706" s="12">
        <v>2.3199999999999998</v>
      </c>
      <c r="AR706" s="11" t="s">
        <v>1240</v>
      </c>
      <c r="AS706" s="186" t="s">
        <v>523</v>
      </c>
      <c r="AT706" s="747" t="s">
        <v>1238</v>
      </c>
      <c r="AU706" s="747" t="s">
        <v>1171</v>
      </c>
      <c r="AV706" s="693" t="s">
        <v>1730</v>
      </c>
      <c r="AW706" s="186">
        <v>4.4999999999999998E-2</v>
      </c>
      <c r="AX706" s="186">
        <v>0</v>
      </c>
      <c r="AY706" s="12">
        <v>3</v>
      </c>
      <c r="AZ706" s="11" t="s">
        <v>2115</v>
      </c>
      <c r="BA706" s="186" t="s">
        <v>1709</v>
      </c>
      <c r="BB706" s="747" t="s">
        <v>2143</v>
      </c>
      <c r="BC706" s="747" t="s">
        <v>516</v>
      </c>
      <c r="BD706" s="747" t="s">
        <v>1730</v>
      </c>
      <c r="BE706" s="186">
        <v>0.14000000000000001</v>
      </c>
      <c r="BF706" s="186">
        <v>2.5999999999999999E-2</v>
      </c>
      <c r="BG706" s="12">
        <v>2.58</v>
      </c>
      <c r="BH706" s="11"/>
      <c r="BI706" s="186"/>
      <c r="BJ706" s="747"/>
      <c r="BK706" s="747"/>
      <c r="BL706" s="747"/>
      <c r="BM706" s="186"/>
      <c r="BN706" s="186"/>
      <c r="BO706" s="12"/>
      <c r="BP706" s="11"/>
      <c r="BQ706" s="186"/>
      <c r="BR706" s="747"/>
      <c r="BS706" s="747"/>
      <c r="BT706" s="747"/>
      <c r="BU706" s="186"/>
      <c r="BV706" s="186"/>
      <c r="BW706" s="12"/>
    </row>
    <row r="707" spans="1:75">
      <c r="A707" s="1" t="s">
        <v>102</v>
      </c>
      <c r="B707" s="1" t="s">
        <v>1146</v>
      </c>
      <c r="C707" s="1" t="s">
        <v>1147</v>
      </c>
      <c r="D707" s="1" t="s">
        <v>1720</v>
      </c>
      <c r="E707" s="1" t="s">
        <v>317</v>
      </c>
      <c r="F707" s="1">
        <v>6.5000000000000002E-2</v>
      </c>
      <c r="G707" s="1">
        <v>2.5500000000000002E-3</v>
      </c>
      <c r="H707" s="1">
        <v>2.62</v>
      </c>
      <c r="I707" s="1" t="s">
        <v>78</v>
      </c>
      <c r="J707" s="1" t="s">
        <v>103</v>
      </c>
      <c r="AI707" s="757"/>
      <c r="AJ707" s="689" t="s">
        <v>2815</v>
      </c>
      <c r="AK707" s="686" t="s">
        <v>2496</v>
      </c>
      <c r="AL707" s="687" t="s">
        <v>2668</v>
      </c>
      <c r="AM707" s="687" t="s">
        <v>1730</v>
      </c>
      <c r="AN707" s="762" t="s">
        <v>1730</v>
      </c>
      <c r="AO707" s="686">
        <v>0.05</v>
      </c>
      <c r="AP707" s="686">
        <v>0</v>
      </c>
      <c r="AQ707" s="688">
        <v>2.3199999999999998</v>
      </c>
      <c r="AR707" s="685" t="s">
        <v>2720</v>
      </c>
      <c r="AS707" s="686" t="s">
        <v>2496</v>
      </c>
      <c r="AT707" s="687" t="s">
        <v>2668</v>
      </c>
      <c r="AU707" s="687" t="s">
        <v>1730</v>
      </c>
      <c r="AV707" s="762" t="s">
        <v>1730</v>
      </c>
      <c r="AW707" s="686">
        <v>0.05</v>
      </c>
      <c r="AX707" s="686">
        <v>0</v>
      </c>
      <c r="AY707" s="688">
        <v>3</v>
      </c>
      <c r="AZ707" s="11" t="s">
        <v>2115</v>
      </c>
      <c r="BA707" s="186" t="s">
        <v>1709</v>
      </c>
      <c r="BB707" s="747" t="s">
        <v>2144</v>
      </c>
      <c r="BC707" s="747" t="s">
        <v>517</v>
      </c>
      <c r="BD707" s="747" t="s">
        <v>1730</v>
      </c>
      <c r="BE707" s="186">
        <v>7.0000000000000007E-2</v>
      </c>
      <c r="BF707" s="186">
        <v>1.2999999999999999E-2</v>
      </c>
      <c r="BG707" s="12">
        <v>2.58</v>
      </c>
      <c r="BH707" s="11"/>
      <c r="BI707" s="186"/>
      <c r="BJ707" s="747"/>
      <c r="BK707" s="747"/>
      <c r="BL707" s="747"/>
      <c r="BM707" s="186"/>
      <c r="BN707" s="186"/>
      <c r="BO707" s="12"/>
      <c r="BP707" s="11"/>
      <c r="BQ707" s="186"/>
      <c r="BR707" s="747"/>
      <c r="BS707" s="747"/>
      <c r="BT707" s="747"/>
      <c r="BU707" s="186"/>
      <c r="BV707" s="186"/>
      <c r="BW707" s="12"/>
    </row>
    <row r="708" spans="1:75">
      <c r="A708" s="1" t="s">
        <v>104</v>
      </c>
      <c r="B708" s="1" t="s">
        <v>1146</v>
      </c>
      <c r="C708" s="1" t="s">
        <v>1147</v>
      </c>
      <c r="D708" s="1" t="s">
        <v>1720</v>
      </c>
      <c r="E708" s="1" t="s">
        <v>318</v>
      </c>
      <c r="F708" s="1">
        <v>6.5000000000000002E-2</v>
      </c>
      <c r="G708" s="1">
        <v>2.5500000000000002E-3</v>
      </c>
      <c r="H708" s="1">
        <v>2.62</v>
      </c>
      <c r="I708" s="1" t="s">
        <v>691</v>
      </c>
      <c r="J708" s="1" t="s">
        <v>105</v>
      </c>
      <c r="AI708" s="757"/>
      <c r="AJ708" s="689" t="s">
        <v>2817</v>
      </c>
      <c r="AK708" s="686" t="s">
        <v>2496</v>
      </c>
      <c r="AL708" s="687" t="s">
        <v>2669</v>
      </c>
      <c r="AM708" s="687" t="s">
        <v>1730</v>
      </c>
      <c r="AN708" s="762" t="s">
        <v>1730</v>
      </c>
      <c r="AO708" s="686">
        <v>2.5000000000000001E-2</v>
      </c>
      <c r="AP708" s="686">
        <v>0</v>
      </c>
      <c r="AQ708" s="688">
        <v>2.3199999999999998</v>
      </c>
      <c r="AR708" s="685" t="s">
        <v>2818</v>
      </c>
      <c r="AS708" s="686" t="s">
        <v>2496</v>
      </c>
      <c r="AT708" s="687" t="s">
        <v>2669</v>
      </c>
      <c r="AU708" s="687" t="s">
        <v>1730</v>
      </c>
      <c r="AV708" s="762" t="s">
        <v>1730</v>
      </c>
      <c r="AW708" s="686">
        <v>2.5000000000000001E-2</v>
      </c>
      <c r="AX708" s="686">
        <v>0</v>
      </c>
      <c r="AY708" s="688">
        <v>3</v>
      </c>
      <c r="AZ708" s="11" t="s">
        <v>2115</v>
      </c>
      <c r="BA708" s="186" t="s">
        <v>1709</v>
      </c>
      <c r="BB708" s="747" t="s">
        <v>2145</v>
      </c>
      <c r="BC708" s="747" t="s">
        <v>517</v>
      </c>
      <c r="BD708" s="747" t="s">
        <v>1730</v>
      </c>
      <c r="BE708" s="186">
        <v>7.0000000000000007E-2</v>
      </c>
      <c r="BF708" s="186">
        <v>1.2999999999999999E-2</v>
      </c>
      <c r="BG708" s="12">
        <v>2.58</v>
      </c>
      <c r="BH708" s="11"/>
      <c r="BI708" s="186"/>
      <c r="BJ708" s="747"/>
      <c r="BK708" s="747"/>
      <c r="BL708" s="747"/>
      <c r="BM708" s="186"/>
      <c r="BN708" s="186"/>
      <c r="BO708" s="12"/>
      <c r="BP708" s="11"/>
      <c r="BQ708" s="186"/>
      <c r="BR708" s="747"/>
      <c r="BS708" s="747"/>
      <c r="BT708" s="747"/>
      <c r="BU708" s="186"/>
      <c r="BV708" s="186"/>
      <c r="BW708" s="12"/>
    </row>
    <row r="709" spans="1:75">
      <c r="A709" s="1" t="s">
        <v>106</v>
      </c>
      <c r="B709" s="1" t="s">
        <v>1146</v>
      </c>
      <c r="C709" s="1" t="s">
        <v>1147</v>
      </c>
      <c r="D709" s="1" t="s">
        <v>1720</v>
      </c>
      <c r="E709" s="1" t="s">
        <v>319</v>
      </c>
      <c r="F709" s="1">
        <v>0.19500000000000001</v>
      </c>
      <c r="G709" s="1">
        <v>1.2750000000000001E-2</v>
      </c>
      <c r="H709" s="1">
        <v>2.62</v>
      </c>
      <c r="I709" s="1" t="s">
        <v>963</v>
      </c>
      <c r="J709" s="1" t="s">
        <v>515</v>
      </c>
      <c r="AI709" s="757"/>
      <c r="AJ709" s="689" t="s">
        <v>2719</v>
      </c>
      <c r="AK709" s="686" t="s">
        <v>2496</v>
      </c>
      <c r="AL709" s="687" t="s">
        <v>2670</v>
      </c>
      <c r="AM709" s="687" t="s">
        <v>1730</v>
      </c>
      <c r="AN709" s="762" t="s">
        <v>1730</v>
      </c>
      <c r="AO709" s="686">
        <v>1.2500000000000001E-2</v>
      </c>
      <c r="AP709" s="686">
        <v>0</v>
      </c>
      <c r="AQ709" s="688">
        <v>2.3199999999999998</v>
      </c>
      <c r="AR709" s="685" t="s">
        <v>2816</v>
      </c>
      <c r="AS709" s="686" t="s">
        <v>2496</v>
      </c>
      <c r="AT709" s="687" t="s">
        <v>2670</v>
      </c>
      <c r="AU709" s="687" t="s">
        <v>1730</v>
      </c>
      <c r="AV709" s="762" t="s">
        <v>1730</v>
      </c>
      <c r="AW709" s="686">
        <v>1.2500000000000001E-2</v>
      </c>
      <c r="AX709" s="686">
        <v>0</v>
      </c>
      <c r="AY709" s="688">
        <v>3</v>
      </c>
      <c r="AZ709" s="11" t="s">
        <v>2115</v>
      </c>
      <c r="BA709" s="186" t="s">
        <v>1709</v>
      </c>
      <c r="BB709" s="747" t="s">
        <v>2146</v>
      </c>
      <c r="BC709" s="747" t="s">
        <v>517</v>
      </c>
      <c r="BD709" s="747" t="s">
        <v>1730</v>
      </c>
      <c r="BE709" s="186">
        <v>7.0000000000000007E-2</v>
      </c>
      <c r="BF709" s="186">
        <v>1.2999999999999999E-2</v>
      </c>
      <c r="BG709" s="12">
        <v>2.58</v>
      </c>
      <c r="BH709" s="11"/>
      <c r="BI709" s="186"/>
      <c r="BJ709" s="747"/>
      <c r="BK709" s="747"/>
      <c r="BL709" s="747"/>
      <c r="BM709" s="186"/>
      <c r="BN709" s="186"/>
      <c r="BO709" s="12"/>
      <c r="BP709" s="11"/>
      <c r="BQ709" s="186"/>
      <c r="BR709" s="747"/>
      <c r="BS709" s="747"/>
      <c r="BT709" s="747"/>
      <c r="BU709" s="186"/>
      <c r="BV709" s="186"/>
      <c r="BW709" s="12"/>
    </row>
    <row r="710" spans="1:75">
      <c r="A710" s="1" t="s">
        <v>107</v>
      </c>
      <c r="B710" s="1" t="s">
        <v>1146</v>
      </c>
      <c r="C710" s="1" t="s">
        <v>1147</v>
      </c>
      <c r="D710" s="1" t="s">
        <v>1720</v>
      </c>
      <c r="E710" s="1" t="s">
        <v>320</v>
      </c>
      <c r="F710" s="1">
        <v>0.19500000000000001</v>
      </c>
      <c r="G710" s="1">
        <v>1.2750000000000001E-2</v>
      </c>
      <c r="H710" s="1">
        <v>2.62</v>
      </c>
      <c r="I710" s="1" t="s">
        <v>691</v>
      </c>
      <c r="J710" s="1" t="s">
        <v>697</v>
      </c>
      <c r="AI710" s="757"/>
      <c r="AJ710" s="689" t="s">
        <v>2815</v>
      </c>
      <c r="AK710" s="686" t="s">
        <v>2496</v>
      </c>
      <c r="AL710" s="687" t="s">
        <v>2671</v>
      </c>
      <c r="AM710" s="687" t="s">
        <v>1180</v>
      </c>
      <c r="AN710" s="762" t="s">
        <v>1730</v>
      </c>
      <c r="AO710" s="686">
        <v>3.7499999999999999E-2</v>
      </c>
      <c r="AP710" s="686">
        <v>0</v>
      </c>
      <c r="AQ710" s="688">
        <v>2.3199999999999998</v>
      </c>
      <c r="AR710" s="685" t="s">
        <v>2816</v>
      </c>
      <c r="AS710" s="686" t="s">
        <v>2496</v>
      </c>
      <c r="AT710" s="687" t="s">
        <v>2671</v>
      </c>
      <c r="AU710" s="687" t="s">
        <v>1180</v>
      </c>
      <c r="AV710" s="762" t="s">
        <v>1730</v>
      </c>
      <c r="AW710" s="686">
        <v>3.7499999999999999E-2</v>
      </c>
      <c r="AX710" s="686">
        <v>0</v>
      </c>
      <c r="AY710" s="688">
        <v>3</v>
      </c>
      <c r="AZ710" s="11" t="s">
        <v>2115</v>
      </c>
      <c r="BA710" s="186" t="s">
        <v>1709</v>
      </c>
      <c r="BB710" s="747" t="s">
        <v>2147</v>
      </c>
      <c r="BC710" s="747" t="s">
        <v>517</v>
      </c>
      <c r="BD710" s="747" t="s">
        <v>1730</v>
      </c>
      <c r="BE710" s="186">
        <v>7.0000000000000007E-2</v>
      </c>
      <c r="BF710" s="186">
        <v>1.2999999999999999E-2</v>
      </c>
      <c r="BG710" s="12">
        <v>2.58</v>
      </c>
      <c r="BH710" s="11"/>
      <c r="BI710" s="186"/>
      <c r="BJ710" s="747"/>
      <c r="BK710" s="747"/>
      <c r="BL710" s="747"/>
      <c r="BM710" s="186"/>
      <c r="BN710" s="186"/>
      <c r="BO710" s="12"/>
      <c r="BP710" s="11"/>
      <c r="BQ710" s="186"/>
      <c r="BR710" s="747"/>
      <c r="BS710" s="747"/>
      <c r="BT710" s="747"/>
      <c r="BU710" s="186"/>
      <c r="BV710" s="186"/>
      <c r="BW710" s="12"/>
    </row>
    <row r="711" spans="1:75">
      <c r="A711" s="1" t="s">
        <v>108</v>
      </c>
      <c r="B711" s="1" t="s">
        <v>1146</v>
      </c>
      <c r="C711" s="1" t="s">
        <v>1147</v>
      </c>
      <c r="D711" s="1" t="s">
        <v>1720</v>
      </c>
      <c r="E711" s="1" t="s">
        <v>321</v>
      </c>
      <c r="F711" s="1">
        <v>0.13</v>
      </c>
      <c r="G711" s="1">
        <v>8.5000000000000006E-3</v>
      </c>
      <c r="H711" s="1">
        <v>2.62</v>
      </c>
      <c r="I711" s="1" t="s">
        <v>963</v>
      </c>
      <c r="J711" s="1" t="s">
        <v>516</v>
      </c>
      <c r="AI711" s="757"/>
      <c r="AJ711" s="689" t="s">
        <v>2815</v>
      </c>
      <c r="AK711" s="686" t="s">
        <v>2496</v>
      </c>
      <c r="AL711" s="687" t="s">
        <v>2672</v>
      </c>
      <c r="AM711" s="687" t="s">
        <v>1180</v>
      </c>
      <c r="AN711" s="762" t="s">
        <v>1730</v>
      </c>
      <c r="AO711" s="686">
        <v>3.7499999999999999E-2</v>
      </c>
      <c r="AP711" s="686">
        <v>0</v>
      </c>
      <c r="AQ711" s="688">
        <v>2.3199999999999998</v>
      </c>
      <c r="AR711" s="685" t="s">
        <v>2818</v>
      </c>
      <c r="AS711" s="686" t="s">
        <v>2496</v>
      </c>
      <c r="AT711" s="687" t="s">
        <v>2672</v>
      </c>
      <c r="AU711" s="687" t="s">
        <v>1180</v>
      </c>
      <c r="AV711" s="762" t="s">
        <v>1730</v>
      </c>
      <c r="AW711" s="686">
        <v>3.7499999999999999E-2</v>
      </c>
      <c r="AX711" s="686">
        <v>0</v>
      </c>
      <c r="AY711" s="688">
        <v>3</v>
      </c>
      <c r="AZ711" s="11" t="s">
        <v>2115</v>
      </c>
      <c r="BA711" s="186" t="s">
        <v>1710</v>
      </c>
      <c r="BB711" s="747" t="s">
        <v>2148</v>
      </c>
      <c r="BC711" s="747" t="s">
        <v>1730</v>
      </c>
      <c r="BD711" s="747" t="s">
        <v>247</v>
      </c>
      <c r="BE711" s="186">
        <v>0.14000000000000001</v>
      </c>
      <c r="BF711" s="186">
        <v>1.2999999999999999E-2</v>
      </c>
      <c r="BG711" s="12">
        <v>2.58</v>
      </c>
      <c r="BH711" s="11"/>
      <c r="BI711" s="186"/>
      <c r="BJ711" s="747"/>
      <c r="BK711" s="747"/>
      <c r="BL711" s="747"/>
      <c r="BM711" s="186"/>
      <c r="BN711" s="186"/>
      <c r="BO711" s="12"/>
      <c r="BP711" s="11"/>
      <c r="BQ711" s="186"/>
      <c r="BR711" s="747"/>
      <c r="BS711" s="747"/>
      <c r="BT711" s="747"/>
      <c r="BU711" s="186"/>
      <c r="BV711" s="186"/>
      <c r="BW711" s="12"/>
    </row>
    <row r="712" spans="1:75">
      <c r="A712" s="1" t="s">
        <v>109</v>
      </c>
      <c r="B712" s="1" t="s">
        <v>1146</v>
      </c>
      <c r="C712" s="1" t="s">
        <v>1147</v>
      </c>
      <c r="D712" s="1" t="s">
        <v>1720</v>
      </c>
      <c r="E712" s="1" t="s">
        <v>322</v>
      </c>
      <c r="F712" s="1">
        <v>0.13</v>
      </c>
      <c r="G712" s="1">
        <v>8.5000000000000006E-3</v>
      </c>
      <c r="H712" s="1">
        <v>2.62</v>
      </c>
      <c r="I712" s="1" t="s">
        <v>691</v>
      </c>
      <c r="J712" s="1" t="s">
        <v>700</v>
      </c>
      <c r="AI712" s="757"/>
      <c r="AJ712" s="689" t="s">
        <v>2719</v>
      </c>
      <c r="AK712" s="686" t="s">
        <v>2496</v>
      </c>
      <c r="AL712" s="687" t="s">
        <v>2673</v>
      </c>
      <c r="AM712" s="687" t="s">
        <v>1180</v>
      </c>
      <c r="AN712" s="762" t="s">
        <v>1730</v>
      </c>
      <c r="AO712" s="686">
        <v>3.7499999999999999E-2</v>
      </c>
      <c r="AP712" s="686">
        <v>0</v>
      </c>
      <c r="AQ712" s="688">
        <v>2.3199999999999998</v>
      </c>
      <c r="AR712" s="685" t="s">
        <v>2720</v>
      </c>
      <c r="AS712" s="686" t="s">
        <v>2496</v>
      </c>
      <c r="AT712" s="687" t="s">
        <v>2673</v>
      </c>
      <c r="AU712" s="687" t="s">
        <v>1180</v>
      </c>
      <c r="AV712" s="762" t="s">
        <v>1730</v>
      </c>
      <c r="AW712" s="686">
        <v>3.7499999999999999E-2</v>
      </c>
      <c r="AX712" s="686">
        <v>0</v>
      </c>
      <c r="AY712" s="688">
        <v>3</v>
      </c>
      <c r="AZ712" s="11" t="s">
        <v>2115</v>
      </c>
      <c r="BA712" s="186" t="s">
        <v>1710</v>
      </c>
      <c r="BB712" s="747" t="s">
        <v>2149</v>
      </c>
      <c r="BC712" s="747" t="s">
        <v>1730</v>
      </c>
      <c r="BD712" s="747" t="s">
        <v>247</v>
      </c>
      <c r="BE712" s="186">
        <v>0.14000000000000001</v>
      </c>
      <c r="BF712" s="186">
        <v>1.2999999999999999E-2</v>
      </c>
      <c r="BG712" s="12">
        <v>2.58</v>
      </c>
      <c r="BH712" s="11"/>
      <c r="BI712" s="186"/>
      <c r="BJ712" s="747"/>
      <c r="BK712" s="747"/>
      <c r="BL712" s="747"/>
      <c r="BM712" s="186"/>
      <c r="BN712" s="186"/>
      <c r="BO712" s="12"/>
      <c r="BP712" s="11"/>
      <c r="BQ712" s="186"/>
      <c r="BR712" s="747"/>
      <c r="BS712" s="747"/>
      <c r="BT712" s="747"/>
      <c r="BU712" s="186"/>
      <c r="BV712" s="186"/>
      <c r="BW712" s="12"/>
    </row>
    <row r="713" spans="1:75">
      <c r="A713" s="1" t="s">
        <v>110</v>
      </c>
      <c r="B713" s="1" t="s">
        <v>1146</v>
      </c>
      <c r="C713" s="1" t="s">
        <v>1147</v>
      </c>
      <c r="D713" s="1" t="s">
        <v>1720</v>
      </c>
      <c r="E713" s="1" t="s">
        <v>323</v>
      </c>
      <c r="F713" s="1">
        <v>6.5000000000000002E-2</v>
      </c>
      <c r="G713" s="1">
        <v>4.2500000000000003E-3</v>
      </c>
      <c r="H713" s="1">
        <v>2.62</v>
      </c>
      <c r="I713" s="1" t="s">
        <v>1163</v>
      </c>
      <c r="J713" s="1" t="s">
        <v>517</v>
      </c>
      <c r="AI713" s="757"/>
      <c r="AJ713" s="689" t="s">
        <v>2817</v>
      </c>
      <c r="AK713" s="686" t="s">
        <v>2496</v>
      </c>
      <c r="AL713" s="687" t="s">
        <v>2674</v>
      </c>
      <c r="AM713" s="687" t="s">
        <v>277</v>
      </c>
      <c r="AN713" s="762" t="s">
        <v>1730</v>
      </c>
      <c r="AO713" s="686">
        <v>2.5000000000000001E-2</v>
      </c>
      <c r="AP713" s="686">
        <v>0</v>
      </c>
      <c r="AQ713" s="688">
        <v>2.3199999999999998</v>
      </c>
      <c r="AR713" s="685" t="s">
        <v>2818</v>
      </c>
      <c r="AS713" s="686" t="s">
        <v>2496</v>
      </c>
      <c r="AT713" s="687" t="s">
        <v>2674</v>
      </c>
      <c r="AU713" s="687" t="s">
        <v>277</v>
      </c>
      <c r="AV713" s="762" t="s">
        <v>1730</v>
      </c>
      <c r="AW713" s="686">
        <v>2.5000000000000001E-2</v>
      </c>
      <c r="AX713" s="686">
        <v>0</v>
      </c>
      <c r="AY713" s="688">
        <v>3</v>
      </c>
      <c r="AZ713" s="11" t="s">
        <v>2115</v>
      </c>
      <c r="BA713" s="186" t="s">
        <v>1710</v>
      </c>
      <c r="BB713" s="747" t="s">
        <v>2150</v>
      </c>
      <c r="BC713" s="747" t="s">
        <v>1730</v>
      </c>
      <c r="BD713" s="747" t="s">
        <v>247</v>
      </c>
      <c r="BE713" s="186">
        <v>7.0000000000000007E-2</v>
      </c>
      <c r="BF713" s="186">
        <v>6.4999999999999997E-3</v>
      </c>
      <c r="BG713" s="12">
        <v>2.58</v>
      </c>
      <c r="BH713" s="11"/>
      <c r="BI713" s="186"/>
      <c r="BJ713" s="747"/>
      <c r="BK713" s="747"/>
      <c r="BL713" s="747"/>
      <c r="BM713" s="186"/>
      <c r="BN713" s="186"/>
      <c r="BO713" s="12"/>
      <c r="BP713" s="11"/>
      <c r="BQ713" s="186"/>
      <c r="BR713" s="747"/>
      <c r="BS713" s="747"/>
      <c r="BT713" s="747"/>
      <c r="BU713" s="186"/>
      <c r="BV713" s="186"/>
      <c r="BW713" s="12"/>
    </row>
    <row r="714" spans="1:75">
      <c r="A714" s="1" t="s">
        <v>111</v>
      </c>
      <c r="B714" s="1" t="s">
        <v>1146</v>
      </c>
      <c r="C714" s="1" t="s">
        <v>1147</v>
      </c>
      <c r="D714" s="1" t="s">
        <v>1720</v>
      </c>
      <c r="E714" s="1" t="s">
        <v>324</v>
      </c>
      <c r="F714" s="1">
        <v>6.5000000000000002E-2</v>
      </c>
      <c r="G714" s="1">
        <v>4.2500000000000003E-3</v>
      </c>
      <c r="H714" s="1">
        <v>2.62</v>
      </c>
      <c r="I714" s="1" t="s">
        <v>691</v>
      </c>
      <c r="J714" s="1" t="s">
        <v>703</v>
      </c>
      <c r="AI714" s="757"/>
      <c r="AJ714" s="689" t="s">
        <v>2817</v>
      </c>
      <c r="AK714" s="686" t="s">
        <v>2496</v>
      </c>
      <c r="AL714" s="687" t="s">
        <v>2675</v>
      </c>
      <c r="AM714" s="687" t="s">
        <v>277</v>
      </c>
      <c r="AN714" s="762" t="s">
        <v>1730</v>
      </c>
      <c r="AO714" s="686">
        <v>2.5000000000000001E-2</v>
      </c>
      <c r="AP714" s="686">
        <v>0</v>
      </c>
      <c r="AQ714" s="688">
        <v>2.3199999999999998</v>
      </c>
      <c r="AR714" s="685" t="s">
        <v>2816</v>
      </c>
      <c r="AS714" s="686" t="s">
        <v>2496</v>
      </c>
      <c r="AT714" s="687" t="s">
        <v>2675</v>
      </c>
      <c r="AU714" s="687" t="s">
        <v>277</v>
      </c>
      <c r="AV714" s="762" t="s">
        <v>1730</v>
      </c>
      <c r="AW714" s="686">
        <v>2.5000000000000001E-2</v>
      </c>
      <c r="AX714" s="686">
        <v>0</v>
      </c>
      <c r="AY714" s="688">
        <v>3</v>
      </c>
      <c r="AZ714" s="11" t="s">
        <v>2115</v>
      </c>
      <c r="BA714" s="186" t="s">
        <v>1710</v>
      </c>
      <c r="BB714" s="747" t="s">
        <v>2151</v>
      </c>
      <c r="BC714" s="747" t="s">
        <v>1730</v>
      </c>
      <c r="BD714" s="747" t="s">
        <v>247</v>
      </c>
      <c r="BE714" s="186">
        <v>7.0000000000000007E-2</v>
      </c>
      <c r="BF714" s="186">
        <v>6.4999999999999997E-3</v>
      </c>
      <c r="BG714" s="12">
        <v>2.58</v>
      </c>
      <c r="BH714" s="11"/>
      <c r="BI714" s="186"/>
      <c r="BJ714" s="747"/>
      <c r="BK714" s="747"/>
      <c r="BL714" s="747"/>
      <c r="BM714" s="186"/>
      <c r="BN714" s="186"/>
      <c r="BO714" s="12"/>
      <c r="BP714" s="11"/>
      <c r="BQ714" s="186"/>
      <c r="BR714" s="747"/>
      <c r="BS714" s="747"/>
      <c r="BT714" s="747"/>
      <c r="BU714" s="186"/>
      <c r="BV714" s="186"/>
      <c r="BW714" s="12"/>
    </row>
    <row r="715" spans="1:75">
      <c r="A715" s="1" t="s">
        <v>112</v>
      </c>
      <c r="B715" s="1" t="s">
        <v>1146</v>
      </c>
      <c r="C715" s="1" t="s">
        <v>1147</v>
      </c>
      <c r="D715" s="1" t="s">
        <v>1720</v>
      </c>
      <c r="E715" s="1" t="s">
        <v>325</v>
      </c>
      <c r="F715" s="1">
        <v>0.26</v>
      </c>
      <c r="G715" s="1">
        <v>4.2500000000000003E-3</v>
      </c>
      <c r="H715" s="1">
        <v>2.62</v>
      </c>
      <c r="I715" s="1" t="s">
        <v>1163</v>
      </c>
      <c r="J715" s="1" t="s">
        <v>74</v>
      </c>
      <c r="AI715" s="757"/>
      <c r="AJ715" s="689" t="s">
        <v>2817</v>
      </c>
      <c r="AK715" s="686" t="s">
        <v>2496</v>
      </c>
      <c r="AL715" s="687" t="s">
        <v>2676</v>
      </c>
      <c r="AM715" s="687" t="s">
        <v>277</v>
      </c>
      <c r="AN715" s="762" t="s">
        <v>1730</v>
      </c>
      <c r="AO715" s="686">
        <v>2.5000000000000001E-2</v>
      </c>
      <c r="AP715" s="686">
        <v>0</v>
      </c>
      <c r="AQ715" s="688">
        <v>2.3199999999999998</v>
      </c>
      <c r="AR715" s="685" t="s">
        <v>2816</v>
      </c>
      <c r="AS715" s="686" t="s">
        <v>2496</v>
      </c>
      <c r="AT715" s="687" t="s">
        <v>2676</v>
      </c>
      <c r="AU715" s="687" t="s">
        <v>277</v>
      </c>
      <c r="AV715" s="762" t="s">
        <v>1730</v>
      </c>
      <c r="AW715" s="686">
        <v>2.5000000000000001E-2</v>
      </c>
      <c r="AX715" s="686">
        <v>0</v>
      </c>
      <c r="AY715" s="688">
        <v>3</v>
      </c>
      <c r="AZ715" s="11" t="s">
        <v>2115</v>
      </c>
      <c r="BA715" s="186" t="s">
        <v>1710</v>
      </c>
      <c r="BB715" s="747" t="s">
        <v>1546</v>
      </c>
      <c r="BC715" s="747" t="s">
        <v>1730</v>
      </c>
      <c r="BD715" s="747" t="s">
        <v>247</v>
      </c>
      <c r="BE715" s="186">
        <v>3.5000000000000003E-2</v>
      </c>
      <c r="BF715" s="186">
        <v>3.2499999999999999E-3</v>
      </c>
      <c r="BG715" s="12">
        <v>2.58</v>
      </c>
      <c r="BH715" s="11"/>
      <c r="BI715" s="186"/>
      <c r="BJ715" s="747"/>
      <c r="BK715" s="747"/>
      <c r="BL715" s="747"/>
      <c r="BM715" s="186"/>
      <c r="BN715" s="186"/>
      <c r="BO715" s="12"/>
      <c r="BP715" s="11"/>
      <c r="BQ715" s="186"/>
      <c r="BR715" s="747"/>
      <c r="BS715" s="747"/>
      <c r="BT715" s="747"/>
      <c r="BU715" s="186"/>
      <c r="BV715" s="186"/>
      <c r="BW715" s="12"/>
    </row>
    <row r="716" spans="1:75">
      <c r="A716" s="1" t="s">
        <v>113</v>
      </c>
      <c r="B716" s="1" t="s">
        <v>1146</v>
      </c>
      <c r="C716" s="1" t="s">
        <v>1147</v>
      </c>
      <c r="D716" s="1" t="s">
        <v>1720</v>
      </c>
      <c r="E716" s="1" t="s">
        <v>326</v>
      </c>
      <c r="F716" s="1">
        <v>0.13</v>
      </c>
      <c r="G716" s="1">
        <v>4.2500000000000003E-3</v>
      </c>
      <c r="H716" s="1">
        <v>2.62</v>
      </c>
      <c r="I716" s="1" t="s">
        <v>691</v>
      </c>
      <c r="J716" s="1" t="s">
        <v>76</v>
      </c>
      <c r="AI716" s="757"/>
      <c r="AJ716" s="689" t="s">
        <v>2815</v>
      </c>
      <c r="AK716" s="686" t="s">
        <v>2496</v>
      </c>
      <c r="AL716" s="687" t="s">
        <v>2677</v>
      </c>
      <c r="AM716" s="687" t="s">
        <v>2482</v>
      </c>
      <c r="AN716" s="762" t="s">
        <v>1730</v>
      </c>
      <c r="AO716" s="686">
        <v>1.2500000000000001E-2</v>
      </c>
      <c r="AP716" s="686">
        <v>0</v>
      </c>
      <c r="AQ716" s="688">
        <v>2.3199999999999998</v>
      </c>
      <c r="AR716" s="685" t="s">
        <v>2816</v>
      </c>
      <c r="AS716" s="686" t="s">
        <v>2496</v>
      </c>
      <c r="AT716" s="687" t="s">
        <v>2677</v>
      </c>
      <c r="AU716" s="687" t="s">
        <v>2482</v>
      </c>
      <c r="AV716" s="762" t="s">
        <v>1730</v>
      </c>
      <c r="AW716" s="686">
        <v>1.2500000000000001E-2</v>
      </c>
      <c r="AX716" s="686">
        <v>0</v>
      </c>
      <c r="AY716" s="688">
        <v>3</v>
      </c>
      <c r="AZ716" s="11" t="s">
        <v>2115</v>
      </c>
      <c r="BA716" s="186" t="s">
        <v>1710</v>
      </c>
      <c r="BB716" s="747" t="s">
        <v>1547</v>
      </c>
      <c r="BC716" s="747" t="s">
        <v>1730</v>
      </c>
      <c r="BD716" s="747" t="s">
        <v>247</v>
      </c>
      <c r="BE716" s="186">
        <v>3.5000000000000003E-2</v>
      </c>
      <c r="BF716" s="186">
        <v>3.2499999999999999E-3</v>
      </c>
      <c r="BG716" s="12">
        <v>2.58</v>
      </c>
      <c r="BH716" s="11"/>
      <c r="BI716" s="186"/>
      <c r="BJ716" s="747"/>
      <c r="BK716" s="747"/>
      <c r="BL716" s="747"/>
      <c r="BM716" s="186"/>
      <c r="BN716" s="186"/>
      <c r="BO716" s="12"/>
      <c r="BP716" s="11"/>
      <c r="BQ716" s="186"/>
      <c r="BR716" s="747"/>
      <c r="BS716" s="747"/>
      <c r="BT716" s="747"/>
      <c r="BU716" s="186"/>
      <c r="BV716" s="186"/>
      <c r="BW716" s="12"/>
    </row>
    <row r="717" spans="1:75">
      <c r="A717" s="1" t="s">
        <v>114</v>
      </c>
      <c r="B717" s="1" t="s">
        <v>1146</v>
      </c>
      <c r="C717" s="1" t="s">
        <v>1147</v>
      </c>
      <c r="D717" s="1" t="s">
        <v>1720</v>
      </c>
      <c r="E717" s="1" t="s">
        <v>327</v>
      </c>
      <c r="F717" s="1">
        <v>0.26</v>
      </c>
      <c r="G717" s="1">
        <v>2.5500000000000002E-3</v>
      </c>
      <c r="H717" s="1">
        <v>2.62</v>
      </c>
      <c r="I717" s="1" t="s">
        <v>78</v>
      </c>
      <c r="J717" s="1" t="s">
        <v>79</v>
      </c>
      <c r="AI717" s="757"/>
      <c r="AJ717" s="689" t="s">
        <v>2719</v>
      </c>
      <c r="AK717" s="686" t="s">
        <v>2496</v>
      </c>
      <c r="AL717" s="687" t="s">
        <v>2678</v>
      </c>
      <c r="AM717" s="687" t="s">
        <v>2482</v>
      </c>
      <c r="AN717" s="762" t="s">
        <v>1730</v>
      </c>
      <c r="AO717" s="686">
        <v>1.2500000000000001E-2</v>
      </c>
      <c r="AP717" s="686">
        <v>0</v>
      </c>
      <c r="AQ717" s="688">
        <v>2.3199999999999998</v>
      </c>
      <c r="AR717" s="685" t="s">
        <v>2816</v>
      </c>
      <c r="AS717" s="686" t="s">
        <v>2496</v>
      </c>
      <c r="AT717" s="687" t="s">
        <v>2678</v>
      </c>
      <c r="AU717" s="687" t="s">
        <v>2482</v>
      </c>
      <c r="AV717" s="762" t="s">
        <v>1730</v>
      </c>
      <c r="AW717" s="686">
        <v>1.2500000000000001E-2</v>
      </c>
      <c r="AX717" s="686">
        <v>0</v>
      </c>
      <c r="AY717" s="688">
        <v>3</v>
      </c>
      <c r="AZ717" s="11" t="s">
        <v>2115</v>
      </c>
      <c r="BA717" s="186" t="s">
        <v>1710</v>
      </c>
      <c r="BB717" s="747" t="s">
        <v>2152</v>
      </c>
      <c r="BC717" s="747" t="s">
        <v>519</v>
      </c>
      <c r="BD717" s="747" t="s">
        <v>247</v>
      </c>
      <c r="BE717" s="186">
        <v>7.0000000000000007E-2</v>
      </c>
      <c r="BF717" s="186">
        <v>6.4999999999999997E-3</v>
      </c>
      <c r="BG717" s="12">
        <v>2.58</v>
      </c>
      <c r="BH717" s="11"/>
      <c r="BI717" s="186"/>
      <c r="BJ717" s="747"/>
      <c r="BK717" s="747"/>
      <c r="BL717" s="747"/>
      <c r="BM717" s="186"/>
      <c r="BN717" s="186"/>
      <c r="BO717" s="12"/>
      <c r="BP717" s="11"/>
      <c r="BQ717" s="186"/>
      <c r="BR717" s="747"/>
      <c r="BS717" s="747"/>
      <c r="BT717" s="747"/>
      <c r="BU717" s="186"/>
      <c r="BV717" s="186"/>
      <c r="BW717" s="12"/>
    </row>
    <row r="718" spans="1:75">
      <c r="A718" s="1" t="s">
        <v>115</v>
      </c>
      <c r="B718" s="1" t="s">
        <v>1146</v>
      </c>
      <c r="C718" s="1" t="s">
        <v>1147</v>
      </c>
      <c r="D718" s="1" t="s">
        <v>1720</v>
      </c>
      <c r="E718" s="1" t="s">
        <v>328</v>
      </c>
      <c r="F718" s="1">
        <v>0.13</v>
      </c>
      <c r="G718" s="1">
        <v>2.5500000000000002E-3</v>
      </c>
      <c r="H718" s="1">
        <v>2.62</v>
      </c>
      <c r="I718" s="1" t="s">
        <v>691</v>
      </c>
      <c r="J718" s="1" t="s">
        <v>81</v>
      </c>
      <c r="AI718" s="757"/>
      <c r="AJ718" s="689" t="s">
        <v>2815</v>
      </c>
      <c r="AK718" s="686" t="s">
        <v>2496</v>
      </c>
      <c r="AL718" s="687" t="s">
        <v>2679</v>
      </c>
      <c r="AM718" s="687" t="s">
        <v>2482</v>
      </c>
      <c r="AN718" s="762" t="s">
        <v>1730</v>
      </c>
      <c r="AO718" s="686">
        <v>1.2500000000000001E-2</v>
      </c>
      <c r="AP718" s="686">
        <v>0</v>
      </c>
      <c r="AQ718" s="688">
        <v>2.3199999999999998</v>
      </c>
      <c r="AR718" s="685" t="s">
        <v>2818</v>
      </c>
      <c r="AS718" s="686" t="s">
        <v>2496</v>
      </c>
      <c r="AT718" s="687" t="s">
        <v>2679</v>
      </c>
      <c r="AU718" s="687" t="s">
        <v>2482</v>
      </c>
      <c r="AV718" s="762" t="s">
        <v>1730</v>
      </c>
      <c r="AW718" s="686">
        <v>1.2500000000000001E-2</v>
      </c>
      <c r="AX718" s="686">
        <v>0</v>
      </c>
      <c r="AY718" s="688">
        <v>3</v>
      </c>
      <c r="AZ718" s="11" t="s">
        <v>2115</v>
      </c>
      <c r="BA718" s="186" t="s">
        <v>1710</v>
      </c>
      <c r="BB718" s="747" t="s">
        <v>2153</v>
      </c>
      <c r="BC718" s="747" t="s">
        <v>519</v>
      </c>
      <c r="BD718" s="747" t="s">
        <v>247</v>
      </c>
      <c r="BE718" s="186">
        <v>7.0000000000000007E-2</v>
      </c>
      <c r="BF718" s="186">
        <v>6.4999999999999997E-3</v>
      </c>
      <c r="BG718" s="12">
        <v>2.58</v>
      </c>
      <c r="BH718" s="11"/>
      <c r="BI718" s="186"/>
      <c r="BJ718" s="747"/>
      <c r="BK718" s="747"/>
      <c r="BL718" s="747"/>
      <c r="BM718" s="186"/>
      <c r="BN718" s="186"/>
      <c r="BO718" s="12"/>
      <c r="BP718" s="11"/>
      <c r="BQ718" s="186"/>
      <c r="BR718" s="747"/>
      <c r="BS718" s="747"/>
      <c r="BT718" s="747"/>
      <c r="BU718" s="186"/>
      <c r="BV718" s="186"/>
      <c r="BW718" s="12"/>
    </row>
    <row r="719" spans="1:75">
      <c r="A719" s="1" t="s">
        <v>116</v>
      </c>
      <c r="B719" s="1" t="s">
        <v>1146</v>
      </c>
      <c r="C719" s="1" t="s">
        <v>1147</v>
      </c>
      <c r="D719" s="1" t="s">
        <v>1720</v>
      </c>
      <c r="E719" s="1" t="s">
        <v>329</v>
      </c>
      <c r="F719" s="1">
        <v>0.19500000000000001</v>
      </c>
      <c r="G719" s="1">
        <v>4.2500000000000003E-3</v>
      </c>
      <c r="H719" s="1">
        <v>2.62</v>
      </c>
      <c r="I719" s="1" t="s">
        <v>1163</v>
      </c>
      <c r="J719" s="1" t="s">
        <v>83</v>
      </c>
      <c r="AI719" s="757"/>
      <c r="AJ719" s="195"/>
      <c r="AK719" s="186"/>
      <c r="AL719" s="747"/>
      <c r="AM719" s="747"/>
      <c r="AN719" s="747"/>
      <c r="AO719" s="186"/>
      <c r="AP719" s="186"/>
      <c r="AQ719" s="12"/>
      <c r="AR719" s="11"/>
      <c r="AS719" s="186"/>
      <c r="AT719" s="747"/>
      <c r="AU719" s="747"/>
      <c r="AV719" s="747"/>
      <c r="AW719" s="186"/>
      <c r="AX719" s="186"/>
      <c r="AY719" s="12"/>
      <c r="AZ719" s="11" t="s">
        <v>2115</v>
      </c>
      <c r="BA719" s="186" t="s">
        <v>1710</v>
      </c>
      <c r="BB719" s="747" t="s">
        <v>2154</v>
      </c>
      <c r="BC719" s="747" t="s">
        <v>519</v>
      </c>
      <c r="BD719" s="747" t="s">
        <v>247</v>
      </c>
      <c r="BE719" s="186">
        <v>7.0000000000000007E-2</v>
      </c>
      <c r="BF719" s="186">
        <v>6.4999999999999997E-3</v>
      </c>
      <c r="BG719" s="12">
        <v>2.58</v>
      </c>
      <c r="BH719" s="11"/>
      <c r="BI719" s="186"/>
      <c r="BJ719" s="747"/>
      <c r="BK719" s="747"/>
      <c r="BL719" s="747"/>
      <c r="BM719" s="186"/>
      <c r="BN719" s="186"/>
      <c r="BO719" s="12"/>
      <c r="BP719" s="11"/>
      <c r="BQ719" s="186"/>
      <c r="BR719" s="747"/>
      <c r="BS719" s="747"/>
      <c r="BT719" s="747"/>
      <c r="BU719" s="186"/>
      <c r="BV719" s="186"/>
      <c r="BW719" s="12"/>
    </row>
    <row r="720" spans="1:75">
      <c r="A720" s="1" t="s">
        <v>117</v>
      </c>
      <c r="B720" s="1" t="s">
        <v>1146</v>
      </c>
      <c r="C720" s="1" t="s">
        <v>1147</v>
      </c>
      <c r="D720" s="1" t="s">
        <v>1720</v>
      </c>
      <c r="E720" s="1" t="s">
        <v>330</v>
      </c>
      <c r="F720" s="1">
        <v>0.19500000000000001</v>
      </c>
      <c r="G720" s="1">
        <v>4.2500000000000003E-3</v>
      </c>
      <c r="H720" s="1">
        <v>2.62</v>
      </c>
      <c r="I720" s="1" t="s">
        <v>691</v>
      </c>
      <c r="J720" s="1" t="s">
        <v>85</v>
      </c>
      <c r="AI720" s="757"/>
      <c r="AJ720" s="195"/>
      <c r="AK720" s="186"/>
      <c r="AL720" s="747"/>
      <c r="AM720" s="747"/>
      <c r="AN720" s="747"/>
      <c r="AO720" s="186"/>
      <c r="AP720" s="186"/>
      <c r="AQ720" s="12"/>
      <c r="AR720" s="11"/>
      <c r="AS720" s="186"/>
      <c r="AT720" s="747"/>
      <c r="AU720" s="747"/>
      <c r="AV720" s="747"/>
      <c r="AW720" s="186"/>
      <c r="AX720" s="186"/>
      <c r="AY720" s="12"/>
      <c r="AZ720" s="11" t="s">
        <v>2115</v>
      </c>
      <c r="BA720" s="186" t="s">
        <v>1710</v>
      </c>
      <c r="BB720" s="747" t="s">
        <v>2155</v>
      </c>
      <c r="BC720" s="747" t="s">
        <v>519</v>
      </c>
      <c r="BD720" s="747" t="s">
        <v>247</v>
      </c>
      <c r="BE720" s="186">
        <v>7.0000000000000007E-2</v>
      </c>
      <c r="BF720" s="186">
        <v>6.4999999999999997E-3</v>
      </c>
      <c r="BG720" s="12">
        <v>2.58</v>
      </c>
      <c r="BH720" s="11"/>
      <c r="BI720" s="186"/>
      <c r="BJ720" s="747"/>
      <c r="BK720" s="747"/>
      <c r="BL720" s="747"/>
      <c r="BM720" s="186"/>
      <c r="BN720" s="186"/>
      <c r="BO720" s="12"/>
      <c r="BP720" s="11"/>
      <c r="BQ720" s="186"/>
      <c r="BR720" s="747"/>
      <c r="BS720" s="747"/>
      <c r="BT720" s="747"/>
      <c r="BU720" s="186"/>
      <c r="BV720" s="186"/>
      <c r="BW720" s="12"/>
    </row>
    <row r="721" spans="1:75">
      <c r="A721" s="1" t="s">
        <v>118</v>
      </c>
      <c r="B721" s="1" t="s">
        <v>1146</v>
      </c>
      <c r="C721" s="1" t="s">
        <v>1147</v>
      </c>
      <c r="D721" s="1" t="s">
        <v>1720</v>
      </c>
      <c r="E721" s="1" t="s">
        <v>331</v>
      </c>
      <c r="F721" s="1">
        <v>0.19500000000000001</v>
      </c>
      <c r="G721" s="1">
        <v>2.5500000000000002E-3</v>
      </c>
      <c r="H721" s="1">
        <v>2.62</v>
      </c>
      <c r="I721" s="1" t="s">
        <v>78</v>
      </c>
      <c r="J721" s="1" t="s">
        <v>87</v>
      </c>
      <c r="AI721" s="757"/>
      <c r="AJ721" s="195"/>
      <c r="AK721" s="186"/>
      <c r="AL721" s="747"/>
      <c r="AM721" s="747"/>
      <c r="AN721" s="747"/>
      <c r="AO721" s="186"/>
      <c r="AP721" s="186"/>
      <c r="AQ721" s="12"/>
      <c r="AR721" s="11"/>
      <c r="AS721" s="186"/>
      <c r="AT721" s="747"/>
      <c r="AU721" s="747"/>
      <c r="AV721" s="747"/>
      <c r="AW721" s="186"/>
      <c r="AX721" s="253"/>
      <c r="AY721" s="254"/>
      <c r="AZ721" s="11" t="s">
        <v>2115</v>
      </c>
      <c r="BA721" s="186" t="s">
        <v>1710</v>
      </c>
      <c r="BB721" s="747" t="s">
        <v>1548</v>
      </c>
      <c r="BC721" s="747" t="s">
        <v>519</v>
      </c>
      <c r="BD721" s="747" t="s">
        <v>247</v>
      </c>
      <c r="BE721" s="186">
        <v>7.0000000000000007E-2</v>
      </c>
      <c r="BF721" s="186">
        <v>6.4999999999999997E-3</v>
      </c>
      <c r="BG721" s="12">
        <v>2.58</v>
      </c>
      <c r="BH721" s="11"/>
      <c r="BI721" s="186"/>
      <c r="BJ721" s="747"/>
      <c r="BK721" s="747"/>
      <c r="BL721" s="747"/>
      <c r="BM721" s="186"/>
      <c r="BN721" s="186"/>
      <c r="BO721" s="12"/>
      <c r="BP721" s="11"/>
      <c r="BQ721" s="186"/>
      <c r="BR721" s="747"/>
      <c r="BS721" s="747"/>
      <c r="BT721" s="747"/>
      <c r="BU721" s="186"/>
      <c r="BV721" s="186"/>
      <c r="BW721" s="12"/>
    </row>
    <row r="722" spans="1:75">
      <c r="A722" s="1" t="s">
        <v>119</v>
      </c>
      <c r="B722" s="1" t="s">
        <v>1146</v>
      </c>
      <c r="C722" s="1" t="s">
        <v>1147</v>
      </c>
      <c r="D722" s="1" t="s">
        <v>1720</v>
      </c>
      <c r="E722" s="1" t="s">
        <v>332</v>
      </c>
      <c r="F722" s="1">
        <v>0.19500000000000001</v>
      </c>
      <c r="G722" s="1">
        <v>2.5500000000000002E-3</v>
      </c>
      <c r="H722" s="1">
        <v>2.62</v>
      </c>
      <c r="I722" s="1" t="s">
        <v>691</v>
      </c>
      <c r="J722" s="1" t="s">
        <v>89</v>
      </c>
      <c r="AI722" s="757"/>
      <c r="AJ722" s="195"/>
      <c r="AK722" s="186"/>
      <c r="AL722" s="747"/>
      <c r="AM722" s="747"/>
      <c r="AN722" s="747"/>
      <c r="AO722" s="186"/>
      <c r="AP722" s="186"/>
      <c r="AQ722" s="12"/>
      <c r="AR722" s="11"/>
      <c r="AS722" s="186"/>
      <c r="AT722" s="747"/>
      <c r="AU722" s="747"/>
      <c r="AV722" s="747"/>
      <c r="AW722" s="186"/>
      <c r="AX722" s="2"/>
      <c r="AY722" s="255"/>
      <c r="AZ722" s="11" t="s">
        <v>2115</v>
      </c>
      <c r="BA722" s="186" t="s">
        <v>1710</v>
      </c>
      <c r="BB722" s="747" t="s">
        <v>1549</v>
      </c>
      <c r="BC722" s="747" t="s">
        <v>519</v>
      </c>
      <c r="BD722" s="747" t="s">
        <v>247</v>
      </c>
      <c r="BE722" s="186">
        <v>7.0000000000000007E-2</v>
      </c>
      <c r="BF722" s="186">
        <v>6.4999999999999997E-3</v>
      </c>
      <c r="BG722" s="12">
        <v>2.58</v>
      </c>
      <c r="BH722" s="11"/>
      <c r="BI722" s="186"/>
      <c r="BJ722" s="747"/>
      <c r="BK722" s="747"/>
      <c r="BL722" s="747"/>
      <c r="BM722" s="186"/>
      <c r="BN722" s="186"/>
      <c r="BO722" s="12"/>
      <c r="BP722" s="11"/>
      <c r="BQ722" s="186"/>
      <c r="BR722" s="747"/>
      <c r="BS722" s="747"/>
      <c r="BT722" s="747"/>
      <c r="BU722" s="186"/>
      <c r="BV722" s="186"/>
      <c r="BW722" s="12"/>
    </row>
    <row r="723" spans="1:75">
      <c r="A723" s="1" t="s">
        <v>120</v>
      </c>
      <c r="B723" s="1" t="s">
        <v>1146</v>
      </c>
      <c r="C723" s="1" t="s">
        <v>1147</v>
      </c>
      <c r="D723" s="1" t="s">
        <v>1720</v>
      </c>
      <c r="E723" s="1" t="s">
        <v>333</v>
      </c>
      <c r="F723" s="1">
        <v>0.13</v>
      </c>
      <c r="G723" s="1">
        <v>4.2500000000000003E-3</v>
      </c>
      <c r="H723" s="1">
        <v>2.62</v>
      </c>
      <c r="I723" s="1" t="s">
        <v>1163</v>
      </c>
      <c r="J723" s="1" t="s">
        <v>91</v>
      </c>
      <c r="AI723" s="757"/>
      <c r="AJ723" s="195"/>
      <c r="AK723" s="186"/>
      <c r="AL723" s="747"/>
      <c r="AM723" s="747"/>
      <c r="AN723" s="747"/>
      <c r="AO723" s="186"/>
      <c r="AP723" s="186"/>
      <c r="AQ723" s="12"/>
      <c r="AR723" s="11"/>
      <c r="AS723" s="186"/>
      <c r="AT723" s="747"/>
      <c r="AU723" s="747"/>
      <c r="AV723" s="747"/>
      <c r="AW723" s="186"/>
      <c r="AX723" s="2"/>
      <c r="AY723" s="255"/>
      <c r="AZ723" s="11" t="s">
        <v>2115</v>
      </c>
      <c r="BA723" s="186" t="s">
        <v>1710</v>
      </c>
      <c r="BB723" s="747" t="s">
        <v>2156</v>
      </c>
      <c r="BC723" s="747" t="s">
        <v>520</v>
      </c>
      <c r="BD723" s="747" t="s">
        <v>247</v>
      </c>
      <c r="BE723" s="186">
        <v>3.5000000000000003E-2</v>
      </c>
      <c r="BF723" s="186">
        <v>3.2499999999999999E-3</v>
      </c>
      <c r="BG723" s="12">
        <v>2.58</v>
      </c>
      <c r="BH723" s="11"/>
      <c r="BI723" s="186"/>
      <c r="BJ723" s="747"/>
      <c r="BK723" s="747"/>
      <c r="BL723" s="747"/>
      <c r="BM723" s="186"/>
      <c r="BN723" s="186"/>
      <c r="BO723" s="12"/>
      <c r="BP723" s="11"/>
      <c r="BQ723" s="186"/>
      <c r="BR723" s="747"/>
      <c r="BS723" s="747"/>
      <c r="BT723" s="747"/>
      <c r="BU723" s="186"/>
      <c r="BV723" s="186"/>
      <c r="BW723" s="12"/>
    </row>
    <row r="724" spans="1:75">
      <c r="A724" s="1" t="s">
        <v>121</v>
      </c>
      <c r="B724" s="1" t="s">
        <v>1146</v>
      </c>
      <c r="C724" s="1" t="s">
        <v>1147</v>
      </c>
      <c r="D724" s="1" t="s">
        <v>1720</v>
      </c>
      <c r="E724" s="1" t="s">
        <v>334</v>
      </c>
      <c r="F724" s="1">
        <v>0.13</v>
      </c>
      <c r="G724" s="1">
        <v>4.2500000000000003E-3</v>
      </c>
      <c r="H724" s="1">
        <v>2.62</v>
      </c>
      <c r="I724" s="1" t="s">
        <v>691</v>
      </c>
      <c r="J724" s="1" t="s">
        <v>93</v>
      </c>
      <c r="AI724" s="757"/>
      <c r="AJ724" s="195"/>
      <c r="AK724" s="186"/>
      <c r="AL724" s="747"/>
      <c r="AM724" s="747"/>
      <c r="AN724" s="747"/>
      <c r="AO724" s="186"/>
      <c r="AP724" s="186"/>
      <c r="AQ724" s="12"/>
      <c r="AR724" s="11"/>
      <c r="AS724" s="186"/>
      <c r="AT724" s="747"/>
      <c r="AU724" s="747"/>
      <c r="AV724" s="747"/>
      <c r="AW724" s="186"/>
      <c r="AX724" s="2"/>
      <c r="AY724" s="255"/>
      <c r="AZ724" s="11" t="s">
        <v>2115</v>
      </c>
      <c r="BA724" s="186" t="s">
        <v>1710</v>
      </c>
      <c r="BB724" s="747" t="s">
        <v>2157</v>
      </c>
      <c r="BC724" s="747" t="s">
        <v>520</v>
      </c>
      <c r="BD724" s="747" t="s">
        <v>247</v>
      </c>
      <c r="BE724" s="186">
        <v>3.5000000000000003E-2</v>
      </c>
      <c r="BF724" s="186">
        <v>3.2499999999999999E-3</v>
      </c>
      <c r="BG724" s="12">
        <v>2.58</v>
      </c>
      <c r="BH724" s="11"/>
      <c r="BI724" s="186"/>
      <c r="BJ724" s="747"/>
      <c r="BK724" s="747"/>
      <c r="BL724" s="747"/>
      <c r="BM724" s="186"/>
      <c r="BN724" s="186"/>
      <c r="BO724" s="12"/>
      <c r="BP724" s="11"/>
      <c r="BQ724" s="186"/>
      <c r="BR724" s="747"/>
      <c r="BS724" s="747"/>
      <c r="BT724" s="747"/>
      <c r="BU724" s="186"/>
      <c r="BV724" s="186"/>
      <c r="BW724" s="12"/>
    </row>
    <row r="725" spans="1:75">
      <c r="A725" s="1" t="s">
        <v>122</v>
      </c>
      <c r="B725" s="1" t="s">
        <v>1146</v>
      </c>
      <c r="C725" s="1" t="s">
        <v>1147</v>
      </c>
      <c r="D725" s="1" t="s">
        <v>1720</v>
      </c>
      <c r="E725" s="1" t="s">
        <v>335</v>
      </c>
      <c r="F725" s="1">
        <v>0.13</v>
      </c>
      <c r="G725" s="1">
        <v>2.5500000000000002E-3</v>
      </c>
      <c r="H725" s="1">
        <v>2.62</v>
      </c>
      <c r="I725" s="1" t="s">
        <v>78</v>
      </c>
      <c r="J725" s="1" t="s">
        <v>95</v>
      </c>
      <c r="AI725" s="757"/>
      <c r="AJ725" s="195"/>
      <c r="AK725" s="186"/>
      <c r="AL725" s="747"/>
      <c r="AM725" s="747"/>
      <c r="AN725" s="747"/>
      <c r="AO725" s="186"/>
      <c r="AP725" s="186"/>
      <c r="AQ725" s="12"/>
      <c r="AR725" s="11"/>
      <c r="AS725" s="186"/>
      <c r="AT725" s="747"/>
      <c r="AU725" s="747"/>
      <c r="AV725" s="747"/>
      <c r="AW725" s="186"/>
      <c r="AX725" s="2"/>
      <c r="AY725" s="255"/>
      <c r="AZ725" s="11" t="s">
        <v>2115</v>
      </c>
      <c r="BA725" s="186" t="s">
        <v>1710</v>
      </c>
      <c r="BB725" s="747" t="s">
        <v>2158</v>
      </c>
      <c r="BC725" s="747" t="s">
        <v>520</v>
      </c>
      <c r="BD725" s="747" t="s">
        <v>247</v>
      </c>
      <c r="BE725" s="186">
        <v>3.5000000000000003E-2</v>
      </c>
      <c r="BF725" s="186">
        <v>3.2499999999999999E-3</v>
      </c>
      <c r="BG725" s="12">
        <v>2.58</v>
      </c>
      <c r="BH725" s="11"/>
      <c r="BI725" s="186"/>
      <c r="BJ725" s="747"/>
      <c r="BK725" s="747"/>
      <c r="BL725" s="747"/>
      <c r="BM725" s="186"/>
      <c r="BN725" s="186"/>
      <c r="BO725" s="12"/>
      <c r="BP725" s="11"/>
      <c r="BQ725" s="186"/>
      <c r="BR725" s="747"/>
      <c r="BS725" s="747"/>
      <c r="BT725" s="747"/>
      <c r="BU725" s="186"/>
      <c r="BV725" s="186"/>
      <c r="BW725" s="12"/>
    </row>
    <row r="726" spans="1:75">
      <c r="A726" s="1" t="s">
        <v>123</v>
      </c>
      <c r="B726" s="1" t="s">
        <v>1146</v>
      </c>
      <c r="C726" s="1" t="s">
        <v>1147</v>
      </c>
      <c r="D726" s="1" t="s">
        <v>1720</v>
      </c>
      <c r="E726" s="1" t="s">
        <v>336</v>
      </c>
      <c r="F726" s="1">
        <v>0.13</v>
      </c>
      <c r="G726" s="1">
        <v>2.5500000000000002E-3</v>
      </c>
      <c r="H726" s="1">
        <v>2.62</v>
      </c>
      <c r="I726" s="1" t="s">
        <v>691</v>
      </c>
      <c r="J726" s="1" t="s">
        <v>97</v>
      </c>
      <c r="AI726" s="757"/>
      <c r="AJ726" s="195"/>
      <c r="AK726" s="186"/>
      <c r="AL726" s="747"/>
      <c r="AM726" s="747"/>
      <c r="AN726" s="747"/>
      <c r="AO726" s="186"/>
      <c r="AP726" s="186"/>
      <c r="AQ726" s="12"/>
      <c r="AR726" s="11"/>
      <c r="AS726" s="186"/>
      <c r="AT726" s="747"/>
      <c r="AU726" s="747"/>
      <c r="AV726" s="747"/>
      <c r="AW726" s="186"/>
      <c r="AX726" s="2"/>
      <c r="AY726" s="255"/>
      <c r="AZ726" s="11" t="s">
        <v>2115</v>
      </c>
      <c r="BA726" s="186" t="s">
        <v>1710</v>
      </c>
      <c r="BB726" s="747" t="s">
        <v>2159</v>
      </c>
      <c r="BC726" s="747" t="s">
        <v>520</v>
      </c>
      <c r="BD726" s="747" t="s">
        <v>247</v>
      </c>
      <c r="BE726" s="186">
        <v>3.5000000000000003E-2</v>
      </c>
      <c r="BF726" s="186">
        <v>3.2499999999999999E-3</v>
      </c>
      <c r="BG726" s="12">
        <v>2.58</v>
      </c>
      <c r="BH726" s="11"/>
      <c r="BI726" s="186"/>
      <c r="BJ726" s="747"/>
      <c r="BK726" s="747"/>
      <c r="BL726" s="747"/>
      <c r="BM726" s="186"/>
      <c r="BN726" s="186"/>
      <c r="BO726" s="12"/>
      <c r="BP726" s="11"/>
      <c r="BQ726" s="186"/>
      <c r="BR726" s="747"/>
      <c r="BS726" s="747"/>
      <c r="BT726" s="747"/>
      <c r="BU726" s="186"/>
      <c r="BV726" s="186"/>
      <c r="BW726" s="12"/>
    </row>
    <row r="727" spans="1:75">
      <c r="A727" s="1" t="s">
        <v>124</v>
      </c>
      <c r="B727" s="1" t="s">
        <v>1146</v>
      </c>
      <c r="C727" s="1" t="s">
        <v>1147</v>
      </c>
      <c r="D727" s="1" t="s">
        <v>1720</v>
      </c>
      <c r="E727" s="1" t="s">
        <v>337</v>
      </c>
      <c r="F727" s="1">
        <v>6.5000000000000002E-2</v>
      </c>
      <c r="G727" s="1">
        <v>4.2500000000000003E-3</v>
      </c>
      <c r="H727" s="1">
        <v>2.62</v>
      </c>
      <c r="I727" s="1" t="s">
        <v>1163</v>
      </c>
      <c r="J727" s="1" t="s">
        <v>99</v>
      </c>
      <c r="AI727" s="757"/>
      <c r="AJ727" s="195"/>
      <c r="AK727" s="186"/>
      <c r="AL727" s="747"/>
      <c r="AM727" s="747"/>
      <c r="AN727" s="747"/>
      <c r="AO727" s="186"/>
      <c r="AP727" s="186"/>
      <c r="AQ727" s="12"/>
      <c r="AR727" s="11"/>
      <c r="AS727" s="186"/>
      <c r="AT727" s="747"/>
      <c r="AU727" s="747"/>
      <c r="AV727" s="747"/>
      <c r="AW727" s="186"/>
      <c r="AX727" s="2"/>
      <c r="AY727" s="255"/>
      <c r="AZ727" s="11" t="s">
        <v>2115</v>
      </c>
      <c r="BA727" s="186" t="s">
        <v>1710</v>
      </c>
      <c r="BB727" s="747" t="s">
        <v>1550</v>
      </c>
      <c r="BC727" s="747" t="s">
        <v>520</v>
      </c>
      <c r="BD727" s="747" t="s">
        <v>247</v>
      </c>
      <c r="BE727" s="186">
        <v>3.5000000000000003E-2</v>
      </c>
      <c r="BF727" s="186">
        <v>3.2499999999999999E-3</v>
      </c>
      <c r="BG727" s="12">
        <v>2.58</v>
      </c>
      <c r="BH727" s="11"/>
      <c r="BI727" s="186"/>
      <c r="BJ727" s="747"/>
      <c r="BK727" s="747"/>
      <c r="BL727" s="747"/>
      <c r="BM727" s="186"/>
      <c r="BN727" s="186"/>
      <c r="BO727" s="12"/>
      <c r="BP727" s="11"/>
      <c r="BQ727" s="186"/>
      <c r="BR727" s="747"/>
      <c r="BS727" s="747"/>
      <c r="BT727" s="747"/>
      <c r="BU727" s="186"/>
      <c r="BV727" s="186"/>
      <c r="BW727" s="12"/>
    </row>
    <row r="728" spans="1:75">
      <c r="A728" s="1" t="s">
        <v>125</v>
      </c>
      <c r="B728" s="1" t="s">
        <v>1146</v>
      </c>
      <c r="C728" s="1" t="s">
        <v>1147</v>
      </c>
      <c r="D728" s="1" t="s">
        <v>1720</v>
      </c>
      <c r="E728" s="1" t="s">
        <v>338</v>
      </c>
      <c r="F728" s="1">
        <v>6.5000000000000002E-2</v>
      </c>
      <c r="G728" s="1">
        <v>4.2500000000000003E-3</v>
      </c>
      <c r="H728" s="1">
        <v>2.62</v>
      </c>
      <c r="I728" s="1" t="s">
        <v>691</v>
      </c>
      <c r="J728" s="1" t="s">
        <v>101</v>
      </c>
      <c r="AI728" s="757"/>
      <c r="AJ728" s="195"/>
      <c r="AK728" s="186"/>
      <c r="AL728" s="747"/>
      <c r="AM728" s="747"/>
      <c r="AN728" s="747"/>
      <c r="AO728" s="186"/>
      <c r="AP728" s="186"/>
      <c r="AQ728" s="12"/>
      <c r="AR728" s="11"/>
      <c r="AS728" s="186"/>
      <c r="AT728" s="747"/>
      <c r="AU728" s="747"/>
      <c r="AV728" s="747"/>
      <c r="AW728" s="186"/>
      <c r="AX728" s="2"/>
      <c r="AY728" s="255"/>
      <c r="AZ728" s="11" t="s">
        <v>2115</v>
      </c>
      <c r="BA728" s="186" t="s">
        <v>1710</v>
      </c>
      <c r="BB728" s="747" t="s">
        <v>1551</v>
      </c>
      <c r="BC728" s="747" t="s">
        <v>520</v>
      </c>
      <c r="BD728" s="747" t="s">
        <v>247</v>
      </c>
      <c r="BE728" s="186">
        <v>3.5000000000000003E-2</v>
      </c>
      <c r="BF728" s="186">
        <v>3.2499999999999999E-3</v>
      </c>
      <c r="BG728" s="12">
        <v>2.58</v>
      </c>
      <c r="BH728" s="11"/>
      <c r="BI728" s="186"/>
      <c r="BJ728" s="747"/>
      <c r="BK728" s="747"/>
      <c r="BL728" s="747"/>
      <c r="BM728" s="186"/>
      <c r="BN728" s="186"/>
      <c r="BO728" s="12"/>
      <c r="BP728" s="11"/>
      <c r="BQ728" s="186"/>
      <c r="BR728" s="747"/>
      <c r="BS728" s="747"/>
      <c r="BT728" s="747"/>
      <c r="BU728" s="186"/>
      <c r="BV728" s="186"/>
      <c r="BW728" s="12"/>
    </row>
    <row r="729" spans="1:75">
      <c r="A729" s="1" t="s">
        <v>126</v>
      </c>
      <c r="B729" s="1" t="s">
        <v>1146</v>
      </c>
      <c r="C729" s="1" t="s">
        <v>1147</v>
      </c>
      <c r="D729" s="1" t="s">
        <v>1720</v>
      </c>
      <c r="E729" s="1" t="s">
        <v>339</v>
      </c>
      <c r="F729" s="1">
        <v>6.5000000000000002E-2</v>
      </c>
      <c r="G729" s="1">
        <v>2.5500000000000002E-3</v>
      </c>
      <c r="H729" s="1">
        <v>2.62</v>
      </c>
      <c r="I729" s="1" t="s">
        <v>78</v>
      </c>
      <c r="J729" s="1" t="s">
        <v>103</v>
      </c>
      <c r="AI729" s="757"/>
      <c r="AJ729" s="195"/>
      <c r="AK729" s="186"/>
      <c r="AL729" s="747"/>
      <c r="AM729" s="747"/>
      <c r="AN729" s="747"/>
      <c r="AO729" s="186"/>
      <c r="AP729" s="186"/>
      <c r="AQ729" s="12"/>
      <c r="AR729" s="11"/>
      <c r="AS729" s="186"/>
      <c r="AT729" s="747"/>
      <c r="AU729" s="747"/>
      <c r="AV729" s="747"/>
      <c r="AW729" s="186"/>
      <c r="AX729" s="2"/>
      <c r="AY729" s="255"/>
      <c r="AZ729" s="11" t="s">
        <v>2115</v>
      </c>
      <c r="BA729" s="186" t="s">
        <v>523</v>
      </c>
      <c r="BB729" s="747" t="s">
        <v>1552</v>
      </c>
      <c r="BC729" s="747" t="s">
        <v>1730</v>
      </c>
      <c r="BD729" s="747" t="s">
        <v>248</v>
      </c>
      <c r="BE729" s="186">
        <v>0.08</v>
      </c>
      <c r="BF729" s="186">
        <v>5.0000000000000001E-3</v>
      </c>
      <c r="BG729" s="12">
        <v>2.58</v>
      </c>
      <c r="BH729" s="11"/>
      <c r="BI729" s="186"/>
      <c r="BJ729" s="747"/>
      <c r="BK729" s="747"/>
      <c r="BL729" s="747"/>
      <c r="BM729" s="186"/>
      <c r="BN729" s="186"/>
      <c r="BO729" s="12"/>
      <c r="BP729" s="11"/>
      <c r="BQ729" s="186"/>
      <c r="BR729" s="747"/>
      <c r="BS729" s="747"/>
      <c r="BT729" s="747"/>
      <c r="BU729" s="186"/>
      <c r="BV729" s="186"/>
      <c r="BW729" s="12"/>
    </row>
    <row r="730" spans="1:75">
      <c r="A730" s="1" t="s">
        <v>127</v>
      </c>
      <c r="B730" s="1" t="s">
        <v>1146</v>
      </c>
      <c r="C730" s="1" t="s">
        <v>1147</v>
      </c>
      <c r="D730" s="1" t="s">
        <v>1720</v>
      </c>
      <c r="E730" s="1" t="s">
        <v>340</v>
      </c>
      <c r="F730" s="1">
        <v>6.5000000000000002E-2</v>
      </c>
      <c r="G730" s="1">
        <v>2.5500000000000002E-3</v>
      </c>
      <c r="H730" s="1">
        <v>2.62</v>
      </c>
      <c r="I730" s="1" t="s">
        <v>691</v>
      </c>
      <c r="J730" s="1" t="s">
        <v>105</v>
      </c>
      <c r="AI730" s="757"/>
      <c r="AJ730" s="195"/>
      <c r="AK730" s="186"/>
      <c r="AL730" s="747"/>
      <c r="AM730" s="747"/>
      <c r="AN730" s="747"/>
      <c r="AO730" s="186"/>
      <c r="AP730" s="186"/>
      <c r="AQ730" s="12"/>
      <c r="AR730" s="11"/>
      <c r="AS730" s="186"/>
      <c r="AT730" s="747"/>
      <c r="AU730" s="747"/>
      <c r="AV730" s="747"/>
      <c r="AW730" s="186"/>
      <c r="AX730" s="2"/>
      <c r="AY730" s="255"/>
      <c r="AZ730" s="11" t="s">
        <v>2115</v>
      </c>
      <c r="BA730" s="186" t="s">
        <v>523</v>
      </c>
      <c r="BB730" s="747" t="s">
        <v>1553</v>
      </c>
      <c r="BC730" s="747" t="s">
        <v>1730</v>
      </c>
      <c r="BD730" s="747" t="s">
        <v>248</v>
      </c>
      <c r="BE730" s="186">
        <v>0.08</v>
      </c>
      <c r="BF730" s="186">
        <v>5.0000000000000001E-3</v>
      </c>
      <c r="BG730" s="12">
        <v>2.58</v>
      </c>
      <c r="BH730" s="11"/>
      <c r="BI730" s="186"/>
      <c r="BJ730" s="747"/>
      <c r="BK730" s="747"/>
      <c r="BL730" s="747"/>
      <c r="BM730" s="186"/>
      <c r="BN730" s="186"/>
      <c r="BO730" s="12"/>
      <c r="BP730" s="11"/>
      <c r="BQ730" s="186"/>
      <c r="BR730" s="747"/>
      <c r="BS730" s="747"/>
      <c r="BT730" s="747"/>
      <c r="BU730" s="186"/>
      <c r="BV730" s="186"/>
      <c r="BW730" s="12"/>
    </row>
    <row r="731" spans="1:75">
      <c r="A731" s="1" t="s">
        <v>128</v>
      </c>
      <c r="B731" s="1" t="s">
        <v>1146</v>
      </c>
      <c r="C731" s="1" t="s">
        <v>1147</v>
      </c>
      <c r="D731" s="1" t="s">
        <v>1710</v>
      </c>
      <c r="E731" s="1" t="s">
        <v>1277</v>
      </c>
      <c r="F731" s="1">
        <v>0.15</v>
      </c>
      <c r="G731" s="1">
        <v>3.0000000000000001E-3</v>
      </c>
      <c r="H731" s="1">
        <v>2.62</v>
      </c>
      <c r="I731" s="1" t="s">
        <v>980</v>
      </c>
      <c r="AI731" s="757"/>
      <c r="AJ731" s="195"/>
      <c r="AK731" s="186"/>
      <c r="AL731" s="747"/>
      <c r="AM731" s="747"/>
      <c r="AN731" s="747"/>
      <c r="AO731" s="186"/>
      <c r="AP731" s="186"/>
      <c r="AQ731" s="12"/>
      <c r="AR731" s="11"/>
      <c r="AS731" s="186"/>
      <c r="AT731" s="747"/>
      <c r="AU731" s="747"/>
      <c r="AV731" s="747"/>
      <c r="AW731" s="186"/>
      <c r="AX731" s="2"/>
      <c r="AY731" s="255"/>
      <c r="AZ731" s="11" t="s">
        <v>2115</v>
      </c>
      <c r="BA731" s="186" t="s">
        <v>523</v>
      </c>
      <c r="BB731" s="747" t="s">
        <v>1554</v>
      </c>
      <c r="BC731" s="747" t="s">
        <v>1730</v>
      </c>
      <c r="BD731" s="747" t="s">
        <v>248</v>
      </c>
      <c r="BE731" s="186">
        <v>0.04</v>
      </c>
      <c r="BF731" s="186">
        <v>2.5000000000000001E-3</v>
      </c>
      <c r="BG731" s="12">
        <v>2.58</v>
      </c>
      <c r="BH731" s="11"/>
      <c r="BI731" s="186"/>
      <c r="BJ731" s="747"/>
      <c r="BK731" s="747"/>
      <c r="BL731" s="747"/>
      <c r="BM731" s="186"/>
      <c r="BN731" s="186"/>
      <c r="BO731" s="12"/>
      <c r="BP731" s="11"/>
      <c r="BQ731" s="186"/>
      <c r="BR731" s="747"/>
      <c r="BS731" s="747"/>
      <c r="BT731" s="747"/>
      <c r="BU731" s="186"/>
      <c r="BV731" s="186"/>
      <c r="BW731" s="12"/>
    </row>
    <row r="732" spans="1:75">
      <c r="A732" s="1" t="s">
        <v>129</v>
      </c>
      <c r="B732" s="1" t="s">
        <v>1146</v>
      </c>
      <c r="C732" s="1" t="s">
        <v>1147</v>
      </c>
      <c r="D732" s="1" t="s">
        <v>1710</v>
      </c>
      <c r="E732" s="1" t="s">
        <v>610</v>
      </c>
      <c r="F732" s="1">
        <v>0.15</v>
      </c>
      <c r="G732" s="1">
        <v>3.0000000000000001E-3</v>
      </c>
      <c r="AI732" s="757"/>
      <c r="AJ732" s="195"/>
      <c r="AK732" s="186"/>
      <c r="AL732" s="747"/>
      <c r="AM732" s="747"/>
      <c r="AN732" s="747"/>
      <c r="AO732" s="186"/>
      <c r="AP732" s="186"/>
      <c r="AQ732" s="12"/>
      <c r="AR732" s="11"/>
      <c r="AS732" s="186"/>
      <c r="AT732" s="747"/>
      <c r="AU732" s="747"/>
      <c r="AV732" s="747"/>
      <c r="AW732" s="186"/>
      <c r="AX732" s="2"/>
      <c r="AY732" s="255"/>
      <c r="AZ732" s="11" t="s">
        <v>2115</v>
      </c>
      <c r="BA732" s="186" t="s">
        <v>523</v>
      </c>
      <c r="BB732" s="747" t="s">
        <v>1555</v>
      </c>
      <c r="BC732" s="747" t="s">
        <v>1730</v>
      </c>
      <c r="BD732" s="747" t="s">
        <v>248</v>
      </c>
      <c r="BE732" s="186">
        <v>0.04</v>
      </c>
      <c r="BF732" s="186">
        <v>2.5000000000000001E-3</v>
      </c>
      <c r="BG732" s="12">
        <v>2.58</v>
      </c>
      <c r="BH732" s="11"/>
      <c r="BI732" s="186"/>
      <c r="BJ732" s="747"/>
      <c r="BK732" s="747"/>
      <c r="BL732" s="747"/>
      <c r="BM732" s="186"/>
      <c r="BN732" s="186"/>
      <c r="BO732" s="12"/>
      <c r="BP732" s="11"/>
      <c r="BQ732" s="186"/>
      <c r="BR732" s="747"/>
      <c r="BS732" s="747"/>
      <c r="BT732" s="747"/>
      <c r="BU732" s="186"/>
      <c r="BV732" s="186"/>
      <c r="BW732" s="12"/>
    </row>
    <row r="733" spans="1:75">
      <c r="A733" s="1" t="s">
        <v>130</v>
      </c>
      <c r="B733" s="1" t="s">
        <v>1146</v>
      </c>
      <c r="C733" s="1" t="s">
        <v>1147</v>
      </c>
      <c r="D733" s="1" t="s">
        <v>1710</v>
      </c>
      <c r="E733" s="1" t="s">
        <v>1278</v>
      </c>
      <c r="F733" s="1">
        <v>7.4999999999999997E-2</v>
      </c>
      <c r="G733" s="1">
        <v>1.5E-3</v>
      </c>
      <c r="H733" s="1">
        <v>2.62</v>
      </c>
      <c r="I733" s="1" t="s">
        <v>691</v>
      </c>
      <c r="J733" s="1" t="s">
        <v>692</v>
      </c>
      <c r="AI733" s="757"/>
      <c r="AJ733" s="195"/>
      <c r="AK733" s="186"/>
      <c r="AL733" s="747"/>
      <c r="AM733" s="747"/>
      <c r="AN733" s="747"/>
      <c r="AO733" s="186"/>
      <c r="AP733" s="186"/>
      <c r="AQ733" s="12"/>
      <c r="AR733" s="11"/>
      <c r="AS733" s="186"/>
      <c r="AT733" s="747"/>
      <c r="AU733" s="747"/>
      <c r="AV733" s="747"/>
      <c r="AW733" s="186"/>
      <c r="AX733" s="2"/>
      <c r="AY733" s="255"/>
      <c r="AZ733" s="11" t="s">
        <v>2115</v>
      </c>
      <c r="BA733" s="186" t="s">
        <v>523</v>
      </c>
      <c r="BB733" s="747" t="s">
        <v>1556</v>
      </c>
      <c r="BC733" s="747" t="s">
        <v>1730</v>
      </c>
      <c r="BD733" s="747" t="s">
        <v>248</v>
      </c>
      <c r="BE733" s="186">
        <v>0.02</v>
      </c>
      <c r="BF733" s="186">
        <v>1.25E-3</v>
      </c>
      <c r="BG733" s="12">
        <v>2.58</v>
      </c>
      <c r="BH733" s="11"/>
      <c r="BI733" s="186"/>
      <c r="BJ733" s="747"/>
      <c r="BK733" s="747"/>
      <c r="BL733" s="747"/>
      <c r="BM733" s="186"/>
      <c r="BN733" s="186"/>
      <c r="BO733" s="12"/>
      <c r="BP733" s="11"/>
      <c r="BQ733" s="186"/>
      <c r="BR733" s="747"/>
      <c r="BS733" s="747"/>
      <c r="BT733" s="747"/>
      <c r="BU733" s="186"/>
      <c r="BV733" s="186"/>
      <c r="BW733" s="12"/>
    </row>
    <row r="734" spans="1:75">
      <c r="A734" s="1" t="s">
        <v>131</v>
      </c>
      <c r="B734" s="1" t="s">
        <v>1146</v>
      </c>
      <c r="C734" s="1" t="s">
        <v>1147</v>
      </c>
      <c r="D734" s="1" t="s">
        <v>1710</v>
      </c>
      <c r="E734" s="1" t="s">
        <v>611</v>
      </c>
      <c r="F734" s="1">
        <v>7.4999999999999997E-2</v>
      </c>
      <c r="G734" s="1">
        <v>1.5E-3</v>
      </c>
      <c r="J734" s="1" t="s">
        <v>692</v>
      </c>
      <c r="AI734" s="757"/>
      <c r="AJ734" s="195"/>
      <c r="AK734" s="186"/>
      <c r="AL734" s="747"/>
      <c r="AM734" s="747"/>
      <c r="AN734" s="747"/>
      <c r="AO734" s="186"/>
      <c r="AP734" s="186"/>
      <c r="AQ734" s="12"/>
      <c r="AR734" s="11"/>
      <c r="AS734" s="186"/>
      <c r="AT734" s="747"/>
      <c r="AU734" s="747"/>
      <c r="AV734" s="747"/>
      <c r="AW734" s="186"/>
      <c r="AX734" s="2"/>
      <c r="AY734" s="255"/>
      <c r="AZ734" s="11" t="s">
        <v>2115</v>
      </c>
      <c r="BA734" s="186" t="s">
        <v>523</v>
      </c>
      <c r="BB734" s="747" t="s">
        <v>1557</v>
      </c>
      <c r="BC734" s="747" t="s">
        <v>1730</v>
      </c>
      <c r="BD734" s="747" t="s">
        <v>248</v>
      </c>
      <c r="BE734" s="186">
        <v>0.02</v>
      </c>
      <c r="BF734" s="186">
        <v>1.25E-3</v>
      </c>
      <c r="BG734" s="12">
        <v>2.58</v>
      </c>
      <c r="BH734" s="11"/>
      <c r="BI734" s="186"/>
      <c r="BJ734" s="747"/>
      <c r="BK734" s="747"/>
      <c r="BL734" s="747"/>
      <c r="BM734" s="186"/>
      <c r="BN734" s="186"/>
      <c r="BO734" s="12"/>
      <c r="BP734" s="11"/>
      <c r="BQ734" s="186"/>
      <c r="BR734" s="747"/>
      <c r="BS734" s="747"/>
      <c r="BT734" s="747"/>
      <c r="BU734" s="186"/>
      <c r="BV734" s="186"/>
      <c r="BW734" s="12"/>
    </row>
    <row r="735" spans="1:75">
      <c r="A735" s="1" t="s">
        <v>132</v>
      </c>
      <c r="B735" s="1" t="s">
        <v>1146</v>
      </c>
      <c r="C735" s="1" t="s">
        <v>1147</v>
      </c>
      <c r="D735" s="1" t="s">
        <v>1710</v>
      </c>
      <c r="E735" s="1" t="s">
        <v>1279</v>
      </c>
      <c r="F735" s="1">
        <v>0.13500000000000001</v>
      </c>
      <c r="G735" s="1">
        <v>2.2500000000000003E-3</v>
      </c>
      <c r="H735" s="1">
        <v>2.62</v>
      </c>
      <c r="I735" s="1" t="s">
        <v>691</v>
      </c>
      <c r="J735" s="1" t="s">
        <v>697</v>
      </c>
      <c r="AI735" s="757"/>
      <c r="AJ735" s="195"/>
      <c r="AK735" s="186"/>
      <c r="AL735" s="747"/>
      <c r="AM735" s="747"/>
      <c r="AN735" s="747"/>
      <c r="AO735" s="186"/>
      <c r="AP735" s="186"/>
      <c r="AQ735" s="12"/>
      <c r="AR735" s="11"/>
      <c r="AS735" s="186"/>
      <c r="AT735" s="747"/>
      <c r="AU735" s="747"/>
      <c r="AV735" s="747"/>
      <c r="AW735" s="186"/>
      <c r="AX735" s="2"/>
      <c r="AY735" s="255"/>
      <c r="AZ735" s="11" t="s">
        <v>2115</v>
      </c>
      <c r="BA735" s="186" t="s">
        <v>523</v>
      </c>
      <c r="BB735" s="747" t="s">
        <v>1558</v>
      </c>
      <c r="BC735" s="747" t="s">
        <v>519</v>
      </c>
      <c r="BD735" s="747" t="s">
        <v>248</v>
      </c>
      <c r="BE735" s="186">
        <v>0.04</v>
      </c>
      <c r="BF735" s="186">
        <v>2.5000000000000001E-3</v>
      </c>
      <c r="BG735" s="12">
        <v>2.58</v>
      </c>
      <c r="BH735" s="11"/>
      <c r="BI735" s="186"/>
      <c r="BJ735" s="747"/>
      <c r="BK735" s="747"/>
      <c r="BL735" s="747"/>
      <c r="BM735" s="186"/>
      <c r="BN735" s="186"/>
      <c r="BO735" s="12"/>
      <c r="BP735" s="11"/>
      <c r="BQ735" s="186"/>
      <c r="BR735" s="747"/>
      <c r="BS735" s="747"/>
      <c r="BT735" s="747"/>
      <c r="BU735" s="186"/>
      <c r="BV735" s="186"/>
      <c r="BW735" s="12"/>
    </row>
    <row r="736" spans="1:75">
      <c r="A736" s="1" t="s">
        <v>133</v>
      </c>
      <c r="B736" s="1" t="s">
        <v>1146</v>
      </c>
      <c r="C736" s="1" t="s">
        <v>1147</v>
      </c>
      <c r="D736" s="1" t="s">
        <v>1710</v>
      </c>
      <c r="E736" s="1" t="s">
        <v>612</v>
      </c>
      <c r="F736" s="1">
        <v>0.13500000000000001</v>
      </c>
      <c r="G736" s="1">
        <v>2.2500000000000003E-3</v>
      </c>
      <c r="J736" s="1" t="s">
        <v>952</v>
      </c>
      <c r="AI736" s="757"/>
      <c r="AJ736" s="195"/>
      <c r="AK736" s="186"/>
      <c r="AL736" s="747"/>
      <c r="AM736" s="747"/>
      <c r="AN736" s="747"/>
      <c r="AO736" s="186"/>
      <c r="AP736" s="186"/>
      <c r="AQ736" s="12"/>
      <c r="AR736" s="11"/>
      <c r="AS736" s="186"/>
      <c r="AT736" s="747"/>
      <c r="AU736" s="747"/>
      <c r="AV736" s="747"/>
      <c r="AW736" s="186"/>
      <c r="AX736" s="2"/>
      <c r="AY736" s="255"/>
      <c r="AZ736" s="11" t="s">
        <v>2115</v>
      </c>
      <c r="BA736" s="186" t="s">
        <v>523</v>
      </c>
      <c r="BB736" s="747" t="s">
        <v>1559</v>
      </c>
      <c r="BC736" s="747" t="s">
        <v>519</v>
      </c>
      <c r="BD736" s="747" t="s">
        <v>248</v>
      </c>
      <c r="BE736" s="186">
        <v>0.04</v>
      </c>
      <c r="BF736" s="186">
        <v>2.5000000000000001E-3</v>
      </c>
      <c r="BG736" s="12">
        <v>2.58</v>
      </c>
      <c r="BH736" s="11"/>
      <c r="BI736" s="186"/>
      <c r="BJ736" s="747"/>
      <c r="BK736" s="747"/>
      <c r="BL736" s="747"/>
      <c r="BM736" s="186"/>
      <c r="BN736" s="186"/>
      <c r="BO736" s="12"/>
      <c r="BP736" s="11"/>
      <c r="BQ736" s="186"/>
      <c r="BR736" s="747"/>
      <c r="BS736" s="747"/>
      <c r="BT736" s="747"/>
      <c r="BU736" s="186"/>
      <c r="BV736" s="186"/>
      <c r="BW736" s="12"/>
    </row>
    <row r="737" spans="1:75">
      <c r="A737" s="1" t="s">
        <v>134</v>
      </c>
      <c r="B737" s="1" t="s">
        <v>1146</v>
      </c>
      <c r="C737" s="1" t="s">
        <v>1147</v>
      </c>
      <c r="D737" s="1" t="s">
        <v>1710</v>
      </c>
      <c r="E737" s="1" t="s">
        <v>1280</v>
      </c>
      <c r="F737" s="1">
        <v>0.13500000000000001</v>
      </c>
      <c r="G737" s="1">
        <v>2.2500000000000003E-3</v>
      </c>
      <c r="H737" s="1">
        <v>2.62</v>
      </c>
      <c r="I737" s="1" t="s">
        <v>980</v>
      </c>
      <c r="J737" s="1" t="s">
        <v>515</v>
      </c>
      <c r="AI737" s="757"/>
      <c r="AJ737" s="195"/>
      <c r="AK737" s="186"/>
      <c r="AL737" s="747"/>
      <c r="AM737" s="747"/>
      <c r="AN737" s="747"/>
      <c r="AO737" s="186"/>
      <c r="AP737" s="186"/>
      <c r="AQ737" s="12"/>
      <c r="AR737" s="11"/>
      <c r="AS737" s="186"/>
      <c r="AT737" s="747"/>
      <c r="AU737" s="747"/>
      <c r="AV737" s="747"/>
      <c r="AW737" s="186"/>
      <c r="AX737" s="2"/>
      <c r="AY737" s="255"/>
      <c r="AZ737" s="11" t="s">
        <v>2115</v>
      </c>
      <c r="BA737" s="186" t="s">
        <v>523</v>
      </c>
      <c r="BB737" s="747" t="s">
        <v>1560</v>
      </c>
      <c r="BC737" s="747" t="s">
        <v>519</v>
      </c>
      <c r="BD737" s="747" t="s">
        <v>248</v>
      </c>
      <c r="BE737" s="186">
        <v>0.04</v>
      </c>
      <c r="BF737" s="186">
        <v>2.5000000000000001E-3</v>
      </c>
      <c r="BG737" s="12">
        <v>2.58</v>
      </c>
      <c r="BH737" s="11"/>
      <c r="BI737" s="186"/>
      <c r="BJ737" s="747"/>
      <c r="BK737" s="747"/>
      <c r="BL737" s="747"/>
      <c r="BM737" s="186"/>
      <c r="BN737" s="186"/>
      <c r="BO737" s="12"/>
      <c r="BP737" s="11"/>
      <c r="BQ737" s="186"/>
      <c r="BR737" s="747"/>
      <c r="BS737" s="747"/>
      <c r="BT737" s="747"/>
      <c r="BU737" s="186"/>
      <c r="BV737" s="186"/>
      <c r="BW737" s="12"/>
    </row>
    <row r="738" spans="1:75">
      <c r="A738" s="1" t="s">
        <v>135</v>
      </c>
      <c r="B738" s="1" t="s">
        <v>1146</v>
      </c>
      <c r="C738" s="1" t="s">
        <v>1147</v>
      </c>
      <c r="D738" s="1" t="s">
        <v>1710</v>
      </c>
      <c r="E738" s="1" t="s">
        <v>613</v>
      </c>
      <c r="F738" s="1">
        <v>0.13500000000000001</v>
      </c>
      <c r="G738" s="1">
        <v>2.2500000000000003E-3</v>
      </c>
      <c r="J738" s="1" t="s">
        <v>515</v>
      </c>
      <c r="AI738" s="757"/>
      <c r="AJ738" s="195"/>
      <c r="AK738" s="186"/>
      <c r="AL738" s="747"/>
      <c r="AM738" s="747"/>
      <c r="AN738" s="747"/>
      <c r="AO738" s="186"/>
      <c r="AP738" s="186"/>
      <c r="AQ738" s="12"/>
      <c r="AR738" s="11"/>
      <c r="AS738" s="186"/>
      <c r="AT738" s="747"/>
      <c r="AU738" s="747"/>
      <c r="AV738" s="747"/>
      <c r="AW738" s="186"/>
      <c r="AX738" s="2"/>
      <c r="AY738" s="255"/>
      <c r="AZ738" s="11" t="s">
        <v>2115</v>
      </c>
      <c r="BA738" s="186" t="s">
        <v>523</v>
      </c>
      <c r="BB738" s="747" t="s">
        <v>1561</v>
      </c>
      <c r="BC738" s="747" t="s">
        <v>519</v>
      </c>
      <c r="BD738" s="747" t="s">
        <v>248</v>
      </c>
      <c r="BE738" s="186">
        <v>0.04</v>
      </c>
      <c r="BF738" s="186">
        <v>2.5000000000000001E-3</v>
      </c>
      <c r="BG738" s="12">
        <v>2.58</v>
      </c>
      <c r="BH738" s="11"/>
      <c r="BI738" s="186"/>
      <c r="BJ738" s="747"/>
      <c r="BK738" s="747"/>
      <c r="BL738" s="747"/>
      <c r="BM738" s="186"/>
      <c r="BN738" s="186"/>
      <c r="BO738" s="12"/>
      <c r="BP738" s="11"/>
      <c r="BQ738" s="186"/>
      <c r="BR738" s="747"/>
      <c r="BS738" s="747"/>
      <c r="BT738" s="747"/>
      <c r="BU738" s="186"/>
      <c r="BV738" s="186"/>
      <c r="BW738" s="12"/>
    </row>
    <row r="739" spans="1:75">
      <c r="A739" s="1" t="s">
        <v>136</v>
      </c>
      <c r="B739" s="1" t="s">
        <v>1146</v>
      </c>
      <c r="C739" s="1" t="s">
        <v>1147</v>
      </c>
      <c r="D739" s="1" t="s">
        <v>1710</v>
      </c>
      <c r="E739" s="1" t="s">
        <v>1281</v>
      </c>
      <c r="F739" s="1">
        <v>7.4999999999999997E-2</v>
      </c>
      <c r="G739" s="1">
        <v>1.5E-3</v>
      </c>
      <c r="H739" s="1">
        <v>2.62</v>
      </c>
      <c r="I739" s="1" t="s">
        <v>691</v>
      </c>
      <c r="J739" s="1" t="s">
        <v>703</v>
      </c>
      <c r="AI739" s="757"/>
      <c r="AJ739" s="195"/>
      <c r="AK739" s="186"/>
      <c r="AL739" s="747"/>
      <c r="AM739" s="747"/>
      <c r="AN739" s="747"/>
      <c r="AO739" s="186"/>
      <c r="AP739" s="186"/>
      <c r="AQ739" s="12"/>
      <c r="AR739" s="11"/>
      <c r="AS739" s="186"/>
      <c r="AT739" s="747"/>
      <c r="AU739" s="747"/>
      <c r="AV739" s="747"/>
      <c r="AW739" s="186"/>
      <c r="AX739" s="2"/>
      <c r="AY739" s="255"/>
      <c r="AZ739" s="11" t="s">
        <v>2115</v>
      </c>
      <c r="BA739" s="186" t="s">
        <v>523</v>
      </c>
      <c r="BB739" s="747" t="s">
        <v>1562</v>
      </c>
      <c r="BC739" s="747" t="s">
        <v>519</v>
      </c>
      <c r="BD739" s="747" t="s">
        <v>248</v>
      </c>
      <c r="BE739" s="186">
        <v>0.04</v>
      </c>
      <c r="BF739" s="186">
        <v>2.5000000000000001E-3</v>
      </c>
      <c r="BG739" s="12">
        <v>2.58</v>
      </c>
      <c r="BH739" s="11"/>
      <c r="BI739" s="186"/>
      <c r="BJ739" s="747"/>
      <c r="BK739" s="747"/>
      <c r="BL739" s="747"/>
      <c r="BM739" s="186"/>
      <c r="BN739" s="186"/>
      <c r="BO739" s="12"/>
      <c r="BP739" s="11"/>
      <c r="BQ739" s="186"/>
      <c r="BR739" s="747"/>
      <c r="BS739" s="747"/>
      <c r="BT739" s="747"/>
      <c r="BU739" s="186"/>
      <c r="BV739" s="186"/>
      <c r="BW739" s="12"/>
    </row>
    <row r="740" spans="1:75">
      <c r="A740" s="1" t="s">
        <v>137</v>
      </c>
      <c r="B740" s="1" t="s">
        <v>1146</v>
      </c>
      <c r="C740" s="1" t="s">
        <v>1147</v>
      </c>
      <c r="D740" s="1" t="s">
        <v>1710</v>
      </c>
      <c r="E740" s="1" t="s">
        <v>614</v>
      </c>
      <c r="F740" s="1">
        <v>7.4999999999999997E-2</v>
      </c>
      <c r="G740" s="1">
        <v>1.5E-3</v>
      </c>
      <c r="J740" s="1" t="s">
        <v>990</v>
      </c>
      <c r="AI740" s="757"/>
      <c r="AJ740" s="195"/>
      <c r="AK740" s="186"/>
      <c r="AL740" s="747"/>
      <c r="AM740" s="747"/>
      <c r="AN740" s="747"/>
      <c r="AO740" s="186"/>
      <c r="AP740" s="186"/>
      <c r="AQ740" s="12"/>
      <c r="AR740" s="11"/>
      <c r="AS740" s="186"/>
      <c r="AT740" s="747"/>
      <c r="AU740" s="747"/>
      <c r="AV740" s="747"/>
      <c r="AW740" s="186"/>
      <c r="AX740" s="2"/>
      <c r="AY740" s="255"/>
      <c r="AZ740" s="11" t="s">
        <v>2115</v>
      </c>
      <c r="BA740" s="186" t="s">
        <v>523</v>
      </c>
      <c r="BB740" s="747" t="s">
        <v>1563</v>
      </c>
      <c r="BC740" s="747" t="s">
        <v>519</v>
      </c>
      <c r="BD740" s="747" t="s">
        <v>248</v>
      </c>
      <c r="BE740" s="186">
        <v>0.04</v>
      </c>
      <c r="BF740" s="186">
        <v>2.5000000000000001E-3</v>
      </c>
      <c r="BG740" s="12">
        <v>2.58</v>
      </c>
      <c r="BH740" s="11"/>
      <c r="BI740" s="186"/>
      <c r="BJ740" s="747"/>
      <c r="BK740" s="747"/>
      <c r="BL740" s="747"/>
      <c r="BM740" s="186"/>
      <c r="BN740" s="186"/>
      <c r="BO740" s="12"/>
      <c r="BP740" s="11"/>
      <c r="BQ740" s="186"/>
      <c r="BR740" s="747"/>
      <c r="BS740" s="747"/>
      <c r="BT740" s="747"/>
      <c r="BU740" s="186"/>
      <c r="BV740" s="186"/>
      <c r="BW740" s="12"/>
    </row>
    <row r="741" spans="1:75">
      <c r="A741" s="1" t="s">
        <v>138</v>
      </c>
      <c r="B741" s="1" t="s">
        <v>1146</v>
      </c>
      <c r="C741" s="1" t="s">
        <v>1147</v>
      </c>
      <c r="D741" s="1" t="s">
        <v>1710</v>
      </c>
      <c r="E741" s="1" t="s">
        <v>1282</v>
      </c>
      <c r="F741" s="1">
        <v>7.4999999999999997E-2</v>
      </c>
      <c r="G741" s="1">
        <v>1.5E-3</v>
      </c>
      <c r="H741" s="1">
        <v>2.62</v>
      </c>
      <c r="I741" s="1" t="s">
        <v>980</v>
      </c>
      <c r="J741" s="1" t="s">
        <v>517</v>
      </c>
      <c r="AI741" s="757"/>
      <c r="AJ741" s="195"/>
      <c r="AK741" s="186"/>
      <c r="AL741" s="747"/>
      <c r="AM741" s="747"/>
      <c r="AN741" s="747"/>
      <c r="AO741" s="186"/>
      <c r="AP741" s="186"/>
      <c r="AQ741" s="12"/>
      <c r="AR741" s="11"/>
      <c r="AS741" s="186"/>
      <c r="AT741" s="747"/>
      <c r="AU741" s="747"/>
      <c r="AV741" s="747"/>
      <c r="AW741" s="186"/>
      <c r="AX741" s="2"/>
      <c r="AY741" s="255"/>
      <c r="AZ741" s="11" t="s">
        <v>2115</v>
      </c>
      <c r="BA741" s="186" t="s">
        <v>523</v>
      </c>
      <c r="BB741" s="747" t="s">
        <v>1564</v>
      </c>
      <c r="BC741" s="747" t="s">
        <v>520</v>
      </c>
      <c r="BD741" s="747" t="s">
        <v>248</v>
      </c>
      <c r="BE741" s="186">
        <v>0.02</v>
      </c>
      <c r="BF741" s="186">
        <v>1.25E-3</v>
      </c>
      <c r="BG741" s="12">
        <v>2.58</v>
      </c>
      <c r="BH741" s="11"/>
      <c r="BI741" s="186"/>
      <c r="BJ741" s="747"/>
      <c r="BK741" s="747"/>
      <c r="BL741" s="747"/>
      <c r="BM741" s="186"/>
      <c r="BN741" s="186"/>
      <c r="BO741" s="12"/>
      <c r="BP741" s="11"/>
      <c r="BQ741" s="186"/>
      <c r="BR741" s="747"/>
      <c r="BS741" s="747"/>
      <c r="BT741" s="747"/>
      <c r="BU741" s="186"/>
      <c r="BV741" s="186"/>
      <c r="BW741" s="12"/>
    </row>
    <row r="742" spans="1:75">
      <c r="A742" s="1" t="s">
        <v>139</v>
      </c>
      <c r="B742" s="1" t="s">
        <v>1146</v>
      </c>
      <c r="C742" s="1" t="s">
        <v>1147</v>
      </c>
      <c r="D742" s="1" t="s">
        <v>1710</v>
      </c>
      <c r="E742" s="1" t="s">
        <v>615</v>
      </c>
      <c r="F742" s="1">
        <v>7.4999999999999997E-2</v>
      </c>
      <c r="G742" s="1">
        <v>1.5E-3</v>
      </c>
      <c r="J742" s="1" t="s">
        <v>517</v>
      </c>
      <c r="AI742" s="757"/>
      <c r="AJ742" s="195"/>
      <c r="AK742" s="186"/>
      <c r="AL742" s="747"/>
      <c r="AM742" s="747"/>
      <c r="AN742" s="747"/>
      <c r="AO742" s="186"/>
      <c r="AP742" s="186"/>
      <c r="AQ742" s="12"/>
      <c r="AR742" s="11"/>
      <c r="AS742" s="186"/>
      <c r="AT742" s="747"/>
      <c r="AU742" s="747"/>
      <c r="AV742" s="747"/>
      <c r="AW742" s="186"/>
      <c r="AX742" s="2"/>
      <c r="AY742" s="255"/>
      <c r="AZ742" s="11" t="s">
        <v>2115</v>
      </c>
      <c r="BA742" s="186" t="s">
        <v>523</v>
      </c>
      <c r="BB742" s="747" t="s">
        <v>1565</v>
      </c>
      <c r="BC742" s="747" t="s">
        <v>520</v>
      </c>
      <c r="BD742" s="747" t="s">
        <v>248</v>
      </c>
      <c r="BE742" s="186">
        <v>0.02</v>
      </c>
      <c r="BF742" s="186">
        <v>1.25E-3</v>
      </c>
      <c r="BG742" s="12">
        <v>2.58</v>
      </c>
      <c r="BH742" s="11"/>
      <c r="BI742" s="186"/>
      <c r="BJ742" s="747"/>
      <c r="BK742" s="747"/>
      <c r="BL742" s="747"/>
      <c r="BM742" s="186"/>
      <c r="BN742" s="186"/>
      <c r="BO742" s="12"/>
      <c r="BP742" s="11"/>
      <c r="BQ742" s="186"/>
      <c r="BR742" s="747"/>
      <c r="BS742" s="747"/>
      <c r="BT742" s="747"/>
      <c r="BU742" s="186"/>
      <c r="BV742" s="186"/>
      <c r="BW742" s="12"/>
    </row>
    <row r="743" spans="1:75">
      <c r="A743" s="1" t="s">
        <v>140</v>
      </c>
      <c r="B743" s="1" t="s">
        <v>1146</v>
      </c>
      <c r="C743" s="1" t="s">
        <v>1147</v>
      </c>
      <c r="D743" s="1" t="s">
        <v>1710</v>
      </c>
      <c r="E743" s="1" t="s">
        <v>1283</v>
      </c>
      <c r="F743" s="1">
        <v>3.7499999999999999E-2</v>
      </c>
      <c r="G743" s="1">
        <v>7.5000000000000002E-4</v>
      </c>
      <c r="H743" s="1">
        <v>2.62</v>
      </c>
      <c r="I743" s="1" t="s">
        <v>691</v>
      </c>
      <c r="J743" s="1" t="s">
        <v>994</v>
      </c>
      <c r="AI743" s="757"/>
      <c r="AJ743" s="195"/>
      <c r="AK743" s="186"/>
      <c r="AL743" s="747"/>
      <c r="AM743" s="747"/>
      <c r="AN743" s="747"/>
      <c r="AO743" s="186"/>
      <c r="AP743" s="186"/>
      <c r="AQ743" s="12"/>
      <c r="AR743" s="11"/>
      <c r="AS743" s="186"/>
      <c r="AT743" s="747"/>
      <c r="AU743" s="747"/>
      <c r="AV743" s="747"/>
      <c r="AW743" s="186"/>
      <c r="AX743" s="2"/>
      <c r="AY743" s="255"/>
      <c r="AZ743" s="11" t="s">
        <v>2115</v>
      </c>
      <c r="BA743" s="186" t="s">
        <v>523</v>
      </c>
      <c r="BB743" s="747" t="s">
        <v>1566</v>
      </c>
      <c r="BC743" s="747" t="s">
        <v>520</v>
      </c>
      <c r="BD743" s="747" t="s">
        <v>248</v>
      </c>
      <c r="BE743" s="186">
        <v>0.02</v>
      </c>
      <c r="BF743" s="186">
        <v>1.25E-3</v>
      </c>
      <c r="BG743" s="12">
        <v>2.58</v>
      </c>
      <c r="BH743" s="11"/>
      <c r="BI743" s="186"/>
      <c r="BJ743" s="747"/>
      <c r="BK743" s="747"/>
      <c r="BL743" s="747"/>
      <c r="BM743" s="186"/>
      <c r="BN743" s="186"/>
      <c r="BO743" s="12"/>
      <c r="BP743" s="11"/>
      <c r="BQ743" s="186"/>
      <c r="BR743" s="747"/>
      <c r="BS743" s="747"/>
      <c r="BT743" s="747"/>
      <c r="BU743" s="186"/>
      <c r="BV743" s="186"/>
      <c r="BW743" s="12"/>
    </row>
    <row r="744" spans="1:75">
      <c r="A744" s="1" t="s">
        <v>141</v>
      </c>
      <c r="B744" s="1" t="s">
        <v>1146</v>
      </c>
      <c r="C744" s="1" t="s">
        <v>1147</v>
      </c>
      <c r="D744" s="1" t="s">
        <v>1710</v>
      </c>
      <c r="E744" s="1" t="s">
        <v>616</v>
      </c>
      <c r="F744" s="1">
        <v>3.7999999999999999E-2</v>
      </c>
      <c r="G744" s="1">
        <v>7.5000000000000002E-4</v>
      </c>
      <c r="J744" s="1" t="s">
        <v>1121</v>
      </c>
      <c r="AI744" s="757"/>
      <c r="AJ744" s="195"/>
      <c r="AK744" s="186"/>
      <c r="AL744" s="747"/>
      <c r="AM744" s="747"/>
      <c r="AN744" s="747"/>
      <c r="AO744" s="186"/>
      <c r="AP744" s="186"/>
      <c r="AQ744" s="12"/>
      <c r="AR744" s="11"/>
      <c r="AS744" s="186"/>
      <c r="AT744" s="747"/>
      <c r="AU744" s="747"/>
      <c r="AV744" s="747"/>
      <c r="AW744" s="186"/>
      <c r="AX744" s="2"/>
      <c r="AY744" s="255"/>
      <c r="AZ744" s="11" t="s">
        <v>2115</v>
      </c>
      <c r="BA744" s="186" t="s">
        <v>523</v>
      </c>
      <c r="BB744" s="747" t="s">
        <v>1567</v>
      </c>
      <c r="BC744" s="747" t="s">
        <v>520</v>
      </c>
      <c r="BD744" s="747" t="s">
        <v>248</v>
      </c>
      <c r="BE744" s="186">
        <v>0.02</v>
      </c>
      <c r="BF744" s="186">
        <v>1.25E-3</v>
      </c>
      <c r="BG744" s="12">
        <v>2.58</v>
      </c>
      <c r="BH744" s="11"/>
      <c r="BI744" s="186"/>
      <c r="BJ744" s="747"/>
      <c r="BK744" s="747"/>
      <c r="BL744" s="747"/>
      <c r="BM744" s="186"/>
      <c r="BN744" s="186"/>
      <c r="BO744" s="12"/>
      <c r="BP744" s="11"/>
      <c r="BQ744" s="186"/>
      <c r="BR744" s="747"/>
      <c r="BS744" s="747"/>
      <c r="BT744" s="747"/>
      <c r="BU744" s="186"/>
      <c r="BV744" s="186"/>
      <c r="BW744" s="12"/>
    </row>
    <row r="745" spans="1:75">
      <c r="A745" s="1" t="s">
        <v>142</v>
      </c>
      <c r="B745" s="1" t="s">
        <v>1146</v>
      </c>
      <c r="C745" s="1" t="s">
        <v>1147</v>
      </c>
      <c r="D745" s="1" t="s">
        <v>1710</v>
      </c>
      <c r="E745" s="1" t="s">
        <v>1284</v>
      </c>
      <c r="F745" s="1">
        <v>3.7499999999999999E-2</v>
      </c>
      <c r="G745" s="1">
        <v>7.5000000000000002E-4</v>
      </c>
      <c r="H745" s="1">
        <v>2.62</v>
      </c>
      <c r="I745" s="1" t="s">
        <v>980</v>
      </c>
      <c r="J745" s="1" t="s">
        <v>997</v>
      </c>
      <c r="AI745" s="757"/>
      <c r="AJ745" s="195"/>
      <c r="AK745" s="186"/>
      <c r="AL745" s="747"/>
      <c r="AM745" s="747"/>
      <c r="AN745" s="747"/>
      <c r="AO745" s="186"/>
      <c r="AP745" s="186"/>
      <c r="AQ745" s="12"/>
      <c r="AR745" s="11"/>
      <c r="AS745" s="186"/>
      <c r="AT745" s="747"/>
      <c r="AU745" s="747"/>
      <c r="AV745" s="747"/>
      <c r="AW745" s="186"/>
      <c r="AX745" s="2"/>
      <c r="AY745" s="255"/>
      <c r="AZ745" s="11" t="s">
        <v>2115</v>
      </c>
      <c r="BA745" s="186" t="s">
        <v>523</v>
      </c>
      <c r="BB745" s="747" t="s">
        <v>1568</v>
      </c>
      <c r="BC745" s="747" t="s">
        <v>520</v>
      </c>
      <c r="BD745" s="747" t="s">
        <v>248</v>
      </c>
      <c r="BE745" s="186">
        <v>0.02</v>
      </c>
      <c r="BF745" s="186">
        <v>1.25E-3</v>
      </c>
      <c r="BG745" s="12">
        <v>2.58</v>
      </c>
      <c r="BH745" s="11"/>
      <c r="BI745" s="186"/>
      <c r="BJ745" s="747"/>
      <c r="BK745" s="747"/>
      <c r="BL745" s="747"/>
      <c r="BM745" s="186"/>
      <c r="BN745" s="186"/>
      <c r="BO745" s="12"/>
      <c r="BP745" s="11"/>
      <c r="BQ745" s="186"/>
      <c r="BR745" s="747"/>
      <c r="BS745" s="747"/>
      <c r="BT745" s="747"/>
      <c r="BU745" s="186"/>
      <c r="BV745" s="186"/>
      <c r="BW745" s="12"/>
    </row>
    <row r="746" spans="1:75">
      <c r="A746" s="1" t="s">
        <v>143</v>
      </c>
      <c r="B746" s="1" t="s">
        <v>1146</v>
      </c>
      <c r="C746" s="1" t="s">
        <v>1147</v>
      </c>
      <c r="D746" s="1" t="s">
        <v>1710</v>
      </c>
      <c r="E746" s="1" t="s">
        <v>617</v>
      </c>
      <c r="F746" s="1">
        <v>3.7999999999999999E-2</v>
      </c>
      <c r="G746" s="1">
        <v>7.5000000000000002E-4</v>
      </c>
      <c r="J746" s="1" t="s">
        <v>997</v>
      </c>
      <c r="AI746" s="757"/>
      <c r="AJ746" s="195"/>
      <c r="AK746" s="186"/>
      <c r="AL746" s="747"/>
      <c r="AM746" s="747"/>
      <c r="AN746" s="747"/>
      <c r="AO746" s="186"/>
      <c r="AP746" s="186"/>
      <c r="AQ746" s="12"/>
      <c r="AR746" s="11"/>
      <c r="AS746" s="186"/>
      <c r="AT746" s="747"/>
      <c r="AU746" s="747"/>
      <c r="AV746" s="747"/>
      <c r="AW746" s="186"/>
      <c r="AX746" s="2"/>
      <c r="AY746" s="255"/>
      <c r="AZ746" s="11" t="s">
        <v>2115</v>
      </c>
      <c r="BA746" s="186" t="s">
        <v>523</v>
      </c>
      <c r="BB746" s="747" t="s">
        <v>1569</v>
      </c>
      <c r="BC746" s="747" t="s">
        <v>520</v>
      </c>
      <c r="BD746" s="747" t="s">
        <v>248</v>
      </c>
      <c r="BE746" s="186">
        <v>0.02</v>
      </c>
      <c r="BF746" s="186">
        <v>1.25E-3</v>
      </c>
      <c r="BG746" s="12">
        <v>2.58</v>
      </c>
      <c r="BH746" s="11"/>
      <c r="BI746" s="186"/>
      <c r="BJ746" s="747"/>
      <c r="BK746" s="747"/>
      <c r="BL746" s="747"/>
      <c r="BM746" s="186"/>
      <c r="BN746" s="186"/>
      <c r="BO746" s="12"/>
      <c r="BP746" s="11"/>
      <c r="BQ746" s="186"/>
      <c r="BR746" s="747"/>
      <c r="BS746" s="747"/>
      <c r="BT746" s="747"/>
      <c r="BU746" s="186"/>
      <c r="BV746" s="186"/>
      <c r="BW746" s="12"/>
    </row>
    <row r="747" spans="1:75">
      <c r="AI747" s="757"/>
      <c r="AJ747" s="195"/>
      <c r="AK747" s="186"/>
      <c r="AL747" s="747"/>
      <c r="AM747" s="747"/>
      <c r="AN747" s="747"/>
      <c r="AO747" s="186"/>
      <c r="AP747" s="186"/>
      <c r="AQ747" s="12"/>
      <c r="AR747" s="11"/>
      <c r="AS747" s="186"/>
      <c r="AT747" s="747"/>
      <c r="AU747" s="747"/>
      <c r="AV747" s="747"/>
      <c r="AW747" s="186"/>
      <c r="AX747" s="2"/>
      <c r="AY747" s="255"/>
      <c r="AZ747" s="11" t="s">
        <v>2115</v>
      </c>
      <c r="BA747" s="186" t="s">
        <v>523</v>
      </c>
      <c r="BB747" s="747" t="s">
        <v>1241</v>
      </c>
      <c r="BC747" s="747" t="s">
        <v>1730</v>
      </c>
      <c r="BD747" s="747" t="s">
        <v>248</v>
      </c>
      <c r="BE747" s="186">
        <v>0.08</v>
      </c>
      <c r="BF747" s="186">
        <v>5.0000000000000001E-3</v>
      </c>
      <c r="BG747" s="12">
        <v>2.58</v>
      </c>
      <c r="BH747" s="11"/>
      <c r="BI747" s="186"/>
      <c r="BJ747" s="747"/>
      <c r="BK747" s="747"/>
      <c r="BL747" s="747"/>
      <c r="BM747" s="186"/>
      <c r="BN747" s="186"/>
      <c r="BO747" s="12"/>
      <c r="BP747" s="11"/>
      <c r="BQ747" s="186"/>
      <c r="BR747" s="747"/>
      <c r="BS747" s="747"/>
      <c r="BT747" s="747"/>
      <c r="BU747" s="186"/>
      <c r="BV747" s="186"/>
      <c r="BW747" s="12"/>
    </row>
    <row r="748" spans="1:75">
      <c r="AI748" s="757"/>
      <c r="AJ748" s="195"/>
      <c r="AK748" s="186"/>
      <c r="AL748" s="747"/>
      <c r="AM748" s="747"/>
      <c r="AN748" s="747"/>
      <c r="AO748" s="186"/>
      <c r="AP748" s="186"/>
      <c r="AQ748" s="12"/>
      <c r="AR748" s="11"/>
      <c r="AS748" s="186"/>
      <c r="AT748" s="747"/>
      <c r="AU748" s="747"/>
      <c r="AV748" s="747"/>
      <c r="AW748" s="186"/>
      <c r="AX748" s="2"/>
      <c r="AY748" s="255"/>
      <c r="AZ748" s="11" t="s">
        <v>2115</v>
      </c>
      <c r="BA748" s="186" t="s">
        <v>523</v>
      </c>
      <c r="BB748" s="747" t="s">
        <v>1242</v>
      </c>
      <c r="BC748" s="747" t="s">
        <v>1730</v>
      </c>
      <c r="BD748" s="747" t="s">
        <v>248</v>
      </c>
      <c r="BE748" s="186">
        <v>0.04</v>
      </c>
      <c r="BF748" s="186">
        <v>2.5000000000000001E-3</v>
      </c>
      <c r="BG748" s="12">
        <v>2.58</v>
      </c>
      <c r="BH748" s="11"/>
      <c r="BI748" s="186"/>
      <c r="BJ748" s="747"/>
      <c r="BK748" s="747"/>
      <c r="BL748" s="747"/>
      <c r="BM748" s="186"/>
      <c r="BN748" s="186"/>
      <c r="BO748" s="12"/>
      <c r="BP748" s="11"/>
      <c r="BQ748" s="186"/>
      <c r="BR748" s="747"/>
      <c r="BS748" s="747"/>
      <c r="BT748" s="747"/>
      <c r="BU748" s="186"/>
      <c r="BV748" s="186"/>
      <c r="BW748" s="12"/>
    </row>
    <row r="749" spans="1:75">
      <c r="AI749" s="757"/>
      <c r="AJ749" s="195"/>
      <c r="AK749" s="186"/>
      <c r="AL749" s="747"/>
      <c r="AM749" s="747"/>
      <c r="AN749" s="747"/>
      <c r="AO749" s="186"/>
      <c r="AP749" s="186"/>
      <c r="AQ749" s="12"/>
      <c r="AR749" s="11"/>
      <c r="AS749" s="186"/>
      <c r="AT749" s="747"/>
      <c r="AU749" s="747"/>
      <c r="AV749" s="747"/>
      <c r="AW749" s="186"/>
      <c r="AX749" s="2"/>
      <c r="AY749" s="255"/>
      <c r="AZ749" s="11" t="s">
        <v>2115</v>
      </c>
      <c r="BA749" s="186" t="s">
        <v>523</v>
      </c>
      <c r="BB749" s="747" t="s">
        <v>1243</v>
      </c>
      <c r="BC749" s="747" t="s">
        <v>1730</v>
      </c>
      <c r="BD749" s="747" t="s">
        <v>248</v>
      </c>
      <c r="BE749" s="186">
        <v>0.02</v>
      </c>
      <c r="BF749" s="186">
        <v>1.25E-3</v>
      </c>
      <c r="BG749" s="12">
        <v>2.58</v>
      </c>
      <c r="BH749" s="11"/>
      <c r="BI749" s="186"/>
      <c r="BJ749" s="747"/>
      <c r="BK749" s="747"/>
      <c r="BL749" s="747"/>
      <c r="BM749" s="186"/>
      <c r="BN749" s="186"/>
      <c r="BO749" s="12"/>
      <c r="BP749" s="11"/>
      <c r="BQ749" s="186"/>
      <c r="BR749" s="747"/>
      <c r="BS749" s="747"/>
      <c r="BT749" s="747"/>
      <c r="BU749" s="186"/>
      <c r="BV749" s="186"/>
      <c r="BW749" s="12"/>
    </row>
    <row r="750" spans="1:75">
      <c r="AI750" s="757"/>
      <c r="AJ750" s="195"/>
      <c r="AK750" s="186"/>
      <c r="AL750" s="747"/>
      <c r="AM750" s="747"/>
      <c r="AN750" s="747"/>
      <c r="AO750" s="186"/>
      <c r="AP750" s="186"/>
      <c r="AQ750" s="12"/>
      <c r="AR750" s="11"/>
      <c r="AS750" s="186"/>
      <c r="AT750" s="747"/>
      <c r="AU750" s="747"/>
      <c r="AV750" s="747"/>
      <c r="AW750" s="186"/>
      <c r="AX750" s="2"/>
      <c r="AY750" s="255"/>
      <c r="AZ750" s="11" t="s">
        <v>2115</v>
      </c>
      <c r="BA750" s="186" t="s">
        <v>523</v>
      </c>
      <c r="BB750" s="747" t="s">
        <v>2819</v>
      </c>
      <c r="BC750" s="693" t="s">
        <v>1730</v>
      </c>
      <c r="BD750" s="747" t="s">
        <v>248</v>
      </c>
      <c r="BE750" s="186">
        <v>0.08</v>
      </c>
      <c r="BF750" s="186">
        <v>5.0000000000000001E-3</v>
      </c>
      <c r="BG750" s="12">
        <v>2.58</v>
      </c>
      <c r="BH750" s="11"/>
      <c r="BI750" s="186"/>
      <c r="BJ750" s="747"/>
      <c r="BK750" s="747"/>
      <c r="BL750" s="747"/>
      <c r="BM750" s="186"/>
      <c r="BN750" s="186"/>
      <c r="BO750" s="12"/>
      <c r="BP750" s="11"/>
      <c r="BQ750" s="186"/>
      <c r="BR750" s="747"/>
      <c r="BS750" s="747"/>
      <c r="BT750" s="747"/>
      <c r="BU750" s="186"/>
      <c r="BV750" s="186"/>
      <c r="BW750" s="12"/>
    </row>
    <row r="751" spans="1:75">
      <c r="AI751" s="757"/>
      <c r="AJ751" s="195"/>
      <c r="AK751" s="186"/>
      <c r="AL751" s="747"/>
      <c r="AM751" s="747"/>
      <c r="AN751" s="747"/>
      <c r="AO751" s="186"/>
      <c r="AP751" s="186"/>
      <c r="AQ751" s="12"/>
      <c r="AR751" s="11"/>
      <c r="AS751" s="186"/>
      <c r="AT751" s="747"/>
      <c r="AU751" s="747"/>
      <c r="AV751" s="747"/>
      <c r="AW751" s="186"/>
      <c r="AX751" s="2"/>
      <c r="AY751" s="255"/>
      <c r="AZ751" s="11" t="s">
        <v>2115</v>
      </c>
      <c r="BA751" s="186" t="s">
        <v>523</v>
      </c>
      <c r="BB751" s="747" t="s">
        <v>1244</v>
      </c>
      <c r="BC751" s="747" t="s">
        <v>1730</v>
      </c>
      <c r="BD751" s="747" t="s">
        <v>248</v>
      </c>
      <c r="BE751" s="186">
        <v>0.08</v>
      </c>
      <c r="BF751" s="186">
        <v>5.0000000000000001E-3</v>
      </c>
      <c r="BG751" s="12">
        <v>2.58</v>
      </c>
      <c r="BH751" s="11"/>
      <c r="BI751" s="186"/>
      <c r="BJ751" s="747"/>
      <c r="BK751" s="747"/>
      <c r="BL751" s="747"/>
      <c r="BM751" s="186"/>
      <c r="BN751" s="186"/>
      <c r="BO751" s="12"/>
      <c r="BP751" s="11"/>
      <c r="BQ751" s="186"/>
      <c r="BR751" s="747"/>
      <c r="BS751" s="747"/>
      <c r="BT751" s="747"/>
      <c r="BU751" s="186"/>
      <c r="BV751" s="186"/>
      <c r="BW751" s="12"/>
    </row>
    <row r="752" spans="1:75">
      <c r="AI752" s="757"/>
      <c r="AJ752" s="195"/>
      <c r="AK752" s="186"/>
      <c r="AL752" s="747"/>
      <c r="AM752" s="747"/>
      <c r="AN752" s="747"/>
      <c r="AO752" s="186"/>
      <c r="AP752" s="186"/>
      <c r="AQ752" s="12"/>
      <c r="AR752" s="11"/>
      <c r="AS752" s="186"/>
      <c r="AT752" s="747"/>
      <c r="AU752" s="747"/>
      <c r="AV752" s="747"/>
      <c r="AW752" s="186"/>
      <c r="AX752" s="2"/>
      <c r="AY752" s="255"/>
      <c r="AZ752" s="11" t="s">
        <v>2115</v>
      </c>
      <c r="BA752" s="186" t="s">
        <v>523</v>
      </c>
      <c r="BB752" s="747" t="s">
        <v>1245</v>
      </c>
      <c r="BC752" s="747" t="s">
        <v>1730</v>
      </c>
      <c r="BD752" s="747" t="s">
        <v>248</v>
      </c>
      <c r="BE752" s="186">
        <v>0.08</v>
      </c>
      <c r="BF752" s="186">
        <v>5.0000000000000001E-3</v>
      </c>
      <c r="BG752" s="12">
        <v>2.58</v>
      </c>
      <c r="BH752" s="11"/>
      <c r="BI752" s="186"/>
      <c r="BJ752" s="747"/>
      <c r="BK752" s="747"/>
      <c r="BL752" s="747"/>
      <c r="BM752" s="186"/>
      <c r="BN752" s="186"/>
      <c r="BO752" s="12"/>
      <c r="BP752" s="11"/>
      <c r="BQ752" s="186"/>
      <c r="BR752" s="747"/>
      <c r="BS752" s="747"/>
      <c r="BT752" s="747"/>
      <c r="BU752" s="186"/>
      <c r="BV752" s="186"/>
      <c r="BW752" s="12"/>
    </row>
    <row r="753" spans="35:75">
      <c r="AI753" s="757"/>
      <c r="AJ753" s="195"/>
      <c r="AK753" s="186"/>
      <c r="AL753" s="747"/>
      <c r="AM753" s="747"/>
      <c r="AN753" s="747"/>
      <c r="AO753" s="186"/>
      <c r="AP753" s="186"/>
      <c r="AQ753" s="12"/>
      <c r="AR753" s="11"/>
      <c r="AS753" s="186"/>
      <c r="AT753" s="747"/>
      <c r="AU753" s="747"/>
      <c r="AV753" s="747"/>
      <c r="AW753" s="186"/>
      <c r="AX753" s="2"/>
      <c r="AY753" s="255"/>
      <c r="AZ753" s="11" t="s">
        <v>2115</v>
      </c>
      <c r="BA753" s="186" t="s">
        <v>523</v>
      </c>
      <c r="BB753" s="747" t="s">
        <v>1246</v>
      </c>
      <c r="BC753" s="747" t="s">
        <v>1730</v>
      </c>
      <c r="BD753" s="747" t="s">
        <v>248</v>
      </c>
      <c r="BE753" s="186">
        <v>0.04</v>
      </c>
      <c r="BF753" s="186">
        <v>2.5000000000000001E-3</v>
      </c>
      <c r="BG753" s="12">
        <v>2.58</v>
      </c>
      <c r="BH753" s="11"/>
      <c r="BI753" s="186"/>
      <c r="BJ753" s="747"/>
      <c r="BK753" s="747"/>
      <c r="BL753" s="747"/>
      <c r="BM753" s="186"/>
      <c r="BN753" s="186"/>
      <c r="BO753" s="12"/>
      <c r="BP753" s="11"/>
      <c r="BQ753" s="186"/>
      <c r="BR753" s="747"/>
      <c r="BS753" s="747"/>
      <c r="BT753" s="747"/>
      <c r="BU753" s="186"/>
      <c r="BV753" s="186"/>
      <c r="BW753" s="12"/>
    </row>
    <row r="754" spans="35:75">
      <c r="AI754" s="757"/>
      <c r="AJ754" s="195"/>
      <c r="AK754" s="186"/>
      <c r="AL754" s="747"/>
      <c r="AM754" s="747"/>
      <c r="AN754" s="747"/>
      <c r="AO754" s="186"/>
      <c r="AP754" s="186"/>
      <c r="AQ754" s="12"/>
      <c r="AR754" s="11"/>
      <c r="AS754" s="186"/>
      <c r="AT754" s="747"/>
      <c r="AU754" s="747"/>
      <c r="AV754" s="747"/>
      <c r="AW754" s="186"/>
      <c r="AX754" s="2"/>
      <c r="AY754" s="255"/>
      <c r="AZ754" s="11" t="s">
        <v>2115</v>
      </c>
      <c r="BA754" s="186" t="s">
        <v>523</v>
      </c>
      <c r="BB754" s="747" t="s">
        <v>1247</v>
      </c>
      <c r="BC754" s="747" t="s">
        <v>1730</v>
      </c>
      <c r="BD754" s="747" t="s">
        <v>248</v>
      </c>
      <c r="BE754" s="186">
        <v>0.04</v>
      </c>
      <c r="BF754" s="186">
        <v>2.5000000000000001E-3</v>
      </c>
      <c r="BG754" s="12">
        <v>2.58</v>
      </c>
      <c r="BH754" s="11"/>
      <c r="BI754" s="186"/>
      <c r="BJ754" s="747"/>
      <c r="BK754" s="747"/>
      <c r="BL754" s="747"/>
      <c r="BM754" s="186"/>
      <c r="BN754" s="186"/>
      <c r="BO754" s="12"/>
      <c r="BP754" s="11"/>
      <c r="BQ754" s="186"/>
      <c r="BR754" s="747"/>
      <c r="BS754" s="747"/>
      <c r="BT754" s="747"/>
      <c r="BU754" s="186"/>
      <c r="BV754" s="186"/>
      <c r="BW754" s="12"/>
    </row>
    <row r="755" spans="35:75">
      <c r="AI755" s="757"/>
      <c r="AJ755" s="195"/>
      <c r="AK755" s="186"/>
      <c r="AL755" s="747"/>
      <c r="AM755" s="747"/>
      <c r="AN755" s="747"/>
      <c r="AO755" s="186"/>
      <c r="AP755" s="186"/>
      <c r="AQ755" s="12"/>
      <c r="AR755" s="11"/>
      <c r="AS755" s="186"/>
      <c r="AT755" s="747"/>
      <c r="AU755" s="747"/>
      <c r="AV755" s="747"/>
      <c r="AW755" s="186"/>
      <c r="AX755" s="2"/>
      <c r="AY755" s="255"/>
      <c r="AZ755" s="11" t="s">
        <v>2115</v>
      </c>
      <c r="BA755" s="186" t="s">
        <v>523</v>
      </c>
      <c r="BB755" s="747" t="s">
        <v>1248</v>
      </c>
      <c r="BC755" s="747" t="s">
        <v>1730</v>
      </c>
      <c r="BD755" s="747" t="s">
        <v>248</v>
      </c>
      <c r="BE755" s="186">
        <v>0.04</v>
      </c>
      <c r="BF755" s="186">
        <v>2.5000000000000001E-3</v>
      </c>
      <c r="BG755" s="12">
        <v>2.58</v>
      </c>
      <c r="BH755" s="11"/>
      <c r="BI755" s="186"/>
      <c r="BJ755" s="747"/>
      <c r="BK755" s="747"/>
      <c r="BL755" s="747"/>
      <c r="BM755" s="186"/>
      <c r="BN755" s="186"/>
      <c r="BO755" s="12"/>
      <c r="BP755" s="11"/>
      <c r="BQ755" s="186"/>
      <c r="BR755" s="747"/>
      <c r="BS755" s="747"/>
      <c r="BT755" s="747"/>
      <c r="BU755" s="186"/>
      <c r="BV755" s="186"/>
      <c r="BW755" s="12"/>
    </row>
    <row r="756" spans="35:75">
      <c r="AI756" s="757"/>
      <c r="AJ756" s="195"/>
      <c r="AK756" s="186"/>
      <c r="AL756" s="747"/>
      <c r="AM756" s="747"/>
      <c r="AN756" s="747"/>
      <c r="AO756" s="186"/>
      <c r="AP756" s="186"/>
      <c r="AQ756" s="12"/>
      <c r="AR756" s="11"/>
      <c r="AS756" s="186"/>
      <c r="AT756" s="747"/>
      <c r="AU756" s="747"/>
      <c r="AV756" s="747"/>
      <c r="AW756" s="186"/>
      <c r="AX756" s="2"/>
      <c r="AY756" s="255"/>
      <c r="AZ756" s="11" t="s">
        <v>2115</v>
      </c>
      <c r="BA756" s="186" t="s">
        <v>523</v>
      </c>
      <c r="BB756" s="747" t="s">
        <v>2820</v>
      </c>
      <c r="BC756" s="747" t="s">
        <v>1730</v>
      </c>
      <c r="BD756" s="747" t="s">
        <v>248</v>
      </c>
      <c r="BE756" s="186">
        <v>0.02</v>
      </c>
      <c r="BF756" s="186">
        <v>1.25E-3</v>
      </c>
      <c r="BG756" s="12">
        <v>2.58</v>
      </c>
      <c r="BH756" s="11"/>
      <c r="BI756" s="186"/>
      <c r="BJ756" s="747"/>
      <c r="BK756" s="747"/>
      <c r="BL756" s="747"/>
      <c r="BM756" s="186"/>
      <c r="BN756" s="186"/>
      <c r="BO756" s="12"/>
      <c r="BP756" s="11"/>
      <c r="BQ756" s="186"/>
      <c r="BR756" s="747"/>
      <c r="BS756" s="747"/>
      <c r="BT756" s="747"/>
      <c r="BU756" s="186"/>
      <c r="BV756" s="186"/>
      <c r="BW756" s="12"/>
    </row>
    <row r="757" spans="35:75">
      <c r="AI757" s="757"/>
      <c r="AJ757" s="195"/>
      <c r="AK757" s="186"/>
      <c r="AL757" s="747"/>
      <c r="AM757" s="747"/>
      <c r="AN757" s="747"/>
      <c r="AO757" s="186"/>
      <c r="AP757" s="186"/>
      <c r="AQ757" s="12"/>
      <c r="AR757" s="11"/>
      <c r="AS757" s="186"/>
      <c r="AT757" s="747"/>
      <c r="AU757" s="747"/>
      <c r="AV757" s="747"/>
      <c r="AW757" s="186"/>
      <c r="AX757" s="2"/>
      <c r="AY757" s="255"/>
      <c r="AZ757" s="11" t="s">
        <v>2115</v>
      </c>
      <c r="BA757" s="186" t="s">
        <v>523</v>
      </c>
      <c r="BB757" s="747" t="s">
        <v>2721</v>
      </c>
      <c r="BC757" s="747" t="s">
        <v>1730</v>
      </c>
      <c r="BD757" s="747" t="s">
        <v>248</v>
      </c>
      <c r="BE757" s="186">
        <v>0.02</v>
      </c>
      <c r="BF757" s="186">
        <v>1.25E-3</v>
      </c>
      <c r="BG757" s="12">
        <v>2.58</v>
      </c>
      <c r="BH757" s="11"/>
      <c r="BI757" s="186"/>
      <c r="BJ757" s="747"/>
      <c r="BK757" s="747"/>
      <c r="BL757" s="747"/>
      <c r="BM757" s="186"/>
      <c r="BN757" s="186"/>
      <c r="BO757" s="12"/>
      <c r="BP757" s="11"/>
      <c r="BQ757" s="186"/>
      <c r="BR757" s="747"/>
      <c r="BS757" s="747"/>
      <c r="BT757" s="747"/>
      <c r="BU757" s="186"/>
      <c r="BV757" s="186"/>
      <c r="BW757" s="12"/>
    </row>
    <row r="758" spans="35:75">
      <c r="AI758" s="757"/>
      <c r="AJ758" s="195"/>
      <c r="AK758" s="186"/>
      <c r="AL758" s="747"/>
      <c r="AM758" s="747"/>
      <c r="AN758" s="747"/>
      <c r="AO758" s="186"/>
      <c r="AP758" s="186"/>
      <c r="AQ758" s="12"/>
      <c r="AR758" s="11"/>
      <c r="AS758" s="186"/>
      <c r="AT758" s="747"/>
      <c r="AU758" s="747"/>
      <c r="AV758" s="747"/>
      <c r="AW758" s="186"/>
      <c r="AX758" s="2"/>
      <c r="AY758" s="255"/>
      <c r="AZ758" s="11" t="s">
        <v>2115</v>
      </c>
      <c r="BA758" s="186" t="s">
        <v>523</v>
      </c>
      <c r="BB758" s="747" t="s">
        <v>1249</v>
      </c>
      <c r="BC758" s="747" t="s">
        <v>1730</v>
      </c>
      <c r="BD758" s="747" t="s">
        <v>248</v>
      </c>
      <c r="BE758" s="186">
        <v>0.02</v>
      </c>
      <c r="BF758" s="186">
        <v>1.25E-3</v>
      </c>
      <c r="BG758" s="12">
        <v>2.58</v>
      </c>
      <c r="BH758" s="11"/>
      <c r="BI758" s="186"/>
      <c r="BJ758" s="747"/>
      <c r="BK758" s="747"/>
      <c r="BL758" s="747"/>
      <c r="BM758" s="186"/>
      <c r="BN758" s="186"/>
      <c r="BO758" s="12"/>
      <c r="BP758" s="11"/>
      <c r="BQ758" s="186"/>
      <c r="BR758" s="747"/>
      <c r="BS758" s="747"/>
      <c r="BT758" s="747"/>
      <c r="BU758" s="186"/>
      <c r="BV758" s="186"/>
      <c r="BW758" s="12"/>
    </row>
    <row r="759" spans="35:75">
      <c r="AI759" s="757"/>
      <c r="AJ759" s="195"/>
      <c r="AK759" s="186"/>
      <c r="AL759" s="747"/>
      <c r="AM759" s="747"/>
      <c r="AN759" s="747"/>
      <c r="AO759" s="186"/>
      <c r="AP759" s="186"/>
      <c r="AQ759" s="12"/>
      <c r="AR759" s="11"/>
      <c r="AS759" s="186"/>
      <c r="AT759" s="747"/>
      <c r="AU759" s="747"/>
      <c r="AV759" s="747"/>
      <c r="AW759" s="186"/>
      <c r="AX759" s="2"/>
      <c r="AY759" s="255"/>
      <c r="AZ759" s="11" t="s">
        <v>2115</v>
      </c>
      <c r="BA759" s="186" t="s">
        <v>523</v>
      </c>
      <c r="BB759" s="747" t="s">
        <v>1250</v>
      </c>
      <c r="BC759" s="747" t="s">
        <v>1180</v>
      </c>
      <c r="BD759" s="747" t="s">
        <v>248</v>
      </c>
      <c r="BE759" s="186">
        <v>0.04</v>
      </c>
      <c r="BF759" s="186">
        <v>2.5000000000000001E-3</v>
      </c>
      <c r="BG759" s="12">
        <v>2.58</v>
      </c>
      <c r="BH759" s="11"/>
      <c r="BI759" s="186"/>
      <c r="BJ759" s="747"/>
      <c r="BK759" s="747"/>
      <c r="BL759" s="747"/>
      <c r="BM759" s="186"/>
      <c r="BN759" s="186"/>
      <c r="BO759" s="12"/>
      <c r="BP759" s="11"/>
      <c r="BQ759" s="186"/>
      <c r="BR759" s="747"/>
      <c r="BS759" s="747"/>
      <c r="BT759" s="747"/>
      <c r="BU759" s="186"/>
      <c r="BV759" s="186"/>
      <c r="BW759" s="12"/>
    </row>
    <row r="760" spans="35:75">
      <c r="AI760" s="757"/>
      <c r="AJ760" s="195"/>
      <c r="AK760" s="186"/>
      <c r="AL760" s="747"/>
      <c r="AM760" s="747"/>
      <c r="AN760" s="747"/>
      <c r="AO760" s="186"/>
      <c r="AP760" s="186"/>
      <c r="AQ760" s="12"/>
      <c r="AR760" s="11"/>
      <c r="AS760" s="186"/>
      <c r="AT760" s="747"/>
      <c r="AU760" s="747"/>
      <c r="AV760" s="747"/>
      <c r="AW760" s="186"/>
      <c r="AX760" s="2"/>
      <c r="AY760" s="255"/>
      <c r="AZ760" s="11" t="s">
        <v>2115</v>
      </c>
      <c r="BA760" s="186" t="s">
        <v>523</v>
      </c>
      <c r="BB760" s="747" t="s">
        <v>1251</v>
      </c>
      <c r="BC760" s="747" t="s">
        <v>1180</v>
      </c>
      <c r="BD760" s="747" t="s">
        <v>248</v>
      </c>
      <c r="BE760" s="186">
        <v>0.04</v>
      </c>
      <c r="BF760" s="186">
        <v>2.5000000000000001E-3</v>
      </c>
      <c r="BG760" s="12">
        <v>2.58</v>
      </c>
      <c r="BH760" s="11"/>
      <c r="BI760" s="186"/>
      <c r="BJ760" s="747"/>
      <c r="BK760" s="747"/>
      <c r="BL760" s="747"/>
      <c r="BM760" s="186"/>
      <c r="BN760" s="186"/>
      <c r="BO760" s="12"/>
      <c r="BP760" s="11"/>
      <c r="BQ760" s="186"/>
      <c r="BR760" s="747"/>
      <c r="BS760" s="747"/>
      <c r="BT760" s="747"/>
      <c r="BU760" s="186"/>
      <c r="BV760" s="186"/>
      <c r="BW760" s="12"/>
    </row>
    <row r="761" spans="35:75">
      <c r="AI761" s="757"/>
      <c r="AJ761" s="195"/>
      <c r="AK761" s="186"/>
      <c r="AL761" s="747"/>
      <c r="AM761" s="747"/>
      <c r="AN761" s="747"/>
      <c r="AO761" s="186"/>
      <c r="AP761" s="186"/>
      <c r="AQ761" s="12"/>
      <c r="AR761" s="11"/>
      <c r="AS761" s="186"/>
      <c r="AT761" s="747"/>
      <c r="AU761" s="747"/>
      <c r="AV761" s="747"/>
      <c r="AW761" s="186"/>
      <c r="AX761" s="2"/>
      <c r="AY761" s="255"/>
      <c r="AZ761" s="11" t="s">
        <v>2115</v>
      </c>
      <c r="BA761" s="186" t="s">
        <v>523</v>
      </c>
      <c r="BB761" s="747" t="s">
        <v>1252</v>
      </c>
      <c r="BC761" s="747" t="s">
        <v>1180</v>
      </c>
      <c r="BD761" s="747" t="s">
        <v>248</v>
      </c>
      <c r="BE761" s="186">
        <v>0.04</v>
      </c>
      <c r="BF761" s="186">
        <v>2.5000000000000001E-3</v>
      </c>
      <c r="BG761" s="12">
        <v>2.58</v>
      </c>
      <c r="BH761" s="11"/>
      <c r="BI761" s="186"/>
      <c r="BJ761" s="747"/>
      <c r="BK761" s="747"/>
      <c r="BL761" s="747"/>
      <c r="BM761" s="186"/>
      <c r="BN761" s="186"/>
      <c r="BO761" s="12"/>
      <c r="BP761" s="11"/>
      <c r="BQ761" s="186"/>
      <c r="BR761" s="747"/>
      <c r="BS761" s="747"/>
      <c r="BT761" s="747"/>
      <c r="BU761" s="186"/>
      <c r="BV761" s="186"/>
      <c r="BW761" s="12"/>
    </row>
    <row r="762" spans="35:75">
      <c r="AI762" s="757"/>
      <c r="AJ762" s="195"/>
      <c r="AK762" s="186"/>
      <c r="AL762" s="747"/>
      <c r="AM762" s="747"/>
      <c r="AN762" s="747"/>
      <c r="AO762" s="186"/>
      <c r="AP762" s="186"/>
      <c r="AQ762" s="12"/>
      <c r="AR762" s="11"/>
      <c r="AS762" s="186"/>
      <c r="AT762" s="747"/>
      <c r="AU762" s="747"/>
      <c r="AV762" s="747"/>
      <c r="AW762" s="186"/>
      <c r="AX762" s="2"/>
      <c r="AY762" s="255"/>
      <c r="AZ762" s="11" t="s">
        <v>2115</v>
      </c>
      <c r="BA762" s="186" t="s">
        <v>523</v>
      </c>
      <c r="BB762" s="747" t="s">
        <v>1253</v>
      </c>
      <c r="BC762" s="747" t="s">
        <v>1181</v>
      </c>
      <c r="BD762" s="747" t="s">
        <v>248</v>
      </c>
      <c r="BE762" s="186">
        <v>0.02</v>
      </c>
      <c r="BF762" s="186">
        <v>1.25E-3</v>
      </c>
      <c r="BG762" s="12">
        <v>2.58</v>
      </c>
      <c r="BH762" s="11"/>
      <c r="BI762" s="186"/>
      <c r="BJ762" s="747"/>
      <c r="BK762" s="747"/>
      <c r="BL762" s="747"/>
      <c r="BM762" s="186"/>
      <c r="BN762" s="186"/>
      <c r="BO762" s="12"/>
      <c r="BP762" s="11"/>
      <c r="BQ762" s="186"/>
      <c r="BR762" s="747"/>
      <c r="BS762" s="747"/>
      <c r="BT762" s="747"/>
      <c r="BU762" s="186"/>
      <c r="BV762" s="186"/>
      <c r="BW762" s="12"/>
    </row>
    <row r="763" spans="35:75">
      <c r="AI763" s="757"/>
      <c r="AJ763" s="195"/>
      <c r="AK763" s="186"/>
      <c r="AL763" s="747"/>
      <c r="AM763" s="747"/>
      <c r="AN763" s="747"/>
      <c r="AO763" s="186"/>
      <c r="AP763" s="186"/>
      <c r="AQ763" s="12"/>
      <c r="AR763" s="11"/>
      <c r="AS763" s="186"/>
      <c r="AT763" s="747"/>
      <c r="AU763" s="747"/>
      <c r="AV763" s="747"/>
      <c r="AW763" s="186"/>
      <c r="AX763" s="2"/>
      <c r="AY763" s="255"/>
      <c r="AZ763" s="11" t="s">
        <v>2115</v>
      </c>
      <c r="BA763" s="186" t="s">
        <v>523</v>
      </c>
      <c r="BB763" s="747" t="s">
        <v>1254</v>
      </c>
      <c r="BC763" s="747" t="s">
        <v>1181</v>
      </c>
      <c r="BD763" s="747" t="s">
        <v>248</v>
      </c>
      <c r="BE763" s="186">
        <v>0.02</v>
      </c>
      <c r="BF763" s="186">
        <v>1.25E-3</v>
      </c>
      <c r="BG763" s="12">
        <v>2.58</v>
      </c>
      <c r="BH763" s="11"/>
      <c r="BI763" s="186"/>
      <c r="BJ763" s="747"/>
      <c r="BK763" s="747"/>
      <c r="BL763" s="747"/>
      <c r="BM763" s="186"/>
      <c r="BN763" s="186"/>
      <c r="BO763" s="12"/>
      <c r="BP763" s="11"/>
      <c r="BQ763" s="186"/>
      <c r="BR763" s="747"/>
      <c r="BS763" s="747"/>
      <c r="BT763" s="747"/>
      <c r="BU763" s="186"/>
      <c r="BV763" s="186"/>
      <c r="BW763" s="12"/>
    </row>
    <row r="764" spans="35:75">
      <c r="AI764" s="757"/>
      <c r="AJ764" s="195"/>
      <c r="AK764" s="186"/>
      <c r="AL764" s="747"/>
      <c r="AM764" s="747"/>
      <c r="AN764" s="747"/>
      <c r="AO764" s="186"/>
      <c r="AP764" s="186"/>
      <c r="AQ764" s="12"/>
      <c r="AR764" s="11"/>
      <c r="AS764" s="186"/>
      <c r="AT764" s="747"/>
      <c r="AU764" s="747"/>
      <c r="AV764" s="747"/>
      <c r="AW764" s="186"/>
      <c r="AX764" s="2"/>
      <c r="AY764" s="255"/>
      <c r="AZ764" s="11" t="s">
        <v>2115</v>
      </c>
      <c r="BA764" s="186" t="s">
        <v>523</v>
      </c>
      <c r="BB764" s="747" t="s">
        <v>1255</v>
      </c>
      <c r="BC764" s="747" t="s">
        <v>1181</v>
      </c>
      <c r="BD764" s="747" t="s">
        <v>248</v>
      </c>
      <c r="BE764" s="186">
        <v>0.02</v>
      </c>
      <c r="BF764" s="186">
        <v>1.25E-3</v>
      </c>
      <c r="BG764" s="12">
        <v>2.58</v>
      </c>
      <c r="BH764" s="11"/>
      <c r="BI764" s="186"/>
      <c r="BJ764" s="747"/>
      <c r="BK764" s="747"/>
      <c r="BL764" s="747"/>
      <c r="BM764" s="186"/>
      <c r="BN764" s="186"/>
      <c r="BO764" s="12"/>
      <c r="BP764" s="11"/>
      <c r="BQ764" s="186"/>
      <c r="BR764" s="747"/>
      <c r="BS764" s="747"/>
      <c r="BT764" s="747"/>
      <c r="BU764" s="186"/>
      <c r="BV764" s="186"/>
      <c r="BW764" s="12"/>
    </row>
    <row r="765" spans="35:75">
      <c r="AI765" s="757"/>
      <c r="AJ765" s="195"/>
      <c r="AK765" s="186"/>
      <c r="AL765" s="747"/>
      <c r="AM765" s="747"/>
      <c r="AN765" s="747"/>
      <c r="AO765" s="186"/>
      <c r="AP765" s="186"/>
      <c r="AQ765" s="12"/>
      <c r="AR765" s="11"/>
      <c r="AS765" s="186"/>
      <c r="AT765" s="747"/>
      <c r="AU765" s="747"/>
      <c r="AV765" s="747"/>
      <c r="AW765" s="186"/>
      <c r="AX765" s="2"/>
      <c r="AY765" s="255"/>
      <c r="AZ765" s="11" t="s">
        <v>2115</v>
      </c>
      <c r="BA765" s="186" t="s">
        <v>523</v>
      </c>
      <c r="BB765" s="747" t="s">
        <v>1256</v>
      </c>
      <c r="BC765" s="693" t="s">
        <v>1730</v>
      </c>
      <c r="BD765" s="747" t="s">
        <v>248</v>
      </c>
      <c r="BE765" s="186">
        <v>7.2000000000000008E-2</v>
      </c>
      <c r="BF765" s="186">
        <v>4.5000000000000005E-3</v>
      </c>
      <c r="BG765" s="12">
        <v>2.58</v>
      </c>
      <c r="BH765" s="11"/>
      <c r="BI765" s="186"/>
      <c r="BJ765" s="747"/>
      <c r="BK765" s="747"/>
      <c r="BL765" s="747"/>
      <c r="BM765" s="186"/>
      <c r="BN765" s="186"/>
      <c r="BO765" s="12"/>
      <c r="BP765" s="11"/>
      <c r="BQ765" s="186"/>
      <c r="BR765" s="747"/>
      <c r="BS765" s="747"/>
      <c r="BT765" s="747"/>
      <c r="BU765" s="186"/>
      <c r="BV765" s="186"/>
      <c r="BW765" s="12"/>
    </row>
    <row r="766" spans="35:75">
      <c r="AI766" s="757"/>
      <c r="AJ766" s="195"/>
      <c r="AK766" s="186"/>
      <c r="AL766" s="747"/>
      <c r="AM766" s="747"/>
      <c r="AN766" s="747"/>
      <c r="AO766" s="186"/>
      <c r="AP766" s="186"/>
      <c r="AQ766" s="12"/>
      <c r="AR766" s="11"/>
      <c r="AS766" s="186"/>
      <c r="AT766" s="747"/>
      <c r="AU766" s="747"/>
      <c r="AV766" s="747"/>
      <c r="AW766" s="186"/>
      <c r="AX766" s="2"/>
      <c r="AY766" s="255"/>
      <c r="AZ766" s="11" t="s">
        <v>2115</v>
      </c>
      <c r="BA766" s="186" t="s">
        <v>523</v>
      </c>
      <c r="BB766" s="747" t="s">
        <v>1257</v>
      </c>
      <c r="BC766" s="693" t="s">
        <v>1730</v>
      </c>
      <c r="BD766" s="747" t="s">
        <v>248</v>
      </c>
      <c r="BE766" s="186">
        <v>7.2000000000000008E-2</v>
      </c>
      <c r="BF766" s="186">
        <v>4.5000000000000005E-3</v>
      </c>
      <c r="BG766" s="12">
        <v>2.58</v>
      </c>
      <c r="BH766" s="11"/>
      <c r="BI766" s="186"/>
      <c r="BJ766" s="747"/>
      <c r="BK766" s="747"/>
      <c r="BL766" s="747"/>
      <c r="BM766" s="186"/>
      <c r="BN766" s="186"/>
      <c r="BO766" s="12"/>
      <c r="BP766" s="11"/>
      <c r="BQ766" s="186"/>
      <c r="BR766" s="747"/>
      <c r="BS766" s="747"/>
      <c r="BT766" s="747"/>
      <c r="BU766" s="186"/>
      <c r="BV766" s="186"/>
      <c r="BW766" s="12"/>
    </row>
    <row r="767" spans="35:75">
      <c r="AI767" s="757"/>
      <c r="AJ767" s="195"/>
      <c r="AK767" s="186"/>
      <c r="AL767" s="747"/>
      <c r="AM767" s="747"/>
      <c r="AN767" s="747"/>
      <c r="AO767" s="186"/>
      <c r="AP767" s="186"/>
      <c r="AQ767" s="12"/>
      <c r="AR767" s="11"/>
      <c r="AS767" s="186"/>
      <c r="AT767" s="747"/>
      <c r="AU767" s="747"/>
      <c r="AV767" s="747"/>
      <c r="AW767" s="186"/>
      <c r="AX767" s="2"/>
      <c r="AY767" s="255"/>
      <c r="AZ767" s="11" t="s">
        <v>2115</v>
      </c>
      <c r="BA767" s="186" t="s">
        <v>523</v>
      </c>
      <c r="BB767" s="747" t="s">
        <v>1258</v>
      </c>
      <c r="BC767" s="693" t="s">
        <v>1730</v>
      </c>
      <c r="BD767" s="747" t="s">
        <v>248</v>
      </c>
      <c r="BE767" s="186">
        <v>7.2000000000000008E-2</v>
      </c>
      <c r="BF767" s="186">
        <v>4.5000000000000005E-3</v>
      </c>
      <c r="BG767" s="12">
        <v>2.58</v>
      </c>
      <c r="BH767" s="11"/>
      <c r="BI767" s="186"/>
      <c r="BJ767" s="747"/>
      <c r="BK767" s="747"/>
      <c r="BL767" s="747"/>
      <c r="BM767" s="186"/>
      <c r="BN767" s="186"/>
      <c r="BO767" s="12"/>
      <c r="BP767" s="11"/>
      <c r="BQ767" s="186"/>
      <c r="BR767" s="747"/>
      <c r="BS767" s="747"/>
      <c r="BT767" s="747"/>
      <c r="BU767" s="186"/>
      <c r="BV767" s="186"/>
      <c r="BW767" s="12"/>
    </row>
    <row r="768" spans="35:75">
      <c r="AI768" s="757"/>
      <c r="AJ768" s="195"/>
      <c r="AK768" s="186"/>
      <c r="AL768" s="747"/>
      <c r="AM768" s="747"/>
      <c r="AN768" s="747"/>
      <c r="AO768" s="186"/>
      <c r="AP768" s="186"/>
      <c r="AQ768" s="12"/>
      <c r="AR768" s="11"/>
      <c r="AS768" s="186"/>
      <c r="AT768" s="747"/>
      <c r="AU768" s="747"/>
      <c r="AV768" s="747"/>
      <c r="AW768" s="186"/>
      <c r="AX768" s="2"/>
      <c r="AY768" s="255"/>
      <c r="AZ768" s="11" t="s">
        <v>2115</v>
      </c>
      <c r="BA768" s="186" t="s">
        <v>523</v>
      </c>
      <c r="BB768" s="747" t="s">
        <v>1259</v>
      </c>
      <c r="BC768" s="693" t="s">
        <v>1730</v>
      </c>
      <c r="BD768" s="747" t="s">
        <v>248</v>
      </c>
      <c r="BE768" s="186">
        <v>7.2000000000000008E-2</v>
      </c>
      <c r="BF768" s="186">
        <v>4.5000000000000005E-3</v>
      </c>
      <c r="BG768" s="12">
        <v>2.58</v>
      </c>
      <c r="BH768" s="11"/>
      <c r="BI768" s="186"/>
      <c r="BJ768" s="747"/>
      <c r="BK768" s="747"/>
      <c r="BL768" s="747"/>
      <c r="BM768" s="186"/>
      <c r="BN768" s="186"/>
      <c r="BO768" s="12"/>
      <c r="BP768" s="11"/>
      <c r="BQ768" s="186"/>
      <c r="BR768" s="747"/>
      <c r="BS768" s="747"/>
      <c r="BT768" s="747"/>
      <c r="BU768" s="186"/>
      <c r="BV768" s="186"/>
      <c r="BW768" s="12"/>
    </row>
    <row r="769" spans="35:75">
      <c r="AI769" s="757"/>
      <c r="AJ769" s="195"/>
      <c r="AK769" s="186"/>
      <c r="AL769" s="747"/>
      <c r="AM769" s="747"/>
      <c r="AN769" s="747"/>
      <c r="AO769" s="186"/>
      <c r="AP769" s="186"/>
      <c r="AQ769" s="12"/>
      <c r="AR769" s="11"/>
      <c r="AS769" s="186"/>
      <c r="AT769" s="747"/>
      <c r="AU769" s="747"/>
      <c r="AV769" s="747"/>
      <c r="AW769" s="186"/>
      <c r="AX769" s="2"/>
      <c r="AY769" s="255"/>
      <c r="AZ769" s="11" t="s">
        <v>2115</v>
      </c>
      <c r="BA769" s="186" t="s">
        <v>523</v>
      </c>
      <c r="BB769" s="747" t="s">
        <v>1260</v>
      </c>
      <c r="BC769" s="693" t="s">
        <v>1730</v>
      </c>
      <c r="BD769" s="747" t="s">
        <v>248</v>
      </c>
      <c r="BE769" s="186">
        <v>7.2000000000000008E-2</v>
      </c>
      <c r="BF769" s="186">
        <v>4.5000000000000005E-3</v>
      </c>
      <c r="BG769" s="12">
        <v>2.58</v>
      </c>
      <c r="BH769" s="11"/>
      <c r="BI769" s="186"/>
      <c r="BJ769" s="747"/>
      <c r="BK769" s="747"/>
      <c r="BL769" s="747"/>
      <c r="BM769" s="186"/>
      <c r="BN769" s="186"/>
      <c r="BO769" s="12"/>
      <c r="BP769" s="11"/>
      <c r="BQ769" s="186"/>
      <c r="BR769" s="747"/>
      <c r="BS769" s="747"/>
      <c r="BT769" s="747"/>
      <c r="BU769" s="186"/>
      <c r="BV769" s="186"/>
      <c r="BW769" s="12"/>
    </row>
    <row r="770" spans="35:75">
      <c r="AI770" s="757"/>
      <c r="AJ770" s="195"/>
      <c r="AK770" s="186"/>
      <c r="AL770" s="747"/>
      <c r="AM770" s="747"/>
      <c r="AN770" s="747"/>
      <c r="AO770" s="186"/>
      <c r="AP770" s="186"/>
      <c r="AQ770" s="12"/>
      <c r="AR770" s="11"/>
      <c r="AS770" s="186"/>
      <c r="AT770" s="747"/>
      <c r="AU770" s="747"/>
      <c r="AV770" s="747"/>
      <c r="AW770" s="186"/>
      <c r="AX770" s="2"/>
      <c r="AY770" s="255"/>
      <c r="AZ770" s="11" t="s">
        <v>2115</v>
      </c>
      <c r="BA770" s="186" t="s">
        <v>523</v>
      </c>
      <c r="BB770" s="747" t="s">
        <v>1261</v>
      </c>
      <c r="BC770" s="693" t="s">
        <v>1730</v>
      </c>
      <c r="BD770" s="747" t="s">
        <v>248</v>
      </c>
      <c r="BE770" s="186">
        <v>7.2000000000000008E-2</v>
      </c>
      <c r="BF770" s="186">
        <v>4.5000000000000005E-3</v>
      </c>
      <c r="BG770" s="12">
        <v>2.58</v>
      </c>
      <c r="BH770" s="11"/>
      <c r="BI770" s="186"/>
      <c r="BJ770" s="747"/>
      <c r="BK770" s="747"/>
      <c r="BL770" s="747"/>
      <c r="BM770" s="186"/>
      <c r="BN770" s="186"/>
      <c r="BO770" s="12"/>
      <c r="BP770" s="11"/>
      <c r="BQ770" s="186"/>
      <c r="BR770" s="747"/>
      <c r="BS770" s="747"/>
      <c r="BT770" s="747"/>
      <c r="BU770" s="186"/>
      <c r="BV770" s="186"/>
      <c r="BW770" s="12"/>
    </row>
    <row r="771" spans="35:75">
      <c r="AI771" s="757"/>
      <c r="AJ771" s="195"/>
      <c r="AK771" s="186"/>
      <c r="AL771" s="747"/>
      <c r="AM771" s="747"/>
      <c r="AN771" s="747"/>
      <c r="AO771" s="186"/>
      <c r="AP771" s="186"/>
      <c r="AQ771" s="12"/>
      <c r="AR771" s="11"/>
      <c r="AS771" s="186"/>
      <c r="AT771" s="747"/>
      <c r="AU771" s="747"/>
      <c r="AV771" s="747"/>
      <c r="AW771" s="186"/>
      <c r="AX771" s="2"/>
      <c r="AY771" s="255"/>
      <c r="AZ771" s="11" t="s">
        <v>2115</v>
      </c>
      <c r="BA771" s="186" t="s">
        <v>523</v>
      </c>
      <c r="BB771" s="747" t="s">
        <v>1262</v>
      </c>
      <c r="BC771" s="693" t="s">
        <v>1730</v>
      </c>
      <c r="BD771" s="747" t="s">
        <v>248</v>
      </c>
      <c r="BE771" s="186">
        <v>7.2000000000000008E-2</v>
      </c>
      <c r="BF771" s="186">
        <v>4.5000000000000005E-3</v>
      </c>
      <c r="BG771" s="12">
        <v>2.58</v>
      </c>
      <c r="BH771" s="11"/>
      <c r="BI771" s="186"/>
      <c r="BJ771" s="747"/>
      <c r="BK771" s="747"/>
      <c r="BL771" s="747"/>
      <c r="BM771" s="186"/>
      <c r="BN771" s="186"/>
      <c r="BO771" s="12"/>
      <c r="BP771" s="11"/>
      <c r="BQ771" s="186"/>
      <c r="BR771" s="747"/>
      <c r="BS771" s="747"/>
      <c r="BT771" s="747"/>
      <c r="BU771" s="186"/>
      <c r="BV771" s="186"/>
      <c r="BW771" s="12"/>
    </row>
    <row r="772" spans="35:75">
      <c r="AI772" s="757"/>
      <c r="AJ772" s="195"/>
      <c r="AK772" s="186"/>
      <c r="AL772" s="747"/>
      <c r="AM772" s="747"/>
      <c r="AN772" s="747"/>
      <c r="AO772" s="186"/>
      <c r="AP772" s="186"/>
      <c r="AQ772" s="12"/>
      <c r="AR772" s="11"/>
      <c r="AS772" s="186"/>
      <c r="AT772" s="747"/>
      <c r="AU772" s="747"/>
      <c r="AV772" s="747"/>
      <c r="AW772" s="186"/>
      <c r="AX772" s="2"/>
      <c r="AY772" s="255"/>
      <c r="AZ772" s="11" t="s">
        <v>2115</v>
      </c>
      <c r="BA772" s="186" t="s">
        <v>523</v>
      </c>
      <c r="BB772" s="747" t="s">
        <v>1263</v>
      </c>
      <c r="BC772" s="693" t="s">
        <v>1730</v>
      </c>
      <c r="BD772" s="747" t="s">
        <v>248</v>
      </c>
      <c r="BE772" s="186">
        <v>7.2000000000000008E-2</v>
      </c>
      <c r="BF772" s="186">
        <v>4.5000000000000005E-3</v>
      </c>
      <c r="BG772" s="12">
        <v>2.58</v>
      </c>
      <c r="BH772" s="11"/>
      <c r="BI772" s="186"/>
      <c r="BJ772" s="747"/>
      <c r="BK772" s="747"/>
      <c r="BL772" s="747"/>
      <c r="BM772" s="186"/>
      <c r="BN772" s="186"/>
      <c r="BO772" s="12"/>
      <c r="BP772" s="11"/>
      <c r="BQ772" s="186"/>
      <c r="BR772" s="747"/>
      <c r="BS772" s="747"/>
      <c r="BT772" s="747"/>
      <c r="BU772" s="186"/>
      <c r="BV772" s="186"/>
      <c r="BW772" s="12"/>
    </row>
    <row r="773" spans="35:75">
      <c r="AI773" s="757"/>
      <c r="AJ773" s="195"/>
      <c r="AK773" s="186"/>
      <c r="AL773" s="747"/>
      <c r="AM773" s="747"/>
      <c r="AN773" s="747"/>
      <c r="AO773" s="186"/>
      <c r="AP773" s="186"/>
      <c r="AQ773" s="12"/>
      <c r="AR773" s="11"/>
      <c r="AS773" s="186"/>
      <c r="AT773" s="747"/>
      <c r="AU773" s="747"/>
      <c r="AV773" s="747"/>
      <c r="AW773" s="186"/>
      <c r="AX773" s="2"/>
      <c r="AY773" s="255"/>
      <c r="AZ773" s="11" t="s">
        <v>2115</v>
      </c>
      <c r="BA773" s="186" t="s">
        <v>523</v>
      </c>
      <c r="BB773" s="747" t="s">
        <v>1264</v>
      </c>
      <c r="BC773" s="693" t="s">
        <v>1730</v>
      </c>
      <c r="BD773" s="747" t="s">
        <v>248</v>
      </c>
      <c r="BE773" s="186">
        <v>7.2000000000000008E-2</v>
      </c>
      <c r="BF773" s="186">
        <v>4.5000000000000005E-3</v>
      </c>
      <c r="BG773" s="12">
        <v>2.58</v>
      </c>
      <c r="BH773" s="11"/>
      <c r="BI773" s="186"/>
      <c r="BJ773" s="747"/>
      <c r="BK773" s="747"/>
      <c r="BL773" s="747"/>
      <c r="BM773" s="186"/>
      <c r="BN773" s="186"/>
      <c r="BO773" s="12"/>
      <c r="BP773" s="11"/>
      <c r="BQ773" s="186"/>
      <c r="BR773" s="747"/>
      <c r="BS773" s="747"/>
      <c r="BT773" s="747"/>
      <c r="BU773" s="186"/>
      <c r="BV773" s="186"/>
      <c r="BW773" s="12"/>
    </row>
    <row r="774" spans="35:75">
      <c r="AI774" s="757"/>
      <c r="AJ774" s="195"/>
      <c r="AK774" s="186"/>
      <c r="AL774" s="747"/>
      <c r="AM774" s="747"/>
      <c r="AN774" s="747"/>
      <c r="AO774" s="186"/>
      <c r="AP774" s="186"/>
      <c r="AQ774" s="12"/>
      <c r="AR774" s="11"/>
      <c r="AS774" s="186"/>
      <c r="AT774" s="747"/>
      <c r="AU774" s="747"/>
      <c r="AV774" s="747"/>
      <c r="AW774" s="186"/>
      <c r="AX774" s="2"/>
      <c r="AY774" s="255"/>
      <c r="AZ774" s="685" t="s">
        <v>2115</v>
      </c>
      <c r="BA774" s="686" t="s">
        <v>2496</v>
      </c>
      <c r="BB774" s="687" t="s">
        <v>2680</v>
      </c>
      <c r="BC774" s="687" t="s">
        <v>1730</v>
      </c>
      <c r="BD774" s="687" t="s">
        <v>2490</v>
      </c>
      <c r="BE774" s="686">
        <v>0.15</v>
      </c>
      <c r="BF774" s="686">
        <v>5.0000000000000001E-3</v>
      </c>
      <c r="BG774" s="688">
        <v>2.58</v>
      </c>
      <c r="BH774" s="11"/>
      <c r="BI774" s="186"/>
      <c r="BJ774" s="747"/>
      <c r="BK774" s="747"/>
      <c r="BL774" s="747"/>
      <c r="BM774" s="186"/>
      <c r="BN774" s="186"/>
      <c r="BO774" s="12"/>
      <c r="BP774" s="11"/>
      <c r="BQ774" s="186"/>
      <c r="BR774" s="747"/>
      <c r="BS774" s="747"/>
      <c r="BT774" s="747"/>
      <c r="BU774" s="186"/>
      <c r="BV774" s="186"/>
      <c r="BW774" s="12"/>
    </row>
    <row r="775" spans="35:75">
      <c r="AI775" s="757"/>
      <c r="AJ775" s="195"/>
      <c r="AK775" s="186"/>
      <c r="AL775" s="747"/>
      <c r="AM775" s="747"/>
      <c r="AN775" s="747"/>
      <c r="AO775" s="186"/>
      <c r="AP775" s="186"/>
      <c r="AQ775" s="12"/>
      <c r="AR775" s="11"/>
      <c r="AS775" s="186"/>
      <c r="AT775" s="747"/>
      <c r="AU775" s="747"/>
      <c r="AV775" s="747"/>
      <c r="AW775" s="186"/>
      <c r="AX775" s="2"/>
      <c r="AY775" s="255"/>
      <c r="AZ775" s="685" t="s">
        <v>2115</v>
      </c>
      <c r="BA775" s="686" t="s">
        <v>2496</v>
      </c>
      <c r="BB775" s="687" t="s">
        <v>2681</v>
      </c>
      <c r="BC775" s="687" t="s">
        <v>1730</v>
      </c>
      <c r="BD775" s="687" t="s">
        <v>2490</v>
      </c>
      <c r="BE775" s="686">
        <v>7.4999999999999997E-2</v>
      </c>
      <c r="BF775" s="686">
        <v>2.5000000000000001E-3</v>
      </c>
      <c r="BG775" s="688">
        <v>2.58</v>
      </c>
      <c r="BH775" s="11"/>
      <c r="BI775" s="186"/>
      <c r="BJ775" s="747"/>
      <c r="BK775" s="747"/>
      <c r="BL775" s="747"/>
      <c r="BM775" s="186"/>
      <c r="BN775" s="186"/>
      <c r="BO775" s="12"/>
      <c r="BP775" s="11"/>
      <c r="BQ775" s="186"/>
      <c r="BR775" s="747"/>
      <c r="BS775" s="747"/>
      <c r="BT775" s="747"/>
      <c r="BU775" s="186"/>
      <c r="BV775" s="186"/>
      <c r="BW775" s="12"/>
    </row>
    <row r="776" spans="35:75">
      <c r="AI776" s="757"/>
      <c r="AJ776" s="195"/>
      <c r="AK776" s="186"/>
      <c r="AL776" s="747"/>
      <c r="AM776" s="747"/>
      <c r="AN776" s="747"/>
      <c r="AO776" s="186"/>
      <c r="AP776" s="186"/>
      <c r="AQ776" s="12"/>
      <c r="AR776" s="11"/>
      <c r="AS776" s="186"/>
      <c r="AT776" s="747"/>
      <c r="AU776" s="747"/>
      <c r="AV776" s="747"/>
      <c r="AW776" s="186"/>
      <c r="AX776" s="2"/>
      <c r="AY776" s="255"/>
      <c r="AZ776" s="685" t="s">
        <v>2115</v>
      </c>
      <c r="BA776" s="686" t="s">
        <v>2496</v>
      </c>
      <c r="BB776" s="687" t="s">
        <v>2682</v>
      </c>
      <c r="BC776" s="687" t="s">
        <v>1730</v>
      </c>
      <c r="BD776" s="687" t="s">
        <v>2490</v>
      </c>
      <c r="BE776" s="686">
        <v>3.7499999999999999E-2</v>
      </c>
      <c r="BF776" s="686">
        <v>1.25E-3</v>
      </c>
      <c r="BG776" s="688">
        <v>2.58</v>
      </c>
      <c r="BH776" s="11"/>
      <c r="BI776" s="186"/>
      <c r="BJ776" s="747"/>
      <c r="BK776" s="747"/>
      <c r="BL776" s="747"/>
      <c r="BM776" s="186"/>
      <c r="BN776" s="186"/>
      <c r="BO776" s="12"/>
      <c r="BP776" s="11"/>
      <c r="BQ776" s="186"/>
      <c r="BR776" s="747"/>
      <c r="BS776" s="747"/>
      <c r="BT776" s="747"/>
      <c r="BU776" s="186"/>
      <c r="BV776" s="186"/>
      <c r="BW776" s="12"/>
    </row>
    <row r="777" spans="35:75">
      <c r="AI777" s="757"/>
      <c r="AJ777" s="195"/>
      <c r="AK777" s="186"/>
      <c r="AL777" s="747"/>
      <c r="AM777" s="747"/>
      <c r="AN777" s="747"/>
      <c r="AO777" s="186"/>
      <c r="AP777" s="186"/>
      <c r="AQ777" s="12"/>
      <c r="AR777" s="11"/>
      <c r="AS777" s="186"/>
      <c r="AT777" s="747"/>
      <c r="AU777" s="747"/>
      <c r="AV777" s="747"/>
      <c r="AW777" s="186"/>
      <c r="AX777" s="2"/>
      <c r="AY777" s="255"/>
      <c r="AZ777" s="685" t="s">
        <v>2115</v>
      </c>
      <c r="BA777" s="686" t="s">
        <v>2496</v>
      </c>
      <c r="BB777" s="687" t="s">
        <v>2683</v>
      </c>
      <c r="BC777" s="687" t="s">
        <v>1180</v>
      </c>
      <c r="BD777" s="687" t="s">
        <v>2490</v>
      </c>
      <c r="BE777" s="686">
        <v>0.11249999999999999</v>
      </c>
      <c r="BF777" s="686">
        <v>3.7499999999999994E-3</v>
      </c>
      <c r="BG777" s="688">
        <v>2.58</v>
      </c>
      <c r="BH777" s="11"/>
      <c r="BI777" s="186"/>
      <c r="BJ777" s="747"/>
      <c r="BK777" s="747"/>
      <c r="BL777" s="747"/>
      <c r="BM777" s="186"/>
      <c r="BN777" s="186"/>
      <c r="BO777" s="12"/>
      <c r="BP777" s="11"/>
      <c r="BQ777" s="186"/>
      <c r="BR777" s="747"/>
      <c r="BS777" s="747"/>
      <c r="BT777" s="747"/>
      <c r="BU777" s="186"/>
      <c r="BV777" s="186"/>
      <c r="BW777" s="12"/>
    </row>
    <row r="778" spans="35:75">
      <c r="AI778" s="757"/>
      <c r="AJ778" s="195"/>
      <c r="AK778" s="186"/>
      <c r="AL778" s="747"/>
      <c r="AM778" s="747"/>
      <c r="AN778" s="747"/>
      <c r="AO778" s="186"/>
      <c r="AP778" s="186"/>
      <c r="AQ778" s="12"/>
      <c r="AR778" s="11"/>
      <c r="AS778" s="186"/>
      <c r="AT778" s="747"/>
      <c r="AU778" s="747"/>
      <c r="AV778" s="747"/>
      <c r="AW778" s="186"/>
      <c r="AX778" s="2"/>
      <c r="AY778" s="255"/>
      <c r="AZ778" s="685" t="s">
        <v>2115</v>
      </c>
      <c r="BA778" s="686" t="s">
        <v>2496</v>
      </c>
      <c r="BB778" s="687" t="s">
        <v>2684</v>
      </c>
      <c r="BC778" s="687" t="s">
        <v>1180</v>
      </c>
      <c r="BD778" s="687" t="s">
        <v>2490</v>
      </c>
      <c r="BE778" s="686">
        <v>0.11249999999999999</v>
      </c>
      <c r="BF778" s="686">
        <v>3.7499999999999994E-3</v>
      </c>
      <c r="BG778" s="688">
        <v>2.58</v>
      </c>
      <c r="BH778" s="11"/>
      <c r="BI778" s="186"/>
      <c r="BJ778" s="747"/>
      <c r="BK778" s="747"/>
      <c r="BL778" s="747"/>
      <c r="BM778" s="186"/>
      <c r="BN778" s="186"/>
      <c r="BO778" s="12"/>
      <c r="BP778" s="11"/>
      <c r="BQ778" s="186"/>
      <c r="BR778" s="747"/>
      <c r="BS778" s="747"/>
      <c r="BT778" s="747"/>
      <c r="BU778" s="186"/>
      <c r="BV778" s="186"/>
      <c r="BW778" s="12"/>
    </row>
    <row r="779" spans="35:75">
      <c r="AI779" s="757"/>
      <c r="AJ779" s="195"/>
      <c r="AK779" s="186"/>
      <c r="AL779" s="747"/>
      <c r="AM779" s="747"/>
      <c r="AN779" s="747"/>
      <c r="AO779" s="186"/>
      <c r="AP779" s="186"/>
      <c r="AQ779" s="12"/>
      <c r="AR779" s="11"/>
      <c r="AS779" s="186"/>
      <c r="AT779" s="747"/>
      <c r="AU779" s="747"/>
      <c r="AV779" s="747"/>
      <c r="AW779" s="186"/>
      <c r="AX779" s="2"/>
      <c r="AY779" s="255"/>
      <c r="AZ779" s="685" t="s">
        <v>2115</v>
      </c>
      <c r="BA779" s="686" t="s">
        <v>2496</v>
      </c>
      <c r="BB779" s="687" t="s">
        <v>2685</v>
      </c>
      <c r="BC779" s="687" t="s">
        <v>1180</v>
      </c>
      <c r="BD779" s="687" t="s">
        <v>2490</v>
      </c>
      <c r="BE779" s="686">
        <v>0.11249999999999999</v>
      </c>
      <c r="BF779" s="686">
        <v>3.7499999999999994E-3</v>
      </c>
      <c r="BG779" s="688">
        <v>2.58</v>
      </c>
      <c r="BH779" s="11"/>
      <c r="BI779" s="186"/>
      <c r="BJ779" s="747"/>
      <c r="BK779" s="747"/>
      <c r="BL779" s="747"/>
      <c r="BM779" s="186"/>
      <c r="BN779" s="186"/>
      <c r="BO779" s="12"/>
      <c r="BP779" s="11"/>
      <c r="BQ779" s="186"/>
      <c r="BR779" s="747"/>
      <c r="BS779" s="747"/>
      <c r="BT779" s="747"/>
      <c r="BU779" s="186"/>
      <c r="BV779" s="186"/>
      <c r="BW779" s="12"/>
    </row>
    <row r="780" spans="35:75">
      <c r="AI780" s="757"/>
      <c r="AJ780" s="195"/>
      <c r="AK780" s="186"/>
      <c r="AL780" s="747"/>
      <c r="AM780" s="747"/>
      <c r="AN780" s="747"/>
      <c r="AO780" s="186"/>
      <c r="AP780" s="186"/>
      <c r="AQ780" s="12"/>
      <c r="AR780" s="11"/>
      <c r="AS780" s="186"/>
      <c r="AT780" s="747"/>
      <c r="AU780" s="747"/>
      <c r="AV780" s="747"/>
      <c r="AW780" s="186"/>
      <c r="AX780" s="2"/>
      <c r="AY780" s="255"/>
      <c r="AZ780" s="685" t="s">
        <v>2115</v>
      </c>
      <c r="BA780" s="686" t="s">
        <v>2496</v>
      </c>
      <c r="BB780" s="687" t="s">
        <v>2686</v>
      </c>
      <c r="BC780" s="687" t="s">
        <v>277</v>
      </c>
      <c r="BD780" s="687" t="s">
        <v>2490</v>
      </c>
      <c r="BE780" s="686">
        <v>7.4999999999999997E-2</v>
      </c>
      <c r="BF780" s="686">
        <v>2.5000000000000001E-3</v>
      </c>
      <c r="BG780" s="688">
        <v>2.58</v>
      </c>
      <c r="BH780" s="11"/>
      <c r="BI780" s="186"/>
      <c r="BJ780" s="747"/>
      <c r="BK780" s="747"/>
      <c r="BL780" s="747"/>
      <c r="BM780" s="186"/>
      <c r="BN780" s="186"/>
      <c r="BO780" s="12"/>
      <c r="BP780" s="11"/>
      <c r="BQ780" s="186"/>
      <c r="BR780" s="747"/>
      <c r="BS780" s="747"/>
      <c r="BT780" s="747"/>
      <c r="BU780" s="186"/>
      <c r="BV780" s="186"/>
      <c r="BW780" s="12"/>
    </row>
    <row r="781" spans="35:75">
      <c r="AI781" s="757"/>
      <c r="AJ781" s="195"/>
      <c r="AK781" s="186"/>
      <c r="AL781" s="747"/>
      <c r="AM781" s="747"/>
      <c r="AN781" s="747"/>
      <c r="AO781" s="186"/>
      <c r="AP781" s="186"/>
      <c r="AQ781" s="12"/>
      <c r="AR781" s="11"/>
      <c r="AS781" s="186"/>
      <c r="AT781" s="747"/>
      <c r="AU781" s="747"/>
      <c r="AV781" s="747"/>
      <c r="AW781" s="186"/>
      <c r="AX781" s="2"/>
      <c r="AY781" s="255"/>
      <c r="AZ781" s="685" t="s">
        <v>2115</v>
      </c>
      <c r="BA781" s="686" t="s">
        <v>2496</v>
      </c>
      <c r="BB781" s="687" t="s">
        <v>2687</v>
      </c>
      <c r="BC781" s="687" t="s">
        <v>277</v>
      </c>
      <c r="BD781" s="687" t="s">
        <v>2490</v>
      </c>
      <c r="BE781" s="686">
        <v>7.4999999999999997E-2</v>
      </c>
      <c r="BF781" s="686">
        <v>2.5000000000000001E-3</v>
      </c>
      <c r="BG781" s="688">
        <v>2.58</v>
      </c>
      <c r="BH781" s="11"/>
      <c r="BI781" s="186"/>
      <c r="BJ781" s="747"/>
      <c r="BK781" s="747"/>
      <c r="BL781" s="747"/>
      <c r="BM781" s="186"/>
      <c r="BN781" s="186"/>
      <c r="BO781" s="12"/>
      <c r="BP781" s="11"/>
      <c r="BQ781" s="186"/>
      <c r="BR781" s="747"/>
      <c r="BS781" s="747"/>
      <c r="BT781" s="747"/>
      <c r="BU781" s="186"/>
      <c r="BV781" s="186"/>
      <c r="BW781" s="12"/>
    </row>
    <row r="782" spans="35:75">
      <c r="AI782" s="757"/>
      <c r="AJ782" s="195"/>
      <c r="AK782" s="186"/>
      <c r="AL782" s="747"/>
      <c r="AM782" s="747"/>
      <c r="AN782" s="747"/>
      <c r="AO782" s="186"/>
      <c r="AP782" s="186"/>
      <c r="AQ782" s="12"/>
      <c r="AR782" s="11"/>
      <c r="AS782" s="186"/>
      <c r="AT782" s="747"/>
      <c r="AU782" s="747"/>
      <c r="AV782" s="747"/>
      <c r="AW782" s="186"/>
      <c r="AX782" s="2"/>
      <c r="AY782" s="255"/>
      <c r="AZ782" s="685" t="s">
        <v>2115</v>
      </c>
      <c r="BA782" s="686" t="s">
        <v>2496</v>
      </c>
      <c r="BB782" s="687" t="s">
        <v>2688</v>
      </c>
      <c r="BC782" s="687" t="s">
        <v>277</v>
      </c>
      <c r="BD782" s="687" t="s">
        <v>2490</v>
      </c>
      <c r="BE782" s="686">
        <v>7.4999999999999997E-2</v>
      </c>
      <c r="BF782" s="686">
        <v>2.5000000000000001E-3</v>
      </c>
      <c r="BG782" s="688">
        <v>2.58</v>
      </c>
      <c r="BH782" s="11"/>
      <c r="BI782" s="186"/>
      <c r="BJ782" s="747"/>
      <c r="BK782" s="747"/>
      <c r="BL782" s="747"/>
      <c r="BM782" s="186"/>
      <c r="BN782" s="186"/>
      <c r="BO782" s="12"/>
      <c r="BP782" s="11"/>
      <c r="BQ782" s="186"/>
      <c r="BR782" s="747"/>
      <c r="BS782" s="747"/>
      <c r="BT782" s="747"/>
      <c r="BU782" s="186"/>
      <c r="BV782" s="186"/>
      <c r="BW782" s="12"/>
    </row>
    <row r="783" spans="35:75">
      <c r="AI783" s="757"/>
      <c r="AJ783" s="195"/>
      <c r="AK783" s="186"/>
      <c r="AL783" s="747"/>
      <c r="AM783" s="747"/>
      <c r="AN783" s="747"/>
      <c r="AO783" s="186"/>
      <c r="AP783" s="186"/>
      <c r="AQ783" s="12"/>
      <c r="AR783" s="11"/>
      <c r="AS783" s="186"/>
      <c r="AT783" s="747"/>
      <c r="AU783" s="747"/>
      <c r="AV783" s="747"/>
      <c r="AW783" s="186"/>
      <c r="AX783" s="2"/>
      <c r="AY783" s="255"/>
      <c r="AZ783" s="685" t="s">
        <v>2115</v>
      </c>
      <c r="BA783" s="686" t="s">
        <v>2496</v>
      </c>
      <c r="BB783" s="687" t="s">
        <v>2689</v>
      </c>
      <c r="BC783" s="687" t="s">
        <v>2482</v>
      </c>
      <c r="BD783" s="687" t="s">
        <v>2490</v>
      </c>
      <c r="BE783" s="686">
        <v>3.7499999999999999E-2</v>
      </c>
      <c r="BF783" s="686">
        <v>1.25E-3</v>
      </c>
      <c r="BG783" s="688">
        <v>2.58</v>
      </c>
      <c r="BH783" s="11"/>
      <c r="BI783" s="186"/>
      <c r="BJ783" s="747"/>
      <c r="BK783" s="747"/>
      <c r="BL783" s="747"/>
      <c r="BM783" s="186"/>
      <c r="BN783" s="186"/>
      <c r="BO783" s="12"/>
      <c r="BP783" s="11"/>
      <c r="BQ783" s="186"/>
      <c r="BR783" s="747"/>
      <c r="BS783" s="747"/>
      <c r="BT783" s="747"/>
      <c r="BU783" s="186"/>
      <c r="BV783" s="186"/>
      <c r="BW783" s="12"/>
    </row>
    <row r="784" spans="35:75">
      <c r="AI784" s="757"/>
      <c r="AJ784" s="195"/>
      <c r="AK784" s="186"/>
      <c r="AL784" s="747"/>
      <c r="AM784" s="747"/>
      <c r="AN784" s="747"/>
      <c r="AO784" s="186"/>
      <c r="AP784" s="186"/>
      <c r="AQ784" s="12"/>
      <c r="AR784" s="11"/>
      <c r="AS784" s="186"/>
      <c r="AT784" s="747"/>
      <c r="AU784" s="747"/>
      <c r="AV784" s="747"/>
      <c r="AW784" s="186"/>
      <c r="AX784" s="2"/>
      <c r="AY784" s="255"/>
      <c r="AZ784" s="685" t="s">
        <v>2115</v>
      </c>
      <c r="BA784" s="686" t="s">
        <v>2496</v>
      </c>
      <c r="BB784" s="687" t="s">
        <v>2690</v>
      </c>
      <c r="BC784" s="687" t="s">
        <v>2482</v>
      </c>
      <c r="BD784" s="687" t="s">
        <v>2490</v>
      </c>
      <c r="BE784" s="686">
        <v>3.7499999999999999E-2</v>
      </c>
      <c r="BF784" s="686">
        <v>1.25E-3</v>
      </c>
      <c r="BG784" s="688">
        <v>2.58</v>
      </c>
      <c r="BH784" s="11"/>
      <c r="BI784" s="186"/>
      <c r="BJ784" s="747"/>
      <c r="BK784" s="747"/>
      <c r="BL784" s="747"/>
      <c r="BM784" s="186"/>
      <c r="BN784" s="186"/>
      <c r="BO784" s="12"/>
      <c r="BP784" s="11"/>
      <c r="BQ784" s="186"/>
      <c r="BR784" s="747"/>
      <c r="BS784" s="747"/>
      <c r="BT784" s="747"/>
      <c r="BU784" s="186"/>
      <c r="BV784" s="186"/>
      <c r="BW784" s="12"/>
    </row>
    <row r="785" spans="1:75">
      <c r="AI785" s="757"/>
      <c r="AJ785" s="195"/>
      <c r="AK785" s="186"/>
      <c r="AL785" s="747"/>
      <c r="AM785" s="747"/>
      <c r="AN785" s="747"/>
      <c r="AO785" s="186"/>
      <c r="AP785" s="186"/>
      <c r="AQ785" s="12"/>
      <c r="AR785" s="11"/>
      <c r="AS785" s="186"/>
      <c r="AT785" s="747"/>
      <c r="AU785" s="747"/>
      <c r="AV785" s="747"/>
      <c r="AW785" s="186"/>
      <c r="AX785" s="2"/>
      <c r="AY785" s="255"/>
      <c r="AZ785" s="685" t="s">
        <v>2115</v>
      </c>
      <c r="BA785" s="686" t="s">
        <v>2496</v>
      </c>
      <c r="BB785" s="687" t="s">
        <v>2691</v>
      </c>
      <c r="BC785" s="687" t="s">
        <v>2482</v>
      </c>
      <c r="BD785" s="687" t="s">
        <v>2490</v>
      </c>
      <c r="BE785" s="686">
        <v>3.7499999999999999E-2</v>
      </c>
      <c r="BF785" s="686">
        <v>1.25E-3</v>
      </c>
      <c r="BG785" s="688">
        <v>2.58</v>
      </c>
      <c r="BH785" s="11"/>
      <c r="BI785" s="186"/>
      <c r="BJ785" s="747"/>
      <c r="BK785" s="747"/>
      <c r="BL785" s="747"/>
      <c r="BM785" s="186"/>
      <c r="BN785" s="186"/>
      <c r="BO785" s="12"/>
      <c r="BP785" s="11"/>
      <c r="BQ785" s="186"/>
      <c r="BR785" s="747"/>
      <c r="BS785" s="747"/>
      <c r="BT785" s="747"/>
      <c r="BU785" s="186"/>
      <c r="BV785" s="186"/>
      <c r="BW785" s="12"/>
    </row>
    <row r="786" spans="1:75">
      <c r="AI786" s="757"/>
      <c r="AJ786" s="195"/>
      <c r="AK786" s="186"/>
      <c r="AL786" s="747"/>
      <c r="AM786" s="747"/>
      <c r="AN786" s="747"/>
      <c r="AO786" s="186"/>
      <c r="AP786" s="186"/>
      <c r="AQ786" s="12"/>
      <c r="AR786" s="11"/>
      <c r="AS786" s="186"/>
      <c r="AT786" s="747"/>
      <c r="AU786" s="747"/>
      <c r="AV786" s="747"/>
      <c r="AW786" s="186"/>
      <c r="AX786" s="2"/>
      <c r="AY786" s="255"/>
      <c r="AZ786" s="11"/>
      <c r="BA786" s="186"/>
      <c r="BB786" s="747"/>
      <c r="BC786" s="747"/>
      <c r="BD786" s="747"/>
      <c r="BE786" s="186"/>
      <c r="BF786" s="186"/>
      <c r="BG786" s="12"/>
      <c r="BH786" s="11"/>
      <c r="BI786" s="186"/>
      <c r="BJ786" s="747"/>
      <c r="BK786" s="747"/>
      <c r="BL786" s="747"/>
      <c r="BM786" s="186"/>
      <c r="BN786" s="186"/>
      <c r="BO786" s="12"/>
      <c r="BP786" s="11"/>
      <c r="BQ786" s="186"/>
      <c r="BR786" s="747"/>
      <c r="BS786" s="747"/>
      <c r="BT786" s="747"/>
      <c r="BU786" s="186"/>
      <c r="BV786" s="186"/>
      <c r="BW786" s="12"/>
    </row>
    <row r="787" spans="1:75">
      <c r="AI787" s="757"/>
      <c r="AJ787" s="195"/>
      <c r="AK787" s="186"/>
      <c r="AL787" s="747"/>
      <c r="AM787" s="747"/>
      <c r="AN787" s="747"/>
      <c r="AO787" s="186"/>
      <c r="AP787" s="186"/>
      <c r="AQ787" s="12"/>
      <c r="AR787" s="11"/>
      <c r="AS787" s="186"/>
      <c r="AT787" s="747"/>
      <c r="AU787" s="747"/>
      <c r="AV787" s="747"/>
      <c r="AW787" s="186"/>
      <c r="AX787" s="2"/>
      <c r="AY787" s="255"/>
      <c r="AZ787" s="11"/>
      <c r="BA787" s="186"/>
      <c r="BB787" s="747"/>
      <c r="BC787" s="747"/>
      <c r="BD787" s="747"/>
      <c r="BE787" s="186"/>
      <c r="BF787" s="186"/>
      <c r="BG787" s="12"/>
      <c r="BH787" s="11"/>
      <c r="BI787" s="186"/>
      <c r="BJ787" s="747"/>
      <c r="BK787" s="747"/>
      <c r="BL787" s="747"/>
      <c r="BM787" s="186"/>
      <c r="BN787" s="186"/>
      <c r="BO787" s="12"/>
      <c r="BP787" s="11"/>
      <c r="BQ787" s="186"/>
      <c r="BR787" s="747"/>
      <c r="BS787" s="747"/>
      <c r="BT787" s="747"/>
      <c r="BU787" s="186"/>
      <c r="BV787" s="186"/>
      <c r="BW787" s="12"/>
    </row>
    <row r="788" spans="1:75">
      <c r="AI788" s="757"/>
      <c r="AJ788" s="195"/>
      <c r="AK788" s="186"/>
      <c r="AL788" s="747"/>
      <c r="AM788" s="747"/>
      <c r="AN788" s="747"/>
      <c r="AO788" s="186"/>
      <c r="AP788" s="186"/>
      <c r="AQ788" s="12"/>
      <c r="AR788" s="11"/>
      <c r="AS788" s="186"/>
      <c r="AT788" s="747"/>
      <c r="AU788" s="747"/>
      <c r="AV788" s="747"/>
      <c r="AW788" s="186"/>
      <c r="AX788" s="2"/>
      <c r="AY788" s="255"/>
      <c r="AZ788" s="11"/>
      <c r="BA788" s="186"/>
      <c r="BB788" s="747"/>
      <c r="BC788" s="747"/>
      <c r="BD788" s="747"/>
      <c r="BE788" s="186"/>
      <c r="BF788" s="186"/>
      <c r="BG788" s="12"/>
      <c r="BH788" s="11"/>
      <c r="BI788" s="186"/>
      <c r="BJ788" s="747"/>
      <c r="BK788" s="747"/>
      <c r="BL788" s="747"/>
      <c r="BM788" s="186"/>
      <c r="BN788" s="186"/>
      <c r="BO788" s="12"/>
      <c r="BP788" s="11"/>
      <c r="BQ788" s="186"/>
      <c r="BR788" s="747"/>
      <c r="BS788" s="747"/>
      <c r="BT788" s="747"/>
      <c r="BU788" s="186"/>
      <c r="BV788" s="186"/>
      <c r="BW788" s="12"/>
    </row>
    <row r="789" spans="1:75">
      <c r="A789" s="1" t="s">
        <v>144</v>
      </c>
      <c r="B789" s="1" t="s">
        <v>1146</v>
      </c>
      <c r="C789" s="1" t="s">
        <v>1147</v>
      </c>
      <c r="D789" s="1" t="s">
        <v>1710</v>
      </c>
      <c r="E789" s="1" t="s">
        <v>618</v>
      </c>
      <c r="F789" s="1">
        <v>0.13500000000000001</v>
      </c>
      <c r="G789" s="1">
        <v>3.0000000000000001E-3</v>
      </c>
      <c r="J789" s="1" t="s">
        <v>145</v>
      </c>
      <c r="AI789" s="757"/>
      <c r="AJ789" s="195"/>
      <c r="AK789" s="186"/>
      <c r="AL789" s="747"/>
      <c r="AM789" s="747"/>
      <c r="AN789" s="747"/>
      <c r="AO789" s="186"/>
      <c r="AP789" s="186"/>
      <c r="AQ789" s="12"/>
      <c r="AR789" s="11"/>
      <c r="AS789" s="186"/>
      <c r="AT789" s="747"/>
      <c r="AU789" s="747"/>
      <c r="AV789" s="747"/>
      <c r="AW789" s="186"/>
      <c r="AY789" s="255"/>
      <c r="AZ789" s="11"/>
      <c r="BA789" s="186"/>
      <c r="BB789" s="747"/>
      <c r="BC789" s="747"/>
      <c r="BD789" s="747"/>
      <c r="BE789" s="186"/>
      <c r="BF789" s="186"/>
      <c r="BG789" s="12"/>
      <c r="BH789" s="11"/>
      <c r="BI789" s="186"/>
      <c r="BJ789" s="747"/>
      <c r="BK789" s="747"/>
      <c r="BL789" s="747"/>
      <c r="BM789" s="186"/>
      <c r="BN789" s="186"/>
      <c r="BO789" s="12"/>
      <c r="BP789" s="11"/>
      <c r="BQ789" s="186"/>
      <c r="BR789" s="747"/>
      <c r="BS789" s="747"/>
      <c r="BT789" s="747"/>
      <c r="BU789" s="186"/>
      <c r="BV789" s="186"/>
      <c r="BW789" s="12"/>
    </row>
    <row r="790" spans="1:75">
      <c r="A790" s="1" t="s">
        <v>146</v>
      </c>
      <c r="B790" s="1" t="s">
        <v>1146</v>
      </c>
      <c r="C790" s="1" t="s">
        <v>1147</v>
      </c>
      <c r="D790" s="1" t="s">
        <v>1710</v>
      </c>
      <c r="E790" s="1" t="s">
        <v>619</v>
      </c>
      <c r="F790" s="1">
        <v>0.13500000000000001</v>
      </c>
      <c r="G790" s="1">
        <v>3.0000000000000001E-3</v>
      </c>
      <c r="J790" s="1" t="s">
        <v>145</v>
      </c>
      <c r="AI790" s="757"/>
      <c r="AJ790" s="195"/>
      <c r="AK790" s="186"/>
      <c r="AL790" s="747"/>
      <c r="AM790" s="747"/>
      <c r="AN790" s="747"/>
      <c r="AO790" s="186"/>
      <c r="AP790" s="186"/>
      <c r="AQ790" s="12"/>
      <c r="AR790" s="11"/>
      <c r="AS790" s="186"/>
      <c r="AT790" s="747"/>
      <c r="AU790" s="747"/>
      <c r="AV790" s="747"/>
      <c r="AW790" s="186"/>
      <c r="AY790" s="255"/>
      <c r="AZ790" s="11"/>
      <c r="BA790" s="186"/>
      <c r="BB790" s="747"/>
      <c r="BC790" s="747"/>
      <c r="BD790" s="747"/>
      <c r="BE790" s="186"/>
      <c r="BF790" s="186"/>
      <c r="BG790" s="12"/>
      <c r="BH790" s="11"/>
      <c r="BI790" s="186"/>
      <c r="BJ790" s="747"/>
      <c r="BK790" s="747"/>
      <c r="BL790" s="747"/>
      <c r="BM790" s="186"/>
      <c r="BN790" s="186"/>
      <c r="BO790" s="12"/>
      <c r="BP790" s="11"/>
      <c r="BQ790" s="186"/>
      <c r="BR790" s="747"/>
      <c r="BS790" s="747"/>
      <c r="BT790" s="747"/>
      <c r="BU790" s="186"/>
      <c r="BV790" s="186"/>
      <c r="BW790" s="12"/>
    </row>
    <row r="791" spans="1:75">
      <c r="A791" s="1" t="s">
        <v>147</v>
      </c>
      <c r="B791" s="1" t="s">
        <v>1146</v>
      </c>
      <c r="C791" s="1" t="s">
        <v>1147</v>
      </c>
      <c r="D791" s="1" t="s">
        <v>1710</v>
      </c>
      <c r="E791" s="1" t="s">
        <v>620</v>
      </c>
      <c r="F791" s="1">
        <v>0.13500000000000001</v>
      </c>
      <c r="G791" s="1">
        <v>3.0000000000000001E-3</v>
      </c>
      <c r="J791" s="1" t="s">
        <v>518</v>
      </c>
      <c r="AI791" s="757"/>
      <c r="AJ791" s="195"/>
      <c r="AK791" s="186"/>
      <c r="AL791" s="747"/>
      <c r="AM791" s="747"/>
      <c r="AN791" s="747"/>
      <c r="AO791" s="186"/>
      <c r="AP791" s="186"/>
      <c r="AQ791" s="12"/>
      <c r="AR791" s="11"/>
      <c r="AS791" s="186"/>
      <c r="AT791" s="747"/>
      <c r="AU791" s="747"/>
      <c r="AV791" s="747"/>
      <c r="AW791" s="186"/>
      <c r="AY791" s="255"/>
      <c r="AZ791" s="11"/>
      <c r="BA791" s="186"/>
      <c r="BB791" s="747"/>
      <c r="BC791" s="747"/>
      <c r="BD791" s="747"/>
      <c r="BE791" s="186"/>
      <c r="BF791" s="186"/>
      <c r="BG791" s="12"/>
      <c r="BH791" s="11"/>
      <c r="BI791" s="186"/>
      <c r="BJ791" s="747"/>
      <c r="BK791" s="747"/>
      <c r="BL791" s="747"/>
      <c r="BM791" s="186"/>
      <c r="BN791" s="186"/>
      <c r="BO791" s="12"/>
      <c r="BP791" s="11"/>
      <c r="BQ791" s="186"/>
      <c r="BR791" s="747"/>
      <c r="BS791" s="747"/>
      <c r="BT791" s="747"/>
      <c r="BU791" s="186"/>
      <c r="BV791" s="186"/>
      <c r="BW791" s="12"/>
    </row>
    <row r="792" spans="1:75">
      <c r="A792" s="1" t="s">
        <v>148</v>
      </c>
      <c r="B792" s="1" t="s">
        <v>1146</v>
      </c>
      <c r="C792" s="1" t="s">
        <v>1147</v>
      </c>
      <c r="D792" s="1" t="s">
        <v>1710</v>
      </c>
      <c r="E792" s="1" t="s">
        <v>621</v>
      </c>
      <c r="F792" s="1">
        <v>0.13500000000000001</v>
      </c>
      <c r="G792" s="1">
        <v>3.0000000000000001E-3</v>
      </c>
      <c r="J792" s="1" t="s">
        <v>518</v>
      </c>
      <c r="AI792" s="757"/>
      <c r="AJ792" s="195"/>
      <c r="AK792" s="186"/>
      <c r="AL792" s="747"/>
      <c r="AM792" s="747"/>
      <c r="AN792" s="747"/>
      <c r="AO792" s="186"/>
      <c r="AP792" s="186"/>
      <c r="AQ792" s="12"/>
      <c r="AR792" s="11"/>
      <c r="AS792" s="186"/>
      <c r="AT792" s="747"/>
      <c r="AU792" s="747"/>
      <c r="AV792" s="747"/>
      <c r="AW792" s="186"/>
      <c r="AY792" s="255"/>
      <c r="AZ792" s="11"/>
      <c r="BA792" s="186"/>
      <c r="BB792" s="747"/>
      <c r="BC792" s="747"/>
      <c r="BD792" s="747"/>
      <c r="BE792" s="186"/>
      <c r="BF792" s="186"/>
      <c r="BG792" s="12"/>
      <c r="BH792" s="11"/>
      <c r="BI792" s="186"/>
      <c r="BJ792" s="747"/>
      <c r="BK792" s="747"/>
      <c r="BL792" s="747"/>
      <c r="BM792" s="186"/>
      <c r="BN792" s="186"/>
      <c r="BO792" s="12"/>
      <c r="BP792" s="11"/>
      <c r="BQ792" s="186"/>
      <c r="BR792" s="747"/>
      <c r="BS792" s="747"/>
      <c r="BT792" s="747"/>
      <c r="BU792" s="186"/>
      <c r="BV792" s="186"/>
      <c r="BW792" s="12"/>
    </row>
    <row r="793" spans="1:75">
      <c r="A793" s="1" t="s">
        <v>149</v>
      </c>
      <c r="B793" s="1" t="s">
        <v>1146</v>
      </c>
      <c r="C793" s="1" t="s">
        <v>1147</v>
      </c>
      <c r="D793" s="1" t="s">
        <v>1710</v>
      </c>
      <c r="E793" s="1" t="s">
        <v>622</v>
      </c>
      <c r="F793" s="1">
        <v>0.15</v>
      </c>
      <c r="G793" s="1">
        <v>2.7000000000000001E-3</v>
      </c>
      <c r="J793" s="1" t="s">
        <v>1005</v>
      </c>
      <c r="AI793" s="757"/>
      <c r="AJ793" s="195"/>
      <c r="AK793" s="186"/>
      <c r="AL793" s="747"/>
      <c r="AM793" s="747"/>
      <c r="AN793" s="747"/>
      <c r="AO793" s="186"/>
      <c r="AP793" s="186"/>
      <c r="AQ793" s="12"/>
      <c r="AR793" s="11"/>
      <c r="AS793" s="186"/>
      <c r="AT793" s="747"/>
      <c r="AU793" s="747"/>
      <c r="AV793" s="747"/>
      <c r="AW793" s="186"/>
      <c r="AY793" s="255"/>
      <c r="AZ793" s="11"/>
      <c r="BA793" s="186"/>
      <c r="BB793" s="747"/>
      <c r="BC793" s="747"/>
      <c r="BD793" s="747"/>
      <c r="BE793" s="186"/>
      <c r="BF793" s="186"/>
      <c r="BG793" s="12"/>
      <c r="BH793" s="11"/>
      <c r="BI793" s="186"/>
      <c r="BJ793" s="747"/>
      <c r="BK793" s="747"/>
      <c r="BL793" s="747"/>
      <c r="BM793" s="186"/>
      <c r="BN793" s="186"/>
      <c r="BO793" s="12"/>
      <c r="BP793" s="11"/>
      <c r="BQ793" s="186"/>
      <c r="BR793" s="747"/>
      <c r="BS793" s="747"/>
      <c r="BT793" s="747"/>
      <c r="BU793" s="186"/>
      <c r="BV793" s="186"/>
      <c r="BW793" s="12"/>
    </row>
    <row r="794" spans="1:75">
      <c r="A794" s="1" t="s">
        <v>150</v>
      </c>
      <c r="B794" s="1" t="s">
        <v>1146</v>
      </c>
      <c r="C794" s="1" t="s">
        <v>1147</v>
      </c>
      <c r="D794" s="1" t="s">
        <v>1710</v>
      </c>
      <c r="E794" s="1" t="s">
        <v>623</v>
      </c>
      <c r="F794" s="1">
        <v>0.15</v>
      </c>
      <c r="G794" s="1">
        <v>2.7000000000000001E-3</v>
      </c>
      <c r="J794" s="1" t="s">
        <v>1005</v>
      </c>
      <c r="AI794" s="757"/>
      <c r="AJ794" s="195"/>
      <c r="AK794" s="186"/>
      <c r="AL794" s="747"/>
      <c r="AM794" s="747"/>
      <c r="AN794" s="747"/>
      <c r="AO794" s="186"/>
      <c r="AP794" s="186"/>
      <c r="AQ794" s="12"/>
      <c r="AR794" s="11"/>
      <c r="AS794" s="186"/>
      <c r="AT794" s="747"/>
      <c r="AU794" s="747"/>
      <c r="AV794" s="747"/>
      <c r="AW794" s="186"/>
      <c r="AY794" s="255"/>
      <c r="AZ794" s="11"/>
      <c r="BA794" s="186"/>
      <c r="BB794" s="747"/>
      <c r="BC794" s="747"/>
      <c r="BD794" s="747"/>
      <c r="BE794" s="186"/>
      <c r="BF794" s="186"/>
      <c r="BG794" s="12"/>
      <c r="BH794" s="11"/>
      <c r="BI794" s="186"/>
      <c r="BJ794" s="747"/>
      <c r="BK794" s="747"/>
      <c r="BL794" s="747"/>
      <c r="BM794" s="186"/>
      <c r="BN794" s="186"/>
      <c r="BO794" s="12"/>
      <c r="BP794" s="11"/>
      <c r="BQ794" s="186"/>
      <c r="BR794" s="747"/>
      <c r="BS794" s="747"/>
      <c r="BT794" s="747"/>
      <c r="BU794" s="186"/>
      <c r="BV794" s="186"/>
      <c r="BW794" s="12"/>
    </row>
    <row r="795" spans="1:75" ht="12.75" thickBot="1">
      <c r="A795" s="1" t="s">
        <v>151</v>
      </c>
      <c r="B795" s="1" t="s">
        <v>1146</v>
      </c>
      <c r="C795" s="1" t="s">
        <v>1147</v>
      </c>
      <c r="D795" s="1" t="s">
        <v>1710</v>
      </c>
      <c r="E795" s="1" t="s">
        <v>631</v>
      </c>
      <c r="F795" s="1">
        <v>0.15</v>
      </c>
      <c r="G795" s="1">
        <v>2.7000000000000001E-3</v>
      </c>
      <c r="J795" s="1" t="s">
        <v>559</v>
      </c>
      <c r="AI795" s="764"/>
      <c r="AJ795" s="195"/>
      <c r="AK795" s="186"/>
      <c r="AL795" s="747"/>
      <c r="AM795" s="747"/>
      <c r="AN795" s="747"/>
      <c r="AO795" s="186"/>
      <c r="AP795" s="186"/>
      <c r="AQ795" s="12"/>
      <c r="AR795" s="11"/>
      <c r="AS795" s="186"/>
      <c r="AT795" s="747"/>
      <c r="AU795" s="747"/>
      <c r="AV795" s="747"/>
      <c r="AW795" s="186"/>
      <c r="AY795" s="255"/>
      <c r="AZ795" s="11"/>
      <c r="BA795" s="186"/>
      <c r="BB795" s="747"/>
      <c r="BC795" s="747"/>
      <c r="BD795" s="747"/>
      <c r="BE795" s="186"/>
      <c r="BF795" s="186"/>
      <c r="BG795" s="12"/>
      <c r="BH795" s="11"/>
      <c r="BI795" s="186"/>
      <c r="BJ795" s="747"/>
      <c r="BK795" s="747"/>
      <c r="BL795" s="747"/>
      <c r="BM795" s="186"/>
      <c r="BN795" s="186"/>
      <c r="BO795" s="12"/>
      <c r="BP795" s="11"/>
      <c r="BQ795" s="186"/>
      <c r="BR795" s="747"/>
      <c r="BS795" s="747"/>
      <c r="BT795" s="747"/>
      <c r="BU795" s="186"/>
      <c r="BV795" s="186"/>
      <c r="BW795" s="12"/>
    </row>
    <row r="796" spans="1:75">
      <c r="A796" s="1" t="s">
        <v>152</v>
      </c>
      <c r="B796" s="1" t="s">
        <v>1146</v>
      </c>
      <c r="C796" s="1" t="s">
        <v>1147</v>
      </c>
      <c r="D796" s="1" t="s">
        <v>1710</v>
      </c>
      <c r="E796" s="1" t="s">
        <v>624</v>
      </c>
      <c r="F796" s="1">
        <v>0.15</v>
      </c>
      <c r="G796" s="1">
        <v>2.7000000000000001E-3</v>
      </c>
      <c r="J796" s="1" t="s">
        <v>559</v>
      </c>
    </row>
    <row r="797" spans="1:75">
      <c r="A797" s="1" t="s">
        <v>153</v>
      </c>
      <c r="B797" s="1" t="s">
        <v>1146</v>
      </c>
      <c r="C797" s="1" t="s">
        <v>1147</v>
      </c>
      <c r="D797" s="1" t="s">
        <v>523</v>
      </c>
      <c r="E797" s="1" t="s">
        <v>625</v>
      </c>
      <c r="F797" s="1">
        <v>0.05</v>
      </c>
      <c r="G797" s="1">
        <v>1E-3</v>
      </c>
      <c r="AJ797" s="2" t="s">
        <v>60</v>
      </c>
      <c r="AK797" s="2"/>
      <c r="AL797" s="24"/>
      <c r="AM797" s="24"/>
      <c r="AN797" s="24"/>
      <c r="AO797" s="2"/>
    </row>
    <row r="798" spans="1:75">
      <c r="A798" s="1" t="s">
        <v>154</v>
      </c>
      <c r="B798" s="1" t="s">
        <v>1146</v>
      </c>
      <c r="C798" s="1" t="s">
        <v>1147</v>
      </c>
      <c r="D798" s="1" t="s">
        <v>523</v>
      </c>
      <c r="E798" s="1" t="s">
        <v>626</v>
      </c>
      <c r="F798" s="1">
        <v>0.05</v>
      </c>
      <c r="G798" s="1">
        <v>1E-3</v>
      </c>
      <c r="AJ798" s="256"/>
      <c r="AK798" s="257"/>
      <c r="AL798" s="747">
        <v>1</v>
      </c>
      <c r="AM798" s="747">
        <v>2</v>
      </c>
      <c r="AN798" s="747"/>
      <c r="AO798" s="186">
        <v>3</v>
      </c>
    </row>
    <row r="799" spans="1:75">
      <c r="A799" s="1" t="s">
        <v>155</v>
      </c>
      <c r="B799" s="1" t="s">
        <v>1146</v>
      </c>
      <c r="C799" s="1" t="s">
        <v>1147</v>
      </c>
      <c r="D799" s="1" t="s">
        <v>523</v>
      </c>
      <c r="E799" s="1" t="s">
        <v>627</v>
      </c>
      <c r="F799" s="1">
        <v>2.5000000000000001E-2</v>
      </c>
      <c r="G799" s="1">
        <v>5.0000000000000001E-4</v>
      </c>
      <c r="J799" s="1" t="s">
        <v>692</v>
      </c>
      <c r="AI799" s="1200" t="s">
        <v>48</v>
      </c>
      <c r="AJ799" s="11"/>
      <c r="AK799" s="186" t="s">
        <v>61</v>
      </c>
      <c r="AL799" s="747" t="s">
        <v>61</v>
      </c>
      <c r="AM799" s="770" t="s">
        <v>645</v>
      </c>
      <c r="AN799" s="747"/>
      <c r="AO799" s="186"/>
    </row>
    <row r="800" spans="1:75">
      <c r="A800" s="1" t="s">
        <v>156</v>
      </c>
      <c r="B800" s="1" t="s">
        <v>1146</v>
      </c>
      <c r="C800" s="1" t="s">
        <v>1147</v>
      </c>
      <c r="D800" s="1" t="s">
        <v>523</v>
      </c>
      <c r="E800" s="1" t="s">
        <v>628</v>
      </c>
      <c r="F800" s="1">
        <v>2.5000000000000001E-2</v>
      </c>
      <c r="G800" s="1">
        <v>5.0000000000000001E-4</v>
      </c>
      <c r="J800" s="1" t="s">
        <v>692</v>
      </c>
      <c r="AI800" s="1201"/>
      <c r="AJ800" s="11"/>
      <c r="AK800" s="186" t="s">
        <v>63</v>
      </c>
      <c r="AL800" s="747" t="s">
        <v>62</v>
      </c>
      <c r="AM800" s="747" t="s">
        <v>646</v>
      </c>
      <c r="AN800" s="747"/>
      <c r="AO800" s="186" t="s">
        <v>64</v>
      </c>
    </row>
    <row r="801" spans="1:41">
      <c r="A801" s="1" t="s">
        <v>157</v>
      </c>
      <c r="B801" s="1" t="s">
        <v>1146</v>
      </c>
      <c r="C801" s="1" t="s">
        <v>1147</v>
      </c>
      <c r="D801" s="1" t="s">
        <v>523</v>
      </c>
      <c r="E801" s="1" t="s">
        <v>629</v>
      </c>
      <c r="F801" s="1">
        <v>2.5000000000000001E-2</v>
      </c>
      <c r="G801" s="1">
        <v>5.0000000000000001E-4</v>
      </c>
      <c r="J801" s="1" t="s">
        <v>519</v>
      </c>
      <c r="AI801" s="186">
        <v>1</v>
      </c>
      <c r="AJ801" s="11" t="s">
        <v>2821</v>
      </c>
      <c r="AK801" s="186">
        <v>0.48</v>
      </c>
      <c r="AL801" s="747">
        <v>5.5E-2</v>
      </c>
      <c r="AM801" s="747">
        <v>5.1999999999999998E-2</v>
      </c>
      <c r="AN801" s="747"/>
      <c r="AO801" s="186">
        <v>0.08</v>
      </c>
    </row>
    <row r="802" spans="1:41">
      <c r="A802" s="1" t="s">
        <v>158</v>
      </c>
      <c r="B802" s="1" t="s">
        <v>1146</v>
      </c>
      <c r="C802" s="1" t="s">
        <v>1147</v>
      </c>
      <c r="D802" s="1" t="s">
        <v>523</v>
      </c>
      <c r="E802" s="1" t="s">
        <v>1477</v>
      </c>
      <c r="F802" s="1">
        <v>2.5000000000000001E-2</v>
      </c>
      <c r="G802" s="1">
        <v>5.0000000000000001E-4</v>
      </c>
      <c r="J802" s="1" t="s">
        <v>519</v>
      </c>
      <c r="AI802" s="186">
        <v>2</v>
      </c>
      <c r="AJ802" s="11" t="s">
        <v>2822</v>
      </c>
      <c r="AK802" s="186">
        <v>0.63</v>
      </c>
      <c r="AL802" s="747">
        <v>0.06</v>
      </c>
      <c r="AM802" s="747">
        <v>0.06</v>
      </c>
      <c r="AN802" s="747"/>
      <c r="AO802" s="186">
        <v>0.09</v>
      </c>
    </row>
    <row r="803" spans="1:41">
      <c r="A803" s="1" t="s">
        <v>159</v>
      </c>
      <c r="B803" s="1" t="s">
        <v>1146</v>
      </c>
      <c r="C803" s="1" t="s">
        <v>1147</v>
      </c>
      <c r="D803" s="1" t="s">
        <v>523</v>
      </c>
      <c r="E803" s="1" t="s">
        <v>1478</v>
      </c>
      <c r="F803" s="1">
        <v>2.5000000000000001E-2</v>
      </c>
      <c r="G803" s="1">
        <v>5.0000000000000001E-4</v>
      </c>
      <c r="J803" s="1" t="s">
        <v>1139</v>
      </c>
      <c r="AI803" s="186">
        <v>3</v>
      </c>
      <c r="AJ803" s="11" t="s">
        <v>2823</v>
      </c>
      <c r="AK803" s="186">
        <v>0.63</v>
      </c>
      <c r="AL803" s="747">
        <v>0.06</v>
      </c>
      <c r="AM803" s="747">
        <v>0.06</v>
      </c>
      <c r="AN803" s="747"/>
      <c r="AO803" s="186">
        <v>0.09</v>
      </c>
    </row>
    <row r="804" spans="1:41">
      <c r="A804" s="1" t="s">
        <v>160</v>
      </c>
      <c r="B804" s="1" t="s">
        <v>1146</v>
      </c>
      <c r="C804" s="1" t="s">
        <v>1147</v>
      </c>
      <c r="D804" s="1" t="s">
        <v>523</v>
      </c>
      <c r="E804" s="1" t="s">
        <v>1479</v>
      </c>
      <c r="F804" s="1">
        <v>2.5000000000000001E-2</v>
      </c>
      <c r="G804" s="1">
        <v>5.0000000000000001E-4</v>
      </c>
      <c r="J804" s="1" t="s">
        <v>1139</v>
      </c>
      <c r="AI804" s="186">
        <v>4</v>
      </c>
      <c r="AJ804" s="11" t="s">
        <v>2824</v>
      </c>
      <c r="AK804" s="186">
        <v>0.35</v>
      </c>
      <c r="AL804" s="747">
        <v>2.3E-2</v>
      </c>
      <c r="AM804" s="747">
        <v>1.7000000000000001E-2</v>
      </c>
      <c r="AN804" s="747"/>
      <c r="AO804" s="186">
        <v>2.3E-2</v>
      </c>
    </row>
    <row r="805" spans="1:41">
      <c r="A805" s="1" t="s">
        <v>161</v>
      </c>
      <c r="B805" s="1" t="s">
        <v>1146</v>
      </c>
      <c r="C805" s="1" t="s">
        <v>1147</v>
      </c>
      <c r="D805" s="1" t="s">
        <v>523</v>
      </c>
      <c r="E805" s="1" t="s">
        <v>1480</v>
      </c>
      <c r="F805" s="1">
        <v>1.2500000000000001E-2</v>
      </c>
      <c r="G805" s="1">
        <v>2.5000000000000001E-4</v>
      </c>
      <c r="J805" s="1" t="s">
        <v>520</v>
      </c>
      <c r="AI805" s="186">
        <v>5</v>
      </c>
      <c r="AJ805" s="11" t="s">
        <v>2825</v>
      </c>
      <c r="AK805" s="186">
        <v>0.35</v>
      </c>
      <c r="AL805" s="747">
        <v>2.3E-2</v>
      </c>
      <c r="AM805" s="747">
        <v>1.7000000000000001E-2</v>
      </c>
      <c r="AN805" s="747"/>
      <c r="AO805" s="186">
        <v>2.3E-2</v>
      </c>
    </row>
    <row r="806" spans="1:41">
      <c r="A806" s="1" t="s">
        <v>162</v>
      </c>
      <c r="B806" s="1" t="s">
        <v>1146</v>
      </c>
      <c r="C806" s="1" t="s">
        <v>1147</v>
      </c>
      <c r="D806" s="1" t="s">
        <v>523</v>
      </c>
      <c r="E806" s="1" t="s">
        <v>1481</v>
      </c>
      <c r="F806" s="1">
        <v>1.2500000000000001E-2</v>
      </c>
      <c r="G806" s="1">
        <v>2.5000000000000001E-4</v>
      </c>
      <c r="J806" s="1" t="s">
        <v>520</v>
      </c>
      <c r="AI806" s="186">
        <v>6</v>
      </c>
      <c r="AJ806" s="11" t="s">
        <v>65</v>
      </c>
      <c r="AK806" s="186">
        <v>0.48</v>
      </c>
      <c r="AL806" s="747">
        <v>5.5E-2</v>
      </c>
      <c r="AM806" s="747"/>
      <c r="AN806" s="747"/>
      <c r="AO806" s="186"/>
    </row>
    <row r="807" spans="1:41">
      <c r="A807" s="1" t="s">
        <v>163</v>
      </c>
      <c r="B807" s="1" t="s">
        <v>1146</v>
      </c>
      <c r="C807" s="1" t="s">
        <v>1147</v>
      </c>
      <c r="D807" s="1" t="s">
        <v>523</v>
      </c>
      <c r="E807" s="1" t="s">
        <v>1482</v>
      </c>
      <c r="F807" s="1">
        <v>1.2500000000000001E-2</v>
      </c>
      <c r="G807" s="1">
        <v>2.5000000000000001E-4</v>
      </c>
      <c r="J807" s="1" t="s">
        <v>759</v>
      </c>
    </row>
    <row r="808" spans="1:41">
      <c r="A808" s="1" t="s">
        <v>164</v>
      </c>
      <c r="B808" s="1" t="s">
        <v>1146</v>
      </c>
      <c r="C808" s="1" t="s">
        <v>1147</v>
      </c>
      <c r="D808" s="1" t="s">
        <v>523</v>
      </c>
      <c r="E808" s="1" t="s">
        <v>1483</v>
      </c>
      <c r="F808" s="1">
        <v>1.2500000000000001E-2</v>
      </c>
      <c r="G808" s="1">
        <v>2.5000000000000001E-4</v>
      </c>
      <c r="J808" s="1" t="s">
        <v>759</v>
      </c>
    </row>
    <row r="809" spans="1:41">
      <c r="A809" s="1" t="s">
        <v>165</v>
      </c>
      <c r="B809" s="1" t="s">
        <v>1146</v>
      </c>
      <c r="C809" s="1" t="s">
        <v>1147</v>
      </c>
      <c r="D809" s="1" t="s">
        <v>591</v>
      </c>
      <c r="E809" s="1" t="s">
        <v>1484</v>
      </c>
      <c r="F809" s="1">
        <v>0.05</v>
      </c>
      <c r="G809" s="1">
        <v>1E-3</v>
      </c>
    </row>
    <row r="810" spans="1:41">
      <c r="A810" s="1" t="s">
        <v>166</v>
      </c>
      <c r="B810" s="1" t="s">
        <v>1146</v>
      </c>
      <c r="C810" s="1" t="s">
        <v>1147</v>
      </c>
      <c r="D810" s="1" t="s">
        <v>591</v>
      </c>
      <c r="E810" s="1" t="s">
        <v>1485</v>
      </c>
      <c r="F810" s="1">
        <v>0.05</v>
      </c>
      <c r="G810" s="1">
        <v>1E-3</v>
      </c>
    </row>
    <row r="811" spans="1:41">
      <c r="A811" s="1" t="s">
        <v>167</v>
      </c>
      <c r="B811" s="1" t="s">
        <v>1146</v>
      </c>
      <c r="C811" s="1" t="s">
        <v>1147</v>
      </c>
      <c r="D811" s="1" t="s">
        <v>591</v>
      </c>
      <c r="E811" s="1" t="s">
        <v>1486</v>
      </c>
      <c r="F811" s="1">
        <v>2.5000000000000001E-2</v>
      </c>
      <c r="G811" s="1">
        <v>5.0000000000000001E-4</v>
      </c>
      <c r="J811" s="1" t="s">
        <v>692</v>
      </c>
    </row>
    <row r="812" spans="1:41">
      <c r="A812" s="1" t="s">
        <v>168</v>
      </c>
      <c r="B812" s="1" t="s">
        <v>1146</v>
      </c>
      <c r="C812" s="1" t="s">
        <v>1147</v>
      </c>
      <c r="D812" s="1" t="s">
        <v>591</v>
      </c>
      <c r="E812" s="1" t="s">
        <v>1487</v>
      </c>
      <c r="F812" s="1">
        <v>2.5000000000000001E-2</v>
      </c>
      <c r="G812" s="1">
        <v>5.0000000000000001E-4</v>
      </c>
      <c r="J812" s="1" t="s">
        <v>692</v>
      </c>
    </row>
    <row r="813" spans="1:41">
      <c r="A813" s="1" t="s">
        <v>169</v>
      </c>
      <c r="B813" s="1" t="s">
        <v>170</v>
      </c>
      <c r="C813" s="1" t="s">
        <v>171</v>
      </c>
      <c r="D813" s="1" t="s">
        <v>42</v>
      </c>
      <c r="E813" s="1" t="s">
        <v>1821</v>
      </c>
      <c r="F813" s="1">
        <v>0.03</v>
      </c>
      <c r="G813" s="1">
        <v>0</v>
      </c>
      <c r="H813" s="1">
        <v>2.08</v>
      </c>
      <c r="I813" s="1" t="s">
        <v>1842</v>
      </c>
      <c r="J813" s="1" t="s">
        <v>172</v>
      </c>
    </row>
    <row r="814" spans="1:41">
      <c r="A814" s="1" t="s">
        <v>173</v>
      </c>
      <c r="B814" s="1" t="s">
        <v>170</v>
      </c>
      <c r="C814" s="1" t="s">
        <v>171</v>
      </c>
      <c r="D814" s="1" t="s">
        <v>42</v>
      </c>
      <c r="E814" s="1" t="s">
        <v>1822</v>
      </c>
      <c r="F814" s="1">
        <v>0.02</v>
      </c>
      <c r="G814" s="1">
        <v>0</v>
      </c>
      <c r="H814" s="1">
        <v>2.08</v>
      </c>
      <c r="I814" s="1" t="s">
        <v>1842</v>
      </c>
      <c r="J814" s="1" t="s">
        <v>174</v>
      </c>
    </row>
    <row r="815" spans="1:41">
      <c r="A815" s="1" t="s">
        <v>175</v>
      </c>
      <c r="B815" s="1" t="s">
        <v>170</v>
      </c>
      <c r="C815" s="1" t="s">
        <v>171</v>
      </c>
      <c r="D815" s="1" t="s">
        <v>42</v>
      </c>
      <c r="E815" s="1" t="s">
        <v>1823</v>
      </c>
      <c r="F815" s="1">
        <v>0.01</v>
      </c>
      <c r="G815" s="1">
        <v>0</v>
      </c>
      <c r="H815" s="1">
        <v>2.08</v>
      </c>
      <c r="I815" s="1" t="s">
        <v>1842</v>
      </c>
      <c r="J815" s="1" t="s">
        <v>176</v>
      </c>
    </row>
    <row r="816" spans="1:41">
      <c r="A816" s="1" t="s">
        <v>177</v>
      </c>
      <c r="B816" s="1" t="s">
        <v>170</v>
      </c>
      <c r="C816" s="1" t="s">
        <v>171</v>
      </c>
      <c r="D816" s="1" t="s">
        <v>1710</v>
      </c>
      <c r="E816" s="1" t="s">
        <v>2048</v>
      </c>
      <c r="F816" s="1">
        <v>2.5000000000000001E-2</v>
      </c>
      <c r="G816" s="1">
        <v>0</v>
      </c>
      <c r="H816" s="1">
        <v>2.08</v>
      </c>
      <c r="I816" s="1" t="s">
        <v>1842</v>
      </c>
      <c r="J816" s="1" t="s">
        <v>178</v>
      </c>
    </row>
    <row r="817" spans="1:10">
      <c r="A817" s="1" t="s">
        <v>179</v>
      </c>
      <c r="B817" s="1" t="s">
        <v>170</v>
      </c>
      <c r="C817" s="1" t="s">
        <v>171</v>
      </c>
      <c r="D817" s="1" t="s">
        <v>1710</v>
      </c>
      <c r="E817" s="1" t="s">
        <v>2049</v>
      </c>
      <c r="F817" s="1">
        <v>1.2500000000000001E-2</v>
      </c>
      <c r="G817" s="1">
        <v>0</v>
      </c>
      <c r="H817" s="1">
        <v>2.08</v>
      </c>
      <c r="I817" s="1" t="s">
        <v>1842</v>
      </c>
      <c r="J817" s="1" t="s">
        <v>180</v>
      </c>
    </row>
    <row r="818" spans="1:10">
      <c r="A818" s="1" t="s">
        <v>181</v>
      </c>
      <c r="B818" s="1" t="s">
        <v>170</v>
      </c>
      <c r="C818" s="1" t="s">
        <v>171</v>
      </c>
      <c r="D818" s="1" t="s">
        <v>1710</v>
      </c>
      <c r="E818" s="1" t="s">
        <v>2050</v>
      </c>
      <c r="F818" s="1">
        <v>2.2499999999999999E-2</v>
      </c>
      <c r="G818" s="1">
        <v>0</v>
      </c>
      <c r="H818" s="1">
        <v>2.08</v>
      </c>
      <c r="I818" s="1" t="s">
        <v>1842</v>
      </c>
      <c r="J818" s="1" t="s">
        <v>182</v>
      </c>
    </row>
    <row r="819" spans="1:10">
      <c r="A819" s="1" t="s">
        <v>183</v>
      </c>
      <c r="B819" s="1" t="s">
        <v>170</v>
      </c>
      <c r="C819" s="1" t="s">
        <v>171</v>
      </c>
      <c r="D819" s="1" t="s">
        <v>1710</v>
      </c>
      <c r="E819" s="1" t="s">
        <v>2051</v>
      </c>
      <c r="F819" s="1">
        <v>2.2499999999999999E-2</v>
      </c>
      <c r="G819" s="1">
        <v>0</v>
      </c>
      <c r="H819" s="1">
        <v>2.08</v>
      </c>
      <c r="I819" s="1" t="s">
        <v>1842</v>
      </c>
      <c r="J819" s="1" t="s">
        <v>184</v>
      </c>
    </row>
    <row r="820" spans="1:10">
      <c r="A820" s="1" t="s">
        <v>185</v>
      </c>
      <c r="B820" s="1" t="s">
        <v>170</v>
      </c>
      <c r="C820" s="1" t="s">
        <v>171</v>
      </c>
      <c r="D820" s="1" t="s">
        <v>1710</v>
      </c>
      <c r="E820" s="1" t="s">
        <v>2052</v>
      </c>
      <c r="F820" s="1">
        <v>1.2500000000000001E-2</v>
      </c>
      <c r="G820" s="1">
        <v>0</v>
      </c>
      <c r="H820" s="1">
        <v>2.08</v>
      </c>
      <c r="I820" s="1" t="s">
        <v>1842</v>
      </c>
      <c r="J820" s="1" t="s">
        <v>186</v>
      </c>
    </row>
    <row r="821" spans="1:10">
      <c r="A821" s="1" t="s">
        <v>187</v>
      </c>
      <c r="B821" s="1" t="s">
        <v>170</v>
      </c>
      <c r="C821" s="1" t="s">
        <v>171</v>
      </c>
      <c r="D821" s="1" t="s">
        <v>1710</v>
      </c>
      <c r="E821" s="1" t="s">
        <v>2053</v>
      </c>
      <c r="F821" s="1">
        <v>1.2500000000000001E-2</v>
      </c>
      <c r="G821" s="1">
        <v>0</v>
      </c>
      <c r="H821" s="1">
        <v>2.08</v>
      </c>
      <c r="I821" s="1" t="s">
        <v>1842</v>
      </c>
      <c r="J821" s="1" t="s">
        <v>188</v>
      </c>
    </row>
    <row r="822" spans="1:10">
      <c r="A822" s="1" t="s">
        <v>189</v>
      </c>
      <c r="B822" s="1" t="s">
        <v>170</v>
      </c>
      <c r="C822" s="1" t="s">
        <v>171</v>
      </c>
      <c r="D822" s="1" t="s">
        <v>1710</v>
      </c>
      <c r="E822" s="1" t="s">
        <v>2054</v>
      </c>
      <c r="F822" s="1">
        <v>6.2500000000000003E-3</v>
      </c>
      <c r="G822" s="1">
        <v>0</v>
      </c>
      <c r="H822" s="1">
        <v>2.08</v>
      </c>
      <c r="I822" s="1" t="s">
        <v>1842</v>
      </c>
      <c r="J822" s="1" t="s">
        <v>190</v>
      </c>
    </row>
    <row r="823" spans="1:10">
      <c r="A823" s="1" t="s">
        <v>191</v>
      </c>
      <c r="B823" s="1" t="s">
        <v>170</v>
      </c>
      <c r="C823" s="1" t="s">
        <v>171</v>
      </c>
      <c r="D823" s="1" t="s">
        <v>1710</v>
      </c>
      <c r="E823" s="1" t="s">
        <v>2055</v>
      </c>
      <c r="F823" s="1">
        <v>6.2500000000000003E-3</v>
      </c>
      <c r="G823" s="1">
        <v>0</v>
      </c>
      <c r="H823" s="1">
        <v>2.08</v>
      </c>
      <c r="I823" s="1" t="s">
        <v>1842</v>
      </c>
      <c r="J823" s="1" t="s">
        <v>192</v>
      </c>
    </row>
    <row r="824" spans="1:10">
      <c r="A824" s="1" t="s">
        <v>193</v>
      </c>
      <c r="B824" s="1" t="s">
        <v>170</v>
      </c>
      <c r="C824" s="1" t="s">
        <v>171</v>
      </c>
      <c r="D824" s="1" t="s">
        <v>523</v>
      </c>
      <c r="E824" s="1" t="s">
        <v>1488</v>
      </c>
      <c r="F824" s="1">
        <v>2.5000000000000001E-2</v>
      </c>
      <c r="G824" s="1">
        <v>0</v>
      </c>
    </row>
    <row r="825" spans="1:10">
      <c r="A825" s="1" t="s">
        <v>194</v>
      </c>
      <c r="B825" s="1" t="s">
        <v>170</v>
      </c>
      <c r="C825" s="1" t="s">
        <v>171</v>
      </c>
      <c r="D825" s="1" t="s">
        <v>523</v>
      </c>
      <c r="E825" s="1" t="s">
        <v>1489</v>
      </c>
      <c r="F825" s="1">
        <v>1.2500000000000001E-2</v>
      </c>
      <c r="G825" s="1">
        <v>0</v>
      </c>
      <c r="J825" s="1" t="s">
        <v>692</v>
      </c>
    </row>
    <row r="826" spans="1:10">
      <c r="A826" s="1" t="s">
        <v>195</v>
      </c>
      <c r="B826" s="1" t="s">
        <v>170</v>
      </c>
      <c r="C826" s="1" t="s">
        <v>171</v>
      </c>
      <c r="D826" s="1" t="s">
        <v>523</v>
      </c>
      <c r="E826" s="1" t="s">
        <v>1490</v>
      </c>
      <c r="F826" s="1">
        <v>1.2500000000000001E-2</v>
      </c>
      <c r="G826" s="1">
        <v>0</v>
      </c>
      <c r="J826" s="1" t="s">
        <v>519</v>
      </c>
    </row>
    <row r="827" spans="1:10">
      <c r="A827" s="1" t="s">
        <v>196</v>
      </c>
      <c r="B827" s="1" t="s">
        <v>170</v>
      </c>
      <c r="C827" s="1" t="s">
        <v>171</v>
      </c>
      <c r="D827" s="1" t="s">
        <v>523</v>
      </c>
      <c r="E827" s="1" t="s">
        <v>1491</v>
      </c>
      <c r="F827" s="1">
        <v>1.2500000000000001E-2</v>
      </c>
      <c r="G827" s="1">
        <v>0</v>
      </c>
      <c r="J827" s="1" t="s">
        <v>197</v>
      </c>
    </row>
    <row r="828" spans="1:10">
      <c r="A828" s="1" t="s">
        <v>198</v>
      </c>
      <c r="B828" s="1" t="s">
        <v>170</v>
      </c>
      <c r="C828" s="1" t="s">
        <v>171</v>
      </c>
      <c r="D828" s="1" t="s">
        <v>523</v>
      </c>
      <c r="E828" s="1" t="s">
        <v>1492</v>
      </c>
      <c r="F828" s="1">
        <v>6.2500000000000003E-3</v>
      </c>
      <c r="G828" s="1">
        <v>0</v>
      </c>
      <c r="J828" s="1" t="s">
        <v>520</v>
      </c>
    </row>
    <row r="829" spans="1:10">
      <c r="A829" s="1" t="s">
        <v>199</v>
      </c>
      <c r="B829" s="1" t="s">
        <v>170</v>
      </c>
      <c r="C829" s="1" t="s">
        <v>171</v>
      </c>
      <c r="D829" s="1" t="s">
        <v>523</v>
      </c>
      <c r="E829" s="1" t="s">
        <v>1493</v>
      </c>
      <c r="F829" s="1">
        <v>6.2500000000000003E-3</v>
      </c>
      <c r="G829" s="1">
        <v>0</v>
      </c>
      <c r="J829" s="1" t="s">
        <v>200</v>
      </c>
    </row>
    <row r="830" spans="1:10">
      <c r="A830" s="1" t="s">
        <v>201</v>
      </c>
      <c r="B830" s="1" t="s">
        <v>202</v>
      </c>
      <c r="C830" s="1" t="s">
        <v>203</v>
      </c>
      <c r="D830" s="1" t="s">
        <v>1803</v>
      </c>
      <c r="E830" s="1" t="s">
        <v>1830</v>
      </c>
      <c r="F830" s="1">
        <v>4.8750000000000002E-2</v>
      </c>
      <c r="G830" s="1">
        <v>0</v>
      </c>
      <c r="H830" s="1">
        <v>2.08</v>
      </c>
      <c r="I830" s="1" t="s">
        <v>1842</v>
      </c>
      <c r="J830" s="1" t="s">
        <v>172</v>
      </c>
    </row>
    <row r="831" spans="1:10">
      <c r="A831" s="1" t="s">
        <v>204</v>
      </c>
      <c r="B831" s="1" t="s">
        <v>202</v>
      </c>
      <c r="C831" s="1" t="s">
        <v>203</v>
      </c>
      <c r="D831" s="1" t="s">
        <v>1803</v>
      </c>
      <c r="E831" s="1" t="s">
        <v>1831</v>
      </c>
      <c r="F831" s="1">
        <v>3.2500000000000001E-2</v>
      </c>
      <c r="G831" s="1">
        <v>0</v>
      </c>
      <c r="H831" s="1">
        <v>2.08</v>
      </c>
      <c r="I831" s="1" t="s">
        <v>1842</v>
      </c>
      <c r="J831" s="1" t="s">
        <v>174</v>
      </c>
    </row>
    <row r="832" spans="1:10">
      <c r="A832" s="1" t="s">
        <v>205</v>
      </c>
      <c r="B832" s="1" t="s">
        <v>202</v>
      </c>
      <c r="C832" s="1" t="s">
        <v>203</v>
      </c>
      <c r="D832" s="1" t="s">
        <v>1803</v>
      </c>
      <c r="E832" s="1" t="s">
        <v>1832</v>
      </c>
      <c r="F832" s="1">
        <v>1.6250000000000001E-2</v>
      </c>
      <c r="G832" s="1">
        <v>0</v>
      </c>
      <c r="H832" s="1">
        <v>2.08</v>
      </c>
      <c r="I832" s="1" t="s">
        <v>1842</v>
      </c>
      <c r="J832" s="1" t="s">
        <v>176</v>
      </c>
    </row>
    <row r="833" spans="1:10">
      <c r="A833" s="1" t="s">
        <v>206</v>
      </c>
      <c r="B833" s="1" t="s">
        <v>202</v>
      </c>
      <c r="C833" s="1" t="s">
        <v>203</v>
      </c>
      <c r="D833" s="1" t="s">
        <v>1710</v>
      </c>
      <c r="E833" s="1" t="s">
        <v>2057</v>
      </c>
      <c r="F833" s="1">
        <v>3.5000000000000003E-2</v>
      </c>
      <c r="G833" s="1">
        <v>0</v>
      </c>
      <c r="H833" s="1">
        <v>2.08</v>
      </c>
      <c r="I833" s="1" t="s">
        <v>1842</v>
      </c>
      <c r="J833" s="1" t="s">
        <v>178</v>
      </c>
    </row>
    <row r="834" spans="1:10">
      <c r="A834" s="1" t="s">
        <v>207</v>
      </c>
      <c r="B834" s="1" t="s">
        <v>202</v>
      </c>
      <c r="C834" s="1" t="s">
        <v>203</v>
      </c>
      <c r="D834" s="1" t="s">
        <v>1710</v>
      </c>
      <c r="E834" s="1" t="s">
        <v>2058</v>
      </c>
      <c r="F834" s="1">
        <v>1.7500000000000002E-2</v>
      </c>
      <c r="G834" s="1">
        <v>0</v>
      </c>
      <c r="H834" s="1">
        <v>2.08</v>
      </c>
      <c r="I834" s="1" t="s">
        <v>1842</v>
      </c>
      <c r="J834" s="1" t="s">
        <v>180</v>
      </c>
    </row>
    <row r="835" spans="1:10">
      <c r="A835" s="1" t="s">
        <v>208</v>
      </c>
      <c r="B835" s="1" t="s">
        <v>202</v>
      </c>
      <c r="C835" s="1" t="s">
        <v>203</v>
      </c>
      <c r="D835" s="1" t="s">
        <v>1710</v>
      </c>
      <c r="E835" s="1" t="s">
        <v>2059</v>
      </c>
      <c r="F835" s="1">
        <v>3.1500000000000007E-2</v>
      </c>
      <c r="G835" s="1">
        <v>0</v>
      </c>
      <c r="H835" s="1">
        <v>2.08</v>
      </c>
      <c r="I835" s="1" t="s">
        <v>1842</v>
      </c>
      <c r="J835" s="1" t="s">
        <v>182</v>
      </c>
    </row>
    <row r="836" spans="1:10">
      <c r="A836" s="1" t="s">
        <v>209</v>
      </c>
      <c r="B836" s="1" t="s">
        <v>202</v>
      </c>
      <c r="C836" s="1" t="s">
        <v>203</v>
      </c>
      <c r="D836" s="1" t="s">
        <v>1710</v>
      </c>
      <c r="E836" s="1" t="s">
        <v>2060</v>
      </c>
      <c r="F836" s="1">
        <v>3.1500000000000007E-2</v>
      </c>
      <c r="G836" s="1">
        <v>0</v>
      </c>
      <c r="H836" s="1">
        <v>2.08</v>
      </c>
      <c r="I836" s="1" t="s">
        <v>1842</v>
      </c>
      <c r="J836" s="1" t="s">
        <v>184</v>
      </c>
    </row>
    <row r="837" spans="1:10">
      <c r="A837" s="1" t="s">
        <v>210</v>
      </c>
      <c r="B837" s="1" t="s">
        <v>202</v>
      </c>
      <c r="C837" s="1" t="s">
        <v>203</v>
      </c>
      <c r="D837" s="1" t="s">
        <v>1710</v>
      </c>
      <c r="E837" s="1" t="s">
        <v>2061</v>
      </c>
      <c r="F837" s="1">
        <v>1.7500000000000002E-2</v>
      </c>
      <c r="G837" s="1">
        <v>0</v>
      </c>
      <c r="H837" s="1">
        <v>2.08</v>
      </c>
      <c r="I837" s="1" t="s">
        <v>1842</v>
      </c>
      <c r="J837" s="1" t="s">
        <v>186</v>
      </c>
    </row>
    <row r="838" spans="1:10">
      <c r="A838" s="1" t="s">
        <v>211</v>
      </c>
      <c r="B838" s="1" t="s">
        <v>202</v>
      </c>
      <c r="C838" s="1" t="s">
        <v>203</v>
      </c>
      <c r="D838" s="1" t="s">
        <v>1710</v>
      </c>
      <c r="E838" s="1" t="s">
        <v>2062</v>
      </c>
      <c r="F838" s="1">
        <v>1.7500000000000002E-2</v>
      </c>
      <c r="G838" s="1">
        <v>0</v>
      </c>
      <c r="H838" s="1">
        <v>2.08</v>
      </c>
      <c r="I838" s="1" t="s">
        <v>1842</v>
      </c>
      <c r="J838" s="1" t="s">
        <v>188</v>
      </c>
    </row>
    <row r="839" spans="1:10">
      <c r="A839" s="1" t="s">
        <v>212</v>
      </c>
      <c r="B839" s="1" t="s">
        <v>202</v>
      </c>
      <c r="C839" s="1" t="s">
        <v>203</v>
      </c>
      <c r="D839" s="1" t="s">
        <v>1710</v>
      </c>
      <c r="E839" s="1" t="s">
        <v>2063</v>
      </c>
      <c r="F839" s="1">
        <v>8.7500000000000008E-3</v>
      </c>
      <c r="G839" s="1">
        <v>0</v>
      </c>
      <c r="H839" s="1">
        <v>2.08</v>
      </c>
      <c r="I839" s="1" t="s">
        <v>1842</v>
      </c>
      <c r="J839" s="1" t="s">
        <v>190</v>
      </c>
    </row>
    <row r="840" spans="1:10">
      <c r="A840" s="1" t="s">
        <v>213</v>
      </c>
      <c r="B840" s="1" t="s">
        <v>202</v>
      </c>
      <c r="C840" s="1" t="s">
        <v>203</v>
      </c>
      <c r="D840" s="1" t="s">
        <v>1710</v>
      </c>
      <c r="E840" s="1" t="s">
        <v>2064</v>
      </c>
      <c r="F840" s="1">
        <v>8.7500000000000008E-3</v>
      </c>
      <c r="G840" s="1">
        <v>0</v>
      </c>
      <c r="H840" s="1">
        <v>2.08</v>
      </c>
      <c r="I840" s="1" t="s">
        <v>1842</v>
      </c>
      <c r="J840" s="1" t="s">
        <v>192</v>
      </c>
    </row>
    <row r="841" spans="1:10">
      <c r="A841" s="1" t="s">
        <v>214</v>
      </c>
      <c r="B841" s="1" t="s">
        <v>202</v>
      </c>
      <c r="C841" s="1" t="s">
        <v>203</v>
      </c>
      <c r="D841" s="1" t="s">
        <v>1710</v>
      </c>
      <c r="E841" s="1" t="s">
        <v>1494</v>
      </c>
      <c r="F841" s="1">
        <v>3.1500000000000007E-2</v>
      </c>
      <c r="G841" s="1">
        <v>0</v>
      </c>
      <c r="J841" s="1" t="s">
        <v>692</v>
      </c>
    </row>
    <row r="842" spans="1:10">
      <c r="A842" s="1" t="s">
        <v>215</v>
      </c>
      <c r="B842" s="1" t="s">
        <v>202</v>
      </c>
      <c r="C842" s="1" t="s">
        <v>203</v>
      </c>
      <c r="D842" s="1" t="s">
        <v>1710</v>
      </c>
      <c r="E842" s="1" t="s">
        <v>1495</v>
      </c>
      <c r="F842" s="1">
        <v>3.1500000000000007E-2</v>
      </c>
      <c r="G842" s="1">
        <v>0</v>
      </c>
    </row>
    <row r="843" spans="1:10">
      <c r="A843" s="1" t="s">
        <v>216</v>
      </c>
      <c r="B843" s="1" t="s">
        <v>202</v>
      </c>
      <c r="C843" s="1" t="s">
        <v>203</v>
      </c>
      <c r="D843" s="1" t="s">
        <v>523</v>
      </c>
      <c r="E843" s="1" t="s">
        <v>1496</v>
      </c>
      <c r="F843" s="1">
        <v>3.5000000000000003E-2</v>
      </c>
      <c r="G843" s="1">
        <v>0</v>
      </c>
    </row>
    <row r="844" spans="1:10">
      <c r="A844" s="1" t="s">
        <v>217</v>
      </c>
      <c r="B844" s="1" t="s">
        <v>202</v>
      </c>
      <c r="C844" s="1" t="s">
        <v>203</v>
      </c>
      <c r="D844" s="1" t="s">
        <v>523</v>
      </c>
      <c r="E844" s="1" t="s">
        <v>1497</v>
      </c>
      <c r="F844" s="1">
        <v>1.7500000000000002E-2</v>
      </c>
      <c r="G844" s="1">
        <v>0</v>
      </c>
      <c r="J844" s="1" t="s">
        <v>692</v>
      </c>
    </row>
    <row r="845" spans="1:10">
      <c r="A845" s="1" t="s">
        <v>218</v>
      </c>
      <c r="B845" s="1" t="s">
        <v>202</v>
      </c>
      <c r="C845" s="1" t="s">
        <v>203</v>
      </c>
      <c r="D845" s="1" t="s">
        <v>523</v>
      </c>
      <c r="E845" s="1" t="s">
        <v>1498</v>
      </c>
      <c r="F845" s="1">
        <v>1.7500000000000002E-2</v>
      </c>
      <c r="G845" s="1">
        <v>0</v>
      </c>
      <c r="J845" s="1" t="s">
        <v>519</v>
      </c>
    </row>
    <row r="846" spans="1:10">
      <c r="A846" s="1" t="s">
        <v>219</v>
      </c>
      <c r="B846" s="1" t="s">
        <v>202</v>
      </c>
      <c r="C846" s="1" t="s">
        <v>203</v>
      </c>
      <c r="D846" s="1" t="s">
        <v>523</v>
      </c>
      <c r="E846" s="1" t="s">
        <v>1499</v>
      </c>
      <c r="F846" s="1">
        <v>1.7500000000000002E-2</v>
      </c>
      <c r="G846" s="1">
        <v>0</v>
      </c>
      <c r="J846" s="1" t="s">
        <v>756</v>
      </c>
    </row>
    <row r="847" spans="1:10">
      <c r="A847" s="1" t="s">
        <v>220</v>
      </c>
      <c r="B847" s="1" t="s">
        <v>202</v>
      </c>
      <c r="C847" s="1" t="s">
        <v>203</v>
      </c>
      <c r="D847" s="1" t="s">
        <v>523</v>
      </c>
      <c r="E847" s="1" t="s">
        <v>1500</v>
      </c>
      <c r="F847" s="1">
        <v>8.7500000000000008E-3</v>
      </c>
      <c r="G847" s="1">
        <v>0</v>
      </c>
      <c r="J847" s="1" t="s">
        <v>520</v>
      </c>
    </row>
    <row r="848" spans="1:10">
      <c r="A848" s="1" t="s">
        <v>221</v>
      </c>
      <c r="B848" s="1" t="s">
        <v>202</v>
      </c>
      <c r="C848" s="1" t="s">
        <v>203</v>
      </c>
      <c r="D848" s="1" t="s">
        <v>523</v>
      </c>
      <c r="E848" s="1" t="s">
        <v>1501</v>
      </c>
      <c r="F848" s="1">
        <v>8.7500000000000008E-3</v>
      </c>
      <c r="G848" s="1">
        <v>0</v>
      </c>
      <c r="J848" s="1" t="s">
        <v>759</v>
      </c>
    </row>
    <row r="849" spans="1:10">
      <c r="A849" s="1" t="s">
        <v>222</v>
      </c>
      <c r="B849" s="1" t="s">
        <v>223</v>
      </c>
      <c r="C849" s="1" t="s">
        <v>224</v>
      </c>
      <c r="D849" s="1" t="s">
        <v>1803</v>
      </c>
      <c r="E849" s="1" t="s">
        <v>1830</v>
      </c>
      <c r="F849" s="1">
        <v>4.8750000000000002E-2</v>
      </c>
      <c r="G849" s="1">
        <v>0</v>
      </c>
      <c r="H849" s="1">
        <v>2.08</v>
      </c>
      <c r="I849" s="1" t="s">
        <v>1842</v>
      </c>
      <c r="J849" s="1" t="s">
        <v>172</v>
      </c>
    </row>
    <row r="850" spans="1:10">
      <c r="A850" s="1" t="s">
        <v>225</v>
      </c>
      <c r="B850" s="1" t="s">
        <v>223</v>
      </c>
      <c r="C850" s="1" t="s">
        <v>224</v>
      </c>
      <c r="D850" s="1" t="s">
        <v>1803</v>
      </c>
      <c r="E850" s="1" t="s">
        <v>1831</v>
      </c>
      <c r="F850" s="1">
        <v>3.2500000000000001E-2</v>
      </c>
      <c r="G850" s="1">
        <v>0</v>
      </c>
      <c r="H850" s="1">
        <v>2.08</v>
      </c>
      <c r="I850" s="1" t="s">
        <v>1842</v>
      </c>
      <c r="J850" s="1" t="s">
        <v>174</v>
      </c>
    </row>
    <row r="851" spans="1:10">
      <c r="A851" s="1" t="s">
        <v>226</v>
      </c>
      <c r="B851" s="1" t="s">
        <v>223</v>
      </c>
      <c r="C851" s="1" t="s">
        <v>224</v>
      </c>
      <c r="D851" s="1" t="s">
        <v>1803</v>
      </c>
      <c r="E851" s="1" t="s">
        <v>1832</v>
      </c>
      <c r="F851" s="1">
        <v>1.6250000000000001E-2</v>
      </c>
      <c r="G851" s="1">
        <v>0</v>
      </c>
      <c r="H851" s="1">
        <v>2.08</v>
      </c>
      <c r="I851" s="1" t="s">
        <v>1842</v>
      </c>
      <c r="J851" s="1" t="s">
        <v>176</v>
      </c>
    </row>
    <row r="852" spans="1:10">
      <c r="A852" s="1" t="s">
        <v>227</v>
      </c>
      <c r="B852" s="1" t="s">
        <v>223</v>
      </c>
      <c r="C852" s="1" t="s">
        <v>224</v>
      </c>
      <c r="D852" s="1" t="s">
        <v>1710</v>
      </c>
      <c r="E852" s="1" t="s">
        <v>2057</v>
      </c>
      <c r="F852" s="1">
        <v>3.5000000000000003E-2</v>
      </c>
      <c r="G852" s="1">
        <v>0</v>
      </c>
      <c r="H852" s="1">
        <v>2.08</v>
      </c>
      <c r="I852" s="1" t="s">
        <v>1842</v>
      </c>
      <c r="J852" s="1" t="s">
        <v>178</v>
      </c>
    </row>
    <row r="853" spans="1:10">
      <c r="A853" s="1" t="s">
        <v>228</v>
      </c>
      <c r="B853" s="1" t="s">
        <v>223</v>
      </c>
      <c r="C853" s="1" t="s">
        <v>224</v>
      </c>
      <c r="D853" s="1" t="s">
        <v>1710</v>
      </c>
      <c r="E853" s="1" t="s">
        <v>2058</v>
      </c>
      <c r="F853" s="1">
        <v>1.7500000000000002E-2</v>
      </c>
      <c r="G853" s="1">
        <v>0</v>
      </c>
      <c r="H853" s="1">
        <v>2.08</v>
      </c>
      <c r="I853" s="1" t="s">
        <v>1842</v>
      </c>
      <c r="J853" s="1" t="s">
        <v>180</v>
      </c>
    </row>
    <row r="854" spans="1:10">
      <c r="A854" s="1" t="s">
        <v>229</v>
      </c>
      <c r="B854" s="1" t="s">
        <v>223</v>
      </c>
      <c r="C854" s="1" t="s">
        <v>224</v>
      </c>
      <c r="D854" s="1" t="s">
        <v>1710</v>
      </c>
      <c r="E854" s="1" t="s">
        <v>2059</v>
      </c>
      <c r="F854" s="1">
        <v>3.1500000000000007E-2</v>
      </c>
      <c r="G854" s="1">
        <v>0</v>
      </c>
      <c r="H854" s="1">
        <v>2.08</v>
      </c>
      <c r="I854" s="1" t="s">
        <v>1842</v>
      </c>
      <c r="J854" s="1" t="s">
        <v>182</v>
      </c>
    </row>
    <row r="855" spans="1:10">
      <c r="A855" s="1" t="s">
        <v>230</v>
      </c>
      <c r="B855" s="1" t="s">
        <v>223</v>
      </c>
      <c r="C855" s="1" t="s">
        <v>224</v>
      </c>
      <c r="D855" s="1" t="s">
        <v>1710</v>
      </c>
      <c r="E855" s="1" t="s">
        <v>2060</v>
      </c>
      <c r="F855" s="1">
        <v>3.1500000000000007E-2</v>
      </c>
      <c r="G855" s="1">
        <v>0</v>
      </c>
      <c r="H855" s="1">
        <v>2.08</v>
      </c>
      <c r="I855" s="1" t="s">
        <v>1842</v>
      </c>
      <c r="J855" s="1" t="s">
        <v>184</v>
      </c>
    </row>
    <row r="856" spans="1:10">
      <c r="A856" s="1" t="s">
        <v>231</v>
      </c>
      <c r="B856" s="1" t="s">
        <v>223</v>
      </c>
      <c r="C856" s="1" t="s">
        <v>224</v>
      </c>
      <c r="D856" s="1" t="s">
        <v>1710</v>
      </c>
      <c r="E856" s="1" t="s">
        <v>2061</v>
      </c>
      <c r="F856" s="1">
        <v>1.7500000000000002E-2</v>
      </c>
      <c r="G856" s="1">
        <v>0</v>
      </c>
      <c r="H856" s="1">
        <v>2.08</v>
      </c>
      <c r="I856" s="1" t="s">
        <v>1842</v>
      </c>
      <c r="J856" s="1" t="s">
        <v>186</v>
      </c>
    </row>
    <row r="857" spans="1:10">
      <c r="A857" s="1" t="s">
        <v>232</v>
      </c>
      <c r="B857" s="1" t="s">
        <v>223</v>
      </c>
      <c r="C857" s="1" t="s">
        <v>224</v>
      </c>
      <c r="D857" s="1" t="s">
        <v>1710</v>
      </c>
      <c r="E857" s="1" t="s">
        <v>2062</v>
      </c>
      <c r="F857" s="1">
        <v>1.7500000000000002E-2</v>
      </c>
      <c r="G857" s="1">
        <v>0</v>
      </c>
      <c r="H857" s="1">
        <v>2.08</v>
      </c>
      <c r="I857" s="1" t="s">
        <v>1842</v>
      </c>
      <c r="J857" s="1" t="s">
        <v>188</v>
      </c>
    </row>
    <row r="858" spans="1:10">
      <c r="A858" s="1" t="s">
        <v>233</v>
      </c>
      <c r="B858" s="1" t="s">
        <v>223</v>
      </c>
      <c r="C858" s="1" t="s">
        <v>224</v>
      </c>
      <c r="D858" s="1" t="s">
        <v>1710</v>
      </c>
      <c r="E858" s="1" t="s">
        <v>2063</v>
      </c>
      <c r="F858" s="1">
        <v>8.7500000000000008E-3</v>
      </c>
      <c r="G858" s="1">
        <v>0</v>
      </c>
      <c r="H858" s="1">
        <v>2.08</v>
      </c>
      <c r="I858" s="1" t="s">
        <v>1842</v>
      </c>
      <c r="J858" s="1" t="s">
        <v>190</v>
      </c>
    </row>
    <row r="859" spans="1:10">
      <c r="A859" s="1" t="s">
        <v>234</v>
      </c>
      <c r="B859" s="1" t="s">
        <v>223</v>
      </c>
      <c r="C859" s="1" t="s">
        <v>224</v>
      </c>
      <c r="D859" s="1" t="s">
        <v>1710</v>
      </c>
      <c r="E859" s="1" t="s">
        <v>2064</v>
      </c>
      <c r="F859" s="1">
        <v>8.7500000000000008E-3</v>
      </c>
      <c r="G859" s="1">
        <v>0</v>
      </c>
      <c r="H859" s="1">
        <v>2.08</v>
      </c>
      <c r="I859" s="1" t="s">
        <v>1842</v>
      </c>
      <c r="J859" s="1" t="s">
        <v>192</v>
      </c>
    </row>
    <row r="860" spans="1:10">
      <c r="A860" s="1" t="s">
        <v>235</v>
      </c>
      <c r="B860" s="1" t="s">
        <v>223</v>
      </c>
      <c r="C860" s="1" t="s">
        <v>224</v>
      </c>
      <c r="D860" s="1" t="s">
        <v>1710</v>
      </c>
      <c r="E860" s="1" t="s">
        <v>1494</v>
      </c>
      <c r="F860" s="1">
        <v>3.1500000000000007E-2</v>
      </c>
      <c r="G860" s="1">
        <v>0</v>
      </c>
      <c r="J860" s="1" t="s">
        <v>692</v>
      </c>
    </row>
    <row r="861" spans="1:10">
      <c r="A861" s="1" t="s">
        <v>236</v>
      </c>
      <c r="B861" s="1" t="s">
        <v>223</v>
      </c>
      <c r="C861" s="1" t="s">
        <v>224</v>
      </c>
      <c r="D861" s="1" t="s">
        <v>1710</v>
      </c>
      <c r="E861" s="1" t="s">
        <v>1495</v>
      </c>
      <c r="F861" s="1">
        <v>3.1500000000000007E-2</v>
      </c>
      <c r="G861" s="1">
        <v>0</v>
      </c>
    </row>
    <row r="862" spans="1:10">
      <c r="A862" s="1" t="s">
        <v>237</v>
      </c>
      <c r="B862" s="1" t="s">
        <v>223</v>
      </c>
      <c r="C862" s="1" t="s">
        <v>224</v>
      </c>
      <c r="D862" s="1" t="s">
        <v>523</v>
      </c>
      <c r="E862" s="1" t="s">
        <v>1496</v>
      </c>
      <c r="F862" s="1">
        <v>3.5000000000000003E-2</v>
      </c>
      <c r="G862" s="1">
        <v>0</v>
      </c>
    </row>
    <row r="863" spans="1:10">
      <c r="A863" s="1" t="s">
        <v>238</v>
      </c>
      <c r="B863" s="1" t="s">
        <v>223</v>
      </c>
      <c r="C863" s="1" t="s">
        <v>224</v>
      </c>
      <c r="D863" s="1" t="s">
        <v>523</v>
      </c>
      <c r="E863" s="1" t="s">
        <v>1497</v>
      </c>
      <c r="F863" s="1">
        <v>1.7500000000000002E-2</v>
      </c>
      <c r="G863" s="1">
        <v>0</v>
      </c>
      <c r="J863" s="1" t="s">
        <v>692</v>
      </c>
    </row>
    <row r="864" spans="1:10">
      <c r="A864" s="1" t="s">
        <v>239</v>
      </c>
      <c r="B864" s="1" t="s">
        <v>223</v>
      </c>
      <c r="C864" s="1" t="s">
        <v>224</v>
      </c>
      <c r="D864" s="1" t="s">
        <v>523</v>
      </c>
      <c r="E864" s="1" t="s">
        <v>1498</v>
      </c>
      <c r="F864" s="1">
        <v>1.7500000000000002E-2</v>
      </c>
      <c r="G864" s="1">
        <v>0</v>
      </c>
      <c r="J864" s="1" t="s">
        <v>519</v>
      </c>
    </row>
    <row r="865" spans="1:10">
      <c r="A865" s="1" t="s">
        <v>240</v>
      </c>
      <c r="B865" s="1" t="s">
        <v>223</v>
      </c>
      <c r="C865" s="1" t="s">
        <v>224</v>
      </c>
      <c r="D865" s="1" t="s">
        <v>523</v>
      </c>
      <c r="E865" s="1" t="s">
        <v>1499</v>
      </c>
      <c r="F865" s="1">
        <v>1.7500000000000002E-2</v>
      </c>
      <c r="G865" s="1">
        <v>0</v>
      </c>
      <c r="J865" s="1" t="s">
        <v>756</v>
      </c>
    </row>
    <row r="866" spans="1:10">
      <c r="A866" s="1" t="s">
        <v>241</v>
      </c>
      <c r="B866" s="1" t="s">
        <v>223</v>
      </c>
      <c r="C866" s="1" t="s">
        <v>224</v>
      </c>
      <c r="D866" s="1" t="s">
        <v>523</v>
      </c>
      <c r="E866" s="1" t="s">
        <v>1500</v>
      </c>
      <c r="F866" s="1">
        <v>8.7500000000000008E-3</v>
      </c>
      <c r="G866" s="1">
        <v>0</v>
      </c>
      <c r="J866" s="1" t="s">
        <v>520</v>
      </c>
    </row>
    <row r="867" spans="1:10">
      <c r="A867" s="1" t="s">
        <v>242</v>
      </c>
      <c r="B867" s="1" t="s">
        <v>223</v>
      </c>
      <c r="C867" s="1" t="s">
        <v>224</v>
      </c>
      <c r="D867" s="1" t="s">
        <v>523</v>
      </c>
      <c r="E867" s="1" t="s">
        <v>1501</v>
      </c>
      <c r="F867" s="1">
        <v>8.7500000000000008E-3</v>
      </c>
      <c r="G867" s="1">
        <v>0</v>
      </c>
      <c r="J867" s="1" t="s">
        <v>759</v>
      </c>
    </row>
    <row r="868" spans="1:10">
      <c r="A868" s="1" t="s">
        <v>1293</v>
      </c>
      <c r="B868" s="1" t="s">
        <v>1294</v>
      </c>
      <c r="C868" s="1" t="s">
        <v>1295</v>
      </c>
      <c r="D868" s="1" t="s">
        <v>1720</v>
      </c>
      <c r="E868" s="1" t="s">
        <v>2067</v>
      </c>
      <c r="F868" s="1">
        <v>9.7500000000000003E-2</v>
      </c>
      <c r="G868" s="1">
        <v>0</v>
      </c>
      <c r="H868" s="1">
        <v>2.08</v>
      </c>
      <c r="I868" s="1" t="s">
        <v>1842</v>
      </c>
      <c r="J868" s="1" t="s">
        <v>172</v>
      </c>
    </row>
    <row r="869" spans="1:10">
      <c r="A869" s="1" t="s">
        <v>1296</v>
      </c>
      <c r="B869" s="1" t="s">
        <v>1294</v>
      </c>
      <c r="C869" s="1" t="s">
        <v>1295</v>
      </c>
      <c r="D869" s="1" t="s">
        <v>1720</v>
      </c>
      <c r="E869" s="1" t="s">
        <v>2068</v>
      </c>
      <c r="F869" s="1">
        <v>6.5000000000000002E-2</v>
      </c>
      <c r="G869" s="1">
        <v>0</v>
      </c>
      <c r="H869" s="1">
        <v>2.08</v>
      </c>
      <c r="I869" s="1" t="s">
        <v>1842</v>
      </c>
      <c r="J869" s="1" t="s">
        <v>174</v>
      </c>
    </row>
    <row r="870" spans="1:10">
      <c r="A870" s="1" t="s">
        <v>1297</v>
      </c>
      <c r="B870" s="1" t="s">
        <v>1294</v>
      </c>
      <c r="C870" s="1" t="s">
        <v>1295</v>
      </c>
      <c r="D870" s="1" t="s">
        <v>1720</v>
      </c>
      <c r="E870" s="1" t="s">
        <v>2069</v>
      </c>
      <c r="F870" s="1">
        <v>3.2500000000000001E-2</v>
      </c>
      <c r="G870" s="1">
        <v>0</v>
      </c>
      <c r="H870" s="1">
        <v>2.08</v>
      </c>
      <c r="I870" s="1" t="s">
        <v>1842</v>
      </c>
      <c r="J870" s="1" t="s">
        <v>176</v>
      </c>
    </row>
    <row r="871" spans="1:10">
      <c r="A871" s="1" t="s">
        <v>1298</v>
      </c>
      <c r="B871" s="1" t="s">
        <v>1294</v>
      </c>
      <c r="C871" s="1" t="s">
        <v>1295</v>
      </c>
      <c r="D871" s="1" t="s">
        <v>1710</v>
      </c>
      <c r="E871" s="1" t="s">
        <v>2070</v>
      </c>
      <c r="F871" s="1">
        <v>7.4999999999999997E-2</v>
      </c>
      <c r="G871" s="1">
        <v>0</v>
      </c>
      <c r="H871" s="1">
        <v>2.08</v>
      </c>
      <c r="I871" s="1" t="s">
        <v>1842</v>
      </c>
      <c r="J871" s="1" t="s">
        <v>178</v>
      </c>
    </row>
    <row r="872" spans="1:10">
      <c r="A872" s="1" t="s">
        <v>1299</v>
      </c>
      <c r="B872" s="1" t="s">
        <v>1294</v>
      </c>
      <c r="C872" s="1" t="s">
        <v>1295</v>
      </c>
      <c r="D872" s="1" t="s">
        <v>1710</v>
      </c>
      <c r="E872" s="1" t="s">
        <v>2071</v>
      </c>
      <c r="F872" s="1">
        <v>3.7499999999999999E-2</v>
      </c>
      <c r="G872" s="1">
        <v>0</v>
      </c>
      <c r="H872" s="1">
        <v>2.08</v>
      </c>
      <c r="I872" s="1" t="s">
        <v>1842</v>
      </c>
      <c r="J872" s="1" t="s">
        <v>180</v>
      </c>
    </row>
    <row r="873" spans="1:10">
      <c r="A873" s="1" t="s">
        <v>1300</v>
      </c>
      <c r="B873" s="1" t="s">
        <v>1294</v>
      </c>
      <c r="C873" s="1" t="s">
        <v>1295</v>
      </c>
      <c r="D873" s="1" t="s">
        <v>1710</v>
      </c>
      <c r="E873" s="1" t="s">
        <v>2072</v>
      </c>
      <c r="F873" s="1">
        <v>6.7500000000000004E-2</v>
      </c>
      <c r="G873" s="1">
        <v>0</v>
      </c>
      <c r="H873" s="1">
        <v>2.08</v>
      </c>
      <c r="I873" s="1" t="s">
        <v>1842</v>
      </c>
      <c r="J873" s="1" t="s">
        <v>182</v>
      </c>
    </row>
    <row r="874" spans="1:10">
      <c r="A874" s="1" t="s">
        <v>1301</v>
      </c>
      <c r="B874" s="1" t="s">
        <v>1294</v>
      </c>
      <c r="C874" s="1" t="s">
        <v>1295</v>
      </c>
      <c r="D874" s="1" t="s">
        <v>1710</v>
      </c>
      <c r="E874" s="1" t="s">
        <v>2073</v>
      </c>
      <c r="F874" s="1">
        <v>6.7500000000000004E-2</v>
      </c>
      <c r="G874" s="1">
        <v>0</v>
      </c>
      <c r="H874" s="1">
        <v>2.08</v>
      </c>
      <c r="I874" s="1" t="s">
        <v>1842</v>
      </c>
      <c r="J874" s="1" t="s">
        <v>184</v>
      </c>
    </row>
    <row r="875" spans="1:10">
      <c r="A875" s="1" t="s">
        <v>1302</v>
      </c>
      <c r="B875" s="1" t="s">
        <v>1294</v>
      </c>
      <c r="C875" s="1" t="s">
        <v>1295</v>
      </c>
      <c r="D875" s="1" t="s">
        <v>1710</v>
      </c>
      <c r="E875" s="1" t="s">
        <v>2074</v>
      </c>
      <c r="F875" s="1">
        <v>3.7499999999999999E-2</v>
      </c>
      <c r="G875" s="1">
        <v>0</v>
      </c>
      <c r="H875" s="1">
        <v>2.08</v>
      </c>
      <c r="I875" s="1" t="s">
        <v>1842</v>
      </c>
      <c r="J875" s="1" t="s">
        <v>186</v>
      </c>
    </row>
    <row r="876" spans="1:10">
      <c r="A876" s="1" t="s">
        <v>1303</v>
      </c>
      <c r="B876" s="1" t="s">
        <v>1294</v>
      </c>
      <c r="C876" s="1" t="s">
        <v>1295</v>
      </c>
      <c r="D876" s="1" t="s">
        <v>1710</v>
      </c>
      <c r="E876" s="1" t="s">
        <v>2075</v>
      </c>
      <c r="F876" s="1">
        <v>3.7499999999999999E-2</v>
      </c>
      <c r="G876" s="1">
        <v>0</v>
      </c>
      <c r="H876" s="1">
        <v>2.08</v>
      </c>
      <c r="I876" s="1" t="s">
        <v>1842</v>
      </c>
      <c r="J876" s="1" t="s">
        <v>188</v>
      </c>
    </row>
    <row r="877" spans="1:10">
      <c r="A877" s="1" t="s">
        <v>1304</v>
      </c>
      <c r="B877" s="1" t="s">
        <v>1294</v>
      </c>
      <c r="C877" s="1" t="s">
        <v>1295</v>
      </c>
      <c r="D877" s="1" t="s">
        <v>1710</v>
      </c>
      <c r="E877" s="1" t="s">
        <v>2076</v>
      </c>
      <c r="F877" s="1">
        <v>1.8749999999999999E-2</v>
      </c>
      <c r="G877" s="1">
        <v>0</v>
      </c>
      <c r="H877" s="1">
        <v>2.08</v>
      </c>
      <c r="I877" s="1" t="s">
        <v>1842</v>
      </c>
      <c r="J877" s="1" t="s">
        <v>190</v>
      </c>
    </row>
    <row r="878" spans="1:10">
      <c r="A878" s="1" t="s">
        <v>1305</v>
      </c>
      <c r="B878" s="1" t="s">
        <v>1294</v>
      </c>
      <c r="C878" s="1" t="s">
        <v>1295</v>
      </c>
      <c r="D878" s="1" t="s">
        <v>1710</v>
      </c>
      <c r="E878" s="1" t="s">
        <v>2077</v>
      </c>
      <c r="F878" s="1">
        <v>1.8749999999999999E-2</v>
      </c>
      <c r="G878" s="1">
        <v>0</v>
      </c>
      <c r="H878" s="1">
        <v>2.08</v>
      </c>
      <c r="I878" s="1" t="s">
        <v>1842</v>
      </c>
      <c r="J878" s="1" t="s">
        <v>192</v>
      </c>
    </row>
    <row r="879" spans="1:10">
      <c r="A879" s="1" t="s">
        <v>1306</v>
      </c>
      <c r="B879" s="1" t="s">
        <v>1294</v>
      </c>
      <c r="C879" s="1" t="s">
        <v>1295</v>
      </c>
      <c r="D879" s="1" t="s">
        <v>1710</v>
      </c>
      <c r="E879" s="1" t="s">
        <v>1502</v>
      </c>
      <c r="F879" s="1">
        <v>6.7500000000000004E-2</v>
      </c>
      <c r="G879" s="1">
        <v>0</v>
      </c>
      <c r="J879" s="1" t="s">
        <v>692</v>
      </c>
    </row>
    <row r="880" spans="1:10">
      <c r="A880" s="1" t="s">
        <v>1307</v>
      </c>
      <c r="B880" s="1" t="s">
        <v>1294</v>
      </c>
      <c r="C880" s="1" t="s">
        <v>1295</v>
      </c>
      <c r="D880" s="1" t="s">
        <v>1710</v>
      </c>
      <c r="E880" s="1" t="s">
        <v>1503</v>
      </c>
      <c r="F880" s="1">
        <v>6.7500000000000004E-2</v>
      </c>
      <c r="G880" s="1">
        <v>0</v>
      </c>
    </row>
    <row r="881" spans="1:10">
      <c r="A881" s="1" t="s">
        <v>1308</v>
      </c>
      <c r="B881" s="1" t="s">
        <v>1294</v>
      </c>
      <c r="C881" s="1" t="s">
        <v>1295</v>
      </c>
      <c r="D881" s="1" t="s">
        <v>1710</v>
      </c>
      <c r="E881" s="1" t="s">
        <v>1504</v>
      </c>
      <c r="F881" s="1">
        <v>7.4999999999999997E-2</v>
      </c>
      <c r="G881" s="1">
        <v>0</v>
      </c>
      <c r="J881" s="1" t="s">
        <v>692</v>
      </c>
    </row>
    <row r="882" spans="1:10">
      <c r="A882" s="1" t="s">
        <v>1309</v>
      </c>
      <c r="B882" s="1" t="s">
        <v>1294</v>
      </c>
      <c r="C882" s="1" t="s">
        <v>1295</v>
      </c>
      <c r="D882" s="1" t="s">
        <v>1710</v>
      </c>
      <c r="E882" s="1" t="s">
        <v>1505</v>
      </c>
      <c r="F882" s="1">
        <v>7.4999999999999997E-2</v>
      </c>
      <c r="G882" s="1">
        <v>0</v>
      </c>
    </row>
    <row r="883" spans="1:10">
      <c r="A883" s="1" t="s">
        <v>1310</v>
      </c>
      <c r="B883" s="1" t="s">
        <v>1294</v>
      </c>
      <c r="C883" s="1" t="s">
        <v>1295</v>
      </c>
      <c r="D883" s="1" t="s">
        <v>523</v>
      </c>
      <c r="E883" s="1" t="s">
        <v>1506</v>
      </c>
      <c r="F883" s="1">
        <v>2.5000000000000001E-2</v>
      </c>
      <c r="G883" s="1">
        <v>0</v>
      </c>
    </row>
    <row r="884" spans="1:10">
      <c r="A884" s="1" t="s">
        <v>1311</v>
      </c>
      <c r="B884" s="1" t="s">
        <v>1294</v>
      </c>
      <c r="C884" s="1" t="s">
        <v>1295</v>
      </c>
      <c r="D884" s="1" t="s">
        <v>523</v>
      </c>
      <c r="E884" s="1" t="s">
        <v>1507</v>
      </c>
      <c r="F884" s="1">
        <v>1.2500000000000001E-2</v>
      </c>
      <c r="G884" s="1">
        <v>0</v>
      </c>
      <c r="J884" s="1" t="s">
        <v>692</v>
      </c>
    </row>
    <row r="885" spans="1:10">
      <c r="A885" s="1" t="s">
        <v>1312</v>
      </c>
      <c r="B885" s="1" t="s">
        <v>1294</v>
      </c>
      <c r="C885" s="1" t="s">
        <v>1295</v>
      </c>
      <c r="D885" s="1" t="s">
        <v>523</v>
      </c>
      <c r="E885" s="1" t="s">
        <v>1508</v>
      </c>
      <c r="F885" s="1">
        <v>1.2500000000000001E-2</v>
      </c>
      <c r="G885" s="1">
        <v>0</v>
      </c>
      <c r="J885" s="1" t="s">
        <v>519</v>
      </c>
    </row>
    <row r="886" spans="1:10">
      <c r="A886" s="1" t="s">
        <v>1313</v>
      </c>
      <c r="B886" s="1" t="s">
        <v>1294</v>
      </c>
      <c r="C886" s="1" t="s">
        <v>1295</v>
      </c>
      <c r="D886" s="1" t="s">
        <v>523</v>
      </c>
      <c r="E886" s="1" t="s">
        <v>1509</v>
      </c>
      <c r="F886" s="1">
        <v>1.2500000000000001E-2</v>
      </c>
      <c r="G886" s="1">
        <v>0</v>
      </c>
      <c r="J886" s="1" t="s">
        <v>756</v>
      </c>
    </row>
    <row r="887" spans="1:10">
      <c r="A887" s="1" t="s">
        <v>1314</v>
      </c>
      <c r="B887" s="1" t="s">
        <v>1294</v>
      </c>
      <c r="C887" s="1" t="s">
        <v>1295</v>
      </c>
      <c r="D887" s="1" t="s">
        <v>523</v>
      </c>
      <c r="E887" s="1" t="s">
        <v>1510</v>
      </c>
      <c r="F887" s="1">
        <v>6.2500000000000003E-3</v>
      </c>
      <c r="G887" s="1">
        <v>0</v>
      </c>
      <c r="J887" s="1" t="s">
        <v>520</v>
      </c>
    </row>
    <row r="888" spans="1:10">
      <c r="A888" s="1" t="s">
        <v>1315</v>
      </c>
      <c r="B888" s="1" t="s">
        <v>1294</v>
      </c>
      <c r="C888" s="1" t="s">
        <v>1295</v>
      </c>
      <c r="D888" s="1" t="s">
        <v>523</v>
      </c>
      <c r="E888" s="1" t="s">
        <v>1511</v>
      </c>
      <c r="F888" s="1">
        <v>6.2500000000000003E-3</v>
      </c>
      <c r="G888" s="1">
        <v>0</v>
      </c>
      <c r="J888" s="1" t="s">
        <v>1020</v>
      </c>
    </row>
    <row r="889" spans="1:10">
      <c r="A889" s="1" t="s">
        <v>1316</v>
      </c>
      <c r="B889" s="1" t="s">
        <v>1294</v>
      </c>
      <c r="C889" s="1" t="s">
        <v>1295</v>
      </c>
      <c r="D889" s="1" t="s">
        <v>591</v>
      </c>
      <c r="E889" s="1" t="s">
        <v>1512</v>
      </c>
      <c r="F889" s="1">
        <v>2.5000000000000001E-2</v>
      </c>
      <c r="G889" s="1">
        <v>0</v>
      </c>
    </row>
    <row r="890" spans="1:10">
      <c r="A890" s="1" t="s">
        <v>1317</v>
      </c>
      <c r="B890" s="1" t="s">
        <v>1294</v>
      </c>
      <c r="C890" s="1" t="s">
        <v>1295</v>
      </c>
      <c r="D890" s="1" t="s">
        <v>591</v>
      </c>
      <c r="E890" s="1" t="s">
        <v>1513</v>
      </c>
      <c r="F890" s="1">
        <v>1.2500000000000001E-2</v>
      </c>
      <c r="G890" s="1">
        <v>0</v>
      </c>
      <c r="J890" s="1" t="s">
        <v>692</v>
      </c>
    </row>
    <row r="891" spans="1:10">
      <c r="A891" s="1" t="s">
        <v>1318</v>
      </c>
      <c r="B891" s="1" t="s">
        <v>1319</v>
      </c>
      <c r="C891" s="1" t="s">
        <v>1320</v>
      </c>
      <c r="D891" s="1" t="s">
        <v>1709</v>
      </c>
      <c r="E891" s="1" t="s">
        <v>1821</v>
      </c>
      <c r="F891" s="1">
        <v>0.105</v>
      </c>
      <c r="G891" s="1">
        <v>0</v>
      </c>
      <c r="H891" s="1">
        <v>1.45</v>
      </c>
      <c r="I891" s="1" t="s">
        <v>1321</v>
      </c>
      <c r="J891" s="1" t="s">
        <v>1322</v>
      </c>
    </row>
    <row r="892" spans="1:10">
      <c r="A892" s="1" t="s">
        <v>1323</v>
      </c>
      <c r="B892" s="1" t="s">
        <v>1319</v>
      </c>
      <c r="C892" s="1" t="s">
        <v>1320</v>
      </c>
      <c r="D892" s="1" t="s">
        <v>1709</v>
      </c>
      <c r="E892" s="1" t="s">
        <v>1822</v>
      </c>
      <c r="F892" s="1">
        <v>7.0000000000000007E-2</v>
      </c>
      <c r="G892" s="1">
        <v>0</v>
      </c>
      <c r="H892" s="1">
        <v>1.45</v>
      </c>
      <c r="I892" s="1" t="s">
        <v>1321</v>
      </c>
      <c r="J892" s="1" t="s">
        <v>1324</v>
      </c>
    </row>
    <row r="893" spans="1:10">
      <c r="A893" s="1" t="s">
        <v>1325</v>
      </c>
      <c r="B893" s="1" t="s">
        <v>1319</v>
      </c>
      <c r="C893" s="1" t="s">
        <v>1320</v>
      </c>
      <c r="D893" s="1" t="s">
        <v>1709</v>
      </c>
      <c r="E893" s="1" t="s">
        <v>1823</v>
      </c>
      <c r="F893" s="1">
        <v>3.5000000000000003E-2</v>
      </c>
      <c r="G893" s="1">
        <v>0</v>
      </c>
      <c r="H893" s="1">
        <v>1.45</v>
      </c>
      <c r="I893" s="1" t="s">
        <v>1321</v>
      </c>
      <c r="J893" s="1" t="s">
        <v>1326</v>
      </c>
    </row>
    <row r="894" spans="1:10">
      <c r="A894" s="1" t="s">
        <v>1327</v>
      </c>
      <c r="B894" s="1" t="s">
        <v>1319</v>
      </c>
      <c r="C894" s="1" t="s">
        <v>1320</v>
      </c>
      <c r="D894" s="1" t="s">
        <v>1710</v>
      </c>
      <c r="E894" s="1" t="s">
        <v>2079</v>
      </c>
      <c r="F894" s="1">
        <v>7.0000000000000007E-2</v>
      </c>
      <c r="G894" s="1">
        <v>0</v>
      </c>
      <c r="H894" s="1">
        <v>1.45</v>
      </c>
      <c r="I894" s="1" t="s">
        <v>1321</v>
      </c>
      <c r="J894" s="1" t="s">
        <v>1328</v>
      </c>
    </row>
    <row r="895" spans="1:10">
      <c r="A895" s="1" t="s">
        <v>1329</v>
      </c>
      <c r="B895" s="1" t="s">
        <v>1319</v>
      </c>
      <c r="C895" s="1" t="s">
        <v>1320</v>
      </c>
      <c r="D895" s="1" t="s">
        <v>1710</v>
      </c>
      <c r="E895" s="1" t="s">
        <v>2080</v>
      </c>
      <c r="F895" s="1">
        <v>3.5000000000000003E-2</v>
      </c>
      <c r="G895" s="1">
        <v>0</v>
      </c>
      <c r="H895" s="1">
        <v>1.45</v>
      </c>
      <c r="I895" s="1" t="s">
        <v>1321</v>
      </c>
      <c r="J895" s="1" t="s">
        <v>1330</v>
      </c>
    </row>
    <row r="896" spans="1:10">
      <c r="A896" s="1" t="s">
        <v>1331</v>
      </c>
      <c r="B896" s="1" t="s">
        <v>1319</v>
      </c>
      <c r="C896" s="1" t="s">
        <v>1320</v>
      </c>
      <c r="D896" s="1" t="s">
        <v>1710</v>
      </c>
      <c r="E896" s="1" t="s">
        <v>2081</v>
      </c>
      <c r="F896" s="1">
        <v>6.3000000000000014E-2</v>
      </c>
      <c r="G896" s="1">
        <v>0</v>
      </c>
      <c r="H896" s="1">
        <v>1.45</v>
      </c>
      <c r="I896" s="1" t="s">
        <v>1321</v>
      </c>
      <c r="J896" s="1" t="s">
        <v>1332</v>
      </c>
    </row>
    <row r="897" spans="1:10">
      <c r="A897" s="1" t="s">
        <v>1333</v>
      </c>
      <c r="B897" s="1" t="s">
        <v>1319</v>
      </c>
      <c r="C897" s="1" t="s">
        <v>1320</v>
      </c>
      <c r="D897" s="1" t="s">
        <v>1710</v>
      </c>
      <c r="E897" s="1" t="s">
        <v>2082</v>
      </c>
      <c r="F897" s="1">
        <v>6.3000000000000014E-2</v>
      </c>
      <c r="G897" s="1">
        <v>0</v>
      </c>
      <c r="H897" s="1">
        <v>1.45</v>
      </c>
      <c r="I897" s="1" t="s">
        <v>1321</v>
      </c>
      <c r="J897" s="1" t="s">
        <v>1334</v>
      </c>
    </row>
    <row r="898" spans="1:10">
      <c r="A898" s="1" t="s">
        <v>1335</v>
      </c>
      <c r="B898" s="1" t="s">
        <v>1319</v>
      </c>
      <c r="C898" s="1" t="s">
        <v>1320</v>
      </c>
      <c r="D898" s="1" t="s">
        <v>1710</v>
      </c>
      <c r="E898" s="1" t="s">
        <v>2083</v>
      </c>
      <c r="F898" s="1">
        <v>3.5000000000000003E-2</v>
      </c>
      <c r="G898" s="1">
        <v>0</v>
      </c>
      <c r="H898" s="1">
        <v>1.45</v>
      </c>
      <c r="I898" s="1" t="s">
        <v>1321</v>
      </c>
      <c r="J898" s="1" t="s">
        <v>1336</v>
      </c>
    </row>
    <row r="899" spans="1:10">
      <c r="A899" s="1" t="s">
        <v>1337</v>
      </c>
      <c r="B899" s="1" t="s">
        <v>1319</v>
      </c>
      <c r="C899" s="1" t="s">
        <v>1320</v>
      </c>
      <c r="D899" s="1" t="s">
        <v>1710</v>
      </c>
      <c r="E899" s="1" t="s">
        <v>2084</v>
      </c>
      <c r="F899" s="1">
        <v>3.5000000000000003E-2</v>
      </c>
      <c r="G899" s="1">
        <v>0</v>
      </c>
      <c r="H899" s="1">
        <v>1.45</v>
      </c>
      <c r="I899" s="1" t="s">
        <v>1321</v>
      </c>
      <c r="J899" s="1" t="s">
        <v>1338</v>
      </c>
    </row>
    <row r="900" spans="1:10">
      <c r="A900" s="1" t="s">
        <v>1339</v>
      </c>
      <c r="B900" s="1" t="s">
        <v>1319</v>
      </c>
      <c r="C900" s="1" t="s">
        <v>1320</v>
      </c>
      <c r="D900" s="1" t="s">
        <v>1710</v>
      </c>
      <c r="E900" s="1" t="s">
        <v>2085</v>
      </c>
      <c r="F900" s="1">
        <v>1.7500000000000002E-2</v>
      </c>
      <c r="G900" s="1">
        <v>0</v>
      </c>
      <c r="H900" s="1">
        <v>1.45</v>
      </c>
      <c r="I900" s="1" t="s">
        <v>1321</v>
      </c>
      <c r="J900" s="1" t="s">
        <v>1340</v>
      </c>
    </row>
    <row r="901" spans="1:10">
      <c r="A901" s="1" t="s">
        <v>1341</v>
      </c>
      <c r="B901" s="1" t="s">
        <v>1319</v>
      </c>
      <c r="C901" s="1" t="s">
        <v>1320</v>
      </c>
      <c r="D901" s="1" t="s">
        <v>1710</v>
      </c>
      <c r="E901" s="1" t="s">
        <v>2086</v>
      </c>
      <c r="F901" s="1">
        <v>1.7500000000000002E-2</v>
      </c>
      <c r="G901" s="1">
        <v>0</v>
      </c>
      <c r="H901" s="1">
        <v>1.45</v>
      </c>
      <c r="I901" s="1" t="s">
        <v>1321</v>
      </c>
      <c r="J901" s="1" t="s">
        <v>1342</v>
      </c>
    </row>
    <row r="902" spans="1:10">
      <c r="A902" s="1" t="s">
        <v>1343</v>
      </c>
      <c r="B902" s="1" t="s">
        <v>1319</v>
      </c>
      <c r="C902" s="1" t="s">
        <v>1320</v>
      </c>
      <c r="D902" s="1" t="s">
        <v>523</v>
      </c>
      <c r="E902" s="1" t="s">
        <v>1514</v>
      </c>
      <c r="F902" s="1">
        <v>0.04</v>
      </c>
      <c r="G902" s="1">
        <v>0</v>
      </c>
    </row>
    <row r="903" spans="1:10">
      <c r="A903" s="1" t="s">
        <v>1344</v>
      </c>
      <c r="B903" s="1" t="s">
        <v>1319</v>
      </c>
      <c r="C903" s="1" t="s">
        <v>1320</v>
      </c>
      <c r="D903" s="1" t="s">
        <v>523</v>
      </c>
      <c r="E903" s="1" t="s">
        <v>1515</v>
      </c>
      <c r="F903" s="1">
        <v>0.02</v>
      </c>
      <c r="G903" s="1">
        <v>0</v>
      </c>
      <c r="J903" s="1" t="s">
        <v>692</v>
      </c>
    </row>
    <row r="904" spans="1:10">
      <c r="A904" s="1" t="s">
        <v>1345</v>
      </c>
      <c r="B904" s="1" t="s">
        <v>1319</v>
      </c>
      <c r="C904" s="1" t="s">
        <v>1320</v>
      </c>
      <c r="D904" s="1" t="s">
        <v>523</v>
      </c>
      <c r="E904" s="1" t="s">
        <v>1516</v>
      </c>
      <c r="F904" s="1">
        <v>0.02</v>
      </c>
      <c r="G904" s="1">
        <v>0</v>
      </c>
      <c r="J904" s="1" t="s">
        <v>519</v>
      </c>
    </row>
    <row r="905" spans="1:10">
      <c r="A905" s="1" t="s">
        <v>1346</v>
      </c>
      <c r="B905" s="1" t="s">
        <v>1319</v>
      </c>
      <c r="C905" s="1" t="s">
        <v>1320</v>
      </c>
      <c r="D905" s="1" t="s">
        <v>523</v>
      </c>
      <c r="E905" s="1" t="s">
        <v>1517</v>
      </c>
      <c r="F905" s="1">
        <v>0.02</v>
      </c>
      <c r="G905" s="1">
        <v>0</v>
      </c>
      <c r="J905" s="1" t="s">
        <v>756</v>
      </c>
    </row>
    <row r="906" spans="1:10">
      <c r="A906" s="1" t="s">
        <v>1347</v>
      </c>
      <c r="B906" s="1" t="s">
        <v>1319</v>
      </c>
      <c r="C906" s="1" t="s">
        <v>1320</v>
      </c>
      <c r="D906" s="1" t="s">
        <v>523</v>
      </c>
      <c r="E906" s="1" t="s">
        <v>1518</v>
      </c>
      <c r="F906" s="1">
        <v>0.01</v>
      </c>
      <c r="G906" s="1">
        <v>0</v>
      </c>
      <c r="J906" s="1" t="s">
        <v>520</v>
      </c>
    </row>
    <row r="907" spans="1:10">
      <c r="A907" s="1" t="s">
        <v>1348</v>
      </c>
      <c r="B907" s="1" t="s">
        <v>1319</v>
      </c>
      <c r="C907" s="1" t="s">
        <v>1320</v>
      </c>
      <c r="D907" s="1" t="s">
        <v>523</v>
      </c>
      <c r="E907" s="1" t="s">
        <v>1519</v>
      </c>
      <c r="F907" s="1">
        <v>0.01</v>
      </c>
      <c r="G907" s="1">
        <v>0</v>
      </c>
      <c r="J907" s="1" t="s">
        <v>759</v>
      </c>
    </row>
    <row r="908" spans="1:10">
      <c r="A908" s="1" t="s">
        <v>1349</v>
      </c>
      <c r="B908" s="1" t="s">
        <v>1350</v>
      </c>
      <c r="C908" s="1" t="s">
        <v>1351</v>
      </c>
      <c r="D908" s="1" t="s">
        <v>1713</v>
      </c>
      <c r="E908" s="1" t="s">
        <v>1830</v>
      </c>
      <c r="F908" s="1">
        <v>0.18375</v>
      </c>
      <c r="G908" s="1">
        <v>0</v>
      </c>
      <c r="H908" s="1">
        <v>1.45</v>
      </c>
      <c r="I908" s="1" t="s">
        <v>1321</v>
      </c>
      <c r="J908" s="1" t="s">
        <v>1322</v>
      </c>
    </row>
    <row r="909" spans="1:10">
      <c r="A909" s="1" t="s">
        <v>1352</v>
      </c>
      <c r="B909" s="1" t="s">
        <v>1350</v>
      </c>
      <c r="C909" s="1" t="s">
        <v>1351</v>
      </c>
      <c r="D909" s="1" t="s">
        <v>1713</v>
      </c>
      <c r="E909" s="1" t="s">
        <v>1831</v>
      </c>
      <c r="F909" s="1">
        <v>0.1225</v>
      </c>
      <c r="G909" s="1">
        <v>0</v>
      </c>
      <c r="H909" s="1">
        <v>1.45</v>
      </c>
      <c r="I909" s="1" t="s">
        <v>1321</v>
      </c>
      <c r="J909" s="1" t="s">
        <v>1324</v>
      </c>
    </row>
    <row r="910" spans="1:10">
      <c r="A910" s="1" t="s">
        <v>1353</v>
      </c>
      <c r="B910" s="1" t="s">
        <v>1350</v>
      </c>
      <c r="C910" s="1" t="s">
        <v>1351</v>
      </c>
      <c r="D910" s="1" t="s">
        <v>1713</v>
      </c>
      <c r="E910" s="1" t="s">
        <v>1832</v>
      </c>
      <c r="F910" s="1">
        <v>6.1249999999999999E-2</v>
      </c>
      <c r="G910" s="1">
        <v>0</v>
      </c>
      <c r="H910" s="1">
        <v>1.45</v>
      </c>
      <c r="I910" s="1" t="s">
        <v>1321</v>
      </c>
      <c r="J910" s="1" t="s">
        <v>1326</v>
      </c>
    </row>
    <row r="911" spans="1:10">
      <c r="A911" s="1" t="s">
        <v>1354</v>
      </c>
      <c r="B911" s="1" t="s">
        <v>1350</v>
      </c>
      <c r="C911" s="1" t="s">
        <v>1351</v>
      </c>
      <c r="D911" s="1" t="s">
        <v>1710</v>
      </c>
      <c r="E911" s="1" t="s">
        <v>2088</v>
      </c>
      <c r="F911" s="1">
        <v>0.125</v>
      </c>
      <c r="G911" s="1">
        <v>0</v>
      </c>
      <c r="H911" s="1">
        <v>1.45</v>
      </c>
      <c r="I911" s="1" t="s">
        <v>1321</v>
      </c>
      <c r="J911" s="1" t="s">
        <v>1328</v>
      </c>
    </row>
    <row r="912" spans="1:10">
      <c r="A912" s="1" t="s">
        <v>1355</v>
      </c>
      <c r="B912" s="1" t="s">
        <v>1350</v>
      </c>
      <c r="C912" s="1" t="s">
        <v>1351</v>
      </c>
      <c r="D912" s="1" t="s">
        <v>1710</v>
      </c>
      <c r="E912" s="1" t="s">
        <v>2089</v>
      </c>
      <c r="F912" s="1">
        <v>6.25E-2</v>
      </c>
      <c r="G912" s="1">
        <v>0</v>
      </c>
      <c r="H912" s="1">
        <v>1.45</v>
      </c>
      <c r="I912" s="1" t="s">
        <v>1321</v>
      </c>
      <c r="J912" s="1" t="s">
        <v>1330</v>
      </c>
    </row>
    <row r="913" spans="1:10">
      <c r="A913" s="1" t="s">
        <v>1356</v>
      </c>
      <c r="B913" s="1" t="s">
        <v>1350</v>
      </c>
      <c r="C913" s="1" t="s">
        <v>1351</v>
      </c>
      <c r="D913" s="1" t="s">
        <v>1710</v>
      </c>
      <c r="E913" s="1" t="s">
        <v>2090</v>
      </c>
      <c r="F913" s="1">
        <v>0.1125</v>
      </c>
      <c r="G913" s="1">
        <v>0</v>
      </c>
      <c r="H913" s="1">
        <v>1.45</v>
      </c>
      <c r="I913" s="1" t="s">
        <v>1321</v>
      </c>
      <c r="J913" s="1" t="s">
        <v>1332</v>
      </c>
    </row>
    <row r="914" spans="1:10">
      <c r="A914" s="1" t="s">
        <v>1357</v>
      </c>
      <c r="B914" s="1" t="s">
        <v>1350</v>
      </c>
      <c r="C914" s="1" t="s">
        <v>1351</v>
      </c>
      <c r="D914" s="1" t="s">
        <v>1710</v>
      </c>
      <c r="E914" s="1" t="s">
        <v>2091</v>
      </c>
      <c r="F914" s="1">
        <v>0.1125</v>
      </c>
      <c r="G914" s="1">
        <v>0</v>
      </c>
      <c r="H914" s="1">
        <v>1.45</v>
      </c>
      <c r="I914" s="1" t="s">
        <v>1321</v>
      </c>
      <c r="J914" s="1" t="s">
        <v>1334</v>
      </c>
    </row>
    <row r="915" spans="1:10">
      <c r="A915" s="1" t="s">
        <v>1358</v>
      </c>
      <c r="B915" s="1" t="s">
        <v>1350</v>
      </c>
      <c r="C915" s="1" t="s">
        <v>1351</v>
      </c>
      <c r="D915" s="1" t="s">
        <v>1710</v>
      </c>
      <c r="E915" s="1" t="s">
        <v>2092</v>
      </c>
      <c r="F915" s="1">
        <v>6.25E-2</v>
      </c>
      <c r="G915" s="1">
        <v>0</v>
      </c>
      <c r="H915" s="1">
        <v>1.45</v>
      </c>
      <c r="I915" s="1" t="s">
        <v>1321</v>
      </c>
      <c r="J915" s="1" t="s">
        <v>1336</v>
      </c>
    </row>
    <row r="916" spans="1:10">
      <c r="A916" s="1" t="s">
        <v>1359</v>
      </c>
      <c r="B916" s="1" t="s">
        <v>1350</v>
      </c>
      <c r="C916" s="1" t="s">
        <v>1351</v>
      </c>
      <c r="D916" s="1" t="s">
        <v>1710</v>
      </c>
      <c r="E916" s="1" t="s">
        <v>2093</v>
      </c>
      <c r="F916" s="1">
        <v>6.25E-2</v>
      </c>
      <c r="G916" s="1">
        <v>0</v>
      </c>
      <c r="H916" s="1">
        <v>1.45</v>
      </c>
      <c r="I916" s="1" t="s">
        <v>1321</v>
      </c>
      <c r="J916" s="1" t="s">
        <v>1338</v>
      </c>
    </row>
    <row r="917" spans="1:10">
      <c r="A917" s="1" t="s">
        <v>1360</v>
      </c>
      <c r="B917" s="1" t="s">
        <v>1350</v>
      </c>
      <c r="C917" s="1" t="s">
        <v>1351</v>
      </c>
      <c r="D917" s="1" t="s">
        <v>1710</v>
      </c>
      <c r="E917" s="1" t="s">
        <v>2094</v>
      </c>
      <c r="F917" s="1">
        <v>3.125E-2</v>
      </c>
      <c r="G917" s="1">
        <v>0</v>
      </c>
      <c r="H917" s="1">
        <v>1.45</v>
      </c>
      <c r="I917" s="1" t="s">
        <v>1321</v>
      </c>
      <c r="J917" s="1" t="s">
        <v>1340</v>
      </c>
    </row>
    <row r="918" spans="1:10">
      <c r="A918" s="1" t="s">
        <v>1361</v>
      </c>
      <c r="B918" s="1" t="s">
        <v>1350</v>
      </c>
      <c r="C918" s="1" t="s">
        <v>1351</v>
      </c>
      <c r="D918" s="1" t="s">
        <v>1710</v>
      </c>
      <c r="E918" s="1" t="s">
        <v>2095</v>
      </c>
      <c r="F918" s="1">
        <v>3.125E-2</v>
      </c>
      <c r="G918" s="1">
        <v>0</v>
      </c>
      <c r="H918" s="1">
        <v>1.45</v>
      </c>
      <c r="I918" s="1" t="s">
        <v>1321</v>
      </c>
      <c r="J918" s="1" t="s">
        <v>1342</v>
      </c>
    </row>
    <row r="919" spans="1:10">
      <c r="A919" s="1" t="s">
        <v>1362</v>
      </c>
      <c r="B919" s="1" t="s">
        <v>1350</v>
      </c>
      <c r="C919" s="1" t="s">
        <v>1351</v>
      </c>
      <c r="D919" s="1" t="s">
        <v>523</v>
      </c>
      <c r="E919" s="1" t="s">
        <v>1520</v>
      </c>
      <c r="F919" s="1">
        <v>7.4999999999999997E-2</v>
      </c>
      <c r="G919" s="1">
        <v>0</v>
      </c>
    </row>
    <row r="920" spans="1:10">
      <c r="A920" s="1" t="s">
        <v>1363</v>
      </c>
      <c r="B920" s="1" t="s">
        <v>1350</v>
      </c>
      <c r="C920" s="1" t="s">
        <v>1351</v>
      </c>
      <c r="D920" s="1" t="s">
        <v>523</v>
      </c>
      <c r="E920" s="1" t="s">
        <v>1521</v>
      </c>
      <c r="F920" s="1">
        <v>3.7499999999999999E-2</v>
      </c>
      <c r="G920" s="1">
        <v>0</v>
      </c>
      <c r="J920" s="1" t="s">
        <v>692</v>
      </c>
    </row>
    <row r="921" spans="1:10">
      <c r="A921" s="1" t="s">
        <v>1364</v>
      </c>
      <c r="B921" s="1" t="s">
        <v>1350</v>
      </c>
      <c r="C921" s="1" t="s">
        <v>1351</v>
      </c>
      <c r="D921" s="1" t="s">
        <v>523</v>
      </c>
      <c r="E921" s="1" t="s">
        <v>1522</v>
      </c>
      <c r="F921" s="1">
        <v>3.7499999999999999E-2</v>
      </c>
      <c r="G921" s="1">
        <v>0</v>
      </c>
      <c r="J921" s="1" t="s">
        <v>519</v>
      </c>
    </row>
    <row r="922" spans="1:10">
      <c r="A922" s="1" t="s">
        <v>1365</v>
      </c>
      <c r="B922" s="1" t="s">
        <v>1350</v>
      </c>
      <c r="C922" s="1" t="s">
        <v>1351</v>
      </c>
      <c r="D922" s="1" t="s">
        <v>523</v>
      </c>
      <c r="E922" s="1" t="s">
        <v>1523</v>
      </c>
      <c r="F922" s="1">
        <v>3.7499999999999999E-2</v>
      </c>
      <c r="G922" s="1">
        <v>0</v>
      </c>
      <c r="J922" s="1" t="s">
        <v>756</v>
      </c>
    </row>
    <row r="923" spans="1:10">
      <c r="A923" s="1" t="s">
        <v>1366</v>
      </c>
      <c r="B923" s="1" t="s">
        <v>1350</v>
      </c>
      <c r="C923" s="1" t="s">
        <v>1351</v>
      </c>
      <c r="D923" s="1" t="s">
        <v>523</v>
      </c>
      <c r="E923" s="1" t="s">
        <v>1524</v>
      </c>
      <c r="F923" s="1">
        <v>1.8749999999999999E-2</v>
      </c>
      <c r="G923" s="1">
        <v>0</v>
      </c>
      <c r="J923" s="1" t="s">
        <v>520</v>
      </c>
    </row>
    <row r="924" spans="1:10">
      <c r="A924" s="1" t="s">
        <v>1367</v>
      </c>
      <c r="B924" s="1" t="s">
        <v>1350</v>
      </c>
      <c r="C924" s="1" t="s">
        <v>1351</v>
      </c>
      <c r="D924" s="1" t="s">
        <v>523</v>
      </c>
      <c r="E924" s="1" t="s">
        <v>1525</v>
      </c>
      <c r="F924" s="1">
        <v>1.8749999999999999E-2</v>
      </c>
      <c r="G924" s="1">
        <v>0</v>
      </c>
      <c r="J924" s="1" t="s">
        <v>759</v>
      </c>
    </row>
    <row r="925" spans="1:10">
      <c r="A925" s="1" t="s">
        <v>1368</v>
      </c>
      <c r="B925" s="1" t="s">
        <v>1369</v>
      </c>
      <c r="C925" s="1" t="s">
        <v>1370</v>
      </c>
      <c r="D925" s="1" t="s">
        <v>1713</v>
      </c>
      <c r="E925" s="1" t="s">
        <v>1830</v>
      </c>
      <c r="F925" s="1">
        <v>0.18375</v>
      </c>
      <c r="G925" s="1">
        <v>0</v>
      </c>
      <c r="H925" s="1">
        <v>1.45</v>
      </c>
      <c r="I925" s="1" t="s">
        <v>1321</v>
      </c>
      <c r="J925" s="1" t="s">
        <v>1322</v>
      </c>
    </row>
    <row r="926" spans="1:10">
      <c r="A926" s="1" t="s">
        <v>1371</v>
      </c>
      <c r="B926" s="1" t="s">
        <v>1369</v>
      </c>
      <c r="C926" s="1" t="s">
        <v>1370</v>
      </c>
      <c r="D926" s="1" t="s">
        <v>1713</v>
      </c>
      <c r="E926" s="1" t="s">
        <v>1831</v>
      </c>
      <c r="F926" s="1">
        <v>0.1225</v>
      </c>
      <c r="G926" s="1">
        <v>0</v>
      </c>
      <c r="H926" s="1">
        <v>1.45</v>
      </c>
      <c r="I926" s="1" t="s">
        <v>1321</v>
      </c>
      <c r="J926" s="1" t="s">
        <v>1324</v>
      </c>
    </row>
    <row r="927" spans="1:10">
      <c r="A927" s="1" t="s">
        <v>1372</v>
      </c>
      <c r="B927" s="1" t="s">
        <v>1369</v>
      </c>
      <c r="C927" s="1" t="s">
        <v>1370</v>
      </c>
      <c r="D927" s="1" t="s">
        <v>1713</v>
      </c>
      <c r="E927" s="1" t="s">
        <v>1832</v>
      </c>
      <c r="F927" s="1">
        <v>6.1249999999999999E-2</v>
      </c>
      <c r="G927" s="1">
        <v>0</v>
      </c>
      <c r="H927" s="1">
        <v>1.45</v>
      </c>
      <c r="I927" s="1" t="s">
        <v>1321</v>
      </c>
      <c r="J927" s="1" t="s">
        <v>1326</v>
      </c>
    </row>
    <row r="928" spans="1:10">
      <c r="A928" s="1" t="s">
        <v>1373</v>
      </c>
      <c r="B928" s="1" t="s">
        <v>1369</v>
      </c>
      <c r="C928" s="1" t="s">
        <v>1370</v>
      </c>
      <c r="D928" s="1" t="s">
        <v>1710</v>
      </c>
      <c r="E928" s="1" t="s">
        <v>2088</v>
      </c>
      <c r="F928" s="1">
        <v>0.125</v>
      </c>
      <c r="G928" s="1">
        <v>0</v>
      </c>
      <c r="H928" s="1">
        <v>1.45</v>
      </c>
      <c r="I928" s="1" t="s">
        <v>1321</v>
      </c>
      <c r="J928" s="1" t="s">
        <v>1328</v>
      </c>
    </row>
    <row r="929" spans="1:10">
      <c r="A929" s="1" t="s">
        <v>1374</v>
      </c>
      <c r="B929" s="1" t="s">
        <v>1369</v>
      </c>
      <c r="C929" s="1" t="s">
        <v>1370</v>
      </c>
      <c r="D929" s="1" t="s">
        <v>1710</v>
      </c>
      <c r="E929" s="1" t="s">
        <v>2089</v>
      </c>
      <c r="F929" s="1">
        <v>6.25E-2</v>
      </c>
      <c r="G929" s="1">
        <v>0</v>
      </c>
      <c r="H929" s="1">
        <v>1.45</v>
      </c>
      <c r="I929" s="1" t="s">
        <v>1321</v>
      </c>
      <c r="J929" s="1" t="s">
        <v>1330</v>
      </c>
    </row>
    <row r="930" spans="1:10">
      <c r="A930" s="1" t="s">
        <v>1375</v>
      </c>
      <c r="B930" s="1" t="s">
        <v>1369</v>
      </c>
      <c r="C930" s="1" t="s">
        <v>1370</v>
      </c>
      <c r="D930" s="1" t="s">
        <v>1710</v>
      </c>
      <c r="E930" s="1" t="s">
        <v>2090</v>
      </c>
      <c r="F930" s="1">
        <v>0.1125</v>
      </c>
      <c r="G930" s="1">
        <v>0</v>
      </c>
      <c r="H930" s="1">
        <v>1.45</v>
      </c>
      <c r="I930" s="1" t="s">
        <v>1321</v>
      </c>
      <c r="J930" s="1" t="s">
        <v>1332</v>
      </c>
    </row>
    <row r="931" spans="1:10">
      <c r="A931" s="1" t="s">
        <v>1376</v>
      </c>
      <c r="B931" s="1" t="s">
        <v>1369</v>
      </c>
      <c r="C931" s="1" t="s">
        <v>1370</v>
      </c>
      <c r="D931" s="1" t="s">
        <v>1710</v>
      </c>
      <c r="E931" s="1" t="s">
        <v>2091</v>
      </c>
      <c r="F931" s="1">
        <v>0.1125</v>
      </c>
      <c r="G931" s="1">
        <v>0</v>
      </c>
      <c r="H931" s="1">
        <v>1.45</v>
      </c>
      <c r="I931" s="1" t="s">
        <v>1321</v>
      </c>
      <c r="J931" s="1" t="s">
        <v>1334</v>
      </c>
    </row>
    <row r="932" spans="1:10">
      <c r="A932" s="1" t="s">
        <v>1377</v>
      </c>
      <c r="B932" s="1" t="s">
        <v>1369</v>
      </c>
      <c r="C932" s="1" t="s">
        <v>1370</v>
      </c>
      <c r="D932" s="1" t="s">
        <v>1710</v>
      </c>
      <c r="E932" s="1" t="s">
        <v>2092</v>
      </c>
      <c r="F932" s="1">
        <v>6.25E-2</v>
      </c>
      <c r="G932" s="1">
        <v>0</v>
      </c>
      <c r="H932" s="1">
        <v>1.45</v>
      </c>
      <c r="I932" s="1" t="s">
        <v>1321</v>
      </c>
      <c r="J932" s="1" t="s">
        <v>1336</v>
      </c>
    </row>
    <row r="933" spans="1:10">
      <c r="A933" s="1" t="s">
        <v>1378</v>
      </c>
      <c r="B933" s="1" t="s">
        <v>1369</v>
      </c>
      <c r="C933" s="1" t="s">
        <v>1370</v>
      </c>
      <c r="D933" s="1" t="s">
        <v>1710</v>
      </c>
      <c r="E933" s="1" t="s">
        <v>2093</v>
      </c>
      <c r="F933" s="1">
        <v>6.25E-2</v>
      </c>
      <c r="G933" s="1">
        <v>0</v>
      </c>
      <c r="H933" s="1">
        <v>1.45</v>
      </c>
      <c r="I933" s="1" t="s">
        <v>1321</v>
      </c>
      <c r="J933" s="1" t="s">
        <v>1338</v>
      </c>
    </row>
    <row r="934" spans="1:10">
      <c r="A934" s="1" t="s">
        <v>1379</v>
      </c>
      <c r="B934" s="1" t="s">
        <v>1369</v>
      </c>
      <c r="C934" s="1" t="s">
        <v>1370</v>
      </c>
      <c r="D934" s="1" t="s">
        <v>1710</v>
      </c>
      <c r="E934" s="1" t="s">
        <v>2094</v>
      </c>
      <c r="F934" s="1">
        <v>3.125E-2</v>
      </c>
      <c r="G934" s="1">
        <v>0</v>
      </c>
      <c r="H934" s="1">
        <v>1.45</v>
      </c>
      <c r="I934" s="1" t="s">
        <v>1321</v>
      </c>
      <c r="J934" s="1" t="s">
        <v>1340</v>
      </c>
    </row>
    <row r="935" spans="1:10">
      <c r="A935" s="1" t="s">
        <v>1380</v>
      </c>
      <c r="B935" s="1" t="s">
        <v>1369</v>
      </c>
      <c r="C935" s="1" t="s">
        <v>1370</v>
      </c>
      <c r="D935" s="1" t="s">
        <v>1710</v>
      </c>
      <c r="E935" s="1" t="s">
        <v>2095</v>
      </c>
      <c r="F935" s="1">
        <v>3.125E-2</v>
      </c>
      <c r="G935" s="1">
        <v>0</v>
      </c>
      <c r="H935" s="1">
        <v>1.45</v>
      </c>
      <c r="I935" s="1" t="s">
        <v>1321</v>
      </c>
      <c r="J935" s="1" t="s">
        <v>1342</v>
      </c>
    </row>
    <row r="936" spans="1:10">
      <c r="A936" s="1" t="s">
        <v>1381</v>
      </c>
      <c r="B936" s="1" t="s">
        <v>1369</v>
      </c>
      <c r="C936" s="1" t="s">
        <v>1370</v>
      </c>
      <c r="D936" s="1" t="s">
        <v>523</v>
      </c>
      <c r="E936" s="1" t="s">
        <v>1520</v>
      </c>
      <c r="F936" s="1">
        <v>7.4999999999999997E-2</v>
      </c>
      <c r="G936" s="1">
        <v>0</v>
      </c>
    </row>
    <row r="937" spans="1:10">
      <c r="A937" s="1" t="s">
        <v>1382</v>
      </c>
      <c r="B937" s="1" t="s">
        <v>1369</v>
      </c>
      <c r="C937" s="1" t="s">
        <v>1370</v>
      </c>
      <c r="D937" s="1" t="s">
        <v>523</v>
      </c>
      <c r="E937" s="1" t="s">
        <v>1521</v>
      </c>
      <c r="F937" s="1">
        <v>3.7499999999999999E-2</v>
      </c>
      <c r="G937" s="1">
        <v>0</v>
      </c>
      <c r="J937" s="1" t="s">
        <v>692</v>
      </c>
    </row>
    <row r="938" spans="1:10">
      <c r="A938" s="1" t="s">
        <v>1383</v>
      </c>
      <c r="B938" s="1" t="s">
        <v>1369</v>
      </c>
      <c r="C938" s="1" t="s">
        <v>1370</v>
      </c>
      <c r="D938" s="1" t="s">
        <v>523</v>
      </c>
      <c r="E938" s="1" t="s">
        <v>1522</v>
      </c>
      <c r="F938" s="1">
        <v>3.7499999999999999E-2</v>
      </c>
      <c r="G938" s="1">
        <v>0</v>
      </c>
      <c r="J938" s="1" t="s">
        <v>519</v>
      </c>
    </row>
    <row r="939" spans="1:10">
      <c r="A939" s="1" t="s">
        <v>1384</v>
      </c>
      <c r="B939" s="1" t="s">
        <v>1369</v>
      </c>
      <c r="C939" s="1" t="s">
        <v>1370</v>
      </c>
      <c r="D939" s="1" t="s">
        <v>523</v>
      </c>
      <c r="E939" s="1" t="s">
        <v>1523</v>
      </c>
      <c r="F939" s="1">
        <v>3.7499999999999999E-2</v>
      </c>
      <c r="G939" s="1">
        <v>0</v>
      </c>
      <c r="J939" s="1" t="s">
        <v>1139</v>
      </c>
    </row>
    <row r="940" spans="1:10">
      <c r="A940" s="1" t="s">
        <v>1385</v>
      </c>
      <c r="B940" s="1" t="s">
        <v>1369</v>
      </c>
      <c r="C940" s="1" t="s">
        <v>1370</v>
      </c>
      <c r="D940" s="1" t="s">
        <v>523</v>
      </c>
      <c r="E940" s="1" t="s">
        <v>1524</v>
      </c>
      <c r="F940" s="1">
        <v>1.8749999999999999E-2</v>
      </c>
      <c r="G940" s="1">
        <v>0</v>
      </c>
      <c r="J940" s="1" t="s">
        <v>520</v>
      </c>
    </row>
    <row r="941" spans="1:10">
      <c r="A941" s="1" t="s">
        <v>1386</v>
      </c>
      <c r="B941" s="1" t="s">
        <v>1369</v>
      </c>
      <c r="C941" s="1" t="s">
        <v>1370</v>
      </c>
      <c r="D941" s="1" t="s">
        <v>523</v>
      </c>
      <c r="E941" s="1" t="s">
        <v>1525</v>
      </c>
      <c r="F941" s="1">
        <v>1.8749999999999999E-2</v>
      </c>
      <c r="G941" s="1">
        <v>0</v>
      </c>
      <c r="J941" s="1" t="s">
        <v>759</v>
      </c>
    </row>
    <row r="942" spans="1:10">
      <c r="A942" s="1" t="s">
        <v>1387</v>
      </c>
      <c r="B942" s="1" t="s">
        <v>1388</v>
      </c>
      <c r="C942" s="1" t="s">
        <v>1389</v>
      </c>
      <c r="D942" s="1" t="s">
        <v>1720</v>
      </c>
      <c r="E942" s="1" t="s">
        <v>2067</v>
      </c>
      <c r="F942" s="1">
        <v>9.7500000000000003E-2</v>
      </c>
      <c r="G942" s="1">
        <v>0</v>
      </c>
      <c r="H942" s="1">
        <v>1.45</v>
      </c>
      <c r="I942" s="1" t="s">
        <v>1321</v>
      </c>
      <c r="J942" s="1" t="s">
        <v>1322</v>
      </c>
    </row>
    <row r="943" spans="1:10">
      <c r="A943" s="1" t="s">
        <v>1390</v>
      </c>
      <c r="B943" s="1" t="s">
        <v>1388</v>
      </c>
      <c r="C943" s="1" t="s">
        <v>1389</v>
      </c>
      <c r="D943" s="1" t="s">
        <v>1720</v>
      </c>
      <c r="E943" s="1" t="s">
        <v>2068</v>
      </c>
      <c r="F943" s="1">
        <v>6.5000000000000002E-2</v>
      </c>
      <c r="G943" s="1">
        <v>0</v>
      </c>
      <c r="H943" s="1">
        <v>1.45</v>
      </c>
      <c r="I943" s="1" t="s">
        <v>1321</v>
      </c>
      <c r="J943" s="1" t="s">
        <v>1324</v>
      </c>
    </row>
    <row r="944" spans="1:10">
      <c r="A944" s="1" t="s">
        <v>1391</v>
      </c>
      <c r="B944" s="1" t="s">
        <v>1388</v>
      </c>
      <c r="C944" s="1" t="s">
        <v>1389</v>
      </c>
      <c r="D944" s="1" t="s">
        <v>1720</v>
      </c>
      <c r="E944" s="1" t="s">
        <v>2069</v>
      </c>
      <c r="F944" s="1">
        <v>3.2500000000000001E-2</v>
      </c>
      <c r="G944" s="1">
        <v>0</v>
      </c>
      <c r="H944" s="1">
        <v>1.45</v>
      </c>
      <c r="I944" s="1" t="s">
        <v>1321</v>
      </c>
      <c r="J944" s="1" t="s">
        <v>1326</v>
      </c>
    </row>
    <row r="945" spans="1:10">
      <c r="A945" s="1" t="s">
        <v>1392</v>
      </c>
      <c r="B945" s="1" t="s">
        <v>1388</v>
      </c>
      <c r="C945" s="1" t="s">
        <v>1389</v>
      </c>
      <c r="D945" s="1" t="s">
        <v>1710</v>
      </c>
      <c r="E945" s="1" t="s">
        <v>2098</v>
      </c>
      <c r="F945" s="1">
        <v>7.4999999999999997E-2</v>
      </c>
      <c r="G945" s="1">
        <v>0</v>
      </c>
      <c r="H945" s="1">
        <v>1.45</v>
      </c>
      <c r="I945" s="1" t="s">
        <v>1321</v>
      </c>
      <c r="J945" s="1" t="s">
        <v>1328</v>
      </c>
    </row>
    <row r="946" spans="1:10">
      <c r="A946" s="1" t="s">
        <v>1393</v>
      </c>
      <c r="B946" s="1" t="s">
        <v>1388</v>
      </c>
      <c r="C946" s="1" t="s">
        <v>1389</v>
      </c>
      <c r="D946" s="1" t="s">
        <v>1710</v>
      </c>
      <c r="E946" s="1" t="s">
        <v>2099</v>
      </c>
      <c r="F946" s="1">
        <v>3.7499999999999999E-2</v>
      </c>
      <c r="G946" s="1">
        <v>0</v>
      </c>
      <c r="H946" s="1">
        <v>1.45</v>
      </c>
      <c r="I946" s="1" t="s">
        <v>1321</v>
      </c>
      <c r="J946" s="1" t="s">
        <v>1330</v>
      </c>
    </row>
    <row r="947" spans="1:10">
      <c r="A947" s="1" t="s">
        <v>1394</v>
      </c>
      <c r="B947" s="1" t="s">
        <v>1388</v>
      </c>
      <c r="C947" s="1" t="s">
        <v>1389</v>
      </c>
      <c r="D947" s="1" t="s">
        <v>1710</v>
      </c>
      <c r="E947" s="1" t="s">
        <v>2100</v>
      </c>
      <c r="F947" s="1">
        <v>6.7500000000000004E-2</v>
      </c>
      <c r="G947" s="1">
        <v>0</v>
      </c>
      <c r="H947" s="1">
        <v>1.45</v>
      </c>
      <c r="I947" s="1" t="s">
        <v>1321</v>
      </c>
      <c r="J947" s="1" t="s">
        <v>1332</v>
      </c>
    </row>
    <row r="948" spans="1:10">
      <c r="A948" s="1" t="s">
        <v>1395</v>
      </c>
      <c r="B948" s="1" t="s">
        <v>1388</v>
      </c>
      <c r="C948" s="1" t="s">
        <v>1389</v>
      </c>
      <c r="D948" s="1" t="s">
        <v>1710</v>
      </c>
      <c r="E948" s="1" t="s">
        <v>2101</v>
      </c>
      <c r="F948" s="1">
        <v>6.7500000000000004E-2</v>
      </c>
      <c r="G948" s="1">
        <v>0</v>
      </c>
      <c r="H948" s="1">
        <v>1.45</v>
      </c>
      <c r="I948" s="1" t="s">
        <v>1321</v>
      </c>
      <c r="J948" s="1" t="s">
        <v>1334</v>
      </c>
    </row>
    <row r="949" spans="1:10">
      <c r="A949" s="1" t="s">
        <v>1396</v>
      </c>
      <c r="B949" s="1" t="s">
        <v>1388</v>
      </c>
      <c r="C949" s="1" t="s">
        <v>1389</v>
      </c>
      <c r="D949" s="1" t="s">
        <v>1710</v>
      </c>
      <c r="E949" s="1" t="s">
        <v>2102</v>
      </c>
      <c r="F949" s="1">
        <v>3.7499999999999999E-2</v>
      </c>
      <c r="G949" s="1">
        <v>0</v>
      </c>
      <c r="H949" s="1">
        <v>1.45</v>
      </c>
      <c r="I949" s="1" t="s">
        <v>1321</v>
      </c>
      <c r="J949" s="1" t="s">
        <v>1336</v>
      </c>
    </row>
    <row r="950" spans="1:10">
      <c r="A950" s="1" t="s">
        <v>1397</v>
      </c>
      <c r="B950" s="1" t="s">
        <v>1388</v>
      </c>
      <c r="C950" s="1" t="s">
        <v>1389</v>
      </c>
      <c r="D950" s="1" t="s">
        <v>1710</v>
      </c>
      <c r="E950" s="1" t="s">
        <v>2103</v>
      </c>
      <c r="F950" s="1">
        <v>3.7499999999999999E-2</v>
      </c>
      <c r="G950" s="1">
        <v>0</v>
      </c>
      <c r="H950" s="1">
        <v>1.45</v>
      </c>
      <c r="I950" s="1" t="s">
        <v>1321</v>
      </c>
      <c r="J950" s="1" t="s">
        <v>1338</v>
      </c>
    </row>
    <row r="951" spans="1:10">
      <c r="A951" s="1" t="s">
        <v>1398</v>
      </c>
      <c r="B951" s="1" t="s">
        <v>1388</v>
      </c>
      <c r="C951" s="1" t="s">
        <v>1389</v>
      </c>
      <c r="D951" s="1" t="s">
        <v>1710</v>
      </c>
      <c r="E951" s="1" t="s">
        <v>2104</v>
      </c>
      <c r="F951" s="1">
        <v>1.8749999999999999E-2</v>
      </c>
      <c r="G951" s="1">
        <v>0</v>
      </c>
      <c r="H951" s="1">
        <v>1.45</v>
      </c>
      <c r="I951" s="1" t="s">
        <v>1321</v>
      </c>
      <c r="J951" s="1" t="s">
        <v>1340</v>
      </c>
    </row>
    <row r="952" spans="1:10">
      <c r="A952" s="1" t="s">
        <v>1399</v>
      </c>
      <c r="B952" s="1" t="s">
        <v>1388</v>
      </c>
      <c r="C952" s="1" t="s">
        <v>1389</v>
      </c>
      <c r="D952" s="1" t="s">
        <v>1710</v>
      </c>
      <c r="E952" s="1" t="s">
        <v>2105</v>
      </c>
      <c r="F952" s="1">
        <v>1.8749999999999999E-2</v>
      </c>
      <c r="G952" s="1">
        <v>0</v>
      </c>
      <c r="H952" s="1">
        <v>1.45</v>
      </c>
      <c r="I952" s="1" t="s">
        <v>1321</v>
      </c>
      <c r="J952" s="1" t="s">
        <v>1342</v>
      </c>
    </row>
    <row r="953" spans="1:10">
      <c r="A953" s="1" t="s">
        <v>1400</v>
      </c>
      <c r="B953" s="1" t="s">
        <v>1388</v>
      </c>
      <c r="C953" s="1" t="s">
        <v>1389</v>
      </c>
      <c r="D953" s="1" t="s">
        <v>523</v>
      </c>
      <c r="E953" s="1" t="s">
        <v>1526</v>
      </c>
      <c r="F953" s="1">
        <v>2.5000000000000001E-2</v>
      </c>
      <c r="G953" s="1">
        <v>0</v>
      </c>
    </row>
    <row r="954" spans="1:10">
      <c r="A954" s="1" t="s">
        <v>1401</v>
      </c>
      <c r="B954" s="1" t="s">
        <v>1388</v>
      </c>
      <c r="C954" s="1" t="s">
        <v>1389</v>
      </c>
      <c r="D954" s="1" t="s">
        <v>523</v>
      </c>
      <c r="E954" s="1" t="s">
        <v>1527</v>
      </c>
      <c r="F954" s="1">
        <v>1.2500000000000001E-2</v>
      </c>
      <c r="G954" s="1">
        <v>0</v>
      </c>
      <c r="J954" s="1" t="s">
        <v>692</v>
      </c>
    </row>
    <row r="955" spans="1:10">
      <c r="A955" s="1" t="s">
        <v>1402</v>
      </c>
      <c r="B955" s="1" t="s">
        <v>1388</v>
      </c>
      <c r="C955" s="1" t="s">
        <v>1389</v>
      </c>
      <c r="D955" s="1" t="s">
        <v>523</v>
      </c>
      <c r="E955" s="1" t="s">
        <v>1528</v>
      </c>
      <c r="F955" s="1">
        <v>1.2500000000000001E-2</v>
      </c>
      <c r="G955" s="1">
        <v>0</v>
      </c>
      <c r="J955" s="1" t="s">
        <v>519</v>
      </c>
    </row>
    <row r="956" spans="1:10">
      <c r="A956" s="1" t="s">
        <v>1403</v>
      </c>
      <c r="B956" s="1" t="s">
        <v>1388</v>
      </c>
      <c r="C956" s="1" t="s">
        <v>1389</v>
      </c>
      <c r="D956" s="1" t="s">
        <v>523</v>
      </c>
      <c r="E956" s="1" t="s">
        <v>1529</v>
      </c>
      <c r="F956" s="1">
        <v>1.2500000000000001E-2</v>
      </c>
      <c r="G956" s="1">
        <v>0</v>
      </c>
      <c r="J956" s="1" t="s">
        <v>1139</v>
      </c>
    </row>
    <row r="957" spans="1:10">
      <c r="A957" s="1" t="s">
        <v>1404</v>
      </c>
      <c r="B957" s="1" t="s">
        <v>1388</v>
      </c>
      <c r="C957" s="1" t="s">
        <v>1389</v>
      </c>
      <c r="D957" s="1" t="s">
        <v>523</v>
      </c>
      <c r="E957" s="1" t="s">
        <v>1530</v>
      </c>
      <c r="F957" s="1">
        <v>6.2500000000000003E-3</v>
      </c>
      <c r="G957" s="1">
        <v>0</v>
      </c>
      <c r="J957" s="1" t="s">
        <v>520</v>
      </c>
    </row>
    <row r="958" spans="1:10">
      <c r="A958" s="1" t="s">
        <v>1405</v>
      </c>
      <c r="B958" s="1" t="s">
        <v>1388</v>
      </c>
      <c r="C958" s="1" t="s">
        <v>1389</v>
      </c>
      <c r="D958" s="1" t="s">
        <v>523</v>
      </c>
      <c r="E958" s="1" t="s">
        <v>1531</v>
      </c>
      <c r="F958" s="1">
        <v>6.2500000000000003E-3</v>
      </c>
      <c r="G958" s="1">
        <v>0</v>
      </c>
      <c r="J958" s="1" t="s">
        <v>759</v>
      </c>
    </row>
    <row r="959" spans="1:10">
      <c r="A959" s="1" t="s">
        <v>1406</v>
      </c>
      <c r="B959" s="1" t="s">
        <v>1388</v>
      </c>
      <c r="C959" s="1" t="s">
        <v>1389</v>
      </c>
      <c r="D959" s="1" t="s">
        <v>591</v>
      </c>
      <c r="E959" s="1" t="s">
        <v>1532</v>
      </c>
      <c r="F959" s="1">
        <v>2.5000000000000001E-2</v>
      </c>
      <c r="G959" s="1">
        <v>0</v>
      </c>
    </row>
    <row r="960" spans="1:10">
      <c r="A960" s="1" t="s">
        <v>1407</v>
      </c>
      <c r="B960" s="1" t="s">
        <v>1388</v>
      </c>
      <c r="C960" s="1" t="s">
        <v>1389</v>
      </c>
      <c r="D960" s="1" t="s">
        <v>591</v>
      </c>
      <c r="E960" s="1" t="s">
        <v>1533</v>
      </c>
      <c r="F960" s="1">
        <v>1.2500000000000001E-2</v>
      </c>
      <c r="G960" s="1">
        <v>0</v>
      </c>
      <c r="J960" s="1" t="s">
        <v>692</v>
      </c>
    </row>
    <row r="961" spans="1:10">
      <c r="A961" s="1" t="s">
        <v>1408</v>
      </c>
      <c r="B961" s="1" t="s">
        <v>1409</v>
      </c>
      <c r="C961" s="1" t="s">
        <v>1410</v>
      </c>
      <c r="D961" s="1" t="s">
        <v>1859</v>
      </c>
      <c r="E961" s="1" t="s">
        <v>1817</v>
      </c>
      <c r="F961" s="1">
        <v>2.1800000000000002</v>
      </c>
      <c r="G961" s="1">
        <v>0</v>
      </c>
      <c r="H961" s="1">
        <v>2.3199999999999998</v>
      </c>
      <c r="I961" s="1" t="s">
        <v>684</v>
      </c>
    </row>
    <row r="962" spans="1:10">
      <c r="A962" s="1" t="s">
        <v>1411</v>
      </c>
      <c r="B962" s="1" t="s">
        <v>1409</v>
      </c>
      <c r="C962" s="1" t="s">
        <v>1410</v>
      </c>
      <c r="D962" s="1" t="s">
        <v>1863</v>
      </c>
      <c r="E962" s="1" t="s">
        <v>1840</v>
      </c>
      <c r="F962" s="1">
        <v>1.2</v>
      </c>
      <c r="G962" s="1">
        <v>0</v>
      </c>
      <c r="H962" s="1">
        <v>2.3199999999999998</v>
      </c>
      <c r="I962" s="1" t="s">
        <v>684</v>
      </c>
    </row>
    <row r="963" spans="1:10">
      <c r="A963" s="1" t="s">
        <v>1412</v>
      </c>
      <c r="B963" s="1" t="s">
        <v>1409</v>
      </c>
      <c r="C963" s="1" t="s">
        <v>1410</v>
      </c>
      <c r="D963" s="1" t="s">
        <v>1922</v>
      </c>
      <c r="E963" s="1" t="s">
        <v>1841</v>
      </c>
      <c r="F963" s="1">
        <v>0.6</v>
      </c>
      <c r="G963" s="1">
        <v>0</v>
      </c>
      <c r="H963" s="1">
        <v>2.3199999999999998</v>
      </c>
      <c r="I963" s="1" t="s">
        <v>684</v>
      </c>
    </row>
    <row r="964" spans="1:10">
      <c r="A964" s="1" t="s">
        <v>1413</v>
      </c>
      <c r="B964" s="1" t="s">
        <v>1409</v>
      </c>
      <c r="C964" s="1" t="s">
        <v>1410</v>
      </c>
      <c r="D964" s="1" t="s">
        <v>1922</v>
      </c>
      <c r="E964" s="1" t="s">
        <v>1842</v>
      </c>
      <c r="F964" s="1">
        <v>0.6</v>
      </c>
      <c r="G964" s="1">
        <v>0</v>
      </c>
      <c r="H964" s="1">
        <v>2.3199999999999998</v>
      </c>
      <c r="I964" s="1" t="s">
        <v>684</v>
      </c>
    </row>
    <row r="965" spans="1:10">
      <c r="A965" s="1" t="s">
        <v>1414</v>
      </c>
      <c r="B965" s="1" t="s">
        <v>1409</v>
      </c>
      <c r="C965" s="1" t="s">
        <v>1410</v>
      </c>
      <c r="D965" s="1" t="s">
        <v>1925</v>
      </c>
      <c r="E965" s="1" t="s">
        <v>1843</v>
      </c>
      <c r="F965" s="1">
        <v>0.25</v>
      </c>
      <c r="G965" s="1">
        <v>0</v>
      </c>
      <c r="H965" s="1">
        <v>2.3199999999999998</v>
      </c>
      <c r="I965" s="1" t="s">
        <v>684</v>
      </c>
    </row>
    <row r="966" spans="1:10">
      <c r="A966" s="1" t="s">
        <v>1415</v>
      </c>
      <c r="B966" s="1" t="s">
        <v>1409</v>
      </c>
      <c r="C966" s="1" t="s">
        <v>1410</v>
      </c>
      <c r="D966" s="1" t="s">
        <v>1925</v>
      </c>
      <c r="E966" s="1" t="s">
        <v>1844</v>
      </c>
      <c r="F966" s="1">
        <v>0.25</v>
      </c>
      <c r="G966" s="1">
        <v>0</v>
      </c>
      <c r="H966" s="1">
        <v>2.3199999999999998</v>
      </c>
      <c r="I966" s="1" t="s">
        <v>684</v>
      </c>
    </row>
    <row r="967" spans="1:10">
      <c r="A967" s="1" t="s">
        <v>1416</v>
      </c>
      <c r="B967" s="1" t="s">
        <v>1409</v>
      </c>
      <c r="C967" s="1" t="s">
        <v>1410</v>
      </c>
      <c r="D967" s="1" t="s">
        <v>1925</v>
      </c>
      <c r="E967" s="1" t="s">
        <v>1845</v>
      </c>
      <c r="F967" s="1">
        <v>0.125</v>
      </c>
      <c r="G967" s="1">
        <v>0</v>
      </c>
      <c r="H967" s="1">
        <v>2.3199999999999998</v>
      </c>
      <c r="I967" s="1" t="s">
        <v>691</v>
      </c>
      <c r="J967" s="1" t="s">
        <v>692</v>
      </c>
    </row>
    <row r="968" spans="1:10">
      <c r="A968" s="1" t="s">
        <v>1417</v>
      </c>
      <c r="B968" s="1" t="s">
        <v>1409</v>
      </c>
      <c r="C968" s="1" t="s">
        <v>1410</v>
      </c>
      <c r="D968" s="1" t="s">
        <v>42</v>
      </c>
      <c r="E968" s="1" t="s">
        <v>1846</v>
      </c>
      <c r="F968" s="1">
        <v>0.08</v>
      </c>
      <c r="G968" s="1">
        <v>0</v>
      </c>
      <c r="H968" s="1">
        <v>2.3199999999999998</v>
      </c>
      <c r="I968" s="1" t="s">
        <v>684</v>
      </c>
    </row>
    <row r="969" spans="1:10">
      <c r="A969" s="1" t="s">
        <v>1418</v>
      </c>
      <c r="B969" s="1" t="s">
        <v>1409</v>
      </c>
      <c r="C969" s="1" t="s">
        <v>1410</v>
      </c>
      <c r="D969" s="1" t="s">
        <v>42</v>
      </c>
      <c r="E969" s="1" t="s">
        <v>1847</v>
      </c>
      <c r="F969" s="1">
        <v>0.04</v>
      </c>
      <c r="G969" s="1">
        <v>0</v>
      </c>
      <c r="H969" s="1">
        <v>2.3199999999999998</v>
      </c>
      <c r="I969" s="1" t="s">
        <v>691</v>
      </c>
      <c r="J969" s="1" t="s">
        <v>692</v>
      </c>
    </row>
    <row r="970" spans="1:10">
      <c r="A970" s="1" t="s">
        <v>1419</v>
      </c>
      <c r="B970" s="1" t="s">
        <v>1409</v>
      </c>
      <c r="C970" s="1" t="s">
        <v>1410</v>
      </c>
      <c r="D970" s="1" t="s">
        <v>42</v>
      </c>
      <c r="E970" s="1" t="s">
        <v>1848</v>
      </c>
      <c r="F970" s="1">
        <v>0.06</v>
      </c>
      <c r="G970" s="1">
        <v>0</v>
      </c>
      <c r="H970" s="1">
        <v>2.3199999999999998</v>
      </c>
      <c r="I970" s="1" t="s">
        <v>684</v>
      </c>
      <c r="J970" s="1" t="s">
        <v>515</v>
      </c>
    </row>
    <row r="971" spans="1:10">
      <c r="A971" s="1" t="s">
        <v>1420</v>
      </c>
      <c r="B971" s="1" t="s">
        <v>1409</v>
      </c>
      <c r="C971" s="1" t="s">
        <v>1410</v>
      </c>
      <c r="D971" s="1" t="s">
        <v>42</v>
      </c>
      <c r="E971" s="1" t="s">
        <v>2106</v>
      </c>
      <c r="F971" s="1">
        <v>0.06</v>
      </c>
      <c r="G971" s="1">
        <v>0</v>
      </c>
      <c r="H971" s="1">
        <v>2.3199999999999998</v>
      </c>
      <c r="I971" s="1" t="s">
        <v>691</v>
      </c>
      <c r="J971" s="1" t="s">
        <v>697</v>
      </c>
    </row>
    <row r="972" spans="1:10">
      <c r="A972" s="1" t="s">
        <v>1421</v>
      </c>
      <c r="B972" s="1" t="s">
        <v>1409</v>
      </c>
      <c r="C972" s="1" t="s">
        <v>1410</v>
      </c>
      <c r="D972" s="1" t="s">
        <v>42</v>
      </c>
      <c r="E972" s="1" t="s">
        <v>1849</v>
      </c>
      <c r="F972" s="1">
        <v>0.04</v>
      </c>
      <c r="G972" s="1">
        <v>0</v>
      </c>
      <c r="H972" s="1">
        <v>2.3199999999999998</v>
      </c>
      <c r="I972" s="1" t="s">
        <v>684</v>
      </c>
      <c r="J972" s="1" t="s">
        <v>516</v>
      </c>
    </row>
    <row r="973" spans="1:10">
      <c r="A973" s="1" t="s">
        <v>1422</v>
      </c>
      <c r="B973" s="1" t="s">
        <v>1409</v>
      </c>
      <c r="C973" s="1" t="s">
        <v>1410</v>
      </c>
      <c r="D973" s="1" t="s">
        <v>42</v>
      </c>
      <c r="E973" s="1" t="s">
        <v>2107</v>
      </c>
      <c r="F973" s="1">
        <v>0.04</v>
      </c>
      <c r="G973" s="1">
        <v>0</v>
      </c>
      <c r="H973" s="1">
        <v>2.3199999999999998</v>
      </c>
      <c r="I973" s="1" t="s">
        <v>691</v>
      </c>
      <c r="J973" s="1" t="s">
        <v>700</v>
      </c>
    </row>
    <row r="974" spans="1:10">
      <c r="A974" s="1" t="s">
        <v>1423</v>
      </c>
      <c r="B974" s="1" t="s">
        <v>1409</v>
      </c>
      <c r="C974" s="1" t="s">
        <v>1410</v>
      </c>
      <c r="D974" s="1" t="s">
        <v>42</v>
      </c>
      <c r="E974" s="1" t="s">
        <v>1850</v>
      </c>
      <c r="F974" s="1">
        <v>0.02</v>
      </c>
      <c r="G974" s="1">
        <v>0</v>
      </c>
      <c r="H974" s="1">
        <v>2.3199999999999998</v>
      </c>
      <c r="I974" s="1" t="s">
        <v>684</v>
      </c>
      <c r="J974" s="1" t="s">
        <v>517</v>
      </c>
    </row>
    <row r="975" spans="1:10">
      <c r="A975" s="1" t="s">
        <v>1424</v>
      </c>
      <c r="B975" s="1" t="s">
        <v>1409</v>
      </c>
      <c r="C975" s="1" t="s">
        <v>1410</v>
      </c>
      <c r="D975" s="1" t="s">
        <v>42</v>
      </c>
      <c r="E975" s="1" t="s">
        <v>2108</v>
      </c>
      <c r="F975" s="1">
        <v>0.02</v>
      </c>
      <c r="G975" s="1">
        <v>0</v>
      </c>
      <c r="H975" s="1">
        <v>2.3199999999999998</v>
      </c>
      <c r="I975" s="1" t="s">
        <v>691</v>
      </c>
      <c r="J975" s="1" t="s">
        <v>703</v>
      </c>
    </row>
    <row r="976" spans="1:10">
      <c r="A976" s="1" t="s">
        <v>1425</v>
      </c>
      <c r="B976" s="1" t="s">
        <v>1409</v>
      </c>
      <c r="C976" s="1" t="s">
        <v>1410</v>
      </c>
      <c r="D976" s="1" t="s">
        <v>1710</v>
      </c>
      <c r="E976" s="1" t="s">
        <v>2109</v>
      </c>
      <c r="F976" s="1">
        <v>0.05</v>
      </c>
      <c r="G976" s="1">
        <v>0</v>
      </c>
      <c r="H976" s="1">
        <v>2.3199999999999998</v>
      </c>
      <c r="I976" s="1" t="s">
        <v>684</v>
      </c>
    </row>
    <row r="977" spans="1:10">
      <c r="A977" s="1" t="s">
        <v>1426</v>
      </c>
      <c r="B977" s="1" t="s">
        <v>1409</v>
      </c>
      <c r="C977" s="1" t="s">
        <v>1410</v>
      </c>
      <c r="D977" s="1" t="s">
        <v>1710</v>
      </c>
      <c r="E977" s="1" t="s">
        <v>2110</v>
      </c>
      <c r="F977" s="1">
        <v>2.5000000000000001E-2</v>
      </c>
      <c r="G977" s="1">
        <v>0</v>
      </c>
      <c r="H977" s="1">
        <v>2.3199999999999998</v>
      </c>
      <c r="I977" s="1" t="s">
        <v>691</v>
      </c>
      <c r="J977" s="1" t="s">
        <v>692</v>
      </c>
    </row>
    <row r="978" spans="1:10">
      <c r="A978" s="1" t="s">
        <v>1427</v>
      </c>
      <c r="B978" s="1" t="s">
        <v>1409</v>
      </c>
      <c r="C978" s="1" t="s">
        <v>1410</v>
      </c>
      <c r="D978" s="1" t="s">
        <v>1710</v>
      </c>
      <c r="E978" s="1" t="s">
        <v>1534</v>
      </c>
      <c r="F978" s="1">
        <v>1.2500000000000001E-2</v>
      </c>
      <c r="G978" s="1">
        <v>0</v>
      </c>
      <c r="H978" s="1">
        <v>2.3199999999999998</v>
      </c>
      <c r="I978" s="1" t="s">
        <v>1428</v>
      </c>
      <c r="J978" s="1" t="s">
        <v>1429</v>
      </c>
    </row>
    <row r="979" spans="1:10">
      <c r="A979" s="1" t="s">
        <v>1430</v>
      </c>
      <c r="B979" s="1" t="s">
        <v>1409</v>
      </c>
      <c r="C979" s="1" t="s">
        <v>1410</v>
      </c>
      <c r="D979" s="1" t="s">
        <v>1710</v>
      </c>
      <c r="E979" s="1" t="s">
        <v>2111</v>
      </c>
      <c r="F979" s="1">
        <v>2.5000000000000001E-2</v>
      </c>
      <c r="G979" s="1">
        <v>0</v>
      </c>
      <c r="H979" s="1">
        <v>2.3199999999999998</v>
      </c>
      <c r="I979" s="1" t="s">
        <v>691</v>
      </c>
      <c r="J979" s="1" t="s">
        <v>703</v>
      </c>
    </row>
    <row r="980" spans="1:10">
      <c r="A980" s="1" t="s">
        <v>1431</v>
      </c>
      <c r="B980" s="1" t="s">
        <v>1409</v>
      </c>
      <c r="C980" s="1" t="s">
        <v>1410</v>
      </c>
      <c r="D980" s="1" t="s">
        <v>1710</v>
      </c>
      <c r="E980" s="1" t="s">
        <v>2112</v>
      </c>
      <c r="F980" s="1">
        <v>2.5000000000000001E-2</v>
      </c>
      <c r="G980" s="1">
        <v>0</v>
      </c>
      <c r="H980" s="1">
        <v>2.3199999999999998</v>
      </c>
      <c r="I980" s="1" t="s">
        <v>710</v>
      </c>
      <c r="J980" s="1" t="s">
        <v>517</v>
      </c>
    </row>
    <row r="981" spans="1:10">
      <c r="A981" s="1" t="s">
        <v>1432</v>
      </c>
      <c r="B981" s="1" t="s">
        <v>1409</v>
      </c>
      <c r="C981" s="1" t="s">
        <v>1410</v>
      </c>
      <c r="D981" s="1" t="s">
        <v>1710</v>
      </c>
      <c r="E981" s="1" t="s">
        <v>1535</v>
      </c>
      <c r="F981" s="1">
        <v>2.5000000000000001E-2</v>
      </c>
      <c r="G981" s="1">
        <v>0</v>
      </c>
      <c r="H981" s="1">
        <v>2.3199999999999998</v>
      </c>
      <c r="I981" s="1" t="s">
        <v>1428</v>
      </c>
      <c r="J981" s="1" t="s">
        <v>1433</v>
      </c>
    </row>
    <row r="982" spans="1:10">
      <c r="A982" s="1" t="s">
        <v>1434</v>
      </c>
      <c r="B982" s="1" t="s">
        <v>1409</v>
      </c>
      <c r="C982" s="1" t="s">
        <v>1410</v>
      </c>
      <c r="D982" s="1" t="s">
        <v>1710</v>
      </c>
      <c r="E982" s="1" t="s">
        <v>2113</v>
      </c>
      <c r="F982" s="1">
        <v>1.2500000000000001E-2</v>
      </c>
      <c r="G982" s="1">
        <v>0</v>
      </c>
      <c r="H982" s="1">
        <v>2.3199999999999998</v>
      </c>
      <c r="I982" s="1" t="s">
        <v>691</v>
      </c>
      <c r="J982" s="1" t="s">
        <v>994</v>
      </c>
    </row>
    <row r="983" spans="1:10">
      <c r="A983" s="1" t="s">
        <v>1435</v>
      </c>
      <c r="B983" s="1" t="s">
        <v>1409</v>
      </c>
      <c r="C983" s="1" t="s">
        <v>1410</v>
      </c>
      <c r="D983" s="1" t="s">
        <v>1710</v>
      </c>
      <c r="E983" s="1" t="s">
        <v>2114</v>
      </c>
      <c r="F983" s="1">
        <v>1.2500000000000001E-2</v>
      </c>
      <c r="G983" s="1">
        <v>0</v>
      </c>
      <c r="H983" s="1">
        <v>2.3199999999999998</v>
      </c>
      <c r="I983" s="1" t="s">
        <v>713</v>
      </c>
      <c r="J983" s="1" t="s">
        <v>997</v>
      </c>
    </row>
    <row r="984" spans="1:10">
      <c r="A984" s="1" t="s">
        <v>1436</v>
      </c>
      <c r="B984" s="1" t="s">
        <v>1409</v>
      </c>
      <c r="C984" s="1" t="s">
        <v>1410</v>
      </c>
      <c r="D984" s="1" t="s">
        <v>1710</v>
      </c>
      <c r="E984" s="1" t="s">
        <v>1536</v>
      </c>
      <c r="F984" s="1">
        <v>1.2500000000000001E-2</v>
      </c>
      <c r="G984" s="1">
        <v>0</v>
      </c>
      <c r="H984" s="1">
        <v>2.3199999999999998</v>
      </c>
      <c r="I984" s="1" t="s">
        <v>1428</v>
      </c>
      <c r="J984" s="1" t="s">
        <v>1437</v>
      </c>
    </row>
    <row r="985" spans="1:10">
      <c r="A985" s="1" t="s">
        <v>1438</v>
      </c>
      <c r="B985" s="1" t="s">
        <v>1409</v>
      </c>
      <c r="C985" s="1" t="s">
        <v>1410</v>
      </c>
      <c r="D985" s="1" t="s">
        <v>523</v>
      </c>
      <c r="E985" s="1" t="s">
        <v>1537</v>
      </c>
      <c r="F985" s="1">
        <v>0.05</v>
      </c>
      <c r="G985" s="1">
        <v>0</v>
      </c>
      <c r="H985" s="1">
        <v>2.3199999999999998</v>
      </c>
    </row>
    <row r="986" spans="1:10">
      <c r="A986" s="1" t="s">
        <v>1439</v>
      </c>
      <c r="B986" s="1" t="s">
        <v>1409</v>
      </c>
      <c r="C986" s="1" t="s">
        <v>1410</v>
      </c>
      <c r="D986" s="1" t="s">
        <v>523</v>
      </c>
      <c r="E986" s="1" t="s">
        <v>1538</v>
      </c>
      <c r="F986" s="1">
        <v>2.5000000000000001E-2</v>
      </c>
      <c r="G986" s="1">
        <v>0</v>
      </c>
      <c r="H986" s="1">
        <v>2.3199999999999998</v>
      </c>
      <c r="I986" s="1" t="s">
        <v>691</v>
      </c>
      <c r="J986" s="1" t="s">
        <v>692</v>
      </c>
    </row>
    <row r="987" spans="1:10">
      <c r="B987" s="1" t="s">
        <v>1409</v>
      </c>
      <c r="C987" s="1" t="s">
        <v>1410</v>
      </c>
      <c r="D987" s="1" t="s">
        <v>523</v>
      </c>
      <c r="E987" s="1" t="s">
        <v>1539</v>
      </c>
      <c r="F987" s="1">
        <v>1.2500000000000001E-2</v>
      </c>
      <c r="G987" s="1">
        <v>0</v>
      </c>
      <c r="H987" s="1">
        <v>2.3199999999999998</v>
      </c>
      <c r="I987" s="1" t="s">
        <v>1428</v>
      </c>
      <c r="J987" s="1" t="s">
        <v>1429</v>
      </c>
    </row>
    <row r="988" spans="1:10">
      <c r="A988" s="1" t="s">
        <v>1440</v>
      </c>
      <c r="B988" s="1" t="s">
        <v>1409</v>
      </c>
      <c r="C988" s="1" t="s">
        <v>1410</v>
      </c>
      <c r="D988" s="1" t="s">
        <v>523</v>
      </c>
      <c r="E988" s="1" t="s">
        <v>1540</v>
      </c>
      <c r="F988" s="1">
        <v>2.5000000000000001E-2</v>
      </c>
      <c r="G988" s="1">
        <v>0</v>
      </c>
      <c r="H988" s="1">
        <v>2.3199999999999998</v>
      </c>
      <c r="J988" s="1" t="s">
        <v>519</v>
      </c>
    </row>
    <row r="989" spans="1:10">
      <c r="A989" s="1" t="s">
        <v>1441</v>
      </c>
      <c r="B989" s="1" t="s">
        <v>1409</v>
      </c>
      <c r="C989" s="1" t="s">
        <v>1410</v>
      </c>
      <c r="D989" s="1" t="s">
        <v>523</v>
      </c>
      <c r="E989" s="1" t="s">
        <v>1541</v>
      </c>
      <c r="F989" s="1">
        <v>2.5000000000000001E-2</v>
      </c>
      <c r="G989" s="1">
        <v>0</v>
      </c>
      <c r="H989" s="1">
        <v>2.3199999999999998</v>
      </c>
      <c r="I989" s="1" t="s">
        <v>691</v>
      </c>
      <c r="J989" s="1" t="s">
        <v>1139</v>
      </c>
    </row>
    <row r="990" spans="1:10">
      <c r="A990" s="1" t="s">
        <v>1442</v>
      </c>
      <c r="B990" s="1" t="s">
        <v>1409</v>
      </c>
      <c r="C990" s="1" t="s">
        <v>1410</v>
      </c>
      <c r="D990" s="1" t="s">
        <v>523</v>
      </c>
      <c r="E990" s="1" t="s">
        <v>1542</v>
      </c>
      <c r="F990" s="1">
        <v>2.5000000000000001E-2</v>
      </c>
      <c r="G990" s="1">
        <v>0</v>
      </c>
      <c r="H990" s="1">
        <v>2.3199999999999998</v>
      </c>
      <c r="I990" s="1" t="s">
        <v>1428</v>
      </c>
      <c r="J990" s="1" t="s">
        <v>1433</v>
      </c>
    </row>
    <row r="991" spans="1:10">
      <c r="A991" s="1" t="s">
        <v>1443</v>
      </c>
      <c r="B991" s="1" t="s">
        <v>1409</v>
      </c>
      <c r="C991" s="1" t="s">
        <v>1410</v>
      </c>
      <c r="D991" s="1" t="s">
        <v>523</v>
      </c>
      <c r="E991" s="1" t="s">
        <v>1543</v>
      </c>
      <c r="F991" s="1">
        <v>2.5000000000000001E-2</v>
      </c>
      <c r="G991" s="1">
        <v>0</v>
      </c>
      <c r="H991" s="1">
        <v>2.3199999999999998</v>
      </c>
      <c r="J991" s="1" t="s">
        <v>520</v>
      </c>
    </row>
    <row r="992" spans="1:10">
      <c r="A992" s="1" t="s">
        <v>1444</v>
      </c>
      <c r="B992" s="1" t="s">
        <v>1409</v>
      </c>
      <c r="C992" s="1" t="s">
        <v>1410</v>
      </c>
      <c r="D992" s="1" t="s">
        <v>523</v>
      </c>
      <c r="E992" s="1" t="s">
        <v>1544</v>
      </c>
      <c r="F992" s="1">
        <v>2.5000000000000001E-2</v>
      </c>
      <c r="G992" s="1">
        <v>0</v>
      </c>
      <c r="H992" s="1">
        <v>2.3199999999999998</v>
      </c>
      <c r="I992" s="1" t="s">
        <v>691</v>
      </c>
      <c r="J992" s="1" t="s">
        <v>759</v>
      </c>
    </row>
    <row r="993" spans="1:10">
      <c r="A993" s="1" t="s">
        <v>1445</v>
      </c>
      <c r="B993" s="1" t="s">
        <v>1409</v>
      </c>
      <c r="C993" s="1" t="s">
        <v>1410</v>
      </c>
      <c r="D993" s="1" t="s">
        <v>523</v>
      </c>
      <c r="E993" s="1" t="s">
        <v>1545</v>
      </c>
      <c r="F993" s="1">
        <v>2.5000000000000001E-2</v>
      </c>
      <c r="G993" s="1">
        <v>0</v>
      </c>
      <c r="H993" s="1">
        <v>2.3199999999999998</v>
      </c>
      <c r="I993" s="1" t="s">
        <v>1428</v>
      </c>
      <c r="J993" s="1" t="s">
        <v>1437</v>
      </c>
    </row>
    <row r="994" spans="1:10">
      <c r="A994" s="1" t="s">
        <v>1446</v>
      </c>
      <c r="B994" s="1" t="s">
        <v>1409</v>
      </c>
      <c r="C994" s="1" t="s">
        <v>1447</v>
      </c>
      <c r="D994" s="1" t="s">
        <v>1859</v>
      </c>
      <c r="E994" s="1" t="s">
        <v>1817</v>
      </c>
      <c r="F994" s="1">
        <v>2.1800000000000002</v>
      </c>
      <c r="G994" s="1">
        <v>0</v>
      </c>
      <c r="H994" s="1">
        <v>3</v>
      </c>
      <c r="I994" s="1" t="s">
        <v>684</v>
      </c>
    </row>
    <row r="995" spans="1:10">
      <c r="A995" s="1" t="s">
        <v>1448</v>
      </c>
      <c r="B995" s="1" t="s">
        <v>1409</v>
      </c>
      <c r="C995" s="1" t="s">
        <v>1447</v>
      </c>
      <c r="D995" s="1" t="s">
        <v>1863</v>
      </c>
      <c r="E995" s="1" t="s">
        <v>1840</v>
      </c>
      <c r="F995" s="1">
        <v>1.2</v>
      </c>
      <c r="G995" s="1">
        <v>0</v>
      </c>
      <c r="H995" s="1">
        <v>3</v>
      </c>
      <c r="I995" s="1" t="s">
        <v>684</v>
      </c>
    </row>
    <row r="996" spans="1:10">
      <c r="A996" s="1" t="s">
        <v>1449</v>
      </c>
      <c r="B996" s="1" t="s">
        <v>1409</v>
      </c>
      <c r="C996" s="1" t="s">
        <v>1447</v>
      </c>
      <c r="D996" s="1" t="s">
        <v>1922</v>
      </c>
      <c r="E996" s="1" t="s">
        <v>1841</v>
      </c>
      <c r="F996" s="1">
        <v>0.6</v>
      </c>
      <c r="G996" s="1">
        <v>0</v>
      </c>
      <c r="H996" s="1">
        <v>3</v>
      </c>
      <c r="I996" s="1" t="s">
        <v>684</v>
      </c>
    </row>
    <row r="997" spans="1:10">
      <c r="A997" s="1" t="s">
        <v>1450</v>
      </c>
      <c r="B997" s="1" t="s">
        <v>1409</v>
      </c>
      <c r="C997" s="1" t="s">
        <v>1447</v>
      </c>
      <c r="D997" s="1" t="s">
        <v>1922</v>
      </c>
      <c r="E997" s="1" t="s">
        <v>1842</v>
      </c>
      <c r="F997" s="1">
        <v>0.6</v>
      </c>
      <c r="G997" s="1">
        <v>0</v>
      </c>
      <c r="H997" s="1">
        <v>3</v>
      </c>
      <c r="I997" s="1" t="s">
        <v>684</v>
      </c>
    </row>
    <row r="998" spans="1:10">
      <c r="A998" s="1" t="s">
        <v>1451</v>
      </c>
      <c r="B998" s="1" t="s">
        <v>1409</v>
      </c>
      <c r="C998" s="1" t="s">
        <v>1447</v>
      </c>
      <c r="D998" s="1" t="s">
        <v>1925</v>
      </c>
      <c r="E998" s="1" t="s">
        <v>1843</v>
      </c>
      <c r="F998" s="1">
        <v>0.25</v>
      </c>
      <c r="G998" s="1">
        <v>0</v>
      </c>
      <c r="H998" s="1">
        <v>3</v>
      </c>
      <c r="I998" s="1" t="s">
        <v>684</v>
      </c>
    </row>
    <row r="999" spans="1:10">
      <c r="A999" s="1" t="s">
        <v>1452</v>
      </c>
      <c r="B999" s="1" t="s">
        <v>1409</v>
      </c>
      <c r="C999" s="1" t="s">
        <v>1447</v>
      </c>
      <c r="D999" s="1" t="s">
        <v>1925</v>
      </c>
      <c r="E999" s="1" t="s">
        <v>1844</v>
      </c>
      <c r="F999" s="1">
        <v>0.25</v>
      </c>
      <c r="G999" s="1">
        <v>0</v>
      </c>
      <c r="H999" s="1">
        <v>3</v>
      </c>
      <c r="I999" s="1" t="s">
        <v>684</v>
      </c>
    </row>
    <row r="1000" spans="1:10">
      <c r="A1000" s="1" t="s">
        <v>1453</v>
      </c>
      <c r="B1000" s="1" t="s">
        <v>1409</v>
      </c>
      <c r="C1000" s="1" t="s">
        <v>1447</v>
      </c>
      <c r="D1000" s="1" t="s">
        <v>1925</v>
      </c>
      <c r="E1000" s="1" t="s">
        <v>1845</v>
      </c>
      <c r="F1000" s="1">
        <v>0.125</v>
      </c>
      <c r="G1000" s="1">
        <v>0</v>
      </c>
      <c r="H1000" s="1">
        <v>3</v>
      </c>
      <c r="I1000" s="1" t="s">
        <v>691</v>
      </c>
      <c r="J1000" s="1" t="s">
        <v>692</v>
      </c>
    </row>
    <row r="1001" spans="1:10">
      <c r="A1001" s="1" t="s">
        <v>1454</v>
      </c>
      <c r="B1001" s="1" t="s">
        <v>1409</v>
      </c>
      <c r="C1001" s="1" t="s">
        <v>1447</v>
      </c>
      <c r="D1001" s="1" t="s">
        <v>42</v>
      </c>
      <c r="E1001" s="1" t="s">
        <v>1846</v>
      </c>
      <c r="F1001" s="1">
        <v>0.08</v>
      </c>
      <c r="G1001" s="1">
        <v>0</v>
      </c>
      <c r="H1001" s="1">
        <v>3</v>
      </c>
      <c r="I1001" s="1" t="s">
        <v>684</v>
      </c>
    </row>
    <row r="1002" spans="1:10">
      <c r="A1002" s="1" t="s">
        <v>1455</v>
      </c>
      <c r="B1002" s="1" t="s">
        <v>1409</v>
      </c>
      <c r="C1002" s="1" t="s">
        <v>1447</v>
      </c>
      <c r="D1002" s="1" t="s">
        <v>42</v>
      </c>
      <c r="E1002" s="1" t="s">
        <v>1847</v>
      </c>
      <c r="F1002" s="1">
        <v>0.04</v>
      </c>
      <c r="G1002" s="1">
        <v>0</v>
      </c>
      <c r="H1002" s="1">
        <v>3</v>
      </c>
      <c r="I1002" s="1" t="s">
        <v>691</v>
      </c>
      <c r="J1002" s="1" t="s">
        <v>692</v>
      </c>
    </row>
    <row r="1003" spans="1:10">
      <c r="A1003" s="1" t="s">
        <v>1456</v>
      </c>
      <c r="B1003" s="1" t="s">
        <v>1409</v>
      </c>
      <c r="C1003" s="1" t="s">
        <v>1447</v>
      </c>
      <c r="D1003" s="1" t="s">
        <v>42</v>
      </c>
      <c r="E1003" s="1" t="s">
        <v>1848</v>
      </c>
      <c r="F1003" s="1">
        <v>0.06</v>
      </c>
      <c r="G1003" s="1">
        <v>0</v>
      </c>
      <c r="H1003" s="1">
        <v>3</v>
      </c>
      <c r="I1003" s="1" t="s">
        <v>684</v>
      </c>
      <c r="J1003" s="1" t="s">
        <v>515</v>
      </c>
    </row>
    <row r="1004" spans="1:10">
      <c r="A1004" s="1" t="s">
        <v>1457</v>
      </c>
      <c r="B1004" s="1" t="s">
        <v>1409</v>
      </c>
      <c r="C1004" s="1" t="s">
        <v>1447</v>
      </c>
      <c r="D1004" s="1" t="s">
        <v>42</v>
      </c>
      <c r="E1004" s="1" t="s">
        <v>2106</v>
      </c>
      <c r="F1004" s="1">
        <v>0.06</v>
      </c>
      <c r="G1004" s="1">
        <v>0</v>
      </c>
      <c r="H1004" s="1">
        <v>3</v>
      </c>
      <c r="I1004" s="1" t="s">
        <v>691</v>
      </c>
      <c r="J1004" s="1" t="s">
        <v>697</v>
      </c>
    </row>
    <row r="1005" spans="1:10">
      <c r="A1005" s="1" t="s">
        <v>1458</v>
      </c>
      <c r="B1005" s="1" t="s">
        <v>1409</v>
      </c>
      <c r="C1005" s="1" t="s">
        <v>1447</v>
      </c>
      <c r="D1005" s="1" t="s">
        <v>42</v>
      </c>
      <c r="E1005" s="1" t="s">
        <v>1849</v>
      </c>
      <c r="F1005" s="1">
        <v>0.04</v>
      </c>
      <c r="G1005" s="1">
        <v>0</v>
      </c>
      <c r="H1005" s="1">
        <v>3</v>
      </c>
      <c r="I1005" s="1" t="s">
        <v>684</v>
      </c>
      <c r="J1005" s="1" t="s">
        <v>516</v>
      </c>
    </row>
    <row r="1006" spans="1:10">
      <c r="A1006" s="1" t="s">
        <v>1459</v>
      </c>
      <c r="B1006" s="1" t="s">
        <v>1409</v>
      </c>
      <c r="C1006" s="1" t="s">
        <v>1447</v>
      </c>
      <c r="D1006" s="1" t="s">
        <v>42</v>
      </c>
      <c r="E1006" s="1" t="s">
        <v>2107</v>
      </c>
      <c r="F1006" s="1">
        <v>0.04</v>
      </c>
      <c r="G1006" s="1">
        <v>0</v>
      </c>
      <c r="H1006" s="1">
        <v>3</v>
      </c>
      <c r="I1006" s="1" t="s">
        <v>691</v>
      </c>
      <c r="J1006" s="1" t="s">
        <v>700</v>
      </c>
    </row>
    <row r="1007" spans="1:10">
      <c r="A1007" s="1" t="s">
        <v>1460</v>
      </c>
      <c r="B1007" s="1" t="s">
        <v>1409</v>
      </c>
      <c r="C1007" s="1" t="s">
        <v>1447</v>
      </c>
      <c r="D1007" s="1" t="s">
        <v>42</v>
      </c>
      <c r="E1007" s="1" t="s">
        <v>1850</v>
      </c>
      <c r="F1007" s="1">
        <v>0.02</v>
      </c>
      <c r="G1007" s="1">
        <v>0</v>
      </c>
      <c r="H1007" s="1">
        <v>3</v>
      </c>
      <c r="I1007" s="1" t="s">
        <v>684</v>
      </c>
      <c r="J1007" s="1" t="s">
        <v>517</v>
      </c>
    </row>
    <row r="1008" spans="1:10">
      <c r="A1008" s="1" t="s">
        <v>1461</v>
      </c>
      <c r="B1008" s="1" t="s">
        <v>1409</v>
      </c>
      <c r="C1008" s="1" t="s">
        <v>1447</v>
      </c>
      <c r="D1008" s="1" t="s">
        <v>42</v>
      </c>
      <c r="E1008" s="1" t="s">
        <v>2108</v>
      </c>
      <c r="F1008" s="1">
        <v>0.02</v>
      </c>
      <c r="G1008" s="1">
        <v>0</v>
      </c>
      <c r="H1008" s="1">
        <v>3</v>
      </c>
      <c r="I1008" s="1" t="s">
        <v>691</v>
      </c>
      <c r="J1008" s="1" t="s">
        <v>703</v>
      </c>
    </row>
    <row r="1009" spans="1:10">
      <c r="A1009" s="1" t="s">
        <v>1462</v>
      </c>
      <c r="B1009" s="1" t="s">
        <v>1409</v>
      </c>
      <c r="C1009" s="1" t="s">
        <v>1447</v>
      </c>
      <c r="D1009" s="1" t="s">
        <v>1710</v>
      </c>
      <c r="E1009" s="1" t="s">
        <v>2109</v>
      </c>
      <c r="F1009" s="1">
        <v>0.05</v>
      </c>
      <c r="G1009" s="1">
        <v>0</v>
      </c>
      <c r="H1009" s="1">
        <v>3</v>
      </c>
      <c r="I1009" s="1" t="s">
        <v>684</v>
      </c>
    </row>
    <row r="1010" spans="1:10">
      <c r="A1010" s="1" t="s">
        <v>1463</v>
      </c>
      <c r="B1010" s="1" t="s">
        <v>1409</v>
      </c>
      <c r="C1010" s="1" t="s">
        <v>1447</v>
      </c>
      <c r="D1010" s="1" t="s">
        <v>1710</v>
      </c>
      <c r="E1010" s="1" t="s">
        <v>2110</v>
      </c>
      <c r="F1010" s="1">
        <v>2.5000000000000001E-2</v>
      </c>
      <c r="G1010" s="1">
        <v>0</v>
      </c>
      <c r="H1010" s="1">
        <v>3</v>
      </c>
      <c r="I1010" s="1" t="s">
        <v>691</v>
      </c>
      <c r="J1010" s="1" t="s">
        <v>692</v>
      </c>
    </row>
    <row r="1011" spans="1:10">
      <c r="A1011" s="1" t="s">
        <v>1464</v>
      </c>
      <c r="B1011" s="1" t="s">
        <v>1409</v>
      </c>
      <c r="C1011" s="1" t="s">
        <v>1447</v>
      </c>
      <c r="D1011" s="1" t="s">
        <v>1710</v>
      </c>
      <c r="E1011" s="1" t="s">
        <v>1534</v>
      </c>
      <c r="F1011" s="1">
        <v>1.2500000000000001E-2</v>
      </c>
      <c r="G1011" s="1">
        <v>0</v>
      </c>
      <c r="H1011" s="1">
        <v>3</v>
      </c>
      <c r="I1011" s="1" t="s">
        <v>1428</v>
      </c>
      <c r="J1011" s="1" t="s">
        <v>1429</v>
      </c>
    </row>
    <row r="1012" spans="1:10">
      <c r="A1012" s="1" t="s">
        <v>1465</v>
      </c>
      <c r="B1012" s="1" t="s">
        <v>1409</v>
      </c>
      <c r="C1012" s="1" t="s">
        <v>1447</v>
      </c>
      <c r="D1012" s="1" t="s">
        <v>1710</v>
      </c>
      <c r="E1012" s="1" t="s">
        <v>2111</v>
      </c>
      <c r="F1012" s="1">
        <v>2.5000000000000001E-2</v>
      </c>
      <c r="G1012" s="1">
        <v>0</v>
      </c>
      <c r="H1012" s="1">
        <v>3</v>
      </c>
      <c r="I1012" s="1" t="s">
        <v>691</v>
      </c>
      <c r="J1012" s="1" t="s">
        <v>703</v>
      </c>
    </row>
    <row r="1013" spans="1:10">
      <c r="A1013" s="1" t="s">
        <v>1466</v>
      </c>
      <c r="B1013" s="1" t="s">
        <v>1409</v>
      </c>
      <c r="C1013" s="1" t="s">
        <v>1447</v>
      </c>
      <c r="D1013" s="1" t="s">
        <v>1710</v>
      </c>
      <c r="E1013" s="1" t="s">
        <v>2112</v>
      </c>
      <c r="F1013" s="1">
        <v>2.5000000000000001E-2</v>
      </c>
      <c r="G1013" s="1">
        <v>0</v>
      </c>
      <c r="H1013" s="1">
        <v>3</v>
      </c>
      <c r="I1013" s="1" t="s">
        <v>710</v>
      </c>
      <c r="J1013" s="1" t="s">
        <v>517</v>
      </c>
    </row>
    <row r="1014" spans="1:10">
      <c r="A1014" s="1" t="s">
        <v>1467</v>
      </c>
      <c r="B1014" s="1" t="s">
        <v>1409</v>
      </c>
      <c r="C1014" s="1" t="s">
        <v>1447</v>
      </c>
      <c r="D1014" s="1" t="s">
        <v>1710</v>
      </c>
      <c r="E1014" s="1" t="s">
        <v>1535</v>
      </c>
      <c r="F1014" s="1">
        <v>2.5000000000000001E-2</v>
      </c>
      <c r="G1014" s="1">
        <v>0</v>
      </c>
      <c r="H1014" s="1">
        <v>3</v>
      </c>
      <c r="I1014" s="1" t="s">
        <v>1428</v>
      </c>
      <c r="J1014" s="1" t="s">
        <v>1433</v>
      </c>
    </row>
    <row r="1015" spans="1:10">
      <c r="A1015" s="1" t="s">
        <v>1468</v>
      </c>
      <c r="B1015" s="1" t="s">
        <v>1409</v>
      </c>
      <c r="C1015" s="1" t="s">
        <v>1447</v>
      </c>
      <c r="D1015" s="1" t="s">
        <v>1710</v>
      </c>
      <c r="E1015" s="1" t="s">
        <v>2113</v>
      </c>
      <c r="F1015" s="1">
        <v>1.2500000000000001E-2</v>
      </c>
      <c r="G1015" s="1">
        <v>0</v>
      </c>
      <c r="H1015" s="1">
        <v>3</v>
      </c>
      <c r="I1015" s="1" t="s">
        <v>691</v>
      </c>
      <c r="J1015" s="1" t="s">
        <v>994</v>
      </c>
    </row>
    <row r="1016" spans="1:10">
      <c r="A1016" s="1" t="s">
        <v>1469</v>
      </c>
      <c r="B1016" s="1" t="s">
        <v>1409</v>
      </c>
      <c r="C1016" s="1" t="s">
        <v>1447</v>
      </c>
      <c r="D1016" s="1" t="s">
        <v>1710</v>
      </c>
      <c r="E1016" s="1" t="s">
        <v>2114</v>
      </c>
      <c r="F1016" s="1">
        <v>1.2500000000000001E-2</v>
      </c>
      <c r="G1016" s="1">
        <v>0</v>
      </c>
      <c r="H1016" s="1">
        <v>3</v>
      </c>
      <c r="I1016" s="1" t="s">
        <v>713</v>
      </c>
      <c r="J1016" s="1" t="s">
        <v>997</v>
      </c>
    </row>
    <row r="1017" spans="1:10">
      <c r="A1017" s="1" t="s">
        <v>1470</v>
      </c>
      <c r="B1017" s="1" t="s">
        <v>1409</v>
      </c>
      <c r="C1017" s="1" t="s">
        <v>1447</v>
      </c>
      <c r="D1017" s="1" t="s">
        <v>1710</v>
      </c>
      <c r="E1017" s="1" t="s">
        <v>1536</v>
      </c>
      <c r="F1017" s="1">
        <v>1.2500000000000001E-2</v>
      </c>
      <c r="G1017" s="1">
        <v>0</v>
      </c>
      <c r="H1017" s="1">
        <v>3</v>
      </c>
      <c r="I1017" s="1" t="s">
        <v>1428</v>
      </c>
      <c r="J1017" s="1" t="s">
        <v>1437</v>
      </c>
    </row>
    <row r="1018" spans="1:10">
      <c r="A1018" s="1" t="s">
        <v>1471</v>
      </c>
      <c r="B1018" s="1" t="s">
        <v>1409</v>
      </c>
      <c r="C1018" s="1" t="s">
        <v>1447</v>
      </c>
      <c r="D1018" s="1" t="s">
        <v>523</v>
      </c>
      <c r="E1018" s="1" t="s">
        <v>1537</v>
      </c>
      <c r="F1018" s="1">
        <v>0.05</v>
      </c>
      <c r="G1018" s="1">
        <v>0</v>
      </c>
      <c r="H1018" s="1">
        <v>3</v>
      </c>
    </row>
    <row r="1019" spans="1:10">
      <c r="A1019" s="1" t="s">
        <v>1472</v>
      </c>
      <c r="B1019" s="1" t="s">
        <v>1409</v>
      </c>
      <c r="C1019" s="1" t="s">
        <v>1447</v>
      </c>
      <c r="D1019" s="1" t="s">
        <v>523</v>
      </c>
      <c r="E1019" s="1" t="s">
        <v>1538</v>
      </c>
      <c r="F1019" s="1">
        <v>2.5000000000000001E-2</v>
      </c>
      <c r="G1019" s="1">
        <v>0</v>
      </c>
      <c r="H1019" s="1">
        <v>3</v>
      </c>
      <c r="J1019" s="1" t="s">
        <v>692</v>
      </c>
    </row>
    <row r="1020" spans="1:10">
      <c r="A1020" s="1" t="s">
        <v>1473</v>
      </c>
      <c r="B1020" s="1" t="s">
        <v>1409</v>
      </c>
      <c r="C1020" s="1" t="s">
        <v>1447</v>
      </c>
      <c r="D1020" s="1" t="s">
        <v>523</v>
      </c>
      <c r="E1020" s="1" t="s">
        <v>1539</v>
      </c>
      <c r="F1020" s="1">
        <v>1.2500000000000001E-2</v>
      </c>
      <c r="G1020" s="1">
        <v>0</v>
      </c>
      <c r="H1020" s="1">
        <v>3</v>
      </c>
      <c r="I1020" s="1" t="s">
        <v>1428</v>
      </c>
      <c r="J1020" s="1" t="s">
        <v>1429</v>
      </c>
    </row>
    <row r="1021" spans="1:10">
      <c r="A1021" s="1" t="s">
        <v>1474</v>
      </c>
      <c r="B1021" s="1" t="s">
        <v>1409</v>
      </c>
      <c r="C1021" s="1" t="s">
        <v>1447</v>
      </c>
      <c r="D1021" s="1" t="s">
        <v>523</v>
      </c>
      <c r="E1021" s="1" t="s">
        <v>1540</v>
      </c>
      <c r="F1021" s="1">
        <v>2.5000000000000001E-2</v>
      </c>
      <c r="G1021" s="1">
        <v>0</v>
      </c>
      <c r="H1021" s="1">
        <v>3</v>
      </c>
      <c r="J1021" s="1" t="s">
        <v>519</v>
      </c>
    </row>
    <row r="1022" spans="1:10">
      <c r="A1022" s="1" t="s">
        <v>1475</v>
      </c>
      <c r="B1022" s="1" t="s">
        <v>1409</v>
      </c>
      <c r="C1022" s="1" t="s">
        <v>1447</v>
      </c>
      <c r="D1022" s="1" t="s">
        <v>523</v>
      </c>
      <c r="E1022" s="1" t="s">
        <v>1541</v>
      </c>
      <c r="F1022" s="1">
        <v>2.5000000000000001E-2</v>
      </c>
      <c r="G1022" s="1">
        <v>0</v>
      </c>
      <c r="H1022" s="1">
        <v>3</v>
      </c>
      <c r="J1022" s="1" t="s">
        <v>1139</v>
      </c>
    </row>
    <row r="1023" spans="1:10">
      <c r="A1023" s="1" t="s">
        <v>1476</v>
      </c>
      <c r="B1023" s="1" t="s">
        <v>1409</v>
      </c>
      <c r="C1023" s="1" t="s">
        <v>1447</v>
      </c>
      <c r="D1023" s="1" t="s">
        <v>523</v>
      </c>
      <c r="E1023" s="1" t="s">
        <v>1542</v>
      </c>
      <c r="F1023" s="1">
        <v>2.5000000000000001E-2</v>
      </c>
      <c r="G1023" s="1">
        <v>0</v>
      </c>
      <c r="H1023" s="1">
        <v>3</v>
      </c>
      <c r="I1023" s="1" t="s">
        <v>1428</v>
      </c>
      <c r="J1023" s="1" t="s">
        <v>1433</v>
      </c>
    </row>
    <row r="1024" spans="1:10">
      <c r="A1024" s="1" t="s">
        <v>341</v>
      </c>
      <c r="B1024" s="1" t="s">
        <v>1409</v>
      </c>
      <c r="C1024" s="1" t="s">
        <v>1447</v>
      </c>
      <c r="D1024" s="1" t="s">
        <v>523</v>
      </c>
      <c r="E1024" s="1" t="s">
        <v>1543</v>
      </c>
      <c r="F1024" s="1">
        <v>1.2500000000000001E-2</v>
      </c>
      <c r="G1024" s="1">
        <v>0</v>
      </c>
      <c r="H1024" s="1">
        <v>3</v>
      </c>
      <c r="J1024" s="1" t="s">
        <v>520</v>
      </c>
    </row>
    <row r="1025" spans="1:10">
      <c r="A1025" s="1" t="s">
        <v>342</v>
      </c>
      <c r="B1025" s="1" t="s">
        <v>1409</v>
      </c>
      <c r="C1025" s="1" t="s">
        <v>1447</v>
      </c>
      <c r="D1025" s="1" t="s">
        <v>523</v>
      </c>
      <c r="E1025" s="1" t="s">
        <v>1544</v>
      </c>
      <c r="F1025" s="1">
        <v>1.2500000000000001E-2</v>
      </c>
      <c r="G1025" s="1">
        <v>0</v>
      </c>
      <c r="H1025" s="1">
        <v>3</v>
      </c>
      <c r="J1025" s="1" t="s">
        <v>759</v>
      </c>
    </row>
    <row r="1026" spans="1:10">
      <c r="A1026" s="1" t="s">
        <v>343</v>
      </c>
      <c r="B1026" s="1" t="s">
        <v>1409</v>
      </c>
      <c r="C1026" s="1" t="s">
        <v>1447</v>
      </c>
      <c r="D1026" s="1" t="s">
        <v>523</v>
      </c>
      <c r="E1026" s="1" t="s">
        <v>1545</v>
      </c>
      <c r="F1026" s="1">
        <v>1.2500000000000001E-2</v>
      </c>
      <c r="G1026" s="1">
        <v>0</v>
      </c>
      <c r="H1026" s="1">
        <v>3</v>
      </c>
      <c r="I1026" s="1" t="s">
        <v>1428</v>
      </c>
      <c r="J1026" s="1" t="s">
        <v>1437</v>
      </c>
    </row>
    <row r="1027" spans="1:10">
      <c r="A1027" s="1" t="s">
        <v>344</v>
      </c>
      <c r="B1027" s="1" t="s">
        <v>345</v>
      </c>
      <c r="C1027" s="1" t="s">
        <v>346</v>
      </c>
      <c r="D1027" s="1" t="s">
        <v>1862</v>
      </c>
      <c r="E1027" s="1" t="s">
        <v>1817</v>
      </c>
      <c r="F1027" s="1">
        <v>1.34</v>
      </c>
      <c r="G1027" s="1">
        <v>0.2</v>
      </c>
      <c r="H1027" s="1">
        <v>2.62</v>
      </c>
      <c r="I1027" s="1" t="s">
        <v>963</v>
      </c>
    </row>
    <row r="1028" spans="1:10">
      <c r="A1028" s="1" t="s">
        <v>347</v>
      </c>
      <c r="B1028" s="1" t="s">
        <v>345</v>
      </c>
      <c r="C1028" s="1" t="s">
        <v>346</v>
      </c>
      <c r="D1028" s="1" t="s">
        <v>1864</v>
      </c>
      <c r="E1028" s="1" t="s">
        <v>1838</v>
      </c>
      <c r="F1028" s="1">
        <v>1.2</v>
      </c>
      <c r="G1028" s="1">
        <v>0.2</v>
      </c>
      <c r="H1028" s="1">
        <v>2.62</v>
      </c>
      <c r="I1028" s="1" t="s">
        <v>963</v>
      </c>
    </row>
    <row r="1029" spans="1:10">
      <c r="A1029" s="1" t="s">
        <v>348</v>
      </c>
      <c r="B1029" s="1" t="s">
        <v>345</v>
      </c>
      <c r="C1029" s="1" t="s">
        <v>346</v>
      </c>
      <c r="D1029" s="1" t="s">
        <v>1865</v>
      </c>
      <c r="E1029" s="1" t="s">
        <v>1807</v>
      </c>
      <c r="F1029" s="1">
        <v>1.02</v>
      </c>
      <c r="G1029" s="1">
        <v>0.2</v>
      </c>
      <c r="H1029" s="1">
        <v>2.62</v>
      </c>
      <c r="I1029" s="1" t="s">
        <v>963</v>
      </c>
    </row>
    <row r="1030" spans="1:10">
      <c r="A1030" s="1" t="s">
        <v>349</v>
      </c>
      <c r="B1030" s="1" t="s">
        <v>345</v>
      </c>
      <c r="C1030" s="1" t="s">
        <v>346</v>
      </c>
      <c r="D1030" s="1" t="s">
        <v>1865</v>
      </c>
      <c r="E1030" s="1" t="s">
        <v>1808</v>
      </c>
      <c r="F1030" s="1">
        <v>1.02</v>
      </c>
      <c r="G1030" s="1">
        <v>0.2</v>
      </c>
      <c r="H1030" s="1">
        <v>2.62</v>
      </c>
      <c r="I1030" s="1" t="s">
        <v>963</v>
      </c>
    </row>
    <row r="1031" spans="1:10">
      <c r="A1031" s="1" t="s">
        <v>350</v>
      </c>
      <c r="B1031" s="1" t="s">
        <v>345</v>
      </c>
      <c r="C1031" s="1" t="s">
        <v>346</v>
      </c>
      <c r="D1031" s="1" t="s">
        <v>1929</v>
      </c>
      <c r="E1031" s="1" t="s">
        <v>1930</v>
      </c>
      <c r="F1031" s="1">
        <v>0.7</v>
      </c>
      <c r="G1031" s="1">
        <v>0.2</v>
      </c>
      <c r="H1031" s="1">
        <v>2.62</v>
      </c>
      <c r="I1031" s="1" t="s">
        <v>963</v>
      </c>
    </row>
    <row r="1032" spans="1:10">
      <c r="A1032" s="1" t="s">
        <v>351</v>
      </c>
      <c r="B1032" s="1" t="s">
        <v>345</v>
      </c>
      <c r="C1032" s="1" t="s">
        <v>346</v>
      </c>
      <c r="D1032" s="1" t="s">
        <v>1933</v>
      </c>
      <c r="E1032" s="1" t="s">
        <v>2116</v>
      </c>
      <c r="F1032" s="1">
        <v>0.5</v>
      </c>
      <c r="G1032" s="1">
        <v>0.2</v>
      </c>
      <c r="H1032" s="1">
        <v>2.62</v>
      </c>
      <c r="I1032" s="1" t="s">
        <v>963</v>
      </c>
    </row>
    <row r="1033" spans="1:10">
      <c r="A1033" s="1" t="s">
        <v>352</v>
      </c>
      <c r="B1033" s="1" t="s">
        <v>345</v>
      </c>
      <c r="C1033" s="1" t="s">
        <v>346</v>
      </c>
      <c r="D1033" s="1" t="s">
        <v>1933</v>
      </c>
      <c r="E1033" s="1" t="s">
        <v>2117</v>
      </c>
      <c r="F1033" s="1">
        <v>0.5</v>
      </c>
      <c r="G1033" s="1">
        <v>0.2</v>
      </c>
      <c r="H1033" s="1">
        <v>2.62</v>
      </c>
      <c r="I1033" s="1" t="s">
        <v>963</v>
      </c>
    </row>
    <row r="1034" spans="1:10">
      <c r="A1034" s="1" t="s">
        <v>353</v>
      </c>
      <c r="B1034" s="1" t="s">
        <v>345</v>
      </c>
      <c r="C1034" s="1" t="s">
        <v>346</v>
      </c>
      <c r="D1034" s="1" t="s">
        <v>1937</v>
      </c>
      <c r="E1034" s="1" t="s">
        <v>1938</v>
      </c>
      <c r="F1034" s="1">
        <v>0.5</v>
      </c>
      <c r="G1034" s="1">
        <v>0.2</v>
      </c>
      <c r="H1034" s="1">
        <v>2.62</v>
      </c>
      <c r="I1034" s="1" t="s">
        <v>963</v>
      </c>
    </row>
    <row r="1035" spans="1:10">
      <c r="A1035" s="1" t="s">
        <v>354</v>
      </c>
      <c r="B1035" s="1" t="s">
        <v>345</v>
      </c>
      <c r="C1035" s="1" t="s">
        <v>346</v>
      </c>
      <c r="D1035" s="1" t="s">
        <v>1941</v>
      </c>
      <c r="E1035" s="1" t="s">
        <v>1973</v>
      </c>
      <c r="F1035" s="1">
        <v>0.4</v>
      </c>
      <c r="G1035" s="1">
        <v>0.08</v>
      </c>
      <c r="H1035" s="1">
        <v>2.62</v>
      </c>
      <c r="I1035" s="1" t="s">
        <v>963</v>
      </c>
    </row>
    <row r="1036" spans="1:10">
      <c r="A1036" s="1" t="s">
        <v>355</v>
      </c>
      <c r="B1036" s="1" t="s">
        <v>345</v>
      </c>
      <c r="C1036" s="1" t="s">
        <v>346</v>
      </c>
      <c r="D1036" s="1" t="s">
        <v>1941</v>
      </c>
      <c r="E1036" s="1" t="s">
        <v>1974</v>
      </c>
      <c r="F1036" s="1">
        <v>0.2</v>
      </c>
      <c r="G1036" s="1">
        <v>0.04</v>
      </c>
      <c r="H1036" s="1">
        <v>2.62</v>
      </c>
      <c r="I1036" s="1" t="s">
        <v>691</v>
      </c>
      <c r="J1036" s="1" t="s">
        <v>692</v>
      </c>
    </row>
    <row r="1037" spans="1:10">
      <c r="A1037" s="1" t="s">
        <v>356</v>
      </c>
      <c r="B1037" s="1" t="s">
        <v>345</v>
      </c>
      <c r="C1037" s="1" t="s">
        <v>346</v>
      </c>
      <c r="D1037" s="1" t="s">
        <v>1941</v>
      </c>
      <c r="E1037" s="1" t="s">
        <v>2118</v>
      </c>
      <c r="F1037" s="1">
        <v>0.4</v>
      </c>
      <c r="G1037" s="1">
        <v>0.08</v>
      </c>
      <c r="H1037" s="1">
        <v>2.62</v>
      </c>
      <c r="I1037" s="1" t="s">
        <v>963</v>
      </c>
    </row>
    <row r="1038" spans="1:10">
      <c r="A1038" s="1" t="s">
        <v>357</v>
      </c>
      <c r="B1038" s="1" t="s">
        <v>345</v>
      </c>
      <c r="C1038" s="1" t="s">
        <v>346</v>
      </c>
      <c r="D1038" s="1" t="s">
        <v>1941</v>
      </c>
      <c r="E1038" s="1" t="s">
        <v>2119</v>
      </c>
      <c r="F1038" s="1">
        <v>0.2</v>
      </c>
      <c r="G1038" s="1">
        <v>0.04</v>
      </c>
      <c r="H1038" s="1">
        <v>2.62</v>
      </c>
      <c r="I1038" s="1" t="s">
        <v>691</v>
      </c>
      <c r="J1038" s="1" t="s">
        <v>692</v>
      </c>
    </row>
    <row r="1039" spans="1:10">
      <c r="A1039" s="1" t="s">
        <v>358</v>
      </c>
      <c r="B1039" s="1" t="s">
        <v>345</v>
      </c>
      <c r="C1039" s="1" t="s">
        <v>346</v>
      </c>
      <c r="D1039" s="1" t="s">
        <v>1941</v>
      </c>
      <c r="E1039" s="1" t="s">
        <v>2120</v>
      </c>
      <c r="F1039" s="1">
        <v>0.3</v>
      </c>
      <c r="G1039" s="1">
        <v>0.06</v>
      </c>
      <c r="H1039" s="1">
        <v>2.62</v>
      </c>
      <c r="I1039" s="1" t="s">
        <v>963</v>
      </c>
      <c r="J1039" s="1" t="s">
        <v>515</v>
      </c>
    </row>
    <row r="1040" spans="1:10">
      <c r="A1040" s="1" t="s">
        <v>359</v>
      </c>
      <c r="B1040" s="1" t="s">
        <v>345</v>
      </c>
      <c r="C1040" s="1" t="s">
        <v>346</v>
      </c>
      <c r="D1040" s="1" t="s">
        <v>1941</v>
      </c>
      <c r="E1040" s="1" t="s">
        <v>2121</v>
      </c>
      <c r="F1040" s="1">
        <v>0.3</v>
      </c>
      <c r="G1040" s="1">
        <v>0.06</v>
      </c>
      <c r="H1040" s="1">
        <v>2.62</v>
      </c>
      <c r="I1040" s="1" t="s">
        <v>691</v>
      </c>
      <c r="J1040" s="1" t="s">
        <v>697</v>
      </c>
    </row>
    <row r="1041" spans="1:10">
      <c r="A1041" s="1" t="s">
        <v>360</v>
      </c>
      <c r="B1041" s="1" t="s">
        <v>345</v>
      </c>
      <c r="C1041" s="1" t="s">
        <v>346</v>
      </c>
      <c r="D1041" s="1" t="s">
        <v>1941</v>
      </c>
      <c r="E1041" s="1" t="s">
        <v>2122</v>
      </c>
      <c r="F1041" s="1">
        <v>0.2</v>
      </c>
      <c r="G1041" s="1">
        <v>0.04</v>
      </c>
      <c r="H1041" s="1">
        <v>2.62</v>
      </c>
      <c r="I1041" s="1" t="s">
        <v>963</v>
      </c>
      <c r="J1041" s="1" t="s">
        <v>516</v>
      </c>
    </row>
    <row r="1042" spans="1:10">
      <c r="A1042" s="1" t="s">
        <v>361</v>
      </c>
      <c r="B1042" s="1" t="s">
        <v>345</v>
      </c>
      <c r="C1042" s="1" t="s">
        <v>346</v>
      </c>
      <c r="D1042" s="1" t="s">
        <v>1941</v>
      </c>
      <c r="E1042" s="1" t="s">
        <v>2123</v>
      </c>
      <c r="F1042" s="1">
        <v>0.2</v>
      </c>
      <c r="G1042" s="1">
        <v>0.04</v>
      </c>
      <c r="H1042" s="1">
        <v>2.62</v>
      </c>
      <c r="I1042" s="1" t="s">
        <v>691</v>
      </c>
      <c r="J1042" s="1" t="s">
        <v>700</v>
      </c>
    </row>
    <row r="1043" spans="1:10">
      <c r="A1043" s="1" t="s">
        <v>362</v>
      </c>
      <c r="B1043" s="1" t="s">
        <v>345</v>
      </c>
      <c r="C1043" s="1" t="s">
        <v>346</v>
      </c>
      <c r="D1043" s="1" t="s">
        <v>1941</v>
      </c>
      <c r="E1043" s="1" t="s">
        <v>2124</v>
      </c>
      <c r="F1043" s="1">
        <v>0.1</v>
      </c>
      <c r="G1043" s="1">
        <v>0.02</v>
      </c>
      <c r="H1043" s="1">
        <v>2.62</v>
      </c>
      <c r="I1043" s="1" t="s">
        <v>963</v>
      </c>
      <c r="J1043" s="1" t="s">
        <v>517</v>
      </c>
    </row>
    <row r="1044" spans="1:10">
      <c r="A1044" s="1" t="s">
        <v>363</v>
      </c>
      <c r="B1044" s="1" t="s">
        <v>345</v>
      </c>
      <c r="C1044" s="1" t="s">
        <v>346</v>
      </c>
      <c r="D1044" s="1" t="s">
        <v>1941</v>
      </c>
      <c r="E1044" s="1" t="s">
        <v>2125</v>
      </c>
      <c r="F1044" s="1">
        <v>0.1</v>
      </c>
      <c r="G1044" s="1">
        <v>0.02</v>
      </c>
      <c r="H1044" s="1">
        <v>2.62</v>
      </c>
      <c r="I1044" s="1" t="s">
        <v>691</v>
      </c>
      <c r="J1044" s="1" t="s">
        <v>703</v>
      </c>
    </row>
    <row r="1045" spans="1:10">
      <c r="A1045" s="1" t="s">
        <v>364</v>
      </c>
      <c r="B1045" s="1" t="s">
        <v>345</v>
      </c>
      <c r="C1045" s="1" t="s">
        <v>346</v>
      </c>
      <c r="D1045" s="1" t="s">
        <v>1941</v>
      </c>
      <c r="E1045" s="1" t="s">
        <v>2126</v>
      </c>
      <c r="F1045" s="1">
        <v>0.3</v>
      </c>
      <c r="G1045" s="1">
        <v>0.06</v>
      </c>
      <c r="H1045" s="1">
        <v>2.62</v>
      </c>
      <c r="I1045" s="1" t="s">
        <v>963</v>
      </c>
      <c r="J1045" s="1" t="s">
        <v>515</v>
      </c>
    </row>
    <row r="1046" spans="1:10">
      <c r="A1046" s="1" t="s">
        <v>365</v>
      </c>
      <c r="B1046" s="1" t="s">
        <v>345</v>
      </c>
      <c r="C1046" s="1" t="s">
        <v>346</v>
      </c>
      <c r="D1046" s="1" t="s">
        <v>1941</v>
      </c>
      <c r="E1046" s="1" t="s">
        <v>2127</v>
      </c>
      <c r="F1046" s="1">
        <v>0.3</v>
      </c>
      <c r="G1046" s="1">
        <v>0.06</v>
      </c>
      <c r="H1046" s="1">
        <v>2.62</v>
      </c>
      <c r="I1046" s="1" t="s">
        <v>691</v>
      </c>
      <c r="J1046" s="1" t="s">
        <v>697</v>
      </c>
    </row>
    <row r="1047" spans="1:10">
      <c r="A1047" s="1" t="s">
        <v>366</v>
      </c>
      <c r="B1047" s="1" t="s">
        <v>345</v>
      </c>
      <c r="C1047" s="1" t="s">
        <v>346</v>
      </c>
      <c r="D1047" s="1" t="s">
        <v>1941</v>
      </c>
      <c r="E1047" s="1" t="s">
        <v>2128</v>
      </c>
      <c r="F1047" s="1">
        <v>0.2</v>
      </c>
      <c r="G1047" s="1">
        <v>0.04</v>
      </c>
      <c r="H1047" s="1">
        <v>2.62</v>
      </c>
      <c r="I1047" s="1" t="s">
        <v>963</v>
      </c>
      <c r="J1047" s="1" t="s">
        <v>516</v>
      </c>
    </row>
    <row r="1048" spans="1:10">
      <c r="A1048" s="1" t="s">
        <v>367</v>
      </c>
      <c r="B1048" s="1" t="s">
        <v>345</v>
      </c>
      <c r="C1048" s="1" t="s">
        <v>346</v>
      </c>
      <c r="D1048" s="1" t="s">
        <v>1941</v>
      </c>
      <c r="E1048" s="1" t="s">
        <v>2129</v>
      </c>
      <c r="F1048" s="1">
        <v>0.2</v>
      </c>
      <c r="G1048" s="1">
        <v>0.04</v>
      </c>
      <c r="H1048" s="1">
        <v>2.62</v>
      </c>
      <c r="I1048" s="1" t="s">
        <v>691</v>
      </c>
      <c r="J1048" s="1" t="s">
        <v>700</v>
      </c>
    </row>
    <row r="1049" spans="1:10">
      <c r="A1049" s="1" t="s">
        <v>368</v>
      </c>
      <c r="B1049" s="1" t="s">
        <v>345</v>
      </c>
      <c r="C1049" s="1" t="s">
        <v>346</v>
      </c>
      <c r="D1049" s="1" t="s">
        <v>1941</v>
      </c>
      <c r="E1049" s="1" t="s">
        <v>2130</v>
      </c>
      <c r="F1049" s="1">
        <v>0.1</v>
      </c>
      <c r="G1049" s="1">
        <v>0.02</v>
      </c>
      <c r="H1049" s="1">
        <v>2.62</v>
      </c>
      <c r="I1049" s="1" t="s">
        <v>963</v>
      </c>
      <c r="J1049" s="1" t="s">
        <v>517</v>
      </c>
    </row>
    <row r="1050" spans="1:10">
      <c r="A1050" s="1" t="s">
        <v>369</v>
      </c>
      <c r="B1050" s="1" t="s">
        <v>345</v>
      </c>
      <c r="C1050" s="1" t="s">
        <v>346</v>
      </c>
      <c r="D1050" s="1" t="s">
        <v>1941</v>
      </c>
      <c r="E1050" s="1" t="s">
        <v>2131</v>
      </c>
      <c r="F1050" s="1">
        <v>0.1</v>
      </c>
      <c r="G1050" s="1">
        <v>0.02</v>
      </c>
      <c r="H1050" s="1">
        <v>2.62</v>
      </c>
      <c r="I1050" s="1" t="s">
        <v>691</v>
      </c>
      <c r="J1050" s="1" t="s">
        <v>703</v>
      </c>
    </row>
    <row r="1051" spans="1:10">
      <c r="A1051" s="1" t="s">
        <v>370</v>
      </c>
      <c r="B1051" s="1" t="s">
        <v>345</v>
      </c>
      <c r="C1051" s="1" t="s">
        <v>346</v>
      </c>
      <c r="D1051" s="1" t="s">
        <v>1709</v>
      </c>
      <c r="E1051" s="1" t="s">
        <v>2132</v>
      </c>
      <c r="F1051" s="1">
        <v>0.28000000000000003</v>
      </c>
      <c r="G1051" s="1">
        <v>5.1999999999999998E-2</v>
      </c>
      <c r="H1051" s="1">
        <v>2.62</v>
      </c>
      <c r="I1051" s="1" t="s">
        <v>963</v>
      </c>
    </row>
    <row r="1052" spans="1:10">
      <c r="A1052" s="1" t="s">
        <v>371</v>
      </c>
      <c r="B1052" s="1" t="s">
        <v>345</v>
      </c>
      <c r="C1052" s="1" t="s">
        <v>346</v>
      </c>
      <c r="D1052" s="1" t="s">
        <v>1709</v>
      </c>
      <c r="E1052" s="1" t="s">
        <v>2133</v>
      </c>
      <c r="F1052" s="1">
        <v>0.14000000000000001</v>
      </c>
      <c r="G1052" s="1">
        <v>2.5999999999999999E-2</v>
      </c>
      <c r="H1052" s="1">
        <v>2.62</v>
      </c>
      <c r="I1052" s="1" t="s">
        <v>691</v>
      </c>
      <c r="J1052" s="1" t="s">
        <v>692</v>
      </c>
    </row>
    <row r="1053" spans="1:10">
      <c r="A1053" s="1" t="s">
        <v>372</v>
      </c>
      <c r="B1053" s="1" t="s">
        <v>345</v>
      </c>
      <c r="C1053" s="1" t="s">
        <v>346</v>
      </c>
      <c r="D1053" s="1" t="s">
        <v>1709</v>
      </c>
      <c r="E1053" s="1" t="s">
        <v>2134</v>
      </c>
      <c r="F1053" s="1">
        <v>0.28000000000000003</v>
      </c>
      <c r="G1053" s="1">
        <v>5.1999999999999998E-2</v>
      </c>
      <c r="H1053" s="1">
        <v>2.62</v>
      </c>
      <c r="I1053" s="1" t="s">
        <v>963</v>
      </c>
    </row>
    <row r="1054" spans="1:10">
      <c r="A1054" s="1" t="s">
        <v>373</v>
      </c>
      <c r="B1054" s="1" t="s">
        <v>345</v>
      </c>
      <c r="C1054" s="1" t="s">
        <v>346</v>
      </c>
      <c r="D1054" s="1" t="s">
        <v>1709</v>
      </c>
      <c r="E1054" s="1" t="s">
        <v>2135</v>
      </c>
      <c r="F1054" s="1">
        <v>0.14000000000000001</v>
      </c>
      <c r="G1054" s="1">
        <v>2.5999999999999999E-2</v>
      </c>
      <c r="H1054" s="1">
        <v>2.62</v>
      </c>
      <c r="I1054" s="1" t="s">
        <v>691</v>
      </c>
      <c r="J1054" s="1" t="s">
        <v>692</v>
      </c>
    </row>
    <row r="1055" spans="1:10">
      <c r="A1055" s="1" t="s">
        <v>374</v>
      </c>
      <c r="B1055" s="1" t="s">
        <v>345</v>
      </c>
      <c r="C1055" s="1" t="s">
        <v>346</v>
      </c>
      <c r="D1055" s="1" t="s">
        <v>1709</v>
      </c>
      <c r="E1055" s="1" t="s">
        <v>2136</v>
      </c>
      <c r="F1055" s="1">
        <v>0.21</v>
      </c>
      <c r="G1055" s="1">
        <v>3.9E-2</v>
      </c>
      <c r="H1055" s="1">
        <v>2.62</v>
      </c>
      <c r="I1055" s="1" t="s">
        <v>963</v>
      </c>
      <c r="J1055" s="1" t="s">
        <v>515</v>
      </c>
    </row>
    <row r="1056" spans="1:10">
      <c r="A1056" s="1" t="s">
        <v>375</v>
      </c>
      <c r="B1056" s="1" t="s">
        <v>345</v>
      </c>
      <c r="C1056" s="1" t="s">
        <v>346</v>
      </c>
      <c r="D1056" s="1" t="s">
        <v>1709</v>
      </c>
      <c r="E1056" s="1" t="s">
        <v>2137</v>
      </c>
      <c r="F1056" s="1">
        <v>0.21</v>
      </c>
      <c r="G1056" s="1">
        <v>3.9E-2</v>
      </c>
      <c r="H1056" s="1">
        <v>2.62</v>
      </c>
      <c r="I1056" s="1" t="s">
        <v>691</v>
      </c>
      <c r="J1056" s="1" t="s">
        <v>697</v>
      </c>
    </row>
    <row r="1057" spans="1:10">
      <c r="A1057" s="1" t="s">
        <v>376</v>
      </c>
      <c r="B1057" s="1" t="s">
        <v>345</v>
      </c>
      <c r="C1057" s="1" t="s">
        <v>346</v>
      </c>
      <c r="D1057" s="1" t="s">
        <v>1709</v>
      </c>
      <c r="E1057" s="1" t="s">
        <v>2138</v>
      </c>
      <c r="F1057" s="1">
        <v>0.21</v>
      </c>
      <c r="G1057" s="1">
        <v>3.9E-2</v>
      </c>
      <c r="H1057" s="1">
        <v>2.62</v>
      </c>
      <c r="I1057" s="1" t="s">
        <v>963</v>
      </c>
      <c r="J1057" s="1" t="s">
        <v>515</v>
      </c>
    </row>
    <row r="1058" spans="1:10">
      <c r="A1058" s="1" t="s">
        <v>377</v>
      </c>
      <c r="B1058" s="1" t="s">
        <v>345</v>
      </c>
      <c r="C1058" s="1" t="s">
        <v>346</v>
      </c>
      <c r="D1058" s="1" t="s">
        <v>1709</v>
      </c>
      <c r="E1058" s="1" t="s">
        <v>2139</v>
      </c>
      <c r="F1058" s="1">
        <v>0.21</v>
      </c>
      <c r="G1058" s="1">
        <v>3.9E-2</v>
      </c>
      <c r="H1058" s="1">
        <v>2.62</v>
      </c>
      <c r="I1058" s="1" t="s">
        <v>691</v>
      </c>
      <c r="J1058" s="1" t="s">
        <v>697</v>
      </c>
    </row>
    <row r="1059" spans="1:10">
      <c r="A1059" s="1" t="s">
        <v>378</v>
      </c>
      <c r="B1059" s="1" t="s">
        <v>345</v>
      </c>
      <c r="C1059" s="1" t="s">
        <v>346</v>
      </c>
      <c r="D1059" s="1" t="s">
        <v>1709</v>
      </c>
      <c r="E1059" s="1" t="s">
        <v>2140</v>
      </c>
      <c r="F1059" s="1">
        <v>0.14000000000000001</v>
      </c>
      <c r="G1059" s="1">
        <v>2.5999999999999999E-2</v>
      </c>
      <c r="H1059" s="1">
        <v>2.62</v>
      </c>
      <c r="I1059" s="1" t="s">
        <v>963</v>
      </c>
      <c r="J1059" s="1" t="s">
        <v>516</v>
      </c>
    </row>
    <row r="1060" spans="1:10">
      <c r="A1060" s="1" t="s">
        <v>379</v>
      </c>
      <c r="B1060" s="1" t="s">
        <v>345</v>
      </c>
      <c r="C1060" s="1" t="s">
        <v>346</v>
      </c>
      <c r="D1060" s="1" t="s">
        <v>1709</v>
      </c>
      <c r="E1060" s="1" t="s">
        <v>2141</v>
      </c>
      <c r="F1060" s="1">
        <v>0.14000000000000001</v>
      </c>
      <c r="G1060" s="1">
        <v>2.5999999999999999E-2</v>
      </c>
      <c r="H1060" s="1">
        <v>2.62</v>
      </c>
      <c r="I1060" s="1" t="s">
        <v>691</v>
      </c>
      <c r="J1060" s="1" t="s">
        <v>700</v>
      </c>
    </row>
    <row r="1061" spans="1:10">
      <c r="A1061" s="1" t="s">
        <v>380</v>
      </c>
      <c r="B1061" s="1" t="s">
        <v>345</v>
      </c>
      <c r="C1061" s="1" t="s">
        <v>346</v>
      </c>
      <c r="D1061" s="1" t="s">
        <v>1709</v>
      </c>
      <c r="E1061" s="1" t="s">
        <v>2142</v>
      </c>
      <c r="F1061" s="1">
        <v>0.14000000000000001</v>
      </c>
      <c r="G1061" s="1">
        <v>2.5999999999999999E-2</v>
      </c>
      <c r="H1061" s="1">
        <v>2.62</v>
      </c>
      <c r="I1061" s="1" t="s">
        <v>963</v>
      </c>
      <c r="J1061" s="1" t="s">
        <v>516</v>
      </c>
    </row>
    <row r="1062" spans="1:10">
      <c r="A1062" s="1" t="s">
        <v>381</v>
      </c>
      <c r="B1062" s="1" t="s">
        <v>345</v>
      </c>
      <c r="C1062" s="1" t="s">
        <v>346</v>
      </c>
      <c r="D1062" s="1" t="s">
        <v>1709</v>
      </c>
      <c r="E1062" s="1" t="s">
        <v>2143</v>
      </c>
      <c r="F1062" s="1">
        <v>0.14000000000000001</v>
      </c>
      <c r="G1062" s="1">
        <v>2.5999999999999999E-2</v>
      </c>
      <c r="H1062" s="1">
        <v>2.62</v>
      </c>
      <c r="I1062" s="1" t="s">
        <v>691</v>
      </c>
      <c r="J1062" s="1" t="s">
        <v>700</v>
      </c>
    </row>
    <row r="1063" spans="1:10">
      <c r="A1063" s="1" t="s">
        <v>382</v>
      </c>
      <c r="B1063" s="1" t="s">
        <v>345</v>
      </c>
      <c r="C1063" s="1" t="s">
        <v>346</v>
      </c>
      <c r="D1063" s="1" t="s">
        <v>1709</v>
      </c>
      <c r="E1063" s="1" t="s">
        <v>2144</v>
      </c>
      <c r="F1063" s="1">
        <v>7.0000000000000007E-2</v>
      </c>
      <c r="G1063" s="1">
        <v>1.2999999999999999E-2</v>
      </c>
      <c r="H1063" s="1">
        <v>2.62</v>
      </c>
      <c r="I1063" s="1" t="s">
        <v>963</v>
      </c>
      <c r="J1063" s="1" t="s">
        <v>517</v>
      </c>
    </row>
    <row r="1064" spans="1:10">
      <c r="A1064" s="1" t="s">
        <v>383</v>
      </c>
      <c r="B1064" s="1" t="s">
        <v>345</v>
      </c>
      <c r="C1064" s="1" t="s">
        <v>346</v>
      </c>
      <c r="D1064" s="1" t="s">
        <v>1709</v>
      </c>
      <c r="E1064" s="1" t="s">
        <v>2145</v>
      </c>
      <c r="F1064" s="1">
        <v>7.0000000000000007E-2</v>
      </c>
      <c r="G1064" s="1">
        <v>1.2999999999999999E-2</v>
      </c>
      <c r="H1064" s="1">
        <v>2.62</v>
      </c>
      <c r="I1064" s="1" t="s">
        <v>691</v>
      </c>
      <c r="J1064" s="1" t="s">
        <v>703</v>
      </c>
    </row>
    <row r="1065" spans="1:10">
      <c r="A1065" s="1" t="s">
        <v>384</v>
      </c>
      <c r="B1065" s="1" t="s">
        <v>345</v>
      </c>
      <c r="C1065" s="1" t="s">
        <v>346</v>
      </c>
      <c r="D1065" s="1" t="s">
        <v>1709</v>
      </c>
      <c r="E1065" s="1" t="s">
        <v>2146</v>
      </c>
      <c r="F1065" s="1">
        <v>7.0000000000000007E-2</v>
      </c>
      <c r="G1065" s="1">
        <v>1.2999999999999999E-2</v>
      </c>
      <c r="H1065" s="1">
        <v>2.62</v>
      </c>
      <c r="I1065" s="1" t="s">
        <v>963</v>
      </c>
      <c r="J1065" s="1" t="s">
        <v>517</v>
      </c>
    </row>
    <row r="1066" spans="1:10">
      <c r="A1066" s="1" t="s">
        <v>385</v>
      </c>
      <c r="B1066" s="1" t="s">
        <v>345</v>
      </c>
      <c r="C1066" s="1" t="s">
        <v>346</v>
      </c>
      <c r="D1066" s="1" t="s">
        <v>1709</v>
      </c>
      <c r="E1066" s="1" t="s">
        <v>2147</v>
      </c>
      <c r="F1066" s="1">
        <v>7.0000000000000007E-2</v>
      </c>
      <c r="G1066" s="1">
        <v>1.2999999999999999E-2</v>
      </c>
      <c r="H1066" s="1">
        <v>2.62</v>
      </c>
      <c r="I1066" s="1" t="s">
        <v>691</v>
      </c>
      <c r="J1066" s="1" t="s">
        <v>703</v>
      </c>
    </row>
    <row r="1067" spans="1:10">
      <c r="A1067" s="1" t="s">
        <v>386</v>
      </c>
      <c r="B1067" s="1" t="s">
        <v>345</v>
      </c>
      <c r="C1067" s="1" t="s">
        <v>346</v>
      </c>
      <c r="D1067" s="1" t="s">
        <v>1710</v>
      </c>
      <c r="E1067" s="1" t="s">
        <v>2148</v>
      </c>
      <c r="F1067" s="1">
        <v>0.14000000000000001</v>
      </c>
      <c r="G1067" s="1">
        <v>1.2999999999999999E-2</v>
      </c>
      <c r="H1067" s="1">
        <v>2.62</v>
      </c>
      <c r="I1067" s="1" t="s">
        <v>980</v>
      </c>
    </row>
    <row r="1068" spans="1:10">
      <c r="A1068" s="1" t="s">
        <v>387</v>
      </c>
      <c r="B1068" s="1" t="s">
        <v>345</v>
      </c>
      <c r="C1068" s="1" t="s">
        <v>346</v>
      </c>
      <c r="D1068" s="1" t="s">
        <v>1710</v>
      </c>
      <c r="E1068" s="1" t="s">
        <v>2149</v>
      </c>
      <c r="F1068" s="1">
        <v>0.14000000000000001</v>
      </c>
      <c r="G1068" s="1">
        <v>1.2999999999999999E-2</v>
      </c>
      <c r="H1068" s="1">
        <v>2.62</v>
      </c>
      <c r="I1068" s="1" t="s">
        <v>980</v>
      </c>
    </row>
    <row r="1069" spans="1:10">
      <c r="A1069" s="1" t="s">
        <v>388</v>
      </c>
      <c r="B1069" s="1" t="s">
        <v>345</v>
      </c>
      <c r="C1069" s="1" t="s">
        <v>346</v>
      </c>
      <c r="D1069" s="1" t="s">
        <v>1710</v>
      </c>
      <c r="E1069" s="1" t="s">
        <v>2150</v>
      </c>
      <c r="F1069" s="1">
        <v>7.0000000000000007E-2</v>
      </c>
      <c r="G1069" s="1">
        <v>6.4999999999999997E-3</v>
      </c>
      <c r="H1069" s="1">
        <v>2.62</v>
      </c>
      <c r="I1069" s="1" t="s">
        <v>691</v>
      </c>
      <c r="J1069" s="1" t="s">
        <v>692</v>
      </c>
    </row>
    <row r="1070" spans="1:10">
      <c r="A1070" s="1" t="s">
        <v>389</v>
      </c>
      <c r="B1070" s="1" t="s">
        <v>345</v>
      </c>
      <c r="C1070" s="1" t="s">
        <v>346</v>
      </c>
      <c r="D1070" s="1" t="s">
        <v>1710</v>
      </c>
      <c r="E1070" s="1" t="s">
        <v>2151</v>
      </c>
      <c r="F1070" s="1">
        <v>7.0000000000000007E-2</v>
      </c>
      <c r="G1070" s="1">
        <v>6.4999999999999997E-3</v>
      </c>
      <c r="H1070" s="1">
        <v>2.62</v>
      </c>
      <c r="I1070" s="1" t="s">
        <v>691</v>
      </c>
      <c r="J1070" s="1" t="s">
        <v>692</v>
      </c>
    </row>
    <row r="1071" spans="1:10">
      <c r="A1071" s="1" t="s">
        <v>390</v>
      </c>
      <c r="B1071" s="1" t="s">
        <v>345</v>
      </c>
      <c r="C1071" s="1" t="s">
        <v>346</v>
      </c>
      <c r="D1071" s="1" t="s">
        <v>1710</v>
      </c>
      <c r="E1071" s="1" t="s">
        <v>1546</v>
      </c>
      <c r="F1071" s="1">
        <v>3.5000000000000003E-2</v>
      </c>
      <c r="G1071" s="1">
        <v>3.2499999999999999E-3</v>
      </c>
      <c r="H1071" s="1">
        <v>2.62</v>
      </c>
      <c r="I1071" s="1" t="s">
        <v>1428</v>
      </c>
      <c r="J1071" s="1" t="s">
        <v>1429</v>
      </c>
    </row>
    <row r="1072" spans="1:10">
      <c r="A1072" s="1" t="s">
        <v>391</v>
      </c>
      <c r="B1072" s="1" t="s">
        <v>345</v>
      </c>
      <c r="C1072" s="1" t="s">
        <v>346</v>
      </c>
      <c r="D1072" s="1" t="s">
        <v>1710</v>
      </c>
      <c r="E1072" s="1" t="s">
        <v>1547</v>
      </c>
      <c r="F1072" s="1">
        <v>3.5000000000000003E-2</v>
      </c>
      <c r="G1072" s="1">
        <v>3.2499999999999999E-3</v>
      </c>
      <c r="H1072" s="1">
        <v>2.62</v>
      </c>
      <c r="I1072" s="1" t="s">
        <v>1428</v>
      </c>
      <c r="J1072" s="1" t="s">
        <v>1429</v>
      </c>
    </row>
    <row r="1073" spans="1:10">
      <c r="A1073" s="1" t="s">
        <v>392</v>
      </c>
      <c r="B1073" s="1" t="s">
        <v>345</v>
      </c>
      <c r="C1073" s="1" t="s">
        <v>346</v>
      </c>
      <c r="D1073" s="1" t="s">
        <v>1710</v>
      </c>
      <c r="E1073" s="1" t="s">
        <v>2152</v>
      </c>
      <c r="F1073" s="1">
        <v>7.0000000000000007E-2</v>
      </c>
      <c r="G1073" s="1">
        <v>6.4999999999999997E-3</v>
      </c>
      <c r="H1073" s="1">
        <v>2.62</v>
      </c>
      <c r="I1073" s="1" t="s">
        <v>691</v>
      </c>
      <c r="J1073" s="1" t="s">
        <v>703</v>
      </c>
    </row>
    <row r="1074" spans="1:10">
      <c r="A1074" s="1" t="s">
        <v>393</v>
      </c>
      <c r="B1074" s="1" t="s">
        <v>345</v>
      </c>
      <c r="C1074" s="1" t="s">
        <v>346</v>
      </c>
      <c r="D1074" s="1" t="s">
        <v>1710</v>
      </c>
      <c r="E1074" s="1" t="s">
        <v>2153</v>
      </c>
      <c r="F1074" s="1">
        <v>7.0000000000000007E-2</v>
      </c>
      <c r="G1074" s="1">
        <v>6.4999999999999997E-3</v>
      </c>
      <c r="H1074" s="1">
        <v>2.62</v>
      </c>
      <c r="I1074" s="1" t="s">
        <v>691</v>
      </c>
      <c r="J1074" s="1" t="s">
        <v>703</v>
      </c>
    </row>
    <row r="1075" spans="1:10">
      <c r="A1075" s="1" t="s">
        <v>394</v>
      </c>
      <c r="B1075" s="1" t="s">
        <v>345</v>
      </c>
      <c r="C1075" s="1" t="s">
        <v>346</v>
      </c>
      <c r="D1075" s="1" t="s">
        <v>1710</v>
      </c>
      <c r="E1075" s="1" t="s">
        <v>2154</v>
      </c>
      <c r="F1075" s="1">
        <v>7.0000000000000007E-2</v>
      </c>
      <c r="G1075" s="1">
        <v>6.4999999999999997E-3</v>
      </c>
      <c r="H1075" s="1">
        <v>2.62</v>
      </c>
      <c r="I1075" s="1" t="s">
        <v>980</v>
      </c>
      <c r="J1075" s="1" t="s">
        <v>517</v>
      </c>
    </row>
    <row r="1076" spans="1:10">
      <c r="A1076" s="1" t="s">
        <v>395</v>
      </c>
      <c r="B1076" s="1" t="s">
        <v>345</v>
      </c>
      <c r="C1076" s="1" t="s">
        <v>346</v>
      </c>
      <c r="D1076" s="1" t="s">
        <v>1710</v>
      </c>
      <c r="E1076" s="1" t="s">
        <v>2155</v>
      </c>
      <c r="F1076" s="1">
        <v>7.0000000000000007E-2</v>
      </c>
      <c r="G1076" s="1">
        <v>6.4999999999999997E-3</v>
      </c>
      <c r="H1076" s="1">
        <v>2.62</v>
      </c>
      <c r="I1076" s="1" t="s">
        <v>980</v>
      </c>
      <c r="J1076" s="1" t="s">
        <v>517</v>
      </c>
    </row>
    <row r="1077" spans="1:10">
      <c r="A1077" s="1" t="s">
        <v>396</v>
      </c>
      <c r="B1077" s="1" t="s">
        <v>345</v>
      </c>
      <c r="C1077" s="1" t="s">
        <v>346</v>
      </c>
      <c r="D1077" s="1" t="s">
        <v>1710</v>
      </c>
      <c r="E1077" s="1" t="s">
        <v>1548</v>
      </c>
      <c r="F1077" s="1">
        <v>7.0000000000000007E-2</v>
      </c>
      <c r="G1077" s="1">
        <v>6.4999999999999997E-3</v>
      </c>
      <c r="H1077" s="1">
        <v>2.62</v>
      </c>
      <c r="I1077" s="1" t="s">
        <v>1428</v>
      </c>
      <c r="J1077" s="1" t="s">
        <v>1433</v>
      </c>
    </row>
    <row r="1078" spans="1:10">
      <c r="A1078" s="1" t="s">
        <v>397</v>
      </c>
      <c r="B1078" s="1" t="s">
        <v>345</v>
      </c>
      <c r="C1078" s="1" t="s">
        <v>346</v>
      </c>
      <c r="D1078" s="1" t="s">
        <v>1710</v>
      </c>
      <c r="E1078" s="1" t="s">
        <v>1549</v>
      </c>
      <c r="F1078" s="1">
        <v>7.0000000000000007E-2</v>
      </c>
      <c r="G1078" s="1">
        <v>6.4999999999999997E-3</v>
      </c>
      <c r="H1078" s="1">
        <v>2.62</v>
      </c>
      <c r="I1078" s="1" t="s">
        <v>1428</v>
      </c>
      <c r="J1078" s="1" t="s">
        <v>1433</v>
      </c>
    </row>
    <row r="1079" spans="1:10">
      <c r="A1079" s="1" t="s">
        <v>398</v>
      </c>
      <c r="B1079" s="1" t="s">
        <v>345</v>
      </c>
      <c r="C1079" s="1" t="s">
        <v>346</v>
      </c>
      <c r="D1079" s="1" t="s">
        <v>1710</v>
      </c>
      <c r="E1079" s="1" t="s">
        <v>2156</v>
      </c>
      <c r="F1079" s="1">
        <v>3.5000000000000003E-2</v>
      </c>
      <c r="G1079" s="1">
        <v>3.2499999999999999E-3</v>
      </c>
      <c r="H1079" s="1">
        <v>2.62</v>
      </c>
      <c r="I1079" s="1" t="s">
        <v>691</v>
      </c>
      <c r="J1079" s="1" t="s">
        <v>994</v>
      </c>
    </row>
    <row r="1080" spans="1:10">
      <c r="A1080" s="1" t="s">
        <v>399</v>
      </c>
      <c r="B1080" s="1" t="s">
        <v>345</v>
      </c>
      <c r="C1080" s="1" t="s">
        <v>346</v>
      </c>
      <c r="D1080" s="1" t="s">
        <v>1710</v>
      </c>
      <c r="E1080" s="1" t="s">
        <v>2157</v>
      </c>
      <c r="F1080" s="1">
        <v>3.5000000000000003E-2</v>
      </c>
      <c r="G1080" s="1">
        <v>3.2499999999999999E-3</v>
      </c>
      <c r="H1080" s="1">
        <v>2.62</v>
      </c>
      <c r="I1080" s="1" t="s">
        <v>691</v>
      </c>
      <c r="J1080" s="1" t="s">
        <v>994</v>
      </c>
    </row>
    <row r="1081" spans="1:10">
      <c r="A1081" s="1" t="s">
        <v>400</v>
      </c>
      <c r="B1081" s="1" t="s">
        <v>345</v>
      </c>
      <c r="C1081" s="1" t="s">
        <v>346</v>
      </c>
      <c r="D1081" s="1" t="s">
        <v>1710</v>
      </c>
      <c r="E1081" s="1" t="s">
        <v>2158</v>
      </c>
      <c r="F1081" s="1">
        <v>3.5000000000000003E-2</v>
      </c>
      <c r="G1081" s="1">
        <v>3.2499999999999999E-3</v>
      </c>
      <c r="H1081" s="1">
        <v>2.62</v>
      </c>
      <c r="I1081" s="1" t="s">
        <v>980</v>
      </c>
      <c r="J1081" s="1" t="s">
        <v>997</v>
      </c>
    </row>
    <row r="1082" spans="1:10">
      <c r="A1082" s="1" t="s">
        <v>401</v>
      </c>
      <c r="B1082" s="1" t="s">
        <v>345</v>
      </c>
      <c r="C1082" s="1" t="s">
        <v>346</v>
      </c>
      <c r="D1082" s="1" t="s">
        <v>1710</v>
      </c>
      <c r="E1082" s="1" t="s">
        <v>2159</v>
      </c>
      <c r="F1082" s="1">
        <v>3.5000000000000003E-2</v>
      </c>
      <c r="G1082" s="1">
        <v>3.2499999999999999E-3</v>
      </c>
      <c r="H1082" s="1">
        <v>2.62</v>
      </c>
      <c r="I1082" s="1" t="s">
        <v>980</v>
      </c>
      <c r="J1082" s="1" t="s">
        <v>997</v>
      </c>
    </row>
    <row r="1083" spans="1:10">
      <c r="A1083" s="1" t="s">
        <v>402</v>
      </c>
      <c r="B1083" s="1" t="s">
        <v>345</v>
      </c>
      <c r="C1083" s="1" t="s">
        <v>346</v>
      </c>
      <c r="D1083" s="1" t="s">
        <v>1710</v>
      </c>
      <c r="E1083" s="1" t="s">
        <v>1550</v>
      </c>
      <c r="F1083" s="1">
        <v>3.5000000000000003E-2</v>
      </c>
      <c r="G1083" s="1">
        <v>3.2499999999999999E-3</v>
      </c>
      <c r="H1083" s="1">
        <v>2.62</v>
      </c>
      <c r="I1083" s="1" t="s">
        <v>1428</v>
      </c>
      <c r="J1083" s="1" t="s">
        <v>1437</v>
      </c>
    </row>
    <row r="1084" spans="1:10">
      <c r="A1084" s="1" t="s">
        <v>403</v>
      </c>
      <c r="B1084" s="1" t="s">
        <v>345</v>
      </c>
      <c r="C1084" s="1" t="s">
        <v>346</v>
      </c>
      <c r="D1084" s="1" t="s">
        <v>1710</v>
      </c>
      <c r="E1084" s="1" t="s">
        <v>1551</v>
      </c>
      <c r="F1084" s="1">
        <v>3.5000000000000003E-2</v>
      </c>
      <c r="G1084" s="1">
        <v>3.2499999999999999E-3</v>
      </c>
      <c r="H1084" s="1">
        <v>2.62</v>
      </c>
      <c r="I1084" s="1" t="s">
        <v>1428</v>
      </c>
      <c r="J1084" s="1" t="s">
        <v>1437</v>
      </c>
    </row>
    <row r="1085" spans="1:10">
      <c r="A1085" s="1" t="s">
        <v>404</v>
      </c>
      <c r="B1085" s="1" t="s">
        <v>345</v>
      </c>
      <c r="C1085" s="1" t="s">
        <v>346</v>
      </c>
      <c r="D1085" s="1" t="s">
        <v>523</v>
      </c>
      <c r="E1085" s="1" t="s">
        <v>1552</v>
      </c>
      <c r="F1085" s="1">
        <v>0.08</v>
      </c>
      <c r="G1085" s="1">
        <v>5.0000000000000001E-3</v>
      </c>
      <c r="H1085" s="1">
        <v>2.62</v>
      </c>
    </row>
    <row r="1086" spans="1:10">
      <c r="A1086" s="1" t="s">
        <v>405</v>
      </c>
      <c r="B1086" s="1" t="s">
        <v>345</v>
      </c>
      <c r="C1086" s="1" t="s">
        <v>346</v>
      </c>
      <c r="D1086" s="1" t="s">
        <v>523</v>
      </c>
      <c r="E1086" s="1" t="s">
        <v>1553</v>
      </c>
      <c r="F1086" s="1">
        <v>0.08</v>
      </c>
      <c r="G1086" s="1">
        <v>5.0000000000000001E-3</v>
      </c>
      <c r="H1086" s="1">
        <v>2.62</v>
      </c>
    </row>
    <row r="1087" spans="1:10">
      <c r="A1087" s="1" t="s">
        <v>406</v>
      </c>
      <c r="B1087" s="1" t="s">
        <v>345</v>
      </c>
      <c r="C1087" s="1" t="s">
        <v>346</v>
      </c>
      <c r="D1087" s="1" t="s">
        <v>523</v>
      </c>
      <c r="E1087" s="1" t="s">
        <v>1554</v>
      </c>
      <c r="F1087" s="1">
        <v>0.04</v>
      </c>
      <c r="G1087" s="1">
        <v>2.5000000000000001E-3</v>
      </c>
      <c r="H1087" s="1">
        <v>2.62</v>
      </c>
      <c r="J1087" s="1" t="s">
        <v>692</v>
      </c>
    </row>
    <row r="1088" spans="1:10">
      <c r="A1088" s="1" t="s">
        <v>407</v>
      </c>
      <c r="B1088" s="1" t="s">
        <v>345</v>
      </c>
      <c r="C1088" s="1" t="s">
        <v>346</v>
      </c>
      <c r="D1088" s="1" t="s">
        <v>523</v>
      </c>
      <c r="E1088" s="1" t="s">
        <v>1555</v>
      </c>
      <c r="F1088" s="1">
        <v>0.04</v>
      </c>
      <c r="G1088" s="1">
        <v>2.5000000000000001E-3</v>
      </c>
      <c r="H1088" s="1">
        <v>2.62</v>
      </c>
      <c r="J1088" s="1" t="s">
        <v>692</v>
      </c>
    </row>
    <row r="1089" spans="1:10">
      <c r="A1089" s="1" t="s">
        <v>408</v>
      </c>
      <c r="B1089" s="1" t="s">
        <v>345</v>
      </c>
      <c r="C1089" s="1" t="s">
        <v>346</v>
      </c>
      <c r="D1089" s="1" t="s">
        <v>523</v>
      </c>
      <c r="E1089" s="1" t="s">
        <v>1556</v>
      </c>
      <c r="F1089" s="1">
        <v>0.02</v>
      </c>
      <c r="G1089" s="1">
        <v>1.25E-3</v>
      </c>
      <c r="H1089" s="1">
        <v>2.62</v>
      </c>
      <c r="I1089" s="1" t="s">
        <v>1428</v>
      </c>
      <c r="J1089" s="1" t="s">
        <v>1429</v>
      </c>
    </row>
    <row r="1090" spans="1:10">
      <c r="A1090" s="1" t="s">
        <v>409</v>
      </c>
      <c r="B1090" s="1" t="s">
        <v>345</v>
      </c>
      <c r="C1090" s="1" t="s">
        <v>346</v>
      </c>
      <c r="D1090" s="1" t="s">
        <v>523</v>
      </c>
      <c r="E1090" s="1" t="s">
        <v>1557</v>
      </c>
      <c r="F1090" s="1">
        <v>0.02</v>
      </c>
      <c r="G1090" s="1">
        <v>1.25E-3</v>
      </c>
      <c r="H1090" s="1">
        <v>2.62</v>
      </c>
      <c r="I1090" s="1" t="s">
        <v>1428</v>
      </c>
      <c r="J1090" s="1" t="s">
        <v>1429</v>
      </c>
    </row>
    <row r="1091" spans="1:10">
      <c r="A1091" s="1" t="s">
        <v>410</v>
      </c>
      <c r="B1091" s="1" t="s">
        <v>345</v>
      </c>
      <c r="C1091" s="1" t="s">
        <v>346</v>
      </c>
      <c r="D1091" s="1" t="s">
        <v>523</v>
      </c>
      <c r="E1091" s="1" t="s">
        <v>1558</v>
      </c>
      <c r="F1091" s="1">
        <v>0.04</v>
      </c>
      <c r="G1091" s="1">
        <v>2.5000000000000001E-3</v>
      </c>
      <c r="H1091" s="1">
        <v>2.62</v>
      </c>
      <c r="I1091" s="1" t="s">
        <v>980</v>
      </c>
      <c r="J1091" s="1" t="s">
        <v>519</v>
      </c>
    </row>
    <row r="1092" spans="1:10">
      <c r="A1092" s="1" t="s">
        <v>411</v>
      </c>
      <c r="B1092" s="1" t="s">
        <v>345</v>
      </c>
      <c r="C1092" s="1" t="s">
        <v>346</v>
      </c>
      <c r="D1092" s="1" t="s">
        <v>523</v>
      </c>
      <c r="E1092" s="1" t="s">
        <v>1559</v>
      </c>
      <c r="F1092" s="1">
        <v>0.04</v>
      </c>
      <c r="G1092" s="1">
        <v>2.5000000000000001E-3</v>
      </c>
      <c r="H1092" s="1">
        <v>2.62</v>
      </c>
      <c r="I1092" s="1" t="s">
        <v>980</v>
      </c>
      <c r="J1092" s="1" t="s">
        <v>519</v>
      </c>
    </row>
    <row r="1093" spans="1:10">
      <c r="A1093" s="1" t="s">
        <v>412</v>
      </c>
      <c r="B1093" s="1" t="s">
        <v>345</v>
      </c>
      <c r="C1093" s="1" t="s">
        <v>346</v>
      </c>
      <c r="D1093" s="1" t="s">
        <v>523</v>
      </c>
      <c r="E1093" s="1" t="s">
        <v>1560</v>
      </c>
      <c r="F1093" s="1">
        <v>0.04</v>
      </c>
      <c r="G1093" s="1">
        <v>2.5000000000000001E-3</v>
      </c>
      <c r="H1093" s="1">
        <v>2.62</v>
      </c>
      <c r="I1093" s="1" t="s">
        <v>691</v>
      </c>
      <c r="J1093" s="1" t="s">
        <v>1139</v>
      </c>
    </row>
    <row r="1094" spans="1:10">
      <c r="A1094" s="1" t="s">
        <v>413</v>
      </c>
      <c r="B1094" s="1" t="s">
        <v>345</v>
      </c>
      <c r="C1094" s="1" t="s">
        <v>346</v>
      </c>
      <c r="D1094" s="1" t="s">
        <v>523</v>
      </c>
      <c r="E1094" s="1" t="s">
        <v>1561</v>
      </c>
      <c r="F1094" s="1">
        <v>0.04</v>
      </c>
      <c r="G1094" s="1">
        <v>2.5000000000000001E-3</v>
      </c>
      <c r="H1094" s="1">
        <v>2.62</v>
      </c>
      <c r="I1094" s="1" t="s">
        <v>691</v>
      </c>
      <c r="J1094" s="1" t="s">
        <v>1139</v>
      </c>
    </row>
    <row r="1095" spans="1:10">
      <c r="A1095" s="1" t="s">
        <v>414</v>
      </c>
      <c r="B1095" s="1" t="s">
        <v>345</v>
      </c>
      <c r="C1095" s="1" t="s">
        <v>346</v>
      </c>
      <c r="D1095" s="1" t="s">
        <v>523</v>
      </c>
      <c r="E1095" s="1" t="s">
        <v>1562</v>
      </c>
      <c r="F1095" s="1">
        <v>0.04</v>
      </c>
      <c r="G1095" s="1">
        <v>2.5000000000000001E-3</v>
      </c>
      <c r="H1095" s="1">
        <v>2.62</v>
      </c>
      <c r="I1095" s="1" t="s">
        <v>1428</v>
      </c>
      <c r="J1095" s="1" t="s">
        <v>1433</v>
      </c>
    </row>
    <row r="1096" spans="1:10">
      <c r="A1096" s="1" t="s">
        <v>415</v>
      </c>
      <c r="B1096" s="1" t="s">
        <v>345</v>
      </c>
      <c r="C1096" s="1" t="s">
        <v>346</v>
      </c>
      <c r="D1096" s="1" t="s">
        <v>523</v>
      </c>
      <c r="E1096" s="1" t="s">
        <v>1563</v>
      </c>
      <c r="F1096" s="1">
        <v>0.04</v>
      </c>
      <c r="G1096" s="1">
        <v>2.5000000000000001E-3</v>
      </c>
      <c r="H1096" s="1">
        <v>2.62</v>
      </c>
      <c r="I1096" s="1" t="s">
        <v>1428</v>
      </c>
      <c r="J1096" s="1" t="s">
        <v>1433</v>
      </c>
    </row>
    <row r="1097" spans="1:10">
      <c r="A1097" s="1" t="s">
        <v>416</v>
      </c>
      <c r="B1097" s="1" t="s">
        <v>345</v>
      </c>
      <c r="C1097" s="1" t="s">
        <v>346</v>
      </c>
      <c r="D1097" s="1" t="s">
        <v>523</v>
      </c>
      <c r="E1097" s="1" t="s">
        <v>1564</v>
      </c>
      <c r="F1097" s="1">
        <v>0.02</v>
      </c>
      <c r="G1097" s="1">
        <v>1.25E-3</v>
      </c>
      <c r="H1097" s="1">
        <v>2.62</v>
      </c>
      <c r="I1097" s="1" t="s">
        <v>980</v>
      </c>
      <c r="J1097" s="1" t="s">
        <v>520</v>
      </c>
    </row>
    <row r="1098" spans="1:10">
      <c r="A1098" s="1" t="s">
        <v>417</v>
      </c>
      <c r="B1098" s="1" t="s">
        <v>345</v>
      </c>
      <c r="C1098" s="1" t="s">
        <v>346</v>
      </c>
      <c r="D1098" s="1" t="s">
        <v>523</v>
      </c>
      <c r="E1098" s="1" t="s">
        <v>1565</v>
      </c>
      <c r="F1098" s="1">
        <v>0.02</v>
      </c>
      <c r="G1098" s="1">
        <v>1.25E-3</v>
      </c>
      <c r="H1098" s="1">
        <v>2.62</v>
      </c>
      <c r="I1098" s="1" t="s">
        <v>980</v>
      </c>
      <c r="J1098" s="1" t="s">
        <v>520</v>
      </c>
    </row>
    <row r="1099" spans="1:10">
      <c r="A1099" s="1" t="s">
        <v>418</v>
      </c>
      <c r="B1099" s="1" t="s">
        <v>345</v>
      </c>
      <c r="C1099" s="1" t="s">
        <v>346</v>
      </c>
      <c r="D1099" s="1" t="s">
        <v>523</v>
      </c>
      <c r="E1099" s="1" t="s">
        <v>1566</v>
      </c>
      <c r="F1099" s="1">
        <v>0.02</v>
      </c>
      <c r="G1099" s="1">
        <v>1.25E-3</v>
      </c>
      <c r="H1099" s="1">
        <v>2.62</v>
      </c>
      <c r="I1099" s="1" t="s">
        <v>691</v>
      </c>
      <c r="J1099" s="1" t="s">
        <v>1020</v>
      </c>
    </row>
    <row r="1100" spans="1:10">
      <c r="A1100" s="1" t="s">
        <v>419</v>
      </c>
      <c r="B1100" s="1" t="s">
        <v>345</v>
      </c>
      <c r="C1100" s="1" t="s">
        <v>346</v>
      </c>
      <c r="D1100" s="1" t="s">
        <v>523</v>
      </c>
      <c r="E1100" s="1" t="s">
        <v>1567</v>
      </c>
      <c r="F1100" s="1">
        <v>0.02</v>
      </c>
      <c r="G1100" s="1">
        <v>1.25E-3</v>
      </c>
      <c r="H1100" s="1">
        <v>2.62</v>
      </c>
      <c r="I1100" s="1" t="s">
        <v>691</v>
      </c>
      <c r="J1100" s="1" t="s">
        <v>1020</v>
      </c>
    </row>
    <row r="1101" spans="1:10">
      <c r="A1101" s="1" t="s">
        <v>420</v>
      </c>
      <c r="B1101" s="1" t="s">
        <v>345</v>
      </c>
      <c r="C1101" s="1" t="s">
        <v>346</v>
      </c>
      <c r="D1101" s="1" t="s">
        <v>523</v>
      </c>
      <c r="E1101" s="1" t="s">
        <v>1568</v>
      </c>
      <c r="F1101" s="1">
        <v>0.02</v>
      </c>
      <c r="G1101" s="1">
        <v>1.25E-3</v>
      </c>
      <c r="H1101" s="1">
        <v>2.62</v>
      </c>
      <c r="I1101" s="1" t="s">
        <v>1428</v>
      </c>
      <c r="J1101" s="1" t="s">
        <v>1437</v>
      </c>
    </row>
    <row r="1102" spans="1:10">
      <c r="A1102" s="1" t="s">
        <v>421</v>
      </c>
      <c r="B1102" s="1" t="s">
        <v>345</v>
      </c>
      <c r="C1102" s="1" t="s">
        <v>346</v>
      </c>
      <c r="D1102" s="1" t="s">
        <v>523</v>
      </c>
      <c r="E1102" s="1" t="s">
        <v>1569</v>
      </c>
      <c r="F1102" s="1">
        <v>0.02</v>
      </c>
      <c r="G1102" s="1">
        <v>1.25E-3</v>
      </c>
      <c r="H1102" s="1">
        <v>2.62</v>
      </c>
      <c r="I1102" s="1" t="s">
        <v>1428</v>
      </c>
      <c r="J1102" s="1" t="s">
        <v>1437</v>
      </c>
    </row>
    <row r="1103" spans="1:10">
      <c r="A1103" s="1" t="s">
        <v>422</v>
      </c>
      <c r="B1103" s="1" t="s">
        <v>423</v>
      </c>
      <c r="C1103" s="1" t="s">
        <v>424</v>
      </c>
      <c r="D1103" s="1" t="s">
        <v>42</v>
      </c>
      <c r="E1103" s="1" t="s">
        <v>2160</v>
      </c>
      <c r="F1103" s="1">
        <v>0.03</v>
      </c>
      <c r="G1103" s="1">
        <v>0</v>
      </c>
      <c r="H1103" s="1">
        <v>2.08</v>
      </c>
      <c r="I1103" s="1" t="s">
        <v>1842</v>
      </c>
      <c r="J1103" s="1" t="s">
        <v>172</v>
      </c>
    </row>
    <row r="1104" spans="1:10">
      <c r="A1104" s="1" t="s">
        <v>425</v>
      </c>
      <c r="B1104" s="1" t="s">
        <v>423</v>
      </c>
      <c r="C1104" s="1" t="s">
        <v>424</v>
      </c>
      <c r="D1104" s="1" t="s">
        <v>42</v>
      </c>
      <c r="E1104" s="1" t="s">
        <v>2162</v>
      </c>
      <c r="F1104" s="1">
        <v>0.02</v>
      </c>
      <c r="G1104" s="1">
        <v>0</v>
      </c>
      <c r="H1104" s="1">
        <v>2.08</v>
      </c>
      <c r="I1104" s="1" t="s">
        <v>1842</v>
      </c>
      <c r="J1104" s="1" t="s">
        <v>174</v>
      </c>
    </row>
    <row r="1105" spans="1:10">
      <c r="A1105" s="1" t="s">
        <v>426</v>
      </c>
      <c r="B1105" s="1" t="s">
        <v>423</v>
      </c>
      <c r="C1105" s="1" t="s">
        <v>424</v>
      </c>
      <c r="D1105" s="1" t="s">
        <v>42</v>
      </c>
      <c r="E1105" s="1" t="s">
        <v>2163</v>
      </c>
      <c r="F1105" s="1">
        <v>0.01</v>
      </c>
      <c r="G1105" s="1">
        <v>0</v>
      </c>
      <c r="H1105" s="1">
        <v>2.08</v>
      </c>
      <c r="I1105" s="1" t="s">
        <v>1842</v>
      </c>
      <c r="J1105" s="1" t="s">
        <v>176</v>
      </c>
    </row>
    <row r="1106" spans="1:10">
      <c r="A1106" s="1" t="s">
        <v>427</v>
      </c>
      <c r="B1106" s="1" t="s">
        <v>423</v>
      </c>
      <c r="C1106" s="1" t="s">
        <v>424</v>
      </c>
      <c r="D1106" s="1" t="s">
        <v>1710</v>
      </c>
      <c r="E1106" s="1" t="s">
        <v>2164</v>
      </c>
      <c r="F1106" s="1">
        <v>2.5000000000000001E-2</v>
      </c>
      <c r="G1106" s="1">
        <v>0</v>
      </c>
      <c r="H1106" s="1">
        <v>2.08</v>
      </c>
      <c r="I1106" s="1" t="s">
        <v>1842</v>
      </c>
      <c r="J1106" s="1" t="s">
        <v>178</v>
      </c>
    </row>
    <row r="1107" spans="1:10">
      <c r="A1107" s="1" t="s">
        <v>428</v>
      </c>
      <c r="B1107" s="1" t="s">
        <v>423</v>
      </c>
      <c r="C1107" s="1" t="s">
        <v>424</v>
      </c>
      <c r="D1107" s="1" t="s">
        <v>1710</v>
      </c>
      <c r="E1107" s="1" t="s">
        <v>1570</v>
      </c>
      <c r="F1107" s="1">
        <v>2.5000000000000001E-2</v>
      </c>
    </row>
    <row r="1108" spans="1:10">
      <c r="A1108" s="1" t="s">
        <v>429</v>
      </c>
      <c r="B1108" s="1" t="s">
        <v>423</v>
      </c>
      <c r="C1108" s="1" t="s">
        <v>424</v>
      </c>
      <c r="D1108" s="1" t="s">
        <v>1710</v>
      </c>
      <c r="E1108" s="1" t="s">
        <v>2165</v>
      </c>
      <c r="F1108" s="1">
        <v>1.2500000000000001E-2</v>
      </c>
      <c r="G1108" s="1">
        <v>0</v>
      </c>
      <c r="H1108" s="1">
        <v>2.08</v>
      </c>
      <c r="I1108" s="1" t="s">
        <v>1842</v>
      </c>
      <c r="J1108" s="1" t="s">
        <v>180</v>
      </c>
    </row>
    <row r="1109" spans="1:10">
      <c r="A1109" s="1" t="s">
        <v>430</v>
      </c>
      <c r="B1109" s="1" t="s">
        <v>423</v>
      </c>
      <c r="C1109" s="1" t="s">
        <v>424</v>
      </c>
      <c r="D1109" s="1" t="s">
        <v>1710</v>
      </c>
      <c r="E1109" s="1" t="s">
        <v>1571</v>
      </c>
      <c r="F1109" s="1">
        <v>1.2999999999999999E-2</v>
      </c>
      <c r="J1109" s="1" t="s">
        <v>431</v>
      </c>
    </row>
    <row r="1110" spans="1:10">
      <c r="A1110" s="1" t="s">
        <v>432</v>
      </c>
      <c r="B1110" s="1" t="s">
        <v>423</v>
      </c>
      <c r="C1110" s="1" t="s">
        <v>424</v>
      </c>
      <c r="D1110" s="1" t="s">
        <v>1710</v>
      </c>
      <c r="E1110" s="1" t="s">
        <v>2166</v>
      </c>
      <c r="F1110" s="1">
        <v>1.2500000000000001E-2</v>
      </c>
      <c r="G1110" s="1">
        <v>0</v>
      </c>
      <c r="H1110" s="1">
        <v>2.08</v>
      </c>
      <c r="I1110" s="1" t="s">
        <v>1842</v>
      </c>
      <c r="J1110" s="1" t="s">
        <v>186</v>
      </c>
    </row>
    <row r="1111" spans="1:10">
      <c r="A1111" s="1" t="s">
        <v>433</v>
      </c>
      <c r="B1111" s="1" t="s">
        <v>423</v>
      </c>
      <c r="C1111" s="1" t="s">
        <v>424</v>
      </c>
      <c r="D1111" s="1" t="s">
        <v>1710</v>
      </c>
      <c r="E1111" s="1" t="s">
        <v>2167</v>
      </c>
      <c r="F1111" s="1">
        <v>1.2500000000000001E-2</v>
      </c>
      <c r="G1111" s="1">
        <v>0</v>
      </c>
      <c r="H1111" s="1">
        <v>2.08</v>
      </c>
      <c r="I1111" s="1" t="s">
        <v>1842</v>
      </c>
      <c r="J1111" s="1" t="s">
        <v>188</v>
      </c>
    </row>
    <row r="1112" spans="1:10">
      <c r="A1112" s="1" t="s">
        <v>434</v>
      </c>
      <c r="B1112" s="1" t="s">
        <v>423</v>
      </c>
      <c r="C1112" s="1" t="s">
        <v>424</v>
      </c>
      <c r="D1112" s="1" t="s">
        <v>1710</v>
      </c>
      <c r="E1112" s="1" t="s">
        <v>2168</v>
      </c>
      <c r="F1112" s="1">
        <v>6.2500000000000003E-3</v>
      </c>
      <c r="G1112" s="1">
        <v>0</v>
      </c>
      <c r="H1112" s="1">
        <v>2.08</v>
      </c>
      <c r="I1112" s="1" t="s">
        <v>1842</v>
      </c>
      <c r="J1112" s="1" t="s">
        <v>190</v>
      </c>
    </row>
    <row r="1113" spans="1:10">
      <c r="A1113" s="1" t="s">
        <v>435</v>
      </c>
      <c r="B1113" s="1" t="s">
        <v>423</v>
      </c>
      <c r="C1113" s="1" t="s">
        <v>424</v>
      </c>
      <c r="D1113" s="1" t="s">
        <v>1710</v>
      </c>
      <c r="E1113" s="1" t="s">
        <v>2169</v>
      </c>
      <c r="F1113" s="1">
        <v>6.2500000000000003E-3</v>
      </c>
      <c r="G1113" s="1">
        <v>0</v>
      </c>
      <c r="H1113" s="1">
        <v>2.08</v>
      </c>
      <c r="I1113" s="1" t="s">
        <v>1842</v>
      </c>
      <c r="J1113" s="1" t="s">
        <v>192</v>
      </c>
    </row>
    <row r="1114" spans="1:10">
      <c r="A1114" s="1" t="s">
        <v>436</v>
      </c>
      <c r="B1114" s="1" t="s">
        <v>423</v>
      </c>
      <c r="C1114" s="1" t="s">
        <v>424</v>
      </c>
      <c r="D1114" s="1" t="s">
        <v>523</v>
      </c>
      <c r="E1114" s="1" t="s">
        <v>1572</v>
      </c>
      <c r="F1114" s="1">
        <v>2.5000000000000001E-2</v>
      </c>
      <c r="G1114" s="1">
        <v>0</v>
      </c>
    </row>
    <row r="1115" spans="1:10">
      <c r="A1115" s="1" t="s">
        <v>437</v>
      </c>
      <c r="B1115" s="1" t="s">
        <v>423</v>
      </c>
      <c r="C1115" s="1" t="s">
        <v>424</v>
      </c>
      <c r="D1115" s="1" t="s">
        <v>523</v>
      </c>
      <c r="E1115" s="1" t="s">
        <v>1573</v>
      </c>
      <c r="F1115" s="1">
        <v>1.2500000000000001E-2</v>
      </c>
      <c r="G1115" s="1">
        <v>0</v>
      </c>
      <c r="J1115" s="1" t="s">
        <v>692</v>
      </c>
    </row>
    <row r="1116" spans="1:10">
      <c r="A1116" s="1" t="s">
        <v>438</v>
      </c>
      <c r="B1116" s="1" t="s">
        <v>423</v>
      </c>
      <c r="C1116" s="1" t="s">
        <v>424</v>
      </c>
      <c r="D1116" s="1" t="s">
        <v>523</v>
      </c>
      <c r="E1116" s="1" t="s">
        <v>1574</v>
      </c>
      <c r="F1116" s="1">
        <v>1.2500000000000001E-2</v>
      </c>
      <c r="G1116" s="1">
        <v>0</v>
      </c>
      <c r="J1116" s="1" t="s">
        <v>519</v>
      </c>
    </row>
    <row r="1117" spans="1:10">
      <c r="A1117" s="1" t="s">
        <v>439</v>
      </c>
      <c r="B1117" s="1" t="s">
        <v>423</v>
      </c>
      <c r="C1117" s="1" t="s">
        <v>424</v>
      </c>
      <c r="D1117" s="1" t="s">
        <v>523</v>
      </c>
      <c r="E1117" s="1" t="s">
        <v>1575</v>
      </c>
      <c r="F1117" s="1">
        <v>1.2500000000000001E-2</v>
      </c>
      <c r="G1117" s="1">
        <v>0</v>
      </c>
      <c r="J1117" s="1" t="s">
        <v>1139</v>
      </c>
    </row>
    <row r="1118" spans="1:10">
      <c r="A1118" s="1" t="s">
        <v>440</v>
      </c>
      <c r="B1118" s="1" t="s">
        <v>423</v>
      </c>
      <c r="C1118" s="1" t="s">
        <v>424</v>
      </c>
      <c r="D1118" s="1" t="s">
        <v>523</v>
      </c>
      <c r="E1118" s="1" t="s">
        <v>1576</v>
      </c>
      <c r="F1118" s="1">
        <v>6.2500000000000003E-3</v>
      </c>
      <c r="G1118" s="1">
        <v>0</v>
      </c>
      <c r="J1118" s="1" t="s">
        <v>520</v>
      </c>
    </row>
    <row r="1119" spans="1:10">
      <c r="A1119" s="1" t="s">
        <v>441</v>
      </c>
      <c r="B1119" s="1" t="s">
        <v>423</v>
      </c>
      <c r="C1119" s="1" t="s">
        <v>424</v>
      </c>
      <c r="D1119" s="1" t="s">
        <v>523</v>
      </c>
      <c r="E1119" s="1" t="s">
        <v>1577</v>
      </c>
      <c r="F1119" s="1">
        <v>6.2500000000000003E-3</v>
      </c>
      <c r="G1119" s="1">
        <v>0</v>
      </c>
      <c r="J1119" s="1" t="s">
        <v>759</v>
      </c>
    </row>
    <row r="1120" spans="1:10">
      <c r="A1120" s="1" t="s">
        <v>442</v>
      </c>
      <c r="B1120" s="1" t="s">
        <v>443</v>
      </c>
      <c r="C1120" s="1" t="s">
        <v>444</v>
      </c>
      <c r="D1120" s="1" t="s">
        <v>1709</v>
      </c>
      <c r="E1120" s="1" t="s">
        <v>2160</v>
      </c>
      <c r="F1120" s="1">
        <v>0.105</v>
      </c>
      <c r="G1120" s="1">
        <v>0</v>
      </c>
      <c r="H1120" s="1">
        <v>1.45</v>
      </c>
      <c r="I1120" s="1" t="s">
        <v>1321</v>
      </c>
      <c r="J1120" s="1" t="s">
        <v>1322</v>
      </c>
    </row>
    <row r="1121" spans="1:10">
      <c r="A1121" s="1" t="s">
        <v>445</v>
      </c>
      <c r="B1121" s="1" t="s">
        <v>443</v>
      </c>
      <c r="C1121" s="1" t="s">
        <v>444</v>
      </c>
      <c r="D1121" s="1" t="s">
        <v>1709</v>
      </c>
      <c r="E1121" s="1" t="s">
        <v>2162</v>
      </c>
      <c r="F1121" s="1">
        <v>7.0000000000000007E-2</v>
      </c>
      <c r="G1121" s="1">
        <v>0</v>
      </c>
      <c r="H1121" s="1">
        <v>1.45</v>
      </c>
      <c r="I1121" s="1" t="s">
        <v>1321</v>
      </c>
      <c r="J1121" s="1" t="s">
        <v>1324</v>
      </c>
    </row>
    <row r="1122" spans="1:10">
      <c r="A1122" s="1" t="s">
        <v>446</v>
      </c>
      <c r="B1122" s="1" t="s">
        <v>443</v>
      </c>
      <c r="C1122" s="1" t="s">
        <v>444</v>
      </c>
      <c r="D1122" s="1" t="s">
        <v>1709</v>
      </c>
      <c r="E1122" s="1" t="s">
        <v>2163</v>
      </c>
      <c r="F1122" s="1">
        <v>3.5000000000000003E-2</v>
      </c>
      <c r="G1122" s="1">
        <v>0</v>
      </c>
      <c r="H1122" s="1">
        <v>1.45</v>
      </c>
      <c r="I1122" s="1" t="s">
        <v>1321</v>
      </c>
      <c r="J1122" s="1" t="s">
        <v>1326</v>
      </c>
    </row>
    <row r="1123" spans="1:10">
      <c r="A1123" s="1" t="s">
        <v>447</v>
      </c>
      <c r="B1123" s="1" t="s">
        <v>443</v>
      </c>
      <c r="C1123" s="1" t="s">
        <v>444</v>
      </c>
      <c r="D1123" s="1" t="s">
        <v>1710</v>
      </c>
      <c r="E1123" s="1" t="s">
        <v>2171</v>
      </c>
      <c r="F1123" s="1">
        <v>7.0000000000000007E-2</v>
      </c>
      <c r="G1123" s="1">
        <v>0</v>
      </c>
      <c r="H1123" s="1">
        <v>1.45</v>
      </c>
      <c r="I1123" s="1" t="s">
        <v>1321</v>
      </c>
      <c r="J1123" s="1" t="s">
        <v>1328</v>
      </c>
    </row>
    <row r="1124" spans="1:10">
      <c r="A1124" s="1" t="s">
        <v>448</v>
      </c>
      <c r="B1124" s="1" t="s">
        <v>443</v>
      </c>
      <c r="C1124" s="1" t="s">
        <v>444</v>
      </c>
      <c r="D1124" s="1" t="s">
        <v>1710</v>
      </c>
      <c r="E1124" s="1" t="s">
        <v>2172</v>
      </c>
      <c r="F1124" s="1">
        <v>3.5000000000000003E-2</v>
      </c>
      <c r="G1124" s="1">
        <v>0</v>
      </c>
      <c r="H1124" s="1">
        <v>1.45</v>
      </c>
      <c r="I1124" s="1" t="s">
        <v>1321</v>
      </c>
      <c r="J1124" s="1" t="s">
        <v>1330</v>
      </c>
    </row>
    <row r="1125" spans="1:10">
      <c r="A1125" s="1" t="s">
        <v>449</v>
      </c>
      <c r="B1125" s="1" t="s">
        <v>443</v>
      </c>
      <c r="C1125" s="1" t="s">
        <v>444</v>
      </c>
      <c r="D1125" s="1" t="s">
        <v>1710</v>
      </c>
      <c r="E1125" s="1" t="s">
        <v>2173</v>
      </c>
      <c r="F1125" s="1">
        <v>3.5000000000000003E-2</v>
      </c>
      <c r="G1125" s="1">
        <v>0</v>
      </c>
      <c r="H1125" s="1">
        <v>1.45</v>
      </c>
      <c r="I1125" s="1" t="s">
        <v>1321</v>
      </c>
      <c r="J1125" s="1" t="s">
        <v>1336</v>
      </c>
    </row>
    <row r="1126" spans="1:10">
      <c r="A1126" s="1" t="s">
        <v>450</v>
      </c>
      <c r="B1126" s="1" t="s">
        <v>443</v>
      </c>
      <c r="C1126" s="1" t="s">
        <v>444</v>
      </c>
      <c r="D1126" s="1" t="s">
        <v>1710</v>
      </c>
      <c r="E1126" s="1" t="s">
        <v>2174</v>
      </c>
      <c r="F1126" s="1">
        <v>3.5000000000000003E-2</v>
      </c>
      <c r="G1126" s="1">
        <v>0</v>
      </c>
      <c r="H1126" s="1">
        <v>1.45</v>
      </c>
      <c r="I1126" s="1" t="s">
        <v>1321</v>
      </c>
      <c r="J1126" s="1" t="s">
        <v>1338</v>
      </c>
    </row>
    <row r="1127" spans="1:10">
      <c r="A1127" s="1" t="s">
        <v>451</v>
      </c>
      <c r="B1127" s="1" t="s">
        <v>443</v>
      </c>
      <c r="C1127" s="1" t="s">
        <v>444</v>
      </c>
      <c r="D1127" s="1" t="s">
        <v>1710</v>
      </c>
      <c r="E1127" s="1" t="s">
        <v>2175</v>
      </c>
      <c r="F1127" s="1">
        <v>1.7500000000000002E-2</v>
      </c>
      <c r="G1127" s="1">
        <v>0</v>
      </c>
      <c r="H1127" s="1">
        <v>1.45</v>
      </c>
      <c r="I1127" s="1" t="s">
        <v>1321</v>
      </c>
      <c r="J1127" s="1" t="s">
        <v>1340</v>
      </c>
    </row>
    <row r="1128" spans="1:10">
      <c r="A1128" s="1" t="s">
        <v>452</v>
      </c>
      <c r="B1128" s="1" t="s">
        <v>443</v>
      </c>
      <c r="C1128" s="1" t="s">
        <v>444</v>
      </c>
      <c r="D1128" s="1" t="s">
        <v>1710</v>
      </c>
      <c r="E1128" s="1" t="s">
        <v>2176</v>
      </c>
      <c r="F1128" s="1">
        <v>1.7500000000000002E-2</v>
      </c>
      <c r="G1128" s="1">
        <v>0</v>
      </c>
      <c r="H1128" s="1">
        <v>1.45</v>
      </c>
      <c r="I1128" s="1" t="s">
        <v>1321</v>
      </c>
      <c r="J1128" s="1" t="s">
        <v>1342</v>
      </c>
    </row>
    <row r="1129" spans="1:10">
      <c r="A1129" s="1" t="s">
        <v>453</v>
      </c>
      <c r="B1129" s="1" t="s">
        <v>443</v>
      </c>
      <c r="C1129" s="1" t="s">
        <v>444</v>
      </c>
      <c r="D1129" s="1" t="s">
        <v>523</v>
      </c>
      <c r="E1129" s="1" t="s">
        <v>1578</v>
      </c>
      <c r="F1129" s="1">
        <v>0.04</v>
      </c>
      <c r="G1129" s="1">
        <v>0</v>
      </c>
    </row>
    <row r="1130" spans="1:10">
      <c r="A1130" s="1" t="s">
        <v>454</v>
      </c>
      <c r="B1130" s="1" t="s">
        <v>443</v>
      </c>
      <c r="C1130" s="1" t="s">
        <v>444</v>
      </c>
      <c r="D1130" s="1" t="s">
        <v>523</v>
      </c>
      <c r="E1130" s="1" t="s">
        <v>1579</v>
      </c>
      <c r="F1130" s="1">
        <v>0.02</v>
      </c>
      <c r="G1130" s="1">
        <v>0</v>
      </c>
      <c r="J1130" s="1" t="s">
        <v>692</v>
      </c>
    </row>
    <row r="1131" spans="1:10">
      <c r="A1131" s="1" t="s">
        <v>455</v>
      </c>
      <c r="B1131" s="1" t="s">
        <v>443</v>
      </c>
      <c r="C1131" s="1" t="s">
        <v>444</v>
      </c>
      <c r="D1131" s="1" t="s">
        <v>523</v>
      </c>
      <c r="E1131" s="1" t="s">
        <v>1580</v>
      </c>
      <c r="F1131" s="1">
        <v>0.02</v>
      </c>
      <c r="G1131" s="1">
        <v>0</v>
      </c>
      <c r="J1131" s="1" t="s">
        <v>519</v>
      </c>
    </row>
    <row r="1132" spans="1:10">
      <c r="A1132" s="1" t="s">
        <v>456</v>
      </c>
      <c r="B1132" s="1" t="s">
        <v>443</v>
      </c>
      <c r="C1132" s="1" t="s">
        <v>444</v>
      </c>
      <c r="D1132" s="1" t="s">
        <v>523</v>
      </c>
      <c r="E1132" s="1" t="s">
        <v>1581</v>
      </c>
      <c r="F1132" s="1">
        <v>0.02</v>
      </c>
      <c r="G1132" s="1">
        <v>0</v>
      </c>
      <c r="J1132" s="1" t="s">
        <v>756</v>
      </c>
    </row>
    <row r="1133" spans="1:10">
      <c r="A1133" s="1" t="s">
        <v>457</v>
      </c>
      <c r="B1133" s="1" t="s">
        <v>443</v>
      </c>
      <c r="C1133" s="1" t="s">
        <v>444</v>
      </c>
      <c r="D1133" s="1" t="s">
        <v>523</v>
      </c>
      <c r="E1133" s="1" t="s">
        <v>1582</v>
      </c>
      <c r="F1133" s="1">
        <v>0.01</v>
      </c>
      <c r="G1133" s="1">
        <v>0</v>
      </c>
      <c r="J1133" s="1" t="s">
        <v>520</v>
      </c>
    </row>
    <row r="1134" spans="1:10">
      <c r="A1134" s="1" t="s">
        <v>458</v>
      </c>
      <c r="B1134" s="1" t="s">
        <v>443</v>
      </c>
      <c r="C1134" s="1" t="s">
        <v>444</v>
      </c>
      <c r="D1134" s="1" t="s">
        <v>523</v>
      </c>
      <c r="E1134" s="1" t="s">
        <v>1583</v>
      </c>
      <c r="F1134" s="1">
        <v>0.01</v>
      </c>
      <c r="G1134" s="1">
        <v>0</v>
      </c>
      <c r="J1134" s="1" t="s">
        <v>759</v>
      </c>
    </row>
    <row r="1135" spans="1:10">
      <c r="A1135" s="1" t="s">
        <v>459</v>
      </c>
      <c r="B1135" s="1" t="s">
        <v>271</v>
      </c>
      <c r="C1135" s="1" t="s">
        <v>460</v>
      </c>
      <c r="E1135" s="1" t="s">
        <v>461</v>
      </c>
      <c r="F1135" s="1">
        <v>0</v>
      </c>
      <c r="G1135" s="1">
        <v>0</v>
      </c>
      <c r="H1135" s="1">
        <v>0</v>
      </c>
      <c r="I1135" s="1" t="s">
        <v>462</v>
      </c>
    </row>
    <row r="1136" spans="1:10">
      <c r="A1136" s="1" t="s">
        <v>463</v>
      </c>
      <c r="B1136" s="1" t="s">
        <v>272</v>
      </c>
      <c r="C1136" s="1" t="s">
        <v>464</v>
      </c>
      <c r="E1136" s="1" t="s">
        <v>465</v>
      </c>
      <c r="F1136" s="1">
        <v>0</v>
      </c>
      <c r="G1136" s="1">
        <v>0</v>
      </c>
      <c r="H1136" s="1">
        <v>0</v>
      </c>
      <c r="I1136" s="1" t="s">
        <v>462</v>
      </c>
    </row>
    <row r="1137" spans="1:9">
      <c r="A1137" s="1" t="s">
        <v>466</v>
      </c>
      <c r="B1137" s="1" t="s">
        <v>273</v>
      </c>
      <c r="C1137" s="1" t="s">
        <v>467</v>
      </c>
      <c r="E1137" s="1" t="s">
        <v>468</v>
      </c>
      <c r="F1137" s="1">
        <v>0</v>
      </c>
      <c r="G1137" s="1">
        <v>0</v>
      </c>
      <c r="H1137" s="1">
        <v>0</v>
      </c>
      <c r="I1137" s="1" t="s">
        <v>462</v>
      </c>
    </row>
    <row r="1138" spans="1:9">
      <c r="A1138" s="1" t="s">
        <v>469</v>
      </c>
      <c r="B1138" s="1" t="s">
        <v>274</v>
      </c>
      <c r="C1138" s="1" t="s">
        <v>470</v>
      </c>
      <c r="E1138" s="1" t="s">
        <v>468</v>
      </c>
      <c r="F1138" s="1">
        <v>0</v>
      </c>
      <c r="G1138" s="1">
        <v>0</v>
      </c>
      <c r="H1138" s="1">
        <v>0</v>
      </c>
      <c r="I1138" s="1" t="s">
        <v>462</v>
      </c>
    </row>
    <row r="1139" spans="1:9">
      <c r="A1139" s="1" t="s">
        <v>471</v>
      </c>
      <c r="B1139" s="1" t="s">
        <v>275</v>
      </c>
      <c r="C1139" s="1" t="s">
        <v>472</v>
      </c>
      <c r="E1139" s="1" t="s">
        <v>473</v>
      </c>
      <c r="F1139" s="1">
        <v>0</v>
      </c>
      <c r="G1139" s="1">
        <v>0</v>
      </c>
      <c r="H1139" s="1">
        <v>0</v>
      </c>
      <c r="I1139" s="1" t="s">
        <v>462</v>
      </c>
    </row>
    <row r="1140" spans="1:9">
      <c r="A1140" s="1" t="s">
        <v>475</v>
      </c>
      <c r="B1140" s="1" t="s">
        <v>482</v>
      </c>
      <c r="C1140" s="1" t="s">
        <v>460</v>
      </c>
      <c r="D1140" s="1" t="s">
        <v>1710</v>
      </c>
      <c r="E1140" s="1" t="s">
        <v>483</v>
      </c>
      <c r="F1140" s="1">
        <v>0</v>
      </c>
      <c r="G1140" s="1">
        <v>0</v>
      </c>
      <c r="H1140" s="1">
        <v>0</v>
      </c>
      <c r="I1140" s="1" t="s">
        <v>462</v>
      </c>
    </row>
    <row r="1141" spans="1:9">
      <c r="A1141" s="1" t="s">
        <v>484</v>
      </c>
      <c r="B1141" s="1" t="s">
        <v>482</v>
      </c>
      <c r="C1141" s="1" t="s">
        <v>464</v>
      </c>
      <c r="D1141" s="1" t="s">
        <v>1710</v>
      </c>
      <c r="E1141" s="1" t="s">
        <v>485</v>
      </c>
      <c r="F1141" s="1">
        <v>0</v>
      </c>
      <c r="G1141" s="1">
        <v>0</v>
      </c>
      <c r="H1141" s="1">
        <v>0</v>
      </c>
      <c r="I1141" s="1" t="s">
        <v>462</v>
      </c>
    </row>
    <row r="1142" spans="1:9">
      <c r="A1142" s="1" t="s">
        <v>486</v>
      </c>
      <c r="B1142" s="1" t="s">
        <v>482</v>
      </c>
      <c r="C1142" s="1" t="s">
        <v>467</v>
      </c>
      <c r="D1142" s="1" t="s">
        <v>1710</v>
      </c>
      <c r="E1142" s="1" t="s">
        <v>485</v>
      </c>
      <c r="F1142" s="1">
        <v>0</v>
      </c>
      <c r="G1142" s="1">
        <v>0</v>
      </c>
      <c r="H1142" s="1">
        <v>0</v>
      </c>
      <c r="I1142" s="1" t="s">
        <v>462</v>
      </c>
    </row>
    <row r="1143" spans="1:9">
      <c r="A1143" s="1" t="s">
        <v>487</v>
      </c>
      <c r="B1143" s="1" t="s">
        <v>482</v>
      </c>
      <c r="C1143" s="1" t="s">
        <v>470</v>
      </c>
      <c r="D1143" s="1" t="s">
        <v>1710</v>
      </c>
      <c r="E1143" s="1" t="s">
        <v>485</v>
      </c>
      <c r="F1143" s="1">
        <v>0</v>
      </c>
      <c r="G1143" s="1">
        <v>0</v>
      </c>
      <c r="H1143" s="1">
        <v>0</v>
      </c>
      <c r="I1143" s="1" t="s">
        <v>462</v>
      </c>
    </row>
    <row r="1144" spans="1:9">
      <c r="A1144" s="1" t="s">
        <v>488</v>
      </c>
      <c r="B1144" s="1" t="s">
        <v>482</v>
      </c>
      <c r="C1144" s="1" t="s">
        <v>472</v>
      </c>
      <c r="D1144" s="1" t="s">
        <v>1710</v>
      </c>
      <c r="E1144" s="1" t="s">
        <v>485</v>
      </c>
      <c r="F1144" s="1">
        <v>0</v>
      </c>
      <c r="G1144" s="1">
        <v>0</v>
      </c>
      <c r="H1144" s="1">
        <v>0</v>
      </c>
      <c r="I1144" s="1" t="s">
        <v>462</v>
      </c>
    </row>
    <row r="1145" spans="1:9">
      <c r="A1145" s="1" t="s">
        <v>489</v>
      </c>
      <c r="B1145" s="1" t="s">
        <v>482</v>
      </c>
      <c r="C1145" s="1" t="s">
        <v>464</v>
      </c>
      <c r="D1145" s="1" t="s">
        <v>1710</v>
      </c>
      <c r="E1145" s="1" t="s">
        <v>490</v>
      </c>
      <c r="F1145" s="1">
        <v>0</v>
      </c>
      <c r="G1145" s="1">
        <v>0</v>
      </c>
      <c r="H1145" s="1">
        <v>0</v>
      </c>
      <c r="I1145" s="1" t="s">
        <v>462</v>
      </c>
    </row>
    <row r="1146" spans="1:9">
      <c r="A1146" s="1" t="s">
        <v>491</v>
      </c>
      <c r="B1146" s="1" t="s">
        <v>482</v>
      </c>
      <c r="C1146" s="1" t="s">
        <v>467</v>
      </c>
      <c r="D1146" s="1" t="s">
        <v>1710</v>
      </c>
      <c r="E1146" s="1" t="s">
        <v>490</v>
      </c>
      <c r="F1146" s="1">
        <v>0</v>
      </c>
      <c r="G1146" s="1">
        <v>0</v>
      </c>
      <c r="H1146" s="1">
        <v>0</v>
      </c>
      <c r="I1146" s="1" t="s">
        <v>462</v>
      </c>
    </row>
    <row r="1147" spans="1:9">
      <c r="A1147" s="1" t="s">
        <v>492</v>
      </c>
      <c r="B1147" s="1" t="s">
        <v>482</v>
      </c>
      <c r="C1147" s="1" t="s">
        <v>470</v>
      </c>
      <c r="D1147" s="1" t="s">
        <v>1710</v>
      </c>
      <c r="E1147" s="1" t="s">
        <v>490</v>
      </c>
      <c r="F1147" s="1">
        <v>0</v>
      </c>
      <c r="G1147" s="1">
        <v>0</v>
      </c>
      <c r="H1147" s="1">
        <v>0</v>
      </c>
      <c r="I1147" s="1" t="s">
        <v>462</v>
      </c>
    </row>
    <row r="1148" spans="1:9">
      <c r="A1148" s="1" t="s">
        <v>493</v>
      </c>
      <c r="B1148" s="1" t="s">
        <v>482</v>
      </c>
      <c r="C1148" s="1" t="s">
        <v>472</v>
      </c>
      <c r="D1148" s="1" t="s">
        <v>1710</v>
      </c>
      <c r="E1148" s="1" t="s">
        <v>490</v>
      </c>
      <c r="F1148" s="1">
        <v>0</v>
      </c>
      <c r="G1148" s="1">
        <v>0</v>
      </c>
      <c r="H1148" s="1">
        <v>0</v>
      </c>
      <c r="I1148" s="1" t="s">
        <v>462</v>
      </c>
    </row>
    <row r="1149" spans="1:9">
      <c r="A1149" s="1" t="s">
        <v>494</v>
      </c>
      <c r="B1149" s="1" t="s">
        <v>482</v>
      </c>
      <c r="C1149" s="1" t="s">
        <v>495</v>
      </c>
      <c r="D1149" s="1" t="s">
        <v>1710</v>
      </c>
      <c r="E1149" s="1" t="s">
        <v>496</v>
      </c>
      <c r="F1149" s="1">
        <v>0</v>
      </c>
      <c r="G1149" s="1">
        <v>0</v>
      </c>
      <c r="H1149" s="1">
        <v>0</v>
      </c>
      <c r="I1149" s="1" t="s">
        <v>497</v>
      </c>
    </row>
    <row r="1150" spans="1:9">
      <c r="A1150" s="1" t="s">
        <v>498</v>
      </c>
      <c r="B1150" s="1" t="s">
        <v>482</v>
      </c>
      <c r="C1150" s="1" t="s">
        <v>499</v>
      </c>
      <c r="D1150" s="1" t="s">
        <v>1710</v>
      </c>
      <c r="E1150" s="1" t="s">
        <v>500</v>
      </c>
      <c r="F1150" s="1">
        <v>0</v>
      </c>
      <c r="G1150" s="1">
        <v>0</v>
      </c>
      <c r="H1150" s="1">
        <v>0</v>
      </c>
      <c r="I1150" s="1" t="s">
        <v>497</v>
      </c>
    </row>
    <row r="1151" spans="1:9">
      <c r="A1151" s="1" t="s">
        <v>501</v>
      </c>
      <c r="B1151" s="1" t="s">
        <v>482</v>
      </c>
      <c r="C1151" s="1" t="s">
        <v>502</v>
      </c>
      <c r="D1151" s="1" t="s">
        <v>1710</v>
      </c>
      <c r="E1151" s="1" t="s">
        <v>500</v>
      </c>
      <c r="F1151" s="1">
        <v>0</v>
      </c>
      <c r="G1151" s="1">
        <v>0</v>
      </c>
      <c r="H1151" s="1">
        <v>0</v>
      </c>
      <c r="I1151" s="1" t="s">
        <v>497</v>
      </c>
    </row>
    <row r="1152" spans="1:9">
      <c r="A1152" s="1" t="s">
        <v>503</v>
      </c>
      <c r="B1152" s="1" t="s">
        <v>482</v>
      </c>
      <c r="C1152" s="1" t="s">
        <v>504</v>
      </c>
      <c r="D1152" s="1" t="s">
        <v>1710</v>
      </c>
      <c r="E1152" s="1" t="s">
        <v>500</v>
      </c>
      <c r="F1152" s="1">
        <v>0</v>
      </c>
      <c r="G1152" s="1">
        <v>0</v>
      </c>
      <c r="H1152" s="1">
        <v>0</v>
      </c>
      <c r="I1152" s="1" t="s">
        <v>497</v>
      </c>
    </row>
    <row r="1153" spans="1:9">
      <c r="A1153" s="1" t="s">
        <v>505</v>
      </c>
      <c r="B1153" s="1" t="s">
        <v>482</v>
      </c>
      <c r="C1153" s="1" t="s">
        <v>506</v>
      </c>
      <c r="D1153" s="1" t="s">
        <v>1710</v>
      </c>
      <c r="E1153" s="1" t="s">
        <v>500</v>
      </c>
      <c r="F1153" s="1">
        <v>0</v>
      </c>
      <c r="G1153" s="1">
        <v>0</v>
      </c>
      <c r="H1153" s="1">
        <v>0</v>
      </c>
      <c r="I1153" s="1" t="s">
        <v>497</v>
      </c>
    </row>
    <row r="1154" spans="1:9">
      <c r="A1154" s="1" t="s">
        <v>507</v>
      </c>
      <c r="B1154" s="1" t="s">
        <v>482</v>
      </c>
      <c r="C1154" s="1" t="s">
        <v>499</v>
      </c>
      <c r="D1154" s="1" t="s">
        <v>1710</v>
      </c>
      <c r="E1154" s="1" t="s">
        <v>508</v>
      </c>
      <c r="F1154" s="1">
        <v>0</v>
      </c>
      <c r="G1154" s="1">
        <v>0</v>
      </c>
      <c r="H1154" s="1">
        <v>0</v>
      </c>
      <c r="I1154" s="1" t="s">
        <v>497</v>
      </c>
    </row>
    <row r="1155" spans="1:9">
      <c r="A1155" s="1" t="s">
        <v>509</v>
      </c>
      <c r="B1155" s="1" t="s">
        <v>482</v>
      </c>
      <c r="C1155" s="1" t="s">
        <v>502</v>
      </c>
      <c r="D1155" s="1" t="s">
        <v>1710</v>
      </c>
      <c r="E1155" s="1" t="s">
        <v>508</v>
      </c>
      <c r="F1155" s="1">
        <v>0</v>
      </c>
      <c r="G1155" s="1">
        <v>0</v>
      </c>
      <c r="H1155" s="1">
        <v>0</v>
      </c>
      <c r="I1155" s="1" t="s">
        <v>497</v>
      </c>
    </row>
    <row r="1156" spans="1:9">
      <c r="A1156" s="1" t="s">
        <v>510</v>
      </c>
      <c r="B1156" s="1" t="s">
        <v>482</v>
      </c>
      <c r="C1156" s="1" t="s">
        <v>504</v>
      </c>
      <c r="D1156" s="1" t="s">
        <v>1710</v>
      </c>
      <c r="E1156" s="1" t="s">
        <v>508</v>
      </c>
      <c r="F1156" s="1">
        <v>0</v>
      </c>
      <c r="G1156" s="1">
        <v>0</v>
      </c>
      <c r="H1156" s="1">
        <v>0</v>
      </c>
      <c r="I1156" s="1" t="s">
        <v>497</v>
      </c>
    </row>
    <row r="1157" spans="1:9">
      <c r="A1157" s="1" t="s">
        <v>511</v>
      </c>
      <c r="B1157" s="1" t="s">
        <v>482</v>
      </c>
      <c r="C1157" s="1" t="s">
        <v>506</v>
      </c>
      <c r="D1157" s="1" t="s">
        <v>1710</v>
      </c>
      <c r="E1157" s="1" t="s">
        <v>508</v>
      </c>
      <c r="F1157" s="1">
        <v>0</v>
      </c>
      <c r="G1157" s="1">
        <v>0</v>
      </c>
      <c r="H1157" s="1">
        <v>0</v>
      </c>
      <c r="I1157" s="1" t="s">
        <v>497</v>
      </c>
    </row>
  </sheetData>
  <sheetProtection algorithmName="SHA-512" hashValue="aP5LjgEMNC8VRxGZ3mkrBEPKWyeeBvuG3YsCd3iuzh2ZG7Y5zDt48wQy+aq5bgiH3Kv2RkyjCVy1ZOo6ZNHJYQ==" saltValue="nyUwvslnwbqOHyUNx1gpcg==" spinCount="100000" sheet="1" objects="1" scenarios="1"/>
  <mergeCells count="59">
    <mergeCell ref="U77:V78"/>
    <mergeCell ref="AB106:AD106"/>
    <mergeCell ref="U79:V80"/>
    <mergeCell ref="U50:V51"/>
    <mergeCell ref="AB105:AD105"/>
    <mergeCell ref="W80:X80"/>
    <mergeCell ref="U105:V106"/>
    <mergeCell ref="W76:X76"/>
    <mergeCell ref="U53:V54"/>
    <mergeCell ref="W53:X53"/>
    <mergeCell ref="W77:X77"/>
    <mergeCell ref="U104:AD104"/>
    <mergeCell ref="W54:X54"/>
    <mergeCell ref="U55:V76"/>
    <mergeCell ref="W79:X79"/>
    <mergeCell ref="W50:X50"/>
    <mergeCell ref="T3:U3"/>
    <mergeCell ref="AA3:AB3"/>
    <mergeCell ref="T4:T34"/>
    <mergeCell ref="AA4:AA35"/>
    <mergeCell ref="T2:Y2"/>
    <mergeCell ref="AA2:AG2"/>
    <mergeCell ref="T35:U43"/>
    <mergeCell ref="AA36:AB44"/>
    <mergeCell ref="W109:AA109"/>
    <mergeCell ref="W108:AA108"/>
    <mergeCell ref="AB108:AD108"/>
    <mergeCell ref="W105:AA105"/>
    <mergeCell ref="AJ2:AQ2"/>
    <mergeCell ref="W51:X51"/>
    <mergeCell ref="U52:X52"/>
    <mergeCell ref="W55:X55"/>
    <mergeCell ref="W78:X78"/>
    <mergeCell ref="W106:AA106"/>
    <mergeCell ref="U107:V107"/>
    <mergeCell ref="W107:AA107"/>
    <mergeCell ref="U108:V108"/>
    <mergeCell ref="AB107:AD107"/>
    <mergeCell ref="AB109:AD109"/>
    <mergeCell ref="U109:V109"/>
    <mergeCell ref="AB110:AD110"/>
    <mergeCell ref="V116:W116"/>
    <mergeCell ref="U110:V110"/>
    <mergeCell ref="V114:W114"/>
    <mergeCell ref="T113:X113"/>
    <mergeCell ref="W110:AA110"/>
    <mergeCell ref="V115:W115"/>
    <mergeCell ref="T114:U114"/>
    <mergeCell ref="T115:U115"/>
    <mergeCell ref="V120:W120"/>
    <mergeCell ref="AI799:AI800"/>
    <mergeCell ref="T120:U120"/>
    <mergeCell ref="T116:U116"/>
    <mergeCell ref="T119:U119"/>
    <mergeCell ref="V119:W119"/>
    <mergeCell ref="T118:U118"/>
    <mergeCell ref="V118:W118"/>
    <mergeCell ref="T117:U117"/>
    <mergeCell ref="V117:W117"/>
  </mergeCells>
  <phoneticPr fontId="3"/>
  <printOptions headings="1"/>
  <pageMargins left="0.78700000000000003" right="0.78700000000000003" top="0.62" bottom="0.98399999999999999" header="0.51200000000000001" footer="0.51200000000000001"/>
  <headerFooter alignWithMargins="0">
    <oddHeader>&amp;L&amp;A&amp;R&amp;"Century,標準"&amp;P/&amp;N</oddHeader>
    <oddFooter>&amp;L&amp;D</oddFooter>
  </headerFooter>
  <rowBreaks count="1" manualBreakCount="1">
    <brk id="241" max="16383" man="1"/>
  </rowBreaks>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61"/>
  <sheetViews>
    <sheetView showGridLines="0" zoomScaleNormal="100" zoomScaleSheetLayoutView="145" workbookViewId="0">
      <selection activeCell="B8" sqref="B8"/>
    </sheetView>
  </sheetViews>
  <sheetFormatPr defaultRowHeight="13.5"/>
  <cols>
    <col min="1" max="1" width="3.875" customWidth="1"/>
    <col min="10" max="10" width="13.5" customWidth="1"/>
  </cols>
  <sheetData>
    <row r="1" spans="1:2" ht="14.25">
      <c r="A1" s="539" t="s">
        <v>2385</v>
      </c>
    </row>
    <row r="3" spans="1:2">
      <c r="B3" t="s">
        <v>2386</v>
      </c>
    </row>
    <row r="4" spans="1:2">
      <c r="B4" t="s">
        <v>2398</v>
      </c>
    </row>
    <row r="5" spans="1:2">
      <c r="B5" t="s">
        <v>2399</v>
      </c>
    </row>
    <row r="7" spans="1:2">
      <c r="A7" s="640" t="s">
        <v>2387</v>
      </c>
      <c r="B7" t="s">
        <v>2388</v>
      </c>
    </row>
    <row r="8" spans="1:2">
      <c r="B8" t="s">
        <v>2389</v>
      </c>
    </row>
    <row r="19" spans="1:2">
      <c r="A19" s="640" t="s">
        <v>2390</v>
      </c>
      <c r="B19" t="s">
        <v>2738</v>
      </c>
    </row>
    <row r="20" spans="1:2">
      <c r="B20" t="s">
        <v>2391</v>
      </c>
    </row>
    <row r="32" spans="1:2">
      <c r="A32" s="640" t="s">
        <v>2392</v>
      </c>
      <c r="B32" t="s">
        <v>2400</v>
      </c>
    </row>
    <row r="46" spans="1:2">
      <c r="A46" s="640" t="s">
        <v>2396</v>
      </c>
      <c r="B46" t="s">
        <v>2393</v>
      </c>
    </row>
    <row r="47" spans="1:2">
      <c r="B47" t="s">
        <v>2394</v>
      </c>
    </row>
    <row r="61" spans="1:2">
      <c r="A61" s="640" t="s">
        <v>2397</v>
      </c>
      <c r="B61" t="s">
        <v>2395</v>
      </c>
    </row>
  </sheetData>
  <sheetProtection algorithmName="SHA-512" hashValue="jYktPlnR3TQfBGccwjzBiCemu7KLn9N0pQd3nZPj0fUz5v/FQsWZ8ZFzNtXvANWNVG448CUkH6fsvUJtcSy/tQ==" saltValue="eaDEYkZmnxmg7RxmHyMqsQ==" spinCount="100000" sheet="1" objects="1" scenarios="1"/>
  <phoneticPr fontId="2"/>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99FF"/>
    <pageSetUpPr fitToPage="1"/>
  </sheetPr>
  <dimension ref="A1:AV60"/>
  <sheetViews>
    <sheetView tabSelected="1" zoomScaleNormal="100" workbookViewId="0">
      <pane ySplit="17" topLeftCell="A39" activePane="bottomLeft" state="frozen"/>
      <selection activeCell="A15" sqref="A15"/>
      <selection pane="bottomLeft" activeCell="AH37" sqref="AH37"/>
    </sheetView>
  </sheetViews>
  <sheetFormatPr defaultColWidth="9" defaultRowHeight="12.75"/>
  <cols>
    <col min="1" max="26" width="3.5" style="15" customWidth="1"/>
    <col min="27" max="27" width="2.125" style="15" customWidth="1"/>
    <col min="28" max="28" width="23.5" style="15" customWidth="1"/>
    <col min="29" max="29" width="9" style="15"/>
    <col min="30" max="30" width="3.625" style="15" customWidth="1"/>
    <col min="31" max="36" width="9" style="15"/>
    <col min="37" max="37" width="32.875" style="15" customWidth="1"/>
    <col min="38" max="38" width="3.5" style="15" customWidth="1"/>
    <col min="39" max="39" width="21" style="15" customWidth="1"/>
    <col min="40" max="40" width="10.875" style="15" customWidth="1"/>
    <col min="41" max="41" width="6" style="15" customWidth="1"/>
    <col min="42" max="42" width="14.5" style="15" customWidth="1"/>
    <col min="43" max="43" width="9.375" style="15" customWidth="1"/>
    <col min="44" max="44" width="4.5" style="15" customWidth="1"/>
    <col min="45" max="45" width="9.375" style="15" bestFit="1" customWidth="1"/>
    <col min="46" max="46" width="13.625" style="15" customWidth="1"/>
    <col min="47" max="16384" width="9" style="15"/>
  </cols>
  <sheetData>
    <row r="1" spans="1:48" ht="13.5" hidden="1">
      <c r="AK1" s="904" t="s">
        <v>2313</v>
      </c>
      <c r="AL1" s="905"/>
      <c r="AM1" s="357" t="s">
        <v>2323</v>
      </c>
      <c r="AN1" s="903" t="s">
        <v>2312</v>
      </c>
      <c r="AO1" s="903"/>
      <c r="AP1" s="360" t="s">
        <v>2319</v>
      </c>
      <c r="AQ1" s="904" t="s">
        <v>2320</v>
      </c>
      <c r="AR1" s="906"/>
      <c r="AS1" s="905"/>
      <c r="AT1" s="45" t="s">
        <v>2335</v>
      </c>
      <c r="AU1"/>
      <c r="AV1"/>
    </row>
    <row r="2" spans="1:48" ht="13.5" hidden="1">
      <c r="AK2" s="349" t="s">
        <v>2307</v>
      </c>
      <c r="AL2" s="349">
        <v>0</v>
      </c>
      <c r="AM2" s="358" t="str">
        <f>IF(AND(J17&lt;&gt;"26以前",M17="-"),"←日付を確認して下さい。","")</f>
        <v/>
      </c>
      <c r="AN2" s="350"/>
      <c r="AO2" s="351"/>
      <c r="AP2" s="351"/>
      <c r="AQ2" s="350"/>
      <c r="AR2" s="354"/>
      <c r="AS2" s="351"/>
      <c r="AT2" s="8"/>
      <c r="AU2"/>
      <c r="AV2"/>
    </row>
    <row r="3" spans="1:48" ht="13.5" hidden="1">
      <c r="AK3" s="352" t="s">
        <v>2305</v>
      </c>
      <c r="AL3" s="349">
        <v>1</v>
      </c>
      <c r="AM3" s="358" t="str">
        <f>IF(OR($AK$12="月が未入力",$AK12&lt;DATE(2015,4,1)),"←日付を確認して下さい。","")</f>
        <v>←日付を確認して下さい。</v>
      </c>
      <c r="AN3" s="669">
        <f>IF(J17="2019以前",0,DATE((J17),(M17+1),0))</f>
        <v>0</v>
      </c>
      <c r="AO3" s="351" t="s">
        <v>2318</v>
      </c>
      <c r="AP3" s="363"/>
      <c r="AQ3" s="669">
        <f>AN3</f>
        <v>0</v>
      </c>
      <c r="AR3" s="799" t="s">
        <v>4519</v>
      </c>
      <c r="AS3" s="672">
        <f>AN3</f>
        <v>0</v>
      </c>
      <c r="AT3" s="8"/>
      <c r="AU3"/>
      <c r="AV3"/>
    </row>
    <row r="4" spans="1:48" ht="13.5" hidden="1">
      <c r="AK4" s="352" t="s">
        <v>2306</v>
      </c>
      <c r="AL4" s="349">
        <v>2</v>
      </c>
      <c r="AM4" s="358" t="str">
        <f>IF(OR($AK$12="月が未入力",$AK$12&gt;DATE(2015,3,31)),"←日付を確認して下さい。","")</f>
        <v/>
      </c>
      <c r="AN4" s="669">
        <v>44286</v>
      </c>
      <c r="AO4" s="351" t="s">
        <v>2318</v>
      </c>
      <c r="AP4" s="364"/>
      <c r="AQ4" s="669">
        <v>43922</v>
      </c>
      <c r="AR4" s="355" t="s">
        <v>4519</v>
      </c>
      <c r="AS4" s="672">
        <v>44286</v>
      </c>
      <c r="AT4" s="8"/>
      <c r="AU4"/>
      <c r="AV4"/>
    </row>
    <row r="5" spans="1:48" ht="13.5" hidden="1">
      <c r="AK5" s="352" t="s">
        <v>4521</v>
      </c>
      <c r="AL5" s="349">
        <v>3</v>
      </c>
      <c r="AM5" s="362" t="str">
        <f>IF(OR($AK$12="月が未入力",$AK$12&gt;DATE(2016,3,31)),"←日付を確認して下さい。","")</f>
        <v/>
      </c>
      <c r="AN5" s="669">
        <v>44286</v>
      </c>
      <c r="AO5" s="351" t="s">
        <v>2318</v>
      </c>
      <c r="AP5" s="365" t="str">
        <f t="shared" ref="AP5:AP10" si="0">IF(AND((AN5-$AN$3)&lt;340,(AN5-$AN$3)&gt;0),"YES","NO")</f>
        <v>NO</v>
      </c>
      <c r="AQ5" s="669">
        <f>IF(AP5="NO",AN5-364,$AN$3+1)</f>
        <v>43922</v>
      </c>
      <c r="AR5" s="355" t="s">
        <v>4520</v>
      </c>
      <c r="AS5" s="672">
        <v>44286</v>
      </c>
      <c r="AT5" s="8">
        <v>2020</v>
      </c>
      <c r="AU5"/>
      <c r="AV5"/>
    </row>
    <row r="6" spans="1:48" ht="13.5" hidden="1">
      <c r="AK6" s="352" t="s">
        <v>2851</v>
      </c>
      <c r="AL6" s="349">
        <v>4</v>
      </c>
      <c r="AM6" s="362" t="str">
        <f>IF(OR($AK$12="月が未入力",$AK$12&gt;DATE(2017,3,31)),"←日付を確認して下さい。","")</f>
        <v/>
      </c>
      <c r="AN6" s="669">
        <v>44651</v>
      </c>
      <c r="AO6" s="351" t="s">
        <v>2318</v>
      </c>
      <c r="AP6" s="365" t="str">
        <f t="shared" si="0"/>
        <v>NO</v>
      </c>
      <c r="AQ6" s="669">
        <f>IF(AP6="NO",AN6-364,$AN$3+1)</f>
        <v>44287</v>
      </c>
      <c r="AR6" s="355" t="s">
        <v>2317</v>
      </c>
      <c r="AS6" s="672">
        <v>44651</v>
      </c>
      <c r="AT6" s="8">
        <v>2021</v>
      </c>
      <c r="AU6"/>
      <c r="AV6"/>
    </row>
    <row r="7" spans="1:48" ht="13.5" hidden="1">
      <c r="AK7" s="352" t="s">
        <v>2852</v>
      </c>
      <c r="AL7" s="349">
        <v>5</v>
      </c>
      <c r="AM7" s="362" t="str">
        <f>IF(OR($AK$12="月が未入力",$AK$12&gt;DATE(2018,3,31)),"←日付を確認して下さい。","")</f>
        <v/>
      </c>
      <c r="AN7" s="669">
        <v>45016</v>
      </c>
      <c r="AO7" s="351" t="s">
        <v>2318</v>
      </c>
      <c r="AP7" s="365" t="str">
        <f t="shared" si="0"/>
        <v>NO</v>
      </c>
      <c r="AQ7" s="669">
        <f>IF(AP7="NO",AN7-364,$AN$3+1)</f>
        <v>44652</v>
      </c>
      <c r="AR7" s="355" t="s">
        <v>4520</v>
      </c>
      <c r="AS7" s="672">
        <v>45016</v>
      </c>
      <c r="AT7" s="8">
        <v>2022</v>
      </c>
      <c r="AU7"/>
      <c r="AV7"/>
    </row>
    <row r="8" spans="1:48" ht="13.5" hidden="1">
      <c r="AK8" s="352" t="s">
        <v>4522</v>
      </c>
      <c r="AL8" s="349">
        <v>6</v>
      </c>
      <c r="AM8" s="362" t="str">
        <f>IF(OR($AK$12="月が未入力",$AK$12&gt;DATE(2019,3,31)),"←日付を確認して下さい。","")</f>
        <v/>
      </c>
      <c r="AN8" s="669">
        <v>45382</v>
      </c>
      <c r="AO8" s="351" t="s">
        <v>2318</v>
      </c>
      <c r="AP8" s="365" t="str">
        <f t="shared" si="0"/>
        <v>NO</v>
      </c>
      <c r="AQ8" s="669">
        <f>IF(AP8="NO",AN8-365,$AN$3+1)</f>
        <v>45017</v>
      </c>
      <c r="AR8" s="355" t="s">
        <v>4520</v>
      </c>
      <c r="AS8" s="672">
        <v>45382</v>
      </c>
      <c r="AT8" s="8">
        <v>2023</v>
      </c>
      <c r="AU8"/>
      <c r="AV8"/>
    </row>
    <row r="9" spans="1:48" ht="13.5" hidden="1">
      <c r="AK9" s="352" t="s">
        <v>4523</v>
      </c>
      <c r="AL9" s="349">
        <v>7</v>
      </c>
      <c r="AM9" s="362" t="str">
        <f>IF(OR($AK$12="月が未入力",$AK$12&gt;DATE(2020,3,31)),"←日付を確認して下さい。","")</f>
        <v/>
      </c>
      <c r="AN9" s="669">
        <v>45747</v>
      </c>
      <c r="AO9" s="351" t="s">
        <v>2318</v>
      </c>
      <c r="AP9" s="365" t="str">
        <f t="shared" si="0"/>
        <v>NO</v>
      </c>
      <c r="AQ9" s="669">
        <f>IF(AP9="NO",AN9-364,$AN$3+1)</f>
        <v>45383</v>
      </c>
      <c r="AR9" s="355" t="s">
        <v>4520</v>
      </c>
      <c r="AS9" s="672">
        <v>45747</v>
      </c>
      <c r="AT9" s="8">
        <v>2024</v>
      </c>
      <c r="AU9"/>
      <c r="AV9"/>
    </row>
    <row r="10" spans="1:48" ht="13.5" hidden="1">
      <c r="AK10" s="353" t="s">
        <v>2853</v>
      </c>
      <c r="AL10" s="349">
        <v>8</v>
      </c>
      <c r="AM10" s="362" t="str">
        <f>IF(OR($AK$12="月が未入力",$AK$12&gt;DATE(2021,3,31)),"←日付を確認して下さい。","")</f>
        <v/>
      </c>
      <c r="AN10" s="669">
        <v>46112</v>
      </c>
      <c r="AO10" s="351" t="s">
        <v>2318</v>
      </c>
      <c r="AP10" s="365" t="str">
        <f t="shared" si="0"/>
        <v>NO</v>
      </c>
      <c r="AQ10" s="669">
        <f>IF(AP10="NO",AN10-364,$AN$3+1)</f>
        <v>45748</v>
      </c>
      <c r="AR10" s="355" t="s">
        <v>4520</v>
      </c>
      <c r="AS10" s="672">
        <v>46112</v>
      </c>
      <c r="AT10" s="8">
        <v>2025</v>
      </c>
      <c r="AU10"/>
      <c r="AV10"/>
    </row>
    <row r="11" spans="1:48" ht="39" hidden="1" thickBot="1">
      <c r="AK11" s="356" t="s">
        <v>4524</v>
      </c>
      <c r="AM11" s="359"/>
      <c r="AP11" s="366"/>
      <c r="AT11"/>
      <c r="AU11"/>
      <c r="AV11"/>
    </row>
    <row r="12" spans="1:48" ht="13.5" hidden="1" thickBot="1">
      <c r="AK12" s="671">
        <f>IF(J17="2019以前",DATE(2014,12,31),IF(M17="-","月が未入力",DATE((J17),(M17+1),0)))</f>
        <v>0</v>
      </c>
      <c r="AL12" s="345">
        <f>VLOOKUP(H16,AK2:AL10,2,FALSE)</f>
        <v>1</v>
      </c>
      <c r="AM12" s="368" t="str">
        <f>VLOOKUP($AL$12,$AL2:AM10,2,FALSE)</f>
        <v>←日付を確認して下さい。</v>
      </c>
      <c r="AN12" s="670">
        <f>VLOOKUP($AL$12,$AL2:AN10,3,FALSE)</f>
        <v>0</v>
      </c>
      <c r="AO12" s="361" t="s">
        <v>2318</v>
      </c>
      <c r="AP12" s="367">
        <f>VLOOKUP($AL$12,$AL2:AP10,5,FALSE)</f>
        <v>0</v>
      </c>
      <c r="AQ12" s="670">
        <f>VLOOKUP($AL$12,$AL2:AQ10,6,FALSE)</f>
        <v>0</v>
      </c>
      <c r="AR12" s="355" t="s">
        <v>4520</v>
      </c>
      <c r="AS12" s="673">
        <f>VLOOKUP($AL$12,$AL2:AS10,8,FALSE)</f>
        <v>0</v>
      </c>
      <c r="AT12" s="476">
        <f>VLOOKUP($AL$12,$AL2:AT10,9,FALSE)</f>
        <v>0</v>
      </c>
    </row>
    <row r="13" spans="1:48" hidden="1"/>
    <row r="14" spans="1:48" s="343" customFormat="1" hidden="1"/>
    <row r="15" spans="1:48" s="344" customFormat="1" ht="7.5" customHeight="1" thickBot="1"/>
    <row r="16" spans="1:48" ht="20.25" customHeight="1" thickBot="1">
      <c r="A16" s="907" t="s">
        <v>2322</v>
      </c>
      <c r="B16" s="908"/>
      <c r="C16" s="908"/>
      <c r="D16" s="908"/>
      <c r="E16" s="908"/>
      <c r="F16" s="908"/>
      <c r="G16" s="909"/>
      <c r="H16" s="912" t="s">
        <v>2305</v>
      </c>
      <c r="I16" s="913"/>
      <c r="J16" s="913"/>
      <c r="K16" s="913"/>
      <c r="L16" s="913"/>
      <c r="M16" s="913"/>
      <c r="N16" s="913"/>
      <c r="O16" s="913"/>
      <c r="P16" s="914"/>
      <c r="Q16"/>
    </row>
    <row r="17" spans="1:27" ht="20.25" customHeight="1" thickBot="1">
      <c r="A17" s="907" t="s">
        <v>2321</v>
      </c>
      <c r="B17" s="908"/>
      <c r="C17" s="908"/>
      <c r="D17" s="908"/>
      <c r="E17" s="908"/>
      <c r="F17" s="908"/>
      <c r="G17" s="909"/>
      <c r="H17" s="915" t="s">
        <v>2432</v>
      </c>
      <c r="I17" s="916"/>
      <c r="J17" s="913"/>
      <c r="K17" s="913"/>
      <c r="L17" s="346" t="s">
        <v>2314</v>
      </c>
      <c r="M17" s="570"/>
      <c r="N17" s="346" t="s">
        <v>2220</v>
      </c>
      <c r="O17" s="348"/>
      <c r="P17" s="347"/>
      <c r="Q17" s="910" t="str">
        <f>AM12</f>
        <v>←日付を確認して下さい。</v>
      </c>
      <c r="R17" s="911"/>
      <c r="S17" s="911"/>
      <c r="T17" s="911"/>
      <c r="U17" s="911"/>
      <c r="V17" s="911"/>
      <c r="W17" s="911"/>
      <c r="X17" s="911"/>
      <c r="Y17" s="911"/>
      <c r="Z17" s="911"/>
    </row>
    <row r="18" spans="1:27" ht="9" customHeight="1">
      <c r="R18"/>
      <c r="S18"/>
      <c r="T18"/>
      <c r="U18"/>
      <c r="V18"/>
      <c r="W18"/>
      <c r="X18"/>
      <c r="Y18"/>
      <c r="AA18"/>
    </row>
    <row r="19" spans="1:27" ht="9.9499999999999993" customHeight="1">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row>
    <row r="20" spans="1:27" ht="9.9499999999999993" customHeight="1">
      <c r="A20" s="63"/>
      <c r="B20" s="63"/>
      <c r="C20" s="63"/>
      <c r="D20" s="63"/>
      <c r="E20" s="63"/>
      <c r="F20" s="63"/>
      <c r="G20" s="63"/>
      <c r="H20" s="63"/>
      <c r="I20" s="63"/>
      <c r="J20" s="63"/>
      <c r="K20" s="63"/>
      <c r="L20" s="63"/>
      <c r="M20" s="63"/>
      <c r="N20" s="63"/>
      <c r="O20" s="63"/>
      <c r="P20" s="63"/>
      <c r="Q20" s="63"/>
      <c r="R20" s="63"/>
      <c r="S20" s="63"/>
      <c r="T20" s="63"/>
      <c r="U20" s="63"/>
      <c r="V20" s="63"/>
      <c r="W20" s="63"/>
      <c r="X20" s="63"/>
      <c r="Y20" s="63"/>
      <c r="Z20" s="63"/>
    </row>
    <row r="21" spans="1:27" ht="15" customHeight="1">
      <c r="A21" s="63"/>
      <c r="B21" s="63"/>
      <c r="C21" s="63"/>
      <c r="D21" s="63"/>
      <c r="E21" s="63"/>
      <c r="F21" s="63"/>
      <c r="G21" s="63"/>
      <c r="H21" s="63"/>
      <c r="I21" s="63"/>
      <c r="J21" s="63"/>
      <c r="K21" s="63"/>
      <c r="L21" s="63"/>
      <c r="M21" s="63"/>
      <c r="N21" s="63"/>
      <c r="O21" s="63"/>
      <c r="P21" s="877" t="s">
        <v>2432</v>
      </c>
      <c r="Q21" s="877"/>
      <c r="R21" s="878"/>
      <c r="S21" s="878"/>
      <c r="T21" s="74" t="s">
        <v>1636</v>
      </c>
      <c r="U21" s="124"/>
      <c r="V21" s="74" t="s">
        <v>2220</v>
      </c>
      <c r="W21" s="124"/>
      <c r="X21" s="74" t="s">
        <v>1607</v>
      </c>
      <c r="Y21" s="74"/>
      <c r="Z21" s="65"/>
    </row>
    <row r="22" spans="1:27" ht="13.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row>
    <row r="23" spans="1:27" ht="15" customHeight="1">
      <c r="A23" s="63"/>
      <c r="B23" s="63" t="s">
        <v>1798</v>
      </c>
      <c r="C23" s="63"/>
      <c r="D23" s="63"/>
      <c r="E23" s="63"/>
      <c r="F23" s="63"/>
      <c r="G23" s="63"/>
      <c r="H23" s="63"/>
      <c r="I23" s="63"/>
      <c r="J23" s="63"/>
      <c r="K23" s="63"/>
      <c r="L23" s="63"/>
      <c r="M23" s="63"/>
      <c r="N23" s="63"/>
      <c r="O23" s="63"/>
      <c r="P23" s="63"/>
      <c r="Q23" s="63"/>
      <c r="R23" s="63"/>
      <c r="S23" s="63"/>
      <c r="T23" s="63"/>
      <c r="U23" s="63"/>
      <c r="V23" s="63"/>
      <c r="W23" s="63"/>
      <c r="X23" s="63"/>
      <c r="Y23" s="63"/>
      <c r="Z23" s="63"/>
    </row>
    <row r="24" spans="1:27" ht="9.9499999999999993" customHeight="1">
      <c r="A24" s="63"/>
      <c r="B24" s="63"/>
      <c r="C24" s="63"/>
      <c r="D24" s="63"/>
      <c r="E24" s="63"/>
      <c r="F24" s="63"/>
      <c r="G24" s="63"/>
      <c r="H24" s="63"/>
      <c r="I24" s="63"/>
      <c r="J24" s="63"/>
      <c r="K24" s="63"/>
      <c r="L24" s="63"/>
      <c r="M24" s="63"/>
      <c r="N24" s="63"/>
      <c r="O24" s="63"/>
      <c r="P24" s="63"/>
      <c r="Q24" s="63"/>
      <c r="R24" s="63"/>
      <c r="S24" s="63"/>
      <c r="T24" s="63"/>
      <c r="U24" s="63"/>
      <c r="V24" s="63"/>
      <c r="W24" s="63"/>
      <c r="X24" s="63"/>
      <c r="Y24" s="63"/>
      <c r="Z24" s="63"/>
    </row>
    <row r="25" spans="1:27" ht="24.95" customHeight="1">
      <c r="A25" s="63"/>
      <c r="B25" s="63"/>
      <c r="C25" s="63"/>
      <c r="D25" s="63"/>
      <c r="E25" s="63"/>
      <c r="F25" s="63"/>
      <c r="G25" s="63"/>
      <c r="H25" s="63"/>
      <c r="I25" s="63"/>
      <c r="J25" s="63"/>
      <c r="K25" s="63"/>
      <c r="L25" s="63"/>
      <c r="M25" s="63" t="s">
        <v>32</v>
      </c>
      <c r="N25" s="888"/>
      <c r="O25" s="889"/>
      <c r="P25" s="889"/>
      <c r="Q25" s="889"/>
      <c r="R25" s="890"/>
      <c r="S25" s="63"/>
      <c r="T25" s="63"/>
      <c r="U25" s="63"/>
      <c r="V25" s="63"/>
      <c r="W25" s="63"/>
      <c r="X25" s="63"/>
      <c r="Y25" s="63"/>
      <c r="Z25" s="63"/>
    </row>
    <row r="26" spans="1:27" ht="18.75" customHeight="1">
      <c r="A26" s="63"/>
      <c r="B26" s="63"/>
      <c r="C26" s="63"/>
      <c r="D26" s="63"/>
      <c r="E26" s="63"/>
      <c r="F26" s="63"/>
      <c r="G26" s="63"/>
      <c r="H26" s="63"/>
      <c r="I26" s="63"/>
      <c r="J26" s="63"/>
      <c r="K26" s="63" t="s">
        <v>33</v>
      </c>
      <c r="L26" s="63"/>
      <c r="M26" s="75"/>
      <c r="N26" s="891"/>
      <c r="O26" s="892"/>
      <c r="P26" s="892"/>
      <c r="Q26" s="892"/>
      <c r="R26" s="892"/>
      <c r="S26" s="892"/>
      <c r="T26" s="892"/>
      <c r="U26" s="892"/>
      <c r="V26" s="892"/>
      <c r="W26" s="892"/>
      <c r="X26" s="892"/>
      <c r="Y26" s="893"/>
      <c r="Z26" s="65"/>
    </row>
    <row r="27" spans="1:27" ht="18.75" customHeight="1">
      <c r="A27" s="63"/>
      <c r="B27" s="63"/>
      <c r="C27" s="63"/>
      <c r="D27" s="63"/>
      <c r="E27" s="63"/>
      <c r="F27" s="63"/>
      <c r="G27" s="63"/>
      <c r="H27" s="63"/>
      <c r="I27" s="63"/>
      <c r="J27" s="63"/>
      <c r="K27" s="63"/>
      <c r="L27" s="63"/>
      <c r="M27" s="75"/>
      <c r="N27" s="891"/>
      <c r="O27" s="892"/>
      <c r="P27" s="892"/>
      <c r="Q27" s="892"/>
      <c r="R27" s="892"/>
      <c r="S27" s="892"/>
      <c r="T27" s="892"/>
      <c r="U27" s="892"/>
      <c r="V27" s="892"/>
      <c r="W27" s="892"/>
      <c r="X27" s="892"/>
      <c r="Y27" s="893"/>
      <c r="Z27" s="65"/>
    </row>
    <row r="28" spans="1:27" ht="24.95" customHeight="1">
      <c r="A28" s="63"/>
      <c r="B28" s="63"/>
      <c r="C28" s="63"/>
      <c r="D28" s="63"/>
      <c r="E28" s="63"/>
      <c r="F28" s="63"/>
      <c r="G28" s="63"/>
      <c r="H28" s="63"/>
      <c r="I28" s="63"/>
      <c r="J28" s="63"/>
      <c r="K28" s="879" t="s">
        <v>34</v>
      </c>
      <c r="L28" s="879"/>
      <c r="M28" s="66"/>
      <c r="N28" s="885"/>
      <c r="O28" s="886"/>
      <c r="P28" s="886"/>
      <c r="Q28" s="886"/>
      <c r="R28" s="886"/>
      <c r="S28" s="886"/>
      <c r="T28" s="886"/>
      <c r="U28" s="886"/>
      <c r="V28" s="886"/>
      <c r="W28" s="886"/>
      <c r="X28" s="886"/>
      <c r="Y28" s="887"/>
      <c r="Z28" s="65"/>
    </row>
    <row r="29" spans="1:27" ht="24.95" customHeight="1">
      <c r="A29" s="63"/>
      <c r="B29" s="63"/>
      <c r="C29" s="63"/>
      <c r="D29" s="63"/>
      <c r="E29" s="63"/>
      <c r="F29" s="63"/>
      <c r="G29" s="63"/>
      <c r="H29" s="63"/>
      <c r="I29" s="63"/>
      <c r="J29" s="63"/>
      <c r="K29" s="63"/>
      <c r="L29" s="78" t="s">
        <v>1658</v>
      </c>
      <c r="M29" s="63"/>
      <c r="N29" s="882"/>
      <c r="O29" s="883"/>
      <c r="P29" s="883"/>
      <c r="Q29" s="883"/>
      <c r="R29" s="883"/>
      <c r="S29" s="883"/>
      <c r="T29" s="883"/>
      <c r="U29" s="883"/>
      <c r="V29" s="883"/>
      <c r="W29" s="883"/>
      <c r="X29" s="883"/>
      <c r="Y29" s="884"/>
      <c r="Z29" s="65"/>
    </row>
    <row r="30" spans="1:27" ht="24.95" customHeight="1">
      <c r="A30" s="63"/>
      <c r="B30" s="63"/>
      <c r="C30" s="63"/>
      <c r="D30" s="63"/>
      <c r="E30" s="63"/>
      <c r="F30" s="63"/>
      <c r="G30" s="63"/>
      <c r="H30" s="63"/>
      <c r="I30" s="63"/>
      <c r="J30" s="63"/>
      <c r="K30" s="63"/>
      <c r="L30" s="78" t="s">
        <v>1631</v>
      </c>
      <c r="M30" s="63"/>
      <c r="N30" s="882"/>
      <c r="O30" s="883"/>
      <c r="P30" s="883"/>
      <c r="Q30" s="883"/>
      <c r="R30" s="883"/>
      <c r="S30" s="883"/>
      <c r="T30" s="883"/>
      <c r="U30" s="883"/>
      <c r="V30" s="883"/>
      <c r="W30" s="883"/>
      <c r="X30" s="883"/>
      <c r="Y30" s="884"/>
      <c r="Z30" s="65"/>
    </row>
    <row r="31" spans="1:27" ht="15" customHeight="1">
      <c r="A31" s="63"/>
      <c r="B31" s="63"/>
      <c r="C31" s="63"/>
      <c r="D31" s="63"/>
      <c r="E31" s="63"/>
      <c r="F31" s="63"/>
      <c r="G31" s="63"/>
      <c r="H31" s="63"/>
      <c r="I31" s="63"/>
      <c r="J31" s="63"/>
      <c r="K31" s="63"/>
      <c r="L31" s="63"/>
      <c r="M31" s="63"/>
      <c r="N31" s="65" t="s">
        <v>1767</v>
      </c>
      <c r="O31" s="63"/>
      <c r="P31" s="63"/>
      <c r="Q31" s="65"/>
      <c r="R31" s="63"/>
      <c r="S31" s="63"/>
      <c r="T31" s="63"/>
      <c r="U31" s="63"/>
      <c r="V31" s="63"/>
      <c r="W31" s="63"/>
      <c r="X31" s="63"/>
      <c r="Y31" s="63"/>
      <c r="Z31" s="63"/>
    </row>
    <row r="32" spans="1:27" ht="9.9499999999999993" customHeight="1">
      <c r="A32" s="63"/>
      <c r="B32" s="63"/>
      <c r="C32" s="63"/>
      <c r="D32" s="63"/>
      <c r="E32" s="63"/>
      <c r="F32" s="63"/>
      <c r="G32" s="63"/>
      <c r="H32" s="63"/>
      <c r="I32" s="63"/>
      <c r="J32" s="63"/>
      <c r="K32" s="63"/>
      <c r="L32" s="63"/>
      <c r="M32" s="63"/>
      <c r="N32" s="65"/>
      <c r="O32" s="63"/>
      <c r="P32" s="63"/>
      <c r="Q32" s="63"/>
      <c r="R32" s="63"/>
      <c r="S32" s="63"/>
      <c r="T32" s="63"/>
      <c r="U32" s="63"/>
      <c r="V32" s="63"/>
      <c r="W32" s="63"/>
      <c r="X32" s="63"/>
      <c r="Y32" s="63"/>
      <c r="Z32" s="63"/>
    </row>
    <row r="33" spans="1:35" ht="21.75" customHeight="1">
      <c r="A33" s="63"/>
      <c r="B33" s="880" t="s">
        <v>281</v>
      </c>
      <c r="C33" s="880"/>
      <c r="D33" s="880"/>
      <c r="E33" s="880"/>
      <c r="F33" s="880"/>
      <c r="G33" s="880"/>
      <c r="H33" s="880"/>
      <c r="I33" s="880"/>
      <c r="J33" s="880"/>
      <c r="K33" s="880"/>
      <c r="L33" s="880"/>
      <c r="M33" s="880"/>
      <c r="N33" s="880"/>
      <c r="O33" s="880"/>
      <c r="P33" s="880"/>
      <c r="Q33" s="880"/>
      <c r="R33" s="880"/>
      <c r="S33" s="880"/>
      <c r="T33" s="880"/>
      <c r="U33" s="880"/>
      <c r="V33" s="880"/>
      <c r="W33" s="880"/>
      <c r="X33" s="880"/>
      <c r="Y33" s="880"/>
      <c r="Z33" s="63"/>
    </row>
    <row r="34" spans="1:35" ht="9.9499999999999993" customHeight="1">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row>
    <row r="35" spans="1:35" ht="39" customHeight="1">
      <c r="A35" s="63"/>
      <c r="B35" s="881" t="s">
        <v>644</v>
      </c>
      <c r="C35" s="881"/>
      <c r="D35" s="881"/>
      <c r="E35" s="881"/>
      <c r="F35" s="881"/>
      <c r="G35" s="881"/>
      <c r="H35" s="881"/>
      <c r="I35" s="881"/>
      <c r="J35" s="881"/>
      <c r="K35" s="881"/>
      <c r="L35" s="881"/>
      <c r="M35" s="881"/>
      <c r="N35" s="881"/>
      <c r="O35" s="881"/>
      <c r="P35" s="881"/>
      <c r="Q35" s="881"/>
      <c r="R35" s="881"/>
      <c r="S35" s="881"/>
      <c r="T35" s="881"/>
      <c r="U35" s="881"/>
      <c r="V35" s="881"/>
      <c r="W35" s="881"/>
      <c r="X35" s="881"/>
      <c r="Y35" s="881"/>
      <c r="Z35" s="63"/>
    </row>
    <row r="36" spans="1:35" ht="23.25" customHeight="1">
      <c r="A36" s="63"/>
      <c r="B36" s="858" t="s">
        <v>1802</v>
      </c>
      <c r="C36" s="859"/>
      <c r="D36" s="859"/>
      <c r="E36" s="859"/>
      <c r="F36" s="859"/>
      <c r="G36" s="859"/>
      <c r="H36" s="859"/>
      <c r="I36" s="860"/>
      <c r="J36" s="870" t="str">
        <f>IF(N29="","",N29)</f>
        <v/>
      </c>
      <c r="K36" s="871"/>
      <c r="L36" s="871"/>
      <c r="M36" s="871"/>
      <c r="N36" s="871"/>
      <c r="O36" s="871"/>
      <c r="P36" s="871"/>
      <c r="Q36" s="871"/>
      <c r="R36" s="871"/>
      <c r="S36" s="871"/>
      <c r="T36" s="871"/>
      <c r="U36" s="871"/>
      <c r="V36" s="871"/>
      <c r="W36" s="871"/>
      <c r="X36" s="871"/>
      <c r="Y36" s="872"/>
      <c r="Z36" s="67"/>
      <c r="AH36" s="338"/>
    </row>
    <row r="37" spans="1:35" ht="23.25" customHeight="1">
      <c r="A37" s="63"/>
      <c r="B37" s="864"/>
      <c r="C37" s="865"/>
      <c r="D37" s="865"/>
      <c r="E37" s="865"/>
      <c r="F37" s="865"/>
      <c r="G37" s="865"/>
      <c r="H37" s="865"/>
      <c r="I37" s="866"/>
      <c r="J37" s="873"/>
      <c r="K37" s="874"/>
      <c r="L37" s="874"/>
      <c r="M37" s="874"/>
      <c r="N37" s="874"/>
      <c r="O37" s="874"/>
      <c r="P37" s="874"/>
      <c r="Q37" s="874"/>
      <c r="R37" s="874"/>
      <c r="S37" s="874"/>
      <c r="T37" s="874"/>
      <c r="U37" s="874"/>
      <c r="V37" s="874"/>
      <c r="W37" s="874"/>
      <c r="X37" s="874"/>
      <c r="Y37" s="875"/>
      <c r="Z37" s="67"/>
      <c r="AH37"/>
      <c r="AI37" s="338"/>
    </row>
    <row r="38" spans="1:35" ht="21.75" customHeight="1">
      <c r="A38" s="63"/>
      <c r="B38" s="858" t="s">
        <v>1800</v>
      </c>
      <c r="C38" s="859"/>
      <c r="D38" s="859"/>
      <c r="E38" s="859"/>
      <c r="F38" s="859"/>
      <c r="G38" s="859"/>
      <c r="H38" s="859"/>
      <c r="I38" s="860"/>
      <c r="J38" s="310" t="s">
        <v>643</v>
      </c>
      <c r="K38" s="876" t="str">
        <f>IF(N25="","",N25)</f>
        <v/>
      </c>
      <c r="L38" s="876"/>
      <c r="M38" s="876"/>
      <c r="N38" s="876"/>
      <c r="O38" s="876"/>
      <c r="P38" s="876"/>
      <c r="Q38" s="312"/>
      <c r="R38" s="312"/>
      <c r="S38" s="312"/>
      <c r="T38" s="312"/>
      <c r="U38" s="312"/>
      <c r="V38" s="312"/>
      <c r="W38" s="312"/>
      <c r="X38" s="312"/>
      <c r="Y38" s="313"/>
      <c r="Z38" s="67"/>
    </row>
    <row r="39" spans="1:35" ht="21.75" customHeight="1">
      <c r="A39" s="63"/>
      <c r="B39" s="864"/>
      <c r="C39" s="865"/>
      <c r="D39" s="865"/>
      <c r="E39" s="865"/>
      <c r="F39" s="865"/>
      <c r="G39" s="865"/>
      <c r="H39" s="865"/>
      <c r="I39" s="866"/>
      <c r="J39" s="867" t="str">
        <f>IF(N26="","",N26)</f>
        <v/>
      </c>
      <c r="K39" s="868"/>
      <c r="L39" s="868"/>
      <c r="M39" s="868"/>
      <c r="N39" s="868"/>
      <c r="O39" s="868"/>
      <c r="P39" s="868"/>
      <c r="Q39" s="868"/>
      <c r="R39" s="868"/>
      <c r="S39" s="868"/>
      <c r="T39" s="868"/>
      <c r="U39" s="868"/>
      <c r="V39" s="868"/>
      <c r="W39" s="868"/>
      <c r="X39" s="868"/>
      <c r="Y39" s="869"/>
      <c r="Z39" s="67"/>
    </row>
    <row r="40" spans="1:35" ht="20.25" customHeight="1">
      <c r="A40" s="63"/>
      <c r="B40" s="858" t="s">
        <v>1801</v>
      </c>
      <c r="C40" s="859"/>
      <c r="D40" s="859"/>
      <c r="E40" s="859"/>
      <c r="F40" s="859"/>
      <c r="G40" s="859"/>
      <c r="H40" s="859"/>
      <c r="I40" s="860"/>
      <c r="J40" s="902" t="str">
        <f>事業所別車両状況!C31</f>
        <v/>
      </c>
      <c r="K40" s="901"/>
      <c r="L40" s="901"/>
      <c r="M40" s="901"/>
      <c r="N40" s="901" t="s">
        <v>35</v>
      </c>
      <c r="O40" s="68"/>
      <c r="P40" s="68"/>
      <c r="Q40" s="68"/>
      <c r="R40" s="68"/>
      <c r="S40" s="68"/>
      <c r="T40" s="901"/>
      <c r="U40" s="901"/>
      <c r="V40" s="901"/>
      <c r="W40" s="68"/>
      <c r="X40" s="68"/>
      <c r="Y40" s="76"/>
      <c r="Z40" s="63"/>
    </row>
    <row r="41" spans="1:35" ht="20.25" customHeight="1">
      <c r="A41" s="63"/>
      <c r="B41" s="864"/>
      <c r="C41" s="865"/>
      <c r="D41" s="865"/>
      <c r="E41" s="865"/>
      <c r="F41" s="865"/>
      <c r="G41" s="865"/>
      <c r="H41" s="865"/>
      <c r="I41" s="866"/>
      <c r="J41" s="867"/>
      <c r="K41" s="868"/>
      <c r="L41" s="868"/>
      <c r="M41" s="868"/>
      <c r="N41" s="868"/>
      <c r="O41" s="69"/>
      <c r="P41" s="69"/>
      <c r="Q41" s="69"/>
      <c r="R41" s="69"/>
      <c r="S41" s="69"/>
      <c r="T41" s="868"/>
      <c r="U41" s="868"/>
      <c r="V41" s="868"/>
      <c r="W41" s="69"/>
      <c r="X41" s="69"/>
      <c r="Y41" s="77"/>
      <c r="Z41" s="63"/>
    </row>
    <row r="42" spans="1:35" ht="19.5" customHeight="1">
      <c r="A42" s="63"/>
      <c r="B42" s="894" t="s">
        <v>36</v>
      </c>
      <c r="C42" s="895"/>
      <c r="D42" s="895"/>
      <c r="E42" s="895"/>
      <c r="F42" s="895"/>
      <c r="G42" s="895"/>
      <c r="H42" s="895"/>
      <c r="I42" s="896"/>
      <c r="J42" s="894" t="str">
        <f>IF(U42="","",VLOOKUP(表紙!U42,【参考】産業分類!A4:B102,2,FALSE))</f>
        <v/>
      </c>
      <c r="K42" s="895"/>
      <c r="L42" s="895"/>
      <c r="M42" s="895"/>
      <c r="N42" s="895"/>
      <c r="O42" s="895"/>
      <c r="P42" s="895"/>
      <c r="Q42" s="895"/>
      <c r="R42" s="896"/>
      <c r="S42" s="852" t="s">
        <v>37</v>
      </c>
      <c r="T42" s="900"/>
      <c r="U42" s="897"/>
      <c r="V42" s="898"/>
      <c r="W42" s="898"/>
      <c r="X42" s="898"/>
      <c r="Y42" s="899"/>
      <c r="Z42" s="67"/>
      <c r="AA42" s="16"/>
    </row>
    <row r="43" spans="1:35" ht="19.5" customHeight="1">
      <c r="A43" s="63"/>
      <c r="B43" s="858" t="s">
        <v>38</v>
      </c>
      <c r="C43" s="859"/>
      <c r="D43" s="859"/>
      <c r="E43" s="859"/>
      <c r="F43" s="859"/>
      <c r="G43" s="859"/>
      <c r="H43" s="859"/>
      <c r="I43" s="860"/>
      <c r="J43" s="852">
        <f>事業所別車両状況!C7</f>
        <v>0</v>
      </c>
      <c r="K43" s="853"/>
      <c r="L43" s="853"/>
      <c r="M43" s="853"/>
      <c r="N43" s="853"/>
      <c r="O43" s="853"/>
      <c r="P43" s="62" t="s">
        <v>1799</v>
      </c>
      <c r="Q43" s="62"/>
      <c r="R43" s="62"/>
      <c r="S43" s="70"/>
      <c r="T43" s="70"/>
      <c r="U43" s="70"/>
      <c r="V43" s="70"/>
      <c r="W43" s="70"/>
      <c r="X43" s="70"/>
      <c r="Y43" s="73"/>
      <c r="Z43" s="63"/>
    </row>
    <row r="44" spans="1:35" ht="19.5" customHeight="1">
      <c r="A44" s="63"/>
      <c r="B44" s="858" t="s">
        <v>39</v>
      </c>
      <c r="C44" s="859"/>
      <c r="D44" s="859"/>
      <c r="E44" s="859"/>
      <c r="F44" s="859"/>
      <c r="G44" s="859"/>
      <c r="H44" s="859"/>
      <c r="I44" s="860"/>
      <c r="J44" s="851" t="s">
        <v>650</v>
      </c>
      <c r="K44" s="851"/>
      <c r="L44" s="851"/>
      <c r="M44" s="851"/>
      <c r="N44" s="856"/>
      <c r="O44" s="857"/>
      <c r="P44" s="857"/>
      <c r="Q44" s="857"/>
      <c r="R44" s="857"/>
      <c r="S44" s="857"/>
      <c r="T44" s="857"/>
      <c r="U44" s="857"/>
      <c r="V44" s="857"/>
      <c r="W44" s="857"/>
      <c r="X44" s="857"/>
      <c r="Y44" s="857"/>
      <c r="Z44" s="67"/>
    </row>
    <row r="45" spans="1:35" ht="19.5" customHeight="1">
      <c r="A45" s="63"/>
      <c r="B45" s="861"/>
      <c r="C45" s="862"/>
      <c r="D45" s="862"/>
      <c r="E45" s="862"/>
      <c r="F45" s="862"/>
      <c r="G45" s="862"/>
      <c r="H45" s="862"/>
      <c r="I45" s="863"/>
      <c r="J45" s="851" t="s">
        <v>651</v>
      </c>
      <c r="K45" s="851"/>
      <c r="L45" s="851"/>
      <c r="M45" s="851"/>
      <c r="N45" s="854"/>
      <c r="O45" s="854"/>
      <c r="P45" s="854"/>
      <c r="Q45" s="854"/>
      <c r="R45" s="854"/>
      <c r="S45" s="854"/>
      <c r="T45" s="854"/>
      <c r="U45" s="854"/>
      <c r="V45" s="854"/>
      <c r="W45" s="854"/>
      <c r="X45" s="854"/>
      <c r="Y45" s="854"/>
      <c r="Z45" s="67"/>
    </row>
    <row r="46" spans="1:35" ht="19.5" customHeight="1">
      <c r="A46" s="63"/>
      <c r="B46" s="861"/>
      <c r="C46" s="862"/>
      <c r="D46" s="862"/>
      <c r="E46" s="862"/>
      <c r="F46" s="862"/>
      <c r="G46" s="862"/>
      <c r="H46" s="862"/>
      <c r="I46" s="863"/>
      <c r="J46" s="851" t="s">
        <v>40</v>
      </c>
      <c r="K46" s="851"/>
      <c r="L46" s="851"/>
      <c r="M46" s="851"/>
      <c r="N46" s="854"/>
      <c r="O46" s="854"/>
      <c r="P46" s="854"/>
      <c r="Q46" s="854"/>
      <c r="R46" s="854"/>
      <c r="S46" s="854"/>
      <c r="T46" s="854"/>
      <c r="U46" s="854"/>
      <c r="V46" s="854"/>
      <c r="W46" s="854"/>
      <c r="X46" s="854"/>
      <c r="Y46" s="854"/>
      <c r="Z46" s="63"/>
    </row>
    <row r="47" spans="1:35" ht="19.5" customHeight="1">
      <c r="A47" s="63"/>
      <c r="B47" s="864"/>
      <c r="C47" s="865"/>
      <c r="D47" s="865"/>
      <c r="E47" s="865"/>
      <c r="F47" s="865"/>
      <c r="G47" s="865"/>
      <c r="H47" s="865"/>
      <c r="I47" s="866"/>
      <c r="J47" s="851" t="s">
        <v>41</v>
      </c>
      <c r="K47" s="851"/>
      <c r="L47" s="851"/>
      <c r="M47" s="851"/>
      <c r="N47" s="855"/>
      <c r="O47" s="856"/>
      <c r="P47" s="856"/>
      <c r="Q47" s="856"/>
      <c r="R47" s="856"/>
      <c r="S47" s="856"/>
      <c r="T47" s="856"/>
      <c r="U47" s="856"/>
      <c r="V47" s="856"/>
      <c r="W47" s="856"/>
      <c r="X47" s="856"/>
      <c r="Y47" s="856"/>
      <c r="Z47" s="63"/>
    </row>
    <row r="48" spans="1:35">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s="17" customFormat="1" ht="20.25" customHeight="1">
      <c r="A49" s="64"/>
      <c r="B49" s="64" t="s">
        <v>1706</v>
      </c>
      <c r="C49" s="64"/>
      <c r="D49" s="64"/>
      <c r="E49" s="64"/>
      <c r="F49" s="64"/>
      <c r="G49" s="64"/>
      <c r="H49" s="64"/>
      <c r="I49" s="64"/>
      <c r="J49" s="64"/>
      <c r="K49" s="64"/>
      <c r="L49" s="64"/>
      <c r="M49" s="64"/>
      <c r="N49" s="64"/>
      <c r="O49" s="64"/>
      <c r="P49" s="64"/>
      <c r="Q49" s="64"/>
      <c r="R49" s="64"/>
      <c r="S49" s="64"/>
      <c r="T49" s="64"/>
      <c r="U49" s="64"/>
      <c r="V49" s="64"/>
      <c r="W49" s="64"/>
      <c r="X49" s="64"/>
      <c r="Y49" s="64"/>
      <c r="Z49" s="64"/>
    </row>
    <row r="50" spans="1:26" s="17" customFormat="1" ht="16.5" customHeight="1">
      <c r="A50" s="64"/>
      <c r="B50" s="64"/>
      <c r="C50" s="841" t="s">
        <v>2751</v>
      </c>
      <c r="D50" s="841"/>
      <c r="E50" s="841"/>
      <c r="F50" s="841"/>
      <c r="G50" s="841"/>
      <c r="H50" s="841"/>
      <c r="I50" s="841"/>
      <c r="J50" s="841"/>
      <c r="K50" s="841"/>
      <c r="L50" s="841"/>
      <c r="M50" s="841"/>
      <c r="N50" s="841"/>
      <c r="O50" s="841"/>
      <c r="P50" s="841"/>
      <c r="Q50" s="841"/>
      <c r="R50" s="841"/>
      <c r="S50" s="841"/>
      <c r="T50" s="841"/>
      <c r="U50" s="841"/>
      <c r="V50" s="841"/>
      <c r="W50" s="841"/>
      <c r="X50" s="841"/>
      <c r="Y50" s="841"/>
      <c r="Z50" s="64"/>
    </row>
    <row r="51" spans="1:26" s="17" customFormat="1" ht="9.9499999999999993" customHeight="1">
      <c r="A51" s="64"/>
      <c r="B51" s="64"/>
      <c r="C51" s="64"/>
      <c r="D51" s="64"/>
      <c r="E51" s="64"/>
      <c r="F51" s="64"/>
      <c r="G51" s="64"/>
      <c r="H51" s="64"/>
      <c r="I51" s="64"/>
      <c r="J51" s="64"/>
      <c r="K51" s="64"/>
      <c r="L51" s="64"/>
      <c r="M51" s="64"/>
      <c r="N51" s="64"/>
      <c r="O51" s="64"/>
      <c r="P51" s="64"/>
      <c r="Q51" s="64"/>
      <c r="R51" s="64"/>
      <c r="S51" s="64"/>
      <c r="T51" s="64"/>
      <c r="U51" s="64"/>
      <c r="V51" s="64"/>
      <c r="W51" s="64"/>
      <c r="X51" s="64"/>
      <c r="Y51" s="64"/>
      <c r="Z51" s="64"/>
    </row>
    <row r="52" spans="1:26" s="17" customFormat="1" ht="9.9499999999999993" customHeight="1">
      <c r="A52" s="64"/>
      <c r="B52" s="64"/>
      <c r="C52" s="64"/>
      <c r="D52" s="64"/>
      <c r="E52" s="64"/>
      <c r="F52" s="64"/>
      <c r="G52" s="64"/>
      <c r="H52" s="64"/>
      <c r="I52" s="64"/>
      <c r="J52" s="64"/>
      <c r="K52" s="64"/>
      <c r="L52" s="64"/>
      <c r="M52" s="64"/>
      <c r="N52" s="64"/>
      <c r="O52" s="64"/>
      <c r="P52" s="64"/>
      <c r="Q52" s="64"/>
      <c r="R52" s="64"/>
      <c r="S52" s="64"/>
      <c r="T52" s="64"/>
      <c r="U52" s="64"/>
      <c r="V52" s="64"/>
      <c r="W52" s="64"/>
      <c r="X52" s="64"/>
      <c r="Y52" s="64"/>
      <c r="Z52" s="64"/>
    </row>
    <row r="53" spans="1:26" s="17" customFormat="1" ht="16.5" customHeight="1">
      <c r="A53" s="64"/>
      <c r="B53" s="64" t="s">
        <v>669</v>
      </c>
      <c r="C53" s="64"/>
      <c r="D53" s="64"/>
      <c r="E53" s="64"/>
      <c r="F53" s="64"/>
      <c r="G53" s="64"/>
      <c r="H53" s="64"/>
      <c r="I53" s="64"/>
      <c r="J53" s="64"/>
      <c r="K53" s="64"/>
      <c r="L53" s="64"/>
      <c r="M53" s="64"/>
      <c r="N53" s="64"/>
      <c r="O53" s="64"/>
      <c r="P53" s="64"/>
      <c r="Q53" s="64"/>
      <c r="R53" s="64"/>
      <c r="S53" s="64"/>
      <c r="T53" s="64"/>
      <c r="U53" s="64"/>
      <c r="V53" s="64"/>
      <c r="W53" s="64"/>
      <c r="X53" s="64"/>
      <c r="Y53" s="64"/>
      <c r="Z53" s="64"/>
    </row>
    <row r="54" spans="1:26" s="17" customFormat="1" ht="20.100000000000001" customHeight="1">
      <c r="A54" s="64"/>
      <c r="B54" s="842"/>
      <c r="C54" s="843"/>
      <c r="D54" s="843"/>
      <c r="E54" s="843"/>
      <c r="F54" s="843"/>
      <c r="G54" s="843"/>
      <c r="H54" s="843"/>
      <c r="I54" s="843"/>
      <c r="J54" s="843"/>
      <c r="K54" s="843"/>
      <c r="L54" s="843"/>
      <c r="M54" s="843"/>
      <c r="N54" s="843"/>
      <c r="O54" s="843"/>
      <c r="P54" s="843"/>
      <c r="Q54" s="843"/>
      <c r="R54" s="843"/>
      <c r="S54" s="843"/>
      <c r="T54" s="843"/>
      <c r="U54" s="843"/>
      <c r="V54" s="843"/>
      <c r="W54" s="843"/>
      <c r="X54" s="843"/>
      <c r="Y54" s="844"/>
      <c r="Z54" s="64"/>
    </row>
    <row r="55" spans="1:26" s="17" customFormat="1" ht="20.100000000000001" customHeight="1">
      <c r="A55" s="64"/>
      <c r="B55" s="845"/>
      <c r="C55" s="846"/>
      <c r="D55" s="846"/>
      <c r="E55" s="846"/>
      <c r="F55" s="846"/>
      <c r="G55" s="846"/>
      <c r="H55" s="846"/>
      <c r="I55" s="846"/>
      <c r="J55" s="846"/>
      <c r="K55" s="846"/>
      <c r="L55" s="846"/>
      <c r="M55" s="846"/>
      <c r="N55" s="846"/>
      <c r="O55" s="846"/>
      <c r="P55" s="846"/>
      <c r="Q55" s="846"/>
      <c r="R55" s="846"/>
      <c r="S55" s="846"/>
      <c r="T55" s="846"/>
      <c r="U55" s="846"/>
      <c r="V55" s="846"/>
      <c r="W55" s="846"/>
      <c r="X55" s="846"/>
      <c r="Y55" s="847"/>
      <c r="Z55" s="64"/>
    </row>
    <row r="56" spans="1:26" s="17" customFormat="1" ht="20.100000000000001" customHeight="1">
      <c r="A56" s="64"/>
      <c r="B56" s="845"/>
      <c r="C56" s="846"/>
      <c r="D56" s="846"/>
      <c r="E56" s="846"/>
      <c r="F56" s="846"/>
      <c r="G56" s="846"/>
      <c r="H56" s="846"/>
      <c r="I56" s="846"/>
      <c r="J56" s="846"/>
      <c r="K56" s="846"/>
      <c r="L56" s="846"/>
      <c r="M56" s="846"/>
      <c r="N56" s="846"/>
      <c r="O56" s="846"/>
      <c r="P56" s="846"/>
      <c r="Q56" s="846"/>
      <c r="R56" s="846"/>
      <c r="S56" s="846"/>
      <c r="T56" s="846"/>
      <c r="U56" s="846"/>
      <c r="V56" s="846"/>
      <c r="W56" s="846"/>
      <c r="X56" s="846"/>
      <c r="Y56" s="847"/>
      <c r="Z56" s="64"/>
    </row>
    <row r="57" spans="1:26" ht="20.100000000000001" customHeight="1">
      <c r="A57" s="63"/>
      <c r="B57" s="848"/>
      <c r="C57" s="849"/>
      <c r="D57" s="849"/>
      <c r="E57" s="849"/>
      <c r="F57" s="849"/>
      <c r="G57" s="849"/>
      <c r="H57" s="849"/>
      <c r="I57" s="849"/>
      <c r="J57" s="849"/>
      <c r="K57" s="849"/>
      <c r="L57" s="849"/>
      <c r="M57" s="849"/>
      <c r="N57" s="849"/>
      <c r="O57" s="849"/>
      <c r="P57" s="849"/>
      <c r="Q57" s="849"/>
      <c r="R57" s="849"/>
      <c r="S57" s="849"/>
      <c r="T57" s="849"/>
      <c r="U57" s="849"/>
      <c r="V57" s="849"/>
      <c r="W57" s="849"/>
      <c r="X57" s="849"/>
      <c r="Y57" s="850"/>
      <c r="Z57" s="63"/>
    </row>
    <row r="58" spans="1:26">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c r="C59" s="25"/>
    </row>
    <row r="60" spans="1:26">
      <c r="C60" s="25"/>
    </row>
  </sheetData>
  <sheetProtection algorithmName="SHA-512" hashValue="Lv5UtdItkTU9G4ZQcSHWgJMBok+5RAQorx6TRA1zDwV6FwFf78rDdTv30CNUcWgB+TB3p/M9Cl5MkcHkyZNBaw==" saltValue="3Iz5NH2Txw0184RUzzem8Q==" spinCount="100000" sheet="1" objects="1" scenarios="1"/>
  <protectedRanges>
    <protectedRange sqref="R21 U21 W21 N25 N26:Y30 U42 N44:Y47 B54" name="表紙"/>
  </protectedRanges>
  <dataConsolidate/>
  <mergeCells count="46">
    <mergeCell ref="AN1:AO1"/>
    <mergeCell ref="AK1:AL1"/>
    <mergeCell ref="AQ1:AS1"/>
    <mergeCell ref="A16:G16"/>
    <mergeCell ref="A17:G17"/>
    <mergeCell ref="Q17:Z17"/>
    <mergeCell ref="H16:P16"/>
    <mergeCell ref="J17:K17"/>
    <mergeCell ref="H17:I17"/>
    <mergeCell ref="B40:I41"/>
    <mergeCell ref="B42:I42"/>
    <mergeCell ref="U42:Y42"/>
    <mergeCell ref="J42:R42"/>
    <mergeCell ref="S42:T42"/>
    <mergeCell ref="T41:V41"/>
    <mergeCell ref="N40:N41"/>
    <mergeCell ref="T40:V40"/>
    <mergeCell ref="J40:M41"/>
    <mergeCell ref="P21:Q21"/>
    <mergeCell ref="R21:S21"/>
    <mergeCell ref="K28:L28"/>
    <mergeCell ref="B33:Y33"/>
    <mergeCell ref="B35:Y35"/>
    <mergeCell ref="N30:Y30"/>
    <mergeCell ref="N28:Y28"/>
    <mergeCell ref="N25:R25"/>
    <mergeCell ref="N26:Y27"/>
    <mergeCell ref="N29:Y29"/>
    <mergeCell ref="B38:I39"/>
    <mergeCell ref="J39:Y39"/>
    <mergeCell ref="B36:I37"/>
    <mergeCell ref="J36:Y37"/>
    <mergeCell ref="K38:P38"/>
    <mergeCell ref="C50:Y50"/>
    <mergeCell ref="B54:Y57"/>
    <mergeCell ref="J47:M47"/>
    <mergeCell ref="J43:O43"/>
    <mergeCell ref="J44:M44"/>
    <mergeCell ref="J45:M45"/>
    <mergeCell ref="N46:Y46"/>
    <mergeCell ref="N47:Y47"/>
    <mergeCell ref="N44:Y44"/>
    <mergeCell ref="B44:I47"/>
    <mergeCell ref="J46:M46"/>
    <mergeCell ref="N45:Y45"/>
    <mergeCell ref="B43:I43"/>
  </mergeCells>
  <phoneticPr fontId="2"/>
  <conditionalFormatting sqref="AK3:AS10">
    <cfRule type="expression" dxfId="32" priority="1" stopIfTrue="1">
      <formula>$AL3=$AL$12</formula>
    </cfRule>
  </conditionalFormatting>
  <dataValidations count="13">
    <dataValidation type="custom" imeMode="off" allowBlank="1" showInputMessage="1" showErrorMessage="1" error="ハイフンで区切って、半角で入力して下さい" sqref="N46:Y46">
      <formula1>N46=ASC(N46)</formula1>
    </dataValidation>
    <dataValidation imeMode="disabled" allowBlank="1" showInputMessage="1" showErrorMessage="1" sqref="N25:R25"/>
    <dataValidation imeMode="fullKatakana" allowBlank="1" showInputMessage="1" showErrorMessage="1" sqref="N28:Y28"/>
    <dataValidation imeMode="off" allowBlank="1" showInputMessage="1" showErrorMessage="1" sqref="N47:Y47"/>
    <dataValidation imeMode="on" allowBlank="1" showInputMessage="1" showErrorMessage="1" sqref="N26:Y27 N29:Y30"/>
    <dataValidation type="whole" imeMode="off" allowBlank="1" showInputMessage="1" showErrorMessage="1" error="入力した番号を確認して下さい。" sqref="U42:Y42">
      <formula1>1</formula1>
      <formula2>99</formula2>
    </dataValidation>
    <dataValidation imeMode="hiragana" allowBlank="1" showInputMessage="1" showErrorMessage="1" sqref="N44:Y44"/>
    <dataValidation type="list" allowBlank="1" showInputMessage="1" showErrorMessage="1" error="プルダウンリストから選択して下さい。" sqref="H16:P16">
      <formula1>$AK$2:$AK$10</formula1>
    </dataValidation>
    <dataValidation type="list" imeMode="halfAlpha" allowBlank="1" showInputMessage="1" showErrorMessage="1" error="日付を確認して下さい。_x000a_平成26年度以前から対象事業者となっている場合は、「平成26年度以前」を選択して下さい。" sqref="J17:K17">
      <formula1>"2019以前,2020,2021,2022,2023,2024,2025,2026"</formula1>
    </dataValidation>
    <dataValidation type="list" allowBlank="1" showInputMessage="1" showErrorMessage="1" error="日付を確認して下さい。" sqref="U21">
      <formula1>"1,2,3,4,5,6,7,8,9,10,11,12"</formula1>
    </dataValidation>
    <dataValidation type="list" imeMode="off" allowBlank="1" showInputMessage="1" showErrorMessage="1" error="日付を確認して下さい。" sqref="W21">
      <formula1>"1,2,3,4,5,6,7,8,9,10,11,12,13,14,15,16,17,18,19,20,21,22,23,24,25,26,27,28,29,30,31"</formula1>
    </dataValidation>
    <dataValidation type="list" allowBlank="1" showInputMessage="1" showErrorMessage="1" error="日付を確認して下さい。" sqref="M17">
      <formula1>"-,1,2,3,4,5,6,7,8,9,10,11,12"</formula1>
    </dataValidation>
    <dataValidation type="list" imeMode="halfAlpha" allowBlank="1" showInputMessage="1" showErrorMessage="1" error="入力した日付を確認して下さい。" sqref="R21:S21">
      <formula1>"2019,2020,2021,2022,2023,2024,2025,2026"</formula1>
    </dataValidation>
  </dataValidations>
  <pageMargins left="0.78740157480314965" right="0.39370078740157483" top="0.59055118110236227" bottom="0.59055118110236227" header="0.39370078740157483" footer="0.39370078740157483"/>
  <pageSetup paperSize="9" orientation="portrait" r:id="rId1"/>
  <headerFooter alignWithMargins="0">
    <oddHeader>&amp;A</oddHead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66FFFF"/>
    <pageSetUpPr fitToPage="1"/>
  </sheetPr>
  <dimension ref="A1:H203"/>
  <sheetViews>
    <sheetView zoomScaleNormal="100" workbookViewId="0">
      <pane xSplit="1" ySplit="3" topLeftCell="B4" activePane="bottomRight" state="frozen"/>
      <selection pane="topRight" activeCell="B1" sqref="B1"/>
      <selection pane="bottomLeft" activeCell="A4" sqref="A4"/>
      <selection pane="bottomRight" activeCell="B5" sqref="B5"/>
    </sheetView>
  </sheetViews>
  <sheetFormatPr defaultColWidth="9" defaultRowHeight="13.5"/>
  <cols>
    <col min="1" max="1" width="5" style="16" customWidth="1"/>
    <col min="2" max="3" width="22.5" style="16" customWidth="1"/>
    <col min="4" max="4" width="17.125" style="16" customWidth="1"/>
    <col min="5" max="5" width="7.5" style="16" customWidth="1"/>
    <col min="6" max="6" width="7.875" style="16" customWidth="1"/>
    <col min="7" max="7" width="2.5" style="16" customWidth="1"/>
    <col min="8" max="8" width="0" style="16" hidden="1" customWidth="1"/>
    <col min="9" max="16384" width="9" style="16"/>
  </cols>
  <sheetData>
    <row r="1" spans="1:8">
      <c r="B1" s="89"/>
      <c r="C1" s="89"/>
      <c r="D1" s="89"/>
      <c r="E1" s="89"/>
      <c r="F1" s="90"/>
    </row>
    <row r="2" spans="1:8" ht="18" thickBot="1">
      <c r="A2" s="91" t="s">
        <v>670</v>
      </c>
      <c r="B2" s="89"/>
      <c r="C2" s="89"/>
      <c r="D2" s="89"/>
      <c r="E2" s="89"/>
      <c r="F2" s="89"/>
    </row>
    <row r="3" spans="1:8" ht="25.5" customHeight="1">
      <c r="A3" s="116" t="s">
        <v>671</v>
      </c>
      <c r="B3" s="117" t="s">
        <v>672</v>
      </c>
      <c r="C3" s="117" t="s">
        <v>673</v>
      </c>
      <c r="D3" s="117" t="s">
        <v>674</v>
      </c>
      <c r="E3" s="118" t="s">
        <v>1797</v>
      </c>
      <c r="F3" s="119" t="s">
        <v>2207</v>
      </c>
      <c r="H3" s="16">
        <f>MAX(H4:H203)</f>
        <v>1</v>
      </c>
    </row>
    <row r="4" spans="1:8" ht="26.25" customHeight="1">
      <c r="A4" s="120">
        <v>1</v>
      </c>
      <c r="B4" s="159">
        <f>表紙!N29</f>
        <v>0</v>
      </c>
      <c r="C4" s="159">
        <f>表紙!N26</f>
        <v>0</v>
      </c>
      <c r="D4" s="160">
        <f>表紙!N45</f>
        <v>0</v>
      </c>
      <c r="E4" s="125"/>
      <c r="F4" s="157"/>
      <c r="H4" s="16">
        <f>IF(B4="",0,A4)</f>
        <v>1</v>
      </c>
    </row>
    <row r="5" spans="1:8" ht="26.25" customHeight="1">
      <c r="A5" s="120">
        <v>2</v>
      </c>
      <c r="B5" s="126"/>
      <c r="C5" s="126"/>
      <c r="D5" s="127"/>
      <c r="E5" s="125"/>
      <c r="F5" s="157"/>
      <c r="H5" s="16">
        <f>IF(B5="",0,A5)</f>
        <v>0</v>
      </c>
    </row>
    <row r="6" spans="1:8" ht="26.25" customHeight="1">
      <c r="A6" s="120">
        <v>3</v>
      </c>
      <c r="B6" s="126"/>
      <c r="C6" s="126"/>
      <c r="D6" s="127"/>
      <c r="E6" s="125"/>
      <c r="F6" s="157"/>
      <c r="H6" s="16">
        <f t="shared" ref="H6:H68" si="0">IF(B6="",0,A6)</f>
        <v>0</v>
      </c>
    </row>
    <row r="7" spans="1:8" ht="26.25" customHeight="1">
      <c r="A7" s="120">
        <v>4</v>
      </c>
      <c r="B7" s="126"/>
      <c r="C7" s="126"/>
      <c r="D7" s="127"/>
      <c r="E7" s="125"/>
      <c r="F7" s="157"/>
      <c r="H7" s="16">
        <f t="shared" si="0"/>
        <v>0</v>
      </c>
    </row>
    <row r="8" spans="1:8" ht="26.25" customHeight="1">
      <c r="A8" s="120">
        <v>5</v>
      </c>
      <c r="B8" s="126"/>
      <c r="C8" s="126"/>
      <c r="D8" s="127"/>
      <c r="E8" s="125"/>
      <c r="F8" s="157"/>
      <c r="H8" s="16">
        <f>IF(B8="",0,A8)</f>
        <v>0</v>
      </c>
    </row>
    <row r="9" spans="1:8" ht="26.25" customHeight="1">
      <c r="A9" s="120">
        <v>6</v>
      </c>
      <c r="B9" s="126"/>
      <c r="C9" s="126"/>
      <c r="D9" s="127"/>
      <c r="E9" s="125"/>
      <c r="F9" s="157"/>
      <c r="H9" s="16">
        <f t="shared" si="0"/>
        <v>0</v>
      </c>
    </row>
    <row r="10" spans="1:8" ht="26.25" customHeight="1">
      <c r="A10" s="120">
        <v>7</v>
      </c>
      <c r="B10" s="126"/>
      <c r="C10" s="126"/>
      <c r="D10" s="127"/>
      <c r="E10" s="125"/>
      <c r="F10" s="157"/>
      <c r="H10" s="16">
        <f t="shared" si="0"/>
        <v>0</v>
      </c>
    </row>
    <row r="11" spans="1:8" ht="26.25" customHeight="1">
      <c r="A11" s="120">
        <v>8</v>
      </c>
      <c r="B11" s="126"/>
      <c r="C11" s="126"/>
      <c r="D11" s="127"/>
      <c r="E11" s="125"/>
      <c r="F11" s="157"/>
      <c r="H11" s="16">
        <f t="shared" si="0"/>
        <v>0</v>
      </c>
    </row>
    <row r="12" spans="1:8" ht="26.25" customHeight="1">
      <c r="A12" s="120">
        <v>9</v>
      </c>
      <c r="B12" s="126"/>
      <c r="C12" s="126"/>
      <c r="D12" s="127"/>
      <c r="E12" s="125"/>
      <c r="F12" s="157"/>
      <c r="H12" s="16">
        <f t="shared" si="0"/>
        <v>0</v>
      </c>
    </row>
    <row r="13" spans="1:8" ht="26.25" customHeight="1">
      <c r="A13" s="120">
        <v>10</v>
      </c>
      <c r="B13" s="126"/>
      <c r="C13" s="126"/>
      <c r="D13" s="127"/>
      <c r="E13" s="125"/>
      <c r="F13" s="157"/>
      <c r="H13" s="16">
        <f t="shared" si="0"/>
        <v>0</v>
      </c>
    </row>
    <row r="14" spans="1:8" ht="26.25" customHeight="1">
      <c r="A14" s="120">
        <v>11</v>
      </c>
      <c r="B14" s="126"/>
      <c r="C14" s="126"/>
      <c r="D14" s="127"/>
      <c r="E14" s="125"/>
      <c r="F14" s="157"/>
      <c r="H14" s="16">
        <f t="shared" si="0"/>
        <v>0</v>
      </c>
    </row>
    <row r="15" spans="1:8" ht="26.25" customHeight="1">
      <c r="A15" s="120">
        <v>12</v>
      </c>
      <c r="B15" s="126"/>
      <c r="C15" s="126"/>
      <c r="D15" s="127"/>
      <c r="E15" s="125"/>
      <c r="F15" s="157"/>
      <c r="H15" s="16">
        <f t="shared" si="0"/>
        <v>0</v>
      </c>
    </row>
    <row r="16" spans="1:8" ht="26.25" customHeight="1">
      <c r="A16" s="120">
        <v>13</v>
      </c>
      <c r="B16" s="126"/>
      <c r="C16" s="126"/>
      <c r="D16" s="127"/>
      <c r="E16" s="125"/>
      <c r="F16" s="157"/>
      <c r="H16" s="16">
        <f t="shared" si="0"/>
        <v>0</v>
      </c>
    </row>
    <row r="17" spans="1:8" ht="26.25" customHeight="1">
      <c r="A17" s="120">
        <v>14</v>
      </c>
      <c r="B17" s="126"/>
      <c r="C17" s="126"/>
      <c r="D17" s="127"/>
      <c r="E17" s="125"/>
      <c r="F17" s="157"/>
      <c r="H17" s="16">
        <f t="shared" si="0"/>
        <v>0</v>
      </c>
    </row>
    <row r="18" spans="1:8" ht="26.25" customHeight="1">
      <c r="A18" s="120">
        <v>15</v>
      </c>
      <c r="B18" s="126"/>
      <c r="C18" s="126"/>
      <c r="D18" s="127"/>
      <c r="E18" s="125"/>
      <c r="F18" s="157"/>
      <c r="H18" s="16">
        <f t="shared" si="0"/>
        <v>0</v>
      </c>
    </row>
    <row r="19" spans="1:8" ht="26.25" customHeight="1">
      <c r="A19" s="120">
        <v>16</v>
      </c>
      <c r="B19" s="126"/>
      <c r="C19" s="126"/>
      <c r="D19" s="127"/>
      <c r="E19" s="125"/>
      <c r="F19" s="157"/>
      <c r="H19" s="16">
        <f t="shared" si="0"/>
        <v>0</v>
      </c>
    </row>
    <row r="20" spans="1:8" ht="26.25" customHeight="1">
      <c r="A20" s="120">
        <v>17</v>
      </c>
      <c r="B20" s="126"/>
      <c r="C20" s="126"/>
      <c r="D20" s="127"/>
      <c r="E20" s="125"/>
      <c r="F20" s="157"/>
      <c r="H20" s="16">
        <f t="shared" si="0"/>
        <v>0</v>
      </c>
    </row>
    <row r="21" spans="1:8" ht="26.25" customHeight="1">
      <c r="A21" s="120">
        <v>18</v>
      </c>
      <c r="B21" s="126"/>
      <c r="C21" s="126"/>
      <c r="D21" s="127"/>
      <c r="E21" s="125"/>
      <c r="F21" s="157"/>
      <c r="H21" s="16">
        <f t="shared" si="0"/>
        <v>0</v>
      </c>
    </row>
    <row r="22" spans="1:8" ht="26.25" customHeight="1">
      <c r="A22" s="120">
        <v>19</v>
      </c>
      <c r="B22" s="126"/>
      <c r="C22" s="126"/>
      <c r="D22" s="127"/>
      <c r="E22" s="125"/>
      <c r="F22" s="157"/>
      <c r="H22" s="16">
        <f t="shared" si="0"/>
        <v>0</v>
      </c>
    </row>
    <row r="23" spans="1:8" ht="26.25" customHeight="1">
      <c r="A23" s="120">
        <v>20</v>
      </c>
      <c r="B23" s="126"/>
      <c r="C23" s="126"/>
      <c r="D23" s="127"/>
      <c r="E23" s="125"/>
      <c r="F23" s="157"/>
      <c r="H23" s="16">
        <f t="shared" si="0"/>
        <v>0</v>
      </c>
    </row>
    <row r="24" spans="1:8" ht="26.25" customHeight="1">
      <c r="A24" s="120">
        <v>21</v>
      </c>
      <c r="B24" s="126"/>
      <c r="C24" s="126"/>
      <c r="D24" s="127"/>
      <c r="E24" s="125"/>
      <c r="F24" s="157"/>
      <c r="H24" s="16">
        <f>IF(B24="",0,A24)</f>
        <v>0</v>
      </c>
    </row>
    <row r="25" spans="1:8" ht="26.25" customHeight="1">
      <c r="A25" s="120">
        <v>22</v>
      </c>
      <c r="B25" s="126"/>
      <c r="C25" s="126"/>
      <c r="D25" s="127"/>
      <c r="E25" s="125"/>
      <c r="F25" s="157"/>
      <c r="H25" s="16">
        <f>IF(B25="",0,A25)</f>
        <v>0</v>
      </c>
    </row>
    <row r="26" spans="1:8" ht="26.25" customHeight="1">
      <c r="A26" s="120">
        <v>23</v>
      </c>
      <c r="B26" s="126"/>
      <c r="C26" s="126"/>
      <c r="D26" s="127"/>
      <c r="E26" s="125"/>
      <c r="F26" s="157"/>
      <c r="H26" s="16">
        <f t="shared" si="0"/>
        <v>0</v>
      </c>
    </row>
    <row r="27" spans="1:8" ht="26.25" customHeight="1">
      <c r="A27" s="120">
        <v>24</v>
      </c>
      <c r="B27" s="126"/>
      <c r="C27" s="126"/>
      <c r="D27" s="127"/>
      <c r="E27" s="125"/>
      <c r="F27" s="157"/>
      <c r="H27" s="16">
        <f t="shared" si="0"/>
        <v>0</v>
      </c>
    </row>
    <row r="28" spans="1:8" ht="26.25" customHeight="1">
      <c r="A28" s="120">
        <v>25</v>
      </c>
      <c r="B28" s="126"/>
      <c r="C28" s="126"/>
      <c r="D28" s="127"/>
      <c r="E28" s="125"/>
      <c r="F28" s="157"/>
      <c r="H28" s="16">
        <f t="shared" si="0"/>
        <v>0</v>
      </c>
    </row>
    <row r="29" spans="1:8" ht="26.25" customHeight="1">
      <c r="A29" s="120">
        <v>26</v>
      </c>
      <c r="B29" s="126"/>
      <c r="C29" s="126"/>
      <c r="D29" s="127"/>
      <c r="E29" s="125"/>
      <c r="F29" s="157"/>
      <c r="H29" s="16">
        <f t="shared" si="0"/>
        <v>0</v>
      </c>
    </row>
    <row r="30" spans="1:8" ht="26.25" customHeight="1">
      <c r="A30" s="120">
        <v>27</v>
      </c>
      <c r="B30" s="126"/>
      <c r="C30" s="126"/>
      <c r="D30" s="127"/>
      <c r="E30" s="125"/>
      <c r="F30" s="157"/>
      <c r="H30" s="16">
        <f t="shared" si="0"/>
        <v>0</v>
      </c>
    </row>
    <row r="31" spans="1:8" ht="26.25" customHeight="1">
      <c r="A31" s="120">
        <v>28</v>
      </c>
      <c r="B31" s="126"/>
      <c r="C31" s="126"/>
      <c r="D31" s="127"/>
      <c r="E31" s="125"/>
      <c r="F31" s="157"/>
      <c r="H31" s="16">
        <f t="shared" si="0"/>
        <v>0</v>
      </c>
    </row>
    <row r="32" spans="1:8" ht="26.25" customHeight="1">
      <c r="A32" s="120">
        <v>29</v>
      </c>
      <c r="B32" s="126"/>
      <c r="C32" s="126"/>
      <c r="D32" s="127"/>
      <c r="E32" s="125"/>
      <c r="F32" s="157"/>
      <c r="H32" s="16">
        <f t="shared" si="0"/>
        <v>0</v>
      </c>
    </row>
    <row r="33" spans="1:8" ht="26.25" customHeight="1">
      <c r="A33" s="120">
        <v>30</v>
      </c>
      <c r="B33" s="126"/>
      <c r="C33" s="126"/>
      <c r="D33" s="127"/>
      <c r="E33" s="125"/>
      <c r="F33" s="157"/>
      <c r="H33" s="16">
        <f t="shared" si="0"/>
        <v>0</v>
      </c>
    </row>
    <row r="34" spans="1:8" ht="26.25" customHeight="1">
      <c r="A34" s="120">
        <v>31</v>
      </c>
      <c r="B34" s="126"/>
      <c r="C34" s="126"/>
      <c r="D34" s="127"/>
      <c r="E34" s="125"/>
      <c r="F34" s="157"/>
      <c r="H34" s="16">
        <f t="shared" si="0"/>
        <v>0</v>
      </c>
    </row>
    <row r="35" spans="1:8" ht="26.25" customHeight="1">
      <c r="A35" s="120">
        <v>32</v>
      </c>
      <c r="B35" s="126"/>
      <c r="C35" s="126"/>
      <c r="D35" s="127"/>
      <c r="E35" s="125"/>
      <c r="F35" s="157"/>
      <c r="H35" s="16">
        <f t="shared" si="0"/>
        <v>0</v>
      </c>
    </row>
    <row r="36" spans="1:8" s="342" customFormat="1" ht="26.25" customHeight="1">
      <c r="A36" s="120">
        <v>33</v>
      </c>
      <c r="B36" s="126"/>
      <c r="C36" s="126"/>
      <c r="D36" s="127"/>
      <c r="E36" s="125"/>
      <c r="F36" s="157"/>
      <c r="H36" s="16">
        <f t="shared" si="0"/>
        <v>0</v>
      </c>
    </row>
    <row r="37" spans="1:8" s="342" customFormat="1" ht="26.25" customHeight="1">
      <c r="A37" s="120">
        <v>34</v>
      </c>
      <c r="B37" s="126"/>
      <c r="C37" s="126"/>
      <c r="D37" s="127"/>
      <c r="E37" s="125"/>
      <c r="F37" s="157"/>
      <c r="H37" s="16">
        <f t="shared" si="0"/>
        <v>0</v>
      </c>
    </row>
    <row r="38" spans="1:8" s="342" customFormat="1" ht="26.25" customHeight="1">
      <c r="A38" s="120">
        <v>35</v>
      </c>
      <c r="B38" s="126"/>
      <c r="C38" s="126"/>
      <c r="D38" s="127"/>
      <c r="E38" s="125"/>
      <c r="F38" s="157"/>
      <c r="H38" s="16">
        <f t="shared" si="0"/>
        <v>0</v>
      </c>
    </row>
    <row r="39" spans="1:8" s="342" customFormat="1" ht="26.25" customHeight="1">
      <c r="A39" s="120">
        <v>36</v>
      </c>
      <c r="B39" s="126"/>
      <c r="C39" s="126"/>
      <c r="D39" s="127"/>
      <c r="E39" s="125"/>
      <c r="F39" s="157"/>
      <c r="H39" s="16">
        <f t="shared" si="0"/>
        <v>0</v>
      </c>
    </row>
    <row r="40" spans="1:8" s="342" customFormat="1" ht="26.25" customHeight="1">
      <c r="A40" s="120">
        <v>37</v>
      </c>
      <c r="B40" s="126"/>
      <c r="C40" s="126"/>
      <c r="D40" s="127"/>
      <c r="E40" s="125"/>
      <c r="F40" s="157"/>
      <c r="H40" s="16">
        <f t="shared" si="0"/>
        <v>0</v>
      </c>
    </row>
    <row r="41" spans="1:8" ht="26.25" customHeight="1">
      <c r="A41" s="120">
        <v>38</v>
      </c>
      <c r="B41" s="126"/>
      <c r="C41" s="126"/>
      <c r="D41" s="127"/>
      <c r="E41" s="125"/>
      <c r="F41" s="157"/>
      <c r="H41" s="16">
        <f t="shared" si="0"/>
        <v>0</v>
      </c>
    </row>
    <row r="42" spans="1:8" ht="26.25" customHeight="1">
      <c r="A42" s="120">
        <v>39</v>
      </c>
      <c r="B42" s="126"/>
      <c r="C42" s="126"/>
      <c r="D42" s="127"/>
      <c r="E42" s="125"/>
      <c r="F42" s="157"/>
      <c r="H42" s="16">
        <f t="shared" si="0"/>
        <v>0</v>
      </c>
    </row>
    <row r="43" spans="1:8" ht="26.25" customHeight="1">
      <c r="A43" s="120">
        <v>40</v>
      </c>
      <c r="B43" s="126"/>
      <c r="C43" s="126"/>
      <c r="D43" s="127"/>
      <c r="E43" s="125"/>
      <c r="F43" s="157"/>
      <c r="H43" s="16">
        <f t="shared" si="0"/>
        <v>0</v>
      </c>
    </row>
    <row r="44" spans="1:8" ht="26.25" customHeight="1">
      <c r="A44" s="120">
        <v>41</v>
      </c>
      <c r="B44" s="126"/>
      <c r="C44" s="126"/>
      <c r="D44" s="127"/>
      <c r="E44" s="125"/>
      <c r="F44" s="157"/>
      <c r="H44" s="16">
        <f t="shared" si="0"/>
        <v>0</v>
      </c>
    </row>
    <row r="45" spans="1:8" ht="26.25" customHeight="1">
      <c r="A45" s="120">
        <v>42</v>
      </c>
      <c r="B45" s="126"/>
      <c r="C45" s="126"/>
      <c r="D45" s="127"/>
      <c r="E45" s="125"/>
      <c r="F45" s="157"/>
      <c r="H45" s="16">
        <f t="shared" si="0"/>
        <v>0</v>
      </c>
    </row>
    <row r="46" spans="1:8" ht="26.25" customHeight="1">
      <c r="A46" s="120">
        <v>43</v>
      </c>
      <c r="B46" s="126"/>
      <c r="C46" s="126"/>
      <c r="D46" s="127"/>
      <c r="E46" s="125"/>
      <c r="F46" s="157"/>
      <c r="H46" s="16">
        <f t="shared" si="0"/>
        <v>0</v>
      </c>
    </row>
    <row r="47" spans="1:8" ht="26.25" customHeight="1">
      <c r="A47" s="120">
        <v>44</v>
      </c>
      <c r="B47" s="126"/>
      <c r="C47" s="126"/>
      <c r="D47" s="127"/>
      <c r="E47" s="125"/>
      <c r="F47" s="157"/>
      <c r="H47" s="16">
        <f t="shared" si="0"/>
        <v>0</v>
      </c>
    </row>
    <row r="48" spans="1:8" ht="26.25" customHeight="1">
      <c r="A48" s="120">
        <v>45</v>
      </c>
      <c r="B48" s="126"/>
      <c r="C48" s="126"/>
      <c r="D48" s="127"/>
      <c r="E48" s="125"/>
      <c r="F48" s="157"/>
      <c r="H48" s="16">
        <f t="shared" si="0"/>
        <v>0</v>
      </c>
    </row>
    <row r="49" spans="1:8" ht="26.25" customHeight="1">
      <c r="A49" s="120">
        <v>46</v>
      </c>
      <c r="B49" s="126"/>
      <c r="C49" s="126"/>
      <c r="D49" s="127"/>
      <c r="E49" s="125"/>
      <c r="F49" s="157"/>
      <c r="H49" s="16">
        <f t="shared" si="0"/>
        <v>0</v>
      </c>
    </row>
    <row r="50" spans="1:8" ht="26.25" customHeight="1">
      <c r="A50" s="120">
        <v>47</v>
      </c>
      <c r="B50" s="126"/>
      <c r="C50" s="126"/>
      <c r="D50" s="127"/>
      <c r="E50" s="125"/>
      <c r="F50" s="157"/>
      <c r="H50" s="16">
        <f t="shared" si="0"/>
        <v>0</v>
      </c>
    </row>
    <row r="51" spans="1:8" ht="26.25" customHeight="1">
      <c r="A51" s="120">
        <v>48</v>
      </c>
      <c r="B51" s="126"/>
      <c r="C51" s="126"/>
      <c r="D51" s="127"/>
      <c r="E51" s="125"/>
      <c r="F51" s="157"/>
      <c r="H51" s="16">
        <f t="shared" si="0"/>
        <v>0</v>
      </c>
    </row>
    <row r="52" spans="1:8" ht="26.25" customHeight="1">
      <c r="A52" s="120">
        <v>49</v>
      </c>
      <c r="B52" s="126"/>
      <c r="C52" s="126"/>
      <c r="D52" s="127"/>
      <c r="E52" s="125"/>
      <c r="F52" s="157"/>
      <c r="H52" s="16">
        <f t="shared" si="0"/>
        <v>0</v>
      </c>
    </row>
    <row r="53" spans="1:8" ht="26.25" customHeight="1">
      <c r="A53" s="120">
        <v>50</v>
      </c>
      <c r="B53" s="126"/>
      <c r="C53" s="126"/>
      <c r="D53" s="127"/>
      <c r="E53" s="125"/>
      <c r="F53" s="157"/>
      <c r="H53" s="16">
        <f t="shared" si="0"/>
        <v>0</v>
      </c>
    </row>
    <row r="54" spans="1:8" ht="26.25" customHeight="1">
      <c r="A54" s="120">
        <v>51</v>
      </c>
      <c r="B54" s="126"/>
      <c r="C54" s="126"/>
      <c r="D54" s="127"/>
      <c r="E54" s="125"/>
      <c r="F54" s="157"/>
      <c r="H54" s="16">
        <f t="shared" si="0"/>
        <v>0</v>
      </c>
    </row>
    <row r="55" spans="1:8" ht="26.25" customHeight="1">
      <c r="A55" s="120">
        <v>52</v>
      </c>
      <c r="B55" s="126"/>
      <c r="C55" s="126"/>
      <c r="D55" s="127"/>
      <c r="E55" s="125"/>
      <c r="F55" s="157"/>
      <c r="H55" s="16">
        <f t="shared" si="0"/>
        <v>0</v>
      </c>
    </row>
    <row r="56" spans="1:8" ht="26.25" customHeight="1">
      <c r="A56" s="120">
        <v>53</v>
      </c>
      <c r="B56" s="126"/>
      <c r="C56" s="126"/>
      <c r="D56" s="127"/>
      <c r="E56" s="125"/>
      <c r="F56" s="157"/>
      <c r="H56" s="16">
        <f t="shared" si="0"/>
        <v>0</v>
      </c>
    </row>
    <row r="57" spans="1:8" ht="26.25" customHeight="1">
      <c r="A57" s="120">
        <v>54</v>
      </c>
      <c r="B57" s="126"/>
      <c r="C57" s="126"/>
      <c r="D57" s="127"/>
      <c r="E57" s="125"/>
      <c r="F57" s="157"/>
      <c r="H57" s="16">
        <f t="shared" si="0"/>
        <v>0</v>
      </c>
    </row>
    <row r="58" spans="1:8" ht="26.25" customHeight="1">
      <c r="A58" s="120">
        <v>55</v>
      </c>
      <c r="B58" s="126"/>
      <c r="C58" s="126"/>
      <c r="D58" s="127"/>
      <c r="E58" s="125"/>
      <c r="F58" s="157"/>
      <c r="H58" s="16">
        <f t="shared" si="0"/>
        <v>0</v>
      </c>
    </row>
    <row r="59" spans="1:8" ht="26.25" customHeight="1">
      <c r="A59" s="120">
        <v>56</v>
      </c>
      <c r="B59" s="126"/>
      <c r="C59" s="126"/>
      <c r="D59" s="127"/>
      <c r="E59" s="125"/>
      <c r="F59" s="157"/>
      <c r="H59" s="16">
        <f t="shared" si="0"/>
        <v>0</v>
      </c>
    </row>
    <row r="60" spans="1:8" ht="26.25" customHeight="1">
      <c r="A60" s="120">
        <v>57</v>
      </c>
      <c r="B60" s="126"/>
      <c r="C60" s="126"/>
      <c r="D60" s="127"/>
      <c r="E60" s="125"/>
      <c r="F60" s="157"/>
      <c r="H60" s="16">
        <f t="shared" si="0"/>
        <v>0</v>
      </c>
    </row>
    <row r="61" spans="1:8" ht="26.25" customHeight="1">
      <c r="A61" s="120">
        <v>58</v>
      </c>
      <c r="B61" s="126"/>
      <c r="C61" s="126"/>
      <c r="D61" s="127"/>
      <c r="E61" s="125"/>
      <c r="F61" s="157"/>
      <c r="H61" s="16">
        <f t="shared" si="0"/>
        <v>0</v>
      </c>
    </row>
    <row r="62" spans="1:8" ht="26.25" customHeight="1">
      <c r="A62" s="120">
        <v>59</v>
      </c>
      <c r="B62" s="126"/>
      <c r="C62" s="126"/>
      <c r="D62" s="127"/>
      <c r="E62" s="125"/>
      <c r="F62" s="157"/>
      <c r="H62" s="16">
        <f t="shared" si="0"/>
        <v>0</v>
      </c>
    </row>
    <row r="63" spans="1:8" ht="26.25" customHeight="1">
      <c r="A63" s="120">
        <v>60</v>
      </c>
      <c r="B63" s="126"/>
      <c r="C63" s="126"/>
      <c r="D63" s="127"/>
      <c r="E63" s="125"/>
      <c r="F63" s="157"/>
      <c r="H63" s="16">
        <f t="shared" si="0"/>
        <v>0</v>
      </c>
    </row>
    <row r="64" spans="1:8" ht="26.25" customHeight="1">
      <c r="A64" s="120">
        <v>61</v>
      </c>
      <c r="B64" s="126"/>
      <c r="C64" s="126"/>
      <c r="D64" s="127"/>
      <c r="E64" s="125"/>
      <c r="F64" s="157"/>
      <c r="H64" s="16">
        <f t="shared" si="0"/>
        <v>0</v>
      </c>
    </row>
    <row r="65" spans="1:8" ht="26.25" customHeight="1">
      <c r="A65" s="120">
        <v>62</v>
      </c>
      <c r="B65" s="126"/>
      <c r="C65" s="126"/>
      <c r="D65" s="127"/>
      <c r="E65" s="125"/>
      <c r="F65" s="157"/>
      <c r="H65" s="16">
        <f t="shared" si="0"/>
        <v>0</v>
      </c>
    </row>
    <row r="66" spans="1:8" ht="26.25" customHeight="1">
      <c r="A66" s="120">
        <v>63</v>
      </c>
      <c r="B66" s="126"/>
      <c r="C66" s="126"/>
      <c r="D66" s="127"/>
      <c r="E66" s="125"/>
      <c r="F66" s="157"/>
      <c r="H66" s="16">
        <f t="shared" si="0"/>
        <v>0</v>
      </c>
    </row>
    <row r="67" spans="1:8" ht="26.25" customHeight="1">
      <c r="A67" s="120">
        <v>64</v>
      </c>
      <c r="B67" s="126"/>
      <c r="C67" s="126"/>
      <c r="D67" s="127"/>
      <c r="E67" s="125"/>
      <c r="F67" s="157"/>
      <c r="H67" s="16">
        <f t="shared" si="0"/>
        <v>0</v>
      </c>
    </row>
    <row r="68" spans="1:8" ht="26.25" customHeight="1">
      <c r="A68" s="120">
        <v>65</v>
      </c>
      <c r="B68" s="126"/>
      <c r="C68" s="126"/>
      <c r="D68" s="127"/>
      <c r="E68" s="125"/>
      <c r="F68" s="157"/>
      <c r="H68" s="16">
        <f t="shared" si="0"/>
        <v>0</v>
      </c>
    </row>
    <row r="69" spans="1:8" ht="26.25" customHeight="1">
      <c r="A69" s="120">
        <v>66</v>
      </c>
      <c r="B69" s="126"/>
      <c r="C69" s="126"/>
      <c r="D69" s="127"/>
      <c r="E69" s="125"/>
      <c r="F69" s="157"/>
      <c r="H69" s="16">
        <f t="shared" ref="H69:H132" si="1">IF(B69="",0,A69)</f>
        <v>0</v>
      </c>
    </row>
    <row r="70" spans="1:8" ht="26.25" customHeight="1">
      <c r="A70" s="120">
        <v>67</v>
      </c>
      <c r="B70" s="126"/>
      <c r="C70" s="126"/>
      <c r="D70" s="127"/>
      <c r="E70" s="125"/>
      <c r="F70" s="157"/>
      <c r="H70" s="16">
        <f t="shared" si="1"/>
        <v>0</v>
      </c>
    </row>
    <row r="71" spans="1:8" ht="26.25" customHeight="1">
      <c r="A71" s="120">
        <v>68</v>
      </c>
      <c r="B71" s="126"/>
      <c r="C71" s="126"/>
      <c r="D71" s="127"/>
      <c r="E71" s="125"/>
      <c r="F71" s="157"/>
      <c r="H71" s="16">
        <f t="shared" si="1"/>
        <v>0</v>
      </c>
    </row>
    <row r="72" spans="1:8" ht="26.25" customHeight="1">
      <c r="A72" s="120">
        <v>69</v>
      </c>
      <c r="B72" s="126"/>
      <c r="C72" s="126"/>
      <c r="D72" s="127"/>
      <c r="E72" s="125"/>
      <c r="F72" s="157"/>
      <c r="H72" s="16">
        <f t="shared" si="1"/>
        <v>0</v>
      </c>
    </row>
    <row r="73" spans="1:8" ht="26.25" customHeight="1">
      <c r="A73" s="120">
        <v>70</v>
      </c>
      <c r="B73" s="126"/>
      <c r="C73" s="126"/>
      <c r="D73" s="127"/>
      <c r="E73" s="125"/>
      <c r="F73" s="157"/>
      <c r="H73" s="16">
        <f t="shared" si="1"/>
        <v>0</v>
      </c>
    </row>
    <row r="74" spans="1:8" ht="26.25" customHeight="1">
      <c r="A74" s="120">
        <v>71</v>
      </c>
      <c r="B74" s="126"/>
      <c r="C74" s="126"/>
      <c r="D74" s="127"/>
      <c r="E74" s="125"/>
      <c r="F74" s="157"/>
      <c r="H74" s="16">
        <f t="shared" si="1"/>
        <v>0</v>
      </c>
    </row>
    <row r="75" spans="1:8" ht="26.25" customHeight="1">
      <c r="A75" s="120">
        <v>72</v>
      </c>
      <c r="B75" s="126"/>
      <c r="C75" s="126"/>
      <c r="D75" s="127"/>
      <c r="E75" s="125"/>
      <c r="F75" s="157"/>
      <c r="H75" s="16">
        <f t="shared" si="1"/>
        <v>0</v>
      </c>
    </row>
    <row r="76" spans="1:8" ht="26.25" customHeight="1">
      <c r="A76" s="120">
        <v>73</v>
      </c>
      <c r="B76" s="126"/>
      <c r="C76" s="126"/>
      <c r="D76" s="127"/>
      <c r="E76" s="125"/>
      <c r="F76" s="157"/>
      <c r="H76" s="16">
        <f t="shared" si="1"/>
        <v>0</v>
      </c>
    </row>
    <row r="77" spans="1:8" ht="26.25" customHeight="1">
      <c r="A77" s="120">
        <v>74</v>
      </c>
      <c r="B77" s="126"/>
      <c r="C77" s="126"/>
      <c r="D77" s="127"/>
      <c r="E77" s="125"/>
      <c r="F77" s="157"/>
      <c r="H77" s="16">
        <f t="shared" si="1"/>
        <v>0</v>
      </c>
    </row>
    <row r="78" spans="1:8" ht="26.25" customHeight="1">
      <c r="A78" s="120">
        <v>75</v>
      </c>
      <c r="B78" s="126"/>
      <c r="C78" s="126"/>
      <c r="D78" s="127"/>
      <c r="E78" s="125"/>
      <c r="F78" s="157"/>
      <c r="H78" s="16">
        <f t="shared" si="1"/>
        <v>0</v>
      </c>
    </row>
    <row r="79" spans="1:8" ht="26.25" customHeight="1">
      <c r="A79" s="120">
        <v>76</v>
      </c>
      <c r="B79" s="126"/>
      <c r="C79" s="126"/>
      <c r="D79" s="127"/>
      <c r="E79" s="125"/>
      <c r="F79" s="157"/>
      <c r="H79" s="16">
        <f t="shared" si="1"/>
        <v>0</v>
      </c>
    </row>
    <row r="80" spans="1:8" ht="26.25" customHeight="1">
      <c r="A80" s="120">
        <v>77</v>
      </c>
      <c r="B80" s="126"/>
      <c r="C80" s="126"/>
      <c r="D80" s="127"/>
      <c r="E80" s="125"/>
      <c r="F80" s="157"/>
      <c r="H80" s="16">
        <f t="shared" si="1"/>
        <v>0</v>
      </c>
    </row>
    <row r="81" spans="1:8" ht="26.25" customHeight="1">
      <c r="A81" s="120">
        <v>78</v>
      </c>
      <c r="B81" s="126"/>
      <c r="C81" s="126"/>
      <c r="D81" s="127"/>
      <c r="E81" s="125"/>
      <c r="F81" s="157"/>
      <c r="H81" s="16">
        <f t="shared" si="1"/>
        <v>0</v>
      </c>
    </row>
    <row r="82" spans="1:8" ht="26.25" customHeight="1">
      <c r="A82" s="120">
        <v>79</v>
      </c>
      <c r="B82" s="126"/>
      <c r="C82" s="126"/>
      <c r="D82" s="127"/>
      <c r="E82" s="125"/>
      <c r="F82" s="157"/>
      <c r="H82" s="16">
        <f t="shared" si="1"/>
        <v>0</v>
      </c>
    </row>
    <row r="83" spans="1:8" ht="26.25" customHeight="1">
      <c r="A83" s="120">
        <v>80</v>
      </c>
      <c r="B83" s="126"/>
      <c r="C83" s="126"/>
      <c r="D83" s="127"/>
      <c r="E83" s="125"/>
      <c r="F83" s="157"/>
      <c r="H83" s="16">
        <f t="shared" si="1"/>
        <v>0</v>
      </c>
    </row>
    <row r="84" spans="1:8" ht="26.25" customHeight="1">
      <c r="A84" s="120">
        <v>81</v>
      </c>
      <c r="B84" s="126"/>
      <c r="C84" s="126"/>
      <c r="D84" s="127"/>
      <c r="E84" s="125"/>
      <c r="F84" s="157"/>
      <c r="H84" s="16">
        <f t="shared" si="1"/>
        <v>0</v>
      </c>
    </row>
    <row r="85" spans="1:8" ht="26.25" customHeight="1">
      <c r="A85" s="120">
        <v>82</v>
      </c>
      <c r="B85" s="126"/>
      <c r="C85" s="126"/>
      <c r="D85" s="127"/>
      <c r="E85" s="125"/>
      <c r="F85" s="157"/>
      <c r="H85" s="16">
        <f t="shared" si="1"/>
        <v>0</v>
      </c>
    </row>
    <row r="86" spans="1:8" ht="26.25" customHeight="1">
      <c r="A86" s="120">
        <v>83</v>
      </c>
      <c r="B86" s="126"/>
      <c r="C86" s="126"/>
      <c r="D86" s="127"/>
      <c r="E86" s="125"/>
      <c r="F86" s="157"/>
      <c r="H86" s="16">
        <f t="shared" si="1"/>
        <v>0</v>
      </c>
    </row>
    <row r="87" spans="1:8" ht="26.25" customHeight="1">
      <c r="A87" s="120">
        <v>84</v>
      </c>
      <c r="B87" s="126"/>
      <c r="C87" s="126"/>
      <c r="D87" s="127"/>
      <c r="E87" s="125"/>
      <c r="F87" s="157"/>
      <c r="H87" s="16">
        <f t="shared" si="1"/>
        <v>0</v>
      </c>
    </row>
    <row r="88" spans="1:8" ht="26.25" customHeight="1">
      <c r="A88" s="120">
        <v>85</v>
      </c>
      <c r="B88" s="126"/>
      <c r="C88" s="126"/>
      <c r="D88" s="127"/>
      <c r="E88" s="125"/>
      <c r="F88" s="157"/>
      <c r="H88" s="16">
        <f t="shared" si="1"/>
        <v>0</v>
      </c>
    </row>
    <row r="89" spans="1:8" ht="26.25" customHeight="1">
      <c r="A89" s="120">
        <v>86</v>
      </c>
      <c r="B89" s="126"/>
      <c r="C89" s="126"/>
      <c r="D89" s="127"/>
      <c r="E89" s="125"/>
      <c r="F89" s="157"/>
      <c r="H89" s="16">
        <f t="shared" si="1"/>
        <v>0</v>
      </c>
    </row>
    <row r="90" spans="1:8" ht="26.25" customHeight="1">
      <c r="A90" s="120">
        <v>87</v>
      </c>
      <c r="B90" s="126"/>
      <c r="C90" s="126"/>
      <c r="D90" s="127"/>
      <c r="E90" s="125"/>
      <c r="F90" s="157"/>
      <c r="H90" s="16">
        <f t="shared" si="1"/>
        <v>0</v>
      </c>
    </row>
    <row r="91" spans="1:8" ht="26.25" customHeight="1">
      <c r="A91" s="120">
        <v>88</v>
      </c>
      <c r="B91" s="126"/>
      <c r="C91" s="126"/>
      <c r="D91" s="127"/>
      <c r="E91" s="125"/>
      <c r="F91" s="157"/>
      <c r="H91" s="16">
        <f t="shared" si="1"/>
        <v>0</v>
      </c>
    </row>
    <row r="92" spans="1:8" ht="26.25" customHeight="1">
      <c r="A92" s="120">
        <v>89</v>
      </c>
      <c r="B92" s="126"/>
      <c r="C92" s="126"/>
      <c r="D92" s="127"/>
      <c r="E92" s="125"/>
      <c r="F92" s="157"/>
      <c r="H92" s="16">
        <f t="shared" si="1"/>
        <v>0</v>
      </c>
    </row>
    <row r="93" spans="1:8" ht="26.25" customHeight="1">
      <c r="A93" s="120">
        <v>90</v>
      </c>
      <c r="B93" s="126"/>
      <c r="C93" s="126"/>
      <c r="D93" s="127"/>
      <c r="E93" s="125"/>
      <c r="F93" s="157"/>
      <c r="H93" s="16">
        <f t="shared" si="1"/>
        <v>0</v>
      </c>
    </row>
    <row r="94" spans="1:8" ht="26.25" customHeight="1">
      <c r="A94" s="120">
        <v>91</v>
      </c>
      <c r="B94" s="126"/>
      <c r="C94" s="126"/>
      <c r="D94" s="127"/>
      <c r="E94" s="125"/>
      <c r="F94" s="157"/>
      <c r="H94" s="16">
        <f t="shared" si="1"/>
        <v>0</v>
      </c>
    </row>
    <row r="95" spans="1:8" ht="26.25" customHeight="1">
      <c r="A95" s="120">
        <v>92</v>
      </c>
      <c r="B95" s="126"/>
      <c r="C95" s="126"/>
      <c r="D95" s="127"/>
      <c r="E95" s="125"/>
      <c r="F95" s="157"/>
      <c r="H95" s="16">
        <f t="shared" si="1"/>
        <v>0</v>
      </c>
    </row>
    <row r="96" spans="1:8" ht="26.25" customHeight="1">
      <c r="A96" s="120">
        <v>93</v>
      </c>
      <c r="B96" s="126"/>
      <c r="C96" s="126"/>
      <c r="D96" s="127"/>
      <c r="E96" s="125"/>
      <c r="F96" s="157"/>
      <c r="H96" s="16">
        <f t="shared" si="1"/>
        <v>0</v>
      </c>
    </row>
    <row r="97" spans="1:8" ht="26.25" customHeight="1">
      <c r="A97" s="120">
        <v>94</v>
      </c>
      <c r="B97" s="126"/>
      <c r="C97" s="126"/>
      <c r="D97" s="127"/>
      <c r="E97" s="125"/>
      <c r="F97" s="157"/>
      <c r="H97" s="16">
        <f t="shared" si="1"/>
        <v>0</v>
      </c>
    </row>
    <row r="98" spans="1:8" ht="26.25" customHeight="1">
      <c r="A98" s="120">
        <v>95</v>
      </c>
      <c r="B98" s="126"/>
      <c r="C98" s="126"/>
      <c r="D98" s="127"/>
      <c r="E98" s="125"/>
      <c r="F98" s="157"/>
      <c r="H98" s="16">
        <f t="shared" si="1"/>
        <v>0</v>
      </c>
    </row>
    <row r="99" spans="1:8" ht="26.25" customHeight="1">
      <c r="A99" s="120">
        <v>96</v>
      </c>
      <c r="B99" s="126"/>
      <c r="C99" s="126"/>
      <c r="D99" s="127"/>
      <c r="E99" s="125"/>
      <c r="F99" s="157"/>
      <c r="H99" s="16">
        <f t="shared" si="1"/>
        <v>0</v>
      </c>
    </row>
    <row r="100" spans="1:8" ht="26.25" customHeight="1">
      <c r="A100" s="120">
        <v>97</v>
      </c>
      <c r="B100" s="126"/>
      <c r="C100" s="126"/>
      <c r="D100" s="127"/>
      <c r="E100" s="125"/>
      <c r="F100" s="157"/>
      <c r="H100" s="16">
        <f t="shared" si="1"/>
        <v>0</v>
      </c>
    </row>
    <row r="101" spans="1:8" ht="26.25" customHeight="1">
      <c r="A101" s="120">
        <v>98</v>
      </c>
      <c r="B101" s="126"/>
      <c r="C101" s="126"/>
      <c r="D101" s="127"/>
      <c r="E101" s="125"/>
      <c r="F101" s="157"/>
      <c r="H101" s="16">
        <f t="shared" si="1"/>
        <v>0</v>
      </c>
    </row>
    <row r="102" spans="1:8" ht="26.25" customHeight="1">
      <c r="A102" s="120">
        <v>99</v>
      </c>
      <c r="B102" s="126"/>
      <c r="C102" s="126"/>
      <c r="D102" s="127"/>
      <c r="E102" s="125"/>
      <c r="F102" s="157"/>
      <c r="H102" s="16">
        <f t="shared" si="1"/>
        <v>0</v>
      </c>
    </row>
    <row r="103" spans="1:8" ht="26.25" customHeight="1">
      <c r="A103" s="120">
        <v>100</v>
      </c>
      <c r="B103" s="126"/>
      <c r="C103" s="126"/>
      <c r="D103" s="127"/>
      <c r="E103" s="125"/>
      <c r="F103" s="157"/>
      <c r="H103" s="16">
        <f t="shared" si="1"/>
        <v>0</v>
      </c>
    </row>
    <row r="104" spans="1:8" ht="26.25" customHeight="1">
      <c r="A104" s="120">
        <v>101</v>
      </c>
      <c r="B104" s="126"/>
      <c r="C104" s="126"/>
      <c r="D104" s="127"/>
      <c r="E104" s="125"/>
      <c r="F104" s="157"/>
      <c r="H104" s="16">
        <f t="shared" si="1"/>
        <v>0</v>
      </c>
    </row>
    <row r="105" spans="1:8" ht="26.25" customHeight="1">
      <c r="A105" s="120">
        <v>102</v>
      </c>
      <c r="B105" s="126"/>
      <c r="C105" s="126"/>
      <c r="D105" s="127"/>
      <c r="E105" s="125"/>
      <c r="F105" s="157"/>
      <c r="H105" s="16">
        <f t="shared" si="1"/>
        <v>0</v>
      </c>
    </row>
    <row r="106" spans="1:8" ht="26.25" customHeight="1">
      <c r="A106" s="120">
        <v>103</v>
      </c>
      <c r="B106" s="126"/>
      <c r="C106" s="126"/>
      <c r="D106" s="127"/>
      <c r="E106" s="125"/>
      <c r="F106" s="157"/>
      <c r="H106" s="16">
        <f t="shared" si="1"/>
        <v>0</v>
      </c>
    </row>
    <row r="107" spans="1:8" ht="26.25" customHeight="1">
      <c r="A107" s="120">
        <v>104</v>
      </c>
      <c r="B107" s="126"/>
      <c r="C107" s="126"/>
      <c r="D107" s="127"/>
      <c r="E107" s="125"/>
      <c r="F107" s="157"/>
      <c r="H107" s="16">
        <f t="shared" si="1"/>
        <v>0</v>
      </c>
    </row>
    <row r="108" spans="1:8" ht="26.25" customHeight="1">
      <c r="A108" s="120">
        <v>105</v>
      </c>
      <c r="B108" s="126"/>
      <c r="C108" s="126"/>
      <c r="D108" s="127"/>
      <c r="E108" s="125"/>
      <c r="F108" s="157"/>
      <c r="H108" s="16">
        <f t="shared" si="1"/>
        <v>0</v>
      </c>
    </row>
    <row r="109" spans="1:8" ht="26.25" customHeight="1">
      <c r="A109" s="120">
        <v>106</v>
      </c>
      <c r="B109" s="126"/>
      <c r="C109" s="126"/>
      <c r="D109" s="127"/>
      <c r="E109" s="125"/>
      <c r="F109" s="157"/>
      <c r="H109" s="16">
        <f t="shared" si="1"/>
        <v>0</v>
      </c>
    </row>
    <row r="110" spans="1:8" ht="26.25" customHeight="1">
      <c r="A110" s="120">
        <v>107</v>
      </c>
      <c r="B110" s="126"/>
      <c r="C110" s="126"/>
      <c r="D110" s="127"/>
      <c r="E110" s="125"/>
      <c r="F110" s="157"/>
      <c r="H110" s="16">
        <f t="shared" si="1"/>
        <v>0</v>
      </c>
    </row>
    <row r="111" spans="1:8" ht="26.25" customHeight="1">
      <c r="A111" s="120">
        <v>108</v>
      </c>
      <c r="B111" s="126"/>
      <c r="C111" s="126"/>
      <c r="D111" s="127"/>
      <c r="E111" s="125"/>
      <c r="F111" s="157"/>
      <c r="H111" s="16">
        <f t="shared" si="1"/>
        <v>0</v>
      </c>
    </row>
    <row r="112" spans="1:8" ht="26.25" customHeight="1">
      <c r="A112" s="120">
        <v>109</v>
      </c>
      <c r="B112" s="126"/>
      <c r="C112" s="126"/>
      <c r="D112" s="127"/>
      <c r="E112" s="125"/>
      <c r="F112" s="157"/>
      <c r="H112" s="16">
        <f t="shared" si="1"/>
        <v>0</v>
      </c>
    </row>
    <row r="113" spans="1:8" ht="26.25" customHeight="1">
      <c r="A113" s="120">
        <v>110</v>
      </c>
      <c r="B113" s="126"/>
      <c r="C113" s="126"/>
      <c r="D113" s="127"/>
      <c r="E113" s="125"/>
      <c r="F113" s="157"/>
      <c r="H113" s="16">
        <f t="shared" si="1"/>
        <v>0</v>
      </c>
    </row>
    <row r="114" spans="1:8" ht="26.25" customHeight="1">
      <c r="A114" s="120">
        <v>111</v>
      </c>
      <c r="B114" s="126"/>
      <c r="C114" s="126"/>
      <c r="D114" s="127"/>
      <c r="E114" s="125"/>
      <c r="F114" s="157"/>
      <c r="H114" s="16">
        <f t="shared" si="1"/>
        <v>0</v>
      </c>
    </row>
    <row r="115" spans="1:8" ht="26.25" customHeight="1">
      <c r="A115" s="120">
        <v>112</v>
      </c>
      <c r="B115" s="126"/>
      <c r="C115" s="126"/>
      <c r="D115" s="127"/>
      <c r="E115" s="125"/>
      <c r="F115" s="157"/>
      <c r="H115" s="16">
        <f t="shared" si="1"/>
        <v>0</v>
      </c>
    </row>
    <row r="116" spans="1:8" ht="26.25" customHeight="1">
      <c r="A116" s="120">
        <v>113</v>
      </c>
      <c r="B116" s="126"/>
      <c r="C116" s="126"/>
      <c r="D116" s="127"/>
      <c r="E116" s="125"/>
      <c r="F116" s="157"/>
      <c r="H116" s="16">
        <f t="shared" si="1"/>
        <v>0</v>
      </c>
    </row>
    <row r="117" spans="1:8" ht="26.25" customHeight="1">
      <c r="A117" s="120">
        <v>114</v>
      </c>
      <c r="B117" s="126"/>
      <c r="C117" s="126"/>
      <c r="D117" s="127"/>
      <c r="E117" s="125"/>
      <c r="F117" s="157"/>
      <c r="H117" s="16">
        <f t="shared" si="1"/>
        <v>0</v>
      </c>
    </row>
    <row r="118" spans="1:8" ht="26.25" customHeight="1">
      <c r="A118" s="120">
        <v>115</v>
      </c>
      <c r="B118" s="126"/>
      <c r="C118" s="126"/>
      <c r="D118" s="127"/>
      <c r="E118" s="125"/>
      <c r="F118" s="157"/>
      <c r="H118" s="16">
        <f t="shared" si="1"/>
        <v>0</v>
      </c>
    </row>
    <row r="119" spans="1:8" ht="26.25" customHeight="1">
      <c r="A119" s="120">
        <v>116</v>
      </c>
      <c r="B119" s="126"/>
      <c r="C119" s="126"/>
      <c r="D119" s="127"/>
      <c r="E119" s="125"/>
      <c r="F119" s="157"/>
      <c r="H119" s="16">
        <f t="shared" si="1"/>
        <v>0</v>
      </c>
    </row>
    <row r="120" spans="1:8" ht="26.25" customHeight="1">
      <c r="A120" s="120">
        <v>117</v>
      </c>
      <c r="B120" s="126"/>
      <c r="C120" s="126"/>
      <c r="D120" s="127"/>
      <c r="E120" s="125"/>
      <c r="F120" s="157"/>
      <c r="H120" s="16">
        <f t="shared" si="1"/>
        <v>0</v>
      </c>
    </row>
    <row r="121" spans="1:8" ht="26.25" customHeight="1">
      <c r="A121" s="120">
        <v>118</v>
      </c>
      <c r="B121" s="126"/>
      <c r="C121" s="126"/>
      <c r="D121" s="127"/>
      <c r="E121" s="125"/>
      <c r="F121" s="157"/>
      <c r="H121" s="16">
        <f t="shared" si="1"/>
        <v>0</v>
      </c>
    </row>
    <row r="122" spans="1:8" ht="26.25" customHeight="1">
      <c r="A122" s="120">
        <v>119</v>
      </c>
      <c r="B122" s="126"/>
      <c r="C122" s="126"/>
      <c r="D122" s="127"/>
      <c r="E122" s="125"/>
      <c r="F122" s="157"/>
      <c r="H122" s="16">
        <f t="shared" si="1"/>
        <v>0</v>
      </c>
    </row>
    <row r="123" spans="1:8" ht="26.25" customHeight="1">
      <c r="A123" s="120">
        <v>120</v>
      </c>
      <c r="B123" s="126"/>
      <c r="C123" s="126"/>
      <c r="D123" s="127"/>
      <c r="E123" s="125"/>
      <c r="F123" s="157"/>
      <c r="H123" s="16">
        <f t="shared" si="1"/>
        <v>0</v>
      </c>
    </row>
    <row r="124" spans="1:8" ht="26.25" customHeight="1">
      <c r="A124" s="120">
        <v>121</v>
      </c>
      <c r="B124" s="126"/>
      <c r="C124" s="126"/>
      <c r="D124" s="127"/>
      <c r="E124" s="125"/>
      <c r="F124" s="157"/>
      <c r="H124" s="16">
        <f t="shared" si="1"/>
        <v>0</v>
      </c>
    </row>
    <row r="125" spans="1:8" ht="26.25" customHeight="1">
      <c r="A125" s="120">
        <v>122</v>
      </c>
      <c r="B125" s="126"/>
      <c r="C125" s="126"/>
      <c r="D125" s="127"/>
      <c r="E125" s="125"/>
      <c r="F125" s="157"/>
      <c r="H125" s="16">
        <f t="shared" si="1"/>
        <v>0</v>
      </c>
    </row>
    <row r="126" spans="1:8" ht="26.25" customHeight="1">
      <c r="A126" s="120">
        <v>123</v>
      </c>
      <c r="B126" s="126"/>
      <c r="C126" s="126"/>
      <c r="D126" s="127"/>
      <c r="E126" s="125"/>
      <c r="F126" s="157"/>
      <c r="H126" s="16">
        <f t="shared" si="1"/>
        <v>0</v>
      </c>
    </row>
    <row r="127" spans="1:8" ht="26.25" customHeight="1">
      <c r="A127" s="120">
        <v>124</v>
      </c>
      <c r="B127" s="126"/>
      <c r="C127" s="126"/>
      <c r="D127" s="127"/>
      <c r="E127" s="125"/>
      <c r="F127" s="157"/>
      <c r="H127" s="16">
        <f t="shared" si="1"/>
        <v>0</v>
      </c>
    </row>
    <row r="128" spans="1:8" ht="26.25" customHeight="1">
      <c r="A128" s="120">
        <v>125</v>
      </c>
      <c r="B128" s="126"/>
      <c r="C128" s="126"/>
      <c r="D128" s="127"/>
      <c r="E128" s="125"/>
      <c r="F128" s="157"/>
      <c r="H128" s="16">
        <f t="shared" si="1"/>
        <v>0</v>
      </c>
    </row>
    <row r="129" spans="1:8" ht="26.25" customHeight="1">
      <c r="A129" s="120">
        <v>126</v>
      </c>
      <c r="B129" s="126"/>
      <c r="C129" s="126"/>
      <c r="D129" s="127"/>
      <c r="E129" s="125"/>
      <c r="F129" s="157"/>
      <c r="H129" s="16">
        <f t="shared" si="1"/>
        <v>0</v>
      </c>
    </row>
    <row r="130" spans="1:8" ht="26.25" customHeight="1">
      <c r="A130" s="120">
        <v>127</v>
      </c>
      <c r="B130" s="126"/>
      <c r="C130" s="126"/>
      <c r="D130" s="127"/>
      <c r="E130" s="125"/>
      <c r="F130" s="157"/>
      <c r="H130" s="16">
        <f t="shared" si="1"/>
        <v>0</v>
      </c>
    </row>
    <row r="131" spans="1:8" ht="26.25" customHeight="1">
      <c r="A131" s="120">
        <v>128</v>
      </c>
      <c r="B131" s="126"/>
      <c r="C131" s="126"/>
      <c r="D131" s="127"/>
      <c r="E131" s="125"/>
      <c r="F131" s="157"/>
      <c r="H131" s="16">
        <f t="shared" si="1"/>
        <v>0</v>
      </c>
    </row>
    <row r="132" spans="1:8" ht="26.25" customHeight="1">
      <c r="A132" s="120">
        <v>129</v>
      </c>
      <c r="B132" s="126"/>
      <c r="C132" s="126"/>
      <c r="D132" s="127"/>
      <c r="E132" s="125"/>
      <c r="F132" s="157"/>
      <c r="H132" s="16">
        <f t="shared" si="1"/>
        <v>0</v>
      </c>
    </row>
    <row r="133" spans="1:8" ht="26.25" customHeight="1">
      <c r="A133" s="120">
        <v>130</v>
      </c>
      <c r="B133" s="126"/>
      <c r="C133" s="126"/>
      <c r="D133" s="127"/>
      <c r="E133" s="125"/>
      <c r="F133" s="157"/>
      <c r="H133" s="16">
        <f t="shared" ref="H133:H203" si="2">IF(B133="",0,A133)</f>
        <v>0</v>
      </c>
    </row>
    <row r="134" spans="1:8" ht="26.25" customHeight="1">
      <c r="A134" s="120">
        <v>131</v>
      </c>
      <c r="B134" s="126"/>
      <c r="C134" s="126"/>
      <c r="D134" s="127"/>
      <c r="E134" s="125"/>
      <c r="F134" s="157"/>
      <c r="H134" s="16">
        <f t="shared" si="2"/>
        <v>0</v>
      </c>
    </row>
    <row r="135" spans="1:8" ht="26.25" customHeight="1">
      <c r="A135" s="120">
        <v>132</v>
      </c>
      <c r="B135" s="126"/>
      <c r="C135" s="126"/>
      <c r="D135" s="127"/>
      <c r="E135" s="125"/>
      <c r="F135" s="157"/>
      <c r="H135" s="16">
        <f t="shared" si="2"/>
        <v>0</v>
      </c>
    </row>
    <row r="136" spans="1:8" ht="26.25" customHeight="1">
      <c r="A136" s="120">
        <v>133</v>
      </c>
      <c r="B136" s="126"/>
      <c r="C136" s="126"/>
      <c r="D136" s="127"/>
      <c r="E136" s="125"/>
      <c r="F136" s="157"/>
      <c r="H136" s="16">
        <f t="shared" si="2"/>
        <v>0</v>
      </c>
    </row>
    <row r="137" spans="1:8" ht="26.25" customHeight="1">
      <c r="A137" s="120">
        <v>134</v>
      </c>
      <c r="B137" s="126"/>
      <c r="C137" s="126"/>
      <c r="D137" s="127"/>
      <c r="E137" s="125"/>
      <c r="F137" s="157"/>
      <c r="H137" s="16">
        <f t="shared" si="2"/>
        <v>0</v>
      </c>
    </row>
    <row r="138" spans="1:8" ht="26.25" customHeight="1">
      <c r="A138" s="120">
        <v>135</v>
      </c>
      <c r="B138" s="126"/>
      <c r="C138" s="126"/>
      <c r="D138" s="127"/>
      <c r="E138" s="125"/>
      <c r="F138" s="157"/>
      <c r="H138" s="16">
        <f t="shared" si="2"/>
        <v>0</v>
      </c>
    </row>
    <row r="139" spans="1:8" ht="26.25" customHeight="1">
      <c r="A139" s="120">
        <v>136</v>
      </c>
      <c r="B139" s="126"/>
      <c r="C139" s="126"/>
      <c r="D139" s="127"/>
      <c r="E139" s="125"/>
      <c r="F139" s="157"/>
      <c r="H139" s="16">
        <f t="shared" si="2"/>
        <v>0</v>
      </c>
    </row>
    <row r="140" spans="1:8" ht="26.25" customHeight="1">
      <c r="A140" s="120">
        <v>137</v>
      </c>
      <c r="B140" s="126"/>
      <c r="C140" s="126"/>
      <c r="D140" s="127"/>
      <c r="E140" s="125"/>
      <c r="F140" s="157"/>
      <c r="H140" s="16">
        <f t="shared" si="2"/>
        <v>0</v>
      </c>
    </row>
    <row r="141" spans="1:8" ht="26.25" customHeight="1">
      <c r="A141" s="120">
        <v>138</v>
      </c>
      <c r="B141" s="126"/>
      <c r="C141" s="126"/>
      <c r="D141" s="127"/>
      <c r="E141" s="125"/>
      <c r="F141" s="157"/>
      <c r="H141" s="16">
        <f t="shared" si="2"/>
        <v>0</v>
      </c>
    </row>
    <row r="142" spans="1:8" ht="26.25" customHeight="1">
      <c r="A142" s="120">
        <v>139</v>
      </c>
      <c r="B142" s="126"/>
      <c r="C142" s="126"/>
      <c r="D142" s="127"/>
      <c r="E142" s="125"/>
      <c r="F142" s="157"/>
      <c r="H142" s="16">
        <f t="shared" si="2"/>
        <v>0</v>
      </c>
    </row>
    <row r="143" spans="1:8" ht="26.25" customHeight="1">
      <c r="A143" s="120">
        <v>140</v>
      </c>
      <c r="B143" s="126"/>
      <c r="C143" s="126"/>
      <c r="D143" s="127"/>
      <c r="E143" s="125"/>
      <c r="F143" s="157"/>
      <c r="H143" s="16">
        <f t="shared" si="2"/>
        <v>0</v>
      </c>
    </row>
    <row r="144" spans="1:8" ht="26.25" customHeight="1">
      <c r="A144" s="120">
        <v>141</v>
      </c>
      <c r="B144" s="126"/>
      <c r="C144" s="126"/>
      <c r="D144" s="127"/>
      <c r="E144" s="125"/>
      <c r="F144" s="157"/>
      <c r="H144" s="16">
        <f t="shared" si="2"/>
        <v>0</v>
      </c>
    </row>
    <row r="145" spans="1:8" ht="26.25" customHeight="1">
      <c r="A145" s="120">
        <v>142</v>
      </c>
      <c r="B145" s="126"/>
      <c r="C145" s="126"/>
      <c r="D145" s="127"/>
      <c r="E145" s="125"/>
      <c r="F145" s="157"/>
      <c r="H145" s="16">
        <f t="shared" si="2"/>
        <v>0</v>
      </c>
    </row>
    <row r="146" spans="1:8" ht="26.25" customHeight="1">
      <c r="A146" s="120">
        <v>143</v>
      </c>
      <c r="B146" s="126"/>
      <c r="C146" s="126"/>
      <c r="D146" s="127"/>
      <c r="E146" s="125"/>
      <c r="F146" s="157"/>
      <c r="H146" s="16">
        <f t="shared" si="2"/>
        <v>0</v>
      </c>
    </row>
    <row r="147" spans="1:8" ht="26.25" customHeight="1">
      <c r="A147" s="120">
        <v>144</v>
      </c>
      <c r="B147" s="126"/>
      <c r="C147" s="126"/>
      <c r="D147" s="127"/>
      <c r="E147" s="125"/>
      <c r="F147" s="157"/>
      <c r="H147" s="16">
        <f t="shared" si="2"/>
        <v>0</v>
      </c>
    </row>
    <row r="148" spans="1:8" ht="26.25" customHeight="1">
      <c r="A148" s="120">
        <v>145</v>
      </c>
      <c r="B148" s="126"/>
      <c r="C148" s="126"/>
      <c r="D148" s="127"/>
      <c r="E148" s="125"/>
      <c r="F148" s="157"/>
      <c r="H148" s="16">
        <f t="shared" si="2"/>
        <v>0</v>
      </c>
    </row>
    <row r="149" spans="1:8" ht="26.25" customHeight="1">
      <c r="A149" s="120">
        <v>146</v>
      </c>
      <c r="B149" s="126"/>
      <c r="C149" s="126"/>
      <c r="D149" s="127"/>
      <c r="E149" s="125"/>
      <c r="F149" s="157"/>
      <c r="H149" s="16">
        <f t="shared" si="2"/>
        <v>0</v>
      </c>
    </row>
    <row r="150" spans="1:8" ht="26.25" customHeight="1">
      <c r="A150" s="120">
        <v>147</v>
      </c>
      <c r="B150" s="126"/>
      <c r="C150" s="126"/>
      <c r="D150" s="127"/>
      <c r="E150" s="125"/>
      <c r="F150" s="157"/>
      <c r="H150" s="16">
        <f t="shared" si="2"/>
        <v>0</v>
      </c>
    </row>
    <row r="151" spans="1:8" ht="26.25" customHeight="1">
      <c r="A151" s="120">
        <v>148</v>
      </c>
      <c r="B151" s="126"/>
      <c r="C151" s="126"/>
      <c r="D151" s="127"/>
      <c r="E151" s="125"/>
      <c r="F151" s="157"/>
      <c r="H151" s="16">
        <f t="shared" si="2"/>
        <v>0</v>
      </c>
    </row>
    <row r="152" spans="1:8" ht="26.25" customHeight="1">
      <c r="A152" s="120">
        <v>149</v>
      </c>
      <c r="B152" s="126"/>
      <c r="C152" s="126"/>
      <c r="D152" s="127"/>
      <c r="E152" s="125"/>
      <c r="F152" s="157"/>
      <c r="H152" s="16">
        <f t="shared" si="2"/>
        <v>0</v>
      </c>
    </row>
    <row r="153" spans="1:8" ht="26.25" customHeight="1">
      <c r="A153" s="120">
        <v>150</v>
      </c>
      <c r="B153" s="126"/>
      <c r="C153" s="126"/>
      <c r="D153" s="127"/>
      <c r="E153" s="125"/>
      <c r="F153" s="157"/>
      <c r="H153" s="16">
        <f t="shared" ref="H153:H192" si="3">IF(B153="",0,A153)</f>
        <v>0</v>
      </c>
    </row>
    <row r="154" spans="1:8" ht="26.25" customHeight="1">
      <c r="A154" s="120">
        <v>151</v>
      </c>
      <c r="B154" s="126"/>
      <c r="C154" s="126"/>
      <c r="D154" s="127"/>
      <c r="E154" s="125"/>
      <c r="F154" s="157"/>
      <c r="H154" s="16">
        <f t="shared" si="3"/>
        <v>0</v>
      </c>
    </row>
    <row r="155" spans="1:8" ht="26.25" customHeight="1">
      <c r="A155" s="120">
        <v>152</v>
      </c>
      <c r="B155" s="126"/>
      <c r="C155" s="126"/>
      <c r="D155" s="127"/>
      <c r="E155" s="125"/>
      <c r="F155" s="157"/>
      <c r="H155" s="16">
        <f t="shared" si="3"/>
        <v>0</v>
      </c>
    </row>
    <row r="156" spans="1:8" ht="26.25" customHeight="1">
      <c r="A156" s="120">
        <v>153</v>
      </c>
      <c r="B156" s="126"/>
      <c r="C156" s="126"/>
      <c r="D156" s="127"/>
      <c r="E156" s="125"/>
      <c r="F156" s="157"/>
      <c r="H156" s="16">
        <f t="shared" si="3"/>
        <v>0</v>
      </c>
    </row>
    <row r="157" spans="1:8" ht="26.25" customHeight="1">
      <c r="A157" s="120">
        <v>154</v>
      </c>
      <c r="B157" s="126"/>
      <c r="C157" s="126"/>
      <c r="D157" s="127"/>
      <c r="E157" s="125"/>
      <c r="F157" s="157"/>
      <c r="H157" s="16">
        <f t="shared" si="3"/>
        <v>0</v>
      </c>
    </row>
    <row r="158" spans="1:8" ht="26.25" customHeight="1">
      <c r="A158" s="120">
        <v>155</v>
      </c>
      <c r="B158" s="126"/>
      <c r="C158" s="126"/>
      <c r="D158" s="127"/>
      <c r="E158" s="125"/>
      <c r="F158" s="157"/>
      <c r="H158" s="16">
        <f t="shared" si="3"/>
        <v>0</v>
      </c>
    </row>
    <row r="159" spans="1:8" ht="26.25" customHeight="1">
      <c r="A159" s="120">
        <v>156</v>
      </c>
      <c r="B159" s="126"/>
      <c r="C159" s="126"/>
      <c r="D159" s="127"/>
      <c r="E159" s="125"/>
      <c r="F159" s="157"/>
      <c r="H159" s="16">
        <f t="shared" si="3"/>
        <v>0</v>
      </c>
    </row>
    <row r="160" spans="1:8" ht="26.25" customHeight="1">
      <c r="A160" s="120">
        <v>157</v>
      </c>
      <c r="B160" s="126"/>
      <c r="C160" s="126"/>
      <c r="D160" s="127"/>
      <c r="E160" s="125"/>
      <c r="F160" s="157"/>
      <c r="H160" s="16">
        <f t="shared" si="3"/>
        <v>0</v>
      </c>
    </row>
    <row r="161" spans="1:8" ht="26.25" customHeight="1">
      <c r="A161" s="120">
        <v>158</v>
      </c>
      <c r="B161" s="126"/>
      <c r="C161" s="126"/>
      <c r="D161" s="127"/>
      <c r="E161" s="125"/>
      <c r="F161" s="157"/>
      <c r="H161" s="16">
        <f t="shared" si="3"/>
        <v>0</v>
      </c>
    </row>
    <row r="162" spans="1:8" ht="26.25" customHeight="1">
      <c r="A162" s="120">
        <v>159</v>
      </c>
      <c r="B162" s="126"/>
      <c r="C162" s="126"/>
      <c r="D162" s="127"/>
      <c r="E162" s="125"/>
      <c r="F162" s="157"/>
      <c r="H162" s="16">
        <f t="shared" si="3"/>
        <v>0</v>
      </c>
    </row>
    <row r="163" spans="1:8" ht="26.25" customHeight="1">
      <c r="A163" s="120">
        <v>160</v>
      </c>
      <c r="B163" s="126"/>
      <c r="C163" s="126"/>
      <c r="D163" s="127"/>
      <c r="E163" s="125"/>
      <c r="F163" s="157"/>
      <c r="H163" s="16">
        <f t="shared" si="3"/>
        <v>0</v>
      </c>
    </row>
    <row r="164" spans="1:8" ht="26.25" customHeight="1">
      <c r="A164" s="120">
        <v>161</v>
      </c>
      <c r="B164" s="126"/>
      <c r="C164" s="126"/>
      <c r="D164" s="127"/>
      <c r="E164" s="125"/>
      <c r="F164" s="157"/>
      <c r="H164" s="16">
        <f t="shared" si="3"/>
        <v>0</v>
      </c>
    </row>
    <row r="165" spans="1:8" ht="26.25" customHeight="1">
      <c r="A165" s="120">
        <v>162</v>
      </c>
      <c r="B165" s="126"/>
      <c r="C165" s="126"/>
      <c r="D165" s="127"/>
      <c r="E165" s="125"/>
      <c r="F165" s="157"/>
      <c r="H165" s="16">
        <f t="shared" si="3"/>
        <v>0</v>
      </c>
    </row>
    <row r="166" spans="1:8" ht="26.25" customHeight="1">
      <c r="A166" s="120">
        <v>163</v>
      </c>
      <c r="B166" s="126"/>
      <c r="C166" s="126"/>
      <c r="D166" s="127"/>
      <c r="E166" s="125"/>
      <c r="F166" s="157"/>
      <c r="H166" s="16">
        <f t="shared" si="3"/>
        <v>0</v>
      </c>
    </row>
    <row r="167" spans="1:8" ht="26.25" customHeight="1">
      <c r="A167" s="120">
        <v>164</v>
      </c>
      <c r="B167" s="126"/>
      <c r="C167" s="126"/>
      <c r="D167" s="127"/>
      <c r="E167" s="125"/>
      <c r="F167" s="157"/>
      <c r="H167" s="16">
        <f t="shared" si="3"/>
        <v>0</v>
      </c>
    </row>
    <row r="168" spans="1:8" ht="26.25" customHeight="1">
      <c r="A168" s="120">
        <v>165</v>
      </c>
      <c r="B168" s="126"/>
      <c r="C168" s="126"/>
      <c r="D168" s="127"/>
      <c r="E168" s="125"/>
      <c r="F168" s="157"/>
      <c r="H168" s="16">
        <f t="shared" si="3"/>
        <v>0</v>
      </c>
    </row>
    <row r="169" spans="1:8" ht="26.25" customHeight="1">
      <c r="A169" s="120">
        <v>166</v>
      </c>
      <c r="B169" s="126"/>
      <c r="C169" s="126"/>
      <c r="D169" s="127"/>
      <c r="E169" s="125"/>
      <c r="F169" s="157"/>
      <c r="H169" s="16">
        <f t="shared" si="3"/>
        <v>0</v>
      </c>
    </row>
    <row r="170" spans="1:8" ht="26.25" customHeight="1">
      <c r="A170" s="120">
        <v>167</v>
      </c>
      <c r="B170" s="126"/>
      <c r="C170" s="126"/>
      <c r="D170" s="127"/>
      <c r="E170" s="125"/>
      <c r="F170" s="157"/>
      <c r="H170" s="16">
        <f t="shared" si="3"/>
        <v>0</v>
      </c>
    </row>
    <row r="171" spans="1:8" ht="26.25" customHeight="1">
      <c r="A171" s="120">
        <v>168</v>
      </c>
      <c r="B171" s="126"/>
      <c r="C171" s="126"/>
      <c r="D171" s="127"/>
      <c r="E171" s="125"/>
      <c r="F171" s="157"/>
      <c r="H171" s="16">
        <f t="shared" si="3"/>
        <v>0</v>
      </c>
    </row>
    <row r="172" spans="1:8" ht="26.25" customHeight="1">
      <c r="A172" s="120">
        <v>169</v>
      </c>
      <c r="B172" s="126"/>
      <c r="C172" s="126"/>
      <c r="D172" s="127"/>
      <c r="E172" s="125"/>
      <c r="F172" s="157"/>
      <c r="H172" s="16">
        <f t="shared" si="3"/>
        <v>0</v>
      </c>
    </row>
    <row r="173" spans="1:8" ht="26.25" customHeight="1">
      <c r="A173" s="120">
        <v>170</v>
      </c>
      <c r="B173" s="126"/>
      <c r="C173" s="126"/>
      <c r="D173" s="127"/>
      <c r="E173" s="125"/>
      <c r="F173" s="157"/>
      <c r="H173" s="16">
        <f t="shared" si="3"/>
        <v>0</v>
      </c>
    </row>
    <row r="174" spans="1:8" ht="26.25" customHeight="1">
      <c r="A174" s="120">
        <v>171</v>
      </c>
      <c r="B174" s="126"/>
      <c r="C174" s="126"/>
      <c r="D174" s="127"/>
      <c r="E174" s="125"/>
      <c r="F174" s="157"/>
      <c r="H174" s="16">
        <f t="shared" si="3"/>
        <v>0</v>
      </c>
    </row>
    <row r="175" spans="1:8" ht="26.25" customHeight="1">
      <c r="A175" s="120">
        <v>172</v>
      </c>
      <c r="B175" s="126"/>
      <c r="C175" s="126"/>
      <c r="D175" s="127"/>
      <c r="E175" s="125"/>
      <c r="F175" s="157"/>
      <c r="H175" s="16">
        <f t="shared" si="3"/>
        <v>0</v>
      </c>
    </row>
    <row r="176" spans="1:8" ht="26.25" customHeight="1">
      <c r="A176" s="120">
        <v>173</v>
      </c>
      <c r="B176" s="126"/>
      <c r="C176" s="126"/>
      <c r="D176" s="127"/>
      <c r="E176" s="125"/>
      <c r="F176" s="157"/>
      <c r="H176" s="16">
        <f t="shared" si="3"/>
        <v>0</v>
      </c>
    </row>
    <row r="177" spans="1:8" ht="26.25" customHeight="1">
      <c r="A177" s="120">
        <v>174</v>
      </c>
      <c r="B177" s="126"/>
      <c r="C177" s="126"/>
      <c r="D177" s="127"/>
      <c r="E177" s="125"/>
      <c r="F177" s="157"/>
      <c r="H177" s="16">
        <f t="shared" si="3"/>
        <v>0</v>
      </c>
    </row>
    <row r="178" spans="1:8" ht="26.25" customHeight="1">
      <c r="A178" s="120">
        <v>175</v>
      </c>
      <c r="B178" s="126"/>
      <c r="C178" s="126"/>
      <c r="D178" s="127"/>
      <c r="E178" s="125"/>
      <c r="F178" s="157"/>
      <c r="H178" s="16">
        <f t="shared" si="3"/>
        <v>0</v>
      </c>
    </row>
    <row r="179" spans="1:8" ht="26.25" customHeight="1">
      <c r="A179" s="120">
        <v>176</v>
      </c>
      <c r="B179" s="126"/>
      <c r="C179" s="126"/>
      <c r="D179" s="127"/>
      <c r="E179" s="125"/>
      <c r="F179" s="157"/>
      <c r="H179" s="16">
        <f t="shared" si="3"/>
        <v>0</v>
      </c>
    </row>
    <row r="180" spans="1:8" ht="26.25" customHeight="1">
      <c r="A180" s="120">
        <v>177</v>
      </c>
      <c r="B180" s="126"/>
      <c r="C180" s="126"/>
      <c r="D180" s="127"/>
      <c r="E180" s="125"/>
      <c r="F180" s="157"/>
      <c r="H180" s="16">
        <f t="shared" si="3"/>
        <v>0</v>
      </c>
    </row>
    <row r="181" spans="1:8" ht="26.25" customHeight="1">
      <c r="A181" s="120">
        <v>178</v>
      </c>
      <c r="B181" s="126"/>
      <c r="C181" s="126"/>
      <c r="D181" s="127"/>
      <c r="E181" s="125"/>
      <c r="F181" s="157"/>
      <c r="H181" s="16">
        <f t="shared" si="3"/>
        <v>0</v>
      </c>
    </row>
    <row r="182" spans="1:8" ht="26.25" customHeight="1">
      <c r="A182" s="120">
        <v>179</v>
      </c>
      <c r="B182" s="126"/>
      <c r="C182" s="126"/>
      <c r="D182" s="127"/>
      <c r="E182" s="125"/>
      <c r="F182" s="157"/>
      <c r="H182" s="16">
        <f t="shared" si="3"/>
        <v>0</v>
      </c>
    </row>
    <row r="183" spans="1:8" ht="26.25" customHeight="1">
      <c r="A183" s="120">
        <v>180</v>
      </c>
      <c r="B183" s="126"/>
      <c r="C183" s="126"/>
      <c r="D183" s="127"/>
      <c r="E183" s="125"/>
      <c r="F183" s="157"/>
      <c r="H183" s="16">
        <f t="shared" si="3"/>
        <v>0</v>
      </c>
    </row>
    <row r="184" spans="1:8" ht="26.25" customHeight="1">
      <c r="A184" s="120">
        <v>181</v>
      </c>
      <c r="B184" s="126"/>
      <c r="C184" s="126"/>
      <c r="D184" s="127"/>
      <c r="E184" s="125"/>
      <c r="F184" s="157"/>
      <c r="H184" s="16">
        <f t="shared" si="3"/>
        <v>0</v>
      </c>
    </row>
    <row r="185" spans="1:8" ht="26.25" customHeight="1">
      <c r="A185" s="120">
        <v>182</v>
      </c>
      <c r="B185" s="126"/>
      <c r="C185" s="126"/>
      <c r="D185" s="127"/>
      <c r="E185" s="125"/>
      <c r="F185" s="157"/>
      <c r="H185" s="16">
        <f t="shared" si="3"/>
        <v>0</v>
      </c>
    </row>
    <row r="186" spans="1:8" ht="26.25" customHeight="1">
      <c r="A186" s="120">
        <v>183</v>
      </c>
      <c r="B186" s="126"/>
      <c r="C186" s="126"/>
      <c r="D186" s="127"/>
      <c r="E186" s="125"/>
      <c r="F186" s="157"/>
      <c r="H186" s="16">
        <f t="shared" si="3"/>
        <v>0</v>
      </c>
    </row>
    <row r="187" spans="1:8" ht="26.25" customHeight="1">
      <c r="A187" s="120">
        <v>184</v>
      </c>
      <c r="B187" s="126"/>
      <c r="C187" s="126"/>
      <c r="D187" s="127"/>
      <c r="E187" s="125"/>
      <c r="F187" s="157"/>
      <c r="H187" s="16">
        <f t="shared" si="3"/>
        <v>0</v>
      </c>
    </row>
    <row r="188" spans="1:8" ht="26.25" customHeight="1">
      <c r="A188" s="120">
        <v>185</v>
      </c>
      <c r="B188" s="126"/>
      <c r="C188" s="126"/>
      <c r="D188" s="127"/>
      <c r="E188" s="125"/>
      <c r="F188" s="157"/>
      <c r="H188" s="16">
        <f t="shared" si="3"/>
        <v>0</v>
      </c>
    </row>
    <row r="189" spans="1:8" ht="26.25" customHeight="1">
      <c r="A189" s="120">
        <v>186</v>
      </c>
      <c r="B189" s="126"/>
      <c r="C189" s="126"/>
      <c r="D189" s="127"/>
      <c r="E189" s="125"/>
      <c r="F189" s="157"/>
      <c r="H189" s="16">
        <f t="shared" si="3"/>
        <v>0</v>
      </c>
    </row>
    <row r="190" spans="1:8" ht="26.25" customHeight="1">
      <c r="A190" s="120">
        <v>187</v>
      </c>
      <c r="B190" s="126"/>
      <c r="C190" s="126"/>
      <c r="D190" s="127"/>
      <c r="E190" s="125"/>
      <c r="F190" s="157"/>
      <c r="H190" s="16">
        <f t="shared" si="3"/>
        <v>0</v>
      </c>
    </row>
    <row r="191" spans="1:8" ht="26.25" customHeight="1">
      <c r="A191" s="120">
        <v>188</v>
      </c>
      <c r="B191" s="126"/>
      <c r="C191" s="126"/>
      <c r="D191" s="127"/>
      <c r="E191" s="125"/>
      <c r="F191" s="157"/>
      <c r="H191" s="16">
        <f t="shared" si="3"/>
        <v>0</v>
      </c>
    </row>
    <row r="192" spans="1:8" ht="26.25" customHeight="1">
      <c r="A192" s="120">
        <v>189</v>
      </c>
      <c r="B192" s="126"/>
      <c r="C192" s="126"/>
      <c r="D192" s="127"/>
      <c r="E192" s="125"/>
      <c r="F192" s="157"/>
      <c r="H192" s="16">
        <f t="shared" si="3"/>
        <v>0</v>
      </c>
    </row>
    <row r="193" spans="1:8" ht="26.25" customHeight="1">
      <c r="A193" s="120">
        <v>190</v>
      </c>
      <c r="B193" s="126"/>
      <c r="C193" s="126"/>
      <c r="D193" s="127"/>
      <c r="E193" s="125"/>
      <c r="F193" s="157"/>
      <c r="H193" s="16">
        <f t="shared" ref="H193:H202" si="4">IF(B193="",0,A193)</f>
        <v>0</v>
      </c>
    </row>
    <row r="194" spans="1:8" ht="26.25" customHeight="1">
      <c r="A194" s="120">
        <v>191</v>
      </c>
      <c r="B194" s="126"/>
      <c r="C194" s="126"/>
      <c r="D194" s="127"/>
      <c r="E194" s="125"/>
      <c r="F194" s="157"/>
      <c r="H194" s="16">
        <f t="shared" si="4"/>
        <v>0</v>
      </c>
    </row>
    <row r="195" spans="1:8" ht="26.25" customHeight="1">
      <c r="A195" s="120">
        <v>192</v>
      </c>
      <c r="B195" s="126"/>
      <c r="C195" s="126"/>
      <c r="D195" s="127"/>
      <c r="E195" s="125"/>
      <c r="F195" s="157"/>
      <c r="H195" s="16">
        <f t="shared" si="4"/>
        <v>0</v>
      </c>
    </row>
    <row r="196" spans="1:8" ht="26.25" customHeight="1">
      <c r="A196" s="120">
        <v>193</v>
      </c>
      <c r="B196" s="126"/>
      <c r="C196" s="126"/>
      <c r="D196" s="127"/>
      <c r="E196" s="125"/>
      <c r="F196" s="157"/>
      <c r="H196" s="16">
        <f t="shared" si="4"/>
        <v>0</v>
      </c>
    </row>
    <row r="197" spans="1:8" ht="26.25" customHeight="1">
      <c r="A197" s="120">
        <v>194</v>
      </c>
      <c r="B197" s="126"/>
      <c r="C197" s="126"/>
      <c r="D197" s="127"/>
      <c r="E197" s="125"/>
      <c r="F197" s="157"/>
      <c r="H197" s="16">
        <f t="shared" si="4"/>
        <v>0</v>
      </c>
    </row>
    <row r="198" spans="1:8" ht="26.25" customHeight="1">
      <c r="A198" s="120">
        <v>195</v>
      </c>
      <c r="B198" s="126"/>
      <c r="C198" s="126"/>
      <c r="D198" s="127"/>
      <c r="E198" s="125"/>
      <c r="F198" s="157"/>
      <c r="H198" s="16">
        <f t="shared" si="4"/>
        <v>0</v>
      </c>
    </row>
    <row r="199" spans="1:8" ht="26.25" customHeight="1">
      <c r="A199" s="120">
        <v>196</v>
      </c>
      <c r="B199" s="126"/>
      <c r="C199" s="126"/>
      <c r="D199" s="127"/>
      <c r="E199" s="125"/>
      <c r="F199" s="157"/>
      <c r="H199" s="16">
        <f t="shared" si="4"/>
        <v>0</v>
      </c>
    </row>
    <row r="200" spans="1:8" ht="26.25" customHeight="1">
      <c r="A200" s="120">
        <v>197</v>
      </c>
      <c r="B200" s="126"/>
      <c r="C200" s="126"/>
      <c r="D200" s="127"/>
      <c r="E200" s="125"/>
      <c r="F200" s="157"/>
      <c r="H200" s="16">
        <f t="shared" si="4"/>
        <v>0</v>
      </c>
    </row>
    <row r="201" spans="1:8" ht="26.25" customHeight="1">
      <c r="A201" s="120">
        <v>198</v>
      </c>
      <c r="B201" s="126"/>
      <c r="C201" s="126"/>
      <c r="D201" s="127"/>
      <c r="E201" s="125"/>
      <c r="F201" s="157"/>
      <c r="H201" s="16">
        <f t="shared" ref="H201" si="5">IF(B201="",0,A201)</f>
        <v>0</v>
      </c>
    </row>
    <row r="202" spans="1:8" ht="26.25" customHeight="1">
      <c r="A202" s="120">
        <v>199</v>
      </c>
      <c r="B202" s="126"/>
      <c r="C202" s="126"/>
      <c r="D202" s="127"/>
      <c r="E202" s="125"/>
      <c r="F202" s="157"/>
      <c r="H202" s="16">
        <f t="shared" si="4"/>
        <v>0</v>
      </c>
    </row>
    <row r="203" spans="1:8" ht="26.25" customHeight="1" thickBot="1">
      <c r="A203" s="121">
        <v>200</v>
      </c>
      <c r="B203" s="128"/>
      <c r="C203" s="128"/>
      <c r="D203" s="129"/>
      <c r="E203" s="130"/>
      <c r="F203" s="158"/>
      <c r="H203" s="16">
        <f t="shared" si="2"/>
        <v>0</v>
      </c>
    </row>
  </sheetData>
  <sheetProtection sheet="1" objects="1" scenarios="1"/>
  <protectedRanges>
    <protectedRange sqref="E4:F4 B5:F203" name="別添1"/>
  </protectedRanges>
  <dataConsolidate/>
  <phoneticPr fontId="2"/>
  <dataValidations count="1">
    <dataValidation type="custom" imeMode="off" allowBlank="1" showInputMessage="1" showErrorMessage="1" error="ハイフンで区切って、半角で入力して下さい。" sqref="D5:D203">
      <formula1>D5=ASC(D5)</formula1>
    </dataValidation>
  </dataValidations>
  <pageMargins left="0.78740157480314965" right="0.39370078740157483" top="0.59055118110236227" bottom="0.59055118110236227" header="0.39370078740157483" footer="0.39370078740157483"/>
  <headerFooter alignWithMargins="0">
    <oddHeader>&amp;A</oddHeader>
  </headerFooter>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99FF"/>
    <pageSetUpPr fitToPage="1"/>
  </sheetPr>
  <dimension ref="A1:CP2057"/>
  <sheetViews>
    <sheetView showZeros="0" topLeftCell="A50" zoomScaleNormal="100" zoomScaleSheetLayoutView="90" workbookViewId="0">
      <selection activeCell="BQ69" sqref="BQ69"/>
    </sheetView>
  </sheetViews>
  <sheetFormatPr defaultColWidth="8.875" defaultRowHeight="13.5"/>
  <cols>
    <col min="1" max="1" width="4.375" style="16" customWidth="1"/>
    <col min="2" max="2" width="6.125" style="16" customWidth="1"/>
    <col min="3" max="3" width="7.625" style="16" customWidth="1"/>
    <col min="4" max="4" width="4.875" style="16" customWidth="1"/>
    <col min="5" max="5" width="3.5" style="16" customWidth="1"/>
    <col min="6" max="6" width="5.5" style="16" customWidth="1"/>
    <col min="7" max="7" width="6" style="16" customWidth="1"/>
    <col min="8" max="8" width="3" style="16" customWidth="1"/>
    <col min="9" max="9" width="5.625" style="16" customWidth="1"/>
    <col min="10" max="10" width="3" style="16" customWidth="1"/>
    <col min="11" max="11" width="11.375" style="16" hidden="1" customWidth="1"/>
    <col min="12" max="12" width="9.875" style="16" hidden="1" customWidth="1"/>
    <col min="13" max="13" width="9.625" style="16" hidden="1" customWidth="1"/>
    <col min="14" max="19" width="8.375" style="16" hidden="1" customWidth="1"/>
    <col min="20" max="20" width="11.875" style="16" customWidth="1"/>
    <col min="21" max="21" width="11.375" style="16" customWidth="1"/>
    <col min="22" max="22" width="5.375" style="16" customWidth="1"/>
    <col min="23" max="23" width="13.125" style="16" customWidth="1"/>
    <col min="24" max="24" width="8.125" style="16" customWidth="1"/>
    <col min="25" max="25" width="4.375" style="16" customWidth="1"/>
    <col min="26" max="26" width="8.625" style="372" customWidth="1"/>
    <col min="27" max="27" width="15.5" style="16" customWidth="1"/>
    <col min="28" max="28" width="8.625" style="16" customWidth="1"/>
    <col min="29" max="29" width="11" style="16" customWidth="1"/>
    <col min="30" max="31" width="10" style="16" hidden="1" customWidth="1"/>
    <col min="32" max="32" width="6.125" style="16" hidden="1" customWidth="1"/>
    <col min="33" max="33" width="9.375" style="16" hidden="1" customWidth="1"/>
    <col min="34" max="34" width="4.125" style="16" hidden="1" customWidth="1"/>
    <col min="35" max="35" width="4" style="16" hidden="1" customWidth="1"/>
    <col min="36" max="36" width="3.625" style="16" hidden="1" customWidth="1"/>
    <col min="37" max="37" width="7.375" style="16" hidden="1" customWidth="1"/>
    <col min="38" max="38" width="8.625" style="373" hidden="1" customWidth="1"/>
    <col min="39" max="39" width="7.375" style="16" hidden="1" customWidth="1"/>
    <col min="40" max="40" width="8.875" style="373" hidden="1" customWidth="1"/>
    <col min="41" max="41" width="7.375" style="16" hidden="1" customWidth="1"/>
    <col min="42" max="42" width="8.875" style="373" hidden="1" customWidth="1"/>
    <col min="43" max="43" width="15.875" style="390" customWidth="1"/>
    <col min="44" max="44" width="5.875" style="596" hidden="1" customWidth="1"/>
    <col min="45" max="46" width="3.125" style="596" hidden="1" customWidth="1"/>
    <col min="47" max="47" width="5.875" style="595" hidden="1" customWidth="1"/>
    <col min="48" max="48" width="6" style="595" hidden="1" customWidth="1"/>
    <col min="49" max="52" width="5" style="595" hidden="1" customWidth="1"/>
    <col min="53" max="54" width="10.875" style="595" hidden="1" customWidth="1"/>
    <col min="55" max="55" width="6.375" style="595" hidden="1" customWidth="1"/>
    <col min="56" max="56" width="6.875" style="595" hidden="1" customWidth="1"/>
    <col min="57" max="57" width="6.375" style="595" hidden="1" customWidth="1"/>
    <col min="58" max="62" width="6.125" style="595" hidden="1" customWidth="1"/>
    <col min="63" max="65" width="4.875" style="595" hidden="1" customWidth="1"/>
    <col min="66" max="66" width="8.875" style="16" hidden="1" customWidth="1"/>
    <col min="67" max="67" width="0.875" style="374" hidden="1" customWidth="1"/>
    <col min="68" max="68" width="3.625" style="16" customWidth="1"/>
    <col min="69" max="69" width="8.875" style="16" customWidth="1"/>
    <col min="70" max="70" width="13.875" style="16" customWidth="1"/>
    <col min="71" max="71" width="8.875" style="16" customWidth="1"/>
    <col min="72" max="72" width="3.625" style="16" customWidth="1"/>
    <col min="73" max="73" width="8.875" style="16" customWidth="1"/>
    <col min="74" max="74" width="2.5" style="16" bestFit="1" customWidth="1"/>
    <col min="75" max="75" width="6.875" style="16" customWidth="1"/>
    <col min="76" max="76" width="2.5" style="16" bestFit="1" customWidth="1"/>
    <col min="77" max="77" width="8.875" style="16" customWidth="1"/>
    <col min="78" max="78" width="2.5" style="16" bestFit="1" customWidth="1"/>
    <col min="79" max="79" width="13.125" style="16" customWidth="1"/>
    <col min="80" max="80" width="3.5" style="16" bestFit="1" customWidth="1"/>
    <col min="81" max="81" width="8.875" style="16" customWidth="1"/>
    <col min="82" max="82" width="2.5" style="16" bestFit="1" customWidth="1"/>
    <col min="83" max="83" width="11.375" style="16" customWidth="1"/>
    <col min="84" max="84" width="3.5" style="16" bestFit="1" customWidth="1"/>
    <col min="85" max="85" width="8.875" style="16" customWidth="1"/>
    <col min="86" max="86" width="2.5" style="16" bestFit="1" customWidth="1"/>
    <col min="87" max="87" width="8.875" style="16" customWidth="1"/>
    <col min="88" max="88" width="2.5" style="16" bestFit="1" customWidth="1"/>
    <col min="89" max="89" width="2.5" style="16" customWidth="1"/>
    <col min="90" max="90" width="10.875" style="16" customWidth="1"/>
    <col min="91" max="92" width="8.875" style="16"/>
    <col min="93" max="93" width="14.375" style="16" customWidth="1"/>
    <col min="94" max="94" width="9" style="16" bestFit="1" customWidth="1"/>
    <col min="95" max="16384" width="8.875" style="16"/>
  </cols>
  <sheetData>
    <row r="1" spans="1:94" ht="16.5" hidden="1" customHeight="1">
      <c r="B1" s="16" t="s">
        <v>2308</v>
      </c>
      <c r="AQ1" s="373"/>
      <c r="AR1" s="594"/>
      <c r="AS1" s="594"/>
      <c r="AT1" s="594"/>
      <c r="BQ1" s="375" t="s">
        <v>2281</v>
      </c>
      <c r="BR1" s="376" t="s">
        <v>2300</v>
      </c>
      <c r="BS1" s="960" t="s">
        <v>2242</v>
      </c>
      <c r="BT1" s="961"/>
      <c r="BU1" s="952" t="s">
        <v>2194</v>
      </c>
      <c r="BV1" s="953"/>
      <c r="BW1" s="952" t="s">
        <v>1688</v>
      </c>
      <c r="BX1" s="953"/>
      <c r="BY1" s="952" t="s">
        <v>1689</v>
      </c>
      <c r="BZ1" s="953"/>
      <c r="CA1" s="939" t="s">
        <v>1690</v>
      </c>
      <c r="CB1" s="940"/>
      <c r="CC1" s="939" t="s">
        <v>1691</v>
      </c>
      <c r="CD1" s="940"/>
      <c r="CE1" s="939" t="s">
        <v>1692</v>
      </c>
      <c r="CF1" s="940"/>
      <c r="CG1" s="939" t="s">
        <v>1723</v>
      </c>
      <c r="CH1" s="940"/>
      <c r="CI1" s="939" t="s">
        <v>1724</v>
      </c>
      <c r="CJ1" s="940"/>
      <c r="CK1" s="962" t="s">
        <v>513</v>
      </c>
      <c r="CL1" s="940"/>
      <c r="CM1" s="377" t="s">
        <v>1693</v>
      </c>
      <c r="CN1" s="378" t="s">
        <v>647</v>
      </c>
      <c r="CO1" s="939" t="s">
        <v>2697</v>
      </c>
      <c r="CP1" s="940"/>
    </row>
    <row r="2" spans="1:94" ht="13.5" hidden="1" customHeight="1">
      <c r="C2" s="371">
        <f>事業所台帳!H3</f>
        <v>1</v>
      </c>
      <c r="AQ2" s="373"/>
      <c r="AR2" s="594"/>
      <c r="AS2" s="594"/>
      <c r="AT2" s="594"/>
      <c r="BQ2" s="376" t="s">
        <v>2282</v>
      </c>
      <c r="BR2" s="379" t="s">
        <v>2436</v>
      </c>
      <c r="BS2" s="679" t="s">
        <v>2254</v>
      </c>
      <c r="BT2" s="680">
        <v>1</v>
      </c>
      <c r="BU2" s="378" t="s">
        <v>2193</v>
      </c>
      <c r="BV2" s="378">
        <v>1</v>
      </c>
      <c r="BW2" s="378" t="s">
        <v>1695</v>
      </c>
      <c r="BX2" s="378">
        <v>1</v>
      </c>
      <c r="BY2" s="378" t="s">
        <v>1696</v>
      </c>
      <c r="BZ2" s="378">
        <v>1</v>
      </c>
      <c r="CA2" s="381" t="s">
        <v>479</v>
      </c>
      <c r="CB2" s="378">
        <v>1</v>
      </c>
      <c r="CC2" s="378" t="s">
        <v>1694</v>
      </c>
      <c r="CD2" s="378">
        <v>0</v>
      </c>
      <c r="CE2" s="378" t="s">
        <v>1694</v>
      </c>
      <c r="CF2" s="378">
        <v>0</v>
      </c>
      <c r="CG2" s="378">
        <v>0</v>
      </c>
      <c r="CH2" s="378">
        <v>0</v>
      </c>
      <c r="CI2" s="378">
        <v>0</v>
      </c>
      <c r="CJ2" s="378">
        <v>0</v>
      </c>
      <c r="CK2" s="378">
        <v>1</v>
      </c>
      <c r="CL2" s="378" t="s">
        <v>512</v>
      </c>
      <c r="CM2" s="378">
        <v>0</v>
      </c>
      <c r="CN2" s="378"/>
      <c r="CO2" s="378" t="s">
        <v>2699</v>
      </c>
      <c r="CP2" s="378" t="s">
        <v>1730</v>
      </c>
    </row>
    <row r="3" spans="1:94" ht="13.5" hidden="1" customHeight="1">
      <c r="AQ3" s="373"/>
      <c r="AR3" s="594"/>
      <c r="AS3" s="594"/>
      <c r="AT3" s="594"/>
      <c r="BQ3" s="376" t="s">
        <v>2280</v>
      </c>
      <c r="BR3" s="379" t="s">
        <v>2437</v>
      </c>
      <c r="BS3" s="679" t="s">
        <v>2243</v>
      </c>
      <c r="BT3" s="680">
        <v>2</v>
      </c>
      <c r="BU3" s="378" t="s">
        <v>1637</v>
      </c>
      <c r="BV3" s="378">
        <v>2</v>
      </c>
      <c r="BW3" s="378" t="s">
        <v>1699</v>
      </c>
      <c r="BX3" s="378">
        <v>2</v>
      </c>
      <c r="BY3" s="378" t="s">
        <v>1700</v>
      </c>
      <c r="BZ3" s="378">
        <v>2</v>
      </c>
      <c r="CA3" s="381" t="s">
        <v>1621</v>
      </c>
      <c r="CB3" s="378">
        <v>2</v>
      </c>
      <c r="CC3" s="378" t="s">
        <v>1697</v>
      </c>
      <c r="CD3" s="378">
        <v>1</v>
      </c>
      <c r="CE3" s="381" t="s">
        <v>251</v>
      </c>
      <c r="CF3" s="378">
        <v>1</v>
      </c>
      <c r="CG3" s="378" t="s">
        <v>1701</v>
      </c>
      <c r="CH3" s="378">
        <v>2</v>
      </c>
      <c r="CI3" s="378" t="s">
        <v>1701</v>
      </c>
      <c r="CJ3" s="378">
        <v>4</v>
      </c>
      <c r="CK3" s="378">
        <v>2</v>
      </c>
      <c r="CL3" s="378" t="s">
        <v>512</v>
      </c>
      <c r="CM3" s="378">
        <v>1</v>
      </c>
      <c r="CN3" s="378" t="s">
        <v>649</v>
      </c>
      <c r="CO3" s="381" t="s">
        <v>2700</v>
      </c>
      <c r="CP3" s="378" t="s">
        <v>1730</v>
      </c>
    </row>
    <row r="4" spans="1:94" ht="13.5" hidden="1" customHeight="1">
      <c r="C4" s="371"/>
      <c r="AQ4" s="373"/>
      <c r="AR4" s="594"/>
      <c r="AS4" s="594"/>
      <c r="AT4" s="594"/>
      <c r="BQ4" s="376" t="s">
        <v>2279</v>
      </c>
      <c r="BR4" s="379" t="s">
        <v>2438</v>
      </c>
      <c r="BS4" s="679" t="s">
        <v>2244</v>
      </c>
      <c r="BT4" s="680">
        <v>3</v>
      </c>
      <c r="BU4" s="382" t="s">
        <v>648</v>
      </c>
      <c r="BV4" s="382">
        <v>3</v>
      </c>
      <c r="BW4" s="382"/>
      <c r="BX4" s="382"/>
      <c r="BY4" s="378" t="s">
        <v>1702</v>
      </c>
      <c r="BZ4" s="378">
        <v>3</v>
      </c>
      <c r="CA4" s="381" t="s">
        <v>29</v>
      </c>
      <c r="CB4" s="378">
        <v>11</v>
      </c>
      <c r="CC4" s="378" t="s">
        <v>636</v>
      </c>
      <c r="CD4" s="378">
        <v>2</v>
      </c>
      <c r="CE4" s="381" t="s">
        <v>252</v>
      </c>
      <c r="CF4" s="378">
        <v>2</v>
      </c>
      <c r="CG4" s="378" t="s">
        <v>1698</v>
      </c>
      <c r="CH4" s="378">
        <v>1</v>
      </c>
      <c r="CI4" s="378" t="s">
        <v>67</v>
      </c>
      <c r="CJ4" s="378">
        <v>2</v>
      </c>
      <c r="CK4" s="378">
        <v>8</v>
      </c>
      <c r="CL4" s="378" t="s">
        <v>1584</v>
      </c>
      <c r="CM4" s="378">
        <v>2</v>
      </c>
      <c r="CN4" s="378" t="s">
        <v>648</v>
      </c>
      <c r="CO4" s="381" t="s">
        <v>2701</v>
      </c>
      <c r="CP4" s="378" t="s">
        <v>1730</v>
      </c>
    </row>
    <row r="5" spans="1:94" ht="13.5" hidden="1" customHeight="1">
      <c r="AQ5" s="373"/>
      <c r="AR5" s="594"/>
      <c r="AS5" s="594"/>
      <c r="AT5" s="594"/>
      <c r="BQ5" s="376" t="s">
        <v>2283</v>
      </c>
      <c r="BR5" s="379" t="s">
        <v>2439</v>
      </c>
      <c r="BS5" s="679" t="s">
        <v>2245</v>
      </c>
      <c r="BT5" s="680">
        <v>4</v>
      </c>
      <c r="BU5" s="378"/>
      <c r="BV5" s="378"/>
      <c r="BW5" s="378"/>
      <c r="BX5" s="378"/>
      <c r="BY5" s="378" t="s">
        <v>1703</v>
      </c>
      <c r="BZ5" s="378">
        <v>4</v>
      </c>
      <c r="CA5" s="381" t="s">
        <v>27</v>
      </c>
      <c r="CB5" s="378">
        <v>3</v>
      </c>
      <c r="CC5" s="383"/>
      <c r="CD5" s="378"/>
      <c r="CE5" s="381" t="s">
        <v>253</v>
      </c>
      <c r="CF5" s="378">
        <v>9</v>
      </c>
      <c r="CG5" s="383"/>
      <c r="CH5" s="378"/>
      <c r="CI5" s="383" t="s">
        <v>68</v>
      </c>
      <c r="CJ5" s="378">
        <v>3</v>
      </c>
      <c r="CK5" s="378">
        <v>3</v>
      </c>
      <c r="CL5" s="378" t="s">
        <v>637</v>
      </c>
      <c r="CM5" s="378">
        <v>3</v>
      </c>
      <c r="CN5" s="378"/>
      <c r="CO5" s="381" t="s">
        <v>2702</v>
      </c>
      <c r="CP5" s="378" t="s">
        <v>1730</v>
      </c>
    </row>
    <row r="6" spans="1:94" ht="13.5" hidden="1" customHeight="1">
      <c r="AQ6" s="373"/>
      <c r="AR6" s="594"/>
      <c r="AS6" s="594"/>
      <c r="AT6" s="594"/>
      <c r="BQ6" s="376"/>
      <c r="BR6" s="379" t="s">
        <v>2440</v>
      </c>
      <c r="BS6" s="681" t="s">
        <v>2255</v>
      </c>
      <c r="BT6" s="680">
        <v>5</v>
      </c>
      <c r="BU6" s="378"/>
      <c r="BV6" s="378"/>
      <c r="BW6" s="378"/>
      <c r="BX6" s="378"/>
      <c r="BY6" s="383" t="s">
        <v>1704</v>
      </c>
      <c r="BZ6" s="378">
        <v>5</v>
      </c>
      <c r="CA6" s="381" t="s">
        <v>280</v>
      </c>
      <c r="CB6" s="378">
        <v>4</v>
      </c>
      <c r="CC6" s="378"/>
      <c r="CD6" s="385"/>
      <c r="CE6" s="381" t="s">
        <v>278</v>
      </c>
      <c r="CF6" s="378">
        <v>3</v>
      </c>
      <c r="CG6" s="378"/>
      <c r="CH6" s="378"/>
      <c r="CI6" s="378"/>
      <c r="CJ6" s="378"/>
      <c r="CK6" s="378">
        <v>9</v>
      </c>
      <c r="CL6" s="378" t="s">
        <v>637</v>
      </c>
      <c r="CM6" s="378">
        <v>4</v>
      </c>
      <c r="CN6" s="378"/>
      <c r="CO6" s="381" t="s">
        <v>278</v>
      </c>
      <c r="CP6" s="378" t="s">
        <v>2698</v>
      </c>
    </row>
    <row r="7" spans="1:94" ht="13.5" hidden="1" customHeight="1">
      <c r="AQ7" s="373"/>
      <c r="AR7" s="594"/>
      <c r="AS7" s="594"/>
      <c r="AT7" s="594"/>
      <c r="BQ7" s="376"/>
      <c r="BR7" s="379" t="s">
        <v>2441</v>
      </c>
      <c r="BS7" s="384"/>
      <c r="BT7" s="380"/>
      <c r="BU7" s="378"/>
      <c r="BV7" s="378"/>
      <c r="BW7" s="378"/>
      <c r="BX7" s="378"/>
      <c r="BY7" s="378" t="s">
        <v>1705</v>
      </c>
      <c r="BZ7" s="378">
        <v>6</v>
      </c>
      <c r="CA7" s="381" t="s">
        <v>59</v>
      </c>
      <c r="CB7" s="386">
        <v>5</v>
      </c>
      <c r="CC7" s="378"/>
      <c r="CD7" s="378"/>
      <c r="CE7" s="381" t="s">
        <v>277</v>
      </c>
      <c r="CF7" s="378">
        <v>4</v>
      </c>
      <c r="CG7" s="378"/>
      <c r="CH7" s="378"/>
      <c r="CI7" s="378"/>
      <c r="CJ7" s="378"/>
      <c r="CK7" s="378">
        <v>4</v>
      </c>
      <c r="CL7" s="378" t="s">
        <v>31</v>
      </c>
      <c r="CM7" s="378">
        <v>5</v>
      </c>
      <c r="CN7" s="378"/>
      <c r="CO7" s="381" t="s">
        <v>277</v>
      </c>
      <c r="CP7" s="378" t="s">
        <v>2698</v>
      </c>
    </row>
    <row r="8" spans="1:94" ht="13.5" hidden="1" customHeight="1">
      <c r="AQ8" s="373"/>
      <c r="AR8" s="594"/>
      <c r="AS8" s="594"/>
      <c r="AT8" s="594"/>
      <c r="BQ8" s="376"/>
      <c r="BR8" s="379" t="s">
        <v>2442</v>
      </c>
      <c r="BS8" s="384"/>
      <c r="BT8" s="380"/>
      <c r="BU8" s="378"/>
      <c r="BV8" s="378"/>
      <c r="BW8" s="378"/>
      <c r="BX8" s="378"/>
      <c r="BY8" s="378"/>
      <c r="BZ8" s="378"/>
      <c r="CA8" s="381" t="s">
        <v>476</v>
      </c>
      <c r="CB8" s="378">
        <v>10</v>
      </c>
      <c r="CC8" s="378"/>
      <c r="CD8" s="378"/>
      <c r="CE8" s="387" t="s">
        <v>1290</v>
      </c>
      <c r="CF8" s="378">
        <v>6</v>
      </c>
      <c r="CG8" s="378"/>
      <c r="CH8" s="378"/>
      <c r="CI8" s="378"/>
      <c r="CJ8" s="378"/>
      <c r="CK8" s="378">
        <v>6</v>
      </c>
      <c r="CL8" s="378" t="s">
        <v>514</v>
      </c>
      <c r="CM8" s="378">
        <v>6</v>
      </c>
      <c r="CN8" s="378"/>
      <c r="CO8" s="387" t="s">
        <v>1290</v>
      </c>
      <c r="CP8" s="378" t="s">
        <v>2698</v>
      </c>
    </row>
    <row r="9" spans="1:94" ht="13.5" hidden="1" customHeight="1">
      <c r="AQ9" s="373"/>
      <c r="AR9" s="594"/>
      <c r="AS9" s="594"/>
      <c r="AT9" s="594"/>
      <c r="BQ9" s="376"/>
      <c r="BR9" s="379" t="s">
        <v>2443</v>
      </c>
      <c r="BS9" s="384"/>
      <c r="BT9" s="380"/>
      <c r="BU9" s="378"/>
      <c r="BV9" s="378"/>
      <c r="BW9" s="378"/>
      <c r="BX9" s="378"/>
      <c r="BY9" s="378"/>
      <c r="BZ9" s="378"/>
      <c r="CA9" s="381" t="s">
        <v>1622</v>
      </c>
      <c r="CB9" s="378">
        <v>6</v>
      </c>
      <c r="CC9" s="378"/>
      <c r="CD9" s="378"/>
      <c r="CE9" s="381" t="s">
        <v>249</v>
      </c>
      <c r="CF9" s="378">
        <v>7</v>
      </c>
      <c r="CG9" s="378"/>
      <c r="CH9" s="378"/>
      <c r="CI9" s="378"/>
      <c r="CJ9" s="378"/>
      <c r="CK9" s="378">
        <v>5</v>
      </c>
      <c r="CL9" s="378" t="s">
        <v>2206</v>
      </c>
      <c r="CM9" s="378">
        <v>7</v>
      </c>
      <c r="CN9" s="378"/>
      <c r="CO9" s="381" t="s">
        <v>2703</v>
      </c>
      <c r="CP9" s="378" t="s">
        <v>1730</v>
      </c>
    </row>
    <row r="10" spans="1:94" ht="13.5" hidden="1" customHeight="1">
      <c r="AQ10" s="373"/>
      <c r="AR10" s="594"/>
      <c r="AS10" s="594"/>
      <c r="AT10" s="594"/>
      <c r="BQ10" s="376"/>
      <c r="BR10" s="379" t="s">
        <v>2444</v>
      </c>
      <c r="BS10" s="384"/>
      <c r="BT10" s="380"/>
      <c r="BU10" s="378"/>
      <c r="BV10" s="378"/>
      <c r="BW10" s="378"/>
      <c r="BX10" s="378"/>
      <c r="BY10" s="378"/>
      <c r="BZ10" s="378"/>
      <c r="CA10" s="381" t="s">
        <v>1623</v>
      </c>
      <c r="CB10" s="378">
        <v>7</v>
      </c>
      <c r="CC10" s="378"/>
      <c r="CD10" s="378"/>
      <c r="CE10" s="381" t="s">
        <v>250</v>
      </c>
      <c r="CF10" s="378">
        <v>8</v>
      </c>
      <c r="CG10" s="378"/>
      <c r="CH10" s="378"/>
      <c r="CI10" s="378"/>
      <c r="CJ10" s="378"/>
      <c r="CK10" s="378">
        <v>7</v>
      </c>
      <c r="CL10" s="378" t="s">
        <v>2206</v>
      </c>
      <c r="CM10" s="378">
        <v>8</v>
      </c>
      <c r="CN10" s="378"/>
      <c r="CO10" s="381" t="s">
        <v>2704</v>
      </c>
      <c r="CP10" s="378" t="s">
        <v>1730</v>
      </c>
    </row>
    <row r="11" spans="1:94" ht="13.5" hidden="1" customHeight="1">
      <c r="AQ11" s="373"/>
      <c r="AR11" s="594"/>
      <c r="AS11" s="594"/>
      <c r="AT11" s="594"/>
      <c r="BQ11" s="376"/>
      <c r="BR11" s="379" t="s">
        <v>2445</v>
      </c>
      <c r="BS11" s="384"/>
      <c r="BT11" s="380"/>
      <c r="BU11" s="378"/>
      <c r="BV11" s="378"/>
      <c r="BW11" s="378"/>
      <c r="BX11" s="378"/>
      <c r="BY11" s="378"/>
      <c r="BZ11" s="378"/>
      <c r="CA11" s="381" t="s">
        <v>638</v>
      </c>
      <c r="CB11" s="378">
        <v>8</v>
      </c>
      <c r="CC11" s="378"/>
      <c r="CD11" s="378"/>
      <c r="CE11" s="378" t="s">
        <v>30</v>
      </c>
      <c r="CF11" s="383">
        <v>11</v>
      </c>
      <c r="CG11" s="378"/>
      <c r="CH11" s="378"/>
      <c r="CI11" s="378"/>
      <c r="CJ11" s="378"/>
      <c r="CK11" s="378"/>
      <c r="CL11" s="378"/>
      <c r="CM11" s="378">
        <v>9</v>
      </c>
      <c r="CN11" s="378"/>
      <c r="CO11" s="378" t="s">
        <v>30</v>
      </c>
      <c r="CP11" s="378" t="s">
        <v>2698</v>
      </c>
    </row>
    <row r="12" spans="1:94" ht="13.5" hidden="1" customHeight="1">
      <c r="AQ12" s="373"/>
      <c r="AR12" s="594"/>
      <c r="AS12" s="594"/>
      <c r="AT12" s="594"/>
      <c r="BQ12" s="376"/>
      <c r="BR12" s="379" t="s">
        <v>2233</v>
      </c>
      <c r="BS12" s="384"/>
      <c r="BT12" s="380"/>
      <c r="BU12" s="378"/>
      <c r="BV12" s="378"/>
      <c r="BW12" s="378"/>
      <c r="BX12" s="378"/>
      <c r="BY12" s="378"/>
      <c r="BZ12" s="378"/>
      <c r="CA12" s="381" t="s">
        <v>634</v>
      </c>
      <c r="CB12" s="378">
        <v>9</v>
      </c>
      <c r="CC12" s="378"/>
      <c r="CD12" s="378"/>
      <c r="CE12" s="378" t="s">
        <v>2216</v>
      </c>
      <c r="CF12" s="378">
        <v>10</v>
      </c>
      <c r="CG12" s="378"/>
      <c r="CH12" s="378"/>
      <c r="CI12" s="378"/>
      <c r="CJ12" s="378"/>
      <c r="CK12" s="378"/>
      <c r="CL12" s="378"/>
      <c r="CM12" s="378">
        <v>10</v>
      </c>
      <c r="CN12" s="378"/>
      <c r="CO12" s="378" t="s">
        <v>2216</v>
      </c>
      <c r="CP12" s="378" t="s">
        <v>2698</v>
      </c>
    </row>
    <row r="13" spans="1:94" s="342" customFormat="1" ht="13.5" hidden="1" customHeight="1">
      <c r="A13" s="388"/>
      <c r="C13" s="389"/>
      <c r="D13" s="388"/>
      <c r="E13" s="388"/>
      <c r="AP13" s="390"/>
      <c r="AQ13" s="390"/>
      <c r="AR13" s="596"/>
      <c r="AS13" s="596"/>
      <c r="AT13" s="596"/>
      <c r="AU13" s="597"/>
      <c r="AV13" s="597"/>
      <c r="AW13" s="597"/>
      <c r="AX13" s="597"/>
      <c r="AY13" s="597"/>
      <c r="AZ13" s="597"/>
      <c r="BA13" s="597"/>
      <c r="BB13" s="597"/>
      <c r="BC13" s="597"/>
      <c r="BD13" s="597"/>
      <c r="BE13" s="597"/>
      <c r="BF13" s="597"/>
      <c r="BG13" s="597"/>
      <c r="BH13" s="597"/>
      <c r="BI13" s="597"/>
      <c r="BJ13" s="597"/>
      <c r="BK13" s="597"/>
      <c r="BL13" s="597"/>
      <c r="BM13" s="597"/>
      <c r="BO13" s="374"/>
      <c r="BQ13" s="391"/>
      <c r="BR13" s="379" t="s">
        <v>2226</v>
      </c>
      <c r="BS13" s="392"/>
      <c r="BT13" s="393"/>
      <c r="BU13" s="378"/>
      <c r="BV13" s="378"/>
      <c r="BW13" s="378"/>
      <c r="BX13" s="378"/>
      <c r="BY13" s="378"/>
      <c r="BZ13" s="378"/>
      <c r="CA13" s="378"/>
      <c r="CB13" s="378"/>
      <c r="CC13" s="378"/>
      <c r="CD13" s="378"/>
      <c r="CE13" s="678" t="s">
        <v>2482</v>
      </c>
      <c r="CF13" s="678">
        <v>12</v>
      </c>
      <c r="CG13" s="378"/>
      <c r="CH13" s="378"/>
      <c r="CI13" s="378"/>
      <c r="CJ13" s="378"/>
      <c r="CK13" s="378"/>
      <c r="CL13" s="378"/>
      <c r="CM13" s="378">
        <v>11</v>
      </c>
      <c r="CN13" s="378"/>
      <c r="CO13" s="678" t="s">
        <v>2482</v>
      </c>
      <c r="CP13" s="678" t="s">
        <v>2698</v>
      </c>
    </row>
    <row r="14" spans="1:94" s="342" customFormat="1" ht="13.5" hidden="1" customHeight="1">
      <c r="A14" s="388"/>
      <c r="C14" s="388"/>
      <c r="D14" s="388"/>
      <c r="E14" s="388"/>
      <c r="F14" s="388"/>
      <c r="G14" s="388"/>
      <c r="H14" s="389"/>
      <c r="I14" s="388"/>
      <c r="J14" s="388"/>
      <c r="K14" s="388"/>
      <c r="L14" s="388"/>
      <c r="M14" s="388"/>
      <c r="N14" s="388"/>
      <c r="O14" s="388"/>
      <c r="P14" s="388"/>
      <c r="Q14" s="388"/>
      <c r="R14" s="388"/>
      <c r="S14" s="388"/>
      <c r="T14" s="394"/>
      <c r="U14" s="395"/>
      <c r="Z14" s="33"/>
      <c r="AF14" s="396"/>
      <c r="AL14" s="390"/>
      <c r="AN14" s="397"/>
      <c r="AP14" s="390"/>
      <c r="AQ14" s="390"/>
      <c r="AR14" s="596"/>
      <c r="AS14" s="596"/>
      <c r="AT14" s="596"/>
      <c r="AU14" s="597"/>
      <c r="AV14" s="597"/>
      <c r="AW14" s="597"/>
      <c r="AX14" s="597"/>
      <c r="AY14" s="597"/>
      <c r="AZ14" s="597"/>
      <c r="BA14" s="597"/>
      <c r="BB14" s="597"/>
      <c r="BC14" s="597"/>
      <c r="BD14" s="597"/>
      <c r="BE14" s="597"/>
      <c r="BF14" s="597"/>
      <c r="BG14" s="597"/>
      <c r="BH14" s="597"/>
      <c r="BI14" s="597"/>
      <c r="BJ14" s="597"/>
      <c r="BK14" s="597"/>
      <c r="BL14" s="597"/>
      <c r="BM14" s="597"/>
      <c r="BO14" s="374"/>
      <c r="BQ14" s="398"/>
      <c r="BR14" s="379" t="s">
        <v>2224</v>
      </c>
      <c r="BS14" s="399"/>
      <c r="BT14" s="399"/>
      <c r="BU14" s="385"/>
      <c r="BV14" s="385"/>
      <c r="BW14" s="385"/>
      <c r="BX14" s="385"/>
      <c r="BY14" s="385"/>
      <c r="BZ14" s="385"/>
      <c r="CA14" s="385"/>
      <c r="CB14" s="385"/>
      <c r="CC14" s="385"/>
      <c r="CD14" s="385"/>
      <c r="CE14" s="678" t="s">
        <v>2494</v>
      </c>
      <c r="CF14" s="678">
        <v>13</v>
      </c>
      <c r="CG14" s="385"/>
      <c r="CH14" s="385"/>
      <c r="CI14" s="385"/>
      <c r="CJ14" s="385"/>
      <c r="CK14" s="385"/>
      <c r="CL14" s="385"/>
      <c r="CM14" s="385"/>
      <c r="CN14" s="385"/>
      <c r="CO14" s="678" t="s">
        <v>2494</v>
      </c>
      <c r="CP14" s="678" t="s">
        <v>2698</v>
      </c>
    </row>
    <row r="15" spans="1:94" s="342" customFormat="1" ht="13.5" hidden="1" customHeight="1">
      <c r="A15" s="388"/>
      <c r="C15" s="388"/>
      <c r="D15" s="388"/>
      <c r="E15" s="388"/>
      <c r="F15" s="388"/>
      <c r="G15" s="388"/>
      <c r="H15" s="389"/>
      <c r="I15" s="388"/>
      <c r="J15" s="388"/>
      <c r="K15" s="388"/>
      <c r="L15" s="388"/>
      <c r="M15" s="388"/>
      <c r="N15" s="388"/>
      <c r="O15" s="388"/>
      <c r="P15" s="388"/>
      <c r="Q15" s="388"/>
      <c r="R15" s="388"/>
      <c r="S15" s="388"/>
      <c r="T15" s="394"/>
      <c r="U15" s="395"/>
      <c r="Z15" s="33"/>
      <c r="AF15" s="396"/>
      <c r="AL15" s="390"/>
      <c r="AN15" s="397"/>
      <c r="AP15" s="390"/>
      <c r="AQ15" s="390"/>
      <c r="AR15" s="596"/>
      <c r="AS15" s="596"/>
      <c r="AT15" s="596"/>
      <c r="AU15" s="597"/>
      <c r="AV15" s="597"/>
      <c r="AW15" s="597"/>
      <c r="AX15" s="597"/>
      <c r="AY15" s="597"/>
      <c r="AZ15" s="597"/>
      <c r="BA15" s="597"/>
      <c r="BB15" s="597"/>
      <c r="BC15" s="597"/>
      <c r="BD15" s="597"/>
      <c r="BE15" s="597"/>
      <c r="BF15" s="597"/>
      <c r="BG15" s="597"/>
      <c r="BH15" s="597"/>
      <c r="BI15" s="597"/>
      <c r="BJ15" s="597"/>
      <c r="BK15" s="597"/>
      <c r="BL15" s="597"/>
      <c r="BM15" s="597"/>
      <c r="BO15" s="374"/>
      <c r="BQ15" s="398"/>
      <c r="BR15" s="379" t="s">
        <v>2225</v>
      </c>
      <c r="BS15" s="399"/>
      <c r="BT15" s="399"/>
      <c r="BU15" s="385"/>
      <c r="BV15" s="385"/>
      <c r="BW15" s="385"/>
      <c r="BX15" s="385"/>
      <c r="BY15" s="385"/>
      <c r="BZ15" s="385"/>
      <c r="CA15" s="385"/>
      <c r="CB15" s="385"/>
      <c r="CC15" s="385"/>
      <c r="CD15" s="385"/>
      <c r="CE15" s="385"/>
      <c r="CF15" s="385"/>
      <c r="CG15" s="385"/>
      <c r="CH15" s="385"/>
      <c r="CI15" s="385"/>
      <c r="CJ15" s="385"/>
      <c r="CK15" s="385"/>
      <c r="CL15" s="385"/>
      <c r="CM15" s="385"/>
      <c r="CN15" s="385"/>
      <c r="CO15" s="693" t="s">
        <v>518</v>
      </c>
      <c r="CP15" s="694" t="s">
        <v>1730</v>
      </c>
    </row>
    <row r="16" spans="1:94" s="342" customFormat="1" ht="13.5" hidden="1" customHeight="1">
      <c r="A16" s="388"/>
      <c r="C16" s="388"/>
      <c r="D16" s="388"/>
      <c r="E16" s="388"/>
      <c r="F16" s="388"/>
      <c r="G16" s="388"/>
      <c r="H16" s="389"/>
      <c r="I16" s="388"/>
      <c r="J16" s="388"/>
      <c r="K16" s="388"/>
      <c r="L16" s="388"/>
      <c r="M16" s="388"/>
      <c r="N16" s="388"/>
      <c r="O16" s="388"/>
      <c r="P16" s="388"/>
      <c r="Q16" s="388"/>
      <c r="R16" s="388"/>
      <c r="S16" s="388"/>
      <c r="T16" s="394"/>
      <c r="U16" s="395"/>
      <c r="Z16" s="33"/>
      <c r="AF16" s="396"/>
      <c r="AL16" s="390"/>
      <c r="AN16" s="397"/>
      <c r="AP16" s="390"/>
      <c r="AQ16" s="390"/>
      <c r="AR16" s="596"/>
      <c r="AS16" s="596"/>
      <c r="AT16" s="596"/>
      <c r="AU16" s="597"/>
      <c r="AV16" s="597"/>
      <c r="AW16" s="597"/>
      <c r="AX16" s="597"/>
      <c r="AY16" s="597"/>
      <c r="AZ16" s="597"/>
      <c r="BA16" s="597"/>
      <c r="BB16" s="597"/>
      <c r="BC16" s="597"/>
      <c r="BD16" s="597"/>
      <c r="BE16" s="597"/>
      <c r="BF16" s="597"/>
      <c r="BG16" s="597"/>
      <c r="BH16" s="597"/>
      <c r="BI16" s="597"/>
      <c r="BJ16" s="597"/>
      <c r="BK16" s="597"/>
      <c r="BL16" s="597"/>
      <c r="BM16" s="597"/>
      <c r="BO16" s="374"/>
      <c r="BQ16" s="398"/>
      <c r="BR16" s="379" t="s">
        <v>2230</v>
      </c>
      <c r="BS16" s="399"/>
      <c r="BT16" s="399"/>
      <c r="BU16" s="385"/>
      <c r="BV16" s="385"/>
      <c r="BW16" s="385"/>
      <c r="BX16" s="385"/>
      <c r="BY16" s="385"/>
      <c r="BZ16" s="385"/>
      <c r="CA16" s="385"/>
      <c r="CB16" s="385"/>
      <c r="CC16" s="385"/>
      <c r="CD16" s="385"/>
      <c r="CE16" s="385"/>
      <c r="CF16" s="385"/>
      <c r="CG16" s="385"/>
      <c r="CH16" s="385"/>
      <c r="CI16" s="385"/>
      <c r="CJ16" s="385"/>
      <c r="CK16" s="385"/>
      <c r="CL16" s="385"/>
      <c r="CM16" s="385"/>
      <c r="CN16" s="385"/>
      <c r="CO16" s="693" t="s">
        <v>254</v>
      </c>
      <c r="CP16" s="694" t="s">
        <v>1730</v>
      </c>
    </row>
    <row r="17" spans="1:94" s="342" customFormat="1" ht="13.5" hidden="1" customHeight="1">
      <c r="A17" s="388"/>
      <c r="C17" s="388"/>
      <c r="D17" s="388"/>
      <c r="E17" s="388"/>
      <c r="F17" s="388"/>
      <c r="G17" s="388"/>
      <c r="H17" s="389"/>
      <c r="I17" s="388"/>
      <c r="J17" s="388"/>
      <c r="K17" s="388"/>
      <c r="L17" s="388"/>
      <c r="M17" s="388"/>
      <c r="N17" s="388"/>
      <c r="O17" s="388"/>
      <c r="P17" s="388"/>
      <c r="Q17" s="388"/>
      <c r="R17" s="388"/>
      <c r="S17" s="388"/>
      <c r="T17" s="394"/>
      <c r="U17" s="395"/>
      <c r="Z17" s="33"/>
      <c r="AF17" s="396"/>
      <c r="AL17" s="390"/>
      <c r="AN17" s="397"/>
      <c r="AP17" s="390"/>
      <c r="AQ17" s="390"/>
      <c r="AR17" s="596"/>
      <c r="AS17" s="596"/>
      <c r="AT17" s="596"/>
      <c r="AU17" s="597"/>
      <c r="AV17" s="597"/>
      <c r="AW17" s="597"/>
      <c r="AX17" s="597"/>
      <c r="AY17" s="597"/>
      <c r="AZ17" s="597"/>
      <c r="BA17" s="597"/>
      <c r="BB17" s="597"/>
      <c r="BC17" s="597"/>
      <c r="BD17" s="597"/>
      <c r="BE17" s="597"/>
      <c r="BF17" s="597"/>
      <c r="BG17" s="597"/>
      <c r="BH17" s="597"/>
      <c r="BI17" s="597"/>
      <c r="BJ17" s="597"/>
      <c r="BK17" s="597"/>
      <c r="BL17" s="597"/>
      <c r="BM17" s="597"/>
      <c r="BO17" s="374"/>
      <c r="BQ17" s="398"/>
      <c r="BR17" s="379" t="s">
        <v>2235</v>
      </c>
      <c r="BS17" s="399"/>
      <c r="BT17" s="399"/>
      <c r="BU17" s="385"/>
      <c r="BV17" s="385"/>
      <c r="BW17" s="385"/>
      <c r="BX17" s="385"/>
      <c r="BY17" s="385"/>
      <c r="BZ17" s="385"/>
      <c r="CA17" s="385"/>
      <c r="CB17" s="385"/>
      <c r="CC17" s="385"/>
      <c r="CD17" s="385"/>
      <c r="CE17" s="385"/>
      <c r="CF17" s="385"/>
      <c r="CG17" s="385"/>
      <c r="CH17" s="385"/>
      <c r="CI17" s="385"/>
      <c r="CJ17" s="385"/>
      <c r="CK17" s="385"/>
      <c r="CL17" s="385"/>
      <c r="CM17" s="385"/>
      <c r="CN17" s="385"/>
      <c r="CO17" s="693" t="s">
        <v>2518</v>
      </c>
      <c r="CP17" s="694" t="s">
        <v>1730</v>
      </c>
    </row>
    <row r="18" spans="1:94" s="342" customFormat="1" ht="13.5" hidden="1" customHeight="1">
      <c r="A18" s="388"/>
      <c r="C18" s="388"/>
      <c r="D18" s="388"/>
      <c r="E18" s="388"/>
      <c r="F18" s="388"/>
      <c r="G18" s="388"/>
      <c r="H18" s="389"/>
      <c r="I18" s="388"/>
      <c r="J18" s="388"/>
      <c r="K18" s="388"/>
      <c r="L18" s="388"/>
      <c r="M18" s="388"/>
      <c r="N18" s="388"/>
      <c r="O18" s="388"/>
      <c r="P18" s="388"/>
      <c r="Q18" s="388"/>
      <c r="R18" s="388"/>
      <c r="S18" s="388"/>
      <c r="T18" s="394"/>
      <c r="U18" s="395"/>
      <c r="Z18" s="33"/>
      <c r="AF18" s="396"/>
      <c r="AL18" s="390"/>
      <c r="AN18" s="397"/>
      <c r="AP18" s="390"/>
      <c r="AQ18" s="390"/>
      <c r="AR18" s="596"/>
      <c r="AS18" s="596"/>
      <c r="AT18" s="596"/>
      <c r="AU18" s="597"/>
      <c r="AV18" s="597"/>
      <c r="AW18" s="597"/>
      <c r="AX18" s="597"/>
      <c r="AY18" s="597"/>
      <c r="AZ18" s="597"/>
      <c r="BA18" s="597"/>
      <c r="BB18" s="597"/>
      <c r="BC18" s="597"/>
      <c r="BD18" s="597"/>
      <c r="BE18" s="597"/>
      <c r="BF18" s="597"/>
      <c r="BG18" s="597"/>
      <c r="BH18" s="597"/>
      <c r="BI18" s="597"/>
      <c r="BJ18" s="597"/>
      <c r="BK18" s="597"/>
      <c r="BL18" s="597"/>
      <c r="BM18" s="597"/>
      <c r="BO18" s="374"/>
      <c r="BQ18" s="398"/>
      <c r="BR18" s="379" t="s">
        <v>2284</v>
      </c>
      <c r="BS18" s="399"/>
      <c r="BT18" s="399"/>
      <c r="BU18" s="385"/>
      <c r="BV18" s="385"/>
      <c r="BW18" s="385"/>
      <c r="BX18" s="385"/>
      <c r="BY18" s="385"/>
      <c r="BZ18" s="385"/>
      <c r="CA18" s="385"/>
      <c r="CB18" s="385"/>
      <c r="CC18" s="385"/>
      <c r="CD18" s="385"/>
      <c r="CE18" s="385"/>
      <c r="CF18" s="385"/>
      <c r="CG18" s="385"/>
      <c r="CH18" s="385"/>
      <c r="CI18" s="385"/>
      <c r="CJ18" s="385"/>
      <c r="CK18" s="385"/>
      <c r="CL18" s="385"/>
      <c r="CM18" s="385"/>
      <c r="CN18" s="385"/>
      <c r="CO18" s="693"/>
      <c r="CP18" s="694"/>
    </row>
    <row r="19" spans="1:94" s="342" customFormat="1" ht="13.5" hidden="1" customHeight="1">
      <c r="A19" s="388"/>
      <c r="C19" s="388"/>
      <c r="D19" s="388"/>
      <c r="E19" s="388"/>
      <c r="F19" s="388"/>
      <c r="G19" s="388"/>
      <c r="H19" s="389"/>
      <c r="I19" s="388"/>
      <c r="J19" s="388"/>
      <c r="K19" s="388"/>
      <c r="L19" s="388"/>
      <c r="M19" s="388"/>
      <c r="N19" s="388"/>
      <c r="O19" s="388"/>
      <c r="P19" s="388"/>
      <c r="Q19" s="388"/>
      <c r="R19" s="388"/>
      <c r="S19" s="388"/>
      <c r="T19" s="394"/>
      <c r="U19" s="395"/>
      <c r="Z19" s="33"/>
      <c r="AF19" s="396"/>
      <c r="AL19" s="390"/>
      <c r="AN19" s="397"/>
      <c r="AP19" s="390"/>
      <c r="AQ19" s="390"/>
      <c r="AR19" s="596"/>
      <c r="AS19" s="596"/>
      <c r="AT19" s="596"/>
      <c r="AU19" s="597"/>
      <c r="AV19" s="597"/>
      <c r="AW19" s="597"/>
      <c r="AX19" s="597"/>
      <c r="AY19" s="597"/>
      <c r="AZ19" s="597"/>
      <c r="BA19" s="597"/>
      <c r="BB19" s="597"/>
      <c r="BC19" s="597"/>
      <c r="BD19" s="597"/>
      <c r="BE19" s="597"/>
      <c r="BF19" s="597"/>
      <c r="BG19" s="597"/>
      <c r="BH19" s="597"/>
      <c r="BI19" s="597"/>
      <c r="BJ19" s="597"/>
      <c r="BK19" s="597"/>
      <c r="BL19" s="597"/>
      <c r="BM19" s="597"/>
      <c r="BO19" s="374"/>
      <c r="BQ19" s="398"/>
      <c r="BR19" s="379" t="s">
        <v>2285</v>
      </c>
      <c r="BS19" s="399"/>
      <c r="BT19" s="399"/>
      <c r="BU19" s="385"/>
      <c r="BV19" s="385"/>
      <c r="BW19" s="385"/>
      <c r="BX19" s="385"/>
      <c r="BY19" s="385"/>
      <c r="BZ19" s="385"/>
      <c r="CA19" s="385"/>
      <c r="CB19" s="385"/>
      <c r="CC19" s="385"/>
      <c r="CD19" s="385"/>
      <c r="CE19" s="385"/>
      <c r="CF19" s="385"/>
      <c r="CG19" s="385"/>
      <c r="CH19" s="385"/>
      <c r="CI19" s="385"/>
      <c r="CJ19" s="385"/>
      <c r="CK19" s="385"/>
      <c r="CL19" s="385"/>
      <c r="CM19" s="385"/>
      <c r="CN19" s="385"/>
      <c r="CO19" s="693"/>
      <c r="CP19" s="694"/>
    </row>
    <row r="20" spans="1:94" s="342" customFormat="1" ht="13.5" hidden="1" customHeight="1">
      <c r="A20" s="388"/>
      <c r="C20" s="388"/>
      <c r="D20" s="388"/>
      <c r="E20" s="388"/>
      <c r="F20" s="388"/>
      <c r="G20" s="388"/>
      <c r="H20" s="389"/>
      <c r="I20" s="388"/>
      <c r="J20" s="388"/>
      <c r="K20" s="388"/>
      <c r="L20" s="388"/>
      <c r="M20" s="388"/>
      <c r="N20" s="388"/>
      <c r="O20" s="388"/>
      <c r="P20" s="388"/>
      <c r="Q20" s="388"/>
      <c r="R20" s="388"/>
      <c r="S20" s="388"/>
      <c r="T20" s="394"/>
      <c r="U20" s="395"/>
      <c r="Z20" s="33"/>
      <c r="AF20" s="396"/>
      <c r="AL20" s="390"/>
      <c r="AN20" s="397"/>
      <c r="AP20" s="390"/>
      <c r="AQ20" s="390"/>
      <c r="AR20" s="596"/>
      <c r="AS20" s="596"/>
      <c r="AT20" s="596"/>
      <c r="AU20" s="597"/>
      <c r="AV20" s="597"/>
      <c r="AW20" s="597"/>
      <c r="AX20" s="597"/>
      <c r="AY20" s="597"/>
      <c r="AZ20" s="597"/>
      <c r="BA20" s="597"/>
      <c r="BB20" s="597"/>
      <c r="BC20" s="597"/>
      <c r="BD20" s="597"/>
      <c r="BE20" s="597"/>
      <c r="BF20" s="597"/>
      <c r="BG20" s="597"/>
      <c r="BH20" s="597"/>
      <c r="BI20" s="597"/>
      <c r="BJ20" s="597"/>
      <c r="BK20" s="597"/>
      <c r="BL20" s="597"/>
      <c r="BM20" s="597"/>
      <c r="BO20" s="374"/>
      <c r="BQ20" s="398"/>
      <c r="BR20" s="379" t="s">
        <v>2286</v>
      </c>
      <c r="BS20" s="399"/>
      <c r="BT20" s="399"/>
      <c r="BU20" s="385"/>
      <c r="BV20" s="385"/>
      <c r="BW20" s="385"/>
      <c r="BX20" s="385"/>
      <c r="BY20" s="385"/>
      <c r="BZ20" s="385"/>
      <c r="CA20" s="385"/>
      <c r="CB20" s="385"/>
      <c r="CC20" s="385"/>
      <c r="CD20" s="385"/>
      <c r="CE20" s="385"/>
      <c r="CF20" s="385"/>
      <c r="CG20" s="385"/>
      <c r="CH20" s="385"/>
      <c r="CI20" s="385"/>
      <c r="CJ20" s="385"/>
      <c r="CK20" s="385"/>
      <c r="CL20" s="385"/>
      <c r="CM20" s="385"/>
      <c r="CN20" s="385"/>
      <c r="CO20" s="693"/>
      <c r="CP20" s="694"/>
    </row>
    <row r="21" spans="1:94" s="342" customFormat="1" ht="13.5" hidden="1" customHeight="1">
      <c r="A21" s="388"/>
      <c r="C21" s="388"/>
      <c r="D21" s="388"/>
      <c r="E21" s="388"/>
      <c r="F21" s="388"/>
      <c r="G21" s="388"/>
      <c r="H21" s="389"/>
      <c r="I21" s="388"/>
      <c r="J21" s="388"/>
      <c r="K21" s="388"/>
      <c r="L21" s="388"/>
      <c r="M21" s="388"/>
      <c r="N21" s="388"/>
      <c r="O21" s="388"/>
      <c r="P21" s="388"/>
      <c r="Q21" s="388"/>
      <c r="R21" s="388"/>
      <c r="S21" s="388"/>
      <c r="T21" s="394"/>
      <c r="U21" s="395"/>
      <c r="Z21" s="33"/>
      <c r="AF21" s="396"/>
      <c r="AL21" s="390"/>
      <c r="AN21" s="397"/>
      <c r="AP21" s="390"/>
      <c r="AQ21" s="390"/>
      <c r="AR21" s="596"/>
      <c r="AS21" s="596"/>
      <c r="AT21" s="596"/>
      <c r="AU21" s="597"/>
      <c r="AV21" s="597"/>
      <c r="AW21" s="597"/>
      <c r="AX21" s="597"/>
      <c r="AY21" s="597"/>
      <c r="AZ21" s="597"/>
      <c r="BA21" s="597"/>
      <c r="BB21" s="597"/>
      <c r="BC21" s="597"/>
      <c r="BD21" s="597"/>
      <c r="BE21" s="597"/>
      <c r="BF21" s="597"/>
      <c r="BG21" s="597"/>
      <c r="BH21" s="597"/>
      <c r="BI21" s="597"/>
      <c r="BJ21" s="597"/>
      <c r="BK21" s="597"/>
      <c r="BL21" s="597"/>
      <c r="BM21" s="597"/>
      <c r="BO21" s="374"/>
      <c r="BQ21" s="398"/>
      <c r="BR21" s="379" t="s">
        <v>2287</v>
      </c>
      <c r="BS21" s="399"/>
      <c r="BT21" s="399"/>
      <c r="BU21" s="385"/>
      <c r="BV21" s="385"/>
      <c r="BW21" s="385"/>
      <c r="BX21" s="385"/>
      <c r="BY21" s="385"/>
      <c r="BZ21" s="385"/>
      <c r="CA21" s="385"/>
      <c r="CB21" s="385"/>
      <c r="CC21" s="385"/>
      <c r="CD21" s="385"/>
      <c r="CE21" s="385"/>
      <c r="CF21" s="385"/>
      <c r="CG21" s="385"/>
      <c r="CH21" s="385"/>
      <c r="CI21" s="385"/>
      <c r="CJ21" s="385"/>
      <c r="CK21" s="385"/>
      <c r="CL21" s="385"/>
      <c r="CM21" s="385"/>
      <c r="CN21" s="385"/>
      <c r="CO21" s="693"/>
      <c r="CP21" s="694"/>
    </row>
    <row r="22" spans="1:94" s="342" customFormat="1" ht="13.5" hidden="1" customHeight="1">
      <c r="A22" s="388"/>
      <c r="C22" s="388"/>
      <c r="D22" s="388"/>
      <c r="E22" s="388"/>
      <c r="F22" s="388"/>
      <c r="G22" s="388"/>
      <c r="H22" s="389"/>
      <c r="I22" s="388"/>
      <c r="J22" s="388"/>
      <c r="K22" s="388"/>
      <c r="L22" s="388"/>
      <c r="M22" s="388"/>
      <c r="N22" s="388"/>
      <c r="O22" s="388"/>
      <c r="P22" s="388"/>
      <c r="Q22" s="388"/>
      <c r="R22" s="388"/>
      <c r="S22" s="388"/>
      <c r="T22" s="394"/>
      <c r="U22" s="395"/>
      <c r="Z22" s="33"/>
      <c r="AF22" s="396"/>
      <c r="AL22" s="390"/>
      <c r="AN22" s="397"/>
      <c r="AP22" s="390"/>
      <c r="AQ22" s="390"/>
      <c r="AR22" s="596"/>
      <c r="AS22" s="596"/>
      <c r="AT22" s="596"/>
      <c r="AU22" s="597"/>
      <c r="AV22" s="597"/>
      <c r="AW22" s="597"/>
      <c r="AX22" s="597"/>
      <c r="AY22" s="597"/>
      <c r="AZ22" s="597"/>
      <c r="BA22" s="597"/>
      <c r="BB22" s="597"/>
      <c r="BC22" s="597"/>
      <c r="BD22" s="597"/>
      <c r="BE22" s="597"/>
      <c r="BF22" s="597"/>
      <c r="BG22" s="597"/>
      <c r="BH22" s="597"/>
      <c r="BI22" s="597"/>
      <c r="BJ22" s="597"/>
      <c r="BK22" s="597"/>
      <c r="BL22" s="597"/>
      <c r="BM22" s="597"/>
      <c r="BO22" s="374"/>
      <c r="BQ22" s="398"/>
      <c r="BR22" s="379" t="s">
        <v>2288</v>
      </c>
      <c r="BS22" s="399"/>
      <c r="BT22" s="399"/>
      <c r="BU22" s="385"/>
      <c r="BV22" s="385"/>
      <c r="BW22" s="385"/>
      <c r="BX22" s="385"/>
      <c r="BY22" s="385"/>
      <c r="BZ22" s="385"/>
      <c r="CA22" s="385"/>
      <c r="CB22" s="385"/>
      <c r="CC22" s="385"/>
      <c r="CD22" s="385"/>
      <c r="CE22" s="385"/>
      <c r="CF22" s="385"/>
      <c r="CG22" s="385"/>
      <c r="CH22" s="385"/>
      <c r="CI22" s="385"/>
      <c r="CJ22" s="385"/>
      <c r="CK22" s="385"/>
      <c r="CL22" s="385"/>
      <c r="CM22" s="385"/>
      <c r="CN22" s="385"/>
      <c r="CO22" s="693"/>
      <c r="CP22" s="694"/>
    </row>
    <row r="23" spans="1:94" s="342" customFormat="1" ht="13.5" hidden="1" customHeight="1">
      <c r="A23" s="388"/>
      <c r="C23" s="388"/>
      <c r="D23" s="388"/>
      <c r="E23" s="388"/>
      <c r="F23" s="388"/>
      <c r="G23" s="388"/>
      <c r="H23" s="389"/>
      <c r="I23" s="388"/>
      <c r="J23" s="388"/>
      <c r="K23" s="388"/>
      <c r="L23" s="388"/>
      <c r="M23" s="388"/>
      <c r="N23" s="388"/>
      <c r="O23" s="388"/>
      <c r="P23" s="388"/>
      <c r="Q23" s="388"/>
      <c r="R23" s="388"/>
      <c r="S23" s="388"/>
      <c r="T23" s="394"/>
      <c r="U23" s="395"/>
      <c r="Z23" s="33"/>
      <c r="AF23" s="396"/>
      <c r="AL23" s="390"/>
      <c r="AN23" s="397"/>
      <c r="AP23" s="390"/>
      <c r="AQ23" s="390"/>
      <c r="AR23" s="596"/>
      <c r="AS23" s="596"/>
      <c r="AT23" s="596"/>
      <c r="AU23" s="597"/>
      <c r="AV23" s="597"/>
      <c r="AW23" s="597"/>
      <c r="AX23" s="597"/>
      <c r="AY23" s="597"/>
      <c r="AZ23" s="597"/>
      <c r="BA23" s="597"/>
      <c r="BB23" s="597"/>
      <c r="BC23" s="597"/>
      <c r="BD23" s="597"/>
      <c r="BE23" s="597"/>
      <c r="BF23" s="597"/>
      <c r="BG23" s="597"/>
      <c r="BH23" s="597"/>
      <c r="BI23" s="597"/>
      <c r="BJ23" s="597"/>
      <c r="BK23" s="597"/>
      <c r="BL23" s="597"/>
      <c r="BM23" s="597"/>
      <c r="BO23" s="374"/>
      <c r="BQ23" s="398"/>
      <c r="BR23" s="379" t="s">
        <v>2228</v>
      </c>
      <c r="BS23" s="399"/>
      <c r="BT23" s="399"/>
      <c r="BU23" s="385"/>
      <c r="BV23" s="385"/>
      <c r="BW23" s="385"/>
      <c r="BX23" s="385"/>
      <c r="BY23" s="385"/>
      <c r="BZ23" s="385"/>
      <c r="CA23" s="385"/>
      <c r="CB23" s="385"/>
      <c r="CC23" s="385"/>
      <c r="CD23" s="385"/>
      <c r="CE23" s="385"/>
      <c r="CF23" s="385"/>
      <c r="CG23" s="385"/>
      <c r="CH23" s="385"/>
      <c r="CI23" s="385"/>
      <c r="CJ23" s="385"/>
      <c r="CK23" s="385"/>
      <c r="CL23" s="385"/>
      <c r="CM23" s="385"/>
      <c r="CN23" s="385"/>
      <c r="CO23" s="693"/>
      <c r="CP23" s="694"/>
    </row>
    <row r="24" spans="1:94" s="342" customFormat="1" ht="13.5" hidden="1" customHeight="1">
      <c r="A24" s="388"/>
      <c r="C24" s="388"/>
      <c r="D24" s="388"/>
      <c r="E24" s="388"/>
      <c r="F24" s="388"/>
      <c r="G24" s="388"/>
      <c r="H24" s="389"/>
      <c r="I24" s="388"/>
      <c r="J24" s="388"/>
      <c r="K24" s="388"/>
      <c r="L24" s="388"/>
      <c r="M24" s="388"/>
      <c r="N24" s="388"/>
      <c r="O24" s="388"/>
      <c r="P24" s="388"/>
      <c r="Q24" s="388"/>
      <c r="R24" s="388"/>
      <c r="S24" s="388"/>
      <c r="T24" s="394"/>
      <c r="U24" s="395"/>
      <c r="Z24" s="33"/>
      <c r="AF24" s="396"/>
      <c r="AL24" s="390"/>
      <c r="AN24" s="397"/>
      <c r="AP24" s="390"/>
      <c r="AQ24" s="390"/>
      <c r="AR24" s="596"/>
      <c r="AS24" s="596"/>
      <c r="AT24" s="596"/>
      <c r="AU24" s="597"/>
      <c r="AV24" s="597"/>
      <c r="AW24" s="597"/>
      <c r="AX24" s="597"/>
      <c r="AY24" s="597"/>
      <c r="AZ24" s="597"/>
      <c r="BA24" s="597"/>
      <c r="BB24" s="597"/>
      <c r="BC24" s="597"/>
      <c r="BD24" s="597"/>
      <c r="BE24" s="597"/>
      <c r="BF24" s="597"/>
      <c r="BG24" s="597"/>
      <c r="BH24" s="597"/>
      <c r="BI24" s="597"/>
      <c r="BJ24" s="597"/>
      <c r="BK24" s="597"/>
      <c r="BL24" s="597"/>
      <c r="BM24" s="597"/>
      <c r="BO24" s="374"/>
      <c r="BQ24" s="398"/>
      <c r="BR24" s="379" t="s">
        <v>2229</v>
      </c>
      <c r="BS24" s="399"/>
      <c r="BT24" s="399"/>
      <c r="BU24" s="385"/>
      <c r="BV24" s="385"/>
      <c r="BW24" s="385"/>
      <c r="BX24" s="385"/>
      <c r="BY24" s="385"/>
      <c r="BZ24" s="385"/>
      <c r="CA24" s="385"/>
      <c r="CB24" s="385"/>
      <c r="CC24" s="385"/>
      <c r="CD24" s="385"/>
      <c r="CE24" s="385"/>
      <c r="CF24" s="385"/>
      <c r="CG24" s="385"/>
      <c r="CH24" s="385"/>
      <c r="CI24" s="385"/>
      <c r="CJ24" s="385"/>
      <c r="CK24" s="385"/>
      <c r="CL24" s="385"/>
      <c r="CM24" s="385"/>
      <c r="CN24" s="385"/>
      <c r="CO24" s="693"/>
      <c r="CP24" s="695"/>
    </row>
    <row r="25" spans="1:94" s="342" customFormat="1" ht="13.5" hidden="1" customHeight="1">
      <c r="A25" s="388"/>
      <c r="C25" s="388"/>
      <c r="D25" s="388"/>
      <c r="E25" s="388"/>
      <c r="F25" s="388"/>
      <c r="G25" s="388"/>
      <c r="H25" s="389"/>
      <c r="I25" s="388"/>
      <c r="J25" s="388"/>
      <c r="K25" s="388"/>
      <c r="L25" s="388"/>
      <c r="M25" s="388"/>
      <c r="N25" s="388"/>
      <c r="O25" s="388"/>
      <c r="P25" s="388"/>
      <c r="Q25" s="388"/>
      <c r="R25" s="388"/>
      <c r="S25" s="388"/>
      <c r="T25" s="394"/>
      <c r="U25" s="395"/>
      <c r="Z25" s="33"/>
      <c r="AF25" s="396"/>
      <c r="AL25" s="390"/>
      <c r="AN25" s="397"/>
      <c r="AP25" s="390"/>
      <c r="AQ25" s="390"/>
      <c r="AR25" s="596"/>
      <c r="AS25" s="596"/>
      <c r="AT25" s="596"/>
      <c r="AU25" s="597"/>
      <c r="AV25" s="597"/>
      <c r="AW25" s="597"/>
      <c r="AX25" s="597"/>
      <c r="AY25" s="597"/>
      <c r="AZ25" s="597"/>
      <c r="BA25" s="597"/>
      <c r="BB25" s="597"/>
      <c r="BC25" s="597"/>
      <c r="BD25" s="597"/>
      <c r="BE25" s="597"/>
      <c r="BF25" s="597"/>
      <c r="BG25" s="597"/>
      <c r="BH25" s="597"/>
      <c r="BI25" s="597"/>
      <c r="BJ25" s="597"/>
      <c r="BK25" s="597"/>
      <c r="BL25" s="597"/>
      <c r="BM25" s="597"/>
      <c r="BO25" s="374"/>
      <c r="BQ25" s="398"/>
      <c r="BR25" s="379" t="s">
        <v>2289</v>
      </c>
      <c r="BS25" s="399"/>
      <c r="BT25" s="399"/>
      <c r="BU25" s="385"/>
      <c r="BV25" s="385"/>
      <c r="BW25" s="385"/>
      <c r="BX25" s="385"/>
      <c r="BY25" s="385"/>
      <c r="BZ25" s="385"/>
      <c r="CA25" s="385"/>
      <c r="CB25" s="385"/>
      <c r="CC25" s="385"/>
      <c r="CD25" s="385"/>
      <c r="CE25" s="385"/>
      <c r="CF25" s="385"/>
      <c r="CG25" s="385"/>
      <c r="CH25" s="385"/>
      <c r="CI25" s="385"/>
      <c r="CJ25" s="385"/>
      <c r="CK25" s="385"/>
      <c r="CL25" s="385"/>
      <c r="CM25" s="385"/>
      <c r="CN25" s="385"/>
      <c r="CO25" s="693"/>
      <c r="CP25" s="695"/>
    </row>
    <row r="26" spans="1:94" s="342" customFormat="1" ht="13.5" hidden="1" customHeight="1">
      <c r="A26" s="388"/>
      <c r="C26" s="388"/>
      <c r="D26" s="388"/>
      <c r="E26" s="388"/>
      <c r="F26" s="388"/>
      <c r="G26" s="388"/>
      <c r="H26" s="389"/>
      <c r="I26" s="388"/>
      <c r="J26" s="388"/>
      <c r="K26" s="388"/>
      <c r="L26" s="388"/>
      <c r="M26" s="388"/>
      <c r="N26" s="388"/>
      <c r="O26" s="388"/>
      <c r="P26" s="388"/>
      <c r="Q26" s="388"/>
      <c r="R26" s="388"/>
      <c r="S26" s="388"/>
      <c r="T26" s="394"/>
      <c r="U26" s="395"/>
      <c r="Z26" s="33"/>
      <c r="AF26" s="396"/>
      <c r="AL26" s="390"/>
      <c r="AN26" s="397"/>
      <c r="AP26" s="390"/>
      <c r="AQ26" s="390"/>
      <c r="AR26" s="596"/>
      <c r="AS26" s="596"/>
      <c r="AT26" s="596"/>
      <c r="AU26" s="597"/>
      <c r="AV26" s="597"/>
      <c r="AW26" s="597"/>
      <c r="AX26" s="597"/>
      <c r="AY26" s="597"/>
      <c r="AZ26" s="597"/>
      <c r="BA26" s="597"/>
      <c r="BB26" s="597"/>
      <c r="BC26" s="597"/>
      <c r="BD26" s="597"/>
      <c r="BE26" s="597"/>
      <c r="BF26" s="597"/>
      <c r="BG26" s="597"/>
      <c r="BH26" s="597"/>
      <c r="BI26" s="597"/>
      <c r="BJ26" s="597"/>
      <c r="BK26" s="597"/>
      <c r="BL26" s="597"/>
      <c r="BM26" s="597"/>
      <c r="BO26" s="374"/>
      <c r="BQ26" s="398"/>
      <c r="BR26" s="379" t="s">
        <v>2234</v>
      </c>
      <c r="BS26" s="399"/>
      <c r="BT26" s="399"/>
      <c r="BU26" s="385"/>
      <c r="BV26" s="385"/>
      <c r="BW26" s="385"/>
      <c r="BX26" s="385"/>
      <c r="BY26" s="385"/>
      <c r="BZ26" s="385"/>
      <c r="CA26" s="385"/>
      <c r="CB26" s="385"/>
      <c r="CC26" s="385"/>
      <c r="CD26" s="385"/>
      <c r="CE26" s="385"/>
      <c r="CF26" s="385"/>
      <c r="CG26" s="385"/>
      <c r="CH26" s="385"/>
      <c r="CI26" s="385"/>
      <c r="CJ26" s="385"/>
      <c r="CK26" s="385"/>
      <c r="CL26" s="385"/>
      <c r="CM26" s="385"/>
      <c r="CN26" s="385"/>
      <c r="CO26" s="693"/>
      <c r="CP26" s="695"/>
    </row>
    <row r="27" spans="1:94" s="342" customFormat="1" ht="13.5" hidden="1" customHeight="1">
      <c r="A27" s="388"/>
      <c r="C27" s="18"/>
      <c r="D27" s="18"/>
      <c r="E27" s="18"/>
      <c r="F27" s="18"/>
      <c r="G27" s="18"/>
      <c r="H27" s="18"/>
      <c r="I27" s="18"/>
      <c r="J27" s="18"/>
      <c r="K27" s="18"/>
      <c r="L27" s="18"/>
      <c r="M27" s="18"/>
      <c r="N27" s="18"/>
      <c r="O27" s="18"/>
      <c r="P27" s="388"/>
      <c r="Q27" s="388"/>
      <c r="R27" s="388"/>
      <c r="S27" s="388"/>
      <c r="T27" s="394"/>
      <c r="U27" s="395"/>
      <c r="Z27" s="33"/>
      <c r="AF27" s="396"/>
      <c r="AL27" s="390"/>
      <c r="AN27" s="397"/>
      <c r="AP27" s="390"/>
      <c r="AQ27" s="390"/>
      <c r="AR27" s="596"/>
      <c r="AS27" s="596"/>
      <c r="AT27" s="596"/>
      <c r="AU27" s="597"/>
      <c r="AV27" s="597"/>
      <c r="AW27" s="597"/>
      <c r="AX27" s="597"/>
      <c r="AY27" s="597"/>
      <c r="AZ27" s="597"/>
      <c r="BA27" s="597"/>
      <c r="BB27" s="597"/>
      <c r="BC27" s="597"/>
      <c r="BD27" s="597"/>
      <c r="BE27" s="597"/>
      <c r="BF27" s="597"/>
      <c r="BG27" s="597"/>
      <c r="BH27" s="597"/>
      <c r="BI27" s="597"/>
      <c r="BJ27" s="597"/>
      <c r="BK27" s="597"/>
      <c r="BL27" s="597"/>
      <c r="BM27" s="597"/>
      <c r="BO27" s="374"/>
      <c r="BQ27" s="398"/>
      <c r="BR27" s="379" t="s">
        <v>2231</v>
      </c>
      <c r="BS27" s="399"/>
      <c r="BT27" s="399"/>
      <c r="BU27" s="385"/>
      <c r="BV27" s="385"/>
      <c r="BW27" s="385"/>
      <c r="BX27" s="385"/>
      <c r="BY27" s="385"/>
      <c r="BZ27" s="385"/>
      <c r="CA27" s="385"/>
      <c r="CB27" s="385"/>
      <c r="CC27" s="385"/>
      <c r="CD27" s="385"/>
      <c r="CE27" s="385"/>
      <c r="CF27" s="385"/>
      <c r="CG27" s="385"/>
      <c r="CH27" s="385"/>
      <c r="CI27" s="385"/>
      <c r="CJ27" s="385"/>
      <c r="CK27" s="385"/>
      <c r="CL27" s="385"/>
      <c r="CM27" s="385"/>
      <c r="CN27" s="385"/>
      <c r="CO27" s="3"/>
      <c r="CP27" s="695"/>
    </row>
    <row r="28" spans="1:94" s="342" customFormat="1" ht="13.5" hidden="1" customHeight="1">
      <c r="A28" s="388"/>
      <c r="C28" s="18"/>
      <c r="D28" s="18"/>
      <c r="E28" s="18"/>
      <c r="F28" s="18"/>
      <c r="G28" s="18"/>
      <c r="H28" s="18"/>
      <c r="I28" s="18"/>
      <c r="J28" s="18"/>
      <c r="K28" s="18"/>
      <c r="L28" s="18"/>
      <c r="M28" s="18"/>
      <c r="N28" s="18"/>
      <c r="O28" s="18"/>
      <c r="P28" s="388"/>
      <c r="Q28" s="388"/>
      <c r="R28" s="388"/>
      <c r="S28" s="388"/>
      <c r="T28" s="394"/>
      <c r="U28" s="395"/>
      <c r="Z28" s="33"/>
      <c r="AF28" s="396"/>
      <c r="AL28" s="390"/>
      <c r="AN28" s="397"/>
      <c r="AP28" s="390"/>
      <c r="AQ28" s="390"/>
      <c r="AR28" s="596"/>
      <c r="AS28" s="596"/>
      <c r="AT28" s="596"/>
      <c r="AU28" s="597"/>
      <c r="AV28" s="597"/>
      <c r="AW28" s="597"/>
      <c r="AX28" s="597"/>
      <c r="AY28" s="597"/>
      <c r="AZ28" s="597"/>
      <c r="BA28" s="597"/>
      <c r="BB28" s="597"/>
      <c r="BC28" s="597"/>
      <c r="BD28" s="597"/>
      <c r="BE28" s="597"/>
      <c r="BF28" s="597"/>
      <c r="BG28" s="597"/>
      <c r="BH28" s="597"/>
      <c r="BI28" s="597"/>
      <c r="BJ28" s="597"/>
      <c r="BK28" s="597"/>
      <c r="BL28" s="597"/>
      <c r="BM28" s="597"/>
      <c r="BO28" s="374"/>
      <c r="BQ28" s="398"/>
      <c r="BR28" s="379" t="s">
        <v>2290</v>
      </c>
      <c r="BS28" s="399"/>
      <c r="BT28" s="399"/>
      <c r="BU28" s="385"/>
      <c r="BV28" s="385"/>
      <c r="BW28" s="385"/>
      <c r="BX28" s="385"/>
      <c r="BY28" s="385"/>
      <c r="BZ28" s="385"/>
      <c r="CA28" s="385"/>
      <c r="CB28" s="385"/>
      <c r="CC28" s="385"/>
      <c r="CD28" s="385"/>
      <c r="CE28" s="385"/>
      <c r="CF28" s="385"/>
      <c r="CG28" s="385"/>
      <c r="CH28" s="385"/>
      <c r="CI28" s="385"/>
      <c r="CJ28" s="385"/>
      <c r="CK28" s="385"/>
      <c r="CL28" s="385"/>
      <c r="CM28" s="385"/>
      <c r="CN28" s="385"/>
      <c r="CO28" s="3"/>
      <c r="CP28" s="695"/>
    </row>
    <row r="29" spans="1:94" s="342" customFormat="1" ht="13.5" hidden="1" customHeight="1">
      <c r="A29" s="388"/>
      <c r="C29" s="18"/>
      <c r="D29" s="18"/>
      <c r="E29" s="18"/>
      <c r="F29" s="18"/>
      <c r="G29" s="18"/>
      <c r="H29" s="18"/>
      <c r="I29" s="18"/>
      <c r="J29" s="18"/>
      <c r="K29" s="18"/>
      <c r="L29" s="18"/>
      <c r="M29" s="18"/>
      <c r="N29" s="18"/>
      <c r="O29" s="18"/>
      <c r="P29" s="388"/>
      <c r="Q29" s="388"/>
      <c r="R29" s="388"/>
      <c r="S29" s="388"/>
      <c r="T29" s="394"/>
      <c r="U29" s="395"/>
      <c r="Z29" s="33"/>
      <c r="AF29" s="396"/>
      <c r="AL29" s="390"/>
      <c r="AN29" s="397"/>
      <c r="AP29" s="390"/>
      <c r="AQ29" s="390"/>
      <c r="AR29" s="596"/>
      <c r="AS29" s="596"/>
      <c r="AT29" s="596"/>
      <c r="AU29" s="597"/>
      <c r="AV29" s="597"/>
      <c r="AW29" s="597"/>
      <c r="AX29" s="597"/>
      <c r="AY29" s="597"/>
      <c r="AZ29" s="597"/>
      <c r="BA29" s="597"/>
      <c r="BB29" s="597"/>
      <c r="BC29" s="597"/>
      <c r="BD29" s="597"/>
      <c r="BE29" s="597"/>
      <c r="BF29" s="597"/>
      <c r="BG29" s="597"/>
      <c r="BH29" s="597"/>
      <c r="BI29" s="597"/>
      <c r="BJ29" s="597"/>
      <c r="BK29" s="597"/>
      <c r="BL29" s="597"/>
      <c r="BM29" s="597"/>
      <c r="BO29" s="374"/>
      <c r="BQ29" s="398"/>
      <c r="BR29" s="379" t="s">
        <v>2291</v>
      </c>
      <c r="BS29" s="399"/>
      <c r="BT29" s="399"/>
      <c r="BU29" s="385"/>
      <c r="BV29" s="385"/>
      <c r="BW29" s="385"/>
      <c r="BX29" s="385"/>
      <c r="BY29" s="385"/>
      <c r="BZ29" s="385"/>
      <c r="CA29" s="385"/>
      <c r="CB29" s="385"/>
      <c r="CC29" s="385"/>
      <c r="CD29" s="385"/>
      <c r="CE29" s="385"/>
      <c r="CF29" s="385"/>
      <c r="CG29" s="385"/>
      <c r="CH29" s="385"/>
      <c r="CI29" s="385"/>
      <c r="CJ29" s="385"/>
      <c r="CK29" s="385"/>
      <c r="CL29" s="385"/>
      <c r="CM29" s="385"/>
      <c r="CN29" s="385"/>
      <c r="CO29" s="3"/>
      <c r="CP29" s="695"/>
    </row>
    <row r="30" spans="1:94" s="342" customFormat="1" ht="13.5" hidden="1" customHeight="1">
      <c r="A30" s="388"/>
      <c r="B30" s="16"/>
      <c r="C30" s="18"/>
      <c r="D30" s="18"/>
      <c r="E30" s="18"/>
      <c r="F30" s="18"/>
      <c r="G30" s="18"/>
      <c r="H30" s="18"/>
      <c r="I30" s="18"/>
      <c r="J30" s="18"/>
      <c r="K30" s="18"/>
      <c r="L30" s="18"/>
      <c r="M30" s="18"/>
      <c r="N30" s="18"/>
      <c r="O30" s="18"/>
      <c r="P30" s="388"/>
      <c r="Q30" s="388"/>
      <c r="R30" s="388"/>
      <c r="S30" s="388"/>
      <c r="T30" s="394"/>
      <c r="U30" s="395"/>
      <c r="Z30" s="33"/>
      <c r="AF30" s="396"/>
      <c r="AL30" s="390"/>
      <c r="AN30" s="397"/>
      <c r="AP30" s="390"/>
      <c r="AQ30" s="390"/>
      <c r="AR30" s="596"/>
      <c r="AS30" s="596"/>
      <c r="AT30" s="596"/>
      <c r="AU30" s="597"/>
      <c r="AV30" s="597"/>
      <c r="AW30" s="597"/>
      <c r="AX30" s="597"/>
      <c r="AY30" s="597"/>
      <c r="AZ30" s="597"/>
      <c r="BA30" s="597"/>
      <c r="BB30" s="597"/>
      <c r="BC30" s="597"/>
      <c r="BD30" s="597"/>
      <c r="BE30" s="597"/>
      <c r="BF30" s="597"/>
      <c r="BG30" s="597"/>
      <c r="BH30" s="597"/>
      <c r="BI30" s="597"/>
      <c r="BJ30" s="597"/>
      <c r="BK30" s="597"/>
      <c r="BL30" s="597"/>
      <c r="BM30" s="597"/>
      <c r="BO30" s="374"/>
      <c r="BQ30" s="398"/>
      <c r="BR30" s="379" t="s">
        <v>2232</v>
      </c>
      <c r="BS30" s="399"/>
      <c r="BT30" s="399"/>
      <c r="BU30" s="385"/>
      <c r="BV30" s="385"/>
      <c r="BW30" s="385"/>
      <c r="BX30" s="385"/>
      <c r="BY30" s="385"/>
      <c r="BZ30" s="385"/>
      <c r="CA30" s="385"/>
      <c r="CB30" s="385"/>
      <c r="CC30" s="385"/>
      <c r="CD30" s="385"/>
      <c r="CE30" s="385"/>
      <c r="CF30" s="385"/>
      <c r="CG30" s="385"/>
      <c r="CH30" s="385"/>
      <c r="CI30" s="385"/>
      <c r="CJ30" s="385"/>
      <c r="CK30" s="385"/>
      <c r="CL30" s="385"/>
      <c r="CM30" s="385"/>
      <c r="CN30" s="385"/>
      <c r="CO30" s="3"/>
      <c r="CP30" s="695"/>
    </row>
    <row r="31" spans="1:94" s="342" customFormat="1" ht="13.5" hidden="1" customHeight="1">
      <c r="A31" s="388"/>
      <c r="C31" s="18"/>
      <c r="D31" s="18"/>
      <c r="E31" s="18"/>
      <c r="F31" s="18"/>
      <c r="G31" s="18"/>
      <c r="H31" s="18"/>
      <c r="I31" s="18"/>
      <c r="J31" s="18"/>
      <c r="K31" s="18"/>
      <c r="L31" s="18"/>
      <c r="M31" s="18"/>
      <c r="N31" s="18"/>
      <c r="O31" s="18"/>
      <c r="P31" s="388"/>
      <c r="Q31" s="388"/>
      <c r="R31" s="388"/>
      <c r="S31" s="388"/>
      <c r="T31" s="394"/>
      <c r="U31" s="395"/>
      <c r="Z31" s="33"/>
      <c r="AF31" s="396"/>
      <c r="AL31" s="390"/>
      <c r="AN31" s="397"/>
      <c r="AP31" s="390"/>
      <c r="AQ31" s="390"/>
      <c r="AR31" s="596"/>
      <c r="AS31" s="596"/>
      <c r="AT31" s="596"/>
      <c r="AU31" s="597"/>
      <c r="AV31" s="597"/>
      <c r="AW31" s="597"/>
      <c r="AX31" s="597"/>
      <c r="AY31" s="597"/>
      <c r="AZ31" s="597"/>
      <c r="BA31" s="597"/>
      <c r="BB31" s="597"/>
      <c r="BC31" s="597"/>
      <c r="BD31" s="597"/>
      <c r="BE31" s="597"/>
      <c r="BF31" s="597"/>
      <c r="BG31" s="597"/>
      <c r="BH31" s="597"/>
      <c r="BI31" s="597"/>
      <c r="BJ31" s="597"/>
      <c r="BK31" s="597"/>
      <c r="BL31" s="597"/>
      <c r="BM31" s="597"/>
      <c r="BO31" s="374"/>
      <c r="BQ31" s="398"/>
      <c r="BR31" s="379" t="s">
        <v>2292</v>
      </c>
      <c r="BS31" s="399"/>
      <c r="BT31" s="399"/>
      <c r="BU31" s="385"/>
      <c r="BV31" s="385"/>
      <c r="BW31" s="385"/>
      <c r="BX31" s="385"/>
      <c r="BY31" s="385"/>
      <c r="BZ31" s="385"/>
      <c r="CA31" s="385"/>
      <c r="CB31" s="385"/>
      <c r="CC31" s="385"/>
      <c r="CD31" s="385"/>
      <c r="CE31" s="385"/>
      <c r="CF31" s="385"/>
      <c r="CG31" s="385"/>
      <c r="CH31" s="385"/>
      <c r="CI31" s="385"/>
      <c r="CJ31" s="385"/>
      <c r="CK31" s="385"/>
      <c r="CL31" s="385"/>
      <c r="CM31" s="385"/>
      <c r="CN31" s="385"/>
    </row>
    <row r="32" spans="1:94" s="342" customFormat="1" ht="13.5" hidden="1" customHeight="1">
      <c r="A32" s="388"/>
      <c r="C32" s="18"/>
      <c r="D32" s="18"/>
      <c r="E32" s="18"/>
      <c r="F32" s="18"/>
      <c r="G32" s="18"/>
      <c r="H32" s="18"/>
      <c r="I32" s="18"/>
      <c r="J32" s="18"/>
      <c r="K32" s="18"/>
      <c r="L32" s="18"/>
      <c r="M32" s="18"/>
      <c r="N32" s="18"/>
      <c r="O32" s="18"/>
      <c r="P32" s="388"/>
      <c r="Q32" s="388"/>
      <c r="R32" s="388"/>
      <c r="S32" s="388"/>
      <c r="T32" s="394"/>
      <c r="U32" s="395"/>
      <c r="Z32" s="33"/>
      <c r="AF32" s="396"/>
      <c r="AL32" s="390"/>
      <c r="AN32" s="397"/>
      <c r="AP32" s="390"/>
      <c r="AQ32" s="390"/>
      <c r="AR32" s="596"/>
      <c r="AS32" s="596"/>
      <c r="AT32" s="596"/>
      <c r="AU32" s="597"/>
      <c r="AV32" s="597"/>
      <c r="AW32" s="597"/>
      <c r="AX32" s="597"/>
      <c r="AY32" s="597"/>
      <c r="AZ32" s="597"/>
      <c r="BA32" s="597"/>
      <c r="BB32" s="597"/>
      <c r="BC32" s="597"/>
      <c r="BD32" s="597"/>
      <c r="BE32" s="597"/>
      <c r="BF32" s="597"/>
      <c r="BG32" s="597"/>
      <c r="BH32" s="597"/>
      <c r="BI32" s="597"/>
      <c r="BJ32" s="597"/>
      <c r="BK32" s="597"/>
      <c r="BL32" s="597"/>
      <c r="BM32" s="597"/>
      <c r="BO32" s="374"/>
      <c r="BQ32" s="398"/>
      <c r="BR32" s="379" t="s">
        <v>2293</v>
      </c>
      <c r="BS32" s="399"/>
      <c r="BT32" s="399"/>
      <c r="BU32" s="385"/>
      <c r="BV32" s="385"/>
      <c r="BW32" s="385"/>
      <c r="BX32" s="385"/>
      <c r="BY32" s="385"/>
      <c r="BZ32" s="385"/>
      <c r="CA32" s="385"/>
      <c r="CB32" s="385"/>
      <c r="CC32" s="385"/>
      <c r="CD32" s="385"/>
      <c r="CE32" s="385"/>
      <c r="CF32" s="385"/>
      <c r="CG32" s="385"/>
      <c r="CH32" s="385"/>
      <c r="CI32" s="385"/>
      <c r="CJ32" s="385"/>
      <c r="CK32" s="385"/>
      <c r="CL32" s="385"/>
      <c r="CM32" s="385"/>
      <c r="CN32" s="385"/>
    </row>
    <row r="33" spans="1:92" s="342" customFormat="1" ht="13.5" hidden="1" customHeight="1">
      <c r="A33" s="388"/>
      <c r="C33" s="18"/>
      <c r="D33" s="18"/>
      <c r="E33" s="18"/>
      <c r="F33" s="18"/>
      <c r="G33" s="18"/>
      <c r="H33" s="18"/>
      <c r="I33" s="18"/>
      <c r="J33" s="18"/>
      <c r="K33" s="18"/>
      <c r="L33" s="18"/>
      <c r="M33" s="18"/>
      <c r="N33" s="18"/>
      <c r="O33" s="18"/>
      <c r="P33" s="388"/>
      <c r="Q33" s="388"/>
      <c r="R33" s="388"/>
      <c r="S33" s="388"/>
      <c r="T33" s="394"/>
      <c r="U33" s="395"/>
      <c r="Z33" s="33"/>
      <c r="AF33" s="396"/>
      <c r="AL33" s="390"/>
      <c r="AN33" s="397"/>
      <c r="AP33" s="390"/>
      <c r="AQ33" s="390"/>
      <c r="AR33" s="596"/>
      <c r="AS33" s="596"/>
      <c r="AT33" s="596"/>
      <c r="AU33" s="597"/>
      <c r="AV33" s="597"/>
      <c r="AW33" s="597"/>
      <c r="AX33" s="597"/>
      <c r="AY33" s="597"/>
      <c r="AZ33" s="597"/>
      <c r="BA33" s="597"/>
      <c r="BB33" s="597"/>
      <c r="BC33" s="597"/>
      <c r="BD33" s="597"/>
      <c r="BE33" s="597"/>
      <c r="BF33" s="597"/>
      <c r="BG33" s="597"/>
      <c r="BH33" s="597"/>
      <c r="BI33" s="597"/>
      <c r="BJ33" s="597"/>
      <c r="BK33" s="597"/>
      <c r="BL33" s="597"/>
      <c r="BM33" s="597"/>
      <c r="BO33" s="374"/>
      <c r="BQ33" s="398"/>
      <c r="BR33" s="379" t="s">
        <v>2294</v>
      </c>
      <c r="BS33" s="399"/>
      <c r="BT33" s="399"/>
      <c r="BU33" s="385"/>
      <c r="BV33" s="385"/>
      <c r="BW33" s="385"/>
      <c r="BX33" s="385"/>
      <c r="BY33" s="385"/>
      <c r="BZ33" s="385"/>
      <c r="CA33" s="385"/>
      <c r="CB33" s="385"/>
      <c r="CC33" s="385"/>
      <c r="CD33" s="385"/>
      <c r="CE33" s="385"/>
      <c r="CF33" s="385"/>
      <c r="CG33" s="385"/>
      <c r="CH33" s="385"/>
      <c r="CI33" s="385"/>
      <c r="CJ33" s="385"/>
      <c r="CK33" s="385"/>
      <c r="CL33" s="385"/>
      <c r="CM33" s="385"/>
      <c r="CN33" s="385"/>
    </row>
    <row r="34" spans="1:92" s="342" customFormat="1" ht="13.5" hidden="1" customHeight="1">
      <c r="A34" s="388"/>
      <c r="C34" s="18"/>
      <c r="D34" s="18"/>
      <c r="E34" s="18"/>
      <c r="F34" s="18"/>
      <c r="G34" s="18"/>
      <c r="H34" s="18"/>
      <c r="I34" s="18"/>
      <c r="J34" s="18"/>
      <c r="K34" s="18"/>
      <c r="L34" s="18"/>
      <c r="M34" s="18"/>
      <c r="N34" s="18"/>
      <c r="O34" s="18"/>
      <c r="P34" s="388"/>
      <c r="Q34" s="388"/>
      <c r="R34" s="388"/>
      <c r="S34" s="388"/>
      <c r="T34" s="394"/>
      <c r="U34" s="395"/>
      <c r="Z34" s="33"/>
      <c r="AF34" s="396"/>
      <c r="AL34" s="390"/>
      <c r="AN34" s="397"/>
      <c r="AP34" s="390"/>
      <c r="AQ34" s="390"/>
      <c r="AR34" s="596"/>
      <c r="AS34" s="596"/>
      <c r="AT34" s="596"/>
      <c r="AU34" s="597"/>
      <c r="AV34" s="597"/>
      <c r="AW34" s="597"/>
      <c r="AX34" s="597"/>
      <c r="AY34" s="597"/>
      <c r="AZ34" s="597"/>
      <c r="BA34" s="597"/>
      <c r="BB34" s="597"/>
      <c r="BC34" s="597"/>
      <c r="BD34" s="597"/>
      <c r="BE34" s="597"/>
      <c r="BF34" s="597"/>
      <c r="BG34" s="597"/>
      <c r="BH34" s="597"/>
      <c r="BI34" s="597"/>
      <c r="BJ34" s="597"/>
      <c r="BK34" s="597"/>
      <c r="BL34" s="597"/>
      <c r="BM34" s="597"/>
      <c r="BO34" s="374"/>
      <c r="BQ34" s="398"/>
      <c r="BR34" s="379" t="s">
        <v>2227</v>
      </c>
      <c r="BS34" s="399"/>
      <c r="BT34" s="399"/>
      <c r="BU34" s="385"/>
      <c r="BV34" s="385"/>
      <c r="BW34" s="385"/>
      <c r="BX34" s="385"/>
      <c r="BY34" s="385"/>
      <c r="BZ34" s="385"/>
      <c r="CA34" s="385"/>
      <c r="CB34" s="385"/>
      <c r="CC34" s="385"/>
      <c r="CD34" s="385"/>
      <c r="CE34" s="385"/>
      <c r="CF34" s="385"/>
      <c r="CG34" s="385"/>
      <c r="CH34" s="385"/>
      <c r="CI34" s="385"/>
      <c r="CJ34" s="385"/>
      <c r="CK34" s="385"/>
      <c r="CL34" s="385"/>
      <c r="CM34" s="385"/>
      <c r="CN34" s="385"/>
    </row>
    <row r="35" spans="1:92" s="342" customFormat="1" ht="13.5" hidden="1" customHeight="1">
      <c r="A35" s="388"/>
      <c r="C35" s="18"/>
      <c r="D35" s="18"/>
      <c r="E35" s="18"/>
      <c r="F35" s="18"/>
      <c r="G35" s="18"/>
      <c r="H35" s="18"/>
      <c r="I35" s="18"/>
      <c r="J35" s="18"/>
      <c r="K35" s="18"/>
      <c r="L35" s="18"/>
      <c r="M35" s="18"/>
      <c r="N35" s="18"/>
      <c r="O35" s="18"/>
      <c r="P35" s="388"/>
      <c r="Q35" s="388"/>
      <c r="R35" s="388"/>
      <c r="S35" s="388"/>
      <c r="T35" s="394"/>
      <c r="U35" s="395"/>
      <c r="Z35" s="33"/>
      <c r="AF35" s="396"/>
      <c r="AL35" s="390"/>
      <c r="AN35" s="397"/>
      <c r="AP35" s="390"/>
      <c r="AQ35" s="390"/>
      <c r="AR35" s="596"/>
      <c r="AS35" s="596"/>
      <c r="AT35" s="596"/>
      <c r="AU35" s="597"/>
      <c r="AV35" s="597"/>
      <c r="AW35" s="597"/>
      <c r="AX35" s="597"/>
      <c r="AY35" s="597"/>
      <c r="AZ35" s="597"/>
      <c r="BA35" s="597"/>
      <c r="BB35" s="597"/>
      <c r="BC35" s="597"/>
      <c r="BD35" s="597"/>
      <c r="BE35" s="597"/>
      <c r="BF35" s="597"/>
      <c r="BG35" s="597"/>
      <c r="BH35" s="597"/>
      <c r="BI35" s="597"/>
      <c r="BJ35" s="597"/>
      <c r="BK35" s="597"/>
      <c r="BL35" s="597"/>
      <c r="BM35" s="597"/>
      <c r="BO35" s="374"/>
      <c r="BQ35" s="398"/>
      <c r="BR35" s="379" t="s">
        <v>2295</v>
      </c>
      <c r="BS35" s="399"/>
      <c r="BT35" s="399"/>
      <c r="BU35" s="385"/>
      <c r="BV35" s="385"/>
      <c r="BW35" s="385"/>
      <c r="BX35" s="385"/>
      <c r="BY35" s="385"/>
      <c r="BZ35" s="385"/>
      <c r="CA35" s="385"/>
      <c r="CB35" s="385"/>
      <c r="CC35" s="385"/>
      <c r="CD35" s="385"/>
      <c r="CE35" s="385"/>
      <c r="CF35" s="385"/>
      <c r="CG35" s="385"/>
      <c r="CH35" s="385"/>
      <c r="CI35" s="385"/>
      <c r="CJ35" s="385"/>
      <c r="CK35" s="385"/>
      <c r="CL35" s="385"/>
      <c r="CM35" s="385"/>
      <c r="CN35" s="385"/>
    </row>
    <row r="36" spans="1:92" s="342" customFormat="1" ht="13.5" hidden="1" customHeight="1">
      <c r="A36" s="388"/>
      <c r="C36" s="18"/>
      <c r="D36" s="18"/>
      <c r="E36" s="18"/>
      <c r="F36" s="18"/>
      <c r="G36" s="18"/>
      <c r="H36" s="18"/>
      <c r="I36" s="18"/>
      <c r="J36" s="18"/>
      <c r="K36" s="18"/>
      <c r="L36" s="18"/>
      <c r="M36" s="18"/>
      <c r="N36" s="18"/>
      <c r="O36" s="18"/>
      <c r="P36" s="388"/>
      <c r="Q36" s="388"/>
      <c r="R36" s="388"/>
      <c r="S36" s="388"/>
      <c r="T36" s="394"/>
      <c r="U36" s="395"/>
      <c r="Z36" s="33"/>
      <c r="AF36" s="396"/>
      <c r="AL36" s="390"/>
      <c r="AN36" s="397"/>
      <c r="AP36" s="390"/>
      <c r="AQ36" s="390"/>
      <c r="AR36" s="596"/>
      <c r="AS36" s="596"/>
      <c r="AT36" s="596"/>
      <c r="AU36" s="597"/>
      <c r="AV36" s="597"/>
      <c r="AW36" s="597"/>
      <c r="AX36" s="597"/>
      <c r="AY36" s="597"/>
      <c r="AZ36" s="597"/>
      <c r="BA36" s="597"/>
      <c r="BB36" s="597"/>
      <c r="BC36" s="597"/>
      <c r="BD36" s="597"/>
      <c r="BE36" s="597"/>
      <c r="BF36" s="597"/>
      <c r="BG36" s="597"/>
      <c r="BH36" s="597"/>
      <c r="BI36" s="597"/>
      <c r="BJ36" s="597"/>
      <c r="BK36" s="597"/>
      <c r="BL36" s="597"/>
      <c r="BM36" s="597"/>
      <c r="BO36" s="374"/>
      <c r="BQ36" s="398"/>
      <c r="BR36" s="379" t="s">
        <v>2296</v>
      </c>
      <c r="BS36" s="399"/>
      <c r="BT36" s="399"/>
      <c r="BU36" s="385"/>
      <c r="BV36" s="385"/>
      <c r="BW36" s="385"/>
      <c r="BX36" s="385"/>
      <c r="BY36" s="385"/>
      <c r="BZ36" s="385"/>
      <c r="CA36" s="385"/>
      <c r="CB36" s="385"/>
      <c r="CC36" s="385"/>
      <c r="CD36" s="385"/>
      <c r="CE36" s="385"/>
      <c r="CF36" s="385"/>
      <c r="CG36" s="385"/>
      <c r="CH36" s="385"/>
      <c r="CI36" s="385"/>
      <c r="CJ36" s="385"/>
      <c r="CK36" s="385"/>
      <c r="CL36" s="385"/>
      <c r="CM36" s="385"/>
      <c r="CN36" s="385"/>
    </row>
    <row r="37" spans="1:92" s="342" customFormat="1" ht="13.5" hidden="1" customHeight="1">
      <c r="A37" s="388"/>
      <c r="C37" s="18"/>
      <c r="D37" s="18"/>
      <c r="E37" s="18"/>
      <c r="F37" s="18"/>
      <c r="G37" s="18"/>
      <c r="H37" s="18"/>
      <c r="I37" s="18"/>
      <c r="J37" s="18"/>
      <c r="K37" s="18"/>
      <c r="L37" s="18"/>
      <c r="M37" s="18"/>
      <c r="N37" s="18"/>
      <c r="O37" s="18"/>
      <c r="P37" s="388"/>
      <c r="Q37" s="388"/>
      <c r="R37" s="388"/>
      <c r="S37" s="388"/>
      <c r="T37" s="394"/>
      <c r="U37" s="395"/>
      <c r="Z37" s="33"/>
      <c r="AF37" s="396"/>
      <c r="AL37" s="390"/>
      <c r="AN37" s="397"/>
      <c r="AP37" s="390"/>
      <c r="AQ37" s="390"/>
      <c r="AR37" s="596"/>
      <c r="AS37" s="596"/>
      <c r="AT37" s="596"/>
      <c r="AU37" s="597"/>
      <c r="AV37" s="597"/>
      <c r="AW37" s="597"/>
      <c r="AX37" s="597"/>
      <c r="AY37" s="597"/>
      <c r="AZ37" s="597"/>
      <c r="BA37" s="597"/>
      <c r="BB37" s="597"/>
      <c r="BC37" s="597"/>
      <c r="BD37" s="597"/>
      <c r="BE37" s="597"/>
      <c r="BF37" s="597"/>
      <c r="BG37" s="597"/>
      <c r="BH37" s="597"/>
      <c r="BI37" s="597"/>
      <c r="BJ37" s="597"/>
      <c r="BK37" s="597"/>
      <c r="BL37" s="597"/>
      <c r="BM37" s="597"/>
      <c r="BO37" s="374"/>
      <c r="BQ37" s="398"/>
      <c r="BR37" s="379" t="s">
        <v>2446</v>
      </c>
      <c r="BS37" s="399"/>
      <c r="BT37" s="399"/>
      <c r="BU37" s="385"/>
      <c r="BV37" s="385"/>
      <c r="BW37" s="385"/>
      <c r="BX37" s="385"/>
      <c r="BY37" s="385"/>
      <c r="BZ37" s="385"/>
      <c r="CA37" s="385"/>
      <c r="CB37" s="385"/>
      <c r="CC37" s="385"/>
      <c r="CD37" s="385"/>
      <c r="CE37" s="385"/>
      <c r="CF37" s="385"/>
      <c r="CG37" s="385"/>
      <c r="CH37" s="385"/>
      <c r="CI37" s="385"/>
      <c r="CJ37" s="385"/>
      <c r="CK37" s="385"/>
      <c r="CL37" s="385"/>
      <c r="CM37" s="385"/>
      <c r="CN37" s="385"/>
    </row>
    <row r="38" spans="1:92" s="342" customFormat="1" ht="13.5" hidden="1" customHeight="1">
      <c r="A38" s="388"/>
      <c r="C38" s="18"/>
      <c r="D38" s="18"/>
      <c r="E38" s="18"/>
      <c r="F38" s="18"/>
      <c r="G38" s="18"/>
      <c r="H38" s="18"/>
      <c r="I38" s="18"/>
      <c r="J38" s="18"/>
      <c r="K38" s="18"/>
      <c r="L38" s="18"/>
      <c r="M38" s="18"/>
      <c r="N38" s="18"/>
      <c r="O38" s="18"/>
      <c r="P38" s="388"/>
      <c r="Q38" s="388"/>
      <c r="R38" s="388"/>
      <c r="S38" s="388"/>
      <c r="T38" s="394"/>
      <c r="U38" s="395"/>
      <c r="Z38" s="33"/>
      <c r="AF38" s="396"/>
      <c r="AL38" s="390"/>
      <c r="AN38" s="397"/>
      <c r="AP38" s="390"/>
      <c r="AQ38" s="390"/>
      <c r="AR38" s="596"/>
      <c r="AS38" s="596"/>
      <c r="AT38" s="596"/>
      <c r="AU38" s="597"/>
      <c r="AV38" s="597"/>
      <c r="AW38" s="597"/>
      <c r="AX38" s="597"/>
      <c r="AY38" s="597"/>
      <c r="AZ38" s="597"/>
      <c r="BA38" s="597"/>
      <c r="BB38" s="597"/>
      <c r="BC38" s="597"/>
      <c r="BD38" s="597"/>
      <c r="BE38" s="597"/>
      <c r="BF38" s="597"/>
      <c r="BG38" s="597"/>
      <c r="BH38" s="597"/>
      <c r="BI38" s="597"/>
      <c r="BJ38" s="597"/>
      <c r="BK38" s="597"/>
      <c r="BL38" s="597"/>
      <c r="BM38" s="597"/>
      <c r="BO38" s="374"/>
      <c r="BQ38" s="398"/>
      <c r="BR38" s="379" t="s">
        <v>2297</v>
      </c>
      <c r="BS38" s="399"/>
      <c r="BT38" s="399"/>
      <c r="BU38" s="385"/>
      <c r="BV38" s="385"/>
      <c r="BW38" s="385"/>
      <c r="BX38" s="385"/>
      <c r="BY38" s="385"/>
      <c r="BZ38" s="385"/>
      <c r="CA38" s="385"/>
      <c r="CB38" s="385"/>
      <c r="CC38" s="385"/>
      <c r="CD38" s="385"/>
      <c r="CE38" s="385"/>
      <c r="CF38" s="385"/>
      <c r="CG38" s="385"/>
      <c r="CH38" s="385"/>
      <c r="CI38" s="385"/>
      <c r="CJ38" s="385"/>
      <c r="CK38" s="385"/>
      <c r="CL38" s="385"/>
      <c r="CM38" s="385"/>
      <c r="CN38" s="385"/>
    </row>
    <row r="39" spans="1:92" s="342" customFormat="1" ht="13.5" hidden="1" customHeight="1">
      <c r="A39" s="388"/>
      <c r="C39" s="18"/>
      <c r="D39" s="18"/>
      <c r="E39" s="18"/>
      <c r="F39" s="18"/>
      <c r="G39" s="18"/>
      <c r="H39" s="18"/>
      <c r="I39" s="18"/>
      <c r="J39" s="18"/>
      <c r="K39" s="18"/>
      <c r="L39" s="18"/>
      <c r="M39" s="18"/>
      <c r="N39" s="18"/>
      <c r="O39" s="18"/>
      <c r="P39" s="388"/>
      <c r="Q39" s="388"/>
      <c r="R39" s="388"/>
      <c r="S39" s="388"/>
      <c r="T39" s="394"/>
      <c r="U39" s="395"/>
      <c r="Z39" s="33"/>
      <c r="AF39" s="396"/>
      <c r="AL39" s="390"/>
      <c r="AN39" s="397"/>
      <c r="AP39" s="390"/>
      <c r="AQ39" s="390"/>
      <c r="AR39" s="596"/>
      <c r="AS39" s="596"/>
      <c r="AT39" s="596"/>
      <c r="AU39" s="597"/>
      <c r="AV39" s="597"/>
      <c r="AW39" s="597"/>
      <c r="AX39" s="597"/>
      <c r="AY39" s="597"/>
      <c r="AZ39" s="597"/>
      <c r="BA39" s="597"/>
      <c r="BB39" s="597"/>
      <c r="BC39" s="597"/>
      <c r="BD39" s="597"/>
      <c r="BE39" s="597"/>
      <c r="BF39" s="597"/>
      <c r="BG39" s="597"/>
      <c r="BH39" s="597"/>
      <c r="BI39" s="597"/>
      <c r="BJ39" s="597"/>
      <c r="BK39" s="597"/>
      <c r="BL39" s="597"/>
      <c r="BM39" s="597"/>
      <c r="BO39" s="374"/>
      <c r="BQ39" s="398"/>
      <c r="BR39" s="379" t="s">
        <v>2298</v>
      </c>
      <c r="BS39" s="399"/>
      <c r="BT39" s="399"/>
      <c r="BU39" s="385"/>
      <c r="BV39" s="385"/>
      <c r="BW39" s="385"/>
      <c r="BX39" s="385"/>
      <c r="BY39" s="385"/>
      <c r="BZ39" s="385"/>
      <c r="CA39" s="385"/>
      <c r="CB39" s="385"/>
      <c r="CC39" s="385"/>
      <c r="CD39" s="385"/>
      <c r="CE39" s="385"/>
      <c r="CF39" s="385"/>
      <c r="CG39" s="385"/>
      <c r="CH39" s="385"/>
      <c r="CI39" s="385"/>
      <c r="CJ39" s="385"/>
      <c r="CK39" s="385"/>
      <c r="CL39" s="385"/>
      <c r="CM39" s="385"/>
      <c r="CN39" s="385"/>
    </row>
    <row r="40" spans="1:92" s="342" customFormat="1" ht="13.5" hidden="1" customHeight="1">
      <c r="A40" s="388"/>
      <c r="C40" s="18"/>
      <c r="D40" s="18"/>
      <c r="E40" s="18"/>
      <c r="F40" s="18"/>
      <c r="G40" s="18"/>
      <c r="H40" s="18"/>
      <c r="I40" s="18"/>
      <c r="J40" s="18"/>
      <c r="K40" s="18"/>
      <c r="L40" s="18"/>
      <c r="M40" s="18"/>
      <c r="N40" s="18"/>
      <c r="O40" s="18"/>
      <c r="P40" s="388"/>
      <c r="Q40" s="388"/>
      <c r="R40" s="388"/>
      <c r="S40" s="388"/>
      <c r="T40" s="394"/>
      <c r="U40" s="395"/>
      <c r="Z40" s="33"/>
      <c r="AF40" s="396"/>
      <c r="AL40" s="390"/>
      <c r="AN40" s="397"/>
      <c r="AP40" s="390"/>
      <c r="AQ40" s="390"/>
      <c r="AR40" s="596"/>
      <c r="AS40" s="596"/>
      <c r="AT40" s="596"/>
      <c r="AU40" s="597"/>
      <c r="AV40" s="597"/>
      <c r="AW40" s="597"/>
      <c r="AX40" s="597"/>
      <c r="AY40" s="597"/>
      <c r="AZ40" s="597"/>
      <c r="BA40" s="597"/>
      <c r="BB40" s="597"/>
      <c r="BC40" s="597"/>
      <c r="BD40" s="597"/>
      <c r="BE40" s="597"/>
      <c r="BF40" s="597"/>
      <c r="BG40" s="597"/>
      <c r="BH40" s="597"/>
      <c r="BI40" s="597"/>
      <c r="BJ40" s="597"/>
      <c r="BK40" s="597"/>
      <c r="BL40" s="597"/>
      <c r="BM40" s="597"/>
      <c r="BO40" s="374"/>
      <c r="BQ40" s="398"/>
      <c r="BR40" s="379" t="s">
        <v>2299</v>
      </c>
      <c r="BS40" s="399"/>
      <c r="BT40" s="399"/>
      <c r="BU40" s="385"/>
      <c r="BV40" s="385"/>
      <c r="BW40" s="385"/>
      <c r="BX40" s="385"/>
      <c r="BY40" s="385"/>
      <c r="BZ40" s="385"/>
      <c r="CA40" s="385"/>
      <c r="CB40" s="385"/>
      <c r="CC40" s="385"/>
      <c r="CD40" s="385"/>
      <c r="CE40" s="385"/>
      <c r="CF40" s="385"/>
      <c r="CG40" s="385"/>
      <c r="CH40" s="385"/>
      <c r="CI40" s="385"/>
      <c r="CJ40" s="385"/>
      <c r="CK40" s="385"/>
      <c r="CL40" s="385"/>
      <c r="CM40" s="385"/>
      <c r="CN40" s="385"/>
    </row>
    <row r="41" spans="1:92" s="342" customFormat="1" ht="13.5" hidden="1" customHeight="1">
      <c r="A41" s="388"/>
      <c r="C41" s="18"/>
      <c r="D41" s="18"/>
      <c r="E41" s="18"/>
      <c r="F41" s="18"/>
      <c r="G41" s="18"/>
      <c r="H41" s="18"/>
      <c r="I41" s="18"/>
      <c r="J41" s="18"/>
      <c r="K41" s="18"/>
      <c r="L41" s="18"/>
      <c r="M41" s="18"/>
      <c r="N41" s="18"/>
      <c r="O41" s="18"/>
      <c r="P41" s="388"/>
      <c r="Q41" s="388"/>
      <c r="R41" s="388"/>
      <c r="S41" s="388"/>
      <c r="Z41" s="33"/>
      <c r="AF41" s="396"/>
      <c r="AL41" s="390"/>
      <c r="AN41" s="397"/>
      <c r="AP41" s="390"/>
      <c r="AQ41" s="390"/>
      <c r="AR41" s="596"/>
      <c r="AS41" s="596"/>
      <c r="AT41" s="596"/>
      <c r="AU41" s="597"/>
      <c r="AV41" s="597"/>
      <c r="AW41" s="597"/>
      <c r="AX41" s="597"/>
      <c r="AY41" s="597"/>
      <c r="AZ41" s="597"/>
      <c r="BA41" s="597"/>
      <c r="BB41" s="597"/>
      <c r="BC41" s="597"/>
      <c r="BD41" s="597"/>
      <c r="BE41" s="597"/>
      <c r="BF41" s="597"/>
      <c r="BG41" s="597"/>
      <c r="BH41" s="597"/>
      <c r="BI41" s="597"/>
      <c r="BJ41" s="597"/>
      <c r="BK41" s="597"/>
      <c r="BL41" s="597"/>
      <c r="BM41" s="597"/>
      <c r="BO41" s="374"/>
      <c r="BQ41" s="398"/>
      <c r="BR41" s="379" t="s">
        <v>2301</v>
      </c>
      <c r="BS41" s="399"/>
      <c r="BT41" s="399"/>
      <c r="BU41" s="385"/>
      <c r="BV41" s="385"/>
      <c r="BW41" s="385"/>
      <c r="BX41" s="385"/>
      <c r="BY41" s="385"/>
      <c r="BZ41" s="385"/>
      <c r="CA41" s="385"/>
      <c r="CB41" s="385"/>
      <c r="CC41" s="385"/>
      <c r="CD41" s="385"/>
      <c r="CE41" s="385"/>
      <c r="CF41" s="385"/>
      <c r="CG41" s="385"/>
      <c r="CH41" s="385"/>
      <c r="CI41" s="385"/>
      <c r="CJ41" s="385"/>
      <c r="CK41" s="385"/>
      <c r="CL41" s="385"/>
      <c r="CM41" s="385"/>
      <c r="CN41" s="385"/>
    </row>
    <row r="42" spans="1:92" s="342" customFormat="1" ht="13.5" hidden="1" customHeight="1">
      <c r="A42" s="388"/>
      <c r="C42" s="18"/>
      <c r="D42" s="18"/>
      <c r="E42" s="18"/>
      <c r="F42" s="18"/>
      <c r="G42" s="18"/>
      <c r="H42" s="18"/>
      <c r="I42" s="18"/>
      <c r="J42" s="18"/>
      <c r="K42" s="18"/>
      <c r="L42" s="18"/>
      <c r="M42" s="18"/>
      <c r="N42" s="18"/>
      <c r="O42" s="18"/>
      <c r="P42" s="401"/>
      <c r="Q42" s="401"/>
      <c r="R42" s="401"/>
      <c r="S42" s="401"/>
      <c r="Z42" s="33"/>
      <c r="AF42" s="396"/>
      <c r="AL42" s="390"/>
      <c r="AN42" s="397"/>
      <c r="AP42" s="390"/>
      <c r="AQ42" s="390"/>
      <c r="AR42" s="596"/>
      <c r="AS42" s="596"/>
      <c r="AT42" s="596"/>
      <c r="AU42" s="597"/>
      <c r="AV42" s="597"/>
      <c r="AW42" s="597"/>
      <c r="AX42" s="597"/>
      <c r="AY42" s="597"/>
      <c r="AZ42" s="597"/>
      <c r="BA42" s="597"/>
      <c r="BB42" s="597"/>
      <c r="BC42" s="597"/>
      <c r="BD42" s="597"/>
      <c r="BE42" s="597"/>
      <c r="BF42" s="597"/>
      <c r="BG42" s="597"/>
      <c r="BH42" s="597"/>
      <c r="BI42" s="597"/>
      <c r="BJ42" s="597"/>
      <c r="BK42" s="597"/>
      <c r="BL42" s="597"/>
      <c r="BM42" s="597"/>
      <c r="BO42" s="374"/>
      <c r="BQ42" s="398"/>
      <c r="BR42" s="400" t="s">
        <v>2303</v>
      </c>
      <c r="BS42" s="399"/>
      <c r="BT42" s="399"/>
      <c r="BU42" s="385"/>
      <c r="BV42" s="385"/>
      <c r="BW42" s="385"/>
      <c r="BX42" s="385"/>
      <c r="BY42" s="385"/>
      <c r="BZ42" s="385"/>
      <c r="CA42" s="385"/>
      <c r="CB42" s="385"/>
      <c r="CC42" s="385"/>
      <c r="CD42" s="385"/>
      <c r="CE42" s="385"/>
      <c r="CF42" s="385"/>
      <c r="CG42" s="385"/>
      <c r="CH42" s="385"/>
      <c r="CI42" s="385"/>
      <c r="CJ42" s="385"/>
      <c r="CK42" s="385"/>
      <c r="CL42" s="385"/>
      <c r="CM42" s="385"/>
      <c r="CN42" s="385"/>
    </row>
    <row r="43" spans="1:92" s="342" customFormat="1" ht="13.5" hidden="1" customHeight="1">
      <c r="A43" s="388"/>
      <c r="C43" s="18"/>
      <c r="D43" s="18"/>
      <c r="E43" s="18"/>
      <c r="F43" s="18"/>
      <c r="G43" s="18"/>
      <c r="H43" s="18"/>
      <c r="I43" s="18"/>
      <c r="J43" s="18"/>
      <c r="K43" s="18"/>
      <c r="L43" s="18"/>
      <c r="M43" s="18"/>
      <c r="N43" s="18"/>
      <c r="O43" s="18"/>
      <c r="Z43" s="33"/>
      <c r="AF43" s="396"/>
      <c r="AL43" s="390"/>
      <c r="AN43" s="397"/>
      <c r="AP43" s="390"/>
      <c r="AQ43" s="390"/>
      <c r="AR43" s="596"/>
      <c r="AS43" s="596"/>
      <c r="AT43" s="596"/>
      <c r="AU43" s="597"/>
      <c r="AV43" s="597"/>
      <c r="AW43" s="597"/>
      <c r="AX43" s="597"/>
      <c r="AY43" s="597"/>
      <c r="AZ43" s="597"/>
      <c r="BA43" s="597"/>
      <c r="BB43" s="597"/>
      <c r="BC43" s="597"/>
      <c r="BD43" s="597"/>
      <c r="BE43" s="597"/>
      <c r="BF43" s="597"/>
      <c r="BG43" s="597"/>
      <c r="BH43" s="597"/>
      <c r="BI43" s="597"/>
      <c r="BJ43" s="597"/>
      <c r="BK43" s="597"/>
      <c r="BL43" s="597"/>
      <c r="BM43" s="597"/>
      <c r="BO43" s="374"/>
      <c r="BQ43" s="398"/>
      <c r="BR43" s="400" t="s">
        <v>2302</v>
      </c>
      <c r="BS43" s="399"/>
      <c r="BT43" s="399"/>
      <c r="BU43" s="385"/>
      <c r="BV43" s="385"/>
      <c r="BW43" s="385"/>
      <c r="BX43" s="385"/>
      <c r="BY43" s="385"/>
      <c r="BZ43" s="385"/>
      <c r="CA43" s="385"/>
      <c r="CB43" s="385"/>
      <c r="CC43" s="385"/>
      <c r="CD43" s="385"/>
      <c r="CE43" s="385"/>
      <c r="CF43" s="385"/>
      <c r="CG43" s="385"/>
      <c r="CH43" s="385"/>
      <c r="CI43" s="385"/>
      <c r="CJ43" s="385"/>
      <c r="CK43" s="385"/>
      <c r="CL43" s="385"/>
      <c r="CM43" s="385"/>
      <c r="CN43" s="385"/>
    </row>
    <row r="44" spans="1:92" s="342" customFormat="1" ht="13.5" hidden="1" customHeight="1">
      <c r="A44" s="388"/>
      <c r="C44" s="388"/>
      <c r="D44" s="388"/>
      <c r="E44" s="388"/>
      <c r="F44" s="388"/>
      <c r="G44" s="388"/>
      <c r="H44" s="389"/>
      <c r="I44" s="388"/>
      <c r="J44" s="388"/>
      <c r="K44" s="388"/>
      <c r="L44" s="388"/>
      <c r="M44" s="388"/>
      <c r="N44" s="388"/>
      <c r="O44" s="388"/>
      <c r="P44" s="388"/>
      <c r="Q44" s="388"/>
      <c r="R44" s="388"/>
      <c r="S44" s="388"/>
      <c r="T44" s="394"/>
      <c r="U44" s="395"/>
      <c r="Z44" s="33"/>
      <c r="AF44" s="396"/>
      <c r="AL44" s="390"/>
      <c r="AN44" s="397"/>
      <c r="AP44" s="390"/>
      <c r="AQ44" s="390"/>
      <c r="AR44" s="596"/>
      <c r="AS44" s="596"/>
      <c r="AT44" s="596"/>
      <c r="AU44" s="597"/>
      <c r="AV44" s="597"/>
      <c r="AW44" s="597"/>
      <c r="AX44" s="597"/>
      <c r="AY44" s="597"/>
      <c r="AZ44" s="597"/>
      <c r="BA44" s="597"/>
      <c r="BB44" s="597"/>
      <c r="BC44" s="597"/>
      <c r="BD44" s="597"/>
      <c r="BE44" s="597"/>
      <c r="BF44" s="597"/>
      <c r="BG44" s="597"/>
      <c r="BH44" s="597"/>
      <c r="BI44" s="597"/>
      <c r="BJ44" s="597"/>
      <c r="BK44" s="597"/>
      <c r="BL44" s="597"/>
      <c r="BM44" s="597"/>
      <c r="BO44" s="374"/>
      <c r="BQ44" s="398"/>
      <c r="BR44" s="398"/>
      <c r="BS44" s="399"/>
      <c r="BT44" s="399"/>
      <c r="BU44" s="385"/>
      <c r="BV44" s="385"/>
      <c r="BW44" s="385"/>
      <c r="BX44" s="385"/>
      <c r="BY44" s="385"/>
      <c r="BZ44" s="385"/>
      <c r="CA44" s="385"/>
      <c r="CB44" s="385"/>
      <c r="CC44" s="385"/>
      <c r="CD44" s="385"/>
      <c r="CE44" s="385"/>
      <c r="CF44" s="385"/>
      <c r="CG44" s="385"/>
      <c r="CH44" s="385"/>
      <c r="CI44" s="385"/>
      <c r="CJ44" s="385"/>
      <c r="CK44" s="385"/>
      <c r="CL44" s="385"/>
      <c r="CM44" s="385"/>
      <c r="CN44" s="385"/>
    </row>
    <row r="45" spans="1:92" s="374" customFormat="1" ht="13.5" hidden="1" customHeight="1">
      <c r="A45" s="402"/>
      <c r="C45" s="402"/>
      <c r="D45" s="402"/>
      <c r="E45" s="402"/>
      <c r="F45" s="402"/>
      <c r="G45" s="402"/>
      <c r="H45" s="403"/>
      <c r="I45" s="402"/>
      <c r="J45" s="402"/>
      <c r="K45" s="402"/>
      <c r="L45" s="402"/>
      <c r="M45" s="402"/>
      <c r="N45" s="402"/>
      <c r="O45" s="402"/>
      <c r="P45" s="402"/>
      <c r="Q45" s="402"/>
      <c r="R45" s="402"/>
      <c r="S45" s="402"/>
      <c r="T45" s="404"/>
      <c r="U45" s="405"/>
      <c r="Z45" s="406"/>
      <c r="AF45" s="407"/>
      <c r="AL45" s="408"/>
      <c r="AN45" s="409"/>
      <c r="AP45" s="408"/>
      <c r="AQ45" s="408"/>
      <c r="AR45" s="598"/>
      <c r="AS45" s="598"/>
      <c r="AT45" s="598"/>
      <c r="AU45" s="599"/>
      <c r="AV45" s="599"/>
      <c r="AW45" s="599"/>
      <c r="AX45" s="599"/>
      <c r="AY45" s="599"/>
      <c r="AZ45" s="599"/>
      <c r="BA45" s="599"/>
      <c r="BB45" s="599"/>
      <c r="BC45" s="599"/>
      <c r="BD45" s="599"/>
      <c r="BE45" s="599"/>
      <c r="BF45" s="599"/>
      <c r="BG45" s="599"/>
      <c r="BH45" s="599"/>
      <c r="BI45" s="599"/>
      <c r="BJ45" s="599"/>
      <c r="BK45" s="599"/>
      <c r="BL45" s="599"/>
      <c r="BM45" s="599"/>
      <c r="BQ45" s="410"/>
      <c r="BR45" s="410"/>
      <c r="BS45" s="411"/>
      <c r="BT45" s="411"/>
      <c r="BU45" s="412"/>
      <c r="BV45" s="412"/>
      <c r="BW45" s="412"/>
      <c r="BX45" s="412"/>
      <c r="BY45" s="412"/>
      <c r="BZ45" s="412"/>
      <c r="CA45" s="412"/>
      <c r="CB45" s="412"/>
      <c r="CC45" s="412"/>
      <c r="CD45" s="412"/>
      <c r="CE45" s="412"/>
      <c r="CF45" s="412"/>
      <c r="CG45" s="412"/>
      <c r="CH45" s="412"/>
      <c r="CI45" s="412"/>
      <c r="CJ45" s="412"/>
      <c r="CK45" s="412"/>
      <c r="CL45" s="412"/>
      <c r="CM45" s="412"/>
      <c r="CN45" s="412"/>
    </row>
    <row r="46" spans="1:92" s="342" customFormat="1" ht="13.5" hidden="1" customHeight="1">
      <c r="A46" s="388"/>
      <c r="C46" s="388"/>
      <c r="D46" s="388"/>
      <c r="E46" s="388"/>
      <c r="F46" s="388"/>
      <c r="G46" s="388"/>
      <c r="H46" s="389"/>
      <c r="I46" s="388"/>
      <c r="J46" s="388"/>
      <c r="K46" s="388"/>
      <c r="L46" s="388"/>
      <c r="M46" s="388"/>
      <c r="N46" s="388"/>
      <c r="O46" s="388"/>
      <c r="P46" s="388"/>
      <c r="Q46" s="388"/>
      <c r="R46" s="388"/>
      <c r="S46" s="388"/>
      <c r="T46" s="394"/>
      <c r="U46" s="395"/>
      <c r="Z46" s="33"/>
      <c r="AF46" s="396"/>
      <c r="AL46" s="390"/>
      <c r="AN46" s="397"/>
      <c r="AP46" s="390"/>
      <c r="AQ46" s="390"/>
      <c r="AR46" s="596"/>
      <c r="AS46" s="596"/>
      <c r="AT46" s="596"/>
      <c r="AU46" s="597"/>
      <c r="AV46" s="597"/>
      <c r="AW46" s="597"/>
      <c r="AX46" s="597"/>
      <c r="AY46" s="597"/>
      <c r="AZ46" s="597"/>
      <c r="BA46" s="597"/>
      <c r="BB46" s="597"/>
      <c r="BC46" s="597"/>
      <c r="BD46" s="597"/>
      <c r="BE46" s="597"/>
      <c r="BF46" s="597"/>
      <c r="BG46" s="597"/>
      <c r="BH46" s="597"/>
      <c r="BI46" s="597"/>
      <c r="BJ46" s="597"/>
      <c r="BK46" s="597"/>
      <c r="BL46" s="597"/>
      <c r="BM46" s="597"/>
      <c r="BO46" s="374"/>
      <c r="BQ46" s="398"/>
      <c r="BR46" s="398"/>
      <c r="BS46" s="399"/>
      <c r="BT46" s="399"/>
      <c r="BU46" s="413"/>
      <c r="BV46" s="413"/>
      <c r="BW46" s="413"/>
      <c r="BX46" s="413"/>
      <c r="BY46" s="413"/>
      <c r="BZ46" s="413"/>
      <c r="CA46" s="413"/>
      <c r="CB46" s="413"/>
      <c r="CC46" s="413"/>
      <c r="CD46" s="413"/>
      <c r="CE46" s="413"/>
      <c r="CF46" s="413"/>
      <c r="CG46" s="413"/>
      <c r="CH46" s="413"/>
      <c r="CI46" s="413"/>
      <c r="CJ46" s="413"/>
      <c r="CK46" s="413"/>
      <c r="CL46" s="413"/>
      <c r="CM46" s="413"/>
      <c r="CN46" s="413"/>
    </row>
    <row r="47" spans="1:92" s="342" customFormat="1" ht="17.25">
      <c r="A47" s="414" t="s">
        <v>1617</v>
      </c>
      <c r="C47" s="388"/>
      <c r="D47" s="388"/>
      <c r="E47" s="388"/>
      <c r="F47" s="388"/>
      <c r="G47" s="388"/>
      <c r="H47" s="389"/>
      <c r="I47" s="388"/>
      <c r="J47" s="388"/>
      <c r="K47" s="388"/>
      <c r="L47" s="388"/>
      <c r="M47" s="388"/>
      <c r="N47" s="388"/>
      <c r="O47" s="388"/>
      <c r="P47" s="388"/>
      <c r="Q47" s="388"/>
      <c r="R47" s="388"/>
      <c r="S47" s="388"/>
      <c r="T47" s="394"/>
      <c r="U47" s="395"/>
      <c r="Z47" s="33"/>
      <c r="AF47" s="396"/>
      <c r="AL47" s="390"/>
      <c r="AN47" s="397"/>
      <c r="AP47" s="390"/>
      <c r="AQ47" s="390"/>
      <c r="AR47" s="596"/>
      <c r="AS47" s="596"/>
      <c r="AT47" s="596"/>
      <c r="AU47" s="597"/>
      <c r="AV47" s="597"/>
      <c r="AW47" s="597"/>
      <c r="AX47" s="597"/>
      <c r="AY47" s="597"/>
      <c r="AZ47" s="597"/>
      <c r="BA47" s="597"/>
      <c r="BB47" s="597"/>
      <c r="BC47" s="597"/>
      <c r="BD47" s="597"/>
      <c r="BE47" s="597"/>
      <c r="BF47" s="597"/>
      <c r="BG47" s="597"/>
      <c r="BH47" s="597"/>
      <c r="BI47" s="597"/>
      <c r="BJ47" s="597"/>
      <c r="BK47" s="597"/>
      <c r="BL47" s="597"/>
      <c r="BM47" s="597"/>
      <c r="BO47" s="374"/>
      <c r="BQ47" s="398"/>
      <c r="BR47" s="398"/>
      <c r="BS47" s="399"/>
      <c r="BT47" s="399"/>
      <c r="BU47" s="413"/>
      <c r="BV47" s="413"/>
      <c r="BW47" s="413"/>
      <c r="BX47" s="413"/>
      <c r="BY47" s="413"/>
      <c r="BZ47" s="413"/>
      <c r="CA47" s="413"/>
      <c r="CB47" s="413"/>
      <c r="CC47" s="413"/>
      <c r="CD47" s="413"/>
      <c r="CE47" s="413"/>
      <c r="CF47" s="413"/>
      <c r="CG47" s="413"/>
      <c r="CH47" s="413"/>
      <c r="CI47" s="413"/>
      <c r="CJ47" s="413"/>
      <c r="CK47" s="413"/>
      <c r="CL47" s="413"/>
      <c r="CM47" s="413"/>
      <c r="CN47" s="413"/>
    </row>
    <row r="48" spans="1:92" s="342" customFormat="1">
      <c r="C48" s="668" t="s">
        <v>2345</v>
      </c>
      <c r="D48" s="415"/>
      <c r="E48" s="415"/>
      <c r="F48" s="415"/>
      <c r="G48" s="415"/>
      <c r="H48" s="415"/>
      <c r="I48" s="415"/>
      <c r="J48" s="415"/>
      <c r="K48" s="415"/>
      <c r="L48" s="415"/>
      <c r="M48" s="415"/>
      <c r="N48" s="415"/>
      <c r="O48" s="415"/>
      <c r="P48" s="415"/>
      <c r="Q48" s="415"/>
      <c r="R48" s="415"/>
      <c r="S48" s="415"/>
      <c r="T48" s="392"/>
      <c r="U48" s="674">
        <f>表紙!AN12</f>
        <v>0</v>
      </c>
      <c r="V48" s="415" t="s">
        <v>2318</v>
      </c>
      <c r="W48" s="392"/>
      <c r="Z48" s="743" t="s">
        <v>2331</v>
      </c>
      <c r="AA48" s="395">
        <f>COUNTIF($T$57:$T$2056,"継続")+COUNTIF($T$57:$T$2056,"減車")</f>
        <v>0</v>
      </c>
      <c r="AF48" s="396"/>
      <c r="AL48" s="390"/>
      <c r="AN48" s="397"/>
      <c r="AP48" s="390"/>
      <c r="AQ48" s="390"/>
      <c r="AR48" s="596"/>
      <c r="AS48" s="596"/>
      <c r="AT48" s="596"/>
      <c r="AU48" s="597"/>
      <c r="AV48" s="597"/>
      <c r="AW48" s="597"/>
      <c r="AX48" s="597"/>
      <c r="AY48" s="597"/>
      <c r="AZ48" s="597"/>
      <c r="BA48" s="597"/>
      <c r="BB48" s="597"/>
      <c r="BC48" s="597"/>
      <c r="BD48" s="597"/>
      <c r="BE48" s="597"/>
      <c r="BF48" s="597"/>
      <c r="BG48" s="597"/>
      <c r="BH48" s="597"/>
      <c r="BI48" s="597"/>
      <c r="BJ48" s="597"/>
      <c r="BK48" s="597"/>
      <c r="BL48" s="597"/>
      <c r="BM48" s="597"/>
      <c r="BO48" s="374"/>
      <c r="BQ48" s="398"/>
      <c r="BR48" s="398"/>
      <c r="BS48" s="399"/>
      <c r="BT48" s="399"/>
      <c r="BU48" s="385"/>
      <c r="BV48" s="385"/>
      <c r="BW48" s="385"/>
      <c r="BX48" s="385"/>
      <c r="BY48" s="385"/>
      <c r="BZ48" s="385"/>
      <c r="CA48" s="385"/>
      <c r="CB48" s="385"/>
      <c r="CC48" s="385"/>
      <c r="CD48" s="385"/>
      <c r="CE48" s="385"/>
      <c r="CF48" s="385"/>
      <c r="CG48" s="385"/>
      <c r="CH48" s="385"/>
      <c r="CI48" s="385"/>
      <c r="CJ48" s="385"/>
      <c r="CK48" s="385"/>
      <c r="CL48" s="385"/>
      <c r="CM48" s="385"/>
      <c r="CN48" s="385"/>
    </row>
    <row r="49" spans="1:94" s="342" customFormat="1">
      <c r="A49" s="389"/>
      <c r="C49" s="668" t="s">
        <v>2346</v>
      </c>
      <c r="D49" s="415"/>
      <c r="E49" s="415"/>
      <c r="F49" s="415"/>
      <c r="G49" s="415"/>
      <c r="H49" s="415"/>
      <c r="I49" s="415"/>
      <c r="J49" s="415"/>
      <c r="K49" s="415"/>
      <c r="L49" s="415"/>
      <c r="M49" s="415"/>
      <c r="N49" s="415"/>
      <c r="O49" s="415"/>
      <c r="P49" s="415"/>
      <c r="Q49" s="415"/>
      <c r="R49" s="415"/>
      <c r="S49" s="415"/>
      <c r="T49" s="392"/>
      <c r="U49" s="675">
        <f>表紙!AQ12</f>
        <v>0</v>
      </c>
      <c r="V49" s="416" t="s">
        <v>2317</v>
      </c>
      <c r="W49" s="676">
        <f>表紙!AS12</f>
        <v>0</v>
      </c>
      <c r="Z49" s="743" t="s">
        <v>2332</v>
      </c>
      <c r="AA49" s="395">
        <f>COUNTIF($T$57:$T$2056,"継続")+COUNTIF($T$57:$T$2056,"新規")</f>
        <v>0</v>
      </c>
      <c r="AB49" s="417"/>
      <c r="AC49" s="33"/>
      <c r="AD49" s="33"/>
      <c r="AF49" s="418"/>
      <c r="AL49" s="390"/>
      <c r="AN49" s="419"/>
      <c r="AP49" s="390"/>
      <c r="AQ49" s="390"/>
      <c r="AR49" s="596"/>
      <c r="AS49" s="596"/>
      <c r="AT49" s="596"/>
      <c r="AU49" s="597"/>
      <c r="AV49" s="597"/>
      <c r="AW49" s="597"/>
      <c r="AX49" s="597"/>
      <c r="AY49" s="597"/>
      <c r="AZ49" s="597"/>
      <c r="BA49" s="597"/>
      <c r="BB49" s="597"/>
      <c r="BC49" s="597"/>
      <c r="BD49" s="597"/>
      <c r="BE49" s="597"/>
      <c r="BF49" s="597"/>
      <c r="BG49" s="597"/>
      <c r="BH49" s="597"/>
      <c r="BI49" s="597"/>
      <c r="BJ49" s="597"/>
      <c r="BK49" s="597"/>
      <c r="BL49" s="597"/>
      <c r="BM49" s="597"/>
      <c r="BO49" s="374"/>
    </row>
    <row r="50" spans="1:94" s="342" customFormat="1" ht="14.25" thickBot="1">
      <c r="A50" s="389"/>
      <c r="C50" s="668" t="s">
        <v>2347</v>
      </c>
      <c r="D50" s="415"/>
      <c r="E50" s="415"/>
      <c r="F50" s="415"/>
      <c r="G50" s="415"/>
      <c r="H50" s="415"/>
      <c r="I50" s="415"/>
      <c r="J50" s="415"/>
      <c r="K50" s="415"/>
      <c r="L50" s="415"/>
      <c r="M50" s="415"/>
      <c r="N50" s="415"/>
      <c r="O50" s="415"/>
      <c r="P50" s="415"/>
      <c r="Q50" s="415"/>
      <c r="R50" s="415"/>
      <c r="S50" s="415"/>
      <c r="T50" s="392"/>
      <c r="U50" s="674">
        <f>表紙!AN12</f>
        <v>0</v>
      </c>
      <c r="V50" s="415" t="s">
        <v>2324</v>
      </c>
      <c r="W50" s="392"/>
      <c r="Z50" s="743" t="s">
        <v>2245</v>
      </c>
      <c r="AA50" s="395">
        <f>COUNTIF($T$57:$T$2056,"一時使用")</f>
        <v>0</v>
      </c>
      <c r="AC50" s="420" t="s">
        <v>2217</v>
      </c>
      <c r="AD50" s="421" t="str">
        <f>IF(ISERROR(AD51/AE51),"",AD51/AE51)</f>
        <v/>
      </c>
      <c r="AE50" s="422" t="s">
        <v>2218</v>
      </c>
      <c r="AF50" s="418"/>
      <c r="AJ50" s="420"/>
      <c r="AL50" s="390"/>
      <c r="AN50" s="419"/>
      <c r="AP50" s="390"/>
      <c r="AQ50" s="390"/>
      <c r="AR50" s="596"/>
      <c r="AS50" s="600" t="s">
        <v>2272</v>
      </c>
      <c r="AT50" s="596"/>
      <c r="AU50" s="597"/>
      <c r="AV50" s="597"/>
      <c r="AW50" s="597"/>
      <c r="AX50" s="597"/>
      <c r="AY50" s="597"/>
      <c r="AZ50" s="597"/>
      <c r="BA50" s="597"/>
      <c r="BB50" s="597"/>
      <c r="BC50" s="597"/>
      <c r="BD50" s="597"/>
      <c r="BE50" s="597"/>
      <c r="BF50" s="597"/>
      <c r="BG50" s="597"/>
      <c r="BH50" s="597"/>
      <c r="BI50" s="597"/>
      <c r="BJ50" s="597"/>
      <c r="BK50" s="597"/>
      <c r="BL50" s="597"/>
      <c r="BM50" s="597"/>
      <c r="BO50" s="374"/>
    </row>
    <row r="51" spans="1:94" ht="23.25" customHeight="1" thickBot="1">
      <c r="A51" s="573" t="s">
        <v>2348</v>
      </c>
      <c r="B51" s="543"/>
      <c r="C51" s="543"/>
      <c r="D51" s="543"/>
      <c r="E51" s="543"/>
      <c r="F51" s="544"/>
      <c r="G51" s="543"/>
      <c r="H51" s="543"/>
      <c r="I51" s="543"/>
      <c r="J51" s="543"/>
      <c r="K51" s="544"/>
      <c r="L51" s="543"/>
      <c r="M51" s="543"/>
      <c r="N51" s="543"/>
      <c r="O51" s="543"/>
      <c r="P51" s="543"/>
      <c r="Q51" s="543"/>
      <c r="R51" s="543"/>
      <c r="S51" s="543"/>
      <c r="T51" s="543"/>
      <c r="U51" s="543"/>
      <c r="V51" s="543"/>
      <c r="W51" s="544"/>
      <c r="X51" s="543"/>
      <c r="Y51" s="543"/>
      <c r="Z51" s="545"/>
      <c r="AA51" s="543"/>
      <c r="AB51" s="543"/>
      <c r="AC51" s="423" t="s">
        <v>1638</v>
      </c>
      <c r="AD51" s="424">
        <f>SUMIF(AS57:AS2056,1,AD57:AD2056)</f>
        <v>0</v>
      </c>
      <c r="AE51" s="425">
        <f>SUMIF(AS57:AS2056,1,AE57:AE2056)</f>
        <v>0</v>
      </c>
      <c r="AF51" s="546"/>
      <c r="AG51" s="543"/>
      <c r="AH51" s="543"/>
      <c r="AI51" s="543"/>
      <c r="AJ51" s="543"/>
      <c r="AK51" s="571" t="s">
        <v>478</v>
      </c>
      <c r="AL51" s="426" t="str">
        <f>IF(COUNTA(AD57:AD2056)=0,"",SUM(AL57:AL2056))</f>
        <v/>
      </c>
      <c r="AM51" s="572" t="s">
        <v>477</v>
      </c>
      <c r="AN51" s="426" t="str">
        <f>IF(COUNTA(AD57:AD2056)=0,"",SUM(AN57:AN2056))</f>
        <v/>
      </c>
      <c r="AO51" s="427" t="s">
        <v>632</v>
      </c>
      <c r="AP51" s="428" t="str">
        <f>IF(COUNTA(C57:C2056)=0,"",SUM(AP57:AP2056))</f>
        <v/>
      </c>
      <c r="AQ51" s="429"/>
      <c r="AR51" s="601" t="s">
        <v>2273</v>
      </c>
      <c r="AT51" s="955" t="s">
        <v>2262</v>
      </c>
      <c r="AU51" s="602"/>
      <c r="AV51" s="603"/>
      <c r="AW51" s="603"/>
      <c r="AX51" s="603"/>
      <c r="AY51" s="603"/>
      <c r="AZ51" s="956" t="s">
        <v>2266</v>
      </c>
      <c r="BA51" s="603"/>
      <c r="BB51" s="603"/>
      <c r="BC51" s="956" t="s">
        <v>2693</v>
      </c>
      <c r="BD51" s="603"/>
      <c r="BE51" s="603"/>
      <c r="BF51" s="603" t="s">
        <v>2263</v>
      </c>
      <c r="BG51" s="603" t="s">
        <v>2264</v>
      </c>
      <c r="BH51" s="603" t="s">
        <v>2276</v>
      </c>
      <c r="BI51" s="603"/>
      <c r="BJ51" s="603"/>
      <c r="BK51" s="603" t="s">
        <v>2267</v>
      </c>
      <c r="BL51" s="603"/>
      <c r="BM51" s="603"/>
    </row>
    <row r="52" spans="1:94" ht="12.75" customHeight="1">
      <c r="A52" s="430" t="s">
        <v>1588</v>
      </c>
      <c r="B52" s="431" t="s">
        <v>1589</v>
      </c>
      <c r="C52" s="948" t="s">
        <v>2342</v>
      </c>
      <c r="D52" s="948"/>
      <c r="E52" s="948"/>
      <c r="F52" s="949"/>
      <c r="G52" s="950" t="s">
        <v>2343</v>
      </c>
      <c r="H52" s="951"/>
      <c r="I52" s="950" t="s">
        <v>2247</v>
      </c>
      <c r="J52" s="951"/>
      <c r="K52" s="434" t="s">
        <v>2424</v>
      </c>
      <c r="L52" s="435"/>
      <c r="M52" s="435"/>
      <c r="N52" s="435"/>
      <c r="O52" s="435"/>
      <c r="P52" s="435"/>
      <c r="Q52" s="435"/>
      <c r="R52" s="435"/>
      <c r="S52" s="435"/>
      <c r="T52" s="431" t="s">
        <v>2248</v>
      </c>
      <c r="U52" s="436" t="s">
        <v>2344</v>
      </c>
      <c r="V52" s="437" t="s">
        <v>1590</v>
      </c>
      <c r="W52" s="431" t="s">
        <v>1591</v>
      </c>
      <c r="X52" s="431" t="s">
        <v>1592</v>
      </c>
      <c r="Y52" s="431" t="s">
        <v>1593</v>
      </c>
      <c r="Z52" s="438" t="s">
        <v>1594</v>
      </c>
      <c r="AA52" s="431" t="s">
        <v>1595</v>
      </c>
      <c r="AB52" s="431" t="s">
        <v>1596</v>
      </c>
      <c r="AC52" s="439" t="s">
        <v>1597</v>
      </c>
      <c r="AD52" s="439" t="s">
        <v>1598</v>
      </c>
      <c r="AE52" s="439" t="s">
        <v>1599</v>
      </c>
      <c r="AF52" s="432" t="s">
        <v>1600</v>
      </c>
      <c r="AG52" s="433" t="s">
        <v>1601</v>
      </c>
      <c r="AH52" s="436"/>
      <c r="AI52" s="432"/>
      <c r="AJ52" s="432"/>
      <c r="AK52" s="439" t="s">
        <v>1602</v>
      </c>
      <c r="AL52" s="440" t="s">
        <v>1603</v>
      </c>
      <c r="AM52" s="439" t="s">
        <v>1604</v>
      </c>
      <c r="AN52" s="441" t="s">
        <v>1605</v>
      </c>
      <c r="AO52" s="442" t="s">
        <v>2249</v>
      </c>
      <c r="AP52" s="443" t="s">
        <v>2250</v>
      </c>
      <c r="AQ52" s="444"/>
      <c r="AR52" s="604"/>
      <c r="AT52" s="955"/>
      <c r="AU52" s="597"/>
      <c r="AV52" s="597"/>
      <c r="AW52" s="597"/>
      <c r="AX52" s="597"/>
      <c r="AY52" s="597"/>
      <c r="AZ52" s="956"/>
      <c r="BA52" s="597"/>
      <c r="BB52" s="597"/>
      <c r="BC52" s="956"/>
      <c r="BD52" s="597"/>
      <c r="BE52" s="597"/>
      <c r="BF52" s="597"/>
      <c r="BG52" s="597"/>
      <c r="BH52" s="597"/>
      <c r="BI52" s="597"/>
      <c r="BJ52" s="597"/>
      <c r="BK52" s="597"/>
      <c r="BL52" s="597"/>
      <c r="BM52" s="597"/>
    </row>
    <row r="53" spans="1:94" ht="20.100000000000001" customHeight="1">
      <c r="A53" s="917" t="s">
        <v>1627</v>
      </c>
      <c r="B53" s="926" t="s">
        <v>2304</v>
      </c>
      <c r="C53" s="928" t="s">
        <v>1660</v>
      </c>
      <c r="D53" s="928"/>
      <c r="E53" s="928"/>
      <c r="F53" s="929"/>
      <c r="G53" s="932" t="s">
        <v>2316</v>
      </c>
      <c r="H53" s="929"/>
      <c r="I53" s="932" t="s">
        <v>2246</v>
      </c>
      <c r="J53" s="929"/>
      <c r="K53" s="937" t="s">
        <v>1660</v>
      </c>
      <c r="L53" s="445"/>
      <c r="M53" s="445"/>
      <c r="N53" s="445"/>
      <c r="O53" s="445"/>
      <c r="P53" s="445"/>
      <c r="Q53" s="445"/>
      <c r="R53" s="445"/>
      <c r="S53" s="445"/>
      <c r="T53" s="926" t="s">
        <v>2242</v>
      </c>
      <c r="U53" s="926" t="s">
        <v>282</v>
      </c>
      <c r="V53" s="918" t="s">
        <v>283</v>
      </c>
      <c r="W53" s="920" t="s">
        <v>284</v>
      </c>
      <c r="X53" s="918" t="s">
        <v>2427</v>
      </c>
      <c r="Y53" s="918" t="s">
        <v>285</v>
      </c>
      <c r="Z53" s="945" t="s">
        <v>48</v>
      </c>
      <c r="AA53" s="920" t="s">
        <v>286</v>
      </c>
      <c r="AB53" s="926" t="s">
        <v>287</v>
      </c>
      <c r="AC53" s="926" t="s">
        <v>288</v>
      </c>
      <c r="AD53" s="926" t="s">
        <v>2739</v>
      </c>
      <c r="AE53" s="926" t="s">
        <v>2378</v>
      </c>
      <c r="AF53" s="928" t="s">
        <v>2860</v>
      </c>
      <c r="AG53" s="929"/>
      <c r="AH53" s="446" t="s">
        <v>1632</v>
      </c>
      <c r="AI53" s="447"/>
      <c r="AJ53" s="447"/>
      <c r="AK53" s="926" t="s">
        <v>2379</v>
      </c>
      <c r="AL53" s="942" t="s">
        <v>2740</v>
      </c>
      <c r="AM53" s="926" t="s">
        <v>2380</v>
      </c>
      <c r="AN53" s="942" t="s">
        <v>2741</v>
      </c>
      <c r="AO53" s="926" t="s">
        <v>2742</v>
      </c>
      <c r="AP53" s="941" t="s">
        <v>2743</v>
      </c>
      <c r="AR53" s="601" t="s">
        <v>2274</v>
      </c>
      <c r="AS53" s="605"/>
      <c r="AT53" s="605"/>
      <c r="AU53" s="602"/>
      <c r="AV53" s="606"/>
      <c r="AW53" s="606"/>
      <c r="AX53" s="606"/>
      <c r="AY53" s="606"/>
      <c r="AZ53" s="606"/>
      <c r="BA53" s="606" t="s">
        <v>2252</v>
      </c>
      <c r="BB53" s="606" t="s">
        <v>2252</v>
      </c>
      <c r="BC53" s="606" t="s">
        <v>2694</v>
      </c>
      <c r="BD53" s="958" t="s">
        <v>2271</v>
      </c>
      <c r="BE53" s="954" t="s">
        <v>2258</v>
      </c>
      <c r="BF53" s="606" t="s">
        <v>2265</v>
      </c>
      <c r="BG53" s="606" t="s">
        <v>2265</v>
      </c>
      <c r="BH53" s="606" t="s">
        <v>2265</v>
      </c>
      <c r="BI53" s="606" t="s">
        <v>2265</v>
      </c>
      <c r="BJ53" s="957" t="s">
        <v>2261</v>
      </c>
      <c r="BK53" s="606"/>
      <c r="BL53" s="606"/>
      <c r="BM53" s="606"/>
    </row>
    <row r="54" spans="1:94" ht="21.75" customHeight="1">
      <c r="A54" s="917"/>
      <c r="B54" s="927"/>
      <c r="C54" s="930"/>
      <c r="D54" s="930"/>
      <c r="E54" s="930"/>
      <c r="F54" s="931"/>
      <c r="G54" s="933"/>
      <c r="H54" s="931"/>
      <c r="I54" s="933"/>
      <c r="J54" s="931"/>
      <c r="K54" s="938"/>
      <c r="L54" s="448"/>
      <c r="M54" s="448"/>
      <c r="N54" s="448"/>
      <c r="O54" s="448"/>
      <c r="P54" s="448"/>
      <c r="Q54" s="448"/>
      <c r="R54" s="448"/>
      <c r="S54" s="448"/>
      <c r="T54" s="926"/>
      <c r="U54" s="927"/>
      <c r="V54" s="919"/>
      <c r="W54" s="921"/>
      <c r="X54" s="919"/>
      <c r="Y54" s="919"/>
      <c r="Z54" s="946"/>
      <c r="AA54" s="921"/>
      <c r="AB54" s="926"/>
      <c r="AC54" s="926"/>
      <c r="AD54" s="927"/>
      <c r="AE54" s="927"/>
      <c r="AF54" s="449" t="s">
        <v>1661</v>
      </c>
      <c r="AG54" s="450" t="s">
        <v>276</v>
      </c>
      <c r="AH54" s="451" t="s">
        <v>291</v>
      </c>
      <c r="AI54" s="451" t="s">
        <v>292</v>
      </c>
      <c r="AJ54" s="452" t="s">
        <v>293</v>
      </c>
      <c r="AK54" s="926"/>
      <c r="AL54" s="942"/>
      <c r="AM54" s="926"/>
      <c r="AN54" s="942"/>
      <c r="AO54" s="926"/>
      <c r="AP54" s="941"/>
      <c r="BD54" s="958"/>
      <c r="BE54" s="954"/>
      <c r="BJ54" s="957"/>
    </row>
    <row r="55" spans="1:94" ht="30" customHeight="1">
      <c r="A55" s="917"/>
      <c r="B55" s="574" t="s">
        <v>2236</v>
      </c>
      <c r="C55" s="922" t="s">
        <v>2373</v>
      </c>
      <c r="D55" s="922"/>
      <c r="E55" s="922"/>
      <c r="F55" s="922"/>
      <c r="G55" s="934" t="s">
        <v>2251</v>
      </c>
      <c r="H55" s="935"/>
      <c r="I55" s="935"/>
      <c r="J55" s="936"/>
      <c r="K55" s="654"/>
      <c r="L55" s="667"/>
      <c r="M55" s="547"/>
      <c r="N55" s="548"/>
      <c r="O55" s="548"/>
      <c r="P55" s="548"/>
      <c r="Q55" s="548"/>
      <c r="R55" s="548"/>
      <c r="S55" s="548"/>
      <c r="T55" s="737"/>
      <c r="U55" s="923" t="s">
        <v>2373</v>
      </c>
      <c r="V55" s="924"/>
      <c r="W55" s="924"/>
      <c r="X55" s="924"/>
      <c r="Y55" s="924"/>
      <c r="Z55" s="924"/>
      <c r="AA55" s="925"/>
      <c r="AB55" s="740"/>
      <c r="AC55" s="739"/>
      <c r="AD55" s="923" t="s">
        <v>2744</v>
      </c>
      <c r="AE55" s="943"/>
      <c r="AF55" s="943"/>
      <c r="AG55" s="944"/>
      <c r="AH55" s="549"/>
      <c r="AI55" s="549"/>
      <c r="AJ55" s="449"/>
      <c r="AK55" s="734"/>
      <c r="AL55" s="735"/>
      <c r="AM55" s="734"/>
      <c r="AN55" s="735"/>
      <c r="AO55" s="734"/>
      <c r="AP55" s="736"/>
      <c r="AQ55" s="453"/>
      <c r="AR55" s="607" t="s">
        <v>2275</v>
      </c>
      <c r="AS55" s="608">
        <f>SUM(AS57:AS2056)</f>
        <v>0</v>
      </c>
      <c r="AT55" s="608">
        <f>SUM(AT57:AT2056)</f>
        <v>0</v>
      </c>
      <c r="AU55" s="603"/>
      <c r="AV55" s="603"/>
      <c r="AW55" s="603"/>
      <c r="AX55" s="603"/>
      <c r="AY55" s="603"/>
      <c r="AZ55" s="602"/>
      <c r="BA55" s="603"/>
      <c r="BB55" s="603"/>
      <c r="BC55" s="603"/>
      <c r="BD55" s="959"/>
      <c r="BE55" s="603"/>
      <c r="BF55" s="609" t="s">
        <v>2277</v>
      </c>
      <c r="BG55" s="609" t="s">
        <v>2277</v>
      </c>
      <c r="BH55" s="603"/>
      <c r="BI55" s="603"/>
      <c r="BJ55" s="610" t="s">
        <v>2278</v>
      </c>
      <c r="BK55" s="611"/>
      <c r="BL55" s="947" t="s">
        <v>2854</v>
      </c>
      <c r="BM55" s="947"/>
    </row>
    <row r="56" spans="1:94" ht="50.1" customHeight="1" thickBot="1">
      <c r="A56" s="454"/>
      <c r="B56" s="738" t="s">
        <v>671</v>
      </c>
      <c r="C56" s="741" t="s">
        <v>2221</v>
      </c>
      <c r="D56" s="551" t="s">
        <v>2745</v>
      </c>
      <c r="E56" s="551" t="s">
        <v>2222</v>
      </c>
      <c r="F56" s="552" t="s">
        <v>2223</v>
      </c>
      <c r="G56" s="553" t="s">
        <v>2433</v>
      </c>
      <c r="H56" s="554" t="s">
        <v>2192</v>
      </c>
      <c r="I56" s="553" t="s">
        <v>2433</v>
      </c>
      <c r="J56" s="554" t="s">
        <v>2192</v>
      </c>
      <c r="K56" s="555" t="s">
        <v>2425</v>
      </c>
      <c r="L56" s="555" t="s">
        <v>2325</v>
      </c>
      <c r="M56" s="555" t="s">
        <v>2325</v>
      </c>
      <c r="N56" s="555" t="s">
        <v>2326</v>
      </c>
      <c r="O56" s="555" t="s">
        <v>2327</v>
      </c>
      <c r="P56" s="555" t="s">
        <v>2328</v>
      </c>
      <c r="Q56" s="555" t="s">
        <v>2245</v>
      </c>
      <c r="R56" s="555" t="s">
        <v>2329</v>
      </c>
      <c r="S56" s="555" t="s">
        <v>2330</v>
      </c>
      <c r="T56" s="560"/>
      <c r="U56" s="556" t="s">
        <v>2855</v>
      </c>
      <c r="V56" s="557" t="s">
        <v>1721</v>
      </c>
      <c r="W56" s="558" t="s">
        <v>1722</v>
      </c>
      <c r="X56" s="558" t="s">
        <v>2746</v>
      </c>
      <c r="Y56" s="559" t="s">
        <v>1633</v>
      </c>
      <c r="Z56" s="742" t="s">
        <v>2747</v>
      </c>
      <c r="AA56" s="560" t="s">
        <v>1292</v>
      </c>
      <c r="AB56" s="561"/>
      <c r="AC56" s="561"/>
      <c r="AD56" s="738" t="s">
        <v>2748</v>
      </c>
      <c r="AE56" s="562" t="s">
        <v>1659</v>
      </c>
      <c r="AF56" s="558" t="s">
        <v>2861</v>
      </c>
      <c r="AG56" s="550" t="s">
        <v>2862</v>
      </c>
      <c r="AH56" s="563" t="s">
        <v>1662</v>
      </c>
      <c r="AI56" s="564"/>
      <c r="AJ56" s="565"/>
      <c r="AK56" s="733"/>
      <c r="AL56" s="744" t="s">
        <v>2749</v>
      </c>
      <c r="AM56" s="745"/>
      <c r="AN56" s="744" t="s">
        <v>2749</v>
      </c>
      <c r="AO56" s="745"/>
      <c r="AP56" s="746" t="s">
        <v>2750</v>
      </c>
      <c r="AQ56" s="453"/>
      <c r="AR56" s="612"/>
      <c r="AS56" s="613" t="s">
        <v>2257</v>
      </c>
      <c r="AT56" s="613" t="s">
        <v>2262</v>
      </c>
      <c r="AU56" s="614" t="s">
        <v>2237</v>
      </c>
      <c r="AV56" s="614" t="s">
        <v>294</v>
      </c>
      <c r="AW56" s="614" t="s">
        <v>284</v>
      </c>
      <c r="AX56" s="614" t="s">
        <v>295</v>
      </c>
      <c r="AY56" s="614" t="s">
        <v>1285</v>
      </c>
      <c r="AZ56" s="614" t="s">
        <v>1286</v>
      </c>
      <c r="BA56" s="614" t="s">
        <v>244</v>
      </c>
      <c r="BB56" s="614" t="s">
        <v>243</v>
      </c>
      <c r="BC56" s="614" t="s">
        <v>662</v>
      </c>
      <c r="BD56" s="615" t="s">
        <v>2260</v>
      </c>
      <c r="BE56" s="614" t="s">
        <v>1287</v>
      </c>
      <c r="BF56" s="616" t="s">
        <v>1770</v>
      </c>
      <c r="BG56" s="616" t="s">
        <v>1771</v>
      </c>
      <c r="BH56" s="617" t="s">
        <v>1772</v>
      </c>
      <c r="BI56" s="617" t="s">
        <v>66</v>
      </c>
      <c r="BJ56" s="616" t="s">
        <v>2259</v>
      </c>
      <c r="BK56" s="618" t="s">
        <v>2256</v>
      </c>
      <c r="BL56" s="774" t="s">
        <v>2739</v>
      </c>
      <c r="BM56" s="774" t="s">
        <v>2378</v>
      </c>
      <c r="BN56" s="455"/>
      <c r="BO56" s="456"/>
    </row>
    <row r="57" spans="1:94" s="471" customFormat="1">
      <c r="A57" s="457">
        <v>1</v>
      </c>
      <c r="B57" s="132"/>
      <c r="C57" s="332"/>
      <c r="D57" s="333"/>
      <c r="E57" s="333"/>
      <c r="F57" s="334"/>
      <c r="G57" s="337"/>
      <c r="H57" s="131"/>
      <c r="I57" s="337"/>
      <c r="J57" s="131"/>
      <c r="K57" s="458" t="str">
        <f t="shared" ref="K57:K120" si="0">C57&amp;D57&amp;E57&amp;F57</f>
        <v/>
      </c>
      <c r="L57" s="458">
        <f>IF(G57&gt;0,DATE((G57),(H57+1),0),0)</f>
        <v>0</v>
      </c>
      <c r="M57" s="458">
        <f>IF(I57&gt;0,DATE((I57),(J57+1),0),0)</f>
        <v>0</v>
      </c>
      <c r="N57" s="459" t="str">
        <f t="shared" ref="N57:N120" si="1">IF(OR($L57&gt;$U$48,$M57&gt;$U$48,AND($L57&gt;$M57,$M57&lt;&gt;0),AND($L57=0,$M57&lt;&gt;0)),"ERROR","")</f>
        <v/>
      </c>
      <c r="O57" s="459" t="str">
        <f t="shared" ref="O57:O120" si="2">IF(AND($N57&lt;&gt;"ERROR",$L57&lt;=$U$49,$M57&lt;=$U$49,$M57&lt;&gt;0),"(減車済)","")</f>
        <v/>
      </c>
      <c r="P57" s="459" t="str">
        <f t="shared" ref="P57:P120" si="3">IF(AND($N57&lt;&gt;"ERROR",$L57&lt;$U$49,AND($M57&gt;$U$49,$M57&lt;=$W$49),$M57&lt;&gt;0),"減車","")</f>
        <v/>
      </c>
      <c r="Q57" s="459" t="str">
        <f t="shared" ref="Q57:Q120" si="4">IF(AND($N57&lt;&gt;"ERROR",$L57&gt;$U$49,$M57&lt;=$W$49,$M57&lt;&gt;0),"一時使用","")</f>
        <v/>
      </c>
      <c r="R57" s="459" t="str">
        <f t="shared" ref="R57:R120" si="5">IF(AND($N57&lt;&gt;"ERROR",AND($L57&gt;0,$L57&lt;=$U$49),$M57=0),"継続","")</f>
        <v/>
      </c>
      <c r="S57" s="459" t="str">
        <f t="shared" ref="S57:S120" si="6">IF(AND($N57&lt;&gt;"ERROR",AND($L57&gt;$U$49),$M57=0),"新規","")</f>
        <v/>
      </c>
      <c r="T57" s="566" t="str">
        <f>N57&amp;O57&amp;P57&amp;Q57&amp;R57&amp;S57</f>
        <v/>
      </c>
      <c r="U57" s="702"/>
      <c r="V57" s="132"/>
      <c r="W57" s="133"/>
      <c r="X57" s="134"/>
      <c r="Y57" s="135"/>
      <c r="Z57" s="137"/>
      <c r="AA57" s="136"/>
      <c r="AB57" s="566" t="str">
        <f>IF(AS57="","",IF(AZ57=1,VLOOKUP(BA57,低公害車判別,2,FALSE),IF(AZ57=3,VLOOKUP(BA57,低公害車判別,2,FALSE),IF(AZ57=4,VLOOKUP(BB57,低公害車判別,2,FALSE),"低公害車"))))</f>
        <v/>
      </c>
      <c r="AC57" s="568" t="str">
        <f>IF(AS57="","",IF((BA57="")+(BA57="－"),IF((BB57="")+(BB57=0),"－",BB57),IF((BA57="PM☆☆☆")+(BA57="☆及びPM☆☆☆")+(BA57="☆☆及びPM☆☆☆")+(BA57="☆☆☆及びPM☆☆☆"),"PM☆☆☆",IF((BA57="PM☆☆☆☆")+(BA57="☆及びPM☆☆☆☆")+(BA57="☆☆及びPM☆☆☆☆")+(BA57="☆☆☆及びPM☆☆☆☆"),"PM☆☆☆☆",IF((BA57="新☆")+(BA57="新NOx☆")+(BA57="新PM☆"),"新☆（新長期）",BA57)))))</f>
        <v/>
      </c>
      <c r="AD57" s="137"/>
      <c r="AE57" s="137"/>
      <c r="AF57" s="138"/>
      <c r="AG57" s="138"/>
      <c r="AH57" s="591" t="str">
        <f t="shared" ref="AH57:AH120" si="7">IF(C57="","",IF(LEFT(C57,2)="横浜","○",""))</f>
        <v/>
      </c>
      <c r="AI57" s="591" t="str">
        <f t="shared" ref="AI57:AI120" si="8">IF(C57="","",IF(LEFT(C57,2)="川崎","○",""))</f>
        <v/>
      </c>
      <c r="AJ57" s="591" t="str">
        <f t="shared" ref="AJ57:AJ120" si="9">IF(C57="","",IF(OR(AH57="○",AI57="○"),"","○"))</f>
        <v/>
      </c>
      <c r="AK57" s="460" t="str">
        <f>IF(AU57="","",IF(OR(AZ57=8,AZ57=9),0,IF(OR(AW57=3,AW57=4,AW57=5,AW57=6),IF(LEFT(BF57,1)="1",INDEX(係数_NOX・PM低減,MATCH(AY57,【参考】排出係数!$AI$801:$AI$804,1),1),VLOOKUP(AU57,INDEX((係数_バス貨物_ガソリン,係数_バス貨物_CNG,係数_バス貨物_軽油,係数_バス貨物_メタノール,係数_バス貨物_LPG),MATCH(AY57,【参考】排出係数!$AI$4:$AI$671,1),1,BE57):INDEX((係数_バス貨物_ガソリン,係数_バス貨物_CNG,係数_バス貨物_軽油,係数_バス貨物_メタノール,係数_バス貨物_LPG),MATCH(AY57+1,【参考】排出係数!$AI$4:$AI$671,1)-1,5,BE57),4,FALSE)),IF(AND(BE57=3,LEFT(BF57,1)="1"),0.48,VLOOKUP(AU57,INDEX((係数_乗用_ガソリン,係数_乗用_CNG,係数_乗用_軽油,係数_乗用_メタノール,係数_乗用_LPG),1,1,BE57):INDEX((係数_乗用_ガソリン,係数_乗用_CNG,係数_乗用_軽油,係数_乗用_メタノール,係数_乗用_LPG),125,5,BE57),4,FALSE)))))</f>
        <v/>
      </c>
      <c r="AL57" s="461" t="str">
        <f t="shared" ref="AL57:AL58" si="10">IF(AU57="","",IF(Z57&lt;=3.5*1000,AD57*AK57/1000,IF(Z57&gt;3.5*1000,AD57*Z57*AK57/1000/1000)))</f>
        <v/>
      </c>
      <c r="AM57" s="460" t="str">
        <f>IF(AU57="","",IF(OR(AZ57=8,AZ57=9),0,IF(OR(AW57=3,AW57=4,AW57=5,AW57=6),IF(LEFT(BH57,1)="1",INDEX(係数_PM低減,MATCH(AY57,【参考】排出係数!$AI$801:$AI$804,1),MATCH(BI57,【参考】排出係数!$AL$798:$AO$798,1)),VLOOKUP(AU57,INDEX((係数_バス貨物_ガソリン,係数_バス貨物_CNG,係数_バス貨物_軽油,係数_バス貨物_メタノール,係数_バス貨物_LPG),MATCH(AY57,【参考】排出係数!$AI$4:$AI$671,1),1,BE57):INDEX((係数_バス貨物_ガソリン,係数_バス貨物_CNG,係数_バス貨物_軽油,係数_バス貨物_メタノール,係数_バス貨物_LPG),MATCH(AY57+1,【参考】排出係数!$AI$4:$AI$671,1)-1,5,BE57),5,FALSE)),IF(AND(BE57=3,LEFT(BF57,1)="1"),0.055,VLOOKUP(AU57,INDEX((係数_乗用_ガソリン,係数_乗用_CNG,係数_乗用_軽油,係数_乗用_メタノール,係数_乗用_LPG),1,1,BE57):INDEX((係数_乗用_ガソリン,係数_乗用_CNG,係数_乗用_軽油,係数_乗用_メタノール,係数_乗用_LPG),125,5,BE57),5,FALSE)))))</f>
        <v/>
      </c>
      <c r="AN57" s="461" t="str">
        <f t="shared" ref="AN57:AN58" si="11">IF(AU57="","",IF(Z57&lt;=3.5*1000,AD57*AM57/1000,IF(Z57&gt;3.5*1000,AD57*Z57*AM57/1000/1000)))</f>
        <v/>
      </c>
      <c r="AO57" s="462" t="str">
        <f t="shared" ref="AO57:AO58" si="12">IF(AU57="","",IF(Z57&lt;500,"車両重量",IF(OR(AZ57=8,AZ57=9),0,IF(OR(AZ57=1,AZ57=2,AZ57=11),2.32,IF(OR(AZ57=4,AZ57=5,AZ57=11),2.58,IF(AZ57=3,3,IF(AZ57=6,2.23,IF(AZ57=7,1.37,0))))))))</f>
        <v/>
      </c>
      <c r="AP57" s="463" t="str">
        <f t="shared" ref="AP57:AP58" si="13">IF(AU57="","",AE57*AO57/1000)</f>
        <v/>
      </c>
      <c r="AQ57" s="464"/>
      <c r="AR57" s="619"/>
      <c r="AS57" s="465" t="str">
        <f>IF(OR(T57="(減車済)",T57=""),"",1)</f>
        <v/>
      </c>
      <c r="AT57" s="465" t="str">
        <f>IF(OR(T57="継続",T57="新規"),1,"")</f>
        <v/>
      </c>
      <c r="AU57" s="466" t="str">
        <f>IF(AS57="","",UPPER(ASC(X57)))</f>
        <v/>
      </c>
      <c r="AV57" s="467" t="str">
        <f>IF(AS57="","",IF(V57="","",IF(V57="普通",1,IF(V57="小型",2,0))))</f>
        <v/>
      </c>
      <c r="AW57" s="467" t="str">
        <f t="shared" ref="AW57" si="14">IF(AS57="","",IF(W57="","",VLOOKUP(W57,用途,2,FALSE)))</f>
        <v/>
      </c>
      <c r="AX57" s="467" t="str">
        <f>IF(AS57="","",IF(Y57="","",IF(Y57&lt;=10,1,IF(Y57&lt;30,2,IF(Y57&gt;=30,3,0)))))</f>
        <v/>
      </c>
      <c r="AY57" s="467" t="str">
        <f>IF(AS57="","",IF(Z57="","",IF(Z57&lt;=1.7*1000,1,IF(Z57&lt;=2.5*1000,2,IF(Z57&lt;=3.5*1000,3,IF(Z57&lt;8*1000,4,IF(Z57&gt;=8*1000,5,"")))))))</f>
        <v/>
      </c>
      <c r="AZ57" s="467" t="str">
        <f t="shared" ref="AZ57" si="15">IF(AS57="","",IF(AA57="","",VLOOKUP(AA57,燃料の種類,2,FALSE)))</f>
        <v/>
      </c>
      <c r="BA57" s="468" t="str">
        <f>IF(AS57="","",IF(OR(AU57="",AU57="-"),"－",IF(OR(AZ57=8,AZ57=9),"",IF(OR(AW57=3,AW57=4,AW57=5,AW57=6),VLOOKUP(AU57,INDEX((係数_バス貨物_ガソリン,係数_バス貨物_CNG,係数_バス貨物_軽油,係数_バス貨物_メタノール,係数_バス貨物_LPG),MATCH(AY57,【参考】排出係数!$AI$4:$AI$671,1),1,BE57):INDEX((係数_バス貨物_ガソリン,係数_バス貨物_CNG,係数_バス貨物_軽油,係数_バス貨物_メタノール,係数_バス貨物_LPG),MATCH(AY57+1,【参考】排出係数!$AI$4:$AI$671,1)-1,5,BE57),2,FALSE),IF(OR(AW57=1,AW57=2),VLOOKUP(AU57,INDEX((係数_乗用_ガソリン,係数_乗用_CNG,係数_乗用_軽油,係数_乗用_メタノール,係数_乗用_LPG),1,1,BE57):INDEX((係数_乗用_ガソリン,係数_乗用_CNG,係数_乗用_軽油,係数_乗用_メタノール,係数_乗用_LPG),125,5,BE57),2,FALSE))))))</f>
        <v/>
      </c>
      <c r="BB57" s="468" t="str">
        <f>IF(T57="","",IF(OR(AU57="",AU57="-"),"－",IF(OR(AZ57=8,AZ57=9),"",IF(OR(AW57=3,AW57=4,AW57=5,AW57=6),VLOOKUP(AU57,INDEX((係数_バス貨物_ガソリン,係数_バス貨物_CNG,係数_バス貨物_軽油,係数_バス貨物_メタノール,係数_バス貨物_LPG),MATCH(AY57,【参考】排出係数!$AI$4:$AI$671,1),1,BE57):INDEX((係数_バス貨物_ガソリン,係数_バス貨物_CNG,係数_バス貨物_軽油,係数_バス貨物_メタノール,係数_バス貨物_LPG),MATCH(AY57+1,【参考】排出係数!$AI$4:$AI$671,1)-1,5,BE57),3,FALSE),IF(OR(AW57=1,AW57=2),VLOOKUP(AU57,INDEX((係数_乗用_ガソリン,係数_乗用_CNG,係数_乗用_軽油,係数_乗用_メタノール,係数_乗用_LPG),1,1,BE57):INDEX((係数_乗用_ガソリン,係数_乗用_CNG,係数_乗用_軽油,係数_乗用_メタノール,係数_乗用_LPG),125,5,BE57),3,FALSE))))))</f>
        <v/>
      </c>
      <c r="BC57" s="467" t="str">
        <f t="shared" ref="BC57" si="16">IF((AS57="")+(AC57=""),"",IF(燃料区分1=4,VLOOKUP(BB57,排ガス低減レベル,2,FALSE),VLOOKUP(AC57,排ガス低減レベル,2,FALSE)))</f>
        <v/>
      </c>
      <c r="BD57" s="567" t="str">
        <f t="shared" ref="BD57" si="17">IF(AT57="","",IF(AW57=3,B57&amp;"-"&amp;SUM(AW57*100,AX57*10,AY57)&amp;"A",IF(OR(AW57=2,AW57=4,AW57=6),B57&amp;"-"&amp;AY57*10&amp;"A",IF(AW57=1,B57&amp;"-"&amp;AW57&amp;"A",IF(AW57=5,B57&amp;"-"&amp;SUM(AW57*100,AV57*10,AY57)&amp;"A","")))))</f>
        <v/>
      </c>
      <c r="BE57" s="467" t="str">
        <f t="shared" ref="BE57" si="18">IF(OR(AZ57=1,AZ57=2,AZ57=11),1,IF(AZ57=6,2,IF(OR(AZ57=4,AZ57=5,AZ57=10),3,IF(AZ57=7,4,IF(AZ57=3,5, IF(OR(AZ57=8,AZ57=9),6,""))))))</f>
        <v/>
      </c>
      <c r="BF57" s="469" t="str">
        <f t="shared" ref="BF57" ca="1" si="19">(IF(OR(AZ57=4,AZ57=5),OFFSET($CH$1,MATCH($AF57,$CG$2:$CG$4,0),0)&amp;BK57,""))</f>
        <v/>
      </c>
      <c r="BG57" s="469" t="str">
        <f t="shared" ref="BG57" ca="1" si="20">(IF(OR(AZ57=4,AZ57=5),OFFSET($CJ$1,MATCH($AG57,$CI$2:$CI$5,0),0)&amp;BK57,""))</f>
        <v/>
      </c>
      <c r="BH57" s="467" t="str">
        <f>IF(OR(AZ57=4,AZ57=5),IF(OR(LEFT(BF57,1)="1",LEFT(BG57,1)="2",LEFT(BG57,1)="3"),1,2)&amp;BK57,"")</f>
        <v/>
      </c>
      <c r="BI57" s="467" t="str">
        <f ca="1">IF(LEFT(BF57)="1",1,IF(LEFT(BG57,1)="2",2,IF(LEFT(BG57,1)="3",3,"")))</f>
        <v/>
      </c>
      <c r="BJ57" s="469" t="str">
        <f t="shared" ref="BJ57" si="21">IF(AT57="","",B57&amp;"-"&amp;AZ57)</f>
        <v/>
      </c>
      <c r="BK57" s="470" t="str">
        <f t="shared" ref="BK57:BK120" si="22">IF(AS57="","",VLOOKUP(T57,車両の増減,2,FALSE))</f>
        <v/>
      </c>
      <c r="BL57" s="775" t="str">
        <f>IF(AND(OR($T57="新規",$T57="継続"),ISBLANK($AD57)),1,"")</f>
        <v/>
      </c>
      <c r="BM57" s="775" t="str">
        <f>IF(AND(OR($T57="新規",$T57="継続"),ISBLANK($AE57)),1,"")</f>
        <v/>
      </c>
      <c r="BO57" s="472"/>
      <c r="BT57" s="16"/>
      <c r="BU57" s="16"/>
      <c r="BV57" s="16"/>
      <c r="BW57" s="16"/>
      <c r="BX57" s="16"/>
      <c r="BY57" s="16"/>
      <c r="BZ57" s="16"/>
      <c r="CA57" s="16"/>
      <c r="CB57" s="16"/>
      <c r="CC57" s="16"/>
      <c r="CD57" s="16"/>
      <c r="CE57" s="16"/>
      <c r="CF57" s="16"/>
      <c r="CG57" s="16"/>
      <c r="CH57" s="16"/>
      <c r="CI57" s="16"/>
      <c r="CJ57" s="16"/>
      <c r="CK57" s="16"/>
      <c r="CL57" s="16"/>
      <c r="CM57" s="16"/>
      <c r="CN57" s="16"/>
      <c r="CO57" s="16"/>
      <c r="CP57" s="16"/>
    </row>
    <row r="58" spans="1:94" s="471" customFormat="1" ht="14.25" customHeight="1">
      <c r="A58" s="473">
        <v>2</v>
      </c>
      <c r="B58" s="132"/>
      <c r="C58" s="332"/>
      <c r="D58" s="333"/>
      <c r="E58" s="333"/>
      <c r="F58" s="334"/>
      <c r="G58" s="337"/>
      <c r="H58" s="131"/>
      <c r="I58" s="337"/>
      <c r="J58" s="131"/>
      <c r="K58" s="458" t="str">
        <f t="shared" si="0"/>
        <v/>
      </c>
      <c r="L58" s="458">
        <f t="shared" ref="L58:L121" si="23">IF(G58&gt;0,DATE((G58),(H58+1),0),0)</f>
        <v>0</v>
      </c>
      <c r="M58" s="458">
        <f t="shared" ref="M58:M121" si="24">IF(I58&gt;0,DATE((I58),(J58+1),0),0)</f>
        <v>0</v>
      </c>
      <c r="N58" s="459" t="str">
        <f t="shared" si="1"/>
        <v/>
      </c>
      <c r="O58" s="459" t="str">
        <f t="shared" si="2"/>
        <v/>
      </c>
      <c r="P58" s="459" t="str">
        <f t="shared" si="3"/>
        <v/>
      </c>
      <c r="Q58" s="459" t="str">
        <f t="shared" si="4"/>
        <v/>
      </c>
      <c r="R58" s="459" t="str">
        <f t="shared" si="5"/>
        <v/>
      </c>
      <c r="S58" s="459" t="str">
        <f t="shared" si="6"/>
        <v/>
      </c>
      <c r="T58" s="566" t="str">
        <f t="shared" ref="T58:T121" si="25">N58&amp;O58&amp;P58&amp;Q58&amp;R58&amp;S58</f>
        <v/>
      </c>
      <c r="U58" s="702"/>
      <c r="V58" s="132"/>
      <c r="W58" s="133"/>
      <c r="X58" s="134"/>
      <c r="Y58" s="135"/>
      <c r="Z58" s="137"/>
      <c r="AA58" s="136"/>
      <c r="AB58" s="566" t="str">
        <f t="shared" ref="AB58:AB120" si="26">IF(AS58="","",IF(AZ58=1,VLOOKUP(BA58,低公害車判別,2,FALSE),IF(AZ58=3,VLOOKUP(BA58,低公害車判別,2,FALSE),IF(AZ58=4,VLOOKUP(BB58,低公害車判別,2,FALSE),"低公害車"))))</f>
        <v/>
      </c>
      <c r="AC58" s="568" t="str">
        <f t="shared" ref="AC58:AC121" si="27">IF(AS58="","",IF((BA58="")+(BA58="－"),IF((BB58="")+(BB58=0),"－",BB58),IF((BA58="PM☆☆☆")+(BA58="☆及びPM☆☆☆")+(BA58="☆☆及びPM☆☆☆")+(BA58="☆☆☆及びPM☆☆☆"),"PM☆☆☆",IF((BA58="PM☆☆☆☆")+(BA58="☆及びPM☆☆☆☆")+(BA58="☆☆及びPM☆☆☆☆")+(BA58="☆☆☆及びPM☆☆☆☆"),"PM☆☆☆☆",IF((BA58="新☆")+(BA58="新NOx☆")+(BA58="新PM☆"),"新☆（新長期）",BA58)))))</f>
        <v/>
      </c>
      <c r="AD58" s="137"/>
      <c r="AE58" s="137"/>
      <c r="AF58" s="138"/>
      <c r="AG58" s="138"/>
      <c r="AH58" s="592" t="str">
        <f t="shared" si="7"/>
        <v/>
      </c>
      <c r="AI58" s="592" t="str">
        <f t="shared" si="8"/>
        <v/>
      </c>
      <c r="AJ58" s="592" t="str">
        <f t="shared" si="9"/>
        <v/>
      </c>
      <c r="AK58" s="460" t="str">
        <f>IF(AU58="","",IF(OR(AZ58=8,AZ58=9),0,IF(OR(AW58=3,AW58=4,AW58=5,AW58=6),IF(LEFT(BF58,1)="1",INDEX(係数_NOX・PM低減,MATCH(AY58,【参考】排出係数!$AI$801:$AI$804,1),1),VLOOKUP(AU58,INDEX((係数_バス貨物_ガソリン,係数_バス貨物_CNG,係数_バス貨物_軽油,係数_バス貨物_メタノール,係数_バス貨物_LPG),MATCH(AY58,【参考】排出係数!$AI$4:$AI$671,1),1,BE58):INDEX((係数_バス貨物_ガソリン,係数_バス貨物_CNG,係数_バス貨物_軽油,係数_バス貨物_メタノール,係数_バス貨物_LPG),MATCH(AY58+1,【参考】排出係数!$AI$4:$AI$671,1)-1,5,BE58),4,FALSE)),IF(AND(BE58=3,LEFT(BF58,1)="1"),0.48,VLOOKUP(AU58,INDEX((係数_乗用_ガソリン,係数_乗用_CNG,係数_乗用_軽油,係数_乗用_メタノール,係数_乗用_LPG),1,1,BE58):INDEX((係数_乗用_ガソリン,係数_乗用_CNG,係数_乗用_軽油,係数_乗用_メタノール,係数_乗用_LPG),125,5,BE58),4,FALSE)))))</f>
        <v/>
      </c>
      <c r="AL58" s="461" t="str">
        <f t="shared" si="10"/>
        <v/>
      </c>
      <c r="AM58" s="460" t="str">
        <f>IF(AU58="","",IF(OR(AZ58=8,AZ58=9),0,IF(OR(AW58=3,AW58=4,AW58=5,AW58=6),IF(LEFT(BH58,1)="1",INDEX(係数_PM低減,MATCH(AY58,【参考】排出係数!$AI$801:$AI$804,1),MATCH(BI58,【参考】排出係数!$AL$798:$AO$798,1)),VLOOKUP(AU58,INDEX((係数_バス貨物_ガソリン,係数_バス貨物_CNG,係数_バス貨物_軽油,係数_バス貨物_メタノール,係数_バス貨物_LPG),MATCH(AY58,【参考】排出係数!$AI$4:$AI$671,1),1,BE58):INDEX((係数_バス貨物_ガソリン,係数_バス貨物_CNG,係数_バス貨物_軽油,係数_バス貨物_メタノール,係数_バス貨物_LPG),MATCH(AY58+1,【参考】排出係数!$AI$4:$AI$671,1)-1,5,BE58),5,FALSE)),IF(AND(BE58=3,LEFT(BF58,1)="1"),0.055,VLOOKUP(AU58,INDEX((係数_乗用_ガソリン,係数_乗用_CNG,係数_乗用_軽油,係数_乗用_メタノール,係数_乗用_LPG),1,1,BE58):INDEX((係数_乗用_ガソリン,係数_乗用_CNG,係数_乗用_軽油,係数_乗用_メタノール,係数_乗用_LPG),125,5,BE58),5,FALSE)))))</f>
        <v/>
      </c>
      <c r="AN58" s="461" t="str">
        <f t="shared" si="11"/>
        <v/>
      </c>
      <c r="AO58" s="462" t="str">
        <f t="shared" si="12"/>
        <v/>
      </c>
      <c r="AP58" s="463" t="str">
        <f t="shared" si="13"/>
        <v/>
      </c>
      <c r="AQ58" s="464"/>
      <c r="AR58" s="619"/>
      <c r="AS58" s="465" t="str">
        <f t="shared" ref="AS58:AS121" si="28">IF(OR(T58="(減車済)",T58=""),"",1)</f>
        <v/>
      </c>
      <c r="AT58" s="465" t="str">
        <f t="shared" ref="AT58:AT121" si="29">IF(OR(T58="継続",T58="新規"),1,"")</f>
        <v/>
      </c>
      <c r="AU58" s="466" t="str">
        <f t="shared" ref="AU58:AU121" si="30">IF(AS58="","",UPPER(ASC(X58)))</f>
        <v/>
      </c>
      <c r="AV58" s="467" t="str">
        <f t="shared" ref="AV58:AV121" si="31">IF(AS58="","",IF(V58="","",IF(V58="普通",1,IF(V58="小型",2,0))))</f>
        <v/>
      </c>
      <c r="AW58" s="467" t="str">
        <f t="shared" ref="AW58:AW121" si="32">IF(AS58="","",IF(W58="","",VLOOKUP(W58,用途,2,FALSE)))</f>
        <v/>
      </c>
      <c r="AX58" s="467" t="str">
        <f t="shared" ref="AX58:AX121" si="33">IF(AS58="","",IF(Y58="","",IF(Y58&lt;=10,1,IF(Y58&lt;30,2,IF(Y58&gt;=30,3,0)))))</f>
        <v/>
      </c>
      <c r="AY58" s="467" t="str">
        <f t="shared" ref="AY58:AY121" si="34">IF(AS58="","",IF(Z58="","",IF(Z58&lt;=1.7*1000,1,IF(Z58&lt;=2.5*1000,2,IF(Z58&lt;=3.5*1000,3,IF(Z58&lt;8*1000,4,IF(Z58&gt;=8*1000,5,"")))))))</f>
        <v/>
      </c>
      <c r="AZ58" s="467" t="str">
        <f t="shared" ref="AZ58:AZ121" si="35">IF(AS58="","",IF(AA58="","",VLOOKUP(AA58,燃料の種類,2,FALSE)))</f>
        <v/>
      </c>
      <c r="BA58" s="468" t="str">
        <f>IF(AS58="","",IF(OR(AU58="",AU58="-"),"－",IF(OR(AZ58=8,AZ58=9),"",IF(OR(AW58=3,AW58=4,AW58=5,AW58=6),VLOOKUP(AU58,INDEX((係数_バス貨物_ガソリン,係数_バス貨物_CNG,係数_バス貨物_軽油,係数_バス貨物_メタノール,係数_バス貨物_LPG),MATCH(AY58,【参考】排出係数!$AI$4:$AI$671,1),1,BE58):INDEX((係数_バス貨物_ガソリン,係数_バス貨物_CNG,係数_バス貨物_軽油,係数_バス貨物_メタノール,係数_バス貨物_LPG),MATCH(AY58+1,【参考】排出係数!$AI$4:$AI$671,1)-1,5,BE58),2,FALSE),IF(OR(AW58=1,AW58=2),VLOOKUP(AU58,INDEX((係数_乗用_ガソリン,係数_乗用_CNG,係数_乗用_軽油,係数_乗用_メタノール,係数_乗用_LPG),1,1,BE58):INDEX((係数_乗用_ガソリン,係数_乗用_CNG,係数_乗用_軽油,係数_乗用_メタノール,係数_乗用_LPG),125,5,BE58),2,FALSE))))))</f>
        <v/>
      </c>
      <c r="BB58" s="468" t="str">
        <f>IF(T58="","",IF(OR(AU58="",AU58="-"),"－",IF(OR(AZ58=8,AZ58=9),"",IF(OR(AW58=3,AW58=4,AW58=5,AW58=6),VLOOKUP(AU58,INDEX((係数_バス貨物_ガソリン,係数_バス貨物_CNG,係数_バス貨物_軽油,係数_バス貨物_メタノール,係数_バス貨物_LPG),MATCH(AY58,【参考】排出係数!$AI$4:$AI$671,1),1,BE58):INDEX((係数_バス貨物_ガソリン,係数_バス貨物_CNG,係数_バス貨物_軽油,係数_バス貨物_メタノール,係数_バス貨物_LPG),MATCH(AY58+1,【参考】排出係数!$AI$4:$AI$671,1)-1,5,BE58),3,FALSE),IF(OR(AW58=1,AW58=2),VLOOKUP(AU58,INDEX((係数_乗用_ガソリン,係数_乗用_CNG,係数_乗用_軽油,係数_乗用_メタノール,係数_乗用_LPG),1,1,BE58):INDEX((係数_乗用_ガソリン,係数_乗用_CNG,係数_乗用_軽油,係数_乗用_メタノール,係数_乗用_LPG),125,5,BE58),3,FALSE))))))</f>
        <v/>
      </c>
      <c r="BC58" s="467" t="str">
        <f t="shared" ref="BC58:BC121" si="36">IF((AS58="")+(AC58=""),"",IF(燃料区分1=4,VLOOKUP(BB58,排ガス低減レベル,2,FALSE),VLOOKUP(AC58,排ガス低減レベル,2,FALSE)))</f>
        <v/>
      </c>
      <c r="BD58" s="567" t="str">
        <f t="shared" ref="BD58:BD121" si="37">IF(AT58="","",IF(AW58=3,B58&amp;"-"&amp;SUM(AW58*100,AX58*10,AY58)&amp;"A",IF(OR(AW58=2,AW58=4,AW58=6),B58&amp;"-"&amp;AY58*10&amp;"A",IF(AW58=1,B58&amp;"-"&amp;AW58&amp;"A",IF(AW58=5,B58&amp;"-"&amp;SUM(AW58*100,AV58*10,AY58)&amp;"A","")))))</f>
        <v/>
      </c>
      <c r="BE58" s="467" t="str">
        <f t="shared" ref="BE58:BE121" si="38">IF(OR(AZ58=1,AZ58=2,AZ58=11),1,IF(AZ58=6,2,IF(OR(AZ58=4,AZ58=5,AZ58=10),3,IF(AZ58=7,4,IF(AZ58=3,5, IF(OR(AZ58=8,AZ58=9),6,""))))))</f>
        <v/>
      </c>
      <c r="BF58" s="469" t="str">
        <f t="shared" ref="BF58:BF121" ca="1" si="39">(IF(OR(AZ58=4,AZ58=5),OFFSET($CH$1,MATCH($AF58,$CG$2:$CG$4,0),0)&amp;BK58,""))</f>
        <v/>
      </c>
      <c r="BG58" s="469" t="str">
        <f t="shared" ref="BG58:BG121" ca="1" si="40">(IF(OR(AZ58=4,AZ58=5),OFFSET($CJ$1,MATCH($AG58,$CI$2:$CI$5,0),0)&amp;BK58,""))</f>
        <v/>
      </c>
      <c r="BH58" s="467" t="str">
        <f t="shared" ref="BH58:BH121" si="41">IF(OR(AZ58=4,AZ58=5),IF(OR(LEFT(BF58,1)="1",LEFT(BG58,1)="2",LEFT(BG58,1)="3"),1,2)&amp;BK58,"")</f>
        <v/>
      </c>
      <c r="BI58" s="467" t="str">
        <f t="shared" ref="BI58:BI121" ca="1" si="42">IF(LEFT(BF58)="1",1,IF(LEFT(BG58,1)="2",2,IF(LEFT(BG58,1)="3",3,"")))</f>
        <v/>
      </c>
      <c r="BJ58" s="469" t="str">
        <f t="shared" ref="BJ58:BJ121" si="43">IF(AT58="","",B58&amp;"-"&amp;AZ58)</f>
        <v/>
      </c>
      <c r="BK58" s="470" t="str">
        <f t="shared" si="22"/>
        <v/>
      </c>
      <c r="BL58" s="775" t="str">
        <f t="shared" ref="BL58:BL121" si="44">IF(AND(OR($T58="新規",$T58="継続"),ISBLANK($AD58)),1,"")</f>
        <v/>
      </c>
      <c r="BM58" s="775" t="str">
        <f t="shared" ref="BM58:BM121" si="45">IF(AND(OR($T58="新規",$T58="継続"),ISBLANK($AE58)),1,"")</f>
        <v/>
      </c>
      <c r="BO58" s="472"/>
      <c r="BT58" s="16"/>
      <c r="CO58" s="16"/>
      <c r="CP58" s="16"/>
    </row>
    <row r="59" spans="1:94" s="471" customFormat="1">
      <c r="A59" s="473">
        <v>3</v>
      </c>
      <c r="B59" s="132"/>
      <c r="C59" s="332"/>
      <c r="D59" s="333"/>
      <c r="E59" s="333"/>
      <c r="F59" s="334"/>
      <c r="G59" s="337"/>
      <c r="H59" s="131"/>
      <c r="I59" s="337"/>
      <c r="J59" s="131"/>
      <c r="K59" s="458" t="str">
        <f t="shared" si="0"/>
        <v/>
      </c>
      <c r="L59" s="458">
        <f t="shared" si="23"/>
        <v>0</v>
      </c>
      <c r="M59" s="458">
        <f t="shared" si="24"/>
        <v>0</v>
      </c>
      <c r="N59" s="459" t="str">
        <f t="shared" si="1"/>
        <v/>
      </c>
      <c r="O59" s="459" t="str">
        <f t="shared" si="2"/>
        <v/>
      </c>
      <c r="P59" s="459" t="str">
        <f t="shared" si="3"/>
        <v/>
      </c>
      <c r="Q59" s="459" t="str">
        <f t="shared" si="4"/>
        <v/>
      </c>
      <c r="R59" s="459" t="str">
        <f t="shared" si="5"/>
        <v/>
      </c>
      <c r="S59" s="459" t="str">
        <f t="shared" si="6"/>
        <v/>
      </c>
      <c r="T59" s="566" t="str">
        <f t="shared" si="25"/>
        <v/>
      </c>
      <c r="U59" s="702"/>
      <c r="V59" s="132"/>
      <c r="W59" s="133"/>
      <c r="X59" s="134"/>
      <c r="Y59" s="135"/>
      <c r="Z59" s="137"/>
      <c r="AA59" s="136"/>
      <c r="AB59" s="566" t="str">
        <f t="shared" si="26"/>
        <v/>
      </c>
      <c r="AC59" s="568" t="str">
        <f t="shared" si="27"/>
        <v/>
      </c>
      <c r="AD59" s="137"/>
      <c r="AE59" s="137"/>
      <c r="AF59" s="138"/>
      <c r="AG59" s="138"/>
      <c r="AH59" s="592" t="str">
        <f t="shared" si="7"/>
        <v/>
      </c>
      <c r="AI59" s="592" t="str">
        <f t="shared" si="8"/>
        <v/>
      </c>
      <c r="AJ59" s="592" t="str">
        <f t="shared" si="9"/>
        <v/>
      </c>
      <c r="AK59" s="460" t="str">
        <f>IF(AU59="","",IF(OR(AZ59=8,AZ59=9),0,IF(OR(AW59=3,AW59=4,AW59=5,AW59=6),IF(LEFT(BF59,1)="1",INDEX(係数_NOX・PM低減,MATCH(AY59,【参考】排出係数!$AI$801:$AI$804,1),1),VLOOKUP(AU59,INDEX((係数_バス貨物_ガソリン,係数_バス貨物_CNG,係数_バス貨物_軽油,係数_バス貨物_メタノール,係数_バス貨物_LPG),MATCH(AY59,【参考】排出係数!$AI$4:$AI$671,1),1,BE59):INDEX((係数_バス貨物_ガソリン,係数_バス貨物_CNG,係数_バス貨物_軽油,係数_バス貨物_メタノール,係数_バス貨物_LPG),MATCH(AY59+1,【参考】排出係数!$AI$4:$AI$671,1)-1,5,BE59),4,FALSE)),IF(AND(BE59=3,LEFT(BF59,1)="1"),0.48,VLOOKUP(AU59,INDEX((係数_乗用_ガソリン,係数_乗用_CNG,係数_乗用_軽油,係数_乗用_メタノール,係数_乗用_LPG),1,1,BE59):INDEX((係数_乗用_ガソリン,係数_乗用_CNG,係数_乗用_軽油,係数_乗用_メタノール,係数_乗用_LPG),125,5,BE59),4,FALSE)))))</f>
        <v/>
      </c>
      <c r="AL59" s="461" t="str">
        <f t="shared" ref="AL59" si="46">IF(AU59="","",IF(Z59&lt;=3.5*1000,AD59*AK59/1000,IF(Z59&gt;3.5*1000,AD59*Z59*AK59/1000/1000)))</f>
        <v/>
      </c>
      <c r="AM59" s="460" t="str">
        <f>IF(AU59="","",IF(OR(AZ59=8,AZ59=9),0,IF(OR(AW59=3,AW59=4,AW59=5,AW59=6),IF(LEFT(BH59,1)="1",INDEX(係数_PM低減,MATCH(AY59,【参考】排出係数!$AI$801:$AI$804,1),MATCH(BI59,【参考】排出係数!$AL$798:$AO$798,1)),VLOOKUP(AU59,INDEX((係数_バス貨物_ガソリン,係数_バス貨物_CNG,係数_バス貨物_軽油,係数_バス貨物_メタノール,係数_バス貨物_LPG),MATCH(AY59,【参考】排出係数!$AI$4:$AI$671,1),1,BE59):INDEX((係数_バス貨物_ガソリン,係数_バス貨物_CNG,係数_バス貨物_軽油,係数_バス貨物_メタノール,係数_バス貨物_LPG),MATCH(AY59+1,【参考】排出係数!$AI$4:$AI$671,1)-1,5,BE59),5,FALSE)),IF(AND(BE59=3,LEFT(BF59,1)="1"),0.055,VLOOKUP(AU59,INDEX((係数_乗用_ガソリン,係数_乗用_CNG,係数_乗用_軽油,係数_乗用_メタノール,係数_乗用_LPG),1,1,BE59):INDEX((係数_乗用_ガソリン,係数_乗用_CNG,係数_乗用_軽油,係数_乗用_メタノール,係数_乗用_LPG),125,5,BE59),5,FALSE)))))</f>
        <v/>
      </c>
      <c r="AN59" s="461" t="str">
        <f t="shared" ref="AN59" si="47">IF(AU59="","",IF(Z59&lt;=3.5*1000,AD59*AM59/1000,IF(Z59&gt;3.5*1000,AD59*Z59*AM59/1000/1000)))</f>
        <v/>
      </c>
      <c r="AO59" s="462" t="str">
        <f t="shared" ref="AO59" si="48">IF(AU59="","",IF(Z59&lt;500,"車両重量",IF(OR(AZ59=8,AZ59=9),0,IF(OR(AZ59=1,AZ59=2,AZ59=11),2.32,IF(OR(AZ59=4,AZ59=5,AZ59=11),2.58,IF(AZ59=3,3,IF(AZ59=6,2.23,IF(AZ59=7,1.37,0))))))))</f>
        <v/>
      </c>
      <c r="AP59" s="463" t="str">
        <f t="shared" ref="AP59" si="49">IF(AU59="","",AE59*AO59/1000)</f>
        <v/>
      </c>
      <c r="AQ59" s="464"/>
      <c r="AR59" s="619"/>
      <c r="AS59" s="465" t="str">
        <f t="shared" si="28"/>
        <v/>
      </c>
      <c r="AT59" s="465" t="str">
        <f t="shared" si="29"/>
        <v/>
      </c>
      <c r="AU59" s="466" t="str">
        <f t="shared" si="30"/>
        <v/>
      </c>
      <c r="AV59" s="467" t="str">
        <f t="shared" si="31"/>
        <v/>
      </c>
      <c r="AW59" s="467" t="str">
        <f t="shared" si="32"/>
        <v/>
      </c>
      <c r="AX59" s="467" t="str">
        <f t="shared" si="33"/>
        <v/>
      </c>
      <c r="AY59" s="467" t="str">
        <f t="shared" si="34"/>
        <v/>
      </c>
      <c r="AZ59" s="467" t="str">
        <f t="shared" si="35"/>
        <v/>
      </c>
      <c r="BA59" s="468" t="str">
        <f>IF(AS59="","",IF(OR(AU59="",AU59="-"),"－",IF(OR(AZ59=8,AZ59=9),"",IF(OR(AW59=3,AW59=4,AW59=5,AW59=6),VLOOKUP(AU59,INDEX((係数_バス貨物_ガソリン,係数_バス貨物_CNG,係数_バス貨物_軽油,係数_バス貨物_メタノール,係数_バス貨物_LPG),MATCH(AY59,【参考】排出係数!$AI$4:$AI$671,1),1,BE59):INDEX((係数_バス貨物_ガソリン,係数_バス貨物_CNG,係数_バス貨物_軽油,係数_バス貨物_メタノール,係数_バス貨物_LPG),MATCH(AY59+1,【参考】排出係数!$AI$4:$AI$671,1)-1,5,BE59),2,FALSE),IF(OR(AW59=1,AW59=2),VLOOKUP(AU59,INDEX((係数_乗用_ガソリン,係数_乗用_CNG,係数_乗用_軽油,係数_乗用_メタノール,係数_乗用_LPG),1,1,BE59):INDEX((係数_乗用_ガソリン,係数_乗用_CNG,係数_乗用_軽油,係数_乗用_メタノール,係数_乗用_LPG),125,5,BE59),2,FALSE))))))</f>
        <v/>
      </c>
      <c r="BB59" s="468" t="str">
        <f>IF(T59="","",IF(OR(AU59="",AU59="-"),"－",IF(OR(AZ59=8,AZ59=9),"",IF(OR(AW59=3,AW59=4,AW59=5,AW59=6),VLOOKUP(AU59,INDEX((係数_バス貨物_ガソリン,係数_バス貨物_CNG,係数_バス貨物_軽油,係数_バス貨物_メタノール,係数_バス貨物_LPG),MATCH(AY59,【参考】排出係数!$AI$4:$AI$671,1),1,BE59):INDEX((係数_バス貨物_ガソリン,係数_バス貨物_CNG,係数_バス貨物_軽油,係数_バス貨物_メタノール,係数_バス貨物_LPG),MATCH(AY59+1,【参考】排出係数!$AI$4:$AI$671,1)-1,5,BE59),3,FALSE),IF(OR(AW59=1,AW59=2),VLOOKUP(AU59,INDEX((係数_乗用_ガソリン,係数_乗用_CNG,係数_乗用_軽油,係数_乗用_メタノール,係数_乗用_LPG),1,1,BE59):INDEX((係数_乗用_ガソリン,係数_乗用_CNG,係数_乗用_軽油,係数_乗用_メタノール,係数_乗用_LPG),125,5,BE59),3,FALSE))))))</f>
        <v/>
      </c>
      <c r="BC59" s="467" t="str">
        <f t="shared" si="36"/>
        <v/>
      </c>
      <c r="BD59" s="567" t="str">
        <f t="shared" si="37"/>
        <v/>
      </c>
      <c r="BE59" s="467" t="str">
        <f t="shared" si="38"/>
        <v/>
      </c>
      <c r="BF59" s="469" t="str">
        <f t="shared" ca="1" si="39"/>
        <v/>
      </c>
      <c r="BG59" s="469" t="str">
        <f t="shared" ca="1" si="40"/>
        <v/>
      </c>
      <c r="BH59" s="467" t="str">
        <f t="shared" si="41"/>
        <v/>
      </c>
      <c r="BI59" s="467" t="str">
        <f t="shared" ca="1" si="42"/>
        <v/>
      </c>
      <c r="BJ59" s="469" t="str">
        <f t="shared" si="43"/>
        <v/>
      </c>
      <c r="BK59" s="470" t="str">
        <f t="shared" si="22"/>
        <v/>
      </c>
      <c r="BL59" s="775" t="str">
        <f t="shared" si="44"/>
        <v/>
      </c>
      <c r="BM59" s="775" t="str">
        <f t="shared" si="45"/>
        <v/>
      </c>
      <c r="BO59" s="472"/>
      <c r="BT59" s="16"/>
      <c r="CO59" s="16"/>
      <c r="CP59" s="16"/>
    </row>
    <row r="60" spans="1:94" s="471" customFormat="1">
      <c r="A60" s="473">
        <v>4</v>
      </c>
      <c r="B60" s="132"/>
      <c r="C60" s="332"/>
      <c r="D60" s="333"/>
      <c r="E60" s="333"/>
      <c r="F60" s="334"/>
      <c r="G60" s="337"/>
      <c r="H60" s="131"/>
      <c r="I60" s="337"/>
      <c r="J60" s="131"/>
      <c r="K60" s="458" t="str">
        <f t="shared" si="0"/>
        <v/>
      </c>
      <c r="L60" s="458">
        <f t="shared" si="23"/>
        <v>0</v>
      </c>
      <c r="M60" s="458">
        <f t="shared" si="24"/>
        <v>0</v>
      </c>
      <c r="N60" s="459" t="str">
        <f t="shared" si="1"/>
        <v/>
      </c>
      <c r="O60" s="459" t="str">
        <f t="shared" si="2"/>
        <v/>
      </c>
      <c r="P60" s="459" t="str">
        <f t="shared" si="3"/>
        <v/>
      </c>
      <c r="Q60" s="459" t="str">
        <f t="shared" si="4"/>
        <v/>
      </c>
      <c r="R60" s="459" t="str">
        <f t="shared" si="5"/>
        <v/>
      </c>
      <c r="S60" s="459" t="str">
        <f t="shared" si="6"/>
        <v/>
      </c>
      <c r="T60" s="566" t="str">
        <f t="shared" si="25"/>
        <v/>
      </c>
      <c r="U60" s="702"/>
      <c r="V60" s="132"/>
      <c r="W60" s="133"/>
      <c r="X60" s="134"/>
      <c r="Y60" s="135"/>
      <c r="Z60" s="137"/>
      <c r="AA60" s="136"/>
      <c r="AB60" s="566" t="str">
        <f t="shared" si="26"/>
        <v/>
      </c>
      <c r="AC60" s="568" t="str">
        <f t="shared" si="27"/>
        <v/>
      </c>
      <c r="AD60" s="137"/>
      <c r="AE60" s="137"/>
      <c r="AF60" s="138"/>
      <c r="AG60" s="138"/>
      <c r="AH60" s="592" t="str">
        <f t="shared" si="7"/>
        <v/>
      </c>
      <c r="AI60" s="592" t="str">
        <f t="shared" si="8"/>
        <v/>
      </c>
      <c r="AJ60" s="592" t="str">
        <f t="shared" si="9"/>
        <v/>
      </c>
      <c r="AK60" s="460" t="str">
        <f>IF(AU60="","",IF(OR(AZ60=8,AZ60=9),0,IF(OR(AW60=3,AW60=4,AW60=5,AW60=6),IF(LEFT(BF60,1)="1",INDEX(係数_NOX・PM低減,MATCH(AY60,【参考】排出係数!$AI$801:$AI$804,1),1),VLOOKUP(AU60,INDEX((係数_バス貨物_ガソリン,係数_バス貨物_CNG,係数_バス貨物_軽油,係数_バス貨物_メタノール,係数_バス貨物_LPG),MATCH(AY60,【参考】排出係数!$AI$4:$AI$671,1),1,BE60):INDEX((係数_バス貨物_ガソリン,係数_バス貨物_CNG,係数_バス貨物_軽油,係数_バス貨物_メタノール,係数_バス貨物_LPG),MATCH(AY60+1,【参考】排出係数!$AI$4:$AI$671,1)-1,5,BE60),4,FALSE)),IF(AND(BE60=3,LEFT(BF60,1)="1"),0.48,VLOOKUP(AU60,INDEX((係数_乗用_ガソリン,係数_乗用_CNG,係数_乗用_軽油,係数_乗用_メタノール,係数_乗用_LPG),1,1,BE60):INDEX((係数_乗用_ガソリン,係数_乗用_CNG,係数_乗用_軽油,係数_乗用_メタノール,係数_乗用_LPG),125,5,BE60),4,FALSE)))))</f>
        <v/>
      </c>
      <c r="AL60" s="461" t="str">
        <f t="shared" ref="AL60:AL123" si="50">IF(AU60="","",IF(Z60&lt;=3.5*1000,AD60*AK60/1000,IF(Z60&gt;3.5*1000,AD60*Z60*AK60/1000/1000)))</f>
        <v/>
      </c>
      <c r="AM60" s="460" t="str">
        <f>IF(AU60="","",IF(OR(AZ60=8,AZ60=9),0,IF(OR(AW60=3,AW60=4,AW60=5,AW60=6),IF(LEFT(BH60,1)="1",INDEX(係数_PM低減,MATCH(AY60,【参考】排出係数!$AI$801:$AI$804,1),MATCH(BI60,【参考】排出係数!$AL$798:$AO$798,1)),VLOOKUP(AU60,INDEX((係数_バス貨物_ガソリン,係数_バス貨物_CNG,係数_バス貨物_軽油,係数_バス貨物_メタノール,係数_バス貨物_LPG),MATCH(AY60,【参考】排出係数!$AI$4:$AI$671,1),1,BE60):INDEX((係数_バス貨物_ガソリン,係数_バス貨物_CNG,係数_バス貨物_軽油,係数_バス貨物_メタノール,係数_バス貨物_LPG),MATCH(AY60+1,【参考】排出係数!$AI$4:$AI$671,1)-1,5,BE60),5,FALSE)),IF(AND(BE60=3,LEFT(BF60,1)="1"),0.055,VLOOKUP(AU60,INDEX((係数_乗用_ガソリン,係数_乗用_CNG,係数_乗用_軽油,係数_乗用_メタノール,係数_乗用_LPG),1,1,BE60):INDEX((係数_乗用_ガソリン,係数_乗用_CNG,係数_乗用_軽油,係数_乗用_メタノール,係数_乗用_LPG),125,5,BE60),5,FALSE)))))</f>
        <v/>
      </c>
      <c r="AN60" s="461" t="str">
        <f t="shared" ref="AN60:AN123" si="51">IF(AU60="","",IF(Z60&lt;=3.5*1000,AD60*AM60/1000,IF(Z60&gt;3.5*1000,AD60*Z60*AM60/1000/1000)))</f>
        <v/>
      </c>
      <c r="AO60" s="462" t="str">
        <f t="shared" ref="AO60:AO123" si="52">IF(AU60="","",IF(Z60&lt;500,"車両重量",IF(OR(AZ60=8,AZ60=9),0,IF(OR(AZ60=1,AZ60=2,AZ60=11),2.32,IF(OR(AZ60=4,AZ60=5,AZ60=11),2.58,IF(AZ60=3,3,IF(AZ60=6,2.23,IF(AZ60=7,1.37,0))))))))</f>
        <v/>
      </c>
      <c r="AP60" s="463" t="str">
        <f t="shared" ref="AP60:AP123" si="53">IF(AU60="","",AE60*AO60/1000)</f>
        <v/>
      </c>
      <c r="AQ60" s="464"/>
      <c r="AR60" s="619"/>
      <c r="AS60" s="465" t="str">
        <f t="shared" si="28"/>
        <v/>
      </c>
      <c r="AT60" s="465" t="str">
        <f t="shared" si="29"/>
        <v/>
      </c>
      <c r="AU60" s="466" t="str">
        <f t="shared" si="30"/>
        <v/>
      </c>
      <c r="AV60" s="467" t="str">
        <f t="shared" si="31"/>
        <v/>
      </c>
      <c r="AW60" s="467" t="str">
        <f t="shared" si="32"/>
        <v/>
      </c>
      <c r="AX60" s="467" t="str">
        <f t="shared" si="33"/>
        <v/>
      </c>
      <c r="AY60" s="467" t="str">
        <f t="shared" si="34"/>
        <v/>
      </c>
      <c r="AZ60" s="467" t="str">
        <f t="shared" si="35"/>
        <v/>
      </c>
      <c r="BA60" s="468" t="str">
        <f>IF(AS60="","",IF(OR(AU60="",AU60="-"),"－",IF(OR(AZ60=8,AZ60=9),"",IF(OR(AW60=3,AW60=4,AW60=5,AW60=6),VLOOKUP(AU60,INDEX((係数_バス貨物_ガソリン,係数_バス貨物_CNG,係数_バス貨物_軽油,係数_バス貨物_メタノール,係数_バス貨物_LPG),MATCH(AY60,【参考】排出係数!$AI$4:$AI$671,1),1,BE60):INDEX((係数_バス貨物_ガソリン,係数_バス貨物_CNG,係数_バス貨物_軽油,係数_バス貨物_メタノール,係数_バス貨物_LPG),MATCH(AY60+1,【参考】排出係数!$AI$4:$AI$671,1)-1,5,BE60),2,FALSE),IF(OR(AW60=1,AW60=2),VLOOKUP(AU60,INDEX((係数_乗用_ガソリン,係数_乗用_CNG,係数_乗用_軽油,係数_乗用_メタノール,係数_乗用_LPG),1,1,BE60):INDEX((係数_乗用_ガソリン,係数_乗用_CNG,係数_乗用_軽油,係数_乗用_メタノール,係数_乗用_LPG),125,5,BE60),2,FALSE))))))</f>
        <v/>
      </c>
      <c r="BB60" s="468" t="str">
        <f>IF(T60="","",IF(OR(AU60="",AU60="-"),"－",IF(OR(AZ60=8,AZ60=9),"",IF(OR(AW60=3,AW60=4,AW60=5,AW60=6),VLOOKUP(AU60,INDEX((係数_バス貨物_ガソリン,係数_バス貨物_CNG,係数_バス貨物_軽油,係数_バス貨物_メタノール,係数_バス貨物_LPG),MATCH(AY60,【参考】排出係数!$AI$4:$AI$671,1),1,BE60):INDEX((係数_バス貨物_ガソリン,係数_バス貨物_CNG,係数_バス貨物_軽油,係数_バス貨物_メタノール,係数_バス貨物_LPG),MATCH(AY60+1,【参考】排出係数!$AI$4:$AI$671,1)-1,5,BE60),3,FALSE),IF(OR(AW60=1,AW60=2),VLOOKUP(AU60,INDEX((係数_乗用_ガソリン,係数_乗用_CNG,係数_乗用_軽油,係数_乗用_メタノール,係数_乗用_LPG),1,1,BE60):INDEX((係数_乗用_ガソリン,係数_乗用_CNG,係数_乗用_軽油,係数_乗用_メタノール,係数_乗用_LPG),125,5,BE60),3,FALSE))))))</f>
        <v/>
      </c>
      <c r="BC60" s="467" t="str">
        <f t="shared" si="36"/>
        <v/>
      </c>
      <c r="BD60" s="567" t="str">
        <f t="shared" si="37"/>
        <v/>
      </c>
      <c r="BE60" s="467" t="str">
        <f t="shared" si="38"/>
        <v/>
      </c>
      <c r="BF60" s="469" t="str">
        <f t="shared" ca="1" si="39"/>
        <v/>
      </c>
      <c r="BG60" s="469" t="str">
        <f t="shared" ca="1" si="40"/>
        <v/>
      </c>
      <c r="BH60" s="467" t="str">
        <f t="shared" si="41"/>
        <v/>
      </c>
      <c r="BI60" s="467" t="str">
        <f t="shared" ca="1" si="42"/>
        <v/>
      </c>
      <c r="BJ60" s="469" t="str">
        <f t="shared" si="43"/>
        <v/>
      </c>
      <c r="BK60" s="470" t="str">
        <f t="shared" si="22"/>
        <v/>
      </c>
      <c r="BL60" s="775" t="str">
        <f t="shared" si="44"/>
        <v/>
      </c>
      <c r="BM60" s="775" t="str">
        <f t="shared" si="45"/>
        <v/>
      </c>
      <c r="BO60" s="472"/>
      <c r="BT60" s="16"/>
      <c r="CO60" s="16"/>
      <c r="CP60" s="16"/>
    </row>
    <row r="61" spans="1:94" s="471" customFormat="1">
      <c r="A61" s="473">
        <v>5</v>
      </c>
      <c r="B61" s="132"/>
      <c r="C61" s="332"/>
      <c r="D61" s="333"/>
      <c r="E61" s="333"/>
      <c r="F61" s="334"/>
      <c r="G61" s="337"/>
      <c r="H61" s="131"/>
      <c r="I61" s="337"/>
      <c r="J61" s="131"/>
      <c r="K61" s="458" t="str">
        <f t="shared" si="0"/>
        <v/>
      </c>
      <c r="L61" s="458">
        <f t="shared" si="23"/>
        <v>0</v>
      </c>
      <c r="M61" s="458">
        <f t="shared" si="24"/>
        <v>0</v>
      </c>
      <c r="N61" s="459" t="str">
        <f t="shared" si="1"/>
        <v/>
      </c>
      <c r="O61" s="459" t="str">
        <f t="shared" si="2"/>
        <v/>
      </c>
      <c r="P61" s="459" t="str">
        <f t="shared" si="3"/>
        <v/>
      </c>
      <c r="Q61" s="459" t="str">
        <f t="shared" si="4"/>
        <v/>
      </c>
      <c r="R61" s="459" t="str">
        <f t="shared" si="5"/>
        <v/>
      </c>
      <c r="S61" s="459" t="str">
        <f t="shared" si="6"/>
        <v/>
      </c>
      <c r="T61" s="566" t="str">
        <f t="shared" si="25"/>
        <v/>
      </c>
      <c r="U61" s="702"/>
      <c r="V61" s="132"/>
      <c r="W61" s="133"/>
      <c r="X61" s="134"/>
      <c r="Y61" s="135"/>
      <c r="Z61" s="137"/>
      <c r="AA61" s="136"/>
      <c r="AB61" s="566" t="str">
        <f t="shared" si="26"/>
        <v/>
      </c>
      <c r="AC61" s="568" t="str">
        <f t="shared" si="27"/>
        <v/>
      </c>
      <c r="AD61" s="137"/>
      <c r="AE61" s="137"/>
      <c r="AF61" s="138"/>
      <c r="AG61" s="138"/>
      <c r="AH61" s="592" t="str">
        <f t="shared" si="7"/>
        <v/>
      </c>
      <c r="AI61" s="592" t="str">
        <f t="shared" si="8"/>
        <v/>
      </c>
      <c r="AJ61" s="592" t="str">
        <f t="shared" si="9"/>
        <v/>
      </c>
      <c r="AK61" s="460" t="str">
        <f>IF(AU61="","",IF(OR(AZ61=8,AZ61=9),0,IF(OR(AW61=3,AW61=4,AW61=5,AW61=6),IF(LEFT(BF61,1)="1",INDEX(係数_NOX・PM低減,MATCH(AY61,【参考】排出係数!$AI$801:$AI$804,1),1),VLOOKUP(AU61,INDEX((係数_バス貨物_ガソリン,係数_バス貨物_CNG,係数_バス貨物_軽油,係数_バス貨物_メタノール,係数_バス貨物_LPG),MATCH(AY61,【参考】排出係数!$AI$4:$AI$671,1),1,BE61):INDEX((係数_バス貨物_ガソリン,係数_バス貨物_CNG,係数_バス貨物_軽油,係数_バス貨物_メタノール,係数_バス貨物_LPG),MATCH(AY61+1,【参考】排出係数!$AI$4:$AI$671,1)-1,5,BE61),4,FALSE)),IF(AND(BE61=3,LEFT(BF61,1)="1"),0.48,VLOOKUP(AU61,INDEX((係数_乗用_ガソリン,係数_乗用_CNG,係数_乗用_軽油,係数_乗用_メタノール,係数_乗用_LPG),1,1,BE61):INDEX((係数_乗用_ガソリン,係数_乗用_CNG,係数_乗用_軽油,係数_乗用_メタノール,係数_乗用_LPG),125,5,BE61),4,FALSE)))))</f>
        <v/>
      </c>
      <c r="AL61" s="461" t="str">
        <f t="shared" si="50"/>
        <v/>
      </c>
      <c r="AM61" s="460" t="str">
        <f>IF(AU61="","",IF(OR(AZ61=8,AZ61=9),0,IF(OR(AW61=3,AW61=4,AW61=5,AW61=6),IF(LEFT(BH61,1)="1",INDEX(係数_PM低減,MATCH(AY61,【参考】排出係数!$AI$801:$AI$804,1),MATCH(BI61,【参考】排出係数!$AL$798:$AO$798,1)),VLOOKUP(AU61,INDEX((係数_バス貨物_ガソリン,係数_バス貨物_CNG,係数_バス貨物_軽油,係数_バス貨物_メタノール,係数_バス貨物_LPG),MATCH(AY61,【参考】排出係数!$AI$4:$AI$671,1),1,BE61):INDEX((係数_バス貨物_ガソリン,係数_バス貨物_CNG,係数_バス貨物_軽油,係数_バス貨物_メタノール,係数_バス貨物_LPG),MATCH(AY61+1,【参考】排出係数!$AI$4:$AI$671,1)-1,5,BE61),5,FALSE)),IF(AND(BE61=3,LEFT(BF61,1)="1"),0.055,VLOOKUP(AU61,INDEX((係数_乗用_ガソリン,係数_乗用_CNG,係数_乗用_軽油,係数_乗用_メタノール,係数_乗用_LPG),1,1,BE61):INDEX((係数_乗用_ガソリン,係数_乗用_CNG,係数_乗用_軽油,係数_乗用_メタノール,係数_乗用_LPG),125,5,BE61),5,FALSE)))))</f>
        <v/>
      </c>
      <c r="AN61" s="461" t="str">
        <f t="shared" si="51"/>
        <v/>
      </c>
      <c r="AO61" s="462" t="str">
        <f t="shared" si="52"/>
        <v/>
      </c>
      <c r="AP61" s="463" t="str">
        <f t="shared" si="53"/>
        <v/>
      </c>
      <c r="AQ61" s="464"/>
      <c r="AR61" s="619"/>
      <c r="AS61" s="465" t="str">
        <f t="shared" si="28"/>
        <v/>
      </c>
      <c r="AT61" s="465" t="str">
        <f t="shared" si="29"/>
        <v/>
      </c>
      <c r="AU61" s="466" t="str">
        <f t="shared" si="30"/>
        <v/>
      </c>
      <c r="AV61" s="467" t="str">
        <f t="shared" si="31"/>
        <v/>
      </c>
      <c r="AW61" s="467" t="str">
        <f t="shared" si="32"/>
        <v/>
      </c>
      <c r="AX61" s="467" t="str">
        <f t="shared" si="33"/>
        <v/>
      </c>
      <c r="AY61" s="467" t="str">
        <f t="shared" si="34"/>
        <v/>
      </c>
      <c r="AZ61" s="467" t="str">
        <f t="shared" si="35"/>
        <v/>
      </c>
      <c r="BA61" s="468" t="str">
        <f>IF(AS61="","",IF(OR(AU61="",AU61="-"),"－",IF(OR(AZ61=8,AZ61=9),"",IF(OR(AW61=3,AW61=4,AW61=5,AW61=6),VLOOKUP(AU61,INDEX((係数_バス貨物_ガソリン,係数_バス貨物_CNG,係数_バス貨物_軽油,係数_バス貨物_メタノール,係数_バス貨物_LPG),MATCH(AY61,【参考】排出係数!$AI$4:$AI$671,1),1,BE61):INDEX((係数_バス貨物_ガソリン,係数_バス貨物_CNG,係数_バス貨物_軽油,係数_バス貨物_メタノール,係数_バス貨物_LPG),MATCH(AY61+1,【参考】排出係数!$AI$4:$AI$671,1)-1,5,BE61),2,FALSE),IF(OR(AW61=1,AW61=2),VLOOKUP(AU61,INDEX((係数_乗用_ガソリン,係数_乗用_CNG,係数_乗用_軽油,係数_乗用_メタノール,係数_乗用_LPG),1,1,BE61):INDEX((係数_乗用_ガソリン,係数_乗用_CNG,係数_乗用_軽油,係数_乗用_メタノール,係数_乗用_LPG),125,5,BE61),2,FALSE))))))</f>
        <v/>
      </c>
      <c r="BB61" s="468" t="str">
        <f>IF(T61="","",IF(OR(AU61="",AU61="-"),"－",IF(OR(AZ61=8,AZ61=9),"",IF(OR(AW61=3,AW61=4,AW61=5,AW61=6),VLOOKUP(AU61,INDEX((係数_バス貨物_ガソリン,係数_バス貨物_CNG,係数_バス貨物_軽油,係数_バス貨物_メタノール,係数_バス貨物_LPG),MATCH(AY61,【参考】排出係数!$AI$4:$AI$671,1),1,BE61):INDEX((係数_バス貨物_ガソリン,係数_バス貨物_CNG,係数_バス貨物_軽油,係数_バス貨物_メタノール,係数_バス貨物_LPG),MATCH(AY61+1,【参考】排出係数!$AI$4:$AI$671,1)-1,5,BE61),3,FALSE),IF(OR(AW61=1,AW61=2),VLOOKUP(AU61,INDEX((係数_乗用_ガソリン,係数_乗用_CNG,係数_乗用_軽油,係数_乗用_メタノール,係数_乗用_LPG),1,1,BE61):INDEX((係数_乗用_ガソリン,係数_乗用_CNG,係数_乗用_軽油,係数_乗用_メタノール,係数_乗用_LPG),125,5,BE61),3,FALSE))))))</f>
        <v/>
      </c>
      <c r="BC61" s="467" t="str">
        <f t="shared" si="36"/>
        <v/>
      </c>
      <c r="BD61" s="567" t="str">
        <f t="shared" si="37"/>
        <v/>
      </c>
      <c r="BE61" s="467" t="str">
        <f t="shared" si="38"/>
        <v/>
      </c>
      <c r="BF61" s="469" t="str">
        <f t="shared" ca="1" si="39"/>
        <v/>
      </c>
      <c r="BG61" s="469" t="str">
        <f t="shared" ca="1" si="40"/>
        <v/>
      </c>
      <c r="BH61" s="467" t="str">
        <f t="shared" si="41"/>
        <v/>
      </c>
      <c r="BI61" s="467" t="str">
        <f t="shared" ca="1" si="42"/>
        <v/>
      </c>
      <c r="BJ61" s="469" t="str">
        <f t="shared" si="43"/>
        <v/>
      </c>
      <c r="BK61" s="470" t="str">
        <f t="shared" si="22"/>
        <v/>
      </c>
      <c r="BL61" s="775" t="str">
        <f t="shared" si="44"/>
        <v/>
      </c>
      <c r="BM61" s="775" t="str">
        <f t="shared" si="45"/>
        <v/>
      </c>
      <c r="BO61" s="472"/>
      <c r="BT61" s="16"/>
      <c r="CO61" s="16"/>
      <c r="CP61" s="16"/>
    </row>
    <row r="62" spans="1:94" s="471" customFormat="1">
      <c r="A62" s="473">
        <v>6</v>
      </c>
      <c r="B62" s="132"/>
      <c r="C62" s="332"/>
      <c r="D62" s="333"/>
      <c r="E62" s="333"/>
      <c r="F62" s="334"/>
      <c r="G62" s="337"/>
      <c r="H62" s="131"/>
      <c r="I62" s="337"/>
      <c r="J62" s="131"/>
      <c r="K62" s="458" t="str">
        <f t="shared" si="0"/>
        <v/>
      </c>
      <c r="L62" s="458">
        <f t="shared" si="23"/>
        <v>0</v>
      </c>
      <c r="M62" s="458">
        <f t="shared" si="24"/>
        <v>0</v>
      </c>
      <c r="N62" s="459" t="str">
        <f t="shared" si="1"/>
        <v/>
      </c>
      <c r="O62" s="459" t="str">
        <f t="shared" si="2"/>
        <v/>
      </c>
      <c r="P62" s="459" t="str">
        <f t="shared" si="3"/>
        <v/>
      </c>
      <c r="Q62" s="459" t="str">
        <f t="shared" si="4"/>
        <v/>
      </c>
      <c r="R62" s="459" t="str">
        <f t="shared" si="5"/>
        <v/>
      </c>
      <c r="S62" s="459" t="str">
        <f t="shared" si="6"/>
        <v/>
      </c>
      <c r="T62" s="566" t="str">
        <f t="shared" si="25"/>
        <v/>
      </c>
      <c r="U62" s="702"/>
      <c r="V62" s="132"/>
      <c r="W62" s="133"/>
      <c r="X62" s="134"/>
      <c r="Y62" s="135"/>
      <c r="Z62" s="137"/>
      <c r="AA62" s="136"/>
      <c r="AB62" s="566" t="str">
        <f t="shared" si="26"/>
        <v/>
      </c>
      <c r="AC62" s="568" t="str">
        <f t="shared" si="27"/>
        <v/>
      </c>
      <c r="AD62" s="137"/>
      <c r="AE62" s="137"/>
      <c r="AF62" s="138"/>
      <c r="AG62" s="138"/>
      <c r="AH62" s="592" t="str">
        <f t="shared" si="7"/>
        <v/>
      </c>
      <c r="AI62" s="592" t="str">
        <f t="shared" si="8"/>
        <v/>
      </c>
      <c r="AJ62" s="592" t="str">
        <f t="shared" si="9"/>
        <v/>
      </c>
      <c r="AK62" s="460" t="str">
        <f>IF(AU62="","",IF(OR(AZ62=8,AZ62=9),0,IF(OR(AW62=3,AW62=4,AW62=5,AW62=6),IF(LEFT(BF62,1)="1",INDEX(係数_NOX・PM低減,MATCH(AY62,【参考】排出係数!$AI$801:$AI$804,1),1),VLOOKUP(AU62,INDEX((係数_バス貨物_ガソリン,係数_バス貨物_CNG,係数_バス貨物_軽油,係数_バス貨物_メタノール,係数_バス貨物_LPG),MATCH(AY62,【参考】排出係数!$AI$4:$AI$671,1),1,BE62):INDEX((係数_バス貨物_ガソリン,係数_バス貨物_CNG,係数_バス貨物_軽油,係数_バス貨物_メタノール,係数_バス貨物_LPG),MATCH(AY62+1,【参考】排出係数!$AI$4:$AI$671,1)-1,5,BE62),4,FALSE)),IF(AND(BE62=3,LEFT(BF62,1)="1"),0.48,VLOOKUP(AU62,INDEX((係数_乗用_ガソリン,係数_乗用_CNG,係数_乗用_軽油,係数_乗用_メタノール,係数_乗用_LPG),1,1,BE62):INDEX((係数_乗用_ガソリン,係数_乗用_CNG,係数_乗用_軽油,係数_乗用_メタノール,係数_乗用_LPG),125,5,BE62),4,FALSE)))))</f>
        <v/>
      </c>
      <c r="AL62" s="461" t="str">
        <f t="shared" si="50"/>
        <v/>
      </c>
      <c r="AM62" s="460" t="str">
        <f>IF(AU62="","",IF(OR(AZ62=8,AZ62=9),0,IF(OR(AW62=3,AW62=4,AW62=5,AW62=6),IF(LEFT(BH62,1)="1",INDEX(係数_PM低減,MATCH(AY62,【参考】排出係数!$AI$801:$AI$804,1),MATCH(BI62,【参考】排出係数!$AL$798:$AO$798,1)),VLOOKUP(AU62,INDEX((係数_バス貨物_ガソリン,係数_バス貨物_CNG,係数_バス貨物_軽油,係数_バス貨物_メタノール,係数_バス貨物_LPG),MATCH(AY62,【参考】排出係数!$AI$4:$AI$671,1),1,BE62):INDEX((係数_バス貨物_ガソリン,係数_バス貨物_CNG,係数_バス貨物_軽油,係数_バス貨物_メタノール,係数_バス貨物_LPG),MATCH(AY62+1,【参考】排出係数!$AI$4:$AI$671,1)-1,5,BE62),5,FALSE)),IF(AND(BE62=3,LEFT(BF62,1)="1"),0.055,VLOOKUP(AU62,INDEX((係数_乗用_ガソリン,係数_乗用_CNG,係数_乗用_軽油,係数_乗用_メタノール,係数_乗用_LPG),1,1,BE62):INDEX((係数_乗用_ガソリン,係数_乗用_CNG,係数_乗用_軽油,係数_乗用_メタノール,係数_乗用_LPG),125,5,BE62),5,FALSE)))))</f>
        <v/>
      </c>
      <c r="AN62" s="461" t="str">
        <f t="shared" si="51"/>
        <v/>
      </c>
      <c r="AO62" s="462" t="str">
        <f t="shared" si="52"/>
        <v/>
      </c>
      <c r="AP62" s="463" t="str">
        <f t="shared" si="53"/>
        <v/>
      </c>
      <c r="AQ62" s="464"/>
      <c r="AR62" s="619"/>
      <c r="AS62" s="465" t="str">
        <f t="shared" si="28"/>
        <v/>
      </c>
      <c r="AT62" s="465" t="str">
        <f t="shared" si="29"/>
        <v/>
      </c>
      <c r="AU62" s="466" t="str">
        <f t="shared" si="30"/>
        <v/>
      </c>
      <c r="AV62" s="467" t="str">
        <f t="shared" si="31"/>
        <v/>
      </c>
      <c r="AW62" s="467" t="str">
        <f t="shared" si="32"/>
        <v/>
      </c>
      <c r="AX62" s="467" t="str">
        <f t="shared" si="33"/>
        <v/>
      </c>
      <c r="AY62" s="467" t="str">
        <f t="shared" si="34"/>
        <v/>
      </c>
      <c r="AZ62" s="467" t="str">
        <f t="shared" si="35"/>
        <v/>
      </c>
      <c r="BA62" s="468" t="str">
        <f>IF(AS62="","",IF(OR(AU62="",AU62="-"),"－",IF(OR(AZ62=8,AZ62=9),"",IF(OR(AW62=3,AW62=4,AW62=5,AW62=6),VLOOKUP(AU62,INDEX((係数_バス貨物_ガソリン,係数_バス貨物_CNG,係数_バス貨物_軽油,係数_バス貨物_メタノール,係数_バス貨物_LPG),MATCH(AY62,【参考】排出係数!$AI$4:$AI$671,1),1,BE62):INDEX((係数_バス貨物_ガソリン,係数_バス貨物_CNG,係数_バス貨物_軽油,係数_バス貨物_メタノール,係数_バス貨物_LPG),MATCH(AY62+1,【参考】排出係数!$AI$4:$AI$671,1)-1,5,BE62),2,FALSE),IF(OR(AW62=1,AW62=2),VLOOKUP(AU62,INDEX((係数_乗用_ガソリン,係数_乗用_CNG,係数_乗用_軽油,係数_乗用_メタノール,係数_乗用_LPG),1,1,BE62):INDEX((係数_乗用_ガソリン,係数_乗用_CNG,係数_乗用_軽油,係数_乗用_メタノール,係数_乗用_LPG),125,5,BE62),2,FALSE))))))</f>
        <v/>
      </c>
      <c r="BB62" s="468" t="str">
        <f>IF(T62="","",IF(OR(AU62="",AU62="-"),"－",IF(OR(AZ62=8,AZ62=9),"",IF(OR(AW62=3,AW62=4,AW62=5,AW62=6),VLOOKUP(AU62,INDEX((係数_バス貨物_ガソリン,係数_バス貨物_CNG,係数_バス貨物_軽油,係数_バス貨物_メタノール,係数_バス貨物_LPG),MATCH(AY62,【参考】排出係数!$AI$4:$AI$671,1),1,BE62):INDEX((係数_バス貨物_ガソリン,係数_バス貨物_CNG,係数_バス貨物_軽油,係数_バス貨物_メタノール,係数_バス貨物_LPG),MATCH(AY62+1,【参考】排出係数!$AI$4:$AI$671,1)-1,5,BE62),3,FALSE),IF(OR(AW62=1,AW62=2),VLOOKUP(AU62,INDEX((係数_乗用_ガソリン,係数_乗用_CNG,係数_乗用_軽油,係数_乗用_メタノール,係数_乗用_LPG),1,1,BE62):INDEX((係数_乗用_ガソリン,係数_乗用_CNG,係数_乗用_軽油,係数_乗用_メタノール,係数_乗用_LPG),125,5,BE62),3,FALSE))))))</f>
        <v/>
      </c>
      <c r="BC62" s="467" t="str">
        <f t="shared" si="36"/>
        <v/>
      </c>
      <c r="BD62" s="567" t="str">
        <f t="shared" si="37"/>
        <v/>
      </c>
      <c r="BE62" s="467" t="str">
        <f t="shared" si="38"/>
        <v/>
      </c>
      <c r="BF62" s="469" t="str">
        <f t="shared" ca="1" si="39"/>
        <v/>
      </c>
      <c r="BG62" s="469" t="str">
        <f t="shared" ca="1" si="40"/>
        <v/>
      </c>
      <c r="BH62" s="467" t="str">
        <f t="shared" si="41"/>
        <v/>
      </c>
      <c r="BI62" s="467" t="str">
        <f t="shared" ca="1" si="42"/>
        <v/>
      </c>
      <c r="BJ62" s="469" t="str">
        <f t="shared" si="43"/>
        <v/>
      </c>
      <c r="BK62" s="470" t="str">
        <f t="shared" si="22"/>
        <v/>
      </c>
      <c r="BL62" s="775" t="str">
        <f t="shared" si="44"/>
        <v/>
      </c>
      <c r="BM62" s="775" t="str">
        <f t="shared" si="45"/>
        <v/>
      </c>
      <c r="BO62" s="472"/>
      <c r="BT62" s="16"/>
      <c r="CO62" s="16"/>
      <c r="CP62" s="16"/>
    </row>
    <row r="63" spans="1:94" s="471" customFormat="1">
      <c r="A63" s="473">
        <v>7</v>
      </c>
      <c r="B63" s="132"/>
      <c r="C63" s="332"/>
      <c r="D63" s="333"/>
      <c r="E63" s="333"/>
      <c r="F63" s="334"/>
      <c r="G63" s="337"/>
      <c r="H63" s="131"/>
      <c r="I63" s="337"/>
      <c r="J63" s="131"/>
      <c r="K63" s="458" t="str">
        <f t="shared" si="0"/>
        <v/>
      </c>
      <c r="L63" s="458">
        <f t="shared" si="23"/>
        <v>0</v>
      </c>
      <c r="M63" s="458">
        <f t="shared" si="24"/>
        <v>0</v>
      </c>
      <c r="N63" s="459" t="str">
        <f t="shared" si="1"/>
        <v/>
      </c>
      <c r="O63" s="459" t="str">
        <f t="shared" si="2"/>
        <v/>
      </c>
      <c r="P63" s="459" t="str">
        <f t="shared" si="3"/>
        <v/>
      </c>
      <c r="Q63" s="459" t="str">
        <f t="shared" si="4"/>
        <v/>
      </c>
      <c r="R63" s="459" t="str">
        <f t="shared" si="5"/>
        <v/>
      </c>
      <c r="S63" s="459" t="str">
        <f t="shared" si="6"/>
        <v/>
      </c>
      <c r="T63" s="566" t="str">
        <f t="shared" si="25"/>
        <v/>
      </c>
      <c r="U63" s="702"/>
      <c r="V63" s="132"/>
      <c r="W63" s="133"/>
      <c r="X63" s="134"/>
      <c r="Y63" s="135"/>
      <c r="Z63" s="137"/>
      <c r="AA63" s="136"/>
      <c r="AB63" s="566" t="str">
        <f t="shared" si="26"/>
        <v/>
      </c>
      <c r="AC63" s="568" t="str">
        <f t="shared" si="27"/>
        <v/>
      </c>
      <c r="AD63" s="137"/>
      <c r="AE63" s="137"/>
      <c r="AF63" s="138"/>
      <c r="AG63" s="138"/>
      <c r="AH63" s="592" t="str">
        <f t="shared" si="7"/>
        <v/>
      </c>
      <c r="AI63" s="592" t="str">
        <f t="shared" si="8"/>
        <v/>
      </c>
      <c r="AJ63" s="592" t="str">
        <f t="shared" si="9"/>
        <v/>
      </c>
      <c r="AK63" s="460" t="str">
        <f>IF(AU63="","",IF(OR(AZ63=8,AZ63=9),0,IF(OR(AW63=3,AW63=4,AW63=5,AW63=6),IF(LEFT(BF63,1)="1",INDEX(係数_NOX・PM低減,MATCH(AY63,【参考】排出係数!$AI$801:$AI$804,1),1),VLOOKUP(AU63,INDEX((係数_バス貨物_ガソリン,係数_バス貨物_CNG,係数_バス貨物_軽油,係数_バス貨物_メタノール,係数_バス貨物_LPG),MATCH(AY63,【参考】排出係数!$AI$4:$AI$671,1),1,BE63):INDEX((係数_バス貨物_ガソリン,係数_バス貨物_CNG,係数_バス貨物_軽油,係数_バス貨物_メタノール,係数_バス貨物_LPG),MATCH(AY63+1,【参考】排出係数!$AI$4:$AI$671,1)-1,5,BE63),4,FALSE)),IF(AND(BE63=3,LEFT(BF63,1)="1"),0.48,VLOOKUP(AU63,INDEX((係数_乗用_ガソリン,係数_乗用_CNG,係数_乗用_軽油,係数_乗用_メタノール,係数_乗用_LPG),1,1,BE63):INDEX((係数_乗用_ガソリン,係数_乗用_CNG,係数_乗用_軽油,係数_乗用_メタノール,係数_乗用_LPG),125,5,BE63),4,FALSE)))))</f>
        <v/>
      </c>
      <c r="AL63" s="461" t="str">
        <f t="shared" si="50"/>
        <v/>
      </c>
      <c r="AM63" s="460" t="str">
        <f>IF(AU63="","",IF(OR(AZ63=8,AZ63=9),0,IF(OR(AW63=3,AW63=4,AW63=5,AW63=6),IF(LEFT(BH63,1)="1",INDEX(係数_PM低減,MATCH(AY63,【参考】排出係数!$AI$801:$AI$804,1),MATCH(BI63,【参考】排出係数!$AL$798:$AO$798,1)),VLOOKUP(AU63,INDEX((係数_バス貨物_ガソリン,係数_バス貨物_CNG,係数_バス貨物_軽油,係数_バス貨物_メタノール,係数_バス貨物_LPG),MATCH(AY63,【参考】排出係数!$AI$4:$AI$671,1),1,BE63):INDEX((係数_バス貨物_ガソリン,係数_バス貨物_CNG,係数_バス貨物_軽油,係数_バス貨物_メタノール,係数_バス貨物_LPG),MATCH(AY63+1,【参考】排出係数!$AI$4:$AI$671,1)-1,5,BE63),5,FALSE)),IF(AND(BE63=3,LEFT(BF63,1)="1"),0.055,VLOOKUP(AU63,INDEX((係数_乗用_ガソリン,係数_乗用_CNG,係数_乗用_軽油,係数_乗用_メタノール,係数_乗用_LPG),1,1,BE63):INDEX((係数_乗用_ガソリン,係数_乗用_CNG,係数_乗用_軽油,係数_乗用_メタノール,係数_乗用_LPG),125,5,BE63),5,FALSE)))))</f>
        <v/>
      </c>
      <c r="AN63" s="461" t="str">
        <f t="shared" si="51"/>
        <v/>
      </c>
      <c r="AO63" s="462" t="str">
        <f t="shared" si="52"/>
        <v/>
      </c>
      <c r="AP63" s="463" t="str">
        <f t="shared" si="53"/>
        <v/>
      </c>
      <c r="AQ63" s="464"/>
      <c r="AR63" s="619"/>
      <c r="AS63" s="465" t="str">
        <f t="shared" si="28"/>
        <v/>
      </c>
      <c r="AT63" s="465" t="str">
        <f t="shared" si="29"/>
        <v/>
      </c>
      <c r="AU63" s="466" t="str">
        <f t="shared" si="30"/>
        <v/>
      </c>
      <c r="AV63" s="467" t="str">
        <f t="shared" si="31"/>
        <v/>
      </c>
      <c r="AW63" s="467" t="str">
        <f t="shared" si="32"/>
        <v/>
      </c>
      <c r="AX63" s="467" t="str">
        <f t="shared" si="33"/>
        <v/>
      </c>
      <c r="AY63" s="467" t="str">
        <f t="shared" si="34"/>
        <v/>
      </c>
      <c r="AZ63" s="467" t="str">
        <f t="shared" si="35"/>
        <v/>
      </c>
      <c r="BA63" s="468" t="str">
        <f>IF(AS63="","",IF(OR(AU63="",AU63="-"),"－",IF(OR(AZ63=8,AZ63=9),"",IF(OR(AW63=3,AW63=4,AW63=5,AW63=6),VLOOKUP(AU63,INDEX((係数_バス貨物_ガソリン,係数_バス貨物_CNG,係数_バス貨物_軽油,係数_バス貨物_メタノール,係数_バス貨物_LPG),MATCH(AY63,【参考】排出係数!$AI$4:$AI$671,1),1,BE63):INDEX((係数_バス貨物_ガソリン,係数_バス貨物_CNG,係数_バス貨物_軽油,係数_バス貨物_メタノール,係数_バス貨物_LPG),MATCH(AY63+1,【参考】排出係数!$AI$4:$AI$671,1)-1,5,BE63),2,FALSE),IF(OR(AW63=1,AW63=2),VLOOKUP(AU63,INDEX((係数_乗用_ガソリン,係数_乗用_CNG,係数_乗用_軽油,係数_乗用_メタノール,係数_乗用_LPG),1,1,BE63):INDEX((係数_乗用_ガソリン,係数_乗用_CNG,係数_乗用_軽油,係数_乗用_メタノール,係数_乗用_LPG),125,5,BE63),2,FALSE))))))</f>
        <v/>
      </c>
      <c r="BB63" s="468" t="str">
        <f>IF(T63="","",IF(OR(AU63="",AU63="-"),"－",IF(OR(AZ63=8,AZ63=9),"",IF(OR(AW63=3,AW63=4,AW63=5,AW63=6),VLOOKUP(AU63,INDEX((係数_バス貨物_ガソリン,係数_バス貨物_CNG,係数_バス貨物_軽油,係数_バス貨物_メタノール,係数_バス貨物_LPG),MATCH(AY63,【参考】排出係数!$AI$4:$AI$671,1),1,BE63):INDEX((係数_バス貨物_ガソリン,係数_バス貨物_CNG,係数_バス貨物_軽油,係数_バス貨物_メタノール,係数_バス貨物_LPG),MATCH(AY63+1,【参考】排出係数!$AI$4:$AI$671,1)-1,5,BE63),3,FALSE),IF(OR(AW63=1,AW63=2),VLOOKUP(AU63,INDEX((係数_乗用_ガソリン,係数_乗用_CNG,係数_乗用_軽油,係数_乗用_メタノール,係数_乗用_LPG),1,1,BE63):INDEX((係数_乗用_ガソリン,係数_乗用_CNG,係数_乗用_軽油,係数_乗用_メタノール,係数_乗用_LPG),125,5,BE63),3,FALSE))))))</f>
        <v/>
      </c>
      <c r="BC63" s="467" t="str">
        <f t="shared" si="36"/>
        <v/>
      </c>
      <c r="BD63" s="567" t="str">
        <f t="shared" si="37"/>
        <v/>
      </c>
      <c r="BE63" s="467" t="str">
        <f t="shared" si="38"/>
        <v/>
      </c>
      <c r="BF63" s="469" t="str">
        <f t="shared" ca="1" si="39"/>
        <v/>
      </c>
      <c r="BG63" s="469" t="str">
        <f t="shared" ca="1" si="40"/>
        <v/>
      </c>
      <c r="BH63" s="467" t="str">
        <f t="shared" si="41"/>
        <v/>
      </c>
      <c r="BI63" s="467" t="str">
        <f t="shared" ca="1" si="42"/>
        <v/>
      </c>
      <c r="BJ63" s="469" t="str">
        <f t="shared" si="43"/>
        <v/>
      </c>
      <c r="BK63" s="470" t="str">
        <f t="shared" si="22"/>
        <v/>
      </c>
      <c r="BL63" s="775" t="str">
        <f t="shared" si="44"/>
        <v/>
      </c>
      <c r="BM63" s="775" t="str">
        <f t="shared" si="45"/>
        <v/>
      </c>
      <c r="BO63" s="472"/>
      <c r="BT63" s="16"/>
      <c r="CO63" s="16"/>
      <c r="CP63" s="16"/>
    </row>
    <row r="64" spans="1:94" s="471" customFormat="1">
      <c r="A64" s="473">
        <v>8</v>
      </c>
      <c r="B64" s="132"/>
      <c r="C64" s="332"/>
      <c r="D64" s="333"/>
      <c r="E64" s="333"/>
      <c r="F64" s="334"/>
      <c r="G64" s="337"/>
      <c r="H64" s="131"/>
      <c r="I64" s="337"/>
      <c r="J64" s="131"/>
      <c r="K64" s="458" t="str">
        <f t="shared" si="0"/>
        <v/>
      </c>
      <c r="L64" s="458">
        <f t="shared" si="23"/>
        <v>0</v>
      </c>
      <c r="M64" s="458">
        <f t="shared" si="24"/>
        <v>0</v>
      </c>
      <c r="N64" s="459" t="str">
        <f t="shared" si="1"/>
        <v/>
      </c>
      <c r="O64" s="459" t="str">
        <f t="shared" si="2"/>
        <v/>
      </c>
      <c r="P64" s="459" t="str">
        <f t="shared" si="3"/>
        <v/>
      </c>
      <c r="Q64" s="459" t="str">
        <f t="shared" si="4"/>
        <v/>
      </c>
      <c r="R64" s="459" t="str">
        <f t="shared" si="5"/>
        <v/>
      </c>
      <c r="S64" s="459" t="str">
        <f t="shared" si="6"/>
        <v/>
      </c>
      <c r="T64" s="566" t="str">
        <f t="shared" si="25"/>
        <v/>
      </c>
      <c r="U64" s="702"/>
      <c r="V64" s="132"/>
      <c r="W64" s="133"/>
      <c r="X64" s="134"/>
      <c r="Y64" s="135"/>
      <c r="Z64" s="137"/>
      <c r="AA64" s="136"/>
      <c r="AB64" s="566" t="str">
        <f t="shared" si="26"/>
        <v/>
      </c>
      <c r="AC64" s="568" t="str">
        <f t="shared" si="27"/>
        <v/>
      </c>
      <c r="AD64" s="137"/>
      <c r="AE64" s="137"/>
      <c r="AF64" s="138"/>
      <c r="AG64" s="138"/>
      <c r="AH64" s="592" t="str">
        <f t="shared" si="7"/>
        <v/>
      </c>
      <c r="AI64" s="592" t="str">
        <f t="shared" si="8"/>
        <v/>
      </c>
      <c r="AJ64" s="592" t="str">
        <f t="shared" si="9"/>
        <v/>
      </c>
      <c r="AK64" s="460" t="str">
        <f>IF(AU64="","",IF(OR(AZ64=8,AZ64=9),0,IF(OR(AW64=3,AW64=4,AW64=5,AW64=6),IF(LEFT(BF64,1)="1",INDEX(係数_NOX・PM低減,MATCH(AY64,【参考】排出係数!$AI$801:$AI$804,1),1),VLOOKUP(AU64,INDEX((係数_バス貨物_ガソリン,係数_バス貨物_CNG,係数_バス貨物_軽油,係数_バス貨物_メタノール,係数_バス貨物_LPG),MATCH(AY64,【参考】排出係数!$AI$4:$AI$671,1),1,BE64):INDEX((係数_バス貨物_ガソリン,係数_バス貨物_CNG,係数_バス貨物_軽油,係数_バス貨物_メタノール,係数_バス貨物_LPG),MATCH(AY64+1,【参考】排出係数!$AI$4:$AI$671,1)-1,5,BE64),4,FALSE)),IF(AND(BE64=3,LEFT(BF64,1)="1"),0.48,VLOOKUP(AU64,INDEX((係数_乗用_ガソリン,係数_乗用_CNG,係数_乗用_軽油,係数_乗用_メタノール,係数_乗用_LPG),1,1,BE64):INDEX((係数_乗用_ガソリン,係数_乗用_CNG,係数_乗用_軽油,係数_乗用_メタノール,係数_乗用_LPG),125,5,BE64),4,FALSE)))))</f>
        <v/>
      </c>
      <c r="AL64" s="461" t="str">
        <f t="shared" si="50"/>
        <v/>
      </c>
      <c r="AM64" s="460" t="str">
        <f>IF(AU64="","",IF(OR(AZ64=8,AZ64=9),0,IF(OR(AW64=3,AW64=4,AW64=5,AW64=6),IF(LEFT(BH64,1)="1",INDEX(係数_PM低減,MATCH(AY64,【参考】排出係数!$AI$801:$AI$804,1),MATCH(BI64,【参考】排出係数!$AL$798:$AO$798,1)),VLOOKUP(AU64,INDEX((係数_バス貨物_ガソリン,係数_バス貨物_CNG,係数_バス貨物_軽油,係数_バス貨物_メタノール,係数_バス貨物_LPG),MATCH(AY64,【参考】排出係数!$AI$4:$AI$671,1),1,BE64):INDEX((係数_バス貨物_ガソリン,係数_バス貨物_CNG,係数_バス貨物_軽油,係数_バス貨物_メタノール,係数_バス貨物_LPG),MATCH(AY64+1,【参考】排出係数!$AI$4:$AI$671,1)-1,5,BE64),5,FALSE)),IF(AND(BE64=3,LEFT(BF64,1)="1"),0.055,VLOOKUP(AU64,INDEX((係数_乗用_ガソリン,係数_乗用_CNG,係数_乗用_軽油,係数_乗用_メタノール,係数_乗用_LPG),1,1,BE64):INDEX((係数_乗用_ガソリン,係数_乗用_CNG,係数_乗用_軽油,係数_乗用_メタノール,係数_乗用_LPG),125,5,BE64),5,FALSE)))))</f>
        <v/>
      </c>
      <c r="AN64" s="461" t="str">
        <f t="shared" si="51"/>
        <v/>
      </c>
      <c r="AO64" s="462" t="str">
        <f t="shared" si="52"/>
        <v/>
      </c>
      <c r="AP64" s="463" t="str">
        <f t="shared" si="53"/>
        <v/>
      </c>
      <c r="AQ64" s="464"/>
      <c r="AR64" s="619"/>
      <c r="AS64" s="465" t="str">
        <f t="shared" si="28"/>
        <v/>
      </c>
      <c r="AT64" s="465" t="str">
        <f t="shared" si="29"/>
        <v/>
      </c>
      <c r="AU64" s="466" t="str">
        <f t="shared" si="30"/>
        <v/>
      </c>
      <c r="AV64" s="467" t="str">
        <f t="shared" si="31"/>
        <v/>
      </c>
      <c r="AW64" s="467" t="str">
        <f t="shared" si="32"/>
        <v/>
      </c>
      <c r="AX64" s="467" t="str">
        <f t="shared" si="33"/>
        <v/>
      </c>
      <c r="AY64" s="467" t="str">
        <f t="shared" si="34"/>
        <v/>
      </c>
      <c r="AZ64" s="467" t="str">
        <f t="shared" si="35"/>
        <v/>
      </c>
      <c r="BA64" s="468" t="str">
        <f>IF(AS64="","",IF(OR(AU64="",AU64="-"),"－",IF(OR(AZ64=8,AZ64=9),"",IF(OR(AW64=3,AW64=4,AW64=5,AW64=6),VLOOKUP(AU64,INDEX((係数_バス貨物_ガソリン,係数_バス貨物_CNG,係数_バス貨物_軽油,係数_バス貨物_メタノール,係数_バス貨物_LPG),MATCH(AY64,【参考】排出係数!$AI$4:$AI$671,1),1,BE64):INDEX((係数_バス貨物_ガソリン,係数_バス貨物_CNG,係数_バス貨物_軽油,係数_バス貨物_メタノール,係数_バス貨物_LPG),MATCH(AY64+1,【参考】排出係数!$AI$4:$AI$671,1)-1,5,BE64),2,FALSE),IF(OR(AW64=1,AW64=2),VLOOKUP(AU64,INDEX((係数_乗用_ガソリン,係数_乗用_CNG,係数_乗用_軽油,係数_乗用_メタノール,係数_乗用_LPG),1,1,BE64):INDEX((係数_乗用_ガソリン,係数_乗用_CNG,係数_乗用_軽油,係数_乗用_メタノール,係数_乗用_LPG),125,5,BE64),2,FALSE))))))</f>
        <v/>
      </c>
      <c r="BB64" s="468" t="str">
        <f>IF(T64="","",IF(OR(AU64="",AU64="-"),"－",IF(OR(AZ64=8,AZ64=9),"",IF(OR(AW64=3,AW64=4,AW64=5,AW64=6),VLOOKUP(AU64,INDEX((係数_バス貨物_ガソリン,係数_バス貨物_CNG,係数_バス貨物_軽油,係数_バス貨物_メタノール,係数_バス貨物_LPG),MATCH(AY64,【参考】排出係数!$AI$4:$AI$671,1),1,BE64):INDEX((係数_バス貨物_ガソリン,係数_バス貨物_CNG,係数_バス貨物_軽油,係数_バス貨物_メタノール,係数_バス貨物_LPG),MATCH(AY64+1,【参考】排出係数!$AI$4:$AI$671,1)-1,5,BE64),3,FALSE),IF(OR(AW64=1,AW64=2),VLOOKUP(AU64,INDEX((係数_乗用_ガソリン,係数_乗用_CNG,係数_乗用_軽油,係数_乗用_メタノール,係数_乗用_LPG),1,1,BE64):INDEX((係数_乗用_ガソリン,係数_乗用_CNG,係数_乗用_軽油,係数_乗用_メタノール,係数_乗用_LPG),125,5,BE64),3,FALSE))))))</f>
        <v/>
      </c>
      <c r="BC64" s="467" t="str">
        <f t="shared" si="36"/>
        <v/>
      </c>
      <c r="BD64" s="567" t="str">
        <f t="shared" si="37"/>
        <v/>
      </c>
      <c r="BE64" s="467" t="str">
        <f t="shared" si="38"/>
        <v/>
      </c>
      <c r="BF64" s="469" t="str">
        <f t="shared" ca="1" si="39"/>
        <v/>
      </c>
      <c r="BG64" s="469" t="str">
        <f t="shared" ca="1" si="40"/>
        <v/>
      </c>
      <c r="BH64" s="467" t="str">
        <f t="shared" si="41"/>
        <v/>
      </c>
      <c r="BI64" s="467" t="str">
        <f t="shared" ca="1" si="42"/>
        <v/>
      </c>
      <c r="BJ64" s="469" t="str">
        <f t="shared" si="43"/>
        <v/>
      </c>
      <c r="BK64" s="470" t="str">
        <f t="shared" si="22"/>
        <v/>
      </c>
      <c r="BL64" s="775" t="str">
        <f t="shared" si="44"/>
        <v/>
      </c>
      <c r="BM64" s="775" t="str">
        <f t="shared" si="45"/>
        <v/>
      </c>
      <c r="BO64" s="472"/>
      <c r="BT64" s="16"/>
      <c r="CO64" s="16"/>
      <c r="CP64" s="16"/>
    </row>
    <row r="65" spans="1:94" s="471" customFormat="1">
      <c r="A65" s="473">
        <v>9</v>
      </c>
      <c r="B65" s="132"/>
      <c r="C65" s="332"/>
      <c r="D65" s="333"/>
      <c r="E65" s="333"/>
      <c r="F65" s="334"/>
      <c r="G65" s="337"/>
      <c r="H65" s="131"/>
      <c r="I65" s="337"/>
      <c r="J65" s="131"/>
      <c r="K65" s="458" t="str">
        <f t="shared" si="0"/>
        <v/>
      </c>
      <c r="L65" s="458">
        <f t="shared" si="23"/>
        <v>0</v>
      </c>
      <c r="M65" s="458">
        <f t="shared" si="24"/>
        <v>0</v>
      </c>
      <c r="N65" s="459" t="str">
        <f t="shared" si="1"/>
        <v/>
      </c>
      <c r="O65" s="459" t="str">
        <f t="shared" si="2"/>
        <v/>
      </c>
      <c r="P65" s="459" t="str">
        <f t="shared" si="3"/>
        <v/>
      </c>
      <c r="Q65" s="459" t="str">
        <f t="shared" si="4"/>
        <v/>
      </c>
      <c r="R65" s="459" t="str">
        <f t="shared" si="5"/>
        <v/>
      </c>
      <c r="S65" s="459" t="str">
        <f t="shared" si="6"/>
        <v/>
      </c>
      <c r="T65" s="566" t="str">
        <f t="shared" si="25"/>
        <v/>
      </c>
      <c r="U65" s="702"/>
      <c r="V65" s="132"/>
      <c r="W65" s="133"/>
      <c r="X65" s="134"/>
      <c r="Y65" s="135"/>
      <c r="Z65" s="137"/>
      <c r="AA65" s="136"/>
      <c r="AB65" s="566" t="str">
        <f t="shared" si="26"/>
        <v/>
      </c>
      <c r="AC65" s="568" t="str">
        <f t="shared" si="27"/>
        <v/>
      </c>
      <c r="AD65" s="137"/>
      <c r="AE65" s="137"/>
      <c r="AF65" s="138"/>
      <c r="AG65" s="138"/>
      <c r="AH65" s="592" t="str">
        <f t="shared" si="7"/>
        <v/>
      </c>
      <c r="AI65" s="592" t="str">
        <f t="shared" si="8"/>
        <v/>
      </c>
      <c r="AJ65" s="592" t="str">
        <f t="shared" si="9"/>
        <v/>
      </c>
      <c r="AK65" s="460" t="str">
        <f>IF(AU65="","",IF(OR(AZ65=8,AZ65=9),0,IF(OR(AW65=3,AW65=4,AW65=5,AW65=6),IF(LEFT(BF65,1)="1",INDEX(係数_NOX・PM低減,MATCH(AY65,【参考】排出係数!$AI$801:$AI$804,1),1),VLOOKUP(AU65,INDEX((係数_バス貨物_ガソリン,係数_バス貨物_CNG,係数_バス貨物_軽油,係数_バス貨物_メタノール,係数_バス貨物_LPG),MATCH(AY65,【参考】排出係数!$AI$4:$AI$671,1),1,BE65):INDEX((係数_バス貨物_ガソリン,係数_バス貨物_CNG,係数_バス貨物_軽油,係数_バス貨物_メタノール,係数_バス貨物_LPG),MATCH(AY65+1,【参考】排出係数!$AI$4:$AI$671,1)-1,5,BE65),4,FALSE)),IF(AND(BE65=3,LEFT(BF65,1)="1"),0.48,VLOOKUP(AU65,INDEX((係数_乗用_ガソリン,係数_乗用_CNG,係数_乗用_軽油,係数_乗用_メタノール,係数_乗用_LPG),1,1,BE65):INDEX((係数_乗用_ガソリン,係数_乗用_CNG,係数_乗用_軽油,係数_乗用_メタノール,係数_乗用_LPG),125,5,BE65),4,FALSE)))))</f>
        <v/>
      </c>
      <c r="AL65" s="461" t="str">
        <f t="shared" si="50"/>
        <v/>
      </c>
      <c r="AM65" s="460" t="str">
        <f>IF(AU65="","",IF(OR(AZ65=8,AZ65=9),0,IF(OR(AW65=3,AW65=4,AW65=5,AW65=6),IF(LEFT(BH65,1)="1",INDEX(係数_PM低減,MATCH(AY65,【参考】排出係数!$AI$801:$AI$804,1),MATCH(BI65,【参考】排出係数!$AL$798:$AO$798,1)),VLOOKUP(AU65,INDEX((係数_バス貨物_ガソリン,係数_バス貨物_CNG,係数_バス貨物_軽油,係数_バス貨物_メタノール,係数_バス貨物_LPG),MATCH(AY65,【参考】排出係数!$AI$4:$AI$671,1),1,BE65):INDEX((係数_バス貨物_ガソリン,係数_バス貨物_CNG,係数_バス貨物_軽油,係数_バス貨物_メタノール,係数_バス貨物_LPG),MATCH(AY65+1,【参考】排出係数!$AI$4:$AI$671,1)-1,5,BE65),5,FALSE)),IF(AND(BE65=3,LEFT(BF65,1)="1"),0.055,VLOOKUP(AU65,INDEX((係数_乗用_ガソリン,係数_乗用_CNG,係数_乗用_軽油,係数_乗用_メタノール,係数_乗用_LPG),1,1,BE65):INDEX((係数_乗用_ガソリン,係数_乗用_CNG,係数_乗用_軽油,係数_乗用_メタノール,係数_乗用_LPG),125,5,BE65),5,FALSE)))))</f>
        <v/>
      </c>
      <c r="AN65" s="461" t="str">
        <f t="shared" si="51"/>
        <v/>
      </c>
      <c r="AO65" s="462" t="str">
        <f t="shared" si="52"/>
        <v/>
      </c>
      <c r="AP65" s="463" t="str">
        <f t="shared" si="53"/>
        <v/>
      </c>
      <c r="AQ65" s="464"/>
      <c r="AR65" s="619"/>
      <c r="AS65" s="465" t="str">
        <f t="shared" si="28"/>
        <v/>
      </c>
      <c r="AT65" s="465" t="str">
        <f t="shared" si="29"/>
        <v/>
      </c>
      <c r="AU65" s="466" t="str">
        <f t="shared" si="30"/>
        <v/>
      </c>
      <c r="AV65" s="467" t="str">
        <f t="shared" si="31"/>
        <v/>
      </c>
      <c r="AW65" s="467" t="str">
        <f t="shared" si="32"/>
        <v/>
      </c>
      <c r="AX65" s="467" t="str">
        <f t="shared" si="33"/>
        <v/>
      </c>
      <c r="AY65" s="467" t="str">
        <f t="shared" si="34"/>
        <v/>
      </c>
      <c r="AZ65" s="467" t="str">
        <f t="shared" si="35"/>
        <v/>
      </c>
      <c r="BA65" s="468" t="str">
        <f>IF(AS65="","",IF(OR(AU65="",AU65="-"),"－",IF(OR(AZ65=8,AZ65=9),"",IF(OR(AW65=3,AW65=4,AW65=5,AW65=6),VLOOKUP(AU65,INDEX((係数_バス貨物_ガソリン,係数_バス貨物_CNG,係数_バス貨物_軽油,係数_バス貨物_メタノール,係数_バス貨物_LPG),MATCH(AY65,【参考】排出係数!$AI$4:$AI$671,1),1,BE65):INDEX((係数_バス貨物_ガソリン,係数_バス貨物_CNG,係数_バス貨物_軽油,係数_バス貨物_メタノール,係数_バス貨物_LPG),MATCH(AY65+1,【参考】排出係数!$AI$4:$AI$671,1)-1,5,BE65),2,FALSE),IF(OR(AW65=1,AW65=2),VLOOKUP(AU65,INDEX((係数_乗用_ガソリン,係数_乗用_CNG,係数_乗用_軽油,係数_乗用_メタノール,係数_乗用_LPG),1,1,BE65):INDEX((係数_乗用_ガソリン,係数_乗用_CNG,係数_乗用_軽油,係数_乗用_メタノール,係数_乗用_LPG),125,5,BE65),2,FALSE))))))</f>
        <v/>
      </c>
      <c r="BB65" s="468" t="str">
        <f>IF(T65="","",IF(OR(AU65="",AU65="-"),"－",IF(OR(AZ65=8,AZ65=9),"",IF(OR(AW65=3,AW65=4,AW65=5,AW65=6),VLOOKUP(AU65,INDEX((係数_バス貨物_ガソリン,係数_バス貨物_CNG,係数_バス貨物_軽油,係数_バス貨物_メタノール,係数_バス貨物_LPG),MATCH(AY65,【参考】排出係数!$AI$4:$AI$671,1),1,BE65):INDEX((係数_バス貨物_ガソリン,係数_バス貨物_CNG,係数_バス貨物_軽油,係数_バス貨物_メタノール,係数_バス貨物_LPG),MATCH(AY65+1,【参考】排出係数!$AI$4:$AI$671,1)-1,5,BE65),3,FALSE),IF(OR(AW65=1,AW65=2),VLOOKUP(AU65,INDEX((係数_乗用_ガソリン,係数_乗用_CNG,係数_乗用_軽油,係数_乗用_メタノール,係数_乗用_LPG),1,1,BE65):INDEX((係数_乗用_ガソリン,係数_乗用_CNG,係数_乗用_軽油,係数_乗用_メタノール,係数_乗用_LPG),125,5,BE65),3,FALSE))))))</f>
        <v/>
      </c>
      <c r="BC65" s="467" t="str">
        <f t="shared" si="36"/>
        <v/>
      </c>
      <c r="BD65" s="567" t="str">
        <f t="shared" si="37"/>
        <v/>
      </c>
      <c r="BE65" s="467" t="str">
        <f t="shared" si="38"/>
        <v/>
      </c>
      <c r="BF65" s="469" t="str">
        <f t="shared" ca="1" si="39"/>
        <v/>
      </c>
      <c r="BG65" s="469" t="str">
        <f t="shared" ca="1" si="40"/>
        <v/>
      </c>
      <c r="BH65" s="467" t="str">
        <f t="shared" si="41"/>
        <v/>
      </c>
      <c r="BI65" s="467" t="str">
        <f t="shared" ca="1" si="42"/>
        <v/>
      </c>
      <c r="BJ65" s="469" t="str">
        <f t="shared" si="43"/>
        <v/>
      </c>
      <c r="BK65" s="470" t="str">
        <f t="shared" si="22"/>
        <v/>
      </c>
      <c r="BL65" s="775" t="str">
        <f t="shared" si="44"/>
        <v/>
      </c>
      <c r="BM65" s="775" t="str">
        <f t="shared" si="45"/>
        <v/>
      </c>
      <c r="BO65" s="472"/>
      <c r="BT65" s="16"/>
      <c r="CO65" s="16"/>
      <c r="CP65" s="16"/>
    </row>
    <row r="66" spans="1:94" s="471" customFormat="1">
      <c r="A66" s="473">
        <v>10</v>
      </c>
      <c r="B66" s="132"/>
      <c r="C66" s="332"/>
      <c r="D66" s="333"/>
      <c r="E66" s="333"/>
      <c r="F66" s="334"/>
      <c r="G66" s="337"/>
      <c r="H66" s="131"/>
      <c r="I66" s="337"/>
      <c r="J66" s="131"/>
      <c r="K66" s="458" t="str">
        <f t="shared" si="0"/>
        <v/>
      </c>
      <c r="L66" s="458">
        <f t="shared" si="23"/>
        <v>0</v>
      </c>
      <c r="M66" s="458">
        <f t="shared" si="24"/>
        <v>0</v>
      </c>
      <c r="N66" s="459" t="str">
        <f t="shared" si="1"/>
        <v/>
      </c>
      <c r="O66" s="459" t="str">
        <f t="shared" si="2"/>
        <v/>
      </c>
      <c r="P66" s="459" t="str">
        <f t="shared" si="3"/>
        <v/>
      </c>
      <c r="Q66" s="459" t="str">
        <f t="shared" si="4"/>
        <v/>
      </c>
      <c r="R66" s="459" t="str">
        <f t="shared" si="5"/>
        <v/>
      </c>
      <c r="S66" s="459" t="str">
        <f t="shared" si="6"/>
        <v/>
      </c>
      <c r="T66" s="566" t="str">
        <f t="shared" si="25"/>
        <v/>
      </c>
      <c r="U66" s="702"/>
      <c r="V66" s="132"/>
      <c r="W66" s="133"/>
      <c r="X66" s="134"/>
      <c r="Y66" s="135"/>
      <c r="Z66" s="137"/>
      <c r="AA66" s="136"/>
      <c r="AB66" s="566" t="str">
        <f t="shared" si="26"/>
        <v/>
      </c>
      <c r="AC66" s="568" t="str">
        <f t="shared" si="27"/>
        <v/>
      </c>
      <c r="AD66" s="137"/>
      <c r="AE66" s="137"/>
      <c r="AF66" s="138"/>
      <c r="AG66" s="138"/>
      <c r="AH66" s="592" t="str">
        <f t="shared" si="7"/>
        <v/>
      </c>
      <c r="AI66" s="592" t="str">
        <f t="shared" si="8"/>
        <v/>
      </c>
      <c r="AJ66" s="592" t="str">
        <f t="shared" si="9"/>
        <v/>
      </c>
      <c r="AK66" s="460" t="str">
        <f>IF(AU66="","",IF(OR(AZ66=8,AZ66=9),0,IF(OR(AW66=3,AW66=4,AW66=5,AW66=6),IF(LEFT(BF66,1)="1",INDEX(係数_NOX・PM低減,MATCH(AY66,【参考】排出係数!$AI$801:$AI$804,1),1),VLOOKUP(AU66,INDEX((係数_バス貨物_ガソリン,係数_バス貨物_CNG,係数_バス貨物_軽油,係数_バス貨物_メタノール,係数_バス貨物_LPG),MATCH(AY66,【参考】排出係数!$AI$4:$AI$671,1),1,BE66):INDEX((係数_バス貨物_ガソリン,係数_バス貨物_CNG,係数_バス貨物_軽油,係数_バス貨物_メタノール,係数_バス貨物_LPG),MATCH(AY66+1,【参考】排出係数!$AI$4:$AI$671,1)-1,5,BE66),4,FALSE)),IF(AND(BE66=3,LEFT(BF66,1)="1"),0.48,VLOOKUP(AU66,INDEX((係数_乗用_ガソリン,係数_乗用_CNG,係数_乗用_軽油,係数_乗用_メタノール,係数_乗用_LPG),1,1,BE66):INDEX((係数_乗用_ガソリン,係数_乗用_CNG,係数_乗用_軽油,係数_乗用_メタノール,係数_乗用_LPG),125,5,BE66),4,FALSE)))))</f>
        <v/>
      </c>
      <c r="AL66" s="461" t="str">
        <f t="shared" si="50"/>
        <v/>
      </c>
      <c r="AM66" s="460" t="str">
        <f>IF(AU66="","",IF(OR(AZ66=8,AZ66=9),0,IF(OR(AW66=3,AW66=4,AW66=5,AW66=6),IF(LEFT(BH66,1)="1",INDEX(係数_PM低減,MATCH(AY66,【参考】排出係数!$AI$801:$AI$804,1),MATCH(BI66,【参考】排出係数!$AL$798:$AO$798,1)),VLOOKUP(AU66,INDEX((係数_バス貨物_ガソリン,係数_バス貨物_CNG,係数_バス貨物_軽油,係数_バス貨物_メタノール,係数_バス貨物_LPG),MATCH(AY66,【参考】排出係数!$AI$4:$AI$671,1),1,BE66):INDEX((係数_バス貨物_ガソリン,係数_バス貨物_CNG,係数_バス貨物_軽油,係数_バス貨物_メタノール,係数_バス貨物_LPG),MATCH(AY66+1,【参考】排出係数!$AI$4:$AI$671,1)-1,5,BE66),5,FALSE)),IF(AND(BE66=3,LEFT(BF66,1)="1"),0.055,VLOOKUP(AU66,INDEX((係数_乗用_ガソリン,係数_乗用_CNG,係数_乗用_軽油,係数_乗用_メタノール,係数_乗用_LPG),1,1,BE66):INDEX((係数_乗用_ガソリン,係数_乗用_CNG,係数_乗用_軽油,係数_乗用_メタノール,係数_乗用_LPG),125,5,BE66),5,FALSE)))))</f>
        <v/>
      </c>
      <c r="AN66" s="461" t="str">
        <f t="shared" si="51"/>
        <v/>
      </c>
      <c r="AO66" s="462" t="str">
        <f t="shared" si="52"/>
        <v/>
      </c>
      <c r="AP66" s="463" t="str">
        <f t="shared" si="53"/>
        <v/>
      </c>
      <c r="AQ66" s="464"/>
      <c r="AR66" s="619"/>
      <c r="AS66" s="465" t="str">
        <f t="shared" si="28"/>
        <v/>
      </c>
      <c r="AT66" s="465" t="str">
        <f t="shared" si="29"/>
        <v/>
      </c>
      <c r="AU66" s="466" t="str">
        <f t="shared" si="30"/>
        <v/>
      </c>
      <c r="AV66" s="467" t="str">
        <f t="shared" si="31"/>
        <v/>
      </c>
      <c r="AW66" s="467" t="str">
        <f t="shared" si="32"/>
        <v/>
      </c>
      <c r="AX66" s="467" t="str">
        <f t="shared" si="33"/>
        <v/>
      </c>
      <c r="AY66" s="467" t="str">
        <f t="shared" si="34"/>
        <v/>
      </c>
      <c r="AZ66" s="467" t="str">
        <f t="shared" si="35"/>
        <v/>
      </c>
      <c r="BA66" s="468" t="str">
        <f>IF(AS66="","",IF(OR(AU66="",AU66="-"),"－",IF(OR(AZ66=8,AZ66=9),"",IF(OR(AW66=3,AW66=4,AW66=5,AW66=6),VLOOKUP(AU66,INDEX((係数_バス貨物_ガソリン,係数_バス貨物_CNG,係数_バス貨物_軽油,係数_バス貨物_メタノール,係数_バス貨物_LPG),MATCH(AY66,【参考】排出係数!$AI$4:$AI$671,1),1,BE66):INDEX((係数_バス貨物_ガソリン,係数_バス貨物_CNG,係数_バス貨物_軽油,係数_バス貨物_メタノール,係数_バス貨物_LPG),MATCH(AY66+1,【参考】排出係数!$AI$4:$AI$671,1)-1,5,BE66),2,FALSE),IF(OR(AW66=1,AW66=2),VLOOKUP(AU66,INDEX((係数_乗用_ガソリン,係数_乗用_CNG,係数_乗用_軽油,係数_乗用_メタノール,係数_乗用_LPG),1,1,BE66):INDEX((係数_乗用_ガソリン,係数_乗用_CNG,係数_乗用_軽油,係数_乗用_メタノール,係数_乗用_LPG),125,5,BE66),2,FALSE))))))</f>
        <v/>
      </c>
      <c r="BB66" s="468" t="str">
        <f>IF(T66="","",IF(OR(AU66="",AU66="-"),"－",IF(OR(AZ66=8,AZ66=9),"",IF(OR(AW66=3,AW66=4,AW66=5,AW66=6),VLOOKUP(AU66,INDEX((係数_バス貨物_ガソリン,係数_バス貨物_CNG,係数_バス貨物_軽油,係数_バス貨物_メタノール,係数_バス貨物_LPG),MATCH(AY66,【参考】排出係数!$AI$4:$AI$671,1),1,BE66):INDEX((係数_バス貨物_ガソリン,係数_バス貨物_CNG,係数_バス貨物_軽油,係数_バス貨物_メタノール,係数_バス貨物_LPG),MATCH(AY66+1,【参考】排出係数!$AI$4:$AI$671,1)-1,5,BE66),3,FALSE),IF(OR(AW66=1,AW66=2),VLOOKUP(AU66,INDEX((係数_乗用_ガソリン,係数_乗用_CNG,係数_乗用_軽油,係数_乗用_メタノール,係数_乗用_LPG),1,1,BE66):INDEX((係数_乗用_ガソリン,係数_乗用_CNG,係数_乗用_軽油,係数_乗用_メタノール,係数_乗用_LPG),125,5,BE66),3,FALSE))))))</f>
        <v/>
      </c>
      <c r="BC66" s="467" t="str">
        <f t="shared" si="36"/>
        <v/>
      </c>
      <c r="BD66" s="567" t="str">
        <f t="shared" si="37"/>
        <v/>
      </c>
      <c r="BE66" s="467" t="str">
        <f t="shared" si="38"/>
        <v/>
      </c>
      <c r="BF66" s="469" t="str">
        <f t="shared" ca="1" si="39"/>
        <v/>
      </c>
      <c r="BG66" s="469" t="str">
        <f t="shared" ca="1" si="40"/>
        <v/>
      </c>
      <c r="BH66" s="467" t="str">
        <f t="shared" si="41"/>
        <v/>
      </c>
      <c r="BI66" s="467" t="str">
        <f t="shared" ca="1" si="42"/>
        <v/>
      </c>
      <c r="BJ66" s="469" t="str">
        <f t="shared" si="43"/>
        <v/>
      </c>
      <c r="BK66" s="470" t="str">
        <f t="shared" si="22"/>
        <v/>
      </c>
      <c r="BL66" s="775" t="str">
        <f t="shared" si="44"/>
        <v/>
      </c>
      <c r="BM66" s="775" t="str">
        <f t="shared" si="45"/>
        <v/>
      </c>
      <c r="BO66" s="472"/>
      <c r="BT66" s="16"/>
      <c r="CO66" s="16"/>
      <c r="CP66" s="16"/>
    </row>
    <row r="67" spans="1:94" s="471" customFormat="1">
      <c r="A67" s="473">
        <v>11</v>
      </c>
      <c r="B67" s="132"/>
      <c r="C67" s="332"/>
      <c r="D67" s="333"/>
      <c r="E67" s="333"/>
      <c r="F67" s="334"/>
      <c r="G67" s="337"/>
      <c r="H67" s="131"/>
      <c r="I67" s="337"/>
      <c r="J67" s="131"/>
      <c r="K67" s="458" t="str">
        <f t="shared" si="0"/>
        <v/>
      </c>
      <c r="L67" s="458">
        <f t="shared" si="23"/>
        <v>0</v>
      </c>
      <c r="M67" s="458">
        <f t="shared" si="24"/>
        <v>0</v>
      </c>
      <c r="N67" s="459" t="str">
        <f t="shared" si="1"/>
        <v/>
      </c>
      <c r="O67" s="459" t="str">
        <f t="shared" si="2"/>
        <v/>
      </c>
      <c r="P67" s="459" t="str">
        <f t="shared" si="3"/>
        <v/>
      </c>
      <c r="Q67" s="459" t="str">
        <f t="shared" si="4"/>
        <v/>
      </c>
      <c r="R67" s="459" t="str">
        <f t="shared" si="5"/>
        <v/>
      </c>
      <c r="S67" s="459" t="str">
        <f t="shared" si="6"/>
        <v/>
      </c>
      <c r="T67" s="566" t="str">
        <f t="shared" si="25"/>
        <v/>
      </c>
      <c r="U67" s="702"/>
      <c r="V67" s="132"/>
      <c r="W67" s="133"/>
      <c r="X67" s="134"/>
      <c r="Y67" s="135"/>
      <c r="Z67" s="137"/>
      <c r="AA67" s="136"/>
      <c r="AB67" s="566" t="str">
        <f t="shared" si="26"/>
        <v/>
      </c>
      <c r="AC67" s="568" t="str">
        <f t="shared" si="27"/>
        <v/>
      </c>
      <c r="AD67" s="137"/>
      <c r="AE67" s="137"/>
      <c r="AF67" s="138"/>
      <c r="AG67" s="138"/>
      <c r="AH67" s="592" t="str">
        <f t="shared" si="7"/>
        <v/>
      </c>
      <c r="AI67" s="592" t="str">
        <f t="shared" si="8"/>
        <v/>
      </c>
      <c r="AJ67" s="592" t="str">
        <f t="shared" si="9"/>
        <v/>
      </c>
      <c r="AK67" s="460" t="str">
        <f>IF(AU67="","",IF(OR(AZ67=8,AZ67=9),0,IF(OR(AW67=3,AW67=4,AW67=5,AW67=6),IF(LEFT(BF67,1)="1",INDEX(係数_NOX・PM低減,MATCH(AY67,【参考】排出係数!$AI$801:$AI$804,1),1),VLOOKUP(AU67,INDEX((係数_バス貨物_ガソリン,係数_バス貨物_CNG,係数_バス貨物_軽油,係数_バス貨物_メタノール,係数_バス貨物_LPG),MATCH(AY67,【参考】排出係数!$AI$4:$AI$671,1),1,BE67):INDEX((係数_バス貨物_ガソリン,係数_バス貨物_CNG,係数_バス貨物_軽油,係数_バス貨物_メタノール,係数_バス貨物_LPG),MATCH(AY67+1,【参考】排出係数!$AI$4:$AI$671,1)-1,5,BE67),4,FALSE)),IF(AND(BE67=3,LEFT(BF67,1)="1"),0.48,VLOOKUP(AU67,INDEX((係数_乗用_ガソリン,係数_乗用_CNG,係数_乗用_軽油,係数_乗用_メタノール,係数_乗用_LPG),1,1,BE67):INDEX((係数_乗用_ガソリン,係数_乗用_CNG,係数_乗用_軽油,係数_乗用_メタノール,係数_乗用_LPG),125,5,BE67),4,FALSE)))))</f>
        <v/>
      </c>
      <c r="AL67" s="461" t="str">
        <f t="shared" si="50"/>
        <v/>
      </c>
      <c r="AM67" s="460" t="str">
        <f>IF(AU67="","",IF(OR(AZ67=8,AZ67=9),0,IF(OR(AW67=3,AW67=4,AW67=5,AW67=6),IF(LEFT(BH67,1)="1",INDEX(係数_PM低減,MATCH(AY67,【参考】排出係数!$AI$801:$AI$804,1),MATCH(BI67,【参考】排出係数!$AL$798:$AO$798,1)),VLOOKUP(AU67,INDEX((係数_バス貨物_ガソリン,係数_バス貨物_CNG,係数_バス貨物_軽油,係数_バス貨物_メタノール,係数_バス貨物_LPG),MATCH(AY67,【参考】排出係数!$AI$4:$AI$671,1),1,BE67):INDEX((係数_バス貨物_ガソリン,係数_バス貨物_CNG,係数_バス貨物_軽油,係数_バス貨物_メタノール,係数_バス貨物_LPG),MATCH(AY67+1,【参考】排出係数!$AI$4:$AI$671,1)-1,5,BE67),5,FALSE)),IF(AND(BE67=3,LEFT(BF67,1)="1"),0.055,VLOOKUP(AU67,INDEX((係数_乗用_ガソリン,係数_乗用_CNG,係数_乗用_軽油,係数_乗用_メタノール,係数_乗用_LPG),1,1,BE67):INDEX((係数_乗用_ガソリン,係数_乗用_CNG,係数_乗用_軽油,係数_乗用_メタノール,係数_乗用_LPG),125,5,BE67),5,FALSE)))))</f>
        <v/>
      </c>
      <c r="AN67" s="461" t="str">
        <f t="shared" si="51"/>
        <v/>
      </c>
      <c r="AO67" s="462" t="str">
        <f t="shared" si="52"/>
        <v/>
      </c>
      <c r="AP67" s="463" t="str">
        <f t="shared" si="53"/>
        <v/>
      </c>
      <c r="AQ67" s="464"/>
      <c r="AR67" s="619"/>
      <c r="AS67" s="465" t="str">
        <f t="shared" si="28"/>
        <v/>
      </c>
      <c r="AT67" s="465" t="str">
        <f t="shared" si="29"/>
        <v/>
      </c>
      <c r="AU67" s="466" t="str">
        <f t="shared" si="30"/>
        <v/>
      </c>
      <c r="AV67" s="467" t="str">
        <f t="shared" si="31"/>
        <v/>
      </c>
      <c r="AW67" s="467" t="str">
        <f t="shared" si="32"/>
        <v/>
      </c>
      <c r="AX67" s="467" t="str">
        <f t="shared" si="33"/>
        <v/>
      </c>
      <c r="AY67" s="467" t="str">
        <f t="shared" si="34"/>
        <v/>
      </c>
      <c r="AZ67" s="467" t="str">
        <f t="shared" si="35"/>
        <v/>
      </c>
      <c r="BA67" s="468" t="str">
        <f>IF(AS67="","",IF(OR(AU67="",AU67="-"),"－",IF(OR(AZ67=8,AZ67=9),"",IF(OR(AW67=3,AW67=4,AW67=5,AW67=6),VLOOKUP(AU67,INDEX((係数_バス貨物_ガソリン,係数_バス貨物_CNG,係数_バス貨物_軽油,係数_バス貨物_メタノール,係数_バス貨物_LPG),MATCH(AY67,【参考】排出係数!$AI$4:$AI$671,1),1,BE67):INDEX((係数_バス貨物_ガソリン,係数_バス貨物_CNG,係数_バス貨物_軽油,係数_バス貨物_メタノール,係数_バス貨物_LPG),MATCH(AY67+1,【参考】排出係数!$AI$4:$AI$671,1)-1,5,BE67),2,FALSE),IF(OR(AW67=1,AW67=2),VLOOKUP(AU67,INDEX((係数_乗用_ガソリン,係数_乗用_CNG,係数_乗用_軽油,係数_乗用_メタノール,係数_乗用_LPG),1,1,BE67):INDEX((係数_乗用_ガソリン,係数_乗用_CNG,係数_乗用_軽油,係数_乗用_メタノール,係数_乗用_LPG),125,5,BE67),2,FALSE))))))</f>
        <v/>
      </c>
      <c r="BB67" s="468" t="str">
        <f>IF(T67="","",IF(OR(AU67="",AU67="-"),"－",IF(OR(AZ67=8,AZ67=9),"",IF(OR(AW67=3,AW67=4,AW67=5,AW67=6),VLOOKUP(AU67,INDEX((係数_バス貨物_ガソリン,係数_バス貨物_CNG,係数_バス貨物_軽油,係数_バス貨物_メタノール,係数_バス貨物_LPG),MATCH(AY67,【参考】排出係数!$AI$4:$AI$671,1),1,BE67):INDEX((係数_バス貨物_ガソリン,係数_バス貨物_CNG,係数_バス貨物_軽油,係数_バス貨物_メタノール,係数_バス貨物_LPG),MATCH(AY67+1,【参考】排出係数!$AI$4:$AI$671,1)-1,5,BE67),3,FALSE),IF(OR(AW67=1,AW67=2),VLOOKUP(AU67,INDEX((係数_乗用_ガソリン,係数_乗用_CNG,係数_乗用_軽油,係数_乗用_メタノール,係数_乗用_LPG),1,1,BE67):INDEX((係数_乗用_ガソリン,係数_乗用_CNG,係数_乗用_軽油,係数_乗用_メタノール,係数_乗用_LPG),125,5,BE67),3,FALSE))))))</f>
        <v/>
      </c>
      <c r="BC67" s="467" t="str">
        <f t="shared" si="36"/>
        <v/>
      </c>
      <c r="BD67" s="567" t="str">
        <f t="shared" si="37"/>
        <v/>
      </c>
      <c r="BE67" s="467" t="str">
        <f t="shared" si="38"/>
        <v/>
      </c>
      <c r="BF67" s="469" t="str">
        <f t="shared" ca="1" si="39"/>
        <v/>
      </c>
      <c r="BG67" s="469" t="str">
        <f t="shared" ca="1" si="40"/>
        <v/>
      </c>
      <c r="BH67" s="467" t="str">
        <f t="shared" si="41"/>
        <v/>
      </c>
      <c r="BI67" s="467" t="str">
        <f t="shared" ca="1" si="42"/>
        <v/>
      </c>
      <c r="BJ67" s="469" t="str">
        <f t="shared" si="43"/>
        <v/>
      </c>
      <c r="BK67" s="470" t="str">
        <f t="shared" si="22"/>
        <v/>
      </c>
      <c r="BL67" s="775" t="str">
        <f t="shared" si="44"/>
        <v/>
      </c>
      <c r="BM67" s="775" t="str">
        <f t="shared" si="45"/>
        <v/>
      </c>
      <c r="BO67" s="472"/>
      <c r="BT67" s="16"/>
      <c r="CO67" s="16"/>
      <c r="CP67" s="16"/>
    </row>
    <row r="68" spans="1:94" s="471" customFormat="1">
      <c r="A68" s="473">
        <v>12</v>
      </c>
      <c r="B68" s="132"/>
      <c r="C68" s="332"/>
      <c r="D68" s="333"/>
      <c r="E68" s="333"/>
      <c r="F68" s="334"/>
      <c r="G68" s="337"/>
      <c r="H68" s="131"/>
      <c r="I68" s="337"/>
      <c r="J68" s="131"/>
      <c r="K68" s="458" t="str">
        <f t="shared" si="0"/>
        <v/>
      </c>
      <c r="L68" s="458">
        <f t="shared" si="23"/>
        <v>0</v>
      </c>
      <c r="M68" s="458">
        <f t="shared" si="24"/>
        <v>0</v>
      </c>
      <c r="N68" s="459" t="str">
        <f t="shared" si="1"/>
        <v/>
      </c>
      <c r="O68" s="459" t="str">
        <f t="shared" si="2"/>
        <v/>
      </c>
      <c r="P68" s="459" t="str">
        <f t="shared" si="3"/>
        <v/>
      </c>
      <c r="Q68" s="459" t="str">
        <f t="shared" si="4"/>
        <v/>
      </c>
      <c r="R68" s="459" t="str">
        <f t="shared" si="5"/>
        <v/>
      </c>
      <c r="S68" s="459" t="str">
        <f t="shared" si="6"/>
        <v/>
      </c>
      <c r="T68" s="566" t="str">
        <f t="shared" si="25"/>
        <v/>
      </c>
      <c r="U68" s="702"/>
      <c r="V68" s="132"/>
      <c r="W68" s="133"/>
      <c r="X68" s="134"/>
      <c r="Y68" s="135"/>
      <c r="Z68" s="137"/>
      <c r="AA68" s="136"/>
      <c r="AB68" s="566" t="str">
        <f t="shared" si="26"/>
        <v/>
      </c>
      <c r="AC68" s="568" t="str">
        <f t="shared" si="27"/>
        <v/>
      </c>
      <c r="AD68" s="137"/>
      <c r="AE68" s="137"/>
      <c r="AF68" s="138"/>
      <c r="AG68" s="138"/>
      <c r="AH68" s="592" t="str">
        <f t="shared" si="7"/>
        <v/>
      </c>
      <c r="AI68" s="592" t="str">
        <f t="shared" si="8"/>
        <v/>
      </c>
      <c r="AJ68" s="592" t="str">
        <f t="shared" si="9"/>
        <v/>
      </c>
      <c r="AK68" s="460" t="str">
        <f>IF(AU68="","",IF(OR(AZ68=8,AZ68=9),0,IF(OR(AW68=3,AW68=4,AW68=5,AW68=6),IF(LEFT(BF68,1)="1",INDEX(係数_NOX・PM低減,MATCH(AY68,【参考】排出係数!$AI$801:$AI$804,1),1),VLOOKUP(AU68,INDEX((係数_バス貨物_ガソリン,係数_バス貨物_CNG,係数_バス貨物_軽油,係数_バス貨物_メタノール,係数_バス貨物_LPG),MATCH(AY68,【参考】排出係数!$AI$4:$AI$671,1),1,BE68):INDEX((係数_バス貨物_ガソリン,係数_バス貨物_CNG,係数_バス貨物_軽油,係数_バス貨物_メタノール,係数_バス貨物_LPG),MATCH(AY68+1,【参考】排出係数!$AI$4:$AI$671,1)-1,5,BE68),4,FALSE)),IF(AND(BE68=3,LEFT(BF68,1)="1"),0.48,VLOOKUP(AU68,INDEX((係数_乗用_ガソリン,係数_乗用_CNG,係数_乗用_軽油,係数_乗用_メタノール,係数_乗用_LPG),1,1,BE68):INDEX((係数_乗用_ガソリン,係数_乗用_CNG,係数_乗用_軽油,係数_乗用_メタノール,係数_乗用_LPG),125,5,BE68),4,FALSE)))))</f>
        <v/>
      </c>
      <c r="AL68" s="461" t="str">
        <f t="shared" si="50"/>
        <v/>
      </c>
      <c r="AM68" s="460" t="str">
        <f>IF(AU68="","",IF(OR(AZ68=8,AZ68=9),0,IF(OR(AW68=3,AW68=4,AW68=5,AW68=6),IF(LEFT(BH68,1)="1",INDEX(係数_PM低減,MATCH(AY68,【参考】排出係数!$AI$801:$AI$804,1),MATCH(BI68,【参考】排出係数!$AL$798:$AO$798,1)),VLOOKUP(AU68,INDEX((係数_バス貨物_ガソリン,係数_バス貨物_CNG,係数_バス貨物_軽油,係数_バス貨物_メタノール,係数_バス貨物_LPG),MATCH(AY68,【参考】排出係数!$AI$4:$AI$671,1),1,BE68):INDEX((係数_バス貨物_ガソリン,係数_バス貨物_CNG,係数_バス貨物_軽油,係数_バス貨物_メタノール,係数_バス貨物_LPG),MATCH(AY68+1,【参考】排出係数!$AI$4:$AI$671,1)-1,5,BE68),5,FALSE)),IF(AND(BE68=3,LEFT(BF68,1)="1"),0.055,VLOOKUP(AU68,INDEX((係数_乗用_ガソリン,係数_乗用_CNG,係数_乗用_軽油,係数_乗用_メタノール,係数_乗用_LPG),1,1,BE68):INDEX((係数_乗用_ガソリン,係数_乗用_CNG,係数_乗用_軽油,係数_乗用_メタノール,係数_乗用_LPG),125,5,BE68),5,FALSE)))))</f>
        <v/>
      </c>
      <c r="AN68" s="461" t="str">
        <f t="shared" si="51"/>
        <v/>
      </c>
      <c r="AO68" s="462" t="str">
        <f t="shared" si="52"/>
        <v/>
      </c>
      <c r="AP68" s="463" t="str">
        <f t="shared" si="53"/>
        <v/>
      </c>
      <c r="AQ68" s="464"/>
      <c r="AR68" s="619"/>
      <c r="AS68" s="465" t="str">
        <f t="shared" si="28"/>
        <v/>
      </c>
      <c r="AT68" s="465" t="str">
        <f t="shared" si="29"/>
        <v/>
      </c>
      <c r="AU68" s="466" t="str">
        <f t="shared" si="30"/>
        <v/>
      </c>
      <c r="AV68" s="467" t="str">
        <f t="shared" si="31"/>
        <v/>
      </c>
      <c r="AW68" s="467" t="str">
        <f t="shared" si="32"/>
        <v/>
      </c>
      <c r="AX68" s="467" t="str">
        <f t="shared" si="33"/>
        <v/>
      </c>
      <c r="AY68" s="467" t="str">
        <f t="shared" si="34"/>
        <v/>
      </c>
      <c r="AZ68" s="467" t="str">
        <f t="shared" si="35"/>
        <v/>
      </c>
      <c r="BA68" s="468" t="str">
        <f>IF(AS68="","",IF(OR(AU68="",AU68="-"),"－",IF(OR(AZ68=8,AZ68=9),"",IF(OR(AW68=3,AW68=4,AW68=5,AW68=6),VLOOKUP(AU68,INDEX((係数_バス貨物_ガソリン,係数_バス貨物_CNG,係数_バス貨物_軽油,係数_バス貨物_メタノール,係数_バス貨物_LPG),MATCH(AY68,【参考】排出係数!$AI$4:$AI$671,1),1,BE68):INDEX((係数_バス貨物_ガソリン,係数_バス貨物_CNG,係数_バス貨物_軽油,係数_バス貨物_メタノール,係数_バス貨物_LPG),MATCH(AY68+1,【参考】排出係数!$AI$4:$AI$671,1)-1,5,BE68),2,FALSE),IF(OR(AW68=1,AW68=2),VLOOKUP(AU68,INDEX((係数_乗用_ガソリン,係数_乗用_CNG,係数_乗用_軽油,係数_乗用_メタノール,係数_乗用_LPG),1,1,BE68):INDEX((係数_乗用_ガソリン,係数_乗用_CNG,係数_乗用_軽油,係数_乗用_メタノール,係数_乗用_LPG),125,5,BE68),2,FALSE))))))</f>
        <v/>
      </c>
      <c r="BB68" s="468" t="str">
        <f>IF(T68="","",IF(OR(AU68="",AU68="-"),"－",IF(OR(AZ68=8,AZ68=9),"",IF(OR(AW68=3,AW68=4,AW68=5,AW68=6),VLOOKUP(AU68,INDEX((係数_バス貨物_ガソリン,係数_バス貨物_CNG,係数_バス貨物_軽油,係数_バス貨物_メタノール,係数_バス貨物_LPG),MATCH(AY68,【参考】排出係数!$AI$4:$AI$671,1),1,BE68):INDEX((係数_バス貨物_ガソリン,係数_バス貨物_CNG,係数_バス貨物_軽油,係数_バス貨物_メタノール,係数_バス貨物_LPG),MATCH(AY68+1,【参考】排出係数!$AI$4:$AI$671,1)-1,5,BE68),3,FALSE),IF(OR(AW68=1,AW68=2),VLOOKUP(AU68,INDEX((係数_乗用_ガソリン,係数_乗用_CNG,係数_乗用_軽油,係数_乗用_メタノール,係数_乗用_LPG),1,1,BE68):INDEX((係数_乗用_ガソリン,係数_乗用_CNG,係数_乗用_軽油,係数_乗用_メタノール,係数_乗用_LPG),125,5,BE68),3,FALSE))))))</f>
        <v/>
      </c>
      <c r="BC68" s="467" t="str">
        <f t="shared" si="36"/>
        <v/>
      </c>
      <c r="BD68" s="567" t="str">
        <f t="shared" si="37"/>
        <v/>
      </c>
      <c r="BE68" s="467" t="str">
        <f t="shared" si="38"/>
        <v/>
      </c>
      <c r="BF68" s="469" t="str">
        <f t="shared" ca="1" si="39"/>
        <v/>
      </c>
      <c r="BG68" s="469" t="str">
        <f t="shared" ca="1" si="40"/>
        <v/>
      </c>
      <c r="BH68" s="467" t="str">
        <f t="shared" si="41"/>
        <v/>
      </c>
      <c r="BI68" s="467" t="str">
        <f t="shared" ca="1" si="42"/>
        <v/>
      </c>
      <c r="BJ68" s="469" t="str">
        <f t="shared" si="43"/>
        <v/>
      </c>
      <c r="BK68" s="470" t="str">
        <f t="shared" si="22"/>
        <v/>
      </c>
      <c r="BL68" s="775" t="str">
        <f t="shared" si="44"/>
        <v/>
      </c>
      <c r="BM68" s="775" t="str">
        <f t="shared" si="45"/>
        <v/>
      </c>
      <c r="BO68" s="472"/>
      <c r="BT68" s="16"/>
      <c r="CO68" s="16"/>
      <c r="CP68" s="16"/>
    </row>
    <row r="69" spans="1:94" s="471" customFormat="1">
      <c r="A69" s="473">
        <v>13</v>
      </c>
      <c r="B69" s="132"/>
      <c r="C69" s="332"/>
      <c r="D69" s="333"/>
      <c r="E69" s="333"/>
      <c r="F69" s="334"/>
      <c r="G69" s="337"/>
      <c r="H69" s="131"/>
      <c r="I69" s="337"/>
      <c r="J69" s="131"/>
      <c r="K69" s="458" t="str">
        <f t="shared" si="0"/>
        <v/>
      </c>
      <c r="L69" s="458">
        <f t="shared" si="23"/>
        <v>0</v>
      </c>
      <c r="M69" s="458">
        <f t="shared" si="24"/>
        <v>0</v>
      </c>
      <c r="N69" s="459" t="str">
        <f t="shared" si="1"/>
        <v/>
      </c>
      <c r="O69" s="459" t="str">
        <f t="shared" si="2"/>
        <v/>
      </c>
      <c r="P69" s="459" t="str">
        <f t="shared" si="3"/>
        <v/>
      </c>
      <c r="Q69" s="459" t="str">
        <f t="shared" si="4"/>
        <v/>
      </c>
      <c r="R69" s="459" t="str">
        <f t="shared" si="5"/>
        <v/>
      </c>
      <c r="S69" s="459" t="str">
        <f t="shared" si="6"/>
        <v/>
      </c>
      <c r="T69" s="566" t="str">
        <f t="shared" si="25"/>
        <v/>
      </c>
      <c r="U69" s="702"/>
      <c r="V69" s="132"/>
      <c r="W69" s="133"/>
      <c r="X69" s="134"/>
      <c r="Y69" s="135"/>
      <c r="Z69" s="137"/>
      <c r="AA69" s="136"/>
      <c r="AB69" s="566" t="str">
        <f t="shared" si="26"/>
        <v/>
      </c>
      <c r="AC69" s="568" t="str">
        <f t="shared" si="27"/>
        <v/>
      </c>
      <c r="AD69" s="137"/>
      <c r="AE69" s="137"/>
      <c r="AF69" s="138"/>
      <c r="AG69" s="138"/>
      <c r="AH69" s="592" t="str">
        <f t="shared" si="7"/>
        <v/>
      </c>
      <c r="AI69" s="592" t="str">
        <f t="shared" si="8"/>
        <v/>
      </c>
      <c r="AJ69" s="592" t="str">
        <f t="shared" si="9"/>
        <v/>
      </c>
      <c r="AK69" s="460" t="str">
        <f>IF(AU69="","",IF(OR(AZ69=8,AZ69=9),0,IF(OR(AW69=3,AW69=4,AW69=5,AW69=6),IF(LEFT(BF69,1)="1",INDEX(係数_NOX・PM低減,MATCH(AY69,【参考】排出係数!$AI$801:$AI$804,1),1),VLOOKUP(AU69,INDEX((係数_バス貨物_ガソリン,係数_バス貨物_CNG,係数_バス貨物_軽油,係数_バス貨物_メタノール,係数_バス貨物_LPG),MATCH(AY69,【参考】排出係数!$AI$4:$AI$671,1),1,BE69):INDEX((係数_バス貨物_ガソリン,係数_バス貨物_CNG,係数_バス貨物_軽油,係数_バス貨物_メタノール,係数_バス貨物_LPG),MATCH(AY69+1,【参考】排出係数!$AI$4:$AI$671,1)-1,5,BE69),4,FALSE)),IF(AND(BE69=3,LEFT(BF69,1)="1"),0.48,VLOOKUP(AU69,INDEX((係数_乗用_ガソリン,係数_乗用_CNG,係数_乗用_軽油,係数_乗用_メタノール,係数_乗用_LPG),1,1,BE69):INDEX((係数_乗用_ガソリン,係数_乗用_CNG,係数_乗用_軽油,係数_乗用_メタノール,係数_乗用_LPG),125,5,BE69),4,FALSE)))))</f>
        <v/>
      </c>
      <c r="AL69" s="461" t="str">
        <f t="shared" si="50"/>
        <v/>
      </c>
      <c r="AM69" s="460" t="str">
        <f>IF(AU69="","",IF(OR(AZ69=8,AZ69=9),0,IF(OR(AW69=3,AW69=4,AW69=5,AW69=6),IF(LEFT(BH69,1)="1",INDEX(係数_PM低減,MATCH(AY69,【参考】排出係数!$AI$801:$AI$804,1),MATCH(BI69,【参考】排出係数!$AL$798:$AO$798,1)),VLOOKUP(AU69,INDEX((係数_バス貨物_ガソリン,係数_バス貨物_CNG,係数_バス貨物_軽油,係数_バス貨物_メタノール,係数_バス貨物_LPG),MATCH(AY69,【参考】排出係数!$AI$4:$AI$671,1),1,BE69):INDEX((係数_バス貨物_ガソリン,係数_バス貨物_CNG,係数_バス貨物_軽油,係数_バス貨物_メタノール,係数_バス貨物_LPG),MATCH(AY69+1,【参考】排出係数!$AI$4:$AI$671,1)-1,5,BE69),5,FALSE)),IF(AND(BE69=3,LEFT(BF69,1)="1"),0.055,VLOOKUP(AU69,INDEX((係数_乗用_ガソリン,係数_乗用_CNG,係数_乗用_軽油,係数_乗用_メタノール,係数_乗用_LPG),1,1,BE69):INDEX((係数_乗用_ガソリン,係数_乗用_CNG,係数_乗用_軽油,係数_乗用_メタノール,係数_乗用_LPG),125,5,BE69),5,FALSE)))))</f>
        <v/>
      </c>
      <c r="AN69" s="461" t="str">
        <f t="shared" si="51"/>
        <v/>
      </c>
      <c r="AO69" s="462" t="str">
        <f t="shared" si="52"/>
        <v/>
      </c>
      <c r="AP69" s="463" t="str">
        <f t="shared" si="53"/>
        <v/>
      </c>
      <c r="AQ69" s="464"/>
      <c r="AR69" s="619"/>
      <c r="AS69" s="465" t="str">
        <f t="shared" si="28"/>
        <v/>
      </c>
      <c r="AT69" s="465" t="str">
        <f t="shared" si="29"/>
        <v/>
      </c>
      <c r="AU69" s="466" t="str">
        <f t="shared" si="30"/>
        <v/>
      </c>
      <c r="AV69" s="467" t="str">
        <f t="shared" si="31"/>
        <v/>
      </c>
      <c r="AW69" s="467" t="str">
        <f t="shared" si="32"/>
        <v/>
      </c>
      <c r="AX69" s="467" t="str">
        <f t="shared" si="33"/>
        <v/>
      </c>
      <c r="AY69" s="467" t="str">
        <f t="shared" si="34"/>
        <v/>
      </c>
      <c r="AZ69" s="467" t="str">
        <f t="shared" si="35"/>
        <v/>
      </c>
      <c r="BA69" s="468" t="str">
        <f>IF(AS69="","",IF(OR(AU69="",AU69="-"),"－",IF(OR(AZ69=8,AZ69=9),"",IF(OR(AW69=3,AW69=4,AW69=5,AW69=6),VLOOKUP(AU69,INDEX((係数_バス貨物_ガソリン,係数_バス貨物_CNG,係数_バス貨物_軽油,係数_バス貨物_メタノール,係数_バス貨物_LPG),MATCH(AY69,【参考】排出係数!$AI$4:$AI$671,1),1,BE69):INDEX((係数_バス貨物_ガソリン,係数_バス貨物_CNG,係数_バス貨物_軽油,係数_バス貨物_メタノール,係数_バス貨物_LPG),MATCH(AY69+1,【参考】排出係数!$AI$4:$AI$671,1)-1,5,BE69),2,FALSE),IF(OR(AW69=1,AW69=2),VLOOKUP(AU69,INDEX((係数_乗用_ガソリン,係数_乗用_CNG,係数_乗用_軽油,係数_乗用_メタノール,係数_乗用_LPG),1,1,BE69):INDEX((係数_乗用_ガソリン,係数_乗用_CNG,係数_乗用_軽油,係数_乗用_メタノール,係数_乗用_LPG),125,5,BE69),2,FALSE))))))</f>
        <v/>
      </c>
      <c r="BB69" s="468" t="str">
        <f>IF(T69="","",IF(OR(AU69="",AU69="-"),"－",IF(OR(AZ69=8,AZ69=9),"",IF(OR(AW69=3,AW69=4,AW69=5,AW69=6),VLOOKUP(AU69,INDEX((係数_バス貨物_ガソリン,係数_バス貨物_CNG,係数_バス貨物_軽油,係数_バス貨物_メタノール,係数_バス貨物_LPG),MATCH(AY69,【参考】排出係数!$AI$4:$AI$671,1),1,BE69):INDEX((係数_バス貨物_ガソリン,係数_バス貨物_CNG,係数_バス貨物_軽油,係数_バス貨物_メタノール,係数_バス貨物_LPG),MATCH(AY69+1,【参考】排出係数!$AI$4:$AI$671,1)-1,5,BE69),3,FALSE),IF(OR(AW69=1,AW69=2),VLOOKUP(AU69,INDEX((係数_乗用_ガソリン,係数_乗用_CNG,係数_乗用_軽油,係数_乗用_メタノール,係数_乗用_LPG),1,1,BE69):INDEX((係数_乗用_ガソリン,係数_乗用_CNG,係数_乗用_軽油,係数_乗用_メタノール,係数_乗用_LPG),125,5,BE69),3,FALSE))))))</f>
        <v/>
      </c>
      <c r="BC69" s="467" t="str">
        <f t="shared" si="36"/>
        <v/>
      </c>
      <c r="BD69" s="567" t="str">
        <f t="shared" si="37"/>
        <v/>
      </c>
      <c r="BE69" s="467" t="str">
        <f t="shared" si="38"/>
        <v/>
      </c>
      <c r="BF69" s="469" t="str">
        <f t="shared" ca="1" si="39"/>
        <v/>
      </c>
      <c r="BG69" s="469" t="str">
        <f t="shared" ca="1" si="40"/>
        <v/>
      </c>
      <c r="BH69" s="467" t="str">
        <f t="shared" si="41"/>
        <v/>
      </c>
      <c r="BI69" s="467" t="str">
        <f t="shared" ca="1" si="42"/>
        <v/>
      </c>
      <c r="BJ69" s="469" t="str">
        <f t="shared" si="43"/>
        <v/>
      </c>
      <c r="BK69" s="470" t="str">
        <f t="shared" si="22"/>
        <v/>
      </c>
      <c r="BL69" s="775" t="str">
        <f t="shared" si="44"/>
        <v/>
      </c>
      <c r="BM69" s="775" t="str">
        <f t="shared" si="45"/>
        <v/>
      </c>
      <c r="BO69" s="472"/>
      <c r="BT69" s="16"/>
      <c r="CO69" s="16"/>
      <c r="CP69" s="16"/>
    </row>
    <row r="70" spans="1:94" s="471" customFormat="1">
      <c r="A70" s="473">
        <v>14</v>
      </c>
      <c r="B70" s="132"/>
      <c r="C70" s="332"/>
      <c r="D70" s="333"/>
      <c r="E70" s="333"/>
      <c r="F70" s="334"/>
      <c r="G70" s="337"/>
      <c r="H70" s="131"/>
      <c r="I70" s="337"/>
      <c r="J70" s="131"/>
      <c r="K70" s="458" t="str">
        <f t="shared" si="0"/>
        <v/>
      </c>
      <c r="L70" s="458">
        <f t="shared" si="23"/>
        <v>0</v>
      </c>
      <c r="M70" s="458">
        <f t="shared" si="24"/>
        <v>0</v>
      </c>
      <c r="N70" s="459" t="str">
        <f t="shared" si="1"/>
        <v/>
      </c>
      <c r="O70" s="459" t="str">
        <f t="shared" si="2"/>
        <v/>
      </c>
      <c r="P70" s="459" t="str">
        <f t="shared" si="3"/>
        <v/>
      </c>
      <c r="Q70" s="459" t="str">
        <f t="shared" si="4"/>
        <v/>
      </c>
      <c r="R70" s="459" t="str">
        <f t="shared" si="5"/>
        <v/>
      </c>
      <c r="S70" s="459" t="str">
        <f t="shared" si="6"/>
        <v/>
      </c>
      <c r="T70" s="566" t="str">
        <f t="shared" si="25"/>
        <v/>
      </c>
      <c r="U70" s="702"/>
      <c r="V70" s="132"/>
      <c r="W70" s="133"/>
      <c r="X70" s="134"/>
      <c r="Y70" s="135"/>
      <c r="Z70" s="137"/>
      <c r="AA70" s="136"/>
      <c r="AB70" s="566" t="str">
        <f t="shared" si="26"/>
        <v/>
      </c>
      <c r="AC70" s="568" t="str">
        <f t="shared" si="27"/>
        <v/>
      </c>
      <c r="AD70" s="137"/>
      <c r="AE70" s="137"/>
      <c r="AF70" s="138"/>
      <c r="AG70" s="138"/>
      <c r="AH70" s="592" t="str">
        <f t="shared" si="7"/>
        <v/>
      </c>
      <c r="AI70" s="592" t="str">
        <f t="shared" si="8"/>
        <v/>
      </c>
      <c r="AJ70" s="592" t="str">
        <f t="shared" si="9"/>
        <v/>
      </c>
      <c r="AK70" s="460" t="str">
        <f>IF(AU70="","",IF(OR(AZ70=8,AZ70=9),0,IF(OR(AW70=3,AW70=4,AW70=5,AW70=6),IF(LEFT(BF70,1)="1",INDEX(係数_NOX・PM低減,MATCH(AY70,【参考】排出係数!$AI$801:$AI$804,1),1),VLOOKUP(AU70,INDEX((係数_バス貨物_ガソリン,係数_バス貨物_CNG,係数_バス貨物_軽油,係数_バス貨物_メタノール,係数_バス貨物_LPG),MATCH(AY70,【参考】排出係数!$AI$4:$AI$671,1),1,BE70):INDEX((係数_バス貨物_ガソリン,係数_バス貨物_CNG,係数_バス貨物_軽油,係数_バス貨物_メタノール,係数_バス貨物_LPG),MATCH(AY70+1,【参考】排出係数!$AI$4:$AI$671,1)-1,5,BE70),4,FALSE)),IF(AND(BE70=3,LEFT(BF70,1)="1"),0.48,VLOOKUP(AU70,INDEX((係数_乗用_ガソリン,係数_乗用_CNG,係数_乗用_軽油,係数_乗用_メタノール,係数_乗用_LPG),1,1,BE70):INDEX((係数_乗用_ガソリン,係数_乗用_CNG,係数_乗用_軽油,係数_乗用_メタノール,係数_乗用_LPG),125,5,BE70),4,FALSE)))))</f>
        <v/>
      </c>
      <c r="AL70" s="461" t="str">
        <f t="shared" si="50"/>
        <v/>
      </c>
      <c r="AM70" s="460" t="str">
        <f>IF(AU70="","",IF(OR(AZ70=8,AZ70=9),0,IF(OR(AW70=3,AW70=4,AW70=5,AW70=6),IF(LEFT(BH70,1)="1",INDEX(係数_PM低減,MATCH(AY70,【参考】排出係数!$AI$801:$AI$804,1),MATCH(BI70,【参考】排出係数!$AL$798:$AO$798,1)),VLOOKUP(AU70,INDEX((係数_バス貨物_ガソリン,係数_バス貨物_CNG,係数_バス貨物_軽油,係数_バス貨物_メタノール,係数_バス貨物_LPG),MATCH(AY70,【参考】排出係数!$AI$4:$AI$671,1),1,BE70):INDEX((係数_バス貨物_ガソリン,係数_バス貨物_CNG,係数_バス貨物_軽油,係数_バス貨物_メタノール,係数_バス貨物_LPG),MATCH(AY70+1,【参考】排出係数!$AI$4:$AI$671,1)-1,5,BE70),5,FALSE)),IF(AND(BE70=3,LEFT(BF70,1)="1"),0.055,VLOOKUP(AU70,INDEX((係数_乗用_ガソリン,係数_乗用_CNG,係数_乗用_軽油,係数_乗用_メタノール,係数_乗用_LPG),1,1,BE70):INDEX((係数_乗用_ガソリン,係数_乗用_CNG,係数_乗用_軽油,係数_乗用_メタノール,係数_乗用_LPG),125,5,BE70),5,FALSE)))))</f>
        <v/>
      </c>
      <c r="AN70" s="461" t="str">
        <f t="shared" si="51"/>
        <v/>
      </c>
      <c r="AO70" s="462" t="str">
        <f t="shared" si="52"/>
        <v/>
      </c>
      <c r="AP70" s="463" t="str">
        <f t="shared" si="53"/>
        <v/>
      </c>
      <c r="AQ70" s="464"/>
      <c r="AR70" s="619"/>
      <c r="AS70" s="465" t="str">
        <f t="shared" si="28"/>
        <v/>
      </c>
      <c r="AT70" s="465" t="str">
        <f t="shared" si="29"/>
        <v/>
      </c>
      <c r="AU70" s="466" t="str">
        <f t="shared" si="30"/>
        <v/>
      </c>
      <c r="AV70" s="467" t="str">
        <f t="shared" si="31"/>
        <v/>
      </c>
      <c r="AW70" s="467" t="str">
        <f t="shared" si="32"/>
        <v/>
      </c>
      <c r="AX70" s="467" t="str">
        <f t="shared" si="33"/>
        <v/>
      </c>
      <c r="AY70" s="467" t="str">
        <f t="shared" si="34"/>
        <v/>
      </c>
      <c r="AZ70" s="467" t="str">
        <f t="shared" si="35"/>
        <v/>
      </c>
      <c r="BA70" s="468" t="str">
        <f>IF(AS70="","",IF(OR(AU70="",AU70="-"),"－",IF(OR(AZ70=8,AZ70=9),"",IF(OR(AW70=3,AW70=4,AW70=5,AW70=6),VLOOKUP(AU70,INDEX((係数_バス貨物_ガソリン,係数_バス貨物_CNG,係数_バス貨物_軽油,係数_バス貨物_メタノール,係数_バス貨物_LPG),MATCH(AY70,【参考】排出係数!$AI$4:$AI$671,1),1,BE70):INDEX((係数_バス貨物_ガソリン,係数_バス貨物_CNG,係数_バス貨物_軽油,係数_バス貨物_メタノール,係数_バス貨物_LPG),MATCH(AY70+1,【参考】排出係数!$AI$4:$AI$671,1)-1,5,BE70),2,FALSE),IF(OR(AW70=1,AW70=2),VLOOKUP(AU70,INDEX((係数_乗用_ガソリン,係数_乗用_CNG,係数_乗用_軽油,係数_乗用_メタノール,係数_乗用_LPG),1,1,BE70):INDEX((係数_乗用_ガソリン,係数_乗用_CNG,係数_乗用_軽油,係数_乗用_メタノール,係数_乗用_LPG),125,5,BE70),2,FALSE))))))</f>
        <v/>
      </c>
      <c r="BB70" s="468" t="str">
        <f>IF(T70="","",IF(OR(AU70="",AU70="-"),"－",IF(OR(AZ70=8,AZ70=9),"",IF(OR(AW70=3,AW70=4,AW70=5,AW70=6),VLOOKUP(AU70,INDEX((係数_バス貨物_ガソリン,係数_バス貨物_CNG,係数_バス貨物_軽油,係数_バス貨物_メタノール,係数_バス貨物_LPG),MATCH(AY70,【参考】排出係数!$AI$4:$AI$671,1),1,BE70):INDEX((係数_バス貨物_ガソリン,係数_バス貨物_CNG,係数_バス貨物_軽油,係数_バス貨物_メタノール,係数_バス貨物_LPG),MATCH(AY70+1,【参考】排出係数!$AI$4:$AI$671,1)-1,5,BE70),3,FALSE),IF(OR(AW70=1,AW70=2),VLOOKUP(AU70,INDEX((係数_乗用_ガソリン,係数_乗用_CNG,係数_乗用_軽油,係数_乗用_メタノール,係数_乗用_LPG),1,1,BE70):INDEX((係数_乗用_ガソリン,係数_乗用_CNG,係数_乗用_軽油,係数_乗用_メタノール,係数_乗用_LPG),125,5,BE70),3,FALSE))))))</f>
        <v/>
      </c>
      <c r="BC70" s="467" t="str">
        <f t="shared" si="36"/>
        <v/>
      </c>
      <c r="BD70" s="567" t="str">
        <f t="shared" si="37"/>
        <v/>
      </c>
      <c r="BE70" s="467" t="str">
        <f t="shared" si="38"/>
        <v/>
      </c>
      <c r="BF70" s="469" t="str">
        <f t="shared" ca="1" si="39"/>
        <v/>
      </c>
      <c r="BG70" s="469" t="str">
        <f t="shared" ca="1" si="40"/>
        <v/>
      </c>
      <c r="BH70" s="467" t="str">
        <f t="shared" si="41"/>
        <v/>
      </c>
      <c r="BI70" s="467" t="str">
        <f t="shared" ca="1" si="42"/>
        <v/>
      </c>
      <c r="BJ70" s="469" t="str">
        <f t="shared" si="43"/>
        <v/>
      </c>
      <c r="BK70" s="470" t="str">
        <f t="shared" si="22"/>
        <v/>
      </c>
      <c r="BL70" s="775" t="str">
        <f t="shared" si="44"/>
        <v/>
      </c>
      <c r="BM70" s="775" t="str">
        <f t="shared" si="45"/>
        <v/>
      </c>
      <c r="BO70" s="472"/>
      <c r="BT70" s="16"/>
      <c r="CO70" s="16"/>
      <c r="CP70" s="16"/>
    </row>
    <row r="71" spans="1:94" s="471" customFormat="1">
      <c r="A71" s="473">
        <v>15</v>
      </c>
      <c r="B71" s="132"/>
      <c r="C71" s="332"/>
      <c r="D71" s="333"/>
      <c r="E71" s="333"/>
      <c r="F71" s="334"/>
      <c r="G71" s="337"/>
      <c r="H71" s="131"/>
      <c r="I71" s="337"/>
      <c r="J71" s="131"/>
      <c r="K71" s="458" t="str">
        <f t="shared" si="0"/>
        <v/>
      </c>
      <c r="L71" s="458">
        <f t="shared" si="23"/>
        <v>0</v>
      </c>
      <c r="M71" s="458">
        <f t="shared" si="24"/>
        <v>0</v>
      </c>
      <c r="N71" s="459" t="str">
        <f t="shared" si="1"/>
        <v/>
      </c>
      <c r="O71" s="459" t="str">
        <f t="shared" si="2"/>
        <v/>
      </c>
      <c r="P71" s="459" t="str">
        <f t="shared" si="3"/>
        <v/>
      </c>
      <c r="Q71" s="459" t="str">
        <f t="shared" si="4"/>
        <v/>
      </c>
      <c r="R71" s="459" t="str">
        <f t="shared" si="5"/>
        <v/>
      </c>
      <c r="S71" s="459" t="str">
        <f t="shared" si="6"/>
        <v/>
      </c>
      <c r="T71" s="566" t="str">
        <f t="shared" si="25"/>
        <v/>
      </c>
      <c r="U71" s="702"/>
      <c r="V71" s="132"/>
      <c r="W71" s="133"/>
      <c r="X71" s="134"/>
      <c r="Y71" s="135"/>
      <c r="Z71" s="137"/>
      <c r="AA71" s="136"/>
      <c r="AB71" s="566" t="str">
        <f t="shared" si="26"/>
        <v/>
      </c>
      <c r="AC71" s="568" t="str">
        <f t="shared" si="27"/>
        <v/>
      </c>
      <c r="AD71" s="137"/>
      <c r="AE71" s="137"/>
      <c r="AF71" s="138"/>
      <c r="AG71" s="138"/>
      <c r="AH71" s="592" t="str">
        <f t="shared" si="7"/>
        <v/>
      </c>
      <c r="AI71" s="592" t="str">
        <f t="shared" si="8"/>
        <v/>
      </c>
      <c r="AJ71" s="592" t="str">
        <f t="shared" si="9"/>
        <v/>
      </c>
      <c r="AK71" s="460" t="str">
        <f>IF(AU71="","",IF(OR(AZ71=8,AZ71=9),0,IF(OR(AW71=3,AW71=4,AW71=5,AW71=6),IF(LEFT(BF71,1)="1",INDEX(係数_NOX・PM低減,MATCH(AY71,【参考】排出係数!$AI$801:$AI$804,1),1),VLOOKUP(AU71,INDEX((係数_バス貨物_ガソリン,係数_バス貨物_CNG,係数_バス貨物_軽油,係数_バス貨物_メタノール,係数_バス貨物_LPG),MATCH(AY71,【参考】排出係数!$AI$4:$AI$671,1),1,BE71):INDEX((係数_バス貨物_ガソリン,係数_バス貨物_CNG,係数_バス貨物_軽油,係数_バス貨物_メタノール,係数_バス貨物_LPG),MATCH(AY71+1,【参考】排出係数!$AI$4:$AI$671,1)-1,5,BE71),4,FALSE)),IF(AND(BE71=3,LEFT(BF71,1)="1"),0.48,VLOOKUP(AU71,INDEX((係数_乗用_ガソリン,係数_乗用_CNG,係数_乗用_軽油,係数_乗用_メタノール,係数_乗用_LPG),1,1,BE71):INDEX((係数_乗用_ガソリン,係数_乗用_CNG,係数_乗用_軽油,係数_乗用_メタノール,係数_乗用_LPG),125,5,BE71),4,FALSE)))))</f>
        <v/>
      </c>
      <c r="AL71" s="461" t="str">
        <f t="shared" si="50"/>
        <v/>
      </c>
      <c r="AM71" s="460" t="str">
        <f>IF(AU71="","",IF(OR(AZ71=8,AZ71=9),0,IF(OR(AW71=3,AW71=4,AW71=5,AW71=6),IF(LEFT(BH71,1)="1",INDEX(係数_PM低減,MATCH(AY71,【参考】排出係数!$AI$801:$AI$804,1),MATCH(BI71,【参考】排出係数!$AL$798:$AO$798,1)),VLOOKUP(AU71,INDEX((係数_バス貨物_ガソリン,係数_バス貨物_CNG,係数_バス貨物_軽油,係数_バス貨物_メタノール,係数_バス貨物_LPG),MATCH(AY71,【参考】排出係数!$AI$4:$AI$671,1),1,BE71):INDEX((係数_バス貨物_ガソリン,係数_バス貨物_CNG,係数_バス貨物_軽油,係数_バス貨物_メタノール,係数_バス貨物_LPG),MATCH(AY71+1,【参考】排出係数!$AI$4:$AI$671,1)-1,5,BE71),5,FALSE)),IF(AND(BE71=3,LEFT(BF71,1)="1"),0.055,VLOOKUP(AU71,INDEX((係数_乗用_ガソリン,係数_乗用_CNG,係数_乗用_軽油,係数_乗用_メタノール,係数_乗用_LPG),1,1,BE71):INDEX((係数_乗用_ガソリン,係数_乗用_CNG,係数_乗用_軽油,係数_乗用_メタノール,係数_乗用_LPG),125,5,BE71),5,FALSE)))))</f>
        <v/>
      </c>
      <c r="AN71" s="461" t="str">
        <f t="shared" si="51"/>
        <v/>
      </c>
      <c r="AO71" s="462" t="str">
        <f t="shared" si="52"/>
        <v/>
      </c>
      <c r="AP71" s="463" t="str">
        <f t="shared" si="53"/>
        <v/>
      </c>
      <c r="AQ71" s="464"/>
      <c r="AR71" s="619"/>
      <c r="AS71" s="465" t="str">
        <f t="shared" si="28"/>
        <v/>
      </c>
      <c r="AT71" s="465" t="str">
        <f t="shared" si="29"/>
        <v/>
      </c>
      <c r="AU71" s="466" t="str">
        <f t="shared" si="30"/>
        <v/>
      </c>
      <c r="AV71" s="467" t="str">
        <f t="shared" si="31"/>
        <v/>
      </c>
      <c r="AW71" s="467" t="str">
        <f t="shared" si="32"/>
        <v/>
      </c>
      <c r="AX71" s="467" t="str">
        <f t="shared" si="33"/>
        <v/>
      </c>
      <c r="AY71" s="467" t="str">
        <f t="shared" si="34"/>
        <v/>
      </c>
      <c r="AZ71" s="467" t="str">
        <f t="shared" si="35"/>
        <v/>
      </c>
      <c r="BA71" s="468" t="str">
        <f>IF(AS71="","",IF(OR(AU71="",AU71="-"),"－",IF(OR(AZ71=8,AZ71=9),"",IF(OR(AW71=3,AW71=4,AW71=5,AW71=6),VLOOKUP(AU71,INDEX((係数_バス貨物_ガソリン,係数_バス貨物_CNG,係数_バス貨物_軽油,係数_バス貨物_メタノール,係数_バス貨物_LPG),MATCH(AY71,【参考】排出係数!$AI$4:$AI$671,1),1,BE71):INDEX((係数_バス貨物_ガソリン,係数_バス貨物_CNG,係数_バス貨物_軽油,係数_バス貨物_メタノール,係数_バス貨物_LPG),MATCH(AY71+1,【参考】排出係数!$AI$4:$AI$671,1)-1,5,BE71),2,FALSE),IF(OR(AW71=1,AW71=2),VLOOKUP(AU71,INDEX((係数_乗用_ガソリン,係数_乗用_CNG,係数_乗用_軽油,係数_乗用_メタノール,係数_乗用_LPG),1,1,BE71):INDEX((係数_乗用_ガソリン,係数_乗用_CNG,係数_乗用_軽油,係数_乗用_メタノール,係数_乗用_LPG),125,5,BE71),2,FALSE))))))</f>
        <v/>
      </c>
      <c r="BB71" s="468" t="str">
        <f>IF(T71="","",IF(OR(AU71="",AU71="-"),"－",IF(OR(AZ71=8,AZ71=9),"",IF(OR(AW71=3,AW71=4,AW71=5,AW71=6),VLOOKUP(AU71,INDEX((係数_バス貨物_ガソリン,係数_バス貨物_CNG,係数_バス貨物_軽油,係数_バス貨物_メタノール,係数_バス貨物_LPG),MATCH(AY71,【参考】排出係数!$AI$4:$AI$671,1),1,BE71):INDEX((係数_バス貨物_ガソリン,係数_バス貨物_CNG,係数_バス貨物_軽油,係数_バス貨物_メタノール,係数_バス貨物_LPG),MATCH(AY71+1,【参考】排出係数!$AI$4:$AI$671,1)-1,5,BE71),3,FALSE),IF(OR(AW71=1,AW71=2),VLOOKUP(AU71,INDEX((係数_乗用_ガソリン,係数_乗用_CNG,係数_乗用_軽油,係数_乗用_メタノール,係数_乗用_LPG),1,1,BE71):INDEX((係数_乗用_ガソリン,係数_乗用_CNG,係数_乗用_軽油,係数_乗用_メタノール,係数_乗用_LPG),125,5,BE71),3,FALSE))))))</f>
        <v/>
      </c>
      <c r="BC71" s="467" t="str">
        <f t="shared" si="36"/>
        <v/>
      </c>
      <c r="BD71" s="567" t="str">
        <f t="shared" si="37"/>
        <v/>
      </c>
      <c r="BE71" s="467" t="str">
        <f t="shared" si="38"/>
        <v/>
      </c>
      <c r="BF71" s="469" t="str">
        <f t="shared" ca="1" si="39"/>
        <v/>
      </c>
      <c r="BG71" s="469" t="str">
        <f t="shared" ca="1" si="40"/>
        <v/>
      </c>
      <c r="BH71" s="467" t="str">
        <f t="shared" si="41"/>
        <v/>
      </c>
      <c r="BI71" s="467" t="str">
        <f t="shared" ca="1" si="42"/>
        <v/>
      </c>
      <c r="BJ71" s="469" t="str">
        <f t="shared" si="43"/>
        <v/>
      </c>
      <c r="BK71" s="470" t="str">
        <f t="shared" si="22"/>
        <v/>
      </c>
      <c r="BL71" s="775" t="str">
        <f t="shared" si="44"/>
        <v/>
      </c>
      <c r="BM71" s="775" t="str">
        <f t="shared" si="45"/>
        <v/>
      </c>
      <c r="BO71" s="472"/>
      <c r="BT71" s="16"/>
      <c r="BU71" s="16"/>
      <c r="BV71" s="16"/>
      <c r="BW71" s="16"/>
      <c r="BX71" s="16"/>
      <c r="BY71" s="16"/>
      <c r="BZ71" s="16"/>
      <c r="CA71" s="16"/>
      <c r="CB71" s="16"/>
      <c r="CC71" s="16"/>
      <c r="CD71" s="16"/>
      <c r="CE71" s="16"/>
      <c r="CF71" s="16"/>
      <c r="CG71" s="16"/>
      <c r="CH71" s="16"/>
      <c r="CI71" s="16"/>
      <c r="CJ71" s="16"/>
      <c r="CK71" s="16"/>
      <c r="CL71" s="16"/>
      <c r="CM71" s="16"/>
      <c r="CN71" s="16"/>
      <c r="CO71" s="16"/>
      <c r="CP71" s="16"/>
    </row>
    <row r="72" spans="1:94" s="471" customFormat="1">
      <c r="A72" s="473">
        <v>16</v>
      </c>
      <c r="B72" s="132"/>
      <c r="C72" s="332"/>
      <c r="D72" s="333"/>
      <c r="E72" s="333"/>
      <c r="F72" s="334"/>
      <c r="G72" s="337"/>
      <c r="H72" s="131"/>
      <c r="I72" s="337"/>
      <c r="J72" s="131"/>
      <c r="K72" s="458" t="str">
        <f t="shared" si="0"/>
        <v/>
      </c>
      <c r="L72" s="458">
        <f t="shared" si="23"/>
        <v>0</v>
      </c>
      <c r="M72" s="458">
        <f t="shared" si="24"/>
        <v>0</v>
      </c>
      <c r="N72" s="459" t="str">
        <f t="shared" si="1"/>
        <v/>
      </c>
      <c r="O72" s="459" t="str">
        <f t="shared" si="2"/>
        <v/>
      </c>
      <c r="P72" s="459" t="str">
        <f t="shared" si="3"/>
        <v/>
      </c>
      <c r="Q72" s="459" t="str">
        <f t="shared" si="4"/>
        <v/>
      </c>
      <c r="R72" s="459" t="str">
        <f t="shared" si="5"/>
        <v/>
      </c>
      <c r="S72" s="459" t="str">
        <f t="shared" si="6"/>
        <v/>
      </c>
      <c r="T72" s="566" t="str">
        <f t="shared" si="25"/>
        <v/>
      </c>
      <c r="U72" s="702"/>
      <c r="V72" s="132"/>
      <c r="W72" s="133"/>
      <c r="X72" s="134"/>
      <c r="Y72" s="135"/>
      <c r="Z72" s="137"/>
      <c r="AA72" s="136"/>
      <c r="AB72" s="566" t="str">
        <f t="shared" si="26"/>
        <v/>
      </c>
      <c r="AC72" s="568" t="str">
        <f t="shared" si="27"/>
        <v/>
      </c>
      <c r="AD72" s="137"/>
      <c r="AE72" s="137"/>
      <c r="AF72" s="138"/>
      <c r="AG72" s="138"/>
      <c r="AH72" s="592" t="str">
        <f t="shared" si="7"/>
        <v/>
      </c>
      <c r="AI72" s="592" t="str">
        <f t="shared" si="8"/>
        <v/>
      </c>
      <c r="AJ72" s="592" t="str">
        <f t="shared" si="9"/>
        <v/>
      </c>
      <c r="AK72" s="460" t="str">
        <f>IF(AU72="","",IF(OR(AZ72=8,AZ72=9),0,IF(OR(AW72=3,AW72=4,AW72=5,AW72=6),IF(LEFT(BF72,1)="1",INDEX(係数_NOX・PM低減,MATCH(AY72,【参考】排出係数!$AI$801:$AI$804,1),1),VLOOKUP(AU72,INDEX((係数_バス貨物_ガソリン,係数_バス貨物_CNG,係数_バス貨物_軽油,係数_バス貨物_メタノール,係数_バス貨物_LPG),MATCH(AY72,【参考】排出係数!$AI$4:$AI$671,1),1,BE72):INDEX((係数_バス貨物_ガソリン,係数_バス貨物_CNG,係数_バス貨物_軽油,係数_バス貨物_メタノール,係数_バス貨物_LPG),MATCH(AY72+1,【参考】排出係数!$AI$4:$AI$671,1)-1,5,BE72),4,FALSE)),IF(AND(BE72=3,LEFT(BF72,1)="1"),0.48,VLOOKUP(AU72,INDEX((係数_乗用_ガソリン,係数_乗用_CNG,係数_乗用_軽油,係数_乗用_メタノール,係数_乗用_LPG),1,1,BE72):INDEX((係数_乗用_ガソリン,係数_乗用_CNG,係数_乗用_軽油,係数_乗用_メタノール,係数_乗用_LPG),125,5,BE72),4,FALSE)))))</f>
        <v/>
      </c>
      <c r="AL72" s="461" t="str">
        <f t="shared" si="50"/>
        <v/>
      </c>
      <c r="AM72" s="460" t="str">
        <f>IF(AU72="","",IF(OR(AZ72=8,AZ72=9),0,IF(OR(AW72=3,AW72=4,AW72=5,AW72=6),IF(LEFT(BH72,1)="1",INDEX(係数_PM低減,MATCH(AY72,【参考】排出係数!$AI$801:$AI$804,1),MATCH(BI72,【参考】排出係数!$AL$798:$AO$798,1)),VLOOKUP(AU72,INDEX((係数_バス貨物_ガソリン,係数_バス貨物_CNG,係数_バス貨物_軽油,係数_バス貨物_メタノール,係数_バス貨物_LPG),MATCH(AY72,【参考】排出係数!$AI$4:$AI$671,1),1,BE72):INDEX((係数_バス貨物_ガソリン,係数_バス貨物_CNG,係数_バス貨物_軽油,係数_バス貨物_メタノール,係数_バス貨物_LPG),MATCH(AY72+1,【参考】排出係数!$AI$4:$AI$671,1)-1,5,BE72),5,FALSE)),IF(AND(BE72=3,LEFT(BF72,1)="1"),0.055,VLOOKUP(AU72,INDEX((係数_乗用_ガソリン,係数_乗用_CNG,係数_乗用_軽油,係数_乗用_メタノール,係数_乗用_LPG),1,1,BE72):INDEX((係数_乗用_ガソリン,係数_乗用_CNG,係数_乗用_軽油,係数_乗用_メタノール,係数_乗用_LPG),125,5,BE72),5,FALSE)))))</f>
        <v/>
      </c>
      <c r="AN72" s="461" t="str">
        <f t="shared" si="51"/>
        <v/>
      </c>
      <c r="AO72" s="462" t="str">
        <f t="shared" si="52"/>
        <v/>
      </c>
      <c r="AP72" s="463" t="str">
        <f t="shared" si="53"/>
        <v/>
      </c>
      <c r="AQ72" s="464"/>
      <c r="AR72" s="619"/>
      <c r="AS72" s="465" t="str">
        <f t="shared" si="28"/>
        <v/>
      </c>
      <c r="AT72" s="465" t="str">
        <f t="shared" si="29"/>
        <v/>
      </c>
      <c r="AU72" s="466" t="str">
        <f t="shared" si="30"/>
        <v/>
      </c>
      <c r="AV72" s="467" t="str">
        <f t="shared" si="31"/>
        <v/>
      </c>
      <c r="AW72" s="467" t="str">
        <f t="shared" si="32"/>
        <v/>
      </c>
      <c r="AX72" s="467" t="str">
        <f t="shared" si="33"/>
        <v/>
      </c>
      <c r="AY72" s="467" t="str">
        <f t="shared" si="34"/>
        <v/>
      </c>
      <c r="AZ72" s="467" t="str">
        <f t="shared" si="35"/>
        <v/>
      </c>
      <c r="BA72" s="468" t="str">
        <f>IF(AS72="","",IF(OR(AU72="",AU72="-"),"－",IF(OR(AZ72=8,AZ72=9),"",IF(OR(AW72=3,AW72=4,AW72=5,AW72=6),VLOOKUP(AU72,INDEX((係数_バス貨物_ガソリン,係数_バス貨物_CNG,係数_バス貨物_軽油,係数_バス貨物_メタノール,係数_バス貨物_LPG),MATCH(AY72,【参考】排出係数!$AI$4:$AI$671,1),1,BE72):INDEX((係数_バス貨物_ガソリン,係数_バス貨物_CNG,係数_バス貨物_軽油,係数_バス貨物_メタノール,係数_バス貨物_LPG),MATCH(AY72+1,【参考】排出係数!$AI$4:$AI$671,1)-1,5,BE72),2,FALSE),IF(OR(AW72=1,AW72=2),VLOOKUP(AU72,INDEX((係数_乗用_ガソリン,係数_乗用_CNG,係数_乗用_軽油,係数_乗用_メタノール,係数_乗用_LPG),1,1,BE72):INDEX((係数_乗用_ガソリン,係数_乗用_CNG,係数_乗用_軽油,係数_乗用_メタノール,係数_乗用_LPG),125,5,BE72),2,FALSE))))))</f>
        <v/>
      </c>
      <c r="BB72" s="468" t="str">
        <f>IF(T72="","",IF(OR(AU72="",AU72="-"),"－",IF(OR(AZ72=8,AZ72=9),"",IF(OR(AW72=3,AW72=4,AW72=5,AW72=6),VLOOKUP(AU72,INDEX((係数_バス貨物_ガソリン,係数_バス貨物_CNG,係数_バス貨物_軽油,係数_バス貨物_メタノール,係数_バス貨物_LPG),MATCH(AY72,【参考】排出係数!$AI$4:$AI$671,1),1,BE72):INDEX((係数_バス貨物_ガソリン,係数_バス貨物_CNG,係数_バス貨物_軽油,係数_バス貨物_メタノール,係数_バス貨物_LPG),MATCH(AY72+1,【参考】排出係数!$AI$4:$AI$671,1)-1,5,BE72),3,FALSE),IF(OR(AW72=1,AW72=2),VLOOKUP(AU72,INDEX((係数_乗用_ガソリン,係数_乗用_CNG,係数_乗用_軽油,係数_乗用_メタノール,係数_乗用_LPG),1,1,BE72):INDEX((係数_乗用_ガソリン,係数_乗用_CNG,係数_乗用_軽油,係数_乗用_メタノール,係数_乗用_LPG),125,5,BE72),3,FALSE))))))</f>
        <v/>
      </c>
      <c r="BC72" s="467" t="str">
        <f t="shared" si="36"/>
        <v/>
      </c>
      <c r="BD72" s="567" t="str">
        <f t="shared" si="37"/>
        <v/>
      </c>
      <c r="BE72" s="467" t="str">
        <f t="shared" si="38"/>
        <v/>
      </c>
      <c r="BF72" s="469" t="str">
        <f t="shared" ca="1" si="39"/>
        <v/>
      </c>
      <c r="BG72" s="469" t="str">
        <f t="shared" ca="1" si="40"/>
        <v/>
      </c>
      <c r="BH72" s="467" t="str">
        <f t="shared" si="41"/>
        <v/>
      </c>
      <c r="BI72" s="467" t="str">
        <f t="shared" ca="1" si="42"/>
        <v/>
      </c>
      <c r="BJ72" s="469" t="str">
        <f t="shared" si="43"/>
        <v/>
      </c>
      <c r="BK72" s="470" t="str">
        <f t="shared" si="22"/>
        <v/>
      </c>
      <c r="BL72" s="775" t="str">
        <f t="shared" si="44"/>
        <v/>
      </c>
      <c r="BM72" s="775" t="str">
        <f t="shared" si="45"/>
        <v/>
      </c>
      <c r="BO72" s="472"/>
      <c r="BT72" s="16"/>
      <c r="BU72" s="16"/>
      <c r="BV72" s="16"/>
      <c r="BW72" s="16"/>
      <c r="BX72" s="16"/>
      <c r="BY72" s="16"/>
      <c r="BZ72" s="16"/>
      <c r="CA72" s="385"/>
      <c r="CB72" s="474"/>
      <c r="CC72" s="16"/>
      <c r="CD72" s="16"/>
      <c r="CE72" s="16"/>
      <c r="CF72" s="16"/>
      <c r="CG72" s="16"/>
      <c r="CH72" s="16"/>
      <c r="CI72" s="16"/>
      <c r="CJ72" s="16"/>
      <c r="CK72" s="16"/>
      <c r="CL72" s="16"/>
      <c r="CM72" s="16"/>
      <c r="CN72" s="16"/>
      <c r="CO72" s="16"/>
      <c r="CP72" s="16"/>
    </row>
    <row r="73" spans="1:94" s="471" customFormat="1">
      <c r="A73" s="473">
        <v>17</v>
      </c>
      <c r="B73" s="132"/>
      <c r="C73" s="332"/>
      <c r="D73" s="333"/>
      <c r="E73" s="333"/>
      <c r="F73" s="334"/>
      <c r="G73" s="337"/>
      <c r="H73" s="131"/>
      <c r="I73" s="337"/>
      <c r="J73" s="131"/>
      <c r="K73" s="458" t="str">
        <f t="shared" si="0"/>
        <v/>
      </c>
      <c r="L73" s="458">
        <f t="shared" si="23"/>
        <v>0</v>
      </c>
      <c r="M73" s="458">
        <f t="shared" si="24"/>
        <v>0</v>
      </c>
      <c r="N73" s="459" t="str">
        <f t="shared" si="1"/>
        <v/>
      </c>
      <c r="O73" s="459" t="str">
        <f t="shared" si="2"/>
        <v/>
      </c>
      <c r="P73" s="459" t="str">
        <f t="shared" si="3"/>
        <v/>
      </c>
      <c r="Q73" s="459" t="str">
        <f t="shared" si="4"/>
        <v/>
      </c>
      <c r="R73" s="459" t="str">
        <f t="shared" si="5"/>
        <v/>
      </c>
      <c r="S73" s="459" t="str">
        <f t="shared" si="6"/>
        <v/>
      </c>
      <c r="T73" s="566" t="str">
        <f t="shared" si="25"/>
        <v/>
      </c>
      <c r="U73" s="702"/>
      <c r="V73" s="132"/>
      <c r="W73" s="133"/>
      <c r="X73" s="134"/>
      <c r="Y73" s="135"/>
      <c r="Z73" s="137"/>
      <c r="AA73" s="136"/>
      <c r="AB73" s="566" t="str">
        <f t="shared" si="26"/>
        <v/>
      </c>
      <c r="AC73" s="568" t="str">
        <f t="shared" si="27"/>
        <v/>
      </c>
      <c r="AD73" s="137"/>
      <c r="AE73" s="137"/>
      <c r="AF73" s="138"/>
      <c r="AG73" s="138"/>
      <c r="AH73" s="592" t="str">
        <f t="shared" si="7"/>
        <v/>
      </c>
      <c r="AI73" s="592" t="str">
        <f t="shared" si="8"/>
        <v/>
      </c>
      <c r="AJ73" s="592" t="str">
        <f t="shared" si="9"/>
        <v/>
      </c>
      <c r="AK73" s="460" t="str">
        <f>IF(AU73="","",IF(OR(AZ73=8,AZ73=9),0,IF(OR(AW73=3,AW73=4,AW73=5,AW73=6),IF(LEFT(BF73,1)="1",INDEX(係数_NOX・PM低減,MATCH(AY73,【参考】排出係数!$AI$801:$AI$804,1),1),VLOOKUP(AU73,INDEX((係数_バス貨物_ガソリン,係数_バス貨物_CNG,係数_バス貨物_軽油,係数_バス貨物_メタノール,係数_バス貨物_LPG),MATCH(AY73,【参考】排出係数!$AI$4:$AI$671,1),1,BE73):INDEX((係数_バス貨物_ガソリン,係数_バス貨物_CNG,係数_バス貨物_軽油,係数_バス貨物_メタノール,係数_バス貨物_LPG),MATCH(AY73+1,【参考】排出係数!$AI$4:$AI$671,1)-1,5,BE73),4,FALSE)),IF(AND(BE73=3,LEFT(BF73,1)="1"),0.48,VLOOKUP(AU73,INDEX((係数_乗用_ガソリン,係数_乗用_CNG,係数_乗用_軽油,係数_乗用_メタノール,係数_乗用_LPG),1,1,BE73):INDEX((係数_乗用_ガソリン,係数_乗用_CNG,係数_乗用_軽油,係数_乗用_メタノール,係数_乗用_LPG),125,5,BE73),4,FALSE)))))</f>
        <v/>
      </c>
      <c r="AL73" s="461" t="str">
        <f t="shared" si="50"/>
        <v/>
      </c>
      <c r="AM73" s="460" t="str">
        <f>IF(AU73="","",IF(OR(AZ73=8,AZ73=9),0,IF(OR(AW73=3,AW73=4,AW73=5,AW73=6),IF(LEFT(BH73,1)="1",INDEX(係数_PM低減,MATCH(AY73,【参考】排出係数!$AI$801:$AI$804,1),MATCH(BI73,【参考】排出係数!$AL$798:$AO$798,1)),VLOOKUP(AU73,INDEX((係数_バス貨物_ガソリン,係数_バス貨物_CNG,係数_バス貨物_軽油,係数_バス貨物_メタノール,係数_バス貨物_LPG),MATCH(AY73,【参考】排出係数!$AI$4:$AI$671,1),1,BE73):INDEX((係数_バス貨物_ガソリン,係数_バス貨物_CNG,係数_バス貨物_軽油,係数_バス貨物_メタノール,係数_バス貨物_LPG),MATCH(AY73+1,【参考】排出係数!$AI$4:$AI$671,1)-1,5,BE73),5,FALSE)),IF(AND(BE73=3,LEFT(BF73,1)="1"),0.055,VLOOKUP(AU73,INDEX((係数_乗用_ガソリン,係数_乗用_CNG,係数_乗用_軽油,係数_乗用_メタノール,係数_乗用_LPG),1,1,BE73):INDEX((係数_乗用_ガソリン,係数_乗用_CNG,係数_乗用_軽油,係数_乗用_メタノール,係数_乗用_LPG),125,5,BE73),5,FALSE)))))</f>
        <v/>
      </c>
      <c r="AN73" s="461" t="str">
        <f t="shared" si="51"/>
        <v/>
      </c>
      <c r="AO73" s="462" t="str">
        <f t="shared" si="52"/>
        <v/>
      </c>
      <c r="AP73" s="463" t="str">
        <f t="shared" si="53"/>
        <v/>
      </c>
      <c r="AQ73" s="464"/>
      <c r="AR73" s="619"/>
      <c r="AS73" s="465" t="str">
        <f t="shared" si="28"/>
        <v/>
      </c>
      <c r="AT73" s="465" t="str">
        <f t="shared" si="29"/>
        <v/>
      </c>
      <c r="AU73" s="466" t="str">
        <f t="shared" si="30"/>
        <v/>
      </c>
      <c r="AV73" s="467" t="str">
        <f t="shared" si="31"/>
        <v/>
      </c>
      <c r="AW73" s="467" t="str">
        <f t="shared" si="32"/>
        <v/>
      </c>
      <c r="AX73" s="467" t="str">
        <f t="shared" si="33"/>
        <v/>
      </c>
      <c r="AY73" s="467" t="str">
        <f t="shared" si="34"/>
        <v/>
      </c>
      <c r="AZ73" s="467" t="str">
        <f t="shared" si="35"/>
        <v/>
      </c>
      <c r="BA73" s="468" t="str">
        <f>IF(AS73="","",IF(OR(AU73="",AU73="-"),"－",IF(OR(AZ73=8,AZ73=9),"",IF(OR(AW73=3,AW73=4,AW73=5,AW73=6),VLOOKUP(AU73,INDEX((係数_バス貨物_ガソリン,係数_バス貨物_CNG,係数_バス貨物_軽油,係数_バス貨物_メタノール,係数_バス貨物_LPG),MATCH(AY73,【参考】排出係数!$AI$4:$AI$671,1),1,BE73):INDEX((係数_バス貨物_ガソリン,係数_バス貨物_CNG,係数_バス貨物_軽油,係数_バス貨物_メタノール,係数_バス貨物_LPG),MATCH(AY73+1,【参考】排出係数!$AI$4:$AI$671,1)-1,5,BE73),2,FALSE),IF(OR(AW73=1,AW73=2),VLOOKUP(AU73,INDEX((係数_乗用_ガソリン,係数_乗用_CNG,係数_乗用_軽油,係数_乗用_メタノール,係数_乗用_LPG),1,1,BE73):INDEX((係数_乗用_ガソリン,係数_乗用_CNG,係数_乗用_軽油,係数_乗用_メタノール,係数_乗用_LPG),125,5,BE73),2,FALSE))))))</f>
        <v/>
      </c>
      <c r="BB73" s="468" t="str">
        <f>IF(T73="","",IF(OR(AU73="",AU73="-"),"－",IF(OR(AZ73=8,AZ73=9),"",IF(OR(AW73=3,AW73=4,AW73=5,AW73=6),VLOOKUP(AU73,INDEX((係数_バス貨物_ガソリン,係数_バス貨物_CNG,係数_バス貨物_軽油,係数_バス貨物_メタノール,係数_バス貨物_LPG),MATCH(AY73,【参考】排出係数!$AI$4:$AI$671,1),1,BE73):INDEX((係数_バス貨物_ガソリン,係数_バス貨物_CNG,係数_バス貨物_軽油,係数_バス貨物_メタノール,係数_バス貨物_LPG),MATCH(AY73+1,【参考】排出係数!$AI$4:$AI$671,1)-1,5,BE73),3,FALSE),IF(OR(AW73=1,AW73=2),VLOOKUP(AU73,INDEX((係数_乗用_ガソリン,係数_乗用_CNG,係数_乗用_軽油,係数_乗用_メタノール,係数_乗用_LPG),1,1,BE73):INDEX((係数_乗用_ガソリン,係数_乗用_CNG,係数_乗用_軽油,係数_乗用_メタノール,係数_乗用_LPG),125,5,BE73),3,FALSE))))))</f>
        <v/>
      </c>
      <c r="BC73" s="467" t="str">
        <f t="shared" si="36"/>
        <v/>
      </c>
      <c r="BD73" s="567" t="str">
        <f t="shared" si="37"/>
        <v/>
      </c>
      <c r="BE73" s="467" t="str">
        <f t="shared" si="38"/>
        <v/>
      </c>
      <c r="BF73" s="469" t="str">
        <f t="shared" ca="1" si="39"/>
        <v/>
      </c>
      <c r="BG73" s="469" t="str">
        <f t="shared" ca="1" si="40"/>
        <v/>
      </c>
      <c r="BH73" s="467" t="str">
        <f t="shared" si="41"/>
        <v/>
      </c>
      <c r="BI73" s="467" t="str">
        <f t="shared" ca="1" si="42"/>
        <v/>
      </c>
      <c r="BJ73" s="469" t="str">
        <f t="shared" si="43"/>
        <v/>
      </c>
      <c r="BK73" s="470" t="str">
        <f t="shared" si="22"/>
        <v/>
      </c>
      <c r="BL73" s="775" t="str">
        <f t="shared" si="44"/>
        <v/>
      </c>
      <c r="BM73" s="775" t="str">
        <f t="shared" si="45"/>
        <v/>
      </c>
      <c r="BO73" s="472"/>
      <c r="BT73" s="16"/>
      <c r="BU73" s="16"/>
      <c r="BV73" s="16"/>
      <c r="BW73" s="16"/>
      <c r="BX73" s="16"/>
      <c r="BY73" s="16"/>
      <c r="BZ73" s="16"/>
      <c r="CA73" s="385"/>
      <c r="CB73" s="474"/>
      <c r="CC73" s="16"/>
      <c r="CD73" s="16"/>
      <c r="CE73" s="16"/>
      <c r="CF73" s="16"/>
      <c r="CG73" s="16"/>
      <c r="CH73" s="16"/>
      <c r="CI73" s="16"/>
      <c r="CJ73" s="16"/>
      <c r="CK73" s="16"/>
      <c r="CL73" s="16"/>
      <c r="CM73" s="16"/>
      <c r="CN73" s="16"/>
      <c r="CO73" s="16"/>
      <c r="CP73" s="16"/>
    </row>
    <row r="74" spans="1:94" s="471" customFormat="1">
      <c r="A74" s="473">
        <v>18</v>
      </c>
      <c r="B74" s="132"/>
      <c r="C74" s="332"/>
      <c r="D74" s="333"/>
      <c r="E74" s="333"/>
      <c r="F74" s="334"/>
      <c r="G74" s="337"/>
      <c r="H74" s="131"/>
      <c r="I74" s="337"/>
      <c r="J74" s="131"/>
      <c r="K74" s="458" t="str">
        <f t="shared" si="0"/>
        <v/>
      </c>
      <c r="L74" s="458">
        <f t="shared" si="23"/>
        <v>0</v>
      </c>
      <c r="M74" s="458">
        <f t="shared" si="24"/>
        <v>0</v>
      </c>
      <c r="N74" s="459" t="str">
        <f t="shared" si="1"/>
        <v/>
      </c>
      <c r="O74" s="459" t="str">
        <f t="shared" si="2"/>
        <v/>
      </c>
      <c r="P74" s="459" t="str">
        <f t="shared" si="3"/>
        <v/>
      </c>
      <c r="Q74" s="459" t="str">
        <f t="shared" si="4"/>
        <v/>
      </c>
      <c r="R74" s="459" t="str">
        <f t="shared" si="5"/>
        <v/>
      </c>
      <c r="S74" s="459" t="str">
        <f t="shared" si="6"/>
        <v/>
      </c>
      <c r="T74" s="566" t="str">
        <f t="shared" si="25"/>
        <v/>
      </c>
      <c r="U74" s="702"/>
      <c r="V74" s="132"/>
      <c r="W74" s="133"/>
      <c r="X74" s="134"/>
      <c r="Y74" s="135"/>
      <c r="Z74" s="137"/>
      <c r="AA74" s="136"/>
      <c r="AB74" s="566" t="str">
        <f t="shared" si="26"/>
        <v/>
      </c>
      <c r="AC74" s="568" t="str">
        <f t="shared" si="27"/>
        <v/>
      </c>
      <c r="AD74" s="137"/>
      <c r="AE74" s="137"/>
      <c r="AF74" s="138"/>
      <c r="AG74" s="138"/>
      <c r="AH74" s="592" t="str">
        <f t="shared" si="7"/>
        <v/>
      </c>
      <c r="AI74" s="592" t="str">
        <f t="shared" si="8"/>
        <v/>
      </c>
      <c r="AJ74" s="592" t="str">
        <f t="shared" si="9"/>
        <v/>
      </c>
      <c r="AK74" s="460" t="str">
        <f>IF(AU74="","",IF(OR(AZ74=8,AZ74=9),0,IF(OR(AW74=3,AW74=4,AW74=5,AW74=6),IF(LEFT(BF74,1)="1",INDEX(係数_NOX・PM低減,MATCH(AY74,【参考】排出係数!$AI$801:$AI$804,1),1),VLOOKUP(AU74,INDEX((係数_バス貨物_ガソリン,係数_バス貨物_CNG,係数_バス貨物_軽油,係数_バス貨物_メタノール,係数_バス貨物_LPG),MATCH(AY74,【参考】排出係数!$AI$4:$AI$671,1),1,BE74):INDEX((係数_バス貨物_ガソリン,係数_バス貨物_CNG,係数_バス貨物_軽油,係数_バス貨物_メタノール,係数_バス貨物_LPG),MATCH(AY74+1,【参考】排出係数!$AI$4:$AI$671,1)-1,5,BE74),4,FALSE)),IF(AND(BE74=3,LEFT(BF74,1)="1"),0.48,VLOOKUP(AU74,INDEX((係数_乗用_ガソリン,係数_乗用_CNG,係数_乗用_軽油,係数_乗用_メタノール,係数_乗用_LPG),1,1,BE74):INDEX((係数_乗用_ガソリン,係数_乗用_CNG,係数_乗用_軽油,係数_乗用_メタノール,係数_乗用_LPG),125,5,BE74),4,FALSE)))))</f>
        <v/>
      </c>
      <c r="AL74" s="461" t="str">
        <f t="shared" si="50"/>
        <v/>
      </c>
      <c r="AM74" s="460" t="str">
        <f>IF(AU74="","",IF(OR(AZ74=8,AZ74=9),0,IF(OR(AW74=3,AW74=4,AW74=5,AW74=6),IF(LEFT(BH74,1)="1",INDEX(係数_PM低減,MATCH(AY74,【参考】排出係数!$AI$801:$AI$804,1),MATCH(BI74,【参考】排出係数!$AL$798:$AO$798,1)),VLOOKUP(AU74,INDEX((係数_バス貨物_ガソリン,係数_バス貨物_CNG,係数_バス貨物_軽油,係数_バス貨物_メタノール,係数_バス貨物_LPG),MATCH(AY74,【参考】排出係数!$AI$4:$AI$671,1),1,BE74):INDEX((係数_バス貨物_ガソリン,係数_バス貨物_CNG,係数_バス貨物_軽油,係数_バス貨物_メタノール,係数_バス貨物_LPG),MATCH(AY74+1,【参考】排出係数!$AI$4:$AI$671,1)-1,5,BE74),5,FALSE)),IF(AND(BE74=3,LEFT(BF74,1)="1"),0.055,VLOOKUP(AU74,INDEX((係数_乗用_ガソリン,係数_乗用_CNG,係数_乗用_軽油,係数_乗用_メタノール,係数_乗用_LPG),1,1,BE74):INDEX((係数_乗用_ガソリン,係数_乗用_CNG,係数_乗用_軽油,係数_乗用_メタノール,係数_乗用_LPG),125,5,BE74),5,FALSE)))))</f>
        <v/>
      </c>
      <c r="AN74" s="461" t="str">
        <f t="shared" si="51"/>
        <v/>
      </c>
      <c r="AO74" s="462" t="str">
        <f t="shared" si="52"/>
        <v/>
      </c>
      <c r="AP74" s="463" t="str">
        <f t="shared" si="53"/>
        <v/>
      </c>
      <c r="AQ74" s="464"/>
      <c r="AR74" s="619"/>
      <c r="AS74" s="465" t="str">
        <f t="shared" si="28"/>
        <v/>
      </c>
      <c r="AT74" s="465" t="str">
        <f t="shared" si="29"/>
        <v/>
      </c>
      <c r="AU74" s="466" t="str">
        <f t="shared" si="30"/>
        <v/>
      </c>
      <c r="AV74" s="467" t="str">
        <f t="shared" si="31"/>
        <v/>
      </c>
      <c r="AW74" s="467" t="str">
        <f t="shared" si="32"/>
        <v/>
      </c>
      <c r="AX74" s="467" t="str">
        <f t="shared" si="33"/>
        <v/>
      </c>
      <c r="AY74" s="467" t="str">
        <f t="shared" si="34"/>
        <v/>
      </c>
      <c r="AZ74" s="467" t="str">
        <f t="shared" si="35"/>
        <v/>
      </c>
      <c r="BA74" s="468" t="str">
        <f>IF(AS74="","",IF(OR(AU74="",AU74="-"),"－",IF(OR(AZ74=8,AZ74=9),"",IF(OR(AW74=3,AW74=4,AW74=5,AW74=6),VLOOKUP(AU74,INDEX((係数_バス貨物_ガソリン,係数_バス貨物_CNG,係数_バス貨物_軽油,係数_バス貨物_メタノール,係数_バス貨物_LPG),MATCH(AY74,【参考】排出係数!$AI$4:$AI$671,1),1,BE74):INDEX((係数_バス貨物_ガソリン,係数_バス貨物_CNG,係数_バス貨物_軽油,係数_バス貨物_メタノール,係数_バス貨物_LPG),MATCH(AY74+1,【参考】排出係数!$AI$4:$AI$671,1)-1,5,BE74),2,FALSE),IF(OR(AW74=1,AW74=2),VLOOKUP(AU74,INDEX((係数_乗用_ガソリン,係数_乗用_CNG,係数_乗用_軽油,係数_乗用_メタノール,係数_乗用_LPG),1,1,BE74):INDEX((係数_乗用_ガソリン,係数_乗用_CNG,係数_乗用_軽油,係数_乗用_メタノール,係数_乗用_LPG),125,5,BE74),2,FALSE))))))</f>
        <v/>
      </c>
      <c r="BB74" s="468" t="str">
        <f>IF(T74="","",IF(OR(AU74="",AU74="-"),"－",IF(OR(AZ74=8,AZ74=9),"",IF(OR(AW74=3,AW74=4,AW74=5,AW74=6),VLOOKUP(AU74,INDEX((係数_バス貨物_ガソリン,係数_バス貨物_CNG,係数_バス貨物_軽油,係数_バス貨物_メタノール,係数_バス貨物_LPG),MATCH(AY74,【参考】排出係数!$AI$4:$AI$671,1),1,BE74):INDEX((係数_バス貨物_ガソリン,係数_バス貨物_CNG,係数_バス貨物_軽油,係数_バス貨物_メタノール,係数_バス貨物_LPG),MATCH(AY74+1,【参考】排出係数!$AI$4:$AI$671,1)-1,5,BE74),3,FALSE),IF(OR(AW74=1,AW74=2),VLOOKUP(AU74,INDEX((係数_乗用_ガソリン,係数_乗用_CNG,係数_乗用_軽油,係数_乗用_メタノール,係数_乗用_LPG),1,1,BE74):INDEX((係数_乗用_ガソリン,係数_乗用_CNG,係数_乗用_軽油,係数_乗用_メタノール,係数_乗用_LPG),125,5,BE74),3,FALSE))))))</f>
        <v/>
      </c>
      <c r="BC74" s="467" t="str">
        <f t="shared" si="36"/>
        <v/>
      </c>
      <c r="BD74" s="567" t="str">
        <f t="shared" si="37"/>
        <v/>
      </c>
      <c r="BE74" s="467" t="str">
        <f t="shared" si="38"/>
        <v/>
      </c>
      <c r="BF74" s="469" t="str">
        <f t="shared" ca="1" si="39"/>
        <v/>
      </c>
      <c r="BG74" s="469" t="str">
        <f t="shared" ca="1" si="40"/>
        <v/>
      </c>
      <c r="BH74" s="467" t="str">
        <f t="shared" si="41"/>
        <v/>
      </c>
      <c r="BI74" s="467" t="str">
        <f t="shared" ca="1" si="42"/>
        <v/>
      </c>
      <c r="BJ74" s="469" t="str">
        <f t="shared" si="43"/>
        <v/>
      </c>
      <c r="BK74" s="470" t="str">
        <f t="shared" si="22"/>
        <v/>
      </c>
      <c r="BL74" s="775" t="str">
        <f t="shared" si="44"/>
        <v/>
      </c>
      <c r="BM74" s="775" t="str">
        <f t="shared" si="45"/>
        <v/>
      </c>
      <c r="BO74" s="472"/>
      <c r="BT74" s="16"/>
      <c r="BU74" s="16"/>
      <c r="BV74" s="16"/>
      <c r="BW74" s="16"/>
      <c r="BX74" s="16"/>
      <c r="BY74" s="16"/>
      <c r="BZ74" s="16"/>
      <c r="CA74" s="16"/>
      <c r="CB74" s="16"/>
      <c r="CC74" s="16"/>
      <c r="CD74" s="16"/>
      <c r="CE74" s="16"/>
      <c r="CF74" s="16"/>
      <c r="CG74" s="16"/>
      <c r="CH74" s="16"/>
      <c r="CI74" s="16"/>
      <c r="CJ74" s="16"/>
      <c r="CK74" s="16"/>
      <c r="CL74" s="16"/>
      <c r="CM74" s="16"/>
      <c r="CN74" s="16"/>
      <c r="CO74" s="16"/>
      <c r="CP74" s="16"/>
    </row>
    <row r="75" spans="1:94" s="471" customFormat="1">
      <c r="A75" s="473">
        <v>19</v>
      </c>
      <c r="B75" s="132"/>
      <c r="C75" s="332"/>
      <c r="D75" s="333"/>
      <c r="E75" s="333"/>
      <c r="F75" s="334"/>
      <c r="G75" s="337"/>
      <c r="H75" s="131"/>
      <c r="I75" s="337"/>
      <c r="J75" s="131"/>
      <c r="K75" s="458" t="str">
        <f t="shared" si="0"/>
        <v/>
      </c>
      <c r="L75" s="458">
        <f t="shared" si="23"/>
        <v>0</v>
      </c>
      <c r="M75" s="458">
        <f t="shared" si="24"/>
        <v>0</v>
      </c>
      <c r="N75" s="459" t="str">
        <f t="shared" si="1"/>
        <v/>
      </c>
      <c r="O75" s="459" t="str">
        <f t="shared" si="2"/>
        <v/>
      </c>
      <c r="P75" s="459" t="str">
        <f t="shared" si="3"/>
        <v/>
      </c>
      <c r="Q75" s="459" t="str">
        <f t="shared" si="4"/>
        <v/>
      </c>
      <c r="R75" s="459" t="str">
        <f t="shared" si="5"/>
        <v/>
      </c>
      <c r="S75" s="459" t="str">
        <f t="shared" si="6"/>
        <v/>
      </c>
      <c r="T75" s="566" t="str">
        <f t="shared" si="25"/>
        <v/>
      </c>
      <c r="U75" s="702"/>
      <c r="V75" s="132"/>
      <c r="W75" s="133"/>
      <c r="X75" s="134"/>
      <c r="Y75" s="135"/>
      <c r="Z75" s="137"/>
      <c r="AA75" s="136"/>
      <c r="AB75" s="566" t="str">
        <f t="shared" si="26"/>
        <v/>
      </c>
      <c r="AC75" s="568" t="str">
        <f t="shared" si="27"/>
        <v/>
      </c>
      <c r="AD75" s="137"/>
      <c r="AE75" s="137"/>
      <c r="AF75" s="138"/>
      <c r="AG75" s="138"/>
      <c r="AH75" s="592" t="str">
        <f t="shared" si="7"/>
        <v/>
      </c>
      <c r="AI75" s="592" t="str">
        <f t="shared" si="8"/>
        <v/>
      </c>
      <c r="AJ75" s="592" t="str">
        <f t="shared" si="9"/>
        <v/>
      </c>
      <c r="AK75" s="460" t="str">
        <f>IF(AU75="","",IF(OR(AZ75=8,AZ75=9),0,IF(OR(AW75=3,AW75=4,AW75=5,AW75=6),IF(LEFT(BF75,1)="1",INDEX(係数_NOX・PM低減,MATCH(AY75,【参考】排出係数!$AI$801:$AI$804,1),1),VLOOKUP(AU75,INDEX((係数_バス貨物_ガソリン,係数_バス貨物_CNG,係数_バス貨物_軽油,係数_バス貨物_メタノール,係数_バス貨物_LPG),MATCH(AY75,【参考】排出係数!$AI$4:$AI$671,1),1,BE75):INDEX((係数_バス貨物_ガソリン,係数_バス貨物_CNG,係数_バス貨物_軽油,係数_バス貨物_メタノール,係数_バス貨物_LPG),MATCH(AY75+1,【参考】排出係数!$AI$4:$AI$671,1)-1,5,BE75),4,FALSE)),IF(AND(BE75=3,LEFT(BF75,1)="1"),0.48,VLOOKUP(AU75,INDEX((係数_乗用_ガソリン,係数_乗用_CNG,係数_乗用_軽油,係数_乗用_メタノール,係数_乗用_LPG),1,1,BE75):INDEX((係数_乗用_ガソリン,係数_乗用_CNG,係数_乗用_軽油,係数_乗用_メタノール,係数_乗用_LPG),125,5,BE75),4,FALSE)))))</f>
        <v/>
      </c>
      <c r="AL75" s="461" t="str">
        <f t="shared" si="50"/>
        <v/>
      </c>
      <c r="AM75" s="460" t="str">
        <f>IF(AU75="","",IF(OR(AZ75=8,AZ75=9),0,IF(OR(AW75=3,AW75=4,AW75=5,AW75=6),IF(LEFT(BH75,1)="1",INDEX(係数_PM低減,MATCH(AY75,【参考】排出係数!$AI$801:$AI$804,1),MATCH(BI75,【参考】排出係数!$AL$798:$AO$798,1)),VLOOKUP(AU75,INDEX((係数_バス貨物_ガソリン,係数_バス貨物_CNG,係数_バス貨物_軽油,係数_バス貨物_メタノール,係数_バス貨物_LPG),MATCH(AY75,【参考】排出係数!$AI$4:$AI$671,1),1,BE75):INDEX((係数_バス貨物_ガソリン,係数_バス貨物_CNG,係数_バス貨物_軽油,係数_バス貨物_メタノール,係数_バス貨物_LPG),MATCH(AY75+1,【参考】排出係数!$AI$4:$AI$671,1)-1,5,BE75),5,FALSE)),IF(AND(BE75=3,LEFT(BF75,1)="1"),0.055,VLOOKUP(AU75,INDEX((係数_乗用_ガソリン,係数_乗用_CNG,係数_乗用_軽油,係数_乗用_メタノール,係数_乗用_LPG),1,1,BE75):INDEX((係数_乗用_ガソリン,係数_乗用_CNG,係数_乗用_軽油,係数_乗用_メタノール,係数_乗用_LPG),125,5,BE75),5,FALSE)))))</f>
        <v/>
      </c>
      <c r="AN75" s="461" t="str">
        <f t="shared" si="51"/>
        <v/>
      </c>
      <c r="AO75" s="462" t="str">
        <f t="shared" si="52"/>
        <v/>
      </c>
      <c r="AP75" s="463" t="str">
        <f t="shared" si="53"/>
        <v/>
      </c>
      <c r="AQ75" s="464"/>
      <c r="AR75" s="619"/>
      <c r="AS75" s="465" t="str">
        <f t="shared" si="28"/>
        <v/>
      </c>
      <c r="AT75" s="465" t="str">
        <f t="shared" si="29"/>
        <v/>
      </c>
      <c r="AU75" s="466" t="str">
        <f t="shared" si="30"/>
        <v/>
      </c>
      <c r="AV75" s="467" t="str">
        <f t="shared" si="31"/>
        <v/>
      </c>
      <c r="AW75" s="467" t="str">
        <f t="shared" si="32"/>
        <v/>
      </c>
      <c r="AX75" s="467" t="str">
        <f t="shared" si="33"/>
        <v/>
      </c>
      <c r="AY75" s="467" t="str">
        <f t="shared" si="34"/>
        <v/>
      </c>
      <c r="AZ75" s="467" t="str">
        <f t="shared" si="35"/>
        <v/>
      </c>
      <c r="BA75" s="468" t="str">
        <f>IF(AS75="","",IF(OR(AU75="",AU75="-"),"－",IF(OR(AZ75=8,AZ75=9),"",IF(OR(AW75=3,AW75=4,AW75=5,AW75=6),VLOOKUP(AU75,INDEX((係数_バス貨物_ガソリン,係数_バス貨物_CNG,係数_バス貨物_軽油,係数_バス貨物_メタノール,係数_バス貨物_LPG),MATCH(AY75,【参考】排出係数!$AI$4:$AI$671,1),1,BE75):INDEX((係数_バス貨物_ガソリン,係数_バス貨物_CNG,係数_バス貨物_軽油,係数_バス貨物_メタノール,係数_バス貨物_LPG),MATCH(AY75+1,【参考】排出係数!$AI$4:$AI$671,1)-1,5,BE75),2,FALSE),IF(OR(AW75=1,AW75=2),VLOOKUP(AU75,INDEX((係数_乗用_ガソリン,係数_乗用_CNG,係数_乗用_軽油,係数_乗用_メタノール,係数_乗用_LPG),1,1,BE75):INDEX((係数_乗用_ガソリン,係数_乗用_CNG,係数_乗用_軽油,係数_乗用_メタノール,係数_乗用_LPG),125,5,BE75),2,FALSE))))))</f>
        <v/>
      </c>
      <c r="BB75" s="468" t="str">
        <f>IF(T75="","",IF(OR(AU75="",AU75="-"),"－",IF(OR(AZ75=8,AZ75=9),"",IF(OR(AW75=3,AW75=4,AW75=5,AW75=6),VLOOKUP(AU75,INDEX((係数_バス貨物_ガソリン,係数_バス貨物_CNG,係数_バス貨物_軽油,係数_バス貨物_メタノール,係数_バス貨物_LPG),MATCH(AY75,【参考】排出係数!$AI$4:$AI$671,1),1,BE75):INDEX((係数_バス貨物_ガソリン,係数_バス貨物_CNG,係数_バス貨物_軽油,係数_バス貨物_メタノール,係数_バス貨物_LPG),MATCH(AY75+1,【参考】排出係数!$AI$4:$AI$671,1)-1,5,BE75),3,FALSE),IF(OR(AW75=1,AW75=2),VLOOKUP(AU75,INDEX((係数_乗用_ガソリン,係数_乗用_CNG,係数_乗用_軽油,係数_乗用_メタノール,係数_乗用_LPG),1,1,BE75):INDEX((係数_乗用_ガソリン,係数_乗用_CNG,係数_乗用_軽油,係数_乗用_メタノール,係数_乗用_LPG),125,5,BE75),3,FALSE))))))</f>
        <v/>
      </c>
      <c r="BC75" s="467" t="str">
        <f t="shared" si="36"/>
        <v/>
      </c>
      <c r="BD75" s="567" t="str">
        <f t="shared" si="37"/>
        <v/>
      </c>
      <c r="BE75" s="467" t="str">
        <f t="shared" si="38"/>
        <v/>
      </c>
      <c r="BF75" s="469" t="str">
        <f t="shared" ca="1" si="39"/>
        <v/>
      </c>
      <c r="BG75" s="469" t="str">
        <f t="shared" ca="1" si="40"/>
        <v/>
      </c>
      <c r="BH75" s="467" t="str">
        <f t="shared" si="41"/>
        <v/>
      </c>
      <c r="BI75" s="467" t="str">
        <f t="shared" ca="1" si="42"/>
        <v/>
      </c>
      <c r="BJ75" s="469" t="str">
        <f t="shared" si="43"/>
        <v/>
      </c>
      <c r="BK75" s="470" t="str">
        <f t="shared" si="22"/>
        <v/>
      </c>
      <c r="BL75" s="775" t="str">
        <f t="shared" si="44"/>
        <v/>
      </c>
      <c r="BM75" s="775" t="str">
        <f t="shared" si="45"/>
        <v/>
      </c>
      <c r="BO75" s="472"/>
      <c r="BT75" s="16"/>
      <c r="BU75" s="16"/>
      <c r="BV75" s="16"/>
      <c r="BW75" s="16"/>
      <c r="BX75" s="16"/>
      <c r="BY75" s="16"/>
      <c r="BZ75" s="16"/>
      <c r="CA75" s="16"/>
      <c r="CB75" s="16"/>
      <c r="CC75" s="16"/>
      <c r="CD75" s="16"/>
      <c r="CE75" s="16"/>
      <c r="CF75" s="16"/>
      <c r="CG75" s="16"/>
      <c r="CH75" s="16"/>
      <c r="CI75" s="16"/>
      <c r="CJ75" s="16"/>
      <c r="CK75" s="16"/>
      <c r="CL75" s="16"/>
      <c r="CM75" s="16"/>
      <c r="CN75" s="16"/>
      <c r="CO75" s="16"/>
      <c r="CP75" s="16"/>
    </row>
    <row r="76" spans="1:94" s="471" customFormat="1">
      <c r="A76" s="473">
        <v>20</v>
      </c>
      <c r="B76" s="132"/>
      <c r="C76" s="332"/>
      <c r="D76" s="333"/>
      <c r="E76" s="333"/>
      <c r="F76" s="334"/>
      <c r="G76" s="337"/>
      <c r="H76" s="131"/>
      <c r="I76" s="337"/>
      <c r="J76" s="131"/>
      <c r="K76" s="458" t="str">
        <f t="shared" si="0"/>
        <v/>
      </c>
      <c r="L76" s="458">
        <f t="shared" si="23"/>
        <v>0</v>
      </c>
      <c r="M76" s="458">
        <f t="shared" si="24"/>
        <v>0</v>
      </c>
      <c r="N76" s="459" t="str">
        <f t="shared" si="1"/>
        <v/>
      </c>
      <c r="O76" s="459" t="str">
        <f t="shared" si="2"/>
        <v/>
      </c>
      <c r="P76" s="459" t="str">
        <f t="shared" si="3"/>
        <v/>
      </c>
      <c r="Q76" s="459" t="str">
        <f t="shared" si="4"/>
        <v/>
      </c>
      <c r="R76" s="459" t="str">
        <f t="shared" si="5"/>
        <v/>
      </c>
      <c r="S76" s="459" t="str">
        <f t="shared" si="6"/>
        <v/>
      </c>
      <c r="T76" s="566" t="str">
        <f t="shared" si="25"/>
        <v/>
      </c>
      <c r="U76" s="702"/>
      <c r="V76" s="132"/>
      <c r="W76" s="133"/>
      <c r="X76" s="134"/>
      <c r="Y76" s="135"/>
      <c r="Z76" s="137"/>
      <c r="AA76" s="136"/>
      <c r="AB76" s="566" t="str">
        <f t="shared" si="26"/>
        <v/>
      </c>
      <c r="AC76" s="568" t="str">
        <f t="shared" si="27"/>
        <v/>
      </c>
      <c r="AD76" s="137"/>
      <c r="AE76" s="137"/>
      <c r="AF76" s="138"/>
      <c r="AG76" s="138"/>
      <c r="AH76" s="592" t="str">
        <f t="shared" si="7"/>
        <v/>
      </c>
      <c r="AI76" s="592" t="str">
        <f t="shared" si="8"/>
        <v/>
      </c>
      <c r="AJ76" s="592" t="str">
        <f t="shared" si="9"/>
        <v/>
      </c>
      <c r="AK76" s="460" t="str">
        <f>IF(AU76="","",IF(OR(AZ76=8,AZ76=9),0,IF(OR(AW76=3,AW76=4,AW76=5,AW76=6),IF(LEFT(BF76,1)="1",INDEX(係数_NOX・PM低減,MATCH(AY76,【参考】排出係数!$AI$801:$AI$804,1),1),VLOOKUP(AU76,INDEX((係数_バス貨物_ガソリン,係数_バス貨物_CNG,係数_バス貨物_軽油,係数_バス貨物_メタノール,係数_バス貨物_LPG),MATCH(AY76,【参考】排出係数!$AI$4:$AI$671,1),1,BE76):INDEX((係数_バス貨物_ガソリン,係数_バス貨物_CNG,係数_バス貨物_軽油,係数_バス貨物_メタノール,係数_バス貨物_LPG),MATCH(AY76+1,【参考】排出係数!$AI$4:$AI$671,1)-1,5,BE76),4,FALSE)),IF(AND(BE76=3,LEFT(BF76,1)="1"),0.48,VLOOKUP(AU76,INDEX((係数_乗用_ガソリン,係数_乗用_CNG,係数_乗用_軽油,係数_乗用_メタノール,係数_乗用_LPG),1,1,BE76):INDEX((係数_乗用_ガソリン,係数_乗用_CNG,係数_乗用_軽油,係数_乗用_メタノール,係数_乗用_LPG),125,5,BE76),4,FALSE)))))</f>
        <v/>
      </c>
      <c r="AL76" s="461" t="str">
        <f t="shared" si="50"/>
        <v/>
      </c>
      <c r="AM76" s="460" t="str">
        <f>IF(AU76="","",IF(OR(AZ76=8,AZ76=9),0,IF(OR(AW76=3,AW76=4,AW76=5,AW76=6),IF(LEFT(BH76,1)="1",INDEX(係数_PM低減,MATCH(AY76,【参考】排出係数!$AI$801:$AI$804,1),MATCH(BI76,【参考】排出係数!$AL$798:$AO$798,1)),VLOOKUP(AU76,INDEX((係数_バス貨物_ガソリン,係数_バス貨物_CNG,係数_バス貨物_軽油,係数_バス貨物_メタノール,係数_バス貨物_LPG),MATCH(AY76,【参考】排出係数!$AI$4:$AI$671,1),1,BE76):INDEX((係数_バス貨物_ガソリン,係数_バス貨物_CNG,係数_バス貨物_軽油,係数_バス貨物_メタノール,係数_バス貨物_LPG),MATCH(AY76+1,【参考】排出係数!$AI$4:$AI$671,1)-1,5,BE76),5,FALSE)),IF(AND(BE76=3,LEFT(BF76,1)="1"),0.055,VLOOKUP(AU76,INDEX((係数_乗用_ガソリン,係数_乗用_CNG,係数_乗用_軽油,係数_乗用_メタノール,係数_乗用_LPG),1,1,BE76):INDEX((係数_乗用_ガソリン,係数_乗用_CNG,係数_乗用_軽油,係数_乗用_メタノール,係数_乗用_LPG),125,5,BE76),5,FALSE)))))</f>
        <v/>
      </c>
      <c r="AN76" s="461" t="str">
        <f t="shared" si="51"/>
        <v/>
      </c>
      <c r="AO76" s="462" t="str">
        <f t="shared" si="52"/>
        <v/>
      </c>
      <c r="AP76" s="463" t="str">
        <f t="shared" si="53"/>
        <v/>
      </c>
      <c r="AQ76" s="464"/>
      <c r="AR76" s="619"/>
      <c r="AS76" s="465" t="str">
        <f t="shared" si="28"/>
        <v/>
      </c>
      <c r="AT76" s="465" t="str">
        <f t="shared" si="29"/>
        <v/>
      </c>
      <c r="AU76" s="466" t="str">
        <f t="shared" si="30"/>
        <v/>
      </c>
      <c r="AV76" s="467" t="str">
        <f t="shared" si="31"/>
        <v/>
      </c>
      <c r="AW76" s="467" t="str">
        <f t="shared" si="32"/>
        <v/>
      </c>
      <c r="AX76" s="467" t="str">
        <f t="shared" si="33"/>
        <v/>
      </c>
      <c r="AY76" s="467" t="str">
        <f t="shared" si="34"/>
        <v/>
      </c>
      <c r="AZ76" s="467" t="str">
        <f t="shared" si="35"/>
        <v/>
      </c>
      <c r="BA76" s="468" t="str">
        <f>IF(AS76="","",IF(OR(AU76="",AU76="-"),"－",IF(OR(AZ76=8,AZ76=9),"",IF(OR(AW76=3,AW76=4,AW76=5,AW76=6),VLOOKUP(AU76,INDEX((係数_バス貨物_ガソリン,係数_バス貨物_CNG,係数_バス貨物_軽油,係数_バス貨物_メタノール,係数_バス貨物_LPG),MATCH(AY76,【参考】排出係数!$AI$4:$AI$671,1),1,BE76):INDEX((係数_バス貨物_ガソリン,係数_バス貨物_CNG,係数_バス貨物_軽油,係数_バス貨物_メタノール,係数_バス貨物_LPG),MATCH(AY76+1,【参考】排出係数!$AI$4:$AI$671,1)-1,5,BE76),2,FALSE),IF(OR(AW76=1,AW76=2),VLOOKUP(AU76,INDEX((係数_乗用_ガソリン,係数_乗用_CNG,係数_乗用_軽油,係数_乗用_メタノール,係数_乗用_LPG),1,1,BE76):INDEX((係数_乗用_ガソリン,係数_乗用_CNG,係数_乗用_軽油,係数_乗用_メタノール,係数_乗用_LPG),125,5,BE76),2,FALSE))))))</f>
        <v/>
      </c>
      <c r="BB76" s="468" t="str">
        <f>IF(T76="","",IF(OR(AU76="",AU76="-"),"－",IF(OR(AZ76=8,AZ76=9),"",IF(OR(AW76=3,AW76=4,AW76=5,AW76=6),VLOOKUP(AU76,INDEX((係数_バス貨物_ガソリン,係数_バス貨物_CNG,係数_バス貨物_軽油,係数_バス貨物_メタノール,係数_バス貨物_LPG),MATCH(AY76,【参考】排出係数!$AI$4:$AI$671,1),1,BE76):INDEX((係数_バス貨物_ガソリン,係数_バス貨物_CNG,係数_バス貨物_軽油,係数_バス貨物_メタノール,係数_バス貨物_LPG),MATCH(AY76+1,【参考】排出係数!$AI$4:$AI$671,1)-1,5,BE76),3,FALSE),IF(OR(AW76=1,AW76=2),VLOOKUP(AU76,INDEX((係数_乗用_ガソリン,係数_乗用_CNG,係数_乗用_軽油,係数_乗用_メタノール,係数_乗用_LPG),1,1,BE76):INDEX((係数_乗用_ガソリン,係数_乗用_CNG,係数_乗用_軽油,係数_乗用_メタノール,係数_乗用_LPG),125,5,BE76),3,FALSE))))))</f>
        <v/>
      </c>
      <c r="BC76" s="467" t="str">
        <f t="shared" si="36"/>
        <v/>
      </c>
      <c r="BD76" s="567" t="str">
        <f t="shared" si="37"/>
        <v/>
      </c>
      <c r="BE76" s="467" t="str">
        <f t="shared" si="38"/>
        <v/>
      </c>
      <c r="BF76" s="469" t="str">
        <f t="shared" ca="1" si="39"/>
        <v/>
      </c>
      <c r="BG76" s="469" t="str">
        <f t="shared" ca="1" si="40"/>
        <v/>
      </c>
      <c r="BH76" s="467" t="str">
        <f t="shared" si="41"/>
        <v/>
      </c>
      <c r="BI76" s="467" t="str">
        <f t="shared" ca="1" si="42"/>
        <v/>
      </c>
      <c r="BJ76" s="469" t="str">
        <f t="shared" si="43"/>
        <v/>
      </c>
      <c r="BK76" s="470" t="str">
        <f t="shared" si="22"/>
        <v/>
      </c>
      <c r="BL76" s="775" t="str">
        <f t="shared" si="44"/>
        <v/>
      </c>
      <c r="BM76" s="775" t="str">
        <f t="shared" si="45"/>
        <v/>
      </c>
      <c r="BO76" s="472"/>
      <c r="BT76" s="16"/>
      <c r="BU76" s="16"/>
      <c r="BV76" s="16"/>
      <c r="BW76" s="16"/>
      <c r="BX76" s="16"/>
      <c r="BY76" s="16"/>
      <c r="BZ76" s="16"/>
      <c r="CA76" s="16"/>
      <c r="CB76" s="16"/>
      <c r="CC76" s="16"/>
      <c r="CD76" s="16"/>
      <c r="CE76" s="16"/>
      <c r="CF76" s="16"/>
      <c r="CG76" s="16"/>
      <c r="CH76" s="16"/>
      <c r="CI76" s="16"/>
      <c r="CJ76" s="16"/>
      <c r="CK76" s="16"/>
      <c r="CL76" s="16"/>
      <c r="CM76" s="16"/>
      <c r="CN76" s="16"/>
      <c r="CO76" s="16"/>
      <c r="CP76" s="16"/>
    </row>
    <row r="77" spans="1:94" s="471" customFormat="1">
      <c r="A77" s="473">
        <v>21</v>
      </c>
      <c r="B77" s="132"/>
      <c r="C77" s="332"/>
      <c r="D77" s="333"/>
      <c r="E77" s="333"/>
      <c r="F77" s="334"/>
      <c r="G77" s="337"/>
      <c r="H77" s="131"/>
      <c r="I77" s="337"/>
      <c r="J77" s="131"/>
      <c r="K77" s="458" t="str">
        <f t="shared" si="0"/>
        <v/>
      </c>
      <c r="L77" s="458">
        <f t="shared" si="23"/>
        <v>0</v>
      </c>
      <c r="M77" s="458">
        <f t="shared" si="24"/>
        <v>0</v>
      </c>
      <c r="N77" s="459" t="str">
        <f t="shared" si="1"/>
        <v/>
      </c>
      <c r="O77" s="459" t="str">
        <f t="shared" si="2"/>
        <v/>
      </c>
      <c r="P77" s="459" t="str">
        <f t="shared" si="3"/>
        <v/>
      </c>
      <c r="Q77" s="459" t="str">
        <f t="shared" si="4"/>
        <v/>
      </c>
      <c r="R77" s="459" t="str">
        <f t="shared" si="5"/>
        <v/>
      </c>
      <c r="S77" s="459" t="str">
        <f t="shared" si="6"/>
        <v/>
      </c>
      <c r="T77" s="566" t="str">
        <f t="shared" si="25"/>
        <v/>
      </c>
      <c r="U77" s="702"/>
      <c r="V77" s="132"/>
      <c r="W77" s="133"/>
      <c r="X77" s="134"/>
      <c r="Y77" s="135"/>
      <c r="Z77" s="137"/>
      <c r="AA77" s="136"/>
      <c r="AB77" s="566" t="str">
        <f t="shared" si="26"/>
        <v/>
      </c>
      <c r="AC77" s="568" t="str">
        <f t="shared" si="27"/>
        <v/>
      </c>
      <c r="AD77" s="137"/>
      <c r="AE77" s="137"/>
      <c r="AF77" s="138"/>
      <c r="AG77" s="138"/>
      <c r="AH77" s="592" t="str">
        <f t="shared" si="7"/>
        <v/>
      </c>
      <c r="AI77" s="592" t="str">
        <f t="shared" si="8"/>
        <v/>
      </c>
      <c r="AJ77" s="592" t="str">
        <f t="shared" si="9"/>
        <v/>
      </c>
      <c r="AK77" s="460" t="str">
        <f>IF(AU77="","",IF(OR(AZ77=8,AZ77=9),0,IF(OR(AW77=3,AW77=4,AW77=5,AW77=6),IF(LEFT(BF77,1)="1",INDEX(係数_NOX・PM低減,MATCH(AY77,【参考】排出係数!$AI$801:$AI$804,1),1),VLOOKUP(AU77,INDEX((係数_バス貨物_ガソリン,係数_バス貨物_CNG,係数_バス貨物_軽油,係数_バス貨物_メタノール,係数_バス貨物_LPG),MATCH(AY77,【参考】排出係数!$AI$4:$AI$671,1),1,BE77):INDEX((係数_バス貨物_ガソリン,係数_バス貨物_CNG,係数_バス貨物_軽油,係数_バス貨物_メタノール,係数_バス貨物_LPG),MATCH(AY77+1,【参考】排出係数!$AI$4:$AI$671,1)-1,5,BE77),4,FALSE)),IF(AND(BE77=3,LEFT(BF77,1)="1"),0.48,VLOOKUP(AU77,INDEX((係数_乗用_ガソリン,係数_乗用_CNG,係数_乗用_軽油,係数_乗用_メタノール,係数_乗用_LPG),1,1,BE77):INDEX((係数_乗用_ガソリン,係数_乗用_CNG,係数_乗用_軽油,係数_乗用_メタノール,係数_乗用_LPG),125,5,BE77),4,FALSE)))))</f>
        <v/>
      </c>
      <c r="AL77" s="461" t="str">
        <f t="shared" si="50"/>
        <v/>
      </c>
      <c r="AM77" s="460" t="str">
        <f>IF(AU77="","",IF(OR(AZ77=8,AZ77=9),0,IF(OR(AW77=3,AW77=4,AW77=5,AW77=6),IF(LEFT(BH77,1)="1",INDEX(係数_PM低減,MATCH(AY77,【参考】排出係数!$AI$801:$AI$804,1),MATCH(BI77,【参考】排出係数!$AL$798:$AO$798,1)),VLOOKUP(AU77,INDEX((係数_バス貨物_ガソリン,係数_バス貨物_CNG,係数_バス貨物_軽油,係数_バス貨物_メタノール,係数_バス貨物_LPG),MATCH(AY77,【参考】排出係数!$AI$4:$AI$671,1),1,BE77):INDEX((係数_バス貨物_ガソリン,係数_バス貨物_CNG,係数_バス貨物_軽油,係数_バス貨物_メタノール,係数_バス貨物_LPG),MATCH(AY77+1,【参考】排出係数!$AI$4:$AI$671,1)-1,5,BE77),5,FALSE)),IF(AND(BE77=3,LEFT(BF77,1)="1"),0.055,VLOOKUP(AU77,INDEX((係数_乗用_ガソリン,係数_乗用_CNG,係数_乗用_軽油,係数_乗用_メタノール,係数_乗用_LPG),1,1,BE77):INDEX((係数_乗用_ガソリン,係数_乗用_CNG,係数_乗用_軽油,係数_乗用_メタノール,係数_乗用_LPG),125,5,BE77),5,FALSE)))))</f>
        <v/>
      </c>
      <c r="AN77" s="461" t="str">
        <f t="shared" si="51"/>
        <v/>
      </c>
      <c r="AO77" s="462" t="str">
        <f t="shared" si="52"/>
        <v/>
      </c>
      <c r="AP77" s="463" t="str">
        <f t="shared" si="53"/>
        <v/>
      </c>
      <c r="AQ77" s="464"/>
      <c r="AR77" s="619"/>
      <c r="AS77" s="465" t="str">
        <f t="shared" si="28"/>
        <v/>
      </c>
      <c r="AT77" s="465" t="str">
        <f t="shared" si="29"/>
        <v/>
      </c>
      <c r="AU77" s="466" t="str">
        <f t="shared" si="30"/>
        <v/>
      </c>
      <c r="AV77" s="467" t="str">
        <f t="shared" si="31"/>
        <v/>
      </c>
      <c r="AW77" s="467" t="str">
        <f t="shared" si="32"/>
        <v/>
      </c>
      <c r="AX77" s="467" t="str">
        <f t="shared" si="33"/>
        <v/>
      </c>
      <c r="AY77" s="467" t="str">
        <f t="shared" si="34"/>
        <v/>
      </c>
      <c r="AZ77" s="467" t="str">
        <f t="shared" si="35"/>
        <v/>
      </c>
      <c r="BA77" s="468" t="str">
        <f>IF(AS77="","",IF(OR(AU77="",AU77="-"),"－",IF(OR(AZ77=8,AZ77=9),"",IF(OR(AW77=3,AW77=4,AW77=5,AW77=6),VLOOKUP(AU77,INDEX((係数_バス貨物_ガソリン,係数_バス貨物_CNG,係数_バス貨物_軽油,係数_バス貨物_メタノール,係数_バス貨物_LPG),MATCH(AY77,【参考】排出係数!$AI$4:$AI$671,1),1,BE77):INDEX((係数_バス貨物_ガソリン,係数_バス貨物_CNG,係数_バス貨物_軽油,係数_バス貨物_メタノール,係数_バス貨物_LPG),MATCH(AY77+1,【参考】排出係数!$AI$4:$AI$671,1)-1,5,BE77),2,FALSE),IF(OR(AW77=1,AW77=2),VLOOKUP(AU77,INDEX((係数_乗用_ガソリン,係数_乗用_CNG,係数_乗用_軽油,係数_乗用_メタノール,係数_乗用_LPG),1,1,BE77):INDEX((係数_乗用_ガソリン,係数_乗用_CNG,係数_乗用_軽油,係数_乗用_メタノール,係数_乗用_LPG),125,5,BE77),2,FALSE))))))</f>
        <v/>
      </c>
      <c r="BB77" s="468" t="str">
        <f>IF(T77="","",IF(OR(AU77="",AU77="-"),"－",IF(OR(AZ77=8,AZ77=9),"",IF(OR(AW77=3,AW77=4,AW77=5,AW77=6),VLOOKUP(AU77,INDEX((係数_バス貨物_ガソリン,係数_バス貨物_CNG,係数_バス貨物_軽油,係数_バス貨物_メタノール,係数_バス貨物_LPG),MATCH(AY77,【参考】排出係数!$AI$4:$AI$671,1),1,BE77):INDEX((係数_バス貨物_ガソリン,係数_バス貨物_CNG,係数_バス貨物_軽油,係数_バス貨物_メタノール,係数_バス貨物_LPG),MATCH(AY77+1,【参考】排出係数!$AI$4:$AI$671,1)-1,5,BE77),3,FALSE),IF(OR(AW77=1,AW77=2),VLOOKUP(AU77,INDEX((係数_乗用_ガソリン,係数_乗用_CNG,係数_乗用_軽油,係数_乗用_メタノール,係数_乗用_LPG),1,1,BE77):INDEX((係数_乗用_ガソリン,係数_乗用_CNG,係数_乗用_軽油,係数_乗用_メタノール,係数_乗用_LPG),125,5,BE77),3,FALSE))))))</f>
        <v/>
      </c>
      <c r="BC77" s="467" t="str">
        <f t="shared" si="36"/>
        <v/>
      </c>
      <c r="BD77" s="567" t="str">
        <f t="shared" si="37"/>
        <v/>
      </c>
      <c r="BE77" s="467" t="str">
        <f t="shared" si="38"/>
        <v/>
      </c>
      <c r="BF77" s="469" t="str">
        <f t="shared" ca="1" si="39"/>
        <v/>
      </c>
      <c r="BG77" s="469" t="str">
        <f t="shared" ca="1" si="40"/>
        <v/>
      </c>
      <c r="BH77" s="467" t="str">
        <f t="shared" si="41"/>
        <v/>
      </c>
      <c r="BI77" s="467" t="str">
        <f t="shared" ca="1" si="42"/>
        <v/>
      </c>
      <c r="BJ77" s="469" t="str">
        <f t="shared" si="43"/>
        <v/>
      </c>
      <c r="BK77" s="470" t="str">
        <f t="shared" si="22"/>
        <v/>
      </c>
      <c r="BL77" s="775" t="str">
        <f t="shared" si="44"/>
        <v/>
      </c>
      <c r="BM77" s="775" t="str">
        <f t="shared" si="45"/>
        <v/>
      </c>
      <c r="BO77" s="472"/>
      <c r="BT77" s="16"/>
      <c r="BU77" s="16"/>
      <c r="BV77" s="16"/>
      <c r="BW77" s="16"/>
      <c r="BX77" s="16"/>
      <c r="BY77" s="16"/>
      <c r="BZ77" s="16"/>
      <c r="CA77" s="16"/>
      <c r="CB77" s="16"/>
      <c r="CC77" s="16"/>
      <c r="CD77" s="16"/>
      <c r="CE77" s="16"/>
      <c r="CF77" s="16"/>
      <c r="CG77" s="16"/>
      <c r="CH77" s="16"/>
      <c r="CI77" s="16"/>
      <c r="CJ77" s="16"/>
      <c r="CK77" s="16"/>
      <c r="CL77" s="16"/>
      <c r="CM77" s="16"/>
      <c r="CN77" s="16"/>
      <c r="CO77" s="16"/>
      <c r="CP77" s="16"/>
    </row>
    <row r="78" spans="1:94" s="471" customFormat="1">
      <c r="A78" s="473">
        <v>22</v>
      </c>
      <c r="B78" s="132"/>
      <c r="C78" s="332"/>
      <c r="D78" s="333"/>
      <c r="E78" s="333"/>
      <c r="F78" s="334"/>
      <c r="G78" s="337"/>
      <c r="H78" s="131"/>
      <c r="I78" s="337"/>
      <c r="J78" s="131"/>
      <c r="K78" s="458" t="str">
        <f t="shared" si="0"/>
        <v/>
      </c>
      <c r="L78" s="458">
        <f t="shared" si="23"/>
        <v>0</v>
      </c>
      <c r="M78" s="458">
        <f t="shared" si="24"/>
        <v>0</v>
      </c>
      <c r="N78" s="459" t="str">
        <f t="shared" si="1"/>
        <v/>
      </c>
      <c r="O78" s="459" t="str">
        <f t="shared" si="2"/>
        <v/>
      </c>
      <c r="P78" s="459" t="str">
        <f t="shared" si="3"/>
        <v/>
      </c>
      <c r="Q78" s="459" t="str">
        <f t="shared" si="4"/>
        <v/>
      </c>
      <c r="R78" s="459" t="str">
        <f t="shared" si="5"/>
        <v/>
      </c>
      <c r="S78" s="459" t="str">
        <f t="shared" si="6"/>
        <v/>
      </c>
      <c r="T78" s="566" t="str">
        <f t="shared" si="25"/>
        <v/>
      </c>
      <c r="U78" s="702"/>
      <c r="V78" s="132"/>
      <c r="W78" s="133"/>
      <c r="X78" s="134"/>
      <c r="Y78" s="135"/>
      <c r="Z78" s="137"/>
      <c r="AA78" s="136"/>
      <c r="AB78" s="566" t="str">
        <f t="shared" si="26"/>
        <v/>
      </c>
      <c r="AC78" s="568" t="str">
        <f t="shared" si="27"/>
        <v/>
      </c>
      <c r="AD78" s="137"/>
      <c r="AE78" s="137"/>
      <c r="AF78" s="138"/>
      <c r="AG78" s="138"/>
      <c r="AH78" s="592" t="str">
        <f t="shared" si="7"/>
        <v/>
      </c>
      <c r="AI78" s="592" t="str">
        <f t="shared" si="8"/>
        <v/>
      </c>
      <c r="AJ78" s="592" t="str">
        <f t="shared" si="9"/>
        <v/>
      </c>
      <c r="AK78" s="460" t="str">
        <f>IF(AU78="","",IF(OR(AZ78=8,AZ78=9),0,IF(OR(AW78=3,AW78=4,AW78=5,AW78=6),IF(LEFT(BF78,1)="1",INDEX(係数_NOX・PM低減,MATCH(AY78,【参考】排出係数!$AI$801:$AI$804,1),1),VLOOKUP(AU78,INDEX((係数_バス貨物_ガソリン,係数_バス貨物_CNG,係数_バス貨物_軽油,係数_バス貨物_メタノール,係数_バス貨物_LPG),MATCH(AY78,【参考】排出係数!$AI$4:$AI$671,1),1,BE78):INDEX((係数_バス貨物_ガソリン,係数_バス貨物_CNG,係数_バス貨物_軽油,係数_バス貨物_メタノール,係数_バス貨物_LPG),MATCH(AY78+1,【参考】排出係数!$AI$4:$AI$671,1)-1,5,BE78),4,FALSE)),IF(AND(BE78=3,LEFT(BF78,1)="1"),0.48,VLOOKUP(AU78,INDEX((係数_乗用_ガソリン,係数_乗用_CNG,係数_乗用_軽油,係数_乗用_メタノール,係数_乗用_LPG),1,1,BE78):INDEX((係数_乗用_ガソリン,係数_乗用_CNG,係数_乗用_軽油,係数_乗用_メタノール,係数_乗用_LPG),125,5,BE78),4,FALSE)))))</f>
        <v/>
      </c>
      <c r="AL78" s="461" t="str">
        <f t="shared" si="50"/>
        <v/>
      </c>
      <c r="AM78" s="460" t="str">
        <f>IF(AU78="","",IF(OR(AZ78=8,AZ78=9),0,IF(OR(AW78=3,AW78=4,AW78=5,AW78=6),IF(LEFT(BH78,1)="1",INDEX(係数_PM低減,MATCH(AY78,【参考】排出係数!$AI$801:$AI$804,1),MATCH(BI78,【参考】排出係数!$AL$798:$AO$798,1)),VLOOKUP(AU78,INDEX((係数_バス貨物_ガソリン,係数_バス貨物_CNG,係数_バス貨物_軽油,係数_バス貨物_メタノール,係数_バス貨物_LPG),MATCH(AY78,【参考】排出係数!$AI$4:$AI$671,1),1,BE78):INDEX((係数_バス貨物_ガソリン,係数_バス貨物_CNG,係数_バス貨物_軽油,係数_バス貨物_メタノール,係数_バス貨物_LPG),MATCH(AY78+1,【参考】排出係数!$AI$4:$AI$671,1)-1,5,BE78),5,FALSE)),IF(AND(BE78=3,LEFT(BF78,1)="1"),0.055,VLOOKUP(AU78,INDEX((係数_乗用_ガソリン,係数_乗用_CNG,係数_乗用_軽油,係数_乗用_メタノール,係数_乗用_LPG),1,1,BE78):INDEX((係数_乗用_ガソリン,係数_乗用_CNG,係数_乗用_軽油,係数_乗用_メタノール,係数_乗用_LPG),125,5,BE78),5,FALSE)))))</f>
        <v/>
      </c>
      <c r="AN78" s="461" t="str">
        <f t="shared" si="51"/>
        <v/>
      </c>
      <c r="AO78" s="462" t="str">
        <f t="shared" si="52"/>
        <v/>
      </c>
      <c r="AP78" s="463" t="str">
        <f t="shared" si="53"/>
        <v/>
      </c>
      <c r="AQ78" s="464"/>
      <c r="AR78" s="619"/>
      <c r="AS78" s="465" t="str">
        <f t="shared" si="28"/>
        <v/>
      </c>
      <c r="AT78" s="465" t="str">
        <f t="shared" si="29"/>
        <v/>
      </c>
      <c r="AU78" s="466" t="str">
        <f t="shared" si="30"/>
        <v/>
      </c>
      <c r="AV78" s="467" t="str">
        <f t="shared" si="31"/>
        <v/>
      </c>
      <c r="AW78" s="467" t="str">
        <f t="shared" si="32"/>
        <v/>
      </c>
      <c r="AX78" s="467" t="str">
        <f t="shared" si="33"/>
        <v/>
      </c>
      <c r="AY78" s="467" t="str">
        <f t="shared" si="34"/>
        <v/>
      </c>
      <c r="AZ78" s="467" t="str">
        <f t="shared" si="35"/>
        <v/>
      </c>
      <c r="BA78" s="468" t="str">
        <f>IF(AS78="","",IF(OR(AU78="",AU78="-"),"－",IF(OR(AZ78=8,AZ78=9),"",IF(OR(AW78=3,AW78=4,AW78=5,AW78=6),VLOOKUP(AU78,INDEX((係数_バス貨物_ガソリン,係数_バス貨物_CNG,係数_バス貨物_軽油,係数_バス貨物_メタノール,係数_バス貨物_LPG),MATCH(AY78,【参考】排出係数!$AI$4:$AI$671,1),1,BE78):INDEX((係数_バス貨物_ガソリン,係数_バス貨物_CNG,係数_バス貨物_軽油,係数_バス貨物_メタノール,係数_バス貨物_LPG),MATCH(AY78+1,【参考】排出係数!$AI$4:$AI$671,1)-1,5,BE78),2,FALSE),IF(OR(AW78=1,AW78=2),VLOOKUP(AU78,INDEX((係数_乗用_ガソリン,係数_乗用_CNG,係数_乗用_軽油,係数_乗用_メタノール,係数_乗用_LPG),1,1,BE78):INDEX((係数_乗用_ガソリン,係数_乗用_CNG,係数_乗用_軽油,係数_乗用_メタノール,係数_乗用_LPG),125,5,BE78),2,FALSE))))))</f>
        <v/>
      </c>
      <c r="BB78" s="468" t="str">
        <f>IF(T78="","",IF(OR(AU78="",AU78="-"),"－",IF(OR(AZ78=8,AZ78=9),"",IF(OR(AW78=3,AW78=4,AW78=5,AW78=6),VLOOKUP(AU78,INDEX((係数_バス貨物_ガソリン,係数_バス貨物_CNG,係数_バス貨物_軽油,係数_バス貨物_メタノール,係数_バス貨物_LPG),MATCH(AY78,【参考】排出係数!$AI$4:$AI$671,1),1,BE78):INDEX((係数_バス貨物_ガソリン,係数_バス貨物_CNG,係数_バス貨物_軽油,係数_バス貨物_メタノール,係数_バス貨物_LPG),MATCH(AY78+1,【参考】排出係数!$AI$4:$AI$671,1)-1,5,BE78),3,FALSE),IF(OR(AW78=1,AW78=2),VLOOKUP(AU78,INDEX((係数_乗用_ガソリン,係数_乗用_CNG,係数_乗用_軽油,係数_乗用_メタノール,係数_乗用_LPG),1,1,BE78):INDEX((係数_乗用_ガソリン,係数_乗用_CNG,係数_乗用_軽油,係数_乗用_メタノール,係数_乗用_LPG),125,5,BE78),3,FALSE))))))</f>
        <v/>
      </c>
      <c r="BC78" s="467" t="str">
        <f t="shared" si="36"/>
        <v/>
      </c>
      <c r="BD78" s="567" t="str">
        <f t="shared" si="37"/>
        <v/>
      </c>
      <c r="BE78" s="467" t="str">
        <f t="shared" si="38"/>
        <v/>
      </c>
      <c r="BF78" s="469" t="str">
        <f t="shared" ca="1" si="39"/>
        <v/>
      </c>
      <c r="BG78" s="469" t="str">
        <f t="shared" ca="1" si="40"/>
        <v/>
      </c>
      <c r="BH78" s="467" t="str">
        <f t="shared" si="41"/>
        <v/>
      </c>
      <c r="BI78" s="467" t="str">
        <f t="shared" ca="1" si="42"/>
        <v/>
      </c>
      <c r="BJ78" s="469" t="str">
        <f t="shared" si="43"/>
        <v/>
      </c>
      <c r="BK78" s="470" t="str">
        <f t="shared" si="22"/>
        <v/>
      </c>
      <c r="BL78" s="775" t="str">
        <f t="shared" si="44"/>
        <v/>
      </c>
      <c r="BM78" s="775" t="str">
        <f t="shared" si="45"/>
        <v/>
      </c>
      <c r="BO78" s="472"/>
      <c r="BT78" s="16"/>
      <c r="BU78" s="16"/>
      <c r="BV78" s="16"/>
      <c r="BW78" s="16"/>
      <c r="BX78" s="16"/>
      <c r="BY78" s="16"/>
      <c r="BZ78" s="16"/>
      <c r="CA78" s="16"/>
      <c r="CB78" s="16"/>
      <c r="CC78" s="16"/>
      <c r="CD78" s="16"/>
      <c r="CE78" s="16"/>
      <c r="CF78" s="16"/>
      <c r="CG78" s="16"/>
      <c r="CH78" s="16"/>
      <c r="CI78" s="16"/>
      <c r="CJ78" s="16"/>
      <c r="CK78" s="16"/>
      <c r="CL78" s="16"/>
      <c r="CM78" s="16"/>
      <c r="CN78" s="16"/>
      <c r="CO78" s="16"/>
      <c r="CP78" s="16"/>
    </row>
    <row r="79" spans="1:94" s="471" customFormat="1" ht="13.5" customHeight="1">
      <c r="A79" s="473">
        <v>23</v>
      </c>
      <c r="B79" s="132"/>
      <c r="C79" s="332"/>
      <c r="D79" s="333"/>
      <c r="E79" s="333"/>
      <c r="F79" s="334"/>
      <c r="G79" s="337"/>
      <c r="H79" s="131"/>
      <c r="I79" s="337"/>
      <c r="J79" s="131"/>
      <c r="K79" s="458" t="str">
        <f t="shared" si="0"/>
        <v/>
      </c>
      <c r="L79" s="458">
        <f t="shared" si="23"/>
        <v>0</v>
      </c>
      <c r="M79" s="458">
        <f t="shared" si="24"/>
        <v>0</v>
      </c>
      <c r="N79" s="459" t="str">
        <f t="shared" si="1"/>
        <v/>
      </c>
      <c r="O79" s="459" t="str">
        <f t="shared" si="2"/>
        <v/>
      </c>
      <c r="P79" s="459" t="str">
        <f t="shared" si="3"/>
        <v/>
      </c>
      <c r="Q79" s="459" t="str">
        <f t="shared" si="4"/>
        <v/>
      </c>
      <c r="R79" s="459" t="str">
        <f t="shared" si="5"/>
        <v/>
      </c>
      <c r="S79" s="459" t="str">
        <f t="shared" si="6"/>
        <v/>
      </c>
      <c r="T79" s="566" t="str">
        <f t="shared" si="25"/>
        <v/>
      </c>
      <c r="U79" s="702"/>
      <c r="V79" s="132"/>
      <c r="W79" s="133"/>
      <c r="X79" s="134"/>
      <c r="Y79" s="135"/>
      <c r="Z79" s="137"/>
      <c r="AA79" s="136"/>
      <c r="AB79" s="566" t="str">
        <f t="shared" si="26"/>
        <v/>
      </c>
      <c r="AC79" s="568" t="str">
        <f t="shared" si="27"/>
        <v/>
      </c>
      <c r="AD79" s="137"/>
      <c r="AE79" s="137"/>
      <c r="AF79" s="138"/>
      <c r="AG79" s="138"/>
      <c r="AH79" s="592" t="str">
        <f t="shared" si="7"/>
        <v/>
      </c>
      <c r="AI79" s="592" t="str">
        <f t="shared" si="8"/>
        <v/>
      </c>
      <c r="AJ79" s="592" t="str">
        <f t="shared" si="9"/>
        <v/>
      </c>
      <c r="AK79" s="460" t="str">
        <f>IF(AU79="","",IF(OR(AZ79=8,AZ79=9),0,IF(OR(AW79=3,AW79=4,AW79=5,AW79=6),IF(LEFT(BF79,1)="1",INDEX(係数_NOX・PM低減,MATCH(AY79,【参考】排出係数!$AI$801:$AI$804,1),1),VLOOKUP(AU79,INDEX((係数_バス貨物_ガソリン,係数_バス貨物_CNG,係数_バス貨物_軽油,係数_バス貨物_メタノール,係数_バス貨物_LPG),MATCH(AY79,【参考】排出係数!$AI$4:$AI$671,1),1,BE79):INDEX((係数_バス貨物_ガソリン,係数_バス貨物_CNG,係数_バス貨物_軽油,係数_バス貨物_メタノール,係数_バス貨物_LPG),MATCH(AY79+1,【参考】排出係数!$AI$4:$AI$671,1)-1,5,BE79),4,FALSE)),IF(AND(BE79=3,LEFT(BF79,1)="1"),0.48,VLOOKUP(AU79,INDEX((係数_乗用_ガソリン,係数_乗用_CNG,係数_乗用_軽油,係数_乗用_メタノール,係数_乗用_LPG),1,1,BE79):INDEX((係数_乗用_ガソリン,係数_乗用_CNG,係数_乗用_軽油,係数_乗用_メタノール,係数_乗用_LPG),125,5,BE79),4,FALSE)))))</f>
        <v/>
      </c>
      <c r="AL79" s="461" t="str">
        <f t="shared" si="50"/>
        <v/>
      </c>
      <c r="AM79" s="460" t="str">
        <f>IF(AU79="","",IF(OR(AZ79=8,AZ79=9),0,IF(OR(AW79=3,AW79=4,AW79=5,AW79=6),IF(LEFT(BH79,1)="1",INDEX(係数_PM低減,MATCH(AY79,【参考】排出係数!$AI$801:$AI$804,1),MATCH(BI79,【参考】排出係数!$AL$798:$AO$798,1)),VLOOKUP(AU79,INDEX((係数_バス貨物_ガソリン,係数_バス貨物_CNG,係数_バス貨物_軽油,係数_バス貨物_メタノール,係数_バス貨物_LPG),MATCH(AY79,【参考】排出係数!$AI$4:$AI$671,1),1,BE79):INDEX((係数_バス貨物_ガソリン,係数_バス貨物_CNG,係数_バス貨物_軽油,係数_バス貨物_メタノール,係数_バス貨物_LPG),MATCH(AY79+1,【参考】排出係数!$AI$4:$AI$671,1)-1,5,BE79),5,FALSE)),IF(AND(BE79=3,LEFT(BF79,1)="1"),0.055,VLOOKUP(AU79,INDEX((係数_乗用_ガソリン,係数_乗用_CNG,係数_乗用_軽油,係数_乗用_メタノール,係数_乗用_LPG),1,1,BE79):INDEX((係数_乗用_ガソリン,係数_乗用_CNG,係数_乗用_軽油,係数_乗用_メタノール,係数_乗用_LPG),125,5,BE79),5,FALSE)))))</f>
        <v/>
      </c>
      <c r="AN79" s="461" t="str">
        <f t="shared" si="51"/>
        <v/>
      </c>
      <c r="AO79" s="462" t="str">
        <f t="shared" si="52"/>
        <v/>
      </c>
      <c r="AP79" s="463" t="str">
        <f t="shared" si="53"/>
        <v/>
      </c>
      <c r="AQ79" s="464"/>
      <c r="AR79" s="619"/>
      <c r="AS79" s="465" t="str">
        <f t="shared" si="28"/>
        <v/>
      </c>
      <c r="AT79" s="465" t="str">
        <f t="shared" si="29"/>
        <v/>
      </c>
      <c r="AU79" s="466" t="str">
        <f t="shared" si="30"/>
        <v/>
      </c>
      <c r="AV79" s="467" t="str">
        <f t="shared" si="31"/>
        <v/>
      </c>
      <c r="AW79" s="467" t="str">
        <f t="shared" si="32"/>
        <v/>
      </c>
      <c r="AX79" s="467" t="str">
        <f t="shared" si="33"/>
        <v/>
      </c>
      <c r="AY79" s="467" t="str">
        <f t="shared" si="34"/>
        <v/>
      </c>
      <c r="AZ79" s="467" t="str">
        <f t="shared" si="35"/>
        <v/>
      </c>
      <c r="BA79" s="468" t="str">
        <f>IF(AS79="","",IF(OR(AU79="",AU79="-"),"－",IF(OR(AZ79=8,AZ79=9),"",IF(OR(AW79=3,AW79=4,AW79=5,AW79=6),VLOOKUP(AU79,INDEX((係数_バス貨物_ガソリン,係数_バス貨物_CNG,係数_バス貨物_軽油,係数_バス貨物_メタノール,係数_バス貨物_LPG),MATCH(AY79,【参考】排出係数!$AI$4:$AI$671,1),1,BE79):INDEX((係数_バス貨物_ガソリン,係数_バス貨物_CNG,係数_バス貨物_軽油,係数_バス貨物_メタノール,係数_バス貨物_LPG),MATCH(AY79+1,【参考】排出係数!$AI$4:$AI$671,1)-1,5,BE79),2,FALSE),IF(OR(AW79=1,AW79=2),VLOOKUP(AU79,INDEX((係数_乗用_ガソリン,係数_乗用_CNG,係数_乗用_軽油,係数_乗用_メタノール,係数_乗用_LPG),1,1,BE79):INDEX((係数_乗用_ガソリン,係数_乗用_CNG,係数_乗用_軽油,係数_乗用_メタノール,係数_乗用_LPG),125,5,BE79),2,FALSE))))))</f>
        <v/>
      </c>
      <c r="BB79" s="468" t="str">
        <f>IF(T79="","",IF(OR(AU79="",AU79="-"),"－",IF(OR(AZ79=8,AZ79=9),"",IF(OR(AW79=3,AW79=4,AW79=5,AW79=6),VLOOKUP(AU79,INDEX((係数_バス貨物_ガソリン,係数_バス貨物_CNG,係数_バス貨物_軽油,係数_バス貨物_メタノール,係数_バス貨物_LPG),MATCH(AY79,【参考】排出係数!$AI$4:$AI$671,1),1,BE79):INDEX((係数_バス貨物_ガソリン,係数_バス貨物_CNG,係数_バス貨物_軽油,係数_バス貨物_メタノール,係数_バス貨物_LPG),MATCH(AY79+1,【参考】排出係数!$AI$4:$AI$671,1)-1,5,BE79),3,FALSE),IF(OR(AW79=1,AW79=2),VLOOKUP(AU79,INDEX((係数_乗用_ガソリン,係数_乗用_CNG,係数_乗用_軽油,係数_乗用_メタノール,係数_乗用_LPG),1,1,BE79):INDEX((係数_乗用_ガソリン,係数_乗用_CNG,係数_乗用_軽油,係数_乗用_メタノール,係数_乗用_LPG),125,5,BE79),3,FALSE))))))</f>
        <v/>
      </c>
      <c r="BC79" s="467" t="str">
        <f t="shared" si="36"/>
        <v/>
      </c>
      <c r="BD79" s="567" t="str">
        <f t="shared" si="37"/>
        <v/>
      </c>
      <c r="BE79" s="467" t="str">
        <f t="shared" si="38"/>
        <v/>
      </c>
      <c r="BF79" s="469" t="str">
        <f t="shared" ca="1" si="39"/>
        <v/>
      </c>
      <c r="BG79" s="469" t="str">
        <f t="shared" ca="1" si="40"/>
        <v/>
      </c>
      <c r="BH79" s="467" t="str">
        <f t="shared" si="41"/>
        <v/>
      </c>
      <c r="BI79" s="467" t="str">
        <f t="shared" ca="1" si="42"/>
        <v/>
      </c>
      <c r="BJ79" s="469" t="str">
        <f t="shared" si="43"/>
        <v/>
      </c>
      <c r="BK79" s="470" t="str">
        <f t="shared" si="22"/>
        <v/>
      </c>
      <c r="BL79" s="775" t="str">
        <f t="shared" si="44"/>
        <v/>
      </c>
      <c r="BM79" s="775" t="str">
        <f t="shared" si="45"/>
        <v/>
      </c>
      <c r="BO79" s="472"/>
    </row>
    <row r="80" spans="1:94" s="471" customFormat="1" ht="13.5" customHeight="1">
      <c r="A80" s="473">
        <v>24</v>
      </c>
      <c r="B80" s="132"/>
      <c r="C80" s="332"/>
      <c r="D80" s="333"/>
      <c r="E80" s="333"/>
      <c r="F80" s="334"/>
      <c r="G80" s="337"/>
      <c r="H80" s="131"/>
      <c r="I80" s="337"/>
      <c r="J80" s="131"/>
      <c r="K80" s="458" t="str">
        <f t="shared" si="0"/>
        <v/>
      </c>
      <c r="L80" s="458">
        <f t="shared" si="23"/>
        <v>0</v>
      </c>
      <c r="M80" s="458">
        <f t="shared" si="24"/>
        <v>0</v>
      </c>
      <c r="N80" s="459" t="str">
        <f t="shared" si="1"/>
        <v/>
      </c>
      <c r="O80" s="459" t="str">
        <f t="shared" si="2"/>
        <v/>
      </c>
      <c r="P80" s="459" t="str">
        <f t="shared" si="3"/>
        <v/>
      </c>
      <c r="Q80" s="459" t="str">
        <f t="shared" si="4"/>
        <v/>
      </c>
      <c r="R80" s="459" t="str">
        <f t="shared" si="5"/>
        <v/>
      </c>
      <c r="S80" s="459" t="str">
        <f t="shared" si="6"/>
        <v/>
      </c>
      <c r="T80" s="566" t="str">
        <f t="shared" si="25"/>
        <v/>
      </c>
      <c r="U80" s="702"/>
      <c r="V80" s="132"/>
      <c r="W80" s="133"/>
      <c r="X80" s="134"/>
      <c r="Y80" s="135"/>
      <c r="Z80" s="137"/>
      <c r="AA80" s="136"/>
      <c r="AB80" s="566" t="str">
        <f t="shared" si="26"/>
        <v/>
      </c>
      <c r="AC80" s="568" t="str">
        <f t="shared" si="27"/>
        <v/>
      </c>
      <c r="AD80" s="137"/>
      <c r="AE80" s="137"/>
      <c r="AF80" s="138"/>
      <c r="AG80" s="138"/>
      <c r="AH80" s="592" t="str">
        <f t="shared" si="7"/>
        <v/>
      </c>
      <c r="AI80" s="592" t="str">
        <f t="shared" si="8"/>
        <v/>
      </c>
      <c r="AJ80" s="592" t="str">
        <f t="shared" si="9"/>
        <v/>
      </c>
      <c r="AK80" s="460" t="str">
        <f>IF(AU80="","",IF(OR(AZ80=8,AZ80=9),0,IF(OR(AW80=3,AW80=4,AW80=5,AW80=6),IF(LEFT(BF80,1)="1",INDEX(係数_NOX・PM低減,MATCH(AY80,【参考】排出係数!$AI$801:$AI$804,1),1),VLOOKUP(AU80,INDEX((係数_バス貨物_ガソリン,係数_バス貨物_CNG,係数_バス貨物_軽油,係数_バス貨物_メタノール,係数_バス貨物_LPG),MATCH(AY80,【参考】排出係数!$AI$4:$AI$671,1),1,BE80):INDEX((係数_バス貨物_ガソリン,係数_バス貨物_CNG,係数_バス貨物_軽油,係数_バス貨物_メタノール,係数_バス貨物_LPG),MATCH(AY80+1,【参考】排出係数!$AI$4:$AI$671,1)-1,5,BE80),4,FALSE)),IF(AND(BE80=3,LEFT(BF80,1)="1"),0.48,VLOOKUP(AU80,INDEX((係数_乗用_ガソリン,係数_乗用_CNG,係数_乗用_軽油,係数_乗用_メタノール,係数_乗用_LPG),1,1,BE80):INDEX((係数_乗用_ガソリン,係数_乗用_CNG,係数_乗用_軽油,係数_乗用_メタノール,係数_乗用_LPG),125,5,BE80),4,FALSE)))))</f>
        <v/>
      </c>
      <c r="AL80" s="461" t="str">
        <f t="shared" si="50"/>
        <v/>
      </c>
      <c r="AM80" s="460" t="str">
        <f>IF(AU80="","",IF(OR(AZ80=8,AZ80=9),0,IF(OR(AW80=3,AW80=4,AW80=5,AW80=6),IF(LEFT(BH80,1)="1",INDEX(係数_PM低減,MATCH(AY80,【参考】排出係数!$AI$801:$AI$804,1),MATCH(BI80,【参考】排出係数!$AL$798:$AO$798,1)),VLOOKUP(AU80,INDEX((係数_バス貨物_ガソリン,係数_バス貨物_CNG,係数_バス貨物_軽油,係数_バス貨物_メタノール,係数_バス貨物_LPG),MATCH(AY80,【参考】排出係数!$AI$4:$AI$671,1),1,BE80):INDEX((係数_バス貨物_ガソリン,係数_バス貨物_CNG,係数_バス貨物_軽油,係数_バス貨物_メタノール,係数_バス貨物_LPG),MATCH(AY80+1,【参考】排出係数!$AI$4:$AI$671,1)-1,5,BE80),5,FALSE)),IF(AND(BE80=3,LEFT(BF80,1)="1"),0.055,VLOOKUP(AU80,INDEX((係数_乗用_ガソリン,係数_乗用_CNG,係数_乗用_軽油,係数_乗用_メタノール,係数_乗用_LPG),1,1,BE80):INDEX((係数_乗用_ガソリン,係数_乗用_CNG,係数_乗用_軽油,係数_乗用_メタノール,係数_乗用_LPG),125,5,BE80),5,FALSE)))))</f>
        <v/>
      </c>
      <c r="AN80" s="461" t="str">
        <f t="shared" si="51"/>
        <v/>
      </c>
      <c r="AO80" s="462" t="str">
        <f t="shared" si="52"/>
        <v/>
      </c>
      <c r="AP80" s="463" t="str">
        <f t="shared" si="53"/>
        <v/>
      </c>
      <c r="AQ80" s="464"/>
      <c r="AR80" s="619"/>
      <c r="AS80" s="465" t="str">
        <f t="shared" si="28"/>
        <v/>
      </c>
      <c r="AT80" s="465" t="str">
        <f t="shared" si="29"/>
        <v/>
      </c>
      <c r="AU80" s="466" t="str">
        <f t="shared" si="30"/>
        <v/>
      </c>
      <c r="AV80" s="467" t="str">
        <f t="shared" si="31"/>
        <v/>
      </c>
      <c r="AW80" s="467" t="str">
        <f t="shared" si="32"/>
        <v/>
      </c>
      <c r="AX80" s="467" t="str">
        <f t="shared" si="33"/>
        <v/>
      </c>
      <c r="AY80" s="467" t="str">
        <f t="shared" si="34"/>
        <v/>
      </c>
      <c r="AZ80" s="467" t="str">
        <f t="shared" si="35"/>
        <v/>
      </c>
      <c r="BA80" s="468" t="str">
        <f>IF(AS80="","",IF(OR(AU80="",AU80="-"),"－",IF(OR(AZ80=8,AZ80=9),"",IF(OR(AW80=3,AW80=4,AW80=5,AW80=6),VLOOKUP(AU80,INDEX((係数_バス貨物_ガソリン,係数_バス貨物_CNG,係数_バス貨物_軽油,係数_バス貨物_メタノール,係数_バス貨物_LPG),MATCH(AY80,【参考】排出係数!$AI$4:$AI$671,1),1,BE80):INDEX((係数_バス貨物_ガソリン,係数_バス貨物_CNG,係数_バス貨物_軽油,係数_バス貨物_メタノール,係数_バス貨物_LPG),MATCH(AY80+1,【参考】排出係数!$AI$4:$AI$671,1)-1,5,BE80),2,FALSE),IF(OR(AW80=1,AW80=2),VLOOKUP(AU80,INDEX((係数_乗用_ガソリン,係数_乗用_CNG,係数_乗用_軽油,係数_乗用_メタノール,係数_乗用_LPG),1,1,BE80):INDEX((係数_乗用_ガソリン,係数_乗用_CNG,係数_乗用_軽油,係数_乗用_メタノール,係数_乗用_LPG),125,5,BE80),2,FALSE))))))</f>
        <v/>
      </c>
      <c r="BB80" s="468" t="str">
        <f>IF(T80="","",IF(OR(AU80="",AU80="-"),"－",IF(OR(AZ80=8,AZ80=9),"",IF(OR(AW80=3,AW80=4,AW80=5,AW80=6),VLOOKUP(AU80,INDEX((係数_バス貨物_ガソリン,係数_バス貨物_CNG,係数_バス貨物_軽油,係数_バス貨物_メタノール,係数_バス貨物_LPG),MATCH(AY80,【参考】排出係数!$AI$4:$AI$671,1),1,BE80):INDEX((係数_バス貨物_ガソリン,係数_バス貨物_CNG,係数_バス貨物_軽油,係数_バス貨物_メタノール,係数_バス貨物_LPG),MATCH(AY80+1,【参考】排出係数!$AI$4:$AI$671,1)-1,5,BE80),3,FALSE),IF(OR(AW80=1,AW80=2),VLOOKUP(AU80,INDEX((係数_乗用_ガソリン,係数_乗用_CNG,係数_乗用_軽油,係数_乗用_メタノール,係数_乗用_LPG),1,1,BE80):INDEX((係数_乗用_ガソリン,係数_乗用_CNG,係数_乗用_軽油,係数_乗用_メタノール,係数_乗用_LPG),125,5,BE80),3,FALSE))))))</f>
        <v/>
      </c>
      <c r="BC80" s="467" t="str">
        <f t="shared" si="36"/>
        <v/>
      </c>
      <c r="BD80" s="567" t="str">
        <f t="shared" si="37"/>
        <v/>
      </c>
      <c r="BE80" s="467" t="str">
        <f t="shared" si="38"/>
        <v/>
      </c>
      <c r="BF80" s="469" t="str">
        <f t="shared" ca="1" si="39"/>
        <v/>
      </c>
      <c r="BG80" s="469" t="str">
        <f t="shared" ca="1" si="40"/>
        <v/>
      </c>
      <c r="BH80" s="467" t="str">
        <f t="shared" si="41"/>
        <v/>
      </c>
      <c r="BI80" s="467" t="str">
        <f t="shared" ca="1" si="42"/>
        <v/>
      </c>
      <c r="BJ80" s="469" t="str">
        <f t="shared" si="43"/>
        <v/>
      </c>
      <c r="BK80" s="470" t="str">
        <f t="shared" si="22"/>
        <v/>
      </c>
      <c r="BL80" s="775" t="str">
        <f t="shared" si="44"/>
        <v/>
      </c>
      <c r="BM80" s="775" t="str">
        <f t="shared" si="45"/>
        <v/>
      </c>
      <c r="BO80" s="472"/>
    </row>
    <row r="81" spans="1:67" s="471" customFormat="1" ht="13.5" customHeight="1">
      <c r="A81" s="473">
        <v>25</v>
      </c>
      <c r="B81" s="132"/>
      <c r="C81" s="332"/>
      <c r="D81" s="333"/>
      <c r="E81" s="333"/>
      <c r="F81" s="334"/>
      <c r="G81" s="337"/>
      <c r="H81" s="131"/>
      <c r="I81" s="337"/>
      <c r="J81" s="131"/>
      <c r="K81" s="458" t="str">
        <f t="shared" si="0"/>
        <v/>
      </c>
      <c r="L81" s="458">
        <f t="shared" si="23"/>
        <v>0</v>
      </c>
      <c r="M81" s="458">
        <f t="shared" si="24"/>
        <v>0</v>
      </c>
      <c r="N81" s="459" t="str">
        <f t="shared" si="1"/>
        <v/>
      </c>
      <c r="O81" s="459" t="str">
        <f t="shared" si="2"/>
        <v/>
      </c>
      <c r="P81" s="459" t="str">
        <f t="shared" si="3"/>
        <v/>
      </c>
      <c r="Q81" s="459" t="str">
        <f t="shared" si="4"/>
        <v/>
      </c>
      <c r="R81" s="459" t="str">
        <f t="shared" si="5"/>
        <v/>
      </c>
      <c r="S81" s="459" t="str">
        <f t="shared" si="6"/>
        <v/>
      </c>
      <c r="T81" s="566" t="str">
        <f t="shared" si="25"/>
        <v/>
      </c>
      <c r="U81" s="702"/>
      <c r="V81" s="132"/>
      <c r="W81" s="133"/>
      <c r="X81" s="134"/>
      <c r="Y81" s="135"/>
      <c r="Z81" s="137"/>
      <c r="AA81" s="136"/>
      <c r="AB81" s="566" t="str">
        <f t="shared" si="26"/>
        <v/>
      </c>
      <c r="AC81" s="568" t="str">
        <f t="shared" si="27"/>
        <v/>
      </c>
      <c r="AD81" s="137"/>
      <c r="AE81" s="137"/>
      <c r="AF81" s="138"/>
      <c r="AG81" s="138"/>
      <c r="AH81" s="592" t="str">
        <f t="shared" si="7"/>
        <v/>
      </c>
      <c r="AI81" s="592" t="str">
        <f t="shared" si="8"/>
        <v/>
      </c>
      <c r="AJ81" s="592" t="str">
        <f t="shared" si="9"/>
        <v/>
      </c>
      <c r="AK81" s="460" t="str">
        <f>IF(AU81="","",IF(OR(AZ81=8,AZ81=9),0,IF(OR(AW81=3,AW81=4,AW81=5,AW81=6),IF(LEFT(BF81,1)="1",INDEX(係数_NOX・PM低減,MATCH(AY81,【参考】排出係数!$AI$801:$AI$804,1),1),VLOOKUP(AU81,INDEX((係数_バス貨物_ガソリン,係数_バス貨物_CNG,係数_バス貨物_軽油,係数_バス貨物_メタノール,係数_バス貨物_LPG),MATCH(AY81,【参考】排出係数!$AI$4:$AI$671,1),1,BE81):INDEX((係数_バス貨物_ガソリン,係数_バス貨物_CNG,係数_バス貨物_軽油,係数_バス貨物_メタノール,係数_バス貨物_LPG),MATCH(AY81+1,【参考】排出係数!$AI$4:$AI$671,1)-1,5,BE81),4,FALSE)),IF(AND(BE81=3,LEFT(BF81,1)="1"),0.48,VLOOKUP(AU81,INDEX((係数_乗用_ガソリン,係数_乗用_CNG,係数_乗用_軽油,係数_乗用_メタノール,係数_乗用_LPG),1,1,BE81):INDEX((係数_乗用_ガソリン,係数_乗用_CNG,係数_乗用_軽油,係数_乗用_メタノール,係数_乗用_LPG),125,5,BE81),4,FALSE)))))</f>
        <v/>
      </c>
      <c r="AL81" s="461" t="str">
        <f t="shared" si="50"/>
        <v/>
      </c>
      <c r="AM81" s="460" t="str">
        <f>IF(AU81="","",IF(OR(AZ81=8,AZ81=9),0,IF(OR(AW81=3,AW81=4,AW81=5,AW81=6),IF(LEFT(BH81,1)="1",INDEX(係数_PM低減,MATCH(AY81,【参考】排出係数!$AI$801:$AI$804,1),MATCH(BI81,【参考】排出係数!$AL$798:$AO$798,1)),VLOOKUP(AU81,INDEX((係数_バス貨物_ガソリン,係数_バス貨物_CNG,係数_バス貨物_軽油,係数_バス貨物_メタノール,係数_バス貨物_LPG),MATCH(AY81,【参考】排出係数!$AI$4:$AI$671,1),1,BE81):INDEX((係数_バス貨物_ガソリン,係数_バス貨物_CNG,係数_バス貨物_軽油,係数_バス貨物_メタノール,係数_バス貨物_LPG),MATCH(AY81+1,【参考】排出係数!$AI$4:$AI$671,1)-1,5,BE81),5,FALSE)),IF(AND(BE81=3,LEFT(BF81,1)="1"),0.055,VLOOKUP(AU81,INDEX((係数_乗用_ガソリン,係数_乗用_CNG,係数_乗用_軽油,係数_乗用_メタノール,係数_乗用_LPG),1,1,BE81):INDEX((係数_乗用_ガソリン,係数_乗用_CNG,係数_乗用_軽油,係数_乗用_メタノール,係数_乗用_LPG),125,5,BE81),5,FALSE)))))</f>
        <v/>
      </c>
      <c r="AN81" s="461" t="str">
        <f t="shared" si="51"/>
        <v/>
      </c>
      <c r="AO81" s="462" t="str">
        <f t="shared" si="52"/>
        <v/>
      </c>
      <c r="AP81" s="463" t="str">
        <f t="shared" si="53"/>
        <v/>
      </c>
      <c r="AQ81" s="464"/>
      <c r="AR81" s="619"/>
      <c r="AS81" s="465" t="str">
        <f t="shared" si="28"/>
        <v/>
      </c>
      <c r="AT81" s="465" t="str">
        <f t="shared" si="29"/>
        <v/>
      </c>
      <c r="AU81" s="466" t="str">
        <f t="shared" si="30"/>
        <v/>
      </c>
      <c r="AV81" s="467" t="str">
        <f t="shared" si="31"/>
        <v/>
      </c>
      <c r="AW81" s="467" t="str">
        <f t="shared" si="32"/>
        <v/>
      </c>
      <c r="AX81" s="467" t="str">
        <f t="shared" si="33"/>
        <v/>
      </c>
      <c r="AY81" s="467" t="str">
        <f t="shared" si="34"/>
        <v/>
      </c>
      <c r="AZ81" s="467" t="str">
        <f t="shared" si="35"/>
        <v/>
      </c>
      <c r="BA81" s="468" t="str">
        <f>IF(AS81="","",IF(OR(AU81="",AU81="-"),"－",IF(OR(AZ81=8,AZ81=9),"",IF(OR(AW81=3,AW81=4,AW81=5,AW81=6),VLOOKUP(AU81,INDEX((係数_バス貨物_ガソリン,係数_バス貨物_CNG,係数_バス貨物_軽油,係数_バス貨物_メタノール,係数_バス貨物_LPG),MATCH(AY81,【参考】排出係数!$AI$4:$AI$671,1),1,BE81):INDEX((係数_バス貨物_ガソリン,係数_バス貨物_CNG,係数_バス貨物_軽油,係数_バス貨物_メタノール,係数_バス貨物_LPG),MATCH(AY81+1,【参考】排出係数!$AI$4:$AI$671,1)-1,5,BE81),2,FALSE),IF(OR(AW81=1,AW81=2),VLOOKUP(AU81,INDEX((係数_乗用_ガソリン,係数_乗用_CNG,係数_乗用_軽油,係数_乗用_メタノール,係数_乗用_LPG),1,1,BE81):INDEX((係数_乗用_ガソリン,係数_乗用_CNG,係数_乗用_軽油,係数_乗用_メタノール,係数_乗用_LPG),125,5,BE81),2,FALSE))))))</f>
        <v/>
      </c>
      <c r="BB81" s="468" t="str">
        <f>IF(T81="","",IF(OR(AU81="",AU81="-"),"－",IF(OR(AZ81=8,AZ81=9),"",IF(OR(AW81=3,AW81=4,AW81=5,AW81=6),VLOOKUP(AU81,INDEX((係数_バス貨物_ガソリン,係数_バス貨物_CNG,係数_バス貨物_軽油,係数_バス貨物_メタノール,係数_バス貨物_LPG),MATCH(AY81,【参考】排出係数!$AI$4:$AI$671,1),1,BE81):INDEX((係数_バス貨物_ガソリン,係数_バス貨物_CNG,係数_バス貨物_軽油,係数_バス貨物_メタノール,係数_バス貨物_LPG),MATCH(AY81+1,【参考】排出係数!$AI$4:$AI$671,1)-1,5,BE81),3,FALSE),IF(OR(AW81=1,AW81=2),VLOOKUP(AU81,INDEX((係数_乗用_ガソリン,係数_乗用_CNG,係数_乗用_軽油,係数_乗用_メタノール,係数_乗用_LPG),1,1,BE81):INDEX((係数_乗用_ガソリン,係数_乗用_CNG,係数_乗用_軽油,係数_乗用_メタノール,係数_乗用_LPG),125,5,BE81),3,FALSE))))))</f>
        <v/>
      </c>
      <c r="BC81" s="467" t="str">
        <f t="shared" si="36"/>
        <v/>
      </c>
      <c r="BD81" s="567" t="str">
        <f t="shared" si="37"/>
        <v/>
      </c>
      <c r="BE81" s="467" t="str">
        <f t="shared" si="38"/>
        <v/>
      </c>
      <c r="BF81" s="469" t="str">
        <f t="shared" ca="1" si="39"/>
        <v/>
      </c>
      <c r="BG81" s="469" t="str">
        <f t="shared" ca="1" si="40"/>
        <v/>
      </c>
      <c r="BH81" s="467" t="str">
        <f t="shared" si="41"/>
        <v/>
      </c>
      <c r="BI81" s="467" t="str">
        <f t="shared" ca="1" si="42"/>
        <v/>
      </c>
      <c r="BJ81" s="469" t="str">
        <f t="shared" si="43"/>
        <v/>
      </c>
      <c r="BK81" s="470" t="str">
        <f t="shared" si="22"/>
        <v/>
      </c>
      <c r="BL81" s="775" t="str">
        <f t="shared" si="44"/>
        <v/>
      </c>
      <c r="BM81" s="775" t="str">
        <f t="shared" si="45"/>
        <v/>
      </c>
      <c r="BO81" s="472"/>
    </row>
    <row r="82" spans="1:67" s="471" customFormat="1" ht="13.5" customHeight="1">
      <c r="A82" s="473">
        <v>26</v>
      </c>
      <c r="B82" s="132"/>
      <c r="C82" s="332"/>
      <c r="D82" s="333"/>
      <c r="E82" s="333"/>
      <c r="F82" s="334"/>
      <c r="G82" s="337"/>
      <c r="H82" s="131"/>
      <c r="I82" s="337"/>
      <c r="J82" s="131"/>
      <c r="K82" s="458" t="str">
        <f t="shared" si="0"/>
        <v/>
      </c>
      <c r="L82" s="458">
        <f t="shared" si="23"/>
        <v>0</v>
      </c>
      <c r="M82" s="458">
        <f t="shared" si="24"/>
        <v>0</v>
      </c>
      <c r="N82" s="459" t="str">
        <f t="shared" si="1"/>
        <v/>
      </c>
      <c r="O82" s="459" t="str">
        <f t="shared" si="2"/>
        <v/>
      </c>
      <c r="P82" s="459" t="str">
        <f t="shared" si="3"/>
        <v/>
      </c>
      <c r="Q82" s="459" t="str">
        <f t="shared" si="4"/>
        <v/>
      </c>
      <c r="R82" s="459" t="str">
        <f t="shared" si="5"/>
        <v/>
      </c>
      <c r="S82" s="459" t="str">
        <f t="shared" si="6"/>
        <v/>
      </c>
      <c r="T82" s="566" t="str">
        <f t="shared" si="25"/>
        <v/>
      </c>
      <c r="U82" s="702"/>
      <c r="V82" s="132"/>
      <c r="W82" s="133"/>
      <c r="X82" s="134"/>
      <c r="Y82" s="135"/>
      <c r="Z82" s="137"/>
      <c r="AA82" s="136"/>
      <c r="AB82" s="566" t="str">
        <f t="shared" si="26"/>
        <v/>
      </c>
      <c r="AC82" s="568" t="str">
        <f t="shared" si="27"/>
        <v/>
      </c>
      <c r="AD82" s="137"/>
      <c r="AE82" s="137"/>
      <c r="AF82" s="138"/>
      <c r="AG82" s="138"/>
      <c r="AH82" s="592" t="str">
        <f t="shared" si="7"/>
        <v/>
      </c>
      <c r="AI82" s="592" t="str">
        <f t="shared" si="8"/>
        <v/>
      </c>
      <c r="AJ82" s="592" t="str">
        <f t="shared" si="9"/>
        <v/>
      </c>
      <c r="AK82" s="460" t="str">
        <f>IF(AU82="","",IF(OR(AZ82=8,AZ82=9),0,IF(OR(AW82=3,AW82=4,AW82=5,AW82=6),IF(LEFT(BF82,1)="1",INDEX(係数_NOX・PM低減,MATCH(AY82,【参考】排出係数!$AI$801:$AI$804,1),1),VLOOKUP(AU82,INDEX((係数_バス貨物_ガソリン,係数_バス貨物_CNG,係数_バス貨物_軽油,係数_バス貨物_メタノール,係数_バス貨物_LPG),MATCH(AY82,【参考】排出係数!$AI$4:$AI$671,1),1,BE82):INDEX((係数_バス貨物_ガソリン,係数_バス貨物_CNG,係数_バス貨物_軽油,係数_バス貨物_メタノール,係数_バス貨物_LPG),MATCH(AY82+1,【参考】排出係数!$AI$4:$AI$671,1)-1,5,BE82),4,FALSE)),IF(AND(BE82=3,LEFT(BF82,1)="1"),0.48,VLOOKUP(AU82,INDEX((係数_乗用_ガソリン,係数_乗用_CNG,係数_乗用_軽油,係数_乗用_メタノール,係数_乗用_LPG),1,1,BE82):INDEX((係数_乗用_ガソリン,係数_乗用_CNG,係数_乗用_軽油,係数_乗用_メタノール,係数_乗用_LPG),125,5,BE82),4,FALSE)))))</f>
        <v/>
      </c>
      <c r="AL82" s="461" t="str">
        <f t="shared" si="50"/>
        <v/>
      </c>
      <c r="AM82" s="460" t="str">
        <f>IF(AU82="","",IF(OR(AZ82=8,AZ82=9),0,IF(OR(AW82=3,AW82=4,AW82=5,AW82=6),IF(LEFT(BH82,1)="1",INDEX(係数_PM低減,MATCH(AY82,【参考】排出係数!$AI$801:$AI$804,1),MATCH(BI82,【参考】排出係数!$AL$798:$AO$798,1)),VLOOKUP(AU82,INDEX((係数_バス貨物_ガソリン,係数_バス貨物_CNG,係数_バス貨物_軽油,係数_バス貨物_メタノール,係数_バス貨物_LPG),MATCH(AY82,【参考】排出係数!$AI$4:$AI$671,1),1,BE82):INDEX((係数_バス貨物_ガソリン,係数_バス貨物_CNG,係数_バス貨物_軽油,係数_バス貨物_メタノール,係数_バス貨物_LPG),MATCH(AY82+1,【参考】排出係数!$AI$4:$AI$671,1)-1,5,BE82),5,FALSE)),IF(AND(BE82=3,LEFT(BF82,1)="1"),0.055,VLOOKUP(AU82,INDEX((係数_乗用_ガソリン,係数_乗用_CNG,係数_乗用_軽油,係数_乗用_メタノール,係数_乗用_LPG),1,1,BE82):INDEX((係数_乗用_ガソリン,係数_乗用_CNG,係数_乗用_軽油,係数_乗用_メタノール,係数_乗用_LPG),125,5,BE82),5,FALSE)))))</f>
        <v/>
      </c>
      <c r="AN82" s="461" t="str">
        <f t="shared" si="51"/>
        <v/>
      </c>
      <c r="AO82" s="462" t="str">
        <f t="shared" si="52"/>
        <v/>
      </c>
      <c r="AP82" s="463" t="str">
        <f t="shared" si="53"/>
        <v/>
      </c>
      <c r="AQ82" s="464"/>
      <c r="AR82" s="619"/>
      <c r="AS82" s="465" t="str">
        <f t="shared" si="28"/>
        <v/>
      </c>
      <c r="AT82" s="465" t="str">
        <f t="shared" si="29"/>
        <v/>
      </c>
      <c r="AU82" s="466" t="str">
        <f t="shared" si="30"/>
        <v/>
      </c>
      <c r="AV82" s="467" t="str">
        <f t="shared" si="31"/>
        <v/>
      </c>
      <c r="AW82" s="467" t="str">
        <f t="shared" si="32"/>
        <v/>
      </c>
      <c r="AX82" s="467" t="str">
        <f t="shared" si="33"/>
        <v/>
      </c>
      <c r="AY82" s="467" t="str">
        <f t="shared" si="34"/>
        <v/>
      </c>
      <c r="AZ82" s="467" t="str">
        <f t="shared" si="35"/>
        <v/>
      </c>
      <c r="BA82" s="468" t="str">
        <f>IF(AS82="","",IF(OR(AU82="",AU82="-"),"－",IF(OR(AZ82=8,AZ82=9),"",IF(OR(AW82=3,AW82=4,AW82=5,AW82=6),VLOOKUP(AU82,INDEX((係数_バス貨物_ガソリン,係数_バス貨物_CNG,係数_バス貨物_軽油,係数_バス貨物_メタノール,係数_バス貨物_LPG),MATCH(AY82,【参考】排出係数!$AI$4:$AI$671,1),1,BE82):INDEX((係数_バス貨物_ガソリン,係数_バス貨物_CNG,係数_バス貨物_軽油,係数_バス貨物_メタノール,係数_バス貨物_LPG),MATCH(AY82+1,【参考】排出係数!$AI$4:$AI$671,1)-1,5,BE82),2,FALSE),IF(OR(AW82=1,AW82=2),VLOOKUP(AU82,INDEX((係数_乗用_ガソリン,係数_乗用_CNG,係数_乗用_軽油,係数_乗用_メタノール,係数_乗用_LPG),1,1,BE82):INDEX((係数_乗用_ガソリン,係数_乗用_CNG,係数_乗用_軽油,係数_乗用_メタノール,係数_乗用_LPG),125,5,BE82),2,FALSE))))))</f>
        <v/>
      </c>
      <c r="BB82" s="468" t="str">
        <f>IF(T82="","",IF(OR(AU82="",AU82="-"),"－",IF(OR(AZ82=8,AZ82=9),"",IF(OR(AW82=3,AW82=4,AW82=5,AW82=6),VLOOKUP(AU82,INDEX((係数_バス貨物_ガソリン,係数_バス貨物_CNG,係数_バス貨物_軽油,係数_バス貨物_メタノール,係数_バス貨物_LPG),MATCH(AY82,【参考】排出係数!$AI$4:$AI$671,1),1,BE82):INDEX((係数_バス貨物_ガソリン,係数_バス貨物_CNG,係数_バス貨物_軽油,係数_バス貨物_メタノール,係数_バス貨物_LPG),MATCH(AY82+1,【参考】排出係数!$AI$4:$AI$671,1)-1,5,BE82),3,FALSE),IF(OR(AW82=1,AW82=2),VLOOKUP(AU82,INDEX((係数_乗用_ガソリン,係数_乗用_CNG,係数_乗用_軽油,係数_乗用_メタノール,係数_乗用_LPG),1,1,BE82):INDEX((係数_乗用_ガソリン,係数_乗用_CNG,係数_乗用_軽油,係数_乗用_メタノール,係数_乗用_LPG),125,5,BE82),3,FALSE))))))</f>
        <v/>
      </c>
      <c r="BC82" s="467" t="str">
        <f t="shared" si="36"/>
        <v/>
      </c>
      <c r="BD82" s="567" t="str">
        <f t="shared" si="37"/>
        <v/>
      </c>
      <c r="BE82" s="467" t="str">
        <f t="shared" si="38"/>
        <v/>
      </c>
      <c r="BF82" s="469" t="str">
        <f t="shared" ca="1" si="39"/>
        <v/>
      </c>
      <c r="BG82" s="469" t="str">
        <f t="shared" ca="1" si="40"/>
        <v/>
      </c>
      <c r="BH82" s="467" t="str">
        <f t="shared" si="41"/>
        <v/>
      </c>
      <c r="BI82" s="467" t="str">
        <f t="shared" ca="1" si="42"/>
        <v/>
      </c>
      <c r="BJ82" s="469" t="str">
        <f t="shared" si="43"/>
        <v/>
      </c>
      <c r="BK82" s="470" t="str">
        <f t="shared" si="22"/>
        <v/>
      </c>
      <c r="BL82" s="775" t="str">
        <f t="shared" si="44"/>
        <v/>
      </c>
      <c r="BM82" s="775" t="str">
        <f t="shared" si="45"/>
        <v/>
      </c>
      <c r="BO82" s="472"/>
    </row>
    <row r="83" spans="1:67" s="471" customFormat="1" ht="13.5" customHeight="1">
      <c r="A83" s="473">
        <v>27</v>
      </c>
      <c r="B83" s="132"/>
      <c r="C83" s="332"/>
      <c r="D83" s="333"/>
      <c r="E83" s="333"/>
      <c r="F83" s="334"/>
      <c r="G83" s="337"/>
      <c r="H83" s="131"/>
      <c r="I83" s="337"/>
      <c r="J83" s="131"/>
      <c r="K83" s="458" t="str">
        <f t="shared" si="0"/>
        <v/>
      </c>
      <c r="L83" s="458">
        <f t="shared" si="23"/>
        <v>0</v>
      </c>
      <c r="M83" s="458">
        <f t="shared" si="24"/>
        <v>0</v>
      </c>
      <c r="N83" s="459" t="str">
        <f t="shared" si="1"/>
        <v/>
      </c>
      <c r="O83" s="459" t="str">
        <f t="shared" si="2"/>
        <v/>
      </c>
      <c r="P83" s="459" t="str">
        <f t="shared" si="3"/>
        <v/>
      </c>
      <c r="Q83" s="459" t="str">
        <f t="shared" si="4"/>
        <v/>
      </c>
      <c r="R83" s="459" t="str">
        <f t="shared" si="5"/>
        <v/>
      </c>
      <c r="S83" s="459" t="str">
        <f t="shared" si="6"/>
        <v/>
      </c>
      <c r="T83" s="566" t="str">
        <f t="shared" si="25"/>
        <v/>
      </c>
      <c r="U83" s="702"/>
      <c r="V83" s="132"/>
      <c r="W83" s="133"/>
      <c r="X83" s="134"/>
      <c r="Y83" s="135"/>
      <c r="Z83" s="137"/>
      <c r="AA83" s="136"/>
      <c r="AB83" s="566" t="str">
        <f t="shared" si="26"/>
        <v/>
      </c>
      <c r="AC83" s="568" t="str">
        <f t="shared" si="27"/>
        <v/>
      </c>
      <c r="AD83" s="137"/>
      <c r="AE83" s="137"/>
      <c r="AF83" s="138"/>
      <c r="AG83" s="138"/>
      <c r="AH83" s="592" t="str">
        <f t="shared" si="7"/>
        <v/>
      </c>
      <c r="AI83" s="592" t="str">
        <f t="shared" si="8"/>
        <v/>
      </c>
      <c r="AJ83" s="592" t="str">
        <f t="shared" si="9"/>
        <v/>
      </c>
      <c r="AK83" s="460" t="str">
        <f>IF(AU83="","",IF(OR(AZ83=8,AZ83=9),0,IF(OR(AW83=3,AW83=4,AW83=5,AW83=6),IF(LEFT(BF83,1)="1",INDEX(係数_NOX・PM低減,MATCH(AY83,【参考】排出係数!$AI$801:$AI$804,1),1),VLOOKUP(AU83,INDEX((係数_バス貨物_ガソリン,係数_バス貨物_CNG,係数_バス貨物_軽油,係数_バス貨物_メタノール,係数_バス貨物_LPG),MATCH(AY83,【参考】排出係数!$AI$4:$AI$671,1),1,BE83):INDEX((係数_バス貨物_ガソリン,係数_バス貨物_CNG,係数_バス貨物_軽油,係数_バス貨物_メタノール,係数_バス貨物_LPG),MATCH(AY83+1,【参考】排出係数!$AI$4:$AI$671,1)-1,5,BE83),4,FALSE)),IF(AND(BE83=3,LEFT(BF83,1)="1"),0.48,VLOOKUP(AU83,INDEX((係数_乗用_ガソリン,係数_乗用_CNG,係数_乗用_軽油,係数_乗用_メタノール,係数_乗用_LPG),1,1,BE83):INDEX((係数_乗用_ガソリン,係数_乗用_CNG,係数_乗用_軽油,係数_乗用_メタノール,係数_乗用_LPG),125,5,BE83),4,FALSE)))))</f>
        <v/>
      </c>
      <c r="AL83" s="461" t="str">
        <f t="shared" si="50"/>
        <v/>
      </c>
      <c r="AM83" s="460" t="str">
        <f>IF(AU83="","",IF(OR(AZ83=8,AZ83=9),0,IF(OR(AW83=3,AW83=4,AW83=5,AW83=6),IF(LEFT(BH83,1)="1",INDEX(係数_PM低減,MATCH(AY83,【参考】排出係数!$AI$801:$AI$804,1),MATCH(BI83,【参考】排出係数!$AL$798:$AO$798,1)),VLOOKUP(AU83,INDEX((係数_バス貨物_ガソリン,係数_バス貨物_CNG,係数_バス貨物_軽油,係数_バス貨物_メタノール,係数_バス貨物_LPG),MATCH(AY83,【参考】排出係数!$AI$4:$AI$671,1),1,BE83):INDEX((係数_バス貨物_ガソリン,係数_バス貨物_CNG,係数_バス貨物_軽油,係数_バス貨物_メタノール,係数_バス貨物_LPG),MATCH(AY83+1,【参考】排出係数!$AI$4:$AI$671,1)-1,5,BE83),5,FALSE)),IF(AND(BE83=3,LEFT(BF83,1)="1"),0.055,VLOOKUP(AU83,INDEX((係数_乗用_ガソリン,係数_乗用_CNG,係数_乗用_軽油,係数_乗用_メタノール,係数_乗用_LPG),1,1,BE83):INDEX((係数_乗用_ガソリン,係数_乗用_CNG,係数_乗用_軽油,係数_乗用_メタノール,係数_乗用_LPG),125,5,BE83),5,FALSE)))))</f>
        <v/>
      </c>
      <c r="AN83" s="461" t="str">
        <f t="shared" si="51"/>
        <v/>
      </c>
      <c r="AO83" s="462" t="str">
        <f t="shared" si="52"/>
        <v/>
      </c>
      <c r="AP83" s="463" t="str">
        <f t="shared" si="53"/>
        <v/>
      </c>
      <c r="AQ83" s="464"/>
      <c r="AR83" s="619"/>
      <c r="AS83" s="465" t="str">
        <f t="shared" si="28"/>
        <v/>
      </c>
      <c r="AT83" s="465" t="str">
        <f t="shared" si="29"/>
        <v/>
      </c>
      <c r="AU83" s="466" t="str">
        <f t="shared" si="30"/>
        <v/>
      </c>
      <c r="AV83" s="467" t="str">
        <f t="shared" si="31"/>
        <v/>
      </c>
      <c r="AW83" s="467" t="str">
        <f t="shared" si="32"/>
        <v/>
      </c>
      <c r="AX83" s="467" t="str">
        <f t="shared" si="33"/>
        <v/>
      </c>
      <c r="AY83" s="467" t="str">
        <f t="shared" si="34"/>
        <v/>
      </c>
      <c r="AZ83" s="467" t="str">
        <f t="shared" si="35"/>
        <v/>
      </c>
      <c r="BA83" s="468" t="str">
        <f>IF(AS83="","",IF(OR(AU83="",AU83="-"),"－",IF(OR(AZ83=8,AZ83=9),"",IF(OR(AW83=3,AW83=4,AW83=5,AW83=6),VLOOKUP(AU83,INDEX((係数_バス貨物_ガソリン,係数_バス貨物_CNG,係数_バス貨物_軽油,係数_バス貨物_メタノール,係数_バス貨物_LPG),MATCH(AY83,【参考】排出係数!$AI$4:$AI$671,1),1,BE83):INDEX((係数_バス貨物_ガソリン,係数_バス貨物_CNG,係数_バス貨物_軽油,係数_バス貨物_メタノール,係数_バス貨物_LPG),MATCH(AY83+1,【参考】排出係数!$AI$4:$AI$671,1)-1,5,BE83),2,FALSE),IF(OR(AW83=1,AW83=2),VLOOKUP(AU83,INDEX((係数_乗用_ガソリン,係数_乗用_CNG,係数_乗用_軽油,係数_乗用_メタノール,係数_乗用_LPG),1,1,BE83):INDEX((係数_乗用_ガソリン,係数_乗用_CNG,係数_乗用_軽油,係数_乗用_メタノール,係数_乗用_LPG),125,5,BE83),2,FALSE))))))</f>
        <v/>
      </c>
      <c r="BB83" s="468" t="str">
        <f>IF(T83="","",IF(OR(AU83="",AU83="-"),"－",IF(OR(AZ83=8,AZ83=9),"",IF(OR(AW83=3,AW83=4,AW83=5,AW83=6),VLOOKUP(AU83,INDEX((係数_バス貨物_ガソリン,係数_バス貨物_CNG,係数_バス貨物_軽油,係数_バス貨物_メタノール,係数_バス貨物_LPG),MATCH(AY83,【参考】排出係数!$AI$4:$AI$671,1),1,BE83):INDEX((係数_バス貨物_ガソリン,係数_バス貨物_CNG,係数_バス貨物_軽油,係数_バス貨物_メタノール,係数_バス貨物_LPG),MATCH(AY83+1,【参考】排出係数!$AI$4:$AI$671,1)-1,5,BE83),3,FALSE),IF(OR(AW83=1,AW83=2),VLOOKUP(AU83,INDEX((係数_乗用_ガソリン,係数_乗用_CNG,係数_乗用_軽油,係数_乗用_メタノール,係数_乗用_LPG),1,1,BE83):INDEX((係数_乗用_ガソリン,係数_乗用_CNG,係数_乗用_軽油,係数_乗用_メタノール,係数_乗用_LPG),125,5,BE83),3,FALSE))))))</f>
        <v/>
      </c>
      <c r="BC83" s="467" t="str">
        <f t="shared" si="36"/>
        <v/>
      </c>
      <c r="BD83" s="567" t="str">
        <f t="shared" si="37"/>
        <v/>
      </c>
      <c r="BE83" s="467" t="str">
        <f t="shared" si="38"/>
        <v/>
      </c>
      <c r="BF83" s="469" t="str">
        <f t="shared" ca="1" si="39"/>
        <v/>
      </c>
      <c r="BG83" s="469" t="str">
        <f t="shared" ca="1" si="40"/>
        <v/>
      </c>
      <c r="BH83" s="467" t="str">
        <f t="shared" si="41"/>
        <v/>
      </c>
      <c r="BI83" s="467" t="str">
        <f t="shared" ca="1" si="42"/>
        <v/>
      </c>
      <c r="BJ83" s="469" t="str">
        <f t="shared" si="43"/>
        <v/>
      </c>
      <c r="BK83" s="470" t="str">
        <f t="shared" si="22"/>
        <v/>
      </c>
      <c r="BL83" s="775" t="str">
        <f t="shared" si="44"/>
        <v/>
      </c>
      <c r="BM83" s="775" t="str">
        <f t="shared" si="45"/>
        <v/>
      </c>
      <c r="BO83" s="472"/>
    </row>
    <row r="84" spans="1:67" s="471" customFormat="1" ht="13.5" customHeight="1">
      <c r="A84" s="473">
        <v>28</v>
      </c>
      <c r="B84" s="132"/>
      <c r="C84" s="332"/>
      <c r="D84" s="333"/>
      <c r="E84" s="333"/>
      <c r="F84" s="334"/>
      <c r="G84" s="337"/>
      <c r="H84" s="131"/>
      <c r="I84" s="337"/>
      <c r="J84" s="131"/>
      <c r="K84" s="458" t="str">
        <f t="shared" si="0"/>
        <v/>
      </c>
      <c r="L84" s="458">
        <f t="shared" si="23"/>
        <v>0</v>
      </c>
      <c r="M84" s="458">
        <f t="shared" si="24"/>
        <v>0</v>
      </c>
      <c r="N84" s="459" t="str">
        <f t="shared" si="1"/>
        <v/>
      </c>
      <c r="O84" s="459" t="str">
        <f t="shared" si="2"/>
        <v/>
      </c>
      <c r="P84" s="459" t="str">
        <f t="shared" si="3"/>
        <v/>
      </c>
      <c r="Q84" s="459" t="str">
        <f t="shared" si="4"/>
        <v/>
      </c>
      <c r="R84" s="459" t="str">
        <f t="shared" si="5"/>
        <v/>
      </c>
      <c r="S84" s="459" t="str">
        <f t="shared" si="6"/>
        <v/>
      </c>
      <c r="T84" s="566" t="str">
        <f t="shared" si="25"/>
        <v/>
      </c>
      <c r="U84" s="702"/>
      <c r="V84" s="132"/>
      <c r="W84" s="133"/>
      <c r="X84" s="134"/>
      <c r="Y84" s="135"/>
      <c r="Z84" s="137"/>
      <c r="AA84" s="136"/>
      <c r="AB84" s="566" t="str">
        <f t="shared" si="26"/>
        <v/>
      </c>
      <c r="AC84" s="568" t="str">
        <f t="shared" si="27"/>
        <v/>
      </c>
      <c r="AD84" s="137"/>
      <c r="AE84" s="137"/>
      <c r="AF84" s="138"/>
      <c r="AG84" s="138"/>
      <c r="AH84" s="592" t="str">
        <f t="shared" si="7"/>
        <v/>
      </c>
      <c r="AI84" s="592" t="str">
        <f t="shared" si="8"/>
        <v/>
      </c>
      <c r="AJ84" s="592" t="str">
        <f t="shared" si="9"/>
        <v/>
      </c>
      <c r="AK84" s="460" t="str">
        <f>IF(AU84="","",IF(OR(AZ84=8,AZ84=9),0,IF(OR(AW84=3,AW84=4,AW84=5,AW84=6),IF(LEFT(BF84,1)="1",INDEX(係数_NOX・PM低減,MATCH(AY84,【参考】排出係数!$AI$801:$AI$804,1),1),VLOOKUP(AU84,INDEX((係数_バス貨物_ガソリン,係数_バス貨物_CNG,係数_バス貨物_軽油,係数_バス貨物_メタノール,係数_バス貨物_LPG),MATCH(AY84,【参考】排出係数!$AI$4:$AI$671,1),1,BE84):INDEX((係数_バス貨物_ガソリン,係数_バス貨物_CNG,係数_バス貨物_軽油,係数_バス貨物_メタノール,係数_バス貨物_LPG),MATCH(AY84+1,【参考】排出係数!$AI$4:$AI$671,1)-1,5,BE84),4,FALSE)),IF(AND(BE84=3,LEFT(BF84,1)="1"),0.48,VLOOKUP(AU84,INDEX((係数_乗用_ガソリン,係数_乗用_CNG,係数_乗用_軽油,係数_乗用_メタノール,係数_乗用_LPG),1,1,BE84):INDEX((係数_乗用_ガソリン,係数_乗用_CNG,係数_乗用_軽油,係数_乗用_メタノール,係数_乗用_LPG),125,5,BE84),4,FALSE)))))</f>
        <v/>
      </c>
      <c r="AL84" s="461" t="str">
        <f t="shared" si="50"/>
        <v/>
      </c>
      <c r="AM84" s="460" t="str">
        <f>IF(AU84="","",IF(OR(AZ84=8,AZ84=9),0,IF(OR(AW84=3,AW84=4,AW84=5,AW84=6),IF(LEFT(BH84,1)="1",INDEX(係数_PM低減,MATCH(AY84,【参考】排出係数!$AI$801:$AI$804,1),MATCH(BI84,【参考】排出係数!$AL$798:$AO$798,1)),VLOOKUP(AU84,INDEX((係数_バス貨物_ガソリン,係数_バス貨物_CNG,係数_バス貨物_軽油,係数_バス貨物_メタノール,係数_バス貨物_LPG),MATCH(AY84,【参考】排出係数!$AI$4:$AI$671,1),1,BE84):INDEX((係数_バス貨物_ガソリン,係数_バス貨物_CNG,係数_バス貨物_軽油,係数_バス貨物_メタノール,係数_バス貨物_LPG),MATCH(AY84+1,【参考】排出係数!$AI$4:$AI$671,1)-1,5,BE84),5,FALSE)),IF(AND(BE84=3,LEFT(BF84,1)="1"),0.055,VLOOKUP(AU84,INDEX((係数_乗用_ガソリン,係数_乗用_CNG,係数_乗用_軽油,係数_乗用_メタノール,係数_乗用_LPG),1,1,BE84):INDEX((係数_乗用_ガソリン,係数_乗用_CNG,係数_乗用_軽油,係数_乗用_メタノール,係数_乗用_LPG),125,5,BE84),5,FALSE)))))</f>
        <v/>
      </c>
      <c r="AN84" s="461" t="str">
        <f t="shared" si="51"/>
        <v/>
      </c>
      <c r="AO84" s="462" t="str">
        <f t="shared" si="52"/>
        <v/>
      </c>
      <c r="AP84" s="463" t="str">
        <f t="shared" si="53"/>
        <v/>
      </c>
      <c r="AQ84" s="464"/>
      <c r="AR84" s="619"/>
      <c r="AS84" s="465" t="str">
        <f t="shared" si="28"/>
        <v/>
      </c>
      <c r="AT84" s="465" t="str">
        <f t="shared" si="29"/>
        <v/>
      </c>
      <c r="AU84" s="466" t="str">
        <f t="shared" si="30"/>
        <v/>
      </c>
      <c r="AV84" s="467" t="str">
        <f t="shared" si="31"/>
        <v/>
      </c>
      <c r="AW84" s="467" t="str">
        <f t="shared" si="32"/>
        <v/>
      </c>
      <c r="AX84" s="467" t="str">
        <f t="shared" si="33"/>
        <v/>
      </c>
      <c r="AY84" s="467" t="str">
        <f t="shared" si="34"/>
        <v/>
      </c>
      <c r="AZ84" s="467" t="str">
        <f t="shared" si="35"/>
        <v/>
      </c>
      <c r="BA84" s="468" t="str">
        <f>IF(AS84="","",IF(OR(AU84="",AU84="-"),"－",IF(OR(AZ84=8,AZ84=9),"",IF(OR(AW84=3,AW84=4,AW84=5,AW84=6),VLOOKUP(AU84,INDEX((係数_バス貨物_ガソリン,係数_バス貨物_CNG,係数_バス貨物_軽油,係数_バス貨物_メタノール,係数_バス貨物_LPG),MATCH(AY84,【参考】排出係数!$AI$4:$AI$671,1),1,BE84):INDEX((係数_バス貨物_ガソリン,係数_バス貨物_CNG,係数_バス貨物_軽油,係数_バス貨物_メタノール,係数_バス貨物_LPG),MATCH(AY84+1,【参考】排出係数!$AI$4:$AI$671,1)-1,5,BE84),2,FALSE),IF(OR(AW84=1,AW84=2),VLOOKUP(AU84,INDEX((係数_乗用_ガソリン,係数_乗用_CNG,係数_乗用_軽油,係数_乗用_メタノール,係数_乗用_LPG),1,1,BE84):INDEX((係数_乗用_ガソリン,係数_乗用_CNG,係数_乗用_軽油,係数_乗用_メタノール,係数_乗用_LPG),125,5,BE84),2,FALSE))))))</f>
        <v/>
      </c>
      <c r="BB84" s="468" t="str">
        <f>IF(T84="","",IF(OR(AU84="",AU84="-"),"－",IF(OR(AZ84=8,AZ84=9),"",IF(OR(AW84=3,AW84=4,AW84=5,AW84=6),VLOOKUP(AU84,INDEX((係数_バス貨物_ガソリン,係数_バス貨物_CNG,係数_バス貨物_軽油,係数_バス貨物_メタノール,係数_バス貨物_LPG),MATCH(AY84,【参考】排出係数!$AI$4:$AI$671,1),1,BE84):INDEX((係数_バス貨物_ガソリン,係数_バス貨物_CNG,係数_バス貨物_軽油,係数_バス貨物_メタノール,係数_バス貨物_LPG),MATCH(AY84+1,【参考】排出係数!$AI$4:$AI$671,1)-1,5,BE84),3,FALSE),IF(OR(AW84=1,AW84=2),VLOOKUP(AU84,INDEX((係数_乗用_ガソリン,係数_乗用_CNG,係数_乗用_軽油,係数_乗用_メタノール,係数_乗用_LPG),1,1,BE84):INDEX((係数_乗用_ガソリン,係数_乗用_CNG,係数_乗用_軽油,係数_乗用_メタノール,係数_乗用_LPG),125,5,BE84),3,FALSE))))))</f>
        <v/>
      </c>
      <c r="BC84" s="467" t="str">
        <f t="shared" si="36"/>
        <v/>
      </c>
      <c r="BD84" s="567" t="str">
        <f t="shared" si="37"/>
        <v/>
      </c>
      <c r="BE84" s="467" t="str">
        <f t="shared" si="38"/>
        <v/>
      </c>
      <c r="BF84" s="469" t="str">
        <f t="shared" ca="1" si="39"/>
        <v/>
      </c>
      <c r="BG84" s="469" t="str">
        <f t="shared" ca="1" si="40"/>
        <v/>
      </c>
      <c r="BH84" s="467" t="str">
        <f t="shared" si="41"/>
        <v/>
      </c>
      <c r="BI84" s="467" t="str">
        <f t="shared" ca="1" si="42"/>
        <v/>
      </c>
      <c r="BJ84" s="469" t="str">
        <f t="shared" si="43"/>
        <v/>
      </c>
      <c r="BK84" s="470" t="str">
        <f t="shared" si="22"/>
        <v/>
      </c>
      <c r="BL84" s="775" t="str">
        <f t="shared" si="44"/>
        <v/>
      </c>
      <c r="BM84" s="775" t="str">
        <f t="shared" si="45"/>
        <v/>
      </c>
      <c r="BO84" s="472"/>
    </row>
    <row r="85" spans="1:67" s="471" customFormat="1" ht="13.5" customHeight="1">
      <c r="A85" s="473">
        <v>29</v>
      </c>
      <c r="B85" s="132"/>
      <c r="C85" s="332"/>
      <c r="D85" s="333"/>
      <c r="E85" s="333"/>
      <c r="F85" s="334"/>
      <c r="G85" s="337"/>
      <c r="H85" s="131"/>
      <c r="I85" s="337"/>
      <c r="J85" s="131"/>
      <c r="K85" s="458" t="str">
        <f t="shared" si="0"/>
        <v/>
      </c>
      <c r="L85" s="458">
        <f t="shared" si="23"/>
        <v>0</v>
      </c>
      <c r="M85" s="458">
        <f t="shared" si="24"/>
        <v>0</v>
      </c>
      <c r="N85" s="459" t="str">
        <f t="shared" si="1"/>
        <v/>
      </c>
      <c r="O85" s="459" t="str">
        <f t="shared" si="2"/>
        <v/>
      </c>
      <c r="P85" s="459" t="str">
        <f t="shared" si="3"/>
        <v/>
      </c>
      <c r="Q85" s="459" t="str">
        <f t="shared" si="4"/>
        <v/>
      </c>
      <c r="R85" s="459" t="str">
        <f t="shared" si="5"/>
        <v/>
      </c>
      <c r="S85" s="459" t="str">
        <f t="shared" si="6"/>
        <v/>
      </c>
      <c r="T85" s="566" t="str">
        <f t="shared" si="25"/>
        <v/>
      </c>
      <c r="U85" s="702"/>
      <c r="V85" s="132"/>
      <c r="W85" s="133"/>
      <c r="X85" s="134"/>
      <c r="Y85" s="135"/>
      <c r="Z85" s="137"/>
      <c r="AA85" s="136"/>
      <c r="AB85" s="566" t="str">
        <f t="shared" si="26"/>
        <v/>
      </c>
      <c r="AC85" s="568" t="str">
        <f t="shared" si="27"/>
        <v/>
      </c>
      <c r="AD85" s="137"/>
      <c r="AE85" s="137"/>
      <c r="AF85" s="138"/>
      <c r="AG85" s="138"/>
      <c r="AH85" s="592" t="str">
        <f t="shared" si="7"/>
        <v/>
      </c>
      <c r="AI85" s="592" t="str">
        <f t="shared" si="8"/>
        <v/>
      </c>
      <c r="AJ85" s="592" t="str">
        <f t="shared" si="9"/>
        <v/>
      </c>
      <c r="AK85" s="460" t="str">
        <f>IF(AU85="","",IF(OR(AZ85=8,AZ85=9),0,IF(OR(AW85=3,AW85=4,AW85=5,AW85=6),IF(LEFT(BF85,1)="1",INDEX(係数_NOX・PM低減,MATCH(AY85,【参考】排出係数!$AI$801:$AI$804,1),1),VLOOKUP(AU85,INDEX((係数_バス貨物_ガソリン,係数_バス貨物_CNG,係数_バス貨物_軽油,係数_バス貨物_メタノール,係数_バス貨物_LPG),MATCH(AY85,【参考】排出係数!$AI$4:$AI$671,1),1,BE85):INDEX((係数_バス貨物_ガソリン,係数_バス貨物_CNG,係数_バス貨物_軽油,係数_バス貨物_メタノール,係数_バス貨物_LPG),MATCH(AY85+1,【参考】排出係数!$AI$4:$AI$671,1)-1,5,BE85),4,FALSE)),IF(AND(BE85=3,LEFT(BF85,1)="1"),0.48,VLOOKUP(AU85,INDEX((係数_乗用_ガソリン,係数_乗用_CNG,係数_乗用_軽油,係数_乗用_メタノール,係数_乗用_LPG),1,1,BE85):INDEX((係数_乗用_ガソリン,係数_乗用_CNG,係数_乗用_軽油,係数_乗用_メタノール,係数_乗用_LPG),125,5,BE85),4,FALSE)))))</f>
        <v/>
      </c>
      <c r="AL85" s="461" t="str">
        <f t="shared" si="50"/>
        <v/>
      </c>
      <c r="AM85" s="460" t="str">
        <f>IF(AU85="","",IF(OR(AZ85=8,AZ85=9),0,IF(OR(AW85=3,AW85=4,AW85=5,AW85=6),IF(LEFT(BH85,1)="1",INDEX(係数_PM低減,MATCH(AY85,【参考】排出係数!$AI$801:$AI$804,1),MATCH(BI85,【参考】排出係数!$AL$798:$AO$798,1)),VLOOKUP(AU85,INDEX((係数_バス貨物_ガソリン,係数_バス貨物_CNG,係数_バス貨物_軽油,係数_バス貨物_メタノール,係数_バス貨物_LPG),MATCH(AY85,【参考】排出係数!$AI$4:$AI$671,1),1,BE85):INDEX((係数_バス貨物_ガソリン,係数_バス貨物_CNG,係数_バス貨物_軽油,係数_バス貨物_メタノール,係数_バス貨物_LPG),MATCH(AY85+1,【参考】排出係数!$AI$4:$AI$671,1)-1,5,BE85),5,FALSE)),IF(AND(BE85=3,LEFT(BF85,1)="1"),0.055,VLOOKUP(AU85,INDEX((係数_乗用_ガソリン,係数_乗用_CNG,係数_乗用_軽油,係数_乗用_メタノール,係数_乗用_LPG),1,1,BE85):INDEX((係数_乗用_ガソリン,係数_乗用_CNG,係数_乗用_軽油,係数_乗用_メタノール,係数_乗用_LPG),125,5,BE85),5,FALSE)))))</f>
        <v/>
      </c>
      <c r="AN85" s="461" t="str">
        <f t="shared" si="51"/>
        <v/>
      </c>
      <c r="AO85" s="462" t="str">
        <f t="shared" si="52"/>
        <v/>
      </c>
      <c r="AP85" s="463" t="str">
        <f t="shared" si="53"/>
        <v/>
      </c>
      <c r="AQ85" s="464"/>
      <c r="AR85" s="619"/>
      <c r="AS85" s="465" t="str">
        <f t="shared" si="28"/>
        <v/>
      </c>
      <c r="AT85" s="465" t="str">
        <f t="shared" si="29"/>
        <v/>
      </c>
      <c r="AU85" s="466" t="str">
        <f t="shared" si="30"/>
        <v/>
      </c>
      <c r="AV85" s="467" t="str">
        <f t="shared" si="31"/>
        <v/>
      </c>
      <c r="AW85" s="467" t="str">
        <f t="shared" si="32"/>
        <v/>
      </c>
      <c r="AX85" s="467" t="str">
        <f t="shared" si="33"/>
        <v/>
      </c>
      <c r="AY85" s="467" t="str">
        <f t="shared" si="34"/>
        <v/>
      </c>
      <c r="AZ85" s="467" t="str">
        <f t="shared" si="35"/>
        <v/>
      </c>
      <c r="BA85" s="468" t="str">
        <f>IF(AS85="","",IF(OR(AU85="",AU85="-"),"－",IF(OR(AZ85=8,AZ85=9),"",IF(OR(AW85=3,AW85=4,AW85=5,AW85=6),VLOOKUP(AU85,INDEX((係数_バス貨物_ガソリン,係数_バス貨物_CNG,係数_バス貨物_軽油,係数_バス貨物_メタノール,係数_バス貨物_LPG),MATCH(AY85,【参考】排出係数!$AI$4:$AI$671,1),1,BE85):INDEX((係数_バス貨物_ガソリン,係数_バス貨物_CNG,係数_バス貨物_軽油,係数_バス貨物_メタノール,係数_バス貨物_LPG),MATCH(AY85+1,【参考】排出係数!$AI$4:$AI$671,1)-1,5,BE85),2,FALSE),IF(OR(AW85=1,AW85=2),VLOOKUP(AU85,INDEX((係数_乗用_ガソリン,係数_乗用_CNG,係数_乗用_軽油,係数_乗用_メタノール,係数_乗用_LPG),1,1,BE85):INDEX((係数_乗用_ガソリン,係数_乗用_CNG,係数_乗用_軽油,係数_乗用_メタノール,係数_乗用_LPG),125,5,BE85),2,FALSE))))))</f>
        <v/>
      </c>
      <c r="BB85" s="468" t="str">
        <f>IF(T85="","",IF(OR(AU85="",AU85="-"),"－",IF(OR(AZ85=8,AZ85=9),"",IF(OR(AW85=3,AW85=4,AW85=5,AW85=6),VLOOKUP(AU85,INDEX((係数_バス貨物_ガソリン,係数_バス貨物_CNG,係数_バス貨物_軽油,係数_バス貨物_メタノール,係数_バス貨物_LPG),MATCH(AY85,【参考】排出係数!$AI$4:$AI$671,1),1,BE85):INDEX((係数_バス貨物_ガソリン,係数_バス貨物_CNG,係数_バス貨物_軽油,係数_バス貨物_メタノール,係数_バス貨物_LPG),MATCH(AY85+1,【参考】排出係数!$AI$4:$AI$671,1)-1,5,BE85),3,FALSE),IF(OR(AW85=1,AW85=2),VLOOKUP(AU85,INDEX((係数_乗用_ガソリン,係数_乗用_CNG,係数_乗用_軽油,係数_乗用_メタノール,係数_乗用_LPG),1,1,BE85):INDEX((係数_乗用_ガソリン,係数_乗用_CNG,係数_乗用_軽油,係数_乗用_メタノール,係数_乗用_LPG),125,5,BE85),3,FALSE))))))</f>
        <v/>
      </c>
      <c r="BC85" s="467" t="str">
        <f t="shared" si="36"/>
        <v/>
      </c>
      <c r="BD85" s="567" t="str">
        <f t="shared" si="37"/>
        <v/>
      </c>
      <c r="BE85" s="467" t="str">
        <f t="shared" si="38"/>
        <v/>
      </c>
      <c r="BF85" s="469" t="str">
        <f t="shared" ca="1" si="39"/>
        <v/>
      </c>
      <c r="BG85" s="469" t="str">
        <f t="shared" ca="1" si="40"/>
        <v/>
      </c>
      <c r="BH85" s="467" t="str">
        <f t="shared" si="41"/>
        <v/>
      </c>
      <c r="BI85" s="467" t="str">
        <f t="shared" ca="1" si="42"/>
        <v/>
      </c>
      <c r="BJ85" s="469" t="str">
        <f t="shared" si="43"/>
        <v/>
      </c>
      <c r="BK85" s="470" t="str">
        <f t="shared" si="22"/>
        <v/>
      </c>
      <c r="BL85" s="775" t="str">
        <f t="shared" si="44"/>
        <v/>
      </c>
      <c r="BM85" s="775" t="str">
        <f t="shared" si="45"/>
        <v/>
      </c>
      <c r="BO85" s="472"/>
    </row>
    <row r="86" spans="1:67" s="471" customFormat="1" ht="13.5" customHeight="1">
      <c r="A86" s="473">
        <v>30</v>
      </c>
      <c r="B86" s="132"/>
      <c r="C86" s="332"/>
      <c r="D86" s="333"/>
      <c r="E86" s="333"/>
      <c r="F86" s="334"/>
      <c r="G86" s="337"/>
      <c r="H86" s="131"/>
      <c r="I86" s="337"/>
      <c r="J86" s="131"/>
      <c r="K86" s="458" t="str">
        <f t="shared" si="0"/>
        <v/>
      </c>
      <c r="L86" s="458">
        <f t="shared" si="23"/>
        <v>0</v>
      </c>
      <c r="M86" s="458">
        <f t="shared" si="24"/>
        <v>0</v>
      </c>
      <c r="N86" s="459" t="str">
        <f t="shared" si="1"/>
        <v/>
      </c>
      <c r="O86" s="459" t="str">
        <f t="shared" si="2"/>
        <v/>
      </c>
      <c r="P86" s="459" t="str">
        <f t="shared" si="3"/>
        <v/>
      </c>
      <c r="Q86" s="459" t="str">
        <f t="shared" si="4"/>
        <v/>
      </c>
      <c r="R86" s="459" t="str">
        <f t="shared" si="5"/>
        <v/>
      </c>
      <c r="S86" s="459" t="str">
        <f t="shared" si="6"/>
        <v/>
      </c>
      <c r="T86" s="566" t="str">
        <f t="shared" si="25"/>
        <v/>
      </c>
      <c r="U86" s="702"/>
      <c r="V86" s="132"/>
      <c r="W86" s="133"/>
      <c r="X86" s="134"/>
      <c r="Y86" s="135"/>
      <c r="Z86" s="137"/>
      <c r="AA86" s="136"/>
      <c r="AB86" s="566" t="str">
        <f t="shared" si="26"/>
        <v/>
      </c>
      <c r="AC86" s="568" t="str">
        <f t="shared" si="27"/>
        <v/>
      </c>
      <c r="AD86" s="137"/>
      <c r="AE86" s="137"/>
      <c r="AF86" s="138"/>
      <c r="AG86" s="138"/>
      <c r="AH86" s="592" t="str">
        <f t="shared" si="7"/>
        <v/>
      </c>
      <c r="AI86" s="592" t="str">
        <f t="shared" si="8"/>
        <v/>
      </c>
      <c r="AJ86" s="592" t="str">
        <f t="shared" si="9"/>
        <v/>
      </c>
      <c r="AK86" s="460" t="str">
        <f>IF(AU86="","",IF(OR(AZ86=8,AZ86=9),0,IF(OR(AW86=3,AW86=4,AW86=5,AW86=6),IF(LEFT(BF86,1)="1",INDEX(係数_NOX・PM低減,MATCH(AY86,【参考】排出係数!$AI$801:$AI$804,1),1),VLOOKUP(AU86,INDEX((係数_バス貨物_ガソリン,係数_バス貨物_CNG,係数_バス貨物_軽油,係数_バス貨物_メタノール,係数_バス貨物_LPG),MATCH(AY86,【参考】排出係数!$AI$4:$AI$671,1),1,BE86):INDEX((係数_バス貨物_ガソリン,係数_バス貨物_CNG,係数_バス貨物_軽油,係数_バス貨物_メタノール,係数_バス貨物_LPG),MATCH(AY86+1,【参考】排出係数!$AI$4:$AI$671,1)-1,5,BE86),4,FALSE)),IF(AND(BE86=3,LEFT(BF86,1)="1"),0.48,VLOOKUP(AU86,INDEX((係数_乗用_ガソリン,係数_乗用_CNG,係数_乗用_軽油,係数_乗用_メタノール,係数_乗用_LPG),1,1,BE86):INDEX((係数_乗用_ガソリン,係数_乗用_CNG,係数_乗用_軽油,係数_乗用_メタノール,係数_乗用_LPG),125,5,BE86),4,FALSE)))))</f>
        <v/>
      </c>
      <c r="AL86" s="461" t="str">
        <f t="shared" si="50"/>
        <v/>
      </c>
      <c r="AM86" s="460" t="str">
        <f>IF(AU86="","",IF(OR(AZ86=8,AZ86=9),0,IF(OR(AW86=3,AW86=4,AW86=5,AW86=6),IF(LEFT(BH86,1)="1",INDEX(係数_PM低減,MATCH(AY86,【参考】排出係数!$AI$801:$AI$804,1),MATCH(BI86,【参考】排出係数!$AL$798:$AO$798,1)),VLOOKUP(AU86,INDEX((係数_バス貨物_ガソリン,係数_バス貨物_CNG,係数_バス貨物_軽油,係数_バス貨物_メタノール,係数_バス貨物_LPG),MATCH(AY86,【参考】排出係数!$AI$4:$AI$671,1),1,BE86):INDEX((係数_バス貨物_ガソリン,係数_バス貨物_CNG,係数_バス貨物_軽油,係数_バス貨物_メタノール,係数_バス貨物_LPG),MATCH(AY86+1,【参考】排出係数!$AI$4:$AI$671,1)-1,5,BE86),5,FALSE)),IF(AND(BE86=3,LEFT(BF86,1)="1"),0.055,VLOOKUP(AU86,INDEX((係数_乗用_ガソリン,係数_乗用_CNG,係数_乗用_軽油,係数_乗用_メタノール,係数_乗用_LPG),1,1,BE86):INDEX((係数_乗用_ガソリン,係数_乗用_CNG,係数_乗用_軽油,係数_乗用_メタノール,係数_乗用_LPG),125,5,BE86),5,FALSE)))))</f>
        <v/>
      </c>
      <c r="AN86" s="461" t="str">
        <f t="shared" si="51"/>
        <v/>
      </c>
      <c r="AO86" s="462" t="str">
        <f t="shared" si="52"/>
        <v/>
      </c>
      <c r="AP86" s="463" t="str">
        <f t="shared" si="53"/>
        <v/>
      </c>
      <c r="AQ86" s="464"/>
      <c r="AR86" s="619"/>
      <c r="AS86" s="465" t="str">
        <f t="shared" si="28"/>
        <v/>
      </c>
      <c r="AT86" s="465" t="str">
        <f t="shared" si="29"/>
        <v/>
      </c>
      <c r="AU86" s="466" t="str">
        <f t="shared" si="30"/>
        <v/>
      </c>
      <c r="AV86" s="467" t="str">
        <f t="shared" si="31"/>
        <v/>
      </c>
      <c r="AW86" s="467" t="str">
        <f t="shared" si="32"/>
        <v/>
      </c>
      <c r="AX86" s="467" t="str">
        <f t="shared" si="33"/>
        <v/>
      </c>
      <c r="AY86" s="467" t="str">
        <f t="shared" si="34"/>
        <v/>
      </c>
      <c r="AZ86" s="467" t="str">
        <f t="shared" si="35"/>
        <v/>
      </c>
      <c r="BA86" s="468" t="str">
        <f>IF(AS86="","",IF(OR(AU86="",AU86="-"),"－",IF(OR(AZ86=8,AZ86=9),"",IF(OR(AW86=3,AW86=4,AW86=5,AW86=6),VLOOKUP(AU86,INDEX((係数_バス貨物_ガソリン,係数_バス貨物_CNG,係数_バス貨物_軽油,係数_バス貨物_メタノール,係数_バス貨物_LPG),MATCH(AY86,【参考】排出係数!$AI$4:$AI$671,1),1,BE86):INDEX((係数_バス貨物_ガソリン,係数_バス貨物_CNG,係数_バス貨物_軽油,係数_バス貨物_メタノール,係数_バス貨物_LPG),MATCH(AY86+1,【参考】排出係数!$AI$4:$AI$671,1)-1,5,BE86),2,FALSE),IF(OR(AW86=1,AW86=2),VLOOKUP(AU86,INDEX((係数_乗用_ガソリン,係数_乗用_CNG,係数_乗用_軽油,係数_乗用_メタノール,係数_乗用_LPG),1,1,BE86):INDEX((係数_乗用_ガソリン,係数_乗用_CNG,係数_乗用_軽油,係数_乗用_メタノール,係数_乗用_LPG),125,5,BE86),2,FALSE))))))</f>
        <v/>
      </c>
      <c r="BB86" s="468" t="str">
        <f>IF(T86="","",IF(OR(AU86="",AU86="-"),"－",IF(OR(AZ86=8,AZ86=9),"",IF(OR(AW86=3,AW86=4,AW86=5,AW86=6),VLOOKUP(AU86,INDEX((係数_バス貨物_ガソリン,係数_バス貨物_CNG,係数_バス貨物_軽油,係数_バス貨物_メタノール,係数_バス貨物_LPG),MATCH(AY86,【参考】排出係数!$AI$4:$AI$671,1),1,BE86):INDEX((係数_バス貨物_ガソリン,係数_バス貨物_CNG,係数_バス貨物_軽油,係数_バス貨物_メタノール,係数_バス貨物_LPG),MATCH(AY86+1,【参考】排出係数!$AI$4:$AI$671,1)-1,5,BE86),3,FALSE),IF(OR(AW86=1,AW86=2),VLOOKUP(AU86,INDEX((係数_乗用_ガソリン,係数_乗用_CNG,係数_乗用_軽油,係数_乗用_メタノール,係数_乗用_LPG),1,1,BE86):INDEX((係数_乗用_ガソリン,係数_乗用_CNG,係数_乗用_軽油,係数_乗用_メタノール,係数_乗用_LPG),125,5,BE86),3,FALSE))))))</f>
        <v/>
      </c>
      <c r="BC86" s="467" t="str">
        <f t="shared" si="36"/>
        <v/>
      </c>
      <c r="BD86" s="567" t="str">
        <f t="shared" si="37"/>
        <v/>
      </c>
      <c r="BE86" s="467" t="str">
        <f t="shared" si="38"/>
        <v/>
      </c>
      <c r="BF86" s="469" t="str">
        <f t="shared" ca="1" si="39"/>
        <v/>
      </c>
      <c r="BG86" s="469" t="str">
        <f t="shared" ca="1" si="40"/>
        <v/>
      </c>
      <c r="BH86" s="467" t="str">
        <f t="shared" si="41"/>
        <v/>
      </c>
      <c r="BI86" s="467" t="str">
        <f t="shared" ca="1" si="42"/>
        <v/>
      </c>
      <c r="BJ86" s="469" t="str">
        <f t="shared" si="43"/>
        <v/>
      </c>
      <c r="BK86" s="470" t="str">
        <f t="shared" si="22"/>
        <v/>
      </c>
      <c r="BL86" s="775" t="str">
        <f t="shared" si="44"/>
        <v/>
      </c>
      <c r="BM86" s="775" t="str">
        <f t="shared" si="45"/>
        <v/>
      </c>
      <c r="BO86" s="472"/>
    </row>
    <row r="87" spans="1:67" s="471" customFormat="1" ht="13.5" customHeight="1">
      <c r="A87" s="473">
        <v>31</v>
      </c>
      <c r="B87" s="132"/>
      <c r="C87" s="332"/>
      <c r="D87" s="333"/>
      <c r="E87" s="333"/>
      <c r="F87" s="334"/>
      <c r="G87" s="337"/>
      <c r="H87" s="131"/>
      <c r="I87" s="337"/>
      <c r="J87" s="131"/>
      <c r="K87" s="458" t="str">
        <f t="shared" si="0"/>
        <v/>
      </c>
      <c r="L87" s="458">
        <f t="shared" si="23"/>
        <v>0</v>
      </c>
      <c r="M87" s="458">
        <f t="shared" si="24"/>
        <v>0</v>
      </c>
      <c r="N87" s="459" t="str">
        <f t="shared" si="1"/>
        <v/>
      </c>
      <c r="O87" s="459" t="str">
        <f t="shared" si="2"/>
        <v/>
      </c>
      <c r="P87" s="459" t="str">
        <f t="shared" si="3"/>
        <v/>
      </c>
      <c r="Q87" s="459" t="str">
        <f t="shared" si="4"/>
        <v/>
      </c>
      <c r="R87" s="459" t="str">
        <f t="shared" si="5"/>
        <v/>
      </c>
      <c r="S87" s="459" t="str">
        <f t="shared" si="6"/>
        <v/>
      </c>
      <c r="T87" s="566" t="str">
        <f t="shared" si="25"/>
        <v/>
      </c>
      <c r="U87" s="702"/>
      <c r="V87" s="132"/>
      <c r="W87" s="133"/>
      <c r="X87" s="134"/>
      <c r="Y87" s="135"/>
      <c r="Z87" s="137"/>
      <c r="AA87" s="136"/>
      <c r="AB87" s="566" t="str">
        <f t="shared" si="26"/>
        <v/>
      </c>
      <c r="AC87" s="568" t="str">
        <f t="shared" si="27"/>
        <v/>
      </c>
      <c r="AD87" s="137"/>
      <c r="AE87" s="137"/>
      <c r="AF87" s="138"/>
      <c r="AG87" s="138"/>
      <c r="AH87" s="592" t="str">
        <f t="shared" si="7"/>
        <v/>
      </c>
      <c r="AI87" s="592" t="str">
        <f t="shared" si="8"/>
        <v/>
      </c>
      <c r="AJ87" s="592" t="str">
        <f t="shared" si="9"/>
        <v/>
      </c>
      <c r="AK87" s="460" t="str">
        <f>IF(AU87="","",IF(OR(AZ87=8,AZ87=9),0,IF(OR(AW87=3,AW87=4,AW87=5,AW87=6),IF(LEFT(BF87,1)="1",INDEX(係数_NOX・PM低減,MATCH(AY87,【参考】排出係数!$AI$801:$AI$804,1),1),VLOOKUP(AU87,INDEX((係数_バス貨物_ガソリン,係数_バス貨物_CNG,係数_バス貨物_軽油,係数_バス貨物_メタノール,係数_バス貨物_LPG),MATCH(AY87,【参考】排出係数!$AI$4:$AI$671,1),1,BE87):INDEX((係数_バス貨物_ガソリン,係数_バス貨物_CNG,係数_バス貨物_軽油,係数_バス貨物_メタノール,係数_バス貨物_LPG),MATCH(AY87+1,【参考】排出係数!$AI$4:$AI$671,1)-1,5,BE87),4,FALSE)),IF(AND(BE87=3,LEFT(BF87,1)="1"),0.48,VLOOKUP(AU87,INDEX((係数_乗用_ガソリン,係数_乗用_CNG,係数_乗用_軽油,係数_乗用_メタノール,係数_乗用_LPG),1,1,BE87):INDEX((係数_乗用_ガソリン,係数_乗用_CNG,係数_乗用_軽油,係数_乗用_メタノール,係数_乗用_LPG),125,5,BE87),4,FALSE)))))</f>
        <v/>
      </c>
      <c r="AL87" s="461" t="str">
        <f t="shared" si="50"/>
        <v/>
      </c>
      <c r="AM87" s="460" t="str">
        <f>IF(AU87="","",IF(OR(AZ87=8,AZ87=9),0,IF(OR(AW87=3,AW87=4,AW87=5,AW87=6),IF(LEFT(BH87,1)="1",INDEX(係数_PM低減,MATCH(AY87,【参考】排出係数!$AI$801:$AI$804,1),MATCH(BI87,【参考】排出係数!$AL$798:$AO$798,1)),VLOOKUP(AU87,INDEX((係数_バス貨物_ガソリン,係数_バス貨物_CNG,係数_バス貨物_軽油,係数_バス貨物_メタノール,係数_バス貨物_LPG),MATCH(AY87,【参考】排出係数!$AI$4:$AI$671,1),1,BE87):INDEX((係数_バス貨物_ガソリン,係数_バス貨物_CNG,係数_バス貨物_軽油,係数_バス貨物_メタノール,係数_バス貨物_LPG),MATCH(AY87+1,【参考】排出係数!$AI$4:$AI$671,1)-1,5,BE87),5,FALSE)),IF(AND(BE87=3,LEFT(BF87,1)="1"),0.055,VLOOKUP(AU87,INDEX((係数_乗用_ガソリン,係数_乗用_CNG,係数_乗用_軽油,係数_乗用_メタノール,係数_乗用_LPG),1,1,BE87):INDEX((係数_乗用_ガソリン,係数_乗用_CNG,係数_乗用_軽油,係数_乗用_メタノール,係数_乗用_LPG),125,5,BE87),5,FALSE)))))</f>
        <v/>
      </c>
      <c r="AN87" s="461" t="str">
        <f t="shared" si="51"/>
        <v/>
      </c>
      <c r="AO87" s="462" t="str">
        <f t="shared" si="52"/>
        <v/>
      </c>
      <c r="AP87" s="463" t="str">
        <f t="shared" si="53"/>
        <v/>
      </c>
      <c r="AQ87" s="464"/>
      <c r="AR87" s="619"/>
      <c r="AS87" s="465" t="str">
        <f t="shared" si="28"/>
        <v/>
      </c>
      <c r="AT87" s="465" t="str">
        <f t="shared" si="29"/>
        <v/>
      </c>
      <c r="AU87" s="466" t="str">
        <f t="shared" si="30"/>
        <v/>
      </c>
      <c r="AV87" s="467" t="str">
        <f t="shared" si="31"/>
        <v/>
      </c>
      <c r="AW87" s="467" t="str">
        <f t="shared" si="32"/>
        <v/>
      </c>
      <c r="AX87" s="467" t="str">
        <f t="shared" si="33"/>
        <v/>
      </c>
      <c r="AY87" s="467" t="str">
        <f t="shared" si="34"/>
        <v/>
      </c>
      <c r="AZ87" s="467" t="str">
        <f t="shared" si="35"/>
        <v/>
      </c>
      <c r="BA87" s="468" t="str">
        <f>IF(AS87="","",IF(OR(AU87="",AU87="-"),"－",IF(OR(AZ87=8,AZ87=9),"",IF(OR(AW87=3,AW87=4,AW87=5,AW87=6),VLOOKUP(AU87,INDEX((係数_バス貨物_ガソリン,係数_バス貨物_CNG,係数_バス貨物_軽油,係数_バス貨物_メタノール,係数_バス貨物_LPG),MATCH(AY87,【参考】排出係数!$AI$4:$AI$671,1),1,BE87):INDEX((係数_バス貨物_ガソリン,係数_バス貨物_CNG,係数_バス貨物_軽油,係数_バス貨物_メタノール,係数_バス貨物_LPG),MATCH(AY87+1,【参考】排出係数!$AI$4:$AI$671,1)-1,5,BE87),2,FALSE),IF(OR(AW87=1,AW87=2),VLOOKUP(AU87,INDEX((係数_乗用_ガソリン,係数_乗用_CNG,係数_乗用_軽油,係数_乗用_メタノール,係数_乗用_LPG),1,1,BE87):INDEX((係数_乗用_ガソリン,係数_乗用_CNG,係数_乗用_軽油,係数_乗用_メタノール,係数_乗用_LPG),125,5,BE87),2,FALSE))))))</f>
        <v/>
      </c>
      <c r="BB87" s="468" t="str">
        <f>IF(T87="","",IF(OR(AU87="",AU87="-"),"－",IF(OR(AZ87=8,AZ87=9),"",IF(OR(AW87=3,AW87=4,AW87=5,AW87=6),VLOOKUP(AU87,INDEX((係数_バス貨物_ガソリン,係数_バス貨物_CNG,係数_バス貨物_軽油,係数_バス貨物_メタノール,係数_バス貨物_LPG),MATCH(AY87,【参考】排出係数!$AI$4:$AI$671,1),1,BE87):INDEX((係数_バス貨物_ガソリン,係数_バス貨物_CNG,係数_バス貨物_軽油,係数_バス貨物_メタノール,係数_バス貨物_LPG),MATCH(AY87+1,【参考】排出係数!$AI$4:$AI$671,1)-1,5,BE87),3,FALSE),IF(OR(AW87=1,AW87=2),VLOOKUP(AU87,INDEX((係数_乗用_ガソリン,係数_乗用_CNG,係数_乗用_軽油,係数_乗用_メタノール,係数_乗用_LPG),1,1,BE87):INDEX((係数_乗用_ガソリン,係数_乗用_CNG,係数_乗用_軽油,係数_乗用_メタノール,係数_乗用_LPG),125,5,BE87),3,FALSE))))))</f>
        <v/>
      </c>
      <c r="BC87" s="467" t="str">
        <f t="shared" si="36"/>
        <v/>
      </c>
      <c r="BD87" s="567" t="str">
        <f t="shared" si="37"/>
        <v/>
      </c>
      <c r="BE87" s="467" t="str">
        <f t="shared" si="38"/>
        <v/>
      </c>
      <c r="BF87" s="469" t="str">
        <f t="shared" ca="1" si="39"/>
        <v/>
      </c>
      <c r="BG87" s="469" t="str">
        <f t="shared" ca="1" si="40"/>
        <v/>
      </c>
      <c r="BH87" s="467" t="str">
        <f t="shared" si="41"/>
        <v/>
      </c>
      <c r="BI87" s="467" t="str">
        <f t="shared" ca="1" si="42"/>
        <v/>
      </c>
      <c r="BJ87" s="469" t="str">
        <f t="shared" si="43"/>
        <v/>
      </c>
      <c r="BK87" s="470" t="str">
        <f t="shared" si="22"/>
        <v/>
      </c>
      <c r="BL87" s="775" t="str">
        <f t="shared" si="44"/>
        <v/>
      </c>
      <c r="BM87" s="775" t="str">
        <f t="shared" si="45"/>
        <v/>
      </c>
      <c r="BO87" s="472"/>
    </row>
    <row r="88" spans="1:67" s="471" customFormat="1" ht="13.5" customHeight="1">
      <c r="A88" s="473">
        <v>32</v>
      </c>
      <c r="B88" s="132"/>
      <c r="C88" s="332"/>
      <c r="D88" s="333"/>
      <c r="E88" s="333"/>
      <c r="F88" s="334"/>
      <c r="G88" s="337"/>
      <c r="H88" s="131"/>
      <c r="I88" s="337"/>
      <c r="J88" s="131"/>
      <c r="K88" s="458" t="str">
        <f t="shared" si="0"/>
        <v/>
      </c>
      <c r="L88" s="458">
        <f t="shared" si="23"/>
        <v>0</v>
      </c>
      <c r="M88" s="458">
        <f t="shared" si="24"/>
        <v>0</v>
      </c>
      <c r="N88" s="459" t="str">
        <f t="shared" si="1"/>
        <v/>
      </c>
      <c r="O88" s="459" t="str">
        <f t="shared" si="2"/>
        <v/>
      </c>
      <c r="P88" s="459" t="str">
        <f t="shared" si="3"/>
        <v/>
      </c>
      <c r="Q88" s="459" t="str">
        <f t="shared" si="4"/>
        <v/>
      </c>
      <c r="R88" s="459" t="str">
        <f t="shared" si="5"/>
        <v/>
      </c>
      <c r="S88" s="459" t="str">
        <f t="shared" si="6"/>
        <v/>
      </c>
      <c r="T88" s="566" t="str">
        <f t="shared" si="25"/>
        <v/>
      </c>
      <c r="U88" s="702"/>
      <c r="V88" s="132"/>
      <c r="W88" s="133"/>
      <c r="X88" s="134"/>
      <c r="Y88" s="135"/>
      <c r="Z88" s="137"/>
      <c r="AA88" s="136"/>
      <c r="AB88" s="566" t="str">
        <f t="shared" si="26"/>
        <v/>
      </c>
      <c r="AC88" s="568" t="str">
        <f t="shared" si="27"/>
        <v/>
      </c>
      <c r="AD88" s="137"/>
      <c r="AE88" s="137"/>
      <c r="AF88" s="138"/>
      <c r="AG88" s="138"/>
      <c r="AH88" s="592" t="str">
        <f t="shared" si="7"/>
        <v/>
      </c>
      <c r="AI88" s="592" t="str">
        <f t="shared" si="8"/>
        <v/>
      </c>
      <c r="AJ88" s="592" t="str">
        <f t="shared" si="9"/>
        <v/>
      </c>
      <c r="AK88" s="460" t="str">
        <f>IF(AU88="","",IF(OR(AZ88=8,AZ88=9),0,IF(OR(AW88=3,AW88=4,AW88=5,AW88=6),IF(LEFT(BF88,1)="1",INDEX(係数_NOX・PM低減,MATCH(AY88,【参考】排出係数!$AI$801:$AI$804,1),1),VLOOKUP(AU88,INDEX((係数_バス貨物_ガソリン,係数_バス貨物_CNG,係数_バス貨物_軽油,係数_バス貨物_メタノール,係数_バス貨物_LPG),MATCH(AY88,【参考】排出係数!$AI$4:$AI$671,1),1,BE88):INDEX((係数_バス貨物_ガソリン,係数_バス貨物_CNG,係数_バス貨物_軽油,係数_バス貨物_メタノール,係数_バス貨物_LPG),MATCH(AY88+1,【参考】排出係数!$AI$4:$AI$671,1)-1,5,BE88),4,FALSE)),IF(AND(BE88=3,LEFT(BF88,1)="1"),0.48,VLOOKUP(AU88,INDEX((係数_乗用_ガソリン,係数_乗用_CNG,係数_乗用_軽油,係数_乗用_メタノール,係数_乗用_LPG),1,1,BE88):INDEX((係数_乗用_ガソリン,係数_乗用_CNG,係数_乗用_軽油,係数_乗用_メタノール,係数_乗用_LPG),125,5,BE88),4,FALSE)))))</f>
        <v/>
      </c>
      <c r="AL88" s="461" t="str">
        <f t="shared" si="50"/>
        <v/>
      </c>
      <c r="AM88" s="460" t="str">
        <f>IF(AU88="","",IF(OR(AZ88=8,AZ88=9),0,IF(OR(AW88=3,AW88=4,AW88=5,AW88=6),IF(LEFT(BH88,1)="1",INDEX(係数_PM低減,MATCH(AY88,【参考】排出係数!$AI$801:$AI$804,1),MATCH(BI88,【参考】排出係数!$AL$798:$AO$798,1)),VLOOKUP(AU88,INDEX((係数_バス貨物_ガソリン,係数_バス貨物_CNG,係数_バス貨物_軽油,係数_バス貨物_メタノール,係数_バス貨物_LPG),MATCH(AY88,【参考】排出係数!$AI$4:$AI$671,1),1,BE88):INDEX((係数_バス貨物_ガソリン,係数_バス貨物_CNG,係数_バス貨物_軽油,係数_バス貨物_メタノール,係数_バス貨物_LPG),MATCH(AY88+1,【参考】排出係数!$AI$4:$AI$671,1)-1,5,BE88),5,FALSE)),IF(AND(BE88=3,LEFT(BF88,1)="1"),0.055,VLOOKUP(AU88,INDEX((係数_乗用_ガソリン,係数_乗用_CNG,係数_乗用_軽油,係数_乗用_メタノール,係数_乗用_LPG),1,1,BE88):INDEX((係数_乗用_ガソリン,係数_乗用_CNG,係数_乗用_軽油,係数_乗用_メタノール,係数_乗用_LPG),125,5,BE88),5,FALSE)))))</f>
        <v/>
      </c>
      <c r="AN88" s="461" t="str">
        <f t="shared" si="51"/>
        <v/>
      </c>
      <c r="AO88" s="462" t="str">
        <f t="shared" si="52"/>
        <v/>
      </c>
      <c r="AP88" s="463" t="str">
        <f t="shared" si="53"/>
        <v/>
      </c>
      <c r="AQ88" s="464"/>
      <c r="AR88" s="619"/>
      <c r="AS88" s="465" t="str">
        <f t="shared" si="28"/>
        <v/>
      </c>
      <c r="AT88" s="465" t="str">
        <f t="shared" si="29"/>
        <v/>
      </c>
      <c r="AU88" s="466" t="str">
        <f t="shared" si="30"/>
        <v/>
      </c>
      <c r="AV88" s="467" t="str">
        <f t="shared" si="31"/>
        <v/>
      </c>
      <c r="AW88" s="467" t="str">
        <f t="shared" si="32"/>
        <v/>
      </c>
      <c r="AX88" s="467" t="str">
        <f t="shared" si="33"/>
        <v/>
      </c>
      <c r="AY88" s="467" t="str">
        <f t="shared" si="34"/>
        <v/>
      </c>
      <c r="AZ88" s="467" t="str">
        <f t="shared" si="35"/>
        <v/>
      </c>
      <c r="BA88" s="468" t="str">
        <f>IF(AS88="","",IF(OR(AU88="",AU88="-"),"－",IF(OR(AZ88=8,AZ88=9),"",IF(OR(AW88=3,AW88=4,AW88=5,AW88=6),VLOOKUP(AU88,INDEX((係数_バス貨物_ガソリン,係数_バス貨物_CNG,係数_バス貨物_軽油,係数_バス貨物_メタノール,係数_バス貨物_LPG),MATCH(AY88,【参考】排出係数!$AI$4:$AI$671,1),1,BE88):INDEX((係数_バス貨物_ガソリン,係数_バス貨物_CNG,係数_バス貨物_軽油,係数_バス貨物_メタノール,係数_バス貨物_LPG),MATCH(AY88+1,【参考】排出係数!$AI$4:$AI$671,1)-1,5,BE88),2,FALSE),IF(OR(AW88=1,AW88=2),VLOOKUP(AU88,INDEX((係数_乗用_ガソリン,係数_乗用_CNG,係数_乗用_軽油,係数_乗用_メタノール,係数_乗用_LPG),1,1,BE88):INDEX((係数_乗用_ガソリン,係数_乗用_CNG,係数_乗用_軽油,係数_乗用_メタノール,係数_乗用_LPG),125,5,BE88),2,FALSE))))))</f>
        <v/>
      </c>
      <c r="BB88" s="468" t="str">
        <f>IF(T88="","",IF(OR(AU88="",AU88="-"),"－",IF(OR(AZ88=8,AZ88=9),"",IF(OR(AW88=3,AW88=4,AW88=5,AW88=6),VLOOKUP(AU88,INDEX((係数_バス貨物_ガソリン,係数_バス貨物_CNG,係数_バス貨物_軽油,係数_バス貨物_メタノール,係数_バス貨物_LPG),MATCH(AY88,【参考】排出係数!$AI$4:$AI$671,1),1,BE88):INDEX((係数_バス貨物_ガソリン,係数_バス貨物_CNG,係数_バス貨物_軽油,係数_バス貨物_メタノール,係数_バス貨物_LPG),MATCH(AY88+1,【参考】排出係数!$AI$4:$AI$671,1)-1,5,BE88),3,FALSE),IF(OR(AW88=1,AW88=2),VLOOKUP(AU88,INDEX((係数_乗用_ガソリン,係数_乗用_CNG,係数_乗用_軽油,係数_乗用_メタノール,係数_乗用_LPG),1,1,BE88):INDEX((係数_乗用_ガソリン,係数_乗用_CNG,係数_乗用_軽油,係数_乗用_メタノール,係数_乗用_LPG),125,5,BE88),3,FALSE))))))</f>
        <v/>
      </c>
      <c r="BC88" s="467" t="str">
        <f t="shared" si="36"/>
        <v/>
      </c>
      <c r="BD88" s="567" t="str">
        <f t="shared" si="37"/>
        <v/>
      </c>
      <c r="BE88" s="467" t="str">
        <f t="shared" si="38"/>
        <v/>
      </c>
      <c r="BF88" s="469" t="str">
        <f t="shared" ca="1" si="39"/>
        <v/>
      </c>
      <c r="BG88" s="469" t="str">
        <f t="shared" ca="1" si="40"/>
        <v/>
      </c>
      <c r="BH88" s="467" t="str">
        <f t="shared" si="41"/>
        <v/>
      </c>
      <c r="BI88" s="467" t="str">
        <f t="shared" ca="1" si="42"/>
        <v/>
      </c>
      <c r="BJ88" s="469" t="str">
        <f t="shared" si="43"/>
        <v/>
      </c>
      <c r="BK88" s="470" t="str">
        <f t="shared" si="22"/>
        <v/>
      </c>
      <c r="BL88" s="775" t="str">
        <f t="shared" si="44"/>
        <v/>
      </c>
      <c r="BM88" s="775" t="str">
        <f t="shared" si="45"/>
        <v/>
      </c>
      <c r="BO88" s="472"/>
    </row>
    <row r="89" spans="1:67" s="471" customFormat="1" ht="13.5" customHeight="1">
      <c r="A89" s="473">
        <v>33</v>
      </c>
      <c r="B89" s="132"/>
      <c r="C89" s="332"/>
      <c r="D89" s="333"/>
      <c r="E89" s="333"/>
      <c r="F89" s="334"/>
      <c r="G89" s="337"/>
      <c r="H89" s="131"/>
      <c r="I89" s="337"/>
      <c r="J89" s="131"/>
      <c r="K89" s="458" t="str">
        <f t="shared" si="0"/>
        <v/>
      </c>
      <c r="L89" s="458">
        <f t="shared" si="23"/>
        <v>0</v>
      </c>
      <c r="M89" s="458">
        <f t="shared" si="24"/>
        <v>0</v>
      </c>
      <c r="N89" s="459" t="str">
        <f t="shared" si="1"/>
        <v/>
      </c>
      <c r="O89" s="459" t="str">
        <f t="shared" si="2"/>
        <v/>
      </c>
      <c r="P89" s="459" t="str">
        <f t="shared" si="3"/>
        <v/>
      </c>
      <c r="Q89" s="459" t="str">
        <f t="shared" si="4"/>
        <v/>
      </c>
      <c r="R89" s="459" t="str">
        <f t="shared" si="5"/>
        <v/>
      </c>
      <c r="S89" s="459" t="str">
        <f t="shared" si="6"/>
        <v/>
      </c>
      <c r="T89" s="566" t="str">
        <f t="shared" si="25"/>
        <v/>
      </c>
      <c r="U89" s="702"/>
      <c r="V89" s="132"/>
      <c r="W89" s="133"/>
      <c r="X89" s="134"/>
      <c r="Y89" s="135"/>
      <c r="Z89" s="137"/>
      <c r="AA89" s="136"/>
      <c r="AB89" s="566" t="str">
        <f t="shared" si="26"/>
        <v/>
      </c>
      <c r="AC89" s="568" t="str">
        <f t="shared" si="27"/>
        <v/>
      </c>
      <c r="AD89" s="137"/>
      <c r="AE89" s="137"/>
      <c r="AF89" s="138"/>
      <c r="AG89" s="138"/>
      <c r="AH89" s="592" t="str">
        <f t="shared" si="7"/>
        <v/>
      </c>
      <c r="AI89" s="592" t="str">
        <f t="shared" si="8"/>
        <v/>
      </c>
      <c r="AJ89" s="592" t="str">
        <f t="shared" si="9"/>
        <v/>
      </c>
      <c r="AK89" s="460" t="str">
        <f>IF(AU89="","",IF(OR(AZ89=8,AZ89=9),0,IF(OR(AW89=3,AW89=4,AW89=5,AW89=6),IF(LEFT(BF89,1)="1",INDEX(係数_NOX・PM低減,MATCH(AY89,【参考】排出係数!$AI$801:$AI$804,1),1),VLOOKUP(AU89,INDEX((係数_バス貨物_ガソリン,係数_バス貨物_CNG,係数_バス貨物_軽油,係数_バス貨物_メタノール,係数_バス貨物_LPG),MATCH(AY89,【参考】排出係数!$AI$4:$AI$671,1),1,BE89):INDEX((係数_バス貨物_ガソリン,係数_バス貨物_CNG,係数_バス貨物_軽油,係数_バス貨物_メタノール,係数_バス貨物_LPG),MATCH(AY89+1,【参考】排出係数!$AI$4:$AI$671,1)-1,5,BE89),4,FALSE)),IF(AND(BE89=3,LEFT(BF89,1)="1"),0.48,VLOOKUP(AU89,INDEX((係数_乗用_ガソリン,係数_乗用_CNG,係数_乗用_軽油,係数_乗用_メタノール,係数_乗用_LPG),1,1,BE89):INDEX((係数_乗用_ガソリン,係数_乗用_CNG,係数_乗用_軽油,係数_乗用_メタノール,係数_乗用_LPG),125,5,BE89),4,FALSE)))))</f>
        <v/>
      </c>
      <c r="AL89" s="461" t="str">
        <f t="shared" si="50"/>
        <v/>
      </c>
      <c r="AM89" s="460" t="str">
        <f>IF(AU89="","",IF(OR(AZ89=8,AZ89=9),0,IF(OR(AW89=3,AW89=4,AW89=5,AW89=6),IF(LEFT(BH89,1)="1",INDEX(係数_PM低減,MATCH(AY89,【参考】排出係数!$AI$801:$AI$804,1),MATCH(BI89,【参考】排出係数!$AL$798:$AO$798,1)),VLOOKUP(AU89,INDEX((係数_バス貨物_ガソリン,係数_バス貨物_CNG,係数_バス貨物_軽油,係数_バス貨物_メタノール,係数_バス貨物_LPG),MATCH(AY89,【参考】排出係数!$AI$4:$AI$671,1),1,BE89):INDEX((係数_バス貨物_ガソリン,係数_バス貨物_CNG,係数_バス貨物_軽油,係数_バス貨物_メタノール,係数_バス貨物_LPG),MATCH(AY89+1,【参考】排出係数!$AI$4:$AI$671,1)-1,5,BE89),5,FALSE)),IF(AND(BE89=3,LEFT(BF89,1)="1"),0.055,VLOOKUP(AU89,INDEX((係数_乗用_ガソリン,係数_乗用_CNG,係数_乗用_軽油,係数_乗用_メタノール,係数_乗用_LPG),1,1,BE89):INDEX((係数_乗用_ガソリン,係数_乗用_CNG,係数_乗用_軽油,係数_乗用_メタノール,係数_乗用_LPG),125,5,BE89),5,FALSE)))))</f>
        <v/>
      </c>
      <c r="AN89" s="461" t="str">
        <f t="shared" si="51"/>
        <v/>
      </c>
      <c r="AO89" s="462" t="str">
        <f t="shared" si="52"/>
        <v/>
      </c>
      <c r="AP89" s="463" t="str">
        <f t="shared" si="53"/>
        <v/>
      </c>
      <c r="AQ89" s="464"/>
      <c r="AR89" s="619"/>
      <c r="AS89" s="465" t="str">
        <f t="shared" si="28"/>
        <v/>
      </c>
      <c r="AT89" s="465" t="str">
        <f t="shared" si="29"/>
        <v/>
      </c>
      <c r="AU89" s="466" t="str">
        <f t="shared" si="30"/>
        <v/>
      </c>
      <c r="AV89" s="467" t="str">
        <f t="shared" si="31"/>
        <v/>
      </c>
      <c r="AW89" s="467" t="str">
        <f t="shared" si="32"/>
        <v/>
      </c>
      <c r="AX89" s="467" t="str">
        <f t="shared" si="33"/>
        <v/>
      </c>
      <c r="AY89" s="467" t="str">
        <f t="shared" si="34"/>
        <v/>
      </c>
      <c r="AZ89" s="467" t="str">
        <f t="shared" si="35"/>
        <v/>
      </c>
      <c r="BA89" s="468" t="str">
        <f>IF(AS89="","",IF(OR(AU89="",AU89="-"),"－",IF(OR(AZ89=8,AZ89=9),"",IF(OR(AW89=3,AW89=4,AW89=5,AW89=6),VLOOKUP(AU89,INDEX((係数_バス貨物_ガソリン,係数_バス貨物_CNG,係数_バス貨物_軽油,係数_バス貨物_メタノール,係数_バス貨物_LPG),MATCH(AY89,【参考】排出係数!$AI$4:$AI$671,1),1,BE89):INDEX((係数_バス貨物_ガソリン,係数_バス貨物_CNG,係数_バス貨物_軽油,係数_バス貨物_メタノール,係数_バス貨物_LPG),MATCH(AY89+1,【参考】排出係数!$AI$4:$AI$671,1)-1,5,BE89),2,FALSE),IF(OR(AW89=1,AW89=2),VLOOKUP(AU89,INDEX((係数_乗用_ガソリン,係数_乗用_CNG,係数_乗用_軽油,係数_乗用_メタノール,係数_乗用_LPG),1,1,BE89):INDEX((係数_乗用_ガソリン,係数_乗用_CNG,係数_乗用_軽油,係数_乗用_メタノール,係数_乗用_LPG),125,5,BE89),2,FALSE))))))</f>
        <v/>
      </c>
      <c r="BB89" s="468" t="str">
        <f>IF(T89="","",IF(OR(AU89="",AU89="-"),"－",IF(OR(AZ89=8,AZ89=9),"",IF(OR(AW89=3,AW89=4,AW89=5,AW89=6),VLOOKUP(AU89,INDEX((係数_バス貨物_ガソリン,係数_バス貨物_CNG,係数_バス貨物_軽油,係数_バス貨物_メタノール,係数_バス貨物_LPG),MATCH(AY89,【参考】排出係数!$AI$4:$AI$671,1),1,BE89):INDEX((係数_バス貨物_ガソリン,係数_バス貨物_CNG,係数_バス貨物_軽油,係数_バス貨物_メタノール,係数_バス貨物_LPG),MATCH(AY89+1,【参考】排出係数!$AI$4:$AI$671,1)-1,5,BE89),3,FALSE),IF(OR(AW89=1,AW89=2),VLOOKUP(AU89,INDEX((係数_乗用_ガソリン,係数_乗用_CNG,係数_乗用_軽油,係数_乗用_メタノール,係数_乗用_LPG),1,1,BE89):INDEX((係数_乗用_ガソリン,係数_乗用_CNG,係数_乗用_軽油,係数_乗用_メタノール,係数_乗用_LPG),125,5,BE89),3,FALSE))))))</f>
        <v/>
      </c>
      <c r="BC89" s="467" t="str">
        <f t="shared" si="36"/>
        <v/>
      </c>
      <c r="BD89" s="567" t="str">
        <f t="shared" si="37"/>
        <v/>
      </c>
      <c r="BE89" s="467" t="str">
        <f t="shared" si="38"/>
        <v/>
      </c>
      <c r="BF89" s="469" t="str">
        <f t="shared" ca="1" si="39"/>
        <v/>
      </c>
      <c r="BG89" s="469" t="str">
        <f t="shared" ca="1" si="40"/>
        <v/>
      </c>
      <c r="BH89" s="467" t="str">
        <f t="shared" si="41"/>
        <v/>
      </c>
      <c r="BI89" s="467" t="str">
        <f t="shared" ca="1" si="42"/>
        <v/>
      </c>
      <c r="BJ89" s="469" t="str">
        <f t="shared" si="43"/>
        <v/>
      </c>
      <c r="BK89" s="470" t="str">
        <f t="shared" si="22"/>
        <v/>
      </c>
      <c r="BL89" s="775" t="str">
        <f t="shared" si="44"/>
        <v/>
      </c>
      <c r="BM89" s="775" t="str">
        <f t="shared" si="45"/>
        <v/>
      </c>
      <c r="BO89" s="472"/>
    </row>
    <row r="90" spans="1:67" s="471" customFormat="1" ht="13.5" customHeight="1">
      <c r="A90" s="473">
        <v>34</v>
      </c>
      <c r="B90" s="132"/>
      <c r="C90" s="332"/>
      <c r="D90" s="333"/>
      <c r="E90" s="333"/>
      <c r="F90" s="334"/>
      <c r="G90" s="337"/>
      <c r="H90" s="131"/>
      <c r="I90" s="337"/>
      <c r="J90" s="131"/>
      <c r="K90" s="458" t="str">
        <f t="shared" si="0"/>
        <v/>
      </c>
      <c r="L90" s="458">
        <f t="shared" si="23"/>
        <v>0</v>
      </c>
      <c r="M90" s="458">
        <f t="shared" si="24"/>
        <v>0</v>
      </c>
      <c r="N90" s="459" t="str">
        <f t="shared" si="1"/>
        <v/>
      </c>
      <c r="O90" s="459" t="str">
        <f t="shared" si="2"/>
        <v/>
      </c>
      <c r="P90" s="459" t="str">
        <f t="shared" si="3"/>
        <v/>
      </c>
      <c r="Q90" s="459" t="str">
        <f t="shared" si="4"/>
        <v/>
      </c>
      <c r="R90" s="459" t="str">
        <f t="shared" si="5"/>
        <v/>
      </c>
      <c r="S90" s="459" t="str">
        <f t="shared" si="6"/>
        <v/>
      </c>
      <c r="T90" s="566" t="str">
        <f t="shared" si="25"/>
        <v/>
      </c>
      <c r="U90" s="702"/>
      <c r="V90" s="132"/>
      <c r="W90" s="133"/>
      <c r="X90" s="134"/>
      <c r="Y90" s="135"/>
      <c r="Z90" s="137"/>
      <c r="AA90" s="136"/>
      <c r="AB90" s="566" t="str">
        <f t="shared" si="26"/>
        <v/>
      </c>
      <c r="AC90" s="568" t="str">
        <f t="shared" si="27"/>
        <v/>
      </c>
      <c r="AD90" s="137"/>
      <c r="AE90" s="137"/>
      <c r="AF90" s="138"/>
      <c r="AG90" s="138"/>
      <c r="AH90" s="592" t="str">
        <f t="shared" si="7"/>
        <v/>
      </c>
      <c r="AI90" s="592" t="str">
        <f t="shared" si="8"/>
        <v/>
      </c>
      <c r="AJ90" s="592" t="str">
        <f t="shared" si="9"/>
        <v/>
      </c>
      <c r="AK90" s="460" t="str">
        <f>IF(AU90="","",IF(OR(AZ90=8,AZ90=9),0,IF(OR(AW90=3,AW90=4,AW90=5,AW90=6),IF(LEFT(BF90,1)="1",INDEX(係数_NOX・PM低減,MATCH(AY90,【参考】排出係数!$AI$801:$AI$804,1),1),VLOOKUP(AU90,INDEX((係数_バス貨物_ガソリン,係数_バス貨物_CNG,係数_バス貨物_軽油,係数_バス貨物_メタノール,係数_バス貨物_LPG),MATCH(AY90,【参考】排出係数!$AI$4:$AI$671,1),1,BE90):INDEX((係数_バス貨物_ガソリン,係数_バス貨物_CNG,係数_バス貨物_軽油,係数_バス貨物_メタノール,係数_バス貨物_LPG),MATCH(AY90+1,【参考】排出係数!$AI$4:$AI$671,1)-1,5,BE90),4,FALSE)),IF(AND(BE90=3,LEFT(BF90,1)="1"),0.48,VLOOKUP(AU90,INDEX((係数_乗用_ガソリン,係数_乗用_CNG,係数_乗用_軽油,係数_乗用_メタノール,係数_乗用_LPG),1,1,BE90):INDEX((係数_乗用_ガソリン,係数_乗用_CNG,係数_乗用_軽油,係数_乗用_メタノール,係数_乗用_LPG),125,5,BE90),4,FALSE)))))</f>
        <v/>
      </c>
      <c r="AL90" s="461" t="str">
        <f t="shared" si="50"/>
        <v/>
      </c>
      <c r="AM90" s="460" t="str">
        <f>IF(AU90="","",IF(OR(AZ90=8,AZ90=9),0,IF(OR(AW90=3,AW90=4,AW90=5,AW90=6),IF(LEFT(BH90,1)="1",INDEX(係数_PM低減,MATCH(AY90,【参考】排出係数!$AI$801:$AI$804,1),MATCH(BI90,【参考】排出係数!$AL$798:$AO$798,1)),VLOOKUP(AU90,INDEX((係数_バス貨物_ガソリン,係数_バス貨物_CNG,係数_バス貨物_軽油,係数_バス貨物_メタノール,係数_バス貨物_LPG),MATCH(AY90,【参考】排出係数!$AI$4:$AI$671,1),1,BE90):INDEX((係数_バス貨物_ガソリン,係数_バス貨物_CNG,係数_バス貨物_軽油,係数_バス貨物_メタノール,係数_バス貨物_LPG),MATCH(AY90+1,【参考】排出係数!$AI$4:$AI$671,1)-1,5,BE90),5,FALSE)),IF(AND(BE90=3,LEFT(BF90,1)="1"),0.055,VLOOKUP(AU90,INDEX((係数_乗用_ガソリン,係数_乗用_CNG,係数_乗用_軽油,係数_乗用_メタノール,係数_乗用_LPG),1,1,BE90):INDEX((係数_乗用_ガソリン,係数_乗用_CNG,係数_乗用_軽油,係数_乗用_メタノール,係数_乗用_LPG),125,5,BE90),5,FALSE)))))</f>
        <v/>
      </c>
      <c r="AN90" s="461" t="str">
        <f t="shared" si="51"/>
        <v/>
      </c>
      <c r="AO90" s="462" t="str">
        <f t="shared" si="52"/>
        <v/>
      </c>
      <c r="AP90" s="463" t="str">
        <f t="shared" si="53"/>
        <v/>
      </c>
      <c r="AQ90" s="464"/>
      <c r="AR90" s="619"/>
      <c r="AS90" s="465" t="str">
        <f t="shared" si="28"/>
        <v/>
      </c>
      <c r="AT90" s="465" t="str">
        <f t="shared" si="29"/>
        <v/>
      </c>
      <c r="AU90" s="466" t="str">
        <f t="shared" si="30"/>
        <v/>
      </c>
      <c r="AV90" s="467" t="str">
        <f t="shared" si="31"/>
        <v/>
      </c>
      <c r="AW90" s="467" t="str">
        <f t="shared" si="32"/>
        <v/>
      </c>
      <c r="AX90" s="467" t="str">
        <f t="shared" si="33"/>
        <v/>
      </c>
      <c r="AY90" s="467" t="str">
        <f t="shared" si="34"/>
        <v/>
      </c>
      <c r="AZ90" s="467" t="str">
        <f t="shared" si="35"/>
        <v/>
      </c>
      <c r="BA90" s="468" t="str">
        <f>IF(AS90="","",IF(OR(AU90="",AU90="-"),"－",IF(OR(AZ90=8,AZ90=9),"",IF(OR(AW90=3,AW90=4,AW90=5,AW90=6),VLOOKUP(AU90,INDEX((係数_バス貨物_ガソリン,係数_バス貨物_CNG,係数_バス貨物_軽油,係数_バス貨物_メタノール,係数_バス貨物_LPG),MATCH(AY90,【参考】排出係数!$AI$4:$AI$671,1),1,BE90):INDEX((係数_バス貨物_ガソリン,係数_バス貨物_CNG,係数_バス貨物_軽油,係数_バス貨物_メタノール,係数_バス貨物_LPG),MATCH(AY90+1,【参考】排出係数!$AI$4:$AI$671,1)-1,5,BE90),2,FALSE),IF(OR(AW90=1,AW90=2),VLOOKUP(AU90,INDEX((係数_乗用_ガソリン,係数_乗用_CNG,係数_乗用_軽油,係数_乗用_メタノール,係数_乗用_LPG),1,1,BE90):INDEX((係数_乗用_ガソリン,係数_乗用_CNG,係数_乗用_軽油,係数_乗用_メタノール,係数_乗用_LPG),125,5,BE90),2,FALSE))))))</f>
        <v/>
      </c>
      <c r="BB90" s="468" t="str">
        <f>IF(T90="","",IF(OR(AU90="",AU90="-"),"－",IF(OR(AZ90=8,AZ90=9),"",IF(OR(AW90=3,AW90=4,AW90=5,AW90=6),VLOOKUP(AU90,INDEX((係数_バス貨物_ガソリン,係数_バス貨物_CNG,係数_バス貨物_軽油,係数_バス貨物_メタノール,係数_バス貨物_LPG),MATCH(AY90,【参考】排出係数!$AI$4:$AI$671,1),1,BE90):INDEX((係数_バス貨物_ガソリン,係数_バス貨物_CNG,係数_バス貨物_軽油,係数_バス貨物_メタノール,係数_バス貨物_LPG),MATCH(AY90+1,【参考】排出係数!$AI$4:$AI$671,1)-1,5,BE90),3,FALSE),IF(OR(AW90=1,AW90=2),VLOOKUP(AU90,INDEX((係数_乗用_ガソリン,係数_乗用_CNG,係数_乗用_軽油,係数_乗用_メタノール,係数_乗用_LPG),1,1,BE90):INDEX((係数_乗用_ガソリン,係数_乗用_CNG,係数_乗用_軽油,係数_乗用_メタノール,係数_乗用_LPG),125,5,BE90),3,FALSE))))))</f>
        <v/>
      </c>
      <c r="BC90" s="467" t="str">
        <f t="shared" si="36"/>
        <v/>
      </c>
      <c r="BD90" s="567" t="str">
        <f t="shared" si="37"/>
        <v/>
      </c>
      <c r="BE90" s="467" t="str">
        <f t="shared" si="38"/>
        <v/>
      </c>
      <c r="BF90" s="469" t="str">
        <f t="shared" ca="1" si="39"/>
        <v/>
      </c>
      <c r="BG90" s="469" t="str">
        <f t="shared" ca="1" si="40"/>
        <v/>
      </c>
      <c r="BH90" s="467" t="str">
        <f t="shared" si="41"/>
        <v/>
      </c>
      <c r="BI90" s="467" t="str">
        <f t="shared" ca="1" si="42"/>
        <v/>
      </c>
      <c r="BJ90" s="469" t="str">
        <f t="shared" si="43"/>
        <v/>
      </c>
      <c r="BK90" s="470" t="str">
        <f t="shared" si="22"/>
        <v/>
      </c>
      <c r="BL90" s="775" t="str">
        <f t="shared" si="44"/>
        <v/>
      </c>
      <c r="BM90" s="775" t="str">
        <f t="shared" si="45"/>
        <v/>
      </c>
      <c r="BO90" s="472"/>
    </row>
    <row r="91" spans="1:67" s="471" customFormat="1" ht="13.5" customHeight="1">
      <c r="A91" s="473">
        <v>35</v>
      </c>
      <c r="B91" s="132"/>
      <c r="C91" s="332"/>
      <c r="D91" s="333"/>
      <c r="E91" s="333"/>
      <c r="F91" s="334"/>
      <c r="G91" s="337"/>
      <c r="H91" s="131"/>
      <c r="I91" s="337"/>
      <c r="J91" s="131"/>
      <c r="K91" s="458" t="str">
        <f t="shared" si="0"/>
        <v/>
      </c>
      <c r="L91" s="458">
        <f t="shared" si="23"/>
        <v>0</v>
      </c>
      <c r="M91" s="458">
        <f t="shared" si="24"/>
        <v>0</v>
      </c>
      <c r="N91" s="459" t="str">
        <f t="shared" si="1"/>
        <v/>
      </c>
      <c r="O91" s="459" t="str">
        <f t="shared" si="2"/>
        <v/>
      </c>
      <c r="P91" s="459" t="str">
        <f t="shared" si="3"/>
        <v/>
      </c>
      <c r="Q91" s="459" t="str">
        <f t="shared" si="4"/>
        <v/>
      </c>
      <c r="R91" s="459" t="str">
        <f t="shared" si="5"/>
        <v/>
      </c>
      <c r="S91" s="459" t="str">
        <f t="shared" si="6"/>
        <v/>
      </c>
      <c r="T91" s="566" t="str">
        <f t="shared" si="25"/>
        <v/>
      </c>
      <c r="U91" s="702"/>
      <c r="V91" s="132"/>
      <c r="W91" s="133"/>
      <c r="X91" s="134"/>
      <c r="Y91" s="135"/>
      <c r="Z91" s="137"/>
      <c r="AA91" s="136"/>
      <c r="AB91" s="566" t="str">
        <f t="shared" si="26"/>
        <v/>
      </c>
      <c r="AC91" s="568" t="str">
        <f t="shared" si="27"/>
        <v/>
      </c>
      <c r="AD91" s="137"/>
      <c r="AE91" s="137"/>
      <c r="AF91" s="138"/>
      <c r="AG91" s="138"/>
      <c r="AH91" s="592" t="str">
        <f t="shared" si="7"/>
        <v/>
      </c>
      <c r="AI91" s="592" t="str">
        <f t="shared" si="8"/>
        <v/>
      </c>
      <c r="AJ91" s="592" t="str">
        <f t="shared" si="9"/>
        <v/>
      </c>
      <c r="AK91" s="460" t="str">
        <f>IF(AU91="","",IF(OR(AZ91=8,AZ91=9),0,IF(OR(AW91=3,AW91=4,AW91=5,AW91=6),IF(LEFT(BF91,1)="1",INDEX(係数_NOX・PM低減,MATCH(AY91,【参考】排出係数!$AI$801:$AI$804,1),1),VLOOKUP(AU91,INDEX((係数_バス貨物_ガソリン,係数_バス貨物_CNG,係数_バス貨物_軽油,係数_バス貨物_メタノール,係数_バス貨物_LPG),MATCH(AY91,【参考】排出係数!$AI$4:$AI$671,1),1,BE91):INDEX((係数_バス貨物_ガソリン,係数_バス貨物_CNG,係数_バス貨物_軽油,係数_バス貨物_メタノール,係数_バス貨物_LPG),MATCH(AY91+1,【参考】排出係数!$AI$4:$AI$671,1)-1,5,BE91),4,FALSE)),IF(AND(BE91=3,LEFT(BF91,1)="1"),0.48,VLOOKUP(AU91,INDEX((係数_乗用_ガソリン,係数_乗用_CNG,係数_乗用_軽油,係数_乗用_メタノール,係数_乗用_LPG),1,1,BE91):INDEX((係数_乗用_ガソリン,係数_乗用_CNG,係数_乗用_軽油,係数_乗用_メタノール,係数_乗用_LPG),125,5,BE91),4,FALSE)))))</f>
        <v/>
      </c>
      <c r="AL91" s="461" t="str">
        <f t="shared" si="50"/>
        <v/>
      </c>
      <c r="AM91" s="460" t="str">
        <f>IF(AU91="","",IF(OR(AZ91=8,AZ91=9),0,IF(OR(AW91=3,AW91=4,AW91=5,AW91=6),IF(LEFT(BH91,1)="1",INDEX(係数_PM低減,MATCH(AY91,【参考】排出係数!$AI$801:$AI$804,1),MATCH(BI91,【参考】排出係数!$AL$798:$AO$798,1)),VLOOKUP(AU91,INDEX((係数_バス貨物_ガソリン,係数_バス貨物_CNG,係数_バス貨物_軽油,係数_バス貨物_メタノール,係数_バス貨物_LPG),MATCH(AY91,【参考】排出係数!$AI$4:$AI$671,1),1,BE91):INDEX((係数_バス貨物_ガソリン,係数_バス貨物_CNG,係数_バス貨物_軽油,係数_バス貨物_メタノール,係数_バス貨物_LPG),MATCH(AY91+1,【参考】排出係数!$AI$4:$AI$671,1)-1,5,BE91),5,FALSE)),IF(AND(BE91=3,LEFT(BF91,1)="1"),0.055,VLOOKUP(AU91,INDEX((係数_乗用_ガソリン,係数_乗用_CNG,係数_乗用_軽油,係数_乗用_メタノール,係数_乗用_LPG),1,1,BE91):INDEX((係数_乗用_ガソリン,係数_乗用_CNG,係数_乗用_軽油,係数_乗用_メタノール,係数_乗用_LPG),125,5,BE91),5,FALSE)))))</f>
        <v/>
      </c>
      <c r="AN91" s="461" t="str">
        <f t="shared" si="51"/>
        <v/>
      </c>
      <c r="AO91" s="462" t="str">
        <f t="shared" si="52"/>
        <v/>
      </c>
      <c r="AP91" s="463" t="str">
        <f t="shared" si="53"/>
        <v/>
      </c>
      <c r="AQ91" s="464"/>
      <c r="AR91" s="619"/>
      <c r="AS91" s="465" t="str">
        <f t="shared" si="28"/>
        <v/>
      </c>
      <c r="AT91" s="465" t="str">
        <f t="shared" si="29"/>
        <v/>
      </c>
      <c r="AU91" s="466" t="str">
        <f t="shared" si="30"/>
        <v/>
      </c>
      <c r="AV91" s="467" t="str">
        <f t="shared" si="31"/>
        <v/>
      </c>
      <c r="AW91" s="467" t="str">
        <f t="shared" si="32"/>
        <v/>
      </c>
      <c r="AX91" s="467" t="str">
        <f t="shared" si="33"/>
        <v/>
      </c>
      <c r="AY91" s="467" t="str">
        <f t="shared" si="34"/>
        <v/>
      </c>
      <c r="AZ91" s="467" t="str">
        <f t="shared" si="35"/>
        <v/>
      </c>
      <c r="BA91" s="468" t="str">
        <f>IF(AS91="","",IF(OR(AU91="",AU91="-"),"－",IF(OR(AZ91=8,AZ91=9),"",IF(OR(AW91=3,AW91=4,AW91=5,AW91=6),VLOOKUP(AU91,INDEX((係数_バス貨物_ガソリン,係数_バス貨物_CNG,係数_バス貨物_軽油,係数_バス貨物_メタノール,係数_バス貨物_LPG),MATCH(AY91,【参考】排出係数!$AI$4:$AI$671,1),1,BE91):INDEX((係数_バス貨物_ガソリン,係数_バス貨物_CNG,係数_バス貨物_軽油,係数_バス貨物_メタノール,係数_バス貨物_LPG),MATCH(AY91+1,【参考】排出係数!$AI$4:$AI$671,1)-1,5,BE91),2,FALSE),IF(OR(AW91=1,AW91=2),VLOOKUP(AU91,INDEX((係数_乗用_ガソリン,係数_乗用_CNG,係数_乗用_軽油,係数_乗用_メタノール,係数_乗用_LPG),1,1,BE91):INDEX((係数_乗用_ガソリン,係数_乗用_CNG,係数_乗用_軽油,係数_乗用_メタノール,係数_乗用_LPG),125,5,BE91),2,FALSE))))))</f>
        <v/>
      </c>
      <c r="BB91" s="468" t="str">
        <f>IF(T91="","",IF(OR(AU91="",AU91="-"),"－",IF(OR(AZ91=8,AZ91=9),"",IF(OR(AW91=3,AW91=4,AW91=5,AW91=6),VLOOKUP(AU91,INDEX((係数_バス貨物_ガソリン,係数_バス貨物_CNG,係数_バス貨物_軽油,係数_バス貨物_メタノール,係数_バス貨物_LPG),MATCH(AY91,【参考】排出係数!$AI$4:$AI$671,1),1,BE91):INDEX((係数_バス貨物_ガソリン,係数_バス貨物_CNG,係数_バス貨物_軽油,係数_バス貨物_メタノール,係数_バス貨物_LPG),MATCH(AY91+1,【参考】排出係数!$AI$4:$AI$671,1)-1,5,BE91),3,FALSE),IF(OR(AW91=1,AW91=2),VLOOKUP(AU91,INDEX((係数_乗用_ガソリン,係数_乗用_CNG,係数_乗用_軽油,係数_乗用_メタノール,係数_乗用_LPG),1,1,BE91):INDEX((係数_乗用_ガソリン,係数_乗用_CNG,係数_乗用_軽油,係数_乗用_メタノール,係数_乗用_LPG),125,5,BE91),3,FALSE))))))</f>
        <v/>
      </c>
      <c r="BC91" s="467" t="str">
        <f t="shared" si="36"/>
        <v/>
      </c>
      <c r="BD91" s="567" t="str">
        <f t="shared" si="37"/>
        <v/>
      </c>
      <c r="BE91" s="467" t="str">
        <f t="shared" si="38"/>
        <v/>
      </c>
      <c r="BF91" s="469" t="str">
        <f t="shared" ca="1" si="39"/>
        <v/>
      </c>
      <c r="BG91" s="469" t="str">
        <f t="shared" ca="1" si="40"/>
        <v/>
      </c>
      <c r="BH91" s="467" t="str">
        <f t="shared" si="41"/>
        <v/>
      </c>
      <c r="BI91" s="467" t="str">
        <f t="shared" ca="1" si="42"/>
        <v/>
      </c>
      <c r="BJ91" s="469" t="str">
        <f t="shared" si="43"/>
        <v/>
      </c>
      <c r="BK91" s="470" t="str">
        <f t="shared" si="22"/>
        <v/>
      </c>
      <c r="BL91" s="775" t="str">
        <f t="shared" si="44"/>
        <v/>
      </c>
      <c r="BM91" s="775" t="str">
        <f t="shared" si="45"/>
        <v/>
      </c>
      <c r="BO91" s="472"/>
    </row>
    <row r="92" spans="1:67" s="471" customFormat="1" ht="13.5" customHeight="1">
      <c r="A92" s="473">
        <v>36</v>
      </c>
      <c r="B92" s="132"/>
      <c r="C92" s="332"/>
      <c r="D92" s="333"/>
      <c r="E92" s="333"/>
      <c r="F92" s="334"/>
      <c r="G92" s="337"/>
      <c r="H92" s="131"/>
      <c r="I92" s="337"/>
      <c r="J92" s="131"/>
      <c r="K92" s="458" t="str">
        <f t="shared" si="0"/>
        <v/>
      </c>
      <c r="L92" s="458">
        <f t="shared" si="23"/>
        <v>0</v>
      </c>
      <c r="M92" s="458">
        <f t="shared" si="24"/>
        <v>0</v>
      </c>
      <c r="N92" s="459" t="str">
        <f t="shared" si="1"/>
        <v/>
      </c>
      <c r="O92" s="459" t="str">
        <f t="shared" si="2"/>
        <v/>
      </c>
      <c r="P92" s="459" t="str">
        <f t="shared" si="3"/>
        <v/>
      </c>
      <c r="Q92" s="459" t="str">
        <f t="shared" si="4"/>
        <v/>
      </c>
      <c r="R92" s="459" t="str">
        <f t="shared" si="5"/>
        <v/>
      </c>
      <c r="S92" s="459" t="str">
        <f t="shared" si="6"/>
        <v/>
      </c>
      <c r="T92" s="566" t="str">
        <f t="shared" si="25"/>
        <v/>
      </c>
      <c r="U92" s="702"/>
      <c r="V92" s="132"/>
      <c r="W92" s="133"/>
      <c r="X92" s="134"/>
      <c r="Y92" s="135"/>
      <c r="Z92" s="137"/>
      <c r="AA92" s="136"/>
      <c r="AB92" s="566" t="str">
        <f t="shared" si="26"/>
        <v/>
      </c>
      <c r="AC92" s="568" t="str">
        <f t="shared" si="27"/>
        <v/>
      </c>
      <c r="AD92" s="137"/>
      <c r="AE92" s="137"/>
      <c r="AF92" s="138"/>
      <c r="AG92" s="138"/>
      <c r="AH92" s="592" t="str">
        <f t="shared" si="7"/>
        <v/>
      </c>
      <c r="AI92" s="592" t="str">
        <f t="shared" si="8"/>
        <v/>
      </c>
      <c r="AJ92" s="592" t="str">
        <f t="shared" si="9"/>
        <v/>
      </c>
      <c r="AK92" s="460" t="str">
        <f>IF(AU92="","",IF(OR(AZ92=8,AZ92=9),0,IF(OR(AW92=3,AW92=4,AW92=5,AW92=6),IF(LEFT(BF92,1)="1",INDEX(係数_NOX・PM低減,MATCH(AY92,【参考】排出係数!$AI$801:$AI$804,1),1),VLOOKUP(AU92,INDEX((係数_バス貨物_ガソリン,係数_バス貨物_CNG,係数_バス貨物_軽油,係数_バス貨物_メタノール,係数_バス貨物_LPG),MATCH(AY92,【参考】排出係数!$AI$4:$AI$671,1),1,BE92):INDEX((係数_バス貨物_ガソリン,係数_バス貨物_CNG,係数_バス貨物_軽油,係数_バス貨物_メタノール,係数_バス貨物_LPG),MATCH(AY92+1,【参考】排出係数!$AI$4:$AI$671,1)-1,5,BE92),4,FALSE)),IF(AND(BE92=3,LEFT(BF92,1)="1"),0.48,VLOOKUP(AU92,INDEX((係数_乗用_ガソリン,係数_乗用_CNG,係数_乗用_軽油,係数_乗用_メタノール,係数_乗用_LPG),1,1,BE92):INDEX((係数_乗用_ガソリン,係数_乗用_CNG,係数_乗用_軽油,係数_乗用_メタノール,係数_乗用_LPG),125,5,BE92),4,FALSE)))))</f>
        <v/>
      </c>
      <c r="AL92" s="461" t="str">
        <f t="shared" si="50"/>
        <v/>
      </c>
      <c r="AM92" s="460" t="str">
        <f>IF(AU92="","",IF(OR(AZ92=8,AZ92=9),0,IF(OR(AW92=3,AW92=4,AW92=5,AW92=6),IF(LEFT(BH92,1)="1",INDEX(係数_PM低減,MATCH(AY92,【参考】排出係数!$AI$801:$AI$804,1),MATCH(BI92,【参考】排出係数!$AL$798:$AO$798,1)),VLOOKUP(AU92,INDEX((係数_バス貨物_ガソリン,係数_バス貨物_CNG,係数_バス貨物_軽油,係数_バス貨物_メタノール,係数_バス貨物_LPG),MATCH(AY92,【参考】排出係数!$AI$4:$AI$671,1),1,BE92):INDEX((係数_バス貨物_ガソリン,係数_バス貨物_CNG,係数_バス貨物_軽油,係数_バス貨物_メタノール,係数_バス貨物_LPG),MATCH(AY92+1,【参考】排出係数!$AI$4:$AI$671,1)-1,5,BE92),5,FALSE)),IF(AND(BE92=3,LEFT(BF92,1)="1"),0.055,VLOOKUP(AU92,INDEX((係数_乗用_ガソリン,係数_乗用_CNG,係数_乗用_軽油,係数_乗用_メタノール,係数_乗用_LPG),1,1,BE92):INDEX((係数_乗用_ガソリン,係数_乗用_CNG,係数_乗用_軽油,係数_乗用_メタノール,係数_乗用_LPG),125,5,BE92),5,FALSE)))))</f>
        <v/>
      </c>
      <c r="AN92" s="461" t="str">
        <f t="shared" si="51"/>
        <v/>
      </c>
      <c r="AO92" s="462" t="str">
        <f t="shared" si="52"/>
        <v/>
      </c>
      <c r="AP92" s="463" t="str">
        <f t="shared" si="53"/>
        <v/>
      </c>
      <c r="AQ92" s="464"/>
      <c r="AR92" s="619"/>
      <c r="AS92" s="465" t="str">
        <f t="shared" si="28"/>
        <v/>
      </c>
      <c r="AT92" s="465" t="str">
        <f t="shared" si="29"/>
        <v/>
      </c>
      <c r="AU92" s="466" t="str">
        <f t="shared" si="30"/>
        <v/>
      </c>
      <c r="AV92" s="467" t="str">
        <f t="shared" si="31"/>
        <v/>
      </c>
      <c r="AW92" s="467" t="str">
        <f t="shared" si="32"/>
        <v/>
      </c>
      <c r="AX92" s="467" t="str">
        <f t="shared" si="33"/>
        <v/>
      </c>
      <c r="AY92" s="467" t="str">
        <f t="shared" si="34"/>
        <v/>
      </c>
      <c r="AZ92" s="467" t="str">
        <f t="shared" si="35"/>
        <v/>
      </c>
      <c r="BA92" s="468" t="str">
        <f>IF(AS92="","",IF(OR(AU92="",AU92="-"),"－",IF(OR(AZ92=8,AZ92=9),"",IF(OR(AW92=3,AW92=4,AW92=5,AW92=6),VLOOKUP(AU92,INDEX((係数_バス貨物_ガソリン,係数_バス貨物_CNG,係数_バス貨物_軽油,係数_バス貨物_メタノール,係数_バス貨物_LPG),MATCH(AY92,【参考】排出係数!$AI$4:$AI$671,1),1,BE92):INDEX((係数_バス貨物_ガソリン,係数_バス貨物_CNG,係数_バス貨物_軽油,係数_バス貨物_メタノール,係数_バス貨物_LPG),MATCH(AY92+1,【参考】排出係数!$AI$4:$AI$671,1)-1,5,BE92),2,FALSE),IF(OR(AW92=1,AW92=2),VLOOKUP(AU92,INDEX((係数_乗用_ガソリン,係数_乗用_CNG,係数_乗用_軽油,係数_乗用_メタノール,係数_乗用_LPG),1,1,BE92):INDEX((係数_乗用_ガソリン,係数_乗用_CNG,係数_乗用_軽油,係数_乗用_メタノール,係数_乗用_LPG),125,5,BE92),2,FALSE))))))</f>
        <v/>
      </c>
      <c r="BB92" s="468" t="str">
        <f>IF(T92="","",IF(OR(AU92="",AU92="-"),"－",IF(OR(AZ92=8,AZ92=9),"",IF(OR(AW92=3,AW92=4,AW92=5,AW92=6),VLOOKUP(AU92,INDEX((係数_バス貨物_ガソリン,係数_バス貨物_CNG,係数_バス貨物_軽油,係数_バス貨物_メタノール,係数_バス貨物_LPG),MATCH(AY92,【参考】排出係数!$AI$4:$AI$671,1),1,BE92):INDEX((係数_バス貨物_ガソリン,係数_バス貨物_CNG,係数_バス貨物_軽油,係数_バス貨物_メタノール,係数_バス貨物_LPG),MATCH(AY92+1,【参考】排出係数!$AI$4:$AI$671,1)-1,5,BE92),3,FALSE),IF(OR(AW92=1,AW92=2),VLOOKUP(AU92,INDEX((係数_乗用_ガソリン,係数_乗用_CNG,係数_乗用_軽油,係数_乗用_メタノール,係数_乗用_LPG),1,1,BE92):INDEX((係数_乗用_ガソリン,係数_乗用_CNG,係数_乗用_軽油,係数_乗用_メタノール,係数_乗用_LPG),125,5,BE92),3,FALSE))))))</f>
        <v/>
      </c>
      <c r="BC92" s="467" t="str">
        <f t="shared" si="36"/>
        <v/>
      </c>
      <c r="BD92" s="567" t="str">
        <f t="shared" si="37"/>
        <v/>
      </c>
      <c r="BE92" s="467" t="str">
        <f t="shared" si="38"/>
        <v/>
      </c>
      <c r="BF92" s="469" t="str">
        <f t="shared" ca="1" si="39"/>
        <v/>
      </c>
      <c r="BG92" s="469" t="str">
        <f t="shared" ca="1" si="40"/>
        <v/>
      </c>
      <c r="BH92" s="467" t="str">
        <f t="shared" si="41"/>
        <v/>
      </c>
      <c r="BI92" s="467" t="str">
        <f t="shared" ca="1" si="42"/>
        <v/>
      </c>
      <c r="BJ92" s="469" t="str">
        <f t="shared" si="43"/>
        <v/>
      </c>
      <c r="BK92" s="470" t="str">
        <f t="shared" si="22"/>
        <v/>
      </c>
      <c r="BL92" s="775" t="str">
        <f t="shared" si="44"/>
        <v/>
      </c>
      <c r="BM92" s="775" t="str">
        <f t="shared" si="45"/>
        <v/>
      </c>
      <c r="BO92" s="472"/>
    </row>
    <row r="93" spans="1:67" s="471" customFormat="1" ht="13.5" customHeight="1">
      <c r="A93" s="473">
        <v>37</v>
      </c>
      <c r="B93" s="132"/>
      <c r="C93" s="332"/>
      <c r="D93" s="333"/>
      <c r="E93" s="333"/>
      <c r="F93" s="334"/>
      <c r="G93" s="337"/>
      <c r="H93" s="131"/>
      <c r="I93" s="337"/>
      <c r="J93" s="131"/>
      <c r="K93" s="458" t="str">
        <f t="shared" si="0"/>
        <v/>
      </c>
      <c r="L93" s="458">
        <f t="shared" si="23"/>
        <v>0</v>
      </c>
      <c r="M93" s="458">
        <f t="shared" si="24"/>
        <v>0</v>
      </c>
      <c r="N93" s="459" t="str">
        <f t="shared" si="1"/>
        <v/>
      </c>
      <c r="O93" s="459" t="str">
        <f t="shared" si="2"/>
        <v/>
      </c>
      <c r="P93" s="459" t="str">
        <f t="shared" si="3"/>
        <v/>
      </c>
      <c r="Q93" s="459" t="str">
        <f t="shared" si="4"/>
        <v/>
      </c>
      <c r="R93" s="459" t="str">
        <f t="shared" si="5"/>
        <v/>
      </c>
      <c r="S93" s="459" t="str">
        <f t="shared" si="6"/>
        <v/>
      </c>
      <c r="T93" s="566" t="str">
        <f t="shared" si="25"/>
        <v/>
      </c>
      <c r="U93" s="702"/>
      <c r="V93" s="132"/>
      <c r="W93" s="133"/>
      <c r="X93" s="134"/>
      <c r="Y93" s="135"/>
      <c r="Z93" s="137"/>
      <c r="AA93" s="136"/>
      <c r="AB93" s="566" t="str">
        <f t="shared" si="26"/>
        <v/>
      </c>
      <c r="AC93" s="568" t="str">
        <f t="shared" si="27"/>
        <v/>
      </c>
      <c r="AD93" s="137"/>
      <c r="AE93" s="137"/>
      <c r="AF93" s="138"/>
      <c r="AG93" s="138"/>
      <c r="AH93" s="592" t="str">
        <f t="shared" si="7"/>
        <v/>
      </c>
      <c r="AI93" s="592" t="str">
        <f t="shared" si="8"/>
        <v/>
      </c>
      <c r="AJ93" s="592" t="str">
        <f t="shared" si="9"/>
        <v/>
      </c>
      <c r="AK93" s="460" t="str">
        <f>IF(AU93="","",IF(OR(AZ93=8,AZ93=9),0,IF(OR(AW93=3,AW93=4,AW93=5,AW93=6),IF(LEFT(BF93,1)="1",INDEX(係数_NOX・PM低減,MATCH(AY93,【参考】排出係数!$AI$801:$AI$804,1),1),VLOOKUP(AU93,INDEX((係数_バス貨物_ガソリン,係数_バス貨物_CNG,係数_バス貨物_軽油,係数_バス貨物_メタノール,係数_バス貨物_LPG),MATCH(AY93,【参考】排出係数!$AI$4:$AI$671,1),1,BE93):INDEX((係数_バス貨物_ガソリン,係数_バス貨物_CNG,係数_バス貨物_軽油,係数_バス貨物_メタノール,係数_バス貨物_LPG),MATCH(AY93+1,【参考】排出係数!$AI$4:$AI$671,1)-1,5,BE93),4,FALSE)),IF(AND(BE93=3,LEFT(BF93,1)="1"),0.48,VLOOKUP(AU93,INDEX((係数_乗用_ガソリン,係数_乗用_CNG,係数_乗用_軽油,係数_乗用_メタノール,係数_乗用_LPG),1,1,BE93):INDEX((係数_乗用_ガソリン,係数_乗用_CNG,係数_乗用_軽油,係数_乗用_メタノール,係数_乗用_LPG),125,5,BE93),4,FALSE)))))</f>
        <v/>
      </c>
      <c r="AL93" s="461" t="str">
        <f t="shared" si="50"/>
        <v/>
      </c>
      <c r="AM93" s="460" t="str">
        <f>IF(AU93="","",IF(OR(AZ93=8,AZ93=9),0,IF(OR(AW93=3,AW93=4,AW93=5,AW93=6),IF(LEFT(BH93,1)="1",INDEX(係数_PM低減,MATCH(AY93,【参考】排出係数!$AI$801:$AI$804,1),MATCH(BI93,【参考】排出係数!$AL$798:$AO$798,1)),VLOOKUP(AU93,INDEX((係数_バス貨物_ガソリン,係数_バス貨物_CNG,係数_バス貨物_軽油,係数_バス貨物_メタノール,係数_バス貨物_LPG),MATCH(AY93,【参考】排出係数!$AI$4:$AI$671,1),1,BE93):INDEX((係数_バス貨物_ガソリン,係数_バス貨物_CNG,係数_バス貨物_軽油,係数_バス貨物_メタノール,係数_バス貨物_LPG),MATCH(AY93+1,【参考】排出係数!$AI$4:$AI$671,1)-1,5,BE93),5,FALSE)),IF(AND(BE93=3,LEFT(BF93,1)="1"),0.055,VLOOKUP(AU93,INDEX((係数_乗用_ガソリン,係数_乗用_CNG,係数_乗用_軽油,係数_乗用_メタノール,係数_乗用_LPG),1,1,BE93):INDEX((係数_乗用_ガソリン,係数_乗用_CNG,係数_乗用_軽油,係数_乗用_メタノール,係数_乗用_LPG),125,5,BE93),5,FALSE)))))</f>
        <v/>
      </c>
      <c r="AN93" s="461" t="str">
        <f t="shared" si="51"/>
        <v/>
      </c>
      <c r="AO93" s="462" t="str">
        <f t="shared" si="52"/>
        <v/>
      </c>
      <c r="AP93" s="463" t="str">
        <f t="shared" si="53"/>
        <v/>
      </c>
      <c r="AQ93" s="464"/>
      <c r="AR93" s="619"/>
      <c r="AS93" s="465" t="str">
        <f t="shared" si="28"/>
        <v/>
      </c>
      <c r="AT93" s="465" t="str">
        <f t="shared" si="29"/>
        <v/>
      </c>
      <c r="AU93" s="466" t="str">
        <f t="shared" si="30"/>
        <v/>
      </c>
      <c r="AV93" s="467" t="str">
        <f t="shared" si="31"/>
        <v/>
      </c>
      <c r="AW93" s="467" t="str">
        <f t="shared" si="32"/>
        <v/>
      </c>
      <c r="AX93" s="467" t="str">
        <f t="shared" si="33"/>
        <v/>
      </c>
      <c r="AY93" s="467" t="str">
        <f t="shared" si="34"/>
        <v/>
      </c>
      <c r="AZ93" s="467" t="str">
        <f t="shared" si="35"/>
        <v/>
      </c>
      <c r="BA93" s="468" t="str">
        <f>IF(AS93="","",IF(OR(AU93="",AU93="-"),"－",IF(OR(AZ93=8,AZ93=9),"",IF(OR(AW93=3,AW93=4,AW93=5,AW93=6),VLOOKUP(AU93,INDEX((係数_バス貨物_ガソリン,係数_バス貨物_CNG,係数_バス貨物_軽油,係数_バス貨物_メタノール,係数_バス貨物_LPG),MATCH(AY93,【参考】排出係数!$AI$4:$AI$671,1),1,BE93):INDEX((係数_バス貨物_ガソリン,係数_バス貨物_CNG,係数_バス貨物_軽油,係数_バス貨物_メタノール,係数_バス貨物_LPG),MATCH(AY93+1,【参考】排出係数!$AI$4:$AI$671,1)-1,5,BE93),2,FALSE),IF(OR(AW93=1,AW93=2),VLOOKUP(AU93,INDEX((係数_乗用_ガソリン,係数_乗用_CNG,係数_乗用_軽油,係数_乗用_メタノール,係数_乗用_LPG),1,1,BE93):INDEX((係数_乗用_ガソリン,係数_乗用_CNG,係数_乗用_軽油,係数_乗用_メタノール,係数_乗用_LPG),125,5,BE93),2,FALSE))))))</f>
        <v/>
      </c>
      <c r="BB93" s="468" t="str">
        <f>IF(T93="","",IF(OR(AU93="",AU93="-"),"－",IF(OR(AZ93=8,AZ93=9),"",IF(OR(AW93=3,AW93=4,AW93=5,AW93=6),VLOOKUP(AU93,INDEX((係数_バス貨物_ガソリン,係数_バス貨物_CNG,係数_バス貨物_軽油,係数_バス貨物_メタノール,係数_バス貨物_LPG),MATCH(AY93,【参考】排出係数!$AI$4:$AI$671,1),1,BE93):INDEX((係数_バス貨物_ガソリン,係数_バス貨物_CNG,係数_バス貨物_軽油,係数_バス貨物_メタノール,係数_バス貨物_LPG),MATCH(AY93+1,【参考】排出係数!$AI$4:$AI$671,1)-1,5,BE93),3,FALSE),IF(OR(AW93=1,AW93=2),VLOOKUP(AU93,INDEX((係数_乗用_ガソリン,係数_乗用_CNG,係数_乗用_軽油,係数_乗用_メタノール,係数_乗用_LPG),1,1,BE93):INDEX((係数_乗用_ガソリン,係数_乗用_CNG,係数_乗用_軽油,係数_乗用_メタノール,係数_乗用_LPG),125,5,BE93),3,FALSE))))))</f>
        <v/>
      </c>
      <c r="BC93" s="467" t="str">
        <f t="shared" si="36"/>
        <v/>
      </c>
      <c r="BD93" s="567" t="str">
        <f t="shared" si="37"/>
        <v/>
      </c>
      <c r="BE93" s="467" t="str">
        <f t="shared" si="38"/>
        <v/>
      </c>
      <c r="BF93" s="469" t="str">
        <f t="shared" ca="1" si="39"/>
        <v/>
      </c>
      <c r="BG93" s="469" t="str">
        <f t="shared" ca="1" si="40"/>
        <v/>
      </c>
      <c r="BH93" s="467" t="str">
        <f t="shared" si="41"/>
        <v/>
      </c>
      <c r="BI93" s="467" t="str">
        <f t="shared" ca="1" si="42"/>
        <v/>
      </c>
      <c r="BJ93" s="469" t="str">
        <f t="shared" si="43"/>
        <v/>
      </c>
      <c r="BK93" s="470" t="str">
        <f t="shared" si="22"/>
        <v/>
      </c>
      <c r="BL93" s="775" t="str">
        <f t="shared" si="44"/>
        <v/>
      </c>
      <c r="BM93" s="775" t="str">
        <f t="shared" si="45"/>
        <v/>
      </c>
      <c r="BO93" s="472"/>
    </row>
    <row r="94" spans="1:67" s="471" customFormat="1" ht="13.5" customHeight="1">
      <c r="A94" s="473">
        <v>38</v>
      </c>
      <c r="B94" s="132"/>
      <c r="C94" s="332"/>
      <c r="D94" s="333"/>
      <c r="E94" s="333"/>
      <c r="F94" s="334"/>
      <c r="G94" s="337"/>
      <c r="H94" s="131"/>
      <c r="I94" s="337"/>
      <c r="J94" s="131"/>
      <c r="K94" s="458" t="str">
        <f t="shared" si="0"/>
        <v/>
      </c>
      <c r="L94" s="458">
        <f t="shared" si="23"/>
        <v>0</v>
      </c>
      <c r="M94" s="458">
        <f t="shared" si="24"/>
        <v>0</v>
      </c>
      <c r="N94" s="459" t="str">
        <f t="shared" si="1"/>
        <v/>
      </c>
      <c r="O94" s="459" t="str">
        <f t="shared" si="2"/>
        <v/>
      </c>
      <c r="P94" s="459" t="str">
        <f t="shared" si="3"/>
        <v/>
      </c>
      <c r="Q94" s="459" t="str">
        <f t="shared" si="4"/>
        <v/>
      </c>
      <c r="R94" s="459" t="str">
        <f t="shared" si="5"/>
        <v/>
      </c>
      <c r="S94" s="459" t="str">
        <f t="shared" si="6"/>
        <v/>
      </c>
      <c r="T94" s="566" t="str">
        <f t="shared" si="25"/>
        <v/>
      </c>
      <c r="U94" s="702"/>
      <c r="V94" s="132"/>
      <c r="W94" s="133"/>
      <c r="X94" s="134"/>
      <c r="Y94" s="135"/>
      <c r="Z94" s="137"/>
      <c r="AA94" s="136"/>
      <c r="AB94" s="566" t="str">
        <f t="shared" si="26"/>
        <v/>
      </c>
      <c r="AC94" s="568" t="str">
        <f t="shared" si="27"/>
        <v/>
      </c>
      <c r="AD94" s="137"/>
      <c r="AE94" s="137"/>
      <c r="AF94" s="138"/>
      <c r="AG94" s="138"/>
      <c r="AH94" s="592" t="str">
        <f t="shared" si="7"/>
        <v/>
      </c>
      <c r="AI94" s="592" t="str">
        <f t="shared" si="8"/>
        <v/>
      </c>
      <c r="AJ94" s="592" t="str">
        <f t="shared" si="9"/>
        <v/>
      </c>
      <c r="AK94" s="460" t="str">
        <f>IF(AU94="","",IF(OR(AZ94=8,AZ94=9),0,IF(OR(AW94=3,AW94=4,AW94=5,AW94=6),IF(LEFT(BF94,1)="1",INDEX(係数_NOX・PM低減,MATCH(AY94,【参考】排出係数!$AI$801:$AI$804,1),1),VLOOKUP(AU94,INDEX((係数_バス貨物_ガソリン,係数_バス貨物_CNG,係数_バス貨物_軽油,係数_バス貨物_メタノール,係数_バス貨物_LPG),MATCH(AY94,【参考】排出係数!$AI$4:$AI$671,1),1,BE94):INDEX((係数_バス貨物_ガソリン,係数_バス貨物_CNG,係数_バス貨物_軽油,係数_バス貨物_メタノール,係数_バス貨物_LPG),MATCH(AY94+1,【参考】排出係数!$AI$4:$AI$671,1)-1,5,BE94),4,FALSE)),IF(AND(BE94=3,LEFT(BF94,1)="1"),0.48,VLOOKUP(AU94,INDEX((係数_乗用_ガソリン,係数_乗用_CNG,係数_乗用_軽油,係数_乗用_メタノール,係数_乗用_LPG),1,1,BE94):INDEX((係数_乗用_ガソリン,係数_乗用_CNG,係数_乗用_軽油,係数_乗用_メタノール,係数_乗用_LPG),125,5,BE94),4,FALSE)))))</f>
        <v/>
      </c>
      <c r="AL94" s="461" t="str">
        <f t="shared" si="50"/>
        <v/>
      </c>
      <c r="AM94" s="460" t="str">
        <f>IF(AU94="","",IF(OR(AZ94=8,AZ94=9),0,IF(OR(AW94=3,AW94=4,AW94=5,AW94=6),IF(LEFT(BH94,1)="1",INDEX(係数_PM低減,MATCH(AY94,【参考】排出係数!$AI$801:$AI$804,1),MATCH(BI94,【参考】排出係数!$AL$798:$AO$798,1)),VLOOKUP(AU94,INDEX((係数_バス貨物_ガソリン,係数_バス貨物_CNG,係数_バス貨物_軽油,係数_バス貨物_メタノール,係数_バス貨物_LPG),MATCH(AY94,【参考】排出係数!$AI$4:$AI$671,1),1,BE94):INDEX((係数_バス貨物_ガソリン,係数_バス貨物_CNG,係数_バス貨物_軽油,係数_バス貨物_メタノール,係数_バス貨物_LPG),MATCH(AY94+1,【参考】排出係数!$AI$4:$AI$671,1)-1,5,BE94),5,FALSE)),IF(AND(BE94=3,LEFT(BF94,1)="1"),0.055,VLOOKUP(AU94,INDEX((係数_乗用_ガソリン,係数_乗用_CNG,係数_乗用_軽油,係数_乗用_メタノール,係数_乗用_LPG),1,1,BE94):INDEX((係数_乗用_ガソリン,係数_乗用_CNG,係数_乗用_軽油,係数_乗用_メタノール,係数_乗用_LPG),125,5,BE94),5,FALSE)))))</f>
        <v/>
      </c>
      <c r="AN94" s="461" t="str">
        <f t="shared" si="51"/>
        <v/>
      </c>
      <c r="AO94" s="462" t="str">
        <f t="shared" si="52"/>
        <v/>
      </c>
      <c r="AP94" s="463" t="str">
        <f t="shared" si="53"/>
        <v/>
      </c>
      <c r="AQ94" s="464"/>
      <c r="AR94" s="619"/>
      <c r="AS94" s="465" t="str">
        <f t="shared" si="28"/>
        <v/>
      </c>
      <c r="AT94" s="465" t="str">
        <f t="shared" si="29"/>
        <v/>
      </c>
      <c r="AU94" s="466" t="str">
        <f t="shared" si="30"/>
        <v/>
      </c>
      <c r="AV94" s="467" t="str">
        <f t="shared" si="31"/>
        <v/>
      </c>
      <c r="AW94" s="467" t="str">
        <f t="shared" si="32"/>
        <v/>
      </c>
      <c r="AX94" s="467" t="str">
        <f t="shared" si="33"/>
        <v/>
      </c>
      <c r="AY94" s="467" t="str">
        <f t="shared" si="34"/>
        <v/>
      </c>
      <c r="AZ94" s="467" t="str">
        <f t="shared" si="35"/>
        <v/>
      </c>
      <c r="BA94" s="468" t="str">
        <f>IF(AS94="","",IF(OR(AU94="",AU94="-"),"－",IF(OR(AZ94=8,AZ94=9),"",IF(OR(AW94=3,AW94=4,AW94=5,AW94=6),VLOOKUP(AU94,INDEX((係数_バス貨物_ガソリン,係数_バス貨物_CNG,係数_バス貨物_軽油,係数_バス貨物_メタノール,係数_バス貨物_LPG),MATCH(AY94,【参考】排出係数!$AI$4:$AI$671,1),1,BE94):INDEX((係数_バス貨物_ガソリン,係数_バス貨物_CNG,係数_バス貨物_軽油,係数_バス貨物_メタノール,係数_バス貨物_LPG),MATCH(AY94+1,【参考】排出係数!$AI$4:$AI$671,1)-1,5,BE94),2,FALSE),IF(OR(AW94=1,AW94=2),VLOOKUP(AU94,INDEX((係数_乗用_ガソリン,係数_乗用_CNG,係数_乗用_軽油,係数_乗用_メタノール,係数_乗用_LPG),1,1,BE94):INDEX((係数_乗用_ガソリン,係数_乗用_CNG,係数_乗用_軽油,係数_乗用_メタノール,係数_乗用_LPG),125,5,BE94),2,FALSE))))))</f>
        <v/>
      </c>
      <c r="BB94" s="468" t="str">
        <f>IF(T94="","",IF(OR(AU94="",AU94="-"),"－",IF(OR(AZ94=8,AZ94=9),"",IF(OR(AW94=3,AW94=4,AW94=5,AW94=6),VLOOKUP(AU94,INDEX((係数_バス貨物_ガソリン,係数_バス貨物_CNG,係数_バス貨物_軽油,係数_バス貨物_メタノール,係数_バス貨物_LPG),MATCH(AY94,【参考】排出係数!$AI$4:$AI$671,1),1,BE94):INDEX((係数_バス貨物_ガソリン,係数_バス貨物_CNG,係数_バス貨物_軽油,係数_バス貨物_メタノール,係数_バス貨物_LPG),MATCH(AY94+1,【参考】排出係数!$AI$4:$AI$671,1)-1,5,BE94),3,FALSE),IF(OR(AW94=1,AW94=2),VLOOKUP(AU94,INDEX((係数_乗用_ガソリン,係数_乗用_CNG,係数_乗用_軽油,係数_乗用_メタノール,係数_乗用_LPG),1,1,BE94):INDEX((係数_乗用_ガソリン,係数_乗用_CNG,係数_乗用_軽油,係数_乗用_メタノール,係数_乗用_LPG),125,5,BE94),3,FALSE))))))</f>
        <v/>
      </c>
      <c r="BC94" s="467" t="str">
        <f t="shared" si="36"/>
        <v/>
      </c>
      <c r="BD94" s="567" t="str">
        <f t="shared" si="37"/>
        <v/>
      </c>
      <c r="BE94" s="467" t="str">
        <f t="shared" si="38"/>
        <v/>
      </c>
      <c r="BF94" s="469" t="str">
        <f t="shared" ca="1" si="39"/>
        <v/>
      </c>
      <c r="BG94" s="469" t="str">
        <f t="shared" ca="1" si="40"/>
        <v/>
      </c>
      <c r="BH94" s="467" t="str">
        <f t="shared" si="41"/>
        <v/>
      </c>
      <c r="BI94" s="467" t="str">
        <f t="shared" ca="1" si="42"/>
        <v/>
      </c>
      <c r="BJ94" s="469" t="str">
        <f t="shared" si="43"/>
        <v/>
      </c>
      <c r="BK94" s="470" t="str">
        <f t="shared" si="22"/>
        <v/>
      </c>
      <c r="BL94" s="775" t="str">
        <f t="shared" si="44"/>
        <v/>
      </c>
      <c r="BM94" s="775" t="str">
        <f t="shared" si="45"/>
        <v/>
      </c>
      <c r="BO94" s="472"/>
    </row>
    <row r="95" spans="1:67" s="471" customFormat="1" ht="13.5" customHeight="1">
      <c r="A95" s="473">
        <v>39</v>
      </c>
      <c r="B95" s="132"/>
      <c r="C95" s="332"/>
      <c r="D95" s="333"/>
      <c r="E95" s="333"/>
      <c r="F95" s="334"/>
      <c r="G95" s="337"/>
      <c r="H95" s="131"/>
      <c r="I95" s="337"/>
      <c r="J95" s="131"/>
      <c r="K95" s="458" t="str">
        <f t="shared" si="0"/>
        <v/>
      </c>
      <c r="L95" s="458">
        <f t="shared" si="23"/>
        <v>0</v>
      </c>
      <c r="M95" s="458">
        <f t="shared" si="24"/>
        <v>0</v>
      </c>
      <c r="N95" s="459" t="str">
        <f t="shared" si="1"/>
        <v/>
      </c>
      <c r="O95" s="459" t="str">
        <f t="shared" si="2"/>
        <v/>
      </c>
      <c r="P95" s="459" t="str">
        <f t="shared" si="3"/>
        <v/>
      </c>
      <c r="Q95" s="459" t="str">
        <f t="shared" si="4"/>
        <v/>
      </c>
      <c r="R95" s="459" t="str">
        <f t="shared" si="5"/>
        <v/>
      </c>
      <c r="S95" s="459" t="str">
        <f t="shared" si="6"/>
        <v/>
      </c>
      <c r="T95" s="566" t="str">
        <f t="shared" si="25"/>
        <v/>
      </c>
      <c r="U95" s="702"/>
      <c r="V95" s="132"/>
      <c r="W95" s="133"/>
      <c r="X95" s="134"/>
      <c r="Y95" s="135"/>
      <c r="Z95" s="137"/>
      <c r="AA95" s="136"/>
      <c r="AB95" s="566" t="str">
        <f t="shared" si="26"/>
        <v/>
      </c>
      <c r="AC95" s="568" t="str">
        <f t="shared" si="27"/>
        <v/>
      </c>
      <c r="AD95" s="137"/>
      <c r="AE95" s="137"/>
      <c r="AF95" s="138"/>
      <c r="AG95" s="138"/>
      <c r="AH95" s="592" t="str">
        <f t="shared" si="7"/>
        <v/>
      </c>
      <c r="AI95" s="592" t="str">
        <f t="shared" si="8"/>
        <v/>
      </c>
      <c r="AJ95" s="592" t="str">
        <f t="shared" si="9"/>
        <v/>
      </c>
      <c r="AK95" s="460" t="str">
        <f>IF(AU95="","",IF(OR(AZ95=8,AZ95=9),0,IF(OR(AW95=3,AW95=4,AW95=5,AW95=6),IF(LEFT(BF95,1)="1",INDEX(係数_NOX・PM低減,MATCH(AY95,【参考】排出係数!$AI$801:$AI$804,1),1),VLOOKUP(AU95,INDEX((係数_バス貨物_ガソリン,係数_バス貨物_CNG,係数_バス貨物_軽油,係数_バス貨物_メタノール,係数_バス貨物_LPG),MATCH(AY95,【参考】排出係数!$AI$4:$AI$671,1),1,BE95):INDEX((係数_バス貨物_ガソリン,係数_バス貨物_CNG,係数_バス貨物_軽油,係数_バス貨物_メタノール,係数_バス貨物_LPG),MATCH(AY95+1,【参考】排出係数!$AI$4:$AI$671,1)-1,5,BE95),4,FALSE)),IF(AND(BE95=3,LEFT(BF95,1)="1"),0.48,VLOOKUP(AU95,INDEX((係数_乗用_ガソリン,係数_乗用_CNG,係数_乗用_軽油,係数_乗用_メタノール,係数_乗用_LPG),1,1,BE95):INDEX((係数_乗用_ガソリン,係数_乗用_CNG,係数_乗用_軽油,係数_乗用_メタノール,係数_乗用_LPG),125,5,BE95),4,FALSE)))))</f>
        <v/>
      </c>
      <c r="AL95" s="461" t="str">
        <f t="shared" si="50"/>
        <v/>
      </c>
      <c r="AM95" s="460" t="str">
        <f>IF(AU95="","",IF(OR(AZ95=8,AZ95=9),0,IF(OR(AW95=3,AW95=4,AW95=5,AW95=6),IF(LEFT(BH95,1)="1",INDEX(係数_PM低減,MATCH(AY95,【参考】排出係数!$AI$801:$AI$804,1),MATCH(BI95,【参考】排出係数!$AL$798:$AO$798,1)),VLOOKUP(AU95,INDEX((係数_バス貨物_ガソリン,係数_バス貨物_CNG,係数_バス貨物_軽油,係数_バス貨物_メタノール,係数_バス貨物_LPG),MATCH(AY95,【参考】排出係数!$AI$4:$AI$671,1),1,BE95):INDEX((係数_バス貨物_ガソリン,係数_バス貨物_CNG,係数_バス貨物_軽油,係数_バス貨物_メタノール,係数_バス貨物_LPG),MATCH(AY95+1,【参考】排出係数!$AI$4:$AI$671,1)-1,5,BE95),5,FALSE)),IF(AND(BE95=3,LEFT(BF95,1)="1"),0.055,VLOOKUP(AU95,INDEX((係数_乗用_ガソリン,係数_乗用_CNG,係数_乗用_軽油,係数_乗用_メタノール,係数_乗用_LPG),1,1,BE95):INDEX((係数_乗用_ガソリン,係数_乗用_CNG,係数_乗用_軽油,係数_乗用_メタノール,係数_乗用_LPG),125,5,BE95),5,FALSE)))))</f>
        <v/>
      </c>
      <c r="AN95" s="461" t="str">
        <f t="shared" si="51"/>
        <v/>
      </c>
      <c r="AO95" s="462" t="str">
        <f t="shared" si="52"/>
        <v/>
      </c>
      <c r="AP95" s="463" t="str">
        <f t="shared" si="53"/>
        <v/>
      </c>
      <c r="AQ95" s="464"/>
      <c r="AR95" s="619"/>
      <c r="AS95" s="465" t="str">
        <f t="shared" si="28"/>
        <v/>
      </c>
      <c r="AT95" s="465" t="str">
        <f t="shared" si="29"/>
        <v/>
      </c>
      <c r="AU95" s="466" t="str">
        <f t="shared" si="30"/>
        <v/>
      </c>
      <c r="AV95" s="467" t="str">
        <f t="shared" si="31"/>
        <v/>
      </c>
      <c r="AW95" s="467" t="str">
        <f t="shared" si="32"/>
        <v/>
      </c>
      <c r="AX95" s="467" t="str">
        <f t="shared" si="33"/>
        <v/>
      </c>
      <c r="AY95" s="467" t="str">
        <f t="shared" si="34"/>
        <v/>
      </c>
      <c r="AZ95" s="467" t="str">
        <f t="shared" si="35"/>
        <v/>
      </c>
      <c r="BA95" s="468" t="str">
        <f>IF(AS95="","",IF(OR(AU95="",AU95="-"),"－",IF(OR(AZ95=8,AZ95=9),"",IF(OR(AW95=3,AW95=4,AW95=5,AW95=6),VLOOKUP(AU95,INDEX((係数_バス貨物_ガソリン,係数_バス貨物_CNG,係数_バス貨物_軽油,係数_バス貨物_メタノール,係数_バス貨物_LPG),MATCH(AY95,【参考】排出係数!$AI$4:$AI$671,1),1,BE95):INDEX((係数_バス貨物_ガソリン,係数_バス貨物_CNG,係数_バス貨物_軽油,係数_バス貨物_メタノール,係数_バス貨物_LPG),MATCH(AY95+1,【参考】排出係数!$AI$4:$AI$671,1)-1,5,BE95),2,FALSE),IF(OR(AW95=1,AW95=2),VLOOKUP(AU95,INDEX((係数_乗用_ガソリン,係数_乗用_CNG,係数_乗用_軽油,係数_乗用_メタノール,係数_乗用_LPG),1,1,BE95):INDEX((係数_乗用_ガソリン,係数_乗用_CNG,係数_乗用_軽油,係数_乗用_メタノール,係数_乗用_LPG),125,5,BE95),2,FALSE))))))</f>
        <v/>
      </c>
      <c r="BB95" s="468" t="str">
        <f>IF(T95="","",IF(OR(AU95="",AU95="-"),"－",IF(OR(AZ95=8,AZ95=9),"",IF(OR(AW95=3,AW95=4,AW95=5,AW95=6),VLOOKUP(AU95,INDEX((係数_バス貨物_ガソリン,係数_バス貨物_CNG,係数_バス貨物_軽油,係数_バス貨物_メタノール,係数_バス貨物_LPG),MATCH(AY95,【参考】排出係数!$AI$4:$AI$671,1),1,BE95):INDEX((係数_バス貨物_ガソリン,係数_バス貨物_CNG,係数_バス貨物_軽油,係数_バス貨物_メタノール,係数_バス貨物_LPG),MATCH(AY95+1,【参考】排出係数!$AI$4:$AI$671,1)-1,5,BE95),3,FALSE),IF(OR(AW95=1,AW95=2),VLOOKUP(AU95,INDEX((係数_乗用_ガソリン,係数_乗用_CNG,係数_乗用_軽油,係数_乗用_メタノール,係数_乗用_LPG),1,1,BE95):INDEX((係数_乗用_ガソリン,係数_乗用_CNG,係数_乗用_軽油,係数_乗用_メタノール,係数_乗用_LPG),125,5,BE95),3,FALSE))))))</f>
        <v/>
      </c>
      <c r="BC95" s="467" t="str">
        <f t="shared" si="36"/>
        <v/>
      </c>
      <c r="BD95" s="567" t="str">
        <f t="shared" si="37"/>
        <v/>
      </c>
      <c r="BE95" s="467" t="str">
        <f t="shared" si="38"/>
        <v/>
      </c>
      <c r="BF95" s="469" t="str">
        <f t="shared" ca="1" si="39"/>
        <v/>
      </c>
      <c r="BG95" s="469" t="str">
        <f t="shared" ca="1" si="40"/>
        <v/>
      </c>
      <c r="BH95" s="467" t="str">
        <f t="shared" si="41"/>
        <v/>
      </c>
      <c r="BI95" s="467" t="str">
        <f t="shared" ca="1" si="42"/>
        <v/>
      </c>
      <c r="BJ95" s="469" t="str">
        <f t="shared" si="43"/>
        <v/>
      </c>
      <c r="BK95" s="470" t="str">
        <f t="shared" si="22"/>
        <v/>
      </c>
      <c r="BL95" s="775" t="str">
        <f t="shared" si="44"/>
        <v/>
      </c>
      <c r="BM95" s="775" t="str">
        <f t="shared" si="45"/>
        <v/>
      </c>
      <c r="BO95" s="472"/>
    </row>
    <row r="96" spans="1:67" s="471" customFormat="1" ht="13.5" customHeight="1">
      <c r="A96" s="473">
        <v>40</v>
      </c>
      <c r="B96" s="132"/>
      <c r="C96" s="332"/>
      <c r="D96" s="333"/>
      <c r="E96" s="333"/>
      <c r="F96" s="334"/>
      <c r="G96" s="337"/>
      <c r="H96" s="131"/>
      <c r="I96" s="337"/>
      <c r="J96" s="131"/>
      <c r="K96" s="458" t="str">
        <f t="shared" si="0"/>
        <v/>
      </c>
      <c r="L96" s="458">
        <f t="shared" si="23"/>
        <v>0</v>
      </c>
      <c r="M96" s="458">
        <f t="shared" si="24"/>
        <v>0</v>
      </c>
      <c r="N96" s="459" t="str">
        <f t="shared" si="1"/>
        <v/>
      </c>
      <c r="O96" s="459" t="str">
        <f t="shared" si="2"/>
        <v/>
      </c>
      <c r="P96" s="459" t="str">
        <f t="shared" si="3"/>
        <v/>
      </c>
      <c r="Q96" s="459" t="str">
        <f t="shared" si="4"/>
        <v/>
      </c>
      <c r="R96" s="459" t="str">
        <f t="shared" si="5"/>
        <v/>
      </c>
      <c r="S96" s="459" t="str">
        <f t="shared" si="6"/>
        <v/>
      </c>
      <c r="T96" s="566" t="str">
        <f t="shared" si="25"/>
        <v/>
      </c>
      <c r="U96" s="702"/>
      <c r="V96" s="132"/>
      <c r="W96" s="133"/>
      <c r="X96" s="134"/>
      <c r="Y96" s="135"/>
      <c r="Z96" s="137"/>
      <c r="AA96" s="136"/>
      <c r="AB96" s="566" t="str">
        <f t="shared" si="26"/>
        <v/>
      </c>
      <c r="AC96" s="568" t="str">
        <f t="shared" si="27"/>
        <v/>
      </c>
      <c r="AD96" s="137"/>
      <c r="AE96" s="137"/>
      <c r="AF96" s="138"/>
      <c r="AG96" s="138"/>
      <c r="AH96" s="592" t="str">
        <f t="shared" si="7"/>
        <v/>
      </c>
      <c r="AI96" s="592" t="str">
        <f t="shared" si="8"/>
        <v/>
      </c>
      <c r="AJ96" s="592" t="str">
        <f t="shared" si="9"/>
        <v/>
      </c>
      <c r="AK96" s="460" t="str">
        <f>IF(AU96="","",IF(OR(AZ96=8,AZ96=9),0,IF(OR(AW96=3,AW96=4,AW96=5,AW96=6),IF(LEFT(BF96,1)="1",INDEX(係数_NOX・PM低減,MATCH(AY96,【参考】排出係数!$AI$801:$AI$804,1),1),VLOOKUP(AU96,INDEX((係数_バス貨物_ガソリン,係数_バス貨物_CNG,係数_バス貨物_軽油,係数_バス貨物_メタノール,係数_バス貨物_LPG),MATCH(AY96,【参考】排出係数!$AI$4:$AI$671,1),1,BE96):INDEX((係数_バス貨物_ガソリン,係数_バス貨物_CNG,係数_バス貨物_軽油,係数_バス貨物_メタノール,係数_バス貨物_LPG),MATCH(AY96+1,【参考】排出係数!$AI$4:$AI$671,1)-1,5,BE96),4,FALSE)),IF(AND(BE96=3,LEFT(BF96,1)="1"),0.48,VLOOKUP(AU96,INDEX((係数_乗用_ガソリン,係数_乗用_CNG,係数_乗用_軽油,係数_乗用_メタノール,係数_乗用_LPG),1,1,BE96):INDEX((係数_乗用_ガソリン,係数_乗用_CNG,係数_乗用_軽油,係数_乗用_メタノール,係数_乗用_LPG),125,5,BE96),4,FALSE)))))</f>
        <v/>
      </c>
      <c r="AL96" s="461" t="str">
        <f t="shared" si="50"/>
        <v/>
      </c>
      <c r="AM96" s="460" t="str">
        <f>IF(AU96="","",IF(OR(AZ96=8,AZ96=9),0,IF(OR(AW96=3,AW96=4,AW96=5,AW96=6),IF(LEFT(BH96,1)="1",INDEX(係数_PM低減,MATCH(AY96,【参考】排出係数!$AI$801:$AI$804,1),MATCH(BI96,【参考】排出係数!$AL$798:$AO$798,1)),VLOOKUP(AU96,INDEX((係数_バス貨物_ガソリン,係数_バス貨物_CNG,係数_バス貨物_軽油,係数_バス貨物_メタノール,係数_バス貨物_LPG),MATCH(AY96,【参考】排出係数!$AI$4:$AI$671,1),1,BE96):INDEX((係数_バス貨物_ガソリン,係数_バス貨物_CNG,係数_バス貨物_軽油,係数_バス貨物_メタノール,係数_バス貨物_LPG),MATCH(AY96+1,【参考】排出係数!$AI$4:$AI$671,1)-1,5,BE96),5,FALSE)),IF(AND(BE96=3,LEFT(BF96,1)="1"),0.055,VLOOKUP(AU96,INDEX((係数_乗用_ガソリン,係数_乗用_CNG,係数_乗用_軽油,係数_乗用_メタノール,係数_乗用_LPG),1,1,BE96):INDEX((係数_乗用_ガソリン,係数_乗用_CNG,係数_乗用_軽油,係数_乗用_メタノール,係数_乗用_LPG),125,5,BE96),5,FALSE)))))</f>
        <v/>
      </c>
      <c r="AN96" s="461" t="str">
        <f t="shared" si="51"/>
        <v/>
      </c>
      <c r="AO96" s="462" t="str">
        <f t="shared" si="52"/>
        <v/>
      </c>
      <c r="AP96" s="463" t="str">
        <f t="shared" si="53"/>
        <v/>
      </c>
      <c r="AQ96" s="464"/>
      <c r="AR96" s="619"/>
      <c r="AS96" s="465" t="str">
        <f t="shared" si="28"/>
        <v/>
      </c>
      <c r="AT96" s="465" t="str">
        <f t="shared" si="29"/>
        <v/>
      </c>
      <c r="AU96" s="466" t="str">
        <f t="shared" si="30"/>
        <v/>
      </c>
      <c r="AV96" s="467" t="str">
        <f t="shared" si="31"/>
        <v/>
      </c>
      <c r="AW96" s="467" t="str">
        <f t="shared" si="32"/>
        <v/>
      </c>
      <c r="AX96" s="467" t="str">
        <f t="shared" si="33"/>
        <v/>
      </c>
      <c r="AY96" s="467" t="str">
        <f t="shared" si="34"/>
        <v/>
      </c>
      <c r="AZ96" s="467" t="str">
        <f t="shared" si="35"/>
        <v/>
      </c>
      <c r="BA96" s="468" t="str">
        <f>IF(AS96="","",IF(OR(AU96="",AU96="-"),"－",IF(OR(AZ96=8,AZ96=9),"",IF(OR(AW96=3,AW96=4,AW96=5,AW96=6),VLOOKUP(AU96,INDEX((係数_バス貨物_ガソリン,係数_バス貨物_CNG,係数_バス貨物_軽油,係数_バス貨物_メタノール,係数_バス貨物_LPG),MATCH(AY96,【参考】排出係数!$AI$4:$AI$671,1),1,BE96):INDEX((係数_バス貨物_ガソリン,係数_バス貨物_CNG,係数_バス貨物_軽油,係数_バス貨物_メタノール,係数_バス貨物_LPG),MATCH(AY96+1,【参考】排出係数!$AI$4:$AI$671,1)-1,5,BE96),2,FALSE),IF(OR(AW96=1,AW96=2),VLOOKUP(AU96,INDEX((係数_乗用_ガソリン,係数_乗用_CNG,係数_乗用_軽油,係数_乗用_メタノール,係数_乗用_LPG),1,1,BE96):INDEX((係数_乗用_ガソリン,係数_乗用_CNG,係数_乗用_軽油,係数_乗用_メタノール,係数_乗用_LPG),125,5,BE96),2,FALSE))))))</f>
        <v/>
      </c>
      <c r="BB96" s="468" t="str">
        <f>IF(T96="","",IF(OR(AU96="",AU96="-"),"－",IF(OR(AZ96=8,AZ96=9),"",IF(OR(AW96=3,AW96=4,AW96=5,AW96=6),VLOOKUP(AU96,INDEX((係数_バス貨物_ガソリン,係数_バス貨物_CNG,係数_バス貨物_軽油,係数_バス貨物_メタノール,係数_バス貨物_LPG),MATCH(AY96,【参考】排出係数!$AI$4:$AI$671,1),1,BE96):INDEX((係数_バス貨物_ガソリン,係数_バス貨物_CNG,係数_バス貨物_軽油,係数_バス貨物_メタノール,係数_バス貨物_LPG),MATCH(AY96+1,【参考】排出係数!$AI$4:$AI$671,1)-1,5,BE96),3,FALSE),IF(OR(AW96=1,AW96=2),VLOOKUP(AU96,INDEX((係数_乗用_ガソリン,係数_乗用_CNG,係数_乗用_軽油,係数_乗用_メタノール,係数_乗用_LPG),1,1,BE96):INDEX((係数_乗用_ガソリン,係数_乗用_CNG,係数_乗用_軽油,係数_乗用_メタノール,係数_乗用_LPG),125,5,BE96),3,FALSE))))))</f>
        <v/>
      </c>
      <c r="BC96" s="467" t="str">
        <f t="shared" si="36"/>
        <v/>
      </c>
      <c r="BD96" s="567" t="str">
        <f t="shared" si="37"/>
        <v/>
      </c>
      <c r="BE96" s="467" t="str">
        <f t="shared" si="38"/>
        <v/>
      </c>
      <c r="BF96" s="469" t="str">
        <f t="shared" ca="1" si="39"/>
        <v/>
      </c>
      <c r="BG96" s="469" t="str">
        <f t="shared" ca="1" si="40"/>
        <v/>
      </c>
      <c r="BH96" s="467" t="str">
        <f t="shared" si="41"/>
        <v/>
      </c>
      <c r="BI96" s="467" t="str">
        <f t="shared" ca="1" si="42"/>
        <v/>
      </c>
      <c r="BJ96" s="469" t="str">
        <f t="shared" si="43"/>
        <v/>
      </c>
      <c r="BK96" s="470" t="str">
        <f t="shared" si="22"/>
        <v/>
      </c>
      <c r="BL96" s="775" t="str">
        <f t="shared" si="44"/>
        <v/>
      </c>
      <c r="BM96" s="775" t="str">
        <f t="shared" si="45"/>
        <v/>
      </c>
      <c r="BO96" s="472"/>
    </row>
    <row r="97" spans="1:67" s="471" customFormat="1" ht="13.5" customHeight="1">
      <c r="A97" s="473">
        <v>41</v>
      </c>
      <c r="B97" s="132"/>
      <c r="C97" s="332"/>
      <c r="D97" s="333"/>
      <c r="E97" s="333"/>
      <c r="F97" s="334"/>
      <c r="G97" s="337"/>
      <c r="H97" s="131"/>
      <c r="I97" s="337"/>
      <c r="J97" s="131"/>
      <c r="K97" s="458" t="str">
        <f t="shared" si="0"/>
        <v/>
      </c>
      <c r="L97" s="458">
        <f t="shared" si="23"/>
        <v>0</v>
      </c>
      <c r="M97" s="458">
        <f t="shared" si="24"/>
        <v>0</v>
      </c>
      <c r="N97" s="459" t="str">
        <f t="shared" si="1"/>
        <v/>
      </c>
      <c r="O97" s="459" t="str">
        <f t="shared" si="2"/>
        <v/>
      </c>
      <c r="P97" s="459" t="str">
        <f t="shared" si="3"/>
        <v/>
      </c>
      <c r="Q97" s="459" t="str">
        <f t="shared" si="4"/>
        <v/>
      </c>
      <c r="R97" s="459" t="str">
        <f t="shared" si="5"/>
        <v/>
      </c>
      <c r="S97" s="459" t="str">
        <f t="shared" si="6"/>
        <v/>
      </c>
      <c r="T97" s="566" t="str">
        <f t="shared" si="25"/>
        <v/>
      </c>
      <c r="U97" s="702"/>
      <c r="V97" s="132"/>
      <c r="W97" s="133"/>
      <c r="X97" s="134"/>
      <c r="Y97" s="135"/>
      <c r="Z97" s="137"/>
      <c r="AA97" s="136"/>
      <c r="AB97" s="566" t="str">
        <f t="shared" si="26"/>
        <v/>
      </c>
      <c r="AC97" s="568" t="str">
        <f t="shared" si="27"/>
        <v/>
      </c>
      <c r="AD97" s="137"/>
      <c r="AE97" s="137"/>
      <c r="AF97" s="138"/>
      <c r="AG97" s="138"/>
      <c r="AH97" s="592" t="str">
        <f t="shared" si="7"/>
        <v/>
      </c>
      <c r="AI97" s="592" t="str">
        <f t="shared" si="8"/>
        <v/>
      </c>
      <c r="AJ97" s="592" t="str">
        <f t="shared" si="9"/>
        <v/>
      </c>
      <c r="AK97" s="460" t="str">
        <f>IF(AU97="","",IF(OR(AZ97=8,AZ97=9),0,IF(OR(AW97=3,AW97=4,AW97=5,AW97=6),IF(LEFT(BF97,1)="1",INDEX(係数_NOX・PM低減,MATCH(AY97,【参考】排出係数!$AI$801:$AI$804,1),1),VLOOKUP(AU97,INDEX((係数_バス貨物_ガソリン,係数_バス貨物_CNG,係数_バス貨物_軽油,係数_バス貨物_メタノール,係数_バス貨物_LPG),MATCH(AY97,【参考】排出係数!$AI$4:$AI$671,1),1,BE97):INDEX((係数_バス貨物_ガソリン,係数_バス貨物_CNG,係数_バス貨物_軽油,係数_バス貨物_メタノール,係数_バス貨物_LPG),MATCH(AY97+1,【参考】排出係数!$AI$4:$AI$671,1)-1,5,BE97),4,FALSE)),IF(AND(BE97=3,LEFT(BF97,1)="1"),0.48,VLOOKUP(AU97,INDEX((係数_乗用_ガソリン,係数_乗用_CNG,係数_乗用_軽油,係数_乗用_メタノール,係数_乗用_LPG),1,1,BE97):INDEX((係数_乗用_ガソリン,係数_乗用_CNG,係数_乗用_軽油,係数_乗用_メタノール,係数_乗用_LPG),125,5,BE97),4,FALSE)))))</f>
        <v/>
      </c>
      <c r="AL97" s="461" t="str">
        <f t="shared" si="50"/>
        <v/>
      </c>
      <c r="AM97" s="460" t="str">
        <f>IF(AU97="","",IF(OR(AZ97=8,AZ97=9),0,IF(OR(AW97=3,AW97=4,AW97=5,AW97=6),IF(LEFT(BH97,1)="1",INDEX(係数_PM低減,MATCH(AY97,【参考】排出係数!$AI$801:$AI$804,1),MATCH(BI97,【参考】排出係数!$AL$798:$AO$798,1)),VLOOKUP(AU97,INDEX((係数_バス貨物_ガソリン,係数_バス貨物_CNG,係数_バス貨物_軽油,係数_バス貨物_メタノール,係数_バス貨物_LPG),MATCH(AY97,【参考】排出係数!$AI$4:$AI$671,1),1,BE97):INDEX((係数_バス貨物_ガソリン,係数_バス貨物_CNG,係数_バス貨物_軽油,係数_バス貨物_メタノール,係数_バス貨物_LPG),MATCH(AY97+1,【参考】排出係数!$AI$4:$AI$671,1)-1,5,BE97),5,FALSE)),IF(AND(BE97=3,LEFT(BF97,1)="1"),0.055,VLOOKUP(AU97,INDEX((係数_乗用_ガソリン,係数_乗用_CNG,係数_乗用_軽油,係数_乗用_メタノール,係数_乗用_LPG),1,1,BE97):INDEX((係数_乗用_ガソリン,係数_乗用_CNG,係数_乗用_軽油,係数_乗用_メタノール,係数_乗用_LPG),125,5,BE97),5,FALSE)))))</f>
        <v/>
      </c>
      <c r="AN97" s="461" t="str">
        <f t="shared" si="51"/>
        <v/>
      </c>
      <c r="AO97" s="462" t="str">
        <f t="shared" si="52"/>
        <v/>
      </c>
      <c r="AP97" s="463" t="str">
        <f t="shared" si="53"/>
        <v/>
      </c>
      <c r="AQ97" s="464"/>
      <c r="AR97" s="619"/>
      <c r="AS97" s="465" t="str">
        <f t="shared" si="28"/>
        <v/>
      </c>
      <c r="AT97" s="465" t="str">
        <f t="shared" si="29"/>
        <v/>
      </c>
      <c r="AU97" s="466" t="str">
        <f t="shared" si="30"/>
        <v/>
      </c>
      <c r="AV97" s="467" t="str">
        <f t="shared" si="31"/>
        <v/>
      </c>
      <c r="AW97" s="467" t="str">
        <f t="shared" si="32"/>
        <v/>
      </c>
      <c r="AX97" s="467" t="str">
        <f t="shared" si="33"/>
        <v/>
      </c>
      <c r="AY97" s="467" t="str">
        <f t="shared" si="34"/>
        <v/>
      </c>
      <c r="AZ97" s="467" t="str">
        <f t="shared" si="35"/>
        <v/>
      </c>
      <c r="BA97" s="468" t="str">
        <f>IF(AS97="","",IF(OR(AU97="",AU97="-"),"－",IF(OR(AZ97=8,AZ97=9),"",IF(OR(AW97=3,AW97=4,AW97=5,AW97=6),VLOOKUP(AU97,INDEX((係数_バス貨物_ガソリン,係数_バス貨物_CNG,係数_バス貨物_軽油,係数_バス貨物_メタノール,係数_バス貨物_LPG),MATCH(AY97,【参考】排出係数!$AI$4:$AI$671,1),1,BE97):INDEX((係数_バス貨物_ガソリン,係数_バス貨物_CNG,係数_バス貨物_軽油,係数_バス貨物_メタノール,係数_バス貨物_LPG),MATCH(AY97+1,【参考】排出係数!$AI$4:$AI$671,1)-1,5,BE97),2,FALSE),IF(OR(AW97=1,AW97=2),VLOOKUP(AU97,INDEX((係数_乗用_ガソリン,係数_乗用_CNG,係数_乗用_軽油,係数_乗用_メタノール,係数_乗用_LPG),1,1,BE97):INDEX((係数_乗用_ガソリン,係数_乗用_CNG,係数_乗用_軽油,係数_乗用_メタノール,係数_乗用_LPG),125,5,BE97),2,FALSE))))))</f>
        <v/>
      </c>
      <c r="BB97" s="468" t="str">
        <f>IF(T97="","",IF(OR(AU97="",AU97="-"),"－",IF(OR(AZ97=8,AZ97=9),"",IF(OR(AW97=3,AW97=4,AW97=5,AW97=6),VLOOKUP(AU97,INDEX((係数_バス貨物_ガソリン,係数_バス貨物_CNG,係数_バス貨物_軽油,係数_バス貨物_メタノール,係数_バス貨物_LPG),MATCH(AY97,【参考】排出係数!$AI$4:$AI$671,1),1,BE97):INDEX((係数_バス貨物_ガソリン,係数_バス貨物_CNG,係数_バス貨物_軽油,係数_バス貨物_メタノール,係数_バス貨物_LPG),MATCH(AY97+1,【参考】排出係数!$AI$4:$AI$671,1)-1,5,BE97),3,FALSE),IF(OR(AW97=1,AW97=2),VLOOKUP(AU97,INDEX((係数_乗用_ガソリン,係数_乗用_CNG,係数_乗用_軽油,係数_乗用_メタノール,係数_乗用_LPG),1,1,BE97):INDEX((係数_乗用_ガソリン,係数_乗用_CNG,係数_乗用_軽油,係数_乗用_メタノール,係数_乗用_LPG),125,5,BE97),3,FALSE))))))</f>
        <v/>
      </c>
      <c r="BC97" s="467" t="str">
        <f t="shared" si="36"/>
        <v/>
      </c>
      <c r="BD97" s="567" t="str">
        <f t="shared" si="37"/>
        <v/>
      </c>
      <c r="BE97" s="467" t="str">
        <f t="shared" si="38"/>
        <v/>
      </c>
      <c r="BF97" s="469" t="str">
        <f t="shared" ca="1" si="39"/>
        <v/>
      </c>
      <c r="BG97" s="469" t="str">
        <f t="shared" ca="1" si="40"/>
        <v/>
      </c>
      <c r="BH97" s="467" t="str">
        <f t="shared" si="41"/>
        <v/>
      </c>
      <c r="BI97" s="467" t="str">
        <f t="shared" ca="1" si="42"/>
        <v/>
      </c>
      <c r="BJ97" s="469" t="str">
        <f t="shared" si="43"/>
        <v/>
      </c>
      <c r="BK97" s="470" t="str">
        <f t="shared" si="22"/>
        <v/>
      </c>
      <c r="BL97" s="775" t="str">
        <f t="shared" si="44"/>
        <v/>
      </c>
      <c r="BM97" s="775" t="str">
        <f t="shared" si="45"/>
        <v/>
      </c>
      <c r="BO97" s="472"/>
    </row>
    <row r="98" spans="1:67" s="471" customFormat="1" ht="13.5" customHeight="1">
      <c r="A98" s="473">
        <v>42</v>
      </c>
      <c r="B98" s="132"/>
      <c r="C98" s="332"/>
      <c r="D98" s="333"/>
      <c r="E98" s="333"/>
      <c r="F98" s="334"/>
      <c r="G98" s="337"/>
      <c r="H98" s="131"/>
      <c r="I98" s="337"/>
      <c r="J98" s="131"/>
      <c r="K98" s="458" t="str">
        <f t="shared" si="0"/>
        <v/>
      </c>
      <c r="L98" s="458">
        <f t="shared" si="23"/>
        <v>0</v>
      </c>
      <c r="M98" s="458">
        <f t="shared" si="24"/>
        <v>0</v>
      </c>
      <c r="N98" s="459" t="str">
        <f t="shared" si="1"/>
        <v/>
      </c>
      <c r="O98" s="459" t="str">
        <f t="shared" si="2"/>
        <v/>
      </c>
      <c r="P98" s="459" t="str">
        <f t="shared" si="3"/>
        <v/>
      </c>
      <c r="Q98" s="459" t="str">
        <f t="shared" si="4"/>
        <v/>
      </c>
      <c r="R98" s="459" t="str">
        <f t="shared" si="5"/>
        <v/>
      </c>
      <c r="S98" s="459" t="str">
        <f t="shared" si="6"/>
        <v/>
      </c>
      <c r="T98" s="566" t="str">
        <f t="shared" si="25"/>
        <v/>
      </c>
      <c r="U98" s="702"/>
      <c r="V98" s="132"/>
      <c r="W98" s="133"/>
      <c r="X98" s="134"/>
      <c r="Y98" s="135"/>
      <c r="Z98" s="137"/>
      <c r="AA98" s="136"/>
      <c r="AB98" s="566" t="str">
        <f t="shared" si="26"/>
        <v/>
      </c>
      <c r="AC98" s="568" t="str">
        <f t="shared" si="27"/>
        <v/>
      </c>
      <c r="AD98" s="137"/>
      <c r="AE98" s="137"/>
      <c r="AF98" s="138"/>
      <c r="AG98" s="138"/>
      <c r="AH98" s="592" t="str">
        <f t="shared" si="7"/>
        <v/>
      </c>
      <c r="AI98" s="592" t="str">
        <f t="shared" si="8"/>
        <v/>
      </c>
      <c r="AJ98" s="592" t="str">
        <f t="shared" si="9"/>
        <v/>
      </c>
      <c r="AK98" s="460" t="str">
        <f>IF(AU98="","",IF(OR(AZ98=8,AZ98=9),0,IF(OR(AW98=3,AW98=4,AW98=5,AW98=6),IF(LEFT(BF98,1)="1",INDEX(係数_NOX・PM低減,MATCH(AY98,【参考】排出係数!$AI$801:$AI$804,1),1),VLOOKUP(AU98,INDEX((係数_バス貨物_ガソリン,係数_バス貨物_CNG,係数_バス貨物_軽油,係数_バス貨物_メタノール,係数_バス貨物_LPG),MATCH(AY98,【参考】排出係数!$AI$4:$AI$671,1),1,BE98):INDEX((係数_バス貨物_ガソリン,係数_バス貨物_CNG,係数_バス貨物_軽油,係数_バス貨物_メタノール,係数_バス貨物_LPG),MATCH(AY98+1,【参考】排出係数!$AI$4:$AI$671,1)-1,5,BE98),4,FALSE)),IF(AND(BE98=3,LEFT(BF98,1)="1"),0.48,VLOOKUP(AU98,INDEX((係数_乗用_ガソリン,係数_乗用_CNG,係数_乗用_軽油,係数_乗用_メタノール,係数_乗用_LPG),1,1,BE98):INDEX((係数_乗用_ガソリン,係数_乗用_CNG,係数_乗用_軽油,係数_乗用_メタノール,係数_乗用_LPG),125,5,BE98),4,FALSE)))))</f>
        <v/>
      </c>
      <c r="AL98" s="461" t="str">
        <f t="shared" si="50"/>
        <v/>
      </c>
      <c r="AM98" s="460" t="str">
        <f>IF(AU98="","",IF(OR(AZ98=8,AZ98=9),0,IF(OR(AW98=3,AW98=4,AW98=5,AW98=6),IF(LEFT(BH98,1)="1",INDEX(係数_PM低減,MATCH(AY98,【参考】排出係数!$AI$801:$AI$804,1),MATCH(BI98,【参考】排出係数!$AL$798:$AO$798,1)),VLOOKUP(AU98,INDEX((係数_バス貨物_ガソリン,係数_バス貨物_CNG,係数_バス貨物_軽油,係数_バス貨物_メタノール,係数_バス貨物_LPG),MATCH(AY98,【参考】排出係数!$AI$4:$AI$671,1),1,BE98):INDEX((係数_バス貨物_ガソリン,係数_バス貨物_CNG,係数_バス貨物_軽油,係数_バス貨物_メタノール,係数_バス貨物_LPG),MATCH(AY98+1,【参考】排出係数!$AI$4:$AI$671,1)-1,5,BE98),5,FALSE)),IF(AND(BE98=3,LEFT(BF98,1)="1"),0.055,VLOOKUP(AU98,INDEX((係数_乗用_ガソリン,係数_乗用_CNG,係数_乗用_軽油,係数_乗用_メタノール,係数_乗用_LPG),1,1,BE98):INDEX((係数_乗用_ガソリン,係数_乗用_CNG,係数_乗用_軽油,係数_乗用_メタノール,係数_乗用_LPG),125,5,BE98),5,FALSE)))))</f>
        <v/>
      </c>
      <c r="AN98" s="461" t="str">
        <f t="shared" si="51"/>
        <v/>
      </c>
      <c r="AO98" s="462" t="str">
        <f t="shared" si="52"/>
        <v/>
      </c>
      <c r="AP98" s="463" t="str">
        <f t="shared" si="53"/>
        <v/>
      </c>
      <c r="AQ98" s="464"/>
      <c r="AR98" s="619"/>
      <c r="AS98" s="465" t="str">
        <f t="shared" si="28"/>
        <v/>
      </c>
      <c r="AT98" s="465" t="str">
        <f t="shared" si="29"/>
        <v/>
      </c>
      <c r="AU98" s="466" t="str">
        <f t="shared" si="30"/>
        <v/>
      </c>
      <c r="AV98" s="467" t="str">
        <f t="shared" si="31"/>
        <v/>
      </c>
      <c r="AW98" s="467" t="str">
        <f t="shared" si="32"/>
        <v/>
      </c>
      <c r="AX98" s="467" t="str">
        <f t="shared" si="33"/>
        <v/>
      </c>
      <c r="AY98" s="467" t="str">
        <f t="shared" si="34"/>
        <v/>
      </c>
      <c r="AZ98" s="467" t="str">
        <f t="shared" si="35"/>
        <v/>
      </c>
      <c r="BA98" s="468" t="str">
        <f>IF(AS98="","",IF(OR(AU98="",AU98="-"),"－",IF(OR(AZ98=8,AZ98=9),"",IF(OR(AW98=3,AW98=4,AW98=5,AW98=6),VLOOKUP(AU98,INDEX((係数_バス貨物_ガソリン,係数_バス貨物_CNG,係数_バス貨物_軽油,係数_バス貨物_メタノール,係数_バス貨物_LPG),MATCH(AY98,【参考】排出係数!$AI$4:$AI$671,1),1,BE98):INDEX((係数_バス貨物_ガソリン,係数_バス貨物_CNG,係数_バス貨物_軽油,係数_バス貨物_メタノール,係数_バス貨物_LPG),MATCH(AY98+1,【参考】排出係数!$AI$4:$AI$671,1)-1,5,BE98),2,FALSE),IF(OR(AW98=1,AW98=2),VLOOKUP(AU98,INDEX((係数_乗用_ガソリン,係数_乗用_CNG,係数_乗用_軽油,係数_乗用_メタノール,係数_乗用_LPG),1,1,BE98):INDEX((係数_乗用_ガソリン,係数_乗用_CNG,係数_乗用_軽油,係数_乗用_メタノール,係数_乗用_LPG),125,5,BE98),2,FALSE))))))</f>
        <v/>
      </c>
      <c r="BB98" s="468" t="str">
        <f>IF(T98="","",IF(OR(AU98="",AU98="-"),"－",IF(OR(AZ98=8,AZ98=9),"",IF(OR(AW98=3,AW98=4,AW98=5,AW98=6),VLOOKUP(AU98,INDEX((係数_バス貨物_ガソリン,係数_バス貨物_CNG,係数_バス貨物_軽油,係数_バス貨物_メタノール,係数_バス貨物_LPG),MATCH(AY98,【参考】排出係数!$AI$4:$AI$671,1),1,BE98):INDEX((係数_バス貨物_ガソリン,係数_バス貨物_CNG,係数_バス貨物_軽油,係数_バス貨物_メタノール,係数_バス貨物_LPG),MATCH(AY98+1,【参考】排出係数!$AI$4:$AI$671,1)-1,5,BE98),3,FALSE),IF(OR(AW98=1,AW98=2),VLOOKUP(AU98,INDEX((係数_乗用_ガソリン,係数_乗用_CNG,係数_乗用_軽油,係数_乗用_メタノール,係数_乗用_LPG),1,1,BE98):INDEX((係数_乗用_ガソリン,係数_乗用_CNG,係数_乗用_軽油,係数_乗用_メタノール,係数_乗用_LPG),125,5,BE98),3,FALSE))))))</f>
        <v/>
      </c>
      <c r="BC98" s="467" t="str">
        <f t="shared" si="36"/>
        <v/>
      </c>
      <c r="BD98" s="567" t="str">
        <f t="shared" si="37"/>
        <v/>
      </c>
      <c r="BE98" s="467" t="str">
        <f t="shared" si="38"/>
        <v/>
      </c>
      <c r="BF98" s="469" t="str">
        <f t="shared" ca="1" si="39"/>
        <v/>
      </c>
      <c r="BG98" s="469" t="str">
        <f t="shared" ca="1" si="40"/>
        <v/>
      </c>
      <c r="BH98" s="467" t="str">
        <f t="shared" si="41"/>
        <v/>
      </c>
      <c r="BI98" s="467" t="str">
        <f t="shared" ca="1" si="42"/>
        <v/>
      </c>
      <c r="BJ98" s="469" t="str">
        <f t="shared" si="43"/>
        <v/>
      </c>
      <c r="BK98" s="470" t="str">
        <f t="shared" si="22"/>
        <v/>
      </c>
      <c r="BL98" s="775" t="str">
        <f t="shared" si="44"/>
        <v/>
      </c>
      <c r="BM98" s="775" t="str">
        <f t="shared" si="45"/>
        <v/>
      </c>
      <c r="BO98" s="472"/>
    </row>
    <row r="99" spans="1:67" s="471" customFormat="1" ht="13.5" customHeight="1">
      <c r="A99" s="473">
        <v>43</v>
      </c>
      <c r="B99" s="132"/>
      <c r="C99" s="332"/>
      <c r="D99" s="333"/>
      <c r="E99" s="333"/>
      <c r="F99" s="334"/>
      <c r="G99" s="337"/>
      <c r="H99" s="131"/>
      <c r="I99" s="337"/>
      <c r="J99" s="131"/>
      <c r="K99" s="458" t="str">
        <f t="shared" si="0"/>
        <v/>
      </c>
      <c r="L99" s="458">
        <f t="shared" si="23"/>
        <v>0</v>
      </c>
      <c r="M99" s="458">
        <f t="shared" si="24"/>
        <v>0</v>
      </c>
      <c r="N99" s="459" t="str">
        <f t="shared" si="1"/>
        <v/>
      </c>
      <c r="O99" s="459" t="str">
        <f t="shared" si="2"/>
        <v/>
      </c>
      <c r="P99" s="459" t="str">
        <f t="shared" si="3"/>
        <v/>
      </c>
      <c r="Q99" s="459" t="str">
        <f t="shared" si="4"/>
        <v/>
      </c>
      <c r="R99" s="459" t="str">
        <f t="shared" si="5"/>
        <v/>
      </c>
      <c r="S99" s="459" t="str">
        <f t="shared" si="6"/>
        <v/>
      </c>
      <c r="T99" s="566" t="str">
        <f t="shared" si="25"/>
        <v/>
      </c>
      <c r="U99" s="702"/>
      <c r="V99" s="132"/>
      <c r="W99" s="133"/>
      <c r="X99" s="134"/>
      <c r="Y99" s="135"/>
      <c r="Z99" s="137"/>
      <c r="AA99" s="136"/>
      <c r="AB99" s="566" t="str">
        <f t="shared" si="26"/>
        <v/>
      </c>
      <c r="AC99" s="568" t="str">
        <f t="shared" si="27"/>
        <v/>
      </c>
      <c r="AD99" s="137"/>
      <c r="AE99" s="137"/>
      <c r="AF99" s="138"/>
      <c r="AG99" s="138"/>
      <c r="AH99" s="592" t="str">
        <f t="shared" si="7"/>
        <v/>
      </c>
      <c r="AI99" s="592" t="str">
        <f t="shared" si="8"/>
        <v/>
      </c>
      <c r="AJ99" s="592" t="str">
        <f t="shared" si="9"/>
        <v/>
      </c>
      <c r="AK99" s="460" t="str">
        <f>IF(AU99="","",IF(OR(AZ99=8,AZ99=9),0,IF(OR(AW99=3,AW99=4,AW99=5,AW99=6),IF(LEFT(BF99,1)="1",INDEX(係数_NOX・PM低減,MATCH(AY99,【参考】排出係数!$AI$801:$AI$804,1),1),VLOOKUP(AU99,INDEX((係数_バス貨物_ガソリン,係数_バス貨物_CNG,係数_バス貨物_軽油,係数_バス貨物_メタノール,係数_バス貨物_LPG),MATCH(AY99,【参考】排出係数!$AI$4:$AI$671,1),1,BE99):INDEX((係数_バス貨物_ガソリン,係数_バス貨物_CNG,係数_バス貨物_軽油,係数_バス貨物_メタノール,係数_バス貨物_LPG),MATCH(AY99+1,【参考】排出係数!$AI$4:$AI$671,1)-1,5,BE99),4,FALSE)),IF(AND(BE99=3,LEFT(BF99,1)="1"),0.48,VLOOKUP(AU99,INDEX((係数_乗用_ガソリン,係数_乗用_CNG,係数_乗用_軽油,係数_乗用_メタノール,係数_乗用_LPG),1,1,BE99):INDEX((係数_乗用_ガソリン,係数_乗用_CNG,係数_乗用_軽油,係数_乗用_メタノール,係数_乗用_LPG),125,5,BE99),4,FALSE)))))</f>
        <v/>
      </c>
      <c r="AL99" s="461" t="str">
        <f t="shared" si="50"/>
        <v/>
      </c>
      <c r="AM99" s="460" t="str">
        <f>IF(AU99="","",IF(OR(AZ99=8,AZ99=9),0,IF(OR(AW99=3,AW99=4,AW99=5,AW99=6),IF(LEFT(BH99,1)="1",INDEX(係数_PM低減,MATCH(AY99,【参考】排出係数!$AI$801:$AI$804,1),MATCH(BI99,【参考】排出係数!$AL$798:$AO$798,1)),VLOOKUP(AU99,INDEX((係数_バス貨物_ガソリン,係数_バス貨物_CNG,係数_バス貨物_軽油,係数_バス貨物_メタノール,係数_バス貨物_LPG),MATCH(AY99,【参考】排出係数!$AI$4:$AI$671,1),1,BE99):INDEX((係数_バス貨物_ガソリン,係数_バス貨物_CNG,係数_バス貨物_軽油,係数_バス貨物_メタノール,係数_バス貨物_LPG),MATCH(AY99+1,【参考】排出係数!$AI$4:$AI$671,1)-1,5,BE99),5,FALSE)),IF(AND(BE99=3,LEFT(BF99,1)="1"),0.055,VLOOKUP(AU99,INDEX((係数_乗用_ガソリン,係数_乗用_CNG,係数_乗用_軽油,係数_乗用_メタノール,係数_乗用_LPG),1,1,BE99):INDEX((係数_乗用_ガソリン,係数_乗用_CNG,係数_乗用_軽油,係数_乗用_メタノール,係数_乗用_LPG),125,5,BE99),5,FALSE)))))</f>
        <v/>
      </c>
      <c r="AN99" s="461" t="str">
        <f t="shared" si="51"/>
        <v/>
      </c>
      <c r="AO99" s="462" t="str">
        <f t="shared" si="52"/>
        <v/>
      </c>
      <c r="AP99" s="463" t="str">
        <f t="shared" si="53"/>
        <v/>
      </c>
      <c r="AQ99" s="464"/>
      <c r="AR99" s="619"/>
      <c r="AS99" s="465" t="str">
        <f t="shared" si="28"/>
        <v/>
      </c>
      <c r="AT99" s="465" t="str">
        <f t="shared" si="29"/>
        <v/>
      </c>
      <c r="AU99" s="466" t="str">
        <f t="shared" si="30"/>
        <v/>
      </c>
      <c r="AV99" s="467" t="str">
        <f t="shared" si="31"/>
        <v/>
      </c>
      <c r="AW99" s="467" t="str">
        <f t="shared" si="32"/>
        <v/>
      </c>
      <c r="AX99" s="467" t="str">
        <f t="shared" si="33"/>
        <v/>
      </c>
      <c r="AY99" s="467" t="str">
        <f t="shared" si="34"/>
        <v/>
      </c>
      <c r="AZ99" s="467" t="str">
        <f t="shared" si="35"/>
        <v/>
      </c>
      <c r="BA99" s="468" t="str">
        <f>IF(AS99="","",IF(OR(AU99="",AU99="-"),"－",IF(OR(AZ99=8,AZ99=9),"",IF(OR(AW99=3,AW99=4,AW99=5,AW99=6),VLOOKUP(AU99,INDEX((係数_バス貨物_ガソリン,係数_バス貨物_CNG,係数_バス貨物_軽油,係数_バス貨物_メタノール,係数_バス貨物_LPG),MATCH(AY99,【参考】排出係数!$AI$4:$AI$671,1),1,BE99):INDEX((係数_バス貨物_ガソリン,係数_バス貨物_CNG,係数_バス貨物_軽油,係数_バス貨物_メタノール,係数_バス貨物_LPG),MATCH(AY99+1,【参考】排出係数!$AI$4:$AI$671,1)-1,5,BE99),2,FALSE),IF(OR(AW99=1,AW99=2),VLOOKUP(AU99,INDEX((係数_乗用_ガソリン,係数_乗用_CNG,係数_乗用_軽油,係数_乗用_メタノール,係数_乗用_LPG),1,1,BE99):INDEX((係数_乗用_ガソリン,係数_乗用_CNG,係数_乗用_軽油,係数_乗用_メタノール,係数_乗用_LPG),125,5,BE99),2,FALSE))))))</f>
        <v/>
      </c>
      <c r="BB99" s="468" t="str">
        <f>IF(T99="","",IF(OR(AU99="",AU99="-"),"－",IF(OR(AZ99=8,AZ99=9),"",IF(OR(AW99=3,AW99=4,AW99=5,AW99=6),VLOOKUP(AU99,INDEX((係数_バス貨物_ガソリン,係数_バス貨物_CNG,係数_バス貨物_軽油,係数_バス貨物_メタノール,係数_バス貨物_LPG),MATCH(AY99,【参考】排出係数!$AI$4:$AI$671,1),1,BE99):INDEX((係数_バス貨物_ガソリン,係数_バス貨物_CNG,係数_バス貨物_軽油,係数_バス貨物_メタノール,係数_バス貨物_LPG),MATCH(AY99+1,【参考】排出係数!$AI$4:$AI$671,1)-1,5,BE99),3,FALSE),IF(OR(AW99=1,AW99=2),VLOOKUP(AU99,INDEX((係数_乗用_ガソリン,係数_乗用_CNG,係数_乗用_軽油,係数_乗用_メタノール,係数_乗用_LPG),1,1,BE99):INDEX((係数_乗用_ガソリン,係数_乗用_CNG,係数_乗用_軽油,係数_乗用_メタノール,係数_乗用_LPG),125,5,BE99),3,FALSE))))))</f>
        <v/>
      </c>
      <c r="BC99" s="467" t="str">
        <f t="shared" si="36"/>
        <v/>
      </c>
      <c r="BD99" s="567" t="str">
        <f t="shared" si="37"/>
        <v/>
      </c>
      <c r="BE99" s="467" t="str">
        <f t="shared" si="38"/>
        <v/>
      </c>
      <c r="BF99" s="469" t="str">
        <f t="shared" ca="1" si="39"/>
        <v/>
      </c>
      <c r="BG99" s="469" t="str">
        <f t="shared" ca="1" si="40"/>
        <v/>
      </c>
      <c r="BH99" s="467" t="str">
        <f t="shared" si="41"/>
        <v/>
      </c>
      <c r="BI99" s="467" t="str">
        <f t="shared" ca="1" si="42"/>
        <v/>
      </c>
      <c r="BJ99" s="469" t="str">
        <f t="shared" si="43"/>
        <v/>
      </c>
      <c r="BK99" s="470" t="str">
        <f t="shared" si="22"/>
        <v/>
      </c>
      <c r="BL99" s="775" t="str">
        <f t="shared" si="44"/>
        <v/>
      </c>
      <c r="BM99" s="775" t="str">
        <f t="shared" si="45"/>
        <v/>
      </c>
      <c r="BO99" s="472"/>
    </row>
    <row r="100" spans="1:67" s="471" customFormat="1" ht="13.5" customHeight="1">
      <c r="A100" s="473">
        <v>44</v>
      </c>
      <c r="B100" s="132"/>
      <c r="C100" s="332"/>
      <c r="D100" s="333"/>
      <c r="E100" s="333"/>
      <c r="F100" s="334"/>
      <c r="G100" s="337"/>
      <c r="H100" s="131"/>
      <c r="I100" s="337"/>
      <c r="J100" s="131"/>
      <c r="K100" s="458" t="str">
        <f t="shared" si="0"/>
        <v/>
      </c>
      <c r="L100" s="458">
        <f t="shared" si="23"/>
        <v>0</v>
      </c>
      <c r="M100" s="458">
        <f t="shared" si="24"/>
        <v>0</v>
      </c>
      <c r="N100" s="459" t="str">
        <f t="shared" si="1"/>
        <v/>
      </c>
      <c r="O100" s="459" t="str">
        <f t="shared" si="2"/>
        <v/>
      </c>
      <c r="P100" s="459" t="str">
        <f t="shared" si="3"/>
        <v/>
      </c>
      <c r="Q100" s="459" t="str">
        <f t="shared" si="4"/>
        <v/>
      </c>
      <c r="R100" s="459" t="str">
        <f t="shared" si="5"/>
        <v/>
      </c>
      <c r="S100" s="459" t="str">
        <f t="shared" si="6"/>
        <v/>
      </c>
      <c r="T100" s="566" t="str">
        <f t="shared" si="25"/>
        <v/>
      </c>
      <c r="U100" s="702"/>
      <c r="V100" s="132"/>
      <c r="W100" s="133"/>
      <c r="X100" s="134"/>
      <c r="Y100" s="135"/>
      <c r="Z100" s="137"/>
      <c r="AA100" s="136"/>
      <c r="AB100" s="566" t="str">
        <f t="shared" si="26"/>
        <v/>
      </c>
      <c r="AC100" s="568" t="str">
        <f t="shared" si="27"/>
        <v/>
      </c>
      <c r="AD100" s="137"/>
      <c r="AE100" s="137"/>
      <c r="AF100" s="138"/>
      <c r="AG100" s="138"/>
      <c r="AH100" s="592" t="str">
        <f t="shared" si="7"/>
        <v/>
      </c>
      <c r="AI100" s="592" t="str">
        <f t="shared" si="8"/>
        <v/>
      </c>
      <c r="AJ100" s="592" t="str">
        <f t="shared" si="9"/>
        <v/>
      </c>
      <c r="AK100" s="460" t="str">
        <f>IF(AU100="","",IF(OR(AZ100=8,AZ100=9),0,IF(OR(AW100=3,AW100=4,AW100=5,AW100=6),IF(LEFT(BF100,1)="1",INDEX(係数_NOX・PM低減,MATCH(AY100,【参考】排出係数!$AI$801:$AI$804,1),1),VLOOKUP(AU100,INDEX((係数_バス貨物_ガソリン,係数_バス貨物_CNG,係数_バス貨物_軽油,係数_バス貨物_メタノール,係数_バス貨物_LPG),MATCH(AY100,【参考】排出係数!$AI$4:$AI$671,1),1,BE100):INDEX((係数_バス貨物_ガソリン,係数_バス貨物_CNG,係数_バス貨物_軽油,係数_バス貨物_メタノール,係数_バス貨物_LPG),MATCH(AY100+1,【参考】排出係数!$AI$4:$AI$671,1)-1,5,BE100),4,FALSE)),IF(AND(BE100=3,LEFT(BF100,1)="1"),0.48,VLOOKUP(AU100,INDEX((係数_乗用_ガソリン,係数_乗用_CNG,係数_乗用_軽油,係数_乗用_メタノール,係数_乗用_LPG),1,1,BE100):INDEX((係数_乗用_ガソリン,係数_乗用_CNG,係数_乗用_軽油,係数_乗用_メタノール,係数_乗用_LPG),125,5,BE100),4,FALSE)))))</f>
        <v/>
      </c>
      <c r="AL100" s="461" t="str">
        <f t="shared" si="50"/>
        <v/>
      </c>
      <c r="AM100" s="460" t="str">
        <f>IF(AU100="","",IF(OR(AZ100=8,AZ100=9),0,IF(OR(AW100=3,AW100=4,AW100=5,AW100=6),IF(LEFT(BH100,1)="1",INDEX(係数_PM低減,MATCH(AY100,【参考】排出係数!$AI$801:$AI$804,1),MATCH(BI100,【参考】排出係数!$AL$798:$AO$798,1)),VLOOKUP(AU100,INDEX((係数_バス貨物_ガソリン,係数_バス貨物_CNG,係数_バス貨物_軽油,係数_バス貨物_メタノール,係数_バス貨物_LPG),MATCH(AY100,【参考】排出係数!$AI$4:$AI$671,1),1,BE100):INDEX((係数_バス貨物_ガソリン,係数_バス貨物_CNG,係数_バス貨物_軽油,係数_バス貨物_メタノール,係数_バス貨物_LPG),MATCH(AY100+1,【参考】排出係数!$AI$4:$AI$671,1)-1,5,BE100),5,FALSE)),IF(AND(BE100=3,LEFT(BF100,1)="1"),0.055,VLOOKUP(AU100,INDEX((係数_乗用_ガソリン,係数_乗用_CNG,係数_乗用_軽油,係数_乗用_メタノール,係数_乗用_LPG),1,1,BE100):INDEX((係数_乗用_ガソリン,係数_乗用_CNG,係数_乗用_軽油,係数_乗用_メタノール,係数_乗用_LPG),125,5,BE100),5,FALSE)))))</f>
        <v/>
      </c>
      <c r="AN100" s="461" t="str">
        <f t="shared" si="51"/>
        <v/>
      </c>
      <c r="AO100" s="462" t="str">
        <f t="shared" si="52"/>
        <v/>
      </c>
      <c r="AP100" s="463" t="str">
        <f t="shared" si="53"/>
        <v/>
      </c>
      <c r="AQ100" s="464"/>
      <c r="AR100" s="619"/>
      <c r="AS100" s="465" t="str">
        <f t="shared" si="28"/>
        <v/>
      </c>
      <c r="AT100" s="465" t="str">
        <f t="shared" si="29"/>
        <v/>
      </c>
      <c r="AU100" s="466" t="str">
        <f t="shared" si="30"/>
        <v/>
      </c>
      <c r="AV100" s="467" t="str">
        <f t="shared" si="31"/>
        <v/>
      </c>
      <c r="AW100" s="467" t="str">
        <f t="shared" si="32"/>
        <v/>
      </c>
      <c r="AX100" s="467" t="str">
        <f t="shared" si="33"/>
        <v/>
      </c>
      <c r="AY100" s="467" t="str">
        <f t="shared" si="34"/>
        <v/>
      </c>
      <c r="AZ100" s="467" t="str">
        <f t="shared" si="35"/>
        <v/>
      </c>
      <c r="BA100" s="468" t="str">
        <f>IF(AS100="","",IF(OR(AU100="",AU100="-"),"－",IF(OR(AZ100=8,AZ100=9),"",IF(OR(AW100=3,AW100=4,AW100=5,AW100=6),VLOOKUP(AU100,INDEX((係数_バス貨物_ガソリン,係数_バス貨物_CNG,係数_バス貨物_軽油,係数_バス貨物_メタノール,係数_バス貨物_LPG),MATCH(AY100,【参考】排出係数!$AI$4:$AI$671,1),1,BE100):INDEX((係数_バス貨物_ガソリン,係数_バス貨物_CNG,係数_バス貨物_軽油,係数_バス貨物_メタノール,係数_バス貨物_LPG),MATCH(AY100+1,【参考】排出係数!$AI$4:$AI$671,1)-1,5,BE100),2,FALSE),IF(OR(AW100=1,AW100=2),VLOOKUP(AU100,INDEX((係数_乗用_ガソリン,係数_乗用_CNG,係数_乗用_軽油,係数_乗用_メタノール,係数_乗用_LPG),1,1,BE100):INDEX((係数_乗用_ガソリン,係数_乗用_CNG,係数_乗用_軽油,係数_乗用_メタノール,係数_乗用_LPG),125,5,BE100),2,FALSE))))))</f>
        <v/>
      </c>
      <c r="BB100" s="468" t="str">
        <f>IF(T100="","",IF(OR(AU100="",AU100="-"),"－",IF(OR(AZ100=8,AZ100=9),"",IF(OR(AW100=3,AW100=4,AW100=5,AW100=6),VLOOKUP(AU100,INDEX((係数_バス貨物_ガソリン,係数_バス貨物_CNG,係数_バス貨物_軽油,係数_バス貨物_メタノール,係数_バス貨物_LPG),MATCH(AY100,【参考】排出係数!$AI$4:$AI$671,1),1,BE100):INDEX((係数_バス貨物_ガソリン,係数_バス貨物_CNG,係数_バス貨物_軽油,係数_バス貨物_メタノール,係数_バス貨物_LPG),MATCH(AY100+1,【参考】排出係数!$AI$4:$AI$671,1)-1,5,BE100),3,FALSE),IF(OR(AW100=1,AW100=2),VLOOKUP(AU100,INDEX((係数_乗用_ガソリン,係数_乗用_CNG,係数_乗用_軽油,係数_乗用_メタノール,係数_乗用_LPG),1,1,BE100):INDEX((係数_乗用_ガソリン,係数_乗用_CNG,係数_乗用_軽油,係数_乗用_メタノール,係数_乗用_LPG),125,5,BE100),3,FALSE))))))</f>
        <v/>
      </c>
      <c r="BC100" s="467" t="str">
        <f t="shared" si="36"/>
        <v/>
      </c>
      <c r="BD100" s="567" t="str">
        <f t="shared" si="37"/>
        <v/>
      </c>
      <c r="BE100" s="467" t="str">
        <f t="shared" si="38"/>
        <v/>
      </c>
      <c r="BF100" s="469" t="str">
        <f t="shared" ca="1" si="39"/>
        <v/>
      </c>
      <c r="BG100" s="469" t="str">
        <f t="shared" ca="1" si="40"/>
        <v/>
      </c>
      <c r="BH100" s="467" t="str">
        <f t="shared" si="41"/>
        <v/>
      </c>
      <c r="BI100" s="467" t="str">
        <f t="shared" ca="1" si="42"/>
        <v/>
      </c>
      <c r="BJ100" s="469" t="str">
        <f t="shared" si="43"/>
        <v/>
      </c>
      <c r="BK100" s="470" t="str">
        <f t="shared" si="22"/>
        <v/>
      </c>
      <c r="BL100" s="775" t="str">
        <f t="shared" si="44"/>
        <v/>
      </c>
      <c r="BM100" s="775" t="str">
        <f t="shared" si="45"/>
        <v/>
      </c>
      <c r="BO100" s="472"/>
    </row>
    <row r="101" spans="1:67" s="471" customFormat="1" ht="13.5" customHeight="1">
      <c r="A101" s="473">
        <v>45</v>
      </c>
      <c r="B101" s="132"/>
      <c r="C101" s="332"/>
      <c r="D101" s="333"/>
      <c r="E101" s="333"/>
      <c r="F101" s="334"/>
      <c r="G101" s="337"/>
      <c r="H101" s="131"/>
      <c r="I101" s="337"/>
      <c r="J101" s="131"/>
      <c r="K101" s="458" t="str">
        <f t="shared" si="0"/>
        <v/>
      </c>
      <c r="L101" s="458">
        <f t="shared" si="23"/>
        <v>0</v>
      </c>
      <c r="M101" s="458">
        <f t="shared" si="24"/>
        <v>0</v>
      </c>
      <c r="N101" s="459" t="str">
        <f t="shared" si="1"/>
        <v/>
      </c>
      <c r="O101" s="459" t="str">
        <f t="shared" si="2"/>
        <v/>
      </c>
      <c r="P101" s="459" t="str">
        <f t="shared" si="3"/>
        <v/>
      </c>
      <c r="Q101" s="459" t="str">
        <f t="shared" si="4"/>
        <v/>
      </c>
      <c r="R101" s="459" t="str">
        <f t="shared" si="5"/>
        <v/>
      </c>
      <c r="S101" s="459" t="str">
        <f t="shared" si="6"/>
        <v/>
      </c>
      <c r="T101" s="566" t="str">
        <f t="shared" si="25"/>
        <v/>
      </c>
      <c r="U101" s="702"/>
      <c r="V101" s="132"/>
      <c r="W101" s="133"/>
      <c r="X101" s="134"/>
      <c r="Y101" s="135"/>
      <c r="Z101" s="137"/>
      <c r="AA101" s="136"/>
      <c r="AB101" s="566" t="str">
        <f t="shared" si="26"/>
        <v/>
      </c>
      <c r="AC101" s="568" t="str">
        <f t="shared" si="27"/>
        <v/>
      </c>
      <c r="AD101" s="137"/>
      <c r="AE101" s="137"/>
      <c r="AF101" s="138"/>
      <c r="AG101" s="138"/>
      <c r="AH101" s="592" t="str">
        <f t="shared" si="7"/>
        <v/>
      </c>
      <c r="AI101" s="592" t="str">
        <f t="shared" si="8"/>
        <v/>
      </c>
      <c r="AJ101" s="592" t="str">
        <f t="shared" si="9"/>
        <v/>
      </c>
      <c r="AK101" s="460" t="str">
        <f>IF(AU101="","",IF(OR(AZ101=8,AZ101=9),0,IF(OR(AW101=3,AW101=4,AW101=5,AW101=6),IF(LEFT(BF101,1)="1",INDEX(係数_NOX・PM低減,MATCH(AY101,【参考】排出係数!$AI$801:$AI$804,1),1),VLOOKUP(AU101,INDEX((係数_バス貨物_ガソリン,係数_バス貨物_CNG,係数_バス貨物_軽油,係数_バス貨物_メタノール,係数_バス貨物_LPG),MATCH(AY101,【参考】排出係数!$AI$4:$AI$671,1),1,BE101):INDEX((係数_バス貨物_ガソリン,係数_バス貨物_CNG,係数_バス貨物_軽油,係数_バス貨物_メタノール,係数_バス貨物_LPG),MATCH(AY101+1,【参考】排出係数!$AI$4:$AI$671,1)-1,5,BE101),4,FALSE)),IF(AND(BE101=3,LEFT(BF101,1)="1"),0.48,VLOOKUP(AU101,INDEX((係数_乗用_ガソリン,係数_乗用_CNG,係数_乗用_軽油,係数_乗用_メタノール,係数_乗用_LPG),1,1,BE101):INDEX((係数_乗用_ガソリン,係数_乗用_CNG,係数_乗用_軽油,係数_乗用_メタノール,係数_乗用_LPG),125,5,BE101),4,FALSE)))))</f>
        <v/>
      </c>
      <c r="AL101" s="461" t="str">
        <f t="shared" si="50"/>
        <v/>
      </c>
      <c r="AM101" s="460" t="str">
        <f>IF(AU101="","",IF(OR(AZ101=8,AZ101=9),0,IF(OR(AW101=3,AW101=4,AW101=5,AW101=6),IF(LEFT(BH101,1)="1",INDEX(係数_PM低減,MATCH(AY101,【参考】排出係数!$AI$801:$AI$804,1),MATCH(BI101,【参考】排出係数!$AL$798:$AO$798,1)),VLOOKUP(AU101,INDEX((係数_バス貨物_ガソリン,係数_バス貨物_CNG,係数_バス貨物_軽油,係数_バス貨物_メタノール,係数_バス貨物_LPG),MATCH(AY101,【参考】排出係数!$AI$4:$AI$671,1),1,BE101):INDEX((係数_バス貨物_ガソリン,係数_バス貨物_CNG,係数_バス貨物_軽油,係数_バス貨物_メタノール,係数_バス貨物_LPG),MATCH(AY101+1,【参考】排出係数!$AI$4:$AI$671,1)-1,5,BE101),5,FALSE)),IF(AND(BE101=3,LEFT(BF101,1)="1"),0.055,VLOOKUP(AU101,INDEX((係数_乗用_ガソリン,係数_乗用_CNG,係数_乗用_軽油,係数_乗用_メタノール,係数_乗用_LPG),1,1,BE101):INDEX((係数_乗用_ガソリン,係数_乗用_CNG,係数_乗用_軽油,係数_乗用_メタノール,係数_乗用_LPG),125,5,BE101),5,FALSE)))))</f>
        <v/>
      </c>
      <c r="AN101" s="461" t="str">
        <f t="shared" si="51"/>
        <v/>
      </c>
      <c r="AO101" s="462" t="str">
        <f t="shared" si="52"/>
        <v/>
      </c>
      <c r="AP101" s="463" t="str">
        <f t="shared" si="53"/>
        <v/>
      </c>
      <c r="AQ101" s="464"/>
      <c r="AR101" s="619"/>
      <c r="AS101" s="465" t="str">
        <f t="shared" si="28"/>
        <v/>
      </c>
      <c r="AT101" s="465" t="str">
        <f t="shared" si="29"/>
        <v/>
      </c>
      <c r="AU101" s="466" t="str">
        <f t="shared" si="30"/>
        <v/>
      </c>
      <c r="AV101" s="467" t="str">
        <f t="shared" si="31"/>
        <v/>
      </c>
      <c r="AW101" s="467" t="str">
        <f t="shared" si="32"/>
        <v/>
      </c>
      <c r="AX101" s="467" t="str">
        <f t="shared" si="33"/>
        <v/>
      </c>
      <c r="AY101" s="467" t="str">
        <f t="shared" si="34"/>
        <v/>
      </c>
      <c r="AZ101" s="467" t="str">
        <f t="shared" si="35"/>
        <v/>
      </c>
      <c r="BA101" s="468" t="str">
        <f>IF(AS101="","",IF(OR(AU101="",AU101="-"),"－",IF(OR(AZ101=8,AZ101=9),"",IF(OR(AW101=3,AW101=4,AW101=5,AW101=6),VLOOKUP(AU101,INDEX((係数_バス貨物_ガソリン,係数_バス貨物_CNG,係数_バス貨物_軽油,係数_バス貨物_メタノール,係数_バス貨物_LPG),MATCH(AY101,【参考】排出係数!$AI$4:$AI$671,1),1,BE101):INDEX((係数_バス貨物_ガソリン,係数_バス貨物_CNG,係数_バス貨物_軽油,係数_バス貨物_メタノール,係数_バス貨物_LPG),MATCH(AY101+1,【参考】排出係数!$AI$4:$AI$671,1)-1,5,BE101),2,FALSE),IF(OR(AW101=1,AW101=2),VLOOKUP(AU101,INDEX((係数_乗用_ガソリン,係数_乗用_CNG,係数_乗用_軽油,係数_乗用_メタノール,係数_乗用_LPG),1,1,BE101):INDEX((係数_乗用_ガソリン,係数_乗用_CNG,係数_乗用_軽油,係数_乗用_メタノール,係数_乗用_LPG),125,5,BE101),2,FALSE))))))</f>
        <v/>
      </c>
      <c r="BB101" s="468" t="str">
        <f>IF(T101="","",IF(OR(AU101="",AU101="-"),"－",IF(OR(AZ101=8,AZ101=9),"",IF(OR(AW101=3,AW101=4,AW101=5,AW101=6),VLOOKUP(AU101,INDEX((係数_バス貨物_ガソリン,係数_バス貨物_CNG,係数_バス貨物_軽油,係数_バス貨物_メタノール,係数_バス貨物_LPG),MATCH(AY101,【参考】排出係数!$AI$4:$AI$671,1),1,BE101):INDEX((係数_バス貨物_ガソリン,係数_バス貨物_CNG,係数_バス貨物_軽油,係数_バス貨物_メタノール,係数_バス貨物_LPG),MATCH(AY101+1,【参考】排出係数!$AI$4:$AI$671,1)-1,5,BE101),3,FALSE),IF(OR(AW101=1,AW101=2),VLOOKUP(AU101,INDEX((係数_乗用_ガソリン,係数_乗用_CNG,係数_乗用_軽油,係数_乗用_メタノール,係数_乗用_LPG),1,1,BE101):INDEX((係数_乗用_ガソリン,係数_乗用_CNG,係数_乗用_軽油,係数_乗用_メタノール,係数_乗用_LPG),125,5,BE101),3,FALSE))))))</f>
        <v/>
      </c>
      <c r="BC101" s="467" t="str">
        <f t="shared" si="36"/>
        <v/>
      </c>
      <c r="BD101" s="567" t="str">
        <f t="shared" si="37"/>
        <v/>
      </c>
      <c r="BE101" s="467" t="str">
        <f t="shared" si="38"/>
        <v/>
      </c>
      <c r="BF101" s="469" t="str">
        <f t="shared" ca="1" si="39"/>
        <v/>
      </c>
      <c r="BG101" s="469" t="str">
        <f t="shared" ca="1" si="40"/>
        <v/>
      </c>
      <c r="BH101" s="467" t="str">
        <f t="shared" si="41"/>
        <v/>
      </c>
      <c r="BI101" s="467" t="str">
        <f t="shared" ca="1" si="42"/>
        <v/>
      </c>
      <c r="BJ101" s="469" t="str">
        <f t="shared" si="43"/>
        <v/>
      </c>
      <c r="BK101" s="470" t="str">
        <f t="shared" si="22"/>
        <v/>
      </c>
      <c r="BL101" s="775" t="str">
        <f t="shared" si="44"/>
        <v/>
      </c>
      <c r="BM101" s="775" t="str">
        <f t="shared" si="45"/>
        <v/>
      </c>
      <c r="BO101" s="472"/>
    </row>
    <row r="102" spans="1:67" s="471" customFormat="1" ht="13.5" customHeight="1">
      <c r="A102" s="473">
        <v>46</v>
      </c>
      <c r="B102" s="132"/>
      <c r="C102" s="332"/>
      <c r="D102" s="333"/>
      <c r="E102" s="333"/>
      <c r="F102" s="334"/>
      <c r="G102" s="337"/>
      <c r="H102" s="131"/>
      <c r="I102" s="337"/>
      <c r="J102" s="131"/>
      <c r="K102" s="458" t="str">
        <f t="shared" si="0"/>
        <v/>
      </c>
      <c r="L102" s="458">
        <f t="shared" si="23"/>
        <v>0</v>
      </c>
      <c r="M102" s="458">
        <f t="shared" si="24"/>
        <v>0</v>
      </c>
      <c r="N102" s="459" t="str">
        <f t="shared" si="1"/>
        <v/>
      </c>
      <c r="O102" s="459" t="str">
        <f t="shared" si="2"/>
        <v/>
      </c>
      <c r="P102" s="459" t="str">
        <f t="shared" si="3"/>
        <v/>
      </c>
      <c r="Q102" s="459" t="str">
        <f t="shared" si="4"/>
        <v/>
      </c>
      <c r="R102" s="459" t="str">
        <f t="shared" si="5"/>
        <v/>
      </c>
      <c r="S102" s="459" t="str">
        <f t="shared" si="6"/>
        <v/>
      </c>
      <c r="T102" s="566" t="str">
        <f t="shared" si="25"/>
        <v/>
      </c>
      <c r="U102" s="702"/>
      <c r="V102" s="132"/>
      <c r="W102" s="133"/>
      <c r="X102" s="134"/>
      <c r="Y102" s="135"/>
      <c r="Z102" s="137"/>
      <c r="AA102" s="136"/>
      <c r="AB102" s="566" t="str">
        <f t="shared" si="26"/>
        <v/>
      </c>
      <c r="AC102" s="568" t="str">
        <f t="shared" si="27"/>
        <v/>
      </c>
      <c r="AD102" s="137"/>
      <c r="AE102" s="137"/>
      <c r="AF102" s="138"/>
      <c r="AG102" s="138"/>
      <c r="AH102" s="592" t="str">
        <f t="shared" si="7"/>
        <v/>
      </c>
      <c r="AI102" s="592" t="str">
        <f t="shared" si="8"/>
        <v/>
      </c>
      <c r="AJ102" s="592" t="str">
        <f t="shared" si="9"/>
        <v/>
      </c>
      <c r="AK102" s="460" t="str">
        <f>IF(AU102="","",IF(OR(AZ102=8,AZ102=9),0,IF(OR(AW102=3,AW102=4,AW102=5,AW102=6),IF(LEFT(BF102,1)="1",INDEX(係数_NOX・PM低減,MATCH(AY102,【参考】排出係数!$AI$801:$AI$804,1),1),VLOOKUP(AU102,INDEX((係数_バス貨物_ガソリン,係数_バス貨物_CNG,係数_バス貨物_軽油,係数_バス貨物_メタノール,係数_バス貨物_LPG),MATCH(AY102,【参考】排出係数!$AI$4:$AI$671,1),1,BE102):INDEX((係数_バス貨物_ガソリン,係数_バス貨物_CNG,係数_バス貨物_軽油,係数_バス貨物_メタノール,係数_バス貨物_LPG),MATCH(AY102+1,【参考】排出係数!$AI$4:$AI$671,1)-1,5,BE102),4,FALSE)),IF(AND(BE102=3,LEFT(BF102,1)="1"),0.48,VLOOKUP(AU102,INDEX((係数_乗用_ガソリン,係数_乗用_CNG,係数_乗用_軽油,係数_乗用_メタノール,係数_乗用_LPG),1,1,BE102):INDEX((係数_乗用_ガソリン,係数_乗用_CNG,係数_乗用_軽油,係数_乗用_メタノール,係数_乗用_LPG),125,5,BE102),4,FALSE)))))</f>
        <v/>
      </c>
      <c r="AL102" s="461" t="str">
        <f t="shared" si="50"/>
        <v/>
      </c>
      <c r="AM102" s="460" t="str">
        <f>IF(AU102="","",IF(OR(AZ102=8,AZ102=9),0,IF(OR(AW102=3,AW102=4,AW102=5,AW102=6),IF(LEFT(BH102,1)="1",INDEX(係数_PM低減,MATCH(AY102,【参考】排出係数!$AI$801:$AI$804,1),MATCH(BI102,【参考】排出係数!$AL$798:$AO$798,1)),VLOOKUP(AU102,INDEX((係数_バス貨物_ガソリン,係数_バス貨物_CNG,係数_バス貨物_軽油,係数_バス貨物_メタノール,係数_バス貨物_LPG),MATCH(AY102,【参考】排出係数!$AI$4:$AI$671,1),1,BE102):INDEX((係数_バス貨物_ガソリン,係数_バス貨物_CNG,係数_バス貨物_軽油,係数_バス貨物_メタノール,係数_バス貨物_LPG),MATCH(AY102+1,【参考】排出係数!$AI$4:$AI$671,1)-1,5,BE102),5,FALSE)),IF(AND(BE102=3,LEFT(BF102,1)="1"),0.055,VLOOKUP(AU102,INDEX((係数_乗用_ガソリン,係数_乗用_CNG,係数_乗用_軽油,係数_乗用_メタノール,係数_乗用_LPG),1,1,BE102):INDEX((係数_乗用_ガソリン,係数_乗用_CNG,係数_乗用_軽油,係数_乗用_メタノール,係数_乗用_LPG),125,5,BE102),5,FALSE)))))</f>
        <v/>
      </c>
      <c r="AN102" s="461" t="str">
        <f t="shared" si="51"/>
        <v/>
      </c>
      <c r="AO102" s="462" t="str">
        <f t="shared" si="52"/>
        <v/>
      </c>
      <c r="AP102" s="463" t="str">
        <f t="shared" si="53"/>
        <v/>
      </c>
      <c r="AQ102" s="464"/>
      <c r="AR102" s="619"/>
      <c r="AS102" s="465" t="str">
        <f t="shared" si="28"/>
        <v/>
      </c>
      <c r="AT102" s="465" t="str">
        <f t="shared" si="29"/>
        <v/>
      </c>
      <c r="AU102" s="466" t="str">
        <f t="shared" si="30"/>
        <v/>
      </c>
      <c r="AV102" s="467" t="str">
        <f t="shared" si="31"/>
        <v/>
      </c>
      <c r="AW102" s="467" t="str">
        <f t="shared" si="32"/>
        <v/>
      </c>
      <c r="AX102" s="467" t="str">
        <f t="shared" si="33"/>
        <v/>
      </c>
      <c r="AY102" s="467" t="str">
        <f t="shared" si="34"/>
        <v/>
      </c>
      <c r="AZ102" s="467" t="str">
        <f t="shared" si="35"/>
        <v/>
      </c>
      <c r="BA102" s="468" t="str">
        <f>IF(AS102="","",IF(OR(AU102="",AU102="-"),"－",IF(OR(AZ102=8,AZ102=9),"",IF(OR(AW102=3,AW102=4,AW102=5,AW102=6),VLOOKUP(AU102,INDEX((係数_バス貨物_ガソリン,係数_バス貨物_CNG,係数_バス貨物_軽油,係数_バス貨物_メタノール,係数_バス貨物_LPG),MATCH(AY102,【参考】排出係数!$AI$4:$AI$671,1),1,BE102):INDEX((係数_バス貨物_ガソリン,係数_バス貨物_CNG,係数_バス貨物_軽油,係数_バス貨物_メタノール,係数_バス貨物_LPG),MATCH(AY102+1,【参考】排出係数!$AI$4:$AI$671,1)-1,5,BE102),2,FALSE),IF(OR(AW102=1,AW102=2),VLOOKUP(AU102,INDEX((係数_乗用_ガソリン,係数_乗用_CNG,係数_乗用_軽油,係数_乗用_メタノール,係数_乗用_LPG),1,1,BE102):INDEX((係数_乗用_ガソリン,係数_乗用_CNG,係数_乗用_軽油,係数_乗用_メタノール,係数_乗用_LPG),125,5,BE102),2,FALSE))))))</f>
        <v/>
      </c>
      <c r="BB102" s="468" t="str">
        <f>IF(T102="","",IF(OR(AU102="",AU102="-"),"－",IF(OR(AZ102=8,AZ102=9),"",IF(OR(AW102=3,AW102=4,AW102=5,AW102=6),VLOOKUP(AU102,INDEX((係数_バス貨物_ガソリン,係数_バス貨物_CNG,係数_バス貨物_軽油,係数_バス貨物_メタノール,係数_バス貨物_LPG),MATCH(AY102,【参考】排出係数!$AI$4:$AI$671,1),1,BE102):INDEX((係数_バス貨物_ガソリン,係数_バス貨物_CNG,係数_バス貨物_軽油,係数_バス貨物_メタノール,係数_バス貨物_LPG),MATCH(AY102+1,【参考】排出係数!$AI$4:$AI$671,1)-1,5,BE102),3,FALSE),IF(OR(AW102=1,AW102=2),VLOOKUP(AU102,INDEX((係数_乗用_ガソリン,係数_乗用_CNG,係数_乗用_軽油,係数_乗用_メタノール,係数_乗用_LPG),1,1,BE102):INDEX((係数_乗用_ガソリン,係数_乗用_CNG,係数_乗用_軽油,係数_乗用_メタノール,係数_乗用_LPG),125,5,BE102),3,FALSE))))))</f>
        <v/>
      </c>
      <c r="BC102" s="467" t="str">
        <f t="shared" si="36"/>
        <v/>
      </c>
      <c r="BD102" s="567" t="str">
        <f t="shared" si="37"/>
        <v/>
      </c>
      <c r="BE102" s="467" t="str">
        <f t="shared" si="38"/>
        <v/>
      </c>
      <c r="BF102" s="469" t="str">
        <f t="shared" ca="1" si="39"/>
        <v/>
      </c>
      <c r="BG102" s="469" t="str">
        <f t="shared" ca="1" si="40"/>
        <v/>
      </c>
      <c r="BH102" s="467" t="str">
        <f t="shared" si="41"/>
        <v/>
      </c>
      <c r="BI102" s="467" t="str">
        <f t="shared" ca="1" si="42"/>
        <v/>
      </c>
      <c r="BJ102" s="469" t="str">
        <f t="shared" si="43"/>
        <v/>
      </c>
      <c r="BK102" s="470" t="str">
        <f t="shared" si="22"/>
        <v/>
      </c>
      <c r="BL102" s="775" t="str">
        <f t="shared" si="44"/>
        <v/>
      </c>
      <c r="BM102" s="775" t="str">
        <f t="shared" si="45"/>
        <v/>
      </c>
      <c r="BO102" s="472"/>
    </row>
    <row r="103" spans="1:67" s="471" customFormat="1" ht="13.5" customHeight="1">
      <c r="A103" s="473">
        <v>47</v>
      </c>
      <c r="B103" s="132"/>
      <c r="C103" s="332"/>
      <c r="D103" s="333"/>
      <c r="E103" s="333"/>
      <c r="F103" s="334"/>
      <c r="G103" s="337"/>
      <c r="H103" s="131"/>
      <c r="I103" s="337"/>
      <c r="J103" s="131"/>
      <c r="K103" s="458" t="str">
        <f t="shared" si="0"/>
        <v/>
      </c>
      <c r="L103" s="458">
        <f t="shared" si="23"/>
        <v>0</v>
      </c>
      <c r="M103" s="458">
        <f t="shared" si="24"/>
        <v>0</v>
      </c>
      <c r="N103" s="459" t="str">
        <f t="shared" si="1"/>
        <v/>
      </c>
      <c r="O103" s="459" t="str">
        <f t="shared" si="2"/>
        <v/>
      </c>
      <c r="P103" s="459" t="str">
        <f t="shared" si="3"/>
        <v/>
      </c>
      <c r="Q103" s="459" t="str">
        <f t="shared" si="4"/>
        <v/>
      </c>
      <c r="R103" s="459" t="str">
        <f t="shared" si="5"/>
        <v/>
      </c>
      <c r="S103" s="459" t="str">
        <f t="shared" si="6"/>
        <v/>
      </c>
      <c r="T103" s="566" t="str">
        <f t="shared" si="25"/>
        <v/>
      </c>
      <c r="U103" s="702"/>
      <c r="V103" s="132"/>
      <c r="W103" s="133"/>
      <c r="X103" s="134"/>
      <c r="Y103" s="135"/>
      <c r="Z103" s="137"/>
      <c r="AA103" s="136"/>
      <c r="AB103" s="566" t="str">
        <f t="shared" si="26"/>
        <v/>
      </c>
      <c r="AC103" s="568" t="str">
        <f t="shared" si="27"/>
        <v/>
      </c>
      <c r="AD103" s="137"/>
      <c r="AE103" s="137"/>
      <c r="AF103" s="138"/>
      <c r="AG103" s="138"/>
      <c r="AH103" s="592" t="str">
        <f t="shared" si="7"/>
        <v/>
      </c>
      <c r="AI103" s="592" t="str">
        <f t="shared" si="8"/>
        <v/>
      </c>
      <c r="AJ103" s="592" t="str">
        <f t="shared" si="9"/>
        <v/>
      </c>
      <c r="AK103" s="460" t="str">
        <f>IF(AU103="","",IF(OR(AZ103=8,AZ103=9),0,IF(OR(AW103=3,AW103=4,AW103=5,AW103=6),IF(LEFT(BF103,1)="1",INDEX(係数_NOX・PM低減,MATCH(AY103,【参考】排出係数!$AI$801:$AI$804,1),1),VLOOKUP(AU103,INDEX((係数_バス貨物_ガソリン,係数_バス貨物_CNG,係数_バス貨物_軽油,係数_バス貨物_メタノール,係数_バス貨物_LPG),MATCH(AY103,【参考】排出係数!$AI$4:$AI$671,1),1,BE103):INDEX((係数_バス貨物_ガソリン,係数_バス貨物_CNG,係数_バス貨物_軽油,係数_バス貨物_メタノール,係数_バス貨物_LPG),MATCH(AY103+1,【参考】排出係数!$AI$4:$AI$671,1)-1,5,BE103),4,FALSE)),IF(AND(BE103=3,LEFT(BF103,1)="1"),0.48,VLOOKUP(AU103,INDEX((係数_乗用_ガソリン,係数_乗用_CNG,係数_乗用_軽油,係数_乗用_メタノール,係数_乗用_LPG),1,1,BE103):INDEX((係数_乗用_ガソリン,係数_乗用_CNG,係数_乗用_軽油,係数_乗用_メタノール,係数_乗用_LPG),125,5,BE103),4,FALSE)))))</f>
        <v/>
      </c>
      <c r="AL103" s="461" t="str">
        <f t="shared" si="50"/>
        <v/>
      </c>
      <c r="AM103" s="460" t="str">
        <f>IF(AU103="","",IF(OR(AZ103=8,AZ103=9),0,IF(OR(AW103=3,AW103=4,AW103=5,AW103=6),IF(LEFT(BH103,1)="1",INDEX(係数_PM低減,MATCH(AY103,【参考】排出係数!$AI$801:$AI$804,1),MATCH(BI103,【参考】排出係数!$AL$798:$AO$798,1)),VLOOKUP(AU103,INDEX((係数_バス貨物_ガソリン,係数_バス貨物_CNG,係数_バス貨物_軽油,係数_バス貨物_メタノール,係数_バス貨物_LPG),MATCH(AY103,【参考】排出係数!$AI$4:$AI$671,1),1,BE103):INDEX((係数_バス貨物_ガソリン,係数_バス貨物_CNG,係数_バス貨物_軽油,係数_バス貨物_メタノール,係数_バス貨物_LPG),MATCH(AY103+1,【参考】排出係数!$AI$4:$AI$671,1)-1,5,BE103),5,FALSE)),IF(AND(BE103=3,LEFT(BF103,1)="1"),0.055,VLOOKUP(AU103,INDEX((係数_乗用_ガソリン,係数_乗用_CNG,係数_乗用_軽油,係数_乗用_メタノール,係数_乗用_LPG),1,1,BE103):INDEX((係数_乗用_ガソリン,係数_乗用_CNG,係数_乗用_軽油,係数_乗用_メタノール,係数_乗用_LPG),125,5,BE103),5,FALSE)))))</f>
        <v/>
      </c>
      <c r="AN103" s="461" t="str">
        <f t="shared" si="51"/>
        <v/>
      </c>
      <c r="AO103" s="462" t="str">
        <f t="shared" si="52"/>
        <v/>
      </c>
      <c r="AP103" s="463" t="str">
        <f t="shared" si="53"/>
        <v/>
      </c>
      <c r="AQ103" s="464"/>
      <c r="AR103" s="619"/>
      <c r="AS103" s="465" t="str">
        <f t="shared" si="28"/>
        <v/>
      </c>
      <c r="AT103" s="465" t="str">
        <f t="shared" si="29"/>
        <v/>
      </c>
      <c r="AU103" s="466" t="str">
        <f t="shared" si="30"/>
        <v/>
      </c>
      <c r="AV103" s="467" t="str">
        <f t="shared" si="31"/>
        <v/>
      </c>
      <c r="AW103" s="467" t="str">
        <f t="shared" si="32"/>
        <v/>
      </c>
      <c r="AX103" s="467" t="str">
        <f t="shared" si="33"/>
        <v/>
      </c>
      <c r="AY103" s="467" t="str">
        <f t="shared" si="34"/>
        <v/>
      </c>
      <c r="AZ103" s="467" t="str">
        <f t="shared" si="35"/>
        <v/>
      </c>
      <c r="BA103" s="468" t="str">
        <f>IF(AS103="","",IF(OR(AU103="",AU103="-"),"－",IF(OR(AZ103=8,AZ103=9),"",IF(OR(AW103=3,AW103=4,AW103=5,AW103=6),VLOOKUP(AU103,INDEX((係数_バス貨物_ガソリン,係数_バス貨物_CNG,係数_バス貨物_軽油,係数_バス貨物_メタノール,係数_バス貨物_LPG),MATCH(AY103,【参考】排出係数!$AI$4:$AI$671,1),1,BE103):INDEX((係数_バス貨物_ガソリン,係数_バス貨物_CNG,係数_バス貨物_軽油,係数_バス貨物_メタノール,係数_バス貨物_LPG),MATCH(AY103+1,【参考】排出係数!$AI$4:$AI$671,1)-1,5,BE103),2,FALSE),IF(OR(AW103=1,AW103=2),VLOOKUP(AU103,INDEX((係数_乗用_ガソリン,係数_乗用_CNG,係数_乗用_軽油,係数_乗用_メタノール,係数_乗用_LPG),1,1,BE103):INDEX((係数_乗用_ガソリン,係数_乗用_CNG,係数_乗用_軽油,係数_乗用_メタノール,係数_乗用_LPG),125,5,BE103),2,FALSE))))))</f>
        <v/>
      </c>
      <c r="BB103" s="468" t="str">
        <f>IF(T103="","",IF(OR(AU103="",AU103="-"),"－",IF(OR(AZ103=8,AZ103=9),"",IF(OR(AW103=3,AW103=4,AW103=5,AW103=6),VLOOKUP(AU103,INDEX((係数_バス貨物_ガソリン,係数_バス貨物_CNG,係数_バス貨物_軽油,係数_バス貨物_メタノール,係数_バス貨物_LPG),MATCH(AY103,【参考】排出係数!$AI$4:$AI$671,1),1,BE103):INDEX((係数_バス貨物_ガソリン,係数_バス貨物_CNG,係数_バス貨物_軽油,係数_バス貨物_メタノール,係数_バス貨物_LPG),MATCH(AY103+1,【参考】排出係数!$AI$4:$AI$671,1)-1,5,BE103),3,FALSE),IF(OR(AW103=1,AW103=2),VLOOKUP(AU103,INDEX((係数_乗用_ガソリン,係数_乗用_CNG,係数_乗用_軽油,係数_乗用_メタノール,係数_乗用_LPG),1,1,BE103):INDEX((係数_乗用_ガソリン,係数_乗用_CNG,係数_乗用_軽油,係数_乗用_メタノール,係数_乗用_LPG),125,5,BE103),3,FALSE))))))</f>
        <v/>
      </c>
      <c r="BC103" s="467" t="str">
        <f t="shared" si="36"/>
        <v/>
      </c>
      <c r="BD103" s="567" t="str">
        <f t="shared" si="37"/>
        <v/>
      </c>
      <c r="BE103" s="467" t="str">
        <f t="shared" si="38"/>
        <v/>
      </c>
      <c r="BF103" s="469" t="str">
        <f t="shared" ca="1" si="39"/>
        <v/>
      </c>
      <c r="BG103" s="469" t="str">
        <f t="shared" ca="1" si="40"/>
        <v/>
      </c>
      <c r="BH103" s="467" t="str">
        <f t="shared" si="41"/>
        <v/>
      </c>
      <c r="BI103" s="467" t="str">
        <f t="shared" ca="1" si="42"/>
        <v/>
      </c>
      <c r="BJ103" s="469" t="str">
        <f t="shared" si="43"/>
        <v/>
      </c>
      <c r="BK103" s="470" t="str">
        <f t="shared" si="22"/>
        <v/>
      </c>
      <c r="BL103" s="775" t="str">
        <f t="shared" si="44"/>
        <v/>
      </c>
      <c r="BM103" s="775" t="str">
        <f t="shared" si="45"/>
        <v/>
      </c>
      <c r="BO103" s="472"/>
    </row>
    <row r="104" spans="1:67" s="471" customFormat="1" ht="13.5" customHeight="1">
      <c r="A104" s="473">
        <v>48</v>
      </c>
      <c r="B104" s="132"/>
      <c r="C104" s="332"/>
      <c r="D104" s="333"/>
      <c r="E104" s="333"/>
      <c r="F104" s="334"/>
      <c r="G104" s="337"/>
      <c r="H104" s="131"/>
      <c r="I104" s="337"/>
      <c r="J104" s="131"/>
      <c r="K104" s="458" t="str">
        <f t="shared" si="0"/>
        <v/>
      </c>
      <c r="L104" s="458">
        <f t="shared" si="23"/>
        <v>0</v>
      </c>
      <c r="M104" s="458">
        <f t="shared" si="24"/>
        <v>0</v>
      </c>
      <c r="N104" s="459" t="str">
        <f t="shared" si="1"/>
        <v/>
      </c>
      <c r="O104" s="459" t="str">
        <f t="shared" si="2"/>
        <v/>
      </c>
      <c r="P104" s="459" t="str">
        <f t="shared" si="3"/>
        <v/>
      </c>
      <c r="Q104" s="459" t="str">
        <f t="shared" si="4"/>
        <v/>
      </c>
      <c r="R104" s="459" t="str">
        <f t="shared" si="5"/>
        <v/>
      </c>
      <c r="S104" s="459" t="str">
        <f t="shared" si="6"/>
        <v/>
      </c>
      <c r="T104" s="566" t="str">
        <f t="shared" si="25"/>
        <v/>
      </c>
      <c r="U104" s="702"/>
      <c r="V104" s="132"/>
      <c r="W104" s="133"/>
      <c r="X104" s="134"/>
      <c r="Y104" s="135"/>
      <c r="Z104" s="137"/>
      <c r="AA104" s="136"/>
      <c r="AB104" s="566" t="str">
        <f t="shared" si="26"/>
        <v/>
      </c>
      <c r="AC104" s="568" t="str">
        <f t="shared" si="27"/>
        <v/>
      </c>
      <c r="AD104" s="137"/>
      <c r="AE104" s="137"/>
      <c r="AF104" s="138"/>
      <c r="AG104" s="138"/>
      <c r="AH104" s="592" t="str">
        <f t="shared" si="7"/>
        <v/>
      </c>
      <c r="AI104" s="592" t="str">
        <f t="shared" si="8"/>
        <v/>
      </c>
      <c r="AJ104" s="592" t="str">
        <f t="shared" si="9"/>
        <v/>
      </c>
      <c r="AK104" s="460" t="str">
        <f>IF(AU104="","",IF(OR(AZ104=8,AZ104=9),0,IF(OR(AW104=3,AW104=4,AW104=5,AW104=6),IF(LEFT(BF104,1)="1",INDEX(係数_NOX・PM低減,MATCH(AY104,【参考】排出係数!$AI$801:$AI$804,1),1),VLOOKUP(AU104,INDEX((係数_バス貨物_ガソリン,係数_バス貨物_CNG,係数_バス貨物_軽油,係数_バス貨物_メタノール,係数_バス貨物_LPG),MATCH(AY104,【参考】排出係数!$AI$4:$AI$671,1),1,BE104):INDEX((係数_バス貨物_ガソリン,係数_バス貨物_CNG,係数_バス貨物_軽油,係数_バス貨物_メタノール,係数_バス貨物_LPG),MATCH(AY104+1,【参考】排出係数!$AI$4:$AI$671,1)-1,5,BE104),4,FALSE)),IF(AND(BE104=3,LEFT(BF104,1)="1"),0.48,VLOOKUP(AU104,INDEX((係数_乗用_ガソリン,係数_乗用_CNG,係数_乗用_軽油,係数_乗用_メタノール,係数_乗用_LPG),1,1,BE104):INDEX((係数_乗用_ガソリン,係数_乗用_CNG,係数_乗用_軽油,係数_乗用_メタノール,係数_乗用_LPG),125,5,BE104),4,FALSE)))))</f>
        <v/>
      </c>
      <c r="AL104" s="461" t="str">
        <f t="shared" si="50"/>
        <v/>
      </c>
      <c r="AM104" s="460" t="str">
        <f>IF(AU104="","",IF(OR(AZ104=8,AZ104=9),0,IF(OR(AW104=3,AW104=4,AW104=5,AW104=6),IF(LEFT(BH104,1)="1",INDEX(係数_PM低減,MATCH(AY104,【参考】排出係数!$AI$801:$AI$804,1),MATCH(BI104,【参考】排出係数!$AL$798:$AO$798,1)),VLOOKUP(AU104,INDEX((係数_バス貨物_ガソリン,係数_バス貨物_CNG,係数_バス貨物_軽油,係数_バス貨物_メタノール,係数_バス貨物_LPG),MATCH(AY104,【参考】排出係数!$AI$4:$AI$671,1),1,BE104):INDEX((係数_バス貨物_ガソリン,係数_バス貨物_CNG,係数_バス貨物_軽油,係数_バス貨物_メタノール,係数_バス貨物_LPG),MATCH(AY104+1,【参考】排出係数!$AI$4:$AI$671,1)-1,5,BE104),5,FALSE)),IF(AND(BE104=3,LEFT(BF104,1)="1"),0.055,VLOOKUP(AU104,INDEX((係数_乗用_ガソリン,係数_乗用_CNG,係数_乗用_軽油,係数_乗用_メタノール,係数_乗用_LPG),1,1,BE104):INDEX((係数_乗用_ガソリン,係数_乗用_CNG,係数_乗用_軽油,係数_乗用_メタノール,係数_乗用_LPG),125,5,BE104),5,FALSE)))))</f>
        <v/>
      </c>
      <c r="AN104" s="461" t="str">
        <f t="shared" si="51"/>
        <v/>
      </c>
      <c r="AO104" s="462" t="str">
        <f t="shared" si="52"/>
        <v/>
      </c>
      <c r="AP104" s="463" t="str">
        <f t="shared" si="53"/>
        <v/>
      </c>
      <c r="AQ104" s="464"/>
      <c r="AR104" s="619"/>
      <c r="AS104" s="465" t="str">
        <f t="shared" si="28"/>
        <v/>
      </c>
      <c r="AT104" s="465" t="str">
        <f t="shared" si="29"/>
        <v/>
      </c>
      <c r="AU104" s="466" t="str">
        <f t="shared" si="30"/>
        <v/>
      </c>
      <c r="AV104" s="467" t="str">
        <f t="shared" si="31"/>
        <v/>
      </c>
      <c r="AW104" s="467" t="str">
        <f t="shared" si="32"/>
        <v/>
      </c>
      <c r="AX104" s="467" t="str">
        <f t="shared" si="33"/>
        <v/>
      </c>
      <c r="AY104" s="467" t="str">
        <f t="shared" si="34"/>
        <v/>
      </c>
      <c r="AZ104" s="467" t="str">
        <f t="shared" si="35"/>
        <v/>
      </c>
      <c r="BA104" s="468" t="str">
        <f>IF(AS104="","",IF(OR(AU104="",AU104="-"),"－",IF(OR(AZ104=8,AZ104=9),"",IF(OR(AW104=3,AW104=4,AW104=5,AW104=6),VLOOKUP(AU104,INDEX((係数_バス貨物_ガソリン,係数_バス貨物_CNG,係数_バス貨物_軽油,係数_バス貨物_メタノール,係数_バス貨物_LPG),MATCH(AY104,【参考】排出係数!$AI$4:$AI$671,1),1,BE104):INDEX((係数_バス貨物_ガソリン,係数_バス貨物_CNG,係数_バス貨物_軽油,係数_バス貨物_メタノール,係数_バス貨物_LPG),MATCH(AY104+1,【参考】排出係数!$AI$4:$AI$671,1)-1,5,BE104),2,FALSE),IF(OR(AW104=1,AW104=2),VLOOKUP(AU104,INDEX((係数_乗用_ガソリン,係数_乗用_CNG,係数_乗用_軽油,係数_乗用_メタノール,係数_乗用_LPG),1,1,BE104):INDEX((係数_乗用_ガソリン,係数_乗用_CNG,係数_乗用_軽油,係数_乗用_メタノール,係数_乗用_LPG),125,5,BE104),2,FALSE))))))</f>
        <v/>
      </c>
      <c r="BB104" s="468" t="str">
        <f>IF(T104="","",IF(OR(AU104="",AU104="-"),"－",IF(OR(AZ104=8,AZ104=9),"",IF(OR(AW104=3,AW104=4,AW104=5,AW104=6),VLOOKUP(AU104,INDEX((係数_バス貨物_ガソリン,係数_バス貨物_CNG,係数_バス貨物_軽油,係数_バス貨物_メタノール,係数_バス貨物_LPG),MATCH(AY104,【参考】排出係数!$AI$4:$AI$671,1),1,BE104):INDEX((係数_バス貨物_ガソリン,係数_バス貨物_CNG,係数_バス貨物_軽油,係数_バス貨物_メタノール,係数_バス貨物_LPG),MATCH(AY104+1,【参考】排出係数!$AI$4:$AI$671,1)-1,5,BE104),3,FALSE),IF(OR(AW104=1,AW104=2),VLOOKUP(AU104,INDEX((係数_乗用_ガソリン,係数_乗用_CNG,係数_乗用_軽油,係数_乗用_メタノール,係数_乗用_LPG),1,1,BE104):INDEX((係数_乗用_ガソリン,係数_乗用_CNG,係数_乗用_軽油,係数_乗用_メタノール,係数_乗用_LPG),125,5,BE104),3,FALSE))))))</f>
        <v/>
      </c>
      <c r="BC104" s="467" t="str">
        <f t="shared" si="36"/>
        <v/>
      </c>
      <c r="BD104" s="567" t="str">
        <f t="shared" si="37"/>
        <v/>
      </c>
      <c r="BE104" s="467" t="str">
        <f t="shared" si="38"/>
        <v/>
      </c>
      <c r="BF104" s="469" t="str">
        <f t="shared" ca="1" si="39"/>
        <v/>
      </c>
      <c r="BG104" s="469" t="str">
        <f t="shared" ca="1" si="40"/>
        <v/>
      </c>
      <c r="BH104" s="467" t="str">
        <f t="shared" si="41"/>
        <v/>
      </c>
      <c r="BI104" s="467" t="str">
        <f t="shared" ca="1" si="42"/>
        <v/>
      </c>
      <c r="BJ104" s="469" t="str">
        <f t="shared" si="43"/>
        <v/>
      </c>
      <c r="BK104" s="470" t="str">
        <f t="shared" si="22"/>
        <v/>
      </c>
      <c r="BL104" s="775" t="str">
        <f t="shared" si="44"/>
        <v/>
      </c>
      <c r="BM104" s="775" t="str">
        <f t="shared" si="45"/>
        <v/>
      </c>
      <c r="BO104" s="472"/>
    </row>
    <row r="105" spans="1:67" s="471" customFormat="1" ht="13.5" customHeight="1">
      <c r="A105" s="473">
        <v>49</v>
      </c>
      <c r="B105" s="132"/>
      <c r="C105" s="332"/>
      <c r="D105" s="333"/>
      <c r="E105" s="333"/>
      <c r="F105" s="334"/>
      <c r="G105" s="337"/>
      <c r="H105" s="131"/>
      <c r="I105" s="337"/>
      <c r="J105" s="131"/>
      <c r="K105" s="458" t="str">
        <f t="shared" si="0"/>
        <v/>
      </c>
      <c r="L105" s="458">
        <f t="shared" si="23"/>
        <v>0</v>
      </c>
      <c r="M105" s="458">
        <f t="shared" si="24"/>
        <v>0</v>
      </c>
      <c r="N105" s="459" t="str">
        <f t="shared" si="1"/>
        <v/>
      </c>
      <c r="O105" s="459" t="str">
        <f t="shared" si="2"/>
        <v/>
      </c>
      <c r="P105" s="459" t="str">
        <f t="shared" si="3"/>
        <v/>
      </c>
      <c r="Q105" s="459" t="str">
        <f t="shared" si="4"/>
        <v/>
      </c>
      <c r="R105" s="459" t="str">
        <f t="shared" si="5"/>
        <v/>
      </c>
      <c r="S105" s="459" t="str">
        <f t="shared" si="6"/>
        <v/>
      </c>
      <c r="T105" s="566" t="str">
        <f t="shared" si="25"/>
        <v/>
      </c>
      <c r="U105" s="702"/>
      <c r="V105" s="132"/>
      <c r="W105" s="133"/>
      <c r="X105" s="134"/>
      <c r="Y105" s="135"/>
      <c r="Z105" s="137"/>
      <c r="AA105" s="136"/>
      <c r="AB105" s="566" t="str">
        <f t="shared" si="26"/>
        <v/>
      </c>
      <c r="AC105" s="568" t="str">
        <f t="shared" si="27"/>
        <v/>
      </c>
      <c r="AD105" s="137"/>
      <c r="AE105" s="137"/>
      <c r="AF105" s="138"/>
      <c r="AG105" s="138"/>
      <c r="AH105" s="592" t="str">
        <f t="shared" si="7"/>
        <v/>
      </c>
      <c r="AI105" s="592" t="str">
        <f t="shared" si="8"/>
        <v/>
      </c>
      <c r="AJ105" s="592" t="str">
        <f t="shared" si="9"/>
        <v/>
      </c>
      <c r="AK105" s="460" t="str">
        <f>IF(AU105="","",IF(OR(AZ105=8,AZ105=9),0,IF(OR(AW105=3,AW105=4,AW105=5,AW105=6),IF(LEFT(BF105,1)="1",INDEX(係数_NOX・PM低減,MATCH(AY105,【参考】排出係数!$AI$801:$AI$804,1),1),VLOOKUP(AU105,INDEX((係数_バス貨物_ガソリン,係数_バス貨物_CNG,係数_バス貨物_軽油,係数_バス貨物_メタノール,係数_バス貨物_LPG),MATCH(AY105,【参考】排出係数!$AI$4:$AI$671,1),1,BE105):INDEX((係数_バス貨物_ガソリン,係数_バス貨物_CNG,係数_バス貨物_軽油,係数_バス貨物_メタノール,係数_バス貨物_LPG),MATCH(AY105+1,【参考】排出係数!$AI$4:$AI$671,1)-1,5,BE105),4,FALSE)),IF(AND(BE105=3,LEFT(BF105,1)="1"),0.48,VLOOKUP(AU105,INDEX((係数_乗用_ガソリン,係数_乗用_CNG,係数_乗用_軽油,係数_乗用_メタノール,係数_乗用_LPG),1,1,BE105):INDEX((係数_乗用_ガソリン,係数_乗用_CNG,係数_乗用_軽油,係数_乗用_メタノール,係数_乗用_LPG),125,5,BE105),4,FALSE)))))</f>
        <v/>
      </c>
      <c r="AL105" s="461" t="str">
        <f t="shared" si="50"/>
        <v/>
      </c>
      <c r="AM105" s="460" t="str">
        <f>IF(AU105="","",IF(OR(AZ105=8,AZ105=9),0,IF(OR(AW105=3,AW105=4,AW105=5,AW105=6),IF(LEFT(BH105,1)="1",INDEX(係数_PM低減,MATCH(AY105,【参考】排出係数!$AI$801:$AI$804,1),MATCH(BI105,【参考】排出係数!$AL$798:$AO$798,1)),VLOOKUP(AU105,INDEX((係数_バス貨物_ガソリン,係数_バス貨物_CNG,係数_バス貨物_軽油,係数_バス貨物_メタノール,係数_バス貨物_LPG),MATCH(AY105,【参考】排出係数!$AI$4:$AI$671,1),1,BE105):INDEX((係数_バス貨物_ガソリン,係数_バス貨物_CNG,係数_バス貨物_軽油,係数_バス貨物_メタノール,係数_バス貨物_LPG),MATCH(AY105+1,【参考】排出係数!$AI$4:$AI$671,1)-1,5,BE105),5,FALSE)),IF(AND(BE105=3,LEFT(BF105,1)="1"),0.055,VLOOKUP(AU105,INDEX((係数_乗用_ガソリン,係数_乗用_CNG,係数_乗用_軽油,係数_乗用_メタノール,係数_乗用_LPG),1,1,BE105):INDEX((係数_乗用_ガソリン,係数_乗用_CNG,係数_乗用_軽油,係数_乗用_メタノール,係数_乗用_LPG),125,5,BE105),5,FALSE)))))</f>
        <v/>
      </c>
      <c r="AN105" s="461" t="str">
        <f t="shared" si="51"/>
        <v/>
      </c>
      <c r="AO105" s="462" t="str">
        <f t="shared" si="52"/>
        <v/>
      </c>
      <c r="AP105" s="463" t="str">
        <f t="shared" si="53"/>
        <v/>
      </c>
      <c r="AQ105" s="464"/>
      <c r="AR105" s="619"/>
      <c r="AS105" s="465" t="str">
        <f t="shared" si="28"/>
        <v/>
      </c>
      <c r="AT105" s="465" t="str">
        <f t="shared" si="29"/>
        <v/>
      </c>
      <c r="AU105" s="466" t="str">
        <f t="shared" si="30"/>
        <v/>
      </c>
      <c r="AV105" s="467" t="str">
        <f t="shared" si="31"/>
        <v/>
      </c>
      <c r="AW105" s="467" t="str">
        <f t="shared" si="32"/>
        <v/>
      </c>
      <c r="AX105" s="467" t="str">
        <f t="shared" si="33"/>
        <v/>
      </c>
      <c r="AY105" s="467" t="str">
        <f t="shared" si="34"/>
        <v/>
      </c>
      <c r="AZ105" s="467" t="str">
        <f t="shared" si="35"/>
        <v/>
      </c>
      <c r="BA105" s="468" t="str">
        <f>IF(AS105="","",IF(OR(AU105="",AU105="-"),"－",IF(OR(AZ105=8,AZ105=9),"",IF(OR(AW105=3,AW105=4,AW105=5,AW105=6),VLOOKUP(AU105,INDEX((係数_バス貨物_ガソリン,係数_バス貨物_CNG,係数_バス貨物_軽油,係数_バス貨物_メタノール,係数_バス貨物_LPG),MATCH(AY105,【参考】排出係数!$AI$4:$AI$671,1),1,BE105):INDEX((係数_バス貨物_ガソリン,係数_バス貨物_CNG,係数_バス貨物_軽油,係数_バス貨物_メタノール,係数_バス貨物_LPG),MATCH(AY105+1,【参考】排出係数!$AI$4:$AI$671,1)-1,5,BE105),2,FALSE),IF(OR(AW105=1,AW105=2),VLOOKUP(AU105,INDEX((係数_乗用_ガソリン,係数_乗用_CNG,係数_乗用_軽油,係数_乗用_メタノール,係数_乗用_LPG),1,1,BE105):INDEX((係数_乗用_ガソリン,係数_乗用_CNG,係数_乗用_軽油,係数_乗用_メタノール,係数_乗用_LPG),125,5,BE105),2,FALSE))))))</f>
        <v/>
      </c>
      <c r="BB105" s="468" t="str">
        <f>IF(T105="","",IF(OR(AU105="",AU105="-"),"－",IF(OR(AZ105=8,AZ105=9),"",IF(OR(AW105=3,AW105=4,AW105=5,AW105=6),VLOOKUP(AU105,INDEX((係数_バス貨物_ガソリン,係数_バス貨物_CNG,係数_バス貨物_軽油,係数_バス貨物_メタノール,係数_バス貨物_LPG),MATCH(AY105,【参考】排出係数!$AI$4:$AI$671,1),1,BE105):INDEX((係数_バス貨物_ガソリン,係数_バス貨物_CNG,係数_バス貨物_軽油,係数_バス貨物_メタノール,係数_バス貨物_LPG),MATCH(AY105+1,【参考】排出係数!$AI$4:$AI$671,1)-1,5,BE105),3,FALSE),IF(OR(AW105=1,AW105=2),VLOOKUP(AU105,INDEX((係数_乗用_ガソリン,係数_乗用_CNG,係数_乗用_軽油,係数_乗用_メタノール,係数_乗用_LPG),1,1,BE105):INDEX((係数_乗用_ガソリン,係数_乗用_CNG,係数_乗用_軽油,係数_乗用_メタノール,係数_乗用_LPG),125,5,BE105),3,FALSE))))))</f>
        <v/>
      </c>
      <c r="BC105" s="467" t="str">
        <f t="shared" si="36"/>
        <v/>
      </c>
      <c r="BD105" s="567" t="str">
        <f t="shared" si="37"/>
        <v/>
      </c>
      <c r="BE105" s="467" t="str">
        <f t="shared" si="38"/>
        <v/>
      </c>
      <c r="BF105" s="469" t="str">
        <f t="shared" ca="1" si="39"/>
        <v/>
      </c>
      <c r="BG105" s="469" t="str">
        <f t="shared" ca="1" si="40"/>
        <v/>
      </c>
      <c r="BH105" s="467" t="str">
        <f t="shared" si="41"/>
        <v/>
      </c>
      <c r="BI105" s="467" t="str">
        <f t="shared" ca="1" si="42"/>
        <v/>
      </c>
      <c r="BJ105" s="469" t="str">
        <f t="shared" si="43"/>
        <v/>
      </c>
      <c r="BK105" s="470" t="str">
        <f t="shared" si="22"/>
        <v/>
      </c>
      <c r="BL105" s="775" t="str">
        <f t="shared" si="44"/>
        <v/>
      </c>
      <c r="BM105" s="775" t="str">
        <f t="shared" si="45"/>
        <v/>
      </c>
      <c r="BO105" s="472"/>
    </row>
    <row r="106" spans="1:67" s="471" customFormat="1" ht="13.5" customHeight="1">
      <c r="A106" s="473">
        <v>50</v>
      </c>
      <c r="B106" s="132"/>
      <c r="C106" s="332"/>
      <c r="D106" s="333"/>
      <c r="E106" s="333"/>
      <c r="F106" s="334"/>
      <c r="G106" s="337"/>
      <c r="H106" s="131"/>
      <c r="I106" s="337"/>
      <c r="J106" s="131"/>
      <c r="K106" s="458" t="str">
        <f t="shared" si="0"/>
        <v/>
      </c>
      <c r="L106" s="458">
        <f t="shared" si="23"/>
        <v>0</v>
      </c>
      <c r="M106" s="458">
        <f t="shared" si="24"/>
        <v>0</v>
      </c>
      <c r="N106" s="459" t="str">
        <f t="shared" si="1"/>
        <v/>
      </c>
      <c r="O106" s="459" t="str">
        <f t="shared" si="2"/>
        <v/>
      </c>
      <c r="P106" s="459" t="str">
        <f t="shared" si="3"/>
        <v/>
      </c>
      <c r="Q106" s="459" t="str">
        <f t="shared" si="4"/>
        <v/>
      </c>
      <c r="R106" s="459" t="str">
        <f t="shared" si="5"/>
        <v/>
      </c>
      <c r="S106" s="459" t="str">
        <f t="shared" si="6"/>
        <v/>
      </c>
      <c r="T106" s="566" t="str">
        <f t="shared" si="25"/>
        <v/>
      </c>
      <c r="U106" s="702"/>
      <c r="V106" s="132"/>
      <c r="W106" s="133"/>
      <c r="X106" s="134"/>
      <c r="Y106" s="135"/>
      <c r="Z106" s="137"/>
      <c r="AA106" s="136"/>
      <c r="AB106" s="566" t="str">
        <f t="shared" si="26"/>
        <v/>
      </c>
      <c r="AC106" s="568" t="str">
        <f t="shared" si="27"/>
        <v/>
      </c>
      <c r="AD106" s="137"/>
      <c r="AE106" s="137"/>
      <c r="AF106" s="138"/>
      <c r="AG106" s="138"/>
      <c r="AH106" s="592" t="str">
        <f t="shared" si="7"/>
        <v/>
      </c>
      <c r="AI106" s="592" t="str">
        <f t="shared" si="8"/>
        <v/>
      </c>
      <c r="AJ106" s="592" t="str">
        <f t="shared" si="9"/>
        <v/>
      </c>
      <c r="AK106" s="460" t="str">
        <f>IF(AU106="","",IF(OR(AZ106=8,AZ106=9),0,IF(OR(AW106=3,AW106=4,AW106=5,AW106=6),IF(LEFT(BF106,1)="1",INDEX(係数_NOX・PM低減,MATCH(AY106,【参考】排出係数!$AI$801:$AI$804,1),1),VLOOKUP(AU106,INDEX((係数_バス貨物_ガソリン,係数_バス貨物_CNG,係数_バス貨物_軽油,係数_バス貨物_メタノール,係数_バス貨物_LPG),MATCH(AY106,【参考】排出係数!$AI$4:$AI$671,1),1,BE106):INDEX((係数_バス貨物_ガソリン,係数_バス貨物_CNG,係数_バス貨物_軽油,係数_バス貨物_メタノール,係数_バス貨物_LPG),MATCH(AY106+1,【参考】排出係数!$AI$4:$AI$671,1)-1,5,BE106),4,FALSE)),IF(AND(BE106=3,LEFT(BF106,1)="1"),0.48,VLOOKUP(AU106,INDEX((係数_乗用_ガソリン,係数_乗用_CNG,係数_乗用_軽油,係数_乗用_メタノール,係数_乗用_LPG),1,1,BE106):INDEX((係数_乗用_ガソリン,係数_乗用_CNG,係数_乗用_軽油,係数_乗用_メタノール,係数_乗用_LPG),125,5,BE106),4,FALSE)))))</f>
        <v/>
      </c>
      <c r="AL106" s="461" t="str">
        <f t="shared" si="50"/>
        <v/>
      </c>
      <c r="AM106" s="460" t="str">
        <f>IF(AU106="","",IF(OR(AZ106=8,AZ106=9),0,IF(OR(AW106=3,AW106=4,AW106=5,AW106=6),IF(LEFT(BH106,1)="1",INDEX(係数_PM低減,MATCH(AY106,【参考】排出係数!$AI$801:$AI$804,1),MATCH(BI106,【参考】排出係数!$AL$798:$AO$798,1)),VLOOKUP(AU106,INDEX((係数_バス貨物_ガソリン,係数_バス貨物_CNG,係数_バス貨物_軽油,係数_バス貨物_メタノール,係数_バス貨物_LPG),MATCH(AY106,【参考】排出係数!$AI$4:$AI$671,1),1,BE106):INDEX((係数_バス貨物_ガソリン,係数_バス貨物_CNG,係数_バス貨物_軽油,係数_バス貨物_メタノール,係数_バス貨物_LPG),MATCH(AY106+1,【参考】排出係数!$AI$4:$AI$671,1)-1,5,BE106),5,FALSE)),IF(AND(BE106=3,LEFT(BF106,1)="1"),0.055,VLOOKUP(AU106,INDEX((係数_乗用_ガソリン,係数_乗用_CNG,係数_乗用_軽油,係数_乗用_メタノール,係数_乗用_LPG),1,1,BE106):INDEX((係数_乗用_ガソリン,係数_乗用_CNG,係数_乗用_軽油,係数_乗用_メタノール,係数_乗用_LPG),125,5,BE106),5,FALSE)))))</f>
        <v/>
      </c>
      <c r="AN106" s="461" t="str">
        <f t="shared" si="51"/>
        <v/>
      </c>
      <c r="AO106" s="462" t="str">
        <f t="shared" si="52"/>
        <v/>
      </c>
      <c r="AP106" s="463" t="str">
        <f t="shared" si="53"/>
        <v/>
      </c>
      <c r="AQ106" s="464"/>
      <c r="AR106" s="619"/>
      <c r="AS106" s="465" t="str">
        <f t="shared" si="28"/>
        <v/>
      </c>
      <c r="AT106" s="465" t="str">
        <f t="shared" si="29"/>
        <v/>
      </c>
      <c r="AU106" s="466" t="str">
        <f t="shared" si="30"/>
        <v/>
      </c>
      <c r="AV106" s="467" t="str">
        <f t="shared" si="31"/>
        <v/>
      </c>
      <c r="AW106" s="467" t="str">
        <f t="shared" si="32"/>
        <v/>
      </c>
      <c r="AX106" s="467" t="str">
        <f t="shared" si="33"/>
        <v/>
      </c>
      <c r="AY106" s="467" t="str">
        <f t="shared" si="34"/>
        <v/>
      </c>
      <c r="AZ106" s="467" t="str">
        <f t="shared" si="35"/>
        <v/>
      </c>
      <c r="BA106" s="468" t="str">
        <f>IF(AS106="","",IF(OR(AU106="",AU106="-"),"－",IF(OR(AZ106=8,AZ106=9),"",IF(OR(AW106=3,AW106=4,AW106=5,AW106=6),VLOOKUP(AU106,INDEX((係数_バス貨物_ガソリン,係数_バス貨物_CNG,係数_バス貨物_軽油,係数_バス貨物_メタノール,係数_バス貨物_LPG),MATCH(AY106,【参考】排出係数!$AI$4:$AI$671,1),1,BE106):INDEX((係数_バス貨物_ガソリン,係数_バス貨物_CNG,係数_バス貨物_軽油,係数_バス貨物_メタノール,係数_バス貨物_LPG),MATCH(AY106+1,【参考】排出係数!$AI$4:$AI$671,1)-1,5,BE106),2,FALSE),IF(OR(AW106=1,AW106=2),VLOOKUP(AU106,INDEX((係数_乗用_ガソリン,係数_乗用_CNG,係数_乗用_軽油,係数_乗用_メタノール,係数_乗用_LPG),1,1,BE106):INDEX((係数_乗用_ガソリン,係数_乗用_CNG,係数_乗用_軽油,係数_乗用_メタノール,係数_乗用_LPG),125,5,BE106),2,FALSE))))))</f>
        <v/>
      </c>
      <c r="BB106" s="468" t="str">
        <f>IF(T106="","",IF(OR(AU106="",AU106="-"),"－",IF(OR(AZ106=8,AZ106=9),"",IF(OR(AW106=3,AW106=4,AW106=5,AW106=6),VLOOKUP(AU106,INDEX((係数_バス貨物_ガソリン,係数_バス貨物_CNG,係数_バス貨物_軽油,係数_バス貨物_メタノール,係数_バス貨物_LPG),MATCH(AY106,【参考】排出係数!$AI$4:$AI$671,1),1,BE106):INDEX((係数_バス貨物_ガソリン,係数_バス貨物_CNG,係数_バス貨物_軽油,係数_バス貨物_メタノール,係数_バス貨物_LPG),MATCH(AY106+1,【参考】排出係数!$AI$4:$AI$671,1)-1,5,BE106),3,FALSE),IF(OR(AW106=1,AW106=2),VLOOKUP(AU106,INDEX((係数_乗用_ガソリン,係数_乗用_CNG,係数_乗用_軽油,係数_乗用_メタノール,係数_乗用_LPG),1,1,BE106):INDEX((係数_乗用_ガソリン,係数_乗用_CNG,係数_乗用_軽油,係数_乗用_メタノール,係数_乗用_LPG),125,5,BE106),3,FALSE))))))</f>
        <v/>
      </c>
      <c r="BC106" s="467" t="str">
        <f t="shared" si="36"/>
        <v/>
      </c>
      <c r="BD106" s="567" t="str">
        <f t="shared" si="37"/>
        <v/>
      </c>
      <c r="BE106" s="467" t="str">
        <f t="shared" si="38"/>
        <v/>
      </c>
      <c r="BF106" s="469" t="str">
        <f t="shared" ca="1" si="39"/>
        <v/>
      </c>
      <c r="BG106" s="469" t="str">
        <f t="shared" ca="1" si="40"/>
        <v/>
      </c>
      <c r="BH106" s="467" t="str">
        <f t="shared" si="41"/>
        <v/>
      </c>
      <c r="BI106" s="467" t="str">
        <f t="shared" ca="1" si="42"/>
        <v/>
      </c>
      <c r="BJ106" s="469" t="str">
        <f t="shared" si="43"/>
        <v/>
      </c>
      <c r="BK106" s="470" t="str">
        <f t="shared" si="22"/>
        <v/>
      </c>
      <c r="BL106" s="775" t="str">
        <f t="shared" si="44"/>
        <v/>
      </c>
      <c r="BM106" s="775" t="str">
        <f t="shared" si="45"/>
        <v/>
      </c>
      <c r="BO106" s="472"/>
    </row>
    <row r="107" spans="1:67" s="471" customFormat="1" ht="13.5" customHeight="1">
      <c r="A107" s="473">
        <v>51</v>
      </c>
      <c r="B107" s="132"/>
      <c r="C107" s="332"/>
      <c r="D107" s="333"/>
      <c r="E107" s="333"/>
      <c r="F107" s="334"/>
      <c r="G107" s="337"/>
      <c r="H107" s="131"/>
      <c r="I107" s="337"/>
      <c r="J107" s="131"/>
      <c r="K107" s="458" t="str">
        <f t="shared" si="0"/>
        <v/>
      </c>
      <c r="L107" s="458">
        <f t="shared" si="23"/>
        <v>0</v>
      </c>
      <c r="M107" s="458">
        <f t="shared" si="24"/>
        <v>0</v>
      </c>
      <c r="N107" s="459" t="str">
        <f t="shared" si="1"/>
        <v/>
      </c>
      <c r="O107" s="459" t="str">
        <f t="shared" si="2"/>
        <v/>
      </c>
      <c r="P107" s="459" t="str">
        <f t="shared" si="3"/>
        <v/>
      </c>
      <c r="Q107" s="459" t="str">
        <f t="shared" si="4"/>
        <v/>
      </c>
      <c r="R107" s="459" t="str">
        <f t="shared" si="5"/>
        <v/>
      </c>
      <c r="S107" s="459" t="str">
        <f t="shared" si="6"/>
        <v/>
      </c>
      <c r="T107" s="566" t="str">
        <f t="shared" si="25"/>
        <v/>
      </c>
      <c r="U107" s="702"/>
      <c r="V107" s="132"/>
      <c r="W107" s="133"/>
      <c r="X107" s="134"/>
      <c r="Y107" s="135"/>
      <c r="Z107" s="137"/>
      <c r="AA107" s="136"/>
      <c r="AB107" s="566" t="str">
        <f t="shared" si="26"/>
        <v/>
      </c>
      <c r="AC107" s="568" t="str">
        <f t="shared" si="27"/>
        <v/>
      </c>
      <c r="AD107" s="137"/>
      <c r="AE107" s="137"/>
      <c r="AF107" s="138"/>
      <c r="AG107" s="138"/>
      <c r="AH107" s="592" t="str">
        <f t="shared" si="7"/>
        <v/>
      </c>
      <c r="AI107" s="592" t="str">
        <f t="shared" si="8"/>
        <v/>
      </c>
      <c r="AJ107" s="592" t="str">
        <f t="shared" si="9"/>
        <v/>
      </c>
      <c r="AK107" s="460" t="str">
        <f>IF(AU107="","",IF(OR(AZ107=8,AZ107=9),0,IF(OR(AW107=3,AW107=4,AW107=5,AW107=6),IF(LEFT(BF107,1)="1",INDEX(係数_NOX・PM低減,MATCH(AY107,【参考】排出係数!$AI$801:$AI$804,1),1),VLOOKUP(AU107,INDEX((係数_バス貨物_ガソリン,係数_バス貨物_CNG,係数_バス貨物_軽油,係数_バス貨物_メタノール,係数_バス貨物_LPG),MATCH(AY107,【参考】排出係数!$AI$4:$AI$671,1),1,BE107):INDEX((係数_バス貨物_ガソリン,係数_バス貨物_CNG,係数_バス貨物_軽油,係数_バス貨物_メタノール,係数_バス貨物_LPG),MATCH(AY107+1,【参考】排出係数!$AI$4:$AI$671,1)-1,5,BE107),4,FALSE)),IF(AND(BE107=3,LEFT(BF107,1)="1"),0.48,VLOOKUP(AU107,INDEX((係数_乗用_ガソリン,係数_乗用_CNG,係数_乗用_軽油,係数_乗用_メタノール,係数_乗用_LPG),1,1,BE107):INDEX((係数_乗用_ガソリン,係数_乗用_CNG,係数_乗用_軽油,係数_乗用_メタノール,係数_乗用_LPG),125,5,BE107),4,FALSE)))))</f>
        <v/>
      </c>
      <c r="AL107" s="461" t="str">
        <f t="shared" si="50"/>
        <v/>
      </c>
      <c r="AM107" s="460" t="str">
        <f>IF(AU107="","",IF(OR(AZ107=8,AZ107=9),0,IF(OR(AW107=3,AW107=4,AW107=5,AW107=6),IF(LEFT(BH107,1)="1",INDEX(係数_PM低減,MATCH(AY107,【参考】排出係数!$AI$801:$AI$804,1),MATCH(BI107,【参考】排出係数!$AL$798:$AO$798,1)),VLOOKUP(AU107,INDEX((係数_バス貨物_ガソリン,係数_バス貨物_CNG,係数_バス貨物_軽油,係数_バス貨物_メタノール,係数_バス貨物_LPG),MATCH(AY107,【参考】排出係数!$AI$4:$AI$671,1),1,BE107):INDEX((係数_バス貨物_ガソリン,係数_バス貨物_CNG,係数_バス貨物_軽油,係数_バス貨物_メタノール,係数_バス貨物_LPG),MATCH(AY107+1,【参考】排出係数!$AI$4:$AI$671,1)-1,5,BE107),5,FALSE)),IF(AND(BE107=3,LEFT(BF107,1)="1"),0.055,VLOOKUP(AU107,INDEX((係数_乗用_ガソリン,係数_乗用_CNG,係数_乗用_軽油,係数_乗用_メタノール,係数_乗用_LPG),1,1,BE107):INDEX((係数_乗用_ガソリン,係数_乗用_CNG,係数_乗用_軽油,係数_乗用_メタノール,係数_乗用_LPG),125,5,BE107),5,FALSE)))))</f>
        <v/>
      </c>
      <c r="AN107" s="461" t="str">
        <f t="shared" si="51"/>
        <v/>
      </c>
      <c r="AO107" s="462" t="str">
        <f t="shared" si="52"/>
        <v/>
      </c>
      <c r="AP107" s="463" t="str">
        <f t="shared" si="53"/>
        <v/>
      </c>
      <c r="AQ107" s="464"/>
      <c r="AR107" s="619"/>
      <c r="AS107" s="465" t="str">
        <f t="shared" si="28"/>
        <v/>
      </c>
      <c r="AT107" s="465" t="str">
        <f t="shared" si="29"/>
        <v/>
      </c>
      <c r="AU107" s="466" t="str">
        <f t="shared" si="30"/>
        <v/>
      </c>
      <c r="AV107" s="467" t="str">
        <f t="shared" si="31"/>
        <v/>
      </c>
      <c r="AW107" s="467" t="str">
        <f t="shared" si="32"/>
        <v/>
      </c>
      <c r="AX107" s="467" t="str">
        <f t="shared" si="33"/>
        <v/>
      </c>
      <c r="AY107" s="467" t="str">
        <f t="shared" si="34"/>
        <v/>
      </c>
      <c r="AZ107" s="467" t="str">
        <f t="shared" si="35"/>
        <v/>
      </c>
      <c r="BA107" s="468" t="str">
        <f>IF(AS107="","",IF(OR(AU107="",AU107="-"),"－",IF(OR(AZ107=8,AZ107=9),"",IF(OR(AW107=3,AW107=4,AW107=5,AW107=6),VLOOKUP(AU107,INDEX((係数_バス貨物_ガソリン,係数_バス貨物_CNG,係数_バス貨物_軽油,係数_バス貨物_メタノール,係数_バス貨物_LPG),MATCH(AY107,【参考】排出係数!$AI$4:$AI$671,1),1,BE107):INDEX((係数_バス貨物_ガソリン,係数_バス貨物_CNG,係数_バス貨物_軽油,係数_バス貨物_メタノール,係数_バス貨物_LPG),MATCH(AY107+1,【参考】排出係数!$AI$4:$AI$671,1)-1,5,BE107),2,FALSE),IF(OR(AW107=1,AW107=2),VLOOKUP(AU107,INDEX((係数_乗用_ガソリン,係数_乗用_CNG,係数_乗用_軽油,係数_乗用_メタノール,係数_乗用_LPG),1,1,BE107):INDEX((係数_乗用_ガソリン,係数_乗用_CNG,係数_乗用_軽油,係数_乗用_メタノール,係数_乗用_LPG),125,5,BE107),2,FALSE))))))</f>
        <v/>
      </c>
      <c r="BB107" s="468" t="str">
        <f>IF(T107="","",IF(OR(AU107="",AU107="-"),"－",IF(OR(AZ107=8,AZ107=9),"",IF(OR(AW107=3,AW107=4,AW107=5,AW107=6),VLOOKUP(AU107,INDEX((係数_バス貨物_ガソリン,係数_バス貨物_CNG,係数_バス貨物_軽油,係数_バス貨物_メタノール,係数_バス貨物_LPG),MATCH(AY107,【参考】排出係数!$AI$4:$AI$671,1),1,BE107):INDEX((係数_バス貨物_ガソリン,係数_バス貨物_CNG,係数_バス貨物_軽油,係数_バス貨物_メタノール,係数_バス貨物_LPG),MATCH(AY107+1,【参考】排出係数!$AI$4:$AI$671,1)-1,5,BE107),3,FALSE),IF(OR(AW107=1,AW107=2),VLOOKUP(AU107,INDEX((係数_乗用_ガソリン,係数_乗用_CNG,係数_乗用_軽油,係数_乗用_メタノール,係数_乗用_LPG),1,1,BE107):INDEX((係数_乗用_ガソリン,係数_乗用_CNG,係数_乗用_軽油,係数_乗用_メタノール,係数_乗用_LPG),125,5,BE107),3,FALSE))))))</f>
        <v/>
      </c>
      <c r="BC107" s="467" t="str">
        <f t="shared" si="36"/>
        <v/>
      </c>
      <c r="BD107" s="567" t="str">
        <f t="shared" si="37"/>
        <v/>
      </c>
      <c r="BE107" s="467" t="str">
        <f t="shared" si="38"/>
        <v/>
      </c>
      <c r="BF107" s="469" t="str">
        <f t="shared" ca="1" si="39"/>
        <v/>
      </c>
      <c r="BG107" s="469" t="str">
        <f t="shared" ca="1" si="40"/>
        <v/>
      </c>
      <c r="BH107" s="467" t="str">
        <f t="shared" si="41"/>
        <v/>
      </c>
      <c r="BI107" s="467" t="str">
        <f t="shared" ca="1" si="42"/>
        <v/>
      </c>
      <c r="BJ107" s="469" t="str">
        <f t="shared" si="43"/>
        <v/>
      </c>
      <c r="BK107" s="470" t="str">
        <f t="shared" si="22"/>
        <v/>
      </c>
      <c r="BL107" s="775" t="str">
        <f t="shared" si="44"/>
        <v/>
      </c>
      <c r="BM107" s="775" t="str">
        <f t="shared" si="45"/>
        <v/>
      </c>
      <c r="BO107" s="472"/>
    </row>
    <row r="108" spans="1:67" s="471" customFormat="1" ht="13.5" customHeight="1">
      <c r="A108" s="473">
        <v>52</v>
      </c>
      <c r="B108" s="132"/>
      <c r="C108" s="332"/>
      <c r="D108" s="333"/>
      <c r="E108" s="333"/>
      <c r="F108" s="334"/>
      <c r="G108" s="337"/>
      <c r="H108" s="131"/>
      <c r="I108" s="337"/>
      <c r="J108" s="131"/>
      <c r="K108" s="458" t="str">
        <f t="shared" si="0"/>
        <v/>
      </c>
      <c r="L108" s="458">
        <f t="shared" si="23"/>
        <v>0</v>
      </c>
      <c r="M108" s="458">
        <f t="shared" si="24"/>
        <v>0</v>
      </c>
      <c r="N108" s="459" t="str">
        <f t="shared" si="1"/>
        <v/>
      </c>
      <c r="O108" s="459" t="str">
        <f t="shared" si="2"/>
        <v/>
      </c>
      <c r="P108" s="459" t="str">
        <f t="shared" si="3"/>
        <v/>
      </c>
      <c r="Q108" s="459" t="str">
        <f t="shared" si="4"/>
        <v/>
      </c>
      <c r="R108" s="459" t="str">
        <f t="shared" si="5"/>
        <v/>
      </c>
      <c r="S108" s="459" t="str">
        <f t="shared" si="6"/>
        <v/>
      </c>
      <c r="T108" s="566" t="str">
        <f t="shared" si="25"/>
        <v/>
      </c>
      <c r="U108" s="702"/>
      <c r="V108" s="132"/>
      <c r="W108" s="133"/>
      <c r="X108" s="134"/>
      <c r="Y108" s="135"/>
      <c r="Z108" s="137"/>
      <c r="AA108" s="136"/>
      <c r="AB108" s="566" t="str">
        <f t="shared" si="26"/>
        <v/>
      </c>
      <c r="AC108" s="568" t="str">
        <f t="shared" si="27"/>
        <v/>
      </c>
      <c r="AD108" s="137"/>
      <c r="AE108" s="137"/>
      <c r="AF108" s="138"/>
      <c r="AG108" s="138"/>
      <c r="AH108" s="592" t="str">
        <f t="shared" si="7"/>
        <v/>
      </c>
      <c r="AI108" s="592" t="str">
        <f t="shared" si="8"/>
        <v/>
      </c>
      <c r="AJ108" s="592" t="str">
        <f t="shared" si="9"/>
        <v/>
      </c>
      <c r="AK108" s="460" t="str">
        <f>IF(AU108="","",IF(OR(AZ108=8,AZ108=9),0,IF(OR(AW108=3,AW108=4,AW108=5,AW108=6),IF(LEFT(BF108,1)="1",INDEX(係数_NOX・PM低減,MATCH(AY108,【参考】排出係数!$AI$801:$AI$804,1),1),VLOOKUP(AU108,INDEX((係数_バス貨物_ガソリン,係数_バス貨物_CNG,係数_バス貨物_軽油,係数_バス貨物_メタノール,係数_バス貨物_LPG),MATCH(AY108,【参考】排出係数!$AI$4:$AI$671,1),1,BE108):INDEX((係数_バス貨物_ガソリン,係数_バス貨物_CNG,係数_バス貨物_軽油,係数_バス貨物_メタノール,係数_バス貨物_LPG),MATCH(AY108+1,【参考】排出係数!$AI$4:$AI$671,1)-1,5,BE108),4,FALSE)),IF(AND(BE108=3,LEFT(BF108,1)="1"),0.48,VLOOKUP(AU108,INDEX((係数_乗用_ガソリン,係数_乗用_CNG,係数_乗用_軽油,係数_乗用_メタノール,係数_乗用_LPG),1,1,BE108):INDEX((係数_乗用_ガソリン,係数_乗用_CNG,係数_乗用_軽油,係数_乗用_メタノール,係数_乗用_LPG),125,5,BE108),4,FALSE)))))</f>
        <v/>
      </c>
      <c r="AL108" s="461" t="str">
        <f t="shared" si="50"/>
        <v/>
      </c>
      <c r="AM108" s="460" t="str">
        <f>IF(AU108="","",IF(OR(AZ108=8,AZ108=9),0,IF(OR(AW108=3,AW108=4,AW108=5,AW108=6),IF(LEFT(BH108,1)="1",INDEX(係数_PM低減,MATCH(AY108,【参考】排出係数!$AI$801:$AI$804,1),MATCH(BI108,【参考】排出係数!$AL$798:$AO$798,1)),VLOOKUP(AU108,INDEX((係数_バス貨物_ガソリン,係数_バス貨物_CNG,係数_バス貨物_軽油,係数_バス貨物_メタノール,係数_バス貨物_LPG),MATCH(AY108,【参考】排出係数!$AI$4:$AI$671,1),1,BE108):INDEX((係数_バス貨物_ガソリン,係数_バス貨物_CNG,係数_バス貨物_軽油,係数_バス貨物_メタノール,係数_バス貨物_LPG),MATCH(AY108+1,【参考】排出係数!$AI$4:$AI$671,1)-1,5,BE108),5,FALSE)),IF(AND(BE108=3,LEFT(BF108,1)="1"),0.055,VLOOKUP(AU108,INDEX((係数_乗用_ガソリン,係数_乗用_CNG,係数_乗用_軽油,係数_乗用_メタノール,係数_乗用_LPG),1,1,BE108):INDEX((係数_乗用_ガソリン,係数_乗用_CNG,係数_乗用_軽油,係数_乗用_メタノール,係数_乗用_LPG),125,5,BE108),5,FALSE)))))</f>
        <v/>
      </c>
      <c r="AN108" s="461" t="str">
        <f t="shared" si="51"/>
        <v/>
      </c>
      <c r="AO108" s="462" t="str">
        <f t="shared" si="52"/>
        <v/>
      </c>
      <c r="AP108" s="463" t="str">
        <f t="shared" si="53"/>
        <v/>
      </c>
      <c r="AQ108" s="464"/>
      <c r="AR108" s="619"/>
      <c r="AS108" s="465" t="str">
        <f t="shared" si="28"/>
        <v/>
      </c>
      <c r="AT108" s="465" t="str">
        <f t="shared" si="29"/>
        <v/>
      </c>
      <c r="AU108" s="466" t="str">
        <f t="shared" si="30"/>
        <v/>
      </c>
      <c r="AV108" s="467" t="str">
        <f t="shared" si="31"/>
        <v/>
      </c>
      <c r="AW108" s="467" t="str">
        <f t="shared" si="32"/>
        <v/>
      </c>
      <c r="AX108" s="467" t="str">
        <f t="shared" si="33"/>
        <v/>
      </c>
      <c r="AY108" s="467" t="str">
        <f t="shared" si="34"/>
        <v/>
      </c>
      <c r="AZ108" s="467" t="str">
        <f t="shared" si="35"/>
        <v/>
      </c>
      <c r="BA108" s="468" t="str">
        <f>IF(AS108="","",IF(OR(AU108="",AU108="-"),"－",IF(OR(AZ108=8,AZ108=9),"",IF(OR(AW108=3,AW108=4,AW108=5,AW108=6),VLOOKUP(AU108,INDEX((係数_バス貨物_ガソリン,係数_バス貨物_CNG,係数_バス貨物_軽油,係数_バス貨物_メタノール,係数_バス貨物_LPG),MATCH(AY108,【参考】排出係数!$AI$4:$AI$671,1),1,BE108):INDEX((係数_バス貨物_ガソリン,係数_バス貨物_CNG,係数_バス貨物_軽油,係数_バス貨物_メタノール,係数_バス貨物_LPG),MATCH(AY108+1,【参考】排出係数!$AI$4:$AI$671,1)-1,5,BE108),2,FALSE),IF(OR(AW108=1,AW108=2),VLOOKUP(AU108,INDEX((係数_乗用_ガソリン,係数_乗用_CNG,係数_乗用_軽油,係数_乗用_メタノール,係数_乗用_LPG),1,1,BE108):INDEX((係数_乗用_ガソリン,係数_乗用_CNG,係数_乗用_軽油,係数_乗用_メタノール,係数_乗用_LPG),125,5,BE108),2,FALSE))))))</f>
        <v/>
      </c>
      <c r="BB108" s="468" t="str">
        <f>IF(T108="","",IF(OR(AU108="",AU108="-"),"－",IF(OR(AZ108=8,AZ108=9),"",IF(OR(AW108=3,AW108=4,AW108=5,AW108=6),VLOOKUP(AU108,INDEX((係数_バス貨物_ガソリン,係数_バス貨物_CNG,係数_バス貨物_軽油,係数_バス貨物_メタノール,係数_バス貨物_LPG),MATCH(AY108,【参考】排出係数!$AI$4:$AI$671,1),1,BE108):INDEX((係数_バス貨物_ガソリン,係数_バス貨物_CNG,係数_バス貨物_軽油,係数_バス貨物_メタノール,係数_バス貨物_LPG),MATCH(AY108+1,【参考】排出係数!$AI$4:$AI$671,1)-1,5,BE108),3,FALSE),IF(OR(AW108=1,AW108=2),VLOOKUP(AU108,INDEX((係数_乗用_ガソリン,係数_乗用_CNG,係数_乗用_軽油,係数_乗用_メタノール,係数_乗用_LPG),1,1,BE108):INDEX((係数_乗用_ガソリン,係数_乗用_CNG,係数_乗用_軽油,係数_乗用_メタノール,係数_乗用_LPG),125,5,BE108),3,FALSE))))))</f>
        <v/>
      </c>
      <c r="BC108" s="467" t="str">
        <f t="shared" si="36"/>
        <v/>
      </c>
      <c r="BD108" s="567" t="str">
        <f t="shared" si="37"/>
        <v/>
      </c>
      <c r="BE108" s="467" t="str">
        <f t="shared" si="38"/>
        <v/>
      </c>
      <c r="BF108" s="469" t="str">
        <f t="shared" ca="1" si="39"/>
        <v/>
      </c>
      <c r="BG108" s="469" t="str">
        <f t="shared" ca="1" si="40"/>
        <v/>
      </c>
      <c r="BH108" s="467" t="str">
        <f t="shared" si="41"/>
        <v/>
      </c>
      <c r="BI108" s="467" t="str">
        <f t="shared" ca="1" si="42"/>
        <v/>
      </c>
      <c r="BJ108" s="469" t="str">
        <f t="shared" si="43"/>
        <v/>
      </c>
      <c r="BK108" s="470" t="str">
        <f t="shared" si="22"/>
        <v/>
      </c>
      <c r="BL108" s="775" t="str">
        <f t="shared" si="44"/>
        <v/>
      </c>
      <c r="BM108" s="775" t="str">
        <f t="shared" si="45"/>
        <v/>
      </c>
      <c r="BO108" s="472"/>
    </row>
    <row r="109" spans="1:67" s="471" customFormat="1" ht="13.5" customHeight="1">
      <c r="A109" s="473">
        <v>53</v>
      </c>
      <c r="B109" s="132"/>
      <c r="C109" s="332"/>
      <c r="D109" s="333"/>
      <c r="E109" s="333"/>
      <c r="F109" s="334"/>
      <c r="G109" s="337"/>
      <c r="H109" s="131"/>
      <c r="I109" s="337"/>
      <c r="J109" s="131"/>
      <c r="K109" s="458" t="str">
        <f t="shared" si="0"/>
        <v/>
      </c>
      <c r="L109" s="458">
        <f t="shared" si="23"/>
        <v>0</v>
      </c>
      <c r="M109" s="458">
        <f t="shared" si="24"/>
        <v>0</v>
      </c>
      <c r="N109" s="459" t="str">
        <f t="shared" si="1"/>
        <v/>
      </c>
      <c r="O109" s="459" t="str">
        <f t="shared" si="2"/>
        <v/>
      </c>
      <c r="P109" s="459" t="str">
        <f t="shared" si="3"/>
        <v/>
      </c>
      <c r="Q109" s="459" t="str">
        <f t="shared" si="4"/>
        <v/>
      </c>
      <c r="R109" s="459" t="str">
        <f t="shared" si="5"/>
        <v/>
      </c>
      <c r="S109" s="459" t="str">
        <f t="shared" si="6"/>
        <v/>
      </c>
      <c r="T109" s="566" t="str">
        <f t="shared" si="25"/>
        <v/>
      </c>
      <c r="U109" s="702"/>
      <c r="V109" s="132"/>
      <c r="W109" s="133"/>
      <c r="X109" s="134"/>
      <c r="Y109" s="135"/>
      <c r="Z109" s="137"/>
      <c r="AA109" s="136"/>
      <c r="AB109" s="566" t="str">
        <f t="shared" si="26"/>
        <v/>
      </c>
      <c r="AC109" s="568" t="str">
        <f t="shared" si="27"/>
        <v/>
      </c>
      <c r="AD109" s="137"/>
      <c r="AE109" s="137"/>
      <c r="AF109" s="138"/>
      <c r="AG109" s="138"/>
      <c r="AH109" s="592" t="str">
        <f t="shared" si="7"/>
        <v/>
      </c>
      <c r="AI109" s="592" t="str">
        <f t="shared" si="8"/>
        <v/>
      </c>
      <c r="AJ109" s="592" t="str">
        <f t="shared" si="9"/>
        <v/>
      </c>
      <c r="AK109" s="460" t="str">
        <f>IF(AU109="","",IF(OR(AZ109=8,AZ109=9),0,IF(OR(AW109=3,AW109=4,AW109=5,AW109=6),IF(LEFT(BF109,1)="1",INDEX(係数_NOX・PM低減,MATCH(AY109,【参考】排出係数!$AI$801:$AI$804,1),1),VLOOKUP(AU109,INDEX((係数_バス貨物_ガソリン,係数_バス貨物_CNG,係数_バス貨物_軽油,係数_バス貨物_メタノール,係数_バス貨物_LPG),MATCH(AY109,【参考】排出係数!$AI$4:$AI$671,1),1,BE109):INDEX((係数_バス貨物_ガソリン,係数_バス貨物_CNG,係数_バス貨物_軽油,係数_バス貨物_メタノール,係数_バス貨物_LPG),MATCH(AY109+1,【参考】排出係数!$AI$4:$AI$671,1)-1,5,BE109),4,FALSE)),IF(AND(BE109=3,LEFT(BF109,1)="1"),0.48,VLOOKUP(AU109,INDEX((係数_乗用_ガソリン,係数_乗用_CNG,係数_乗用_軽油,係数_乗用_メタノール,係数_乗用_LPG),1,1,BE109):INDEX((係数_乗用_ガソリン,係数_乗用_CNG,係数_乗用_軽油,係数_乗用_メタノール,係数_乗用_LPG),125,5,BE109),4,FALSE)))))</f>
        <v/>
      </c>
      <c r="AL109" s="461" t="str">
        <f t="shared" si="50"/>
        <v/>
      </c>
      <c r="AM109" s="460" t="str">
        <f>IF(AU109="","",IF(OR(AZ109=8,AZ109=9),0,IF(OR(AW109=3,AW109=4,AW109=5,AW109=6),IF(LEFT(BH109,1)="1",INDEX(係数_PM低減,MATCH(AY109,【参考】排出係数!$AI$801:$AI$804,1),MATCH(BI109,【参考】排出係数!$AL$798:$AO$798,1)),VLOOKUP(AU109,INDEX((係数_バス貨物_ガソリン,係数_バス貨物_CNG,係数_バス貨物_軽油,係数_バス貨物_メタノール,係数_バス貨物_LPG),MATCH(AY109,【参考】排出係数!$AI$4:$AI$671,1),1,BE109):INDEX((係数_バス貨物_ガソリン,係数_バス貨物_CNG,係数_バス貨物_軽油,係数_バス貨物_メタノール,係数_バス貨物_LPG),MATCH(AY109+1,【参考】排出係数!$AI$4:$AI$671,1)-1,5,BE109),5,FALSE)),IF(AND(BE109=3,LEFT(BF109,1)="1"),0.055,VLOOKUP(AU109,INDEX((係数_乗用_ガソリン,係数_乗用_CNG,係数_乗用_軽油,係数_乗用_メタノール,係数_乗用_LPG),1,1,BE109):INDEX((係数_乗用_ガソリン,係数_乗用_CNG,係数_乗用_軽油,係数_乗用_メタノール,係数_乗用_LPG),125,5,BE109),5,FALSE)))))</f>
        <v/>
      </c>
      <c r="AN109" s="461" t="str">
        <f t="shared" si="51"/>
        <v/>
      </c>
      <c r="AO109" s="462" t="str">
        <f t="shared" si="52"/>
        <v/>
      </c>
      <c r="AP109" s="463" t="str">
        <f t="shared" si="53"/>
        <v/>
      </c>
      <c r="AQ109" s="464"/>
      <c r="AR109" s="619"/>
      <c r="AS109" s="465" t="str">
        <f t="shared" si="28"/>
        <v/>
      </c>
      <c r="AT109" s="465" t="str">
        <f t="shared" si="29"/>
        <v/>
      </c>
      <c r="AU109" s="466" t="str">
        <f t="shared" si="30"/>
        <v/>
      </c>
      <c r="AV109" s="467" t="str">
        <f t="shared" si="31"/>
        <v/>
      </c>
      <c r="AW109" s="467" t="str">
        <f t="shared" si="32"/>
        <v/>
      </c>
      <c r="AX109" s="467" t="str">
        <f t="shared" si="33"/>
        <v/>
      </c>
      <c r="AY109" s="467" t="str">
        <f t="shared" si="34"/>
        <v/>
      </c>
      <c r="AZ109" s="467" t="str">
        <f t="shared" si="35"/>
        <v/>
      </c>
      <c r="BA109" s="468" t="str">
        <f>IF(AS109="","",IF(OR(AU109="",AU109="-"),"－",IF(OR(AZ109=8,AZ109=9),"",IF(OR(AW109=3,AW109=4,AW109=5,AW109=6),VLOOKUP(AU109,INDEX((係数_バス貨物_ガソリン,係数_バス貨物_CNG,係数_バス貨物_軽油,係数_バス貨物_メタノール,係数_バス貨物_LPG),MATCH(AY109,【参考】排出係数!$AI$4:$AI$671,1),1,BE109):INDEX((係数_バス貨物_ガソリン,係数_バス貨物_CNG,係数_バス貨物_軽油,係数_バス貨物_メタノール,係数_バス貨物_LPG),MATCH(AY109+1,【参考】排出係数!$AI$4:$AI$671,1)-1,5,BE109),2,FALSE),IF(OR(AW109=1,AW109=2),VLOOKUP(AU109,INDEX((係数_乗用_ガソリン,係数_乗用_CNG,係数_乗用_軽油,係数_乗用_メタノール,係数_乗用_LPG),1,1,BE109):INDEX((係数_乗用_ガソリン,係数_乗用_CNG,係数_乗用_軽油,係数_乗用_メタノール,係数_乗用_LPG),125,5,BE109),2,FALSE))))))</f>
        <v/>
      </c>
      <c r="BB109" s="468" t="str">
        <f>IF(T109="","",IF(OR(AU109="",AU109="-"),"－",IF(OR(AZ109=8,AZ109=9),"",IF(OR(AW109=3,AW109=4,AW109=5,AW109=6),VLOOKUP(AU109,INDEX((係数_バス貨物_ガソリン,係数_バス貨物_CNG,係数_バス貨物_軽油,係数_バス貨物_メタノール,係数_バス貨物_LPG),MATCH(AY109,【参考】排出係数!$AI$4:$AI$671,1),1,BE109):INDEX((係数_バス貨物_ガソリン,係数_バス貨物_CNG,係数_バス貨物_軽油,係数_バス貨物_メタノール,係数_バス貨物_LPG),MATCH(AY109+1,【参考】排出係数!$AI$4:$AI$671,1)-1,5,BE109),3,FALSE),IF(OR(AW109=1,AW109=2),VLOOKUP(AU109,INDEX((係数_乗用_ガソリン,係数_乗用_CNG,係数_乗用_軽油,係数_乗用_メタノール,係数_乗用_LPG),1,1,BE109):INDEX((係数_乗用_ガソリン,係数_乗用_CNG,係数_乗用_軽油,係数_乗用_メタノール,係数_乗用_LPG),125,5,BE109),3,FALSE))))))</f>
        <v/>
      </c>
      <c r="BC109" s="467" t="str">
        <f t="shared" si="36"/>
        <v/>
      </c>
      <c r="BD109" s="567" t="str">
        <f t="shared" si="37"/>
        <v/>
      </c>
      <c r="BE109" s="467" t="str">
        <f t="shared" si="38"/>
        <v/>
      </c>
      <c r="BF109" s="469" t="str">
        <f t="shared" ca="1" si="39"/>
        <v/>
      </c>
      <c r="BG109" s="469" t="str">
        <f t="shared" ca="1" si="40"/>
        <v/>
      </c>
      <c r="BH109" s="467" t="str">
        <f t="shared" si="41"/>
        <v/>
      </c>
      <c r="BI109" s="467" t="str">
        <f t="shared" ca="1" si="42"/>
        <v/>
      </c>
      <c r="BJ109" s="469" t="str">
        <f t="shared" si="43"/>
        <v/>
      </c>
      <c r="BK109" s="470" t="str">
        <f t="shared" si="22"/>
        <v/>
      </c>
      <c r="BL109" s="775" t="str">
        <f t="shared" si="44"/>
        <v/>
      </c>
      <c r="BM109" s="775" t="str">
        <f t="shared" si="45"/>
        <v/>
      </c>
      <c r="BO109" s="472"/>
    </row>
    <row r="110" spans="1:67" s="471" customFormat="1" ht="13.5" customHeight="1">
      <c r="A110" s="473">
        <v>54</v>
      </c>
      <c r="B110" s="132"/>
      <c r="C110" s="332"/>
      <c r="D110" s="333"/>
      <c r="E110" s="333"/>
      <c r="F110" s="334"/>
      <c r="G110" s="337"/>
      <c r="H110" s="131"/>
      <c r="I110" s="337"/>
      <c r="J110" s="131"/>
      <c r="K110" s="458" t="str">
        <f t="shared" si="0"/>
        <v/>
      </c>
      <c r="L110" s="458">
        <f t="shared" si="23"/>
        <v>0</v>
      </c>
      <c r="M110" s="458">
        <f t="shared" si="24"/>
        <v>0</v>
      </c>
      <c r="N110" s="459" t="str">
        <f t="shared" si="1"/>
        <v/>
      </c>
      <c r="O110" s="459" t="str">
        <f t="shared" si="2"/>
        <v/>
      </c>
      <c r="P110" s="459" t="str">
        <f t="shared" si="3"/>
        <v/>
      </c>
      <c r="Q110" s="459" t="str">
        <f t="shared" si="4"/>
        <v/>
      </c>
      <c r="R110" s="459" t="str">
        <f t="shared" si="5"/>
        <v/>
      </c>
      <c r="S110" s="459" t="str">
        <f t="shared" si="6"/>
        <v/>
      </c>
      <c r="T110" s="566" t="str">
        <f t="shared" si="25"/>
        <v/>
      </c>
      <c r="U110" s="702"/>
      <c r="V110" s="132"/>
      <c r="W110" s="133"/>
      <c r="X110" s="134"/>
      <c r="Y110" s="135"/>
      <c r="Z110" s="137"/>
      <c r="AA110" s="136"/>
      <c r="AB110" s="566" t="str">
        <f t="shared" si="26"/>
        <v/>
      </c>
      <c r="AC110" s="568" t="str">
        <f t="shared" si="27"/>
        <v/>
      </c>
      <c r="AD110" s="137"/>
      <c r="AE110" s="137"/>
      <c r="AF110" s="138"/>
      <c r="AG110" s="138"/>
      <c r="AH110" s="592" t="str">
        <f t="shared" si="7"/>
        <v/>
      </c>
      <c r="AI110" s="592" t="str">
        <f t="shared" si="8"/>
        <v/>
      </c>
      <c r="AJ110" s="592" t="str">
        <f t="shared" si="9"/>
        <v/>
      </c>
      <c r="AK110" s="460" t="str">
        <f>IF(AU110="","",IF(OR(AZ110=8,AZ110=9),0,IF(OR(AW110=3,AW110=4,AW110=5,AW110=6),IF(LEFT(BF110,1)="1",INDEX(係数_NOX・PM低減,MATCH(AY110,【参考】排出係数!$AI$801:$AI$804,1),1),VLOOKUP(AU110,INDEX((係数_バス貨物_ガソリン,係数_バス貨物_CNG,係数_バス貨物_軽油,係数_バス貨物_メタノール,係数_バス貨物_LPG),MATCH(AY110,【参考】排出係数!$AI$4:$AI$671,1),1,BE110):INDEX((係数_バス貨物_ガソリン,係数_バス貨物_CNG,係数_バス貨物_軽油,係数_バス貨物_メタノール,係数_バス貨物_LPG),MATCH(AY110+1,【参考】排出係数!$AI$4:$AI$671,1)-1,5,BE110),4,FALSE)),IF(AND(BE110=3,LEFT(BF110,1)="1"),0.48,VLOOKUP(AU110,INDEX((係数_乗用_ガソリン,係数_乗用_CNG,係数_乗用_軽油,係数_乗用_メタノール,係数_乗用_LPG),1,1,BE110):INDEX((係数_乗用_ガソリン,係数_乗用_CNG,係数_乗用_軽油,係数_乗用_メタノール,係数_乗用_LPG),125,5,BE110),4,FALSE)))))</f>
        <v/>
      </c>
      <c r="AL110" s="461" t="str">
        <f t="shared" si="50"/>
        <v/>
      </c>
      <c r="AM110" s="460" t="str">
        <f>IF(AU110="","",IF(OR(AZ110=8,AZ110=9),0,IF(OR(AW110=3,AW110=4,AW110=5,AW110=6),IF(LEFT(BH110,1)="1",INDEX(係数_PM低減,MATCH(AY110,【参考】排出係数!$AI$801:$AI$804,1),MATCH(BI110,【参考】排出係数!$AL$798:$AO$798,1)),VLOOKUP(AU110,INDEX((係数_バス貨物_ガソリン,係数_バス貨物_CNG,係数_バス貨物_軽油,係数_バス貨物_メタノール,係数_バス貨物_LPG),MATCH(AY110,【参考】排出係数!$AI$4:$AI$671,1),1,BE110):INDEX((係数_バス貨物_ガソリン,係数_バス貨物_CNG,係数_バス貨物_軽油,係数_バス貨物_メタノール,係数_バス貨物_LPG),MATCH(AY110+1,【参考】排出係数!$AI$4:$AI$671,1)-1,5,BE110),5,FALSE)),IF(AND(BE110=3,LEFT(BF110,1)="1"),0.055,VLOOKUP(AU110,INDEX((係数_乗用_ガソリン,係数_乗用_CNG,係数_乗用_軽油,係数_乗用_メタノール,係数_乗用_LPG),1,1,BE110):INDEX((係数_乗用_ガソリン,係数_乗用_CNG,係数_乗用_軽油,係数_乗用_メタノール,係数_乗用_LPG),125,5,BE110),5,FALSE)))))</f>
        <v/>
      </c>
      <c r="AN110" s="461" t="str">
        <f t="shared" si="51"/>
        <v/>
      </c>
      <c r="AO110" s="462" t="str">
        <f t="shared" si="52"/>
        <v/>
      </c>
      <c r="AP110" s="463" t="str">
        <f t="shared" si="53"/>
        <v/>
      </c>
      <c r="AQ110" s="464"/>
      <c r="AR110" s="619"/>
      <c r="AS110" s="465" t="str">
        <f t="shared" si="28"/>
        <v/>
      </c>
      <c r="AT110" s="465" t="str">
        <f t="shared" si="29"/>
        <v/>
      </c>
      <c r="AU110" s="466" t="str">
        <f t="shared" si="30"/>
        <v/>
      </c>
      <c r="AV110" s="467" t="str">
        <f t="shared" si="31"/>
        <v/>
      </c>
      <c r="AW110" s="467" t="str">
        <f t="shared" si="32"/>
        <v/>
      </c>
      <c r="AX110" s="467" t="str">
        <f t="shared" si="33"/>
        <v/>
      </c>
      <c r="AY110" s="467" t="str">
        <f t="shared" si="34"/>
        <v/>
      </c>
      <c r="AZ110" s="467" t="str">
        <f t="shared" si="35"/>
        <v/>
      </c>
      <c r="BA110" s="468" t="str">
        <f>IF(AS110="","",IF(OR(AU110="",AU110="-"),"－",IF(OR(AZ110=8,AZ110=9),"",IF(OR(AW110=3,AW110=4,AW110=5,AW110=6),VLOOKUP(AU110,INDEX((係数_バス貨物_ガソリン,係数_バス貨物_CNG,係数_バス貨物_軽油,係数_バス貨物_メタノール,係数_バス貨物_LPG),MATCH(AY110,【参考】排出係数!$AI$4:$AI$671,1),1,BE110):INDEX((係数_バス貨物_ガソリン,係数_バス貨物_CNG,係数_バス貨物_軽油,係数_バス貨物_メタノール,係数_バス貨物_LPG),MATCH(AY110+1,【参考】排出係数!$AI$4:$AI$671,1)-1,5,BE110),2,FALSE),IF(OR(AW110=1,AW110=2),VLOOKUP(AU110,INDEX((係数_乗用_ガソリン,係数_乗用_CNG,係数_乗用_軽油,係数_乗用_メタノール,係数_乗用_LPG),1,1,BE110):INDEX((係数_乗用_ガソリン,係数_乗用_CNG,係数_乗用_軽油,係数_乗用_メタノール,係数_乗用_LPG),125,5,BE110),2,FALSE))))))</f>
        <v/>
      </c>
      <c r="BB110" s="468" t="str">
        <f>IF(T110="","",IF(OR(AU110="",AU110="-"),"－",IF(OR(AZ110=8,AZ110=9),"",IF(OR(AW110=3,AW110=4,AW110=5,AW110=6),VLOOKUP(AU110,INDEX((係数_バス貨物_ガソリン,係数_バス貨物_CNG,係数_バス貨物_軽油,係数_バス貨物_メタノール,係数_バス貨物_LPG),MATCH(AY110,【参考】排出係数!$AI$4:$AI$671,1),1,BE110):INDEX((係数_バス貨物_ガソリン,係数_バス貨物_CNG,係数_バス貨物_軽油,係数_バス貨物_メタノール,係数_バス貨物_LPG),MATCH(AY110+1,【参考】排出係数!$AI$4:$AI$671,1)-1,5,BE110),3,FALSE),IF(OR(AW110=1,AW110=2),VLOOKUP(AU110,INDEX((係数_乗用_ガソリン,係数_乗用_CNG,係数_乗用_軽油,係数_乗用_メタノール,係数_乗用_LPG),1,1,BE110):INDEX((係数_乗用_ガソリン,係数_乗用_CNG,係数_乗用_軽油,係数_乗用_メタノール,係数_乗用_LPG),125,5,BE110),3,FALSE))))))</f>
        <v/>
      </c>
      <c r="BC110" s="467" t="str">
        <f t="shared" si="36"/>
        <v/>
      </c>
      <c r="BD110" s="567" t="str">
        <f t="shared" si="37"/>
        <v/>
      </c>
      <c r="BE110" s="467" t="str">
        <f t="shared" si="38"/>
        <v/>
      </c>
      <c r="BF110" s="469" t="str">
        <f t="shared" ca="1" si="39"/>
        <v/>
      </c>
      <c r="BG110" s="469" t="str">
        <f t="shared" ca="1" si="40"/>
        <v/>
      </c>
      <c r="BH110" s="467" t="str">
        <f t="shared" si="41"/>
        <v/>
      </c>
      <c r="BI110" s="467" t="str">
        <f t="shared" ca="1" si="42"/>
        <v/>
      </c>
      <c r="BJ110" s="469" t="str">
        <f t="shared" si="43"/>
        <v/>
      </c>
      <c r="BK110" s="470" t="str">
        <f t="shared" si="22"/>
        <v/>
      </c>
      <c r="BL110" s="775" t="str">
        <f t="shared" si="44"/>
        <v/>
      </c>
      <c r="BM110" s="775" t="str">
        <f t="shared" si="45"/>
        <v/>
      </c>
      <c r="BO110" s="472"/>
    </row>
    <row r="111" spans="1:67" s="471" customFormat="1" ht="13.5" customHeight="1">
      <c r="A111" s="473">
        <v>55</v>
      </c>
      <c r="B111" s="132"/>
      <c r="C111" s="332"/>
      <c r="D111" s="333"/>
      <c r="E111" s="333"/>
      <c r="F111" s="334"/>
      <c r="G111" s="337"/>
      <c r="H111" s="131"/>
      <c r="I111" s="337"/>
      <c r="J111" s="131"/>
      <c r="K111" s="458" t="str">
        <f t="shared" si="0"/>
        <v/>
      </c>
      <c r="L111" s="458">
        <f t="shared" si="23"/>
        <v>0</v>
      </c>
      <c r="M111" s="458">
        <f t="shared" si="24"/>
        <v>0</v>
      </c>
      <c r="N111" s="459" t="str">
        <f t="shared" si="1"/>
        <v/>
      </c>
      <c r="O111" s="459" t="str">
        <f t="shared" si="2"/>
        <v/>
      </c>
      <c r="P111" s="459" t="str">
        <f t="shared" si="3"/>
        <v/>
      </c>
      <c r="Q111" s="459" t="str">
        <f t="shared" si="4"/>
        <v/>
      </c>
      <c r="R111" s="459" t="str">
        <f t="shared" si="5"/>
        <v/>
      </c>
      <c r="S111" s="459" t="str">
        <f t="shared" si="6"/>
        <v/>
      </c>
      <c r="T111" s="566" t="str">
        <f t="shared" si="25"/>
        <v/>
      </c>
      <c r="U111" s="702"/>
      <c r="V111" s="132"/>
      <c r="W111" s="133"/>
      <c r="X111" s="134"/>
      <c r="Y111" s="135"/>
      <c r="Z111" s="137"/>
      <c r="AA111" s="136"/>
      <c r="AB111" s="566" t="str">
        <f t="shared" si="26"/>
        <v/>
      </c>
      <c r="AC111" s="568" t="str">
        <f t="shared" si="27"/>
        <v/>
      </c>
      <c r="AD111" s="137"/>
      <c r="AE111" s="137"/>
      <c r="AF111" s="138"/>
      <c r="AG111" s="138"/>
      <c r="AH111" s="592" t="str">
        <f t="shared" si="7"/>
        <v/>
      </c>
      <c r="AI111" s="592" t="str">
        <f t="shared" si="8"/>
        <v/>
      </c>
      <c r="AJ111" s="592" t="str">
        <f t="shared" si="9"/>
        <v/>
      </c>
      <c r="AK111" s="460" t="str">
        <f>IF(AU111="","",IF(OR(AZ111=8,AZ111=9),0,IF(OR(AW111=3,AW111=4,AW111=5,AW111=6),IF(LEFT(BF111,1)="1",INDEX(係数_NOX・PM低減,MATCH(AY111,【参考】排出係数!$AI$801:$AI$804,1),1),VLOOKUP(AU111,INDEX((係数_バス貨物_ガソリン,係数_バス貨物_CNG,係数_バス貨物_軽油,係数_バス貨物_メタノール,係数_バス貨物_LPG),MATCH(AY111,【参考】排出係数!$AI$4:$AI$671,1),1,BE111):INDEX((係数_バス貨物_ガソリン,係数_バス貨物_CNG,係数_バス貨物_軽油,係数_バス貨物_メタノール,係数_バス貨物_LPG),MATCH(AY111+1,【参考】排出係数!$AI$4:$AI$671,1)-1,5,BE111),4,FALSE)),IF(AND(BE111=3,LEFT(BF111,1)="1"),0.48,VLOOKUP(AU111,INDEX((係数_乗用_ガソリン,係数_乗用_CNG,係数_乗用_軽油,係数_乗用_メタノール,係数_乗用_LPG),1,1,BE111):INDEX((係数_乗用_ガソリン,係数_乗用_CNG,係数_乗用_軽油,係数_乗用_メタノール,係数_乗用_LPG),125,5,BE111),4,FALSE)))))</f>
        <v/>
      </c>
      <c r="AL111" s="461" t="str">
        <f t="shared" si="50"/>
        <v/>
      </c>
      <c r="AM111" s="460" t="str">
        <f>IF(AU111="","",IF(OR(AZ111=8,AZ111=9),0,IF(OR(AW111=3,AW111=4,AW111=5,AW111=6),IF(LEFT(BH111,1)="1",INDEX(係数_PM低減,MATCH(AY111,【参考】排出係数!$AI$801:$AI$804,1),MATCH(BI111,【参考】排出係数!$AL$798:$AO$798,1)),VLOOKUP(AU111,INDEX((係数_バス貨物_ガソリン,係数_バス貨物_CNG,係数_バス貨物_軽油,係数_バス貨物_メタノール,係数_バス貨物_LPG),MATCH(AY111,【参考】排出係数!$AI$4:$AI$671,1),1,BE111):INDEX((係数_バス貨物_ガソリン,係数_バス貨物_CNG,係数_バス貨物_軽油,係数_バス貨物_メタノール,係数_バス貨物_LPG),MATCH(AY111+1,【参考】排出係数!$AI$4:$AI$671,1)-1,5,BE111),5,FALSE)),IF(AND(BE111=3,LEFT(BF111,1)="1"),0.055,VLOOKUP(AU111,INDEX((係数_乗用_ガソリン,係数_乗用_CNG,係数_乗用_軽油,係数_乗用_メタノール,係数_乗用_LPG),1,1,BE111):INDEX((係数_乗用_ガソリン,係数_乗用_CNG,係数_乗用_軽油,係数_乗用_メタノール,係数_乗用_LPG),125,5,BE111),5,FALSE)))))</f>
        <v/>
      </c>
      <c r="AN111" s="461" t="str">
        <f t="shared" si="51"/>
        <v/>
      </c>
      <c r="AO111" s="462" t="str">
        <f t="shared" si="52"/>
        <v/>
      </c>
      <c r="AP111" s="463" t="str">
        <f t="shared" si="53"/>
        <v/>
      </c>
      <c r="AQ111" s="464"/>
      <c r="AR111" s="619"/>
      <c r="AS111" s="465" t="str">
        <f t="shared" si="28"/>
        <v/>
      </c>
      <c r="AT111" s="465" t="str">
        <f t="shared" si="29"/>
        <v/>
      </c>
      <c r="AU111" s="466" t="str">
        <f t="shared" si="30"/>
        <v/>
      </c>
      <c r="AV111" s="467" t="str">
        <f t="shared" si="31"/>
        <v/>
      </c>
      <c r="AW111" s="467" t="str">
        <f t="shared" si="32"/>
        <v/>
      </c>
      <c r="AX111" s="467" t="str">
        <f t="shared" si="33"/>
        <v/>
      </c>
      <c r="AY111" s="467" t="str">
        <f t="shared" si="34"/>
        <v/>
      </c>
      <c r="AZ111" s="467" t="str">
        <f t="shared" si="35"/>
        <v/>
      </c>
      <c r="BA111" s="468" t="str">
        <f>IF(AS111="","",IF(OR(AU111="",AU111="-"),"－",IF(OR(AZ111=8,AZ111=9),"",IF(OR(AW111=3,AW111=4,AW111=5,AW111=6),VLOOKUP(AU111,INDEX((係数_バス貨物_ガソリン,係数_バス貨物_CNG,係数_バス貨物_軽油,係数_バス貨物_メタノール,係数_バス貨物_LPG),MATCH(AY111,【参考】排出係数!$AI$4:$AI$671,1),1,BE111):INDEX((係数_バス貨物_ガソリン,係数_バス貨物_CNG,係数_バス貨物_軽油,係数_バス貨物_メタノール,係数_バス貨物_LPG),MATCH(AY111+1,【参考】排出係数!$AI$4:$AI$671,1)-1,5,BE111),2,FALSE),IF(OR(AW111=1,AW111=2),VLOOKUP(AU111,INDEX((係数_乗用_ガソリン,係数_乗用_CNG,係数_乗用_軽油,係数_乗用_メタノール,係数_乗用_LPG),1,1,BE111):INDEX((係数_乗用_ガソリン,係数_乗用_CNG,係数_乗用_軽油,係数_乗用_メタノール,係数_乗用_LPG),125,5,BE111),2,FALSE))))))</f>
        <v/>
      </c>
      <c r="BB111" s="468" t="str">
        <f>IF(T111="","",IF(OR(AU111="",AU111="-"),"－",IF(OR(AZ111=8,AZ111=9),"",IF(OR(AW111=3,AW111=4,AW111=5,AW111=6),VLOOKUP(AU111,INDEX((係数_バス貨物_ガソリン,係数_バス貨物_CNG,係数_バス貨物_軽油,係数_バス貨物_メタノール,係数_バス貨物_LPG),MATCH(AY111,【参考】排出係数!$AI$4:$AI$671,1),1,BE111):INDEX((係数_バス貨物_ガソリン,係数_バス貨物_CNG,係数_バス貨物_軽油,係数_バス貨物_メタノール,係数_バス貨物_LPG),MATCH(AY111+1,【参考】排出係数!$AI$4:$AI$671,1)-1,5,BE111),3,FALSE),IF(OR(AW111=1,AW111=2),VLOOKUP(AU111,INDEX((係数_乗用_ガソリン,係数_乗用_CNG,係数_乗用_軽油,係数_乗用_メタノール,係数_乗用_LPG),1,1,BE111):INDEX((係数_乗用_ガソリン,係数_乗用_CNG,係数_乗用_軽油,係数_乗用_メタノール,係数_乗用_LPG),125,5,BE111),3,FALSE))))))</f>
        <v/>
      </c>
      <c r="BC111" s="467" t="str">
        <f t="shared" si="36"/>
        <v/>
      </c>
      <c r="BD111" s="567" t="str">
        <f t="shared" si="37"/>
        <v/>
      </c>
      <c r="BE111" s="467" t="str">
        <f t="shared" si="38"/>
        <v/>
      </c>
      <c r="BF111" s="469" t="str">
        <f t="shared" ca="1" si="39"/>
        <v/>
      </c>
      <c r="BG111" s="469" t="str">
        <f t="shared" ca="1" si="40"/>
        <v/>
      </c>
      <c r="BH111" s="467" t="str">
        <f t="shared" si="41"/>
        <v/>
      </c>
      <c r="BI111" s="467" t="str">
        <f t="shared" ca="1" si="42"/>
        <v/>
      </c>
      <c r="BJ111" s="469" t="str">
        <f t="shared" si="43"/>
        <v/>
      </c>
      <c r="BK111" s="470" t="str">
        <f t="shared" si="22"/>
        <v/>
      </c>
      <c r="BL111" s="775" t="str">
        <f t="shared" si="44"/>
        <v/>
      </c>
      <c r="BM111" s="775" t="str">
        <f t="shared" si="45"/>
        <v/>
      </c>
      <c r="BO111" s="472"/>
    </row>
    <row r="112" spans="1:67" s="471" customFormat="1" ht="13.5" customHeight="1">
      <c r="A112" s="473">
        <v>56</v>
      </c>
      <c r="B112" s="132"/>
      <c r="C112" s="332"/>
      <c r="D112" s="333"/>
      <c r="E112" s="333"/>
      <c r="F112" s="334"/>
      <c r="G112" s="337"/>
      <c r="H112" s="131"/>
      <c r="I112" s="337"/>
      <c r="J112" s="131"/>
      <c r="K112" s="458" t="str">
        <f t="shared" si="0"/>
        <v/>
      </c>
      <c r="L112" s="458">
        <f t="shared" si="23"/>
        <v>0</v>
      </c>
      <c r="M112" s="458">
        <f t="shared" si="24"/>
        <v>0</v>
      </c>
      <c r="N112" s="459" t="str">
        <f t="shared" si="1"/>
        <v/>
      </c>
      <c r="O112" s="459" t="str">
        <f t="shared" si="2"/>
        <v/>
      </c>
      <c r="P112" s="459" t="str">
        <f t="shared" si="3"/>
        <v/>
      </c>
      <c r="Q112" s="459" t="str">
        <f t="shared" si="4"/>
        <v/>
      </c>
      <c r="R112" s="459" t="str">
        <f t="shared" si="5"/>
        <v/>
      </c>
      <c r="S112" s="459" t="str">
        <f t="shared" si="6"/>
        <v/>
      </c>
      <c r="T112" s="566" t="str">
        <f t="shared" si="25"/>
        <v/>
      </c>
      <c r="U112" s="702"/>
      <c r="V112" s="132"/>
      <c r="W112" s="133"/>
      <c r="X112" s="134"/>
      <c r="Y112" s="135"/>
      <c r="Z112" s="137"/>
      <c r="AA112" s="136"/>
      <c r="AB112" s="566" t="str">
        <f t="shared" si="26"/>
        <v/>
      </c>
      <c r="AC112" s="568" t="str">
        <f t="shared" si="27"/>
        <v/>
      </c>
      <c r="AD112" s="137"/>
      <c r="AE112" s="137"/>
      <c r="AF112" s="138"/>
      <c r="AG112" s="138"/>
      <c r="AH112" s="592" t="str">
        <f t="shared" si="7"/>
        <v/>
      </c>
      <c r="AI112" s="592" t="str">
        <f t="shared" si="8"/>
        <v/>
      </c>
      <c r="AJ112" s="592" t="str">
        <f t="shared" si="9"/>
        <v/>
      </c>
      <c r="AK112" s="460" t="str">
        <f>IF(AU112="","",IF(OR(AZ112=8,AZ112=9),0,IF(OR(AW112=3,AW112=4,AW112=5,AW112=6),IF(LEFT(BF112,1)="1",INDEX(係数_NOX・PM低減,MATCH(AY112,【参考】排出係数!$AI$801:$AI$804,1),1),VLOOKUP(AU112,INDEX((係数_バス貨物_ガソリン,係数_バス貨物_CNG,係数_バス貨物_軽油,係数_バス貨物_メタノール,係数_バス貨物_LPG),MATCH(AY112,【参考】排出係数!$AI$4:$AI$671,1),1,BE112):INDEX((係数_バス貨物_ガソリン,係数_バス貨物_CNG,係数_バス貨物_軽油,係数_バス貨物_メタノール,係数_バス貨物_LPG),MATCH(AY112+1,【参考】排出係数!$AI$4:$AI$671,1)-1,5,BE112),4,FALSE)),IF(AND(BE112=3,LEFT(BF112,1)="1"),0.48,VLOOKUP(AU112,INDEX((係数_乗用_ガソリン,係数_乗用_CNG,係数_乗用_軽油,係数_乗用_メタノール,係数_乗用_LPG),1,1,BE112):INDEX((係数_乗用_ガソリン,係数_乗用_CNG,係数_乗用_軽油,係数_乗用_メタノール,係数_乗用_LPG),125,5,BE112),4,FALSE)))))</f>
        <v/>
      </c>
      <c r="AL112" s="461" t="str">
        <f t="shared" si="50"/>
        <v/>
      </c>
      <c r="AM112" s="460" t="str">
        <f>IF(AU112="","",IF(OR(AZ112=8,AZ112=9),0,IF(OR(AW112=3,AW112=4,AW112=5,AW112=6),IF(LEFT(BH112,1)="1",INDEX(係数_PM低減,MATCH(AY112,【参考】排出係数!$AI$801:$AI$804,1),MATCH(BI112,【参考】排出係数!$AL$798:$AO$798,1)),VLOOKUP(AU112,INDEX((係数_バス貨物_ガソリン,係数_バス貨物_CNG,係数_バス貨物_軽油,係数_バス貨物_メタノール,係数_バス貨物_LPG),MATCH(AY112,【参考】排出係数!$AI$4:$AI$671,1),1,BE112):INDEX((係数_バス貨物_ガソリン,係数_バス貨物_CNG,係数_バス貨物_軽油,係数_バス貨物_メタノール,係数_バス貨物_LPG),MATCH(AY112+1,【参考】排出係数!$AI$4:$AI$671,1)-1,5,BE112),5,FALSE)),IF(AND(BE112=3,LEFT(BF112,1)="1"),0.055,VLOOKUP(AU112,INDEX((係数_乗用_ガソリン,係数_乗用_CNG,係数_乗用_軽油,係数_乗用_メタノール,係数_乗用_LPG),1,1,BE112):INDEX((係数_乗用_ガソリン,係数_乗用_CNG,係数_乗用_軽油,係数_乗用_メタノール,係数_乗用_LPG),125,5,BE112),5,FALSE)))))</f>
        <v/>
      </c>
      <c r="AN112" s="461" t="str">
        <f t="shared" si="51"/>
        <v/>
      </c>
      <c r="AO112" s="462" t="str">
        <f t="shared" si="52"/>
        <v/>
      </c>
      <c r="AP112" s="463" t="str">
        <f t="shared" si="53"/>
        <v/>
      </c>
      <c r="AQ112" s="464"/>
      <c r="AR112" s="619"/>
      <c r="AS112" s="465" t="str">
        <f t="shared" si="28"/>
        <v/>
      </c>
      <c r="AT112" s="465" t="str">
        <f t="shared" si="29"/>
        <v/>
      </c>
      <c r="AU112" s="466" t="str">
        <f t="shared" si="30"/>
        <v/>
      </c>
      <c r="AV112" s="467" t="str">
        <f t="shared" si="31"/>
        <v/>
      </c>
      <c r="AW112" s="467" t="str">
        <f t="shared" si="32"/>
        <v/>
      </c>
      <c r="AX112" s="467" t="str">
        <f t="shared" si="33"/>
        <v/>
      </c>
      <c r="AY112" s="467" t="str">
        <f t="shared" si="34"/>
        <v/>
      </c>
      <c r="AZ112" s="467" t="str">
        <f t="shared" si="35"/>
        <v/>
      </c>
      <c r="BA112" s="468" t="str">
        <f>IF(AS112="","",IF(OR(AU112="",AU112="-"),"－",IF(OR(AZ112=8,AZ112=9),"",IF(OR(AW112=3,AW112=4,AW112=5,AW112=6),VLOOKUP(AU112,INDEX((係数_バス貨物_ガソリン,係数_バス貨物_CNG,係数_バス貨物_軽油,係数_バス貨物_メタノール,係数_バス貨物_LPG),MATCH(AY112,【参考】排出係数!$AI$4:$AI$671,1),1,BE112):INDEX((係数_バス貨物_ガソリン,係数_バス貨物_CNG,係数_バス貨物_軽油,係数_バス貨物_メタノール,係数_バス貨物_LPG),MATCH(AY112+1,【参考】排出係数!$AI$4:$AI$671,1)-1,5,BE112),2,FALSE),IF(OR(AW112=1,AW112=2),VLOOKUP(AU112,INDEX((係数_乗用_ガソリン,係数_乗用_CNG,係数_乗用_軽油,係数_乗用_メタノール,係数_乗用_LPG),1,1,BE112):INDEX((係数_乗用_ガソリン,係数_乗用_CNG,係数_乗用_軽油,係数_乗用_メタノール,係数_乗用_LPG),125,5,BE112),2,FALSE))))))</f>
        <v/>
      </c>
      <c r="BB112" s="468" t="str">
        <f>IF(T112="","",IF(OR(AU112="",AU112="-"),"－",IF(OR(AZ112=8,AZ112=9),"",IF(OR(AW112=3,AW112=4,AW112=5,AW112=6),VLOOKUP(AU112,INDEX((係数_バス貨物_ガソリン,係数_バス貨物_CNG,係数_バス貨物_軽油,係数_バス貨物_メタノール,係数_バス貨物_LPG),MATCH(AY112,【参考】排出係数!$AI$4:$AI$671,1),1,BE112):INDEX((係数_バス貨物_ガソリン,係数_バス貨物_CNG,係数_バス貨物_軽油,係数_バス貨物_メタノール,係数_バス貨物_LPG),MATCH(AY112+1,【参考】排出係数!$AI$4:$AI$671,1)-1,5,BE112),3,FALSE),IF(OR(AW112=1,AW112=2),VLOOKUP(AU112,INDEX((係数_乗用_ガソリン,係数_乗用_CNG,係数_乗用_軽油,係数_乗用_メタノール,係数_乗用_LPG),1,1,BE112):INDEX((係数_乗用_ガソリン,係数_乗用_CNG,係数_乗用_軽油,係数_乗用_メタノール,係数_乗用_LPG),125,5,BE112),3,FALSE))))))</f>
        <v/>
      </c>
      <c r="BC112" s="467" t="str">
        <f t="shared" si="36"/>
        <v/>
      </c>
      <c r="BD112" s="567" t="str">
        <f t="shared" si="37"/>
        <v/>
      </c>
      <c r="BE112" s="467" t="str">
        <f t="shared" si="38"/>
        <v/>
      </c>
      <c r="BF112" s="469" t="str">
        <f t="shared" ca="1" si="39"/>
        <v/>
      </c>
      <c r="BG112" s="469" t="str">
        <f t="shared" ca="1" si="40"/>
        <v/>
      </c>
      <c r="BH112" s="467" t="str">
        <f t="shared" si="41"/>
        <v/>
      </c>
      <c r="BI112" s="467" t="str">
        <f t="shared" ca="1" si="42"/>
        <v/>
      </c>
      <c r="BJ112" s="469" t="str">
        <f t="shared" si="43"/>
        <v/>
      </c>
      <c r="BK112" s="470" t="str">
        <f t="shared" si="22"/>
        <v/>
      </c>
      <c r="BL112" s="775" t="str">
        <f t="shared" si="44"/>
        <v/>
      </c>
      <c r="BM112" s="775" t="str">
        <f t="shared" si="45"/>
        <v/>
      </c>
      <c r="BO112" s="472"/>
    </row>
    <row r="113" spans="1:67" s="471" customFormat="1" ht="13.5" customHeight="1">
      <c r="A113" s="473">
        <v>57</v>
      </c>
      <c r="B113" s="132"/>
      <c r="C113" s="332"/>
      <c r="D113" s="333"/>
      <c r="E113" s="333"/>
      <c r="F113" s="334"/>
      <c r="G113" s="337"/>
      <c r="H113" s="131"/>
      <c r="I113" s="337"/>
      <c r="J113" s="131"/>
      <c r="K113" s="458" t="str">
        <f t="shared" si="0"/>
        <v/>
      </c>
      <c r="L113" s="458">
        <f t="shared" si="23"/>
        <v>0</v>
      </c>
      <c r="M113" s="458">
        <f t="shared" si="24"/>
        <v>0</v>
      </c>
      <c r="N113" s="459" t="str">
        <f t="shared" si="1"/>
        <v/>
      </c>
      <c r="O113" s="459" t="str">
        <f t="shared" si="2"/>
        <v/>
      </c>
      <c r="P113" s="459" t="str">
        <f t="shared" si="3"/>
        <v/>
      </c>
      <c r="Q113" s="459" t="str">
        <f t="shared" si="4"/>
        <v/>
      </c>
      <c r="R113" s="459" t="str">
        <f t="shared" si="5"/>
        <v/>
      </c>
      <c r="S113" s="459" t="str">
        <f t="shared" si="6"/>
        <v/>
      </c>
      <c r="T113" s="566" t="str">
        <f t="shared" si="25"/>
        <v/>
      </c>
      <c r="U113" s="702"/>
      <c r="V113" s="132"/>
      <c r="W113" s="133"/>
      <c r="X113" s="134"/>
      <c r="Y113" s="135"/>
      <c r="Z113" s="137"/>
      <c r="AA113" s="136"/>
      <c r="AB113" s="566" t="str">
        <f t="shared" si="26"/>
        <v/>
      </c>
      <c r="AC113" s="568" t="str">
        <f t="shared" si="27"/>
        <v/>
      </c>
      <c r="AD113" s="137"/>
      <c r="AE113" s="137"/>
      <c r="AF113" s="138"/>
      <c r="AG113" s="138"/>
      <c r="AH113" s="592" t="str">
        <f t="shared" si="7"/>
        <v/>
      </c>
      <c r="AI113" s="592" t="str">
        <f t="shared" si="8"/>
        <v/>
      </c>
      <c r="AJ113" s="592" t="str">
        <f t="shared" si="9"/>
        <v/>
      </c>
      <c r="AK113" s="460" t="str">
        <f>IF(AU113="","",IF(OR(AZ113=8,AZ113=9),0,IF(OR(AW113=3,AW113=4,AW113=5,AW113=6),IF(LEFT(BF113,1)="1",INDEX(係数_NOX・PM低減,MATCH(AY113,【参考】排出係数!$AI$801:$AI$804,1),1),VLOOKUP(AU113,INDEX((係数_バス貨物_ガソリン,係数_バス貨物_CNG,係数_バス貨物_軽油,係数_バス貨物_メタノール,係数_バス貨物_LPG),MATCH(AY113,【参考】排出係数!$AI$4:$AI$671,1),1,BE113):INDEX((係数_バス貨物_ガソリン,係数_バス貨物_CNG,係数_バス貨物_軽油,係数_バス貨物_メタノール,係数_バス貨物_LPG),MATCH(AY113+1,【参考】排出係数!$AI$4:$AI$671,1)-1,5,BE113),4,FALSE)),IF(AND(BE113=3,LEFT(BF113,1)="1"),0.48,VLOOKUP(AU113,INDEX((係数_乗用_ガソリン,係数_乗用_CNG,係数_乗用_軽油,係数_乗用_メタノール,係数_乗用_LPG),1,1,BE113):INDEX((係数_乗用_ガソリン,係数_乗用_CNG,係数_乗用_軽油,係数_乗用_メタノール,係数_乗用_LPG),125,5,BE113),4,FALSE)))))</f>
        <v/>
      </c>
      <c r="AL113" s="461" t="str">
        <f t="shared" si="50"/>
        <v/>
      </c>
      <c r="AM113" s="460" t="str">
        <f>IF(AU113="","",IF(OR(AZ113=8,AZ113=9),0,IF(OR(AW113=3,AW113=4,AW113=5,AW113=6),IF(LEFT(BH113,1)="1",INDEX(係数_PM低減,MATCH(AY113,【参考】排出係数!$AI$801:$AI$804,1),MATCH(BI113,【参考】排出係数!$AL$798:$AO$798,1)),VLOOKUP(AU113,INDEX((係数_バス貨物_ガソリン,係数_バス貨物_CNG,係数_バス貨物_軽油,係数_バス貨物_メタノール,係数_バス貨物_LPG),MATCH(AY113,【参考】排出係数!$AI$4:$AI$671,1),1,BE113):INDEX((係数_バス貨物_ガソリン,係数_バス貨物_CNG,係数_バス貨物_軽油,係数_バス貨物_メタノール,係数_バス貨物_LPG),MATCH(AY113+1,【参考】排出係数!$AI$4:$AI$671,1)-1,5,BE113),5,FALSE)),IF(AND(BE113=3,LEFT(BF113,1)="1"),0.055,VLOOKUP(AU113,INDEX((係数_乗用_ガソリン,係数_乗用_CNG,係数_乗用_軽油,係数_乗用_メタノール,係数_乗用_LPG),1,1,BE113):INDEX((係数_乗用_ガソリン,係数_乗用_CNG,係数_乗用_軽油,係数_乗用_メタノール,係数_乗用_LPG),125,5,BE113),5,FALSE)))))</f>
        <v/>
      </c>
      <c r="AN113" s="461" t="str">
        <f t="shared" si="51"/>
        <v/>
      </c>
      <c r="AO113" s="462" t="str">
        <f t="shared" si="52"/>
        <v/>
      </c>
      <c r="AP113" s="463" t="str">
        <f t="shared" si="53"/>
        <v/>
      </c>
      <c r="AQ113" s="464"/>
      <c r="AR113" s="619"/>
      <c r="AS113" s="465" t="str">
        <f t="shared" si="28"/>
        <v/>
      </c>
      <c r="AT113" s="465" t="str">
        <f t="shared" si="29"/>
        <v/>
      </c>
      <c r="AU113" s="466" t="str">
        <f t="shared" si="30"/>
        <v/>
      </c>
      <c r="AV113" s="467" t="str">
        <f t="shared" si="31"/>
        <v/>
      </c>
      <c r="AW113" s="467" t="str">
        <f t="shared" si="32"/>
        <v/>
      </c>
      <c r="AX113" s="467" t="str">
        <f t="shared" si="33"/>
        <v/>
      </c>
      <c r="AY113" s="467" t="str">
        <f t="shared" si="34"/>
        <v/>
      </c>
      <c r="AZ113" s="467" t="str">
        <f t="shared" si="35"/>
        <v/>
      </c>
      <c r="BA113" s="468" t="str">
        <f>IF(AS113="","",IF(OR(AU113="",AU113="-"),"－",IF(OR(AZ113=8,AZ113=9),"",IF(OR(AW113=3,AW113=4,AW113=5,AW113=6),VLOOKUP(AU113,INDEX((係数_バス貨物_ガソリン,係数_バス貨物_CNG,係数_バス貨物_軽油,係数_バス貨物_メタノール,係数_バス貨物_LPG),MATCH(AY113,【参考】排出係数!$AI$4:$AI$671,1),1,BE113):INDEX((係数_バス貨物_ガソリン,係数_バス貨物_CNG,係数_バス貨物_軽油,係数_バス貨物_メタノール,係数_バス貨物_LPG),MATCH(AY113+1,【参考】排出係数!$AI$4:$AI$671,1)-1,5,BE113),2,FALSE),IF(OR(AW113=1,AW113=2),VLOOKUP(AU113,INDEX((係数_乗用_ガソリン,係数_乗用_CNG,係数_乗用_軽油,係数_乗用_メタノール,係数_乗用_LPG),1,1,BE113):INDEX((係数_乗用_ガソリン,係数_乗用_CNG,係数_乗用_軽油,係数_乗用_メタノール,係数_乗用_LPG),125,5,BE113),2,FALSE))))))</f>
        <v/>
      </c>
      <c r="BB113" s="468" t="str">
        <f>IF(T113="","",IF(OR(AU113="",AU113="-"),"－",IF(OR(AZ113=8,AZ113=9),"",IF(OR(AW113=3,AW113=4,AW113=5,AW113=6),VLOOKUP(AU113,INDEX((係数_バス貨物_ガソリン,係数_バス貨物_CNG,係数_バス貨物_軽油,係数_バス貨物_メタノール,係数_バス貨物_LPG),MATCH(AY113,【参考】排出係数!$AI$4:$AI$671,1),1,BE113):INDEX((係数_バス貨物_ガソリン,係数_バス貨物_CNG,係数_バス貨物_軽油,係数_バス貨物_メタノール,係数_バス貨物_LPG),MATCH(AY113+1,【参考】排出係数!$AI$4:$AI$671,1)-1,5,BE113),3,FALSE),IF(OR(AW113=1,AW113=2),VLOOKUP(AU113,INDEX((係数_乗用_ガソリン,係数_乗用_CNG,係数_乗用_軽油,係数_乗用_メタノール,係数_乗用_LPG),1,1,BE113):INDEX((係数_乗用_ガソリン,係数_乗用_CNG,係数_乗用_軽油,係数_乗用_メタノール,係数_乗用_LPG),125,5,BE113),3,FALSE))))))</f>
        <v/>
      </c>
      <c r="BC113" s="467" t="str">
        <f t="shared" si="36"/>
        <v/>
      </c>
      <c r="BD113" s="567" t="str">
        <f t="shared" si="37"/>
        <v/>
      </c>
      <c r="BE113" s="467" t="str">
        <f t="shared" si="38"/>
        <v/>
      </c>
      <c r="BF113" s="469" t="str">
        <f t="shared" ca="1" si="39"/>
        <v/>
      </c>
      <c r="BG113" s="469" t="str">
        <f t="shared" ca="1" si="40"/>
        <v/>
      </c>
      <c r="BH113" s="467" t="str">
        <f t="shared" si="41"/>
        <v/>
      </c>
      <c r="BI113" s="467" t="str">
        <f t="shared" ca="1" si="42"/>
        <v/>
      </c>
      <c r="BJ113" s="469" t="str">
        <f t="shared" si="43"/>
        <v/>
      </c>
      <c r="BK113" s="470" t="str">
        <f t="shared" si="22"/>
        <v/>
      </c>
      <c r="BL113" s="775" t="str">
        <f t="shared" si="44"/>
        <v/>
      </c>
      <c r="BM113" s="775" t="str">
        <f t="shared" si="45"/>
        <v/>
      </c>
      <c r="BO113" s="472"/>
    </row>
    <row r="114" spans="1:67" s="471" customFormat="1" ht="13.5" customHeight="1">
      <c r="A114" s="473">
        <v>58</v>
      </c>
      <c r="B114" s="132"/>
      <c r="C114" s="332"/>
      <c r="D114" s="333"/>
      <c r="E114" s="333"/>
      <c r="F114" s="334"/>
      <c r="G114" s="337"/>
      <c r="H114" s="131"/>
      <c r="I114" s="337"/>
      <c r="J114" s="131"/>
      <c r="K114" s="458" t="str">
        <f t="shared" si="0"/>
        <v/>
      </c>
      <c r="L114" s="458">
        <f t="shared" si="23"/>
        <v>0</v>
      </c>
      <c r="M114" s="458">
        <f t="shared" si="24"/>
        <v>0</v>
      </c>
      <c r="N114" s="459" t="str">
        <f t="shared" si="1"/>
        <v/>
      </c>
      <c r="O114" s="459" t="str">
        <f t="shared" si="2"/>
        <v/>
      </c>
      <c r="P114" s="459" t="str">
        <f t="shared" si="3"/>
        <v/>
      </c>
      <c r="Q114" s="459" t="str">
        <f t="shared" si="4"/>
        <v/>
      </c>
      <c r="R114" s="459" t="str">
        <f t="shared" si="5"/>
        <v/>
      </c>
      <c r="S114" s="459" t="str">
        <f t="shared" si="6"/>
        <v/>
      </c>
      <c r="T114" s="566" t="str">
        <f t="shared" si="25"/>
        <v/>
      </c>
      <c r="U114" s="702"/>
      <c r="V114" s="132"/>
      <c r="W114" s="133"/>
      <c r="X114" s="134"/>
      <c r="Y114" s="135"/>
      <c r="Z114" s="137"/>
      <c r="AA114" s="136"/>
      <c r="AB114" s="566" t="str">
        <f t="shared" si="26"/>
        <v/>
      </c>
      <c r="AC114" s="568" t="str">
        <f t="shared" si="27"/>
        <v/>
      </c>
      <c r="AD114" s="137"/>
      <c r="AE114" s="137"/>
      <c r="AF114" s="138"/>
      <c r="AG114" s="138"/>
      <c r="AH114" s="592" t="str">
        <f t="shared" si="7"/>
        <v/>
      </c>
      <c r="AI114" s="592" t="str">
        <f t="shared" si="8"/>
        <v/>
      </c>
      <c r="AJ114" s="592" t="str">
        <f t="shared" si="9"/>
        <v/>
      </c>
      <c r="AK114" s="460" t="str">
        <f>IF(AU114="","",IF(OR(AZ114=8,AZ114=9),0,IF(OR(AW114=3,AW114=4,AW114=5,AW114=6),IF(LEFT(BF114,1)="1",INDEX(係数_NOX・PM低減,MATCH(AY114,【参考】排出係数!$AI$801:$AI$804,1),1),VLOOKUP(AU114,INDEX((係数_バス貨物_ガソリン,係数_バス貨物_CNG,係数_バス貨物_軽油,係数_バス貨物_メタノール,係数_バス貨物_LPG),MATCH(AY114,【参考】排出係数!$AI$4:$AI$671,1),1,BE114):INDEX((係数_バス貨物_ガソリン,係数_バス貨物_CNG,係数_バス貨物_軽油,係数_バス貨物_メタノール,係数_バス貨物_LPG),MATCH(AY114+1,【参考】排出係数!$AI$4:$AI$671,1)-1,5,BE114),4,FALSE)),IF(AND(BE114=3,LEFT(BF114,1)="1"),0.48,VLOOKUP(AU114,INDEX((係数_乗用_ガソリン,係数_乗用_CNG,係数_乗用_軽油,係数_乗用_メタノール,係数_乗用_LPG),1,1,BE114):INDEX((係数_乗用_ガソリン,係数_乗用_CNG,係数_乗用_軽油,係数_乗用_メタノール,係数_乗用_LPG),125,5,BE114),4,FALSE)))))</f>
        <v/>
      </c>
      <c r="AL114" s="461" t="str">
        <f t="shared" si="50"/>
        <v/>
      </c>
      <c r="AM114" s="460" t="str">
        <f>IF(AU114="","",IF(OR(AZ114=8,AZ114=9),0,IF(OR(AW114=3,AW114=4,AW114=5,AW114=6),IF(LEFT(BH114,1)="1",INDEX(係数_PM低減,MATCH(AY114,【参考】排出係数!$AI$801:$AI$804,1),MATCH(BI114,【参考】排出係数!$AL$798:$AO$798,1)),VLOOKUP(AU114,INDEX((係数_バス貨物_ガソリン,係数_バス貨物_CNG,係数_バス貨物_軽油,係数_バス貨物_メタノール,係数_バス貨物_LPG),MATCH(AY114,【参考】排出係数!$AI$4:$AI$671,1),1,BE114):INDEX((係数_バス貨物_ガソリン,係数_バス貨物_CNG,係数_バス貨物_軽油,係数_バス貨物_メタノール,係数_バス貨物_LPG),MATCH(AY114+1,【参考】排出係数!$AI$4:$AI$671,1)-1,5,BE114),5,FALSE)),IF(AND(BE114=3,LEFT(BF114,1)="1"),0.055,VLOOKUP(AU114,INDEX((係数_乗用_ガソリン,係数_乗用_CNG,係数_乗用_軽油,係数_乗用_メタノール,係数_乗用_LPG),1,1,BE114):INDEX((係数_乗用_ガソリン,係数_乗用_CNG,係数_乗用_軽油,係数_乗用_メタノール,係数_乗用_LPG),125,5,BE114),5,FALSE)))))</f>
        <v/>
      </c>
      <c r="AN114" s="461" t="str">
        <f t="shared" si="51"/>
        <v/>
      </c>
      <c r="AO114" s="462" t="str">
        <f t="shared" si="52"/>
        <v/>
      </c>
      <c r="AP114" s="463" t="str">
        <f t="shared" si="53"/>
        <v/>
      </c>
      <c r="AQ114" s="464"/>
      <c r="AR114" s="619"/>
      <c r="AS114" s="465" t="str">
        <f t="shared" si="28"/>
        <v/>
      </c>
      <c r="AT114" s="465" t="str">
        <f t="shared" si="29"/>
        <v/>
      </c>
      <c r="AU114" s="466" t="str">
        <f t="shared" si="30"/>
        <v/>
      </c>
      <c r="AV114" s="467" t="str">
        <f t="shared" si="31"/>
        <v/>
      </c>
      <c r="AW114" s="467" t="str">
        <f t="shared" si="32"/>
        <v/>
      </c>
      <c r="AX114" s="467" t="str">
        <f t="shared" si="33"/>
        <v/>
      </c>
      <c r="AY114" s="467" t="str">
        <f t="shared" si="34"/>
        <v/>
      </c>
      <c r="AZ114" s="467" t="str">
        <f t="shared" si="35"/>
        <v/>
      </c>
      <c r="BA114" s="468" t="str">
        <f>IF(AS114="","",IF(OR(AU114="",AU114="-"),"－",IF(OR(AZ114=8,AZ114=9),"",IF(OR(AW114=3,AW114=4,AW114=5,AW114=6),VLOOKUP(AU114,INDEX((係数_バス貨物_ガソリン,係数_バス貨物_CNG,係数_バス貨物_軽油,係数_バス貨物_メタノール,係数_バス貨物_LPG),MATCH(AY114,【参考】排出係数!$AI$4:$AI$671,1),1,BE114):INDEX((係数_バス貨物_ガソリン,係数_バス貨物_CNG,係数_バス貨物_軽油,係数_バス貨物_メタノール,係数_バス貨物_LPG),MATCH(AY114+1,【参考】排出係数!$AI$4:$AI$671,1)-1,5,BE114),2,FALSE),IF(OR(AW114=1,AW114=2),VLOOKUP(AU114,INDEX((係数_乗用_ガソリン,係数_乗用_CNG,係数_乗用_軽油,係数_乗用_メタノール,係数_乗用_LPG),1,1,BE114):INDEX((係数_乗用_ガソリン,係数_乗用_CNG,係数_乗用_軽油,係数_乗用_メタノール,係数_乗用_LPG),125,5,BE114),2,FALSE))))))</f>
        <v/>
      </c>
      <c r="BB114" s="468" t="str">
        <f>IF(T114="","",IF(OR(AU114="",AU114="-"),"－",IF(OR(AZ114=8,AZ114=9),"",IF(OR(AW114=3,AW114=4,AW114=5,AW114=6),VLOOKUP(AU114,INDEX((係数_バス貨物_ガソリン,係数_バス貨物_CNG,係数_バス貨物_軽油,係数_バス貨物_メタノール,係数_バス貨物_LPG),MATCH(AY114,【参考】排出係数!$AI$4:$AI$671,1),1,BE114):INDEX((係数_バス貨物_ガソリン,係数_バス貨物_CNG,係数_バス貨物_軽油,係数_バス貨物_メタノール,係数_バス貨物_LPG),MATCH(AY114+1,【参考】排出係数!$AI$4:$AI$671,1)-1,5,BE114),3,FALSE),IF(OR(AW114=1,AW114=2),VLOOKUP(AU114,INDEX((係数_乗用_ガソリン,係数_乗用_CNG,係数_乗用_軽油,係数_乗用_メタノール,係数_乗用_LPG),1,1,BE114):INDEX((係数_乗用_ガソリン,係数_乗用_CNG,係数_乗用_軽油,係数_乗用_メタノール,係数_乗用_LPG),125,5,BE114),3,FALSE))))))</f>
        <v/>
      </c>
      <c r="BC114" s="467" t="str">
        <f t="shared" si="36"/>
        <v/>
      </c>
      <c r="BD114" s="567" t="str">
        <f t="shared" si="37"/>
        <v/>
      </c>
      <c r="BE114" s="467" t="str">
        <f t="shared" si="38"/>
        <v/>
      </c>
      <c r="BF114" s="469" t="str">
        <f t="shared" ca="1" si="39"/>
        <v/>
      </c>
      <c r="BG114" s="469" t="str">
        <f t="shared" ca="1" si="40"/>
        <v/>
      </c>
      <c r="BH114" s="467" t="str">
        <f t="shared" si="41"/>
        <v/>
      </c>
      <c r="BI114" s="467" t="str">
        <f t="shared" ca="1" si="42"/>
        <v/>
      </c>
      <c r="BJ114" s="469" t="str">
        <f t="shared" si="43"/>
        <v/>
      </c>
      <c r="BK114" s="470" t="str">
        <f t="shared" si="22"/>
        <v/>
      </c>
      <c r="BL114" s="775" t="str">
        <f t="shared" si="44"/>
        <v/>
      </c>
      <c r="BM114" s="775" t="str">
        <f t="shared" si="45"/>
        <v/>
      </c>
      <c r="BO114" s="472"/>
    </row>
    <row r="115" spans="1:67" s="471" customFormat="1" ht="13.5" customHeight="1">
      <c r="A115" s="473">
        <v>59</v>
      </c>
      <c r="B115" s="132"/>
      <c r="C115" s="332"/>
      <c r="D115" s="333"/>
      <c r="E115" s="333"/>
      <c r="F115" s="334"/>
      <c r="G115" s="337"/>
      <c r="H115" s="131"/>
      <c r="I115" s="337"/>
      <c r="J115" s="131"/>
      <c r="K115" s="458" t="str">
        <f t="shared" si="0"/>
        <v/>
      </c>
      <c r="L115" s="458">
        <f t="shared" si="23"/>
        <v>0</v>
      </c>
      <c r="M115" s="458">
        <f t="shared" si="24"/>
        <v>0</v>
      </c>
      <c r="N115" s="459" t="str">
        <f t="shared" si="1"/>
        <v/>
      </c>
      <c r="O115" s="459" t="str">
        <f t="shared" si="2"/>
        <v/>
      </c>
      <c r="P115" s="459" t="str">
        <f t="shared" si="3"/>
        <v/>
      </c>
      <c r="Q115" s="459" t="str">
        <f t="shared" si="4"/>
        <v/>
      </c>
      <c r="R115" s="459" t="str">
        <f t="shared" si="5"/>
        <v/>
      </c>
      <c r="S115" s="459" t="str">
        <f t="shared" si="6"/>
        <v/>
      </c>
      <c r="T115" s="566" t="str">
        <f t="shared" si="25"/>
        <v/>
      </c>
      <c r="U115" s="702"/>
      <c r="V115" s="132"/>
      <c r="W115" s="133"/>
      <c r="X115" s="134"/>
      <c r="Y115" s="135"/>
      <c r="Z115" s="137"/>
      <c r="AA115" s="136"/>
      <c r="AB115" s="566" t="str">
        <f t="shared" si="26"/>
        <v/>
      </c>
      <c r="AC115" s="568" t="str">
        <f t="shared" si="27"/>
        <v/>
      </c>
      <c r="AD115" s="137"/>
      <c r="AE115" s="137"/>
      <c r="AF115" s="138"/>
      <c r="AG115" s="138"/>
      <c r="AH115" s="592" t="str">
        <f t="shared" si="7"/>
        <v/>
      </c>
      <c r="AI115" s="592" t="str">
        <f t="shared" si="8"/>
        <v/>
      </c>
      <c r="AJ115" s="592" t="str">
        <f t="shared" si="9"/>
        <v/>
      </c>
      <c r="AK115" s="460" t="str">
        <f>IF(AU115="","",IF(OR(AZ115=8,AZ115=9),0,IF(OR(AW115=3,AW115=4,AW115=5,AW115=6),IF(LEFT(BF115,1)="1",INDEX(係数_NOX・PM低減,MATCH(AY115,【参考】排出係数!$AI$801:$AI$804,1),1),VLOOKUP(AU115,INDEX((係数_バス貨物_ガソリン,係数_バス貨物_CNG,係数_バス貨物_軽油,係数_バス貨物_メタノール,係数_バス貨物_LPG),MATCH(AY115,【参考】排出係数!$AI$4:$AI$671,1),1,BE115):INDEX((係数_バス貨物_ガソリン,係数_バス貨物_CNG,係数_バス貨物_軽油,係数_バス貨物_メタノール,係数_バス貨物_LPG),MATCH(AY115+1,【参考】排出係数!$AI$4:$AI$671,1)-1,5,BE115),4,FALSE)),IF(AND(BE115=3,LEFT(BF115,1)="1"),0.48,VLOOKUP(AU115,INDEX((係数_乗用_ガソリン,係数_乗用_CNG,係数_乗用_軽油,係数_乗用_メタノール,係数_乗用_LPG),1,1,BE115):INDEX((係数_乗用_ガソリン,係数_乗用_CNG,係数_乗用_軽油,係数_乗用_メタノール,係数_乗用_LPG),125,5,BE115),4,FALSE)))))</f>
        <v/>
      </c>
      <c r="AL115" s="461" t="str">
        <f t="shared" si="50"/>
        <v/>
      </c>
      <c r="AM115" s="460" t="str">
        <f>IF(AU115="","",IF(OR(AZ115=8,AZ115=9),0,IF(OR(AW115=3,AW115=4,AW115=5,AW115=6),IF(LEFT(BH115,1)="1",INDEX(係数_PM低減,MATCH(AY115,【参考】排出係数!$AI$801:$AI$804,1),MATCH(BI115,【参考】排出係数!$AL$798:$AO$798,1)),VLOOKUP(AU115,INDEX((係数_バス貨物_ガソリン,係数_バス貨物_CNG,係数_バス貨物_軽油,係数_バス貨物_メタノール,係数_バス貨物_LPG),MATCH(AY115,【参考】排出係数!$AI$4:$AI$671,1),1,BE115):INDEX((係数_バス貨物_ガソリン,係数_バス貨物_CNG,係数_バス貨物_軽油,係数_バス貨物_メタノール,係数_バス貨物_LPG),MATCH(AY115+1,【参考】排出係数!$AI$4:$AI$671,1)-1,5,BE115),5,FALSE)),IF(AND(BE115=3,LEFT(BF115,1)="1"),0.055,VLOOKUP(AU115,INDEX((係数_乗用_ガソリン,係数_乗用_CNG,係数_乗用_軽油,係数_乗用_メタノール,係数_乗用_LPG),1,1,BE115):INDEX((係数_乗用_ガソリン,係数_乗用_CNG,係数_乗用_軽油,係数_乗用_メタノール,係数_乗用_LPG),125,5,BE115),5,FALSE)))))</f>
        <v/>
      </c>
      <c r="AN115" s="461" t="str">
        <f t="shared" si="51"/>
        <v/>
      </c>
      <c r="AO115" s="462" t="str">
        <f t="shared" si="52"/>
        <v/>
      </c>
      <c r="AP115" s="463" t="str">
        <f t="shared" si="53"/>
        <v/>
      </c>
      <c r="AQ115" s="464"/>
      <c r="AR115" s="619"/>
      <c r="AS115" s="465" t="str">
        <f t="shared" si="28"/>
        <v/>
      </c>
      <c r="AT115" s="465" t="str">
        <f t="shared" si="29"/>
        <v/>
      </c>
      <c r="AU115" s="466" t="str">
        <f t="shared" si="30"/>
        <v/>
      </c>
      <c r="AV115" s="467" t="str">
        <f t="shared" si="31"/>
        <v/>
      </c>
      <c r="AW115" s="467" t="str">
        <f t="shared" si="32"/>
        <v/>
      </c>
      <c r="AX115" s="467" t="str">
        <f t="shared" si="33"/>
        <v/>
      </c>
      <c r="AY115" s="467" t="str">
        <f t="shared" si="34"/>
        <v/>
      </c>
      <c r="AZ115" s="467" t="str">
        <f t="shared" si="35"/>
        <v/>
      </c>
      <c r="BA115" s="468" t="str">
        <f>IF(AS115="","",IF(OR(AU115="",AU115="-"),"－",IF(OR(AZ115=8,AZ115=9),"",IF(OR(AW115=3,AW115=4,AW115=5,AW115=6),VLOOKUP(AU115,INDEX((係数_バス貨物_ガソリン,係数_バス貨物_CNG,係数_バス貨物_軽油,係数_バス貨物_メタノール,係数_バス貨物_LPG),MATCH(AY115,【参考】排出係数!$AI$4:$AI$671,1),1,BE115):INDEX((係数_バス貨物_ガソリン,係数_バス貨物_CNG,係数_バス貨物_軽油,係数_バス貨物_メタノール,係数_バス貨物_LPG),MATCH(AY115+1,【参考】排出係数!$AI$4:$AI$671,1)-1,5,BE115),2,FALSE),IF(OR(AW115=1,AW115=2),VLOOKUP(AU115,INDEX((係数_乗用_ガソリン,係数_乗用_CNG,係数_乗用_軽油,係数_乗用_メタノール,係数_乗用_LPG),1,1,BE115):INDEX((係数_乗用_ガソリン,係数_乗用_CNG,係数_乗用_軽油,係数_乗用_メタノール,係数_乗用_LPG),125,5,BE115),2,FALSE))))))</f>
        <v/>
      </c>
      <c r="BB115" s="468" t="str">
        <f>IF(T115="","",IF(OR(AU115="",AU115="-"),"－",IF(OR(AZ115=8,AZ115=9),"",IF(OR(AW115=3,AW115=4,AW115=5,AW115=6),VLOOKUP(AU115,INDEX((係数_バス貨物_ガソリン,係数_バス貨物_CNG,係数_バス貨物_軽油,係数_バス貨物_メタノール,係数_バス貨物_LPG),MATCH(AY115,【参考】排出係数!$AI$4:$AI$671,1),1,BE115):INDEX((係数_バス貨物_ガソリン,係数_バス貨物_CNG,係数_バス貨物_軽油,係数_バス貨物_メタノール,係数_バス貨物_LPG),MATCH(AY115+1,【参考】排出係数!$AI$4:$AI$671,1)-1,5,BE115),3,FALSE),IF(OR(AW115=1,AW115=2),VLOOKUP(AU115,INDEX((係数_乗用_ガソリン,係数_乗用_CNG,係数_乗用_軽油,係数_乗用_メタノール,係数_乗用_LPG),1,1,BE115):INDEX((係数_乗用_ガソリン,係数_乗用_CNG,係数_乗用_軽油,係数_乗用_メタノール,係数_乗用_LPG),125,5,BE115),3,FALSE))))))</f>
        <v/>
      </c>
      <c r="BC115" s="467" t="str">
        <f t="shared" si="36"/>
        <v/>
      </c>
      <c r="BD115" s="567" t="str">
        <f t="shared" si="37"/>
        <v/>
      </c>
      <c r="BE115" s="467" t="str">
        <f t="shared" si="38"/>
        <v/>
      </c>
      <c r="BF115" s="469" t="str">
        <f t="shared" ca="1" si="39"/>
        <v/>
      </c>
      <c r="BG115" s="469" t="str">
        <f t="shared" ca="1" si="40"/>
        <v/>
      </c>
      <c r="BH115" s="467" t="str">
        <f t="shared" si="41"/>
        <v/>
      </c>
      <c r="BI115" s="467" t="str">
        <f t="shared" ca="1" si="42"/>
        <v/>
      </c>
      <c r="BJ115" s="469" t="str">
        <f t="shared" si="43"/>
        <v/>
      </c>
      <c r="BK115" s="470" t="str">
        <f t="shared" si="22"/>
        <v/>
      </c>
      <c r="BL115" s="775" t="str">
        <f t="shared" si="44"/>
        <v/>
      </c>
      <c r="BM115" s="775" t="str">
        <f t="shared" si="45"/>
        <v/>
      </c>
      <c r="BO115" s="472"/>
    </row>
    <row r="116" spans="1:67" s="471" customFormat="1" ht="13.5" customHeight="1">
      <c r="A116" s="473">
        <v>60</v>
      </c>
      <c r="B116" s="132"/>
      <c r="C116" s="332"/>
      <c r="D116" s="333"/>
      <c r="E116" s="333"/>
      <c r="F116" s="334"/>
      <c r="G116" s="337"/>
      <c r="H116" s="131"/>
      <c r="I116" s="337"/>
      <c r="J116" s="131"/>
      <c r="K116" s="458" t="str">
        <f t="shared" si="0"/>
        <v/>
      </c>
      <c r="L116" s="458">
        <f t="shared" si="23"/>
        <v>0</v>
      </c>
      <c r="M116" s="458">
        <f t="shared" si="24"/>
        <v>0</v>
      </c>
      <c r="N116" s="459" t="str">
        <f t="shared" si="1"/>
        <v/>
      </c>
      <c r="O116" s="459" t="str">
        <f t="shared" si="2"/>
        <v/>
      </c>
      <c r="P116" s="459" t="str">
        <f t="shared" si="3"/>
        <v/>
      </c>
      <c r="Q116" s="459" t="str">
        <f t="shared" si="4"/>
        <v/>
      </c>
      <c r="R116" s="459" t="str">
        <f t="shared" si="5"/>
        <v/>
      </c>
      <c r="S116" s="459" t="str">
        <f t="shared" si="6"/>
        <v/>
      </c>
      <c r="T116" s="566" t="str">
        <f t="shared" si="25"/>
        <v/>
      </c>
      <c r="U116" s="702"/>
      <c r="V116" s="132"/>
      <c r="W116" s="133"/>
      <c r="X116" s="134"/>
      <c r="Y116" s="135"/>
      <c r="Z116" s="137"/>
      <c r="AA116" s="136"/>
      <c r="AB116" s="566" t="str">
        <f t="shared" si="26"/>
        <v/>
      </c>
      <c r="AC116" s="568" t="str">
        <f t="shared" si="27"/>
        <v/>
      </c>
      <c r="AD116" s="137"/>
      <c r="AE116" s="137"/>
      <c r="AF116" s="138"/>
      <c r="AG116" s="138"/>
      <c r="AH116" s="592" t="str">
        <f t="shared" si="7"/>
        <v/>
      </c>
      <c r="AI116" s="592" t="str">
        <f t="shared" si="8"/>
        <v/>
      </c>
      <c r="AJ116" s="592" t="str">
        <f t="shared" si="9"/>
        <v/>
      </c>
      <c r="AK116" s="460" t="str">
        <f>IF(AU116="","",IF(OR(AZ116=8,AZ116=9),0,IF(OR(AW116=3,AW116=4,AW116=5,AW116=6),IF(LEFT(BF116,1)="1",INDEX(係数_NOX・PM低減,MATCH(AY116,【参考】排出係数!$AI$801:$AI$804,1),1),VLOOKUP(AU116,INDEX((係数_バス貨物_ガソリン,係数_バス貨物_CNG,係数_バス貨物_軽油,係数_バス貨物_メタノール,係数_バス貨物_LPG),MATCH(AY116,【参考】排出係数!$AI$4:$AI$671,1),1,BE116):INDEX((係数_バス貨物_ガソリン,係数_バス貨物_CNG,係数_バス貨物_軽油,係数_バス貨物_メタノール,係数_バス貨物_LPG),MATCH(AY116+1,【参考】排出係数!$AI$4:$AI$671,1)-1,5,BE116),4,FALSE)),IF(AND(BE116=3,LEFT(BF116,1)="1"),0.48,VLOOKUP(AU116,INDEX((係数_乗用_ガソリン,係数_乗用_CNG,係数_乗用_軽油,係数_乗用_メタノール,係数_乗用_LPG),1,1,BE116):INDEX((係数_乗用_ガソリン,係数_乗用_CNG,係数_乗用_軽油,係数_乗用_メタノール,係数_乗用_LPG),125,5,BE116),4,FALSE)))))</f>
        <v/>
      </c>
      <c r="AL116" s="461" t="str">
        <f t="shared" si="50"/>
        <v/>
      </c>
      <c r="AM116" s="460" t="str">
        <f>IF(AU116="","",IF(OR(AZ116=8,AZ116=9),0,IF(OR(AW116=3,AW116=4,AW116=5,AW116=6),IF(LEFT(BH116,1)="1",INDEX(係数_PM低減,MATCH(AY116,【参考】排出係数!$AI$801:$AI$804,1),MATCH(BI116,【参考】排出係数!$AL$798:$AO$798,1)),VLOOKUP(AU116,INDEX((係数_バス貨物_ガソリン,係数_バス貨物_CNG,係数_バス貨物_軽油,係数_バス貨物_メタノール,係数_バス貨物_LPG),MATCH(AY116,【参考】排出係数!$AI$4:$AI$671,1),1,BE116):INDEX((係数_バス貨物_ガソリン,係数_バス貨物_CNG,係数_バス貨物_軽油,係数_バス貨物_メタノール,係数_バス貨物_LPG),MATCH(AY116+1,【参考】排出係数!$AI$4:$AI$671,1)-1,5,BE116),5,FALSE)),IF(AND(BE116=3,LEFT(BF116,1)="1"),0.055,VLOOKUP(AU116,INDEX((係数_乗用_ガソリン,係数_乗用_CNG,係数_乗用_軽油,係数_乗用_メタノール,係数_乗用_LPG),1,1,BE116):INDEX((係数_乗用_ガソリン,係数_乗用_CNG,係数_乗用_軽油,係数_乗用_メタノール,係数_乗用_LPG),125,5,BE116),5,FALSE)))))</f>
        <v/>
      </c>
      <c r="AN116" s="461" t="str">
        <f t="shared" si="51"/>
        <v/>
      </c>
      <c r="AO116" s="462" t="str">
        <f t="shared" si="52"/>
        <v/>
      </c>
      <c r="AP116" s="463" t="str">
        <f t="shared" si="53"/>
        <v/>
      </c>
      <c r="AQ116" s="464"/>
      <c r="AR116" s="619"/>
      <c r="AS116" s="465" t="str">
        <f t="shared" si="28"/>
        <v/>
      </c>
      <c r="AT116" s="465" t="str">
        <f t="shared" si="29"/>
        <v/>
      </c>
      <c r="AU116" s="466" t="str">
        <f t="shared" si="30"/>
        <v/>
      </c>
      <c r="AV116" s="467" t="str">
        <f t="shared" si="31"/>
        <v/>
      </c>
      <c r="AW116" s="467" t="str">
        <f t="shared" si="32"/>
        <v/>
      </c>
      <c r="AX116" s="467" t="str">
        <f t="shared" si="33"/>
        <v/>
      </c>
      <c r="AY116" s="467" t="str">
        <f t="shared" si="34"/>
        <v/>
      </c>
      <c r="AZ116" s="467" t="str">
        <f t="shared" si="35"/>
        <v/>
      </c>
      <c r="BA116" s="468" t="str">
        <f>IF(AS116="","",IF(OR(AU116="",AU116="-"),"－",IF(OR(AZ116=8,AZ116=9),"",IF(OR(AW116=3,AW116=4,AW116=5,AW116=6),VLOOKUP(AU116,INDEX((係数_バス貨物_ガソリン,係数_バス貨物_CNG,係数_バス貨物_軽油,係数_バス貨物_メタノール,係数_バス貨物_LPG),MATCH(AY116,【参考】排出係数!$AI$4:$AI$671,1),1,BE116):INDEX((係数_バス貨物_ガソリン,係数_バス貨物_CNG,係数_バス貨物_軽油,係数_バス貨物_メタノール,係数_バス貨物_LPG),MATCH(AY116+1,【参考】排出係数!$AI$4:$AI$671,1)-1,5,BE116),2,FALSE),IF(OR(AW116=1,AW116=2),VLOOKUP(AU116,INDEX((係数_乗用_ガソリン,係数_乗用_CNG,係数_乗用_軽油,係数_乗用_メタノール,係数_乗用_LPG),1,1,BE116):INDEX((係数_乗用_ガソリン,係数_乗用_CNG,係数_乗用_軽油,係数_乗用_メタノール,係数_乗用_LPG),125,5,BE116),2,FALSE))))))</f>
        <v/>
      </c>
      <c r="BB116" s="468" t="str">
        <f>IF(T116="","",IF(OR(AU116="",AU116="-"),"－",IF(OR(AZ116=8,AZ116=9),"",IF(OR(AW116=3,AW116=4,AW116=5,AW116=6),VLOOKUP(AU116,INDEX((係数_バス貨物_ガソリン,係数_バス貨物_CNG,係数_バス貨物_軽油,係数_バス貨物_メタノール,係数_バス貨物_LPG),MATCH(AY116,【参考】排出係数!$AI$4:$AI$671,1),1,BE116):INDEX((係数_バス貨物_ガソリン,係数_バス貨物_CNG,係数_バス貨物_軽油,係数_バス貨物_メタノール,係数_バス貨物_LPG),MATCH(AY116+1,【参考】排出係数!$AI$4:$AI$671,1)-1,5,BE116),3,FALSE),IF(OR(AW116=1,AW116=2),VLOOKUP(AU116,INDEX((係数_乗用_ガソリン,係数_乗用_CNG,係数_乗用_軽油,係数_乗用_メタノール,係数_乗用_LPG),1,1,BE116):INDEX((係数_乗用_ガソリン,係数_乗用_CNG,係数_乗用_軽油,係数_乗用_メタノール,係数_乗用_LPG),125,5,BE116),3,FALSE))))))</f>
        <v/>
      </c>
      <c r="BC116" s="467" t="str">
        <f t="shared" si="36"/>
        <v/>
      </c>
      <c r="BD116" s="567" t="str">
        <f t="shared" si="37"/>
        <v/>
      </c>
      <c r="BE116" s="467" t="str">
        <f t="shared" si="38"/>
        <v/>
      </c>
      <c r="BF116" s="469" t="str">
        <f t="shared" ca="1" si="39"/>
        <v/>
      </c>
      <c r="BG116" s="469" t="str">
        <f t="shared" ca="1" si="40"/>
        <v/>
      </c>
      <c r="BH116" s="467" t="str">
        <f t="shared" si="41"/>
        <v/>
      </c>
      <c r="BI116" s="467" t="str">
        <f t="shared" ca="1" si="42"/>
        <v/>
      </c>
      <c r="BJ116" s="469" t="str">
        <f t="shared" si="43"/>
        <v/>
      </c>
      <c r="BK116" s="470" t="str">
        <f t="shared" si="22"/>
        <v/>
      </c>
      <c r="BL116" s="775" t="str">
        <f t="shared" si="44"/>
        <v/>
      </c>
      <c r="BM116" s="775" t="str">
        <f t="shared" si="45"/>
        <v/>
      </c>
      <c r="BO116" s="472"/>
    </row>
    <row r="117" spans="1:67" s="471" customFormat="1" ht="13.5" customHeight="1">
      <c r="A117" s="473">
        <v>61</v>
      </c>
      <c r="B117" s="132"/>
      <c r="C117" s="332"/>
      <c r="D117" s="333"/>
      <c r="E117" s="333"/>
      <c r="F117" s="334"/>
      <c r="G117" s="337"/>
      <c r="H117" s="131"/>
      <c r="I117" s="337"/>
      <c r="J117" s="131"/>
      <c r="K117" s="458" t="str">
        <f t="shared" si="0"/>
        <v/>
      </c>
      <c r="L117" s="458">
        <f t="shared" si="23"/>
        <v>0</v>
      </c>
      <c r="M117" s="458">
        <f t="shared" si="24"/>
        <v>0</v>
      </c>
      <c r="N117" s="459" t="str">
        <f t="shared" si="1"/>
        <v/>
      </c>
      <c r="O117" s="459" t="str">
        <f t="shared" si="2"/>
        <v/>
      </c>
      <c r="P117" s="459" t="str">
        <f t="shared" si="3"/>
        <v/>
      </c>
      <c r="Q117" s="459" t="str">
        <f t="shared" si="4"/>
        <v/>
      </c>
      <c r="R117" s="459" t="str">
        <f t="shared" si="5"/>
        <v/>
      </c>
      <c r="S117" s="459" t="str">
        <f t="shared" si="6"/>
        <v/>
      </c>
      <c r="T117" s="566" t="str">
        <f t="shared" si="25"/>
        <v/>
      </c>
      <c r="U117" s="702"/>
      <c r="V117" s="132"/>
      <c r="W117" s="133"/>
      <c r="X117" s="134"/>
      <c r="Y117" s="135"/>
      <c r="Z117" s="137"/>
      <c r="AA117" s="136"/>
      <c r="AB117" s="566" t="str">
        <f t="shared" si="26"/>
        <v/>
      </c>
      <c r="AC117" s="568" t="str">
        <f t="shared" si="27"/>
        <v/>
      </c>
      <c r="AD117" s="137"/>
      <c r="AE117" s="137"/>
      <c r="AF117" s="138"/>
      <c r="AG117" s="138"/>
      <c r="AH117" s="592" t="str">
        <f t="shared" si="7"/>
        <v/>
      </c>
      <c r="AI117" s="592" t="str">
        <f t="shared" si="8"/>
        <v/>
      </c>
      <c r="AJ117" s="592" t="str">
        <f t="shared" si="9"/>
        <v/>
      </c>
      <c r="AK117" s="460" t="str">
        <f>IF(AU117="","",IF(OR(AZ117=8,AZ117=9),0,IF(OR(AW117=3,AW117=4,AW117=5,AW117=6),IF(LEFT(BF117,1)="1",INDEX(係数_NOX・PM低減,MATCH(AY117,【参考】排出係数!$AI$801:$AI$804,1),1),VLOOKUP(AU117,INDEX((係数_バス貨物_ガソリン,係数_バス貨物_CNG,係数_バス貨物_軽油,係数_バス貨物_メタノール,係数_バス貨物_LPG),MATCH(AY117,【参考】排出係数!$AI$4:$AI$671,1),1,BE117):INDEX((係数_バス貨物_ガソリン,係数_バス貨物_CNG,係数_バス貨物_軽油,係数_バス貨物_メタノール,係数_バス貨物_LPG),MATCH(AY117+1,【参考】排出係数!$AI$4:$AI$671,1)-1,5,BE117),4,FALSE)),IF(AND(BE117=3,LEFT(BF117,1)="1"),0.48,VLOOKUP(AU117,INDEX((係数_乗用_ガソリン,係数_乗用_CNG,係数_乗用_軽油,係数_乗用_メタノール,係数_乗用_LPG),1,1,BE117):INDEX((係数_乗用_ガソリン,係数_乗用_CNG,係数_乗用_軽油,係数_乗用_メタノール,係数_乗用_LPG),125,5,BE117),4,FALSE)))))</f>
        <v/>
      </c>
      <c r="AL117" s="461" t="str">
        <f t="shared" si="50"/>
        <v/>
      </c>
      <c r="AM117" s="460" t="str">
        <f>IF(AU117="","",IF(OR(AZ117=8,AZ117=9),0,IF(OR(AW117=3,AW117=4,AW117=5,AW117=6),IF(LEFT(BH117,1)="1",INDEX(係数_PM低減,MATCH(AY117,【参考】排出係数!$AI$801:$AI$804,1),MATCH(BI117,【参考】排出係数!$AL$798:$AO$798,1)),VLOOKUP(AU117,INDEX((係数_バス貨物_ガソリン,係数_バス貨物_CNG,係数_バス貨物_軽油,係数_バス貨物_メタノール,係数_バス貨物_LPG),MATCH(AY117,【参考】排出係数!$AI$4:$AI$671,1),1,BE117):INDEX((係数_バス貨物_ガソリン,係数_バス貨物_CNG,係数_バス貨物_軽油,係数_バス貨物_メタノール,係数_バス貨物_LPG),MATCH(AY117+1,【参考】排出係数!$AI$4:$AI$671,1)-1,5,BE117),5,FALSE)),IF(AND(BE117=3,LEFT(BF117,1)="1"),0.055,VLOOKUP(AU117,INDEX((係数_乗用_ガソリン,係数_乗用_CNG,係数_乗用_軽油,係数_乗用_メタノール,係数_乗用_LPG),1,1,BE117):INDEX((係数_乗用_ガソリン,係数_乗用_CNG,係数_乗用_軽油,係数_乗用_メタノール,係数_乗用_LPG),125,5,BE117),5,FALSE)))))</f>
        <v/>
      </c>
      <c r="AN117" s="461" t="str">
        <f t="shared" si="51"/>
        <v/>
      </c>
      <c r="AO117" s="462" t="str">
        <f t="shared" si="52"/>
        <v/>
      </c>
      <c r="AP117" s="463" t="str">
        <f t="shared" si="53"/>
        <v/>
      </c>
      <c r="AQ117" s="464"/>
      <c r="AR117" s="619"/>
      <c r="AS117" s="465" t="str">
        <f t="shared" si="28"/>
        <v/>
      </c>
      <c r="AT117" s="465" t="str">
        <f t="shared" si="29"/>
        <v/>
      </c>
      <c r="AU117" s="466" t="str">
        <f t="shared" si="30"/>
        <v/>
      </c>
      <c r="AV117" s="467" t="str">
        <f t="shared" si="31"/>
        <v/>
      </c>
      <c r="AW117" s="467" t="str">
        <f t="shared" si="32"/>
        <v/>
      </c>
      <c r="AX117" s="467" t="str">
        <f t="shared" si="33"/>
        <v/>
      </c>
      <c r="AY117" s="467" t="str">
        <f t="shared" si="34"/>
        <v/>
      </c>
      <c r="AZ117" s="467" t="str">
        <f t="shared" si="35"/>
        <v/>
      </c>
      <c r="BA117" s="468" t="str">
        <f>IF(AS117="","",IF(OR(AU117="",AU117="-"),"－",IF(OR(AZ117=8,AZ117=9),"",IF(OR(AW117=3,AW117=4,AW117=5,AW117=6),VLOOKUP(AU117,INDEX((係数_バス貨物_ガソリン,係数_バス貨物_CNG,係数_バス貨物_軽油,係数_バス貨物_メタノール,係数_バス貨物_LPG),MATCH(AY117,【参考】排出係数!$AI$4:$AI$671,1),1,BE117):INDEX((係数_バス貨物_ガソリン,係数_バス貨物_CNG,係数_バス貨物_軽油,係数_バス貨物_メタノール,係数_バス貨物_LPG),MATCH(AY117+1,【参考】排出係数!$AI$4:$AI$671,1)-1,5,BE117),2,FALSE),IF(OR(AW117=1,AW117=2),VLOOKUP(AU117,INDEX((係数_乗用_ガソリン,係数_乗用_CNG,係数_乗用_軽油,係数_乗用_メタノール,係数_乗用_LPG),1,1,BE117):INDEX((係数_乗用_ガソリン,係数_乗用_CNG,係数_乗用_軽油,係数_乗用_メタノール,係数_乗用_LPG),125,5,BE117),2,FALSE))))))</f>
        <v/>
      </c>
      <c r="BB117" s="468" t="str">
        <f>IF(T117="","",IF(OR(AU117="",AU117="-"),"－",IF(OR(AZ117=8,AZ117=9),"",IF(OR(AW117=3,AW117=4,AW117=5,AW117=6),VLOOKUP(AU117,INDEX((係数_バス貨物_ガソリン,係数_バス貨物_CNG,係数_バス貨物_軽油,係数_バス貨物_メタノール,係数_バス貨物_LPG),MATCH(AY117,【参考】排出係数!$AI$4:$AI$671,1),1,BE117):INDEX((係数_バス貨物_ガソリン,係数_バス貨物_CNG,係数_バス貨物_軽油,係数_バス貨物_メタノール,係数_バス貨物_LPG),MATCH(AY117+1,【参考】排出係数!$AI$4:$AI$671,1)-1,5,BE117),3,FALSE),IF(OR(AW117=1,AW117=2),VLOOKUP(AU117,INDEX((係数_乗用_ガソリン,係数_乗用_CNG,係数_乗用_軽油,係数_乗用_メタノール,係数_乗用_LPG),1,1,BE117):INDEX((係数_乗用_ガソリン,係数_乗用_CNG,係数_乗用_軽油,係数_乗用_メタノール,係数_乗用_LPG),125,5,BE117),3,FALSE))))))</f>
        <v/>
      </c>
      <c r="BC117" s="467" t="str">
        <f t="shared" si="36"/>
        <v/>
      </c>
      <c r="BD117" s="567" t="str">
        <f t="shared" si="37"/>
        <v/>
      </c>
      <c r="BE117" s="467" t="str">
        <f t="shared" si="38"/>
        <v/>
      </c>
      <c r="BF117" s="469" t="str">
        <f t="shared" ca="1" si="39"/>
        <v/>
      </c>
      <c r="BG117" s="469" t="str">
        <f t="shared" ca="1" si="40"/>
        <v/>
      </c>
      <c r="BH117" s="467" t="str">
        <f t="shared" si="41"/>
        <v/>
      </c>
      <c r="BI117" s="467" t="str">
        <f t="shared" ca="1" si="42"/>
        <v/>
      </c>
      <c r="BJ117" s="469" t="str">
        <f t="shared" si="43"/>
        <v/>
      </c>
      <c r="BK117" s="470" t="str">
        <f t="shared" si="22"/>
        <v/>
      </c>
      <c r="BL117" s="775" t="str">
        <f t="shared" si="44"/>
        <v/>
      </c>
      <c r="BM117" s="775" t="str">
        <f t="shared" si="45"/>
        <v/>
      </c>
      <c r="BO117" s="472"/>
    </row>
    <row r="118" spans="1:67" s="471" customFormat="1" ht="13.5" customHeight="1">
      <c r="A118" s="473">
        <v>62</v>
      </c>
      <c r="B118" s="132"/>
      <c r="C118" s="332"/>
      <c r="D118" s="333"/>
      <c r="E118" s="333"/>
      <c r="F118" s="334"/>
      <c r="G118" s="337"/>
      <c r="H118" s="131"/>
      <c r="I118" s="337"/>
      <c r="J118" s="131"/>
      <c r="K118" s="458" t="str">
        <f t="shared" si="0"/>
        <v/>
      </c>
      <c r="L118" s="458">
        <f t="shared" si="23"/>
        <v>0</v>
      </c>
      <c r="M118" s="458">
        <f t="shared" si="24"/>
        <v>0</v>
      </c>
      <c r="N118" s="459" t="str">
        <f t="shared" si="1"/>
        <v/>
      </c>
      <c r="O118" s="459" t="str">
        <f t="shared" si="2"/>
        <v/>
      </c>
      <c r="P118" s="459" t="str">
        <f t="shared" si="3"/>
        <v/>
      </c>
      <c r="Q118" s="459" t="str">
        <f t="shared" si="4"/>
        <v/>
      </c>
      <c r="R118" s="459" t="str">
        <f t="shared" si="5"/>
        <v/>
      </c>
      <c r="S118" s="459" t="str">
        <f t="shared" si="6"/>
        <v/>
      </c>
      <c r="T118" s="566" t="str">
        <f t="shared" si="25"/>
        <v/>
      </c>
      <c r="U118" s="702"/>
      <c r="V118" s="132"/>
      <c r="W118" s="133"/>
      <c r="X118" s="134"/>
      <c r="Y118" s="135"/>
      <c r="Z118" s="137"/>
      <c r="AA118" s="136"/>
      <c r="AB118" s="566" t="str">
        <f t="shared" si="26"/>
        <v/>
      </c>
      <c r="AC118" s="568" t="str">
        <f t="shared" si="27"/>
        <v/>
      </c>
      <c r="AD118" s="137"/>
      <c r="AE118" s="137"/>
      <c r="AF118" s="138"/>
      <c r="AG118" s="138"/>
      <c r="AH118" s="592" t="str">
        <f t="shared" si="7"/>
        <v/>
      </c>
      <c r="AI118" s="592" t="str">
        <f t="shared" si="8"/>
        <v/>
      </c>
      <c r="AJ118" s="592" t="str">
        <f t="shared" si="9"/>
        <v/>
      </c>
      <c r="AK118" s="460" t="str">
        <f>IF(AU118="","",IF(OR(AZ118=8,AZ118=9),0,IF(OR(AW118=3,AW118=4,AW118=5,AW118=6),IF(LEFT(BF118,1)="1",INDEX(係数_NOX・PM低減,MATCH(AY118,【参考】排出係数!$AI$801:$AI$804,1),1),VLOOKUP(AU118,INDEX((係数_バス貨物_ガソリン,係数_バス貨物_CNG,係数_バス貨物_軽油,係数_バス貨物_メタノール,係数_バス貨物_LPG),MATCH(AY118,【参考】排出係数!$AI$4:$AI$671,1),1,BE118):INDEX((係数_バス貨物_ガソリン,係数_バス貨物_CNG,係数_バス貨物_軽油,係数_バス貨物_メタノール,係数_バス貨物_LPG),MATCH(AY118+1,【参考】排出係数!$AI$4:$AI$671,1)-1,5,BE118),4,FALSE)),IF(AND(BE118=3,LEFT(BF118,1)="1"),0.48,VLOOKUP(AU118,INDEX((係数_乗用_ガソリン,係数_乗用_CNG,係数_乗用_軽油,係数_乗用_メタノール,係数_乗用_LPG),1,1,BE118):INDEX((係数_乗用_ガソリン,係数_乗用_CNG,係数_乗用_軽油,係数_乗用_メタノール,係数_乗用_LPG),125,5,BE118),4,FALSE)))))</f>
        <v/>
      </c>
      <c r="AL118" s="461" t="str">
        <f t="shared" si="50"/>
        <v/>
      </c>
      <c r="AM118" s="460" t="str">
        <f>IF(AU118="","",IF(OR(AZ118=8,AZ118=9),0,IF(OR(AW118=3,AW118=4,AW118=5,AW118=6),IF(LEFT(BH118,1)="1",INDEX(係数_PM低減,MATCH(AY118,【参考】排出係数!$AI$801:$AI$804,1),MATCH(BI118,【参考】排出係数!$AL$798:$AO$798,1)),VLOOKUP(AU118,INDEX((係数_バス貨物_ガソリン,係数_バス貨物_CNG,係数_バス貨物_軽油,係数_バス貨物_メタノール,係数_バス貨物_LPG),MATCH(AY118,【参考】排出係数!$AI$4:$AI$671,1),1,BE118):INDEX((係数_バス貨物_ガソリン,係数_バス貨物_CNG,係数_バス貨物_軽油,係数_バス貨物_メタノール,係数_バス貨物_LPG),MATCH(AY118+1,【参考】排出係数!$AI$4:$AI$671,1)-1,5,BE118),5,FALSE)),IF(AND(BE118=3,LEFT(BF118,1)="1"),0.055,VLOOKUP(AU118,INDEX((係数_乗用_ガソリン,係数_乗用_CNG,係数_乗用_軽油,係数_乗用_メタノール,係数_乗用_LPG),1,1,BE118):INDEX((係数_乗用_ガソリン,係数_乗用_CNG,係数_乗用_軽油,係数_乗用_メタノール,係数_乗用_LPG),125,5,BE118),5,FALSE)))))</f>
        <v/>
      </c>
      <c r="AN118" s="461" t="str">
        <f t="shared" si="51"/>
        <v/>
      </c>
      <c r="AO118" s="462" t="str">
        <f t="shared" si="52"/>
        <v/>
      </c>
      <c r="AP118" s="463" t="str">
        <f t="shared" si="53"/>
        <v/>
      </c>
      <c r="AQ118" s="464"/>
      <c r="AR118" s="619"/>
      <c r="AS118" s="465" t="str">
        <f t="shared" si="28"/>
        <v/>
      </c>
      <c r="AT118" s="465" t="str">
        <f t="shared" si="29"/>
        <v/>
      </c>
      <c r="AU118" s="466" t="str">
        <f t="shared" si="30"/>
        <v/>
      </c>
      <c r="AV118" s="467" t="str">
        <f t="shared" si="31"/>
        <v/>
      </c>
      <c r="AW118" s="467" t="str">
        <f t="shared" si="32"/>
        <v/>
      </c>
      <c r="AX118" s="467" t="str">
        <f t="shared" si="33"/>
        <v/>
      </c>
      <c r="AY118" s="467" t="str">
        <f t="shared" si="34"/>
        <v/>
      </c>
      <c r="AZ118" s="467" t="str">
        <f t="shared" si="35"/>
        <v/>
      </c>
      <c r="BA118" s="468" t="str">
        <f>IF(AS118="","",IF(OR(AU118="",AU118="-"),"－",IF(OR(AZ118=8,AZ118=9),"",IF(OR(AW118=3,AW118=4,AW118=5,AW118=6),VLOOKUP(AU118,INDEX((係数_バス貨物_ガソリン,係数_バス貨物_CNG,係数_バス貨物_軽油,係数_バス貨物_メタノール,係数_バス貨物_LPG),MATCH(AY118,【参考】排出係数!$AI$4:$AI$671,1),1,BE118):INDEX((係数_バス貨物_ガソリン,係数_バス貨物_CNG,係数_バス貨物_軽油,係数_バス貨物_メタノール,係数_バス貨物_LPG),MATCH(AY118+1,【参考】排出係数!$AI$4:$AI$671,1)-1,5,BE118),2,FALSE),IF(OR(AW118=1,AW118=2),VLOOKUP(AU118,INDEX((係数_乗用_ガソリン,係数_乗用_CNG,係数_乗用_軽油,係数_乗用_メタノール,係数_乗用_LPG),1,1,BE118):INDEX((係数_乗用_ガソリン,係数_乗用_CNG,係数_乗用_軽油,係数_乗用_メタノール,係数_乗用_LPG),125,5,BE118),2,FALSE))))))</f>
        <v/>
      </c>
      <c r="BB118" s="468" t="str">
        <f>IF(T118="","",IF(OR(AU118="",AU118="-"),"－",IF(OR(AZ118=8,AZ118=9),"",IF(OR(AW118=3,AW118=4,AW118=5,AW118=6),VLOOKUP(AU118,INDEX((係数_バス貨物_ガソリン,係数_バス貨物_CNG,係数_バス貨物_軽油,係数_バス貨物_メタノール,係数_バス貨物_LPG),MATCH(AY118,【参考】排出係数!$AI$4:$AI$671,1),1,BE118):INDEX((係数_バス貨物_ガソリン,係数_バス貨物_CNG,係数_バス貨物_軽油,係数_バス貨物_メタノール,係数_バス貨物_LPG),MATCH(AY118+1,【参考】排出係数!$AI$4:$AI$671,1)-1,5,BE118),3,FALSE),IF(OR(AW118=1,AW118=2),VLOOKUP(AU118,INDEX((係数_乗用_ガソリン,係数_乗用_CNG,係数_乗用_軽油,係数_乗用_メタノール,係数_乗用_LPG),1,1,BE118):INDEX((係数_乗用_ガソリン,係数_乗用_CNG,係数_乗用_軽油,係数_乗用_メタノール,係数_乗用_LPG),125,5,BE118),3,FALSE))))))</f>
        <v/>
      </c>
      <c r="BC118" s="467" t="str">
        <f t="shared" si="36"/>
        <v/>
      </c>
      <c r="BD118" s="567" t="str">
        <f t="shared" si="37"/>
        <v/>
      </c>
      <c r="BE118" s="467" t="str">
        <f t="shared" si="38"/>
        <v/>
      </c>
      <c r="BF118" s="469" t="str">
        <f t="shared" ca="1" si="39"/>
        <v/>
      </c>
      <c r="BG118" s="469" t="str">
        <f t="shared" ca="1" si="40"/>
        <v/>
      </c>
      <c r="BH118" s="467" t="str">
        <f t="shared" si="41"/>
        <v/>
      </c>
      <c r="BI118" s="467" t="str">
        <f t="shared" ca="1" si="42"/>
        <v/>
      </c>
      <c r="BJ118" s="469" t="str">
        <f t="shared" si="43"/>
        <v/>
      </c>
      <c r="BK118" s="470" t="str">
        <f t="shared" si="22"/>
        <v/>
      </c>
      <c r="BL118" s="775" t="str">
        <f t="shared" si="44"/>
        <v/>
      </c>
      <c r="BM118" s="775" t="str">
        <f t="shared" si="45"/>
        <v/>
      </c>
      <c r="BO118" s="472"/>
    </row>
    <row r="119" spans="1:67" s="471" customFormat="1" ht="13.5" customHeight="1">
      <c r="A119" s="473">
        <v>63</v>
      </c>
      <c r="B119" s="132"/>
      <c r="C119" s="332"/>
      <c r="D119" s="333"/>
      <c r="E119" s="333"/>
      <c r="F119" s="334"/>
      <c r="G119" s="337"/>
      <c r="H119" s="131"/>
      <c r="I119" s="337"/>
      <c r="J119" s="131"/>
      <c r="K119" s="458" t="str">
        <f t="shared" si="0"/>
        <v/>
      </c>
      <c r="L119" s="458">
        <f t="shared" si="23"/>
        <v>0</v>
      </c>
      <c r="M119" s="458">
        <f t="shared" si="24"/>
        <v>0</v>
      </c>
      <c r="N119" s="459" t="str">
        <f t="shared" si="1"/>
        <v/>
      </c>
      <c r="O119" s="459" t="str">
        <f t="shared" si="2"/>
        <v/>
      </c>
      <c r="P119" s="459" t="str">
        <f t="shared" si="3"/>
        <v/>
      </c>
      <c r="Q119" s="459" t="str">
        <f t="shared" si="4"/>
        <v/>
      </c>
      <c r="R119" s="459" t="str">
        <f t="shared" si="5"/>
        <v/>
      </c>
      <c r="S119" s="459" t="str">
        <f t="shared" si="6"/>
        <v/>
      </c>
      <c r="T119" s="566" t="str">
        <f t="shared" si="25"/>
        <v/>
      </c>
      <c r="U119" s="702"/>
      <c r="V119" s="132"/>
      <c r="W119" s="133"/>
      <c r="X119" s="134"/>
      <c r="Y119" s="135"/>
      <c r="Z119" s="137"/>
      <c r="AA119" s="136"/>
      <c r="AB119" s="566" t="str">
        <f t="shared" si="26"/>
        <v/>
      </c>
      <c r="AC119" s="568" t="str">
        <f t="shared" si="27"/>
        <v/>
      </c>
      <c r="AD119" s="137"/>
      <c r="AE119" s="137"/>
      <c r="AF119" s="138"/>
      <c r="AG119" s="138"/>
      <c r="AH119" s="592" t="str">
        <f t="shared" si="7"/>
        <v/>
      </c>
      <c r="AI119" s="592" t="str">
        <f t="shared" si="8"/>
        <v/>
      </c>
      <c r="AJ119" s="592" t="str">
        <f t="shared" si="9"/>
        <v/>
      </c>
      <c r="AK119" s="460" t="str">
        <f>IF(AU119="","",IF(OR(AZ119=8,AZ119=9),0,IF(OR(AW119=3,AW119=4,AW119=5,AW119=6),IF(LEFT(BF119,1)="1",INDEX(係数_NOX・PM低減,MATCH(AY119,【参考】排出係数!$AI$801:$AI$804,1),1),VLOOKUP(AU119,INDEX((係数_バス貨物_ガソリン,係数_バス貨物_CNG,係数_バス貨物_軽油,係数_バス貨物_メタノール,係数_バス貨物_LPG),MATCH(AY119,【参考】排出係数!$AI$4:$AI$671,1),1,BE119):INDEX((係数_バス貨物_ガソリン,係数_バス貨物_CNG,係数_バス貨物_軽油,係数_バス貨物_メタノール,係数_バス貨物_LPG),MATCH(AY119+1,【参考】排出係数!$AI$4:$AI$671,1)-1,5,BE119),4,FALSE)),IF(AND(BE119=3,LEFT(BF119,1)="1"),0.48,VLOOKUP(AU119,INDEX((係数_乗用_ガソリン,係数_乗用_CNG,係数_乗用_軽油,係数_乗用_メタノール,係数_乗用_LPG),1,1,BE119):INDEX((係数_乗用_ガソリン,係数_乗用_CNG,係数_乗用_軽油,係数_乗用_メタノール,係数_乗用_LPG),125,5,BE119),4,FALSE)))))</f>
        <v/>
      </c>
      <c r="AL119" s="461" t="str">
        <f t="shared" si="50"/>
        <v/>
      </c>
      <c r="AM119" s="460" t="str">
        <f>IF(AU119="","",IF(OR(AZ119=8,AZ119=9),0,IF(OR(AW119=3,AW119=4,AW119=5,AW119=6),IF(LEFT(BH119,1)="1",INDEX(係数_PM低減,MATCH(AY119,【参考】排出係数!$AI$801:$AI$804,1),MATCH(BI119,【参考】排出係数!$AL$798:$AO$798,1)),VLOOKUP(AU119,INDEX((係数_バス貨物_ガソリン,係数_バス貨物_CNG,係数_バス貨物_軽油,係数_バス貨物_メタノール,係数_バス貨物_LPG),MATCH(AY119,【参考】排出係数!$AI$4:$AI$671,1),1,BE119):INDEX((係数_バス貨物_ガソリン,係数_バス貨物_CNG,係数_バス貨物_軽油,係数_バス貨物_メタノール,係数_バス貨物_LPG),MATCH(AY119+1,【参考】排出係数!$AI$4:$AI$671,1)-1,5,BE119),5,FALSE)),IF(AND(BE119=3,LEFT(BF119,1)="1"),0.055,VLOOKUP(AU119,INDEX((係数_乗用_ガソリン,係数_乗用_CNG,係数_乗用_軽油,係数_乗用_メタノール,係数_乗用_LPG),1,1,BE119):INDEX((係数_乗用_ガソリン,係数_乗用_CNG,係数_乗用_軽油,係数_乗用_メタノール,係数_乗用_LPG),125,5,BE119),5,FALSE)))))</f>
        <v/>
      </c>
      <c r="AN119" s="461" t="str">
        <f t="shared" si="51"/>
        <v/>
      </c>
      <c r="AO119" s="462" t="str">
        <f t="shared" si="52"/>
        <v/>
      </c>
      <c r="AP119" s="463" t="str">
        <f t="shared" si="53"/>
        <v/>
      </c>
      <c r="AQ119" s="464"/>
      <c r="AR119" s="619"/>
      <c r="AS119" s="465" t="str">
        <f t="shared" si="28"/>
        <v/>
      </c>
      <c r="AT119" s="465" t="str">
        <f t="shared" si="29"/>
        <v/>
      </c>
      <c r="AU119" s="466" t="str">
        <f t="shared" si="30"/>
        <v/>
      </c>
      <c r="AV119" s="467" t="str">
        <f t="shared" si="31"/>
        <v/>
      </c>
      <c r="AW119" s="467" t="str">
        <f t="shared" si="32"/>
        <v/>
      </c>
      <c r="AX119" s="467" t="str">
        <f t="shared" si="33"/>
        <v/>
      </c>
      <c r="AY119" s="467" t="str">
        <f t="shared" si="34"/>
        <v/>
      </c>
      <c r="AZ119" s="467" t="str">
        <f t="shared" si="35"/>
        <v/>
      </c>
      <c r="BA119" s="468" t="str">
        <f>IF(AS119="","",IF(OR(AU119="",AU119="-"),"－",IF(OR(AZ119=8,AZ119=9),"",IF(OR(AW119=3,AW119=4,AW119=5,AW119=6),VLOOKUP(AU119,INDEX((係数_バス貨物_ガソリン,係数_バス貨物_CNG,係数_バス貨物_軽油,係数_バス貨物_メタノール,係数_バス貨物_LPG),MATCH(AY119,【参考】排出係数!$AI$4:$AI$671,1),1,BE119):INDEX((係数_バス貨物_ガソリン,係数_バス貨物_CNG,係数_バス貨物_軽油,係数_バス貨物_メタノール,係数_バス貨物_LPG),MATCH(AY119+1,【参考】排出係数!$AI$4:$AI$671,1)-1,5,BE119),2,FALSE),IF(OR(AW119=1,AW119=2),VLOOKUP(AU119,INDEX((係数_乗用_ガソリン,係数_乗用_CNG,係数_乗用_軽油,係数_乗用_メタノール,係数_乗用_LPG),1,1,BE119):INDEX((係数_乗用_ガソリン,係数_乗用_CNG,係数_乗用_軽油,係数_乗用_メタノール,係数_乗用_LPG),125,5,BE119),2,FALSE))))))</f>
        <v/>
      </c>
      <c r="BB119" s="468" t="str">
        <f>IF(T119="","",IF(OR(AU119="",AU119="-"),"－",IF(OR(AZ119=8,AZ119=9),"",IF(OR(AW119=3,AW119=4,AW119=5,AW119=6),VLOOKUP(AU119,INDEX((係数_バス貨物_ガソリン,係数_バス貨物_CNG,係数_バス貨物_軽油,係数_バス貨物_メタノール,係数_バス貨物_LPG),MATCH(AY119,【参考】排出係数!$AI$4:$AI$671,1),1,BE119):INDEX((係数_バス貨物_ガソリン,係数_バス貨物_CNG,係数_バス貨物_軽油,係数_バス貨物_メタノール,係数_バス貨物_LPG),MATCH(AY119+1,【参考】排出係数!$AI$4:$AI$671,1)-1,5,BE119),3,FALSE),IF(OR(AW119=1,AW119=2),VLOOKUP(AU119,INDEX((係数_乗用_ガソリン,係数_乗用_CNG,係数_乗用_軽油,係数_乗用_メタノール,係数_乗用_LPG),1,1,BE119):INDEX((係数_乗用_ガソリン,係数_乗用_CNG,係数_乗用_軽油,係数_乗用_メタノール,係数_乗用_LPG),125,5,BE119),3,FALSE))))))</f>
        <v/>
      </c>
      <c r="BC119" s="467" t="str">
        <f t="shared" si="36"/>
        <v/>
      </c>
      <c r="BD119" s="567" t="str">
        <f t="shared" si="37"/>
        <v/>
      </c>
      <c r="BE119" s="467" t="str">
        <f t="shared" si="38"/>
        <v/>
      </c>
      <c r="BF119" s="469" t="str">
        <f t="shared" ca="1" si="39"/>
        <v/>
      </c>
      <c r="BG119" s="469" t="str">
        <f t="shared" ca="1" si="40"/>
        <v/>
      </c>
      <c r="BH119" s="467" t="str">
        <f t="shared" si="41"/>
        <v/>
      </c>
      <c r="BI119" s="467" t="str">
        <f t="shared" ca="1" si="42"/>
        <v/>
      </c>
      <c r="BJ119" s="469" t="str">
        <f t="shared" si="43"/>
        <v/>
      </c>
      <c r="BK119" s="470" t="str">
        <f t="shared" si="22"/>
        <v/>
      </c>
      <c r="BL119" s="775" t="str">
        <f t="shared" si="44"/>
        <v/>
      </c>
      <c r="BM119" s="775" t="str">
        <f t="shared" si="45"/>
        <v/>
      </c>
      <c r="BO119" s="472"/>
    </row>
    <row r="120" spans="1:67" s="471" customFormat="1" ht="13.5" customHeight="1">
      <c r="A120" s="473">
        <v>64</v>
      </c>
      <c r="B120" s="132"/>
      <c r="C120" s="332"/>
      <c r="D120" s="333"/>
      <c r="E120" s="333"/>
      <c r="F120" s="334"/>
      <c r="G120" s="337"/>
      <c r="H120" s="131"/>
      <c r="I120" s="337"/>
      <c r="J120" s="131"/>
      <c r="K120" s="458" t="str">
        <f t="shared" si="0"/>
        <v/>
      </c>
      <c r="L120" s="458">
        <f t="shared" si="23"/>
        <v>0</v>
      </c>
      <c r="M120" s="458">
        <f t="shared" si="24"/>
        <v>0</v>
      </c>
      <c r="N120" s="459" t="str">
        <f t="shared" si="1"/>
        <v/>
      </c>
      <c r="O120" s="459" t="str">
        <f t="shared" si="2"/>
        <v/>
      </c>
      <c r="P120" s="459" t="str">
        <f t="shared" si="3"/>
        <v/>
      </c>
      <c r="Q120" s="459" t="str">
        <f t="shared" si="4"/>
        <v/>
      </c>
      <c r="R120" s="459" t="str">
        <f t="shared" si="5"/>
        <v/>
      </c>
      <c r="S120" s="459" t="str">
        <f t="shared" si="6"/>
        <v/>
      </c>
      <c r="T120" s="566" t="str">
        <f t="shared" si="25"/>
        <v/>
      </c>
      <c r="U120" s="702"/>
      <c r="V120" s="132"/>
      <c r="W120" s="133"/>
      <c r="X120" s="134"/>
      <c r="Y120" s="135"/>
      <c r="Z120" s="137"/>
      <c r="AA120" s="136"/>
      <c r="AB120" s="566" t="str">
        <f t="shared" si="26"/>
        <v/>
      </c>
      <c r="AC120" s="568" t="str">
        <f t="shared" si="27"/>
        <v/>
      </c>
      <c r="AD120" s="137"/>
      <c r="AE120" s="137"/>
      <c r="AF120" s="138"/>
      <c r="AG120" s="138"/>
      <c r="AH120" s="592" t="str">
        <f t="shared" si="7"/>
        <v/>
      </c>
      <c r="AI120" s="592" t="str">
        <f t="shared" si="8"/>
        <v/>
      </c>
      <c r="AJ120" s="592" t="str">
        <f t="shared" si="9"/>
        <v/>
      </c>
      <c r="AK120" s="460" t="str">
        <f>IF(AU120="","",IF(OR(AZ120=8,AZ120=9),0,IF(OR(AW120=3,AW120=4,AW120=5,AW120=6),IF(LEFT(BF120,1)="1",INDEX(係数_NOX・PM低減,MATCH(AY120,【参考】排出係数!$AI$801:$AI$804,1),1),VLOOKUP(AU120,INDEX((係数_バス貨物_ガソリン,係数_バス貨物_CNG,係数_バス貨物_軽油,係数_バス貨物_メタノール,係数_バス貨物_LPG),MATCH(AY120,【参考】排出係数!$AI$4:$AI$671,1),1,BE120):INDEX((係数_バス貨物_ガソリン,係数_バス貨物_CNG,係数_バス貨物_軽油,係数_バス貨物_メタノール,係数_バス貨物_LPG),MATCH(AY120+1,【参考】排出係数!$AI$4:$AI$671,1)-1,5,BE120),4,FALSE)),IF(AND(BE120=3,LEFT(BF120,1)="1"),0.48,VLOOKUP(AU120,INDEX((係数_乗用_ガソリン,係数_乗用_CNG,係数_乗用_軽油,係数_乗用_メタノール,係数_乗用_LPG),1,1,BE120):INDEX((係数_乗用_ガソリン,係数_乗用_CNG,係数_乗用_軽油,係数_乗用_メタノール,係数_乗用_LPG),125,5,BE120),4,FALSE)))))</f>
        <v/>
      </c>
      <c r="AL120" s="461" t="str">
        <f t="shared" si="50"/>
        <v/>
      </c>
      <c r="AM120" s="460" t="str">
        <f>IF(AU120="","",IF(OR(AZ120=8,AZ120=9),0,IF(OR(AW120=3,AW120=4,AW120=5,AW120=6),IF(LEFT(BH120,1)="1",INDEX(係数_PM低減,MATCH(AY120,【参考】排出係数!$AI$801:$AI$804,1),MATCH(BI120,【参考】排出係数!$AL$798:$AO$798,1)),VLOOKUP(AU120,INDEX((係数_バス貨物_ガソリン,係数_バス貨物_CNG,係数_バス貨物_軽油,係数_バス貨物_メタノール,係数_バス貨物_LPG),MATCH(AY120,【参考】排出係数!$AI$4:$AI$671,1),1,BE120):INDEX((係数_バス貨物_ガソリン,係数_バス貨物_CNG,係数_バス貨物_軽油,係数_バス貨物_メタノール,係数_バス貨物_LPG),MATCH(AY120+1,【参考】排出係数!$AI$4:$AI$671,1)-1,5,BE120),5,FALSE)),IF(AND(BE120=3,LEFT(BF120,1)="1"),0.055,VLOOKUP(AU120,INDEX((係数_乗用_ガソリン,係数_乗用_CNG,係数_乗用_軽油,係数_乗用_メタノール,係数_乗用_LPG),1,1,BE120):INDEX((係数_乗用_ガソリン,係数_乗用_CNG,係数_乗用_軽油,係数_乗用_メタノール,係数_乗用_LPG),125,5,BE120),5,FALSE)))))</f>
        <v/>
      </c>
      <c r="AN120" s="461" t="str">
        <f t="shared" si="51"/>
        <v/>
      </c>
      <c r="AO120" s="462" t="str">
        <f t="shared" si="52"/>
        <v/>
      </c>
      <c r="AP120" s="463" t="str">
        <f t="shared" si="53"/>
        <v/>
      </c>
      <c r="AQ120" s="464"/>
      <c r="AR120" s="619"/>
      <c r="AS120" s="465" t="str">
        <f t="shared" si="28"/>
        <v/>
      </c>
      <c r="AT120" s="465" t="str">
        <f t="shared" si="29"/>
        <v/>
      </c>
      <c r="AU120" s="466" t="str">
        <f t="shared" si="30"/>
        <v/>
      </c>
      <c r="AV120" s="467" t="str">
        <f t="shared" si="31"/>
        <v/>
      </c>
      <c r="AW120" s="467" t="str">
        <f t="shared" si="32"/>
        <v/>
      </c>
      <c r="AX120" s="467" t="str">
        <f t="shared" si="33"/>
        <v/>
      </c>
      <c r="AY120" s="467" t="str">
        <f t="shared" si="34"/>
        <v/>
      </c>
      <c r="AZ120" s="467" t="str">
        <f t="shared" si="35"/>
        <v/>
      </c>
      <c r="BA120" s="468" t="str">
        <f>IF(AS120="","",IF(OR(AU120="",AU120="-"),"－",IF(OR(AZ120=8,AZ120=9),"",IF(OR(AW120=3,AW120=4,AW120=5,AW120=6),VLOOKUP(AU120,INDEX((係数_バス貨物_ガソリン,係数_バス貨物_CNG,係数_バス貨物_軽油,係数_バス貨物_メタノール,係数_バス貨物_LPG),MATCH(AY120,【参考】排出係数!$AI$4:$AI$671,1),1,BE120):INDEX((係数_バス貨物_ガソリン,係数_バス貨物_CNG,係数_バス貨物_軽油,係数_バス貨物_メタノール,係数_バス貨物_LPG),MATCH(AY120+1,【参考】排出係数!$AI$4:$AI$671,1)-1,5,BE120),2,FALSE),IF(OR(AW120=1,AW120=2),VLOOKUP(AU120,INDEX((係数_乗用_ガソリン,係数_乗用_CNG,係数_乗用_軽油,係数_乗用_メタノール,係数_乗用_LPG),1,1,BE120):INDEX((係数_乗用_ガソリン,係数_乗用_CNG,係数_乗用_軽油,係数_乗用_メタノール,係数_乗用_LPG),125,5,BE120),2,FALSE))))))</f>
        <v/>
      </c>
      <c r="BB120" s="468" t="str">
        <f>IF(T120="","",IF(OR(AU120="",AU120="-"),"－",IF(OR(AZ120=8,AZ120=9),"",IF(OR(AW120=3,AW120=4,AW120=5,AW120=6),VLOOKUP(AU120,INDEX((係数_バス貨物_ガソリン,係数_バス貨物_CNG,係数_バス貨物_軽油,係数_バス貨物_メタノール,係数_バス貨物_LPG),MATCH(AY120,【参考】排出係数!$AI$4:$AI$671,1),1,BE120):INDEX((係数_バス貨物_ガソリン,係数_バス貨物_CNG,係数_バス貨物_軽油,係数_バス貨物_メタノール,係数_バス貨物_LPG),MATCH(AY120+1,【参考】排出係数!$AI$4:$AI$671,1)-1,5,BE120),3,FALSE),IF(OR(AW120=1,AW120=2),VLOOKUP(AU120,INDEX((係数_乗用_ガソリン,係数_乗用_CNG,係数_乗用_軽油,係数_乗用_メタノール,係数_乗用_LPG),1,1,BE120):INDEX((係数_乗用_ガソリン,係数_乗用_CNG,係数_乗用_軽油,係数_乗用_メタノール,係数_乗用_LPG),125,5,BE120),3,FALSE))))))</f>
        <v/>
      </c>
      <c r="BC120" s="467" t="str">
        <f t="shared" si="36"/>
        <v/>
      </c>
      <c r="BD120" s="567" t="str">
        <f t="shared" si="37"/>
        <v/>
      </c>
      <c r="BE120" s="467" t="str">
        <f t="shared" si="38"/>
        <v/>
      </c>
      <c r="BF120" s="469" t="str">
        <f t="shared" ca="1" si="39"/>
        <v/>
      </c>
      <c r="BG120" s="469" t="str">
        <f t="shared" ca="1" si="40"/>
        <v/>
      </c>
      <c r="BH120" s="467" t="str">
        <f t="shared" si="41"/>
        <v/>
      </c>
      <c r="BI120" s="467" t="str">
        <f t="shared" ca="1" si="42"/>
        <v/>
      </c>
      <c r="BJ120" s="469" t="str">
        <f t="shared" si="43"/>
        <v/>
      </c>
      <c r="BK120" s="470" t="str">
        <f t="shared" si="22"/>
        <v/>
      </c>
      <c r="BL120" s="775" t="str">
        <f t="shared" si="44"/>
        <v/>
      </c>
      <c r="BM120" s="775" t="str">
        <f t="shared" si="45"/>
        <v/>
      </c>
      <c r="BO120" s="472"/>
    </row>
    <row r="121" spans="1:67" s="471" customFormat="1" ht="13.5" customHeight="1">
      <c r="A121" s="473">
        <v>65</v>
      </c>
      <c r="B121" s="132"/>
      <c r="C121" s="332"/>
      <c r="D121" s="333"/>
      <c r="E121" s="333"/>
      <c r="F121" s="334"/>
      <c r="G121" s="337"/>
      <c r="H121" s="131"/>
      <c r="I121" s="337"/>
      <c r="J121" s="131"/>
      <c r="K121" s="458" t="str">
        <f t="shared" ref="K121:K184" si="54">C121&amp;D121&amp;E121&amp;F121</f>
        <v/>
      </c>
      <c r="L121" s="458">
        <f t="shared" si="23"/>
        <v>0</v>
      </c>
      <c r="M121" s="458">
        <f t="shared" si="24"/>
        <v>0</v>
      </c>
      <c r="N121" s="459" t="str">
        <f t="shared" ref="N121:N184" si="55">IF(OR($L121&gt;$U$48,$M121&gt;$U$48,AND($L121&gt;$M121,$M121&lt;&gt;0),AND($L121=0,$M121&lt;&gt;0)),"ERROR","")</f>
        <v/>
      </c>
      <c r="O121" s="459" t="str">
        <f t="shared" ref="O121:O184" si="56">IF(AND($N121&lt;&gt;"ERROR",$L121&lt;=$U$49,$M121&lt;=$U$49,$M121&lt;&gt;0),"(減車済)","")</f>
        <v/>
      </c>
      <c r="P121" s="459" t="str">
        <f t="shared" ref="P121:P184" si="57">IF(AND($N121&lt;&gt;"ERROR",$L121&lt;$U$49,AND($M121&gt;$U$49,$M121&lt;=$W$49),$M121&lt;&gt;0),"減車","")</f>
        <v/>
      </c>
      <c r="Q121" s="459" t="str">
        <f t="shared" ref="Q121:Q184" si="58">IF(AND($N121&lt;&gt;"ERROR",$L121&gt;$U$49,$M121&lt;=$W$49,$M121&lt;&gt;0),"一時使用","")</f>
        <v/>
      </c>
      <c r="R121" s="459" t="str">
        <f t="shared" ref="R121:R184" si="59">IF(AND($N121&lt;&gt;"ERROR",AND($L121&gt;0,$L121&lt;=$U$49),$M121=0),"継続","")</f>
        <v/>
      </c>
      <c r="S121" s="459" t="str">
        <f t="shared" ref="S121:S184" si="60">IF(AND($N121&lt;&gt;"ERROR",AND($L121&gt;$U$49),$M121=0),"新規","")</f>
        <v/>
      </c>
      <c r="T121" s="566" t="str">
        <f t="shared" si="25"/>
        <v/>
      </c>
      <c r="U121" s="702"/>
      <c r="V121" s="132"/>
      <c r="W121" s="133"/>
      <c r="X121" s="134"/>
      <c r="Y121" s="135"/>
      <c r="Z121" s="137"/>
      <c r="AA121" s="136"/>
      <c r="AB121" s="566" t="str">
        <f t="shared" ref="AB121:AB184" si="61">IF(AS121="","",IF(AZ121=1,VLOOKUP(BA121,低公害車判別,2,FALSE),IF(AZ121=3,VLOOKUP(BA121,低公害車判別,2,FALSE),IF(AZ121=4,VLOOKUP(BB121,低公害車判別,2,FALSE),"低公害車"))))</f>
        <v/>
      </c>
      <c r="AC121" s="568" t="str">
        <f t="shared" si="27"/>
        <v/>
      </c>
      <c r="AD121" s="137"/>
      <c r="AE121" s="137"/>
      <c r="AF121" s="138"/>
      <c r="AG121" s="138"/>
      <c r="AH121" s="592" t="str">
        <f t="shared" ref="AH121:AH184" si="62">IF(C121="","",IF(LEFT(C121,2)="横浜","○",""))</f>
        <v/>
      </c>
      <c r="AI121" s="592" t="str">
        <f t="shared" ref="AI121:AI184" si="63">IF(C121="","",IF(LEFT(C121,2)="川崎","○",""))</f>
        <v/>
      </c>
      <c r="AJ121" s="592" t="str">
        <f t="shared" ref="AJ121:AJ184" si="64">IF(C121="","",IF(OR(AH121="○",AI121="○"),"","○"))</f>
        <v/>
      </c>
      <c r="AK121" s="460" t="str">
        <f>IF(AU121="","",IF(OR(AZ121=8,AZ121=9),0,IF(OR(AW121=3,AW121=4,AW121=5,AW121=6),IF(LEFT(BF121,1)="1",INDEX(係数_NOX・PM低減,MATCH(AY121,【参考】排出係数!$AI$801:$AI$804,1),1),VLOOKUP(AU121,INDEX((係数_バス貨物_ガソリン,係数_バス貨物_CNG,係数_バス貨物_軽油,係数_バス貨物_メタノール,係数_バス貨物_LPG),MATCH(AY121,【参考】排出係数!$AI$4:$AI$671,1),1,BE121):INDEX((係数_バス貨物_ガソリン,係数_バス貨物_CNG,係数_バス貨物_軽油,係数_バス貨物_メタノール,係数_バス貨物_LPG),MATCH(AY121+1,【参考】排出係数!$AI$4:$AI$671,1)-1,5,BE121),4,FALSE)),IF(AND(BE121=3,LEFT(BF121,1)="1"),0.48,VLOOKUP(AU121,INDEX((係数_乗用_ガソリン,係数_乗用_CNG,係数_乗用_軽油,係数_乗用_メタノール,係数_乗用_LPG),1,1,BE121):INDEX((係数_乗用_ガソリン,係数_乗用_CNG,係数_乗用_軽油,係数_乗用_メタノール,係数_乗用_LPG),125,5,BE121),4,FALSE)))))</f>
        <v/>
      </c>
      <c r="AL121" s="461" t="str">
        <f t="shared" si="50"/>
        <v/>
      </c>
      <c r="AM121" s="460" t="str">
        <f>IF(AU121="","",IF(OR(AZ121=8,AZ121=9),0,IF(OR(AW121=3,AW121=4,AW121=5,AW121=6),IF(LEFT(BH121,1)="1",INDEX(係数_PM低減,MATCH(AY121,【参考】排出係数!$AI$801:$AI$804,1),MATCH(BI121,【参考】排出係数!$AL$798:$AO$798,1)),VLOOKUP(AU121,INDEX((係数_バス貨物_ガソリン,係数_バス貨物_CNG,係数_バス貨物_軽油,係数_バス貨物_メタノール,係数_バス貨物_LPG),MATCH(AY121,【参考】排出係数!$AI$4:$AI$671,1),1,BE121):INDEX((係数_バス貨物_ガソリン,係数_バス貨物_CNG,係数_バス貨物_軽油,係数_バス貨物_メタノール,係数_バス貨物_LPG),MATCH(AY121+1,【参考】排出係数!$AI$4:$AI$671,1)-1,5,BE121),5,FALSE)),IF(AND(BE121=3,LEFT(BF121,1)="1"),0.055,VLOOKUP(AU121,INDEX((係数_乗用_ガソリン,係数_乗用_CNG,係数_乗用_軽油,係数_乗用_メタノール,係数_乗用_LPG),1,1,BE121):INDEX((係数_乗用_ガソリン,係数_乗用_CNG,係数_乗用_軽油,係数_乗用_メタノール,係数_乗用_LPG),125,5,BE121),5,FALSE)))))</f>
        <v/>
      </c>
      <c r="AN121" s="461" t="str">
        <f t="shared" si="51"/>
        <v/>
      </c>
      <c r="AO121" s="462" t="str">
        <f t="shared" si="52"/>
        <v/>
      </c>
      <c r="AP121" s="463" t="str">
        <f t="shared" si="53"/>
        <v/>
      </c>
      <c r="AQ121" s="464"/>
      <c r="AR121" s="619"/>
      <c r="AS121" s="465" t="str">
        <f t="shared" si="28"/>
        <v/>
      </c>
      <c r="AT121" s="465" t="str">
        <f t="shared" si="29"/>
        <v/>
      </c>
      <c r="AU121" s="466" t="str">
        <f t="shared" si="30"/>
        <v/>
      </c>
      <c r="AV121" s="467" t="str">
        <f t="shared" si="31"/>
        <v/>
      </c>
      <c r="AW121" s="467" t="str">
        <f t="shared" si="32"/>
        <v/>
      </c>
      <c r="AX121" s="467" t="str">
        <f t="shared" si="33"/>
        <v/>
      </c>
      <c r="AY121" s="467" t="str">
        <f t="shared" si="34"/>
        <v/>
      </c>
      <c r="AZ121" s="467" t="str">
        <f t="shared" si="35"/>
        <v/>
      </c>
      <c r="BA121" s="468" t="str">
        <f>IF(AS121="","",IF(OR(AU121="",AU121="-"),"－",IF(OR(AZ121=8,AZ121=9),"",IF(OR(AW121=3,AW121=4,AW121=5,AW121=6),VLOOKUP(AU121,INDEX((係数_バス貨物_ガソリン,係数_バス貨物_CNG,係数_バス貨物_軽油,係数_バス貨物_メタノール,係数_バス貨物_LPG),MATCH(AY121,【参考】排出係数!$AI$4:$AI$671,1),1,BE121):INDEX((係数_バス貨物_ガソリン,係数_バス貨物_CNG,係数_バス貨物_軽油,係数_バス貨物_メタノール,係数_バス貨物_LPG),MATCH(AY121+1,【参考】排出係数!$AI$4:$AI$671,1)-1,5,BE121),2,FALSE),IF(OR(AW121=1,AW121=2),VLOOKUP(AU121,INDEX((係数_乗用_ガソリン,係数_乗用_CNG,係数_乗用_軽油,係数_乗用_メタノール,係数_乗用_LPG),1,1,BE121):INDEX((係数_乗用_ガソリン,係数_乗用_CNG,係数_乗用_軽油,係数_乗用_メタノール,係数_乗用_LPG),125,5,BE121),2,FALSE))))))</f>
        <v/>
      </c>
      <c r="BB121" s="468" t="str">
        <f>IF(T121="","",IF(OR(AU121="",AU121="-"),"－",IF(OR(AZ121=8,AZ121=9),"",IF(OR(AW121=3,AW121=4,AW121=5,AW121=6),VLOOKUP(AU121,INDEX((係数_バス貨物_ガソリン,係数_バス貨物_CNG,係数_バス貨物_軽油,係数_バス貨物_メタノール,係数_バス貨物_LPG),MATCH(AY121,【参考】排出係数!$AI$4:$AI$671,1),1,BE121):INDEX((係数_バス貨物_ガソリン,係数_バス貨物_CNG,係数_バス貨物_軽油,係数_バス貨物_メタノール,係数_バス貨物_LPG),MATCH(AY121+1,【参考】排出係数!$AI$4:$AI$671,1)-1,5,BE121),3,FALSE),IF(OR(AW121=1,AW121=2),VLOOKUP(AU121,INDEX((係数_乗用_ガソリン,係数_乗用_CNG,係数_乗用_軽油,係数_乗用_メタノール,係数_乗用_LPG),1,1,BE121):INDEX((係数_乗用_ガソリン,係数_乗用_CNG,係数_乗用_軽油,係数_乗用_メタノール,係数_乗用_LPG),125,5,BE121),3,FALSE))))))</f>
        <v/>
      </c>
      <c r="BC121" s="467" t="str">
        <f t="shared" si="36"/>
        <v/>
      </c>
      <c r="BD121" s="567" t="str">
        <f t="shared" si="37"/>
        <v/>
      </c>
      <c r="BE121" s="467" t="str">
        <f t="shared" si="38"/>
        <v/>
      </c>
      <c r="BF121" s="469" t="str">
        <f t="shared" ca="1" si="39"/>
        <v/>
      </c>
      <c r="BG121" s="469" t="str">
        <f t="shared" ca="1" si="40"/>
        <v/>
      </c>
      <c r="BH121" s="467" t="str">
        <f t="shared" si="41"/>
        <v/>
      </c>
      <c r="BI121" s="467" t="str">
        <f t="shared" ca="1" si="42"/>
        <v/>
      </c>
      <c r="BJ121" s="469" t="str">
        <f t="shared" si="43"/>
        <v/>
      </c>
      <c r="BK121" s="470" t="str">
        <f t="shared" ref="BK121:BK184" si="65">IF(AS121="","",VLOOKUP(T121,車両の増減,2,FALSE))</f>
        <v/>
      </c>
      <c r="BL121" s="775" t="str">
        <f t="shared" si="44"/>
        <v/>
      </c>
      <c r="BM121" s="775" t="str">
        <f t="shared" si="45"/>
        <v/>
      </c>
      <c r="BO121" s="472"/>
    </row>
    <row r="122" spans="1:67" s="471" customFormat="1" ht="13.5" customHeight="1">
      <c r="A122" s="473">
        <v>66</v>
      </c>
      <c r="B122" s="132"/>
      <c r="C122" s="332"/>
      <c r="D122" s="333"/>
      <c r="E122" s="333"/>
      <c r="F122" s="334"/>
      <c r="G122" s="337"/>
      <c r="H122" s="131"/>
      <c r="I122" s="337"/>
      <c r="J122" s="131"/>
      <c r="K122" s="458" t="str">
        <f t="shared" si="54"/>
        <v/>
      </c>
      <c r="L122" s="458">
        <f t="shared" ref="L122:L185" si="66">IF(G122&gt;0,DATE((G122),(H122+1),0),0)</f>
        <v>0</v>
      </c>
      <c r="M122" s="458">
        <f t="shared" ref="M122:M185" si="67">IF(I122&gt;0,DATE((I122),(J122+1),0),0)</f>
        <v>0</v>
      </c>
      <c r="N122" s="459" t="str">
        <f t="shared" si="55"/>
        <v/>
      </c>
      <c r="O122" s="459" t="str">
        <f t="shared" si="56"/>
        <v/>
      </c>
      <c r="P122" s="459" t="str">
        <f t="shared" si="57"/>
        <v/>
      </c>
      <c r="Q122" s="459" t="str">
        <f t="shared" si="58"/>
        <v/>
      </c>
      <c r="R122" s="459" t="str">
        <f t="shared" si="59"/>
        <v/>
      </c>
      <c r="S122" s="459" t="str">
        <f t="shared" si="60"/>
        <v/>
      </c>
      <c r="T122" s="566" t="str">
        <f t="shared" ref="T122:T185" si="68">N122&amp;O122&amp;P122&amp;Q122&amp;R122&amp;S122</f>
        <v/>
      </c>
      <c r="U122" s="702"/>
      <c r="V122" s="132"/>
      <c r="W122" s="133"/>
      <c r="X122" s="134"/>
      <c r="Y122" s="135"/>
      <c r="Z122" s="137"/>
      <c r="AA122" s="136"/>
      <c r="AB122" s="566" t="str">
        <f t="shared" si="61"/>
        <v/>
      </c>
      <c r="AC122" s="568" t="str">
        <f t="shared" ref="AC122:AC185" si="69">IF(AS122="","",IF((BA122="")+(BA122="－"),IF((BB122="")+(BB122=0),"－",BB122),IF((BA122="PM☆☆☆")+(BA122="☆及びPM☆☆☆")+(BA122="☆☆及びPM☆☆☆")+(BA122="☆☆☆及びPM☆☆☆"),"PM☆☆☆",IF((BA122="PM☆☆☆☆")+(BA122="☆及びPM☆☆☆☆")+(BA122="☆☆及びPM☆☆☆☆")+(BA122="☆☆☆及びPM☆☆☆☆"),"PM☆☆☆☆",IF((BA122="新☆")+(BA122="新NOx☆")+(BA122="新PM☆"),"新☆（新長期）",BA122)))))</f>
        <v/>
      </c>
      <c r="AD122" s="137"/>
      <c r="AE122" s="137"/>
      <c r="AF122" s="138"/>
      <c r="AG122" s="138"/>
      <c r="AH122" s="592" t="str">
        <f t="shared" si="62"/>
        <v/>
      </c>
      <c r="AI122" s="592" t="str">
        <f t="shared" si="63"/>
        <v/>
      </c>
      <c r="AJ122" s="592" t="str">
        <f t="shared" si="64"/>
        <v/>
      </c>
      <c r="AK122" s="460" t="str">
        <f>IF(AU122="","",IF(OR(AZ122=8,AZ122=9),0,IF(OR(AW122=3,AW122=4,AW122=5,AW122=6),IF(LEFT(BF122,1)="1",INDEX(係数_NOX・PM低減,MATCH(AY122,【参考】排出係数!$AI$801:$AI$804,1),1),VLOOKUP(AU122,INDEX((係数_バス貨物_ガソリン,係数_バス貨物_CNG,係数_バス貨物_軽油,係数_バス貨物_メタノール,係数_バス貨物_LPG),MATCH(AY122,【参考】排出係数!$AI$4:$AI$671,1),1,BE122):INDEX((係数_バス貨物_ガソリン,係数_バス貨物_CNG,係数_バス貨物_軽油,係数_バス貨物_メタノール,係数_バス貨物_LPG),MATCH(AY122+1,【参考】排出係数!$AI$4:$AI$671,1)-1,5,BE122),4,FALSE)),IF(AND(BE122=3,LEFT(BF122,1)="1"),0.48,VLOOKUP(AU122,INDEX((係数_乗用_ガソリン,係数_乗用_CNG,係数_乗用_軽油,係数_乗用_メタノール,係数_乗用_LPG),1,1,BE122):INDEX((係数_乗用_ガソリン,係数_乗用_CNG,係数_乗用_軽油,係数_乗用_メタノール,係数_乗用_LPG),125,5,BE122),4,FALSE)))))</f>
        <v/>
      </c>
      <c r="AL122" s="461" t="str">
        <f t="shared" si="50"/>
        <v/>
      </c>
      <c r="AM122" s="460" t="str">
        <f>IF(AU122="","",IF(OR(AZ122=8,AZ122=9),0,IF(OR(AW122=3,AW122=4,AW122=5,AW122=6),IF(LEFT(BH122,1)="1",INDEX(係数_PM低減,MATCH(AY122,【参考】排出係数!$AI$801:$AI$804,1),MATCH(BI122,【参考】排出係数!$AL$798:$AO$798,1)),VLOOKUP(AU122,INDEX((係数_バス貨物_ガソリン,係数_バス貨物_CNG,係数_バス貨物_軽油,係数_バス貨物_メタノール,係数_バス貨物_LPG),MATCH(AY122,【参考】排出係数!$AI$4:$AI$671,1),1,BE122):INDEX((係数_バス貨物_ガソリン,係数_バス貨物_CNG,係数_バス貨物_軽油,係数_バス貨物_メタノール,係数_バス貨物_LPG),MATCH(AY122+1,【参考】排出係数!$AI$4:$AI$671,1)-1,5,BE122),5,FALSE)),IF(AND(BE122=3,LEFT(BF122,1)="1"),0.055,VLOOKUP(AU122,INDEX((係数_乗用_ガソリン,係数_乗用_CNG,係数_乗用_軽油,係数_乗用_メタノール,係数_乗用_LPG),1,1,BE122):INDEX((係数_乗用_ガソリン,係数_乗用_CNG,係数_乗用_軽油,係数_乗用_メタノール,係数_乗用_LPG),125,5,BE122),5,FALSE)))))</f>
        <v/>
      </c>
      <c r="AN122" s="461" t="str">
        <f t="shared" si="51"/>
        <v/>
      </c>
      <c r="AO122" s="462" t="str">
        <f t="shared" si="52"/>
        <v/>
      </c>
      <c r="AP122" s="463" t="str">
        <f t="shared" si="53"/>
        <v/>
      </c>
      <c r="AQ122" s="464"/>
      <c r="AR122" s="619"/>
      <c r="AS122" s="465" t="str">
        <f t="shared" ref="AS122:AS185" si="70">IF(OR(T122="(減車済)",T122=""),"",1)</f>
        <v/>
      </c>
      <c r="AT122" s="465" t="str">
        <f t="shared" ref="AT122:AT185" si="71">IF(OR(T122="継続",T122="新規"),1,"")</f>
        <v/>
      </c>
      <c r="AU122" s="466" t="str">
        <f t="shared" ref="AU122:AU185" si="72">IF(AS122="","",UPPER(ASC(X122)))</f>
        <v/>
      </c>
      <c r="AV122" s="467" t="str">
        <f t="shared" ref="AV122:AV185" si="73">IF(AS122="","",IF(V122="","",IF(V122="普通",1,IF(V122="小型",2,0))))</f>
        <v/>
      </c>
      <c r="AW122" s="467" t="str">
        <f t="shared" ref="AW122:AW185" si="74">IF(AS122="","",IF(W122="","",VLOOKUP(W122,用途,2,FALSE)))</f>
        <v/>
      </c>
      <c r="AX122" s="467" t="str">
        <f t="shared" ref="AX122:AX185" si="75">IF(AS122="","",IF(Y122="","",IF(Y122&lt;=10,1,IF(Y122&lt;30,2,IF(Y122&gt;=30,3,0)))))</f>
        <v/>
      </c>
      <c r="AY122" s="467" t="str">
        <f t="shared" ref="AY122:AY185" si="76">IF(AS122="","",IF(Z122="","",IF(Z122&lt;=1.7*1000,1,IF(Z122&lt;=2.5*1000,2,IF(Z122&lt;=3.5*1000,3,IF(Z122&lt;8*1000,4,IF(Z122&gt;=8*1000,5,"")))))))</f>
        <v/>
      </c>
      <c r="AZ122" s="467" t="str">
        <f t="shared" ref="AZ122:AZ185" si="77">IF(AS122="","",IF(AA122="","",VLOOKUP(AA122,燃料の種類,2,FALSE)))</f>
        <v/>
      </c>
      <c r="BA122" s="468" t="str">
        <f>IF(AS122="","",IF(OR(AU122="",AU122="-"),"－",IF(OR(AZ122=8,AZ122=9),"",IF(OR(AW122=3,AW122=4,AW122=5,AW122=6),VLOOKUP(AU122,INDEX((係数_バス貨物_ガソリン,係数_バス貨物_CNG,係数_バス貨物_軽油,係数_バス貨物_メタノール,係数_バス貨物_LPG),MATCH(AY122,【参考】排出係数!$AI$4:$AI$671,1),1,BE122):INDEX((係数_バス貨物_ガソリン,係数_バス貨物_CNG,係数_バス貨物_軽油,係数_バス貨物_メタノール,係数_バス貨物_LPG),MATCH(AY122+1,【参考】排出係数!$AI$4:$AI$671,1)-1,5,BE122),2,FALSE),IF(OR(AW122=1,AW122=2),VLOOKUP(AU122,INDEX((係数_乗用_ガソリン,係数_乗用_CNG,係数_乗用_軽油,係数_乗用_メタノール,係数_乗用_LPG),1,1,BE122):INDEX((係数_乗用_ガソリン,係数_乗用_CNG,係数_乗用_軽油,係数_乗用_メタノール,係数_乗用_LPG),125,5,BE122),2,FALSE))))))</f>
        <v/>
      </c>
      <c r="BB122" s="468" t="str">
        <f>IF(T122="","",IF(OR(AU122="",AU122="-"),"－",IF(OR(AZ122=8,AZ122=9),"",IF(OR(AW122=3,AW122=4,AW122=5,AW122=6),VLOOKUP(AU122,INDEX((係数_バス貨物_ガソリン,係数_バス貨物_CNG,係数_バス貨物_軽油,係数_バス貨物_メタノール,係数_バス貨物_LPG),MATCH(AY122,【参考】排出係数!$AI$4:$AI$671,1),1,BE122):INDEX((係数_バス貨物_ガソリン,係数_バス貨物_CNG,係数_バス貨物_軽油,係数_バス貨物_メタノール,係数_バス貨物_LPG),MATCH(AY122+1,【参考】排出係数!$AI$4:$AI$671,1)-1,5,BE122),3,FALSE),IF(OR(AW122=1,AW122=2),VLOOKUP(AU122,INDEX((係数_乗用_ガソリン,係数_乗用_CNG,係数_乗用_軽油,係数_乗用_メタノール,係数_乗用_LPG),1,1,BE122):INDEX((係数_乗用_ガソリン,係数_乗用_CNG,係数_乗用_軽油,係数_乗用_メタノール,係数_乗用_LPG),125,5,BE122),3,FALSE))))))</f>
        <v/>
      </c>
      <c r="BC122" s="467" t="str">
        <f t="shared" ref="BC122:BC185" si="78">IF((AS122="")+(AC122=""),"",IF(燃料区分1=4,VLOOKUP(BB122,排ガス低減レベル,2,FALSE),VLOOKUP(AC122,排ガス低減レベル,2,FALSE)))</f>
        <v/>
      </c>
      <c r="BD122" s="567" t="str">
        <f t="shared" ref="BD122:BD185" si="79">IF(AT122="","",IF(AW122=3,B122&amp;"-"&amp;SUM(AW122*100,AX122*10,AY122)&amp;"A",IF(OR(AW122=2,AW122=4,AW122=6),B122&amp;"-"&amp;AY122*10&amp;"A",IF(AW122=1,B122&amp;"-"&amp;AW122&amp;"A",IF(AW122=5,B122&amp;"-"&amp;SUM(AW122*100,AV122*10,AY122)&amp;"A","")))))</f>
        <v/>
      </c>
      <c r="BE122" s="467" t="str">
        <f t="shared" ref="BE122:BE185" si="80">IF(OR(AZ122=1,AZ122=2,AZ122=11),1,IF(AZ122=6,2,IF(OR(AZ122=4,AZ122=5,AZ122=10),3,IF(AZ122=7,4,IF(AZ122=3,5, IF(OR(AZ122=8,AZ122=9),6,""))))))</f>
        <v/>
      </c>
      <c r="BF122" s="469" t="str">
        <f t="shared" ref="BF122:BF185" ca="1" si="81">(IF(OR(AZ122=4,AZ122=5),OFFSET($CH$1,MATCH($AF122,$CG$2:$CG$4,0),0)&amp;BK122,""))</f>
        <v/>
      </c>
      <c r="BG122" s="469" t="str">
        <f t="shared" ref="BG122:BG185" ca="1" si="82">(IF(OR(AZ122=4,AZ122=5),OFFSET($CJ$1,MATCH($AG122,$CI$2:$CI$5,0),0)&amp;BK122,""))</f>
        <v/>
      </c>
      <c r="BH122" s="467" t="str">
        <f t="shared" ref="BH122:BH185" si="83">IF(OR(AZ122=4,AZ122=5),IF(OR(LEFT(BF122,1)="1",LEFT(BG122,1)="2",LEFT(BG122,1)="3"),1,2)&amp;BK122,"")</f>
        <v/>
      </c>
      <c r="BI122" s="467" t="str">
        <f t="shared" ref="BI122:BI185" ca="1" si="84">IF(LEFT(BF122)="1",1,IF(LEFT(BG122,1)="2",2,IF(LEFT(BG122,1)="3",3,"")))</f>
        <v/>
      </c>
      <c r="BJ122" s="469" t="str">
        <f t="shared" ref="BJ122:BJ185" si="85">IF(AT122="","",B122&amp;"-"&amp;AZ122)</f>
        <v/>
      </c>
      <c r="BK122" s="470" t="str">
        <f t="shared" si="65"/>
        <v/>
      </c>
      <c r="BL122" s="775" t="str">
        <f t="shared" ref="BL122:BL185" si="86">IF(AND(OR($T122="新規",$T122="継続"),ISBLANK($AD122)),1,"")</f>
        <v/>
      </c>
      <c r="BM122" s="775" t="str">
        <f t="shared" ref="BM122:BM185" si="87">IF(AND(OR($T122="新規",$T122="継続"),ISBLANK($AE122)),1,"")</f>
        <v/>
      </c>
      <c r="BO122" s="472"/>
    </row>
    <row r="123" spans="1:67" s="471" customFormat="1" ht="13.5" customHeight="1">
      <c r="A123" s="473">
        <v>67</v>
      </c>
      <c r="B123" s="132"/>
      <c r="C123" s="332"/>
      <c r="D123" s="333"/>
      <c r="E123" s="333"/>
      <c r="F123" s="334"/>
      <c r="G123" s="337"/>
      <c r="H123" s="131"/>
      <c r="I123" s="337"/>
      <c r="J123" s="131"/>
      <c r="K123" s="458" t="str">
        <f t="shared" si="54"/>
        <v/>
      </c>
      <c r="L123" s="458">
        <f t="shared" si="66"/>
        <v>0</v>
      </c>
      <c r="M123" s="458">
        <f t="shared" si="67"/>
        <v>0</v>
      </c>
      <c r="N123" s="459" t="str">
        <f t="shared" si="55"/>
        <v/>
      </c>
      <c r="O123" s="459" t="str">
        <f t="shared" si="56"/>
        <v/>
      </c>
      <c r="P123" s="459" t="str">
        <f t="shared" si="57"/>
        <v/>
      </c>
      <c r="Q123" s="459" t="str">
        <f t="shared" si="58"/>
        <v/>
      </c>
      <c r="R123" s="459" t="str">
        <f t="shared" si="59"/>
        <v/>
      </c>
      <c r="S123" s="459" t="str">
        <f t="shared" si="60"/>
        <v/>
      </c>
      <c r="T123" s="566" t="str">
        <f t="shared" si="68"/>
        <v/>
      </c>
      <c r="U123" s="702"/>
      <c r="V123" s="132"/>
      <c r="W123" s="133"/>
      <c r="X123" s="134"/>
      <c r="Y123" s="135"/>
      <c r="Z123" s="137"/>
      <c r="AA123" s="136"/>
      <c r="AB123" s="566" t="str">
        <f t="shared" si="61"/>
        <v/>
      </c>
      <c r="AC123" s="568" t="str">
        <f t="shared" si="69"/>
        <v/>
      </c>
      <c r="AD123" s="137"/>
      <c r="AE123" s="137"/>
      <c r="AF123" s="138"/>
      <c r="AG123" s="138"/>
      <c r="AH123" s="592" t="str">
        <f t="shared" si="62"/>
        <v/>
      </c>
      <c r="AI123" s="592" t="str">
        <f t="shared" si="63"/>
        <v/>
      </c>
      <c r="AJ123" s="592" t="str">
        <f t="shared" si="64"/>
        <v/>
      </c>
      <c r="AK123" s="460" t="str">
        <f>IF(AU123="","",IF(OR(AZ123=8,AZ123=9),0,IF(OR(AW123=3,AW123=4,AW123=5,AW123=6),IF(LEFT(BF123,1)="1",INDEX(係数_NOX・PM低減,MATCH(AY123,【参考】排出係数!$AI$801:$AI$804,1),1),VLOOKUP(AU123,INDEX((係数_バス貨物_ガソリン,係数_バス貨物_CNG,係数_バス貨物_軽油,係数_バス貨物_メタノール,係数_バス貨物_LPG),MATCH(AY123,【参考】排出係数!$AI$4:$AI$671,1),1,BE123):INDEX((係数_バス貨物_ガソリン,係数_バス貨物_CNG,係数_バス貨物_軽油,係数_バス貨物_メタノール,係数_バス貨物_LPG),MATCH(AY123+1,【参考】排出係数!$AI$4:$AI$671,1)-1,5,BE123),4,FALSE)),IF(AND(BE123=3,LEFT(BF123,1)="1"),0.48,VLOOKUP(AU123,INDEX((係数_乗用_ガソリン,係数_乗用_CNG,係数_乗用_軽油,係数_乗用_メタノール,係数_乗用_LPG),1,1,BE123):INDEX((係数_乗用_ガソリン,係数_乗用_CNG,係数_乗用_軽油,係数_乗用_メタノール,係数_乗用_LPG),125,5,BE123),4,FALSE)))))</f>
        <v/>
      </c>
      <c r="AL123" s="461" t="str">
        <f t="shared" si="50"/>
        <v/>
      </c>
      <c r="AM123" s="460" t="str">
        <f>IF(AU123="","",IF(OR(AZ123=8,AZ123=9),0,IF(OR(AW123=3,AW123=4,AW123=5,AW123=6),IF(LEFT(BH123,1)="1",INDEX(係数_PM低減,MATCH(AY123,【参考】排出係数!$AI$801:$AI$804,1),MATCH(BI123,【参考】排出係数!$AL$798:$AO$798,1)),VLOOKUP(AU123,INDEX((係数_バス貨物_ガソリン,係数_バス貨物_CNG,係数_バス貨物_軽油,係数_バス貨物_メタノール,係数_バス貨物_LPG),MATCH(AY123,【参考】排出係数!$AI$4:$AI$671,1),1,BE123):INDEX((係数_バス貨物_ガソリン,係数_バス貨物_CNG,係数_バス貨物_軽油,係数_バス貨物_メタノール,係数_バス貨物_LPG),MATCH(AY123+1,【参考】排出係数!$AI$4:$AI$671,1)-1,5,BE123),5,FALSE)),IF(AND(BE123=3,LEFT(BF123,1)="1"),0.055,VLOOKUP(AU123,INDEX((係数_乗用_ガソリン,係数_乗用_CNG,係数_乗用_軽油,係数_乗用_メタノール,係数_乗用_LPG),1,1,BE123):INDEX((係数_乗用_ガソリン,係数_乗用_CNG,係数_乗用_軽油,係数_乗用_メタノール,係数_乗用_LPG),125,5,BE123),5,FALSE)))))</f>
        <v/>
      </c>
      <c r="AN123" s="461" t="str">
        <f t="shared" si="51"/>
        <v/>
      </c>
      <c r="AO123" s="462" t="str">
        <f t="shared" si="52"/>
        <v/>
      </c>
      <c r="AP123" s="463" t="str">
        <f t="shared" si="53"/>
        <v/>
      </c>
      <c r="AQ123" s="464"/>
      <c r="AR123" s="619"/>
      <c r="AS123" s="465" t="str">
        <f t="shared" si="70"/>
        <v/>
      </c>
      <c r="AT123" s="465" t="str">
        <f t="shared" si="71"/>
        <v/>
      </c>
      <c r="AU123" s="466" t="str">
        <f t="shared" si="72"/>
        <v/>
      </c>
      <c r="AV123" s="467" t="str">
        <f t="shared" si="73"/>
        <v/>
      </c>
      <c r="AW123" s="467" t="str">
        <f t="shared" si="74"/>
        <v/>
      </c>
      <c r="AX123" s="467" t="str">
        <f t="shared" si="75"/>
        <v/>
      </c>
      <c r="AY123" s="467" t="str">
        <f t="shared" si="76"/>
        <v/>
      </c>
      <c r="AZ123" s="467" t="str">
        <f t="shared" si="77"/>
        <v/>
      </c>
      <c r="BA123" s="468" t="str">
        <f>IF(AS123="","",IF(OR(AU123="",AU123="-"),"－",IF(OR(AZ123=8,AZ123=9),"",IF(OR(AW123=3,AW123=4,AW123=5,AW123=6),VLOOKUP(AU123,INDEX((係数_バス貨物_ガソリン,係数_バス貨物_CNG,係数_バス貨物_軽油,係数_バス貨物_メタノール,係数_バス貨物_LPG),MATCH(AY123,【参考】排出係数!$AI$4:$AI$671,1),1,BE123):INDEX((係数_バス貨物_ガソリン,係数_バス貨物_CNG,係数_バス貨物_軽油,係数_バス貨物_メタノール,係数_バス貨物_LPG),MATCH(AY123+1,【参考】排出係数!$AI$4:$AI$671,1)-1,5,BE123),2,FALSE),IF(OR(AW123=1,AW123=2),VLOOKUP(AU123,INDEX((係数_乗用_ガソリン,係数_乗用_CNG,係数_乗用_軽油,係数_乗用_メタノール,係数_乗用_LPG),1,1,BE123):INDEX((係数_乗用_ガソリン,係数_乗用_CNG,係数_乗用_軽油,係数_乗用_メタノール,係数_乗用_LPG),125,5,BE123),2,FALSE))))))</f>
        <v/>
      </c>
      <c r="BB123" s="468" t="str">
        <f>IF(T123="","",IF(OR(AU123="",AU123="-"),"－",IF(OR(AZ123=8,AZ123=9),"",IF(OR(AW123=3,AW123=4,AW123=5,AW123=6),VLOOKUP(AU123,INDEX((係数_バス貨物_ガソリン,係数_バス貨物_CNG,係数_バス貨物_軽油,係数_バス貨物_メタノール,係数_バス貨物_LPG),MATCH(AY123,【参考】排出係数!$AI$4:$AI$671,1),1,BE123):INDEX((係数_バス貨物_ガソリン,係数_バス貨物_CNG,係数_バス貨物_軽油,係数_バス貨物_メタノール,係数_バス貨物_LPG),MATCH(AY123+1,【参考】排出係数!$AI$4:$AI$671,1)-1,5,BE123),3,FALSE),IF(OR(AW123=1,AW123=2),VLOOKUP(AU123,INDEX((係数_乗用_ガソリン,係数_乗用_CNG,係数_乗用_軽油,係数_乗用_メタノール,係数_乗用_LPG),1,1,BE123):INDEX((係数_乗用_ガソリン,係数_乗用_CNG,係数_乗用_軽油,係数_乗用_メタノール,係数_乗用_LPG),125,5,BE123),3,FALSE))))))</f>
        <v/>
      </c>
      <c r="BC123" s="467" t="str">
        <f t="shared" si="78"/>
        <v/>
      </c>
      <c r="BD123" s="567" t="str">
        <f t="shared" si="79"/>
        <v/>
      </c>
      <c r="BE123" s="467" t="str">
        <f t="shared" si="80"/>
        <v/>
      </c>
      <c r="BF123" s="469" t="str">
        <f t="shared" ca="1" si="81"/>
        <v/>
      </c>
      <c r="BG123" s="469" t="str">
        <f t="shared" ca="1" si="82"/>
        <v/>
      </c>
      <c r="BH123" s="467" t="str">
        <f t="shared" si="83"/>
        <v/>
      </c>
      <c r="BI123" s="467" t="str">
        <f t="shared" ca="1" si="84"/>
        <v/>
      </c>
      <c r="BJ123" s="469" t="str">
        <f t="shared" si="85"/>
        <v/>
      </c>
      <c r="BK123" s="470" t="str">
        <f t="shared" si="65"/>
        <v/>
      </c>
      <c r="BL123" s="775" t="str">
        <f t="shared" si="86"/>
        <v/>
      </c>
      <c r="BM123" s="775" t="str">
        <f t="shared" si="87"/>
        <v/>
      </c>
      <c r="BO123" s="472"/>
    </row>
    <row r="124" spans="1:67" s="471" customFormat="1" ht="13.5" customHeight="1">
      <c r="A124" s="473">
        <v>68</v>
      </c>
      <c r="B124" s="132"/>
      <c r="C124" s="332"/>
      <c r="D124" s="333"/>
      <c r="E124" s="333"/>
      <c r="F124" s="334"/>
      <c r="G124" s="337"/>
      <c r="H124" s="131"/>
      <c r="I124" s="337"/>
      <c r="J124" s="131"/>
      <c r="K124" s="458" t="str">
        <f t="shared" si="54"/>
        <v/>
      </c>
      <c r="L124" s="458">
        <f t="shared" si="66"/>
        <v>0</v>
      </c>
      <c r="M124" s="458">
        <f t="shared" si="67"/>
        <v>0</v>
      </c>
      <c r="N124" s="459" t="str">
        <f t="shared" si="55"/>
        <v/>
      </c>
      <c r="O124" s="459" t="str">
        <f t="shared" si="56"/>
        <v/>
      </c>
      <c r="P124" s="459" t="str">
        <f t="shared" si="57"/>
        <v/>
      </c>
      <c r="Q124" s="459" t="str">
        <f t="shared" si="58"/>
        <v/>
      </c>
      <c r="R124" s="459" t="str">
        <f t="shared" si="59"/>
        <v/>
      </c>
      <c r="S124" s="459" t="str">
        <f t="shared" si="60"/>
        <v/>
      </c>
      <c r="T124" s="566" t="str">
        <f t="shared" si="68"/>
        <v/>
      </c>
      <c r="U124" s="702"/>
      <c r="V124" s="132"/>
      <c r="W124" s="133"/>
      <c r="X124" s="134"/>
      <c r="Y124" s="135"/>
      <c r="Z124" s="137"/>
      <c r="AA124" s="136"/>
      <c r="AB124" s="566" t="str">
        <f t="shared" si="61"/>
        <v/>
      </c>
      <c r="AC124" s="568" t="str">
        <f t="shared" si="69"/>
        <v/>
      </c>
      <c r="AD124" s="137"/>
      <c r="AE124" s="137"/>
      <c r="AF124" s="138"/>
      <c r="AG124" s="138"/>
      <c r="AH124" s="592" t="str">
        <f t="shared" si="62"/>
        <v/>
      </c>
      <c r="AI124" s="592" t="str">
        <f t="shared" si="63"/>
        <v/>
      </c>
      <c r="AJ124" s="592" t="str">
        <f t="shared" si="64"/>
        <v/>
      </c>
      <c r="AK124" s="460" t="str">
        <f>IF(AU124="","",IF(OR(AZ124=8,AZ124=9),0,IF(OR(AW124=3,AW124=4,AW124=5,AW124=6),IF(LEFT(BF124,1)="1",INDEX(係数_NOX・PM低減,MATCH(AY124,【参考】排出係数!$AI$801:$AI$804,1),1),VLOOKUP(AU124,INDEX((係数_バス貨物_ガソリン,係数_バス貨物_CNG,係数_バス貨物_軽油,係数_バス貨物_メタノール,係数_バス貨物_LPG),MATCH(AY124,【参考】排出係数!$AI$4:$AI$671,1),1,BE124):INDEX((係数_バス貨物_ガソリン,係数_バス貨物_CNG,係数_バス貨物_軽油,係数_バス貨物_メタノール,係数_バス貨物_LPG),MATCH(AY124+1,【参考】排出係数!$AI$4:$AI$671,1)-1,5,BE124),4,FALSE)),IF(AND(BE124=3,LEFT(BF124,1)="1"),0.48,VLOOKUP(AU124,INDEX((係数_乗用_ガソリン,係数_乗用_CNG,係数_乗用_軽油,係数_乗用_メタノール,係数_乗用_LPG),1,1,BE124):INDEX((係数_乗用_ガソリン,係数_乗用_CNG,係数_乗用_軽油,係数_乗用_メタノール,係数_乗用_LPG),125,5,BE124),4,FALSE)))))</f>
        <v/>
      </c>
      <c r="AL124" s="461" t="str">
        <f t="shared" ref="AL124:AL187" si="88">IF(AU124="","",IF(Z124&lt;=3.5*1000,AD124*AK124/1000,IF(Z124&gt;3.5*1000,AD124*Z124*AK124/1000/1000)))</f>
        <v/>
      </c>
      <c r="AM124" s="460" t="str">
        <f>IF(AU124="","",IF(OR(AZ124=8,AZ124=9),0,IF(OR(AW124=3,AW124=4,AW124=5,AW124=6),IF(LEFT(BH124,1)="1",INDEX(係数_PM低減,MATCH(AY124,【参考】排出係数!$AI$801:$AI$804,1),MATCH(BI124,【参考】排出係数!$AL$798:$AO$798,1)),VLOOKUP(AU124,INDEX((係数_バス貨物_ガソリン,係数_バス貨物_CNG,係数_バス貨物_軽油,係数_バス貨物_メタノール,係数_バス貨物_LPG),MATCH(AY124,【参考】排出係数!$AI$4:$AI$671,1),1,BE124):INDEX((係数_バス貨物_ガソリン,係数_バス貨物_CNG,係数_バス貨物_軽油,係数_バス貨物_メタノール,係数_バス貨物_LPG),MATCH(AY124+1,【参考】排出係数!$AI$4:$AI$671,1)-1,5,BE124),5,FALSE)),IF(AND(BE124=3,LEFT(BF124,1)="1"),0.055,VLOOKUP(AU124,INDEX((係数_乗用_ガソリン,係数_乗用_CNG,係数_乗用_軽油,係数_乗用_メタノール,係数_乗用_LPG),1,1,BE124):INDEX((係数_乗用_ガソリン,係数_乗用_CNG,係数_乗用_軽油,係数_乗用_メタノール,係数_乗用_LPG),125,5,BE124),5,FALSE)))))</f>
        <v/>
      </c>
      <c r="AN124" s="461" t="str">
        <f t="shared" ref="AN124:AN187" si="89">IF(AU124="","",IF(Z124&lt;=3.5*1000,AD124*AM124/1000,IF(Z124&gt;3.5*1000,AD124*Z124*AM124/1000/1000)))</f>
        <v/>
      </c>
      <c r="AO124" s="462" t="str">
        <f t="shared" ref="AO124:AO187" si="90">IF(AU124="","",IF(Z124&lt;500,"車両重量",IF(OR(AZ124=8,AZ124=9),0,IF(OR(AZ124=1,AZ124=2,AZ124=11),2.32,IF(OR(AZ124=4,AZ124=5,AZ124=11),2.58,IF(AZ124=3,3,IF(AZ124=6,2.23,IF(AZ124=7,1.37,0))))))))</f>
        <v/>
      </c>
      <c r="AP124" s="463" t="str">
        <f t="shared" ref="AP124:AP187" si="91">IF(AU124="","",AE124*AO124/1000)</f>
        <v/>
      </c>
      <c r="AQ124" s="464"/>
      <c r="AR124" s="619"/>
      <c r="AS124" s="465" t="str">
        <f t="shared" si="70"/>
        <v/>
      </c>
      <c r="AT124" s="465" t="str">
        <f t="shared" si="71"/>
        <v/>
      </c>
      <c r="AU124" s="466" t="str">
        <f t="shared" si="72"/>
        <v/>
      </c>
      <c r="AV124" s="467" t="str">
        <f t="shared" si="73"/>
        <v/>
      </c>
      <c r="AW124" s="467" t="str">
        <f t="shared" si="74"/>
        <v/>
      </c>
      <c r="AX124" s="467" t="str">
        <f t="shared" si="75"/>
        <v/>
      </c>
      <c r="AY124" s="467" t="str">
        <f t="shared" si="76"/>
        <v/>
      </c>
      <c r="AZ124" s="467" t="str">
        <f t="shared" si="77"/>
        <v/>
      </c>
      <c r="BA124" s="468" t="str">
        <f>IF(AS124="","",IF(OR(AU124="",AU124="-"),"－",IF(OR(AZ124=8,AZ124=9),"",IF(OR(AW124=3,AW124=4,AW124=5,AW124=6),VLOOKUP(AU124,INDEX((係数_バス貨物_ガソリン,係数_バス貨物_CNG,係数_バス貨物_軽油,係数_バス貨物_メタノール,係数_バス貨物_LPG),MATCH(AY124,【参考】排出係数!$AI$4:$AI$671,1),1,BE124):INDEX((係数_バス貨物_ガソリン,係数_バス貨物_CNG,係数_バス貨物_軽油,係数_バス貨物_メタノール,係数_バス貨物_LPG),MATCH(AY124+1,【参考】排出係数!$AI$4:$AI$671,1)-1,5,BE124),2,FALSE),IF(OR(AW124=1,AW124=2),VLOOKUP(AU124,INDEX((係数_乗用_ガソリン,係数_乗用_CNG,係数_乗用_軽油,係数_乗用_メタノール,係数_乗用_LPG),1,1,BE124):INDEX((係数_乗用_ガソリン,係数_乗用_CNG,係数_乗用_軽油,係数_乗用_メタノール,係数_乗用_LPG),125,5,BE124),2,FALSE))))))</f>
        <v/>
      </c>
      <c r="BB124" s="468" t="str">
        <f>IF(T124="","",IF(OR(AU124="",AU124="-"),"－",IF(OR(AZ124=8,AZ124=9),"",IF(OR(AW124=3,AW124=4,AW124=5,AW124=6),VLOOKUP(AU124,INDEX((係数_バス貨物_ガソリン,係数_バス貨物_CNG,係数_バス貨物_軽油,係数_バス貨物_メタノール,係数_バス貨物_LPG),MATCH(AY124,【参考】排出係数!$AI$4:$AI$671,1),1,BE124):INDEX((係数_バス貨物_ガソリン,係数_バス貨物_CNG,係数_バス貨物_軽油,係数_バス貨物_メタノール,係数_バス貨物_LPG),MATCH(AY124+1,【参考】排出係数!$AI$4:$AI$671,1)-1,5,BE124),3,FALSE),IF(OR(AW124=1,AW124=2),VLOOKUP(AU124,INDEX((係数_乗用_ガソリン,係数_乗用_CNG,係数_乗用_軽油,係数_乗用_メタノール,係数_乗用_LPG),1,1,BE124):INDEX((係数_乗用_ガソリン,係数_乗用_CNG,係数_乗用_軽油,係数_乗用_メタノール,係数_乗用_LPG),125,5,BE124),3,FALSE))))))</f>
        <v/>
      </c>
      <c r="BC124" s="467" t="str">
        <f t="shared" si="78"/>
        <v/>
      </c>
      <c r="BD124" s="567" t="str">
        <f t="shared" si="79"/>
        <v/>
      </c>
      <c r="BE124" s="467" t="str">
        <f t="shared" si="80"/>
        <v/>
      </c>
      <c r="BF124" s="469" t="str">
        <f t="shared" ca="1" si="81"/>
        <v/>
      </c>
      <c r="BG124" s="469" t="str">
        <f t="shared" ca="1" si="82"/>
        <v/>
      </c>
      <c r="BH124" s="467" t="str">
        <f t="shared" si="83"/>
        <v/>
      </c>
      <c r="BI124" s="467" t="str">
        <f t="shared" ca="1" si="84"/>
        <v/>
      </c>
      <c r="BJ124" s="469" t="str">
        <f t="shared" si="85"/>
        <v/>
      </c>
      <c r="BK124" s="470" t="str">
        <f t="shared" si="65"/>
        <v/>
      </c>
      <c r="BL124" s="775" t="str">
        <f t="shared" si="86"/>
        <v/>
      </c>
      <c r="BM124" s="775" t="str">
        <f t="shared" si="87"/>
        <v/>
      </c>
      <c r="BO124" s="472"/>
    </row>
    <row r="125" spans="1:67" s="471" customFormat="1" ht="13.5" customHeight="1">
      <c r="A125" s="473">
        <v>69</v>
      </c>
      <c r="B125" s="132"/>
      <c r="C125" s="332"/>
      <c r="D125" s="333"/>
      <c r="E125" s="333"/>
      <c r="F125" s="334"/>
      <c r="G125" s="337"/>
      <c r="H125" s="131"/>
      <c r="I125" s="337"/>
      <c r="J125" s="131"/>
      <c r="K125" s="458" t="str">
        <f t="shared" si="54"/>
        <v/>
      </c>
      <c r="L125" s="458">
        <f t="shared" si="66"/>
        <v>0</v>
      </c>
      <c r="M125" s="458">
        <f t="shared" si="67"/>
        <v>0</v>
      </c>
      <c r="N125" s="459" t="str">
        <f t="shared" si="55"/>
        <v/>
      </c>
      <c r="O125" s="459" t="str">
        <f t="shared" si="56"/>
        <v/>
      </c>
      <c r="P125" s="459" t="str">
        <f t="shared" si="57"/>
        <v/>
      </c>
      <c r="Q125" s="459" t="str">
        <f t="shared" si="58"/>
        <v/>
      </c>
      <c r="R125" s="459" t="str">
        <f t="shared" si="59"/>
        <v/>
      </c>
      <c r="S125" s="459" t="str">
        <f t="shared" si="60"/>
        <v/>
      </c>
      <c r="T125" s="566" t="str">
        <f t="shared" si="68"/>
        <v/>
      </c>
      <c r="U125" s="702"/>
      <c r="V125" s="132"/>
      <c r="W125" s="133"/>
      <c r="X125" s="134"/>
      <c r="Y125" s="135"/>
      <c r="Z125" s="137"/>
      <c r="AA125" s="136"/>
      <c r="AB125" s="566" t="str">
        <f t="shared" si="61"/>
        <v/>
      </c>
      <c r="AC125" s="568" t="str">
        <f t="shared" si="69"/>
        <v/>
      </c>
      <c r="AD125" s="137"/>
      <c r="AE125" s="137"/>
      <c r="AF125" s="138"/>
      <c r="AG125" s="138"/>
      <c r="AH125" s="592" t="str">
        <f t="shared" si="62"/>
        <v/>
      </c>
      <c r="AI125" s="592" t="str">
        <f t="shared" si="63"/>
        <v/>
      </c>
      <c r="AJ125" s="592" t="str">
        <f t="shared" si="64"/>
        <v/>
      </c>
      <c r="AK125" s="460" t="str">
        <f>IF(AU125="","",IF(OR(AZ125=8,AZ125=9),0,IF(OR(AW125=3,AW125=4,AW125=5,AW125=6),IF(LEFT(BF125,1)="1",INDEX(係数_NOX・PM低減,MATCH(AY125,【参考】排出係数!$AI$801:$AI$804,1),1),VLOOKUP(AU125,INDEX((係数_バス貨物_ガソリン,係数_バス貨物_CNG,係数_バス貨物_軽油,係数_バス貨物_メタノール,係数_バス貨物_LPG),MATCH(AY125,【参考】排出係数!$AI$4:$AI$671,1),1,BE125):INDEX((係数_バス貨物_ガソリン,係数_バス貨物_CNG,係数_バス貨物_軽油,係数_バス貨物_メタノール,係数_バス貨物_LPG),MATCH(AY125+1,【参考】排出係数!$AI$4:$AI$671,1)-1,5,BE125),4,FALSE)),IF(AND(BE125=3,LEFT(BF125,1)="1"),0.48,VLOOKUP(AU125,INDEX((係数_乗用_ガソリン,係数_乗用_CNG,係数_乗用_軽油,係数_乗用_メタノール,係数_乗用_LPG),1,1,BE125):INDEX((係数_乗用_ガソリン,係数_乗用_CNG,係数_乗用_軽油,係数_乗用_メタノール,係数_乗用_LPG),125,5,BE125),4,FALSE)))))</f>
        <v/>
      </c>
      <c r="AL125" s="461" t="str">
        <f t="shared" si="88"/>
        <v/>
      </c>
      <c r="AM125" s="460" t="str">
        <f>IF(AU125="","",IF(OR(AZ125=8,AZ125=9),0,IF(OR(AW125=3,AW125=4,AW125=5,AW125=6),IF(LEFT(BH125,1)="1",INDEX(係数_PM低減,MATCH(AY125,【参考】排出係数!$AI$801:$AI$804,1),MATCH(BI125,【参考】排出係数!$AL$798:$AO$798,1)),VLOOKUP(AU125,INDEX((係数_バス貨物_ガソリン,係数_バス貨物_CNG,係数_バス貨物_軽油,係数_バス貨物_メタノール,係数_バス貨物_LPG),MATCH(AY125,【参考】排出係数!$AI$4:$AI$671,1),1,BE125):INDEX((係数_バス貨物_ガソリン,係数_バス貨物_CNG,係数_バス貨物_軽油,係数_バス貨物_メタノール,係数_バス貨物_LPG),MATCH(AY125+1,【参考】排出係数!$AI$4:$AI$671,1)-1,5,BE125),5,FALSE)),IF(AND(BE125=3,LEFT(BF125,1)="1"),0.055,VLOOKUP(AU125,INDEX((係数_乗用_ガソリン,係数_乗用_CNG,係数_乗用_軽油,係数_乗用_メタノール,係数_乗用_LPG),1,1,BE125):INDEX((係数_乗用_ガソリン,係数_乗用_CNG,係数_乗用_軽油,係数_乗用_メタノール,係数_乗用_LPG),125,5,BE125),5,FALSE)))))</f>
        <v/>
      </c>
      <c r="AN125" s="461" t="str">
        <f t="shared" si="89"/>
        <v/>
      </c>
      <c r="AO125" s="462" t="str">
        <f t="shared" si="90"/>
        <v/>
      </c>
      <c r="AP125" s="463" t="str">
        <f t="shared" si="91"/>
        <v/>
      </c>
      <c r="AQ125" s="464"/>
      <c r="AR125" s="619"/>
      <c r="AS125" s="465" t="str">
        <f t="shared" si="70"/>
        <v/>
      </c>
      <c r="AT125" s="465" t="str">
        <f t="shared" si="71"/>
        <v/>
      </c>
      <c r="AU125" s="466" t="str">
        <f t="shared" si="72"/>
        <v/>
      </c>
      <c r="AV125" s="467" t="str">
        <f t="shared" si="73"/>
        <v/>
      </c>
      <c r="AW125" s="467" t="str">
        <f t="shared" si="74"/>
        <v/>
      </c>
      <c r="AX125" s="467" t="str">
        <f t="shared" si="75"/>
        <v/>
      </c>
      <c r="AY125" s="467" t="str">
        <f t="shared" si="76"/>
        <v/>
      </c>
      <c r="AZ125" s="467" t="str">
        <f t="shared" si="77"/>
        <v/>
      </c>
      <c r="BA125" s="468" t="str">
        <f>IF(AS125="","",IF(OR(AU125="",AU125="-"),"－",IF(OR(AZ125=8,AZ125=9),"",IF(OR(AW125=3,AW125=4,AW125=5,AW125=6),VLOOKUP(AU125,INDEX((係数_バス貨物_ガソリン,係数_バス貨物_CNG,係数_バス貨物_軽油,係数_バス貨物_メタノール,係数_バス貨物_LPG),MATCH(AY125,【参考】排出係数!$AI$4:$AI$671,1),1,BE125):INDEX((係数_バス貨物_ガソリン,係数_バス貨物_CNG,係数_バス貨物_軽油,係数_バス貨物_メタノール,係数_バス貨物_LPG),MATCH(AY125+1,【参考】排出係数!$AI$4:$AI$671,1)-1,5,BE125),2,FALSE),IF(OR(AW125=1,AW125=2),VLOOKUP(AU125,INDEX((係数_乗用_ガソリン,係数_乗用_CNG,係数_乗用_軽油,係数_乗用_メタノール,係数_乗用_LPG),1,1,BE125):INDEX((係数_乗用_ガソリン,係数_乗用_CNG,係数_乗用_軽油,係数_乗用_メタノール,係数_乗用_LPG),125,5,BE125),2,FALSE))))))</f>
        <v/>
      </c>
      <c r="BB125" s="468" t="str">
        <f>IF(T125="","",IF(OR(AU125="",AU125="-"),"－",IF(OR(AZ125=8,AZ125=9),"",IF(OR(AW125=3,AW125=4,AW125=5,AW125=6),VLOOKUP(AU125,INDEX((係数_バス貨物_ガソリン,係数_バス貨物_CNG,係数_バス貨物_軽油,係数_バス貨物_メタノール,係数_バス貨物_LPG),MATCH(AY125,【参考】排出係数!$AI$4:$AI$671,1),1,BE125):INDEX((係数_バス貨物_ガソリン,係数_バス貨物_CNG,係数_バス貨物_軽油,係数_バス貨物_メタノール,係数_バス貨物_LPG),MATCH(AY125+1,【参考】排出係数!$AI$4:$AI$671,1)-1,5,BE125),3,FALSE),IF(OR(AW125=1,AW125=2),VLOOKUP(AU125,INDEX((係数_乗用_ガソリン,係数_乗用_CNG,係数_乗用_軽油,係数_乗用_メタノール,係数_乗用_LPG),1,1,BE125):INDEX((係数_乗用_ガソリン,係数_乗用_CNG,係数_乗用_軽油,係数_乗用_メタノール,係数_乗用_LPG),125,5,BE125),3,FALSE))))))</f>
        <v/>
      </c>
      <c r="BC125" s="467" t="str">
        <f t="shared" si="78"/>
        <v/>
      </c>
      <c r="BD125" s="567" t="str">
        <f t="shared" si="79"/>
        <v/>
      </c>
      <c r="BE125" s="467" t="str">
        <f t="shared" si="80"/>
        <v/>
      </c>
      <c r="BF125" s="469" t="str">
        <f t="shared" ca="1" si="81"/>
        <v/>
      </c>
      <c r="BG125" s="469" t="str">
        <f t="shared" ca="1" si="82"/>
        <v/>
      </c>
      <c r="BH125" s="467" t="str">
        <f t="shared" si="83"/>
        <v/>
      </c>
      <c r="BI125" s="467" t="str">
        <f t="shared" ca="1" si="84"/>
        <v/>
      </c>
      <c r="BJ125" s="469" t="str">
        <f t="shared" si="85"/>
        <v/>
      </c>
      <c r="BK125" s="470" t="str">
        <f t="shared" si="65"/>
        <v/>
      </c>
      <c r="BL125" s="775" t="str">
        <f t="shared" si="86"/>
        <v/>
      </c>
      <c r="BM125" s="775" t="str">
        <f t="shared" si="87"/>
        <v/>
      </c>
      <c r="BO125" s="472"/>
    </row>
    <row r="126" spans="1:67" s="471" customFormat="1" ht="13.5" customHeight="1">
      <c r="A126" s="473">
        <v>70</v>
      </c>
      <c r="B126" s="132"/>
      <c r="C126" s="332"/>
      <c r="D126" s="333"/>
      <c r="E126" s="333"/>
      <c r="F126" s="334"/>
      <c r="G126" s="337"/>
      <c r="H126" s="131"/>
      <c r="I126" s="337"/>
      <c r="J126" s="131"/>
      <c r="K126" s="458" t="str">
        <f t="shared" si="54"/>
        <v/>
      </c>
      <c r="L126" s="458">
        <f t="shared" si="66"/>
        <v>0</v>
      </c>
      <c r="M126" s="458">
        <f t="shared" si="67"/>
        <v>0</v>
      </c>
      <c r="N126" s="459" t="str">
        <f t="shared" si="55"/>
        <v/>
      </c>
      <c r="O126" s="459" t="str">
        <f t="shared" si="56"/>
        <v/>
      </c>
      <c r="P126" s="459" t="str">
        <f t="shared" si="57"/>
        <v/>
      </c>
      <c r="Q126" s="459" t="str">
        <f t="shared" si="58"/>
        <v/>
      </c>
      <c r="R126" s="459" t="str">
        <f t="shared" si="59"/>
        <v/>
      </c>
      <c r="S126" s="459" t="str">
        <f t="shared" si="60"/>
        <v/>
      </c>
      <c r="T126" s="566" t="str">
        <f t="shared" si="68"/>
        <v/>
      </c>
      <c r="U126" s="702"/>
      <c r="V126" s="132"/>
      <c r="W126" s="133"/>
      <c r="X126" s="134"/>
      <c r="Y126" s="135"/>
      <c r="Z126" s="137"/>
      <c r="AA126" s="136"/>
      <c r="AB126" s="566" t="str">
        <f t="shared" si="61"/>
        <v/>
      </c>
      <c r="AC126" s="568" t="str">
        <f t="shared" si="69"/>
        <v/>
      </c>
      <c r="AD126" s="137"/>
      <c r="AE126" s="137"/>
      <c r="AF126" s="138"/>
      <c r="AG126" s="138"/>
      <c r="AH126" s="592" t="str">
        <f t="shared" si="62"/>
        <v/>
      </c>
      <c r="AI126" s="592" t="str">
        <f t="shared" si="63"/>
        <v/>
      </c>
      <c r="AJ126" s="592" t="str">
        <f t="shared" si="64"/>
        <v/>
      </c>
      <c r="AK126" s="460" t="str">
        <f>IF(AU126="","",IF(OR(AZ126=8,AZ126=9),0,IF(OR(AW126=3,AW126=4,AW126=5,AW126=6),IF(LEFT(BF126,1)="1",INDEX(係数_NOX・PM低減,MATCH(AY126,【参考】排出係数!$AI$801:$AI$804,1),1),VLOOKUP(AU126,INDEX((係数_バス貨物_ガソリン,係数_バス貨物_CNG,係数_バス貨物_軽油,係数_バス貨物_メタノール,係数_バス貨物_LPG),MATCH(AY126,【参考】排出係数!$AI$4:$AI$671,1),1,BE126):INDEX((係数_バス貨物_ガソリン,係数_バス貨物_CNG,係数_バス貨物_軽油,係数_バス貨物_メタノール,係数_バス貨物_LPG),MATCH(AY126+1,【参考】排出係数!$AI$4:$AI$671,1)-1,5,BE126),4,FALSE)),IF(AND(BE126=3,LEFT(BF126,1)="1"),0.48,VLOOKUP(AU126,INDEX((係数_乗用_ガソリン,係数_乗用_CNG,係数_乗用_軽油,係数_乗用_メタノール,係数_乗用_LPG),1,1,BE126):INDEX((係数_乗用_ガソリン,係数_乗用_CNG,係数_乗用_軽油,係数_乗用_メタノール,係数_乗用_LPG),125,5,BE126),4,FALSE)))))</f>
        <v/>
      </c>
      <c r="AL126" s="461" t="str">
        <f t="shared" si="88"/>
        <v/>
      </c>
      <c r="AM126" s="460" t="str">
        <f>IF(AU126="","",IF(OR(AZ126=8,AZ126=9),0,IF(OR(AW126=3,AW126=4,AW126=5,AW126=6),IF(LEFT(BH126,1)="1",INDEX(係数_PM低減,MATCH(AY126,【参考】排出係数!$AI$801:$AI$804,1),MATCH(BI126,【参考】排出係数!$AL$798:$AO$798,1)),VLOOKUP(AU126,INDEX((係数_バス貨物_ガソリン,係数_バス貨物_CNG,係数_バス貨物_軽油,係数_バス貨物_メタノール,係数_バス貨物_LPG),MATCH(AY126,【参考】排出係数!$AI$4:$AI$671,1),1,BE126):INDEX((係数_バス貨物_ガソリン,係数_バス貨物_CNG,係数_バス貨物_軽油,係数_バス貨物_メタノール,係数_バス貨物_LPG),MATCH(AY126+1,【参考】排出係数!$AI$4:$AI$671,1)-1,5,BE126),5,FALSE)),IF(AND(BE126=3,LEFT(BF126,1)="1"),0.055,VLOOKUP(AU126,INDEX((係数_乗用_ガソリン,係数_乗用_CNG,係数_乗用_軽油,係数_乗用_メタノール,係数_乗用_LPG),1,1,BE126):INDEX((係数_乗用_ガソリン,係数_乗用_CNG,係数_乗用_軽油,係数_乗用_メタノール,係数_乗用_LPG),125,5,BE126),5,FALSE)))))</f>
        <v/>
      </c>
      <c r="AN126" s="461" t="str">
        <f t="shared" si="89"/>
        <v/>
      </c>
      <c r="AO126" s="462" t="str">
        <f t="shared" si="90"/>
        <v/>
      </c>
      <c r="AP126" s="463" t="str">
        <f t="shared" si="91"/>
        <v/>
      </c>
      <c r="AQ126" s="464"/>
      <c r="AR126" s="619"/>
      <c r="AS126" s="465" t="str">
        <f t="shared" si="70"/>
        <v/>
      </c>
      <c r="AT126" s="465" t="str">
        <f t="shared" si="71"/>
        <v/>
      </c>
      <c r="AU126" s="466" t="str">
        <f t="shared" si="72"/>
        <v/>
      </c>
      <c r="AV126" s="467" t="str">
        <f t="shared" si="73"/>
        <v/>
      </c>
      <c r="AW126" s="467" t="str">
        <f t="shared" si="74"/>
        <v/>
      </c>
      <c r="AX126" s="467" t="str">
        <f t="shared" si="75"/>
        <v/>
      </c>
      <c r="AY126" s="467" t="str">
        <f t="shared" si="76"/>
        <v/>
      </c>
      <c r="AZ126" s="467" t="str">
        <f t="shared" si="77"/>
        <v/>
      </c>
      <c r="BA126" s="468" t="str">
        <f>IF(AS126="","",IF(OR(AU126="",AU126="-"),"－",IF(OR(AZ126=8,AZ126=9),"",IF(OR(AW126=3,AW126=4,AW126=5,AW126=6),VLOOKUP(AU126,INDEX((係数_バス貨物_ガソリン,係数_バス貨物_CNG,係数_バス貨物_軽油,係数_バス貨物_メタノール,係数_バス貨物_LPG),MATCH(AY126,【参考】排出係数!$AI$4:$AI$671,1),1,BE126):INDEX((係数_バス貨物_ガソリン,係数_バス貨物_CNG,係数_バス貨物_軽油,係数_バス貨物_メタノール,係数_バス貨物_LPG),MATCH(AY126+1,【参考】排出係数!$AI$4:$AI$671,1)-1,5,BE126),2,FALSE),IF(OR(AW126=1,AW126=2),VLOOKUP(AU126,INDEX((係数_乗用_ガソリン,係数_乗用_CNG,係数_乗用_軽油,係数_乗用_メタノール,係数_乗用_LPG),1,1,BE126):INDEX((係数_乗用_ガソリン,係数_乗用_CNG,係数_乗用_軽油,係数_乗用_メタノール,係数_乗用_LPG),125,5,BE126),2,FALSE))))))</f>
        <v/>
      </c>
      <c r="BB126" s="468" t="str">
        <f>IF(T126="","",IF(OR(AU126="",AU126="-"),"－",IF(OR(AZ126=8,AZ126=9),"",IF(OR(AW126=3,AW126=4,AW126=5,AW126=6),VLOOKUP(AU126,INDEX((係数_バス貨物_ガソリン,係数_バス貨物_CNG,係数_バス貨物_軽油,係数_バス貨物_メタノール,係数_バス貨物_LPG),MATCH(AY126,【参考】排出係数!$AI$4:$AI$671,1),1,BE126):INDEX((係数_バス貨物_ガソリン,係数_バス貨物_CNG,係数_バス貨物_軽油,係数_バス貨物_メタノール,係数_バス貨物_LPG),MATCH(AY126+1,【参考】排出係数!$AI$4:$AI$671,1)-1,5,BE126),3,FALSE),IF(OR(AW126=1,AW126=2),VLOOKUP(AU126,INDEX((係数_乗用_ガソリン,係数_乗用_CNG,係数_乗用_軽油,係数_乗用_メタノール,係数_乗用_LPG),1,1,BE126):INDEX((係数_乗用_ガソリン,係数_乗用_CNG,係数_乗用_軽油,係数_乗用_メタノール,係数_乗用_LPG),125,5,BE126),3,FALSE))))))</f>
        <v/>
      </c>
      <c r="BC126" s="467" t="str">
        <f t="shared" si="78"/>
        <v/>
      </c>
      <c r="BD126" s="567" t="str">
        <f t="shared" si="79"/>
        <v/>
      </c>
      <c r="BE126" s="467" t="str">
        <f t="shared" si="80"/>
        <v/>
      </c>
      <c r="BF126" s="469" t="str">
        <f t="shared" ca="1" si="81"/>
        <v/>
      </c>
      <c r="BG126" s="469" t="str">
        <f t="shared" ca="1" si="82"/>
        <v/>
      </c>
      <c r="BH126" s="467" t="str">
        <f t="shared" si="83"/>
        <v/>
      </c>
      <c r="BI126" s="467" t="str">
        <f t="shared" ca="1" si="84"/>
        <v/>
      </c>
      <c r="BJ126" s="469" t="str">
        <f t="shared" si="85"/>
        <v/>
      </c>
      <c r="BK126" s="470" t="str">
        <f t="shared" si="65"/>
        <v/>
      </c>
      <c r="BL126" s="775" t="str">
        <f t="shared" si="86"/>
        <v/>
      </c>
      <c r="BM126" s="775" t="str">
        <f t="shared" si="87"/>
        <v/>
      </c>
      <c r="BO126" s="472"/>
    </row>
    <row r="127" spans="1:67" s="471" customFormat="1" ht="13.5" customHeight="1">
      <c r="A127" s="473">
        <v>71</v>
      </c>
      <c r="B127" s="132"/>
      <c r="C127" s="332"/>
      <c r="D127" s="333"/>
      <c r="E127" s="333"/>
      <c r="F127" s="334"/>
      <c r="G127" s="337"/>
      <c r="H127" s="131"/>
      <c r="I127" s="337"/>
      <c r="J127" s="131"/>
      <c r="K127" s="458" t="str">
        <f t="shared" si="54"/>
        <v/>
      </c>
      <c r="L127" s="458">
        <f t="shared" si="66"/>
        <v>0</v>
      </c>
      <c r="M127" s="458">
        <f t="shared" si="67"/>
        <v>0</v>
      </c>
      <c r="N127" s="459" t="str">
        <f t="shared" si="55"/>
        <v/>
      </c>
      <c r="O127" s="459" t="str">
        <f t="shared" si="56"/>
        <v/>
      </c>
      <c r="P127" s="459" t="str">
        <f t="shared" si="57"/>
        <v/>
      </c>
      <c r="Q127" s="459" t="str">
        <f t="shared" si="58"/>
        <v/>
      </c>
      <c r="R127" s="459" t="str">
        <f t="shared" si="59"/>
        <v/>
      </c>
      <c r="S127" s="459" t="str">
        <f t="shared" si="60"/>
        <v/>
      </c>
      <c r="T127" s="566" t="str">
        <f t="shared" si="68"/>
        <v/>
      </c>
      <c r="U127" s="702"/>
      <c r="V127" s="132"/>
      <c r="W127" s="133"/>
      <c r="X127" s="134"/>
      <c r="Y127" s="135"/>
      <c r="Z127" s="137"/>
      <c r="AA127" s="136"/>
      <c r="AB127" s="566" t="str">
        <f t="shared" si="61"/>
        <v/>
      </c>
      <c r="AC127" s="568" t="str">
        <f t="shared" si="69"/>
        <v/>
      </c>
      <c r="AD127" s="137"/>
      <c r="AE127" s="137"/>
      <c r="AF127" s="138"/>
      <c r="AG127" s="138"/>
      <c r="AH127" s="592" t="str">
        <f t="shared" si="62"/>
        <v/>
      </c>
      <c r="AI127" s="592" t="str">
        <f t="shared" si="63"/>
        <v/>
      </c>
      <c r="AJ127" s="592" t="str">
        <f t="shared" si="64"/>
        <v/>
      </c>
      <c r="AK127" s="460" t="str">
        <f>IF(AU127="","",IF(OR(AZ127=8,AZ127=9),0,IF(OR(AW127=3,AW127=4,AW127=5,AW127=6),IF(LEFT(BF127,1)="1",INDEX(係数_NOX・PM低減,MATCH(AY127,【参考】排出係数!$AI$801:$AI$804,1),1),VLOOKUP(AU127,INDEX((係数_バス貨物_ガソリン,係数_バス貨物_CNG,係数_バス貨物_軽油,係数_バス貨物_メタノール,係数_バス貨物_LPG),MATCH(AY127,【参考】排出係数!$AI$4:$AI$671,1),1,BE127):INDEX((係数_バス貨物_ガソリン,係数_バス貨物_CNG,係数_バス貨物_軽油,係数_バス貨物_メタノール,係数_バス貨物_LPG),MATCH(AY127+1,【参考】排出係数!$AI$4:$AI$671,1)-1,5,BE127),4,FALSE)),IF(AND(BE127=3,LEFT(BF127,1)="1"),0.48,VLOOKUP(AU127,INDEX((係数_乗用_ガソリン,係数_乗用_CNG,係数_乗用_軽油,係数_乗用_メタノール,係数_乗用_LPG),1,1,BE127):INDEX((係数_乗用_ガソリン,係数_乗用_CNG,係数_乗用_軽油,係数_乗用_メタノール,係数_乗用_LPG),125,5,BE127),4,FALSE)))))</f>
        <v/>
      </c>
      <c r="AL127" s="461" t="str">
        <f t="shared" si="88"/>
        <v/>
      </c>
      <c r="AM127" s="460" t="str">
        <f>IF(AU127="","",IF(OR(AZ127=8,AZ127=9),0,IF(OR(AW127=3,AW127=4,AW127=5,AW127=6),IF(LEFT(BH127,1)="1",INDEX(係数_PM低減,MATCH(AY127,【参考】排出係数!$AI$801:$AI$804,1),MATCH(BI127,【参考】排出係数!$AL$798:$AO$798,1)),VLOOKUP(AU127,INDEX((係数_バス貨物_ガソリン,係数_バス貨物_CNG,係数_バス貨物_軽油,係数_バス貨物_メタノール,係数_バス貨物_LPG),MATCH(AY127,【参考】排出係数!$AI$4:$AI$671,1),1,BE127):INDEX((係数_バス貨物_ガソリン,係数_バス貨物_CNG,係数_バス貨物_軽油,係数_バス貨物_メタノール,係数_バス貨物_LPG),MATCH(AY127+1,【参考】排出係数!$AI$4:$AI$671,1)-1,5,BE127),5,FALSE)),IF(AND(BE127=3,LEFT(BF127,1)="1"),0.055,VLOOKUP(AU127,INDEX((係数_乗用_ガソリン,係数_乗用_CNG,係数_乗用_軽油,係数_乗用_メタノール,係数_乗用_LPG),1,1,BE127):INDEX((係数_乗用_ガソリン,係数_乗用_CNG,係数_乗用_軽油,係数_乗用_メタノール,係数_乗用_LPG),125,5,BE127),5,FALSE)))))</f>
        <v/>
      </c>
      <c r="AN127" s="461" t="str">
        <f t="shared" si="89"/>
        <v/>
      </c>
      <c r="AO127" s="462" t="str">
        <f t="shared" si="90"/>
        <v/>
      </c>
      <c r="AP127" s="463" t="str">
        <f t="shared" si="91"/>
        <v/>
      </c>
      <c r="AQ127" s="464"/>
      <c r="AR127" s="619"/>
      <c r="AS127" s="465" t="str">
        <f t="shared" si="70"/>
        <v/>
      </c>
      <c r="AT127" s="465" t="str">
        <f t="shared" si="71"/>
        <v/>
      </c>
      <c r="AU127" s="466" t="str">
        <f t="shared" si="72"/>
        <v/>
      </c>
      <c r="AV127" s="467" t="str">
        <f t="shared" si="73"/>
        <v/>
      </c>
      <c r="AW127" s="467" t="str">
        <f t="shared" si="74"/>
        <v/>
      </c>
      <c r="AX127" s="467" t="str">
        <f t="shared" si="75"/>
        <v/>
      </c>
      <c r="AY127" s="467" t="str">
        <f t="shared" si="76"/>
        <v/>
      </c>
      <c r="AZ127" s="467" t="str">
        <f t="shared" si="77"/>
        <v/>
      </c>
      <c r="BA127" s="468" t="str">
        <f>IF(AS127="","",IF(OR(AU127="",AU127="-"),"－",IF(OR(AZ127=8,AZ127=9),"",IF(OR(AW127=3,AW127=4,AW127=5,AW127=6),VLOOKUP(AU127,INDEX((係数_バス貨物_ガソリン,係数_バス貨物_CNG,係数_バス貨物_軽油,係数_バス貨物_メタノール,係数_バス貨物_LPG),MATCH(AY127,【参考】排出係数!$AI$4:$AI$671,1),1,BE127):INDEX((係数_バス貨物_ガソリン,係数_バス貨物_CNG,係数_バス貨物_軽油,係数_バス貨物_メタノール,係数_バス貨物_LPG),MATCH(AY127+1,【参考】排出係数!$AI$4:$AI$671,1)-1,5,BE127),2,FALSE),IF(OR(AW127=1,AW127=2),VLOOKUP(AU127,INDEX((係数_乗用_ガソリン,係数_乗用_CNG,係数_乗用_軽油,係数_乗用_メタノール,係数_乗用_LPG),1,1,BE127):INDEX((係数_乗用_ガソリン,係数_乗用_CNG,係数_乗用_軽油,係数_乗用_メタノール,係数_乗用_LPG),125,5,BE127),2,FALSE))))))</f>
        <v/>
      </c>
      <c r="BB127" s="468" t="str">
        <f>IF(T127="","",IF(OR(AU127="",AU127="-"),"－",IF(OR(AZ127=8,AZ127=9),"",IF(OR(AW127=3,AW127=4,AW127=5,AW127=6),VLOOKUP(AU127,INDEX((係数_バス貨物_ガソリン,係数_バス貨物_CNG,係数_バス貨物_軽油,係数_バス貨物_メタノール,係数_バス貨物_LPG),MATCH(AY127,【参考】排出係数!$AI$4:$AI$671,1),1,BE127):INDEX((係数_バス貨物_ガソリン,係数_バス貨物_CNG,係数_バス貨物_軽油,係数_バス貨物_メタノール,係数_バス貨物_LPG),MATCH(AY127+1,【参考】排出係数!$AI$4:$AI$671,1)-1,5,BE127),3,FALSE),IF(OR(AW127=1,AW127=2),VLOOKUP(AU127,INDEX((係数_乗用_ガソリン,係数_乗用_CNG,係数_乗用_軽油,係数_乗用_メタノール,係数_乗用_LPG),1,1,BE127):INDEX((係数_乗用_ガソリン,係数_乗用_CNG,係数_乗用_軽油,係数_乗用_メタノール,係数_乗用_LPG),125,5,BE127),3,FALSE))))))</f>
        <v/>
      </c>
      <c r="BC127" s="467" t="str">
        <f t="shared" si="78"/>
        <v/>
      </c>
      <c r="BD127" s="567" t="str">
        <f t="shared" si="79"/>
        <v/>
      </c>
      <c r="BE127" s="467" t="str">
        <f t="shared" si="80"/>
        <v/>
      </c>
      <c r="BF127" s="469" t="str">
        <f t="shared" ca="1" si="81"/>
        <v/>
      </c>
      <c r="BG127" s="469" t="str">
        <f t="shared" ca="1" si="82"/>
        <v/>
      </c>
      <c r="BH127" s="467" t="str">
        <f t="shared" si="83"/>
        <v/>
      </c>
      <c r="BI127" s="467" t="str">
        <f t="shared" ca="1" si="84"/>
        <v/>
      </c>
      <c r="BJ127" s="469" t="str">
        <f t="shared" si="85"/>
        <v/>
      </c>
      <c r="BK127" s="470" t="str">
        <f t="shared" si="65"/>
        <v/>
      </c>
      <c r="BL127" s="775" t="str">
        <f t="shared" si="86"/>
        <v/>
      </c>
      <c r="BM127" s="775" t="str">
        <f t="shared" si="87"/>
        <v/>
      </c>
      <c r="BO127" s="472"/>
    </row>
    <row r="128" spans="1:67" s="471" customFormat="1" ht="13.5" customHeight="1">
      <c r="A128" s="473">
        <v>72</v>
      </c>
      <c r="B128" s="132"/>
      <c r="C128" s="332"/>
      <c r="D128" s="333"/>
      <c r="E128" s="333"/>
      <c r="F128" s="334"/>
      <c r="G128" s="337"/>
      <c r="H128" s="131"/>
      <c r="I128" s="337"/>
      <c r="J128" s="131"/>
      <c r="K128" s="458" t="str">
        <f t="shared" si="54"/>
        <v/>
      </c>
      <c r="L128" s="458">
        <f t="shared" si="66"/>
        <v>0</v>
      </c>
      <c r="M128" s="458">
        <f t="shared" si="67"/>
        <v>0</v>
      </c>
      <c r="N128" s="459" t="str">
        <f t="shared" si="55"/>
        <v/>
      </c>
      <c r="O128" s="459" t="str">
        <f t="shared" si="56"/>
        <v/>
      </c>
      <c r="P128" s="459" t="str">
        <f t="shared" si="57"/>
        <v/>
      </c>
      <c r="Q128" s="459" t="str">
        <f t="shared" si="58"/>
        <v/>
      </c>
      <c r="R128" s="459" t="str">
        <f t="shared" si="59"/>
        <v/>
      </c>
      <c r="S128" s="459" t="str">
        <f t="shared" si="60"/>
        <v/>
      </c>
      <c r="T128" s="566" t="str">
        <f t="shared" si="68"/>
        <v/>
      </c>
      <c r="U128" s="702"/>
      <c r="V128" s="132"/>
      <c r="W128" s="133"/>
      <c r="X128" s="134"/>
      <c r="Y128" s="135"/>
      <c r="Z128" s="137"/>
      <c r="AA128" s="136"/>
      <c r="AB128" s="566" t="str">
        <f t="shared" si="61"/>
        <v/>
      </c>
      <c r="AC128" s="568" t="str">
        <f t="shared" si="69"/>
        <v/>
      </c>
      <c r="AD128" s="137"/>
      <c r="AE128" s="137"/>
      <c r="AF128" s="138"/>
      <c r="AG128" s="138"/>
      <c r="AH128" s="592" t="str">
        <f t="shared" si="62"/>
        <v/>
      </c>
      <c r="AI128" s="592" t="str">
        <f t="shared" si="63"/>
        <v/>
      </c>
      <c r="AJ128" s="592" t="str">
        <f t="shared" si="64"/>
        <v/>
      </c>
      <c r="AK128" s="460" t="str">
        <f>IF(AU128="","",IF(OR(AZ128=8,AZ128=9),0,IF(OR(AW128=3,AW128=4,AW128=5,AW128=6),IF(LEFT(BF128,1)="1",INDEX(係数_NOX・PM低減,MATCH(AY128,【参考】排出係数!$AI$801:$AI$804,1),1),VLOOKUP(AU128,INDEX((係数_バス貨物_ガソリン,係数_バス貨物_CNG,係数_バス貨物_軽油,係数_バス貨物_メタノール,係数_バス貨物_LPG),MATCH(AY128,【参考】排出係数!$AI$4:$AI$671,1),1,BE128):INDEX((係数_バス貨物_ガソリン,係数_バス貨物_CNG,係数_バス貨物_軽油,係数_バス貨物_メタノール,係数_バス貨物_LPG),MATCH(AY128+1,【参考】排出係数!$AI$4:$AI$671,1)-1,5,BE128),4,FALSE)),IF(AND(BE128=3,LEFT(BF128,1)="1"),0.48,VLOOKUP(AU128,INDEX((係数_乗用_ガソリン,係数_乗用_CNG,係数_乗用_軽油,係数_乗用_メタノール,係数_乗用_LPG),1,1,BE128):INDEX((係数_乗用_ガソリン,係数_乗用_CNG,係数_乗用_軽油,係数_乗用_メタノール,係数_乗用_LPG),125,5,BE128),4,FALSE)))))</f>
        <v/>
      </c>
      <c r="AL128" s="461" t="str">
        <f t="shared" si="88"/>
        <v/>
      </c>
      <c r="AM128" s="460" t="str">
        <f>IF(AU128="","",IF(OR(AZ128=8,AZ128=9),0,IF(OR(AW128=3,AW128=4,AW128=5,AW128=6),IF(LEFT(BH128,1)="1",INDEX(係数_PM低減,MATCH(AY128,【参考】排出係数!$AI$801:$AI$804,1),MATCH(BI128,【参考】排出係数!$AL$798:$AO$798,1)),VLOOKUP(AU128,INDEX((係数_バス貨物_ガソリン,係数_バス貨物_CNG,係数_バス貨物_軽油,係数_バス貨物_メタノール,係数_バス貨物_LPG),MATCH(AY128,【参考】排出係数!$AI$4:$AI$671,1),1,BE128):INDEX((係数_バス貨物_ガソリン,係数_バス貨物_CNG,係数_バス貨物_軽油,係数_バス貨物_メタノール,係数_バス貨物_LPG),MATCH(AY128+1,【参考】排出係数!$AI$4:$AI$671,1)-1,5,BE128),5,FALSE)),IF(AND(BE128=3,LEFT(BF128,1)="1"),0.055,VLOOKUP(AU128,INDEX((係数_乗用_ガソリン,係数_乗用_CNG,係数_乗用_軽油,係数_乗用_メタノール,係数_乗用_LPG),1,1,BE128):INDEX((係数_乗用_ガソリン,係数_乗用_CNG,係数_乗用_軽油,係数_乗用_メタノール,係数_乗用_LPG),125,5,BE128),5,FALSE)))))</f>
        <v/>
      </c>
      <c r="AN128" s="461" t="str">
        <f t="shared" si="89"/>
        <v/>
      </c>
      <c r="AO128" s="462" t="str">
        <f t="shared" si="90"/>
        <v/>
      </c>
      <c r="AP128" s="463" t="str">
        <f t="shared" si="91"/>
        <v/>
      </c>
      <c r="AQ128" s="464"/>
      <c r="AR128" s="619"/>
      <c r="AS128" s="465" t="str">
        <f t="shared" si="70"/>
        <v/>
      </c>
      <c r="AT128" s="465" t="str">
        <f t="shared" si="71"/>
        <v/>
      </c>
      <c r="AU128" s="466" t="str">
        <f t="shared" si="72"/>
        <v/>
      </c>
      <c r="AV128" s="467" t="str">
        <f t="shared" si="73"/>
        <v/>
      </c>
      <c r="AW128" s="467" t="str">
        <f t="shared" si="74"/>
        <v/>
      </c>
      <c r="AX128" s="467" t="str">
        <f t="shared" si="75"/>
        <v/>
      </c>
      <c r="AY128" s="467" t="str">
        <f t="shared" si="76"/>
        <v/>
      </c>
      <c r="AZ128" s="467" t="str">
        <f t="shared" si="77"/>
        <v/>
      </c>
      <c r="BA128" s="468" t="str">
        <f>IF(AS128="","",IF(OR(AU128="",AU128="-"),"－",IF(OR(AZ128=8,AZ128=9),"",IF(OR(AW128=3,AW128=4,AW128=5,AW128=6),VLOOKUP(AU128,INDEX((係数_バス貨物_ガソリン,係数_バス貨物_CNG,係数_バス貨物_軽油,係数_バス貨物_メタノール,係数_バス貨物_LPG),MATCH(AY128,【参考】排出係数!$AI$4:$AI$671,1),1,BE128):INDEX((係数_バス貨物_ガソリン,係数_バス貨物_CNG,係数_バス貨物_軽油,係数_バス貨物_メタノール,係数_バス貨物_LPG),MATCH(AY128+1,【参考】排出係数!$AI$4:$AI$671,1)-1,5,BE128),2,FALSE),IF(OR(AW128=1,AW128=2),VLOOKUP(AU128,INDEX((係数_乗用_ガソリン,係数_乗用_CNG,係数_乗用_軽油,係数_乗用_メタノール,係数_乗用_LPG),1,1,BE128):INDEX((係数_乗用_ガソリン,係数_乗用_CNG,係数_乗用_軽油,係数_乗用_メタノール,係数_乗用_LPG),125,5,BE128),2,FALSE))))))</f>
        <v/>
      </c>
      <c r="BB128" s="468" t="str">
        <f>IF(T128="","",IF(OR(AU128="",AU128="-"),"－",IF(OR(AZ128=8,AZ128=9),"",IF(OR(AW128=3,AW128=4,AW128=5,AW128=6),VLOOKUP(AU128,INDEX((係数_バス貨物_ガソリン,係数_バス貨物_CNG,係数_バス貨物_軽油,係数_バス貨物_メタノール,係数_バス貨物_LPG),MATCH(AY128,【参考】排出係数!$AI$4:$AI$671,1),1,BE128):INDEX((係数_バス貨物_ガソリン,係数_バス貨物_CNG,係数_バス貨物_軽油,係数_バス貨物_メタノール,係数_バス貨物_LPG),MATCH(AY128+1,【参考】排出係数!$AI$4:$AI$671,1)-1,5,BE128),3,FALSE),IF(OR(AW128=1,AW128=2),VLOOKUP(AU128,INDEX((係数_乗用_ガソリン,係数_乗用_CNG,係数_乗用_軽油,係数_乗用_メタノール,係数_乗用_LPG),1,1,BE128):INDEX((係数_乗用_ガソリン,係数_乗用_CNG,係数_乗用_軽油,係数_乗用_メタノール,係数_乗用_LPG),125,5,BE128),3,FALSE))))))</f>
        <v/>
      </c>
      <c r="BC128" s="467" t="str">
        <f t="shared" si="78"/>
        <v/>
      </c>
      <c r="BD128" s="567" t="str">
        <f t="shared" si="79"/>
        <v/>
      </c>
      <c r="BE128" s="467" t="str">
        <f t="shared" si="80"/>
        <v/>
      </c>
      <c r="BF128" s="469" t="str">
        <f t="shared" ca="1" si="81"/>
        <v/>
      </c>
      <c r="BG128" s="469" t="str">
        <f t="shared" ca="1" si="82"/>
        <v/>
      </c>
      <c r="BH128" s="467" t="str">
        <f t="shared" si="83"/>
        <v/>
      </c>
      <c r="BI128" s="467" t="str">
        <f t="shared" ca="1" si="84"/>
        <v/>
      </c>
      <c r="BJ128" s="469" t="str">
        <f t="shared" si="85"/>
        <v/>
      </c>
      <c r="BK128" s="470" t="str">
        <f t="shared" si="65"/>
        <v/>
      </c>
      <c r="BL128" s="775" t="str">
        <f t="shared" si="86"/>
        <v/>
      </c>
      <c r="BM128" s="775" t="str">
        <f t="shared" si="87"/>
        <v/>
      </c>
      <c r="BO128" s="472"/>
    </row>
    <row r="129" spans="1:67" s="471" customFormat="1" ht="13.5" customHeight="1">
      <c r="A129" s="473">
        <v>73</v>
      </c>
      <c r="B129" s="132"/>
      <c r="C129" s="332"/>
      <c r="D129" s="333"/>
      <c r="E129" s="333"/>
      <c r="F129" s="334"/>
      <c r="G129" s="337"/>
      <c r="H129" s="131"/>
      <c r="I129" s="337"/>
      <c r="J129" s="131"/>
      <c r="K129" s="458" t="str">
        <f t="shared" si="54"/>
        <v/>
      </c>
      <c r="L129" s="458">
        <f t="shared" si="66"/>
        <v>0</v>
      </c>
      <c r="M129" s="458">
        <f t="shared" si="67"/>
        <v>0</v>
      </c>
      <c r="N129" s="459" t="str">
        <f t="shared" si="55"/>
        <v/>
      </c>
      <c r="O129" s="459" t="str">
        <f t="shared" si="56"/>
        <v/>
      </c>
      <c r="P129" s="459" t="str">
        <f t="shared" si="57"/>
        <v/>
      </c>
      <c r="Q129" s="459" t="str">
        <f t="shared" si="58"/>
        <v/>
      </c>
      <c r="R129" s="459" t="str">
        <f t="shared" si="59"/>
        <v/>
      </c>
      <c r="S129" s="459" t="str">
        <f t="shared" si="60"/>
        <v/>
      </c>
      <c r="T129" s="566" t="str">
        <f t="shared" si="68"/>
        <v/>
      </c>
      <c r="U129" s="702"/>
      <c r="V129" s="132"/>
      <c r="W129" s="133"/>
      <c r="X129" s="134"/>
      <c r="Y129" s="135"/>
      <c r="Z129" s="137"/>
      <c r="AA129" s="136"/>
      <c r="AB129" s="566" t="str">
        <f t="shared" si="61"/>
        <v/>
      </c>
      <c r="AC129" s="568" t="str">
        <f t="shared" si="69"/>
        <v/>
      </c>
      <c r="AD129" s="137"/>
      <c r="AE129" s="137"/>
      <c r="AF129" s="138"/>
      <c r="AG129" s="138"/>
      <c r="AH129" s="592" t="str">
        <f t="shared" si="62"/>
        <v/>
      </c>
      <c r="AI129" s="592" t="str">
        <f t="shared" si="63"/>
        <v/>
      </c>
      <c r="AJ129" s="592" t="str">
        <f t="shared" si="64"/>
        <v/>
      </c>
      <c r="AK129" s="460" t="str">
        <f>IF(AU129="","",IF(OR(AZ129=8,AZ129=9),0,IF(OR(AW129=3,AW129=4,AW129=5,AW129=6),IF(LEFT(BF129,1)="1",INDEX(係数_NOX・PM低減,MATCH(AY129,【参考】排出係数!$AI$801:$AI$804,1),1),VLOOKUP(AU129,INDEX((係数_バス貨物_ガソリン,係数_バス貨物_CNG,係数_バス貨物_軽油,係数_バス貨物_メタノール,係数_バス貨物_LPG),MATCH(AY129,【参考】排出係数!$AI$4:$AI$671,1),1,BE129):INDEX((係数_バス貨物_ガソリン,係数_バス貨物_CNG,係数_バス貨物_軽油,係数_バス貨物_メタノール,係数_バス貨物_LPG),MATCH(AY129+1,【参考】排出係数!$AI$4:$AI$671,1)-1,5,BE129),4,FALSE)),IF(AND(BE129=3,LEFT(BF129,1)="1"),0.48,VLOOKUP(AU129,INDEX((係数_乗用_ガソリン,係数_乗用_CNG,係数_乗用_軽油,係数_乗用_メタノール,係数_乗用_LPG),1,1,BE129):INDEX((係数_乗用_ガソリン,係数_乗用_CNG,係数_乗用_軽油,係数_乗用_メタノール,係数_乗用_LPG),125,5,BE129),4,FALSE)))))</f>
        <v/>
      </c>
      <c r="AL129" s="461" t="str">
        <f t="shared" si="88"/>
        <v/>
      </c>
      <c r="AM129" s="460" t="str">
        <f>IF(AU129="","",IF(OR(AZ129=8,AZ129=9),0,IF(OR(AW129=3,AW129=4,AW129=5,AW129=6),IF(LEFT(BH129,1)="1",INDEX(係数_PM低減,MATCH(AY129,【参考】排出係数!$AI$801:$AI$804,1),MATCH(BI129,【参考】排出係数!$AL$798:$AO$798,1)),VLOOKUP(AU129,INDEX((係数_バス貨物_ガソリン,係数_バス貨物_CNG,係数_バス貨物_軽油,係数_バス貨物_メタノール,係数_バス貨物_LPG),MATCH(AY129,【参考】排出係数!$AI$4:$AI$671,1),1,BE129):INDEX((係数_バス貨物_ガソリン,係数_バス貨物_CNG,係数_バス貨物_軽油,係数_バス貨物_メタノール,係数_バス貨物_LPG),MATCH(AY129+1,【参考】排出係数!$AI$4:$AI$671,1)-1,5,BE129),5,FALSE)),IF(AND(BE129=3,LEFT(BF129,1)="1"),0.055,VLOOKUP(AU129,INDEX((係数_乗用_ガソリン,係数_乗用_CNG,係数_乗用_軽油,係数_乗用_メタノール,係数_乗用_LPG),1,1,BE129):INDEX((係数_乗用_ガソリン,係数_乗用_CNG,係数_乗用_軽油,係数_乗用_メタノール,係数_乗用_LPG),125,5,BE129),5,FALSE)))))</f>
        <v/>
      </c>
      <c r="AN129" s="461" t="str">
        <f t="shared" si="89"/>
        <v/>
      </c>
      <c r="AO129" s="462" t="str">
        <f t="shared" si="90"/>
        <v/>
      </c>
      <c r="AP129" s="463" t="str">
        <f t="shared" si="91"/>
        <v/>
      </c>
      <c r="AQ129" s="464"/>
      <c r="AR129" s="619"/>
      <c r="AS129" s="465" t="str">
        <f t="shared" si="70"/>
        <v/>
      </c>
      <c r="AT129" s="465" t="str">
        <f t="shared" si="71"/>
        <v/>
      </c>
      <c r="AU129" s="466" t="str">
        <f t="shared" si="72"/>
        <v/>
      </c>
      <c r="AV129" s="467" t="str">
        <f t="shared" si="73"/>
        <v/>
      </c>
      <c r="AW129" s="467" t="str">
        <f t="shared" si="74"/>
        <v/>
      </c>
      <c r="AX129" s="467" t="str">
        <f t="shared" si="75"/>
        <v/>
      </c>
      <c r="AY129" s="467" t="str">
        <f t="shared" si="76"/>
        <v/>
      </c>
      <c r="AZ129" s="467" t="str">
        <f t="shared" si="77"/>
        <v/>
      </c>
      <c r="BA129" s="468" t="str">
        <f>IF(AS129="","",IF(OR(AU129="",AU129="-"),"－",IF(OR(AZ129=8,AZ129=9),"",IF(OR(AW129=3,AW129=4,AW129=5,AW129=6),VLOOKUP(AU129,INDEX((係数_バス貨物_ガソリン,係数_バス貨物_CNG,係数_バス貨物_軽油,係数_バス貨物_メタノール,係数_バス貨物_LPG),MATCH(AY129,【参考】排出係数!$AI$4:$AI$671,1),1,BE129):INDEX((係数_バス貨物_ガソリン,係数_バス貨物_CNG,係数_バス貨物_軽油,係数_バス貨物_メタノール,係数_バス貨物_LPG),MATCH(AY129+1,【参考】排出係数!$AI$4:$AI$671,1)-1,5,BE129),2,FALSE),IF(OR(AW129=1,AW129=2),VLOOKUP(AU129,INDEX((係数_乗用_ガソリン,係数_乗用_CNG,係数_乗用_軽油,係数_乗用_メタノール,係数_乗用_LPG),1,1,BE129):INDEX((係数_乗用_ガソリン,係数_乗用_CNG,係数_乗用_軽油,係数_乗用_メタノール,係数_乗用_LPG),125,5,BE129),2,FALSE))))))</f>
        <v/>
      </c>
      <c r="BB129" s="468" t="str">
        <f>IF(T129="","",IF(OR(AU129="",AU129="-"),"－",IF(OR(AZ129=8,AZ129=9),"",IF(OR(AW129=3,AW129=4,AW129=5,AW129=6),VLOOKUP(AU129,INDEX((係数_バス貨物_ガソリン,係数_バス貨物_CNG,係数_バス貨物_軽油,係数_バス貨物_メタノール,係数_バス貨物_LPG),MATCH(AY129,【参考】排出係数!$AI$4:$AI$671,1),1,BE129):INDEX((係数_バス貨物_ガソリン,係数_バス貨物_CNG,係数_バス貨物_軽油,係数_バス貨物_メタノール,係数_バス貨物_LPG),MATCH(AY129+1,【参考】排出係数!$AI$4:$AI$671,1)-1,5,BE129),3,FALSE),IF(OR(AW129=1,AW129=2),VLOOKUP(AU129,INDEX((係数_乗用_ガソリン,係数_乗用_CNG,係数_乗用_軽油,係数_乗用_メタノール,係数_乗用_LPG),1,1,BE129):INDEX((係数_乗用_ガソリン,係数_乗用_CNG,係数_乗用_軽油,係数_乗用_メタノール,係数_乗用_LPG),125,5,BE129),3,FALSE))))))</f>
        <v/>
      </c>
      <c r="BC129" s="467" t="str">
        <f t="shared" si="78"/>
        <v/>
      </c>
      <c r="BD129" s="567" t="str">
        <f t="shared" si="79"/>
        <v/>
      </c>
      <c r="BE129" s="467" t="str">
        <f t="shared" si="80"/>
        <v/>
      </c>
      <c r="BF129" s="469" t="str">
        <f t="shared" ca="1" si="81"/>
        <v/>
      </c>
      <c r="BG129" s="469" t="str">
        <f t="shared" ca="1" si="82"/>
        <v/>
      </c>
      <c r="BH129" s="467" t="str">
        <f t="shared" si="83"/>
        <v/>
      </c>
      <c r="BI129" s="467" t="str">
        <f t="shared" ca="1" si="84"/>
        <v/>
      </c>
      <c r="BJ129" s="469" t="str">
        <f t="shared" si="85"/>
        <v/>
      </c>
      <c r="BK129" s="470" t="str">
        <f t="shared" si="65"/>
        <v/>
      </c>
      <c r="BL129" s="775" t="str">
        <f t="shared" si="86"/>
        <v/>
      </c>
      <c r="BM129" s="775" t="str">
        <f t="shared" si="87"/>
        <v/>
      </c>
      <c r="BO129" s="472"/>
    </row>
    <row r="130" spans="1:67" s="471" customFormat="1" ht="13.5" customHeight="1">
      <c r="A130" s="473">
        <v>74</v>
      </c>
      <c r="B130" s="132"/>
      <c r="C130" s="332"/>
      <c r="D130" s="333"/>
      <c r="E130" s="333"/>
      <c r="F130" s="334"/>
      <c r="G130" s="337"/>
      <c r="H130" s="131"/>
      <c r="I130" s="337"/>
      <c r="J130" s="131"/>
      <c r="K130" s="458" t="str">
        <f t="shared" si="54"/>
        <v/>
      </c>
      <c r="L130" s="458">
        <f t="shared" si="66"/>
        <v>0</v>
      </c>
      <c r="M130" s="458">
        <f t="shared" si="67"/>
        <v>0</v>
      </c>
      <c r="N130" s="459" t="str">
        <f t="shared" si="55"/>
        <v/>
      </c>
      <c r="O130" s="459" t="str">
        <f t="shared" si="56"/>
        <v/>
      </c>
      <c r="P130" s="459" t="str">
        <f t="shared" si="57"/>
        <v/>
      </c>
      <c r="Q130" s="459" t="str">
        <f t="shared" si="58"/>
        <v/>
      </c>
      <c r="R130" s="459" t="str">
        <f t="shared" si="59"/>
        <v/>
      </c>
      <c r="S130" s="459" t="str">
        <f t="shared" si="60"/>
        <v/>
      </c>
      <c r="T130" s="566" t="str">
        <f t="shared" si="68"/>
        <v/>
      </c>
      <c r="U130" s="702"/>
      <c r="V130" s="132"/>
      <c r="W130" s="133"/>
      <c r="X130" s="134"/>
      <c r="Y130" s="135"/>
      <c r="Z130" s="137"/>
      <c r="AA130" s="136"/>
      <c r="AB130" s="566" t="str">
        <f t="shared" si="61"/>
        <v/>
      </c>
      <c r="AC130" s="568" t="str">
        <f t="shared" si="69"/>
        <v/>
      </c>
      <c r="AD130" s="137"/>
      <c r="AE130" s="137"/>
      <c r="AF130" s="138"/>
      <c r="AG130" s="138"/>
      <c r="AH130" s="592" t="str">
        <f t="shared" si="62"/>
        <v/>
      </c>
      <c r="AI130" s="592" t="str">
        <f t="shared" si="63"/>
        <v/>
      </c>
      <c r="AJ130" s="592" t="str">
        <f t="shared" si="64"/>
        <v/>
      </c>
      <c r="AK130" s="460" t="str">
        <f>IF(AU130="","",IF(OR(AZ130=8,AZ130=9),0,IF(OR(AW130=3,AW130=4,AW130=5,AW130=6),IF(LEFT(BF130,1)="1",INDEX(係数_NOX・PM低減,MATCH(AY130,【参考】排出係数!$AI$801:$AI$804,1),1),VLOOKUP(AU130,INDEX((係数_バス貨物_ガソリン,係数_バス貨物_CNG,係数_バス貨物_軽油,係数_バス貨物_メタノール,係数_バス貨物_LPG),MATCH(AY130,【参考】排出係数!$AI$4:$AI$671,1),1,BE130):INDEX((係数_バス貨物_ガソリン,係数_バス貨物_CNG,係数_バス貨物_軽油,係数_バス貨物_メタノール,係数_バス貨物_LPG),MATCH(AY130+1,【参考】排出係数!$AI$4:$AI$671,1)-1,5,BE130),4,FALSE)),IF(AND(BE130=3,LEFT(BF130,1)="1"),0.48,VLOOKUP(AU130,INDEX((係数_乗用_ガソリン,係数_乗用_CNG,係数_乗用_軽油,係数_乗用_メタノール,係数_乗用_LPG),1,1,BE130):INDEX((係数_乗用_ガソリン,係数_乗用_CNG,係数_乗用_軽油,係数_乗用_メタノール,係数_乗用_LPG),125,5,BE130),4,FALSE)))))</f>
        <v/>
      </c>
      <c r="AL130" s="461" t="str">
        <f t="shared" si="88"/>
        <v/>
      </c>
      <c r="AM130" s="460" t="str">
        <f>IF(AU130="","",IF(OR(AZ130=8,AZ130=9),0,IF(OR(AW130=3,AW130=4,AW130=5,AW130=6),IF(LEFT(BH130,1)="1",INDEX(係数_PM低減,MATCH(AY130,【参考】排出係数!$AI$801:$AI$804,1),MATCH(BI130,【参考】排出係数!$AL$798:$AO$798,1)),VLOOKUP(AU130,INDEX((係数_バス貨物_ガソリン,係数_バス貨物_CNG,係数_バス貨物_軽油,係数_バス貨物_メタノール,係数_バス貨物_LPG),MATCH(AY130,【参考】排出係数!$AI$4:$AI$671,1),1,BE130):INDEX((係数_バス貨物_ガソリン,係数_バス貨物_CNG,係数_バス貨物_軽油,係数_バス貨物_メタノール,係数_バス貨物_LPG),MATCH(AY130+1,【参考】排出係数!$AI$4:$AI$671,1)-1,5,BE130),5,FALSE)),IF(AND(BE130=3,LEFT(BF130,1)="1"),0.055,VLOOKUP(AU130,INDEX((係数_乗用_ガソリン,係数_乗用_CNG,係数_乗用_軽油,係数_乗用_メタノール,係数_乗用_LPG),1,1,BE130):INDEX((係数_乗用_ガソリン,係数_乗用_CNG,係数_乗用_軽油,係数_乗用_メタノール,係数_乗用_LPG),125,5,BE130),5,FALSE)))))</f>
        <v/>
      </c>
      <c r="AN130" s="461" t="str">
        <f t="shared" si="89"/>
        <v/>
      </c>
      <c r="AO130" s="462" t="str">
        <f t="shared" si="90"/>
        <v/>
      </c>
      <c r="AP130" s="463" t="str">
        <f t="shared" si="91"/>
        <v/>
      </c>
      <c r="AQ130" s="464"/>
      <c r="AR130" s="619"/>
      <c r="AS130" s="465" t="str">
        <f t="shared" si="70"/>
        <v/>
      </c>
      <c r="AT130" s="465" t="str">
        <f t="shared" si="71"/>
        <v/>
      </c>
      <c r="AU130" s="466" t="str">
        <f t="shared" si="72"/>
        <v/>
      </c>
      <c r="AV130" s="467" t="str">
        <f t="shared" si="73"/>
        <v/>
      </c>
      <c r="AW130" s="467" t="str">
        <f t="shared" si="74"/>
        <v/>
      </c>
      <c r="AX130" s="467" t="str">
        <f t="shared" si="75"/>
        <v/>
      </c>
      <c r="AY130" s="467" t="str">
        <f t="shared" si="76"/>
        <v/>
      </c>
      <c r="AZ130" s="467" t="str">
        <f t="shared" si="77"/>
        <v/>
      </c>
      <c r="BA130" s="468" t="str">
        <f>IF(AS130="","",IF(OR(AU130="",AU130="-"),"－",IF(OR(AZ130=8,AZ130=9),"",IF(OR(AW130=3,AW130=4,AW130=5,AW130=6),VLOOKUP(AU130,INDEX((係数_バス貨物_ガソリン,係数_バス貨物_CNG,係数_バス貨物_軽油,係数_バス貨物_メタノール,係数_バス貨物_LPG),MATCH(AY130,【参考】排出係数!$AI$4:$AI$671,1),1,BE130):INDEX((係数_バス貨物_ガソリン,係数_バス貨物_CNG,係数_バス貨物_軽油,係数_バス貨物_メタノール,係数_バス貨物_LPG),MATCH(AY130+1,【参考】排出係数!$AI$4:$AI$671,1)-1,5,BE130),2,FALSE),IF(OR(AW130=1,AW130=2),VLOOKUP(AU130,INDEX((係数_乗用_ガソリン,係数_乗用_CNG,係数_乗用_軽油,係数_乗用_メタノール,係数_乗用_LPG),1,1,BE130):INDEX((係数_乗用_ガソリン,係数_乗用_CNG,係数_乗用_軽油,係数_乗用_メタノール,係数_乗用_LPG),125,5,BE130),2,FALSE))))))</f>
        <v/>
      </c>
      <c r="BB130" s="468" t="str">
        <f>IF(T130="","",IF(OR(AU130="",AU130="-"),"－",IF(OR(AZ130=8,AZ130=9),"",IF(OR(AW130=3,AW130=4,AW130=5,AW130=6),VLOOKUP(AU130,INDEX((係数_バス貨物_ガソリン,係数_バス貨物_CNG,係数_バス貨物_軽油,係数_バス貨物_メタノール,係数_バス貨物_LPG),MATCH(AY130,【参考】排出係数!$AI$4:$AI$671,1),1,BE130):INDEX((係数_バス貨物_ガソリン,係数_バス貨物_CNG,係数_バス貨物_軽油,係数_バス貨物_メタノール,係数_バス貨物_LPG),MATCH(AY130+1,【参考】排出係数!$AI$4:$AI$671,1)-1,5,BE130),3,FALSE),IF(OR(AW130=1,AW130=2),VLOOKUP(AU130,INDEX((係数_乗用_ガソリン,係数_乗用_CNG,係数_乗用_軽油,係数_乗用_メタノール,係数_乗用_LPG),1,1,BE130):INDEX((係数_乗用_ガソリン,係数_乗用_CNG,係数_乗用_軽油,係数_乗用_メタノール,係数_乗用_LPG),125,5,BE130),3,FALSE))))))</f>
        <v/>
      </c>
      <c r="BC130" s="467" t="str">
        <f t="shared" si="78"/>
        <v/>
      </c>
      <c r="BD130" s="567" t="str">
        <f t="shared" si="79"/>
        <v/>
      </c>
      <c r="BE130" s="467" t="str">
        <f t="shared" si="80"/>
        <v/>
      </c>
      <c r="BF130" s="469" t="str">
        <f t="shared" ca="1" si="81"/>
        <v/>
      </c>
      <c r="BG130" s="469" t="str">
        <f t="shared" ca="1" si="82"/>
        <v/>
      </c>
      <c r="BH130" s="467" t="str">
        <f t="shared" si="83"/>
        <v/>
      </c>
      <c r="BI130" s="467" t="str">
        <f t="shared" ca="1" si="84"/>
        <v/>
      </c>
      <c r="BJ130" s="469" t="str">
        <f t="shared" si="85"/>
        <v/>
      </c>
      <c r="BK130" s="470" t="str">
        <f t="shared" si="65"/>
        <v/>
      </c>
      <c r="BL130" s="775" t="str">
        <f t="shared" si="86"/>
        <v/>
      </c>
      <c r="BM130" s="775" t="str">
        <f t="shared" si="87"/>
        <v/>
      </c>
      <c r="BO130" s="472"/>
    </row>
    <row r="131" spans="1:67" s="471" customFormat="1" ht="13.5" customHeight="1">
      <c r="A131" s="473">
        <v>75</v>
      </c>
      <c r="B131" s="132"/>
      <c r="C131" s="332"/>
      <c r="D131" s="333"/>
      <c r="E131" s="333"/>
      <c r="F131" s="334"/>
      <c r="G131" s="337"/>
      <c r="H131" s="131"/>
      <c r="I131" s="337"/>
      <c r="J131" s="131"/>
      <c r="K131" s="458" t="str">
        <f t="shared" si="54"/>
        <v/>
      </c>
      <c r="L131" s="458">
        <f t="shared" si="66"/>
        <v>0</v>
      </c>
      <c r="M131" s="458">
        <f t="shared" si="67"/>
        <v>0</v>
      </c>
      <c r="N131" s="459" t="str">
        <f t="shared" si="55"/>
        <v/>
      </c>
      <c r="O131" s="459" t="str">
        <f t="shared" si="56"/>
        <v/>
      </c>
      <c r="P131" s="459" t="str">
        <f t="shared" si="57"/>
        <v/>
      </c>
      <c r="Q131" s="459" t="str">
        <f t="shared" si="58"/>
        <v/>
      </c>
      <c r="R131" s="459" t="str">
        <f t="shared" si="59"/>
        <v/>
      </c>
      <c r="S131" s="459" t="str">
        <f t="shared" si="60"/>
        <v/>
      </c>
      <c r="T131" s="566" t="str">
        <f t="shared" si="68"/>
        <v/>
      </c>
      <c r="U131" s="702"/>
      <c r="V131" s="132"/>
      <c r="W131" s="133"/>
      <c r="X131" s="134"/>
      <c r="Y131" s="135"/>
      <c r="Z131" s="137"/>
      <c r="AA131" s="136"/>
      <c r="AB131" s="566" t="str">
        <f t="shared" si="61"/>
        <v/>
      </c>
      <c r="AC131" s="568" t="str">
        <f t="shared" si="69"/>
        <v/>
      </c>
      <c r="AD131" s="137"/>
      <c r="AE131" s="137"/>
      <c r="AF131" s="138"/>
      <c r="AG131" s="138"/>
      <c r="AH131" s="592" t="str">
        <f t="shared" si="62"/>
        <v/>
      </c>
      <c r="AI131" s="592" t="str">
        <f t="shared" si="63"/>
        <v/>
      </c>
      <c r="AJ131" s="592" t="str">
        <f t="shared" si="64"/>
        <v/>
      </c>
      <c r="AK131" s="460" t="str">
        <f>IF(AU131="","",IF(OR(AZ131=8,AZ131=9),0,IF(OR(AW131=3,AW131=4,AW131=5,AW131=6),IF(LEFT(BF131,1)="1",INDEX(係数_NOX・PM低減,MATCH(AY131,【参考】排出係数!$AI$801:$AI$804,1),1),VLOOKUP(AU131,INDEX((係数_バス貨物_ガソリン,係数_バス貨物_CNG,係数_バス貨物_軽油,係数_バス貨物_メタノール,係数_バス貨物_LPG),MATCH(AY131,【参考】排出係数!$AI$4:$AI$671,1),1,BE131):INDEX((係数_バス貨物_ガソリン,係数_バス貨物_CNG,係数_バス貨物_軽油,係数_バス貨物_メタノール,係数_バス貨物_LPG),MATCH(AY131+1,【参考】排出係数!$AI$4:$AI$671,1)-1,5,BE131),4,FALSE)),IF(AND(BE131=3,LEFT(BF131,1)="1"),0.48,VLOOKUP(AU131,INDEX((係数_乗用_ガソリン,係数_乗用_CNG,係数_乗用_軽油,係数_乗用_メタノール,係数_乗用_LPG),1,1,BE131):INDEX((係数_乗用_ガソリン,係数_乗用_CNG,係数_乗用_軽油,係数_乗用_メタノール,係数_乗用_LPG),125,5,BE131),4,FALSE)))))</f>
        <v/>
      </c>
      <c r="AL131" s="461" t="str">
        <f t="shared" si="88"/>
        <v/>
      </c>
      <c r="AM131" s="460" t="str">
        <f>IF(AU131="","",IF(OR(AZ131=8,AZ131=9),0,IF(OR(AW131=3,AW131=4,AW131=5,AW131=6),IF(LEFT(BH131,1)="1",INDEX(係数_PM低減,MATCH(AY131,【参考】排出係数!$AI$801:$AI$804,1),MATCH(BI131,【参考】排出係数!$AL$798:$AO$798,1)),VLOOKUP(AU131,INDEX((係数_バス貨物_ガソリン,係数_バス貨物_CNG,係数_バス貨物_軽油,係数_バス貨物_メタノール,係数_バス貨物_LPG),MATCH(AY131,【参考】排出係数!$AI$4:$AI$671,1),1,BE131):INDEX((係数_バス貨物_ガソリン,係数_バス貨物_CNG,係数_バス貨物_軽油,係数_バス貨物_メタノール,係数_バス貨物_LPG),MATCH(AY131+1,【参考】排出係数!$AI$4:$AI$671,1)-1,5,BE131),5,FALSE)),IF(AND(BE131=3,LEFT(BF131,1)="1"),0.055,VLOOKUP(AU131,INDEX((係数_乗用_ガソリン,係数_乗用_CNG,係数_乗用_軽油,係数_乗用_メタノール,係数_乗用_LPG),1,1,BE131):INDEX((係数_乗用_ガソリン,係数_乗用_CNG,係数_乗用_軽油,係数_乗用_メタノール,係数_乗用_LPG),125,5,BE131),5,FALSE)))))</f>
        <v/>
      </c>
      <c r="AN131" s="461" t="str">
        <f t="shared" si="89"/>
        <v/>
      </c>
      <c r="AO131" s="462" t="str">
        <f t="shared" si="90"/>
        <v/>
      </c>
      <c r="AP131" s="463" t="str">
        <f t="shared" si="91"/>
        <v/>
      </c>
      <c r="AQ131" s="464"/>
      <c r="AR131" s="619"/>
      <c r="AS131" s="465" t="str">
        <f t="shared" si="70"/>
        <v/>
      </c>
      <c r="AT131" s="465" t="str">
        <f t="shared" si="71"/>
        <v/>
      </c>
      <c r="AU131" s="466" t="str">
        <f t="shared" si="72"/>
        <v/>
      </c>
      <c r="AV131" s="467" t="str">
        <f t="shared" si="73"/>
        <v/>
      </c>
      <c r="AW131" s="467" t="str">
        <f t="shared" si="74"/>
        <v/>
      </c>
      <c r="AX131" s="467" t="str">
        <f t="shared" si="75"/>
        <v/>
      </c>
      <c r="AY131" s="467" t="str">
        <f t="shared" si="76"/>
        <v/>
      </c>
      <c r="AZ131" s="467" t="str">
        <f t="shared" si="77"/>
        <v/>
      </c>
      <c r="BA131" s="468" t="str">
        <f>IF(AS131="","",IF(OR(AU131="",AU131="-"),"－",IF(OR(AZ131=8,AZ131=9),"",IF(OR(AW131=3,AW131=4,AW131=5,AW131=6),VLOOKUP(AU131,INDEX((係数_バス貨物_ガソリン,係数_バス貨物_CNG,係数_バス貨物_軽油,係数_バス貨物_メタノール,係数_バス貨物_LPG),MATCH(AY131,【参考】排出係数!$AI$4:$AI$671,1),1,BE131):INDEX((係数_バス貨物_ガソリン,係数_バス貨物_CNG,係数_バス貨物_軽油,係数_バス貨物_メタノール,係数_バス貨物_LPG),MATCH(AY131+1,【参考】排出係数!$AI$4:$AI$671,1)-1,5,BE131),2,FALSE),IF(OR(AW131=1,AW131=2),VLOOKUP(AU131,INDEX((係数_乗用_ガソリン,係数_乗用_CNG,係数_乗用_軽油,係数_乗用_メタノール,係数_乗用_LPG),1,1,BE131):INDEX((係数_乗用_ガソリン,係数_乗用_CNG,係数_乗用_軽油,係数_乗用_メタノール,係数_乗用_LPG),125,5,BE131),2,FALSE))))))</f>
        <v/>
      </c>
      <c r="BB131" s="468" t="str">
        <f>IF(T131="","",IF(OR(AU131="",AU131="-"),"－",IF(OR(AZ131=8,AZ131=9),"",IF(OR(AW131=3,AW131=4,AW131=5,AW131=6),VLOOKUP(AU131,INDEX((係数_バス貨物_ガソリン,係数_バス貨物_CNG,係数_バス貨物_軽油,係数_バス貨物_メタノール,係数_バス貨物_LPG),MATCH(AY131,【参考】排出係数!$AI$4:$AI$671,1),1,BE131):INDEX((係数_バス貨物_ガソリン,係数_バス貨物_CNG,係数_バス貨物_軽油,係数_バス貨物_メタノール,係数_バス貨物_LPG),MATCH(AY131+1,【参考】排出係数!$AI$4:$AI$671,1)-1,5,BE131),3,FALSE),IF(OR(AW131=1,AW131=2),VLOOKUP(AU131,INDEX((係数_乗用_ガソリン,係数_乗用_CNG,係数_乗用_軽油,係数_乗用_メタノール,係数_乗用_LPG),1,1,BE131):INDEX((係数_乗用_ガソリン,係数_乗用_CNG,係数_乗用_軽油,係数_乗用_メタノール,係数_乗用_LPG),125,5,BE131),3,FALSE))))))</f>
        <v/>
      </c>
      <c r="BC131" s="467" t="str">
        <f t="shared" si="78"/>
        <v/>
      </c>
      <c r="BD131" s="567" t="str">
        <f t="shared" si="79"/>
        <v/>
      </c>
      <c r="BE131" s="467" t="str">
        <f t="shared" si="80"/>
        <v/>
      </c>
      <c r="BF131" s="469" t="str">
        <f t="shared" ca="1" si="81"/>
        <v/>
      </c>
      <c r="BG131" s="469" t="str">
        <f t="shared" ca="1" si="82"/>
        <v/>
      </c>
      <c r="BH131" s="467" t="str">
        <f t="shared" si="83"/>
        <v/>
      </c>
      <c r="BI131" s="467" t="str">
        <f t="shared" ca="1" si="84"/>
        <v/>
      </c>
      <c r="BJ131" s="469" t="str">
        <f t="shared" si="85"/>
        <v/>
      </c>
      <c r="BK131" s="470" t="str">
        <f t="shared" si="65"/>
        <v/>
      </c>
      <c r="BL131" s="775" t="str">
        <f t="shared" si="86"/>
        <v/>
      </c>
      <c r="BM131" s="775" t="str">
        <f t="shared" si="87"/>
        <v/>
      </c>
      <c r="BO131" s="472"/>
    </row>
    <row r="132" spans="1:67" s="471" customFormat="1" ht="13.5" customHeight="1">
      <c r="A132" s="473">
        <v>76</v>
      </c>
      <c r="B132" s="132"/>
      <c r="C132" s="332"/>
      <c r="D132" s="333"/>
      <c r="E132" s="333"/>
      <c r="F132" s="334"/>
      <c r="G132" s="337"/>
      <c r="H132" s="131"/>
      <c r="I132" s="337"/>
      <c r="J132" s="131"/>
      <c r="K132" s="458" t="str">
        <f t="shared" si="54"/>
        <v/>
      </c>
      <c r="L132" s="458">
        <f t="shared" si="66"/>
        <v>0</v>
      </c>
      <c r="M132" s="458">
        <f t="shared" si="67"/>
        <v>0</v>
      </c>
      <c r="N132" s="459" t="str">
        <f t="shared" si="55"/>
        <v/>
      </c>
      <c r="O132" s="459" t="str">
        <f t="shared" si="56"/>
        <v/>
      </c>
      <c r="P132" s="459" t="str">
        <f t="shared" si="57"/>
        <v/>
      </c>
      <c r="Q132" s="459" t="str">
        <f t="shared" si="58"/>
        <v/>
      </c>
      <c r="R132" s="459" t="str">
        <f t="shared" si="59"/>
        <v/>
      </c>
      <c r="S132" s="459" t="str">
        <f t="shared" si="60"/>
        <v/>
      </c>
      <c r="T132" s="566" t="str">
        <f t="shared" si="68"/>
        <v/>
      </c>
      <c r="U132" s="702"/>
      <c r="V132" s="132"/>
      <c r="W132" s="133"/>
      <c r="X132" s="134"/>
      <c r="Y132" s="135"/>
      <c r="Z132" s="137"/>
      <c r="AA132" s="136"/>
      <c r="AB132" s="566" t="str">
        <f t="shared" si="61"/>
        <v/>
      </c>
      <c r="AC132" s="568" t="str">
        <f t="shared" si="69"/>
        <v/>
      </c>
      <c r="AD132" s="137"/>
      <c r="AE132" s="137"/>
      <c r="AF132" s="138"/>
      <c r="AG132" s="138"/>
      <c r="AH132" s="592" t="str">
        <f t="shared" si="62"/>
        <v/>
      </c>
      <c r="AI132" s="592" t="str">
        <f t="shared" si="63"/>
        <v/>
      </c>
      <c r="AJ132" s="592" t="str">
        <f t="shared" si="64"/>
        <v/>
      </c>
      <c r="AK132" s="460" t="str">
        <f>IF(AU132="","",IF(OR(AZ132=8,AZ132=9),0,IF(OR(AW132=3,AW132=4,AW132=5,AW132=6),IF(LEFT(BF132,1)="1",INDEX(係数_NOX・PM低減,MATCH(AY132,【参考】排出係数!$AI$801:$AI$804,1),1),VLOOKUP(AU132,INDEX((係数_バス貨物_ガソリン,係数_バス貨物_CNG,係数_バス貨物_軽油,係数_バス貨物_メタノール,係数_バス貨物_LPG),MATCH(AY132,【参考】排出係数!$AI$4:$AI$671,1),1,BE132):INDEX((係数_バス貨物_ガソリン,係数_バス貨物_CNG,係数_バス貨物_軽油,係数_バス貨物_メタノール,係数_バス貨物_LPG),MATCH(AY132+1,【参考】排出係数!$AI$4:$AI$671,1)-1,5,BE132),4,FALSE)),IF(AND(BE132=3,LEFT(BF132,1)="1"),0.48,VLOOKUP(AU132,INDEX((係数_乗用_ガソリン,係数_乗用_CNG,係数_乗用_軽油,係数_乗用_メタノール,係数_乗用_LPG),1,1,BE132):INDEX((係数_乗用_ガソリン,係数_乗用_CNG,係数_乗用_軽油,係数_乗用_メタノール,係数_乗用_LPG),125,5,BE132),4,FALSE)))))</f>
        <v/>
      </c>
      <c r="AL132" s="461" t="str">
        <f t="shared" si="88"/>
        <v/>
      </c>
      <c r="AM132" s="460" t="str">
        <f>IF(AU132="","",IF(OR(AZ132=8,AZ132=9),0,IF(OR(AW132=3,AW132=4,AW132=5,AW132=6),IF(LEFT(BH132,1)="1",INDEX(係数_PM低減,MATCH(AY132,【参考】排出係数!$AI$801:$AI$804,1),MATCH(BI132,【参考】排出係数!$AL$798:$AO$798,1)),VLOOKUP(AU132,INDEX((係数_バス貨物_ガソリン,係数_バス貨物_CNG,係数_バス貨物_軽油,係数_バス貨物_メタノール,係数_バス貨物_LPG),MATCH(AY132,【参考】排出係数!$AI$4:$AI$671,1),1,BE132):INDEX((係数_バス貨物_ガソリン,係数_バス貨物_CNG,係数_バス貨物_軽油,係数_バス貨物_メタノール,係数_バス貨物_LPG),MATCH(AY132+1,【参考】排出係数!$AI$4:$AI$671,1)-1,5,BE132),5,FALSE)),IF(AND(BE132=3,LEFT(BF132,1)="1"),0.055,VLOOKUP(AU132,INDEX((係数_乗用_ガソリン,係数_乗用_CNG,係数_乗用_軽油,係数_乗用_メタノール,係数_乗用_LPG),1,1,BE132):INDEX((係数_乗用_ガソリン,係数_乗用_CNG,係数_乗用_軽油,係数_乗用_メタノール,係数_乗用_LPG),125,5,BE132),5,FALSE)))))</f>
        <v/>
      </c>
      <c r="AN132" s="461" t="str">
        <f t="shared" si="89"/>
        <v/>
      </c>
      <c r="AO132" s="462" t="str">
        <f t="shared" si="90"/>
        <v/>
      </c>
      <c r="AP132" s="463" t="str">
        <f t="shared" si="91"/>
        <v/>
      </c>
      <c r="AQ132" s="464"/>
      <c r="AR132" s="619"/>
      <c r="AS132" s="465" t="str">
        <f t="shared" si="70"/>
        <v/>
      </c>
      <c r="AT132" s="465" t="str">
        <f t="shared" si="71"/>
        <v/>
      </c>
      <c r="AU132" s="466" t="str">
        <f t="shared" si="72"/>
        <v/>
      </c>
      <c r="AV132" s="467" t="str">
        <f t="shared" si="73"/>
        <v/>
      </c>
      <c r="AW132" s="467" t="str">
        <f t="shared" si="74"/>
        <v/>
      </c>
      <c r="AX132" s="467" t="str">
        <f t="shared" si="75"/>
        <v/>
      </c>
      <c r="AY132" s="467" t="str">
        <f t="shared" si="76"/>
        <v/>
      </c>
      <c r="AZ132" s="467" t="str">
        <f t="shared" si="77"/>
        <v/>
      </c>
      <c r="BA132" s="468" t="str">
        <f>IF(AS132="","",IF(OR(AU132="",AU132="-"),"－",IF(OR(AZ132=8,AZ132=9),"",IF(OR(AW132=3,AW132=4,AW132=5,AW132=6),VLOOKUP(AU132,INDEX((係数_バス貨物_ガソリン,係数_バス貨物_CNG,係数_バス貨物_軽油,係数_バス貨物_メタノール,係数_バス貨物_LPG),MATCH(AY132,【参考】排出係数!$AI$4:$AI$671,1),1,BE132):INDEX((係数_バス貨物_ガソリン,係数_バス貨物_CNG,係数_バス貨物_軽油,係数_バス貨物_メタノール,係数_バス貨物_LPG),MATCH(AY132+1,【参考】排出係数!$AI$4:$AI$671,1)-1,5,BE132),2,FALSE),IF(OR(AW132=1,AW132=2),VLOOKUP(AU132,INDEX((係数_乗用_ガソリン,係数_乗用_CNG,係数_乗用_軽油,係数_乗用_メタノール,係数_乗用_LPG),1,1,BE132):INDEX((係数_乗用_ガソリン,係数_乗用_CNG,係数_乗用_軽油,係数_乗用_メタノール,係数_乗用_LPG),125,5,BE132),2,FALSE))))))</f>
        <v/>
      </c>
      <c r="BB132" s="468" t="str">
        <f>IF(T132="","",IF(OR(AU132="",AU132="-"),"－",IF(OR(AZ132=8,AZ132=9),"",IF(OR(AW132=3,AW132=4,AW132=5,AW132=6),VLOOKUP(AU132,INDEX((係数_バス貨物_ガソリン,係数_バス貨物_CNG,係数_バス貨物_軽油,係数_バス貨物_メタノール,係数_バス貨物_LPG),MATCH(AY132,【参考】排出係数!$AI$4:$AI$671,1),1,BE132):INDEX((係数_バス貨物_ガソリン,係数_バス貨物_CNG,係数_バス貨物_軽油,係数_バス貨物_メタノール,係数_バス貨物_LPG),MATCH(AY132+1,【参考】排出係数!$AI$4:$AI$671,1)-1,5,BE132),3,FALSE),IF(OR(AW132=1,AW132=2),VLOOKUP(AU132,INDEX((係数_乗用_ガソリン,係数_乗用_CNG,係数_乗用_軽油,係数_乗用_メタノール,係数_乗用_LPG),1,1,BE132):INDEX((係数_乗用_ガソリン,係数_乗用_CNG,係数_乗用_軽油,係数_乗用_メタノール,係数_乗用_LPG),125,5,BE132),3,FALSE))))))</f>
        <v/>
      </c>
      <c r="BC132" s="467" t="str">
        <f t="shared" si="78"/>
        <v/>
      </c>
      <c r="BD132" s="567" t="str">
        <f t="shared" si="79"/>
        <v/>
      </c>
      <c r="BE132" s="467" t="str">
        <f t="shared" si="80"/>
        <v/>
      </c>
      <c r="BF132" s="469" t="str">
        <f t="shared" ca="1" si="81"/>
        <v/>
      </c>
      <c r="BG132" s="469" t="str">
        <f t="shared" ca="1" si="82"/>
        <v/>
      </c>
      <c r="BH132" s="467" t="str">
        <f t="shared" si="83"/>
        <v/>
      </c>
      <c r="BI132" s="467" t="str">
        <f t="shared" ca="1" si="84"/>
        <v/>
      </c>
      <c r="BJ132" s="469" t="str">
        <f t="shared" si="85"/>
        <v/>
      </c>
      <c r="BK132" s="470" t="str">
        <f t="shared" si="65"/>
        <v/>
      </c>
      <c r="BL132" s="775" t="str">
        <f t="shared" si="86"/>
        <v/>
      </c>
      <c r="BM132" s="775" t="str">
        <f t="shared" si="87"/>
        <v/>
      </c>
      <c r="BO132" s="472"/>
    </row>
    <row r="133" spans="1:67" s="471" customFormat="1" ht="13.5" customHeight="1">
      <c r="A133" s="473">
        <v>77</v>
      </c>
      <c r="B133" s="132"/>
      <c r="C133" s="332"/>
      <c r="D133" s="333"/>
      <c r="E133" s="333"/>
      <c r="F133" s="334"/>
      <c r="G133" s="337"/>
      <c r="H133" s="131"/>
      <c r="I133" s="337"/>
      <c r="J133" s="131"/>
      <c r="K133" s="458" t="str">
        <f t="shared" si="54"/>
        <v/>
      </c>
      <c r="L133" s="458">
        <f t="shared" si="66"/>
        <v>0</v>
      </c>
      <c r="M133" s="458">
        <f t="shared" si="67"/>
        <v>0</v>
      </c>
      <c r="N133" s="459" t="str">
        <f t="shared" si="55"/>
        <v/>
      </c>
      <c r="O133" s="459" t="str">
        <f t="shared" si="56"/>
        <v/>
      </c>
      <c r="P133" s="459" t="str">
        <f t="shared" si="57"/>
        <v/>
      </c>
      <c r="Q133" s="459" t="str">
        <f t="shared" si="58"/>
        <v/>
      </c>
      <c r="R133" s="459" t="str">
        <f t="shared" si="59"/>
        <v/>
      </c>
      <c r="S133" s="459" t="str">
        <f t="shared" si="60"/>
        <v/>
      </c>
      <c r="T133" s="566" t="str">
        <f t="shared" si="68"/>
        <v/>
      </c>
      <c r="U133" s="702"/>
      <c r="V133" s="132"/>
      <c r="W133" s="133"/>
      <c r="X133" s="134"/>
      <c r="Y133" s="135"/>
      <c r="Z133" s="137"/>
      <c r="AA133" s="136"/>
      <c r="AB133" s="566" t="str">
        <f t="shared" si="61"/>
        <v/>
      </c>
      <c r="AC133" s="568" t="str">
        <f t="shared" si="69"/>
        <v/>
      </c>
      <c r="AD133" s="137"/>
      <c r="AE133" s="137"/>
      <c r="AF133" s="138"/>
      <c r="AG133" s="138"/>
      <c r="AH133" s="592" t="str">
        <f t="shared" si="62"/>
        <v/>
      </c>
      <c r="AI133" s="592" t="str">
        <f t="shared" si="63"/>
        <v/>
      </c>
      <c r="AJ133" s="592" t="str">
        <f t="shared" si="64"/>
        <v/>
      </c>
      <c r="AK133" s="460" t="str">
        <f>IF(AU133="","",IF(OR(AZ133=8,AZ133=9),0,IF(OR(AW133=3,AW133=4,AW133=5,AW133=6),IF(LEFT(BF133,1)="1",INDEX(係数_NOX・PM低減,MATCH(AY133,【参考】排出係数!$AI$801:$AI$804,1),1),VLOOKUP(AU133,INDEX((係数_バス貨物_ガソリン,係数_バス貨物_CNG,係数_バス貨物_軽油,係数_バス貨物_メタノール,係数_バス貨物_LPG),MATCH(AY133,【参考】排出係数!$AI$4:$AI$671,1),1,BE133):INDEX((係数_バス貨物_ガソリン,係数_バス貨物_CNG,係数_バス貨物_軽油,係数_バス貨物_メタノール,係数_バス貨物_LPG),MATCH(AY133+1,【参考】排出係数!$AI$4:$AI$671,1)-1,5,BE133),4,FALSE)),IF(AND(BE133=3,LEFT(BF133,1)="1"),0.48,VLOOKUP(AU133,INDEX((係数_乗用_ガソリン,係数_乗用_CNG,係数_乗用_軽油,係数_乗用_メタノール,係数_乗用_LPG),1,1,BE133):INDEX((係数_乗用_ガソリン,係数_乗用_CNG,係数_乗用_軽油,係数_乗用_メタノール,係数_乗用_LPG),125,5,BE133),4,FALSE)))))</f>
        <v/>
      </c>
      <c r="AL133" s="461" t="str">
        <f t="shared" si="88"/>
        <v/>
      </c>
      <c r="AM133" s="460" t="str">
        <f>IF(AU133="","",IF(OR(AZ133=8,AZ133=9),0,IF(OR(AW133=3,AW133=4,AW133=5,AW133=6),IF(LEFT(BH133,1)="1",INDEX(係数_PM低減,MATCH(AY133,【参考】排出係数!$AI$801:$AI$804,1),MATCH(BI133,【参考】排出係数!$AL$798:$AO$798,1)),VLOOKUP(AU133,INDEX((係数_バス貨物_ガソリン,係数_バス貨物_CNG,係数_バス貨物_軽油,係数_バス貨物_メタノール,係数_バス貨物_LPG),MATCH(AY133,【参考】排出係数!$AI$4:$AI$671,1),1,BE133):INDEX((係数_バス貨物_ガソリン,係数_バス貨物_CNG,係数_バス貨物_軽油,係数_バス貨物_メタノール,係数_バス貨物_LPG),MATCH(AY133+1,【参考】排出係数!$AI$4:$AI$671,1)-1,5,BE133),5,FALSE)),IF(AND(BE133=3,LEFT(BF133,1)="1"),0.055,VLOOKUP(AU133,INDEX((係数_乗用_ガソリン,係数_乗用_CNG,係数_乗用_軽油,係数_乗用_メタノール,係数_乗用_LPG),1,1,BE133):INDEX((係数_乗用_ガソリン,係数_乗用_CNG,係数_乗用_軽油,係数_乗用_メタノール,係数_乗用_LPG),125,5,BE133),5,FALSE)))))</f>
        <v/>
      </c>
      <c r="AN133" s="461" t="str">
        <f t="shared" si="89"/>
        <v/>
      </c>
      <c r="AO133" s="462" t="str">
        <f t="shared" si="90"/>
        <v/>
      </c>
      <c r="AP133" s="463" t="str">
        <f t="shared" si="91"/>
        <v/>
      </c>
      <c r="AQ133" s="464"/>
      <c r="AR133" s="619"/>
      <c r="AS133" s="465" t="str">
        <f t="shared" si="70"/>
        <v/>
      </c>
      <c r="AT133" s="465" t="str">
        <f t="shared" si="71"/>
        <v/>
      </c>
      <c r="AU133" s="466" t="str">
        <f t="shared" si="72"/>
        <v/>
      </c>
      <c r="AV133" s="467" t="str">
        <f t="shared" si="73"/>
        <v/>
      </c>
      <c r="AW133" s="467" t="str">
        <f t="shared" si="74"/>
        <v/>
      </c>
      <c r="AX133" s="467" t="str">
        <f t="shared" si="75"/>
        <v/>
      </c>
      <c r="AY133" s="467" t="str">
        <f t="shared" si="76"/>
        <v/>
      </c>
      <c r="AZ133" s="467" t="str">
        <f t="shared" si="77"/>
        <v/>
      </c>
      <c r="BA133" s="468" t="str">
        <f>IF(AS133="","",IF(OR(AU133="",AU133="-"),"－",IF(OR(AZ133=8,AZ133=9),"",IF(OR(AW133=3,AW133=4,AW133=5,AW133=6),VLOOKUP(AU133,INDEX((係数_バス貨物_ガソリン,係数_バス貨物_CNG,係数_バス貨物_軽油,係数_バス貨物_メタノール,係数_バス貨物_LPG),MATCH(AY133,【参考】排出係数!$AI$4:$AI$671,1),1,BE133):INDEX((係数_バス貨物_ガソリン,係数_バス貨物_CNG,係数_バス貨物_軽油,係数_バス貨物_メタノール,係数_バス貨物_LPG),MATCH(AY133+1,【参考】排出係数!$AI$4:$AI$671,1)-1,5,BE133),2,FALSE),IF(OR(AW133=1,AW133=2),VLOOKUP(AU133,INDEX((係数_乗用_ガソリン,係数_乗用_CNG,係数_乗用_軽油,係数_乗用_メタノール,係数_乗用_LPG),1,1,BE133):INDEX((係数_乗用_ガソリン,係数_乗用_CNG,係数_乗用_軽油,係数_乗用_メタノール,係数_乗用_LPG),125,5,BE133),2,FALSE))))))</f>
        <v/>
      </c>
      <c r="BB133" s="468" t="str">
        <f>IF(T133="","",IF(OR(AU133="",AU133="-"),"－",IF(OR(AZ133=8,AZ133=9),"",IF(OR(AW133=3,AW133=4,AW133=5,AW133=6),VLOOKUP(AU133,INDEX((係数_バス貨物_ガソリン,係数_バス貨物_CNG,係数_バス貨物_軽油,係数_バス貨物_メタノール,係数_バス貨物_LPG),MATCH(AY133,【参考】排出係数!$AI$4:$AI$671,1),1,BE133):INDEX((係数_バス貨物_ガソリン,係数_バス貨物_CNG,係数_バス貨物_軽油,係数_バス貨物_メタノール,係数_バス貨物_LPG),MATCH(AY133+1,【参考】排出係数!$AI$4:$AI$671,1)-1,5,BE133),3,FALSE),IF(OR(AW133=1,AW133=2),VLOOKUP(AU133,INDEX((係数_乗用_ガソリン,係数_乗用_CNG,係数_乗用_軽油,係数_乗用_メタノール,係数_乗用_LPG),1,1,BE133):INDEX((係数_乗用_ガソリン,係数_乗用_CNG,係数_乗用_軽油,係数_乗用_メタノール,係数_乗用_LPG),125,5,BE133),3,FALSE))))))</f>
        <v/>
      </c>
      <c r="BC133" s="467" t="str">
        <f t="shared" si="78"/>
        <v/>
      </c>
      <c r="BD133" s="567" t="str">
        <f t="shared" si="79"/>
        <v/>
      </c>
      <c r="BE133" s="467" t="str">
        <f t="shared" si="80"/>
        <v/>
      </c>
      <c r="BF133" s="469" t="str">
        <f t="shared" ca="1" si="81"/>
        <v/>
      </c>
      <c r="BG133" s="469" t="str">
        <f t="shared" ca="1" si="82"/>
        <v/>
      </c>
      <c r="BH133" s="467" t="str">
        <f t="shared" si="83"/>
        <v/>
      </c>
      <c r="BI133" s="467" t="str">
        <f t="shared" ca="1" si="84"/>
        <v/>
      </c>
      <c r="BJ133" s="469" t="str">
        <f t="shared" si="85"/>
        <v/>
      </c>
      <c r="BK133" s="470" t="str">
        <f t="shared" si="65"/>
        <v/>
      </c>
      <c r="BL133" s="775" t="str">
        <f t="shared" si="86"/>
        <v/>
      </c>
      <c r="BM133" s="775" t="str">
        <f t="shared" si="87"/>
        <v/>
      </c>
      <c r="BO133" s="472"/>
    </row>
    <row r="134" spans="1:67" s="471" customFormat="1" ht="13.5" customHeight="1">
      <c r="A134" s="473">
        <v>78</v>
      </c>
      <c r="B134" s="132"/>
      <c r="C134" s="332"/>
      <c r="D134" s="333"/>
      <c r="E134" s="333"/>
      <c r="F134" s="334"/>
      <c r="G134" s="337"/>
      <c r="H134" s="131"/>
      <c r="I134" s="337"/>
      <c r="J134" s="131"/>
      <c r="K134" s="458" t="str">
        <f t="shared" si="54"/>
        <v/>
      </c>
      <c r="L134" s="458">
        <f t="shared" si="66"/>
        <v>0</v>
      </c>
      <c r="M134" s="458">
        <f t="shared" si="67"/>
        <v>0</v>
      </c>
      <c r="N134" s="459" t="str">
        <f t="shared" si="55"/>
        <v/>
      </c>
      <c r="O134" s="459" t="str">
        <f t="shared" si="56"/>
        <v/>
      </c>
      <c r="P134" s="459" t="str">
        <f t="shared" si="57"/>
        <v/>
      </c>
      <c r="Q134" s="459" t="str">
        <f t="shared" si="58"/>
        <v/>
      </c>
      <c r="R134" s="459" t="str">
        <f t="shared" si="59"/>
        <v/>
      </c>
      <c r="S134" s="459" t="str">
        <f t="shared" si="60"/>
        <v/>
      </c>
      <c r="T134" s="566" t="str">
        <f t="shared" si="68"/>
        <v/>
      </c>
      <c r="U134" s="702"/>
      <c r="V134" s="132"/>
      <c r="W134" s="133"/>
      <c r="X134" s="134"/>
      <c r="Y134" s="135"/>
      <c r="Z134" s="137"/>
      <c r="AA134" s="136"/>
      <c r="AB134" s="566" t="str">
        <f t="shared" si="61"/>
        <v/>
      </c>
      <c r="AC134" s="568" t="str">
        <f t="shared" si="69"/>
        <v/>
      </c>
      <c r="AD134" s="137"/>
      <c r="AE134" s="137"/>
      <c r="AF134" s="138"/>
      <c r="AG134" s="138"/>
      <c r="AH134" s="592" t="str">
        <f t="shared" si="62"/>
        <v/>
      </c>
      <c r="AI134" s="592" t="str">
        <f t="shared" si="63"/>
        <v/>
      </c>
      <c r="AJ134" s="592" t="str">
        <f t="shared" si="64"/>
        <v/>
      </c>
      <c r="AK134" s="460" t="str">
        <f>IF(AU134="","",IF(OR(AZ134=8,AZ134=9),0,IF(OR(AW134=3,AW134=4,AW134=5,AW134=6),IF(LEFT(BF134,1)="1",INDEX(係数_NOX・PM低減,MATCH(AY134,【参考】排出係数!$AI$801:$AI$804,1),1),VLOOKUP(AU134,INDEX((係数_バス貨物_ガソリン,係数_バス貨物_CNG,係数_バス貨物_軽油,係数_バス貨物_メタノール,係数_バス貨物_LPG),MATCH(AY134,【参考】排出係数!$AI$4:$AI$671,1),1,BE134):INDEX((係数_バス貨物_ガソリン,係数_バス貨物_CNG,係数_バス貨物_軽油,係数_バス貨物_メタノール,係数_バス貨物_LPG),MATCH(AY134+1,【参考】排出係数!$AI$4:$AI$671,1)-1,5,BE134),4,FALSE)),IF(AND(BE134=3,LEFT(BF134,1)="1"),0.48,VLOOKUP(AU134,INDEX((係数_乗用_ガソリン,係数_乗用_CNG,係数_乗用_軽油,係数_乗用_メタノール,係数_乗用_LPG),1,1,BE134):INDEX((係数_乗用_ガソリン,係数_乗用_CNG,係数_乗用_軽油,係数_乗用_メタノール,係数_乗用_LPG),125,5,BE134),4,FALSE)))))</f>
        <v/>
      </c>
      <c r="AL134" s="461" t="str">
        <f t="shared" si="88"/>
        <v/>
      </c>
      <c r="AM134" s="460" t="str">
        <f>IF(AU134="","",IF(OR(AZ134=8,AZ134=9),0,IF(OR(AW134=3,AW134=4,AW134=5,AW134=6),IF(LEFT(BH134,1)="1",INDEX(係数_PM低減,MATCH(AY134,【参考】排出係数!$AI$801:$AI$804,1),MATCH(BI134,【参考】排出係数!$AL$798:$AO$798,1)),VLOOKUP(AU134,INDEX((係数_バス貨物_ガソリン,係数_バス貨物_CNG,係数_バス貨物_軽油,係数_バス貨物_メタノール,係数_バス貨物_LPG),MATCH(AY134,【参考】排出係数!$AI$4:$AI$671,1),1,BE134):INDEX((係数_バス貨物_ガソリン,係数_バス貨物_CNG,係数_バス貨物_軽油,係数_バス貨物_メタノール,係数_バス貨物_LPG),MATCH(AY134+1,【参考】排出係数!$AI$4:$AI$671,1)-1,5,BE134),5,FALSE)),IF(AND(BE134=3,LEFT(BF134,1)="1"),0.055,VLOOKUP(AU134,INDEX((係数_乗用_ガソリン,係数_乗用_CNG,係数_乗用_軽油,係数_乗用_メタノール,係数_乗用_LPG),1,1,BE134):INDEX((係数_乗用_ガソリン,係数_乗用_CNG,係数_乗用_軽油,係数_乗用_メタノール,係数_乗用_LPG),125,5,BE134),5,FALSE)))))</f>
        <v/>
      </c>
      <c r="AN134" s="461" t="str">
        <f t="shared" si="89"/>
        <v/>
      </c>
      <c r="AO134" s="462" t="str">
        <f t="shared" si="90"/>
        <v/>
      </c>
      <c r="AP134" s="463" t="str">
        <f t="shared" si="91"/>
        <v/>
      </c>
      <c r="AQ134" s="464"/>
      <c r="AR134" s="619"/>
      <c r="AS134" s="465" t="str">
        <f t="shared" si="70"/>
        <v/>
      </c>
      <c r="AT134" s="465" t="str">
        <f t="shared" si="71"/>
        <v/>
      </c>
      <c r="AU134" s="466" t="str">
        <f t="shared" si="72"/>
        <v/>
      </c>
      <c r="AV134" s="467" t="str">
        <f t="shared" si="73"/>
        <v/>
      </c>
      <c r="AW134" s="467" t="str">
        <f t="shared" si="74"/>
        <v/>
      </c>
      <c r="AX134" s="467" t="str">
        <f t="shared" si="75"/>
        <v/>
      </c>
      <c r="AY134" s="467" t="str">
        <f t="shared" si="76"/>
        <v/>
      </c>
      <c r="AZ134" s="467" t="str">
        <f t="shared" si="77"/>
        <v/>
      </c>
      <c r="BA134" s="468" t="str">
        <f>IF(AS134="","",IF(OR(AU134="",AU134="-"),"－",IF(OR(AZ134=8,AZ134=9),"",IF(OR(AW134=3,AW134=4,AW134=5,AW134=6),VLOOKUP(AU134,INDEX((係数_バス貨物_ガソリン,係数_バス貨物_CNG,係数_バス貨物_軽油,係数_バス貨物_メタノール,係数_バス貨物_LPG),MATCH(AY134,【参考】排出係数!$AI$4:$AI$671,1),1,BE134):INDEX((係数_バス貨物_ガソリン,係数_バス貨物_CNG,係数_バス貨物_軽油,係数_バス貨物_メタノール,係数_バス貨物_LPG),MATCH(AY134+1,【参考】排出係数!$AI$4:$AI$671,1)-1,5,BE134),2,FALSE),IF(OR(AW134=1,AW134=2),VLOOKUP(AU134,INDEX((係数_乗用_ガソリン,係数_乗用_CNG,係数_乗用_軽油,係数_乗用_メタノール,係数_乗用_LPG),1,1,BE134):INDEX((係数_乗用_ガソリン,係数_乗用_CNG,係数_乗用_軽油,係数_乗用_メタノール,係数_乗用_LPG),125,5,BE134),2,FALSE))))))</f>
        <v/>
      </c>
      <c r="BB134" s="468" t="str">
        <f>IF(T134="","",IF(OR(AU134="",AU134="-"),"－",IF(OR(AZ134=8,AZ134=9),"",IF(OR(AW134=3,AW134=4,AW134=5,AW134=6),VLOOKUP(AU134,INDEX((係数_バス貨物_ガソリン,係数_バス貨物_CNG,係数_バス貨物_軽油,係数_バス貨物_メタノール,係数_バス貨物_LPG),MATCH(AY134,【参考】排出係数!$AI$4:$AI$671,1),1,BE134):INDEX((係数_バス貨物_ガソリン,係数_バス貨物_CNG,係数_バス貨物_軽油,係数_バス貨物_メタノール,係数_バス貨物_LPG),MATCH(AY134+1,【参考】排出係数!$AI$4:$AI$671,1)-1,5,BE134),3,FALSE),IF(OR(AW134=1,AW134=2),VLOOKUP(AU134,INDEX((係数_乗用_ガソリン,係数_乗用_CNG,係数_乗用_軽油,係数_乗用_メタノール,係数_乗用_LPG),1,1,BE134):INDEX((係数_乗用_ガソリン,係数_乗用_CNG,係数_乗用_軽油,係数_乗用_メタノール,係数_乗用_LPG),125,5,BE134),3,FALSE))))))</f>
        <v/>
      </c>
      <c r="BC134" s="467" t="str">
        <f t="shared" si="78"/>
        <v/>
      </c>
      <c r="BD134" s="567" t="str">
        <f t="shared" si="79"/>
        <v/>
      </c>
      <c r="BE134" s="467" t="str">
        <f t="shared" si="80"/>
        <v/>
      </c>
      <c r="BF134" s="469" t="str">
        <f t="shared" ca="1" si="81"/>
        <v/>
      </c>
      <c r="BG134" s="469" t="str">
        <f t="shared" ca="1" si="82"/>
        <v/>
      </c>
      <c r="BH134" s="467" t="str">
        <f t="shared" si="83"/>
        <v/>
      </c>
      <c r="BI134" s="467" t="str">
        <f t="shared" ca="1" si="84"/>
        <v/>
      </c>
      <c r="BJ134" s="469" t="str">
        <f t="shared" si="85"/>
        <v/>
      </c>
      <c r="BK134" s="470" t="str">
        <f t="shared" si="65"/>
        <v/>
      </c>
      <c r="BL134" s="775" t="str">
        <f t="shared" si="86"/>
        <v/>
      </c>
      <c r="BM134" s="775" t="str">
        <f t="shared" si="87"/>
        <v/>
      </c>
      <c r="BO134" s="472"/>
    </row>
    <row r="135" spans="1:67" s="471" customFormat="1" ht="13.5" customHeight="1">
      <c r="A135" s="473">
        <v>79</v>
      </c>
      <c r="B135" s="132"/>
      <c r="C135" s="332"/>
      <c r="D135" s="333"/>
      <c r="E135" s="333"/>
      <c r="F135" s="334"/>
      <c r="G135" s="337"/>
      <c r="H135" s="131"/>
      <c r="I135" s="337"/>
      <c r="J135" s="131"/>
      <c r="K135" s="458" t="str">
        <f t="shared" si="54"/>
        <v/>
      </c>
      <c r="L135" s="458">
        <f t="shared" si="66"/>
        <v>0</v>
      </c>
      <c r="M135" s="458">
        <f t="shared" si="67"/>
        <v>0</v>
      </c>
      <c r="N135" s="459" t="str">
        <f t="shared" si="55"/>
        <v/>
      </c>
      <c r="O135" s="459" t="str">
        <f t="shared" si="56"/>
        <v/>
      </c>
      <c r="P135" s="459" t="str">
        <f t="shared" si="57"/>
        <v/>
      </c>
      <c r="Q135" s="459" t="str">
        <f t="shared" si="58"/>
        <v/>
      </c>
      <c r="R135" s="459" t="str">
        <f t="shared" si="59"/>
        <v/>
      </c>
      <c r="S135" s="459" t="str">
        <f t="shared" si="60"/>
        <v/>
      </c>
      <c r="T135" s="566" t="str">
        <f t="shared" si="68"/>
        <v/>
      </c>
      <c r="U135" s="702"/>
      <c r="V135" s="132"/>
      <c r="W135" s="133"/>
      <c r="X135" s="134"/>
      <c r="Y135" s="135"/>
      <c r="Z135" s="137"/>
      <c r="AA135" s="136"/>
      <c r="AB135" s="566" t="str">
        <f t="shared" si="61"/>
        <v/>
      </c>
      <c r="AC135" s="568" t="str">
        <f t="shared" si="69"/>
        <v/>
      </c>
      <c r="AD135" s="137"/>
      <c r="AE135" s="137"/>
      <c r="AF135" s="138"/>
      <c r="AG135" s="138"/>
      <c r="AH135" s="592" t="str">
        <f t="shared" si="62"/>
        <v/>
      </c>
      <c r="AI135" s="592" t="str">
        <f t="shared" si="63"/>
        <v/>
      </c>
      <c r="AJ135" s="592" t="str">
        <f t="shared" si="64"/>
        <v/>
      </c>
      <c r="AK135" s="460" t="str">
        <f>IF(AU135="","",IF(OR(AZ135=8,AZ135=9),0,IF(OR(AW135=3,AW135=4,AW135=5,AW135=6),IF(LEFT(BF135,1)="1",INDEX(係数_NOX・PM低減,MATCH(AY135,【参考】排出係数!$AI$801:$AI$804,1),1),VLOOKUP(AU135,INDEX((係数_バス貨物_ガソリン,係数_バス貨物_CNG,係数_バス貨物_軽油,係数_バス貨物_メタノール,係数_バス貨物_LPG),MATCH(AY135,【参考】排出係数!$AI$4:$AI$671,1),1,BE135):INDEX((係数_バス貨物_ガソリン,係数_バス貨物_CNG,係数_バス貨物_軽油,係数_バス貨物_メタノール,係数_バス貨物_LPG),MATCH(AY135+1,【参考】排出係数!$AI$4:$AI$671,1)-1,5,BE135),4,FALSE)),IF(AND(BE135=3,LEFT(BF135,1)="1"),0.48,VLOOKUP(AU135,INDEX((係数_乗用_ガソリン,係数_乗用_CNG,係数_乗用_軽油,係数_乗用_メタノール,係数_乗用_LPG),1,1,BE135):INDEX((係数_乗用_ガソリン,係数_乗用_CNG,係数_乗用_軽油,係数_乗用_メタノール,係数_乗用_LPG),125,5,BE135),4,FALSE)))))</f>
        <v/>
      </c>
      <c r="AL135" s="461" t="str">
        <f t="shared" si="88"/>
        <v/>
      </c>
      <c r="AM135" s="460" t="str">
        <f>IF(AU135="","",IF(OR(AZ135=8,AZ135=9),0,IF(OR(AW135=3,AW135=4,AW135=5,AW135=6),IF(LEFT(BH135,1)="1",INDEX(係数_PM低減,MATCH(AY135,【参考】排出係数!$AI$801:$AI$804,1),MATCH(BI135,【参考】排出係数!$AL$798:$AO$798,1)),VLOOKUP(AU135,INDEX((係数_バス貨物_ガソリン,係数_バス貨物_CNG,係数_バス貨物_軽油,係数_バス貨物_メタノール,係数_バス貨物_LPG),MATCH(AY135,【参考】排出係数!$AI$4:$AI$671,1),1,BE135):INDEX((係数_バス貨物_ガソリン,係数_バス貨物_CNG,係数_バス貨物_軽油,係数_バス貨物_メタノール,係数_バス貨物_LPG),MATCH(AY135+1,【参考】排出係数!$AI$4:$AI$671,1)-1,5,BE135),5,FALSE)),IF(AND(BE135=3,LEFT(BF135,1)="1"),0.055,VLOOKUP(AU135,INDEX((係数_乗用_ガソリン,係数_乗用_CNG,係数_乗用_軽油,係数_乗用_メタノール,係数_乗用_LPG),1,1,BE135):INDEX((係数_乗用_ガソリン,係数_乗用_CNG,係数_乗用_軽油,係数_乗用_メタノール,係数_乗用_LPG),125,5,BE135),5,FALSE)))))</f>
        <v/>
      </c>
      <c r="AN135" s="461" t="str">
        <f t="shared" si="89"/>
        <v/>
      </c>
      <c r="AO135" s="462" t="str">
        <f t="shared" si="90"/>
        <v/>
      </c>
      <c r="AP135" s="463" t="str">
        <f t="shared" si="91"/>
        <v/>
      </c>
      <c r="AQ135" s="464"/>
      <c r="AR135" s="619"/>
      <c r="AS135" s="465" t="str">
        <f t="shared" si="70"/>
        <v/>
      </c>
      <c r="AT135" s="465" t="str">
        <f t="shared" si="71"/>
        <v/>
      </c>
      <c r="AU135" s="466" t="str">
        <f t="shared" si="72"/>
        <v/>
      </c>
      <c r="AV135" s="467" t="str">
        <f t="shared" si="73"/>
        <v/>
      </c>
      <c r="AW135" s="467" t="str">
        <f t="shared" si="74"/>
        <v/>
      </c>
      <c r="AX135" s="467" t="str">
        <f t="shared" si="75"/>
        <v/>
      </c>
      <c r="AY135" s="467" t="str">
        <f t="shared" si="76"/>
        <v/>
      </c>
      <c r="AZ135" s="467" t="str">
        <f t="shared" si="77"/>
        <v/>
      </c>
      <c r="BA135" s="468" t="str">
        <f>IF(AS135="","",IF(OR(AU135="",AU135="-"),"－",IF(OR(AZ135=8,AZ135=9),"",IF(OR(AW135=3,AW135=4,AW135=5,AW135=6),VLOOKUP(AU135,INDEX((係数_バス貨物_ガソリン,係数_バス貨物_CNG,係数_バス貨物_軽油,係数_バス貨物_メタノール,係数_バス貨物_LPG),MATCH(AY135,【参考】排出係数!$AI$4:$AI$671,1),1,BE135):INDEX((係数_バス貨物_ガソリン,係数_バス貨物_CNG,係数_バス貨物_軽油,係数_バス貨物_メタノール,係数_バス貨物_LPG),MATCH(AY135+1,【参考】排出係数!$AI$4:$AI$671,1)-1,5,BE135),2,FALSE),IF(OR(AW135=1,AW135=2),VLOOKUP(AU135,INDEX((係数_乗用_ガソリン,係数_乗用_CNG,係数_乗用_軽油,係数_乗用_メタノール,係数_乗用_LPG),1,1,BE135):INDEX((係数_乗用_ガソリン,係数_乗用_CNG,係数_乗用_軽油,係数_乗用_メタノール,係数_乗用_LPG),125,5,BE135),2,FALSE))))))</f>
        <v/>
      </c>
      <c r="BB135" s="468" t="str">
        <f>IF(T135="","",IF(OR(AU135="",AU135="-"),"－",IF(OR(AZ135=8,AZ135=9),"",IF(OR(AW135=3,AW135=4,AW135=5,AW135=6),VLOOKUP(AU135,INDEX((係数_バス貨物_ガソリン,係数_バス貨物_CNG,係数_バス貨物_軽油,係数_バス貨物_メタノール,係数_バス貨物_LPG),MATCH(AY135,【参考】排出係数!$AI$4:$AI$671,1),1,BE135):INDEX((係数_バス貨物_ガソリン,係数_バス貨物_CNG,係数_バス貨物_軽油,係数_バス貨物_メタノール,係数_バス貨物_LPG),MATCH(AY135+1,【参考】排出係数!$AI$4:$AI$671,1)-1,5,BE135),3,FALSE),IF(OR(AW135=1,AW135=2),VLOOKUP(AU135,INDEX((係数_乗用_ガソリン,係数_乗用_CNG,係数_乗用_軽油,係数_乗用_メタノール,係数_乗用_LPG),1,1,BE135):INDEX((係数_乗用_ガソリン,係数_乗用_CNG,係数_乗用_軽油,係数_乗用_メタノール,係数_乗用_LPG),125,5,BE135),3,FALSE))))))</f>
        <v/>
      </c>
      <c r="BC135" s="467" t="str">
        <f t="shared" si="78"/>
        <v/>
      </c>
      <c r="BD135" s="567" t="str">
        <f t="shared" si="79"/>
        <v/>
      </c>
      <c r="BE135" s="467" t="str">
        <f t="shared" si="80"/>
        <v/>
      </c>
      <c r="BF135" s="469" t="str">
        <f t="shared" ca="1" si="81"/>
        <v/>
      </c>
      <c r="BG135" s="469" t="str">
        <f t="shared" ca="1" si="82"/>
        <v/>
      </c>
      <c r="BH135" s="467" t="str">
        <f t="shared" si="83"/>
        <v/>
      </c>
      <c r="BI135" s="467" t="str">
        <f t="shared" ca="1" si="84"/>
        <v/>
      </c>
      <c r="BJ135" s="469" t="str">
        <f t="shared" si="85"/>
        <v/>
      </c>
      <c r="BK135" s="470" t="str">
        <f t="shared" si="65"/>
        <v/>
      </c>
      <c r="BL135" s="775" t="str">
        <f t="shared" si="86"/>
        <v/>
      </c>
      <c r="BM135" s="775" t="str">
        <f t="shared" si="87"/>
        <v/>
      </c>
      <c r="BO135" s="472"/>
    </row>
    <row r="136" spans="1:67" s="471" customFormat="1" ht="13.5" customHeight="1">
      <c r="A136" s="473">
        <v>80</v>
      </c>
      <c r="B136" s="132"/>
      <c r="C136" s="332"/>
      <c r="D136" s="333"/>
      <c r="E136" s="333"/>
      <c r="F136" s="334"/>
      <c r="G136" s="337"/>
      <c r="H136" s="131"/>
      <c r="I136" s="337"/>
      <c r="J136" s="131"/>
      <c r="K136" s="458" t="str">
        <f t="shared" si="54"/>
        <v/>
      </c>
      <c r="L136" s="458">
        <f t="shared" si="66"/>
        <v>0</v>
      </c>
      <c r="M136" s="458">
        <f t="shared" si="67"/>
        <v>0</v>
      </c>
      <c r="N136" s="459" t="str">
        <f t="shared" si="55"/>
        <v/>
      </c>
      <c r="O136" s="459" t="str">
        <f t="shared" si="56"/>
        <v/>
      </c>
      <c r="P136" s="459" t="str">
        <f t="shared" si="57"/>
        <v/>
      </c>
      <c r="Q136" s="459" t="str">
        <f t="shared" si="58"/>
        <v/>
      </c>
      <c r="R136" s="459" t="str">
        <f t="shared" si="59"/>
        <v/>
      </c>
      <c r="S136" s="459" t="str">
        <f t="shared" si="60"/>
        <v/>
      </c>
      <c r="T136" s="566" t="str">
        <f t="shared" si="68"/>
        <v/>
      </c>
      <c r="U136" s="702"/>
      <c r="V136" s="132"/>
      <c r="W136" s="133"/>
      <c r="X136" s="134"/>
      <c r="Y136" s="135"/>
      <c r="Z136" s="137"/>
      <c r="AA136" s="136"/>
      <c r="AB136" s="566" t="str">
        <f t="shared" si="61"/>
        <v/>
      </c>
      <c r="AC136" s="568" t="str">
        <f t="shared" si="69"/>
        <v/>
      </c>
      <c r="AD136" s="137"/>
      <c r="AE136" s="137"/>
      <c r="AF136" s="138"/>
      <c r="AG136" s="138"/>
      <c r="AH136" s="592" t="str">
        <f t="shared" si="62"/>
        <v/>
      </c>
      <c r="AI136" s="592" t="str">
        <f t="shared" si="63"/>
        <v/>
      </c>
      <c r="AJ136" s="592" t="str">
        <f t="shared" si="64"/>
        <v/>
      </c>
      <c r="AK136" s="460" t="str">
        <f>IF(AU136="","",IF(OR(AZ136=8,AZ136=9),0,IF(OR(AW136=3,AW136=4,AW136=5,AW136=6),IF(LEFT(BF136,1)="1",INDEX(係数_NOX・PM低減,MATCH(AY136,【参考】排出係数!$AI$801:$AI$804,1),1),VLOOKUP(AU136,INDEX((係数_バス貨物_ガソリン,係数_バス貨物_CNG,係数_バス貨物_軽油,係数_バス貨物_メタノール,係数_バス貨物_LPG),MATCH(AY136,【参考】排出係数!$AI$4:$AI$671,1),1,BE136):INDEX((係数_バス貨物_ガソリン,係数_バス貨物_CNG,係数_バス貨物_軽油,係数_バス貨物_メタノール,係数_バス貨物_LPG),MATCH(AY136+1,【参考】排出係数!$AI$4:$AI$671,1)-1,5,BE136),4,FALSE)),IF(AND(BE136=3,LEFT(BF136,1)="1"),0.48,VLOOKUP(AU136,INDEX((係数_乗用_ガソリン,係数_乗用_CNG,係数_乗用_軽油,係数_乗用_メタノール,係数_乗用_LPG),1,1,BE136):INDEX((係数_乗用_ガソリン,係数_乗用_CNG,係数_乗用_軽油,係数_乗用_メタノール,係数_乗用_LPG),125,5,BE136),4,FALSE)))))</f>
        <v/>
      </c>
      <c r="AL136" s="461" t="str">
        <f t="shared" si="88"/>
        <v/>
      </c>
      <c r="AM136" s="460" t="str">
        <f>IF(AU136="","",IF(OR(AZ136=8,AZ136=9),0,IF(OR(AW136=3,AW136=4,AW136=5,AW136=6),IF(LEFT(BH136,1)="1",INDEX(係数_PM低減,MATCH(AY136,【参考】排出係数!$AI$801:$AI$804,1),MATCH(BI136,【参考】排出係数!$AL$798:$AO$798,1)),VLOOKUP(AU136,INDEX((係数_バス貨物_ガソリン,係数_バス貨物_CNG,係数_バス貨物_軽油,係数_バス貨物_メタノール,係数_バス貨物_LPG),MATCH(AY136,【参考】排出係数!$AI$4:$AI$671,1),1,BE136):INDEX((係数_バス貨物_ガソリン,係数_バス貨物_CNG,係数_バス貨物_軽油,係数_バス貨物_メタノール,係数_バス貨物_LPG),MATCH(AY136+1,【参考】排出係数!$AI$4:$AI$671,1)-1,5,BE136),5,FALSE)),IF(AND(BE136=3,LEFT(BF136,1)="1"),0.055,VLOOKUP(AU136,INDEX((係数_乗用_ガソリン,係数_乗用_CNG,係数_乗用_軽油,係数_乗用_メタノール,係数_乗用_LPG),1,1,BE136):INDEX((係数_乗用_ガソリン,係数_乗用_CNG,係数_乗用_軽油,係数_乗用_メタノール,係数_乗用_LPG),125,5,BE136),5,FALSE)))))</f>
        <v/>
      </c>
      <c r="AN136" s="461" t="str">
        <f t="shared" si="89"/>
        <v/>
      </c>
      <c r="AO136" s="462" t="str">
        <f t="shared" si="90"/>
        <v/>
      </c>
      <c r="AP136" s="463" t="str">
        <f t="shared" si="91"/>
        <v/>
      </c>
      <c r="AQ136" s="464"/>
      <c r="AR136" s="619"/>
      <c r="AS136" s="465" t="str">
        <f t="shared" si="70"/>
        <v/>
      </c>
      <c r="AT136" s="465" t="str">
        <f t="shared" si="71"/>
        <v/>
      </c>
      <c r="AU136" s="466" t="str">
        <f t="shared" si="72"/>
        <v/>
      </c>
      <c r="AV136" s="467" t="str">
        <f t="shared" si="73"/>
        <v/>
      </c>
      <c r="AW136" s="467" t="str">
        <f t="shared" si="74"/>
        <v/>
      </c>
      <c r="AX136" s="467" t="str">
        <f t="shared" si="75"/>
        <v/>
      </c>
      <c r="AY136" s="467" t="str">
        <f t="shared" si="76"/>
        <v/>
      </c>
      <c r="AZ136" s="467" t="str">
        <f t="shared" si="77"/>
        <v/>
      </c>
      <c r="BA136" s="468" t="str">
        <f>IF(AS136="","",IF(OR(AU136="",AU136="-"),"－",IF(OR(AZ136=8,AZ136=9),"",IF(OR(AW136=3,AW136=4,AW136=5,AW136=6),VLOOKUP(AU136,INDEX((係数_バス貨物_ガソリン,係数_バス貨物_CNG,係数_バス貨物_軽油,係数_バス貨物_メタノール,係数_バス貨物_LPG),MATCH(AY136,【参考】排出係数!$AI$4:$AI$671,1),1,BE136):INDEX((係数_バス貨物_ガソリン,係数_バス貨物_CNG,係数_バス貨物_軽油,係数_バス貨物_メタノール,係数_バス貨物_LPG),MATCH(AY136+1,【参考】排出係数!$AI$4:$AI$671,1)-1,5,BE136),2,FALSE),IF(OR(AW136=1,AW136=2),VLOOKUP(AU136,INDEX((係数_乗用_ガソリン,係数_乗用_CNG,係数_乗用_軽油,係数_乗用_メタノール,係数_乗用_LPG),1,1,BE136):INDEX((係数_乗用_ガソリン,係数_乗用_CNG,係数_乗用_軽油,係数_乗用_メタノール,係数_乗用_LPG),125,5,BE136),2,FALSE))))))</f>
        <v/>
      </c>
      <c r="BB136" s="468" t="str">
        <f>IF(T136="","",IF(OR(AU136="",AU136="-"),"－",IF(OR(AZ136=8,AZ136=9),"",IF(OR(AW136=3,AW136=4,AW136=5,AW136=6),VLOOKUP(AU136,INDEX((係数_バス貨物_ガソリン,係数_バス貨物_CNG,係数_バス貨物_軽油,係数_バス貨物_メタノール,係数_バス貨物_LPG),MATCH(AY136,【参考】排出係数!$AI$4:$AI$671,1),1,BE136):INDEX((係数_バス貨物_ガソリン,係数_バス貨物_CNG,係数_バス貨物_軽油,係数_バス貨物_メタノール,係数_バス貨物_LPG),MATCH(AY136+1,【参考】排出係数!$AI$4:$AI$671,1)-1,5,BE136),3,FALSE),IF(OR(AW136=1,AW136=2),VLOOKUP(AU136,INDEX((係数_乗用_ガソリン,係数_乗用_CNG,係数_乗用_軽油,係数_乗用_メタノール,係数_乗用_LPG),1,1,BE136):INDEX((係数_乗用_ガソリン,係数_乗用_CNG,係数_乗用_軽油,係数_乗用_メタノール,係数_乗用_LPG),125,5,BE136),3,FALSE))))))</f>
        <v/>
      </c>
      <c r="BC136" s="467" t="str">
        <f t="shared" si="78"/>
        <v/>
      </c>
      <c r="BD136" s="567" t="str">
        <f t="shared" si="79"/>
        <v/>
      </c>
      <c r="BE136" s="467" t="str">
        <f t="shared" si="80"/>
        <v/>
      </c>
      <c r="BF136" s="469" t="str">
        <f t="shared" ca="1" si="81"/>
        <v/>
      </c>
      <c r="BG136" s="469" t="str">
        <f t="shared" ca="1" si="82"/>
        <v/>
      </c>
      <c r="BH136" s="467" t="str">
        <f t="shared" si="83"/>
        <v/>
      </c>
      <c r="BI136" s="467" t="str">
        <f t="shared" ca="1" si="84"/>
        <v/>
      </c>
      <c r="BJ136" s="469" t="str">
        <f t="shared" si="85"/>
        <v/>
      </c>
      <c r="BK136" s="470" t="str">
        <f t="shared" si="65"/>
        <v/>
      </c>
      <c r="BL136" s="775" t="str">
        <f t="shared" si="86"/>
        <v/>
      </c>
      <c r="BM136" s="775" t="str">
        <f t="shared" si="87"/>
        <v/>
      </c>
      <c r="BO136" s="472"/>
    </row>
    <row r="137" spans="1:67" s="471" customFormat="1" ht="13.5" customHeight="1">
      <c r="A137" s="473">
        <v>81</v>
      </c>
      <c r="B137" s="132"/>
      <c r="C137" s="332"/>
      <c r="D137" s="333"/>
      <c r="E137" s="333"/>
      <c r="F137" s="334"/>
      <c r="G137" s="337"/>
      <c r="H137" s="131"/>
      <c r="I137" s="337"/>
      <c r="J137" s="131"/>
      <c r="K137" s="458" t="str">
        <f t="shared" si="54"/>
        <v/>
      </c>
      <c r="L137" s="458">
        <f t="shared" si="66"/>
        <v>0</v>
      </c>
      <c r="M137" s="458">
        <f t="shared" si="67"/>
        <v>0</v>
      </c>
      <c r="N137" s="459" t="str">
        <f t="shared" si="55"/>
        <v/>
      </c>
      <c r="O137" s="459" t="str">
        <f t="shared" si="56"/>
        <v/>
      </c>
      <c r="P137" s="459" t="str">
        <f t="shared" si="57"/>
        <v/>
      </c>
      <c r="Q137" s="459" t="str">
        <f t="shared" si="58"/>
        <v/>
      </c>
      <c r="R137" s="459" t="str">
        <f t="shared" si="59"/>
        <v/>
      </c>
      <c r="S137" s="459" t="str">
        <f t="shared" si="60"/>
        <v/>
      </c>
      <c r="T137" s="566" t="str">
        <f t="shared" si="68"/>
        <v/>
      </c>
      <c r="U137" s="702"/>
      <c r="V137" s="132"/>
      <c r="W137" s="133"/>
      <c r="X137" s="134"/>
      <c r="Y137" s="135"/>
      <c r="Z137" s="137"/>
      <c r="AA137" s="136"/>
      <c r="AB137" s="566" t="str">
        <f t="shared" si="61"/>
        <v/>
      </c>
      <c r="AC137" s="568" t="str">
        <f t="shared" si="69"/>
        <v/>
      </c>
      <c r="AD137" s="137"/>
      <c r="AE137" s="137"/>
      <c r="AF137" s="138"/>
      <c r="AG137" s="138"/>
      <c r="AH137" s="592" t="str">
        <f t="shared" si="62"/>
        <v/>
      </c>
      <c r="AI137" s="592" t="str">
        <f t="shared" si="63"/>
        <v/>
      </c>
      <c r="AJ137" s="592" t="str">
        <f t="shared" si="64"/>
        <v/>
      </c>
      <c r="AK137" s="460" t="str">
        <f>IF(AU137="","",IF(OR(AZ137=8,AZ137=9),0,IF(OR(AW137=3,AW137=4,AW137=5,AW137=6),IF(LEFT(BF137,1)="1",INDEX(係数_NOX・PM低減,MATCH(AY137,【参考】排出係数!$AI$801:$AI$804,1),1),VLOOKUP(AU137,INDEX((係数_バス貨物_ガソリン,係数_バス貨物_CNG,係数_バス貨物_軽油,係数_バス貨物_メタノール,係数_バス貨物_LPG),MATCH(AY137,【参考】排出係数!$AI$4:$AI$671,1),1,BE137):INDEX((係数_バス貨物_ガソリン,係数_バス貨物_CNG,係数_バス貨物_軽油,係数_バス貨物_メタノール,係数_バス貨物_LPG),MATCH(AY137+1,【参考】排出係数!$AI$4:$AI$671,1)-1,5,BE137),4,FALSE)),IF(AND(BE137=3,LEFT(BF137,1)="1"),0.48,VLOOKUP(AU137,INDEX((係数_乗用_ガソリン,係数_乗用_CNG,係数_乗用_軽油,係数_乗用_メタノール,係数_乗用_LPG),1,1,BE137):INDEX((係数_乗用_ガソリン,係数_乗用_CNG,係数_乗用_軽油,係数_乗用_メタノール,係数_乗用_LPG),125,5,BE137),4,FALSE)))))</f>
        <v/>
      </c>
      <c r="AL137" s="461" t="str">
        <f t="shared" si="88"/>
        <v/>
      </c>
      <c r="AM137" s="460" t="str">
        <f>IF(AU137="","",IF(OR(AZ137=8,AZ137=9),0,IF(OR(AW137=3,AW137=4,AW137=5,AW137=6),IF(LEFT(BH137,1)="1",INDEX(係数_PM低減,MATCH(AY137,【参考】排出係数!$AI$801:$AI$804,1),MATCH(BI137,【参考】排出係数!$AL$798:$AO$798,1)),VLOOKUP(AU137,INDEX((係数_バス貨物_ガソリン,係数_バス貨物_CNG,係数_バス貨物_軽油,係数_バス貨物_メタノール,係数_バス貨物_LPG),MATCH(AY137,【参考】排出係数!$AI$4:$AI$671,1),1,BE137):INDEX((係数_バス貨物_ガソリン,係数_バス貨物_CNG,係数_バス貨物_軽油,係数_バス貨物_メタノール,係数_バス貨物_LPG),MATCH(AY137+1,【参考】排出係数!$AI$4:$AI$671,1)-1,5,BE137),5,FALSE)),IF(AND(BE137=3,LEFT(BF137,1)="1"),0.055,VLOOKUP(AU137,INDEX((係数_乗用_ガソリン,係数_乗用_CNG,係数_乗用_軽油,係数_乗用_メタノール,係数_乗用_LPG),1,1,BE137):INDEX((係数_乗用_ガソリン,係数_乗用_CNG,係数_乗用_軽油,係数_乗用_メタノール,係数_乗用_LPG),125,5,BE137),5,FALSE)))))</f>
        <v/>
      </c>
      <c r="AN137" s="461" t="str">
        <f t="shared" si="89"/>
        <v/>
      </c>
      <c r="AO137" s="462" t="str">
        <f t="shared" si="90"/>
        <v/>
      </c>
      <c r="AP137" s="463" t="str">
        <f t="shared" si="91"/>
        <v/>
      </c>
      <c r="AQ137" s="464"/>
      <c r="AR137" s="619"/>
      <c r="AS137" s="465" t="str">
        <f t="shared" si="70"/>
        <v/>
      </c>
      <c r="AT137" s="465" t="str">
        <f t="shared" si="71"/>
        <v/>
      </c>
      <c r="AU137" s="466" t="str">
        <f t="shared" si="72"/>
        <v/>
      </c>
      <c r="AV137" s="467" t="str">
        <f t="shared" si="73"/>
        <v/>
      </c>
      <c r="AW137" s="467" t="str">
        <f t="shared" si="74"/>
        <v/>
      </c>
      <c r="AX137" s="467" t="str">
        <f t="shared" si="75"/>
        <v/>
      </c>
      <c r="AY137" s="467" t="str">
        <f t="shared" si="76"/>
        <v/>
      </c>
      <c r="AZ137" s="467" t="str">
        <f t="shared" si="77"/>
        <v/>
      </c>
      <c r="BA137" s="468" t="str">
        <f>IF(AS137="","",IF(OR(AU137="",AU137="-"),"－",IF(OR(AZ137=8,AZ137=9),"",IF(OR(AW137=3,AW137=4,AW137=5,AW137=6),VLOOKUP(AU137,INDEX((係数_バス貨物_ガソリン,係数_バス貨物_CNG,係数_バス貨物_軽油,係数_バス貨物_メタノール,係数_バス貨物_LPG),MATCH(AY137,【参考】排出係数!$AI$4:$AI$671,1),1,BE137):INDEX((係数_バス貨物_ガソリン,係数_バス貨物_CNG,係数_バス貨物_軽油,係数_バス貨物_メタノール,係数_バス貨物_LPG),MATCH(AY137+1,【参考】排出係数!$AI$4:$AI$671,1)-1,5,BE137),2,FALSE),IF(OR(AW137=1,AW137=2),VLOOKUP(AU137,INDEX((係数_乗用_ガソリン,係数_乗用_CNG,係数_乗用_軽油,係数_乗用_メタノール,係数_乗用_LPG),1,1,BE137):INDEX((係数_乗用_ガソリン,係数_乗用_CNG,係数_乗用_軽油,係数_乗用_メタノール,係数_乗用_LPG),125,5,BE137),2,FALSE))))))</f>
        <v/>
      </c>
      <c r="BB137" s="468" t="str">
        <f>IF(T137="","",IF(OR(AU137="",AU137="-"),"－",IF(OR(AZ137=8,AZ137=9),"",IF(OR(AW137=3,AW137=4,AW137=5,AW137=6),VLOOKUP(AU137,INDEX((係数_バス貨物_ガソリン,係数_バス貨物_CNG,係数_バス貨物_軽油,係数_バス貨物_メタノール,係数_バス貨物_LPG),MATCH(AY137,【参考】排出係数!$AI$4:$AI$671,1),1,BE137):INDEX((係数_バス貨物_ガソリン,係数_バス貨物_CNG,係数_バス貨物_軽油,係数_バス貨物_メタノール,係数_バス貨物_LPG),MATCH(AY137+1,【参考】排出係数!$AI$4:$AI$671,1)-1,5,BE137),3,FALSE),IF(OR(AW137=1,AW137=2),VLOOKUP(AU137,INDEX((係数_乗用_ガソリン,係数_乗用_CNG,係数_乗用_軽油,係数_乗用_メタノール,係数_乗用_LPG),1,1,BE137):INDEX((係数_乗用_ガソリン,係数_乗用_CNG,係数_乗用_軽油,係数_乗用_メタノール,係数_乗用_LPG),125,5,BE137),3,FALSE))))))</f>
        <v/>
      </c>
      <c r="BC137" s="467" t="str">
        <f t="shared" si="78"/>
        <v/>
      </c>
      <c r="BD137" s="567" t="str">
        <f t="shared" si="79"/>
        <v/>
      </c>
      <c r="BE137" s="467" t="str">
        <f t="shared" si="80"/>
        <v/>
      </c>
      <c r="BF137" s="469" t="str">
        <f t="shared" ca="1" si="81"/>
        <v/>
      </c>
      <c r="BG137" s="469" t="str">
        <f t="shared" ca="1" si="82"/>
        <v/>
      </c>
      <c r="BH137" s="467" t="str">
        <f t="shared" si="83"/>
        <v/>
      </c>
      <c r="BI137" s="467" t="str">
        <f t="shared" ca="1" si="84"/>
        <v/>
      </c>
      <c r="BJ137" s="469" t="str">
        <f t="shared" si="85"/>
        <v/>
      </c>
      <c r="BK137" s="470" t="str">
        <f t="shared" si="65"/>
        <v/>
      </c>
      <c r="BL137" s="775" t="str">
        <f t="shared" si="86"/>
        <v/>
      </c>
      <c r="BM137" s="775" t="str">
        <f t="shared" si="87"/>
        <v/>
      </c>
      <c r="BO137" s="472"/>
    </row>
    <row r="138" spans="1:67" s="471" customFormat="1" ht="13.5" customHeight="1">
      <c r="A138" s="473">
        <v>82</v>
      </c>
      <c r="B138" s="132"/>
      <c r="C138" s="332"/>
      <c r="D138" s="333"/>
      <c r="E138" s="333"/>
      <c r="F138" s="334"/>
      <c r="G138" s="337"/>
      <c r="H138" s="131"/>
      <c r="I138" s="337"/>
      <c r="J138" s="131"/>
      <c r="K138" s="458" t="str">
        <f t="shared" si="54"/>
        <v/>
      </c>
      <c r="L138" s="458">
        <f t="shared" si="66"/>
        <v>0</v>
      </c>
      <c r="M138" s="458">
        <f t="shared" si="67"/>
        <v>0</v>
      </c>
      <c r="N138" s="459" t="str">
        <f t="shared" si="55"/>
        <v/>
      </c>
      <c r="O138" s="459" t="str">
        <f t="shared" si="56"/>
        <v/>
      </c>
      <c r="P138" s="459" t="str">
        <f t="shared" si="57"/>
        <v/>
      </c>
      <c r="Q138" s="459" t="str">
        <f t="shared" si="58"/>
        <v/>
      </c>
      <c r="R138" s="459" t="str">
        <f t="shared" si="59"/>
        <v/>
      </c>
      <c r="S138" s="459" t="str">
        <f t="shared" si="60"/>
        <v/>
      </c>
      <c r="T138" s="566" t="str">
        <f t="shared" si="68"/>
        <v/>
      </c>
      <c r="U138" s="702"/>
      <c r="V138" s="132"/>
      <c r="W138" s="133"/>
      <c r="X138" s="134"/>
      <c r="Y138" s="135"/>
      <c r="Z138" s="137"/>
      <c r="AA138" s="136"/>
      <c r="AB138" s="566" t="str">
        <f t="shared" si="61"/>
        <v/>
      </c>
      <c r="AC138" s="568" t="str">
        <f t="shared" si="69"/>
        <v/>
      </c>
      <c r="AD138" s="137"/>
      <c r="AE138" s="137"/>
      <c r="AF138" s="138"/>
      <c r="AG138" s="138"/>
      <c r="AH138" s="592" t="str">
        <f t="shared" si="62"/>
        <v/>
      </c>
      <c r="AI138" s="592" t="str">
        <f t="shared" si="63"/>
        <v/>
      </c>
      <c r="AJ138" s="592" t="str">
        <f t="shared" si="64"/>
        <v/>
      </c>
      <c r="AK138" s="460" t="str">
        <f>IF(AU138="","",IF(OR(AZ138=8,AZ138=9),0,IF(OR(AW138=3,AW138=4,AW138=5,AW138=6),IF(LEFT(BF138,1)="1",INDEX(係数_NOX・PM低減,MATCH(AY138,【参考】排出係数!$AI$801:$AI$804,1),1),VLOOKUP(AU138,INDEX((係数_バス貨物_ガソリン,係数_バス貨物_CNG,係数_バス貨物_軽油,係数_バス貨物_メタノール,係数_バス貨物_LPG),MATCH(AY138,【参考】排出係数!$AI$4:$AI$671,1),1,BE138):INDEX((係数_バス貨物_ガソリン,係数_バス貨物_CNG,係数_バス貨物_軽油,係数_バス貨物_メタノール,係数_バス貨物_LPG),MATCH(AY138+1,【参考】排出係数!$AI$4:$AI$671,1)-1,5,BE138),4,FALSE)),IF(AND(BE138=3,LEFT(BF138,1)="1"),0.48,VLOOKUP(AU138,INDEX((係数_乗用_ガソリン,係数_乗用_CNG,係数_乗用_軽油,係数_乗用_メタノール,係数_乗用_LPG),1,1,BE138):INDEX((係数_乗用_ガソリン,係数_乗用_CNG,係数_乗用_軽油,係数_乗用_メタノール,係数_乗用_LPG),125,5,BE138),4,FALSE)))))</f>
        <v/>
      </c>
      <c r="AL138" s="461" t="str">
        <f t="shared" si="88"/>
        <v/>
      </c>
      <c r="AM138" s="460" t="str">
        <f>IF(AU138="","",IF(OR(AZ138=8,AZ138=9),0,IF(OR(AW138=3,AW138=4,AW138=5,AW138=6),IF(LEFT(BH138,1)="1",INDEX(係数_PM低減,MATCH(AY138,【参考】排出係数!$AI$801:$AI$804,1),MATCH(BI138,【参考】排出係数!$AL$798:$AO$798,1)),VLOOKUP(AU138,INDEX((係数_バス貨物_ガソリン,係数_バス貨物_CNG,係数_バス貨物_軽油,係数_バス貨物_メタノール,係数_バス貨物_LPG),MATCH(AY138,【参考】排出係数!$AI$4:$AI$671,1),1,BE138):INDEX((係数_バス貨物_ガソリン,係数_バス貨物_CNG,係数_バス貨物_軽油,係数_バス貨物_メタノール,係数_バス貨物_LPG),MATCH(AY138+1,【参考】排出係数!$AI$4:$AI$671,1)-1,5,BE138),5,FALSE)),IF(AND(BE138=3,LEFT(BF138,1)="1"),0.055,VLOOKUP(AU138,INDEX((係数_乗用_ガソリン,係数_乗用_CNG,係数_乗用_軽油,係数_乗用_メタノール,係数_乗用_LPG),1,1,BE138):INDEX((係数_乗用_ガソリン,係数_乗用_CNG,係数_乗用_軽油,係数_乗用_メタノール,係数_乗用_LPG),125,5,BE138),5,FALSE)))))</f>
        <v/>
      </c>
      <c r="AN138" s="461" t="str">
        <f t="shared" si="89"/>
        <v/>
      </c>
      <c r="AO138" s="462" t="str">
        <f t="shared" si="90"/>
        <v/>
      </c>
      <c r="AP138" s="463" t="str">
        <f t="shared" si="91"/>
        <v/>
      </c>
      <c r="AQ138" s="464"/>
      <c r="AR138" s="619"/>
      <c r="AS138" s="465" t="str">
        <f t="shared" si="70"/>
        <v/>
      </c>
      <c r="AT138" s="465" t="str">
        <f t="shared" si="71"/>
        <v/>
      </c>
      <c r="AU138" s="466" t="str">
        <f t="shared" si="72"/>
        <v/>
      </c>
      <c r="AV138" s="467" t="str">
        <f t="shared" si="73"/>
        <v/>
      </c>
      <c r="AW138" s="467" t="str">
        <f t="shared" si="74"/>
        <v/>
      </c>
      <c r="AX138" s="467" t="str">
        <f t="shared" si="75"/>
        <v/>
      </c>
      <c r="AY138" s="467" t="str">
        <f t="shared" si="76"/>
        <v/>
      </c>
      <c r="AZ138" s="467" t="str">
        <f t="shared" si="77"/>
        <v/>
      </c>
      <c r="BA138" s="468" t="str">
        <f>IF(AS138="","",IF(OR(AU138="",AU138="-"),"－",IF(OR(AZ138=8,AZ138=9),"",IF(OR(AW138=3,AW138=4,AW138=5,AW138=6),VLOOKUP(AU138,INDEX((係数_バス貨物_ガソリン,係数_バス貨物_CNG,係数_バス貨物_軽油,係数_バス貨物_メタノール,係数_バス貨物_LPG),MATCH(AY138,【参考】排出係数!$AI$4:$AI$671,1),1,BE138):INDEX((係数_バス貨物_ガソリン,係数_バス貨物_CNG,係数_バス貨物_軽油,係数_バス貨物_メタノール,係数_バス貨物_LPG),MATCH(AY138+1,【参考】排出係数!$AI$4:$AI$671,1)-1,5,BE138),2,FALSE),IF(OR(AW138=1,AW138=2),VLOOKUP(AU138,INDEX((係数_乗用_ガソリン,係数_乗用_CNG,係数_乗用_軽油,係数_乗用_メタノール,係数_乗用_LPG),1,1,BE138):INDEX((係数_乗用_ガソリン,係数_乗用_CNG,係数_乗用_軽油,係数_乗用_メタノール,係数_乗用_LPG),125,5,BE138),2,FALSE))))))</f>
        <v/>
      </c>
      <c r="BB138" s="468" t="str">
        <f>IF(T138="","",IF(OR(AU138="",AU138="-"),"－",IF(OR(AZ138=8,AZ138=9),"",IF(OR(AW138=3,AW138=4,AW138=5,AW138=6),VLOOKUP(AU138,INDEX((係数_バス貨物_ガソリン,係数_バス貨物_CNG,係数_バス貨物_軽油,係数_バス貨物_メタノール,係数_バス貨物_LPG),MATCH(AY138,【参考】排出係数!$AI$4:$AI$671,1),1,BE138):INDEX((係数_バス貨物_ガソリン,係数_バス貨物_CNG,係数_バス貨物_軽油,係数_バス貨物_メタノール,係数_バス貨物_LPG),MATCH(AY138+1,【参考】排出係数!$AI$4:$AI$671,1)-1,5,BE138),3,FALSE),IF(OR(AW138=1,AW138=2),VLOOKUP(AU138,INDEX((係数_乗用_ガソリン,係数_乗用_CNG,係数_乗用_軽油,係数_乗用_メタノール,係数_乗用_LPG),1,1,BE138):INDEX((係数_乗用_ガソリン,係数_乗用_CNG,係数_乗用_軽油,係数_乗用_メタノール,係数_乗用_LPG),125,5,BE138),3,FALSE))))))</f>
        <v/>
      </c>
      <c r="BC138" s="467" t="str">
        <f t="shared" si="78"/>
        <v/>
      </c>
      <c r="BD138" s="567" t="str">
        <f t="shared" si="79"/>
        <v/>
      </c>
      <c r="BE138" s="467" t="str">
        <f t="shared" si="80"/>
        <v/>
      </c>
      <c r="BF138" s="469" t="str">
        <f t="shared" ca="1" si="81"/>
        <v/>
      </c>
      <c r="BG138" s="469" t="str">
        <f t="shared" ca="1" si="82"/>
        <v/>
      </c>
      <c r="BH138" s="467" t="str">
        <f t="shared" si="83"/>
        <v/>
      </c>
      <c r="BI138" s="467" t="str">
        <f t="shared" ca="1" si="84"/>
        <v/>
      </c>
      <c r="BJ138" s="469" t="str">
        <f t="shared" si="85"/>
        <v/>
      </c>
      <c r="BK138" s="470" t="str">
        <f t="shared" si="65"/>
        <v/>
      </c>
      <c r="BL138" s="775" t="str">
        <f t="shared" si="86"/>
        <v/>
      </c>
      <c r="BM138" s="775" t="str">
        <f t="shared" si="87"/>
        <v/>
      </c>
      <c r="BO138" s="472"/>
    </row>
    <row r="139" spans="1:67" s="471" customFormat="1" ht="13.5" customHeight="1">
      <c r="A139" s="473">
        <v>83</v>
      </c>
      <c r="B139" s="132"/>
      <c r="C139" s="332"/>
      <c r="D139" s="333"/>
      <c r="E139" s="333"/>
      <c r="F139" s="334"/>
      <c r="G139" s="337"/>
      <c r="H139" s="131"/>
      <c r="I139" s="337"/>
      <c r="J139" s="131"/>
      <c r="K139" s="458" t="str">
        <f t="shared" si="54"/>
        <v/>
      </c>
      <c r="L139" s="458">
        <f t="shared" si="66"/>
        <v>0</v>
      </c>
      <c r="M139" s="458">
        <f t="shared" si="67"/>
        <v>0</v>
      </c>
      <c r="N139" s="459" t="str">
        <f t="shared" si="55"/>
        <v/>
      </c>
      <c r="O139" s="459" t="str">
        <f t="shared" si="56"/>
        <v/>
      </c>
      <c r="P139" s="459" t="str">
        <f t="shared" si="57"/>
        <v/>
      </c>
      <c r="Q139" s="459" t="str">
        <f t="shared" si="58"/>
        <v/>
      </c>
      <c r="R139" s="459" t="str">
        <f t="shared" si="59"/>
        <v/>
      </c>
      <c r="S139" s="459" t="str">
        <f t="shared" si="60"/>
        <v/>
      </c>
      <c r="T139" s="566" t="str">
        <f t="shared" si="68"/>
        <v/>
      </c>
      <c r="U139" s="702"/>
      <c r="V139" s="132"/>
      <c r="W139" s="133"/>
      <c r="X139" s="134"/>
      <c r="Y139" s="135"/>
      <c r="Z139" s="137"/>
      <c r="AA139" s="136"/>
      <c r="AB139" s="566" t="str">
        <f t="shared" si="61"/>
        <v/>
      </c>
      <c r="AC139" s="568" t="str">
        <f t="shared" si="69"/>
        <v/>
      </c>
      <c r="AD139" s="137"/>
      <c r="AE139" s="137"/>
      <c r="AF139" s="138"/>
      <c r="AG139" s="138"/>
      <c r="AH139" s="592" t="str">
        <f t="shared" si="62"/>
        <v/>
      </c>
      <c r="AI139" s="592" t="str">
        <f t="shared" si="63"/>
        <v/>
      </c>
      <c r="AJ139" s="592" t="str">
        <f t="shared" si="64"/>
        <v/>
      </c>
      <c r="AK139" s="460" t="str">
        <f>IF(AU139="","",IF(OR(AZ139=8,AZ139=9),0,IF(OR(AW139=3,AW139=4,AW139=5,AW139=6),IF(LEFT(BF139,1)="1",INDEX(係数_NOX・PM低減,MATCH(AY139,【参考】排出係数!$AI$801:$AI$804,1),1),VLOOKUP(AU139,INDEX((係数_バス貨物_ガソリン,係数_バス貨物_CNG,係数_バス貨物_軽油,係数_バス貨物_メタノール,係数_バス貨物_LPG),MATCH(AY139,【参考】排出係数!$AI$4:$AI$671,1),1,BE139):INDEX((係数_バス貨物_ガソリン,係数_バス貨物_CNG,係数_バス貨物_軽油,係数_バス貨物_メタノール,係数_バス貨物_LPG),MATCH(AY139+1,【参考】排出係数!$AI$4:$AI$671,1)-1,5,BE139),4,FALSE)),IF(AND(BE139=3,LEFT(BF139,1)="1"),0.48,VLOOKUP(AU139,INDEX((係数_乗用_ガソリン,係数_乗用_CNG,係数_乗用_軽油,係数_乗用_メタノール,係数_乗用_LPG),1,1,BE139):INDEX((係数_乗用_ガソリン,係数_乗用_CNG,係数_乗用_軽油,係数_乗用_メタノール,係数_乗用_LPG),125,5,BE139),4,FALSE)))))</f>
        <v/>
      </c>
      <c r="AL139" s="461" t="str">
        <f t="shared" si="88"/>
        <v/>
      </c>
      <c r="AM139" s="460" t="str">
        <f>IF(AU139="","",IF(OR(AZ139=8,AZ139=9),0,IF(OR(AW139=3,AW139=4,AW139=5,AW139=6),IF(LEFT(BH139,1)="1",INDEX(係数_PM低減,MATCH(AY139,【参考】排出係数!$AI$801:$AI$804,1),MATCH(BI139,【参考】排出係数!$AL$798:$AO$798,1)),VLOOKUP(AU139,INDEX((係数_バス貨物_ガソリン,係数_バス貨物_CNG,係数_バス貨物_軽油,係数_バス貨物_メタノール,係数_バス貨物_LPG),MATCH(AY139,【参考】排出係数!$AI$4:$AI$671,1),1,BE139):INDEX((係数_バス貨物_ガソリン,係数_バス貨物_CNG,係数_バス貨物_軽油,係数_バス貨物_メタノール,係数_バス貨物_LPG),MATCH(AY139+1,【参考】排出係数!$AI$4:$AI$671,1)-1,5,BE139),5,FALSE)),IF(AND(BE139=3,LEFT(BF139,1)="1"),0.055,VLOOKUP(AU139,INDEX((係数_乗用_ガソリン,係数_乗用_CNG,係数_乗用_軽油,係数_乗用_メタノール,係数_乗用_LPG),1,1,BE139):INDEX((係数_乗用_ガソリン,係数_乗用_CNG,係数_乗用_軽油,係数_乗用_メタノール,係数_乗用_LPG),125,5,BE139),5,FALSE)))))</f>
        <v/>
      </c>
      <c r="AN139" s="461" t="str">
        <f t="shared" si="89"/>
        <v/>
      </c>
      <c r="AO139" s="462" t="str">
        <f t="shared" si="90"/>
        <v/>
      </c>
      <c r="AP139" s="463" t="str">
        <f t="shared" si="91"/>
        <v/>
      </c>
      <c r="AQ139" s="464"/>
      <c r="AR139" s="619"/>
      <c r="AS139" s="465" t="str">
        <f t="shared" si="70"/>
        <v/>
      </c>
      <c r="AT139" s="465" t="str">
        <f t="shared" si="71"/>
        <v/>
      </c>
      <c r="AU139" s="466" t="str">
        <f t="shared" si="72"/>
        <v/>
      </c>
      <c r="AV139" s="467" t="str">
        <f t="shared" si="73"/>
        <v/>
      </c>
      <c r="AW139" s="467" t="str">
        <f t="shared" si="74"/>
        <v/>
      </c>
      <c r="AX139" s="467" t="str">
        <f t="shared" si="75"/>
        <v/>
      </c>
      <c r="AY139" s="467" t="str">
        <f t="shared" si="76"/>
        <v/>
      </c>
      <c r="AZ139" s="467" t="str">
        <f t="shared" si="77"/>
        <v/>
      </c>
      <c r="BA139" s="468" t="str">
        <f>IF(AS139="","",IF(OR(AU139="",AU139="-"),"－",IF(OR(AZ139=8,AZ139=9),"",IF(OR(AW139=3,AW139=4,AW139=5,AW139=6),VLOOKUP(AU139,INDEX((係数_バス貨物_ガソリン,係数_バス貨物_CNG,係数_バス貨物_軽油,係数_バス貨物_メタノール,係数_バス貨物_LPG),MATCH(AY139,【参考】排出係数!$AI$4:$AI$671,1),1,BE139):INDEX((係数_バス貨物_ガソリン,係数_バス貨物_CNG,係数_バス貨物_軽油,係数_バス貨物_メタノール,係数_バス貨物_LPG),MATCH(AY139+1,【参考】排出係数!$AI$4:$AI$671,1)-1,5,BE139),2,FALSE),IF(OR(AW139=1,AW139=2),VLOOKUP(AU139,INDEX((係数_乗用_ガソリン,係数_乗用_CNG,係数_乗用_軽油,係数_乗用_メタノール,係数_乗用_LPG),1,1,BE139):INDEX((係数_乗用_ガソリン,係数_乗用_CNG,係数_乗用_軽油,係数_乗用_メタノール,係数_乗用_LPG),125,5,BE139),2,FALSE))))))</f>
        <v/>
      </c>
      <c r="BB139" s="468" t="str">
        <f>IF(T139="","",IF(OR(AU139="",AU139="-"),"－",IF(OR(AZ139=8,AZ139=9),"",IF(OR(AW139=3,AW139=4,AW139=5,AW139=6),VLOOKUP(AU139,INDEX((係数_バス貨物_ガソリン,係数_バス貨物_CNG,係数_バス貨物_軽油,係数_バス貨物_メタノール,係数_バス貨物_LPG),MATCH(AY139,【参考】排出係数!$AI$4:$AI$671,1),1,BE139):INDEX((係数_バス貨物_ガソリン,係数_バス貨物_CNG,係数_バス貨物_軽油,係数_バス貨物_メタノール,係数_バス貨物_LPG),MATCH(AY139+1,【参考】排出係数!$AI$4:$AI$671,1)-1,5,BE139),3,FALSE),IF(OR(AW139=1,AW139=2),VLOOKUP(AU139,INDEX((係数_乗用_ガソリン,係数_乗用_CNG,係数_乗用_軽油,係数_乗用_メタノール,係数_乗用_LPG),1,1,BE139):INDEX((係数_乗用_ガソリン,係数_乗用_CNG,係数_乗用_軽油,係数_乗用_メタノール,係数_乗用_LPG),125,5,BE139),3,FALSE))))))</f>
        <v/>
      </c>
      <c r="BC139" s="467" t="str">
        <f t="shared" si="78"/>
        <v/>
      </c>
      <c r="BD139" s="567" t="str">
        <f t="shared" si="79"/>
        <v/>
      </c>
      <c r="BE139" s="467" t="str">
        <f t="shared" si="80"/>
        <v/>
      </c>
      <c r="BF139" s="469" t="str">
        <f t="shared" ca="1" si="81"/>
        <v/>
      </c>
      <c r="BG139" s="469" t="str">
        <f t="shared" ca="1" si="82"/>
        <v/>
      </c>
      <c r="BH139" s="467" t="str">
        <f t="shared" si="83"/>
        <v/>
      </c>
      <c r="BI139" s="467" t="str">
        <f t="shared" ca="1" si="84"/>
        <v/>
      </c>
      <c r="BJ139" s="469" t="str">
        <f t="shared" si="85"/>
        <v/>
      </c>
      <c r="BK139" s="470" t="str">
        <f t="shared" si="65"/>
        <v/>
      </c>
      <c r="BL139" s="775" t="str">
        <f t="shared" si="86"/>
        <v/>
      </c>
      <c r="BM139" s="775" t="str">
        <f t="shared" si="87"/>
        <v/>
      </c>
      <c r="BO139" s="472"/>
    </row>
    <row r="140" spans="1:67" s="471" customFormat="1" ht="13.5" customHeight="1">
      <c r="A140" s="473">
        <v>84</v>
      </c>
      <c r="B140" s="132"/>
      <c r="C140" s="332"/>
      <c r="D140" s="333"/>
      <c r="E140" s="333"/>
      <c r="F140" s="334"/>
      <c r="G140" s="337"/>
      <c r="H140" s="131"/>
      <c r="I140" s="337"/>
      <c r="J140" s="131"/>
      <c r="K140" s="458" t="str">
        <f t="shared" si="54"/>
        <v/>
      </c>
      <c r="L140" s="458">
        <f t="shared" si="66"/>
        <v>0</v>
      </c>
      <c r="M140" s="458">
        <f t="shared" si="67"/>
        <v>0</v>
      </c>
      <c r="N140" s="459" t="str">
        <f t="shared" si="55"/>
        <v/>
      </c>
      <c r="O140" s="459" t="str">
        <f t="shared" si="56"/>
        <v/>
      </c>
      <c r="P140" s="459" t="str">
        <f t="shared" si="57"/>
        <v/>
      </c>
      <c r="Q140" s="459" t="str">
        <f t="shared" si="58"/>
        <v/>
      </c>
      <c r="R140" s="459" t="str">
        <f t="shared" si="59"/>
        <v/>
      </c>
      <c r="S140" s="459" t="str">
        <f t="shared" si="60"/>
        <v/>
      </c>
      <c r="T140" s="566" t="str">
        <f t="shared" si="68"/>
        <v/>
      </c>
      <c r="U140" s="702"/>
      <c r="V140" s="132"/>
      <c r="W140" s="133"/>
      <c r="X140" s="134"/>
      <c r="Y140" s="135"/>
      <c r="Z140" s="137"/>
      <c r="AA140" s="136"/>
      <c r="AB140" s="566" t="str">
        <f t="shared" si="61"/>
        <v/>
      </c>
      <c r="AC140" s="568" t="str">
        <f t="shared" si="69"/>
        <v/>
      </c>
      <c r="AD140" s="137"/>
      <c r="AE140" s="137"/>
      <c r="AF140" s="138"/>
      <c r="AG140" s="138"/>
      <c r="AH140" s="592" t="str">
        <f t="shared" si="62"/>
        <v/>
      </c>
      <c r="AI140" s="592" t="str">
        <f t="shared" si="63"/>
        <v/>
      </c>
      <c r="AJ140" s="592" t="str">
        <f t="shared" si="64"/>
        <v/>
      </c>
      <c r="AK140" s="460" t="str">
        <f>IF(AU140="","",IF(OR(AZ140=8,AZ140=9),0,IF(OR(AW140=3,AW140=4,AW140=5,AW140=6),IF(LEFT(BF140,1)="1",INDEX(係数_NOX・PM低減,MATCH(AY140,【参考】排出係数!$AI$801:$AI$804,1),1),VLOOKUP(AU140,INDEX((係数_バス貨物_ガソリン,係数_バス貨物_CNG,係数_バス貨物_軽油,係数_バス貨物_メタノール,係数_バス貨物_LPG),MATCH(AY140,【参考】排出係数!$AI$4:$AI$671,1),1,BE140):INDEX((係数_バス貨物_ガソリン,係数_バス貨物_CNG,係数_バス貨物_軽油,係数_バス貨物_メタノール,係数_バス貨物_LPG),MATCH(AY140+1,【参考】排出係数!$AI$4:$AI$671,1)-1,5,BE140),4,FALSE)),IF(AND(BE140=3,LEFT(BF140,1)="1"),0.48,VLOOKUP(AU140,INDEX((係数_乗用_ガソリン,係数_乗用_CNG,係数_乗用_軽油,係数_乗用_メタノール,係数_乗用_LPG),1,1,BE140):INDEX((係数_乗用_ガソリン,係数_乗用_CNG,係数_乗用_軽油,係数_乗用_メタノール,係数_乗用_LPG),125,5,BE140),4,FALSE)))))</f>
        <v/>
      </c>
      <c r="AL140" s="461" t="str">
        <f t="shared" si="88"/>
        <v/>
      </c>
      <c r="AM140" s="460" t="str">
        <f>IF(AU140="","",IF(OR(AZ140=8,AZ140=9),0,IF(OR(AW140=3,AW140=4,AW140=5,AW140=6),IF(LEFT(BH140,1)="1",INDEX(係数_PM低減,MATCH(AY140,【参考】排出係数!$AI$801:$AI$804,1),MATCH(BI140,【参考】排出係数!$AL$798:$AO$798,1)),VLOOKUP(AU140,INDEX((係数_バス貨物_ガソリン,係数_バス貨物_CNG,係数_バス貨物_軽油,係数_バス貨物_メタノール,係数_バス貨物_LPG),MATCH(AY140,【参考】排出係数!$AI$4:$AI$671,1),1,BE140):INDEX((係数_バス貨物_ガソリン,係数_バス貨物_CNG,係数_バス貨物_軽油,係数_バス貨物_メタノール,係数_バス貨物_LPG),MATCH(AY140+1,【参考】排出係数!$AI$4:$AI$671,1)-1,5,BE140),5,FALSE)),IF(AND(BE140=3,LEFT(BF140,1)="1"),0.055,VLOOKUP(AU140,INDEX((係数_乗用_ガソリン,係数_乗用_CNG,係数_乗用_軽油,係数_乗用_メタノール,係数_乗用_LPG),1,1,BE140):INDEX((係数_乗用_ガソリン,係数_乗用_CNG,係数_乗用_軽油,係数_乗用_メタノール,係数_乗用_LPG),125,5,BE140),5,FALSE)))))</f>
        <v/>
      </c>
      <c r="AN140" s="461" t="str">
        <f t="shared" si="89"/>
        <v/>
      </c>
      <c r="AO140" s="462" t="str">
        <f t="shared" si="90"/>
        <v/>
      </c>
      <c r="AP140" s="463" t="str">
        <f t="shared" si="91"/>
        <v/>
      </c>
      <c r="AQ140" s="464"/>
      <c r="AR140" s="619"/>
      <c r="AS140" s="465" t="str">
        <f t="shared" si="70"/>
        <v/>
      </c>
      <c r="AT140" s="465" t="str">
        <f t="shared" si="71"/>
        <v/>
      </c>
      <c r="AU140" s="466" t="str">
        <f t="shared" si="72"/>
        <v/>
      </c>
      <c r="AV140" s="467" t="str">
        <f t="shared" si="73"/>
        <v/>
      </c>
      <c r="AW140" s="467" t="str">
        <f t="shared" si="74"/>
        <v/>
      </c>
      <c r="AX140" s="467" t="str">
        <f t="shared" si="75"/>
        <v/>
      </c>
      <c r="AY140" s="467" t="str">
        <f t="shared" si="76"/>
        <v/>
      </c>
      <c r="AZ140" s="467" t="str">
        <f t="shared" si="77"/>
        <v/>
      </c>
      <c r="BA140" s="468" t="str">
        <f>IF(AS140="","",IF(OR(AU140="",AU140="-"),"－",IF(OR(AZ140=8,AZ140=9),"",IF(OR(AW140=3,AW140=4,AW140=5,AW140=6),VLOOKUP(AU140,INDEX((係数_バス貨物_ガソリン,係数_バス貨物_CNG,係数_バス貨物_軽油,係数_バス貨物_メタノール,係数_バス貨物_LPG),MATCH(AY140,【参考】排出係数!$AI$4:$AI$671,1),1,BE140):INDEX((係数_バス貨物_ガソリン,係数_バス貨物_CNG,係数_バス貨物_軽油,係数_バス貨物_メタノール,係数_バス貨物_LPG),MATCH(AY140+1,【参考】排出係数!$AI$4:$AI$671,1)-1,5,BE140),2,FALSE),IF(OR(AW140=1,AW140=2),VLOOKUP(AU140,INDEX((係数_乗用_ガソリン,係数_乗用_CNG,係数_乗用_軽油,係数_乗用_メタノール,係数_乗用_LPG),1,1,BE140):INDEX((係数_乗用_ガソリン,係数_乗用_CNG,係数_乗用_軽油,係数_乗用_メタノール,係数_乗用_LPG),125,5,BE140),2,FALSE))))))</f>
        <v/>
      </c>
      <c r="BB140" s="468" t="str">
        <f>IF(T140="","",IF(OR(AU140="",AU140="-"),"－",IF(OR(AZ140=8,AZ140=9),"",IF(OR(AW140=3,AW140=4,AW140=5,AW140=6),VLOOKUP(AU140,INDEX((係数_バス貨物_ガソリン,係数_バス貨物_CNG,係数_バス貨物_軽油,係数_バス貨物_メタノール,係数_バス貨物_LPG),MATCH(AY140,【参考】排出係数!$AI$4:$AI$671,1),1,BE140):INDEX((係数_バス貨物_ガソリン,係数_バス貨物_CNG,係数_バス貨物_軽油,係数_バス貨物_メタノール,係数_バス貨物_LPG),MATCH(AY140+1,【参考】排出係数!$AI$4:$AI$671,1)-1,5,BE140),3,FALSE),IF(OR(AW140=1,AW140=2),VLOOKUP(AU140,INDEX((係数_乗用_ガソリン,係数_乗用_CNG,係数_乗用_軽油,係数_乗用_メタノール,係数_乗用_LPG),1,1,BE140):INDEX((係数_乗用_ガソリン,係数_乗用_CNG,係数_乗用_軽油,係数_乗用_メタノール,係数_乗用_LPG),125,5,BE140),3,FALSE))))))</f>
        <v/>
      </c>
      <c r="BC140" s="467" t="str">
        <f t="shared" si="78"/>
        <v/>
      </c>
      <c r="BD140" s="567" t="str">
        <f t="shared" si="79"/>
        <v/>
      </c>
      <c r="BE140" s="467" t="str">
        <f t="shared" si="80"/>
        <v/>
      </c>
      <c r="BF140" s="469" t="str">
        <f t="shared" ca="1" si="81"/>
        <v/>
      </c>
      <c r="BG140" s="469" t="str">
        <f t="shared" ca="1" si="82"/>
        <v/>
      </c>
      <c r="BH140" s="467" t="str">
        <f t="shared" si="83"/>
        <v/>
      </c>
      <c r="BI140" s="467" t="str">
        <f t="shared" ca="1" si="84"/>
        <v/>
      </c>
      <c r="BJ140" s="469" t="str">
        <f t="shared" si="85"/>
        <v/>
      </c>
      <c r="BK140" s="470" t="str">
        <f t="shared" si="65"/>
        <v/>
      </c>
      <c r="BL140" s="775" t="str">
        <f t="shared" si="86"/>
        <v/>
      </c>
      <c r="BM140" s="775" t="str">
        <f t="shared" si="87"/>
        <v/>
      </c>
      <c r="BO140" s="472"/>
    </row>
    <row r="141" spans="1:67" s="471" customFormat="1" ht="13.5" customHeight="1">
      <c r="A141" s="473">
        <v>85</v>
      </c>
      <c r="B141" s="132"/>
      <c r="C141" s="332"/>
      <c r="D141" s="333"/>
      <c r="E141" s="333"/>
      <c r="F141" s="334"/>
      <c r="G141" s="337"/>
      <c r="H141" s="131"/>
      <c r="I141" s="337"/>
      <c r="J141" s="131"/>
      <c r="K141" s="458" t="str">
        <f t="shared" si="54"/>
        <v/>
      </c>
      <c r="L141" s="458">
        <f t="shared" si="66"/>
        <v>0</v>
      </c>
      <c r="M141" s="458">
        <f t="shared" si="67"/>
        <v>0</v>
      </c>
      <c r="N141" s="459" t="str">
        <f t="shared" si="55"/>
        <v/>
      </c>
      <c r="O141" s="459" t="str">
        <f t="shared" si="56"/>
        <v/>
      </c>
      <c r="P141" s="459" t="str">
        <f t="shared" si="57"/>
        <v/>
      </c>
      <c r="Q141" s="459" t="str">
        <f t="shared" si="58"/>
        <v/>
      </c>
      <c r="R141" s="459" t="str">
        <f t="shared" si="59"/>
        <v/>
      </c>
      <c r="S141" s="459" t="str">
        <f t="shared" si="60"/>
        <v/>
      </c>
      <c r="T141" s="566" t="str">
        <f t="shared" si="68"/>
        <v/>
      </c>
      <c r="U141" s="702"/>
      <c r="V141" s="132"/>
      <c r="W141" s="133"/>
      <c r="X141" s="134"/>
      <c r="Y141" s="135"/>
      <c r="Z141" s="137"/>
      <c r="AA141" s="136"/>
      <c r="AB141" s="566" t="str">
        <f t="shared" si="61"/>
        <v/>
      </c>
      <c r="AC141" s="568" t="str">
        <f t="shared" si="69"/>
        <v/>
      </c>
      <c r="AD141" s="137"/>
      <c r="AE141" s="137"/>
      <c r="AF141" s="138"/>
      <c r="AG141" s="138"/>
      <c r="AH141" s="592" t="str">
        <f t="shared" si="62"/>
        <v/>
      </c>
      <c r="AI141" s="592" t="str">
        <f t="shared" si="63"/>
        <v/>
      </c>
      <c r="AJ141" s="592" t="str">
        <f t="shared" si="64"/>
        <v/>
      </c>
      <c r="AK141" s="460" t="str">
        <f>IF(AU141="","",IF(OR(AZ141=8,AZ141=9),0,IF(OR(AW141=3,AW141=4,AW141=5,AW141=6),IF(LEFT(BF141,1)="1",INDEX(係数_NOX・PM低減,MATCH(AY141,【参考】排出係数!$AI$801:$AI$804,1),1),VLOOKUP(AU141,INDEX((係数_バス貨物_ガソリン,係数_バス貨物_CNG,係数_バス貨物_軽油,係数_バス貨物_メタノール,係数_バス貨物_LPG),MATCH(AY141,【参考】排出係数!$AI$4:$AI$671,1),1,BE141):INDEX((係数_バス貨物_ガソリン,係数_バス貨物_CNG,係数_バス貨物_軽油,係数_バス貨物_メタノール,係数_バス貨物_LPG),MATCH(AY141+1,【参考】排出係数!$AI$4:$AI$671,1)-1,5,BE141),4,FALSE)),IF(AND(BE141=3,LEFT(BF141,1)="1"),0.48,VLOOKUP(AU141,INDEX((係数_乗用_ガソリン,係数_乗用_CNG,係数_乗用_軽油,係数_乗用_メタノール,係数_乗用_LPG),1,1,BE141):INDEX((係数_乗用_ガソリン,係数_乗用_CNG,係数_乗用_軽油,係数_乗用_メタノール,係数_乗用_LPG),125,5,BE141),4,FALSE)))))</f>
        <v/>
      </c>
      <c r="AL141" s="461" t="str">
        <f t="shared" si="88"/>
        <v/>
      </c>
      <c r="AM141" s="460" t="str">
        <f>IF(AU141="","",IF(OR(AZ141=8,AZ141=9),0,IF(OR(AW141=3,AW141=4,AW141=5,AW141=6),IF(LEFT(BH141,1)="1",INDEX(係数_PM低減,MATCH(AY141,【参考】排出係数!$AI$801:$AI$804,1),MATCH(BI141,【参考】排出係数!$AL$798:$AO$798,1)),VLOOKUP(AU141,INDEX((係数_バス貨物_ガソリン,係数_バス貨物_CNG,係数_バス貨物_軽油,係数_バス貨物_メタノール,係数_バス貨物_LPG),MATCH(AY141,【参考】排出係数!$AI$4:$AI$671,1),1,BE141):INDEX((係数_バス貨物_ガソリン,係数_バス貨物_CNG,係数_バス貨物_軽油,係数_バス貨物_メタノール,係数_バス貨物_LPG),MATCH(AY141+1,【参考】排出係数!$AI$4:$AI$671,1)-1,5,BE141),5,FALSE)),IF(AND(BE141=3,LEFT(BF141,1)="1"),0.055,VLOOKUP(AU141,INDEX((係数_乗用_ガソリン,係数_乗用_CNG,係数_乗用_軽油,係数_乗用_メタノール,係数_乗用_LPG),1,1,BE141):INDEX((係数_乗用_ガソリン,係数_乗用_CNG,係数_乗用_軽油,係数_乗用_メタノール,係数_乗用_LPG),125,5,BE141),5,FALSE)))))</f>
        <v/>
      </c>
      <c r="AN141" s="461" t="str">
        <f t="shared" si="89"/>
        <v/>
      </c>
      <c r="AO141" s="462" t="str">
        <f t="shared" si="90"/>
        <v/>
      </c>
      <c r="AP141" s="463" t="str">
        <f t="shared" si="91"/>
        <v/>
      </c>
      <c r="AQ141" s="464"/>
      <c r="AR141" s="619"/>
      <c r="AS141" s="465" t="str">
        <f t="shared" si="70"/>
        <v/>
      </c>
      <c r="AT141" s="465" t="str">
        <f t="shared" si="71"/>
        <v/>
      </c>
      <c r="AU141" s="466" t="str">
        <f t="shared" si="72"/>
        <v/>
      </c>
      <c r="AV141" s="467" t="str">
        <f t="shared" si="73"/>
        <v/>
      </c>
      <c r="AW141" s="467" t="str">
        <f t="shared" si="74"/>
        <v/>
      </c>
      <c r="AX141" s="467" t="str">
        <f t="shared" si="75"/>
        <v/>
      </c>
      <c r="AY141" s="467" t="str">
        <f t="shared" si="76"/>
        <v/>
      </c>
      <c r="AZ141" s="467" t="str">
        <f t="shared" si="77"/>
        <v/>
      </c>
      <c r="BA141" s="468" t="str">
        <f>IF(AS141="","",IF(OR(AU141="",AU141="-"),"－",IF(OR(AZ141=8,AZ141=9),"",IF(OR(AW141=3,AW141=4,AW141=5,AW141=6),VLOOKUP(AU141,INDEX((係数_バス貨物_ガソリン,係数_バス貨物_CNG,係数_バス貨物_軽油,係数_バス貨物_メタノール,係数_バス貨物_LPG),MATCH(AY141,【参考】排出係数!$AI$4:$AI$671,1),1,BE141):INDEX((係数_バス貨物_ガソリン,係数_バス貨物_CNG,係数_バス貨物_軽油,係数_バス貨物_メタノール,係数_バス貨物_LPG),MATCH(AY141+1,【参考】排出係数!$AI$4:$AI$671,1)-1,5,BE141),2,FALSE),IF(OR(AW141=1,AW141=2),VLOOKUP(AU141,INDEX((係数_乗用_ガソリン,係数_乗用_CNG,係数_乗用_軽油,係数_乗用_メタノール,係数_乗用_LPG),1,1,BE141):INDEX((係数_乗用_ガソリン,係数_乗用_CNG,係数_乗用_軽油,係数_乗用_メタノール,係数_乗用_LPG),125,5,BE141),2,FALSE))))))</f>
        <v/>
      </c>
      <c r="BB141" s="468" t="str">
        <f>IF(T141="","",IF(OR(AU141="",AU141="-"),"－",IF(OR(AZ141=8,AZ141=9),"",IF(OR(AW141=3,AW141=4,AW141=5,AW141=6),VLOOKUP(AU141,INDEX((係数_バス貨物_ガソリン,係数_バス貨物_CNG,係数_バス貨物_軽油,係数_バス貨物_メタノール,係数_バス貨物_LPG),MATCH(AY141,【参考】排出係数!$AI$4:$AI$671,1),1,BE141):INDEX((係数_バス貨物_ガソリン,係数_バス貨物_CNG,係数_バス貨物_軽油,係数_バス貨物_メタノール,係数_バス貨物_LPG),MATCH(AY141+1,【参考】排出係数!$AI$4:$AI$671,1)-1,5,BE141),3,FALSE),IF(OR(AW141=1,AW141=2),VLOOKUP(AU141,INDEX((係数_乗用_ガソリン,係数_乗用_CNG,係数_乗用_軽油,係数_乗用_メタノール,係数_乗用_LPG),1,1,BE141):INDEX((係数_乗用_ガソリン,係数_乗用_CNG,係数_乗用_軽油,係数_乗用_メタノール,係数_乗用_LPG),125,5,BE141),3,FALSE))))))</f>
        <v/>
      </c>
      <c r="BC141" s="467" t="str">
        <f t="shared" si="78"/>
        <v/>
      </c>
      <c r="BD141" s="567" t="str">
        <f t="shared" si="79"/>
        <v/>
      </c>
      <c r="BE141" s="467" t="str">
        <f t="shared" si="80"/>
        <v/>
      </c>
      <c r="BF141" s="469" t="str">
        <f t="shared" ca="1" si="81"/>
        <v/>
      </c>
      <c r="BG141" s="469" t="str">
        <f t="shared" ca="1" si="82"/>
        <v/>
      </c>
      <c r="BH141" s="467" t="str">
        <f t="shared" si="83"/>
        <v/>
      </c>
      <c r="BI141" s="467" t="str">
        <f t="shared" ca="1" si="84"/>
        <v/>
      </c>
      <c r="BJ141" s="469" t="str">
        <f t="shared" si="85"/>
        <v/>
      </c>
      <c r="BK141" s="470" t="str">
        <f t="shared" si="65"/>
        <v/>
      </c>
      <c r="BL141" s="775" t="str">
        <f t="shared" si="86"/>
        <v/>
      </c>
      <c r="BM141" s="775" t="str">
        <f t="shared" si="87"/>
        <v/>
      </c>
      <c r="BO141" s="472"/>
    </row>
    <row r="142" spans="1:67" s="471" customFormat="1" ht="13.5" customHeight="1">
      <c r="A142" s="473">
        <v>86</v>
      </c>
      <c r="B142" s="132"/>
      <c r="C142" s="332"/>
      <c r="D142" s="333"/>
      <c r="E142" s="333"/>
      <c r="F142" s="334"/>
      <c r="G142" s="337"/>
      <c r="H142" s="131"/>
      <c r="I142" s="337"/>
      <c r="J142" s="131"/>
      <c r="K142" s="458" t="str">
        <f t="shared" si="54"/>
        <v/>
      </c>
      <c r="L142" s="458">
        <f t="shared" si="66"/>
        <v>0</v>
      </c>
      <c r="M142" s="458">
        <f t="shared" si="67"/>
        <v>0</v>
      </c>
      <c r="N142" s="459" t="str">
        <f t="shared" si="55"/>
        <v/>
      </c>
      <c r="O142" s="459" t="str">
        <f t="shared" si="56"/>
        <v/>
      </c>
      <c r="P142" s="459" t="str">
        <f t="shared" si="57"/>
        <v/>
      </c>
      <c r="Q142" s="459" t="str">
        <f t="shared" si="58"/>
        <v/>
      </c>
      <c r="R142" s="459" t="str">
        <f t="shared" si="59"/>
        <v/>
      </c>
      <c r="S142" s="459" t="str">
        <f t="shared" si="60"/>
        <v/>
      </c>
      <c r="T142" s="566" t="str">
        <f t="shared" si="68"/>
        <v/>
      </c>
      <c r="U142" s="702"/>
      <c r="V142" s="132"/>
      <c r="W142" s="133"/>
      <c r="X142" s="134"/>
      <c r="Y142" s="135"/>
      <c r="Z142" s="137"/>
      <c r="AA142" s="136"/>
      <c r="AB142" s="566" t="str">
        <f t="shared" si="61"/>
        <v/>
      </c>
      <c r="AC142" s="568" t="str">
        <f t="shared" si="69"/>
        <v/>
      </c>
      <c r="AD142" s="137"/>
      <c r="AE142" s="137"/>
      <c r="AF142" s="138"/>
      <c r="AG142" s="138"/>
      <c r="AH142" s="592" t="str">
        <f t="shared" si="62"/>
        <v/>
      </c>
      <c r="AI142" s="592" t="str">
        <f t="shared" si="63"/>
        <v/>
      </c>
      <c r="AJ142" s="592" t="str">
        <f t="shared" si="64"/>
        <v/>
      </c>
      <c r="AK142" s="460" t="str">
        <f>IF(AU142="","",IF(OR(AZ142=8,AZ142=9),0,IF(OR(AW142=3,AW142=4,AW142=5,AW142=6),IF(LEFT(BF142,1)="1",INDEX(係数_NOX・PM低減,MATCH(AY142,【参考】排出係数!$AI$801:$AI$804,1),1),VLOOKUP(AU142,INDEX((係数_バス貨物_ガソリン,係数_バス貨物_CNG,係数_バス貨物_軽油,係数_バス貨物_メタノール,係数_バス貨物_LPG),MATCH(AY142,【参考】排出係数!$AI$4:$AI$671,1),1,BE142):INDEX((係数_バス貨物_ガソリン,係数_バス貨物_CNG,係数_バス貨物_軽油,係数_バス貨物_メタノール,係数_バス貨物_LPG),MATCH(AY142+1,【参考】排出係数!$AI$4:$AI$671,1)-1,5,BE142),4,FALSE)),IF(AND(BE142=3,LEFT(BF142,1)="1"),0.48,VLOOKUP(AU142,INDEX((係数_乗用_ガソリン,係数_乗用_CNG,係数_乗用_軽油,係数_乗用_メタノール,係数_乗用_LPG),1,1,BE142):INDEX((係数_乗用_ガソリン,係数_乗用_CNG,係数_乗用_軽油,係数_乗用_メタノール,係数_乗用_LPG),125,5,BE142),4,FALSE)))))</f>
        <v/>
      </c>
      <c r="AL142" s="461" t="str">
        <f t="shared" si="88"/>
        <v/>
      </c>
      <c r="AM142" s="460" t="str">
        <f>IF(AU142="","",IF(OR(AZ142=8,AZ142=9),0,IF(OR(AW142=3,AW142=4,AW142=5,AW142=6),IF(LEFT(BH142,1)="1",INDEX(係数_PM低減,MATCH(AY142,【参考】排出係数!$AI$801:$AI$804,1),MATCH(BI142,【参考】排出係数!$AL$798:$AO$798,1)),VLOOKUP(AU142,INDEX((係数_バス貨物_ガソリン,係数_バス貨物_CNG,係数_バス貨物_軽油,係数_バス貨物_メタノール,係数_バス貨物_LPG),MATCH(AY142,【参考】排出係数!$AI$4:$AI$671,1),1,BE142):INDEX((係数_バス貨物_ガソリン,係数_バス貨物_CNG,係数_バス貨物_軽油,係数_バス貨物_メタノール,係数_バス貨物_LPG),MATCH(AY142+1,【参考】排出係数!$AI$4:$AI$671,1)-1,5,BE142),5,FALSE)),IF(AND(BE142=3,LEFT(BF142,1)="1"),0.055,VLOOKUP(AU142,INDEX((係数_乗用_ガソリン,係数_乗用_CNG,係数_乗用_軽油,係数_乗用_メタノール,係数_乗用_LPG),1,1,BE142):INDEX((係数_乗用_ガソリン,係数_乗用_CNG,係数_乗用_軽油,係数_乗用_メタノール,係数_乗用_LPG),125,5,BE142),5,FALSE)))))</f>
        <v/>
      </c>
      <c r="AN142" s="461" t="str">
        <f t="shared" si="89"/>
        <v/>
      </c>
      <c r="AO142" s="462" t="str">
        <f t="shared" si="90"/>
        <v/>
      </c>
      <c r="AP142" s="463" t="str">
        <f t="shared" si="91"/>
        <v/>
      </c>
      <c r="AQ142" s="464"/>
      <c r="AR142" s="619"/>
      <c r="AS142" s="465" t="str">
        <f t="shared" si="70"/>
        <v/>
      </c>
      <c r="AT142" s="465" t="str">
        <f t="shared" si="71"/>
        <v/>
      </c>
      <c r="AU142" s="466" t="str">
        <f t="shared" si="72"/>
        <v/>
      </c>
      <c r="AV142" s="467" t="str">
        <f t="shared" si="73"/>
        <v/>
      </c>
      <c r="AW142" s="467" t="str">
        <f t="shared" si="74"/>
        <v/>
      </c>
      <c r="AX142" s="467" t="str">
        <f t="shared" si="75"/>
        <v/>
      </c>
      <c r="AY142" s="467" t="str">
        <f t="shared" si="76"/>
        <v/>
      </c>
      <c r="AZ142" s="467" t="str">
        <f t="shared" si="77"/>
        <v/>
      </c>
      <c r="BA142" s="468" t="str">
        <f>IF(AS142="","",IF(OR(AU142="",AU142="-"),"－",IF(OR(AZ142=8,AZ142=9),"",IF(OR(AW142=3,AW142=4,AW142=5,AW142=6),VLOOKUP(AU142,INDEX((係数_バス貨物_ガソリン,係数_バス貨物_CNG,係数_バス貨物_軽油,係数_バス貨物_メタノール,係数_バス貨物_LPG),MATCH(AY142,【参考】排出係数!$AI$4:$AI$671,1),1,BE142):INDEX((係数_バス貨物_ガソリン,係数_バス貨物_CNG,係数_バス貨物_軽油,係数_バス貨物_メタノール,係数_バス貨物_LPG),MATCH(AY142+1,【参考】排出係数!$AI$4:$AI$671,1)-1,5,BE142),2,FALSE),IF(OR(AW142=1,AW142=2),VLOOKUP(AU142,INDEX((係数_乗用_ガソリン,係数_乗用_CNG,係数_乗用_軽油,係数_乗用_メタノール,係数_乗用_LPG),1,1,BE142):INDEX((係数_乗用_ガソリン,係数_乗用_CNG,係数_乗用_軽油,係数_乗用_メタノール,係数_乗用_LPG),125,5,BE142),2,FALSE))))))</f>
        <v/>
      </c>
      <c r="BB142" s="468" t="str">
        <f>IF(T142="","",IF(OR(AU142="",AU142="-"),"－",IF(OR(AZ142=8,AZ142=9),"",IF(OR(AW142=3,AW142=4,AW142=5,AW142=6),VLOOKUP(AU142,INDEX((係数_バス貨物_ガソリン,係数_バス貨物_CNG,係数_バス貨物_軽油,係数_バス貨物_メタノール,係数_バス貨物_LPG),MATCH(AY142,【参考】排出係数!$AI$4:$AI$671,1),1,BE142):INDEX((係数_バス貨物_ガソリン,係数_バス貨物_CNG,係数_バス貨物_軽油,係数_バス貨物_メタノール,係数_バス貨物_LPG),MATCH(AY142+1,【参考】排出係数!$AI$4:$AI$671,1)-1,5,BE142),3,FALSE),IF(OR(AW142=1,AW142=2),VLOOKUP(AU142,INDEX((係数_乗用_ガソリン,係数_乗用_CNG,係数_乗用_軽油,係数_乗用_メタノール,係数_乗用_LPG),1,1,BE142):INDEX((係数_乗用_ガソリン,係数_乗用_CNG,係数_乗用_軽油,係数_乗用_メタノール,係数_乗用_LPG),125,5,BE142),3,FALSE))))))</f>
        <v/>
      </c>
      <c r="BC142" s="467" t="str">
        <f t="shared" si="78"/>
        <v/>
      </c>
      <c r="BD142" s="567" t="str">
        <f t="shared" si="79"/>
        <v/>
      </c>
      <c r="BE142" s="467" t="str">
        <f t="shared" si="80"/>
        <v/>
      </c>
      <c r="BF142" s="469" t="str">
        <f t="shared" ca="1" si="81"/>
        <v/>
      </c>
      <c r="BG142" s="469" t="str">
        <f t="shared" ca="1" si="82"/>
        <v/>
      </c>
      <c r="BH142" s="467" t="str">
        <f t="shared" si="83"/>
        <v/>
      </c>
      <c r="BI142" s="467" t="str">
        <f t="shared" ca="1" si="84"/>
        <v/>
      </c>
      <c r="BJ142" s="469" t="str">
        <f t="shared" si="85"/>
        <v/>
      </c>
      <c r="BK142" s="470" t="str">
        <f t="shared" si="65"/>
        <v/>
      </c>
      <c r="BL142" s="775" t="str">
        <f t="shared" si="86"/>
        <v/>
      </c>
      <c r="BM142" s="775" t="str">
        <f t="shared" si="87"/>
        <v/>
      </c>
      <c r="BO142" s="472"/>
    </row>
    <row r="143" spans="1:67" s="471" customFormat="1" ht="13.5" customHeight="1">
      <c r="A143" s="473">
        <v>87</v>
      </c>
      <c r="B143" s="132"/>
      <c r="C143" s="332"/>
      <c r="D143" s="333"/>
      <c r="E143" s="333"/>
      <c r="F143" s="334"/>
      <c r="G143" s="337"/>
      <c r="H143" s="131"/>
      <c r="I143" s="337"/>
      <c r="J143" s="131"/>
      <c r="K143" s="458" t="str">
        <f t="shared" si="54"/>
        <v/>
      </c>
      <c r="L143" s="458">
        <f t="shared" si="66"/>
        <v>0</v>
      </c>
      <c r="M143" s="458">
        <f t="shared" si="67"/>
        <v>0</v>
      </c>
      <c r="N143" s="459" t="str">
        <f t="shared" si="55"/>
        <v/>
      </c>
      <c r="O143" s="459" t="str">
        <f t="shared" si="56"/>
        <v/>
      </c>
      <c r="P143" s="459" t="str">
        <f t="shared" si="57"/>
        <v/>
      </c>
      <c r="Q143" s="459" t="str">
        <f t="shared" si="58"/>
        <v/>
      </c>
      <c r="R143" s="459" t="str">
        <f t="shared" si="59"/>
        <v/>
      </c>
      <c r="S143" s="459" t="str">
        <f t="shared" si="60"/>
        <v/>
      </c>
      <c r="T143" s="566" t="str">
        <f t="shared" si="68"/>
        <v/>
      </c>
      <c r="U143" s="702"/>
      <c r="V143" s="132"/>
      <c r="W143" s="133"/>
      <c r="X143" s="134"/>
      <c r="Y143" s="135"/>
      <c r="Z143" s="137"/>
      <c r="AA143" s="136"/>
      <c r="AB143" s="566" t="str">
        <f t="shared" si="61"/>
        <v/>
      </c>
      <c r="AC143" s="568" t="str">
        <f t="shared" si="69"/>
        <v/>
      </c>
      <c r="AD143" s="137"/>
      <c r="AE143" s="137"/>
      <c r="AF143" s="138"/>
      <c r="AG143" s="138"/>
      <c r="AH143" s="592" t="str">
        <f t="shared" si="62"/>
        <v/>
      </c>
      <c r="AI143" s="592" t="str">
        <f t="shared" si="63"/>
        <v/>
      </c>
      <c r="AJ143" s="592" t="str">
        <f t="shared" si="64"/>
        <v/>
      </c>
      <c r="AK143" s="460" t="str">
        <f>IF(AU143="","",IF(OR(AZ143=8,AZ143=9),0,IF(OR(AW143=3,AW143=4,AW143=5,AW143=6),IF(LEFT(BF143,1)="1",INDEX(係数_NOX・PM低減,MATCH(AY143,【参考】排出係数!$AI$801:$AI$804,1),1),VLOOKUP(AU143,INDEX((係数_バス貨物_ガソリン,係数_バス貨物_CNG,係数_バス貨物_軽油,係数_バス貨物_メタノール,係数_バス貨物_LPG),MATCH(AY143,【参考】排出係数!$AI$4:$AI$671,1),1,BE143):INDEX((係数_バス貨物_ガソリン,係数_バス貨物_CNG,係数_バス貨物_軽油,係数_バス貨物_メタノール,係数_バス貨物_LPG),MATCH(AY143+1,【参考】排出係数!$AI$4:$AI$671,1)-1,5,BE143),4,FALSE)),IF(AND(BE143=3,LEFT(BF143,1)="1"),0.48,VLOOKUP(AU143,INDEX((係数_乗用_ガソリン,係数_乗用_CNG,係数_乗用_軽油,係数_乗用_メタノール,係数_乗用_LPG),1,1,BE143):INDEX((係数_乗用_ガソリン,係数_乗用_CNG,係数_乗用_軽油,係数_乗用_メタノール,係数_乗用_LPG),125,5,BE143),4,FALSE)))))</f>
        <v/>
      </c>
      <c r="AL143" s="461" t="str">
        <f t="shared" si="88"/>
        <v/>
      </c>
      <c r="AM143" s="460" t="str">
        <f>IF(AU143="","",IF(OR(AZ143=8,AZ143=9),0,IF(OR(AW143=3,AW143=4,AW143=5,AW143=6),IF(LEFT(BH143,1)="1",INDEX(係数_PM低減,MATCH(AY143,【参考】排出係数!$AI$801:$AI$804,1),MATCH(BI143,【参考】排出係数!$AL$798:$AO$798,1)),VLOOKUP(AU143,INDEX((係数_バス貨物_ガソリン,係数_バス貨物_CNG,係数_バス貨物_軽油,係数_バス貨物_メタノール,係数_バス貨物_LPG),MATCH(AY143,【参考】排出係数!$AI$4:$AI$671,1),1,BE143):INDEX((係数_バス貨物_ガソリン,係数_バス貨物_CNG,係数_バス貨物_軽油,係数_バス貨物_メタノール,係数_バス貨物_LPG),MATCH(AY143+1,【参考】排出係数!$AI$4:$AI$671,1)-1,5,BE143),5,FALSE)),IF(AND(BE143=3,LEFT(BF143,1)="1"),0.055,VLOOKUP(AU143,INDEX((係数_乗用_ガソリン,係数_乗用_CNG,係数_乗用_軽油,係数_乗用_メタノール,係数_乗用_LPG),1,1,BE143):INDEX((係数_乗用_ガソリン,係数_乗用_CNG,係数_乗用_軽油,係数_乗用_メタノール,係数_乗用_LPG),125,5,BE143),5,FALSE)))))</f>
        <v/>
      </c>
      <c r="AN143" s="461" t="str">
        <f t="shared" si="89"/>
        <v/>
      </c>
      <c r="AO143" s="462" t="str">
        <f t="shared" si="90"/>
        <v/>
      </c>
      <c r="AP143" s="463" t="str">
        <f t="shared" si="91"/>
        <v/>
      </c>
      <c r="AQ143" s="464"/>
      <c r="AR143" s="619"/>
      <c r="AS143" s="465" t="str">
        <f t="shared" si="70"/>
        <v/>
      </c>
      <c r="AT143" s="465" t="str">
        <f t="shared" si="71"/>
        <v/>
      </c>
      <c r="AU143" s="466" t="str">
        <f t="shared" si="72"/>
        <v/>
      </c>
      <c r="AV143" s="467" t="str">
        <f t="shared" si="73"/>
        <v/>
      </c>
      <c r="AW143" s="467" t="str">
        <f t="shared" si="74"/>
        <v/>
      </c>
      <c r="AX143" s="467" t="str">
        <f t="shared" si="75"/>
        <v/>
      </c>
      <c r="AY143" s="467" t="str">
        <f t="shared" si="76"/>
        <v/>
      </c>
      <c r="AZ143" s="467" t="str">
        <f t="shared" si="77"/>
        <v/>
      </c>
      <c r="BA143" s="468" t="str">
        <f>IF(AS143="","",IF(OR(AU143="",AU143="-"),"－",IF(OR(AZ143=8,AZ143=9),"",IF(OR(AW143=3,AW143=4,AW143=5,AW143=6),VLOOKUP(AU143,INDEX((係数_バス貨物_ガソリン,係数_バス貨物_CNG,係数_バス貨物_軽油,係数_バス貨物_メタノール,係数_バス貨物_LPG),MATCH(AY143,【参考】排出係数!$AI$4:$AI$671,1),1,BE143):INDEX((係数_バス貨物_ガソリン,係数_バス貨物_CNG,係数_バス貨物_軽油,係数_バス貨物_メタノール,係数_バス貨物_LPG),MATCH(AY143+1,【参考】排出係数!$AI$4:$AI$671,1)-1,5,BE143),2,FALSE),IF(OR(AW143=1,AW143=2),VLOOKUP(AU143,INDEX((係数_乗用_ガソリン,係数_乗用_CNG,係数_乗用_軽油,係数_乗用_メタノール,係数_乗用_LPG),1,1,BE143):INDEX((係数_乗用_ガソリン,係数_乗用_CNG,係数_乗用_軽油,係数_乗用_メタノール,係数_乗用_LPG),125,5,BE143),2,FALSE))))))</f>
        <v/>
      </c>
      <c r="BB143" s="468" t="str">
        <f>IF(T143="","",IF(OR(AU143="",AU143="-"),"－",IF(OR(AZ143=8,AZ143=9),"",IF(OR(AW143=3,AW143=4,AW143=5,AW143=6),VLOOKUP(AU143,INDEX((係数_バス貨物_ガソリン,係数_バス貨物_CNG,係数_バス貨物_軽油,係数_バス貨物_メタノール,係数_バス貨物_LPG),MATCH(AY143,【参考】排出係数!$AI$4:$AI$671,1),1,BE143):INDEX((係数_バス貨物_ガソリン,係数_バス貨物_CNG,係数_バス貨物_軽油,係数_バス貨物_メタノール,係数_バス貨物_LPG),MATCH(AY143+1,【参考】排出係数!$AI$4:$AI$671,1)-1,5,BE143),3,FALSE),IF(OR(AW143=1,AW143=2),VLOOKUP(AU143,INDEX((係数_乗用_ガソリン,係数_乗用_CNG,係数_乗用_軽油,係数_乗用_メタノール,係数_乗用_LPG),1,1,BE143):INDEX((係数_乗用_ガソリン,係数_乗用_CNG,係数_乗用_軽油,係数_乗用_メタノール,係数_乗用_LPG),125,5,BE143),3,FALSE))))))</f>
        <v/>
      </c>
      <c r="BC143" s="467" t="str">
        <f t="shared" si="78"/>
        <v/>
      </c>
      <c r="BD143" s="567" t="str">
        <f t="shared" si="79"/>
        <v/>
      </c>
      <c r="BE143" s="467" t="str">
        <f t="shared" si="80"/>
        <v/>
      </c>
      <c r="BF143" s="469" t="str">
        <f t="shared" ca="1" si="81"/>
        <v/>
      </c>
      <c r="BG143" s="469" t="str">
        <f t="shared" ca="1" si="82"/>
        <v/>
      </c>
      <c r="BH143" s="467" t="str">
        <f t="shared" si="83"/>
        <v/>
      </c>
      <c r="BI143" s="467" t="str">
        <f t="shared" ca="1" si="84"/>
        <v/>
      </c>
      <c r="BJ143" s="469" t="str">
        <f t="shared" si="85"/>
        <v/>
      </c>
      <c r="BK143" s="470" t="str">
        <f t="shared" si="65"/>
        <v/>
      </c>
      <c r="BL143" s="775" t="str">
        <f t="shared" si="86"/>
        <v/>
      </c>
      <c r="BM143" s="775" t="str">
        <f t="shared" si="87"/>
        <v/>
      </c>
      <c r="BO143" s="472"/>
    </row>
    <row r="144" spans="1:67" s="471" customFormat="1" ht="13.5" customHeight="1">
      <c r="A144" s="473">
        <v>88</v>
      </c>
      <c r="B144" s="132"/>
      <c r="C144" s="332"/>
      <c r="D144" s="333"/>
      <c r="E144" s="333"/>
      <c r="F144" s="334"/>
      <c r="G144" s="337"/>
      <c r="H144" s="131"/>
      <c r="I144" s="337"/>
      <c r="J144" s="131"/>
      <c r="K144" s="458" t="str">
        <f t="shared" si="54"/>
        <v/>
      </c>
      <c r="L144" s="458">
        <f t="shared" si="66"/>
        <v>0</v>
      </c>
      <c r="M144" s="458">
        <f t="shared" si="67"/>
        <v>0</v>
      </c>
      <c r="N144" s="459" t="str">
        <f t="shared" si="55"/>
        <v/>
      </c>
      <c r="O144" s="459" t="str">
        <f t="shared" si="56"/>
        <v/>
      </c>
      <c r="P144" s="459" t="str">
        <f t="shared" si="57"/>
        <v/>
      </c>
      <c r="Q144" s="459" t="str">
        <f t="shared" si="58"/>
        <v/>
      </c>
      <c r="R144" s="459" t="str">
        <f t="shared" si="59"/>
        <v/>
      </c>
      <c r="S144" s="459" t="str">
        <f t="shared" si="60"/>
        <v/>
      </c>
      <c r="T144" s="566" t="str">
        <f t="shared" si="68"/>
        <v/>
      </c>
      <c r="U144" s="702"/>
      <c r="V144" s="132"/>
      <c r="W144" s="133"/>
      <c r="X144" s="134"/>
      <c r="Y144" s="135"/>
      <c r="Z144" s="137"/>
      <c r="AA144" s="136"/>
      <c r="AB144" s="566" t="str">
        <f t="shared" si="61"/>
        <v/>
      </c>
      <c r="AC144" s="568" t="str">
        <f t="shared" si="69"/>
        <v/>
      </c>
      <c r="AD144" s="137"/>
      <c r="AE144" s="137"/>
      <c r="AF144" s="138"/>
      <c r="AG144" s="138"/>
      <c r="AH144" s="592" t="str">
        <f t="shared" si="62"/>
        <v/>
      </c>
      <c r="AI144" s="592" t="str">
        <f t="shared" si="63"/>
        <v/>
      </c>
      <c r="AJ144" s="592" t="str">
        <f t="shared" si="64"/>
        <v/>
      </c>
      <c r="AK144" s="460" t="str">
        <f>IF(AU144="","",IF(OR(AZ144=8,AZ144=9),0,IF(OR(AW144=3,AW144=4,AW144=5,AW144=6),IF(LEFT(BF144,1)="1",INDEX(係数_NOX・PM低減,MATCH(AY144,【参考】排出係数!$AI$801:$AI$804,1),1),VLOOKUP(AU144,INDEX((係数_バス貨物_ガソリン,係数_バス貨物_CNG,係数_バス貨物_軽油,係数_バス貨物_メタノール,係数_バス貨物_LPG),MATCH(AY144,【参考】排出係数!$AI$4:$AI$671,1),1,BE144):INDEX((係数_バス貨物_ガソリン,係数_バス貨物_CNG,係数_バス貨物_軽油,係数_バス貨物_メタノール,係数_バス貨物_LPG),MATCH(AY144+1,【参考】排出係数!$AI$4:$AI$671,1)-1,5,BE144),4,FALSE)),IF(AND(BE144=3,LEFT(BF144,1)="1"),0.48,VLOOKUP(AU144,INDEX((係数_乗用_ガソリン,係数_乗用_CNG,係数_乗用_軽油,係数_乗用_メタノール,係数_乗用_LPG),1,1,BE144):INDEX((係数_乗用_ガソリン,係数_乗用_CNG,係数_乗用_軽油,係数_乗用_メタノール,係数_乗用_LPG),125,5,BE144),4,FALSE)))))</f>
        <v/>
      </c>
      <c r="AL144" s="461" t="str">
        <f t="shared" si="88"/>
        <v/>
      </c>
      <c r="AM144" s="460" t="str">
        <f>IF(AU144="","",IF(OR(AZ144=8,AZ144=9),0,IF(OR(AW144=3,AW144=4,AW144=5,AW144=6),IF(LEFT(BH144,1)="1",INDEX(係数_PM低減,MATCH(AY144,【参考】排出係数!$AI$801:$AI$804,1),MATCH(BI144,【参考】排出係数!$AL$798:$AO$798,1)),VLOOKUP(AU144,INDEX((係数_バス貨物_ガソリン,係数_バス貨物_CNG,係数_バス貨物_軽油,係数_バス貨物_メタノール,係数_バス貨物_LPG),MATCH(AY144,【参考】排出係数!$AI$4:$AI$671,1),1,BE144):INDEX((係数_バス貨物_ガソリン,係数_バス貨物_CNG,係数_バス貨物_軽油,係数_バス貨物_メタノール,係数_バス貨物_LPG),MATCH(AY144+1,【参考】排出係数!$AI$4:$AI$671,1)-1,5,BE144),5,FALSE)),IF(AND(BE144=3,LEFT(BF144,1)="1"),0.055,VLOOKUP(AU144,INDEX((係数_乗用_ガソリン,係数_乗用_CNG,係数_乗用_軽油,係数_乗用_メタノール,係数_乗用_LPG),1,1,BE144):INDEX((係数_乗用_ガソリン,係数_乗用_CNG,係数_乗用_軽油,係数_乗用_メタノール,係数_乗用_LPG),125,5,BE144),5,FALSE)))))</f>
        <v/>
      </c>
      <c r="AN144" s="461" t="str">
        <f t="shared" si="89"/>
        <v/>
      </c>
      <c r="AO144" s="462" t="str">
        <f t="shared" si="90"/>
        <v/>
      </c>
      <c r="AP144" s="463" t="str">
        <f t="shared" si="91"/>
        <v/>
      </c>
      <c r="AQ144" s="464"/>
      <c r="AR144" s="619"/>
      <c r="AS144" s="465" t="str">
        <f t="shared" si="70"/>
        <v/>
      </c>
      <c r="AT144" s="465" t="str">
        <f t="shared" si="71"/>
        <v/>
      </c>
      <c r="AU144" s="466" t="str">
        <f t="shared" si="72"/>
        <v/>
      </c>
      <c r="AV144" s="467" t="str">
        <f t="shared" si="73"/>
        <v/>
      </c>
      <c r="AW144" s="467" t="str">
        <f t="shared" si="74"/>
        <v/>
      </c>
      <c r="AX144" s="467" t="str">
        <f t="shared" si="75"/>
        <v/>
      </c>
      <c r="AY144" s="467" t="str">
        <f t="shared" si="76"/>
        <v/>
      </c>
      <c r="AZ144" s="467" t="str">
        <f t="shared" si="77"/>
        <v/>
      </c>
      <c r="BA144" s="468" t="str">
        <f>IF(AS144="","",IF(OR(AU144="",AU144="-"),"－",IF(OR(AZ144=8,AZ144=9),"",IF(OR(AW144=3,AW144=4,AW144=5,AW144=6),VLOOKUP(AU144,INDEX((係数_バス貨物_ガソリン,係数_バス貨物_CNG,係数_バス貨物_軽油,係数_バス貨物_メタノール,係数_バス貨物_LPG),MATCH(AY144,【参考】排出係数!$AI$4:$AI$671,1),1,BE144):INDEX((係数_バス貨物_ガソリン,係数_バス貨物_CNG,係数_バス貨物_軽油,係数_バス貨物_メタノール,係数_バス貨物_LPG),MATCH(AY144+1,【参考】排出係数!$AI$4:$AI$671,1)-1,5,BE144),2,FALSE),IF(OR(AW144=1,AW144=2),VLOOKUP(AU144,INDEX((係数_乗用_ガソリン,係数_乗用_CNG,係数_乗用_軽油,係数_乗用_メタノール,係数_乗用_LPG),1,1,BE144):INDEX((係数_乗用_ガソリン,係数_乗用_CNG,係数_乗用_軽油,係数_乗用_メタノール,係数_乗用_LPG),125,5,BE144),2,FALSE))))))</f>
        <v/>
      </c>
      <c r="BB144" s="468" t="str">
        <f>IF(T144="","",IF(OR(AU144="",AU144="-"),"－",IF(OR(AZ144=8,AZ144=9),"",IF(OR(AW144=3,AW144=4,AW144=5,AW144=6),VLOOKUP(AU144,INDEX((係数_バス貨物_ガソリン,係数_バス貨物_CNG,係数_バス貨物_軽油,係数_バス貨物_メタノール,係数_バス貨物_LPG),MATCH(AY144,【参考】排出係数!$AI$4:$AI$671,1),1,BE144):INDEX((係数_バス貨物_ガソリン,係数_バス貨物_CNG,係数_バス貨物_軽油,係数_バス貨物_メタノール,係数_バス貨物_LPG),MATCH(AY144+1,【参考】排出係数!$AI$4:$AI$671,1)-1,5,BE144),3,FALSE),IF(OR(AW144=1,AW144=2),VLOOKUP(AU144,INDEX((係数_乗用_ガソリン,係数_乗用_CNG,係数_乗用_軽油,係数_乗用_メタノール,係数_乗用_LPG),1,1,BE144):INDEX((係数_乗用_ガソリン,係数_乗用_CNG,係数_乗用_軽油,係数_乗用_メタノール,係数_乗用_LPG),125,5,BE144),3,FALSE))))))</f>
        <v/>
      </c>
      <c r="BC144" s="467" t="str">
        <f t="shared" si="78"/>
        <v/>
      </c>
      <c r="BD144" s="567" t="str">
        <f t="shared" si="79"/>
        <v/>
      </c>
      <c r="BE144" s="467" t="str">
        <f t="shared" si="80"/>
        <v/>
      </c>
      <c r="BF144" s="469" t="str">
        <f t="shared" ca="1" si="81"/>
        <v/>
      </c>
      <c r="BG144" s="469" t="str">
        <f t="shared" ca="1" si="82"/>
        <v/>
      </c>
      <c r="BH144" s="467" t="str">
        <f t="shared" si="83"/>
        <v/>
      </c>
      <c r="BI144" s="467" t="str">
        <f t="shared" ca="1" si="84"/>
        <v/>
      </c>
      <c r="BJ144" s="469" t="str">
        <f t="shared" si="85"/>
        <v/>
      </c>
      <c r="BK144" s="470" t="str">
        <f t="shared" si="65"/>
        <v/>
      </c>
      <c r="BL144" s="775" t="str">
        <f t="shared" si="86"/>
        <v/>
      </c>
      <c r="BM144" s="775" t="str">
        <f t="shared" si="87"/>
        <v/>
      </c>
      <c r="BO144" s="472"/>
    </row>
    <row r="145" spans="1:67" s="471" customFormat="1" ht="13.5" customHeight="1">
      <c r="A145" s="473">
        <v>89</v>
      </c>
      <c r="B145" s="132"/>
      <c r="C145" s="332"/>
      <c r="D145" s="333"/>
      <c r="E145" s="333"/>
      <c r="F145" s="334"/>
      <c r="G145" s="337"/>
      <c r="H145" s="131"/>
      <c r="I145" s="337"/>
      <c r="J145" s="131"/>
      <c r="K145" s="458" t="str">
        <f t="shared" si="54"/>
        <v/>
      </c>
      <c r="L145" s="458">
        <f t="shared" si="66"/>
        <v>0</v>
      </c>
      <c r="M145" s="458">
        <f t="shared" si="67"/>
        <v>0</v>
      </c>
      <c r="N145" s="459" t="str">
        <f t="shared" si="55"/>
        <v/>
      </c>
      <c r="O145" s="459" t="str">
        <f t="shared" si="56"/>
        <v/>
      </c>
      <c r="P145" s="459" t="str">
        <f t="shared" si="57"/>
        <v/>
      </c>
      <c r="Q145" s="459" t="str">
        <f t="shared" si="58"/>
        <v/>
      </c>
      <c r="R145" s="459" t="str">
        <f t="shared" si="59"/>
        <v/>
      </c>
      <c r="S145" s="459" t="str">
        <f t="shared" si="60"/>
        <v/>
      </c>
      <c r="T145" s="566" t="str">
        <f t="shared" si="68"/>
        <v/>
      </c>
      <c r="U145" s="702"/>
      <c r="V145" s="132"/>
      <c r="W145" s="133"/>
      <c r="X145" s="134"/>
      <c r="Y145" s="135"/>
      <c r="Z145" s="137"/>
      <c r="AA145" s="136"/>
      <c r="AB145" s="566" t="str">
        <f t="shared" si="61"/>
        <v/>
      </c>
      <c r="AC145" s="568" t="str">
        <f t="shared" si="69"/>
        <v/>
      </c>
      <c r="AD145" s="137"/>
      <c r="AE145" s="137"/>
      <c r="AF145" s="138"/>
      <c r="AG145" s="138"/>
      <c r="AH145" s="592" t="str">
        <f t="shared" si="62"/>
        <v/>
      </c>
      <c r="AI145" s="592" t="str">
        <f t="shared" si="63"/>
        <v/>
      </c>
      <c r="AJ145" s="592" t="str">
        <f t="shared" si="64"/>
        <v/>
      </c>
      <c r="AK145" s="460" t="str">
        <f>IF(AU145="","",IF(OR(AZ145=8,AZ145=9),0,IF(OR(AW145=3,AW145=4,AW145=5,AW145=6),IF(LEFT(BF145,1)="1",INDEX(係数_NOX・PM低減,MATCH(AY145,【参考】排出係数!$AI$801:$AI$804,1),1),VLOOKUP(AU145,INDEX((係数_バス貨物_ガソリン,係数_バス貨物_CNG,係数_バス貨物_軽油,係数_バス貨物_メタノール,係数_バス貨物_LPG),MATCH(AY145,【参考】排出係数!$AI$4:$AI$671,1),1,BE145):INDEX((係数_バス貨物_ガソリン,係数_バス貨物_CNG,係数_バス貨物_軽油,係数_バス貨物_メタノール,係数_バス貨物_LPG),MATCH(AY145+1,【参考】排出係数!$AI$4:$AI$671,1)-1,5,BE145),4,FALSE)),IF(AND(BE145=3,LEFT(BF145,1)="1"),0.48,VLOOKUP(AU145,INDEX((係数_乗用_ガソリン,係数_乗用_CNG,係数_乗用_軽油,係数_乗用_メタノール,係数_乗用_LPG),1,1,BE145):INDEX((係数_乗用_ガソリン,係数_乗用_CNG,係数_乗用_軽油,係数_乗用_メタノール,係数_乗用_LPG),125,5,BE145),4,FALSE)))))</f>
        <v/>
      </c>
      <c r="AL145" s="461" t="str">
        <f t="shared" si="88"/>
        <v/>
      </c>
      <c r="AM145" s="460" t="str">
        <f>IF(AU145="","",IF(OR(AZ145=8,AZ145=9),0,IF(OR(AW145=3,AW145=4,AW145=5,AW145=6),IF(LEFT(BH145,1)="1",INDEX(係数_PM低減,MATCH(AY145,【参考】排出係数!$AI$801:$AI$804,1),MATCH(BI145,【参考】排出係数!$AL$798:$AO$798,1)),VLOOKUP(AU145,INDEX((係数_バス貨物_ガソリン,係数_バス貨物_CNG,係数_バス貨物_軽油,係数_バス貨物_メタノール,係数_バス貨物_LPG),MATCH(AY145,【参考】排出係数!$AI$4:$AI$671,1),1,BE145):INDEX((係数_バス貨物_ガソリン,係数_バス貨物_CNG,係数_バス貨物_軽油,係数_バス貨物_メタノール,係数_バス貨物_LPG),MATCH(AY145+1,【参考】排出係数!$AI$4:$AI$671,1)-1,5,BE145),5,FALSE)),IF(AND(BE145=3,LEFT(BF145,1)="1"),0.055,VLOOKUP(AU145,INDEX((係数_乗用_ガソリン,係数_乗用_CNG,係数_乗用_軽油,係数_乗用_メタノール,係数_乗用_LPG),1,1,BE145):INDEX((係数_乗用_ガソリン,係数_乗用_CNG,係数_乗用_軽油,係数_乗用_メタノール,係数_乗用_LPG),125,5,BE145),5,FALSE)))))</f>
        <v/>
      </c>
      <c r="AN145" s="461" t="str">
        <f t="shared" si="89"/>
        <v/>
      </c>
      <c r="AO145" s="462" t="str">
        <f t="shared" si="90"/>
        <v/>
      </c>
      <c r="AP145" s="463" t="str">
        <f t="shared" si="91"/>
        <v/>
      </c>
      <c r="AQ145" s="464"/>
      <c r="AR145" s="619"/>
      <c r="AS145" s="465" t="str">
        <f t="shared" si="70"/>
        <v/>
      </c>
      <c r="AT145" s="465" t="str">
        <f t="shared" si="71"/>
        <v/>
      </c>
      <c r="AU145" s="466" t="str">
        <f t="shared" si="72"/>
        <v/>
      </c>
      <c r="AV145" s="467" t="str">
        <f t="shared" si="73"/>
        <v/>
      </c>
      <c r="AW145" s="467" t="str">
        <f t="shared" si="74"/>
        <v/>
      </c>
      <c r="AX145" s="467" t="str">
        <f t="shared" si="75"/>
        <v/>
      </c>
      <c r="AY145" s="467" t="str">
        <f t="shared" si="76"/>
        <v/>
      </c>
      <c r="AZ145" s="467" t="str">
        <f t="shared" si="77"/>
        <v/>
      </c>
      <c r="BA145" s="468" t="str">
        <f>IF(AS145="","",IF(OR(AU145="",AU145="-"),"－",IF(OR(AZ145=8,AZ145=9),"",IF(OR(AW145=3,AW145=4,AW145=5,AW145=6),VLOOKUP(AU145,INDEX((係数_バス貨物_ガソリン,係数_バス貨物_CNG,係数_バス貨物_軽油,係数_バス貨物_メタノール,係数_バス貨物_LPG),MATCH(AY145,【参考】排出係数!$AI$4:$AI$671,1),1,BE145):INDEX((係数_バス貨物_ガソリン,係数_バス貨物_CNG,係数_バス貨物_軽油,係数_バス貨物_メタノール,係数_バス貨物_LPG),MATCH(AY145+1,【参考】排出係数!$AI$4:$AI$671,1)-1,5,BE145),2,FALSE),IF(OR(AW145=1,AW145=2),VLOOKUP(AU145,INDEX((係数_乗用_ガソリン,係数_乗用_CNG,係数_乗用_軽油,係数_乗用_メタノール,係数_乗用_LPG),1,1,BE145):INDEX((係数_乗用_ガソリン,係数_乗用_CNG,係数_乗用_軽油,係数_乗用_メタノール,係数_乗用_LPG),125,5,BE145),2,FALSE))))))</f>
        <v/>
      </c>
      <c r="BB145" s="468" t="str">
        <f>IF(T145="","",IF(OR(AU145="",AU145="-"),"－",IF(OR(AZ145=8,AZ145=9),"",IF(OR(AW145=3,AW145=4,AW145=5,AW145=6),VLOOKUP(AU145,INDEX((係数_バス貨物_ガソリン,係数_バス貨物_CNG,係数_バス貨物_軽油,係数_バス貨物_メタノール,係数_バス貨物_LPG),MATCH(AY145,【参考】排出係数!$AI$4:$AI$671,1),1,BE145):INDEX((係数_バス貨物_ガソリン,係数_バス貨物_CNG,係数_バス貨物_軽油,係数_バス貨物_メタノール,係数_バス貨物_LPG),MATCH(AY145+1,【参考】排出係数!$AI$4:$AI$671,1)-1,5,BE145),3,FALSE),IF(OR(AW145=1,AW145=2),VLOOKUP(AU145,INDEX((係数_乗用_ガソリン,係数_乗用_CNG,係数_乗用_軽油,係数_乗用_メタノール,係数_乗用_LPG),1,1,BE145):INDEX((係数_乗用_ガソリン,係数_乗用_CNG,係数_乗用_軽油,係数_乗用_メタノール,係数_乗用_LPG),125,5,BE145),3,FALSE))))))</f>
        <v/>
      </c>
      <c r="BC145" s="467" t="str">
        <f t="shared" si="78"/>
        <v/>
      </c>
      <c r="BD145" s="567" t="str">
        <f t="shared" si="79"/>
        <v/>
      </c>
      <c r="BE145" s="467" t="str">
        <f t="shared" si="80"/>
        <v/>
      </c>
      <c r="BF145" s="469" t="str">
        <f t="shared" ca="1" si="81"/>
        <v/>
      </c>
      <c r="BG145" s="469" t="str">
        <f t="shared" ca="1" si="82"/>
        <v/>
      </c>
      <c r="BH145" s="467" t="str">
        <f t="shared" si="83"/>
        <v/>
      </c>
      <c r="BI145" s="467" t="str">
        <f t="shared" ca="1" si="84"/>
        <v/>
      </c>
      <c r="BJ145" s="469" t="str">
        <f t="shared" si="85"/>
        <v/>
      </c>
      <c r="BK145" s="470" t="str">
        <f t="shared" si="65"/>
        <v/>
      </c>
      <c r="BL145" s="775" t="str">
        <f t="shared" si="86"/>
        <v/>
      </c>
      <c r="BM145" s="775" t="str">
        <f t="shared" si="87"/>
        <v/>
      </c>
      <c r="BO145" s="472"/>
    </row>
    <row r="146" spans="1:67" s="471" customFormat="1" ht="13.5" customHeight="1">
      <c r="A146" s="473">
        <v>90</v>
      </c>
      <c r="B146" s="132"/>
      <c r="C146" s="332"/>
      <c r="D146" s="333"/>
      <c r="E146" s="333"/>
      <c r="F146" s="334"/>
      <c r="G146" s="337"/>
      <c r="H146" s="131"/>
      <c r="I146" s="337"/>
      <c r="J146" s="131"/>
      <c r="K146" s="458" t="str">
        <f t="shared" si="54"/>
        <v/>
      </c>
      <c r="L146" s="458">
        <f t="shared" si="66"/>
        <v>0</v>
      </c>
      <c r="M146" s="458">
        <f t="shared" si="67"/>
        <v>0</v>
      </c>
      <c r="N146" s="459" t="str">
        <f t="shared" si="55"/>
        <v/>
      </c>
      <c r="O146" s="459" t="str">
        <f t="shared" si="56"/>
        <v/>
      </c>
      <c r="P146" s="459" t="str">
        <f t="shared" si="57"/>
        <v/>
      </c>
      <c r="Q146" s="459" t="str">
        <f t="shared" si="58"/>
        <v/>
      </c>
      <c r="R146" s="459" t="str">
        <f t="shared" si="59"/>
        <v/>
      </c>
      <c r="S146" s="459" t="str">
        <f t="shared" si="60"/>
        <v/>
      </c>
      <c r="T146" s="566" t="str">
        <f t="shared" si="68"/>
        <v/>
      </c>
      <c r="U146" s="702"/>
      <c r="V146" s="132"/>
      <c r="W146" s="133"/>
      <c r="X146" s="134"/>
      <c r="Y146" s="135"/>
      <c r="Z146" s="137"/>
      <c r="AA146" s="136"/>
      <c r="AB146" s="566" t="str">
        <f t="shared" si="61"/>
        <v/>
      </c>
      <c r="AC146" s="568" t="str">
        <f t="shared" si="69"/>
        <v/>
      </c>
      <c r="AD146" s="137"/>
      <c r="AE146" s="137"/>
      <c r="AF146" s="138"/>
      <c r="AG146" s="138"/>
      <c r="AH146" s="592" t="str">
        <f t="shared" si="62"/>
        <v/>
      </c>
      <c r="AI146" s="592" t="str">
        <f t="shared" si="63"/>
        <v/>
      </c>
      <c r="AJ146" s="592" t="str">
        <f t="shared" si="64"/>
        <v/>
      </c>
      <c r="AK146" s="460" t="str">
        <f>IF(AU146="","",IF(OR(AZ146=8,AZ146=9),0,IF(OR(AW146=3,AW146=4,AW146=5,AW146=6),IF(LEFT(BF146,1)="1",INDEX(係数_NOX・PM低減,MATCH(AY146,【参考】排出係数!$AI$801:$AI$804,1),1),VLOOKUP(AU146,INDEX((係数_バス貨物_ガソリン,係数_バス貨物_CNG,係数_バス貨物_軽油,係数_バス貨物_メタノール,係数_バス貨物_LPG),MATCH(AY146,【参考】排出係数!$AI$4:$AI$671,1),1,BE146):INDEX((係数_バス貨物_ガソリン,係数_バス貨物_CNG,係数_バス貨物_軽油,係数_バス貨物_メタノール,係数_バス貨物_LPG),MATCH(AY146+1,【参考】排出係数!$AI$4:$AI$671,1)-1,5,BE146),4,FALSE)),IF(AND(BE146=3,LEFT(BF146,1)="1"),0.48,VLOOKUP(AU146,INDEX((係数_乗用_ガソリン,係数_乗用_CNG,係数_乗用_軽油,係数_乗用_メタノール,係数_乗用_LPG),1,1,BE146):INDEX((係数_乗用_ガソリン,係数_乗用_CNG,係数_乗用_軽油,係数_乗用_メタノール,係数_乗用_LPG),125,5,BE146),4,FALSE)))))</f>
        <v/>
      </c>
      <c r="AL146" s="461" t="str">
        <f t="shared" si="88"/>
        <v/>
      </c>
      <c r="AM146" s="460" t="str">
        <f>IF(AU146="","",IF(OR(AZ146=8,AZ146=9),0,IF(OR(AW146=3,AW146=4,AW146=5,AW146=6),IF(LEFT(BH146,1)="1",INDEX(係数_PM低減,MATCH(AY146,【参考】排出係数!$AI$801:$AI$804,1),MATCH(BI146,【参考】排出係数!$AL$798:$AO$798,1)),VLOOKUP(AU146,INDEX((係数_バス貨物_ガソリン,係数_バス貨物_CNG,係数_バス貨物_軽油,係数_バス貨物_メタノール,係数_バス貨物_LPG),MATCH(AY146,【参考】排出係数!$AI$4:$AI$671,1),1,BE146):INDEX((係数_バス貨物_ガソリン,係数_バス貨物_CNG,係数_バス貨物_軽油,係数_バス貨物_メタノール,係数_バス貨物_LPG),MATCH(AY146+1,【参考】排出係数!$AI$4:$AI$671,1)-1,5,BE146),5,FALSE)),IF(AND(BE146=3,LEFT(BF146,1)="1"),0.055,VLOOKUP(AU146,INDEX((係数_乗用_ガソリン,係数_乗用_CNG,係数_乗用_軽油,係数_乗用_メタノール,係数_乗用_LPG),1,1,BE146):INDEX((係数_乗用_ガソリン,係数_乗用_CNG,係数_乗用_軽油,係数_乗用_メタノール,係数_乗用_LPG),125,5,BE146),5,FALSE)))))</f>
        <v/>
      </c>
      <c r="AN146" s="461" t="str">
        <f t="shared" si="89"/>
        <v/>
      </c>
      <c r="AO146" s="462" t="str">
        <f t="shared" si="90"/>
        <v/>
      </c>
      <c r="AP146" s="463" t="str">
        <f t="shared" si="91"/>
        <v/>
      </c>
      <c r="AQ146" s="464"/>
      <c r="AR146" s="619"/>
      <c r="AS146" s="465" t="str">
        <f t="shared" si="70"/>
        <v/>
      </c>
      <c r="AT146" s="465" t="str">
        <f t="shared" si="71"/>
        <v/>
      </c>
      <c r="AU146" s="466" t="str">
        <f t="shared" si="72"/>
        <v/>
      </c>
      <c r="AV146" s="467" t="str">
        <f t="shared" si="73"/>
        <v/>
      </c>
      <c r="AW146" s="467" t="str">
        <f t="shared" si="74"/>
        <v/>
      </c>
      <c r="AX146" s="467" t="str">
        <f t="shared" si="75"/>
        <v/>
      </c>
      <c r="AY146" s="467" t="str">
        <f t="shared" si="76"/>
        <v/>
      </c>
      <c r="AZ146" s="467" t="str">
        <f t="shared" si="77"/>
        <v/>
      </c>
      <c r="BA146" s="468" t="str">
        <f>IF(AS146="","",IF(OR(AU146="",AU146="-"),"－",IF(OR(AZ146=8,AZ146=9),"",IF(OR(AW146=3,AW146=4,AW146=5,AW146=6),VLOOKUP(AU146,INDEX((係数_バス貨物_ガソリン,係数_バス貨物_CNG,係数_バス貨物_軽油,係数_バス貨物_メタノール,係数_バス貨物_LPG),MATCH(AY146,【参考】排出係数!$AI$4:$AI$671,1),1,BE146):INDEX((係数_バス貨物_ガソリン,係数_バス貨物_CNG,係数_バス貨物_軽油,係数_バス貨物_メタノール,係数_バス貨物_LPG),MATCH(AY146+1,【参考】排出係数!$AI$4:$AI$671,1)-1,5,BE146),2,FALSE),IF(OR(AW146=1,AW146=2),VLOOKUP(AU146,INDEX((係数_乗用_ガソリン,係数_乗用_CNG,係数_乗用_軽油,係数_乗用_メタノール,係数_乗用_LPG),1,1,BE146):INDEX((係数_乗用_ガソリン,係数_乗用_CNG,係数_乗用_軽油,係数_乗用_メタノール,係数_乗用_LPG),125,5,BE146),2,FALSE))))))</f>
        <v/>
      </c>
      <c r="BB146" s="468" t="str">
        <f>IF(T146="","",IF(OR(AU146="",AU146="-"),"－",IF(OR(AZ146=8,AZ146=9),"",IF(OR(AW146=3,AW146=4,AW146=5,AW146=6),VLOOKUP(AU146,INDEX((係数_バス貨物_ガソリン,係数_バス貨物_CNG,係数_バス貨物_軽油,係数_バス貨物_メタノール,係数_バス貨物_LPG),MATCH(AY146,【参考】排出係数!$AI$4:$AI$671,1),1,BE146):INDEX((係数_バス貨物_ガソリン,係数_バス貨物_CNG,係数_バス貨物_軽油,係数_バス貨物_メタノール,係数_バス貨物_LPG),MATCH(AY146+1,【参考】排出係数!$AI$4:$AI$671,1)-1,5,BE146),3,FALSE),IF(OR(AW146=1,AW146=2),VLOOKUP(AU146,INDEX((係数_乗用_ガソリン,係数_乗用_CNG,係数_乗用_軽油,係数_乗用_メタノール,係数_乗用_LPG),1,1,BE146):INDEX((係数_乗用_ガソリン,係数_乗用_CNG,係数_乗用_軽油,係数_乗用_メタノール,係数_乗用_LPG),125,5,BE146),3,FALSE))))))</f>
        <v/>
      </c>
      <c r="BC146" s="467" t="str">
        <f t="shared" si="78"/>
        <v/>
      </c>
      <c r="BD146" s="567" t="str">
        <f t="shared" si="79"/>
        <v/>
      </c>
      <c r="BE146" s="467" t="str">
        <f t="shared" si="80"/>
        <v/>
      </c>
      <c r="BF146" s="469" t="str">
        <f t="shared" ca="1" si="81"/>
        <v/>
      </c>
      <c r="BG146" s="469" t="str">
        <f t="shared" ca="1" si="82"/>
        <v/>
      </c>
      <c r="BH146" s="467" t="str">
        <f t="shared" si="83"/>
        <v/>
      </c>
      <c r="BI146" s="467" t="str">
        <f t="shared" ca="1" si="84"/>
        <v/>
      </c>
      <c r="BJ146" s="469" t="str">
        <f t="shared" si="85"/>
        <v/>
      </c>
      <c r="BK146" s="470" t="str">
        <f t="shared" si="65"/>
        <v/>
      </c>
      <c r="BL146" s="775" t="str">
        <f t="shared" si="86"/>
        <v/>
      </c>
      <c r="BM146" s="775" t="str">
        <f t="shared" si="87"/>
        <v/>
      </c>
      <c r="BO146" s="472"/>
    </row>
    <row r="147" spans="1:67" s="471" customFormat="1" ht="13.5" customHeight="1">
      <c r="A147" s="473">
        <v>91</v>
      </c>
      <c r="B147" s="132"/>
      <c r="C147" s="332"/>
      <c r="D147" s="333"/>
      <c r="E147" s="333"/>
      <c r="F147" s="334"/>
      <c r="G147" s="337"/>
      <c r="H147" s="131"/>
      <c r="I147" s="337"/>
      <c r="J147" s="131"/>
      <c r="K147" s="458" t="str">
        <f t="shared" si="54"/>
        <v/>
      </c>
      <c r="L147" s="458">
        <f t="shared" si="66"/>
        <v>0</v>
      </c>
      <c r="M147" s="458">
        <f t="shared" si="67"/>
        <v>0</v>
      </c>
      <c r="N147" s="459" t="str">
        <f t="shared" si="55"/>
        <v/>
      </c>
      <c r="O147" s="459" t="str">
        <f t="shared" si="56"/>
        <v/>
      </c>
      <c r="P147" s="459" t="str">
        <f t="shared" si="57"/>
        <v/>
      </c>
      <c r="Q147" s="459" t="str">
        <f t="shared" si="58"/>
        <v/>
      </c>
      <c r="R147" s="459" t="str">
        <f t="shared" si="59"/>
        <v/>
      </c>
      <c r="S147" s="459" t="str">
        <f t="shared" si="60"/>
        <v/>
      </c>
      <c r="T147" s="566" t="str">
        <f t="shared" si="68"/>
        <v/>
      </c>
      <c r="U147" s="702"/>
      <c r="V147" s="132"/>
      <c r="W147" s="133"/>
      <c r="X147" s="134"/>
      <c r="Y147" s="135"/>
      <c r="Z147" s="137"/>
      <c r="AA147" s="136"/>
      <c r="AB147" s="566" t="str">
        <f t="shared" si="61"/>
        <v/>
      </c>
      <c r="AC147" s="568" t="str">
        <f t="shared" si="69"/>
        <v/>
      </c>
      <c r="AD147" s="137"/>
      <c r="AE147" s="137"/>
      <c r="AF147" s="138"/>
      <c r="AG147" s="138"/>
      <c r="AH147" s="592" t="str">
        <f t="shared" si="62"/>
        <v/>
      </c>
      <c r="AI147" s="592" t="str">
        <f t="shared" si="63"/>
        <v/>
      </c>
      <c r="AJ147" s="592" t="str">
        <f t="shared" si="64"/>
        <v/>
      </c>
      <c r="AK147" s="460" t="str">
        <f>IF(AU147="","",IF(OR(AZ147=8,AZ147=9),0,IF(OR(AW147=3,AW147=4,AW147=5,AW147=6),IF(LEFT(BF147,1)="1",INDEX(係数_NOX・PM低減,MATCH(AY147,【参考】排出係数!$AI$801:$AI$804,1),1),VLOOKUP(AU147,INDEX((係数_バス貨物_ガソリン,係数_バス貨物_CNG,係数_バス貨物_軽油,係数_バス貨物_メタノール,係数_バス貨物_LPG),MATCH(AY147,【参考】排出係数!$AI$4:$AI$671,1),1,BE147):INDEX((係数_バス貨物_ガソリン,係数_バス貨物_CNG,係数_バス貨物_軽油,係数_バス貨物_メタノール,係数_バス貨物_LPG),MATCH(AY147+1,【参考】排出係数!$AI$4:$AI$671,1)-1,5,BE147),4,FALSE)),IF(AND(BE147=3,LEFT(BF147,1)="1"),0.48,VLOOKUP(AU147,INDEX((係数_乗用_ガソリン,係数_乗用_CNG,係数_乗用_軽油,係数_乗用_メタノール,係数_乗用_LPG),1,1,BE147):INDEX((係数_乗用_ガソリン,係数_乗用_CNG,係数_乗用_軽油,係数_乗用_メタノール,係数_乗用_LPG),125,5,BE147),4,FALSE)))))</f>
        <v/>
      </c>
      <c r="AL147" s="461" t="str">
        <f t="shared" si="88"/>
        <v/>
      </c>
      <c r="AM147" s="460" t="str">
        <f>IF(AU147="","",IF(OR(AZ147=8,AZ147=9),0,IF(OR(AW147=3,AW147=4,AW147=5,AW147=6),IF(LEFT(BH147,1)="1",INDEX(係数_PM低減,MATCH(AY147,【参考】排出係数!$AI$801:$AI$804,1),MATCH(BI147,【参考】排出係数!$AL$798:$AO$798,1)),VLOOKUP(AU147,INDEX((係数_バス貨物_ガソリン,係数_バス貨物_CNG,係数_バス貨物_軽油,係数_バス貨物_メタノール,係数_バス貨物_LPG),MATCH(AY147,【参考】排出係数!$AI$4:$AI$671,1),1,BE147):INDEX((係数_バス貨物_ガソリン,係数_バス貨物_CNG,係数_バス貨物_軽油,係数_バス貨物_メタノール,係数_バス貨物_LPG),MATCH(AY147+1,【参考】排出係数!$AI$4:$AI$671,1)-1,5,BE147),5,FALSE)),IF(AND(BE147=3,LEFT(BF147,1)="1"),0.055,VLOOKUP(AU147,INDEX((係数_乗用_ガソリン,係数_乗用_CNG,係数_乗用_軽油,係数_乗用_メタノール,係数_乗用_LPG),1,1,BE147):INDEX((係数_乗用_ガソリン,係数_乗用_CNG,係数_乗用_軽油,係数_乗用_メタノール,係数_乗用_LPG),125,5,BE147),5,FALSE)))))</f>
        <v/>
      </c>
      <c r="AN147" s="461" t="str">
        <f t="shared" si="89"/>
        <v/>
      </c>
      <c r="AO147" s="462" t="str">
        <f t="shared" si="90"/>
        <v/>
      </c>
      <c r="AP147" s="463" t="str">
        <f t="shared" si="91"/>
        <v/>
      </c>
      <c r="AQ147" s="464"/>
      <c r="AR147" s="619"/>
      <c r="AS147" s="465" t="str">
        <f t="shared" si="70"/>
        <v/>
      </c>
      <c r="AT147" s="465" t="str">
        <f t="shared" si="71"/>
        <v/>
      </c>
      <c r="AU147" s="466" t="str">
        <f t="shared" si="72"/>
        <v/>
      </c>
      <c r="AV147" s="467" t="str">
        <f t="shared" si="73"/>
        <v/>
      </c>
      <c r="AW147" s="467" t="str">
        <f t="shared" si="74"/>
        <v/>
      </c>
      <c r="AX147" s="467" t="str">
        <f t="shared" si="75"/>
        <v/>
      </c>
      <c r="AY147" s="467" t="str">
        <f t="shared" si="76"/>
        <v/>
      </c>
      <c r="AZ147" s="467" t="str">
        <f t="shared" si="77"/>
        <v/>
      </c>
      <c r="BA147" s="468" t="str">
        <f>IF(AS147="","",IF(OR(AU147="",AU147="-"),"－",IF(OR(AZ147=8,AZ147=9),"",IF(OR(AW147=3,AW147=4,AW147=5,AW147=6),VLOOKUP(AU147,INDEX((係数_バス貨物_ガソリン,係数_バス貨物_CNG,係数_バス貨物_軽油,係数_バス貨物_メタノール,係数_バス貨物_LPG),MATCH(AY147,【参考】排出係数!$AI$4:$AI$671,1),1,BE147):INDEX((係数_バス貨物_ガソリン,係数_バス貨物_CNG,係数_バス貨物_軽油,係数_バス貨物_メタノール,係数_バス貨物_LPG),MATCH(AY147+1,【参考】排出係数!$AI$4:$AI$671,1)-1,5,BE147),2,FALSE),IF(OR(AW147=1,AW147=2),VLOOKUP(AU147,INDEX((係数_乗用_ガソリン,係数_乗用_CNG,係数_乗用_軽油,係数_乗用_メタノール,係数_乗用_LPG),1,1,BE147):INDEX((係数_乗用_ガソリン,係数_乗用_CNG,係数_乗用_軽油,係数_乗用_メタノール,係数_乗用_LPG),125,5,BE147),2,FALSE))))))</f>
        <v/>
      </c>
      <c r="BB147" s="468" t="str">
        <f>IF(T147="","",IF(OR(AU147="",AU147="-"),"－",IF(OR(AZ147=8,AZ147=9),"",IF(OR(AW147=3,AW147=4,AW147=5,AW147=6),VLOOKUP(AU147,INDEX((係数_バス貨物_ガソリン,係数_バス貨物_CNG,係数_バス貨物_軽油,係数_バス貨物_メタノール,係数_バス貨物_LPG),MATCH(AY147,【参考】排出係数!$AI$4:$AI$671,1),1,BE147):INDEX((係数_バス貨物_ガソリン,係数_バス貨物_CNG,係数_バス貨物_軽油,係数_バス貨物_メタノール,係数_バス貨物_LPG),MATCH(AY147+1,【参考】排出係数!$AI$4:$AI$671,1)-1,5,BE147),3,FALSE),IF(OR(AW147=1,AW147=2),VLOOKUP(AU147,INDEX((係数_乗用_ガソリン,係数_乗用_CNG,係数_乗用_軽油,係数_乗用_メタノール,係数_乗用_LPG),1,1,BE147):INDEX((係数_乗用_ガソリン,係数_乗用_CNG,係数_乗用_軽油,係数_乗用_メタノール,係数_乗用_LPG),125,5,BE147),3,FALSE))))))</f>
        <v/>
      </c>
      <c r="BC147" s="467" t="str">
        <f t="shared" si="78"/>
        <v/>
      </c>
      <c r="BD147" s="567" t="str">
        <f t="shared" si="79"/>
        <v/>
      </c>
      <c r="BE147" s="467" t="str">
        <f t="shared" si="80"/>
        <v/>
      </c>
      <c r="BF147" s="469" t="str">
        <f t="shared" ca="1" si="81"/>
        <v/>
      </c>
      <c r="BG147" s="469" t="str">
        <f t="shared" ca="1" si="82"/>
        <v/>
      </c>
      <c r="BH147" s="467" t="str">
        <f t="shared" si="83"/>
        <v/>
      </c>
      <c r="BI147" s="467" t="str">
        <f t="shared" ca="1" si="84"/>
        <v/>
      </c>
      <c r="BJ147" s="469" t="str">
        <f t="shared" si="85"/>
        <v/>
      </c>
      <c r="BK147" s="470" t="str">
        <f t="shared" si="65"/>
        <v/>
      </c>
      <c r="BL147" s="775" t="str">
        <f t="shared" si="86"/>
        <v/>
      </c>
      <c r="BM147" s="775" t="str">
        <f t="shared" si="87"/>
        <v/>
      </c>
      <c r="BO147" s="472"/>
    </row>
    <row r="148" spans="1:67" s="471" customFormat="1" ht="13.5" customHeight="1">
      <c r="A148" s="473">
        <v>92</v>
      </c>
      <c r="B148" s="132"/>
      <c r="C148" s="332"/>
      <c r="D148" s="333"/>
      <c r="E148" s="333"/>
      <c r="F148" s="334"/>
      <c r="G148" s="337"/>
      <c r="H148" s="131"/>
      <c r="I148" s="337"/>
      <c r="J148" s="131"/>
      <c r="K148" s="458" t="str">
        <f t="shared" si="54"/>
        <v/>
      </c>
      <c r="L148" s="458">
        <f t="shared" si="66"/>
        <v>0</v>
      </c>
      <c r="M148" s="458">
        <f t="shared" si="67"/>
        <v>0</v>
      </c>
      <c r="N148" s="459" t="str">
        <f t="shared" si="55"/>
        <v/>
      </c>
      <c r="O148" s="459" t="str">
        <f t="shared" si="56"/>
        <v/>
      </c>
      <c r="P148" s="459" t="str">
        <f t="shared" si="57"/>
        <v/>
      </c>
      <c r="Q148" s="459" t="str">
        <f t="shared" si="58"/>
        <v/>
      </c>
      <c r="R148" s="459" t="str">
        <f t="shared" si="59"/>
        <v/>
      </c>
      <c r="S148" s="459" t="str">
        <f t="shared" si="60"/>
        <v/>
      </c>
      <c r="T148" s="566" t="str">
        <f t="shared" si="68"/>
        <v/>
      </c>
      <c r="U148" s="702"/>
      <c r="V148" s="132"/>
      <c r="W148" s="133"/>
      <c r="X148" s="134"/>
      <c r="Y148" s="135"/>
      <c r="Z148" s="137"/>
      <c r="AA148" s="136"/>
      <c r="AB148" s="566" t="str">
        <f t="shared" si="61"/>
        <v/>
      </c>
      <c r="AC148" s="568" t="str">
        <f t="shared" si="69"/>
        <v/>
      </c>
      <c r="AD148" s="137"/>
      <c r="AE148" s="137"/>
      <c r="AF148" s="138"/>
      <c r="AG148" s="138"/>
      <c r="AH148" s="592" t="str">
        <f t="shared" si="62"/>
        <v/>
      </c>
      <c r="AI148" s="592" t="str">
        <f t="shared" si="63"/>
        <v/>
      </c>
      <c r="AJ148" s="592" t="str">
        <f t="shared" si="64"/>
        <v/>
      </c>
      <c r="AK148" s="460" t="str">
        <f>IF(AU148="","",IF(OR(AZ148=8,AZ148=9),0,IF(OR(AW148=3,AW148=4,AW148=5,AW148=6),IF(LEFT(BF148,1)="1",INDEX(係数_NOX・PM低減,MATCH(AY148,【参考】排出係数!$AI$801:$AI$804,1),1),VLOOKUP(AU148,INDEX((係数_バス貨物_ガソリン,係数_バス貨物_CNG,係数_バス貨物_軽油,係数_バス貨物_メタノール,係数_バス貨物_LPG),MATCH(AY148,【参考】排出係数!$AI$4:$AI$671,1),1,BE148):INDEX((係数_バス貨物_ガソリン,係数_バス貨物_CNG,係数_バス貨物_軽油,係数_バス貨物_メタノール,係数_バス貨物_LPG),MATCH(AY148+1,【参考】排出係数!$AI$4:$AI$671,1)-1,5,BE148),4,FALSE)),IF(AND(BE148=3,LEFT(BF148,1)="1"),0.48,VLOOKUP(AU148,INDEX((係数_乗用_ガソリン,係数_乗用_CNG,係数_乗用_軽油,係数_乗用_メタノール,係数_乗用_LPG),1,1,BE148):INDEX((係数_乗用_ガソリン,係数_乗用_CNG,係数_乗用_軽油,係数_乗用_メタノール,係数_乗用_LPG),125,5,BE148),4,FALSE)))))</f>
        <v/>
      </c>
      <c r="AL148" s="461" t="str">
        <f t="shared" si="88"/>
        <v/>
      </c>
      <c r="AM148" s="460" t="str">
        <f>IF(AU148="","",IF(OR(AZ148=8,AZ148=9),0,IF(OR(AW148=3,AW148=4,AW148=5,AW148=6),IF(LEFT(BH148,1)="1",INDEX(係数_PM低減,MATCH(AY148,【参考】排出係数!$AI$801:$AI$804,1),MATCH(BI148,【参考】排出係数!$AL$798:$AO$798,1)),VLOOKUP(AU148,INDEX((係数_バス貨物_ガソリン,係数_バス貨物_CNG,係数_バス貨物_軽油,係数_バス貨物_メタノール,係数_バス貨物_LPG),MATCH(AY148,【参考】排出係数!$AI$4:$AI$671,1),1,BE148):INDEX((係数_バス貨物_ガソリン,係数_バス貨物_CNG,係数_バス貨物_軽油,係数_バス貨物_メタノール,係数_バス貨物_LPG),MATCH(AY148+1,【参考】排出係数!$AI$4:$AI$671,1)-1,5,BE148),5,FALSE)),IF(AND(BE148=3,LEFT(BF148,1)="1"),0.055,VLOOKUP(AU148,INDEX((係数_乗用_ガソリン,係数_乗用_CNG,係数_乗用_軽油,係数_乗用_メタノール,係数_乗用_LPG),1,1,BE148):INDEX((係数_乗用_ガソリン,係数_乗用_CNG,係数_乗用_軽油,係数_乗用_メタノール,係数_乗用_LPG),125,5,BE148),5,FALSE)))))</f>
        <v/>
      </c>
      <c r="AN148" s="461" t="str">
        <f t="shared" si="89"/>
        <v/>
      </c>
      <c r="AO148" s="462" t="str">
        <f t="shared" si="90"/>
        <v/>
      </c>
      <c r="AP148" s="463" t="str">
        <f t="shared" si="91"/>
        <v/>
      </c>
      <c r="AQ148" s="464"/>
      <c r="AR148" s="619"/>
      <c r="AS148" s="465" t="str">
        <f t="shared" si="70"/>
        <v/>
      </c>
      <c r="AT148" s="465" t="str">
        <f t="shared" si="71"/>
        <v/>
      </c>
      <c r="AU148" s="466" t="str">
        <f t="shared" si="72"/>
        <v/>
      </c>
      <c r="AV148" s="467" t="str">
        <f t="shared" si="73"/>
        <v/>
      </c>
      <c r="AW148" s="467" t="str">
        <f t="shared" si="74"/>
        <v/>
      </c>
      <c r="AX148" s="467" t="str">
        <f t="shared" si="75"/>
        <v/>
      </c>
      <c r="AY148" s="467" t="str">
        <f t="shared" si="76"/>
        <v/>
      </c>
      <c r="AZ148" s="467" t="str">
        <f t="shared" si="77"/>
        <v/>
      </c>
      <c r="BA148" s="468" t="str">
        <f>IF(AS148="","",IF(OR(AU148="",AU148="-"),"－",IF(OR(AZ148=8,AZ148=9),"",IF(OR(AW148=3,AW148=4,AW148=5,AW148=6),VLOOKUP(AU148,INDEX((係数_バス貨物_ガソリン,係数_バス貨物_CNG,係数_バス貨物_軽油,係数_バス貨物_メタノール,係数_バス貨物_LPG),MATCH(AY148,【参考】排出係数!$AI$4:$AI$671,1),1,BE148):INDEX((係数_バス貨物_ガソリン,係数_バス貨物_CNG,係数_バス貨物_軽油,係数_バス貨物_メタノール,係数_バス貨物_LPG),MATCH(AY148+1,【参考】排出係数!$AI$4:$AI$671,1)-1,5,BE148),2,FALSE),IF(OR(AW148=1,AW148=2),VLOOKUP(AU148,INDEX((係数_乗用_ガソリン,係数_乗用_CNG,係数_乗用_軽油,係数_乗用_メタノール,係数_乗用_LPG),1,1,BE148):INDEX((係数_乗用_ガソリン,係数_乗用_CNG,係数_乗用_軽油,係数_乗用_メタノール,係数_乗用_LPG),125,5,BE148),2,FALSE))))))</f>
        <v/>
      </c>
      <c r="BB148" s="468" t="str">
        <f>IF(T148="","",IF(OR(AU148="",AU148="-"),"－",IF(OR(AZ148=8,AZ148=9),"",IF(OR(AW148=3,AW148=4,AW148=5,AW148=6),VLOOKUP(AU148,INDEX((係数_バス貨物_ガソリン,係数_バス貨物_CNG,係数_バス貨物_軽油,係数_バス貨物_メタノール,係数_バス貨物_LPG),MATCH(AY148,【参考】排出係数!$AI$4:$AI$671,1),1,BE148):INDEX((係数_バス貨物_ガソリン,係数_バス貨物_CNG,係数_バス貨物_軽油,係数_バス貨物_メタノール,係数_バス貨物_LPG),MATCH(AY148+1,【参考】排出係数!$AI$4:$AI$671,1)-1,5,BE148),3,FALSE),IF(OR(AW148=1,AW148=2),VLOOKUP(AU148,INDEX((係数_乗用_ガソリン,係数_乗用_CNG,係数_乗用_軽油,係数_乗用_メタノール,係数_乗用_LPG),1,1,BE148):INDEX((係数_乗用_ガソリン,係数_乗用_CNG,係数_乗用_軽油,係数_乗用_メタノール,係数_乗用_LPG),125,5,BE148),3,FALSE))))))</f>
        <v/>
      </c>
      <c r="BC148" s="467" t="str">
        <f t="shared" si="78"/>
        <v/>
      </c>
      <c r="BD148" s="567" t="str">
        <f t="shared" si="79"/>
        <v/>
      </c>
      <c r="BE148" s="467" t="str">
        <f t="shared" si="80"/>
        <v/>
      </c>
      <c r="BF148" s="469" t="str">
        <f t="shared" ca="1" si="81"/>
        <v/>
      </c>
      <c r="BG148" s="469" t="str">
        <f t="shared" ca="1" si="82"/>
        <v/>
      </c>
      <c r="BH148" s="467" t="str">
        <f t="shared" si="83"/>
        <v/>
      </c>
      <c r="BI148" s="467" t="str">
        <f t="shared" ca="1" si="84"/>
        <v/>
      </c>
      <c r="BJ148" s="469" t="str">
        <f t="shared" si="85"/>
        <v/>
      </c>
      <c r="BK148" s="470" t="str">
        <f t="shared" si="65"/>
        <v/>
      </c>
      <c r="BL148" s="775" t="str">
        <f t="shared" si="86"/>
        <v/>
      </c>
      <c r="BM148" s="775" t="str">
        <f t="shared" si="87"/>
        <v/>
      </c>
      <c r="BO148" s="472"/>
    </row>
    <row r="149" spans="1:67" s="471" customFormat="1" ht="13.5" customHeight="1">
      <c r="A149" s="473">
        <v>93</v>
      </c>
      <c r="B149" s="132"/>
      <c r="C149" s="332"/>
      <c r="D149" s="333"/>
      <c r="E149" s="333"/>
      <c r="F149" s="334"/>
      <c r="G149" s="337"/>
      <c r="H149" s="131"/>
      <c r="I149" s="337"/>
      <c r="J149" s="131"/>
      <c r="K149" s="458" t="str">
        <f t="shared" si="54"/>
        <v/>
      </c>
      <c r="L149" s="458">
        <f t="shared" si="66"/>
        <v>0</v>
      </c>
      <c r="M149" s="458">
        <f t="shared" si="67"/>
        <v>0</v>
      </c>
      <c r="N149" s="459" t="str">
        <f t="shared" si="55"/>
        <v/>
      </c>
      <c r="O149" s="459" t="str">
        <f t="shared" si="56"/>
        <v/>
      </c>
      <c r="P149" s="459" t="str">
        <f t="shared" si="57"/>
        <v/>
      </c>
      <c r="Q149" s="459" t="str">
        <f t="shared" si="58"/>
        <v/>
      </c>
      <c r="R149" s="459" t="str">
        <f t="shared" si="59"/>
        <v/>
      </c>
      <c r="S149" s="459" t="str">
        <f t="shared" si="60"/>
        <v/>
      </c>
      <c r="T149" s="566" t="str">
        <f t="shared" si="68"/>
        <v/>
      </c>
      <c r="U149" s="702"/>
      <c r="V149" s="132"/>
      <c r="W149" s="133"/>
      <c r="X149" s="134"/>
      <c r="Y149" s="135"/>
      <c r="Z149" s="137"/>
      <c r="AA149" s="136"/>
      <c r="AB149" s="566" t="str">
        <f t="shared" si="61"/>
        <v/>
      </c>
      <c r="AC149" s="568" t="str">
        <f t="shared" si="69"/>
        <v/>
      </c>
      <c r="AD149" s="137"/>
      <c r="AE149" s="137"/>
      <c r="AF149" s="138"/>
      <c r="AG149" s="138"/>
      <c r="AH149" s="592" t="str">
        <f t="shared" si="62"/>
        <v/>
      </c>
      <c r="AI149" s="592" t="str">
        <f t="shared" si="63"/>
        <v/>
      </c>
      <c r="AJ149" s="592" t="str">
        <f t="shared" si="64"/>
        <v/>
      </c>
      <c r="AK149" s="460" t="str">
        <f>IF(AU149="","",IF(OR(AZ149=8,AZ149=9),0,IF(OR(AW149=3,AW149=4,AW149=5,AW149=6),IF(LEFT(BF149,1)="1",INDEX(係数_NOX・PM低減,MATCH(AY149,【参考】排出係数!$AI$801:$AI$804,1),1),VLOOKUP(AU149,INDEX((係数_バス貨物_ガソリン,係数_バス貨物_CNG,係数_バス貨物_軽油,係数_バス貨物_メタノール,係数_バス貨物_LPG),MATCH(AY149,【参考】排出係数!$AI$4:$AI$671,1),1,BE149):INDEX((係数_バス貨物_ガソリン,係数_バス貨物_CNG,係数_バス貨物_軽油,係数_バス貨物_メタノール,係数_バス貨物_LPG),MATCH(AY149+1,【参考】排出係数!$AI$4:$AI$671,1)-1,5,BE149),4,FALSE)),IF(AND(BE149=3,LEFT(BF149,1)="1"),0.48,VLOOKUP(AU149,INDEX((係数_乗用_ガソリン,係数_乗用_CNG,係数_乗用_軽油,係数_乗用_メタノール,係数_乗用_LPG),1,1,BE149):INDEX((係数_乗用_ガソリン,係数_乗用_CNG,係数_乗用_軽油,係数_乗用_メタノール,係数_乗用_LPG),125,5,BE149),4,FALSE)))))</f>
        <v/>
      </c>
      <c r="AL149" s="461" t="str">
        <f t="shared" si="88"/>
        <v/>
      </c>
      <c r="AM149" s="460" t="str">
        <f>IF(AU149="","",IF(OR(AZ149=8,AZ149=9),0,IF(OR(AW149=3,AW149=4,AW149=5,AW149=6),IF(LEFT(BH149,1)="1",INDEX(係数_PM低減,MATCH(AY149,【参考】排出係数!$AI$801:$AI$804,1),MATCH(BI149,【参考】排出係数!$AL$798:$AO$798,1)),VLOOKUP(AU149,INDEX((係数_バス貨物_ガソリン,係数_バス貨物_CNG,係数_バス貨物_軽油,係数_バス貨物_メタノール,係数_バス貨物_LPG),MATCH(AY149,【参考】排出係数!$AI$4:$AI$671,1),1,BE149):INDEX((係数_バス貨物_ガソリン,係数_バス貨物_CNG,係数_バス貨物_軽油,係数_バス貨物_メタノール,係数_バス貨物_LPG),MATCH(AY149+1,【参考】排出係数!$AI$4:$AI$671,1)-1,5,BE149),5,FALSE)),IF(AND(BE149=3,LEFT(BF149,1)="1"),0.055,VLOOKUP(AU149,INDEX((係数_乗用_ガソリン,係数_乗用_CNG,係数_乗用_軽油,係数_乗用_メタノール,係数_乗用_LPG),1,1,BE149):INDEX((係数_乗用_ガソリン,係数_乗用_CNG,係数_乗用_軽油,係数_乗用_メタノール,係数_乗用_LPG),125,5,BE149),5,FALSE)))))</f>
        <v/>
      </c>
      <c r="AN149" s="461" t="str">
        <f t="shared" si="89"/>
        <v/>
      </c>
      <c r="AO149" s="462" t="str">
        <f t="shared" si="90"/>
        <v/>
      </c>
      <c r="AP149" s="463" t="str">
        <f t="shared" si="91"/>
        <v/>
      </c>
      <c r="AQ149" s="464"/>
      <c r="AR149" s="619"/>
      <c r="AS149" s="465" t="str">
        <f t="shared" si="70"/>
        <v/>
      </c>
      <c r="AT149" s="465" t="str">
        <f t="shared" si="71"/>
        <v/>
      </c>
      <c r="AU149" s="466" t="str">
        <f t="shared" si="72"/>
        <v/>
      </c>
      <c r="AV149" s="467" t="str">
        <f t="shared" si="73"/>
        <v/>
      </c>
      <c r="AW149" s="467" t="str">
        <f t="shared" si="74"/>
        <v/>
      </c>
      <c r="AX149" s="467" t="str">
        <f t="shared" si="75"/>
        <v/>
      </c>
      <c r="AY149" s="467" t="str">
        <f t="shared" si="76"/>
        <v/>
      </c>
      <c r="AZ149" s="467" t="str">
        <f t="shared" si="77"/>
        <v/>
      </c>
      <c r="BA149" s="468" t="str">
        <f>IF(AS149="","",IF(OR(AU149="",AU149="-"),"－",IF(OR(AZ149=8,AZ149=9),"",IF(OR(AW149=3,AW149=4,AW149=5,AW149=6),VLOOKUP(AU149,INDEX((係数_バス貨物_ガソリン,係数_バス貨物_CNG,係数_バス貨物_軽油,係数_バス貨物_メタノール,係数_バス貨物_LPG),MATCH(AY149,【参考】排出係数!$AI$4:$AI$671,1),1,BE149):INDEX((係数_バス貨物_ガソリン,係数_バス貨物_CNG,係数_バス貨物_軽油,係数_バス貨物_メタノール,係数_バス貨物_LPG),MATCH(AY149+1,【参考】排出係数!$AI$4:$AI$671,1)-1,5,BE149),2,FALSE),IF(OR(AW149=1,AW149=2),VLOOKUP(AU149,INDEX((係数_乗用_ガソリン,係数_乗用_CNG,係数_乗用_軽油,係数_乗用_メタノール,係数_乗用_LPG),1,1,BE149):INDEX((係数_乗用_ガソリン,係数_乗用_CNG,係数_乗用_軽油,係数_乗用_メタノール,係数_乗用_LPG),125,5,BE149),2,FALSE))))))</f>
        <v/>
      </c>
      <c r="BB149" s="468" t="str">
        <f>IF(T149="","",IF(OR(AU149="",AU149="-"),"－",IF(OR(AZ149=8,AZ149=9),"",IF(OR(AW149=3,AW149=4,AW149=5,AW149=6),VLOOKUP(AU149,INDEX((係数_バス貨物_ガソリン,係数_バス貨物_CNG,係数_バス貨物_軽油,係数_バス貨物_メタノール,係数_バス貨物_LPG),MATCH(AY149,【参考】排出係数!$AI$4:$AI$671,1),1,BE149):INDEX((係数_バス貨物_ガソリン,係数_バス貨物_CNG,係数_バス貨物_軽油,係数_バス貨物_メタノール,係数_バス貨物_LPG),MATCH(AY149+1,【参考】排出係数!$AI$4:$AI$671,1)-1,5,BE149),3,FALSE),IF(OR(AW149=1,AW149=2),VLOOKUP(AU149,INDEX((係数_乗用_ガソリン,係数_乗用_CNG,係数_乗用_軽油,係数_乗用_メタノール,係数_乗用_LPG),1,1,BE149):INDEX((係数_乗用_ガソリン,係数_乗用_CNG,係数_乗用_軽油,係数_乗用_メタノール,係数_乗用_LPG),125,5,BE149),3,FALSE))))))</f>
        <v/>
      </c>
      <c r="BC149" s="467" t="str">
        <f t="shared" si="78"/>
        <v/>
      </c>
      <c r="BD149" s="567" t="str">
        <f t="shared" si="79"/>
        <v/>
      </c>
      <c r="BE149" s="467" t="str">
        <f t="shared" si="80"/>
        <v/>
      </c>
      <c r="BF149" s="469" t="str">
        <f t="shared" ca="1" si="81"/>
        <v/>
      </c>
      <c r="BG149" s="469" t="str">
        <f t="shared" ca="1" si="82"/>
        <v/>
      </c>
      <c r="BH149" s="467" t="str">
        <f t="shared" si="83"/>
        <v/>
      </c>
      <c r="BI149" s="467" t="str">
        <f t="shared" ca="1" si="84"/>
        <v/>
      </c>
      <c r="BJ149" s="469" t="str">
        <f t="shared" si="85"/>
        <v/>
      </c>
      <c r="BK149" s="470" t="str">
        <f t="shared" si="65"/>
        <v/>
      </c>
      <c r="BL149" s="775" t="str">
        <f t="shared" si="86"/>
        <v/>
      </c>
      <c r="BM149" s="775" t="str">
        <f t="shared" si="87"/>
        <v/>
      </c>
      <c r="BO149" s="472"/>
    </row>
    <row r="150" spans="1:67" s="471" customFormat="1" ht="13.5" customHeight="1">
      <c r="A150" s="473">
        <v>94</v>
      </c>
      <c r="B150" s="132"/>
      <c r="C150" s="332"/>
      <c r="D150" s="333"/>
      <c r="E150" s="333"/>
      <c r="F150" s="334"/>
      <c r="G150" s="337"/>
      <c r="H150" s="131"/>
      <c r="I150" s="337"/>
      <c r="J150" s="131"/>
      <c r="K150" s="458" t="str">
        <f t="shared" si="54"/>
        <v/>
      </c>
      <c r="L150" s="458">
        <f t="shared" si="66"/>
        <v>0</v>
      </c>
      <c r="M150" s="458">
        <f t="shared" si="67"/>
        <v>0</v>
      </c>
      <c r="N150" s="459" t="str">
        <f t="shared" si="55"/>
        <v/>
      </c>
      <c r="O150" s="459" t="str">
        <f t="shared" si="56"/>
        <v/>
      </c>
      <c r="P150" s="459" t="str">
        <f t="shared" si="57"/>
        <v/>
      </c>
      <c r="Q150" s="459" t="str">
        <f t="shared" si="58"/>
        <v/>
      </c>
      <c r="R150" s="459" t="str">
        <f t="shared" si="59"/>
        <v/>
      </c>
      <c r="S150" s="459" t="str">
        <f t="shared" si="60"/>
        <v/>
      </c>
      <c r="T150" s="566" t="str">
        <f t="shared" si="68"/>
        <v/>
      </c>
      <c r="U150" s="702"/>
      <c r="V150" s="132"/>
      <c r="W150" s="133"/>
      <c r="X150" s="134"/>
      <c r="Y150" s="135"/>
      <c r="Z150" s="137"/>
      <c r="AA150" s="136"/>
      <c r="AB150" s="566" t="str">
        <f t="shared" si="61"/>
        <v/>
      </c>
      <c r="AC150" s="568" t="str">
        <f t="shared" si="69"/>
        <v/>
      </c>
      <c r="AD150" s="137"/>
      <c r="AE150" s="137"/>
      <c r="AF150" s="138"/>
      <c r="AG150" s="138"/>
      <c r="AH150" s="592" t="str">
        <f t="shared" si="62"/>
        <v/>
      </c>
      <c r="AI150" s="592" t="str">
        <f t="shared" si="63"/>
        <v/>
      </c>
      <c r="AJ150" s="592" t="str">
        <f t="shared" si="64"/>
        <v/>
      </c>
      <c r="AK150" s="460" t="str">
        <f>IF(AU150="","",IF(OR(AZ150=8,AZ150=9),0,IF(OR(AW150=3,AW150=4,AW150=5,AW150=6),IF(LEFT(BF150,1)="1",INDEX(係数_NOX・PM低減,MATCH(AY150,【参考】排出係数!$AI$801:$AI$804,1),1),VLOOKUP(AU150,INDEX((係数_バス貨物_ガソリン,係数_バス貨物_CNG,係数_バス貨物_軽油,係数_バス貨物_メタノール,係数_バス貨物_LPG),MATCH(AY150,【参考】排出係数!$AI$4:$AI$671,1),1,BE150):INDEX((係数_バス貨物_ガソリン,係数_バス貨物_CNG,係数_バス貨物_軽油,係数_バス貨物_メタノール,係数_バス貨物_LPG),MATCH(AY150+1,【参考】排出係数!$AI$4:$AI$671,1)-1,5,BE150),4,FALSE)),IF(AND(BE150=3,LEFT(BF150,1)="1"),0.48,VLOOKUP(AU150,INDEX((係数_乗用_ガソリン,係数_乗用_CNG,係数_乗用_軽油,係数_乗用_メタノール,係数_乗用_LPG),1,1,BE150):INDEX((係数_乗用_ガソリン,係数_乗用_CNG,係数_乗用_軽油,係数_乗用_メタノール,係数_乗用_LPG),125,5,BE150),4,FALSE)))))</f>
        <v/>
      </c>
      <c r="AL150" s="461" t="str">
        <f t="shared" si="88"/>
        <v/>
      </c>
      <c r="AM150" s="460" t="str">
        <f>IF(AU150="","",IF(OR(AZ150=8,AZ150=9),0,IF(OR(AW150=3,AW150=4,AW150=5,AW150=6),IF(LEFT(BH150,1)="1",INDEX(係数_PM低減,MATCH(AY150,【参考】排出係数!$AI$801:$AI$804,1),MATCH(BI150,【参考】排出係数!$AL$798:$AO$798,1)),VLOOKUP(AU150,INDEX((係数_バス貨物_ガソリン,係数_バス貨物_CNG,係数_バス貨物_軽油,係数_バス貨物_メタノール,係数_バス貨物_LPG),MATCH(AY150,【参考】排出係数!$AI$4:$AI$671,1),1,BE150):INDEX((係数_バス貨物_ガソリン,係数_バス貨物_CNG,係数_バス貨物_軽油,係数_バス貨物_メタノール,係数_バス貨物_LPG),MATCH(AY150+1,【参考】排出係数!$AI$4:$AI$671,1)-1,5,BE150),5,FALSE)),IF(AND(BE150=3,LEFT(BF150,1)="1"),0.055,VLOOKUP(AU150,INDEX((係数_乗用_ガソリン,係数_乗用_CNG,係数_乗用_軽油,係数_乗用_メタノール,係数_乗用_LPG),1,1,BE150):INDEX((係数_乗用_ガソリン,係数_乗用_CNG,係数_乗用_軽油,係数_乗用_メタノール,係数_乗用_LPG),125,5,BE150),5,FALSE)))))</f>
        <v/>
      </c>
      <c r="AN150" s="461" t="str">
        <f t="shared" si="89"/>
        <v/>
      </c>
      <c r="AO150" s="462" t="str">
        <f t="shared" si="90"/>
        <v/>
      </c>
      <c r="AP150" s="463" t="str">
        <f t="shared" si="91"/>
        <v/>
      </c>
      <c r="AQ150" s="464"/>
      <c r="AR150" s="619"/>
      <c r="AS150" s="465" t="str">
        <f t="shared" si="70"/>
        <v/>
      </c>
      <c r="AT150" s="465" t="str">
        <f t="shared" si="71"/>
        <v/>
      </c>
      <c r="AU150" s="466" t="str">
        <f t="shared" si="72"/>
        <v/>
      </c>
      <c r="AV150" s="467" t="str">
        <f t="shared" si="73"/>
        <v/>
      </c>
      <c r="AW150" s="467" t="str">
        <f t="shared" si="74"/>
        <v/>
      </c>
      <c r="AX150" s="467" t="str">
        <f t="shared" si="75"/>
        <v/>
      </c>
      <c r="AY150" s="467" t="str">
        <f t="shared" si="76"/>
        <v/>
      </c>
      <c r="AZ150" s="467" t="str">
        <f t="shared" si="77"/>
        <v/>
      </c>
      <c r="BA150" s="468" t="str">
        <f>IF(AS150="","",IF(OR(AU150="",AU150="-"),"－",IF(OR(AZ150=8,AZ150=9),"",IF(OR(AW150=3,AW150=4,AW150=5,AW150=6),VLOOKUP(AU150,INDEX((係数_バス貨物_ガソリン,係数_バス貨物_CNG,係数_バス貨物_軽油,係数_バス貨物_メタノール,係数_バス貨物_LPG),MATCH(AY150,【参考】排出係数!$AI$4:$AI$671,1),1,BE150):INDEX((係数_バス貨物_ガソリン,係数_バス貨物_CNG,係数_バス貨物_軽油,係数_バス貨物_メタノール,係数_バス貨物_LPG),MATCH(AY150+1,【参考】排出係数!$AI$4:$AI$671,1)-1,5,BE150),2,FALSE),IF(OR(AW150=1,AW150=2),VLOOKUP(AU150,INDEX((係数_乗用_ガソリン,係数_乗用_CNG,係数_乗用_軽油,係数_乗用_メタノール,係数_乗用_LPG),1,1,BE150):INDEX((係数_乗用_ガソリン,係数_乗用_CNG,係数_乗用_軽油,係数_乗用_メタノール,係数_乗用_LPG),125,5,BE150),2,FALSE))))))</f>
        <v/>
      </c>
      <c r="BB150" s="468" t="str">
        <f>IF(T150="","",IF(OR(AU150="",AU150="-"),"－",IF(OR(AZ150=8,AZ150=9),"",IF(OR(AW150=3,AW150=4,AW150=5,AW150=6),VLOOKUP(AU150,INDEX((係数_バス貨物_ガソリン,係数_バス貨物_CNG,係数_バス貨物_軽油,係数_バス貨物_メタノール,係数_バス貨物_LPG),MATCH(AY150,【参考】排出係数!$AI$4:$AI$671,1),1,BE150):INDEX((係数_バス貨物_ガソリン,係数_バス貨物_CNG,係数_バス貨物_軽油,係数_バス貨物_メタノール,係数_バス貨物_LPG),MATCH(AY150+1,【参考】排出係数!$AI$4:$AI$671,1)-1,5,BE150),3,FALSE),IF(OR(AW150=1,AW150=2),VLOOKUP(AU150,INDEX((係数_乗用_ガソリン,係数_乗用_CNG,係数_乗用_軽油,係数_乗用_メタノール,係数_乗用_LPG),1,1,BE150):INDEX((係数_乗用_ガソリン,係数_乗用_CNG,係数_乗用_軽油,係数_乗用_メタノール,係数_乗用_LPG),125,5,BE150),3,FALSE))))))</f>
        <v/>
      </c>
      <c r="BC150" s="467" t="str">
        <f t="shared" si="78"/>
        <v/>
      </c>
      <c r="BD150" s="567" t="str">
        <f t="shared" si="79"/>
        <v/>
      </c>
      <c r="BE150" s="467" t="str">
        <f t="shared" si="80"/>
        <v/>
      </c>
      <c r="BF150" s="469" t="str">
        <f t="shared" ca="1" si="81"/>
        <v/>
      </c>
      <c r="BG150" s="469" t="str">
        <f t="shared" ca="1" si="82"/>
        <v/>
      </c>
      <c r="BH150" s="467" t="str">
        <f t="shared" si="83"/>
        <v/>
      </c>
      <c r="BI150" s="467" t="str">
        <f t="shared" ca="1" si="84"/>
        <v/>
      </c>
      <c r="BJ150" s="469" t="str">
        <f t="shared" si="85"/>
        <v/>
      </c>
      <c r="BK150" s="470" t="str">
        <f t="shared" si="65"/>
        <v/>
      </c>
      <c r="BL150" s="775" t="str">
        <f t="shared" si="86"/>
        <v/>
      </c>
      <c r="BM150" s="775" t="str">
        <f t="shared" si="87"/>
        <v/>
      </c>
      <c r="BO150" s="472"/>
    </row>
    <row r="151" spans="1:67" s="471" customFormat="1" ht="13.5" customHeight="1">
      <c r="A151" s="473">
        <v>95</v>
      </c>
      <c r="B151" s="132"/>
      <c r="C151" s="332"/>
      <c r="D151" s="333"/>
      <c r="E151" s="333"/>
      <c r="F151" s="334"/>
      <c r="G151" s="337"/>
      <c r="H151" s="131"/>
      <c r="I151" s="337"/>
      <c r="J151" s="131"/>
      <c r="K151" s="458" t="str">
        <f t="shared" si="54"/>
        <v/>
      </c>
      <c r="L151" s="458">
        <f t="shared" si="66"/>
        <v>0</v>
      </c>
      <c r="M151" s="458">
        <f t="shared" si="67"/>
        <v>0</v>
      </c>
      <c r="N151" s="459" t="str">
        <f t="shared" si="55"/>
        <v/>
      </c>
      <c r="O151" s="459" t="str">
        <f t="shared" si="56"/>
        <v/>
      </c>
      <c r="P151" s="459" t="str">
        <f t="shared" si="57"/>
        <v/>
      </c>
      <c r="Q151" s="459" t="str">
        <f t="shared" si="58"/>
        <v/>
      </c>
      <c r="R151" s="459" t="str">
        <f t="shared" si="59"/>
        <v/>
      </c>
      <c r="S151" s="459" t="str">
        <f t="shared" si="60"/>
        <v/>
      </c>
      <c r="T151" s="566" t="str">
        <f t="shared" si="68"/>
        <v/>
      </c>
      <c r="U151" s="702"/>
      <c r="V151" s="132"/>
      <c r="W151" s="133"/>
      <c r="X151" s="134"/>
      <c r="Y151" s="135"/>
      <c r="Z151" s="137"/>
      <c r="AA151" s="136"/>
      <c r="AB151" s="566" t="str">
        <f t="shared" si="61"/>
        <v/>
      </c>
      <c r="AC151" s="568" t="str">
        <f t="shared" si="69"/>
        <v/>
      </c>
      <c r="AD151" s="137"/>
      <c r="AE151" s="137"/>
      <c r="AF151" s="138"/>
      <c r="AG151" s="138"/>
      <c r="AH151" s="592" t="str">
        <f t="shared" si="62"/>
        <v/>
      </c>
      <c r="AI151" s="592" t="str">
        <f t="shared" si="63"/>
        <v/>
      </c>
      <c r="AJ151" s="592" t="str">
        <f t="shared" si="64"/>
        <v/>
      </c>
      <c r="AK151" s="460" t="str">
        <f>IF(AU151="","",IF(OR(AZ151=8,AZ151=9),0,IF(OR(AW151=3,AW151=4,AW151=5,AW151=6),IF(LEFT(BF151,1)="1",INDEX(係数_NOX・PM低減,MATCH(AY151,【参考】排出係数!$AI$801:$AI$804,1),1),VLOOKUP(AU151,INDEX((係数_バス貨物_ガソリン,係数_バス貨物_CNG,係数_バス貨物_軽油,係数_バス貨物_メタノール,係数_バス貨物_LPG),MATCH(AY151,【参考】排出係数!$AI$4:$AI$671,1),1,BE151):INDEX((係数_バス貨物_ガソリン,係数_バス貨物_CNG,係数_バス貨物_軽油,係数_バス貨物_メタノール,係数_バス貨物_LPG),MATCH(AY151+1,【参考】排出係数!$AI$4:$AI$671,1)-1,5,BE151),4,FALSE)),IF(AND(BE151=3,LEFT(BF151,1)="1"),0.48,VLOOKUP(AU151,INDEX((係数_乗用_ガソリン,係数_乗用_CNG,係数_乗用_軽油,係数_乗用_メタノール,係数_乗用_LPG),1,1,BE151):INDEX((係数_乗用_ガソリン,係数_乗用_CNG,係数_乗用_軽油,係数_乗用_メタノール,係数_乗用_LPG),125,5,BE151),4,FALSE)))))</f>
        <v/>
      </c>
      <c r="AL151" s="461" t="str">
        <f t="shared" si="88"/>
        <v/>
      </c>
      <c r="AM151" s="460" t="str">
        <f>IF(AU151="","",IF(OR(AZ151=8,AZ151=9),0,IF(OR(AW151=3,AW151=4,AW151=5,AW151=6),IF(LEFT(BH151,1)="1",INDEX(係数_PM低減,MATCH(AY151,【参考】排出係数!$AI$801:$AI$804,1),MATCH(BI151,【参考】排出係数!$AL$798:$AO$798,1)),VLOOKUP(AU151,INDEX((係数_バス貨物_ガソリン,係数_バス貨物_CNG,係数_バス貨物_軽油,係数_バス貨物_メタノール,係数_バス貨物_LPG),MATCH(AY151,【参考】排出係数!$AI$4:$AI$671,1),1,BE151):INDEX((係数_バス貨物_ガソリン,係数_バス貨物_CNG,係数_バス貨物_軽油,係数_バス貨物_メタノール,係数_バス貨物_LPG),MATCH(AY151+1,【参考】排出係数!$AI$4:$AI$671,1)-1,5,BE151),5,FALSE)),IF(AND(BE151=3,LEFT(BF151,1)="1"),0.055,VLOOKUP(AU151,INDEX((係数_乗用_ガソリン,係数_乗用_CNG,係数_乗用_軽油,係数_乗用_メタノール,係数_乗用_LPG),1,1,BE151):INDEX((係数_乗用_ガソリン,係数_乗用_CNG,係数_乗用_軽油,係数_乗用_メタノール,係数_乗用_LPG),125,5,BE151),5,FALSE)))))</f>
        <v/>
      </c>
      <c r="AN151" s="461" t="str">
        <f t="shared" si="89"/>
        <v/>
      </c>
      <c r="AO151" s="462" t="str">
        <f t="shared" si="90"/>
        <v/>
      </c>
      <c r="AP151" s="463" t="str">
        <f t="shared" si="91"/>
        <v/>
      </c>
      <c r="AQ151" s="464"/>
      <c r="AR151" s="619"/>
      <c r="AS151" s="465" t="str">
        <f t="shared" si="70"/>
        <v/>
      </c>
      <c r="AT151" s="465" t="str">
        <f t="shared" si="71"/>
        <v/>
      </c>
      <c r="AU151" s="466" t="str">
        <f t="shared" si="72"/>
        <v/>
      </c>
      <c r="AV151" s="467" t="str">
        <f t="shared" si="73"/>
        <v/>
      </c>
      <c r="AW151" s="467" t="str">
        <f t="shared" si="74"/>
        <v/>
      </c>
      <c r="AX151" s="467" t="str">
        <f t="shared" si="75"/>
        <v/>
      </c>
      <c r="AY151" s="467" t="str">
        <f t="shared" si="76"/>
        <v/>
      </c>
      <c r="AZ151" s="467" t="str">
        <f t="shared" si="77"/>
        <v/>
      </c>
      <c r="BA151" s="468" t="str">
        <f>IF(AS151="","",IF(OR(AU151="",AU151="-"),"－",IF(OR(AZ151=8,AZ151=9),"",IF(OR(AW151=3,AW151=4,AW151=5,AW151=6),VLOOKUP(AU151,INDEX((係数_バス貨物_ガソリン,係数_バス貨物_CNG,係数_バス貨物_軽油,係数_バス貨物_メタノール,係数_バス貨物_LPG),MATCH(AY151,【参考】排出係数!$AI$4:$AI$671,1),1,BE151):INDEX((係数_バス貨物_ガソリン,係数_バス貨物_CNG,係数_バス貨物_軽油,係数_バス貨物_メタノール,係数_バス貨物_LPG),MATCH(AY151+1,【参考】排出係数!$AI$4:$AI$671,1)-1,5,BE151),2,FALSE),IF(OR(AW151=1,AW151=2),VLOOKUP(AU151,INDEX((係数_乗用_ガソリン,係数_乗用_CNG,係数_乗用_軽油,係数_乗用_メタノール,係数_乗用_LPG),1,1,BE151):INDEX((係数_乗用_ガソリン,係数_乗用_CNG,係数_乗用_軽油,係数_乗用_メタノール,係数_乗用_LPG),125,5,BE151),2,FALSE))))))</f>
        <v/>
      </c>
      <c r="BB151" s="468" t="str">
        <f>IF(T151="","",IF(OR(AU151="",AU151="-"),"－",IF(OR(AZ151=8,AZ151=9),"",IF(OR(AW151=3,AW151=4,AW151=5,AW151=6),VLOOKUP(AU151,INDEX((係数_バス貨物_ガソリン,係数_バス貨物_CNG,係数_バス貨物_軽油,係数_バス貨物_メタノール,係数_バス貨物_LPG),MATCH(AY151,【参考】排出係数!$AI$4:$AI$671,1),1,BE151):INDEX((係数_バス貨物_ガソリン,係数_バス貨物_CNG,係数_バス貨物_軽油,係数_バス貨物_メタノール,係数_バス貨物_LPG),MATCH(AY151+1,【参考】排出係数!$AI$4:$AI$671,1)-1,5,BE151),3,FALSE),IF(OR(AW151=1,AW151=2),VLOOKUP(AU151,INDEX((係数_乗用_ガソリン,係数_乗用_CNG,係数_乗用_軽油,係数_乗用_メタノール,係数_乗用_LPG),1,1,BE151):INDEX((係数_乗用_ガソリン,係数_乗用_CNG,係数_乗用_軽油,係数_乗用_メタノール,係数_乗用_LPG),125,5,BE151),3,FALSE))))))</f>
        <v/>
      </c>
      <c r="BC151" s="467" t="str">
        <f t="shared" si="78"/>
        <v/>
      </c>
      <c r="BD151" s="567" t="str">
        <f t="shared" si="79"/>
        <v/>
      </c>
      <c r="BE151" s="467" t="str">
        <f t="shared" si="80"/>
        <v/>
      </c>
      <c r="BF151" s="469" t="str">
        <f t="shared" ca="1" si="81"/>
        <v/>
      </c>
      <c r="BG151" s="469" t="str">
        <f t="shared" ca="1" si="82"/>
        <v/>
      </c>
      <c r="BH151" s="467" t="str">
        <f t="shared" si="83"/>
        <v/>
      </c>
      <c r="BI151" s="467" t="str">
        <f t="shared" ca="1" si="84"/>
        <v/>
      </c>
      <c r="BJ151" s="469" t="str">
        <f t="shared" si="85"/>
        <v/>
      </c>
      <c r="BK151" s="470" t="str">
        <f t="shared" si="65"/>
        <v/>
      </c>
      <c r="BL151" s="775" t="str">
        <f t="shared" si="86"/>
        <v/>
      </c>
      <c r="BM151" s="775" t="str">
        <f t="shared" si="87"/>
        <v/>
      </c>
      <c r="BO151" s="472"/>
    </row>
    <row r="152" spans="1:67" s="471" customFormat="1" ht="13.5" customHeight="1">
      <c r="A152" s="473">
        <v>96</v>
      </c>
      <c r="B152" s="132"/>
      <c r="C152" s="332"/>
      <c r="D152" s="333"/>
      <c r="E152" s="333"/>
      <c r="F152" s="334"/>
      <c r="G152" s="337"/>
      <c r="H152" s="131"/>
      <c r="I152" s="337"/>
      <c r="J152" s="131"/>
      <c r="K152" s="458" t="str">
        <f t="shared" si="54"/>
        <v/>
      </c>
      <c r="L152" s="458">
        <f t="shared" si="66"/>
        <v>0</v>
      </c>
      <c r="M152" s="458">
        <f t="shared" si="67"/>
        <v>0</v>
      </c>
      <c r="N152" s="459" t="str">
        <f t="shared" si="55"/>
        <v/>
      </c>
      <c r="O152" s="459" t="str">
        <f t="shared" si="56"/>
        <v/>
      </c>
      <c r="P152" s="459" t="str">
        <f t="shared" si="57"/>
        <v/>
      </c>
      <c r="Q152" s="459" t="str">
        <f t="shared" si="58"/>
        <v/>
      </c>
      <c r="R152" s="459" t="str">
        <f t="shared" si="59"/>
        <v/>
      </c>
      <c r="S152" s="459" t="str">
        <f t="shared" si="60"/>
        <v/>
      </c>
      <c r="T152" s="566" t="str">
        <f t="shared" si="68"/>
        <v/>
      </c>
      <c r="U152" s="702"/>
      <c r="V152" s="132"/>
      <c r="W152" s="133"/>
      <c r="X152" s="134"/>
      <c r="Y152" s="135"/>
      <c r="Z152" s="137"/>
      <c r="AA152" s="136"/>
      <c r="AB152" s="566" t="str">
        <f t="shared" si="61"/>
        <v/>
      </c>
      <c r="AC152" s="568" t="str">
        <f t="shared" si="69"/>
        <v/>
      </c>
      <c r="AD152" s="137"/>
      <c r="AE152" s="137"/>
      <c r="AF152" s="138"/>
      <c r="AG152" s="138"/>
      <c r="AH152" s="592" t="str">
        <f t="shared" si="62"/>
        <v/>
      </c>
      <c r="AI152" s="592" t="str">
        <f t="shared" si="63"/>
        <v/>
      </c>
      <c r="AJ152" s="592" t="str">
        <f t="shared" si="64"/>
        <v/>
      </c>
      <c r="AK152" s="460" t="str">
        <f>IF(AU152="","",IF(OR(AZ152=8,AZ152=9),0,IF(OR(AW152=3,AW152=4,AW152=5,AW152=6),IF(LEFT(BF152,1)="1",INDEX(係数_NOX・PM低減,MATCH(AY152,【参考】排出係数!$AI$801:$AI$804,1),1),VLOOKUP(AU152,INDEX((係数_バス貨物_ガソリン,係数_バス貨物_CNG,係数_バス貨物_軽油,係数_バス貨物_メタノール,係数_バス貨物_LPG),MATCH(AY152,【参考】排出係数!$AI$4:$AI$671,1),1,BE152):INDEX((係数_バス貨物_ガソリン,係数_バス貨物_CNG,係数_バス貨物_軽油,係数_バス貨物_メタノール,係数_バス貨物_LPG),MATCH(AY152+1,【参考】排出係数!$AI$4:$AI$671,1)-1,5,BE152),4,FALSE)),IF(AND(BE152=3,LEFT(BF152,1)="1"),0.48,VLOOKUP(AU152,INDEX((係数_乗用_ガソリン,係数_乗用_CNG,係数_乗用_軽油,係数_乗用_メタノール,係数_乗用_LPG),1,1,BE152):INDEX((係数_乗用_ガソリン,係数_乗用_CNG,係数_乗用_軽油,係数_乗用_メタノール,係数_乗用_LPG),125,5,BE152),4,FALSE)))))</f>
        <v/>
      </c>
      <c r="AL152" s="461" t="str">
        <f t="shared" si="88"/>
        <v/>
      </c>
      <c r="AM152" s="460" t="str">
        <f>IF(AU152="","",IF(OR(AZ152=8,AZ152=9),0,IF(OR(AW152=3,AW152=4,AW152=5,AW152=6),IF(LEFT(BH152,1)="1",INDEX(係数_PM低減,MATCH(AY152,【参考】排出係数!$AI$801:$AI$804,1),MATCH(BI152,【参考】排出係数!$AL$798:$AO$798,1)),VLOOKUP(AU152,INDEX((係数_バス貨物_ガソリン,係数_バス貨物_CNG,係数_バス貨物_軽油,係数_バス貨物_メタノール,係数_バス貨物_LPG),MATCH(AY152,【参考】排出係数!$AI$4:$AI$671,1),1,BE152):INDEX((係数_バス貨物_ガソリン,係数_バス貨物_CNG,係数_バス貨物_軽油,係数_バス貨物_メタノール,係数_バス貨物_LPG),MATCH(AY152+1,【参考】排出係数!$AI$4:$AI$671,1)-1,5,BE152),5,FALSE)),IF(AND(BE152=3,LEFT(BF152,1)="1"),0.055,VLOOKUP(AU152,INDEX((係数_乗用_ガソリン,係数_乗用_CNG,係数_乗用_軽油,係数_乗用_メタノール,係数_乗用_LPG),1,1,BE152):INDEX((係数_乗用_ガソリン,係数_乗用_CNG,係数_乗用_軽油,係数_乗用_メタノール,係数_乗用_LPG),125,5,BE152),5,FALSE)))))</f>
        <v/>
      </c>
      <c r="AN152" s="461" t="str">
        <f t="shared" si="89"/>
        <v/>
      </c>
      <c r="AO152" s="462" t="str">
        <f t="shared" si="90"/>
        <v/>
      </c>
      <c r="AP152" s="463" t="str">
        <f t="shared" si="91"/>
        <v/>
      </c>
      <c r="AQ152" s="464"/>
      <c r="AR152" s="619"/>
      <c r="AS152" s="465" t="str">
        <f t="shared" si="70"/>
        <v/>
      </c>
      <c r="AT152" s="465" t="str">
        <f t="shared" si="71"/>
        <v/>
      </c>
      <c r="AU152" s="466" t="str">
        <f t="shared" si="72"/>
        <v/>
      </c>
      <c r="AV152" s="467" t="str">
        <f t="shared" si="73"/>
        <v/>
      </c>
      <c r="AW152" s="467" t="str">
        <f t="shared" si="74"/>
        <v/>
      </c>
      <c r="AX152" s="467" t="str">
        <f t="shared" si="75"/>
        <v/>
      </c>
      <c r="AY152" s="467" t="str">
        <f t="shared" si="76"/>
        <v/>
      </c>
      <c r="AZ152" s="467" t="str">
        <f t="shared" si="77"/>
        <v/>
      </c>
      <c r="BA152" s="468" t="str">
        <f>IF(AS152="","",IF(OR(AU152="",AU152="-"),"－",IF(OR(AZ152=8,AZ152=9),"",IF(OR(AW152=3,AW152=4,AW152=5,AW152=6),VLOOKUP(AU152,INDEX((係数_バス貨物_ガソリン,係数_バス貨物_CNG,係数_バス貨物_軽油,係数_バス貨物_メタノール,係数_バス貨物_LPG),MATCH(AY152,【参考】排出係数!$AI$4:$AI$671,1),1,BE152):INDEX((係数_バス貨物_ガソリン,係数_バス貨物_CNG,係数_バス貨物_軽油,係数_バス貨物_メタノール,係数_バス貨物_LPG),MATCH(AY152+1,【参考】排出係数!$AI$4:$AI$671,1)-1,5,BE152),2,FALSE),IF(OR(AW152=1,AW152=2),VLOOKUP(AU152,INDEX((係数_乗用_ガソリン,係数_乗用_CNG,係数_乗用_軽油,係数_乗用_メタノール,係数_乗用_LPG),1,1,BE152):INDEX((係数_乗用_ガソリン,係数_乗用_CNG,係数_乗用_軽油,係数_乗用_メタノール,係数_乗用_LPG),125,5,BE152),2,FALSE))))))</f>
        <v/>
      </c>
      <c r="BB152" s="468" t="str">
        <f>IF(T152="","",IF(OR(AU152="",AU152="-"),"－",IF(OR(AZ152=8,AZ152=9),"",IF(OR(AW152=3,AW152=4,AW152=5,AW152=6),VLOOKUP(AU152,INDEX((係数_バス貨物_ガソリン,係数_バス貨物_CNG,係数_バス貨物_軽油,係数_バス貨物_メタノール,係数_バス貨物_LPG),MATCH(AY152,【参考】排出係数!$AI$4:$AI$671,1),1,BE152):INDEX((係数_バス貨物_ガソリン,係数_バス貨物_CNG,係数_バス貨物_軽油,係数_バス貨物_メタノール,係数_バス貨物_LPG),MATCH(AY152+1,【参考】排出係数!$AI$4:$AI$671,1)-1,5,BE152),3,FALSE),IF(OR(AW152=1,AW152=2),VLOOKUP(AU152,INDEX((係数_乗用_ガソリン,係数_乗用_CNG,係数_乗用_軽油,係数_乗用_メタノール,係数_乗用_LPG),1,1,BE152):INDEX((係数_乗用_ガソリン,係数_乗用_CNG,係数_乗用_軽油,係数_乗用_メタノール,係数_乗用_LPG),125,5,BE152),3,FALSE))))))</f>
        <v/>
      </c>
      <c r="BC152" s="467" t="str">
        <f t="shared" si="78"/>
        <v/>
      </c>
      <c r="BD152" s="567" t="str">
        <f t="shared" si="79"/>
        <v/>
      </c>
      <c r="BE152" s="467" t="str">
        <f t="shared" si="80"/>
        <v/>
      </c>
      <c r="BF152" s="469" t="str">
        <f t="shared" ca="1" si="81"/>
        <v/>
      </c>
      <c r="BG152" s="469" t="str">
        <f t="shared" ca="1" si="82"/>
        <v/>
      </c>
      <c r="BH152" s="467" t="str">
        <f t="shared" si="83"/>
        <v/>
      </c>
      <c r="BI152" s="467" t="str">
        <f t="shared" ca="1" si="84"/>
        <v/>
      </c>
      <c r="BJ152" s="469" t="str">
        <f t="shared" si="85"/>
        <v/>
      </c>
      <c r="BK152" s="470" t="str">
        <f t="shared" si="65"/>
        <v/>
      </c>
      <c r="BL152" s="775" t="str">
        <f t="shared" si="86"/>
        <v/>
      </c>
      <c r="BM152" s="775" t="str">
        <f t="shared" si="87"/>
        <v/>
      </c>
      <c r="BO152" s="472"/>
    </row>
    <row r="153" spans="1:67" s="471" customFormat="1" ht="13.5" customHeight="1">
      <c r="A153" s="473">
        <v>97</v>
      </c>
      <c r="B153" s="132"/>
      <c r="C153" s="332"/>
      <c r="D153" s="333"/>
      <c r="E153" s="333"/>
      <c r="F153" s="334"/>
      <c r="G153" s="337"/>
      <c r="H153" s="131"/>
      <c r="I153" s="337"/>
      <c r="J153" s="131"/>
      <c r="K153" s="458" t="str">
        <f t="shared" si="54"/>
        <v/>
      </c>
      <c r="L153" s="458">
        <f t="shared" si="66"/>
        <v>0</v>
      </c>
      <c r="M153" s="458">
        <f t="shared" si="67"/>
        <v>0</v>
      </c>
      <c r="N153" s="459" t="str">
        <f t="shared" si="55"/>
        <v/>
      </c>
      <c r="O153" s="459" t="str">
        <f t="shared" si="56"/>
        <v/>
      </c>
      <c r="P153" s="459" t="str">
        <f t="shared" si="57"/>
        <v/>
      </c>
      <c r="Q153" s="459" t="str">
        <f t="shared" si="58"/>
        <v/>
      </c>
      <c r="R153" s="459" t="str">
        <f t="shared" si="59"/>
        <v/>
      </c>
      <c r="S153" s="459" t="str">
        <f t="shared" si="60"/>
        <v/>
      </c>
      <c r="T153" s="566" t="str">
        <f t="shared" si="68"/>
        <v/>
      </c>
      <c r="U153" s="702"/>
      <c r="V153" s="132"/>
      <c r="W153" s="133"/>
      <c r="X153" s="134"/>
      <c r="Y153" s="135"/>
      <c r="Z153" s="137"/>
      <c r="AA153" s="136"/>
      <c r="AB153" s="566" t="str">
        <f t="shared" si="61"/>
        <v/>
      </c>
      <c r="AC153" s="568" t="str">
        <f t="shared" si="69"/>
        <v/>
      </c>
      <c r="AD153" s="137"/>
      <c r="AE153" s="137"/>
      <c r="AF153" s="138"/>
      <c r="AG153" s="138"/>
      <c r="AH153" s="592" t="str">
        <f t="shared" si="62"/>
        <v/>
      </c>
      <c r="AI153" s="592" t="str">
        <f t="shared" si="63"/>
        <v/>
      </c>
      <c r="AJ153" s="592" t="str">
        <f t="shared" si="64"/>
        <v/>
      </c>
      <c r="AK153" s="460" t="str">
        <f>IF(AU153="","",IF(OR(AZ153=8,AZ153=9),0,IF(OR(AW153=3,AW153=4,AW153=5,AW153=6),IF(LEFT(BF153,1)="1",INDEX(係数_NOX・PM低減,MATCH(AY153,【参考】排出係数!$AI$801:$AI$804,1),1),VLOOKUP(AU153,INDEX((係数_バス貨物_ガソリン,係数_バス貨物_CNG,係数_バス貨物_軽油,係数_バス貨物_メタノール,係数_バス貨物_LPG),MATCH(AY153,【参考】排出係数!$AI$4:$AI$671,1),1,BE153):INDEX((係数_バス貨物_ガソリン,係数_バス貨物_CNG,係数_バス貨物_軽油,係数_バス貨物_メタノール,係数_バス貨物_LPG),MATCH(AY153+1,【参考】排出係数!$AI$4:$AI$671,1)-1,5,BE153),4,FALSE)),IF(AND(BE153=3,LEFT(BF153,1)="1"),0.48,VLOOKUP(AU153,INDEX((係数_乗用_ガソリン,係数_乗用_CNG,係数_乗用_軽油,係数_乗用_メタノール,係数_乗用_LPG),1,1,BE153):INDEX((係数_乗用_ガソリン,係数_乗用_CNG,係数_乗用_軽油,係数_乗用_メタノール,係数_乗用_LPG),125,5,BE153),4,FALSE)))))</f>
        <v/>
      </c>
      <c r="AL153" s="461" t="str">
        <f t="shared" si="88"/>
        <v/>
      </c>
      <c r="AM153" s="460" t="str">
        <f>IF(AU153="","",IF(OR(AZ153=8,AZ153=9),0,IF(OR(AW153=3,AW153=4,AW153=5,AW153=6),IF(LEFT(BH153,1)="1",INDEX(係数_PM低減,MATCH(AY153,【参考】排出係数!$AI$801:$AI$804,1),MATCH(BI153,【参考】排出係数!$AL$798:$AO$798,1)),VLOOKUP(AU153,INDEX((係数_バス貨物_ガソリン,係数_バス貨物_CNG,係数_バス貨物_軽油,係数_バス貨物_メタノール,係数_バス貨物_LPG),MATCH(AY153,【参考】排出係数!$AI$4:$AI$671,1),1,BE153):INDEX((係数_バス貨物_ガソリン,係数_バス貨物_CNG,係数_バス貨物_軽油,係数_バス貨物_メタノール,係数_バス貨物_LPG),MATCH(AY153+1,【参考】排出係数!$AI$4:$AI$671,1)-1,5,BE153),5,FALSE)),IF(AND(BE153=3,LEFT(BF153,1)="1"),0.055,VLOOKUP(AU153,INDEX((係数_乗用_ガソリン,係数_乗用_CNG,係数_乗用_軽油,係数_乗用_メタノール,係数_乗用_LPG),1,1,BE153):INDEX((係数_乗用_ガソリン,係数_乗用_CNG,係数_乗用_軽油,係数_乗用_メタノール,係数_乗用_LPG),125,5,BE153),5,FALSE)))))</f>
        <v/>
      </c>
      <c r="AN153" s="461" t="str">
        <f t="shared" si="89"/>
        <v/>
      </c>
      <c r="AO153" s="462" t="str">
        <f t="shared" si="90"/>
        <v/>
      </c>
      <c r="AP153" s="463" t="str">
        <f t="shared" si="91"/>
        <v/>
      </c>
      <c r="AQ153" s="464"/>
      <c r="AR153" s="619"/>
      <c r="AS153" s="465" t="str">
        <f t="shared" si="70"/>
        <v/>
      </c>
      <c r="AT153" s="465" t="str">
        <f t="shared" si="71"/>
        <v/>
      </c>
      <c r="AU153" s="466" t="str">
        <f t="shared" si="72"/>
        <v/>
      </c>
      <c r="AV153" s="467" t="str">
        <f t="shared" si="73"/>
        <v/>
      </c>
      <c r="AW153" s="467" t="str">
        <f t="shared" si="74"/>
        <v/>
      </c>
      <c r="AX153" s="467" t="str">
        <f t="shared" si="75"/>
        <v/>
      </c>
      <c r="AY153" s="467" t="str">
        <f t="shared" si="76"/>
        <v/>
      </c>
      <c r="AZ153" s="467" t="str">
        <f t="shared" si="77"/>
        <v/>
      </c>
      <c r="BA153" s="468" t="str">
        <f>IF(AS153="","",IF(OR(AU153="",AU153="-"),"－",IF(OR(AZ153=8,AZ153=9),"",IF(OR(AW153=3,AW153=4,AW153=5,AW153=6),VLOOKUP(AU153,INDEX((係数_バス貨物_ガソリン,係数_バス貨物_CNG,係数_バス貨物_軽油,係数_バス貨物_メタノール,係数_バス貨物_LPG),MATCH(AY153,【参考】排出係数!$AI$4:$AI$671,1),1,BE153):INDEX((係数_バス貨物_ガソリン,係数_バス貨物_CNG,係数_バス貨物_軽油,係数_バス貨物_メタノール,係数_バス貨物_LPG),MATCH(AY153+1,【参考】排出係数!$AI$4:$AI$671,1)-1,5,BE153),2,FALSE),IF(OR(AW153=1,AW153=2),VLOOKUP(AU153,INDEX((係数_乗用_ガソリン,係数_乗用_CNG,係数_乗用_軽油,係数_乗用_メタノール,係数_乗用_LPG),1,1,BE153):INDEX((係数_乗用_ガソリン,係数_乗用_CNG,係数_乗用_軽油,係数_乗用_メタノール,係数_乗用_LPG),125,5,BE153),2,FALSE))))))</f>
        <v/>
      </c>
      <c r="BB153" s="468" t="str">
        <f>IF(T153="","",IF(OR(AU153="",AU153="-"),"－",IF(OR(AZ153=8,AZ153=9),"",IF(OR(AW153=3,AW153=4,AW153=5,AW153=6),VLOOKUP(AU153,INDEX((係数_バス貨物_ガソリン,係数_バス貨物_CNG,係数_バス貨物_軽油,係数_バス貨物_メタノール,係数_バス貨物_LPG),MATCH(AY153,【参考】排出係数!$AI$4:$AI$671,1),1,BE153):INDEX((係数_バス貨物_ガソリン,係数_バス貨物_CNG,係数_バス貨物_軽油,係数_バス貨物_メタノール,係数_バス貨物_LPG),MATCH(AY153+1,【参考】排出係数!$AI$4:$AI$671,1)-1,5,BE153),3,FALSE),IF(OR(AW153=1,AW153=2),VLOOKUP(AU153,INDEX((係数_乗用_ガソリン,係数_乗用_CNG,係数_乗用_軽油,係数_乗用_メタノール,係数_乗用_LPG),1,1,BE153):INDEX((係数_乗用_ガソリン,係数_乗用_CNG,係数_乗用_軽油,係数_乗用_メタノール,係数_乗用_LPG),125,5,BE153),3,FALSE))))))</f>
        <v/>
      </c>
      <c r="BC153" s="467" t="str">
        <f t="shared" si="78"/>
        <v/>
      </c>
      <c r="BD153" s="567" t="str">
        <f t="shared" si="79"/>
        <v/>
      </c>
      <c r="BE153" s="467" t="str">
        <f t="shared" si="80"/>
        <v/>
      </c>
      <c r="BF153" s="469" t="str">
        <f t="shared" ca="1" si="81"/>
        <v/>
      </c>
      <c r="BG153" s="469" t="str">
        <f t="shared" ca="1" si="82"/>
        <v/>
      </c>
      <c r="BH153" s="467" t="str">
        <f t="shared" si="83"/>
        <v/>
      </c>
      <c r="BI153" s="467" t="str">
        <f t="shared" ca="1" si="84"/>
        <v/>
      </c>
      <c r="BJ153" s="469" t="str">
        <f t="shared" si="85"/>
        <v/>
      </c>
      <c r="BK153" s="470" t="str">
        <f t="shared" si="65"/>
        <v/>
      </c>
      <c r="BL153" s="775" t="str">
        <f t="shared" si="86"/>
        <v/>
      </c>
      <c r="BM153" s="775" t="str">
        <f t="shared" si="87"/>
        <v/>
      </c>
      <c r="BO153" s="472"/>
    </row>
    <row r="154" spans="1:67" s="471" customFormat="1" ht="13.5" customHeight="1">
      <c r="A154" s="473">
        <v>98</v>
      </c>
      <c r="B154" s="132"/>
      <c r="C154" s="332"/>
      <c r="D154" s="333"/>
      <c r="E154" s="333"/>
      <c r="F154" s="334"/>
      <c r="G154" s="337"/>
      <c r="H154" s="131"/>
      <c r="I154" s="337"/>
      <c r="J154" s="131"/>
      <c r="K154" s="458" t="str">
        <f t="shared" si="54"/>
        <v/>
      </c>
      <c r="L154" s="458">
        <f t="shared" si="66"/>
        <v>0</v>
      </c>
      <c r="M154" s="458">
        <f t="shared" si="67"/>
        <v>0</v>
      </c>
      <c r="N154" s="459" t="str">
        <f t="shared" si="55"/>
        <v/>
      </c>
      <c r="O154" s="459" t="str">
        <f t="shared" si="56"/>
        <v/>
      </c>
      <c r="P154" s="459" t="str">
        <f t="shared" si="57"/>
        <v/>
      </c>
      <c r="Q154" s="459" t="str">
        <f t="shared" si="58"/>
        <v/>
      </c>
      <c r="R154" s="459" t="str">
        <f t="shared" si="59"/>
        <v/>
      </c>
      <c r="S154" s="459" t="str">
        <f t="shared" si="60"/>
        <v/>
      </c>
      <c r="T154" s="566" t="str">
        <f t="shared" si="68"/>
        <v/>
      </c>
      <c r="U154" s="702"/>
      <c r="V154" s="132"/>
      <c r="W154" s="133"/>
      <c r="X154" s="134"/>
      <c r="Y154" s="135"/>
      <c r="Z154" s="137"/>
      <c r="AA154" s="136"/>
      <c r="AB154" s="566" t="str">
        <f t="shared" si="61"/>
        <v/>
      </c>
      <c r="AC154" s="568" t="str">
        <f t="shared" si="69"/>
        <v/>
      </c>
      <c r="AD154" s="137"/>
      <c r="AE154" s="137"/>
      <c r="AF154" s="138"/>
      <c r="AG154" s="138"/>
      <c r="AH154" s="592" t="str">
        <f t="shared" si="62"/>
        <v/>
      </c>
      <c r="AI154" s="592" t="str">
        <f t="shared" si="63"/>
        <v/>
      </c>
      <c r="AJ154" s="592" t="str">
        <f t="shared" si="64"/>
        <v/>
      </c>
      <c r="AK154" s="460" t="str">
        <f>IF(AU154="","",IF(OR(AZ154=8,AZ154=9),0,IF(OR(AW154=3,AW154=4,AW154=5,AW154=6),IF(LEFT(BF154,1)="1",INDEX(係数_NOX・PM低減,MATCH(AY154,【参考】排出係数!$AI$801:$AI$804,1),1),VLOOKUP(AU154,INDEX((係数_バス貨物_ガソリン,係数_バス貨物_CNG,係数_バス貨物_軽油,係数_バス貨物_メタノール,係数_バス貨物_LPG),MATCH(AY154,【参考】排出係数!$AI$4:$AI$671,1),1,BE154):INDEX((係数_バス貨物_ガソリン,係数_バス貨物_CNG,係数_バス貨物_軽油,係数_バス貨物_メタノール,係数_バス貨物_LPG),MATCH(AY154+1,【参考】排出係数!$AI$4:$AI$671,1)-1,5,BE154),4,FALSE)),IF(AND(BE154=3,LEFT(BF154,1)="1"),0.48,VLOOKUP(AU154,INDEX((係数_乗用_ガソリン,係数_乗用_CNG,係数_乗用_軽油,係数_乗用_メタノール,係数_乗用_LPG),1,1,BE154):INDEX((係数_乗用_ガソリン,係数_乗用_CNG,係数_乗用_軽油,係数_乗用_メタノール,係数_乗用_LPG),125,5,BE154),4,FALSE)))))</f>
        <v/>
      </c>
      <c r="AL154" s="461" t="str">
        <f t="shared" si="88"/>
        <v/>
      </c>
      <c r="AM154" s="460" t="str">
        <f>IF(AU154="","",IF(OR(AZ154=8,AZ154=9),0,IF(OR(AW154=3,AW154=4,AW154=5,AW154=6),IF(LEFT(BH154,1)="1",INDEX(係数_PM低減,MATCH(AY154,【参考】排出係数!$AI$801:$AI$804,1),MATCH(BI154,【参考】排出係数!$AL$798:$AO$798,1)),VLOOKUP(AU154,INDEX((係数_バス貨物_ガソリン,係数_バス貨物_CNG,係数_バス貨物_軽油,係数_バス貨物_メタノール,係数_バス貨物_LPG),MATCH(AY154,【参考】排出係数!$AI$4:$AI$671,1),1,BE154):INDEX((係数_バス貨物_ガソリン,係数_バス貨物_CNG,係数_バス貨物_軽油,係数_バス貨物_メタノール,係数_バス貨物_LPG),MATCH(AY154+1,【参考】排出係数!$AI$4:$AI$671,1)-1,5,BE154),5,FALSE)),IF(AND(BE154=3,LEFT(BF154,1)="1"),0.055,VLOOKUP(AU154,INDEX((係数_乗用_ガソリン,係数_乗用_CNG,係数_乗用_軽油,係数_乗用_メタノール,係数_乗用_LPG),1,1,BE154):INDEX((係数_乗用_ガソリン,係数_乗用_CNG,係数_乗用_軽油,係数_乗用_メタノール,係数_乗用_LPG),125,5,BE154),5,FALSE)))))</f>
        <v/>
      </c>
      <c r="AN154" s="461" t="str">
        <f t="shared" si="89"/>
        <v/>
      </c>
      <c r="AO154" s="462" t="str">
        <f t="shared" si="90"/>
        <v/>
      </c>
      <c r="AP154" s="463" t="str">
        <f t="shared" si="91"/>
        <v/>
      </c>
      <c r="AQ154" s="464"/>
      <c r="AR154" s="619"/>
      <c r="AS154" s="465" t="str">
        <f t="shared" si="70"/>
        <v/>
      </c>
      <c r="AT154" s="465" t="str">
        <f t="shared" si="71"/>
        <v/>
      </c>
      <c r="AU154" s="466" t="str">
        <f t="shared" si="72"/>
        <v/>
      </c>
      <c r="AV154" s="467" t="str">
        <f t="shared" si="73"/>
        <v/>
      </c>
      <c r="AW154" s="467" t="str">
        <f t="shared" si="74"/>
        <v/>
      </c>
      <c r="AX154" s="467" t="str">
        <f t="shared" si="75"/>
        <v/>
      </c>
      <c r="AY154" s="467" t="str">
        <f t="shared" si="76"/>
        <v/>
      </c>
      <c r="AZ154" s="467" t="str">
        <f t="shared" si="77"/>
        <v/>
      </c>
      <c r="BA154" s="468" t="str">
        <f>IF(AS154="","",IF(OR(AU154="",AU154="-"),"－",IF(OR(AZ154=8,AZ154=9),"",IF(OR(AW154=3,AW154=4,AW154=5,AW154=6),VLOOKUP(AU154,INDEX((係数_バス貨物_ガソリン,係数_バス貨物_CNG,係数_バス貨物_軽油,係数_バス貨物_メタノール,係数_バス貨物_LPG),MATCH(AY154,【参考】排出係数!$AI$4:$AI$671,1),1,BE154):INDEX((係数_バス貨物_ガソリン,係数_バス貨物_CNG,係数_バス貨物_軽油,係数_バス貨物_メタノール,係数_バス貨物_LPG),MATCH(AY154+1,【参考】排出係数!$AI$4:$AI$671,1)-1,5,BE154),2,FALSE),IF(OR(AW154=1,AW154=2),VLOOKUP(AU154,INDEX((係数_乗用_ガソリン,係数_乗用_CNG,係数_乗用_軽油,係数_乗用_メタノール,係数_乗用_LPG),1,1,BE154):INDEX((係数_乗用_ガソリン,係数_乗用_CNG,係数_乗用_軽油,係数_乗用_メタノール,係数_乗用_LPG),125,5,BE154),2,FALSE))))))</f>
        <v/>
      </c>
      <c r="BB154" s="468" t="str">
        <f>IF(T154="","",IF(OR(AU154="",AU154="-"),"－",IF(OR(AZ154=8,AZ154=9),"",IF(OR(AW154=3,AW154=4,AW154=5,AW154=6),VLOOKUP(AU154,INDEX((係数_バス貨物_ガソリン,係数_バス貨物_CNG,係数_バス貨物_軽油,係数_バス貨物_メタノール,係数_バス貨物_LPG),MATCH(AY154,【参考】排出係数!$AI$4:$AI$671,1),1,BE154):INDEX((係数_バス貨物_ガソリン,係数_バス貨物_CNG,係数_バス貨物_軽油,係数_バス貨物_メタノール,係数_バス貨物_LPG),MATCH(AY154+1,【参考】排出係数!$AI$4:$AI$671,1)-1,5,BE154),3,FALSE),IF(OR(AW154=1,AW154=2),VLOOKUP(AU154,INDEX((係数_乗用_ガソリン,係数_乗用_CNG,係数_乗用_軽油,係数_乗用_メタノール,係数_乗用_LPG),1,1,BE154):INDEX((係数_乗用_ガソリン,係数_乗用_CNG,係数_乗用_軽油,係数_乗用_メタノール,係数_乗用_LPG),125,5,BE154),3,FALSE))))))</f>
        <v/>
      </c>
      <c r="BC154" s="467" t="str">
        <f t="shared" si="78"/>
        <v/>
      </c>
      <c r="BD154" s="567" t="str">
        <f t="shared" si="79"/>
        <v/>
      </c>
      <c r="BE154" s="467" t="str">
        <f t="shared" si="80"/>
        <v/>
      </c>
      <c r="BF154" s="469" t="str">
        <f t="shared" ca="1" si="81"/>
        <v/>
      </c>
      <c r="BG154" s="469" t="str">
        <f t="shared" ca="1" si="82"/>
        <v/>
      </c>
      <c r="BH154" s="467" t="str">
        <f t="shared" si="83"/>
        <v/>
      </c>
      <c r="BI154" s="467" t="str">
        <f t="shared" ca="1" si="84"/>
        <v/>
      </c>
      <c r="BJ154" s="469" t="str">
        <f t="shared" si="85"/>
        <v/>
      </c>
      <c r="BK154" s="470" t="str">
        <f t="shared" si="65"/>
        <v/>
      </c>
      <c r="BL154" s="775" t="str">
        <f t="shared" si="86"/>
        <v/>
      </c>
      <c r="BM154" s="775" t="str">
        <f t="shared" si="87"/>
        <v/>
      </c>
      <c r="BO154" s="472"/>
    </row>
    <row r="155" spans="1:67" s="471" customFormat="1" ht="13.5" customHeight="1">
      <c r="A155" s="473">
        <v>99</v>
      </c>
      <c r="B155" s="132"/>
      <c r="C155" s="332"/>
      <c r="D155" s="333"/>
      <c r="E155" s="333"/>
      <c r="F155" s="334"/>
      <c r="G155" s="337"/>
      <c r="H155" s="131"/>
      <c r="I155" s="337"/>
      <c r="J155" s="131"/>
      <c r="K155" s="458" t="str">
        <f t="shared" si="54"/>
        <v/>
      </c>
      <c r="L155" s="458">
        <f t="shared" si="66"/>
        <v>0</v>
      </c>
      <c r="M155" s="458">
        <f t="shared" si="67"/>
        <v>0</v>
      </c>
      <c r="N155" s="459" t="str">
        <f t="shared" si="55"/>
        <v/>
      </c>
      <c r="O155" s="459" t="str">
        <f t="shared" si="56"/>
        <v/>
      </c>
      <c r="P155" s="459" t="str">
        <f t="shared" si="57"/>
        <v/>
      </c>
      <c r="Q155" s="459" t="str">
        <f t="shared" si="58"/>
        <v/>
      </c>
      <c r="R155" s="459" t="str">
        <f t="shared" si="59"/>
        <v/>
      </c>
      <c r="S155" s="459" t="str">
        <f t="shared" si="60"/>
        <v/>
      </c>
      <c r="T155" s="566" t="str">
        <f t="shared" si="68"/>
        <v/>
      </c>
      <c r="U155" s="702"/>
      <c r="V155" s="132"/>
      <c r="W155" s="133"/>
      <c r="X155" s="134"/>
      <c r="Y155" s="135"/>
      <c r="Z155" s="137"/>
      <c r="AA155" s="136"/>
      <c r="AB155" s="566" t="str">
        <f t="shared" si="61"/>
        <v/>
      </c>
      <c r="AC155" s="568" t="str">
        <f t="shared" si="69"/>
        <v/>
      </c>
      <c r="AD155" s="137"/>
      <c r="AE155" s="137"/>
      <c r="AF155" s="138"/>
      <c r="AG155" s="138"/>
      <c r="AH155" s="592" t="str">
        <f t="shared" si="62"/>
        <v/>
      </c>
      <c r="AI155" s="592" t="str">
        <f t="shared" si="63"/>
        <v/>
      </c>
      <c r="AJ155" s="592" t="str">
        <f t="shared" si="64"/>
        <v/>
      </c>
      <c r="AK155" s="460" t="str">
        <f>IF(AU155="","",IF(OR(AZ155=8,AZ155=9),0,IF(OR(AW155=3,AW155=4,AW155=5,AW155=6),IF(LEFT(BF155,1)="1",INDEX(係数_NOX・PM低減,MATCH(AY155,【参考】排出係数!$AI$801:$AI$804,1),1),VLOOKUP(AU155,INDEX((係数_バス貨物_ガソリン,係数_バス貨物_CNG,係数_バス貨物_軽油,係数_バス貨物_メタノール,係数_バス貨物_LPG),MATCH(AY155,【参考】排出係数!$AI$4:$AI$671,1),1,BE155):INDEX((係数_バス貨物_ガソリン,係数_バス貨物_CNG,係数_バス貨物_軽油,係数_バス貨物_メタノール,係数_バス貨物_LPG),MATCH(AY155+1,【参考】排出係数!$AI$4:$AI$671,1)-1,5,BE155),4,FALSE)),IF(AND(BE155=3,LEFT(BF155,1)="1"),0.48,VLOOKUP(AU155,INDEX((係数_乗用_ガソリン,係数_乗用_CNG,係数_乗用_軽油,係数_乗用_メタノール,係数_乗用_LPG),1,1,BE155):INDEX((係数_乗用_ガソリン,係数_乗用_CNG,係数_乗用_軽油,係数_乗用_メタノール,係数_乗用_LPG),125,5,BE155),4,FALSE)))))</f>
        <v/>
      </c>
      <c r="AL155" s="461" t="str">
        <f t="shared" si="88"/>
        <v/>
      </c>
      <c r="AM155" s="460" t="str">
        <f>IF(AU155="","",IF(OR(AZ155=8,AZ155=9),0,IF(OR(AW155=3,AW155=4,AW155=5,AW155=6),IF(LEFT(BH155,1)="1",INDEX(係数_PM低減,MATCH(AY155,【参考】排出係数!$AI$801:$AI$804,1),MATCH(BI155,【参考】排出係数!$AL$798:$AO$798,1)),VLOOKUP(AU155,INDEX((係数_バス貨物_ガソリン,係数_バス貨物_CNG,係数_バス貨物_軽油,係数_バス貨物_メタノール,係数_バス貨物_LPG),MATCH(AY155,【参考】排出係数!$AI$4:$AI$671,1),1,BE155):INDEX((係数_バス貨物_ガソリン,係数_バス貨物_CNG,係数_バス貨物_軽油,係数_バス貨物_メタノール,係数_バス貨物_LPG),MATCH(AY155+1,【参考】排出係数!$AI$4:$AI$671,1)-1,5,BE155),5,FALSE)),IF(AND(BE155=3,LEFT(BF155,1)="1"),0.055,VLOOKUP(AU155,INDEX((係数_乗用_ガソリン,係数_乗用_CNG,係数_乗用_軽油,係数_乗用_メタノール,係数_乗用_LPG),1,1,BE155):INDEX((係数_乗用_ガソリン,係数_乗用_CNG,係数_乗用_軽油,係数_乗用_メタノール,係数_乗用_LPG),125,5,BE155),5,FALSE)))))</f>
        <v/>
      </c>
      <c r="AN155" s="461" t="str">
        <f t="shared" si="89"/>
        <v/>
      </c>
      <c r="AO155" s="462" t="str">
        <f t="shared" si="90"/>
        <v/>
      </c>
      <c r="AP155" s="463" t="str">
        <f t="shared" si="91"/>
        <v/>
      </c>
      <c r="AQ155" s="464"/>
      <c r="AR155" s="619"/>
      <c r="AS155" s="465" t="str">
        <f t="shared" si="70"/>
        <v/>
      </c>
      <c r="AT155" s="465" t="str">
        <f t="shared" si="71"/>
        <v/>
      </c>
      <c r="AU155" s="466" t="str">
        <f t="shared" si="72"/>
        <v/>
      </c>
      <c r="AV155" s="467" t="str">
        <f t="shared" si="73"/>
        <v/>
      </c>
      <c r="AW155" s="467" t="str">
        <f t="shared" si="74"/>
        <v/>
      </c>
      <c r="AX155" s="467" t="str">
        <f t="shared" si="75"/>
        <v/>
      </c>
      <c r="AY155" s="467" t="str">
        <f t="shared" si="76"/>
        <v/>
      </c>
      <c r="AZ155" s="467" t="str">
        <f t="shared" si="77"/>
        <v/>
      </c>
      <c r="BA155" s="468" t="str">
        <f>IF(AS155="","",IF(OR(AU155="",AU155="-"),"－",IF(OR(AZ155=8,AZ155=9),"",IF(OR(AW155=3,AW155=4,AW155=5,AW155=6),VLOOKUP(AU155,INDEX((係数_バス貨物_ガソリン,係数_バス貨物_CNG,係数_バス貨物_軽油,係数_バス貨物_メタノール,係数_バス貨物_LPG),MATCH(AY155,【参考】排出係数!$AI$4:$AI$671,1),1,BE155):INDEX((係数_バス貨物_ガソリン,係数_バス貨物_CNG,係数_バス貨物_軽油,係数_バス貨物_メタノール,係数_バス貨物_LPG),MATCH(AY155+1,【参考】排出係数!$AI$4:$AI$671,1)-1,5,BE155),2,FALSE),IF(OR(AW155=1,AW155=2),VLOOKUP(AU155,INDEX((係数_乗用_ガソリン,係数_乗用_CNG,係数_乗用_軽油,係数_乗用_メタノール,係数_乗用_LPG),1,1,BE155):INDEX((係数_乗用_ガソリン,係数_乗用_CNG,係数_乗用_軽油,係数_乗用_メタノール,係数_乗用_LPG),125,5,BE155),2,FALSE))))))</f>
        <v/>
      </c>
      <c r="BB155" s="468" t="str">
        <f>IF(T155="","",IF(OR(AU155="",AU155="-"),"－",IF(OR(AZ155=8,AZ155=9),"",IF(OR(AW155=3,AW155=4,AW155=5,AW155=6),VLOOKUP(AU155,INDEX((係数_バス貨物_ガソリン,係数_バス貨物_CNG,係数_バス貨物_軽油,係数_バス貨物_メタノール,係数_バス貨物_LPG),MATCH(AY155,【参考】排出係数!$AI$4:$AI$671,1),1,BE155):INDEX((係数_バス貨物_ガソリン,係数_バス貨物_CNG,係数_バス貨物_軽油,係数_バス貨物_メタノール,係数_バス貨物_LPG),MATCH(AY155+1,【参考】排出係数!$AI$4:$AI$671,1)-1,5,BE155),3,FALSE),IF(OR(AW155=1,AW155=2),VLOOKUP(AU155,INDEX((係数_乗用_ガソリン,係数_乗用_CNG,係数_乗用_軽油,係数_乗用_メタノール,係数_乗用_LPG),1,1,BE155):INDEX((係数_乗用_ガソリン,係数_乗用_CNG,係数_乗用_軽油,係数_乗用_メタノール,係数_乗用_LPG),125,5,BE155),3,FALSE))))))</f>
        <v/>
      </c>
      <c r="BC155" s="467" t="str">
        <f t="shared" si="78"/>
        <v/>
      </c>
      <c r="BD155" s="567" t="str">
        <f t="shared" si="79"/>
        <v/>
      </c>
      <c r="BE155" s="467" t="str">
        <f t="shared" si="80"/>
        <v/>
      </c>
      <c r="BF155" s="469" t="str">
        <f t="shared" ca="1" si="81"/>
        <v/>
      </c>
      <c r="BG155" s="469" t="str">
        <f t="shared" ca="1" si="82"/>
        <v/>
      </c>
      <c r="BH155" s="467" t="str">
        <f t="shared" si="83"/>
        <v/>
      </c>
      <c r="BI155" s="467" t="str">
        <f t="shared" ca="1" si="84"/>
        <v/>
      </c>
      <c r="BJ155" s="469" t="str">
        <f t="shared" si="85"/>
        <v/>
      </c>
      <c r="BK155" s="470" t="str">
        <f t="shared" si="65"/>
        <v/>
      </c>
      <c r="BL155" s="775" t="str">
        <f t="shared" si="86"/>
        <v/>
      </c>
      <c r="BM155" s="775" t="str">
        <f t="shared" si="87"/>
        <v/>
      </c>
      <c r="BO155" s="472"/>
    </row>
    <row r="156" spans="1:67" s="471" customFormat="1" ht="13.5" customHeight="1">
      <c r="A156" s="473">
        <v>100</v>
      </c>
      <c r="B156" s="132"/>
      <c r="C156" s="332"/>
      <c r="D156" s="333"/>
      <c r="E156" s="333"/>
      <c r="F156" s="334"/>
      <c r="G156" s="337"/>
      <c r="H156" s="131"/>
      <c r="I156" s="337"/>
      <c r="J156" s="131"/>
      <c r="K156" s="458" t="str">
        <f t="shared" si="54"/>
        <v/>
      </c>
      <c r="L156" s="458">
        <f t="shared" si="66"/>
        <v>0</v>
      </c>
      <c r="M156" s="458">
        <f t="shared" si="67"/>
        <v>0</v>
      </c>
      <c r="N156" s="459" t="str">
        <f t="shared" si="55"/>
        <v/>
      </c>
      <c r="O156" s="459" t="str">
        <f t="shared" si="56"/>
        <v/>
      </c>
      <c r="P156" s="459" t="str">
        <f t="shared" si="57"/>
        <v/>
      </c>
      <c r="Q156" s="459" t="str">
        <f t="shared" si="58"/>
        <v/>
      </c>
      <c r="R156" s="459" t="str">
        <f t="shared" si="59"/>
        <v/>
      </c>
      <c r="S156" s="459" t="str">
        <f t="shared" si="60"/>
        <v/>
      </c>
      <c r="T156" s="566" t="str">
        <f t="shared" si="68"/>
        <v/>
      </c>
      <c r="U156" s="702"/>
      <c r="V156" s="132"/>
      <c r="W156" s="133"/>
      <c r="X156" s="134"/>
      <c r="Y156" s="135"/>
      <c r="Z156" s="137"/>
      <c r="AA156" s="136"/>
      <c r="AB156" s="566" t="str">
        <f t="shared" si="61"/>
        <v/>
      </c>
      <c r="AC156" s="568" t="str">
        <f t="shared" si="69"/>
        <v/>
      </c>
      <c r="AD156" s="137"/>
      <c r="AE156" s="137"/>
      <c r="AF156" s="138"/>
      <c r="AG156" s="138"/>
      <c r="AH156" s="592" t="str">
        <f t="shared" si="62"/>
        <v/>
      </c>
      <c r="AI156" s="592" t="str">
        <f t="shared" si="63"/>
        <v/>
      </c>
      <c r="AJ156" s="592" t="str">
        <f t="shared" si="64"/>
        <v/>
      </c>
      <c r="AK156" s="460" t="str">
        <f>IF(AU156="","",IF(OR(AZ156=8,AZ156=9),0,IF(OR(AW156=3,AW156=4,AW156=5,AW156=6),IF(LEFT(BF156,1)="1",INDEX(係数_NOX・PM低減,MATCH(AY156,【参考】排出係数!$AI$801:$AI$804,1),1),VLOOKUP(AU156,INDEX((係数_バス貨物_ガソリン,係数_バス貨物_CNG,係数_バス貨物_軽油,係数_バス貨物_メタノール,係数_バス貨物_LPG),MATCH(AY156,【参考】排出係数!$AI$4:$AI$671,1),1,BE156):INDEX((係数_バス貨物_ガソリン,係数_バス貨物_CNG,係数_バス貨物_軽油,係数_バス貨物_メタノール,係数_バス貨物_LPG),MATCH(AY156+1,【参考】排出係数!$AI$4:$AI$671,1)-1,5,BE156),4,FALSE)),IF(AND(BE156=3,LEFT(BF156,1)="1"),0.48,VLOOKUP(AU156,INDEX((係数_乗用_ガソリン,係数_乗用_CNG,係数_乗用_軽油,係数_乗用_メタノール,係数_乗用_LPG),1,1,BE156):INDEX((係数_乗用_ガソリン,係数_乗用_CNG,係数_乗用_軽油,係数_乗用_メタノール,係数_乗用_LPG),125,5,BE156),4,FALSE)))))</f>
        <v/>
      </c>
      <c r="AL156" s="461" t="str">
        <f t="shared" si="88"/>
        <v/>
      </c>
      <c r="AM156" s="460" t="str">
        <f>IF(AU156="","",IF(OR(AZ156=8,AZ156=9),0,IF(OR(AW156=3,AW156=4,AW156=5,AW156=6),IF(LEFT(BH156,1)="1",INDEX(係数_PM低減,MATCH(AY156,【参考】排出係数!$AI$801:$AI$804,1),MATCH(BI156,【参考】排出係数!$AL$798:$AO$798,1)),VLOOKUP(AU156,INDEX((係数_バス貨物_ガソリン,係数_バス貨物_CNG,係数_バス貨物_軽油,係数_バス貨物_メタノール,係数_バス貨物_LPG),MATCH(AY156,【参考】排出係数!$AI$4:$AI$671,1),1,BE156):INDEX((係数_バス貨物_ガソリン,係数_バス貨物_CNG,係数_バス貨物_軽油,係数_バス貨物_メタノール,係数_バス貨物_LPG),MATCH(AY156+1,【参考】排出係数!$AI$4:$AI$671,1)-1,5,BE156),5,FALSE)),IF(AND(BE156=3,LEFT(BF156,1)="1"),0.055,VLOOKUP(AU156,INDEX((係数_乗用_ガソリン,係数_乗用_CNG,係数_乗用_軽油,係数_乗用_メタノール,係数_乗用_LPG),1,1,BE156):INDEX((係数_乗用_ガソリン,係数_乗用_CNG,係数_乗用_軽油,係数_乗用_メタノール,係数_乗用_LPG),125,5,BE156),5,FALSE)))))</f>
        <v/>
      </c>
      <c r="AN156" s="461" t="str">
        <f t="shared" si="89"/>
        <v/>
      </c>
      <c r="AO156" s="462" t="str">
        <f t="shared" si="90"/>
        <v/>
      </c>
      <c r="AP156" s="463" t="str">
        <f t="shared" si="91"/>
        <v/>
      </c>
      <c r="AQ156" s="464"/>
      <c r="AR156" s="619"/>
      <c r="AS156" s="465" t="str">
        <f t="shared" si="70"/>
        <v/>
      </c>
      <c r="AT156" s="465" t="str">
        <f t="shared" si="71"/>
        <v/>
      </c>
      <c r="AU156" s="466" t="str">
        <f t="shared" si="72"/>
        <v/>
      </c>
      <c r="AV156" s="467" t="str">
        <f t="shared" si="73"/>
        <v/>
      </c>
      <c r="AW156" s="467" t="str">
        <f t="shared" si="74"/>
        <v/>
      </c>
      <c r="AX156" s="467" t="str">
        <f t="shared" si="75"/>
        <v/>
      </c>
      <c r="AY156" s="467" t="str">
        <f t="shared" si="76"/>
        <v/>
      </c>
      <c r="AZ156" s="467" t="str">
        <f t="shared" si="77"/>
        <v/>
      </c>
      <c r="BA156" s="468" t="str">
        <f>IF(AS156="","",IF(OR(AU156="",AU156="-"),"－",IF(OR(AZ156=8,AZ156=9),"",IF(OR(AW156=3,AW156=4,AW156=5,AW156=6),VLOOKUP(AU156,INDEX((係数_バス貨物_ガソリン,係数_バス貨物_CNG,係数_バス貨物_軽油,係数_バス貨物_メタノール,係数_バス貨物_LPG),MATCH(AY156,【参考】排出係数!$AI$4:$AI$671,1),1,BE156):INDEX((係数_バス貨物_ガソリン,係数_バス貨物_CNG,係数_バス貨物_軽油,係数_バス貨物_メタノール,係数_バス貨物_LPG),MATCH(AY156+1,【参考】排出係数!$AI$4:$AI$671,1)-1,5,BE156),2,FALSE),IF(OR(AW156=1,AW156=2),VLOOKUP(AU156,INDEX((係数_乗用_ガソリン,係数_乗用_CNG,係数_乗用_軽油,係数_乗用_メタノール,係数_乗用_LPG),1,1,BE156):INDEX((係数_乗用_ガソリン,係数_乗用_CNG,係数_乗用_軽油,係数_乗用_メタノール,係数_乗用_LPG),125,5,BE156),2,FALSE))))))</f>
        <v/>
      </c>
      <c r="BB156" s="468" t="str">
        <f>IF(T156="","",IF(OR(AU156="",AU156="-"),"－",IF(OR(AZ156=8,AZ156=9),"",IF(OR(AW156=3,AW156=4,AW156=5,AW156=6),VLOOKUP(AU156,INDEX((係数_バス貨物_ガソリン,係数_バス貨物_CNG,係数_バス貨物_軽油,係数_バス貨物_メタノール,係数_バス貨物_LPG),MATCH(AY156,【参考】排出係数!$AI$4:$AI$671,1),1,BE156):INDEX((係数_バス貨物_ガソリン,係数_バス貨物_CNG,係数_バス貨物_軽油,係数_バス貨物_メタノール,係数_バス貨物_LPG),MATCH(AY156+1,【参考】排出係数!$AI$4:$AI$671,1)-1,5,BE156),3,FALSE),IF(OR(AW156=1,AW156=2),VLOOKUP(AU156,INDEX((係数_乗用_ガソリン,係数_乗用_CNG,係数_乗用_軽油,係数_乗用_メタノール,係数_乗用_LPG),1,1,BE156):INDEX((係数_乗用_ガソリン,係数_乗用_CNG,係数_乗用_軽油,係数_乗用_メタノール,係数_乗用_LPG),125,5,BE156),3,FALSE))))))</f>
        <v/>
      </c>
      <c r="BC156" s="467" t="str">
        <f t="shared" si="78"/>
        <v/>
      </c>
      <c r="BD156" s="567" t="str">
        <f t="shared" si="79"/>
        <v/>
      </c>
      <c r="BE156" s="467" t="str">
        <f t="shared" si="80"/>
        <v/>
      </c>
      <c r="BF156" s="469" t="str">
        <f t="shared" ca="1" si="81"/>
        <v/>
      </c>
      <c r="BG156" s="469" t="str">
        <f t="shared" ca="1" si="82"/>
        <v/>
      </c>
      <c r="BH156" s="467" t="str">
        <f t="shared" si="83"/>
        <v/>
      </c>
      <c r="BI156" s="467" t="str">
        <f t="shared" ca="1" si="84"/>
        <v/>
      </c>
      <c r="BJ156" s="469" t="str">
        <f t="shared" si="85"/>
        <v/>
      </c>
      <c r="BK156" s="470" t="str">
        <f t="shared" si="65"/>
        <v/>
      </c>
      <c r="BL156" s="775" t="str">
        <f t="shared" si="86"/>
        <v/>
      </c>
      <c r="BM156" s="775" t="str">
        <f t="shared" si="87"/>
        <v/>
      </c>
      <c r="BO156" s="472"/>
    </row>
    <row r="157" spans="1:67">
      <c r="A157" s="473">
        <v>101</v>
      </c>
      <c r="B157" s="132"/>
      <c r="C157" s="332"/>
      <c r="D157" s="333"/>
      <c r="E157" s="333"/>
      <c r="F157" s="334"/>
      <c r="G157" s="337"/>
      <c r="H157" s="131"/>
      <c r="I157" s="337"/>
      <c r="J157" s="131"/>
      <c r="K157" s="458" t="str">
        <f t="shared" si="54"/>
        <v/>
      </c>
      <c r="L157" s="458">
        <f t="shared" si="66"/>
        <v>0</v>
      </c>
      <c r="M157" s="458">
        <f t="shared" si="67"/>
        <v>0</v>
      </c>
      <c r="N157" s="459" t="str">
        <f t="shared" si="55"/>
        <v/>
      </c>
      <c r="O157" s="459" t="str">
        <f t="shared" si="56"/>
        <v/>
      </c>
      <c r="P157" s="459" t="str">
        <f t="shared" si="57"/>
        <v/>
      </c>
      <c r="Q157" s="459" t="str">
        <f t="shared" si="58"/>
        <v/>
      </c>
      <c r="R157" s="459" t="str">
        <f t="shared" si="59"/>
        <v/>
      </c>
      <c r="S157" s="459" t="str">
        <f t="shared" si="60"/>
        <v/>
      </c>
      <c r="T157" s="566" t="str">
        <f t="shared" si="68"/>
        <v/>
      </c>
      <c r="U157" s="702"/>
      <c r="V157" s="132"/>
      <c r="W157" s="133"/>
      <c r="X157" s="134"/>
      <c r="Y157" s="135"/>
      <c r="Z157" s="137"/>
      <c r="AA157" s="136"/>
      <c r="AB157" s="566" t="str">
        <f t="shared" si="61"/>
        <v/>
      </c>
      <c r="AC157" s="568" t="str">
        <f t="shared" si="69"/>
        <v/>
      </c>
      <c r="AD157" s="137"/>
      <c r="AE157" s="137"/>
      <c r="AF157" s="138"/>
      <c r="AG157" s="138"/>
      <c r="AH157" s="592" t="str">
        <f t="shared" si="62"/>
        <v/>
      </c>
      <c r="AI157" s="592" t="str">
        <f t="shared" si="63"/>
        <v/>
      </c>
      <c r="AJ157" s="592" t="str">
        <f t="shared" si="64"/>
        <v/>
      </c>
      <c r="AK157" s="460" t="str">
        <f>IF(AU157="","",IF(OR(AZ157=8,AZ157=9),0,IF(OR(AW157=3,AW157=4,AW157=5,AW157=6),IF(LEFT(BF157,1)="1",INDEX(係数_NOX・PM低減,MATCH(AY157,【参考】排出係数!$AI$801:$AI$804,1),1),VLOOKUP(AU157,INDEX((係数_バス貨物_ガソリン,係数_バス貨物_CNG,係数_バス貨物_軽油,係数_バス貨物_メタノール,係数_バス貨物_LPG),MATCH(AY157,【参考】排出係数!$AI$4:$AI$671,1),1,BE157):INDEX((係数_バス貨物_ガソリン,係数_バス貨物_CNG,係数_バス貨物_軽油,係数_バス貨物_メタノール,係数_バス貨物_LPG),MATCH(AY157+1,【参考】排出係数!$AI$4:$AI$671,1)-1,5,BE157),4,FALSE)),IF(AND(BE157=3,LEFT(BF157,1)="1"),0.48,VLOOKUP(AU157,INDEX((係数_乗用_ガソリン,係数_乗用_CNG,係数_乗用_軽油,係数_乗用_メタノール,係数_乗用_LPG),1,1,BE157):INDEX((係数_乗用_ガソリン,係数_乗用_CNG,係数_乗用_軽油,係数_乗用_メタノール,係数_乗用_LPG),125,5,BE157),4,FALSE)))))</f>
        <v/>
      </c>
      <c r="AL157" s="461" t="str">
        <f t="shared" si="88"/>
        <v/>
      </c>
      <c r="AM157" s="460" t="str">
        <f>IF(AU157="","",IF(OR(AZ157=8,AZ157=9),0,IF(OR(AW157=3,AW157=4,AW157=5,AW157=6),IF(LEFT(BH157,1)="1",INDEX(係数_PM低減,MATCH(AY157,【参考】排出係数!$AI$801:$AI$804,1),MATCH(BI157,【参考】排出係数!$AL$798:$AO$798,1)),VLOOKUP(AU157,INDEX((係数_バス貨物_ガソリン,係数_バス貨物_CNG,係数_バス貨物_軽油,係数_バス貨物_メタノール,係数_バス貨物_LPG),MATCH(AY157,【参考】排出係数!$AI$4:$AI$671,1),1,BE157):INDEX((係数_バス貨物_ガソリン,係数_バス貨物_CNG,係数_バス貨物_軽油,係数_バス貨物_メタノール,係数_バス貨物_LPG),MATCH(AY157+1,【参考】排出係数!$AI$4:$AI$671,1)-1,5,BE157),5,FALSE)),IF(AND(BE157=3,LEFT(BF157,1)="1"),0.055,VLOOKUP(AU157,INDEX((係数_乗用_ガソリン,係数_乗用_CNG,係数_乗用_軽油,係数_乗用_メタノール,係数_乗用_LPG),1,1,BE157):INDEX((係数_乗用_ガソリン,係数_乗用_CNG,係数_乗用_軽油,係数_乗用_メタノール,係数_乗用_LPG),125,5,BE157),5,FALSE)))))</f>
        <v/>
      </c>
      <c r="AN157" s="461" t="str">
        <f t="shared" si="89"/>
        <v/>
      </c>
      <c r="AO157" s="462" t="str">
        <f t="shared" si="90"/>
        <v/>
      </c>
      <c r="AP157" s="463" t="str">
        <f t="shared" si="91"/>
        <v/>
      </c>
      <c r="AQ157" s="464"/>
      <c r="AR157" s="619"/>
      <c r="AS157" s="465" t="str">
        <f t="shared" si="70"/>
        <v/>
      </c>
      <c r="AT157" s="465" t="str">
        <f t="shared" si="71"/>
        <v/>
      </c>
      <c r="AU157" s="466" t="str">
        <f t="shared" si="72"/>
        <v/>
      </c>
      <c r="AV157" s="467" t="str">
        <f t="shared" si="73"/>
        <v/>
      </c>
      <c r="AW157" s="467" t="str">
        <f t="shared" si="74"/>
        <v/>
      </c>
      <c r="AX157" s="467" t="str">
        <f t="shared" si="75"/>
        <v/>
      </c>
      <c r="AY157" s="467" t="str">
        <f t="shared" si="76"/>
        <v/>
      </c>
      <c r="AZ157" s="467" t="str">
        <f t="shared" si="77"/>
        <v/>
      </c>
      <c r="BA157" s="468" t="str">
        <f>IF(AS157="","",IF(OR(AU157="",AU157="-"),"－",IF(OR(AZ157=8,AZ157=9),"",IF(OR(AW157=3,AW157=4,AW157=5,AW157=6),VLOOKUP(AU157,INDEX((係数_バス貨物_ガソリン,係数_バス貨物_CNG,係数_バス貨物_軽油,係数_バス貨物_メタノール,係数_バス貨物_LPG),MATCH(AY157,【参考】排出係数!$AI$4:$AI$671,1),1,BE157):INDEX((係数_バス貨物_ガソリン,係数_バス貨物_CNG,係数_バス貨物_軽油,係数_バス貨物_メタノール,係数_バス貨物_LPG),MATCH(AY157+1,【参考】排出係数!$AI$4:$AI$671,1)-1,5,BE157),2,FALSE),IF(OR(AW157=1,AW157=2),VLOOKUP(AU157,INDEX((係数_乗用_ガソリン,係数_乗用_CNG,係数_乗用_軽油,係数_乗用_メタノール,係数_乗用_LPG),1,1,BE157):INDEX((係数_乗用_ガソリン,係数_乗用_CNG,係数_乗用_軽油,係数_乗用_メタノール,係数_乗用_LPG),125,5,BE157),2,FALSE))))))</f>
        <v/>
      </c>
      <c r="BB157" s="468" t="str">
        <f>IF(T157="","",IF(OR(AU157="",AU157="-"),"－",IF(OR(AZ157=8,AZ157=9),"",IF(OR(AW157=3,AW157=4,AW157=5,AW157=6),VLOOKUP(AU157,INDEX((係数_バス貨物_ガソリン,係数_バス貨物_CNG,係数_バス貨物_軽油,係数_バス貨物_メタノール,係数_バス貨物_LPG),MATCH(AY157,【参考】排出係数!$AI$4:$AI$671,1),1,BE157):INDEX((係数_バス貨物_ガソリン,係数_バス貨物_CNG,係数_バス貨物_軽油,係数_バス貨物_メタノール,係数_バス貨物_LPG),MATCH(AY157+1,【参考】排出係数!$AI$4:$AI$671,1)-1,5,BE157),3,FALSE),IF(OR(AW157=1,AW157=2),VLOOKUP(AU157,INDEX((係数_乗用_ガソリン,係数_乗用_CNG,係数_乗用_軽油,係数_乗用_メタノール,係数_乗用_LPG),1,1,BE157):INDEX((係数_乗用_ガソリン,係数_乗用_CNG,係数_乗用_軽油,係数_乗用_メタノール,係数_乗用_LPG),125,5,BE157),3,FALSE))))))</f>
        <v/>
      </c>
      <c r="BC157" s="467" t="str">
        <f t="shared" si="78"/>
        <v/>
      </c>
      <c r="BD157" s="567" t="str">
        <f t="shared" si="79"/>
        <v/>
      </c>
      <c r="BE157" s="467" t="str">
        <f t="shared" si="80"/>
        <v/>
      </c>
      <c r="BF157" s="469" t="str">
        <f t="shared" ca="1" si="81"/>
        <v/>
      </c>
      <c r="BG157" s="469" t="str">
        <f t="shared" ca="1" si="82"/>
        <v/>
      </c>
      <c r="BH157" s="467" t="str">
        <f t="shared" si="83"/>
        <v/>
      </c>
      <c r="BI157" s="467" t="str">
        <f t="shared" ca="1" si="84"/>
        <v/>
      </c>
      <c r="BJ157" s="469" t="str">
        <f t="shared" si="85"/>
        <v/>
      </c>
      <c r="BK157" s="470" t="str">
        <f t="shared" si="65"/>
        <v/>
      </c>
      <c r="BL157" s="775" t="str">
        <f t="shared" si="86"/>
        <v/>
      </c>
      <c r="BM157" s="775" t="str">
        <f t="shared" si="87"/>
        <v/>
      </c>
    </row>
    <row r="158" spans="1:67">
      <c r="A158" s="473">
        <v>102</v>
      </c>
      <c r="B158" s="132"/>
      <c r="C158" s="332"/>
      <c r="D158" s="333"/>
      <c r="E158" s="333"/>
      <c r="F158" s="334"/>
      <c r="G158" s="337"/>
      <c r="H158" s="131"/>
      <c r="I158" s="337"/>
      <c r="J158" s="131"/>
      <c r="K158" s="458" t="str">
        <f t="shared" si="54"/>
        <v/>
      </c>
      <c r="L158" s="458">
        <f t="shared" si="66"/>
        <v>0</v>
      </c>
      <c r="M158" s="458">
        <f t="shared" si="67"/>
        <v>0</v>
      </c>
      <c r="N158" s="459" t="str">
        <f t="shared" si="55"/>
        <v/>
      </c>
      <c r="O158" s="459" t="str">
        <f t="shared" si="56"/>
        <v/>
      </c>
      <c r="P158" s="459" t="str">
        <f t="shared" si="57"/>
        <v/>
      </c>
      <c r="Q158" s="459" t="str">
        <f t="shared" si="58"/>
        <v/>
      </c>
      <c r="R158" s="459" t="str">
        <f t="shared" si="59"/>
        <v/>
      </c>
      <c r="S158" s="459" t="str">
        <f t="shared" si="60"/>
        <v/>
      </c>
      <c r="T158" s="566" t="str">
        <f t="shared" si="68"/>
        <v/>
      </c>
      <c r="U158" s="702"/>
      <c r="V158" s="132"/>
      <c r="W158" s="133"/>
      <c r="X158" s="134"/>
      <c r="Y158" s="135"/>
      <c r="Z158" s="137"/>
      <c r="AA158" s="136"/>
      <c r="AB158" s="566" t="str">
        <f t="shared" si="61"/>
        <v/>
      </c>
      <c r="AC158" s="568" t="str">
        <f t="shared" si="69"/>
        <v/>
      </c>
      <c r="AD158" s="137"/>
      <c r="AE158" s="137"/>
      <c r="AF158" s="138"/>
      <c r="AG158" s="138"/>
      <c r="AH158" s="592" t="str">
        <f t="shared" si="62"/>
        <v/>
      </c>
      <c r="AI158" s="592" t="str">
        <f t="shared" si="63"/>
        <v/>
      </c>
      <c r="AJ158" s="592" t="str">
        <f t="shared" si="64"/>
        <v/>
      </c>
      <c r="AK158" s="460" t="str">
        <f>IF(AU158="","",IF(OR(AZ158=8,AZ158=9),0,IF(OR(AW158=3,AW158=4,AW158=5,AW158=6),IF(LEFT(BF158,1)="1",INDEX(係数_NOX・PM低減,MATCH(AY158,【参考】排出係数!$AI$801:$AI$804,1),1),VLOOKUP(AU158,INDEX((係数_バス貨物_ガソリン,係数_バス貨物_CNG,係数_バス貨物_軽油,係数_バス貨物_メタノール,係数_バス貨物_LPG),MATCH(AY158,【参考】排出係数!$AI$4:$AI$671,1),1,BE158):INDEX((係数_バス貨物_ガソリン,係数_バス貨物_CNG,係数_バス貨物_軽油,係数_バス貨物_メタノール,係数_バス貨物_LPG),MATCH(AY158+1,【参考】排出係数!$AI$4:$AI$671,1)-1,5,BE158),4,FALSE)),IF(AND(BE158=3,LEFT(BF158,1)="1"),0.48,VLOOKUP(AU158,INDEX((係数_乗用_ガソリン,係数_乗用_CNG,係数_乗用_軽油,係数_乗用_メタノール,係数_乗用_LPG),1,1,BE158):INDEX((係数_乗用_ガソリン,係数_乗用_CNG,係数_乗用_軽油,係数_乗用_メタノール,係数_乗用_LPG),125,5,BE158),4,FALSE)))))</f>
        <v/>
      </c>
      <c r="AL158" s="461" t="str">
        <f t="shared" si="88"/>
        <v/>
      </c>
      <c r="AM158" s="460" t="str">
        <f>IF(AU158="","",IF(OR(AZ158=8,AZ158=9),0,IF(OR(AW158=3,AW158=4,AW158=5,AW158=6),IF(LEFT(BH158,1)="1",INDEX(係数_PM低減,MATCH(AY158,【参考】排出係数!$AI$801:$AI$804,1),MATCH(BI158,【参考】排出係数!$AL$798:$AO$798,1)),VLOOKUP(AU158,INDEX((係数_バス貨物_ガソリン,係数_バス貨物_CNG,係数_バス貨物_軽油,係数_バス貨物_メタノール,係数_バス貨物_LPG),MATCH(AY158,【参考】排出係数!$AI$4:$AI$671,1),1,BE158):INDEX((係数_バス貨物_ガソリン,係数_バス貨物_CNG,係数_バス貨物_軽油,係数_バス貨物_メタノール,係数_バス貨物_LPG),MATCH(AY158+1,【参考】排出係数!$AI$4:$AI$671,1)-1,5,BE158),5,FALSE)),IF(AND(BE158=3,LEFT(BF158,1)="1"),0.055,VLOOKUP(AU158,INDEX((係数_乗用_ガソリン,係数_乗用_CNG,係数_乗用_軽油,係数_乗用_メタノール,係数_乗用_LPG),1,1,BE158):INDEX((係数_乗用_ガソリン,係数_乗用_CNG,係数_乗用_軽油,係数_乗用_メタノール,係数_乗用_LPG),125,5,BE158),5,FALSE)))))</f>
        <v/>
      </c>
      <c r="AN158" s="461" t="str">
        <f t="shared" si="89"/>
        <v/>
      </c>
      <c r="AO158" s="462" t="str">
        <f t="shared" si="90"/>
        <v/>
      </c>
      <c r="AP158" s="463" t="str">
        <f t="shared" si="91"/>
        <v/>
      </c>
      <c r="AQ158" s="464"/>
      <c r="AR158" s="619"/>
      <c r="AS158" s="465" t="str">
        <f t="shared" si="70"/>
        <v/>
      </c>
      <c r="AT158" s="465" t="str">
        <f t="shared" si="71"/>
        <v/>
      </c>
      <c r="AU158" s="466" t="str">
        <f t="shared" si="72"/>
        <v/>
      </c>
      <c r="AV158" s="467" t="str">
        <f t="shared" si="73"/>
        <v/>
      </c>
      <c r="AW158" s="467" t="str">
        <f t="shared" si="74"/>
        <v/>
      </c>
      <c r="AX158" s="467" t="str">
        <f t="shared" si="75"/>
        <v/>
      </c>
      <c r="AY158" s="467" t="str">
        <f t="shared" si="76"/>
        <v/>
      </c>
      <c r="AZ158" s="467" t="str">
        <f t="shared" si="77"/>
        <v/>
      </c>
      <c r="BA158" s="468" t="str">
        <f>IF(AS158="","",IF(OR(AU158="",AU158="-"),"－",IF(OR(AZ158=8,AZ158=9),"",IF(OR(AW158=3,AW158=4,AW158=5,AW158=6),VLOOKUP(AU158,INDEX((係数_バス貨物_ガソリン,係数_バス貨物_CNG,係数_バス貨物_軽油,係数_バス貨物_メタノール,係数_バス貨物_LPG),MATCH(AY158,【参考】排出係数!$AI$4:$AI$671,1),1,BE158):INDEX((係数_バス貨物_ガソリン,係数_バス貨物_CNG,係数_バス貨物_軽油,係数_バス貨物_メタノール,係数_バス貨物_LPG),MATCH(AY158+1,【参考】排出係数!$AI$4:$AI$671,1)-1,5,BE158),2,FALSE),IF(OR(AW158=1,AW158=2),VLOOKUP(AU158,INDEX((係数_乗用_ガソリン,係数_乗用_CNG,係数_乗用_軽油,係数_乗用_メタノール,係数_乗用_LPG),1,1,BE158):INDEX((係数_乗用_ガソリン,係数_乗用_CNG,係数_乗用_軽油,係数_乗用_メタノール,係数_乗用_LPG),125,5,BE158),2,FALSE))))))</f>
        <v/>
      </c>
      <c r="BB158" s="468" t="str">
        <f>IF(T158="","",IF(OR(AU158="",AU158="-"),"－",IF(OR(AZ158=8,AZ158=9),"",IF(OR(AW158=3,AW158=4,AW158=5,AW158=6),VLOOKUP(AU158,INDEX((係数_バス貨物_ガソリン,係数_バス貨物_CNG,係数_バス貨物_軽油,係数_バス貨物_メタノール,係数_バス貨物_LPG),MATCH(AY158,【参考】排出係数!$AI$4:$AI$671,1),1,BE158):INDEX((係数_バス貨物_ガソリン,係数_バス貨物_CNG,係数_バス貨物_軽油,係数_バス貨物_メタノール,係数_バス貨物_LPG),MATCH(AY158+1,【参考】排出係数!$AI$4:$AI$671,1)-1,5,BE158),3,FALSE),IF(OR(AW158=1,AW158=2),VLOOKUP(AU158,INDEX((係数_乗用_ガソリン,係数_乗用_CNG,係数_乗用_軽油,係数_乗用_メタノール,係数_乗用_LPG),1,1,BE158):INDEX((係数_乗用_ガソリン,係数_乗用_CNG,係数_乗用_軽油,係数_乗用_メタノール,係数_乗用_LPG),125,5,BE158),3,FALSE))))))</f>
        <v/>
      </c>
      <c r="BC158" s="467" t="str">
        <f t="shared" si="78"/>
        <v/>
      </c>
      <c r="BD158" s="567" t="str">
        <f t="shared" si="79"/>
        <v/>
      </c>
      <c r="BE158" s="467" t="str">
        <f t="shared" si="80"/>
        <v/>
      </c>
      <c r="BF158" s="469" t="str">
        <f t="shared" ca="1" si="81"/>
        <v/>
      </c>
      <c r="BG158" s="469" t="str">
        <f t="shared" ca="1" si="82"/>
        <v/>
      </c>
      <c r="BH158" s="467" t="str">
        <f t="shared" si="83"/>
        <v/>
      </c>
      <c r="BI158" s="467" t="str">
        <f t="shared" ca="1" si="84"/>
        <v/>
      </c>
      <c r="BJ158" s="469" t="str">
        <f t="shared" si="85"/>
        <v/>
      </c>
      <c r="BK158" s="470" t="str">
        <f t="shared" si="65"/>
        <v/>
      </c>
      <c r="BL158" s="775" t="str">
        <f t="shared" si="86"/>
        <v/>
      </c>
      <c r="BM158" s="775" t="str">
        <f t="shared" si="87"/>
        <v/>
      </c>
    </row>
    <row r="159" spans="1:67">
      <c r="A159" s="473">
        <v>103</v>
      </c>
      <c r="B159" s="132"/>
      <c r="C159" s="332"/>
      <c r="D159" s="333"/>
      <c r="E159" s="333"/>
      <c r="F159" s="334"/>
      <c r="G159" s="337"/>
      <c r="H159" s="131"/>
      <c r="I159" s="337"/>
      <c r="J159" s="131"/>
      <c r="K159" s="458" t="str">
        <f t="shared" si="54"/>
        <v/>
      </c>
      <c r="L159" s="458">
        <f t="shared" si="66"/>
        <v>0</v>
      </c>
      <c r="M159" s="458">
        <f t="shared" si="67"/>
        <v>0</v>
      </c>
      <c r="N159" s="459" t="str">
        <f t="shared" si="55"/>
        <v/>
      </c>
      <c r="O159" s="459" t="str">
        <f t="shared" si="56"/>
        <v/>
      </c>
      <c r="P159" s="459" t="str">
        <f t="shared" si="57"/>
        <v/>
      </c>
      <c r="Q159" s="459" t="str">
        <f t="shared" si="58"/>
        <v/>
      </c>
      <c r="R159" s="459" t="str">
        <f t="shared" si="59"/>
        <v/>
      </c>
      <c r="S159" s="459" t="str">
        <f t="shared" si="60"/>
        <v/>
      </c>
      <c r="T159" s="566" t="str">
        <f t="shared" si="68"/>
        <v/>
      </c>
      <c r="U159" s="702"/>
      <c r="V159" s="132"/>
      <c r="W159" s="133"/>
      <c r="X159" s="134"/>
      <c r="Y159" s="135"/>
      <c r="Z159" s="137"/>
      <c r="AA159" s="136"/>
      <c r="AB159" s="566" t="str">
        <f t="shared" si="61"/>
        <v/>
      </c>
      <c r="AC159" s="568" t="str">
        <f t="shared" si="69"/>
        <v/>
      </c>
      <c r="AD159" s="137"/>
      <c r="AE159" s="137"/>
      <c r="AF159" s="138"/>
      <c r="AG159" s="138"/>
      <c r="AH159" s="592" t="str">
        <f t="shared" si="62"/>
        <v/>
      </c>
      <c r="AI159" s="592" t="str">
        <f t="shared" si="63"/>
        <v/>
      </c>
      <c r="AJ159" s="592" t="str">
        <f t="shared" si="64"/>
        <v/>
      </c>
      <c r="AK159" s="460" t="str">
        <f>IF(AU159="","",IF(OR(AZ159=8,AZ159=9),0,IF(OR(AW159=3,AW159=4,AW159=5,AW159=6),IF(LEFT(BF159,1)="1",INDEX(係数_NOX・PM低減,MATCH(AY159,【参考】排出係数!$AI$801:$AI$804,1),1),VLOOKUP(AU159,INDEX((係数_バス貨物_ガソリン,係数_バス貨物_CNG,係数_バス貨物_軽油,係数_バス貨物_メタノール,係数_バス貨物_LPG),MATCH(AY159,【参考】排出係数!$AI$4:$AI$671,1),1,BE159):INDEX((係数_バス貨物_ガソリン,係数_バス貨物_CNG,係数_バス貨物_軽油,係数_バス貨物_メタノール,係数_バス貨物_LPG),MATCH(AY159+1,【参考】排出係数!$AI$4:$AI$671,1)-1,5,BE159),4,FALSE)),IF(AND(BE159=3,LEFT(BF159,1)="1"),0.48,VLOOKUP(AU159,INDEX((係数_乗用_ガソリン,係数_乗用_CNG,係数_乗用_軽油,係数_乗用_メタノール,係数_乗用_LPG),1,1,BE159):INDEX((係数_乗用_ガソリン,係数_乗用_CNG,係数_乗用_軽油,係数_乗用_メタノール,係数_乗用_LPG),125,5,BE159),4,FALSE)))))</f>
        <v/>
      </c>
      <c r="AL159" s="461" t="str">
        <f t="shared" si="88"/>
        <v/>
      </c>
      <c r="AM159" s="460" t="str">
        <f>IF(AU159="","",IF(OR(AZ159=8,AZ159=9),0,IF(OR(AW159=3,AW159=4,AW159=5,AW159=6),IF(LEFT(BH159,1)="1",INDEX(係数_PM低減,MATCH(AY159,【参考】排出係数!$AI$801:$AI$804,1),MATCH(BI159,【参考】排出係数!$AL$798:$AO$798,1)),VLOOKUP(AU159,INDEX((係数_バス貨物_ガソリン,係数_バス貨物_CNG,係数_バス貨物_軽油,係数_バス貨物_メタノール,係数_バス貨物_LPG),MATCH(AY159,【参考】排出係数!$AI$4:$AI$671,1),1,BE159):INDEX((係数_バス貨物_ガソリン,係数_バス貨物_CNG,係数_バス貨物_軽油,係数_バス貨物_メタノール,係数_バス貨物_LPG),MATCH(AY159+1,【参考】排出係数!$AI$4:$AI$671,1)-1,5,BE159),5,FALSE)),IF(AND(BE159=3,LEFT(BF159,1)="1"),0.055,VLOOKUP(AU159,INDEX((係数_乗用_ガソリン,係数_乗用_CNG,係数_乗用_軽油,係数_乗用_メタノール,係数_乗用_LPG),1,1,BE159):INDEX((係数_乗用_ガソリン,係数_乗用_CNG,係数_乗用_軽油,係数_乗用_メタノール,係数_乗用_LPG),125,5,BE159),5,FALSE)))))</f>
        <v/>
      </c>
      <c r="AN159" s="461" t="str">
        <f t="shared" si="89"/>
        <v/>
      </c>
      <c r="AO159" s="462" t="str">
        <f t="shared" si="90"/>
        <v/>
      </c>
      <c r="AP159" s="463" t="str">
        <f t="shared" si="91"/>
        <v/>
      </c>
      <c r="AQ159" s="464"/>
      <c r="AR159" s="619"/>
      <c r="AS159" s="465" t="str">
        <f t="shared" si="70"/>
        <v/>
      </c>
      <c r="AT159" s="465" t="str">
        <f t="shared" si="71"/>
        <v/>
      </c>
      <c r="AU159" s="466" t="str">
        <f t="shared" si="72"/>
        <v/>
      </c>
      <c r="AV159" s="467" t="str">
        <f t="shared" si="73"/>
        <v/>
      </c>
      <c r="AW159" s="467" t="str">
        <f t="shared" si="74"/>
        <v/>
      </c>
      <c r="AX159" s="467" t="str">
        <f t="shared" si="75"/>
        <v/>
      </c>
      <c r="AY159" s="467" t="str">
        <f t="shared" si="76"/>
        <v/>
      </c>
      <c r="AZ159" s="467" t="str">
        <f t="shared" si="77"/>
        <v/>
      </c>
      <c r="BA159" s="468" t="str">
        <f>IF(AS159="","",IF(OR(AU159="",AU159="-"),"－",IF(OR(AZ159=8,AZ159=9),"",IF(OR(AW159=3,AW159=4,AW159=5,AW159=6),VLOOKUP(AU159,INDEX((係数_バス貨物_ガソリン,係数_バス貨物_CNG,係数_バス貨物_軽油,係数_バス貨物_メタノール,係数_バス貨物_LPG),MATCH(AY159,【参考】排出係数!$AI$4:$AI$671,1),1,BE159):INDEX((係数_バス貨物_ガソリン,係数_バス貨物_CNG,係数_バス貨物_軽油,係数_バス貨物_メタノール,係数_バス貨物_LPG),MATCH(AY159+1,【参考】排出係数!$AI$4:$AI$671,1)-1,5,BE159),2,FALSE),IF(OR(AW159=1,AW159=2),VLOOKUP(AU159,INDEX((係数_乗用_ガソリン,係数_乗用_CNG,係数_乗用_軽油,係数_乗用_メタノール,係数_乗用_LPG),1,1,BE159):INDEX((係数_乗用_ガソリン,係数_乗用_CNG,係数_乗用_軽油,係数_乗用_メタノール,係数_乗用_LPG),125,5,BE159),2,FALSE))))))</f>
        <v/>
      </c>
      <c r="BB159" s="468" t="str">
        <f>IF(T159="","",IF(OR(AU159="",AU159="-"),"－",IF(OR(AZ159=8,AZ159=9),"",IF(OR(AW159=3,AW159=4,AW159=5,AW159=6),VLOOKUP(AU159,INDEX((係数_バス貨物_ガソリン,係数_バス貨物_CNG,係数_バス貨物_軽油,係数_バス貨物_メタノール,係数_バス貨物_LPG),MATCH(AY159,【参考】排出係数!$AI$4:$AI$671,1),1,BE159):INDEX((係数_バス貨物_ガソリン,係数_バス貨物_CNG,係数_バス貨物_軽油,係数_バス貨物_メタノール,係数_バス貨物_LPG),MATCH(AY159+1,【参考】排出係数!$AI$4:$AI$671,1)-1,5,BE159),3,FALSE),IF(OR(AW159=1,AW159=2),VLOOKUP(AU159,INDEX((係数_乗用_ガソリン,係数_乗用_CNG,係数_乗用_軽油,係数_乗用_メタノール,係数_乗用_LPG),1,1,BE159):INDEX((係数_乗用_ガソリン,係数_乗用_CNG,係数_乗用_軽油,係数_乗用_メタノール,係数_乗用_LPG),125,5,BE159),3,FALSE))))))</f>
        <v/>
      </c>
      <c r="BC159" s="467" t="str">
        <f t="shared" si="78"/>
        <v/>
      </c>
      <c r="BD159" s="567" t="str">
        <f t="shared" si="79"/>
        <v/>
      </c>
      <c r="BE159" s="467" t="str">
        <f t="shared" si="80"/>
        <v/>
      </c>
      <c r="BF159" s="469" t="str">
        <f t="shared" ca="1" si="81"/>
        <v/>
      </c>
      <c r="BG159" s="469" t="str">
        <f t="shared" ca="1" si="82"/>
        <v/>
      </c>
      <c r="BH159" s="467" t="str">
        <f t="shared" si="83"/>
        <v/>
      </c>
      <c r="BI159" s="467" t="str">
        <f t="shared" ca="1" si="84"/>
        <v/>
      </c>
      <c r="BJ159" s="469" t="str">
        <f t="shared" si="85"/>
        <v/>
      </c>
      <c r="BK159" s="470" t="str">
        <f t="shared" si="65"/>
        <v/>
      </c>
      <c r="BL159" s="775" t="str">
        <f t="shared" si="86"/>
        <v/>
      </c>
      <c r="BM159" s="775" t="str">
        <f t="shared" si="87"/>
        <v/>
      </c>
    </row>
    <row r="160" spans="1:67">
      <c r="A160" s="473">
        <v>104</v>
      </c>
      <c r="B160" s="132"/>
      <c r="C160" s="332"/>
      <c r="D160" s="333"/>
      <c r="E160" s="333"/>
      <c r="F160" s="334"/>
      <c r="G160" s="337"/>
      <c r="H160" s="131"/>
      <c r="I160" s="337"/>
      <c r="J160" s="131"/>
      <c r="K160" s="458" t="str">
        <f t="shared" si="54"/>
        <v/>
      </c>
      <c r="L160" s="458">
        <f t="shared" si="66"/>
        <v>0</v>
      </c>
      <c r="M160" s="458">
        <f t="shared" si="67"/>
        <v>0</v>
      </c>
      <c r="N160" s="459" t="str">
        <f t="shared" si="55"/>
        <v/>
      </c>
      <c r="O160" s="459" t="str">
        <f t="shared" si="56"/>
        <v/>
      </c>
      <c r="P160" s="459" t="str">
        <f t="shared" si="57"/>
        <v/>
      </c>
      <c r="Q160" s="459" t="str">
        <f t="shared" si="58"/>
        <v/>
      </c>
      <c r="R160" s="459" t="str">
        <f t="shared" si="59"/>
        <v/>
      </c>
      <c r="S160" s="459" t="str">
        <f t="shared" si="60"/>
        <v/>
      </c>
      <c r="T160" s="566" t="str">
        <f t="shared" si="68"/>
        <v/>
      </c>
      <c r="U160" s="702"/>
      <c r="V160" s="132"/>
      <c r="W160" s="133"/>
      <c r="X160" s="134"/>
      <c r="Y160" s="135"/>
      <c r="Z160" s="137"/>
      <c r="AA160" s="136"/>
      <c r="AB160" s="566" t="str">
        <f t="shared" si="61"/>
        <v/>
      </c>
      <c r="AC160" s="568" t="str">
        <f t="shared" si="69"/>
        <v/>
      </c>
      <c r="AD160" s="137"/>
      <c r="AE160" s="137"/>
      <c r="AF160" s="138"/>
      <c r="AG160" s="138"/>
      <c r="AH160" s="592" t="str">
        <f t="shared" si="62"/>
        <v/>
      </c>
      <c r="AI160" s="592" t="str">
        <f t="shared" si="63"/>
        <v/>
      </c>
      <c r="AJ160" s="592" t="str">
        <f t="shared" si="64"/>
        <v/>
      </c>
      <c r="AK160" s="460" t="str">
        <f>IF(AU160="","",IF(OR(AZ160=8,AZ160=9),0,IF(OR(AW160=3,AW160=4,AW160=5,AW160=6),IF(LEFT(BF160,1)="1",INDEX(係数_NOX・PM低減,MATCH(AY160,【参考】排出係数!$AI$801:$AI$804,1),1),VLOOKUP(AU160,INDEX((係数_バス貨物_ガソリン,係数_バス貨物_CNG,係数_バス貨物_軽油,係数_バス貨物_メタノール,係数_バス貨物_LPG),MATCH(AY160,【参考】排出係数!$AI$4:$AI$671,1),1,BE160):INDEX((係数_バス貨物_ガソリン,係数_バス貨物_CNG,係数_バス貨物_軽油,係数_バス貨物_メタノール,係数_バス貨物_LPG),MATCH(AY160+1,【参考】排出係数!$AI$4:$AI$671,1)-1,5,BE160),4,FALSE)),IF(AND(BE160=3,LEFT(BF160,1)="1"),0.48,VLOOKUP(AU160,INDEX((係数_乗用_ガソリン,係数_乗用_CNG,係数_乗用_軽油,係数_乗用_メタノール,係数_乗用_LPG),1,1,BE160):INDEX((係数_乗用_ガソリン,係数_乗用_CNG,係数_乗用_軽油,係数_乗用_メタノール,係数_乗用_LPG),125,5,BE160),4,FALSE)))))</f>
        <v/>
      </c>
      <c r="AL160" s="461" t="str">
        <f t="shared" si="88"/>
        <v/>
      </c>
      <c r="AM160" s="460" t="str">
        <f>IF(AU160="","",IF(OR(AZ160=8,AZ160=9),0,IF(OR(AW160=3,AW160=4,AW160=5,AW160=6),IF(LEFT(BH160,1)="1",INDEX(係数_PM低減,MATCH(AY160,【参考】排出係数!$AI$801:$AI$804,1),MATCH(BI160,【参考】排出係数!$AL$798:$AO$798,1)),VLOOKUP(AU160,INDEX((係数_バス貨物_ガソリン,係数_バス貨物_CNG,係数_バス貨物_軽油,係数_バス貨物_メタノール,係数_バス貨物_LPG),MATCH(AY160,【参考】排出係数!$AI$4:$AI$671,1),1,BE160):INDEX((係数_バス貨物_ガソリン,係数_バス貨物_CNG,係数_バス貨物_軽油,係数_バス貨物_メタノール,係数_バス貨物_LPG),MATCH(AY160+1,【参考】排出係数!$AI$4:$AI$671,1)-1,5,BE160),5,FALSE)),IF(AND(BE160=3,LEFT(BF160,1)="1"),0.055,VLOOKUP(AU160,INDEX((係数_乗用_ガソリン,係数_乗用_CNG,係数_乗用_軽油,係数_乗用_メタノール,係数_乗用_LPG),1,1,BE160):INDEX((係数_乗用_ガソリン,係数_乗用_CNG,係数_乗用_軽油,係数_乗用_メタノール,係数_乗用_LPG),125,5,BE160),5,FALSE)))))</f>
        <v/>
      </c>
      <c r="AN160" s="461" t="str">
        <f t="shared" si="89"/>
        <v/>
      </c>
      <c r="AO160" s="462" t="str">
        <f t="shared" si="90"/>
        <v/>
      </c>
      <c r="AP160" s="463" t="str">
        <f t="shared" si="91"/>
        <v/>
      </c>
      <c r="AQ160" s="464"/>
      <c r="AR160" s="619"/>
      <c r="AS160" s="465" t="str">
        <f t="shared" si="70"/>
        <v/>
      </c>
      <c r="AT160" s="465" t="str">
        <f t="shared" si="71"/>
        <v/>
      </c>
      <c r="AU160" s="466" t="str">
        <f t="shared" si="72"/>
        <v/>
      </c>
      <c r="AV160" s="467" t="str">
        <f t="shared" si="73"/>
        <v/>
      </c>
      <c r="AW160" s="467" t="str">
        <f t="shared" si="74"/>
        <v/>
      </c>
      <c r="AX160" s="467" t="str">
        <f t="shared" si="75"/>
        <v/>
      </c>
      <c r="AY160" s="467" t="str">
        <f t="shared" si="76"/>
        <v/>
      </c>
      <c r="AZ160" s="467" t="str">
        <f t="shared" si="77"/>
        <v/>
      </c>
      <c r="BA160" s="468" t="str">
        <f>IF(AS160="","",IF(OR(AU160="",AU160="-"),"－",IF(OR(AZ160=8,AZ160=9),"",IF(OR(AW160=3,AW160=4,AW160=5,AW160=6),VLOOKUP(AU160,INDEX((係数_バス貨物_ガソリン,係数_バス貨物_CNG,係数_バス貨物_軽油,係数_バス貨物_メタノール,係数_バス貨物_LPG),MATCH(AY160,【参考】排出係数!$AI$4:$AI$671,1),1,BE160):INDEX((係数_バス貨物_ガソリン,係数_バス貨物_CNG,係数_バス貨物_軽油,係数_バス貨物_メタノール,係数_バス貨物_LPG),MATCH(AY160+1,【参考】排出係数!$AI$4:$AI$671,1)-1,5,BE160),2,FALSE),IF(OR(AW160=1,AW160=2),VLOOKUP(AU160,INDEX((係数_乗用_ガソリン,係数_乗用_CNG,係数_乗用_軽油,係数_乗用_メタノール,係数_乗用_LPG),1,1,BE160):INDEX((係数_乗用_ガソリン,係数_乗用_CNG,係数_乗用_軽油,係数_乗用_メタノール,係数_乗用_LPG),125,5,BE160),2,FALSE))))))</f>
        <v/>
      </c>
      <c r="BB160" s="468" t="str">
        <f>IF(T160="","",IF(OR(AU160="",AU160="-"),"－",IF(OR(AZ160=8,AZ160=9),"",IF(OR(AW160=3,AW160=4,AW160=5,AW160=6),VLOOKUP(AU160,INDEX((係数_バス貨物_ガソリン,係数_バス貨物_CNG,係数_バス貨物_軽油,係数_バス貨物_メタノール,係数_バス貨物_LPG),MATCH(AY160,【参考】排出係数!$AI$4:$AI$671,1),1,BE160):INDEX((係数_バス貨物_ガソリン,係数_バス貨物_CNG,係数_バス貨物_軽油,係数_バス貨物_メタノール,係数_バス貨物_LPG),MATCH(AY160+1,【参考】排出係数!$AI$4:$AI$671,1)-1,5,BE160),3,FALSE),IF(OR(AW160=1,AW160=2),VLOOKUP(AU160,INDEX((係数_乗用_ガソリン,係数_乗用_CNG,係数_乗用_軽油,係数_乗用_メタノール,係数_乗用_LPG),1,1,BE160):INDEX((係数_乗用_ガソリン,係数_乗用_CNG,係数_乗用_軽油,係数_乗用_メタノール,係数_乗用_LPG),125,5,BE160),3,FALSE))))))</f>
        <v/>
      </c>
      <c r="BC160" s="467" t="str">
        <f t="shared" si="78"/>
        <v/>
      </c>
      <c r="BD160" s="567" t="str">
        <f t="shared" si="79"/>
        <v/>
      </c>
      <c r="BE160" s="467" t="str">
        <f t="shared" si="80"/>
        <v/>
      </c>
      <c r="BF160" s="469" t="str">
        <f t="shared" ca="1" si="81"/>
        <v/>
      </c>
      <c r="BG160" s="469" t="str">
        <f t="shared" ca="1" si="82"/>
        <v/>
      </c>
      <c r="BH160" s="467" t="str">
        <f t="shared" si="83"/>
        <v/>
      </c>
      <c r="BI160" s="467" t="str">
        <f t="shared" ca="1" si="84"/>
        <v/>
      </c>
      <c r="BJ160" s="469" t="str">
        <f t="shared" si="85"/>
        <v/>
      </c>
      <c r="BK160" s="470" t="str">
        <f t="shared" si="65"/>
        <v/>
      </c>
      <c r="BL160" s="775" t="str">
        <f t="shared" si="86"/>
        <v/>
      </c>
      <c r="BM160" s="775" t="str">
        <f t="shared" si="87"/>
        <v/>
      </c>
    </row>
    <row r="161" spans="1:65">
      <c r="A161" s="473">
        <v>105</v>
      </c>
      <c r="B161" s="132"/>
      <c r="C161" s="332"/>
      <c r="D161" s="333"/>
      <c r="E161" s="333"/>
      <c r="F161" s="334"/>
      <c r="G161" s="337"/>
      <c r="H161" s="131"/>
      <c r="I161" s="337"/>
      <c r="J161" s="131"/>
      <c r="K161" s="458" t="str">
        <f t="shared" si="54"/>
        <v/>
      </c>
      <c r="L161" s="458">
        <f t="shared" si="66"/>
        <v>0</v>
      </c>
      <c r="M161" s="458">
        <f t="shared" si="67"/>
        <v>0</v>
      </c>
      <c r="N161" s="459" t="str">
        <f t="shared" si="55"/>
        <v/>
      </c>
      <c r="O161" s="459" t="str">
        <f t="shared" si="56"/>
        <v/>
      </c>
      <c r="P161" s="459" t="str">
        <f t="shared" si="57"/>
        <v/>
      </c>
      <c r="Q161" s="459" t="str">
        <f t="shared" si="58"/>
        <v/>
      </c>
      <c r="R161" s="459" t="str">
        <f t="shared" si="59"/>
        <v/>
      </c>
      <c r="S161" s="459" t="str">
        <f t="shared" si="60"/>
        <v/>
      </c>
      <c r="T161" s="566" t="str">
        <f t="shared" si="68"/>
        <v/>
      </c>
      <c r="U161" s="702"/>
      <c r="V161" s="132"/>
      <c r="W161" s="133"/>
      <c r="X161" s="134"/>
      <c r="Y161" s="135"/>
      <c r="Z161" s="137"/>
      <c r="AA161" s="136"/>
      <c r="AB161" s="566" t="str">
        <f t="shared" si="61"/>
        <v/>
      </c>
      <c r="AC161" s="568" t="str">
        <f t="shared" si="69"/>
        <v/>
      </c>
      <c r="AD161" s="137"/>
      <c r="AE161" s="137"/>
      <c r="AF161" s="138"/>
      <c r="AG161" s="138"/>
      <c r="AH161" s="592" t="str">
        <f t="shared" si="62"/>
        <v/>
      </c>
      <c r="AI161" s="592" t="str">
        <f t="shared" si="63"/>
        <v/>
      </c>
      <c r="AJ161" s="592" t="str">
        <f t="shared" si="64"/>
        <v/>
      </c>
      <c r="AK161" s="460" t="str">
        <f>IF(AU161="","",IF(OR(AZ161=8,AZ161=9),0,IF(OR(AW161=3,AW161=4,AW161=5,AW161=6),IF(LEFT(BF161,1)="1",INDEX(係数_NOX・PM低減,MATCH(AY161,【参考】排出係数!$AI$801:$AI$804,1),1),VLOOKUP(AU161,INDEX((係数_バス貨物_ガソリン,係数_バス貨物_CNG,係数_バス貨物_軽油,係数_バス貨物_メタノール,係数_バス貨物_LPG),MATCH(AY161,【参考】排出係数!$AI$4:$AI$671,1),1,BE161):INDEX((係数_バス貨物_ガソリン,係数_バス貨物_CNG,係数_バス貨物_軽油,係数_バス貨物_メタノール,係数_バス貨物_LPG),MATCH(AY161+1,【参考】排出係数!$AI$4:$AI$671,1)-1,5,BE161),4,FALSE)),IF(AND(BE161=3,LEFT(BF161,1)="1"),0.48,VLOOKUP(AU161,INDEX((係数_乗用_ガソリン,係数_乗用_CNG,係数_乗用_軽油,係数_乗用_メタノール,係数_乗用_LPG),1,1,BE161):INDEX((係数_乗用_ガソリン,係数_乗用_CNG,係数_乗用_軽油,係数_乗用_メタノール,係数_乗用_LPG),125,5,BE161),4,FALSE)))))</f>
        <v/>
      </c>
      <c r="AL161" s="461" t="str">
        <f t="shared" si="88"/>
        <v/>
      </c>
      <c r="AM161" s="460" t="str">
        <f>IF(AU161="","",IF(OR(AZ161=8,AZ161=9),0,IF(OR(AW161=3,AW161=4,AW161=5,AW161=6),IF(LEFT(BH161,1)="1",INDEX(係数_PM低減,MATCH(AY161,【参考】排出係数!$AI$801:$AI$804,1),MATCH(BI161,【参考】排出係数!$AL$798:$AO$798,1)),VLOOKUP(AU161,INDEX((係数_バス貨物_ガソリン,係数_バス貨物_CNG,係数_バス貨物_軽油,係数_バス貨物_メタノール,係数_バス貨物_LPG),MATCH(AY161,【参考】排出係数!$AI$4:$AI$671,1),1,BE161):INDEX((係数_バス貨物_ガソリン,係数_バス貨物_CNG,係数_バス貨物_軽油,係数_バス貨物_メタノール,係数_バス貨物_LPG),MATCH(AY161+1,【参考】排出係数!$AI$4:$AI$671,1)-1,5,BE161),5,FALSE)),IF(AND(BE161=3,LEFT(BF161,1)="1"),0.055,VLOOKUP(AU161,INDEX((係数_乗用_ガソリン,係数_乗用_CNG,係数_乗用_軽油,係数_乗用_メタノール,係数_乗用_LPG),1,1,BE161):INDEX((係数_乗用_ガソリン,係数_乗用_CNG,係数_乗用_軽油,係数_乗用_メタノール,係数_乗用_LPG),125,5,BE161),5,FALSE)))))</f>
        <v/>
      </c>
      <c r="AN161" s="461" t="str">
        <f t="shared" si="89"/>
        <v/>
      </c>
      <c r="AO161" s="462" t="str">
        <f t="shared" si="90"/>
        <v/>
      </c>
      <c r="AP161" s="463" t="str">
        <f t="shared" si="91"/>
        <v/>
      </c>
      <c r="AQ161" s="464"/>
      <c r="AR161" s="619"/>
      <c r="AS161" s="465" t="str">
        <f t="shared" si="70"/>
        <v/>
      </c>
      <c r="AT161" s="465" t="str">
        <f t="shared" si="71"/>
        <v/>
      </c>
      <c r="AU161" s="466" t="str">
        <f t="shared" si="72"/>
        <v/>
      </c>
      <c r="AV161" s="467" t="str">
        <f t="shared" si="73"/>
        <v/>
      </c>
      <c r="AW161" s="467" t="str">
        <f t="shared" si="74"/>
        <v/>
      </c>
      <c r="AX161" s="467" t="str">
        <f t="shared" si="75"/>
        <v/>
      </c>
      <c r="AY161" s="467" t="str">
        <f t="shared" si="76"/>
        <v/>
      </c>
      <c r="AZ161" s="467" t="str">
        <f t="shared" si="77"/>
        <v/>
      </c>
      <c r="BA161" s="468" t="str">
        <f>IF(AS161="","",IF(OR(AU161="",AU161="-"),"－",IF(OR(AZ161=8,AZ161=9),"",IF(OR(AW161=3,AW161=4,AW161=5,AW161=6),VLOOKUP(AU161,INDEX((係数_バス貨物_ガソリン,係数_バス貨物_CNG,係数_バス貨物_軽油,係数_バス貨物_メタノール,係数_バス貨物_LPG),MATCH(AY161,【参考】排出係数!$AI$4:$AI$671,1),1,BE161):INDEX((係数_バス貨物_ガソリン,係数_バス貨物_CNG,係数_バス貨物_軽油,係数_バス貨物_メタノール,係数_バス貨物_LPG),MATCH(AY161+1,【参考】排出係数!$AI$4:$AI$671,1)-1,5,BE161),2,FALSE),IF(OR(AW161=1,AW161=2),VLOOKUP(AU161,INDEX((係数_乗用_ガソリン,係数_乗用_CNG,係数_乗用_軽油,係数_乗用_メタノール,係数_乗用_LPG),1,1,BE161):INDEX((係数_乗用_ガソリン,係数_乗用_CNG,係数_乗用_軽油,係数_乗用_メタノール,係数_乗用_LPG),125,5,BE161),2,FALSE))))))</f>
        <v/>
      </c>
      <c r="BB161" s="468" t="str">
        <f>IF(T161="","",IF(OR(AU161="",AU161="-"),"－",IF(OR(AZ161=8,AZ161=9),"",IF(OR(AW161=3,AW161=4,AW161=5,AW161=6),VLOOKUP(AU161,INDEX((係数_バス貨物_ガソリン,係数_バス貨物_CNG,係数_バス貨物_軽油,係数_バス貨物_メタノール,係数_バス貨物_LPG),MATCH(AY161,【参考】排出係数!$AI$4:$AI$671,1),1,BE161):INDEX((係数_バス貨物_ガソリン,係数_バス貨物_CNG,係数_バス貨物_軽油,係数_バス貨物_メタノール,係数_バス貨物_LPG),MATCH(AY161+1,【参考】排出係数!$AI$4:$AI$671,1)-1,5,BE161),3,FALSE),IF(OR(AW161=1,AW161=2),VLOOKUP(AU161,INDEX((係数_乗用_ガソリン,係数_乗用_CNG,係数_乗用_軽油,係数_乗用_メタノール,係数_乗用_LPG),1,1,BE161):INDEX((係数_乗用_ガソリン,係数_乗用_CNG,係数_乗用_軽油,係数_乗用_メタノール,係数_乗用_LPG),125,5,BE161),3,FALSE))))))</f>
        <v/>
      </c>
      <c r="BC161" s="467" t="str">
        <f t="shared" si="78"/>
        <v/>
      </c>
      <c r="BD161" s="567" t="str">
        <f t="shared" si="79"/>
        <v/>
      </c>
      <c r="BE161" s="467" t="str">
        <f t="shared" si="80"/>
        <v/>
      </c>
      <c r="BF161" s="469" t="str">
        <f t="shared" ca="1" si="81"/>
        <v/>
      </c>
      <c r="BG161" s="469" t="str">
        <f t="shared" ca="1" si="82"/>
        <v/>
      </c>
      <c r="BH161" s="467" t="str">
        <f t="shared" si="83"/>
        <v/>
      </c>
      <c r="BI161" s="467" t="str">
        <f t="shared" ca="1" si="84"/>
        <v/>
      </c>
      <c r="BJ161" s="469" t="str">
        <f t="shared" si="85"/>
        <v/>
      </c>
      <c r="BK161" s="470" t="str">
        <f t="shared" si="65"/>
        <v/>
      </c>
      <c r="BL161" s="775" t="str">
        <f t="shared" si="86"/>
        <v/>
      </c>
      <c r="BM161" s="775" t="str">
        <f t="shared" si="87"/>
        <v/>
      </c>
    </row>
    <row r="162" spans="1:65">
      <c r="A162" s="473">
        <v>106</v>
      </c>
      <c r="B162" s="132"/>
      <c r="C162" s="332"/>
      <c r="D162" s="333"/>
      <c r="E162" s="333"/>
      <c r="F162" s="334"/>
      <c r="G162" s="337"/>
      <c r="H162" s="131"/>
      <c r="I162" s="337"/>
      <c r="J162" s="131"/>
      <c r="K162" s="458" t="str">
        <f t="shared" si="54"/>
        <v/>
      </c>
      <c r="L162" s="458">
        <f t="shared" si="66"/>
        <v>0</v>
      </c>
      <c r="M162" s="458">
        <f t="shared" si="67"/>
        <v>0</v>
      </c>
      <c r="N162" s="459" t="str">
        <f t="shared" si="55"/>
        <v/>
      </c>
      <c r="O162" s="459" t="str">
        <f t="shared" si="56"/>
        <v/>
      </c>
      <c r="P162" s="459" t="str">
        <f t="shared" si="57"/>
        <v/>
      </c>
      <c r="Q162" s="459" t="str">
        <f t="shared" si="58"/>
        <v/>
      </c>
      <c r="R162" s="459" t="str">
        <f t="shared" si="59"/>
        <v/>
      </c>
      <c r="S162" s="459" t="str">
        <f t="shared" si="60"/>
        <v/>
      </c>
      <c r="T162" s="566" t="str">
        <f t="shared" si="68"/>
        <v/>
      </c>
      <c r="U162" s="702"/>
      <c r="V162" s="132"/>
      <c r="W162" s="133"/>
      <c r="X162" s="134"/>
      <c r="Y162" s="135"/>
      <c r="Z162" s="137"/>
      <c r="AA162" s="136"/>
      <c r="AB162" s="566" t="str">
        <f t="shared" si="61"/>
        <v/>
      </c>
      <c r="AC162" s="568" t="str">
        <f t="shared" si="69"/>
        <v/>
      </c>
      <c r="AD162" s="137"/>
      <c r="AE162" s="137"/>
      <c r="AF162" s="138"/>
      <c r="AG162" s="138"/>
      <c r="AH162" s="592" t="str">
        <f t="shared" si="62"/>
        <v/>
      </c>
      <c r="AI162" s="592" t="str">
        <f t="shared" si="63"/>
        <v/>
      </c>
      <c r="AJ162" s="592" t="str">
        <f t="shared" si="64"/>
        <v/>
      </c>
      <c r="AK162" s="460" t="str">
        <f>IF(AU162="","",IF(OR(AZ162=8,AZ162=9),0,IF(OR(AW162=3,AW162=4,AW162=5,AW162=6),IF(LEFT(BF162,1)="1",INDEX(係数_NOX・PM低減,MATCH(AY162,【参考】排出係数!$AI$801:$AI$804,1),1),VLOOKUP(AU162,INDEX((係数_バス貨物_ガソリン,係数_バス貨物_CNG,係数_バス貨物_軽油,係数_バス貨物_メタノール,係数_バス貨物_LPG),MATCH(AY162,【参考】排出係数!$AI$4:$AI$671,1),1,BE162):INDEX((係数_バス貨物_ガソリン,係数_バス貨物_CNG,係数_バス貨物_軽油,係数_バス貨物_メタノール,係数_バス貨物_LPG),MATCH(AY162+1,【参考】排出係数!$AI$4:$AI$671,1)-1,5,BE162),4,FALSE)),IF(AND(BE162=3,LEFT(BF162,1)="1"),0.48,VLOOKUP(AU162,INDEX((係数_乗用_ガソリン,係数_乗用_CNG,係数_乗用_軽油,係数_乗用_メタノール,係数_乗用_LPG),1,1,BE162):INDEX((係数_乗用_ガソリン,係数_乗用_CNG,係数_乗用_軽油,係数_乗用_メタノール,係数_乗用_LPG),125,5,BE162),4,FALSE)))))</f>
        <v/>
      </c>
      <c r="AL162" s="461" t="str">
        <f t="shared" si="88"/>
        <v/>
      </c>
      <c r="AM162" s="460" t="str">
        <f>IF(AU162="","",IF(OR(AZ162=8,AZ162=9),0,IF(OR(AW162=3,AW162=4,AW162=5,AW162=6),IF(LEFT(BH162,1)="1",INDEX(係数_PM低減,MATCH(AY162,【参考】排出係数!$AI$801:$AI$804,1),MATCH(BI162,【参考】排出係数!$AL$798:$AO$798,1)),VLOOKUP(AU162,INDEX((係数_バス貨物_ガソリン,係数_バス貨物_CNG,係数_バス貨物_軽油,係数_バス貨物_メタノール,係数_バス貨物_LPG),MATCH(AY162,【参考】排出係数!$AI$4:$AI$671,1),1,BE162):INDEX((係数_バス貨物_ガソリン,係数_バス貨物_CNG,係数_バス貨物_軽油,係数_バス貨物_メタノール,係数_バス貨物_LPG),MATCH(AY162+1,【参考】排出係数!$AI$4:$AI$671,1)-1,5,BE162),5,FALSE)),IF(AND(BE162=3,LEFT(BF162,1)="1"),0.055,VLOOKUP(AU162,INDEX((係数_乗用_ガソリン,係数_乗用_CNG,係数_乗用_軽油,係数_乗用_メタノール,係数_乗用_LPG),1,1,BE162):INDEX((係数_乗用_ガソリン,係数_乗用_CNG,係数_乗用_軽油,係数_乗用_メタノール,係数_乗用_LPG),125,5,BE162),5,FALSE)))))</f>
        <v/>
      </c>
      <c r="AN162" s="461" t="str">
        <f t="shared" si="89"/>
        <v/>
      </c>
      <c r="AO162" s="462" t="str">
        <f t="shared" si="90"/>
        <v/>
      </c>
      <c r="AP162" s="463" t="str">
        <f t="shared" si="91"/>
        <v/>
      </c>
      <c r="AQ162" s="464"/>
      <c r="AR162" s="619"/>
      <c r="AS162" s="465" t="str">
        <f t="shared" si="70"/>
        <v/>
      </c>
      <c r="AT162" s="465" t="str">
        <f t="shared" si="71"/>
        <v/>
      </c>
      <c r="AU162" s="466" t="str">
        <f t="shared" si="72"/>
        <v/>
      </c>
      <c r="AV162" s="467" t="str">
        <f t="shared" si="73"/>
        <v/>
      </c>
      <c r="AW162" s="467" t="str">
        <f t="shared" si="74"/>
        <v/>
      </c>
      <c r="AX162" s="467" t="str">
        <f t="shared" si="75"/>
        <v/>
      </c>
      <c r="AY162" s="467" t="str">
        <f t="shared" si="76"/>
        <v/>
      </c>
      <c r="AZ162" s="467" t="str">
        <f t="shared" si="77"/>
        <v/>
      </c>
      <c r="BA162" s="468" t="str">
        <f>IF(AS162="","",IF(OR(AU162="",AU162="-"),"－",IF(OR(AZ162=8,AZ162=9),"",IF(OR(AW162=3,AW162=4,AW162=5,AW162=6),VLOOKUP(AU162,INDEX((係数_バス貨物_ガソリン,係数_バス貨物_CNG,係数_バス貨物_軽油,係数_バス貨物_メタノール,係数_バス貨物_LPG),MATCH(AY162,【参考】排出係数!$AI$4:$AI$671,1),1,BE162):INDEX((係数_バス貨物_ガソリン,係数_バス貨物_CNG,係数_バス貨物_軽油,係数_バス貨物_メタノール,係数_バス貨物_LPG),MATCH(AY162+1,【参考】排出係数!$AI$4:$AI$671,1)-1,5,BE162),2,FALSE),IF(OR(AW162=1,AW162=2),VLOOKUP(AU162,INDEX((係数_乗用_ガソリン,係数_乗用_CNG,係数_乗用_軽油,係数_乗用_メタノール,係数_乗用_LPG),1,1,BE162):INDEX((係数_乗用_ガソリン,係数_乗用_CNG,係数_乗用_軽油,係数_乗用_メタノール,係数_乗用_LPG),125,5,BE162),2,FALSE))))))</f>
        <v/>
      </c>
      <c r="BB162" s="468" t="str">
        <f>IF(T162="","",IF(OR(AU162="",AU162="-"),"－",IF(OR(AZ162=8,AZ162=9),"",IF(OR(AW162=3,AW162=4,AW162=5,AW162=6),VLOOKUP(AU162,INDEX((係数_バス貨物_ガソリン,係数_バス貨物_CNG,係数_バス貨物_軽油,係数_バス貨物_メタノール,係数_バス貨物_LPG),MATCH(AY162,【参考】排出係数!$AI$4:$AI$671,1),1,BE162):INDEX((係数_バス貨物_ガソリン,係数_バス貨物_CNG,係数_バス貨物_軽油,係数_バス貨物_メタノール,係数_バス貨物_LPG),MATCH(AY162+1,【参考】排出係数!$AI$4:$AI$671,1)-1,5,BE162),3,FALSE),IF(OR(AW162=1,AW162=2),VLOOKUP(AU162,INDEX((係数_乗用_ガソリン,係数_乗用_CNG,係数_乗用_軽油,係数_乗用_メタノール,係数_乗用_LPG),1,1,BE162):INDEX((係数_乗用_ガソリン,係数_乗用_CNG,係数_乗用_軽油,係数_乗用_メタノール,係数_乗用_LPG),125,5,BE162),3,FALSE))))))</f>
        <v/>
      </c>
      <c r="BC162" s="467" t="str">
        <f t="shared" si="78"/>
        <v/>
      </c>
      <c r="BD162" s="567" t="str">
        <f t="shared" si="79"/>
        <v/>
      </c>
      <c r="BE162" s="467" t="str">
        <f t="shared" si="80"/>
        <v/>
      </c>
      <c r="BF162" s="469" t="str">
        <f t="shared" ca="1" si="81"/>
        <v/>
      </c>
      <c r="BG162" s="469" t="str">
        <f t="shared" ca="1" si="82"/>
        <v/>
      </c>
      <c r="BH162" s="467" t="str">
        <f t="shared" si="83"/>
        <v/>
      </c>
      <c r="BI162" s="467" t="str">
        <f t="shared" ca="1" si="84"/>
        <v/>
      </c>
      <c r="BJ162" s="469" t="str">
        <f t="shared" si="85"/>
        <v/>
      </c>
      <c r="BK162" s="470" t="str">
        <f t="shared" si="65"/>
        <v/>
      </c>
      <c r="BL162" s="775" t="str">
        <f t="shared" si="86"/>
        <v/>
      </c>
      <c r="BM162" s="775" t="str">
        <f t="shared" si="87"/>
        <v/>
      </c>
    </row>
    <row r="163" spans="1:65">
      <c r="A163" s="473">
        <v>107</v>
      </c>
      <c r="B163" s="132"/>
      <c r="C163" s="332"/>
      <c r="D163" s="333"/>
      <c r="E163" s="333"/>
      <c r="F163" s="334"/>
      <c r="G163" s="337"/>
      <c r="H163" s="131"/>
      <c r="I163" s="337"/>
      <c r="J163" s="131"/>
      <c r="K163" s="458" t="str">
        <f t="shared" si="54"/>
        <v/>
      </c>
      <c r="L163" s="458">
        <f t="shared" si="66"/>
        <v>0</v>
      </c>
      <c r="M163" s="458">
        <f t="shared" si="67"/>
        <v>0</v>
      </c>
      <c r="N163" s="459" t="str">
        <f t="shared" si="55"/>
        <v/>
      </c>
      <c r="O163" s="459" t="str">
        <f t="shared" si="56"/>
        <v/>
      </c>
      <c r="P163" s="459" t="str">
        <f t="shared" si="57"/>
        <v/>
      </c>
      <c r="Q163" s="459" t="str">
        <f t="shared" si="58"/>
        <v/>
      </c>
      <c r="R163" s="459" t="str">
        <f t="shared" si="59"/>
        <v/>
      </c>
      <c r="S163" s="459" t="str">
        <f t="shared" si="60"/>
        <v/>
      </c>
      <c r="T163" s="566" t="str">
        <f t="shared" si="68"/>
        <v/>
      </c>
      <c r="U163" s="702"/>
      <c r="V163" s="132"/>
      <c r="W163" s="133"/>
      <c r="X163" s="134"/>
      <c r="Y163" s="135"/>
      <c r="Z163" s="137"/>
      <c r="AA163" s="136"/>
      <c r="AB163" s="566" t="str">
        <f t="shared" si="61"/>
        <v/>
      </c>
      <c r="AC163" s="568" t="str">
        <f t="shared" si="69"/>
        <v/>
      </c>
      <c r="AD163" s="137"/>
      <c r="AE163" s="137"/>
      <c r="AF163" s="138"/>
      <c r="AG163" s="138"/>
      <c r="AH163" s="592" t="str">
        <f t="shared" si="62"/>
        <v/>
      </c>
      <c r="AI163" s="592" t="str">
        <f t="shared" si="63"/>
        <v/>
      </c>
      <c r="AJ163" s="592" t="str">
        <f t="shared" si="64"/>
        <v/>
      </c>
      <c r="AK163" s="460" t="str">
        <f>IF(AU163="","",IF(OR(AZ163=8,AZ163=9),0,IF(OR(AW163=3,AW163=4,AW163=5,AW163=6),IF(LEFT(BF163,1)="1",INDEX(係数_NOX・PM低減,MATCH(AY163,【参考】排出係数!$AI$801:$AI$804,1),1),VLOOKUP(AU163,INDEX((係数_バス貨物_ガソリン,係数_バス貨物_CNG,係数_バス貨物_軽油,係数_バス貨物_メタノール,係数_バス貨物_LPG),MATCH(AY163,【参考】排出係数!$AI$4:$AI$671,1),1,BE163):INDEX((係数_バス貨物_ガソリン,係数_バス貨物_CNG,係数_バス貨物_軽油,係数_バス貨物_メタノール,係数_バス貨物_LPG),MATCH(AY163+1,【参考】排出係数!$AI$4:$AI$671,1)-1,5,BE163),4,FALSE)),IF(AND(BE163=3,LEFT(BF163,1)="1"),0.48,VLOOKUP(AU163,INDEX((係数_乗用_ガソリン,係数_乗用_CNG,係数_乗用_軽油,係数_乗用_メタノール,係数_乗用_LPG),1,1,BE163):INDEX((係数_乗用_ガソリン,係数_乗用_CNG,係数_乗用_軽油,係数_乗用_メタノール,係数_乗用_LPG),125,5,BE163),4,FALSE)))))</f>
        <v/>
      </c>
      <c r="AL163" s="461" t="str">
        <f t="shared" si="88"/>
        <v/>
      </c>
      <c r="AM163" s="460" t="str">
        <f>IF(AU163="","",IF(OR(AZ163=8,AZ163=9),0,IF(OR(AW163=3,AW163=4,AW163=5,AW163=6),IF(LEFT(BH163,1)="1",INDEX(係数_PM低減,MATCH(AY163,【参考】排出係数!$AI$801:$AI$804,1),MATCH(BI163,【参考】排出係数!$AL$798:$AO$798,1)),VLOOKUP(AU163,INDEX((係数_バス貨物_ガソリン,係数_バス貨物_CNG,係数_バス貨物_軽油,係数_バス貨物_メタノール,係数_バス貨物_LPG),MATCH(AY163,【参考】排出係数!$AI$4:$AI$671,1),1,BE163):INDEX((係数_バス貨物_ガソリン,係数_バス貨物_CNG,係数_バス貨物_軽油,係数_バス貨物_メタノール,係数_バス貨物_LPG),MATCH(AY163+1,【参考】排出係数!$AI$4:$AI$671,1)-1,5,BE163),5,FALSE)),IF(AND(BE163=3,LEFT(BF163,1)="1"),0.055,VLOOKUP(AU163,INDEX((係数_乗用_ガソリン,係数_乗用_CNG,係数_乗用_軽油,係数_乗用_メタノール,係数_乗用_LPG),1,1,BE163):INDEX((係数_乗用_ガソリン,係数_乗用_CNG,係数_乗用_軽油,係数_乗用_メタノール,係数_乗用_LPG),125,5,BE163),5,FALSE)))))</f>
        <v/>
      </c>
      <c r="AN163" s="461" t="str">
        <f t="shared" si="89"/>
        <v/>
      </c>
      <c r="AO163" s="462" t="str">
        <f t="shared" si="90"/>
        <v/>
      </c>
      <c r="AP163" s="463" t="str">
        <f t="shared" si="91"/>
        <v/>
      </c>
      <c r="AQ163" s="464"/>
      <c r="AR163" s="619"/>
      <c r="AS163" s="465" t="str">
        <f t="shared" si="70"/>
        <v/>
      </c>
      <c r="AT163" s="465" t="str">
        <f t="shared" si="71"/>
        <v/>
      </c>
      <c r="AU163" s="466" t="str">
        <f t="shared" si="72"/>
        <v/>
      </c>
      <c r="AV163" s="467" t="str">
        <f t="shared" si="73"/>
        <v/>
      </c>
      <c r="AW163" s="467" t="str">
        <f t="shared" si="74"/>
        <v/>
      </c>
      <c r="AX163" s="467" t="str">
        <f t="shared" si="75"/>
        <v/>
      </c>
      <c r="AY163" s="467" t="str">
        <f t="shared" si="76"/>
        <v/>
      </c>
      <c r="AZ163" s="467" t="str">
        <f t="shared" si="77"/>
        <v/>
      </c>
      <c r="BA163" s="468" t="str">
        <f>IF(AS163="","",IF(OR(AU163="",AU163="-"),"－",IF(OR(AZ163=8,AZ163=9),"",IF(OR(AW163=3,AW163=4,AW163=5,AW163=6),VLOOKUP(AU163,INDEX((係数_バス貨物_ガソリン,係数_バス貨物_CNG,係数_バス貨物_軽油,係数_バス貨物_メタノール,係数_バス貨物_LPG),MATCH(AY163,【参考】排出係数!$AI$4:$AI$671,1),1,BE163):INDEX((係数_バス貨物_ガソリン,係数_バス貨物_CNG,係数_バス貨物_軽油,係数_バス貨物_メタノール,係数_バス貨物_LPG),MATCH(AY163+1,【参考】排出係数!$AI$4:$AI$671,1)-1,5,BE163),2,FALSE),IF(OR(AW163=1,AW163=2),VLOOKUP(AU163,INDEX((係数_乗用_ガソリン,係数_乗用_CNG,係数_乗用_軽油,係数_乗用_メタノール,係数_乗用_LPG),1,1,BE163):INDEX((係数_乗用_ガソリン,係数_乗用_CNG,係数_乗用_軽油,係数_乗用_メタノール,係数_乗用_LPG),125,5,BE163),2,FALSE))))))</f>
        <v/>
      </c>
      <c r="BB163" s="468" t="str">
        <f>IF(T163="","",IF(OR(AU163="",AU163="-"),"－",IF(OR(AZ163=8,AZ163=9),"",IF(OR(AW163=3,AW163=4,AW163=5,AW163=6),VLOOKUP(AU163,INDEX((係数_バス貨物_ガソリン,係数_バス貨物_CNG,係数_バス貨物_軽油,係数_バス貨物_メタノール,係数_バス貨物_LPG),MATCH(AY163,【参考】排出係数!$AI$4:$AI$671,1),1,BE163):INDEX((係数_バス貨物_ガソリン,係数_バス貨物_CNG,係数_バス貨物_軽油,係数_バス貨物_メタノール,係数_バス貨物_LPG),MATCH(AY163+1,【参考】排出係数!$AI$4:$AI$671,1)-1,5,BE163),3,FALSE),IF(OR(AW163=1,AW163=2),VLOOKUP(AU163,INDEX((係数_乗用_ガソリン,係数_乗用_CNG,係数_乗用_軽油,係数_乗用_メタノール,係数_乗用_LPG),1,1,BE163):INDEX((係数_乗用_ガソリン,係数_乗用_CNG,係数_乗用_軽油,係数_乗用_メタノール,係数_乗用_LPG),125,5,BE163),3,FALSE))))))</f>
        <v/>
      </c>
      <c r="BC163" s="467" t="str">
        <f t="shared" si="78"/>
        <v/>
      </c>
      <c r="BD163" s="567" t="str">
        <f t="shared" si="79"/>
        <v/>
      </c>
      <c r="BE163" s="467" t="str">
        <f t="shared" si="80"/>
        <v/>
      </c>
      <c r="BF163" s="469" t="str">
        <f t="shared" ca="1" si="81"/>
        <v/>
      </c>
      <c r="BG163" s="469" t="str">
        <f t="shared" ca="1" si="82"/>
        <v/>
      </c>
      <c r="BH163" s="467" t="str">
        <f t="shared" si="83"/>
        <v/>
      </c>
      <c r="BI163" s="467" t="str">
        <f t="shared" ca="1" si="84"/>
        <v/>
      </c>
      <c r="BJ163" s="469" t="str">
        <f t="shared" si="85"/>
        <v/>
      </c>
      <c r="BK163" s="470" t="str">
        <f t="shared" si="65"/>
        <v/>
      </c>
      <c r="BL163" s="775" t="str">
        <f t="shared" si="86"/>
        <v/>
      </c>
      <c r="BM163" s="775" t="str">
        <f t="shared" si="87"/>
        <v/>
      </c>
    </row>
    <row r="164" spans="1:65">
      <c r="A164" s="473">
        <v>108</v>
      </c>
      <c r="B164" s="132"/>
      <c r="C164" s="332"/>
      <c r="D164" s="333"/>
      <c r="E164" s="333"/>
      <c r="F164" s="334"/>
      <c r="G164" s="337"/>
      <c r="H164" s="131"/>
      <c r="I164" s="337"/>
      <c r="J164" s="131"/>
      <c r="K164" s="458" t="str">
        <f t="shared" si="54"/>
        <v/>
      </c>
      <c r="L164" s="458">
        <f t="shared" si="66"/>
        <v>0</v>
      </c>
      <c r="M164" s="458">
        <f t="shared" si="67"/>
        <v>0</v>
      </c>
      <c r="N164" s="459" t="str">
        <f t="shared" si="55"/>
        <v/>
      </c>
      <c r="O164" s="459" t="str">
        <f t="shared" si="56"/>
        <v/>
      </c>
      <c r="P164" s="459" t="str">
        <f t="shared" si="57"/>
        <v/>
      </c>
      <c r="Q164" s="459" t="str">
        <f t="shared" si="58"/>
        <v/>
      </c>
      <c r="R164" s="459" t="str">
        <f t="shared" si="59"/>
        <v/>
      </c>
      <c r="S164" s="459" t="str">
        <f t="shared" si="60"/>
        <v/>
      </c>
      <c r="T164" s="566" t="str">
        <f t="shared" si="68"/>
        <v/>
      </c>
      <c r="U164" s="702"/>
      <c r="V164" s="132"/>
      <c r="W164" s="133"/>
      <c r="X164" s="134"/>
      <c r="Y164" s="135"/>
      <c r="Z164" s="137"/>
      <c r="AA164" s="136"/>
      <c r="AB164" s="566" t="str">
        <f t="shared" si="61"/>
        <v/>
      </c>
      <c r="AC164" s="568" t="str">
        <f t="shared" si="69"/>
        <v/>
      </c>
      <c r="AD164" s="137"/>
      <c r="AE164" s="137"/>
      <c r="AF164" s="138"/>
      <c r="AG164" s="138"/>
      <c r="AH164" s="592" t="str">
        <f t="shared" si="62"/>
        <v/>
      </c>
      <c r="AI164" s="592" t="str">
        <f t="shared" si="63"/>
        <v/>
      </c>
      <c r="AJ164" s="592" t="str">
        <f t="shared" si="64"/>
        <v/>
      </c>
      <c r="AK164" s="460" t="str">
        <f>IF(AU164="","",IF(OR(AZ164=8,AZ164=9),0,IF(OR(AW164=3,AW164=4,AW164=5,AW164=6),IF(LEFT(BF164,1)="1",INDEX(係数_NOX・PM低減,MATCH(AY164,【参考】排出係数!$AI$801:$AI$804,1),1),VLOOKUP(AU164,INDEX((係数_バス貨物_ガソリン,係数_バス貨物_CNG,係数_バス貨物_軽油,係数_バス貨物_メタノール,係数_バス貨物_LPG),MATCH(AY164,【参考】排出係数!$AI$4:$AI$671,1),1,BE164):INDEX((係数_バス貨物_ガソリン,係数_バス貨物_CNG,係数_バス貨物_軽油,係数_バス貨物_メタノール,係数_バス貨物_LPG),MATCH(AY164+1,【参考】排出係数!$AI$4:$AI$671,1)-1,5,BE164),4,FALSE)),IF(AND(BE164=3,LEFT(BF164,1)="1"),0.48,VLOOKUP(AU164,INDEX((係数_乗用_ガソリン,係数_乗用_CNG,係数_乗用_軽油,係数_乗用_メタノール,係数_乗用_LPG),1,1,BE164):INDEX((係数_乗用_ガソリン,係数_乗用_CNG,係数_乗用_軽油,係数_乗用_メタノール,係数_乗用_LPG),125,5,BE164),4,FALSE)))))</f>
        <v/>
      </c>
      <c r="AL164" s="461" t="str">
        <f t="shared" si="88"/>
        <v/>
      </c>
      <c r="AM164" s="460" t="str">
        <f>IF(AU164="","",IF(OR(AZ164=8,AZ164=9),0,IF(OR(AW164=3,AW164=4,AW164=5,AW164=6),IF(LEFT(BH164,1)="1",INDEX(係数_PM低減,MATCH(AY164,【参考】排出係数!$AI$801:$AI$804,1),MATCH(BI164,【参考】排出係数!$AL$798:$AO$798,1)),VLOOKUP(AU164,INDEX((係数_バス貨物_ガソリン,係数_バス貨物_CNG,係数_バス貨物_軽油,係数_バス貨物_メタノール,係数_バス貨物_LPG),MATCH(AY164,【参考】排出係数!$AI$4:$AI$671,1),1,BE164):INDEX((係数_バス貨物_ガソリン,係数_バス貨物_CNG,係数_バス貨物_軽油,係数_バス貨物_メタノール,係数_バス貨物_LPG),MATCH(AY164+1,【参考】排出係数!$AI$4:$AI$671,1)-1,5,BE164),5,FALSE)),IF(AND(BE164=3,LEFT(BF164,1)="1"),0.055,VLOOKUP(AU164,INDEX((係数_乗用_ガソリン,係数_乗用_CNG,係数_乗用_軽油,係数_乗用_メタノール,係数_乗用_LPG),1,1,BE164):INDEX((係数_乗用_ガソリン,係数_乗用_CNG,係数_乗用_軽油,係数_乗用_メタノール,係数_乗用_LPG),125,5,BE164),5,FALSE)))))</f>
        <v/>
      </c>
      <c r="AN164" s="461" t="str">
        <f t="shared" si="89"/>
        <v/>
      </c>
      <c r="AO164" s="462" t="str">
        <f t="shared" si="90"/>
        <v/>
      </c>
      <c r="AP164" s="463" t="str">
        <f t="shared" si="91"/>
        <v/>
      </c>
      <c r="AQ164" s="464"/>
      <c r="AR164" s="619"/>
      <c r="AS164" s="465" t="str">
        <f t="shared" si="70"/>
        <v/>
      </c>
      <c r="AT164" s="465" t="str">
        <f t="shared" si="71"/>
        <v/>
      </c>
      <c r="AU164" s="466" t="str">
        <f t="shared" si="72"/>
        <v/>
      </c>
      <c r="AV164" s="467" t="str">
        <f t="shared" si="73"/>
        <v/>
      </c>
      <c r="AW164" s="467" t="str">
        <f t="shared" si="74"/>
        <v/>
      </c>
      <c r="AX164" s="467" t="str">
        <f t="shared" si="75"/>
        <v/>
      </c>
      <c r="AY164" s="467" t="str">
        <f t="shared" si="76"/>
        <v/>
      </c>
      <c r="AZ164" s="467" t="str">
        <f t="shared" si="77"/>
        <v/>
      </c>
      <c r="BA164" s="468" t="str">
        <f>IF(AS164="","",IF(OR(AU164="",AU164="-"),"－",IF(OR(AZ164=8,AZ164=9),"",IF(OR(AW164=3,AW164=4,AW164=5,AW164=6),VLOOKUP(AU164,INDEX((係数_バス貨物_ガソリン,係数_バス貨物_CNG,係数_バス貨物_軽油,係数_バス貨物_メタノール,係数_バス貨物_LPG),MATCH(AY164,【参考】排出係数!$AI$4:$AI$671,1),1,BE164):INDEX((係数_バス貨物_ガソリン,係数_バス貨物_CNG,係数_バス貨物_軽油,係数_バス貨物_メタノール,係数_バス貨物_LPG),MATCH(AY164+1,【参考】排出係数!$AI$4:$AI$671,1)-1,5,BE164),2,FALSE),IF(OR(AW164=1,AW164=2),VLOOKUP(AU164,INDEX((係数_乗用_ガソリン,係数_乗用_CNG,係数_乗用_軽油,係数_乗用_メタノール,係数_乗用_LPG),1,1,BE164):INDEX((係数_乗用_ガソリン,係数_乗用_CNG,係数_乗用_軽油,係数_乗用_メタノール,係数_乗用_LPG),125,5,BE164),2,FALSE))))))</f>
        <v/>
      </c>
      <c r="BB164" s="468" t="str">
        <f>IF(T164="","",IF(OR(AU164="",AU164="-"),"－",IF(OR(AZ164=8,AZ164=9),"",IF(OR(AW164=3,AW164=4,AW164=5,AW164=6),VLOOKUP(AU164,INDEX((係数_バス貨物_ガソリン,係数_バス貨物_CNG,係数_バス貨物_軽油,係数_バス貨物_メタノール,係数_バス貨物_LPG),MATCH(AY164,【参考】排出係数!$AI$4:$AI$671,1),1,BE164):INDEX((係数_バス貨物_ガソリン,係数_バス貨物_CNG,係数_バス貨物_軽油,係数_バス貨物_メタノール,係数_バス貨物_LPG),MATCH(AY164+1,【参考】排出係数!$AI$4:$AI$671,1)-1,5,BE164),3,FALSE),IF(OR(AW164=1,AW164=2),VLOOKUP(AU164,INDEX((係数_乗用_ガソリン,係数_乗用_CNG,係数_乗用_軽油,係数_乗用_メタノール,係数_乗用_LPG),1,1,BE164):INDEX((係数_乗用_ガソリン,係数_乗用_CNG,係数_乗用_軽油,係数_乗用_メタノール,係数_乗用_LPG),125,5,BE164),3,FALSE))))))</f>
        <v/>
      </c>
      <c r="BC164" s="467" t="str">
        <f t="shared" si="78"/>
        <v/>
      </c>
      <c r="BD164" s="567" t="str">
        <f t="shared" si="79"/>
        <v/>
      </c>
      <c r="BE164" s="467" t="str">
        <f t="shared" si="80"/>
        <v/>
      </c>
      <c r="BF164" s="469" t="str">
        <f t="shared" ca="1" si="81"/>
        <v/>
      </c>
      <c r="BG164" s="469" t="str">
        <f t="shared" ca="1" si="82"/>
        <v/>
      </c>
      <c r="BH164" s="467" t="str">
        <f t="shared" si="83"/>
        <v/>
      </c>
      <c r="BI164" s="467" t="str">
        <f t="shared" ca="1" si="84"/>
        <v/>
      </c>
      <c r="BJ164" s="469" t="str">
        <f t="shared" si="85"/>
        <v/>
      </c>
      <c r="BK164" s="470" t="str">
        <f t="shared" si="65"/>
        <v/>
      </c>
      <c r="BL164" s="775" t="str">
        <f t="shared" si="86"/>
        <v/>
      </c>
      <c r="BM164" s="775" t="str">
        <f t="shared" si="87"/>
        <v/>
      </c>
    </row>
    <row r="165" spans="1:65">
      <c r="A165" s="473">
        <v>109</v>
      </c>
      <c r="B165" s="132"/>
      <c r="C165" s="332"/>
      <c r="D165" s="333"/>
      <c r="E165" s="333"/>
      <c r="F165" s="334"/>
      <c r="G165" s="337"/>
      <c r="H165" s="131"/>
      <c r="I165" s="337"/>
      <c r="J165" s="131"/>
      <c r="K165" s="458" t="str">
        <f t="shared" si="54"/>
        <v/>
      </c>
      <c r="L165" s="458">
        <f t="shared" si="66"/>
        <v>0</v>
      </c>
      <c r="M165" s="458">
        <f t="shared" si="67"/>
        <v>0</v>
      </c>
      <c r="N165" s="459" t="str">
        <f t="shared" si="55"/>
        <v/>
      </c>
      <c r="O165" s="459" t="str">
        <f t="shared" si="56"/>
        <v/>
      </c>
      <c r="P165" s="459" t="str">
        <f t="shared" si="57"/>
        <v/>
      </c>
      <c r="Q165" s="459" t="str">
        <f t="shared" si="58"/>
        <v/>
      </c>
      <c r="R165" s="459" t="str">
        <f t="shared" si="59"/>
        <v/>
      </c>
      <c r="S165" s="459" t="str">
        <f t="shared" si="60"/>
        <v/>
      </c>
      <c r="T165" s="566" t="str">
        <f t="shared" si="68"/>
        <v/>
      </c>
      <c r="U165" s="702"/>
      <c r="V165" s="132"/>
      <c r="W165" s="133"/>
      <c r="X165" s="134"/>
      <c r="Y165" s="135"/>
      <c r="Z165" s="137"/>
      <c r="AA165" s="136"/>
      <c r="AB165" s="566" t="str">
        <f t="shared" si="61"/>
        <v/>
      </c>
      <c r="AC165" s="568" t="str">
        <f t="shared" si="69"/>
        <v/>
      </c>
      <c r="AD165" s="137"/>
      <c r="AE165" s="137"/>
      <c r="AF165" s="138"/>
      <c r="AG165" s="138"/>
      <c r="AH165" s="592" t="str">
        <f t="shared" si="62"/>
        <v/>
      </c>
      <c r="AI165" s="592" t="str">
        <f t="shared" si="63"/>
        <v/>
      </c>
      <c r="AJ165" s="592" t="str">
        <f t="shared" si="64"/>
        <v/>
      </c>
      <c r="AK165" s="460" t="str">
        <f>IF(AU165="","",IF(OR(AZ165=8,AZ165=9),0,IF(OR(AW165=3,AW165=4,AW165=5,AW165=6),IF(LEFT(BF165,1)="1",INDEX(係数_NOX・PM低減,MATCH(AY165,【参考】排出係数!$AI$801:$AI$804,1),1),VLOOKUP(AU165,INDEX((係数_バス貨物_ガソリン,係数_バス貨物_CNG,係数_バス貨物_軽油,係数_バス貨物_メタノール,係数_バス貨物_LPG),MATCH(AY165,【参考】排出係数!$AI$4:$AI$671,1),1,BE165):INDEX((係数_バス貨物_ガソリン,係数_バス貨物_CNG,係数_バス貨物_軽油,係数_バス貨物_メタノール,係数_バス貨物_LPG),MATCH(AY165+1,【参考】排出係数!$AI$4:$AI$671,1)-1,5,BE165),4,FALSE)),IF(AND(BE165=3,LEFT(BF165,1)="1"),0.48,VLOOKUP(AU165,INDEX((係数_乗用_ガソリン,係数_乗用_CNG,係数_乗用_軽油,係数_乗用_メタノール,係数_乗用_LPG),1,1,BE165):INDEX((係数_乗用_ガソリン,係数_乗用_CNG,係数_乗用_軽油,係数_乗用_メタノール,係数_乗用_LPG),125,5,BE165),4,FALSE)))))</f>
        <v/>
      </c>
      <c r="AL165" s="461" t="str">
        <f t="shared" si="88"/>
        <v/>
      </c>
      <c r="AM165" s="460" t="str">
        <f>IF(AU165="","",IF(OR(AZ165=8,AZ165=9),0,IF(OR(AW165=3,AW165=4,AW165=5,AW165=6),IF(LEFT(BH165,1)="1",INDEX(係数_PM低減,MATCH(AY165,【参考】排出係数!$AI$801:$AI$804,1),MATCH(BI165,【参考】排出係数!$AL$798:$AO$798,1)),VLOOKUP(AU165,INDEX((係数_バス貨物_ガソリン,係数_バス貨物_CNG,係数_バス貨物_軽油,係数_バス貨物_メタノール,係数_バス貨物_LPG),MATCH(AY165,【参考】排出係数!$AI$4:$AI$671,1),1,BE165):INDEX((係数_バス貨物_ガソリン,係数_バス貨物_CNG,係数_バス貨物_軽油,係数_バス貨物_メタノール,係数_バス貨物_LPG),MATCH(AY165+1,【参考】排出係数!$AI$4:$AI$671,1)-1,5,BE165),5,FALSE)),IF(AND(BE165=3,LEFT(BF165,1)="1"),0.055,VLOOKUP(AU165,INDEX((係数_乗用_ガソリン,係数_乗用_CNG,係数_乗用_軽油,係数_乗用_メタノール,係数_乗用_LPG),1,1,BE165):INDEX((係数_乗用_ガソリン,係数_乗用_CNG,係数_乗用_軽油,係数_乗用_メタノール,係数_乗用_LPG),125,5,BE165),5,FALSE)))))</f>
        <v/>
      </c>
      <c r="AN165" s="461" t="str">
        <f t="shared" si="89"/>
        <v/>
      </c>
      <c r="AO165" s="462" t="str">
        <f t="shared" si="90"/>
        <v/>
      </c>
      <c r="AP165" s="463" t="str">
        <f t="shared" si="91"/>
        <v/>
      </c>
      <c r="AQ165" s="464"/>
      <c r="AR165" s="619"/>
      <c r="AS165" s="465" t="str">
        <f t="shared" si="70"/>
        <v/>
      </c>
      <c r="AT165" s="465" t="str">
        <f t="shared" si="71"/>
        <v/>
      </c>
      <c r="AU165" s="466" t="str">
        <f t="shared" si="72"/>
        <v/>
      </c>
      <c r="AV165" s="467" t="str">
        <f t="shared" si="73"/>
        <v/>
      </c>
      <c r="AW165" s="467" t="str">
        <f t="shared" si="74"/>
        <v/>
      </c>
      <c r="AX165" s="467" t="str">
        <f t="shared" si="75"/>
        <v/>
      </c>
      <c r="AY165" s="467" t="str">
        <f t="shared" si="76"/>
        <v/>
      </c>
      <c r="AZ165" s="467" t="str">
        <f t="shared" si="77"/>
        <v/>
      </c>
      <c r="BA165" s="468" t="str">
        <f>IF(AS165="","",IF(OR(AU165="",AU165="-"),"－",IF(OR(AZ165=8,AZ165=9),"",IF(OR(AW165=3,AW165=4,AW165=5,AW165=6),VLOOKUP(AU165,INDEX((係数_バス貨物_ガソリン,係数_バス貨物_CNG,係数_バス貨物_軽油,係数_バス貨物_メタノール,係数_バス貨物_LPG),MATCH(AY165,【参考】排出係数!$AI$4:$AI$671,1),1,BE165):INDEX((係数_バス貨物_ガソリン,係数_バス貨物_CNG,係数_バス貨物_軽油,係数_バス貨物_メタノール,係数_バス貨物_LPG),MATCH(AY165+1,【参考】排出係数!$AI$4:$AI$671,1)-1,5,BE165),2,FALSE),IF(OR(AW165=1,AW165=2),VLOOKUP(AU165,INDEX((係数_乗用_ガソリン,係数_乗用_CNG,係数_乗用_軽油,係数_乗用_メタノール,係数_乗用_LPG),1,1,BE165):INDEX((係数_乗用_ガソリン,係数_乗用_CNG,係数_乗用_軽油,係数_乗用_メタノール,係数_乗用_LPG),125,5,BE165),2,FALSE))))))</f>
        <v/>
      </c>
      <c r="BB165" s="468" t="str">
        <f>IF(T165="","",IF(OR(AU165="",AU165="-"),"－",IF(OR(AZ165=8,AZ165=9),"",IF(OR(AW165=3,AW165=4,AW165=5,AW165=6),VLOOKUP(AU165,INDEX((係数_バス貨物_ガソリン,係数_バス貨物_CNG,係数_バス貨物_軽油,係数_バス貨物_メタノール,係数_バス貨物_LPG),MATCH(AY165,【参考】排出係数!$AI$4:$AI$671,1),1,BE165):INDEX((係数_バス貨物_ガソリン,係数_バス貨物_CNG,係数_バス貨物_軽油,係数_バス貨物_メタノール,係数_バス貨物_LPG),MATCH(AY165+1,【参考】排出係数!$AI$4:$AI$671,1)-1,5,BE165),3,FALSE),IF(OR(AW165=1,AW165=2),VLOOKUP(AU165,INDEX((係数_乗用_ガソリン,係数_乗用_CNG,係数_乗用_軽油,係数_乗用_メタノール,係数_乗用_LPG),1,1,BE165):INDEX((係数_乗用_ガソリン,係数_乗用_CNG,係数_乗用_軽油,係数_乗用_メタノール,係数_乗用_LPG),125,5,BE165),3,FALSE))))))</f>
        <v/>
      </c>
      <c r="BC165" s="467" t="str">
        <f t="shared" si="78"/>
        <v/>
      </c>
      <c r="BD165" s="567" t="str">
        <f t="shared" si="79"/>
        <v/>
      </c>
      <c r="BE165" s="467" t="str">
        <f t="shared" si="80"/>
        <v/>
      </c>
      <c r="BF165" s="469" t="str">
        <f t="shared" ca="1" si="81"/>
        <v/>
      </c>
      <c r="BG165" s="469" t="str">
        <f t="shared" ca="1" si="82"/>
        <v/>
      </c>
      <c r="BH165" s="467" t="str">
        <f t="shared" si="83"/>
        <v/>
      </c>
      <c r="BI165" s="467" t="str">
        <f t="shared" ca="1" si="84"/>
        <v/>
      </c>
      <c r="BJ165" s="469" t="str">
        <f t="shared" si="85"/>
        <v/>
      </c>
      <c r="BK165" s="470" t="str">
        <f t="shared" si="65"/>
        <v/>
      </c>
      <c r="BL165" s="775" t="str">
        <f t="shared" si="86"/>
        <v/>
      </c>
      <c r="BM165" s="775" t="str">
        <f t="shared" si="87"/>
        <v/>
      </c>
    </row>
    <row r="166" spans="1:65">
      <c r="A166" s="473">
        <v>110</v>
      </c>
      <c r="B166" s="132"/>
      <c r="C166" s="332"/>
      <c r="D166" s="333"/>
      <c r="E166" s="333"/>
      <c r="F166" s="334"/>
      <c r="G166" s="337"/>
      <c r="H166" s="131"/>
      <c r="I166" s="337"/>
      <c r="J166" s="131"/>
      <c r="K166" s="458" t="str">
        <f t="shared" si="54"/>
        <v/>
      </c>
      <c r="L166" s="458">
        <f t="shared" si="66"/>
        <v>0</v>
      </c>
      <c r="M166" s="458">
        <f t="shared" si="67"/>
        <v>0</v>
      </c>
      <c r="N166" s="459" t="str">
        <f t="shared" si="55"/>
        <v/>
      </c>
      <c r="O166" s="459" t="str">
        <f t="shared" si="56"/>
        <v/>
      </c>
      <c r="P166" s="459" t="str">
        <f t="shared" si="57"/>
        <v/>
      </c>
      <c r="Q166" s="459" t="str">
        <f t="shared" si="58"/>
        <v/>
      </c>
      <c r="R166" s="459" t="str">
        <f t="shared" si="59"/>
        <v/>
      </c>
      <c r="S166" s="459" t="str">
        <f t="shared" si="60"/>
        <v/>
      </c>
      <c r="T166" s="566" t="str">
        <f t="shared" si="68"/>
        <v/>
      </c>
      <c r="U166" s="702"/>
      <c r="V166" s="132"/>
      <c r="W166" s="133"/>
      <c r="X166" s="134"/>
      <c r="Y166" s="135"/>
      <c r="Z166" s="137"/>
      <c r="AA166" s="136"/>
      <c r="AB166" s="566" t="str">
        <f t="shared" si="61"/>
        <v/>
      </c>
      <c r="AC166" s="568" t="str">
        <f t="shared" si="69"/>
        <v/>
      </c>
      <c r="AD166" s="137"/>
      <c r="AE166" s="137"/>
      <c r="AF166" s="138"/>
      <c r="AG166" s="138"/>
      <c r="AH166" s="592" t="str">
        <f t="shared" si="62"/>
        <v/>
      </c>
      <c r="AI166" s="592" t="str">
        <f t="shared" si="63"/>
        <v/>
      </c>
      <c r="AJ166" s="592" t="str">
        <f t="shared" si="64"/>
        <v/>
      </c>
      <c r="AK166" s="460" t="str">
        <f>IF(AU166="","",IF(OR(AZ166=8,AZ166=9),0,IF(OR(AW166=3,AW166=4,AW166=5,AW166=6),IF(LEFT(BF166,1)="1",INDEX(係数_NOX・PM低減,MATCH(AY166,【参考】排出係数!$AI$801:$AI$804,1),1),VLOOKUP(AU166,INDEX((係数_バス貨物_ガソリン,係数_バス貨物_CNG,係数_バス貨物_軽油,係数_バス貨物_メタノール,係数_バス貨物_LPG),MATCH(AY166,【参考】排出係数!$AI$4:$AI$671,1),1,BE166):INDEX((係数_バス貨物_ガソリン,係数_バス貨物_CNG,係数_バス貨物_軽油,係数_バス貨物_メタノール,係数_バス貨物_LPG),MATCH(AY166+1,【参考】排出係数!$AI$4:$AI$671,1)-1,5,BE166),4,FALSE)),IF(AND(BE166=3,LEFT(BF166,1)="1"),0.48,VLOOKUP(AU166,INDEX((係数_乗用_ガソリン,係数_乗用_CNG,係数_乗用_軽油,係数_乗用_メタノール,係数_乗用_LPG),1,1,BE166):INDEX((係数_乗用_ガソリン,係数_乗用_CNG,係数_乗用_軽油,係数_乗用_メタノール,係数_乗用_LPG),125,5,BE166),4,FALSE)))))</f>
        <v/>
      </c>
      <c r="AL166" s="461" t="str">
        <f t="shared" si="88"/>
        <v/>
      </c>
      <c r="AM166" s="460" t="str">
        <f>IF(AU166="","",IF(OR(AZ166=8,AZ166=9),0,IF(OR(AW166=3,AW166=4,AW166=5,AW166=6),IF(LEFT(BH166,1)="1",INDEX(係数_PM低減,MATCH(AY166,【参考】排出係数!$AI$801:$AI$804,1),MATCH(BI166,【参考】排出係数!$AL$798:$AO$798,1)),VLOOKUP(AU166,INDEX((係数_バス貨物_ガソリン,係数_バス貨物_CNG,係数_バス貨物_軽油,係数_バス貨物_メタノール,係数_バス貨物_LPG),MATCH(AY166,【参考】排出係数!$AI$4:$AI$671,1),1,BE166):INDEX((係数_バス貨物_ガソリン,係数_バス貨物_CNG,係数_バス貨物_軽油,係数_バス貨物_メタノール,係数_バス貨物_LPG),MATCH(AY166+1,【参考】排出係数!$AI$4:$AI$671,1)-1,5,BE166),5,FALSE)),IF(AND(BE166=3,LEFT(BF166,1)="1"),0.055,VLOOKUP(AU166,INDEX((係数_乗用_ガソリン,係数_乗用_CNG,係数_乗用_軽油,係数_乗用_メタノール,係数_乗用_LPG),1,1,BE166):INDEX((係数_乗用_ガソリン,係数_乗用_CNG,係数_乗用_軽油,係数_乗用_メタノール,係数_乗用_LPG),125,5,BE166),5,FALSE)))))</f>
        <v/>
      </c>
      <c r="AN166" s="461" t="str">
        <f t="shared" si="89"/>
        <v/>
      </c>
      <c r="AO166" s="462" t="str">
        <f t="shared" si="90"/>
        <v/>
      </c>
      <c r="AP166" s="463" t="str">
        <f t="shared" si="91"/>
        <v/>
      </c>
      <c r="AQ166" s="464"/>
      <c r="AR166" s="619"/>
      <c r="AS166" s="465" t="str">
        <f t="shared" si="70"/>
        <v/>
      </c>
      <c r="AT166" s="465" t="str">
        <f t="shared" si="71"/>
        <v/>
      </c>
      <c r="AU166" s="466" t="str">
        <f t="shared" si="72"/>
        <v/>
      </c>
      <c r="AV166" s="467" t="str">
        <f t="shared" si="73"/>
        <v/>
      </c>
      <c r="AW166" s="467" t="str">
        <f t="shared" si="74"/>
        <v/>
      </c>
      <c r="AX166" s="467" t="str">
        <f t="shared" si="75"/>
        <v/>
      </c>
      <c r="AY166" s="467" t="str">
        <f t="shared" si="76"/>
        <v/>
      </c>
      <c r="AZ166" s="467" t="str">
        <f t="shared" si="77"/>
        <v/>
      </c>
      <c r="BA166" s="468" t="str">
        <f>IF(AS166="","",IF(OR(AU166="",AU166="-"),"－",IF(OR(AZ166=8,AZ166=9),"",IF(OR(AW166=3,AW166=4,AW166=5,AW166=6),VLOOKUP(AU166,INDEX((係数_バス貨物_ガソリン,係数_バス貨物_CNG,係数_バス貨物_軽油,係数_バス貨物_メタノール,係数_バス貨物_LPG),MATCH(AY166,【参考】排出係数!$AI$4:$AI$671,1),1,BE166):INDEX((係数_バス貨物_ガソリン,係数_バス貨物_CNG,係数_バス貨物_軽油,係数_バス貨物_メタノール,係数_バス貨物_LPG),MATCH(AY166+1,【参考】排出係数!$AI$4:$AI$671,1)-1,5,BE166),2,FALSE),IF(OR(AW166=1,AW166=2),VLOOKUP(AU166,INDEX((係数_乗用_ガソリン,係数_乗用_CNG,係数_乗用_軽油,係数_乗用_メタノール,係数_乗用_LPG),1,1,BE166):INDEX((係数_乗用_ガソリン,係数_乗用_CNG,係数_乗用_軽油,係数_乗用_メタノール,係数_乗用_LPG),125,5,BE166),2,FALSE))))))</f>
        <v/>
      </c>
      <c r="BB166" s="468" t="str">
        <f>IF(T166="","",IF(OR(AU166="",AU166="-"),"－",IF(OR(AZ166=8,AZ166=9),"",IF(OR(AW166=3,AW166=4,AW166=5,AW166=6),VLOOKUP(AU166,INDEX((係数_バス貨物_ガソリン,係数_バス貨物_CNG,係数_バス貨物_軽油,係数_バス貨物_メタノール,係数_バス貨物_LPG),MATCH(AY166,【参考】排出係数!$AI$4:$AI$671,1),1,BE166):INDEX((係数_バス貨物_ガソリン,係数_バス貨物_CNG,係数_バス貨物_軽油,係数_バス貨物_メタノール,係数_バス貨物_LPG),MATCH(AY166+1,【参考】排出係数!$AI$4:$AI$671,1)-1,5,BE166),3,FALSE),IF(OR(AW166=1,AW166=2),VLOOKUP(AU166,INDEX((係数_乗用_ガソリン,係数_乗用_CNG,係数_乗用_軽油,係数_乗用_メタノール,係数_乗用_LPG),1,1,BE166):INDEX((係数_乗用_ガソリン,係数_乗用_CNG,係数_乗用_軽油,係数_乗用_メタノール,係数_乗用_LPG),125,5,BE166),3,FALSE))))))</f>
        <v/>
      </c>
      <c r="BC166" s="467" t="str">
        <f t="shared" si="78"/>
        <v/>
      </c>
      <c r="BD166" s="567" t="str">
        <f t="shared" si="79"/>
        <v/>
      </c>
      <c r="BE166" s="467" t="str">
        <f t="shared" si="80"/>
        <v/>
      </c>
      <c r="BF166" s="469" t="str">
        <f t="shared" ca="1" si="81"/>
        <v/>
      </c>
      <c r="BG166" s="469" t="str">
        <f t="shared" ca="1" si="82"/>
        <v/>
      </c>
      <c r="BH166" s="467" t="str">
        <f t="shared" si="83"/>
        <v/>
      </c>
      <c r="BI166" s="467" t="str">
        <f t="shared" ca="1" si="84"/>
        <v/>
      </c>
      <c r="BJ166" s="469" t="str">
        <f t="shared" si="85"/>
        <v/>
      </c>
      <c r="BK166" s="470" t="str">
        <f t="shared" si="65"/>
        <v/>
      </c>
      <c r="BL166" s="775" t="str">
        <f t="shared" si="86"/>
        <v/>
      </c>
      <c r="BM166" s="775" t="str">
        <f t="shared" si="87"/>
        <v/>
      </c>
    </row>
    <row r="167" spans="1:65">
      <c r="A167" s="473">
        <v>111</v>
      </c>
      <c r="B167" s="132"/>
      <c r="C167" s="332"/>
      <c r="D167" s="333"/>
      <c r="E167" s="333"/>
      <c r="F167" s="334"/>
      <c r="G167" s="337"/>
      <c r="H167" s="131"/>
      <c r="I167" s="337"/>
      <c r="J167" s="131"/>
      <c r="K167" s="458" t="str">
        <f t="shared" si="54"/>
        <v/>
      </c>
      <c r="L167" s="458">
        <f t="shared" si="66"/>
        <v>0</v>
      </c>
      <c r="M167" s="458">
        <f t="shared" si="67"/>
        <v>0</v>
      </c>
      <c r="N167" s="459" t="str">
        <f t="shared" si="55"/>
        <v/>
      </c>
      <c r="O167" s="459" t="str">
        <f t="shared" si="56"/>
        <v/>
      </c>
      <c r="P167" s="459" t="str">
        <f t="shared" si="57"/>
        <v/>
      </c>
      <c r="Q167" s="459" t="str">
        <f t="shared" si="58"/>
        <v/>
      </c>
      <c r="R167" s="459" t="str">
        <f t="shared" si="59"/>
        <v/>
      </c>
      <c r="S167" s="459" t="str">
        <f t="shared" si="60"/>
        <v/>
      </c>
      <c r="T167" s="566" t="str">
        <f t="shared" si="68"/>
        <v/>
      </c>
      <c r="U167" s="702"/>
      <c r="V167" s="132"/>
      <c r="W167" s="133"/>
      <c r="X167" s="134"/>
      <c r="Y167" s="135"/>
      <c r="Z167" s="137"/>
      <c r="AA167" s="136"/>
      <c r="AB167" s="566" t="str">
        <f t="shared" si="61"/>
        <v/>
      </c>
      <c r="AC167" s="568" t="str">
        <f t="shared" si="69"/>
        <v/>
      </c>
      <c r="AD167" s="137"/>
      <c r="AE167" s="137"/>
      <c r="AF167" s="138"/>
      <c r="AG167" s="138"/>
      <c r="AH167" s="592" t="str">
        <f t="shared" si="62"/>
        <v/>
      </c>
      <c r="AI167" s="592" t="str">
        <f t="shared" si="63"/>
        <v/>
      </c>
      <c r="AJ167" s="592" t="str">
        <f t="shared" si="64"/>
        <v/>
      </c>
      <c r="AK167" s="460" t="str">
        <f>IF(AU167="","",IF(OR(AZ167=8,AZ167=9),0,IF(OR(AW167=3,AW167=4,AW167=5,AW167=6),IF(LEFT(BF167,1)="1",INDEX(係数_NOX・PM低減,MATCH(AY167,【参考】排出係数!$AI$801:$AI$804,1),1),VLOOKUP(AU167,INDEX((係数_バス貨物_ガソリン,係数_バス貨物_CNG,係数_バス貨物_軽油,係数_バス貨物_メタノール,係数_バス貨物_LPG),MATCH(AY167,【参考】排出係数!$AI$4:$AI$671,1),1,BE167):INDEX((係数_バス貨物_ガソリン,係数_バス貨物_CNG,係数_バス貨物_軽油,係数_バス貨物_メタノール,係数_バス貨物_LPG),MATCH(AY167+1,【参考】排出係数!$AI$4:$AI$671,1)-1,5,BE167),4,FALSE)),IF(AND(BE167=3,LEFT(BF167,1)="1"),0.48,VLOOKUP(AU167,INDEX((係数_乗用_ガソリン,係数_乗用_CNG,係数_乗用_軽油,係数_乗用_メタノール,係数_乗用_LPG),1,1,BE167):INDEX((係数_乗用_ガソリン,係数_乗用_CNG,係数_乗用_軽油,係数_乗用_メタノール,係数_乗用_LPG),125,5,BE167),4,FALSE)))))</f>
        <v/>
      </c>
      <c r="AL167" s="461" t="str">
        <f t="shared" si="88"/>
        <v/>
      </c>
      <c r="AM167" s="460" t="str">
        <f>IF(AU167="","",IF(OR(AZ167=8,AZ167=9),0,IF(OR(AW167=3,AW167=4,AW167=5,AW167=6),IF(LEFT(BH167,1)="1",INDEX(係数_PM低減,MATCH(AY167,【参考】排出係数!$AI$801:$AI$804,1),MATCH(BI167,【参考】排出係数!$AL$798:$AO$798,1)),VLOOKUP(AU167,INDEX((係数_バス貨物_ガソリン,係数_バス貨物_CNG,係数_バス貨物_軽油,係数_バス貨物_メタノール,係数_バス貨物_LPG),MATCH(AY167,【参考】排出係数!$AI$4:$AI$671,1),1,BE167):INDEX((係数_バス貨物_ガソリン,係数_バス貨物_CNG,係数_バス貨物_軽油,係数_バス貨物_メタノール,係数_バス貨物_LPG),MATCH(AY167+1,【参考】排出係数!$AI$4:$AI$671,1)-1,5,BE167),5,FALSE)),IF(AND(BE167=3,LEFT(BF167,1)="1"),0.055,VLOOKUP(AU167,INDEX((係数_乗用_ガソリン,係数_乗用_CNG,係数_乗用_軽油,係数_乗用_メタノール,係数_乗用_LPG),1,1,BE167):INDEX((係数_乗用_ガソリン,係数_乗用_CNG,係数_乗用_軽油,係数_乗用_メタノール,係数_乗用_LPG),125,5,BE167),5,FALSE)))))</f>
        <v/>
      </c>
      <c r="AN167" s="461" t="str">
        <f t="shared" si="89"/>
        <v/>
      </c>
      <c r="AO167" s="462" t="str">
        <f t="shared" si="90"/>
        <v/>
      </c>
      <c r="AP167" s="463" t="str">
        <f t="shared" si="91"/>
        <v/>
      </c>
      <c r="AQ167" s="464"/>
      <c r="AR167" s="619"/>
      <c r="AS167" s="465" t="str">
        <f t="shared" si="70"/>
        <v/>
      </c>
      <c r="AT167" s="465" t="str">
        <f t="shared" si="71"/>
        <v/>
      </c>
      <c r="AU167" s="466" t="str">
        <f t="shared" si="72"/>
        <v/>
      </c>
      <c r="AV167" s="467" t="str">
        <f t="shared" si="73"/>
        <v/>
      </c>
      <c r="AW167" s="467" t="str">
        <f t="shared" si="74"/>
        <v/>
      </c>
      <c r="AX167" s="467" t="str">
        <f t="shared" si="75"/>
        <v/>
      </c>
      <c r="AY167" s="467" t="str">
        <f t="shared" si="76"/>
        <v/>
      </c>
      <c r="AZ167" s="467" t="str">
        <f t="shared" si="77"/>
        <v/>
      </c>
      <c r="BA167" s="468" t="str">
        <f>IF(AS167="","",IF(OR(AU167="",AU167="-"),"－",IF(OR(AZ167=8,AZ167=9),"",IF(OR(AW167=3,AW167=4,AW167=5,AW167=6),VLOOKUP(AU167,INDEX((係数_バス貨物_ガソリン,係数_バス貨物_CNG,係数_バス貨物_軽油,係数_バス貨物_メタノール,係数_バス貨物_LPG),MATCH(AY167,【参考】排出係数!$AI$4:$AI$671,1),1,BE167):INDEX((係数_バス貨物_ガソリン,係数_バス貨物_CNG,係数_バス貨物_軽油,係数_バス貨物_メタノール,係数_バス貨物_LPG),MATCH(AY167+1,【参考】排出係数!$AI$4:$AI$671,1)-1,5,BE167),2,FALSE),IF(OR(AW167=1,AW167=2),VLOOKUP(AU167,INDEX((係数_乗用_ガソリン,係数_乗用_CNG,係数_乗用_軽油,係数_乗用_メタノール,係数_乗用_LPG),1,1,BE167):INDEX((係数_乗用_ガソリン,係数_乗用_CNG,係数_乗用_軽油,係数_乗用_メタノール,係数_乗用_LPG),125,5,BE167),2,FALSE))))))</f>
        <v/>
      </c>
      <c r="BB167" s="468" t="str">
        <f>IF(T167="","",IF(OR(AU167="",AU167="-"),"－",IF(OR(AZ167=8,AZ167=9),"",IF(OR(AW167=3,AW167=4,AW167=5,AW167=6),VLOOKUP(AU167,INDEX((係数_バス貨物_ガソリン,係数_バス貨物_CNG,係数_バス貨物_軽油,係数_バス貨物_メタノール,係数_バス貨物_LPG),MATCH(AY167,【参考】排出係数!$AI$4:$AI$671,1),1,BE167):INDEX((係数_バス貨物_ガソリン,係数_バス貨物_CNG,係数_バス貨物_軽油,係数_バス貨物_メタノール,係数_バス貨物_LPG),MATCH(AY167+1,【参考】排出係数!$AI$4:$AI$671,1)-1,5,BE167),3,FALSE),IF(OR(AW167=1,AW167=2),VLOOKUP(AU167,INDEX((係数_乗用_ガソリン,係数_乗用_CNG,係数_乗用_軽油,係数_乗用_メタノール,係数_乗用_LPG),1,1,BE167):INDEX((係数_乗用_ガソリン,係数_乗用_CNG,係数_乗用_軽油,係数_乗用_メタノール,係数_乗用_LPG),125,5,BE167),3,FALSE))))))</f>
        <v/>
      </c>
      <c r="BC167" s="467" t="str">
        <f t="shared" si="78"/>
        <v/>
      </c>
      <c r="BD167" s="567" t="str">
        <f t="shared" si="79"/>
        <v/>
      </c>
      <c r="BE167" s="467" t="str">
        <f t="shared" si="80"/>
        <v/>
      </c>
      <c r="BF167" s="469" t="str">
        <f t="shared" ca="1" si="81"/>
        <v/>
      </c>
      <c r="BG167" s="469" t="str">
        <f t="shared" ca="1" si="82"/>
        <v/>
      </c>
      <c r="BH167" s="467" t="str">
        <f t="shared" si="83"/>
        <v/>
      </c>
      <c r="BI167" s="467" t="str">
        <f t="shared" ca="1" si="84"/>
        <v/>
      </c>
      <c r="BJ167" s="469" t="str">
        <f t="shared" si="85"/>
        <v/>
      </c>
      <c r="BK167" s="470" t="str">
        <f t="shared" si="65"/>
        <v/>
      </c>
      <c r="BL167" s="775" t="str">
        <f t="shared" si="86"/>
        <v/>
      </c>
      <c r="BM167" s="775" t="str">
        <f t="shared" si="87"/>
        <v/>
      </c>
    </row>
    <row r="168" spans="1:65">
      <c r="A168" s="473">
        <v>112</v>
      </c>
      <c r="B168" s="132"/>
      <c r="C168" s="332"/>
      <c r="D168" s="333"/>
      <c r="E168" s="333"/>
      <c r="F168" s="334"/>
      <c r="G168" s="337"/>
      <c r="H168" s="131"/>
      <c r="I168" s="337"/>
      <c r="J168" s="131"/>
      <c r="K168" s="458" t="str">
        <f t="shared" si="54"/>
        <v/>
      </c>
      <c r="L168" s="458">
        <f t="shared" si="66"/>
        <v>0</v>
      </c>
      <c r="M168" s="458">
        <f t="shared" si="67"/>
        <v>0</v>
      </c>
      <c r="N168" s="459" t="str">
        <f t="shared" si="55"/>
        <v/>
      </c>
      <c r="O168" s="459" t="str">
        <f t="shared" si="56"/>
        <v/>
      </c>
      <c r="P168" s="459" t="str">
        <f t="shared" si="57"/>
        <v/>
      </c>
      <c r="Q168" s="459" t="str">
        <f t="shared" si="58"/>
        <v/>
      </c>
      <c r="R168" s="459" t="str">
        <f t="shared" si="59"/>
        <v/>
      </c>
      <c r="S168" s="459" t="str">
        <f t="shared" si="60"/>
        <v/>
      </c>
      <c r="T168" s="566" t="str">
        <f t="shared" si="68"/>
        <v/>
      </c>
      <c r="U168" s="702"/>
      <c r="V168" s="132"/>
      <c r="W168" s="133"/>
      <c r="X168" s="134"/>
      <c r="Y168" s="135"/>
      <c r="Z168" s="137"/>
      <c r="AA168" s="136"/>
      <c r="AB168" s="566" t="str">
        <f t="shared" si="61"/>
        <v/>
      </c>
      <c r="AC168" s="568" t="str">
        <f t="shared" si="69"/>
        <v/>
      </c>
      <c r="AD168" s="137"/>
      <c r="AE168" s="137"/>
      <c r="AF168" s="138"/>
      <c r="AG168" s="138"/>
      <c r="AH168" s="592" t="str">
        <f t="shared" si="62"/>
        <v/>
      </c>
      <c r="AI168" s="592" t="str">
        <f t="shared" si="63"/>
        <v/>
      </c>
      <c r="AJ168" s="592" t="str">
        <f t="shared" si="64"/>
        <v/>
      </c>
      <c r="AK168" s="460" t="str">
        <f>IF(AU168="","",IF(OR(AZ168=8,AZ168=9),0,IF(OR(AW168=3,AW168=4,AW168=5,AW168=6),IF(LEFT(BF168,1)="1",INDEX(係数_NOX・PM低減,MATCH(AY168,【参考】排出係数!$AI$801:$AI$804,1),1),VLOOKUP(AU168,INDEX((係数_バス貨物_ガソリン,係数_バス貨物_CNG,係数_バス貨物_軽油,係数_バス貨物_メタノール,係数_バス貨物_LPG),MATCH(AY168,【参考】排出係数!$AI$4:$AI$671,1),1,BE168):INDEX((係数_バス貨物_ガソリン,係数_バス貨物_CNG,係数_バス貨物_軽油,係数_バス貨物_メタノール,係数_バス貨物_LPG),MATCH(AY168+1,【参考】排出係数!$AI$4:$AI$671,1)-1,5,BE168),4,FALSE)),IF(AND(BE168=3,LEFT(BF168,1)="1"),0.48,VLOOKUP(AU168,INDEX((係数_乗用_ガソリン,係数_乗用_CNG,係数_乗用_軽油,係数_乗用_メタノール,係数_乗用_LPG),1,1,BE168):INDEX((係数_乗用_ガソリン,係数_乗用_CNG,係数_乗用_軽油,係数_乗用_メタノール,係数_乗用_LPG),125,5,BE168),4,FALSE)))))</f>
        <v/>
      </c>
      <c r="AL168" s="461" t="str">
        <f t="shared" si="88"/>
        <v/>
      </c>
      <c r="AM168" s="460" t="str">
        <f>IF(AU168="","",IF(OR(AZ168=8,AZ168=9),0,IF(OR(AW168=3,AW168=4,AW168=5,AW168=6),IF(LEFT(BH168,1)="1",INDEX(係数_PM低減,MATCH(AY168,【参考】排出係数!$AI$801:$AI$804,1),MATCH(BI168,【参考】排出係数!$AL$798:$AO$798,1)),VLOOKUP(AU168,INDEX((係数_バス貨物_ガソリン,係数_バス貨物_CNG,係数_バス貨物_軽油,係数_バス貨物_メタノール,係数_バス貨物_LPG),MATCH(AY168,【参考】排出係数!$AI$4:$AI$671,1),1,BE168):INDEX((係数_バス貨物_ガソリン,係数_バス貨物_CNG,係数_バス貨物_軽油,係数_バス貨物_メタノール,係数_バス貨物_LPG),MATCH(AY168+1,【参考】排出係数!$AI$4:$AI$671,1)-1,5,BE168),5,FALSE)),IF(AND(BE168=3,LEFT(BF168,1)="1"),0.055,VLOOKUP(AU168,INDEX((係数_乗用_ガソリン,係数_乗用_CNG,係数_乗用_軽油,係数_乗用_メタノール,係数_乗用_LPG),1,1,BE168):INDEX((係数_乗用_ガソリン,係数_乗用_CNG,係数_乗用_軽油,係数_乗用_メタノール,係数_乗用_LPG),125,5,BE168),5,FALSE)))))</f>
        <v/>
      </c>
      <c r="AN168" s="461" t="str">
        <f t="shared" si="89"/>
        <v/>
      </c>
      <c r="AO168" s="462" t="str">
        <f t="shared" si="90"/>
        <v/>
      </c>
      <c r="AP168" s="463" t="str">
        <f t="shared" si="91"/>
        <v/>
      </c>
      <c r="AQ168" s="464"/>
      <c r="AR168" s="619"/>
      <c r="AS168" s="465" t="str">
        <f t="shared" si="70"/>
        <v/>
      </c>
      <c r="AT168" s="465" t="str">
        <f t="shared" si="71"/>
        <v/>
      </c>
      <c r="AU168" s="466" t="str">
        <f t="shared" si="72"/>
        <v/>
      </c>
      <c r="AV168" s="467" t="str">
        <f t="shared" si="73"/>
        <v/>
      </c>
      <c r="AW168" s="467" t="str">
        <f t="shared" si="74"/>
        <v/>
      </c>
      <c r="AX168" s="467" t="str">
        <f t="shared" si="75"/>
        <v/>
      </c>
      <c r="AY168" s="467" t="str">
        <f t="shared" si="76"/>
        <v/>
      </c>
      <c r="AZ168" s="467" t="str">
        <f t="shared" si="77"/>
        <v/>
      </c>
      <c r="BA168" s="468" t="str">
        <f>IF(AS168="","",IF(OR(AU168="",AU168="-"),"－",IF(OR(AZ168=8,AZ168=9),"",IF(OR(AW168=3,AW168=4,AW168=5,AW168=6),VLOOKUP(AU168,INDEX((係数_バス貨物_ガソリン,係数_バス貨物_CNG,係数_バス貨物_軽油,係数_バス貨物_メタノール,係数_バス貨物_LPG),MATCH(AY168,【参考】排出係数!$AI$4:$AI$671,1),1,BE168):INDEX((係数_バス貨物_ガソリン,係数_バス貨物_CNG,係数_バス貨物_軽油,係数_バス貨物_メタノール,係数_バス貨物_LPG),MATCH(AY168+1,【参考】排出係数!$AI$4:$AI$671,1)-1,5,BE168),2,FALSE),IF(OR(AW168=1,AW168=2),VLOOKUP(AU168,INDEX((係数_乗用_ガソリン,係数_乗用_CNG,係数_乗用_軽油,係数_乗用_メタノール,係数_乗用_LPG),1,1,BE168):INDEX((係数_乗用_ガソリン,係数_乗用_CNG,係数_乗用_軽油,係数_乗用_メタノール,係数_乗用_LPG),125,5,BE168),2,FALSE))))))</f>
        <v/>
      </c>
      <c r="BB168" s="468" t="str">
        <f>IF(T168="","",IF(OR(AU168="",AU168="-"),"－",IF(OR(AZ168=8,AZ168=9),"",IF(OR(AW168=3,AW168=4,AW168=5,AW168=6),VLOOKUP(AU168,INDEX((係数_バス貨物_ガソリン,係数_バス貨物_CNG,係数_バス貨物_軽油,係数_バス貨物_メタノール,係数_バス貨物_LPG),MATCH(AY168,【参考】排出係数!$AI$4:$AI$671,1),1,BE168):INDEX((係数_バス貨物_ガソリン,係数_バス貨物_CNG,係数_バス貨物_軽油,係数_バス貨物_メタノール,係数_バス貨物_LPG),MATCH(AY168+1,【参考】排出係数!$AI$4:$AI$671,1)-1,5,BE168),3,FALSE),IF(OR(AW168=1,AW168=2),VLOOKUP(AU168,INDEX((係数_乗用_ガソリン,係数_乗用_CNG,係数_乗用_軽油,係数_乗用_メタノール,係数_乗用_LPG),1,1,BE168):INDEX((係数_乗用_ガソリン,係数_乗用_CNG,係数_乗用_軽油,係数_乗用_メタノール,係数_乗用_LPG),125,5,BE168),3,FALSE))))))</f>
        <v/>
      </c>
      <c r="BC168" s="467" t="str">
        <f t="shared" si="78"/>
        <v/>
      </c>
      <c r="BD168" s="567" t="str">
        <f t="shared" si="79"/>
        <v/>
      </c>
      <c r="BE168" s="467" t="str">
        <f t="shared" si="80"/>
        <v/>
      </c>
      <c r="BF168" s="469" t="str">
        <f t="shared" ca="1" si="81"/>
        <v/>
      </c>
      <c r="BG168" s="469" t="str">
        <f t="shared" ca="1" si="82"/>
        <v/>
      </c>
      <c r="BH168" s="467" t="str">
        <f t="shared" si="83"/>
        <v/>
      </c>
      <c r="BI168" s="467" t="str">
        <f t="shared" ca="1" si="84"/>
        <v/>
      </c>
      <c r="BJ168" s="469" t="str">
        <f t="shared" si="85"/>
        <v/>
      </c>
      <c r="BK168" s="470" t="str">
        <f t="shared" si="65"/>
        <v/>
      </c>
      <c r="BL168" s="775" t="str">
        <f t="shared" si="86"/>
        <v/>
      </c>
      <c r="BM168" s="775" t="str">
        <f t="shared" si="87"/>
        <v/>
      </c>
    </row>
    <row r="169" spans="1:65">
      <c r="A169" s="473">
        <v>113</v>
      </c>
      <c r="B169" s="132"/>
      <c r="C169" s="332"/>
      <c r="D169" s="333"/>
      <c r="E169" s="333"/>
      <c r="F169" s="334"/>
      <c r="G169" s="337"/>
      <c r="H169" s="131"/>
      <c r="I169" s="337"/>
      <c r="J169" s="131"/>
      <c r="K169" s="458" t="str">
        <f t="shared" si="54"/>
        <v/>
      </c>
      <c r="L169" s="458">
        <f t="shared" si="66"/>
        <v>0</v>
      </c>
      <c r="M169" s="458">
        <f t="shared" si="67"/>
        <v>0</v>
      </c>
      <c r="N169" s="459" t="str">
        <f t="shared" si="55"/>
        <v/>
      </c>
      <c r="O169" s="459" t="str">
        <f t="shared" si="56"/>
        <v/>
      </c>
      <c r="P169" s="459" t="str">
        <f t="shared" si="57"/>
        <v/>
      </c>
      <c r="Q169" s="459" t="str">
        <f t="shared" si="58"/>
        <v/>
      </c>
      <c r="R169" s="459" t="str">
        <f t="shared" si="59"/>
        <v/>
      </c>
      <c r="S169" s="459" t="str">
        <f t="shared" si="60"/>
        <v/>
      </c>
      <c r="T169" s="566" t="str">
        <f t="shared" si="68"/>
        <v/>
      </c>
      <c r="U169" s="702"/>
      <c r="V169" s="132"/>
      <c r="W169" s="133"/>
      <c r="X169" s="134"/>
      <c r="Y169" s="135"/>
      <c r="Z169" s="137"/>
      <c r="AA169" s="136"/>
      <c r="AB169" s="566" t="str">
        <f t="shared" si="61"/>
        <v/>
      </c>
      <c r="AC169" s="568" t="str">
        <f t="shared" si="69"/>
        <v/>
      </c>
      <c r="AD169" s="137"/>
      <c r="AE169" s="137"/>
      <c r="AF169" s="138"/>
      <c r="AG169" s="138"/>
      <c r="AH169" s="592" t="str">
        <f t="shared" si="62"/>
        <v/>
      </c>
      <c r="AI169" s="592" t="str">
        <f t="shared" si="63"/>
        <v/>
      </c>
      <c r="AJ169" s="592" t="str">
        <f t="shared" si="64"/>
        <v/>
      </c>
      <c r="AK169" s="460" t="str">
        <f>IF(AU169="","",IF(OR(AZ169=8,AZ169=9),0,IF(OR(AW169=3,AW169=4,AW169=5,AW169=6),IF(LEFT(BF169,1)="1",INDEX(係数_NOX・PM低減,MATCH(AY169,【参考】排出係数!$AI$801:$AI$804,1),1),VLOOKUP(AU169,INDEX((係数_バス貨物_ガソリン,係数_バス貨物_CNG,係数_バス貨物_軽油,係数_バス貨物_メタノール,係数_バス貨物_LPG),MATCH(AY169,【参考】排出係数!$AI$4:$AI$671,1),1,BE169):INDEX((係数_バス貨物_ガソリン,係数_バス貨物_CNG,係数_バス貨物_軽油,係数_バス貨物_メタノール,係数_バス貨物_LPG),MATCH(AY169+1,【参考】排出係数!$AI$4:$AI$671,1)-1,5,BE169),4,FALSE)),IF(AND(BE169=3,LEFT(BF169,1)="1"),0.48,VLOOKUP(AU169,INDEX((係数_乗用_ガソリン,係数_乗用_CNG,係数_乗用_軽油,係数_乗用_メタノール,係数_乗用_LPG),1,1,BE169):INDEX((係数_乗用_ガソリン,係数_乗用_CNG,係数_乗用_軽油,係数_乗用_メタノール,係数_乗用_LPG),125,5,BE169),4,FALSE)))))</f>
        <v/>
      </c>
      <c r="AL169" s="461" t="str">
        <f t="shared" si="88"/>
        <v/>
      </c>
      <c r="AM169" s="460" t="str">
        <f>IF(AU169="","",IF(OR(AZ169=8,AZ169=9),0,IF(OR(AW169=3,AW169=4,AW169=5,AW169=6),IF(LEFT(BH169,1)="1",INDEX(係数_PM低減,MATCH(AY169,【参考】排出係数!$AI$801:$AI$804,1),MATCH(BI169,【参考】排出係数!$AL$798:$AO$798,1)),VLOOKUP(AU169,INDEX((係数_バス貨物_ガソリン,係数_バス貨物_CNG,係数_バス貨物_軽油,係数_バス貨物_メタノール,係数_バス貨物_LPG),MATCH(AY169,【参考】排出係数!$AI$4:$AI$671,1),1,BE169):INDEX((係数_バス貨物_ガソリン,係数_バス貨物_CNG,係数_バス貨物_軽油,係数_バス貨物_メタノール,係数_バス貨物_LPG),MATCH(AY169+1,【参考】排出係数!$AI$4:$AI$671,1)-1,5,BE169),5,FALSE)),IF(AND(BE169=3,LEFT(BF169,1)="1"),0.055,VLOOKUP(AU169,INDEX((係数_乗用_ガソリン,係数_乗用_CNG,係数_乗用_軽油,係数_乗用_メタノール,係数_乗用_LPG),1,1,BE169):INDEX((係数_乗用_ガソリン,係数_乗用_CNG,係数_乗用_軽油,係数_乗用_メタノール,係数_乗用_LPG),125,5,BE169),5,FALSE)))))</f>
        <v/>
      </c>
      <c r="AN169" s="461" t="str">
        <f t="shared" si="89"/>
        <v/>
      </c>
      <c r="AO169" s="462" t="str">
        <f t="shared" si="90"/>
        <v/>
      </c>
      <c r="AP169" s="463" t="str">
        <f t="shared" si="91"/>
        <v/>
      </c>
      <c r="AQ169" s="464"/>
      <c r="AR169" s="619"/>
      <c r="AS169" s="465" t="str">
        <f t="shared" si="70"/>
        <v/>
      </c>
      <c r="AT169" s="465" t="str">
        <f t="shared" si="71"/>
        <v/>
      </c>
      <c r="AU169" s="466" t="str">
        <f t="shared" si="72"/>
        <v/>
      </c>
      <c r="AV169" s="467" t="str">
        <f t="shared" si="73"/>
        <v/>
      </c>
      <c r="AW169" s="467" t="str">
        <f t="shared" si="74"/>
        <v/>
      </c>
      <c r="AX169" s="467" t="str">
        <f t="shared" si="75"/>
        <v/>
      </c>
      <c r="AY169" s="467" t="str">
        <f t="shared" si="76"/>
        <v/>
      </c>
      <c r="AZ169" s="467" t="str">
        <f t="shared" si="77"/>
        <v/>
      </c>
      <c r="BA169" s="468" t="str">
        <f>IF(AS169="","",IF(OR(AU169="",AU169="-"),"－",IF(OR(AZ169=8,AZ169=9),"",IF(OR(AW169=3,AW169=4,AW169=5,AW169=6),VLOOKUP(AU169,INDEX((係数_バス貨物_ガソリン,係数_バス貨物_CNG,係数_バス貨物_軽油,係数_バス貨物_メタノール,係数_バス貨物_LPG),MATCH(AY169,【参考】排出係数!$AI$4:$AI$671,1),1,BE169):INDEX((係数_バス貨物_ガソリン,係数_バス貨物_CNG,係数_バス貨物_軽油,係数_バス貨物_メタノール,係数_バス貨物_LPG),MATCH(AY169+1,【参考】排出係数!$AI$4:$AI$671,1)-1,5,BE169),2,FALSE),IF(OR(AW169=1,AW169=2),VLOOKUP(AU169,INDEX((係数_乗用_ガソリン,係数_乗用_CNG,係数_乗用_軽油,係数_乗用_メタノール,係数_乗用_LPG),1,1,BE169):INDEX((係数_乗用_ガソリン,係数_乗用_CNG,係数_乗用_軽油,係数_乗用_メタノール,係数_乗用_LPG),125,5,BE169),2,FALSE))))))</f>
        <v/>
      </c>
      <c r="BB169" s="468" t="str">
        <f>IF(T169="","",IF(OR(AU169="",AU169="-"),"－",IF(OR(AZ169=8,AZ169=9),"",IF(OR(AW169=3,AW169=4,AW169=5,AW169=6),VLOOKUP(AU169,INDEX((係数_バス貨物_ガソリン,係数_バス貨物_CNG,係数_バス貨物_軽油,係数_バス貨物_メタノール,係数_バス貨物_LPG),MATCH(AY169,【参考】排出係数!$AI$4:$AI$671,1),1,BE169):INDEX((係数_バス貨物_ガソリン,係数_バス貨物_CNG,係数_バス貨物_軽油,係数_バス貨物_メタノール,係数_バス貨物_LPG),MATCH(AY169+1,【参考】排出係数!$AI$4:$AI$671,1)-1,5,BE169),3,FALSE),IF(OR(AW169=1,AW169=2),VLOOKUP(AU169,INDEX((係数_乗用_ガソリン,係数_乗用_CNG,係数_乗用_軽油,係数_乗用_メタノール,係数_乗用_LPG),1,1,BE169):INDEX((係数_乗用_ガソリン,係数_乗用_CNG,係数_乗用_軽油,係数_乗用_メタノール,係数_乗用_LPG),125,5,BE169),3,FALSE))))))</f>
        <v/>
      </c>
      <c r="BC169" s="467" t="str">
        <f t="shared" si="78"/>
        <v/>
      </c>
      <c r="BD169" s="567" t="str">
        <f t="shared" si="79"/>
        <v/>
      </c>
      <c r="BE169" s="467" t="str">
        <f t="shared" si="80"/>
        <v/>
      </c>
      <c r="BF169" s="469" t="str">
        <f t="shared" ca="1" si="81"/>
        <v/>
      </c>
      <c r="BG169" s="469" t="str">
        <f t="shared" ca="1" si="82"/>
        <v/>
      </c>
      <c r="BH169" s="467" t="str">
        <f t="shared" si="83"/>
        <v/>
      </c>
      <c r="BI169" s="467" t="str">
        <f t="shared" ca="1" si="84"/>
        <v/>
      </c>
      <c r="BJ169" s="469" t="str">
        <f t="shared" si="85"/>
        <v/>
      </c>
      <c r="BK169" s="470" t="str">
        <f t="shared" si="65"/>
        <v/>
      </c>
      <c r="BL169" s="775" t="str">
        <f t="shared" si="86"/>
        <v/>
      </c>
      <c r="BM169" s="775" t="str">
        <f t="shared" si="87"/>
        <v/>
      </c>
    </row>
    <row r="170" spans="1:65">
      <c r="A170" s="473">
        <v>114</v>
      </c>
      <c r="B170" s="132"/>
      <c r="C170" s="332"/>
      <c r="D170" s="333"/>
      <c r="E170" s="333"/>
      <c r="F170" s="334"/>
      <c r="G170" s="337"/>
      <c r="H170" s="131"/>
      <c r="I170" s="337"/>
      <c r="J170" s="131"/>
      <c r="K170" s="458" t="str">
        <f t="shared" si="54"/>
        <v/>
      </c>
      <c r="L170" s="458">
        <f t="shared" si="66"/>
        <v>0</v>
      </c>
      <c r="M170" s="458">
        <f t="shared" si="67"/>
        <v>0</v>
      </c>
      <c r="N170" s="459" t="str">
        <f t="shared" si="55"/>
        <v/>
      </c>
      <c r="O170" s="459" t="str">
        <f t="shared" si="56"/>
        <v/>
      </c>
      <c r="P170" s="459" t="str">
        <f t="shared" si="57"/>
        <v/>
      </c>
      <c r="Q170" s="459" t="str">
        <f t="shared" si="58"/>
        <v/>
      </c>
      <c r="R170" s="459" t="str">
        <f t="shared" si="59"/>
        <v/>
      </c>
      <c r="S170" s="459" t="str">
        <f t="shared" si="60"/>
        <v/>
      </c>
      <c r="T170" s="566" t="str">
        <f t="shared" si="68"/>
        <v/>
      </c>
      <c r="U170" s="702"/>
      <c r="V170" s="132"/>
      <c r="W170" s="133"/>
      <c r="X170" s="134"/>
      <c r="Y170" s="135"/>
      <c r="Z170" s="137"/>
      <c r="AA170" s="136"/>
      <c r="AB170" s="566" t="str">
        <f t="shared" si="61"/>
        <v/>
      </c>
      <c r="AC170" s="568" t="str">
        <f t="shared" si="69"/>
        <v/>
      </c>
      <c r="AD170" s="137"/>
      <c r="AE170" s="137"/>
      <c r="AF170" s="138"/>
      <c r="AG170" s="138"/>
      <c r="AH170" s="592" t="str">
        <f t="shared" si="62"/>
        <v/>
      </c>
      <c r="AI170" s="592" t="str">
        <f t="shared" si="63"/>
        <v/>
      </c>
      <c r="AJ170" s="592" t="str">
        <f t="shared" si="64"/>
        <v/>
      </c>
      <c r="AK170" s="460" t="str">
        <f>IF(AU170="","",IF(OR(AZ170=8,AZ170=9),0,IF(OR(AW170=3,AW170=4,AW170=5,AW170=6),IF(LEFT(BF170,1)="1",INDEX(係数_NOX・PM低減,MATCH(AY170,【参考】排出係数!$AI$801:$AI$804,1),1),VLOOKUP(AU170,INDEX((係数_バス貨物_ガソリン,係数_バス貨物_CNG,係数_バス貨物_軽油,係数_バス貨物_メタノール,係数_バス貨物_LPG),MATCH(AY170,【参考】排出係数!$AI$4:$AI$671,1),1,BE170):INDEX((係数_バス貨物_ガソリン,係数_バス貨物_CNG,係数_バス貨物_軽油,係数_バス貨物_メタノール,係数_バス貨物_LPG),MATCH(AY170+1,【参考】排出係数!$AI$4:$AI$671,1)-1,5,BE170),4,FALSE)),IF(AND(BE170=3,LEFT(BF170,1)="1"),0.48,VLOOKUP(AU170,INDEX((係数_乗用_ガソリン,係数_乗用_CNG,係数_乗用_軽油,係数_乗用_メタノール,係数_乗用_LPG),1,1,BE170):INDEX((係数_乗用_ガソリン,係数_乗用_CNG,係数_乗用_軽油,係数_乗用_メタノール,係数_乗用_LPG),125,5,BE170),4,FALSE)))))</f>
        <v/>
      </c>
      <c r="AL170" s="461" t="str">
        <f t="shared" si="88"/>
        <v/>
      </c>
      <c r="AM170" s="460" t="str">
        <f>IF(AU170="","",IF(OR(AZ170=8,AZ170=9),0,IF(OR(AW170=3,AW170=4,AW170=5,AW170=6),IF(LEFT(BH170,1)="1",INDEX(係数_PM低減,MATCH(AY170,【参考】排出係数!$AI$801:$AI$804,1),MATCH(BI170,【参考】排出係数!$AL$798:$AO$798,1)),VLOOKUP(AU170,INDEX((係数_バス貨物_ガソリン,係数_バス貨物_CNG,係数_バス貨物_軽油,係数_バス貨物_メタノール,係数_バス貨物_LPG),MATCH(AY170,【参考】排出係数!$AI$4:$AI$671,1),1,BE170):INDEX((係数_バス貨物_ガソリン,係数_バス貨物_CNG,係数_バス貨物_軽油,係数_バス貨物_メタノール,係数_バス貨物_LPG),MATCH(AY170+1,【参考】排出係数!$AI$4:$AI$671,1)-1,5,BE170),5,FALSE)),IF(AND(BE170=3,LEFT(BF170,1)="1"),0.055,VLOOKUP(AU170,INDEX((係数_乗用_ガソリン,係数_乗用_CNG,係数_乗用_軽油,係数_乗用_メタノール,係数_乗用_LPG),1,1,BE170):INDEX((係数_乗用_ガソリン,係数_乗用_CNG,係数_乗用_軽油,係数_乗用_メタノール,係数_乗用_LPG),125,5,BE170),5,FALSE)))))</f>
        <v/>
      </c>
      <c r="AN170" s="461" t="str">
        <f t="shared" si="89"/>
        <v/>
      </c>
      <c r="AO170" s="462" t="str">
        <f t="shared" si="90"/>
        <v/>
      </c>
      <c r="AP170" s="463" t="str">
        <f t="shared" si="91"/>
        <v/>
      </c>
      <c r="AQ170" s="464"/>
      <c r="AR170" s="619"/>
      <c r="AS170" s="465" t="str">
        <f t="shared" si="70"/>
        <v/>
      </c>
      <c r="AT170" s="465" t="str">
        <f t="shared" si="71"/>
        <v/>
      </c>
      <c r="AU170" s="466" t="str">
        <f t="shared" si="72"/>
        <v/>
      </c>
      <c r="AV170" s="467" t="str">
        <f t="shared" si="73"/>
        <v/>
      </c>
      <c r="AW170" s="467" t="str">
        <f t="shared" si="74"/>
        <v/>
      </c>
      <c r="AX170" s="467" t="str">
        <f t="shared" si="75"/>
        <v/>
      </c>
      <c r="AY170" s="467" t="str">
        <f t="shared" si="76"/>
        <v/>
      </c>
      <c r="AZ170" s="467" t="str">
        <f t="shared" si="77"/>
        <v/>
      </c>
      <c r="BA170" s="468" t="str">
        <f>IF(AS170="","",IF(OR(AU170="",AU170="-"),"－",IF(OR(AZ170=8,AZ170=9),"",IF(OR(AW170=3,AW170=4,AW170=5,AW170=6),VLOOKUP(AU170,INDEX((係数_バス貨物_ガソリン,係数_バス貨物_CNG,係数_バス貨物_軽油,係数_バス貨物_メタノール,係数_バス貨物_LPG),MATCH(AY170,【参考】排出係数!$AI$4:$AI$671,1),1,BE170):INDEX((係数_バス貨物_ガソリン,係数_バス貨物_CNG,係数_バス貨物_軽油,係数_バス貨物_メタノール,係数_バス貨物_LPG),MATCH(AY170+1,【参考】排出係数!$AI$4:$AI$671,1)-1,5,BE170),2,FALSE),IF(OR(AW170=1,AW170=2),VLOOKUP(AU170,INDEX((係数_乗用_ガソリン,係数_乗用_CNG,係数_乗用_軽油,係数_乗用_メタノール,係数_乗用_LPG),1,1,BE170):INDEX((係数_乗用_ガソリン,係数_乗用_CNG,係数_乗用_軽油,係数_乗用_メタノール,係数_乗用_LPG),125,5,BE170),2,FALSE))))))</f>
        <v/>
      </c>
      <c r="BB170" s="468" t="str">
        <f>IF(T170="","",IF(OR(AU170="",AU170="-"),"－",IF(OR(AZ170=8,AZ170=9),"",IF(OR(AW170=3,AW170=4,AW170=5,AW170=6),VLOOKUP(AU170,INDEX((係数_バス貨物_ガソリン,係数_バス貨物_CNG,係数_バス貨物_軽油,係数_バス貨物_メタノール,係数_バス貨物_LPG),MATCH(AY170,【参考】排出係数!$AI$4:$AI$671,1),1,BE170):INDEX((係数_バス貨物_ガソリン,係数_バス貨物_CNG,係数_バス貨物_軽油,係数_バス貨物_メタノール,係数_バス貨物_LPG),MATCH(AY170+1,【参考】排出係数!$AI$4:$AI$671,1)-1,5,BE170),3,FALSE),IF(OR(AW170=1,AW170=2),VLOOKUP(AU170,INDEX((係数_乗用_ガソリン,係数_乗用_CNG,係数_乗用_軽油,係数_乗用_メタノール,係数_乗用_LPG),1,1,BE170):INDEX((係数_乗用_ガソリン,係数_乗用_CNG,係数_乗用_軽油,係数_乗用_メタノール,係数_乗用_LPG),125,5,BE170),3,FALSE))))))</f>
        <v/>
      </c>
      <c r="BC170" s="467" t="str">
        <f t="shared" si="78"/>
        <v/>
      </c>
      <c r="BD170" s="567" t="str">
        <f t="shared" si="79"/>
        <v/>
      </c>
      <c r="BE170" s="467" t="str">
        <f t="shared" si="80"/>
        <v/>
      </c>
      <c r="BF170" s="469" t="str">
        <f t="shared" ca="1" si="81"/>
        <v/>
      </c>
      <c r="BG170" s="469" t="str">
        <f t="shared" ca="1" si="82"/>
        <v/>
      </c>
      <c r="BH170" s="467" t="str">
        <f t="shared" si="83"/>
        <v/>
      </c>
      <c r="BI170" s="467" t="str">
        <f t="shared" ca="1" si="84"/>
        <v/>
      </c>
      <c r="BJ170" s="469" t="str">
        <f t="shared" si="85"/>
        <v/>
      </c>
      <c r="BK170" s="470" t="str">
        <f t="shared" si="65"/>
        <v/>
      </c>
      <c r="BL170" s="775" t="str">
        <f t="shared" si="86"/>
        <v/>
      </c>
      <c r="BM170" s="775" t="str">
        <f t="shared" si="87"/>
        <v/>
      </c>
    </row>
    <row r="171" spans="1:65">
      <c r="A171" s="473">
        <v>115</v>
      </c>
      <c r="B171" s="132"/>
      <c r="C171" s="332"/>
      <c r="D171" s="333"/>
      <c r="E171" s="333"/>
      <c r="F171" s="334"/>
      <c r="G171" s="337"/>
      <c r="H171" s="131"/>
      <c r="I171" s="337"/>
      <c r="J171" s="131"/>
      <c r="K171" s="458" t="str">
        <f t="shared" si="54"/>
        <v/>
      </c>
      <c r="L171" s="458">
        <f t="shared" si="66"/>
        <v>0</v>
      </c>
      <c r="M171" s="458">
        <f t="shared" si="67"/>
        <v>0</v>
      </c>
      <c r="N171" s="459" t="str">
        <f t="shared" si="55"/>
        <v/>
      </c>
      <c r="O171" s="459" t="str">
        <f t="shared" si="56"/>
        <v/>
      </c>
      <c r="P171" s="459" t="str">
        <f t="shared" si="57"/>
        <v/>
      </c>
      <c r="Q171" s="459" t="str">
        <f t="shared" si="58"/>
        <v/>
      </c>
      <c r="R171" s="459" t="str">
        <f t="shared" si="59"/>
        <v/>
      </c>
      <c r="S171" s="459" t="str">
        <f t="shared" si="60"/>
        <v/>
      </c>
      <c r="T171" s="566" t="str">
        <f t="shared" si="68"/>
        <v/>
      </c>
      <c r="U171" s="702"/>
      <c r="V171" s="132"/>
      <c r="W171" s="133"/>
      <c r="X171" s="134"/>
      <c r="Y171" s="135"/>
      <c r="Z171" s="137"/>
      <c r="AA171" s="136"/>
      <c r="AB171" s="566" t="str">
        <f t="shared" si="61"/>
        <v/>
      </c>
      <c r="AC171" s="568" t="str">
        <f t="shared" si="69"/>
        <v/>
      </c>
      <c r="AD171" s="137"/>
      <c r="AE171" s="137"/>
      <c r="AF171" s="138"/>
      <c r="AG171" s="138"/>
      <c r="AH171" s="592" t="str">
        <f t="shared" si="62"/>
        <v/>
      </c>
      <c r="AI171" s="592" t="str">
        <f t="shared" si="63"/>
        <v/>
      </c>
      <c r="AJ171" s="592" t="str">
        <f t="shared" si="64"/>
        <v/>
      </c>
      <c r="AK171" s="460" t="str">
        <f>IF(AU171="","",IF(OR(AZ171=8,AZ171=9),0,IF(OR(AW171=3,AW171=4,AW171=5,AW171=6),IF(LEFT(BF171,1)="1",INDEX(係数_NOX・PM低減,MATCH(AY171,【参考】排出係数!$AI$801:$AI$804,1),1),VLOOKUP(AU171,INDEX((係数_バス貨物_ガソリン,係数_バス貨物_CNG,係数_バス貨物_軽油,係数_バス貨物_メタノール,係数_バス貨物_LPG),MATCH(AY171,【参考】排出係数!$AI$4:$AI$671,1),1,BE171):INDEX((係数_バス貨物_ガソリン,係数_バス貨物_CNG,係数_バス貨物_軽油,係数_バス貨物_メタノール,係数_バス貨物_LPG),MATCH(AY171+1,【参考】排出係数!$AI$4:$AI$671,1)-1,5,BE171),4,FALSE)),IF(AND(BE171=3,LEFT(BF171,1)="1"),0.48,VLOOKUP(AU171,INDEX((係数_乗用_ガソリン,係数_乗用_CNG,係数_乗用_軽油,係数_乗用_メタノール,係数_乗用_LPG),1,1,BE171):INDEX((係数_乗用_ガソリン,係数_乗用_CNG,係数_乗用_軽油,係数_乗用_メタノール,係数_乗用_LPG),125,5,BE171),4,FALSE)))))</f>
        <v/>
      </c>
      <c r="AL171" s="461" t="str">
        <f t="shared" si="88"/>
        <v/>
      </c>
      <c r="AM171" s="460" t="str">
        <f>IF(AU171="","",IF(OR(AZ171=8,AZ171=9),0,IF(OR(AW171=3,AW171=4,AW171=5,AW171=6),IF(LEFT(BH171,1)="1",INDEX(係数_PM低減,MATCH(AY171,【参考】排出係数!$AI$801:$AI$804,1),MATCH(BI171,【参考】排出係数!$AL$798:$AO$798,1)),VLOOKUP(AU171,INDEX((係数_バス貨物_ガソリン,係数_バス貨物_CNG,係数_バス貨物_軽油,係数_バス貨物_メタノール,係数_バス貨物_LPG),MATCH(AY171,【参考】排出係数!$AI$4:$AI$671,1),1,BE171):INDEX((係数_バス貨物_ガソリン,係数_バス貨物_CNG,係数_バス貨物_軽油,係数_バス貨物_メタノール,係数_バス貨物_LPG),MATCH(AY171+1,【参考】排出係数!$AI$4:$AI$671,1)-1,5,BE171),5,FALSE)),IF(AND(BE171=3,LEFT(BF171,1)="1"),0.055,VLOOKUP(AU171,INDEX((係数_乗用_ガソリン,係数_乗用_CNG,係数_乗用_軽油,係数_乗用_メタノール,係数_乗用_LPG),1,1,BE171):INDEX((係数_乗用_ガソリン,係数_乗用_CNG,係数_乗用_軽油,係数_乗用_メタノール,係数_乗用_LPG),125,5,BE171),5,FALSE)))))</f>
        <v/>
      </c>
      <c r="AN171" s="461" t="str">
        <f t="shared" si="89"/>
        <v/>
      </c>
      <c r="AO171" s="462" t="str">
        <f t="shared" si="90"/>
        <v/>
      </c>
      <c r="AP171" s="463" t="str">
        <f t="shared" si="91"/>
        <v/>
      </c>
      <c r="AQ171" s="464"/>
      <c r="AR171" s="619"/>
      <c r="AS171" s="465" t="str">
        <f t="shared" si="70"/>
        <v/>
      </c>
      <c r="AT171" s="465" t="str">
        <f t="shared" si="71"/>
        <v/>
      </c>
      <c r="AU171" s="466" t="str">
        <f t="shared" si="72"/>
        <v/>
      </c>
      <c r="AV171" s="467" t="str">
        <f t="shared" si="73"/>
        <v/>
      </c>
      <c r="AW171" s="467" t="str">
        <f t="shared" si="74"/>
        <v/>
      </c>
      <c r="AX171" s="467" t="str">
        <f t="shared" si="75"/>
        <v/>
      </c>
      <c r="AY171" s="467" t="str">
        <f t="shared" si="76"/>
        <v/>
      </c>
      <c r="AZ171" s="467" t="str">
        <f t="shared" si="77"/>
        <v/>
      </c>
      <c r="BA171" s="468" t="str">
        <f>IF(AS171="","",IF(OR(AU171="",AU171="-"),"－",IF(OR(AZ171=8,AZ171=9),"",IF(OR(AW171=3,AW171=4,AW171=5,AW171=6),VLOOKUP(AU171,INDEX((係数_バス貨物_ガソリン,係数_バス貨物_CNG,係数_バス貨物_軽油,係数_バス貨物_メタノール,係数_バス貨物_LPG),MATCH(AY171,【参考】排出係数!$AI$4:$AI$671,1),1,BE171):INDEX((係数_バス貨物_ガソリン,係数_バス貨物_CNG,係数_バス貨物_軽油,係数_バス貨物_メタノール,係数_バス貨物_LPG),MATCH(AY171+1,【参考】排出係数!$AI$4:$AI$671,1)-1,5,BE171),2,FALSE),IF(OR(AW171=1,AW171=2),VLOOKUP(AU171,INDEX((係数_乗用_ガソリン,係数_乗用_CNG,係数_乗用_軽油,係数_乗用_メタノール,係数_乗用_LPG),1,1,BE171):INDEX((係数_乗用_ガソリン,係数_乗用_CNG,係数_乗用_軽油,係数_乗用_メタノール,係数_乗用_LPG),125,5,BE171),2,FALSE))))))</f>
        <v/>
      </c>
      <c r="BB171" s="468" t="str">
        <f>IF(T171="","",IF(OR(AU171="",AU171="-"),"－",IF(OR(AZ171=8,AZ171=9),"",IF(OR(AW171=3,AW171=4,AW171=5,AW171=6),VLOOKUP(AU171,INDEX((係数_バス貨物_ガソリン,係数_バス貨物_CNG,係数_バス貨物_軽油,係数_バス貨物_メタノール,係数_バス貨物_LPG),MATCH(AY171,【参考】排出係数!$AI$4:$AI$671,1),1,BE171):INDEX((係数_バス貨物_ガソリン,係数_バス貨物_CNG,係数_バス貨物_軽油,係数_バス貨物_メタノール,係数_バス貨物_LPG),MATCH(AY171+1,【参考】排出係数!$AI$4:$AI$671,1)-1,5,BE171),3,FALSE),IF(OR(AW171=1,AW171=2),VLOOKUP(AU171,INDEX((係数_乗用_ガソリン,係数_乗用_CNG,係数_乗用_軽油,係数_乗用_メタノール,係数_乗用_LPG),1,1,BE171):INDEX((係数_乗用_ガソリン,係数_乗用_CNG,係数_乗用_軽油,係数_乗用_メタノール,係数_乗用_LPG),125,5,BE171),3,FALSE))))))</f>
        <v/>
      </c>
      <c r="BC171" s="467" t="str">
        <f t="shared" si="78"/>
        <v/>
      </c>
      <c r="BD171" s="567" t="str">
        <f t="shared" si="79"/>
        <v/>
      </c>
      <c r="BE171" s="467" t="str">
        <f t="shared" si="80"/>
        <v/>
      </c>
      <c r="BF171" s="469" t="str">
        <f t="shared" ca="1" si="81"/>
        <v/>
      </c>
      <c r="BG171" s="469" t="str">
        <f t="shared" ca="1" si="82"/>
        <v/>
      </c>
      <c r="BH171" s="467" t="str">
        <f t="shared" si="83"/>
        <v/>
      </c>
      <c r="BI171" s="467" t="str">
        <f t="shared" ca="1" si="84"/>
        <v/>
      </c>
      <c r="BJ171" s="469" t="str">
        <f t="shared" si="85"/>
        <v/>
      </c>
      <c r="BK171" s="470" t="str">
        <f t="shared" si="65"/>
        <v/>
      </c>
      <c r="BL171" s="775" t="str">
        <f t="shared" si="86"/>
        <v/>
      </c>
      <c r="BM171" s="775" t="str">
        <f t="shared" si="87"/>
        <v/>
      </c>
    </row>
    <row r="172" spans="1:65">
      <c r="A172" s="473">
        <v>116</v>
      </c>
      <c r="B172" s="132"/>
      <c r="C172" s="332"/>
      <c r="D172" s="333"/>
      <c r="E172" s="333"/>
      <c r="F172" s="334"/>
      <c r="G172" s="337"/>
      <c r="H172" s="131"/>
      <c r="I172" s="337"/>
      <c r="J172" s="131"/>
      <c r="K172" s="458" t="str">
        <f t="shared" si="54"/>
        <v/>
      </c>
      <c r="L172" s="458">
        <f t="shared" si="66"/>
        <v>0</v>
      </c>
      <c r="M172" s="458">
        <f t="shared" si="67"/>
        <v>0</v>
      </c>
      <c r="N172" s="459" t="str">
        <f t="shared" si="55"/>
        <v/>
      </c>
      <c r="O172" s="459" t="str">
        <f t="shared" si="56"/>
        <v/>
      </c>
      <c r="P172" s="459" t="str">
        <f t="shared" si="57"/>
        <v/>
      </c>
      <c r="Q172" s="459" t="str">
        <f t="shared" si="58"/>
        <v/>
      </c>
      <c r="R172" s="459" t="str">
        <f t="shared" si="59"/>
        <v/>
      </c>
      <c r="S172" s="459" t="str">
        <f t="shared" si="60"/>
        <v/>
      </c>
      <c r="T172" s="566" t="str">
        <f t="shared" si="68"/>
        <v/>
      </c>
      <c r="U172" s="702"/>
      <c r="V172" s="132"/>
      <c r="W172" s="133"/>
      <c r="X172" s="134"/>
      <c r="Y172" s="135"/>
      <c r="Z172" s="137"/>
      <c r="AA172" s="136"/>
      <c r="AB172" s="566" t="str">
        <f t="shared" si="61"/>
        <v/>
      </c>
      <c r="AC172" s="568" t="str">
        <f t="shared" si="69"/>
        <v/>
      </c>
      <c r="AD172" s="137"/>
      <c r="AE172" s="137"/>
      <c r="AF172" s="138"/>
      <c r="AG172" s="138"/>
      <c r="AH172" s="592" t="str">
        <f t="shared" si="62"/>
        <v/>
      </c>
      <c r="AI172" s="592" t="str">
        <f t="shared" si="63"/>
        <v/>
      </c>
      <c r="AJ172" s="592" t="str">
        <f t="shared" si="64"/>
        <v/>
      </c>
      <c r="AK172" s="460" t="str">
        <f>IF(AU172="","",IF(OR(AZ172=8,AZ172=9),0,IF(OR(AW172=3,AW172=4,AW172=5,AW172=6),IF(LEFT(BF172,1)="1",INDEX(係数_NOX・PM低減,MATCH(AY172,【参考】排出係数!$AI$801:$AI$804,1),1),VLOOKUP(AU172,INDEX((係数_バス貨物_ガソリン,係数_バス貨物_CNG,係数_バス貨物_軽油,係数_バス貨物_メタノール,係数_バス貨物_LPG),MATCH(AY172,【参考】排出係数!$AI$4:$AI$671,1),1,BE172):INDEX((係数_バス貨物_ガソリン,係数_バス貨物_CNG,係数_バス貨物_軽油,係数_バス貨物_メタノール,係数_バス貨物_LPG),MATCH(AY172+1,【参考】排出係数!$AI$4:$AI$671,1)-1,5,BE172),4,FALSE)),IF(AND(BE172=3,LEFT(BF172,1)="1"),0.48,VLOOKUP(AU172,INDEX((係数_乗用_ガソリン,係数_乗用_CNG,係数_乗用_軽油,係数_乗用_メタノール,係数_乗用_LPG),1,1,BE172):INDEX((係数_乗用_ガソリン,係数_乗用_CNG,係数_乗用_軽油,係数_乗用_メタノール,係数_乗用_LPG),125,5,BE172),4,FALSE)))))</f>
        <v/>
      </c>
      <c r="AL172" s="461" t="str">
        <f t="shared" si="88"/>
        <v/>
      </c>
      <c r="AM172" s="460" t="str">
        <f>IF(AU172="","",IF(OR(AZ172=8,AZ172=9),0,IF(OR(AW172=3,AW172=4,AW172=5,AW172=6),IF(LEFT(BH172,1)="1",INDEX(係数_PM低減,MATCH(AY172,【参考】排出係数!$AI$801:$AI$804,1),MATCH(BI172,【参考】排出係数!$AL$798:$AO$798,1)),VLOOKUP(AU172,INDEX((係数_バス貨物_ガソリン,係数_バス貨物_CNG,係数_バス貨物_軽油,係数_バス貨物_メタノール,係数_バス貨物_LPG),MATCH(AY172,【参考】排出係数!$AI$4:$AI$671,1),1,BE172):INDEX((係数_バス貨物_ガソリン,係数_バス貨物_CNG,係数_バス貨物_軽油,係数_バス貨物_メタノール,係数_バス貨物_LPG),MATCH(AY172+1,【参考】排出係数!$AI$4:$AI$671,1)-1,5,BE172),5,FALSE)),IF(AND(BE172=3,LEFT(BF172,1)="1"),0.055,VLOOKUP(AU172,INDEX((係数_乗用_ガソリン,係数_乗用_CNG,係数_乗用_軽油,係数_乗用_メタノール,係数_乗用_LPG),1,1,BE172):INDEX((係数_乗用_ガソリン,係数_乗用_CNG,係数_乗用_軽油,係数_乗用_メタノール,係数_乗用_LPG),125,5,BE172),5,FALSE)))))</f>
        <v/>
      </c>
      <c r="AN172" s="461" t="str">
        <f t="shared" si="89"/>
        <v/>
      </c>
      <c r="AO172" s="462" t="str">
        <f t="shared" si="90"/>
        <v/>
      </c>
      <c r="AP172" s="463" t="str">
        <f t="shared" si="91"/>
        <v/>
      </c>
      <c r="AQ172" s="464"/>
      <c r="AR172" s="619"/>
      <c r="AS172" s="465" t="str">
        <f t="shared" si="70"/>
        <v/>
      </c>
      <c r="AT172" s="465" t="str">
        <f t="shared" si="71"/>
        <v/>
      </c>
      <c r="AU172" s="466" t="str">
        <f t="shared" si="72"/>
        <v/>
      </c>
      <c r="AV172" s="467" t="str">
        <f t="shared" si="73"/>
        <v/>
      </c>
      <c r="AW172" s="467" t="str">
        <f t="shared" si="74"/>
        <v/>
      </c>
      <c r="AX172" s="467" t="str">
        <f t="shared" si="75"/>
        <v/>
      </c>
      <c r="AY172" s="467" t="str">
        <f t="shared" si="76"/>
        <v/>
      </c>
      <c r="AZ172" s="467" t="str">
        <f t="shared" si="77"/>
        <v/>
      </c>
      <c r="BA172" s="468" t="str">
        <f>IF(AS172="","",IF(OR(AU172="",AU172="-"),"－",IF(OR(AZ172=8,AZ172=9),"",IF(OR(AW172=3,AW172=4,AW172=5,AW172=6),VLOOKUP(AU172,INDEX((係数_バス貨物_ガソリン,係数_バス貨物_CNG,係数_バス貨物_軽油,係数_バス貨物_メタノール,係数_バス貨物_LPG),MATCH(AY172,【参考】排出係数!$AI$4:$AI$671,1),1,BE172):INDEX((係数_バス貨物_ガソリン,係数_バス貨物_CNG,係数_バス貨物_軽油,係数_バス貨物_メタノール,係数_バス貨物_LPG),MATCH(AY172+1,【参考】排出係数!$AI$4:$AI$671,1)-1,5,BE172),2,FALSE),IF(OR(AW172=1,AW172=2),VLOOKUP(AU172,INDEX((係数_乗用_ガソリン,係数_乗用_CNG,係数_乗用_軽油,係数_乗用_メタノール,係数_乗用_LPG),1,1,BE172):INDEX((係数_乗用_ガソリン,係数_乗用_CNG,係数_乗用_軽油,係数_乗用_メタノール,係数_乗用_LPG),125,5,BE172),2,FALSE))))))</f>
        <v/>
      </c>
      <c r="BB172" s="468" t="str">
        <f>IF(T172="","",IF(OR(AU172="",AU172="-"),"－",IF(OR(AZ172=8,AZ172=9),"",IF(OR(AW172=3,AW172=4,AW172=5,AW172=6),VLOOKUP(AU172,INDEX((係数_バス貨物_ガソリン,係数_バス貨物_CNG,係数_バス貨物_軽油,係数_バス貨物_メタノール,係数_バス貨物_LPG),MATCH(AY172,【参考】排出係数!$AI$4:$AI$671,1),1,BE172):INDEX((係数_バス貨物_ガソリン,係数_バス貨物_CNG,係数_バス貨物_軽油,係数_バス貨物_メタノール,係数_バス貨物_LPG),MATCH(AY172+1,【参考】排出係数!$AI$4:$AI$671,1)-1,5,BE172),3,FALSE),IF(OR(AW172=1,AW172=2),VLOOKUP(AU172,INDEX((係数_乗用_ガソリン,係数_乗用_CNG,係数_乗用_軽油,係数_乗用_メタノール,係数_乗用_LPG),1,1,BE172):INDEX((係数_乗用_ガソリン,係数_乗用_CNG,係数_乗用_軽油,係数_乗用_メタノール,係数_乗用_LPG),125,5,BE172),3,FALSE))))))</f>
        <v/>
      </c>
      <c r="BC172" s="467" t="str">
        <f t="shared" si="78"/>
        <v/>
      </c>
      <c r="BD172" s="567" t="str">
        <f t="shared" si="79"/>
        <v/>
      </c>
      <c r="BE172" s="467" t="str">
        <f t="shared" si="80"/>
        <v/>
      </c>
      <c r="BF172" s="469" t="str">
        <f t="shared" ca="1" si="81"/>
        <v/>
      </c>
      <c r="BG172" s="469" t="str">
        <f t="shared" ca="1" si="82"/>
        <v/>
      </c>
      <c r="BH172" s="467" t="str">
        <f t="shared" si="83"/>
        <v/>
      </c>
      <c r="BI172" s="467" t="str">
        <f t="shared" ca="1" si="84"/>
        <v/>
      </c>
      <c r="BJ172" s="469" t="str">
        <f t="shared" si="85"/>
        <v/>
      </c>
      <c r="BK172" s="470" t="str">
        <f t="shared" si="65"/>
        <v/>
      </c>
      <c r="BL172" s="775" t="str">
        <f t="shared" si="86"/>
        <v/>
      </c>
      <c r="BM172" s="775" t="str">
        <f t="shared" si="87"/>
        <v/>
      </c>
    </row>
    <row r="173" spans="1:65">
      <c r="A173" s="473">
        <v>117</v>
      </c>
      <c r="B173" s="132"/>
      <c r="C173" s="332"/>
      <c r="D173" s="333"/>
      <c r="E173" s="333"/>
      <c r="F173" s="334"/>
      <c r="G173" s="337"/>
      <c r="H173" s="131"/>
      <c r="I173" s="337"/>
      <c r="J173" s="131"/>
      <c r="K173" s="458" t="str">
        <f t="shared" si="54"/>
        <v/>
      </c>
      <c r="L173" s="458">
        <f t="shared" si="66"/>
        <v>0</v>
      </c>
      <c r="M173" s="458">
        <f t="shared" si="67"/>
        <v>0</v>
      </c>
      <c r="N173" s="459" t="str">
        <f t="shared" si="55"/>
        <v/>
      </c>
      <c r="O173" s="459" t="str">
        <f t="shared" si="56"/>
        <v/>
      </c>
      <c r="P173" s="459" t="str">
        <f t="shared" si="57"/>
        <v/>
      </c>
      <c r="Q173" s="459" t="str">
        <f t="shared" si="58"/>
        <v/>
      </c>
      <c r="R173" s="459" t="str">
        <f t="shared" si="59"/>
        <v/>
      </c>
      <c r="S173" s="459" t="str">
        <f t="shared" si="60"/>
        <v/>
      </c>
      <c r="T173" s="566" t="str">
        <f t="shared" si="68"/>
        <v/>
      </c>
      <c r="U173" s="702"/>
      <c r="V173" s="132"/>
      <c r="W173" s="133"/>
      <c r="X173" s="134"/>
      <c r="Y173" s="135"/>
      <c r="Z173" s="137"/>
      <c r="AA173" s="136"/>
      <c r="AB173" s="566" t="str">
        <f t="shared" si="61"/>
        <v/>
      </c>
      <c r="AC173" s="568" t="str">
        <f t="shared" si="69"/>
        <v/>
      </c>
      <c r="AD173" s="137"/>
      <c r="AE173" s="137"/>
      <c r="AF173" s="138"/>
      <c r="AG173" s="138"/>
      <c r="AH173" s="592" t="str">
        <f t="shared" si="62"/>
        <v/>
      </c>
      <c r="AI173" s="592" t="str">
        <f t="shared" si="63"/>
        <v/>
      </c>
      <c r="AJ173" s="592" t="str">
        <f t="shared" si="64"/>
        <v/>
      </c>
      <c r="AK173" s="460" t="str">
        <f>IF(AU173="","",IF(OR(AZ173=8,AZ173=9),0,IF(OR(AW173=3,AW173=4,AW173=5,AW173=6),IF(LEFT(BF173,1)="1",INDEX(係数_NOX・PM低減,MATCH(AY173,【参考】排出係数!$AI$801:$AI$804,1),1),VLOOKUP(AU173,INDEX((係数_バス貨物_ガソリン,係数_バス貨物_CNG,係数_バス貨物_軽油,係数_バス貨物_メタノール,係数_バス貨物_LPG),MATCH(AY173,【参考】排出係数!$AI$4:$AI$671,1),1,BE173):INDEX((係数_バス貨物_ガソリン,係数_バス貨物_CNG,係数_バス貨物_軽油,係数_バス貨物_メタノール,係数_バス貨物_LPG),MATCH(AY173+1,【参考】排出係数!$AI$4:$AI$671,1)-1,5,BE173),4,FALSE)),IF(AND(BE173=3,LEFT(BF173,1)="1"),0.48,VLOOKUP(AU173,INDEX((係数_乗用_ガソリン,係数_乗用_CNG,係数_乗用_軽油,係数_乗用_メタノール,係数_乗用_LPG),1,1,BE173):INDEX((係数_乗用_ガソリン,係数_乗用_CNG,係数_乗用_軽油,係数_乗用_メタノール,係数_乗用_LPG),125,5,BE173),4,FALSE)))))</f>
        <v/>
      </c>
      <c r="AL173" s="461" t="str">
        <f t="shared" si="88"/>
        <v/>
      </c>
      <c r="AM173" s="460" t="str">
        <f>IF(AU173="","",IF(OR(AZ173=8,AZ173=9),0,IF(OR(AW173=3,AW173=4,AW173=5,AW173=6),IF(LEFT(BH173,1)="1",INDEX(係数_PM低減,MATCH(AY173,【参考】排出係数!$AI$801:$AI$804,1),MATCH(BI173,【参考】排出係数!$AL$798:$AO$798,1)),VLOOKUP(AU173,INDEX((係数_バス貨物_ガソリン,係数_バス貨物_CNG,係数_バス貨物_軽油,係数_バス貨物_メタノール,係数_バス貨物_LPG),MATCH(AY173,【参考】排出係数!$AI$4:$AI$671,1),1,BE173):INDEX((係数_バス貨物_ガソリン,係数_バス貨物_CNG,係数_バス貨物_軽油,係数_バス貨物_メタノール,係数_バス貨物_LPG),MATCH(AY173+1,【参考】排出係数!$AI$4:$AI$671,1)-1,5,BE173),5,FALSE)),IF(AND(BE173=3,LEFT(BF173,1)="1"),0.055,VLOOKUP(AU173,INDEX((係数_乗用_ガソリン,係数_乗用_CNG,係数_乗用_軽油,係数_乗用_メタノール,係数_乗用_LPG),1,1,BE173):INDEX((係数_乗用_ガソリン,係数_乗用_CNG,係数_乗用_軽油,係数_乗用_メタノール,係数_乗用_LPG),125,5,BE173),5,FALSE)))))</f>
        <v/>
      </c>
      <c r="AN173" s="461" t="str">
        <f t="shared" si="89"/>
        <v/>
      </c>
      <c r="AO173" s="462" t="str">
        <f t="shared" si="90"/>
        <v/>
      </c>
      <c r="AP173" s="463" t="str">
        <f t="shared" si="91"/>
        <v/>
      </c>
      <c r="AQ173" s="464"/>
      <c r="AR173" s="619"/>
      <c r="AS173" s="465" t="str">
        <f t="shared" si="70"/>
        <v/>
      </c>
      <c r="AT173" s="465" t="str">
        <f t="shared" si="71"/>
        <v/>
      </c>
      <c r="AU173" s="466" t="str">
        <f t="shared" si="72"/>
        <v/>
      </c>
      <c r="AV173" s="467" t="str">
        <f t="shared" si="73"/>
        <v/>
      </c>
      <c r="AW173" s="467" t="str">
        <f t="shared" si="74"/>
        <v/>
      </c>
      <c r="AX173" s="467" t="str">
        <f t="shared" si="75"/>
        <v/>
      </c>
      <c r="AY173" s="467" t="str">
        <f t="shared" si="76"/>
        <v/>
      </c>
      <c r="AZ173" s="467" t="str">
        <f t="shared" si="77"/>
        <v/>
      </c>
      <c r="BA173" s="468" t="str">
        <f>IF(AS173="","",IF(OR(AU173="",AU173="-"),"－",IF(OR(AZ173=8,AZ173=9),"",IF(OR(AW173=3,AW173=4,AW173=5,AW173=6),VLOOKUP(AU173,INDEX((係数_バス貨物_ガソリン,係数_バス貨物_CNG,係数_バス貨物_軽油,係数_バス貨物_メタノール,係数_バス貨物_LPG),MATCH(AY173,【参考】排出係数!$AI$4:$AI$671,1),1,BE173):INDEX((係数_バス貨物_ガソリン,係数_バス貨物_CNG,係数_バス貨物_軽油,係数_バス貨物_メタノール,係数_バス貨物_LPG),MATCH(AY173+1,【参考】排出係数!$AI$4:$AI$671,1)-1,5,BE173),2,FALSE),IF(OR(AW173=1,AW173=2),VLOOKUP(AU173,INDEX((係数_乗用_ガソリン,係数_乗用_CNG,係数_乗用_軽油,係数_乗用_メタノール,係数_乗用_LPG),1,1,BE173):INDEX((係数_乗用_ガソリン,係数_乗用_CNG,係数_乗用_軽油,係数_乗用_メタノール,係数_乗用_LPG),125,5,BE173),2,FALSE))))))</f>
        <v/>
      </c>
      <c r="BB173" s="468" t="str">
        <f>IF(T173="","",IF(OR(AU173="",AU173="-"),"－",IF(OR(AZ173=8,AZ173=9),"",IF(OR(AW173=3,AW173=4,AW173=5,AW173=6),VLOOKUP(AU173,INDEX((係数_バス貨物_ガソリン,係数_バス貨物_CNG,係数_バス貨物_軽油,係数_バス貨物_メタノール,係数_バス貨物_LPG),MATCH(AY173,【参考】排出係数!$AI$4:$AI$671,1),1,BE173):INDEX((係数_バス貨物_ガソリン,係数_バス貨物_CNG,係数_バス貨物_軽油,係数_バス貨物_メタノール,係数_バス貨物_LPG),MATCH(AY173+1,【参考】排出係数!$AI$4:$AI$671,1)-1,5,BE173),3,FALSE),IF(OR(AW173=1,AW173=2),VLOOKUP(AU173,INDEX((係数_乗用_ガソリン,係数_乗用_CNG,係数_乗用_軽油,係数_乗用_メタノール,係数_乗用_LPG),1,1,BE173):INDEX((係数_乗用_ガソリン,係数_乗用_CNG,係数_乗用_軽油,係数_乗用_メタノール,係数_乗用_LPG),125,5,BE173),3,FALSE))))))</f>
        <v/>
      </c>
      <c r="BC173" s="467" t="str">
        <f t="shared" si="78"/>
        <v/>
      </c>
      <c r="BD173" s="567" t="str">
        <f t="shared" si="79"/>
        <v/>
      </c>
      <c r="BE173" s="467" t="str">
        <f t="shared" si="80"/>
        <v/>
      </c>
      <c r="BF173" s="469" t="str">
        <f t="shared" ca="1" si="81"/>
        <v/>
      </c>
      <c r="BG173" s="469" t="str">
        <f t="shared" ca="1" si="82"/>
        <v/>
      </c>
      <c r="BH173" s="467" t="str">
        <f t="shared" si="83"/>
        <v/>
      </c>
      <c r="BI173" s="467" t="str">
        <f t="shared" ca="1" si="84"/>
        <v/>
      </c>
      <c r="BJ173" s="469" t="str">
        <f t="shared" si="85"/>
        <v/>
      </c>
      <c r="BK173" s="470" t="str">
        <f t="shared" si="65"/>
        <v/>
      </c>
      <c r="BL173" s="775" t="str">
        <f t="shared" si="86"/>
        <v/>
      </c>
      <c r="BM173" s="775" t="str">
        <f t="shared" si="87"/>
        <v/>
      </c>
    </row>
    <row r="174" spans="1:65">
      <c r="A174" s="473">
        <v>118</v>
      </c>
      <c r="B174" s="132"/>
      <c r="C174" s="332"/>
      <c r="D174" s="333"/>
      <c r="E174" s="333"/>
      <c r="F174" s="334"/>
      <c r="G174" s="337"/>
      <c r="H174" s="131"/>
      <c r="I174" s="337"/>
      <c r="J174" s="131"/>
      <c r="K174" s="458" t="str">
        <f t="shared" si="54"/>
        <v/>
      </c>
      <c r="L174" s="458">
        <f t="shared" si="66"/>
        <v>0</v>
      </c>
      <c r="M174" s="458">
        <f t="shared" si="67"/>
        <v>0</v>
      </c>
      <c r="N174" s="459" t="str">
        <f t="shared" si="55"/>
        <v/>
      </c>
      <c r="O174" s="459" t="str">
        <f t="shared" si="56"/>
        <v/>
      </c>
      <c r="P174" s="459" t="str">
        <f t="shared" si="57"/>
        <v/>
      </c>
      <c r="Q174" s="459" t="str">
        <f t="shared" si="58"/>
        <v/>
      </c>
      <c r="R174" s="459" t="str">
        <f t="shared" si="59"/>
        <v/>
      </c>
      <c r="S174" s="459" t="str">
        <f t="shared" si="60"/>
        <v/>
      </c>
      <c r="T174" s="566" t="str">
        <f t="shared" si="68"/>
        <v/>
      </c>
      <c r="U174" s="702"/>
      <c r="V174" s="132"/>
      <c r="W174" s="133"/>
      <c r="X174" s="134"/>
      <c r="Y174" s="135"/>
      <c r="Z174" s="137"/>
      <c r="AA174" s="136"/>
      <c r="AB174" s="566" t="str">
        <f t="shared" si="61"/>
        <v/>
      </c>
      <c r="AC174" s="568" t="str">
        <f t="shared" si="69"/>
        <v/>
      </c>
      <c r="AD174" s="137"/>
      <c r="AE174" s="137"/>
      <c r="AF174" s="138"/>
      <c r="AG174" s="138"/>
      <c r="AH174" s="592" t="str">
        <f t="shared" si="62"/>
        <v/>
      </c>
      <c r="AI174" s="592" t="str">
        <f t="shared" si="63"/>
        <v/>
      </c>
      <c r="AJ174" s="592" t="str">
        <f t="shared" si="64"/>
        <v/>
      </c>
      <c r="AK174" s="460" t="str">
        <f>IF(AU174="","",IF(OR(AZ174=8,AZ174=9),0,IF(OR(AW174=3,AW174=4,AW174=5,AW174=6),IF(LEFT(BF174,1)="1",INDEX(係数_NOX・PM低減,MATCH(AY174,【参考】排出係数!$AI$801:$AI$804,1),1),VLOOKUP(AU174,INDEX((係数_バス貨物_ガソリン,係数_バス貨物_CNG,係数_バス貨物_軽油,係数_バス貨物_メタノール,係数_バス貨物_LPG),MATCH(AY174,【参考】排出係数!$AI$4:$AI$671,1),1,BE174):INDEX((係数_バス貨物_ガソリン,係数_バス貨物_CNG,係数_バス貨物_軽油,係数_バス貨物_メタノール,係数_バス貨物_LPG),MATCH(AY174+1,【参考】排出係数!$AI$4:$AI$671,1)-1,5,BE174),4,FALSE)),IF(AND(BE174=3,LEFT(BF174,1)="1"),0.48,VLOOKUP(AU174,INDEX((係数_乗用_ガソリン,係数_乗用_CNG,係数_乗用_軽油,係数_乗用_メタノール,係数_乗用_LPG),1,1,BE174):INDEX((係数_乗用_ガソリン,係数_乗用_CNG,係数_乗用_軽油,係数_乗用_メタノール,係数_乗用_LPG),125,5,BE174),4,FALSE)))))</f>
        <v/>
      </c>
      <c r="AL174" s="461" t="str">
        <f t="shared" si="88"/>
        <v/>
      </c>
      <c r="AM174" s="460" t="str">
        <f>IF(AU174="","",IF(OR(AZ174=8,AZ174=9),0,IF(OR(AW174=3,AW174=4,AW174=5,AW174=6),IF(LEFT(BH174,1)="1",INDEX(係数_PM低減,MATCH(AY174,【参考】排出係数!$AI$801:$AI$804,1),MATCH(BI174,【参考】排出係数!$AL$798:$AO$798,1)),VLOOKUP(AU174,INDEX((係数_バス貨物_ガソリン,係数_バス貨物_CNG,係数_バス貨物_軽油,係数_バス貨物_メタノール,係数_バス貨物_LPG),MATCH(AY174,【参考】排出係数!$AI$4:$AI$671,1),1,BE174):INDEX((係数_バス貨物_ガソリン,係数_バス貨物_CNG,係数_バス貨物_軽油,係数_バス貨物_メタノール,係数_バス貨物_LPG),MATCH(AY174+1,【参考】排出係数!$AI$4:$AI$671,1)-1,5,BE174),5,FALSE)),IF(AND(BE174=3,LEFT(BF174,1)="1"),0.055,VLOOKUP(AU174,INDEX((係数_乗用_ガソリン,係数_乗用_CNG,係数_乗用_軽油,係数_乗用_メタノール,係数_乗用_LPG),1,1,BE174):INDEX((係数_乗用_ガソリン,係数_乗用_CNG,係数_乗用_軽油,係数_乗用_メタノール,係数_乗用_LPG),125,5,BE174),5,FALSE)))))</f>
        <v/>
      </c>
      <c r="AN174" s="461" t="str">
        <f t="shared" si="89"/>
        <v/>
      </c>
      <c r="AO174" s="462" t="str">
        <f t="shared" si="90"/>
        <v/>
      </c>
      <c r="AP174" s="463" t="str">
        <f t="shared" si="91"/>
        <v/>
      </c>
      <c r="AQ174" s="464"/>
      <c r="AR174" s="619"/>
      <c r="AS174" s="465" t="str">
        <f t="shared" si="70"/>
        <v/>
      </c>
      <c r="AT174" s="465" t="str">
        <f t="shared" si="71"/>
        <v/>
      </c>
      <c r="AU174" s="466" t="str">
        <f t="shared" si="72"/>
        <v/>
      </c>
      <c r="AV174" s="467" t="str">
        <f t="shared" si="73"/>
        <v/>
      </c>
      <c r="AW174" s="467" t="str">
        <f t="shared" si="74"/>
        <v/>
      </c>
      <c r="AX174" s="467" t="str">
        <f t="shared" si="75"/>
        <v/>
      </c>
      <c r="AY174" s="467" t="str">
        <f t="shared" si="76"/>
        <v/>
      </c>
      <c r="AZ174" s="467" t="str">
        <f t="shared" si="77"/>
        <v/>
      </c>
      <c r="BA174" s="468" t="str">
        <f>IF(AS174="","",IF(OR(AU174="",AU174="-"),"－",IF(OR(AZ174=8,AZ174=9),"",IF(OR(AW174=3,AW174=4,AW174=5,AW174=6),VLOOKUP(AU174,INDEX((係数_バス貨物_ガソリン,係数_バス貨物_CNG,係数_バス貨物_軽油,係数_バス貨物_メタノール,係数_バス貨物_LPG),MATCH(AY174,【参考】排出係数!$AI$4:$AI$671,1),1,BE174):INDEX((係数_バス貨物_ガソリン,係数_バス貨物_CNG,係数_バス貨物_軽油,係数_バス貨物_メタノール,係数_バス貨物_LPG),MATCH(AY174+1,【参考】排出係数!$AI$4:$AI$671,1)-1,5,BE174),2,FALSE),IF(OR(AW174=1,AW174=2),VLOOKUP(AU174,INDEX((係数_乗用_ガソリン,係数_乗用_CNG,係数_乗用_軽油,係数_乗用_メタノール,係数_乗用_LPG),1,1,BE174):INDEX((係数_乗用_ガソリン,係数_乗用_CNG,係数_乗用_軽油,係数_乗用_メタノール,係数_乗用_LPG),125,5,BE174),2,FALSE))))))</f>
        <v/>
      </c>
      <c r="BB174" s="468" t="str">
        <f>IF(T174="","",IF(OR(AU174="",AU174="-"),"－",IF(OR(AZ174=8,AZ174=9),"",IF(OR(AW174=3,AW174=4,AW174=5,AW174=6),VLOOKUP(AU174,INDEX((係数_バス貨物_ガソリン,係数_バス貨物_CNG,係数_バス貨物_軽油,係数_バス貨物_メタノール,係数_バス貨物_LPG),MATCH(AY174,【参考】排出係数!$AI$4:$AI$671,1),1,BE174):INDEX((係数_バス貨物_ガソリン,係数_バス貨物_CNG,係数_バス貨物_軽油,係数_バス貨物_メタノール,係数_バス貨物_LPG),MATCH(AY174+1,【参考】排出係数!$AI$4:$AI$671,1)-1,5,BE174),3,FALSE),IF(OR(AW174=1,AW174=2),VLOOKUP(AU174,INDEX((係数_乗用_ガソリン,係数_乗用_CNG,係数_乗用_軽油,係数_乗用_メタノール,係数_乗用_LPG),1,1,BE174):INDEX((係数_乗用_ガソリン,係数_乗用_CNG,係数_乗用_軽油,係数_乗用_メタノール,係数_乗用_LPG),125,5,BE174),3,FALSE))))))</f>
        <v/>
      </c>
      <c r="BC174" s="467" t="str">
        <f t="shared" si="78"/>
        <v/>
      </c>
      <c r="BD174" s="567" t="str">
        <f t="shared" si="79"/>
        <v/>
      </c>
      <c r="BE174" s="467" t="str">
        <f t="shared" si="80"/>
        <v/>
      </c>
      <c r="BF174" s="469" t="str">
        <f t="shared" ca="1" si="81"/>
        <v/>
      </c>
      <c r="BG174" s="469" t="str">
        <f t="shared" ca="1" si="82"/>
        <v/>
      </c>
      <c r="BH174" s="467" t="str">
        <f t="shared" si="83"/>
        <v/>
      </c>
      <c r="BI174" s="467" t="str">
        <f t="shared" ca="1" si="84"/>
        <v/>
      </c>
      <c r="BJ174" s="469" t="str">
        <f t="shared" si="85"/>
        <v/>
      </c>
      <c r="BK174" s="470" t="str">
        <f t="shared" si="65"/>
        <v/>
      </c>
      <c r="BL174" s="775" t="str">
        <f t="shared" si="86"/>
        <v/>
      </c>
      <c r="BM174" s="775" t="str">
        <f t="shared" si="87"/>
        <v/>
      </c>
    </row>
    <row r="175" spans="1:65">
      <c r="A175" s="473">
        <v>119</v>
      </c>
      <c r="B175" s="132"/>
      <c r="C175" s="332"/>
      <c r="D175" s="333"/>
      <c r="E175" s="333"/>
      <c r="F175" s="334"/>
      <c r="G175" s="337"/>
      <c r="H175" s="131"/>
      <c r="I175" s="337"/>
      <c r="J175" s="131"/>
      <c r="K175" s="458" t="str">
        <f t="shared" si="54"/>
        <v/>
      </c>
      <c r="L175" s="458">
        <f t="shared" si="66"/>
        <v>0</v>
      </c>
      <c r="M175" s="458">
        <f t="shared" si="67"/>
        <v>0</v>
      </c>
      <c r="N175" s="459" t="str">
        <f t="shared" si="55"/>
        <v/>
      </c>
      <c r="O175" s="459" t="str">
        <f t="shared" si="56"/>
        <v/>
      </c>
      <c r="P175" s="459" t="str">
        <f t="shared" si="57"/>
        <v/>
      </c>
      <c r="Q175" s="459" t="str">
        <f t="shared" si="58"/>
        <v/>
      </c>
      <c r="R175" s="459" t="str">
        <f t="shared" si="59"/>
        <v/>
      </c>
      <c r="S175" s="459" t="str">
        <f t="shared" si="60"/>
        <v/>
      </c>
      <c r="T175" s="566" t="str">
        <f t="shared" si="68"/>
        <v/>
      </c>
      <c r="U175" s="702"/>
      <c r="V175" s="132"/>
      <c r="W175" s="133"/>
      <c r="X175" s="134"/>
      <c r="Y175" s="135"/>
      <c r="Z175" s="137"/>
      <c r="AA175" s="136"/>
      <c r="AB175" s="566" t="str">
        <f t="shared" si="61"/>
        <v/>
      </c>
      <c r="AC175" s="568" t="str">
        <f t="shared" si="69"/>
        <v/>
      </c>
      <c r="AD175" s="137"/>
      <c r="AE175" s="137"/>
      <c r="AF175" s="138"/>
      <c r="AG175" s="138"/>
      <c r="AH175" s="592" t="str">
        <f t="shared" si="62"/>
        <v/>
      </c>
      <c r="AI175" s="592" t="str">
        <f t="shared" si="63"/>
        <v/>
      </c>
      <c r="AJ175" s="592" t="str">
        <f t="shared" si="64"/>
        <v/>
      </c>
      <c r="AK175" s="460" t="str">
        <f>IF(AU175="","",IF(OR(AZ175=8,AZ175=9),0,IF(OR(AW175=3,AW175=4,AW175=5,AW175=6),IF(LEFT(BF175,1)="1",INDEX(係数_NOX・PM低減,MATCH(AY175,【参考】排出係数!$AI$801:$AI$804,1),1),VLOOKUP(AU175,INDEX((係数_バス貨物_ガソリン,係数_バス貨物_CNG,係数_バス貨物_軽油,係数_バス貨物_メタノール,係数_バス貨物_LPG),MATCH(AY175,【参考】排出係数!$AI$4:$AI$671,1),1,BE175):INDEX((係数_バス貨物_ガソリン,係数_バス貨物_CNG,係数_バス貨物_軽油,係数_バス貨物_メタノール,係数_バス貨物_LPG),MATCH(AY175+1,【参考】排出係数!$AI$4:$AI$671,1)-1,5,BE175),4,FALSE)),IF(AND(BE175=3,LEFT(BF175,1)="1"),0.48,VLOOKUP(AU175,INDEX((係数_乗用_ガソリン,係数_乗用_CNG,係数_乗用_軽油,係数_乗用_メタノール,係数_乗用_LPG),1,1,BE175):INDEX((係数_乗用_ガソリン,係数_乗用_CNG,係数_乗用_軽油,係数_乗用_メタノール,係数_乗用_LPG),125,5,BE175),4,FALSE)))))</f>
        <v/>
      </c>
      <c r="AL175" s="461" t="str">
        <f t="shared" si="88"/>
        <v/>
      </c>
      <c r="AM175" s="460" t="str">
        <f>IF(AU175="","",IF(OR(AZ175=8,AZ175=9),0,IF(OR(AW175=3,AW175=4,AW175=5,AW175=6),IF(LEFT(BH175,1)="1",INDEX(係数_PM低減,MATCH(AY175,【参考】排出係数!$AI$801:$AI$804,1),MATCH(BI175,【参考】排出係数!$AL$798:$AO$798,1)),VLOOKUP(AU175,INDEX((係数_バス貨物_ガソリン,係数_バス貨物_CNG,係数_バス貨物_軽油,係数_バス貨物_メタノール,係数_バス貨物_LPG),MATCH(AY175,【参考】排出係数!$AI$4:$AI$671,1),1,BE175):INDEX((係数_バス貨物_ガソリン,係数_バス貨物_CNG,係数_バス貨物_軽油,係数_バス貨物_メタノール,係数_バス貨物_LPG),MATCH(AY175+1,【参考】排出係数!$AI$4:$AI$671,1)-1,5,BE175),5,FALSE)),IF(AND(BE175=3,LEFT(BF175,1)="1"),0.055,VLOOKUP(AU175,INDEX((係数_乗用_ガソリン,係数_乗用_CNG,係数_乗用_軽油,係数_乗用_メタノール,係数_乗用_LPG),1,1,BE175):INDEX((係数_乗用_ガソリン,係数_乗用_CNG,係数_乗用_軽油,係数_乗用_メタノール,係数_乗用_LPG),125,5,BE175),5,FALSE)))))</f>
        <v/>
      </c>
      <c r="AN175" s="461" t="str">
        <f t="shared" si="89"/>
        <v/>
      </c>
      <c r="AO175" s="462" t="str">
        <f t="shared" si="90"/>
        <v/>
      </c>
      <c r="AP175" s="463" t="str">
        <f t="shared" si="91"/>
        <v/>
      </c>
      <c r="AQ175" s="464"/>
      <c r="AR175" s="619"/>
      <c r="AS175" s="465" t="str">
        <f t="shared" si="70"/>
        <v/>
      </c>
      <c r="AT175" s="465" t="str">
        <f t="shared" si="71"/>
        <v/>
      </c>
      <c r="AU175" s="466" t="str">
        <f t="shared" si="72"/>
        <v/>
      </c>
      <c r="AV175" s="467" t="str">
        <f t="shared" si="73"/>
        <v/>
      </c>
      <c r="AW175" s="467" t="str">
        <f t="shared" si="74"/>
        <v/>
      </c>
      <c r="AX175" s="467" t="str">
        <f t="shared" si="75"/>
        <v/>
      </c>
      <c r="AY175" s="467" t="str">
        <f t="shared" si="76"/>
        <v/>
      </c>
      <c r="AZ175" s="467" t="str">
        <f t="shared" si="77"/>
        <v/>
      </c>
      <c r="BA175" s="468" t="str">
        <f>IF(AS175="","",IF(OR(AU175="",AU175="-"),"－",IF(OR(AZ175=8,AZ175=9),"",IF(OR(AW175=3,AW175=4,AW175=5,AW175=6),VLOOKUP(AU175,INDEX((係数_バス貨物_ガソリン,係数_バス貨物_CNG,係数_バス貨物_軽油,係数_バス貨物_メタノール,係数_バス貨物_LPG),MATCH(AY175,【参考】排出係数!$AI$4:$AI$671,1),1,BE175):INDEX((係数_バス貨物_ガソリン,係数_バス貨物_CNG,係数_バス貨物_軽油,係数_バス貨物_メタノール,係数_バス貨物_LPG),MATCH(AY175+1,【参考】排出係数!$AI$4:$AI$671,1)-1,5,BE175),2,FALSE),IF(OR(AW175=1,AW175=2),VLOOKUP(AU175,INDEX((係数_乗用_ガソリン,係数_乗用_CNG,係数_乗用_軽油,係数_乗用_メタノール,係数_乗用_LPG),1,1,BE175):INDEX((係数_乗用_ガソリン,係数_乗用_CNG,係数_乗用_軽油,係数_乗用_メタノール,係数_乗用_LPG),125,5,BE175),2,FALSE))))))</f>
        <v/>
      </c>
      <c r="BB175" s="468" t="str">
        <f>IF(T175="","",IF(OR(AU175="",AU175="-"),"－",IF(OR(AZ175=8,AZ175=9),"",IF(OR(AW175=3,AW175=4,AW175=5,AW175=6),VLOOKUP(AU175,INDEX((係数_バス貨物_ガソリン,係数_バス貨物_CNG,係数_バス貨物_軽油,係数_バス貨物_メタノール,係数_バス貨物_LPG),MATCH(AY175,【参考】排出係数!$AI$4:$AI$671,1),1,BE175):INDEX((係数_バス貨物_ガソリン,係数_バス貨物_CNG,係数_バス貨物_軽油,係数_バス貨物_メタノール,係数_バス貨物_LPG),MATCH(AY175+1,【参考】排出係数!$AI$4:$AI$671,1)-1,5,BE175),3,FALSE),IF(OR(AW175=1,AW175=2),VLOOKUP(AU175,INDEX((係数_乗用_ガソリン,係数_乗用_CNG,係数_乗用_軽油,係数_乗用_メタノール,係数_乗用_LPG),1,1,BE175):INDEX((係数_乗用_ガソリン,係数_乗用_CNG,係数_乗用_軽油,係数_乗用_メタノール,係数_乗用_LPG),125,5,BE175),3,FALSE))))))</f>
        <v/>
      </c>
      <c r="BC175" s="467" t="str">
        <f t="shared" si="78"/>
        <v/>
      </c>
      <c r="BD175" s="567" t="str">
        <f t="shared" si="79"/>
        <v/>
      </c>
      <c r="BE175" s="467" t="str">
        <f t="shared" si="80"/>
        <v/>
      </c>
      <c r="BF175" s="469" t="str">
        <f t="shared" ca="1" si="81"/>
        <v/>
      </c>
      <c r="BG175" s="469" t="str">
        <f t="shared" ca="1" si="82"/>
        <v/>
      </c>
      <c r="BH175" s="467" t="str">
        <f t="shared" si="83"/>
        <v/>
      </c>
      <c r="BI175" s="467" t="str">
        <f t="shared" ca="1" si="84"/>
        <v/>
      </c>
      <c r="BJ175" s="469" t="str">
        <f t="shared" si="85"/>
        <v/>
      </c>
      <c r="BK175" s="470" t="str">
        <f t="shared" si="65"/>
        <v/>
      </c>
      <c r="BL175" s="775" t="str">
        <f t="shared" si="86"/>
        <v/>
      </c>
      <c r="BM175" s="775" t="str">
        <f t="shared" si="87"/>
        <v/>
      </c>
    </row>
    <row r="176" spans="1:65">
      <c r="A176" s="473">
        <v>120</v>
      </c>
      <c r="B176" s="132"/>
      <c r="C176" s="332"/>
      <c r="D176" s="333"/>
      <c r="E176" s="333"/>
      <c r="F176" s="334"/>
      <c r="G176" s="337"/>
      <c r="H176" s="131"/>
      <c r="I176" s="337"/>
      <c r="J176" s="131"/>
      <c r="K176" s="458" t="str">
        <f t="shared" si="54"/>
        <v/>
      </c>
      <c r="L176" s="458">
        <f t="shared" si="66"/>
        <v>0</v>
      </c>
      <c r="M176" s="458">
        <f t="shared" si="67"/>
        <v>0</v>
      </c>
      <c r="N176" s="459" t="str">
        <f t="shared" si="55"/>
        <v/>
      </c>
      <c r="O176" s="459" t="str">
        <f t="shared" si="56"/>
        <v/>
      </c>
      <c r="P176" s="459" t="str">
        <f t="shared" si="57"/>
        <v/>
      </c>
      <c r="Q176" s="459" t="str">
        <f t="shared" si="58"/>
        <v/>
      </c>
      <c r="R176" s="459" t="str">
        <f t="shared" si="59"/>
        <v/>
      </c>
      <c r="S176" s="459" t="str">
        <f t="shared" si="60"/>
        <v/>
      </c>
      <c r="T176" s="566" t="str">
        <f t="shared" si="68"/>
        <v/>
      </c>
      <c r="U176" s="702"/>
      <c r="V176" s="132"/>
      <c r="W176" s="133"/>
      <c r="X176" s="134"/>
      <c r="Y176" s="135"/>
      <c r="Z176" s="137"/>
      <c r="AA176" s="136"/>
      <c r="AB176" s="566" t="str">
        <f t="shared" si="61"/>
        <v/>
      </c>
      <c r="AC176" s="568" t="str">
        <f t="shared" si="69"/>
        <v/>
      </c>
      <c r="AD176" s="137"/>
      <c r="AE176" s="137"/>
      <c r="AF176" s="138"/>
      <c r="AG176" s="138"/>
      <c r="AH176" s="592" t="str">
        <f t="shared" si="62"/>
        <v/>
      </c>
      <c r="AI176" s="592" t="str">
        <f t="shared" si="63"/>
        <v/>
      </c>
      <c r="AJ176" s="592" t="str">
        <f t="shared" si="64"/>
        <v/>
      </c>
      <c r="AK176" s="460" t="str">
        <f>IF(AU176="","",IF(OR(AZ176=8,AZ176=9),0,IF(OR(AW176=3,AW176=4,AW176=5,AW176=6),IF(LEFT(BF176,1)="1",INDEX(係数_NOX・PM低減,MATCH(AY176,【参考】排出係数!$AI$801:$AI$804,1),1),VLOOKUP(AU176,INDEX((係数_バス貨物_ガソリン,係数_バス貨物_CNG,係数_バス貨物_軽油,係数_バス貨物_メタノール,係数_バス貨物_LPG),MATCH(AY176,【参考】排出係数!$AI$4:$AI$671,1),1,BE176):INDEX((係数_バス貨物_ガソリン,係数_バス貨物_CNG,係数_バス貨物_軽油,係数_バス貨物_メタノール,係数_バス貨物_LPG),MATCH(AY176+1,【参考】排出係数!$AI$4:$AI$671,1)-1,5,BE176),4,FALSE)),IF(AND(BE176=3,LEFT(BF176,1)="1"),0.48,VLOOKUP(AU176,INDEX((係数_乗用_ガソリン,係数_乗用_CNG,係数_乗用_軽油,係数_乗用_メタノール,係数_乗用_LPG),1,1,BE176):INDEX((係数_乗用_ガソリン,係数_乗用_CNG,係数_乗用_軽油,係数_乗用_メタノール,係数_乗用_LPG),125,5,BE176),4,FALSE)))))</f>
        <v/>
      </c>
      <c r="AL176" s="461" t="str">
        <f t="shared" si="88"/>
        <v/>
      </c>
      <c r="AM176" s="460" t="str">
        <f>IF(AU176="","",IF(OR(AZ176=8,AZ176=9),0,IF(OR(AW176=3,AW176=4,AW176=5,AW176=6),IF(LEFT(BH176,1)="1",INDEX(係数_PM低減,MATCH(AY176,【参考】排出係数!$AI$801:$AI$804,1),MATCH(BI176,【参考】排出係数!$AL$798:$AO$798,1)),VLOOKUP(AU176,INDEX((係数_バス貨物_ガソリン,係数_バス貨物_CNG,係数_バス貨物_軽油,係数_バス貨物_メタノール,係数_バス貨物_LPG),MATCH(AY176,【参考】排出係数!$AI$4:$AI$671,1),1,BE176):INDEX((係数_バス貨物_ガソリン,係数_バス貨物_CNG,係数_バス貨物_軽油,係数_バス貨物_メタノール,係数_バス貨物_LPG),MATCH(AY176+1,【参考】排出係数!$AI$4:$AI$671,1)-1,5,BE176),5,FALSE)),IF(AND(BE176=3,LEFT(BF176,1)="1"),0.055,VLOOKUP(AU176,INDEX((係数_乗用_ガソリン,係数_乗用_CNG,係数_乗用_軽油,係数_乗用_メタノール,係数_乗用_LPG),1,1,BE176):INDEX((係数_乗用_ガソリン,係数_乗用_CNG,係数_乗用_軽油,係数_乗用_メタノール,係数_乗用_LPG),125,5,BE176),5,FALSE)))))</f>
        <v/>
      </c>
      <c r="AN176" s="461" t="str">
        <f t="shared" si="89"/>
        <v/>
      </c>
      <c r="AO176" s="462" t="str">
        <f t="shared" si="90"/>
        <v/>
      </c>
      <c r="AP176" s="463" t="str">
        <f t="shared" si="91"/>
        <v/>
      </c>
      <c r="AQ176" s="464"/>
      <c r="AR176" s="619"/>
      <c r="AS176" s="465" t="str">
        <f t="shared" si="70"/>
        <v/>
      </c>
      <c r="AT176" s="465" t="str">
        <f t="shared" si="71"/>
        <v/>
      </c>
      <c r="AU176" s="466" t="str">
        <f t="shared" si="72"/>
        <v/>
      </c>
      <c r="AV176" s="467" t="str">
        <f t="shared" si="73"/>
        <v/>
      </c>
      <c r="AW176" s="467" t="str">
        <f t="shared" si="74"/>
        <v/>
      </c>
      <c r="AX176" s="467" t="str">
        <f t="shared" si="75"/>
        <v/>
      </c>
      <c r="AY176" s="467" t="str">
        <f t="shared" si="76"/>
        <v/>
      </c>
      <c r="AZ176" s="467" t="str">
        <f t="shared" si="77"/>
        <v/>
      </c>
      <c r="BA176" s="468" t="str">
        <f>IF(AS176="","",IF(OR(AU176="",AU176="-"),"－",IF(OR(AZ176=8,AZ176=9),"",IF(OR(AW176=3,AW176=4,AW176=5,AW176=6),VLOOKUP(AU176,INDEX((係数_バス貨物_ガソリン,係数_バス貨物_CNG,係数_バス貨物_軽油,係数_バス貨物_メタノール,係数_バス貨物_LPG),MATCH(AY176,【参考】排出係数!$AI$4:$AI$671,1),1,BE176):INDEX((係数_バス貨物_ガソリン,係数_バス貨物_CNG,係数_バス貨物_軽油,係数_バス貨物_メタノール,係数_バス貨物_LPG),MATCH(AY176+1,【参考】排出係数!$AI$4:$AI$671,1)-1,5,BE176),2,FALSE),IF(OR(AW176=1,AW176=2),VLOOKUP(AU176,INDEX((係数_乗用_ガソリン,係数_乗用_CNG,係数_乗用_軽油,係数_乗用_メタノール,係数_乗用_LPG),1,1,BE176):INDEX((係数_乗用_ガソリン,係数_乗用_CNG,係数_乗用_軽油,係数_乗用_メタノール,係数_乗用_LPG),125,5,BE176),2,FALSE))))))</f>
        <v/>
      </c>
      <c r="BB176" s="468" t="str">
        <f>IF(T176="","",IF(OR(AU176="",AU176="-"),"－",IF(OR(AZ176=8,AZ176=9),"",IF(OR(AW176=3,AW176=4,AW176=5,AW176=6),VLOOKUP(AU176,INDEX((係数_バス貨物_ガソリン,係数_バス貨物_CNG,係数_バス貨物_軽油,係数_バス貨物_メタノール,係数_バス貨物_LPG),MATCH(AY176,【参考】排出係数!$AI$4:$AI$671,1),1,BE176):INDEX((係数_バス貨物_ガソリン,係数_バス貨物_CNG,係数_バス貨物_軽油,係数_バス貨物_メタノール,係数_バス貨物_LPG),MATCH(AY176+1,【参考】排出係数!$AI$4:$AI$671,1)-1,5,BE176),3,FALSE),IF(OR(AW176=1,AW176=2),VLOOKUP(AU176,INDEX((係数_乗用_ガソリン,係数_乗用_CNG,係数_乗用_軽油,係数_乗用_メタノール,係数_乗用_LPG),1,1,BE176):INDEX((係数_乗用_ガソリン,係数_乗用_CNG,係数_乗用_軽油,係数_乗用_メタノール,係数_乗用_LPG),125,5,BE176),3,FALSE))))))</f>
        <v/>
      </c>
      <c r="BC176" s="467" t="str">
        <f t="shared" si="78"/>
        <v/>
      </c>
      <c r="BD176" s="567" t="str">
        <f t="shared" si="79"/>
        <v/>
      </c>
      <c r="BE176" s="467" t="str">
        <f t="shared" si="80"/>
        <v/>
      </c>
      <c r="BF176" s="469" t="str">
        <f t="shared" ca="1" si="81"/>
        <v/>
      </c>
      <c r="BG176" s="469" t="str">
        <f t="shared" ca="1" si="82"/>
        <v/>
      </c>
      <c r="BH176" s="467" t="str">
        <f t="shared" si="83"/>
        <v/>
      </c>
      <c r="BI176" s="467" t="str">
        <f t="shared" ca="1" si="84"/>
        <v/>
      </c>
      <c r="BJ176" s="469" t="str">
        <f t="shared" si="85"/>
        <v/>
      </c>
      <c r="BK176" s="470" t="str">
        <f t="shared" si="65"/>
        <v/>
      </c>
      <c r="BL176" s="775" t="str">
        <f t="shared" si="86"/>
        <v/>
      </c>
      <c r="BM176" s="775" t="str">
        <f t="shared" si="87"/>
        <v/>
      </c>
    </row>
    <row r="177" spans="1:65">
      <c r="A177" s="473">
        <v>121</v>
      </c>
      <c r="B177" s="132"/>
      <c r="C177" s="332"/>
      <c r="D177" s="333"/>
      <c r="E177" s="333"/>
      <c r="F177" s="334"/>
      <c r="G177" s="337"/>
      <c r="H177" s="131"/>
      <c r="I177" s="337"/>
      <c r="J177" s="131"/>
      <c r="K177" s="458" t="str">
        <f t="shared" si="54"/>
        <v/>
      </c>
      <c r="L177" s="458">
        <f t="shared" si="66"/>
        <v>0</v>
      </c>
      <c r="M177" s="458">
        <f t="shared" si="67"/>
        <v>0</v>
      </c>
      <c r="N177" s="459" t="str">
        <f t="shared" si="55"/>
        <v/>
      </c>
      <c r="O177" s="459" t="str">
        <f t="shared" si="56"/>
        <v/>
      </c>
      <c r="P177" s="459" t="str">
        <f t="shared" si="57"/>
        <v/>
      </c>
      <c r="Q177" s="459" t="str">
        <f t="shared" si="58"/>
        <v/>
      </c>
      <c r="R177" s="459" t="str">
        <f t="shared" si="59"/>
        <v/>
      </c>
      <c r="S177" s="459" t="str">
        <f t="shared" si="60"/>
        <v/>
      </c>
      <c r="T177" s="566" t="str">
        <f t="shared" si="68"/>
        <v/>
      </c>
      <c r="U177" s="702"/>
      <c r="V177" s="132"/>
      <c r="W177" s="133"/>
      <c r="X177" s="134"/>
      <c r="Y177" s="135"/>
      <c r="Z177" s="137"/>
      <c r="AA177" s="136"/>
      <c r="AB177" s="566" t="str">
        <f t="shared" si="61"/>
        <v/>
      </c>
      <c r="AC177" s="568" t="str">
        <f t="shared" si="69"/>
        <v/>
      </c>
      <c r="AD177" s="137"/>
      <c r="AE177" s="137"/>
      <c r="AF177" s="138"/>
      <c r="AG177" s="138"/>
      <c r="AH177" s="592" t="str">
        <f t="shared" si="62"/>
        <v/>
      </c>
      <c r="AI177" s="592" t="str">
        <f t="shared" si="63"/>
        <v/>
      </c>
      <c r="AJ177" s="592" t="str">
        <f t="shared" si="64"/>
        <v/>
      </c>
      <c r="AK177" s="460" t="str">
        <f>IF(AU177="","",IF(OR(AZ177=8,AZ177=9),0,IF(OR(AW177=3,AW177=4,AW177=5,AW177=6),IF(LEFT(BF177,1)="1",INDEX(係数_NOX・PM低減,MATCH(AY177,【参考】排出係数!$AI$801:$AI$804,1),1),VLOOKUP(AU177,INDEX((係数_バス貨物_ガソリン,係数_バス貨物_CNG,係数_バス貨物_軽油,係数_バス貨物_メタノール,係数_バス貨物_LPG),MATCH(AY177,【参考】排出係数!$AI$4:$AI$671,1),1,BE177):INDEX((係数_バス貨物_ガソリン,係数_バス貨物_CNG,係数_バス貨物_軽油,係数_バス貨物_メタノール,係数_バス貨物_LPG),MATCH(AY177+1,【参考】排出係数!$AI$4:$AI$671,1)-1,5,BE177),4,FALSE)),IF(AND(BE177=3,LEFT(BF177,1)="1"),0.48,VLOOKUP(AU177,INDEX((係数_乗用_ガソリン,係数_乗用_CNG,係数_乗用_軽油,係数_乗用_メタノール,係数_乗用_LPG),1,1,BE177):INDEX((係数_乗用_ガソリン,係数_乗用_CNG,係数_乗用_軽油,係数_乗用_メタノール,係数_乗用_LPG),125,5,BE177),4,FALSE)))))</f>
        <v/>
      </c>
      <c r="AL177" s="461" t="str">
        <f t="shared" si="88"/>
        <v/>
      </c>
      <c r="AM177" s="460" t="str">
        <f>IF(AU177="","",IF(OR(AZ177=8,AZ177=9),0,IF(OR(AW177=3,AW177=4,AW177=5,AW177=6),IF(LEFT(BH177,1)="1",INDEX(係数_PM低減,MATCH(AY177,【参考】排出係数!$AI$801:$AI$804,1),MATCH(BI177,【参考】排出係数!$AL$798:$AO$798,1)),VLOOKUP(AU177,INDEX((係数_バス貨物_ガソリン,係数_バス貨物_CNG,係数_バス貨物_軽油,係数_バス貨物_メタノール,係数_バス貨物_LPG),MATCH(AY177,【参考】排出係数!$AI$4:$AI$671,1),1,BE177):INDEX((係数_バス貨物_ガソリン,係数_バス貨物_CNG,係数_バス貨物_軽油,係数_バス貨物_メタノール,係数_バス貨物_LPG),MATCH(AY177+1,【参考】排出係数!$AI$4:$AI$671,1)-1,5,BE177),5,FALSE)),IF(AND(BE177=3,LEFT(BF177,1)="1"),0.055,VLOOKUP(AU177,INDEX((係数_乗用_ガソリン,係数_乗用_CNG,係数_乗用_軽油,係数_乗用_メタノール,係数_乗用_LPG),1,1,BE177):INDEX((係数_乗用_ガソリン,係数_乗用_CNG,係数_乗用_軽油,係数_乗用_メタノール,係数_乗用_LPG),125,5,BE177),5,FALSE)))))</f>
        <v/>
      </c>
      <c r="AN177" s="461" t="str">
        <f t="shared" si="89"/>
        <v/>
      </c>
      <c r="AO177" s="462" t="str">
        <f t="shared" si="90"/>
        <v/>
      </c>
      <c r="AP177" s="463" t="str">
        <f t="shared" si="91"/>
        <v/>
      </c>
      <c r="AQ177" s="464"/>
      <c r="AR177" s="619"/>
      <c r="AS177" s="465" t="str">
        <f t="shared" si="70"/>
        <v/>
      </c>
      <c r="AT177" s="465" t="str">
        <f t="shared" si="71"/>
        <v/>
      </c>
      <c r="AU177" s="466" t="str">
        <f t="shared" si="72"/>
        <v/>
      </c>
      <c r="AV177" s="467" t="str">
        <f t="shared" si="73"/>
        <v/>
      </c>
      <c r="AW177" s="467" t="str">
        <f t="shared" si="74"/>
        <v/>
      </c>
      <c r="AX177" s="467" t="str">
        <f t="shared" si="75"/>
        <v/>
      </c>
      <c r="AY177" s="467" t="str">
        <f t="shared" si="76"/>
        <v/>
      </c>
      <c r="AZ177" s="467" t="str">
        <f t="shared" si="77"/>
        <v/>
      </c>
      <c r="BA177" s="468" t="str">
        <f>IF(AS177="","",IF(OR(AU177="",AU177="-"),"－",IF(OR(AZ177=8,AZ177=9),"",IF(OR(AW177=3,AW177=4,AW177=5,AW177=6),VLOOKUP(AU177,INDEX((係数_バス貨物_ガソリン,係数_バス貨物_CNG,係数_バス貨物_軽油,係数_バス貨物_メタノール,係数_バス貨物_LPG),MATCH(AY177,【参考】排出係数!$AI$4:$AI$671,1),1,BE177):INDEX((係数_バス貨物_ガソリン,係数_バス貨物_CNG,係数_バス貨物_軽油,係数_バス貨物_メタノール,係数_バス貨物_LPG),MATCH(AY177+1,【参考】排出係数!$AI$4:$AI$671,1)-1,5,BE177),2,FALSE),IF(OR(AW177=1,AW177=2),VLOOKUP(AU177,INDEX((係数_乗用_ガソリン,係数_乗用_CNG,係数_乗用_軽油,係数_乗用_メタノール,係数_乗用_LPG),1,1,BE177):INDEX((係数_乗用_ガソリン,係数_乗用_CNG,係数_乗用_軽油,係数_乗用_メタノール,係数_乗用_LPG),125,5,BE177),2,FALSE))))))</f>
        <v/>
      </c>
      <c r="BB177" s="468" t="str">
        <f>IF(T177="","",IF(OR(AU177="",AU177="-"),"－",IF(OR(AZ177=8,AZ177=9),"",IF(OR(AW177=3,AW177=4,AW177=5,AW177=6),VLOOKUP(AU177,INDEX((係数_バス貨物_ガソリン,係数_バス貨物_CNG,係数_バス貨物_軽油,係数_バス貨物_メタノール,係数_バス貨物_LPG),MATCH(AY177,【参考】排出係数!$AI$4:$AI$671,1),1,BE177):INDEX((係数_バス貨物_ガソリン,係数_バス貨物_CNG,係数_バス貨物_軽油,係数_バス貨物_メタノール,係数_バス貨物_LPG),MATCH(AY177+1,【参考】排出係数!$AI$4:$AI$671,1)-1,5,BE177),3,FALSE),IF(OR(AW177=1,AW177=2),VLOOKUP(AU177,INDEX((係数_乗用_ガソリン,係数_乗用_CNG,係数_乗用_軽油,係数_乗用_メタノール,係数_乗用_LPG),1,1,BE177):INDEX((係数_乗用_ガソリン,係数_乗用_CNG,係数_乗用_軽油,係数_乗用_メタノール,係数_乗用_LPG),125,5,BE177),3,FALSE))))))</f>
        <v/>
      </c>
      <c r="BC177" s="467" t="str">
        <f t="shared" si="78"/>
        <v/>
      </c>
      <c r="BD177" s="567" t="str">
        <f t="shared" si="79"/>
        <v/>
      </c>
      <c r="BE177" s="467" t="str">
        <f t="shared" si="80"/>
        <v/>
      </c>
      <c r="BF177" s="469" t="str">
        <f t="shared" ca="1" si="81"/>
        <v/>
      </c>
      <c r="BG177" s="469" t="str">
        <f t="shared" ca="1" si="82"/>
        <v/>
      </c>
      <c r="BH177" s="467" t="str">
        <f t="shared" si="83"/>
        <v/>
      </c>
      <c r="BI177" s="467" t="str">
        <f t="shared" ca="1" si="84"/>
        <v/>
      </c>
      <c r="BJ177" s="469" t="str">
        <f t="shared" si="85"/>
        <v/>
      </c>
      <c r="BK177" s="470" t="str">
        <f t="shared" si="65"/>
        <v/>
      </c>
      <c r="BL177" s="775" t="str">
        <f t="shared" si="86"/>
        <v/>
      </c>
      <c r="BM177" s="775" t="str">
        <f t="shared" si="87"/>
        <v/>
      </c>
    </row>
    <row r="178" spans="1:65">
      <c r="A178" s="473">
        <v>122</v>
      </c>
      <c r="B178" s="132"/>
      <c r="C178" s="332"/>
      <c r="D178" s="333"/>
      <c r="E178" s="333"/>
      <c r="F178" s="334"/>
      <c r="G178" s="337"/>
      <c r="H178" s="131"/>
      <c r="I178" s="337"/>
      <c r="J178" s="131"/>
      <c r="K178" s="458" t="str">
        <f t="shared" si="54"/>
        <v/>
      </c>
      <c r="L178" s="458">
        <f t="shared" si="66"/>
        <v>0</v>
      </c>
      <c r="M178" s="458">
        <f t="shared" si="67"/>
        <v>0</v>
      </c>
      <c r="N178" s="459" t="str">
        <f t="shared" si="55"/>
        <v/>
      </c>
      <c r="O178" s="459" t="str">
        <f t="shared" si="56"/>
        <v/>
      </c>
      <c r="P178" s="459" t="str">
        <f t="shared" si="57"/>
        <v/>
      </c>
      <c r="Q178" s="459" t="str">
        <f t="shared" si="58"/>
        <v/>
      </c>
      <c r="R178" s="459" t="str">
        <f t="shared" si="59"/>
        <v/>
      </c>
      <c r="S178" s="459" t="str">
        <f t="shared" si="60"/>
        <v/>
      </c>
      <c r="T178" s="566" t="str">
        <f t="shared" si="68"/>
        <v/>
      </c>
      <c r="U178" s="702"/>
      <c r="V178" s="132"/>
      <c r="W178" s="133"/>
      <c r="X178" s="134"/>
      <c r="Y178" s="135"/>
      <c r="Z178" s="137"/>
      <c r="AA178" s="136"/>
      <c r="AB178" s="566" t="str">
        <f t="shared" si="61"/>
        <v/>
      </c>
      <c r="AC178" s="568" t="str">
        <f t="shared" si="69"/>
        <v/>
      </c>
      <c r="AD178" s="137"/>
      <c r="AE178" s="137"/>
      <c r="AF178" s="138"/>
      <c r="AG178" s="138"/>
      <c r="AH178" s="592" t="str">
        <f t="shared" si="62"/>
        <v/>
      </c>
      <c r="AI178" s="592" t="str">
        <f t="shared" si="63"/>
        <v/>
      </c>
      <c r="AJ178" s="592" t="str">
        <f t="shared" si="64"/>
        <v/>
      </c>
      <c r="AK178" s="460" t="str">
        <f>IF(AU178="","",IF(OR(AZ178=8,AZ178=9),0,IF(OR(AW178=3,AW178=4,AW178=5,AW178=6),IF(LEFT(BF178,1)="1",INDEX(係数_NOX・PM低減,MATCH(AY178,【参考】排出係数!$AI$801:$AI$804,1),1),VLOOKUP(AU178,INDEX((係数_バス貨物_ガソリン,係数_バス貨物_CNG,係数_バス貨物_軽油,係数_バス貨物_メタノール,係数_バス貨物_LPG),MATCH(AY178,【参考】排出係数!$AI$4:$AI$671,1),1,BE178):INDEX((係数_バス貨物_ガソリン,係数_バス貨物_CNG,係数_バス貨物_軽油,係数_バス貨物_メタノール,係数_バス貨物_LPG),MATCH(AY178+1,【参考】排出係数!$AI$4:$AI$671,1)-1,5,BE178),4,FALSE)),IF(AND(BE178=3,LEFT(BF178,1)="1"),0.48,VLOOKUP(AU178,INDEX((係数_乗用_ガソリン,係数_乗用_CNG,係数_乗用_軽油,係数_乗用_メタノール,係数_乗用_LPG),1,1,BE178):INDEX((係数_乗用_ガソリン,係数_乗用_CNG,係数_乗用_軽油,係数_乗用_メタノール,係数_乗用_LPG),125,5,BE178),4,FALSE)))))</f>
        <v/>
      </c>
      <c r="AL178" s="461" t="str">
        <f t="shared" si="88"/>
        <v/>
      </c>
      <c r="AM178" s="460" t="str">
        <f>IF(AU178="","",IF(OR(AZ178=8,AZ178=9),0,IF(OR(AW178=3,AW178=4,AW178=5,AW178=6),IF(LEFT(BH178,1)="1",INDEX(係数_PM低減,MATCH(AY178,【参考】排出係数!$AI$801:$AI$804,1),MATCH(BI178,【参考】排出係数!$AL$798:$AO$798,1)),VLOOKUP(AU178,INDEX((係数_バス貨物_ガソリン,係数_バス貨物_CNG,係数_バス貨物_軽油,係数_バス貨物_メタノール,係数_バス貨物_LPG),MATCH(AY178,【参考】排出係数!$AI$4:$AI$671,1),1,BE178):INDEX((係数_バス貨物_ガソリン,係数_バス貨物_CNG,係数_バス貨物_軽油,係数_バス貨物_メタノール,係数_バス貨物_LPG),MATCH(AY178+1,【参考】排出係数!$AI$4:$AI$671,1)-1,5,BE178),5,FALSE)),IF(AND(BE178=3,LEFT(BF178,1)="1"),0.055,VLOOKUP(AU178,INDEX((係数_乗用_ガソリン,係数_乗用_CNG,係数_乗用_軽油,係数_乗用_メタノール,係数_乗用_LPG),1,1,BE178):INDEX((係数_乗用_ガソリン,係数_乗用_CNG,係数_乗用_軽油,係数_乗用_メタノール,係数_乗用_LPG),125,5,BE178),5,FALSE)))))</f>
        <v/>
      </c>
      <c r="AN178" s="461" t="str">
        <f t="shared" si="89"/>
        <v/>
      </c>
      <c r="AO178" s="462" t="str">
        <f t="shared" si="90"/>
        <v/>
      </c>
      <c r="AP178" s="463" t="str">
        <f t="shared" si="91"/>
        <v/>
      </c>
      <c r="AQ178" s="464"/>
      <c r="AR178" s="619"/>
      <c r="AS178" s="465" t="str">
        <f t="shared" si="70"/>
        <v/>
      </c>
      <c r="AT178" s="465" t="str">
        <f t="shared" si="71"/>
        <v/>
      </c>
      <c r="AU178" s="466" t="str">
        <f t="shared" si="72"/>
        <v/>
      </c>
      <c r="AV178" s="467" t="str">
        <f t="shared" si="73"/>
        <v/>
      </c>
      <c r="AW178" s="467" t="str">
        <f t="shared" si="74"/>
        <v/>
      </c>
      <c r="AX178" s="467" t="str">
        <f t="shared" si="75"/>
        <v/>
      </c>
      <c r="AY178" s="467" t="str">
        <f t="shared" si="76"/>
        <v/>
      </c>
      <c r="AZ178" s="467" t="str">
        <f t="shared" si="77"/>
        <v/>
      </c>
      <c r="BA178" s="468" t="str">
        <f>IF(AS178="","",IF(OR(AU178="",AU178="-"),"－",IF(OR(AZ178=8,AZ178=9),"",IF(OR(AW178=3,AW178=4,AW178=5,AW178=6),VLOOKUP(AU178,INDEX((係数_バス貨物_ガソリン,係数_バス貨物_CNG,係数_バス貨物_軽油,係数_バス貨物_メタノール,係数_バス貨物_LPG),MATCH(AY178,【参考】排出係数!$AI$4:$AI$671,1),1,BE178):INDEX((係数_バス貨物_ガソリン,係数_バス貨物_CNG,係数_バス貨物_軽油,係数_バス貨物_メタノール,係数_バス貨物_LPG),MATCH(AY178+1,【参考】排出係数!$AI$4:$AI$671,1)-1,5,BE178),2,FALSE),IF(OR(AW178=1,AW178=2),VLOOKUP(AU178,INDEX((係数_乗用_ガソリン,係数_乗用_CNG,係数_乗用_軽油,係数_乗用_メタノール,係数_乗用_LPG),1,1,BE178):INDEX((係数_乗用_ガソリン,係数_乗用_CNG,係数_乗用_軽油,係数_乗用_メタノール,係数_乗用_LPG),125,5,BE178),2,FALSE))))))</f>
        <v/>
      </c>
      <c r="BB178" s="468" t="str">
        <f>IF(T178="","",IF(OR(AU178="",AU178="-"),"－",IF(OR(AZ178=8,AZ178=9),"",IF(OR(AW178=3,AW178=4,AW178=5,AW178=6),VLOOKUP(AU178,INDEX((係数_バス貨物_ガソリン,係数_バス貨物_CNG,係数_バス貨物_軽油,係数_バス貨物_メタノール,係数_バス貨物_LPG),MATCH(AY178,【参考】排出係数!$AI$4:$AI$671,1),1,BE178):INDEX((係数_バス貨物_ガソリン,係数_バス貨物_CNG,係数_バス貨物_軽油,係数_バス貨物_メタノール,係数_バス貨物_LPG),MATCH(AY178+1,【参考】排出係数!$AI$4:$AI$671,1)-1,5,BE178),3,FALSE),IF(OR(AW178=1,AW178=2),VLOOKUP(AU178,INDEX((係数_乗用_ガソリン,係数_乗用_CNG,係数_乗用_軽油,係数_乗用_メタノール,係数_乗用_LPG),1,1,BE178):INDEX((係数_乗用_ガソリン,係数_乗用_CNG,係数_乗用_軽油,係数_乗用_メタノール,係数_乗用_LPG),125,5,BE178),3,FALSE))))))</f>
        <v/>
      </c>
      <c r="BC178" s="467" t="str">
        <f t="shared" si="78"/>
        <v/>
      </c>
      <c r="BD178" s="567" t="str">
        <f t="shared" si="79"/>
        <v/>
      </c>
      <c r="BE178" s="467" t="str">
        <f t="shared" si="80"/>
        <v/>
      </c>
      <c r="BF178" s="469" t="str">
        <f t="shared" ca="1" si="81"/>
        <v/>
      </c>
      <c r="BG178" s="469" t="str">
        <f t="shared" ca="1" si="82"/>
        <v/>
      </c>
      <c r="BH178" s="467" t="str">
        <f t="shared" si="83"/>
        <v/>
      </c>
      <c r="BI178" s="467" t="str">
        <f t="shared" ca="1" si="84"/>
        <v/>
      </c>
      <c r="BJ178" s="469" t="str">
        <f t="shared" si="85"/>
        <v/>
      </c>
      <c r="BK178" s="470" t="str">
        <f t="shared" si="65"/>
        <v/>
      </c>
      <c r="BL178" s="775" t="str">
        <f t="shared" si="86"/>
        <v/>
      </c>
      <c r="BM178" s="775" t="str">
        <f t="shared" si="87"/>
        <v/>
      </c>
    </row>
    <row r="179" spans="1:65">
      <c r="A179" s="473">
        <v>123</v>
      </c>
      <c r="B179" s="132"/>
      <c r="C179" s="332"/>
      <c r="D179" s="333"/>
      <c r="E179" s="333"/>
      <c r="F179" s="334"/>
      <c r="G179" s="337"/>
      <c r="H179" s="131"/>
      <c r="I179" s="337"/>
      <c r="J179" s="131"/>
      <c r="K179" s="458" t="str">
        <f t="shared" si="54"/>
        <v/>
      </c>
      <c r="L179" s="458">
        <f t="shared" si="66"/>
        <v>0</v>
      </c>
      <c r="M179" s="458">
        <f t="shared" si="67"/>
        <v>0</v>
      </c>
      <c r="N179" s="459" t="str">
        <f t="shared" si="55"/>
        <v/>
      </c>
      <c r="O179" s="459" t="str">
        <f t="shared" si="56"/>
        <v/>
      </c>
      <c r="P179" s="459" t="str">
        <f t="shared" si="57"/>
        <v/>
      </c>
      <c r="Q179" s="459" t="str">
        <f t="shared" si="58"/>
        <v/>
      </c>
      <c r="R179" s="459" t="str">
        <f t="shared" si="59"/>
        <v/>
      </c>
      <c r="S179" s="459" t="str">
        <f t="shared" si="60"/>
        <v/>
      </c>
      <c r="T179" s="566" t="str">
        <f t="shared" si="68"/>
        <v/>
      </c>
      <c r="U179" s="702"/>
      <c r="V179" s="132"/>
      <c r="W179" s="133"/>
      <c r="X179" s="134"/>
      <c r="Y179" s="135"/>
      <c r="Z179" s="137"/>
      <c r="AA179" s="136"/>
      <c r="AB179" s="566" t="str">
        <f t="shared" si="61"/>
        <v/>
      </c>
      <c r="AC179" s="568" t="str">
        <f t="shared" si="69"/>
        <v/>
      </c>
      <c r="AD179" s="137"/>
      <c r="AE179" s="137"/>
      <c r="AF179" s="138"/>
      <c r="AG179" s="138"/>
      <c r="AH179" s="592" t="str">
        <f t="shared" si="62"/>
        <v/>
      </c>
      <c r="AI179" s="592" t="str">
        <f t="shared" si="63"/>
        <v/>
      </c>
      <c r="AJ179" s="592" t="str">
        <f t="shared" si="64"/>
        <v/>
      </c>
      <c r="AK179" s="460" t="str">
        <f>IF(AU179="","",IF(OR(AZ179=8,AZ179=9),0,IF(OR(AW179=3,AW179=4,AW179=5,AW179=6),IF(LEFT(BF179,1)="1",INDEX(係数_NOX・PM低減,MATCH(AY179,【参考】排出係数!$AI$801:$AI$804,1),1),VLOOKUP(AU179,INDEX((係数_バス貨物_ガソリン,係数_バス貨物_CNG,係数_バス貨物_軽油,係数_バス貨物_メタノール,係数_バス貨物_LPG),MATCH(AY179,【参考】排出係数!$AI$4:$AI$671,1),1,BE179):INDEX((係数_バス貨物_ガソリン,係数_バス貨物_CNG,係数_バス貨物_軽油,係数_バス貨物_メタノール,係数_バス貨物_LPG),MATCH(AY179+1,【参考】排出係数!$AI$4:$AI$671,1)-1,5,BE179),4,FALSE)),IF(AND(BE179=3,LEFT(BF179,1)="1"),0.48,VLOOKUP(AU179,INDEX((係数_乗用_ガソリン,係数_乗用_CNG,係数_乗用_軽油,係数_乗用_メタノール,係数_乗用_LPG),1,1,BE179):INDEX((係数_乗用_ガソリン,係数_乗用_CNG,係数_乗用_軽油,係数_乗用_メタノール,係数_乗用_LPG),125,5,BE179),4,FALSE)))))</f>
        <v/>
      </c>
      <c r="AL179" s="461" t="str">
        <f t="shared" si="88"/>
        <v/>
      </c>
      <c r="AM179" s="460" t="str">
        <f>IF(AU179="","",IF(OR(AZ179=8,AZ179=9),0,IF(OR(AW179=3,AW179=4,AW179=5,AW179=6),IF(LEFT(BH179,1)="1",INDEX(係数_PM低減,MATCH(AY179,【参考】排出係数!$AI$801:$AI$804,1),MATCH(BI179,【参考】排出係数!$AL$798:$AO$798,1)),VLOOKUP(AU179,INDEX((係数_バス貨物_ガソリン,係数_バス貨物_CNG,係数_バス貨物_軽油,係数_バス貨物_メタノール,係数_バス貨物_LPG),MATCH(AY179,【参考】排出係数!$AI$4:$AI$671,1),1,BE179):INDEX((係数_バス貨物_ガソリン,係数_バス貨物_CNG,係数_バス貨物_軽油,係数_バス貨物_メタノール,係数_バス貨物_LPG),MATCH(AY179+1,【参考】排出係数!$AI$4:$AI$671,1)-1,5,BE179),5,FALSE)),IF(AND(BE179=3,LEFT(BF179,1)="1"),0.055,VLOOKUP(AU179,INDEX((係数_乗用_ガソリン,係数_乗用_CNG,係数_乗用_軽油,係数_乗用_メタノール,係数_乗用_LPG),1,1,BE179):INDEX((係数_乗用_ガソリン,係数_乗用_CNG,係数_乗用_軽油,係数_乗用_メタノール,係数_乗用_LPG),125,5,BE179),5,FALSE)))))</f>
        <v/>
      </c>
      <c r="AN179" s="461" t="str">
        <f t="shared" si="89"/>
        <v/>
      </c>
      <c r="AO179" s="462" t="str">
        <f t="shared" si="90"/>
        <v/>
      </c>
      <c r="AP179" s="463" t="str">
        <f t="shared" si="91"/>
        <v/>
      </c>
      <c r="AQ179" s="464"/>
      <c r="AR179" s="619"/>
      <c r="AS179" s="465" t="str">
        <f t="shared" si="70"/>
        <v/>
      </c>
      <c r="AT179" s="465" t="str">
        <f t="shared" si="71"/>
        <v/>
      </c>
      <c r="AU179" s="466" t="str">
        <f t="shared" si="72"/>
        <v/>
      </c>
      <c r="AV179" s="467" t="str">
        <f t="shared" si="73"/>
        <v/>
      </c>
      <c r="AW179" s="467" t="str">
        <f t="shared" si="74"/>
        <v/>
      </c>
      <c r="AX179" s="467" t="str">
        <f t="shared" si="75"/>
        <v/>
      </c>
      <c r="AY179" s="467" t="str">
        <f t="shared" si="76"/>
        <v/>
      </c>
      <c r="AZ179" s="467" t="str">
        <f t="shared" si="77"/>
        <v/>
      </c>
      <c r="BA179" s="468" t="str">
        <f>IF(AS179="","",IF(OR(AU179="",AU179="-"),"－",IF(OR(AZ179=8,AZ179=9),"",IF(OR(AW179=3,AW179=4,AW179=5,AW179=6),VLOOKUP(AU179,INDEX((係数_バス貨物_ガソリン,係数_バス貨物_CNG,係数_バス貨物_軽油,係数_バス貨物_メタノール,係数_バス貨物_LPG),MATCH(AY179,【参考】排出係数!$AI$4:$AI$671,1),1,BE179):INDEX((係数_バス貨物_ガソリン,係数_バス貨物_CNG,係数_バス貨物_軽油,係数_バス貨物_メタノール,係数_バス貨物_LPG),MATCH(AY179+1,【参考】排出係数!$AI$4:$AI$671,1)-1,5,BE179),2,FALSE),IF(OR(AW179=1,AW179=2),VLOOKUP(AU179,INDEX((係数_乗用_ガソリン,係数_乗用_CNG,係数_乗用_軽油,係数_乗用_メタノール,係数_乗用_LPG),1,1,BE179):INDEX((係数_乗用_ガソリン,係数_乗用_CNG,係数_乗用_軽油,係数_乗用_メタノール,係数_乗用_LPG),125,5,BE179),2,FALSE))))))</f>
        <v/>
      </c>
      <c r="BB179" s="468" t="str">
        <f>IF(T179="","",IF(OR(AU179="",AU179="-"),"－",IF(OR(AZ179=8,AZ179=9),"",IF(OR(AW179=3,AW179=4,AW179=5,AW179=6),VLOOKUP(AU179,INDEX((係数_バス貨物_ガソリン,係数_バス貨物_CNG,係数_バス貨物_軽油,係数_バス貨物_メタノール,係数_バス貨物_LPG),MATCH(AY179,【参考】排出係数!$AI$4:$AI$671,1),1,BE179):INDEX((係数_バス貨物_ガソリン,係数_バス貨物_CNG,係数_バス貨物_軽油,係数_バス貨物_メタノール,係数_バス貨物_LPG),MATCH(AY179+1,【参考】排出係数!$AI$4:$AI$671,1)-1,5,BE179),3,FALSE),IF(OR(AW179=1,AW179=2),VLOOKUP(AU179,INDEX((係数_乗用_ガソリン,係数_乗用_CNG,係数_乗用_軽油,係数_乗用_メタノール,係数_乗用_LPG),1,1,BE179):INDEX((係数_乗用_ガソリン,係数_乗用_CNG,係数_乗用_軽油,係数_乗用_メタノール,係数_乗用_LPG),125,5,BE179),3,FALSE))))))</f>
        <v/>
      </c>
      <c r="BC179" s="467" t="str">
        <f t="shared" si="78"/>
        <v/>
      </c>
      <c r="BD179" s="567" t="str">
        <f t="shared" si="79"/>
        <v/>
      </c>
      <c r="BE179" s="467" t="str">
        <f t="shared" si="80"/>
        <v/>
      </c>
      <c r="BF179" s="469" t="str">
        <f t="shared" ca="1" si="81"/>
        <v/>
      </c>
      <c r="BG179" s="469" t="str">
        <f t="shared" ca="1" si="82"/>
        <v/>
      </c>
      <c r="BH179" s="467" t="str">
        <f t="shared" si="83"/>
        <v/>
      </c>
      <c r="BI179" s="467" t="str">
        <f t="shared" ca="1" si="84"/>
        <v/>
      </c>
      <c r="BJ179" s="469" t="str">
        <f t="shared" si="85"/>
        <v/>
      </c>
      <c r="BK179" s="470" t="str">
        <f t="shared" si="65"/>
        <v/>
      </c>
      <c r="BL179" s="775" t="str">
        <f t="shared" si="86"/>
        <v/>
      </c>
      <c r="BM179" s="775" t="str">
        <f t="shared" si="87"/>
        <v/>
      </c>
    </row>
    <row r="180" spans="1:65">
      <c r="A180" s="473">
        <v>124</v>
      </c>
      <c r="B180" s="132"/>
      <c r="C180" s="332"/>
      <c r="D180" s="333"/>
      <c r="E180" s="333"/>
      <c r="F180" s="334"/>
      <c r="G180" s="337"/>
      <c r="H180" s="131"/>
      <c r="I180" s="337"/>
      <c r="J180" s="131"/>
      <c r="K180" s="458" t="str">
        <f t="shared" si="54"/>
        <v/>
      </c>
      <c r="L180" s="458">
        <f t="shared" si="66"/>
        <v>0</v>
      </c>
      <c r="M180" s="458">
        <f t="shared" si="67"/>
        <v>0</v>
      </c>
      <c r="N180" s="459" t="str">
        <f t="shared" si="55"/>
        <v/>
      </c>
      <c r="O180" s="459" t="str">
        <f t="shared" si="56"/>
        <v/>
      </c>
      <c r="P180" s="459" t="str">
        <f t="shared" si="57"/>
        <v/>
      </c>
      <c r="Q180" s="459" t="str">
        <f t="shared" si="58"/>
        <v/>
      </c>
      <c r="R180" s="459" t="str">
        <f t="shared" si="59"/>
        <v/>
      </c>
      <c r="S180" s="459" t="str">
        <f t="shared" si="60"/>
        <v/>
      </c>
      <c r="T180" s="566" t="str">
        <f t="shared" si="68"/>
        <v/>
      </c>
      <c r="U180" s="702"/>
      <c r="V180" s="132"/>
      <c r="W180" s="133"/>
      <c r="X180" s="134"/>
      <c r="Y180" s="135"/>
      <c r="Z180" s="137"/>
      <c r="AA180" s="136"/>
      <c r="AB180" s="566" t="str">
        <f t="shared" si="61"/>
        <v/>
      </c>
      <c r="AC180" s="568" t="str">
        <f t="shared" si="69"/>
        <v/>
      </c>
      <c r="AD180" s="137"/>
      <c r="AE180" s="137"/>
      <c r="AF180" s="138"/>
      <c r="AG180" s="138"/>
      <c r="AH180" s="592" t="str">
        <f t="shared" si="62"/>
        <v/>
      </c>
      <c r="AI180" s="592" t="str">
        <f t="shared" si="63"/>
        <v/>
      </c>
      <c r="AJ180" s="592" t="str">
        <f t="shared" si="64"/>
        <v/>
      </c>
      <c r="AK180" s="460" t="str">
        <f>IF(AU180="","",IF(OR(AZ180=8,AZ180=9),0,IF(OR(AW180=3,AW180=4,AW180=5,AW180=6),IF(LEFT(BF180,1)="1",INDEX(係数_NOX・PM低減,MATCH(AY180,【参考】排出係数!$AI$801:$AI$804,1),1),VLOOKUP(AU180,INDEX((係数_バス貨物_ガソリン,係数_バス貨物_CNG,係数_バス貨物_軽油,係数_バス貨物_メタノール,係数_バス貨物_LPG),MATCH(AY180,【参考】排出係数!$AI$4:$AI$671,1),1,BE180):INDEX((係数_バス貨物_ガソリン,係数_バス貨物_CNG,係数_バス貨物_軽油,係数_バス貨物_メタノール,係数_バス貨物_LPG),MATCH(AY180+1,【参考】排出係数!$AI$4:$AI$671,1)-1,5,BE180),4,FALSE)),IF(AND(BE180=3,LEFT(BF180,1)="1"),0.48,VLOOKUP(AU180,INDEX((係数_乗用_ガソリン,係数_乗用_CNG,係数_乗用_軽油,係数_乗用_メタノール,係数_乗用_LPG),1,1,BE180):INDEX((係数_乗用_ガソリン,係数_乗用_CNG,係数_乗用_軽油,係数_乗用_メタノール,係数_乗用_LPG),125,5,BE180),4,FALSE)))))</f>
        <v/>
      </c>
      <c r="AL180" s="461" t="str">
        <f t="shared" si="88"/>
        <v/>
      </c>
      <c r="AM180" s="460" t="str">
        <f>IF(AU180="","",IF(OR(AZ180=8,AZ180=9),0,IF(OR(AW180=3,AW180=4,AW180=5,AW180=6),IF(LEFT(BH180,1)="1",INDEX(係数_PM低減,MATCH(AY180,【参考】排出係数!$AI$801:$AI$804,1),MATCH(BI180,【参考】排出係数!$AL$798:$AO$798,1)),VLOOKUP(AU180,INDEX((係数_バス貨物_ガソリン,係数_バス貨物_CNG,係数_バス貨物_軽油,係数_バス貨物_メタノール,係数_バス貨物_LPG),MATCH(AY180,【参考】排出係数!$AI$4:$AI$671,1),1,BE180):INDEX((係数_バス貨物_ガソリン,係数_バス貨物_CNG,係数_バス貨物_軽油,係数_バス貨物_メタノール,係数_バス貨物_LPG),MATCH(AY180+1,【参考】排出係数!$AI$4:$AI$671,1)-1,5,BE180),5,FALSE)),IF(AND(BE180=3,LEFT(BF180,1)="1"),0.055,VLOOKUP(AU180,INDEX((係数_乗用_ガソリン,係数_乗用_CNG,係数_乗用_軽油,係数_乗用_メタノール,係数_乗用_LPG),1,1,BE180):INDEX((係数_乗用_ガソリン,係数_乗用_CNG,係数_乗用_軽油,係数_乗用_メタノール,係数_乗用_LPG),125,5,BE180),5,FALSE)))))</f>
        <v/>
      </c>
      <c r="AN180" s="461" t="str">
        <f t="shared" si="89"/>
        <v/>
      </c>
      <c r="AO180" s="462" t="str">
        <f t="shared" si="90"/>
        <v/>
      </c>
      <c r="AP180" s="463" t="str">
        <f t="shared" si="91"/>
        <v/>
      </c>
      <c r="AQ180" s="464"/>
      <c r="AR180" s="619"/>
      <c r="AS180" s="465" t="str">
        <f t="shared" si="70"/>
        <v/>
      </c>
      <c r="AT180" s="465" t="str">
        <f t="shared" si="71"/>
        <v/>
      </c>
      <c r="AU180" s="466" t="str">
        <f t="shared" si="72"/>
        <v/>
      </c>
      <c r="AV180" s="467" t="str">
        <f t="shared" si="73"/>
        <v/>
      </c>
      <c r="AW180" s="467" t="str">
        <f t="shared" si="74"/>
        <v/>
      </c>
      <c r="AX180" s="467" t="str">
        <f t="shared" si="75"/>
        <v/>
      </c>
      <c r="AY180" s="467" t="str">
        <f t="shared" si="76"/>
        <v/>
      </c>
      <c r="AZ180" s="467" t="str">
        <f t="shared" si="77"/>
        <v/>
      </c>
      <c r="BA180" s="468" t="str">
        <f>IF(AS180="","",IF(OR(AU180="",AU180="-"),"－",IF(OR(AZ180=8,AZ180=9),"",IF(OR(AW180=3,AW180=4,AW180=5,AW180=6),VLOOKUP(AU180,INDEX((係数_バス貨物_ガソリン,係数_バス貨物_CNG,係数_バス貨物_軽油,係数_バス貨物_メタノール,係数_バス貨物_LPG),MATCH(AY180,【参考】排出係数!$AI$4:$AI$671,1),1,BE180):INDEX((係数_バス貨物_ガソリン,係数_バス貨物_CNG,係数_バス貨物_軽油,係数_バス貨物_メタノール,係数_バス貨物_LPG),MATCH(AY180+1,【参考】排出係数!$AI$4:$AI$671,1)-1,5,BE180),2,FALSE),IF(OR(AW180=1,AW180=2),VLOOKUP(AU180,INDEX((係数_乗用_ガソリン,係数_乗用_CNG,係数_乗用_軽油,係数_乗用_メタノール,係数_乗用_LPG),1,1,BE180):INDEX((係数_乗用_ガソリン,係数_乗用_CNG,係数_乗用_軽油,係数_乗用_メタノール,係数_乗用_LPG),125,5,BE180),2,FALSE))))))</f>
        <v/>
      </c>
      <c r="BB180" s="468" t="str">
        <f>IF(T180="","",IF(OR(AU180="",AU180="-"),"－",IF(OR(AZ180=8,AZ180=9),"",IF(OR(AW180=3,AW180=4,AW180=5,AW180=6),VLOOKUP(AU180,INDEX((係数_バス貨物_ガソリン,係数_バス貨物_CNG,係数_バス貨物_軽油,係数_バス貨物_メタノール,係数_バス貨物_LPG),MATCH(AY180,【参考】排出係数!$AI$4:$AI$671,1),1,BE180):INDEX((係数_バス貨物_ガソリン,係数_バス貨物_CNG,係数_バス貨物_軽油,係数_バス貨物_メタノール,係数_バス貨物_LPG),MATCH(AY180+1,【参考】排出係数!$AI$4:$AI$671,1)-1,5,BE180),3,FALSE),IF(OR(AW180=1,AW180=2),VLOOKUP(AU180,INDEX((係数_乗用_ガソリン,係数_乗用_CNG,係数_乗用_軽油,係数_乗用_メタノール,係数_乗用_LPG),1,1,BE180):INDEX((係数_乗用_ガソリン,係数_乗用_CNG,係数_乗用_軽油,係数_乗用_メタノール,係数_乗用_LPG),125,5,BE180),3,FALSE))))))</f>
        <v/>
      </c>
      <c r="BC180" s="467" t="str">
        <f t="shared" si="78"/>
        <v/>
      </c>
      <c r="BD180" s="567" t="str">
        <f t="shared" si="79"/>
        <v/>
      </c>
      <c r="BE180" s="467" t="str">
        <f t="shared" si="80"/>
        <v/>
      </c>
      <c r="BF180" s="469" t="str">
        <f t="shared" ca="1" si="81"/>
        <v/>
      </c>
      <c r="BG180" s="469" t="str">
        <f t="shared" ca="1" si="82"/>
        <v/>
      </c>
      <c r="BH180" s="467" t="str">
        <f t="shared" si="83"/>
        <v/>
      </c>
      <c r="BI180" s="467" t="str">
        <f t="shared" ca="1" si="84"/>
        <v/>
      </c>
      <c r="BJ180" s="469" t="str">
        <f t="shared" si="85"/>
        <v/>
      </c>
      <c r="BK180" s="470" t="str">
        <f t="shared" si="65"/>
        <v/>
      </c>
      <c r="BL180" s="775" t="str">
        <f t="shared" si="86"/>
        <v/>
      </c>
      <c r="BM180" s="775" t="str">
        <f t="shared" si="87"/>
        <v/>
      </c>
    </row>
    <row r="181" spans="1:65">
      <c r="A181" s="473">
        <v>125</v>
      </c>
      <c r="B181" s="132"/>
      <c r="C181" s="332"/>
      <c r="D181" s="333"/>
      <c r="E181" s="333"/>
      <c r="F181" s="334"/>
      <c r="G181" s="337"/>
      <c r="H181" s="131"/>
      <c r="I181" s="337"/>
      <c r="J181" s="131"/>
      <c r="K181" s="458" t="str">
        <f t="shared" si="54"/>
        <v/>
      </c>
      <c r="L181" s="458">
        <f t="shared" si="66"/>
        <v>0</v>
      </c>
      <c r="M181" s="458">
        <f t="shared" si="67"/>
        <v>0</v>
      </c>
      <c r="N181" s="459" t="str">
        <f t="shared" si="55"/>
        <v/>
      </c>
      <c r="O181" s="459" t="str">
        <f t="shared" si="56"/>
        <v/>
      </c>
      <c r="P181" s="459" t="str">
        <f t="shared" si="57"/>
        <v/>
      </c>
      <c r="Q181" s="459" t="str">
        <f t="shared" si="58"/>
        <v/>
      </c>
      <c r="R181" s="459" t="str">
        <f t="shared" si="59"/>
        <v/>
      </c>
      <c r="S181" s="459" t="str">
        <f t="shared" si="60"/>
        <v/>
      </c>
      <c r="T181" s="566" t="str">
        <f t="shared" si="68"/>
        <v/>
      </c>
      <c r="U181" s="702"/>
      <c r="V181" s="132"/>
      <c r="W181" s="133"/>
      <c r="X181" s="134"/>
      <c r="Y181" s="135"/>
      <c r="Z181" s="137"/>
      <c r="AA181" s="136"/>
      <c r="AB181" s="566" t="str">
        <f t="shared" si="61"/>
        <v/>
      </c>
      <c r="AC181" s="568" t="str">
        <f t="shared" si="69"/>
        <v/>
      </c>
      <c r="AD181" s="137"/>
      <c r="AE181" s="137"/>
      <c r="AF181" s="138"/>
      <c r="AG181" s="138"/>
      <c r="AH181" s="592" t="str">
        <f t="shared" si="62"/>
        <v/>
      </c>
      <c r="AI181" s="592" t="str">
        <f t="shared" si="63"/>
        <v/>
      </c>
      <c r="AJ181" s="592" t="str">
        <f t="shared" si="64"/>
        <v/>
      </c>
      <c r="AK181" s="460" t="str">
        <f>IF(AU181="","",IF(OR(AZ181=8,AZ181=9),0,IF(OR(AW181=3,AW181=4,AW181=5,AW181=6),IF(LEFT(BF181,1)="1",INDEX(係数_NOX・PM低減,MATCH(AY181,【参考】排出係数!$AI$801:$AI$804,1),1),VLOOKUP(AU181,INDEX((係数_バス貨物_ガソリン,係数_バス貨物_CNG,係数_バス貨物_軽油,係数_バス貨物_メタノール,係数_バス貨物_LPG),MATCH(AY181,【参考】排出係数!$AI$4:$AI$671,1),1,BE181):INDEX((係数_バス貨物_ガソリン,係数_バス貨物_CNG,係数_バス貨物_軽油,係数_バス貨物_メタノール,係数_バス貨物_LPG),MATCH(AY181+1,【参考】排出係数!$AI$4:$AI$671,1)-1,5,BE181),4,FALSE)),IF(AND(BE181=3,LEFT(BF181,1)="1"),0.48,VLOOKUP(AU181,INDEX((係数_乗用_ガソリン,係数_乗用_CNG,係数_乗用_軽油,係数_乗用_メタノール,係数_乗用_LPG),1,1,BE181):INDEX((係数_乗用_ガソリン,係数_乗用_CNG,係数_乗用_軽油,係数_乗用_メタノール,係数_乗用_LPG),125,5,BE181),4,FALSE)))))</f>
        <v/>
      </c>
      <c r="AL181" s="461" t="str">
        <f t="shared" si="88"/>
        <v/>
      </c>
      <c r="AM181" s="460" t="str">
        <f>IF(AU181="","",IF(OR(AZ181=8,AZ181=9),0,IF(OR(AW181=3,AW181=4,AW181=5,AW181=6),IF(LEFT(BH181,1)="1",INDEX(係数_PM低減,MATCH(AY181,【参考】排出係数!$AI$801:$AI$804,1),MATCH(BI181,【参考】排出係数!$AL$798:$AO$798,1)),VLOOKUP(AU181,INDEX((係数_バス貨物_ガソリン,係数_バス貨物_CNG,係数_バス貨物_軽油,係数_バス貨物_メタノール,係数_バス貨物_LPG),MATCH(AY181,【参考】排出係数!$AI$4:$AI$671,1),1,BE181):INDEX((係数_バス貨物_ガソリン,係数_バス貨物_CNG,係数_バス貨物_軽油,係数_バス貨物_メタノール,係数_バス貨物_LPG),MATCH(AY181+1,【参考】排出係数!$AI$4:$AI$671,1)-1,5,BE181),5,FALSE)),IF(AND(BE181=3,LEFT(BF181,1)="1"),0.055,VLOOKUP(AU181,INDEX((係数_乗用_ガソリン,係数_乗用_CNG,係数_乗用_軽油,係数_乗用_メタノール,係数_乗用_LPG),1,1,BE181):INDEX((係数_乗用_ガソリン,係数_乗用_CNG,係数_乗用_軽油,係数_乗用_メタノール,係数_乗用_LPG),125,5,BE181),5,FALSE)))))</f>
        <v/>
      </c>
      <c r="AN181" s="461" t="str">
        <f t="shared" si="89"/>
        <v/>
      </c>
      <c r="AO181" s="462" t="str">
        <f t="shared" si="90"/>
        <v/>
      </c>
      <c r="AP181" s="463" t="str">
        <f t="shared" si="91"/>
        <v/>
      </c>
      <c r="AQ181" s="464"/>
      <c r="AR181" s="619"/>
      <c r="AS181" s="465" t="str">
        <f t="shared" si="70"/>
        <v/>
      </c>
      <c r="AT181" s="465" t="str">
        <f t="shared" si="71"/>
        <v/>
      </c>
      <c r="AU181" s="466" t="str">
        <f t="shared" si="72"/>
        <v/>
      </c>
      <c r="AV181" s="467" t="str">
        <f t="shared" si="73"/>
        <v/>
      </c>
      <c r="AW181" s="467" t="str">
        <f t="shared" si="74"/>
        <v/>
      </c>
      <c r="AX181" s="467" t="str">
        <f t="shared" si="75"/>
        <v/>
      </c>
      <c r="AY181" s="467" t="str">
        <f t="shared" si="76"/>
        <v/>
      </c>
      <c r="AZ181" s="467" t="str">
        <f t="shared" si="77"/>
        <v/>
      </c>
      <c r="BA181" s="468" t="str">
        <f>IF(AS181="","",IF(OR(AU181="",AU181="-"),"－",IF(OR(AZ181=8,AZ181=9),"",IF(OR(AW181=3,AW181=4,AW181=5,AW181=6),VLOOKUP(AU181,INDEX((係数_バス貨物_ガソリン,係数_バス貨物_CNG,係数_バス貨物_軽油,係数_バス貨物_メタノール,係数_バス貨物_LPG),MATCH(AY181,【参考】排出係数!$AI$4:$AI$671,1),1,BE181):INDEX((係数_バス貨物_ガソリン,係数_バス貨物_CNG,係数_バス貨物_軽油,係数_バス貨物_メタノール,係数_バス貨物_LPG),MATCH(AY181+1,【参考】排出係数!$AI$4:$AI$671,1)-1,5,BE181),2,FALSE),IF(OR(AW181=1,AW181=2),VLOOKUP(AU181,INDEX((係数_乗用_ガソリン,係数_乗用_CNG,係数_乗用_軽油,係数_乗用_メタノール,係数_乗用_LPG),1,1,BE181):INDEX((係数_乗用_ガソリン,係数_乗用_CNG,係数_乗用_軽油,係数_乗用_メタノール,係数_乗用_LPG),125,5,BE181),2,FALSE))))))</f>
        <v/>
      </c>
      <c r="BB181" s="468" t="str">
        <f>IF(T181="","",IF(OR(AU181="",AU181="-"),"－",IF(OR(AZ181=8,AZ181=9),"",IF(OR(AW181=3,AW181=4,AW181=5,AW181=6),VLOOKUP(AU181,INDEX((係数_バス貨物_ガソリン,係数_バス貨物_CNG,係数_バス貨物_軽油,係数_バス貨物_メタノール,係数_バス貨物_LPG),MATCH(AY181,【参考】排出係数!$AI$4:$AI$671,1),1,BE181):INDEX((係数_バス貨物_ガソリン,係数_バス貨物_CNG,係数_バス貨物_軽油,係数_バス貨物_メタノール,係数_バス貨物_LPG),MATCH(AY181+1,【参考】排出係数!$AI$4:$AI$671,1)-1,5,BE181),3,FALSE),IF(OR(AW181=1,AW181=2),VLOOKUP(AU181,INDEX((係数_乗用_ガソリン,係数_乗用_CNG,係数_乗用_軽油,係数_乗用_メタノール,係数_乗用_LPG),1,1,BE181):INDEX((係数_乗用_ガソリン,係数_乗用_CNG,係数_乗用_軽油,係数_乗用_メタノール,係数_乗用_LPG),125,5,BE181),3,FALSE))))))</f>
        <v/>
      </c>
      <c r="BC181" s="467" t="str">
        <f t="shared" si="78"/>
        <v/>
      </c>
      <c r="BD181" s="567" t="str">
        <f t="shared" si="79"/>
        <v/>
      </c>
      <c r="BE181" s="467" t="str">
        <f t="shared" si="80"/>
        <v/>
      </c>
      <c r="BF181" s="469" t="str">
        <f t="shared" ca="1" si="81"/>
        <v/>
      </c>
      <c r="BG181" s="469" t="str">
        <f t="shared" ca="1" si="82"/>
        <v/>
      </c>
      <c r="BH181" s="467" t="str">
        <f t="shared" si="83"/>
        <v/>
      </c>
      <c r="BI181" s="467" t="str">
        <f t="shared" ca="1" si="84"/>
        <v/>
      </c>
      <c r="BJ181" s="469" t="str">
        <f t="shared" si="85"/>
        <v/>
      </c>
      <c r="BK181" s="470" t="str">
        <f t="shared" si="65"/>
        <v/>
      </c>
      <c r="BL181" s="775" t="str">
        <f t="shared" si="86"/>
        <v/>
      </c>
      <c r="BM181" s="775" t="str">
        <f t="shared" si="87"/>
        <v/>
      </c>
    </row>
    <row r="182" spans="1:65">
      <c r="A182" s="473">
        <v>126</v>
      </c>
      <c r="B182" s="132"/>
      <c r="C182" s="332"/>
      <c r="D182" s="333"/>
      <c r="E182" s="333"/>
      <c r="F182" s="334"/>
      <c r="G182" s="337"/>
      <c r="H182" s="131"/>
      <c r="I182" s="337"/>
      <c r="J182" s="131"/>
      <c r="K182" s="458" t="str">
        <f t="shared" si="54"/>
        <v/>
      </c>
      <c r="L182" s="458">
        <f t="shared" si="66"/>
        <v>0</v>
      </c>
      <c r="M182" s="458">
        <f t="shared" si="67"/>
        <v>0</v>
      </c>
      <c r="N182" s="459" t="str">
        <f t="shared" si="55"/>
        <v/>
      </c>
      <c r="O182" s="459" t="str">
        <f t="shared" si="56"/>
        <v/>
      </c>
      <c r="P182" s="459" t="str">
        <f t="shared" si="57"/>
        <v/>
      </c>
      <c r="Q182" s="459" t="str">
        <f t="shared" si="58"/>
        <v/>
      </c>
      <c r="R182" s="459" t="str">
        <f t="shared" si="59"/>
        <v/>
      </c>
      <c r="S182" s="459" t="str">
        <f t="shared" si="60"/>
        <v/>
      </c>
      <c r="T182" s="566" t="str">
        <f t="shared" si="68"/>
        <v/>
      </c>
      <c r="U182" s="702"/>
      <c r="V182" s="132"/>
      <c r="W182" s="133"/>
      <c r="X182" s="134"/>
      <c r="Y182" s="135"/>
      <c r="Z182" s="137"/>
      <c r="AA182" s="136"/>
      <c r="AB182" s="566" t="str">
        <f t="shared" si="61"/>
        <v/>
      </c>
      <c r="AC182" s="568" t="str">
        <f t="shared" si="69"/>
        <v/>
      </c>
      <c r="AD182" s="137"/>
      <c r="AE182" s="137"/>
      <c r="AF182" s="138"/>
      <c r="AG182" s="138"/>
      <c r="AH182" s="592" t="str">
        <f t="shared" si="62"/>
        <v/>
      </c>
      <c r="AI182" s="592" t="str">
        <f t="shared" si="63"/>
        <v/>
      </c>
      <c r="AJ182" s="592" t="str">
        <f t="shared" si="64"/>
        <v/>
      </c>
      <c r="AK182" s="460" t="str">
        <f>IF(AU182="","",IF(OR(AZ182=8,AZ182=9),0,IF(OR(AW182=3,AW182=4,AW182=5,AW182=6),IF(LEFT(BF182,1)="1",INDEX(係数_NOX・PM低減,MATCH(AY182,【参考】排出係数!$AI$801:$AI$804,1),1),VLOOKUP(AU182,INDEX((係数_バス貨物_ガソリン,係数_バス貨物_CNG,係数_バス貨物_軽油,係数_バス貨物_メタノール,係数_バス貨物_LPG),MATCH(AY182,【参考】排出係数!$AI$4:$AI$671,1),1,BE182):INDEX((係数_バス貨物_ガソリン,係数_バス貨物_CNG,係数_バス貨物_軽油,係数_バス貨物_メタノール,係数_バス貨物_LPG),MATCH(AY182+1,【参考】排出係数!$AI$4:$AI$671,1)-1,5,BE182),4,FALSE)),IF(AND(BE182=3,LEFT(BF182,1)="1"),0.48,VLOOKUP(AU182,INDEX((係数_乗用_ガソリン,係数_乗用_CNG,係数_乗用_軽油,係数_乗用_メタノール,係数_乗用_LPG),1,1,BE182):INDEX((係数_乗用_ガソリン,係数_乗用_CNG,係数_乗用_軽油,係数_乗用_メタノール,係数_乗用_LPG),125,5,BE182),4,FALSE)))))</f>
        <v/>
      </c>
      <c r="AL182" s="461" t="str">
        <f t="shared" si="88"/>
        <v/>
      </c>
      <c r="AM182" s="460" t="str">
        <f>IF(AU182="","",IF(OR(AZ182=8,AZ182=9),0,IF(OR(AW182=3,AW182=4,AW182=5,AW182=6),IF(LEFT(BH182,1)="1",INDEX(係数_PM低減,MATCH(AY182,【参考】排出係数!$AI$801:$AI$804,1),MATCH(BI182,【参考】排出係数!$AL$798:$AO$798,1)),VLOOKUP(AU182,INDEX((係数_バス貨物_ガソリン,係数_バス貨物_CNG,係数_バス貨物_軽油,係数_バス貨物_メタノール,係数_バス貨物_LPG),MATCH(AY182,【参考】排出係数!$AI$4:$AI$671,1),1,BE182):INDEX((係数_バス貨物_ガソリン,係数_バス貨物_CNG,係数_バス貨物_軽油,係数_バス貨物_メタノール,係数_バス貨物_LPG),MATCH(AY182+1,【参考】排出係数!$AI$4:$AI$671,1)-1,5,BE182),5,FALSE)),IF(AND(BE182=3,LEFT(BF182,1)="1"),0.055,VLOOKUP(AU182,INDEX((係数_乗用_ガソリン,係数_乗用_CNG,係数_乗用_軽油,係数_乗用_メタノール,係数_乗用_LPG),1,1,BE182):INDEX((係数_乗用_ガソリン,係数_乗用_CNG,係数_乗用_軽油,係数_乗用_メタノール,係数_乗用_LPG),125,5,BE182),5,FALSE)))))</f>
        <v/>
      </c>
      <c r="AN182" s="461" t="str">
        <f t="shared" si="89"/>
        <v/>
      </c>
      <c r="AO182" s="462" t="str">
        <f t="shared" si="90"/>
        <v/>
      </c>
      <c r="AP182" s="463" t="str">
        <f t="shared" si="91"/>
        <v/>
      </c>
      <c r="AQ182" s="464"/>
      <c r="AR182" s="619"/>
      <c r="AS182" s="465" t="str">
        <f t="shared" si="70"/>
        <v/>
      </c>
      <c r="AT182" s="465" t="str">
        <f t="shared" si="71"/>
        <v/>
      </c>
      <c r="AU182" s="466" t="str">
        <f t="shared" si="72"/>
        <v/>
      </c>
      <c r="AV182" s="467" t="str">
        <f t="shared" si="73"/>
        <v/>
      </c>
      <c r="AW182" s="467" t="str">
        <f t="shared" si="74"/>
        <v/>
      </c>
      <c r="AX182" s="467" t="str">
        <f t="shared" si="75"/>
        <v/>
      </c>
      <c r="AY182" s="467" t="str">
        <f t="shared" si="76"/>
        <v/>
      </c>
      <c r="AZ182" s="467" t="str">
        <f t="shared" si="77"/>
        <v/>
      </c>
      <c r="BA182" s="468" t="str">
        <f>IF(AS182="","",IF(OR(AU182="",AU182="-"),"－",IF(OR(AZ182=8,AZ182=9),"",IF(OR(AW182=3,AW182=4,AW182=5,AW182=6),VLOOKUP(AU182,INDEX((係数_バス貨物_ガソリン,係数_バス貨物_CNG,係数_バス貨物_軽油,係数_バス貨物_メタノール,係数_バス貨物_LPG),MATCH(AY182,【参考】排出係数!$AI$4:$AI$671,1),1,BE182):INDEX((係数_バス貨物_ガソリン,係数_バス貨物_CNG,係数_バス貨物_軽油,係数_バス貨物_メタノール,係数_バス貨物_LPG),MATCH(AY182+1,【参考】排出係数!$AI$4:$AI$671,1)-1,5,BE182),2,FALSE),IF(OR(AW182=1,AW182=2),VLOOKUP(AU182,INDEX((係数_乗用_ガソリン,係数_乗用_CNG,係数_乗用_軽油,係数_乗用_メタノール,係数_乗用_LPG),1,1,BE182):INDEX((係数_乗用_ガソリン,係数_乗用_CNG,係数_乗用_軽油,係数_乗用_メタノール,係数_乗用_LPG),125,5,BE182),2,FALSE))))))</f>
        <v/>
      </c>
      <c r="BB182" s="468" t="str">
        <f>IF(T182="","",IF(OR(AU182="",AU182="-"),"－",IF(OR(AZ182=8,AZ182=9),"",IF(OR(AW182=3,AW182=4,AW182=5,AW182=6),VLOOKUP(AU182,INDEX((係数_バス貨物_ガソリン,係数_バス貨物_CNG,係数_バス貨物_軽油,係数_バス貨物_メタノール,係数_バス貨物_LPG),MATCH(AY182,【参考】排出係数!$AI$4:$AI$671,1),1,BE182):INDEX((係数_バス貨物_ガソリン,係数_バス貨物_CNG,係数_バス貨物_軽油,係数_バス貨物_メタノール,係数_バス貨物_LPG),MATCH(AY182+1,【参考】排出係数!$AI$4:$AI$671,1)-1,5,BE182),3,FALSE),IF(OR(AW182=1,AW182=2),VLOOKUP(AU182,INDEX((係数_乗用_ガソリン,係数_乗用_CNG,係数_乗用_軽油,係数_乗用_メタノール,係数_乗用_LPG),1,1,BE182):INDEX((係数_乗用_ガソリン,係数_乗用_CNG,係数_乗用_軽油,係数_乗用_メタノール,係数_乗用_LPG),125,5,BE182),3,FALSE))))))</f>
        <v/>
      </c>
      <c r="BC182" s="467" t="str">
        <f t="shared" si="78"/>
        <v/>
      </c>
      <c r="BD182" s="567" t="str">
        <f t="shared" si="79"/>
        <v/>
      </c>
      <c r="BE182" s="467" t="str">
        <f t="shared" si="80"/>
        <v/>
      </c>
      <c r="BF182" s="469" t="str">
        <f t="shared" ca="1" si="81"/>
        <v/>
      </c>
      <c r="BG182" s="469" t="str">
        <f t="shared" ca="1" si="82"/>
        <v/>
      </c>
      <c r="BH182" s="467" t="str">
        <f t="shared" si="83"/>
        <v/>
      </c>
      <c r="BI182" s="467" t="str">
        <f t="shared" ca="1" si="84"/>
        <v/>
      </c>
      <c r="BJ182" s="469" t="str">
        <f t="shared" si="85"/>
        <v/>
      </c>
      <c r="BK182" s="470" t="str">
        <f t="shared" si="65"/>
        <v/>
      </c>
      <c r="BL182" s="775" t="str">
        <f t="shared" si="86"/>
        <v/>
      </c>
      <c r="BM182" s="775" t="str">
        <f t="shared" si="87"/>
        <v/>
      </c>
    </row>
    <row r="183" spans="1:65">
      <c r="A183" s="473">
        <v>127</v>
      </c>
      <c r="B183" s="132"/>
      <c r="C183" s="332"/>
      <c r="D183" s="333"/>
      <c r="E183" s="333"/>
      <c r="F183" s="334"/>
      <c r="G183" s="337"/>
      <c r="H183" s="131"/>
      <c r="I183" s="337"/>
      <c r="J183" s="131"/>
      <c r="K183" s="458" t="str">
        <f t="shared" si="54"/>
        <v/>
      </c>
      <c r="L183" s="458">
        <f t="shared" si="66"/>
        <v>0</v>
      </c>
      <c r="M183" s="458">
        <f t="shared" si="67"/>
        <v>0</v>
      </c>
      <c r="N183" s="459" t="str">
        <f t="shared" si="55"/>
        <v/>
      </c>
      <c r="O183" s="459" t="str">
        <f t="shared" si="56"/>
        <v/>
      </c>
      <c r="P183" s="459" t="str">
        <f t="shared" si="57"/>
        <v/>
      </c>
      <c r="Q183" s="459" t="str">
        <f t="shared" si="58"/>
        <v/>
      </c>
      <c r="R183" s="459" t="str">
        <f t="shared" si="59"/>
        <v/>
      </c>
      <c r="S183" s="459" t="str">
        <f t="shared" si="60"/>
        <v/>
      </c>
      <c r="T183" s="566" t="str">
        <f t="shared" si="68"/>
        <v/>
      </c>
      <c r="U183" s="702"/>
      <c r="V183" s="132"/>
      <c r="W183" s="133"/>
      <c r="X183" s="134"/>
      <c r="Y183" s="135"/>
      <c r="Z183" s="137"/>
      <c r="AA183" s="136"/>
      <c r="AB183" s="566" t="str">
        <f t="shared" si="61"/>
        <v/>
      </c>
      <c r="AC183" s="568" t="str">
        <f t="shared" si="69"/>
        <v/>
      </c>
      <c r="AD183" s="137"/>
      <c r="AE183" s="137"/>
      <c r="AF183" s="138"/>
      <c r="AG183" s="138"/>
      <c r="AH183" s="592" t="str">
        <f t="shared" si="62"/>
        <v/>
      </c>
      <c r="AI183" s="592" t="str">
        <f t="shared" si="63"/>
        <v/>
      </c>
      <c r="AJ183" s="592" t="str">
        <f t="shared" si="64"/>
        <v/>
      </c>
      <c r="AK183" s="460" t="str">
        <f>IF(AU183="","",IF(OR(AZ183=8,AZ183=9),0,IF(OR(AW183=3,AW183=4,AW183=5,AW183=6),IF(LEFT(BF183,1)="1",INDEX(係数_NOX・PM低減,MATCH(AY183,【参考】排出係数!$AI$801:$AI$804,1),1),VLOOKUP(AU183,INDEX((係数_バス貨物_ガソリン,係数_バス貨物_CNG,係数_バス貨物_軽油,係数_バス貨物_メタノール,係数_バス貨物_LPG),MATCH(AY183,【参考】排出係数!$AI$4:$AI$671,1),1,BE183):INDEX((係数_バス貨物_ガソリン,係数_バス貨物_CNG,係数_バス貨物_軽油,係数_バス貨物_メタノール,係数_バス貨物_LPG),MATCH(AY183+1,【参考】排出係数!$AI$4:$AI$671,1)-1,5,BE183),4,FALSE)),IF(AND(BE183=3,LEFT(BF183,1)="1"),0.48,VLOOKUP(AU183,INDEX((係数_乗用_ガソリン,係数_乗用_CNG,係数_乗用_軽油,係数_乗用_メタノール,係数_乗用_LPG),1,1,BE183):INDEX((係数_乗用_ガソリン,係数_乗用_CNG,係数_乗用_軽油,係数_乗用_メタノール,係数_乗用_LPG),125,5,BE183),4,FALSE)))))</f>
        <v/>
      </c>
      <c r="AL183" s="461" t="str">
        <f t="shared" si="88"/>
        <v/>
      </c>
      <c r="AM183" s="460" t="str">
        <f>IF(AU183="","",IF(OR(AZ183=8,AZ183=9),0,IF(OR(AW183=3,AW183=4,AW183=5,AW183=6),IF(LEFT(BH183,1)="1",INDEX(係数_PM低減,MATCH(AY183,【参考】排出係数!$AI$801:$AI$804,1),MATCH(BI183,【参考】排出係数!$AL$798:$AO$798,1)),VLOOKUP(AU183,INDEX((係数_バス貨物_ガソリン,係数_バス貨物_CNG,係数_バス貨物_軽油,係数_バス貨物_メタノール,係数_バス貨物_LPG),MATCH(AY183,【参考】排出係数!$AI$4:$AI$671,1),1,BE183):INDEX((係数_バス貨物_ガソリン,係数_バス貨物_CNG,係数_バス貨物_軽油,係数_バス貨物_メタノール,係数_バス貨物_LPG),MATCH(AY183+1,【参考】排出係数!$AI$4:$AI$671,1)-1,5,BE183),5,FALSE)),IF(AND(BE183=3,LEFT(BF183,1)="1"),0.055,VLOOKUP(AU183,INDEX((係数_乗用_ガソリン,係数_乗用_CNG,係数_乗用_軽油,係数_乗用_メタノール,係数_乗用_LPG),1,1,BE183):INDEX((係数_乗用_ガソリン,係数_乗用_CNG,係数_乗用_軽油,係数_乗用_メタノール,係数_乗用_LPG),125,5,BE183),5,FALSE)))))</f>
        <v/>
      </c>
      <c r="AN183" s="461" t="str">
        <f t="shared" si="89"/>
        <v/>
      </c>
      <c r="AO183" s="462" t="str">
        <f t="shared" si="90"/>
        <v/>
      </c>
      <c r="AP183" s="463" t="str">
        <f t="shared" si="91"/>
        <v/>
      </c>
      <c r="AQ183" s="464"/>
      <c r="AR183" s="619"/>
      <c r="AS183" s="465" t="str">
        <f t="shared" si="70"/>
        <v/>
      </c>
      <c r="AT183" s="465" t="str">
        <f t="shared" si="71"/>
        <v/>
      </c>
      <c r="AU183" s="466" t="str">
        <f t="shared" si="72"/>
        <v/>
      </c>
      <c r="AV183" s="467" t="str">
        <f t="shared" si="73"/>
        <v/>
      </c>
      <c r="AW183" s="467" t="str">
        <f t="shared" si="74"/>
        <v/>
      </c>
      <c r="AX183" s="467" t="str">
        <f t="shared" si="75"/>
        <v/>
      </c>
      <c r="AY183" s="467" t="str">
        <f t="shared" si="76"/>
        <v/>
      </c>
      <c r="AZ183" s="467" t="str">
        <f t="shared" si="77"/>
        <v/>
      </c>
      <c r="BA183" s="468" t="str">
        <f>IF(AS183="","",IF(OR(AU183="",AU183="-"),"－",IF(OR(AZ183=8,AZ183=9),"",IF(OR(AW183=3,AW183=4,AW183=5,AW183=6),VLOOKUP(AU183,INDEX((係数_バス貨物_ガソリン,係数_バス貨物_CNG,係数_バス貨物_軽油,係数_バス貨物_メタノール,係数_バス貨物_LPG),MATCH(AY183,【参考】排出係数!$AI$4:$AI$671,1),1,BE183):INDEX((係数_バス貨物_ガソリン,係数_バス貨物_CNG,係数_バス貨物_軽油,係数_バス貨物_メタノール,係数_バス貨物_LPG),MATCH(AY183+1,【参考】排出係数!$AI$4:$AI$671,1)-1,5,BE183),2,FALSE),IF(OR(AW183=1,AW183=2),VLOOKUP(AU183,INDEX((係数_乗用_ガソリン,係数_乗用_CNG,係数_乗用_軽油,係数_乗用_メタノール,係数_乗用_LPG),1,1,BE183):INDEX((係数_乗用_ガソリン,係数_乗用_CNG,係数_乗用_軽油,係数_乗用_メタノール,係数_乗用_LPG),125,5,BE183),2,FALSE))))))</f>
        <v/>
      </c>
      <c r="BB183" s="468" t="str">
        <f>IF(T183="","",IF(OR(AU183="",AU183="-"),"－",IF(OR(AZ183=8,AZ183=9),"",IF(OR(AW183=3,AW183=4,AW183=5,AW183=6),VLOOKUP(AU183,INDEX((係数_バス貨物_ガソリン,係数_バス貨物_CNG,係数_バス貨物_軽油,係数_バス貨物_メタノール,係数_バス貨物_LPG),MATCH(AY183,【参考】排出係数!$AI$4:$AI$671,1),1,BE183):INDEX((係数_バス貨物_ガソリン,係数_バス貨物_CNG,係数_バス貨物_軽油,係数_バス貨物_メタノール,係数_バス貨物_LPG),MATCH(AY183+1,【参考】排出係数!$AI$4:$AI$671,1)-1,5,BE183),3,FALSE),IF(OR(AW183=1,AW183=2),VLOOKUP(AU183,INDEX((係数_乗用_ガソリン,係数_乗用_CNG,係数_乗用_軽油,係数_乗用_メタノール,係数_乗用_LPG),1,1,BE183):INDEX((係数_乗用_ガソリン,係数_乗用_CNG,係数_乗用_軽油,係数_乗用_メタノール,係数_乗用_LPG),125,5,BE183),3,FALSE))))))</f>
        <v/>
      </c>
      <c r="BC183" s="467" t="str">
        <f t="shared" si="78"/>
        <v/>
      </c>
      <c r="BD183" s="567" t="str">
        <f t="shared" si="79"/>
        <v/>
      </c>
      <c r="BE183" s="467" t="str">
        <f t="shared" si="80"/>
        <v/>
      </c>
      <c r="BF183" s="469" t="str">
        <f t="shared" ca="1" si="81"/>
        <v/>
      </c>
      <c r="BG183" s="469" t="str">
        <f t="shared" ca="1" si="82"/>
        <v/>
      </c>
      <c r="BH183" s="467" t="str">
        <f t="shared" si="83"/>
        <v/>
      </c>
      <c r="BI183" s="467" t="str">
        <f t="shared" ca="1" si="84"/>
        <v/>
      </c>
      <c r="BJ183" s="469" t="str">
        <f t="shared" si="85"/>
        <v/>
      </c>
      <c r="BK183" s="470" t="str">
        <f t="shared" si="65"/>
        <v/>
      </c>
      <c r="BL183" s="775" t="str">
        <f t="shared" si="86"/>
        <v/>
      </c>
      <c r="BM183" s="775" t="str">
        <f t="shared" si="87"/>
        <v/>
      </c>
    </row>
    <row r="184" spans="1:65">
      <c r="A184" s="473">
        <v>128</v>
      </c>
      <c r="B184" s="132"/>
      <c r="C184" s="332"/>
      <c r="D184" s="333"/>
      <c r="E184" s="333"/>
      <c r="F184" s="334"/>
      <c r="G184" s="337"/>
      <c r="H184" s="131"/>
      <c r="I184" s="337"/>
      <c r="J184" s="131"/>
      <c r="K184" s="458" t="str">
        <f t="shared" si="54"/>
        <v/>
      </c>
      <c r="L184" s="458">
        <f t="shared" si="66"/>
        <v>0</v>
      </c>
      <c r="M184" s="458">
        <f t="shared" si="67"/>
        <v>0</v>
      </c>
      <c r="N184" s="459" t="str">
        <f t="shared" si="55"/>
        <v/>
      </c>
      <c r="O184" s="459" t="str">
        <f t="shared" si="56"/>
        <v/>
      </c>
      <c r="P184" s="459" t="str">
        <f t="shared" si="57"/>
        <v/>
      </c>
      <c r="Q184" s="459" t="str">
        <f t="shared" si="58"/>
        <v/>
      </c>
      <c r="R184" s="459" t="str">
        <f t="shared" si="59"/>
        <v/>
      </c>
      <c r="S184" s="459" t="str">
        <f t="shared" si="60"/>
        <v/>
      </c>
      <c r="T184" s="566" t="str">
        <f t="shared" si="68"/>
        <v/>
      </c>
      <c r="U184" s="702"/>
      <c r="V184" s="132"/>
      <c r="W184" s="133"/>
      <c r="X184" s="134"/>
      <c r="Y184" s="135"/>
      <c r="Z184" s="137"/>
      <c r="AA184" s="136"/>
      <c r="AB184" s="566" t="str">
        <f t="shared" si="61"/>
        <v/>
      </c>
      <c r="AC184" s="568" t="str">
        <f t="shared" si="69"/>
        <v/>
      </c>
      <c r="AD184" s="137"/>
      <c r="AE184" s="137"/>
      <c r="AF184" s="138"/>
      <c r="AG184" s="138"/>
      <c r="AH184" s="592" t="str">
        <f t="shared" si="62"/>
        <v/>
      </c>
      <c r="AI184" s="592" t="str">
        <f t="shared" si="63"/>
        <v/>
      </c>
      <c r="AJ184" s="592" t="str">
        <f t="shared" si="64"/>
        <v/>
      </c>
      <c r="AK184" s="460" t="str">
        <f>IF(AU184="","",IF(OR(AZ184=8,AZ184=9),0,IF(OR(AW184=3,AW184=4,AW184=5,AW184=6),IF(LEFT(BF184,1)="1",INDEX(係数_NOX・PM低減,MATCH(AY184,【参考】排出係数!$AI$801:$AI$804,1),1),VLOOKUP(AU184,INDEX((係数_バス貨物_ガソリン,係数_バス貨物_CNG,係数_バス貨物_軽油,係数_バス貨物_メタノール,係数_バス貨物_LPG),MATCH(AY184,【参考】排出係数!$AI$4:$AI$671,1),1,BE184):INDEX((係数_バス貨物_ガソリン,係数_バス貨物_CNG,係数_バス貨物_軽油,係数_バス貨物_メタノール,係数_バス貨物_LPG),MATCH(AY184+1,【参考】排出係数!$AI$4:$AI$671,1)-1,5,BE184),4,FALSE)),IF(AND(BE184=3,LEFT(BF184,1)="1"),0.48,VLOOKUP(AU184,INDEX((係数_乗用_ガソリン,係数_乗用_CNG,係数_乗用_軽油,係数_乗用_メタノール,係数_乗用_LPG),1,1,BE184):INDEX((係数_乗用_ガソリン,係数_乗用_CNG,係数_乗用_軽油,係数_乗用_メタノール,係数_乗用_LPG),125,5,BE184),4,FALSE)))))</f>
        <v/>
      </c>
      <c r="AL184" s="461" t="str">
        <f t="shared" si="88"/>
        <v/>
      </c>
      <c r="AM184" s="460" t="str">
        <f>IF(AU184="","",IF(OR(AZ184=8,AZ184=9),0,IF(OR(AW184=3,AW184=4,AW184=5,AW184=6),IF(LEFT(BH184,1)="1",INDEX(係数_PM低減,MATCH(AY184,【参考】排出係数!$AI$801:$AI$804,1),MATCH(BI184,【参考】排出係数!$AL$798:$AO$798,1)),VLOOKUP(AU184,INDEX((係数_バス貨物_ガソリン,係数_バス貨物_CNG,係数_バス貨物_軽油,係数_バス貨物_メタノール,係数_バス貨物_LPG),MATCH(AY184,【参考】排出係数!$AI$4:$AI$671,1),1,BE184):INDEX((係数_バス貨物_ガソリン,係数_バス貨物_CNG,係数_バス貨物_軽油,係数_バス貨物_メタノール,係数_バス貨物_LPG),MATCH(AY184+1,【参考】排出係数!$AI$4:$AI$671,1)-1,5,BE184),5,FALSE)),IF(AND(BE184=3,LEFT(BF184,1)="1"),0.055,VLOOKUP(AU184,INDEX((係数_乗用_ガソリン,係数_乗用_CNG,係数_乗用_軽油,係数_乗用_メタノール,係数_乗用_LPG),1,1,BE184):INDEX((係数_乗用_ガソリン,係数_乗用_CNG,係数_乗用_軽油,係数_乗用_メタノール,係数_乗用_LPG),125,5,BE184),5,FALSE)))))</f>
        <v/>
      </c>
      <c r="AN184" s="461" t="str">
        <f t="shared" si="89"/>
        <v/>
      </c>
      <c r="AO184" s="462" t="str">
        <f t="shared" si="90"/>
        <v/>
      </c>
      <c r="AP184" s="463" t="str">
        <f t="shared" si="91"/>
        <v/>
      </c>
      <c r="AQ184" s="464"/>
      <c r="AR184" s="619"/>
      <c r="AS184" s="465" t="str">
        <f t="shared" si="70"/>
        <v/>
      </c>
      <c r="AT184" s="465" t="str">
        <f t="shared" si="71"/>
        <v/>
      </c>
      <c r="AU184" s="466" t="str">
        <f t="shared" si="72"/>
        <v/>
      </c>
      <c r="AV184" s="467" t="str">
        <f t="shared" si="73"/>
        <v/>
      </c>
      <c r="AW184" s="467" t="str">
        <f t="shared" si="74"/>
        <v/>
      </c>
      <c r="AX184" s="467" t="str">
        <f t="shared" si="75"/>
        <v/>
      </c>
      <c r="AY184" s="467" t="str">
        <f t="shared" si="76"/>
        <v/>
      </c>
      <c r="AZ184" s="467" t="str">
        <f t="shared" si="77"/>
        <v/>
      </c>
      <c r="BA184" s="468" t="str">
        <f>IF(AS184="","",IF(OR(AU184="",AU184="-"),"－",IF(OR(AZ184=8,AZ184=9),"",IF(OR(AW184=3,AW184=4,AW184=5,AW184=6),VLOOKUP(AU184,INDEX((係数_バス貨物_ガソリン,係数_バス貨物_CNG,係数_バス貨物_軽油,係数_バス貨物_メタノール,係数_バス貨物_LPG),MATCH(AY184,【参考】排出係数!$AI$4:$AI$671,1),1,BE184):INDEX((係数_バス貨物_ガソリン,係数_バス貨物_CNG,係数_バス貨物_軽油,係数_バス貨物_メタノール,係数_バス貨物_LPG),MATCH(AY184+1,【参考】排出係数!$AI$4:$AI$671,1)-1,5,BE184),2,FALSE),IF(OR(AW184=1,AW184=2),VLOOKUP(AU184,INDEX((係数_乗用_ガソリン,係数_乗用_CNG,係数_乗用_軽油,係数_乗用_メタノール,係数_乗用_LPG),1,1,BE184):INDEX((係数_乗用_ガソリン,係数_乗用_CNG,係数_乗用_軽油,係数_乗用_メタノール,係数_乗用_LPG),125,5,BE184),2,FALSE))))))</f>
        <v/>
      </c>
      <c r="BB184" s="468" t="str">
        <f>IF(T184="","",IF(OR(AU184="",AU184="-"),"－",IF(OR(AZ184=8,AZ184=9),"",IF(OR(AW184=3,AW184=4,AW184=5,AW184=6),VLOOKUP(AU184,INDEX((係数_バス貨物_ガソリン,係数_バス貨物_CNG,係数_バス貨物_軽油,係数_バス貨物_メタノール,係数_バス貨物_LPG),MATCH(AY184,【参考】排出係数!$AI$4:$AI$671,1),1,BE184):INDEX((係数_バス貨物_ガソリン,係数_バス貨物_CNG,係数_バス貨物_軽油,係数_バス貨物_メタノール,係数_バス貨物_LPG),MATCH(AY184+1,【参考】排出係数!$AI$4:$AI$671,1)-1,5,BE184),3,FALSE),IF(OR(AW184=1,AW184=2),VLOOKUP(AU184,INDEX((係数_乗用_ガソリン,係数_乗用_CNG,係数_乗用_軽油,係数_乗用_メタノール,係数_乗用_LPG),1,1,BE184):INDEX((係数_乗用_ガソリン,係数_乗用_CNG,係数_乗用_軽油,係数_乗用_メタノール,係数_乗用_LPG),125,5,BE184),3,FALSE))))))</f>
        <v/>
      </c>
      <c r="BC184" s="467" t="str">
        <f t="shared" si="78"/>
        <v/>
      </c>
      <c r="BD184" s="567" t="str">
        <f t="shared" si="79"/>
        <v/>
      </c>
      <c r="BE184" s="467" t="str">
        <f t="shared" si="80"/>
        <v/>
      </c>
      <c r="BF184" s="469" t="str">
        <f t="shared" ca="1" si="81"/>
        <v/>
      </c>
      <c r="BG184" s="469" t="str">
        <f t="shared" ca="1" si="82"/>
        <v/>
      </c>
      <c r="BH184" s="467" t="str">
        <f t="shared" si="83"/>
        <v/>
      </c>
      <c r="BI184" s="467" t="str">
        <f t="shared" ca="1" si="84"/>
        <v/>
      </c>
      <c r="BJ184" s="469" t="str">
        <f t="shared" si="85"/>
        <v/>
      </c>
      <c r="BK184" s="470" t="str">
        <f t="shared" si="65"/>
        <v/>
      </c>
      <c r="BL184" s="775" t="str">
        <f t="shared" si="86"/>
        <v/>
      </c>
      <c r="BM184" s="775" t="str">
        <f t="shared" si="87"/>
        <v/>
      </c>
    </row>
    <row r="185" spans="1:65">
      <c r="A185" s="473">
        <v>129</v>
      </c>
      <c r="B185" s="132"/>
      <c r="C185" s="332"/>
      <c r="D185" s="333"/>
      <c r="E185" s="333"/>
      <c r="F185" s="334"/>
      <c r="G185" s="337"/>
      <c r="H185" s="131"/>
      <c r="I185" s="337"/>
      <c r="J185" s="131"/>
      <c r="K185" s="458" t="str">
        <f t="shared" ref="K185:K248" si="92">C185&amp;D185&amp;E185&amp;F185</f>
        <v/>
      </c>
      <c r="L185" s="458">
        <f t="shared" si="66"/>
        <v>0</v>
      </c>
      <c r="M185" s="458">
        <f t="shared" si="67"/>
        <v>0</v>
      </c>
      <c r="N185" s="459" t="str">
        <f t="shared" ref="N185:N248" si="93">IF(OR($L185&gt;$U$48,$M185&gt;$U$48,AND($L185&gt;$M185,$M185&lt;&gt;0),AND($L185=0,$M185&lt;&gt;0)),"ERROR","")</f>
        <v/>
      </c>
      <c r="O185" s="459" t="str">
        <f t="shared" ref="O185:O248" si="94">IF(AND($N185&lt;&gt;"ERROR",$L185&lt;=$U$49,$M185&lt;=$U$49,$M185&lt;&gt;0),"(減車済)","")</f>
        <v/>
      </c>
      <c r="P185" s="459" t="str">
        <f t="shared" ref="P185:P248" si="95">IF(AND($N185&lt;&gt;"ERROR",$L185&lt;$U$49,AND($M185&gt;$U$49,$M185&lt;=$W$49),$M185&lt;&gt;0),"減車","")</f>
        <v/>
      </c>
      <c r="Q185" s="459" t="str">
        <f t="shared" ref="Q185:Q248" si="96">IF(AND($N185&lt;&gt;"ERROR",$L185&gt;$U$49,$M185&lt;=$W$49,$M185&lt;&gt;0),"一時使用","")</f>
        <v/>
      </c>
      <c r="R185" s="459" t="str">
        <f t="shared" ref="R185:R248" si="97">IF(AND($N185&lt;&gt;"ERROR",AND($L185&gt;0,$L185&lt;=$U$49),$M185=0),"継続","")</f>
        <v/>
      </c>
      <c r="S185" s="459" t="str">
        <f t="shared" ref="S185:S248" si="98">IF(AND($N185&lt;&gt;"ERROR",AND($L185&gt;$U$49),$M185=0),"新規","")</f>
        <v/>
      </c>
      <c r="T185" s="566" t="str">
        <f t="shared" si="68"/>
        <v/>
      </c>
      <c r="U185" s="702"/>
      <c r="V185" s="132"/>
      <c r="W185" s="133"/>
      <c r="X185" s="134"/>
      <c r="Y185" s="135"/>
      <c r="Z185" s="137"/>
      <c r="AA185" s="136"/>
      <c r="AB185" s="566" t="str">
        <f t="shared" ref="AB185:AB248" si="99">IF(AS185="","",IF(AZ185=1,VLOOKUP(BA185,低公害車判別,2,FALSE),IF(AZ185=3,VLOOKUP(BA185,低公害車判別,2,FALSE),IF(AZ185=4,VLOOKUP(BB185,低公害車判別,2,FALSE),"低公害車"))))</f>
        <v/>
      </c>
      <c r="AC185" s="568" t="str">
        <f t="shared" si="69"/>
        <v/>
      </c>
      <c r="AD185" s="137"/>
      <c r="AE185" s="137"/>
      <c r="AF185" s="138"/>
      <c r="AG185" s="138"/>
      <c r="AH185" s="592" t="str">
        <f t="shared" ref="AH185:AH248" si="100">IF(C185="","",IF(LEFT(C185,2)="横浜","○",""))</f>
        <v/>
      </c>
      <c r="AI185" s="592" t="str">
        <f t="shared" ref="AI185:AI248" si="101">IF(C185="","",IF(LEFT(C185,2)="川崎","○",""))</f>
        <v/>
      </c>
      <c r="AJ185" s="592" t="str">
        <f t="shared" ref="AJ185:AJ248" si="102">IF(C185="","",IF(OR(AH185="○",AI185="○"),"","○"))</f>
        <v/>
      </c>
      <c r="AK185" s="460" t="str">
        <f>IF(AU185="","",IF(OR(AZ185=8,AZ185=9),0,IF(OR(AW185=3,AW185=4,AW185=5,AW185=6),IF(LEFT(BF185,1)="1",INDEX(係数_NOX・PM低減,MATCH(AY185,【参考】排出係数!$AI$801:$AI$804,1),1),VLOOKUP(AU185,INDEX((係数_バス貨物_ガソリン,係数_バス貨物_CNG,係数_バス貨物_軽油,係数_バス貨物_メタノール,係数_バス貨物_LPG),MATCH(AY185,【参考】排出係数!$AI$4:$AI$671,1),1,BE185):INDEX((係数_バス貨物_ガソリン,係数_バス貨物_CNG,係数_バス貨物_軽油,係数_バス貨物_メタノール,係数_バス貨物_LPG),MATCH(AY185+1,【参考】排出係数!$AI$4:$AI$671,1)-1,5,BE185),4,FALSE)),IF(AND(BE185=3,LEFT(BF185,1)="1"),0.48,VLOOKUP(AU185,INDEX((係数_乗用_ガソリン,係数_乗用_CNG,係数_乗用_軽油,係数_乗用_メタノール,係数_乗用_LPG),1,1,BE185):INDEX((係数_乗用_ガソリン,係数_乗用_CNG,係数_乗用_軽油,係数_乗用_メタノール,係数_乗用_LPG),125,5,BE185),4,FALSE)))))</f>
        <v/>
      </c>
      <c r="AL185" s="461" t="str">
        <f t="shared" si="88"/>
        <v/>
      </c>
      <c r="AM185" s="460" t="str">
        <f>IF(AU185="","",IF(OR(AZ185=8,AZ185=9),0,IF(OR(AW185=3,AW185=4,AW185=5,AW185=6),IF(LEFT(BH185,1)="1",INDEX(係数_PM低減,MATCH(AY185,【参考】排出係数!$AI$801:$AI$804,1),MATCH(BI185,【参考】排出係数!$AL$798:$AO$798,1)),VLOOKUP(AU185,INDEX((係数_バス貨物_ガソリン,係数_バス貨物_CNG,係数_バス貨物_軽油,係数_バス貨物_メタノール,係数_バス貨物_LPG),MATCH(AY185,【参考】排出係数!$AI$4:$AI$671,1),1,BE185):INDEX((係数_バス貨物_ガソリン,係数_バス貨物_CNG,係数_バス貨物_軽油,係数_バス貨物_メタノール,係数_バス貨物_LPG),MATCH(AY185+1,【参考】排出係数!$AI$4:$AI$671,1)-1,5,BE185),5,FALSE)),IF(AND(BE185=3,LEFT(BF185,1)="1"),0.055,VLOOKUP(AU185,INDEX((係数_乗用_ガソリン,係数_乗用_CNG,係数_乗用_軽油,係数_乗用_メタノール,係数_乗用_LPG),1,1,BE185):INDEX((係数_乗用_ガソリン,係数_乗用_CNG,係数_乗用_軽油,係数_乗用_メタノール,係数_乗用_LPG),125,5,BE185),5,FALSE)))))</f>
        <v/>
      </c>
      <c r="AN185" s="461" t="str">
        <f t="shared" si="89"/>
        <v/>
      </c>
      <c r="AO185" s="462" t="str">
        <f t="shared" si="90"/>
        <v/>
      </c>
      <c r="AP185" s="463" t="str">
        <f t="shared" si="91"/>
        <v/>
      </c>
      <c r="AQ185" s="464"/>
      <c r="AR185" s="619"/>
      <c r="AS185" s="465" t="str">
        <f t="shared" si="70"/>
        <v/>
      </c>
      <c r="AT185" s="465" t="str">
        <f t="shared" si="71"/>
        <v/>
      </c>
      <c r="AU185" s="466" t="str">
        <f t="shared" si="72"/>
        <v/>
      </c>
      <c r="AV185" s="467" t="str">
        <f t="shared" si="73"/>
        <v/>
      </c>
      <c r="AW185" s="467" t="str">
        <f t="shared" si="74"/>
        <v/>
      </c>
      <c r="AX185" s="467" t="str">
        <f t="shared" si="75"/>
        <v/>
      </c>
      <c r="AY185" s="467" t="str">
        <f t="shared" si="76"/>
        <v/>
      </c>
      <c r="AZ185" s="467" t="str">
        <f t="shared" si="77"/>
        <v/>
      </c>
      <c r="BA185" s="468" t="str">
        <f>IF(AS185="","",IF(OR(AU185="",AU185="-"),"－",IF(OR(AZ185=8,AZ185=9),"",IF(OR(AW185=3,AW185=4,AW185=5,AW185=6),VLOOKUP(AU185,INDEX((係数_バス貨物_ガソリン,係数_バス貨物_CNG,係数_バス貨物_軽油,係数_バス貨物_メタノール,係数_バス貨物_LPG),MATCH(AY185,【参考】排出係数!$AI$4:$AI$671,1),1,BE185):INDEX((係数_バス貨物_ガソリン,係数_バス貨物_CNG,係数_バス貨物_軽油,係数_バス貨物_メタノール,係数_バス貨物_LPG),MATCH(AY185+1,【参考】排出係数!$AI$4:$AI$671,1)-1,5,BE185),2,FALSE),IF(OR(AW185=1,AW185=2),VLOOKUP(AU185,INDEX((係数_乗用_ガソリン,係数_乗用_CNG,係数_乗用_軽油,係数_乗用_メタノール,係数_乗用_LPG),1,1,BE185):INDEX((係数_乗用_ガソリン,係数_乗用_CNG,係数_乗用_軽油,係数_乗用_メタノール,係数_乗用_LPG),125,5,BE185),2,FALSE))))))</f>
        <v/>
      </c>
      <c r="BB185" s="468" t="str">
        <f>IF(T185="","",IF(OR(AU185="",AU185="-"),"－",IF(OR(AZ185=8,AZ185=9),"",IF(OR(AW185=3,AW185=4,AW185=5,AW185=6),VLOOKUP(AU185,INDEX((係数_バス貨物_ガソリン,係数_バス貨物_CNG,係数_バス貨物_軽油,係数_バス貨物_メタノール,係数_バス貨物_LPG),MATCH(AY185,【参考】排出係数!$AI$4:$AI$671,1),1,BE185):INDEX((係数_バス貨物_ガソリン,係数_バス貨物_CNG,係数_バス貨物_軽油,係数_バス貨物_メタノール,係数_バス貨物_LPG),MATCH(AY185+1,【参考】排出係数!$AI$4:$AI$671,1)-1,5,BE185),3,FALSE),IF(OR(AW185=1,AW185=2),VLOOKUP(AU185,INDEX((係数_乗用_ガソリン,係数_乗用_CNG,係数_乗用_軽油,係数_乗用_メタノール,係数_乗用_LPG),1,1,BE185):INDEX((係数_乗用_ガソリン,係数_乗用_CNG,係数_乗用_軽油,係数_乗用_メタノール,係数_乗用_LPG),125,5,BE185),3,FALSE))))))</f>
        <v/>
      </c>
      <c r="BC185" s="467" t="str">
        <f t="shared" si="78"/>
        <v/>
      </c>
      <c r="BD185" s="567" t="str">
        <f t="shared" si="79"/>
        <v/>
      </c>
      <c r="BE185" s="467" t="str">
        <f t="shared" si="80"/>
        <v/>
      </c>
      <c r="BF185" s="469" t="str">
        <f t="shared" ca="1" si="81"/>
        <v/>
      </c>
      <c r="BG185" s="469" t="str">
        <f t="shared" ca="1" si="82"/>
        <v/>
      </c>
      <c r="BH185" s="467" t="str">
        <f t="shared" si="83"/>
        <v/>
      </c>
      <c r="BI185" s="467" t="str">
        <f t="shared" ca="1" si="84"/>
        <v/>
      </c>
      <c r="BJ185" s="469" t="str">
        <f t="shared" si="85"/>
        <v/>
      </c>
      <c r="BK185" s="470" t="str">
        <f t="shared" ref="BK185:BK248" si="103">IF(AS185="","",VLOOKUP(T185,車両の増減,2,FALSE))</f>
        <v/>
      </c>
      <c r="BL185" s="775" t="str">
        <f t="shared" si="86"/>
        <v/>
      </c>
      <c r="BM185" s="775" t="str">
        <f t="shared" si="87"/>
        <v/>
      </c>
    </row>
    <row r="186" spans="1:65">
      <c r="A186" s="473">
        <v>130</v>
      </c>
      <c r="B186" s="132"/>
      <c r="C186" s="332"/>
      <c r="D186" s="333"/>
      <c r="E186" s="333"/>
      <c r="F186" s="334"/>
      <c r="G186" s="337"/>
      <c r="H186" s="131"/>
      <c r="I186" s="337"/>
      <c r="J186" s="131"/>
      <c r="K186" s="458" t="str">
        <f t="shared" si="92"/>
        <v/>
      </c>
      <c r="L186" s="458">
        <f t="shared" ref="L186:L249" si="104">IF(G186&gt;0,DATE((G186),(H186+1),0),0)</f>
        <v>0</v>
      </c>
      <c r="M186" s="458">
        <f t="shared" ref="M186:M249" si="105">IF(I186&gt;0,DATE((I186),(J186+1),0),0)</f>
        <v>0</v>
      </c>
      <c r="N186" s="459" t="str">
        <f t="shared" si="93"/>
        <v/>
      </c>
      <c r="O186" s="459" t="str">
        <f t="shared" si="94"/>
        <v/>
      </c>
      <c r="P186" s="459" t="str">
        <f t="shared" si="95"/>
        <v/>
      </c>
      <c r="Q186" s="459" t="str">
        <f t="shared" si="96"/>
        <v/>
      </c>
      <c r="R186" s="459" t="str">
        <f t="shared" si="97"/>
        <v/>
      </c>
      <c r="S186" s="459" t="str">
        <f t="shared" si="98"/>
        <v/>
      </c>
      <c r="T186" s="566" t="str">
        <f t="shared" ref="T186:T249" si="106">N186&amp;O186&amp;P186&amp;Q186&amp;R186&amp;S186</f>
        <v/>
      </c>
      <c r="U186" s="702"/>
      <c r="V186" s="132"/>
      <c r="W186" s="133"/>
      <c r="X186" s="134"/>
      <c r="Y186" s="135"/>
      <c r="Z186" s="137"/>
      <c r="AA186" s="136"/>
      <c r="AB186" s="566" t="str">
        <f t="shared" si="99"/>
        <v/>
      </c>
      <c r="AC186" s="568" t="str">
        <f t="shared" ref="AC186:AC249" si="107">IF(AS186="","",IF((BA186="")+(BA186="－"),IF((BB186="")+(BB186=0),"－",BB186),IF((BA186="PM☆☆☆")+(BA186="☆及びPM☆☆☆")+(BA186="☆☆及びPM☆☆☆")+(BA186="☆☆☆及びPM☆☆☆"),"PM☆☆☆",IF((BA186="PM☆☆☆☆")+(BA186="☆及びPM☆☆☆☆")+(BA186="☆☆及びPM☆☆☆☆")+(BA186="☆☆☆及びPM☆☆☆☆"),"PM☆☆☆☆",IF((BA186="新☆")+(BA186="新NOx☆")+(BA186="新PM☆"),"新☆（新長期）",BA186)))))</f>
        <v/>
      </c>
      <c r="AD186" s="137"/>
      <c r="AE186" s="137"/>
      <c r="AF186" s="138"/>
      <c r="AG186" s="138"/>
      <c r="AH186" s="592" t="str">
        <f t="shared" si="100"/>
        <v/>
      </c>
      <c r="AI186" s="592" t="str">
        <f t="shared" si="101"/>
        <v/>
      </c>
      <c r="AJ186" s="592" t="str">
        <f t="shared" si="102"/>
        <v/>
      </c>
      <c r="AK186" s="460" t="str">
        <f>IF(AU186="","",IF(OR(AZ186=8,AZ186=9),0,IF(OR(AW186=3,AW186=4,AW186=5,AW186=6),IF(LEFT(BF186,1)="1",INDEX(係数_NOX・PM低減,MATCH(AY186,【参考】排出係数!$AI$801:$AI$804,1),1),VLOOKUP(AU186,INDEX((係数_バス貨物_ガソリン,係数_バス貨物_CNG,係数_バス貨物_軽油,係数_バス貨物_メタノール,係数_バス貨物_LPG),MATCH(AY186,【参考】排出係数!$AI$4:$AI$671,1),1,BE186):INDEX((係数_バス貨物_ガソリン,係数_バス貨物_CNG,係数_バス貨物_軽油,係数_バス貨物_メタノール,係数_バス貨物_LPG),MATCH(AY186+1,【参考】排出係数!$AI$4:$AI$671,1)-1,5,BE186),4,FALSE)),IF(AND(BE186=3,LEFT(BF186,1)="1"),0.48,VLOOKUP(AU186,INDEX((係数_乗用_ガソリン,係数_乗用_CNG,係数_乗用_軽油,係数_乗用_メタノール,係数_乗用_LPG),1,1,BE186):INDEX((係数_乗用_ガソリン,係数_乗用_CNG,係数_乗用_軽油,係数_乗用_メタノール,係数_乗用_LPG),125,5,BE186),4,FALSE)))))</f>
        <v/>
      </c>
      <c r="AL186" s="461" t="str">
        <f t="shared" si="88"/>
        <v/>
      </c>
      <c r="AM186" s="460" t="str">
        <f>IF(AU186="","",IF(OR(AZ186=8,AZ186=9),0,IF(OR(AW186=3,AW186=4,AW186=5,AW186=6),IF(LEFT(BH186,1)="1",INDEX(係数_PM低減,MATCH(AY186,【参考】排出係数!$AI$801:$AI$804,1),MATCH(BI186,【参考】排出係数!$AL$798:$AO$798,1)),VLOOKUP(AU186,INDEX((係数_バス貨物_ガソリン,係数_バス貨物_CNG,係数_バス貨物_軽油,係数_バス貨物_メタノール,係数_バス貨物_LPG),MATCH(AY186,【参考】排出係数!$AI$4:$AI$671,1),1,BE186):INDEX((係数_バス貨物_ガソリン,係数_バス貨物_CNG,係数_バス貨物_軽油,係数_バス貨物_メタノール,係数_バス貨物_LPG),MATCH(AY186+1,【参考】排出係数!$AI$4:$AI$671,1)-1,5,BE186),5,FALSE)),IF(AND(BE186=3,LEFT(BF186,1)="1"),0.055,VLOOKUP(AU186,INDEX((係数_乗用_ガソリン,係数_乗用_CNG,係数_乗用_軽油,係数_乗用_メタノール,係数_乗用_LPG),1,1,BE186):INDEX((係数_乗用_ガソリン,係数_乗用_CNG,係数_乗用_軽油,係数_乗用_メタノール,係数_乗用_LPG),125,5,BE186),5,FALSE)))))</f>
        <v/>
      </c>
      <c r="AN186" s="461" t="str">
        <f t="shared" si="89"/>
        <v/>
      </c>
      <c r="AO186" s="462" t="str">
        <f t="shared" si="90"/>
        <v/>
      </c>
      <c r="AP186" s="463" t="str">
        <f t="shared" si="91"/>
        <v/>
      </c>
      <c r="AQ186" s="464"/>
      <c r="AR186" s="619"/>
      <c r="AS186" s="465" t="str">
        <f t="shared" ref="AS186:AS249" si="108">IF(OR(T186="(減車済)",T186=""),"",1)</f>
        <v/>
      </c>
      <c r="AT186" s="465" t="str">
        <f t="shared" ref="AT186:AT249" si="109">IF(OR(T186="継続",T186="新規"),1,"")</f>
        <v/>
      </c>
      <c r="AU186" s="466" t="str">
        <f t="shared" ref="AU186:AU249" si="110">IF(AS186="","",UPPER(ASC(X186)))</f>
        <v/>
      </c>
      <c r="AV186" s="467" t="str">
        <f t="shared" ref="AV186:AV249" si="111">IF(AS186="","",IF(V186="","",IF(V186="普通",1,IF(V186="小型",2,0))))</f>
        <v/>
      </c>
      <c r="AW186" s="467" t="str">
        <f t="shared" ref="AW186:AW249" si="112">IF(AS186="","",IF(W186="","",VLOOKUP(W186,用途,2,FALSE)))</f>
        <v/>
      </c>
      <c r="AX186" s="467" t="str">
        <f t="shared" ref="AX186:AX249" si="113">IF(AS186="","",IF(Y186="","",IF(Y186&lt;=10,1,IF(Y186&lt;30,2,IF(Y186&gt;=30,3,0)))))</f>
        <v/>
      </c>
      <c r="AY186" s="467" t="str">
        <f t="shared" ref="AY186:AY249" si="114">IF(AS186="","",IF(Z186="","",IF(Z186&lt;=1.7*1000,1,IF(Z186&lt;=2.5*1000,2,IF(Z186&lt;=3.5*1000,3,IF(Z186&lt;8*1000,4,IF(Z186&gt;=8*1000,5,"")))))))</f>
        <v/>
      </c>
      <c r="AZ186" s="467" t="str">
        <f t="shared" ref="AZ186:AZ249" si="115">IF(AS186="","",IF(AA186="","",VLOOKUP(AA186,燃料の種類,2,FALSE)))</f>
        <v/>
      </c>
      <c r="BA186" s="468" t="str">
        <f>IF(AS186="","",IF(OR(AU186="",AU186="-"),"－",IF(OR(AZ186=8,AZ186=9),"",IF(OR(AW186=3,AW186=4,AW186=5,AW186=6),VLOOKUP(AU186,INDEX((係数_バス貨物_ガソリン,係数_バス貨物_CNG,係数_バス貨物_軽油,係数_バス貨物_メタノール,係数_バス貨物_LPG),MATCH(AY186,【参考】排出係数!$AI$4:$AI$671,1),1,BE186):INDEX((係数_バス貨物_ガソリン,係数_バス貨物_CNG,係数_バス貨物_軽油,係数_バス貨物_メタノール,係数_バス貨物_LPG),MATCH(AY186+1,【参考】排出係数!$AI$4:$AI$671,1)-1,5,BE186),2,FALSE),IF(OR(AW186=1,AW186=2),VLOOKUP(AU186,INDEX((係数_乗用_ガソリン,係数_乗用_CNG,係数_乗用_軽油,係数_乗用_メタノール,係数_乗用_LPG),1,1,BE186):INDEX((係数_乗用_ガソリン,係数_乗用_CNG,係数_乗用_軽油,係数_乗用_メタノール,係数_乗用_LPG),125,5,BE186),2,FALSE))))))</f>
        <v/>
      </c>
      <c r="BB186" s="468" t="str">
        <f>IF(T186="","",IF(OR(AU186="",AU186="-"),"－",IF(OR(AZ186=8,AZ186=9),"",IF(OR(AW186=3,AW186=4,AW186=5,AW186=6),VLOOKUP(AU186,INDEX((係数_バス貨物_ガソリン,係数_バス貨物_CNG,係数_バス貨物_軽油,係数_バス貨物_メタノール,係数_バス貨物_LPG),MATCH(AY186,【参考】排出係数!$AI$4:$AI$671,1),1,BE186):INDEX((係数_バス貨物_ガソリン,係数_バス貨物_CNG,係数_バス貨物_軽油,係数_バス貨物_メタノール,係数_バス貨物_LPG),MATCH(AY186+1,【参考】排出係数!$AI$4:$AI$671,1)-1,5,BE186),3,FALSE),IF(OR(AW186=1,AW186=2),VLOOKUP(AU186,INDEX((係数_乗用_ガソリン,係数_乗用_CNG,係数_乗用_軽油,係数_乗用_メタノール,係数_乗用_LPG),1,1,BE186):INDEX((係数_乗用_ガソリン,係数_乗用_CNG,係数_乗用_軽油,係数_乗用_メタノール,係数_乗用_LPG),125,5,BE186),3,FALSE))))))</f>
        <v/>
      </c>
      <c r="BC186" s="467" t="str">
        <f t="shared" ref="BC186:BC249" si="116">IF((AS186="")+(AC186=""),"",IF(燃料区分1=4,VLOOKUP(BB186,排ガス低減レベル,2,FALSE),VLOOKUP(AC186,排ガス低減レベル,2,FALSE)))</f>
        <v/>
      </c>
      <c r="BD186" s="567" t="str">
        <f t="shared" ref="BD186:BD249" si="117">IF(AT186="","",IF(AW186=3,B186&amp;"-"&amp;SUM(AW186*100,AX186*10,AY186)&amp;"A",IF(OR(AW186=2,AW186=4,AW186=6),B186&amp;"-"&amp;AY186*10&amp;"A",IF(AW186=1,B186&amp;"-"&amp;AW186&amp;"A",IF(AW186=5,B186&amp;"-"&amp;SUM(AW186*100,AV186*10,AY186)&amp;"A","")))))</f>
        <v/>
      </c>
      <c r="BE186" s="467" t="str">
        <f t="shared" ref="BE186:BE249" si="118">IF(OR(AZ186=1,AZ186=2,AZ186=11),1,IF(AZ186=6,2,IF(OR(AZ186=4,AZ186=5,AZ186=10),3,IF(AZ186=7,4,IF(AZ186=3,5, IF(OR(AZ186=8,AZ186=9),6,""))))))</f>
        <v/>
      </c>
      <c r="BF186" s="469" t="str">
        <f t="shared" ref="BF186:BF249" ca="1" si="119">(IF(OR(AZ186=4,AZ186=5),OFFSET($CH$1,MATCH($AF186,$CG$2:$CG$4,0),0)&amp;BK186,""))</f>
        <v/>
      </c>
      <c r="BG186" s="469" t="str">
        <f t="shared" ref="BG186:BG249" ca="1" si="120">(IF(OR(AZ186=4,AZ186=5),OFFSET($CJ$1,MATCH($AG186,$CI$2:$CI$5,0),0)&amp;BK186,""))</f>
        <v/>
      </c>
      <c r="BH186" s="467" t="str">
        <f t="shared" ref="BH186:BH249" si="121">IF(OR(AZ186=4,AZ186=5),IF(OR(LEFT(BF186,1)="1",LEFT(BG186,1)="2",LEFT(BG186,1)="3"),1,2)&amp;BK186,"")</f>
        <v/>
      </c>
      <c r="BI186" s="467" t="str">
        <f t="shared" ref="BI186:BI249" ca="1" si="122">IF(LEFT(BF186)="1",1,IF(LEFT(BG186,1)="2",2,IF(LEFT(BG186,1)="3",3,"")))</f>
        <v/>
      </c>
      <c r="BJ186" s="469" t="str">
        <f t="shared" ref="BJ186:BJ249" si="123">IF(AT186="","",B186&amp;"-"&amp;AZ186)</f>
        <v/>
      </c>
      <c r="BK186" s="470" t="str">
        <f t="shared" si="103"/>
        <v/>
      </c>
      <c r="BL186" s="775" t="str">
        <f t="shared" ref="BL186:BL249" si="124">IF(AND(OR($T186="新規",$T186="継続"),ISBLANK($AD186)),1,"")</f>
        <v/>
      </c>
      <c r="BM186" s="775" t="str">
        <f t="shared" ref="BM186:BM249" si="125">IF(AND(OR($T186="新規",$T186="継続"),ISBLANK($AE186)),1,"")</f>
        <v/>
      </c>
    </row>
    <row r="187" spans="1:65">
      <c r="A187" s="473">
        <v>131</v>
      </c>
      <c r="B187" s="132"/>
      <c r="C187" s="332"/>
      <c r="D187" s="333"/>
      <c r="E187" s="333"/>
      <c r="F187" s="334"/>
      <c r="G187" s="337"/>
      <c r="H187" s="131"/>
      <c r="I187" s="337"/>
      <c r="J187" s="131"/>
      <c r="K187" s="458" t="str">
        <f t="shared" si="92"/>
        <v/>
      </c>
      <c r="L187" s="458">
        <f t="shared" si="104"/>
        <v>0</v>
      </c>
      <c r="M187" s="458">
        <f t="shared" si="105"/>
        <v>0</v>
      </c>
      <c r="N187" s="459" t="str">
        <f t="shared" si="93"/>
        <v/>
      </c>
      <c r="O187" s="459" t="str">
        <f t="shared" si="94"/>
        <v/>
      </c>
      <c r="P187" s="459" t="str">
        <f t="shared" si="95"/>
        <v/>
      </c>
      <c r="Q187" s="459" t="str">
        <f t="shared" si="96"/>
        <v/>
      </c>
      <c r="R187" s="459" t="str">
        <f t="shared" si="97"/>
        <v/>
      </c>
      <c r="S187" s="459" t="str">
        <f t="shared" si="98"/>
        <v/>
      </c>
      <c r="T187" s="566" t="str">
        <f t="shared" si="106"/>
        <v/>
      </c>
      <c r="U187" s="702"/>
      <c r="V187" s="132"/>
      <c r="W187" s="133"/>
      <c r="X187" s="134"/>
      <c r="Y187" s="135"/>
      <c r="Z187" s="137"/>
      <c r="AA187" s="136"/>
      <c r="AB187" s="566" t="str">
        <f t="shared" si="99"/>
        <v/>
      </c>
      <c r="AC187" s="568" t="str">
        <f t="shared" si="107"/>
        <v/>
      </c>
      <c r="AD187" s="137"/>
      <c r="AE187" s="137"/>
      <c r="AF187" s="138"/>
      <c r="AG187" s="138"/>
      <c r="AH187" s="592" t="str">
        <f t="shared" si="100"/>
        <v/>
      </c>
      <c r="AI187" s="592" t="str">
        <f t="shared" si="101"/>
        <v/>
      </c>
      <c r="AJ187" s="592" t="str">
        <f t="shared" si="102"/>
        <v/>
      </c>
      <c r="AK187" s="460" t="str">
        <f>IF(AU187="","",IF(OR(AZ187=8,AZ187=9),0,IF(OR(AW187=3,AW187=4,AW187=5,AW187=6),IF(LEFT(BF187,1)="1",INDEX(係数_NOX・PM低減,MATCH(AY187,【参考】排出係数!$AI$801:$AI$804,1),1),VLOOKUP(AU187,INDEX((係数_バス貨物_ガソリン,係数_バス貨物_CNG,係数_バス貨物_軽油,係数_バス貨物_メタノール,係数_バス貨物_LPG),MATCH(AY187,【参考】排出係数!$AI$4:$AI$671,1),1,BE187):INDEX((係数_バス貨物_ガソリン,係数_バス貨物_CNG,係数_バス貨物_軽油,係数_バス貨物_メタノール,係数_バス貨物_LPG),MATCH(AY187+1,【参考】排出係数!$AI$4:$AI$671,1)-1,5,BE187),4,FALSE)),IF(AND(BE187=3,LEFT(BF187,1)="1"),0.48,VLOOKUP(AU187,INDEX((係数_乗用_ガソリン,係数_乗用_CNG,係数_乗用_軽油,係数_乗用_メタノール,係数_乗用_LPG),1,1,BE187):INDEX((係数_乗用_ガソリン,係数_乗用_CNG,係数_乗用_軽油,係数_乗用_メタノール,係数_乗用_LPG),125,5,BE187),4,FALSE)))))</f>
        <v/>
      </c>
      <c r="AL187" s="461" t="str">
        <f t="shared" si="88"/>
        <v/>
      </c>
      <c r="AM187" s="460" t="str">
        <f>IF(AU187="","",IF(OR(AZ187=8,AZ187=9),0,IF(OR(AW187=3,AW187=4,AW187=5,AW187=6),IF(LEFT(BH187,1)="1",INDEX(係数_PM低減,MATCH(AY187,【参考】排出係数!$AI$801:$AI$804,1),MATCH(BI187,【参考】排出係数!$AL$798:$AO$798,1)),VLOOKUP(AU187,INDEX((係数_バス貨物_ガソリン,係数_バス貨物_CNG,係数_バス貨物_軽油,係数_バス貨物_メタノール,係数_バス貨物_LPG),MATCH(AY187,【参考】排出係数!$AI$4:$AI$671,1),1,BE187):INDEX((係数_バス貨物_ガソリン,係数_バス貨物_CNG,係数_バス貨物_軽油,係数_バス貨物_メタノール,係数_バス貨物_LPG),MATCH(AY187+1,【参考】排出係数!$AI$4:$AI$671,1)-1,5,BE187),5,FALSE)),IF(AND(BE187=3,LEFT(BF187,1)="1"),0.055,VLOOKUP(AU187,INDEX((係数_乗用_ガソリン,係数_乗用_CNG,係数_乗用_軽油,係数_乗用_メタノール,係数_乗用_LPG),1,1,BE187):INDEX((係数_乗用_ガソリン,係数_乗用_CNG,係数_乗用_軽油,係数_乗用_メタノール,係数_乗用_LPG),125,5,BE187),5,FALSE)))))</f>
        <v/>
      </c>
      <c r="AN187" s="461" t="str">
        <f t="shared" si="89"/>
        <v/>
      </c>
      <c r="AO187" s="462" t="str">
        <f t="shared" si="90"/>
        <v/>
      </c>
      <c r="AP187" s="463" t="str">
        <f t="shared" si="91"/>
        <v/>
      </c>
      <c r="AQ187" s="464"/>
      <c r="AR187" s="619"/>
      <c r="AS187" s="465" t="str">
        <f t="shared" si="108"/>
        <v/>
      </c>
      <c r="AT187" s="465" t="str">
        <f t="shared" si="109"/>
        <v/>
      </c>
      <c r="AU187" s="466" t="str">
        <f t="shared" si="110"/>
        <v/>
      </c>
      <c r="AV187" s="467" t="str">
        <f t="shared" si="111"/>
        <v/>
      </c>
      <c r="AW187" s="467" t="str">
        <f t="shared" si="112"/>
        <v/>
      </c>
      <c r="AX187" s="467" t="str">
        <f t="shared" si="113"/>
        <v/>
      </c>
      <c r="AY187" s="467" t="str">
        <f t="shared" si="114"/>
        <v/>
      </c>
      <c r="AZ187" s="467" t="str">
        <f t="shared" si="115"/>
        <v/>
      </c>
      <c r="BA187" s="468" t="str">
        <f>IF(AS187="","",IF(OR(AU187="",AU187="-"),"－",IF(OR(AZ187=8,AZ187=9),"",IF(OR(AW187=3,AW187=4,AW187=5,AW187=6),VLOOKUP(AU187,INDEX((係数_バス貨物_ガソリン,係数_バス貨物_CNG,係数_バス貨物_軽油,係数_バス貨物_メタノール,係数_バス貨物_LPG),MATCH(AY187,【参考】排出係数!$AI$4:$AI$671,1),1,BE187):INDEX((係数_バス貨物_ガソリン,係数_バス貨物_CNG,係数_バス貨物_軽油,係数_バス貨物_メタノール,係数_バス貨物_LPG),MATCH(AY187+1,【参考】排出係数!$AI$4:$AI$671,1)-1,5,BE187),2,FALSE),IF(OR(AW187=1,AW187=2),VLOOKUP(AU187,INDEX((係数_乗用_ガソリン,係数_乗用_CNG,係数_乗用_軽油,係数_乗用_メタノール,係数_乗用_LPG),1,1,BE187):INDEX((係数_乗用_ガソリン,係数_乗用_CNG,係数_乗用_軽油,係数_乗用_メタノール,係数_乗用_LPG),125,5,BE187),2,FALSE))))))</f>
        <v/>
      </c>
      <c r="BB187" s="468" t="str">
        <f>IF(T187="","",IF(OR(AU187="",AU187="-"),"－",IF(OR(AZ187=8,AZ187=9),"",IF(OR(AW187=3,AW187=4,AW187=5,AW187=6),VLOOKUP(AU187,INDEX((係数_バス貨物_ガソリン,係数_バス貨物_CNG,係数_バス貨物_軽油,係数_バス貨物_メタノール,係数_バス貨物_LPG),MATCH(AY187,【参考】排出係数!$AI$4:$AI$671,1),1,BE187):INDEX((係数_バス貨物_ガソリン,係数_バス貨物_CNG,係数_バス貨物_軽油,係数_バス貨物_メタノール,係数_バス貨物_LPG),MATCH(AY187+1,【参考】排出係数!$AI$4:$AI$671,1)-1,5,BE187),3,FALSE),IF(OR(AW187=1,AW187=2),VLOOKUP(AU187,INDEX((係数_乗用_ガソリン,係数_乗用_CNG,係数_乗用_軽油,係数_乗用_メタノール,係数_乗用_LPG),1,1,BE187):INDEX((係数_乗用_ガソリン,係数_乗用_CNG,係数_乗用_軽油,係数_乗用_メタノール,係数_乗用_LPG),125,5,BE187),3,FALSE))))))</f>
        <v/>
      </c>
      <c r="BC187" s="467" t="str">
        <f t="shared" si="116"/>
        <v/>
      </c>
      <c r="BD187" s="567" t="str">
        <f t="shared" si="117"/>
        <v/>
      </c>
      <c r="BE187" s="467" t="str">
        <f t="shared" si="118"/>
        <v/>
      </c>
      <c r="BF187" s="469" t="str">
        <f t="shared" ca="1" si="119"/>
        <v/>
      </c>
      <c r="BG187" s="469" t="str">
        <f t="shared" ca="1" si="120"/>
        <v/>
      </c>
      <c r="BH187" s="467" t="str">
        <f t="shared" si="121"/>
        <v/>
      </c>
      <c r="BI187" s="467" t="str">
        <f t="shared" ca="1" si="122"/>
        <v/>
      </c>
      <c r="BJ187" s="469" t="str">
        <f t="shared" si="123"/>
        <v/>
      </c>
      <c r="BK187" s="470" t="str">
        <f t="shared" si="103"/>
        <v/>
      </c>
      <c r="BL187" s="775" t="str">
        <f t="shared" si="124"/>
        <v/>
      </c>
      <c r="BM187" s="775" t="str">
        <f t="shared" si="125"/>
        <v/>
      </c>
    </row>
    <row r="188" spans="1:65">
      <c r="A188" s="473">
        <v>132</v>
      </c>
      <c r="B188" s="132"/>
      <c r="C188" s="332"/>
      <c r="D188" s="333"/>
      <c r="E188" s="333"/>
      <c r="F188" s="334"/>
      <c r="G188" s="337"/>
      <c r="H188" s="131"/>
      <c r="I188" s="337"/>
      <c r="J188" s="131"/>
      <c r="K188" s="458" t="str">
        <f t="shared" si="92"/>
        <v/>
      </c>
      <c r="L188" s="458">
        <f t="shared" si="104"/>
        <v>0</v>
      </c>
      <c r="M188" s="458">
        <f t="shared" si="105"/>
        <v>0</v>
      </c>
      <c r="N188" s="459" t="str">
        <f t="shared" si="93"/>
        <v/>
      </c>
      <c r="O188" s="459" t="str">
        <f t="shared" si="94"/>
        <v/>
      </c>
      <c r="P188" s="459" t="str">
        <f t="shared" si="95"/>
        <v/>
      </c>
      <c r="Q188" s="459" t="str">
        <f t="shared" si="96"/>
        <v/>
      </c>
      <c r="R188" s="459" t="str">
        <f t="shared" si="97"/>
        <v/>
      </c>
      <c r="S188" s="459" t="str">
        <f t="shared" si="98"/>
        <v/>
      </c>
      <c r="T188" s="566" t="str">
        <f t="shared" si="106"/>
        <v/>
      </c>
      <c r="U188" s="702"/>
      <c r="V188" s="132"/>
      <c r="W188" s="133"/>
      <c r="X188" s="134"/>
      <c r="Y188" s="135"/>
      <c r="Z188" s="137"/>
      <c r="AA188" s="136"/>
      <c r="AB188" s="566" t="str">
        <f t="shared" si="99"/>
        <v/>
      </c>
      <c r="AC188" s="568" t="str">
        <f t="shared" si="107"/>
        <v/>
      </c>
      <c r="AD188" s="137"/>
      <c r="AE188" s="137"/>
      <c r="AF188" s="138"/>
      <c r="AG188" s="138"/>
      <c r="AH188" s="592" t="str">
        <f t="shared" si="100"/>
        <v/>
      </c>
      <c r="AI188" s="592" t="str">
        <f t="shared" si="101"/>
        <v/>
      </c>
      <c r="AJ188" s="592" t="str">
        <f t="shared" si="102"/>
        <v/>
      </c>
      <c r="AK188" s="460" t="str">
        <f>IF(AU188="","",IF(OR(AZ188=8,AZ188=9),0,IF(OR(AW188=3,AW188=4,AW188=5,AW188=6),IF(LEFT(BF188,1)="1",INDEX(係数_NOX・PM低減,MATCH(AY188,【参考】排出係数!$AI$801:$AI$804,1),1),VLOOKUP(AU188,INDEX((係数_バス貨物_ガソリン,係数_バス貨物_CNG,係数_バス貨物_軽油,係数_バス貨物_メタノール,係数_バス貨物_LPG),MATCH(AY188,【参考】排出係数!$AI$4:$AI$671,1),1,BE188):INDEX((係数_バス貨物_ガソリン,係数_バス貨物_CNG,係数_バス貨物_軽油,係数_バス貨物_メタノール,係数_バス貨物_LPG),MATCH(AY188+1,【参考】排出係数!$AI$4:$AI$671,1)-1,5,BE188),4,FALSE)),IF(AND(BE188=3,LEFT(BF188,1)="1"),0.48,VLOOKUP(AU188,INDEX((係数_乗用_ガソリン,係数_乗用_CNG,係数_乗用_軽油,係数_乗用_メタノール,係数_乗用_LPG),1,1,BE188):INDEX((係数_乗用_ガソリン,係数_乗用_CNG,係数_乗用_軽油,係数_乗用_メタノール,係数_乗用_LPG),125,5,BE188),4,FALSE)))))</f>
        <v/>
      </c>
      <c r="AL188" s="461" t="str">
        <f t="shared" ref="AL188:AL251" si="126">IF(AU188="","",IF(Z188&lt;=3.5*1000,AD188*AK188/1000,IF(Z188&gt;3.5*1000,AD188*Z188*AK188/1000/1000)))</f>
        <v/>
      </c>
      <c r="AM188" s="460" t="str">
        <f>IF(AU188="","",IF(OR(AZ188=8,AZ188=9),0,IF(OR(AW188=3,AW188=4,AW188=5,AW188=6),IF(LEFT(BH188,1)="1",INDEX(係数_PM低減,MATCH(AY188,【参考】排出係数!$AI$801:$AI$804,1),MATCH(BI188,【参考】排出係数!$AL$798:$AO$798,1)),VLOOKUP(AU188,INDEX((係数_バス貨物_ガソリン,係数_バス貨物_CNG,係数_バス貨物_軽油,係数_バス貨物_メタノール,係数_バス貨物_LPG),MATCH(AY188,【参考】排出係数!$AI$4:$AI$671,1),1,BE188):INDEX((係数_バス貨物_ガソリン,係数_バス貨物_CNG,係数_バス貨物_軽油,係数_バス貨物_メタノール,係数_バス貨物_LPG),MATCH(AY188+1,【参考】排出係数!$AI$4:$AI$671,1)-1,5,BE188),5,FALSE)),IF(AND(BE188=3,LEFT(BF188,1)="1"),0.055,VLOOKUP(AU188,INDEX((係数_乗用_ガソリン,係数_乗用_CNG,係数_乗用_軽油,係数_乗用_メタノール,係数_乗用_LPG),1,1,BE188):INDEX((係数_乗用_ガソリン,係数_乗用_CNG,係数_乗用_軽油,係数_乗用_メタノール,係数_乗用_LPG),125,5,BE188),5,FALSE)))))</f>
        <v/>
      </c>
      <c r="AN188" s="461" t="str">
        <f t="shared" ref="AN188:AN251" si="127">IF(AU188="","",IF(Z188&lt;=3.5*1000,AD188*AM188/1000,IF(Z188&gt;3.5*1000,AD188*Z188*AM188/1000/1000)))</f>
        <v/>
      </c>
      <c r="AO188" s="462" t="str">
        <f t="shared" ref="AO188:AO251" si="128">IF(AU188="","",IF(Z188&lt;500,"車両重量",IF(OR(AZ188=8,AZ188=9),0,IF(OR(AZ188=1,AZ188=2,AZ188=11),2.32,IF(OR(AZ188=4,AZ188=5,AZ188=11),2.58,IF(AZ188=3,3,IF(AZ188=6,2.23,IF(AZ188=7,1.37,0))))))))</f>
        <v/>
      </c>
      <c r="AP188" s="463" t="str">
        <f t="shared" ref="AP188:AP251" si="129">IF(AU188="","",AE188*AO188/1000)</f>
        <v/>
      </c>
      <c r="AQ188" s="464"/>
      <c r="AR188" s="619"/>
      <c r="AS188" s="465" t="str">
        <f t="shared" si="108"/>
        <v/>
      </c>
      <c r="AT188" s="465" t="str">
        <f t="shared" si="109"/>
        <v/>
      </c>
      <c r="AU188" s="466" t="str">
        <f t="shared" si="110"/>
        <v/>
      </c>
      <c r="AV188" s="467" t="str">
        <f t="shared" si="111"/>
        <v/>
      </c>
      <c r="AW188" s="467" t="str">
        <f t="shared" si="112"/>
        <v/>
      </c>
      <c r="AX188" s="467" t="str">
        <f t="shared" si="113"/>
        <v/>
      </c>
      <c r="AY188" s="467" t="str">
        <f t="shared" si="114"/>
        <v/>
      </c>
      <c r="AZ188" s="467" t="str">
        <f t="shared" si="115"/>
        <v/>
      </c>
      <c r="BA188" s="468" t="str">
        <f>IF(AS188="","",IF(OR(AU188="",AU188="-"),"－",IF(OR(AZ188=8,AZ188=9),"",IF(OR(AW188=3,AW188=4,AW188=5,AW188=6),VLOOKUP(AU188,INDEX((係数_バス貨物_ガソリン,係数_バス貨物_CNG,係数_バス貨物_軽油,係数_バス貨物_メタノール,係数_バス貨物_LPG),MATCH(AY188,【参考】排出係数!$AI$4:$AI$671,1),1,BE188):INDEX((係数_バス貨物_ガソリン,係数_バス貨物_CNG,係数_バス貨物_軽油,係数_バス貨物_メタノール,係数_バス貨物_LPG),MATCH(AY188+1,【参考】排出係数!$AI$4:$AI$671,1)-1,5,BE188),2,FALSE),IF(OR(AW188=1,AW188=2),VLOOKUP(AU188,INDEX((係数_乗用_ガソリン,係数_乗用_CNG,係数_乗用_軽油,係数_乗用_メタノール,係数_乗用_LPG),1,1,BE188):INDEX((係数_乗用_ガソリン,係数_乗用_CNG,係数_乗用_軽油,係数_乗用_メタノール,係数_乗用_LPG),125,5,BE188),2,FALSE))))))</f>
        <v/>
      </c>
      <c r="BB188" s="468" t="str">
        <f>IF(T188="","",IF(OR(AU188="",AU188="-"),"－",IF(OR(AZ188=8,AZ188=9),"",IF(OR(AW188=3,AW188=4,AW188=5,AW188=6),VLOOKUP(AU188,INDEX((係数_バス貨物_ガソリン,係数_バス貨物_CNG,係数_バス貨物_軽油,係数_バス貨物_メタノール,係数_バス貨物_LPG),MATCH(AY188,【参考】排出係数!$AI$4:$AI$671,1),1,BE188):INDEX((係数_バス貨物_ガソリン,係数_バス貨物_CNG,係数_バス貨物_軽油,係数_バス貨物_メタノール,係数_バス貨物_LPG),MATCH(AY188+1,【参考】排出係数!$AI$4:$AI$671,1)-1,5,BE188),3,FALSE),IF(OR(AW188=1,AW188=2),VLOOKUP(AU188,INDEX((係数_乗用_ガソリン,係数_乗用_CNG,係数_乗用_軽油,係数_乗用_メタノール,係数_乗用_LPG),1,1,BE188):INDEX((係数_乗用_ガソリン,係数_乗用_CNG,係数_乗用_軽油,係数_乗用_メタノール,係数_乗用_LPG),125,5,BE188),3,FALSE))))))</f>
        <v/>
      </c>
      <c r="BC188" s="467" t="str">
        <f t="shared" si="116"/>
        <v/>
      </c>
      <c r="BD188" s="567" t="str">
        <f t="shared" si="117"/>
        <v/>
      </c>
      <c r="BE188" s="467" t="str">
        <f t="shared" si="118"/>
        <v/>
      </c>
      <c r="BF188" s="469" t="str">
        <f t="shared" ca="1" si="119"/>
        <v/>
      </c>
      <c r="BG188" s="469" t="str">
        <f t="shared" ca="1" si="120"/>
        <v/>
      </c>
      <c r="BH188" s="467" t="str">
        <f t="shared" si="121"/>
        <v/>
      </c>
      <c r="BI188" s="467" t="str">
        <f t="shared" ca="1" si="122"/>
        <v/>
      </c>
      <c r="BJ188" s="469" t="str">
        <f t="shared" si="123"/>
        <v/>
      </c>
      <c r="BK188" s="470" t="str">
        <f t="shared" si="103"/>
        <v/>
      </c>
      <c r="BL188" s="775" t="str">
        <f t="shared" si="124"/>
        <v/>
      </c>
      <c r="BM188" s="775" t="str">
        <f t="shared" si="125"/>
        <v/>
      </c>
    </row>
    <row r="189" spans="1:65">
      <c r="A189" s="473">
        <v>133</v>
      </c>
      <c r="B189" s="132"/>
      <c r="C189" s="332"/>
      <c r="D189" s="333"/>
      <c r="E189" s="333"/>
      <c r="F189" s="334"/>
      <c r="G189" s="337"/>
      <c r="H189" s="131"/>
      <c r="I189" s="337"/>
      <c r="J189" s="131"/>
      <c r="K189" s="458" t="str">
        <f t="shared" si="92"/>
        <v/>
      </c>
      <c r="L189" s="458">
        <f t="shared" si="104"/>
        <v>0</v>
      </c>
      <c r="M189" s="458">
        <f t="shared" si="105"/>
        <v>0</v>
      </c>
      <c r="N189" s="459" t="str">
        <f t="shared" si="93"/>
        <v/>
      </c>
      <c r="O189" s="459" t="str">
        <f t="shared" si="94"/>
        <v/>
      </c>
      <c r="P189" s="459" t="str">
        <f t="shared" si="95"/>
        <v/>
      </c>
      <c r="Q189" s="459" t="str">
        <f t="shared" si="96"/>
        <v/>
      </c>
      <c r="R189" s="459" t="str">
        <f t="shared" si="97"/>
        <v/>
      </c>
      <c r="S189" s="459" t="str">
        <f t="shared" si="98"/>
        <v/>
      </c>
      <c r="T189" s="566" t="str">
        <f t="shared" si="106"/>
        <v/>
      </c>
      <c r="U189" s="702"/>
      <c r="V189" s="132"/>
      <c r="W189" s="133"/>
      <c r="X189" s="134"/>
      <c r="Y189" s="135"/>
      <c r="Z189" s="137"/>
      <c r="AA189" s="136"/>
      <c r="AB189" s="566" t="str">
        <f t="shared" si="99"/>
        <v/>
      </c>
      <c r="AC189" s="568" t="str">
        <f t="shared" si="107"/>
        <v/>
      </c>
      <c r="AD189" s="137"/>
      <c r="AE189" s="137"/>
      <c r="AF189" s="138"/>
      <c r="AG189" s="138"/>
      <c r="AH189" s="592" t="str">
        <f t="shared" si="100"/>
        <v/>
      </c>
      <c r="AI189" s="592" t="str">
        <f t="shared" si="101"/>
        <v/>
      </c>
      <c r="AJ189" s="592" t="str">
        <f t="shared" si="102"/>
        <v/>
      </c>
      <c r="AK189" s="460" t="str">
        <f>IF(AU189="","",IF(OR(AZ189=8,AZ189=9),0,IF(OR(AW189=3,AW189=4,AW189=5,AW189=6),IF(LEFT(BF189,1)="1",INDEX(係数_NOX・PM低減,MATCH(AY189,【参考】排出係数!$AI$801:$AI$804,1),1),VLOOKUP(AU189,INDEX((係数_バス貨物_ガソリン,係数_バス貨物_CNG,係数_バス貨物_軽油,係数_バス貨物_メタノール,係数_バス貨物_LPG),MATCH(AY189,【参考】排出係数!$AI$4:$AI$671,1),1,BE189):INDEX((係数_バス貨物_ガソリン,係数_バス貨物_CNG,係数_バス貨物_軽油,係数_バス貨物_メタノール,係数_バス貨物_LPG),MATCH(AY189+1,【参考】排出係数!$AI$4:$AI$671,1)-1,5,BE189),4,FALSE)),IF(AND(BE189=3,LEFT(BF189,1)="1"),0.48,VLOOKUP(AU189,INDEX((係数_乗用_ガソリン,係数_乗用_CNG,係数_乗用_軽油,係数_乗用_メタノール,係数_乗用_LPG),1,1,BE189):INDEX((係数_乗用_ガソリン,係数_乗用_CNG,係数_乗用_軽油,係数_乗用_メタノール,係数_乗用_LPG),125,5,BE189),4,FALSE)))))</f>
        <v/>
      </c>
      <c r="AL189" s="461" t="str">
        <f t="shared" si="126"/>
        <v/>
      </c>
      <c r="AM189" s="460" t="str">
        <f>IF(AU189="","",IF(OR(AZ189=8,AZ189=9),0,IF(OR(AW189=3,AW189=4,AW189=5,AW189=6),IF(LEFT(BH189,1)="1",INDEX(係数_PM低減,MATCH(AY189,【参考】排出係数!$AI$801:$AI$804,1),MATCH(BI189,【参考】排出係数!$AL$798:$AO$798,1)),VLOOKUP(AU189,INDEX((係数_バス貨物_ガソリン,係数_バス貨物_CNG,係数_バス貨物_軽油,係数_バス貨物_メタノール,係数_バス貨物_LPG),MATCH(AY189,【参考】排出係数!$AI$4:$AI$671,1),1,BE189):INDEX((係数_バス貨物_ガソリン,係数_バス貨物_CNG,係数_バス貨物_軽油,係数_バス貨物_メタノール,係数_バス貨物_LPG),MATCH(AY189+1,【参考】排出係数!$AI$4:$AI$671,1)-1,5,BE189),5,FALSE)),IF(AND(BE189=3,LEFT(BF189,1)="1"),0.055,VLOOKUP(AU189,INDEX((係数_乗用_ガソリン,係数_乗用_CNG,係数_乗用_軽油,係数_乗用_メタノール,係数_乗用_LPG),1,1,BE189):INDEX((係数_乗用_ガソリン,係数_乗用_CNG,係数_乗用_軽油,係数_乗用_メタノール,係数_乗用_LPG),125,5,BE189),5,FALSE)))))</f>
        <v/>
      </c>
      <c r="AN189" s="461" t="str">
        <f t="shared" si="127"/>
        <v/>
      </c>
      <c r="AO189" s="462" t="str">
        <f t="shared" si="128"/>
        <v/>
      </c>
      <c r="AP189" s="463" t="str">
        <f t="shared" si="129"/>
        <v/>
      </c>
      <c r="AQ189" s="464"/>
      <c r="AR189" s="619"/>
      <c r="AS189" s="465" t="str">
        <f t="shared" si="108"/>
        <v/>
      </c>
      <c r="AT189" s="465" t="str">
        <f t="shared" si="109"/>
        <v/>
      </c>
      <c r="AU189" s="466" t="str">
        <f t="shared" si="110"/>
        <v/>
      </c>
      <c r="AV189" s="467" t="str">
        <f t="shared" si="111"/>
        <v/>
      </c>
      <c r="AW189" s="467" t="str">
        <f t="shared" si="112"/>
        <v/>
      </c>
      <c r="AX189" s="467" t="str">
        <f t="shared" si="113"/>
        <v/>
      </c>
      <c r="AY189" s="467" t="str">
        <f t="shared" si="114"/>
        <v/>
      </c>
      <c r="AZ189" s="467" t="str">
        <f t="shared" si="115"/>
        <v/>
      </c>
      <c r="BA189" s="468" t="str">
        <f>IF(AS189="","",IF(OR(AU189="",AU189="-"),"－",IF(OR(AZ189=8,AZ189=9),"",IF(OR(AW189=3,AW189=4,AW189=5,AW189=6),VLOOKUP(AU189,INDEX((係数_バス貨物_ガソリン,係数_バス貨物_CNG,係数_バス貨物_軽油,係数_バス貨物_メタノール,係数_バス貨物_LPG),MATCH(AY189,【参考】排出係数!$AI$4:$AI$671,1),1,BE189):INDEX((係数_バス貨物_ガソリン,係数_バス貨物_CNG,係数_バス貨物_軽油,係数_バス貨物_メタノール,係数_バス貨物_LPG),MATCH(AY189+1,【参考】排出係数!$AI$4:$AI$671,1)-1,5,BE189),2,FALSE),IF(OR(AW189=1,AW189=2),VLOOKUP(AU189,INDEX((係数_乗用_ガソリン,係数_乗用_CNG,係数_乗用_軽油,係数_乗用_メタノール,係数_乗用_LPG),1,1,BE189):INDEX((係数_乗用_ガソリン,係数_乗用_CNG,係数_乗用_軽油,係数_乗用_メタノール,係数_乗用_LPG),125,5,BE189),2,FALSE))))))</f>
        <v/>
      </c>
      <c r="BB189" s="468" t="str">
        <f>IF(T189="","",IF(OR(AU189="",AU189="-"),"－",IF(OR(AZ189=8,AZ189=9),"",IF(OR(AW189=3,AW189=4,AW189=5,AW189=6),VLOOKUP(AU189,INDEX((係数_バス貨物_ガソリン,係数_バス貨物_CNG,係数_バス貨物_軽油,係数_バス貨物_メタノール,係数_バス貨物_LPG),MATCH(AY189,【参考】排出係数!$AI$4:$AI$671,1),1,BE189):INDEX((係数_バス貨物_ガソリン,係数_バス貨物_CNG,係数_バス貨物_軽油,係数_バス貨物_メタノール,係数_バス貨物_LPG),MATCH(AY189+1,【参考】排出係数!$AI$4:$AI$671,1)-1,5,BE189),3,FALSE),IF(OR(AW189=1,AW189=2),VLOOKUP(AU189,INDEX((係数_乗用_ガソリン,係数_乗用_CNG,係数_乗用_軽油,係数_乗用_メタノール,係数_乗用_LPG),1,1,BE189):INDEX((係数_乗用_ガソリン,係数_乗用_CNG,係数_乗用_軽油,係数_乗用_メタノール,係数_乗用_LPG),125,5,BE189),3,FALSE))))))</f>
        <v/>
      </c>
      <c r="BC189" s="467" t="str">
        <f t="shared" si="116"/>
        <v/>
      </c>
      <c r="BD189" s="567" t="str">
        <f t="shared" si="117"/>
        <v/>
      </c>
      <c r="BE189" s="467" t="str">
        <f t="shared" si="118"/>
        <v/>
      </c>
      <c r="BF189" s="469" t="str">
        <f t="shared" ca="1" si="119"/>
        <v/>
      </c>
      <c r="BG189" s="469" t="str">
        <f t="shared" ca="1" si="120"/>
        <v/>
      </c>
      <c r="BH189" s="467" t="str">
        <f t="shared" si="121"/>
        <v/>
      </c>
      <c r="BI189" s="467" t="str">
        <f t="shared" ca="1" si="122"/>
        <v/>
      </c>
      <c r="BJ189" s="469" t="str">
        <f t="shared" si="123"/>
        <v/>
      </c>
      <c r="BK189" s="470" t="str">
        <f t="shared" si="103"/>
        <v/>
      </c>
      <c r="BL189" s="775" t="str">
        <f t="shared" si="124"/>
        <v/>
      </c>
      <c r="BM189" s="775" t="str">
        <f t="shared" si="125"/>
        <v/>
      </c>
    </row>
    <row r="190" spans="1:65">
      <c r="A190" s="473">
        <v>134</v>
      </c>
      <c r="B190" s="132"/>
      <c r="C190" s="332"/>
      <c r="D190" s="333"/>
      <c r="E190" s="333"/>
      <c r="F190" s="334"/>
      <c r="G190" s="337"/>
      <c r="H190" s="131"/>
      <c r="I190" s="337"/>
      <c r="J190" s="131"/>
      <c r="K190" s="458" t="str">
        <f t="shared" si="92"/>
        <v/>
      </c>
      <c r="L190" s="458">
        <f t="shared" si="104"/>
        <v>0</v>
      </c>
      <c r="M190" s="458">
        <f t="shared" si="105"/>
        <v>0</v>
      </c>
      <c r="N190" s="459" t="str">
        <f t="shared" si="93"/>
        <v/>
      </c>
      <c r="O190" s="459" t="str">
        <f t="shared" si="94"/>
        <v/>
      </c>
      <c r="P190" s="459" t="str">
        <f t="shared" si="95"/>
        <v/>
      </c>
      <c r="Q190" s="459" t="str">
        <f t="shared" si="96"/>
        <v/>
      </c>
      <c r="R190" s="459" t="str">
        <f t="shared" si="97"/>
        <v/>
      </c>
      <c r="S190" s="459" t="str">
        <f t="shared" si="98"/>
        <v/>
      </c>
      <c r="T190" s="566" t="str">
        <f t="shared" si="106"/>
        <v/>
      </c>
      <c r="U190" s="702"/>
      <c r="V190" s="132"/>
      <c r="W190" s="133"/>
      <c r="X190" s="134"/>
      <c r="Y190" s="135"/>
      <c r="Z190" s="137"/>
      <c r="AA190" s="136"/>
      <c r="AB190" s="566" t="str">
        <f t="shared" si="99"/>
        <v/>
      </c>
      <c r="AC190" s="568" t="str">
        <f t="shared" si="107"/>
        <v/>
      </c>
      <c r="AD190" s="137"/>
      <c r="AE190" s="137"/>
      <c r="AF190" s="138"/>
      <c r="AG190" s="138"/>
      <c r="AH190" s="592" t="str">
        <f t="shared" si="100"/>
        <v/>
      </c>
      <c r="AI190" s="592" t="str">
        <f t="shared" si="101"/>
        <v/>
      </c>
      <c r="AJ190" s="592" t="str">
        <f t="shared" si="102"/>
        <v/>
      </c>
      <c r="AK190" s="460" t="str">
        <f>IF(AU190="","",IF(OR(AZ190=8,AZ190=9),0,IF(OR(AW190=3,AW190=4,AW190=5,AW190=6),IF(LEFT(BF190,1)="1",INDEX(係数_NOX・PM低減,MATCH(AY190,【参考】排出係数!$AI$801:$AI$804,1),1),VLOOKUP(AU190,INDEX((係数_バス貨物_ガソリン,係数_バス貨物_CNG,係数_バス貨物_軽油,係数_バス貨物_メタノール,係数_バス貨物_LPG),MATCH(AY190,【参考】排出係数!$AI$4:$AI$671,1),1,BE190):INDEX((係数_バス貨物_ガソリン,係数_バス貨物_CNG,係数_バス貨物_軽油,係数_バス貨物_メタノール,係数_バス貨物_LPG),MATCH(AY190+1,【参考】排出係数!$AI$4:$AI$671,1)-1,5,BE190),4,FALSE)),IF(AND(BE190=3,LEFT(BF190,1)="1"),0.48,VLOOKUP(AU190,INDEX((係数_乗用_ガソリン,係数_乗用_CNG,係数_乗用_軽油,係数_乗用_メタノール,係数_乗用_LPG),1,1,BE190):INDEX((係数_乗用_ガソリン,係数_乗用_CNG,係数_乗用_軽油,係数_乗用_メタノール,係数_乗用_LPG),125,5,BE190),4,FALSE)))))</f>
        <v/>
      </c>
      <c r="AL190" s="461" t="str">
        <f t="shared" si="126"/>
        <v/>
      </c>
      <c r="AM190" s="460" t="str">
        <f>IF(AU190="","",IF(OR(AZ190=8,AZ190=9),0,IF(OR(AW190=3,AW190=4,AW190=5,AW190=6),IF(LEFT(BH190,1)="1",INDEX(係数_PM低減,MATCH(AY190,【参考】排出係数!$AI$801:$AI$804,1),MATCH(BI190,【参考】排出係数!$AL$798:$AO$798,1)),VLOOKUP(AU190,INDEX((係数_バス貨物_ガソリン,係数_バス貨物_CNG,係数_バス貨物_軽油,係数_バス貨物_メタノール,係数_バス貨物_LPG),MATCH(AY190,【参考】排出係数!$AI$4:$AI$671,1),1,BE190):INDEX((係数_バス貨物_ガソリン,係数_バス貨物_CNG,係数_バス貨物_軽油,係数_バス貨物_メタノール,係数_バス貨物_LPG),MATCH(AY190+1,【参考】排出係数!$AI$4:$AI$671,1)-1,5,BE190),5,FALSE)),IF(AND(BE190=3,LEFT(BF190,1)="1"),0.055,VLOOKUP(AU190,INDEX((係数_乗用_ガソリン,係数_乗用_CNG,係数_乗用_軽油,係数_乗用_メタノール,係数_乗用_LPG),1,1,BE190):INDEX((係数_乗用_ガソリン,係数_乗用_CNG,係数_乗用_軽油,係数_乗用_メタノール,係数_乗用_LPG),125,5,BE190),5,FALSE)))))</f>
        <v/>
      </c>
      <c r="AN190" s="461" t="str">
        <f t="shared" si="127"/>
        <v/>
      </c>
      <c r="AO190" s="462" t="str">
        <f t="shared" si="128"/>
        <v/>
      </c>
      <c r="AP190" s="463" t="str">
        <f t="shared" si="129"/>
        <v/>
      </c>
      <c r="AQ190" s="464"/>
      <c r="AR190" s="619"/>
      <c r="AS190" s="465" t="str">
        <f t="shared" si="108"/>
        <v/>
      </c>
      <c r="AT190" s="465" t="str">
        <f t="shared" si="109"/>
        <v/>
      </c>
      <c r="AU190" s="466" t="str">
        <f t="shared" si="110"/>
        <v/>
      </c>
      <c r="AV190" s="467" t="str">
        <f t="shared" si="111"/>
        <v/>
      </c>
      <c r="AW190" s="467" t="str">
        <f t="shared" si="112"/>
        <v/>
      </c>
      <c r="AX190" s="467" t="str">
        <f t="shared" si="113"/>
        <v/>
      </c>
      <c r="AY190" s="467" t="str">
        <f t="shared" si="114"/>
        <v/>
      </c>
      <c r="AZ190" s="467" t="str">
        <f t="shared" si="115"/>
        <v/>
      </c>
      <c r="BA190" s="468" t="str">
        <f>IF(AS190="","",IF(OR(AU190="",AU190="-"),"－",IF(OR(AZ190=8,AZ190=9),"",IF(OR(AW190=3,AW190=4,AW190=5,AW190=6),VLOOKUP(AU190,INDEX((係数_バス貨物_ガソリン,係数_バス貨物_CNG,係数_バス貨物_軽油,係数_バス貨物_メタノール,係数_バス貨物_LPG),MATCH(AY190,【参考】排出係数!$AI$4:$AI$671,1),1,BE190):INDEX((係数_バス貨物_ガソリン,係数_バス貨物_CNG,係数_バス貨物_軽油,係数_バス貨物_メタノール,係数_バス貨物_LPG),MATCH(AY190+1,【参考】排出係数!$AI$4:$AI$671,1)-1,5,BE190),2,FALSE),IF(OR(AW190=1,AW190=2),VLOOKUP(AU190,INDEX((係数_乗用_ガソリン,係数_乗用_CNG,係数_乗用_軽油,係数_乗用_メタノール,係数_乗用_LPG),1,1,BE190):INDEX((係数_乗用_ガソリン,係数_乗用_CNG,係数_乗用_軽油,係数_乗用_メタノール,係数_乗用_LPG),125,5,BE190),2,FALSE))))))</f>
        <v/>
      </c>
      <c r="BB190" s="468" t="str">
        <f>IF(T190="","",IF(OR(AU190="",AU190="-"),"－",IF(OR(AZ190=8,AZ190=9),"",IF(OR(AW190=3,AW190=4,AW190=5,AW190=6),VLOOKUP(AU190,INDEX((係数_バス貨物_ガソリン,係数_バス貨物_CNG,係数_バス貨物_軽油,係数_バス貨物_メタノール,係数_バス貨物_LPG),MATCH(AY190,【参考】排出係数!$AI$4:$AI$671,1),1,BE190):INDEX((係数_バス貨物_ガソリン,係数_バス貨物_CNG,係数_バス貨物_軽油,係数_バス貨物_メタノール,係数_バス貨物_LPG),MATCH(AY190+1,【参考】排出係数!$AI$4:$AI$671,1)-1,5,BE190),3,FALSE),IF(OR(AW190=1,AW190=2),VLOOKUP(AU190,INDEX((係数_乗用_ガソリン,係数_乗用_CNG,係数_乗用_軽油,係数_乗用_メタノール,係数_乗用_LPG),1,1,BE190):INDEX((係数_乗用_ガソリン,係数_乗用_CNG,係数_乗用_軽油,係数_乗用_メタノール,係数_乗用_LPG),125,5,BE190),3,FALSE))))))</f>
        <v/>
      </c>
      <c r="BC190" s="467" t="str">
        <f t="shared" si="116"/>
        <v/>
      </c>
      <c r="BD190" s="567" t="str">
        <f t="shared" si="117"/>
        <v/>
      </c>
      <c r="BE190" s="467" t="str">
        <f t="shared" si="118"/>
        <v/>
      </c>
      <c r="BF190" s="469" t="str">
        <f t="shared" ca="1" si="119"/>
        <v/>
      </c>
      <c r="BG190" s="469" t="str">
        <f t="shared" ca="1" si="120"/>
        <v/>
      </c>
      <c r="BH190" s="467" t="str">
        <f t="shared" si="121"/>
        <v/>
      </c>
      <c r="BI190" s="467" t="str">
        <f t="shared" ca="1" si="122"/>
        <v/>
      </c>
      <c r="BJ190" s="469" t="str">
        <f t="shared" si="123"/>
        <v/>
      </c>
      <c r="BK190" s="470" t="str">
        <f t="shared" si="103"/>
        <v/>
      </c>
      <c r="BL190" s="775" t="str">
        <f t="shared" si="124"/>
        <v/>
      </c>
      <c r="BM190" s="775" t="str">
        <f t="shared" si="125"/>
        <v/>
      </c>
    </row>
    <row r="191" spans="1:65">
      <c r="A191" s="473">
        <v>135</v>
      </c>
      <c r="B191" s="132"/>
      <c r="C191" s="332"/>
      <c r="D191" s="333"/>
      <c r="E191" s="333"/>
      <c r="F191" s="334"/>
      <c r="G191" s="337"/>
      <c r="H191" s="131"/>
      <c r="I191" s="337"/>
      <c r="J191" s="131"/>
      <c r="K191" s="458" t="str">
        <f t="shared" si="92"/>
        <v/>
      </c>
      <c r="L191" s="458">
        <f t="shared" si="104"/>
        <v>0</v>
      </c>
      <c r="M191" s="458">
        <f t="shared" si="105"/>
        <v>0</v>
      </c>
      <c r="N191" s="459" t="str">
        <f t="shared" si="93"/>
        <v/>
      </c>
      <c r="O191" s="459" t="str">
        <f t="shared" si="94"/>
        <v/>
      </c>
      <c r="P191" s="459" t="str">
        <f t="shared" si="95"/>
        <v/>
      </c>
      <c r="Q191" s="459" t="str">
        <f t="shared" si="96"/>
        <v/>
      </c>
      <c r="R191" s="459" t="str">
        <f t="shared" si="97"/>
        <v/>
      </c>
      <c r="S191" s="459" t="str">
        <f t="shared" si="98"/>
        <v/>
      </c>
      <c r="T191" s="566" t="str">
        <f t="shared" si="106"/>
        <v/>
      </c>
      <c r="U191" s="702"/>
      <c r="V191" s="132"/>
      <c r="W191" s="133"/>
      <c r="X191" s="134"/>
      <c r="Y191" s="135"/>
      <c r="Z191" s="137"/>
      <c r="AA191" s="136"/>
      <c r="AB191" s="566" t="str">
        <f t="shared" si="99"/>
        <v/>
      </c>
      <c r="AC191" s="568" t="str">
        <f t="shared" si="107"/>
        <v/>
      </c>
      <c r="AD191" s="137"/>
      <c r="AE191" s="137"/>
      <c r="AF191" s="138"/>
      <c r="AG191" s="138"/>
      <c r="AH191" s="592" t="str">
        <f t="shared" si="100"/>
        <v/>
      </c>
      <c r="AI191" s="592" t="str">
        <f t="shared" si="101"/>
        <v/>
      </c>
      <c r="AJ191" s="592" t="str">
        <f t="shared" si="102"/>
        <v/>
      </c>
      <c r="AK191" s="460" t="str">
        <f>IF(AU191="","",IF(OR(AZ191=8,AZ191=9),0,IF(OR(AW191=3,AW191=4,AW191=5,AW191=6),IF(LEFT(BF191,1)="1",INDEX(係数_NOX・PM低減,MATCH(AY191,【参考】排出係数!$AI$801:$AI$804,1),1),VLOOKUP(AU191,INDEX((係数_バス貨物_ガソリン,係数_バス貨物_CNG,係数_バス貨物_軽油,係数_バス貨物_メタノール,係数_バス貨物_LPG),MATCH(AY191,【参考】排出係数!$AI$4:$AI$671,1),1,BE191):INDEX((係数_バス貨物_ガソリン,係数_バス貨物_CNG,係数_バス貨物_軽油,係数_バス貨物_メタノール,係数_バス貨物_LPG),MATCH(AY191+1,【参考】排出係数!$AI$4:$AI$671,1)-1,5,BE191),4,FALSE)),IF(AND(BE191=3,LEFT(BF191,1)="1"),0.48,VLOOKUP(AU191,INDEX((係数_乗用_ガソリン,係数_乗用_CNG,係数_乗用_軽油,係数_乗用_メタノール,係数_乗用_LPG),1,1,BE191):INDEX((係数_乗用_ガソリン,係数_乗用_CNG,係数_乗用_軽油,係数_乗用_メタノール,係数_乗用_LPG),125,5,BE191),4,FALSE)))))</f>
        <v/>
      </c>
      <c r="AL191" s="461" t="str">
        <f t="shared" si="126"/>
        <v/>
      </c>
      <c r="AM191" s="460" t="str">
        <f>IF(AU191="","",IF(OR(AZ191=8,AZ191=9),0,IF(OR(AW191=3,AW191=4,AW191=5,AW191=6),IF(LEFT(BH191,1)="1",INDEX(係数_PM低減,MATCH(AY191,【参考】排出係数!$AI$801:$AI$804,1),MATCH(BI191,【参考】排出係数!$AL$798:$AO$798,1)),VLOOKUP(AU191,INDEX((係数_バス貨物_ガソリン,係数_バス貨物_CNG,係数_バス貨物_軽油,係数_バス貨物_メタノール,係数_バス貨物_LPG),MATCH(AY191,【参考】排出係数!$AI$4:$AI$671,1),1,BE191):INDEX((係数_バス貨物_ガソリン,係数_バス貨物_CNG,係数_バス貨物_軽油,係数_バス貨物_メタノール,係数_バス貨物_LPG),MATCH(AY191+1,【参考】排出係数!$AI$4:$AI$671,1)-1,5,BE191),5,FALSE)),IF(AND(BE191=3,LEFT(BF191,1)="1"),0.055,VLOOKUP(AU191,INDEX((係数_乗用_ガソリン,係数_乗用_CNG,係数_乗用_軽油,係数_乗用_メタノール,係数_乗用_LPG),1,1,BE191):INDEX((係数_乗用_ガソリン,係数_乗用_CNG,係数_乗用_軽油,係数_乗用_メタノール,係数_乗用_LPG),125,5,BE191),5,FALSE)))))</f>
        <v/>
      </c>
      <c r="AN191" s="461" t="str">
        <f t="shared" si="127"/>
        <v/>
      </c>
      <c r="AO191" s="462" t="str">
        <f t="shared" si="128"/>
        <v/>
      </c>
      <c r="AP191" s="463" t="str">
        <f t="shared" si="129"/>
        <v/>
      </c>
      <c r="AQ191" s="464"/>
      <c r="AR191" s="619"/>
      <c r="AS191" s="465" t="str">
        <f t="shared" si="108"/>
        <v/>
      </c>
      <c r="AT191" s="465" t="str">
        <f t="shared" si="109"/>
        <v/>
      </c>
      <c r="AU191" s="466" t="str">
        <f t="shared" si="110"/>
        <v/>
      </c>
      <c r="AV191" s="467" t="str">
        <f t="shared" si="111"/>
        <v/>
      </c>
      <c r="AW191" s="467" t="str">
        <f t="shared" si="112"/>
        <v/>
      </c>
      <c r="AX191" s="467" t="str">
        <f t="shared" si="113"/>
        <v/>
      </c>
      <c r="AY191" s="467" t="str">
        <f t="shared" si="114"/>
        <v/>
      </c>
      <c r="AZ191" s="467" t="str">
        <f t="shared" si="115"/>
        <v/>
      </c>
      <c r="BA191" s="468" t="str">
        <f>IF(AS191="","",IF(OR(AU191="",AU191="-"),"－",IF(OR(AZ191=8,AZ191=9),"",IF(OR(AW191=3,AW191=4,AW191=5,AW191=6),VLOOKUP(AU191,INDEX((係数_バス貨物_ガソリン,係数_バス貨物_CNG,係数_バス貨物_軽油,係数_バス貨物_メタノール,係数_バス貨物_LPG),MATCH(AY191,【参考】排出係数!$AI$4:$AI$671,1),1,BE191):INDEX((係数_バス貨物_ガソリン,係数_バス貨物_CNG,係数_バス貨物_軽油,係数_バス貨物_メタノール,係数_バス貨物_LPG),MATCH(AY191+1,【参考】排出係数!$AI$4:$AI$671,1)-1,5,BE191),2,FALSE),IF(OR(AW191=1,AW191=2),VLOOKUP(AU191,INDEX((係数_乗用_ガソリン,係数_乗用_CNG,係数_乗用_軽油,係数_乗用_メタノール,係数_乗用_LPG),1,1,BE191):INDEX((係数_乗用_ガソリン,係数_乗用_CNG,係数_乗用_軽油,係数_乗用_メタノール,係数_乗用_LPG),125,5,BE191),2,FALSE))))))</f>
        <v/>
      </c>
      <c r="BB191" s="468" t="str">
        <f>IF(T191="","",IF(OR(AU191="",AU191="-"),"－",IF(OR(AZ191=8,AZ191=9),"",IF(OR(AW191=3,AW191=4,AW191=5,AW191=6),VLOOKUP(AU191,INDEX((係数_バス貨物_ガソリン,係数_バス貨物_CNG,係数_バス貨物_軽油,係数_バス貨物_メタノール,係数_バス貨物_LPG),MATCH(AY191,【参考】排出係数!$AI$4:$AI$671,1),1,BE191):INDEX((係数_バス貨物_ガソリン,係数_バス貨物_CNG,係数_バス貨物_軽油,係数_バス貨物_メタノール,係数_バス貨物_LPG),MATCH(AY191+1,【参考】排出係数!$AI$4:$AI$671,1)-1,5,BE191),3,FALSE),IF(OR(AW191=1,AW191=2),VLOOKUP(AU191,INDEX((係数_乗用_ガソリン,係数_乗用_CNG,係数_乗用_軽油,係数_乗用_メタノール,係数_乗用_LPG),1,1,BE191):INDEX((係数_乗用_ガソリン,係数_乗用_CNG,係数_乗用_軽油,係数_乗用_メタノール,係数_乗用_LPG),125,5,BE191),3,FALSE))))))</f>
        <v/>
      </c>
      <c r="BC191" s="467" t="str">
        <f t="shared" si="116"/>
        <v/>
      </c>
      <c r="BD191" s="567" t="str">
        <f t="shared" si="117"/>
        <v/>
      </c>
      <c r="BE191" s="467" t="str">
        <f t="shared" si="118"/>
        <v/>
      </c>
      <c r="BF191" s="469" t="str">
        <f t="shared" ca="1" si="119"/>
        <v/>
      </c>
      <c r="BG191" s="469" t="str">
        <f t="shared" ca="1" si="120"/>
        <v/>
      </c>
      <c r="BH191" s="467" t="str">
        <f t="shared" si="121"/>
        <v/>
      </c>
      <c r="BI191" s="467" t="str">
        <f t="shared" ca="1" si="122"/>
        <v/>
      </c>
      <c r="BJ191" s="469" t="str">
        <f t="shared" si="123"/>
        <v/>
      </c>
      <c r="BK191" s="470" t="str">
        <f t="shared" si="103"/>
        <v/>
      </c>
      <c r="BL191" s="775" t="str">
        <f t="shared" si="124"/>
        <v/>
      </c>
      <c r="BM191" s="775" t="str">
        <f t="shared" si="125"/>
        <v/>
      </c>
    </row>
    <row r="192" spans="1:65">
      <c r="A192" s="473">
        <v>136</v>
      </c>
      <c r="B192" s="132"/>
      <c r="C192" s="332"/>
      <c r="D192" s="333"/>
      <c r="E192" s="333"/>
      <c r="F192" s="334"/>
      <c r="G192" s="337"/>
      <c r="H192" s="131"/>
      <c r="I192" s="337"/>
      <c r="J192" s="131"/>
      <c r="K192" s="458" t="str">
        <f t="shared" si="92"/>
        <v/>
      </c>
      <c r="L192" s="458">
        <f t="shared" si="104"/>
        <v>0</v>
      </c>
      <c r="M192" s="458">
        <f t="shared" si="105"/>
        <v>0</v>
      </c>
      <c r="N192" s="459" t="str">
        <f t="shared" si="93"/>
        <v/>
      </c>
      <c r="O192" s="459" t="str">
        <f t="shared" si="94"/>
        <v/>
      </c>
      <c r="P192" s="459" t="str">
        <f t="shared" si="95"/>
        <v/>
      </c>
      <c r="Q192" s="459" t="str">
        <f t="shared" si="96"/>
        <v/>
      </c>
      <c r="R192" s="459" t="str">
        <f t="shared" si="97"/>
        <v/>
      </c>
      <c r="S192" s="459" t="str">
        <f t="shared" si="98"/>
        <v/>
      </c>
      <c r="T192" s="566" t="str">
        <f t="shared" si="106"/>
        <v/>
      </c>
      <c r="U192" s="702"/>
      <c r="V192" s="132"/>
      <c r="W192" s="133"/>
      <c r="X192" s="134"/>
      <c r="Y192" s="135"/>
      <c r="Z192" s="137"/>
      <c r="AA192" s="136"/>
      <c r="AB192" s="566" t="str">
        <f t="shared" si="99"/>
        <v/>
      </c>
      <c r="AC192" s="568" t="str">
        <f t="shared" si="107"/>
        <v/>
      </c>
      <c r="AD192" s="137"/>
      <c r="AE192" s="137"/>
      <c r="AF192" s="138"/>
      <c r="AG192" s="138"/>
      <c r="AH192" s="592" t="str">
        <f t="shared" si="100"/>
        <v/>
      </c>
      <c r="AI192" s="592" t="str">
        <f t="shared" si="101"/>
        <v/>
      </c>
      <c r="AJ192" s="592" t="str">
        <f t="shared" si="102"/>
        <v/>
      </c>
      <c r="AK192" s="460" t="str">
        <f>IF(AU192="","",IF(OR(AZ192=8,AZ192=9),0,IF(OR(AW192=3,AW192=4,AW192=5,AW192=6),IF(LEFT(BF192,1)="1",INDEX(係数_NOX・PM低減,MATCH(AY192,【参考】排出係数!$AI$801:$AI$804,1),1),VLOOKUP(AU192,INDEX((係数_バス貨物_ガソリン,係数_バス貨物_CNG,係数_バス貨物_軽油,係数_バス貨物_メタノール,係数_バス貨物_LPG),MATCH(AY192,【参考】排出係数!$AI$4:$AI$671,1),1,BE192):INDEX((係数_バス貨物_ガソリン,係数_バス貨物_CNG,係数_バス貨物_軽油,係数_バス貨物_メタノール,係数_バス貨物_LPG),MATCH(AY192+1,【参考】排出係数!$AI$4:$AI$671,1)-1,5,BE192),4,FALSE)),IF(AND(BE192=3,LEFT(BF192,1)="1"),0.48,VLOOKUP(AU192,INDEX((係数_乗用_ガソリン,係数_乗用_CNG,係数_乗用_軽油,係数_乗用_メタノール,係数_乗用_LPG),1,1,BE192):INDEX((係数_乗用_ガソリン,係数_乗用_CNG,係数_乗用_軽油,係数_乗用_メタノール,係数_乗用_LPG),125,5,BE192),4,FALSE)))))</f>
        <v/>
      </c>
      <c r="AL192" s="461" t="str">
        <f t="shared" si="126"/>
        <v/>
      </c>
      <c r="AM192" s="460" t="str">
        <f>IF(AU192="","",IF(OR(AZ192=8,AZ192=9),0,IF(OR(AW192=3,AW192=4,AW192=5,AW192=6),IF(LEFT(BH192,1)="1",INDEX(係数_PM低減,MATCH(AY192,【参考】排出係数!$AI$801:$AI$804,1),MATCH(BI192,【参考】排出係数!$AL$798:$AO$798,1)),VLOOKUP(AU192,INDEX((係数_バス貨物_ガソリン,係数_バス貨物_CNG,係数_バス貨物_軽油,係数_バス貨物_メタノール,係数_バス貨物_LPG),MATCH(AY192,【参考】排出係数!$AI$4:$AI$671,1),1,BE192):INDEX((係数_バス貨物_ガソリン,係数_バス貨物_CNG,係数_バス貨物_軽油,係数_バス貨物_メタノール,係数_バス貨物_LPG),MATCH(AY192+1,【参考】排出係数!$AI$4:$AI$671,1)-1,5,BE192),5,FALSE)),IF(AND(BE192=3,LEFT(BF192,1)="1"),0.055,VLOOKUP(AU192,INDEX((係数_乗用_ガソリン,係数_乗用_CNG,係数_乗用_軽油,係数_乗用_メタノール,係数_乗用_LPG),1,1,BE192):INDEX((係数_乗用_ガソリン,係数_乗用_CNG,係数_乗用_軽油,係数_乗用_メタノール,係数_乗用_LPG),125,5,BE192),5,FALSE)))))</f>
        <v/>
      </c>
      <c r="AN192" s="461" t="str">
        <f t="shared" si="127"/>
        <v/>
      </c>
      <c r="AO192" s="462" t="str">
        <f t="shared" si="128"/>
        <v/>
      </c>
      <c r="AP192" s="463" t="str">
        <f t="shared" si="129"/>
        <v/>
      </c>
      <c r="AQ192" s="464"/>
      <c r="AR192" s="619"/>
      <c r="AS192" s="465" t="str">
        <f t="shared" si="108"/>
        <v/>
      </c>
      <c r="AT192" s="465" t="str">
        <f t="shared" si="109"/>
        <v/>
      </c>
      <c r="AU192" s="466" t="str">
        <f t="shared" si="110"/>
        <v/>
      </c>
      <c r="AV192" s="467" t="str">
        <f t="shared" si="111"/>
        <v/>
      </c>
      <c r="AW192" s="467" t="str">
        <f t="shared" si="112"/>
        <v/>
      </c>
      <c r="AX192" s="467" t="str">
        <f t="shared" si="113"/>
        <v/>
      </c>
      <c r="AY192" s="467" t="str">
        <f t="shared" si="114"/>
        <v/>
      </c>
      <c r="AZ192" s="467" t="str">
        <f t="shared" si="115"/>
        <v/>
      </c>
      <c r="BA192" s="468" t="str">
        <f>IF(AS192="","",IF(OR(AU192="",AU192="-"),"－",IF(OR(AZ192=8,AZ192=9),"",IF(OR(AW192=3,AW192=4,AW192=5,AW192=6),VLOOKUP(AU192,INDEX((係数_バス貨物_ガソリン,係数_バス貨物_CNG,係数_バス貨物_軽油,係数_バス貨物_メタノール,係数_バス貨物_LPG),MATCH(AY192,【参考】排出係数!$AI$4:$AI$671,1),1,BE192):INDEX((係数_バス貨物_ガソリン,係数_バス貨物_CNG,係数_バス貨物_軽油,係数_バス貨物_メタノール,係数_バス貨物_LPG),MATCH(AY192+1,【参考】排出係数!$AI$4:$AI$671,1)-1,5,BE192),2,FALSE),IF(OR(AW192=1,AW192=2),VLOOKUP(AU192,INDEX((係数_乗用_ガソリン,係数_乗用_CNG,係数_乗用_軽油,係数_乗用_メタノール,係数_乗用_LPG),1,1,BE192):INDEX((係数_乗用_ガソリン,係数_乗用_CNG,係数_乗用_軽油,係数_乗用_メタノール,係数_乗用_LPG),125,5,BE192),2,FALSE))))))</f>
        <v/>
      </c>
      <c r="BB192" s="468" t="str">
        <f>IF(T192="","",IF(OR(AU192="",AU192="-"),"－",IF(OR(AZ192=8,AZ192=9),"",IF(OR(AW192=3,AW192=4,AW192=5,AW192=6),VLOOKUP(AU192,INDEX((係数_バス貨物_ガソリン,係数_バス貨物_CNG,係数_バス貨物_軽油,係数_バス貨物_メタノール,係数_バス貨物_LPG),MATCH(AY192,【参考】排出係数!$AI$4:$AI$671,1),1,BE192):INDEX((係数_バス貨物_ガソリン,係数_バス貨物_CNG,係数_バス貨物_軽油,係数_バス貨物_メタノール,係数_バス貨物_LPG),MATCH(AY192+1,【参考】排出係数!$AI$4:$AI$671,1)-1,5,BE192),3,FALSE),IF(OR(AW192=1,AW192=2),VLOOKUP(AU192,INDEX((係数_乗用_ガソリン,係数_乗用_CNG,係数_乗用_軽油,係数_乗用_メタノール,係数_乗用_LPG),1,1,BE192):INDEX((係数_乗用_ガソリン,係数_乗用_CNG,係数_乗用_軽油,係数_乗用_メタノール,係数_乗用_LPG),125,5,BE192),3,FALSE))))))</f>
        <v/>
      </c>
      <c r="BC192" s="467" t="str">
        <f t="shared" si="116"/>
        <v/>
      </c>
      <c r="BD192" s="567" t="str">
        <f t="shared" si="117"/>
        <v/>
      </c>
      <c r="BE192" s="467" t="str">
        <f t="shared" si="118"/>
        <v/>
      </c>
      <c r="BF192" s="469" t="str">
        <f t="shared" ca="1" si="119"/>
        <v/>
      </c>
      <c r="BG192" s="469" t="str">
        <f t="shared" ca="1" si="120"/>
        <v/>
      </c>
      <c r="BH192" s="467" t="str">
        <f t="shared" si="121"/>
        <v/>
      </c>
      <c r="BI192" s="467" t="str">
        <f t="shared" ca="1" si="122"/>
        <v/>
      </c>
      <c r="BJ192" s="469" t="str">
        <f t="shared" si="123"/>
        <v/>
      </c>
      <c r="BK192" s="470" t="str">
        <f t="shared" si="103"/>
        <v/>
      </c>
      <c r="BL192" s="775" t="str">
        <f t="shared" si="124"/>
        <v/>
      </c>
      <c r="BM192" s="775" t="str">
        <f t="shared" si="125"/>
        <v/>
      </c>
    </row>
    <row r="193" spans="1:65">
      <c r="A193" s="473">
        <v>137</v>
      </c>
      <c r="B193" s="132"/>
      <c r="C193" s="332"/>
      <c r="D193" s="333"/>
      <c r="E193" s="333"/>
      <c r="F193" s="334"/>
      <c r="G193" s="337"/>
      <c r="H193" s="131"/>
      <c r="I193" s="337"/>
      <c r="J193" s="131"/>
      <c r="K193" s="458" t="str">
        <f t="shared" si="92"/>
        <v/>
      </c>
      <c r="L193" s="458">
        <f t="shared" si="104"/>
        <v>0</v>
      </c>
      <c r="M193" s="458">
        <f t="shared" si="105"/>
        <v>0</v>
      </c>
      <c r="N193" s="459" t="str">
        <f t="shared" si="93"/>
        <v/>
      </c>
      <c r="O193" s="459" t="str">
        <f t="shared" si="94"/>
        <v/>
      </c>
      <c r="P193" s="459" t="str">
        <f t="shared" si="95"/>
        <v/>
      </c>
      <c r="Q193" s="459" t="str">
        <f t="shared" si="96"/>
        <v/>
      </c>
      <c r="R193" s="459" t="str">
        <f t="shared" si="97"/>
        <v/>
      </c>
      <c r="S193" s="459" t="str">
        <f t="shared" si="98"/>
        <v/>
      </c>
      <c r="T193" s="566" t="str">
        <f t="shared" si="106"/>
        <v/>
      </c>
      <c r="U193" s="702"/>
      <c r="V193" s="132"/>
      <c r="W193" s="133"/>
      <c r="X193" s="134"/>
      <c r="Y193" s="135"/>
      <c r="Z193" s="137"/>
      <c r="AA193" s="136"/>
      <c r="AB193" s="566" t="str">
        <f t="shared" si="99"/>
        <v/>
      </c>
      <c r="AC193" s="568" t="str">
        <f t="shared" si="107"/>
        <v/>
      </c>
      <c r="AD193" s="137"/>
      <c r="AE193" s="137"/>
      <c r="AF193" s="138"/>
      <c r="AG193" s="138"/>
      <c r="AH193" s="592" t="str">
        <f t="shared" si="100"/>
        <v/>
      </c>
      <c r="AI193" s="592" t="str">
        <f t="shared" si="101"/>
        <v/>
      </c>
      <c r="AJ193" s="592" t="str">
        <f t="shared" si="102"/>
        <v/>
      </c>
      <c r="AK193" s="460" t="str">
        <f>IF(AU193="","",IF(OR(AZ193=8,AZ193=9),0,IF(OR(AW193=3,AW193=4,AW193=5,AW193=6),IF(LEFT(BF193,1)="1",INDEX(係数_NOX・PM低減,MATCH(AY193,【参考】排出係数!$AI$801:$AI$804,1),1),VLOOKUP(AU193,INDEX((係数_バス貨物_ガソリン,係数_バス貨物_CNG,係数_バス貨物_軽油,係数_バス貨物_メタノール,係数_バス貨物_LPG),MATCH(AY193,【参考】排出係数!$AI$4:$AI$671,1),1,BE193):INDEX((係数_バス貨物_ガソリン,係数_バス貨物_CNG,係数_バス貨物_軽油,係数_バス貨物_メタノール,係数_バス貨物_LPG),MATCH(AY193+1,【参考】排出係数!$AI$4:$AI$671,1)-1,5,BE193),4,FALSE)),IF(AND(BE193=3,LEFT(BF193,1)="1"),0.48,VLOOKUP(AU193,INDEX((係数_乗用_ガソリン,係数_乗用_CNG,係数_乗用_軽油,係数_乗用_メタノール,係数_乗用_LPG),1,1,BE193):INDEX((係数_乗用_ガソリン,係数_乗用_CNG,係数_乗用_軽油,係数_乗用_メタノール,係数_乗用_LPG),125,5,BE193),4,FALSE)))))</f>
        <v/>
      </c>
      <c r="AL193" s="461" t="str">
        <f t="shared" si="126"/>
        <v/>
      </c>
      <c r="AM193" s="460" t="str">
        <f>IF(AU193="","",IF(OR(AZ193=8,AZ193=9),0,IF(OR(AW193=3,AW193=4,AW193=5,AW193=6),IF(LEFT(BH193,1)="1",INDEX(係数_PM低減,MATCH(AY193,【参考】排出係数!$AI$801:$AI$804,1),MATCH(BI193,【参考】排出係数!$AL$798:$AO$798,1)),VLOOKUP(AU193,INDEX((係数_バス貨物_ガソリン,係数_バス貨物_CNG,係数_バス貨物_軽油,係数_バス貨物_メタノール,係数_バス貨物_LPG),MATCH(AY193,【参考】排出係数!$AI$4:$AI$671,1),1,BE193):INDEX((係数_バス貨物_ガソリン,係数_バス貨物_CNG,係数_バス貨物_軽油,係数_バス貨物_メタノール,係数_バス貨物_LPG),MATCH(AY193+1,【参考】排出係数!$AI$4:$AI$671,1)-1,5,BE193),5,FALSE)),IF(AND(BE193=3,LEFT(BF193,1)="1"),0.055,VLOOKUP(AU193,INDEX((係数_乗用_ガソリン,係数_乗用_CNG,係数_乗用_軽油,係数_乗用_メタノール,係数_乗用_LPG),1,1,BE193):INDEX((係数_乗用_ガソリン,係数_乗用_CNG,係数_乗用_軽油,係数_乗用_メタノール,係数_乗用_LPG),125,5,BE193),5,FALSE)))))</f>
        <v/>
      </c>
      <c r="AN193" s="461" t="str">
        <f t="shared" si="127"/>
        <v/>
      </c>
      <c r="AO193" s="462" t="str">
        <f t="shared" si="128"/>
        <v/>
      </c>
      <c r="AP193" s="463" t="str">
        <f t="shared" si="129"/>
        <v/>
      </c>
      <c r="AQ193" s="464"/>
      <c r="AR193" s="619"/>
      <c r="AS193" s="465" t="str">
        <f t="shared" si="108"/>
        <v/>
      </c>
      <c r="AT193" s="465" t="str">
        <f t="shared" si="109"/>
        <v/>
      </c>
      <c r="AU193" s="466" t="str">
        <f t="shared" si="110"/>
        <v/>
      </c>
      <c r="AV193" s="467" t="str">
        <f t="shared" si="111"/>
        <v/>
      </c>
      <c r="AW193" s="467" t="str">
        <f t="shared" si="112"/>
        <v/>
      </c>
      <c r="AX193" s="467" t="str">
        <f t="shared" si="113"/>
        <v/>
      </c>
      <c r="AY193" s="467" t="str">
        <f t="shared" si="114"/>
        <v/>
      </c>
      <c r="AZ193" s="467" t="str">
        <f t="shared" si="115"/>
        <v/>
      </c>
      <c r="BA193" s="468" t="str">
        <f>IF(AS193="","",IF(OR(AU193="",AU193="-"),"－",IF(OR(AZ193=8,AZ193=9),"",IF(OR(AW193=3,AW193=4,AW193=5,AW193=6),VLOOKUP(AU193,INDEX((係数_バス貨物_ガソリン,係数_バス貨物_CNG,係数_バス貨物_軽油,係数_バス貨物_メタノール,係数_バス貨物_LPG),MATCH(AY193,【参考】排出係数!$AI$4:$AI$671,1),1,BE193):INDEX((係数_バス貨物_ガソリン,係数_バス貨物_CNG,係数_バス貨物_軽油,係数_バス貨物_メタノール,係数_バス貨物_LPG),MATCH(AY193+1,【参考】排出係数!$AI$4:$AI$671,1)-1,5,BE193),2,FALSE),IF(OR(AW193=1,AW193=2),VLOOKUP(AU193,INDEX((係数_乗用_ガソリン,係数_乗用_CNG,係数_乗用_軽油,係数_乗用_メタノール,係数_乗用_LPG),1,1,BE193):INDEX((係数_乗用_ガソリン,係数_乗用_CNG,係数_乗用_軽油,係数_乗用_メタノール,係数_乗用_LPG),125,5,BE193),2,FALSE))))))</f>
        <v/>
      </c>
      <c r="BB193" s="468" t="str">
        <f>IF(T193="","",IF(OR(AU193="",AU193="-"),"－",IF(OR(AZ193=8,AZ193=9),"",IF(OR(AW193=3,AW193=4,AW193=5,AW193=6),VLOOKUP(AU193,INDEX((係数_バス貨物_ガソリン,係数_バス貨物_CNG,係数_バス貨物_軽油,係数_バス貨物_メタノール,係数_バス貨物_LPG),MATCH(AY193,【参考】排出係数!$AI$4:$AI$671,1),1,BE193):INDEX((係数_バス貨物_ガソリン,係数_バス貨物_CNG,係数_バス貨物_軽油,係数_バス貨物_メタノール,係数_バス貨物_LPG),MATCH(AY193+1,【参考】排出係数!$AI$4:$AI$671,1)-1,5,BE193),3,FALSE),IF(OR(AW193=1,AW193=2),VLOOKUP(AU193,INDEX((係数_乗用_ガソリン,係数_乗用_CNG,係数_乗用_軽油,係数_乗用_メタノール,係数_乗用_LPG),1,1,BE193):INDEX((係数_乗用_ガソリン,係数_乗用_CNG,係数_乗用_軽油,係数_乗用_メタノール,係数_乗用_LPG),125,5,BE193),3,FALSE))))))</f>
        <v/>
      </c>
      <c r="BC193" s="467" t="str">
        <f t="shared" si="116"/>
        <v/>
      </c>
      <c r="BD193" s="567" t="str">
        <f t="shared" si="117"/>
        <v/>
      </c>
      <c r="BE193" s="467" t="str">
        <f t="shared" si="118"/>
        <v/>
      </c>
      <c r="BF193" s="469" t="str">
        <f t="shared" ca="1" si="119"/>
        <v/>
      </c>
      <c r="BG193" s="469" t="str">
        <f t="shared" ca="1" si="120"/>
        <v/>
      </c>
      <c r="BH193" s="467" t="str">
        <f t="shared" si="121"/>
        <v/>
      </c>
      <c r="BI193" s="467" t="str">
        <f t="shared" ca="1" si="122"/>
        <v/>
      </c>
      <c r="BJ193" s="469" t="str">
        <f t="shared" si="123"/>
        <v/>
      </c>
      <c r="BK193" s="470" t="str">
        <f t="shared" si="103"/>
        <v/>
      </c>
      <c r="BL193" s="775" t="str">
        <f t="shared" si="124"/>
        <v/>
      </c>
      <c r="BM193" s="775" t="str">
        <f t="shared" si="125"/>
        <v/>
      </c>
    </row>
    <row r="194" spans="1:65">
      <c r="A194" s="473">
        <v>138</v>
      </c>
      <c r="B194" s="132"/>
      <c r="C194" s="332"/>
      <c r="D194" s="333"/>
      <c r="E194" s="333"/>
      <c r="F194" s="334"/>
      <c r="G194" s="337"/>
      <c r="H194" s="131"/>
      <c r="I194" s="337"/>
      <c r="J194" s="131"/>
      <c r="K194" s="458" t="str">
        <f t="shared" si="92"/>
        <v/>
      </c>
      <c r="L194" s="458">
        <f t="shared" si="104"/>
        <v>0</v>
      </c>
      <c r="M194" s="458">
        <f t="shared" si="105"/>
        <v>0</v>
      </c>
      <c r="N194" s="459" t="str">
        <f t="shared" si="93"/>
        <v/>
      </c>
      <c r="O194" s="459" t="str">
        <f t="shared" si="94"/>
        <v/>
      </c>
      <c r="P194" s="459" t="str">
        <f t="shared" si="95"/>
        <v/>
      </c>
      <c r="Q194" s="459" t="str">
        <f t="shared" si="96"/>
        <v/>
      </c>
      <c r="R194" s="459" t="str">
        <f t="shared" si="97"/>
        <v/>
      </c>
      <c r="S194" s="459" t="str">
        <f t="shared" si="98"/>
        <v/>
      </c>
      <c r="T194" s="566" t="str">
        <f t="shared" si="106"/>
        <v/>
      </c>
      <c r="U194" s="702"/>
      <c r="V194" s="132"/>
      <c r="W194" s="133"/>
      <c r="X194" s="134"/>
      <c r="Y194" s="135"/>
      <c r="Z194" s="137"/>
      <c r="AA194" s="136"/>
      <c r="AB194" s="566" t="str">
        <f t="shared" si="99"/>
        <v/>
      </c>
      <c r="AC194" s="568" t="str">
        <f t="shared" si="107"/>
        <v/>
      </c>
      <c r="AD194" s="137"/>
      <c r="AE194" s="137"/>
      <c r="AF194" s="138"/>
      <c r="AG194" s="138"/>
      <c r="AH194" s="592" t="str">
        <f t="shared" si="100"/>
        <v/>
      </c>
      <c r="AI194" s="592" t="str">
        <f t="shared" si="101"/>
        <v/>
      </c>
      <c r="AJ194" s="592" t="str">
        <f t="shared" si="102"/>
        <v/>
      </c>
      <c r="AK194" s="460" t="str">
        <f>IF(AU194="","",IF(OR(AZ194=8,AZ194=9),0,IF(OR(AW194=3,AW194=4,AW194=5,AW194=6),IF(LEFT(BF194,1)="1",INDEX(係数_NOX・PM低減,MATCH(AY194,【参考】排出係数!$AI$801:$AI$804,1),1),VLOOKUP(AU194,INDEX((係数_バス貨物_ガソリン,係数_バス貨物_CNG,係数_バス貨物_軽油,係数_バス貨物_メタノール,係数_バス貨物_LPG),MATCH(AY194,【参考】排出係数!$AI$4:$AI$671,1),1,BE194):INDEX((係数_バス貨物_ガソリン,係数_バス貨物_CNG,係数_バス貨物_軽油,係数_バス貨物_メタノール,係数_バス貨物_LPG),MATCH(AY194+1,【参考】排出係数!$AI$4:$AI$671,1)-1,5,BE194),4,FALSE)),IF(AND(BE194=3,LEFT(BF194,1)="1"),0.48,VLOOKUP(AU194,INDEX((係数_乗用_ガソリン,係数_乗用_CNG,係数_乗用_軽油,係数_乗用_メタノール,係数_乗用_LPG),1,1,BE194):INDEX((係数_乗用_ガソリン,係数_乗用_CNG,係数_乗用_軽油,係数_乗用_メタノール,係数_乗用_LPG),125,5,BE194),4,FALSE)))))</f>
        <v/>
      </c>
      <c r="AL194" s="461" t="str">
        <f t="shared" si="126"/>
        <v/>
      </c>
      <c r="AM194" s="460" t="str">
        <f>IF(AU194="","",IF(OR(AZ194=8,AZ194=9),0,IF(OR(AW194=3,AW194=4,AW194=5,AW194=6),IF(LEFT(BH194,1)="1",INDEX(係数_PM低減,MATCH(AY194,【参考】排出係数!$AI$801:$AI$804,1),MATCH(BI194,【参考】排出係数!$AL$798:$AO$798,1)),VLOOKUP(AU194,INDEX((係数_バス貨物_ガソリン,係数_バス貨物_CNG,係数_バス貨物_軽油,係数_バス貨物_メタノール,係数_バス貨物_LPG),MATCH(AY194,【参考】排出係数!$AI$4:$AI$671,1),1,BE194):INDEX((係数_バス貨物_ガソリン,係数_バス貨物_CNG,係数_バス貨物_軽油,係数_バス貨物_メタノール,係数_バス貨物_LPG),MATCH(AY194+1,【参考】排出係数!$AI$4:$AI$671,1)-1,5,BE194),5,FALSE)),IF(AND(BE194=3,LEFT(BF194,1)="1"),0.055,VLOOKUP(AU194,INDEX((係数_乗用_ガソリン,係数_乗用_CNG,係数_乗用_軽油,係数_乗用_メタノール,係数_乗用_LPG),1,1,BE194):INDEX((係数_乗用_ガソリン,係数_乗用_CNG,係数_乗用_軽油,係数_乗用_メタノール,係数_乗用_LPG),125,5,BE194),5,FALSE)))))</f>
        <v/>
      </c>
      <c r="AN194" s="461" t="str">
        <f t="shared" si="127"/>
        <v/>
      </c>
      <c r="AO194" s="462" t="str">
        <f t="shared" si="128"/>
        <v/>
      </c>
      <c r="AP194" s="463" t="str">
        <f t="shared" si="129"/>
        <v/>
      </c>
      <c r="AQ194" s="464"/>
      <c r="AR194" s="619"/>
      <c r="AS194" s="465" t="str">
        <f t="shared" si="108"/>
        <v/>
      </c>
      <c r="AT194" s="465" t="str">
        <f t="shared" si="109"/>
        <v/>
      </c>
      <c r="AU194" s="466" t="str">
        <f t="shared" si="110"/>
        <v/>
      </c>
      <c r="AV194" s="467" t="str">
        <f t="shared" si="111"/>
        <v/>
      </c>
      <c r="AW194" s="467" t="str">
        <f t="shared" si="112"/>
        <v/>
      </c>
      <c r="AX194" s="467" t="str">
        <f t="shared" si="113"/>
        <v/>
      </c>
      <c r="AY194" s="467" t="str">
        <f t="shared" si="114"/>
        <v/>
      </c>
      <c r="AZ194" s="467" t="str">
        <f t="shared" si="115"/>
        <v/>
      </c>
      <c r="BA194" s="468" t="str">
        <f>IF(AS194="","",IF(OR(AU194="",AU194="-"),"－",IF(OR(AZ194=8,AZ194=9),"",IF(OR(AW194=3,AW194=4,AW194=5,AW194=6),VLOOKUP(AU194,INDEX((係数_バス貨物_ガソリン,係数_バス貨物_CNG,係数_バス貨物_軽油,係数_バス貨物_メタノール,係数_バス貨物_LPG),MATCH(AY194,【参考】排出係数!$AI$4:$AI$671,1),1,BE194):INDEX((係数_バス貨物_ガソリン,係数_バス貨物_CNG,係数_バス貨物_軽油,係数_バス貨物_メタノール,係数_バス貨物_LPG),MATCH(AY194+1,【参考】排出係数!$AI$4:$AI$671,1)-1,5,BE194),2,FALSE),IF(OR(AW194=1,AW194=2),VLOOKUP(AU194,INDEX((係数_乗用_ガソリン,係数_乗用_CNG,係数_乗用_軽油,係数_乗用_メタノール,係数_乗用_LPG),1,1,BE194):INDEX((係数_乗用_ガソリン,係数_乗用_CNG,係数_乗用_軽油,係数_乗用_メタノール,係数_乗用_LPG),125,5,BE194),2,FALSE))))))</f>
        <v/>
      </c>
      <c r="BB194" s="468" t="str">
        <f>IF(T194="","",IF(OR(AU194="",AU194="-"),"－",IF(OR(AZ194=8,AZ194=9),"",IF(OR(AW194=3,AW194=4,AW194=5,AW194=6),VLOOKUP(AU194,INDEX((係数_バス貨物_ガソリン,係数_バス貨物_CNG,係数_バス貨物_軽油,係数_バス貨物_メタノール,係数_バス貨物_LPG),MATCH(AY194,【参考】排出係数!$AI$4:$AI$671,1),1,BE194):INDEX((係数_バス貨物_ガソリン,係数_バス貨物_CNG,係数_バス貨物_軽油,係数_バス貨物_メタノール,係数_バス貨物_LPG),MATCH(AY194+1,【参考】排出係数!$AI$4:$AI$671,1)-1,5,BE194),3,FALSE),IF(OR(AW194=1,AW194=2),VLOOKUP(AU194,INDEX((係数_乗用_ガソリン,係数_乗用_CNG,係数_乗用_軽油,係数_乗用_メタノール,係数_乗用_LPG),1,1,BE194):INDEX((係数_乗用_ガソリン,係数_乗用_CNG,係数_乗用_軽油,係数_乗用_メタノール,係数_乗用_LPG),125,5,BE194),3,FALSE))))))</f>
        <v/>
      </c>
      <c r="BC194" s="467" t="str">
        <f t="shared" si="116"/>
        <v/>
      </c>
      <c r="BD194" s="567" t="str">
        <f t="shared" si="117"/>
        <v/>
      </c>
      <c r="BE194" s="467" t="str">
        <f t="shared" si="118"/>
        <v/>
      </c>
      <c r="BF194" s="469" t="str">
        <f t="shared" ca="1" si="119"/>
        <v/>
      </c>
      <c r="BG194" s="469" t="str">
        <f t="shared" ca="1" si="120"/>
        <v/>
      </c>
      <c r="BH194" s="467" t="str">
        <f t="shared" si="121"/>
        <v/>
      </c>
      <c r="BI194" s="467" t="str">
        <f t="shared" ca="1" si="122"/>
        <v/>
      </c>
      <c r="BJ194" s="469" t="str">
        <f t="shared" si="123"/>
        <v/>
      </c>
      <c r="BK194" s="470" t="str">
        <f t="shared" si="103"/>
        <v/>
      </c>
      <c r="BL194" s="775" t="str">
        <f t="shared" si="124"/>
        <v/>
      </c>
      <c r="BM194" s="775" t="str">
        <f t="shared" si="125"/>
        <v/>
      </c>
    </row>
    <row r="195" spans="1:65">
      <c r="A195" s="473">
        <v>139</v>
      </c>
      <c r="B195" s="132"/>
      <c r="C195" s="332"/>
      <c r="D195" s="333"/>
      <c r="E195" s="333"/>
      <c r="F195" s="334"/>
      <c r="G195" s="337"/>
      <c r="H195" s="131"/>
      <c r="I195" s="337"/>
      <c r="J195" s="131"/>
      <c r="K195" s="458" t="str">
        <f t="shared" si="92"/>
        <v/>
      </c>
      <c r="L195" s="458">
        <f t="shared" si="104"/>
        <v>0</v>
      </c>
      <c r="M195" s="458">
        <f t="shared" si="105"/>
        <v>0</v>
      </c>
      <c r="N195" s="459" t="str">
        <f t="shared" si="93"/>
        <v/>
      </c>
      <c r="O195" s="459" t="str">
        <f t="shared" si="94"/>
        <v/>
      </c>
      <c r="P195" s="459" t="str">
        <f t="shared" si="95"/>
        <v/>
      </c>
      <c r="Q195" s="459" t="str">
        <f t="shared" si="96"/>
        <v/>
      </c>
      <c r="R195" s="459" t="str">
        <f t="shared" si="97"/>
        <v/>
      </c>
      <c r="S195" s="459" t="str">
        <f t="shared" si="98"/>
        <v/>
      </c>
      <c r="T195" s="566" t="str">
        <f t="shared" si="106"/>
        <v/>
      </c>
      <c r="U195" s="702"/>
      <c r="V195" s="132"/>
      <c r="W195" s="133"/>
      <c r="X195" s="134"/>
      <c r="Y195" s="135"/>
      <c r="Z195" s="137"/>
      <c r="AA195" s="136"/>
      <c r="AB195" s="566" t="str">
        <f t="shared" si="99"/>
        <v/>
      </c>
      <c r="AC195" s="568" t="str">
        <f t="shared" si="107"/>
        <v/>
      </c>
      <c r="AD195" s="137"/>
      <c r="AE195" s="137"/>
      <c r="AF195" s="138"/>
      <c r="AG195" s="138"/>
      <c r="AH195" s="592" t="str">
        <f t="shared" si="100"/>
        <v/>
      </c>
      <c r="AI195" s="592" t="str">
        <f t="shared" si="101"/>
        <v/>
      </c>
      <c r="AJ195" s="592" t="str">
        <f t="shared" si="102"/>
        <v/>
      </c>
      <c r="AK195" s="460" t="str">
        <f>IF(AU195="","",IF(OR(AZ195=8,AZ195=9),0,IF(OR(AW195=3,AW195=4,AW195=5,AW195=6),IF(LEFT(BF195,1)="1",INDEX(係数_NOX・PM低減,MATCH(AY195,【参考】排出係数!$AI$801:$AI$804,1),1),VLOOKUP(AU195,INDEX((係数_バス貨物_ガソリン,係数_バス貨物_CNG,係数_バス貨物_軽油,係数_バス貨物_メタノール,係数_バス貨物_LPG),MATCH(AY195,【参考】排出係数!$AI$4:$AI$671,1),1,BE195):INDEX((係数_バス貨物_ガソリン,係数_バス貨物_CNG,係数_バス貨物_軽油,係数_バス貨物_メタノール,係数_バス貨物_LPG),MATCH(AY195+1,【参考】排出係数!$AI$4:$AI$671,1)-1,5,BE195),4,FALSE)),IF(AND(BE195=3,LEFT(BF195,1)="1"),0.48,VLOOKUP(AU195,INDEX((係数_乗用_ガソリン,係数_乗用_CNG,係数_乗用_軽油,係数_乗用_メタノール,係数_乗用_LPG),1,1,BE195):INDEX((係数_乗用_ガソリン,係数_乗用_CNG,係数_乗用_軽油,係数_乗用_メタノール,係数_乗用_LPG),125,5,BE195),4,FALSE)))))</f>
        <v/>
      </c>
      <c r="AL195" s="461" t="str">
        <f t="shared" si="126"/>
        <v/>
      </c>
      <c r="AM195" s="460" t="str">
        <f>IF(AU195="","",IF(OR(AZ195=8,AZ195=9),0,IF(OR(AW195=3,AW195=4,AW195=5,AW195=6),IF(LEFT(BH195,1)="1",INDEX(係数_PM低減,MATCH(AY195,【参考】排出係数!$AI$801:$AI$804,1),MATCH(BI195,【参考】排出係数!$AL$798:$AO$798,1)),VLOOKUP(AU195,INDEX((係数_バス貨物_ガソリン,係数_バス貨物_CNG,係数_バス貨物_軽油,係数_バス貨物_メタノール,係数_バス貨物_LPG),MATCH(AY195,【参考】排出係数!$AI$4:$AI$671,1),1,BE195):INDEX((係数_バス貨物_ガソリン,係数_バス貨物_CNG,係数_バス貨物_軽油,係数_バス貨物_メタノール,係数_バス貨物_LPG),MATCH(AY195+1,【参考】排出係数!$AI$4:$AI$671,1)-1,5,BE195),5,FALSE)),IF(AND(BE195=3,LEFT(BF195,1)="1"),0.055,VLOOKUP(AU195,INDEX((係数_乗用_ガソリン,係数_乗用_CNG,係数_乗用_軽油,係数_乗用_メタノール,係数_乗用_LPG),1,1,BE195):INDEX((係数_乗用_ガソリン,係数_乗用_CNG,係数_乗用_軽油,係数_乗用_メタノール,係数_乗用_LPG),125,5,BE195),5,FALSE)))))</f>
        <v/>
      </c>
      <c r="AN195" s="461" t="str">
        <f t="shared" si="127"/>
        <v/>
      </c>
      <c r="AO195" s="462" t="str">
        <f t="shared" si="128"/>
        <v/>
      </c>
      <c r="AP195" s="463" t="str">
        <f t="shared" si="129"/>
        <v/>
      </c>
      <c r="AQ195" s="464"/>
      <c r="AR195" s="619"/>
      <c r="AS195" s="465" t="str">
        <f t="shared" si="108"/>
        <v/>
      </c>
      <c r="AT195" s="465" t="str">
        <f t="shared" si="109"/>
        <v/>
      </c>
      <c r="AU195" s="466" t="str">
        <f t="shared" si="110"/>
        <v/>
      </c>
      <c r="AV195" s="467" t="str">
        <f t="shared" si="111"/>
        <v/>
      </c>
      <c r="AW195" s="467" t="str">
        <f t="shared" si="112"/>
        <v/>
      </c>
      <c r="AX195" s="467" t="str">
        <f t="shared" si="113"/>
        <v/>
      </c>
      <c r="AY195" s="467" t="str">
        <f t="shared" si="114"/>
        <v/>
      </c>
      <c r="AZ195" s="467" t="str">
        <f t="shared" si="115"/>
        <v/>
      </c>
      <c r="BA195" s="468" t="str">
        <f>IF(AS195="","",IF(OR(AU195="",AU195="-"),"－",IF(OR(AZ195=8,AZ195=9),"",IF(OR(AW195=3,AW195=4,AW195=5,AW195=6),VLOOKUP(AU195,INDEX((係数_バス貨物_ガソリン,係数_バス貨物_CNG,係数_バス貨物_軽油,係数_バス貨物_メタノール,係数_バス貨物_LPG),MATCH(AY195,【参考】排出係数!$AI$4:$AI$671,1),1,BE195):INDEX((係数_バス貨物_ガソリン,係数_バス貨物_CNG,係数_バス貨物_軽油,係数_バス貨物_メタノール,係数_バス貨物_LPG),MATCH(AY195+1,【参考】排出係数!$AI$4:$AI$671,1)-1,5,BE195),2,FALSE),IF(OR(AW195=1,AW195=2),VLOOKUP(AU195,INDEX((係数_乗用_ガソリン,係数_乗用_CNG,係数_乗用_軽油,係数_乗用_メタノール,係数_乗用_LPG),1,1,BE195):INDEX((係数_乗用_ガソリン,係数_乗用_CNG,係数_乗用_軽油,係数_乗用_メタノール,係数_乗用_LPG),125,5,BE195),2,FALSE))))))</f>
        <v/>
      </c>
      <c r="BB195" s="468" t="str">
        <f>IF(T195="","",IF(OR(AU195="",AU195="-"),"－",IF(OR(AZ195=8,AZ195=9),"",IF(OR(AW195=3,AW195=4,AW195=5,AW195=6),VLOOKUP(AU195,INDEX((係数_バス貨物_ガソリン,係数_バス貨物_CNG,係数_バス貨物_軽油,係数_バス貨物_メタノール,係数_バス貨物_LPG),MATCH(AY195,【参考】排出係数!$AI$4:$AI$671,1),1,BE195):INDEX((係数_バス貨物_ガソリン,係数_バス貨物_CNG,係数_バス貨物_軽油,係数_バス貨物_メタノール,係数_バス貨物_LPG),MATCH(AY195+1,【参考】排出係数!$AI$4:$AI$671,1)-1,5,BE195),3,FALSE),IF(OR(AW195=1,AW195=2),VLOOKUP(AU195,INDEX((係数_乗用_ガソリン,係数_乗用_CNG,係数_乗用_軽油,係数_乗用_メタノール,係数_乗用_LPG),1,1,BE195):INDEX((係数_乗用_ガソリン,係数_乗用_CNG,係数_乗用_軽油,係数_乗用_メタノール,係数_乗用_LPG),125,5,BE195),3,FALSE))))))</f>
        <v/>
      </c>
      <c r="BC195" s="467" t="str">
        <f t="shared" si="116"/>
        <v/>
      </c>
      <c r="BD195" s="567" t="str">
        <f t="shared" si="117"/>
        <v/>
      </c>
      <c r="BE195" s="467" t="str">
        <f t="shared" si="118"/>
        <v/>
      </c>
      <c r="BF195" s="469" t="str">
        <f t="shared" ca="1" si="119"/>
        <v/>
      </c>
      <c r="BG195" s="469" t="str">
        <f t="shared" ca="1" si="120"/>
        <v/>
      </c>
      <c r="BH195" s="467" t="str">
        <f t="shared" si="121"/>
        <v/>
      </c>
      <c r="BI195" s="467" t="str">
        <f t="shared" ca="1" si="122"/>
        <v/>
      </c>
      <c r="BJ195" s="469" t="str">
        <f t="shared" si="123"/>
        <v/>
      </c>
      <c r="BK195" s="470" t="str">
        <f t="shared" si="103"/>
        <v/>
      </c>
      <c r="BL195" s="775" t="str">
        <f t="shared" si="124"/>
        <v/>
      </c>
      <c r="BM195" s="775" t="str">
        <f t="shared" si="125"/>
        <v/>
      </c>
    </row>
    <row r="196" spans="1:65">
      <c r="A196" s="473">
        <v>140</v>
      </c>
      <c r="B196" s="132"/>
      <c r="C196" s="332"/>
      <c r="D196" s="333"/>
      <c r="E196" s="333"/>
      <c r="F196" s="334"/>
      <c r="G196" s="337"/>
      <c r="H196" s="131"/>
      <c r="I196" s="337"/>
      <c r="J196" s="131"/>
      <c r="K196" s="458" t="str">
        <f t="shared" si="92"/>
        <v/>
      </c>
      <c r="L196" s="458">
        <f t="shared" si="104"/>
        <v>0</v>
      </c>
      <c r="M196" s="458">
        <f t="shared" si="105"/>
        <v>0</v>
      </c>
      <c r="N196" s="459" t="str">
        <f t="shared" si="93"/>
        <v/>
      </c>
      <c r="O196" s="459" t="str">
        <f t="shared" si="94"/>
        <v/>
      </c>
      <c r="P196" s="459" t="str">
        <f t="shared" si="95"/>
        <v/>
      </c>
      <c r="Q196" s="459" t="str">
        <f t="shared" si="96"/>
        <v/>
      </c>
      <c r="R196" s="459" t="str">
        <f t="shared" si="97"/>
        <v/>
      </c>
      <c r="S196" s="459" t="str">
        <f t="shared" si="98"/>
        <v/>
      </c>
      <c r="T196" s="566" t="str">
        <f t="shared" si="106"/>
        <v/>
      </c>
      <c r="U196" s="702"/>
      <c r="V196" s="132"/>
      <c r="W196" s="133"/>
      <c r="X196" s="134"/>
      <c r="Y196" s="135"/>
      <c r="Z196" s="137"/>
      <c r="AA196" s="136"/>
      <c r="AB196" s="566" t="str">
        <f t="shared" si="99"/>
        <v/>
      </c>
      <c r="AC196" s="568" t="str">
        <f t="shared" si="107"/>
        <v/>
      </c>
      <c r="AD196" s="137"/>
      <c r="AE196" s="137"/>
      <c r="AF196" s="138"/>
      <c r="AG196" s="138"/>
      <c r="AH196" s="592" t="str">
        <f t="shared" si="100"/>
        <v/>
      </c>
      <c r="AI196" s="592" t="str">
        <f t="shared" si="101"/>
        <v/>
      </c>
      <c r="AJ196" s="592" t="str">
        <f t="shared" si="102"/>
        <v/>
      </c>
      <c r="AK196" s="460" t="str">
        <f>IF(AU196="","",IF(OR(AZ196=8,AZ196=9),0,IF(OR(AW196=3,AW196=4,AW196=5,AW196=6),IF(LEFT(BF196,1)="1",INDEX(係数_NOX・PM低減,MATCH(AY196,【参考】排出係数!$AI$801:$AI$804,1),1),VLOOKUP(AU196,INDEX((係数_バス貨物_ガソリン,係数_バス貨物_CNG,係数_バス貨物_軽油,係数_バス貨物_メタノール,係数_バス貨物_LPG),MATCH(AY196,【参考】排出係数!$AI$4:$AI$671,1),1,BE196):INDEX((係数_バス貨物_ガソリン,係数_バス貨物_CNG,係数_バス貨物_軽油,係数_バス貨物_メタノール,係数_バス貨物_LPG),MATCH(AY196+1,【参考】排出係数!$AI$4:$AI$671,1)-1,5,BE196),4,FALSE)),IF(AND(BE196=3,LEFT(BF196,1)="1"),0.48,VLOOKUP(AU196,INDEX((係数_乗用_ガソリン,係数_乗用_CNG,係数_乗用_軽油,係数_乗用_メタノール,係数_乗用_LPG),1,1,BE196):INDEX((係数_乗用_ガソリン,係数_乗用_CNG,係数_乗用_軽油,係数_乗用_メタノール,係数_乗用_LPG),125,5,BE196),4,FALSE)))))</f>
        <v/>
      </c>
      <c r="AL196" s="461" t="str">
        <f t="shared" si="126"/>
        <v/>
      </c>
      <c r="AM196" s="460" t="str">
        <f>IF(AU196="","",IF(OR(AZ196=8,AZ196=9),0,IF(OR(AW196=3,AW196=4,AW196=5,AW196=6),IF(LEFT(BH196,1)="1",INDEX(係数_PM低減,MATCH(AY196,【参考】排出係数!$AI$801:$AI$804,1),MATCH(BI196,【参考】排出係数!$AL$798:$AO$798,1)),VLOOKUP(AU196,INDEX((係数_バス貨物_ガソリン,係数_バス貨物_CNG,係数_バス貨物_軽油,係数_バス貨物_メタノール,係数_バス貨物_LPG),MATCH(AY196,【参考】排出係数!$AI$4:$AI$671,1),1,BE196):INDEX((係数_バス貨物_ガソリン,係数_バス貨物_CNG,係数_バス貨物_軽油,係数_バス貨物_メタノール,係数_バス貨物_LPG),MATCH(AY196+1,【参考】排出係数!$AI$4:$AI$671,1)-1,5,BE196),5,FALSE)),IF(AND(BE196=3,LEFT(BF196,1)="1"),0.055,VLOOKUP(AU196,INDEX((係数_乗用_ガソリン,係数_乗用_CNG,係数_乗用_軽油,係数_乗用_メタノール,係数_乗用_LPG),1,1,BE196):INDEX((係数_乗用_ガソリン,係数_乗用_CNG,係数_乗用_軽油,係数_乗用_メタノール,係数_乗用_LPG),125,5,BE196),5,FALSE)))))</f>
        <v/>
      </c>
      <c r="AN196" s="461" t="str">
        <f t="shared" si="127"/>
        <v/>
      </c>
      <c r="AO196" s="462" t="str">
        <f t="shared" si="128"/>
        <v/>
      </c>
      <c r="AP196" s="463" t="str">
        <f t="shared" si="129"/>
        <v/>
      </c>
      <c r="AQ196" s="464"/>
      <c r="AR196" s="619"/>
      <c r="AS196" s="465" t="str">
        <f t="shared" si="108"/>
        <v/>
      </c>
      <c r="AT196" s="465" t="str">
        <f t="shared" si="109"/>
        <v/>
      </c>
      <c r="AU196" s="466" t="str">
        <f t="shared" si="110"/>
        <v/>
      </c>
      <c r="AV196" s="467" t="str">
        <f t="shared" si="111"/>
        <v/>
      </c>
      <c r="AW196" s="467" t="str">
        <f t="shared" si="112"/>
        <v/>
      </c>
      <c r="AX196" s="467" t="str">
        <f t="shared" si="113"/>
        <v/>
      </c>
      <c r="AY196" s="467" t="str">
        <f t="shared" si="114"/>
        <v/>
      </c>
      <c r="AZ196" s="467" t="str">
        <f t="shared" si="115"/>
        <v/>
      </c>
      <c r="BA196" s="468" t="str">
        <f>IF(AS196="","",IF(OR(AU196="",AU196="-"),"－",IF(OR(AZ196=8,AZ196=9),"",IF(OR(AW196=3,AW196=4,AW196=5,AW196=6),VLOOKUP(AU196,INDEX((係数_バス貨物_ガソリン,係数_バス貨物_CNG,係数_バス貨物_軽油,係数_バス貨物_メタノール,係数_バス貨物_LPG),MATCH(AY196,【参考】排出係数!$AI$4:$AI$671,1),1,BE196):INDEX((係数_バス貨物_ガソリン,係数_バス貨物_CNG,係数_バス貨物_軽油,係数_バス貨物_メタノール,係数_バス貨物_LPG),MATCH(AY196+1,【参考】排出係数!$AI$4:$AI$671,1)-1,5,BE196),2,FALSE),IF(OR(AW196=1,AW196=2),VLOOKUP(AU196,INDEX((係数_乗用_ガソリン,係数_乗用_CNG,係数_乗用_軽油,係数_乗用_メタノール,係数_乗用_LPG),1,1,BE196):INDEX((係数_乗用_ガソリン,係数_乗用_CNG,係数_乗用_軽油,係数_乗用_メタノール,係数_乗用_LPG),125,5,BE196),2,FALSE))))))</f>
        <v/>
      </c>
      <c r="BB196" s="468" t="str">
        <f>IF(T196="","",IF(OR(AU196="",AU196="-"),"－",IF(OR(AZ196=8,AZ196=9),"",IF(OR(AW196=3,AW196=4,AW196=5,AW196=6),VLOOKUP(AU196,INDEX((係数_バス貨物_ガソリン,係数_バス貨物_CNG,係数_バス貨物_軽油,係数_バス貨物_メタノール,係数_バス貨物_LPG),MATCH(AY196,【参考】排出係数!$AI$4:$AI$671,1),1,BE196):INDEX((係数_バス貨物_ガソリン,係数_バス貨物_CNG,係数_バス貨物_軽油,係数_バス貨物_メタノール,係数_バス貨物_LPG),MATCH(AY196+1,【参考】排出係数!$AI$4:$AI$671,1)-1,5,BE196),3,FALSE),IF(OR(AW196=1,AW196=2),VLOOKUP(AU196,INDEX((係数_乗用_ガソリン,係数_乗用_CNG,係数_乗用_軽油,係数_乗用_メタノール,係数_乗用_LPG),1,1,BE196):INDEX((係数_乗用_ガソリン,係数_乗用_CNG,係数_乗用_軽油,係数_乗用_メタノール,係数_乗用_LPG),125,5,BE196),3,FALSE))))))</f>
        <v/>
      </c>
      <c r="BC196" s="467" t="str">
        <f t="shared" si="116"/>
        <v/>
      </c>
      <c r="BD196" s="567" t="str">
        <f t="shared" si="117"/>
        <v/>
      </c>
      <c r="BE196" s="467" t="str">
        <f t="shared" si="118"/>
        <v/>
      </c>
      <c r="BF196" s="469" t="str">
        <f t="shared" ca="1" si="119"/>
        <v/>
      </c>
      <c r="BG196" s="469" t="str">
        <f t="shared" ca="1" si="120"/>
        <v/>
      </c>
      <c r="BH196" s="467" t="str">
        <f t="shared" si="121"/>
        <v/>
      </c>
      <c r="BI196" s="467" t="str">
        <f t="shared" ca="1" si="122"/>
        <v/>
      </c>
      <c r="BJ196" s="469" t="str">
        <f t="shared" si="123"/>
        <v/>
      </c>
      <c r="BK196" s="470" t="str">
        <f t="shared" si="103"/>
        <v/>
      </c>
      <c r="BL196" s="775" t="str">
        <f t="shared" si="124"/>
        <v/>
      </c>
      <c r="BM196" s="775" t="str">
        <f t="shared" si="125"/>
        <v/>
      </c>
    </row>
    <row r="197" spans="1:65">
      <c r="A197" s="473">
        <v>141</v>
      </c>
      <c r="B197" s="132"/>
      <c r="C197" s="332"/>
      <c r="D197" s="333"/>
      <c r="E197" s="333"/>
      <c r="F197" s="334"/>
      <c r="G197" s="337"/>
      <c r="H197" s="131"/>
      <c r="I197" s="337"/>
      <c r="J197" s="131"/>
      <c r="K197" s="458" t="str">
        <f t="shared" si="92"/>
        <v/>
      </c>
      <c r="L197" s="458">
        <f t="shared" si="104"/>
        <v>0</v>
      </c>
      <c r="M197" s="458">
        <f t="shared" si="105"/>
        <v>0</v>
      </c>
      <c r="N197" s="459" t="str">
        <f t="shared" si="93"/>
        <v/>
      </c>
      <c r="O197" s="459" t="str">
        <f t="shared" si="94"/>
        <v/>
      </c>
      <c r="P197" s="459" t="str">
        <f t="shared" si="95"/>
        <v/>
      </c>
      <c r="Q197" s="459" t="str">
        <f t="shared" si="96"/>
        <v/>
      </c>
      <c r="R197" s="459" t="str">
        <f t="shared" si="97"/>
        <v/>
      </c>
      <c r="S197" s="459" t="str">
        <f t="shared" si="98"/>
        <v/>
      </c>
      <c r="T197" s="566" t="str">
        <f t="shared" si="106"/>
        <v/>
      </c>
      <c r="U197" s="702"/>
      <c r="V197" s="132"/>
      <c r="W197" s="133"/>
      <c r="X197" s="134"/>
      <c r="Y197" s="135"/>
      <c r="Z197" s="137"/>
      <c r="AA197" s="136"/>
      <c r="AB197" s="566" t="str">
        <f t="shared" si="99"/>
        <v/>
      </c>
      <c r="AC197" s="568" t="str">
        <f t="shared" si="107"/>
        <v/>
      </c>
      <c r="AD197" s="137"/>
      <c r="AE197" s="137"/>
      <c r="AF197" s="138"/>
      <c r="AG197" s="138"/>
      <c r="AH197" s="592" t="str">
        <f t="shared" si="100"/>
        <v/>
      </c>
      <c r="AI197" s="592" t="str">
        <f t="shared" si="101"/>
        <v/>
      </c>
      <c r="AJ197" s="592" t="str">
        <f t="shared" si="102"/>
        <v/>
      </c>
      <c r="AK197" s="460" t="str">
        <f>IF(AU197="","",IF(OR(AZ197=8,AZ197=9),0,IF(OR(AW197=3,AW197=4,AW197=5,AW197=6),IF(LEFT(BF197,1)="1",INDEX(係数_NOX・PM低減,MATCH(AY197,【参考】排出係数!$AI$801:$AI$804,1),1),VLOOKUP(AU197,INDEX((係数_バス貨物_ガソリン,係数_バス貨物_CNG,係数_バス貨物_軽油,係数_バス貨物_メタノール,係数_バス貨物_LPG),MATCH(AY197,【参考】排出係数!$AI$4:$AI$671,1),1,BE197):INDEX((係数_バス貨物_ガソリン,係数_バス貨物_CNG,係数_バス貨物_軽油,係数_バス貨物_メタノール,係数_バス貨物_LPG),MATCH(AY197+1,【参考】排出係数!$AI$4:$AI$671,1)-1,5,BE197),4,FALSE)),IF(AND(BE197=3,LEFT(BF197,1)="1"),0.48,VLOOKUP(AU197,INDEX((係数_乗用_ガソリン,係数_乗用_CNG,係数_乗用_軽油,係数_乗用_メタノール,係数_乗用_LPG),1,1,BE197):INDEX((係数_乗用_ガソリン,係数_乗用_CNG,係数_乗用_軽油,係数_乗用_メタノール,係数_乗用_LPG),125,5,BE197),4,FALSE)))))</f>
        <v/>
      </c>
      <c r="AL197" s="461" t="str">
        <f t="shared" si="126"/>
        <v/>
      </c>
      <c r="AM197" s="460" t="str">
        <f>IF(AU197="","",IF(OR(AZ197=8,AZ197=9),0,IF(OR(AW197=3,AW197=4,AW197=5,AW197=6),IF(LEFT(BH197,1)="1",INDEX(係数_PM低減,MATCH(AY197,【参考】排出係数!$AI$801:$AI$804,1),MATCH(BI197,【参考】排出係数!$AL$798:$AO$798,1)),VLOOKUP(AU197,INDEX((係数_バス貨物_ガソリン,係数_バス貨物_CNG,係数_バス貨物_軽油,係数_バス貨物_メタノール,係数_バス貨物_LPG),MATCH(AY197,【参考】排出係数!$AI$4:$AI$671,1),1,BE197):INDEX((係数_バス貨物_ガソリン,係数_バス貨物_CNG,係数_バス貨物_軽油,係数_バス貨物_メタノール,係数_バス貨物_LPG),MATCH(AY197+1,【参考】排出係数!$AI$4:$AI$671,1)-1,5,BE197),5,FALSE)),IF(AND(BE197=3,LEFT(BF197,1)="1"),0.055,VLOOKUP(AU197,INDEX((係数_乗用_ガソリン,係数_乗用_CNG,係数_乗用_軽油,係数_乗用_メタノール,係数_乗用_LPG),1,1,BE197):INDEX((係数_乗用_ガソリン,係数_乗用_CNG,係数_乗用_軽油,係数_乗用_メタノール,係数_乗用_LPG),125,5,BE197),5,FALSE)))))</f>
        <v/>
      </c>
      <c r="AN197" s="461" t="str">
        <f t="shared" si="127"/>
        <v/>
      </c>
      <c r="AO197" s="462" t="str">
        <f t="shared" si="128"/>
        <v/>
      </c>
      <c r="AP197" s="463" t="str">
        <f t="shared" si="129"/>
        <v/>
      </c>
      <c r="AQ197" s="464"/>
      <c r="AR197" s="619"/>
      <c r="AS197" s="465" t="str">
        <f t="shared" si="108"/>
        <v/>
      </c>
      <c r="AT197" s="465" t="str">
        <f t="shared" si="109"/>
        <v/>
      </c>
      <c r="AU197" s="466" t="str">
        <f t="shared" si="110"/>
        <v/>
      </c>
      <c r="AV197" s="467" t="str">
        <f t="shared" si="111"/>
        <v/>
      </c>
      <c r="AW197" s="467" t="str">
        <f t="shared" si="112"/>
        <v/>
      </c>
      <c r="AX197" s="467" t="str">
        <f t="shared" si="113"/>
        <v/>
      </c>
      <c r="AY197" s="467" t="str">
        <f t="shared" si="114"/>
        <v/>
      </c>
      <c r="AZ197" s="467" t="str">
        <f t="shared" si="115"/>
        <v/>
      </c>
      <c r="BA197" s="468" t="str">
        <f>IF(AS197="","",IF(OR(AU197="",AU197="-"),"－",IF(OR(AZ197=8,AZ197=9),"",IF(OR(AW197=3,AW197=4,AW197=5,AW197=6),VLOOKUP(AU197,INDEX((係数_バス貨物_ガソリン,係数_バス貨物_CNG,係数_バス貨物_軽油,係数_バス貨物_メタノール,係数_バス貨物_LPG),MATCH(AY197,【参考】排出係数!$AI$4:$AI$671,1),1,BE197):INDEX((係数_バス貨物_ガソリン,係数_バス貨物_CNG,係数_バス貨物_軽油,係数_バス貨物_メタノール,係数_バス貨物_LPG),MATCH(AY197+1,【参考】排出係数!$AI$4:$AI$671,1)-1,5,BE197),2,FALSE),IF(OR(AW197=1,AW197=2),VLOOKUP(AU197,INDEX((係数_乗用_ガソリン,係数_乗用_CNG,係数_乗用_軽油,係数_乗用_メタノール,係数_乗用_LPG),1,1,BE197):INDEX((係数_乗用_ガソリン,係数_乗用_CNG,係数_乗用_軽油,係数_乗用_メタノール,係数_乗用_LPG),125,5,BE197),2,FALSE))))))</f>
        <v/>
      </c>
      <c r="BB197" s="468" t="str">
        <f>IF(T197="","",IF(OR(AU197="",AU197="-"),"－",IF(OR(AZ197=8,AZ197=9),"",IF(OR(AW197=3,AW197=4,AW197=5,AW197=6),VLOOKUP(AU197,INDEX((係数_バス貨物_ガソリン,係数_バス貨物_CNG,係数_バス貨物_軽油,係数_バス貨物_メタノール,係数_バス貨物_LPG),MATCH(AY197,【参考】排出係数!$AI$4:$AI$671,1),1,BE197):INDEX((係数_バス貨物_ガソリン,係数_バス貨物_CNG,係数_バス貨物_軽油,係数_バス貨物_メタノール,係数_バス貨物_LPG),MATCH(AY197+1,【参考】排出係数!$AI$4:$AI$671,1)-1,5,BE197),3,FALSE),IF(OR(AW197=1,AW197=2),VLOOKUP(AU197,INDEX((係数_乗用_ガソリン,係数_乗用_CNG,係数_乗用_軽油,係数_乗用_メタノール,係数_乗用_LPG),1,1,BE197):INDEX((係数_乗用_ガソリン,係数_乗用_CNG,係数_乗用_軽油,係数_乗用_メタノール,係数_乗用_LPG),125,5,BE197),3,FALSE))))))</f>
        <v/>
      </c>
      <c r="BC197" s="467" t="str">
        <f t="shared" si="116"/>
        <v/>
      </c>
      <c r="BD197" s="567" t="str">
        <f t="shared" si="117"/>
        <v/>
      </c>
      <c r="BE197" s="467" t="str">
        <f t="shared" si="118"/>
        <v/>
      </c>
      <c r="BF197" s="469" t="str">
        <f t="shared" ca="1" si="119"/>
        <v/>
      </c>
      <c r="BG197" s="469" t="str">
        <f t="shared" ca="1" si="120"/>
        <v/>
      </c>
      <c r="BH197" s="467" t="str">
        <f t="shared" si="121"/>
        <v/>
      </c>
      <c r="BI197" s="467" t="str">
        <f t="shared" ca="1" si="122"/>
        <v/>
      </c>
      <c r="BJ197" s="469" t="str">
        <f t="shared" si="123"/>
        <v/>
      </c>
      <c r="BK197" s="470" t="str">
        <f t="shared" si="103"/>
        <v/>
      </c>
      <c r="BL197" s="775" t="str">
        <f t="shared" si="124"/>
        <v/>
      </c>
      <c r="BM197" s="775" t="str">
        <f t="shared" si="125"/>
        <v/>
      </c>
    </row>
    <row r="198" spans="1:65">
      <c r="A198" s="473">
        <v>142</v>
      </c>
      <c r="B198" s="132"/>
      <c r="C198" s="332"/>
      <c r="D198" s="333"/>
      <c r="E198" s="333"/>
      <c r="F198" s="334"/>
      <c r="G198" s="337"/>
      <c r="H198" s="131"/>
      <c r="I198" s="337"/>
      <c r="J198" s="131"/>
      <c r="K198" s="458" t="str">
        <f t="shared" si="92"/>
        <v/>
      </c>
      <c r="L198" s="458">
        <f t="shared" si="104"/>
        <v>0</v>
      </c>
      <c r="M198" s="458">
        <f t="shared" si="105"/>
        <v>0</v>
      </c>
      <c r="N198" s="459" t="str">
        <f t="shared" si="93"/>
        <v/>
      </c>
      <c r="O198" s="459" t="str">
        <f t="shared" si="94"/>
        <v/>
      </c>
      <c r="P198" s="459" t="str">
        <f t="shared" si="95"/>
        <v/>
      </c>
      <c r="Q198" s="459" t="str">
        <f t="shared" si="96"/>
        <v/>
      </c>
      <c r="R198" s="459" t="str">
        <f t="shared" si="97"/>
        <v/>
      </c>
      <c r="S198" s="459" t="str">
        <f t="shared" si="98"/>
        <v/>
      </c>
      <c r="T198" s="566" t="str">
        <f t="shared" si="106"/>
        <v/>
      </c>
      <c r="U198" s="702"/>
      <c r="V198" s="132"/>
      <c r="W198" s="133"/>
      <c r="X198" s="134"/>
      <c r="Y198" s="135"/>
      <c r="Z198" s="137"/>
      <c r="AA198" s="136"/>
      <c r="AB198" s="566" t="str">
        <f t="shared" si="99"/>
        <v/>
      </c>
      <c r="AC198" s="568" t="str">
        <f t="shared" si="107"/>
        <v/>
      </c>
      <c r="AD198" s="137"/>
      <c r="AE198" s="137"/>
      <c r="AF198" s="138"/>
      <c r="AG198" s="138"/>
      <c r="AH198" s="592" t="str">
        <f t="shared" si="100"/>
        <v/>
      </c>
      <c r="AI198" s="592" t="str">
        <f t="shared" si="101"/>
        <v/>
      </c>
      <c r="AJ198" s="592" t="str">
        <f t="shared" si="102"/>
        <v/>
      </c>
      <c r="AK198" s="460" t="str">
        <f>IF(AU198="","",IF(OR(AZ198=8,AZ198=9),0,IF(OR(AW198=3,AW198=4,AW198=5,AW198=6),IF(LEFT(BF198,1)="1",INDEX(係数_NOX・PM低減,MATCH(AY198,【参考】排出係数!$AI$801:$AI$804,1),1),VLOOKUP(AU198,INDEX((係数_バス貨物_ガソリン,係数_バス貨物_CNG,係数_バス貨物_軽油,係数_バス貨物_メタノール,係数_バス貨物_LPG),MATCH(AY198,【参考】排出係数!$AI$4:$AI$671,1),1,BE198):INDEX((係数_バス貨物_ガソリン,係数_バス貨物_CNG,係数_バス貨物_軽油,係数_バス貨物_メタノール,係数_バス貨物_LPG),MATCH(AY198+1,【参考】排出係数!$AI$4:$AI$671,1)-1,5,BE198),4,FALSE)),IF(AND(BE198=3,LEFT(BF198,1)="1"),0.48,VLOOKUP(AU198,INDEX((係数_乗用_ガソリン,係数_乗用_CNG,係数_乗用_軽油,係数_乗用_メタノール,係数_乗用_LPG),1,1,BE198):INDEX((係数_乗用_ガソリン,係数_乗用_CNG,係数_乗用_軽油,係数_乗用_メタノール,係数_乗用_LPG),125,5,BE198),4,FALSE)))))</f>
        <v/>
      </c>
      <c r="AL198" s="461" t="str">
        <f t="shared" si="126"/>
        <v/>
      </c>
      <c r="AM198" s="460" t="str">
        <f>IF(AU198="","",IF(OR(AZ198=8,AZ198=9),0,IF(OR(AW198=3,AW198=4,AW198=5,AW198=6),IF(LEFT(BH198,1)="1",INDEX(係数_PM低減,MATCH(AY198,【参考】排出係数!$AI$801:$AI$804,1),MATCH(BI198,【参考】排出係数!$AL$798:$AO$798,1)),VLOOKUP(AU198,INDEX((係数_バス貨物_ガソリン,係数_バス貨物_CNG,係数_バス貨物_軽油,係数_バス貨物_メタノール,係数_バス貨物_LPG),MATCH(AY198,【参考】排出係数!$AI$4:$AI$671,1),1,BE198):INDEX((係数_バス貨物_ガソリン,係数_バス貨物_CNG,係数_バス貨物_軽油,係数_バス貨物_メタノール,係数_バス貨物_LPG),MATCH(AY198+1,【参考】排出係数!$AI$4:$AI$671,1)-1,5,BE198),5,FALSE)),IF(AND(BE198=3,LEFT(BF198,1)="1"),0.055,VLOOKUP(AU198,INDEX((係数_乗用_ガソリン,係数_乗用_CNG,係数_乗用_軽油,係数_乗用_メタノール,係数_乗用_LPG),1,1,BE198):INDEX((係数_乗用_ガソリン,係数_乗用_CNG,係数_乗用_軽油,係数_乗用_メタノール,係数_乗用_LPG),125,5,BE198),5,FALSE)))))</f>
        <v/>
      </c>
      <c r="AN198" s="461" t="str">
        <f t="shared" si="127"/>
        <v/>
      </c>
      <c r="AO198" s="462" t="str">
        <f t="shared" si="128"/>
        <v/>
      </c>
      <c r="AP198" s="463" t="str">
        <f t="shared" si="129"/>
        <v/>
      </c>
      <c r="AQ198" s="464"/>
      <c r="AR198" s="619"/>
      <c r="AS198" s="465" t="str">
        <f t="shared" si="108"/>
        <v/>
      </c>
      <c r="AT198" s="465" t="str">
        <f t="shared" si="109"/>
        <v/>
      </c>
      <c r="AU198" s="466" t="str">
        <f t="shared" si="110"/>
        <v/>
      </c>
      <c r="AV198" s="467" t="str">
        <f t="shared" si="111"/>
        <v/>
      </c>
      <c r="AW198" s="467" t="str">
        <f t="shared" si="112"/>
        <v/>
      </c>
      <c r="AX198" s="467" t="str">
        <f t="shared" si="113"/>
        <v/>
      </c>
      <c r="AY198" s="467" t="str">
        <f t="shared" si="114"/>
        <v/>
      </c>
      <c r="AZ198" s="467" t="str">
        <f t="shared" si="115"/>
        <v/>
      </c>
      <c r="BA198" s="468" t="str">
        <f>IF(AS198="","",IF(OR(AU198="",AU198="-"),"－",IF(OR(AZ198=8,AZ198=9),"",IF(OR(AW198=3,AW198=4,AW198=5,AW198=6),VLOOKUP(AU198,INDEX((係数_バス貨物_ガソリン,係数_バス貨物_CNG,係数_バス貨物_軽油,係数_バス貨物_メタノール,係数_バス貨物_LPG),MATCH(AY198,【参考】排出係数!$AI$4:$AI$671,1),1,BE198):INDEX((係数_バス貨物_ガソリン,係数_バス貨物_CNG,係数_バス貨物_軽油,係数_バス貨物_メタノール,係数_バス貨物_LPG),MATCH(AY198+1,【参考】排出係数!$AI$4:$AI$671,1)-1,5,BE198),2,FALSE),IF(OR(AW198=1,AW198=2),VLOOKUP(AU198,INDEX((係数_乗用_ガソリン,係数_乗用_CNG,係数_乗用_軽油,係数_乗用_メタノール,係数_乗用_LPG),1,1,BE198):INDEX((係数_乗用_ガソリン,係数_乗用_CNG,係数_乗用_軽油,係数_乗用_メタノール,係数_乗用_LPG),125,5,BE198),2,FALSE))))))</f>
        <v/>
      </c>
      <c r="BB198" s="468" t="str">
        <f>IF(T198="","",IF(OR(AU198="",AU198="-"),"－",IF(OR(AZ198=8,AZ198=9),"",IF(OR(AW198=3,AW198=4,AW198=5,AW198=6),VLOOKUP(AU198,INDEX((係数_バス貨物_ガソリン,係数_バス貨物_CNG,係数_バス貨物_軽油,係数_バス貨物_メタノール,係数_バス貨物_LPG),MATCH(AY198,【参考】排出係数!$AI$4:$AI$671,1),1,BE198):INDEX((係数_バス貨物_ガソリン,係数_バス貨物_CNG,係数_バス貨物_軽油,係数_バス貨物_メタノール,係数_バス貨物_LPG),MATCH(AY198+1,【参考】排出係数!$AI$4:$AI$671,1)-1,5,BE198),3,FALSE),IF(OR(AW198=1,AW198=2),VLOOKUP(AU198,INDEX((係数_乗用_ガソリン,係数_乗用_CNG,係数_乗用_軽油,係数_乗用_メタノール,係数_乗用_LPG),1,1,BE198):INDEX((係数_乗用_ガソリン,係数_乗用_CNG,係数_乗用_軽油,係数_乗用_メタノール,係数_乗用_LPG),125,5,BE198),3,FALSE))))))</f>
        <v/>
      </c>
      <c r="BC198" s="467" t="str">
        <f t="shared" si="116"/>
        <v/>
      </c>
      <c r="BD198" s="567" t="str">
        <f t="shared" si="117"/>
        <v/>
      </c>
      <c r="BE198" s="467" t="str">
        <f t="shared" si="118"/>
        <v/>
      </c>
      <c r="BF198" s="469" t="str">
        <f t="shared" ca="1" si="119"/>
        <v/>
      </c>
      <c r="BG198" s="469" t="str">
        <f t="shared" ca="1" si="120"/>
        <v/>
      </c>
      <c r="BH198" s="467" t="str">
        <f t="shared" si="121"/>
        <v/>
      </c>
      <c r="BI198" s="467" t="str">
        <f t="shared" ca="1" si="122"/>
        <v/>
      </c>
      <c r="BJ198" s="469" t="str">
        <f t="shared" si="123"/>
        <v/>
      </c>
      <c r="BK198" s="470" t="str">
        <f t="shared" si="103"/>
        <v/>
      </c>
      <c r="BL198" s="775" t="str">
        <f t="shared" si="124"/>
        <v/>
      </c>
      <c r="BM198" s="775" t="str">
        <f t="shared" si="125"/>
        <v/>
      </c>
    </row>
    <row r="199" spans="1:65">
      <c r="A199" s="473">
        <v>143</v>
      </c>
      <c r="B199" s="132"/>
      <c r="C199" s="332"/>
      <c r="D199" s="333"/>
      <c r="E199" s="333"/>
      <c r="F199" s="334"/>
      <c r="G199" s="337"/>
      <c r="H199" s="131"/>
      <c r="I199" s="337"/>
      <c r="J199" s="131"/>
      <c r="K199" s="458" t="str">
        <f t="shared" si="92"/>
        <v/>
      </c>
      <c r="L199" s="458">
        <f t="shared" si="104"/>
        <v>0</v>
      </c>
      <c r="M199" s="458">
        <f t="shared" si="105"/>
        <v>0</v>
      </c>
      <c r="N199" s="459" t="str">
        <f t="shared" si="93"/>
        <v/>
      </c>
      <c r="O199" s="459" t="str">
        <f t="shared" si="94"/>
        <v/>
      </c>
      <c r="P199" s="459" t="str">
        <f t="shared" si="95"/>
        <v/>
      </c>
      <c r="Q199" s="459" t="str">
        <f t="shared" si="96"/>
        <v/>
      </c>
      <c r="R199" s="459" t="str">
        <f t="shared" si="97"/>
        <v/>
      </c>
      <c r="S199" s="459" t="str">
        <f t="shared" si="98"/>
        <v/>
      </c>
      <c r="T199" s="566" t="str">
        <f t="shared" si="106"/>
        <v/>
      </c>
      <c r="U199" s="702"/>
      <c r="V199" s="132"/>
      <c r="W199" s="133"/>
      <c r="X199" s="134"/>
      <c r="Y199" s="135"/>
      <c r="Z199" s="137"/>
      <c r="AA199" s="136"/>
      <c r="AB199" s="566" t="str">
        <f t="shared" si="99"/>
        <v/>
      </c>
      <c r="AC199" s="568" t="str">
        <f t="shared" si="107"/>
        <v/>
      </c>
      <c r="AD199" s="137"/>
      <c r="AE199" s="137"/>
      <c r="AF199" s="138"/>
      <c r="AG199" s="138"/>
      <c r="AH199" s="592" t="str">
        <f t="shared" si="100"/>
        <v/>
      </c>
      <c r="AI199" s="592" t="str">
        <f t="shared" si="101"/>
        <v/>
      </c>
      <c r="AJ199" s="592" t="str">
        <f t="shared" si="102"/>
        <v/>
      </c>
      <c r="AK199" s="460" t="str">
        <f>IF(AU199="","",IF(OR(AZ199=8,AZ199=9),0,IF(OR(AW199=3,AW199=4,AW199=5,AW199=6),IF(LEFT(BF199,1)="1",INDEX(係数_NOX・PM低減,MATCH(AY199,【参考】排出係数!$AI$801:$AI$804,1),1),VLOOKUP(AU199,INDEX((係数_バス貨物_ガソリン,係数_バス貨物_CNG,係数_バス貨物_軽油,係数_バス貨物_メタノール,係数_バス貨物_LPG),MATCH(AY199,【参考】排出係数!$AI$4:$AI$671,1),1,BE199):INDEX((係数_バス貨物_ガソリン,係数_バス貨物_CNG,係数_バス貨物_軽油,係数_バス貨物_メタノール,係数_バス貨物_LPG),MATCH(AY199+1,【参考】排出係数!$AI$4:$AI$671,1)-1,5,BE199),4,FALSE)),IF(AND(BE199=3,LEFT(BF199,1)="1"),0.48,VLOOKUP(AU199,INDEX((係数_乗用_ガソリン,係数_乗用_CNG,係数_乗用_軽油,係数_乗用_メタノール,係数_乗用_LPG),1,1,BE199):INDEX((係数_乗用_ガソリン,係数_乗用_CNG,係数_乗用_軽油,係数_乗用_メタノール,係数_乗用_LPG),125,5,BE199),4,FALSE)))))</f>
        <v/>
      </c>
      <c r="AL199" s="461" t="str">
        <f t="shared" si="126"/>
        <v/>
      </c>
      <c r="AM199" s="460" t="str">
        <f>IF(AU199="","",IF(OR(AZ199=8,AZ199=9),0,IF(OR(AW199=3,AW199=4,AW199=5,AW199=6),IF(LEFT(BH199,1)="1",INDEX(係数_PM低減,MATCH(AY199,【参考】排出係数!$AI$801:$AI$804,1),MATCH(BI199,【参考】排出係数!$AL$798:$AO$798,1)),VLOOKUP(AU199,INDEX((係数_バス貨物_ガソリン,係数_バス貨物_CNG,係数_バス貨物_軽油,係数_バス貨物_メタノール,係数_バス貨物_LPG),MATCH(AY199,【参考】排出係数!$AI$4:$AI$671,1),1,BE199):INDEX((係数_バス貨物_ガソリン,係数_バス貨物_CNG,係数_バス貨物_軽油,係数_バス貨物_メタノール,係数_バス貨物_LPG),MATCH(AY199+1,【参考】排出係数!$AI$4:$AI$671,1)-1,5,BE199),5,FALSE)),IF(AND(BE199=3,LEFT(BF199,1)="1"),0.055,VLOOKUP(AU199,INDEX((係数_乗用_ガソリン,係数_乗用_CNG,係数_乗用_軽油,係数_乗用_メタノール,係数_乗用_LPG),1,1,BE199):INDEX((係数_乗用_ガソリン,係数_乗用_CNG,係数_乗用_軽油,係数_乗用_メタノール,係数_乗用_LPG),125,5,BE199),5,FALSE)))))</f>
        <v/>
      </c>
      <c r="AN199" s="461" t="str">
        <f t="shared" si="127"/>
        <v/>
      </c>
      <c r="AO199" s="462" t="str">
        <f t="shared" si="128"/>
        <v/>
      </c>
      <c r="AP199" s="463" t="str">
        <f t="shared" si="129"/>
        <v/>
      </c>
      <c r="AQ199" s="464"/>
      <c r="AR199" s="619"/>
      <c r="AS199" s="465" t="str">
        <f t="shared" si="108"/>
        <v/>
      </c>
      <c r="AT199" s="465" t="str">
        <f t="shared" si="109"/>
        <v/>
      </c>
      <c r="AU199" s="466" t="str">
        <f t="shared" si="110"/>
        <v/>
      </c>
      <c r="AV199" s="467" t="str">
        <f t="shared" si="111"/>
        <v/>
      </c>
      <c r="AW199" s="467" t="str">
        <f t="shared" si="112"/>
        <v/>
      </c>
      <c r="AX199" s="467" t="str">
        <f t="shared" si="113"/>
        <v/>
      </c>
      <c r="AY199" s="467" t="str">
        <f t="shared" si="114"/>
        <v/>
      </c>
      <c r="AZ199" s="467" t="str">
        <f t="shared" si="115"/>
        <v/>
      </c>
      <c r="BA199" s="468" t="str">
        <f>IF(AS199="","",IF(OR(AU199="",AU199="-"),"－",IF(OR(AZ199=8,AZ199=9),"",IF(OR(AW199=3,AW199=4,AW199=5,AW199=6),VLOOKUP(AU199,INDEX((係数_バス貨物_ガソリン,係数_バス貨物_CNG,係数_バス貨物_軽油,係数_バス貨物_メタノール,係数_バス貨物_LPG),MATCH(AY199,【参考】排出係数!$AI$4:$AI$671,1),1,BE199):INDEX((係数_バス貨物_ガソリン,係数_バス貨物_CNG,係数_バス貨物_軽油,係数_バス貨物_メタノール,係数_バス貨物_LPG),MATCH(AY199+1,【参考】排出係数!$AI$4:$AI$671,1)-1,5,BE199),2,FALSE),IF(OR(AW199=1,AW199=2),VLOOKUP(AU199,INDEX((係数_乗用_ガソリン,係数_乗用_CNG,係数_乗用_軽油,係数_乗用_メタノール,係数_乗用_LPG),1,1,BE199):INDEX((係数_乗用_ガソリン,係数_乗用_CNG,係数_乗用_軽油,係数_乗用_メタノール,係数_乗用_LPG),125,5,BE199),2,FALSE))))))</f>
        <v/>
      </c>
      <c r="BB199" s="468" t="str">
        <f>IF(T199="","",IF(OR(AU199="",AU199="-"),"－",IF(OR(AZ199=8,AZ199=9),"",IF(OR(AW199=3,AW199=4,AW199=5,AW199=6),VLOOKUP(AU199,INDEX((係数_バス貨物_ガソリン,係数_バス貨物_CNG,係数_バス貨物_軽油,係数_バス貨物_メタノール,係数_バス貨物_LPG),MATCH(AY199,【参考】排出係数!$AI$4:$AI$671,1),1,BE199):INDEX((係数_バス貨物_ガソリン,係数_バス貨物_CNG,係数_バス貨物_軽油,係数_バス貨物_メタノール,係数_バス貨物_LPG),MATCH(AY199+1,【参考】排出係数!$AI$4:$AI$671,1)-1,5,BE199),3,FALSE),IF(OR(AW199=1,AW199=2),VLOOKUP(AU199,INDEX((係数_乗用_ガソリン,係数_乗用_CNG,係数_乗用_軽油,係数_乗用_メタノール,係数_乗用_LPG),1,1,BE199):INDEX((係数_乗用_ガソリン,係数_乗用_CNG,係数_乗用_軽油,係数_乗用_メタノール,係数_乗用_LPG),125,5,BE199),3,FALSE))))))</f>
        <v/>
      </c>
      <c r="BC199" s="467" t="str">
        <f t="shared" si="116"/>
        <v/>
      </c>
      <c r="BD199" s="567" t="str">
        <f t="shared" si="117"/>
        <v/>
      </c>
      <c r="BE199" s="467" t="str">
        <f t="shared" si="118"/>
        <v/>
      </c>
      <c r="BF199" s="469" t="str">
        <f t="shared" ca="1" si="119"/>
        <v/>
      </c>
      <c r="BG199" s="469" t="str">
        <f t="shared" ca="1" si="120"/>
        <v/>
      </c>
      <c r="BH199" s="467" t="str">
        <f t="shared" si="121"/>
        <v/>
      </c>
      <c r="BI199" s="467" t="str">
        <f t="shared" ca="1" si="122"/>
        <v/>
      </c>
      <c r="BJ199" s="469" t="str">
        <f t="shared" si="123"/>
        <v/>
      </c>
      <c r="BK199" s="470" t="str">
        <f t="shared" si="103"/>
        <v/>
      </c>
      <c r="BL199" s="775" t="str">
        <f t="shared" si="124"/>
        <v/>
      </c>
      <c r="BM199" s="775" t="str">
        <f t="shared" si="125"/>
        <v/>
      </c>
    </row>
    <row r="200" spans="1:65">
      <c r="A200" s="473">
        <v>144</v>
      </c>
      <c r="B200" s="132"/>
      <c r="C200" s="332"/>
      <c r="D200" s="333"/>
      <c r="E200" s="333"/>
      <c r="F200" s="334"/>
      <c r="G200" s="337"/>
      <c r="H200" s="131"/>
      <c r="I200" s="337"/>
      <c r="J200" s="131"/>
      <c r="K200" s="458" t="str">
        <f t="shared" si="92"/>
        <v/>
      </c>
      <c r="L200" s="458">
        <f t="shared" si="104"/>
        <v>0</v>
      </c>
      <c r="M200" s="458">
        <f t="shared" si="105"/>
        <v>0</v>
      </c>
      <c r="N200" s="459" t="str">
        <f t="shared" si="93"/>
        <v/>
      </c>
      <c r="O200" s="459" t="str">
        <f t="shared" si="94"/>
        <v/>
      </c>
      <c r="P200" s="459" t="str">
        <f t="shared" si="95"/>
        <v/>
      </c>
      <c r="Q200" s="459" t="str">
        <f t="shared" si="96"/>
        <v/>
      </c>
      <c r="R200" s="459" t="str">
        <f t="shared" si="97"/>
        <v/>
      </c>
      <c r="S200" s="459" t="str">
        <f t="shared" si="98"/>
        <v/>
      </c>
      <c r="T200" s="566" t="str">
        <f t="shared" si="106"/>
        <v/>
      </c>
      <c r="U200" s="702"/>
      <c r="V200" s="132"/>
      <c r="W200" s="133"/>
      <c r="X200" s="134"/>
      <c r="Y200" s="135"/>
      <c r="Z200" s="137"/>
      <c r="AA200" s="136"/>
      <c r="AB200" s="566" t="str">
        <f t="shared" si="99"/>
        <v/>
      </c>
      <c r="AC200" s="568" t="str">
        <f t="shared" si="107"/>
        <v/>
      </c>
      <c r="AD200" s="137"/>
      <c r="AE200" s="137"/>
      <c r="AF200" s="138"/>
      <c r="AG200" s="138"/>
      <c r="AH200" s="592" t="str">
        <f t="shared" si="100"/>
        <v/>
      </c>
      <c r="AI200" s="592" t="str">
        <f t="shared" si="101"/>
        <v/>
      </c>
      <c r="AJ200" s="592" t="str">
        <f t="shared" si="102"/>
        <v/>
      </c>
      <c r="AK200" s="460" t="str">
        <f>IF(AU200="","",IF(OR(AZ200=8,AZ200=9),0,IF(OR(AW200=3,AW200=4,AW200=5,AW200=6),IF(LEFT(BF200,1)="1",INDEX(係数_NOX・PM低減,MATCH(AY200,【参考】排出係数!$AI$801:$AI$804,1),1),VLOOKUP(AU200,INDEX((係数_バス貨物_ガソリン,係数_バス貨物_CNG,係数_バス貨物_軽油,係数_バス貨物_メタノール,係数_バス貨物_LPG),MATCH(AY200,【参考】排出係数!$AI$4:$AI$671,1),1,BE200):INDEX((係数_バス貨物_ガソリン,係数_バス貨物_CNG,係数_バス貨物_軽油,係数_バス貨物_メタノール,係数_バス貨物_LPG),MATCH(AY200+1,【参考】排出係数!$AI$4:$AI$671,1)-1,5,BE200),4,FALSE)),IF(AND(BE200=3,LEFT(BF200,1)="1"),0.48,VLOOKUP(AU200,INDEX((係数_乗用_ガソリン,係数_乗用_CNG,係数_乗用_軽油,係数_乗用_メタノール,係数_乗用_LPG),1,1,BE200):INDEX((係数_乗用_ガソリン,係数_乗用_CNG,係数_乗用_軽油,係数_乗用_メタノール,係数_乗用_LPG),125,5,BE200),4,FALSE)))))</f>
        <v/>
      </c>
      <c r="AL200" s="461" t="str">
        <f t="shared" si="126"/>
        <v/>
      </c>
      <c r="AM200" s="460" t="str">
        <f>IF(AU200="","",IF(OR(AZ200=8,AZ200=9),0,IF(OR(AW200=3,AW200=4,AW200=5,AW200=6),IF(LEFT(BH200,1)="1",INDEX(係数_PM低減,MATCH(AY200,【参考】排出係数!$AI$801:$AI$804,1),MATCH(BI200,【参考】排出係数!$AL$798:$AO$798,1)),VLOOKUP(AU200,INDEX((係数_バス貨物_ガソリン,係数_バス貨物_CNG,係数_バス貨物_軽油,係数_バス貨物_メタノール,係数_バス貨物_LPG),MATCH(AY200,【参考】排出係数!$AI$4:$AI$671,1),1,BE200):INDEX((係数_バス貨物_ガソリン,係数_バス貨物_CNG,係数_バス貨物_軽油,係数_バス貨物_メタノール,係数_バス貨物_LPG),MATCH(AY200+1,【参考】排出係数!$AI$4:$AI$671,1)-1,5,BE200),5,FALSE)),IF(AND(BE200=3,LEFT(BF200,1)="1"),0.055,VLOOKUP(AU200,INDEX((係数_乗用_ガソリン,係数_乗用_CNG,係数_乗用_軽油,係数_乗用_メタノール,係数_乗用_LPG),1,1,BE200):INDEX((係数_乗用_ガソリン,係数_乗用_CNG,係数_乗用_軽油,係数_乗用_メタノール,係数_乗用_LPG),125,5,BE200),5,FALSE)))))</f>
        <v/>
      </c>
      <c r="AN200" s="461" t="str">
        <f t="shared" si="127"/>
        <v/>
      </c>
      <c r="AO200" s="462" t="str">
        <f t="shared" si="128"/>
        <v/>
      </c>
      <c r="AP200" s="463" t="str">
        <f t="shared" si="129"/>
        <v/>
      </c>
      <c r="AQ200" s="464"/>
      <c r="AR200" s="619"/>
      <c r="AS200" s="465" t="str">
        <f t="shared" si="108"/>
        <v/>
      </c>
      <c r="AT200" s="465" t="str">
        <f t="shared" si="109"/>
        <v/>
      </c>
      <c r="AU200" s="466" t="str">
        <f t="shared" si="110"/>
        <v/>
      </c>
      <c r="AV200" s="467" t="str">
        <f t="shared" si="111"/>
        <v/>
      </c>
      <c r="AW200" s="467" t="str">
        <f t="shared" si="112"/>
        <v/>
      </c>
      <c r="AX200" s="467" t="str">
        <f t="shared" si="113"/>
        <v/>
      </c>
      <c r="AY200" s="467" t="str">
        <f t="shared" si="114"/>
        <v/>
      </c>
      <c r="AZ200" s="467" t="str">
        <f t="shared" si="115"/>
        <v/>
      </c>
      <c r="BA200" s="468" t="str">
        <f>IF(AS200="","",IF(OR(AU200="",AU200="-"),"－",IF(OR(AZ200=8,AZ200=9),"",IF(OR(AW200=3,AW200=4,AW200=5,AW200=6),VLOOKUP(AU200,INDEX((係数_バス貨物_ガソリン,係数_バス貨物_CNG,係数_バス貨物_軽油,係数_バス貨物_メタノール,係数_バス貨物_LPG),MATCH(AY200,【参考】排出係数!$AI$4:$AI$671,1),1,BE200):INDEX((係数_バス貨物_ガソリン,係数_バス貨物_CNG,係数_バス貨物_軽油,係数_バス貨物_メタノール,係数_バス貨物_LPG),MATCH(AY200+1,【参考】排出係数!$AI$4:$AI$671,1)-1,5,BE200),2,FALSE),IF(OR(AW200=1,AW200=2),VLOOKUP(AU200,INDEX((係数_乗用_ガソリン,係数_乗用_CNG,係数_乗用_軽油,係数_乗用_メタノール,係数_乗用_LPG),1,1,BE200):INDEX((係数_乗用_ガソリン,係数_乗用_CNG,係数_乗用_軽油,係数_乗用_メタノール,係数_乗用_LPG),125,5,BE200),2,FALSE))))))</f>
        <v/>
      </c>
      <c r="BB200" s="468" t="str">
        <f>IF(T200="","",IF(OR(AU200="",AU200="-"),"－",IF(OR(AZ200=8,AZ200=9),"",IF(OR(AW200=3,AW200=4,AW200=5,AW200=6),VLOOKUP(AU200,INDEX((係数_バス貨物_ガソリン,係数_バス貨物_CNG,係数_バス貨物_軽油,係数_バス貨物_メタノール,係数_バス貨物_LPG),MATCH(AY200,【参考】排出係数!$AI$4:$AI$671,1),1,BE200):INDEX((係数_バス貨物_ガソリン,係数_バス貨物_CNG,係数_バス貨物_軽油,係数_バス貨物_メタノール,係数_バス貨物_LPG),MATCH(AY200+1,【参考】排出係数!$AI$4:$AI$671,1)-1,5,BE200),3,FALSE),IF(OR(AW200=1,AW200=2),VLOOKUP(AU200,INDEX((係数_乗用_ガソリン,係数_乗用_CNG,係数_乗用_軽油,係数_乗用_メタノール,係数_乗用_LPG),1,1,BE200):INDEX((係数_乗用_ガソリン,係数_乗用_CNG,係数_乗用_軽油,係数_乗用_メタノール,係数_乗用_LPG),125,5,BE200),3,FALSE))))))</f>
        <v/>
      </c>
      <c r="BC200" s="467" t="str">
        <f t="shared" si="116"/>
        <v/>
      </c>
      <c r="BD200" s="567" t="str">
        <f t="shared" si="117"/>
        <v/>
      </c>
      <c r="BE200" s="467" t="str">
        <f t="shared" si="118"/>
        <v/>
      </c>
      <c r="BF200" s="469" t="str">
        <f t="shared" ca="1" si="119"/>
        <v/>
      </c>
      <c r="BG200" s="469" t="str">
        <f t="shared" ca="1" si="120"/>
        <v/>
      </c>
      <c r="BH200" s="467" t="str">
        <f t="shared" si="121"/>
        <v/>
      </c>
      <c r="BI200" s="467" t="str">
        <f t="shared" ca="1" si="122"/>
        <v/>
      </c>
      <c r="BJ200" s="469" t="str">
        <f t="shared" si="123"/>
        <v/>
      </c>
      <c r="BK200" s="470" t="str">
        <f t="shared" si="103"/>
        <v/>
      </c>
      <c r="BL200" s="775" t="str">
        <f t="shared" si="124"/>
        <v/>
      </c>
      <c r="BM200" s="775" t="str">
        <f t="shared" si="125"/>
        <v/>
      </c>
    </row>
    <row r="201" spans="1:65">
      <c r="A201" s="473">
        <v>145</v>
      </c>
      <c r="B201" s="132"/>
      <c r="C201" s="332"/>
      <c r="D201" s="333"/>
      <c r="E201" s="333"/>
      <c r="F201" s="334"/>
      <c r="G201" s="337"/>
      <c r="H201" s="131"/>
      <c r="I201" s="337"/>
      <c r="J201" s="131"/>
      <c r="K201" s="458" t="str">
        <f t="shared" si="92"/>
        <v/>
      </c>
      <c r="L201" s="458">
        <f t="shared" si="104"/>
        <v>0</v>
      </c>
      <c r="M201" s="458">
        <f t="shared" si="105"/>
        <v>0</v>
      </c>
      <c r="N201" s="459" t="str">
        <f t="shared" si="93"/>
        <v/>
      </c>
      <c r="O201" s="459" t="str">
        <f t="shared" si="94"/>
        <v/>
      </c>
      <c r="P201" s="459" t="str">
        <f t="shared" si="95"/>
        <v/>
      </c>
      <c r="Q201" s="459" t="str">
        <f t="shared" si="96"/>
        <v/>
      </c>
      <c r="R201" s="459" t="str">
        <f t="shared" si="97"/>
        <v/>
      </c>
      <c r="S201" s="459" t="str">
        <f t="shared" si="98"/>
        <v/>
      </c>
      <c r="T201" s="566" t="str">
        <f t="shared" si="106"/>
        <v/>
      </c>
      <c r="U201" s="702"/>
      <c r="V201" s="132"/>
      <c r="W201" s="133"/>
      <c r="X201" s="134"/>
      <c r="Y201" s="135"/>
      <c r="Z201" s="137"/>
      <c r="AA201" s="136"/>
      <c r="AB201" s="566" t="str">
        <f t="shared" si="99"/>
        <v/>
      </c>
      <c r="AC201" s="568" t="str">
        <f t="shared" si="107"/>
        <v/>
      </c>
      <c r="AD201" s="137"/>
      <c r="AE201" s="137"/>
      <c r="AF201" s="138"/>
      <c r="AG201" s="138"/>
      <c r="AH201" s="592" t="str">
        <f t="shared" si="100"/>
        <v/>
      </c>
      <c r="AI201" s="592" t="str">
        <f t="shared" si="101"/>
        <v/>
      </c>
      <c r="AJ201" s="592" t="str">
        <f t="shared" si="102"/>
        <v/>
      </c>
      <c r="AK201" s="460" t="str">
        <f>IF(AU201="","",IF(OR(AZ201=8,AZ201=9),0,IF(OR(AW201=3,AW201=4,AW201=5,AW201=6),IF(LEFT(BF201,1)="1",INDEX(係数_NOX・PM低減,MATCH(AY201,【参考】排出係数!$AI$801:$AI$804,1),1),VLOOKUP(AU201,INDEX((係数_バス貨物_ガソリン,係数_バス貨物_CNG,係数_バス貨物_軽油,係数_バス貨物_メタノール,係数_バス貨物_LPG),MATCH(AY201,【参考】排出係数!$AI$4:$AI$671,1),1,BE201):INDEX((係数_バス貨物_ガソリン,係数_バス貨物_CNG,係数_バス貨物_軽油,係数_バス貨物_メタノール,係数_バス貨物_LPG),MATCH(AY201+1,【参考】排出係数!$AI$4:$AI$671,1)-1,5,BE201),4,FALSE)),IF(AND(BE201=3,LEFT(BF201,1)="1"),0.48,VLOOKUP(AU201,INDEX((係数_乗用_ガソリン,係数_乗用_CNG,係数_乗用_軽油,係数_乗用_メタノール,係数_乗用_LPG),1,1,BE201):INDEX((係数_乗用_ガソリン,係数_乗用_CNG,係数_乗用_軽油,係数_乗用_メタノール,係数_乗用_LPG),125,5,BE201),4,FALSE)))))</f>
        <v/>
      </c>
      <c r="AL201" s="461" t="str">
        <f t="shared" si="126"/>
        <v/>
      </c>
      <c r="AM201" s="460" t="str">
        <f>IF(AU201="","",IF(OR(AZ201=8,AZ201=9),0,IF(OR(AW201=3,AW201=4,AW201=5,AW201=6),IF(LEFT(BH201,1)="1",INDEX(係数_PM低減,MATCH(AY201,【参考】排出係数!$AI$801:$AI$804,1),MATCH(BI201,【参考】排出係数!$AL$798:$AO$798,1)),VLOOKUP(AU201,INDEX((係数_バス貨物_ガソリン,係数_バス貨物_CNG,係数_バス貨物_軽油,係数_バス貨物_メタノール,係数_バス貨物_LPG),MATCH(AY201,【参考】排出係数!$AI$4:$AI$671,1),1,BE201):INDEX((係数_バス貨物_ガソリン,係数_バス貨物_CNG,係数_バス貨物_軽油,係数_バス貨物_メタノール,係数_バス貨物_LPG),MATCH(AY201+1,【参考】排出係数!$AI$4:$AI$671,1)-1,5,BE201),5,FALSE)),IF(AND(BE201=3,LEFT(BF201,1)="1"),0.055,VLOOKUP(AU201,INDEX((係数_乗用_ガソリン,係数_乗用_CNG,係数_乗用_軽油,係数_乗用_メタノール,係数_乗用_LPG),1,1,BE201):INDEX((係数_乗用_ガソリン,係数_乗用_CNG,係数_乗用_軽油,係数_乗用_メタノール,係数_乗用_LPG),125,5,BE201),5,FALSE)))))</f>
        <v/>
      </c>
      <c r="AN201" s="461" t="str">
        <f t="shared" si="127"/>
        <v/>
      </c>
      <c r="AO201" s="462" t="str">
        <f t="shared" si="128"/>
        <v/>
      </c>
      <c r="AP201" s="463" t="str">
        <f t="shared" si="129"/>
        <v/>
      </c>
      <c r="AQ201" s="464"/>
      <c r="AR201" s="619"/>
      <c r="AS201" s="465" t="str">
        <f t="shared" si="108"/>
        <v/>
      </c>
      <c r="AT201" s="465" t="str">
        <f t="shared" si="109"/>
        <v/>
      </c>
      <c r="AU201" s="466" t="str">
        <f t="shared" si="110"/>
        <v/>
      </c>
      <c r="AV201" s="467" t="str">
        <f t="shared" si="111"/>
        <v/>
      </c>
      <c r="AW201" s="467" t="str">
        <f t="shared" si="112"/>
        <v/>
      </c>
      <c r="AX201" s="467" t="str">
        <f t="shared" si="113"/>
        <v/>
      </c>
      <c r="AY201" s="467" t="str">
        <f t="shared" si="114"/>
        <v/>
      </c>
      <c r="AZ201" s="467" t="str">
        <f t="shared" si="115"/>
        <v/>
      </c>
      <c r="BA201" s="468" t="str">
        <f>IF(AS201="","",IF(OR(AU201="",AU201="-"),"－",IF(OR(AZ201=8,AZ201=9),"",IF(OR(AW201=3,AW201=4,AW201=5,AW201=6),VLOOKUP(AU201,INDEX((係数_バス貨物_ガソリン,係数_バス貨物_CNG,係数_バス貨物_軽油,係数_バス貨物_メタノール,係数_バス貨物_LPG),MATCH(AY201,【参考】排出係数!$AI$4:$AI$671,1),1,BE201):INDEX((係数_バス貨物_ガソリン,係数_バス貨物_CNG,係数_バス貨物_軽油,係数_バス貨物_メタノール,係数_バス貨物_LPG),MATCH(AY201+1,【参考】排出係数!$AI$4:$AI$671,1)-1,5,BE201),2,FALSE),IF(OR(AW201=1,AW201=2),VLOOKUP(AU201,INDEX((係数_乗用_ガソリン,係数_乗用_CNG,係数_乗用_軽油,係数_乗用_メタノール,係数_乗用_LPG),1,1,BE201):INDEX((係数_乗用_ガソリン,係数_乗用_CNG,係数_乗用_軽油,係数_乗用_メタノール,係数_乗用_LPG),125,5,BE201),2,FALSE))))))</f>
        <v/>
      </c>
      <c r="BB201" s="468" t="str">
        <f>IF(T201="","",IF(OR(AU201="",AU201="-"),"－",IF(OR(AZ201=8,AZ201=9),"",IF(OR(AW201=3,AW201=4,AW201=5,AW201=6),VLOOKUP(AU201,INDEX((係数_バス貨物_ガソリン,係数_バス貨物_CNG,係数_バス貨物_軽油,係数_バス貨物_メタノール,係数_バス貨物_LPG),MATCH(AY201,【参考】排出係数!$AI$4:$AI$671,1),1,BE201):INDEX((係数_バス貨物_ガソリン,係数_バス貨物_CNG,係数_バス貨物_軽油,係数_バス貨物_メタノール,係数_バス貨物_LPG),MATCH(AY201+1,【参考】排出係数!$AI$4:$AI$671,1)-1,5,BE201),3,FALSE),IF(OR(AW201=1,AW201=2),VLOOKUP(AU201,INDEX((係数_乗用_ガソリン,係数_乗用_CNG,係数_乗用_軽油,係数_乗用_メタノール,係数_乗用_LPG),1,1,BE201):INDEX((係数_乗用_ガソリン,係数_乗用_CNG,係数_乗用_軽油,係数_乗用_メタノール,係数_乗用_LPG),125,5,BE201),3,FALSE))))))</f>
        <v/>
      </c>
      <c r="BC201" s="467" t="str">
        <f t="shared" si="116"/>
        <v/>
      </c>
      <c r="BD201" s="567" t="str">
        <f t="shared" si="117"/>
        <v/>
      </c>
      <c r="BE201" s="467" t="str">
        <f t="shared" si="118"/>
        <v/>
      </c>
      <c r="BF201" s="469" t="str">
        <f t="shared" ca="1" si="119"/>
        <v/>
      </c>
      <c r="BG201" s="469" t="str">
        <f t="shared" ca="1" si="120"/>
        <v/>
      </c>
      <c r="BH201" s="467" t="str">
        <f t="shared" si="121"/>
        <v/>
      </c>
      <c r="BI201" s="467" t="str">
        <f t="shared" ca="1" si="122"/>
        <v/>
      </c>
      <c r="BJ201" s="469" t="str">
        <f t="shared" si="123"/>
        <v/>
      </c>
      <c r="BK201" s="470" t="str">
        <f t="shared" si="103"/>
        <v/>
      </c>
      <c r="BL201" s="775" t="str">
        <f t="shared" si="124"/>
        <v/>
      </c>
      <c r="BM201" s="775" t="str">
        <f t="shared" si="125"/>
        <v/>
      </c>
    </row>
    <row r="202" spans="1:65">
      <c r="A202" s="473">
        <v>146</v>
      </c>
      <c r="B202" s="132"/>
      <c r="C202" s="332"/>
      <c r="D202" s="333"/>
      <c r="E202" s="333"/>
      <c r="F202" s="334"/>
      <c r="G202" s="337"/>
      <c r="H202" s="131"/>
      <c r="I202" s="337"/>
      <c r="J202" s="131"/>
      <c r="K202" s="458" t="str">
        <f t="shared" si="92"/>
        <v/>
      </c>
      <c r="L202" s="458">
        <f t="shared" si="104"/>
        <v>0</v>
      </c>
      <c r="M202" s="458">
        <f t="shared" si="105"/>
        <v>0</v>
      </c>
      <c r="N202" s="459" t="str">
        <f t="shared" si="93"/>
        <v/>
      </c>
      <c r="O202" s="459" t="str">
        <f t="shared" si="94"/>
        <v/>
      </c>
      <c r="P202" s="459" t="str">
        <f t="shared" si="95"/>
        <v/>
      </c>
      <c r="Q202" s="459" t="str">
        <f t="shared" si="96"/>
        <v/>
      </c>
      <c r="R202" s="459" t="str">
        <f t="shared" si="97"/>
        <v/>
      </c>
      <c r="S202" s="459" t="str">
        <f t="shared" si="98"/>
        <v/>
      </c>
      <c r="T202" s="566" t="str">
        <f t="shared" si="106"/>
        <v/>
      </c>
      <c r="U202" s="702"/>
      <c r="V202" s="132"/>
      <c r="W202" s="133"/>
      <c r="X202" s="134"/>
      <c r="Y202" s="135"/>
      <c r="Z202" s="137"/>
      <c r="AA202" s="136"/>
      <c r="AB202" s="566" t="str">
        <f t="shared" si="99"/>
        <v/>
      </c>
      <c r="AC202" s="568" t="str">
        <f t="shared" si="107"/>
        <v/>
      </c>
      <c r="AD202" s="137"/>
      <c r="AE202" s="137"/>
      <c r="AF202" s="138"/>
      <c r="AG202" s="138"/>
      <c r="AH202" s="592" t="str">
        <f t="shared" si="100"/>
        <v/>
      </c>
      <c r="AI202" s="592" t="str">
        <f t="shared" si="101"/>
        <v/>
      </c>
      <c r="AJ202" s="592" t="str">
        <f t="shared" si="102"/>
        <v/>
      </c>
      <c r="AK202" s="460" t="str">
        <f>IF(AU202="","",IF(OR(AZ202=8,AZ202=9),0,IF(OR(AW202=3,AW202=4,AW202=5,AW202=6),IF(LEFT(BF202,1)="1",INDEX(係数_NOX・PM低減,MATCH(AY202,【参考】排出係数!$AI$801:$AI$804,1),1),VLOOKUP(AU202,INDEX((係数_バス貨物_ガソリン,係数_バス貨物_CNG,係数_バス貨物_軽油,係数_バス貨物_メタノール,係数_バス貨物_LPG),MATCH(AY202,【参考】排出係数!$AI$4:$AI$671,1),1,BE202):INDEX((係数_バス貨物_ガソリン,係数_バス貨物_CNG,係数_バス貨物_軽油,係数_バス貨物_メタノール,係数_バス貨物_LPG),MATCH(AY202+1,【参考】排出係数!$AI$4:$AI$671,1)-1,5,BE202),4,FALSE)),IF(AND(BE202=3,LEFT(BF202,1)="1"),0.48,VLOOKUP(AU202,INDEX((係数_乗用_ガソリン,係数_乗用_CNG,係数_乗用_軽油,係数_乗用_メタノール,係数_乗用_LPG),1,1,BE202):INDEX((係数_乗用_ガソリン,係数_乗用_CNG,係数_乗用_軽油,係数_乗用_メタノール,係数_乗用_LPG),125,5,BE202),4,FALSE)))))</f>
        <v/>
      </c>
      <c r="AL202" s="461" t="str">
        <f t="shared" si="126"/>
        <v/>
      </c>
      <c r="AM202" s="460" t="str">
        <f>IF(AU202="","",IF(OR(AZ202=8,AZ202=9),0,IF(OR(AW202=3,AW202=4,AW202=5,AW202=6),IF(LEFT(BH202,1)="1",INDEX(係数_PM低減,MATCH(AY202,【参考】排出係数!$AI$801:$AI$804,1),MATCH(BI202,【参考】排出係数!$AL$798:$AO$798,1)),VLOOKUP(AU202,INDEX((係数_バス貨物_ガソリン,係数_バス貨物_CNG,係数_バス貨物_軽油,係数_バス貨物_メタノール,係数_バス貨物_LPG),MATCH(AY202,【参考】排出係数!$AI$4:$AI$671,1),1,BE202):INDEX((係数_バス貨物_ガソリン,係数_バス貨物_CNG,係数_バス貨物_軽油,係数_バス貨物_メタノール,係数_バス貨物_LPG),MATCH(AY202+1,【参考】排出係数!$AI$4:$AI$671,1)-1,5,BE202),5,FALSE)),IF(AND(BE202=3,LEFT(BF202,1)="1"),0.055,VLOOKUP(AU202,INDEX((係数_乗用_ガソリン,係数_乗用_CNG,係数_乗用_軽油,係数_乗用_メタノール,係数_乗用_LPG),1,1,BE202):INDEX((係数_乗用_ガソリン,係数_乗用_CNG,係数_乗用_軽油,係数_乗用_メタノール,係数_乗用_LPG),125,5,BE202),5,FALSE)))))</f>
        <v/>
      </c>
      <c r="AN202" s="461" t="str">
        <f t="shared" si="127"/>
        <v/>
      </c>
      <c r="AO202" s="462" t="str">
        <f t="shared" si="128"/>
        <v/>
      </c>
      <c r="AP202" s="463" t="str">
        <f t="shared" si="129"/>
        <v/>
      </c>
      <c r="AQ202" s="464"/>
      <c r="AR202" s="619"/>
      <c r="AS202" s="465" t="str">
        <f t="shared" si="108"/>
        <v/>
      </c>
      <c r="AT202" s="465" t="str">
        <f t="shared" si="109"/>
        <v/>
      </c>
      <c r="AU202" s="466" t="str">
        <f t="shared" si="110"/>
        <v/>
      </c>
      <c r="AV202" s="467" t="str">
        <f t="shared" si="111"/>
        <v/>
      </c>
      <c r="AW202" s="467" t="str">
        <f t="shared" si="112"/>
        <v/>
      </c>
      <c r="AX202" s="467" t="str">
        <f t="shared" si="113"/>
        <v/>
      </c>
      <c r="AY202" s="467" t="str">
        <f t="shared" si="114"/>
        <v/>
      </c>
      <c r="AZ202" s="467" t="str">
        <f t="shared" si="115"/>
        <v/>
      </c>
      <c r="BA202" s="468" t="str">
        <f>IF(AS202="","",IF(OR(AU202="",AU202="-"),"－",IF(OR(AZ202=8,AZ202=9),"",IF(OR(AW202=3,AW202=4,AW202=5,AW202=6),VLOOKUP(AU202,INDEX((係数_バス貨物_ガソリン,係数_バス貨物_CNG,係数_バス貨物_軽油,係数_バス貨物_メタノール,係数_バス貨物_LPG),MATCH(AY202,【参考】排出係数!$AI$4:$AI$671,1),1,BE202):INDEX((係数_バス貨物_ガソリン,係数_バス貨物_CNG,係数_バス貨物_軽油,係数_バス貨物_メタノール,係数_バス貨物_LPG),MATCH(AY202+1,【参考】排出係数!$AI$4:$AI$671,1)-1,5,BE202),2,FALSE),IF(OR(AW202=1,AW202=2),VLOOKUP(AU202,INDEX((係数_乗用_ガソリン,係数_乗用_CNG,係数_乗用_軽油,係数_乗用_メタノール,係数_乗用_LPG),1,1,BE202):INDEX((係数_乗用_ガソリン,係数_乗用_CNG,係数_乗用_軽油,係数_乗用_メタノール,係数_乗用_LPG),125,5,BE202),2,FALSE))))))</f>
        <v/>
      </c>
      <c r="BB202" s="468" t="str">
        <f>IF(T202="","",IF(OR(AU202="",AU202="-"),"－",IF(OR(AZ202=8,AZ202=9),"",IF(OR(AW202=3,AW202=4,AW202=5,AW202=6),VLOOKUP(AU202,INDEX((係数_バス貨物_ガソリン,係数_バス貨物_CNG,係数_バス貨物_軽油,係数_バス貨物_メタノール,係数_バス貨物_LPG),MATCH(AY202,【参考】排出係数!$AI$4:$AI$671,1),1,BE202):INDEX((係数_バス貨物_ガソリン,係数_バス貨物_CNG,係数_バス貨物_軽油,係数_バス貨物_メタノール,係数_バス貨物_LPG),MATCH(AY202+1,【参考】排出係数!$AI$4:$AI$671,1)-1,5,BE202),3,FALSE),IF(OR(AW202=1,AW202=2),VLOOKUP(AU202,INDEX((係数_乗用_ガソリン,係数_乗用_CNG,係数_乗用_軽油,係数_乗用_メタノール,係数_乗用_LPG),1,1,BE202):INDEX((係数_乗用_ガソリン,係数_乗用_CNG,係数_乗用_軽油,係数_乗用_メタノール,係数_乗用_LPG),125,5,BE202),3,FALSE))))))</f>
        <v/>
      </c>
      <c r="BC202" s="467" t="str">
        <f t="shared" si="116"/>
        <v/>
      </c>
      <c r="BD202" s="567" t="str">
        <f t="shared" si="117"/>
        <v/>
      </c>
      <c r="BE202" s="467" t="str">
        <f t="shared" si="118"/>
        <v/>
      </c>
      <c r="BF202" s="469" t="str">
        <f t="shared" ca="1" si="119"/>
        <v/>
      </c>
      <c r="BG202" s="469" t="str">
        <f t="shared" ca="1" si="120"/>
        <v/>
      </c>
      <c r="BH202" s="467" t="str">
        <f t="shared" si="121"/>
        <v/>
      </c>
      <c r="BI202" s="467" t="str">
        <f t="shared" ca="1" si="122"/>
        <v/>
      </c>
      <c r="BJ202" s="469" t="str">
        <f t="shared" si="123"/>
        <v/>
      </c>
      <c r="BK202" s="470" t="str">
        <f t="shared" si="103"/>
        <v/>
      </c>
      <c r="BL202" s="775" t="str">
        <f t="shared" si="124"/>
        <v/>
      </c>
      <c r="BM202" s="775" t="str">
        <f t="shared" si="125"/>
        <v/>
      </c>
    </row>
    <row r="203" spans="1:65">
      <c r="A203" s="473">
        <v>147</v>
      </c>
      <c r="B203" s="132"/>
      <c r="C203" s="332"/>
      <c r="D203" s="333"/>
      <c r="E203" s="333"/>
      <c r="F203" s="334"/>
      <c r="G203" s="337"/>
      <c r="H203" s="131"/>
      <c r="I203" s="337"/>
      <c r="J203" s="131"/>
      <c r="K203" s="458" t="str">
        <f t="shared" si="92"/>
        <v/>
      </c>
      <c r="L203" s="458">
        <f t="shared" si="104"/>
        <v>0</v>
      </c>
      <c r="M203" s="458">
        <f t="shared" si="105"/>
        <v>0</v>
      </c>
      <c r="N203" s="459" t="str">
        <f t="shared" si="93"/>
        <v/>
      </c>
      <c r="O203" s="459" t="str">
        <f t="shared" si="94"/>
        <v/>
      </c>
      <c r="P203" s="459" t="str">
        <f t="shared" si="95"/>
        <v/>
      </c>
      <c r="Q203" s="459" t="str">
        <f t="shared" si="96"/>
        <v/>
      </c>
      <c r="R203" s="459" t="str">
        <f t="shared" si="97"/>
        <v/>
      </c>
      <c r="S203" s="459" t="str">
        <f t="shared" si="98"/>
        <v/>
      </c>
      <c r="T203" s="566" t="str">
        <f t="shared" si="106"/>
        <v/>
      </c>
      <c r="U203" s="702"/>
      <c r="V203" s="132"/>
      <c r="W203" s="133"/>
      <c r="X203" s="134"/>
      <c r="Y203" s="135"/>
      <c r="Z203" s="137"/>
      <c r="AA203" s="136"/>
      <c r="AB203" s="566" t="str">
        <f t="shared" si="99"/>
        <v/>
      </c>
      <c r="AC203" s="568" t="str">
        <f t="shared" si="107"/>
        <v/>
      </c>
      <c r="AD203" s="137"/>
      <c r="AE203" s="137"/>
      <c r="AF203" s="138"/>
      <c r="AG203" s="138"/>
      <c r="AH203" s="592" t="str">
        <f t="shared" si="100"/>
        <v/>
      </c>
      <c r="AI203" s="592" t="str">
        <f t="shared" si="101"/>
        <v/>
      </c>
      <c r="AJ203" s="592" t="str">
        <f t="shared" si="102"/>
        <v/>
      </c>
      <c r="AK203" s="460" t="str">
        <f>IF(AU203="","",IF(OR(AZ203=8,AZ203=9),0,IF(OR(AW203=3,AW203=4,AW203=5,AW203=6),IF(LEFT(BF203,1)="1",INDEX(係数_NOX・PM低減,MATCH(AY203,【参考】排出係数!$AI$801:$AI$804,1),1),VLOOKUP(AU203,INDEX((係数_バス貨物_ガソリン,係数_バス貨物_CNG,係数_バス貨物_軽油,係数_バス貨物_メタノール,係数_バス貨物_LPG),MATCH(AY203,【参考】排出係数!$AI$4:$AI$671,1),1,BE203):INDEX((係数_バス貨物_ガソリン,係数_バス貨物_CNG,係数_バス貨物_軽油,係数_バス貨物_メタノール,係数_バス貨物_LPG),MATCH(AY203+1,【参考】排出係数!$AI$4:$AI$671,1)-1,5,BE203),4,FALSE)),IF(AND(BE203=3,LEFT(BF203,1)="1"),0.48,VLOOKUP(AU203,INDEX((係数_乗用_ガソリン,係数_乗用_CNG,係数_乗用_軽油,係数_乗用_メタノール,係数_乗用_LPG),1,1,BE203):INDEX((係数_乗用_ガソリン,係数_乗用_CNG,係数_乗用_軽油,係数_乗用_メタノール,係数_乗用_LPG),125,5,BE203),4,FALSE)))))</f>
        <v/>
      </c>
      <c r="AL203" s="461" t="str">
        <f t="shared" si="126"/>
        <v/>
      </c>
      <c r="AM203" s="460" t="str">
        <f>IF(AU203="","",IF(OR(AZ203=8,AZ203=9),0,IF(OR(AW203=3,AW203=4,AW203=5,AW203=6),IF(LEFT(BH203,1)="1",INDEX(係数_PM低減,MATCH(AY203,【参考】排出係数!$AI$801:$AI$804,1),MATCH(BI203,【参考】排出係数!$AL$798:$AO$798,1)),VLOOKUP(AU203,INDEX((係数_バス貨物_ガソリン,係数_バス貨物_CNG,係数_バス貨物_軽油,係数_バス貨物_メタノール,係数_バス貨物_LPG),MATCH(AY203,【参考】排出係数!$AI$4:$AI$671,1),1,BE203):INDEX((係数_バス貨物_ガソリン,係数_バス貨物_CNG,係数_バス貨物_軽油,係数_バス貨物_メタノール,係数_バス貨物_LPG),MATCH(AY203+1,【参考】排出係数!$AI$4:$AI$671,1)-1,5,BE203),5,FALSE)),IF(AND(BE203=3,LEFT(BF203,1)="1"),0.055,VLOOKUP(AU203,INDEX((係数_乗用_ガソリン,係数_乗用_CNG,係数_乗用_軽油,係数_乗用_メタノール,係数_乗用_LPG),1,1,BE203):INDEX((係数_乗用_ガソリン,係数_乗用_CNG,係数_乗用_軽油,係数_乗用_メタノール,係数_乗用_LPG),125,5,BE203),5,FALSE)))))</f>
        <v/>
      </c>
      <c r="AN203" s="461" t="str">
        <f t="shared" si="127"/>
        <v/>
      </c>
      <c r="AO203" s="462" t="str">
        <f t="shared" si="128"/>
        <v/>
      </c>
      <c r="AP203" s="463" t="str">
        <f t="shared" si="129"/>
        <v/>
      </c>
      <c r="AQ203" s="464"/>
      <c r="AR203" s="619"/>
      <c r="AS203" s="465" t="str">
        <f t="shared" si="108"/>
        <v/>
      </c>
      <c r="AT203" s="465" t="str">
        <f t="shared" si="109"/>
        <v/>
      </c>
      <c r="AU203" s="466" t="str">
        <f t="shared" si="110"/>
        <v/>
      </c>
      <c r="AV203" s="467" t="str">
        <f t="shared" si="111"/>
        <v/>
      </c>
      <c r="AW203" s="467" t="str">
        <f t="shared" si="112"/>
        <v/>
      </c>
      <c r="AX203" s="467" t="str">
        <f t="shared" si="113"/>
        <v/>
      </c>
      <c r="AY203" s="467" t="str">
        <f t="shared" si="114"/>
        <v/>
      </c>
      <c r="AZ203" s="467" t="str">
        <f t="shared" si="115"/>
        <v/>
      </c>
      <c r="BA203" s="468" t="str">
        <f>IF(AS203="","",IF(OR(AU203="",AU203="-"),"－",IF(OR(AZ203=8,AZ203=9),"",IF(OR(AW203=3,AW203=4,AW203=5,AW203=6),VLOOKUP(AU203,INDEX((係数_バス貨物_ガソリン,係数_バス貨物_CNG,係数_バス貨物_軽油,係数_バス貨物_メタノール,係数_バス貨物_LPG),MATCH(AY203,【参考】排出係数!$AI$4:$AI$671,1),1,BE203):INDEX((係数_バス貨物_ガソリン,係数_バス貨物_CNG,係数_バス貨物_軽油,係数_バス貨物_メタノール,係数_バス貨物_LPG),MATCH(AY203+1,【参考】排出係数!$AI$4:$AI$671,1)-1,5,BE203),2,FALSE),IF(OR(AW203=1,AW203=2),VLOOKUP(AU203,INDEX((係数_乗用_ガソリン,係数_乗用_CNG,係数_乗用_軽油,係数_乗用_メタノール,係数_乗用_LPG),1,1,BE203):INDEX((係数_乗用_ガソリン,係数_乗用_CNG,係数_乗用_軽油,係数_乗用_メタノール,係数_乗用_LPG),125,5,BE203),2,FALSE))))))</f>
        <v/>
      </c>
      <c r="BB203" s="468" t="str">
        <f>IF(T203="","",IF(OR(AU203="",AU203="-"),"－",IF(OR(AZ203=8,AZ203=9),"",IF(OR(AW203=3,AW203=4,AW203=5,AW203=6),VLOOKUP(AU203,INDEX((係数_バス貨物_ガソリン,係数_バス貨物_CNG,係数_バス貨物_軽油,係数_バス貨物_メタノール,係数_バス貨物_LPG),MATCH(AY203,【参考】排出係数!$AI$4:$AI$671,1),1,BE203):INDEX((係数_バス貨物_ガソリン,係数_バス貨物_CNG,係数_バス貨物_軽油,係数_バス貨物_メタノール,係数_バス貨物_LPG),MATCH(AY203+1,【参考】排出係数!$AI$4:$AI$671,1)-1,5,BE203),3,FALSE),IF(OR(AW203=1,AW203=2),VLOOKUP(AU203,INDEX((係数_乗用_ガソリン,係数_乗用_CNG,係数_乗用_軽油,係数_乗用_メタノール,係数_乗用_LPG),1,1,BE203):INDEX((係数_乗用_ガソリン,係数_乗用_CNG,係数_乗用_軽油,係数_乗用_メタノール,係数_乗用_LPG),125,5,BE203),3,FALSE))))))</f>
        <v/>
      </c>
      <c r="BC203" s="467" t="str">
        <f t="shared" si="116"/>
        <v/>
      </c>
      <c r="BD203" s="567" t="str">
        <f t="shared" si="117"/>
        <v/>
      </c>
      <c r="BE203" s="467" t="str">
        <f t="shared" si="118"/>
        <v/>
      </c>
      <c r="BF203" s="469" t="str">
        <f t="shared" ca="1" si="119"/>
        <v/>
      </c>
      <c r="BG203" s="469" t="str">
        <f t="shared" ca="1" si="120"/>
        <v/>
      </c>
      <c r="BH203" s="467" t="str">
        <f t="shared" si="121"/>
        <v/>
      </c>
      <c r="BI203" s="467" t="str">
        <f t="shared" ca="1" si="122"/>
        <v/>
      </c>
      <c r="BJ203" s="469" t="str">
        <f t="shared" si="123"/>
        <v/>
      </c>
      <c r="BK203" s="470" t="str">
        <f t="shared" si="103"/>
        <v/>
      </c>
      <c r="BL203" s="775" t="str">
        <f t="shared" si="124"/>
        <v/>
      </c>
      <c r="BM203" s="775" t="str">
        <f t="shared" si="125"/>
        <v/>
      </c>
    </row>
    <row r="204" spans="1:65">
      <c r="A204" s="473">
        <v>148</v>
      </c>
      <c r="B204" s="132"/>
      <c r="C204" s="332"/>
      <c r="D204" s="333"/>
      <c r="E204" s="333"/>
      <c r="F204" s="334"/>
      <c r="G204" s="337"/>
      <c r="H204" s="131"/>
      <c r="I204" s="337"/>
      <c r="J204" s="131"/>
      <c r="K204" s="458" t="str">
        <f t="shared" si="92"/>
        <v/>
      </c>
      <c r="L204" s="458">
        <f t="shared" si="104"/>
        <v>0</v>
      </c>
      <c r="M204" s="458">
        <f t="shared" si="105"/>
        <v>0</v>
      </c>
      <c r="N204" s="459" t="str">
        <f t="shared" si="93"/>
        <v/>
      </c>
      <c r="O204" s="459" t="str">
        <f t="shared" si="94"/>
        <v/>
      </c>
      <c r="P204" s="459" t="str">
        <f t="shared" si="95"/>
        <v/>
      </c>
      <c r="Q204" s="459" t="str">
        <f t="shared" si="96"/>
        <v/>
      </c>
      <c r="R204" s="459" t="str">
        <f t="shared" si="97"/>
        <v/>
      </c>
      <c r="S204" s="459" t="str">
        <f t="shared" si="98"/>
        <v/>
      </c>
      <c r="T204" s="566" t="str">
        <f t="shared" si="106"/>
        <v/>
      </c>
      <c r="U204" s="702"/>
      <c r="V204" s="132"/>
      <c r="W204" s="133"/>
      <c r="X204" s="134"/>
      <c r="Y204" s="135"/>
      <c r="Z204" s="137"/>
      <c r="AA204" s="136"/>
      <c r="AB204" s="566" t="str">
        <f t="shared" si="99"/>
        <v/>
      </c>
      <c r="AC204" s="568" t="str">
        <f t="shared" si="107"/>
        <v/>
      </c>
      <c r="AD204" s="137"/>
      <c r="AE204" s="137"/>
      <c r="AF204" s="138"/>
      <c r="AG204" s="138"/>
      <c r="AH204" s="592" t="str">
        <f t="shared" si="100"/>
        <v/>
      </c>
      <c r="AI204" s="592" t="str">
        <f t="shared" si="101"/>
        <v/>
      </c>
      <c r="AJ204" s="592" t="str">
        <f t="shared" si="102"/>
        <v/>
      </c>
      <c r="AK204" s="460" t="str">
        <f>IF(AU204="","",IF(OR(AZ204=8,AZ204=9),0,IF(OR(AW204=3,AW204=4,AW204=5,AW204=6),IF(LEFT(BF204,1)="1",INDEX(係数_NOX・PM低減,MATCH(AY204,【参考】排出係数!$AI$801:$AI$804,1),1),VLOOKUP(AU204,INDEX((係数_バス貨物_ガソリン,係数_バス貨物_CNG,係数_バス貨物_軽油,係数_バス貨物_メタノール,係数_バス貨物_LPG),MATCH(AY204,【参考】排出係数!$AI$4:$AI$671,1),1,BE204):INDEX((係数_バス貨物_ガソリン,係数_バス貨物_CNG,係数_バス貨物_軽油,係数_バス貨物_メタノール,係数_バス貨物_LPG),MATCH(AY204+1,【参考】排出係数!$AI$4:$AI$671,1)-1,5,BE204),4,FALSE)),IF(AND(BE204=3,LEFT(BF204,1)="1"),0.48,VLOOKUP(AU204,INDEX((係数_乗用_ガソリン,係数_乗用_CNG,係数_乗用_軽油,係数_乗用_メタノール,係数_乗用_LPG),1,1,BE204):INDEX((係数_乗用_ガソリン,係数_乗用_CNG,係数_乗用_軽油,係数_乗用_メタノール,係数_乗用_LPG),125,5,BE204),4,FALSE)))))</f>
        <v/>
      </c>
      <c r="AL204" s="461" t="str">
        <f t="shared" si="126"/>
        <v/>
      </c>
      <c r="AM204" s="460" t="str">
        <f>IF(AU204="","",IF(OR(AZ204=8,AZ204=9),0,IF(OR(AW204=3,AW204=4,AW204=5,AW204=6),IF(LEFT(BH204,1)="1",INDEX(係数_PM低減,MATCH(AY204,【参考】排出係数!$AI$801:$AI$804,1),MATCH(BI204,【参考】排出係数!$AL$798:$AO$798,1)),VLOOKUP(AU204,INDEX((係数_バス貨物_ガソリン,係数_バス貨物_CNG,係数_バス貨物_軽油,係数_バス貨物_メタノール,係数_バス貨物_LPG),MATCH(AY204,【参考】排出係数!$AI$4:$AI$671,1),1,BE204):INDEX((係数_バス貨物_ガソリン,係数_バス貨物_CNG,係数_バス貨物_軽油,係数_バス貨物_メタノール,係数_バス貨物_LPG),MATCH(AY204+1,【参考】排出係数!$AI$4:$AI$671,1)-1,5,BE204),5,FALSE)),IF(AND(BE204=3,LEFT(BF204,1)="1"),0.055,VLOOKUP(AU204,INDEX((係数_乗用_ガソリン,係数_乗用_CNG,係数_乗用_軽油,係数_乗用_メタノール,係数_乗用_LPG),1,1,BE204):INDEX((係数_乗用_ガソリン,係数_乗用_CNG,係数_乗用_軽油,係数_乗用_メタノール,係数_乗用_LPG),125,5,BE204),5,FALSE)))))</f>
        <v/>
      </c>
      <c r="AN204" s="461" t="str">
        <f t="shared" si="127"/>
        <v/>
      </c>
      <c r="AO204" s="462" t="str">
        <f t="shared" si="128"/>
        <v/>
      </c>
      <c r="AP204" s="463" t="str">
        <f t="shared" si="129"/>
        <v/>
      </c>
      <c r="AQ204" s="464"/>
      <c r="AR204" s="619"/>
      <c r="AS204" s="465" t="str">
        <f t="shared" si="108"/>
        <v/>
      </c>
      <c r="AT204" s="465" t="str">
        <f t="shared" si="109"/>
        <v/>
      </c>
      <c r="AU204" s="466" t="str">
        <f t="shared" si="110"/>
        <v/>
      </c>
      <c r="AV204" s="467" t="str">
        <f t="shared" si="111"/>
        <v/>
      </c>
      <c r="AW204" s="467" t="str">
        <f t="shared" si="112"/>
        <v/>
      </c>
      <c r="AX204" s="467" t="str">
        <f t="shared" si="113"/>
        <v/>
      </c>
      <c r="AY204" s="467" t="str">
        <f t="shared" si="114"/>
        <v/>
      </c>
      <c r="AZ204" s="467" t="str">
        <f t="shared" si="115"/>
        <v/>
      </c>
      <c r="BA204" s="468" t="str">
        <f>IF(AS204="","",IF(OR(AU204="",AU204="-"),"－",IF(OR(AZ204=8,AZ204=9),"",IF(OR(AW204=3,AW204=4,AW204=5,AW204=6),VLOOKUP(AU204,INDEX((係数_バス貨物_ガソリン,係数_バス貨物_CNG,係数_バス貨物_軽油,係数_バス貨物_メタノール,係数_バス貨物_LPG),MATCH(AY204,【参考】排出係数!$AI$4:$AI$671,1),1,BE204):INDEX((係数_バス貨物_ガソリン,係数_バス貨物_CNG,係数_バス貨物_軽油,係数_バス貨物_メタノール,係数_バス貨物_LPG),MATCH(AY204+1,【参考】排出係数!$AI$4:$AI$671,1)-1,5,BE204),2,FALSE),IF(OR(AW204=1,AW204=2),VLOOKUP(AU204,INDEX((係数_乗用_ガソリン,係数_乗用_CNG,係数_乗用_軽油,係数_乗用_メタノール,係数_乗用_LPG),1,1,BE204):INDEX((係数_乗用_ガソリン,係数_乗用_CNG,係数_乗用_軽油,係数_乗用_メタノール,係数_乗用_LPG),125,5,BE204),2,FALSE))))))</f>
        <v/>
      </c>
      <c r="BB204" s="468" t="str">
        <f>IF(T204="","",IF(OR(AU204="",AU204="-"),"－",IF(OR(AZ204=8,AZ204=9),"",IF(OR(AW204=3,AW204=4,AW204=5,AW204=6),VLOOKUP(AU204,INDEX((係数_バス貨物_ガソリン,係数_バス貨物_CNG,係数_バス貨物_軽油,係数_バス貨物_メタノール,係数_バス貨物_LPG),MATCH(AY204,【参考】排出係数!$AI$4:$AI$671,1),1,BE204):INDEX((係数_バス貨物_ガソリン,係数_バス貨物_CNG,係数_バス貨物_軽油,係数_バス貨物_メタノール,係数_バス貨物_LPG),MATCH(AY204+1,【参考】排出係数!$AI$4:$AI$671,1)-1,5,BE204),3,FALSE),IF(OR(AW204=1,AW204=2),VLOOKUP(AU204,INDEX((係数_乗用_ガソリン,係数_乗用_CNG,係数_乗用_軽油,係数_乗用_メタノール,係数_乗用_LPG),1,1,BE204):INDEX((係数_乗用_ガソリン,係数_乗用_CNG,係数_乗用_軽油,係数_乗用_メタノール,係数_乗用_LPG),125,5,BE204),3,FALSE))))))</f>
        <v/>
      </c>
      <c r="BC204" s="467" t="str">
        <f t="shared" si="116"/>
        <v/>
      </c>
      <c r="BD204" s="567" t="str">
        <f t="shared" si="117"/>
        <v/>
      </c>
      <c r="BE204" s="467" t="str">
        <f t="shared" si="118"/>
        <v/>
      </c>
      <c r="BF204" s="469" t="str">
        <f t="shared" ca="1" si="119"/>
        <v/>
      </c>
      <c r="BG204" s="469" t="str">
        <f t="shared" ca="1" si="120"/>
        <v/>
      </c>
      <c r="BH204" s="467" t="str">
        <f t="shared" si="121"/>
        <v/>
      </c>
      <c r="BI204" s="467" t="str">
        <f t="shared" ca="1" si="122"/>
        <v/>
      </c>
      <c r="BJ204" s="469" t="str">
        <f t="shared" si="123"/>
        <v/>
      </c>
      <c r="BK204" s="470" t="str">
        <f t="shared" si="103"/>
        <v/>
      </c>
      <c r="BL204" s="775" t="str">
        <f t="shared" si="124"/>
        <v/>
      </c>
      <c r="BM204" s="775" t="str">
        <f t="shared" si="125"/>
        <v/>
      </c>
    </row>
    <row r="205" spans="1:65">
      <c r="A205" s="473">
        <v>149</v>
      </c>
      <c r="B205" s="132"/>
      <c r="C205" s="332"/>
      <c r="D205" s="333"/>
      <c r="E205" s="333"/>
      <c r="F205" s="334"/>
      <c r="G205" s="337"/>
      <c r="H205" s="131"/>
      <c r="I205" s="337"/>
      <c r="J205" s="131"/>
      <c r="K205" s="458" t="str">
        <f t="shared" si="92"/>
        <v/>
      </c>
      <c r="L205" s="458">
        <f t="shared" si="104"/>
        <v>0</v>
      </c>
      <c r="M205" s="458">
        <f t="shared" si="105"/>
        <v>0</v>
      </c>
      <c r="N205" s="459" t="str">
        <f t="shared" si="93"/>
        <v/>
      </c>
      <c r="O205" s="459" t="str">
        <f t="shared" si="94"/>
        <v/>
      </c>
      <c r="P205" s="459" t="str">
        <f t="shared" si="95"/>
        <v/>
      </c>
      <c r="Q205" s="459" t="str">
        <f t="shared" si="96"/>
        <v/>
      </c>
      <c r="R205" s="459" t="str">
        <f t="shared" si="97"/>
        <v/>
      </c>
      <c r="S205" s="459" t="str">
        <f t="shared" si="98"/>
        <v/>
      </c>
      <c r="T205" s="566" t="str">
        <f t="shared" si="106"/>
        <v/>
      </c>
      <c r="U205" s="702"/>
      <c r="V205" s="132"/>
      <c r="W205" s="133"/>
      <c r="X205" s="134"/>
      <c r="Y205" s="135"/>
      <c r="Z205" s="137"/>
      <c r="AA205" s="136"/>
      <c r="AB205" s="566" t="str">
        <f t="shared" si="99"/>
        <v/>
      </c>
      <c r="AC205" s="568" t="str">
        <f t="shared" si="107"/>
        <v/>
      </c>
      <c r="AD205" s="137"/>
      <c r="AE205" s="137"/>
      <c r="AF205" s="138"/>
      <c r="AG205" s="138"/>
      <c r="AH205" s="592" t="str">
        <f t="shared" si="100"/>
        <v/>
      </c>
      <c r="AI205" s="592" t="str">
        <f t="shared" si="101"/>
        <v/>
      </c>
      <c r="AJ205" s="592" t="str">
        <f t="shared" si="102"/>
        <v/>
      </c>
      <c r="AK205" s="460" t="str">
        <f>IF(AU205="","",IF(OR(AZ205=8,AZ205=9),0,IF(OR(AW205=3,AW205=4,AW205=5,AW205=6),IF(LEFT(BF205,1)="1",INDEX(係数_NOX・PM低減,MATCH(AY205,【参考】排出係数!$AI$801:$AI$804,1),1),VLOOKUP(AU205,INDEX((係数_バス貨物_ガソリン,係数_バス貨物_CNG,係数_バス貨物_軽油,係数_バス貨物_メタノール,係数_バス貨物_LPG),MATCH(AY205,【参考】排出係数!$AI$4:$AI$671,1),1,BE205):INDEX((係数_バス貨物_ガソリン,係数_バス貨物_CNG,係数_バス貨物_軽油,係数_バス貨物_メタノール,係数_バス貨物_LPG),MATCH(AY205+1,【参考】排出係数!$AI$4:$AI$671,1)-1,5,BE205),4,FALSE)),IF(AND(BE205=3,LEFT(BF205,1)="1"),0.48,VLOOKUP(AU205,INDEX((係数_乗用_ガソリン,係数_乗用_CNG,係数_乗用_軽油,係数_乗用_メタノール,係数_乗用_LPG),1,1,BE205):INDEX((係数_乗用_ガソリン,係数_乗用_CNG,係数_乗用_軽油,係数_乗用_メタノール,係数_乗用_LPG),125,5,BE205),4,FALSE)))))</f>
        <v/>
      </c>
      <c r="AL205" s="461" t="str">
        <f t="shared" si="126"/>
        <v/>
      </c>
      <c r="AM205" s="460" t="str">
        <f>IF(AU205="","",IF(OR(AZ205=8,AZ205=9),0,IF(OR(AW205=3,AW205=4,AW205=5,AW205=6),IF(LEFT(BH205,1)="1",INDEX(係数_PM低減,MATCH(AY205,【参考】排出係数!$AI$801:$AI$804,1),MATCH(BI205,【参考】排出係数!$AL$798:$AO$798,1)),VLOOKUP(AU205,INDEX((係数_バス貨物_ガソリン,係数_バス貨物_CNG,係数_バス貨物_軽油,係数_バス貨物_メタノール,係数_バス貨物_LPG),MATCH(AY205,【参考】排出係数!$AI$4:$AI$671,1),1,BE205):INDEX((係数_バス貨物_ガソリン,係数_バス貨物_CNG,係数_バス貨物_軽油,係数_バス貨物_メタノール,係数_バス貨物_LPG),MATCH(AY205+1,【参考】排出係数!$AI$4:$AI$671,1)-1,5,BE205),5,FALSE)),IF(AND(BE205=3,LEFT(BF205,1)="1"),0.055,VLOOKUP(AU205,INDEX((係数_乗用_ガソリン,係数_乗用_CNG,係数_乗用_軽油,係数_乗用_メタノール,係数_乗用_LPG),1,1,BE205):INDEX((係数_乗用_ガソリン,係数_乗用_CNG,係数_乗用_軽油,係数_乗用_メタノール,係数_乗用_LPG),125,5,BE205),5,FALSE)))))</f>
        <v/>
      </c>
      <c r="AN205" s="461" t="str">
        <f t="shared" si="127"/>
        <v/>
      </c>
      <c r="AO205" s="462" t="str">
        <f t="shared" si="128"/>
        <v/>
      </c>
      <c r="AP205" s="463" t="str">
        <f t="shared" si="129"/>
        <v/>
      </c>
      <c r="AQ205" s="464"/>
      <c r="AR205" s="619"/>
      <c r="AS205" s="465" t="str">
        <f t="shared" si="108"/>
        <v/>
      </c>
      <c r="AT205" s="465" t="str">
        <f t="shared" si="109"/>
        <v/>
      </c>
      <c r="AU205" s="466" t="str">
        <f t="shared" si="110"/>
        <v/>
      </c>
      <c r="AV205" s="467" t="str">
        <f t="shared" si="111"/>
        <v/>
      </c>
      <c r="AW205" s="467" t="str">
        <f t="shared" si="112"/>
        <v/>
      </c>
      <c r="AX205" s="467" t="str">
        <f t="shared" si="113"/>
        <v/>
      </c>
      <c r="AY205" s="467" t="str">
        <f t="shared" si="114"/>
        <v/>
      </c>
      <c r="AZ205" s="467" t="str">
        <f t="shared" si="115"/>
        <v/>
      </c>
      <c r="BA205" s="468" t="str">
        <f>IF(AS205="","",IF(OR(AU205="",AU205="-"),"－",IF(OR(AZ205=8,AZ205=9),"",IF(OR(AW205=3,AW205=4,AW205=5,AW205=6),VLOOKUP(AU205,INDEX((係数_バス貨物_ガソリン,係数_バス貨物_CNG,係数_バス貨物_軽油,係数_バス貨物_メタノール,係数_バス貨物_LPG),MATCH(AY205,【参考】排出係数!$AI$4:$AI$671,1),1,BE205):INDEX((係数_バス貨物_ガソリン,係数_バス貨物_CNG,係数_バス貨物_軽油,係数_バス貨物_メタノール,係数_バス貨物_LPG),MATCH(AY205+1,【参考】排出係数!$AI$4:$AI$671,1)-1,5,BE205),2,FALSE),IF(OR(AW205=1,AW205=2),VLOOKUP(AU205,INDEX((係数_乗用_ガソリン,係数_乗用_CNG,係数_乗用_軽油,係数_乗用_メタノール,係数_乗用_LPG),1,1,BE205):INDEX((係数_乗用_ガソリン,係数_乗用_CNG,係数_乗用_軽油,係数_乗用_メタノール,係数_乗用_LPG),125,5,BE205),2,FALSE))))))</f>
        <v/>
      </c>
      <c r="BB205" s="468" t="str">
        <f>IF(T205="","",IF(OR(AU205="",AU205="-"),"－",IF(OR(AZ205=8,AZ205=9),"",IF(OR(AW205=3,AW205=4,AW205=5,AW205=6),VLOOKUP(AU205,INDEX((係数_バス貨物_ガソリン,係数_バス貨物_CNG,係数_バス貨物_軽油,係数_バス貨物_メタノール,係数_バス貨物_LPG),MATCH(AY205,【参考】排出係数!$AI$4:$AI$671,1),1,BE205):INDEX((係数_バス貨物_ガソリン,係数_バス貨物_CNG,係数_バス貨物_軽油,係数_バス貨物_メタノール,係数_バス貨物_LPG),MATCH(AY205+1,【参考】排出係数!$AI$4:$AI$671,1)-1,5,BE205),3,FALSE),IF(OR(AW205=1,AW205=2),VLOOKUP(AU205,INDEX((係数_乗用_ガソリン,係数_乗用_CNG,係数_乗用_軽油,係数_乗用_メタノール,係数_乗用_LPG),1,1,BE205):INDEX((係数_乗用_ガソリン,係数_乗用_CNG,係数_乗用_軽油,係数_乗用_メタノール,係数_乗用_LPG),125,5,BE205),3,FALSE))))))</f>
        <v/>
      </c>
      <c r="BC205" s="467" t="str">
        <f t="shared" si="116"/>
        <v/>
      </c>
      <c r="BD205" s="567" t="str">
        <f t="shared" si="117"/>
        <v/>
      </c>
      <c r="BE205" s="467" t="str">
        <f t="shared" si="118"/>
        <v/>
      </c>
      <c r="BF205" s="469" t="str">
        <f t="shared" ca="1" si="119"/>
        <v/>
      </c>
      <c r="BG205" s="469" t="str">
        <f t="shared" ca="1" si="120"/>
        <v/>
      </c>
      <c r="BH205" s="467" t="str">
        <f t="shared" si="121"/>
        <v/>
      </c>
      <c r="BI205" s="467" t="str">
        <f t="shared" ca="1" si="122"/>
        <v/>
      </c>
      <c r="BJ205" s="469" t="str">
        <f t="shared" si="123"/>
        <v/>
      </c>
      <c r="BK205" s="470" t="str">
        <f t="shared" si="103"/>
        <v/>
      </c>
      <c r="BL205" s="775" t="str">
        <f t="shared" si="124"/>
        <v/>
      </c>
      <c r="BM205" s="775" t="str">
        <f t="shared" si="125"/>
        <v/>
      </c>
    </row>
    <row r="206" spans="1:65">
      <c r="A206" s="473">
        <v>150</v>
      </c>
      <c r="B206" s="132"/>
      <c r="C206" s="332"/>
      <c r="D206" s="333"/>
      <c r="E206" s="333"/>
      <c r="F206" s="334"/>
      <c r="G206" s="337"/>
      <c r="H206" s="131"/>
      <c r="I206" s="337"/>
      <c r="J206" s="131"/>
      <c r="K206" s="458" t="str">
        <f t="shared" si="92"/>
        <v/>
      </c>
      <c r="L206" s="458">
        <f t="shared" si="104"/>
        <v>0</v>
      </c>
      <c r="M206" s="458">
        <f t="shared" si="105"/>
        <v>0</v>
      </c>
      <c r="N206" s="459" t="str">
        <f t="shared" si="93"/>
        <v/>
      </c>
      <c r="O206" s="459" t="str">
        <f t="shared" si="94"/>
        <v/>
      </c>
      <c r="P206" s="459" t="str">
        <f t="shared" si="95"/>
        <v/>
      </c>
      <c r="Q206" s="459" t="str">
        <f t="shared" si="96"/>
        <v/>
      </c>
      <c r="R206" s="459" t="str">
        <f t="shared" si="97"/>
        <v/>
      </c>
      <c r="S206" s="459" t="str">
        <f t="shared" si="98"/>
        <v/>
      </c>
      <c r="T206" s="566" t="str">
        <f t="shared" si="106"/>
        <v/>
      </c>
      <c r="U206" s="702"/>
      <c r="V206" s="132"/>
      <c r="W206" s="133"/>
      <c r="X206" s="134"/>
      <c r="Y206" s="135"/>
      <c r="Z206" s="137"/>
      <c r="AA206" s="136"/>
      <c r="AB206" s="566" t="str">
        <f t="shared" si="99"/>
        <v/>
      </c>
      <c r="AC206" s="568" t="str">
        <f t="shared" si="107"/>
        <v/>
      </c>
      <c r="AD206" s="137"/>
      <c r="AE206" s="137"/>
      <c r="AF206" s="138"/>
      <c r="AG206" s="138"/>
      <c r="AH206" s="592" t="str">
        <f t="shared" si="100"/>
        <v/>
      </c>
      <c r="AI206" s="592" t="str">
        <f t="shared" si="101"/>
        <v/>
      </c>
      <c r="AJ206" s="592" t="str">
        <f t="shared" si="102"/>
        <v/>
      </c>
      <c r="AK206" s="460" t="str">
        <f>IF(AU206="","",IF(OR(AZ206=8,AZ206=9),0,IF(OR(AW206=3,AW206=4,AW206=5,AW206=6),IF(LEFT(BF206,1)="1",INDEX(係数_NOX・PM低減,MATCH(AY206,【参考】排出係数!$AI$801:$AI$804,1),1),VLOOKUP(AU206,INDEX((係数_バス貨物_ガソリン,係数_バス貨物_CNG,係数_バス貨物_軽油,係数_バス貨物_メタノール,係数_バス貨物_LPG),MATCH(AY206,【参考】排出係数!$AI$4:$AI$671,1),1,BE206):INDEX((係数_バス貨物_ガソリン,係数_バス貨物_CNG,係数_バス貨物_軽油,係数_バス貨物_メタノール,係数_バス貨物_LPG),MATCH(AY206+1,【参考】排出係数!$AI$4:$AI$671,1)-1,5,BE206),4,FALSE)),IF(AND(BE206=3,LEFT(BF206,1)="1"),0.48,VLOOKUP(AU206,INDEX((係数_乗用_ガソリン,係数_乗用_CNG,係数_乗用_軽油,係数_乗用_メタノール,係数_乗用_LPG),1,1,BE206):INDEX((係数_乗用_ガソリン,係数_乗用_CNG,係数_乗用_軽油,係数_乗用_メタノール,係数_乗用_LPG),125,5,BE206),4,FALSE)))))</f>
        <v/>
      </c>
      <c r="AL206" s="461" t="str">
        <f t="shared" si="126"/>
        <v/>
      </c>
      <c r="AM206" s="460" t="str">
        <f>IF(AU206="","",IF(OR(AZ206=8,AZ206=9),0,IF(OR(AW206=3,AW206=4,AW206=5,AW206=6),IF(LEFT(BH206,1)="1",INDEX(係数_PM低減,MATCH(AY206,【参考】排出係数!$AI$801:$AI$804,1),MATCH(BI206,【参考】排出係数!$AL$798:$AO$798,1)),VLOOKUP(AU206,INDEX((係数_バス貨物_ガソリン,係数_バス貨物_CNG,係数_バス貨物_軽油,係数_バス貨物_メタノール,係数_バス貨物_LPG),MATCH(AY206,【参考】排出係数!$AI$4:$AI$671,1),1,BE206):INDEX((係数_バス貨物_ガソリン,係数_バス貨物_CNG,係数_バス貨物_軽油,係数_バス貨物_メタノール,係数_バス貨物_LPG),MATCH(AY206+1,【参考】排出係数!$AI$4:$AI$671,1)-1,5,BE206),5,FALSE)),IF(AND(BE206=3,LEFT(BF206,1)="1"),0.055,VLOOKUP(AU206,INDEX((係数_乗用_ガソリン,係数_乗用_CNG,係数_乗用_軽油,係数_乗用_メタノール,係数_乗用_LPG),1,1,BE206):INDEX((係数_乗用_ガソリン,係数_乗用_CNG,係数_乗用_軽油,係数_乗用_メタノール,係数_乗用_LPG),125,5,BE206),5,FALSE)))))</f>
        <v/>
      </c>
      <c r="AN206" s="461" t="str">
        <f t="shared" si="127"/>
        <v/>
      </c>
      <c r="AO206" s="462" t="str">
        <f t="shared" si="128"/>
        <v/>
      </c>
      <c r="AP206" s="463" t="str">
        <f t="shared" si="129"/>
        <v/>
      </c>
      <c r="AQ206" s="464"/>
      <c r="AR206" s="619"/>
      <c r="AS206" s="465" t="str">
        <f t="shared" si="108"/>
        <v/>
      </c>
      <c r="AT206" s="465" t="str">
        <f t="shared" si="109"/>
        <v/>
      </c>
      <c r="AU206" s="466" t="str">
        <f t="shared" si="110"/>
        <v/>
      </c>
      <c r="AV206" s="467" t="str">
        <f t="shared" si="111"/>
        <v/>
      </c>
      <c r="AW206" s="467" t="str">
        <f t="shared" si="112"/>
        <v/>
      </c>
      <c r="AX206" s="467" t="str">
        <f t="shared" si="113"/>
        <v/>
      </c>
      <c r="AY206" s="467" t="str">
        <f t="shared" si="114"/>
        <v/>
      </c>
      <c r="AZ206" s="467" t="str">
        <f t="shared" si="115"/>
        <v/>
      </c>
      <c r="BA206" s="468" t="str">
        <f>IF(AS206="","",IF(OR(AU206="",AU206="-"),"－",IF(OR(AZ206=8,AZ206=9),"",IF(OR(AW206=3,AW206=4,AW206=5,AW206=6),VLOOKUP(AU206,INDEX((係数_バス貨物_ガソリン,係数_バス貨物_CNG,係数_バス貨物_軽油,係数_バス貨物_メタノール,係数_バス貨物_LPG),MATCH(AY206,【参考】排出係数!$AI$4:$AI$671,1),1,BE206):INDEX((係数_バス貨物_ガソリン,係数_バス貨物_CNG,係数_バス貨物_軽油,係数_バス貨物_メタノール,係数_バス貨物_LPG),MATCH(AY206+1,【参考】排出係数!$AI$4:$AI$671,1)-1,5,BE206),2,FALSE),IF(OR(AW206=1,AW206=2),VLOOKUP(AU206,INDEX((係数_乗用_ガソリン,係数_乗用_CNG,係数_乗用_軽油,係数_乗用_メタノール,係数_乗用_LPG),1,1,BE206):INDEX((係数_乗用_ガソリン,係数_乗用_CNG,係数_乗用_軽油,係数_乗用_メタノール,係数_乗用_LPG),125,5,BE206),2,FALSE))))))</f>
        <v/>
      </c>
      <c r="BB206" s="468" t="str">
        <f>IF(T206="","",IF(OR(AU206="",AU206="-"),"－",IF(OR(AZ206=8,AZ206=9),"",IF(OR(AW206=3,AW206=4,AW206=5,AW206=6),VLOOKUP(AU206,INDEX((係数_バス貨物_ガソリン,係数_バス貨物_CNG,係数_バス貨物_軽油,係数_バス貨物_メタノール,係数_バス貨物_LPG),MATCH(AY206,【参考】排出係数!$AI$4:$AI$671,1),1,BE206):INDEX((係数_バス貨物_ガソリン,係数_バス貨物_CNG,係数_バス貨物_軽油,係数_バス貨物_メタノール,係数_バス貨物_LPG),MATCH(AY206+1,【参考】排出係数!$AI$4:$AI$671,1)-1,5,BE206),3,FALSE),IF(OR(AW206=1,AW206=2),VLOOKUP(AU206,INDEX((係数_乗用_ガソリン,係数_乗用_CNG,係数_乗用_軽油,係数_乗用_メタノール,係数_乗用_LPG),1,1,BE206):INDEX((係数_乗用_ガソリン,係数_乗用_CNG,係数_乗用_軽油,係数_乗用_メタノール,係数_乗用_LPG),125,5,BE206),3,FALSE))))))</f>
        <v/>
      </c>
      <c r="BC206" s="467" t="str">
        <f t="shared" si="116"/>
        <v/>
      </c>
      <c r="BD206" s="567" t="str">
        <f t="shared" si="117"/>
        <v/>
      </c>
      <c r="BE206" s="467" t="str">
        <f t="shared" si="118"/>
        <v/>
      </c>
      <c r="BF206" s="469" t="str">
        <f t="shared" ca="1" si="119"/>
        <v/>
      </c>
      <c r="BG206" s="469" t="str">
        <f t="shared" ca="1" si="120"/>
        <v/>
      </c>
      <c r="BH206" s="467" t="str">
        <f t="shared" si="121"/>
        <v/>
      </c>
      <c r="BI206" s="467" t="str">
        <f t="shared" ca="1" si="122"/>
        <v/>
      </c>
      <c r="BJ206" s="469" t="str">
        <f t="shared" si="123"/>
        <v/>
      </c>
      <c r="BK206" s="470" t="str">
        <f t="shared" si="103"/>
        <v/>
      </c>
      <c r="BL206" s="775" t="str">
        <f t="shared" si="124"/>
        <v/>
      </c>
      <c r="BM206" s="775" t="str">
        <f t="shared" si="125"/>
        <v/>
      </c>
    </row>
    <row r="207" spans="1:65">
      <c r="A207" s="473">
        <v>151</v>
      </c>
      <c r="B207" s="132"/>
      <c r="C207" s="332"/>
      <c r="D207" s="333"/>
      <c r="E207" s="333"/>
      <c r="F207" s="334"/>
      <c r="G207" s="337"/>
      <c r="H207" s="131"/>
      <c r="I207" s="337"/>
      <c r="J207" s="131"/>
      <c r="K207" s="458" t="str">
        <f t="shared" si="92"/>
        <v/>
      </c>
      <c r="L207" s="458">
        <f t="shared" si="104"/>
        <v>0</v>
      </c>
      <c r="M207" s="458">
        <f t="shared" si="105"/>
        <v>0</v>
      </c>
      <c r="N207" s="459" t="str">
        <f t="shared" si="93"/>
        <v/>
      </c>
      <c r="O207" s="459" t="str">
        <f t="shared" si="94"/>
        <v/>
      </c>
      <c r="P207" s="459" t="str">
        <f t="shared" si="95"/>
        <v/>
      </c>
      <c r="Q207" s="459" t="str">
        <f t="shared" si="96"/>
        <v/>
      </c>
      <c r="R207" s="459" t="str">
        <f t="shared" si="97"/>
        <v/>
      </c>
      <c r="S207" s="459" t="str">
        <f t="shared" si="98"/>
        <v/>
      </c>
      <c r="T207" s="566" t="str">
        <f t="shared" si="106"/>
        <v/>
      </c>
      <c r="U207" s="702"/>
      <c r="V207" s="132"/>
      <c r="W207" s="133"/>
      <c r="X207" s="134"/>
      <c r="Y207" s="135"/>
      <c r="Z207" s="137"/>
      <c r="AA207" s="136"/>
      <c r="AB207" s="566" t="str">
        <f t="shared" si="99"/>
        <v/>
      </c>
      <c r="AC207" s="568" t="str">
        <f t="shared" si="107"/>
        <v/>
      </c>
      <c r="AD207" s="137"/>
      <c r="AE207" s="137"/>
      <c r="AF207" s="138"/>
      <c r="AG207" s="138"/>
      <c r="AH207" s="592" t="str">
        <f t="shared" si="100"/>
        <v/>
      </c>
      <c r="AI207" s="592" t="str">
        <f t="shared" si="101"/>
        <v/>
      </c>
      <c r="AJ207" s="592" t="str">
        <f t="shared" si="102"/>
        <v/>
      </c>
      <c r="AK207" s="460" t="str">
        <f>IF(AU207="","",IF(OR(AZ207=8,AZ207=9),0,IF(OR(AW207=3,AW207=4,AW207=5,AW207=6),IF(LEFT(BF207,1)="1",INDEX(係数_NOX・PM低減,MATCH(AY207,【参考】排出係数!$AI$801:$AI$804,1),1),VLOOKUP(AU207,INDEX((係数_バス貨物_ガソリン,係数_バス貨物_CNG,係数_バス貨物_軽油,係数_バス貨物_メタノール,係数_バス貨物_LPG),MATCH(AY207,【参考】排出係数!$AI$4:$AI$671,1),1,BE207):INDEX((係数_バス貨物_ガソリン,係数_バス貨物_CNG,係数_バス貨物_軽油,係数_バス貨物_メタノール,係数_バス貨物_LPG),MATCH(AY207+1,【参考】排出係数!$AI$4:$AI$671,1)-1,5,BE207),4,FALSE)),IF(AND(BE207=3,LEFT(BF207,1)="1"),0.48,VLOOKUP(AU207,INDEX((係数_乗用_ガソリン,係数_乗用_CNG,係数_乗用_軽油,係数_乗用_メタノール,係数_乗用_LPG),1,1,BE207):INDEX((係数_乗用_ガソリン,係数_乗用_CNG,係数_乗用_軽油,係数_乗用_メタノール,係数_乗用_LPG),125,5,BE207),4,FALSE)))))</f>
        <v/>
      </c>
      <c r="AL207" s="461" t="str">
        <f t="shared" si="126"/>
        <v/>
      </c>
      <c r="AM207" s="460" t="str">
        <f>IF(AU207="","",IF(OR(AZ207=8,AZ207=9),0,IF(OR(AW207=3,AW207=4,AW207=5,AW207=6),IF(LEFT(BH207,1)="1",INDEX(係数_PM低減,MATCH(AY207,【参考】排出係数!$AI$801:$AI$804,1),MATCH(BI207,【参考】排出係数!$AL$798:$AO$798,1)),VLOOKUP(AU207,INDEX((係数_バス貨物_ガソリン,係数_バス貨物_CNG,係数_バス貨物_軽油,係数_バス貨物_メタノール,係数_バス貨物_LPG),MATCH(AY207,【参考】排出係数!$AI$4:$AI$671,1),1,BE207):INDEX((係数_バス貨物_ガソリン,係数_バス貨物_CNG,係数_バス貨物_軽油,係数_バス貨物_メタノール,係数_バス貨物_LPG),MATCH(AY207+1,【参考】排出係数!$AI$4:$AI$671,1)-1,5,BE207),5,FALSE)),IF(AND(BE207=3,LEFT(BF207,1)="1"),0.055,VLOOKUP(AU207,INDEX((係数_乗用_ガソリン,係数_乗用_CNG,係数_乗用_軽油,係数_乗用_メタノール,係数_乗用_LPG),1,1,BE207):INDEX((係数_乗用_ガソリン,係数_乗用_CNG,係数_乗用_軽油,係数_乗用_メタノール,係数_乗用_LPG),125,5,BE207),5,FALSE)))))</f>
        <v/>
      </c>
      <c r="AN207" s="461" t="str">
        <f t="shared" si="127"/>
        <v/>
      </c>
      <c r="AO207" s="462" t="str">
        <f t="shared" si="128"/>
        <v/>
      </c>
      <c r="AP207" s="463" t="str">
        <f t="shared" si="129"/>
        <v/>
      </c>
      <c r="AQ207" s="464"/>
      <c r="AR207" s="619"/>
      <c r="AS207" s="465" t="str">
        <f t="shared" si="108"/>
        <v/>
      </c>
      <c r="AT207" s="465" t="str">
        <f t="shared" si="109"/>
        <v/>
      </c>
      <c r="AU207" s="466" t="str">
        <f t="shared" si="110"/>
        <v/>
      </c>
      <c r="AV207" s="467" t="str">
        <f t="shared" si="111"/>
        <v/>
      </c>
      <c r="AW207" s="467" t="str">
        <f t="shared" si="112"/>
        <v/>
      </c>
      <c r="AX207" s="467" t="str">
        <f t="shared" si="113"/>
        <v/>
      </c>
      <c r="AY207" s="467" t="str">
        <f t="shared" si="114"/>
        <v/>
      </c>
      <c r="AZ207" s="467" t="str">
        <f t="shared" si="115"/>
        <v/>
      </c>
      <c r="BA207" s="468" t="str">
        <f>IF(AS207="","",IF(OR(AU207="",AU207="-"),"－",IF(OR(AZ207=8,AZ207=9),"",IF(OR(AW207=3,AW207=4,AW207=5,AW207=6),VLOOKUP(AU207,INDEX((係数_バス貨物_ガソリン,係数_バス貨物_CNG,係数_バス貨物_軽油,係数_バス貨物_メタノール,係数_バス貨物_LPG),MATCH(AY207,【参考】排出係数!$AI$4:$AI$671,1),1,BE207):INDEX((係数_バス貨物_ガソリン,係数_バス貨物_CNG,係数_バス貨物_軽油,係数_バス貨物_メタノール,係数_バス貨物_LPG),MATCH(AY207+1,【参考】排出係数!$AI$4:$AI$671,1)-1,5,BE207),2,FALSE),IF(OR(AW207=1,AW207=2),VLOOKUP(AU207,INDEX((係数_乗用_ガソリン,係数_乗用_CNG,係数_乗用_軽油,係数_乗用_メタノール,係数_乗用_LPG),1,1,BE207):INDEX((係数_乗用_ガソリン,係数_乗用_CNG,係数_乗用_軽油,係数_乗用_メタノール,係数_乗用_LPG),125,5,BE207),2,FALSE))))))</f>
        <v/>
      </c>
      <c r="BB207" s="468" t="str">
        <f>IF(T207="","",IF(OR(AU207="",AU207="-"),"－",IF(OR(AZ207=8,AZ207=9),"",IF(OR(AW207=3,AW207=4,AW207=5,AW207=6),VLOOKUP(AU207,INDEX((係数_バス貨物_ガソリン,係数_バス貨物_CNG,係数_バス貨物_軽油,係数_バス貨物_メタノール,係数_バス貨物_LPG),MATCH(AY207,【参考】排出係数!$AI$4:$AI$671,1),1,BE207):INDEX((係数_バス貨物_ガソリン,係数_バス貨物_CNG,係数_バス貨物_軽油,係数_バス貨物_メタノール,係数_バス貨物_LPG),MATCH(AY207+1,【参考】排出係数!$AI$4:$AI$671,1)-1,5,BE207),3,FALSE),IF(OR(AW207=1,AW207=2),VLOOKUP(AU207,INDEX((係数_乗用_ガソリン,係数_乗用_CNG,係数_乗用_軽油,係数_乗用_メタノール,係数_乗用_LPG),1,1,BE207):INDEX((係数_乗用_ガソリン,係数_乗用_CNG,係数_乗用_軽油,係数_乗用_メタノール,係数_乗用_LPG),125,5,BE207),3,FALSE))))))</f>
        <v/>
      </c>
      <c r="BC207" s="467" t="str">
        <f t="shared" si="116"/>
        <v/>
      </c>
      <c r="BD207" s="567" t="str">
        <f t="shared" si="117"/>
        <v/>
      </c>
      <c r="BE207" s="467" t="str">
        <f t="shared" si="118"/>
        <v/>
      </c>
      <c r="BF207" s="469" t="str">
        <f t="shared" ca="1" si="119"/>
        <v/>
      </c>
      <c r="BG207" s="469" t="str">
        <f t="shared" ca="1" si="120"/>
        <v/>
      </c>
      <c r="BH207" s="467" t="str">
        <f t="shared" si="121"/>
        <v/>
      </c>
      <c r="BI207" s="467" t="str">
        <f t="shared" ca="1" si="122"/>
        <v/>
      </c>
      <c r="BJ207" s="469" t="str">
        <f t="shared" si="123"/>
        <v/>
      </c>
      <c r="BK207" s="470" t="str">
        <f t="shared" si="103"/>
        <v/>
      </c>
      <c r="BL207" s="775" t="str">
        <f t="shared" si="124"/>
        <v/>
      </c>
      <c r="BM207" s="775" t="str">
        <f t="shared" si="125"/>
        <v/>
      </c>
    </row>
    <row r="208" spans="1:65">
      <c r="A208" s="473">
        <v>152</v>
      </c>
      <c r="B208" s="132"/>
      <c r="C208" s="332"/>
      <c r="D208" s="333"/>
      <c r="E208" s="333"/>
      <c r="F208" s="334"/>
      <c r="G208" s="337"/>
      <c r="H208" s="131"/>
      <c r="I208" s="337"/>
      <c r="J208" s="131"/>
      <c r="K208" s="458" t="str">
        <f t="shared" si="92"/>
        <v/>
      </c>
      <c r="L208" s="458">
        <f t="shared" si="104"/>
        <v>0</v>
      </c>
      <c r="M208" s="458">
        <f t="shared" si="105"/>
        <v>0</v>
      </c>
      <c r="N208" s="459" t="str">
        <f t="shared" si="93"/>
        <v/>
      </c>
      <c r="O208" s="459" t="str">
        <f t="shared" si="94"/>
        <v/>
      </c>
      <c r="P208" s="459" t="str">
        <f t="shared" si="95"/>
        <v/>
      </c>
      <c r="Q208" s="459" t="str">
        <f t="shared" si="96"/>
        <v/>
      </c>
      <c r="R208" s="459" t="str">
        <f t="shared" si="97"/>
        <v/>
      </c>
      <c r="S208" s="459" t="str">
        <f t="shared" si="98"/>
        <v/>
      </c>
      <c r="T208" s="566" t="str">
        <f t="shared" si="106"/>
        <v/>
      </c>
      <c r="U208" s="702"/>
      <c r="V208" s="132"/>
      <c r="W208" s="133"/>
      <c r="X208" s="134"/>
      <c r="Y208" s="135"/>
      <c r="Z208" s="137"/>
      <c r="AA208" s="136"/>
      <c r="AB208" s="566" t="str">
        <f t="shared" si="99"/>
        <v/>
      </c>
      <c r="AC208" s="568" t="str">
        <f t="shared" si="107"/>
        <v/>
      </c>
      <c r="AD208" s="137"/>
      <c r="AE208" s="137"/>
      <c r="AF208" s="138"/>
      <c r="AG208" s="138"/>
      <c r="AH208" s="592" t="str">
        <f t="shared" si="100"/>
        <v/>
      </c>
      <c r="AI208" s="592" t="str">
        <f t="shared" si="101"/>
        <v/>
      </c>
      <c r="AJ208" s="592" t="str">
        <f t="shared" si="102"/>
        <v/>
      </c>
      <c r="AK208" s="460" t="str">
        <f>IF(AU208="","",IF(OR(AZ208=8,AZ208=9),0,IF(OR(AW208=3,AW208=4,AW208=5,AW208=6),IF(LEFT(BF208,1)="1",INDEX(係数_NOX・PM低減,MATCH(AY208,【参考】排出係数!$AI$801:$AI$804,1),1),VLOOKUP(AU208,INDEX((係数_バス貨物_ガソリン,係数_バス貨物_CNG,係数_バス貨物_軽油,係数_バス貨物_メタノール,係数_バス貨物_LPG),MATCH(AY208,【参考】排出係数!$AI$4:$AI$671,1),1,BE208):INDEX((係数_バス貨物_ガソリン,係数_バス貨物_CNG,係数_バス貨物_軽油,係数_バス貨物_メタノール,係数_バス貨物_LPG),MATCH(AY208+1,【参考】排出係数!$AI$4:$AI$671,1)-1,5,BE208),4,FALSE)),IF(AND(BE208=3,LEFT(BF208,1)="1"),0.48,VLOOKUP(AU208,INDEX((係数_乗用_ガソリン,係数_乗用_CNG,係数_乗用_軽油,係数_乗用_メタノール,係数_乗用_LPG),1,1,BE208):INDEX((係数_乗用_ガソリン,係数_乗用_CNG,係数_乗用_軽油,係数_乗用_メタノール,係数_乗用_LPG),125,5,BE208),4,FALSE)))))</f>
        <v/>
      </c>
      <c r="AL208" s="461" t="str">
        <f t="shared" si="126"/>
        <v/>
      </c>
      <c r="AM208" s="460" t="str">
        <f>IF(AU208="","",IF(OR(AZ208=8,AZ208=9),0,IF(OR(AW208=3,AW208=4,AW208=5,AW208=6),IF(LEFT(BH208,1)="1",INDEX(係数_PM低減,MATCH(AY208,【参考】排出係数!$AI$801:$AI$804,1),MATCH(BI208,【参考】排出係数!$AL$798:$AO$798,1)),VLOOKUP(AU208,INDEX((係数_バス貨物_ガソリン,係数_バス貨物_CNG,係数_バス貨物_軽油,係数_バス貨物_メタノール,係数_バス貨物_LPG),MATCH(AY208,【参考】排出係数!$AI$4:$AI$671,1),1,BE208):INDEX((係数_バス貨物_ガソリン,係数_バス貨物_CNG,係数_バス貨物_軽油,係数_バス貨物_メタノール,係数_バス貨物_LPG),MATCH(AY208+1,【参考】排出係数!$AI$4:$AI$671,1)-1,5,BE208),5,FALSE)),IF(AND(BE208=3,LEFT(BF208,1)="1"),0.055,VLOOKUP(AU208,INDEX((係数_乗用_ガソリン,係数_乗用_CNG,係数_乗用_軽油,係数_乗用_メタノール,係数_乗用_LPG),1,1,BE208):INDEX((係数_乗用_ガソリン,係数_乗用_CNG,係数_乗用_軽油,係数_乗用_メタノール,係数_乗用_LPG),125,5,BE208),5,FALSE)))))</f>
        <v/>
      </c>
      <c r="AN208" s="461" t="str">
        <f t="shared" si="127"/>
        <v/>
      </c>
      <c r="AO208" s="462" t="str">
        <f t="shared" si="128"/>
        <v/>
      </c>
      <c r="AP208" s="463" t="str">
        <f t="shared" si="129"/>
        <v/>
      </c>
      <c r="AQ208" s="464"/>
      <c r="AR208" s="619"/>
      <c r="AS208" s="465" t="str">
        <f t="shared" si="108"/>
        <v/>
      </c>
      <c r="AT208" s="465" t="str">
        <f t="shared" si="109"/>
        <v/>
      </c>
      <c r="AU208" s="466" t="str">
        <f t="shared" si="110"/>
        <v/>
      </c>
      <c r="AV208" s="467" t="str">
        <f t="shared" si="111"/>
        <v/>
      </c>
      <c r="AW208" s="467" t="str">
        <f t="shared" si="112"/>
        <v/>
      </c>
      <c r="AX208" s="467" t="str">
        <f t="shared" si="113"/>
        <v/>
      </c>
      <c r="AY208" s="467" t="str">
        <f t="shared" si="114"/>
        <v/>
      </c>
      <c r="AZ208" s="467" t="str">
        <f t="shared" si="115"/>
        <v/>
      </c>
      <c r="BA208" s="468" t="str">
        <f>IF(AS208="","",IF(OR(AU208="",AU208="-"),"－",IF(OR(AZ208=8,AZ208=9),"",IF(OR(AW208=3,AW208=4,AW208=5,AW208=6),VLOOKUP(AU208,INDEX((係数_バス貨物_ガソリン,係数_バス貨物_CNG,係数_バス貨物_軽油,係数_バス貨物_メタノール,係数_バス貨物_LPG),MATCH(AY208,【参考】排出係数!$AI$4:$AI$671,1),1,BE208):INDEX((係数_バス貨物_ガソリン,係数_バス貨物_CNG,係数_バス貨物_軽油,係数_バス貨物_メタノール,係数_バス貨物_LPG),MATCH(AY208+1,【参考】排出係数!$AI$4:$AI$671,1)-1,5,BE208),2,FALSE),IF(OR(AW208=1,AW208=2),VLOOKUP(AU208,INDEX((係数_乗用_ガソリン,係数_乗用_CNG,係数_乗用_軽油,係数_乗用_メタノール,係数_乗用_LPG),1,1,BE208):INDEX((係数_乗用_ガソリン,係数_乗用_CNG,係数_乗用_軽油,係数_乗用_メタノール,係数_乗用_LPG),125,5,BE208),2,FALSE))))))</f>
        <v/>
      </c>
      <c r="BB208" s="468" t="str">
        <f>IF(T208="","",IF(OR(AU208="",AU208="-"),"－",IF(OR(AZ208=8,AZ208=9),"",IF(OR(AW208=3,AW208=4,AW208=5,AW208=6),VLOOKUP(AU208,INDEX((係数_バス貨物_ガソリン,係数_バス貨物_CNG,係数_バス貨物_軽油,係数_バス貨物_メタノール,係数_バス貨物_LPG),MATCH(AY208,【参考】排出係数!$AI$4:$AI$671,1),1,BE208):INDEX((係数_バス貨物_ガソリン,係数_バス貨物_CNG,係数_バス貨物_軽油,係数_バス貨物_メタノール,係数_バス貨物_LPG),MATCH(AY208+1,【参考】排出係数!$AI$4:$AI$671,1)-1,5,BE208),3,FALSE),IF(OR(AW208=1,AW208=2),VLOOKUP(AU208,INDEX((係数_乗用_ガソリン,係数_乗用_CNG,係数_乗用_軽油,係数_乗用_メタノール,係数_乗用_LPG),1,1,BE208):INDEX((係数_乗用_ガソリン,係数_乗用_CNG,係数_乗用_軽油,係数_乗用_メタノール,係数_乗用_LPG),125,5,BE208),3,FALSE))))))</f>
        <v/>
      </c>
      <c r="BC208" s="467" t="str">
        <f t="shared" si="116"/>
        <v/>
      </c>
      <c r="BD208" s="567" t="str">
        <f t="shared" si="117"/>
        <v/>
      </c>
      <c r="BE208" s="467" t="str">
        <f t="shared" si="118"/>
        <v/>
      </c>
      <c r="BF208" s="469" t="str">
        <f t="shared" ca="1" si="119"/>
        <v/>
      </c>
      <c r="BG208" s="469" t="str">
        <f t="shared" ca="1" si="120"/>
        <v/>
      </c>
      <c r="BH208" s="467" t="str">
        <f t="shared" si="121"/>
        <v/>
      </c>
      <c r="BI208" s="467" t="str">
        <f t="shared" ca="1" si="122"/>
        <v/>
      </c>
      <c r="BJ208" s="469" t="str">
        <f t="shared" si="123"/>
        <v/>
      </c>
      <c r="BK208" s="470" t="str">
        <f t="shared" si="103"/>
        <v/>
      </c>
      <c r="BL208" s="775" t="str">
        <f t="shared" si="124"/>
        <v/>
      </c>
      <c r="BM208" s="775" t="str">
        <f t="shared" si="125"/>
        <v/>
      </c>
    </row>
    <row r="209" spans="1:65">
      <c r="A209" s="473">
        <v>153</v>
      </c>
      <c r="B209" s="132"/>
      <c r="C209" s="332"/>
      <c r="D209" s="333"/>
      <c r="E209" s="333"/>
      <c r="F209" s="334"/>
      <c r="G209" s="337"/>
      <c r="H209" s="131"/>
      <c r="I209" s="337"/>
      <c r="J209" s="131"/>
      <c r="K209" s="458" t="str">
        <f t="shared" si="92"/>
        <v/>
      </c>
      <c r="L209" s="458">
        <f t="shared" si="104"/>
        <v>0</v>
      </c>
      <c r="M209" s="458">
        <f t="shared" si="105"/>
        <v>0</v>
      </c>
      <c r="N209" s="459" t="str">
        <f t="shared" si="93"/>
        <v/>
      </c>
      <c r="O209" s="459" t="str">
        <f t="shared" si="94"/>
        <v/>
      </c>
      <c r="P209" s="459" t="str">
        <f t="shared" si="95"/>
        <v/>
      </c>
      <c r="Q209" s="459" t="str">
        <f t="shared" si="96"/>
        <v/>
      </c>
      <c r="R209" s="459" t="str">
        <f t="shared" si="97"/>
        <v/>
      </c>
      <c r="S209" s="459" t="str">
        <f t="shared" si="98"/>
        <v/>
      </c>
      <c r="T209" s="566" t="str">
        <f t="shared" si="106"/>
        <v/>
      </c>
      <c r="U209" s="702"/>
      <c r="V209" s="132"/>
      <c r="W209" s="133"/>
      <c r="X209" s="134"/>
      <c r="Y209" s="135"/>
      <c r="Z209" s="137"/>
      <c r="AA209" s="136"/>
      <c r="AB209" s="566" t="str">
        <f t="shared" si="99"/>
        <v/>
      </c>
      <c r="AC209" s="568" t="str">
        <f t="shared" si="107"/>
        <v/>
      </c>
      <c r="AD209" s="137"/>
      <c r="AE209" s="137"/>
      <c r="AF209" s="138"/>
      <c r="AG209" s="138"/>
      <c r="AH209" s="592" t="str">
        <f t="shared" si="100"/>
        <v/>
      </c>
      <c r="AI209" s="592" t="str">
        <f t="shared" si="101"/>
        <v/>
      </c>
      <c r="AJ209" s="592" t="str">
        <f t="shared" si="102"/>
        <v/>
      </c>
      <c r="AK209" s="460" t="str">
        <f>IF(AU209="","",IF(OR(AZ209=8,AZ209=9),0,IF(OR(AW209=3,AW209=4,AW209=5,AW209=6),IF(LEFT(BF209,1)="1",INDEX(係数_NOX・PM低減,MATCH(AY209,【参考】排出係数!$AI$801:$AI$804,1),1),VLOOKUP(AU209,INDEX((係数_バス貨物_ガソリン,係数_バス貨物_CNG,係数_バス貨物_軽油,係数_バス貨物_メタノール,係数_バス貨物_LPG),MATCH(AY209,【参考】排出係数!$AI$4:$AI$671,1),1,BE209):INDEX((係数_バス貨物_ガソリン,係数_バス貨物_CNG,係数_バス貨物_軽油,係数_バス貨物_メタノール,係数_バス貨物_LPG),MATCH(AY209+1,【参考】排出係数!$AI$4:$AI$671,1)-1,5,BE209),4,FALSE)),IF(AND(BE209=3,LEFT(BF209,1)="1"),0.48,VLOOKUP(AU209,INDEX((係数_乗用_ガソリン,係数_乗用_CNG,係数_乗用_軽油,係数_乗用_メタノール,係数_乗用_LPG),1,1,BE209):INDEX((係数_乗用_ガソリン,係数_乗用_CNG,係数_乗用_軽油,係数_乗用_メタノール,係数_乗用_LPG),125,5,BE209),4,FALSE)))))</f>
        <v/>
      </c>
      <c r="AL209" s="461" t="str">
        <f t="shared" si="126"/>
        <v/>
      </c>
      <c r="AM209" s="460" t="str">
        <f>IF(AU209="","",IF(OR(AZ209=8,AZ209=9),0,IF(OR(AW209=3,AW209=4,AW209=5,AW209=6),IF(LEFT(BH209,1)="1",INDEX(係数_PM低減,MATCH(AY209,【参考】排出係数!$AI$801:$AI$804,1),MATCH(BI209,【参考】排出係数!$AL$798:$AO$798,1)),VLOOKUP(AU209,INDEX((係数_バス貨物_ガソリン,係数_バス貨物_CNG,係数_バス貨物_軽油,係数_バス貨物_メタノール,係数_バス貨物_LPG),MATCH(AY209,【参考】排出係数!$AI$4:$AI$671,1),1,BE209):INDEX((係数_バス貨物_ガソリン,係数_バス貨物_CNG,係数_バス貨物_軽油,係数_バス貨物_メタノール,係数_バス貨物_LPG),MATCH(AY209+1,【参考】排出係数!$AI$4:$AI$671,1)-1,5,BE209),5,FALSE)),IF(AND(BE209=3,LEFT(BF209,1)="1"),0.055,VLOOKUP(AU209,INDEX((係数_乗用_ガソリン,係数_乗用_CNG,係数_乗用_軽油,係数_乗用_メタノール,係数_乗用_LPG),1,1,BE209):INDEX((係数_乗用_ガソリン,係数_乗用_CNG,係数_乗用_軽油,係数_乗用_メタノール,係数_乗用_LPG),125,5,BE209),5,FALSE)))))</f>
        <v/>
      </c>
      <c r="AN209" s="461" t="str">
        <f t="shared" si="127"/>
        <v/>
      </c>
      <c r="AO209" s="462" t="str">
        <f t="shared" si="128"/>
        <v/>
      </c>
      <c r="AP209" s="463" t="str">
        <f t="shared" si="129"/>
        <v/>
      </c>
      <c r="AQ209" s="464"/>
      <c r="AR209" s="619"/>
      <c r="AS209" s="465" t="str">
        <f t="shared" si="108"/>
        <v/>
      </c>
      <c r="AT209" s="465" t="str">
        <f t="shared" si="109"/>
        <v/>
      </c>
      <c r="AU209" s="466" t="str">
        <f t="shared" si="110"/>
        <v/>
      </c>
      <c r="AV209" s="467" t="str">
        <f t="shared" si="111"/>
        <v/>
      </c>
      <c r="AW209" s="467" t="str">
        <f t="shared" si="112"/>
        <v/>
      </c>
      <c r="AX209" s="467" t="str">
        <f t="shared" si="113"/>
        <v/>
      </c>
      <c r="AY209" s="467" t="str">
        <f t="shared" si="114"/>
        <v/>
      </c>
      <c r="AZ209" s="467" t="str">
        <f t="shared" si="115"/>
        <v/>
      </c>
      <c r="BA209" s="468" t="str">
        <f>IF(AS209="","",IF(OR(AU209="",AU209="-"),"－",IF(OR(AZ209=8,AZ209=9),"",IF(OR(AW209=3,AW209=4,AW209=5,AW209=6),VLOOKUP(AU209,INDEX((係数_バス貨物_ガソリン,係数_バス貨物_CNG,係数_バス貨物_軽油,係数_バス貨物_メタノール,係数_バス貨物_LPG),MATCH(AY209,【参考】排出係数!$AI$4:$AI$671,1),1,BE209):INDEX((係数_バス貨物_ガソリン,係数_バス貨物_CNG,係数_バス貨物_軽油,係数_バス貨物_メタノール,係数_バス貨物_LPG),MATCH(AY209+1,【参考】排出係数!$AI$4:$AI$671,1)-1,5,BE209),2,FALSE),IF(OR(AW209=1,AW209=2),VLOOKUP(AU209,INDEX((係数_乗用_ガソリン,係数_乗用_CNG,係数_乗用_軽油,係数_乗用_メタノール,係数_乗用_LPG),1,1,BE209):INDEX((係数_乗用_ガソリン,係数_乗用_CNG,係数_乗用_軽油,係数_乗用_メタノール,係数_乗用_LPG),125,5,BE209),2,FALSE))))))</f>
        <v/>
      </c>
      <c r="BB209" s="468" t="str">
        <f>IF(T209="","",IF(OR(AU209="",AU209="-"),"－",IF(OR(AZ209=8,AZ209=9),"",IF(OR(AW209=3,AW209=4,AW209=5,AW209=6),VLOOKUP(AU209,INDEX((係数_バス貨物_ガソリン,係数_バス貨物_CNG,係数_バス貨物_軽油,係数_バス貨物_メタノール,係数_バス貨物_LPG),MATCH(AY209,【参考】排出係数!$AI$4:$AI$671,1),1,BE209):INDEX((係数_バス貨物_ガソリン,係数_バス貨物_CNG,係数_バス貨物_軽油,係数_バス貨物_メタノール,係数_バス貨物_LPG),MATCH(AY209+1,【参考】排出係数!$AI$4:$AI$671,1)-1,5,BE209),3,FALSE),IF(OR(AW209=1,AW209=2),VLOOKUP(AU209,INDEX((係数_乗用_ガソリン,係数_乗用_CNG,係数_乗用_軽油,係数_乗用_メタノール,係数_乗用_LPG),1,1,BE209):INDEX((係数_乗用_ガソリン,係数_乗用_CNG,係数_乗用_軽油,係数_乗用_メタノール,係数_乗用_LPG),125,5,BE209),3,FALSE))))))</f>
        <v/>
      </c>
      <c r="BC209" s="467" t="str">
        <f t="shared" si="116"/>
        <v/>
      </c>
      <c r="BD209" s="567" t="str">
        <f t="shared" si="117"/>
        <v/>
      </c>
      <c r="BE209" s="467" t="str">
        <f t="shared" si="118"/>
        <v/>
      </c>
      <c r="BF209" s="469" t="str">
        <f t="shared" ca="1" si="119"/>
        <v/>
      </c>
      <c r="BG209" s="469" t="str">
        <f t="shared" ca="1" si="120"/>
        <v/>
      </c>
      <c r="BH209" s="467" t="str">
        <f t="shared" si="121"/>
        <v/>
      </c>
      <c r="BI209" s="467" t="str">
        <f t="shared" ca="1" si="122"/>
        <v/>
      </c>
      <c r="BJ209" s="469" t="str">
        <f t="shared" si="123"/>
        <v/>
      </c>
      <c r="BK209" s="470" t="str">
        <f t="shared" si="103"/>
        <v/>
      </c>
      <c r="BL209" s="775" t="str">
        <f t="shared" si="124"/>
        <v/>
      </c>
      <c r="BM209" s="775" t="str">
        <f t="shared" si="125"/>
        <v/>
      </c>
    </row>
    <row r="210" spans="1:65">
      <c r="A210" s="473">
        <v>154</v>
      </c>
      <c r="B210" s="132"/>
      <c r="C210" s="332"/>
      <c r="D210" s="333"/>
      <c r="E210" s="333"/>
      <c r="F210" s="334"/>
      <c r="G210" s="337"/>
      <c r="H210" s="131"/>
      <c r="I210" s="337"/>
      <c r="J210" s="131"/>
      <c r="K210" s="458" t="str">
        <f t="shared" si="92"/>
        <v/>
      </c>
      <c r="L210" s="458">
        <f t="shared" si="104"/>
        <v>0</v>
      </c>
      <c r="M210" s="458">
        <f t="shared" si="105"/>
        <v>0</v>
      </c>
      <c r="N210" s="459" t="str">
        <f t="shared" si="93"/>
        <v/>
      </c>
      <c r="O210" s="459" t="str">
        <f t="shared" si="94"/>
        <v/>
      </c>
      <c r="P210" s="459" t="str">
        <f t="shared" si="95"/>
        <v/>
      </c>
      <c r="Q210" s="459" t="str">
        <f t="shared" si="96"/>
        <v/>
      </c>
      <c r="R210" s="459" t="str">
        <f t="shared" si="97"/>
        <v/>
      </c>
      <c r="S210" s="459" t="str">
        <f t="shared" si="98"/>
        <v/>
      </c>
      <c r="T210" s="566" t="str">
        <f t="shared" si="106"/>
        <v/>
      </c>
      <c r="U210" s="702"/>
      <c r="V210" s="132"/>
      <c r="W210" s="133"/>
      <c r="X210" s="134"/>
      <c r="Y210" s="135"/>
      <c r="Z210" s="137"/>
      <c r="AA210" s="136"/>
      <c r="AB210" s="566" t="str">
        <f t="shared" si="99"/>
        <v/>
      </c>
      <c r="AC210" s="568" t="str">
        <f t="shared" si="107"/>
        <v/>
      </c>
      <c r="AD210" s="137"/>
      <c r="AE210" s="137"/>
      <c r="AF210" s="138"/>
      <c r="AG210" s="138"/>
      <c r="AH210" s="592" t="str">
        <f t="shared" si="100"/>
        <v/>
      </c>
      <c r="AI210" s="592" t="str">
        <f t="shared" si="101"/>
        <v/>
      </c>
      <c r="AJ210" s="592" t="str">
        <f t="shared" si="102"/>
        <v/>
      </c>
      <c r="AK210" s="460" t="str">
        <f>IF(AU210="","",IF(OR(AZ210=8,AZ210=9),0,IF(OR(AW210=3,AW210=4,AW210=5,AW210=6),IF(LEFT(BF210,1)="1",INDEX(係数_NOX・PM低減,MATCH(AY210,【参考】排出係数!$AI$801:$AI$804,1),1),VLOOKUP(AU210,INDEX((係数_バス貨物_ガソリン,係数_バス貨物_CNG,係数_バス貨物_軽油,係数_バス貨物_メタノール,係数_バス貨物_LPG),MATCH(AY210,【参考】排出係数!$AI$4:$AI$671,1),1,BE210):INDEX((係数_バス貨物_ガソリン,係数_バス貨物_CNG,係数_バス貨物_軽油,係数_バス貨物_メタノール,係数_バス貨物_LPG),MATCH(AY210+1,【参考】排出係数!$AI$4:$AI$671,1)-1,5,BE210),4,FALSE)),IF(AND(BE210=3,LEFT(BF210,1)="1"),0.48,VLOOKUP(AU210,INDEX((係数_乗用_ガソリン,係数_乗用_CNG,係数_乗用_軽油,係数_乗用_メタノール,係数_乗用_LPG),1,1,BE210):INDEX((係数_乗用_ガソリン,係数_乗用_CNG,係数_乗用_軽油,係数_乗用_メタノール,係数_乗用_LPG),125,5,BE210),4,FALSE)))))</f>
        <v/>
      </c>
      <c r="AL210" s="461" t="str">
        <f t="shared" si="126"/>
        <v/>
      </c>
      <c r="AM210" s="460" t="str">
        <f>IF(AU210="","",IF(OR(AZ210=8,AZ210=9),0,IF(OR(AW210=3,AW210=4,AW210=5,AW210=6),IF(LEFT(BH210,1)="1",INDEX(係数_PM低減,MATCH(AY210,【参考】排出係数!$AI$801:$AI$804,1),MATCH(BI210,【参考】排出係数!$AL$798:$AO$798,1)),VLOOKUP(AU210,INDEX((係数_バス貨物_ガソリン,係数_バス貨物_CNG,係数_バス貨物_軽油,係数_バス貨物_メタノール,係数_バス貨物_LPG),MATCH(AY210,【参考】排出係数!$AI$4:$AI$671,1),1,BE210):INDEX((係数_バス貨物_ガソリン,係数_バス貨物_CNG,係数_バス貨物_軽油,係数_バス貨物_メタノール,係数_バス貨物_LPG),MATCH(AY210+1,【参考】排出係数!$AI$4:$AI$671,1)-1,5,BE210),5,FALSE)),IF(AND(BE210=3,LEFT(BF210,1)="1"),0.055,VLOOKUP(AU210,INDEX((係数_乗用_ガソリン,係数_乗用_CNG,係数_乗用_軽油,係数_乗用_メタノール,係数_乗用_LPG),1,1,BE210):INDEX((係数_乗用_ガソリン,係数_乗用_CNG,係数_乗用_軽油,係数_乗用_メタノール,係数_乗用_LPG),125,5,BE210),5,FALSE)))))</f>
        <v/>
      </c>
      <c r="AN210" s="461" t="str">
        <f t="shared" si="127"/>
        <v/>
      </c>
      <c r="AO210" s="462" t="str">
        <f t="shared" si="128"/>
        <v/>
      </c>
      <c r="AP210" s="463" t="str">
        <f t="shared" si="129"/>
        <v/>
      </c>
      <c r="AQ210" s="464"/>
      <c r="AR210" s="619"/>
      <c r="AS210" s="465" t="str">
        <f t="shared" si="108"/>
        <v/>
      </c>
      <c r="AT210" s="465" t="str">
        <f t="shared" si="109"/>
        <v/>
      </c>
      <c r="AU210" s="466" t="str">
        <f t="shared" si="110"/>
        <v/>
      </c>
      <c r="AV210" s="467" t="str">
        <f t="shared" si="111"/>
        <v/>
      </c>
      <c r="AW210" s="467" t="str">
        <f t="shared" si="112"/>
        <v/>
      </c>
      <c r="AX210" s="467" t="str">
        <f t="shared" si="113"/>
        <v/>
      </c>
      <c r="AY210" s="467" t="str">
        <f t="shared" si="114"/>
        <v/>
      </c>
      <c r="AZ210" s="467" t="str">
        <f t="shared" si="115"/>
        <v/>
      </c>
      <c r="BA210" s="468" t="str">
        <f>IF(AS210="","",IF(OR(AU210="",AU210="-"),"－",IF(OR(AZ210=8,AZ210=9),"",IF(OR(AW210=3,AW210=4,AW210=5,AW210=6),VLOOKUP(AU210,INDEX((係数_バス貨物_ガソリン,係数_バス貨物_CNG,係数_バス貨物_軽油,係数_バス貨物_メタノール,係数_バス貨物_LPG),MATCH(AY210,【参考】排出係数!$AI$4:$AI$671,1),1,BE210):INDEX((係数_バス貨物_ガソリン,係数_バス貨物_CNG,係数_バス貨物_軽油,係数_バス貨物_メタノール,係数_バス貨物_LPG),MATCH(AY210+1,【参考】排出係数!$AI$4:$AI$671,1)-1,5,BE210),2,FALSE),IF(OR(AW210=1,AW210=2),VLOOKUP(AU210,INDEX((係数_乗用_ガソリン,係数_乗用_CNG,係数_乗用_軽油,係数_乗用_メタノール,係数_乗用_LPG),1,1,BE210):INDEX((係数_乗用_ガソリン,係数_乗用_CNG,係数_乗用_軽油,係数_乗用_メタノール,係数_乗用_LPG),125,5,BE210),2,FALSE))))))</f>
        <v/>
      </c>
      <c r="BB210" s="468" t="str">
        <f>IF(T210="","",IF(OR(AU210="",AU210="-"),"－",IF(OR(AZ210=8,AZ210=9),"",IF(OR(AW210=3,AW210=4,AW210=5,AW210=6),VLOOKUP(AU210,INDEX((係数_バス貨物_ガソリン,係数_バス貨物_CNG,係数_バス貨物_軽油,係数_バス貨物_メタノール,係数_バス貨物_LPG),MATCH(AY210,【参考】排出係数!$AI$4:$AI$671,1),1,BE210):INDEX((係数_バス貨物_ガソリン,係数_バス貨物_CNG,係数_バス貨物_軽油,係数_バス貨物_メタノール,係数_バス貨物_LPG),MATCH(AY210+1,【参考】排出係数!$AI$4:$AI$671,1)-1,5,BE210),3,FALSE),IF(OR(AW210=1,AW210=2),VLOOKUP(AU210,INDEX((係数_乗用_ガソリン,係数_乗用_CNG,係数_乗用_軽油,係数_乗用_メタノール,係数_乗用_LPG),1,1,BE210):INDEX((係数_乗用_ガソリン,係数_乗用_CNG,係数_乗用_軽油,係数_乗用_メタノール,係数_乗用_LPG),125,5,BE210),3,FALSE))))))</f>
        <v/>
      </c>
      <c r="BC210" s="467" t="str">
        <f t="shared" si="116"/>
        <v/>
      </c>
      <c r="BD210" s="567" t="str">
        <f t="shared" si="117"/>
        <v/>
      </c>
      <c r="BE210" s="467" t="str">
        <f t="shared" si="118"/>
        <v/>
      </c>
      <c r="BF210" s="469" t="str">
        <f t="shared" ca="1" si="119"/>
        <v/>
      </c>
      <c r="BG210" s="469" t="str">
        <f t="shared" ca="1" si="120"/>
        <v/>
      </c>
      <c r="BH210" s="467" t="str">
        <f t="shared" si="121"/>
        <v/>
      </c>
      <c r="BI210" s="467" t="str">
        <f t="shared" ca="1" si="122"/>
        <v/>
      </c>
      <c r="BJ210" s="469" t="str">
        <f t="shared" si="123"/>
        <v/>
      </c>
      <c r="BK210" s="470" t="str">
        <f t="shared" si="103"/>
        <v/>
      </c>
      <c r="BL210" s="775" t="str">
        <f t="shared" si="124"/>
        <v/>
      </c>
      <c r="BM210" s="775" t="str">
        <f t="shared" si="125"/>
        <v/>
      </c>
    </row>
    <row r="211" spans="1:65">
      <c r="A211" s="473">
        <v>155</v>
      </c>
      <c r="B211" s="132"/>
      <c r="C211" s="332"/>
      <c r="D211" s="333"/>
      <c r="E211" s="333"/>
      <c r="F211" s="334"/>
      <c r="G211" s="337"/>
      <c r="H211" s="131"/>
      <c r="I211" s="337"/>
      <c r="J211" s="131"/>
      <c r="K211" s="458" t="str">
        <f t="shared" si="92"/>
        <v/>
      </c>
      <c r="L211" s="458">
        <f t="shared" si="104"/>
        <v>0</v>
      </c>
      <c r="M211" s="458">
        <f t="shared" si="105"/>
        <v>0</v>
      </c>
      <c r="N211" s="459" t="str">
        <f t="shared" si="93"/>
        <v/>
      </c>
      <c r="O211" s="459" t="str">
        <f t="shared" si="94"/>
        <v/>
      </c>
      <c r="P211" s="459" t="str">
        <f t="shared" si="95"/>
        <v/>
      </c>
      <c r="Q211" s="459" t="str">
        <f t="shared" si="96"/>
        <v/>
      </c>
      <c r="R211" s="459" t="str">
        <f t="shared" si="97"/>
        <v/>
      </c>
      <c r="S211" s="459" t="str">
        <f t="shared" si="98"/>
        <v/>
      </c>
      <c r="T211" s="566" t="str">
        <f t="shared" si="106"/>
        <v/>
      </c>
      <c r="U211" s="702"/>
      <c r="V211" s="132"/>
      <c r="W211" s="133"/>
      <c r="X211" s="134"/>
      <c r="Y211" s="135"/>
      <c r="Z211" s="137"/>
      <c r="AA211" s="136"/>
      <c r="AB211" s="566" t="str">
        <f t="shared" si="99"/>
        <v/>
      </c>
      <c r="AC211" s="568" t="str">
        <f t="shared" si="107"/>
        <v/>
      </c>
      <c r="AD211" s="137"/>
      <c r="AE211" s="137"/>
      <c r="AF211" s="138"/>
      <c r="AG211" s="138"/>
      <c r="AH211" s="592" t="str">
        <f t="shared" si="100"/>
        <v/>
      </c>
      <c r="AI211" s="592" t="str">
        <f t="shared" si="101"/>
        <v/>
      </c>
      <c r="AJ211" s="592" t="str">
        <f t="shared" si="102"/>
        <v/>
      </c>
      <c r="AK211" s="460" t="str">
        <f>IF(AU211="","",IF(OR(AZ211=8,AZ211=9),0,IF(OR(AW211=3,AW211=4,AW211=5,AW211=6),IF(LEFT(BF211,1)="1",INDEX(係数_NOX・PM低減,MATCH(AY211,【参考】排出係数!$AI$801:$AI$804,1),1),VLOOKUP(AU211,INDEX((係数_バス貨物_ガソリン,係数_バス貨物_CNG,係数_バス貨物_軽油,係数_バス貨物_メタノール,係数_バス貨物_LPG),MATCH(AY211,【参考】排出係数!$AI$4:$AI$671,1),1,BE211):INDEX((係数_バス貨物_ガソリン,係数_バス貨物_CNG,係数_バス貨物_軽油,係数_バス貨物_メタノール,係数_バス貨物_LPG),MATCH(AY211+1,【参考】排出係数!$AI$4:$AI$671,1)-1,5,BE211),4,FALSE)),IF(AND(BE211=3,LEFT(BF211,1)="1"),0.48,VLOOKUP(AU211,INDEX((係数_乗用_ガソリン,係数_乗用_CNG,係数_乗用_軽油,係数_乗用_メタノール,係数_乗用_LPG),1,1,BE211):INDEX((係数_乗用_ガソリン,係数_乗用_CNG,係数_乗用_軽油,係数_乗用_メタノール,係数_乗用_LPG),125,5,BE211),4,FALSE)))))</f>
        <v/>
      </c>
      <c r="AL211" s="461" t="str">
        <f t="shared" si="126"/>
        <v/>
      </c>
      <c r="AM211" s="460" t="str">
        <f>IF(AU211="","",IF(OR(AZ211=8,AZ211=9),0,IF(OR(AW211=3,AW211=4,AW211=5,AW211=6),IF(LEFT(BH211,1)="1",INDEX(係数_PM低減,MATCH(AY211,【参考】排出係数!$AI$801:$AI$804,1),MATCH(BI211,【参考】排出係数!$AL$798:$AO$798,1)),VLOOKUP(AU211,INDEX((係数_バス貨物_ガソリン,係数_バス貨物_CNG,係数_バス貨物_軽油,係数_バス貨物_メタノール,係数_バス貨物_LPG),MATCH(AY211,【参考】排出係数!$AI$4:$AI$671,1),1,BE211):INDEX((係数_バス貨物_ガソリン,係数_バス貨物_CNG,係数_バス貨物_軽油,係数_バス貨物_メタノール,係数_バス貨物_LPG),MATCH(AY211+1,【参考】排出係数!$AI$4:$AI$671,1)-1,5,BE211),5,FALSE)),IF(AND(BE211=3,LEFT(BF211,1)="1"),0.055,VLOOKUP(AU211,INDEX((係数_乗用_ガソリン,係数_乗用_CNG,係数_乗用_軽油,係数_乗用_メタノール,係数_乗用_LPG),1,1,BE211):INDEX((係数_乗用_ガソリン,係数_乗用_CNG,係数_乗用_軽油,係数_乗用_メタノール,係数_乗用_LPG),125,5,BE211),5,FALSE)))))</f>
        <v/>
      </c>
      <c r="AN211" s="461" t="str">
        <f t="shared" si="127"/>
        <v/>
      </c>
      <c r="AO211" s="462" t="str">
        <f t="shared" si="128"/>
        <v/>
      </c>
      <c r="AP211" s="463" t="str">
        <f t="shared" si="129"/>
        <v/>
      </c>
      <c r="AQ211" s="464"/>
      <c r="AR211" s="619"/>
      <c r="AS211" s="465" t="str">
        <f t="shared" si="108"/>
        <v/>
      </c>
      <c r="AT211" s="465" t="str">
        <f t="shared" si="109"/>
        <v/>
      </c>
      <c r="AU211" s="466" t="str">
        <f t="shared" si="110"/>
        <v/>
      </c>
      <c r="AV211" s="467" t="str">
        <f t="shared" si="111"/>
        <v/>
      </c>
      <c r="AW211" s="467" t="str">
        <f t="shared" si="112"/>
        <v/>
      </c>
      <c r="AX211" s="467" t="str">
        <f t="shared" si="113"/>
        <v/>
      </c>
      <c r="AY211" s="467" t="str">
        <f t="shared" si="114"/>
        <v/>
      </c>
      <c r="AZ211" s="467" t="str">
        <f t="shared" si="115"/>
        <v/>
      </c>
      <c r="BA211" s="468" t="str">
        <f>IF(AS211="","",IF(OR(AU211="",AU211="-"),"－",IF(OR(AZ211=8,AZ211=9),"",IF(OR(AW211=3,AW211=4,AW211=5,AW211=6),VLOOKUP(AU211,INDEX((係数_バス貨物_ガソリン,係数_バス貨物_CNG,係数_バス貨物_軽油,係数_バス貨物_メタノール,係数_バス貨物_LPG),MATCH(AY211,【参考】排出係数!$AI$4:$AI$671,1),1,BE211):INDEX((係数_バス貨物_ガソリン,係数_バス貨物_CNG,係数_バス貨物_軽油,係数_バス貨物_メタノール,係数_バス貨物_LPG),MATCH(AY211+1,【参考】排出係数!$AI$4:$AI$671,1)-1,5,BE211),2,FALSE),IF(OR(AW211=1,AW211=2),VLOOKUP(AU211,INDEX((係数_乗用_ガソリン,係数_乗用_CNG,係数_乗用_軽油,係数_乗用_メタノール,係数_乗用_LPG),1,1,BE211):INDEX((係数_乗用_ガソリン,係数_乗用_CNG,係数_乗用_軽油,係数_乗用_メタノール,係数_乗用_LPG),125,5,BE211),2,FALSE))))))</f>
        <v/>
      </c>
      <c r="BB211" s="468" t="str">
        <f>IF(T211="","",IF(OR(AU211="",AU211="-"),"－",IF(OR(AZ211=8,AZ211=9),"",IF(OR(AW211=3,AW211=4,AW211=5,AW211=6),VLOOKUP(AU211,INDEX((係数_バス貨物_ガソリン,係数_バス貨物_CNG,係数_バス貨物_軽油,係数_バス貨物_メタノール,係数_バス貨物_LPG),MATCH(AY211,【参考】排出係数!$AI$4:$AI$671,1),1,BE211):INDEX((係数_バス貨物_ガソリン,係数_バス貨物_CNG,係数_バス貨物_軽油,係数_バス貨物_メタノール,係数_バス貨物_LPG),MATCH(AY211+1,【参考】排出係数!$AI$4:$AI$671,1)-1,5,BE211),3,FALSE),IF(OR(AW211=1,AW211=2),VLOOKUP(AU211,INDEX((係数_乗用_ガソリン,係数_乗用_CNG,係数_乗用_軽油,係数_乗用_メタノール,係数_乗用_LPG),1,1,BE211):INDEX((係数_乗用_ガソリン,係数_乗用_CNG,係数_乗用_軽油,係数_乗用_メタノール,係数_乗用_LPG),125,5,BE211),3,FALSE))))))</f>
        <v/>
      </c>
      <c r="BC211" s="467" t="str">
        <f t="shared" si="116"/>
        <v/>
      </c>
      <c r="BD211" s="567" t="str">
        <f t="shared" si="117"/>
        <v/>
      </c>
      <c r="BE211" s="467" t="str">
        <f t="shared" si="118"/>
        <v/>
      </c>
      <c r="BF211" s="469" t="str">
        <f t="shared" ca="1" si="119"/>
        <v/>
      </c>
      <c r="BG211" s="469" t="str">
        <f t="shared" ca="1" si="120"/>
        <v/>
      </c>
      <c r="BH211" s="467" t="str">
        <f t="shared" si="121"/>
        <v/>
      </c>
      <c r="BI211" s="467" t="str">
        <f t="shared" ca="1" si="122"/>
        <v/>
      </c>
      <c r="BJ211" s="469" t="str">
        <f t="shared" si="123"/>
        <v/>
      </c>
      <c r="BK211" s="470" t="str">
        <f t="shared" si="103"/>
        <v/>
      </c>
      <c r="BL211" s="775" t="str">
        <f t="shared" si="124"/>
        <v/>
      </c>
      <c r="BM211" s="775" t="str">
        <f t="shared" si="125"/>
        <v/>
      </c>
    </row>
    <row r="212" spans="1:65">
      <c r="A212" s="473">
        <v>156</v>
      </c>
      <c r="B212" s="132"/>
      <c r="C212" s="332"/>
      <c r="D212" s="333"/>
      <c r="E212" s="333"/>
      <c r="F212" s="334"/>
      <c r="G212" s="337"/>
      <c r="H212" s="131"/>
      <c r="I212" s="337"/>
      <c r="J212" s="131"/>
      <c r="K212" s="458" t="str">
        <f t="shared" si="92"/>
        <v/>
      </c>
      <c r="L212" s="458">
        <f t="shared" si="104"/>
        <v>0</v>
      </c>
      <c r="M212" s="458">
        <f t="shared" si="105"/>
        <v>0</v>
      </c>
      <c r="N212" s="459" t="str">
        <f t="shared" si="93"/>
        <v/>
      </c>
      <c r="O212" s="459" t="str">
        <f t="shared" si="94"/>
        <v/>
      </c>
      <c r="P212" s="459" t="str">
        <f t="shared" si="95"/>
        <v/>
      </c>
      <c r="Q212" s="459" t="str">
        <f t="shared" si="96"/>
        <v/>
      </c>
      <c r="R212" s="459" t="str">
        <f t="shared" si="97"/>
        <v/>
      </c>
      <c r="S212" s="459" t="str">
        <f t="shared" si="98"/>
        <v/>
      </c>
      <c r="T212" s="566" t="str">
        <f t="shared" si="106"/>
        <v/>
      </c>
      <c r="U212" s="702"/>
      <c r="V212" s="132"/>
      <c r="W212" s="133"/>
      <c r="X212" s="134"/>
      <c r="Y212" s="135"/>
      <c r="Z212" s="137"/>
      <c r="AA212" s="136"/>
      <c r="AB212" s="566" t="str">
        <f t="shared" si="99"/>
        <v/>
      </c>
      <c r="AC212" s="568" t="str">
        <f t="shared" si="107"/>
        <v/>
      </c>
      <c r="AD212" s="137"/>
      <c r="AE212" s="137"/>
      <c r="AF212" s="138"/>
      <c r="AG212" s="138"/>
      <c r="AH212" s="592" t="str">
        <f t="shared" si="100"/>
        <v/>
      </c>
      <c r="AI212" s="592" t="str">
        <f t="shared" si="101"/>
        <v/>
      </c>
      <c r="AJ212" s="592" t="str">
        <f t="shared" si="102"/>
        <v/>
      </c>
      <c r="AK212" s="460" t="str">
        <f>IF(AU212="","",IF(OR(AZ212=8,AZ212=9),0,IF(OR(AW212=3,AW212=4,AW212=5,AW212=6),IF(LEFT(BF212,1)="1",INDEX(係数_NOX・PM低減,MATCH(AY212,【参考】排出係数!$AI$801:$AI$804,1),1),VLOOKUP(AU212,INDEX((係数_バス貨物_ガソリン,係数_バス貨物_CNG,係数_バス貨物_軽油,係数_バス貨物_メタノール,係数_バス貨物_LPG),MATCH(AY212,【参考】排出係数!$AI$4:$AI$671,1),1,BE212):INDEX((係数_バス貨物_ガソリン,係数_バス貨物_CNG,係数_バス貨物_軽油,係数_バス貨物_メタノール,係数_バス貨物_LPG),MATCH(AY212+1,【参考】排出係数!$AI$4:$AI$671,1)-1,5,BE212),4,FALSE)),IF(AND(BE212=3,LEFT(BF212,1)="1"),0.48,VLOOKUP(AU212,INDEX((係数_乗用_ガソリン,係数_乗用_CNG,係数_乗用_軽油,係数_乗用_メタノール,係数_乗用_LPG),1,1,BE212):INDEX((係数_乗用_ガソリン,係数_乗用_CNG,係数_乗用_軽油,係数_乗用_メタノール,係数_乗用_LPG),125,5,BE212),4,FALSE)))))</f>
        <v/>
      </c>
      <c r="AL212" s="461" t="str">
        <f t="shared" si="126"/>
        <v/>
      </c>
      <c r="AM212" s="460" t="str">
        <f>IF(AU212="","",IF(OR(AZ212=8,AZ212=9),0,IF(OR(AW212=3,AW212=4,AW212=5,AW212=6),IF(LEFT(BH212,1)="1",INDEX(係数_PM低減,MATCH(AY212,【参考】排出係数!$AI$801:$AI$804,1),MATCH(BI212,【参考】排出係数!$AL$798:$AO$798,1)),VLOOKUP(AU212,INDEX((係数_バス貨物_ガソリン,係数_バス貨物_CNG,係数_バス貨物_軽油,係数_バス貨物_メタノール,係数_バス貨物_LPG),MATCH(AY212,【参考】排出係数!$AI$4:$AI$671,1),1,BE212):INDEX((係数_バス貨物_ガソリン,係数_バス貨物_CNG,係数_バス貨物_軽油,係数_バス貨物_メタノール,係数_バス貨物_LPG),MATCH(AY212+1,【参考】排出係数!$AI$4:$AI$671,1)-1,5,BE212),5,FALSE)),IF(AND(BE212=3,LEFT(BF212,1)="1"),0.055,VLOOKUP(AU212,INDEX((係数_乗用_ガソリン,係数_乗用_CNG,係数_乗用_軽油,係数_乗用_メタノール,係数_乗用_LPG),1,1,BE212):INDEX((係数_乗用_ガソリン,係数_乗用_CNG,係数_乗用_軽油,係数_乗用_メタノール,係数_乗用_LPG),125,5,BE212),5,FALSE)))))</f>
        <v/>
      </c>
      <c r="AN212" s="461" t="str">
        <f t="shared" si="127"/>
        <v/>
      </c>
      <c r="AO212" s="462" t="str">
        <f t="shared" si="128"/>
        <v/>
      </c>
      <c r="AP212" s="463" t="str">
        <f t="shared" si="129"/>
        <v/>
      </c>
      <c r="AQ212" s="464"/>
      <c r="AR212" s="619"/>
      <c r="AS212" s="465" t="str">
        <f t="shared" si="108"/>
        <v/>
      </c>
      <c r="AT212" s="465" t="str">
        <f t="shared" si="109"/>
        <v/>
      </c>
      <c r="AU212" s="466" t="str">
        <f t="shared" si="110"/>
        <v/>
      </c>
      <c r="AV212" s="467" t="str">
        <f t="shared" si="111"/>
        <v/>
      </c>
      <c r="AW212" s="467" t="str">
        <f t="shared" si="112"/>
        <v/>
      </c>
      <c r="AX212" s="467" t="str">
        <f t="shared" si="113"/>
        <v/>
      </c>
      <c r="AY212" s="467" t="str">
        <f t="shared" si="114"/>
        <v/>
      </c>
      <c r="AZ212" s="467" t="str">
        <f t="shared" si="115"/>
        <v/>
      </c>
      <c r="BA212" s="468" t="str">
        <f>IF(AS212="","",IF(OR(AU212="",AU212="-"),"－",IF(OR(AZ212=8,AZ212=9),"",IF(OR(AW212=3,AW212=4,AW212=5,AW212=6),VLOOKUP(AU212,INDEX((係数_バス貨物_ガソリン,係数_バス貨物_CNG,係数_バス貨物_軽油,係数_バス貨物_メタノール,係数_バス貨物_LPG),MATCH(AY212,【参考】排出係数!$AI$4:$AI$671,1),1,BE212):INDEX((係数_バス貨物_ガソリン,係数_バス貨物_CNG,係数_バス貨物_軽油,係数_バス貨物_メタノール,係数_バス貨物_LPG),MATCH(AY212+1,【参考】排出係数!$AI$4:$AI$671,1)-1,5,BE212),2,FALSE),IF(OR(AW212=1,AW212=2),VLOOKUP(AU212,INDEX((係数_乗用_ガソリン,係数_乗用_CNG,係数_乗用_軽油,係数_乗用_メタノール,係数_乗用_LPG),1,1,BE212):INDEX((係数_乗用_ガソリン,係数_乗用_CNG,係数_乗用_軽油,係数_乗用_メタノール,係数_乗用_LPG),125,5,BE212),2,FALSE))))))</f>
        <v/>
      </c>
      <c r="BB212" s="468" t="str">
        <f>IF(T212="","",IF(OR(AU212="",AU212="-"),"－",IF(OR(AZ212=8,AZ212=9),"",IF(OR(AW212=3,AW212=4,AW212=5,AW212=6),VLOOKUP(AU212,INDEX((係数_バス貨物_ガソリン,係数_バス貨物_CNG,係数_バス貨物_軽油,係数_バス貨物_メタノール,係数_バス貨物_LPG),MATCH(AY212,【参考】排出係数!$AI$4:$AI$671,1),1,BE212):INDEX((係数_バス貨物_ガソリン,係数_バス貨物_CNG,係数_バス貨物_軽油,係数_バス貨物_メタノール,係数_バス貨物_LPG),MATCH(AY212+1,【参考】排出係数!$AI$4:$AI$671,1)-1,5,BE212),3,FALSE),IF(OR(AW212=1,AW212=2),VLOOKUP(AU212,INDEX((係数_乗用_ガソリン,係数_乗用_CNG,係数_乗用_軽油,係数_乗用_メタノール,係数_乗用_LPG),1,1,BE212):INDEX((係数_乗用_ガソリン,係数_乗用_CNG,係数_乗用_軽油,係数_乗用_メタノール,係数_乗用_LPG),125,5,BE212),3,FALSE))))))</f>
        <v/>
      </c>
      <c r="BC212" s="467" t="str">
        <f t="shared" si="116"/>
        <v/>
      </c>
      <c r="BD212" s="567" t="str">
        <f t="shared" si="117"/>
        <v/>
      </c>
      <c r="BE212" s="467" t="str">
        <f t="shared" si="118"/>
        <v/>
      </c>
      <c r="BF212" s="469" t="str">
        <f t="shared" ca="1" si="119"/>
        <v/>
      </c>
      <c r="BG212" s="469" t="str">
        <f t="shared" ca="1" si="120"/>
        <v/>
      </c>
      <c r="BH212" s="467" t="str">
        <f t="shared" si="121"/>
        <v/>
      </c>
      <c r="BI212" s="467" t="str">
        <f t="shared" ca="1" si="122"/>
        <v/>
      </c>
      <c r="BJ212" s="469" t="str">
        <f t="shared" si="123"/>
        <v/>
      </c>
      <c r="BK212" s="470" t="str">
        <f t="shared" si="103"/>
        <v/>
      </c>
      <c r="BL212" s="775" t="str">
        <f t="shared" si="124"/>
        <v/>
      </c>
      <c r="BM212" s="775" t="str">
        <f t="shared" si="125"/>
        <v/>
      </c>
    </row>
    <row r="213" spans="1:65">
      <c r="A213" s="473">
        <v>157</v>
      </c>
      <c r="B213" s="132"/>
      <c r="C213" s="332"/>
      <c r="D213" s="333"/>
      <c r="E213" s="333"/>
      <c r="F213" s="334"/>
      <c r="G213" s="337"/>
      <c r="H213" s="131"/>
      <c r="I213" s="337"/>
      <c r="J213" s="131"/>
      <c r="K213" s="458" t="str">
        <f t="shared" si="92"/>
        <v/>
      </c>
      <c r="L213" s="458">
        <f t="shared" si="104"/>
        <v>0</v>
      </c>
      <c r="M213" s="458">
        <f t="shared" si="105"/>
        <v>0</v>
      </c>
      <c r="N213" s="459" t="str">
        <f t="shared" si="93"/>
        <v/>
      </c>
      <c r="O213" s="459" t="str">
        <f t="shared" si="94"/>
        <v/>
      </c>
      <c r="P213" s="459" t="str">
        <f t="shared" si="95"/>
        <v/>
      </c>
      <c r="Q213" s="459" t="str">
        <f t="shared" si="96"/>
        <v/>
      </c>
      <c r="R213" s="459" t="str">
        <f t="shared" si="97"/>
        <v/>
      </c>
      <c r="S213" s="459" t="str">
        <f t="shared" si="98"/>
        <v/>
      </c>
      <c r="T213" s="566" t="str">
        <f t="shared" si="106"/>
        <v/>
      </c>
      <c r="U213" s="702"/>
      <c r="V213" s="132"/>
      <c r="W213" s="133"/>
      <c r="X213" s="134"/>
      <c r="Y213" s="135"/>
      <c r="Z213" s="137"/>
      <c r="AA213" s="136"/>
      <c r="AB213" s="566" t="str">
        <f t="shared" si="99"/>
        <v/>
      </c>
      <c r="AC213" s="568" t="str">
        <f t="shared" si="107"/>
        <v/>
      </c>
      <c r="AD213" s="137"/>
      <c r="AE213" s="137"/>
      <c r="AF213" s="138"/>
      <c r="AG213" s="138"/>
      <c r="AH213" s="592" t="str">
        <f t="shared" si="100"/>
        <v/>
      </c>
      <c r="AI213" s="592" t="str">
        <f t="shared" si="101"/>
        <v/>
      </c>
      <c r="AJ213" s="592" t="str">
        <f t="shared" si="102"/>
        <v/>
      </c>
      <c r="AK213" s="460" t="str">
        <f>IF(AU213="","",IF(OR(AZ213=8,AZ213=9),0,IF(OR(AW213=3,AW213=4,AW213=5,AW213=6),IF(LEFT(BF213,1)="1",INDEX(係数_NOX・PM低減,MATCH(AY213,【参考】排出係数!$AI$801:$AI$804,1),1),VLOOKUP(AU213,INDEX((係数_バス貨物_ガソリン,係数_バス貨物_CNG,係数_バス貨物_軽油,係数_バス貨物_メタノール,係数_バス貨物_LPG),MATCH(AY213,【参考】排出係数!$AI$4:$AI$671,1),1,BE213):INDEX((係数_バス貨物_ガソリン,係数_バス貨物_CNG,係数_バス貨物_軽油,係数_バス貨物_メタノール,係数_バス貨物_LPG),MATCH(AY213+1,【参考】排出係数!$AI$4:$AI$671,1)-1,5,BE213),4,FALSE)),IF(AND(BE213=3,LEFT(BF213,1)="1"),0.48,VLOOKUP(AU213,INDEX((係数_乗用_ガソリン,係数_乗用_CNG,係数_乗用_軽油,係数_乗用_メタノール,係数_乗用_LPG),1,1,BE213):INDEX((係数_乗用_ガソリン,係数_乗用_CNG,係数_乗用_軽油,係数_乗用_メタノール,係数_乗用_LPG),125,5,BE213),4,FALSE)))))</f>
        <v/>
      </c>
      <c r="AL213" s="461" t="str">
        <f t="shared" si="126"/>
        <v/>
      </c>
      <c r="AM213" s="460" t="str">
        <f>IF(AU213="","",IF(OR(AZ213=8,AZ213=9),0,IF(OR(AW213=3,AW213=4,AW213=5,AW213=6),IF(LEFT(BH213,1)="1",INDEX(係数_PM低減,MATCH(AY213,【参考】排出係数!$AI$801:$AI$804,1),MATCH(BI213,【参考】排出係数!$AL$798:$AO$798,1)),VLOOKUP(AU213,INDEX((係数_バス貨物_ガソリン,係数_バス貨物_CNG,係数_バス貨物_軽油,係数_バス貨物_メタノール,係数_バス貨物_LPG),MATCH(AY213,【参考】排出係数!$AI$4:$AI$671,1),1,BE213):INDEX((係数_バス貨物_ガソリン,係数_バス貨物_CNG,係数_バス貨物_軽油,係数_バス貨物_メタノール,係数_バス貨物_LPG),MATCH(AY213+1,【参考】排出係数!$AI$4:$AI$671,1)-1,5,BE213),5,FALSE)),IF(AND(BE213=3,LEFT(BF213,1)="1"),0.055,VLOOKUP(AU213,INDEX((係数_乗用_ガソリン,係数_乗用_CNG,係数_乗用_軽油,係数_乗用_メタノール,係数_乗用_LPG),1,1,BE213):INDEX((係数_乗用_ガソリン,係数_乗用_CNG,係数_乗用_軽油,係数_乗用_メタノール,係数_乗用_LPG),125,5,BE213),5,FALSE)))))</f>
        <v/>
      </c>
      <c r="AN213" s="461" t="str">
        <f t="shared" si="127"/>
        <v/>
      </c>
      <c r="AO213" s="462" t="str">
        <f t="shared" si="128"/>
        <v/>
      </c>
      <c r="AP213" s="463" t="str">
        <f t="shared" si="129"/>
        <v/>
      </c>
      <c r="AQ213" s="464"/>
      <c r="AR213" s="619"/>
      <c r="AS213" s="465" t="str">
        <f t="shared" si="108"/>
        <v/>
      </c>
      <c r="AT213" s="465" t="str">
        <f t="shared" si="109"/>
        <v/>
      </c>
      <c r="AU213" s="466" t="str">
        <f t="shared" si="110"/>
        <v/>
      </c>
      <c r="AV213" s="467" t="str">
        <f t="shared" si="111"/>
        <v/>
      </c>
      <c r="AW213" s="467" t="str">
        <f t="shared" si="112"/>
        <v/>
      </c>
      <c r="AX213" s="467" t="str">
        <f t="shared" si="113"/>
        <v/>
      </c>
      <c r="AY213" s="467" t="str">
        <f t="shared" si="114"/>
        <v/>
      </c>
      <c r="AZ213" s="467" t="str">
        <f t="shared" si="115"/>
        <v/>
      </c>
      <c r="BA213" s="468" t="str">
        <f>IF(AS213="","",IF(OR(AU213="",AU213="-"),"－",IF(OR(AZ213=8,AZ213=9),"",IF(OR(AW213=3,AW213=4,AW213=5,AW213=6),VLOOKUP(AU213,INDEX((係数_バス貨物_ガソリン,係数_バス貨物_CNG,係数_バス貨物_軽油,係数_バス貨物_メタノール,係数_バス貨物_LPG),MATCH(AY213,【参考】排出係数!$AI$4:$AI$671,1),1,BE213):INDEX((係数_バス貨物_ガソリン,係数_バス貨物_CNG,係数_バス貨物_軽油,係数_バス貨物_メタノール,係数_バス貨物_LPG),MATCH(AY213+1,【参考】排出係数!$AI$4:$AI$671,1)-1,5,BE213),2,FALSE),IF(OR(AW213=1,AW213=2),VLOOKUP(AU213,INDEX((係数_乗用_ガソリン,係数_乗用_CNG,係数_乗用_軽油,係数_乗用_メタノール,係数_乗用_LPG),1,1,BE213):INDEX((係数_乗用_ガソリン,係数_乗用_CNG,係数_乗用_軽油,係数_乗用_メタノール,係数_乗用_LPG),125,5,BE213),2,FALSE))))))</f>
        <v/>
      </c>
      <c r="BB213" s="468" t="str">
        <f>IF(T213="","",IF(OR(AU213="",AU213="-"),"－",IF(OR(AZ213=8,AZ213=9),"",IF(OR(AW213=3,AW213=4,AW213=5,AW213=6),VLOOKUP(AU213,INDEX((係数_バス貨物_ガソリン,係数_バス貨物_CNG,係数_バス貨物_軽油,係数_バス貨物_メタノール,係数_バス貨物_LPG),MATCH(AY213,【参考】排出係数!$AI$4:$AI$671,1),1,BE213):INDEX((係数_バス貨物_ガソリン,係数_バス貨物_CNG,係数_バス貨物_軽油,係数_バス貨物_メタノール,係数_バス貨物_LPG),MATCH(AY213+1,【参考】排出係数!$AI$4:$AI$671,1)-1,5,BE213),3,FALSE),IF(OR(AW213=1,AW213=2),VLOOKUP(AU213,INDEX((係数_乗用_ガソリン,係数_乗用_CNG,係数_乗用_軽油,係数_乗用_メタノール,係数_乗用_LPG),1,1,BE213):INDEX((係数_乗用_ガソリン,係数_乗用_CNG,係数_乗用_軽油,係数_乗用_メタノール,係数_乗用_LPG),125,5,BE213),3,FALSE))))))</f>
        <v/>
      </c>
      <c r="BC213" s="467" t="str">
        <f t="shared" si="116"/>
        <v/>
      </c>
      <c r="BD213" s="567" t="str">
        <f t="shared" si="117"/>
        <v/>
      </c>
      <c r="BE213" s="467" t="str">
        <f t="shared" si="118"/>
        <v/>
      </c>
      <c r="BF213" s="469" t="str">
        <f t="shared" ca="1" si="119"/>
        <v/>
      </c>
      <c r="BG213" s="469" t="str">
        <f t="shared" ca="1" si="120"/>
        <v/>
      </c>
      <c r="BH213" s="467" t="str">
        <f t="shared" si="121"/>
        <v/>
      </c>
      <c r="BI213" s="467" t="str">
        <f t="shared" ca="1" si="122"/>
        <v/>
      </c>
      <c r="BJ213" s="469" t="str">
        <f t="shared" si="123"/>
        <v/>
      </c>
      <c r="BK213" s="470" t="str">
        <f t="shared" si="103"/>
        <v/>
      </c>
      <c r="BL213" s="775" t="str">
        <f t="shared" si="124"/>
        <v/>
      </c>
      <c r="BM213" s="775" t="str">
        <f t="shared" si="125"/>
        <v/>
      </c>
    </row>
    <row r="214" spans="1:65">
      <c r="A214" s="473">
        <v>158</v>
      </c>
      <c r="B214" s="132"/>
      <c r="C214" s="332"/>
      <c r="D214" s="333"/>
      <c r="E214" s="333"/>
      <c r="F214" s="334"/>
      <c r="G214" s="337"/>
      <c r="H214" s="131"/>
      <c r="I214" s="337"/>
      <c r="J214" s="131"/>
      <c r="K214" s="458" t="str">
        <f t="shared" si="92"/>
        <v/>
      </c>
      <c r="L214" s="458">
        <f t="shared" si="104"/>
        <v>0</v>
      </c>
      <c r="M214" s="458">
        <f t="shared" si="105"/>
        <v>0</v>
      </c>
      <c r="N214" s="459" t="str">
        <f t="shared" si="93"/>
        <v/>
      </c>
      <c r="O214" s="459" t="str">
        <f t="shared" si="94"/>
        <v/>
      </c>
      <c r="P214" s="459" t="str">
        <f t="shared" si="95"/>
        <v/>
      </c>
      <c r="Q214" s="459" t="str">
        <f t="shared" si="96"/>
        <v/>
      </c>
      <c r="R214" s="459" t="str">
        <f t="shared" si="97"/>
        <v/>
      </c>
      <c r="S214" s="459" t="str">
        <f t="shared" si="98"/>
        <v/>
      </c>
      <c r="T214" s="566" t="str">
        <f t="shared" si="106"/>
        <v/>
      </c>
      <c r="U214" s="702"/>
      <c r="V214" s="132"/>
      <c r="W214" s="133"/>
      <c r="X214" s="134"/>
      <c r="Y214" s="135"/>
      <c r="Z214" s="137"/>
      <c r="AA214" s="136"/>
      <c r="AB214" s="566" t="str">
        <f t="shared" si="99"/>
        <v/>
      </c>
      <c r="AC214" s="568" t="str">
        <f t="shared" si="107"/>
        <v/>
      </c>
      <c r="AD214" s="137"/>
      <c r="AE214" s="137"/>
      <c r="AF214" s="138"/>
      <c r="AG214" s="138"/>
      <c r="AH214" s="592" t="str">
        <f t="shared" si="100"/>
        <v/>
      </c>
      <c r="AI214" s="592" t="str">
        <f t="shared" si="101"/>
        <v/>
      </c>
      <c r="AJ214" s="592" t="str">
        <f t="shared" si="102"/>
        <v/>
      </c>
      <c r="AK214" s="460" t="str">
        <f>IF(AU214="","",IF(OR(AZ214=8,AZ214=9),0,IF(OR(AW214=3,AW214=4,AW214=5,AW214=6),IF(LEFT(BF214,1)="1",INDEX(係数_NOX・PM低減,MATCH(AY214,【参考】排出係数!$AI$801:$AI$804,1),1),VLOOKUP(AU214,INDEX((係数_バス貨物_ガソリン,係数_バス貨物_CNG,係数_バス貨物_軽油,係数_バス貨物_メタノール,係数_バス貨物_LPG),MATCH(AY214,【参考】排出係数!$AI$4:$AI$671,1),1,BE214):INDEX((係数_バス貨物_ガソリン,係数_バス貨物_CNG,係数_バス貨物_軽油,係数_バス貨物_メタノール,係数_バス貨物_LPG),MATCH(AY214+1,【参考】排出係数!$AI$4:$AI$671,1)-1,5,BE214),4,FALSE)),IF(AND(BE214=3,LEFT(BF214,1)="1"),0.48,VLOOKUP(AU214,INDEX((係数_乗用_ガソリン,係数_乗用_CNG,係数_乗用_軽油,係数_乗用_メタノール,係数_乗用_LPG),1,1,BE214):INDEX((係数_乗用_ガソリン,係数_乗用_CNG,係数_乗用_軽油,係数_乗用_メタノール,係数_乗用_LPG),125,5,BE214),4,FALSE)))))</f>
        <v/>
      </c>
      <c r="AL214" s="461" t="str">
        <f t="shared" si="126"/>
        <v/>
      </c>
      <c r="AM214" s="460" t="str">
        <f>IF(AU214="","",IF(OR(AZ214=8,AZ214=9),0,IF(OR(AW214=3,AW214=4,AW214=5,AW214=6),IF(LEFT(BH214,1)="1",INDEX(係数_PM低減,MATCH(AY214,【参考】排出係数!$AI$801:$AI$804,1),MATCH(BI214,【参考】排出係数!$AL$798:$AO$798,1)),VLOOKUP(AU214,INDEX((係数_バス貨物_ガソリン,係数_バス貨物_CNG,係数_バス貨物_軽油,係数_バス貨物_メタノール,係数_バス貨物_LPG),MATCH(AY214,【参考】排出係数!$AI$4:$AI$671,1),1,BE214):INDEX((係数_バス貨物_ガソリン,係数_バス貨物_CNG,係数_バス貨物_軽油,係数_バス貨物_メタノール,係数_バス貨物_LPG),MATCH(AY214+1,【参考】排出係数!$AI$4:$AI$671,1)-1,5,BE214),5,FALSE)),IF(AND(BE214=3,LEFT(BF214,1)="1"),0.055,VLOOKUP(AU214,INDEX((係数_乗用_ガソリン,係数_乗用_CNG,係数_乗用_軽油,係数_乗用_メタノール,係数_乗用_LPG),1,1,BE214):INDEX((係数_乗用_ガソリン,係数_乗用_CNG,係数_乗用_軽油,係数_乗用_メタノール,係数_乗用_LPG),125,5,BE214),5,FALSE)))))</f>
        <v/>
      </c>
      <c r="AN214" s="461" t="str">
        <f t="shared" si="127"/>
        <v/>
      </c>
      <c r="AO214" s="462" t="str">
        <f t="shared" si="128"/>
        <v/>
      </c>
      <c r="AP214" s="463" t="str">
        <f t="shared" si="129"/>
        <v/>
      </c>
      <c r="AQ214" s="464"/>
      <c r="AR214" s="619"/>
      <c r="AS214" s="465" t="str">
        <f t="shared" si="108"/>
        <v/>
      </c>
      <c r="AT214" s="465" t="str">
        <f t="shared" si="109"/>
        <v/>
      </c>
      <c r="AU214" s="466" t="str">
        <f t="shared" si="110"/>
        <v/>
      </c>
      <c r="AV214" s="467" t="str">
        <f t="shared" si="111"/>
        <v/>
      </c>
      <c r="AW214" s="467" t="str">
        <f t="shared" si="112"/>
        <v/>
      </c>
      <c r="AX214" s="467" t="str">
        <f t="shared" si="113"/>
        <v/>
      </c>
      <c r="AY214" s="467" t="str">
        <f t="shared" si="114"/>
        <v/>
      </c>
      <c r="AZ214" s="467" t="str">
        <f t="shared" si="115"/>
        <v/>
      </c>
      <c r="BA214" s="468" t="str">
        <f>IF(AS214="","",IF(OR(AU214="",AU214="-"),"－",IF(OR(AZ214=8,AZ214=9),"",IF(OR(AW214=3,AW214=4,AW214=5,AW214=6),VLOOKUP(AU214,INDEX((係数_バス貨物_ガソリン,係数_バス貨物_CNG,係数_バス貨物_軽油,係数_バス貨物_メタノール,係数_バス貨物_LPG),MATCH(AY214,【参考】排出係数!$AI$4:$AI$671,1),1,BE214):INDEX((係数_バス貨物_ガソリン,係数_バス貨物_CNG,係数_バス貨物_軽油,係数_バス貨物_メタノール,係数_バス貨物_LPG),MATCH(AY214+1,【参考】排出係数!$AI$4:$AI$671,1)-1,5,BE214),2,FALSE),IF(OR(AW214=1,AW214=2),VLOOKUP(AU214,INDEX((係数_乗用_ガソリン,係数_乗用_CNG,係数_乗用_軽油,係数_乗用_メタノール,係数_乗用_LPG),1,1,BE214):INDEX((係数_乗用_ガソリン,係数_乗用_CNG,係数_乗用_軽油,係数_乗用_メタノール,係数_乗用_LPG),125,5,BE214),2,FALSE))))))</f>
        <v/>
      </c>
      <c r="BB214" s="468" t="str">
        <f>IF(T214="","",IF(OR(AU214="",AU214="-"),"－",IF(OR(AZ214=8,AZ214=9),"",IF(OR(AW214=3,AW214=4,AW214=5,AW214=6),VLOOKUP(AU214,INDEX((係数_バス貨物_ガソリン,係数_バス貨物_CNG,係数_バス貨物_軽油,係数_バス貨物_メタノール,係数_バス貨物_LPG),MATCH(AY214,【参考】排出係数!$AI$4:$AI$671,1),1,BE214):INDEX((係数_バス貨物_ガソリン,係数_バス貨物_CNG,係数_バス貨物_軽油,係数_バス貨物_メタノール,係数_バス貨物_LPG),MATCH(AY214+1,【参考】排出係数!$AI$4:$AI$671,1)-1,5,BE214),3,FALSE),IF(OR(AW214=1,AW214=2),VLOOKUP(AU214,INDEX((係数_乗用_ガソリン,係数_乗用_CNG,係数_乗用_軽油,係数_乗用_メタノール,係数_乗用_LPG),1,1,BE214):INDEX((係数_乗用_ガソリン,係数_乗用_CNG,係数_乗用_軽油,係数_乗用_メタノール,係数_乗用_LPG),125,5,BE214),3,FALSE))))))</f>
        <v/>
      </c>
      <c r="BC214" s="467" t="str">
        <f t="shared" si="116"/>
        <v/>
      </c>
      <c r="BD214" s="567" t="str">
        <f t="shared" si="117"/>
        <v/>
      </c>
      <c r="BE214" s="467" t="str">
        <f t="shared" si="118"/>
        <v/>
      </c>
      <c r="BF214" s="469" t="str">
        <f t="shared" ca="1" si="119"/>
        <v/>
      </c>
      <c r="BG214" s="469" t="str">
        <f t="shared" ca="1" si="120"/>
        <v/>
      </c>
      <c r="BH214" s="467" t="str">
        <f t="shared" si="121"/>
        <v/>
      </c>
      <c r="BI214" s="467" t="str">
        <f t="shared" ca="1" si="122"/>
        <v/>
      </c>
      <c r="BJ214" s="469" t="str">
        <f t="shared" si="123"/>
        <v/>
      </c>
      <c r="BK214" s="470" t="str">
        <f t="shared" si="103"/>
        <v/>
      </c>
      <c r="BL214" s="775" t="str">
        <f t="shared" si="124"/>
        <v/>
      </c>
      <c r="BM214" s="775" t="str">
        <f t="shared" si="125"/>
        <v/>
      </c>
    </row>
    <row r="215" spans="1:65">
      <c r="A215" s="473">
        <v>159</v>
      </c>
      <c r="B215" s="132"/>
      <c r="C215" s="332"/>
      <c r="D215" s="333"/>
      <c r="E215" s="333"/>
      <c r="F215" s="334"/>
      <c r="G215" s="337"/>
      <c r="H215" s="131"/>
      <c r="I215" s="337"/>
      <c r="J215" s="131"/>
      <c r="K215" s="458" t="str">
        <f t="shared" si="92"/>
        <v/>
      </c>
      <c r="L215" s="458">
        <f t="shared" si="104"/>
        <v>0</v>
      </c>
      <c r="M215" s="458">
        <f t="shared" si="105"/>
        <v>0</v>
      </c>
      <c r="N215" s="459" t="str">
        <f t="shared" si="93"/>
        <v/>
      </c>
      <c r="O215" s="459" t="str">
        <f t="shared" si="94"/>
        <v/>
      </c>
      <c r="P215" s="459" t="str">
        <f t="shared" si="95"/>
        <v/>
      </c>
      <c r="Q215" s="459" t="str">
        <f t="shared" si="96"/>
        <v/>
      </c>
      <c r="R215" s="459" t="str">
        <f t="shared" si="97"/>
        <v/>
      </c>
      <c r="S215" s="459" t="str">
        <f t="shared" si="98"/>
        <v/>
      </c>
      <c r="T215" s="566" t="str">
        <f t="shared" si="106"/>
        <v/>
      </c>
      <c r="U215" s="702"/>
      <c r="V215" s="132"/>
      <c r="W215" s="133"/>
      <c r="X215" s="134"/>
      <c r="Y215" s="135"/>
      <c r="Z215" s="137"/>
      <c r="AA215" s="136"/>
      <c r="AB215" s="566" t="str">
        <f t="shared" si="99"/>
        <v/>
      </c>
      <c r="AC215" s="568" t="str">
        <f t="shared" si="107"/>
        <v/>
      </c>
      <c r="AD215" s="137"/>
      <c r="AE215" s="137"/>
      <c r="AF215" s="138"/>
      <c r="AG215" s="138"/>
      <c r="AH215" s="592" t="str">
        <f t="shared" si="100"/>
        <v/>
      </c>
      <c r="AI215" s="592" t="str">
        <f t="shared" si="101"/>
        <v/>
      </c>
      <c r="AJ215" s="592" t="str">
        <f t="shared" si="102"/>
        <v/>
      </c>
      <c r="AK215" s="460" t="str">
        <f>IF(AU215="","",IF(OR(AZ215=8,AZ215=9),0,IF(OR(AW215=3,AW215=4,AW215=5,AW215=6),IF(LEFT(BF215,1)="1",INDEX(係数_NOX・PM低減,MATCH(AY215,【参考】排出係数!$AI$801:$AI$804,1),1),VLOOKUP(AU215,INDEX((係数_バス貨物_ガソリン,係数_バス貨物_CNG,係数_バス貨物_軽油,係数_バス貨物_メタノール,係数_バス貨物_LPG),MATCH(AY215,【参考】排出係数!$AI$4:$AI$671,1),1,BE215):INDEX((係数_バス貨物_ガソリン,係数_バス貨物_CNG,係数_バス貨物_軽油,係数_バス貨物_メタノール,係数_バス貨物_LPG),MATCH(AY215+1,【参考】排出係数!$AI$4:$AI$671,1)-1,5,BE215),4,FALSE)),IF(AND(BE215=3,LEFT(BF215,1)="1"),0.48,VLOOKUP(AU215,INDEX((係数_乗用_ガソリン,係数_乗用_CNG,係数_乗用_軽油,係数_乗用_メタノール,係数_乗用_LPG),1,1,BE215):INDEX((係数_乗用_ガソリン,係数_乗用_CNG,係数_乗用_軽油,係数_乗用_メタノール,係数_乗用_LPG),125,5,BE215),4,FALSE)))))</f>
        <v/>
      </c>
      <c r="AL215" s="461" t="str">
        <f t="shared" si="126"/>
        <v/>
      </c>
      <c r="AM215" s="460" t="str">
        <f>IF(AU215="","",IF(OR(AZ215=8,AZ215=9),0,IF(OR(AW215=3,AW215=4,AW215=5,AW215=6),IF(LEFT(BH215,1)="1",INDEX(係数_PM低減,MATCH(AY215,【参考】排出係数!$AI$801:$AI$804,1),MATCH(BI215,【参考】排出係数!$AL$798:$AO$798,1)),VLOOKUP(AU215,INDEX((係数_バス貨物_ガソリン,係数_バス貨物_CNG,係数_バス貨物_軽油,係数_バス貨物_メタノール,係数_バス貨物_LPG),MATCH(AY215,【参考】排出係数!$AI$4:$AI$671,1),1,BE215):INDEX((係数_バス貨物_ガソリン,係数_バス貨物_CNG,係数_バス貨物_軽油,係数_バス貨物_メタノール,係数_バス貨物_LPG),MATCH(AY215+1,【参考】排出係数!$AI$4:$AI$671,1)-1,5,BE215),5,FALSE)),IF(AND(BE215=3,LEFT(BF215,1)="1"),0.055,VLOOKUP(AU215,INDEX((係数_乗用_ガソリン,係数_乗用_CNG,係数_乗用_軽油,係数_乗用_メタノール,係数_乗用_LPG),1,1,BE215):INDEX((係数_乗用_ガソリン,係数_乗用_CNG,係数_乗用_軽油,係数_乗用_メタノール,係数_乗用_LPG),125,5,BE215),5,FALSE)))))</f>
        <v/>
      </c>
      <c r="AN215" s="461" t="str">
        <f t="shared" si="127"/>
        <v/>
      </c>
      <c r="AO215" s="462" t="str">
        <f t="shared" si="128"/>
        <v/>
      </c>
      <c r="AP215" s="463" t="str">
        <f t="shared" si="129"/>
        <v/>
      </c>
      <c r="AQ215" s="464"/>
      <c r="AR215" s="619"/>
      <c r="AS215" s="465" t="str">
        <f t="shared" si="108"/>
        <v/>
      </c>
      <c r="AT215" s="465" t="str">
        <f t="shared" si="109"/>
        <v/>
      </c>
      <c r="AU215" s="466" t="str">
        <f t="shared" si="110"/>
        <v/>
      </c>
      <c r="AV215" s="467" t="str">
        <f t="shared" si="111"/>
        <v/>
      </c>
      <c r="AW215" s="467" t="str">
        <f t="shared" si="112"/>
        <v/>
      </c>
      <c r="AX215" s="467" t="str">
        <f t="shared" si="113"/>
        <v/>
      </c>
      <c r="AY215" s="467" t="str">
        <f t="shared" si="114"/>
        <v/>
      </c>
      <c r="AZ215" s="467" t="str">
        <f t="shared" si="115"/>
        <v/>
      </c>
      <c r="BA215" s="468" t="str">
        <f>IF(AS215="","",IF(OR(AU215="",AU215="-"),"－",IF(OR(AZ215=8,AZ215=9),"",IF(OR(AW215=3,AW215=4,AW215=5,AW215=6),VLOOKUP(AU215,INDEX((係数_バス貨物_ガソリン,係数_バス貨物_CNG,係数_バス貨物_軽油,係数_バス貨物_メタノール,係数_バス貨物_LPG),MATCH(AY215,【参考】排出係数!$AI$4:$AI$671,1),1,BE215):INDEX((係数_バス貨物_ガソリン,係数_バス貨物_CNG,係数_バス貨物_軽油,係数_バス貨物_メタノール,係数_バス貨物_LPG),MATCH(AY215+1,【参考】排出係数!$AI$4:$AI$671,1)-1,5,BE215),2,FALSE),IF(OR(AW215=1,AW215=2),VLOOKUP(AU215,INDEX((係数_乗用_ガソリン,係数_乗用_CNG,係数_乗用_軽油,係数_乗用_メタノール,係数_乗用_LPG),1,1,BE215):INDEX((係数_乗用_ガソリン,係数_乗用_CNG,係数_乗用_軽油,係数_乗用_メタノール,係数_乗用_LPG),125,5,BE215),2,FALSE))))))</f>
        <v/>
      </c>
      <c r="BB215" s="468" t="str">
        <f>IF(T215="","",IF(OR(AU215="",AU215="-"),"－",IF(OR(AZ215=8,AZ215=9),"",IF(OR(AW215=3,AW215=4,AW215=5,AW215=6),VLOOKUP(AU215,INDEX((係数_バス貨物_ガソリン,係数_バス貨物_CNG,係数_バス貨物_軽油,係数_バス貨物_メタノール,係数_バス貨物_LPG),MATCH(AY215,【参考】排出係数!$AI$4:$AI$671,1),1,BE215):INDEX((係数_バス貨物_ガソリン,係数_バス貨物_CNG,係数_バス貨物_軽油,係数_バス貨物_メタノール,係数_バス貨物_LPG),MATCH(AY215+1,【参考】排出係数!$AI$4:$AI$671,1)-1,5,BE215),3,FALSE),IF(OR(AW215=1,AW215=2),VLOOKUP(AU215,INDEX((係数_乗用_ガソリン,係数_乗用_CNG,係数_乗用_軽油,係数_乗用_メタノール,係数_乗用_LPG),1,1,BE215):INDEX((係数_乗用_ガソリン,係数_乗用_CNG,係数_乗用_軽油,係数_乗用_メタノール,係数_乗用_LPG),125,5,BE215),3,FALSE))))))</f>
        <v/>
      </c>
      <c r="BC215" s="467" t="str">
        <f t="shared" si="116"/>
        <v/>
      </c>
      <c r="BD215" s="567" t="str">
        <f t="shared" si="117"/>
        <v/>
      </c>
      <c r="BE215" s="467" t="str">
        <f t="shared" si="118"/>
        <v/>
      </c>
      <c r="BF215" s="469" t="str">
        <f t="shared" ca="1" si="119"/>
        <v/>
      </c>
      <c r="BG215" s="469" t="str">
        <f t="shared" ca="1" si="120"/>
        <v/>
      </c>
      <c r="BH215" s="467" t="str">
        <f t="shared" si="121"/>
        <v/>
      </c>
      <c r="BI215" s="467" t="str">
        <f t="shared" ca="1" si="122"/>
        <v/>
      </c>
      <c r="BJ215" s="469" t="str">
        <f t="shared" si="123"/>
        <v/>
      </c>
      <c r="BK215" s="470" t="str">
        <f t="shared" si="103"/>
        <v/>
      </c>
      <c r="BL215" s="775" t="str">
        <f t="shared" si="124"/>
        <v/>
      </c>
      <c r="BM215" s="775" t="str">
        <f t="shared" si="125"/>
        <v/>
      </c>
    </row>
    <row r="216" spans="1:65">
      <c r="A216" s="473">
        <v>160</v>
      </c>
      <c r="B216" s="132"/>
      <c r="C216" s="332"/>
      <c r="D216" s="333"/>
      <c r="E216" s="333"/>
      <c r="F216" s="334"/>
      <c r="G216" s="337"/>
      <c r="H216" s="131"/>
      <c r="I216" s="337"/>
      <c r="J216" s="131"/>
      <c r="K216" s="458" t="str">
        <f t="shared" si="92"/>
        <v/>
      </c>
      <c r="L216" s="458">
        <f t="shared" si="104"/>
        <v>0</v>
      </c>
      <c r="M216" s="458">
        <f t="shared" si="105"/>
        <v>0</v>
      </c>
      <c r="N216" s="459" t="str">
        <f t="shared" si="93"/>
        <v/>
      </c>
      <c r="O216" s="459" t="str">
        <f t="shared" si="94"/>
        <v/>
      </c>
      <c r="P216" s="459" t="str">
        <f t="shared" si="95"/>
        <v/>
      </c>
      <c r="Q216" s="459" t="str">
        <f t="shared" si="96"/>
        <v/>
      </c>
      <c r="R216" s="459" t="str">
        <f t="shared" si="97"/>
        <v/>
      </c>
      <c r="S216" s="459" t="str">
        <f t="shared" si="98"/>
        <v/>
      </c>
      <c r="T216" s="566" t="str">
        <f t="shared" si="106"/>
        <v/>
      </c>
      <c r="U216" s="702"/>
      <c r="V216" s="132"/>
      <c r="W216" s="133"/>
      <c r="X216" s="134"/>
      <c r="Y216" s="135"/>
      <c r="Z216" s="137"/>
      <c r="AA216" s="136"/>
      <c r="AB216" s="566" t="str">
        <f t="shared" si="99"/>
        <v/>
      </c>
      <c r="AC216" s="568" t="str">
        <f t="shared" si="107"/>
        <v/>
      </c>
      <c r="AD216" s="137"/>
      <c r="AE216" s="137"/>
      <c r="AF216" s="138"/>
      <c r="AG216" s="138"/>
      <c r="AH216" s="592" t="str">
        <f t="shared" si="100"/>
        <v/>
      </c>
      <c r="AI216" s="592" t="str">
        <f t="shared" si="101"/>
        <v/>
      </c>
      <c r="AJ216" s="592" t="str">
        <f t="shared" si="102"/>
        <v/>
      </c>
      <c r="AK216" s="460" t="str">
        <f>IF(AU216="","",IF(OR(AZ216=8,AZ216=9),0,IF(OR(AW216=3,AW216=4,AW216=5,AW216=6),IF(LEFT(BF216,1)="1",INDEX(係数_NOX・PM低減,MATCH(AY216,【参考】排出係数!$AI$801:$AI$804,1),1),VLOOKUP(AU216,INDEX((係数_バス貨物_ガソリン,係数_バス貨物_CNG,係数_バス貨物_軽油,係数_バス貨物_メタノール,係数_バス貨物_LPG),MATCH(AY216,【参考】排出係数!$AI$4:$AI$671,1),1,BE216):INDEX((係数_バス貨物_ガソリン,係数_バス貨物_CNG,係数_バス貨物_軽油,係数_バス貨物_メタノール,係数_バス貨物_LPG),MATCH(AY216+1,【参考】排出係数!$AI$4:$AI$671,1)-1,5,BE216),4,FALSE)),IF(AND(BE216=3,LEFT(BF216,1)="1"),0.48,VLOOKUP(AU216,INDEX((係数_乗用_ガソリン,係数_乗用_CNG,係数_乗用_軽油,係数_乗用_メタノール,係数_乗用_LPG),1,1,BE216):INDEX((係数_乗用_ガソリン,係数_乗用_CNG,係数_乗用_軽油,係数_乗用_メタノール,係数_乗用_LPG),125,5,BE216),4,FALSE)))))</f>
        <v/>
      </c>
      <c r="AL216" s="461" t="str">
        <f t="shared" si="126"/>
        <v/>
      </c>
      <c r="AM216" s="460" t="str">
        <f>IF(AU216="","",IF(OR(AZ216=8,AZ216=9),0,IF(OR(AW216=3,AW216=4,AW216=5,AW216=6),IF(LEFT(BH216,1)="1",INDEX(係数_PM低減,MATCH(AY216,【参考】排出係数!$AI$801:$AI$804,1),MATCH(BI216,【参考】排出係数!$AL$798:$AO$798,1)),VLOOKUP(AU216,INDEX((係数_バス貨物_ガソリン,係数_バス貨物_CNG,係数_バス貨物_軽油,係数_バス貨物_メタノール,係数_バス貨物_LPG),MATCH(AY216,【参考】排出係数!$AI$4:$AI$671,1),1,BE216):INDEX((係数_バス貨物_ガソリン,係数_バス貨物_CNG,係数_バス貨物_軽油,係数_バス貨物_メタノール,係数_バス貨物_LPG),MATCH(AY216+1,【参考】排出係数!$AI$4:$AI$671,1)-1,5,BE216),5,FALSE)),IF(AND(BE216=3,LEFT(BF216,1)="1"),0.055,VLOOKUP(AU216,INDEX((係数_乗用_ガソリン,係数_乗用_CNG,係数_乗用_軽油,係数_乗用_メタノール,係数_乗用_LPG),1,1,BE216):INDEX((係数_乗用_ガソリン,係数_乗用_CNG,係数_乗用_軽油,係数_乗用_メタノール,係数_乗用_LPG),125,5,BE216),5,FALSE)))))</f>
        <v/>
      </c>
      <c r="AN216" s="461" t="str">
        <f t="shared" si="127"/>
        <v/>
      </c>
      <c r="AO216" s="462" t="str">
        <f t="shared" si="128"/>
        <v/>
      </c>
      <c r="AP216" s="463" t="str">
        <f t="shared" si="129"/>
        <v/>
      </c>
      <c r="AQ216" s="464"/>
      <c r="AR216" s="619"/>
      <c r="AS216" s="465" t="str">
        <f t="shared" si="108"/>
        <v/>
      </c>
      <c r="AT216" s="465" t="str">
        <f t="shared" si="109"/>
        <v/>
      </c>
      <c r="AU216" s="466" t="str">
        <f t="shared" si="110"/>
        <v/>
      </c>
      <c r="AV216" s="467" t="str">
        <f t="shared" si="111"/>
        <v/>
      </c>
      <c r="AW216" s="467" t="str">
        <f t="shared" si="112"/>
        <v/>
      </c>
      <c r="AX216" s="467" t="str">
        <f t="shared" si="113"/>
        <v/>
      </c>
      <c r="AY216" s="467" t="str">
        <f t="shared" si="114"/>
        <v/>
      </c>
      <c r="AZ216" s="467" t="str">
        <f t="shared" si="115"/>
        <v/>
      </c>
      <c r="BA216" s="468" t="str">
        <f>IF(AS216="","",IF(OR(AU216="",AU216="-"),"－",IF(OR(AZ216=8,AZ216=9),"",IF(OR(AW216=3,AW216=4,AW216=5,AW216=6),VLOOKUP(AU216,INDEX((係数_バス貨物_ガソリン,係数_バス貨物_CNG,係数_バス貨物_軽油,係数_バス貨物_メタノール,係数_バス貨物_LPG),MATCH(AY216,【参考】排出係数!$AI$4:$AI$671,1),1,BE216):INDEX((係数_バス貨物_ガソリン,係数_バス貨物_CNG,係数_バス貨物_軽油,係数_バス貨物_メタノール,係数_バス貨物_LPG),MATCH(AY216+1,【参考】排出係数!$AI$4:$AI$671,1)-1,5,BE216),2,FALSE),IF(OR(AW216=1,AW216=2),VLOOKUP(AU216,INDEX((係数_乗用_ガソリン,係数_乗用_CNG,係数_乗用_軽油,係数_乗用_メタノール,係数_乗用_LPG),1,1,BE216):INDEX((係数_乗用_ガソリン,係数_乗用_CNG,係数_乗用_軽油,係数_乗用_メタノール,係数_乗用_LPG),125,5,BE216),2,FALSE))))))</f>
        <v/>
      </c>
      <c r="BB216" s="468" t="str">
        <f>IF(T216="","",IF(OR(AU216="",AU216="-"),"－",IF(OR(AZ216=8,AZ216=9),"",IF(OR(AW216=3,AW216=4,AW216=5,AW216=6),VLOOKUP(AU216,INDEX((係数_バス貨物_ガソリン,係数_バス貨物_CNG,係数_バス貨物_軽油,係数_バス貨物_メタノール,係数_バス貨物_LPG),MATCH(AY216,【参考】排出係数!$AI$4:$AI$671,1),1,BE216):INDEX((係数_バス貨物_ガソリン,係数_バス貨物_CNG,係数_バス貨物_軽油,係数_バス貨物_メタノール,係数_バス貨物_LPG),MATCH(AY216+1,【参考】排出係数!$AI$4:$AI$671,1)-1,5,BE216),3,FALSE),IF(OR(AW216=1,AW216=2),VLOOKUP(AU216,INDEX((係数_乗用_ガソリン,係数_乗用_CNG,係数_乗用_軽油,係数_乗用_メタノール,係数_乗用_LPG),1,1,BE216):INDEX((係数_乗用_ガソリン,係数_乗用_CNG,係数_乗用_軽油,係数_乗用_メタノール,係数_乗用_LPG),125,5,BE216),3,FALSE))))))</f>
        <v/>
      </c>
      <c r="BC216" s="467" t="str">
        <f t="shared" si="116"/>
        <v/>
      </c>
      <c r="BD216" s="567" t="str">
        <f t="shared" si="117"/>
        <v/>
      </c>
      <c r="BE216" s="467" t="str">
        <f t="shared" si="118"/>
        <v/>
      </c>
      <c r="BF216" s="469" t="str">
        <f t="shared" ca="1" si="119"/>
        <v/>
      </c>
      <c r="BG216" s="469" t="str">
        <f t="shared" ca="1" si="120"/>
        <v/>
      </c>
      <c r="BH216" s="467" t="str">
        <f t="shared" si="121"/>
        <v/>
      </c>
      <c r="BI216" s="467" t="str">
        <f t="shared" ca="1" si="122"/>
        <v/>
      </c>
      <c r="BJ216" s="469" t="str">
        <f t="shared" si="123"/>
        <v/>
      </c>
      <c r="BK216" s="470" t="str">
        <f t="shared" si="103"/>
        <v/>
      </c>
      <c r="BL216" s="775" t="str">
        <f t="shared" si="124"/>
        <v/>
      </c>
      <c r="BM216" s="775" t="str">
        <f t="shared" si="125"/>
        <v/>
      </c>
    </row>
    <row r="217" spans="1:65">
      <c r="A217" s="473">
        <v>161</v>
      </c>
      <c r="B217" s="132"/>
      <c r="C217" s="332"/>
      <c r="D217" s="333"/>
      <c r="E217" s="333"/>
      <c r="F217" s="334"/>
      <c r="G217" s="337"/>
      <c r="H217" s="131"/>
      <c r="I217" s="337"/>
      <c r="J217" s="131"/>
      <c r="K217" s="458" t="str">
        <f t="shared" si="92"/>
        <v/>
      </c>
      <c r="L217" s="458">
        <f t="shared" si="104"/>
        <v>0</v>
      </c>
      <c r="M217" s="458">
        <f t="shared" si="105"/>
        <v>0</v>
      </c>
      <c r="N217" s="459" t="str">
        <f t="shared" si="93"/>
        <v/>
      </c>
      <c r="O217" s="459" t="str">
        <f t="shared" si="94"/>
        <v/>
      </c>
      <c r="P217" s="459" t="str">
        <f t="shared" si="95"/>
        <v/>
      </c>
      <c r="Q217" s="459" t="str">
        <f t="shared" si="96"/>
        <v/>
      </c>
      <c r="R217" s="459" t="str">
        <f t="shared" si="97"/>
        <v/>
      </c>
      <c r="S217" s="459" t="str">
        <f t="shared" si="98"/>
        <v/>
      </c>
      <c r="T217" s="566" t="str">
        <f t="shared" si="106"/>
        <v/>
      </c>
      <c r="U217" s="702"/>
      <c r="V217" s="132"/>
      <c r="W217" s="133"/>
      <c r="X217" s="134"/>
      <c r="Y217" s="135"/>
      <c r="Z217" s="137"/>
      <c r="AA217" s="136"/>
      <c r="AB217" s="566" t="str">
        <f t="shared" si="99"/>
        <v/>
      </c>
      <c r="AC217" s="568" t="str">
        <f t="shared" si="107"/>
        <v/>
      </c>
      <c r="AD217" s="137"/>
      <c r="AE217" s="137"/>
      <c r="AF217" s="138"/>
      <c r="AG217" s="138"/>
      <c r="AH217" s="592" t="str">
        <f t="shared" si="100"/>
        <v/>
      </c>
      <c r="AI217" s="592" t="str">
        <f t="shared" si="101"/>
        <v/>
      </c>
      <c r="AJ217" s="592" t="str">
        <f t="shared" si="102"/>
        <v/>
      </c>
      <c r="AK217" s="460" t="str">
        <f>IF(AU217="","",IF(OR(AZ217=8,AZ217=9),0,IF(OR(AW217=3,AW217=4,AW217=5,AW217=6),IF(LEFT(BF217,1)="1",INDEX(係数_NOX・PM低減,MATCH(AY217,【参考】排出係数!$AI$801:$AI$804,1),1),VLOOKUP(AU217,INDEX((係数_バス貨物_ガソリン,係数_バス貨物_CNG,係数_バス貨物_軽油,係数_バス貨物_メタノール,係数_バス貨物_LPG),MATCH(AY217,【参考】排出係数!$AI$4:$AI$671,1),1,BE217):INDEX((係数_バス貨物_ガソリン,係数_バス貨物_CNG,係数_バス貨物_軽油,係数_バス貨物_メタノール,係数_バス貨物_LPG),MATCH(AY217+1,【参考】排出係数!$AI$4:$AI$671,1)-1,5,BE217),4,FALSE)),IF(AND(BE217=3,LEFT(BF217,1)="1"),0.48,VLOOKUP(AU217,INDEX((係数_乗用_ガソリン,係数_乗用_CNG,係数_乗用_軽油,係数_乗用_メタノール,係数_乗用_LPG),1,1,BE217):INDEX((係数_乗用_ガソリン,係数_乗用_CNG,係数_乗用_軽油,係数_乗用_メタノール,係数_乗用_LPG),125,5,BE217),4,FALSE)))))</f>
        <v/>
      </c>
      <c r="AL217" s="461" t="str">
        <f t="shared" si="126"/>
        <v/>
      </c>
      <c r="AM217" s="460" t="str">
        <f>IF(AU217="","",IF(OR(AZ217=8,AZ217=9),0,IF(OR(AW217=3,AW217=4,AW217=5,AW217=6),IF(LEFT(BH217,1)="1",INDEX(係数_PM低減,MATCH(AY217,【参考】排出係数!$AI$801:$AI$804,1),MATCH(BI217,【参考】排出係数!$AL$798:$AO$798,1)),VLOOKUP(AU217,INDEX((係数_バス貨物_ガソリン,係数_バス貨物_CNG,係数_バス貨物_軽油,係数_バス貨物_メタノール,係数_バス貨物_LPG),MATCH(AY217,【参考】排出係数!$AI$4:$AI$671,1),1,BE217):INDEX((係数_バス貨物_ガソリン,係数_バス貨物_CNG,係数_バス貨物_軽油,係数_バス貨物_メタノール,係数_バス貨物_LPG),MATCH(AY217+1,【参考】排出係数!$AI$4:$AI$671,1)-1,5,BE217),5,FALSE)),IF(AND(BE217=3,LEFT(BF217,1)="1"),0.055,VLOOKUP(AU217,INDEX((係数_乗用_ガソリン,係数_乗用_CNG,係数_乗用_軽油,係数_乗用_メタノール,係数_乗用_LPG),1,1,BE217):INDEX((係数_乗用_ガソリン,係数_乗用_CNG,係数_乗用_軽油,係数_乗用_メタノール,係数_乗用_LPG),125,5,BE217),5,FALSE)))))</f>
        <v/>
      </c>
      <c r="AN217" s="461" t="str">
        <f t="shared" si="127"/>
        <v/>
      </c>
      <c r="AO217" s="462" t="str">
        <f t="shared" si="128"/>
        <v/>
      </c>
      <c r="AP217" s="463" t="str">
        <f t="shared" si="129"/>
        <v/>
      </c>
      <c r="AQ217" s="464"/>
      <c r="AR217" s="619"/>
      <c r="AS217" s="465" t="str">
        <f t="shared" si="108"/>
        <v/>
      </c>
      <c r="AT217" s="465" t="str">
        <f t="shared" si="109"/>
        <v/>
      </c>
      <c r="AU217" s="466" t="str">
        <f t="shared" si="110"/>
        <v/>
      </c>
      <c r="AV217" s="467" t="str">
        <f t="shared" si="111"/>
        <v/>
      </c>
      <c r="AW217" s="467" t="str">
        <f t="shared" si="112"/>
        <v/>
      </c>
      <c r="AX217" s="467" t="str">
        <f t="shared" si="113"/>
        <v/>
      </c>
      <c r="AY217" s="467" t="str">
        <f t="shared" si="114"/>
        <v/>
      </c>
      <c r="AZ217" s="467" t="str">
        <f t="shared" si="115"/>
        <v/>
      </c>
      <c r="BA217" s="468" t="str">
        <f>IF(AS217="","",IF(OR(AU217="",AU217="-"),"－",IF(OR(AZ217=8,AZ217=9),"",IF(OR(AW217=3,AW217=4,AW217=5,AW217=6),VLOOKUP(AU217,INDEX((係数_バス貨物_ガソリン,係数_バス貨物_CNG,係数_バス貨物_軽油,係数_バス貨物_メタノール,係数_バス貨物_LPG),MATCH(AY217,【参考】排出係数!$AI$4:$AI$671,1),1,BE217):INDEX((係数_バス貨物_ガソリン,係数_バス貨物_CNG,係数_バス貨物_軽油,係数_バス貨物_メタノール,係数_バス貨物_LPG),MATCH(AY217+1,【参考】排出係数!$AI$4:$AI$671,1)-1,5,BE217),2,FALSE),IF(OR(AW217=1,AW217=2),VLOOKUP(AU217,INDEX((係数_乗用_ガソリン,係数_乗用_CNG,係数_乗用_軽油,係数_乗用_メタノール,係数_乗用_LPG),1,1,BE217):INDEX((係数_乗用_ガソリン,係数_乗用_CNG,係数_乗用_軽油,係数_乗用_メタノール,係数_乗用_LPG),125,5,BE217),2,FALSE))))))</f>
        <v/>
      </c>
      <c r="BB217" s="468" t="str">
        <f>IF(T217="","",IF(OR(AU217="",AU217="-"),"－",IF(OR(AZ217=8,AZ217=9),"",IF(OR(AW217=3,AW217=4,AW217=5,AW217=6),VLOOKUP(AU217,INDEX((係数_バス貨物_ガソリン,係数_バス貨物_CNG,係数_バス貨物_軽油,係数_バス貨物_メタノール,係数_バス貨物_LPG),MATCH(AY217,【参考】排出係数!$AI$4:$AI$671,1),1,BE217):INDEX((係数_バス貨物_ガソリン,係数_バス貨物_CNG,係数_バス貨物_軽油,係数_バス貨物_メタノール,係数_バス貨物_LPG),MATCH(AY217+1,【参考】排出係数!$AI$4:$AI$671,1)-1,5,BE217),3,FALSE),IF(OR(AW217=1,AW217=2),VLOOKUP(AU217,INDEX((係数_乗用_ガソリン,係数_乗用_CNG,係数_乗用_軽油,係数_乗用_メタノール,係数_乗用_LPG),1,1,BE217):INDEX((係数_乗用_ガソリン,係数_乗用_CNG,係数_乗用_軽油,係数_乗用_メタノール,係数_乗用_LPG),125,5,BE217),3,FALSE))))))</f>
        <v/>
      </c>
      <c r="BC217" s="467" t="str">
        <f t="shared" si="116"/>
        <v/>
      </c>
      <c r="BD217" s="567" t="str">
        <f t="shared" si="117"/>
        <v/>
      </c>
      <c r="BE217" s="467" t="str">
        <f t="shared" si="118"/>
        <v/>
      </c>
      <c r="BF217" s="469" t="str">
        <f t="shared" ca="1" si="119"/>
        <v/>
      </c>
      <c r="BG217" s="469" t="str">
        <f t="shared" ca="1" si="120"/>
        <v/>
      </c>
      <c r="BH217" s="467" t="str">
        <f t="shared" si="121"/>
        <v/>
      </c>
      <c r="BI217" s="467" t="str">
        <f t="shared" ca="1" si="122"/>
        <v/>
      </c>
      <c r="BJ217" s="469" t="str">
        <f t="shared" si="123"/>
        <v/>
      </c>
      <c r="BK217" s="470" t="str">
        <f t="shared" si="103"/>
        <v/>
      </c>
      <c r="BL217" s="775" t="str">
        <f t="shared" si="124"/>
        <v/>
      </c>
      <c r="BM217" s="775" t="str">
        <f t="shared" si="125"/>
        <v/>
      </c>
    </row>
    <row r="218" spans="1:65">
      <c r="A218" s="473">
        <v>162</v>
      </c>
      <c r="B218" s="132"/>
      <c r="C218" s="332"/>
      <c r="D218" s="333"/>
      <c r="E218" s="333"/>
      <c r="F218" s="334"/>
      <c r="G218" s="337"/>
      <c r="H218" s="131"/>
      <c r="I218" s="337"/>
      <c r="J218" s="131"/>
      <c r="K218" s="458" t="str">
        <f t="shared" si="92"/>
        <v/>
      </c>
      <c r="L218" s="458">
        <f t="shared" si="104"/>
        <v>0</v>
      </c>
      <c r="M218" s="458">
        <f t="shared" si="105"/>
        <v>0</v>
      </c>
      <c r="N218" s="459" t="str">
        <f t="shared" si="93"/>
        <v/>
      </c>
      <c r="O218" s="459" t="str">
        <f t="shared" si="94"/>
        <v/>
      </c>
      <c r="P218" s="459" t="str">
        <f t="shared" si="95"/>
        <v/>
      </c>
      <c r="Q218" s="459" t="str">
        <f t="shared" si="96"/>
        <v/>
      </c>
      <c r="R218" s="459" t="str">
        <f t="shared" si="97"/>
        <v/>
      </c>
      <c r="S218" s="459" t="str">
        <f t="shared" si="98"/>
        <v/>
      </c>
      <c r="T218" s="566" t="str">
        <f t="shared" si="106"/>
        <v/>
      </c>
      <c r="U218" s="702"/>
      <c r="V218" s="132"/>
      <c r="W218" s="133"/>
      <c r="X218" s="134"/>
      <c r="Y218" s="135"/>
      <c r="Z218" s="137"/>
      <c r="AA218" s="136"/>
      <c r="AB218" s="566" t="str">
        <f t="shared" si="99"/>
        <v/>
      </c>
      <c r="AC218" s="568" t="str">
        <f t="shared" si="107"/>
        <v/>
      </c>
      <c r="AD218" s="137"/>
      <c r="AE218" s="137"/>
      <c r="AF218" s="138"/>
      <c r="AG218" s="138"/>
      <c r="AH218" s="592" t="str">
        <f t="shared" si="100"/>
        <v/>
      </c>
      <c r="AI218" s="592" t="str">
        <f t="shared" si="101"/>
        <v/>
      </c>
      <c r="AJ218" s="592" t="str">
        <f t="shared" si="102"/>
        <v/>
      </c>
      <c r="AK218" s="460" t="str">
        <f>IF(AU218="","",IF(OR(AZ218=8,AZ218=9),0,IF(OR(AW218=3,AW218=4,AW218=5,AW218=6),IF(LEFT(BF218,1)="1",INDEX(係数_NOX・PM低減,MATCH(AY218,【参考】排出係数!$AI$801:$AI$804,1),1),VLOOKUP(AU218,INDEX((係数_バス貨物_ガソリン,係数_バス貨物_CNG,係数_バス貨物_軽油,係数_バス貨物_メタノール,係数_バス貨物_LPG),MATCH(AY218,【参考】排出係数!$AI$4:$AI$671,1),1,BE218):INDEX((係数_バス貨物_ガソリン,係数_バス貨物_CNG,係数_バス貨物_軽油,係数_バス貨物_メタノール,係数_バス貨物_LPG),MATCH(AY218+1,【参考】排出係数!$AI$4:$AI$671,1)-1,5,BE218),4,FALSE)),IF(AND(BE218=3,LEFT(BF218,1)="1"),0.48,VLOOKUP(AU218,INDEX((係数_乗用_ガソリン,係数_乗用_CNG,係数_乗用_軽油,係数_乗用_メタノール,係数_乗用_LPG),1,1,BE218):INDEX((係数_乗用_ガソリン,係数_乗用_CNG,係数_乗用_軽油,係数_乗用_メタノール,係数_乗用_LPG),125,5,BE218),4,FALSE)))))</f>
        <v/>
      </c>
      <c r="AL218" s="461" t="str">
        <f t="shared" si="126"/>
        <v/>
      </c>
      <c r="AM218" s="460" t="str">
        <f>IF(AU218="","",IF(OR(AZ218=8,AZ218=9),0,IF(OR(AW218=3,AW218=4,AW218=5,AW218=6),IF(LEFT(BH218,1)="1",INDEX(係数_PM低減,MATCH(AY218,【参考】排出係数!$AI$801:$AI$804,1),MATCH(BI218,【参考】排出係数!$AL$798:$AO$798,1)),VLOOKUP(AU218,INDEX((係数_バス貨物_ガソリン,係数_バス貨物_CNG,係数_バス貨物_軽油,係数_バス貨物_メタノール,係数_バス貨物_LPG),MATCH(AY218,【参考】排出係数!$AI$4:$AI$671,1),1,BE218):INDEX((係数_バス貨物_ガソリン,係数_バス貨物_CNG,係数_バス貨物_軽油,係数_バス貨物_メタノール,係数_バス貨物_LPG),MATCH(AY218+1,【参考】排出係数!$AI$4:$AI$671,1)-1,5,BE218),5,FALSE)),IF(AND(BE218=3,LEFT(BF218,1)="1"),0.055,VLOOKUP(AU218,INDEX((係数_乗用_ガソリン,係数_乗用_CNG,係数_乗用_軽油,係数_乗用_メタノール,係数_乗用_LPG),1,1,BE218):INDEX((係数_乗用_ガソリン,係数_乗用_CNG,係数_乗用_軽油,係数_乗用_メタノール,係数_乗用_LPG),125,5,BE218),5,FALSE)))))</f>
        <v/>
      </c>
      <c r="AN218" s="461" t="str">
        <f t="shared" si="127"/>
        <v/>
      </c>
      <c r="AO218" s="462" t="str">
        <f t="shared" si="128"/>
        <v/>
      </c>
      <c r="AP218" s="463" t="str">
        <f t="shared" si="129"/>
        <v/>
      </c>
      <c r="AQ218" s="464"/>
      <c r="AR218" s="619"/>
      <c r="AS218" s="465" t="str">
        <f t="shared" si="108"/>
        <v/>
      </c>
      <c r="AT218" s="465" t="str">
        <f t="shared" si="109"/>
        <v/>
      </c>
      <c r="AU218" s="466" t="str">
        <f t="shared" si="110"/>
        <v/>
      </c>
      <c r="AV218" s="467" t="str">
        <f t="shared" si="111"/>
        <v/>
      </c>
      <c r="AW218" s="467" t="str">
        <f t="shared" si="112"/>
        <v/>
      </c>
      <c r="AX218" s="467" t="str">
        <f t="shared" si="113"/>
        <v/>
      </c>
      <c r="AY218" s="467" t="str">
        <f t="shared" si="114"/>
        <v/>
      </c>
      <c r="AZ218" s="467" t="str">
        <f t="shared" si="115"/>
        <v/>
      </c>
      <c r="BA218" s="468" t="str">
        <f>IF(AS218="","",IF(OR(AU218="",AU218="-"),"－",IF(OR(AZ218=8,AZ218=9),"",IF(OR(AW218=3,AW218=4,AW218=5,AW218=6),VLOOKUP(AU218,INDEX((係数_バス貨物_ガソリン,係数_バス貨物_CNG,係数_バス貨物_軽油,係数_バス貨物_メタノール,係数_バス貨物_LPG),MATCH(AY218,【参考】排出係数!$AI$4:$AI$671,1),1,BE218):INDEX((係数_バス貨物_ガソリン,係数_バス貨物_CNG,係数_バス貨物_軽油,係数_バス貨物_メタノール,係数_バス貨物_LPG),MATCH(AY218+1,【参考】排出係数!$AI$4:$AI$671,1)-1,5,BE218),2,FALSE),IF(OR(AW218=1,AW218=2),VLOOKUP(AU218,INDEX((係数_乗用_ガソリン,係数_乗用_CNG,係数_乗用_軽油,係数_乗用_メタノール,係数_乗用_LPG),1,1,BE218):INDEX((係数_乗用_ガソリン,係数_乗用_CNG,係数_乗用_軽油,係数_乗用_メタノール,係数_乗用_LPG),125,5,BE218),2,FALSE))))))</f>
        <v/>
      </c>
      <c r="BB218" s="468" t="str">
        <f>IF(T218="","",IF(OR(AU218="",AU218="-"),"－",IF(OR(AZ218=8,AZ218=9),"",IF(OR(AW218=3,AW218=4,AW218=5,AW218=6),VLOOKUP(AU218,INDEX((係数_バス貨物_ガソリン,係数_バス貨物_CNG,係数_バス貨物_軽油,係数_バス貨物_メタノール,係数_バス貨物_LPG),MATCH(AY218,【参考】排出係数!$AI$4:$AI$671,1),1,BE218):INDEX((係数_バス貨物_ガソリン,係数_バス貨物_CNG,係数_バス貨物_軽油,係数_バス貨物_メタノール,係数_バス貨物_LPG),MATCH(AY218+1,【参考】排出係数!$AI$4:$AI$671,1)-1,5,BE218),3,FALSE),IF(OR(AW218=1,AW218=2),VLOOKUP(AU218,INDEX((係数_乗用_ガソリン,係数_乗用_CNG,係数_乗用_軽油,係数_乗用_メタノール,係数_乗用_LPG),1,1,BE218):INDEX((係数_乗用_ガソリン,係数_乗用_CNG,係数_乗用_軽油,係数_乗用_メタノール,係数_乗用_LPG),125,5,BE218),3,FALSE))))))</f>
        <v/>
      </c>
      <c r="BC218" s="467" t="str">
        <f t="shared" si="116"/>
        <v/>
      </c>
      <c r="BD218" s="567" t="str">
        <f t="shared" si="117"/>
        <v/>
      </c>
      <c r="BE218" s="467" t="str">
        <f t="shared" si="118"/>
        <v/>
      </c>
      <c r="BF218" s="469" t="str">
        <f t="shared" ca="1" si="119"/>
        <v/>
      </c>
      <c r="BG218" s="469" t="str">
        <f t="shared" ca="1" si="120"/>
        <v/>
      </c>
      <c r="BH218" s="467" t="str">
        <f t="shared" si="121"/>
        <v/>
      </c>
      <c r="BI218" s="467" t="str">
        <f t="shared" ca="1" si="122"/>
        <v/>
      </c>
      <c r="BJ218" s="469" t="str">
        <f t="shared" si="123"/>
        <v/>
      </c>
      <c r="BK218" s="470" t="str">
        <f t="shared" si="103"/>
        <v/>
      </c>
      <c r="BL218" s="775" t="str">
        <f t="shared" si="124"/>
        <v/>
      </c>
      <c r="BM218" s="775" t="str">
        <f t="shared" si="125"/>
        <v/>
      </c>
    </row>
    <row r="219" spans="1:65">
      <c r="A219" s="473">
        <v>163</v>
      </c>
      <c r="B219" s="132"/>
      <c r="C219" s="332"/>
      <c r="D219" s="333"/>
      <c r="E219" s="333"/>
      <c r="F219" s="334"/>
      <c r="G219" s="337"/>
      <c r="H219" s="131"/>
      <c r="I219" s="337"/>
      <c r="J219" s="131"/>
      <c r="K219" s="458" t="str">
        <f t="shared" si="92"/>
        <v/>
      </c>
      <c r="L219" s="458">
        <f t="shared" si="104"/>
        <v>0</v>
      </c>
      <c r="M219" s="458">
        <f t="shared" si="105"/>
        <v>0</v>
      </c>
      <c r="N219" s="459" t="str">
        <f t="shared" si="93"/>
        <v/>
      </c>
      <c r="O219" s="459" t="str">
        <f t="shared" si="94"/>
        <v/>
      </c>
      <c r="P219" s="459" t="str">
        <f t="shared" si="95"/>
        <v/>
      </c>
      <c r="Q219" s="459" t="str">
        <f t="shared" si="96"/>
        <v/>
      </c>
      <c r="R219" s="459" t="str">
        <f t="shared" si="97"/>
        <v/>
      </c>
      <c r="S219" s="459" t="str">
        <f t="shared" si="98"/>
        <v/>
      </c>
      <c r="T219" s="566" t="str">
        <f t="shared" si="106"/>
        <v/>
      </c>
      <c r="U219" s="702"/>
      <c r="V219" s="132"/>
      <c r="W219" s="133"/>
      <c r="X219" s="134"/>
      <c r="Y219" s="135"/>
      <c r="Z219" s="137"/>
      <c r="AA219" s="136"/>
      <c r="AB219" s="566" t="str">
        <f t="shared" si="99"/>
        <v/>
      </c>
      <c r="AC219" s="568" t="str">
        <f t="shared" si="107"/>
        <v/>
      </c>
      <c r="AD219" s="137"/>
      <c r="AE219" s="137"/>
      <c r="AF219" s="138"/>
      <c r="AG219" s="138"/>
      <c r="AH219" s="592" t="str">
        <f t="shared" si="100"/>
        <v/>
      </c>
      <c r="AI219" s="592" t="str">
        <f t="shared" si="101"/>
        <v/>
      </c>
      <c r="AJ219" s="592" t="str">
        <f t="shared" si="102"/>
        <v/>
      </c>
      <c r="AK219" s="460" t="str">
        <f>IF(AU219="","",IF(OR(AZ219=8,AZ219=9),0,IF(OR(AW219=3,AW219=4,AW219=5,AW219=6),IF(LEFT(BF219,1)="1",INDEX(係数_NOX・PM低減,MATCH(AY219,【参考】排出係数!$AI$801:$AI$804,1),1),VLOOKUP(AU219,INDEX((係数_バス貨物_ガソリン,係数_バス貨物_CNG,係数_バス貨物_軽油,係数_バス貨物_メタノール,係数_バス貨物_LPG),MATCH(AY219,【参考】排出係数!$AI$4:$AI$671,1),1,BE219):INDEX((係数_バス貨物_ガソリン,係数_バス貨物_CNG,係数_バス貨物_軽油,係数_バス貨物_メタノール,係数_バス貨物_LPG),MATCH(AY219+1,【参考】排出係数!$AI$4:$AI$671,1)-1,5,BE219),4,FALSE)),IF(AND(BE219=3,LEFT(BF219,1)="1"),0.48,VLOOKUP(AU219,INDEX((係数_乗用_ガソリン,係数_乗用_CNG,係数_乗用_軽油,係数_乗用_メタノール,係数_乗用_LPG),1,1,BE219):INDEX((係数_乗用_ガソリン,係数_乗用_CNG,係数_乗用_軽油,係数_乗用_メタノール,係数_乗用_LPG),125,5,BE219),4,FALSE)))))</f>
        <v/>
      </c>
      <c r="AL219" s="461" t="str">
        <f t="shared" si="126"/>
        <v/>
      </c>
      <c r="AM219" s="460" t="str">
        <f>IF(AU219="","",IF(OR(AZ219=8,AZ219=9),0,IF(OR(AW219=3,AW219=4,AW219=5,AW219=6),IF(LEFT(BH219,1)="1",INDEX(係数_PM低減,MATCH(AY219,【参考】排出係数!$AI$801:$AI$804,1),MATCH(BI219,【参考】排出係数!$AL$798:$AO$798,1)),VLOOKUP(AU219,INDEX((係数_バス貨物_ガソリン,係数_バス貨物_CNG,係数_バス貨物_軽油,係数_バス貨物_メタノール,係数_バス貨物_LPG),MATCH(AY219,【参考】排出係数!$AI$4:$AI$671,1),1,BE219):INDEX((係数_バス貨物_ガソリン,係数_バス貨物_CNG,係数_バス貨物_軽油,係数_バス貨物_メタノール,係数_バス貨物_LPG),MATCH(AY219+1,【参考】排出係数!$AI$4:$AI$671,1)-1,5,BE219),5,FALSE)),IF(AND(BE219=3,LEFT(BF219,1)="1"),0.055,VLOOKUP(AU219,INDEX((係数_乗用_ガソリン,係数_乗用_CNG,係数_乗用_軽油,係数_乗用_メタノール,係数_乗用_LPG),1,1,BE219):INDEX((係数_乗用_ガソリン,係数_乗用_CNG,係数_乗用_軽油,係数_乗用_メタノール,係数_乗用_LPG),125,5,BE219),5,FALSE)))))</f>
        <v/>
      </c>
      <c r="AN219" s="461" t="str">
        <f t="shared" si="127"/>
        <v/>
      </c>
      <c r="AO219" s="462" t="str">
        <f t="shared" si="128"/>
        <v/>
      </c>
      <c r="AP219" s="463" t="str">
        <f t="shared" si="129"/>
        <v/>
      </c>
      <c r="AQ219" s="464"/>
      <c r="AR219" s="619"/>
      <c r="AS219" s="465" t="str">
        <f t="shared" si="108"/>
        <v/>
      </c>
      <c r="AT219" s="465" t="str">
        <f t="shared" si="109"/>
        <v/>
      </c>
      <c r="AU219" s="466" t="str">
        <f t="shared" si="110"/>
        <v/>
      </c>
      <c r="AV219" s="467" t="str">
        <f t="shared" si="111"/>
        <v/>
      </c>
      <c r="AW219" s="467" t="str">
        <f t="shared" si="112"/>
        <v/>
      </c>
      <c r="AX219" s="467" t="str">
        <f t="shared" si="113"/>
        <v/>
      </c>
      <c r="AY219" s="467" t="str">
        <f t="shared" si="114"/>
        <v/>
      </c>
      <c r="AZ219" s="467" t="str">
        <f t="shared" si="115"/>
        <v/>
      </c>
      <c r="BA219" s="468" t="str">
        <f>IF(AS219="","",IF(OR(AU219="",AU219="-"),"－",IF(OR(AZ219=8,AZ219=9),"",IF(OR(AW219=3,AW219=4,AW219=5,AW219=6),VLOOKUP(AU219,INDEX((係数_バス貨物_ガソリン,係数_バス貨物_CNG,係数_バス貨物_軽油,係数_バス貨物_メタノール,係数_バス貨物_LPG),MATCH(AY219,【参考】排出係数!$AI$4:$AI$671,1),1,BE219):INDEX((係数_バス貨物_ガソリン,係数_バス貨物_CNG,係数_バス貨物_軽油,係数_バス貨物_メタノール,係数_バス貨物_LPG),MATCH(AY219+1,【参考】排出係数!$AI$4:$AI$671,1)-1,5,BE219),2,FALSE),IF(OR(AW219=1,AW219=2),VLOOKUP(AU219,INDEX((係数_乗用_ガソリン,係数_乗用_CNG,係数_乗用_軽油,係数_乗用_メタノール,係数_乗用_LPG),1,1,BE219):INDEX((係数_乗用_ガソリン,係数_乗用_CNG,係数_乗用_軽油,係数_乗用_メタノール,係数_乗用_LPG),125,5,BE219),2,FALSE))))))</f>
        <v/>
      </c>
      <c r="BB219" s="468" t="str">
        <f>IF(T219="","",IF(OR(AU219="",AU219="-"),"－",IF(OR(AZ219=8,AZ219=9),"",IF(OR(AW219=3,AW219=4,AW219=5,AW219=6),VLOOKUP(AU219,INDEX((係数_バス貨物_ガソリン,係数_バス貨物_CNG,係数_バス貨物_軽油,係数_バス貨物_メタノール,係数_バス貨物_LPG),MATCH(AY219,【参考】排出係数!$AI$4:$AI$671,1),1,BE219):INDEX((係数_バス貨物_ガソリン,係数_バス貨物_CNG,係数_バス貨物_軽油,係数_バス貨物_メタノール,係数_バス貨物_LPG),MATCH(AY219+1,【参考】排出係数!$AI$4:$AI$671,1)-1,5,BE219),3,FALSE),IF(OR(AW219=1,AW219=2),VLOOKUP(AU219,INDEX((係数_乗用_ガソリン,係数_乗用_CNG,係数_乗用_軽油,係数_乗用_メタノール,係数_乗用_LPG),1,1,BE219):INDEX((係数_乗用_ガソリン,係数_乗用_CNG,係数_乗用_軽油,係数_乗用_メタノール,係数_乗用_LPG),125,5,BE219),3,FALSE))))))</f>
        <v/>
      </c>
      <c r="BC219" s="467" t="str">
        <f t="shared" si="116"/>
        <v/>
      </c>
      <c r="BD219" s="567" t="str">
        <f t="shared" si="117"/>
        <v/>
      </c>
      <c r="BE219" s="467" t="str">
        <f t="shared" si="118"/>
        <v/>
      </c>
      <c r="BF219" s="469" t="str">
        <f t="shared" ca="1" si="119"/>
        <v/>
      </c>
      <c r="BG219" s="469" t="str">
        <f t="shared" ca="1" si="120"/>
        <v/>
      </c>
      <c r="BH219" s="467" t="str">
        <f t="shared" si="121"/>
        <v/>
      </c>
      <c r="BI219" s="467" t="str">
        <f t="shared" ca="1" si="122"/>
        <v/>
      </c>
      <c r="BJ219" s="469" t="str">
        <f t="shared" si="123"/>
        <v/>
      </c>
      <c r="BK219" s="470" t="str">
        <f t="shared" si="103"/>
        <v/>
      </c>
      <c r="BL219" s="775" t="str">
        <f t="shared" si="124"/>
        <v/>
      </c>
      <c r="BM219" s="775" t="str">
        <f t="shared" si="125"/>
        <v/>
      </c>
    </row>
    <row r="220" spans="1:65">
      <c r="A220" s="473">
        <v>164</v>
      </c>
      <c r="B220" s="132"/>
      <c r="C220" s="332"/>
      <c r="D220" s="333"/>
      <c r="E220" s="333"/>
      <c r="F220" s="334"/>
      <c r="G220" s="337"/>
      <c r="H220" s="131"/>
      <c r="I220" s="337"/>
      <c r="J220" s="131"/>
      <c r="K220" s="458" t="str">
        <f t="shared" si="92"/>
        <v/>
      </c>
      <c r="L220" s="458">
        <f t="shared" si="104"/>
        <v>0</v>
      </c>
      <c r="M220" s="458">
        <f t="shared" si="105"/>
        <v>0</v>
      </c>
      <c r="N220" s="459" t="str">
        <f t="shared" si="93"/>
        <v/>
      </c>
      <c r="O220" s="459" t="str">
        <f t="shared" si="94"/>
        <v/>
      </c>
      <c r="P220" s="459" t="str">
        <f t="shared" si="95"/>
        <v/>
      </c>
      <c r="Q220" s="459" t="str">
        <f t="shared" si="96"/>
        <v/>
      </c>
      <c r="R220" s="459" t="str">
        <f t="shared" si="97"/>
        <v/>
      </c>
      <c r="S220" s="459" t="str">
        <f t="shared" si="98"/>
        <v/>
      </c>
      <c r="T220" s="566" t="str">
        <f t="shared" si="106"/>
        <v/>
      </c>
      <c r="U220" s="702"/>
      <c r="V220" s="132"/>
      <c r="W220" s="133"/>
      <c r="X220" s="134"/>
      <c r="Y220" s="135"/>
      <c r="Z220" s="137"/>
      <c r="AA220" s="136"/>
      <c r="AB220" s="566" t="str">
        <f t="shared" si="99"/>
        <v/>
      </c>
      <c r="AC220" s="568" t="str">
        <f t="shared" si="107"/>
        <v/>
      </c>
      <c r="AD220" s="137"/>
      <c r="AE220" s="137"/>
      <c r="AF220" s="138"/>
      <c r="AG220" s="138"/>
      <c r="AH220" s="592" t="str">
        <f t="shared" si="100"/>
        <v/>
      </c>
      <c r="AI220" s="592" t="str">
        <f t="shared" si="101"/>
        <v/>
      </c>
      <c r="AJ220" s="592" t="str">
        <f t="shared" si="102"/>
        <v/>
      </c>
      <c r="AK220" s="460" t="str">
        <f>IF(AU220="","",IF(OR(AZ220=8,AZ220=9),0,IF(OR(AW220=3,AW220=4,AW220=5,AW220=6),IF(LEFT(BF220,1)="1",INDEX(係数_NOX・PM低減,MATCH(AY220,【参考】排出係数!$AI$801:$AI$804,1),1),VLOOKUP(AU220,INDEX((係数_バス貨物_ガソリン,係数_バス貨物_CNG,係数_バス貨物_軽油,係数_バス貨物_メタノール,係数_バス貨物_LPG),MATCH(AY220,【参考】排出係数!$AI$4:$AI$671,1),1,BE220):INDEX((係数_バス貨物_ガソリン,係数_バス貨物_CNG,係数_バス貨物_軽油,係数_バス貨物_メタノール,係数_バス貨物_LPG),MATCH(AY220+1,【参考】排出係数!$AI$4:$AI$671,1)-1,5,BE220),4,FALSE)),IF(AND(BE220=3,LEFT(BF220,1)="1"),0.48,VLOOKUP(AU220,INDEX((係数_乗用_ガソリン,係数_乗用_CNG,係数_乗用_軽油,係数_乗用_メタノール,係数_乗用_LPG),1,1,BE220):INDEX((係数_乗用_ガソリン,係数_乗用_CNG,係数_乗用_軽油,係数_乗用_メタノール,係数_乗用_LPG),125,5,BE220),4,FALSE)))))</f>
        <v/>
      </c>
      <c r="AL220" s="461" t="str">
        <f t="shared" si="126"/>
        <v/>
      </c>
      <c r="AM220" s="460" t="str">
        <f>IF(AU220="","",IF(OR(AZ220=8,AZ220=9),0,IF(OR(AW220=3,AW220=4,AW220=5,AW220=6),IF(LEFT(BH220,1)="1",INDEX(係数_PM低減,MATCH(AY220,【参考】排出係数!$AI$801:$AI$804,1),MATCH(BI220,【参考】排出係数!$AL$798:$AO$798,1)),VLOOKUP(AU220,INDEX((係数_バス貨物_ガソリン,係数_バス貨物_CNG,係数_バス貨物_軽油,係数_バス貨物_メタノール,係数_バス貨物_LPG),MATCH(AY220,【参考】排出係数!$AI$4:$AI$671,1),1,BE220):INDEX((係数_バス貨物_ガソリン,係数_バス貨物_CNG,係数_バス貨物_軽油,係数_バス貨物_メタノール,係数_バス貨物_LPG),MATCH(AY220+1,【参考】排出係数!$AI$4:$AI$671,1)-1,5,BE220),5,FALSE)),IF(AND(BE220=3,LEFT(BF220,1)="1"),0.055,VLOOKUP(AU220,INDEX((係数_乗用_ガソリン,係数_乗用_CNG,係数_乗用_軽油,係数_乗用_メタノール,係数_乗用_LPG),1,1,BE220):INDEX((係数_乗用_ガソリン,係数_乗用_CNG,係数_乗用_軽油,係数_乗用_メタノール,係数_乗用_LPG),125,5,BE220),5,FALSE)))))</f>
        <v/>
      </c>
      <c r="AN220" s="461" t="str">
        <f t="shared" si="127"/>
        <v/>
      </c>
      <c r="AO220" s="462" t="str">
        <f t="shared" si="128"/>
        <v/>
      </c>
      <c r="AP220" s="463" t="str">
        <f t="shared" si="129"/>
        <v/>
      </c>
      <c r="AQ220" s="464"/>
      <c r="AR220" s="619"/>
      <c r="AS220" s="465" t="str">
        <f t="shared" si="108"/>
        <v/>
      </c>
      <c r="AT220" s="465" t="str">
        <f t="shared" si="109"/>
        <v/>
      </c>
      <c r="AU220" s="466" t="str">
        <f t="shared" si="110"/>
        <v/>
      </c>
      <c r="AV220" s="467" t="str">
        <f t="shared" si="111"/>
        <v/>
      </c>
      <c r="AW220" s="467" t="str">
        <f t="shared" si="112"/>
        <v/>
      </c>
      <c r="AX220" s="467" t="str">
        <f t="shared" si="113"/>
        <v/>
      </c>
      <c r="AY220" s="467" t="str">
        <f t="shared" si="114"/>
        <v/>
      </c>
      <c r="AZ220" s="467" t="str">
        <f t="shared" si="115"/>
        <v/>
      </c>
      <c r="BA220" s="468" t="str">
        <f>IF(AS220="","",IF(OR(AU220="",AU220="-"),"－",IF(OR(AZ220=8,AZ220=9),"",IF(OR(AW220=3,AW220=4,AW220=5,AW220=6),VLOOKUP(AU220,INDEX((係数_バス貨物_ガソリン,係数_バス貨物_CNG,係数_バス貨物_軽油,係数_バス貨物_メタノール,係数_バス貨物_LPG),MATCH(AY220,【参考】排出係数!$AI$4:$AI$671,1),1,BE220):INDEX((係数_バス貨物_ガソリン,係数_バス貨物_CNG,係数_バス貨物_軽油,係数_バス貨物_メタノール,係数_バス貨物_LPG),MATCH(AY220+1,【参考】排出係数!$AI$4:$AI$671,1)-1,5,BE220),2,FALSE),IF(OR(AW220=1,AW220=2),VLOOKUP(AU220,INDEX((係数_乗用_ガソリン,係数_乗用_CNG,係数_乗用_軽油,係数_乗用_メタノール,係数_乗用_LPG),1,1,BE220):INDEX((係数_乗用_ガソリン,係数_乗用_CNG,係数_乗用_軽油,係数_乗用_メタノール,係数_乗用_LPG),125,5,BE220),2,FALSE))))))</f>
        <v/>
      </c>
      <c r="BB220" s="468" t="str">
        <f>IF(T220="","",IF(OR(AU220="",AU220="-"),"－",IF(OR(AZ220=8,AZ220=9),"",IF(OR(AW220=3,AW220=4,AW220=5,AW220=6),VLOOKUP(AU220,INDEX((係数_バス貨物_ガソリン,係数_バス貨物_CNG,係数_バス貨物_軽油,係数_バス貨物_メタノール,係数_バス貨物_LPG),MATCH(AY220,【参考】排出係数!$AI$4:$AI$671,1),1,BE220):INDEX((係数_バス貨物_ガソリン,係数_バス貨物_CNG,係数_バス貨物_軽油,係数_バス貨物_メタノール,係数_バス貨物_LPG),MATCH(AY220+1,【参考】排出係数!$AI$4:$AI$671,1)-1,5,BE220),3,FALSE),IF(OR(AW220=1,AW220=2),VLOOKUP(AU220,INDEX((係数_乗用_ガソリン,係数_乗用_CNG,係数_乗用_軽油,係数_乗用_メタノール,係数_乗用_LPG),1,1,BE220):INDEX((係数_乗用_ガソリン,係数_乗用_CNG,係数_乗用_軽油,係数_乗用_メタノール,係数_乗用_LPG),125,5,BE220),3,FALSE))))))</f>
        <v/>
      </c>
      <c r="BC220" s="467" t="str">
        <f t="shared" si="116"/>
        <v/>
      </c>
      <c r="BD220" s="567" t="str">
        <f t="shared" si="117"/>
        <v/>
      </c>
      <c r="BE220" s="467" t="str">
        <f t="shared" si="118"/>
        <v/>
      </c>
      <c r="BF220" s="469" t="str">
        <f t="shared" ca="1" si="119"/>
        <v/>
      </c>
      <c r="BG220" s="469" t="str">
        <f t="shared" ca="1" si="120"/>
        <v/>
      </c>
      <c r="BH220" s="467" t="str">
        <f t="shared" si="121"/>
        <v/>
      </c>
      <c r="BI220" s="467" t="str">
        <f t="shared" ca="1" si="122"/>
        <v/>
      </c>
      <c r="BJ220" s="469" t="str">
        <f t="shared" si="123"/>
        <v/>
      </c>
      <c r="BK220" s="470" t="str">
        <f t="shared" si="103"/>
        <v/>
      </c>
      <c r="BL220" s="775" t="str">
        <f t="shared" si="124"/>
        <v/>
      </c>
      <c r="BM220" s="775" t="str">
        <f t="shared" si="125"/>
        <v/>
      </c>
    </row>
    <row r="221" spans="1:65">
      <c r="A221" s="473">
        <v>165</v>
      </c>
      <c r="B221" s="132"/>
      <c r="C221" s="332"/>
      <c r="D221" s="333"/>
      <c r="E221" s="333"/>
      <c r="F221" s="334"/>
      <c r="G221" s="337"/>
      <c r="H221" s="131"/>
      <c r="I221" s="337"/>
      <c r="J221" s="131"/>
      <c r="K221" s="458" t="str">
        <f t="shared" si="92"/>
        <v/>
      </c>
      <c r="L221" s="458">
        <f t="shared" si="104"/>
        <v>0</v>
      </c>
      <c r="M221" s="458">
        <f t="shared" si="105"/>
        <v>0</v>
      </c>
      <c r="N221" s="459" t="str">
        <f t="shared" si="93"/>
        <v/>
      </c>
      <c r="O221" s="459" t="str">
        <f t="shared" si="94"/>
        <v/>
      </c>
      <c r="P221" s="459" t="str">
        <f t="shared" si="95"/>
        <v/>
      </c>
      <c r="Q221" s="459" t="str">
        <f t="shared" si="96"/>
        <v/>
      </c>
      <c r="R221" s="459" t="str">
        <f t="shared" si="97"/>
        <v/>
      </c>
      <c r="S221" s="459" t="str">
        <f t="shared" si="98"/>
        <v/>
      </c>
      <c r="T221" s="566" t="str">
        <f t="shared" si="106"/>
        <v/>
      </c>
      <c r="U221" s="702"/>
      <c r="V221" s="132"/>
      <c r="W221" s="133"/>
      <c r="X221" s="134"/>
      <c r="Y221" s="135"/>
      <c r="Z221" s="137"/>
      <c r="AA221" s="136"/>
      <c r="AB221" s="566" t="str">
        <f t="shared" si="99"/>
        <v/>
      </c>
      <c r="AC221" s="568" t="str">
        <f t="shared" si="107"/>
        <v/>
      </c>
      <c r="AD221" s="137"/>
      <c r="AE221" s="137"/>
      <c r="AF221" s="138"/>
      <c r="AG221" s="138"/>
      <c r="AH221" s="592" t="str">
        <f t="shared" si="100"/>
        <v/>
      </c>
      <c r="AI221" s="592" t="str">
        <f t="shared" si="101"/>
        <v/>
      </c>
      <c r="AJ221" s="592" t="str">
        <f t="shared" si="102"/>
        <v/>
      </c>
      <c r="AK221" s="460" t="str">
        <f>IF(AU221="","",IF(OR(AZ221=8,AZ221=9),0,IF(OR(AW221=3,AW221=4,AW221=5,AW221=6),IF(LEFT(BF221,1)="1",INDEX(係数_NOX・PM低減,MATCH(AY221,【参考】排出係数!$AI$801:$AI$804,1),1),VLOOKUP(AU221,INDEX((係数_バス貨物_ガソリン,係数_バス貨物_CNG,係数_バス貨物_軽油,係数_バス貨物_メタノール,係数_バス貨物_LPG),MATCH(AY221,【参考】排出係数!$AI$4:$AI$671,1),1,BE221):INDEX((係数_バス貨物_ガソリン,係数_バス貨物_CNG,係数_バス貨物_軽油,係数_バス貨物_メタノール,係数_バス貨物_LPG),MATCH(AY221+1,【参考】排出係数!$AI$4:$AI$671,1)-1,5,BE221),4,FALSE)),IF(AND(BE221=3,LEFT(BF221,1)="1"),0.48,VLOOKUP(AU221,INDEX((係数_乗用_ガソリン,係数_乗用_CNG,係数_乗用_軽油,係数_乗用_メタノール,係数_乗用_LPG),1,1,BE221):INDEX((係数_乗用_ガソリン,係数_乗用_CNG,係数_乗用_軽油,係数_乗用_メタノール,係数_乗用_LPG),125,5,BE221),4,FALSE)))))</f>
        <v/>
      </c>
      <c r="AL221" s="461" t="str">
        <f t="shared" si="126"/>
        <v/>
      </c>
      <c r="AM221" s="460" t="str">
        <f>IF(AU221="","",IF(OR(AZ221=8,AZ221=9),0,IF(OR(AW221=3,AW221=4,AW221=5,AW221=6),IF(LEFT(BH221,1)="1",INDEX(係数_PM低減,MATCH(AY221,【参考】排出係数!$AI$801:$AI$804,1),MATCH(BI221,【参考】排出係数!$AL$798:$AO$798,1)),VLOOKUP(AU221,INDEX((係数_バス貨物_ガソリン,係数_バス貨物_CNG,係数_バス貨物_軽油,係数_バス貨物_メタノール,係数_バス貨物_LPG),MATCH(AY221,【参考】排出係数!$AI$4:$AI$671,1),1,BE221):INDEX((係数_バス貨物_ガソリン,係数_バス貨物_CNG,係数_バス貨物_軽油,係数_バス貨物_メタノール,係数_バス貨物_LPG),MATCH(AY221+1,【参考】排出係数!$AI$4:$AI$671,1)-1,5,BE221),5,FALSE)),IF(AND(BE221=3,LEFT(BF221,1)="1"),0.055,VLOOKUP(AU221,INDEX((係数_乗用_ガソリン,係数_乗用_CNG,係数_乗用_軽油,係数_乗用_メタノール,係数_乗用_LPG),1,1,BE221):INDEX((係数_乗用_ガソリン,係数_乗用_CNG,係数_乗用_軽油,係数_乗用_メタノール,係数_乗用_LPG),125,5,BE221),5,FALSE)))))</f>
        <v/>
      </c>
      <c r="AN221" s="461" t="str">
        <f t="shared" si="127"/>
        <v/>
      </c>
      <c r="AO221" s="462" t="str">
        <f t="shared" si="128"/>
        <v/>
      </c>
      <c r="AP221" s="463" t="str">
        <f t="shared" si="129"/>
        <v/>
      </c>
      <c r="AQ221" s="464"/>
      <c r="AR221" s="619"/>
      <c r="AS221" s="465" t="str">
        <f t="shared" si="108"/>
        <v/>
      </c>
      <c r="AT221" s="465" t="str">
        <f t="shared" si="109"/>
        <v/>
      </c>
      <c r="AU221" s="466" t="str">
        <f t="shared" si="110"/>
        <v/>
      </c>
      <c r="AV221" s="467" t="str">
        <f t="shared" si="111"/>
        <v/>
      </c>
      <c r="AW221" s="467" t="str">
        <f t="shared" si="112"/>
        <v/>
      </c>
      <c r="AX221" s="467" t="str">
        <f t="shared" si="113"/>
        <v/>
      </c>
      <c r="AY221" s="467" t="str">
        <f t="shared" si="114"/>
        <v/>
      </c>
      <c r="AZ221" s="467" t="str">
        <f t="shared" si="115"/>
        <v/>
      </c>
      <c r="BA221" s="468" t="str">
        <f>IF(AS221="","",IF(OR(AU221="",AU221="-"),"－",IF(OR(AZ221=8,AZ221=9),"",IF(OR(AW221=3,AW221=4,AW221=5,AW221=6),VLOOKUP(AU221,INDEX((係数_バス貨物_ガソリン,係数_バス貨物_CNG,係数_バス貨物_軽油,係数_バス貨物_メタノール,係数_バス貨物_LPG),MATCH(AY221,【参考】排出係数!$AI$4:$AI$671,1),1,BE221):INDEX((係数_バス貨物_ガソリン,係数_バス貨物_CNG,係数_バス貨物_軽油,係数_バス貨物_メタノール,係数_バス貨物_LPG),MATCH(AY221+1,【参考】排出係数!$AI$4:$AI$671,1)-1,5,BE221),2,FALSE),IF(OR(AW221=1,AW221=2),VLOOKUP(AU221,INDEX((係数_乗用_ガソリン,係数_乗用_CNG,係数_乗用_軽油,係数_乗用_メタノール,係数_乗用_LPG),1,1,BE221):INDEX((係数_乗用_ガソリン,係数_乗用_CNG,係数_乗用_軽油,係数_乗用_メタノール,係数_乗用_LPG),125,5,BE221),2,FALSE))))))</f>
        <v/>
      </c>
      <c r="BB221" s="468" t="str">
        <f>IF(T221="","",IF(OR(AU221="",AU221="-"),"－",IF(OR(AZ221=8,AZ221=9),"",IF(OR(AW221=3,AW221=4,AW221=5,AW221=6),VLOOKUP(AU221,INDEX((係数_バス貨物_ガソリン,係数_バス貨物_CNG,係数_バス貨物_軽油,係数_バス貨物_メタノール,係数_バス貨物_LPG),MATCH(AY221,【参考】排出係数!$AI$4:$AI$671,1),1,BE221):INDEX((係数_バス貨物_ガソリン,係数_バス貨物_CNG,係数_バス貨物_軽油,係数_バス貨物_メタノール,係数_バス貨物_LPG),MATCH(AY221+1,【参考】排出係数!$AI$4:$AI$671,1)-1,5,BE221),3,FALSE),IF(OR(AW221=1,AW221=2),VLOOKUP(AU221,INDEX((係数_乗用_ガソリン,係数_乗用_CNG,係数_乗用_軽油,係数_乗用_メタノール,係数_乗用_LPG),1,1,BE221):INDEX((係数_乗用_ガソリン,係数_乗用_CNG,係数_乗用_軽油,係数_乗用_メタノール,係数_乗用_LPG),125,5,BE221),3,FALSE))))))</f>
        <v/>
      </c>
      <c r="BC221" s="467" t="str">
        <f t="shared" si="116"/>
        <v/>
      </c>
      <c r="BD221" s="567" t="str">
        <f t="shared" si="117"/>
        <v/>
      </c>
      <c r="BE221" s="467" t="str">
        <f t="shared" si="118"/>
        <v/>
      </c>
      <c r="BF221" s="469" t="str">
        <f t="shared" ca="1" si="119"/>
        <v/>
      </c>
      <c r="BG221" s="469" t="str">
        <f t="shared" ca="1" si="120"/>
        <v/>
      </c>
      <c r="BH221" s="467" t="str">
        <f t="shared" si="121"/>
        <v/>
      </c>
      <c r="BI221" s="467" t="str">
        <f t="shared" ca="1" si="122"/>
        <v/>
      </c>
      <c r="BJ221" s="469" t="str">
        <f t="shared" si="123"/>
        <v/>
      </c>
      <c r="BK221" s="470" t="str">
        <f t="shared" si="103"/>
        <v/>
      </c>
      <c r="BL221" s="775" t="str">
        <f t="shared" si="124"/>
        <v/>
      </c>
      <c r="BM221" s="775" t="str">
        <f t="shared" si="125"/>
        <v/>
      </c>
    </row>
    <row r="222" spans="1:65">
      <c r="A222" s="473">
        <v>166</v>
      </c>
      <c r="B222" s="132"/>
      <c r="C222" s="332"/>
      <c r="D222" s="333"/>
      <c r="E222" s="333"/>
      <c r="F222" s="334"/>
      <c r="G222" s="337"/>
      <c r="H222" s="131"/>
      <c r="I222" s="337"/>
      <c r="J222" s="131"/>
      <c r="K222" s="458" t="str">
        <f t="shared" si="92"/>
        <v/>
      </c>
      <c r="L222" s="458">
        <f t="shared" si="104"/>
        <v>0</v>
      </c>
      <c r="M222" s="458">
        <f t="shared" si="105"/>
        <v>0</v>
      </c>
      <c r="N222" s="459" t="str">
        <f t="shared" si="93"/>
        <v/>
      </c>
      <c r="O222" s="459" t="str">
        <f t="shared" si="94"/>
        <v/>
      </c>
      <c r="P222" s="459" t="str">
        <f t="shared" si="95"/>
        <v/>
      </c>
      <c r="Q222" s="459" t="str">
        <f t="shared" si="96"/>
        <v/>
      </c>
      <c r="R222" s="459" t="str">
        <f t="shared" si="97"/>
        <v/>
      </c>
      <c r="S222" s="459" t="str">
        <f t="shared" si="98"/>
        <v/>
      </c>
      <c r="T222" s="566" t="str">
        <f t="shared" si="106"/>
        <v/>
      </c>
      <c r="U222" s="702"/>
      <c r="V222" s="132"/>
      <c r="W222" s="133"/>
      <c r="X222" s="134"/>
      <c r="Y222" s="135"/>
      <c r="Z222" s="137"/>
      <c r="AA222" s="136"/>
      <c r="AB222" s="566" t="str">
        <f t="shared" si="99"/>
        <v/>
      </c>
      <c r="AC222" s="568" t="str">
        <f t="shared" si="107"/>
        <v/>
      </c>
      <c r="AD222" s="137"/>
      <c r="AE222" s="137"/>
      <c r="AF222" s="138"/>
      <c r="AG222" s="138"/>
      <c r="AH222" s="592" t="str">
        <f t="shared" si="100"/>
        <v/>
      </c>
      <c r="AI222" s="592" t="str">
        <f t="shared" si="101"/>
        <v/>
      </c>
      <c r="AJ222" s="592" t="str">
        <f t="shared" si="102"/>
        <v/>
      </c>
      <c r="AK222" s="460" t="str">
        <f>IF(AU222="","",IF(OR(AZ222=8,AZ222=9),0,IF(OR(AW222=3,AW222=4,AW222=5,AW222=6),IF(LEFT(BF222,1)="1",INDEX(係数_NOX・PM低減,MATCH(AY222,【参考】排出係数!$AI$801:$AI$804,1),1),VLOOKUP(AU222,INDEX((係数_バス貨物_ガソリン,係数_バス貨物_CNG,係数_バス貨物_軽油,係数_バス貨物_メタノール,係数_バス貨物_LPG),MATCH(AY222,【参考】排出係数!$AI$4:$AI$671,1),1,BE222):INDEX((係数_バス貨物_ガソリン,係数_バス貨物_CNG,係数_バス貨物_軽油,係数_バス貨物_メタノール,係数_バス貨物_LPG),MATCH(AY222+1,【参考】排出係数!$AI$4:$AI$671,1)-1,5,BE222),4,FALSE)),IF(AND(BE222=3,LEFT(BF222,1)="1"),0.48,VLOOKUP(AU222,INDEX((係数_乗用_ガソリン,係数_乗用_CNG,係数_乗用_軽油,係数_乗用_メタノール,係数_乗用_LPG),1,1,BE222):INDEX((係数_乗用_ガソリン,係数_乗用_CNG,係数_乗用_軽油,係数_乗用_メタノール,係数_乗用_LPG),125,5,BE222),4,FALSE)))))</f>
        <v/>
      </c>
      <c r="AL222" s="461" t="str">
        <f t="shared" si="126"/>
        <v/>
      </c>
      <c r="AM222" s="460" t="str">
        <f>IF(AU222="","",IF(OR(AZ222=8,AZ222=9),0,IF(OR(AW222=3,AW222=4,AW222=5,AW222=6),IF(LEFT(BH222,1)="1",INDEX(係数_PM低減,MATCH(AY222,【参考】排出係数!$AI$801:$AI$804,1),MATCH(BI222,【参考】排出係数!$AL$798:$AO$798,1)),VLOOKUP(AU222,INDEX((係数_バス貨物_ガソリン,係数_バス貨物_CNG,係数_バス貨物_軽油,係数_バス貨物_メタノール,係数_バス貨物_LPG),MATCH(AY222,【参考】排出係数!$AI$4:$AI$671,1),1,BE222):INDEX((係数_バス貨物_ガソリン,係数_バス貨物_CNG,係数_バス貨物_軽油,係数_バス貨物_メタノール,係数_バス貨物_LPG),MATCH(AY222+1,【参考】排出係数!$AI$4:$AI$671,1)-1,5,BE222),5,FALSE)),IF(AND(BE222=3,LEFT(BF222,1)="1"),0.055,VLOOKUP(AU222,INDEX((係数_乗用_ガソリン,係数_乗用_CNG,係数_乗用_軽油,係数_乗用_メタノール,係数_乗用_LPG),1,1,BE222):INDEX((係数_乗用_ガソリン,係数_乗用_CNG,係数_乗用_軽油,係数_乗用_メタノール,係数_乗用_LPG),125,5,BE222),5,FALSE)))))</f>
        <v/>
      </c>
      <c r="AN222" s="461" t="str">
        <f t="shared" si="127"/>
        <v/>
      </c>
      <c r="AO222" s="462" t="str">
        <f t="shared" si="128"/>
        <v/>
      </c>
      <c r="AP222" s="463" t="str">
        <f t="shared" si="129"/>
        <v/>
      </c>
      <c r="AQ222" s="464"/>
      <c r="AR222" s="619"/>
      <c r="AS222" s="465" t="str">
        <f t="shared" si="108"/>
        <v/>
      </c>
      <c r="AT222" s="465" t="str">
        <f t="shared" si="109"/>
        <v/>
      </c>
      <c r="AU222" s="466" t="str">
        <f t="shared" si="110"/>
        <v/>
      </c>
      <c r="AV222" s="467" t="str">
        <f t="shared" si="111"/>
        <v/>
      </c>
      <c r="AW222" s="467" t="str">
        <f t="shared" si="112"/>
        <v/>
      </c>
      <c r="AX222" s="467" t="str">
        <f t="shared" si="113"/>
        <v/>
      </c>
      <c r="AY222" s="467" t="str">
        <f t="shared" si="114"/>
        <v/>
      </c>
      <c r="AZ222" s="467" t="str">
        <f t="shared" si="115"/>
        <v/>
      </c>
      <c r="BA222" s="468" t="str">
        <f>IF(AS222="","",IF(OR(AU222="",AU222="-"),"－",IF(OR(AZ222=8,AZ222=9),"",IF(OR(AW222=3,AW222=4,AW222=5,AW222=6),VLOOKUP(AU222,INDEX((係数_バス貨物_ガソリン,係数_バス貨物_CNG,係数_バス貨物_軽油,係数_バス貨物_メタノール,係数_バス貨物_LPG),MATCH(AY222,【参考】排出係数!$AI$4:$AI$671,1),1,BE222):INDEX((係数_バス貨物_ガソリン,係数_バス貨物_CNG,係数_バス貨物_軽油,係数_バス貨物_メタノール,係数_バス貨物_LPG),MATCH(AY222+1,【参考】排出係数!$AI$4:$AI$671,1)-1,5,BE222),2,FALSE),IF(OR(AW222=1,AW222=2),VLOOKUP(AU222,INDEX((係数_乗用_ガソリン,係数_乗用_CNG,係数_乗用_軽油,係数_乗用_メタノール,係数_乗用_LPG),1,1,BE222):INDEX((係数_乗用_ガソリン,係数_乗用_CNG,係数_乗用_軽油,係数_乗用_メタノール,係数_乗用_LPG),125,5,BE222),2,FALSE))))))</f>
        <v/>
      </c>
      <c r="BB222" s="468" t="str">
        <f>IF(T222="","",IF(OR(AU222="",AU222="-"),"－",IF(OR(AZ222=8,AZ222=9),"",IF(OR(AW222=3,AW222=4,AW222=5,AW222=6),VLOOKUP(AU222,INDEX((係数_バス貨物_ガソリン,係数_バス貨物_CNG,係数_バス貨物_軽油,係数_バス貨物_メタノール,係数_バス貨物_LPG),MATCH(AY222,【参考】排出係数!$AI$4:$AI$671,1),1,BE222):INDEX((係数_バス貨物_ガソリン,係数_バス貨物_CNG,係数_バス貨物_軽油,係数_バス貨物_メタノール,係数_バス貨物_LPG),MATCH(AY222+1,【参考】排出係数!$AI$4:$AI$671,1)-1,5,BE222),3,FALSE),IF(OR(AW222=1,AW222=2),VLOOKUP(AU222,INDEX((係数_乗用_ガソリン,係数_乗用_CNG,係数_乗用_軽油,係数_乗用_メタノール,係数_乗用_LPG),1,1,BE222):INDEX((係数_乗用_ガソリン,係数_乗用_CNG,係数_乗用_軽油,係数_乗用_メタノール,係数_乗用_LPG),125,5,BE222),3,FALSE))))))</f>
        <v/>
      </c>
      <c r="BC222" s="467" t="str">
        <f t="shared" si="116"/>
        <v/>
      </c>
      <c r="BD222" s="567" t="str">
        <f t="shared" si="117"/>
        <v/>
      </c>
      <c r="BE222" s="467" t="str">
        <f t="shared" si="118"/>
        <v/>
      </c>
      <c r="BF222" s="469" t="str">
        <f t="shared" ca="1" si="119"/>
        <v/>
      </c>
      <c r="BG222" s="469" t="str">
        <f t="shared" ca="1" si="120"/>
        <v/>
      </c>
      <c r="BH222" s="467" t="str">
        <f t="shared" si="121"/>
        <v/>
      </c>
      <c r="BI222" s="467" t="str">
        <f t="shared" ca="1" si="122"/>
        <v/>
      </c>
      <c r="BJ222" s="469" t="str">
        <f t="shared" si="123"/>
        <v/>
      </c>
      <c r="BK222" s="470" t="str">
        <f t="shared" si="103"/>
        <v/>
      </c>
      <c r="BL222" s="775" t="str">
        <f t="shared" si="124"/>
        <v/>
      </c>
      <c r="BM222" s="775" t="str">
        <f t="shared" si="125"/>
        <v/>
      </c>
    </row>
    <row r="223" spans="1:65">
      <c r="A223" s="473">
        <v>167</v>
      </c>
      <c r="B223" s="132"/>
      <c r="C223" s="332"/>
      <c r="D223" s="333"/>
      <c r="E223" s="333"/>
      <c r="F223" s="334"/>
      <c r="G223" s="337"/>
      <c r="H223" s="131"/>
      <c r="I223" s="337"/>
      <c r="J223" s="131"/>
      <c r="K223" s="458" t="str">
        <f t="shared" si="92"/>
        <v/>
      </c>
      <c r="L223" s="458">
        <f t="shared" si="104"/>
        <v>0</v>
      </c>
      <c r="M223" s="458">
        <f t="shared" si="105"/>
        <v>0</v>
      </c>
      <c r="N223" s="459" t="str">
        <f t="shared" si="93"/>
        <v/>
      </c>
      <c r="O223" s="459" t="str">
        <f t="shared" si="94"/>
        <v/>
      </c>
      <c r="P223" s="459" t="str">
        <f t="shared" si="95"/>
        <v/>
      </c>
      <c r="Q223" s="459" t="str">
        <f t="shared" si="96"/>
        <v/>
      </c>
      <c r="R223" s="459" t="str">
        <f t="shared" si="97"/>
        <v/>
      </c>
      <c r="S223" s="459" t="str">
        <f t="shared" si="98"/>
        <v/>
      </c>
      <c r="T223" s="566" t="str">
        <f t="shared" si="106"/>
        <v/>
      </c>
      <c r="U223" s="702"/>
      <c r="V223" s="132"/>
      <c r="W223" s="133"/>
      <c r="X223" s="134"/>
      <c r="Y223" s="135"/>
      <c r="Z223" s="137"/>
      <c r="AA223" s="136"/>
      <c r="AB223" s="566" t="str">
        <f t="shared" si="99"/>
        <v/>
      </c>
      <c r="AC223" s="568" t="str">
        <f t="shared" si="107"/>
        <v/>
      </c>
      <c r="AD223" s="137"/>
      <c r="AE223" s="137"/>
      <c r="AF223" s="138"/>
      <c r="AG223" s="138"/>
      <c r="AH223" s="592" t="str">
        <f t="shared" si="100"/>
        <v/>
      </c>
      <c r="AI223" s="592" t="str">
        <f t="shared" si="101"/>
        <v/>
      </c>
      <c r="AJ223" s="592" t="str">
        <f t="shared" si="102"/>
        <v/>
      </c>
      <c r="AK223" s="460" t="str">
        <f>IF(AU223="","",IF(OR(AZ223=8,AZ223=9),0,IF(OR(AW223=3,AW223=4,AW223=5,AW223=6),IF(LEFT(BF223,1)="1",INDEX(係数_NOX・PM低減,MATCH(AY223,【参考】排出係数!$AI$801:$AI$804,1),1),VLOOKUP(AU223,INDEX((係数_バス貨物_ガソリン,係数_バス貨物_CNG,係数_バス貨物_軽油,係数_バス貨物_メタノール,係数_バス貨物_LPG),MATCH(AY223,【参考】排出係数!$AI$4:$AI$671,1),1,BE223):INDEX((係数_バス貨物_ガソリン,係数_バス貨物_CNG,係数_バス貨物_軽油,係数_バス貨物_メタノール,係数_バス貨物_LPG),MATCH(AY223+1,【参考】排出係数!$AI$4:$AI$671,1)-1,5,BE223),4,FALSE)),IF(AND(BE223=3,LEFT(BF223,1)="1"),0.48,VLOOKUP(AU223,INDEX((係数_乗用_ガソリン,係数_乗用_CNG,係数_乗用_軽油,係数_乗用_メタノール,係数_乗用_LPG),1,1,BE223):INDEX((係数_乗用_ガソリン,係数_乗用_CNG,係数_乗用_軽油,係数_乗用_メタノール,係数_乗用_LPG),125,5,BE223),4,FALSE)))))</f>
        <v/>
      </c>
      <c r="AL223" s="461" t="str">
        <f t="shared" si="126"/>
        <v/>
      </c>
      <c r="AM223" s="460" t="str">
        <f>IF(AU223="","",IF(OR(AZ223=8,AZ223=9),0,IF(OR(AW223=3,AW223=4,AW223=5,AW223=6),IF(LEFT(BH223,1)="1",INDEX(係数_PM低減,MATCH(AY223,【参考】排出係数!$AI$801:$AI$804,1),MATCH(BI223,【参考】排出係数!$AL$798:$AO$798,1)),VLOOKUP(AU223,INDEX((係数_バス貨物_ガソリン,係数_バス貨物_CNG,係数_バス貨物_軽油,係数_バス貨物_メタノール,係数_バス貨物_LPG),MATCH(AY223,【参考】排出係数!$AI$4:$AI$671,1),1,BE223):INDEX((係数_バス貨物_ガソリン,係数_バス貨物_CNG,係数_バス貨物_軽油,係数_バス貨物_メタノール,係数_バス貨物_LPG),MATCH(AY223+1,【参考】排出係数!$AI$4:$AI$671,1)-1,5,BE223),5,FALSE)),IF(AND(BE223=3,LEFT(BF223,1)="1"),0.055,VLOOKUP(AU223,INDEX((係数_乗用_ガソリン,係数_乗用_CNG,係数_乗用_軽油,係数_乗用_メタノール,係数_乗用_LPG),1,1,BE223):INDEX((係数_乗用_ガソリン,係数_乗用_CNG,係数_乗用_軽油,係数_乗用_メタノール,係数_乗用_LPG),125,5,BE223),5,FALSE)))))</f>
        <v/>
      </c>
      <c r="AN223" s="461" t="str">
        <f t="shared" si="127"/>
        <v/>
      </c>
      <c r="AO223" s="462" t="str">
        <f t="shared" si="128"/>
        <v/>
      </c>
      <c r="AP223" s="463" t="str">
        <f t="shared" si="129"/>
        <v/>
      </c>
      <c r="AQ223" s="464"/>
      <c r="AR223" s="619"/>
      <c r="AS223" s="465" t="str">
        <f t="shared" si="108"/>
        <v/>
      </c>
      <c r="AT223" s="465" t="str">
        <f t="shared" si="109"/>
        <v/>
      </c>
      <c r="AU223" s="466" t="str">
        <f t="shared" si="110"/>
        <v/>
      </c>
      <c r="AV223" s="467" t="str">
        <f t="shared" si="111"/>
        <v/>
      </c>
      <c r="AW223" s="467" t="str">
        <f t="shared" si="112"/>
        <v/>
      </c>
      <c r="AX223" s="467" t="str">
        <f t="shared" si="113"/>
        <v/>
      </c>
      <c r="AY223" s="467" t="str">
        <f t="shared" si="114"/>
        <v/>
      </c>
      <c r="AZ223" s="467" t="str">
        <f t="shared" si="115"/>
        <v/>
      </c>
      <c r="BA223" s="468" t="str">
        <f>IF(AS223="","",IF(OR(AU223="",AU223="-"),"－",IF(OR(AZ223=8,AZ223=9),"",IF(OR(AW223=3,AW223=4,AW223=5,AW223=6),VLOOKUP(AU223,INDEX((係数_バス貨物_ガソリン,係数_バス貨物_CNG,係数_バス貨物_軽油,係数_バス貨物_メタノール,係数_バス貨物_LPG),MATCH(AY223,【参考】排出係数!$AI$4:$AI$671,1),1,BE223):INDEX((係数_バス貨物_ガソリン,係数_バス貨物_CNG,係数_バス貨物_軽油,係数_バス貨物_メタノール,係数_バス貨物_LPG),MATCH(AY223+1,【参考】排出係数!$AI$4:$AI$671,1)-1,5,BE223),2,FALSE),IF(OR(AW223=1,AW223=2),VLOOKUP(AU223,INDEX((係数_乗用_ガソリン,係数_乗用_CNG,係数_乗用_軽油,係数_乗用_メタノール,係数_乗用_LPG),1,1,BE223):INDEX((係数_乗用_ガソリン,係数_乗用_CNG,係数_乗用_軽油,係数_乗用_メタノール,係数_乗用_LPG),125,5,BE223),2,FALSE))))))</f>
        <v/>
      </c>
      <c r="BB223" s="468" t="str">
        <f>IF(T223="","",IF(OR(AU223="",AU223="-"),"－",IF(OR(AZ223=8,AZ223=9),"",IF(OR(AW223=3,AW223=4,AW223=5,AW223=6),VLOOKUP(AU223,INDEX((係数_バス貨物_ガソリン,係数_バス貨物_CNG,係数_バス貨物_軽油,係数_バス貨物_メタノール,係数_バス貨物_LPG),MATCH(AY223,【参考】排出係数!$AI$4:$AI$671,1),1,BE223):INDEX((係数_バス貨物_ガソリン,係数_バス貨物_CNG,係数_バス貨物_軽油,係数_バス貨物_メタノール,係数_バス貨物_LPG),MATCH(AY223+1,【参考】排出係数!$AI$4:$AI$671,1)-1,5,BE223),3,FALSE),IF(OR(AW223=1,AW223=2),VLOOKUP(AU223,INDEX((係数_乗用_ガソリン,係数_乗用_CNG,係数_乗用_軽油,係数_乗用_メタノール,係数_乗用_LPG),1,1,BE223):INDEX((係数_乗用_ガソリン,係数_乗用_CNG,係数_乗用_軽油,係数_乗用_メタノール,係数_乗用_LPG),125,5,BE223),3,FALSE))))))</f>
        <v/>
      </c>
      <c r="BC223" s="467" t="str">
        <f t="shared" si="116"/>
        <v/>
      </c>
      <c r="BD223" s="567" t="str">
        <f t="shared" si="117"/>
        <v/>
      </c>
      <c r="BE223" s="467" t="str">
        <f t="shared" si="118"/>
        <v/>
      </c>
      <c r="BF223" s="469" t="str">
        <f t="shared" ca="1" si="119"/>
        <v/>
      </c>
      <c r="BG223" s="469" t="str">
        <f t="shared" ca="1" si="120"/>
        <v/>
      </c>
      <c r="BH223" s="467" t="str">
        <f t="shared" si="121"/>
        <v/>
      </c>
      <c r="BI223" s="467" t="str">
        <f t="shared" ca="1" si="122"/>
        <v/>
      </c>
      <c r="BJ223" s="469" t="str">
        <f t="shared" si="123"/>
        <v/>
      </c>
      <c r="BK223" s="470" t="str">
        <f t="shared" si="103"/>
        <v/>
      </c>
      <c r="BL223" s="775" t="str">
        <f t="shared" si="124"/>
        <v/>
      </c>
      <c r="BM223" s="775" t="str">
        <f t="shared" si="125"/>
        <v/>
      </c>
    </row>
    <row r="224" spans="1:65">
      <c r="A224" s="473">
        <v>168</v>
      </c>
      <c r="B224" s="132"/>
      <c r="C224" s="332"/>
      <c r="D224" s="333"/>
      <c r="E224" s="333"/>
      <c r="F224" s="334"/>
      <c r="G224" s="337"/>
      <c r="H224" s="131"/>
      <c r="I224" s="337"/>
      <c r="J224" s="131"/>
      <c r="K224" s="458" t="str">
        <f t="shared" si="92"/>
        <v/>
      </c>
      <c r="L224" s="458">
        <f t="shared" si="104"/>
        <v>0</v>
      </c>
      <c r="M224" s="458">
        <f t="shared" si="105"/>
        <v>0</v>
      </c>
      <c r="N224" s="459" t="str">
        <f t="shared" si="93"/>
        <v/>
      </c>
      <c r="O224" s="459" t="str">
        <f t="shared" si="94"/>
        <v/>
      </c>
      <c r="P224" s="459" t="str">
        <f t="shared" si="95"/>
        <v/>
      </c>
      <c r="Q224" s="459" t="str">
        <f t="shared" si="96"/>
        <v/>
      </c>
      <c r="R224" s="459" t="str">
        <f t="shared" si="97"/>
        <v/>
      </c>
      <c r="S224" s="459" t="str">
        <f t="shared" si="98"/>
        <v/>
      </c>
      <c r="T224" s="566" t="str">
        <f t="shared" si="106"/>
        <v/>
      </c>
      <c r="U224" s="702"/>
      <c r="V224" s="132"/>
      <c r="W224" s="133"/>
      <c r="X224" s="134"/>
      <c r="Y224" s="135"/>
      <c r="Z224" s="137"/>
      <c r="AA224" s="136"/>
      <c r="AB224" s="566" t="str">
        <f t="shared" si="99"/>
        <v/>
      </c>
      <c r="AC224" s="568" t="str">
        <f t="shared" si="107"/>
        <v/>
      </c>
      <c r="AD224" s="137"/>
      <c r="AE224" s="137"/>
      <c r="AF224" s="138"/>
      <c r="AG224" s="138"/>
      <c r="AH224" s="592" t="str">
        <f t="shared" si="100"/>
        <v/>
      </c>
      <c r="AI224" s="592" t="str">
        <f t="shared" si="101"/>
        <v/>
      </c>
      <c r="AJ224" s="592" t="str">
        <f t="shared" si="102"/>
        <v/>
      </c>
      <c r="AK224" s="460" t="str">
        <f>IF(AU224="","",IF(OR(AZ224=8,AZ224=9),0,IF(OR(AW224=3,AW224=4,AW224=5,AW224=6),IF(LEFT(BF224,1)="1",INDEX(係数_NOX・PM低減,MATCH(AY224,【参考】排出係数!$AI$801:$AI$804,1),1),VLOOKUP(AU224,INDEX((係数_バス貨物_ガソリン,係数_バス貨物_CNG,係数_バス貨物_軽油,係数_バス貨物_メタノール,係数_バス貨物_LPG),MATCH(AY224,【参考】排出係数!$AI$4:$AI$671,1),1,BE224):INDEX((係数_バス貨物_ガソリン,係数_バス貨物_CNG,係数_バス貨物_軽油,係数_バス貨物_メタノール,係数_バス貨物_LPG),MATCH(AY224+1,【参考】排出係数!$AI$4:$AI$671,1)-1,5,BE224),4,FALSE)),IF(AND(BE224=3,LEFT(BF224,1)="1"),0.48,VLOOKUP(AU224,INDEX((係数_乗用_ガソリン,係数_乗用_CNG,係数_乗用_軽油,係数_乗用_メタノール,係数_乗用_LPG),1,1,BE224):INDEX((係数_乗用_ガソリン,係数_乗用_CNG,係数_乗用_軽油,係数_乗用_メタノール,係数_乗用_LPG),125,5,BE224),4,FALSE)))))</f>
        <v/>
      </c>
      <c r="AL224" s="461" t="str">
        <f t="shared" si="126"/>
        <v/>
      </c>
      <c r="AM224" s="460" t="str">
        <f>IF(AU224="","",IF(OR(AZ224=8,AZ224=9),0,IF(OR(AW224=3,AW224=4,AW224=5,AW224=6),IF(LEFT(BH224,1)="1",INDEX(係数_PM低減,MATCH(AY224,【参考】排出係数!$AI$801:$AI$804,1),MATCH(BI224,【参考】排出係数!$AL$798:$AO$798,1)),VLOOKUP(AU224,INDEX((係数_バス貨物_ガソリン,係数_バス貨物_CNG,係数_バス貨物_軽油,係数_バス貨物_メタノール,係数_バス貨物_LPG),MATCH(AY224,【参考】排出係数!$AI$4:$AI$671,1),1,BE224):INDEX((係数_バス貨物_ガソリン,係数_バス貨物_CNG,係数_バス貨物_軽油,係数_バス貨物_メタノール,係数_バス貨物_LPG),MATCH(AY224+1,【参考】排出係数!$AI$4:$AI$671,1)-1,5,BE224),5,FALSE)),IF(AND(BE224=3,LEFT(BF224,1)="1"),0.055,VLOOKUP(AU224,INDEX((係数_乗用_ガソリン,係数_乗用_CNG,係数_乗用_軽油,係数_乗用_メタノール,係数_乗用_LPG),1,1,BE224):INDEX((係数_乗用_ガソリン,係数_乗用_CNG,係数_乗用_軽油,係数_乗用_メタノール,係数_乗用_LPG),125,5,BE224),5,FALSE)))))</f>
        <v/>
      </c>
      <c r="AN224" s="461" t="str">
        <f t="shared" si="127"/>
        <v/>
      </c>
      <c r="AO224" s="462" t="str">
        <f t="shared" si="128"/>
        <v/>
      </c>
      <c r="AP224" s="463" t="str">
        <f t="shared" si="129"/>
        <v/>
      </c>
      <c r="AQ224" s="464"/>
      <c r="AR224" s="619"/>
      <c r="AS224" s="465" t="str">
        <f t="shared" si="108"/>
        <v/>
      </c>
      <c r="AT224" s="465" t="str">
        <f t="shared" si="109"/>
        <v/>
      </c>
      <c r="AU224" s="466" t="str">
        <f t="shared" si="110"/>
        <v/>
      </c>
      <c r="AV224" s="467" t="str">
        <f t="shared" si="111"/>
        <v/>
      </c>
      <c r="AW224" s="467" t="str">
        <f t="shared" si="112"/>
        <v/>
      </c>
      <c r="AX224" s="467" t="str">
        <f t="shared" si="113"/>
        <v/>
      </c>
      <c r="AY224" s="467" t="str">
        <f t="shared" si="114"/>
        <v/>
      </c>
      <c r="AZ224" s="467" t="str">
        <f t="shared" si="115"/>
        <v/>
      </c>
      <c r="BA224" s="468" t="str">
        <f>IF(AS224="","",IF(OR(AU224="",AU224="-"),"－",IF(OR(AZ224=8,AZ224=9),"",IF(OR(AW224=3,AW224=4,AW224=5,AW224=6),VLOOKUP(AU224,INDEX((係数_バス貨物_ガソリン,係数_バス貨物_CNG,係数_バス貨物_軽油,係数_バス貨物_メタノール,係数_バス貨物_LPG),MATCH(AY224,【参考】排出係数!$AI$4:$AI$671,1),1,BE224):INDEX((係数_バス貨物_ガソリン,係数_バス貨物_CNG,係数_バス貨物_軽油,係数_バス貨物_メタノール,係数_バス貨物_LPG),MATCH(AY224+1,【参考】排出係数!$AI$4:$AI$671,1)-1,5,BE224),2,FALSE),IF(OR(AW224=1,AW224=2),VLOOKUP(AU224,INDEX((係数_乗用_ガソリン,係数_乗用_CNG,係数_乗用_軽油,係数_乗用_メタノール,係数_乗用_LPG),1,1,BE224):INDEX((係数_乗用_ガソリン,係数_乗用_CNG,係数_乗用_軽油,係数_乗用_メタノール,係数_乗用_LPG),125,5,BE224),2,FALSE))))))</f>
        <v/>
      </c>
      <c r="BB224" s="468" t="str">
        <f>IF(T224="","",IF(OR(AU224="",AU224="-"),"－",IF(OR(AZ224=8,AZ224=9),"",IF(OR(AW224=3,AW224=4,AW224=5,AW224=6),VLOOKUP(AU224,INDEX((係数_バス貨物_ガソリン,係数_バス貨物_CNG,係数_バス貨物_軽油,係数_バス貨物_メタノール,係数_バス貨物_LPG),MATCH(AY224,【参考】排出係数!$AI$4:$AI$671,1),1,BE224):INDEX((係数_バス貨物_ガソリン,係数_バス貨物_CNG,係数_バス貨物_軽油,係数_バス貨物_メタノール,係数_バス貨物_LPG),MATCH(AY224+1,【参考】排出係数!$AI$4:$AI$671,1)-1,5,BE224),3,FALSE),IF(OR(AW224=1,AW224=2),VLOOKUP(AU224,INDEX((係数_乗用_ガソリン,係数_乗用_CNG,係数_乗用_軽油,係数_乗用_メタノール,係数_乗用_LPG),1,1,BE224):INDEX((係数_乗用_ガソリン,係数_乗用_CNG,係数_乗用_軽油,係数_乗用_メタノール,係数_乗用_LPG),125,5,BE224),3,FALSE))))))</f>
        <v/>
      </c>
      <c r="BC224" s="467" t="str">
        <f t="shared" si="116"/>
        <v/>
      </c>
      <c r="BD224" s="567" t="str">
        <f t="shared" si="117"/>
        <v/>
      </c>
      <c r="BE224" s="467" t="str">
        <f t="shared" si="118"/>
        <v/>
      </c>
      <c r="BF224" s="469" t="str">
        <f t="shared" ca="1" si="119"/>
        <v/>
      </c>
      <c r="BG224" s="469" t="str">
        <f t="shared" ca="1" si="120"/>
        <v/>
      </c>
      <c r="BH224" s="467" t="str">
        <f t="shared" si="121"/>
        <v/>
      </c>
      <c r="BI224" s="467" t="str">
        <f t="shared" ca="1" si="122"/>
        <v/>
      </c>
      <c r="BJ224" s="469" t="str">
        <f t="shared" si="123"/>
        <v/>
      </c>
      <c r="BK224" s="470" t="str">
        <f t="shared" si="103"/>
        <v/>
      </c>
      <c r="BL224" s="775" t="str">
        <f t="shared" si="124"/>
        <v/>
      </c>
      <c r="BM224" s="775" t="str">
        <f t="shared" si="125"/>
        <v/>
      </c>
    </row>
    <row r="225" spans="1:65">
      <c r="A225" s="473">
        <v>169</v>
      </c>
      <c r="B225" s="132"/>
      <c r="C225" s="332"/>
      <c r="D225" s="333"/>
      <c r="E225" s="333"/>
      <c r="F225" s="334"/>
      <c r="G225" s="337"/>
      <c r="H225" s="131"/>
      <c r="I225" s="337"/>
      <c r="J225" s="131"/>
      <c r="K225" s="458" t="str">
        <f t="shared" si="92"/>
        <v/>
      </c>
      <c r="L225" s="458">
        <f t="shared" si="104"/>
        <v>0</v>
      </c>
      <c r="M225" s="458">
        <f t="shared" si="105"/>
        <v>0</v>
      </c>
      <c r="N225" s="459" t="str">
        <f t="shared" si="93"/>
        <v/>
      </c>
      <c r="O225" s="459" t="str">
        <f t="shared" si="94"/>
        <v/>
      </c>
      <c r="P225" s="459" t="str">
        <f t="shared" si="95"/>
        <v/>
      </c>
      <c r="Q225" s="459" t="str">
        <f t="shared" si="96"/>
        <v/>
      </c>
      <c r="R225" s="459" t="str">
        <f t="shared" si="97"/>
        <v/>
      </c>
      <c r="S225" s="459" t="str">
        <f t="shared" si="98"/>
        <v/>
      </c>
      <c r="T225" s="566" t="str">
        <f t="shared" si="106"/>
        <v/>
      </c>
      <c r="U225" s="702"/>
      <c r="V225" s="132"/>
      <c r="W225" s="133"/>
      <c r="X225" s="134"/>
      <c r="Y225" s="135"/>
      <c r="Z225" s="137"/>
      <c r="AA225" s="136"/>
      <c r="AB225" s="566" t="str">
        <f t="shared" si="99"/>
        <v/>
      </c>
      <c r="AC225" s="568" t="str">
        <f t="shared" si="107"/>
        <v/>
      </c>
      <c r="AD225" s="137"/>
      <c r="AE225" s="137"/>
      <c r="AF225" s="138"/>
      <c r="AG225" s="138"/>
      <c r="AH225" s="592" t="str">
        <f t="shared" si="100"/>
        <v/>
      </c>
      <c r="AI225" s="592" t="str">
        <f t="shared" si="101"/>
        <v/>
      </c>
      <c r="AJ225" s="592" t="str">
        <f t="shared" si="102"/>
        <v/>
      </c>
      <c r="AK225" s="460" t="str">
        <f>IF(AU225="","",IF(OR(AZ225=8,AZ225=9),0,IF(OR(AW225=3,AW225=4,AW225=5,AW225=6),IF(LEFT(BF225,1)="1",INDEX(係数_NOX・PM低減,MATCH(AY225,【参考】排出係数!$AI$801:$AI$804,1),1),VLOOKUP(AU225,INDEX((係数_バス貨物_ガソリン,係数_バス貨物_CNG,係数_バス貨物_軽油,係数_バス貨物_メタノール,係数_バス貨物_LPG),MATCH(AY225,【参考】排出係数!$AI$4:$AI$671,1),1,BE225):INDEX((係数_バス貨物_ガソリン,係数_バス貨物_CNG,係数_バス貨物_軽油,係数_バス貨物_メタノール,係数_バス貨物_LPG),MATCH(AY225+1,【参考】排出係数!$AI$4:$AI$671,1)-1,5,BE225),4,FALSE)),IF(AND(BE225=3,LEFT(BF225,1)="1"),0.48,VLOOKUP(AU225,INDEX((係数_乗用_ガソリン,係数_乗用_CNG,係数_乗用_軽油,係数_乗用_メタノール,係数_乗用_LPG),1,1,BE225):INDEX((係数_乗用_ガソリン,係数_乗用_CNG,係数_乗用_軽油,係数_乗用_メタノール,係数_乗用_LPG),125,5,BE225),4,FALSE)))))</f>
        <v/>
      </c>
      <c r="AL225" s="461" t="str">
        <f t="shared" si="126"/>
        <v/>
      </c>
      <c r="AM225" s="460" t="str">
        <f>IF(AU225="","",IF(OR(AZ225=8,AZ225=9),0,IF(OR(AW225=3,AW225=4,AW225=5,AW225=6),IF(LEFT(BH225,1)="1",INDEX(係数_PM低減,MATCH(AY225,【参考】排出係数!$AI$801:$AI$804,1),MATCH(BI225,【参考】排出係数!$AL$798:$AO$798,1)),VLOOKUP(AU225,INDEX((係数_バス貨物_ガソリン,係数_バス貨物_CNG,係数_バス貨物_軽油,係数_バス貨物_メタノール,係数_バス貨物_LPG),MATCH(AY225,【参考】排出係数!$AI$4:$AI$671,1),1,BE225):INDEX((係数_バス貨物_ガソリン,係数_バス貨物_CNG,係数_バス貨物_軽油,係数_バス貨物_メタノール,係数_バス貨物_LPG),MATCH(AY225+1,【参考】排出係数!$AI$4:$AI$671,1)-1,5,BE225),5,FALSE)),IF(AND(BE225=3,LEFT(BF225,1)="1"),0.055,VLOOKUP(AU225,INDEX((係数_乗用_ガソリン,係数_乗用_CNG,係数_乗用_軽油,係数_乗用_メタノール,係数_乗用_LPG),1,1,BE225):INDEX((係数_乗用_ガソリン,係数_乗用_CNG,係数_乗用_軽油,係数_乗用_メタノール,係数_乗用_LPG),125,5,BE225),5,FALSE)))))</f>
        <v/>
      </c>
      <c r="AN225" s="461" t="str">
        <f t="shared" si="127"/>
        <v/>
      </c>
      <c r="AO225" s="462" t="str">
        <f t="shared" si="128"/>
        <v/>
      </c>
      <c r="AP225" s="463" t="str">
        <f t="shared" si="129"/>
        <v/>
      </c>
      <c r="AQ225" s="464"/>
      <c r="AR225" s="619"/>
      <c r="AS225" s="465" t="str">
        <f t="shared" si="108"/>
        <v/>
      </c>
      <c r="AT225" s="465" t="str">
        <f t="shared" si="109"/>
        <v/>
      </c>
      <c r="AU225" s="466" t="str">
        <f t="shared" si="110"/>
        <v/>
      </c>
      <c r="AV225" s="467" t="str">
        <f t="shared" si="111"/>
        <v/>
      </c>
      <c r="AW225" s="467" t="str">
        <f t="shared" si="112"/>
        <v/>
      </c>
      <c r="AX225" s="467" t="str">
        <f t="shared" si="113"/>
        <v/>
      </c>
      <c r="AY225" s="467" t="str">
        <f t="shared" si="114"/>
        <v/>
      </c>
      <c r="AZ225" s="467" t="str">
        <f t="shared" si="115"/>
        <v/>
      </c>
      <c r="BA225" s="468" t="str">
        <f>IF(AS225="","",IF(OR(AU225="",AU225="-"),"－",IF(OR(AZ225=8,AZ225=9),"",IF(OR(AW225=3,AW225=4,AW225=5,AW225=6),VLOOKUP(AU225,INDEX((係数_バス貨物_ガソリン,係数_バス貨物_CNG,係数_バス貨物_軽油,係数_バス貨物_メタノール,係数_バス貨物_LPG),MATCH(AY225,【参考】排出係数!$AI$4:$AI$671,1),1,BE225):INDEX((係数_バス貨物_ガソリン,係数_バス貨物_CNG,係数_バス貨物_軽油,係数_バス貨物_メタノール,係数_バス貨物_LPG),MATCH(AY225+1,【参考】排出係数!$AI$4:$AI$671,1)-1,5,BE225),2,FALSE),IF(OR(AW225=1,AW225=2),VLOOKUP(AU225,INDEX((係数_乗用_ガソリン,係数_乗用_CNG,係数_乗用_軽油,係数_乗用_メタノール,係数_乗用_LPG),1,1,BE225):INDEX((係数_乗用_ガソリン,係数_乗用_CNG,係数_乗用_軽油,係数_乗用_メタノール,係数_乗用_LPG),125,5,BE225),2,FALSE))))))</f>
        <v/>
      </c>
      <c r="BB225" s="468" t="str">
        <f>IF(T225="","",IF(OR(AU225="",AU225="-"),"－",IF(OR(AZ225=8,AZ225=9),"",IF(OR(AW225=3,AW225=4,AW225=5,AW225=6),VLOOKUP(AU225,INDEX((係数_バス貨物_ガソリン,係数_バス貨物_CNG,係数_バス貨物_軽油,係数_バス貨物_メタノール,係数_バス貨物_LPG),MATCH(AY225,【参考】排出係数!$AI$4:$AI$671,1),1,BE225):INDEX((係数_バス貨物_ガソリン,係数_バス貨物_CNG,係数_バス貨物_軽油,係数_バス貨物_メタノール,係数_バス貨物_LPG),MATCH(AY225+1,【参考】排出係数!$AI$4:$AI$671,1)-1,5,BE225),3,FALSE),IF(OR(AW225=1,AW225=2),VLOOKUP(AU225,INDEX((係数_乗用_ガソリン,係数_乗用_CNG,係数_乗用_軽油,係数_乗用_メタノール,係数_乗用_LPG),1,1,BE225):INDEX((係数_乗用_ガソリン,係数_乗用_CNG,係数_乗用_軽油,係数_乗用_メタノール,係数_乗用_LPG),125,5,BE225),3,FALSE))))))</f>
        <v/>
      </c>
      <c r="BC225" s="467" t="str">
        <f t="shared" si="116"/>
        <v/>
      </c>
      <c r="BD225" s="567" t="str">
        <f t="shared" si="117"/>
        <v/>
      </c>
      <c r="BE225" s="467" t="str">
        <f t="shared" si="118"/>
        <v/>
      </c>
      <c r="BF225" s="469" t="str">
        <f t="shared" ca="1" si="119"/>
        <v/>
      </c>
      <c r="BG225" s="469" t="str">
        <f t="shared" ca="1" si="120"/>
        <v/>
      </c>
      <c r="BH225" s="467" t="str">
        <f t="shared" si="121"/>
        <v/>
      </c>
      <c r="BI225" s="467" t="str">
        <f t="shared" ca="1" si="122"/>
        <v/>
      </c>
      <c r="BJ225" s="469" t="str">
        <f t="shared" si="123"/>
        <v/>
      </c>
      <c r="BK225" s="470" t="str">
        <f t="shared" si="103"/>
        <v/>
      </c>
      <c r="BL225" s="775" t="str">
        <f t="shared" si="124"/>
        <v/>
      </c>
      <c r="BM225" s="775" t="str">
        <f t="shared" si="125"/>
        <v/>
      </c>
    </row>
    <row r="226" spans="1:65">
      <c r="A226" s="473">
        <v>170</v>
      </c>
      <c r="B226" s="132"/>
      <c r="C226" s="332"/>
      <c r="D226" s="333"/>
      <c r="E226" s="333"/>
      <c r="F226" s="334"/>
      <c r="G226" s="337"/>
      <c r="H226" s="131"/>
      <c r="I226" s="337"/>
      <c r="J226" s="131"/>
      <c r="K226" s="458" t="str">
        <f t="shared" si="92"/>
        <v/>
      </c>
      <c r="L226" s="458">
        <f t="shared" si="104"/>
        <v>0</v>
      </c>
      <c r="M226" s="458">
        <f t="shared" si="105"/>
        <v>0</v>
      </c>
      <c r="N226" s="459" t="str">
        <f t="shared" si="93"/>
        <v/>
      </c>
      <c r="O226" s="459" t="str">
        <f t="shared" si="94"/>
        <v/>
      </c>
      <c r="P226" s="459" t="str">
        <f t="shared" si="95"/>
        <v/>
      </c>
      <c r="Q226" s="459" t="str">
        <f t="shared" si="96"/>
        <v/>
      </c>
      <c r="R226" s="459" t="str">
        <f t="shared" si="97"/>
        <v/>
      </c>
      <c r="S226" s="459" t="str">
        <f t="shared" si="98"/>
        <v/>
      </c>
      <c r="T226" s="566" t="str">
        <f t="shared" si="106"/>
        <v/>
      </c>
      <c r="U226" s="702"/>
      <c r="V226" s="132"/>
      <c r="W226" s="133"/>
      <c r="X226" s="134"/>
      <c r="Y226" s="135"/>
      <c r="Z226" s="137"/>
      <c r="AA226" s="136"/>
      <c r="AB226" s="566" t="str">
        <f t="shared" si="99"/>
        <v/>
      </c>
      <c r="AC226" s="568" t="str">
        <f t="shared" si="107"/>
        <v/>
      </c>
      <c r="AD226" s="137"/>
      <c r="AE226" s="137"/>
      <c r="AF226" s="138"/>
      <c r="AG226" s="138"/>
      <c r="AH226" s="592" t="str">
        <f t="shared" si="100"/>
        <v/>
      </c>
      <c r="AI226" s="592" t="str">
        <f t="shared" si="101"/>
        <v/>
      </c>
      <c r="AJ226" s="592" t="str">
        <f t="shared" si="102"/>
        <v/>
      </c>
      <c r="AK226" s="460" t="str">
        <f>IF(AU226="","",IF(OR(AZ226=8,AZ226=9),0,IF(OR(AW226=3,AW226=4,AW226=5,AW226=6),IF(LEFT(BF226,1)="1",INDEX(係数_NOX・PM低減,MATCH(AY226,【参考】排出係数!$AI$801:$AI$804,1),1),VLOOKUP(AU226,INDEX((係数_バス貨物_ガソリン,係数_バス貨物_CNG,係数_バス貨物_軽油,係数_バス貨物_メタノール,係数_バス貨物_LPG),MATCH(AY226,【参考】排出係数!$AI$4:$AI$671,1),1,BE226):INDEX((係数_バス貨物_ガソリン,係数_バス貨物_CNG,係数_バス貨物_軽油,係数_バス貨物_メタノール,係数_バス貨物_LPG),MATCH(AY226+1,【参考】排出係数!$AI$4:$AI$671,1)-1,5,BE226),4,FALSE)),IF(AND(BE226=3,LEFT(BF226,1)="1"),0.48,VLOOKUP(AU226,INDEX((係数_乗用_ガソリン,係数_乗用_CNG,係数_乗用_軽油,係数_乗用_メタノール,係数_乗用_LPG),1,1,BE226):INDEX((係数_乗用_ガソリン,係数_乗用_CNG,係数_乗用_軽油,係数_乗用_メタノール,係数_乗用_LPG),125,5,BE226),4,FALSE)))))</f>
        <v/>
      </c>
      <c r="AL226" s="461" t="str">
        <f t="shared" si="126"/>
        <v/>
      </c>
      <c r="AM226" s="460" t="str">
        <f>IF(AU226="","",IF(OR(AZ226=8,AZ226=9),0,IF(OR(AW226=3,AW226=4,AW226=5,AW226=6),IF(LEFT(BH226,1)="1",INDEX(係数_PM低減,MATCH(AY226,【参考】排出係数!$AI$801:$AI$804,1),MATCH(BI226,【参考】排出係数!$AL$798:$AO$798,1)),VLOOKUP(AU226,INDEX((係数_バス貨物_ガソリン,係数_バス貨物_CNG,係数_バス貨物_軽油,係数_バス貨物_メタノール,係数_バス貨物_LPG),MATCH(AY226,【参考】排出係数!$AI$4:$AI$671,1),1,BE226):INDEX((係数_バス貨物_ガソリン,係数_バス貨物_CNG,係数_バス貨物_軽油,係数_バス貨物_メタノール,係数_バス貨物_LPG),MATCH(AY226+1,【参考】排出係数!$AI$4:$AI$671,1)-1,5,BE226),5,FALSE)),IF(AND(BE226=3,LEFT(BF226,1)="1"),0.055,VLOOKUP(AU226,INDEX((係数_乗用_ガソリン,係数_乗用_CNG,係数_乗用_軽油,係数_乗用_メタノール,係数_乗用_LPG),1,1,BE226):INDEX((係数_乗用_ガソリン,係数_乗用_CNG,係数_乗用_軽油,係数_乗用_メタノール,係数_乗用_LPG),125,5,BE226),5,FALSE)))))</f>
        <v/>
      </c>
      <c r="AN226" s="461" t="str">
        <f t="shared" si="127"/>
        <v/>
      </c>
      <c r="AO226" s="462" t="str">
        <f t="shared" si="128"/>
        <v/>
      </c>
      <c r="AP226" s="463" t="str">
        <f t="shared" si="129"/>
        <v/>
      </c>
      <c r="AQ226" s="464"/>
      <c r="AR226" s="619"/>
      <c r="AS226" s="465" t="str">
        <f t="shared" si="108"/>
        <v/>
      </c>
      <c r="AT226" s="465" t="str">
        <f t="shared" si="109"/>
        <v/>
      </c>
      <c r="AU226" s="466" t="str">
        <f t="shared" si="110"/>
        <v/>
      </c>
      <c r="AV226" s="467" t="str">
        <f t="shared" si="111"/>
        <v/>
      </c>
      <c r="AW226" s="467" t="str">
        <f t="shared" si="112"/>
        <v/>
      </c>
      <c r="AX226" s="467" t="str">
        <f t="shared" si="113"/>
        <v/>
      </c>
      <c r="AY226" s="467" t="str">
        <f t="shared" si="114"/>
        <v/>
      </c>
      <c r="AZ226" s="467" t="str">
        <f t="shared" si="115"/>
        <v/>
      </c>
      <c r="BA226" s="468" t="str">
        <f>IF(AS226="","",IF(OR(AU226="",AU226="-"),"－",IF(OR(AZ226=8,AZ226=9),"",IF(OR(AW226=3,AW226=4,AW226=5,AW226=6),VLOOKUP(AU226,INDEX((係数_バス貨物_ガソリン,係数_バス貨物_CNG,係数_バス貨物_軽油,係数_バス貨物_メタノール,係数_バス貨物_LPG),MATCH(AY226,【参考】排出係数!$AI$4:$AI$671,1),1,BE226):INDEX((係数_バス貨物_ガソリン,係数_バス貨物_CNG,係数_バス貨物_軽油,係数_バス貨物_メタノール,係数_バス貨物_LPG),MATCH(AY226+1,【参考】排出係数!$AI$4:$AI$671,1)-1,5,BE226),2,FALSE),IF(OR(AW226=1,AW226=2),VLOOKUP(AU226,INDEX((係数_乗用_ガソリン,係数_乗用_CNG,係数_乗用_軽油,係数_乗用_メタノール,係数_乗用_LPG),1,1,BE226):INDEX((係数_乗用_ガソリン,係数_乗用_CNG,係数_乗用_軽油,係数_乗用_メタノール,係数_乗用_LPG),125,5,BE226),2,FALSE))))))</f>
        <v/>
      </c>
      <c r="BB226" s="468" t="str">
        <f>IF(T226="","",IF(OR(AU226="",AU226="-"),"－",IF(OR(AZ226=8,AZ226=9),"",IF(OR(AW226=3,AW226=4,AW226=5,AW226=6),VLOOKUP(AU226,INDEX((係数_バス貨物_ガソリン,係数_バス貨物_CNG,係数_バス貨物_軽油,係数_バス貨物_メタノール,係数_バス貨物_LPG),MATCH(AY226,【参考】排出係数!$AI$4:$AI$671,1),1,BE226):INDEX((係数_バス貨物_ガソリン,係数_バス貨物_CNG,係数_バス貨物_軽油,係数_バス貨物_メタノール,係数_バス貨物_LPG),MATCH(AY226+1,【参考】排出係数!$AI$4:$AI$671,1)-1,5,BE226),3,FALSE),IF(OR(AW226=1,AW226=2),VLOOKUP(AU226,INDEX((係数_乗用_ガソリン,係数_乗用_CNG,係数_乗用_軽油,係数_乗用_メタノール,係数_乗用_LPG),1,1,BE226):INDEX((係数_乗用_ガソリン,係数_乗用_CNG,係数_乗用_軽油,係数_乗用_メタノール,係数_乗用_LPG),125,5,BE226),3,FALSE))))))</f>
        <v/>
      </c>
      <c r="BC226" s="467" t="str">
        <f t="shared" si="116"/>
        <v/>
      </c>
      <c r="BD226" s="567" t="str">
        <f t="shared" si="117"/>
        <v/>
      </c>
      <c r="BE226" s="467" t="str">
        <f t="shared" si="118"/>
        <v/>
      </c>
      <c r="BF226" s="469" t="str">
        <f t="shared" ca="1" si="119"/>
        <v/>
      </c>
      <c r="BG226" s="469" t="str">
        <f t="shared" ca="1" si="120"/>
        <v/>
      </c>
      <c r="BH226" s="467" t="str">
        <f t="shared" si="121"/>
        <v/>
      </c>
      <c r="BI226" s="467" t="str">
        <f t="shared" ca="1" si="122"/>
        <v/>
      </c>
      <c r="BJ226" s="469" t="str">
        <f t="shared" si="123"/>
        <v/>
      </c>
      <c r="BK226" s="470" t="str">
        <f t="shared" si="103"/>
        <v/>
      </c>
      <c r="BL226" s="775" t="str">
        <f t="shared" si="124"/>
        <v/>
      </c>
      <c r="BM226" s="775" t="str">
        <f t="shared" si="125"/>
        <v/>
      </c>
    </row>
    <row r="227" spans="1:65">
      <c r="A227" s="473">
        <v>171</v>
      </c>
      <c r="B227" s="132"/>
      <c r="C227" s="332"/>
      <c r="D227" s="333"/>
      <c r="E227" s="333"/>
      <c r="F227" s="334"/>
      <c r="G227" s="337"/>
      <c r="H227" s="131"/>
      <c r="I227" s="337"/>
      <c r="J227" s="131"/>
      <c r="K227" s="458" t="str">
        <f t="shared" si="92"/>
        <v/>
      </c>
      <c r="L227" s="458">
        <f t="shared" si="104"/>
        <v>0</v>
      </c>
      <c r="M227" s="458">
        <f t="shared" si="105"/>
        <v>0</v>
      </c>
      <c r="N227" s="459" t="str">
        <f t="shared" si="93"/>
        <v/>
      </c>
      <c r="O227" s="459" t="str">
        <f t="shared" si="94"/>
        <v/>
      </c>
      <c r="P227" s="459" t="str">
        <f t="shared" si="95"/>
        <v/>
      </c>
      <c r="Q227" s="459" t="str">
        <f t="shared" si="96"/>
        <v/>
      </c>
      <c r="R227" s="459" t="str">
        <f t="shared" si="97"/>
        <v/>
      </c>
      <c r="S227" s="459" t="str">
        <f t="shared" si="98"/>
        <v/>
      </c>
      <c r="T227" s="566" t="str">
        <f t="shared" si="106"/>
        <v/>
      </c>
      <c r="U227" s="702"/>
      <c r="V227" s="132"/>
      <c r="W227" s="133"/>
      <c r="X227" s="134"/>
      <c r="Y227" s="135"/>
      <c r="Z227" s="137"/>
      <c r="AA227" s="136"/>
      <c r="AB227" s="566" t="str">
        <f t="shared" si="99"/>
        <v/>
      </c>
      <c r="AC227" s="568" t="str">
        <f t="shared" si="107"/>
        <v/>
      </c>
      <c r="AD227" s="137"/>
      <c r="AE227" s="137"/>
      <c r="AF227" s="138"/>
      <c r="AG227" s="138"/>
      <c r="AH227" s="592" t="str">
        <f t="shared" si="100"/>
        <v/>
      </c>
      <c r="AI227" s="592" t="str">
        <f t="shared" si="101"/>
        <v/>
      </c>
      <c r="AJ227" s="592" t="str">
        <f t="shared" si="102"/>
        <v/>
      </c>
      <c r="AK227" s="460" t="str">
        <f>IF(AU227="","",IF(OR(AZ227=8,AZ227=9),0,IF(OR(AW227=3,AW227=4,AW227=5,AW227=6),IF(LEFT(BF227,1)="1",INDEX(係数_NOX・PM低減,MATCH(AY227,【参考】排出係数!$AI$801:$AI$804,1),1),VLOOKUP(AU227,INDEX((係数_バス貨物_ガソリン,係数_バス貨物_CNG,係数_バス貨物_軽油,係数_バス貨物_メタノール,係数_バス貨物_LPG),MATCH(AY227,【参考】排出係数!$AI$4:$AI$671,1),1,BE227):INDEX((係数_バス貨物_ガソリン,係数_バス貨物_CNG,係数_バス貨物_軽油,係数_バス貨物_メタノール,係数_バス貨物_LPG),MATCH(AY227+1,【参考】排出係数!$AI$4:$AI$671,1)-1,5,BE227),4,FALSE)),IF(AND(BE227=3,LEFT(BF227,1)="1"),0.48,VLOOKUP(AU227,INDEX((係数_乗用_ガソリン,係数_乗用_CNG,係数_乗用_軽油,係数_乗用_メタノール,係数_乗用_LPG),1,1,BE227):INDEX((係数_乗用_ガソリン,係数_乗用_CNG,係数_乗用_軽油,係数_乗用_メタノール,係数_乗用_LPG),125,5,BE227),4,FALSE)))))</f>
        <v/>
      </c>
      <c r="AL227" s="461" t="str">
        <f t="shared" si="126"/>
        <v/>
      </c>
      <c r="AM227" s="460" t="str">
        <f>IF(AU227="","",IF(OR(AZ227=8,AZ227=9),0,IF(OR(AW227=3,AW227=4,AW227=5,AW227=6),IF(LEFT(BH227,1)="1",INDEX(係数_PM低減,MATCH(AY227,【参考】排出係数!$AI$801:$AI$804,1),MATCH(BI227,【参考】排出係数!$AL$798:$AO$798,1)),VLOOKUP(AU227,INDEX((係数_バス貨物_ガソリン,係数_バス貨物_CNG,係数_バス貨物_軽油,係数_バス貨物_メタノール,係数_バス貨物_LPG),MATCH(AY227,【参考】排出係数!$AI$4:$AI$671,1),1,BE227):INDEX((係数_バス貨物_ガソリン,係数_バス貨物_CNG,係数_バス貨物_軽油,係数_バス貨物_メタノール,係数_バス貨物_LPG),MATCH(AY227+1,【参考】排出係数!$AI$4:$AI$671,1)-1,5,BE227),5,FALSE)),IF(AND(BE227=3,LEFT(BF227,1)="1"),0.055,VLOOKUP(AU227,INDEX((係数_乗用_ガソリン,係数_乗用_CNG,係数_乗用_軽油,係数_乗用_メタノール,係数_乗用_LPG),1,1,BE227):INDEX((係数_乗用_ガソリン,係数_乗用_CNG,係数_乗用_軽油,係数_乗用_メタノール,係数_乗用_LPG),125,5,BE227),5,FALSE)))))</f>
        <v/>
      </c>
      <c r="AN227" s="461" t="str">
        <f t="shared" si="127"/>
        <v/>
      </c>
      <c r="AO227" s="462" t="str">
        <f t="shared" si="128"/>
        <v/>
      </c>
      <c r="AP227" s="463" t="str">
        <f t="shared" si="129"/>
        <v/>
      </c>
      <c r="AQ227" s="464"/>
      <c r="AR227" s="619"/>
      <c r="AS227" s="465" t="str">
        <f t="shared" si="108"/>
        <v/>
      </c>
      <c r="AT227" s="465" t="str">
        <f t="shared" si="109"/>
        <v/>
      </c>
      <c r="AU227" s="466" t="str">
        <f t="shared" si="110"/>
        <v/>
      </c>
      <c r="AV227" s="467" t="str">
        <f t="shared" si="111"/>
        <v/>
      </c>
      <c r="AW227" s="467" t="str">
        <f t="shared" si="112"/>
        <v/>
      </c>
      <c r="AX227" s="467" t="str">
        <f t="shared" si="113"/>
        <v/>
      </c>
      <c r="AY227" s="467" t="str">
        <f t="shared" si="114"/>
        <v/>
      </c>
      <c r="AZ227" s="467" t="str">
        <f t="shared" si="115"/>
        <v/>
      </c>
      <c r="BA227" s="468" t="str">
        <f>IF(AS227="","",IF(OR(AU227="",AU227="-"),"－",IF(OR(AZ227=8,AZ227=9),"",IF(OR(AW227=3,AW227=4,AW227=5,AW227=6),VLOOKUP(AU227,INDEX((係数_バス貨物_ガソリン,係数_バス貨物_CNG,係数_バス貨物_軽油,係数_バス貨物_メタノール,係数_バス貨物_LPG),MATCH(AY227,【参考】排出係数!$AI$4:$AI$671,1),1,BE227):INDEX((係数_バス貨物_ガソリン,係数_バス貨物_CNG,係数_バス貨物_軽油,係数_バス貨物_メタノール,係数_バス貨物_LPG),MATCH(AY227+1,【参考】排出係数!$AI$4:$AI$671,1)-1,5,BE227),2,FALSE),IF(OR(AW227=1,AW227=2),VLOOKUP(AU227,INDEX((係数_乗用_ガソリン,係数_乗用_CNG,係数_乗用_軽油,係数_乗用_メタノール,係数_乗用_LPG),1,1,BE227):INDEX((係数_乗用_ガソリン,係数_乗用_CNG,係数_乗用_軽油,係数_乗用_メタノール,係数_乗用_LPG),125,5,BE227),2,FALSE))))))</f>
        <v/>
      </c>
      <c r="BB227" s="468" t="str">
        <f>IF(T227="","",IF(OR(AU227="",AU227="-"),"－",IF(OR(AZ227=8,AZ227=9),"",IF(OR(AW227=3,AW227=4,AW227=5,AW227=6),VLOOKUP(AU227,INDEX((係数_バス貨物_ガソリン,係数_バス貨物_CNG,係数_バス貨物_軽油,係数_バス貨物_メタノール,係数_バス貨物_LPG),MATCH(AY227,【参考】排出係数!$AI$4:$AI$671,1),1,BE227):INDEX((係数_バス貨物_ガソリン,係数_バス貨物_CNG,係数_バス貨物_軽油,係数_バス貨物_メタノール,係数_バス貨物_LPG),MATCH(AY227+1,【参考】排出係数!$AI$4:$AI$671,1)-1,5,BE227),3,FALSE),IF(OR(AW227=1,AW227=2),VLOOKUP(AU227,INDEX((係数_乗用_ガソリン,係数_乗用_CNG,係数_乗用_軽油,係数_乗用_メタノール,係数_乗用_LPG),1,1,BE227):INDEX((係数_乗用_ガソリン,係数_乗用_CNG,係数_乗用_軽油,係数_乗用_メタノール,係数_乗用_LPG),125,5,BE227),3,FALSE))))))</f>
        <v/>
      </c>
      <c r="BC227" s="467" t="str">
        <f t="shared" si="116"/>
        <v/>
      </c>
      <c r="BD227" s="567" t="str">
        <f t="shared" si="117"/>
        <v/>
      </c>
      <c r="BE227" s="467" t="str">
        <f t="shared" si="118"/>
        <v/>
      </c>
      <c r="BF227" s="469" t="str">
        <f t="shared" ca="1" si="119"/>
        <v/>
      </c>
      <c r="BG227" s="469" t="str">
        <f t="shared" ca="1" si="120"/>
        <v/>
      </c>
      <c r="BH227" s="467" t="str">
        <f t="shared" si="121"/>
        <v/>
      </c>
      <c r="BI227" s="467" t="str">
        <f t="shared" ca="1" si="122"/>
        <v/>
      </c>
      <c r="BJ227" s="469" t="str">
        <f t="shared" si="123"/>
        <v/>
      </c>
      <c r="BK227" s="470" t="str">
        <f t="shared" si="103"/>
        <v/>
      </c>
      <c r="BL227" s="775" t="str">
        <f t="shared" si="124"/>
        <v/>
      </c>
      <c r="BM227" s="775" t="str">
        <f t="shared" si="125"/>
        <v/>
      </c>
    </row>
    <row r="228" spans="1:65">
      <c r="A228" s="473">
        <v>172</v>
      </c>
      <c r="B228" s="132"/>
      <c r="C228" s="332"/>
      <c r="D228" s="333"/>
      <c r="E228" s="333"/>
      <c r="F228" s="334"/>
      <c r="G228" s="337"/>
      <c r="H228" s="131"/>
      <c r="I228" s="337"/>
      <c r="J228" s="131"/>
      <c r="K228" s="458" t="str">
        <f t="shared" si="92"/>
        <v/>
      </c>
      <c r="L228" s="458">
        <f t="shared" si="104"/>
        <v>0</v>
      </c>
      <c r="M228" s="458">
        <f t="shared" si="105"/>
        <v>0</v>
      </c>
      <c r="N228" s="459" t="str">
        <f t="shared" si="93"/>
        <v/>
      </c>
      <c r="O228" s="459" t="str">
        <f t="shared" si="94"/>
        <v/>
      </c>
      <c r="P228" s="459" t="str">
        <f t="shared" si="95"/>
        <v/>
      </c>
      <c r="Q228" s="459" t="str">
        <f t="shared" si="96"/>
        <v/>
      </c>
      <c r="R228" s="459" t="str">
        <f t="shared" si="97"/>
        <v/>
      </c>
      <c r="S228" s="459" t="str">
        <f t="shared" si="98"/>
        <v/>
      </c>
      <c r="T228" s="566" t="str">
        <f t="shared" si="106"/>
        <v/>
      </c>
      <c r="U228" s="702"/>
      <c r="V228" s="132"/>
      <c r="W228" s="133"/>
      <c r="X228" s="134"/>
      <c r="Y228" s="135"/>
      <c r="Z228" s="137"/>
      <c r="AA228" s="136"/>
      <c r="AB228" s="566" t="str">
        <f t="shared" si="99"/>
        <v/>
      </c>
      <c r="AC228" s="568" t="str">
        <f t="shared" si="107"/>
        <v/>
      </c>
      <c r="AD228" s="137"/>
      <c r="AE228" s="137"/>
      <c r="AF228" s="138"/>
      <c r="AG228" s="138"/>
      <c r="AH228" s="592" t="str">
        <f t="shared" si="100"/>
        <v/>
      </c>
      <c r="AI228" s="592" t="str">
        <f t="shared" si="101"/>
        <v/>
      </c>
      <c r="AJ228" s="592" t="str">
        <f t="shared" si="102"/>
        <v/>
      </c>
      <c r="AK228" s="460" t="str">
        <f>IF(AU228="","",IF(OR(AZ228=8,AZ228=9),0,IF(OR(AW228=3,AW228=4,AW228=5,AW228=6),IF(LEFT(BF228,1)="1",INDEX(係数_NOX・PM低減,MATCH(AY228,【参考】排出係数!$AI$801:$AI$804,1),1),VLOOKUP(AU228,INDEX((係数_バス貨物_ガソリン,係数_バス貨物_CNG,係数_バス貨物_軽油,係数_バス貨物_メタノール,係数_バス貨物_LPG),MATCH(AY228,【参考】排出係数!$AI$4:$AI$671,1),1,BE228):INDEX((係数_バス貨物_ガソリン,係数_バス貨物_CNG,係数_バス貨物_軽油,係数_バス貨物_メタノール,係数_バス貨物_LPG),MATCH(AY228+1,【参考】排出係数!$AI$4:$AI$671,1)-1,5,BE228),4,FALSE)),IF(AND(BE228=3,LEFT(BF228,1)="1"),0.48,VLOOKUP(AU228,INDEX((係数_乗用_ガソリン,係数_乗用_CNG,係数_乗用_軽油,係数_乗用_メタノール,係数_乗用_LPG),1,1,BE228):INDEX((係数_乗用_ガソリン,係数_乗用_CNG,係数_乗用_軽油,係数_乗用_メタノール,係数_乗用_LPG),125,5,BE228),4,FALSE)))))</f>
        <v/>
      </c>
      <c r="AL228" s="461" t="str">
        <f t="shared" si="126"/>
        <v/>
      </c>
      <c r="AM228" s="460" t="str">
        <f>IF(AU228="","",IF(OR(AZ228=8,AZ228=9),0,IF(OR(AW228=3,AW228=4,AW228=5,AW228=6),IF(LEFT(BH228,1)="1",INDEX(係数_PM低減,MATCH(AY228,【参考】排出係数!$AI$801:$AI$804,1),MATCH(BI228,【参考】排出係数!$AL$798:$AO$798,1)),VLOOKUP(AU228,INDEX((係数_バス貨物_ガソリン,係数_バス貨物_CNG,係数_バス貨物_軽油,係数_バス貨物_メタノール,係数_バス貨物_LPG),MATCH(AY228,【参考】排出係数!$AI$4:$AI$671,1),1,BE228):INDEX((係数_バス貨物_ガソリン,係数_バス貨物_CNG,係数_バス貨物_軽油,係数_バス貨物_メタノール,係数_バス貨物_LPG),MATCH(AY228+1,【参考】排出係数!$AI$4:$AI$671,1)-1,5,BE228),5,FALSE)),IF(AND(BE228=3,LEFT(BF228,1)="1"),0.055,VLOOKUP(AU228,INDEX((係数_乗用_ガソリン,係数_乗用_CNG,係数_乗用_軽油,係数_乗用_メタノール,係数_乗用_LPG),1,1,BE228):INDEX((係数_乗用_ガソリン,係数_乗用_CNG,係数_乗用_軽油,係数_乗用_メタノール,係数_乗用_LPG),125,5,BE228),5,FALSE)))))</f>
        <v/>
      </c>
      <c r="AN228" s="461" t="str">
        <f t="shared" si="127"/>
        <v/>
      </c>
      <c r="AO228" s="462" t="str">
        <f t="shared" si="128"/>
        <v/>
      </c>
      <c r="AP228" s="463" t="str">
        <f t="shared" si="129"/>
        <v/>
      </c>
      <c r="AQ228" s="464"/>
      <c r="AR228" s="619"/>
      <c r="AS228" s="465" t="str">
        <f t="shared" si="108"/>
        <v/>
      </c>
      <c r="AT228" s="465" t="str">
        <f t="shared" si="109"/>
        <v/>
      </c>
      <c r="AU228" s="466" t="str">
        <f t="shared" si="110"/>
        <v/>
      </c>
      <c r="AV228" s="467" t="str">
        <f t="shared" si="111"/>
        <v/>
      </c>
      <c r="AW228" s="467" t="str">
        <f t="shared" si="112"/>
        <v/>
      </c>
      <c r="AX228" s="467" t="str">
        <f t="shared" si="113"/>
        <v/>
      </c>
      <c r="AY228" s="467" t="str">
        <f t="shared" si="114"/>
        <v/>
      </c>
      <c r="AZ228" s="467" t="str">
        <f t="shared" si="115"/>
        <v/>
      </c>
      <c r="BA228" s="468" t="str">
        <f>IF(AS228="","",IF(OR(AU228="",AU228="-"),"－",IF(OR(AZ228=8,AZ228=9),"",IF(OR(AW228=3,AW228=4,AW228=5,AW228=6),VLOOKUP(AU228,INDEX((係数_バス貨物_ガソリン,係数_バス貨物_CNG,係数_バス貨物_軽油,係数_バス貨物_メタノール,係数_バス貨物_LPG),MATCH(AY228,【参考】排出係数!$AI$4:$AI$671,1),1,BE228):INDEX((係数_バス貨物_ガソリン,係数_バス貨物_CNG,係数_バス貨物_軽油,係数_バス貨物_メタノール,係数_バス貨物_LPG),MATCH(AY228+1,【参考】排出係数!$AI$4:$AI$671,1)-1,5,BE228),2,FALSE),IF(OR(AW228=1,AW228=2),VLOOKUP(AU228,INDEX((係数_乗用_ガソリン,係数_乗用_CNG,係数_乗用_軽油,係数_乗用_メタノール,係数_乗用_LPG),1,1,BE228):INDEX((係数_乗用_ガソリン,係数_乗用_CNG,係数_乗用_軽油,係数_乗用_メタノール,係数_乗用_LPG),125,5,BE228),2,FALSE))))))</f>
        <v/>
      </c>
      <c r="BB228" s="468" t="str">
        <f>IF(T228="","",IF(OR(AU228="",AU228="-"),"－",IF(OR(AZ228=8,AZ228=9),"",IF(OR(AW228=3,AW228=4,AW228=5,AW228=6),VLOOKUP(AU228,INDEX((係数_バス貨物_ガソリン,係数_バス貨物_CNG,係数_バス貨物_軽油,係数_バス貨物_メタノール,係数_バス貨物_LPG),MATCH(AY228,【参考】排出係数!$AI$4:$AI$671,1),1,BE228):INDEX((係数_バス貨物_ガソリン,係数_バス貨物_CNG,係数_バス貨物_軽油,係数_バス貨物_メタノール,係数_バス貨物_LPG),MATCH(AY228+1,【参考】排出係数!$AI$4:$AI$671,1)-1,5,BE228),3,FALSE),IF(OR(AW228=1,AW228=2),VLOOKUP(AU228,INDEX((係数_乗用_ガソリン,係数_乗用_CNG,係数_乗用_軽油,係数_乗用_メタノール,係数_乗用_LPG),1,1,BE228):INDEX((係数_乗用_ガソリン,係数_乗用_CNG,係数_乗用_軽油,係数_乗用_メタノール,係数_乗用_LPG),125,5,BE228),3,FALSE))))))</f>
        <v/>
      </c>
      <c r="BC228" s="467" t="str">
        <f t="shared" si="116"/>
        <v/>
      </c>
      <c r="BD228" s="567" t="str">
        <f t="shared" si="117"/>
        <v/>
      </c>
      <c r="BE228" s="467" t="str">
        <f t="shared" si="118"/>
        <v/>
      </c>
      <c r="BF228" s="469" t="str">
        <f t="shared" ca="1" si="119"/>
        <v/>
      </c>
      <c r="BG228" s="469" t="str">
        <f t="shared" ca="1" si="120"/>
        <v/>
      </c>
      <c r="BH228" s="467" t="str">
        <f t="shared" si="121"/>
        <v/>
      </c>
      <c r="BI228" s="467" t="str">
        <f t="shared" ca="1" si="122"/>
        <v/>
      </c>
      <c r="BJ228" s="469" t="str">
        <f t="shared" si="123"/>
        <v/>
      </c>
      <c r="BK228" s="470" t="str">
        <f t="shared" si="103"/>
        <v/>
      </c>
      <c r="BL228" s="775" t="str">
        <f t="shared" si="124"/>
        <v/>
      </c>
      <c r="BM228" s="775" t="str">
        <f t="shared" si="125"/>
        <v/>
      </c>
    </row>
    <row r="229" spans="1:65">
      <c r="A229" s="473">
        <v>173</v>
      </c>
      <c r="B229" s="132"/>
      <c r="C229" s="332"/>
      <c r="D229" s="333"/>
      <c r="E229" s="333"/>
      <c r="F229" s="334"/>
      <c r="G229" s="337"/>
      <c r="H229" s="131"/>
      <c r="I229" s="337"/>
      <c r="J229" s="131"/>
      <c r="K229" s="458" t="str">
        <f t="shared" si="92"/>
        <v/>
      </c>
      <c r="L229" s="458">
        <f t="shared" si="104"/>
        <v>0</v>
      </c>
      <c r="M229" s="458">
        <f t="shared" si="105"/>
        <v>0</v>
      </c>
      <c r="N229" s="459" t="str">
        <f t="shared" si="93"/>
        <v/>
      </c>
      <c r="O229" s="459" t="str">
        <f t="shared" si="94"/>
        <v/>
      </c>
      <c r="P229" s="459" t="str">
        <f t="shared" si="95"/>
        <v/>
      </c>
      <c r="Q229" s="459" t="str">
        <f t="shared" si="96"/>
        <v/>
      </c>
      <c r="R229" s="459" t="str">
        <f t="shared" si="97"/>
        <v/>
      </c>
      <c r="S229" s="459" t="str">
        <f t="shared" si="98"/>
        <v/>
      </c>
      <c r="T229" s="566" t="str">
        <f t="shared" si="106"/>
        <v/>
      </c>
      <c r="U229" s="702"/>
      <c r="V229" s="132"/>
      <c r="W229" s="133"/>
      <c r="X229" s="134"/>
      <c r="Y229" s="135"/>
      <c r="Z229" s="137"/>
      <c r="AA229" s="136"/>
      <c r="AB229" s="566" t="str">
        <f t="shared" si="99"/>
        <v/>
      </c>
      <c r="AC229" s="568" t="str">
        <f t="shared" si="107"/>
        <v/>
      </c>
      <c r="AD229" s="137"/>
      <c r="AE229" s="137"/>
      <c r="AF229" s="138"/>
      <c r="AG229" s="138"/>
      <c r="AH229" s="592" t="str">
        <f t="shared" si="100"/>
        <v/>
      </c>
      <c r="AI229" s="592" t="str">
        <f t="shared" si="101"/>
        <v/>
      </c>
      <c r="AJ229" s="592" t="str">
        <f t="shared" si="102"/>
        <v/>
      </c>
      <c r="AK229" s="460" t="str">
        <f>IF(AU229="","",IF(OR(AZ229=8,AZ229=9),0,IF(OR(AW229=3,AW229=4,AW229=5,AW229=6),IF(LEFT(BF229,1)="1",INDEX(係数_NOX・PM低減,MATCH(AY229,【参考】排出係数!$AI$801:$AI$804,1),1),VLOOKUP(AU229,INDEX((係数_バス貨物_ガソリン,係数_バス貨物_CNG,係数_バス貨物_軽油,係数_バス貨物_メタノール,係数_バス貨物_LPG),MATCH(AY229,【参考】排出係数!$AI$4:$AI$671,1),1,BE229):INDEX((係数_バス貨物_ガソリン,係数_バス貨物_CNG,係数_バス貨物_軽油,係数_バス貨物_メタノール,係数_バス貨物_LPG),MATCH(AY229+1,【参考】排出係数!$AI$4:$AI$671,1)-1,5,BE229),4,FALSE)),IF(AND(BE229=3,LEFT(BF229,1)="1"),0.48,VLOOKUP(AU229,INDEX((係数_乗用_ガソリン,係数_乗用_CNG,係数_乗用_軽油,係数_乗用_メタノール,係数_乗用_LPG),1,1,BE229):INDEX((係数_乗用_ガソリン,係数_乗用_CNG,係数_乗用_軽油,係数_乗用_メタノール,係数_乗用_LPG),125,5,BE229),4,FALSE)))))</f>
        <v/>
      </c>
      <c r="AL229" s="461" t="str">
        <f t="shared" si="126"/>
        <v/>
      </c>
      <c r="AM229" s="460" t="str">
        <f>IF(AU229="","",IF(OR(AZ229=8,AZ229=9),0,IF(OR(AW229=3,AW229=4,AW229=5,AW229=6),IF(LEFT(BH229,1)="1",INDEX(係数_PM低減,MATCH(AY229,【参考】排出係数!$AI$801:$AI$804,1),MATCH(BI229,【参考】排出係数!$AL$798:$AO$798,1)),VLOOKUP(AU229,INDEX((係数_バス貨物_ガソリン,係数_バス貨物_CNG,係数_バス貨物_軽油,係数_バス貨物_メタノール,係数_バス貨物_LPG),MATCH(AY229,【参考】排出係数!$AI$4:$AI$671,1),1,BE229):INDEX((係数_バス貨物_ガソリン,係数_バス貨物_CNG,係数_バス貨物_軽油,係数_バス貨物_メタノール,係数_バス貨物_LPG),MATCH(AY229+1,【参考】排出係数!$AI$4:$AI$671,1)-1,5,BE229),5,FALSE)),IF(AND(BE229=3,LEFT(BF229,1)="1"),0.055,VLOOKUP(AU229,INDEX((係数_乗用_ガソリン,係数_乗用_CNG,係数_乗用_軽油,係数_乗用_メタノール,係数_乗用_LPG),1,1,BE229):INDEX((係数_乗用_ガソリン,係数_乗用_CNG,係数_乗用_軽油,係数_乗用_メタノール,係数_乗用_LPG),125,5,BE229),5,FALSE)))))</f>
        <v/>
      </c>
      <c r="AN229" s="461" t="str">
        <f t="shared" si="127"/>
        <v/>
      </c>
      <c r="AO229" s="462" t="str">
        <f t="shared" si="128"/>
        <v/>
      </c>
      <c r="AP229" s="463" t="str">
        <f t="shared" si="129"/>
        <v/>
      </c>
      <c r="AQ229" s="464"/>
      <c r="AR229" s="619"/>
      <c r="AS229" s="465" t="str">
        <f t="shared" si="108"/>
        <v/>
      </c>
      <c r="AT229" s="465" t="str">
        <f t="shared" si="109"/>
        <v/>
      </c>
      <c r="AU229" s="466" t="str">
        <f t="shared" si="110"/>
        <v/>
      </c>
      <c r="AV229" s="467" t="str">
        <f t="shared" si="111"/>
        <v/>
      </c>
      <c r="AW229" s="467" t="str">
        <f t="shared" si="112"/>
        <v/>
      </c>
      <c r="AX229" s="467" t="str">
        <f t="shared" si="113"/>
        <v/>
      </c>
      <c r="AY229" s="467" t="str">
        <f t="shared" si="114"/>
        <v/>
      </c>
      <c r="AZ229" s="467" t="str">
        <f t="shared" si="115"/>
        <v/>
      </c>
      <c r="BA229" s="468" t="str">
        <f>IF(AS229="","",IF(OR(AU229="",AU229="-"),"－",IF(OR(AZ229=8,AZ229=9),"",IF(OR(AW229=3,AW229=4,AW229=5,AW229=6),VLOOKUP(AU229,INDEX((係数_バス貨物_ガソリン,係数_バス貨物_CNG,係数_バス貨物_軽油,係数_バス貨物_メタノール,係数_バス貨物_LPG),MATCH(AY229,【参考】排出係数!$AI$4:$AI$671,1),1,BE229):INDEX((係数_バス貨物_ガソリン,係数_バス貨物_CNG,係数_バス貨物_軽油,係数_バス貨物_メタノール,係数_バス貨物_LPG),MATCH(AY229+1,【参考】排出係数!$AI$4:$AI$671,1)-1,5,BE229),2,FALSE),IF(OR(AW229=1,AW229=2),VLOOKUP(AU229,INDEX((係数_乗用_ガソリン,係数_乗用_CNG,係数_乗用_軽油,係数_乗用_メタノール,係数_乗用_LPG),1,1,BE229):INDEX((係数_乗用_ガソリン,係数_乗用_CNG,係数_乗用_軽油,係数_乗用_メタノール,係数_乗用_LPG),125,5,BE229),2,FALSE))))))</f>
        <v/>
      </c>
      <c r="BB229" s="468" t="str">
        <f>IF(T229="","",IF(OR(AU229="",AU229="-"),"－",IF(OR(AZ229=8,AZ229=9),"",IF(OR(AW229=3,AW229=4,AW229=5,AW229=6),VLOOKUP(AU229,INDEX((係数_バス貨物_ガソリン,係数_バス貨物_CNG,係数_バス貨物_軽油,係数_バス貨物_メタノール,係数_バス貨物_LPG),MATCH(AY229,【参考】排出係数!$AI$4:$AI$671,1),1,BE229):INDEX((係数_バス貨物_ガソリン,係数_バス貨物_CNG,係数_バス貨物_軽油,係数_バス貨物_メタノール,係数_バス貨物_LPG),MATCH(AY229+1,【参考】排出係数!$AI$4:$AI$671,1)-1,5,BE229),3,FALSE),IF(OR(AW229=1,AW229=2),VLOOKUP(AU229,INDEX((係数_乗用_ガソリン,係数_乗用_CNG,係数_乗用_軽油,係数_乗用_メタノール,係数_乗用_LPG),1,1,BE229):INDEX((係数_乗用_ガソリン,係数_乗用_CNG,係数_乗用_軽油,係数_乗用_メタノール,係数_乗用_LPG),125,5,BE229),3,FALSE))))))</f>
        <v/>
      </c>
      <c r="BC229" s="467" t="str">
        <f t="shared" si="116"/>
        <v/>
      </c>
      <c r="BD229" s="567" t="str">
        <f t="shared" si="117"/>
        <v/>
      </c>
      <c r="BE229" s="467" t="str">
        <f t="shared" si="118"/>
        <v/>
      </c>
      <c r="BF229" s="469" t="str">
        <f t="shared" ca="1" si="119"/>
        <v/>
      </c>
      <c r="BG229" s="469" t="str">
        <f t="shared" ca="1" si="120"/>
        <v/>
      </c>
      <c r="BH229" s="467" t="str">
        <f t="shared" si="121"/>
        <v/>
      </c>
      <c r="BI229" s="467" t="str">
        <f t="shared" ca="1" si="122"/>
        <v/>
      </c>
      <c r="BJ229" s="469" t="str">
        <f t="shared" si="123"/>
        <v/>
      </c>
      <c r="BK229" s="470" t="str">
        <f t="shared" si="103"/>
        <v/>
      </c>
      <c r="BL229" s="775" t="str">
        <f t="shared" si="124"/>
        <v/>
      </c>
      <c r="BM229" s="775" t="str">
        <f t="shared" si="125"/>
        <v/>
      </c>
    </row>
    <row r="230" spans="1:65">
      <c r="A230" s="473">
        <v>174</v>
      </c>
      <c r="B230" s="132"/>
      <c r="C230" s="332"/>
      <c r="D230" s="333"/>
      <c r="E230" s="333"/>
      <c r="F230" s="334"/>
      <c r="G230" s="337"/>
      <c r="H230" s="131"/>
      <c r="I230" s="337"/>
      <c r="J230" s="131"/>
      <c r="K230" s="458" t="str">
        <f t="shared" si="92"/>
        <v/>
      </c>
      <c r="L230" s="458">
        <f t="shared" si="104"/>
        <v>0</v>
      </c>
      <c r="M230" s="458">
        <f t="shared" si="105"/>
        <v>0</v>
      </c>
      <c r="N230" s="459" t="str">
        <f t="shared" si="93"/>
        <v/>
      </c>
      <c r="O230" s="459" t="str">
        <f t="shared" si="94"/>
        <v/>
      </c>
      <c r="P230" s="459" t="str">
        <f t="shared" si="95"/>
        <v/>
      </c>
      <c r="Q230" s="459" t="str">
        <f t="shared" si="96"/>
        <v/>
      </c>
      <c r="R230" s="459" t="str">
        <f t="shared" si="97"/>
        <v/>
      </c>
      <c r="S230" s="459" t="str">
        <f t="shared" si="98"/>
        <v/>
      </c>
      <c r="T230" s="566" t="str">
        <f t="shared" si="106"/>
        <v/>
      </c>
      <c r="U230" s="702"/>
      <c r="V230" s="132"/>
      <c r="W230" s="133"/>
      <c r="X230" s="134"/>
      <c r="Y230" s="135"/>
      <c r="Z230" s="137"/>
      <c r="AA230" s="136"/>
      <c r="AB230" s="566" t="str">
        <f t="shared" si="99"/>
        <v/>
      </c>
      <c r="AC230" s="568" t="str">
        <f t="shared" si="107"/>
        <v/>
      </c>
      <c r="AD230" s="137"/>
      <c r="AE230" s="137"/>
      <c r="AF230" s="138"/>
      <c r="AG230" s="138"/>
      <c r="AH230" s="592" t="str">
        <f t="shared" si="100"/>
        <v/>
      </c>
      <c r="AI230" s="592" t="str">
        <f t="shared" si="101"/>
        <v/>
      </c>
      <c r="AJ230" s="592" t="str">
        <f t="shared" si="102"/>
        <v/>
      </c>
      <c r="AK230" s="460" t="str">
        <f>IF(AU230="","",IF(OR(AZ230=8,AZ230=9),0,IF(OR(AW230=3,AW230=4,AW230=5,AW230=6),IF(LEFT(BF230,1)="1",INDEX(係数_NOX・PM低減,MATCH(AY230,【参考】排出係数!$AI$801:$AI$804,1),1),VLOOKUP(AU230,INDEX((係数_バス貨物_ガソリン,係数_バス貨物_CNG,係数_バス貨物_軽油,係数_バス貨物_メタノール,係数_バス貨物_LPG),MATCH(AY230,【参考】排出係数!$AI$4:$AI$671,1),1,BE230):INDEX((係数_バス貨物_ガソリン,係数_バス貨物_CNG,係数_バス貨物_軽油,係数_バス貨物_メタノール,係数_バス貨物_LPG),MATCH(AY230+1,【参考】排出係数!$AI$4:$AI$671,1)-1,5,BE230),4,FALSE)),IF(AND(BE230=3,LEFT(BF230,1)="1"),0.48,VLOOKUP(AU230,INDEX((係数_乗用_ガソリン,係数_乗用_CNG,係数_乗用_軽油,係数_乗用_メタノール,係数_乗用_LPG),1,1,BE230):INDEX((係数_乗用_ガソリン,係数_乗用_CNG,係数_乗用_軽油,係数_乗用_メタノール,係数_乗用_LPG),125,5,BE230),4,FALSE)))))</f>
        <v/>
      </c>
      <c r="AL230" s="461" t="str">
        <f t="shared" si="126"/>
        <v/>
      </c>
      <c r="AM230" s="460" t="str">
        <f>IF(AU230="","",IF(OR(AZ230=8,AZ230=9),0,IF(OR(AW230=3,AW230=4,AW230=5,AW230=6),IF(LEFT(BH230,1)="1",INDEX(係数_PM低減,MATCH(AY230,【参考】排出係数!$AI$801:$AI$804,1),MATCH(BI230,【参考】排出係数!$AL$798:$AO$798,1)),VLOOKUP(AU230,INDEX((係数_バス貨物_ガソリン,係数_バス貨物_CNG,係数_バス貨物_軽油,係数_バス貨物_メタノール,係数_バス貨物_LPG),MATCH(AY230,【参考】排出係数!$AI$4:$AI$671,1),1,BE230):INDEX((係数_バス貨物_ガソリン,係数_バス貨物_CNG,係数_バス貨物_軽油,係数_バス貨物_メタノール,係数_バス貨物_LPG),MATCH(AY230+1,【参考】排出係数!$AI$4:$AI$671,1)-1,5,BE230),5,FALSE)),IF(AND(BE230=3,LEFT(BF230,1)="1"),0.055,VLOOKUP(AU230,INDEX((係数_乗用_ガソリン,係数_乗用_CNG,係数_乗用_軽油,係数_乗用_メタノール,係数_乗用_LPG),1,1,BE230):INDEX((係数_乗用_ガソリン,係数_乗用_CNG,係数_乗用_軽油,係数_乗用_メタノール,係数_乗用_LPG),125,5,BE230),5,FALSE)))))</f>
        <v/>
      </c>
      <c r="AN230" s="461" t="str">
        <f t="shared" si="127"/>
        <v/>
      </c>
      <c r="AO230" s="462" t="str">
        <f t="shared" si="128"/>
        <v/>
      </c>
      <c r="AP230" s="463" t="str">
        <f t="shared" si="129"/>
        <v/>
      </c>
      <c r="AQ230" s="464"/>
      <c r="AR230" s="619"/>
      <c r="AS230" s="465" t="str">
        <f t="shared" si="108"/>
        <v/>
      </c>
      <c r="AT230" s="465" t="str">
        <f t="shared" si="109"/>
        <v/>
      </c>
      <c r="AU230" s="466" t="str">
        <f t="shared" si="110"/>
        <v/>
      </c>
      <c r="AV230" s="467" t="str">
        <f t="shared" si="111"/>
        <v/>
      </c>
      <c r="AW230" s="467" t="str">
        <f t="shared" si="112"/>
        <v/>
      </c>
      <c r="AX230" s="467" t="str">
        <f t="shared" si="113"/>
        <v/>
      </c>
      <c r="AY230" s="467" t="str">
        <f t="shared" si="114"/>
        <v/>
      </c>
      <c r="AZ230" s="467" t="str">
        <f t="shared" si="115"/>
        <v/>
      </c>
      <c r="BA230" s="468" t="str">
        <f>IF(AS230="","",IF(OR(AU230="",AU230="-"),"－",IF(OR(AZ230=8,AZ230=9),"",IF(OR(AW230=3,AW230=4,AW230=5,AW230=6),VLOOKUP(AU230,INDEX((係数_バス貨物_ガソリン,係数_バス貨物_CNG,係数_バス貨物_軽油,係数_バス貨物_メタノール,係数_バス貨物_LPG),MATCH(AY230,【参考】排出係数!$AI$4:$AI$671,1),1,BE230):INDEX((係数_バス貨物_ガソリン,係数_バス貨物_CNG,係数_バス貨物_軽油,係数_バス貨物_メタノール,係数_バス貨物_LPG),MATCH(AY230+1,【参考】排出係数!$AI$4:$AI$671,1)-1,5,BE230),2,FALSE),IF(OR(AW230=1,AW230=2),VLOOKUP(AU230,INDEX((係数_乗用_ガソリン,係数_乗用_CNG,係数_乗用_軽油,係数_乗用_メタノール,係数_乗用_LPG),1,1,BE230):INDEX((係数_乗用_ガソリン,係数_乗用_CNG,係数_乗用_軽油,係数_乗用_メタノール,係数_乗用_LPG),125,5,BE230),2,FALSE))))))</f>
        <v/>
      </c>
      <c r="BB230" s="468" t="str">
        <f>IF(T230="","",IF(OR(AU230="",AU230="-"),"－",IF(OR(AZ230=8,AZ230=9),"",IF(OR(AW230=3,AW230=4,AW230=5,AW230=6),VLOOKUP(AU230,INDEX((係数_バス貨物_ガソリン,係数_バス貨物_CNG,係数_バス貨物_軽油,係数_バス貨物_メタノール,係数_バス貨物_LPG),MATCH(AY230,【参考】排出係数!$AI$4:$AI$671,1),1,BE230):INDEX((係数_バス貨物_ガソリン,係数_バス貨物_CNG,係数_バス貨物_軽油,係数_バス貨物_メタノール,係数_バス貨物_LPG),MATCH(AY230+1,【参考】排出係数!$AI$4:$AI$671,1)-1,5,BE230),3,FALSE),IF(OR(AW230=1,AW230=2),VLOOKUP(AU230,INDEX((係数_乗用_ガソリン,係数_乗用_CNG,係数_乗用_軽油,係数_乗用_メタノール,係数_乗用_LPG),1,1,BE230):INDEX((係数_乗用_ガソリン,係数_乗用_CNG,係数_乗用_軽油,係数_乗用_メタノール,係数_乗用_LPG),125,5,BE230),3,FALSE))))))</f>
        <v/>
      </c>
      <c r="BC230" s="467" t="str">
        <f t="shared" si="116"/>
        <v/>
      </c>
      <c r="BD230" s="567" t="str">
        <f t="shared" si="117"/>
        <v/>
      </c>
      <c r="BE230" s="467" t="str">
        <f t="shared" si="118"/>
        <v/>
      </c>
      <c r="BF230" s="469" t="str">
        <f t="shared" ca="1" si="119"/>
        <v/>
      </c>
      <c r="BG230" s="469" t="str">
        <f t="shared" ca="1" si="120"/>
        <v/>
      </c>
      <c r="BH230" s="467" t="str">
        <f t="shared" si="121"/>
        <v/>
      </c>
      <c r="BI230" s="467" t="str">
        <f t="shared" ca="1" si="122"/>
        <v/>
      </c>
      <c r="BJ230" s="469" t="str">
        <f t="shared" si="123"/>
        <v/>
      </c>
      <c r="BK230" s="470" t="str">
        <f t="shared" si="103"/>
        <v/>
      </c>
      <c r="BL230" s="775" t="str">
        <f t="shared" si="124"/>
        <v/>
      </c>
      <c r="BM230" s="775" t="str">
        <f t="shared" si="125"/>
        <v/>
      </c>
    </row>
    <row r="231" spans="1:65">
      <c r="A231" s="473">
        <v>175</v>
      </c>
      <c r="B231" s="132"/>
      <c r="C231" s="332"/>
      <c r="D231" s="333"/>
      <c r="E231" s="333"/>
      <c r="F231" s="334"/>
      <c r="G231" s="337"/>
      <c r="H231" s="131"/>
      <c r="I231" s="337"/>
      <c r="J231" s="131"/>
      <c r="K231" s="458" t="str">
        <f t="shared" si="92"/>
        <v/>
      </c>
      <c r="L231" s="458">
        <f t="shared" si="104"/>
        <v>0</v>
      </c>
      <c r="M231" s="458">
        <f t="shared" si="105"/>
        <v>0</v>
      </c>
      <c r="N231" s="459" t="str">
        <f t="shared" si="93"/>
        <v/>
      </c>
      <c r="O231" s="459" t="str">
        <f t="shared" si="94"/>
        <v/>
      </c>
      <c r="P231" s="459" t="str">
        <f t="shared" si="95"/>
        <v/>
      </c>
      <c r="Q231" s="459" t="str">
        <f t="shared" si="96"/>
        <v/>
      </c>
      <c r="R231" s="459" t="str">
        <f t="shared" si="97"/>
        <v/>
      </c>
      <c r="S231" s="459" t="str">
        <f t="shared" si="98"/>
        <v/>
      </c>
      <c r="T231" s="566" t="str">
        <f t="shared" si="106"/>
        <v/>
      </c>
      <c r="U231" s="702"/>
      <c r="V231" s="132"/>
      <c r="W231" s="133"/>
      <c r="X231" s="134"/>
      <c r="Y231" s="135"/>
      <c r="Z231" s="137"/>
      <c r="AA231" s="136"/>
      <c r="AB231" s="566" t="str">
        <f t="shared" si="99"/>
        <v/>
      </c>
      <c r="AC231" s="568" t="str">
        <f t="shared" si="107"/>
        <v/>
      </c>
      <c r="AD231" s="137"/>
      <c r="AE231" s="137"/>
      <c r="AF231" s="138"/>
      <c r="AG231" s="138"/>
      <c r="AH231" s="592" t="str">
        <f t="shared" si="100"/>
        <v/>
      </c>
      <c r="AI231" s="592" t="str">
        <f t="shared" si="101"/>
        <v/>
      </c>
      <c r="AJ231" s="592" t="str">
        <f t="shared" si="102"/>
        <v/>
      </c>
      <c r="AK231" s="460" t="str">
        <f>IF(AU231="","",IF(OR(AZ231=8,AZ231=9),0,IF(OR(AW231=3,AW231=4,AW231=5,AW231=6),IF(LEFT(BF231,1)="1",INDEX(係数_NOX・PM低減,MATCH(AY231,【参考】排出係数!$AI$801:$AI$804,1),1),VLOOKUP(AU231,INDEX((係数_バス貨物_ガソリン,係数_バス貨物_CNG,係数_バス貨物_軽油,係数_バス貨物_メタノール,係数_バス貨物_LPG),MATCH(AY231,【参考】排出係数!$AI$4:$AI$671,1),1,BE231):INDEX((係数_バス貨物_ガソリン,係数_バス貨物_CNG,係数_バス貨物_軽油,係数_バス貨物_メタノール,係数_バス貨物_LPG),MATCH(AY231+1,【参考】排出係数!$AI$4:$AI$671,1)-1,5,BE231),4,FALSE)),IF(AND(BE231=3,LEFT(BF231,1)="1"),0.48,VLOOKUP(AU231,INDEX((係数_乗用_ガソリン,係数_乗用_CNG,係数_乗用_軽油,係数_乗用_メタノール,係数_乗用_LPG),1,1,BE231):INDEX((係数_乗用_ガソリン,係数_乗用_CNG,係数_乗用_軽油,係数_乗用_メタノール,係数_乗用_LPG),125,5,BE231),4,FALSE)))))</f>
        <v/>
      </c>
      <c r="AL231" s="461" t="str">
        <f t="shared" si="126"/>
        <v/>
      </c>
      <c r="AM231" s="460" t="str">
        <f>IF(AU231="","",IF(OR(AZ231=8,AZ231=9),0,IF(OR(AW231=3,AW231=4,AW231=5,AW231=6),IF(LEFT(BH231,1)="1",INDEX(係数_PM低減,MATCH(AY231,【参考】排出係数!$AI$801:$AI$804,1),MATCH(BI231,【参考】排出係数!$AL$798:$AO$798,1)),VLOOKUP(AU231,INDEX((係数_バス貨物_ガソリン,係数_バス貨物_CNG,係数_バス貨物_軽油,係数_バス貨物_メタノール,係数_バス貨物_LPG),MATCH(AY231,【参考】排出係数!$AI$4:$AI$671,1),1,BE231):INDEX((係数_バス貨物_ガソリン,係数_バス貨物_CNG,係数_バス貨物_軽油,係数_バス貨物_メタノール,係数_バス貨物_LPG),MATCH(AY231+1,【参考】排出係数!$AI$4:$AI$671,1)-1,5,BE231),5,FALSE)),IF(AND(BE231=3,LEFT(BF231,1)="1"),0.055,VLOOKUP(AU231,INDEX((係数_乗用_ガソリン,係数_乗用_CNG,係数_乗用_軽油,係数_乗用_メタノール,係数_乗用_LPG),1,1,BE231):INDEX((係数_乗用_ガソリン,係数_乗用_CNG,係数_乗用_軽油,係数_乗用_メタノール,係数_乗用_LPG),125,5,BE231),5,FALSE)))))</f>
        <v/>
      </c>
      <c r="AN231" s="461" t="str">
        <f t="shared" si="127"/>
        <v/>
      </c>
      <c r="AO231" s="462" t="str">
        <f t="shared" si="128"/>
        <v/>
      </c>
      <c r="AP231" s="463" t="str">
        <f t="shared" si="129"/>
        <v/>
      </c>
      <c r="AQ231" s="464"/>
      <c r="AR231" s="619"/>
      <c r="AS231" s="465" t="str">
        <f t="shared" si="108"/>
        <v/>
      </c>
      <c r="AT231" s="465" t="str">
        <f t="shared" si="109"/>
        <v/>
      </c>
      <c r="AU231" s="466" t="str">
        <f t="shared" si="110"/>
        <v/>
      </c>
      <c r="AV231" s="467" t="str">
        <f t="shared" si="111"/>
        <v/>
      </c>
      <c r="AW231" s="467" t="str">
        <f t="shared" si="112"/>
        <v/>
      </c>
      <c r="AX231" s="467" t="str">
        <f t="shared" si="113"/>
        <v/>
      </c>
      <c r="AY231" s="467" t="str">
        <f t="shared" si="114"/>
        <v/>
      </c>
      <c r="AZ231" s="467" t="str">
        <f t="shared" si="115"/>
        <v/>
      </c>
      <c r="BA231" s="468" t="str">
        <f>IF(AS231="","",IF(OR(AU231="",AU231="-"),"－",IF(OR(AZ231=8,AZ231=9),"",IF(OR(AW231=3,AW231=4,AW231=5,AW231=6),VLOOKUP(AU231,INDEX((係数_バス貨物_ガソリン,係数_バス貨物_CNG,係数_バス貨物_軽油,係数_バス貨物_メタノール,係数_バス貨物_LPG),MATCH(AY231,【参考】排出係数!$AI$4:$AI$671,1),1,BE231):INDEX((係数_バス貨物_ガソリン,係数_バス貨物_CNG,係数_バス貨物_軽油,係数_バス貨物_メタノール,係数_バス貨物_LPG),MATCH(AY231+1,【参考】排出係数!$AI$4:$AI$671,1)-1,5,BE231),2,FALSE),IF(OR(AW231=1,AW231=2),VLOOKUP(AU231,INDEX((係数_乗用_ガソリン,係数_乗用_CNG,係数_乗用_軽油,係数_乗用_メタノール,係数_乗用_LPG),1,1,BE231):INDEX((係数_乗用_ガソリン,係数_乗用_CNG,係数_乗用_軽油,係数_乗用_メタノール,係数_乗用_LPG),125,5,BE231),2,FALSE))))))</f>
        <v/>
      </c>
      <c r="BB231" s="468" t="str">
        <f>IF(T231="","",IF(OR(AU231="",AU231="-"),"－",IF(OR(AZ231=8,AZ231=9),"",IF(OR(AW231=3,AW231=4,AW231=5,AW231=6),VLOOKUP(AU231,INDEX((係数_バス貨物_ガソリン,係数_バス貨物_CNG,係数_バス貨物_軽油,係数_バス貨物_メタノール,係数_バス貨物_LPG),MATCH(AY231,【参考】排出係数!$AI$4:$AI$671,1),1,BE231):INDEX((係数_バス貨物_ガソリン,係数_バス貨物_CNG,係数_バス貨物_軽油,係数_バス貨物_メタノール,係数_バス貨物_LPG),MATCH(AY231+1,【参考】排出係数!$AI$4:$AI$671,1)-1,5,BE231),3,FALSE),IF(OR(AW231=1,AW231=2),VLOOKUP(AU231,INDEX((係数_乗用_ガソリン,係数_乗用_CNG,係数_乗用_軽油,係数_乗用_メタノール,係数_乗用_LPG),1,1,BE231):INDEX((係数_乗用_ガソリン,係数_乗用_CNG,係数_乗用_軽油,係数_乗用_メタノール,係数_乗用_LPG),125,5,BE231),3,FALSE))))))</f>
        <v/>
      </c>
      <c r="BC231" s="467" t="str">
        <f t="shared" si="116"/>
        <v/>
      </c>
      <c r="BD231" s="567" t="str">
        <f t="shared" si="117"/>
        <v/>
      </c>
      <c r="BE231" s="467" t="str">
        <f t="shared" si="118"/>
        <v/>
      </c>
      <c r="BF231" s="469" t="str">
        <f t="shared" ca="1" si="119"/>
        <v/>
      </c>
      <c r="BG231" s="469" t="str">
        <f t="shared" ca="1" si="120"/>
        <v/>
      </c>
      <c r="BH231" s="467" t="str">
        <f t="shared" si="121"/>
        <v/>
      </c>
      <c r="BI231" s="467" t="str">
        <f t="shared" ca="1" si="122"/>
        <v/>
      </c>
      <c r="BJ231" s="469" t="str">
        <f t="shared" si="123"/>
        <v/>
      </c>
      <c r="BK231" s="470" t="str">
        <f t="shared" si="103"/>
        <v/>
      </c>
      <c r="BL231" s="775" t="str">
        <f t="shared" si="124"/>
        <v/>
      </c>
      <c r="BM231" s="775" t="str">
        <f t="shared" si="125"/>
        <v/>
      </c>
    </row>
    <row r="232" spans="1:65">
      <c r="A232" s="473">
        <v>176</v>
      </c>
      <c r="B232" s="132"/>
      <c r="C232" s="332"/>
      <c r="D232" s="333"/>
      <c r="E232" s="333"/>
      <c r="F232" s="334"/>
      <c r="G232" s="337"/>
      <c r="H232" s="131"/>
      <c r="I232" s="337"/>
      <c r="J232" s="131"/>
      <c r="K232" s="458" t="str">
        <f t="shared" si="92"/>
        <v/>
      </c>
      <c r="L232" s="458">
        <f t="shared" si="104"/>
        <v>0</v>
      </c>
      <c r="M232" s="458">
        <f t="shared" si="105"/>
        <v>0</v>
      </c>
      <c r="N232" s="459" t="str">
        <f t="shared" si="93"/>
        <v/>
      </c>
      <c r="O232" s="459" t="str">
        <f t="shared" si="94"/>
        <v/>
      </c>
      <c r="P232" s="459" t="str">
        <f t="shared" si="95"/>
        <v/>
      </c>
      <c r="Q232" s="459" t="str">
        <f t="shared" si="96"/>
        <v/>
      </c>
      <c r="R232" s="459" t="str">
        <f t="shared" si="97"/>
        <v/>
      </c>
      <c r="S232" s="459" t="str">
        <f t="shared" si="98"/>
        <v/>
      </c>
      <c r="T232" s="566" t="str">
        <f t="shared" si="106"/>
        <v/>
      </c>
      <c r="U232" s="702"/>
      <c r="V232" s="132"/>
      <c r="W232" s="133"/>
      <c r="X232" s="134"/>
      <c r="Y232" s="135"/>
      <c r="Z232" s="137"/>
      <c r="AA232" s="136"/>
      <c r="AB232" s="566" t="str">
        <f t="shared" si="99"/>
        <v/>
      </c>
      <c r="AC232" s="568" t="str">
        <f t="shared" si="107"/>
        <v/>
      </c>
      <c r="AD232" s="137"/>
      <c r="AE232" s="137"/>
      <c r="AF232" s="138"/>
      <c r="AG232" s="138"/>
      <c r="AH232" s="592" t="str">
        <f t="shared" si="100"/>
        <v/>
      </c>
      <c r="AI232" s="592" t="str">
        <f t="shared" si="101"/>
        <v/>
      </c>
      <c r="AJ232" s="592" t="str">
        <f t="shared" si="102"/>
        <v/>
      </c>
      <c r="AK232" s="460" t="str">
        <f>IF(AU232="","",IF(OR(AZ232=8,AZ232=9),0,IF(OR(AW232=3,AW232=4,AW232=5,AW232=6),IF(LEFT(BF232,1)="1",INDEX(係数_NOX・PM低減,MATCH(AY232,【参考】排出係数!$AI$801:$AI$804,1),1),VLOOKUP(AU232,INDEX((係数_バス貨物_ガソリン,係数_バス貨物_CNG,係数_バス貨物_軽油,係数_バス貨物_メタノール,係数_バス貨物_LPG),MATCH(AY232,【参考】排出係数!$AI$4:$AI$671,1),1,BE232):INDEX((係数_バス貨物_ガソリン,係数_バス貨物_CNG,係数_バス貨物_軽油,係数_バス貨物_メタノール,係数_バス貨物_LPG),MATCH(AY232+1,【参考】排出係数!$AI$4:$AI$671,1)-1,5,BE232),4,FALSE)),IF(AND(BE232=3,LEFT(BF232,1)="1"),0.48,VLOOKUP(AU232,INDEX((係数_乗用_ガソリン,係数_乗用_CNG,係数_乗用_軽油,係数_乗用_メタノール,係数_乗用_LPG),1,1,BE232):INDEX((係数_乗用_ガソリン,係数_乗用_CNG,係数_乗用_軽油,係数_乗用_メタノール,係数_乗用_LPG),125,5,BE232),4,FALSE)))))</f>
        <v/>
      </c>
      <c r="AL232" s="461" t="str">
        <f t="shared" si="126"/>
        <v/>
      </c>
      <c r="AM232" s="460" t="str">
        <f>IF(AU232="","",IF(OR(AZ232=8,AZ232=9),0,IF(OR(AW232=3,AW232=4,AW232=5,AW232=6),IF(LEFT(BH232,1)="1",INDEX(係数_PM低減,MATCH(AY232,【参考】排出係数!$AI$801:$AI$804,1),MATCH(BI232,【参考】排出係数!$AL$798:$AO$798,1)),VLOOKUP(AU232,INDEX((係数_バス貨物_ガソリン,係数_バス貨物_CNG,係数_バス貨物_軽油,係数_バス貨物_メタノール,係数_バス貨物_LPG),MATCH(AY232,【参考】排出係数!$AI$4:$AI$671,1),1,BE232):INDEX((係数_バス貨物_ガソリン,係数_バス貨物_CNG,係数_バス貨物_軽油,係数_バス貨物_メタノール,係数_バス貨物_LPG),MATCH(AY232+1,【参考】排出係数!$AI$4:$AI$671,1)-1,5,BE232),5,FALSE)),IF(AND(BE232=3,LEFT(BF232,1)="1"),0.055,VLOOKUP(AU232,INDEX((係数_乗用_ガソリン,係数_乗用_CNG,係数_乗用_軽油,係数_乗用_メタノール,係数_乗用_LPG),1,1,BE232):INDEX((係数_乗用_ガソリン,係数_乗用_CNG,係数_乗用_軽油,係数_乗用_メタノール,係数_乗用_LPG),125,5,BE232),5,FALSE)))))</f>
        <v/>
      </c>
      <c r="AN232" s="461" t="str">
        <f t="shared" si="127"/>
        <v/>
      </c>
      <c r="AO232" s="462" t="str">
        <f t="shared" si="128"/>
        <v/>
      </c>
      <c r="AP232" s="463" t="str">
        <f t="shared" si="129"/>
        <v/>
      </c>
      <c r="AQ232" s="464"/>
      <c r="AR232" s="619"/>
      <c r="AS232" s="465" t="str">
        <f t="shared" si="108"/>
        <v/>
      </c>
      <c r="AT232" s="465" t="str">
        <f t="shared" si="109"/>
        <v/>
      </c>
      <c r="AU232" s="466" t="str">
        <f t="shared" si="110"/>
        <v/>
      </c>
      <c r="AV232" s="467" t="str">
        <f t="shared" si="111"/>
        <v/>
      </c>
      <c r="AW232" s="467" t="str">
        <f t="shared" si="112"/>
        <v/>
      </c>
      <c r="AX232" s="467" t="str">
        <f t="shared" si="113"/>
        <v/>
      </c>
      <c r="AY232" s="467" t="str">
        <f t="shared" si="114"/>
        <v/>
      </c>
      <c r="AZ232" s="467" t="str">
        <f t="shared" si="115"/>
        <v/>
      </c>
      <c r="BA232" s="468" t="str">
        <f>IF(AS232="","",IF(OR(AU232="",AU232="-"),"－",IF(OR(AZ232=8,AZ232=9),"",IF(OR(AW232=3,AW232=4,AW232=5,AW232=6),VLOOKUP(AU232,INDEX((係数_バス貨物_ガソリン,係数_バス貨物_CNG,係数_バス貨物_軽油,係数_バス貨物_メタノール,係数_バス貨物_LPG),MATCH(AY232,【参考】排出係数!$AI$4:$AI$671,1),1,BE232):INDEX((係数_バス貨物_ガソリン,係数_バス貨物_CNG,係数_バス貨物_軽油,係数_バス貨物_メタノール,係数_バス貨物_LPG),MATCH(AY232+1,【参考】排出係数!$AI$4:$AI$671,1)-1,5,BE232),2,FALSE),IF(OR(AW232=1,AW232=2),VLOOKUP(AU232,INDEX((係数_乗用_ガソリン,係数_乗用_CNG,係数_乗用_軽油,係数_乗用_メタノール,係数_乗用_LPG),1,1,BE232):INDEX((係数_乗用_ガソリン,係数_乗用_CNG,係数_乗用_軽油,係数_乗用_メタノール,係数_乗用_LPG),125,5,BE232),2,FALSE))))))</f>
        <v/>
      </c>
      <c r="BB232" s="468" t="str">
        <f>IF(T232="","",IF(OR(AU232="",AU232="-"),"－",IF(OR(AZ232=8,AZ232=9),"",IF(OR(AW232=3,AW232=4,AW232=5,AW232=6),VLOOKUP(AU232,INDEX((係数_バス貨物_ガソリン,係数_バス貨物_CNG,係数_バス貨物_軽油,係数_バス貨物_メタノール,係数_バス貨物_LPG),MATCH(AY232,【参考】排出係数!$AI$4:$AI$671,1),1,BE232):INDEX((係数_バス貨物_ガソリン,係数_バス貨物_CNG,係数_バス貨物_軽油,係数_バス貨物_メタノール,係数_バス貨物_LPG),MATCH(AY232+1,【参考】排出係数!$AI$4:$AI$671,1)-1,5,BE232),3,FALSE),IF(OR(AW232=1,AW232=2),VLOOKUP(AU232,INDEX((係数_乗用_ガソリン,係数_乗用_CNG,係数_乗用_軽油,係数_乗用_メタノール,係数_乗用_LPG),1,1,BE232):INDEX((係数_乗用_ガソリン,係数_乗用_CNG,係数_乗用_軽油,係数_乗用_メタノール,係数_乗用_LPG),125,5,BE232),3,FALSE))))))</f>
        <v/>
      </c>
      <c r="BC232" s="467" t="str">
        <f t="shared" si="116"/>
        <v/>
      </c>
      <c r="BD232" s="567" t="str">
        <f t="shared" si="117"/>
        <v/>
      </c>
      <c r="BE232" s="467" t="str">
        <f t="shared" si="118"/>
        <v/>
      </c>
      <c r="BF232" s="469" t="str">
        <f t="shared" ca="1" si="119"/>
        <v/>
      </c>
      <c r="BG232" s="469" t="str">
        <f t="shared" ca="1" si="120"/>
        <v/>
      </c>
      <c r="BH232" s="467" t="str">
        <f t="shared" si="121"/>
        <v/>
      </c>
      <c r="BI232" s="467" t="str">
        <f t="shared" ca="1" si="122"/>
        <v/>
      </c>
      <c r="BJ232" s="469" t="str">
        <f t="shared" si="123"/>
        <v/>
      </c>
      <c r="BK232" s="470" t="str">
        <f t="shared" si="103"/>
        <v/>
      </c>
      <c r="BL232" s="775" t="str">
        <f t="shared" si="124"/>
        <v/>
      </c>
      <c r="BM232" s="775" t="str">
        <f t="shared" si="125"/>
        <v/>
      </c>
    </row>
    <row r="233" spans="1:65">
      <c r="A233" s="473">
        <v>177</v>
      </c>
      <c r="B233" s="132"/>
      <c r="C233" s="332"/>
      <c r="D233" s="333"/>
      <c r="E233" s="333"/>
      <c r="F233" s="334"/>
      <c r="G233" s="337"/>
      <c r="H233" s="131"/>
      <c r="I233" s="337"/>
      <c r="J233" s="131"/>
      <c r="K233" s="458" t="str">
        <f t="shared" si="92"/>
        <v/>
      </c>
      <c r="L233" s="458">
        <f t="shared" si="104"/>
        <v>0</v>
      </c>
      <c r="M233" s="458">
        <f t="shared" si="105"/>
        <v>0</v>
      </c>
      <c r="N233" s="459" t="str">
        <f t="shared" si="93"/>
        <v/>
      </c>
      <c r="O233" s="459" t="str">
        <f t="shared" si="94"/>
        <v/>
      </c>
      <c r="P233" s="459" t="str">
        <f t="shared" si="95"/>
        <v/>
      </c>
      <c r="Q233" s="459" t="str">
        <f t="shared" si="96"/>
        <v/>
      </c>
      <c r="R233" s="459" t="str">
        <f t="shared" si="97"/>
        <v/>
      </c>
      <c r="S233" s="459" t="str">
        <f t="shared" si="98"/>
        <v/>
      </c>
      <c r="T233" s="566" t="str">
        <f t="shared" si="106"/>
        <v/>
      </c>
      <c r="U233" s="702"/>
      <c r="V233" s="132"/>
      <c r="W233" s="133"/>
      <c r="X233" s="134"/>
      <c r="Y233" s="135"/>
      <c r="Z233" s="137"/>
      <c r="AA233" s="136"/>
      <c r="AB233" s="566" t="str">
        <f t="shared" si="99"/>
        <v/>
      </c>
      <c r="AC233" s="568" t="str">
        <f t="shared" si="107"/>
        <v/>
      </c>
      <c r="AD233" s="137"/>
      <c r="AE233" s="137"/>
      <c r="AF233" s="138"/>
      <c r="AG233" s="138"/>
      <c r="AH233" s="592" t="str">
        <f t="shared" si="100"/>
        <v/>
      </c>
      <c r="AI233" s="592" t="str">
        <f t="shared" si="101"/>
        <v/>
      </c>
      <c r="AJ233" s="592" t="str">
        <f t="shared" si="102"/>
        <v/>
      </c>
      <c r="AK233" s="460" t="str">
        <f>IF(AU233="","",IF(OR(AZ233=8,AZ233=9),0,IF(OR(AW233=3,AW233=4,AW233=5,AW233=6),IF(LEFT(BF233,1)="1",INDEX(係数_NOX・PM低減,MATCH(AY233,【参考】排出係数!$AI$801:$AI$804,1),1),VLOOKUP(AU233,INDEX((係数_バス貨物_ガソリン,係数_バス貨物_CNG,係数_バス貨物_軽油,係数_バス貨物_メタノール,係数_バス貨物_LPG),MATCH(AY233,【参考】排出係数!$AI$4:$AI$671,1),1,BE233):INDEX((係数_バス貨物_ガソリン,係数_バス貨物_CNG,係数_バス貨物_軽油,係数_バス貨物_メタノール,係数_バス貨物_LPG),MATCH(AY233+1,【参考】排出係数!$AI$4:$AI$671,1)-1,5,BE233),4,FALSE)),IF(AND(BE233=3,LEFT(BF233,1)="1"),0.48,VLOOKUP(AU233,INDEX((係数_乗用_ガソリン,係数_乗用_CNG,係数_乗用_軽油,係数_乗用_メタノール,係数_乗用_LPG),1,1,BE233):INDEX((係数_乗用_ガソリン,係数_乗用_CNG,係数_乗用_軽油,係数_乗用_メタノール,係数_乗用_LPG),125,5,BE233),4,FALSE)))))</f>
        <v/>
      </c>
      <c r="AL233" s="461" t="str">
        <f t="shared" si="126"/>
        <v/>
      </c>
      <c r="AM233" s="460" t="str">
        <f>IF(AU233="","",IF(OR(AZ233=8,AZ233=9),0,IF(OR(AW233=3,AW233=4,AW233=5,AW233=6),IF(LEFT(BH233,1)="1",INDEX(係数_PM低減,MATCH(AY233,【参考】排出係数!$AI$801:$AI$804,1),MATCH(BI233,【参考】排出係数!$AL$798:$AO$798,1)),VLOOKUP(AU233,INDEX((係数_バス貨物_ガソリン,係数_バス貨物_CNG,係数_バス貨物_軽油,係数_バス貨物_メタノール,係数_バス貨物_LPG),MATCH(AY233,【参考】排出係数!$AI$4:$AI$671,1),1,BE233):INDEX((係数_バス貨物_ガソリン,係数_バス貨物_CNG,係数_バス貨物_軽油,係数_バス貨物_メタノール,係数_バス貨物_LPG),MATCH(AY233+1,【参考】排出係数!$AI$4:$AI$671,1)-1,5,BE233),5,FALSE)),IF(AND(BE233=3,LEFT(BF233,1)="1"),0.055,VLOOKUP(AU233,INDEX((係数_乗用_ガソリン,係数_乗用_CNG,係数_乗用_軽油,係数_乗用_メタノール,係数_乗用_LPG),1,1,BE233):INDEX((係数_乗用_ガソリン,係数_乗用_CNG,係数_乗用_軽油,係数_乗用_メタノール,係数_乗用_LPG),125,5,BE233),5,FALSE)))))</f>
        <v/>
      </c>
      <c r="AN233" s="461" t="str">
        <f t="shared" si="127"/>
        <v/>
      </c>
      <c r="AO233" s="462" t="str">
        <f t="shared" si="128"/>
        <v/>
      </c>
      <c r="AP233" s="463" t="str">
        <f t="shared" si="129"/>
        <v/>
      </c>
      <c r="AQ233" s="464"/>
      <c r="AR233" s="619"/>
      <c r="AS233" s="465" t="str">
        <f t="shared" si="108"/>
        <v/>
      </c>
      <c r="AT233" s="465" t="str">
        <f t="shared" si="109"/>
        <v/>
      </c>
      <c r="AU233" s="466" t="str">
        <f t="shared" si="110"/>
        <v/>
      </c>
      <c r="AV233" s="467" t="str">
        <f t="shared" si="111"/>
        <v/>
      </c>
      <c r="AW233" s="467" t="str">
        <f t="shared" si="112"/>
        <v/>
      </c>
      <c r="AX233" s="467" t="str">
        <f t="shared" si="113"/>
        <v/>
      </c>
      <c r="AY233" s="467" t="str">
        <f t="shared" si="114"/>
        <v/>
      </c>
      <c r="AZ233" s="467" t="str">
        <f t="shared" si="115"/>
        <v/>
      </c>
      <c r="BA233" s="468" t="str">
        <f>IF(AS233="","",IF(OR(AU233="",AU233="-"),"－",IF(OR(AZ233=8,AZ233=9),"",IF(OR(AW233=3,AW233=4,AW233=5,AW233=6),VLOOKUP(AU233,INDEX((係数_バス貨物_ガソリン,係数_バス貨物_CNG,係数_バス貨物_軽油,係数_バス貨物_メタノール,係数_バス貨物_LPG),MATCH(AY233,【参考】排出係数!$AI$4:$AI$671,1),1,BE233):INDEX((係数_バス貨物_ガソリン,係数_バス貨物_CNG,係数_バス貨物_軽油,係数_バス貨物_メタノール,係数_バス貨物_LPG),MATCH(AY233+1,【参考】排出係数!$AI$4:$AI$671,1)-1,5,BE233),2,FALSE),IF(OR(AW233=1,AW233=2),VLOOKUP(AU233,INDEX((係数_乗用_ガソリン,係数_乗用_CNG,係数_乗用_軽油,係数_乗用_メタノール,係数_乗用_LPG),1,1,BE233):INDEX((係数_乗用_ガソリン,係数_乗用_CNG,係数_乗用_軽油,係数_乗用_メタノール,係数_乗用_LPG),125,5,BE233),2,FALSE))))))</f>
        <v/>
      </c>
      <c r="BB233" s="468" t="str">
        <f>IF(T233="","",IF(OR(AU233="",AU233="-"),"－",IF(OR(AZ233=8,AZ233=9),"",IF(OR(AW233=3,AW233=4,AW233=5,AW233=6),VLOOKUP(AU233,INDEX((係数_バス貨物_ガソリン,係数_バス貨物_CNG,係数_バス貨物_軽油,係数_バス貨物_メタノール,係数_バス貨物_LPG),MATCH(AY233,【参考】排出係数!$AI$4:$AI$671,1),1,BE233):INDEX((係数_バス貨物_ガソリン,係数_バス貨物_CNG,係数_バス貨物_軽油,係数_バス貨物_メタノール,係数_バス貨物_LPG),MATCH(AY233+1,【参考】排出係数!$AI$4:$AI$671,1)-1,5,BE233),3,FALSE),IF(OR(AW233=1,AW233=2),VLOOKUP(AU233,INDEX((係数_乗用_ガソリン,係数_乗用_CNG,係数_乗用_軽油,係数_乗用_メタノール,係数_乗用_LPG),1,1,BE233):INDEX((係数_乗用_ガソリン,係数_乗用_CNG,係数_乗用_軽油,係数_乗用_メタノール,係数_乗用_LPG),125,5,BE233),3,FALSE))))))</f>
        <v/>
      </c>
      <c r="BC233" s="467" t="str">
        <f t="shared" si="116"/>
        <v/>
      </c>
      <c r="BD233" s="567" t="str">
        <f t="shared" si="117"/>
        <v/>
      </c>
      <c r="BE233" s="467" t="str">
        <f t="shared" si="118"/>
        <v/>
      </c>
      <c r="BF233" s="469" t="str">
        <f t="shared" ca="1" si="119"/>
        <v/>
      </c>
      <c r="BG233" s="469" t="str">
        <f t="shared" ca="1" si="120"/>
        <v/>
      </c>
      <c r="BH233" s="467" t="str">
        <f t="shared" si="121"/>
        <v/>
      </c>
      <c r="BI233" s="467" t="str">
        <f t="shared" ca="1" si="122"/>
        <v/>
      </c>
      <c r="BJ233" s="469" t="str">
        <f t="shared" si="123"/>
        <v/>
      </c>
      <c r="BK233" s="470" t="str">
        <f t="shared" si="103"/>
        <v/>
      </c>
      <c r="BL233" s="775" t="str">
        <f t="shared" si="124"/>
        <v/>
      </c>
      <c r="BM233" s="775" t="str">
        <f t="shared" si="125"/>
        <v/>
      </c>
    </row>
    <row r="234" spans="1:65">
      <c r="A234" s="473">
        <v>178</v>
      </c>
      <c r="B234" s="132"/>
      <c r="C234" s="332"/>
      <c r="D234" s="333"/>
      <c r="E234" s="333"/>
      <c r="F234" s="334"/>
      <c r="G234" s="337"/>
      <c r="H234" s="131"/>
      <c r="I234" s="337"/>
      <c r="J234" s="131"/>
      <c r="K234" s="458" t="str">
        <f t="shared" si="92"/>
        <v/>
      </c>
      <c r="L234" s="458">
        <f t="shared" si="104"/>
        <v>0</v>
      </c>
      <c r="M234" s="458">
        <f t="shared" si="105"/>
        <v>0</v>
      </c>
      <c r="N234" s="459" t="str">
        <f t="shared" si="93"/>
        <v/>
      </c>
      <c r="O234" s="459" t="str">
        <f t="shared" si="94"/>
        <v/>
      </c>
      <c r="P234" s="459" t="str">
        <f t="shared" si="95"/>
        <v/>
      </c>
      <c r="Q234" s="459" t="str">
        <f t="shared" si="96"/>
        <v/>
      </c>
      <c r="R234" s="459" t="str">
        <f t="shared" si="97"/>
        <v/>
      </c>
      <c r="S234" s="459" t="str">
        <f t="shared" si="98"/>
        <v/>
      </c>
      <c r="T234" s="566" t="str">
        <f t="shared" si="106"/>
        <v/>
      </c>
      <c r="U234" s="702"/>
      <c r="V234" s="132"/>
      <c r="W234" s="133"/>
      <c r="X234" s="134"/>
      <c r="Y234" s="135"/>
      <c r="Z234" s="137"/>
      <c r="AA234" s="136"/>
      <c r="AB234" s="566" t="str">
        <f t="shared" si="99"/>
        <v/>
      </c>
      <c r="AC234" s="568" t="str">
        <f t="shared" si="107"/>
        <v/>
      </c>
      <c r="AD234" s="137"/>
      <c r="AE234" s="137"/>
      <c r="AF234" s="138"/>
      <c r="AG234" s="138"/>
      <c r="AH234" s="592" t="str">
        <f t="shared" si="100"/>
        <v/>
      </c>
      <c r="AI234" s="592" t="str">
        <f t="shared" si="101"/>
        <v/>
      </c>
      <c r="AJ234" s="592" t="str">
        <f t="shared" si="102"/>
        <v/>
      </c>
      <c r="AK234" s="460" t="str">
        <f>IF(AU234="","",IF(OR(AZ234=8,AZ234=9),0,IF(OR(AW234=3,AW234=4,AW234=5,AW234=6),IF(LEFT(BF234,1)="1",INDEX(係数_NOX・PM低減,MATCH(AY234,【参考】排出係数!$AI$801:$AI$804,1),1),VLOOKUP(AU234,INDEX((係数_バス貨物_ガソリン,係数_バス貨物_CNG,係数_バス貨物_軽油,係数_バス貨物_メタノール,係数_バス貨物_LPG),MATCH(AY234,【参考】排出係数!$AI$4:$AI$671,1),1,BE234):INDEX((係数_バス貨物_ガソリン,係数_バス貨物_CNG,係数_バス貨物_軽油,係数_バス貨物_メタノール,係数_バス貨物_LPG),MATCH(AY234+1,【参考】排出係数!$AI$4:$AI$671,1)-1,5,BE234),4,FALSE)),IF(AND(BE234=3,LEFT(BF234,1)="1"),0.48,VLOOKUP(AU234,INDEX((係数_乗用_ガソリン,係数_乗用_CNG,係数_乗用_軽油,係数_乗用_メタノール,係数_乗用_LPG),1,1,BE234):INDEX((係数_乗用_ガソリン,係数_乗用_CNG,係数_乗用_軽油,係数_乗用_メタノール,係数_乗用_LPG),125,5,BE234),4,FALSE)))))</f>
        <v/>
      </c>
      <c r="AL234" s="461" t="str">
        <f t="shared" si="126"/>
        <v/>
      </c>
      <c r="AM234" s="460" t="str">
        <f>IF(AU234="","",IF(OR(AZ234=8,AZ234=9),0,IF(OR(AW234=3,AW234=4,AW234=5,AW234=6),IF(LEFT(BH234,1)="1",INDEX(係数_PM低減,MATCH(AY234,【参考】排出係数!$AI$801:$AI$804,1),MATCH(BI234,【参考】排出係数!$AL$798:$AO$798,1)),VLOOKUP(AU234,INDEX((係数_バス貨物_ガソリン,係数_バス貨物_CNG,係数_バス貨物_軽油,係数_バス貨物_メタノール,係数_バス貨物_LPG),MATCH(AY234,【参考】排出係数!$AI$4:$AI$671,1),1,BE234):INDEX((係数_バス貨物_ガソリン,係数_バス貨物_CNG,係数_バス貨物_軽油,係数_バス貨物_メタノール,係数_バス貨物_LPG),MATCH(AY234+1,【参考】排出係数!$AI$4:$AI$671,1)-1,5,BE234),5,FALSE)),IF(AND(BE234=3,LEFT(BF234,1)="1"),0.055,VLOOKUP(AU234,INDEX((係数_乗用_ガソリン,係数_乗用_CNG,係数_乗用_軽油,係数_乗用_メタノール,係数_乗用_LPG),1,1,BE234):INDEX((係数_乗用_ガソリン,係数_乗用_CNG,係数_乗用_軽油,係数_乗用_メタノール,係数_乗用_LPG),125,5,BE234),5,FALSE)))))</f>
        <v/>
      </c>
      <c r="AN234" s="461" t="str">
        <f t="shared" si="127"/>
        <v/>
      </c>
      <c r="AO234" s="462" t="str">
        <f t="shared" si="128"/>
        <v/>
      </c>
      <c r="AP234" s="463" t="str">
        <f t="shared" si="129"/>
        <v/>
      </c>
      <c r="AQ234" s="464"/>
      <c r="AR234" s="619"/>
      <c r="AS234" s="465" t="str">
        <f t="shared" si="108"/>
        <v/>
      </c>
      <c r="AT234" s="465" t="str">
        <f t="shared" si="109"/>
        <v/>
      </c>
      <c r="AU234" s="466" t="str">
        <f t="shared" si="110"/>
        <v/>
      </c>
      <c r="AV234" s="467" t="str">
        <f t="shared" si="111"/>
        <v/>
      </c>
      <c r="AW234" s="467" t="str">
        <f t="shared" si="112"/>
        <v/>
      </c>
      <c r="AX234" s="467" t="str">
        <f t="shared" si="113"/>
        <v/>
      </c>
      <c r="AY234" s="467" t="str">
        <f t="shared" si="114"/>
        <v/>
      </c>
      <c r="AZ234" s="467" t="str">
        <f t="shared" si="115"/>
        <v/>
      </c>
      <c r="BA234" s="468" t="str">
        <f>IF(AS234="","",IF(OR(AU234="",AU234="-"),"－",IF(OR(AZ234=8,AZ234=9),"",IF(OR(AW234=3,AW234=4,AW234=5,AW234=6),VLOOKUP(AU234,INDEX((係数_バス貨物_ガソリン,係数_バス貨物_CNG,係数_バス貨物_軽油,係数_バス貨物_メタノール,係数_バス貨物_LPG),MATCH(AY234,【参考】排出係数!$AI$4:$AI$671,1),1,BE234):INDEX((係数_バス貨物_ガソリン,係数_バス貨物_CNG,係数_バス貨物_軽油,係数_バス貨物_メタノール,係数_バス貨物_LPG),MATCH(AY234+1,【参考】排出係数!$AI$4:$AI$671,1)-1,5,BE234),2,FALSE),IF(OR(AW234=1,AW234=2),VLOOKUP(AU234,INDEX((係数_乗用_ガソリン,係数_乗用_CNG,係数_乗用_軽油,係数_乗用_メタノール,係数_乗用_LPG),1,1,BE234):INDEX((係数_乗用_ガソリン,係数_乗用_CNG,係数_乗用_軽油,係数_乗用_メタノール,係数_乗用_LPG),125,5,BE234),2,FALSE))))))</f>
        <v/>
      </c>
      <c r="BB234" s="468" t="str">
        <f>IF(T234="","",IF(OR(AU234="",AU234="-"),"－",IF(OR(AZ234=8,AZ234=9),"",IF(OR(AW234=3,AW234=4,AW234=5,AW234=6),VLOOKUP(AU234,INDEX((係数_バス貨物_ガソリン,係数_バス貨物_CNG,係数_バス貨物_軽油,係数_バス貨物_メタノール,係数_バス貨物_LPG),MATCH(AY234,【参考】排出係数!$AI$4:$AI$671,1),1,BE234):INDEX((係数_バス貨物_ガソリン,係数_バス貨物_CNG,係数_バス貨物_軽油,係数_バス貨物_メタノール,係数_バス貨物_LPG),MATCH(AY234+1,【参考】排出係数!$AI$4:$AI$671,1)-1,5,BE234),3,FALSE),IF(OR(AW234=1,AW234=2),VLOOKUP(AU234,INDEX((係数_乗用_ガソリン,係数_乗用_CNG,係数_乗用_軽油,係数_乗用_メタノール,係数_乗用_LPG),1,1,BE234):INDEX((係数_乗用_ガソリン,係数_乗用_CNG,係数_乗用_軽油,係数_乗用_メタノール,係数_乗用_LPG),125,5,BE234),3,FALSE))))))</f>
        <v/>
      </c>
      <c r="BC234" s="467" t="str">
        <f t="shared" si="116"/>
        <v/>
      </c>
      <c r="BD234" s="567" t="str">
        <f t="shared" si="117"/>
        <v/>
      </c>
      <c r="BE234" s="467" t="str">
        <f t="shared" si="118"/>
        <v/>
      </c>
      <c r="BF234" s="469" t="str">
        <f t="shared" ca="1" si="119"/>
        <v/>
      </c>
      <c r="BG234" s="469" t="str">
        <f t="shared" ca="1" si="120"/>
        <v/>
      </c>
      <c r="BH234" s="467" t="str">
        <f t="shared" si="121"/>
        <v/>
      </c>
      <c r="BI234" s="467" t="str">
        <f t="shared" ca="1" si="122"/>
        <v/>
      </c>
      <c r="BJ234" s="469" t="str">
        <f t="shared" si="123"/>
        <v/>
      </c>
      <c r="BK234" s="470" t="str">
        <f t="shared" si="103"/>
        <v/>
      </c>
      <c r="BL234" s="775" t="str">
        <f t="shared" si="124"/>
        <v/>
      </c>
      <c r="BM234" s="775" t="str">
        <f t="shared" si="125"/>
        <v/>
      </c>
    </row>
    <row r="235" spans="1:65">
      <c r="A235" s="473">
        <v>179</v>
      </c>
      <c r="B235" s="132"/>
      <c r="C235" s="332"/>
      <c r="D235" s="333"/>
      <c r="E235" s="333"/>
      <c r="F235" s="334"/>
      <c r="G235" s="337"/>
      <c r="H235" s="131"/>
      <c r="I235" s="337"/>
      <c r="J235" s="131"/>
      <c r="K235" s="458" t="str">
        <f t="shared" si="92"/>
        <v/>
      </c>
      <c r="L235" s="458">
        <f t="shared" si="104"/>
        <v>0</v>
      </c>
      <c r="M235" s="458">
        <f t="shared" si="105"/>
        <v>0</v>
      </c>
      <c r="N235" s="459" t="str">
        <f t="shared" si="93"/>
        <v/>
      </c>
      <c r="O235" s="459" t="str">
        <f t="shared" si="94"/>
        <v/>
      </c>
      <c r="P235" s="459" t="str">
        <f t="shared" si="95"/>
        <v/>
      </c>
      <c r="Q235" s="459" t="str">
        <f t="shared" si="96"/>
        <v/>
      </c>
      <c r="R235" s="459" t="str">
        <f t="shared" si="97"/>
        <v/>
      </c>
      <c r="S235" s="459" t="str">
        <f t="shared" si="98"/>
        <v/>
      </c>
      <c r="T235" s="566" t="str">
        <f t="shared" si="106"/>
        <v/>
      </c>
      <c r="U235" s="702"/>
      <c r="V235" s="132"/>
      <c r="W235" s="133"/>
      <c r="X235" s="134"/>
      <c r="Y235" s="135"/>
      <c r="Z235" s="137"/>
      <c r="AA235" s="136"/>
      <c r="AB235" s="566" t="str">
        <f t="shared" si="99"/>
        <v/>
      </c>
      <c r="AC235" s="568" t="str">
        <f t="shared" si="107"/>
        <v/>
      </c>
      <c r="AD235" s="137"/>
      <c r="AE235" s="137"/>
      <c r="AF235" s="138"/>
      <c r="AG235" s="138"/>
      <c r="AH235" s="592" t="str">
        <f t="shared" si="100"/>
        <v/>
      </c>
      <c r="AI235" s="592" t="str">
        <f t="shared" si="101"/>
        <v/>
      </c>
      <c r="AJ235" s="592" t="str">
        <f t="shared" si="102"/>
        <v/>
      </c>
      <c r="AK235" s="460" t="str">
        <f>IF(AU235="","",IF(OR(AZ235=8,AZ235=9),0,IF(OR(AW235=3,AW235=4,AW235=5,AW235=6),IF(LEFT(BF235,1)="1",INDEX(係数_NOX・PM低減,MATCH(AY235,【参考】排出係数!$AI$801:$AI$804,1),1),VLOOKUP(AU235,INDEX((係数_バス貨物_ガソリン,係数_バス貨物_CNG,係数_バス貨物_軽油,係数_バス貨物_メタノール,係数_バス貨物_LPG),MATCH(AY235,【参考】排出係数!$AI$4:$AI$671,1),1,BE235):INDEX((係数_バス貨物_ガソリン,係数_バス貨物_CNG,係数_バス貨物_軽油,係数_バス貨物_メタノール,係数_バス貨物_LPG),MATCH(AY235+1,【参考】排出係数!$AI$4:$AI$671,1)-1,5,BE235),4,FALSE)),IF(AND(BE235=3,LEFT(BF235,1)="1"),0.48,VLOOKUP(AU235,INDEX((係数_乗用_ガソリン,係数_乗用_CNG,係数_乗用_軽油,係数_乗用_メタノール,係数_乗用_LPG),1,1,BE235):INDEX((係数_乗用_ガソリン,係数_乗用_CNG,係数_乗用_軽油,係数_乗用_メタノール,係数_乗用_LPG),125,5,BE235),4,FALSE)))))</f>
        <v/>
      </c>
      <c r="AL235" s="461" t="str">
        <f t="shared" si="126"/>
        <v/>
      </c>
      <c r="AM235" s="460" t="str">
        <f>IF(AU235="","",IF(OR(AZ235=8,AZ235=9),0,IF(OR(AW235=3,AW235=4,AW235=5,AW235=6),IF(LEFT(BH235,1)="1",INDEX(係数_PM低減,MATCH(AY235,【参考】排出係数!$AI$801:$AI$804,1),MATCH(BI235,【参考】排出係数!$AL$798:$AO$798,1)),VLOOKUP(AU235,INDEX((係数_バス貨物_ガソリン,係数_バス貨物_CNG,係数_バス貨物_軽油,係数_バス貨物_メタノール,係数_バス貨物_LPG),MATCH(AY235,【参考】排出係数!$AI$4:$AI$671,1),1,BE235):INDEX((係数_バス貨物_ガソリン,係数_バス貨物_CNG,係数_バス貨物_軽油,係数_バス貨物_メタノール,係数_バス貨物_LPG),MATCH(AY235+1,【参考】排出係数!$AI$4:$AI$671,1)-1,5,BE235),5,FALSE)),IF(AND(BE235=3,LEFT(BF235,1)="1"),0.055,VLOOKUP(AU235,INDEX((係数_乗用_ガソリン,係数_乗用_CNG,係数_乗用_軽油,係数_乗用_メタノール,係数_乗用_LPG),1,1,BE235):INDEX((係数_乗用_ガソリン,係数_乗用_CNG,係数_乗用_軽油,係数_乗用_メタノール,係数_乗用_LPG),125,5,BE235),5,FALSE)))))</f>
        <v/>
      </c>
      <c r="AN235" s="461" t="str">
        <f t="shared" si="127"/>
        <v/>
      </c>
      <c r="AO235" s="462" t="str">
        <f t="shared" si="128"/>
        <v/>
      </c>
      <c r="AP235" s="463" t="str">
        <f t="shared" si="129"/>
        <v/>
      </c>
      <c r="AQ235" s="464"/>
      <c r="AR235" s="619"/>
      <c r="AS235" s="465" t="str">
        <f t="shared" si="108"/>
        <v/>
      </c>
      <c r="AT235" s="465" t="str">
        <f t="shared" si="109"/>
        <v/>
      </c>
      <c r="AU235" s="466" t="str">
        <f t="shared" si="110"/>
        <v/>
      </c>
      <c r="AV235" s="467" t="str">
        <f t="shared" si="111"/>
        <v/>
      </c>
      <c r="AW235" s="467" t="str">
        <f t="shared" si="112"/>
        <v/>
      </c>
      <c r="AX235" s="467" t="str">
        <f t="shared" si="113"/>
        <v/>
      </c>
      <c r="AY235" s="467" t="str">
        <f t="shared" si="114"/>
        <v/>
      </c>
      <c r="AZ235" s="467" t="str">
        <f t="shared" si="115"/>
        <v/>
      </c>
      <c r="BA235" s="468" t="str">
        <f>IF(AS235="","",IF(OR(AU235="",AU235="-"),"－",IF(OR(AZ235=8,AZ235=9),"",IF(OR(AW235=3,AW235=4,AW235=5,AW235=6),VLOOKUP(AU235,INDEX((係数_バス貨物_ガソリン,係数_バス貨物_CNG,係数_バス貨物_軽油,係数_バス貨物_メタノール,係数_バス貨物_LPG),MATCH(AY235,【参考】排出係数!$AI$4:$AI$671,1),1,BE235):INDEX((係数_バス貨物_ガソリン,係数_バス貨物_CNG,係数_バス貨物_軽油,係数_バス貨物_メタノール,係数_バス貨物_LPG),MATCH(AY235+1,【参考】排出係数!$AI$4:$AI$671,1)-1,5,BE235),2,FALSE),IF(OR(AW235=1,AW235=2),VLOOKUP(AU235,INDEX((係数_乗用_ガソリン,係数_乗用_CNG,係数_乗用_軽油,係数_乗用_メタノール,係数_乗用_LPG),1,1,BE235):INDEX((係数_乗用_ガソリン,係数_乗用_CNG,係数_乗用_軽油,係数_乗用_メタノール,係数_乗用_LPG),125,5,BE235),2,FALSE))))))</f>
        <v/>
      </c>
      <c r="BB235" s="468" t="str">
        <f>IF(T235="","",IF(OR(AU235="",AU235="-"),"－",IF(OR(AZ235=8,AZ235=9),"",IF(OR(AW235=3,AW235=4,AW235=5,AW235=6),VLOOKUP(AU235,INDEX((係数_バス貨物_ガソリン,係数_バス貨物_CNG,係数_バス貨物_軽油,係数_バス貨物_メタノール,係数_バス貨物_LPG),MATCH(AY235,【参考】排出係数!$AI$4:$AI$671,1),1,BE235):INDEX((係数_バス貨物_ガソリン,係数_バス貨物_CNG,係数_バス貨物_軽油,係数_バス貨物_メタノール,係数_バス貨物_LPG),MATCH(AY235+1,【参考】排出係数!$AI$4:$AI$671,1)-1,5,BE235),3,FALSE),IF(OR(AW235=1,AW235=2),VLOOKUP(AU235,INDEX((係数_乗用_ガソリン,係数_乗用_CNG,係数_乗用_軽油,係数_乗用_メタノール,係数_乗用_LPG),1,1,BE235):INDEX((係数_乗用_ガソリン,係数_乗用_CNG,係数_乗用_軽油,係数_乗用_メタノール,係数_乗用_LPG),125,5,BE235),3,FALSE))))))</f>
        <v/>
      </c>
      <c r="BC235" s="467" t="str">
        <f t="shared" si="116"/>
        <v/>
      </c>
      <c r="BD235" s="567" t="str">
        <f t="shared" si="117"/>
        <v/>
      </c>
      <c r="BE235" s="467" t="str">
        <f t="shared" si="118"/>
        <v/>
      </c>
      <c r="BF235" s="469" t="str">
        <f t="shared" ca="1" si="119"/>
        <v/>
      </c>
      <c r="BG235" s="469" t="str">
        <f t="shared" ca="1" si="120"/>
        <v/>
      </c>
      <c r="BH235" s="467" t="str">
        <f t="shared" si="121"/>
        <v/>
      </c>
      <c r="BI235" s="467" t="str">
        <f t="shared" ca="1" si="122"/>
        <v/>
      </c>
      <c r="BJ235" s="469" t="str">
        <f t="shared" si="123"/>
        <v/>
      </c>
      <c r="BK235" s="470" t="str">
        <f t="shared" si="103"/>
        <v/>
      </c>
      <c r="BL235" s="775" t="str">
        <f t="shared" si="124"/>
        <v/>
      </c>
      <c r="BM235" s="775" t="str">
        <f t="shared" si="125"/>
        <v/>
      </c>
    </row>
    <row r="236" spans="1:65">
      <c r="A236" s="473">
        <v>180</v>
      </c>
      <c r="B236" s="132"/>
      <c r="C236" s="332"/>
      <c r="D236" s="333"/>
      <c r="E236" s="333"/>
      <c r="F236" s="334"/>
      <c r="G236" s="337"/>
      <c r="H236" s="131"/>
      <c r="I236" s="337"/>
      <c r="J236" s="131"/>
      <c r="K236" s="458" t="str">
        <f t="shared" si="92"/>
        <v/>
      </c>
      <c r="L236" s="458">
        <f t="shared" si="104"/>
        <v>0</v>
      </c>
      <c r="M236" s="458">
        <f t="shared" si="105"/>
        <v>0</v>
      </c>
      <c r="N236" s="459" t="str">
        <f t="shared" si="93"/>
        <v/>
      </c>
      <c r="O236" s="459" t="str">
        <f t="shared" si="94"/>
        <v/>
      </c>
      <c r="P236" s="459" t="str">
        <f t="shared" si="95"/>
        <v/>
      </c>
      <c r="Q236" s="459" t="str">
        <f t="shared" si="96"/>
        <v/>
      </c>
      <c r="R236" s="459" t="str">
        <f t="shared" si="97"/>
        <v/>
      </c>
      <c r="S236" s="459" t="str">
        <f t="shared" si="98"/>
        <v/>
      </c>
      <c r="T236" s="566" t="str">
        <f t="shared" si="106"/>
        <v/>
      </c>
      <c r="U236" s="702"/>
      <c r="V236" s="132"/>
      <c r="W236" s="133"/>
      <c r="X236" s="134"/>
      <c r="Y236" s="135"/>
      <c r="Z236" s="137"/>
      <c r="AA236" s="136"/>
      <c r="AB236" s="566" t="str">
        <f t="shared" si="99"/>
        <v/>
      </c>
      <c r="AC236" s="568" t="str">
        <f t="shared" si="107"/>
        <v/>
      </c>
      <c r="AD236" s="137"/>
      <c r="AE236" s="137"/>
      <c r="AF236" s="138"/>
      <c r="AG236" s="138"/>
      <c r="AH236" s="592" t="str">
        <f t="shared" si="100"/>
        <v/>
      </c>
      <c r="AI236" s="592" t="str">
        <f t="shared" si="101"/>
        <v/>
      </c>
      <c r="AJ236" s="592" t="str">
        <f t="shared" si="102"/>
        <v/>
      </c>
      <c r="AK236" s="460" t="str">
        <f>IF(AU236="","",IF(OR(AZ236=8,AZ236=9),0,IF(OR(AW236=3,AW236=4,AW236=5,AW236=6),IF(LEFT(BF236,1)="1",INDEX(係数_NOX・PM低減,MATCH(AY236,【参考】排出係数!$AI$801:$AI$804,1),1),VLOOKUP(AU236,INDEX((係数_バス貨物_ガソリン,係数_バス貨物_CNG,係数_バス貨物_軽油,係数_バス貨物_メタノール,係数_バス貨物_LPG),MATCH(AY236,【参考】排出係数!$AI$4:$AI$671,1),1,BE236):INDEX((係数_バス貨物_ガソリン,係数_バス貨物_CNG,係数_バス貨物_軽油,係数_バス貨物_メタノール,係数_バス貨物_LPG),MATCH(AY236+1,【参考】排出係数!$AI$4:$AI$671,1)-1,5,BE236),4,FALSE)),IF(AND(BE236=3,LEFT(BF236,1)="1"),0.48,VLOOKUP(AU236,INDEX((係数_乗用_ガソリン,係数_乗用_CNG,係数_乗用_軽油,係数_乗用_メタノール,係数_乗用_LPG),1,1,BE236):INDEX((係数_乗用_ガソリン,係数_乗用_CNG,係数_乗用_軽油,係数_乗用_メタノール,係数_乗用_LPG),125,5,BE236),4,FALSE)))))</f>
        <v/>
      </c>
      <c r="AL236" s="461" t="str">
        <f t="shared" si="126"/>
        <v/>
      </c>
      <c r="AM236" s="460" t="str">
        <f>IF(AU236="","",IF(OR(AZ236=8,AZ236=9),0,IF(OR(AW236=3,AW236=4,AW236=5,AW236=6),IF(LEFT(BH236,1)="1",INDEX(係数_PM低減,MATCH(AY236,【参考】排出係数!$AI$801:$AI$804,1),MATCH(BI236,【参考】排出係数!$AL$798:$AO$798,1)),VLOOKUP(AU236,INDEX((係数_バス貨物_ガソリン,係数_バス貨物_CNG,係数_バス貨物_軽油,係数_バス貨物_メタノール,係数_バス貨物_LPG),MATCH(AY236,【参考】排出係数!$AI$4:$AI$671,1),1,BE236):INDEX((係数_バス貨物_ガソリン,係数_バス貨物_CNG,係数_バス貨物_軽油,係数_バス貨物_メタノール,係数_バス貨物_LPG),MATCH(AY236+1,【参考】排出係数!$AI$4:$AI$671,1)-1,5,BE236),5,FALSE)),IF(AND(BE236=3,LEFT(BF236,1)="1"),0.055,VLOOKUP(AU236,INDEX((係数_乗用_ガソリン,係数_乗用_CNG,係数_乗用_軽油,係数_乗用_メタノール,係数_乗用_LPG),1,1,BE236):INDEX((係数_乗用_ガソリン,係数_乗用_CNG,係数_乗用_軽油,係数_乗用_メタノール,係数_乗用_LPG),125,5,BE236),5,FALSE)))))</f>
        <v/>
      </c>
      <c r="AN236" s="461" t="str">
        <f t="shared" si="127"/>
        <v/>
      </c>
      <c r="AO236" s="462" t="str">
        <f t="shared" si="128"/>
        <v/>
      </c>
      <c r="AP236" s="463" t="str">
        <f t="shared" si="129"/>
        <v/>
      </c>
      <c r="AQ236" s="464"/>
      <c r="AR236" s="619"/>
      <c r="AS236" s="465" t="str">
        <f t="shared" si="108"/>
        <v/>
      </c>
      <c r="AT236" s="465" t="str">
        <f t="shared" si="109"/>
        <v/>
      </c>
      <c r="AU236" s="466" t="str">
        <f t="shared" si="110"/>
        <v/>
      </c>
      <c r="AV236" s="467" t="str">
        <f t="shared" si="111"/>
        <v/>
      </c>
      <c r="AW236" s="467" t="str">
        <f t="shared" si="112"/>
        <v/>
      </c>
      <c r="AX236" s="467" t="str">
        <f t="shared" si="113"/>
        <v/>
      </c>
      <c r="AY236" s="467" t="str">
        <f t="shared" si="114"/>
        <v/>
      </c>
      <c r="AZ236" s="467" t="str">
        <f t="shared" si="115"/>
        <v/>
      </c>
      <c r="BA236" s="468" t="str">
        <f>IF(AS236="","",IF(OR(AU236="",AU236="-"),"－",IF(OR(AZ236=8,AZ236=9),"",IF(OR(AW236=3,AW236=4,AW236=5,AW236=6),VLOOKUP(AU236,INDEX((係数_バス貨物_ガソリン,係数_バス貨物_CNG,係数_バス貨物_軽油,係数_バス貨物_メタノール,係数_バス貨物_LPG),MATCH(AY236,【参考】排出係数!$AI$4:$AI$671,1),1,BE236):INDEX((係数_バス貨物_ガソリン,係数_バス貨物_CNG,係数_バス貨物_軽油,係数_バス貨物_メタノール,係数_バス貨物_LPG),MATCH(AY236+1,【参考】排出係数!$AI$4:$AI$671,1)-1,5,BE236),2,FALSE),IF(OR(AW236=1,AW236=2),VLOOKUP(AU236,INDEX((係数_乗用_ガソリン,係数_乗用_CNG,係数_乗用_軽油,係数_乗用_メタノール,係数_乗用_LPG),1,1,BE236):INDEX((係数_乗用_ガソリン,係数_乗用_CNG,係数_乗用_軽油,係数_乗用_メタノール,係数_乗用_LPG),125,5,BE236),2,FALSE))))))</f>
        <v/>
      </c>
      <c r="BB236" s="468" t="str">
        <f>IF(T236="","",IF(OR(AU236="",AU236="-"),"－",IF(OR(AZ236=8,AZ236=9),"",IF(OR(AW236=3,AW236=4,AW236=5,AW236=6),VLOOKUP(AU236,INDEX((係数_バス貨物_ガソリン,係数_バス貨物_CNG,係数_バス貨物_軽油,係数_バス貨物_メタノール,係数_バス貨物_LPG),MATCH(AY236,【参考】排出係数!$AI$4:$AI$671,1),1,BE236):INDEX((係数_バス貨物_ガソリン,係数_バス貨物_CNG,係数_バス貨物_軽油,係数_バス貨物_メタノール,係数_バス貨物_LPG),MATCH(AY236+1,【参考】排出係数!$AI$4:$AI$671,1)-1,5,BE236),3,FALSE),IF(OR(AW236=1,AW236=2),VLOOKUP(AU236,INDEX((係数_乗用_ガソリン,係数_乗用_CNG,係数_乗用_軽油,係数_乗用_メタノール,係数_乗用_LPG),1,1,BE236):INDEX((係数_乗用_ガソリン,係数_乗用_CNG,係数_乗用_軽油,係数_乗用_メタノール,係数_乗用_LPG),125,5,BE236),3,FALSE))))))</f>
        <v/>
      </c>
      <c r="BC236" s="467" t="str">
        <f t="shared" si="116"/>
        <v/>
      </c>
      <c r="BD236" s="567" t="str">
        <f t="shared" si="117"/>
        <v/>
      </c>
      <c r="BE236" s="467" t="str">
        <f t="shared" si="118"/>
        <v/>
      </c>
      <c r="BF236" s="469" t="str">
        <f t="shared" ca="1" si="119"/>
        <v/>
      </c>
      <c r="BG236" s="469" t="str">
        <f t="shared" ca="1" si="120"/>
        <v/>
      </c>
      <c r="BH236" s="467" t="str">
        <f t="shared" si="121"/>
        <v/>
      </c>
      <c r="BI236" s="467" t="str">
        <f t="shared" ca="1" si="122"/>
        <v/>
      </c>
      <c r="BJ236" s="469" t="str">
        <f t="shared" si="123"/>
        <v/>
      </c>
      <c r="BK236" s="470" t="str">
        <f t="shared" si="103"/>
        <v/>
      </c>
      <c r="BL236" s="775" t="str">
        <f t="shared" si="124"/>
        <v/>
      </c>
      <c r="BM236" s="775" t="str">
        <f t="shared" si="125"/>
        <v/>
      </c>
    </row>
    <row r="237" spans="1:65">
      <c r="A237" s="473">
        <v>181</v>
      </c>
      <c r="B237" s="132"/>
      <c r="C237" s="332"/>
      <c r="D237" s="333"/>
      <c r="E237" s="333"/>
      <c r="F237" s="334"/>
      <c r="G237" s="337"/>
      <c r="H237" s="131"/>
      <c r="I237" s="337"/>
      <c r="J237" s="131"/>
      <c r="K237" s="458" t="str">
        <f t="shared" si="92"/>
        <v/>
      </c>
      <c r="L237" s="458">
        <f t="shared" si="104"/>
        <v>0</v>
      </c>
      <c r="M237" s="458">
        <f t="shared" si="105"/>
        <v>0</v>
      </c>
      <c r="N237" s="459" t="str">
        <f t="shared" si="93"/>
        <v/>
      </c>
      <c r="O237" s="459" t="str">
        <f t="shared" si="94"/>
        <v/>
      </c>
      <c r="P237" s="459" t="str">
        <f t="shared" si="95"/>
        <v/>
      </c>
      <c r="Q237" s="459" t="str">
        <f t="shared" si="96"/>
        <v/>
      </c>
      <c r="R237" s="459" t="str">
        <f t="shared" si="97"/>
        <v/>
      </c>
      <c r="S237" s="459" t="str">
        <f t="shared" si="98"/>
        <v/>
      </c>
      <c r="T237" s="566" t="str">
        <f t="shared" si="106"/>
        <v/>
      </c>
      <c r="U237" s="702"/>
      <c r="V237" s="132"/>
      <c r="W237" s="133"/>
      <c r="X237" s="134"/>
      <c r="Y237" s="135"/>
      <c r="Z237" s="137"/>
      <c r="AA237" s="136"/>
      <c r="AB237" s="566" t="str">
        <f t="shared" si="99"/>
        <v/>
      </c>
      <c r="AC237" s="568" t="str">
        <f t="shared" si="107"/>
        <v/>
      </c>
      <c r="AD237" s="137"/>
      <c r="AE237" s="137"/>
      <c r="AF237" s="138"/>
      <c r="AG237" s="138"/>
      <c r="AH237" s="592" t="str">
        <f t="shared" si="100"/>
        <v/>
      </c>
      <c r="AI237" s="592" t="str">
        <f t="shared" si="101"/>
        <v/>
      </c>
      <c r="AJ237" s="592" t="str">
        <f t="shared" si="102"/>
        <v/>
      </c>
      <c r="AK237" s="460" t="str">
        <f>IF(AU237="","",IF(OR(AZ237=8,AZ237=9),0,IF(OR(AW237=3,AW237=4,AW237=5,AW237=6),IF(LEFT(BF237,1)="1",INDEX(係数_NOX・PM低減,MATCH(AY237,【参考】排出係数!$AI$801:$AI$804,1),1),VLOOKUP(AU237,INDEX((係数_バス貨物_ガソリン,係数_バス貨物_CNG,係数_バス貨物_軽油,係数_バス貨物_メタノール,係数_バス貨物_LPG),MATCH(AY237,【参考】排出係数!$AI$4:$AI$671,1),1,BE237):INDEX((係数_バス貨物_ガソリン,係数_バス貨物_CNG,係数_バス貨物_軽油,係数_バス貨物_メタノール,係数_バス貨物_LPG),MATCH(AY237+1,【参考】排出係数!$AI$4:$AI$671,1)-1,5,BE237),4,FALSE)),IF(AND(BE237=3,LEFT(BF237,1)="1"),0.48,VLOOKUP(AU237,INDEX((係数_乗用_ガソリン,係数_乗用_CNG,係数_乗用_軽油,係数_乗用_メタノール,係数_乗用_LPG),1,1,BE237):INDEX((係数_乗用_ガソリン,係数_乗用_CNG,係数_乗用_軽油,係数_乗用_メタノール,係数_乗用_LPG),125,5,BE237),4,FALSE)))))</f>
        <v/>
      </c>
      <c r="AL237" s="461" t="str">
        <f t="shared" si="126"/>
        <v/>
      </c>
      <c r="AM237" s="460" t="str">
        <f>IF(AU237="","",IF(OR(AZ237=8,AZ237=9),0,IF(OR(AW237=3,AW237=4,AW237=5,AW237=6),IF(LEFT(BH237,1)="1",INDEX(係数_PM低減,MATCH(AY237,【参考】排出係数!$AI$801:$AI$804,1),MATCH(BI237,【参考】排出係数!$AL$798:$AO$798,1)),VLOOKUP(AU237,INDEX((係数_バス貨物_ガソリン,係数_バス貨物_CNG,係数_バス貨物_軽油,係数_バス貨物_メタノール,係数_バス貨物_LPG),MATCH(AY237,【参考】排出係数!$AI$4:$AI$671,1),1,BE237):INDEX((係数_バス貨物_ガソリン,係数_バス貨物_CNG,係数_バス貨物_軽油,係数_バス貨物_メタノール,係数_バス貨物_LPG),MATCH(AY237+1,【参考】排出係数!$AI$4:$AI$671,1)-1,5,BE237),5,FALSE)),IF(AND(BE237=3,LEFT(BF237,1)="1"),0.055,VLOOKUP(AU237,INDEX((係数_乗用_ガソリン,係数_乗用_CNG,係数_乗用_軽油,係数_乗用_メタノール,係数_乗用_LPG),1,1,BE237):INDEX((係数_乗用_ガソリン,係数_乗用_CNG,係数_乗用_軽油,係数_乗用_メタノール,係数_乗用_LPG),125,5,BE237),5,FALSE)))))</f>
        <v/>
      </c>
      <c r="AN237" s="461" t="str">
        <f t="shared" si="127"/>
        <v/>
      </c>
      <c r="AO237" s="462" t="str">
        <f t="shared" si="128"/>
        <v/>
      </c>
      <c r="AP237" s="463" t="str">
        <f t="shared" si="129"/>
        <v/>
      </c>
      <c r="AQ237" s="464"/>
      <c r="AR237" s="619"/>
      <c r="AS237" s="465" t="str">
        <f t="shared" si="108"/>
        <v/>
      </c>
      <c r="AT237" s="465" t="str">
        <f t="shared" si="109"/>
        <v/>
      </c>
      <c r="AU237" s="466" t="str">
        <f t="shared" si="110"/>
        <v/>
      </c>
      <c r="AV237" s="467" t="str">
        <f t="shared" si="111"/>
        <v/>
      </c>
      <c r="AW237" s="467" t="str">
        <f t="shared" si="112"/>
        <v/>
      </c>
      <c r="AX237" s="467" t="str">
        <f t="shared" si="113"/>
        <v/>
      </c>
      <c r="AY237" s="467" t="str">
        <f t="shared" si="114"/>
        <v/>
      </c>
      <c r="AZ237" s="467" t="str">
        <f t="shared" si="115"/>
        <v/>
      </c>
      <c r="BA237" s="468" t="str">
        <f>IF(AS237="","",IF(OR(AU237="",AU237="-"),"－",IF(OR(AZ237=8,AZ237=9),"",IF(OR(AW237=3,AW237=4,AW237=5,AW237=6),VLOOKUP(AU237,INDEX((係数_バス貨物_ガソリン,係数_バス貨物_CNG,係数_バス貨物_軽油,係数_バス貨物_メタノール,係数_バス貨物_LPG),MATCH(AY237,【参考】排出係数!$AI$4:$AI$671,1),1,BE237):INDEX((係数_バス貨物_ガソリン,係数_バス貨物_CNG,係数_バス貨物_軽油,係数_バス貨物_メタノール,係数_バス貨物_LPG),MATCH(AY237+1,【参考】排出係数!$AI$4:$AI$671,1)-1,5,BE237),2,FALSE),IF(OR(AW237=1,AW237=2),VLOOKUP(AU237,INDEX((係数_乗用_ガソリン,係数_乗用_CNG,係数_乗用_軽油,係数_乗用_メタノール,係数_乗用_LPG),1,1,BE237):INDEX((係数_乗用_ガソリン,係数_乗用_CNG,係数_乗用_軽油,係数_乗用_メタノール,係数_乗用_LPG),125,5,BE237),2,FALSE))))))</f>
        <v/>
      </c>
      <c r="BB237" s="468" t="str">
        <f>IF(T237="","",IF(OR(AU237="",AU237="-"),"－",IF(OR(AZ237=8,AZ237=9),"",IF(OR(AW237=3,AW237=4,AW237=5,AW237=6),VLOOKUP(AU237,INDEX((係数_バス貨物_ガソリン,係数_バス貨物_CNG,係数_バス貨物_軽油,係数_バス貨物_メタノール,係数_バス貨物_LPG),MATCH(AY237,【参考】排出係数!$AI$4:$AI$671,1),1,BE237):INDEX((係数_バス貨物_ガソリン,係数_バス貨物_CNG,係数_バス貨物_軽油,係数_バス貨物_メタノール,係数_バス貨物_LPG),MATCH(AY237+1,【参考】排出係数!$AI$4:$AI$671,1)-1,5,BE237),3,FALSE),IF(OR(AW237=1,AW237=2),VLOOKUP(AU237,INDEX((係数_乗用_ガソリン,係数_乗用_CNG,係数_乗用_軽油,係数_乗用_メタノール,係数_乗用_LPG),1,1,BE237):INDEX((係数_乗用_ガソリン,係数_乗用_CNG,係数_乗用_軽油,係数_乗用_メタノール,係数_乗用_LPG),125,5,BE237),3,FALSE))))))</f>
        <v/>
      </c>
      <c r="BC237" s="467" t="str">
        <f t="shared" si="116"/>
        <v/>
      </c>
      <c r="BD237" s="567" t="str">
        <f t="shared" si="117"/>
        <v/>
      </c>
      <c r="BE237" s="467" t="str">
        <f t="shared" si="118"/>
        <v/>
      </c>
      <c r="BF237" s="469" t="str">
        <f t="shared" ca="1" si="119"/>
        <v/>
      </c>
      <c r="BG237" s="469" t="str">
        <f t="shared" ca="1" si="120"/>
        <v/>
      </c>
      <c r="BH237" s="467" t="str">
        <f t="shared" si="121"/>
        <v/>
      </c>
      <c r="BI237" s="467" t="str">
        <f t="shared" ca="1" si="122"/>
        <v/>
      </c>
      <c r="BJ237" s="469" t="str">
        <f t="shared" si="123"/>
        <v/>
      </c>
      <c r="BK237" s="470" t="str">
        <f t="shared" si="103"/>
        <v/>
      </c>
      <c r="BL237" s="775" t="str">
        <f t="shared" si="124"/>
        <v/>
      </c>
      <c r="BM237" s="775" t="str">
        <f t="shared" si="125"/>
        <v/>
      </c>
    </row>
    <row r="238" spans="1:65">
      <c r="A238" s="473">
        <v>182</v>
      </c>
      <c r="B238" s="132"/>
      <c r="C238" s="332"/>
      <c r="D238" s="333"/>
      <c r="E238" s="333"/>
      <c r="F238" s="334"/>
      <c r="G238" s="337"/>
      <c r="H238" s="131"/>
      <c r="I238" s="337"/>
      <c r="J238" s="131"/>
      <c r="K238" s="458" t="str">
        <f t="shared" si="92"/>
        <v/>
      </c>
      <c r="L238" s="458">
        <f t="shared" si="104"/>
        <v>0</v>
      </c>
      <c r="M238" s="458">
        <f t="shared" si="105"/>
        <v>0</v>
      </c>
      <c r="N238" s="459" t="str">
        <f t="shared" si="93"/>
        <v/>
      </c>
      <c r="O238" s="459" t="str">
        <f t="shared" si="94"/>
        <v/>
      </c>
      <c r="P238" s="459" t="str">
        <f t="shared" si="95"/>
        <v/>
      </c>
      <c r="Q238" s="459" t="str">
        <f t="shared" si="96"/>
        <v/>
      </c>
      <c r="R238" s="459" t="str">
        <f t="shared" si="97"/>
        <v/>
      </c>
      <c r="S238" s="459" t="str">
        <f t="shared" si="98"/>
        <v/>
      </c>
      <c r="T238" s="566" t="str">
        <f t="shared" si="106"/>
        <v/>
      </c>
      <c r="U238" s="702"/>
      <c r="V238" s="132"/>
      <c r="W238" s="133"/>
      <c r="X238" s="134"/>
      <c r="Y238" s="135"/>
      <c r="Z238" s="137"/>
      <c r="AA238" s="136"/>
      <c r="AB238" s="566" t="str">
        <f t="shared" si="99"/>
        <v/>
      </c>
      <c r="AC238" s="568" t="str">
        <f t="shared" si="107"/>
        <v/>
      </c>
      <c r="AD238" s="137"/>
      <c r="AE238" s="137"/>
      <c r="AF238" s="138"/>
      <c r="AG238" s="138"/>
      <c r="AH238" s="592" t="str">
        <f t="shared" si="100"/>
        <v/>
      </c>
      <c r="AI238" s="592" t="str">
        <f t="shared" si="101"/>
        <v/>
      </c>
      <c r="AJ238" s="592" t="str">
        <f t="shared" si="102"/>
        <v/>
      </c>
      <c r="AK238" s="460" t="str">
        <f>IF(AU238="","",IF(OR(AZ238=8,AZ238=9),0,IF(OR(AW238=3,AW238=4,AW238=5,AW238=6),IF(LEFT(BF238,1)="1",INDEX(係数_NOX・PM低減,MATCH(AY238,【参考】排出係数!$AI$801:$AI$804,1),1),VLOOKUP(AU238,INDEX((係数_バス貨物_ガソリン,係数_バス貨物_CNG,係数_バス貨物_軽油,係数_バス貨物_メタノール,係数_バス貨物_LPG),MATCH(AY238,【参考】排出係数!$AI$4:$AI$671,1),1,BE238):INDEX((係数_バス貨物_ガソリン,係数_バス貨物_CNG,係数_バス貨物_軽油,係数_バス貨物_メタノール,係数_バス貨物_LPG),MATCH(AY238+1,【参考】排出係数!$AI$4:$AI$671,1)-1,5,BE238),4,FALSE)),IF(AND(BE238=3,LEFT(BF238,1)="1"),0.48,VLOOKUP(AU238,INDEX((係数_乗用_ガソリン,係数_乗用_CNG,係数_乗用_軽油,係数_乗用_メタノール,係数_乗用_LPG),1,1,BE238):INDEX((係数_乗用_ガソリン,係数_乗用_CNG,係数_乗用_軽油,係数_乗用_メタノール,係数_乗用_LPG),125,5,BE238),4,FALSE)))))</f>
        <v/>
      </c>
      <c r="AL238" s="461" t="str">
        <f t="shared" si="126"/>
        <v/>
      </c>
      <c r="AM238" s="460" t="str">
        <f>IF(AU238="","",IF(OR(AZ238=8,AZ238=9),0,IF(OR(AW238=3,AW238=4,AW238=5,AW238=6),IF(LEFT(BH238,1)="1",INDEX(係数_PM低減,MATCH(AY238,【参考】排出係数!$AI$801:$AI$804,1),MATCH(BI238,【参考】排出係数!$AL$798:$AO$798,1)),VLOOKUP(AU238,INDEX((係数_バス貨物_ガソリン,係数_バス貨物_CNG,係数_バス貨物_軽油,係数_バス貨物_メタノール,係数_バス貨物_LPG),MATCH(AY238,【参考】排出係数!$AI$4:$AI$671,1),1,BE238):INDEX((係数_バス貨物_ガソリン,係数_バス貨物_CNG,係数_バス貨物_軽油,係数_バス貨物_メタノール,係数_バス貨物_LPG),MATCH(AY238+1,【参考】排出係数!$AI$4:$AI$671,1)-1,5,BE238),5,FALSE)),IF(AND(BE238=3,LEFT(BF238,1)="1"),0.055,VLOOKUP(AU238,INDEX((係数_乗用_ガソリン,係数_乗用_CNG,係数_乗用_軽油,係数_乗用_メタノール,係数_乗用_LPG),1,1,BE238):INDEX((係数_乗用_ガソリン,係数_乗用_CNG,係数_乗用_軽油,係数_乗用_メタノール,係数_乗用_LPG),125,5,BE238),5,FALSE)))))</f>
        <v/>
      </c>
      <c r="AN238" s="461" t="str">
        <f t="shared" si="127"/>
        <v/>
      </c>
      <c r="AO238" s="462" t="str">
        <f t="shared" si="128"/>
        <v/>
      </c>
      <c r="AP238" s="463" t="str">
        <f t="shared" si="129"/>
        <v/>
      </c>
      <c r="AQ238" s="464"/>
      <c r="AR238" s="619"/>
      <c r="AS238" s="465" t="str">
        <f t="shared" si="108"/>
        <v/>
      </c>
      <c r="AT238" s="465" t="str">
        <f t="shared" si="109"/>
        <v/>
      </c>
      <c r="AU238" s="466" t="str">
        <f t="shared" si="110"/>
        <v/>
      </c>
      <c r="AV238" s="467" t="str">
        <f t="shared" si="111"/>
        <v/>
      </c>
      <c r="AW238" s="467" t="str">
        <f t="shared" si="112"/>
        <v/>
      </c>
      <c r="AX238" s="467" t="str">
        <f t="shared" si="113"/>
        <v/>
      </c>
      <c r="AY238" s="467" t="str">
        <f t="shared" si="114"/>
        <v/>
      </c>
      <c r="AZ238" s="467" t="str">
        <f t="shared" si="115"/>
        <v/>
      </c>
      <c r="BA238" s="468" t="str">
        <f>IF(AS238="","",IF(OR(AU238="",AU238="-"),"－",IF(OR(AZ238=8,AZ238=9),"",IF(OR(AW238=3,AW238=4,AW238=5,AW238=6),VLOOKUP(AU238,INDEX((係数_バス貨物_ガソリン,係数_バス貨物_CNG,係数_バス貨物_軽油,係数_バス貨物_メタノール,係数_バス貨物_LPG),MATCH(AY238,【参考】排出係数!$AI$4:$AI$671,1),1,BE238):INDEX((係数_バス貨物_ガソリン,係数_バス貨物_CNG,係数_バス貨物_軽油,係数_バス貨物_メタノール,係数_バス貨物_LPG),MATCH(AY238+1,【参考】排出係数!$AI$4:$AI$671,1)-1,5,BE238),2,FALSE),IF(OR(AW238=1,AW238=2),VLOOKUP(AU238,INDEX((係数_乗用_ガソリン,係数_乗用_CNG,係数_乗用_軽油,係数_乗用_メタノール,係数_乗用_LPG),1,1,BE238):INDEX((係数_乗用_ガソリン,係数_乗用_CNG,係数_乗用_軽油,係数_乗用_メタノール,係数_乗用_LPG),125,5,BE238),2,FALSE))))))</f>
        <v/>
      </c>
      <c r="BB238" s="468" t="str">
        <f>IF(T238="","",IF(OR(AU238="",AU238="-"),"－",IF(OR(AZ238=8,AZ238=9),"",IF(OR(AW238=3,AW238=4,AW238=5,AW238=6),VLOOKUP(AU238,INDEX((係数_バス貨物_ガソリン,係数_バス貨物_CNG,係数_バス貨物_軽油,係数_バス貨物_メタノール,係数_バス貨物_LPG),MATCH(AY238,【参考】排出係数!$AI$4:$AI$671,1),1,BE238):INDEX((係数_バス貨物_ガソリン,係数_バス貨物_CNG,係数_バス貨物_軽油,係数_バス貨物_メタノール,係数_バス貨物_LPG),MATCH(AY238+1,【参考】排出係数!$AI$4:$AI$671,1)-1,5,BE238),3,FALSE),IF(OR(AW238=1,AW238=2),VLOOKUP(AU238,INDEX((係数_乗用_ガソリン,係数_乗用_CNG,係数_乗用_軽油,係数_乗用_メタノール,係数_乗用_LPG),1,1,BE238):INDEX((係数_乗用_ガソリン,係数_乗用_CNG,係数_乗用_軽油,係数_乗用_メタノール,係数_乗用_LPG),125,5,BE238),3,FALSE))))))</f>
        <v/>
      </c>
      <c r="BC238" s="467" t="str">
        <f t="shared" si="116"/>
        <v/>
      </c>
      <c r="BD238" s="567" t="str">
        <f t="shared" si="117"/>
        <v/>
      </c>
      <c r="BE238" s="467" t="str">
        <f t="shared" si="118"/>
        <v/>
      </c>
      <c r="BF238" s="469" t="str">
        <f t="shared" ca="1" si="119"/>
        <v/>
      </c>
      <c r="BG238" s="469" t="str">
        <f t="shared" ca="1" si="120"/>
        <v/>
      </c>
      <c r="BH238" s="467" t="str">
        <f t="shared" si="121"/>
        <v/>
      </c>
      <c r="BI238" s="467" t="str">
        <f t="shared" ca="1" si="122"/>
        <v/>
      </c>
      <c r="BJ238" s="469" t="str">
        <f t="shared" si="123"/>
        <v/>
      </c>
      <c r="BK238" s="470" t="str">
        <f t="shared" si="103"/>
        <v/>
      </c>
      <c r="BL238" s="775" t="str">
        <f t="shared" si="124"/>
        <v/>
      </c>
      <c r="BM238" s="775" t="str">
        <f t="shared" si="125"/>
        <v/>
      </c>
    </row>
    <row r="239" spans="1:65">
      <c r="A239" s="473">
        <v>183</v>
      </c>
      <c r="B239" s="132"/>
      <c r="C239" s="332"/>
      <c r="D239" s="333"/>
      <c r="E239" s="333"/>
      <c r="F239" s="334"/>
      <c r="G239" s="337"/>
      <c r="H239" s="131"/>
      <c r="I239" s="337"/>
      <c r="J239" s="131"/>
      <c r="K239" s="458" t="str">
        <f t="shared" si="92"/>
        <v/>
      </c>
      <c r="L239" s="458">
        <f t="shared" si="104"/>
        <v>0</v>
      </c>
      <c r="M239" s="458">
        <f t="shared" si="105"/>
        <v>0</v>
      </c>
      <c r="N239" s="459" t="str">
        <f t="shared" si="93"/>
        <v/>
      </c>
      <c r="O239" s="459" t="str">
        <f t="shared" si="94"/>
        <v/>
      </c>
      <c r="P239" s="459" t="str">
        <f t="shared" si="95"/>
        <v/>
      </c>
      <c r="Q239" s="459" t="str">
        <f t="shared" si="96"/>
        <v/>
      </c>
      <c r="R239" s="459" t="str">
        <f t="shared" si="97"/>
        <v/>
      </c>
      <c r="S239" s="459" t="str">
        <f t="shared" si="98"/>
        <v/>
      </c>
      <c r="T239" s="566" t="str">
        <f t="shared" si="106"/>
        <v/>
      </c>
      <c r="U239" s="702"/>
      <c r="V239" s="132"/>
      <c r="W239" s="133"/>
      <c r="X239" s="134"/>
      <c r="Y239" s="135"/>
      <c r="Z239" s="137"/>
      <c r="AA239" s="136"/>
      <c r="AB239" s="566" t="str">
        <f t="shared" si="99"/>
        <v/>
      </c>
      <c r="AC239" s="568" t="str">
        <f t="shared" si="107"/>
        <v/>
      </c>
      <c r="AD239" s="137"/>
      <c r="AE239" s="137"/>
      <c r="AF239" s="138"/>
      <c r="AG239" s="138"/>
      <c r="AH239" s="592" t="str">
        <f t="shared" si="100"/>
        <v/>
      </c>
      <c r="AI239" s="592" t="str">
        <f t="shared" si="101"/>
        <v/>
      </c>
      <c r="AJ239" s="592" t="str">
        <f t="shared" si="102"/>
        <v/>
      </c>
      <c r="AK239" s="460" t="str">
        <f>IF(AU239="","",IF(OR(AZ239=8,AZ239=9),0,IF(OR(AW239=3,AW239=4,AW239=5,AW239=6),IF(LEFT(BF239,1)="1",INDEX(係数_NOX・PM低減,MATCH(AY239,【参考】排出係数!$AI$801:$AI$804,1),1),VLOOKUP(AU239,INDEX((係数_バス貨物_ガソリン,係数_バス貨物_CNG,係数_バス貨物_軽油,係数_バス貨物_メタノール,係数_バス貨物_LPG),MATCH(AY239,【参考】排出係数!$AI$4:$AI$671,1),1,BE239):INDEX((係数_バス貨物_ガソリン,係数_バス貨物_CNG,係数_バス貨物_軽油,係数_バス貨物_メタノール,係数_バス貨物_LPG),MATCH(AY239+1,【参考】排出係数!$AI$4:$AI$671,1)-1,5,BE239),4,FALSE)),IF(AND(BE239=3,LEFT(BF239,1)="1"),0.48,VLOOKUP(AU239,INDEX((係数_乗用_ガソリン,係数_乗用_CNG,係数_乗用_軽油,係数_乗用_メタノール,係数_乗用_LPG),1,1,BE239):INDEX((係数_乗用_ガソリン,係数_乗用_CNG,係数_乗用_軽油,係数_乗用_メタノール,係数_乗用_LPG),125,5,BE239),4,FALSE)))))</f>
        <v/>
      </c>
      <c r="AL239" s="461" t="str">
        <f t="shared" si="126"/>
        <v/>
      </c>
      <c r="AM239" s="460" t="str">
        <f>IF(AU239="","",IF(OR(AZ239=8,AZ239=9),0,IF(OR(AW239=3,AW239=4,AW239=5,AW239=6),IF(LEFT(BH239,1)="1",INDEX(係数_PM低減,MATCH(AY239,【参考】排出係数!$AI$801:$AI$804,1),MATCH(BI239,【参考】排出係数!$AL$798:$AO$798,1)),VLOOKUP(AU239,INDEX((係数_バス貨物_ガソリン,係数_バス貨物_CNG,係数_バス貨物_軽油,係数_バス貨物_メタノール,係数_バス貨物_LPG),MATCH(AY239,【参考】排出係数!$AI$4:$AI$671,1),1,BE239):INDEX((係数_バス貨物_ガソリン,係数_バス貨物_CNG,係数_バス貨物_軽油,係数_バス貨物_メタノール,係数_バス貨物_LPG),MATCH(AY239+1,【参考】排出係数!$AI$4:$AI$671,1)-1,5,BE239),5,FALSE)),IF(AND(BE239=3,LEFT(BF239,1)="1"),0.055,VLOOKUP(AU239,INDEX((係数_乗用_ガソリン,係数_乗用_CNG,係数_乗用_軽油,係数_乗用_メタノール,係数_乗用_LPG),1,1,BE239):INDEX((係数_乗用_ガソリン,係数_乗用_CNG,係数_乗用_軽油,係数_乗用_メタノール,係数_乗用_LPG),125,5,BE239),5,FALSE)))))</f>
        <v/>
      </c>
      <c r="AN239" s="461" t="str">
        <f t="shared" si="127"/>
        <v/>
      </c>
      <c r="AO239" s="462" t="str">
        <f t="shared" si="128"/>
        <v/>
      </c>
      <c r="AP239" s="463" t="str">
        <f t="shared" si="129"/>
        <v/>
      </c>
      <c r="AQ239" s="464"/>
      <c r="AR239" s="619"/>
      <c r="AS239" s="465" t="str">
        <f t="shared" si="108"/>
        <v/>
      </c>
      <c r="AT239" s="465" t="str">
        <f t="shared" si="109"/>
        <v/>
      </c>
      <c r="AU239" s="466" t="str">
        <f t="shared" si="110"/>
        <v/>
      </c>
      <c r="AV239" s="467" t="str">
        <f t="shared" si="111"/>
        <v/>
      </c>
      <c r="AW239" s="467" t="str">
        <f t="shared" si="112"/>
        <v/>
      </c>
      <c r="AX239" s="467" t="str">
        <f t="shared" si="113"/>
        <v/>
      </c>
      <c r="AY239" s="467" t="str">
        <f t="shared" si="114"/>
        <v/>
      </c>
      <c r="AZ239" s="467" t="str">
        <f t="shared" si="115"/>
        <v/>
      </c>
      <c r="BA239" s="468" t="str">
        <f>IF(AS239="","",IF(OR(AU239="",AU239="-"),"－",IF(OR(AZ239=8,AZ239=9),"",IF(OR(AW239=3,AW239=4,AW239=5,AW239=6),VLOOKUP(AU239,INDEX((係数_バス貨物_ガソリン,係数_バス貨物_CNG,係数_バス貨物_軽油,係数_バス貨物_メタノール,係数_バス貨物_LPG),MATCH(AY239,【参考】排出係数!$AI$4:$AI$671,1),1,BE239):INDEX((係数_バス貨物_ガソリン,係数_バス貨物_CNG,係数_バス貨物_軽油,係数_バス貨物_メタノール,係数_バス貨物_LPG),MATCH(AY239+1,【参考】排出係数!$AI$4:$AI$671,1)-1,5,BE239),2,FALSE),IF(OR(AW239=1,AW239=2),VLOOKUP(AU239,INDEX((係数_乗用_ガソリン,係数_乗用_CNG,係数_乗用_軽油,係数_乗用_メタノール,係数_乗用_LPG),1,1,BE239):INDEX((係数_乗用_ガソリン,係数_乗用_CNG,係数_乗用_軽油,係数_乗用_メタノール,係数_乗用_LPG),125,5,BE239),2,FALSE))))))</f>
        <v/>
      </c>
      <c r="BB239" s="468" t="str">
        <f>IF(T239="","",IF(OR(AU239="",AU239="-"),"－",IF(OR(AZ239=8,AZ239=9),"",IF(OR(AW239=3,AW239=4,AW239=5,AW239=6),VLOOKUP(AU239,INDEX((係数_バス貨物_ガソリン,係数_バス貨物_CNG,係数_バス貨物_軽油,係数_バス貨物_メタノール,係数_バス貨物_LPG),MATCH(AY239,【参考】排出係数!$AI$4:$AI$671,1),1,BE239):INDEX((係数_バス貨物_ガソリン,係数_バス貨物_CNG,係数_バス貨物_軽油,係数_バス貨物_メタノール,係数_バス貨物_LPG),MATCH(AY239+1,【参考】排出係数!$AI$4:$AI$671,1)-1,5,BE239),3,FALSE),IF(OR(AW239=1,AW239=2),VLOOKUP(AU239,INDEX((係数_乗用_ガソリン,係数_乗用_CNG,係数_乗用_軽油,係数_乗用_メタノール,係数_乗用_LPG),1,1,BE239):INDEX((係数_乗用_ガソリン,係数_乗用_CNG,係数_乗用_軽油,係数_乗用_メタノール,係数_乗用_LPG),125,5,BE239),3,FALSE))))))</f>
        <v/>
      </c>
      <c r="BC239" s="467" t="str">
        <f t="shared" si="116"/>
        <v/>
      </c>
      <c r="BD239" s="567" t="str">
        <f t="shared" si="117"/>
        <v/>
      </c>
      <c r="BE239" s="467" t="str">
        <f t="shared" si="118"/>
        <v/>
      </c>
      <c r="BF239" s="469" t="str">
        <f t="shared" ca="1" si="119"/>
        <v/>
      </c>
      <c r="BG239" s="469" t="str">
        <f t="shared" ca="1" si="120"/>
        <v/>
      </c>
      <c r="BH239" s="467" t="str">
        <f t="shared" si="121"/>
        <v/>
      </c>
      <c r="BI239" s="467" t="str">
        <f t="shared" ca="1" si="122"/>
        <v/>
      </c>
      <c r="BJ239" s="469" t="str">
        <f t="shared" si="123"/>
        <v/>
      </c>
      <c r="BK239" s="470" t="str">
        <f t="shared" si="103"/>
        <v/>
      </c>
      <c r="BL239" s="775" t="str">
        <f t="shared" si="124"/>
        <v/>
      </c>
      <c r="BM239" s="775" t="str">
        <f t="shared" si="125"/>
        <v/>
      </c>
    </row>
    <row r="240" spans="1:65">
      <c r="A240" s="473">
        <v>184</v>
      </c>
      <c r="B240" s="132"/>
      <c r="C240" s="332"/>
      <c r="D240" s="333"/>
      <c r="E240" s="333"/>
      <c r="F240" s="334"/>
      <c r="G240" s="337"/>
      <c r="H240" s="131"/>
      <c r="I240" s="337"/>
      <c r="J240" s="131"/>
      <c r="K240" s="458" t="str">
        <f t="shared" si="92"/>
        <v/>
      </c>
      <c r="L240" s="458">
        <f t="shared" si="104"/>
        <v>0</v>
      </c>
      <c r="M240" s="458">
        <f t="shared" si="105"/>
        <v>0</v>
      </c>
      <c r="N240" s="459" t="str">
        <f t="shared" si="93"/>
        <v/>
      </c>
      <c r="O240" s="459" t="str">
        <f t="shared" si="94"/>
        <v/>
      </c>
      <c r="P240" s="459" t="str">
        <f t="shared" si="95"/>
        <v/>
      </c>
      <c r="Q240" s="459" t="str">
        <f t="shared" si="96"/>
        <v/>
      </c>
      <c r="R240" s="459" t="str">
        <f t="shared" si="97"/>
        <v/>
      </c>
      <c r="S240" s="459" t="str">
        <f t="shared" si="98"/>
        <v/>
      </c>
      <c r="T240" s="566" t="str">
        <f t="shared" si="106"/>
        <v/>
      </c>
      <c r="U240" s="702"/>
      <c r="V240" s="132"/>
      <c r="W240" s="133"/>
      <c r="X240" s="134"/>
      <c r="Y240" s="135"/>
      <c r="Z240" s="137"/>
      <c r="AA240" s="136"/>
      <c r="AB240" s="566" t="str">
        <f t="shared" si="99"/>
        <v/>
      </c>
      <c r="AC240" s="568" t="str">
        <f t="shared" si="107"/>
        <v/>
      </c>
      <c r="AD240" s="137"/>
      <c r="AE240" s="137"/>
      <c r="AF240" s="138"/>
      <c r="AG240" s="138"/>
      <c r="AH240" s="592" t="str">
        <f t="shared" si="100"/>
        <v/>
      </c>
      <c r="AI240" s="592" t="str">
        <f t="shared" si="101"/>
        <v/>
      </c>
      <c r="AJ240" s="592" t="str">
        <f t="shared" si="102"/>
        <v/>
      </c>
      <c r="AK240" s="460" t="str">
        <f>IF(AU240="","",IF(OR(AZ240=8,AZ240=9),0,IF(OR(AW240=3,AW240=4,AW240=5,AW240=6),IF(LEFT(BF240,1)="1",INDEX(係数_NOX・PM低減,MATCH(AY240,【参考】排出係数!$AI$801:$AI$804,1),1),VLOOKUP(AU240,INDEX((係数_バス貨物_ガソリン,係数_バス貨物_CNG,係数_バス貨物_軽油,係数_バス貨物_メタノール,係数_バス貨物_LPG),MATCH(AY240,【参考】排出係数!$AI$4:$AI$671,1),1,BE240):INDEX((係数_バス貨物_ガソリン,係数_バス貨物_CNG,係数_バス貨物_軽油,係数_バス貨物_メタノール,係数_バス貨物_LPG),MATCH(AY240+1,【参考】排出係数!$AI$4:$AI$671,1)-1,5,BE240),4,FALSE)),IF(AND(BE240=3,LEFT(BF240,1)="1"),0.48,VLOOKUP(AU240,INDEX((係数_乗用_ガソリン,係数_乗用_CNG,係数_乗用_軽油,係数_乗用_メタノール,係数_乗用_LPG),1,1,BE240):INDEX((係数_乗用_ガソリン,係数_乗用_CNG,係数_乗用_軽油,係数_乗用_メタノール,係数_乗用_LPG),125,5,BE240),4,FALSE)))))</f>
        <v/>
      </c>
      <c r="AL240" s="461" t="str">
        <f t="shared" si="126"/>
        <v/>
      </c>
      <c r="AM240" s="460" t="str">
        <f>IF(AU240="","",IF(OR(AZ240=8,AZ240=9),0,IF(OR(AW240=3,AW240=4,AW240=5,AW240=6),IF(LEFT(BH240,1)="1",INDEX(係数_PM低減,MATCH(AY240,【参考】排出係数!$AI$801:$AI$804,1),MATCH(BI240,【参考】排出係数!$AL$798:$AO$798,1)),VLOOKUP(AU240,INDEX((係数_バス貨物_ガソリン,係数_バス貨物_CNG,係数_バス貨物_軽油,係数_バス貨物_メタノール,係数_バス貨物_LPG),MATCH(AY240,【参考】排出係数!$AI$4:$AI$671,1),1,BE240):INDEX((係数_バス貨物_ガソリン,係数_バス貨物_CNG,係数_バス貨物_軽油,係数_バス貨物_メタノール,係数_バス貨物_LPG),MATCH(AY240+1,【参考】排出係数!$AI$4:$AI$671,1)-1,5,BE240),5,FALSE)),IF(AND(BE240=3,LEFT(BF240,1)="1"),0.055,VLOOKUP(AU240,INDEX((係数_乗用_ガソリン,係数_乗用_CNG,係数_乗用_軽油,係数_乗用_メタノール,係数_乗用_LPG),1,1,BE240):INDEX((係数_乗用_ガソリン,係数_乗用_CNG,係数_乗用_軽油,係数_乗用_メタノール,係数_乗用_LPG),125,5,BE240),5,FALSE)))))</f>
        <v/>
      </c>
      <c r="AN240" s="461" t="str">
        <f t="shared" si="127"/>
        <v/>
      </c>
      <c r="AO240" s="462" t="str">
        <f t="shared" si="128"/>
        <v/>
      </c>
      <c r="AP240" s="463" t="str">
        <f t="shared" si="129"/>
        <v/>
      </c>
      <c r="AQ240" s="464"/>
      <c r="AR240" s="619"/>
      <c r="AS240" s="465" t="str">
        <f t="shared" si="108"/>
        <v/>
      </c>
      <c r="AT240" s="465" t="str">
        <f t="shared" si="109"/>
        <v/>
      </c>
      <c r="AU240" s="466" t="str">
        <f t="shared" si="110"/>
        <v/>
      </c>
      <c r="AV240" s="467" t="str">
        <f t="shared" si="111"/>
        <v/>
      </c>
      <c r="AW240" s="467" t="str">
        <f t="shared" si="112"/>
        <v/>
      </c>
      <c r="AX240" s="467" t="str">
        <f t="shared" si="113"/>
        <v/>
      </c>
      <c r="AY240" s="467" t="str">
        <f t="shared" si="114"/>
        <v/>
      </c>
      <c r="AZ240" s="467" t="str">
        <f t="shared" si="115"/>
        <v/>
      </c>
      <c r="BA240" s="468" t="str">
        <f>IF(AS240="","",IF(OR(AU240="",AU240="-"),"－",IF(OR(AZ240=8,AZ240=9),"",IF(OR(AW240=3,AW240=4,AW240=5,AW240=6),VLOOKUP(AU240,INDEX((係数_バス貨物_ガソリン,係数_バス貨物_CNG,係数_バス貨物_軽油,係数_バス貨物_メタノール,係数_バス貨物_LPG),MATCH(AY240,【参考】排出係数!$AI$4:$AI$671,1),1,BE240):INDEX((係数_バス貨物_ガソリン,係数_バス貨物_CNG,係数_バス貨物_軽油,係数_バス貨物_メタノール,係数_バス貨物_LPG),MATCH(AY240+1,【参考】排出係数!$AI$4:$AI$671,1)-1,5,BE240),2,FALSE),IF(OR(AW240=1,AW240=2),VLOOKUP(AU240,INDEX((係数_乗用_ガソリン,係数_乗用_CNG,係数_乗用_軽油,係数_乗用_メタノール,係数_乗用_LPG),1,1,BE240):INDEX((係数_乗用_ガソリン,係数_乗用_CNG,係数_乗用_軽油,係数_乗用_メタノール,係数_乗用_LPG),125,5,BE240),2,FALSE))))))</f>
        <v/>
      </c>
      <c r="BB240" s="468" t="str">
        <f>IF(T240="","",IF(OR(AU240="",AU240="-"),"－",IF(OR(AZ240=8,AZ240=9),"",IF(OR(AW240=3,AW240=4,AW240=5,AW240=6),VLOOKUP(AU240,INDEX((係数_バス貨物_ガソリン,係数_バス貨物_CNG,係数_バス貨物_軽油,係数_バス貨物_メタノール,係数_バス貨物_LPG),MATCH(AY240,【参考】排出係数!$AI$4:$AI$671,1),1,BE240):INDEX((係数_バス貨物_ガソリン,係数_バス貨物_CNG,係数_バス貨物_軽油,係数_バス貨物_メタノール,係数_バス貨物_LPG),MATCH(AY240+1,【参考】排出係数!$AI$4:$AI$671,1)-1,5,BE240),3,FALSE),IF(OR(AW240=1,AW240=2),VLOOKUP(AU240,INDEX((係数_乗用_ガソリン,係数_乗用_CNG,係数_乗用_軽油,係数_乗用_メタノール,係数_乗用_LPG),1,1,BE240):INDEX((係数_乗用_ガソリン,係数_乗用_CNG,係数_乗用_軽油,係数_乗用_メタノール,係数_乗用_LPG),125,5,BE240),3,FALSE))))))</f>
        <v/>
      </c>
      <c r="BC240" s="467" t="str">
        <f t="shared" si="116"/>
        <v/>
      </c>
      <c r="BD240" s="567" t="str">
        <f t="shared" si="117"/>
        <v/>
      </c>
      <c r="BE240" s="467" t="str">
        <f t="shared" si="118"/>
        <v/>
      </c>
      <c r="BF240" s="469" t="str">
        <f t="shared" ca="1" si="119"/>
        <v/>
      </c>
      <c r="BG240" s="469" t="str">
        <f t="shared" ca="1" si="120"/>
        <v/>
      </c>
      <c r="BH240" s="467" t="str">
        <f t="shared" si="121"/>
        <v/>
      </c>
      <c r="BI240" s="467" t="str">
        <f t="shared" ca="1" si="122"/>
        <v/>
      </c>
      <c r="BJ240" s="469" t="str">
        <f t="shared" si="123"/>
        <v/>
      </c>
      <c r="BK240" s="470" t="str">
        <f t="shared" si="103"/>
        <v/>
      </c>
      <c r="BL240" s="775" t="str">
        <f t="shared" si="124"/>
        <v/>
      </c>
      <c r="BM240" s="775" t="str">
        <f t="shared" si="125"/>
        <v/>
      </c>
    </row>
    <row r="241" spans="1:65">
      <c r="A241" s="473">
        <v>185</v>
      </c>
      <c r="B241" s="132"/>
      <c r="C241" s="332"/>
      <c r="D241" s="333"/>
      <c r="E241" s="333"/>
      <c r="F241" s="334"/>
      <c r="G241" s="337"/>
      <c r="H241" s="131"/>
      <c r="I241" s="337"/>
      <c r="J241" s="131"/>
      <c r="K241" s="458" t="str">
        <f t="shared" si="92"/>
        <v/>
      </c>
      <c r="L241" s="458">
        <f t="shared" si="104"/>
        <v>0</v>
      </c>
      <c r="M241" s="458">
        <f t="shared" si="105"/>
        <v>0</v>
      </c>
      <c r="N241" s="459" t="str">
        <f t="shared" si="93"/>
        <v/>
      </c>
      <c r="O241" s="459" t="str">
        <f t="shared" si="94"/>
        <v/>
      </c>
      <c r="P241" s="459" t="str">
        <f t="shared" si="95"/>
        <v/>
      </c>
      <c r="Q241" s="459" t="str">
        <f t="shared" si="96"/>
        <v/>
      </c>
      <c r="R241" s="459" t="str">
        <f t="shared" si="97"/>
        <v/>
      </c>
      <c r="S241" s="459" t="str">
        <f t="shared" si="98"/>
        <v/>
      </c>
      <c r="T241" s="566" t="str">
        <f t="shared" si="106"/>
        <v/>
      </c>
      <c r="U241" s="702"/>
      <c r="V241" s="132"/>
      <c r="W241" s="133"/>
      <c r="X241" s="134"/>
      <c r="Y241" s="135"/>
      <c r="Z241" s="137"/>
      <c r="AA241" s="136"/>
      <c r="AB241" s="566" t="str">
        <f t="shared" si="99"/>
        <v/>
      </c>
      <c r="AC241" s="568" t="str">
        <f t="shared" si="107"/>
        <v/>
      </c>
      <c r="AD241" s="137"/>
      <c r="AE241" s="137"/>
      <c r="AF241" s="138"/>
      <c r="AG241" s="138"/>
      <c r="AH241" s="592" t="str">
        <f t="shared" si="100"/>
        <v/>
      </c>
      <c r="AI241" s="592" t="str">
        <f t="shared" si="101"/>
        <v/>
      </c>
      <c r="AJ241" s="592" t="str">
        <f t="shared" si="102"/>
        <v/>
      </c>
      <c r="AK241" s="460" t="str">
        <f>IF(AU241="","",IF(OR(AZ241=8,AZ241=9),0,IF(OR(AW241=3,AW241=4,AW241=5,AW241=6),IF(LEFT(BF241,1)="1",INDEX(係数_NOX・PM低減,MATCH(AY241,【参考】排出係数!$AI$801:$AI$804,1),1),VLOOKUP(AU241,INDEX((係数_バス貨物_ガソリン,係数_バス貨物_CNG,係数_バス貨物_軽油,係数_バス貨物_メタノール,係数_バス貨物_LPG),MATCH(AY241,【参考】排出係数!$AI$4:$AI$671,1),1,BE241):INDEX((係数_バス貨物_ガソリン,係数_バス貨物_CNG,係数_バス貨物_軽油,係数_バス貨物_メタノール,係数_バス貨物_LPG),MATCH(AY241+1,【参考】排出係数!$AI$4:$AI$671,1)-1,5,BE241),4,FALSE)),IF(AND(BE241=3,LEFT(BF241,1)="1"),0.48,VLOOKUP(AU241,INDEX((係数_乗用_ガソリン,係数_乗用_CNG,係数_乗用_軽油,係数_乗用_メタノール,係数_乗用_LPG),1,1,BE241):INDEX((係数_乗用_ガソリン,係数_乗用_CNG,係数_乗用_軽油,係数_乗用_メタノール,係数_乗用_LPG),125,5,BE241),4,FALSE)))))</f>
        <v/>
      </c>
      <c r="AL241" s="461" t="str">
        <f t="shared" si="126"/>
        <v/>
      </c>
      <c r="AM241" s="460" t="str">
        <f>IF(AU241="","",IF(OR(AZ241=8,AZ241=9),0,IF(OR(AW241=3,AW241=4,AW241=5,AW241=6),IF(LEFT(BH241,1)="1",INDEX(係数_PM低減,MATCH(AY241,【参考】排出係数!$AI$801:$AI$804,1),MATCH(BI241,【参考】排出係数!$AL$798:$AO$798,1)),VLOOKUP(AU241,INDEX((係数_バス貨物_ガソリン,係数_バス貨物_CNG,係数_バス貨物_軽油,係数_バス貨物_メタノール,係数_バス貨物_LPG),MATCH(AY241,【参考】排出係数!$AI$4:$AI$671,1),1,BE241):INDEX((係数_バス貨物_ガソリン,係数_バス貨物_CNG,係数_バス貨物_軽油,係数_バス貨物_メタノール,係数_バス貨物_LPG),MATCH(AY241+1,【参考】排出係数!$AI$4:$AI$671,1)-1,5,BE241),5,FALSE)),IF(AND(BE241=3,LEFT(BF241,1)="1"),0.055,VLOOKUP(AU241,INDEX((係数_乗用_ガソリン,係数_乗用_CNG,係数_乗用_軽油,係数_乗用_メタノール,係数_乗用_LPG),1,1,BE241):INDEX((係数_乗用_ガソリン,係数_乗用_CNG,係数_乗用_軽油,係数_乗用_メタノール,係数_乗用_LPG),125,5,BE241),5,FALSE)))))</f>
        <v/>
      </c>
      <c r="AN241" s="461" t="str">
        <f t="shared" si="127"/>
        <v/>
      </c>
      <c r="AO241" s="462" t="str">
        <f t="shared" si="128"/>
        <v/>
      </c>
      <c r="AP241" s="463" t="str">
        <f t="shared" si="129"/>
        <v/>
      </c>
      <c r="AQ241" s="464"/>
      <c r="AR241" s="619"/>
      <c r="AS241" s="465" t="str">
        <f t="shared" si="108"/>
        <v/>
      </c>
      <c r="AT241" s="465" t="str">
        <f t="shared" si="109"/>
        <v/>
      </c>
      <c r="AU241" s="466" t="str">
        <f t="shared" si="110"/>
        <v/>
      </c>
      <c r="AV241" s="467" t="str">
        <f t="shared" si="111"/>
        <v/>
      </c>
      <c r="AW241" s="467" t="str">
        <f t="shared" si="112"/>
        <v/>
      </c>
      <c r="AX241" s="467" t="str">
        <f t="shared" si="113"/>
        <v/>
      </c>
      <c r="AY241" s="467" t="str">
        <f t="shared" si="114"/>
        <v/>
      </c>
      <c r="AZ241" s="467" t="str">
        <f t="shared" si="115"/>
        <v/>
      </c>
      <c r="BA241" s="468" t="str">
        <f>IF(AS241="","",IF(OR(AU241="",AU241="-"),"－",IF(OR(AZ241=8,AZ241=9),"",IF(OR(AW241=3,AW241=4,AW241=5,AW241=6),VLOOKUP(AU241,INDEX((係数_バス貨物_ガソリン,係数_バス貨物_CNG,係数_バス貨物_軽油,係数_バス貨物_メタノール,係数_バス貨物_LPG),MATCH(AY241,【参考】排出係数!$AI$4:$AI$671,1),1,BE241):INDEX((係数_バス貨物_ガソリン,係数_バス貨物_CNG,係数_バス貨物_軽油,係数_バス貨物_メタノール,係数_バス貨物_LPG),MATCH(AY241+1,【参考】排出係数!$AI$4:$AI$671,1)-1,5,BE241),2,FALSE),IF(OR(AW241=1,AW241=2),VLOOKUP(AU241,INDEX((係数_乗用_ガソリン,係数_乗用_CNG,係数_乗用_軽油,係数_乗用_メタノール,係数_乗用_LPG),1,1,BE241):INDEX((係数_乗用_ガソリン,係数_乗用_CNG,係数_乗用_軽油,係数_乗用_メタノール,係数_乗用_LPG),125,5,BE241),2,FALSE))))))</f>
        <v/>
      </c>
      <c r="BB241" s="468" t="str">
        <f>IF(T241="","",IF(OR(AU241="",AU241="-"),"－",IF(OR(AZ241=8,AZ241=9),"",IF(OR(AW241=3,AW241=4,AW241=5,AW241=6),VLOOKUP(AU241,INDEX((係数_バス貨物_ガソリン,係数_バス貨物_CNG,係数_バス貨物_軽油,係数_バス貨物_メタノール,係数_バス貨物_LPG),MATCH(AY241,【参考】排出係数!$AI$4:$AI$671,1),1,BE241):INDEX((係数_バス貨物_ガソリン,係数_バス貨物_CNG,係数_バス貨物_軽油,係数_バス貨物_メタノール,係数_バス貨物_LPG),MATCH(AY241+1,【参考】排出係数!$AI$4:$AI$671,1)-1,5,BE241),3,FALSE),IF(OR(AW241=1,AW241=2),VLOOKUP(AU241,INDEX((係数_乗用_ガソリン,係数_乗用_CNG,係数_乗用_軽油,係数_乗用_メタノール,係数_乗用_LPG),1,1,BE241):INDEX((係数_乗用_ガソリン,係数_乗用_CNG,係数_乗用_軽油,係数_乗用_メタノール,係数_乗用_LPG),125,5,BE241),3,FALSE))))))</f>
        <v/>
      </c>
      <c r="BC241" s="467" t="str">
        <f t="shared" si="116"/>
        <v/>
      </c>
      <c r="BD241" s="567" t="str">
        <f t="shared" si="117"/>
        <v/>
      </c>
      <c r="BE241" s="467" t="str">
        <f t="shared" si="118"/>
        <v/>
      </c>
      <c r="BF241" s="469" t="str">
        <f t="shared" ca="1" si="119"/>
        <v/>
      </c>
      <c r="BG241" s="469" t="str">
        <f t="shared" ca="1" si="120"/>
        <v/>
      </c>
      <c r="BH241" s="467" t="str">
        <f t="shared" si="121"/>
        <v/>
      </c>
      <c r="BI241" s="467" t="str">
        <f t="shared" ca="1" si="122"/>
        <v/>
      </c>
      <c r="BJ241" s="469" t="str">
        <f t="shared" si="123"/>
        <v/>
      </c>
      <c r="BK241" s="470" t="str">
        <f t="shared" si="103"/>
        <v/>
      </c>
      <c r="BL241" s="775" t="str">
        <f t="shared" si="124"/>
        <v/>
      </c>
      <c r="BM241" s="775" t="str">
        <f t="shared" si="125"/>
        <v/>
      </c>
    </row>
    <row r="242" spans="1:65">
      <c r="A242" s="473">
        <v>186</v>
      </c>
      <c r="B242" s="132"/>
      <c r="C242" s="332"/>
      <c r="D242" s="333"/>
      <c r="E242" s="333"/>
      <c r="F242" s="334"/>
      <c r="G242" s="337"/>
      <c r="H242" s="131"/>
      <c r="I242" s="337"/>
      <c r="J242" s="131"/>
      <c r="K242" s="458" t="str">
        <f t="shared" si="92"/>
        <v/>
      </c>
      <c r="L242" s="458">
        <f t="shared" si="104"/>
        <v>0</v>
      </c>
      <c r="M242" s="458">
        <f t="shared" si="105"/>
        <v>0</v>
      </c>
      <c r="N242" s="459" t="str">
        <f t="shared" si="93"/>
        <v/>
      </c>
      <c r="O242" s="459" t="str">
        <f t="shared" si="94"/>
        <v/>
      </c>
      <c r="P242" s="459" t="str">
        <f t="shared" si="95"/>
        <v/>
      </c>
      <c r="Q242" s="459" t="str">
        <f t="shared" si="96"/>
        <v/>
      </c>
      <c r="R242" s="459" t="str">
        <f t="shared" si="97"/>
        <v/>
      </c>
      <c r="S242" s="459" t="str">
        <f t="shared" si="98"/>
        <v/>
      </c>
      <c r="T242" s="566" t="str">
        <f t="shared" si="106"/>
        <v/>
      </c>
      <c r="U242" s="702"/>
      <c r="V242" s="132"/>
      <c r="W242" s="133"/>
      <c r="X242" s="134"/>
      <c r="Y242" s="135"/>
      <c r="Z242" s="137"/>
      <c r="AA242" s="136"/>
      <c r="AB242" s="566" t="str">
        <f t="shared" si="99"/>
        <v/>
      </c>
      <c r="AC242" s="568" t="str">
        <f t="shared" si="107"/>
        <v/>
      </c>
      <c r="AD242" s="137"/>
      <c r="AE242" s="137"/>
      <c r="AF242" s="138"/>
      <c r="AG242" s="138"/>
      <c r="AH242" s="592" t="str">
        <f t="shared" si="100"/>
        <v/>
      </c>
      <c r="AI242" s="592" t="str">
        <f t="shared" si="101"/>
        <v/>
      </c>
      <c r="AJ242" s="592" t="str">
        <f t="shared" si="102"/>
        <v/>
      </c>
      <c r="AK242" s="460" t="str">
        <f>IF(AU242="","",IF(OR(AZ242=8,AZ242=9),0,IF(OR(AW242=3,AW242=4,AW242=5,AW242=6),IF(LEFT(BF242,1)="1",INDEX(係数_NOX・PM低減,MATCH(AY242,【参考】排出係数!$AI$801:$AI$804,1),1),VLOOKUP(AU242,INDEX((係数_バス貨物_ガソリン,係数_バス貨物_CNG,係数_バス貨物_軽油,係数_バス貨物_メタノール,係数_バス貨物_LPG),MATCH(AY242,【参考】排出係数!$AI$4:$AI$671,1),1,BE242):INDEX((係数_バス貨物_ガソリン,係数_バス貨物_CNG,係数_バス貨物_軽油,係数_バス貨物_メタノール,係数_バス貨物_LPG),MATCH(AY242+1,【参考】排出係数!$AI$4:$AI$671,1)-1,5,BE242),4,FALSE)),IF(AND(BE242=3,LEFT(BF242,1)="1"),0.48,VLOOKUP(AU242,INDEX((係数_乗用_ガソリン,係数_乗用_CNG,係数_乗用_軽油,係数_乗用_メタノール,係数_乗用_LPG),1,1,BE242):INDEX((係数_乗用_ガソリン,係数_乗用_CNG,係数_乗用_軽油,係数_乗用_メタノール,係数_乗用_LPG),125,5,BE242),4,FALSE)))))</f>
        <v/>
      </c>
      <c r="AL242" s="461" t="str">
        <f t="shared" si="126"/>
        <v/>
      </c>
      <c r="AM242" s="460" t="str">
        <f>IF(AU242="","",IF(OR(AZ242=8,AZ242=9),0,IF(OR(AW242=3,AW242=4,AW242=5,AW242=6),IF(LEFT(BH242,1)="1",INDEX(係数_PM低減,MATCH(AY242,【参考】排出係数!$AI$801:$AI$804,1),MATCH(BI242,【参考】排出係数!$AL$798:$AO$798,1)),VLOOKUP(AU242,INDEX((係数_バス貨物_ガソリン,係数_バス貨物_CNG,係数_バス貨物_軽油,係数_バス貨物_メタノール,係数_バス貨物_LPG),MATCH(AY242,【参考】排出係数!$AI$4:$AI$671,1),1,BE242):INDEX((係数_バス貨物_ガソリン,係数_バス貨物_CNG,係数_バス貨物_軽油,係数_バス貨物_メタノール,係数_バス貨物_LPG),MATCH(AY242+1,【参考】排出係数!$AI$4:$AI$671,1)-1,5,BE242),5,FALSE)),IF(AND(BE242=3,LEFT(BF242,1)="1"),0.055,VLOOKUP(AU242,INDEX((係数_乗用_ガソリン,係数_乗用_CNG,係数_乗用_軽油,係数_乗用_メタノール,係数_乗用_LPG),1,1,BE242):INDEX((係数_乗用_ガソリン,係数_乗用_CNG,係数_乗用_軽油,係数_乗用_メタノール,係数_乗用_LPG),125,5,BE242),5,FALSE)))))</f>
        <v/>
      </c>
      <c r="AN242" s="461" t="str">
        <f t="shared" si="127"/>
        <v/>
      </c>
      <c r="AO242" s="462" t="str">
        <f t="shared" si="128"/>
        <v/>
      </c>
      <c r="AP242" s="463" t="str">
        <f t="shared" si="129"/>
        <v/>
      </c>
      <c r="AQ242" s="464"/>
      <c r="AR242" s="619"/>
      <c r="AS242" s="465" t="str">
        <f t="shared" si="108"/>
        <v/>
      </c>
      <c r="AT242" s="465" t="str">
        <f t="shared" si="109"/>
        <v/>
      </c>
      <c r="AU242" s="466" t="str">
        <f t="shared" si="110"/>
        <v/>
      </c>
      <c r="AV242" s="467" t="str">
        <f t="shared" si="111"/>
        <v/>
      </c>
      <c r="AW242" s="467" t="str">
        <f t="shared" si="112"/>
        <v/>
      </c>
      <c r="AX242" s="467" t="str">
        <f t="shared" si="113"/>
        <v/>
      </c>
      <c r="AY242" s="467" t="str">
        <f t="shared" si="114"/>
        <v/>
      </c>
      <c r="AZ242" s="467" t="str">
        <f t="shared" si="115"/>
        <v/>
      </c>
      <c r="BA242" s="468" t="str">
        <f>IF(AS242="","",IF(OR(AU242="",AU242="-"),"－",IF(OR(AZ242=8,AZ242=9),"",IF(OR(AW242=3,AW242=4,AW242=5,AW242=6),VLOOKUP(AU242,INDEX((係数_バス貨物_ガソリン,係数_バス貨物_CNG,係数_バス貨物_軽油,係数_バス貨物_メタノール,係数_バス貨物_LPG),MATCH(AY242,【参考】排出係数!$AI$4:$AI$671,1),1,BE242):INDEX((係数_バス貨物_ガソリン,係数_バス貨物_CNG,係数_バス貨物_軽油,係数_バス貨物_メタノール,係数_バス貨物_LPG),MATCH(AY242+1,【参考】排出係数!$AI$4:$AI$671,1)-1,5,BE242),2,FALSE),IF(OR(AW242=1,AW242=2),VLOOKUP(AU242,INDEX((係数_乗用_ガソリン,係数_乗用_CNG,係数_乗用_軽油,係数_乗用_メタノール,係数_乗用_LPG),1,1,BE242):INDEX((係数_乗用_ガソリン,係数_乗用_CNG,係数_乗用_軽油,係数_乗用_メタノール,係数_乗用_LPG),125,5,BE242),2,FALSE))))))</f>
        <v/>
      </c>
      <c r="BB242" s="468" t="str">
        <f>IF(T242="","",IF(OR(AU242="",AU242="-"),"－",IF(OR(AZ242=8,AZ242=9),"",IF(OR(AW242=3,AW242=4,AW242=5,AW242=6),VLOOKUP(AU242,INDEX((係数_バス貨物_ガソリン,係数_バス貨物_CNG,係数_バス貨物_軽油,係数_バス貨物_メタノール,係数_バス貨物_LPG),MATCH(AY242,【参考】排出係数!$AI$4:$AI$671,1),1,BE242):INDEX((係数_バス貨物_ガソリン,係数_バス貨物_CNG,係数_バス貨物_軽油,係数_バス貨物_メタノール,係数_バス貨物_LPG),MATCH(AY242+1,【参考】排出係数!$AI$4:$AI$671,1)-1,5,BE242),3,FALSE),IF(OR(AW242=1,AW242=2),VLOOKUP(AU242,INDEX((係数_乗用_ガソリン,係数_乗用_CNG,係数_乗用_軽油,係数_乗用_メタノール,係数_乗用_LPG),1,1,BE242):INDEX((係数_乗用_ガソリン,係数_乗用_CNG,係数_乗用_軽油,係数_乗用_メタノール,係数_乗用_LPG),125,5,BE242),3,FALSE))))))</f>
        <v/>
      </c>
      <c r="BC242" s="467" t="str">
        <f t="shared" si="116"/>
        <v/>
      </c>
      <c r="BD242" s="567" t="str">
        <f t="shared" si="117"/>
        <v/>
      </c>
      <c r="BE242" s="467" t="str">
        <f t="shared" si="118"/>
        <v/>
      </c>
      <c r="BF242" s="469" t="str">
        <f t="shared" ca="1" si="119"/>
        <v/>
      </c>
      <c r="BG242" s="469" t="str">
        <f t="shared" ca="1" si="120"/>
        <v/>
      </c>
      <c r="BH242" s="467" t="str">
        <f t="shared" si="121"/>
        <v/>
      </c>
      <c r="BI242" s="467" t="str">
        <f t="shared" ca="1" si="122"/>
        <v/>
      </c>
      <c r="BJ242" s="469" t="str">
        <f t="shared" si="123"/>
        <v/>
      </c>
      <c r="BK242" s="470" t="str">
        <f t="shared" si="103"/>
        <v/>
      </c>
      <c r="BL242" s="775" t="str">
        <f t="shared" si="124"/>
        <v/>
      </c>
      <c r="BM242" s="775" t="str">
        <f t="shared" si="125"/>
        <v/>
      </c>
    </row>
    <row r="243" spans="1:65">
      <c r="A243" s="473">
        <v>187</v>
      </c>
      <c r="B243" s="132"/>
      <c r="C243" s="332"/>
      <c r="D243" s="333"/>
      <c r="E243" s="333"/>
      <c r="F243" s="334"/>
      <c r="G243" s="337"/>
      <c r="H243" s="131"/>
      <c r="I243" s="337"/>
      <c r="J243" s="131"/>
      <c r="K243" s="458" t="str">
        <f t="shared" si="92"/>
        <v/>
      </c>
      <c r="L243" s="458">
        <f t="shared" si="104"/>
        <v>0</v>
      </c>
      <c r="M243" s="458">
        <f t="shared" si="105"/>
        <v>0</v>
      </c>
      <c r="N243" s="459" t="str">
        <f t="shared" si="93"/>
        <v/>
      </c>
      <c r="O243" s="459" t="str">
        <f t="shared" si="94"/>
        <v/>
      </c>
      <c r="P243" s="459" t="str">
        <f t="shared" si="95"/>
        <v/>
      </c>
      <c r="Q243" s="459" t="str">
        <f t="shared" si="96"/>
        <v/>
      </c>
      <c r="R243" s="459" t="str">
        <f t="shared" si="97"/>
        <v/>
      </c>
      <c r="S243" s="459" t="str">
        <f t="shared" si="98"/>
        <v/>
      </c>
      <c r="T243" s="566" t="str">
        <f t="shared" si="106"/>
        <v/>
      </c>
      <c r="U243" s="702"/>
      <c r="V243" s="132"/>
      <c r="W243" s="133"/>
      <c r="X243" s="134"/>
      <c r="Y243" s="135"/>
      <c r="Z243" s="137"/>
      <c r="AA243" s="136"/>
      <c r="AB243" s="566" t="str">
        <f t="shared" si="99"/>
        <v/>
      </c>
      <c r="AC243" s="568" t="str">
        <f t="shared" si="107"/>
        <v/>
      </c>
      <c r="AD243" s="137"/>
      <c r="AE243" s="137"/>
      <c r="AF243" s="138"/>
      <c r="AG243" s="138"/>
      <c r="AH243" s="592" t="str">
        <f t="shared" si="100"/>
        <v/>
      </c>
      <c r="AI243" s="592" t="str">
        <f t="shared" si="101"/>
        <v/>
      </c>
      <c r="AJ243" s="592" t="str">
        <f t="shared" si="102"/>
        <v/>
      </c>
      <c r="AK243" s="460" t="str">
        <f>IF(AU243="","",IF(OR(AZ243=8,AZ243=9),0,IF(OR(AW243=3,AW243=4,AW243=5,AW243=6),IF(LEFT(BF243,1)="1",INDEX(係数_NOX・PM低減,MATCH(AY243,【参考】排出係数!$AI$801:$AI$804,1),1),VLOOKUP(AU243,INDEX((係数_バス貨物_ガソリン,係数_バス貨物_CNG,係数_バス貨物_軽油,係数_バス貨物_メタノール,係数_バス貨物_LPG),MATCH(AY243,【参考】排出係数!$AI$4:$AI$671,1),1,BE243):INDEX((係数_バス貨物_ガソリン,係数_バス貨物_CNG,係数_バス貨物_軽油,係数_バス貨物_メタノール,係数_バス貨物_LPG),MATCH(AY243+1,【参考】排出係数!$AI$4:$AI$671,1)-1,5,BE243),4,FALSE)),IF(AND(BE243=3,LEFT(BF243,1)="1"),0.48,VLOOKUP(AU243,INDEX((係数_乗用_ガソリン,係数_乗用_CNG,係数_乗用_軽油,係数_乗用_メタノール,係数_乗用_LPG),1,1,BE243):INDEX((係数_乗用_ガソリン,係数_乗用_CNG,係数_乗用_軽油,係数_乗用_メタノール,係数_乗用_LPG),125,5,BE243),4,FALSE)))))</f>
        <v/>
      </c>
      <c r="AL243" s="461" t="str">
        <f t="shared" si="126"/>
        <v/>
      </c>
      <c r="AM243" s="460" t="str">
        <f>IF(AU243="","",IF(OR(AZ243=8,AZ243=9),0,IF(OR(AW243=3,AW243=4,AW243=5,AW243=6),IF(LEFT(BH243,1)="1",INDEX(係数_PM低減,MATCH(AY243,【参考】排出係数!$AI$801:$AI$804,1),MATCH(BI243,【参考】排出係数!$AL$798:$AO$798,1)),VLOOKUP(AU243,INDEX((係数_バス貨物_ガソリン,係数_バス貨物_CNG,係数_バス貨物_軽油,係数_バス貨物_メタノール,係数_バス貨物_LPG),MATCH(AY243,【参考】排出係数!$AI$4:$AI$671,1),1,BE243):INDEX((係数_バス貨物_ガソリン,係数_バス貨物_CNG,係数_バス貨物_軽油,係数_バス貨物_メタノール,係数_バス貨物_LPG),MATCH(AY243+1,【参考】排出係数!$AI$4:$AI$671,1)-1,5,BE243),5,FALSE)),IF(AND(BE243=3,LEFT(BF243,1)="1"),0.055,VLOOKUP(AU243,INDEX((係数_乗用_ガソリン,係数_乗用_CNG,係数_乗用_軽油,係数_乗用_メタノール,係数_乗用_LPG),1,1,BE243):INDEX((係数_乗用_ガソリン,係数_乗用_CNG,係数_乗用_軽油,係数_乗用_メタノール,係数_乗用_LPG),125,5,BE243),5,FALSE)))))</f>
        <v/>
      </c>
      <c r="AN243" s="461" t="str">
        <f t="shared" si="127"/>
        <v/>
      </c>
      <c r="AO243" s="462" t="str">
        <f t="shared" si="128"/>
        <v/>
      </c>
      <c r="AP243" s="463" t="str">
        <f t="shared" si="129"/>
        <v/>
      </c>
      <c r="AQ243" s="464"/>
      <c r="AR243" s="619"/>
      <c r="AS243" s="465" t="str">
        <f t="shared" si="108"/>
        <v/>
      </c>
      <c r="AT243" s="465" t="str">
        <f t="shared" si="109"/>
        <v/>
      </c>
      <c r="AU243" s="466" t="str">
        <f t="shared" si="110"/>
        <v/>
      </c>
      <c r="AV243" s="467" t="str">
        <f t="shared" si="111"/>
        <v/>
      </c>
      <c r="AW243" s="467" t="str">
        <f t="shared" si="112"/>
        <v/>
      </c>
      <c r="AX243" s="467" t="str">
        <f t="shared" si="113"/>
        <v/>
      </c>
      <c r="AY243" s="467" t="str">
        <f t="shared" si="114"/>
        <v/>
      </c>
      <c r="AZ243" s="467" t="str">
        <f t="shared" si="115"/>
        <v/>
      </c>
      <c r="BA243" s="468" t="str">
        <f>IF(AS243="","",IF(OR(AU243="",AU243="-"),"－",IF(OR(AZ243=8,AZ243=9),"",IF(OR(AW243=3,AW243=4,AW243=5,AW243=6),VLOOKUP(AU243,INDEX((係数_バス貨物_ガソリン,係数_バス貨物_CNG,係数_バス貨物_軽油,係数_バス貨物_メタノール,係数_バス貨物_LPG),MATCH(AY243,【参考】排出係数!$AI$4:$AI$671,1),1,BE243):INDEX((係数_バス貨物_ガソリン,係数_バス貨物_CNG,係数_バス貨物_軽油,係数_バス貨物_メタノール,係数_バス貨物_LPG),MATCH(AY243+1,【参考】排出係数!$AI$4:$AI$671,1)-1,5,BE243),2,FALSE),IF(OR(AW243=1,AW243=2),VLOOKUP(AU243,INDEX((係数_乗用_ガソリン,係数_乗用_CNG,係数_乗用_軽油,係数_乗用_メタノール,係数_乗用_LPG),1,1,BE243):INDEX((係数_乗用_ガソリン,係数_乗用_CNG,係数_乗用_軽油,係数_乗用_メタノール,係数_乗用_LPG),125,5,BE243),2,FALSE))))))</f>
        <v/>
      </c>
      <c r="BB243" s="468" t="str">
        <f>IF(T243="","",IF(OR(AU243="",AU243="-"),"－",IF(OR(AZ243=8,AZ243=9),"",IF(OR(AW243=3,AW243=4,AW243=5,AW243=6),VLOOKUP(AU243,INDEX((係数_バス貨物_ガソリン,係数_バス貨物_CNG,係数_バス貨物_軽油,係数_バス貨物_メタノール,係数_バス貨物_LPG),MATCH(AY243,【参考】排出係数!$AI$4:$AI$671,1),1,BE243):INDEX((係数_バス貨物_ガソリン,係数_バス貨物_CNG,係数_バス貨物_軽油,係数_バス貨物_メタノール,係数_バス貨物_LPG),MATCH(AY243+1,【参考】排出係数!$AI$4:$AI$671,1)-1,5,BE243),3,FALSE),IF(OR(AW243=1,AW243=2),VLOOKUP(AU243,INDEX((係数_乗用_ガソリン,係数_乗用_CNG,係数_乗用_軽油,係数_乗用_メタノール,係数_乗用_LPG),1,1,BE243):INDEX((係数_乗用_ガソリン,係数_乗用_CNG,係数_乗用_軽油,係数_乗用_メタノール,係数_乗用_LPG),125,5,BE243),3,FALSE))))))</f>
        <v/>
      </c>
      <c r="BC243" s="467" t="str">
        <f t="shared" si="116"/>
        <v/>
      </c>
      <c r="BD243" s="567" t="str">
        <f t="shared" si="117"/>
        <v/>
      </c>
      <c r="BE243" s="467" t="str">
        <f t="shared" si="118"/>
        <v/>
      </c>
      <c r="BF243" s="469" t="str">
        <f t="shared" ca="1" si="119"/>
        <v/>
      </c>
      <c r="BG243" s="469" t="str">
        <f t="shared" ca="1" si="120"/>
        <v/>
      </c>
      <c r="BH243" s="467" t="str">
        <f t="shared" si="121"/>
        <v/>
      </c>
      <c r="BI243" s="467" t="str">
        <f t="shared" ca="1" si="122"/>
        <v/>
      </c>
      <c r="BJ243" s="469" t="str">
        <f t="shared" si="123"/>
        <v/>
      </c>
      <c r="BK243" s="470" t="str">
        <f t="shared" si="103"/>
        <v/>
      </c>
      <c r="BL243" s="775" t="str">
        <f t="shared" si="124"/>
        <v/>
      </c>
      <c r="BM243" s="775" t="str">
        <f t="shared" si="125"/>
        <v/>
      </c>
    </row>
    <row r="244" spans="1:65">
      <c r="A244" s="473">
        <v>188</v>
      </c>
      <c r="B244" s="132"/>
      <c r="C244" s="332"/>
      <c r="D244" s="333"/>
      <c r="E244" s="333"/>
      <c r="F244" s="334"/>
      <c r="G244" s="337"/>
      <c r="H244" s="131"/>
      <c r="I244" s="337"/>
      <c r="J244" s="131"/>
      <c r="K244" s="458" t="str">
        <f t="shared" si="92"/>
        <v/>
      </c>
      <c r="L244" s="458">
        <f t="shared" si="104"/>
        <v>0</v>
      </c>
      <c r="M244" s="458">
        <f t="shared" si="105"/>
        <v>0</v>
      </c>
      <c r="N244" s="459" t="str">
        <f t="shared" si="93"/>
        <v/>
      </c>
      <c r="O244" s="459" t="str">
        <f t="shared" si="94"/>
        <v/>
      </c>
      <c r="P244" s="459" t="str">
        <f t="shared" si="95"/>
        <v/>
      </c>
      <c r="Q244" s="459" t="str">
        <f t="shared" si="96"/>
        <v/>
      </c>
      <c r="R244" s="459" t="str">
        <f t="shared" si="97"/>
        <v/>
      </c>
      <c r="S244" s="459" t="str">
        <f t="shared" si="98"/>
        <v/>
      </c>
      <c r="T244" s="566" t="str">
        <f t="shared" si="106"/>
        <v/>
      </c>
      <c r="U244" s="702"/>
      <c r="V244" s="132"/>
      <c r="W244" s="133"/>
      <c r="X244" s="134"/>
      <c r="Y244" s="135"/>
      <c r="Z244" s="137"/>
      <c r="AA244" s="136"/>
      <c r="AB244" s="566" t="str">
        <f t="shared" si="99"/>
        <v/>
      </c>
      <c r="AC244" s="568" t="str">
        <f t="shared" si="107"/>
        <v/>
      </c>
      <c r="AD244" s="137"/>
      <c r="AE244" s="137"/>
      <c r="AF244" s="138"/>
      <c r="AG244" s="138"/>
      <c r="AH244" s="592" t="str">
        <f t="shared" si="100"/>
        <v/>
      </c>
      <c r="AI244" s="592" t="str">
        <f t="shared" si="101"/>
        <v/>
      </c>
      <c r="AJ244" s="592" t="str">
        <f t="shared" si="102"/>
        <v/>
      </c>
      <c r="AK244" s="460" t="str">
        <f>IF(AU244="","",IF(OR(AZ244=8,AZ244=9),0,IF(OR(AW244=3,AW244=4,AW244=5,AW244=6),IF(LEFT(BF244,1)="1",INDEX(係数_NOX・PM低減,MATCH(AY244,【参考】排出係数!$AI$801:$AI$804,1),1),VLOOKUP(AU244,INDEX((係数_バス貨物_ガソリン,係数_バス貨物_CNG,係数_バス貨物_軽油,係数_バス貨物_メタノール,係数_バス貨物_LPG),MATCH(AY244,【参考】排出係数!$AI$4:$AI$671,1),1,BE244):INDEX((係数_バス貨物_ガソリン,係数_バス貨物_CNG,係数_バス貨物_軽油,係数_バス貨物_メタノール,係数_バス貨物_LPG),MATCH(AY244+1,【参考】排出係数!$AI$4:$AI$671,1)-1,5,BE244),4,FALSE)),IF(AND(BE244=3,LEFT(BF244,1)="1"),0.48,VLOOKUP(AU244,INDEX((係数_乗用_ガソリン,係数_乗用_CNG,係数_乗用_軽油,係数_乗用_メタノール,係数_乗用_LPG),1,1,BE244):INDEX((係数_乗用_ガソリン,係数_乗用_CNG,係数_乗用_軽油,係数_乗用_メタノール,係数_乗用_LPG),125,5,BE244),4,FALSE)))))</f>
        <v/>
      </c>
      <c r="AL244" s="461" t="str">
        <f t="shared" si="126"/>
        <v/>
      </c>
      <c r="AM244" s="460" t="str">
        <f>IF(AU244="","",IF(OR(AZ244=8,AZ244=9),0,IF(OR(AW244=3,AW244=4,AW244=5,AW244=6),IF(LEFT(BH244,1)="1",INDEX(係数_PM低減,MATCH(AY244,【参考】排出係数!$AI$801:$AI$804,1),MATCH(BI244,【参考】排出係数!$AL$798:$AO$798,1)),VLOOKUP(AU244,INDEX((係数_バス貨物_ガソリン,係数_バス貨物_CNG,係数_バス貨物_軽油,係数_バス貨物_メタノール,係数_バス貨物_LPG),MATCH(AY244,【参考】排出係数!$AI$4:$AI$671,1),1,BE244):INDEX((係数_バス貨物_ガソリン,係数_バス貨物_CNG,係数_バス貨物_軽油,係数_バス貨物_メタノール,係数_バス貨物_LPG),MATCH(AY244+1,【参考】排出係数!$AI$4:$AI$671,1)-1,5,BE244),5,FALSE)),IF(AND(BE244=3,LEFT(BF244,1)="1"),0.055,VLOOKUP(AU244,INDEX((係数_乗用_ガソリン,係数_乗用_CNG,係数_乗用_軽油,係数_乗用_メタノール,係数_乗用_LPG),1,1,BE244):INDEX((係数_乗用_ガソリン,係数_乗用_CNG,係数_乗用_軽油,係数_乗用_メタノール,係数_乗用_LPG),125,5,BE244),5,FALSE)))))</f>
        <v/>
      </c>
      <c r="AN244" s="461" t="str">
        <f t="shared" si="127"/>
        <v/>
      </c>
      <c r="AO244" s="462" t="str">
        <f t="shared" si="128"/>
        <v/>
      </c>
      <c r="AP244" s="463" t="str">
        <f t="shared" si="129"/>
        <v/>
      </c>
      <c r="AQ244" s="464"/>
      <c r="AR244" s="619"/>
      <c r="AS244" s="465" t="str">
        <f t="shared" si="108"/>
        <v/>
      </c>
      <c r="AT244" s="465" t="str">
        <f t="shared" si="109"/>
        <v/>
      </c>
      <c r="AU244" s="466" t="str">
        <f t="shared" si="110"/>
        <v/>
      </c>
      <c r="AV244" s="467" t="str">
        <f t="shared" si="111"/>
        <v/>
      </c>
      <c r="AW244" s="467" t="str">
        <f t="shared" si="112"/>
        <v/>
      </c>
      <c r="AX244" s="467" t="str">
        <f t="shared" si="113"/>
        <v/>
      </c>
      <c r="AY244" s="467" t="str">
        <f t="shared" si="114"/>
        <v/>
      </c>
      <c r="AZ244" s="467" t="str">
        <f t="shared" si="115"/>
        <v/>
      </c>
      <c r="BA244" s="468" t="str">
        <f>IF(AS244="","",IF(OR(AU244="",AU244="-"),"－",IF(OR(AZ244=8,AZ244=9),"",IF(OR(AW244=3,AW244=4,AW244=5,AW244=6),VLOOKUP(AU244,INDEX((係数_バス貨物_ガソリン,係数_バス貨物_CNG,係数_バス貨物_軽油,係数_バス貨物_メタノール,係数_バス貨物_LPG),MATCH(AY244,【参考】排出係数!$AI$4:$AI$671,1),1,BE244):INDEX((係数_バス貨物_ガソリン,係数_バス貨物_CNG,係数_バス貨物_軽油,係数_バス貨物_メタノール,係数_バス貨物_LPG),MATCH(AY244+1,【参考】排出係数!$AI$4:$AI$671,1)-1,5,BE244),2,FALSE),IF(OR(AW244=1,AW244=2),VLOOKUP(AU244,INDEX((係数_乗用_ガソリン,係数_乗用_CNG,係数_乗用_軽油,係数_乗用_メタノール,係数_乗用_LPG),1,1,BE244):INDEX((係数_乗用_ガソリン,係数_乗用_CNG,係数_乗用_軽油,係数_乗用_メタノール,係数_乗用_LPG),125,5,BE244),2,FALSE))))))</f>
        <v/>
      </c>
      <c r="BB244" s="468" t="str">
        <f>IF(T244="","",IF(OR(AU244="",AU244="-"),"－",IF(OR(AZ244=8,AZ244=9),"",IF(OR(AW244=3,AW244=4,AW244=5,AW244=6),VLOOKUP(AU244,INDEX((係数_バス貨物_ガソリン,係数_バス貨物_CNG,係数_バス貨物_軽油,係数_バス貨物_メタノール,係数_バス貨物_LPG),MATCH(AY244,【参考】排出係数!$AI$4:$AI$671,1),1,BE244):INDEX((係数_バス貨物_ガソリン,係数_バス貨物_CNG,係数_バス貨物_軽油,係数_バス貨物_メタノール,係数_バス貨物_LPG),MATCH(AY244+1,【参考】排出係数!$AI$4:$AI$671,1)-1,5,BE244),3,FALSE),IF(OR(AW244=1,AW244=2),VLOOKUP(AU244,INDEX((係数_乗用_ガソリン,係数_乗用_CNG,係数_乗用_軽油,係数_乗用_メタノール,係数_乗用_LPG),1,1,BE244):INDEX((係数_乗用_ガソリン,係数_乗用_CNG,係数_乗用_軽油,係数_乗用_メタノール,係数_乗用_LPG),125,5,BE244),3,FALSE))))))</f>
        <v/>
      </c>
      <c r="BC244" s="467" t="str">
        <f t="shared" si="116"/>
        <v/>
      </c>
      <c r="BD244" s="567" t="str">
        <f t="shared" si="117"/>
        <v/>
      </c>
      <c r="BE244" s="467" t="str">
        <f t="shared" si="118"/>
        <v/>
      </c>
      <c r="BF244" s="469" t="str">
        <f t="shared" ca="1" si="119"/>
        <v/>
      </c>
      <c r="BG244" s="469" t="str">
        <f t="shared" ca="1" si="120"/>
        <v/>
      </c>
      <c r="BH244" s="467" t="str">
        <f t="shared" si="121"/>
        <v/>
      </c>
      <c r="BI244" s="467" t="str">
        <f t="shared" ca="1" si="122"/>
        <v/>
      </c>
      <c r="BJ244" s="469" t="str">
        <f t="shared" si="123"/>
        <v/>
      </c>
      <c r="BK244" s="470" t="str">
        <f t="shared" si="103"/>
        <v/>
      </c>
      <c r="BL244" s="775" t="str">
        <f t="shared" si="124"/>
        <v/>
      </c>
      <c r="BM244" s="775" t="str">
        <f t="shared" si="125"/>
        <v/>
      </c>
    </row>
    <row r="245" spans="1:65">
      <c r="A245" s="473">
        <v>189</v>
      </c>
      <c r="B245" s="132"/>
      <c r="C245" s="332"/>
      <c r="D245" s="333"/>
      <c r="E245" s="333"/>
      <c r="F245" s="334"/>
      <c r="G245" s="337"/>
      <c r="H245" s="131"/>
      <c r="I245" s="337"/>
      <c r="J245" s="131"/>
      <c r="K245" s="458" t="str">
        <f t="shared" si="92"/>
        <v/>
      </c>
      <c r="L245" s="458">
        <f t="shared" si="104"/>
        <v>0</v>
      </c>
      <c r="M245" s="458">
        <f t="shared" si="105"/>
        <v>0</v>
      </c>
      <c r="N245" s="459" t="str">
        <f t="shared" si="93"/>
        <v/>
      </c>
      <c r="O245" s="459" t="str">
        <f t="shared" si="94"/>
        <v/>
      </c>
      <c r="P245" s="459" t="str">
        <f t="shared" si="95"/>
        <v/>
      </c>
      <c r="Q245" s="459" t="str">
        <f t="shared" si="96"/>
        <v/>
      </c>
      <c r="R245" s="459" t="str">
        <f t="shared" si="97"/>
        <v/>
      </c>
      <c r="S245" s="459" t="str">
        <f t="shared" si="98"/>
        <v/>
      </c>
      <c r="T245" s="566" t="str">
        <f t="shared" si="106"/>
        <v/>
      </c>
      <c r="U245" s="702"/>
      <c r="V245" s="132"/>
      <c r="W245" s="133"/>
      <c r="X245" s="134"/>
      <c r="Y245" s="135"/>
      <c r="Z245" s="137"/>
      <c r="AA245" s="136"/>
      <c r="AB245" s="566" t="str">
        <f t="shared" si="99"/>
        <v/>
      </c>
      <c r="AC245" s="568" t="str">
        <f t="shared" si="107"/>
        <v/>
      </c>
      <c r="AD245" s="137"/>
      <c r="AE245" s="137"/>
      <c r="AF245" s="138"/>
      <c r="AG245" s="138"/>
      <c r="AH245" s="592" t="str">
        <f t="shared" si="100"/>
        <v/>
      </c>
      <c r="AI245" s="592" t="str">
        <f t="shared" si="101"/>
        <v/>
      </c>
      <c r="AJ245" s="592" t="str">
        <f t="shared" si="102"/>
        <v/>
      </c>
      <c r="AK245" s="460" t="str">
        <f>IF(AU245="","",IF(OR(AZ245=8,AZ245=9),0,IF(OR(AW245=3,AW245=4,AW245=5,AW245=6),IF(LEFT(BF245,1)="1",INDEX(係数_NOX・PM低減,MATCH(AY245,【参考】排出係数!$AI$801:$AI$804,1),1),VLOOKUP(AU245,INDEX((係数_バス貨物_ガソリン,係数_バス貨物_CNG,係数_バス貨物_軽油,係数_バス貨物_メタノール,係数_バス貨物_LPG),MATCH(AY245,【参考】排出係数!$AI$4:$AI$671,1),1,BE245):INDEX((係数_バス貨物_ガソリン,係数_バス貨物_CNG,係数_バス貨物_軽油,係数_バス貨物_メタノール,係数_バス貨物_LPG),MATCH(AY245+1,【参考】排出係数!$AI$4:$AI$671,1)-1,5,BE245),4,FALSE)),IF(AND(BE245=3,LEFT(BF245,1)="1"),0.48,VLOOKUP(AU245,INDEX((係数_乗用_ガソリン,係数_乗用_CNG,係数_乗用_軽油,係数_乗用_メタノール,係数_乗用_LPG),1,1,BE245):INDEX((係数_乗用_ガソリン,係数_乗用_CNG,係数_乗用_軽油,係数_乗用_メタノール,係数_乗用_LPG),125,5,BE245),4,FALSE)))))</f>
        <v/>
      </c>
      <c r="AL245" s="461" t="str">
        <f t="shared" si="126"/>
        <v/>
      </c>
      <c r="AM245" s="460" t="str">
        <f>IF(AU245="","",IF(OR(AZ245=8,AZ245=9),0,IF(OR(AW245=3,AW245=4,AW245=5,AW245=6),IF(LEFT(BH245,1)="1",INDEX(係数_PM低減,MATCH(AY245,【参考】排出係数!$AI$801:$AI$804,1),MATCH(BI245,【参考】排出係数!$AL$798:$AO$798,1)),VLOOKUP(AU245,INDEX((係数_バス貨物_ガソリン,係数_バス貨物_CNG,係数_バス貨物_軽油,係数_バス貨物_メタノール,係数_バス貨物_LPG),MATCH(AY245,【参考】排出係数!$AI$4:$AI$671,1),1,BE245):INDEX((係数_バス貨物_ガソリン,係数_バス貨物_CNG,係数_バス貨物_軽油,係数_バス貨物_メタノール,係数_バス貨物_LPG),MATCH(AY245+1,【参考】排出係数!$AI$4:$AI$671,1)-1,5,BE245),5,FALSE)),IF(AND(BE245=3,LEFT(BF245,1)="1"),0.055,VLOOKUP(AU245,INDEX((係数_乗用_ガソリン,係数_乗用_CNG,係数_乗用_軽油,係数_乗用_メタノール,係数_乗用_LPG),1,1,BE245):INDEX((係数_乗用_ガソリン,係数_乗用_CNG,係数_乗用_軽油,係数_乗用_メタノール,係数_乗用_LPG),125,5,BE245),5,FALSE)))))</f>
        <v/>
      </c>
      <c r="AN245" s="461" t="str">
        <f t="shared" si="127"/>
        <v/>
      </c>
      <c r="AO245" s="462" t="str">
        <f t="shared" si="128"/>
        <v/>
      </c>
      <c r="AP245" s="463" t="str">
        <f t="shared" si="129"/>
        <v/>
      </c>
      <c r="AQ245" s="464"/>
      <c r="AR245" s="619"/>
      <c r="AS245" s="465" t="str">
        <f t="shared" si="108"/>
        <v/>
      </c>
      <c r="AT245" s="465" t="str">
        <f t="shared" si="109"/>
        <v/>
      </c>
      <c r="AU245" s="466" t="str">
        <f t="shared" si="110"/>
        <v/>
      </c>
      <c r="AV245" s="467" t="str">
        <f t="shared" si="111"/>
        <v/>
      </c>
      <c r="AW245" s="467" t="str">
        <f t="shared" si="112"/>
        <v/>
      </c>
      <c r="AX245" s="467" t="str">
        <f t="shared" si="113"/>
        <v/>
      </c>
      <c r="AY245" s="467" t="str">
        <f t="shared" si="114"/>
        <v/>
      </c>
      <c r="AZ245" s="467" t="str">
        <f t="shared" si="115"/>
        <v/>
      </c>
      <c r="BA245" s="468" t="str">
        <f>IF(AS245="","",IF(OR(AU245="",AU245="-"),"－",IF(OR(AZ245=8,AZ245=9),"",IF(OR(AW245=3,AW245=4,AW245=5,AW245=6),VLOOKUP(AU245,INDEX((係数_バス貨物_ガソリン,係数_バス貨物_CNG,係数_バス貨物_軽油,係数_バス貨物_メタノール,係数_バス貨物_LPG),MATCH(AY245,【参考】排出係数!$AI$4:$AI$671,1),1,BE245):INDEX((係数_バス貨物_ガソリン,係数_バス貨物_CNG,係数_バス貨物_軽油,係数_バス貨物_メタノール,係数_バス貨物_LPG),MATCH(AY245+1,【参考】排出係数!$AI$4:$AI$671,1)-1,5,BE245),2,FALSE),IF(OR(AW245=1,AW245=2),VLOOKUP(AU245,INDEX((係数_乗用_ガソリン,係数_乗用_CNG,係数_乗用_軽油,係数_乗用_メタノール,係数_乗用_LPG),1,1,BE245):INDEX((係数_乗用_ガソリン,係数_乗用_CNG,係数_乗用_軽油,係数_乗用_メタノール,係数_乗用_LPG),125,5,BE245),2,FALSE))))))</f>
        <v/>
      </c>
      <c r="BB245" s="468" t="str">
        <f>IF(T245="","",IF(OR(AU245="",AU245="-"),"－",IF(OR(AZ245=8,AZ245=9),"",IF(OR(AW245=3,AW245=4,AW245=5,AW245=6),VLOOKUP(AU245,INDEX((係数_バス貨物_ガソリン,係数_バス貨物_CNG,係数_バス貨物_軽油,係数_バス貨物_メタノール,係数_バス貨物_LPG),MATCH(AY245,【参考】排出係数!$AI$4:$AI$671,1),1,BE245):INDEX((係数_バス貨物_ガソリン,係数_バス貨物_CNG,係数_バス貨物_軽油,係数_バス貨物_メタノール,係数_バス貨物_LPG),MATCH(AY245+1,【参考】排出係数!$AI$4:$AI$671,1)-1,5,BE245),3,FALSE),IF(OR(AW245=1,AW245=2),VLOOKUP(AU245,INDEX((係数_乗用_ガソリン,係数_乗用_CNG,係数_乗用_軽油,係数_乗用_メタノール,係数_乗用_LPG),1,1,BE245):INDEX((係数_乗用_ガソリン,係数_乗用_CNG,係数_乗用_軽油,係数_乗用_メタノール,係数_乗用_LPG),125,5,BE245),3,FALSE))))))</f>
        <v/>
      </c>
      <c r="BC245" s="467" t="str">
        <f t="shared" si="116"/>
        <v/>
      </c>
      <c r="BD245" s="567" t="str">
        <f t="shared" si="117"/>
        <v/>
      </c>
      <c r="BE245" s="467" t="str">
        <f t="shared" si="118"/>
        <v/>
      </c>
      <c r="BF245" s="469" t="str">
        <f t="shared" ca="1" si="119"/>
        <v/>
      </c>
      <c r="BG245" s="469" t="str">
        <f t="shared" ca="1" si="120"/>
        <v/>
      </c>
      <c r="BH245" s="467" t="str">
        <f t="shared" si="121"/>
        <v/>
      </c>
      <c r="BI245" s="467" t="str">
        <f t="shared" ca="1" si="122"/>
        <v/>
      </c>
      <c r="BJ245" s="469" t="str">
        <f t="shared" si="123"/>
        <v/>
      </c>
      <c r="BK245" s="470" t="str">
        <f t="shared" si="103"/>
        <v/>
      </c>
      <c r="BL245" s="775" t="str">
        <f t="shared" si="124"/>
        <v/>
      </c>
      <c r="BM245" s="775" t="str">
        <f t="shared" si="125"/>
        <v/>
      </c>
    </row>
    <row r="246" spans="1:65">
      <c r="A246" s="473">
        <v>190</v>
      </c>
      <c r="B246" s="132"/>
      <c r="C246" s="332"/>
      <c r="D246" s="333"/>
      <c r="E246" s="333"/>
      <c r="F246" s="334"/>
      <c r="G246" s="337"/>
      <c r="H246" s="131"/>
      <c r="I246" s="337"/>
      <c r="J246" s="131"/>
      <c r="K246" s="458" t="str">
        <f t="shared" si="92"/>
        <v/>
      </c>
      <c r="L246" s="458">
        <f t="shared" si="104"/>
        <v>0</v>
      </c>
      <c r="M246" s="458">
        <f t="shared" si="105"/>
        <v>0</v>
      </c>
      <c r="N246" s="459" t="str">
        <f t="shared" si="93"/>
        <v/>
      </c>
      <c r="O246" s="459" t="str">
        <f t="shared" si="94"/>
        <v/>
      </c>
      <c r="P246" s="459" t="str">
        <f t="shared" si="95"/>
        <v/>
      </c>
      <c r="Q246" s="459" t="str">
        <f t="shared" si="96"/>
        <v/>
      </c>
      <c r="R246" s="459" t="str">
        <f t="shared" si="97"/>
        <v/>
      </c>
      <c r="S246" s="459" t="str">
        <f t="shared" si="98"/>
        <v/>
      </c>
      <c r="T246" s="566" t="str">
        <f t="shared" si="106"/>
        <v/>
      </c>
      <c r="U246" s="702"/>
      <c r="V246" s="132"/>
      <c r="W246" s="133"/>
      <c r="X246" s="134"/>
      <c r="Y246" s="135"/>
      <c r="Z246" s="137"/>
      <c r="AA246" s="136"/>
      <c r="AB246" s="566" t="str">
        <f t="shared" si="99"/>
        <v/>
      </c>
      <c r="AC246" s="568" t="str">
        <f t="shared" si="107"/>
        <v/>
      </c>
      <c r="AD246" s="137"/>
      <c r="AE246" s="137"/>
      <c r="AF246" s="138"/>
      <c r="AG246" s="138"/>
      <c r="AH246" s="592" t="str">
        <f t="shared" si="100"/>
        <v/>
      </c>
      <c r="AI246" s="592" t="str">
        <f t="shared" si="101"/>
        <v/>
      </c>
      <c r="AJ246" s="592" t="str">
        <f t="shared" si="102"/>
        <v/>
      </c>
      <c r="AK246" s="460" t="str">
        <f>IF(AU246="","",IF(OR(AZ246=8,AZ246=9),0,IF(OR(AW246=3,AW246=4,AW246=5,AW246=6),IF(LEFT(BF246,1)="1",INDEX(係数_NOX・PM低減,MATCH(AY246,【参考】排出係数!$AI$801:$AI$804,1),1),VLOOKUP(AU246,INDEX((係数_バス貨物_ガソリン,係数_バス貨物_CNG,係数_バス貨物_軽油,係数_バス貨物_メタノール,係数_バス貨物_LPG),MATCH(AY246,【参考】排出係数!$AI$4:$AI$671,1),1,BE246):INDEX((係数_バス貨物_ガソリン,係数_バス貨物_CNG,係数_バス貨物_軽油,係数_バス貨物_メタノール,係数_バス貨物_LPG),MATCH(AY246+1,【参考】排出係数!$AI$4:$AI$671,1)-1,5,BE246),4,FALSE)),IF(AND(BE246=3,LEFT(BF246,1)="1"),0.48,VLOOKUP(AU246,INDEX((係数_乗用_ガソリン,係数_乗用_CNG,係数_乗用_軽油,係数_乗用_メタノール,係数_乗用_LPG),1,1,BE246):INDEX((係数_乗用_ガソリン,係数_乗用_CNG,係数_乗用_軽油,係数_乗用_メタノール,係数_乗用_LPG),125,5,BE246),4,FALSE)))))</f>
        <v/>
      </c>
      <c r="AL246" s="461" t="str">
        <f t="shared" si="126"/>
        <v/>
      </c>
      <c r="AM246" s="460" t="str">
        <f>IF(AU246="","",IF(OR(AZ246=8,AZ246=9),0,IF(OR(AW246=3,AW246=4,AW246=5,AW246=6),IF(LEFT(BH246,1)="1",INDEX(係数_PM低減,MATCH(AY246,【参考】排出係数!$AI$801:$AI$804,1),MATCH(BI246,【参考】排出係数!$AL$798:$AO$798,1)),VLOOKUP(AU246,INDEX((係数_バス貨物_ガソリン,係数_バス貨物_CNG,係数_バス貨物_軽油,係数_バス貨物_メタノール,係数_バス貨物_LPG),MATCH(AY246,【参考】排出係数!$AI$4:$AI$671,1),1,BE246):INDEX((係数_バス貨物_ガソリン,係数_バス貨物_CNG,係数_バス貨物_軽油,係数_バス貨物_メタノール,係数_バス貨物_LPG),MATCH(AY246+1,【参考】排出係数!$AI$4:$AI$671,1)-1,5,BE246),5,FALSE)),IF(AND(BE246=3,LEFT(BF246,1)="1"),0.055,VLOOKUP(AU246,INDEX((係数_乗用_ガソリン,係数_乗用_CNG,係数_乗用_軽油,係数_乗用_メタノール,係数_乗用_LPG),1,1,BE246):INDEX((係数_乗用_ガソリン,係数_乗用_CNG,係数_乗用_軽油,係数_乗用_メタノール,係数_乗用_LPG),125,5,BE246),5,FALSE)))))</f>
        <v/>
      </c>
      <c r="AN246" s="461" t="str">
        <f t="shared" si="127"/>
        <v/>
      </c>
      <c r="AO246" s="462" t="str">
        <f t="shared" si="128"/>
        <v/>
      </c>
      <c r="AP246" s="463" t="str">
        <f t="shared" si="129"/>
        <v/>
      </c>
      <c r="AQ246" s="464"/>
      <c r="AR246" s="619"/>
      <c r="AS246" s="465" t="str">
        <f t="shared" si="108"/>
        <v/>
      </c>
      <c r="AT246" s="465" t="str">
        <f t="shared" si="109"/>
        <v/>
      </c>
      <c r="AU246" s="466" t="str">
        <f t="shared" si="110"/>
        <v/>
      </c>
      <c r="AV246" s="467" t="str">
        <f t="shared" si="111"/>
        <v/>
      </c>
      <c r="AW246" s="467" t="str">
        <f t="shared" si="112"/>
        <v/>
      </c>
      <c r="AX246" s="467" t="str">
        <f t="shared" si="113"/>
        <v/>
      </c>
      <c r="AY246" s="467" t="str">
        <f t="shared" si="114"/>
        <v/>
      </c>
      <c r="AZ246" s="467" t="str">
        <f t="shared" si="115"/>
        <v/>
      </c>
      <c r="BA246" s="468" t="str">
        <f>IF(AS246="","",IF(OR(AU246="",AU246="-"),"－",IF(OR(AZ246=8,AZ246=9),"",IF(OR(AW246=3,AW246=4,AW246=5,AW246=6),VLOOKUP(AU246,INDEX((係数_バス貨物_ガソリン,係数_バス貨物_CNG,係数_バス貨物_軽油,係数_バス貨物_メタノール,係数_バス貨物_LPG),MATCH(AY246,【参考】排出係数!$AI$4:$AI$671,1),1,BE246):INDEX((係数_バス貨物_ガソリン,係数_バス貨物_CNG,係数_バス貨物_軽油,係数_バス貨物_メタノール,係数_バス貨物_LPG),MATCH(AY246+1,【参考】排出係数!$AI$4:$AI$671,1)-1,5,BE246),2,FALSE),IF(OR(AW246=1,AW246=2),VLOOKUP(AU246,INDEX((係数_乗用_ガソリン,係数_乗用_CNG,係数_乗用_軽油,係数_乗用_メタノール,係数_乗用_LPG),1,1,BE246):INDEX((係数_乗用_ガソリン,係数_乗用_CNG,係数_乗用_軽油,係数_乗用_メタノール,係数_乗用_LPG),125,5,BE246),2,FALSE))))))</f>
        <v/>
      </c>
      <c r="BB246" s="468" t="str">
        <f>IF(T246="","",IF(OR(AU246="",AU246="-"),"－",IF(OR(AZ246=8,AZ246=9),"",IF(OR(AW246=3,AW246=4,AW246=5,AW246=6),VLOOKUP(AU246,INDEX((係数_バス貨物_ガソリン,係数_バス貨物_CNG,係数_バス貨物_軽油,係数_バス貨物_メタノール,係数_バス貨物_LPG),MATCH(AY246,【参考】排出係数!$AI$4:$AI$671,1),1,BE246):INDEX((係数_バス貨物_ガソリン,係数_バス貨物_CNG,係数_バス貨物_軽油,係数_バス貨物_メタノール,係数_バス貨物_LPG),MATCH(AY246+1,【参考】排出係数!$AI$4:$AI$671,1)-1,5,BE246),3,FALSE),IF(OR(AW246=1,AW246=2),VLOOKUP(AU246,INDEX((係数_乗用_ガソリン,係数_乗用_CNG,係数_乗用_軽油,係数_乗用_メタノール,係数_乗用_LPG),1,1,BE246):INDEX((係数_乗用_ガソリン,係数_乗用_CNG,係数_乗用_軽油,係数_乗用_メタノール,係数_乗用_LPG),125,5,BE246),3,FALSE))))))</f>
        <v/>
      </c>
      <c r="BC246" s="467" t="str">
        <f t="shared" si="116"/>
        <v/>
      </c>
      <c r="BD246" s="567" t="str">
        <f t="shared" si="117"/>
        <v/>
      </c>
      <c r="BE246" s="467" t="str">
        <f t="shared" si="118"/>
        <v/>
      </c>
      <c r="BF246" s="469" t="str">
        <f t="shared" ca="1" si="119"/>
        <v/>
      </c>
      <c r="BG246" s="469" t="str">
        <f t="shared" ca="1" si="120"/>
        <v/>
      </c>
      <c r="BH246" s="467" t="str">
        <f t="shared" si="121"/>
        <v/>
      </c>
      <c r="BI246" s="467" t="str">
        <f t="shared" ca="1" si="122"/>
        <v/>
      </c>
      <c r="BJ246" s="469" t="str">
        <f t="shared" si="123"/>
        <v/>
      </c>
      <c r="BK246" s="470" t="str">
        <f t="shared" si="103"/>
        <v/>
      </c>
      <c r="BL246" s="775" t="str">
        <f t="shared" si="124"/>
        <v/>
      </c>
      <c r="BM246" s="775" t="str">
        <f t="shared" si="125"/>
        <v/>
      </c>
    </row>
    <row r="247" spans="1:65">
      <c r="A247" s="473">
        <v>191</v>
      </c>
      <c r="B247" s="132"/>
      <c r="C247" s="332"/>
      <c r="D247" s="333"/>
      <c r="E247" s="333"/>
      <c r="F247" s="334"/>
      <c r="G247" s="337"/>
      <c r="H247" s="131"/>
      <c r="I247" s="337"/>
      <c r="J247" s="131"/>
      <c r="K247" s="458" t="str">
        <f t="shared" si="92"/>
        <v/>
      </c>
      <c r="L247" s="458">
        <f t="shared" si="104"/>
        <v>0</v>
      </c>
      <c r="M247" s="458">
        <f t="shared" si="105"/>
        <v>0</v>
      </c>
      <c r="N247" s="459" t="str">
        <f t="shared" si="93"/>
        <v/>
      </c>
      <c r="O247" s="459" t="str">
        <f t="shared" si="94"/>
        <v/>
      </c>
      <c r="P247" s="459" t="str">
        <f t="shared" si="95"/>
        <v/>
      </c>
      <c r="Q247" s="459" t="str">
        <f t="shared" si="96"/>
        <v/>
      </c>
      <c r="R247" s="459" t="str">
        <f t="shared" si="97"/>
        <v/>
      </c>
      <c r="S247" s="459" t="str">
        <f t="shared" si="98"/>
        <v/>
      </c>
      <c r="T247" s="566" t="str">
        <f t="shared" si="106"/>
        <v/>
      </c>
      <c r="U247" s="702"/>
      <c r="V247" s="132"/>
      <c r="W247" s="133"/>
      <c r="X247" s="134"/>
      <c r="Y247" s="135"/>
      <c r="Z247" s="137"/>
      <c r="AA247" s="136"/>
      <c r="AB247" s="566" t="str">
        <f t="shared" si="99"/>
        <v/>
      </c>
      <c r="AC247" s="568" t="str">
        <f t="shared" si="107"/>
        <v/>
      </c>
      <c r="AD247" s="137"/>
      <c r="AE247" s="137"/>
      <c r="AF247" s="138"/>
      <c r="AG247" s="138"/>
      <c r="AH247" s="592" t="str">
        <f t="shared" si="100"/>
        <v/>
      </c>
      <c r="AI247" s="592" t="str">
        <f t="shared" si="101"/>
        <v/>
      </c>
      <c r="AJ247" s="592" t="str">
        <f t="shared" si="102"/>
        <v/>
      </c>
      <c r="AK247" s="460" t="str">
        <f>IF(AU247="","",IF(OR(AZ247=8,AZ247=9),0,IF(OR(AW247=3,AW247=4,AW247=5,AW247=6),IF(LEFT(BF247,1)="1",INDEX(係数_NOX・PM低減,MATCH(AY247,【参考】排出係数!$AI$801:$AI$804,1),1),VLOOKUP(AU247,INDEX((係数_バス貨物_ガソリン,係数_バス貨物_CNG,係数_バス貨物_軽油,係数_バス貨物_メタノール,係数_バス貨物_LPG),MATCH(AY247,【参考】排出係数!$AI$4:$AI$671,1),1,BE247):INDEX((係数_バス貨物_ガソリン,係数_バス貨物_CNG,係数_バス貨物_軽油,係数_バス貨物_メタノール,係数_バス貨物_LPG),MATCH(AY247+1,【参考】排出係数!$AI$4:$AI$671,1)-1,5,BE247),4,FALSE)),IF(AND(BE247=3,LEFT(BF247,1)="1"),0.48,VLOOKUP(AU247,INDEX((係数_乗用_ガソリン,係数_乗用_CNG,係数_乗用_軽油,係数_乗用_メタノール,係数_乗用_LPG),1,1,BE247):INDEX((係数_乗用_ガソリン,係数_乗用_CNG,係数_乗用_軽油,係数_乗用_メタノール,係数_乗用_LPG),125,5,BE247),4,FALSE)))))</f>
        <v/>
      </c>
      <c r="AL247" s="461" t="str">
        <f t="shared" si="126"/>
        <v/>
      </c>
      <c r="AM247" s="460" t="str">
        <f>IF(AU247="","",IF(OR(AZ247=8,AZ247=9),0,IF(OR(AW247=3,AW247=4,AW247=5,AW247=6),IF(LEFT(BH247,1)="1",INDEX(係数_PM低減,MATCH(AY247,【参考】排出係数!$AI$801:$AI$804,1),MATCH(BI247,【参考】排出係数!$AL$798:$AO$798,1)),VLOOKUP(AU247,INDEX((係数_バス貨物_ガソリン,係数_バス貨物_CNG,係数_バス貨物_軽油,係数_バス貨物_メタノール,係数_バス貨物_LPG),MATCH(AY247,【参考】排出係数!$AI$4:$AI$671,1),1,BE247):INDEX((係数_バス貨物_ガソリン,係数_バス貨物_CNG,係数_バス貨物_軽油,係数_バス貨物_メタノール,係数_バス貨物_LPG),MATCH(AY247+1,【参考】排出係数!$AI$4:$AI$671,1)-1,5,BE247),5,FALSE)),IF(AND(BE247=3,LEFT(BF247,1)="1"),0.055,VLOOKUP(AU247,INDEX((係数_乗用_ガソリン,係数_乗用_CNG,係数_乗用_軽油,係数_乗用_メタノール,係数_乗用_LPG),1,1,BE247):INDEX((係数_乗用_ガソリン,係数_乗用_CNG,係数_乗用_軽油,係数_乗用_メタノール,係数_乗用_LPG),125,5,BE247),5,FALSE)))))</f>
        <v/>
      </c>
      <c r="AN247" s="461" t="str">
        <f t="shared" si="127"/>
        <v/>
      </c>
      <c r="AO247" s="462" t="str">
        <f t="shared" si="128"/>
        <v/>
      </c>
      <c r="AP247" s="463" t="str">
        <f t="shared" si="129"/>
        <v/>
      </c>
      <c r="AQ247" s="464"/>
      <c r="AR247" s="619"/>
      <c r="AS247" s="465" t="str">
        <f t="shared" si="108"/>
        <v/>
      </c>
      <c r="AT247" s="465" t="str">
        <f t="shared" si="109"/>
        <v/>
      </c>
      <c r="AU247" s="466" t="str">
        <f t="shared" si="110"/>
        <v/>
      </c>
      <c r="AV247" s="467" t="str">
        <f t="shared" si="111"/>
        <v/>
      </c>
      <c r="AW247" s="467" t="str">
        <f t="shared" si="112"/>
        <v/>
      </c>
      <c r="AX247" s="467" t="str">
        <f t="shared" si="113"/>
        <v/>
      </c>
      <c r="AY247" s="467" t="str">
        <f t="shared" si="114"/>
        <v/>
      </c>
      <c r="AZ247" s="467" t="str">
        <f t="shared" si="115"/>
        <v/>
      </c>
      <c r="BA247" s="468" t="str">
        <f>IF(AS247="","",IF(OR(AU247="",AU247="-"),"－",IF(OR(AZ247=8,AZ247=9),"",IF(OR(AW247=3,AW247=4,AW247=5,AW247=6),VLOOKUP(AU247,INDEX((係数_バス貨物_ガソリン,係数_バス貨物_CNG,係数_バス貨物_軽油,係数_バス貨物_メタノール,係数_バス貨物_LPG),MATCH(AY247,【参考】排出係数!$AI$4:$AI$671,1),1,BE247):INDEX((係数_バス貨物_ガソリン,係数_バス貨物_CNG,係数_バス貨物_軽油,係数_バス貨物_メタノール,係数_バス貨物_LPG),MATCH(AY247+1,【参考】排出係数!$AI$4:$AI$671,1)-1,5,BE247),2,FALSE),IF(OR(AW247=1,AW247=2),VLOOKUP(AU247,INDEX((係数_乗用_ガソリン,係数_乗用_CNG,係数_乗用_軽油,係数_乗用_メタノール,係数_乗用_LPG),1,1,BE247):INDEX((係数_乗用_ガソリン,係数_乗用_CNG,係数_乗用_軽油,係数_乗用_メタノール,係数_乗用_LPG),125,5,BE247),2,FALSE))))))</f>
        <v/>
      </c>
      <c r="BB247" s="468" t="str">
        <f>IF(T247="","",IF(OR(AU247="",AU247="-"),"－",IF(OR(AZ247=8,AZ247=9),"",IF(OR(AW247=3,AW247=4,AW247=5,AW247=6),VLOOKUP(AU247,INDEX((係数_バス貨物_ガソリン,係数_バス貨物_CNG,係数_バス貨物_軽油,係数_バス貨物_メタノール,係数_バス貨物_LPG),MATCH(AY247,【参考】排出係数!$AI$4:$AI$671,1),1,BE247):INDEX((係数_バス貨物_ガソリン,係数_バス貨物_CNG,係数_バス貨物_軽油,係数_バス貨物_メタノール,係数_バス貨物_LPG),MATCH(AY247+1,【参考】排出係数!$AI$4:$AI$671,1)-1,5,BE247),3,FALSE),IF(OR(AW247=1,AW247=2),VLOOKUP(AU247,INDEX((係数_乗用_ガソリン,係数_乗用_CNG,係数_乗用_軽油,係数_乗用_メタノール,係数_乗用_LPG),1,1,BE247):INDEX((係数_乗用_ガソリン,係数_乗用_CNG,係数_乗用_軽油,係数_乗用_メタノール,係数_乗用_LPG),125,5,BE247),3,FALSE))))))</f>
        <v/>
      </c>
      <c r="BC247" s="467" t="str">
        <f t="shared" si="116"/>
        <v/>
      </c>
      <c r="BD247" s="567" t="str">
        <f t="shared" si="117"/>
        <v/>
      </c>
      <c r="BE247" s="467" t="str">
        <f t="shared" si="118"/>
        <v/>
      </c>
      <c r="BF247" s="469" t="str">
        <f t="shared" ca="1" si="119"/>
        <v/>
      </c>
      <c r="BG247" s="469" t="str">
        <f t="shared" ca="1" si="120"/>
        <v/>
      </c>
      <c r="BH247" s="467" t="str">
        <f t="shared" si="121"/>
        <v/>
      </c>
      <c r="BI247" s="467" t="str">
        <f t="shared" ca="1" si="122"/>
        <v/>
      </c>
      <c r="BJ247" s="469" t="str">
        <f t="shared" si="123"/>
        <v/>
      </c>
      <c r="BK247" s="470" t="str">
        <f t="shared" si="103"/>
        <v/>
      </c>
      <c r="BL247" s="775" t="str">
        <f t="shared" si="124"/>
        <v/>
      </c>
      <c r="BM247" s="775" t="str">
        <f t="shared" si="125"/>
        <v/>
      </c>
    </row>
    <row r="248" spans="1:65">
      <c r="A248" s="473">
        <v>192</v>
      </c>
      <c r="B248" s="132"/>
      <c r="C248" s="332"/>
      <c r="D248" s="333"/>
      <c r="E248" s="333"/>
      <c r="F248" s="334"/>
      <c r="G248" s="337"/>
      <c r="H248" s="131"/>
      <c r="I248" s="337"/>
      <c r="J248" s="131"/>
      <c r="K248" s="458" t="str">
        <f t="shared" si="92"/>
        <v/>
      </c>
      <c r="L248" s="458">
        <f t="shared" si="104"/>
        <v>0</v>
      </c>
      <c r="M248" s="458">
        <f t="shared" si="105"/>
        <v>0</v>
      </c>
      <c r="N248" s="459" t="str">
        <f t="shared" si="93"/>
        <v/>
      </c>
      <c r="O248" s="459" t="str">
        <f t="shared" si="94"/>
        <v/>
      </c>
      <c r="P248" s="459" t="str">
        <f t="shared" si="95"/>
        <v/>
      </c>
      <c r="Q248" s="459" t="str">
        <f t="shared" si="96"/>
        <v/>
      </c>
      <c r="R248" s="459" t="str">
        <f t="shared" si="97"/>
        <v/>
      </c>
      <c r="S248" s="459" t="str">
        <f t="shared" si="98"/>
        <v/>
      </c>
      <c r="T248" s="566" t="str">
        <f t="shared" si="106"/>
        <v/>
      </c>
      <c r="U248" s="702"/>
      <c r="V248" s="132"/>
      <c r="W248" s="133"/>
      <c r="X248" s="134"/>
      <c r="Y248" s="135"/>
      <c r="Z248" s="137"/>
      <c r="AA248" s="136"/>
      <c r="AB248" s="566" t="str">
        <f t="shared" si="99"/>
        <v/>
      </c>
      <c r="AC248" s="568" t="str">
        <f t="shared" si="107"/>
        <v/>
      </c>
      <c r="AD248" s="137"/>
      <c r="AE248" s="137"/>
      <c r="AF248" s="138"/>
      <c r="AG248" s="138"/>
      <c r="AH248" s="592" t="str">
        <f t="shared" si="100"/>
        <v/>
      </c>
      <c r="AI248" s="592" t="str">
        <f t="shared" si="101"/>
        <v/>
      </c>
      <c r="AJ248" s="592" t="str">
        <f t="shared" si="102"/>
        <v/>
      </c>
      <c r="AK248" s="460" t="str">
        <f>IF(AU248="","",IF(OR(AZ248=8,AZ248=9),0,IF(OR(AW248=3,AW248=4,AW248=5,AW248=6),IF(LEFT(BF248,1)="1",INDEX(係数_NOX・PM低減,MATCH(AY248,【参考】排出係数!$AI$801:$AI$804,1),1),VLOOKUP(AU248,INDEX((係数_バス貨物_ガソリン,係数_バス貨物_CNG,係数_バス貨物_軽油,係数_バス貨物_メタノール,係数_バス貨物_LPG),MATCH(AY248,【参考】排出係数!$AI$4:$AI$671,1),1,BE248):INDEX((係数_バス貨物_ガソリン,係数_バス貨物_CNG,係数_バス貨物_軽油,係数_バス貨物_メタノール,係数_バス貨物_LPG),MATCH(AY248+1,【参考】排出係数!$AI$4:$AI$671,1)-1,5,BE248),4,FALSE)),IF(AND(BE248=3,LEFT(BF248,1)="1"),0.48,VLOOKUP(AU248,INDEX((係数_乗用_ガソリン,係数_乗用_CNG,係数_乗用_軽油,係数_乗用_メタノール,係数_乗用_LPG),1,1,BE248):INDEX((係数_乗用_ガソリン,係数_乗用_CNG,係数_乗用_軽油,係数_乗用_メタノール,係数_乗用_LPG),125,5,BE248),4,FALSE)))))</f>
        <v/>
      </c>
      <c r="AL248" s="461" t="str">
        <f t="shared" si="126"/>
        <v/>
      </c>
      <c r="AM248" s="460" t="str">
        <f>IF(AU248="","",IF(OR(AZ248=8,AZ248=9),0,IF(OR(AW248=3,AW248=4,AW248=5,AW248=6),IF(LEFT(BH248,1)="1",INDEX(係数_PM低減,MATCH(AY248,【参考】排出係数!$AI$801:$AI$804,1),MATCH(BI248,【参考】排出係数!$AL$798:$AO$798,1)),VLOOKUP(AU248,INDEX((係数_バス貨物_ガソリン,係数_バス貨物_CNG,係数_バス貨物_軽油,係数_バス貨物_メタノール,係数_バス貨物_LPG),MATCH(AY248,【参考】排出係数!$AI$4:$AI$671,1),1,BE248):INDEX((係数_バス貨物_ガソリン,係数_バス貨物_CNG,係数_バス貨物_軽油,係数_バス貨物_メタノール,係数_バス貨物_LPG),MATCH(AY248+1,【参考】排出係数!$AI$4:$AI$671,1)-1,5,BE248),5,FALSE)),IF(AND(BE248=3,LEFT(BF248,1)="1"),0.055,VLOOKUP(AU248,INDEX((係数_乗用_ガソリン,係数_乗用_CNG,係数_乗用_軽油,係数_乗用_メタノール,係数_乗用_LPG),1,1,BE248):INDEX((係数_乗用_ガソリン,係数_乗用_CNG,係数_乗用_軽油,係数_乗用_メタノール,係数_乗用_LPG),125,5,BE248),5,FALSE)))))</f>
        <v/>
      </c>
      <c r="AN248" s="461" t="str">
        <f t="shared" si="127"/>
        <v/>
      </c>
      <c r="AO248" s="462" t="str">
        <f t="shared" si="128"/>
        <v/>
      </c>
      <c r="AP248" s="463" t="str">
        <f t="shared" si="129"/>
        <v/>
      </c>
      <c r="AQ248" s="464"/>
      <c r="AR248" s="619"/>
      <c r="AS248" s="465" t="str">
        <f t="shared" si="108"/>
        <v/>
      </c>
      <c r="AT248" s="465" t="str">
        <f t="shared" si="109"/>
        <v/>
      </c>
      <c r="AU248" s="466" t="str">
        <f t="shared" si="110"/>
        <v/>
      </c>
      <c r="AV248" s="467" t="str">
        <f t="shared" si="111"/>
        <v/>
      </c>
      <c r="AW248" s="467" t="str">
        <f t="shared" si="112"/>
        <v/>
      </c>
      <c r="AX248" s="467" t="str">
        <f t="shared" si="113"/>
        <v/>
      </c>
      <c r="AY248" s="467" t="str">
        <f t="shared" si="114"/>
        <v/>
      </c>
      <c r="AZ248" s="467" t="str">
        <f t="shared" si="115"/>
        <v/>
      </c>
      <c r="BA248" s="468" t="str">
        <f>IF(AS248="","",IF(OR(AU248="",AU248="-"),"－",IF(OR(AZ248=8,AZ248=9),"",IF(OR(AW248=3,AW248=4,AW248=5,AW248=6),VLOOKUP(AU248,INDEX((係数_バス貨物_ガソリン,係数_バス貨物_CNG,係数_バス貨物_軽油,係数_バス貨物_メタノール,係数_バス貨物_LPG),MATCH(AY248,【参考】排出係数!$AI$4:$AI$671,1),1,BE248):INDEX((係数_バス貨物_ガソリン,係数_バス貨物_CNG,係数_バス貨物_軽油,係数_バス貨物_メタノール,係数_バス貨物_LPG),MATCH(AY248+1,【参考】排出係数!$AI$4:$AI$671,1)-1,5,BE248),2,FALSE),IF(OR(AW248=1,AW248=2),VLOOKUP(AU248,INDEX((係数_乗用_ガソリン,係数_乗用_CNG,係数_乗用_軽油,係数_乗用_メタノール,係数_乗用_LPG),1,1,BE248):INDEX((係数_乗用_ガソリン,係数_乗用_CNG,係数_乗用_軽油,係数_乗用_メタノール,係数_乗用_LPG),125,5,BE248),2,FALSE))))))</f>
        <v/>
      </c>
      <c r="BB248" s="468" t="str">
        <f>IF(T248="","",IF(OR(AU248="",AU248="-"),"－",IF(OR(AZ248=8,AZ248=9),"",IF(OR(AW248=3,AW248=4,AW248=5,AW248=6),VLOOKUP(AU248,INDEX((係数_バス貨物_ガソリン,係数_バス貨物_CNG,係数_バス貨物_軽油,係数_バス貨物_メタノール,係数_バス貨物_LPG),MATCH(AY248,【参考】排出係数!$AI$4:$AI$671,1),1,BE248):INDEX((係数_バス貨物_ガソリン,係数_バス貨物_CNG,係数_バス貨物_軽油,係数_バス貨物_メタノール,係数_バス貨物_LPG),MATCH(AY248+1,【参考】排出係数!$AI$4:$AI$671,1)-1,5,BE248),3,FALSE),IF(OR(AW248=1,AW248=2),VLOOKUP(AU248,INDEX((係数_乗用_ガソリン,係数_乗用_CNG,係数_乗用_軽油,係数_乗用_メタノール,係数_乗用_LPG),1,1,BE248):INDEX((係数_乗用_ガソリン,係数_乗用_CNG,係数_乗用_軽油,係数_乗用_メタノール,係数_乗用_LPG),125,5,BE248),3,FALSE))))))</f>
        <v/>
      </c>
      <c r="BC248" s="467" t="str">
        <f t="shared" si="116"/>
        <v/>
      </c>
      <c r="BD248" s="567" t="str">
        <f t="shared" si="117"/>
        <v/>
      </c>
      <c r="BE248" s="467" t="str">
        <f t="shared" si="118"/>
        <v/>
      </c>
      <c r="BF248" s="469" t="str">
        <f t="shared" ca="1" si="119"/>
        <v/>
      </c>
      <c r="BG248" s="469" t="str">
        <f t="shared" ca="1" si="120"/>
        <v/>
      </c>
      <c r="BH248" s="467" t="str">
        <f t="shared" si="121"/>
        <v/>
      </c>
      <c r="BI248" s="467" t="str">
        <f t="shared" ca="1" si="122"/>
        <v/>
      </c>
      <c r="BJ248" s="469" t="str">
        <f t="shared" si="123"/>
        <v/>
      </c>
      <c r="BK248" s="470" t="str">
        <f t="shared" si="103"/>
        <v/>
      </c>
      <c r="BL248" s="775" t="str">
        <f t="shared" si="124"/>
        <v/>
      </c>
      <c r="BM248" s="775" t="str">
        <f t="shared" si="125"/>
        <v/>
      </c>
    </row>
    <row r="249" spans="1:65">
      <c r="A249" s="473">
        <v>193</v>
      </c>
      <c r="B249" s="132"/>
      <c r="C249" s="332"/>
      <c r="D249" s="333"/>
      <c r="E249" s="333"/>
      <c r="F249" s="334"/>
      <c r="G249" s="337"/>
      <c r="H249" s="131"/>
      <c r="I249" s="337"/>
      <c r="J249" s="131"/>
      <c r="K249" s="458" t="str">
        <f t="shared" ref="K249:K312" si="130">C249&amp;D249&amp;E249&amp;F249</f>
        <v/>
      </c>
      <c r="L249" s="458">
        <f t="shared" si="104"/>
        <v>0</v>
      </c>
      <c r="M249" s="458">
        <f t="shared" si="105"/>
        <v>0</v>
      </c>
      <c r="N249" s="459" t="str">
        <f t="shared" ref="N249:N312" si="131">IF(OR($L249&gt;$U$48,$M249&gt;$U$48,AND($L249&gt;$M249,$M249&lt;&gt;0),AND($L249=0,$M249&lt;&gt;0)),"ERROR","")</f>
        <v/>
      </c>
      <c r="O249" s="459" t="str">
        <f t="shared" ref="O249:O312" si="132">IF(AND($N249&lt;&gt;"ERROR",$L249&lt;=$U$49,$M249&lt;=$U$49,$M249&lt;&gt;0),"(減車済)","")</f>
        <v/>
      </c>
      <c r="P249" s="459" t="str">
        <f t="shared" ref="P249:P312" si="133">IF(AND($N249&lt;&gt;"ERROR",$L249&lt;$U$49,AND($M249&gt;$U$49,$M249&lt;=$W$49),$M249&lt;&gt;0),"減車","")</f>
        <v/>
      </c>
      <c r="Q249" s="459" t="str">
        <f t="shared" ref="Q249:Q312" si="134">IF(AND($N249&lt;&gt;"ERROR",$L249&gt;$U$49,$M249&lt;=$W$49,$M249&lt;&gt;0),"一時使用","")</f>
        <v/>
      </c>
      <c r="R249" s="459" t="str">
        <f t="shared" ref="R249:R312" si="135">IF(AND($N249&lt;&gt;"ERROR",AND($L249&gt;0,$L249&lt;=$U$49),$M249=0),"継続","")</f>
        <v/>
      </c>
      <c r="S249" s="459" t="str">
        <f t="shared" ref="S249:S312" si="136">IF(AND($N249&lt;&gt;"ERROR",AND($L249&gt;$U$49),$M249=0),"新規","")</f>
        <v/>
      </c>
      <c r="T249" s="566" t="str">
        <f t="shared" si="106"/>
        <v/>
      </c>
      <c r="U249" s="702"/>
      <c r="V249" s="132"/>
      <c r="W249" s="133"/>
      <c r="X249" s="134"/>
      <c r="Y249" s="135"/>
      <c r="Z249" s="137"/>
      <c r="AA249" s="136"/>
      <c r="AB249" s="566" t="str">
        <f t="shared" ref="AB249:AB312" si="137">IF(AS249="","",IF(AZ249=1,VLOOKUP(BA249,低公害車判別,2,FALSE),IF(AZ249=3,VLOOKUP(BA249,低公害車判別,2,FALSE),IF(AZ249=4,VLOOKUP(BB249,低公害車判別,2,FALSE),"低公害車"))))</f>
        <v/>
      </c>
      <c r="AC249" s="568" t="str">
        <f t="shared" si="107"/>
        <v/>
      </c>
      <c r="AD249" s="137"/>
      <c r="AE249" s="137"/>
      <c r="AF249" s="138"/>
      <c r="AG249" s="138"/>
      <c r="AH249" s="592" t="str">
        <f t="shared" ref="AH249:AH312" si="138">IF(C249="","",IF(LEFT(C249,2)="横浜","○",""))</f>
        <v/>
      </c>
      <c r="AI249" s="592" t="str">
        <f t="shared" ref="AI249:AI312" si="139">IF(C249="","",IF(LEFT(C249,2)="川崎","○",""))</f>
        <v/>
      </c>
      <c r="AJ249" s="592" t="str">
        <f t="shared" ref="AJ249:AJ312" si="140">IF(C249="","",IF(OR(AH249="○",AI249="○"),"","○"))</f>
        <v/>
      </c>
      <c r="AK249" s="460" t="str">
        <f>IF(AU249="","",IF(OR(AZ249=8,AZ249=9),0,IF(OR(AW249=3,AW249=4,AW249=5,AW249=6),IF(LEFT(BF249,1)="1",INDEX(係数_NOX・PM低減,MATCH(AY249,【参考】排出係数!$AI$801:$AI$804,1),1),VLOOKUP(AU249,INDEX((係数_バス貨物_ガソリン,係数_バス貨物_CNG,係数_バス貨物_軽油,係数_バス貨物_メタノール,係数_バス貨物_LPG),MATCH(AY249,【参考】排出係数!$AI$4:$AI$671,1),1,BE249):INDEX((係数_バス貨物_ガソリン,係数_バス貨物_CNG,係数_バス貨物_軽油,係数_バス貨物_メタノール,係数_バス貨物_LPG),MATCH(AY249+1,【参考】排出係数!$AI$4:$AI$671,1)-1,5,BE249),4,FALSE)),IF(AND(BE249=3,LEFT(BF249,1)="1"),0.48,VLOOKUP(AU249,INDEX((係数_乗用_ガソリン,係数_乗用_CNG,係数_乗用_軽油,係数_乗用_メタノール,係数_乗用_LPG),1,1,BE249):INDEX((係数_乗用_ガソリン,係数_乗用_CNG,係数_乗用_軽油,係数_乗用_メタノール,係数_乗用_LPG),125,5,BE249),4,FALSE)))))</f>
        <v/>
      </c>
      <c r="AL249" s="461" t="str">
        <f t="shared" si="126"/>
        <v/>
      </c>
      <c r="AM249" s="460" t="str">
        <f>IF(AU249="","",IF(OR(AZ249=8,AZ249=9),0,IF(OR(AW249=3,AW249=4,AW249=5,AW249=6),IF(LEFT(BH249,1)="1",INDEX(係数_PM低減,MATCH(AY249,【参考】排出係数!$AI$801:$AI$804,1),MATCH(BI249,【参考】排出係数!$AL$798:$AO$798,1)),VLOOKUP(AU249,INDEX((係数_バス貨物_ガソリン,係数_バス貨物_CNG,係数_バス貨物_軽油,係数_バス貨物_メタノール,係数_バス貨物_LPG),MATCH(AY249,【参考】排出係数!$AI$4:$AI$671,1),1,BE249):INDEX((係数_バス貨物_ガソリン,係数_バス貨物_CNG,係数_バス貨物_軽油,係数_バス貨物_メタノール,係数_バス貨物_LPG),MATCH(AY249+1,【参考】排出係数!$AI$4:$AI$671,1)-1,5,BE249),5,FALSE)),IF(AND(BE249=3,LEFT(BF249,1)="1"),0.055,VLOOKUP(AU249,INDEX((係数_乗用_ガソリン,係数_乗用_CNG,係数_乗用_軽油,係数_乗用_メタノール,係数_乗用_LPG),1,1,BE249):INDEX((係数_乗用_ガソリン,係数_乗用_CNG,係数_乗用_軽油,係数_乗用_メタノール,係数_乗用_LPG),125,5,BE249),5,FALSE)))))</f>
        <v/>
      </c>
      <c r="AN249" s="461" t="str">
        <f t="shared" si="127"/>
        <v/>
      </c>
      <c r="AO249" s="462" t="str">
        <f t="shared" si="128"/>
        <v/>
      </c>
      <c r="AP249" s="463" t="str">
        <f t="shared" si="129"/>
        <v/>
      </c>
      <c r="AQ249" s="464"/>
      <c r="AR249" s="619"/>
      <c r="AS249" s="465" t="str">
        <f t="shared" si="108"/>
        <v/>
      </c>
      <c r="AT249" s="465" t="str">
        <f t="shared" si="109"/>
        <v/>
      </c>
      <c r="AU249" s="466" t="str">
        <f t="shared" si="110"/>
        <v/>
      </c>
      <c r="AV249" s="467" t="str">
        <f t="shared" si="111"/>
        <v/>
      </c>
      <c r="AW249" s="467" t="str">
        <f t="shared" si="112"/>
        <v/>
      </c>
      <c r="AX249" s="467" t="str">
        <f t="shared" si="113"/>
        <v/>
      </c>
      <c r="AY249" s="467" t="str">
        <f t="shared" si="114"/>
        <v/>
      </c>
      <c r="AZ249" s="467" t="str">
        <f t="shared" si="115"/>
        <v/>
      </c>
      <c r="BA249" s="468" t="str">
        <f>IF(AS249="","",IF(OR(AU249="",AU249="-"),"－",IF(OR(AZ249=8,AZ249=9),"",IF(OR(AW249=3,AW249=4,AW249=5,AW249=6),VLOOKUP(AU249,INDEX((係数_バス貨物_ガソリン,係数_バス貨物_CNG,係数_バス貨物_軽油,係数_バス貨物_メタノール,係数_バス貨物_LPG),MATCH(AY249,【参考】排出係数!$AI$4:$AI$671,1),1,BE249):INDEX((係数_バス貨物_ガソリン,係数_バス貨物_CNG,係数_バス貨物_軽油,係数_バス貨物_メタノール,係数_バス貨物_LPG),MATCH(AY249+1,【参考】排出係数!$AI$4:$AI$671,1)-1,5,BE249),2,FALSE),IF(OR(AW249=1,AW249=2),VLOOKUP(AU249,INDEX((係数_乗用_ガソリン,係数_乗用_CNG,係数_乗用_軽油,係数_乗用_メタノール,係数_乗用_LPG),1,1,BE249):INDEX((係数_乗用_ガソリン,係数_乗用_CNG,係数_乗用_軽油,係数_乗用_メタノール,係数_乗用_LPG),125,5,BE249),2,FALSE))))))</f>
        <v/>
      </c>
      <c r="BB249" s="468" t="str">
        <f>IF(T249="","",IF(OR(AU249="",AU249="-"),"－",IF(OR(AZ249=8,AZ249=9),"",IF(OR(AW249=3,AW249=4,AW249=5,AW249=6),VLOOKUP(AU249,INDEX((係数_バス貨物_ガソリン,係数_バス貨物_CNG,係数_バス貨物_軽油,係数_バス貨物_メタノール,係数_バス貨物_LPG),MATCH(AY249,【参考】排出係数!$AI$4:$AI$671,1),1,BE249):INDEX((係数_バス貨物_ガソリン,係数_バス貨物_CNG,係数_バス貨物_軽油,係数_バス貨物_メタノール,係数_バス貨物_LPG),MATCH(AY249+1,【参考】排出係数!$AI$4:$AI$671,1)-1,5,BE249),3,FALSE),IF(OR(AW249=1,AW249=2),VLOOKUP(AU249,INDEX((係数_乗用_ガソリン,係数_乗用_CNG,係数_乗用_軽油,係数_乗用_メタノール,係数_乗用_LPG),1,1,BE249):INDEX((係数_乗用_ガソリン,係数_乗用_CNG,係数_乗用_軽油,係数_乗用_メタノール,係数_乗用_LPG),125,5,BE249),3,FALSE))))))</f>
        <v/>
      </c>
      <c r="BC249" s="467" t="str">
        <f t="shared" si="116"/>
        <v/>
      </c>
      <c r="BD249" s="567" t="str">
        <f t="shared" si="117"/>
        <v/>
      </c>
      <c r="BE249" s="467" t="str">
        <f t="shared" si="118"/>
        <v/>
      </c>
      <c r="BF249" s="469" t="str">
        <f t="shared" ca="1" si="119"/>
        <v/>
      </c>
      <c r="BG249" s="469" t="str">
        <f t="shared" ca="1" si="120"/>
        <v/>
      </c>
      <c r="BH249" s="467" t="str">
        <f t="shared" si="121"/>
        <v/>
      </c>
      <c r="BI249" s="467" t="str">
        <f t="shared" ca="1" si="122"/>
        <v/>
      </c>
      <c r="BJ249" s="469" t="str">
        <f t="shared" si="123"/>
        <v/>
      </c>
      <c r="BK249" s="470" t="str">
        <f t="shared" ref="BK249:BK312" si="141">IF(AS249="","",VLOOKUP(T249,車両の増減,2,FALSE))</f>
        <v/>
      </c>
      <c r="BL249" s="775" t="str">
        <f t="shared" si="124"/>
        <v/>
      </c>
      <c r="BM249" s="775" t="str">
        <f t="shared" si="125"/>
        <v/>
      </c>
    </row>
    <row r="250" spans="1:65">
      <c r="A250" s="473">
        <v>194</v>
      </c>
      <c r="B250" s="132"/>
      <c r="C250" s="332"/>
      <c r="D250" s="333"/>
      <c r="E250" s="333"/>
      <c r="F250" s="334"/>
      <c r="G250" s="337"/>
      <c r="H250" s="131"/>
      <c r="I250" s="337"/>
      <c r="J250" s="131"/>
      <c r="K250" s="458" t="str">
        <f t="shared" si="130"/>
        <v/>
      </c>
      <c r="L250" s="458">
        <f t="shared" ref="L250:L313" si="142">IF(G250&gt;0,DATE((G250),(H250+1),0),0)</f>
        <v>0</v>
      </c>
      <c r="M250" s="458">
        <f t="shared" ref="M250:M313" si="143">IF(I250&gt;0,DATE((I250),(J250+1),0),0)</f>
        <v>0</v>
      </c>
      <c r="N250" s="459" t="str">
        <f t="shared" si="131"/>
        <v/>
      </c>
      <c r="O250" s="459" t="str">
        <f t="shared" si="132"/>
        <v/>
      </c>
      <c r="P250" s="459" t="str">
        <f t="shared" si="133"/>
        <v/>
      </c>
      <c r="Q250" s="459" t="str">
        <f t="shared" si="134"/>
        <v/>
      </c>
      <c r="R250" s="459" t="str">
        <f t="shared" si="135"/>
        <v/>
      </c>
      <c r="S250" s="459" t="str">
        <f t="shared" si="136"/>
        <v/>
      </c>
      <c r="T250" s="566" t="str">
        <f t="shared" ref="T250:T313" si="144">N250&amp;O250&amp;P250&amp;Q250&amp;R250&amp;S250</f>
        <v/>
      </c>
      <c r="U250" s="702"/>
      <c r="V250" s="132"/>
      <c r="W250" s="133"/>
      <c r="X250" s="134"/>
      <c r="Y250" s="135"/>
      <c r="Z250" s="137"/>
      <c r="AA250" s="136"/>
      <c r="AB250" s="566" t="str">
        <f t="shared" si="137"/>
        <v/>
      </c>
      <c r="AC250" s="568" t="str">
        <f t="shared" ref="AC250:AC313" si="145">IF(AS250="","",IF((BA250="")+(BA250="－"),IF((BB250="")+(BB250=0),"－",BB250),IF((BA250="PM☆☆☆")+(BA250="☆及びPM☆☆☆")+(BA250="☆☆及びPM☆☆☆")+(BA250="☆☆☆及びPM☆☆☆"),"PM☆☆☆",IF((BA250="PM☆☆☆☆")+(BA250="☆及びPM☆☆☆☆")+(BA250="☆☆及びPM☆☆☆☆")+(BA250="☆☆☆及びPM☆☆☆☆"),"PM☆☆☆☆",IF((BA250="新☆")+(BA250="新NOx☆")+(BA250="新PM☆"),"新☆（新長期）",BA250)))))</f>
        <v/>
      </c>
      <c r="AD250" s="137"/>
      <c r="AE250" s="137"/>
      <c r="AF250" s="138"/>
      <c r="AG250" s="138"/>
      <c r="AH250" s="592" t="str">
        <f t="shared" si="138"/>
        <v/>
      </c>
      <c r="AI250" s="592" t="str">
        <f t="shared" si="139"/>
        <v/>
      </c>
      <c r="AJ250" s="592" t="str">
        <f t="shared" si="140"/>
        <v/>
      </c>
      <c r="AK250" s="460" t="str">
        <f>IF(AU250="","",IF(OR(AZ250=8,AZ250=9),0,IF(OR(AW250=3,AW250=4,AW250=5,AW250=6),IF(LEFT(BF250,1)="1",INDEX(係数_NOX・PM低減,MATCH(AY250,【参考】排出係数!$AI$801:$AI$804,1),1),VLOOKUP(AU250,INDEX((係数_バス貨物_ガソリン,係数_バス貨物_CNG,係数_バス貨物_軽油,係数_バス貨物_メタノール,係数_バス貨物_LPG),MATCH(AY250,【参考】排出係数!$AI$4:$AI$671,1),1,BE250):INDEX((係数_バス貨物_ガソリン,係数_バス貨物_CNG,係数_バス貨物_軽油,係数_バス貨物_メタノール,係数_バス貨物_LPG),MATCH(AY250+1,【参考】排出係数!$AI$4:$AI$671,1)-1,5,BE250),4,FALSE)),IF(AND(BE250=3,LEFT(BF250,1)="1"),0.48,VLOOKUP(AU250,INDEX((係数_乗用_ガソリン,係数_乗用_CNG,係数_乗用_軽油,係数_乗用_メタノール,係数_乗用_LPG),1,1,BE250):INDEX((係数_乗用_ガソリン,係数_乗用_CNG,係数_乗用_軽油,係数_乗用_メタノール,係数_乗用_LPG),125,5,BE250),4,FALSE)))))</f>
        <v/>
      </c>
      <c r="AL250" s="461" t="str">
        <f t="shared" si="126"/>
        <v/>
      </c>
      <c r="AM250" s="460" t="str">
        <f>IF(AU250="","",IF(OR(AZ250=8,AZ250=9),0,IF(OR(AW250=3,AW250=4,AW250=5,AW250=6),IF(LEFT(BH250,1)="1",INDEX(係数_PM低減,MATCH(AY250,【参考】排出係数!$AI$801:$AI$804,1),MATCH(BI250,【参考】排出係数!$AL$798:$AO$798,1)),VLOOKUP(AU250,INDEX((係数_バス貨物_ガソリン,係数_バス貨物_CNG,係数_バス貨物_軽油,係数_バス貨物_メタノール,係数_バス貨物_LPG),MATCH(AY250,【参考】排出係数!$AI$4:$AI$671,1),1,BE250):INDEX((係数_バス貨物_ガソリン,係数_バス貨物_CNG,係数_バス貨物_軽油,係数_バス貨物_メタノール,係数_バス貨物_LPG),MATCH(AY250+1,【参考】排出係数!$AI$4:$AI$671,1)-1,5,BE250),5,FALSE)),IF(AND(BE250=3,LEFT(BF250,1)="1"),0.055,VLOOKUP(AU250,INDEX((係数_乗用_ガソリン,係数_乗用_CNG,係数_乗用_軽油,係数_乗用_メタノール,係数_乗用_LPG),1,1,BE250):INDEX((係数_乗用_ガソリン,係数_乗用_CNG,係数_乗用_軽油,係数_乗用_メタノール,係数_乗用_LPG),125,5,BE250),5,FALSE)))))</f>
        <v/>
      </c>
      <c r="AN250" s="461" t="str">
        <f t="shared" si="127"/>
        <v/>
      </c>
      <c r="AO250" s="462" t="str">
        <f t="shared" si="128"/>
        <v/>
      </c>
      <c r="AP250" s="463" t="str">
        <f t="shared" si="129"/>
        <v/>
      </c>
      <c r="AQ250" s="464"/>
      <c r="AR250" s="619"/>
      <c r="AS250" s="465" t="str">
        <f t="shared" ref="AS250:AS313" si="146">IF(OR(T250="(減車済)",T250=""),"",1)</f>
        <v/>
      </c>
      <c r="AT250" s="465" t="str">
        <f t="shared" ref="AT250:AT313" si="147">IF(OR(T250="継続",T250="新規"),1,"")</f>
        <v/>
      </c>
      <c r="AU250" s="466" t="str">
        <f t="shared" ref="AU250:AU313" si="148">IF(AS250="","",UPPER(ASC(X250)))</f>
        <v/>
      </c>
      <c r="AV250" s="467" t="str">
        <f t="shared" ref="AV250:AV313" si="149">IF(AS250="","",IF(V250="","",IF(V250="普通",1,IF(V250="小型",2,0))))</f>
        <v/>
      </c>
      <c r="AW250" s="467" t="str">
        <f t="shared" ref="AW250:AW313" si="150">IF(AS250="","",IF(W250="","",VLOOKUP(W250,用途,2,FALSE)))</f>
        <v/>
      </c>
      <c r="AX250" s="467" t="str">
        <f t="shared" ref="AX250:AX313" si="151">IF(AS250="","",IF(Y250="","",IF(Y250&lt;=10,1,IF(Y250&lt;30,2,IF(Y250&gt;=30,3,0)))))</f>
        <v/>
      </c>
      <c r="AY250" s="467" t="str">
        <f t="shared" ref="AY250:AY313" si="152">IF(AS250="","",IF(Z250="","",IF(Z250&lt;=1.7*1000,1,IF(Z250&lt;=2.5*1000,2,IF(Z250&lt;=3.5*1000,3,IF(Z250&lt;8*1000,4,IF(Z250&gt;=8*1000,5,"")))))))</f>
        <v/>
      </c>
      <c r="AZ250" s="467" t="str">
        <f t="shared" ref="AZ250:AZ313" si="153">IF(AS250="","",IF(AA250="","",VLOOKUP(AA250,燃料の種類,2,FALSE)))</f>
        <v/>
      </c>
      <c r="BA250" s="468" t="str">
        <f>IF(AS250="","",IF(OR(AU250="",AU250="-"),"－",IF(OR(AZ250=8,AZ250=9),"",IF(OR(AW250=3,AW250=4,AW250=5,AW250=6),VLOOKUP(AU250,INDEX((係数_バス貨物_ガソリン,係数_バス貨物_CNG,係数_バス貨物_軽油,係数_バス貨物_メタノール,係数_バス貨物_LPG),MATCH(AY250,【参考】排出係数!$AI$4:$AI$671,1),1,BE250):INDEX((係数_バス貨物_ガソリン,係数_バス貨物_CNG,係数_バス貨物_軽油,係数_バス貨物_メタノール,係数_バス貨物_LPG),MATCH(AY250+1,【参考】排出係数!$AI$4:$AI$671,1)-1,5,BE250),2,FALSE),IF(OR(AW250=1,AW250=2),VLOOKUP(AU250,INDEX((係数_乗用_ガソリン,係数_乗用_CNG,係数_乗用_軽油,係数_乗用_メタノール,係数_乗用_LPG),1,1,BE250):INDEX((係数_乗用_ガソリン,係数_乗用_CNG,係数_乗用_軽油,係数_乗用_メタノール,係数_乗用_LPG),125,5,BE250),2,FALSE))))))</f>
        <v/>
      </c>
      <c r="BB250" s="468" t="str">
        <f>IF(T250="","",IF(OR(AU250="",AU250="-"),"－",IF(OR(AZ250=8,AZ250=9),"",IF(OR(AW250=3,AW250=4,AW250=5,AW250=6),VLOOKUP(AU250,INDEX((係数_バス貨物_ガソリン,係数_バス貨物_CNG,係数_バス貨物_軽油,係数_バス貨物_メタノール,係数_バス貨物_LPG),MATCH(AY250,【参考】排出係数!$AI$4:$AI$671,1),1,BE250):INDEX((係数_バス貨物_ガソリン,係数_バス貨物_CNG,係数_バス貨物_軽油,係数_バス貨物_メタノール,係数_バス貨物_LPG),MATCH(AY250+1,【参考】排出係数!$AI$4:$AI$671,1)-1,5,BE250),3,FALSE),IF(OR(AW250=1,AW250=2),VLOOKUP(AU250,INDEX((係数_乗用_ガソリン,係数_乗用_CNG,係数_乗用_軽油,係数_乗用_メタノール,係数_乗用_LPG),1,1,BE250):INDEX((係数_乗用_ガソリン,係数_乗用_CNG,係数_乗用_軽油,係数_乗用_メタノール,係数_乗用_LPG),125,5,BE250),3,FALSE))))))</f>
        <v/>
      </c>
      <c r="BC250" s="467" t="str">
        <f t="shared" ref="BC250:BC313" si="154">IF((AS250="")+(AC250=""),"",IF(燃料区分1=4,VLOOKUP(BB250,排ガス低減レベル,2,FALSE),VLOOKUP(AC250,排ガス低減レベル,2,FALSE)))</f>
        <v/>
      </c>
      <c r="BD250" s="567" t="str">
        <f t="shared" ref="BD250:BD313" si="155">IF(AT250="","",IF(AW250=3,B250&amp;"-"&amp;SUM(AW250*100,AX250*10,AY250)&amp;"A",IF(OR(AW250=2,AW250=4,AW250=6),B250&amp;"-"&amp;AY250*10&amp;"A",IF(AW250=1,B250&amp;"-"&amp;AW250&amp;"A",IF(AW250=5,B250&amp;"-"&amp;SUM(AW250*100,AV250*10,AY250)&amp;"A","")))))</f>
        <v/>
      </c>
      <c r="BE250" s="467" t="str">
        <f t="shared" ref="BE250:BE313" si="156">IF(OR(AZ250=1,AZ250=2,AZ250=11),1,IF(AZ250=6,2,IF(OR(AZ250=4,AZ250=5,AZ250=10),3,IF(AZ250=7,4,IF(AZ250=3,5, IF(OR(AZ250=8,AZ250=9),6,""))))))</f>
        <v/>
      </c>
      <c r="BF250" s="469" t="str">
        <f t="shared" ref="BF250:BF313" ca="1" si="157">(IF(OR(AZ250=4,AZ250=5),OFFSET($CH$1,MATCH($AF250,$CG$2:$CG$4,0),0)&amp;BK250,""))</f>
        <v/>
      </c>
      <c r="BG250" s="469" t="str">
        <f t="shared" ref="BG250:BG313" ca="1" si="158">(IF(OR(AZ250=4,AZ250=5),OFFSET($CJ$1,MATCH($AG250,$CI$2:$CI$5,0),0)&amp;BK250,""))</f>
        <v/>
      </c>
      <c r="BH250" s="467" t="str">
        <f t="shared" ref="BH250:BH313" si="159">IF(OR(AZ250=4,AZ250=5),IF(OR(LEFT(BF250,1)="1",LEFT(BG250,1)="2",LEFT(BG250,1)="3"),1,2)&amp;BK250,"")</f>
        <v/>
      </c>
      <c r="BI250" s="467" t="str">
        <f t="shared" ref="BI250:BI313" ca="1" si="160">IF(LEFT(BF250)="1",1,IF(LEFT(BG250,1)="2",2,IF(LEFT(BG250,1)="3",3,"")))</f>
        <v/>
      </c>
      <c r="BJ250" s="469" t="str">
        <f t="shared" ref="BJ250:BJ313" si="161">IF(AT250="","",B250&amp;"-"&amp;AZ250)</f>
        <v/>
      </c>
      <c r="BK250" s="470" t="str">
        <f t="shared" si="141"/>
        <v/>
      </c>
      <c r="BL250" s="775" t="str">
        <f t="shared" ref="BL250:BL313" si="162">IF(AND(OR($T250="新規",$T250="継続"),ISBLANK($AD250)),1,"")</f>
        <v/>
      </c>
      <c r="BM250" s="775" t="str">
        <f t="shared" ref="BM250:BM313" si="163">IF(AND(OR($T250="新規",$T250="継続"),ISBLANK($AE250)),1,"")</f>
        <v/>
      </c>
    </row>
    <row r="251" spans="1:65">
      <c r="A251" s="473">
        <v>195</v>
      </c>
      <c r="B251" s="132"/>
      <c r="C251" s="332"/>
      <c r="D251" s="333"/>
      <c r="E251" s="333"/>
      <c r="F251" s="334"/>
      <c r="G251" s="337"/>
      <c r="H251" s="131"/>
      <c r="I251" s="337"/>
      <c r="J251" s="131"/>
      <c r="K251" s="458" t="str">
        <f t="shared" si="130"/>
        <v/>
      </c>
      <c r="L251" s="458">
        <f t="shared" si="142"/>
        <v>0</v>
      </c>
      <c r="M251" s="458">
        <f t="shared" si="143"/>
        <v>0</v>
      </c>
      <c r="N251" s="459" t="str">
        <f t="shared" si="131"/>
        <v/>
      </c>
      <c r="O251" s="459" t="str">
        <f t="shared" si="132"/>
        <v/>
      </c>
      <c r="P251" s="459" t="str">
        <f t="shared" si="133"/>
        <v/>
      </c>
      <c r="Q251" s="459" t="str">
        <f t="shared" si="134"/>
        <v/>
      </c>
      <c r="R251" s="459" t="str">
        <f t="shared" si="135"/>
        <v/>
      </c>
      <c r="S251" s="459" t="str">
        <f t="shared" si="136"/>
        <v/>
      </c>
      <c r="T251" s="566" t="str">
        <f t="shared" si="144"/>
        <v/>
      </c>
      <c r="U251" s="702"/>
      <c r="V251" s="132"/>
      <c r="W251" s="133"/>
      <c r="X251" s="134"/>
      <c r="Y251" s="135"/>
      <c r="Z251" s="137"/>
      <c r="AA251" s="136"/>
      <c r="AB251" s="566" t="str">
        <f t="shared" si="137"/>
        <v/>
      </c>
      <c r="AC251" s="568" t="str">
        <f t="shared" si="145"/>
        <v/>
      </c>
      <c r="AD251" s="137"/>
      <c r="AE251" s="137"/>
      <c r="AF251" s="138"/>
      <c r="AG251" s="138"/>
      <c r="AH251" s="592" t="str">
        <f t="shared" si="138"/>
        <v/>
      </c>
      <c r="AI251" s="592" t="str">
        <f t="shared" si="139"/>
        <v/>
      </c>
      <c r="AJ251" s="592" t="str">
        <f t="shared" si="140"/>
        <v/>
      </c>
      <c r="AK251" s="460" t="str">
        <f>IF(AU251="","",IF(OR(AZ251=8,AZ251=9),0,IF(OR(AW251=3,AW251=4,AW251=5,AW251=6),IF(LEFT(BF251,1)="1",INDEX(係数_NOX・PM低減,MATCH(AY251,【参考】排出係数!$AI$801:$AI$804,1),1),VLOOKUP(AU251,INDEX((係数_バス貨物_ガソリン,係数_バス貨物_CNG,係数_バス貨物_軽油,係数_バス貨物_メタノール,係数_バス貨物_LPG),MATCH(AY251,【参考】排出係数!$AI$4:$AI$671,1),1,BE251):INDEX((係数_バス貨物_ガソリン,係数_バス貨物_CNG,係数_バス貨物_軽油,係数_バス貨物_メタノール,係数_バス貨物_LPG),MATCH(AY251+1,【参考】排出係数!$AI$4:$AI$671,1)-1,5,BE251),4,FALSE)),IF(AND(BE251=3,LEFT(BF251,1)="1"),0.48,VLOOKUP(AU251,INDEX((係数_乗用_ガソリン,係数_乗用_CNG,係数_乗用_軽油,係数_乗用_メタノール,係数_乗用_LPG),1,1,BE251):INDEX((係数_乗用_ガソリン,係数_乗用_CNG,係数_乗用_軽油,係数_乗用_メタノール,係数_乗用_LPG),125,5,BE251),4,FALSE)))))</f>
        <v/>
      </c>
      <c r="AL251" s="461" t="str">
        <f t="shared" si="126"/>
        <v/>
      </c>
      <c r="AM251" s="460" t="str">
        <f>IF(AU251="","",IF(OR(AZ251=8,AZ251=9),0,IF(OR(AW251=3,AW251=4,AW251=5,AW251=6),IF(LEFT(BH251,1)="1",INDEX(係数_PM低減,MATCH(AY251,【参考】排出係数!$AI$801:$AI$804,1),MATCH(BI251,【参考】排出係数!$AL$798:$AO$798,1)),VLOOKUP(AU251,INDEX((係数_バス貨物_ガソリン,係数_バス貨物_CNG,係数_バス貨物_軽油,係数_バス貨物_メタノール,係数_バス貨物_LPG),MATCH(AY251,【参考】排出係数!$AI$4:$AI$671,1),1,BE251):INDEX((係数_バス貨物_ガソリン,係数_バス貨物_CNG,係数_バス貨物_軽油,係数_バス貨物_メタノール,係数_バス貨物_LPG),MATCH(AY251+1,【参考】排出係数!$AI$4:$AI$671,1)-1,5,BE251),5,FALSE)),IF(AND(BE251=3,LEFT(BF251,1)="1"),0.055,VLOOKUP(AU251,INDEX((係数_乗用_ガソリン,係数_乗用_CNG,係数_乗用_軽油,係数_乗用_メタノール,係数_乗用_LPG),1,1,BE251):INDEX((係数_乗用_ガソリン,係数_乗用_CNG,係数_乗用_軽油,係数_乗用_メタノール,係数_乗用_LPG),125,5,BE251),5,FALSE)))))</f>
        <v/>
      </c>
      <c r="AN251" s="461" t="str">
        <f t="shared" si="127"/>
        <v/>
      </c>
      <c r="AO251" s="462" t="str">
        <f t="shared" si="128"/>
        <v/>
      </c>
      <c r="AP251" s="463" t="str">
        <f t="shared" si="129"/>
        <v/>
      </c>
      <c r="AQ251" s="464"/>
      <c r="AR251" s="619"/>
      <c r="AS251" s="465" t="str">
        <f t="shared" si="146"/>
        <v/>
      </c>
      <c r="AT251" s="465" t="str">
        <f t="shared" si="147"/>
        <v/>
      </c>
      <c r="AU251" s="466" t="str">
        <f t="shared" si="148"/>
        <v/>
      </c>
      <c r="AV251" s="467" t="str">
        <f t="shared" si="149"/>
        <v/>
      </c>
      <c r="AW251" s="467" t="str">
        <f t="shared" si="150"/>
        <v/>
      </c>
      <c r="AX251" s="467" t="str">
        <f t="shared" si="151"/>
        <v/>
      </c>
      <c r="AY251" s="467" t="str">
        <f t="shared" si="152"/>
        <v/>
      </c>
      <c r="AZ251" s="467" t="str">
        <f t="shared" si="153"/>
        <v/>
      </c>
      <c r="BA251" s="468" t="str">
        <f>IF(AS251="","",IF(OR(AU251="",AU251="-"),"－",IF(OR(AZ251=8,AZ251=9),"",IF(OR(AW251=3,AW251=4,AW251=5,AW251=6),VLOOKUP(AU251,INDEX((係数_バス貨物_ガソリン,係数_バス貨物_CNG,係数_バス貨物_軽油,係数_バス貨物_メタノール,係数_バス貨物_LPG),MATCH(AY251,【参考】排出係数!$AI$4:$AI$671,1),1,BE251):INDEX((係数_バス貨物_ガソリン,係数_バス貨物_CNG,係数_バス貨物_軽油,係数_バス貨物_メタノール,係数_バス貨物_LPG),MATCH(AY251+1,【参考】排出係数!$AI$4:$AI$671,1)-1,5,BE251),2,FALSE),IF(OR(AW251=1,AW251=2),VLOOKUP(AU251,INDEX((係数_乗用_ガソリン,係数_乗用_CNG,係数_乗用_軽油,係数_乗用_メタノール,係数_乗用_LPG),1,1,BE251):INDEX((係数_乗用_ガソリン,係数_乗用_CNG,係数_乗用_軽油,係数_乗用_メタノール,係数_乗用_LPG),125,5,BE251),2,FALSE))))))</f>
        <v/>
      </c>
      <c r="BB251" s="468" t="str">
        <f>IF(T251="","",IF(OR(AU251="",AU251="-"),"－",IF(OR(AZ251=8,AZ251=9),"",IF(OR(AW251=3,AW251=4,AW251=5,AW251=6),VLOOKUP(AU251,INDEX((係数_バス貨物_ガソリン,係数_バス貨物_CNG,係数_バス貨物_軽油,係数_バス貨物_メタノール,係数_バス貨物_LPG),MATCH(AY251,【参考】排出係数!$AI$4:$AI$671,1),1,BE251):INDEX((係数_バス貨物_ガソリン,係数_バス貨物_CNG,係数_バス貨物_軽油,係数_バス貨物_メタノール,係数_バス貨物_LPG),MATCH(AY251+1,【参考】排出係数!$AI$4:$AI$671,1)-1,5,BE251),3,FALSE),IF(OR(AW251=1,AW251=2),VLOOKUP(AU251,INDEX((係数_乗用_ガソリン,係数_乗用_CNG,係数_乗用_軽油,係数_乗用_メタノール,係数_乗用_LPG),1,1,BE251):INDEX((係数_乗用_ガソリン,係数_乗用_CNG,係数_乗用_軽油,係数_乗用_メタノール,係数_乗用_LPG),125,5,BE251),3,FALSE))))))</f>
        <v/>
      </c>
      <c r="BC251" s="467" t="str">
        <f t="shared" si="154"/>
        <v/>
      </c>
      <c r="BD251" s="567" t="str">
        <f t="shared" si="155"/>
        <v/>
      </c>
      <c r="BE251" s="467" t="str">
        <f t="shared" si="156"/>
        <v/>
      </c>
      <c r="BF251" s="469" t="str">
        <f t="shared" ca="1" si="157"/>
        <v/>
      </c>
      <c r="BG251" s="469" t="str">
        <f t="shared" ca="1" si="158"/>
        <v/>
      </c>
      <c r="BH251" s="467" t="str">
        <f t="shared" si="159"/>
        <v/>
      </c>
      <c r="BI251" s="467" t="str">
        <f t="shared" ca="1" si="160"/>
        <v/>
      </c>
      <c r="BJ251" s="469" t="str">
        <f t="shared" si="161"/>
        <v/>
      </c>
      <c r="BK251" s="470" t="str">
        <f t="shared" si="141"/>
        <v/>
      </c>
      <c r="BL251" s="775" t="str">
        <f t="shared" si="162"/>
        <v/>
      </c>
      <c r="BM251" s="775" t="str">
        <f t="shared" si="163"/>
        <v/>
      </c>
    </row>
    <row r="252" spans="1:65">
      <c r="A252" s="473">
        <v>196</v>
      </c>
      <c r="B252" s="132"/>
      <c r="C252" s="332"/>
      <c r="D252" s="333"/>
      <c r="E252" s="333"/>
      <c r="F252" s="334"/>
      <c r="G252" s="337"/>
      <c r="H252" s="131"/>
      <c r="I252" s="337"/>
      <c r="J252" s="131"/>
      <c r="K252" s="458" t="str">
        <f t="shared" si="130"/>
        <v/>
      </c>
      <c r="L252" s="458">
        <f t="shared" si="142"/>
        <v>0</v>
      </c>
      <c r="M252" s="458">
        <f t="shared" si="143"/>
        <v>0</v>
      </c>
      <c r="N252" s="459" t="str">
        <f t="shared" si="131"/>
        <v/>
      </c>
      <c r="O252" s="459" t="str">
        <f t="shared" si="132"/>
        <v/>
      </c>
      <c r="P252" s="459" t="str">
        <f t="shared" si="133"/>
        <v/>
      </c>
      <c r="Q252" s="459" t="str">
        <f t="shared" si="134"/>
        <v/>
      </c>
      <c r="R252" s="459" t="str">
        <f t="shared" si="135"/>
        <v/>
      </c>
      <c r="S252" s="459" t="str">
        <f t="shared" si="136"/>
        <v/>
      </c>
      <c r="T252" s="566" t="str">
        <f t="shared" si="144"/>
        <v/>
      </c>
      <c r="U252" s="702"/>
      <c r="V252" s="132"/>
      <c r="W252" s="133"/>
      <c r="X252" s="134"/>
      <c r="Y252" s="135"/>
      <c r="Z252" s="137"/>
      <c r="AA252" s="136"/>
      <c r="AB252" s="566" t="str">
        <f t="shared" si="137"/>
        <v/>
      </c>
      <c r="AC252" s="568" t="str">
        <f t="shared" si="145"/>
        <v/>
      </c>
      <c r="AD252" s="137"/>
      <c r="AE252" s="137"/>
      <c r="AF252" s="138"/>
      <c r="AG252" s="138"/>
      <c r="AH252" s="592" t="str">
        <f t="shared" si="138"/>
        <v/>
      </c>
      <c r="AI252" s="592" t="str">
        <f t="shared" si="139"/>
        <v/>
      </c>
      <c r="AJ252" s="592" t="str">
        <f t="shared" si="140"/>
        <v/>
      </c>
      <c r="AK252" s="460" t="str">
        <f>IF(AU252="","",IF(OR(AZ252=8,AZ252=9),0,IF(OR(AW252=3,AW252=4,AW252=5,AW252=6),IF(LEFT(BF252,1)="1",INDEX(係数_NOX・PM低減,MATCH(AY252,【参考】排出係数!$AI$801:$AI$804,1),1),VLOOKUP(AU252,INDEX((係数_バス貨物_ガソリン,係数_バス貨物_CNG,係数_バス貨物_軽油,係数_バス貨物_メタノール,係数_バス貨物_LPG),MATCH(AY252,【参考】排出係数!$AI$4:$AI$671,1),1,BE252):INDEX((係数_バス貨物_ガソリン,係数_バス貨物_CNG,係数_バス貨物_軽油,係数_バス貨物_メタノール,係数_バス貨物_LPG),MATCH(AY252+1,【参考】排出係数!$AI$4:$AI$671,1)-1,5,BE252),4,FALSE)),IF(AND(BE252=3,LEFT(BF252,1)="1"),0.48,VLOOKUP(AU252,INDEX((係数_乗用_ガソリン,係数_乗用_CNG,係数_乗用_軽油,係数_乗用_メタノール,係数_乗用_LPG),1,1,BE252):INDEX((係数_乗用_ガソリン,係数_乗用_CNG,係数_乗用_軽油,係数_乗用_メタノール,係数_乗用_LPG),125,5,BE252),4,FALSE)))))</f>
        <v/>
      </c>
      <c r="AL252" s="461" t="str">
        <f t="shared" ref="AL252:AL315" si="164">IF(AU252="","",IF(Z252&lt;=3.5*1000,AD252*AK252/1000,IF(Z252&gt;3.5*1000,AD252*Z252*AK252/1000/1000)))</f>
        <v/>
      </c>
      <c r="AM252" s="460" t="str">
        <f>IF(AU252="","",IF(OR(AZ252=8,AZ252=9),0,IF(OR(AW252=3,AW252=4,AW252=5,AW252=6),IF(LEFT(BH252,1)="1",INDEX(係数_PM低減,MATCH(AY252,【参考】排出係数!$AI$801:$AI$804,1),MATCH(BI252,【参考】排出係数!$AL$798:$AO$798,1)),VLOOKUP(AU252,INDEX((係数_バス貨物_ガソリン,係数_バス貨物_CNG,係数_バス貨物_軽油,係数_バス貨物_メタノール,係数_バス貨物_LPG),MATCH(AY252,【参考】排出係数!$AI$4:$AI$671,1),1,BE252):INDEX((係数_バス貨物_ガソリン,係数_バス貨物_CNG,係数_バス貨物_軽油,係数_バス貨物_メタノール,係数_バス貨物_LPG),MATCH(AY252+1,【参考】排出係数!$AI$4:$AI$671,1)-1,5,BE252),5,FALSE)),IF(AND(BE252=3,LEFT(BF252,1)="1"),0.055,VLOOKUP(AU252,INDEX((係数_乗用_ガソリン,係数_乗用_CNG,係数_乗用_軽油,係数_乗用_メタノール,係数_乗用_LPG),1,1,BE252):INDEX((係数_乗用_ガソリン,係数_乗用_CNG,係数_乗用_軽油,係数_乗用_メタノール,係数_乗用_LPG),125,5,BE252),5,FALSE)))))</f>
        <v/>
      </c>
      <c r="AN252" s="461" t="str">
        <f t="shared" ref="AN252:AN315" si="165">IF(AU252="","",IF(Z252&lt;=3.5*1000,AD252*AM252/1000,IF(Z252&gt;3.5*1000,AD252*Z252*AM252/1000/1000)))</f>
        <v/>
      </c>
      <c r="AO252" s="462" t="str">
        <f t="shared" ref="AO252:AO315" si="166">IF(AU252="","",IF(Z252&lt;500,"車両重量",IF(OR(AZ252=8,AZ252=9),0,IF(OR(AZ252=1,AZ252=2,AZ252=11),2.32,IF(OR(AZ252=4,AZ252=5,AZ252=11),2.58,IF(AZ252=3,3,IF(AZ252=6,2.23,IF(AZ252=7,1.37,0))))))))</f>
        <v/>
      </c>
      <c r="AP252" s="463" t="str">
        <f t="shared" ref="AP252:AP315" si="167">IF(AU252="","",AE252*AO252/1000)</f>
        <v/>
      </c>
      <c r="AQ252" s="464"/>
      <c r="AR252" s="619"/>
      <c r="AS252" s="465" t="str">
        <f t="shared" si="146"/>
        <v/>
      </c>
      <c r="AT252" s="465" t="str">
        <f t="shared" si="147"/>
        <v/>
      </c>
      <c r="AU252" s="466" t="str">
        <f t="shared" si="148"/>
        <v/>
      </c>
      <c r="AV252" s="467" t="str">
        <f t="shared" si="149"/>
        <v/>
      </c>
      <c r="AW252" s="467" t="str">
        <f t="shared" si="150"/>
        <v/>
      </c>
      <c r="AX252" s="467" t="str">
        <f t="shared" si="151"/>
        <v/>
      </c>
      <c r="AY252" s="467" t="str">
        <f t="shared" si="152"/>
        <v/>
      </c>
      <c r="AZ252" s="467" t="str">
        <f t="shared" si="153"/>
        <v/>
      </c>
      <c r="BA252" s="468" t="str">
        <f>IF(AS252="","",IF(OR(AU252="",AU252="-"),"－",IF(OR(AZ252=8,AZ252=9),"",IF(OR(AW252=3,AW252=4,AW252=5,AW252=6),VLOOKUP(AU252,INDEX((係数_バス貨物_ガソリン,係数_バス貨物_CNG,係数_バス貨物_軽油,係数_バス貨物_メタノール,係数_バス貨物_LPG),MATCH(AY252,【参考】排出係数!$AI$4:$AI$671,1),1,BE252):INDEX((係数_バス貨物_ガソリン,係数_バス貨物_CNG,係数_バス貨物_軽油,係数_バス貨物_メタノール,係数_バス貨物_LPG),MATCH(AY252+1,【参考】排出係数!$AI$4:$AI$671,1)-1,5,BE252),2,FALSE),IF(OR(AW252=1,AW252=2),VLOOKUP(AU252,INDEX((係数_乗用_ガソリン,係数_乗用_CNG,係数_乗用_軽油,係数_乗用_メタノール,係数_乗用_LPG),1,1,BE252):INDEX((係数_乗用_ガソリン,係数_乗用_CNG,係数_乗用_軽油,係数_乗用_メタノール,係数_乗用_LPG),125,5,BE252),2,FALSE))))))</f>
        <v/>
      </c>
      <c r="BB252" s="468" t="str">
        <f>IF(T252="","",IF(OR(AU252="",AU252="-"),"－",IF(OR(AZ252=8,AZ252=9),"",IF(OR(AW252=3,AW252=4,AW252=5,AW252=6),VLOOKUP(AU252,INDEX((係数_バス貨物_ガソリン,係数_バス貨物_CNG,係数_バス貨物_軽油,係数_バス貨物_メタノール,係数_バス貨物_LPG),MATCH(AY252,【参考】排出係数!$AI$4:$AI$671,1),1,BE252):INDEX((係数_バス貨物_ガソリン,係数_バス貨物_CNG,係数_バス貨物_軽油,係数_バス貨物_メタノール,係数_バス貨物_LPG),MATCH(AY252+1,【参考】排出係数!$AI$4:$AI$671,1)-1,5,BE252),3,FALSE),IF(OR(AW252=1,AW252=2),VLOOKUP(AU252,INDEX((係数_乗用_ガソリン,係数_乗用_CNG,係数_乗用_軽油,係数_乗用_メタノール,係数_乗用_LPG),1,1,BE252):INDEX((係数_乗用_ガソリン,係数_乗用_CNG,係数_乗用_軽油,係数_乗用_メタノール,係数_乗用_LPG),125,5,BE252),3,FALSE))))))</f>
        <v/>
      </c>
      <c r="BC252" s="467" t="str">
        <f t="shared" si="154"/>
        <v/>
      </c>
      <c r="BD252" s="567" t="str">
        <f t="shared" si="155"/>
        <v/>
      </c>
      <c r="BE252" s="467" t="str">
        <f t="shared" si="156"/>
        <v/>
      </c>
      <c r="BF252" s="469" t="str">
        <f t="shared" ca="1" si="157"/>
        <v/>
      </c>
      <c r="BG252" s="469" t="str">
        <f t="shared" ca="1" si="158"/>
        <v/>
      </c>
      <c r="BH252" s="467" t="str">
        <f t="shared" si="159"/>
        <v/>
      </c>
      <c r="BI252" s="467" t="str">
        <f t="shared" ca="1" si="160"/>
        <v/>
      </c>
      <c r="BJ252" s="469" t="str">
        <f t="shared" si="161"/>
        <v/>
      </c>
      <c r="BK252" s="470" t="str">
        <f t="shared" si="141"/>
        <v/>
      </c>
      <c r="BL252" s="775" t="str">
        <f t="shared" si="162"/>
        <v/>
      </c>
      <c r="BM252" s="775" t="str">
        <f t="shared" si="163"/>
        <v/>
      </c>
    </row>
    <row r="253" spans="1:65">
      <c r="A253" s="473">
        <v>197</v>
      </c>
      <c r="B253" s="132"/>
      <c r="C253" s="332"/>
      <c r="D253" s="333"/>
      <c r="E253" s="333"/>
      <c r="F253" s="334"/>
      <c r="G253" s="337"/>
      <c r="H253" s="131"/>
      <c r="I253" s="337"/>
      <c r="J253" s="131"/>
      <c r="K253" s="458" t="str">
        <f t="shared" si="130"/>
        <v/>
      </c>
      <c r="L253" s="458">
        <f t="shared" si="142"/>
        <v>0</v>
      </c>
      <c r="M253" s="458">
        <f t="shared" si="143"/>
        <v>0</v>
      </c>
      <c r="N253" s="459" t="str">
        <f t="shared" si="131"/>
        <v/>
      </c>
      <c r="O253" s="459" t="str">
        <f t="shared" si="132"/>
        <v/>
      </c>
      <c r="P253" s="459" t="str">
        <f t="shared" si="133"/>
        <v/>
      </c>
      <c r="Q253" s="459" t="str">
        <f t="shared" si="134"/>
        <v/>
      </c>
      <c r="R253" s="459" t="str">
        <f t="shared" si="135"/>
        <v/>
      </c>
      <c r="S253" s="459" t="str">
        <f t="shared" si="136"/>
        <v/>
      </c>
      <c r="T253" s="566" t="str">
        <f t="shared" si="144"/>
        <v/>
      </c>
      <c r="U253" s="702"/>
      <c r="V253" s="132"/>
      <c r="W253" s="133"/>
      <c r="X253" s="134"/>
      <c r="Y253" s="135"/>
      <c r="Z253" s="137"/>
      <c r="AA253" s="136"/>
      <c r="AB253" s="566" t="str">
        <f t="shared" si="137"/>
        <v/>
      </c>
      <c r="AC253" s="568" t="str">
        <f t="shared" si="145"/>
        <v/>
      </c>
      <c r="AD253" s="137"/>
      <c r="AE253" s="137"/>
      <c r="AF253" s="138"/>
      <c r="AG253" s="138"/>
      <c r="AH253" s="592" t="str">
        <f t="shared" si="138"/>
        <v/>
      </c>
      <c r="AI253" s="592" t="str">
        <f t="shared" si="139"/>
        <v/>
      </c>
      <c r="AJ253" s="592" t="str">
        <f t="shared" si="140"/>
        <v/>
      </c>
      <c r="AK253" s="460" t="str">
        <f>IF(AU253="","",IF(OR(AZ253=8,AZ253=9),0,IF(OR(AW253=3,AW253=4,AW253=5,AW253=6),IF(LEFT(BF253,1)="1",INDEX(係数_NOX・PM低減,MATCH(AY253,【参考】排出係数!$AI$801:$AI$804,1),1),VLOOKUP(AU253,INDEX((係数_バス貨物_ガソリン,係数_バス貨物_CNG,係数_バス貨物_軽油,係数_バス貨物_メタノール,係数_バス貨物_LPG),MATCH(AY253,【参考】排出係数!$AI$4:$AI$671,1),1,BE253):INDEX((係数_バス貨物_ガソリン,係数_バス貨物_CNG,係数_バス貨物_軽油,係数_バス貨物_メタノール,係数_バス貨物_LPG),MATCH(AY253+1,【参考】排出係数!$AI$4:$AI$671,1)-1,5,BE253),4,FALSE)),IF(AND(BE253=3,LEFT(BF253,1)="1"),0.48,VLOOKUP(AU253,INDEX((係数_乗用_ガソリン,係数_乗用_CNG,係数_乗用_軽油,係数_乗用_メタノール,係数_乗用_LPG),1,1,BE253):INDEX((係数_乗用_ガソリン,係数_乗用_CNG,係数_乗用_軽油,係数_乗用_メタノール,係数_乗用_LPG),125,5,BE253),4,FALSE)))))</f>
        <v/>
      </c>
      <c r="AL253" s="461" t="str">
        <f t="shared" si="164"/>
        <v/>
      </c>
      <c r="AM253" s="460" t="str">
        <f>IF(AU253="","",IF(OR(AZ253=8,AZ253=9),0,IF(OR(AW253=3,AW253=4,AW253=5,AW253=6),IF(LEFT(BH253,1)="1",INDEX(係数_PM低減,MATCH(AY253,【参考】排出係数!$AI$801:$AI$804,1),MATCH(BI253,【参考】排出係数!$AL$798:$AO$798,1)),VLOOKUP(AU253,INDEX((係数_バス貨物_ガソリン,係数_バス貨物_CNG,係数_バス貨物_軽油,係数_バス貨物_メタノール,係数_バス貨物_LPG),MATCH(AY253,【参考】排出係数!$AI$4:$AI$671,1),1,BE253):INDEX((係数_バス貨物_ガソリン,係数_バス貨物_CNG,係数_バス貨物_軽油,係数_バス貨物_メタノール,係数_バス貨物_LPG),MATCH(AY253+1,【参考】排出係数!$AI$4:$AI$671,1)-1,5,BE253),5,FALSE)),IF(AND(BE253=3,LEFT(BF253,1)="1"),0.055,VLOOKUP(AU253,INDEX((係数_乗用_ガソリン,係数_乗用_CNG,係数_乗用_軽油,係数_乗用_メタノール,係数_乗用_LPG),1,1,BE253):INDEX((係数_乗用_ガソリン,係数_乗用_CNG,係数_乗用_軽油,係数_乗用_メタノール,係数_乗用_LPG),125,5,BE253),5,FALSE)))))</f>
        <v/>
      </c>
      <c r="AN253" s="461" t="str">
        <f t="shared" si="165"/>
        <v/>
      </c>
      <c r="AO253" s="462" t="str">
        <f t="shared" si="166"/>
        <v/>
      </c>
      <c r="AP253" s="463" t="str">
        <f t="shared" si="167"/>
        <v/>
      </c>
      <c r="AQ253" s="464"/>
      <c r="AR253" s="619"/>
      <c r="AS253" s="465" t="str">
        <f t="shared" si="146"/>
        <v/>
      </c>
      <c r="AT253" s="465" t="str">
        <f t="shared" si="147"/>
        <v/>
      </c>
      <c r="AU253" s="466" t="str">
        <f t="shared" si="148"/>
        <v/>
      </c>
      <c r="AV253" s="467" t="str">
        <f t="shared" si="149"/>
        <v/>
      </c>
      <c r="AW253" s="467" t="str">
        <f t="shared" si="150"/>
        <v/>
      </c>
      <c r="AX253" s="467" t="str">
        <f t="shared" si="151"/>
        <v/>
      </c>
      <c r="AY253" s="467" t="str">
        <f t="shared" si="152"/>
        <v/>
      </c>
      <c r="AZ253" s="467" t="str">
        <f t="shared" si="153"/>
        <v/>
      </c>
      <c r="BA253" s="468" t="str">
        <f>IF(AS253="","",IF(OR(AU253="",AU253="-"),"－",IF(OR(AZ253=8,AZ253=9),"",IF(OR(AW253=3,AW253=4,AW253=5,AW253=6),VLOOKUP(AU253,INDEX((係数_バス貨物_ガソリン,係数_バス貨物_CNG,係数_バス貨物_軽油,係数_バス貨物_メタノール,係数_バス貨物_LPG),MATCH(AY253,【参考】排出係数!$AI$4:$AI$671,1),1,BE253):INDEX((係数_バス貨物_ガソリン,係数_バス貨物_CNG,係数_バス貨物_軽油,係数_バス貨物_メタノール,係数_バス貨物_LPG),MATCH(AY253+1,【参考】排出係数!$AI$4:$AI$671,1)-1,5,BE253),2,FALSE),IF(OR(AW253=1,AW253=2),VLOOKUP(AU253,INDEX((係数_乗用_ガソリン,係数_乗用_CNG,係数_乗用_軽油,係数_乗用_メタノール,係数_乗用_LPG),1,1,BE253):INDEX((係数_乗用_ガソリン,係数_乗用_CNG,係数_乗用_軽油,係数_乗用_メタノール,係数_乗用_LPG),125,5,BE253),2,FALSE))))))</f>
        <v/>
      </c>
      <c r="BB253" s="468" t="str">
        <f>IF(T253="","",IF(OR(AU253="",AU253="-"),"－",IF(OR(AZ253=8,AZ253=9),"",IF(OR(AW253=3,AW253=4,AW253=5,AW253=6),VLOOKUP(AU253,INDEX((係数_バス貨物_ガソリン,係数_バス貨物_CNG,係数_バス貨物_軽油,係数_バス貨物_メタノール,係数_バス貨物_LPG),MATCH(AY253,【参考】排出係数!$AI$4:$AI$671,1),1,BE253):INDEX((係数_バス貨物_ガソリン,係数_バス貨物_CNG,係数_バス貨物_軽油,係数_バス貨物_メタノール,係数_バス貨物_LPG),MATCH(AY253+1,【参考】排出係数!$AI$4:$AI$671,1)-1,5,BE253),3,FALSE),IF(OR(AW253=1,AW253=2),VLOOKUP(AU253,INDEX((係数_乗用_ガソリン,係数_乗用_CNG,係数_乗用_軽油,係数_乗用_メタノール,係数_乗用_LPG),1,1,BE253):INDEX((係数_乗用_ガソリン,係数_乗用_CNG,係数_乗用_軽油,係数_乗用_メタノール,係数_乗用_LPG),125,5,BE253),3,FALSE))))))</f>
        <v/>
      </c>
      <c r="BC253" s="467" t="str">
        <f t="shared" si="154"/>
        <v/>
      </c>
      <c r="BD253" s="567" t="str">
        <f t="shared" si="155"/>
        <v/>
      </c>
      <c r="BE253" s="467" t="str">
        <f t="shared" si="156"/>
        <v/>
      </c>
      <c r="BF253" s="469" t="str">
        <f t="shared" ca="1" si="157"/>
        <v/>
      </c>
      <c r="BG253" s="469" t="str">
        <f t="shared" ca="1" si="158"/>
        <v/>
      </c>
      <c r="BH253" s="467" t="str">
        <f t="shared" si="159"/>
        <v/>
      </c>
      <c r="BI253" s="467" t="str">
        <f t="shared" ca="1" si="160"/>
        <v/>
      </c>
      <c r="BJ253" s="469" t="str">
        <f t="shared" si="161"/>
        <v/>
      </c>
      <c r="BK253" s="470" t="str">
        <f t="shared" si="141"/>
        <v/>
      </c>
      <c r="BL253" s="775" t="str">
        <f t="shared" si="162"/>
        <v/>
      </c>
      <c r="BM253" s="775" t="str">
        <f t="shared" si="163"/>
        <v/>
      </c>
    </row>
    <row r="254" spans="1:65">
      <c r="A254" s="473">
        <v>198</v>
      </c>
      <c r="B254" s="132"/>
      <c r="C254" s="332"/>
      <c r="D254" s="333"/>
      <c r="E254" s="333"/>
      <c r="F254" s="334"/>
      <c r="G254" s="337"/>
      <c r="H254" s="131"/>
      <c r="I254" s="337"/>
      <c r="J254" s="131"/>
      <c r="K254" s="458" t="str">
        <f t="shared" si="130"/>
        <v/>
      </c>
      <c r="L254" s="458">
        <f t="shared" si="142"/>
        <v>0</v>
      </c>
      <c r="M254" s="458">
        <f t="shared" si="143"/>
        <v>0</v>
      </c>
      <c r="N254" s="459" t="str">
        <f t="shared" si="131"/>
        <v/>
      </c>
      <c r="O254" s="459" t="str">
        <f t="shared" si="132"/>
        <v/>
      </c>
      <c r="P254" s="459" t="str">
        <f t="shared" si="133"/>
        <v/>
      </c>
      <c r="Q254" s="459" t="str">
        <f t="shared" si="134"/>
        <v/>
      </c>
      <c r="R254" s="459" t="str">
        <f t="shared" si="135"/>
        <v/>
      </c>
      <c r="S254" s="459" t="str">
        <f t="shared" si="136"/>
        <v/>
      </c>
      <c r="T254" s="566" t="str">
        <f t="shared" si="144"/>
        <v/>
      </c>
      <c r="U254" s="702"/>
      <c r="V254" s="132"/>
      <c r="W254" s="133"/>
      <c r="X254" s="134"/>
      <c r="Y254" s="135"/>
      <c r="Z254" s="137"/>
      <c r="AA254" s="136"/>
      <c r="AB254" s="566" t="str">
        <f t="shared" si="137"/>
        <v/>
      </c>
      <c r="AC254" s="568" t="str">
        <f t="shared" si="145"/>
        <v/>
      </c>
      <c r="AD254" s="137"/>
      <c r="AE254" s="137"/>
      <c r="AF254" s="138"/>
      <c r="AG254" s="138"/>
      <c r="AH254" s="592" t="str">
        <f t="shared" si="138"/>
        <v/>
      </c>
      <c r="AI254" s="592" t="str">
        <f t="shared" si="139"/>
        <v/>
      </c>
      <c r="AJ254" s="592" t="str">
        <f t="shared" si="140"/>
        <v/>
      </c>
      <c r="AK254" s="460" t="str">
        <f>IF(AU254="","",IF(OR(AZ254=8,AZ254=9),0,IF(OR(AW254=3,AW254=4,AW254=5,AW254=6),IF(LEFT(BF254,1)="1",INDEX(係数_NOX・PM低減,MATCH(AY254,【参考】排出係数!$AI$801:$AI$804,1),1),VLOOKUP(AU254,INDEX((係数_バス貨物_ガソリン,係数_バス貨物_CNG,係数_バス貨物_軽油,係数_バス貨物_メタノール,係数_バス貨物_LPG),MATCH(AY254,【参考】排出係数!$AI$4:$AI$671,1),1,BE254):INDEX((係数_バス貨物_ガソリン,係数_バス貨物_CNG,係数_バス貨物_軽油,係数_バス貨物_メタノール,係数_バス貨物_LPG),MATCH(AY254+1,【参考】排出係数!$AI$4:$AI$671,1)-1,5,BE254),4,FALSE)),IF(AND(BE254=3,LEFT(BF254,1)="1"),0.48,VLOOKUP(AU254,INDEX((係数_乗用_ガソリン,係数_乗用_CNG,係数_乗用_軽油,係数_乗用_メタノール,係数_乗用_LPG),1,1,BE254):INDEX((係数_乗用_ガソリン,係数_乗用_CNG,係数_乗用_軽油,係数_乗用_メタノール,係数_乗用_LPG),125,5,BE254),4,FALSE)))))</f>
        <v/>
      </c>
      <c r="AL254" s="461" t="str">
        <f t="shared" si="164"/>
        <v/>
      </c>
      <c r="AM254" s="460" t="str">
        <f>IF(AU254="","",IF(OR(AZ254=8,AZ254=9),0,IF(OR(AW254=3,AW254=4,AW254=5,AW254=6),IF(LEFT(BH254,1)="1",INDEX(係数_PM低減,MATCH(AY254,【参考】排出係数!$AI$801:$AI$804,1),MATCH(BI254,【参考】排出係数!$AL$798:$AO$798,1)),VLOOKUP(AU254,INDEX((係数_バス貨物_ガソリン,係数_バス貨物_CNG,係数_バス貨物_軽油,係数_バス貨物_メタノール,係数_バス貨物_LPG),MATCH(AY254,【参考】排出係数!$AI$4:$AI$671,1),1,BE254):INDEX((係数_バス貨物_ガソリン,係数_バス貨物_CNG,係数_バス貨物_軽油,係数_バス貨物_メタノール,係数_バス貨物_LPG),MATCH(AY254+1,【参考】排出係数!$AI$4:$AI$671,1)-1,5,BE254),5,FALSE)),IF(AND(BE254=3,LEFT(BF254,1)="1"),0.055,VLOOKUP(AU254,INDEX((係数_乗用_ガソリン,係数_乗用_CNG,係数_乗用_軽油,係数_乗用_メタノール,係数_乗用_LPG),1,1,BE254):INDEX((係数_乗用_ガソリン,係数_乗用_CNG,係数_乗用_軽油,係数_乗用_メタノール,係数_乗用_LPG),125,5,BE254),5,FALSE)))))</f>
        <v/>
      </c>
      <c r="AN254" s="461" t="str">
        <f t="shared" si="165"/>
        <v/>
      </c>
      <c r="AO254" s="462" t="str">
        <f t="shared" si="166"/>
        <v/>
      </c>
      <c r="AP254" s="463" t="str">
        <f t="shared" si="167"/>
        <v/>
      </c>
      <c r="AQ254" s="464"/>
      <c r="AR254" s="619"/>
      <c r="AS254" s="465" t="str">
        <f t="shared" si="146"/>
        <v/>
      </c>
      <c r="AT254" s="465" t="str">
        <f t="shared" si="147"/>
        <v/>
      </c>
      <c r="AU254" s="466" t="str">
        <f t="shared" si="148"/>
        <v/>
      </c>
      <c r="AV254" s="467" t="str">
        <f t="shared" si="149"/>
        <v/>
      </c>
      <c r="AW254" s="467" t="str">
        <f t="shared" si="150"/>
        <v/>
      </c>
      <c r="AX254" s="467" t="str">
        <f t="shared" si="151"/>
        <v/>
      </c>
      <c r="AY254" s="467" t="str">
        <f t="shared" si="152"/>
        <v/>
      </c>
      <c r="AZ254" s="467" t="str">
        <f t="shared" si="153"/>
        <v/>
      </c>
      <c r="BA254" s="468" t="str">
        <f>IF(AS254="","",IF(OR(AU254="",AU254="-"),"－",IF(OR(AZ254=8,AZ254=9),"",IF(OR(AW254=3,AW254=4,AW254=5,AW254=6),VLOOKUP(AU254,INDEX((係数_バス貨物_ガソリン,係数_バス貨物_CNG,係数_バス貨物_軽油,係数_バス貨物_メタノール,係数_バス貨物_LPG),MATCH(AY254,【参考】排出係数!$AI$4:$AI$671,1),1,BE254):INDEX((係数_バス貨物_ガソリン,係数_バス貨物_CNG,係数_バス貨物_軽油,係数_バス貨物_メタノール,係数_バス貨物_LPG),MATCH(AY254+1,【参考】排出係数!$AI$4:$AI$671,1)-1,5,BE254),2,FALSE),IF(OR(AW254=1,AW254=2),VLOOKUP(AU254,INDEX((係数_乗用_ガソリン,係数_乗用_CNG,係数_乗用_軽油,係数_乗用_メタノール,係数_乗用_LPG),1,1,BE254):INDEX((係数_乗用_ガソリン,係数_乗用_CNG,係数_乗用_軽油,係数_乗用_メタノール,係数_乗用_LPG),125,5,BE254),2,FALSE))))))</f>
        <v/>
      </c>
      <c r="BB254" s="468" t="str">
        <f>IF(T254="","",IF(OR(AU254="",AU254="-"),"－",IF(OR(AZ254=8,AZ254=9),"",IF(OR(AW254=3,AW254=4,AW254=5,AW254=6),VLOOKUP(AU254,INDEX((係数_バス貨物_ガソリン,係数_バス貨物_CNG,係数_バス貨物_軽油,係数_バス貨物_メタノール,係数_バス貨物_LPG),MATCH(AY254,【参考】排出係数!$AI$4:$AI$671,1),1,BE254):INDEX((係数_バス貨物_ガソリン,係数_バス貨物_CNG,係数_バス貨物_軽油,係数_バス貨物_メタノール,係数_バス貨物_LPG),MATCH(AY254+1,【参考】排出係数!$AI$4:$AI$671,1)-1,5,BE254),3,FALSE),IF(OR(AW254=1,AW254=2),VLOOKUP(AU254,INDEX((係数_乗用_ガソリン,係数_乗用_CNG,係数_乗用_軽油,係数_乗用_メタノール,係数_乗用_LPG),1,1,BE254):INDEX((係数_乗用_ガソリン,係数_乗用_CNG,係数_乗用_軽油,係数_乗用_メタノール,係数_乗用_LPG),125,5,BE254),3,FALSE))))))</f>
        <v/>
      </c>
      <c r="BC254" s="467" t="str">
        <f t="shared" si="154"/>
        <v/>
      </c>
      <c r="BD254" s="567" t="str">
        <f t="shared" si="155"/>
        <v/>
      </c>
      <c r="BE254" s="467" t="str">
        <f t="shared" si="156"/>
        <v/>
      </c>
      <c r="BF254" s="469" t="str">
        <f t="shared" ca="1" si="157"/>
        <v/>
      </c>
      <c r="BG254" s="469" t="str">
        <f t="shared" ca="1" si="158"/>
        <v/>
      </c>
      <c r="BH254" s="467" t="str">
        <f t="shared" si="159"/>
        <v/>
      </c>
      <c r="BI254" s="467" t="str">
        <f t="shared" ca="1" si="160"/>
        <v/>
      </c>
      <c r="BJ254" s="469" t="str">
        <f t="shared" si="161"/>
        <v/>
      </c>
      <c r="BK254" s="470" t="str">
        <f t="shared" si="141"/>
        <v/>
      </c>
      <c r="BL254" s="775" t="str">
        <f t="shared" si="162"/>
        <v/>
      </c>
      <c r="BM254" s="775" t="str">
        <f t="shared" si="163"/>
        <v/>
      </c>
    </row>
    <row r="255" spans="1:65">
      <c r="A255" s="473">
        <v>199</v>
      </c>
      <c r="B255" s="132"/>
      <c r="C255" s="332"/>
      <c r="D255" s="333"/>
      <c r="E255" s="333"/>
      <c r="F255" s="334"/>
      <c r="G255" s="337"/>
      <c r="H255" s="131"/>
      <c r="I255" s="337"/>
      <c r="J255" s="131"/>
      <c r="K255" s="458" t="str">
        <f t="shared" si="130"/>
        <v/>
      </c>
      <c r="L255" s="458">
        <f t="shared" si="142"/>
        <v>0</v>
      </c>
      <c r="M255" s="458">
        <f t="shared" si="143"/>
        <v>0</v>
      </c>
      <c r="N255" s="459" t="str">
        <f t="shared" si="131"/>
        <v/>
      </c>
      <c r="O255" s="459" t="str">
        <f t="shared" si="132"/>
        <v/>
      </c>
      <c r="P255" s="459" t="str">
        <f t="shared" si="133"/>
        <v/>
      </c>
      <c r="Q255" s="459" t="str">
        <f t="shared" si="134"/>
        <v/>
      </c>
      <c r="R255" s="459" t="str">
        <f t="shared" si="135"/>
        <v/>
      </c>
      <c r="S255" s="459" t="str">
        <f t="shared" si="136"/>
        <v/>
      </c>
      <c r="T255" s="566" t="str">
        <f t="shared" si="144"/>
        <v/>
      </c>
      <c r="U255" s="702"/>
      <c r="V255" s="132"/>
      <c r="W255" s="133"/>
      <c r="X255" s="134"/>
      <c r="Y255" s="135"/>
      <c r="Z255" s="137"/>
      <c r="AA255" s="136"/>
      <c r="AB255" s="566" t="str">
        <f t="shared" si="137"/>
        <v/>
      </c>
      <c r="AC255" s="568" t="str">
        <f t="shared" si="145"/>
        <v/>
      </c>
      <c r="AD255" s="137"/>
      <c r="AE255" s="137"/>
      <c r="AF255" s="138"/>
      <c r="AG255" s="138"/>
      <c r="AH255" s="592" t="str">
        <f t="shared" si="138"/>
        <v/>
      </c>
      <c r="AI255" s="592" t="str">
        <f t="shared" si="139"/>
        <v/>
      </c>
      <c r="AJ255" s="592" t="str">
        <f t="shared" si="140"/>
        <v/>
      </c>
      <c r="AK255" s="460" t="str">
        <f>IF(AU255="","",IF(OR(AZ255=8,AZ255=9),0,IF(OR(AW255=3,AW255=4,AW255=5,AW255=6),IF(LEFT(BF255,1)="1",INDEX(係数_NOX・PM低減,MATCH(AY255,【参考】排出係数!$AI$801:$AI$804,1),1),VLOOKUP(AU255,INDEX((係数_バス貨物_ガソリン,係数_バス貨物_CNG,係数_バス貨物_軽油,係数_バス貨物_メタノール,係数_バス貨物_LPG),MATCH(AY255,【参考】排出係数!$AI$4:$AI$671,1),1,BE255):INDEX((係数_バス貨物_ガソリン,係数_バス貨物_CNG,係数_バス貨物_軽油,係数_バス貨物_メタノール,係数_バス貨物_LPG),MATCH(AY255+1,【参考】排出係数!$AI$4:$AI$671,1)-1,5,BE255),4,FALSE)),IF(AND(BE255=3,LEFT(BF255,1)="1"),0.48,VLOOKUP(AU255,INDEX((係数_乗用_ガソリン,係数_乗用_CNG,係数_乗用_軽油,係数_乗用_メタノール,係数_乗用_LPG),1,1,BE255):INDEX((係数_乗用_ガソリン,係数_乗用_CNG,係数_乗用_軽油,係数_乗用_メタノール,係数_乗用_LPG),125,5,BE255),4,FALSE)))))</f>
        <v/>
      </c>
      <c r="AL255" s="461" t="str">
        <f t="shared" si="164"/>
        <v/>
      </c>
      <c r="AM255" s="460" t="str">
        <f>IF(AU255="","",IF(OR(AZ255=8,AZ255=9),0,IF(OR(AW255=3,AW255=4,AW255=5,AW255=6),IF(LEFT(BH255,1)="1",INDEX(係数_PM低減,MATCH(AY255,【参考】排出係数!$AI$801:$AI$804,1),MATCH(BI255,【参考】排出係数!$AL$798:$AO$798,1)),VLOOKUP(AU255,INDEX((係数_バス貨物_ガソリン,係数_バス貨物_CNG,係数_バス貨物_軽油,係数_バス貨物_メタノール,係数_バス貨物_LPG),MATCH(AY255,【参考】排出係数!$AI$4:$AI$671,1),1,BE255):INDEX((係数_バス貨物_ガソリン,係数_バス貨物_CNG,係数_バス貨物_軽油,係数_バス貨物_メタノール,係数_バス貨物_LPG),MATCH(AY255+1,【参考】排出係数!$AI$4:$AI$671,1)-1,5,BE255),5,FALSE)),IF(AND(BE255=3,LEFT(BF255,1)="1"),0.055,VLOOKUP(AU255,INDEX((係数_乗用_ガソリン,係数_乗用_CNG,係数_乗用_軽油,係数_乗用_メタノール,係数_乗用_LPG),1,1,BE255):INDEX((係数_乗用_ガソリン,係数_乗用_CNG,係数_乗用_軽油,係数_乗用_メタノール,係数_乗用_LPG),125,5,BE255),5,FALSE)))))</f>
        <v/>
      </c>
      <c r="AN255" s="461" t="str">
        <f t="shared" si="165"/>
        <v/>
      </c>
      <c r="AO255" s="462" t="str">
        <f t="shared" si="166"/>
        <v/>
      </c>
      <c r="AP255" s="463" t="str">
        <f t="shared" si="167"/>
        <v/>
      </c>
      <c r="AQ255" s="464"/>
      <c r="AR255" s="619"/>
      <c r="AS255" s="465" t="str">
        <f t="shared" si="146"/>
        <v/>
      </c>
      <c r="AT255" s="465" t="str">
        <f t="shared" si="147"/>
        <v/>
      </c>
      <c r="AU255" s="466" t="str">
        <f t="shared" si="148"/>
        <v/>
      </c>
      <c r="AV255" s="467" t="str">
        <f t="shared" si="149"/>
        <v/>
      </c>
      <c r="AW255" s="467" t="str">
        <f t="shared" si="150"/>
        <v/>
      </c>
      <c r="AX255" s="467" t="str">
        <f t="shared" si="151"/>
        <v/>
      </c>
      <c r="AY255" s="467" t="str">
        <f t="shared" si="152"/>
        <v/>
      </c>
      <c r="AZ255" s="467" t="str">
        <f t="shared" si="153"/>
        <v/>
      </c>
      <c r="BA255" s="468" t="str">
        <f>IF(AS255="","",IF(OR(AU255="",AU255="-"),"－",IF(OR(AZ255=8,AZ255=9),"",IF(OR(AW255=3,AW255=4,AW255=5,AW255=6),VLOOKUP(AU255,INDEX((係数_バス貨物_ガソリン,係数_バス貨物_CNG,係数_バス貨物_軽油,係数_バス貨物_メタノール,係数_バス貨物_LPG),MATCH(AY255,【参考】排出係数!$AI$4:$AI$671,1),1,BE255):INDEX((係数_バス貨物_ガソリン,係数_バス貨物_CNG,係数_バス貨物_軽油,係数_バス貨物_メタノール,係数_バス貨物_LPG),MATCH(AY255+1,【参考】排出係数!$AI$4:$AI$671,1)-1,5,BE255),2,FALSE),IF(OR(AW255=1,AW255=2),VLOOKUP(AU255,INDEX((係数_乗用_ガソリン,係数_乗用_CNG,係数_乗用_軽油,係数_乗用_メタノール,係数_乗用_LPG),1,1,BE255):INDEX((係数_乗用_ガソリン,係数_乗用_CNG,係数_乗用_軽油,係数_乗用_メタノール,係数_乗用_LPG),125,5,BE255),2,FALSE))))))</f>
        <v/>
      </c>
      <c r="BB255" s="468" t="str">
        <f>IF(T255="","",IF(OR(AU255="",AU255="-"),"－",IF(OR(AZ255=8,AZ255=9),"",IF(OR(AW255=3,AW255=4,AW255=5,AW255=6),VLOOKUP(AU255,INDEX((係数_バス貨物_ガソリン,係数_バス貨物_CNG,係数_バス貨物_軽油,係数_バス貨物_メタノール,係数_バス貨物_LPG),MATCH(AY255,【参考】排出係数!$AI$4:$AI$671,1),1,BE255):INDEX((係数_バス貨物_ガソリン,係数_バス貨物_CNG,係数_バス貨物_軽油,係数_バス貨物_メタノール,係数_バス貨物_LPG),MATCH(AY255+1,【参考】排出係数!$AI$4:$AI$671,1)-1,5,BE255),3,FALSE),IF(OR(AW255=1,AW255=2),VLOOKUP(AU255,INDEX((係数_乗用_ガソリン,係数_乗用_CNG,係数_乗用_軽油,係数_乗用_メタノール,係数_乗用_LPG),1,1,BE255):INDEX((係数_乗用_ガソリン,係数_乗用_CNG,係数_乗用_軽油,係数_乗用_メタノール,係数_乗用_LPG),125,5,BE255),3,FALSE))))))</f>
        <v/>
      </c>
      <c r="BC255" s="467" t="str">
        <f t="shared" si="154"/>
        <v/>
      </c>
      <c r="BD255" s="567" t="str">
        <f t="shared" si="155"/>
        <v/>
      </c>
      <c r="BE255" s="467" t="str">
        <f t="shared" si="156"/>
        <v/>
      </c>
      <c r="BF255" s="469" t="str">
        <f t="shared" ca="1" si="157"/>
        <v/>
      </c>
      <c r="BG255" s="469" t="str">
        <f t="shared" ca="1" si="158"/>
        <v/>
      </c>
      <c r="BH255" s="467" t="str">
        <f t="shared" si="159"/>
        <v/>
      </c>
      <c r="BI255" s="467" t="str">
        <f t="shared" ca="1" si="160"/>
        <v/>
      </c>
      <c r="BJ255" s="469" t="str">
        <f t="shared" si="161"/>
        <v/>
      </c>
      <c r="BK255" s="470" t="str">
        <f t="shared" si="141"/>
        <v/>
      </c>
      <c r="BL255" s="775" t="str">
        <f t="shared" si="162"/>
        <v/>
      </c>
      <c r="BM255" s="775" t="str">
        <f t="shared" si="163"/>
        <v/>
      </c>
    </row>
    <row r="256" spans="1:65">
      <c r="A256" s="473">
        <v>200</v>
      </c>
      <c r="B256" s="132"/>
      <c r="C256" s="332"/>
      <c r="D256" s="333"/>
      <c r="E256" s="333"/>
      <c r="F256" s="334"/>
      <c r="G256" s="337"/>
      <c r="H256" s="131"/>
      <c r="I256" s="337"/>
      <c r="J256" s="131"/>
      <c r="K256" s="458" t="str">
        <f t="shared" si="130"/>
        <v/>
      </c>
      <c r="L256" s="458">
        <f t="shared" si="142"/>
        <v>0</v>
      </c>
      <c r="M256" s="458">
        <f t="shared" si="143"/>
        <v>0</v>
      </c>
      <c r="N256" s="459" t="str">
        <f t="shared" si="131"/>
        <v/>
      </c>
      <c r="O256" s="459" t="str">
        <f t="shared" si="132"/>
        <v/>
      </c>
      <c r="P256" s="459" t="str">
        <f t="shared" si="133"/>
        <v/>
      </c>
      <c r="Q256" s="459" t="str">
        <f t="shared" si="134"/>
        <v/>
      </c>
      <c r="R256" s="459" t="str">
        <f t="shared" si="135"/>
        <v/>
      </c>
      <c r="S256" s="459" t="str">
        <f t="shared" si="136"/>
        <v/>
      </c>
      <c r="T256" s="566" t="str">
        <f t="shared" si="144"/>
        <v/>
      </c>
      <c r="U256" s="702"/>
      <c r="V256" s="132"/>
      <c r="W256" s="133"/>
      <c r="X256" s="134"/>
      <c r="Y256" s="135"/>
      <c r="Z256" s="137"/>
      <c r="AA256" s="136"/>
      <c r="AB256" s="566" t="str">
        <f t="shared" si="137"/>
        <v/>
      </c>
      <c r="AC256" s="568" t="str">
        <f t="shared" si="145"/>
        <v/>
      </c>
      <c r="AD256" s="137"/>
      <c r="AE256" s="137"/>
      <c r="AF256" s="138"/>
      <c r="AG256" s="138"/>
      <c r="AH256" s="592" t="str">
        <f t="shared" si="138"/>
        <v/>
      </c>
      <c r="AI256" s="592" t="str">
        <f t="shared" si="139"/>
        <v/>
      </c>
      <c r="AJ256" s="592" t="str">
        <f t="shared" si="140"/>
        <v/>
      </c>
      <c r="AK256" s="460" t="str">
        <f>IF(AU256="","",IF(OR(AZ256=8,AZ256=9),0,IF(OR(AW256=3,AW256=4,AW256=5,AW256=6),IF(LEFT(BF256,1)="1",INDEX(係数_NOX・PM低減,MATCH(AY256,【参考】排出係数!$AI$801:$AI$804,1),1),VLOOKUP(AU256,INDEX((係数_バス貨物_ガソリン,係数_バス貨物_CNG,係数_バス貨物_軽油,係数_バス貨物_メタノール,係数_バス貨物_LPG),MATCH(AY256,【参考】排出係数!$AI$4:$AI$671,1),1,BE256):INDEX((係数_バス貨物_ガソリン,係数_バス貨物_CNG,係数_バス貨物_軽油,係数_バス貨物_メタノール,係数_バス貨物_LPG),MATCH(AY256+1,【参考】排出係数!$AI$4:$AI$671,1)-1,5,BE256),4,FALSE)),IF(AND(BE256=3,LEFT(BF256,1)="1"),0.48,VLOOKUP(AU256,INDEX((係数_乗用_ガソリン,係数_乗用_CNG,係数_乗用_軽油,係数_乗用_メタノール,係数_乗用_LPG),1,1,BE256):INDEX((係数_乗用_ガソリン,係数_乗用_CNG,係数_乗用_軽油,係数_乗用_メタノール,係数_乗用_LPG),125,5,BE256),4,FALSE)))))</f>
        <v/>
      </c>
      <c r="AL256" s="461" t="str">
        <f t="shared" si="164"/>
        <v/>
      </c>
      <c r="AM256" s="460" t="str">
        <f>IF(AU256="","",IF(OR(AZ256=8,AZ256=9),0,IF(OR(AW256=3,AW256=4,AW256=5,AW256=6),IF(LEFT(BH256,1)="1",INDEX(係数_PM低減,MATCH(AY256,【参考】排出係数!$AI$801:$AI$804,1),MATCH(BI256,【参考】排出係数!$AL$798:$AO$798,1)),VLOOKUP(AU256,INDEX((係数_バス貨物_ガソリン,係数_バス貨物_CNG,係数_バス貨物_軽油,係数_バス貨物_メタノール,係数_バス貨物_LPG),MATCH(AY256,【参考】排出係数!$AI$4:$AI$671,1),1,BE256):INDEX((係数_バス貨物_ガソリン,係数_バス貨物_CNG,係数_バス貨物_軽油,係数_バス貨物_メタノール,係数_バス貨物_LPG),MATCH(AY256+1,【参考】排出係数!$AI$4:$AI$671,1)-1,5,BE256),5,FALSE)),IF(AND(BE256=3,LEFT(BF256,1)="1"),0.055,VLOOKUP(AU256,INDEX((係数_乗用_ガソリン,係数_乗用_CNG,係数_乗用_軽油,係数_乗用_メタノール,係数_乗用_LPG),1,1,BE256):INDEX((係数_乗用_ガソリン,係数_乗用_CNG,係数_乗用_軽油,係数_乗用_メタノール,係数_乗用_LPG),125,5,BE256),5,FALSE)))))</f>
        <v/>
      </c>
      <c r="AN256" s="461" t="str">
        <f t="shared" si="165"/>
        <v/>
      </c>
      <c r="AO256" s="462" t="str">
        <f t="shared" si="166"/>
        <v/>
      </c>
      <c r="AP256" s="463" t="str">
        <f t="shared" si="167"/>
        <v/>
      </c>
      <c r="AQ256" s="464"/>
      <c r="AR256" s="619"/>
      <c r="AS256" s="465" t="str">
        <f t="shared" si="146"/>
        <v/>
      </c>
      <c r="AT256" s="465" t="str">
        <f t="shared" si="147"/>
        <v/>
      </c>
      <c r="AU256" s="466" t="str">
        <f t="shared" si="148"/>
        <v/>
      </c>
      <c r="AV256" s="467" t="str">
        <f t="shared" si="149"/>
        <v/>
      </c>
      <c r="AW256" s="467" t="str">
        <f t="shared" si="150"/>
        <v/>
      </c>
      <c r="AX256" s="467" t="str">
        <f t="shared" si="151"/>
        <v/>
      </c>
      <c r="AY256" s="467" t="str">
        <f t="shared" si="152"/>
        <v/>
      </c>
      <c r="AZ256" s="467" t="str">
        <f t="shared" si="153"/>
        <v/>
      </c>
      <c r="BA256" s="468" t="str">
        <f>IF(AS256="","",IF(OR(AU256="",AU256="-"),"－",IF(OR(AZ256=8,AZ256=9),"",IF(OR(AW256=3,AW256=4,AW256=5,AW256=6),VLOOKUP(AU256,INDEX((係数_バス貨物_ガソリン,係数_バス貨物_CNG,係数_バス貨物_軽油,係数_バス貨物_メタノール,係数_バス貨物_LPG),MATCH(AY256,【参考】排出係数!$AI$4:$AI$671,1),1,BE256):INDEX((係数_バス貨物_ガソリン,係数_バス貨物_CNG,係数_バス貨物_軽油,係数_バス貨物_メタノール,係数_バス貨物_LPG),MATCH(AY256+1,【参考】排出係数!$AI$4:$AI$671,1)-1,5,BE256),2,FALSE),IF(OR(AW256=1,AW256=2),VLOOKUP(AU256,INDEX((係数_乗用_ガソリン,係数_乗用_CNG,係数_乗用_軽油,係数_乗用_メタノール,係数_乗用_LPG),1,1,BE256):INDEX((係数_乗用_ガソリン,係数_乗用_CNG,係数_乗用_軽油,係数_乗用_メタノール,係数_乗用_LPG),125,5,BE256),2,FALSE))))))</f>
        <v/>
      </c>
      <c r="BB256" s="468" t="str">
        <f>IF(T256="","",IF(OR(AU256="",AU256="-"),"－",IF(OR(AZ256=8,AZ256=9),"",IF(OR(AW256=3,AW256=4,AW256=5,AW256=6),VLOOKUP(AU256,INDEX((係数_バス貨物_ガソリン,係数_バス貨物_CNG,係数_バス貨物_軽油,係数_バス貨物_メタノール,係数_バス貨物_LPG),MATCH(AY256,【参考】排出係数!$AI$4:$AI$671,1),1,BE256):INDEX((係数_バス貨物_ガソリン,係数_バス貨物_CNG,係数_バス貨物_軽油,係数_バス貨物_メタノール,係数_バス貨物_LPG),MATCH(AY256+1,【参考】排出係数!$AI$4:$AI$671,1)-1,5,BE256),3,FALSE),IF(OR(AW256=1,AW256=2),VLOOKUP(AU256,INDEX((係数_乗用_ガソリン,係数_乗用_CNG,係数_乗用_軽油,係数_乗用_メタノール,係数_乗用_LPG),1,1,BE256):INDEX((係数_乗用_ガソリン,係数_乗用_CNG,係数_乗用_軽油,係数_乗用_メタノール,係数_乗用_LPG),125,5,BE256),3,FALSE))))))</f>
        <v/>
      </c>
      <c r="BC256" s="467" t="str">
        <f t="shared" si="154"/>
        <v/>
      </c>
      <c r="BD256" s="567" t="str">
        <f t="shared" si="155"/>
        <v/>
      </c>
      <c r="BE256" s="467" t="str">
        <f t="shared" si="156"/>
        <v/>
      </c>
      <c r="BF256" s="469" t="str">
        <f t="shared" ca="1" si="157"/>
        <v/>
      </c>
      <c r="BG256" s="469" t="str">
        <f t="shared" ca="1" si="158"/>
        <v/>
      </c>
      <c r="BH256" s="467" t="str">
        <f t="shared" si="159"/>
        <v/>
      </c>
      <c r="BI256" s="467" t="str">
        <f t="shared" ca="1" si="160"/>
        <v/>
      </c>
      <c r="BJ256" s="469" t="str">
        <f t="shared" si="161"/>
        <v/>
      </c>
      <c r="BK256" s="470" t="str">
        <f t="shared" si="141"/>
        <v/>
      </c>
      <c r="BL256" s="775" t="str">
        <f t="shared" si="162"/>
        <v/>
      </c>
      <c r="BM256" s="775" t="str">
        <f t="shared" si="163"/>
        <v/>
      </c>
    </row>
    <row r="257" spans="1:65">
      <c r="A257" s="473">
        <v>201</v>
      </c>
      <c r="B257" s="132"/>
      <c r="C257" s="332"/>
      <c r="D257" s="333"/>
      <c r="E257" s="333"/>
      <c r="F257" s="334"/>
      <c r="G257" s="337"/>
      <c r="H257" s="131"/>
      <c r="I257" s="337"/>
      <c r="J257" s="131"/>
      <c r="K257" s="458" t="str">
        <f t="shared" si="130"/>
        <v/>
      </c>
      <c r="L257" s="458">
        <f t="shared" si="142"/>
        <v>0</v>
      </c>
      <c r="M257" s="458">
        <f t="shared" si="143"/>
        <v>0</v>
      </c>
      <c r="N257" s="459" t="str">
        <f t="shared" si="131"/>
        <v/>
      </c>
      <c r="O257" s="459" t="str">
        <f t="shared" si="132"/>
        <v/>
      </c>
      <c r="P257" s="459" t="str">
        <f t="shared" si="133"/>
        <v/>
      </c>
      <c r="Q257" s="459" t="str">
        <f t="shared" si="134"/>
        <v/>
      </c>
      <c r="R257" s="459" t="str">
        <f t="shared" si="135"/>
        <v/>
      </c>
      <c r="S257" s="459" t="str">
        <f t="shared" si="136"/>
        <v/>
      </c>
      <c r="T257" s="566" t="str">
        <f t="shared" si="144"/>
        <v/>
      </c>
      <c r="U257" s="702"/>
      <c r="V257" s="132"/>
      <c r="W257" s="133"/>
      <c r="X257" s="134"/>
      <c r="Y257" s="135"/>
      <c r="Z257" s="137"/>
      <c r="AA257" s="136"/>
      <c r="AB257" s="566" t="str">
        <f t="shared" si="137"/>
        <v/>
      </c>
      <c r="AC257" s="568" t="str">
        <f t="shared" si="145"/>
        <v/>
      </c>
      <c r="AD257" s="137"/>
      <c r="AE257" s="137"/>
      <c r="AF257" s="138"/>
      <c r="AG257" s="138"/>
      <c r="AH257" s="592" t="str">
        <f t="shared" si="138"/>
        <v/>
      </c>
      <c r="AI257" s="592" t="str">
        <f t="shared" si="139"/>
        <v/>
      </c>
      <c r="AJ257" s="592" t="str">
        <f t="shared" si="140"/>
        <v/>
      </c>
      <c r="AK257" s="460" t="str">
        <f>IF(AU257="","",IF(OR(AZ257=8,AZ257=9),0,IF(OR(AW257=3,AW257=4,AW257=5,AW257=6),IF(LEFT(BF257,1)="1",INDEX(係数_NOX・PM低減,MATCH(AY257,【参考】排出係数!$AI$801:$AI$804,1),1),VLOOKUP(AU257,INDEX((係数_バス貨物_ガソリン,係数_バス貨物_CNG,係数_バス貨物_軽油,係数_バス貨物_メタノール,係数_バス貨物_LPG),MATCH(AY257,【参考】排出係数!$AI$4:$AI$671,1),1,BE257):INDEX((係数_バス貨物_ガソリン,係数_バス貨物_CNG,係数_バス貨物_軽油,係数_バス貨物_メタノール,係数_バス貨物_LPG),MATCH(AY257+1,【参考】排出係数!$AI$4:$AI$671,1)-1,5,BE257),4,FALSE)),IF(AND(BE257=3,LEFT(BF257,1)="1"),0.48,VLOOKUP(AU257,INDEX((係数_乗用_ガソリン,係数_乗用_CNG,係数_乗用_軽油,係数_乗用_メタノール,係数_乗用_LPG),1,1,BE257):INDEX((係数_乗用_ガソリン,係数_乗用_CNG,係数_乗用_軽油,係数_乗用_メタノール,係数_乗用_LPG),125,5,BE257),4,FALSE)))))</f>
        <v/>
      </c>
      <c r="AL257" s="461" t="str">
        <f t="shared" si="164"/>
        <v/>
      </c>
      <c r="AM257" s="460" t="str">
        <f>IF(AU257="","",IF(OR(AZ257=8,AZ257=9),0,IF(OR(AW257=3,AW257=4,AW257=5,AW257=6),IF(LEFT(BH257,1)="1",INDEX(係数_PM低減,MATCH(AY257,【参考】排出係数!$AI$801:$AI$804,1),MATCH(BI257,【参考】排出係数!$AL$798:$AO$798,1)),VLOOKUP(AU257,INDEX((係数_バス貨物_ガソリン,係数_バス貨物_CNG,係数_バス貨物_軽油,係数_バス貨物_メタノール,係数_バス貨物_LPG),MATCH(AY257,【参考】排出係数!$AI$4:$AI$671,1),1,BE257):INDEX((係数_バス貨物_ガソリン,係数_バス貨物_CNG,係数_バス貨物_軽油,係数_バス貨物_メタノール,係数_バス貨物_LPG),MATCH(AY257+1,【参考】排出係数!$AI$4:$AI$671,1)-1,5,BE257),5,FALSE)),IF(AND(BE257=3,LEFT(BF257,1)="1"),0.055,VLOOKUP(AU257,INDEX((係数_乗用_ガソリン,係数_乗用_CNG,係数_乗用_軽油,係数_乗用_メタノール,係数_乗用_LPG),1,1,BE257):INDEX((係数_乗用_ガソリン,係数_乗用_CNG,係数_乗用_軽油,係数_乗用_メタノール,係数_乗用_LPG),125,5,BE257),5,FALSE)))))</f>
        <v/>
      </c>
      <c r="AN257" s="461" t="str">
        <f t="shared" si="165"/>
        <v/>
      </c>
      <c r="AO257" s="462" t="str">
        <f t="shared" si="166"/>
        <v/>
      </c>
      <c r="AP257" s="463" t="str">
        <f t="shared" si="167"/>
        <v/>
      </c>
      <c r="AQ257" s="464"/>
      <c r="AR257" s="619"/>
      <c r="AS257" s="465" t="str">
        <f t="shared" si="146"/>
        <v/>
      </c>
      <c r="AT257" s="465" t="str">
        <f t="shared" si="147"/>
        <v/>
      </c>
      <c r="AU257" s="466" t="str">
        <f t="shared" si="148"/>
        <v/>
      </c>
      <c r="AV257" s="467" t="str">
        <f t="shared" si="149"/>
        <v/>
      </c>
      <c r="AW257" s="467" t="str">
        <f t="shared" si="150"/>
        <v/>
      </c>
      <c r="AX257" s="467" t="str">
        <f t="shared" si="151"/>
        <v/>
      </c>
      <c r="AY257" s="467" t="str">
        <f t="shared" si="152"/>
        <v/>
      </c>
      <c r="AZ257" s="467" t="str">
        <f t="shared" si="153"/>
        <v/>
      </c>
      <c r="BA257" s="468" t="str">
        <f>IF(AS257="","",IF(OR(AU257="",AU257="-"),"－",IF(OR(AZ257=8,AZ257=9),"",IF(OR(AW257=3,AW257=4,AW257=5,AW257=6),VLOOKUP(AU257,INDEX((係数_バス貨物_ガソリン,係数_バス貨物_CNG,係数_バス貨物_軽油,係数_バス貨物_メタノール,係数_バス貨物_LPG),MATCH(AY257,【参考】排出係数!$AI$4:$AI$671,1),1,BE257):INDEX((係数_バス貨物_ガソリン,係数_バス貨物_CNG,係数_バス貨物_軽油,係数_バス貨物_メタノール,係数_バス貨物_LPG),MATCH(AY257+1,【参考】排出係数!$AI$4:$AI$671,1)-1,5,BE257),2,FALSE),IF(OR(AW257=1,AW257=2),VLOOKUP(AU257,INDEX((係数_乗用_ガソリン,係数_乗用_CNG,係数_乗用_軽油,係数_乗用_メタノール,係数_乗用_LPG),1,1,BE257):INDEX((係数_乗用_ガソリン,係数_乗用_CNG,係数_乗用_軽油,係数_乗用_メタノール,係数_乗用_LPG),125,5,BE257),2,FALSE))))))</f>
        <v/>
      </c>
      <c r="BB257" s="468" t="str">
        <f>IF(T257="","",IF(OR(AU257="",AU257="-"),"－",IF(OR(AZ257=8,AZ257=9),"",IF(OR(AW257=3,AW257=4,AW257=5,AW257=6),VLOOKUP(AU257,INDEX((係数_バス貨物_ガソリン,係数_バス貨物_CNG,係数_バス貨物_軽油,係数_バス貨物_メタノール,係数_バス貨物_LPG),MATCH(AY257,【参考】排出係数!$AI$4:$AI$671,1),1,BE257):INDEX((係数_バス貨物_ガソリン,係数_バス貨物_CNG,係数_バス貨物_軽油,係数_バス貨物_メタノール,係数_バス貨物_LPG),MATCH(AY257+1,【参考】排出係数!$AI$4:$AI$671,1)-1,5,BE257),3,FALSE),IF(OR(AW257=1,AW257=2),VLOOKUP(AU257,INDEX((係数_乗用_ガソリン,係数_乗用_CNG,係数_乗用_軽油,係数_乗用_メタノール,係数_乗用_LPG),1,1,BE257):INDEX((係数_乗用_ガソリン,係数_乗用_CNG,係数_乗用_軽油,係数_乗用_メタノール,係数_乗用_LPG),125,5,BE257),3,FALSE))))))</f>
        <v/>
      </c>
      <c r="BC257" s="467" t="str">
        <f t="shared" si="154"/>
        <v/>
      </c>
      <c r="BD257" s="567" t="str">
        <f t="shared" si="155"/>
        <v/>
      </c>
      <c r="BE257" s="467" t="str">
        <f t="shared" si="156"/>
        <v/>
      </c>
      <c r="BF257" s="469" t="str">
        <f t="shared" ca="1" si="157"/>
        <v/>
      </c>
      <c r="BG257" s="469" t="str">
        <f t="shared" ca="1" si="158"/>
        <v/>
      </c>
      <c r="BH257" s="467" t="str">
        <f t="shared" si="159"/>
        <v/>
      </c>
      <c r="BI257" s="467" t="str">
        <f t="shared" ca="1" si="160"/>
        <v/>
      </c>
      <c r="BJ257" s="469" t="str">
        <f t="shared" si="161"/>
        <v/>
      </c>
      <c r="BK257" s="470" t="str">
        <f t="shared" si="141"/>
        <v/>
      </c>
      <c r="BL257" s="775" t="str">
        <f t="shared" si="162"/>
        <v/>
      </c>
      <c r="BM257" s="775" t="str">
        <f t="shared" si="163"/>
        <v/>
      </c>
    </row>
    <row r="258" spans="1:65">
      <c r="A258" s="473">
        <v>202</v>
      </c>
      <c r="B258" s="132"/>
      <c r="C258" s="332"/>
      <c r="D258" s="333"/>
      <c r="E258" s="333"/>
      <c r="F258" s="334"/>
      <c r="G258" s="337"/>
      <c r="H258" s="131"/>
      <c r="I258" s="337"/>
      <c r="J258" s="131"/>
      <c r="K258" s="458" t="str">
        <f t="shared" si="130"/>
        <v/>
      </c>
      <c r="L258" s="458">
        <f t="shared" si="142"/>
        <v>0</v>
      </c>
      <c r="M258" s="458">
        <f t="shared" si="143"/>
        <v>0</v>
      </c>
      <c r="N258" s="459" t="str">
        <f t="shared" si="131"/>
        <v/>
      </c>
      <c r="O258" s="459" t="str">
        <f t="shared" si="132"/>
        <v/>
      </c>
      <c r="P258" s="459" t="str">
        <f t="shared" si="133"/>
        <v/>
      </c>
      <c r="Q258" s="459" t="str">
        <f t="shared" si="134"/>
        <v/>
      </c>
      <c r="R258" s="459" t="str">
        <f t="shared" si="135"/>
        <v/>
      </c>
      <c r="S258" s="459" t="str">
        <f t="shared" si="136"/>
        <v/>
      </c>
      <c r="T258" s="566" t="str">
        <f t="shared" si="144"/>
        <v/>
      </c>
      <c r="U258" s="702"/>
      <c r="V258" s="132"/>
      <c r="W258" s="133"/>
      <c r="X258" s="134"/>
      <c r="Y258" s="135"/>
      <c r="Z258" s="137"/>
      <c r="AA258" s="136"/>
      <c r="AB258" s="566" t="str">
        <f t="shared" si="137"/>
        <v/>
      </c>
      <c r="AC258" s="568" t="str">
        <f t="shared" si="145"/>
        <v/>
      </c>
      <c r="AD258" s="137"/>
      <c r="AE258" s="137"/>
      <c r="AF258" s="138"/>
      <c r="AG258" s="138"/>
      <c r="AH258" s="592" t="str">
        <f t="shared" si="138"/>
        <v/>
      </c>
      <c r="AI258" s="592" t="str">
        <f t="shared" si="139"/>
        <v/>
      </c>
      <c r="AJ258" s="592" t="str">
        <f t="shared" si="140"/>
        <v/>
      </c>
      <c r="AK258" s="460" t="str">
        <f>IF(AU258="","",IF(OR(AZ258=8,AZ258=9),0,IF(OR(AW258=3,AW258=4,AW258=5,AW258=6),IF(LEFT(BF258,1)="1",INDEX(係数_NOX・PM低減,MATCH(AY258,【参考】排出係数!$AI$801:$AI$804,1),1),VLOOKUP(AU258,INDEX((係数_バス貨物_ガソリン,係数_バス貨物_CNG,係数_バス貨物_軽油,係数_バス貨物_メタノール,係数_バス貨物_LPG),MATCH(AY258,【参考】排出係数!$AI$4:$AI$671,1),1,BE258):INDEX((係数_バス貨物_ガソリン,係数_バス貨物_CNG,係数_バス貨物_軽油,係数_バス貨物_メタノール,係数_バス貨物_LPG),MATCH(AY258+1,【参考】排出係数!$AI$4:$AI$671,1)-1,5,BE258),4,FALSE)),IF(AND(BE258=3,LEFT(BF258,1)="1"),0.48,VLOOKUP(AU258,INDEX((係数_乗用_ガソリン,係数_乗用_CNG,係数_乗用_軽油,係数_乗用_メタノール,係数_乗用_LPG),1,1,BE258):INDEX((係数_乗用_ガソリン,係数_乗用_CNG,係数_乗用_軽油,係数_乗用_メタノール,係数_乗用_LPG),125,5,BE258),4,FALSE)))))</f>
        <v/>
      </c>
      <c r="AL258" s="461" t="str">
        <f t="shared" si="164"/>
        <v/>
      </c>
      <c r="AM258" s="460" t="str">
        <f>IF(AU258="","",IF(OR(AZ258=8,AZ258=9),0,IF(OR(AW258=3,AW258=4,AW258=5,AW258=6),IF(LEFT(BH258,1)="1",INDEX(係数_PM低減,MATCH(AY258,【参考】排出係数!$AI$801:$AI$804,1),MATCH(BI258,【参考】排出係数!$AL$798:$AO$798,1)),VLOOKUP(AU258,INDEX((係数_バス貨物_ガソリン,係数_バス貨物_CNG,係数_バス貨物_軽油,係数_バス貨物_メタノール,係数_バス貨物_LPG),MATCH(AY258,【参考】排出係数!$AI$4:$AI$671,1),1,BE258):INDEX((係数_バス貨物_ガソリン,係数_バス貨物_CNG,係数_バス貨物_軽油,係数_バス貨物_メタノール,係数_バス貨物_LPG),MATCH(AY258+1,【参考】排出係数!$AI$4:$AI$671,1)-1,5,BE258),5,FALSE)),IF(AND(BE258=3,LEFT(BF258,1)="1"),0.055,VLOOKUP(AU258,INDEX((係数_乗用_ガソリン,係数_乗用_CNG,係数_乗用_軽油,係数_乗用_メタノール,係数_乗用_LPG),1,1,BE258):INDEX((係数_乗用_ガソリン,係数_乗用_CNG,係数_乗用_軽油,係数_乗用_メタノール,係数_乗用_LPG),125,5,BE258),5,FALSE)))))</f>
        <v/>
      </c>
      <c r="AN258" s="461" t="str">
        <f t="shared" si="165"/>
        <v/>
      </c>
      <c r="AO258" s="462" t="str">
        <f t="shared" si="166"/>
        <v/>
      </c>
      <c r="AP258" s="463" t="str">
        <f t="shared" si="167"/>
        <v/>
      </c>
      <c r="AQ258" s="464"/>
      <c r="AR258" s="619"/>
      <c r="AS258" s="465" t="str">
        <f t="shared" si="146"/>
        <v/>
      </c>
      <c r="AT258" s="465" t="str">
        <f t="shared" si="147"/>
        <v/>
      </c>
      <c r="AU258" s="466" t="str">
        <f t="shared" si="148"/>
        <v/>
      </c>
      <c r="AV258" s="467" t="str">
        <f t="shared" si="149"/>
        <v/>
      </c>
      <c r="AW258" s="467" t="str">
        <f t="shared" si="150"/>
        <v/>
      </c>
      <c r="AX258" s="467" t="str">
        <f t="shared" si="151"/>
        <v/>
      </c>
      <c r="AY258" s="467" t="str">
        <f t="shared" si="152"/>
        <v/>
      </c>
      <c r="AZ258" s="467" t="str">
        <f t="shared" si="153"/>
        <v/>
      </c>
      <c r="BA258" s="468" t="str">
        <f>IF(AS258="","",IF(OR(AU258="",AU258="-"),"－",IF(OR(AZ258=8,AZ258=9),"",IF(OR(AW258=3,AW258=4,AW258=5,AW258=6),VLOOKUP(AU258,INDEX((係数_バス貨物_ガソリン,係数_バス貨物_CNG,係数_バス貨物_軽油,係数_バス貨物_メタノール,係数_バス貨物_LPG),MATCH(AY258,【参考】排出係数!$AI$4:$AI$671,1),1,BE258):INDEX((係数_バス貨物_ガソリン,係数_バス貨物_CNG,係数_バス貨物_軽油,係数_バス貨物_メタノール,係数_バス貨物_LPG),MATCH(AY258+1,【参考】排出係数!$AI$4:$AI$671,1)-1,5,BE258),2,FALSE),IF(OR(AW258=1,AW258=2),VLOOKUP(AU258,INDEX((係数_乗用_ガソリン,係数_乗用_CNG,係数_乗用_軽油,係数_乗用_メタノール,係数_乗用_LPG),1,1,BE258):INDEX((係数_乗用_ガソリン,係数_乗用_CNG,係数_乗用_軽油,係数_乗用_メタノール,係数_乗用_LPG),125,5,BE258),2,FALSE))))))</f>
        <v/>
      </c>
      <c r="BB258" s="468" t="str">
        <f>IF(T258="","",IF(OR(AU258="",AU258="-"),"－",IF(OR(AZ258=8,AZ258=9),"",IF(OR(AW258=3,AW258=4,AW258=5,AW258=6),VLOOKUP(AU258,INDEX((係数_バス貨物_ガソリン,係数_バス貨物_CNG,係数_バス貨物_軽油,係数_バス貨物_メタノール,係数_バス貨物_LPG),MATCH(AY258,【参考】排出係数!$AI$4:$AI$671,1),1,BE258):INDEX((係数_バス貨物_ガソリン,係数_バス貨物_CNG,係数_バス貨物_軽油,係数_バス貨物_メタノール,係数_バス貨物_LPG),MATCH(AY258+1,【参考】排出係数!$AI$4:$AI$671,1)-1,5,BE258),3,FALSE),IF(OR(AW258=1,AW258=2),VLOOKUP(AU258,INDEX((係数_乗用_ガソリン,係数_乗用_CNG,係数_乗用_軽油,係数_乗用_メタノール,係数_乗用_LPG),1,1,BE258):INDEX((係数_乗用_ガソリン,係数_乗用_CNG,係数_乗用_軽油,係数_乗用_メタノール,係数_乗用_LPG),125,5,BE258),3,FALSE))))))</f>
        <v/>
      </c>
      <c r="BC258" s="467" t="str">
        <f t="shared" si="154"/>
        <v/>
      </c>
      <c r="BD258" s="567" t="str">
        <f t="shared" si="155"/>
        <v/>
      </c>
      <c r="BE258" s="467" t="str">
        <f t="shared" si="156"/>
        <v/>
      </c>
      <c r="BF258" s="469" t="str">
        <f t="shared" ca="1" si="157"/>
        <v/>
      </c>
      <c r="BG258" s="469" t="str">
        <f t="shared" ca="1" si="158"/>
        <v/>
      </c>
      <c r="BH258" s="467" t="str">
        <f t="shared" si="159"/>
        <v/>
      </c>
      <c r="BI258" s="467" t="str">
        <f t="shared" ca="1" si="160"/>
        <v/>
      </c>
      <c r="BJ258" s="469" t="str">
        <f t="shared" si="161"/>
        <v/>
      </c>
      <c r="BK258" s="470" t="str">
        <f t="shared" si="141"/>
        <v/>
      </c>
      <c r="BL258" s="775" t="str">
        <f t="shared" si="162"/>
        <v/>
      </c>
      <c r="BM258" s="775" t="str">
        <f t="shared" si="163"/>
        <v/>
      </c>
    </row>
    <row r="259" spans="1:65">
      <c r="A259" s="473">
        <v>203</v>
      </c>
      <c r="B259" s="132"/>
      <c r="C259" s="332"/>
      <c r="D259" s="333"/>
      <c r="E259" s="333"/>
      <c r="F259" s="334"/>
      <c r="G259" s="337"/>
      <c r="H259" s="131"/>
      <c r="I259" s="337"/>
      <c r="J259" s="131"/>
      <c r="K259" s="458" t="str">
        <f t="shared" si="130"/>
        <v/>
      </c>
      <c r="L259" s="458">
        <f t="shared" si="142"/>
        <v>0</v>
      </c>
      <c r="M259" s="458">
        <f t="shared" si="143"/>
        <v>0</v>
      </c>
      <c r="N259" s="459" t="str">
        <f t="shared" si="131"/>
        <v/>
      </c>
      <c r="O259" s="459" t="str">
        <f t="shared" si="132"/>
        <v/>
      </c>
      <c r="P259" s="459" t="str">
        <f t="shared" si="133"/>
        <v/>
      </c>
      <c r="Q259" s="459" t="str">
        <f t="shared" si="134"/>
        <v/>
      </c>
      <c r="R259" s="459" t="str">
        <f t="shared" si="135"/>
        <v/>
      </c>
      <c r="S259" s="459" t="str">
        <f t="shared" si="136"/>
        <v/>
      </c>
      <c r="T259" s="566" t="str">
        <f t="shared" si="144"/>
        <v/>
      </c>
      <c r="U259" s="702"/>
      <c r="V259" s="132"/>
      <c r="W259" s="133"/>
      <c r="X259" s="134"/>
      <c r="Y259" s="135"/>
      <c r="Z259" s="137"/>
      <c r="AA259" s="136"/>
      <c r="AB259" s="566" t="str">
        <f t="shared" si="137"/>
        <v/>
      </c>
      <c r="AC259" s="568" t="str">
        <f t="shared" si="145"/>
        <v/>
      </c>
      <c r="AD259" s="137"/>
      <c r="AE259" s="137"/>
      <c r="AF259" s="138"/>
      <c r="AG259" s="138"/>
      <c r="AH259" s="592" t="str">
        <f t="shared" si="138"/>
        <v/>
      </c>
      <c r="AI259" s="592" t="str">
        <f t="shared" si="139"/>
        <v/>
      </c>
      <c r="AJ259" s="592" t="str">
        <f t="shared" si="140"/>
        <v/>
      </c>
      <c r="AK259" s="460" t="str">
        <f>IF(AU259="","",IF(OR(AZ259=8,AZ259=9),0,IF(OR(AW259=3,AW259=4,AW259=5,AW259=6),IF(LEFT(BF259,1)="1",INDEX(係数_NOX・PM低減,MATCH(AY259,【参考】排出係数!$AI$801:$AI$804,1),1),VLOOKUP(AU259,INDEX((係数_バス貨物_ガソリン,係数_バス貨物_CNG,係数_バス貨物_軽油,係数_バス貨物_メタノール,係数_バス貨物_LPG),MATCH(AY259,【参考】排出係数!$AI$4:$AI$671,1),1,BE259):INDEX((係数_バス貨物_ガソリン,係数_バス貨物_CNG,係数_バス貨物_軽油,係数_バス貨物_メタノール,係数_バス貨物_LPG),MATCH(AY259+1,【参考】排出係数!$AI$4:$AI$671,1)-1,5,BE259),4,FALSE)),IF(AND(BE259=3,LEFT(BF259,1)="1"),0.48,VLOOKUP(AU259,INDEX((係数_乗用_ガソリン,係数_乗用_CNG,係数_乗用_軽油,係数_乗用_メタノール,係数_乗用_LPG),1,1,BE259):INDEX((係数_乗用_ガソリン,係数_乗用_CNG,係数_乗用_軽油,係数_乗用_メタノール,係数_乗用_LPG),125,5,BE259),4,FALSE)))))</f>
        <v/>
      </c>
      <c r="AL259" s="461" t="str">
        <f t="shared" si="164"/>
        <v/>
      </c>
      <c r="AM259" s="460" t="str">
        <f>IF(AU259="","",IF(OR(AZ259=8,AZ259=9),0,IF(OR(AW259=3,AW259=4,AW259=5,AW259=6),IF(LEFT(BH259,1)="1",INDEX(係数_PM低減,MATCH(AY259,【参考】排出係数!$AI$801:$AI$804,1),MATCH(BI259,【参考】排出係数!$AL$798:$AO$798,1)),VLOOKUP(AU259,INDEX((係数_バス貨物_ガソリン,係数_バス貨物_CNG,係数_バス貨物_軽油,係数_バス貨物_メタノール,係数_バス貨物_LPG),MATCH(AY259,【参考】排出係数!$AI$4:$AI$671,1),1,BE259):INDEX((係数_バス貨物_ガソリン,係数_バス貨物_CNG,係数_バス貨物_軽油,係数_バス貨物_メタノール,係数_バス貨物_LPG),MATCH(AY259+1,【参考】排出係数!$AI$4:$AI$671,1)-1,5,BE259),5,FALSE)),IF(AND(BE259=3,LEFT(BF259,1)="1"),0.055,VLOOKUP(AU259,INDEX((係数_乗用_ガソリン,係数_乗用_CNG,係数_乗用_軽油,係数_乗用_メタノール,係数_乗用_LPG),1,1,BE259):INDEX((係数_乗用_ガソリン,係数_乗用_CNG,係数_乗用_軽油,係数_乗用_メタノール,係数_乗用_LPG),125,5,BE259),5,FALSE)))))</f>
        <v/>
      </c>
      <c r="AN259" s="461" t="str">
        <f t="shared" si="165"/>
        <v/>
      </c>
      <c r="AO259" s="462" t="str">
        <f t="shared" si="166"/>
        <v/>
      </c>
      <c r="AP259" s="463" t="str">
        <f t="shared" si="167"/>
        <v/>
      </c>
      <c r="AQ259" s="464"/>
      <c r="AR259" s="619"/>
      <c r="AS259" s="465" t="str">
        <f t="shared" si="146"/>
        <v/>
      </c>
      <c r="AT259" s="465" t="str">
        <f t="shared" si="147"/>
        <v/>
      </c>
      <c r="AU259" s="466" t="str">
        <f t="shared" si="148"/>
        <v/>
      </c>
      <c r="AV259" s="467" t="str">
        <f t="shared" si="149"/>
        <v/>
      </c>
      <c r="AW259" s="467" t="str">
        <f t="shared" si="150"/>
        <v/>
      </c>
      <c r="AX259" s="467" t="str">
        <f t="shared" si="151"/>
        <v/>
      </c>
      <c r="AY259" s="467" t="str">
        <f t="shared" si="152"/>
        <v/>
      </c>
      <c r="AZ259" s="467" t="str">
        <f t="shared" si="153"/>
        <v/>
      </c>
      <c r="BA259" s="468" t="str">
        <f>IF(AS259="","",IF(OR(AU259="",AU259="-"),"－",IF(OR(AZ259=8,AZ259=9),"",IF(OR(AW259=3,AW259=4,AW259=5,AW259=6),VLOOKUP(AU259,INDEX((係数_バス貨物_ガソリン,係数_バス貨物_CNG,係数_バス貨物_軽油,係数_バス貨物_メタノール,係数_バス貨物_LPG),MATCH(AY259,【参考】排出係数!$AI$4:$AI$671,1),1,BE259):INDEX((係数_バス貨物_ガソリン,係数_バス貨物_CNG,係数_バス貨物_軽油,係数_バス貨物_メタノール,係数_バス貨物_LPG),MATCH(AY259+1,【参考】排出係数!$AI$4:$AI$671,1)-1,5,BE259),2,FALSE),IF(OR(AW259=1,AW259=2),VLOOKUP(AU259,INDEX((係数_乗用_ガソリン,係数_乗用_CNG,係数_乗用_軽油,係数_乗用_メタノール,係数_乗用_LPG),1,1,BE259):INDEX((係数_乗用_ガソリン,係数_乗用_CNG,係数_乗用_軽油,係数_乗用_メタノール,係数_乗用_LPG),125,5,BE259),2,FALSE))))))</f>
        <v/>
      </c>
      <c r="BB259" s="468" t="str">
        <f>IF(T259="","",IF(OR(AU259="",AU259="-"),"－",IF(OR(AZ259=8,AZ259=9),"",IF(OR(AW259=3,AW259=4,AW259=5,AW259=6),VLOOKUP(AU259,INDEX((係数_バス貨物_ガソリン,係数_バス貨物_CNG,係数_バス貨物_軽油,係数_バス貨物_メタノール,係数_バス貨物_LPG),MATCH(AY259,【参考】排出係数!$AI$4:$AI$671,1),1,BE259):INDEX((係数_バス貨物_ガソリン,係数_バス貨物_CNG,係数_バス貨物_軽油,係数_バス貨物_メタノール,係数_バス貨物_LPG),MATCH(AY259+1,【参考】排出係数!$AI$4:$AI$671,1)-1,5,BE259),3,FALSE),IF(OR(AW259=1,AW259=2),VLOOKUP(AU259,INDEX((係数_乗用_ガソリン,係数_乗用_CNG,係数_乗用_軽油,係数_乗用_メタノール,係数_乗用_LPG),1,1,BE259):INDEX((係数_乗用_ガソリン,係数_乗用_CNG,係数_乗用_軽油,係数_乗用_メタノール,係数_乗用_LPG),125,5,BE259),3,FALSE))))))</f>
        <v/>
      </c>
      <c r="BC259" s="467" t="str">
        <f t="shared" si="154"/>
        <v/>
      </c>
      <c r="BD259" s="567" t="str">
        <f t="shared" si="155"/>
        <v/>
      </c>
      <c r="BE259" s="467" t="str">
        <f t="shared" si="156"/>
        <v/>
      </c>
      <c r="BF259" s="469" t="str">
        <f t="shared" ca="1" si="157"/>
        <v/>
      </c>
      <c r="BG259" s="469" t="str">
        <f t="shared" ca="1" si="158"/>
        <v/>
      </c>
      <c r="BH259" s="467" t="str">
        <f t="shared" si="159"/>
        <v/>
      </c>
      <c r="BI259" s="467" t="str">
        <f t="shared" ca="1" si="160"/>
        <v/>
      </c>
      <c r="BJ259" s="469" t="str">
        <f t="shared" si="161"/>
        <v/>
      </c>
      <c r="BK259" s="470" t="str">
        <f t="shared" si="141"/>
        <v/>
      </c>
      <c r="BL259" s="775" t="str">
        <f t="shared" si="162"/>
        <v/>
      </c>
      <c r="BM259" s="775" t="str">
        <f t="shared" si="163"/>
        <v/>
      </c>
    </row>
    <row r="260" spans="1:65">
      <c r="A260" s="473">
        <v>204</v>
      </c>
      <c r="B260" s="132"/>
      <c r="C260" s="332"/>
      <c r="D260" s="333"/>
      <c r="E260" s="333"/>
      <c r="F260" s="334"/>
      <c r="G260" s="337"/>
      <c r="H260" s="131"/>
      <c r="I260" s="337"/>
      <c r="J260" s="131"/>
      <c r="K260" s="458" t="str">
        <f t="shared" si="130"/>
        <v/>
      </c>
      <c r="L260" s="458">
        <f t="shared" si="142"/>
        <v>0</v>
      </c>
      <c r="M260" s="458">
        <f t="shared" si="143"/>
        <v>0</v>
      </c>
      <c r="N260" s="459" t="str">
        <f t="shared" si="131"/>
        <v/>
      </c>
      <c r="O260" s="459" t="str">
        <f t="shared" si="132"/>
        <v/>
      </c>
      <c r="P260" s="459" t="str">
        <f t="shared" si="133"/>
        <v/>
      </c>
      <c r="Q260" s="459" t="str">
        <f t="shared" si="134"/>
        <v/>
      </c>
      <c r="R260" s="459" t="str">
        <f t="shared" si="135"/>
        <v/>
      </c>
      <c r="S260" s="459" t="str">
        <f t="shared" si="136"/>
        <v/>
      </c>
      <c r="T260" s="566" t="str">
        <f t="shared" si="144"/>
        <v/>
      </c>
      <c r="U260" s="702"/>
      <c r="V260" s="132"/>
      <c r="W260" s="133"/>
      <c r="X260" s="134"/>
      <c r="Y260" s="135"/>
      <c r="Z260" s="137"/>
      <c r="AA260" s="136"/>
      <c r="AB260" s="566" t="str">
        <f t="shared" si="137"/>
        <v/>
      </c>
      <c r="AC260" s="568" t="str">
        <f t="shared" si="145"/>
        <v/>
      </c>
      <c r="AD260" s="137"/>
      <c r="AE260" s="137"/>
      <c r="AF260" s="138"/>
      <c r="AG260" s="138"/>
      <c r="AH260" s="592" t="str">
        <f t="shared" si="138"/>
        <v/>
      </c>
      <c r="AI260" s="592" t="str">
        <f t="shared" si="139"/>
        <v/>
      </c>
      <c r="AJ260" s="592" t="str">
        <f t="shared" si="140"/>
        <v/>
      </c>
      <c r="AK260" s="460" t="str">
        <f>IF(AU260="","",IF(OR(AZ260=8,AZ260=9),0,IF(OR(AW260=3,AW260=4,AW260=5,AW260=6),IF(LEFT(BF260,1)="1",INDEX(係数_NOX・PM低減,MATCH(AY260,【参考】排出係数!$AI$801:$AI$804,1),1),VLOOKUP(AU260,INDEX((係数_バス貨物_ガソリン,係数_バス貨物_CNG,係数_バス貨物_軽油,係数_バス貨物_メタノール,係数_バス貨物_LPG),MATCH(AY260,【参考】排出係数!$AI$4:$AI$671,1),1,BE260):INDEX((係数_バス貨物_ガソリン,係数_バス貨物_CNG,係数_バス貨物_軽油,係数_バス貨物_メタノール,係数_バス貨物_LPG),MATCH(AY260+1,【参考】排出係数!$AI$4:$AI$671,1)-1,5,BE260),4,FALSE)),IF(AND(BE260=3,LEFT(BF260,1)="1"),0.48,VLOOKUP(AU260,INDEX((係数_乗用_ガソリン,係数_乗用_CNG,係数_乗用_軽油,係数_乗用_メタノール,係数_乗用_LPG),1,1,BE260):INDEX((係数_乗用_ガソリン,係数_乗用_CNG,係数_乗用_軽油,係数_乗用_メタノール,係数_乗用_LPG),125,5,BE260),4,FALSE)))))</f>
        <v/>
      </c>
      <c r="AL260" s="461" t="str">
        <f t="shared" si="164"/>
        <v/>
      </c>
      <c r="AM260" s="460" t="str">
        <f>IF(AU260="","",IF(OR(AZ260=8,AZ260=9),0,IF(OR(AW260=3,AW260=4,AW260=5,AW260=6),IF(LEFT(BH260,1)="1",INDEX(係数_PM低減,MATCH(AY260,【参考】排出係数!$AI$801:$AI$804,1),MATCH(BI260,【参考】排出係数!$AL$798:$AO$798,1)),VLOOKUP(AU260,INDEX((係数_バス貨物_ガソリン,係数_バス貨物_CNG,係数_バス貨物_軽油,係数_バス貨物_メタノール,係数_バス貨物_LPG),MATCH(AY260,【参考】排出係数!$AI$4:$AI$671,1),1,BE260):INDEX((係数_バス貨物_ガソリン,係数_バス貨物_CNG,係数_バス貨物_軽油,係数_バス貨物_メタノール,係数_バス貨物_LPG),MATCH(AY260+1,【参考】排出係数!$AI$4:$AI$671,1)-1,5,BE260),5,FALSE)),IF(AND(BE260=3,LEFT(BF260,1)="1"),0.055,VLOOKUP(AU260,INDEX((係数_乗用_ガソリン,係数_乗用_CNG,係数_乗用_軽油,係数_乗用_メタノール,係数_乗用_LPG),1,1,BE260):INDEX((係数_乗用_ガソリン,係数_乗用_CNG,係数_乗用_軽油,係数_乗用_メタノール,係数_乗用_LPG),125,5,BE260),5,FALSE)))))</f>
        <v/>
      </c>
      <c r="AN260" s="461" t="str">
        <f t="shared" si="165"/>
        <v/>
      </c>
      <c r="AO260" s="462" t="str">
        <f t="shared" si="166"/>
        <v/>
      </c>
      <c r="AP260" s="463" t="str">
        <f t="shared" si="167"/>
        <v/>
      </c>
      <c r="AQ260" s="464"/>
      <c r="AR260" s="619"/>
      <c r="AS260" s="465" t="str">
        <f t="shared" si="146"/>
        <v/>
      </c>
      <c r="AT260" s="465" t="str">
        <f t="shared" si="147"/>
        <v/>
      </c>
      <c r="AU260" s="466" t="str">
        <f t="shared" si="148"/>
        <v/>
      </c>
      <c r="AV260" s="467" t="str">
        <f t="shared" si="149"/>
        <v/>
      </c>
      <c r="AW260" s="467" t="str">
        <f t="shared" si="150"/>
        <v/>
      </c>
      <c r="AX260" s="467" t="str">
        <f t="shared" si="151"/>
        <v/>
      </c>
      <c r="AY260" s="467" t="str">
        <f t="shared" si="152"/>
        <v/>
      </c>
      <c r="AZ260" s="467" t="str">
        <f t="shared" si="153"/>
        <v/>
      </c>
      <c r="BA260" s="468" t="str">
        <f>IF(AS260="","",IF(OR(AU260="",AU260="-"),"－",IF(OR(AZ260=8,AZ260=9),"",IF(OR(AW260=3,AW260=4,AW260=5,AW260=6),VLOOKUP(AU260,INDEX((係数_バス貨物_ガソリン,係数_バス貨物_CNG,係数_バス貨物_軽油,係数_バス貨物_メタノール,係数_バス貨物_LPG),MATCH(AY260,【参考】排出係数!$AI$4:$AI$671,1),1,BE260):INDEX((係数_バス貨物_ガソリン,係数_バス貨物_CNG,係数_バス貨物_軽油,係数_バス貨物_メタノール,係数_バス貨物_LPG),MATCH(AY260+1,【参考】排出係数!$AI$4:$AI$671,1)-1,5,BE260),2,FALSE),IF(OR(AW260=1,AW260=2),VLOOKUP(AU260,INDEX((係数_乗用_ガソリン,係数_乗用_CNG,係数_乗用_軽油,係数_乗用_メタノール,係数_乗用_LPG),1,1,BE260):INDEX((係数_乗用_ガソリン,係数_乗用_CNG,係数_乗用_軽油,係数_乗用_メタノール,係数_乗用_LPG),125,5,BE260),2,FALSE))))))</f>
        <v/>
      </c>
      <c r="BB260" s="468" t="str">
        <f>IF(T260="","",IF(OR(AU260="",AU260="-"),"－",IF(OR(AZ260=8,AZ260=9),"",IF(OR(AW260=3,AW260=4,AW260=5,AW260=6),VLOOKUP(AU260,INDEX((係数_バス貨物_ガソリン,係数_バス貨物_CNG,係数_バス貨物_軽油,係数_バス貨物_メタノール,係数_バス貨物_LPG),MATCH(AY260,【参考】排出係数!$AI$4:$AI$671,1),1,BE260):INDEX((係数_バス貨物_ガソリン,係数_バス貨物_CNG,係数_バス貨物_軽油,係数_バス貨物_メタノール,係数_バス貨物_LPG),MATCH(AY260+1,【参考】排出係数!$AI$4:$AI$671,1)-1,5,BE260),3,FALSE),IF(OR(AW260=1,AW260=2),VLOOKUP(AU260,INDEX((係数_乗用_ガソリン,係数_乗用_CNG,係数_乗用_軽油,係数_乗用_メタノール,係数_乗用_LPG),1,1,BE260):INDEX((係数_乗用_ガソリン,係数_乗用_CNG,係数_乗用_軽油,係数_乗用_メタノール,係数_乗用_LPG),125,5,BE260),3,FALSE))))))</f>
        <v/>
      </c>
      <c r="BC260" s="467" t="str">
        <f t="shared" si="154"/>
        <v/>
      </c>
      <c r="BD260" s="567" t="str">
        <f t="shared" si="155"/>
        <v/>
      </c>
      <c r="BE260" s="467" t="str">
        <f t="shared" si="156"/>
        <v/>
      </c>
      <c r="BF260" s="469" t="str">
        <f t="shared" ca="1" si="157"/>
        <v/>
      </c>
      <c r="BG260" s="469" t="str">
        <f t="shared" ca="1" si="158"/>
        <v/>
      </c>
      <c r="BH260" s="467" t="str">
        <f t="shared" si="159"/>
        <v/>
      </c>
      <c r="BI260" s="467" t="str">
        <f t="shared" ca="1" si="160"/>
        <v/>
      </c>
      <c r="BJ260" s="469" t="str">
        <f t="shared" si="161"/>
        <v/>
      </c>
      <c r="BK260" s="470" t="str">
        <f t="shared" si="141"/>
        <v/>
      </c>
      <c r="BL260" s="775" t="str">
        <f t="shared" si="162"/>
        <v/>
      </c>
      <c r="BM260" s="775" t="str">
        <f t="shared" si="163"/>
        <v/>
      </c>
    </row>
    <row r="261" spans="1:65">
      <c r="A261" s="473">
        <v>205</v>
      </c>
      <c r="B261" s="132"/>
      <c r="C261" s="332"/>
      <c r="D261" s="333"/>
      <c r="E261" s="333"/>
      <c r="F261" s="334"/>
      <c r="G261" s="337"/>
      <c r="H261" s="131"/>
      <c r="I261" s="337"/>
      <c r="J261" s="131"/>
      <c r="K261" s="458" t="str">
        <f t="shared" si="130"/>
        <v/>
      </c>
      <c r="L261" s="458">
        <f t="shared" si="142"/>
        <v>0</v>
      </c>
      <c r="M261" s="458">
        <f t="shared" si="143"/>
        <v>0</v>
      </c>
      <c r="N261" s="459" t="str">
        <f t="shared" si="131"/>
        <v/>
      </c>
      <c r="O261" s="459" t="str">
        <f t="shared" si="132"/>
        <v/>
      </c>
      <c r="P261" s="459" t="str">
        <f t="shared" si="133"/>
        <v/>
      </c>
      <c r="Q261" s="459" t="str">
        <f t="shared" si="134"/>
        <v/>
      </c>
      <c r="R261" s="459" t="str">
        <f t="shared" si="135"/>
        <v/>
      </c>
      <c r="S261" s="459" t="str">
        <f t="shared" si="136"/>
        <v/>
      </c>
      <c r="T261" s="566" t="str">
        <f t="shared" si="144"/>
        <v/>
      </c>
      <c r="U261" s="702"/>
      <c r="V261" s="132"/>
      <c r="W261" s="133"/>
      <c r="X261" s="134"/>
      <c r="Y261" s="135"/>
      <c r="Z261" s="137"/>
      <c r="AA261" s="136"/>
      <c r="AB261" s="566" t="str">
        <f t="shared" si="137"/>
        <v/>
      </c>
      <c r="AC261" s="568" t="str">
        <f t="shared" si="145"/>
        <v/>
      </c>
      <c r="AD261" s="137"/>
      <c r="AE261" s="137"/>
      <c r="AF261" s="138"/>
      <c r="AG261" s="138"/>
      <c r="AH261" s="592" t="str">
        <f t="shared" si="138"/>
        <v/>
      </c>
      <c r="AI261" s="592" t="str">
        <f t="shared" si="139"/>
        <v/>
      </c>
      <c r="AJ261" s="592" t="str">
        <f t="shared" si="140"/>
        <v/>
      </c>
      <c r="AK261" s="460" t="str">
        <f>IF(AU261="","",IF(OR(AZ261=8,AZ261=9),0,IF(OR(AW261=3,AW261=4,AW261=5,AW261=6),IF(LEFT(BF261,1)="1",INDEX(係数_NOX・PM低減,MATCH(AY261,【参考】排出係数!$AI$801:$AI$804,1),1),VLOOKUP(AU261,INDEX((係数_バス貨物_ガソリン,係数_バス貨物_CNG,係数_バス貨物_軽油,係数_バス貨物_メタノール,係数_バス貨物_LPG),MATCH(AY261,【参考】排出係数!$AI$4:$AI$671,1),1,BE261):INDEX((係数_バス貨物_ガソリン,係数_バス貨物_CNG,係数_バス貨物_軽油,係数_バス貨物_メタノール,係数_バス貨物_LPG),MATCH(AY261+1,【参考】排出係数!$AI$4:$AI$671,1)-1,5,BE261),4,FALSE)),IF(AND(BE261=3,LEFT(BF261,1)="1"),0.48,VLOOKUP(AU261,INDEX((係数_乗用_ガソリン,係数_乗用_CNG,係数_乗用_軽油,係数_乗用_メタノール,係数_乗用_LPG),1,1,BE261):INDEX((係数_乗用_ガソリン,係数_乗用_CNG,係数_乗用_軽油,係数_乗用_メタノール,係数_乗用_LPG),125,5,BE261),4,FALSE)))))</f>
        <v/>
      </c>
      <c r="AL261" s="461" t="str">
        <f t="shared" si="164"/>
        <v/>
      </c>
      <c r="AM261" s="460" t="str">
        <f>IF(AU261="","",IF(OR(AZ261=8,AZ261=9),0,IF(OR(AW261=3,AW261=4,AW261=5,AW261=6),IF(LEFT(BH261,1)="1",INDEX(係数_PM低減,MATCH(AY261,【参考】排出係数!$AI$801:$AI$804,1),MATCH(BI261,【参考】排出係数!$AL$798:$AO$798,1)),VLOOKUP(AU261,INDEX((係数_バス貨物_ガソリン,係数_バス貨物_CNG,係数_バス貨物_軽油,係数_バス貨物_メタノール,係数_バス貨物_LPG),MATCH(AY261,【参考】排出係数!$AI$4:$AI$671,1),1,BE261):INDEX((係数_バス貨物_ガソリン,係数_バス貨物_CNG,係数_バス貨物_軽油,係数_バス貨物_メタノール,係数_バス貨物_LPG),MATCH(AY261+1,【参考】排出係数!$AI$4:$AI$671,1)-1,5,BE261),5,FALSE)),IF(AND(BE261=3,LEFT(BF261,1)="1"),0.055,VLOOKUP(AU261,INDEX((係数_乗用_ガソリン,係数_乗用_CNG,係数_乗用_軽油,係数_乗用_メタノール,係数_乗用_LPG),1,1,BE261):INDEX((係数_乗用_ガソリン,係数_乗用_CNG,係数_乗用_軽油,係数_乗用_メタノール,係数_乗用_LPG),125,5,BE261),5,FALSE)))))</f>
        <v/>
      </c>
      <c r="AN261" s="461" t="str">
        <f t="shared" si="165"/>
        <v/>
      </c>
      <c r="AO261" s="462" t="str">
        <f t="shared" si="166"/>
        <v/>
      </c>
      <c r="AP261" s="463" t="str">
        <f t="shared" si="167"/>
        <v/>
      </c>
      <c r="AQ261" s="464"/>
      <c r="AR261" s="619"/>
      <c r="AS261" s="465" t="str">
        <f t="shared" si="146"/>
        <v/>
      </c>
      <c r="AT261" s="465" t="str">
        <f t="shared" si="147"/>
        <v/>
      </c>
      <c r="AU261" s="466" t="str">
        <f t="shared" si="148"/>
        <v/>
      </c>
      <c r="AV261" s="467" t="str">
        <f t="shared" si="149"/>
        <v/>
      </c>
      <c r="AW261" s="467" t="str">
        <f t="shared" si="150"/>
        <v/>
      </c>
      <c r="AX261" s="467" t="str">
        <f t="shared" si="151"/>
        <v/>
      </c>
      <c r="AY261" s="467" t="str">
        <f t="shared" si="152"/>
        <v/>
      </c>
      <c r="AZ261" s="467" t="str">
        <f t="shared" si="153"/>
        <v/>
      </c>
      <c r="BA261" s="468" t="str">
        <f>IF(AS261="","",IF(OR(AU261="",AU261="-"),"－",IF(OR(AZ261=8,AZ261=9),"",IF(OR(AW261=3,AW261=4,AW261=5,AW261=6),VLOOKUP(AU261,INDEX((係数_バス貨物_ガソリン,係数_バス貨物_CNG,係数_バス貨物_軽油,係数_バス貨物_メタノール,係数_バス貨物_LPG),MATCH(AY261,【参考】排出係数!$AI$4:$AI$671,1),1,BE261):INDEX((係数_バス貨物_ガソリン,係数_バス貨物_CNG,係数_バス貨物_軽油,係数_バス貨物_メタノール,係数_バス貨物_LPG),MATCH(AY261+1,【参考】排出係数!$AI$4:$AI$671,1)-1,5,BE261),2,FALSE),IF(OR(AW261=1,AW261=2),VLOOKUP(AU261,INDEX((係数_乗用_ガソリン,係数_乗用_CNG,係数_乗用_軽油,係数_乗用_メタノール,係数_乗用_LPG),1,1,BE261):INDEX((係数_乗用_ガソリン,係数_乗用_CNG,係数_乗用_軽油,係数_乗用_メタノール,係数_乗用_LPG),125,5,BE261),2,FALSE))))))</f>
        <v/>
      </c>
      <c r="BB261" s="468" t="str">
        <f>IF(T261="","",IF(OR(AU261="",AU261="-"),"－",IF(OR(AZ261=8,AZ261=9),"",IF(OR(AW261=3,AW261=4,AW261=5,AW261=6),VLOOKUP(AU261,INDEX((係数_バス貨物_ガソリン,係数_バス貨物_CNG,係数_バス貨物_軽油,係数_バス貨物_メタノール,係数_バス貨物_LPG),MATCH(AY261,【参考】排出係数!$AI$4:$AI$671,1),1,BE261):INDEX((係数_バス貨物_ガソリン,係数_バス貨物_CNG,係数_バス貨物_軽油,係数_バス貨物_メタノール,係数_バス貨物_LPG),MATCH(AY261+1,【参考】排出係数!$AI$4:$AI$671,1)-1,5,BE261),3,FALSE),IF(OR(AW261=1,AW261=2),VLOOKUP(AU261,INDEX((係数_乗用_ガソリン,係数_乗用_CNG,係数_乗用_軽油,係数_乗用_メタノール,係数_乗用_LPG),1,1,BE261):INDEX((係数_乗用_ガソリン,係数_乗用_CNG,係数_乗用_軽油,係数_乗用_メタノール,係数_乗用_LPG),125,5,BE261),3,FALSE))))))</f>
        <v/>
      </c>
      <c r="BC261" s="467" t="str">
        <f t="shared" si="154"/>
        <v/>
      </c>
      <c r="BD261" s="567" t="str">
        <f t="shared" si="155"/>
        <v/>
      </c>
      <c r="BE261" s="467" t="str">
        <f t="shared" si="156"/>
        <v/>
      </c>
      <c r="BF261" s="469" t="str">
        <f t="shared" ca="1" si="157"/>
        <v/>
      </c>
      <c r="BG261" s="469" t="str">
        <f t="shared" ca="1" si="158"/>
        <v/>
      </c>
      <c r="BH261" s="467" t="str">
        <f t="shared" si="159"/>
        <v/>
      </c>
      <c r="BI261" s="467" t="str">
        <f t="shared" ca="1" si="160"/>
        <v/>
      </c>
      <c r="BJ261" s="469" t="str">
        <f t="shared" si="161"/>
        <v/>
      </c>
      <c r="BK261" s="470" t="str">
        <f t="shared" si="141"/>
        <v/>
      </c>
      <c r="BL261" s="775" t="str">
        <f t="shared" si="162"/>
        <v/>
      </c>
      <c r="BM261" s="775" t="str">
        <f t="shared" si="163"/>
        <v/>
      </c>
    </row>
    <row r="262" spans="1:65">
      <c r="A262" s="473">
        <v>206</v>
      </c>
      <c r="B262" s="132"/>
      <c r="C262" s="332"/>
      <c r="D262" s="333"/>
      <c r="E262" s="333"/>
      <c r="F262" s="334"/>
      <c r="G262" s="337"/>
      <c r="H262" s="131"/>
      <c r="I262" s="337"/>
      <c r="J262" s="131"/>
      <c r="K262" s="458" t="str">
        <f t="shared" si="130"/>
        <v/>
      </c>
      <c r="L262" s="458">
        <f t="shared" si="142"/>
        <v>0</v>
      </c>
      <c r="M262" s="458">
        <f t="shared" si="143"/>
        <v>0</v>
      </c>
      <c r="N262" s="459" t="str">
        <f t="shared" si="131"/>
        <v/>
      </c>
      <c r="O262" s="459" t="str">
        <f t="shared" si="132"/>
        <v/>
      </c>
      <c r="P262" s="459" t="str">
        <f t="shared" si="133"/>
        <v/>
      </c>
      <c r="Q262" s="459" t="str">
        <f t="shared" si="134"/>
        <v/>
      </c>
      <c r="R262" s="459" t="str">
        <f t="shared" si="135"/>
        <v/>
      </c>
      <c r="S262" s="459" t="str">
        <f t="shared" si="136"/>
        <v/>
      </c>
      <c r="T262" s="566" t="str">
        <f t="shared" si="144"/>
        <v/>
      </c>
      <c r="U262" s="702"/>
      <c r="V262" s="132"/>
      <c r="W262" s="133"/>
      <c r="X262" s="134"/>
      <c r="Y262" s="135"/>
      <c r="Z262" s="137"/>
      <c r="AA262" s="136"/>
      <c r="AB262" s="566" t="str">
        <f t="shared" si="137"/>
        <v/>
      </c>
      <c r="AC262" s="568" t="str">
        <f t="shared" si="145"/>
        <v/>
      </c>
      <c r="AD262" s="137"/>
      <c r="AE262" s="137"/>
      <c r="AF262" s="138"/>
      <c r="AG262" s="138"/>
      <c r="AH262" s="592" t="str">
        <f t="shared" si="138"/>
        <v/>
      </c>
      <c r="AI262" s="592" t="str">
        <f t="shared" si="139"/>
        <v/>
      </c>
      <c r="AJ262" s="592" t="str">
        <f t="shared" si="140"/>
        <v/>
      </c>
      <c r="AK262" s="460" t="str">
        <f>IF(AU262="","",IF(OR(AZ262=8,AZ262=9),0,IF(OR(AW262=3,AW262=4,AW262=5,AW262=6),IF(LEFT(BF262,1)="1",INDEX(係数_NOX・PM低減,MATCH(AY262,【参考】排出係数!$AI$801:$AI$804,1),1),VLOOKUP(AU262,INDEX((係数_バス貨物_ガソリン,係数_バス貨物_CNG,係数_バス貨物_軽油,係数_バス貨物_メタノール,係数_バス貨物_LPG),MATCH(AY262,【参考】排出係数!$AI$4:$AI$671,1),1,BE262):INDEX((係数_バス貨物_ガソリン,係数_バス貨物_CNG,係数_バス貨物_軽油,係数_バス貨物_メタノール,係数_バス貨物_LPG),MATCH(AY262+1,【参考】排出係数!$AI$4:$AI$671,1)-1,5,BE262),4,FALSE)),IF(AND(BE262=3,LEFT(BF262,1)="1"),0.48,VLOOKUP(AU262,INDEX((係数_乗用_ガソリン,係数_乗用_CNG,係数_乗用_軽油,係数_乗用_メタノール,係数_乗用_LPG),1,1,BE262):INDEX((係数_乗用_ガソリン,係数_乗用_CNG,係数_乗用_軽油,係数_乗用_メタノール,係数_乗用_LPG),125,5,BE262),4,FALSE)))))</f>
        <v/>
      </c>
      <c r="AL262" s="461" t="str">
        <f t="shared" si="164"/>
        <v/>
      </c>
      <c r="AM262" s="460" t="str">
        <f>IF(AU262="","",IF(OR(AZ262=8,AZ262=9),0,IF(OR(AW262=3,AW262=4,AW262=5,AW262=6),IF(LEFT(BH262,1)="1",INDEX(係数_PM低減,MATCH(AY262,【参考】排出係数!$AI$801:$AI$804,1),MATCH(BI262,【参考】排出係数!$AL$798:$AO$798,1)),VLOOKUP(AU262,INDEX((係数_バス貨物_ガソリン,係数_バス貨物_CNG,係数_バス貨物_軽油,係数_バス貨物_メタノール,係数_バス貨物_LPG),MATCH(AY262,【参考】排出係数!$AI$4:$AI$671,1),1,BE262):INDEX((係数_バス貨物_ガソリン,係数_バス貨物_CNG,係数_バス貨物_軽油,係数_バス貨物_メタノール,係数_バス貨物_LPG),MATCH(AY262+1,【参考】排出係数!$AI$4:$AI$671,1)-1,5,BE262),5,FALSE)),IF(AND(BE262=3,LEFT(BF262,1)="1"),0.055,VLOOKUP(AU262,INDEX((係数_乗用_ガソリン,係数_乗用_CNG,係数_乗用_軽油,係数_乗用_メタノール,係数_乗用_LPG),1,1,BE262):INDEX((係数_乗用_ガソリン,係数_乗用_CNG,係数_乗用_軽油,係数_乗用_メタノール,係数_乗用_LPG),125,5,BE262),5,FALSE)))))</f>
        <v/>
      </c>
      <c r="AN262" s="461" t="str">
        <f t="shared" si="165"/>
        <v/>
      </c>
      <c r="AO262" s="462" t="str">
        <f t="shared" si="166"/>
        <v/>
      </c>
      <c r="AP262" s="463" t="str">
        <f t="shared" si="167"/>
        <v/>
      </c>
      <c r="AQ262" s="464"/>
      <c r="AR262" s="619"/>
      <c r="AS262" s="465" t="str">
        <f t="shared" si="146"/>
        <v/>
      </c>
      <c r="AT262" s="465" t="str">
        <f t="shared" si="147"/>
        <v/>
      </c>
      <c r="AU262" s="466" t="str">
        <f t="shared" si="148"/>
        <v/>
      </c>
      <c r="AV262" s="467" t="str">
        <f t="shared" si="149"/>
        <v/>
      </c>
      <c r="AW262" s="467" t="str">
        <f t="shared" si="150"/>
        <v/>
      </c>
      <c r="AX262" s="467" t="str">
        <f t="shared" si="151"/>
        <v/>
      </c>
      <c r="AY262" s="467" t="str">
        <f t="shared" si="152"/>
        <v/>
      </c>
      <c r="AZ262" s="467" t="str">
        <f t="shared" si="153"/>
        <v/>
      </c>
      <c r="BA262" s="468" t="str">
        <f>IF(AS262="","",IF(OR(AU262="",AU262="-"),"－",IF(OR(AZ262=8,AZ262=9),"",IF(OR(AW262=3,AW262=4,AW262=5,AW262=6),VLOOKUP(AU262,INDEX((係数_バス貨物_ガソリン,係数_バス貨物_CNG,係数_バス貨物_軽油,係数_バス貨物_メタノール,係数_バス貨物_LPG),MATCH(AY262,【参考】排出係数!$AI$4:$AI$671,1),1,BE262):INDEX((係数_バス貨物_ガソリン,係数_バス貨物_CNG,係数_バス貨物_軽油,係数_バス貨物_メタノール,係数_バス貨物_LPG),MATCH(AY262+1,【参考】排出係数!$AI$4:$AI$671,1)-1,5,BE262),2,FALSE),IF(OR(AW262=1,AW262=2),VLOOKUP(AU262,INDEX((係数_乗用_ガソリン,係数_乗用_CNG,係数_乗用_軽油,係数_乗用_メタノール,係数_乗用_LPG),1,1,BE262):INDEX((係数_乗用_ガソリン,係数_乗用_CNG,係数_乗用_軽油,係数_乗用_メタノール,係数_乗用_LPG),125,5,BE262),2,FALSE))))))</f>
        <v/>
      </c>
      <c r="BB262" s="468" t="str">
        <f>IF(T262="","",IF(OR(AU262="",AU262="-"),"－",IF(OR(AZ262=8,AZ262=9),"",IF(OR(AW262=3,AW262=4,AW262=5,AW262=6),VLOOKUP(AU262,INDEX((係数_バス貨物_ガソリン,係数_バス貨物_CNG,係数_バス貨物_軽油,係数_バス貨物_メタノール,係数_バス貨物_LPG),MATCH(AY262,【参考】排出係数!$AI$4:$AI$671,1),1,BE262):INDEX((係数_バス貨物_ガソリン,係数_バス貨物_CNG,係数_バス貨物_軽油,係数_バス貨物_メタノール,係数_バス貨物_LPG),MATCH(AY262+1,【参考】排出係数!$AI$4:$AI$671,1)-1,5,BE262),3,FALSE),IF(OR(AW262=1,AW262=2),VLOOKUP(AU262,INDEX((係数_乗用_ガソリン,係数_乗用_CNG,係数_乗用_軽油,係数_乗用_メタノール,係数_乗用_LPG),1,1,BE262):INDEX((係数_乗用_ガソリン,係数_乗用_CNG,係数_乗用_軽油,係数_乗用_メタノール,係数_乗用_LPG),125,5,BE262),3,FALSE))))))</f>
        <v/>
      </c>
      <c r="BC262" s="467" t="str">
        <f t="shared" si="154"/>
        <v/>
      </c>
      <c r="BD262" s="567" t="str">
        <f t="shared" si="155"/>
        <v/>
      </c>
      <c r="BE262" s="467" t="str">
        <f t="shared" si="156"/>
        <v/>
      </c>
      <c r="BF262" s="469" t="str">
        <f t="shared" ca="1" si="157"/>
        <v/>
      </c>
      <c r="BG262" s="469" t="str">
        <f t="shared" ca="1" si="158"/>
        <v/>
      </c>
      <c r="BH262" s="467" t="str">
        <f t="shared" si="159"/>
        <v/>
      </c>
      <c r="BI262" s="467" t="str">
        <f t="shared" ca="1" si="160"/>
        <v/>
      </c>
      <c r="BJ262" s="469" t="str">
        <f t="shared" si="161"/>
        <v/>
      </c>
      <c r="BK262" s="470" t="str">
        <f t="shared" si="141"/>
        <v/>
      </c>
      <c r="BL262" s="775" t="str">
        <f t="shared" si="162"/>
        <v/>
      </c>
      <c r="BM262" s="775" t="str">
        <f t="shared" si="163"/>
        <v/>
      </c>
    </row>
    <row r="263" spans="1:65">
      <c r="A263" s="473">
        <v>207</v>
      </c>
      <c r="B263" s="132"/>
      <c r="C263" s="332"/>
      <c r="D263" s="333"/>
      <c r="E263" s="333"/>
      <c r="F263" s="334"/>
      <c r="G263" s="337"/>
      <c r="H263" s="131"/>
      <c r="I263" s="337"/>
      <c r="J263" s="131"/>
      <c r="K263" s="458" t="str">
        <f t="shared" si="130"/>
        <v/>
      </c>
      <c r="L263" s="458">
        <f t="shared" si="142"/>
        <v>0</v>
      </c>
      <c r="M263" s="458">
        <f t="shared" si="143"/>
        <v>0</v>
      </c>
      <c r="N263" s="459" t="str">
        <f t="shared" si="131"/>
        <v/>
      </c>
      <c r="O263" s="459" t="str">
        <f t="shared" si="132"/>
        <v/>
      </c>
      <c r="P263" s="459" t="str">
        <f t="shared" si="133"/>
        <v/>
      </c>
      <c r="Q263" s="459" t="str">
        <f t="shared" si="134"/>
        <v/>
      </c>
      <c r="R263" s="459" t="str">
        <f t="shared" si="135"/>
        <v/>
      </c>
      <c r="S263" s="459" t="str">
        <f t="shared" si="136"/>
        <v/>
      </c>
      <c r="T263" s="566" t="str">
        <f t="shared" si="144"/>
        <v/>
      </c>
      <c r="U263" s="702"/>
      <c r="V263" s="132"/>
      <c r="W263" s="133"/>
      <c r="X263" s="134"/>
      <c r="Y263" s="135"/>
      <c r="Z263" s="137"/>
      <c r="AA263" s="136"/>
      <c r="AB263" s="566" t="str">
        <f t="shared" si="137"/>
        <v/>
      </c>
      <c r="AC263" s="568" t="str">
        <f t="shared" si="145"/>
        <v/>
      </c>
      <c r="AD263" s="137"/>
      <c r="AE263" s="137"/>
      <c r="AF263" s="138"/>
      <c r="AG263" s="138"/>
      <c r="AH263" s="592" t="str">
        <f t="shared" si="138"/>
        <v/>
      </c>
      <c r="AI263" s="592" t="str">
        <f t="shared" si="139"/>
        <v/>
      </c>
      <c r="AJ263" s="592" t="str">
        <f t="shared" si="140"/>
        <v/>
      </c>
      <c r="AK263" s="460" t="str">
        <f>IF(AU263="","",IF(OR(AZ263=8,AZ263=9),0,IF(OR(AW263=3,AW263=4,AW263=5,AW263=6),IF(LEFT(BF263,1)="1",INDEX(係数_NOX・PM低減,MATCH(AY263,【参考】排出係数!$AI$801:$AI$804,1),1),VLOOKUP(AU263,INDEX((係数_バス貨物_ガソリン,係数_バス貨物_CNG,係数_バス貨物_軽油,係数_バス貨物_メタノール,係数_バス貨物_LPG),MATCH(AY263,【参考】排出係数!$AI$4:$AI$671,1),1,BE263):INDEX((係数_バス貨物_ガソリン,係数_バス貨物_CNG,係数_バス貨物_軽油,係数_バス貨物_メタノール,係数_バス貨物_LPG),MATCH(AY263+1,【参考】排出係数!$AI$4:$AI$671,1)-1,5,BE263),4,FALSE)),IF(AND(BE263=3,LEFT(BF263,1)="1"),0.48,VLOOKUP(AU263,INDEX((係数_乗用_ガソリン,係数_乗用_CNG,係数_乗用_軽油,係数_乗用_メタノール,係数_乗用_LPG),1,1,BE263):INDEX((係数_乗用_ガソリン,係数_乗用_CNG,係数_乗用_軽油,係数_乗用_メタノール,係数_乗用_LPG),125,5,BE263),4,FALSE)))))</f>
        <v/>
      </c>
      <c r="AL263" s="461" t="str">
        <f t="shared" si="164"/>
        <v/>
      </c>
      <c r="AM263" s="460" t="str">
        <f>IF(AU263="","",IF(OR(AZ263=8,AZ263=9),0,IF(OR(AW263=3,AW263=4,AW263=5,AW263=6),IF(LEFT(BH263,1)="1",INDEX(係数_PM低減,MATCH(AY263,【参考】排出係数!$AI$801:$AI$804,1),MATCH(BI263,【参考】排出係数!$AL$798:$AO$798,1)),VLOOKUP(AU263,INDEX((係数_バス貨物_ガソリン,係数_バス貨物_CNG,係数_バス貨物_軽油,係数_バス貨物_メタノール,係数_バス貨物_LPG),MATCH(AY263,【参考】排出係数!$AI$4:$AI$671,1),1,BE263):INDEX((係数_バス貨物_ガソリン,係数_バス貨物_CNG,係数_バス貨物_軽油,係数_バス貨物_メタノール,係数_バス貨物_LPG),MATCH(AY263+1,【参考】排出係数!$AI$4:$AI$671,1)-1,5,BE263),5,FALSE)),IF(AND(BE263=3,LEFT(BF263,1)="1"),0.055,VLOOKUP(AU263,INDEX((係数_乗用_ガソリン,係数_乗用_CNG,係数_乗用_軽油,係数_乗用_メタノール,係数_乗用_LPG),1,1,BE263):INDEX((係数_乗用_ガソリン,係数_乗用_CNG,係数_乗用_軽油,係数_乗用_メタノール,係数_乗用_LPG),125,5,BE263),5,FALSE)))))</f>
        <v/>
      </c>
      <c r="AN263" s="461" t="str">
        <f t="shared" si="165"/>
        <v/>
      </c>
      <c r="AO263" s="462" t="str">
        <f t="shared" si="166"/>
        <v/>
      </c>
      <c r="AP263" s="463" t="str">
        <f t="shared" si="167"/>
        <v/>
      </c>
      <c r="AQ263" s="464"/>
      <c r="AR263" s="619"/>
      <c r="AS263" s="465" t="str">
        <f t="shared" si="146"/>
        <v/>
      </c>
      <c r="AT263" s="465" t="str">
        <f t="shared" si="147"/>
        <v/>
      </c>
      <c r="AU263" s="466" t="str">
        <f t="shared" si="148"/>
        <v/>
      </c>
      <c r="AV263" s="467" t="str">
        <f t="shared" si="149"/>
        <v/>
      </c>
      <c r="AW263" s="467" t="str">
        <f t="shared" si="150"/>
        <v/>
      </c>
      <c r="AX263" s="467" t="str">
        <f t="shared" si="151"/>
        <v/>
      </c>
      <c r="AY263" s="467" t="str">
        <f t="shared" si="152"/>
        <v/>
      </c>
      <c r="AZ263" s="467" t="str">
        <f t="shared" si="153"/>
        <v/>
      </c>
      <c r="BA263" s="468" t="str">
        <f>IF(AS263="","",IF(OR(AU263="",AU263="-"),"－",IF(OR(AZ263=8,AZ263=9),"",IF(OR(AW263=3,AW263=4,AW263=5,AW263=6),VLOOKUP(AU263,INDEX((係数_バス貨物_ガソリン,係数_バス貨物_CNG,係数_バス貨物_軽油,係数_バス貨物_メタノール,係数_バス貨物_LPG),MATCH(AY263,【参考】排出係数!$AI$4:$AI$671,1),1,BE263):INDEX((係数_バス貨物_ガソリン,係数_バス貨物_CNG,係数_バス貨物_軽油,係数_バス貨物_メタノール,係数_バス貨物_LPG),MATCH(AY263+1,【参考】排出係数!$AI$4:$AI$671,1)-1,5,BE263),2,FALSE),IF(OR(AW263=1,AW263=2),VLOOKUP(AU263,INDEX((係数_乗用_ガソリン,係数_乗用_CNG,係数_乗用_軽油,係数_乗用_メタノール,係数_乗用_LPG),1,1,BE263):INDEX((係数_乗用_ガソリン,係数_乗用_CNG,係数_乗用_軽油,係数_乗用_メタノール,係数_乗用_LPG),125,5,BE263),2,FALSE))))))</f>
        <v/>
      </c>
      <c r="BB263" s="468" t="str">
        <f>IF(T263="","",IF(OR(AU263="",AU263="-"),"－",IF(OR(AZ263=8,AZ263=9),"",IF(OR(AW263=3,AW263=4,AW263=5,AW263=6),VLOOKUP(AU263,INDEX((係数_バス貨物_ガソリン,係数_バス貨物_CNG,係数_バス貨物_軽油,係数_バス貨物_メタノール,係数_バス貨物_LPG),MATCH(AY263,【参考】排出係数!$AI$4:$AI$671,1),1,BE263):INDEX((係数_バス貨物_ガソリン,係数_バス貨物_CNG,係数_バス貨物_軽油,係数_バス貨物_メタノール,係数_バス貨物_LPG),MATCH(AY263+1,【参考】排出係数!$AI$4:$AI$671,1)-1,5,BE263),3,FALSE),IF(OR(AW263=1,AW263=2),VLOOKUP(AU263,INDEX((係数_乗用_ガソリン,係数_乗用_CNG,係数_乗用_軽油,係数_乗用_メタノール,係数_乗用_LPG),1,1,BE263):INDEX((係数_乗用_ガソリン,係数_乗用_CNG,係数_乗用_軽油,係数_乗用_メタノール,係数_乗用_LPG),125,5,BE263),3,FALSE))))))</f>
        <v/>
      </c>
      <c r="BC263" s="467" t="str">
        <f t="shared" si="154"/>
        <v/>
      </c>
      <c r="BD263" s="567" t="str">
        <f t="shared" si="155"/>
        <v/>
      </c>
      <c r="BE263" s="467" t="str">
        <f t="shared" si="156"/>
        <v/>
      </c>
      <c r="BF263" s="469" t="str">
        <f t="shared" ca="1" si="157"/>
        <v/>
      </c>
      <c r="BG263" s="469" t="str">
        <f t="shared" ca="1" si="158"/>
        <v/>
      </c>
      <c r="BH263" s="467" t="str">
        <f t="shared" si="159"/>
        <v/>
      </c>
      <c r="BI263" s="467" t="str">
        <f t="shared" ca="1" si="160"/>
        <v/>
      </c>
      <c r="BJ263" s="469" t="str">
        <f t="shared" si="161"/>
        <v/>
      </c>
      <c r="BK263" s="470" t="str">
        <f t="shared" si="141"/>
        <v/>
      </c>
      <c r="BL263" s="775" t="str">
        <f t="shared" si="162"/>
        <v/>
      </c>
      <c r="BM263" s="775" t="str">
        <f t="shared" si="163"/>
        <v/>
      </c>
    </row>
    <row r="264" spans="1:65">
      <c r="A264" s="473">
        <v>208</v>
      </c>
      <c r="B264" s="132"/>
      <c r="C264" s="332"/>
      <c r="D264" s="333"/>
      <c r="E264" s="333"/>
      <c r="F264" s="334"/>
      <c r="G264" s="337"/>
      <c r="H264" s="131"/>
      <c r="I264" s="337"/>
      <c r="J264" s="131"/>
      <c r="K264" s="458" t="str">
        <f t="shared" si="130"/>
        <v/>
      </c>
      <c r="L264" s="458">
        <f t="shared" si="142"/>
        <v>0</v>
      </c>
      <c r="M264" s="458">
        <f t="shared" si="143"/>
        <v>0</v>
      </c>
      <c r="N264" s="459" t="str">
        <f t="shared" si="131"/>
        <v/>
      </c>
      <c r="O264" s="459" t="str">
        <f t="shared" si="132"/>
        <v/>
      </c>
      <c r="P264" s="459" t="str">
        <f t="shared" si="133"/>
        <v/>
      </c>
      <c r="Q264" s="459" t="str">
        <f t="shared" si="134"/>
        <v/>
      </c>
      <c r="R264" s="459" t="str">
        <f t="shared" si="135"/>
        <v/>
      </c>
      <c r="S264" s="459" t="str">
        <f t="shared" si="136"/>
        <v/>
      </c>
      <c r="T264" s="566" t="str">
        <f t="shared" si="144"/>
        <v/>
      </c>
      <c r="U264" s="702"/>
      <c r="V264" s="132"/>
      <c r="W264" s="133"/>
      <c r="X264" s="134"/>
      <c r="Y264" s="135"/>
      <c r="Z264" s="137"/>
      <c r="AA264" s="136"/>
      <c r="AB264" s="566" t="str">
        <f t="shared" si="137"/>
        <v/>
      </c>
      <c r="AC264" s="568" t="str">
        <f t="shared" si="145"/>
        <v/>
      </c>
      <c r="AD264" s="137"/>
      <c r="AE264" s="137"/>
      <c r="AF264" s="138"/>
      <c r="AG264" s="138"/>
      <c r="AH264" s="592" t="str">
        <f t="shared" si="138"/>
        <v/>
      </c>
      <c r="AI264" s="592" t="str">
        <f t="shared" si="139"/>
        <v/>
      </c>
      <c r="AJ264" s="592" t="str">
        <f t="shared" si="140"/>
        <v/>
      </c>
      <c r="AK264" s="460" t="str">
        <f>IF(AU264="","",IF(OR(AZ264=8,AZ264=9),0,IF(OR(AW264=3,AW264=4,AW264=5,AW264=6),IF(LEFT(BF264,1)="1",INDEX(係数_NOX・PM低減,MATCH(AY264,【参考】排出係数!$AI$801:$AI$804,1),1),VLOOKUP(AU264,INDEX((係数_バス貨物_ガソリン,係数_バス貨物_CNG,係数_バス貨物_軽油,係数_バス貨物_メタノール,係数_バス貨物_LPG),MATCH(AY264,【参考】排出係数!$AI$4:$AI$671,1),1,BE264):INDEX((係数_バス貨物_ガソリン,係数_バス貨物_CNG,係数_バス貨物_軽油,係数_バス貨物_メタノール,係数_バス貨物_LPG),MATCH(AY264+1,【参考】排出係数!$AI$4:$AI$671,1)-1,5,BE264),4,FALSE)),IF(AND(BE264=3,LEFT(BF264,1)="1"),0.48,VLOOKUP(AU264,INDEX((係数_乗用_ガソリン,係数_乗用_CNG,係数_乗用_軽油,係数_乗用_メタノール,係数_乗用_LPG),1,1,BE264):INDEX((係数_乗用_ガソリン,係数_乗用_CNG,係数_乗用_軽油,係数_乗用_メタノール,係数_乗用_LPG),125,5,BE264),4,FALSE)))))</f>
        <v/>
      </c>
      <c r="AL264" s="461" t="str">
        <f t="shared" si="164"/>
        <v/>
      </c>
      <c r="AM264" s="460" t="str">
        <f>IF(AU264="","",IF(OR(AZ264=8,AZ264=9),0,IF(OR(AW264=3,AW264=4,AW264=5,AW264=6),IF(LEFT(BH264,1)="1",INDEX(係数_PM低減,MATCH(AY264,【参考】排出係数!$AI$801:$AI$804,1),MATCH(BI264,【参考】排出係数!$AL$798:$AO$798,1)),VLOOKUP(AU264,INDEX((係数_バス貨物_ガソリン,係数_バス貨物_CNG,係数_バス貨物_軽油,係数_バス貨物_メタノール,係数_バス貨物_LPG),MATCH(AY264,【参考】排出係数!$AI$4:$AI$671,1),1,BE264):INDEX((係数_バス貨物_ガソリン,係数_バス貨物_CNG,係数_バス貨物_軽油,係数_バス貨物_メタノール,係数_バス貨物_LPG),MATCH(AY264+1,【参考】排出係数!$AI$4:$AI$671,1)-1,5,BE264),5,FALSE)),IF(AND(BE264=3,LEFT(BF264,1)="1"),0.055,VLOOKUP(AU264,INDEX((係数_乗用_ガソリン,係数_乗用_CNG,係数_乗用_軽油,係数_乗用_メタノール,係数_乗用_LPG),1,1,BE264):INDEX((係数_乗用_ガソリン,係数_乗用_CNG,係数_乗用_軽油,係数_乗用_メタノール,係数_乗用_LPG),125,5,BE264),5,FALSE)))))</f>
        <v/>
      </c>
      <c r="AN264" s="461" t="str">
        <f t="shared" si="165"/>
        <v/>
      </c>
      <c r="AO264" s="462" t="str">
        <f t="shared" si="166"/>
        <v/>
      </c>
      <c r="AP264" s="463" t="str">
        <f t="shared" si="167"/>
        <v/>
      </c>
      <c r="AQ264" s="464"/>
      <c r="AR264" s="619"/>
      <c r="AS264" s="465" t="str">
        <f t="shared" si="146"/>
        <v/>
      </c>
      <c r="AT264" s="465" t="str">
        <f t="shared" si="147"/>
        <v/>
      </c>
      <c r="AU264" s="466" t="str">
        <f t="shared" si="148"/>
        <v/>
      </c>
      <c r="AV264" s="467" t="str">
        <f t="shared" si="149"/>
        <v/>
      </c>
      <c r="AW264" s="467" t="str">
        <f t="shared" si="150"/>
        <v/>
      </c>
      <c r="AX264" s="467" t="str">
        <f t="shared" si="151"/>
        <v/>
      </c>
      <c r="AY264" s="467" t="str">
        <f t="shared" si="152"/>
        <v/>
      </c>
      <c r="AZ264" s="467" t="str">
        <f t="shared" si="153"/>
        <v/>
      </c>
      <c r="BA264" s="468" t="str">
        <f>IF(AS264="","",IF(OR(AU264="",AU264="-"),"－",IF(OR(AZ264=8,AZ264=9),"",IF(OR(AW264=3,AW264=4,AW264=5,AW264=6),VLOOKUP(AU264,INDEX((係数_バス貨物_ガソリン,係数_バス貨物_CNG,係数_バス貨物_軽油,係数_バス貨物_メタノール,係数_バス貨物_LPG),MATCH(AY264,【参考】排出係数!$AI$4:$AI$671,1),1,BE264):INDEX((係数_バス貨物_ガソリン,係数_バス貨物_CNG,係数_バス貨物_軽油,係数_バス貨物_メタノール,係数_バス貨物_LPG),MATCH(AY264+1,【参考】排出係数!$AI$4:$AI$671,1)-1,5,BE264),2,FALSE),IF(OR(AW264=1,AW264=2),VLOOKUP(AU264,INDEX((係数_乗用_ガソリン,係数_乗用_CNG,係数_乗用_軽油,係数_乗用_メタノール,係数_乗用_LPG),1,1,BE264):INDEX((係数_乗用_ガソリン,係数_乗用_CNG,係数_乗用_軽油,係数_乗用_メタノール,係数_乗用_LPG),125,5,BE264),2,FALSE))))))</f>
        <v/>
      </c>
      <c r="BB264" s="468" t="str">
        <f>IF(T264="","",IF(OR(AU264="",AU264="-"),"－",IF(OR(AZ264=8,AZ264=9),"",IF(OR(AW264=3,AW264=4,AW264=5,AW264=6),VLOOKUP(AU264,INDEX((係数_バス貨物_ガソリン,係数_バス貨物_CNG,係数_バス貨物_軽油,係数_バス貨物_メタノール,係数_バス貨物_LPG),MATCH(AY264,【参考】排出係数!$AI$4:$AI$671,1),1,BE264):INDEX((係数_バス貨物_ガソリン,係数_バス貨物_CNG,係数_バス貨物_軽油,係数_バス貨物_メタノール,係数_バス貨物_LPG),MATCH(AY264+1,【参考】排出係数!$AI$4:$AI$671,1)-1,5,BE264),3,FALSE),IF(OR(AW264=1,AW264=2),VLOOKUP(AU264,INDEX((係数_乗用_ガソリン,係数_乗用_CNG,係数_乗用_軽油,係数_乗用_メタノール,係数_乗用_LPG),1,1,BE264):INDEX((係数_乗用_ガソリン,係数_乗用_CNG,係数_乗用_軽油,係数_乗用_メタノール,係数_乗用_LPG),125,5,BE264),3,FALSE))))))</f>
        <v/>
      </c>
      <c r="BC264" s="467" t="str">
        <f t="shared" si="154"/>
        <v/>
      </c>
      <c r="BD264" s="567" t="str">
        <f t="shared" si="155"/>
        <v/>
      </c>
      <c r="BE264" s="467" t="str">
        <f t="shared" si="156"/>
        <v/>
      </c>
      <c r="BF264" s="469" t="str">
        <f t="shared" ca="1" si="157"/>
        <v/>
      </c>
      <c r="BG264" s="469" t="str">
        <f t="shared" ca="1" si="158"/>
        <v/>
      </c>
      <c r="BH264" s="467" t="str">
        <f t="shared" si="159"/>
        <v/>
      </c>
      <c r="BI264" s="467" t="str">
        <f t="shared" ca="1" si="160"/>
        <v/>
      </c>
      <c r="BJ264" s="469" t="str">
        <f t="shared" si="161"/>
        <v/>
      </c>
      <c r="BK264" s="470" t="str">
        <f t="shared" si="141"/>
        <v/>
      </c>
      <c r="BL264" s="775" t="str">
        <f t="shared" si="162"/>
        <v/>
      </c>
      <c r="BM264" s="775" t="str">
        <f t="shared" si="163"/>
        <v/>
      </c>
    </row>
    <row r="265" spans="1:65">
      <c r="A265" s="473">
        <v>209</v>
      </c>
      <c r="B265" s="132"/>
      <c r="C265" s="332"/>
      <c r="D265" s="333"/>
      <c r="E265" s="333"/>
      <c r="F265" s="334"/>
      <c r="G265" s="337"/>
      <c r="H265" s="131"/>
      <c r="I265" s="337"/>
      <c r="J265" s="131"/>
      <c r="K265" s="458" t="str">
        <f t="shared" si="130"/>
        <v/>
      </c>
      <c r="L265" s="458">
        <f t="shared" si="142"/>
        <v>0</v>
      </c>
      <c r="M265" s="458">
        <f t="shared" si="143"/>
        <v>0</v>
      </c>
      <c r="N265" s="459" t="str">
        <f t="shared" si="131"/>
        <v/>
      </c>
      <c r="O265" s="459" t="str">
        <f t="shared" si="132"/>
        <v/>
      </c>
      <c r="P265" s="459" t="str">
        <f t="shared" si="133"/>
        <v/>
      </c>
      <c r="Q265" s="459" t="str">
        <f t="shared" si="134"/>
        <v/>
      </c>
      <c r="R265" s="459" t="str">
        <f t="shared" si="135"/>
        <v/>
      </c>
      <c r="S265" s="459" t="str">
        <f t="shared" si="136"/>
        <v/>
      </c>
      <c r="T265" s="566" t="str">
        <f t="shared" si="144"/>
        <v/>
      </c>
      <c r="U265" s="702"/>
      <c r="V265" s="132"/>
      <c r="W265" s="133"/>
      <c r="X265" s="134"/>
      <c r="Y265" s="135"/>
      <c r="Z265" s="137"/>
      <c r="AA265" s="136"/>
      <c r="AB265" s="566" t="str">
        <f t="shared" si="137"/>
        <v/>
      </c>
      <c r="AC265" s="568" t="str">
        <f t="shared" si="145"/>
        <v/>
      </c>
      <c r="AD265" s="137"/>
      <c r="AE265" s="137"/>
      <c r="AF265" s="138"/>
      <c r="AG265" s="138"/>
      <c r="AH265" s="592" t="str">
        <f t="shared" si="138"/>
        <v/>
      </c>
      <c r="AI265" s="592" t="str">
        <f t="shared" si="139"/>
        <v/>
      </c>
      <c r="AJ265" s="592" t="str">
        <f t="shared" si="140"/>
        <v/>
      </c>
      <c r="AK265" s="460" t="str">
        <f>IF(AU265="","",IF(OR(AZ265=8,AZ265=9),0,IF(OR(AW265=3,AW265=4,AW265=5,AW265=6),IF(LEFT(BF265,1)="1",INDEX(係数_NOX・PM低減,MATCH(AY265,【参考】排出係数!$AI$801:$AI$804,1),1),VLOOKUP(AU265,INDEX((係数_バス貨物_ガソリン,係数_バス貨物_CNG,係数_バス貨物_軽油,係数_バス貨物_メタノール,係数_バス貨物_LPG),MATCH(AY265,【参考】排出係数!$AI$4:$AI$671,1),1,BE265):INDEX((係数_バス貨物_ガソリン,係数_バス貨物_CNG,係数_バス貨物_軽油,係数_バス貨物_メタノール,係数_バス貨物_LPG),MATCH(AY265+1,【参考】排出係数!$AI$4:$AI$671,1)-1,5,BE265),4,FALSE)),IF(AND(BE265=3,LEFT(BF265,1)="1"),0.48,VLOOKUP(AU265,INDEX((係数_乗用_ガソリン,係数_乗用_CNG,係数_乗用_軽油,係数_乗用_メタノール,係数_乗用_LPG),1,1,BE265):INDEX((係数_乗用_ガソリン,係数_乗用_CNG,係数_乗用_軽油,係数_乗用_メタノール,係数_乗用_LPG),125,5,BE265),4,FALSE)))))</f>
        <v/>
      </c>
      <c r="AL265" s="461" t="str">
        <f t="shared" si="164"/>
        <v/>
      </c>
      <c r="AM265" s="460" t="str">
        <f>IF(AU265="","",IF(OR(AZ265=8,AZ265=9),0,IF(OR(AW265=3,AW265=4,AW265=5,AW265=6),IF(LEFT(BH265,1)="1",INDEX(係数_PM低減,MATCH(AY265,【参考】排出係数!$AI$801:$AI$804,1),MATCH(BI265,【参考】排出係数!$AL$798:$AO$798,1)),VLOOKUP(AU265,INDEX((係数_バス貨物_ガソリン,係数_バス貨物_CNG,係数_バス貨物_軽油,係数_バス貨物_メタノール,係数_バス貨物_LPG),MATCH(AY265,【参考】排出係数!$AI$4:$AI$671,1),1,BE265):INDEX((係数_バス貨物_ガソリン,係数_バス貨物_CNG,係数_バス貨物_軽油,係数_バス貨物_メタノール,係数_バス貨物_LPG),MATCH(AY265+1,【参考】排出係数!$AI$4:$AI$671,1)-1,5,BE265),5,FALSE)),IF(AND(BE265=3,LEFT(BF265,1)="1"),0.055,VLOOKUP(AU265,INDEX((係数_乗用_ガソリン,係数_乗用_CNG,係数_乗用_軽油,係数_乗用_メタノール,係数_乗用_LPG),1,1,BE265):INDEX((係数_乗用_ガソリン,係数_乗用_CNG,係数_乗用_軽油,係数_乗用_メタノール,係数_乗用_LPG),125,5,BE265),5,FALSE)))))</f>
        <v/>
      </c>
      <c r="AN265" s="461" t="str">
        <f t="shared" si="165"/>
        <v/>
      </c>
      <c r="AO265" s="462" t="str">
        <f t="shared" si="166"/>
        <v/>
      </c>
      <c r="AP265" s="463" t="str">
        <f t="shared" si="167"/>
        <v/>
      </c>
      <c r="AQ265" s="464"/>
      <c r="AR265" s="619"/>
      <c r="AS265" s="465" t="str">
        <f t="shared" si="146"/>
        <v/>
      </c>
      <c r="AT265" s="465" t="str">
        <f t="shared" si="147"/>
        <v/>
      </c>
      <c r="AU265" s="466" t="str">
        <f t="shared" si="148"/>
        <v/>
      </c>
      <c r="AV265" s="467" t="str">
        <f t="shared" si="149"/>
        <v/>
      </c>
      <c r="AW265" s="467" t="str">
        <f t="shared" si="150"/>
        <v/>
      </c>
      <c r="AX265" s="467" t="str">
        <f t="shared" si="151"/>
        <v/>
      </c>
      <c r="AY265" s="467" t="str">
        <f t="shared" si="152"/>
        <v/>
      </c>
      <c r="AZ265" s="467" t="str">
        <f t="shared" si="153"/>
        <v/>
      </c>
      <c r="BA265" s="468" t="str">
        <f>IF(AS265="","",IF(OR(AU265="",AU265="-"),"－",IF(OR(AZ265=8,AZ265=9),"",IF(OR(AW265=3,AW265=4,AW265=5,AW265=6),VLOOKUP(AU265,INDEX((係数_バス貨物_ガソリン,係数_バス貨物_CNG,係数_バス貨物_軽油,係数_バス貨物_メタノール,係数_バス貨物_LPG),MATCH(AY265,【参考】排出係数!$AI$4:$AI$671,1),1,BE265):INDEX((係数_バス貨物_ガソリン,係数_バス貨物_CNG,係数_バス貨物_軽油,係数_バス貨物_メタノール,係数_バス貨物_LPG),MATCH(AY265+1,【参考】排出係数!$AI$4:$AI$671,1)-1,5,BE265),2,FALSE),IF(OR(AW265=1,AW265=2),VLOOKUP(AU265,INDEX((係数_乗用_ガソリン,係数_乗用_CNG,係数_乗用_軽油,係数_乗用_メタノール,係数_乗用_LPG),1,1,BE265):INDEX((係数_乗用_ガソリン,係数_乗用_CNG,係数_乗用_軽油,係数_乗用_メタノール,係数_乗用_LPG),125,5,BE265),2,FALSE))))))</f>
        <v/>
      </c>
      <c r="BB265" s="468" t="str">
        <f>IF(T265="","",IF(OR(AU265="",AU265="-"),"－",IF(OR(AZ265=8,AZ265=9),"",IF(OR(AW265=3,AW265=4,AW265=5,AW265=6),VLOOKUP(AU265,INDEX((係数_バス貨物_ガソリン,係数_バス貨物_CNG,係数_バス貨物_軽油,係数_バス貨物_メタノール,係数_バス貨物_LPG),MATCH(AY265,【参考】排出係数!$AI$4:$AI$671,1),1,BE265):INDEX((係数_バス貨物_ガソリン,係数_バス貨物_CNG,係数_バス貨物_軽油,係数_バス貨物_メタノール,係数_バス貨物_LPG),MATCH(AY265+1,【参考】排出係数!$AI$4:$AI$671,1)-1,5,BE265),3,FALSE),IF(OR(AW265=1,AW265=2),VLOOKUP(AU265,INDEX((係数_乗用_ガソリン,係数_乗用_CNG,係数_乗用_軽油,係数_乗用_メタノール,係数_乗用_LPG),1,1,BE265):INDEX((係数_乗用_ガソリン,係数_乗用_CNG,係数_乗用_軽油,係数_乗用_メタノール,係数_乗用_LPG),125,5,BE265),3,FALSE))))))</f>
        <v/>
      </c>
      <c r="BC265" s="467" t="str">
        <f t="shared" si="154"/>
        <v/>
      </c>
      <c r="BD265" s="567" t="str">
        <f t="shared" si="155"/>
        <v/>
      </c>
      <c r="BE265" s="467" t="str">
        <f t="shared" si="156"/>
        <v/>
      </c>
      <c r="BF265" s="469" t="str">
        <f t="shared" ca="1" si="157"/>
        <v/>
      </c>
      <c r="BG265" s="469" t="str">
        <f t="shared" ca="1" si="158"/>
        <v/>
      </c>
      <c r="BH265" s="467" t="str">
        <f t="shared" si="159"/>
        <v/>
      </c>
      <c r="BI265" s="467" t="str">
        <f t="shared" ca="1" si="160"/>
        <v/>
      </c>
      <c r="BJ265" s="469" t="str">
        <f t="shared" si="161"/>
        <v/>
      </c>
      <c r="BK265" s="470" t="str">
        <f t="shared" si="141"/>
        <v/>
      </c>
      <c r="BL265" s="775" t="str">
        <f t="shared" si="162"/>
        <v/>
      </c>
      <c r="BM265" s="775" t="str">
        <f t="shared" si="163"/>
        <v/>
      </c>
    </row>
    <row r="266" spans="1:65">
      <c r="A266" s="473">
        <v>210</v>
      </c>
      <c r="B266" s="132"/>
      <c r="C266" s="332"/>
      <c r="D266" s="333"/>
      <c r="E266" s="333"/>
      <c r="F266" s="334"/>
      <c r="G266" s="337"/>
      <c r="H266" s="131"/>
      <c r="I266" s="337"/>
      <c r="J266" s="131"/>
      <c r="K266" s="458" t="str">
        <f t="shared" si="130"/>
        <v/>
      </c>
      <c r="L266" s="458">
        <f t="shared" si="142"/>
        <v>0</v>
      </c>
      <c r="M266" s="458">
        <f t="shared" si="143"/>
        <v>0</v>
      </c>
      <c r="N266" s="459" t="str">
        <f t="shared" si="131"/>
        <v/>
      </c>
      <c r="O266" s="459" t="str">
        <f t="shared" si="132"/>
        <v/>
      </c>
      <c r="P266" s="459" t="str">
        <f t="shared" si="133"/>
        <v/>
      </c>
      <c r="Q266" s="459" t="str">
        <f t="shared" si="134"/>
        <v/>
      </c>
      <c r="R266" s="459" t="str">
        <f t="shared" si="135"/>
        <v/>
      </c>
      <c r="S266" s="459" t="str">
        <f t="shared" si="136"/>
        <v/>
      </c>
      <c r="T266" s="566" t="str">
        <f t="shared" si="144"/>
        <v/>
      </c>
      <c r="U266" s="702"/>
      <c r="V266" s="132"/>
      <c r="W266" s="133"/>
      <c r="X266" s="134"/>
      <c r="Y266" s="135"/>
      <c r="Z266" s="137"/>
      <c r="AA266" s="136"/>
      <c r="AB266" s="566" t="str">
        <f t="shared" si="137"/>
        <v/>
      </c>
      <c r="AC266" s="568" t="str">
        <f t="shared" si="145"/>
        <v/>
      </c>
      <c r="AD266" s="137"/>
      <c r="AE266" s="137"/>
      <c r="AF266" s="138"/>
      <c r="AG266" s="138"/>
      <c r="AH266" s="592" t="str">
        <f t="shared" si="138"/>
        <v/>
      </c>
      <c r="AI266" s="592" t="str">
        <f t="shared" si="139"/>
        <v/>
      </c>
      <c r="AJ266" s="592" t="str">
        <f t="shared" si="140"/>
        <v/>
      </c>
      <c r="AK266" s="460" t="str">
        <f>IF(AU266="","",IF(OR(AZ266=8,AZ266=9),0,IF(OR(AW266=3,AW266=4,AW266=5,AW266=6),IF(LEFT(BF266,1)="1",INDEX(係数_NOX・PM低減,MATCH(AY266,【参考】排出係数!$AI$801:$AI$804,1),1),VLOOKUP(AU266,INDEX((係数_バス貨物_ガソリン,係数_バス貨物_CNG,係数_バス貨物_軽油,係数_バス貨物_メタノール,係数_バス貨物_LPG),MATCH(AY266,【参考】排出係数!$AI$4:$AI$671,1),1,BE266):INDEX((係数_バス貨物_ガソリン,係数_バス貨物_CNG,係数_バス貨物_軽油,係数_バス貨物_メタノール,係数_バス貨物_LPG),MATCH(AY266+1,【参考】排出係数!$AI$4:$AI$671,1)-1,5,BE266),4,FALSE)),IF(AND(BE266=3,LEFT(BF266,1)="1"),0.48,VLOOKUP(AU266,INDEX((係数_乗用_ガソリン,係数_乗用_CNG,係数_乗用_軽油,係数_乗用_メタノール,係数_乗用_LPG),1,1,BE266):INDEX((係数_乗用_ガソリン,係数_乗用_CNG,係数_乗用_軽油,係数_乗用_メタノール,係数_乗用_LPG),125,5,BE266),4,FALSE)))))</f>
        <v/>
      </c>
      <c r="AL266" s="461" t="str">
        <f t="shared" si="164"/>
        <v/>
      </c>
      <c r="AM266" s="460" t="str">
        <f>IF(AU266="","",IF(OR(AZ266=8,AZ266=9),0,IF(OR(AW266=3,AW266=4,AW266=5,AW266=6),IF(LEFT(BH266,1)="1",INDEX(係数_PM低減,MATCH(AY266,【参考】排出係数!$AI$801:$AI$804,1),MATCH(BI266,【参考】排出係数!$AL$798:$AO$798,1)),VLOOKUP(AU266,INDEX((係数_バス貨物_ガソリン,係数_バス貨物_CNG,係数_バス貨物_軽油,係数_バス貨物_メタノール,係数_バス貨物_LPG),MATCH(AY266,【参考】排出係数!$AI$4:$AI$671,1),1,BE266):INDEX((係数_バス貨物_ガソリン,係数_バス貨物_CNG,係数_バス貨物_軽油,係数_バス貨物_メタノール,係数_バス貨物_LPG),MATCH(AY266+1,【参考】排出係数!$AI$4:$AI$671,1)-1,5,BE266),5,FALSE)),IF(AND(BE266=3,LEFT(BF266,1)="1"),0.055,VLOOKUP(AU266,INDEX((係数_乗用_ガソリン,係数_乗用_CNG,係数_乗用_軽油,係数_乗用_メタノール,係数_乗用_LPG),1,1,BE266):INDEX((係数_乗用_ガソリン,係数_乗用_CNG,係数_乗用_軽油,係数_乗用_メタノール,係数_乗用_LPG),125,5,BE266),5,FALSE)))))</f>
        <v/>
      </c>
      <c r="AN266" s="461" t="str">
        <f t="shared" si="165"/>
        <v/>
      </c>
      <c r="AO266" s="462" t="str">
        <f t="shared" si="166"/>
        <v/>
      </c>
      <c r="AP266" s="463" t="str">
        <f t="shared" si="167"/>
        <v/>
      </c>
      <c r="AQ266" s="464"/>
      <c r="AR266" s="619"/>
      <c r="AS266" s="465" t="str">
        <f t="shared" si="146"/>
        <v/>
      </c>
      <c r="AT266" s="465" t="str">
        <f t="shared" si="147"/>
        <v/>
      </c>
      <c r="AU266" s="466" t="str">
        <f t="shared" si="148"/>
        <v/>
      </c>
      <c r="AV266" s="467" t="str">
        <f t="shared" si="149"/>
        <v/>
      </c>
      <c r="AW266" s="467" t="str">
        <f t="shared" si="150"/>
        <v/>
      </c>
      <c r="AX266" s="467" t="str">
        <f t="shared" si="151"/>
        <v/>
      </c>
      <c r="AY266" s="467" t="str">
        <f t="shared" si="152"/>
        <v/>
      </c>
      <c r="AZ266" s="467" t="str">
        <f t="shared" si="153"/>
        <v/>
      </c>
      <c r="BA266" s="468" t="str">
        <f>IF(AS266="","",IF(OR(AU266="",AU266="-"),"－",IF(OR(AZ266=8,AZ266=9),"",IF(OR(AW266=3,AW266=4,AW266=5,AW266=6),VLOOKUP(AU266,INDEX((係数_バス貨物_ガソリン,係数_バス貨物_CNG,係数_バス貨物_軽油,係数_バス貨物_メタノール,係数_バス貨物_LPG),MATCH(AY266,【参考】排出係数!$AI$4:$AI$671,1),1,BE266):INDEX((係数_バス貨物_ガソリン,係数_バス貨物_CNG,係数_バス貨物_軽油,係数_バス貨物_メタノール,係数_バス貨物_LPG),MATCH(AY266+1,【参考】排出係数!$AI$4:$AI$671,1)-1,5,BE266),2,FALSE),IF(OR(AW266=1,AW266=2),VLOOKUP(AU266,INDEX((係数_乗用_ガソリン,係数_乗用_CNG,係数_乗用_軽油,係数_乗用_メタノール,係数_乗用_LPG),1,1,BE266):INDEX((係数_乗用_ガソリン,係数_乗用_CNG,係数_乗用_軽油,係数_乗用_メタノール,係数_乗用_LPG),125,5,BE266),2,FALSE))))))</f>
        <v/>
      </c>
      <c r="BB266" s="468" t="str">
        <f>IF(T266="","",IF(OR(AU266="",AU266="-"),"－",IF(OR(AZ266=8,AZ266=9),"",IF(OR(AW266=3,AW266=4,AW266=5,AW266=6),VLOOKUP(AU266,INDEX((係数_バス貨物_ガソリン,係数_バス貨物_CNG,係数_バス貨物_軽油,係数_バス貨物_メタノール,係数_バス貨物_LPG),MATCH(AY266,【参考】排出係数!$AI$4:$AI$671,1),1,BE266):INDEX((係数_バス貨物_ガソリン,係数_バス貨物_CNG,係数_バス貨物_軽油,係数_バス貨物_メタノール,係数_バス貨物_LPG),MATCH(AY266+1,【参考】排出係数!$AI$4:$AI$671,1)-1,5,BE266),3,FALSE),IF(OR(AW266=1,AW266=2),VLOOKUP(AU266,INDEX((係数_乗用_ガソリン,係数_乗用_CNG,係数_乗用_軽油,係数_乗用_メタノール,係数_乗用_LPG),1,1,BE266):INDEX((係数_乗用_ガソリン,係数_乗用_CNG,係数_乗用_軽油,係数_乗用_メタノール,係数_乗用_LPG),125,5,BE266),3,FALSE))))))</f>
        <v/>
      </c>
      <c r="BC266" s="467" t="str">
        <f t="shared" si="154"/>
        <v/>
      </c>
      <c r="BD266" s="567" t="str">
        <f t="shared" si="155"/>
        <v/>
      </c>
      <c r="BE266" s="467" t="str">
        <f t="shared" si="156"/>
        <v/>
      </c>
      <c r="BF266" s="469" t="str">
        <f t="shared" ca="1" si="157"/>
        <v/>
      </c>
      <c r="BG266" s="469" t="str">
        <f t="shared" ca="1" si="158"/>
        <v/>
      </c>
      <c r="BH266" s="467" t="str">
        <f t="shared" si="159"/>
        <v/>
      </c>
      <c r="BI266" s="467" t="str">
        <f t="shared" ca="1" si="160"/>
        <v/>
      </c>
      <c r="BJ266" s="469" t="str">
        <f t="shared" si="161"/>
        <v/>
      </c>
      <c r="BK266" s="470" t="str">
        <f t="shared" si="141"/>
        <v/>
      </c>
      <c r="BL266" s="775" t="str">
        <f t="shared" si="162"/>
        <v/>
      </c>
      <c r="BM266" s="775" t="str">
        <f t="shared" si="163"/>
        <v/>
      </c>
    </row>
    <row r="267" spans="1:65">
      <c r="A267" s="473">
        <v>211</v>
      </c>
      <c r="B267" s="132"/>
      <c r="C267" s="332"/>
      <c r="D267" s="333"/>
      <c r="E267" s="333"/>
      <c r="F267" s="334"/>
      <c r="G267" s="337"/>
      <c r="H267" s="131"/>
      <c r="I267" s="337"/>
      <c r="J267" s="131"/>
      <c r="K267" s="458" t="str">
        <f t="shared" si="130"/>
        <v/>
      </c>
      <c r="L267" s="458">
        <f t="shared" si="142"/>
        <v>0</v>
      </c>
      <c r="M267" s="458">
        <f t="shared" si="143"/>
        <v>0</v>
      </c>
      <c r="N267" s="459" t="str">
        <f t="shared" si="131"/>
        <v/>
      </c>
      <c r="O267" s="459" t="str">
        <f t="shared" si="132"/>
        <v/>
      </c>
      <c r="P267" s="459" t="str">
        <f t="shared" si="133"/>
        <v/>
      </c>
      <c r="Q267" s="459" t="str">
        <f t="shared" si="134"/>
        <v/>
      </c>
      <c r="R267" s="459" t="str">
        <f t="shared" si="135"/>
        <v/>
      </c>
      <c r="S267" s="459" t="str">
        <f t="shared" si="136"/>
        <v/>
      </c>
      <c r="T267" s="566" t="str">
        <f t="shared" si="144"/>
        <v/>
      </c>
      <c r="U267" s="702"/>
      <c r="V267" s="132"/>
      <c r="W267" s="133"/>
      <c r="X267" s="134"/>
      <c r="Y267" s="135"/>
      <c r="Z267" s="137"/>
      <c r="AA267" s="136"/>
      <c r="AB267" s="566" t="str">
        <f t="shared" si="137"/>
        <v/>
      </c>
      <c r="AC267" s="568" t="str">
        <f t="shared" si="145"/>
        <v/>
      </c>
      <c r="AD267" s="137"/>
      <c r="AE267" s="137"/>
      <c r="AF267" s="138"/>
      <c r="AG267" s="138"/>
      <c r="AH267" s="592" t="str">
        <f t="shared" si="138"/>
        <v/>
      </c>
      <c r="AI267" s="592" t="str">
        <f t="shared" si="139"/>
        <v/>
      </c>
      <c r="AJ267" s="592" t="str">
        <f t="shared" si="140"/>
        <v/>
      </c>
      <c r="AK267" s="460" t="str">
        <f>IF(AU267="","",IF(OR(AZ267=8,AZ267=9),0,IF(OR(AW267=3,AW267=4,AW267=5,AW267=6),IF(LEFT(BF267,1)="1",INDEX(係数_NOX・PM低減,MATCH(AY267,【参考】排出係数!$AI$801:$AI$804,1),1),VLOOKUP(AU267,INDEX((係数_バス貨物_ガソリン,係数_バス貨物_CNG,係数_バス貨物_軽油,係数_バス貨物_メタノール,係数_バス貨物_LPG),MATCH(AY267,【参考】排出係数!$AI$4:$AI$671,1),1,BE267):INDEX((係数_バス貨物_ガソリン,係数_バス貨物_CNG,係数_バス貨物_軽油,係数_バス貨物_メタノール,係数_バス貨物_LPG),MATCH(AY267+1,【参考】排出係数!$AI$4:$AI$671,1)-1,5,BE267),4,FALSE)),IF(AND(BE267=3,LEFT(BF267,1)="1"),0.48,VLOOKUP(AU267,INDEX((係数_乗用_ガソリン,係数_乗用_CNG,係数_乗用_軽油,係数_乗用_メタノール,係数_乗用_LPG),1,1,BE267):INDEX((係数_乗用_ガソリン,係数_乗用_CNG,係数_乗用_軽油,係数_乗用_メタノール,係数_乗用_LPG),125,5,BE267),4,FALSE)))))</f>
        <v/>
      </c>
      <c r="AL267" s="461" t="str">
        <f t="shared" si="164"/>
        <v/>
      </c>
      <c r="AM267" s="460" t="str">
        <f>IF(AU267="","",IF(OR(AZ267=8,AZ267=9),0,IF(OR(AW267=3,AW267=4,AW267=5,AW267=6),IF(LEFT(BH267,1)="1",INDEX(係数_PM低減,MATCH(AY267,【参考】排出係数!$AI$801:$AI$804,1),MATCH(BI267,【参考】排出係数!$AL$798:$AO$798,1)),VLOOKUP(AU267,INDEX((係数_バス貨物_ガソリン,係数_バス貨物_CNG,係数_バス貨物_軽油,係数_バス貨物_メタノール,係数_バス貨物_LPG),MATCH(AY267,【参考】排出係数!$AI$4:$AI$671,1),1,BE267):INDEX((係数_バス貨物_ガソリン,係数_バス貨物_CNG,係数_バス貨物_軽油,係数_バス貨物_メタノール,係数_バス貨物_LPG),MATCH(AY267+1,【参考】排出係数!$AI$4:$AI$671,1)-1,5,BE267),5,FALSE)),IF(AND(BE267=3,LEFT(BF267,1)="1"),0.055,VLOOKUP(AU267,INDEX((係数_乗用_ガソリン,係数_乗用_CNG,係数_乗用_軽油,係数_乗用_メタノール,係数_乗用_LPG),1,1,BE267):INDEX((係数_乗用_ガソリン,係数_乗用_CNG,係数_乗用_軽油,係数_乗用_メタノール,係数_乗用_LPG),125,5,BE267),5,FALSE)))))</f>
        <v/>
      </c>
      <c r="AN267" s="461" t="str">
        <f t="shared" si="165"/>
        <v/>
      </c>
      <c r="AO267" s="462" t="str">
        <f t="shared" si="166"/>
        <v/>
      </c>
      <c r="AP267" s="463" t="str">
        <f t="shared" si="167"/>
        <v/>
      </c>
      <c r="AQ267" s="464"/>
      <c r="AR267" s="619"/>
      <c r="AS267" s="465" t="str">
        <f t="shared" si="146"/>
        <v/>
      </c>
      <c r="AT267" s="465" t="str">
        <f t="shared" si="147"/>
        <v/>
      </c>
      <c r="AU267" s="466" t="str">
        <f t="shared" si="148"/>
        <v/>
      </c>
      <c r="AV267" s="467" t="str">
        <f t="shared" si="149"/>
        <v/>
      </c>
      <c r="AW267" s="467" t="str">
        <f t="shared" si="150"/>
        <v/>
      </c>
      <c r="AX267" s="467" t="str">
        <f t="shared" si="151"/>
        <v/>
      </c>
      <c r="AY267" s="467" t="str">
        <f t="shared" si="152"/>
        <v/>
      </c>
      <c r="AZ267" s="467" t="str">
        <f t="shared" si="153"/>
        <v/>
      </c>
      <c r="BA267" s="468" t="str">
        <f>IF(AS267="","",IF(OR(AU267="",AU267="-"),"－",IF(OR(AZ267=8,AZ267=9),"",IF(OR(AW267=3,AW267=4,AW267=5,AW267=6),VLOOKUP(AU267,INDEX((係数_バス貨物_ガソリン,係数_バス貨物_CNG,係数_バス貨物_軽油,係数_バス貨物_メタノール,係数_バス貨物_LPG),MATCH(AY267,【参考】排出係数!$AI$4:$AI$671,1),1,BE267):INDEX((係数_バス貨物_ガソリン,係数_バス貨物_CNG,係数_バス貨物_軽油,係数_バス貨物_メタノール,係数_バス貨物_LPG),MATCH(AY267+1,【参考】排出係数!$AI$4:$AI$671,1)-1,5,BE267),2,FALSE),IF(OR(AW267=1,AW267=2),VLOOKUP(AU267,INDEX((係数_乗用_ガソリン,係数_乗用_CNG,係数_乗用_軽油,係数_乗用_メタノール,係数_乗用_LPG),1,1,BE267):INDEX((係数_乗用_ガソリン,係数_乗用_CNG,係数_乗用_軽油,係数_乗用_メタノール,係数_乗用_LPG),125,5,BE267),2,FALSE))))))</f>
        <v/>
      </c>
      <c r="BB267" s="468" t="str">
        <f>IF(T267="","",IF(OR(AU267="",AU267="-"),"－",IF(OR(AZ267=8,AZ267=9),"",IF(OR(AW267=3,AW267=4,AW267=5,AW267=6),VLOOKUP(AU267,INDEX((係数_バス貨物_ガソリン,係数_バス貨物_CNG,係数_バス貨物_軽油,係数_バス貨物_メタノール,係数_バス貨物_LPG),MATCH(AY267,【参考】排出係数!$AI$4:$AI$671,1),1,BE267):INDEX((係数_バス貨物_ガソリン,係数_バス貨物_CNG,係数_バス貨物_軽油,係数_バス貨物_メタノール,係数_バス貨物_LPG),MATCH(AY267+1,【参考】排出係数!$AI$4:$AI$671,1)-1,5,BE267),3,FALSE),IF(OR(AW267=1,AW267=2),VLOOKUP(AU267,INDEX((係数_乗用_ガソリン,係数_乗用_CNG,係数_乗用_軽油,係数_乗用_メタノール,係数_乗用_LPG),1,1,BE267):INDEX((係数_乗用_ガソリン,係数_乗用_CNG,係数_乗用_軽油,係数_乗用_メタノール,係数_乗用_LPG),125,5,BE267),3,FALSE))))))</f>
        <v/>
      </c>
      <c r="BC267" s="467" t="str">
        <f t="shared" si="154"/>
        <v/>
      </c>
      <c r="BD267" s="567" t="str">
        <f t="shared" si="155"/>
        <v/>
      </c>
      <c r="BE267" s="467" t="str">
        <f t="shared" si="156"/>
        <v/>
      </c>
      <c r="BF267" s="469" t="str">
        <f t="shared" ca="1" si="157"/>
        <v/>
      </c>
      <c r="BG267" s="469" t="str">
        <f t="shared" ca="1" si="158"/>
        <v/>
      </c>
      <c r="BH267" s="467" t="str">
        <f t="shared" si="159"/>
        <v/>
      </c>
      <c r="BI267" s="467" t="str">
        <f t="shared" ca="1" si="160"/>
        <v/>
      </c>
      <c r="BJ267" s="469" t="str">
        <f t="shared" si="161"/>
        <v/>
      </c>
      <c r="BK267" s="470" t="str">
        <f t="shared" si="141"/>
        <v/>
      </c>
      <c r="BL267" s="775" t="str">
        <f t="shared" si="162"/>
        <v/>
      </c>
      <c r="BM267" s="775" t="str">
        <f t="shared" si="163"/>
        <v/>
      </c>
    </row>
    <row r="268" spans="1:65">
      <c r="A268" s="473">
        <v>212</v>
      </c>
      <c r="B268" s="132"/>
      <c r="C268" s="332"/>
      <c r="D268" s="333"/>
      <c r="E268" s="333"/>
      <c r="F268" s="334"/>
      <c r="G268" s="337"/>
      <c r="H268" s="131"/>
      <c r="I268" s="337"/>
      <c r="J268" s="131"/>
      <c r="K268" s="458" t="str">
        <f t="shared" si="130"/>
        <v/>
      </c>
      <c r="L268" s="458">
        <f t="shared" si="142"/>
        <v>0</v>
      </c>
      <c r="M268" s="458">
        <f t="shared" si="143"/>
        <v>0</v>
      </c>
      <c r="N268" s="459" t="str">
        <f t="shared" si="131"/>
        <v/>
      </c>
      <c r="O268" s="459" t="str">
        <f t="shared" si="132"/>
        <v/>
      </c>
      <c r="P268" s="459" t="str">
        <f t="shared" si="133"/>
        <v/>
      </c>
      <c r="Q268" s="459" t="str">
        <f t="shared" si="134"/>
        <v/>
      </c>
      <c r="R268" s="459" t="str">
        <f t="shared" si="135"/>
        <v/>
      </c>
      <c r="S268" s="459" t="str">
        <f t="shared" si="136"/>
        <v/>
      </c>
      <c r="T268" s="566" t="str">
        <f t="shared" si="144"/>
        <v/>
      </c>
      <c r="U268" s="702"/>
      <c r="V268" s="132"/>
      <c r="W268" s="133"/>
      <c r="X268" s="134"/>
      <c r="Y268" s="135"/>
      <c r="Z268" s="137"/>
      <c r="AA268" s="136"/>
      <c r="AB268" s="566" t="str">
        <f t="shared" si="137"/>
        <v/>
      </c>
      <c r="AC268" s="568" t="str">
        <f t="shared" si="145"/>
        <v/>
      </c>
      <c r="AD268" s="137"/>
      <c r="AE268" s="137"/>
      <c r="AF268" s="138"/>
      <c r="AG268" s="138"/>
      <c r="AH268" s="592" t="str">
        <f t="shared" si="138"/>
        <v/>
      </c>
      <c r="AI268" s="592" t="str">
        <f t="shared" si="139"/>
        <v/>
      </c>
      <c r="AJ268" s="592" t="str">
        <f t="shared" si="140"/>
        <v/>
      </c>
      <c r="AK268" s="460" t="str">
        <f>IF(AU268="","",IF(OR(AZ268=8,AZ268=9),0,IF(OR(AW268=3,AW268=4,AW268=5,AW268=6),IF(LEFT(BF268,1)="1",INDEX(係数_NOX・PM低減,MATCH(AY268,【参考】排出係数!$AI$801:$AI$804,1),1),VLOOKUP(AU268,INDEX((係数_バス貨物_ガソリン,係数_バス貨物_CNG,係数_バス貨物_軽油,係数_バス貨物_メタノール,係数_バス貨物_LPG),MATCH(AY268,【参考】排出係数!$AI$4:$AI$671,1),1,BE268):INDEX((係数_バス貨物_ガソリン,係数_バス貨物_CNG,係数_バス貨物_軽油,係数_バス貨物_メタノール,係数_バス貨物_LPG),MATCH(AY268+1,【参考】排出係数!$AI$4:$AI$671,1)-1,5,BE268),4,FALSE)),IF(AND(BE268=3,LEFT(BF268,1)="1"),0.48,VLOOKUP(AU268,INDEX((係数_乗用_ガソリン,係数_乗用_CNG,係数_乗用_軽油,係数_乗用_メタノール,係数_乗用_LPG),1,1,BE268):INDEX((係数_乗用_ガソリン,係数_乗用_CNG,係数_乗用_軽油,係数_乗用_メタノール,係数_乗用_LPG),125,5,BE268),4,FALSE)))))</f>
        <v/>
      </c>
      <c r="AL268" s="461" t="str">
        <f t="shared" si="164"/>
        <v/>
      </c>
      <c r="AM268" s="460" t="str">
        <f>IF(AU268="","",IF(OR(AZ268=8,AZ268=9),0,IF(OR(AW268=3,AW268=4,AW268=5,AW268=6),IF(LEFT(BH268,1)="1",INDEX(係数_PM低減,MATCH(AY268,【参考】排出係数!$AI$801:$AI$804,1),MATCH(BI268,【参考】排出係数!$AL$798:$AO$798,1)),VLOOKUP(AU268,INDEX((係数_バス貨物_ガソリン,係数_バス貨物_CNG,係数_バス貨物_軽油,係数_バス貨物_メタノール,係数_バス貨物_LPG),MATCH(AY268,【参考】排出係数!$AI$4:$AI$671,1),1,BE268):INDEX((係数_バス貨物_ガソリン,係数_バス貨物_CNG,係数_バス貨物_軽油,係数_バス貨物_メタノール,係数_バス貨物_LPG),MATCH(AY268+1,【参考】排出係数!$AI$4:$AI$671,1)-1,5,BE268),5,FALSE)),IF(AND(BE268=3,LEFT(BF268,1)="1"),0.055,VLOOKUP(AU268,INDEX((係数_乗用_ガソリン,係数_乗用_CNG,係数_乗用_軽油,係数_乗用_メタノール,係数_乗用_LPG),1,1,BE268):INDEX((係数_乗用_ガソリン,係数_乗用_CNG,係数_乗用_軽油,係数_乗用_メタノール,係数_乗用_LPG),125,5,BE268),5,FALSE)))))</f>
        <v/>
      </c>
      <c r="AN268" s="461" t="str">
        <f t="shared" si="165"/>
        <v/>
      </c>
      <c r="AO268" s="462" t="str">
        <f t="shared" si="166"/>
        <v/>
      </c>
      <c r="AP268" s="463" t="str">
        <f t="shared" si="167"/>
        <v/>
      </c>
      <c r="AQ268" s="464"/>
      <c r="AR268" s="619"/>
      <c r="AS268" s="465" t="str">
        <f t="shared" si="146"/>
        <v/>
      </c>
      <c r="AT268" s="465" t="str">
        <f t="shared" si="147"/>
        <v/>
      </c>
      <c r="AU268" s="466" t="str">
        <f t="shared" si="148"/>
        <v/>
      </c>
      <c r="AV268" s="467" t="str">
        <f t="shared" si="149"/>
        <v/>
      </c>
      <c r="AW268" s="467" t="str">
        <f t="shared" si="150"/>
        <v/>
      </c>
      <c r="AX268" s="467" t="str">
        <f t="shared" si="151"/>
        <v/>
      </c>
      <c r="AY268" s="467" t="str">
        <f t="shared" si="152"/>
        <v/>
      </c>
      <c r="AZ268" s="467" t="str">
        <f t="shared" si="153"/>
        <v/>
      </c>
      <c r="BA268" s="468" t="str">
        <f>IF(AS268="","",IF(OR(AU268="",AU268="-"),"－",IF(OR(AZ268=8,AZ268=9),"",IF(OR(AW268=3,AW268=4,AW268=5,AW268=6),VLOOKUP(AU268,INDEX((係数_バス貨物_ガソリン,係数_バス貨物_CNG,係数_バス貨物_軽油,係数_バス貨物_メタノール,係数_バス貨物_LPG),MATCH(AY268,【参考】排出係数!$AI$4:$AI$671,1),1,BE268):INDEX((係数_バス貨物_ガソリン,係数_バス貨物_CNG,係数_バス貨物_軽油,係数_バス貨物_メタノール,係数_バス貨物_LPG),MATCH(AY268+1,【参考】排出係数!$AI$4:$AI$671,1)-1,5,BE268),2,FALSE),IF(OR(AW268=1,AW268=2),VLOOKUP(AU268,INDEX((係数_乗用_ガソリン,係数_乗用_CNG,係数_乗用_軽油,係数_乗用_メタノール,係数_乗用_LPG),1,1,BE268):INDEX((係数_乗用_ガソリン,係数_乗用_CNG,係数_乗用_軽油,係数_乗用_メタノール,係数_乗用_LPG),125,5,BE268),2,FALSE))))))</f>
        <v/>
      </c>
      <c r="BB268" s="468" t="str">
        <f>IF(T268="","",IF(OR(AU268="",AU268="-"),"－",IF(OR(AZ268=8,AZ268=9),"",IF(OR(AW268=3,AW268=4,AW268=5,AW268=6),VLOOKUP(AU268,INDEX((係数_バス貨物_ガソリン,係数_バス貨物_CNG,係数_バス貨物_軽油,係数_バス貨物_メタノール,係数_バス貨物_LPG),MATCH(AY268,【参考】排出係数!$AI$4:$AI$671,1),1,BE268):INDEX((係数_バス貨物_ガソリン,係数_バス貨物_CNG,係数_バス貨物_軽油,係数_バス貨物_メタノール,係数_バス貨物_LPG),MATCH(AY268+1,【参考】排出係数!$AI$4:$AI$671,1)-1,5,BE268),3,FALSE),IF(OR(AW268=1,AW268=2),VLOOKUP(AU268,INDEX((係数_乗用_ガソリン,係数_乗用_CNG,係数_乗用_軽油,係数_乗用_メタノール,係数_乗用_LPG),1,1,BE268):INDEX((係数_乗用_ガソリン,係数_乗用_CNG,係数_乗用_軽油,係数_乗用_メタノール,係数_乗用_LPG),125,5,BE268),3,FALSE))))))</f>
        <v/>
      </c>
      <c r="BC268" s="467" t="str">
        <f t="shared" si="154"/>
        <v/>
      </c>
      <c r="BD268" s="567" t="str">
        <f t="shared" si="155"/>
        <v/>
      </c>
      <c r="BE268" s="467" t="str">
        <f t="shared" si="156"/>
        <v/>
      </c>
      <c r="BF268" s="469" t="str">
        <f t="shared" ca="1" si="157"/>
        <v/>
      </c>
      <c r="BG268" s="469" t="str">
        <f t="shared" ca="1" si="158"/>
        <v/>
      </c>
      <c r="BH268" s="467" t="str">
        <f t="shared" si="159"/>
        <v/>
      </c>
      <c r="BI268" s="467" t="str">
        <f t="shared" ca="1" si="160"/>
        <v/>
      </c>
      <c r="BJ268" s="469" t="str">
        <f t="shared" si="161"/>
        <v/>
      </c>
      <c r="BK268" s="470" t="str">
        <f t="shared" si="141"/>
        <v/>
      </c>
      <c r="BL268" s="775" t="str">
        <f t="shared" si="162"/>
        <v/>
      </c>
      <c r="BM268" s="775" t="str">
        <f t="shared" si="163"/>
        <v/>
      </c>
    </row>
    <row r="269" spans="1:65">
      <c r="A269" s="473">
        <v>213</v>
      </c>
      <c r="B269" s="132"/>
      <c r="C269" s="332"/>
      <c r="D269" s="333"/>
      <c r="E269" s="333"/>
      <c r="F269" s="334"/>
      <c r="G269" s="337"/>
      <c r="H269" s="131"/>
      <c r="I269" s="337"/>
      <c r="J269" s="131"/>
      <c r="K269" s="458" t="str">
        <f t="shared" si="130"/>
        <v/>
      </c>
      <c r="L269" s="458">
        <f t="shared" si="142"/>
        <v>0</v>
      </c>
      <c r="M269" s="458">
        <f t="shared" si="143"/>
        <v>0</v>
      </c>
      <c r="N269" s="459" t="str">
        <f t="shared" si="131"/>
        <v/>
      </c>
      <c r="O269" s="459" t="str">
        <f t="shared" si="132"/>
        <v/>
      </c>
      <c r="P269" s="459" t="str">
        <f t="shared" si="133"/>
        <v/>
      </c>
      <c r="Q269" s="459" t="str">
        <f t="shared" si="134"/>
        <v/>
      </c>
      <c r="R269" s="459" t="str">
        <f t="shared" si="135"/>
        <v/>
      </c>
      <c r="S269" s="459" t="str">
        <f t="shared" si="136"/>
        <v/>
      </c>
      <c r="T269" s="566" t="str">
        <f t="shared" si="144"/>
        <v/>
      </c>
      <c r="U269" s="702"/>
      <c r="V269" s="132"/>
      <c r="W269" s="133"/>
      <c r="X269" s="134"/>
      <c r="Y269" s="135"/>
      <c r="Z269" s="137"/>
      <c r="AA269" s="136"/>
      <c r="AB269" s="566" t="str">
        <f t="shared" si="137"/>
        <v/>
      </c>
      <c r="AC269" s="568" t="str">
        <f t="shared" si="145"/>
        <v/>
      </c>
      <c r="AD269" s="137"/>
      <c r="AE269" s="137"/>
      <c r="AF269" s="138"/>
      <c r="AG269" s="138"/>
      <c r="AH269" s="592" t="str">
        <f t="shared" si="138"/>
        <v/>
      </c>
      <c r="AI269" s="592" t="str">
        <f t="shared" si="139"/>
        <v/>
      </c>
      <c r="AJ269" s="592" t="str">
        <f t="shared" si="140"/>
        <v/>
      </c>
      <c r="AK269" s="460" t="str">
        <f>IF(AU269="","",IF(OR(AZ269=8,AZ269=9),0,IF(OR(AW269=3,AW269=4,AW269=5,AW269=6),IF(LEFT(BF269,1)="1",INDEX(係数_NOX・PM低減,MATCH(AY269,【参考】排出係数!$AI$801:$AI$804,1),1),VLOOKUP(AU269,INDEX((係数_バス貨物_ガソリン,係数_バス貨物_CNG,係数_バス貨物_軽油,係数_バス貨物_メタノール,係数_バス貨物_LPG),MATCH(AY269,【参考】排出係数!$AI$4:$AI$671,1),1,BE269):INDEX((係数_バス貨物_ガソリン,係数_バス貨物_CNG,係数_バス貨物_軽油,係数_バス貨物_メタノール,係数_バス貨物_LPG),MATCH(AY269+1,【参考】排出係数!$AI$4:$AI$671,1)-1,5,BE269),4,FALSE)),IF(AND(BE269=3,LEFT(BF269,1)="1"),0.48,VLOOKUP(AU269,INDEX((係数_乗用_ガソリン,係数_乗用_CNG,係数_乗用_軽油,係数_乗用_メタノール,係数_乗用_LPG),1,1,BE269):INDEX((係数_乗用_ガソリン,係数_乗用_CNG,係数_乗用_軽油,係数_乗用_メタノール,係数_乗用_LPG),125,5,BE269),4,FALSE)))))</f>
        <v/>
      </c>
      <c r="AL269" s="461" t="str">
        <f t="shared" si="164"/>
        <v/>
      </c>
      <c r="AM269" s="460" t="str">
        <f>IF(AU269="","",IF(OR(AZ269=8,AZ269=9),0,IF(OR(AW269=3,AW269=4,AW269=5,AW269=6),IF(LEFT(BH269,1)="1",INDEX(係数_PM低減,MATCH(AY269,【参考】排出係数!$AI$801:$AI$804,1),MATCH(BI269,【参考】排出係数!$AL$798:$AO$798,1)),VLOOKUP(AU269,INDEX((係数_バス貨物_ガソリン,係数_バス貨物_CNG,係数_バス貨物_軽油,係数_バス貨物_メタノール,係数_バス貨物_LPG),MATCH(AY269,【参考】排出係数!$AI$4:$AI$671,1),1,BE269):INDEX((係数_バス貨物_ガソリン,係数_バス貨物_CNG,係数_バス貨物_軽油,係数_バス貨物_メタノール,係数_バス貨物_LPG),MATCH(AY269+1,【参考】排出係数!$AI$4:$AI$671,1)-1,5,BE269),5,FALSE)),IF(AND(BE269=3,LEFT(BF269,1)="1"),0.055,VLOOKUP(AU269,INDEX((係数_乗用_ガソリン,係数_乗用_CNG,係数_乗用_軽油,係数_乗用_メタノール,係数_乗用_LPG),1,1,BE269):INDEX((係数_乗用_ガソリン,係数_乗用_CNG,係数_乗用_軽油,係数_乗用_メタノール,係数_乗用_LPG),125,5,BE269),5,FALSE)))))</f>
        <v/>
      </c>
      <c r="AN269" s="461" t="str">
        <f t="shared" si="165"/>
        <v/>
      </c>
      <c r="AO269" s="462" t="str">
        <f t="shared" si="166"/>
        <v/>
      </c>
      <c r="AP269" s="463" t="str">
        <f t="shared" si="167"/>
        <v/>
      </c>
      <c r="AQ269" s="464"/>
      <c r="AR269" s="619"/>
      <c r="AS269" s="465" t="str">
        <f t="shared" si="146"/>
        <v/>
      </c>
      <c r="AT269" s="465" t="str">
        <f t="shared" si="147"/>
        <v/>
      </c>
      <c r="AU269" s="466" t="str">
        <f t="shared" si="148"/>
        <v/>
      </c>
      <c r="AV269" s="467" t="str">
        <f t="shared" si="149"/>
        <v/>
      </c>
      <c r="AW269" s="467" t="str">
        <f t="shared" si="150"/>
        <v/>
      </c>
      <c r="AX269" s="467" t="str">
        <f t="shared" si="151"/>
        <v/>
      </c>
      <c r="AY269" s="467" t="str">
        <f t="shared" si="152"/>
        <v/>
      </c>
      <c r="AZ269" s="467" t="str">
        <f t="shared" si="153"/>
        <v/>
      </c>
      <c r="BA269" s="468" t="str">
        <f>IF(AS269="","",IF(OR(AU269="",AU269="-"),"－",IF(OR(AZ269=8,AZ269=9),"",IF(OR(AW269=3,AW269=4,AW269=5,AW269=6),VLOOKUP(AU269,INDEX((係数_バス貨物_ガソリン,係数_バス貨物_CNG,係数_バス貨物_軽油,係数_バス貨物_メタノール,係数_バス貨物_LPG),MATCH(AY269,【参考】排出係数!$AI$4:$AI$671,1),1,BE269):INDEX((係数_バス貨物_ガソリン,係数_バス貨物_CNG,係数_バス貨物_軽油,係数_バス貨物_メタノール,係数_バス貨物_LPG),MATCH(AY269+1,【参考】排出係数!$AI$4:$AI$671,1)-1,5,BE269),2,FALSE),IF(OR(AW269=1,AW269=2),VLOOKUP(AU269,INDEX((係数_乗用_ガソリン,係数_乗用_CNG,係数_乗用_軽油,係数_乗用_メタノール,係数_乗用_LPG),1,1,BE269):INDEX((係数_乗用_ガソリン,係数_乗用_CNG,係数_乗用_軽油,係数_乗用_メタノール,係数_乗用_LPG),125,5,BE269),2,FALSE))))))</f>
        <v/>
      </c>
      <c r="BB269" s="468" t="str">
        <f>IF(T269="","",IF(OR(AU269="",AU269="-"),"－",IF(OR(AZ269=8,AZ269=9),"",IF(OR(AW269=3,AW269=4,AW269=5,AW269=6),VLOOKUP(AU269,INDEX((係数_バス貨物_ガソリン,係数_バス貨物_CNG,係数_バス貨物_軽油,係数_バス貨物_メタノール,係数_バス貨物_LPG),MATCH(AY269,【参考】排出係数!$AI$4:$AI$671,1),1,BE269):INDEX((係数_バス貨物_ガソリン,係数_バス貨物_CNG,係数_バス貨物_軽油,係数_バス貨物_メタノール,係数_バス貨物_LPG),MATCH(AY269+1,【参考】排出係数!$AI$4:$AI$671,1)-1,5,BE269),3,FALSE),IF(OR(AW269=1,AW269=2),VLOOKUP(AU269,INDEX((係数_乗用_ガソリン,係数_乗用_CNG,係数_乗用_軽油,係数_乗用_メタノール,係数_乗用_LPG),1,1,BE269):INDEX((係数_乗用_ガソリン,係数_乗用_CNG,係数_乗用_軽油,係数_乗用_メタノール,係数_乗用_LPG),125,5,BE269),3,FALSE))))))</f>
        <v/>
      </c>
      <c r="BC269" s="467" t="str">
        <f t="shared" si="154"/>
        <v/>
      </c>
      <c r="BD269" s="567" t="str">
        <f t="shared" si="155"/>
        <v/>
      </c>
      <c r="BE269" s="467" t="str">
        <f t="shared" si="156"/>
        <v/>
      </c>
      <c r="BF269" s="469" t="str">
        <f t="shared" ca="1" si="157"/>
        <v/>
      </c>
      <c r="BG269" s="469" t="str">
        <f t="shared" ca="1" si="158"/>
        <v/>
      </c>
      <c r="BH269" s="467" t="str">
        <f t="shared" si="159"/>
        <v/>
      </c>
      <c r="BI269" s="467" t="str">
        <f t="shared" ca="1" si="160"/>
        <v/>
      </c>
      <c r="BJ269" s="469" t="str">
        <f t="shared" si="161"/>
        <v/>
      </c>
      <c r="BK269" s="470" t="str">
        <f t="shared" si="141"/>
        <v/>
      </c>
      <c r="BL269" s="775" t="str">
        <f t="shared" si="162"/>
        <v/>
      </c>
      <c r="BM269" s="775" t="str">
        <f t="shared" si="163"/>
        <v/>
      </c>
    </row>
    <row r="270" spans="1:65">
      <c r="A270" s="473">
        <v>214</v>
      </c>
      <c r="B270" s="132"/>
      <c r="C270" s="332"/>
      <c r="D270" s="333"/>
      <c r="E270" s="333"/>
      <c r="F270" s="334"/>
      <c r="G270" s="337"/>
      <c r="H270" s="131"/>
      <c r="I270" s="337"/>
      <c r="J270" s="131"/>
      <c r="K270" s="458" t="str">
        <f t="shared" si="130"/>
        <v/>
      </c>
      <c r="L270" s="458">
        <f t="shared" si="142"/>
        <v>0</v>
      </c>
      <c r="M270" s="458">
        <f t="shared" si="143"/>
        <v>0</v>
      </c>
      <c r="N270" s="459" t="str">
        <f t="shared" si="131"/>
        <v/>
      </c>
      <c r="O270" s="459" t="str">
        <f t="shared" si="132"/>
        <v/>
      </c>
      <c r="P270" s="459" t="str">
        <f t="shared" si="133"/>
        <v/>
      </c>
      <c r="Q270" s="459" t="str">
        <f t="shared" si="134"/>
        <v/>
      </c>
      <c r="R270" s="459" t="str">
        <f t="shared" si="135"/>
        <v/>
      </c>
      <c r="S270" s="459" t="str">
        <f t="shared" si="136"/>
        <v/>
      </c>
      <c r="T270" s="566" t="str">
        <f t="shared" si="144"/>
        <v/>
      </c>
      <c r="U270" s="702"/>
      <c r="V270" s="132"/>
      <c r="W270" s="133"/>
      <c r="X270" s="134"/>
      <c r="Y270" s="135"/>
      <c r="Z270" s="137"/>
      <c r="AA270" s="136"/>
      <c r="AB270" s="566" t="str">
        <f t="shared" si="137"/>
        <v/>
      </c>
      <c r="AC270" s="568" t="str">
        <f t="shared" si="145"/>
        <v/>
      </c>
      <c r="AD270" s="137"/>
      <c r="AE270" s="137"/>
      <c r="AF270" s="138"/>
      <c r="AG270" s="138"/>
      <c r="AH270" s="592" t="str">
        <f t="shared" si="138"/>
        <v/>
      </c>
      <c r="AI270" s="592" t="str">
        <f t="shared" si="139"/>
        <v/>
      </c>
      <c r="AJ270" s="592" t="str">
        <f t="shared" si="140"/>
        <v/>
      </c>
      <c r="AK270" s="460" t="str">
        <f>IF(AU270="","",IF(OR(AZ270=8,AZ270=9),0,IF(OR(AW270=3,AW270=4,AW270=5,AW270=6),IF(LEFT(BF270,1)="1",INDEX(係数_NOX・PM低減,MATCH(AY270,【参考】排出係数!$AI$801:$AI$804,1),1),VLOOKUP(AU270,INDEX((係数_バス貨物_ガソリン,係数_バス貨物_CNG,係数_バス貨物_軽油,係数_バス貨物_メタノール,係数_バス貨物_LPG),MATCH(AY270,【参考】排出係数!$AI$4:$AI$671,1),1,BE270):INDEX((係数_バス貨物_ガソリン,係数_バス貨物_CNG,係数_バス貨物_軽油,係数_バス貨物_メタノール,係数_バス貨物_LPG),MATCH(AY270+1,【参考】排出係数!$AI$4:$AI$671,1)-1,5,BE270),4,FALSE)),IF(AND(BE270=3,LEFT(BF270,1)="1"),0.48,VLOOKUP(AU270,INDEX((係数_乗用_ガソリン,係数_乗用_CNG,係数_乗用_軽油,係数_乗用_メタノール,係数_乗用_LPG),1,1,BE270):INDEX((係数_乗用_ガソリン,係数_乗用_CNG,係数_乗用_軽油,係数_乗用_メタノール,係数_乗用_LPG),125,5,BE270),4,FALSE)))))</f>
        <v/>
      </c>
      <c r="AL270" s="461" t="str">
        <f t="shared" si="164"/>
        <v/>
      </c>
      <c r="AM270" s="460" t="str">
        <f>IF(AU270="","",IF(OR(AZ270=8,AZ270=9),0,IF(OR(AW270=3,AW270=4,AW270=5,AW270=6),IF(LEFT(BH270,1)="1",INDEX(係数_PM低減,MATCH(AY270,【参考】排出係数!$AI$801:$AI$804,1),MATCH(BI270,【参考】排出係数!$AL$798:$AO$798,1)),VLOOKUP(AU270,INDEX((係数_バス貨物_ガソリン,係数_バス貨物_CNG,係数_バス貨物_軽油,係数_バス貨物_メタノール,係数_バス貨物_LPG),MATCH(AY270,【参考】排出係数!$AI$4:$AI$671,1),1,BE270):INDEX((係数_バス貨物_ガソリン,係数_バス貨物_CNG,係数_バス貨物_軽油,係数_バス貨物_メタノール,係数_バス貨物_LPG),MATCH(AY270+1,【参考】排出係数!$AI$4:$AI$671,1)-1,5,BE270),5,FALSE)),IF(AND(BE270=3,LEFT(BF270,1)="1"),0.055,VLOOKUP(AU270,INDEX((係数_乗用_ガソリン,係数_乗用_CNG,係数_乗用_軽油,係数_乗用_メタノール,係数_乗用_LPG),1,1,BE270):INDEX((係数_乗用_ガソリン,係数_乗用_CNG,係数_乗用_軽油,係数_乗用_メタノール,係数_乗用_LPG),125,5,BE270),5,FALSE)))))</f>
        <v/>
      </c>
      <c r="AN270" s="461" t="str">
        <f t="shared" si="165"/>
        <v/>
      </c>
      <c r="AO270" s="462" t="str">
        <f t="shared" si="166"/>
        <v/>
      </c>
      <c r="AP270" s="463" t="str">
        <f t="shared" si="167"/>
        <v/>
      </c>
      <c r="AQ270" s="464"/>
      <c r="AR270" s="619"/>
      <c r="AS270" s="465" t="str">
        <f t="shared" si="146"/>
        <v/>
      </c>
      <c r="AT270" s="465" t="str">
        <f t="shared" si="147"/>
        <v/>
      </c>
      <c r="AU270" s="466" t="str">
        <f t="shared" si="148"/>
        <v/>
      </c>
      <c r="AV270" s="467" t="str">
        <f t="shared" si="149"/>
        <v/>
      </c>
      <c r="AW270" s="467" t="str">
        <f t="shared" si="150"/>
        <v/>
      </c>
      <c r="AX270" s="467" t="str">
        <f t="shared" si="151"/>
        <v/>
      </c>
      <c r="AY270" s="467" t="str">
        <f t="shared" si="152"/>
        <v/>
      </c>
      <c r="AZ270" s="467" t="str">
        <f t="shared" si="153"/>
        <v/>
      </c>
      <c r="BA270" s="468" t="str">
        <f>IF(AS270="","",IF(OR(AU270="",AU270="-"),"－",IF(OR(AZ270=8,AZ270=9),"",IF(OR(AW270=3,AW270=4,AW270=5,AW270=6),VLOOKUP(AU270,INDEX((係数_バス貨物_ガソリン,係数_バス貨物_CNG,係数_バス貨物_軽油,係数_バス貨物_メタノール,係数_バス貨物_LPG),MATCH(AY270,【参考】排出係数!$AI$4:$AI$671,1),1,BE270):INDEX((係数_バス貨物_ガソリン,係数_バス貨物_CNG,係数_バス貨物_軽油,係数_バス貨物_メタノール,係数_バス貨物_LPG),MATCH(AY270+1,【参考】排出係数!$AI$4:$AI$671,1)-1,5,BE270),2,FALSE),IF(OR(AW270=1,AW270=2),VLOOKUP(AU270,INDEX((係数_乗用_ガソリン,係数_乗用_CNG,係数_乗用_軽油,係数_乗用_メタノール,係数_乗用_LPG),1,1,BE270):INDEX((係数_乗用_ガソリン,係数_乗用_CNG,係数_乗用_軽油,係数_乗用_メタノール,係数_乗用_LPG),125,5,BE270),2,FALSE))))))</f>
        <v/>
      </c>
      <c r="BB270" s="468" t="str">
        <f>IF(T270="","",IF(OR(AU270="",AU270="-"),"－",IF(OR(AZ270=8,AZ270=9),"",IF(OR(AW270=3,AW270=4,AW270=5,AW270=6),VLOOKUP(AU270,INDEX((係数_バス貨物_ガソリン,係数_バス貨物_CNG,係数_バス貨物_軽油,係数_バス貨物_メタノール,係数_バス貨物_LPG),MATCH(AY270,【参考】排出係数!$AI$4:$AI$671,1),1,BE270):INDEX((係数_バス貨物_ガソリン,係数_バス貨物_CNG,係数_バス貨物_軽油,係数_バス貨物_メタノール,係数_バス貨物_LPG),MATCH(AY270+1,【参考】排出係数!$AI$4:$AI$671,1)-1,5,BE270),3,FALSE),IF(OR(AW270=1,AW270=2),VLOOKUP(AU270,INDEX((係数_乗用_ガソリン,係数_乗用_CNG,係数_乗用_軽油,係数_乗用_メタノール,係数_乗用_LPG),1,1,BE270):INDEX((係数_乗用_ガソリン,係数_乗用_CNG,係数_乗用_軽油,係数_乗用_メタノール,係数_乗用_LPG),125,5,BE270),3,FALSE))))))</f>
        <v/>
      </c>
      <c r="BC270" s="467" t="str">
        <f t="shared" si="154"/>
        <v/>
      </c>
      <c r="BD270" s="567" t="str">
        <f t="shared" si="155"/>
        <v/>
      </c>
      <c r="BE270" s="467" t="str">
        <f t="shared" si="156"/>
        <v/>
      </c>
      <c r="BF270" s="469" t="str">
        <f t="shared" ca="1" si="157"/>
        <v/>
      </c>
      <c r="BG270" s="469" t="str">
        <f t="shared" ca="1" si="158"/>
        <v/>
      </c>
      <c r="BH270" s="467" t="str">
        <f t="shared" si="159"/>
        <v/>
      </c>
      <c r="BI270" s="467" t="str">
        <f t="shared" ca="1" si="160"/>
        <v/>
      </c>
      <c r="BJ270" s="469" t="str">
        <f t="shared" si="161"/>
        <v/>
      </c>
      <c r="BK270" s="470" t="str">
        <f t="shared" si="141"/>
        <v/>
      </c>
      <c r="BL270" s="775" t="str">
        <f t="shared" si="162"/>
        <v/>
      </c>
      <c r="BM270" s="775" t="str">
        <f t="shared" si="163"/>
        <v/>
      </c>
    </row>
    <row r="271" spans="1:65">
      <c r="A271" s="473">
        <v>215</v>
      </c>
      <c r="B271" s="132"/>
      <c r="C271" s="332"/>
      <c r="D271" s="333"/>
      <c r="E271" s="333"/>
      <c r="F271" s="334"/>
      <c r="G271" s="337"/>
      <c r="H271" s="131"/>
      <c r="I271" s="337"/>
      <c r="J271" s="131"/>
      <c r="K271" s="458" t="str">
        <f t="shared" si="130"/>
        <v/>
      </c>
      <c r="L271" s="458">
        <f t="shared" si="142"/>
        <v>0</v>
      </c>
      <c r="M271" s="458">
        <f t="shared" si="143"/>
        <v>0</v>
      </c>
      <c r="N271" s="459" t="str">
        <f t="shared" si="131"/>
        <v/>
      </c>
      <c r="O271" s="459" t="str">
        <f t="shared" si="132"/>
        <v/>
      </c>
      <c r="P271" s="459" t="str">
        <f t="shared" si="133"/>
        <v/>
      </c>
      <c r="Q271" s="459" t="str">
        <f t="shared" si="134"/>
        <v/>
      </c>
      <c r="R271" s="459" t="str">
        <f t="shared" si="135"/>
        <v/>
      </c>
      <c r="S271" s="459" t="str">
        <f t="shared" si="136"/>
        <v/>
      </c>
      <c r="T271" s="566" t="str">
        <f t="shared" si="144"/>
        <v/>
      </c>
      <c r="U271" s="702"/>
      <c r="V271" s="132"/>
      <c r="W271" s="133"/>
      <c r="X271" s="134"/>
      <c r="Y271" s="135"/>
      <c r="Z271" s="137"/>
      <c r="AA271" s="136"/>
      <c r="AB271" s="566" t="str">
        <f t="shared" si="137"/>
        <v/>
      </c>
      <c r="AC271" s="568" t="str">
        <f t="shared" si="145"/>
        <v/>
      </c>
      <c r="AD271" s="137"/>
      <c r="AE271" s="137"/>
      <c r="AF271" s="138"/>
      <c r="AG271" s="138"/>
      <c r="AH271" s="592" t="str">
        <f t="shared" si="138"/>
        <v/>
      </c>
      <c r="AI271" s="592" t="str">
        <f t="shared" si="139"/>
        <v/>
      </c>
      <c r="AJ271" s="592" t="str">
        <f t="shared" si="140"/>
        <v/>
      </c>
      <c r="AK271" s="460" t="str">
        <f>IF(AU271="","",IF(OR(AZ271=8,AZ271=9),0,IF(OR(AW271=3,AW271=4,AW271=5,AW271=6),IF(LEFT(BF271,1)="1",INDEX(係数_NOX・PM低減,MATCH(AY271,【参考】排出係数!$AI$801:$AI$804,1),1),VLOOKUP(AU271,INDEX((係数_バス貨物_ガソリン,係数_バス貨物_CNG,係数_バス貨物_軽油,係数_バス貨物_メタノール,係数_バス貨物_LPG),MATCH(AY271,【参考】排出係数!$AI$4:$AI$671,1),1,BE271):INDEX((係数_バス貨物_ガソリン,係数_バス貨物_CNG,係数_バス貨物_軽油,係数_バス貨物_メタノール,係数_バス貨物_LPG),MATCH(AY271+1,【参考】排出係数!$AI$4:$AI$671,1)-1,5,BE271),4,FALSE)),IF(AND(BE271=3,LEFT(BF271,1)="1"),0.48,VLOOKUP(AU271,INDEX((係数_乗用_ガソリン,係数_乗用_CNG,係数_乗用_軽油,係数_乗用_メタノール,係数_乗用_LPG),1,1,BE271):INDEX((係数_乗用_ガソリン,係数_乗用_CNG,係数_乗用_軽油,係数_乗用_メタノール,係数_乗用_LPG),125,5,BE271),4,FALSE)))))</f>
        <v/>
      </c>
      <c r="AL271" s="461" t="str">
        <f t="shared" si="164"/>
        <v/>
      </c>
      <c r="AM271" s="460" t="str">
        <f>IF(AU271="","",IF(OR(AZ271=8,AZ271=9),0,IF(OR(AW271=3,AW271=4,AW271=5,AW271=6),IF(LEFT(BH271,1)="1",INDEX(係数_PM低減,MATCH(AY271,【参考】排出係数!$AI$801:$AI$804,1),MATCH(BI271,【参考】排出係数!$AL$798:$AO$798,1)),VLOOKUP(AU271,INDEX((係数_バス貨物_ガソリン,係数_バス貨物_CNG,係数_バス貨物_軽油,係数_バス貨物_メタノール,係数_バス貨物_LPG),MATCH(AY271,【参考】排出係数!$AI$4:$AI$671,1),1,BE271):INDEX((係数_バス貨物_ガソリン,係数_バス貨物_CNG,係数_バス貨物_軽油,係数_バス貨物_メタノール,係数_バス貨物_LPG),MATCH(AY271+1,【参考】排出係数!$AI$4:$AI$671,1)-1,5,BE271),5,FALSE)),IF(AND(BE271=3,LEFT(BF271,1)="1"),0.055,VLOOKUP(AU271,INDEX((係数_乗用_ガソリン,係数_乗用_CNG,係数_乗用_軽油,係数_乗用_メタノール,係数_乗用_LPG),1,1,BE271):INDEX((係数_乗用_ガソリン,係数_乗用_CNG,係数_乗用_軽油,係数_乗用_メタノール,係数_乗用_LPG),125,5,BE271),5,FALSE)))))</f>
        <v/>
      </c>
      <c r="AN271" s="461" t="str">
        <f t="shared" si="165"/>
        <v/>
      </c>
      <c r="AO271" s="462" t="str">
        <f t="shared" si="166"/>
        <v/>
      </c>
      <c r="AP271" s="463" t="str">
        <f t="shared" si="167"/>
        <v/>
      </c>
      <c r="AQ271" s="464"/>
      <c r="AR271" s="619"/>
      <c r="AS271" s="465" t="str">
        <f t="shared" si="146"/>
        <v/>
      </c>
      <c r="AT271" s="465" t="str">
        <f t="shared" si="147"/>
        <v/>
      </c>
      <c r="AU271" s="466" t="str">
        <f t="shared" si="148"/>
        <v/>
      </c>
      <c r="AV271" s="467" t="str">
        <f t="shared" si="149"/>
        <v/>
      </c>
      <c r="AW271" s="467" t="str">
        <f t="shared" si="150"/>
        <v/>
      </c>
      <c r="AX271" s="467" t="str">
        <f t="shared" si="151"/>
        <v/>
      </c>
      <c r="AY271" s="467" t="str">
        <f t="shared" si="152"/>
        <v/>
      </c>
      <c r="AZ271" s="467" t="str">
        <f t="shared" si="153"/>
        <v/>
      </c>
      <c r="BA271" s="468" t="str">
        <f>IF(AS271="","",IF(OR(AU271="",AU271="-"),"－",IF(OR(AZ271=8,AZ271=9),"",IF(OR(AW271=3,AW271=4,AW271=5,AW271=6),VLOOKUP(AU271,INDEX((係数_バス貨物_ガソリン,係数_バス貨物_CNG,係数_バス貨物_軽油,係数_バス貨物_メタノール,係数_バス貨物_LPG),MATCH(AY271,【参考】排出係数!$AI$4:$AI$671,1),1,BE271):INDEX((係数_バス貨物_ガソリン,係数_バス貨物_CNG,係数_バス貨物_軽油,係数_バス貨物_メタノール,係数_バス貨物_LPG),MATCH(AY271+1,【参考】排出係数!$AI$4:$AI$671,1)-1,5,BE271),2,FALSE),IF(OR(AW271=1,AW271=2),VLOOKUP(AU271,INDEX((係数_乗用_ガソリン,係数_乗用_CNG,係数_乗用_軽油,係数_乗用_メタノール,係数_乗用_LPG),1,1,BE271):INDEX((係数_乗用_ガソリン,係数_乗用_CNG,係数_乗用_軽油,係数_乗用_メタノール,係数_乗用_LPG),125,5,BE271),2,FALSE))))))</f>
        <v/>
      </c>
      <c r="BB271" s="468" t="str">
        <f>IF(T271="","",IF(OR(AU271="",AU271="-"),"－",IF(OR(AZ271=8,AZ271=9),"",IF(OR(AW271=3,AW271=4,AW271=5,AW271=6),VLOOKUP(AU271,INDEX((係数_バス貨物_ガソリン,係数_バス貨物_CNG,係数_バス貨物_軽油,係数_バス貨物_メタノール,係数_バス貨物_LPG),MATCH(AY271,【参考】排出係数!$AI$4:$AI$671,1),1,BE271):INDEX((係数_バス貨物_ガソリン,係数_バス貨物_CNG,係数_バス貨物_軽油,係数_バス貨物_メタノール,係数_バス貨物_LPG),MATCH(AY271+1,【参考】排出係数!$AI$4:$AI$671,1)-1,5,BE271),3,FALSE),IF(OR(AW271=1,AW271=2),VLOOKUP(AU271,INDEX((係数_乗用_ガソリン,係数_乗用_CNG,係数_乗用_軽油,係数_乗用_メタノール,係数_乗用_LPG),1,1,BE271):INDEX((係数_乗用_ガソリン,係数_乗用_CNG,係数_乗用_軽油,係数_乗用_メタノール,係数_乗用_LPG),125,5,BE271),3,FALSE))))))</f>
        <v/>
      </c>
      <c r="BC271" s="467" t="str">
        <f t="shared" si="154"/>
        <v/>
      </c>
      <c r="BD271" s="567" t="str">
        <f t="shared" si="155"/>
        <v/>
      </c>
      <c r="BE271" s="467" t="str">
        <f t="shared" si="156"/>
        <v/>
      </c>
      <c r="BF271" s="469" t="str">
        <f t="shared" ca="1" si="157"/>
        <v/>
      </c>
      <c r="BG271" s="469" t="str">
        <f t="shared" ca="1" si="158"/>
        <v/>
      </c>
      <c r="BH271" s="467" t="str">
        <f t="shared" si="159"/>
        <v/>
      </c>
      <c r="BI271" s="467" t="str">
        <f t="shared" ca="1" si="160"/>
        <v/>
      </c>
      <c r="BJ271" s="469" t="str">
        <f t="shared" si="161"/>
        <v/>
      </c>
      <c r="BK271" s="470" t="str">
        <f t="shared" si="141"/>
        <v/>
      </c>
      <c r="BL271" s="775" t="str">
        <f t="shared" si="162"/>
        <v/>
      </c>
      <c r="BM271" s="775" t="str">
        <f t="shared" si="163"/>
        <v/>
      </c>
    </row>
    <row r="272" spans="1:65">
      <c r="A272" s="473">
        <v>216</v>
      </c>
      <c r="B272" s="132"/>
      <c r="C272" s="332"/>
      <c r="D272" s="333"/>
      <c r="E272" s="333"/>
      <c r="F272" s="334"/>
      <c r="G272" s="337"/>
      <c r="H272" s="131"/>
      <c r="I272" s="337"/>
      <c r="J272" s="131"/>
      <c r="K272" s="458" t="str">
        <f t="shared" si="130"/>
        <v/>
      </c>
      <c r="L272" s="458">
        <f t="shared" si="142"/>
        <v>0</v>
      </c>
      <c r="M272" s="458">
        <f t="shared" si="143"/>
        <v>0</v>
      </c>
      <c r="N272" s="459" t="str">
        <f t="shared" si="131"/>
        <v/>
      </c>
      <c r="O272" s="459" t="str">
        <f t="shared" si="132"/>
        <v/>
      </c>
      <c r="P272" s="459" t="str">
        <f t="shared" si="133"/>
        <v/>
      </c>
      <c r="Q272" s="459" t="str">
        <f t="shared" si="134"/>
        <v/>
      </c>
      <c r="R272" s="459" t="str">
        <f t="shared" si="135"/>
        <v/>
      </c>
      <c r="S272" s="459" t="str">
        <f t="shared" si="136"/>
        <v/>
      </c>
      <c r="T272" s="566" t="str">
        <f t="shared" si="144"/>
        <v/>
      </c>
      <c r="U272" s="702"/>
      <c r="V272" s="132"/>
      <c r="W272" s="133"/>
      <c r="X272" s="134"/>
      <c r="Y272" s="135"/>
      <c r="Z272" s="137"/>
      <c r="AA272" s="136"/>
      <c r="AB272" s="566" t="str">
        <f t="shared" si="137"/>
        <v/>
      </c>
      <c r="AC272" s="568" t="str">
        <f t="shared" si="145"/>
        <v/>
      </c>
      <c r="AD272" s="137"/>
      <c r="AE272" s="137"/>
      <c r="AF272" s="138"/>
      <c r="AG272" s="138"/>
      <c r="AH272" s="592" t="str">
        <f t="shared" si="138"/>
        <v/>
      </c>
      <c r="AI272" s="592" t="str">
        <f t="shared" si="139"/>
        <v/>
      </c>
      <c r="AJ272" s="592" t="str">
        <f t="shared" si="140"/>
        <v/>
      </c>
      <c r="AK272" s="460" t="str">
        <f>IF(AU272="","",IF(OR(AZ272=8,AZ272=9),0,IF(OR(AW272=3,AW272=4,AW272=5,AW272=6),IF(LEFT(BF272,1)="1",INDEX(係数_NOX・PM低減,MATCH(AY272,【参考】排出係数!$AI$801:$AI$804,1),1),VLOOKUP(AU272,INDEX((係数_バス貨物_ガソリン,係数_バス貨物_CNG,係数_バス貨物_軽油,係数_バス貨物_メタノール,係数_バス貨物_LPG),MATCH(AY272,【参考】排出係数!$AI$4:$AI$671,1),1,BE272):INDEX((係数_バス貨物_ガソリン,係数_バス貨物_CNG,係数_バス貨物_軽油,係数_バス貨物_メタノール,係数_バス貨物_LPG),MATCH(AY272+1,【参考】排出係数!$AI$4:$AI$671,1)-1,5,BE272),4,FALSE)),IF(AND(BE272=3,LEFT(BF272,1)="1"),0.48,VLOOKUP(AU272,INDEX((係数_乗用_ガソリン,係数_乗用_CNG,係数_乗用_軽油,係数_乗用_メタノール,係数_乗用_LPG),1,1,BE272):INDEX((係数_乗用_ガソリン,係数_乗用_CNG,係数_乗用_軽油,係数_乗用_メタノール,係数_乗用_LPG),125,5,BE272),4,FALSE)))))</f>
        <v/>
      </c>
      <c r="AL272" s="461" t="str">
        <f t="shared" si="164"/>
        <v/>
      </c>
      <c r="AM272" s="460" t="str">
        <f>IF(AU272="","",IF(OR(AZ272=8,AZ272=9),0,IF(OR(AW272=3,AW272=4,AW272=5,AW272=6),IF(LEFT(BH272,1)="1",INDEX(係数_PM低減,MATCH(AY272,【参考】排出係数!$AI$801:$AI$804,1),MATCH(BI272,【参考】排出係数!$AL$798:$AO$798,1)),VLOOKUP(AU272,INDEX((係数_バス貨物_ガソリン,係数_バス貨物_CNG,係数_バス貨物_軽油,係数_バス貨物_メタノール,係数_バス貨物_LPG),MATCH(AY272,【参考】排出係数!$AI$4:$AI$671,1),1,BE272):INDEX((係数_バス貨物_ガソリン,係数_バス貨物_CNG,係数_バス貨物_軽油,係数_バス貨物_メタノール,係数_バス貨物_LPG),MATCH(AY272+1,【参考】排出係数!$AI$4:$AI$671,1)-1,5,BE272),5,FALSE)),IF(AND(BE272=3,LEFT(BF272,1)="1"),0.055,VLOOKUP(AU272,INDEX((係数_乗用_ガソリン,係数_乗用_CNG,係数_乗用_軽油,係数_乗用_メタノール,係数_乗用_LPG),1,1,BE272):INDEX((係数_乗用_ガソリン,係数_乗用_CNG,係数_乗用_軽油,係数_乗用_メタノール,係数_乗用_LPG),125,5,BE272),5,FALSE)))))</f>
        <v/>
      </c>
      <c r="AN272" s="461" t="str">
        <f t="shared" si="165"/>
        <v/>
      </c>
      <c r="AO272" s="462" t="str">
        <f t="shared" si="166"/>
        <v/>
      </c>
      <c r="AP272" s="463" t="str">
        <f t="shared" si="167"/>
        <v/>
      </c>
      <c r="AQ272" s="464"/>
      <c r="AR272" s="619"/>
      <c r="AS272" s="465" t="str">
        <f t="shared" si="146"/>
        <v/>
      </c>
      <c r="AT272" s="465" t="str">
        <f t="shared" si="147"/>
        <v/>
      </c>
      <c r="AU272" s="466" t="str">
        <f t="shared" si="148"/>
        <v/>
      </c>
      <c r="AV272" s="467" t="str">
        <f t="shared" si="149"/>
        <v/>
      </c>
      <c r="AW272" s="467" t="str">
        <f t="shared" si="150"/>
        <v/>
      </c>
      <c r="AX272" s="467" t="str">
        <f t="shared" si="151"/>
        <v/>
      </c>
      <c r="AY272" s="467" t="str">
        <f t="shared" si="152"/>
        <v/>
      </c>
      <c r="AZ272" s="467" t="str">
        <f t="shared" si="153"/>
        <v/>
      </c>
      <c r="BA272" s="468" t="str">
        <f>IF(AS272="","",IF(OR(AU272="",AU272="-"),"－",IF(OR(AZ272=8,AZ272=9),"",IF(OR(AW272=3,AW272=4,AW272=5,AW272=6),VLOOKUP(AU272,INDEX((係数_バス貨物_ガソリン,係数_バス貨物_CNG,係数_バス貨物_軽油,係数_バス貨物_メタノール,係数_バス貨物_LPG),MATCH(AY272,【参考】排出係数!$AI$4:$AI$671,1),1,BE272):INDEX((係数_バス貨物_ガソリン,係数_バス貨物_CNG,係数_バス貨物_軽油,係数_バス貨物_メタノール,係数_バス貨物_LPG),MATCH(AY272+1,【参考】排出係数!$AI$4:$AI$671,1)-1,5,BE272),2,FALSE),IF(OR(AW272=1,AW272=2),VLOOKUP(AU272,INDEX((係数_乗用_ガソリン,係数_乗用_CNG,係数_乗用_軽油,係数_乗用_メタノール,係数_乗用_LPG),1,1,BE272):INDEX((係数_乗用_ガソリン,係数_乗用_CNG,係数_乗用_軽油,係数_乗用_メタノール,係数_乗用_LPG),125,5,BE272),2,FALSE))))))</f>
        <v/>
      </c>
      <c r="BB272" s="468" t="str">
        <f>IF(T272="","",IF(OR(AU272="",AU272="-"),"－",IF(OR(AZ272=8,AZ272=9),"",IF(OR(AW272=3,AW272=4,AW272=5,AW272=6),VLOOKUP(AU272,INDEX((係数_バス貨物_ガソリン,係数_バス貨物_CNG,係数_バス貨物_軽油,係数_バス貨物_メタノール,係数_バス貨物_LPG),MATCH(AY272,【参考】排出係数!$AI$4:$AI$671,1),1,BE272):INDEX((係数_バス貨物_ガソリン,係数_バス貨物_CNG,係数_バス貨物_軽油,係数_バス貨物_メタノール,係数_バス貨物_LPG),MATCH(AY272+1,【参考】排出係数!$AI$4:$AI$671,1)-1,5,BE272),3,FALSE),IF(OR(AW272=1,AW272=2),VLOOKUP(AU272,INDEX((係数_乗用_ガソリン,係数_乗用_CNG,係数_乗用_軽油,係数_乗用_メタノール,係数_乗用_LPG),1,1,BE272):INDEX((係数_乗用_ガソリン,係数_乗用_CNG,係数_乗用_軽油,係数_乗用_メタノール,係数_乗用_LPG),125,5,BE272),3,FALSE))))))</f>
        <v/>
      </c>
      <c r="BC272" s="467" t="str">
        <f t="shared" si="154"/>
        <v/>
      </c>
      <c r="BD272" s="567" t="str">
        <f t="shared" si="155"/>
        <v/>
      </c>
      <c r="BE272" s="467" t="str">
        <f t="shared" si="156"/>
        <v/>
      </c>
      <c r="BF272" s="469" t="str">
        <f t="shared" ca="1" si="157"/>
        <v/>
      </c>
      <c r="BG272" s="469" t="str">
        <f t="shared" ca="1" si="158"/>
        <v/>
      </c>
      <c r="BH272" s="467" t="str">
        <f t="shared" si="159"/>
        <v/>
      </c>
      <c r="BI272" s="467" t="str">
        <f t="shared" ca="1" si="160"/>
        <v/>
      </c>
      <c r="BJ272" s="469" t="str">
        <f t="shared" si="161"/>
        <v/>
      </c>
      <c r="BK272" s="470" t="str">
        <f t="shared" si="141"/>
        <v/>
      </c>
      <c r="BL272" s="775" t="str">
        <f t="shared" si="162"/>
        <v/>
      </c>
      <c r="BM272" s="775" t="str">
        <f t="shared" si="163"/>
        <v/>
      </c>
    </row>
    <row r="273" spans="1:65">
      <c r="A273" s="473">
        <v>217</v>
      </c>
      <c r="B273" s="132"/>
      <c r="C273" s="332"/>
      <c r="D273" s="333"/>
      <c r="E273" s="333"/>
      <c r="F273" s="334"/>
      <c r="G273" s="337"/>
      <c r="H273" s="131"/>
      <c r="I273" s="337"/>
      <c r="J273" s="131"/>
      <c r="K273" s="458" t="str">
        <f t="shared" si="130"/>
        <v/>
      </c>
      <c r="L273" s="458">
        <f t="shared" si="142"/>
        <v>0</v>
      </c>
      <c r="M273" s="458">
        <f t="shared" si="143"/>
        <v>0</v>
      </c>
      <c r="N273" s="459" t="str">
        <f t="shared" si="131"/>
        <v/>
      </c>
      <c r="O273" s="459" t="str">
        <f t="shared" si="132"/>
        <v/>
      </c>
      <c r="P273" s="459" t="str">
        <f t="shared" si="133"/>
        <v/>
      </c>
      <c r="Q273" s="459" t="str">
        <f t="shared" si="134"/>
        <v/>
      </c>
      <c r="R273" s="459" t="str">
        <f t="shared" si="135"/>
        <v/>
      </c>
      <c r="S273" s="459" t="str">
        <f t="shared" si="136"/>
        <v/>
      </c>
      <c r="T273" s="566" t="str">
        <f t="shared" si="144"/>
        <v/>
      </c>
      <c r="U273" s="702"/>
      <c r="V273" s="132"/>
      <c r="W273" s="133"/>
      <c r="X273" s="134"/>
      <c r="Y273" s="135"/>
      <c r="Z273" s="137"/>
      <c r="AA273" s="136"/>
      <c r="AB273" s="566" t="str">
        <f t="shared" si="137"/>
        <v/>
      </c>
      <c r="AC273" s="568" t="str">
        <f t="shared" si="145"/>
        <v/>
      </c>
      <c r="AD273" s="137"/>
      <c r="AE273" s="137"/>
      <c r="AF273" s="138"/>
      <c r="AG273" s="138"/>
      <c r="AH273" s="592" t="str">
        <f t="shared" si="138"/>
        <v/>
      </c>
      <c r="AI273" s="592" t="str">
        <f t="shared" si="139"/>
        <v/>
      </c>
      <c r="AJ273" s="592" t="str">
        <f t="shared" si="140"/>
        <v/>
      </c>
      <c r="AK273" s="460" t="str">
        <f>IF(AU273="","",IF(OR(AZ273=8,AZ273=9),0,IF(OR(AW273=3,AW273=4,AW273=5,AW273=6),IF(LEFT(BF273,1)="1",INDEX(係数_NOX・PM低減,MATCH(AY273,【参考】排出係数!$AI$801:$AI$804,1),1),VLOOKUP(AU273,INDEX((係数_バス貨物_ガソリン,係数_バス貨物_CNG,係数_バス貨物_軽油,係数_バス貨物_メタノール,係数_バス貨物_LPG),MATCH(AY273,【参考】排出係数!$AI$4:$AI$671,1),1,BE273):INDEX((係数_バス貨物_ガソリン,係数_バス貨物_CNG,係数_バス貨物_軽油,係数_バス貨物_メタノール,係数_バス貨物_LPG),MATCH(AY273+1,【参考】排出係数!$AI$4:$AI$671,1)-1,5,BE273),4,FALSE)),IF(AND(BE273=3,LEFT(BF273,1)="1"),0.48,VLOOKUP(AU273,INDEX((係数_乗用_ガソリン,係数_乗用_CNG,係数_乗用_軽油,係数_乗用_メタノール,係数_乗用_LPG),1,1,BE273):INDEX((係数_乗用_ガソリン,係数_乗用_CNG,係数_乗用_軽油,係数_乗用_メタノール,係数_乗用_LPG),125,5,BE273),4,FALSE)))))</f>
        <v/>
      </c>
      <c r="AL273" s="461" t="str">
        <f t="shared" si="164"/>
        <v/>
      </c>
      <c r="AM273" s="460" t="str">
        <f>IF(AU273="","",IF(OR(AZ273=8,AZ273=9),0,IF(OR(AW273=3,AW273=4,AW273=5,AW273=6),IF(LEFT(BH273,1)="1",INDEX(係数_PM低減,MATCH(AY273,【参考】排出係数!$AI$801:$AI$804,1),MATCH(BI273,【参考】排出係数!$AL$798:$AO$798,1)),VLOOKUP(AU273,INDEX((係数_バス貨物_ガソリン,係数_バス貨物_CNG,係数_バス貨物_軽油,係数_バス貨物_メタノール,係数_バス貨物_LPG),MATCH(AY273,【参考】排出係数!$AI$4:$AI$671,1),1,BE273):INDEX((係数_バス貨物_ガソリン,係数_バス貨物_CNG,係数_バス貨物_軽油,係数_バス貨物_メタノール,係数_バス貨物_LPG),MATCH(AY273+1,【参考】排出係数!$AI$4:$AI$671,1)-1,5,BE273),5,FALSE)),IF(AND(BE273=3,LEFT(BF273,1)="1"),0.055,VLOOKUP(AU273,INDEX((係数_乗用_ガソリン,係数_乗用_CNG,係数_乗用_軽油,係数_乗用_メタノール,係数_乗用_LPG),1,1,BE273):INDEX((係数_乗用_ガソリン,係数_乗用_CNG,係数_乗用_軽油,係数_乗用_メタノール,係数_乗用_LPG),125,5,BE273),5,FALSE)))))</f>
        <v/>
      </c>
      <c r="AN273" s="461" t="str">
        <f t="shared" si="165"/>
        <v/>
      </c>
      <c r="AO273" s="462" t="str">
        <f t="shared" si="166"/>
        <v/>
      </c>
      <c r="AP273" s="463" t="str">
        <f t="shared" si="167"/>
        <v/>
      </c>
      <c r="AQ273" s="464"/>
      <c r="AR273" s="619"/>
      <c r="AS273" s="465" t="str">
        <f t="shared" si="146"/>
        <v/>
      </c>
      <c r="AT273" s="465" t="str">
        <f t="shared" si="147"/>
        <v/>
      </c>
      <c r="AU273" s="466" t="str">
        <f t="shared" si="148"/>
        <v/>
      </c>
      <c r="AV273" s="467" t="str">
        <f t="shared" si="149"/>
        <v/>
      </c>
      <c r="AW273" s="467" t="str">
        <f t="shared" si="150"/>
        <v/>
      </c>
      <c r="AX273" s="467" t="str">
        <f t="shared" si="151"/>
        <v/>
      </c>
      <c r="AY273" s="467" t="str">
        <f t="shared" si="152"/>
        <v/>
      </c>
      <c r="AZ273" s="467" t="str">
        <f t="shared" si="153"/>
        <v/>
      </c>
      <c r="BA273" s="468" t="str">
        <f>IF(AS273="","",IF(OR(AU273="",AU273="-"),"－",IF(OR(AZ273=8,AZ273=9),"",IF(OR(AW273=3,AW273=4,AW273=5,AW273=6),VLOOKUP(AU273,INDEX((係数_バス貨物_ガソリン,係数_バス貨物_CNG,係数_バス貨物_軽油,係数_バス貨物_メタノール,係数_バス貨物_LPG),MATCH(AY273,【参考】排出係数!$AI$4:$AI$671,1),1,BE273):INDEX((係数_バス貨物_ガソリン,係数_バス貨物_CNG,係数_バス貨物_軽油,係数_バス貨物_メタノール,係数_バス貨物_LPG),MATCH(AY273+1,【参考】排出係数!$AI$4:$AI$671,1)-1,5,BE273),2,FALSE),IF(OR(AW273=1,AW273=2),VLOOKUP(AU273,INDEX((係数_乗用_ガソリン,係数_乗用_CNG,係数_乗用_軽油,係数_乗用_メタノール,係数_乗用_LPG),1,1,BE273):INDEX((係数_乗用_ガソリン,係数_乗用_CNG,係数_乗用_軽油,係数_乗用_メタノール,係数_乗用_LPG),125,5,BE273),2,FALSE))))))</f>
        <v/>
      </c>
      <c r="BB273" s="468" t="str">
        <f>IF(T273="","",IF(OR(AU273="",AU273="-"),"－",IF(OR(AZ273=8,AZ273=9),"",IF(OR(AW273=3,AW273=4,AW273=5,AW273=6),VLOOKUP(AU273,INDEX((係数_バス貨物_ガソリン,係数_バス貨物_CNG,係数_バス貨物_軽油,係数_バス貨物_メタノール,係数_バス貨物_LPG),MATCH(AY273,【参考】排出係数!$AI$4:$AI$671,1),1,BE273):INDEX((係数_バス貨物_ガソリン,係数_バス貨物_CNG,係数_バス貨物_軽油,係数_バス貨物_メタノール,係数_バス貨物_LPG),MATCH(AY273+1,【参考】排出係数!$AI$4:$AI$671,1)-1,5,BE273),3,FALSE),IF(OR(AW273=1,AW273=2),VLOOKUP(AU273,INDEX((係数_乗用_ガソリン,係数_乗用_CNG,係数_乗用_軽油,係数_乗用_メタノール,係数_乗用_LPG),1,1,BE273):INDEX((係数_乗用_ガソリン,係数_乗用_CNG,係数_乗用_軽油,係数_乗用_メタノール,係数_乗用_LPG),125,5,BE273),3,FALSE))))))</f>
        <v/>
      </c>
      <c r="BC273" s="467" t="str">
        <f t="shared" si="154"/>
        <v/>
      </c>
      <c r="BD273" s="567" t="str">
        <f t="shared" si="155"/>
        <v/>
      </c>
      <c r="BE273" s="467" t="str">
        <f t="shared" si="156"/>
        <v/>
      </c>
      <c r="BF273" s="469" t="str">
        <f t="shared" ca="1" si="157"/>
        <v/>
      </c>
      <c r="BG273" s="469" t="str">
        <f t="shared" ca="1" si="158"/>
        <v/>
      </c>
      <c r="BH273" s="467" t="str">
        <f t="shared" si="159"/>
        <v/>
      </c>
      <c r="BI273" s="467" t="str">
        <f t="shared" ca="1" si="160"/>
        <v/>
      </c>
      <c r="BJ273" s="469" t="str">
        <f t="shared" si="161"/>
        <v/>
      </c>
      <c r="BK273" s="470" t="str">
        <f t="shared" si="141"/>
        <v/>
      </c>
      <c r="BL273" s="775" t="str">
        <f t="shared" si="162"/>
        <v/>
      </c>
      <c r="BM273" s="775" t="str">
        <f t="shared" si="163"/>
        <v/>
      </c>
    </row>
    <row r="274" spans="1:65">
      <c r="A274" s="473">
        <v>218</v>
      </c>
      <c r="B274" s="132"/>
      <c r="C274" s="332"/>
      <c r="D274" s="333"/>
      <c r="E274" s="333"/>
      <c r="F274" s="334"/>
      <c r="G274" s="337"/>
      <c r="H274" s="131"/>
      <c r="I274" s="337"/>
      <c r="J274" s="131"/>
      <c r="K274" s="458" t="str">
        <f t="shared" si="130"/>
        <v/>
      </c>
      <c r="L274" s="458">
        <f t="shared" si="142"/>
        <v>0</v>
      </c>
      <c r="M274" s="458">
        <f t="shared" si="143"/>
        <v>0</v>
      </c>
      <c r="N274" s="459" t="str">
        <f t="shared" si="131"/>
        <v/>
      </c>
      <c r="O274" s="459" t="str">
        <f t="shared" si="132"/>
        <v/>
      </c>
      <c r="P274" s="459" t="str">
        <f t="shared" si="133"/>
        <v/>
      </c>
      <c r="Q274" s="459" t="str">
        <f t="shared" si="134"/>
        <v/>
      </c>
      <c r="R274" s="459" t="str">
        <f t="shared" si="135"/>
        <v/>
      </c>
      <c r="S274" s="459" t="str">
        <f t="shared" si="136"/>
        <v/>
      </c>
      <c r="T274" s="566" t="str">
        <f t="shared" si="144"/>
        <v/>
      </c>
      <c r="U274" s="702"/>
      <c r="V274" s="132"/>
      <c r="W274" s="133"/>
      <c r="X274" s="134"/>
      <c r="Y274" s="135"/>
      <c r="Z274" s="137"/>
      <c r="AA274" s="136"/>
      <c r="AB274" s="566" t="str">
        <f t="shared" si="137"/>
        <v/>
      </c>
      <c r="AC274" s="568" t="str">
        <f t="shared" si="145"/>
        <v/>
      </c>
      <c r="AD274" s="137"/>
      <c r="AE274" s="137"/>
      <c r="AF274" s="138"/>
      <c r="AG274" s="138"/>
      <c r="AH274" s="592" t="str">
        <f t="shared" si="138"/>
        <v/>
      </c>
      <c r="AI274" s="592" t="str">
        <f t="shared" si="139"/>
        <v/>
      </c>
      <c r="AJ274" s="592" t="str">
        <f t="shared" si="140"/>
        <v/>
      </c>
      <c r="AK274" s="460" t="str">
        <f>IF(AU274="","",IF(OR(AZ274=8,AZ274=9),0,IF(OR(AW274=3,AW274=4,AW274=5,AW274=6),IF(LEFT(BF274,1)="1",INDEX(係数_NOX・PM低減,MATCH(AY274,【参考】排出係数!$AI$801:$AI$804,1),1),VLOOKUP(AU274,INDEX((係数_バス貨物_ガソリン,係数_バス貨物_CNG,係数_バス貨物_軽油,係数_バス貨物_メタノール,係数_バス貨物_LPG),MATCH(AY274,【参考】排出係数!$AI$4:$AI$671,1),1,BE274):INDEX((係数_バス貨物_ガソリン,係数_バス貨物_CNG,係数_バス貨物_軽油,係数_バス貨物_メタノール,係数_バス貨物_LPG),MATCH(AY274+1,【参考】排出係数!$AI$4:$AI$671,1)-1,5,BE274),4,FALSE)),IF(AND(BE274=3,LEFT(BF274,1)="1"),0.48,VLOOKUP(AU274,INDEX((係数_乗用_ガソリン,係数_乗用_CNG,係数_乗用_軽油,係数_乗用_メタノール,係数_乗用_LPG),1,1,BE274):INDEX((係数_乗用_ガソリン,係数_乗用_CNG,係数_乗用_軽油,係数_乗用_メタノール,係数_乗用_LPG),125,5,BE274),4,FALSE)))))</f>
        <v/>
      </c>
      <c r="AL274" s="461" t="str">
        <f t="shared" si="164"/>
        <v/>
      </c>
      <c r="AM274" s="460" t="str">
        <f>IF(AU274="","",IF(OR(AZ274=8,AZ274=9),0,IF(OR(AW274=3,AW274=4,AW274=5,AW274=6),IF(LEFT(BH274,1)="1",INDEX(係数_PM低減,MATCH(AY274,【参考】排出係数!$AI$801:$AI$804,1),MATCH(BI274,【参考】排出係数!$AL$798:$AO$798,1)),VLOOKUP(AU274,INDEX((係数_バス貨物_ガソリン,係数_バス貨物_CNG,係数_バス貨物_軽油,係数_バス貨物_メタノール,係数_バス貨物_LPG),MATCH(AY274,【参考】排出係数!$AI$4:$AI$671,1),1,BE274):INDEX((係数_バス貨物_ガソリン,係数_バス貨物_CNG,係数_バス貨物_軽油,係数_バス貨物_メタノール,係数_バス貨物_LPG),MATCH(AY274+1,【参考】排出係数!$AI$4:$AI$671,1)-1,5,BE274),5,FALSE)),IF(AND(BE274=3,LEFT(BF274,1)="1"),0.055,VLOOKUP(AU274,INDEX((係数_乗用_ガソリン,係数_乗用_CNG,係数_乗用_軽油,係数_乗用_メタノール,係数_乗用_LPG),1,1,BE274):INDEX((係数_乗用_ガソリン,係数_乗用_CNG,係数_乗用_軽油,係数_乗用_メタノール,係数_乗用_LPG),125,5,BE274),5,FALSE)))))</f>
        <v/>
      </c>
      <c r="AN274" s="461" t="str">
        <f t="shared" si="165"/>
        <v/>
      </c>
      <c r="AO274" s="462" t="str">
        <f t="shared" si="166"/>
        <v/>
      </c>
      <c r="AP274" s="463" t="str">
        <f t="shared" si="167"/>
        <v/>
      </c>
      <c r="AQ274" s="464"/>
      <c r="AR274" s="619"/>
      <c r="AS274" s="465" t="str">
        <f t="shared" si="146"/>
        <v/>
      </c>
      <c r="AT274" s="465" t="str">
        <f t="shared" si="147"/>
        <v/>
      </c>
      <c r="AU274" s="466" t="str">
        <f t="shared" si="148"/>
        <v/>
      </c>
      <c r="AV274" s="467" t="str">
        <f t="shared" si="149"/>
        <v/>
      </c>
      <c r="AW274" s="467" t="str">
        <f t="shared" si="150"/>
        <v/>
      </c>
      <c r="AX274" s="467" t="str">
        <f t="shared" si="151"/>
        <v/>
      </c>
      <c r="AY274" s="467" t="str">
        <f t="shared" si="152"/>
        <v/>
      </c>
      <c r="AZ274" s="467" t="str">
        <f t="shared" si="153"/>
        <v/>
      </c>
      <c r="BA274" s="468" t="str">
        <f>IF(AS274="","",IF(OR(AU274="",AU274="-"),"－",IF(OR(AZ274=8,AZ274=9),"",IF(OR(AW274=3,AW274=4,AW274=5,AW274=6),VLOOKUP(AU274,INDEX((係数_バス貨物_ガソリン,係数_バス貨物_CNG,係数_バス貨物_軽油,係数_バス貨物_メタノール,係数_バス貨物_LPG),MATCH(AY274,【参考】排出係数!$AI$4:$AI$671,1),1,BE274):INDEX((係数_バス貨物_ガソリン,係数_バス貨物_CNG,係数_バス貨物_軽油,係数_バス貨物_メタノール,係数_バス貨物_LPG),MATCH(AY274+1,【参考】排出係数!$AI$4:$AI$671,1)-1,5,BE274),2,FALSE),IF(OR(AW274=1,AW274=2),VLOOKUP(AU274,INDEX((係数_乗用_ガソリン,係数_乗用_CNG,係数_乗用_軽油,係数_乗用_メタノール,係数_乗用_LPG),1,1,BE274):INDEX((係数_乗用_ガソリン,係数_乗用_CNG,係数_乗用_軽油,係数_乗用_メタノール,係数_乗用_LPG),125,5,BE274),2,FALSE))))))</f>
        <v/>
      </c>
      <c r="BB274" s="468" t="str">
        <f>IF(T274="","",IF(OR(AU274="",AU274="-"),"－",IF(OR(AZ274=8,AZ274=9),"",IF(OR(AW274=3,AW274=4,AW274=5,AW274=6),VLOOKUP(AU274,INDEX((係数_バス貨物_ガソリン,係数_バス貨物_CNG,係数_バス貨物_軽油,係数_バス貨物_メタノール,係数_バス貨物_LPG),MATCH(AY274,【参考】排出係数!$AI$4:$AI$671,1),1,BE274):INDEX((係数_バス貨物_ガソリン,係数_バス貨物_CNG,係数_バス貨物_軽油,係数_バス貨物_メタノール,係数_バス貨物_LPG),MATCH(AY274+1,【参考】排出係数!$AI$4:$AI$671,1)-1,5,BE274),3,FALSE),IF(OR(AW274=1,AW274=2),VLOOKUP(AU274,INDEX((係数_乗用_ガソリン,係数_乗用_CNG,係数_乗用_軽油,係数_乗用_メタノール,係数_乗用_LPG),1,1,BE274):INDEX((係数_乗用_ガソリン,係数_乗用_CNG,係数_乗用_軽油,係数_乗用_メタノール,係数_乗用_LPG),125,5,BE274),3,FALSE))))))</f>
        <v/>
      </c>
      <c r="BC274" s="467" t="str">
        <f t="shared" si="154"/>
        <v/>
      </c>
      <c r="BD274" s="567" t="str">
        <f t="shared" si="155"/>
        <v/>
      </c>
      <c r="BE274" s="467" t="str">
        <f t="shared" si="156"/>
        <v/>
      </c>
      <c r="BF274" s="469" t="str">
        <f t="shared" ca="1" si="157"/>
        <v/>
      </c>
      <c r="BG274" s="469" t="str">
        <f t="shared" ca="1" si="158"/>
        <v/>
      </c>
      <c r="BH274" s="467" t="str">
        <f t="shared" si="159"/>
        <v/>
      </c>
      <c r="BI274" s="467" t="str">
        <f t="shared" ca="1" si="160"/>
        <v/>
      </c>
      <c r="BJ274" s="469" t="str">
        <f t="shared" si="161"/>
        <v/>
      </c>
      <c r="BK274" s="470" t="str">
        <f t="shared" si="141"/>
        <v/>
      </c>
      <c r="BL274" s="775" t="str">
        <f t="shared" si="162"/>
        <v/>
      </c>
      <c r="BM274" s="775" t="str">
        <f t="shared" si="163"/>
        <v/>
      </c>
    </row>
    <row r="275" spans="1:65">
      <c r="A275" s="473">
        <v>219</v>
      </c>
      <c r="B275" s="132"/>
      <c r="C275" s="332"/>
      <c r="D275" s="333"/>
      <c r="E275" s="333"/>
      <c r="F275" s="334"/>
      <c r="G275" s="337"/>
      <c r="H275" s="131"/>
      <c r="I275" s="337"/>
      <c r="J275" s="131"/>
      <c r="K275" s="458" t="str">
        <f t="shared" si="130"/>
        <v/>
      </c>
      <c r="L275" s="458">
        <f t="shared" si="142"/>
        <v>0</v>
      </c>
      <c r="M275" s="458">
        <f t="shared" si="143"/>
        <v>0</v>
      </c>
      <c r="N275" s="459" t="str">
        <f t="shared" si="131"/>
        <v/>
      </c>
      <c r="O275" s="459" t="str">
        <f t="shared" si="132"/>
        <v/>
      </c>
      <c r="P275" s="459" t="str">
        <f t="shared" si="133"/>
        <v/>
      </c>
      <c r="Q275" s="459" t="str">
        <f t="shared" si="134"/>
        <v/>
      </c>
      <c r="R275" s="459" t="str">
        <f t="shared" si="135"/>
        <v/>
      </c>
      <c r="S275" s="459" t="str">
        <f t="shared" si="136"/>
        <v/>
      </c>
      <c r="T275" s="566" t="str">
        <f t="shared" si="144"/>
        <v/>
      </c>
      <c r="U275" s="702"/>
      <c r="V275" s="132"/>
      <c r="W275" s="133"/>
      <c r="X275" s="134"/>
      <c r="Y275" s="135"/>
      <c r="Z275" s="137"/>
      <c r="AA275" s="136"/>
      <c r="AB275" s="566" t="str">
        <f t="shared" si="137"/>
        <v/>
      </c>
      <c r="AC275" s="568" t="str">
        <f t="shared" si="145"/>
        <v/>
      </c>
      <c r="AD275" s="137"/>
      <c r="AE275" s="137"/>
      <c r="AF275" s="138"/>
      <c r="AG275" s="138"/>
      <c r="AH275" s="592" t="str">
        <f t="shared" si="138"/>
        <v/>
      </c>
      <c r="AI275" s="592" t="str">
        <f t="shared" si="139"/>
        <v/>
      </c>
      <c r="AJ275" s="592" t="str">
        <f t="shared" si="140"/>
        <v/>
      </c>
      <c r="AK275" s="460" t="str">
        <f>IF(AU275="","",IF(OR(AZ275=8,AZ275=9),0,IF(OR(AW275=3,AW275=4,AW275=5,AW275=6),IF(LEFT(BF275,1)="1",INDEX(係数_NOX・PM低減,MATCH(AY275,【参考】排出係数!$AI$801:$AI$804,1),1),VLOOKUP(AU275,INDEX((係数_バス貨物_ガソリン,係数_バス貨物_CNG,係数_バス貨物_軽油,係数_バス貨物_メタノール,係数_バス貨物_LPG),MATCH(AY275,【参考】排出係数!$AI$4:$AI$671,1),1,BE275):INDEX((係数_バス貨物_ガソリン,係数_バス貨物_CNG,係数_バス貨物_軽油,係数_バス貨物_メタノール,係数_バス貨物_LPG),MATCH(AY275+1,【参考】排出係数!$AI$4:$AI$671,1)-1,5,BE275),4,FALSE)),IF(AND(BE275=3,LEFT(BF275,1)="1"),0.48,VLOOKUP(AU275,INDEX((係数_乗用_ガソリン,係数_乗用_CNG,係数_乗用_軽油,係数_乗用_メタノール,係数_乗用_LPG),1,1,BE275):INDEX((係数_乗用_ガソリン,係数_乗用_CNG,係数_乗用_軽油,係数_乗用_メタノール,係数_乗用_LPG),125,5,BE275),4,FALSE)))))</f>
        <v/>
      </c>
      <c r="AL275" s="461" t="str">
        <f t="shared" si="164"/>
        <v/>
      </c>
      <c r="AM275" s="460" t="str">
        <f>IF(AU275="","",IF(OR(AZ275=8,AZ275=9),0,IF(OR(AW275=3,AW275=4,AW275=5,AW275=6),IF(LEFT(BH275,1)="1",INDEX(係数_PM低減,MATCH(AY275,【参考】排出係数!$AI$801:$AI$804,1),MATCH(BI275,【参考】排出係数!$AL$798:$AO$798,1)),VLOOKUP(AU275,INDEX((係数_バス貨物_ガソリン,係数_バス貨物_CNG,係数_バス貨物_軽油,係数_バス貨物_メタノール,係数_バス貨物_LPG),MATCH(AY275,【参考】排出係数!$AI$4:$AI$671,1),1,BE275):INDEX((係数_バス貨物_ガソリン,係数_バス貨物_CNG,係数_バス貨物_軽油,係数_バス貨物_メタノール,係数_バス貨物_LPG),MATCH(AY275+1,【参考】排出係数!$AI$4:$AI$671,1)-1,5,BE275),5,FALSE)),IF(AND(BE275=3,LEFT(BF275,1)="1"),0.055,VLOOKUP(AU275,INDEX((係数_乗用_ガソリン,係数_乗用_CNG,係数_乗用_軽油,係数_乗用_メタノール,係数_乗用_LPG),1,1,BE275):INDEX((係数_乗用_ガソリン,係数_乗用_CNG,係数_乗用_軽油,係数_乗用_メタノール,係数_乗用_LPG),125,5,BE275),5,FALSE)))))</f>
        <v/>
      </c>
      <c r="AN275" s="461" t="str">
        <f t="shared" si="165"/>
        <v/>
      </c>
      <c r="AO275" s="462" t="str">
        <f t="shared" si="166"/>
        <v/>
      </c>
      <c r="AP275" s="463" t="str">
        <f t="shared" si="167"/>
        <v/>
      </c>
      <c r="AQ275" s="464"/>
      <c r="AR275" s="619"/>
      <c r="AS275" s="465" t="str">
        <f t="shared" si="146"/>
        <v/>
      </c>
      <c r="AT275" s="465" t="str">
        <f t="shared" si="147"/>
        <v/>
      </c>
      <c r="AU275" s="466" t="str">
        <f t="shared" si="148"/>
        <v/>
      </c>
      <c r="AV275" s="467" t="str">
        <f t="shared" si="149"/>
        <v/>
      </c>
      <c r="AW275" s="467" t="str">
        <f t="shared" si="150"/>
        <v/>
      </c>
      <c r="AX275" s="467" t="str">
        <f t="shared" si="151"/>
        <v/>
      </c>
      <c r="AY275" s="467" t="str">
        <f t="shared" si="152"/>
        <v/>
      </c>
      <c r="AZ275" s="467" t="str">
        <f t="shared" si="153"/>
        <v/>
      </c>
      <c r="BA275" s="468" t="str">
        <f>IF(AS275="","",IF(OR(AU275="",AU275="-"),"－",IF(OR(AZ275=8,AZ275=9),"",IF(OR(AW275=3,AW275=4,AW275=5,AW275=6),VLOOKUP(AU275,INDEX((係数_バス貨物_ガソリン,係数_バス貨物_CNG,係数_バス貨物_軽油,係数_バス貨物_メタノール,係数_バス貨物_LPG),MATCH(AY275,【参考】排出係数!$AI$4:$AI$671,1),1,BE275):INDEX((係数_バス貨物_ガソリン,係数_バス貨物_CNG,係数_バス貨物_軽油,係数_バス貨物_メタノール,係数_バス貨物_LPG),MATCH(AY275+1,【参考】排出係数!$AI$4:$AI$671,1)-1,5,BE275),2,FALSE),IF(OR(AW275=1,AW275=2),VLOOKUP(AU275,INDEX((係数_乗用_ガソリン,係数_乗用_CNG,係数_乗用_軽油,係数_乗用_メタノール,係数_乗用_LPG),1,1,BE275):INDEX((係数_乗用_ガソリン,係数_乗用_CNG,係数_乗用_軽油,係数_乗用_メタノール,係数_乗用_LPG),125,5,BE275),2,FALSE))))))</f>
        <v/>
      </c>
      <c r="BB275" s="468" t="str">
        <f>IF(T275="","",IF(OR(AU275="",AU275="-"),"－",IF(OR(AZ275=8,AZ275=9),"",IF(OR(AW275=3,AW275=4,AW275=5,AW275=6),VLOOKUP(AU275,INDEX((係数_バス貨物_ガソリン,係数_バス貨物_CNG,係数_バス貨物_軽油,係数_バス貨物_メタノール,係数_バス貨物_LPG),MATCH(AY275,【参考】排出係数!$AI$4:$AI$671,1),1,BE275):INDEX((係数_バス貨物_ガソリン,係数_バス貨物_CNG,係数_バス貨物_軽油,係数_バス貨物_メタノール,係数_バス貨物_LPG),MATCH(AY275+1,【参考】排出係数!$AI$4:$AI$671,1)-1,5,BE275),3,FALSE),IF(OR(AW275=1,AW275=2),VLOOKUP(AU275,INDEX((係数_乗用_ガソリン,係数_乗用_CNG,係数_乗用_軽油,係数_乗用_メタノール,係数_乗用_LPG),1,1,BE275):INDEX((係数_乗用_ガソリン,係数_乗用_CNG,係数_乗用_軽油,係数_乗用_メタノール,係数_乗用_LPG),125,5,BE275),3,FALSE))))))</f>
        <v/>
      </c>
      <c r="BC275" s="467" t="str">
        <f t="shared" si="154"/>
        <v/>
      </c>
      <c r="BD275" s="567" t="str">
        <f t="shared" si="155"/>
        <v/>
      </c>
      <c r="BE275" s="467" t="str">
        <f t="shared" si="156"/>
        <v/>
      </c>
      <c r="BF275" s="469" t="str">
        <f t="shared" ca="1" si="157"/>
        <v/>
      </c>
      <c r="BG275" s="469" t="str">
        <f t="shared" ca="1" si="158"/>
        <v/>
      </c>
      <c r="BH275" s="467" t="str">
        <f t="shared" si="159"/>
        <v/>
      </c>
      <c r="BI275" s="467" t="str">
        <f t="shared" ca="1" si="160"/>
        <v/>
      </c>
      <c r="BJ275" s="469" t="str">
        <f t="shared" si="161"/>
        <v/>
      </c>
      <c r="BK275" s="470" t="str">
        <f t="shared" si="141"/>
        <v/>
      </c>
      <c r="BL275" s="775" t="str">
        <f t="shared" si="162"/>
        <v/>
      </c>
      <c r="BM275" s="775" t="str">
        <f t="shared" si="163"/>
        <v/>
      </c>
    </row>
    <row r="276" spans="1:65">
      <c r="A276" s="473">
        <v>220</v>
      </c>
      <c r="B276" s="132"/>
      <c r="C276" s="332"/>
      <c r="D276" s="333"/>
      <c r="E276" s="333"/>
      <c r="F276" s="334"/>
      <c r="G276" s="337"/>
      <c r="H276" s="131"/>
      <c r="I276" s="337"/>
      <c r="J276" s="131"/>
      <c r="K276" s="458" t="str">
        <f t="shared" si="130"/>
        <v/>
      </c>
      <c r="L276" s="458">
        <f t="shared" si="142"/>
        <v>0</v>
      </c>
      <c r="M276" s="458">
        <f t="shared" si="143"/>
        <v>0</v>
      </c>
      <c r="N276" s="459" t="str">
        <f t="shared" si="131"/>
        <v/>
      </c>
      <c r="O276" s="459" t="str">
        <f t="shared" si="132"/>
        <v/>
      </c>
      <c r="P276" s="459" t="str">
        <f t="shared" si="133"/>
        <v/>
      </c>
      <c r="Q276" s="459" t="str">
        <f t="shared" si="134"/>
        <v/>
      </c>
      <c r="R276" s="459" t="str">
        <f t="shared" si="135"/>
        <v/>
      </c>
      <c r="S276" s="459" t="str">
        <f t="shared" si="136"/>
        <v/>
      </c>
      <c r="T276" s="566" t="str">
        <f t="shared" si="144"/>
        <v/>
      </c>
      <c r="U276" s="702"/>
      <c r="V276" s="132"/>
      <c r="W276" s="133"/>
      <c r="X276" s="134"/>
      <c r="Y276" s="135"/>
      <c r="Z276" s="137"/>
      <c r="AA276" s="136"/>
      <c r="AB276" s="566" t="str">
        <f t="shared" si="137"/>
        <v/>
      </c>
      <c r="AC276" s="568" t="str">
        <f t="shared" si="145"/>
        <v/>
      </c>
      <c r="AD276" s="137"/>
      <c r="AE276" s="137"/>
      <c r="AF276" s="138"/>
      <c r="AG276" s="138"/>
      <c r="AH276" s="592" t="str">
        <f t="shared" si="138"/>
        <v/>
      </c>
      <c r="AI276" s="592" t="str">
        <f t="shared" si="139"/>
        <v/>
      </c>
      <c r="AJ276" s="592" t="str">
        <f t="shared" si="140"/>
        <v/>
      </c>
      <c r="AK276" s="460" t="str">
        <f>IF(AU276="","",IF(OR(AZ276=8,AZ276=9),0,IF(OR(AW276=3,AW276=4,AW276=5,AW276=6),IF(LEFT(BF276,1)="1",INDEX(係数_NOX・PM低減,MATCH(AY276,【参考】排出係数!$AI$801:$AI$804,1),1),VLOOKUP(AU276,INDEX((係数_バス貨物_ガソリン,係数_バス貨物_CNG,係数_バス貨物_軽油,係数_バス貨物_メタノール,係数_バス貨物_LPG),MATCH(AY276,【参考】排出係数!$AI$4:$AI$671,1),1,BE276):INDEX((係数_バス貨物_ガソリン,係数_バス貨物_CNG,係数_バス貨物_軽油,係数_バス貨物_メタノール,係数_バス貨物_LPG),MATCH(AY276+1,【参考】排出係数!$AI$4:$AI$671,1)-1,5,BE276),4,FALSE)),IF(AND(BE276=3,LEFT(BF276,1)="1"),0.48,VLOOKUP(AU276,INDEX((係数_乗用_ガソリン,係数_乗用_CNG,係数_乗用_軽油,係数_乗用_メタノール,係数_乗用_LPG),1,1,BE276):INDEX((係数_乗用_ガソリン,係数_乗用_CNG,係数_乗用_軽油,係数_乗用_メタノール,係数_乗用_LPG),125,5,BE276),4,FALSE)))))</f>
        <v/>
      </c>
      <c r="AL276" s="461" t="str">
        <f t="shared" si="164"/>
        <v/>
      </c>
      <c r="AM276" s="460" t="str">
        <f>IF(AU276="","",IF(OR(AZ276=8,AZ276=9),0,IF(OR(AW276=3,AW276=4,AW276=5,AW276=6),IF(LEFT(BH276,1)="1",INDEX(係数_PM低減,MATCH(AY276,【参考】排出係数!$AI$801:$AI$804,1),MATCH(BI276,【参考】排出係数!$AL$798:$AO$798,1)),VLOOKUP(AU276,INDEX((係数_バス貨物_ガソリン,係数_バス貨物_CNG,係数_バス貨物_軽油,係数_バス貨物_メタノール,係数_バス貨物_LPG),MATCH(AY276,【参考】排出係数!$AI$4:$AI$671,1),1,BE276):INDEX((係数_バス貨物_ガソリン,係数_バス貨物_CNG,係数_バス貨物_軽油,係数_バス貨物_メタノール,係数_バス貨物_LPG),MATCH(AY276+1,【参考】排出係数!$AI$4:$AI$671,1)-1,5,BE276),5,FALSE)),IF(AND(BE276=3,LEFT(BF276,1)="1"),0.055,VLOOKUP(AU276,INDEX((係数_乗用_ガソリン,係数_乗用_CNG,係数_乗用_軽油,係数_乗用_メタノール,係数_乗用_LPG),1,1,BE276):INDEX((係数_乗用_ガソリン,係数_乗用_CNG,係数_乗用_軽油,係数_乗用_メタノール,係数_乗用_LPG),125,5,BE276),5,FALSE)))))</f>
        <v/>
      </c>
      <c r="AN276" s="461" t="str">
        <f t="shared" si="165"/>
        <v/>
      </c>
      <c r="AO276" s="462" t="str">
        <f t="shared" si="166"/>
        <v/>
      </c>
      <c r="AP276" s="463" t="str">
        <f t="shared" si="167"/>
        <v/>
      </c>
      <c r="AQ276" s="464"/>
      <c r="AR276" s="619"/>
      <c r="AS276" s="465" t="str">
        <f t="shared" si="146"/>
        <v/>
      </c>
      <c r="AT276" s="465" t="str">
        <f t="shared" si="147"/>
        <v/>
      </c>
      <c r="AU276" s="466" t="str">
        <f t="shared" si="148"/>
        <v/>
      </c>
      <c r="AV276" s="467" t="str">
        <f t="shared" si="149"/>
        <v/>
      </c>
      <c r="AW276" s="467" t="str">
        <f t="shared" si="150"/>
        <v/>
      </c>
      <c r="AX276" s="467" t="str">
        <f t="shared" si="151"/>
        <v/>
      </c>
      <c r="AY276" s="467" t="str">
        <f t="shared" si="152"/>
        <v/>
      </c>
      <c r="AZ276" s="467" t="str">
        <f t="shared" si="153"/>
        <v/>
      </c>
      <c r="BA276" s="468" t="str">
        <f>IF(AS276="","",IF(OR(AU276="",AU276="-"),"－",IF(OR(AZ276=8,AZ276=9),"",IF(OR(AW276=3,AW276=4,AW276=5,AW276=6),VLOOKUP(AU276,INDEX((係数_バス貨物_ガソリン,係数_バス貨物_CNG,係数_バス貨物_軽油,係数_バス貨物_メタノール,係数_バス貨物_LPG),MATCH(AY276,【参考】排出係数!$AI$4:$AI$671,1),1,BE276):INDEX((係数_バス貨物_ガソリン,係数_バス貨物_CNG,係数_バス貨物_軽油,係数_バス貨物_メタノール,係数_バス貨物_LPG),MATCH(AY276+1,【参考】排出係数!$AI$4:$AI$671,1)-1,5,BE276),2,FALSE),IF(OR(AW276=1,AW276=2),VLOOKUP(AU276,INDEX((係数_乗用_ガソリン,係数_乗用_CNG,係数_乗用_軽油,係数_乗用_メタノール,係数_乗用_LPG),1,1,BE276):INDEX((係数_乗用_ガソリン,係数_乗用_CNG,係数_乗用_軽油,係数_乗用_メタノール,係数_乗用_LPG),125,5,BE276),2,FALSE))))))</f>
        <v/>
      </c>
      <c r="BB276" s="468" t="str">
        <f>IF(T276="","",IF(OR(AU276="",AU276="-"),"－",IF(OR(AZ276=8,AZ276=9),"",IF(OR(AW276=3,AW276=4,AW276=5,AW276=6),VLOOKUP(AU276,INDEX((係数_バス貨物_ガソリン,係数_バス貨物_CNG,係数_バス貨物_軽油,係数_バス貨物_メタノール,係数_バス貨物_LPG),MATCH(AY276,【参考】排出係数!$AI$4:$AI$671,1),1,BE276):INDEX((係数_バス貨物_ガソリン,係数_バス貨物_CNG,係数_バス貨物_軽油,係数_バス貨物_メタノール,係数_バス貨物_LPG),MATCH(AY276+1,【参考】排出係数!$AI$4:$AI$671,1)-1,5,BE276),3,FALSE),IF(OR(AW276=1,AW276=2),VLOOKUP(AU276,INDEX((係数_乗用_ガソリン,係数_乗用_CNG,係数_乗用_軽油,係数_乗用_メタノール,係数_乗用_LPG),1,1,BE276):INDEX((係数_乗用_ガソリン,係数_乗用_CNG,係数_乗用_軽油,係数_乗用_メタノール,係数_乗用_LPG),125,5,BE276),3,FALSE))))))</f>
        <v/>
      </c>
      <c r="BC276" s="467" t="str">
        <f t="shared" si="154"/>
        <v/>
      </c>
      <c r="BD276" s="567" t="str">
        <f t="shared" si="155"/>
        <v/>
      </c>
      <c r="BE276" s="467" t="str">
        <f t="shared" si="156"/>
        <v/>
      </c>
      <c r="BF276" s="469" t="str">
        <f t="shared" ca="1" si="157"/>
        <v/>
      </c>
      <c r="BG276" s="469" t="str">
        <f t="shared" ca="1" si="158"/>
        <v/>
      </c>
      <c r="BH276" s="467" t="str">
        <f t="shared" si="159"/>
        <v/>
      </c>
      <c r="BI276" s="467" t="str">
        <f t="shared" ca="1" si="160"/>
        <v/>
      </c>
      <c r="BJ276" s="469" t="str">
        <f t="shared" si="161"/>
        <v/>
      </c>
      <c r="BK276" s="470" t="str">
        <f t="shared" si="141"/>
        <v/>
      </c>
      <c r="BL276" s="775" t="str">
        <f t="shared" si="162"/>
        <v/>
      </c>
      <c r="BM276" s="775" t="str">
        <f t="shared" si="163"/>
        <v/>
      </c>
    </row>
    <row r="277" spans="1:65">
      <c r="A277" s="473">
        <v>221</v>
      </c>
      <c r="B277" s="132"/>
      <c r="C277" s="332"/>
      <c r="D277" s="333"/>
      <c r="E277" s="333"/>
      <c r="F277" s="334"/>
      <c r="G277" s="337"/>
      <c r="H277" s="131"/>
      <c r="I277" s="337"/>
      <c r="J277" s="131"/>
      <c r="K277" s="458" t="str">
        <f t="shared" si="130"/>
        <v/>
      </c>
      <c r="L277" s="458">
        <f t="shared" si="142"/>
        <v>0</v>
      </c>
      <c r="M277" s="458">
        <f t="shared" si="143"/>
        <v>0</v>
      </c>
      <c r="N277" s="459" t="str">
        <f t="shared" si="131"/>
        <v/>
      </c>
      <c r="O277" s="459" t="str">
        <f t="shared" si="132"/>
        <v/>
      </c>
      <c r="P277" s="459" t="str">
        <f t="shared" si="133"/>
        <v/>
      </c>
      <c r="Q277" s="459" t="str">
        <f t="shared" si="134"/>
        <v/>
      </c>
      <c r="R277" s="459" t="str">
        <f t="shared" si="135"/>
        <v/>
      </c>
      <c r="S277" s="459" t="str">
        <f t="shared" si="136"/>
        <v/>
      </c>
      <c r="T277" s="566" t="str">
        <f t="shared" si="144"/>
        <v/>
      </c>
      <c r="U277" s="702"/>
      <c r="V277" s="132"/>
      <c r="W277" s="133"/>
      <c r="X277" s="134"/>
      <c r="Y277" s="135"/>
      <c r="Z277" s="137"/>
      <c r="AA277" s="136"/>
      <c r="AB277" s="566" t="str">
        <f t="shared" si="137"/>
        <v/>
      </c>
      <c r="AC277" s="568" t="str">
        <f t="shared" si="145"/>
        <v/>
      </c>
      <c r="AD277" s="137"/>
      <c r="AE277" s="137"/>
      <c r="AF277" s="138"/>
      <c r="AG277" s="138"/>
      <c r="AH277" s="592" t="str">
        <f t="shared" si="138"/>
        <v/>
      </c>
      <c r="AI277" s="592" t="str">
        <f t="shared" si="139"/>
        <v/>
      </c>
      <c r="AJ277" s="592" t="str">
        <f t="shared" si="140"/>
        <v/>
      </c>
      <c r="AK277" s="460" t="str">
        <f>IF(AU277="","",IF(OR(AZ277=8,AZ277=9),0,IF(OR(AW277=3,AW277=4,AW277=5,AW277=6),IF(LEFT(BF277,1)="1",INDEX(係数_NOX・PM低減,MATCH(AY277,【参考】排出係数!$AI$801:$AI$804,1),1),VLOOKUP(AU277,INDEX((係数_バス貨物_ガソリン,係数_バス貨物_CNG,係数_バス貨物_軽油,係数_バス貨物_メタノール,係数_バス貨物_LPG),MATCH(AY277,【参考】排出係数!$AI$4:$AI$671,1),1,BE277):INDEX((係数_バス貨物_ガソリン,係数_バス貨物_CNG,係数_バス貨物_軽油,係数_バス貨物_メタノール,係数_バス貨物_LPG),MATCH(AY277+1,【参考】排出係数!$AI$4:$AI$671,1)-1,5,BE277),4,FALSE)),IF(AND(BE277=3,LEFT(BF277,1)="1"),0.48,VLOOKUP(AU277,INDEX((係数_乗用_ガソリン,係数_乗用_CNG,係数_乗用_軽油,係数_乗用_メタノール,係数_乗用_LPG),1,1,BE277):INDEX((係数_乗用_ガソリン,係数_乗用_CNG,係数_乗用_軽油,係数_乗用_メタノール,係数_乗用_LPG),125,5,BE277),4,FALSE)))))</f>
        <v/>
      </c>
      <c r="AL277" s="461" t="str">
        <f t="shared" si="164"/>
        <v/>
      </c>
      <c r="AM277" s="460" t="str">
        <f>IF(AU277="","",IF(OR(AZ277=8,AZ277=9),0,IF(OR(AW277=3,AW277=4,AW277=5,AW277=6),IF(LEFT(BH277,1)="1",INDEX(係数_PM低減,MATCH(AY277,【参考】排出係数!$AI$801:$AI$804,1),MATCH(BI277,【参考】排出係数!$AL$798:$AO$798,1)),VLOOKUP(AU277,INDEX((係数_バス貨物_ガソリン,係数_バス貨物_CNG,係数_バス貨物_軽油,係数_バス貨物_メタノール,係数_バス貨物_LPG),MATCH(AY277,【参考】排出係数!$AI$4:$AI$671,1),1,BE277):INDEX((係数_バス貨物_ガソリン,係数_バス貨物_CNG,係数_バス貨物_軽油,係数_バス貨物_メタノール,係数_バス貨物_LPG),MATCH(AY277+1,【参考】排出係数!$AI$4:$AI$671,1)-1,5,BE277),5,FALSE)),IF(AND(BE277=3,LEFT(BF277,1)="1"),0.055,VLOOKUP(AU277,INDEX((係数_乗用_ガソリン,係数_乗用_CNG,係数_乗用_軽油,係数_乗用_メタノール,係数_乗用_LPG),1,1,BE277):INDEX((係数_乗用_ガソリン,係数_乗用_CNG,係数_乗用_軽油,係数_乗用_メタノール,係数_乗用_LPG),125,5,BE277),5,FALSE)))))</f>
        <v/>
      </c>
      <c r="AN277" s="461" t="str">
        <f t="shared" si="165"/>
        <v/>
      </c>
      <c r="AO277" s="462" t="str">
        <f t="shared" si="166"/>
        <v/>
      </c>
      <c r="AP277" s="463" t="str">
        <f t="shared" si="167"/>
        <v/>
      </c>
      <c r="AQ277" s="464"/>
      <c r="AR277" s="619"/>
      <c r="AS277" s="465" t="str">
        <f t="shared" si="146"/>
        <v/>
      </c>
      <c r="AT277" s="465" t="str">
        <f t="shared" si="147"/>
        <v/>
      </c>
      <c r="AU277" s="466" t="str">
        <f t="shared" si="148"/>
        <v/>
      </c>
      <c r="AV277" s="467" t="str">
        <f t="shared" si="149"/>
        <v/>
      </c>
      <c r="AW277" s="467" t="str">
        <f t="shared" si="150"/>
        <v/>
      </c>
      <c r="AX277" s="467" t="str">
        <f t="shared" si="151"/>
        <v/>
      </c>
      <c r="AY277" s="467" t="str">
        <f t="shared" si="152"/>
        <v/>
      </c>
      <c r="AZ277" s="467" t="str">
        <f t="shared" si="153"/>
        <v/>
      </c>
      <c r="BA277" s="468" t="str">
        <f>IF(AS277="","",IF(OR(AU277="",AU277="-"),"－",IF(OR(AZ277=8,AZ277=9),"",IF(OR(AW277=3,AW277=4,AW277=5,AW277=6),VLOOKUP(AU277,INDEX((係数_バス貨物_ガソリン,係数_バス貨物_CNG,係数_バス貨物_軽油,係数_バス貨物_メタノール,係数_バス貨物_LPG),MATCH(AY277,【参考】排出係数!$AI$4:$AI$671,1),1,BE277):INDEX((係数_バス貨物_ガソリン,係数_バス貨物_CNG,係数_バス貨物_軽油,係数_バス貨物_メタノール,係数_バス貨物_LPG),MATCH(AY277+1,【参考】排出係数!$AI$4:$AI$671,1)-1,5,BE277),2,FALSE),IF(OR(AW277=1,AW277=2),VLOOKUP(AU277,INDEX((係数_乗用_ガソリン,係数_乗用_CNG,係数_乗用_軽油,係数_乗用_メタノール,係数_乗用_LPG),1,1,BE277):INDEX((係数_乗用_ガソリン,係数_乗用_CNG,係数_乗用_軽油,係数_乗用_メタノール,係数_乗用_LPG),125,5,BE277),2,FALSE))))))</f>
        <v/>
      </c>
      <c r="BB277" s="468" t="str">
        <f>IF(T277="","",IF(OR(AU277="",AU277="-"),"－",IF(OR(AZ277=8,AZ277=9),"",IF(OR(AW277=3,AW277=4,AW277=5,AW277=6),VLOOKUP(AU277,INDEX((係数_バス貨物_ガソリン,係数_バス貨物_CNG,係数_バス貨物_軽油,係数_バス貨物_メタノール,係数_バス貨物_LPG),MATCH(AY277,【参考】排出係数!$AI$4:$AI$671,1),1,BE277):INDEX((係数_バス貨物_ガソリン,係数_バス貨物_CNG,係数_バス貨物_軽油,係数_バス貨物_メタノール,係数_バス貨物_LPG),MATCH(AY277+1,【参考】排出係数!$AI$4:$AI$671,1)-1,5,BE277),3,FALSE),IF(OR(AW277=1,AW277=2),VLOOKUP(AU277,INDEX((係数_乗用_ガソリン,係数_乗用_CNG,係数_乗用_軽油,係数_乗用_メタノール,係数_乗用_LPG),1,1,BE277):INDEX((係数_乗用_ガソリン,係数_乗用_CNG,係数_乗用_軽油,係数_乗用_メタノール,係数_乗用_LPG),125,5,BE277),3,FALSE))))))</f>
        <v/>
      </c>
      <c r="BC277" s="467" t="str">
        <f t="shared" si="154"/>
        <v/>
      </c>
      <c r="BD277" s="567" t="str">
        <f t="shared" si="155"/>
        <v/>
      </c>
      <c r="BE277" s="467" t="str">
        <f t="shared" si="156"/>
        <v/>
      </c>
      <c r="BF277" s="469" t="str">
        <f t="shared" ca="1" si="157"/>
        <v/>
      </c>
      <c r="BG277" s="469" t="str">
        <f t="shared" ca="1" si="158"/>
        <v/>
      </c>
      <c r="BH277" s="467" t="str">
        <f t="shared" si="159"/>
        <v/>
      </c>
      <c r="BI277" s="467" t="str">
        <f t="shared" ca="1" si="160"/>
        <v/>
      </c>
      <c r="BJ277" s="469" t="str">
        <f t="shared" si="161"/>
        <v/>
      </c>
      <c r="BK277" s="470" t="str">
        <f t="shared" si="141"/>
        <v/>
      </c>
      <c r="BL277" s="775" t="str">
        <f t="shared" si="162"/>
        <v/>
      </c>
      <c r="BM277" s="775" t="str">
        <f t="shared" si="163"/>
        <v/>
      </c>
    </row>
    <row r="278" spans="1:65">
      <c r="A278" s="473">
        <v>222</v>
      </c>
      <c r="B278" s="132"/>
      <c r="C278" s="332"/>
      <c r="D278" s="333"/>
      <c r="E278" s="333"/>
      <c r="F278" s="334"/>
      <c r="G278" s="337"/>
      <c r="H278" s="131"/>
      <c r="I278" s="337"/>
      <c r="J278" s="131"/>
      <c r="K278" s="458" t="str">
        <f t="shared" si="130"/>
        <v/>
      </c>
      <c r="L278" s="458">
        <f t="shared" si="142"/>
        <v>0</v>
      </c>
      <c r="M278" s="458">
        <f t="shared" si="143"/>
        <v>0</v>
      </c>
      <c r="N278" s="459" t="str">
        <f t="shared" si="131"/>
        <v/>
      </c>
      <c r="O278" s="459" t="str">
        <f t="shared" si="132"/>
        <v/>
      </c>
      <c r="P278" s="459" t="str">
        <f t="shared" si="133"/>
        <v/>
      </c>
      <c r="Q278" s="459" t="str">
        <f t="shared" si="134"/>
        <v/>
      </c>
      <c r="R278" s="459" t="str">
        <f t="shared" si="135"/>
        <v/>
      </c>
      <c r="S278" s="459" t="str">
        <f t="shared" si="136"/>
        <v/>
      </c>
      <c r="T278" s="566" t="str">
        <f t="shared" si="144"/>
        <v/>
      </c>
      <c r="U278" s="702"/>
      <c r="V278" s="132"/>
      <c r="W278" s="133"/>
      <c r="X278" s="134"/>
      <c r="Y278" s="135"/>
      <c r="Z278" s="137"/>
      <c r="AA278" s="136"/>
      <c r="AB278" s="566" t="str">
        <f t="shared" si="137"/>
        <v/>
      </c>
      <c r="AC278" s="568" t="str">
        <f t="shared" si="145"/>
        <v/>
      </c>
      <c r="AD278" s="137"/>
      <c r="AE278" s="137"/>
      <c r="AF278" s="138"/>
      <c r="AG278" s="138"/>
      <c r="AH278" s="592" t="str">
        <f t="shared" si="138"/>
        <v/>
      </c>
      <c r="AI278" s="592" t="str">
        <f t="shared" si="139"/>
        <v/>
      </c>
      <c r="AJ278" s="592" t="str">
        <f t="shared" si="140"/>
        <v/>
      </c>
      <c r="AK278" s="460" t="str">
        <f>IF(AU278="","",IF(OR(AZ278=8,AZ278=9),0,IF(OR(AW278=3,AW278=4,AW278=5,AW278=6),IF(LEFT(BF278,1)="1",INDEX(係数_NOX・PM低減,MATCH(AY278,【参考】排出係数!$AI$801:$AI$804,1),1),VLOOKUP(AU278,INDEX((係数_バス貨物_ガソリン,係数_バス貨物_CNG,係数_バス貨物_軽油,係数_バス貨物_メタノール,係数_バス貨物_LPG),MATCH(AY278,【参考】排出係数!$AI$4:$AI$671,1),1,BE278):INDEX((係数_バス貨物_ガソリン,係数_バス貨物_CNG,係数_バス貨物_軽油,係数_バス貨物_メタノール,係数_バス貨物_LPG),MATCH(AY278+1,【参考】排出係数!$AI$4:$AI$671,1)-1,5,BE278),4,FALSE)),IF(AND(BE278=3,LEFT(BF278,1)="1"),0.48,VLOOKUP(AU278,INDEX((係数_乗用_ガソリン,係数_乗用_CNG,係数_乗用_軽油,係数_乗用_メタノール,係数_乗用_LPG),1,1,BE278):INDEX((係数_乗用_ガソリン,係数_乗用_CNG,係数_乗用_軽油,係数_乗用_メタノール,係数_乗用_LPG),125,5,BE278),4,FALSE)))))</f>
        <v/>
      </c>
      <c r="AL278" s="461" t="str">
        <f t="shared" si="164"/>
        <v/>
      </c>
      <c r="AM278" s="460" t="str">
        <f>IF(AU278="","",IF(OR(AZ278=8,AZ278=9),0,IF(OR(AW278=3,AW278=4,AW278=5,AW278=6),IF(LEFT(BH278,1)="1",INDEX(係数_PM低減,MATCH(AY278,【参考】排出係数!$AI$801:$AI$804,1),MATCH(BI278,【参考】排出係数!$AL$798:$AO$798,1)),VLOOKUP(AU278,INDEX((係数_バス貨物_ガソリン,係数_バス貨物_CNG,係数_バス貨物_軽油,係数_バス貨物_メタノール,係数_バス貨物_LPG),MATCH(AY278,【参考】排出係数!$AI$4:$AI$671,1),1,BE278):INDEX((係数_バス貨物_ガソリン,係数_バス貨物_CNG,係数_バス貨物_軽油,係数_バス貨物_メタノール,係数_バス貨物_LPG),MATCH(AY278+1,【参考】排出係数!$AI$4:$AI$671,1)-1,5,BE278),5,FALSE)),IF(AND(BE278=3,LEFT(BF278,1)="1"),0.055,VLOOKUP(AU278,INDEX((係数_乗用_ガソリン,係数_乗用_CNG,係数_乗用_軽油,係数_乗用_メタノール,係数_乗用_LPG),1,1,BE278):INDEX((係数_乗用_ガソリン,係数_乗用_CNG,係数_乗用_軽油,係数_乗用_メタノール,係数_乗用_LPG),125,5,BE278),5,FALSE)))))</f>
        <v/>
      </c>
      <c r="AN278" s="461" t="str">
        <f t="shared" si="165"/>
        <v/>
      </c>
      <c r="AO278" s="462" t="str">
        <f t="shared" si="166"/>
        <v/>
      </c>
      <c r="AP278" s="463" t="str">
        <f t="shared" si="167"/>
        <v/>
      </c>
      <c r="AQ278" s="464"/>
      <c r="AR278" s="619"/>
      <c r="AS278" s="465" t="str">
        <f t="shared" si="146"/>
        <v/>
      </c>
      <c r="AT278" s="465" t="str">
        <f t="shared" si="147"/>
        <v/>
      </c>
      <c r="AU278" s="466" t="str">
        <f t="shared" si="148"/>
        <v/>
      </c>
      <c r="AV278" s="467" t="str">
        <f t="shared" si="149"/>
        <v/>
      </c>
      <c r="AW278" s="467" t="str">
        <f t="shared" si="150"/>
        <v/>
      </c>
      <c r="AX278" s="467" t="str">
        <f t="shared" si="151"/>
        <v/>
      </c>
      <c r="AY278" s="467" t="str">
        <f t="shared" si="152"/>
        <v/>
      </c>
      <c r="AZ278" s="467" t="str">
        <f t="shared" si="153"/>
        <v/>
      </c>
      <c r="BA278" s="468" t="str">
        <f>IF(AS278="","",IF(OR(AU278="",AU278="-"),"－",IF(OR(AZ278=8,AZ278=9),"",IF(OR(AW278=3,AW278=4,AW278=5,AW278=6),VLOOKUP(AU278,INDEX((係数_バス貨物_ガソリン,係数_バス貨物_CNG,係数_バス貨物_軽油,係数_バス貨物_メタノール,係数_バス貨物_LPG),MATCH(AY278,【参考】排出係数!$AI$4:$AI$671,1),1,BE278):INDEX((係数_バス貨物_ガソリン,係数_バス貨物_CNG,係数_バス貨物_軽油,係数_バス貨物_メタノール,係数_バス貨物_LPG),MATCH(AY278+1,【参考】排出係数!$AI$4:$AI$671,1)-1,5,BE278),2,FALSE),IF(OR(AW278=1,AW278=2),VLOOKUP(AU278,INDEX((係数_乗用_ガソリン,係数_乗用_CNG,係数_乗用_軽油,係数_乗用_メタノール,係数_乗用_LPG),1,1,BE278):INDEX((係数_乗用_ガソリン,係数_乗用_CNG,係数_乗用_軽油,係数_乗用_メタノール,係数_乗用_LPG),125,5,BE278),2,FALSE))))))</f>
        <v/>
      </c>
      <c r="BB278" s="468" t="str">
        <f>IF(T278="","",IF(OR(AU278="",AU278="-"),"－",IF(OR(AZ278=8,AZ278=9),"",IF(OR(AW278=3,AW278=4,AW278=5,AW278=6),VLOOKUP(AU278,INDEX((係数_バス貨物_ガソリン,係数_バス貨物_CNG,係数_バス貨物_軽油,係数_バス貨物_メタノール,係数_バス貨物_LPG),MATCH(AY278,【参考】排出係数!$AI$4:$AI$671,1),1,BE278):INDEX((係数_バス貨物_ガソリン,係数_バス貨物_CNG,係数_バス貨物_軽油,係数_バス貨物_メタノール,係数_バス貨物_LPG),MATCH(AY278+1,【参考】排出係数!$AI$4:$AI$671,1)-1,5,BE278),3,FALSE),IF(OR(AW278=1,AW278=2),VLOOKUP(AU278,INDEX((係数_乗用_ガソリン,係数_乗用_CNG,係数_乗用_軽油,係数_乗用_メタノール,係数_乗用_LPG),1,1,BE278):INDEX((係数_乗用_ガソリン,係数_乗用_CNG,係数_乗用_軽油,係数_乗用_メタノール,係数_乗用_LPG),125,5,BE278),3,FALSE))))))</f>
        <v/>
      </c>
      <c r="BC278" s="467" t="str">
        <f t="shared" si="154"/>
        <v/>
      </c>
      <c r="BD278" s="567" t="str">
        <f t="shared" si="155"/>
        <v/>
      </c>
      <c r="BE278" s="467" t="str">
        <f t="shared" si="156"/>
        <v/>
      </c>
      <c r="BF278" s="469" t="str">
        <f t="shared" ca="1" si="157"/>
        <v/>
      </c>
      <c r="BG278" s="469" t="str">
        <f t="shared" ca="1" si="158"/>
        <v/>
      </c>
      <c r="BH278" s="467" t="str">
        <f t="shared" si="159"/>
        <v/>
      </c>
      <c r="BI278" s="467" t="str">
        <f t="shared" ca="1" si="160"/>
        <v/>
      </c>
      <c r="BJ278" s="469" t="str">
        <f t="shared" si="161"/>
        <v/>
      </c>
      <c r="BK278" s="470" t="str">
        <f t="shared" si="141"/>
        <v/>
      </c>
      <c r="BL278" s="775" t="str">
        <f t="shared" si="162"/>
        <v/>
      </c>
      <c r="BM278" s="775" t="str">
        <f t="shared" si="163"/>
        <v/>
      </c>
    </row>
    <row r="279" spans="1:65">
      <c r="A279" s="473">
        <v>223</v>
      </c>
      <c r="B279" s="132"/>
      <c r="C279" s="332"/>
      <c r="D279" s="333"/>
      <c r="E279" s="333"/>
      <c r="F279" s="334"/>
      <c r="G279" s="337"/>
      <c r="H279" s="131"/>
      <c r="I279" s="337"/>
      <c r="J279" s="131"/>
      <c r="K279" s="458" t="str">
        <f t="shared" si="130"/>
        <v/>
      </c>
      <c r="L279" s="458">
        <f t="shared" si="142"/>
        <v>0</v>
      </c>
      <c r="M279" s="458">
        <f t="shared" si="143"/>
        <v>0</v>
      </c>
      <c r="N279" s="459" t="str">
        <f t="shared" si="131"/>
        <v/>
      </c>
      <c r="O279" s="459" t="str">
        <f t="shared" si="132"/>
        <v/>
      </c>
      <c r="P279" s="459" t="str">
        <f t="shared" si="133"/>
        <v/>
      </c>
      <c r="Q279" s="459" t="str">
        <f t="shared" si="134"/>
        <v/>
      </c>
      <c r="R279" s="459" t="str">
        <f t="shared" si="135"/>
        <v/>
      </c>
      <c r="S279" s="459" t="str">
        <f t="shared" si="136"/>
        <v/>
      </c>
      <c r="T279" s="566" t="str">
        <f t="shared" si="144"/>
        <v/>
      </c>
      <c r="U279" s="702"/>
      <c r="V279" s="132"/>
      <c r="W279" s="133"/>
      <c r="X279" s="134"/>
      <c r="Y279" s="135"/>
      <c r="Z279" s="137"/>
      <c r="AA279" s="136"/>
      <c r="AB279" s="566" t="str">
        <f t="shared" si="137"/>
        <v/>
      </c>
      <c r="AC279" s="568" t="str">
        <f t="shared" si="145"/>
        <v/>
      </c>
      <c r="AD279" s="137"/>
      <c r="AE279" s="137"/>
      <c r="AF279" s="138"/>
      <c r="AG279" s="138"/>
      <c r="AH279" s="592" t="str">
        <f t="shared" si="138"/>
        <v/>
      </c>
      <c r="AI279" s="592" t="str">
        <f t="shared" si="139"/>
        <v/>
      </c>
      <c r="AJ279" s="592" t="str">
        <f t="shared" si="140"/>
        <v/>
      </c>
      <c r="AK279" s="460" t="str">
        <f>IF(AU279="","",IF(OR(AZ279=8,AZ279=9),0,IF(OR(AW279=3,AW279=4,AW279=5,AW279=6),IF(LEFT(BF279,1)="1",INDEX(係数_NOX・PM低減,MATCH(AY279,【参考】排出係数!$AI$801:$AI$804,1),1),VLOOKUP(AU279,INDEX((係数_バス貨物_ガソリン,係数_バス貨物_CNG,係数_バス貨物_軽油,係数_バス貨物_メタノール,係数_バス貨物_LPG),MATCH(AY279,【参考】排出係数!$AI$4:$AI$671,1),1,BE279):INDEX((係数_バス貨物_ガソリン,係数_バス貨物_CNG,係数_バス貨物_軽油,係数_バス貨物_メタノール,係数_バス貨物_LPG),MATCH(AY279+1,【参考】排出係数!$AI$4:$AI$671,1)-1,5,BE279),4,FALSE)),IF(AND(BE279=3,LEFT(BF279,1)="1"),0.48,VLOOKUP(AU279,INDEX((係数_乗用_ガソリン,係数_乗用_CNG,係数_乗用_軽油,係数_乗用_メタノール,係数_乗用_LPG),1,1,BE279):INDEX((係数_乗用_ガソリン,係数_乗用_CNG,係数_乗用_軽油,係数_乗用_メタノール,係数_乗用_LPG),125,5,BE279),4,FALSE)))))</f>
        <v/>
      </c>
      <c r="AL279" s="461" t="str">
        <f t="shared" si="164"/>
        <v/>
      </c>
      <c r="AM279" s="460" t="str">
        <f>IF(AU279="","",IF(OR(AZ279=8,AZ279=9),0,IF(OR(AW279=3,AW279=4,AW279=5,AW279=6),IF(LEFT(BH279,1)="1",INDEX(係数_PM低減,MATCH(AY279,【参考】排出係数!$AI$801:$AI$804,1),MATCH(BI279,【参考】排出係数!$AL$798:$AO$798,1)),VLOOKUP(AU279,INDEX((係数_バス貨物_ガソリン,係数_バス貨物_CNG,係数_バス貨物_軽油,係数_バス貨物_メタノール,係数_バス貨物_LPG),MATCH(AY279,【参考】排出係数!$AI$4:$AI$671,1),1,BE279):INDEX((係数_バス貨物_ガソリン,係数_バス貨物_CNG,係数_バス貨物_軽油,係数_バス貨物_メタノール,係数_バス貨物_LPG),MATCH(AY279+1,【参考】排出係数!$AI$4:$AI$671,1)-1,5,BE279),5,FALSE)),IF(AND(BE279=3,LEFT(BF279,1)="1"),0.055,VLOOKUP(AU279,INDEX((係数_乗用_ガソリン,係数_乗用_CNG,係数_乗用_軽油,係数_乗用_メタノール,係数_乗用_LPG),1,1,BE279):INDEX((係数_乗用_ガソリン,係数_乗用_CNG,係数_乗用_軽油,係数_乗用_メタノール,係数_乗用_LPG),125,5,BE279),5,FALSE)))))</f>
        <v/>
      </c>
      <c r="AN279" s="461" t="str">
        <f t="shared" si="165"/>
        <v/>
      </c>
      <c r="AO279" s="462" t="str">
        <f t="shared" si="166"/>
        <v/>
      </c>
      <c r="AP279" s="463" t="str">
        <f t="shared" si="167"/>
        <v/>
      </c>
      <c r="AQ279" s="464"/>
      <c r="AR279" s="619"/>
      <c r="AS279" s="465" t="str">
        <f t="shared" si="146"/>
        <v/>
      </c>
      <c r="AT279" s="465" t="str">
        <f t="shared" si="147"/>
        <v/>
      </c>
      <c r="AU279" s="466" t="str">
        <f t="shared" si="148"/>
        <v/>
      </c>
      <c r="AV279" s="467" t="str">
        <f t="shared" si="149"/>
        <v/>
      </c>
      <c r="AW279" s="467" t="str">
        <f t="shared" si="150"/>
        <v/>
      </c>
      <c r="AX279" s="467" t="str">
        <f t="shared" si="151"/>
        <v/>
      </c>
      <c r="AY279" s="467" t="str">
        <f t="shared" si="152"/>
        <v/>
      </c>
      <c r="AZ279" s="467" t="str">
        <f t="shared" si="153"/>
        <v/>
      </c>
      <c r="BA279" s="468" t="str">
        <f>IF(AS279="","",IF(OR(AU279="",AU279="-"),"－",IF(OR(AZ279=8,AZ279=9),"",IF(OR(AW279=3,AW279=4,AW279=5,AW279=6),VLOOKUP(AU279,INDEX((係数_バス貨物_ガソリン,係数_バス貨物_CNG,係数_バス貨物_軽油,係数_バス貨物_メタノール,係数_バス貨物_LPG),MATCH(AY279,【参考】排出係数!$AI$4:$AI$671,1),1,BE279):INDEX((係数_バス貨物_ガソリン,係数_バス貨物_CNG,係数_バス貨物_軽油,係数_バス貨物_メタノール,係数_バス貨物_LPG),MATCH(AY279+1,【参考】排出係数!$AI$4:$AI$671,1)-1,5,BE279),2,FALSE),IF(OR(AW279=1,AW279=2),VLOOKUP(AU279,INDEX((係数_乗用_ガソリン,係数_乗用_CNG,係数_乗用_軽油,係数_乗用_メタノール,係数_乗用_LPG),1,1,BE279):INDEX((係数_乗用_ガソリン,係数_乗用_CNG,係数_乗用_軽油,係数_乗用_メタノール,係数_乗用_LPG),125,5,BE279),2,FALSE))))))</f>
        <v/>
      </c>
      <c r="BB279" s="468" t="str">
        <f>IF(T279="","",IF(OR(AU279="",AU279="-"),"－",IF(OR(AZ279=8,AZ279=9),"",IF(OR(AW279=3,AW279=4,AW279=5,AW279=6),VLOOKUP(AU279,INDEX((係数_バス貨物_ガソリン,係数_バス貨物_CNG,係数_バス貨物_軽油,係数_バス貨物_メタノール,係数_バス貨物_LPG),MATCH(AY279,【参考】排出係数!$AI$4:$AI$671,1),1,BE279):INDEX((係数_バス貨物_ガソリン,係数_バス貨物_CNG,係数_バス貨物_軽油,係数_バス貨物_メタノール,係数_バス貨物_LPG),MATCH(AY279+1,【参考】排出係数!$AI$4:$AI$671,1)-1,5,BE279),3,FALSE),IF(OR(AW279=1,AW279=2),VLOOKUP(AU279,INDEX((係数_乗用_ガソリン,係数_乗用_CNG,係数_乗用_軽油,係数_乗用_メタノール,係数_乗用_LPG),1,1,BE279):INDEX((係数_乗用_ガソリン,係数_乗用_CNG,係数_乗用_軽油,係数_乗用_メタノール,係数_乗用_LPG),125,5,BE279),3,FALSE))))))</f>
        <v/>
      </c>
      <c r="BC279" s="467" t="str">
        <f t="shared" si="154"/>
        <v/>
      </c>
      <c r="BD279" s="567" t="str">
        <f t="shared" si="155"/>
        <v/>
      </c>
      <c r="BE279" s="467" t="str">
        <f t="shared" si="156"/>
        <v/>
      </c>
      <c r="BF279" s="469" t="str">
        <f t="shared" ca="1" si="157"/>
        <v/>
      </c>
      <c r="BG279" s="469" t="str">
        <f t="shared" ca="1" si="158"/>
        <v/>
      </c>
      <c r="BH279" s="467" t="str">
        <f t="shared" si="159"/>
        <v/>
      </c>
      <c r="BI279" s="467" t="str">
        <f t="shared" ca="1" si="160"/>
        <v/>
      </c>
      <c r="BJ279" s="469" t="str">
        <f t="shared" si="161"/>
        <v/>
      </c>
      <c r="BK279" s="470" t="str">
        <f t="shared" si="141"/>
        <v/>
      </c>
      <c r="BL279" s="775" t="str">
        <f t="shared" si="162"/>
        <v/>
      </c>
      <c r="BM279" s="775" t="str">
        <f t="shared" si="163"/>
        <v/>
      </c>
    </row>
    <row r="280" spans="1:65">
      <c r="A280" s="473">
        <v>224</v>
      </c>
      <c r="B280" s="132"/>
      <c r="C280" s="332"/>
      <c r="D280" s="333"/>
      <c r="E280" s="333"/>
      <c r="F280" s="334"/>
      <c r="G280" s="337"/>
      <c r="H280" s="131"/>
      <c r="I280" s="337"/>
      <c r="J280" s="131"/>
      <c r="K280" s="458" t="str">
        <f t="shared" si="130"/>
        <v/>
      </c>
      <c r="L280" s="458">
        <f t="shared" si="142"/>
        <v>0</v>
      </c>
      <c r="M280" s="458">
        <f t="shared" si="143"/>
        <v>0</v>
      </c>
      <c r="N280" s="459" t="str">
        <f t="shared" si="131"/>
        <v/>
      </c>
      <c r="O280" s="459" t="str">
        <f t="shared" si="132"/>
        <v/>
      </c>
      <c r="P280" s="459" t="str">
        <f t="shared" si="133"/>
        <v/>
      </c>
      <c r="Q280" s="459" t="str">
        <f t="shared" si="134"/>
        <v/>
      </c>
      <c r="R280" s="459" t="str">
        <f t="shared" si="135"/>
        <v/>
      </c>
      <c r="S280" s="459" t="str">
        <f t="shared" si="136"/>
        <v/>
      </c>
      <c r="T280" s="566" t="str">
        <f t="shared" si="144"/>
        <v/>
      </c>
      <c r="U280" s="702"/>
      <c r="V280" s="132"/>
      <c r="W280" s="133"/>
      <c r="X280" s="134"/>
      <c r="Y280" s="135"/>
      <c r="Z280" s="137"/>
      <c r="AA280" s="136"/>
      <c r="AB280" s="566" t="str">
        <f t="shared" si="137"/>
        <v/>
      </c>
      <c r="AC280" s="568" t="str">
        <f t="shared" si="145"/>
        <v/>
      </c>
      <c r="AD280" s="137"/>
      <c r="AE280" s="137"/>
      <c r="AF280" s="138"/>
      <c r="AG280" s="138"/>
      <c r="AH280" s="592" t="str">
        <f t="shared" si="138"/>
        <v/>
      </c>
      <c r="AI280" s="592" t="str">
        <f t="shared" si="139"/>
        <v/>
      </c>
      <c r="AJ280" s="592" t="str">
        <f t="shared" si="140"/>
        <v/>
      </c>
      <c r="AK280" s="460" t="str">
        <f>IF(AU280="","",IF(OR(AZ280=8,AZ280=9),0,IF(OR(AW280=3,AW280=4,AW280=5,AW280=6),IF(LEFT(BF280,1)="1",INDEX(係数_NOX・PM低減,MATCH(AY280,【参考】排出係数!$AI$801:$AI$804,1),1),VLOOKUP(AU280,INDEX((係数_バス貨物_ガソリン,係数_バス貨物_CNG,係数_バス貨物_軽油,係数_バス貨物_メタノール,係数_バス貨物_LPG),MATCH(AY280,【参考】排出係数!$AI$4:$AI$671,1),1,BE280):INDEX((係数_バス貨物_ガソリン,係数_バス貨物_CNG,係数_バス貨物_軽油,係数_バス貨物_メタノール,係数_バス貨物_LPG),MATCH(AY280+1,【参考】排出係数!$AI$4:$AI$671,1)-1,5,BE280),4,FALSE)),IF(AND(BE280=3,LEFT(BF280,1)="1"),0.48,VLOOKUP(AU280,INDEX((係数_乗用_ガソリン,係数_乗用_CNG,係数_乗用_軽油,係数_乗用_メタノール,係数_乗用_LPG),1,1,BE280):INDEX((係数_乗用_ガソリン,係数_乗用_CNG,係数_乗用_軽油,係数_乗用_メタノール,係数_乗用_LPG),125,5,BE280),4,FALSE)))))</f>
        <v/>
      </c>
      <c r="AL280" s="461" t="str">
        <f t="shared" si="164"/>
        <v/>
      </c>
      <c r="AM280" s="460" t="str">
        <f>IF(AU280="","",IF(OR(AZ280=8,AZ280=9),0,IF(OR(AW280=3,AW280=4,AW280=5,AW280=6),IF(LEFT(BH280,1)="1",INDEX(係数_PM低減,MATCH(AY280,【参考】排出係数!$AI$801:$AI$804,1),MATCH(BI280,【参考】排出係数!$AL$798:$AO$798,1)),VLOOKUP(AU280,INDEX((係数_バス貨物_ガソリン,係数_バス貨物_CNG,係数_バス貨物_軽油,係数_バス貨物_メタノール,係数_バス貨物_LPG),MATCH(AY280,【参考】排出係数!$AI$4:$AI$671,1),1,BE280):INDEX((係数_バス貨物_ガソリン,係数_バス貨物_CNG,係数_バス貨物_軽油,係数_バス貨物_メタノール,係数_バス貨物_LPG),MATCH(AY280+1,【参考】排出係数!$AI$4:$AI$671,1)-1,5,BE280),5,FALSE)),IF(AND(BE280=3,LEFT(BF280,1)="1"),0.055,VLOOKUP(AU280,INDEX((係数_乗用_ガソリン,係数_乗用_CNG,係数_乗用_軽油,係数_乗用_メタノール,係数_乗用_LPG),1,1,BE280):INDEX((係数_乗用_ガソリン,係数_乗用_CNG,係数_乗用_軽油,係数_乗用_メタノール,係数_乗用_LPG),125,5,BE280),5,FALSE)))))</f>
        <v/>
      </c>
      <c r="AN280" s="461" t="str">
        <f t="shared" si="165"/>
        <v/>
      </c>
      <c r="AO280" s="462" t="str">
        <f t="shared" si="166"/>
        <v/>
      </c>
      <c r="AP280" s="463" t="str">
        <f t="shared" si="167"/>
        <v/>
      </c>
      <c r="AQ280" s="464"/>
      <c r="AR280" s="619"/>
      <c r="AS280" s="465" t="str">
        <f t="shared" si="146"/>
        <v/>
      </c>
      <c r="AT280" s="465" t="str">
        <f t="shared" si="147"/>
        <v/>
      </c>
      <c r="AU280" s="466" t="str">
        <f t="shared" si="148"/>
        <v/>
      </c>
      <c r="AV280" s="467" t="str">
        <f t="shared" si="149"/>
        <v/>
      </c>
      <c r="AW280" s="467" t="str">
        <f t="shared" si="150"/>
        <v/>
      </c>
      <c r="AX280" s="467" t="str">
        <f t="shared" si="151"/>
        <v/>
      </c>
      <c r="AY280" s="467" t="str">
        <f t="shared" si="152"/>
        <v/>
      </c>
      <c r="AZ280" s="467" t="str">
        <f t="shared" si="153"/>
        <v/>
      </c>
      <c r="BA280" s="468" t="str">
        <f>IF(AS280="","",IF(OR(AU280="",AU280="-"),"－",IF(OR(AZ280=8,AZ280=9),"",IF(OR(AW280=3,AW280=4,AW280=5,AW280=6),VLOOKUP(AU280,INDEX((係数_バス貨物_ガソリン,係数_バス貨物_CNG,係数_バス貨物_軽油,係数_バス貨物_メタノール,係数_バス貨物_LPG),MATCH(AY280,【参考】排出係数!$AI$4:$AI$671,1),1,BE280):INDEX((係数_バス貨物_ガソリン,係数_バス貨物_CNG,係数_バス貨物_軽油,係数_バス貨物_メタノール,係数_バス貨物_LPG),MATCH(AY280+1,【参考】排出係数!$AI$4:$AI$671,1)-1,5,BE280),2,FALSE),IF(OR(AW280=1,AW280=2),VLOOKUP(AU280,INDEX((係数_乗用_ガソリン,係数_乗用_CNG,係数_乗用_軽油,係数_乗用_メタノール,係数_乗用_LPG),1,1,BE280):INDEX((係数_乗用_ガソリン,係数_乗用_CNG,係数_乗用_軽油,係数_乗用_メタノール,係数_乗用_LPG),125,5,BE280),2,FALSE))))))</f>
        <v/>
      </c>
      <c r="BB280" s="468" t="str">
        <f>IF(T280="","",IF(OR(AU280="",AU280="-"),"－",IF(OR(AZ280=8,AZ280=9),"",IF(OR(AW280=3,AW280=4,AW280=5,AW280=6),VLOOKUP(AU280,INDEX((係数_バス貨物_ガソリン,係数_バス貨物_CNG,係数_バス貨物_軽油,係数_バス貨物_メタノール,係数_バス貨物_LPG),MATCH(AY280,【参考】排出係数!$AI$4:$AI$671,1),1,BE280):INDEX((係数_バス貨物_ガソリン,係数_バス貨物_CNG,係数_バス貨物_軽油,係数_バス貨物_メタノール,係数_バス貨物_LPG),MATCH(AY280+1,【参考】排出係数!$AI$4:$AI$671,1)-1,5,BE280),3,FALSE),IF(OR(AW280=1,AW280=2),VLOOKUP(AU280,INDEX((係数_乗用_ガソリン,係数_乗用_CNG,係数_乗用_軽油,係数_乗用_メタノール,係数_乗用_LPG),1,1,BE280):INDEX((係数_乗用_ガソリン,係数_乗用_CNG,係数_乗用_軽油,係数_乗用_メタノール,係数_乗用_LPG),125,5,BE280),3,FALSE))))))</f>
        <v/>
      </c>
      <c r="BC280" s="467" t="str">
        <f t="shared" si="154"/>
        <v/>
      </c>
      <c r="BD280" s="567" t="str">
        <f t="shared" si="155"/>
        <v/>
      </c>
      <c r="BE280" s="467" t="str">
        <f t="shared" si="156"/>
        <v/>
      </c>
      <c r="BF280" s="469" t="str">
        <f t="shared" ca="1" si="157"/>
        <v/>
      </c>
      <c r="BG280" s="469" t="str">
        <f t="shared" ca="1" si="158"/>
        <v/>
      </c>
      <c r="BH280" s="467" t="str">
        <f t="shared" si="159"/>
        <v/>
      </c>
      <c r="BI280" s="467" t="str">
        <f t="shared" ca="1" si="160"/>
        <v/>
      </c>
      <c r="BJ280" s="469" t="str">
        <f t="shared" si="161"/>
        <v/>
      </c>
      <c r="BK280" s="470" t="str">
        <f t="shared" si="141"/>
        <v/>
      </c>
      <c r="BL280" s="775" t="str">
        <f t="shared" si="162"/>
        <v/>
      </c>
      <c r="BM280" s="775" t="str">
        <f t="shared" si="163"/>
        <v/>
      </c>
    </row>
    <row r="281" spans="1:65">
      <c r="A281" s="473">
        <v>225</v>
      </c>
      <c r="B281" s="132"/>
      <c r="C281" s="332"/>
      <c r="D281" s="333"/>
      <c r="E281" s="333"/>
      <c r="F281" s="334"/>
      <c r="G281" s="337"/>
      <c r="H281" s="131"/>
      <c r="I281" s="337"/>
      <c r="J281" s="131"/>
      <c r="K281" s="458" t="str">
        <f t="shared" si="130"/>
        <v/>
      </c>
      <c r="L281" s="458">
        <f t="shared" si="142"/>
        <v>0</v>
      </c>
      <c r="M281" s="458">
        <f t="shared" si="143"/>
        <v>0</v>
      </c>
      <c r="N281" s="459" t="str">
        <f t="shared" si="131"/>
        <v/>
      </c>
      <c r="O281" s="459" t="str">
        <f t="shared" si="132"/>
        <v/>
      </c>
      <c r="P281" s="459" t="str">
        <f t="shared" si="133"/>
        <v/>
      </c>
      <c r="Q281" s="459" t="str">
        <f t="shared" si="134"/>
        <v/>
      </c>
      <c r="R281" s="459" t="str">
        <f t="shared" si="135"/>
        <v/>
      </c>
      <c r="S281" s="459" t="str">
        <f t="shared" si="136"/>
        <v/>
      </c>
      <c r="T281" s="566" t="str">
        <f t="shared" si="144"/>
        <v/>
      </c>
      <c r="U281" s="702"/>
      <c r="V281" s="132"/>
      <c r="W281" s="133"/>
      <c r="X281" s="134"/>
      <c r="Y281" s="135"/>
      <c r="Z281" s="137"/>
      <c r="AA281" s="136"/>
      <c r="AB281" s="566" t="str">
        <f t="shared" si="137"/>
        <v/>
      </c>
      <c r="AC281" s="568" t="str">
        <f t="shared" si="145"/>
        <v/>
      </c>
      <c r="AD281" s="137"/>
      <c r="AE281" s="137"/>
      <c r="AF281" s="138"/>
      <c r="AG281" s="138"/>
      <c r="AH281" s="592" t="str">
        <f t="shared" si="138"/>
        <v/>
      </c>
      <c r="AI281" s="592" t="str">
        <f t="shared" si="139"/>
        <v/>
      </c>
      <c r="AJ281" s="592" t="str">
        <f t="shared" si="140"/>
        <v/>
      </c>
      <c r="AK281" s="460" t="str">
        <f>IF(AU281="","",IF(OR(AZ281=8,AZ281=9),0,IF(OR(AW281=3,AW281=4,AW281=5,AW281=6),IF(LEFT(BF281,1)="1",INDEX(係数_NOX・PM低減,MATCH(AY281,【参考】排出係数!$AI$801:$AI$804,1),1),VLOOKUP(AU281,INDEX((係数_バス貨物_ガソリン,係数_バス貨物_CNG,係数_バス貨物_軽油,係数_バス貨物_メタノール,係数_バス貨物_LPG),MATCH(AY281,【参考】排出係数!$AI$4:$AI$671,1),1,BE281):INDEX((係数_バス貨物_ガソリン,係数_バス貨物_CNG,係数_バス貨物_軽油,係数_バス貨物_メタノール,係数_バス貨物_LPG),MATCH(AY281+1,【参考】排出係数!$AI$4:$AI$671,1)-1,5,BE281),4,FALSE)),IF(AND(BE281=3,LEFT(BF281,1)="1"),0.48,VLOOKUP(AU281,INDEX((係数_乗用_ガソリン,係数_乗用_CNG,係数_乗用_軽油,係数_乗用_メタノール,係数_乗用_LPG),1,1,BE281):INDEX((係数_乗用_ガソリン,係数_乗用_CNG,係数_乗用_軽油,係数_乗用_メタノール,係数_乗用_LPG),125,5,BE281),4,FALSE)))))</f>
        <v/>
      </c>
      <c r="AL281" s="461" t="str">
        <f t="shared" si="164"/>
        <v/>
      </c>
      <c r="AM281" s="460" t="str">
        <f>IF(AU281="","",IF(OR(AZ281=8,AZ281=9),0,IF(OR(AW281=3,AW281=4,AW281=5,AW281=6),IF(LEFT(BH281,1)="1",INDEX(係数_PM低減,MATCH(AY281,【参考】排出係数!$AI$801:$AI$804,1),MATCH(BI281,【参考】排出係数!$AL$798:$AO$798,1)),VLOOKUP(AU281,INDEX((係数_バス貨物_ガソリン,係数_バス貨物_CNG,係数_バス貨物_軽油,係数_バス貨物_メタノール,係数_バス貨物_LPG),MATCH(AY281,【参考】排出係数!$AI$4:$AI$671,1),1,BE281):INDEX((係数_バス貨物_ガソリン,係数_バス貨物_CNG,係数_バス貨物_軽油,係数_バス貨物_メタノール,係数_バス貨物_LPG),MATCH(AY281+1,【参考】排出係数!$AI$4:$AI$671,1)-1,5,BE281),5,FALSE)),IF(AND(BE281=3,LEFT(BF281,1)="1"),0.055,VLOOKUP(AU281,INDEX((係数_乗用_ガソリン,係数_乗用_CNG,係数_乗用_軽油,係数_乗用_メタノール,係数_乗用_LPG),1,1,BE281):INDEX((係数_乗用_ガソリン,係数_乗用_CNG,係数_乗用_軽油,係数_乗用_メタノール,係数_乗用_LPG),125,5,BE281),5,FALSE)))))</f>
        <v/>
      </c>
      <c r="AN281" s="461" t="str">
        <f t="shared" si="165"/>
        <v/>
      </c>
      <c r="AO281" s="462" t="str">
        <f t="shared" si="166"/>
        <v/>
      </c>
      <c r="AP281" s="463" t="str">
        <f t="shared" si="167"/>
        <v/>
      </c>
      <c r="AQ281" s="464"/>
      <c r="AR281" s="619"/>
      <c r="AS281" s="465" t="str">
        <f t="shared" si="146"/>
        <v/>
      </c>
      <c r="AT281" s="465" t="str">
        <f t="shared" si="147"/>
        <v/>
      </c>
      <c r="AU281" s="466" t="str">
        <f t="shared" si="148"/>
        <v/>
      </c>
      <c r="AV281" s="467" t="str">
        <f t="shared" si="149"/>
        <v/>
      </c>
      <c r="AW281" s="467" t="str">
        <f t="shared" si="150"/>
        <v/>
      </c>
      <c r="AX281" s="467" t="str">
        <f t="shared" si="151"/>
        <v/>
      </c>
      <c r="AY281" s="467" t="str">
        <f t="shared" si="152"/>
        <v/>
      </c>
      <c r="AZ281" s="467" t="str">
        <f t="shared" si="153"/>
        <v/>
      </c>
      <c r="BA281" s="468" t="str">
        <f>IF(AS281="","",IF(OR(AU281="",AU281="-"),"－",IF(OR(AZ281=8,AZ281=9),"",IF(OR(AW281=3,AW281=4,AW281=5,AW281=6),VLOOKUP(AU281,INDEX((係数_バス貨物_ガソリン,係数_バス貨物_CNG,係数_バス貨物_軽油,係数_バス貨物_メタノール,係数_バス貨物_LPG),MATCH(AY281,【参考】排出係数!$AI$4:$AI$671,1),1,BE281):INDEX((係数_バス貨物_ガソリン,係数_バス貨物_CNG,係数_バス貨物_軽油,係数_バス貨物_メタノール,係数_バス貨物_LPG),MATCH(AY281+1,【参考】排出係数!$AI$4:$AI$671,1)-1,5,BE281),2,FALSE),IF(OR(AW281=1,AW281=2),VLOOKUP(AU281,INDEX((係数_乗用_ガソリン,係数_乗用_CNG,係数_乗用_軽油,係数_乗用_メタノール,係数_乗用_LPG),1,1,BE281):INDEX((係数_乗用_ガソリン,係数_乗用_CNG,係数_乗用_軽油,係数_乗用_メタノール,係数_乗用_LPG),125,5,BE281),2,FALSE))))))</f>
        <v/>
      </c>
      <c r="BB281" s="468" t="str">
        <f>IF(T281="","",IF(OR(AU281="",AU281="-"),"－",IF(OR(AZ281=8,AZ281=9),"",IF(OR(AW281=3,AW281=4,AW281=5,AW281=6),VLOOKUP(AU281,INDEX((係数_バス貨物_ガソリン,係数_バス貨物_CNG,係数_バス貨物_軽油,係数_バス貨物_メタノール,係数_バス貨物_LPG),MATCH(AY281,【参考】排出係数!$AI$4:$AI$671,1),1,BE281):INDEX((係数_バス貨物_ガソリン,係数_バス貨物_CNG,係数_バス貨物_軽油,係数_バス貨物_メタノール,係数_バス貨物_LPG),MATCH(AY281+1,【参考】排出係数!$AI$4:$AI$671,1)-1,5,BE281),3,FALSE),IF(OR(AW281=1,AW281=2),VLOOKUP(AU281,INDEX((係数_乗用_ガソリン,係数_乗用_CNG,係数_乗用_軽油,係数_乗用_メタノール,係数_乗用_LPG),1,1,BE281):INDEX((係数_乗用_ガソリン,係数_乗用_CNG,係数_乗用_軽油,係数_乗用_メタノール,係数_乗用_LPG),125,5,BE281),3,FALSE))))))</f>
        <v/>
      </c>
      <c r="BC281" s="467" t="str">
        <f t="shared" si="154"/>
        <v/>
      </c>
      <c r="BD281" s="567" t="str">
        <f t="shared" si="155"/>
        <v/>
      </c>
      <c r="BE281" s="467" t="str">
        <f t="shared" si="156"/>
        <v/>
      </c>
      <c r="BF281" s="469" t="str">
        <f t="shared" ca="1" si="157"/>
        <v/>
      </c>
      <c r="BG281" s="469" t="str">
        <f t="shared" ca="1" si="158"/>
        <v/>
      </c>
      <c r="BH281" s="467" t="str">
        <f t="shared" si="159"/>
        <v/>
      </c>
      <c r="BI281" s="467" t="str">
        <f t="shared" ca="1" si="160"/>
        <v/>
      </c>
      <c r="BJ281" s="469" t="str">
        <f t="shared" si="161"/>
        <v/>
      </c>
      <c r="BK281" s="470" t="str">
        <f t="shared" si="141"/>
        <v/>
      </c>
      <c r="BL281" s="775" t="str">
        <f t="shared" si="162"/>
        <v/>
      </c>
      <c r="BM281" s="775" t="str">
        <f t="shared" si="163"/>
        <v/>
      </c>
    </row>
    <row r="282" spans="1:65">
      <c r="A282" s="473">
        <v>226</v>
      </c>
      <c r="B282" s="132"/>
      <c r="C282" s="332"/>
      <c r="D282" s="333"/>
      <c r="E282" s="333"/>
      <c r="F282" s="334"/>
      <c r="G282" s="337"/>
      <c r="H282" s="131"/>
      <c r="I282" s="337"/>
      <c r="J282" s="131"/>
      <c r="K282" s="458" t="str">
        <f t="shared" si="130"/>
        <v/>
      </c>
      <c r="L282" s="458">
        <f t="shared" si="142"/>
        <v>0</v>
      </c>
      <c r="M282" s="458">
        <f t="shared" si="143"/>
        <v>0</v>
      </c>
      <c r="N282" s="459" t="str">
        <f t="shared" si="131"/>
        <v/>
      </c>
      <c r="O282" s="459" t="str">
        <f t="shared" si="132"/>
        <v/>
      </c>
      <c r="P282" s="459" t="str">
        <f t="shared" si="133"/>
        <v/>
      </c>
      <c r="Q282" s="459" t="str">
        <f t="shared" si="134"/>
        <v/>
      </c>
      <c r="R282" s="459" t="str">
        <f t="shared" si="135"/>
        <v/>
      </c>
      <c r="S282" s="459" t="str">
        <f t="shared" si="136"/>
        <v/>
      </c>
      <c r="T282" s="566" t="str">
        <f t="shared" si="144"/>
        <v/>
      </c>
      <c r="U282" s="702"/>
      <c r="V282" s="132"/>
      <c r="W282" s="133"/>
      <c r="X282" s="134"/>
      <c r="Y282" s="135"/>
      <c r="Z282" s="137"/>
      <c r="AA282" s="136"/>
      <c r="AB282" s="566" t="str">
        <f t="shared" si="137"/>
        <v/>
      </c>
      <c r="AC282" s="568" t="str">
        <f t="shared" si="145"/>
        <v/>
      </c>
      <c r="AD282" s="137"/>
      <c r="AE282" s="137"/>
      <c r="AF282" s="138"/>
      <c r="AG282" s="138"/>
      <c r="AH282" s="592" t="str">
        <f t="shared" si="138"/>
        <v/>
      </c>
      <c r="AI282" s="592" t="str">
        <f t="shared" si="139"/>
        <v/>
      </c>
      <c r="AJ282" s="592" t="str">
        <f t="shared" si="140"/>
        <v/>
      </c>
      <c r="AK282" s="460" t="str">
        <f>IF(AU282="","",IF(OR(AZ282=8,AZ282=9),0,IF(OR(AW282=3,AW282=4,AW282=5,AW282=6),IF(LEFT(BF282,1)="1",INDEX(係数_NOX・PM低減,MATCH(AY282,【参考】排出係数!$AI$801:$AI$804,1),1),VLOOKUP(AU282,INDEX((係数_バス貨物_ガソリン,係数_バス貨物_CNG,係数_バス貨物_軽油,係数_バス貨物_メタノール,係数_バス貨物_LPG),MATCH(AY282,【参考】排出係数!$AI$4:$AI$671,1),1,BE282):INDEX((係数_バス貨物_ガソリン,係数_バス貨物_CNG,係数_バス貨物_軽油,係数_バス貨物_メタノール,係数_バス貨物_LPG),MATCH(AY282+1,【参考】排出係数!$AI$4:$AI$671,1)-1,5,BE282),4,FALSE)),IF(AND(BE282=3,LEFT(BF282,1)="1"),0.48,VLOOKUP(AU282,INDEX((係数_乗用_ガソリン,係数_乗用_CNG,係数_乗用_軽油,係数_乗用_メタノール,係数_乗用_LPG),1,1,BE282):INDEX((係数_乗用_ガソリン,係数_乗用_CNG,係数_乗用_軽油,係数_乗用_メタノール,係数_乗用_LPG),125,5,BE282),4,FALSE)))))</f>
        <v/>
      </c>
      <c r="AL282" s="461" t="str">
        <f t="shared" si="164"/>
        <v/>
      </c>
      <c r="AM282" s="460" t="str">
        <f>IF(AU282="","",IF(OR(AZ282=8,AZ282=9),0,IF(OR(AW282=3,AW282=4,AW282=5,AW282=6),IF(LEFT(BH282,1)="1",INDEX(係数_PM低減,MATCH(AY282,【参考】排出係数!$AI$801:$AI$804,1),MATCH(BI282,【参考】排出係数!$AL$798:$AO$798,1)),VLOOKUP(AU282,INDEX((係数_バス貨物_ガソリン,係数_バス貨物_CNG,係数_バス貨物_軽油,係数_バス貨物_メタノール,係数_バス貨物_LPG),MATCH(AY282,【参考】排出係数!$AI$4:$AI$671,1),1,BE282):INDEX((係数_バス貨物_ガソリン,係数_バス貨物_CNG,係数_バス貨物_軽油,係数_バス貨物_メタノール,係数_バス貨物_LPG),MATCH(AY282+1,【参考】排出係数!$AI$4:$AI$671,1)-1,5,BE282),5,FALSE)),IF(AND(BE282=3,LEFT(BF282,1)="1"),0.055,VLOOKUP(AU282,INDEX((係数_乗用_ガソリン,係数_乗用_CNG,係数_乗用_軽油,係数_乗用_メタノール,係数_乗用_LPG),1,1,BE282):INDEX((係数_乗用_ガソリン,係数_乗用_CNG,係数_乗用_軽油,係数_乗用_メタノール,係数_乗用_LPG),125,5,BE282),5,FALSE)))))</f>
        <v/>
      </c>
      <c r="AN282" s="461" t="str">
        <f t="shared" si="165"/>
        <v/>
      </c>
      <c r="AO282" s="462" t="str">
        <f t="shared" si="166"/>
        <v/>
      </c>
      <c r="AP282" s="463" t="str">
        <f t="shared" si="167"/>
        <v/>
      </c>
      <c r="AQ282" s="464"/>
      <c r="AR282" s="619"/>
      <c r="AS282" s="465" t="str">
        <f t="shared" si="146"/>
        <v/>
      </c>
      <c r="AT282" s="465" t="str">
        <f t="shared" si="147"/>
        <v/>
      </c>
      <c r="AU282" s="466" t="str">
        <f t="shared" si="148"/>
        <v/>
      </c>
      <c r="AV282" s="467" t="str">
        <f t="shared" si="149"/>
        <v/>
      </c>
      <c r="AW282" s="467" t="str">
        <f t="shared" si="150"/>
        <v/>
      </c>
      <c r="AX282" s="467" t="str">
        <f t="shared" si="151"/>
        <v/>
      </c>
      <c r="AY282" s="467" t="str">
        <f t="shared" si="152"/>
        <v/>
      </c>
      <c r="AZ282" s="467" t="str">
        <f t="shared" si="153"/>
        <v/>
      </c>
      <c r="BA282" s="468" t="str">
        <f>IF(AS282="","",IF(OR(AU282="",AU282="-"),"－",IF(OR(AZ282=8,AZ282=9),"",IF(OR(AW282=3,AW282=4,AW282=5,AW282=6),VLOOKUP(AU282,INDEX((係数_バス貨物_ガソリン,係数_バス貨物_CNG,係数_バス貨物_軽油,係数_バス貨物_メタノール,係数_バス貨物_LPG),MATCH(AY282,【参考】排出係数!$AI$4:$AI$671,1),1,BE282):INDEX((係数_バス貨物_ガソリン,係数_バス貨物_CNG,係数_バス貨物_軽油,係数_バス貨物_メタノール,係数_バス貨物_LPG),MATCH(AY282+1,【参考】排出係数!$AI$4:$AI$671,1)-1,5,BE282),2,FALSE),IF(OR(AW282=1,AW282=2),VLOOKUP(AU282,INDEX((係数_乗用_ガソリン,係数_乗用_CNG,係数_乗用_軽油,係数_乗用_メタノール,係数_乗用_LPG),1,1,BE282):INDEX((係数_乗用_ガソリン,係数_乗用_CNG,係数_乗用_軽油,係数_乗用_メタノール,係数_乗用_LPG),125,5,BE282),2,FALSE))))))</f>
        <v/>
      </c>
      <c r="BB282" s="468" t="str">
        <f>IF(T282="","",IF(OR(AU282="",AU282="-"),"－",IF(OR(AZ282=8,AZ282=9),"",IF(OR(AW282=3,AW282=4,AW282=5,AW282=6),VLOOKUP(AU282,INDEX((係数_バス貨物_ガソリン,係数_バス貨物_CNG,係数_バス貨物_軽油,係数_バス貨物_メタノール,係数_バス貨物_LPG),MATCH(AY282,【参考】排出係数!$AI$4:$AI$671,1),1,BE282):INDEX((係数_バス貨物_ガソリン,係数_バス貨物_CNG,係数_バス貨物_軽油,係数_バス貨物_メタノール,係数_バス貨物_LPG),MATCH(AY282+1,【参考】排出係数!$AI$4:$AI$671,1)-1,5,BE282),3,FALSE),IF(OR(AW282=1,AW282=2),VLOOKUP(AU282,INDEX((係数_乗用_ガソリン,係数_乗用_CNG,係数_乗用_軽油,係数_乗用_メタノール,係数_乗用_LPG),1,1,BE282):INDEX((係数_乗用_ガソリン,係数_乗用_CNG,係数_乗用_軽油,係数_乗用_メタノール,係数_乗用_LPG),125,5,BE282),3,FALSE))))))</f>
        <v/>
      </c>
      <c r="BC282" s="467" t="str">
        <f t="shared" si="154"/>
        <v/>
      </c>
      <c r="BD282" s="567" t="str">
        <f t="shared" si="155"/>
        <v/>
      </c>
      <c r="BE282" s="467" t="str">
        <f t="shared" si="156"/>
        <v/>
      </c>
      <c r="BF282" s="469" t="str">
        <f t="shared" ca="1" si="157"/>
        <v/>
      </c>
      <c r="BG282" s="469" t="str">
        <f t="shared" ca="1" si="158"/>
        <v/>
      </c>
      <c r="BH282" s="467" t="str">
        <f t="shared" si="159"/>
        <v/>
      </c>
      <c r="BI282" s="467" t="str">
        <f t="shared" ca="1" si="160"/>
        <v/>
      </c>
      <c r="BJ282" s="469" t="str">
        <f t="shared" si="161"/>
        <v/>
      </c>
      <c r="BK282" s="470" t="str">
        <f t="shared" si="141"/>
        <v/>
      </c>
      <c r="BL282" s="775" t="str">
        <f t="shared" si="162"/>
        <v/>
      </c>
      <c r="BM282" s="775" t="str">
        <f t="shared" si="163"/>
        <v/>
      </c>
    </row>
    <row r="283" spans="1:65">
      <c r="A283" s="473">
        <v>227</v>
      </c>
      <c r="B283" s="132"/>
      <c r="C283" s="332"/>
      <c r="D283" s="333"/>
      <c r="E283" s="333"/>
      <c r="F283" s="334"/>
      <c r="G283" s="337"/>
      <c r="H283" s="131"/>
      <c r="I283" s="337"/>
      <c r="J283" s="131"/>
      <c r="K283" s="458" t="str">
        <f t="shared" si="130"/>
        <v/>
      </c>
      <c r="L283" s="458">
        <f t="shared" si="142"/>
        <v>0</v>
      </c>
      <c r="M283" s="458">
        <f t="shared" si="143"/>
        <v>0</v>
      </c>
      <c r="N283" s="459" t="str">
        <f t="shared" si="131"/>
        <v/>
      </c>
      <c r="O283" s="459" t="str">
        <f t="shared" si="132"/>
        <v/>
      </c>
      <c r="P283" s="459" t="str">
        <f t="shared" si="133"/>
        <v/>
      </c>
      <c r="Q283" s="459" t="str">
        <f t="shared" si="134"/>
        <v/>
      </c>
      <c r="R283" s="459" t="str">
        <f t="shared" si="135"/>
        <v/>
      </c>
      <c r="S283" s="459" t="str">
        <f t="shared" si="136"/>
        <v/>
      </c>
      <c r="T283" s="566" t="str">
        <f t="shared" si="144"/>
        <v/>
      </c>
      <c r="U283" s="702"/>
      <c r="V283" s="132"/>
      <c r="W283" s="133"/>
      <c r="X283" s="134"/>
      <c r="Y283" s="135"/>
      <c r="Z283" s="137"/>
      <c r="AA283" s="136"/>
      <c r="AB283" s="566" t="str">
        <f t="shared" si="137"/>
        <v/>
      </c>
      <c r="AC283" s="568" t="str">
        <f t="shared" si="145"/>
        <v/>
      </c>
      <c r="AD283" s="137"/>
      <c r="AE283" s="137"/>
      <c r="AF283" s="138"/>
      <c r="AG283" s="138"/>
      <c r="AH283" s="592" t="str">
        <f t="shared" si="138"/>
        <v/>
      </c>
      <c r="AI283" s="592" t="str">
        <f t="shared" si="139"/>
        <v/>
      </c>
      <c r="AJ283" s="592" t="str">
        <f t="shared" si="140"/>
        <v/>
      </c>
      <c r="AK283" s="460" t="str">
        <f>IF(AU283="","",IF(OR(AZ283=8,AZ283=9),0,IF(OR(AW283=3,AW283=4,AW283=5,AW283=6),IF(LEFT(BF283,1)="1",INDEX(係数_NOX・PM低減,MATCH(AY283,【参考】排出係数!$AI$801:$AI$804,1),1),VLOOKUP(AU283,INDEX((係数_バス貨物_ガソリン,係数_バス貨物_CNG,係数_バス貨物_軽油,係数_バス貨物_メタノール,係数_バス貨物_LPG),MATCH(AY283,【参考】排出係数!$AI$4:$AI$671,1),1,BE283):INDEX((係数_バス貨物_ガソリン,係数_バス貨物_CNG,係数_バス貨物_軽油,係数_バス貨物_メタノール,係数_バス貨物_LPG),MATCH(AY283+1,【参考】排出係数!$AI$4:$AI$671,1)-1,5,BE283),4,FALSE)),IF(AND(BE283=3,LEFT(BF283,1)="1"),0.48,VLOOKUP(AU283,INDEX((係数_乗用_ガソリン,係数_乗用_CNG,係数_乗用_軽油,係数_乗用_メタノール,係数_乗用_LPG),1,1,BE283):INDEX((係数_乗用_ガソリン,係数_乗用_CNG,係数_乗用_軽油,係数_乗用_メタノール,係数_乗用_LPG),125,5,BE283),4,FALSE)))))</f>
        <v/>
      </c>
      <c r="AL283" s="461" t="str">
        <f t="shared" si="164"/>
        <v/>
      </c>
      <c r="AM283" s="460" t="str">
        <f>IF(AU283="","",IF(OR(AZ283=8,AZ283=9),0,IF(OR(AW283=3,AW283=4,AW283=5,AW283=6),IF(LEFT(BH283,1)="1",INDEX(係数_PM低減,MATCH(AY283,【参考】排出係数!$AI$801:$AI$804,1),MATCH(BI283,【参考】排出係数!$AL$798:$AO$798,1)),VLOOKUP(AU283,INDEX((係数_バス貨物_ガソリン,係数_バス貨物_CNG,係数_バス貨物_軽油,係数_バス貨物_メタノール,係数_バス貨物_LPG),MATCH(AY283,【参考】排出係数!$AI$4:$AI$671,1),1,BE283):INDEX((係数_バス貨物_ガソリン,係数_バス貨物_CNG,係数_バス貨物_軽油,係数_バス貨物_メタノール,係数_バス貨物_LPG),MATCH(AY283+1,【参考】排出係数!$AI$4:$AI$671,1)-1,5,BE283),5,FALSE)),IF(AND(BE283=3,LEFT(BF283,1)="1"),0.055,VLOOKUP(AU283,INDEX((係数_乗用_ガソリン,係数_乗用_CNG,係数_乗用_軽油,係数_乗用_メタノール,係数_乗用_LPG),1,1,BE283):INDEX((係数_乗用_ガソリン,係数_乗用_CNG,係数_乗用_軽油,係数_乗用_メタノール,係数_乗用_LPG),125,5,BE283),5,FALSE)))))</f>
        <v/>
      </c>
      <c r="AN283" s="461" t="str">
        <f t="shared" si="165"/>
        <v/>
      </c>
      <c r="AO283" s="462" t="str">
        <f t="shared" si="166"/>
        <v/>
      </c>
      <c r="AP283" s="463" t="str">
        <f t="shared" si="167"/>
        <v/>
      </c>
      <c r="AQ283" s="464"/>
      <c r="AR283" s="619"/>
      <c r="AS283" s="465" t="str">
        <f t="shared" si="146"/>
        <v/>
      </c>
      <c r="AT283" s="465" t="str">
        <f t="shared" si="147"/>
        <v/>
      </c>
      <c r="AU283" s="466" t="str">
        <f t="shared" si="148"/>
        <v/>
      </c>
      <c r="AV283" s="467" t="str">
        <f t="shared" si="149"/>
        <v/>
      </c>
      <c r="AW283" s="467" t="str">
        <f t="shared" si="150"/>
        <v/>
      </c>
      <c r="AX283" s="467" t="str">
        <f t="shared" si="151"/>
        <v/>
      </c>
      <c r="AY283" s="467" t="str">
        <f t="shared" si="152"/>
        <v/>
      </c>
      <c r="AZ283" s="467" t="str">
        <f t="shared" si="153"/>
        <v/>
      </c>
      <c r="BA283" s="468" t="str">
        <f>IF(AS283="","",IF(OR(AU283="",AU283="-"),"－",IF(OR(AZ283=8,AZ283=9),"",IF(OR(AW283=3,AW283=4,AW283=5,AW283=6),VLOOKUP(AU283,INDEX((係数_バス貨物_ガソリン,係数_バス貨物_CNG,係数_バス貨物_軽油,係数_バス貨物_メタノール,係数_バス貨物_LPG),MATCH(AY283,【参考】排出係数!$AI$4:$AI$671,1),1,BE283):INDEX((係数_バス貨物_ガソリン,係数_バス貨物_CNG,係数_バス貨物_軽油,係数_バス貨物_メタノール,係数_バス貨物_LPG),MATCH(AY283+1,【参考】排出係数!$AI$4:$AI$671,1)-1,5,BE283),2,FALSE),IF(OR(AW283=1,AW283=2),VLOOKUP(AU283,INDEX((係数_乗用_ガソリン,係数_乗用_CNG,係数_乗用_軽油,係数_乗用_メタノール,係数_乗用_LPG),1,1,BE283):INDEX((係数_乗用_ガソリン,係数_乗用_CNG,係数_乗用_軽油,係数_乗用_メタノール,係数_乗用_LPG),125,5,BE283),2,FALSE))))))</f>
        <v/>
      </c>
      <c r="BB283" s="468" t="str">
        <f>IF(T283="","",IF(OR(AU283="",AU283="-"),"－",IF(OR(AZ283=8,AZ283=9),"",IF(OR(AW283=3,AW283=4,AW283=5,AW283=6),VLOOKUP(AU283,INDEX((係数_バス貨物_ガソリン,係数_バス貨物_CNG,係数_バス貨物_軽油,係数_バス貨物_メタノール,係数_バス貨物_LPG),MATCH(AY283,【参考】排出係数!$AI$4:$AI$671,1),1,BE283):INDEX((係数_バス貨物_ガソリン,係数_バス貨物_CNG,係数_バス貨物_軽油,係数_バス貨物_メタノール,係数_バス貨物_LPG),MATCH(AY283+1,【参考】排出係数!$AI$4:$AI$671,1)-1,5,BE283),3,FALSE),IF(OR(AW283=1,AW283=2),VLOOKUP(AU283,INDEX((係数_乗用_ガソリン,係数_乗用_CNG,係数_乗用_軽油,係数_乗用_メタノール,係数_乗用_LPG),1,1,BE283):INDEX((係数_乗用_ガソリン,係数_乗用_CNG,係数_乗用_軽油,係数_乗用_メタノール,係数_乗用_LPG),125,5,BE283),3,FALSE))))))</f>
        <v/>
      </c>
      <c r="BC283" s="467" t="str">
        <f t="shared" si="154"/>
        <v/>
      </c>
      <c r="BD283" s="567" t="str">
        <f t="shared" si="155"/>
        <v/>
      </c>
      <c r="BE283" s="467" t="str">
        <f t="shared" si="156"/>
        <v/>
      </c>
      <c r="BF283" s="469" t="str">
        <f t="shared" ca="1" si="157"/>
        <v/>
      </c>
      <c r="BG283" s="469" t="str">
        <f t="shared" ca="1" si="158"/>
        <v/>
      </c>
      <c r="BH283" s="467" t="str">
        <f t="shared" si="159"/>
        <v/>
      </c>
      <c r="BI283" s="467" t="str">
        <f t="shared" ca="1" si="160"/>
        <v/>
      </c>
      <c r="BJ283" s="469" t="str">
        <f t="shared" si="161"/>
        <v/>
      </c>
      <c r="BK283" s="470" t="str">
        <f t="shared" si="141"/>
        <v/>
      </c>
      <c r="BL283" s="775" t="str">
        <f t="shared" si="162"/>
        <v/>
      </c>
      <c r="BM283" s="775" t="str">
        <f t="shared" si="163"/>
        <v/>
      </c>
    </row>
    <row r="284" spans="1:65">
      <c r="A284" s="473">
        <v>228</v>
      </c>
      <c r="B284" s="132"/>
      <c r="C284" s="332"/>
      <c r="D284" s="333"/>
      <c r="E284" s="333"/>
      <c r="F284" s="334"/>
      <c r="G284" s="337"/>
      <c r="H284" s="131"/>
      <c r="I284" s="337"/>
      <c r="J284" s="131"/>
      <c r="K284" s="458" t="str">
        <f t="shared" si="130"/>
        <v/>
      </c>
      <c r="L284" s="458">
        <f t="shared" si="142"/>
        <v>0</v>
      </c>
      <c r="M284" s="458">
        <f t="shared" si="143"/>
        <v>0</v>
      </c>
      <c r="N284" s="459" t="str">
        <f t="shared" si="131"/>
        <v/>
      </c>
      <c r="O284" s="459" t="str">
        <f t="shared" si="132"/>
        <v/>
      </c>
      <c r="P284" s="459" t="str">
        <f t="shared" si="133"/>
        <v/>
      </c>
      <c r="Q284" s="459" t="str">
        <f t="shared" si="134"/>
        <v/>
      </c>
      <c r="R284" s="459" t="str">
        <f t="shared" si="135"/>
        <v/>
      </c>
      <c r="S284" s="459" t="str">
        <f t="shared" si="136"/>
        <v/>
      </c>
      <c r="T284" s="566" t="str">
        <f t="shared" si="144"/>
        <v/>
      </c>
      <c r="U284" s="702"/>
      <c r="V284" s="132"/>
      <c r="W284" s="133"/>
      <c r="X284" s="134"/>
      <c r="Y284" s="135"/>
      <c r="Z284" s="137"/>
      <c r="AA284" s="136"/>
      <c r="AB284" s="566" t="str">
        <f t="shared" si="137"/>
        <v/>
      </c>
      <c r="AC284" s="568" t="str">
        <f t="shared" si="145"/>
        <v/>
      </c>
      <c r="AD284" s="137"/>
      <c r="AE284" s="137"/>
      <c r="AF284" s="138"/>
      <c r="AG284" s="138"/>
      <c r="AH284" s="592" t="str">
        <f t="shared" si="138"/>
        <v/>
      </c>
      <c r="AI284" s="592" t="str">
        <f t="shared" si="139"/>
        <v/>
      </c>
      <c r="AJ284" s="592" t="str">
        <f t="shared" si="140"/>
        <v/>
      </c>
      <c r="AK284" s="460" t="str">
        <f>IF(AU284="","",IF(OR(AZ284=8,AZ284=9),0,IF(OR(AW284=3,AW284=4,AW284=5,AW284=6),IF(LEFT(BF284,1)="1",INDEX(係数_NOX・PM低減,MATCH(AY284,【参考】排出係数!$AI$801:$AI$804,1),1),VLOOKUP(AU284,INDEX((係数_バス貨物_ガソリン,係数_バス貨物_CNG,係数_バス貨物_軽油,係数_バス貨物_メタノール,係数_バス貨物_LPG),MATCH(AY284,【参考】排出係数!$AI$4:$AI$671,1),1,BE284):INDEX((係数_バス貨物_ガソリン,係数_バス貨物_CNG,係数_バス貨物_軽油,係数_バス貨物_メタノール,係数_バス貨物_LPG),MATCH(AY284+1,【参考】排出係数!$AI$4:$AI$671,1)-1,5,BE284),4,FALSE)),IF(AND(BE284=3,LEFT(BF284,1)="1"),0.48,VLOOKUP(AU284,INDEX((係数_乗用_ガソリン,係数_乗用_CNG,係数_乗用_軽油,係数_乗用_メタノール,係数_乗用_LPG),1,1,BE284):INDEX((係数_乗用_ガソリン,係数_乗用_CNG,係数_乗用_軽油,係数_乗用_メタノール,係数_乗用_LPG),125,5,BE284),4,FALSE)))))</f>
        <v/>
      </c>
      <c r="AL284" s="461" t="str">
        <f t="shared" si="164"/>
        <v/>
      </c>
      <c r="AM284" s="460" t="str">
        <f>IF(AU284="","",IF(OR(AZ284=8,AZ284=9),0,IF(OR(AW284=3,AW284=4,AW284=5,AW284=6),IF(LEFT(BH284,1)="1",INDEX(係数_PM低減,MATCH(AY284,【参考】排出係数!$AI$801:$AI$804,1),MATCH(BI284,【参考】排出係数!$AL$798:$AO$798,1)),VLOOKUP(AU284,INDEX((係数_バス貨物_ガソリン,係数_バス貨物_CNG,係数_バス貨物_軽油,係数_バス貨物_メタノール,係数_バス貨物_LPG),MATCH(AY284,【参考】排出係数!$AI$4:$AI$671,1),1,BE284):INDEX((係数_バス貨物_ガソリン,係数_バス貨物_CNG,係数_バス貨物_軽油,係数_バス貨物_メタノール,係数_バス貨物_LPG),MATCH(AY284+1,【参考】排出係数!$AI$4:$AI$671,1)-1,5,BE284),5,FALSE)),IF(AND(BE284=3,LEFT(BF284,1)="1"),0.055,VLOOKUP(AU284,INDEX((係数_乗用_ガソリン,係数_乗用_CNG,係数_乗用_軽油,係数_乗用_メタノール,係数_乗用_LPG),1,1,BE284):INDEX((係数_乗用_ガソリン,係数_乗用_CNG,係数_乗用_軽油,係数_乗用_メタノール,係数_乗用_LPG),125,5,BE284),5,FALSE)))))</f>
        <v/>
      </c>
      <c r="AN284" s="461" t="str">
        <f t="shared" si="165"/>
        <v/>
      </c>
      <c r="AO284" s="462" t="str">
        <f t="shared" si="166"/>
        <v/>
      </c>
      <c r="AP284" s="463" t="str">
        <f t="shared" si="167"/>
        <v/>
      </c>
      <c r="AQ284" s="464"/>
      <c r="AR284" s="619"/>
      <c r="AS284" s="465" t="str">
        <f t="shared" si="146"/>
        <v/>
      </c>
      <c r="AT284" s="465" t="str">
        <f t="shared" si="147"/>
        <v/>
      </c>
      <c r="AU284" s="466" t="str">
        <f t="shared" si="148"/>
        <v/>
      </c>
      <c r="AV284" s="467" t="str">
        <f t="shared" si="149"/>
        <v/>
      </c>
      <c r="AW284" s="467" t="str">
        <f t="shared" si="150"/>
        <v/>
      </c>
      <c r="AX284" s="467" t="str">
        <f t="shared" si="151"/>
        <v/>
      </c>
      <c r="AY284" s="467" t="str">
        <f t="shared" si="152"/>
        <v/>
      </c>
      <c r="AZ284" s="467" t="str">
        <f t="shared" si="153"/>
        <v/>
      </c>
      <c r="BA284" s="468" t="str">
        <f>IF(AS284="","",IF(OR(AU284="",AU284="-"),"－",IF(OR(AZ284=8,AZ284=9),"",IF(OR(AW284=3,AW284=4,AW284=5,AW284=6),VLOOKUP(AU284,INDEX((係数_バス貨物_ガソリン,係数_バス貨物_CNG,係数_バス貨物_軽油,係数_バス貨物_メタノール,係数_バス貨物_LPG),MATCH(AY284,【参考】排出係数!$AI$4:$AI$671,1),1,BE284):INDEX((係数_バス貨物_ガソリン,係数_バス貨物_CNG,係数_バス貨物_軽油,係数_バス貨物_メタノール,係数_バス貨物_LPG),MATCH(AY284+1,【参考】排出係数!$AI$4:$AI$671,1)-1,5,BE284),2,FALSE),IF(OR(AW284=1,AW284=2),VLOOKUP(AU284,INDEX((係数_乗用_ガソリン,係数_乗用_CNG,係数_乗用_軽油,係数_乗用_メタノール,係数_乗用_LPG),1,1,BE284):INDEX((係数_乗用_ガソリン,係数_乗用_CNG,係数_乗用_軽油,係数_乗用_メタノール,係数_乗用_LPG),125,5,BE284),2,FALSE))))))</f>
        <v/>
      </c>
      <c r="BB284" s="468" t="str">
        <f>IF(T284="","",IF(OR(AU284="",AU284="-"),"－",IF(OR(AZ284=8,AZ284=9),"",IF(OR(AW284=3,AW284=4,AW284=5,AW284=6),VLOOKUP(AU284,INDEX((係数_バス貨物_ガソリン,係数_バス貨物_CNG,係数_バス貨物_軽油,係数_バス貨物_メタノール,係数_バス貨物_LPG),MATCH(AY284,【参考】排出係数!$AI$4:$AI$671,1),1,BE284):INDEX((係数_バス貨物_ガソリン,係数_バス貨物_CNG,係数_バス貨物_軽油,係数_バス貨物_メタノール,係数_バス貨物_LPG),MATCH(AY284+1,【参考】排出係数!$AI$4:$AI$671,1)-1,5,BE284),3,FALSE),IF(OR(AW284=1,AW284=2),VLOOKUP(AU284,INDEX((係数_乗用_ガソリン,係数_乗用_CNG,係数_乗用_軽油,係数_乗用_メタノール,係数_乗用_LPG),1,1,BE284):INDEX((係数_乗用_ガソリン,係数_乗用_CNG,係数_乗用_軽油,係数_乗用_メタノール,係数_乗用_LPG),125,5,BE284),3,FALSE))))))</f>
        <v/>
      </c>
      <c r="BC284" s="467" t="str">
        <f t="shared" si="154"/>
        <v/>
      </c>
      <c r="BD284" s="567" t="str">
        <f t="shared" si="155"/>
        <v/>
      </c>
      <c r="BE284" s="467" t="str">
        <f t="shared" si="156"/>
        <v/>
      </c>
      <c r="BF284" s="469" t="str">
        <f t="shared" ca="1" si="157"/>
        <v/>
      </c>
      <c r="BG284" s="469" t="str">
        <f t="shared" ca="1" si="158"/>
        <v/>
      </c>
      <c r="BH284" s="467" t="str">
        <f t="shared" si="159"/>
        <v/>
      </c>
      <c r="BI284" s="467" t="str">
        <f t="shared" ca="1" si="160"/>
        <v/>
      </c>
      <c r="BJ284" s="469" t="str">
        <f t="shared" si="161"/>
        <v/>
      </c>
      <c r="BK284" s="470" t="str">
        <f t="shared" si="141"/>
        <v/>
      </c>
      <c r="BL284" s="775" t="str">
        <f t="shared" si="162"/>
        <v/>
      </c>
      <c r="BM284" s="775" t="str">
        <f t="shared" si="163"/>
        <v/>
      </c>
    </row>
    <row r="285" spans="1:65">
      <c r="A285" s="473">
        <v>229</v>
      </c>
      <c r="B285" s="132"/>
      <c r="C285" s="332"/>
      <c r="D285" s="333"/>
      <c r="E285" s="333"/>
      <c r="F285" s="334"/>
      <c r="G285" s="337"/>
      <c r="H285" s="131"/>
      <c r="I285" s="337"/>
      <c r="J285" s="131"/>
      <c r="K285" s="458" t="str">
        <f t="shared" si="130"/>
        <v/>
      </c>
      <c r="L285" s="458">
        <f t="shared" si="142"/>
        <v>0</v>
      </c>
      <c r="M285" s="458">
        <f t="shared" si="143"/>
        <v>0</v>
      </c>
      <c r="N285" s="459" t="str">
        <f t="shared" si="131"/>
        <v/>
      </c>
      <c r="O285" s="459" t="str">
        <f t="shared" si="132"/>
        <v/>
      </c>
      <c r="P285" s="459" t="str">
        <f t="shared" si="133"/>
        <v/>
      </c>
      <c r="Q285" s="459" t="str">
        <f t="shared" si="134"/>
        <v/>
      </c>
      <c r="R285" s="459" t="str">
        <f t="shared" si="135"/>
        <v/>
      </c>
      <c r="S285" s="459" t="str">
        <f t="shared" si="136"/>
        <v/>
      </c>
      <c r="T285" s="566" t="str">
        <f t="shared" si="144"/>
        <v/>
      </c>
      <c r="U285" s="702"/>
      <c r="V285" s="132"/>
      <c r="W285" s="133"/>
      <c r="X285" s="134"/>
      <c r="Y285" s="135"/>
      <c r="Z285" s="137"/>
      <c r="AA285" s="136"/>
      <c r="AB285" s="566" t="str">
        <f t="shared" si="137"/>
        <v/>
      </c>
      <c r="AC285" s="568" t="str">
        <f t="shared" si="145"/>
        <v/>
      </c>
      <c r="AD285" s="137"/>
      <c r="AE285" s="137"/>
      <c r="AF285" s="138"/>
      <c r="AG285" s="138"/>
      <c r="AH285" s="592" t="str">
        <f t="shared" si="138"/>
        <v/>
      </c>
      <c r="AI285" s="592" t="str">
        <f t="shared" si="139"/>
        <v/>
      </c>
      <c r="AJ285" s="592" t="str">
        <f t="shared" si="140"/>
        <v/>
      </c>
      <c r="AK285" s="460" t="str">
        <f>IF(AU285="","",IF(OR(AZ285=8,AZ285=9),0,IF(OR(AW285=3,AW285=4,AW285=5,AW285=6),IF(LEFT(BF285,1)="1",INDEX(係数_NOX・PM低減,MATCH(AY285,【参考】排出係数!$AI$801:$AI$804,1),1),VLOOKUP(AU285,INDEX((係数_バス貨物_ガソリン,係数_バス貨物_CNG,係数_バス貨物_軽油,係数_バス貨物_メタノール,係数_バス貨物_LPG),MATCH(AY285,【参考】排出係数!$AI$4:$AI$671,1),1,BE285):INDEX((係数_バス貨物_ガソリン,係数_バス貨物_CNG,係数_バス貨物_軽油,係数_バス貨物_メタノール,係数_バス貨物_LPG),MATCH(AY285+1,【参考】排出係数!$AI$4:$AI$671,1)-1,5,BE285),4,FALSE)),IF(AND(BE285=3,LEFT(BF285,1)="1"),0.48,VLOOKUP(AU285,INDEX((係数_乗用_ガソリン,係数_乗用_CNG,係数_乗用_軽油,係数_乗用_メタノール,係数_乗用_LPG),1,1,BE285):INDEX((係数_乗用_ガソリン,係数_乗用_CNG,係数_乗用_軽油,係数_乗用_メタノール,係数_乗用_LPG),125,5,BE285),4,FALSE)))))</f>
        <v/>
      </c>
      <c r="AL285" s="461" t="str">
        <f t="shared" si="164"/>
        <v/>
      </c>
      <c r="AM285" s="460" t="str">
        <f>IF(AU285="","",IF(OR(AZ285=8,AZ285=9),0,IF(OR(AW285=3,AW285=4,AW285=5,AW285=6),IF(LEFT(BH285,1)="1",INDEX(係数_PM低減,MATCH(AY285,【参考】排出係数!$AI$801:$AI$804,1),MATCH(BI285,【参考】排出係数!$AL$798:$AO$798,1)),VLOOKUP(AU285,INDEX((係数_バス貨物_ガソリン,係数_バス貨物_CNG,係数_バス貨物_軽油,係数_バス貨物_メタノール,係数_バス貨物_LPG),MATCH(AY285,【参考】排出係数!$AI$4:$AI$671,1),1,BE285):INDEX((係数_バス貨物_ガソリン,係数_バス貨物_CNG,係数_バス貨物_軽油,係数_バス貨物_メタノール,係数_バス貨物_LPG),MATCH(AY285+1,【参考】排出係数!$AI$4:$AI$671,1)-1,5,BE285),5,FALSE)),IF(AND(BE285=3,LEFT(BF285,1)="1"),0.055,VLOOKUP(AU285,INDEX((係数_乗用_ガソリン,係数_乗用_CNG,係数_乗用_軽油,係数_乗用_メタノール,係数_乗用_LPG),1,1,BE285):INDEX((係数_乗用_ガソリン,係数_乗用_CNG,係数_乗用_軽油,係数_乗用_メタノール,係数_乗用_LPG),125,5,BE285),5,FALSE)))))</f>
        <v/>
      </c>
      <c r="AN285" s="461" t="str">
        <f t="shared" si="165"/>
        <v/>
      </c>
      <c r="AO285" s="462" t="str">
        <f t="shared" si="166"/>
        <v/>
      </c>
      <c r="AP285" s="463" t="str">
        <f t="shared" si="167"/>
        <v/>
      </c>
      <c r="AQ285" s="464"/>
      <c r="AR285" s="619"/>
      <c r="AS285" s="465" t="str">
        <f t="shared" si="146"/>
        <v/>
      </c>
      <c r="AT285" s="465" t="str">
        <f t="shared" si="147"/>
        <v/>
      </c>
      <c r="AU285" s="466" t="str">
        <f t="shared" si="148"/>
        <v/>
      </c>
      <c r="AV285" s="467" t="str">
        <f t="shared" si="149"/>
        <v/>
      </c>
      <c r="AW285" s="467" t="str">
        <f t="shared" si="150"/>
        <v/>
      </c>
      <c r="AX285" s="467" t="str">
        <f t="shared" si="151"/>
        <v/>
      </c>
      <c r="AY285" s="467" t="str">
        <f t="shared" si="152"/>
        <v/>
      </c>
      <c r="AZ285" s="467" t="str">
        <f t="shared" si="153"/>
        <v/>
      </c>
      <c r="BA285" s="468" t="str">
        <f>IF(AS285="","",IF(OR(AU285="",AU285="-"),"－",IF(OR(AZ285=8,AZ285=9),"",IF(OR(AW285=3,AW285=4,AW285=5,AW285=6),VLOOKUP(AU285,INDEX((係数_バス貨物_ガソリン,係数_バス貨物_CNG,係数_バス貨物_軽油,係数_バス貨物_メタノール,係数_バス貨物_LPG),MATCH(AY285,【参考】排出係数!$AI$4:$AI$671,1),1,BE285):INDEX((係数_バス貨物_ガソリン,係数_バス貨物_CNG,係数_バス貨物_軽油,係数_バス貨物_メタノール,係数_バス貨物_LPG),MATCH(AY285+1,【参考】排出係数!$AI$4:$AI$671,1)-1,5,BE285),2,FALSE),IF(OR(AW285=1,AW285=2),VLOOKUP(AU285,INDEX((係数_乗用_ガソリン,係数_乗用_CNG,係数_乗用_軽油,係数_乗用_メタノール,係数_乗用_LPG),1,1,BE285):INDEX((係数_乗用_ガソリン,係数_乗用_CNG,係数_乗用_軽油,係数_乗用_メタノール,係数_乗用_LPG),125,5,BE285),2,FALSE))))))</f>
        <v/>
      </c>
      <c r="BB285" s="468" t="str">
        <f>IF(T285="","",IF(OR(AU285="",AU285="-"),"－",IF(OR(AZ285=8,AZ285=9),"",IF(OR(AW285=3,AW285=4,AW285=5,AW285=6),VLOOKUP(AU285,INDEX((係数_バス貨物_ガソリン,係数_バス貨物_CNG,係数_バス貨物_軽油,係数_バス貨物_メタノール,係数_バス貨物_LPG),MATCH(AY285,【参考】排出係数!$AI$4:$AI$671,1),1,BE285):INDEX((係数_バス貨物_ガソリン,係数_バス貨物_CNG,係数_バス貨物_軽油,係数_バス貨物_メタノール,係数_バス貨物_LPG),MATCH(AY285+1,【参考】排出係数!$AI$4:$AI$671,1)-1,5,BE285),3,FALSE),IF(OR(AW285=1,AW285=2),VLOOKUP(AU285,INDEX((係数_乗用_ガソリン,係数_乗用_CNG,係数_乗用_軽油,係数_乗用_メタノール,係数_乗用_LPG),1,1,BE285):INDEX((係数_乗用_ガソリン,係数_乗用_CNG,係数_乗用_軽油,係数_乗用_メタノール,係数_乗用_LPG),125,5,BE285),3,FALSE))))))</f>
        <v/>
      </c>
      <c r="BC285" s="467" t="str">
        <f t="shared" si="154"/>
        <v/>
      </c>
      <c r="BD285" s="567" t="str">
        <f t="shared" si="155"/>
        <v/>
      </c>
      <c r="BE285" s="467" t="str">
        <f t="shared" si="156"/>
        <v/>
      </c>
      <c r="BF285" s="469" t="str">
        <f t="shared" ca="1" si="157"/>
        <v/>
      </c>
      <c r="BG285" s="469" t="str">
        <f t="shared" ca="1" si="158"/>
        <v/>
      </c>
      <c r="BH285" s="467" t="str">
        <f t="shared" si="159"/>
        <v/>
      </c>
      <c r="BI285" s="467" t="str">
        <f t="shared" ca="1" si="160"/>
        <v/>
      </c>
      <c r="BJ285" s="469" t="str">
        <f t="shared" si="161"/>
        <v/>
      </c>
      <c r="BK285" s="470" t="str">
        <f t="shared" si="141"/>
        <v/>
      </c>
      <c r="BL285" s="775" t="str">
        <f t="shared" si="162"/>
        <v/>
      </c>
      <c r="BM285" s="775" t="str">
        <f t="shared" si="163"/>
        <v/>
      </c>
    </row>
    <row r="286" spans="1:65">
      <c r="A286" s="473">
        <v>230</v>
      </c>
      <c r="B286" s="132"/>
      <c r="C286" s="332"/>
      <c r="D286" s="333"/>
      <c r="E286" s="333"/>
      <c r="F286" s="334"/>
      <c r="G286" s="337"/>
      <c r="H286" s="131"/>
      <c r="I286" s="337"/>
      <c r="J286" s="131"/>
      <c r="K286" s="458" t="str">
        <f t="shared" si="130"/>
        <v/>
      </c>
      <c r="L286" s="458">
        <f t="shared" si="142"/>
        <v>0</v>
      </c>
      <c r="M286" s="458">
        <f t="shared" si="143"/>
        <v>0</v>
      </c>
      <c r="N286" s="459" t="str">
        <f t="shared" si="131"/>
        <v/>
      </c>
      <c r="O286" s="459" t="str">
        <f t="shared" si="132"/>
        <v/>
      </c>
      <c r="P286" s="459" t="str">
        <f t="shared" si="133"/>
        <v/>
      </c>
      <c r="Q286" s="459" t="str">
        <f t="shared" si="134"/>
        <v/>
      </c>
      <c r="R286" s="459" t="str">
        <f t="shared" si="135"/>
        <v/>
      </c>
      <c r="S286" s="459" t="str">
        <f t="shared" si="136"/>
        <v/>
      </c>
      <c r="T286" s="566" t="str">
        <f t="shared" si="144"/>
        <v/>
      </c>
      <c r="U286" s="702"/>
      <c r="V286" s="132"/>
      <c r="W286" s="133"/>
      <c r="X286" s="134"/>
      <c r="Y286" s="135"/>
      <c r="Z286" s="137"/>
      <c r="AA286" s="136"/>
      <c r="AB286" s="566" t="str">
        <f t="shared" si="137"/>
        <v/>
      </c>
      <c r="AC286" s="568" t="str">
        <f t="shared" si="145"/>
        <v/>
      </c>
      <c r="AD286" s="137"/>
      <c r="AE286" s="137"/>
      <c r="AF286" s="138"/>
      <c r="AG286" s="138"/>
      <c r="AH286" s="592" t="str">
        <f t="shared" si="138"/>
        <v/>
      </c>
      <c r="AI286" s="592" t="str">
        <f t="shared" si="139"/>
        <v/>
      </c>
      <c r="AJ286" s="592" t="str">
        <f t="shared" si="140"/>
        <v/>
      </c>
      <c r="AK286" s="460" t="str">
        <f>IF(AU286="","",IF(OR(AZ286=8,AZ286=9),0,IF(OR(AW286=3,AW286=4,AW286=5,AW286=6),IF(LEFT(BF286,1)="1",INDEX(係数_NOX・PM低減,MATCH(AY286,【参考】排出係数!$AI$801:$AI$804,1),1),VLOOKUP(AU286,INDEX((係数_バス貨物_ガソリン,係数_バス貨物_CNG,係数_バス貨物_軽油,係数_バス貨物_メタノール,係数_バス貨物_LPG),MATCH(AY286,【参考】排出係数!$AI$4:$AI$671,1),1,BE286):INDEX((係数_バス貨物_ガソリン,係数_バス貨物_CNG,係数_バス貨物_軽油,係数_バス貨物_メタノール,係数_バス貨物_LPG),MATCH(AY286+1,【参考】排出係数!$AI$4:$AI$671,1)-1,5,BE286),4,FALSE)),IF(AND(BE286=3,LEFT(BF286,1)="1"),0.48,VLOOKUP(AU286,INDEX((係数_乗用_ガソリン,係数_乗用_CNG,係数_乗用_軽油,係数_乗用_メタノール,係数_乗用_LPG),1,1,BE286):INDEX((係数_乗用_ガソリン,係数_乗用_CNG,係数_乗用_軽油,係数_乗用_メタノール,係数_乗用_LPG),125,5,BE286),4,FALSE)))))</f>
        <v/>
      </c>
      <c r="AL286" s="461" t="str">
        <f t="shared" si="164"/>
        <v/>
      </c>
      <c r="AM286" s="460" t="str">
        <f>IF(AU286="","",IF(OR(AZ286=8,AZ286=9),0,IF(OR(AW286=3,AW286=4,AW286=5,AW286=6),IF(LEFT(BH286,1)="1",INDEX(係数_PM低減,MATCH(AY286,【参考】排出係数!$AI$801:$AI$804,1),MATCH(BI286,【参考】排出係数!$AL$798:$AO$798,1)),VLOOKUP(AU286,INDEX((係数_バス貨物_ガソリン,係数_バス貨物_CNG,係数_バス貨物_軽油,係数_バス貨物_メタノール,係数_バス貨物_LPG),MATCH(AY286,【参考】排出係数!$AI$4:$AI$671,1),1,BE286):INDEX((係数_バス貨物_ガソリン,係数_バス貨物_CNG,係数_バス貨物_軽油,係数_バス貨物_メタノール,係数_バス貨物_LPG),MATCH(AY286+1,【参考】排出係数!$AI$4:$AI$671,1)-1,5,BE286),5,FALSE)),IF(AND(BE286=3,LEFT(BF286,1)="1"),0.055,VLOOKUP(AU286,INDEX((係数_乗用_ガソリン,係数_乗用_CNG,係数_乗用_軽油,係数_乗用_メタノール,係数_乗用_LPG),1,1,BE286):INDEX((係数_乗用_ガソリン,係数_乗用_CNG,係数_乗用_軽油,係数_乗用_メタノール,係数_乗用_LPG),125,5,BE286),5,FALSE)))))</f>
        <v/>
      </c>
      <c r="AN286" s="461" t="str">
        <f t="shared" si="165"/>
        <v/>
      </c>
      <c r="AO286" s="462" t="str">
        <f t="shared" si="166"/>
        <v/>
      </c>
      <c r="AP286" s="463" t="str">
        <f t="shared" si="167"/>
        <v/>
      </c>
      <c r="AQ286" s="464"/>
      <c r="AR286" s="619"/>
      <c r="AS286" s="465" t="str">
        <f t="shared" si="146"/>
        <v/>
      </c>
      <c r="AT286" s="465" t="str">
        <f t="shared" si="147"/>
        <v/>
      </c>
      <c r="AU286" s="466" t="str">
        <f t="shared" si="148"/>
        <v/>
      </c>
      <c r="AV286" s="467" t="str">
        <f t="shared" si="149"/>
        <v/>
      </c>
      <c r="AW286" s="467" t="str">
        <f t="shared" si="150"/>
        <v/>
      </c>
      <c r="AX286" s="467" t="str">
        <f t="shared" si="151"/>
        <v/>
      </c>
      <c r="AY286" s="467" t="str">
        <f t="shared" si="152"/>
        <v/>
      </c>
      <c r="AZ286" s="467" t="str">
        <f t="shared" si="153"/>
        <v/>
      </c>
      <c r="BA286" s="468" t="str">
        <f>IF(AS286="","",IF(OR(AU286="",AU286="-"),"－",IF(OR(AZ286=8,AZ286=9),"",IF(OR(AW286=3,AW286=4,AW286=5,AW286=6),VLOOKUP(AU286,INDEX((係数_バス貨物_ガソリン,係数_バス貨物_CNG,係数_バス貨物_軽油,係数_バス貨物_メタノール,係数_バス貨物_LPG),MATCH(AY286,【参考】排出係数!$AI$4:$AI$671,1),1,BE286):INDEX((係数_バス貨物_ガソリン,係数_バス貨物_CNG,係数_バス貨物_軽油,係数_バス貨物_メタノール,係数_バス貨物_LPG),MATCH(AY286+1,【参考】排出係数!$AI$4:$AI$671,1)-1,5,BE286),2,FALSE),IF(OR(AW286=1,AW286=2),VLOOKUP(AU286,INDEX((係数_乗用_ガソリン,係数_乗用_CNG,係数_乗用_軽油,係数_乗用_メタノール,係数_乗用_LPG),1,1,BE286):INDEX((係数_乗用_ガソリン,係数_乗用_CNG,係数_乗用_軽油,係数_乗用_メタノール,係数_乗用_LPG),125,5,BE286),2,FALSE))))))</f>
        <v/>
      </c>
      <c r="BB286" s="468" t="str">
        <f>IF(T286="","",IF(OR(AU286="",AU286="-"),"－",IF(OR(AZ286=8,AZ286=9),"",IF(OR(AW286=3,AW286=4,AW286=5,AW286=6),VLOOKUP(AU286,INDEX((係数_バス貨物_ガソリン,係数_バス貨物_CNG,係数_バス貨物_軽油,係数_バス貨物_メタノール,係数_バス貨物_LPG),MATCH(AY286,【参考】排出係数!$AI$4:$AI$671,1),1,BE286):INDEX((係数_バス貨物_ガソリン,係数_バス貨物_CNG,係数_バス貨物_軽油,係数_バス貨物_メタノール,係数_バス貨物_LPG),MATCH(AY286+1,【参考】排出係数!$AI$4:$AI$671,1)-1,5,BE286),3,FALSE),IF(OR(AW286=1,AW286=2),VLOOKUP(AU286,INDEX((係数_乗用_ガソリン,係数_乗用_CNG,係数_乗用_軽油,係数_乗用_メタノール,係数_乗用_LPG),1,1,BE286):INDEX((係数_乗用_ガソリン,係数_乗用_CNG,係数_乗用_軽油,係数_乗用_メタノール,係数_乗用_LPG),125,5,BE286),3,FALSE))))))</f>
        <v/>
      </c>
      <c r="BC286" s="467" t="str">
        <f t="shared" si="154"/>
        <v/>
      </c>
      <c r="BD286" s="567" t="str">
        <f t="shared" si="155"/>
        <v/>
      </c>
      <c r="BE286" s="467" t="str">
        <f t="shared" si="156"/>
        <v/>
      </c>
      <c r="BF286" s="469" t="str">
        <f t="shared" ca="1" si="157"/>
        <v/>
      </c>
      <c r="BG286" s="469" t="str">
        <f t="shared" ca="1" si="158"/>
        <v/>
      </c>
      <c r="BH286" s="467" t="str">
        <f t="shared" si="159"/>
        <v/>
      </c>
      <c r="BI286" s="467" t="str">
        <f t="shared" ca="1" si="160"/>
        <v/>
      </c>
      <c r="BJ286" s="469" t="str">
        <f t="shared" si="161"/>
        <v/>
      </c>
      <c r="BK286" s="470" t="str">
        <f t="shared" si="141"/>
        <v/>
      </c>
      <c r="BL286" s="775" t="str">
        <f t="shared" si="162"/>
        <v/>
      </c>
      <c r="BM286" s="775" t="str">
        <f t="shared" si="163"/>
        <v/>
      </c>
    </row>
    <row r="287" spans="1:65">
      <c r="A287" s="473">
        <v>231</v>
      </c>
      <c r="B287" s="132"/>
      <c r="C287" s="332"/>
      <c r="D287" s="333"/>
      <c r="E287" s="333"/>
      <c r="F287" s="334"/>
      <c r="G287" s="337"/>
      <c r="H287" s="131"/>
      <c r="I287" s="337"/>
      <c r="J287" s="131"/>
      <c r="K287" s="458" t="str">
        <f t="shared" si="130"/>
        <v/>
      </c>
      <c r="L287" s="458">
        <f t="shared" si="142"/>
        <v>0</v>
      </c>
      <c r="M287" s="458">
        <f t="shared" si="143"/>
        <v>0</v>
      </c>
      <c r="N287" s="459" t="str">
        <f t="shared" si="131"/>
        <v/>
      </c>
      <c r="O287" s="459" t="str">
        <f t="shared" si="132"/>
        <v/>
      </c>
      <c r="P287" s="459" t="str">
        <f t="shared" si="133"/>
        <v/>
      </c>
      <c r="Q287" s="459" t="str">
        <f t="shared" si="134"/>
        <v/>
      </c>
      <c r="R287" s="459" t="str">
        <f t="shared" si="135"/>
        <v/>
      </c>
      <c r="S287" s="459" t="str">
        <f t="shared" si="136"/>
        <v/>
      </c>
      <c r="T287" s="566" t="str">
        <f t="shared" si="144"/>
        <v/>
      </c>
      <c r="U287" s="702"/>
      <c r="V287" s="132"/>
      <c r="W287" s="133"/>
      <c r="X287" s="134"/>
      <c r="Y287" s="135"/>
      <c r="Z287" s="137"/>
      <c r="AA287" s="136"/>
      <c r="AB287" s="566" t="str">
        <f t="shared" si="137"/>
        <v/>
      </c>
      <c r="AC287" s="568" t="str">
        <f t="shared" si="145"/>
        <v/>
      </c>
      <c r="AD287" s="137"/>
      <c r="AE287" s="137"/>
      <c r="AF287" s="138"/>
      <c r="AG287" s="138"/>
      <c r="AH287" s="592" t="str">
        <f t="shared" si="138"/>
        <v/>
      </c>
      <c r="AI287" s="592" t="str">
        <f t="shared" si="139"/>
        <v/>
      </c>
      <c r="AJ287" s="592" t="str">
        <f t="shared" si="140"/>
        <v/>
      </c>
      <c r="AK287" s="460" t="str">
        <f>IF(AU287="","",IF(OR(AZ287=8,AZ287=9),0,IF(OR(AW287=3,AW287=4,AW287=5,AW287=6),IF(LEFT(BF287,1)="1",INDEX(係数_NOX・PM低減,MATCH(AY287,【参考】排出係数!$AI$801:$AI$804,1),1),VLOOKUP(AU287,INDEX((係数_バス貨物_ガソリン,係数_バス貨物_CNG,係数_バス貨物_軽油,係数_バス貨物_メタノール,係数_バス貨物_LPG),MATCH(AY287,【参考】排出係数!$AI$4:$AI$671,1),1,BE287):INDEX((係数_バス貨物_ガソリン,係数_バス貨物_CNG,係数_バス貨物_軽油,係数_バス貨物_メタノール,係数_バス貨物_LPG),MATCH(AY287+1,【参考】排出係数!$AI$4:$AI$671,1)-1,5,BE287),4,FALSE)),IF(AND(BE287=3,LEFT(BF287,1)="1"),0.48,VLOOKUP(AU287,INDEX((係数_乗用_ガソリン,係数_乗用_CNG,係数_乗用_軽油,係数_乗用_メタノール,係数_乗用_LPG),1,1,BE287):INDEX((係数_乗用_ガソリン,係数_乗用_CNG,係数_乗用_軽油,係数_乗用_メタノール,係数_乗用_LPG),125,5,BE287),4,FALSE)))))</f>
        <v/>
      </c>
      <c r="AL287" s="461" t="str">
        <f t="shared" si="164"/>
        <v/>
      </c>
      <c r="AM287" s="460" t="str">
        <f>IF(AU287="","",IF(OR(AZ287=8,AZ287=9),0,IF(OR(AW287=3,AW287=4,AW287=5,AW287=6),IF(LEFT(BH287,1)="1",INDEX(係数_PM低減,MATCH(AY287,【参考】排出係数!$AI$801:$AI$804,1),MATCH(BI287,【参考】排出係数!$AL$798:$AO$798,1)),VLOOKUP(AU287,INDEX((係数_バス貨物_ガソリン,係数_バス貨物_CNG,係数_バス貨物_軽油,係数_バス貨物_メタノール,係数_バス貨物_LPG),MATCH(AY287,【参考】排出係数!$AI$4:$AI$671,1),1,BE287):INDEX((係数_バス貨物_ガソリン,係数_バス貨物_CNG,係数_バス貨物_軽油,係数_バス貨物_メタノール,係数_バス貨物_LPG),MATCH(AY287+1,【参考】排出係数!$AI$4:$AI$671,1)-1,5,BE287),5,FALSE)),IF(AND(BE287=3,LEFT(BF287,1)="1"),0.055,VLOOKUP(AU287,INDEX((係数_乗用_ガソリン,係数_乗用_CNG,係数_乗用_軽油,係数_乗用_メタノール,係数_乗用_LPG),1,1,BE287):INDEX((係数_乗用_ガソリン,係数_乗用_CNG,係数_乗用_軽油,係数_乗用_メタノール,係数_乗用_LPG),125,5,BE287),5,FALSE)))))</f>
        <v/>
      </c>
      <c r="AN287" s="461" t="str">
        <f t="shared" si="165"/>
        <v/>
      </c>
      <c r="AO287" s="462" t="str">
        <f t="shared" si="166"/>
        <v/>
      </c>
      <c r="AP287" s="463" t="str">
        <f t="shared" si="167"/>
        <v/>
      </c>
      <c r="AQ287" s="464"/>
      <c r="AR287" s="619"/>
      <c r="AS287" s="465" t="str">
        <f t="shared" si="146"/>
        <v/>
      </c>
      <c r="AT287" s="465" t="str">
        <f t="shared" si="147"/>
        <v/>
      </c>
      <c r="AU287" s="466" t="str">
        <f t="shared" si="148"/>
        <v/>
      </c>
      <c r="AV287" s="467" t="str">
        <f t="shared" si="149"/>
        <v/>
      </c>
      <c r="AW287" s="467" t="str">
        <f t="shared" si="150"/>
        <v/>
      </c>
      <c r="AX287" s="467" t="str">
        <f t="shared" si="151"/>
        <v/>
      </c>
      <c r="AY287" s="467" t="str">
        <f t="shared" si="152"/>
        <v/>
      </c>
      <c r="AZ287" s="467" t="str">
        <f t="shared" si="153"/>
        <v/>
      </c>
      <c r="BA287" s="468" t="str">
        <f>IF(AS287="","",IF(OR(AU287="",AU287="-"),"－",IF(OR(AZ287=8,AZ287=9),"",IF(OR(AW287=3,AW287=4,AW287=5,AW287=6),VLOOKUP(AU287,INDEX((係数_バス貨物_ガソリン,係数_バス貨物_CNG,係数_バス貨物_軽油,係数_バス貨物_メタノール,係数_バス貨物_LPG),MATCH(AY287,【参考】排出係数!$AI$4:$AI$671,1),1,BE287):INDEX((係数_バス貨物_ガソリン,係数_バス貨物_CNG,係数_バス貨物_軽油,係数_バス貨物_メタノール,係数_バス貨物_LPG),MATCH(AY287+1,【参考】排出係数!$AI$4:$AI$671,1)-1,5,BE287),2,FALSE),IF(OR(AW287=1,AW287=2),VLOOKUP(AU287,INDEX((係数_乗用_ガソリン,係数_乗用_CNG,係数_乗用_軽油,係数_乗用_メタノール,係数_乗用_LPG),1,1,BE287):INDEX((係数_乗用_ガソリン,係数_乗用_CNG,係数_乗用_軽油,係数_乗用_メタノール,係数_乗用_LPG),125,5,BE287),2,FALSE))))))</f>
        <v/>
      </c>
      <c r="BB287" s="468" t="str">
        <f>IF(T287="","",IF(OR(AU287="",AU287="-"),"－",IF(OR(AZ287=8,AZ287=9),"",IF(OR(AW287=3,AW287=4,AW287=5,AW287=6),VLOOKUP(AU287,INDEX((係数_バス貨物_ガソリン,係数_バス貨物_CNG,係数_バス貨物_軽油,係数_バス貨物_メタノール,係数_バス貨物_LPG),MATCH(AY287,【参考】排出係数!$AI$4:$AI$671,1),1,BE287):INDEX((係数_バス貨物_ガソリン,係数_バス貨物_CNG,係数_バス貨物_軽油,係数_バス貨物_メタノール,係数_バス貨物_LPG),MATCH(AY287+1,【参考】排出係数!$AI$4:$AI$671,1)-1,5,BE287),3,FALSE),IF(OR(AW287=1,AW287=2),VLOOKUP(AU287,INDEX((係数_乗用_ガソリン,係数_乗用_CNG,係数_乗用_軽油,係数_乗用_メタノール,係数_乗用_LPG),1,1,BE287):INDEX((係数_乗用_ガソリン,係数_乗用_CNG,係数_乗用_軽油,係数_乗用_メタノール,係数_乗用_LPG),125,5,BE287),3,FALSE))))))</f>
        <v/>
      </c>
      <c r="BC287" s="467" t="str">
        <f t="shared" si="154"/>
        <v/>
      </c>
      <c r="BD287" s="567" t="str">
        <f t="shared" si="155"/>
        <v/>
      </c>
      <c r="BE287" s="467" t="str">
        <f t="shared" si="156"/>
        <v/>
      </c>
      <c r="BF287" s="469" t="str">
        <f t="shared" ca="1" si="157"/>
        <v/>
      </c>
      <c r="BG287" s="469" t="str">
        <f t="shared" ca="1" si="158"/>
        <v/>
      </c>
      <c r="BH287" s="467" t="str">
        <f t="shared" si="159"/>
        <v/>
      </c>
      <c r="BI287" s="467" t="str">
        <f t="shared" ca="1" si="160"/>
        <v/>
      </c>
      <c r="BJ287" s="469" t="str">
        <f t="shared" si="161"/>
        <v/>
      </c>
      <c r="BK287" s="470" t="str">
        <f t="shared" si="141"/>
        <v/>
      </c>
      <c r="BL287" s="775" t="str">
        <f t="shared" si="162"/>
        <v/>
      </c>
      <c r="BM287" s="775" t="str">
        <f t="shared" si="163"/>
        <v/>
      </c>
    </row>
    <row r="288" spans="1:65">
      <c r="A288" s="473">
        <v>232</v>
      </c>
      <c r="B288" s="132"/>
      <c r="C288" s="332"/>
      <c r="D288" s="333"/>
      <c r="E288" s="333"/>
      <c r="F288" s="334"/>
      <c r="G288" s="337"/>
      <c r="H288" s="131"/>
      <c r="I288" s="337"/>
      <c r="J288" s="131"/>
      <c r="K288" s="458" t="str">
        <f t="shared" si="130"/>
        <v/>
      </c>
      <c r="L288" s="458">
        <f t="shared" si="142"/>
        <v>0</v>
      </c>
      <c r="M288" s="458">
        <f t="shared" si="143"/>
        <v>0</v>
      </c>
      <c r="N288" s="459" t="str">
        <f t="shared" si="131"/>
        <v/>
      </c>
      <c r="O288" s="459" t="str">
        <f t="shared" si="132"/>
        <v/>
      </c>
      <c r="P288" s="459" t="str">
        <f t="shared" si="133"/>
        <v/>
      </c>
      <c r="Q288" s="459" t="str">
        <f t="shared" si="134"/>
        <v/>
      </c>
      <c r="R288" s="459" t="str">
        <f t="shared" si="135"/>
        <v/>
      </c>
      <c r="S288" s="459" t="str">
        <f t="shared" si="136"/>
        <v/>
      </c>
      <c r="T288" s="566" t="str">
        <f t="shared" si="144"/>
        <v/>
      </c>
      <c r="U288" s="702"/>
      <c r="V288" s="132"/>
      <c r="W288" s="133"/>
      <c r="X288" s="134"/>
      <c r="Y288" s="135"/>
      <c r="Z288" s="137"/>
      <c r="AA288" s="136"/>
      <c r="AB288" s="566" t="str">
        <f t="shared" si="137"/>
        <v/>
      </c>
      <c r="AC288" s="568" t="str">
        <f t="shared" si="145"/>
        <v/>
      </c>
      <c r="AD288" s="137"/>
      <c r="AE288" s="137"/>
      <c r="AF288" s="138"/>
      <c r="AG288" s="138"/>
      <c r="AH288" s="592" t="str">
        <f t="shared" si="138"/>
        <v/>
      </c>
      <c r="AI288" s="592" t="str">
        <f t="shared" si="139"/>
        <v/>
      </c>
      <c r="AJ288" s="592" t="str">
        <f t="shared" si="140"/>
        <v/>
      </c>
      <c r="AK288" s="460" t="str">
        <f>IF(AU288="","",IF(OR(AZ288=8,AZ288=9),0,IF(OR(AW288=3,AW288=4,AW288=5,AW288=6),IF(LEFT(BF288,1)="1",INDEX(係数_NOX・PM低減,MATCH(AY288,【参考】排出係数!$AI$801:$AI$804,1),1),VLOOKUP(AU288,INDEX((係数_バス貨物_ガソリン,係数_バス貨物_CNG,係数_バス貨物_軽油,係数_バス貨物_メタノール,係数_バス貨物_LPG),MATCH(AY288,【参考】排出係数!$AI$4:$AI$671,1),1,BE288):INDEX((係数_バス貨物_ガソリン,係数_バス貨物_CNG,係数_バス貨物_軽油,係数_バス貨物_メタノール,係数_バス貨物_LPG),MATCH(AY288+1,【参考】排出係数!$AI$4:$AI$671,1)-1,5,BE288),4,FALSE)),IF(AND(BE288=3,LEFT(BF288,1)="1"),0.48,VLOOKUP(AU288,INDEX((係数_乗用_ガソリン,係数_乗用_CNG,係数_乗用_軽油,係数_乗用_メタノール,係数_乗用_LPG),1,1,BE288):INDEX((係数_乗用_ガソリン,係数_乗用_CNG,係数_乗用_軽油,係数_乗用_メタノール,係数_乗用_LPG),125,5,BE288),4,FALSE)))))</f>
        <v/>
      </c>
      <c r="AL288" s="461" t="str">
        <f t="shared" si="164"/>
        <v/>
      </c>
      <c r="AM288" s="460" t="str">
        <f>IF(AU288="","",IF(OR(AZ288=8,AZ288=9),0,IF(OR(AW288=3,AW288=4,AW288=5,AW288=6),IF(LEFT(BH288,1)="1",INDEX(係数_PM低減,MATCH(AY288,【参考】排出係数!$AI$801:$AI$804,1),MATCH(BI288,【参考】排出係数!$AL$798:$AO$798,1)),VLOOKUP(AU288,INDEX((係数_バス貨物_ガソリン,係数_バス貨物_CNG,係数_バス貨物_軽油,係数_バス貨物_メタノール,係数_バス貨物_LPG),MATCH(AY288,【参考】排出係数!$AI$4:$AI$671,1),1,BE288):INDEX((係数_バス貨物_ガソリン,係数_バス貨物_CNG,係数_バス貨物_軽油,係数_バス貨物_メタノール,係数_バス貨物_LPG),MATCH(AY288+1,【参考】排出係数!$AI$4:$AI$671,1)-1,5,BE288),5,FALSE)),IF(AND(BE288=3,LEFT(BF288,1)="1"),0.055,VLOOKUP(AU288,INDEX((係数_乗用_ガソリン,係数_乗用_CNG,係数_乗用_軽油,係数_乗用_メタノール,係数_乗用_LPG),1,1,BE288):INDEX((係数_乗用_ガソリン,係数_乗用_CNG,係数_乗用_軽油,係数_乗用_メタノール,係数_乗用_LPG),125,5,BE288),5,FALSE)))))</f>
        <v/>
      </c>
      <c r="AN288" s="461" t="str">
        <f t="shared" si="165"/>
        <v/>
      </c>
      <c r="AO288" s="462" t="str">
        <f t="shared" si="166"/>
        <v/>
      </c>
      <c r="AP288" s="463" t="str">
        <f t="shared" si="167"/>
        <v/>
      </c>
      <c r="AQ288" s="464"/>
      <c r="AR288" s="619"/>
      <c r="AS288" s="465" t="str">
        <f t="shared" si="146"/>
        <v/>
      </c>
      <c r="AT288" s="465" t="str">
        <f t="shared" si="147"/>
        <v/>
      </c>
      <c r="AU288" s="466" t="str">
        <f t="shared" si="148"/>
        <v/>
      </c>
      <c r="AV288" s="467" t="str">
        <f t="shared" si="149"/>
        <v/>
      </c>
      <c r="AW288" s="467" t="str">
        <f t="shared" si="150"/>
        <v/>
      </c>
      <c r="AX288" s="467" t="str">
        <f t="shared" si="151"/>
        <v/>
      </c>
      <c r="AY288" s="467" t="str">
        <f t="shared" si="152"/>
        <v/>
      </c>
      <c r="AZ288" s="467" t="str">
        <f t="shared" si="153"/>
        <v/>
      </c>
      <c r="BA288" s="468" t="str">
        <f>IF(AS288="","",IF(OR(AU288="",AU288="-"),"－",IF(OR(AZ288=8,AZ288=9),"",IF(OR(AW288=3,AW288=4,AW288=5,AW288=6),VLOOKUP(AU288,INDEX((係数_バス貨物_ガソリン,係数_バス貨物_CNG,係数_バス貨物_軽油,係数_バス貨物_メタノール,係数_バス貨物_LPG),MATCH(AY288,【参考】排出係数!$AI$4:$AI$671,1),1,BE288):INDEX((係数_バス貨物_ガソリン,係数_バス貨物_CNG,係数_バス貨物_軽油,係数_バス貨物_メタノール,係数_バス貨物_LPG),MATCH(AY288+1,【参考】排出係数!$AI$4:$AI$671,1)-1,5,BE288),2,FALSE),IF(OR(AW288=1,AW288=2),VLOOKUP(AU288,INDEX((係数_乗用_ガソリン,係数_乗用_CNG,係数_乗用_軽油,係数_乗用_メタノール,係数_乗用_LPG),1,1,BE288):INDEX((係数_乗用_ガソリン,係数_乗用_CNG,係数_乗用_軽油,係数_乗用_メタノール,係数_乗用_LPG),125,5,BE288),2,FALSE))))))</f>
        <v/>
      </c>
      <c r="BB288" s="468" t="str">
        <f>IF(T288="","",IF(OR(AU288="",AU288="-"),"－",IF(OR(AZ288=8,AZ288=9),"",IF(OR(AW288=3,AW288=4,AW288=5,AW288=6),VLOOKUP(AU288,INDEX((係数_バス貨物_ガソリン,係数_バス貨物_CNG,係数_バス貨物_軽油,係数_バス貨物_メタノール,係数_バス貨物_LPG),MATCH(AY288,【参考】排出係数!$AI$4:$AI$671,1),1,BE288):INDEX((係数_バス貨物_ガソリン,係数_バス貨物_CNG,係数_バス貨物_軽油,係数_バス貨物_メタノール,係数_バス貨物_LPG),MATCH(AY288+1,【参考】排出係数!$AI$4:$AI$671,1)-1,5,BE288),3,FALSE),IF(OR(AW288=1,AW288=2),VLOOKUP(AU288,INDEX((係数_乗用_ガソリン,係数_乗用_CNG,係数_乗用_軽油,係数_乗用_メタノール,係数_乗用_LPG),1,1,BE288):INDEX((係数_乗用_ガソリン,係数_乗用_CNG,係数_乗用_軽油,係数_乗用_メタノール,係数_乗用_LPG),125,5,BE288),3,FALSE))))))</f>
        <v/>
      </c>
      <c r="BC288" s="467" t="str">
        <f t="shared" si="154"/>
        <v/>
      </c>
      <c r="BD288" s="567" t="str">
        <f t="shared" si="155"/>
        <v/>
      </c>
      <c r="BE288" s="467" t="str">
        <f t="shared" si="156"/>
        <v/>
      </c>
      <c r="BF288" s="469" t="str">
        <f t="shared" ca="1" si="157"/>
        <v/>
      </c>
      <c r="BG288" s="469" t="str">
        <f t="shared" ca="1" si="158"/>
        <v/>
      </c>
      <c r="BH288" s="467" t="str">
        <f t="shared" si="159"/>
        <v/>
      </c>
      <c r="BI288" s="467" t="str">
        <f t="shared" ca="1" si="160"/>
        <v/>
      </c>
      <c r="BJ288" s="469" t="str">
        <f t="shared" si="161"/>
        <v/>
      </c>
      <c r="BK288" s="470" t="str">
        <f t="shared" si="141"/>
        <v/>
      </c>
      <c r="BL288" s="775" t="str">
        <f t="shared" si="162"/>
        <v/>
      </c>
      <c r="BM288" s="775" t="str">
        <f t="shared" si="163"/>
        <v/>
      </c>
    </row>
    <row r="289" spans="1:65">
      <c r="A289" s="473">
        <v>233</v>
      </c>
      <c r="B289" s="132"/>
      <c r="C289" s="332"/>
      <c r="D289" s="333"/>
      <c r="E289" s="333"/>
      <c r="F289" s="334"/>
      <c r="G289" s="337"/>
      <c r="H289" s="131"/>
      <c r="I289" s="337"/>
      <c r="J289" s="131"/>
      <c r="K289" s="458" t="str">
        <f t="shared" si="130"/>
        <v/>
      </c>
      <c r="L289" s="458">
        <f t="shared" si="142"/>
        <v>0</v>
      </c>
      <c r="M289" s="458">
        <f t="shared" si="143"/>
        <v>0</v>
      </c>
      <c r="N289" s="459" t="str">
        <f t="shared" si="131"/>
        <v/>
      </c>
      <c r="O289" s="459" t="str">
        <f t="shared" si="132"/>
        <v/>
      </c>
      <c r="P289" s="459" t="str">
        <f t="shared" si="133"/>
        <v/>
      </c>
      <c r="Q289" s="459" t="str">
        <f t="shared" si="134"/>
        <v/>
      </c>
      <c r="R289" s="459" t="str">
        <f t="shared" si="135"/>
        <v/>
      </c>
      <c r="S289" s="459" t="str">
        <f t="shared" si="136"/>
        <v/>
      </c>
      <c r="T289" s="566" t="str">
        <f t="shared" si="144"/>
        <v/>
      </c>
      <c r="U289" s="702"/>
      <c r="V289" s="132"/>
      <c r="W289" s="133"/>
      <c r="X289" s="134"/>
      <c r="Y289" s="135"/>
      <c r="Z289" s="137"/>
      <c r="AA289" s="136"/>
      <c r="AB289" s="566" t="str">
        <f t="shared" si="137"/>
        <v/>
      </c>
      <c r="AC289" s="568" t="str">
        <f t="shared" si="145"/>
        <v/>
      </c>
      <c r="AD289" s="137"/>
      <c r="AE289" s="137"/>
      <c r="AF289" s="138"/>
      <c r="AG289" s="138"/>
      <c r="AH289" s="592" t="str">
        <f t="shared" si="138"/>
        <v/>
      </c>
      <c r="AI289" s="592" t="str">
        <f t="shared" si="139"/>
        <v/>
      </c>
      <c r="AJ289" s="592" t="str">
        <f t="shared" si="140"/>
        <v/>
      </c>
      <c r="AK289" s="460" t="str">
        <f>IF(AU289="","",IF(OR(AZ289=8,AZ289=9),0,IF(OR(AW289=3,AW289=4,AW289=5,AW289=6),IF(LEFT(BF289,1)="1",INDEX(係数_NOX・PM低減,MATCH(AY289,【参考】排出係数!$AI$801:$AI$804,1),1),VLOOKUP(AU289,INDEX((係数_バス貨物_ガソリン,係数_バス貨物_CNG,係数_バス貨物_軽油,係数_バス貨物_メタノール,係数_バス貨物_LPG),MATCH(AY289,【参考】排出係数!$AI$4:$AI$671,1),1,BE289):INDEX((係数_バス貨物_ガソリン,係数_バス貨物_CNG,係数_バス貨物_軽油,係数_バス貨物_メタノール,係数_バス貨物_LPG),MATCH(AY289+1,【参考】排出係数!$AI$4:$AI$671,1)-1,5,BE289),4,FALSE)),IF(AND(BE289=3,LEFT(BF289,1)="1"),0.48,VLOOKUP(AU289,INDEX((係数_乗用_ガソリン,係数_乗用_CNG,係数_乗用_軽油,係数_乗用_メタノール,係数_乗用_LPG),1,1,BE289):INDEX((係数_乗用_ガソリン,係数_乗用_CNG,係数_乗用_軽油,係数_乗用_メタノール,係数_乗用_LPG),125,5,BE289),4,FALSE)))))</f>
        <v/>
      </c>
      <c r="AL289" s="461" t="str">
        <f t="shared" si="164"/>
        <v/>
      </c>
      <c r="AM289" s="460" t="str">
        <f>IF(AU289="","",IF(OR(AZ289=8,AZ289=9),0,IF(OR(AW289=3,AW289=4,AW289=5,AW289=6),IF(LEFT(BH289,1)="1",INDEX(係数_PM低減,MATCH(AY289,【参考】排出係数!$AI$801:$AI$804,1),MATCH(BI289,【参考】排出係数!$AL$798:$AO$798,1)),VLOOKUP(AU289,INDEX((係数_バス貨物_ガソリン,係数_バス貨物_CNG,係数_バス貨物_軽油,係数_バス貨物_メタノール,係数_バス貨物_LPG),MATCH(AY289,【参考】排出係数!$AI$4:$AI$671,1),1,BE289):INDEX((係数_バス貨物_ガソリン,係数_バス貨物_CNG,係数_バス貨物_軽油,係数_バス貨物_メタノール,係数_バス貨物_LPG),MATCH(AY289+1,【参考】排出係数!$AI$4:$AI$671,1)-1,5,BE289),5,FALSE)),IF(AND(BE289=3,LEFT(BF289,1)="1"),0.055,VLOOKUP(AU289,INDEX((係数_乗用_ガソリン,係数_乗用_CNG,係数_乗用_軽油,係数_乗用_メタノール,係数_乗用_LPG),1,1,BE289):INDEX((係数_乗用_ガソリン,係数_乗用_CNG,係数_乗用_軽油,係数_乗用_メタノール,係数_乗用_LPG),125,5,BE289),5,FALSE)))))</f>
        <v/>
      </c>
      <c r="AN289" s="461" t="str">
        <f t="shared" si="165"/>
        <v/>
      </c>
      <c r="AO289" s="462" t="str">
        <f t="shared" si="166"/>
        <v/>
      </c>
      <c r="AP289" s="463" t="str">
        <f t="shared" si="167"/>
        <v/>
      </c>
      <c r="AQ289" s="464"/>
      <c r="AR289" s="619"/>
      <c r="AS289" s="465" t="str">
        <f t="shared" si="146"/>
        <v/>
      </c>
      <c r="AT289" s="465" t="str">
        <f t="shared" si="147"/>
        <v/>
      </c>
      <c r="AU289" s="466" t="str">
        <f t="shared" si="148"/>
        <v/>
      </c>
      <c r="AV289" s="467" t="str">
        <f t="shared" si="149"/>
        <v/>
      </c>
      <c r="AW289" s="467" t="str">
        <f t="shared" si="150"/>
        <v/>
      </c>
      <c r="AX289" s="467" t="str">
        <f t="shared" si="151"/>
        <v/>
      </c>
      <c r="AY289" s="467" t="str">
        <f t="shared" si="152"/>
        <v/>
      </c>
      <c r="AZ289" s="467" t="str">
        <f t="shared" si="153"/>
        <v/>
      </c>
      <c r="BA289" s="468" t="str">
        <f>IF(AS289="","",IF(OR(AU289="",AU289="-"),"－",IF(OR(AZ289=8,AZ289=9),"",IF(OR(AW289=3,AW289=4,AW289=5,AW289=6),VLOOKUP(AU289,INDEX((係数_バス貨物_ガソリン,係数_バス貨物_CNG,係数_バス貨物_軽油,係数_バス貨物_メタノール,係数_バス貨物_LPG),MATCH(AY289,【参考】排出係数!$AI$4:$AI$671,1),1,BE289):INDEX((係数_バス貨物_ガソリン,係数_バス貨物_CNG,係数_バス貨物_軽油,係数_バス貨物_メタノール,係数_バス貨物_LPG),MATCH(AY289+1,【参考】排出係数!$AI$4:$AI$671,1)-1,5,BE289),2,FALSE),IF(OR(AW289=1,AW289=2),VLOOKUP(AU289,INDEX((係数_乗用_ガソリン,係数_乗用_CNG,係数_乗用_軽油,係数_乗用_メタノール,係数_乗用_LPG),1,1,BE289):INDEX((係数_乗用_ガソリン,係数_乗用_CNG,係数_乗用_軽油,係数_乗用_メタノール,係数_乗用_LPG),125,5,BE289),2,FALSE))))))</f>
        <v/>
      </c>
      <c r="BB289" s="468" t="str">
        <f>IF(T289="","",IF(OR(AU289="",AU289="-"),"－",IF(OR(AZ289=8,AZ289=9),"",IF(OR(AW289=3,AW289=4,AW289=5,AW289=6),VLOOKUP(AU289,INDEX((係数_バス貨物_ガソリン,係数_バス貨物_CNG,係数_バス貨物_軽油,係数_バス貨物_メタノール,係数_バス貨物_LPG),MATCH(AY289,【参考】排出係数!$AI$4:$AI$671,1),1,BE289):INDEX((係数_バス貨物_ガソリン,係数_バス貨物_CNG,係数_バス貨物_軽油,係数_バス貨物_メタノール,係数_バス貨物_LPG),MATCH(AY289+1,【参考】排出係数!$AI$4:$AI$671,1)-1,5,BE289),3,FALSE),IF(OR(AW289=1,AW289=2),VLOOKUP(AU289,INDEX((係数_乗用_ガソリン,係数_乗用_CNG,係数_乗用_軽油,係数_乗用_メタノール,係数_乗用_LPG),1,1,BE289):INDEX((係数_乗用_ガソリン,係数_乗用_CNG,係数_乗用_軽油,係数_乗用_メタノール,係数_乗用_LPG),125,5,BE289),3,FALSE))))))</f>
        <v/>
      </c>
      <c r="BC289" s="467" t="str">
        <f t="shared" si="154"/>
        <v/>
      </c>
      <c r="BD289" s="567" t="str">
        <f t="shared" si="155"/>
        <v/>
      </c>
      <c r="BE289" s="467" t="str">
        <f t="shared" si="156"/>
        <v/>
      </c>
      <c r="BF289" s="469" t="str">
        <f t="shared" ca="1" si="157"/>
        <v/>
      </c>
      <c r="BG289" s="469" t="str">
        <f t="shared" ca="1" si="158"/>
        <v/>
      </c>
      <c r="BH289" s="467" t="str">
        <f t="shared" si="159"/>
        <v/>
      </c>
      <c r="BI289" s="467" t="str">
        <f t="shared" ca="1" si="160"/>
        <v/>
      </c>
      <c r="BJ289" s="469" t="str">
        <f t="shared" si="161"/>
        <v/>
      </c>
      <c r="BK289" s="470" t="str">
        <f t="shared" si="141"/>
        <v/>
      </c>
      <c r="BL289" s="775" t="str">
        <f t="shared" si="162"/>
        <v/>
      </c>
      <c r="BM289" s="775" t="str">
        <f t="shared" si="163"/>
        <v/>
      </c>
    </row>
    <row r="290" spans="1:65">
      <c r="A290" s="473">
        <v>234</v>
      </c>
      <c r="B290" s="132"/>
      <c r="C290" s="332"/>
      <c r="D290" s="333"/>
      <c r="E290" s="333"/>
      <c r="F290" s="334"/>
      <c r="G290" s="337"/>
      <c r="H290" s="131"/>
      <c r="I290" s="337"/>
      <c r="J290" s="131"/>
      <c r="K290" s="458" t="str">
        <f t="shared" si="130"/>
        <v/>
      </c>
      <c r="L290" s="458">
        <f t="shared" si="142"/>
        <v>0</v>
      </c>
      <c r="M290" s="458">
        <f t="shared" si="143"/>
        <v>0</v>
      </c>
      <c r="N290" s="459" t="str">
        <f t="shared" si="131"/>
        <v/>
      </c>
      <c r="O290" s="459" t="str">
        <f t="shared" si="132"/>
        <v/>
      </c>
      <c r="P290" s="459" t="str">
        <f t="shared" si="133"/>
        <v/>
      </c>
      <c r="Q290" s="459" t="str">
        <f t="shared" si="134"/>
        <v/>
      </c>
      <c r="R290" s="459" t="str">
        <f t="shared" si="135"/>
        <v/>
      </c>
      <c r="S290" s="459" t="str">
        <f t="shared" si="136"/>
        <v/>
      </c>
      <c r="T290" s="566" t="str">
        <f t="shared" si="144"/>
        <v/>
      </c>
      <c r="U290" s="702"/>
      <c r="V290" s="132"/>
      <c r="W290" s="133"/>
      <c r="X290" s="134"/>
      <c r="Y290" s="135"/>
      <c r="Z290" s="137"/>
      <c r="AA290" s="136"/>
      <c r="AB290" s="566" t="str">
        <f t="shared" si="137"/>
        <v/>
      </c>
      <c r="AC290" s="568" t="str">
        <f t="shared" si="145"/>
        <v/>
      </c>
      <c r="AD290" s="137"/>
      <c r="AE290" s="137"/>
      <c r="AF290" s="138"/>
      <c r="AG290" s="138"/>
      <c r="AH290" s="592" t="str">
        <f t="shared" si="138"/>
        <v/>
      </c>
      <c r="AI290" s="592" t="str">
        <f t="shared" si="139"/>
        <v/>
      </c>
      <c r="AJ290" s="592" t="str">
        <f t="shared" si="140"/>
        <v/>
      </c>
      <c r="AK290" s="460" t="str">
        <f>IF(AU290="","",IF(OR(AZ290=8,AZ290=9),0,IF(OR(AW290=3,AW290=4,AW290=5,AW290=6),IF(LEFT(BF290,1)="1",INDEX(係数_NOX・PM低減,MATCH(AY290,【参考】排出係数!$AI$801:$AI$804,1),1),VLOOKUP(AU290,INDEX((係数_バス貨物_ガソリン,係数_バス貨物_CNG,係数_バス貨物_軽油,係数_バス貨物_メタノール,係数_バス貨物_LPG),MATCH(AY290,【参考】排出係数!$AI$4:$AI$671,1),1,BE290):INDEX((係数_バス貨物_ガソリン,係数_バス貨物_CNG,係数_バス貨物_軽油,係数_バス貨物_メタノール,係数_バス貨物_LPG),MATCH(AY290+1,【参考】排出係数!$AI$4:$AI$671,1)-1,5,BE290),4,FALSE)),IF(AND(BE290=3,LEFT(BF290,1)="1"),0.48,VLOOKUP(AU290,INDEX((係数_乗用_ガソリン,係数_乗用_CNG,係数_乗用_軽油,係数_乗用_メタノール,係数_乗用_LPG),1,1,BE290):INDEX((係数_乗用_ガソリン,係数_乗用_CNG,係数_乗用_軽油,係数_乗用_メタノール,係数_乗用_LPG),125,5,BE290),4,FALSE)))))</f>
        <v/>
      </c>
      <c r="AL290" s="461" t="str">
        <f t="shared" si="164"/>
        <v/>
      </c>
      <c r="AM290" s="460" t="str">
        <f>IF(AU290="","",IF(OR(AZ290=8,AZ290=9),0,IF(OR(AW290=3,AW290=4,AW290=5,AW290=6),IF(LEFT(BH290,1)="1",INDEX(係数_PM低減,MATCH(AY290,【参考】排出係数!$AI$801:$AI$804,1),MATCH(BI290,【参考】排出係数!$AL$798:$AO$798,1)),VLOOKUP(AU290,INDEX((係数_バス貨物_ガソリン,係数_バス貨物_CNG,係数_バス貨物_軽油,係数_バス貨物_メタノール,係数_バス貨物_LPG),MATCH(AY290,【参考】排出係数!$AI$4:$AI$671,1),1,BE290):INDEX((係数_バス貨物_ガソリン,係数_バス貨物_CNG,係数_バス貨物_軽油,係数_バス貨物_メタノール,係数_バス貨物_LPG),MATCH(AY290+1,【参考】排出係数!$AI$4:$AI$671,1)-1,5,BE290),5,FALSE)),IF(AND(BE290=3,LEFT(BF290,1)="1"),0.055,VLOOKUP(AU290,INDEX((係数_乗用_ガソリン,係数_乗用_CNG,係数_乗用_軽油,係数_乗用_メタノール,係数_乗用_LPG),1,1,BE290):INDEX((係数_乗用_ガソリン,係数_乗用_CNG,係数_乗用_軽油,係数_乗用_メタノール,係数_乗用_LPG),125,5,BE290),5,FALSE)))))</f>
        <v/>
      </c>
      <c r="AN290" s="461" t="str">
        <f t="shared" si="165"/>
        <v/>
      </c>
      <c r="AO290" s="462" t="str">
        <f t="shared" si="166"/>
        <v/>
      </c>
      <c r="AP290" s="463" t="str">
        <f t="shared" si="167"/>
        <v/>
      </c>
      <c r="AQ290" s="464"/>
      <c r="AR290" s="619"/>
      <c r="AS290" s="465" t="str">
        <f t="shared" si="146"/>
        <v/>
      </c>
      <c r="AT290" s="465" t="str">
        <f t="shared" si="147"/>
        <v/>
      </c>
      <c r="AU290" s="466" t="str">
        <f t="shared" si="148"/>
        <v/>
      </c>
      <c r="AV290" s="467" t="str">
        <f t="shared" si="149"/>
        <v/>
      </c>
      <c r="AW290" s="467" t="str">
        <f t="shared" si="150"/>
        <v/>
      </c>
      <c r="AX290" s="467" t="str">
        <f t="shared" si="151"/>
        <v/>
      </c>
      <c r="AY290" s="467" t="str">
        <f t="shared" si="152"/>
        <v/>
      </c>
      <c r="AZ290" s="467" t="str">
        <f t="shared" si="153"/>
        <v/>
      </c>
      <c r="BA290" s="468" t="str">
        <f>IF(AS290="","",IF(OR(AU290="",AU290="-"),"－",IF(OR(AZ290=8,AZ290=9),"",IF(OR(AW290=3,AW290=4,AW290=5,AW290=6),VLOOKUP(AU290,INDEX((係数_バス貨物_ガソリン,係数_バス貨物_CNG,係数_バス貨物_軽油,係数_バス貨物_メタノール,係数_バス貨物_LPG),MATCH(AY290,【参考】排出係数!$AI$4:$AI$671,1),1,BE290):INDEX((係数_バス貨物_ガソリン,係数_バス貨物_CNG,係数_バス貨物_軽油,係数_バス貨物_メタノール,係数_バス貨物_LPG),MATCH(AY290+1,【参考】排出係数!$AI$4:$AI$671,1)-1,5,BE290),2,FALSE),IF(OR(AW290=1,AW290=2),VLOOKUP(AU290,INDEX((係数_乗用_ガソリン,係数_乗用_CNG,係数_乗用_軽油,係数_乗用_メタノール,係数_乗用_LPG),1,1,BE290):INDEX((係数_乗用_ガソリン,係数_乗用_CNG,係数_乗用_軽油,係数_乗用_メタノール,係数_乗用_LPG),125,5,BE290),2,FALSE))))))</f>
        <v/>
      </c>
      <c r="BB290" s="468" t="str">
        <f>IF(T290="","",IF(OR(AU290="",AU290="-"),"－",IF(OR(AZ290=8,AZ290=9),"",IF(OR(AW290=3,AW290=4,AW290=5,AW290=6),VLOOKUP(AU290,INDEX((係数_バス貨物_ガソリン,係数_バス貨物_CNG,係数_バス貨物_軽油,係数_バス貨物_メタノール,係数_バス貨物_LPG),MATCH(AY290,【参考】排出係数!$AI$4:$AI$671,1),1,BE290):INDEX((係数_バス貨物_ガソリン,係数_バス貨物_CNG,係数_バス貨物_軽油,係数_バス貨物_メタノール,係数_バス貨物_LPG),MATCH(AY290+1,【参考】排出係数!$AI$4:$AI$671,1)-1,5,BE290),3,FALSE),IF(OR(AW290=1,AW290=2),VLOOKUP(AU290,INDEX((係数_乗用_ガソリン,係数_乗用_CNG,係数_乗用_軽油,係数_乗用_メタノール,係数_乗用_LPG),1,1,BE290):INDEX((係数_乗用_ガソリン,係数_乗用_CNG,係数_乗用_軽油,係数_乗用_メタノール,係数_乗用_LPG),125,5,BE290),3,FALSE))))))</f>
        <v/>
      </c>
      <c r="BC290" s="467" t="str">
        <f t="shared" si="154"/>
        <v/>
      </c>
      <c r="BD290" s="567" t="str">
        <f t="shared" si="155"/>
        <v/>
      </c>
      <c r="BE290" s="467" t="str">
        <f t="shared" si="156"/>
        <v/>
      </c>
      <c r="BF290" s="469" t="str">
        <f t="shared" ca="1" si="157"/>
        <v/>
      </c>
      <c r="BG290" s="469" t="str">
        <f t="shared" ca="1" si="158"/>
        <v/>
      </c>
      <c r="BH290" s="467" t="str">
        <f t="shared" si="159"/>
        <v/>
      </c>
      <c r="BI290" s="467" t="str">
        <f t="shared" ca="1" si="160"/>
        <v/>
      </c>
      <c r="BJ290" s="469" t="str">
        <f t="shared" si="161"/>
        <v/>
      </c>
      <c r="BK290" s="470" t="str">
        <f t="shared" si="141"/>
        <v/>
      </c>
      <c r="BL290" s="775" t="str">
        <f t="shared" si="162"/>
        <v/>
      </c>
      <c r="BM290" s="775" t="str">
        <f t="shared" si="163"/>
        <v/>
      </c>
    </row>
    <row r="291" spans="1:65">
      <c r="A291" s="473">
        <v>235</v>
      </c>
      <c r="B291" s="132"/>
      <c r="C291" s="332"/>
      <c r="D291" s="333"/>
      <c r="E291" s="333"/>
      <c r="F291" s="334"/>
      <c r="G291" s="337"/>
      <c r="H291" s="131"/>
      <c r="I291" s="337"/>
      <c r="J291" s="131"/>
      <c r="K291" s="458" t="str">
        <f t="shared" si="130"/>
        <v/>
      </c>
      <c r="L291" s="458">
        <f t="shared" si="142"/>
        <v>0</v>
      </c>
      <c r="M291" s="458">
        <f t="shared" si="143"/>
        <v>0</v>
      </c>
      <c r="N291" s="459" t="str">
        <f t="shared" si="131"/>
        <v/>
      </c>
      <c r="O291" s="459" t="str">
        <f t="shared" si="132"/>
        <v/>
      </c>
      <c r="P291" s="459" t="str">
        <f t="shared" si="133"/>
        <v/>
      </c>
      <c r="Q291" s="459" t="str">
        <f t="shared" si="134"/>
        <v/>
      </c>
      <c r="R291" s="459" t="str">
        <f t="shared" si="135"/>
        <v/>
      </c>
      <c r="S291" s="459" t="str">
        <f t="shared" si="136"/>
        <v/>
      </c>
      <c r="T291" s="566" t="str">
        <f t="shared" si="144"/>
        <v/>
      </c>
      <c r="U291" s="702"/>
      <c r="V291" s="132"/>
      <c r="W291" s="133"/>
      <c r="X291" s="134"/>
      <c r="Y291" s="135"/>
      <c r="Z291" s="137"/>
      <c r="AA291" s="136"/>
      <c r="AB291" s="566" t="str">
        <f t="shared" si="137"/>
        <v/>
      </c>
      <c r="AC291" s="568" t="str">
        <f t="shared" si="145"/>
        <v/>
      </c>
      <c r="AD291" s="137"/>
      <c r="AE291" s="137"/>
      <c r="AF291" s="138"/>
      <c r="AG291" s="138"/>
      <c r="AH291" s="592" t="str">
        <f t="shared" si="138"/>
        <v/>
      </c>
      <c r="AI291" s="592" t="str">
        <f t="shared" si="139"/>
        <v/>
      </c>
      <c r="AJ291" s="592" t="str">
        <f t="shared" si="140"/>
        <v/>
      </c>
      <c r="AK291" s="460" t="str">
        <f>IF(AU291="","",IF(OR(AZ291=8,AZ291=9),0,IF(OR(AW291=3,AW291=4,AW291=5,AW291=6),IF(LEFT(BF291,1)="1",INDEX(係数_NOX・PM低減,MATCH(AY291,【参考】排出係数!$AI$801:$AI$804,1),1),VLOOKUP(AU291,INDEX((係数_バス貨物_ガソリン,係数_バス貨物_CNG,係数_バス貨物_軽油,係数_バス貨物_メタノール,係数_バス貨物_LPG),MATCH(AY291,【参考】排出係数!$AI$4:$AI$671,1),1,BE291):INDEX((係数_バス貨物_ガソリン,係数_バス貨物_CNG,係数_バス貨物_軽油,係数_バス貨物_メタノール,係数_バス貨物_LPG),MATCH(AY291+1,【参考】排出係数!$AI$4:$AI$671,1)-1,5,BE291),4,FALSE)),IF(AND(BE291=3,LEFT(BF291,1)="1"),0.48,VLOOKUP(AU291,INDEX((係数_乗用_ガソリン,係数_乗用_CNG,係数_乗用_軽油,係数_乗用_メタノール,係数_乗用_LPG),1,1,BE291):INDEX((係数_乗用_ガソリン,係数_乗用_CNG,係数_乗用_軽油,係数_乗用_メタノール,係数_乗用_LPG),125,5,BE291),4,FALSE)))))</f>
        <v/>
      </c>
      <c r="AL291" s="461" t="str">
        <f t="shared" si="164"/>
        <v/>
      </c>
      <c r="AM291" s="460" t="str">
        <f>IF(AU291="","",IF(OR(AZ291=8,AZ291=9),0,IF(OR(AW291=3,AW291=4,AW291=5,AW291=6),IF(LEFT(BH291,1)="1",INDEX(係数_PM低減,MATCH(AY291,【参考】排出係数!$AI$801:$AI$804,1),MATCH(BI291,【参考】排出係数!$AL$798:$AO$798,1)),VLOOKUP(AU291,INDEX((係数_バス貨物_ガソリン,係数_バス貨物_CNG,係数_バス貨物_軽油,係数_バス貨物_メタノール,係数_バス貨物_LPG),MATCH(AY291,【参考】排出係数!$AI$4:$AI$671,1),1,BE291):INDEX((係数_バス貨物_ガソリン,係数_バス貨物_CNG,係数_バス貨物_軽油,係数_バス貨物_メタノール,係数_バス貨物_LPG),MATCH(AY291+1,【参考】排出係数!$AI$4:$AI$671,1)-1,5,BE291),5,FALSE)),IF(AND(BE291=3,LEFT(BF291,1)="1"),0.055,VLOOKUP(AU291,INDEX((係数_乗用_ガソリン,係数_乗用_CNG,係数_乗用_軽油,係数_乗用_メタノール,係数_乗用_LPG),1,1,BE291):INDEX((係数_乗用_ガソリン,係数_乗用_CNG,係数_乗用_軽油,係数_乗用_メタノール,係数_乗用_LPG),125,5,BE291),5,FALSE)))))</f>
        <v/>
      </c>
      <c r="AN291" s="461" t="str">
        <f t="shared" si="165"/>
        <v/>
      </c>
      <c r="AO291" s="462" t="str">
        <f t="shared" si="166"/>
        <v/>
      </c>
      <c r="AP291" s="463" t="str">
        <f t="shared" si="167"/>
        <v/>
      </c>
      <c r="AQ291" s="464"/>
      <c r="AR291" s="619"/>
      <c r="AS291" s="465" t="str">
        <f t="shared" si="146"/>
        <v/>
      </c>
      <c r="AT291" s="465" t="str">
        <f t="shared" si="147"/>
        <v/>
      </c>
      <c r="AU291" s="466" t="str">
        <f t="shared" si="148"/>
        <v/>
      </c>
      <c r="AV291" s="467" t="str">
        <f t="shared" si="149"/>
        <v/>
      </c>
      <c r="AW291" s="467" t="str">
        <f t="shared" si="150"/>
        <v/>
      </c>
      <c r="AX291" s="467" t="str">
        <f t="shared" si="151"/>
        <v/>
      </c>
      <c r="AY291" s="467" t="str">
        <f t="shared" si="152"/>
        <v/>
      </c>
      <c r="AZ291" s="467" t="str">
        <f t="shared" si="153"/>
        <v/>
      </c>
      <c r="BA291" s="468" t="str">
        <f>IF(AS291="","",IF(OR(AU291="",AU291="-"),"－",IF(OR(AZ291=8,AZ291=9),"",IF(OR(AW291=3,AW291=4,AW291=5,AW291=6),VLOOKUP(AU291,INDEX((係数_バス貨物_ガソリン,係数_バス貨物_CNG,係数_バス貨物_軽油,係数_バス貨物_メタノール,係数_バス貨物_LPG),MATCH(AY291,【参考】排出係数!$AI$4:$AI$671,1),1,BE291):INDEX((係数_バス貨物_ガソリン,係数_バス貨物_CNG,係数_バス貨物_軽油,係数_バス貨物_メタノール,係数_バス貨物_LPG),MATCH(AY291+1,【参考】排出係数!$AI$4:$AI$671,1)-1,5,BE291),2,FALSE),IF(OR(AW291=1,AW291=2),VLOOKUP(AU291,INDEX((係数_乗用_ガソリン,係数_乗用_CNG,係数_乗用_軽油,係数_乗用_メタノール,係数_乗用_LPG),1,1,BE291):INDEX((係数_乗用_ガソリン,係数_乗用_CNG,係数_乗用_軽油,係数_乗用_メタノール,係数_乗用_LPG),125,5,BE291),2,FALSE))))))</f>
        <v/>
      </c>
      <c r="BB291" s="468" t="str">
        <f>IF(T291="","",IF(OR(AU291="",AU291="-"),"－",IF(OR(AZ291=8,AZ291=9),"",IF(OR(AW291=3,AW291=4,AW291=5,AW291=6),VLOOKUP(AU291,INDEX((係数_バス貨物_ガソリン,係数_バス貨物_CNG,係数_バス貨物_軽油,係数_バス貨物_メタノール,係数_バス貨物_LPG),MATCH(AY291,【参考】排出係数!$AI$4:$AI$671,1),1,BE291):INDEX((係数_バス貨物_ガソリン,係数_バス貨物_CNG,係数_バス貨物_軽油,係数_バス貨物_メタノール,係数_バス貨物_LPG),MATCH(AY291+1,【参考】排出係数!$AI$4:$AI$671,1)-1,5,BE291),3,FALSE),IF(OR(AW291=1,AW291=2),VLOOKUP(AU291,INDEX((係数_乗用_ガソリン,係数_乗用_CNG,係数_乗用_軽油,係数_乗用_メタノール,係数_乗用_LPG),1,1,BE291):INDEX((係数_乗用_ガソリン,係数_乗用_CNG,係数_乗用_軽油,係数_乗用_メタノール,係数_乗用_LPG),125,5,BE291),3,FALSE))))))</f>
        <v/>
      </c>
      <c r="BC291" s="467" t="str">
        <f t="shared" si="154"/>
        <v/>
      </c>
      <c r="BD291" s="567" t="str">
        <f t="shared" si="155"/>
        <v/>
      </c>
      <c r="BE291" s="467" t="str">
        <f t="shared" si="156"/>
        <v/>
      </c>
      <c r="BF291" s="469" t="str">
        <f t="shared" ca="1" si="157"/>
        <v/>
      </c>
      <c r="BG291" s="469" t="str">
        <f t="shared" ca="1" si="158"/>
        <v/>
      </c>
      <c r="BH291" s="467" t="str">
        <f t="shared" si="159"/>
        <v/>
      </c>
      <c r="BI291" s="467" t="str">
        <f t="shared" ca="1" si="160"/>
        <v/>
      </c>
      <c r="BJ291" s="469" t="str">
        <f t="shared" si="161"/>
        <v/>
      </c>
      <c r="BK291" s="470" t="str">
        <f t="shared" si="141"/>
        <v/>
      </c>
      <c r="BL291" s="775" t="str">
        <f t="shared" si="162"/>
        <v/>
      </c>
      <c r="BM291" s="775" t="str">
        <f t="shared" si="163"/>
        <v/>
      </c>
    </row>
    <row r="292" spans="1:65">
      <c r="A292" s="473">
        <v>236</v>
      </c>
      <c r="B292" s="132"/>
      <c r="C292" s="332"/>
      <c r="D292" s="333"/>
      <c r="E292" s="333"/>
      <c r="F292" s="334"/>
      <c r="G292" s="337"/>
      <c r="H292" s="131"/>
      <c r="I292" s="337"/>
      <c r="J292" s="131"/>
      <c r="K292" s="458" t="str">
        <f t="shared" si="130"/>
        <v/>
      </c>
      <c r="L292" s="458">
        <f t="shared" si="142"/>
        <v>0</v>
      </c>
      <c r="M292" s="458">
        <f t="shared" si="143"/>
        <v>0</v>
      </c>
      <c r="N292" s="459" t="str">
        <f t="shared" si="131"/>
        <v/>
      </c>
      <c r="O292" s="459" t="str">
        <f t="shared" si="132"/>
        <v/>
      </c>
      <c r="P292" s="459" t="str">
        <f t="shared" si="133"/>
        <v/>
      </c>
      <c r="Q292" s="459" t="str">
        <f t="shared" si="134"/>
        <v/>
      </c>
      <c r="R292" s="459" t="str">
        <f t="shared" si="135"/>
        <v/>
      </c>
      <c r="S292" s="459" t="str">
        <f t="shared" si="136"/>
        <v/>
      </c>
      <c r="T292" s="566" t="str">
        <f t="shared" si="144"/>
        <v/>
      </c>
      <c r="U292" s="702"/>
      <c r="V292" s="132"/>
      <c r="W292" s="133"/>
      <c r="X292" s="134"/>
      <c r="Y292" s="135"/>
      <c r="Z292" s="137"/>
      <c r="AA292" s="136"/>
      <c r="AB292" s="566" t="str">
        <f t="shared" si="137"/>
        <v/>
      </c>
      <c r="AC292" s="568" t="str">
        <f t="shared" si="145"/>
        <v/>
      </c>
      <c r="AD292" s="137"/>
      <c r="AE292" s="137"/>
      <c r="AF292" s="138"/>
      <c r="AG292" s="138"/>
      <c r="AH292" s="592" t="str">
        <f t="shared" si="138"/>
        <v/>
      </c>
      <c r="AI292" s="592" t="str">
        <f t="shared" si="139"/>
        <v/>
      </c>
      <c r="AJ292" s="592" t="str">
        <f t="shared" si="140"/>
        <v/>
      </c>
      <c r="AK292" s="460" t="str">
        <f>IF(AU292="","",IF(OR(AZ292=8,AZ292=9),0,IF(OR(AW292=3,AW292=4,AW292=5,AW292=6),IF(LEFT(BF292,1)="1",INDEX(係数_NOX・PM低減,MATCH(AY292,【参考】排出係数!$AI$801:$AI$804,1),1),VLOOKUP(AU292,INDEX((係数_バス貨物_ガソリン,係数_バス貨物_CNG,係数_バス貨物_軽油,係数_バス貨物_メタノール,係数_バス貨物_LPG),MATCH(AY292,【参考】排出係数!$AI$4:$AI$671,1),1,BE292):INDEX((係数_バス貨物_ガソリン,係数_バス貨物_CNG,係数_バス貨物_軽油,係数_バス貨物_メタノール,係数_バス貨物_LPG),MATCH(AY292+1,【参考】排出係数!$AI$4:$AI$671,1)-1,5,BE292),4,FALSE)),IF(AND(BE292=3,LEFT(BF292,1)="1"),0.48,VLOOKUP(AU292,INDEX((係数_乗用_ガソリン,係数_乗用_CNG,係数_乗用_軽油,係数_乗用_メタノール,係数_乗用_LPG),1,1,BE292):INDEX((係数_乗用_ガソリン,係数_乗用_CNG,係数_乗用_軽油,係数_乗用_メタノール,係数_乗用_LPG),125,5,BE292),4,FALSE)))))</f>
        <v/>
      </c>
      <c r="AL292" s="461" t="str">
        <f t="shared" si="164"/>
        <v/>
      </c>
      <c r="AM292" s="460" t="str">
        <f>IF(AU292="","",IF(OR(AZ292=8,AZ292=9),0,IF(OR(AW292=3,AW292=4,AW292=5,AW292=6),IF(LEFT(BH292,1)="1",INDEX(係数_PM低減,MATCH(AY292,【参考】排出係数!$AI$801:$AI$804,1),MATCH(BI292,【参考】排出係数!$AL$798:$AO$798,1)),VLOOKUP(AU292,INDEX((係数_バス貨物_ガソリン,係数_バス貨物_CNG,係数_バス貨物_軽油,係数_バス貨物_メタノール,係数_バス貨物_LPG),MATCH(AY292,【参考】排出係数!$AI$4:$AI$671,1),1,BE292):INDEX((係数_バス貨物_ガソリン,係数_バス貨物_CNG,係数_バス貨物_軽油,係数_バス貨物_メタノール,係数_バス貨物_LPG),MATCH(AY292+1,【参考】排出係数!$AI$4:$AI$671,1)-1,5,BE292),5,FALSE)),IF(AND(BE292=3,LEFT(BF292,1)="1"),0.055,VLOOKUP(AU292,INDEX((係数_乗用_ガソリン,係数_乗用_CNG,係数_乗用_軽油,係数_乗用_メタノール,係数_乗用_LPG),1,1,BE292):INDEX((係数_乗用_ガソリン,係数_乗用_CNG,係数_乗用_軽油,係数_乗用_メタノール,係数_乗用_LPG),125,5,BE292),5,FALSE)))))</f>
        <v/>
      </c>
      <c r="AN292" s="461" t="str">
        <f t="shared" si="165"/>
        <v/>
      </c>
      <c r="AO292" s="462" t="str">
        <f t="shared" si="166"/>
        <v/>
      </c>
      <c r="AP292" s="463" t="str">
        <f t="shared" si="167"/>
        <v/>
      </c>
      <c r="AQ292" s="464"/>
      <c r="AR292" s="619"/>
      <c r="AS292" s="465" t="str">
        <f t="shared" si="146"/>
        <v/>
      </c>
      <c r="AT292" s="465" t="str">
        <f t="shared" si="147"/>
        <v/>
      </c>
      <c r="AU292" s="466" t="str">
        <f t="shared" si="148"/>
        <v/>
      </c>
      <c r="AV292" s="467" t="str">
        <f t="shared" si="149"/>
        <v/>
      </c>
      <c r="AW292" s="467" t="str">
        <f t="shared" si="150"/>
        <v/>
      </c>
      <c r="AX292" s="467" t="str">
        <f t="shared" si="151"/>
        <v/>
      </c>
      <c r="AY292" s="467" t="str">
        <f t="shared" si="152"/>
        <v/>
      </c>
      <c r="AZ292" s="467" t="str">
        <f t="shared" si="153"/>
        <v/>
      </c>
      <c r="BA292" s="468" t="str">
        <f>IF(AS292="","",IF(OR(AU292="",AU292="-"),"－",IF(OR(AZ292=8,AZ292=9),"",IF(OR(AW292=3,AW292=4,AW292=5,AW292=6),VLOOKUP(AU292,INDEX((係数_バス貨物_ガソリン,係数_バス貨物_CNG,係数_バス貨物_軽油,係数_バス貨物_メタノール,係数_バス貨物_LPG),MATCH(AY292,【参考】排出係数!$AI$4:$AI$671,1),1,BE292):INDEX((係数_バス貨物_ガソリン,係数_バス貨物_CNG,係数_バス貨物_軽油,係数_バス貨物_メタノール,係数_バス貨物_LPG),MATCH(AY292+1,【参考】排出係数!$AI$4:$AI$671,1)-1,5,BE292),2,FALSE),IF(OR(AW292=1,AW292=2),VLOOKUP(AU292,INDEX((係数_乗用_ガソリン,係数_乗用_CNG,係数_乗用_軽油,係数_乗用_メタノール,係数_乗用_LPG),1,1,BE292):INDEX((係数_乗用_ガソリン,係数_乗用_CNG,係数_乗用_軽油,係数_乗用_メタノール,係数_乗用_LPG),125,5,BE292),2,FALSE))))))</f>
        <v/>
      </c>
      <c r="BB292" s="468" t="str">
        <f>IF(T292="","",IF(OR(AU292="",AU292="-"),"－",IF(OR(AZ292=8,AZ292=9),"",IF(OR(AW292=3,AW292=4,AW292=5,AW292=6),VLOOKUP(AU292,INDEX((係数_バス貨物_ガソリン,係数_バス貨物_CNG,係数_バス貨物_軽油,係数_バス貨物_メタノール,係数_バス貨物_LPG),MATCH(AY292,【参考】排出係数!$AI$4:$AI$671,1),1,BE292):INDEX((係数_バス貨物_ガソリン,係数_バス貨物_CNG,係数_バス貨物_軽油,係数_バス貨物_メタノール,係数_バス貨物_LPG),MATCH(AY292+1,【参考】排出係数!$AI$4:$AI$671,1)-1,5,BE292),3,FALSE),IF(OR(AW292=1,AW292=2),VLOOKUP(AU292,INDEX((係数_乗用_ガソリン,係数_乗用_CNG,係数_乗用_軽油,係数_乗用_メタノール,係数_乗用_LPG),1,1,BE292):INDEX((係数_乗用_ガソリン,係数_乗用_CNG,係数_乗用_軽油,係数_乗用_メタノール,係数_乗用_LPG),125,5,BE292),3,FALSE))))))</f>
        <v/>
      </c>
      <c r="BC292" s="467" t="str">
        <f t="shared" si="154"/>
        <v/>
      </c>
      <c r="BD292" s="567" t="str">
        <f t="shared" si="155"/>
        <v/>
      </c>
      <c r="BE292" s="467" t="str">
        <f t="shared" si="156"/>
        <v/>
      </c>
      <c r="BF292" s="469" t="str">
        <f t="shared" ca="1" si="157"/>
        <v/>
      </c>
      <c r="BG292" s="469" t="str">
        <f t="shared" ca="1" si="158"/>
        <v/>
      </c>
      <c r="BH292" s="467" t="str">
        <f t="shared" si="159"/>
        <v/>
      </c>
      <c r="BI292" s="467" t="str">
        <f t="shared" ca="1" si="160"/>
        <v/>
      </c>
      <c r="BJ292" s="469" t="str">
        <f t="shared" si="161"/>
        <v/>
      </c>
      <c r="BK292" s="470" t="str">
        <f t="shared" si="141"/>
        <v/>
      </c>
      <c r="BL292" s="775" t="str">
        <f t="shared" si="162"/>
        <v/>
      </c>
      <c r="BM292" s="775" t="str">
        <f t="shared" si="163"/>
        <v/>
      </c>
    </row>
    <row r="293" spans="1:65">
      <c r="A293" s="473">
        <v>237</v>
      </c>
      <c r="B293" s="132"/>
      <c r="C293" s="332"/>
      <c r="D293" s="333"/>
      <c r="E293" s="333"/>
      <c r="F293" s="334"/>
      <c r="G293" s="337"/>
      <c r="H293" s="131"/>
      <c r="I293" s="337"/>
      <c r="J293" s="131"/>
      <c r="K293" s="458" t="str">
        <f t="shared" si="130"/>
        <v/>
      </c>
      <c r="L293" s="458">
        <f t="shared" si="142"/>
        <v>0</v>
      </c>
      <c r="M293" s="458">
        <f t="shared" si="143"/>
        <v>0</v>
      </c>
      <c r="N293" s="459" t="str">
        <f t="shared" si="131"/>
        <v/>
      </c>
      <c r="O293" s="459" t="str">
        <f t="shared" si="132"/>
        <v/>
      </c>
      <c r="P293" s="459" t="str">
        <f t="shared" si="133"/>
        <v/>
      </c>
      <c r="Q293" s="459" t="str">
        <f t="shared" si="134"/>
        <v/>
      </c>
      <c r="R293" s="459" t="str">
        <f t="shared" si="135"/>
        <v/>
      </c>
      <c r="S293" s="459" t="str">
        <f t="shared" si="136"/>
        <v/>
      </c>
      <c r="T293" s="566" t="str">
        <f t="shared" si="144"/>
        <v/>
      </c>
      <c r="U293" s="702"/>
      <c r="V293" s="132"/>
      <c r="W293" s="133"/>
      <c r="X293" s="134"/>
      <c r="Y293" s="135"/>
      <c r="Z293" s="137"/>
      <c r="AA293" s="136"/>
      <c r="AB293" s="566" t="str">
        <f t="shared" si="137"/>
        <v/>
      </c>
      <c r="AC293" s="568" t="str">
        <f t="shared" si="145"/>
        <v/>
      </c>
      <c r="AD293" s="137"/>
      <c r="AE293" s="137"/>
      <c r="AF293" s="138"/>
      <c r="AG293" s="138"/>
      <c r="AH293" s="592" t="str">
        <f t="shared" si="138"/>
        <v/>
      </c>
      <c r="AI293" s="592" t="str">
        <f t="shared" si="139"/>
        <v/>
      </c>
      <c r="AJ293" s="592" t="str">
        <f t="shared" si="140"/>
        <v/>
      </c>
      <c r="AK293" s="460" t="str">
        <f>IF(AU293="","",IF(OR(AZ293=8,AZ293=9),0,IF(OR(AW293=3,AW293=4,AW293=5,AW293=6),IF(LEFT(BF293,1)="1",INDEX(係数_NOX・PM低減,MATCH(AY293,【参考】排出係数!$AI$801:$AI$804,1),1),VLOOKUP(AU293,INDEX((係数_バス貨物_ガソリン,係数_バス貨物_CNG,係数_バス貨物_軽油,係数_バス貨物_メタノール,係数_バス貨物_LPG),MATCH(AY293,【参考】排出係数!$AI$4:$AI$671,1),1,BE293):INDEX((係数_バス貨物_ガソリン,係数_バス貨物_CNG,係数_バス貨物_軽油,係数_バス貨物_メタノール,係数_バス貨物_LPG),MATCH(AY293+1,【参考】排出係数!$AI$4:$AI$671,1)-1,5,BE293),4,FALSE)),IF(AND(BE293=3,LEFT(BF293,1)="1"),0.48,VLOOKUP(AU293,INDEX((係数_乗用_ガソリン,係数_乗用_CNG,係数_乗用_軽油,係数_乗用_メタノール,係数_乗用_LPG),1,1,BE293):INDEX((係数_乗用_ガソリン,係数_乗用_CNG,係数_乗用_軽油,係数_乗用_メタノール,係数_乗用_LPG),125,5,BE293),4,FALSE)))))</f>
        <v/>
      </c>
      <c r="AL293" s="461" t="str">
        <f t="shared" si="164"/>
        <v/>
      </c>
      <c r="AM293" s="460" t="str">
        <f>IF(AU293="","",IF(OR(AZ293=8,AZ293=9),0,IF(OR(AW293=3,AW293=4,AW293=5,AW293=6),IF(LEFT(BH293,1)="1",INDEX(係数_PM低減,MATCH(AY293,【参考】排出係数!$AI$801:$AI$804,1),MATCH(BI293,【参考】排出係数!$AL$798:$AO$798,1)),VLOOKUP(AU293,INDEX((係数_バス貨物_ガソリン,係数_バス貨物_CNG,係数_バス貨物_軽油,係数_バス貨物_メタノール,係数_バス貨物_LPG),MATCH(AY293,【参考】排出係数!$AI$4:$AI$671,1),1,BE293):INDEX((係数_バス貨物_ガソリン,係数_バス貨物_CNG,係数_バス貨物_軽油,係数_バス貨物_メタノール,係数_バス貨物_LPG),MATCH(AY293+1,【参考】排出係数!$AI$4:$AI$671,1)-1,5,BE293),5,FALSE)),IF(AND(BE293=3,LEFT(BF293,1)="1"),0.055,VLOOKUP(AU293,INDEX((係数_乗用_ガソリン,係数_乗用_CNG,係数_乗用_軽油,係数_乗用_メタノール,係数_乗用_LPG),1,1,BE293):INDEX((係数_乗用_ガソリン,係数_乗用_CNG,係数_乗用_軽油,係数_乗用_メタノール,係数_乗用_LPG),125,5,BE293),5,FALSE)))))</f>
        <v/>
      </c>
      <c r="AN293" s="461" t="str">
        <f t="shared" si="165"/>
        <v/>
      </c>
      <c r="AO293" s="462" t="str">
        <f t="shared" si="166"/>
        <v/>
      </c>
      <c r="AP293" s="463" t="str">
        <f t="shared" si="167"/>
        <v/>
      </c>
      <c r="AQ293" s="464"/>
      <c r="AR293" s="619"/>
      <c r="AS293" s="465" t="str">
        <f t="shared" si="146"/>
        <v/>
      </c>
      <c r="AT293" s="465" t="str">
        <f t="shared" si="147"/>
        <v/>
      </c>
      <c r="AU293" s="466" t="str">
        <f t="shared" si="148"/>
        <v/>
      </c>
      <c r="AV293" s="467" t="str">
        <f t="shared" si="149"/>
        <v/>
      </c>
      <c r="AW293" s="467" t="str">
        <f t="shared" si="150"/>
        <v/>
      </c>
      <c r="AX293" s="467" t="str">
        <f t="shared" si="151"/>
        <v/>
      </c>
      <c r="AY293" s="467" t="str">
        <f t="shared" si="152"/>
        <v/>
      </c>
      <c r="AZ293" s="467" t="str">
        <f t="shared" si="153"/>
        <v/>
      </c>
      <c r="BA293" s="468" t="str">
        <f>IF(AS293="","",IF(OR(AU293="",AU293="-"),"－",IF(OR(AZ293=8,AZ293=9),"",IF(OR(AW293=3,AW293=4,AW293=5,AW293=6),VLOOKUP(AU293,INDEX((係数_バス貨物_ガソリン,係数_バス貨物_CNG,係数_バス貨物_軽油,係数_バス貨物_メタノール,係数_バス貨物_LPG),MATCH(AY293,【参考】排出係数!$AI$4:$AI$671,1),1,BE293):INDEX((係数_バス貨物_ガソリン,係数_バス貨物_CNG,係数_バス貨物_軽油,係数_バス貨物_メタノール,係数_バス貨物_LPG),MATCH(AY293+1,【参考】排出係数!$AI$4:$AI$671,1)-1,5,BE293),2,FALSE),IF(OR(AW293=1,AW293=2),VLOOKUP(AU293,INDEX((係数_乗用_ガソリン,係数_乗用_CNG,係数_乗用_軽油,係数_乗用_メタノール,係数_乗用_LPG),1,1,BE293):INDEX((係数_乗用_ガソリン,係数_乗用_CNG,係数_乗用_軽油,係数_乗用_メタノール,係数_乗用_LPG),125,5,BE293),2,FALSE))))))</f>
        <v/>
      </c>
      <c r="BB293" s="468" t="str">
        <f>IF(T293="","",IF(OR(AU293="",AU293="-"),"－",IF(OR(AZ293=8,AZ293=9),"",IF(OR(AW293=3,AW293=4,AW293=5,AW293=6),VLOOKUP(AU293,INDEX((係数_バス貨物_ガソリン,係数_バス貨物_CNG,係数_バス貨物_軽油,係数_バス貨物_メタノール,係数_バス貨物_LPG),MATCH(AY293,【参考】排出係数!$AI$4:$AI$671,1),1,BE293):INDEX((係数_バス貨物_ガソリン,係数_バス貨物_CNG,係数_バス貨物_軽油,係数_バス貨物_メタノール,係数_バス貨物_LPG),MATCH(AY293+1,【参考】排出係数!$AI$4:$AI$671,1)-1,5,BE293),3,FALSE),IF(OR(AW293=1,AW293=2),VLOOKUP(AU293,INDEX((係数_乗用_ガソリン,係数_乗用_CNG,係数_乗用_軽油,係数_乗用_メタノール,係数_乗用_LPG),1,1,BE293):INDEX((係数_乗用_ガソリン,係数_乗用_CNG,係数_乗用_軽油,係数_乗用_メタノール,係数_乗用_LPG),125,5,BE293),3,FALSE))))))</f>
        <v/>
      </c>
      <c r="BC293" s="467" t="str">
        <f t="shared" si="154"/>
        <v/>
      </c>
      <c r="BD293" s="567" t="str">
        <f t="shared" si="155"/>
        <v/>
      </c>
      <c r="BE293" s="467" t="str">
        <f t="shared" si="156"/>
        <v/>
      </c>
      <c r="BF293" s="469" t="str">
        <f t="shared" ca="1" si="157"/>
        <v/>
      </c>
      <c r="BG293" s="469" t="str">
        <f t="shared" ca="1" si="158"/>
        <v/>
      </c>
      <c r="BH293" s="467" t="str">
        <f t="shared" si="159"/>
        <v/>
      </c>
      <c r="BI293" s="467" t="str">
        <f t="shared" ca="1" si="160"/>
        <v/>
      </c>
      <c r="BJ293" s="469" t="str">
        <f t="shared" si="161"/>
        <v/>
      </c>
      <c r="BK293" s="470" t="str">
        <f t="shared" si="141"/>
        <v/>
      </c>
      <c r="BL293" s="775" t="str">
        <f t="shared" si="162"/>
        <v/>
      </c>
      <c r="BM293" s="775" t="str">
        <f t="shared" si="163"/>
        <v/>
      </c>
    </row>
    <row r="294" spans="1:65">
      <c r="A294" s="473">
        <v>238</v>
      </c>
      <c r="B294" s="132"/>
      <c r="C294" s="332"/>
      <c r="D294" s="333"/>
      <c r="E294" s="333"/>
      <c r="F294" s="334"/>
      <c r="G294" s="337"/>
      <c r="H294" s="131"/>
      <c r="I294" s="337"/>
      <c r="J294" s="131"/>
      <c r="K294" s="458" t="str">
        <f t="shared" si="130"/>
        <v/>
      </c>
      <c r="L294" s="458">
        <f t="shared" si="142"/>
        <v>0</v>
      </c>
      <c r="M294" s="458">
        <f t="shared" si="143"/>
        <v>0</v>
      </c>
      <c r="N294" s="459" t="str">
        <f t="shared" si="131"/>
        <v/>
      </c>
      <c r="O294" s="459" t="str">
        <f t="shared" si="132"/>
        <v/>
      </c>
      <c r="P294" s="459" t="str">
        <f t="shared" si="133"/>
        <v/>
      </c>
      <c r="Q294" s="459" t="str">
        <f t="shared" si="134"/>
        <v/>
      </c>
      <c r="R294" s="459" t="str">
        <f t="shared" si="135"/>
        <v/>
      </c>
      <c r="S294" s="459" t="str">
        <f t="shared" si="136"/>
        <v/>
      </c>
      <c r="T294" s="566" t="str">
        <f t="shared" si="144"/>
        <v/>
      </c>
      <c r="U294" s="702"/>
      <c r="V294" s="132"/>
      <c r="W294" s="133"/>
      <c r="X294" s="134"/>
      <c r="Y294" s="135"/>
      <c r="Z294" s="137"/>
      <c r="AA294" s="136"/>
      <c r="AB294" s="566" t="str">
        <f t="shared" si="137"/>
        <v/>
      </c>
      <c r="AC294" s="568" t="str">
        <f t="shared" si="145"/>
        <v/>
      </c>
      <c r="AD294" s="137"/>
      <c r="AE294" s="137"/>
      <c r="AF294" s="138"/>
      <c r="AG294" s="138"/>
      <c r="AH294" s="592" t="str">
        <f t="shared" si="138"/>
        <v/>
      </c>
      <c r="AI294" s="592" t="str">
        <f t="shared" si="139"/>
        <v/>
      </c>
      <c r="AJ294" s="592" t="str">
        <f t="shared" si="140"/>
        <v/>
      </c>
      <c r="AK294" s="460" t="str">
        <f>IF(AU294="","",IF(OR(AZ294=8,AZ294=9),0,IF(OR(AW294=3,AW294=4,AW294=5,AW294=6),IF(LEFT(BF294,1)="1",INDEX(係数_NOX・PM低減,MATCH(AY294,【参考】排出係数!$AI$801:$AI$804,1),1),VLOOKUP(AU294,INDEX((係数_バス貨物_ガソリン,係数_バス貨物_CNG,係数_バス貨物_軽油,係数_バス貨物_メタノール,係数_バス貨物_LPG),MATCH(AY294,【参考】排出係数!$AI$4:$AI$671,1),1,BE294):INDEX((係数_バス貨物_ガソリン,係数_バス貨物_CNG,係数_バス貨物_軽油,係数_バス貨物_メタノール,係数_バス貨物_LPG),MATCH(AY294+1,【参考】排出係数!$AI$4:$AI$671,1)-1,5,BE294),4,FALSE)),IF(AND(BE294=3,LEFT(BF294,1)="1"),0.48,VLOOKUP(AU294,INDEX((係数_乗用_ガソリン,係数_乗用_CNG,係数_乗用_軽油,係数_乗用_メタノール,係数_乗用_LPG),1,1,BE294):INDEX((係数_乗用_ガソリン,係数_乗用_CNG,係数_乗用_軽油,係数_乗用_メタノール,係数_乗用_LPG),125,5,BE294),4,FALSE)))))</f>
        <v/>
      </c>
      <c r="AL294" s="461" t="str">
        <f t="shared" si="164"/>
        <v/>
      </c>
      <c r="AM294" s="460" t="str">
        <f>IF(AU294="","",IF(OR(AZ294=8,AZ294=9),0,IF(OR(AW294=3,AW294=4,AW294=5,AW294=6),IF(LEFT(BH294,1)="1",INDEX(係数_PM低減,MATCH(AY294,【参考】排出係数!$AI$801:$AI$804,1),MATCH(BI294,【参考】排出係数!$AL$798:$AO$798,1)),VLOOKUP(AU294,INDEX((係数_バス貨物_ガソリン,係数_バス貨物_CNG,係数_バス貨物_軽油,係数_バス貨物_メタノール,係数_バス貨物_LPG),MATCH(AY294,【参考】排出係数!$AI$4:$AI$671,1),1,BE294):INDEX((係数_バス貨物_ガソリン,係数_バス貨物_CNG,係数_バス貨物_軽油,係数_バス貨物_メタノール,係数_バス貨物_LPG),MATCH(AY294+1,【参考】排出係数!$AI$4:$AI$671,1)-1,5,BE294),5,FALSE)),IF(AND(BE294=3,LEFT(BF294,1)="1"),0.055,VLOOKUP(AU294,INDEX((係数_乗用_ガソリン,係数_乗用_CNG,係数_乗用_軽油,係数_乗用_メタノール,係数_乗用_LPG),1,1,BE294):INDEX((係数_乗用_ガソリン,係数_乗用_CNG,係数_乗用_軽油,係数_乗用_メタノール,係数_乗用_LPG),125,5,BE294),5,FALSE)))))</f>
        <v/>
      </c>
      <c r="AN294" s="461" t="str">
        <f t="shared" si="165"/>
        <v/>
      </c>
      <c r="AO294" s="462" t="str">
        <f t="shared" si="166"/>
        <v/>
      </c>
      <c r="AP294" s="463" t="str">
        <f t="shared" si="167"/>
        <v/>
      </c>
      <c r="AQ294" s="464"/>
      <c r="AR294" s="619"/>
      <c r="AS294" s="465" t="str">
        <f t="shared" si="146"/>
        <v/>
      </c>
      <c r="AT294" s="465" t="str">
        <f t="shared" si="147"/>
        <v/>
      </c>
      <c r="AU294" s="466" t="str">
        <f t="shared" si="148"/>
        <v/>
      </c>
      <c r="AV294" s="467" t="str">
        <f t="shared" si="149"/>
        <v/>
      </c>
      <c r="AW294" s="467" t="str">
        <f t="shared" si="150"/>
        <v/>
      </c>
      <c r="AX294" s="467" t="str">
        <f t="shared" si="151"/>
        <v/>
      </c>
      <c r="AY294" s="467" t="str">
        <f t="shared" si="152"/>
        <v/>
      </c>
      <c r="AZ294" s="467" t="str">
        <f t="shared" si="153"/>
        <v/>
      </c>
      <c r="BA294" s="468" t="str">
        <f>IF(AS294="","",IF(OR(AU294="",AU294="-"),"－",IF(OR(AZ294=8,AZ294=9),"",IF(OR(AW294=3,AW294=4,AW294=5,AW294=6),VLOOKUP(AU294,INDEX((係数_バス貨物_ガソリン,係数_バス貨物_CNG,係数_バス貨物_軽油,係数_バス貨物_メタノール,係数_バス貨物_LPG),MATCH(AY294,【参考】排出係数!$AI$4:$AI$671,1),1,BE294):INDEX((係数_バス貨物_ガソリン,係数_バス貨物_CNG,係数_バス貨物_軽油,係数_バス貨物_メタノール,係数_バス貨物_LPG),MATCH(AY294+1,【参考】排出係数!$AI$4:$AI$671,1)-1,5,BE294),2,FALSE),IF(OR(AW294=1,AW294=2),VLOOKUP(AU294,INDEX((係数_乗用_ガソリン,係数_乗用_CNG,係数_乗用_軽油,係数_乗用_メタノール,係数_乗用_LPG),1,1,BE294):INDEX((係数_乗用_ガソリン,係数_乗用_CNG,係数_乗用_軽油,係数_乗用_メタノール,係数_乗用_LPG),125,5,BE294),2,FALSE))))))</f>
        <v/>
      </c>
      <c r="BB294" s="468" t="str">
        <f>IF(T294="","",IF(OR(AU294="",AU294="-"),"－",IF(OR(AZ294=8,AZ294=9),"",IF(OR(AW294=3,AW294=4,AW294=5,AW294=6),VLOOKUP(AU294,INDEX((係数_バス貨物_ガソリン,係数_バス貨物_CNG,係数_バス貨物_軽油,係数_バス貨物_メタノール,係数_バス貨物_LPG),MATCH(AY294,【参考】排出係数!$AI$4:$AI$671,1),1,BE294):INDEX((係数_バス貨物_ガソリン,係数_バス貨物_CNG,係数_バス貨物_軽油,係数_バス貨物_メタノール,係数_バス貨物_LPG),MATCH(AY294+1,【参考】排出係数!$AI$4:$AI$671,1)-1,5,BE294),3,FALSE),IF(OR(AW294=1,AW294=2),VLOOKUP(AU294,INDEX((係数_乗用_ガソリン,係数_乗用_CNG,係数_乗用_軽油,係数_乗用_メタノール,係数_乗用_LPG),1,1,BE294):INDEX((係数_乗用_ガソリン,係数_乗用_CNG,係数_乗用_軽油,係数_乗用_メタノール,係数_乗用_LPG),125,5,BE294),3,FALSE))))))</f>
        <v/>
      </c>
      <c r="BC294" s="467" t="str">
        <f t="shared" si="154"/>
        <v/>
      </c>
      <c r="BD294" s="567" t="str">
        <f t="shared" si="155"/>
        <v/>
      </c>
      <c r="BE294" s="467" t="str">
        <f t="shared" si="156"/>
        <v/>
      </c>
      <c r="BF294" s="469" t="str">
        <f t="shared" ca="1" si="157"/>
        <v/>
      </c>
      <c r="BG294" s="469" t="str">
        <f t="shared" ca="1" si="158"/>
        <v/>
      </c>
      <c r="BH294" s="467" t="str">
        <f t="shared" si="159"/>
        <v/>
      </c>
      <c r="BI294" s="467" t="str">
        <f t="shared" ca="1" si="160"/>
        <v/>
      </c>
      <c r="BJ294" s="469" t="str">
        <f t="shared" si="161"/>
        <v/>
      </c>
      <c r="BK294" s="470" t="str">
        <f t="shared" si="141"/>
        <v/>
      </c>
      <c r="BL294" s="775" t="str">
        <f t="shared" si="162"/>
        <v/>
      </c>
      <c r="BM294" s="775" t="str">
        <f t="shared" si="163"/>
        <v/>
      </c>
    </row>
    <row r="295" spans="1:65">
      <c r="A295" s="473">
        <v>239</v>
      </c>
      <c r="B295" s="132"/>
      <c r="C295" s="332"/>
      <c r="D295" s="333"/>
      <c r="E295" s="333"/>
      <c r="F295" s="334"/>
      <c r="G295" s="337"/>
      <c r="H295" s="131"/>
      <c r="I295" s="337"/>
      <c r="J295" s="131"/>
      <c r="K295" s="458" t="str">
        <f t="shared" si="130"/>
        <v/>
      </c>
      <c r="L295" s="458">
        <f t="shared" si="142"/>
        <v>0</v>
      </c>
      <c r="M295" s="458">
        <f t="shared" si="143"/>
        <v>0</v>
      </c>
      <c r="N295" s="459" t="str">
        <f t="shared" si="131"/>
        <v/>
      </c>
      <c r="O295" s="459" t="str">
        <f t="shared" si="132"/>
        <v/>
      </c>
      <c r="P295" s="459" t="str">
        <f t="shared" si="133"/>
        <v/>
      </c>
      <c r="Q295" s="459" t="str">
        <f t="shared" si="134"/>
        <v/>
      </c>
      <c r="R295" s="459" t="str">
        <f t="shared" si="135"/>
        <v/>
      </c>
      <c r="S295" s="459" t="str">
        <f t="shared" si="136"/>
        <v/>
      </c>
      <c r="T295" s="566" t="str">
        <f t="shared" si="144"/>
        <v/>
      </c>
      <c r="U295" s="702"/>
      <c r="V295" s="132"/>
      <c r="W295" s="133"/>
      <c r="X295" s="134"/>
      <c r="Y295" s="135"/>
      <c r="Z295" s="137"/>
      <c r="AA295" s="136"/>
      <c r="AB295" s="566" t="str">
        <f t="shared" si="137"/>
        <v/>
      </c>
      <c r="AC295" s="568" t="str">
        <f t="shared" si="145"/>
        <v/>
      </c>
      <c r="AD295" s="137"/>
      <c r="AE295" s="137"/>
      <c r="AF295" s="138"/>
      <c r="AG295" s="138"/>
      <c r="AH295" s="592" t="str">
        <f t="shared" si="138"/>
        <v/>
      </c>
      <c r="AI295" s="592" t="str">
        <f t="shared" si="139"/>
        <v/>
      </c>
      <c r="AJ295" s="592" t="str">
        <f t="shared" si="140"/>
        <v/>
      </c>
      <c r="AK295" s="460" t="str">
        <f>IF(AU295="","",IF(OR(AZ295=8,AZ295=9),0,IF(OR(AW295=3,AW295=4,AW295=5,AW295=6),IF(LEFT(BF295,1)="1",INDEX(係数_NOX・PM低減,MATCH(AY295,【参考】排出係数!$AI$801:$AI$804,1),1),VLOOKUP(AU295,INDEX((係数_バス貨物_ガソリン,係数_バス貨物_CNG,係数_バス貨物_軽油,係数_バス貨物_メタノール,係数_バス貨物_LPG),MATCH(AY295,【参考】排出係数!$AI$4:$AI$671,1),1,BE295):INDEX((係数_バス貨物_ガソリン,係数_バス貨物_CNG,係数_バス貨物_軽油,係数_バス貨物_メタノール,係数_バス貨物_LPG),MATCH(AY295+1,【参考】排出係数!$AI$4:$AI$671,1)-1,5,BE295),4,FALSE)),IF(AND(BE295=3,LEFT(BF295,1)="1"),0.48,VLOOKUP(AU295,INDEX((係数_乗用_ガソリン,係数_乗用_CNG,係数_乗用_軽油,係数_乗用_メタノール,係数_乗用_LPG),1,1,BE295):INDEX((係数_乗用_ガソリン,係数_乗用_CNG,係数_乗用_軽油,係数_乗用_メタノール,係数_乗用_LPG),125,5,BE295),4,FALSE)))))</f>
        <v/>
      </c>
      <c r="AL295" s="461" t="str">
        <f t="shared" si="164"/>
        <v/>
      </c>
      <c r="AM295" s="460" t="str">
        <f>IF(AU295="","",IF(OR(AZ295=8,AZ295=9),0,IF(OR(AW295=3,AW295=4,AW295=5,AW295=6),IF(LEFT(BH295,1)="1",INDEX(係数_PM低減,MATCH(AY295,【参考】排出係数!$AI$801:$AI$804,1),MATCH(BI295,【参考】排出係数!$AL$798:$AO$798,1)),VLOOKUP(AU295,INDEX((係数_バス貨物_ガソリン,係数_バス貨物_CNG,係数_バス貨物_軽油,係数_バス貨物_メタノール,係数_バス貨物_LPG),MATCH(AY295,【参考】排出係数!$AI$4:$AI$671,1),1,BE295):INDEX((係数_バス貨物_ガソリン,係数_バス貨物_CNG,係数_バス貨物_軽油,係数_バス貨物_メタノール,係数_バス貨物_LPG),MATCH(AY295+1,【参考】排出係数!$AI$4:$AI$671,1)-1,5,BE295),5,FALSE)),IF(AND(BE295=3,LEFT(BF295,1)="1"),0.055,VLOOKUP(AU295,INDEX((係数_乗用_ガソリン,係数_乗用_CNG,係数_乗用_軽油,係数_乗用_メタノール,係数_乗用_LPG),1,1,BE295):INDEX((係数_乗用_ガソリン,係数_乗用_CNG,係数_乗用_軽油,係数_乗用_メタノール,係数_乗用_LPG),125,5,BE295),5,FALSE)))))</f>
        <v/>
      </c>
      <c r="AN295" s="461" t="str">
        <f t="shared" si="165"/>
        <v/>
      </c>
      <c r="AO295" s="462" t="str">
        <f t="shared" si="166"/>
        <v/>
      </c>
      <c r="AP295" s="463" t="str">
        <f t="shared" si="167"/>
        <v/>
      </c>
      <c r="AQ295" s="464"/>
      <c r="AR295" s="619"/>
      <c r="AS295" s="465" t="str">
        <f t="shared" si="146"/>
        <v/>
      </c>
      <c r="AT295" s="465" t="str">
        <f t="shared" si="147"/>
        <v/>
      </c>
      <c r="AU295" s="466" t="str">
        <f t="shared" si="148"/>
        <v/>
      </c>
      <c r="AV295" s="467" t="str">
        <f t="shared" si="149"/>
        <v/>
      </c>
      <c r="AW295" s="467" t="str">
        <f t="shared" si="150"/>
        <v/>
      </c>
      <c r="AX295" s="467" t="str">
        <f t="shared" si="151"/>
        <v/>
      </c>
      <c r="AY295" s="467" t="str">
        <f t="shared" si="152"/>
        <v/>
      </c>
      <c r="AZ295" s="467" t="str">
        <f t="shared" si="153"/>
        <v/>
      </c>
      <c r="BA295" s="468" t="str">
        <f>IF(AS295="","",IF(OR(AU295="",AU295="-"),"－",IF(OR(AZ295=8,AZ295=9),"",IF(OR(AW295=3,AW295=4,AW295=5,AW295=6),VLOOKUP(AU295,INDEX((係数_バス貨物_ガソリン,係数_バス貨物_CNG,係数_バス貨物_軽油,係数_バス貨物_メタノール,係数_バス貨物_LPG),MATCH(AY295,【参考】排出係数!$AI$4:$AI$671,1),1,BE295):INDEX((係数_バス貨物_ガソリン,係数_バス貨物_CNG,係数_バス貨物_軽油,係数_バス貨物_メタノール,係数_バス貨物_LPG),MATCH(AY295+1,【参考】排出係数!$AI$4:$AI$671,1)-1,5,BE295),2,FALSE),IF(OR(AW295=1,AW295=2),VLOOKUP(AU295,INDEX((係数_乗用_ガソリン,係数_乗用_CNG,係数_乗用_軽油,係数_乗用_メタノール,係数_乗用_LPG),1,1,BE295):INDEX((係数_乗用_ガソリン,係数_乗用_CNG,係数_乗用_軽油,係数_乗用_メタノール,係数_乗用_LPG),125,5,BE295),2,FALSE))))))</f>
        <v/>
      </c>
      <c r="BB295" s="468" t="str">
        <f>IF(T295="","",IF(OR(AU295="",AU295="-"),"－",IF(OR(AZ295=8,AZ295=9),"",IF(OR(AW295=3,AW295=4,AW295=5,AW295=6),VLOOKUP(AU295,INDEX((係数_バス貨物_ガソリン,係数_バス貨物_CNG,係数_バス貨物_軽油,係数_バス貨物_メタノール,係数_バス貨物_LPG),MATCH(AY295,【参考】排出係数!$AI$4:$AI$671,1),1,BE295):INDEX((係数_バス貨物_ガソリン,係数_バス貨物_CNG,係数_バス貨物_軽油,係数_バス貨物_メタノール,係数_バス貨物_LPG),MATCH(AY295+1,【参考】排出係数!$AI$4:$AI$671,1)-1,5,BE295),3,FALSE),IF(OR(AW295=1,AW295=2),VLOOKUP(AU295,INDEX((係数_乗用_ガソリン,係数_乗用_CNG,係数_乗用_軽油,係数_乗用_メタノール,係数_乗用_LPG),1,1,BE295):INDEX((係数_乗用_ガソリン,係数_乗用_CNG,係数_乗用_軽油,係数_乗用_メタノール,係数_乗用_LPG),125,5,BE295),3,FALSE))))))</f>
        <v/>
      </c>
      <c r="BC295" s="467" t="str">
        <f t="shared" si="154"/>
        <v/>
      </c>
      <c r="BD295" s="567" t="str">
        <f t="shared" si="155"/>
        <v/>
      </c>
      <c r="BE295" s="467" t="str">
        <f t="shared" si="156"/>
        <v/>
      </c>
      <c r="BF295" s="469" t="str">
        <f t="shared" ca="1" si="157"/>
        <v/>
      </c>
      <c r="BG295" s="469" t="str">
        <f t="shared" ca="1" si="158"/>
        <v/>
      </c>
      <c r="BH295" s="467" t="str">
        <f t="shared" si="159"/>
        <v/>
      </c>
      <c r="BI295" s="467" t="str">
        <f t="shared" ca="1" si="160"/>
        <v/>
      </c>
      <c r="BJ295" s="469" t="str">
        <f t="shared" si="161"/>
        <v/>
      </c>
      <c r="BK295" s="470" t="str">
        <f t="shared" si="141"/>
        <v/>
      </c>
      <c r="BL295" s="775" t="str">
        <f t="shared" si="162"/>
        <v/>
      </c>
      <c r="BM295" s="775" t="str">
        <f t="shared" si="163"/>
        <v/>
      </c>
    </row>
    <row r="296" spans="1:65">
      <c r="A296" s="473">
        <v>240</v>
      </c>
      <c r="B296" s="132"/>
      <c r="C296" s="332"/>
      <c r="D296" s="333"/>
      <c r="E296" s="333"/>
      <c r="F296" s="334"/>
      <c r="G296" s="337"/>
      <c r="H296" s="131"/>
      <c r="I296" s="337"/>
      <c r="J296" s="131"/>
      <c r="K296" s="458" t="str">
        <f t="shared" si="130"/>
        <v/>
      </c>
      <c r="L296" s="458">
        <f t="shared" si="142"/>
        <v>0</v>
      </c>
      <c r="M296" s="458">
        <f t="shared" si="143"/>
        <v>0</v>
      </c>
      <c r="N296" s="459" t="str">
        <f t="shared" si="131"/>
        <v/>
      </c>
      <c r="O296" s="459" t="str">
        <f t="shared" si="132"/>
        <v/>
      </c>
      <c r="P296" s="459" t="str">
        <f t="shared" si="133"/>
        <v/>
      </c>
      <c r="Q296" s="459" t="str">
        <f t="shared" si="134"/>
        <v/>
      </c>
      <c r="R296" s="459" t="str">
        <f t="shared" si="135"/>
        <v/>
      </c>
      <c r="S296" s="459" t="str">
        <f t="shared" si="136"/>
        <v/>
      </c>
      <c r="T296" s="566" t="str">
        <f t="shared" si="144"/>
        <v/>
      </c>
      <c r="U296" s="702"/>
      <c r="V296" s="132"/>
      <c r="W296" s="133"/>
      <c r="X296" s="134"/>
      <c r="Y296" s="135"/>
      <c r="Z296" s="137"/>
      <c r="AA296" s="136"/>
      <c r="AB296" s="566" t="str">
        <f t="shared" si="137"/>
        <v/>
      </c>
      <c r="AC296" s="568" t="str">
        <f t="shared" si="145"/>
        <v/>
      </c>
      <c r="AD296" s="137"/>
      <c r="AE296" s="137"/>
      <c r="AF296" s="138"/>
      <c r="AG296" s="138"/>
      <c r="AH296" s="592" t="str">
        <f t="shared" si="138"/>
        <v/>
      </c>
      <c r="AI296" s="592" t="str">
        <f t="shared" si="139"/>
        <v/>
      </c>
      <c r="AJ296" s="592" t="str">
        <f t="shared" si="140"/>
        <v/>
      </c>
      <c r="AK296" s="460" t="str">
        <f>IF(AU296="","",IF(OR(AZ296=8,AZ296=9),0,IF(OR(AW296=3,AW296=4,AW296=5,AW296=6),IF(LEFT(BF296,1)="1",INDEX(係数_NOX・PM低減,MATCH(AY296,【参考】排出係数!$AI$801:$AI$804,1),1),VLOOKUP(AU296,INDEX((係数_バス貨物_ガソリン,係数_バス貨物_CNG,係数_バス貨物_軽油,係数_バス貨物_メタノール,係数_バス貨物_LPG),MATCH(AY296,【参考】排出係数!$AI$4:$AI$671,1),1,BE296):INDEX((係数_バス貨物_ガソリン,係数_バス貨物_CNG,係数_バス貨物_軽油,係数_バス貨物_メタノール,係数_バス貨物_LPG),MATCH(AY296+1,【参考】排出係数!$AI$4:$AI$671,1)-1,5,BE296),4,FALSE)),IF(AND(BE296=3,LEFT(BF296,1)="1"),0.48,VLOOKUP(AU296,INDEX((係数_乗用_ガソリン,係数_乗用_CNG,係数_乗用_軽油,係数_乗用_メタノール,係数_乗用_LPG),1,1,BE296):INDEX((係数_乗用_ガソリン,係数_乗用_CNG,係数_乗用_軽油,係数_乗用_メタノール,係数_乗用_LPG),125,5,BE296),4,FALSE)))))</f>
        <v/>
      </c>
      <c r="AL296" s="461" t="str">
        <f t="shared" si="164"/>
        <v/>
      </c>
      <c r="AM296" s="460" t="str">
        <f>IF(AU296="","",IF(OR(AZ296=8,AZ296=9),0,IF(OR(AW296=3,AW296=4,AW296=5,AW296=6),IF(LEFT(BH296,1)="1",INDEX(係数_PM低減,MATCH(AY296,【参考】排出係数!$AI$801:$AI$804,1),MATCH(BI296,【参考】排出係数!$AL$798:$AO$798,1)),VLOOKUP(AU296,INDEX((係数_バス貨物_ガソリン,係数_バス貨物_CNG,係数_バス貨物_軽油,係数_バス貨物_メタノール,係数_バス貨物_LPG),MATCH(AY296,【参考】排出係数!$AI$4:$AI$671,1),1,BE296):INDEX((係数_バス貨物_ガソリン,係数_バス貨物_CNG,係数_バス貨物_軽油,係数_バス貨物_メタノール,係数_バス貨物_LPG),MATCH(AY296+1,【参考】排出係数!$AI$4:$AI$671,1)-1,5,BE296),5,FALSE)),IF(AND(BE296=3,LEFT(BF296,1)="1"),0.055,VLOOKUP(AU296,INDEX((係数_乗用_ガソリン,係数_乗用_CNG,係数_乗用_軽油,係数_乗用_メタノール,係数_乗用_LPG),1,1,BE296):INDEX((係数_乗用_ガソリン,係数_乗用_CNG,係数_乗用_軽油,係数_乗用_メタノール,係数_乗用_LPG),125,5,BE296),5,FALSE)))))</f>
        <v/>
      </c>
      <c r="AN296" s="461" t="str">
        <f t="shared" si="165"/>
        <v/>
      </c>
      <c r="AO296" s="462" t="str">
        <f t="shared" si="166"/>
        <v/>
      </c>
      <c r="AP296" s="463" t="str">
        <f t="shared" si="167"/>
        <v/>
      </c>
      <c r="AQ296" s="464"/>
      <c r="AR296" s="619"/>
      <c r="AS296" s="465" t="str">
        <f t="shared" si="146"/>
        <v/>
      </c>
      <c r="AT296" s="465" t="str">
        <f t="shared" si="147"/>
        <v/>
      </c>
      <c r="AU296" s="466" t="str">
        <f t="shared" si="148"/>
        <v/>
      </c>
      <c r="AV296" s="467" t="str">
        <f t="shared" si="149"/>
        <v/>
      </c>
      <c r="AW296" s="467" t="str">
        <f t="shared" si="150"/>
        <v/>
      </c>
      <c r="AX296" s="467" t="str">
        <f t="shared" si="151"/>
        <v/>
      </c>
      <c r="AY296" s="467" t="str">
        <f t="shared" si="152"/>
        <v/>
      </c>
      <c r="AZ296" s="467" t="str">
        <f t="shared" si="153"/>
        <v/>
      </c>
      <c r="BA296" s="468" t="str">
        <f>IF(AS296="","",IF(OR(AU296="",AU296="-"),"－",IF(OR(AZ296=8,AZ296=9),"",IF(OR(AW296=3,AW296=4,AW296=5,AW296=6),VLOOKUP(AU296,INDEX((係数_バス貨物_ガソリン,係数_バス貨物_CNG,係数_バス貨物_軽油,係数_バス貨物_メタノール,係数_バス貨物_LPG),MATCH(AY296,【参考】排出係数!$AI$4:$AI$671,1),1,BE296):INDEX((係数_バス貨物_ガソリン,係数_バス貨物_CNG,係数_バス貨物_軽油,係数_バス貨物_メタノール,係数_バス貨物_LPG),MATCH(AY296+1,【参考】排出係数!$AI$4:$AI$671,1)-1,5,BE296),2,FALSE),IF(OR(AW296=1,AW296=2),VLOOKUP(AU296,INDEX((係数_乗用_ガソリン,係数_乗用_CNG,係数_乗用_軽油,係数_乗用_メタノール,係数_乗用_LPG),1,1,BE296):INDEX((係数_乗用_ガソリン,係数_乗用_CNG,係数_乗用_軽油,係数_乗用_メタノール,係数_乗用_LPG),125,5,BE296),2,FALSE))))))</f>
        <v/>
      </c>
      <c r="BB296" s="468" t="str">
        <f>IF(T296="","",IF(OR(AU296="",AU296="-"),"－",IF(OR(AZ296=8,AZ296=9),"",IF(OR(AW296=3,AW296=4,AW296=5,AW296=6),VLOOKUP(AU296,INDEX((係数_バス貨物_ガソリン,係数_バス貨物_CNG,係数_バス貨物_軽油,係数_バス貨物_メタノール,係数_バス貨物_LPG),MATCH(AY296,【参考】排出係数!$AI$4:$AI$671,1),1,BE296):INDEX((係数_バス貨物_ガソリン,係数_バス貨物_CNG,係数_バス貨物_軽油,係数_バス貨物_メタノール,係数_バス貨物_LPG),MATCH(AY296+1,【参考】排出係数!$AI$4:$AI$671,1)-1,5,BE296),3,FALSE),IF(OR(AW296=1,AW296=2),VLOOKUP(AU296,INDEX((係数_乗用_ガソリン,係数_乗用_CNG,係数_乗用_軽油,係数_乗用_メタノール,係数_乗用_LPG),1,1,BE296):INDEX((係数_乗用_ガソリン,係数_乗用_CNG,係数_乗用_軽油,係数_乗用_メタノール,係数_乗用_LPG),125,5,BE296),3,FALSE))))))</f>
        <v/>
      </c>
      <c r="BC296" s="467" t="str">
        <f t="shared" si="154"/>
        <v/>
      </c>
      <c r="BD296" s="567" t="str">
        <f t="shared" si="155"/>
        <v/>
      </c>
      <c r="BE296" s="467" t="str">
        <f t="shared" si="156"/>
        <v/>
      </c>
      <c r="BF296" s="469" t="str">
        <f t="shared" ca="1" si="157"/>
        <v/>
      </c>
      <c r="BG296" s="469" t="str">
        <f t="shared" ca="1" si="158"/>
        <v/>
      </c>
      <c r="BH296" s="467" t="str">
        <f t="shared" si="159"/>
        <v/>
      </c>
      <c r="BI296" s="467" t="str">
        <f t="shared" ca="1" si="160"/>
        <v/>
      </c>
      <c r="BJ296" s="469" t="str">
        <f t="shared" si="161"/>
        <v/>
      </c>
      <c r="BK296" s="470" t="str">
        <f t="shared" si="141"/>
        <v/>
      </c>
      <c r="BL296" s="775" t="str">
        <f t="shared" si="162"/>
        <v/>
      </c>
      <c r="BM296" s="775" t="str">
        <f t="shared" si="163"/>
        <v/>
      </c>
    </row>
    <row r="297" spans="1:65">
      <c r="A297" s="473">
        <v>241</v>
      </c>
      <c r="B297" s="132"/>
      <c r="C297" s="332"/>
      <c r="D297" s="333"/>
      <c r="E297" s="333"/>
      <c r="F297" s="334"/>
      <c r="G297" s="337"/>
      <c r="H297" s="131"/>
      <c r="I297" s="337"/>
      <c r="J297" s="131"/>
      <c r="K297" s="458" t="str">
        <f t="shared" si="130"/>
        <v/>
      </c>
      <c r="L297" s="458">
        <f t="shared" si="142"/>
        <v>0</v>
      </c>
      <c r="M297" s="458">
        <f t="shared" si="143"/>
        <v>0</v>
      </c>
      <c r="N297" s="459" t="str">
        <f t="shared" si="131"/>
        <v/>
      </c>
      <c r="O297" s="459" t="str">
        <f t="shared" si="132"/>
        <v/>
      </c>
      <c r="P297" s="459" t="str">
        <f t="shared" si="133"/>
        <v/>
      </c>
      <c r="Q297" s="459" t="str">
        <f t="shared" si="134"/>
        <v/>
      </c>
      <c r="R297" s="459" t="str">
        <f t="shared" si="135"/>
        <v/>
      </c>
      <c r="S297" s="459" t="str">
        <f t="shared" si="136"/>
        <v/>
      </c>
      <c r="T297" s="566" t="str">
        <f t="shared" si="144"/>
        <v/>
      </c>
      <c r="U297" s="702"/>
      <c r="V297" s="132"/>
      <c r="W297" s="133"/>
      <c r="X297" s="134"/>
      <c r="Y297" s="135"/>
      <c r="Z297" s="137"/>
      <c r="AA297" s="136"/>
      <c r="AB297" s="566" t="str">
        <f>IF(AS297="","",IF(AZ297=1,VLOOKUP(BA297,低公害車判別,2,FALSE),IF(AZ297=3,VLOOKUP(BA297,低公害車判別,2,FALSE),IF(AZ297=4,VLOOKUP(BB297,低公害車判別,2,FALSE),"低公害車"))))</f>
        <v/>
      </c>
      <c r="AC297" s="568" t="str">
        <f t="shared" si="145"/>
        <v/>
      </c>
      <c r="AD297" s="137"/>
      <c r="AE297" s="137"/>
      <c r="AF297" s="138"/>
      <c r="AG297" s="138"/>
      <c r="AH297" s="592" t="str">
        <f t="shared" si="138"/>
        <v/>
      </c>
      <c r="AI297" s="592" t="str">
        <f t="shared" si="139"/>
        <v/>
      </c>
      <c r="AJ297" s="592" t="str">
        <f t="shared" si="140"/>
        <v/>
      </c>
      <c r="AK297" s="460" t="str">
        <f>IF(AU297="","",IF(OR(AZ297=8,AZ297=9),0,IF(OR(AW297=3,AW297=4,AW297=5,AW297=6),IF(LEFT(BF297,1)="1",INDEX(係数_NOX・PM低減,MATCH(AY297,【参考】排出係数!$AI$801:$AI$804,1),1),VLOOKUP(AU297,INDEX((係数_バス貨物_ガソリン,係数_バス貨物_CNG,係数_バス貨物_軽油,係数_バス貨物_メタノール,係数_バス貨物_LPG),MATCH(AY297,【参考】排出係数!$AI$4:$AI$671,1),1,BE297):INDEX((係数_バス貨物_ガソリン,係数_バス貨物_CNG,係数_バス貨物_軽油,係数_バス貨物_メタノール,係数_バス貨物_LPG),MATCH(AY297+1,【参考】排出係数!$AI$4:$AI$671,1)-1,5,BE297),4,FALSE)),IF(AND(BE297=3,LEFT(BF297,1)="1"),0.48,VLOOKUP(AU297,INDEX((係数_乗用_ガソリン,係数_乗用_CNG,係数_乗用_軽油,係数_乗用_メタノール,係数_乗用_LPG),1,1,BE297):INDEX((係数_乗用_ガソリン,係数_乗用_CNG,係数_乗用_軽油,係数_乗用_メタノール,係数_乗用_LPG),125,5,BE297),4,FALSE)))))</f>
        <v/>
      </c>
      <c r="AL297" s="461" t="str">
        <f t="shared" si="164"/>
        <v/>
      </c>
      <c r="AM297" s="460" t="str">
        <f>IF(AU297="","",IF(OR(AZ297=8,AZ297=9),0,IF(OR(AW297=3,AW297=4,AW297=5,AW297=6),IF(LEFT(BH297,1)="1",INDEX(係数_PM低減,MATCH(AY297,【参考】排出係数!$AI$801:$AI$804,1),MATCH(BI297,【参考】排出係数!$AL$798:$AO$798,1)),VLOOKUP(AU297,INDEX((係数_バス貨物_ガソリン,係数_バス貨物_CNG,係数_バス貨物_軽油,係数_バス貨物_メタノール,係数_バス貨物_LPG),MATCH(AY297,【参考】排出係数!$AI$4:$AI$671,1),1,BE297):INDEX((係数_バス貨物_ガソリン,係数_バス貨物_CNG,係数_バス貨物_軽油,係数_バス貨物_メタノール,係数_バス貨物_LPG),MATCH(AY297+1,【参考】排出係数!$AI$4:$AI$671,1)-1,5,BE297),5,FALSE)),IF(AND(BE297=3,LEFT(BF297,1)="1"),0.055,VLOOKUP(AU297,INDEX((係数_乗用_ガソリン,係数_乗用_CNG,係数_乗用_軽油,係数_乗用_メタノール,係数_乗用_LPG),1,1,BE297):INDEX((係数_乗用_ガソリン,係数_乗用_CNG,係数_乗用_軽油,係数_乗用_メタノール,係数_乗用_LPG),125,5,BE297),5,FALSE)))))</f>
        <v/>
      </c>
      <c r="AN297" s="461" t="str">
        <f t="shared" si="165"/>
        <v/>
      </c>
      <c r="AO297" s="462" t="str">
        <f t="shared" si="166"/>
        <v/>
      </c>
      <c r="AP297" s="463" t="str">
        <f t="shared" si="167"/>
        <v/>
      </c>
      <c r="AQ297" s="464"/>
      <c r="AR297" s="619"/>
      <c r="AS297" s="465" t="str">
        <f t="shared" si="146"/>
        <v/>
      </c>
      <c r="AT297" s="465" t="str">
        <f t="shared" si="147"/>
        <v/>
      </c>
      <c r="AU297" s="466" t="str">
        <f t="shared" si="148"/>
        <v/>
      </c>
      <c r="AV297" s="467" t="str">
        <f t="shared" si="149"/>
        <v/>
      </c>
      <c r="AW297" s="467" t="str">
        <f t="shared" si="150"/>
        <v/>
      </c>
      <c r="AX297" s="467" t="str">
        <f t="shared" si="151"/>
        <v/>
      </c>
      <c r="AY297" s="467" t="str">
        <f t="shared" si="152"/>
        <v/>
      </c>
      <c r="AZ297" s="467" t="str">
        <f t="shared" si="153"/>
        <v/>
      </c>
      <c r="BA297" s="468" t="str">
        <f>IF(AS297="","",IF(OR(AU297="",AU297="-"),"－",IF(OR(AZ297=8,AZ297=9),"",IF(OR(AW297=3,AW297=4,AW297=5,AW297=6),VLOOKUP(AU297,INDEX((係数_バス貨物_ガソリン,係数_バス貨物_CNG,係数_バス貨物_軽油,係数_バス貨物_メタノール,係数_バス貨物_LPG),MATCH(AY297,【参考】排出係数!$AI$4:$AI$671,1),1,BE297):INDEX((係数_バス貨物_ガソリン,係数_バス貨物_CNG,係数_バス貨物_軽油,係数_バス貨物_メタノール,係数_バス貨物_LPG),MATCH(AY297+1,【参考】排出係数!$AI$4:$AI$671,1)-1,5,BE297),2,FALSE),IF(OR(AW297=1,AW297=2),VLOOKUP(AU297,INDEX((係数_乗用_ガソリン,係数_乗用_CNG,係数_乗用_軽油,係数_乗用_メタノール,係数_乗用_LPG),1,1,BE297):INDEX((係数_乗用_ガソリン,係数_乗用_CNG,係数_乗用_軽油,係数_乗用_メタノール,係数_乗用_LPG),125,5,BE297),2,FALSE))))))</f>
        <v/>
      </c>
      <c r="BB297" s="468" t="str">
        <f>IF(T297="","",IF(OR(AU297="",AU297="-"),"－",IF(OR(AZ297=8,AZ297=9),"",IF(OR(AW297=3,AW297=4,AW297=5,AW297=6),VLOOKUP(AU297,INDEX((係数_バス貨物_ガソリン,係数_バス貨物_CNG,係数_バス貨物_軽油,係数_バス貨物_メタノール,係数_バス貨物_LPG),MATCH(AY297,【参考】排出係数!$AI$4:$AI$671,1),1,BE297):INDEX((係数_バス貨物_ガソリン,係数_バス貨物_CNG,係数_バス貨物_軽油,係数_バス貨物_メタノール,係数_バス貨物_LPG),MATCH(AY297+1,【参考】排出係数!$AI$4:$AI$671,1)-1,5,BE297),3,FALSE),IF(OR(AW297=1,AW297=2),VLOOKUP(AU297,INDEX((係数_乗用_ガソリン,係数_乗用_CNG,係数_乗用_軽油,係数_乗用_メタノール,係数_乗用_LPG),1,1,BE297):INDEX((係数_乗用_ガソリン,係数_乗用_CNG,係数_乗用_軽油,係数_乗用_メタノール,係数_乗用_LPG),125,5,BE297),3,FALSE))))))</f>
        <v/>
      </c>
      <c r="BC297" s="467" t="str">
        <f t="shared" si="154"/>
        <v/>
      </c>
      <c r="BD297" s="567" t="str">
        <f t="shared" si="155"/>
        <v/>
      </c>
      <c r="BE297" s="467" t="str">
        <f t="shared" si="156"/>
        <v/>
      </c>
      <c r="BF297" s="469" t="str">
        <f t="shared" ca="1" si="157"/>
        <v/>
      </c>
      <c r="BG297" s="469" t="str">
        <f t="shared" ca="1" si="158"/>
        <v/>
      </c>
      <c r="BH297" s="467" t="str">
        <f t="shared" si="159"/>
        <v/>
      </c>
      <c r="BI297" s="467" t="str">
        <f t="shared" ca="1" si="160"/>
        <v/>
      </c>
      <c r="BJ297" s="469" t="str">
        <f t="shared" si="161"/>
        <v/>
      </c>
      <c r="BK297" s="470" t="str">
        <f t="shared" si="141"/>
        <v/>
      </c>
      <c r="BL297" s="775" t="str">
        <f t="shared" si="162"/>
        <v/>
      </c>
      <c r="BM297" s="775" t="str">
        <f t="shared" si="163"/>
        <v/>
      </c>
    </row>
    <row r="298" spans="1:65">
      <c r="A298" s="473">
        <v>242</v>
      </c>
      <c r="B298" s="132"/>
      <c r="C298" s="332"/>
      <c r="D298" s="333"/>
      <c r="E298" s="333"/>
      <c r="F298" s="334"/>
      <c r="G298" s="337"/>
      <c r="H298" s="131"/>
      <c r="I298" s="337"/>
      <c r="J298" s="131"/>
      <c r="K298" s="458" t="str">
        <f t="shared" si="130"/>
        <v/>
      </c>
      <c r="L298" s="458">
        <f t="shared" si="142"/>
        <v>0</v>
      </c>
      <c r="M298" s="458">
        <f t="shared" si="143"/>
        <v>0</v>
      </c>
      <c r="N298" s="459" t="str">
        <f t="shared" si="131"/>
        <v/>
      </c>
      <c r="O298" s="459" t="str">
        <f t="shared" si="132"/>
        <v/>
      </c>
      <c r="P298" s="459" t="str">
        <f t="shared" si="133"/>
        <v/>
      </c>
      <c r="Q298" s="459" t="str">
        <f t="shared" si="134"/>
        <v/>
      </c>
      <c r="R298" s="459" t="str">
        <f t="shared" si="135"/>
        <v/>
      </c>
      <c r="S298" s="459" t="str">
        <f t="shared" si="136"/>
        <v/>
      </c>
      <c r="T298" s="566" t="str">
        <f t="shared" si="144"/>
        <v/>
      </c>
      <c r="U298" s="702"/>
      <c r="V298" s="132"/>
      <c r="W298" s="133"/>
      <c r="X298" s="134"/>
      <c r="Y298" s="135"/>
      <c r="Z298" s="137"/>
      <c r="AA298" s="136"/>
      <c r="AB298" s="566" t="str">
        <f t="shared" si="137"/>
        <v/>
      </c>
      <c r="AC298" s="568" t="str">
        <f t="shared" si="145"/>
        <v/>
      </c>
      <c r="AD298" s="137"/>
      <c r="AE298" s="137"/>
      <c r="AF298" s="138"/>
      <c r="AG298" s="138"/>
      <c r="AH298" s="592" t="str">
        <f t="shared" si="138"/>
        <v/>
      </c>
      <c r="AI298" s="592" t="str">
        <f t="shared" si="139"/>
        <v/>
      </c>
      <c r="AJ298" s="592" t="str">
        <f t="shared" si="140"/>
        <v/>
      </c>
      <c r="AK298" s="460" t="str">
        <f>IF(AU298="","",IF(OR(AZ298=8,AZ298=9),0,IF(OR(AW298=3,AW298=4,AW298=5,AW298=6),IF(LEFT(BF298,1)="1",INDEX(係数_NOX・PM低減,MATCH(AY298,【参考】排出係数!$AI$801:$AI$804,1),1),VLOOKUP(AU298,INDEX((係数_バス貨物_ガソリン,係数_バス貨物_CNG,係数_バス貨物_軽油,係数_バス貨物_メタノール,係数_バス貨物_LPG),MATCH(AY298,【参考】排出係数!$AI$4:$AI$671,1),1,BE298):INDEX((係数_バス貨物_ガソリン,係数_バス貨物_CNG,係数_バス貨物_軽油,係数_バス貨物_メタノール,係数_バス貨物_LPG),MATCH(AY298+1,【参考】排出係数!$AI$4:$AI$671,1)-1,5,BE298),4,FALSE)),IF(AND(BE298=3,LEFT(BF298,1)="1"),0.48,VLOOKUP(AU298,INDEX((係数_乗用_ガソリン,係数_乗用_CNG,係数_乗用_軽油,係数_乗用_メタノール,係数_乗用_LPG),1,1,BE298):INDEX((係数_乗用_ガソリン,係数_乗用_CNG,係数_乗用_軽油,係数_乗用_メタノール,係数_乗用_LPG),125,5,BE298),4,FALSE)))))</f>
        <v/>
      </c>
      <c r="AL298" s="461" t="str">
        <f t="shared" si="164"/>
        <v/>
      </c>
      <c r="AM298" s="460" t="str">
        <f>IF(AU298="","",IF(OR(AZ298=8,AZ298=9),0,IF(OR(AW298=3,AW298=4,AW298=5,AW298=6),IF(LEFT(BH298,1)="1",INDEX(係数_PM低減,MATCH(AY298,【参考】排出係数!$AI$801:$AI$804,1),MATCH(BI298,【参考】排出係数!$AL$798:$AO$798,1)),VLOOKUP(AU298,INDEX((係数_バス貨物_ガソリン,係数_バス貨物_CNG,係数_バス貨物_軽油,係数_バス貨物_メタノール,係数_バス貨物_LPG),MATCH(AY298,【参考】排出係数!$AI$4:$AI$671,1),1,BE298):INDEX((係数_バス貨物_ガソリン,係数_バス貨物_CNG,係数_バス貨物_軽油,係数_バス貨物_メタノール,係数_バス貨物_LPG),MATCH(AY298+1,【参考】排出係数!$AI$4:$AI$671,1)-1,5,BE298),5,FALSE)),IF(AND(BE298=3,LEFT(BF298,1)="1"),0.055,VLOOKUP(AU298,INDEX((係数_乗用_ガソリン,係数_乗用_CNG,係数_乗用_軽油,係数_乗用_メタノール,係数_乗用_LPG),1,1,BE298):INDEX((係数_乗用_ガソリン,係数_乗用_CNG,係数_乗用_軽油,係数_乗用_メタノール,係数_乗用_LPG),125,5,BE298),5,FALSE)))))</f>
        <v/>
      </c>
      <c r="AN298" s="461" t="str">
        <f t="shared" si="165"/>
        <v/>
      </c>
      <c r="AO298" s="462" t="str">
        <f t="shared" si="166"/>
        <v/>
      </c>
      <c r="AP298" s="463" t="str">
        <f t="shared" si="167"/>
        <v/>
      </c>
      <c r="AQ298" s="464"/>
      <c r="AR298" s="619"/>
      <c r="AS298" s="465" t="str">
        <f t="shared" si="146"/>
        <v/>
      </c>
      <c r="AT298" s="465" t="str">
        <f t="shared" si="147"/>
        <v/>
      </c>
      <c r="AU298" s="466" t="str">
        <f t="shared" si="148"/>
        <v/>
      </c>
      <c r="AV298" s="467" t="str">
        <f t="shared" si="149"/>
        <v/>
      </c>
      <c r="AW298" s="467" t="str">
        <f t="shared" si="150"/>
        <v/>
      </c>
      <c r="AX298" s="467" t="str">
        <f t="shared" si="151"/>
        <v/>
      </c>
      <c r="AY298" s="467" t="str">
        <f t="shared" si="152"/>
        <v/>
      </c>
      <c r="AZ298" s="467" t="str">
        <f t="shared" si="153"/>
        <v/>
      </c>
      <c r="BA298" s="468" t="str">
        <f>IF(AS298="","",IF(OR(AU298="",AU298="-"),"－",IF(OR(AZ298=8,AZ298=9),"",IF(OR(AW298=3,AW298=4,AW298=5,AW298=6),VLOOKUP(AU298,INDEX((係数_バス貨物_ガソリン,係数_バス貨物_CNG,係数_バス貨物_軽油,係数_バス貨物_メタノール,係数_バス貨物_LPG),MATCH(AY298,【参考】排出係数!$AI$4:$AI$671,1),1,BE298):INDEX((係数_バス貨物_ガソリン,係数_バス貨物_CNG,係数_バス貨物_軽油,係数_バス貨物_メタノール,係数_バス貨物_LPG),MATCH(AY298+1,【参考】排出係数!$AI$4:$AI$671,1)-1,5,BE298),2,FALSE),IF(OR(AW298=1,AW298=2),VLOOKUP(AU298,INDEX((係数_乗用_ガソリン,係数_乗用_CNG,係数_乗用_軽油,係数_乗用_メタノール,係数_乗用_LPG),1,1,BE298):INDEX((係数_乗用_ガソリン,係数_乗用_CNG,係数_乗用_軽油,係数_乗用_メタノール,係数_乗用_LPG),125,5,BE298),2,FALSE))))))</f>
        <v/>
      </c>
      <c r="BB298" s="468" t="str">
        <f>IF(T298="","",IF(OR(AU298="",AU298="-"),"－",IF(OR(AZ298=8,AZ298=9),"",IF(OR(AW298=3,AW298=4,AW298=5,AW298=6),VLOOKUP(AU298,INDEX((係数_バス貨物_ガソリン,係数_バス貨物_CNG,係数_バス貨物_軽油,係数_バス貨物_メタノール,係数_バス貨物_LPG),MATCH(AY298,【参考】排出係数!$AI$4:$AI$671,1),1,BE298):INDEX((係数_バス貨物_ガソリン,係数_バス貨物_CNG,係数_バス貨物_軽油,係数_バス貨物_メタノール,係数_バス貨物_LPG),MATCH(AY298+1,【参考】排出係数!$AI$4:$AI$671,1)-1,5,BE298),3,FALSE),IF(OR(AW298=1,AW298=2),VLOOKUP(AU298,INDEX((係数_乗用_ガソリン,係数_乗用_CNG,係数_乗用_軽油,係数_乗用_メタノール,係数_乗用_LPG),1,1,BE298):INDEX((係数_乗用_ガソリン,係数_乗用_CNG,係数_乗用_軽油,係数_乗用_メタノール,係数_乗用_LPG),125,5,BE298),3,FALSE))))))</f>
        <v/>
      </c>
      <c r="BC298" s="467" t="str">
        <f t="shared" si="154"/>
        <v/>
      </c>
      <c r="BD298" s="567" t="str">
        <f t="shared" si="155"/>
        <v/>
      </c>
      <c r="BE298" s="467" t="str">
        <f t="shared" si="156"/>
        <v/>
      </c>
      <c r="BF298" s="469" t="str">
        <f t="shared" ca="1" si="157"/>
        <v/>
      </c>
      <c r="BG298" s="469" t="str">
        <f t="shared" ca="1" si="158"/>
        <v/>
      </c>
      <c r="BH298" s="467" t="str">
        <f t="shared" si="159"/>
        <v/>
      </c>
      <c r="BI298" s="467" t="str">
        <f t="shared" ca="1" si="160"/>
        <v/>
      </c>
      <c r="BJ298" s="469" t="str">
        <f t="shared" si="161"/>
        <v/>
      </c>
      <c r="BK298" s="470" t="str">
        <f t="shared" si="141"/>
        <v/>
      </c>
      <c r="BL298" s="775" t="str">
        <f t="shared" si="162"/>
        <v/>
      </c>
      <c r="BM298" s="775" t="str">
        <f t="shared" si="163"/>
        <v/>
      </c>
    </row>
    <row r="299" spans="1:65">
      <c r="A299" s="473">
        <v>243</v>
      </c>
      <c r="B299" s="132"/>
      <c r="C299" s="332"/>
      <c r="D299" s="333"/>
      <c r="E299" s="333"/>
      <c r="F299" s="334"/>
      <c r="G299" s="337"/>
      <c r="H299" s="131"/>
      <c r="I299" s="337"/>
      <c r="J299" s="131"/>
      <c r="K299" s="458" t="str">
        <f t="shared" si="130"/>
        <v/>
      </c>
      <c r="L299" s="458">
        <f t="shared" si="142"/>
        <v>0</v>
      </c>
      <c r="M299" s="458">
        <f t="shared" si="143"/>
        <v>0</v>
      </c>
      <c r="N299" s="459" t="str">
        <f t="shared" si="131"/>
        <v/>
      </c>
      <c r="O299" s="459" t="str">
        <f t="shared" si="132"/>
        <v/>
      </c>
      <c r="P299" s="459" t="str">
        <f t="shared" si="133"/>
        <v/>
      </c>
      <c r="Q299" s="459" t="str">
        <f t="shared" si="134"/>
        <v/>
      </c>
      <c r="R299" s="459" t="str">
        <f t="shared" si="135"/>
        <v/>
      </c>
      <c r="S299" s="459" t="str">
        <f t="shared" si="136"/>
        <v/>
      </c>
      <c r="T299" s="566" t="str">
        <f t="shared" si="144"/>
        <v/>
      </c>
      <c r="U299" s="702"/>
      <c r="V299" s="132"/>
      <c r="W299" s="133"/>
      <c r="X299" s="134"/>
      <c r="Y299" s="135"/>
      <c r="Z299" s="137"/>
      <c r="AA299" s="136"/>
      <c r="AB299" s="566" t="str">
        <f t="shared" si="137"/>
        <v/>
      </c>
      <c r="AC299" s="568" t="str">
        <f>IF(AS299="","",IF((BA299="")+(BA299="－"),IF((BB299="")+(BB299=0),"－",BB299),IF((BA299="PM☆☆☆")+(BA299="☆及びPM☆☆☆")+(BA299="☆☆及びPM☆☆☆")+(BA299="☆☆☆及びPM☆☆☆"),"PM☆☆☆",IF((BA299="PM☆☆☆☆")+(BA299="☆及びPM☆☆☆☆")+(BA299="☆☆及びPM☆☆☆☆")+(BA299="☆☆☆及びPM☆☆☆☆"),"PM☆☆☆☆",IF((BA299="新☆")+(BA299="新NOx☆")+(BA299="新PM☆"),"新☆（新長期）",BA299)))))</f>
        <v/>
      </c>
      <c r="AD299" s="137"/>
      <c r="AE299" s="137"/>
      <c r="AF299" s="138"/>
      <c r="AG299" s="138"/>
      <c r="AH299" s="592" t="str">
        <f t="shared" si="138"/>
        <v/>
      </c>
      <c r="AI299" s="592" t="str">
        <f t="shared" si="139"/>
        <v/>
      </c>
      <c r="AJ299" s="592" t="str">
        <f t="shared" si="140"/>
        <v/>
      </c>
      <c r="AK299" s="460" t="str">
        <f>IF(AU299="","",IF(OR(AZ299=8,AZ299=9),0,IF(OR(AW299=3,AW299=4,AW299=5,AW299=6),IF(LEFT(BF299,1)="1",INDEX(係数_NOX・PM低減,MATCH(AY299,【参考】排出係数!$AI$801:$AI$804,1),1),VLOOKUP(AU299,INDEX((係数_バス貨物_ガソリン,係数_バス貨物_CNG,係数_バス貨物_軽油,係数_バス貨物_メタノール,係数_バス貨物_LPG),MATCH(AY299,【参考】排出係数!$AI$4:$AI$671,1),1,BE299):INDEX((係数_バス貨物_ガソリン,係数_バス貨物_CNG,係数_バス貨物_軽油,係数_バス貨物_メタノール,係数_バス貨物_LPG),MATCH(AY299+1,【参考】排出係数!$AI$4:$AI$671,1)-1,5,BE299),4,FALSE)),IF(AND(BE299=3,LEFT(BF299,1)="1"),0.48,VLOOKUP(AU299,INDEX((係数_乗用_ガソリン,係数_乗用_CNG,係数_乗用_軽油,係数_乗用_メタノール,係数_乗用_LPG),1,1,BE299):INDEX((係数_乗用_ガソリン,係数_乗用_CNG,係数_乗用_軽油,係数_乗用_メタノール,係数_乗用_LPG),125,5,BE299),4,FALSE)))))</f>
        <v/>
      </c>
      <c r="AL299" s="461" t="str">
        <f t="shared" si="164"/>
        <v/>
      </c>
      <c r="AM299" s="460" t="str">
        <f>IF(AU299="","",IF(OR(AZ299=8,AZ299=9),0,IF(OR(AW299=3,AW299=4,AW299=5,AW299=6),IF(LEFT(BH299,1)="1",INDEX(係数_PM低減,MATCH(AY299,【参考】排出係数!$AI$801:$AI$804,1),MATCH(BI299,【参考】排出係数!$AL$798:$AO$798,1)),VLOOKUP(AU299,INDEX((係数_バス貨物_ガソリン,係数_バス貨物_CNG,係数_バス貨物_軽油,係数_バス貨物_メタノール,係数_バス貨物_LPG),MATCH(AY299,【参考】排出係数!$AI$4:$AI$671,1),1,BE299):INDEX((係数_バス貨物_ガソリン,係数_バス貨物_CNG,係数_バス貨物_軽油,係数_バス貨物_メタノール,係数_バス貨物_LPG),MATCH(AY299+1,【参考】排出係数!$AI$4:$AI$671,1)-1,5,BE299),5,FALSE)),IF(AND(BE299=3,LEFT(BF299,1)="1"),0.055,VLOOKUP(AU299,INDEX((係数_乗用_ガソリン,係数_乗用_CNG,係数_乗用_軽油,係数_乗用_メタノール,係数_乗用_LPG),1,1,BE299):INDEX((係数_乗用_ガソリン,係数_乗用_CNG,係数_乗用_軽油,係数_乗用_メタノール,係数_乗用_LPG),125,5,BE299),5,FALSE)))))</f>
        <v/>
      </c>
      <c r="AN299" s="461" t="str">
        <f t="shared" si="165"/>
        <v/>
      </c>
      <c r="AO299" s="462" t="str">
        <f t="shared" si="166"/>
        <v/>
      </c>
      <c r="AP299" s="463" t="str">
        <f t="shared" si="167"/>
        <v/>
      </c>
      <c r="AQ299" s="464"/>
      <c r="AR299" s="619"/>
      <c r="AS299" s="465" t="str">
        <f t="shared" si="146"/>
        <v/>
      </c>
      <c r="AT299" s="465" t="str">
        <f t="shared" si="147"/>
        <v/>
      </c>
      <c r="AU299" s="466" t="str">
        <f t="shared" si="148"/>
        <v/>
      </c>
      <c r="AV299" s="467" t="str">
        <f t="shared" si="149"/>
        <v/>
      </c>
      <c r="AW299" s="467" t="str">
        <f t="shared" si="150"/>
        <v/>
      </c>
      <c r="AX299" s="467" t="str">
        <f t="shared" si="151"/>
        <v/>
      </c>
      <c r="AY299" s="467" t="str">
        <f t="shared" si="152"/>
        <v/>
      </c>
      <c r="AZ299" s="467" t="str">
        <f t="shared" si="153"/>
        <v/>
      </c>
      <c r="BA299" s="468" t="str">
        <f>IF(AS299="","",IF(OR(AU299="",AU299="-"),"－",IF(OR(AZ299=8,AZ299=9),"",IF(OR(AW299=3,AW299=4,AW299=5,AW299=6),VLOOKUP(AU299,INDEX((係数_バス貨物_ガソリン,係数_バス貨物_CNG,係数_バス貨物_軽油,係数_バス貨物_メタノール,係数_バス貨物_LPG),MATCH(AY299,【参考】排出係数!$AI$4:$AI$671,1),1,BE299):INDEX((係数_バス貨物_ガソリン,係数_バス貨物_CNG,係数_バス貨物_軽油,係数_バス貨物_メタノール,係数_バス貨物_LPG),MATCH(AY299+1,【参考】排出係数!$AI$4:$AI$671,1)-1,5,BE299),2,FALSE),IF(OR(AW299=1,AW299=2),VLOOKUP(AU299,INDEX((係数_乗用_ガソリン,係数_乗用_CNG,係数_乗用_軽油,係数_乗用_メタノール,係数_乗用_LPG),1,1,BE299):INDEX((係数_乗用_ガソリン,係数_乗用_CNG,係数_乗用_軽油,係数_乗用_メタノール,係数_乗用_LPG),125,5,BE299),2,FALSE))))))</f>
        <v/>
      </c>
      <c r="BB299" s="468" t="str">
        <f>IF(T299="","",IF(OR(AU299="",AU299="-"),"－",IF(OR(AZ299=8,AZ299=9),"",IF(OR(AW299=3,AW299=4,AW299=5,AW299=6),VLOOKUP(AU299,INDEX((係数_バス貨物_ガソリン,係数_バス貨物_CNG,係数_バス貨物_軽油,係数_バス貨物_メタノール,係数_バス貨物_LPG),MATCH(AY299,【参考】排出係数!$AI$4:$AI$671,1),1,BE299):INDEX((係数_バス貨物_ガソリン,係数_バス貨物_CNG,係数_バス貨物_軽油,係数_バス貨物_メタノール,係数_バス貨物_LPG),MATCH(AY299+1,【参考】排出係数!$AI$4:$AI$671,1)-1,5,BE299),3,FALSE),IF(OR(AW299=1,AW299=2),VLOOKUP(AU299,INDEX((係数_乗用_ガソリン,係数_乗用_CNG,係数_乗用_軽油,係数_乗用_メタノール,係数_乗用_LPG),1,1,BE299):INDEX((係数_乗用_ガソリン,係数_乗用_CNG,係数_乗用_軽油,係数_乗用_メタノール,係数_乗用_LPG),125,5,BE299),3,FALSE))))))</f>
        <v/>
      </c>
      <c r="BC299" s="467" t="str">
        <f t="shared" si="154"/>
        <v/>
      </c>
      <c r="BD299" s="567" t="str">
        <f t="shared" si="155"/>
        <v/>
      </c>
      <c r="BE299" s="467" t="str">
        <f t="shared" si="156"/>
        <v/>
      </c>
      <c r="BF299" s="469" t="str">
        <f t="shared" ca="1" si="157"/>
        <v/>
      </c>
      <c r="BG299" s="469" t="str">
        <f t="shared" ca="1" si="158"/>
        <v/>
      </c>
      <c r="BH299" s="467" t="str">
        <f t="shared" si="159"/>
        <v/>
      </c>
      <c r="BI299" s="467" t="str">
        <f t="shared" ca="1" si="160"/>
        <v/>
      </c>
      <c r="BJ299" s="469" t="str">
        <f t="shared" si="161"/>
        <v/>
      </c>
      <c r="BK299" s="470" t="str">
        <f t="shared" si="141"/>
        <v/>
      </c>
      <c r="BL299" s="775" t="str">
        <f t="shared" si="162"/>
        <v/>
      </c>
      <c r="BM299" s="775" t="str">
        <f t="shared" si="163"/>
        <v/>
      </c>
    </row>
    <row r="300" spans="1:65">
      <c r="A300" s="473">
        <v>244</v>
      </c>
      <c r="B300" s="132"/>
      <c r="C300" s="332"/>
      <c r="D300" s="333"/>
      <c r="E300" s="333"/>
      <c r="F300" s="334"/>
      <c r="G300" s="337"/>
      <c r="H300" s="131"/>
      <c r="I300" s="337"/>
      <c r="J300" s="131"/>
      <c r="K300" s="458" t="str">
        <f t="shared" si="130"/>
        <v/>
      </c>
      <c r="L300" s="458">
        <f t="shared" si="142"/>
        <v>0</v>
      </c>
      <c r="M300" s="458">
        <f t="shared" si="143"/>
        <v>0</v>
      </c>
      <c r="N300" s="459" t="str">
        <f t="shared" si="131"/>
        <v/>
      </c>
      <c r="O300" s="459" t="str">
        <f t="shared" si="132"/>
        <v/>
      </c>
      <c r="P300" s="459" t="str">
        <f t="shared" si="133"/>
        <v/>
      </c>
      <c r="Q300" s="459" t="str">
        <f t="shared" si="134"/>
        <v/>
      </c>
      <c r="R300" s="459" t="str">
        <f t="shared" si="135"/>
        <v/>
      </c>
      <c r="S300" s="459" t="str">
        <f t="shared" si="136"/>
        <v/>
      </c>
      <c r="T300" s="566" t="str">
        <f t="shared" si="144"/>
        <v/>
      </c>
      <c r="U300" s="702"/>
      <c r="V300" s="132"/>
      <c r="W300" s="133"/>
      <c r="X300" s="134"/>
      <c r="Y300" s="135"/>
      <c r="Z300" s="137"/>
      <c r="AA300" s="136"/>
      <c r="AB300" s="566" t="str">
        <f t="shared" si="137"/>
        <v/>
      </c>
      <c r="AC300" s="568" t="str">
        <f>IF(AS300="","",IF((BA300="")+(BA300="－"),IF((BB300="")+(BB300=0),"－",BB300),IF((BA300="PM☆☆☆")+(BA300="☆及びPM☆☆☆")+(BA300="☆☆及びPM☆☆☆")+(BA300="☆☆☆及びPM☆☆☆"),"PM☆☆☆",IF((BA300="PM☆☆☆☆")+(BA300="☆及びPM☆☆☆☆")+(BA300="☆☆及びPM☆☆☆☆")+(BA300="☆☆☆及びPM☆☆☆☆"),"PM☆☆☆☆",IF((BA300="新☆")+(BA300="新NOx☆")+(BA300="新PM☆"),"新☆（新長期）",BA300)))))</f>
        <v/>
      </c>
      <c r="AD300" s="137"/>
      <c r="AE300" s="137"/>
      <c r="AF300" s="138"/>
      <c r="AG300" s="138"/>
      <c r="AH300" s="592" t="str">
        <f t="shared" si="138"/>
        <v/>
      </c>
      <c r="AI300" s="592" t="str">
        <f t="shared" si="139"/>
        <v/>
      </c>
      <c r="AJ300" s="592" t="str">
        <f t="shared" si="140"/>
        <v/>
      </c>
      <c r="AK300" s="460" t="str">
        <f>IF(AU300="","",IF(OR(AZ300=8,AZ300=9),0,IF(OR(AW300=3,AW300=4,AW300=5,AW300=6),IF(LEFT(BF300,1)="1",INDEX(係数_NOX・PM低減,MATCH(AY300,【参考】排出係数!$AI$801:$AI$804,1),1),VLOOKUP(AU300,INDEX((係数_バス貨物_ガソリン,係数_バス貨物_CNG,係数_バス貨物_軽油,係数_バス貨物_メタノール,係数_バス貨物_LPG),MATCH(AY300,【参考】排出係数!$AI$4:$AI$671,1),1,BE300):INDEX((係数_バス貨物_ガソリン,係数_バス貨物_CNG,係数_バス貨物_軽油,係数_バス貨物_メタノール,係数_バス貨物_LPG),MATCH(AY300+1,【参考】排出係数!$AI$4:$AI$671,1)-1,5,BE300),4,FALSE)),IF(AND(BE300=3,LEFT(BF300,1)="1"),0.48,VLOOKUP(AU300,INDEX((係数_乗用_ガソリン,係数_乗用_CNG,係数_乗用_軽油,係数_乗用_メタノール,係数_乗用_LPG),1,1,BE300):INDEX((係数_乗用_ガソリン,係数_乗用_CNG,係数_乗用_軽油,係数_乗用_メタノール,係数_乗用_LPG),125,5,BE300),4,FALSE)))))</f>
        <v/>
      </c>
      <c r="AL300" s="461" t="str">
        <f t="shared" si="164"/>
        <v/>
      </c>
      <c r="AM300" s="460" t="str">
        <f>IF(AU300="","",IF(OR(AZ300=8,AZ300=9),0,IF(OR(AW300=3,AW300=4,AW300=5,AW300=6),IF(LEFT(BH300,1)="1",INDEX(係数_PM低減,MATCH(AY300,【参考】排出係数!$AI$801:$AI$804,1),MATCH(BI300,【参考】排出係数!$AL$798:$AO$798,1)),VLOOKUP(AU300,INDEX((係数_バス貨物_ガソリン,係数_バス貨物_CNG,係数_バス貨物_軽油,係数_バス貨物_メタノール,係数_バス貨物_LPG),MATCH(AY300,【参考】排出係数!$AI$4:$AI$671,1),1,BE300):INDEX((係数_バス貨物_ガソリン,係数_バス貨物_CNG,係数_バス貨物_軽油,係数_バス貨物_メタノール,係数_バス貨物_LPG),MATCH(AY300+1,【参考】排出係数!$AI$4:$AI$671,1)-1,5,BE300),5,FALSE)),IF(AND(BE300=3,LEFT(BF300,1)="1"),0.055,VLOOKUP(AU300,INDEX((係数_乗用_ガソリン,係数_乗用_CNG,係数_乗用_軽油,係数_乗用_メタノール,係数_乗用_LPG),1,1,BE300):INDEX((係数_乗用_ガソリン,係数_乗用_CNG,係数_乗用_軽油,係数_乗用_メタノール,係数_乗用_LPG),125,5,BE300),5,FALSE)))))</f>
        <v/>
      </c>
      <c r="AN300" s="461" t="str">
        <f t="shared" si="165"/>
        <v/>
      </c>
      <c r="AO300" s="462" t="str">
        <f t="shared" si="166"/>
        <v/>
      </c>
      <c r="AP300" s="463" t="str">
        <f t="shared" si="167"/>
        <v/>
      </c>
      <c r="AQ300" s="464"/>
      <c r="AR300" s="619"/>
      <c r="AS300" s="465" t="str">
        <f t="shared" si="146"/>
        <v/>
      </c>
      <c r="AT300" s="465" t="str">
        <f t="shared" si="147"/>
        <v/>
      </c>
      <c r="AU300" s="466" t="str">
        <f t="shared" si="148"/>
        <v/>
      </c>
      <c r="AV300" s="467" t="str">
        <f t="shared" si="149"/>
        <v/>
      </c>
      <c r="AW300" s="467" t="str">
        <f t="shared" si="150"/>
        <v/>
      </c>
      <c r="AX300" s="467" t="str">
        <f t="shared" si="151"/>
        <v/>
      </c>
      <c r="AY300" s="467" t="str">
        <f t="shared" si="152"/>
        <v/>
      </c>
      <c r="AZ300" s="467" t="str">
        <f t="shared" si="153"/>
        <v/>
      </c>
      <c r="BA300" s="468" t="str">
        <f>IF(AS300="","",IF(OR(AU300="",AU300="-"),"－",IF(OR(AZ300=8,AZ300=9),"",IF(OR(AW300=3,AW300=4,AW300=5,AW300=6),VLOOKUP(AU300,INDEX((係数_バス貨物_ガソリン,係数_バス貨物_CNG,係数_バス貨物_軽油,係数_バス貨物_メタノール,係数_バス貨物_LPG),MATCH(AY300,【参考】排出係数!$AI$4:$AI$671,1),1,BE300):INDEX((係数_バス貨物_ガソリン,係数_バス貨物_CNG,係数_バス貨物_軽油,係数_バス貨物_メタノール,係数_バス貨物_LPG),MATCH(AY300+1,【参考】排出係数!$AI$4:$AI$671,1)-1,5,BE300),2,FALSE),IF(OR(AW300=1,AW300=2),VLOOKUP(AU300,INDEX((係数_乗用_ガソリン,係数_乗用_CNG,係数_乗用_軽油,係数_乗用_メタノール,係数_乗用_LPG),1,1,BE300):INDEX((係数_乗用_ガソリン,係数_乗用_CNG,係数_乗用_軽油,係数_乗用_メタノール,係数_乗用_LPG),125,5,BE300),2,FALSE))))))</f>
        <v/>
      </c>
      <c r="BB300" s="468" t="str">
        <f>IF(T300="","",IF(OR(AU300="",AU300="-"),"－",IF(OR(AZ300=8,AZ300=9),"",IF(OR(AW300=3,AW300=4,AW300=5,AW300=6),VLOOKUP(AU300,INDEX((係数_バス貨物_ガソリン,係数_バス貨物_CNG,係数_バス貨物_軽油,係数_バス貨物_メタノール,係数_バス貨物_LPG),MATCH(AY300,【参考】排出係数!$AI$4:$AI$671,1),1,BE300):INDEX((係数_バス貨物_ガソリン,係数_バス貨物_CNG,係数_バス貨物_軽油,係数_バス貨物_メタノール,係数_バス貨物_LPG),MATCH(AY300+1,【参考】排出係数!$AI$4:$AI$671,1)-1,5,BE300),3,FALSE),IF(OR(AW300=1,AW300=2),VLOOKUP(AU300,INDEX((係数_乗用_ガソリン,係数_乗用_CNG,係数_乗用_軽油,係数_乗用_メタノール,係数_乗用_LPG),1,1,BE300):INDEX((係数_乗用_ガソリン,係数_乗用_CNG,係数_乗用_軽油,係数_乗用_メタノール,係数_乗用_LPG),125,5,BE300),3,FALSE))))))</f>
        <v/>
      </c>
      <c r="BC300" s="467" t="str">
        <f t="shared" si="154"/>
        <v/>
      </c>
      <c r="BD300" s="567" t="str">
        <f t="shared" si="155"/>
        <v/>
      </c>
      <c r="BE300" s="467" t="str">
        <f t="shared" si="156"/>
        <v/>
      </c>
      <c r="BF300" s="469" t="str">
        <f t="shared" ca="1" si="157"/>
        <v/>
      </c>
      <c r="BG300" s="469" t="str">
        <f t="shared" ca="1" si="158"/>
        <v/>
      </c>
      <c r="BH300" s="467" t="str">
        <f t="shared" si="159"/>
        <v/>
      </c>
      <c r="BI300" s="467" t="str">
        <f t="shared" ca="1" si="160"/>
        <v/>
      </c>
      <c r="BJ300" s="469" t="str">
        <f t="shared" si="161"/>
        <v/>
      </c>
      <c r="BK300" s="470" t="str">
        <f t="shared" si="141"/>
        <v/>
      </c>
      <c r="BL300" s="775" t="str">
        <f t="shared" si="162"/>
        <v/>
      </c>
      <c r="BM300" s="775" t="str">
        <f t="shared" si="163"/>
        <v/>
      </c>
    </row>
    <row r="301" spans="1:65">
      <c r="A301" s="473">
        <v>245</v>
      </c>
      <c r="B301" s="132"/>
      <c r="C301" s="332"/>
      <c r="D301" s="333"/>
      <c r="E301" s="333"/>
      <c r="F301" s="334"/>
      <c r="G301" s="337"/>
      <c r="H301" s="131"/>
      <c r="I301" s="337"/>
      <c r="J301" s="131"/>
      <c r="K301" s="458" t="str">
        <f t="shared" si="130"/>
        <v/>
      </c>
      <c r="L301" s="458">
        <f t="shared" si="142"/>
        <v>0</v>
      </c>
      <c r="M301" s="458">
        <f t="shared" si="143"/>
        <v>0</v>
      </c>
      <c r="N301" s="459" t="str">
        <f t="shared" si="131"/>
        <v/>
      </c>
      <c r="O301" s="459" t="str">
        <f t="shared" si="132"/>
        <v/>
      </c>
      <c r="P301" s="459" t="str">
        <f t="shared" si="133"/>
        <v/>
      </c>
      <c r="Q301" s="459" t="str">
        <f t="shared" si="134"/>
        <v/>
      </c>
      <c r="R301" s="459" t="str">
        <f t="shared" si="135"/>
        <v/>
      </c>
      <c r="S301" s="459" t="str">
        <f t="shared" si="136"/>
        <v/>
      </c>
      <c r="T301" s="566" t="str">
        <f t="shared" si="144"/>
        <v/>
      </c>
      <c r="U301" s="702"/>
      <c r="V301" s="132"/>
      <c r="W301" s="133"/>
      <c r="X301" s="134"/>
      <c r="Y301" s="135"/>
      <c r="Z301" s="137"/>
      <c r="AA301" s="136"/>
      <c r="AB301" s="566" t="str">
        <f t="shared" si="137"/>
        <v/>
      </c>
      <c r="AC301" s="568" t="str">
        <f t="shared" si="145"/>
        <v/>
      </c>
      <c r="AD301" s="137"/>
      <c r="AE301" s="137"/>
      <c r="AF301" s="138"/>
      <c r="AG301" s="138"/>
      <c r="AH301" s="592" t="str">
        <f t="shared" si="138"/>
        <v/>
      </c>
      <c r="AI301" s="592" t="str">
        <f t="shared" si="139"/>
        <v/>
      </c>
      <c r="AJ301" s="592" t="str">
        <f t="shared" si="140"/>
        <v/>
      </c>
      <c r="AK301" s="460" t="str">
        <f>IF(AU301="","",IF(OR(AZ301=8,AZ301=9),0,IF(OR(AW301=3,AW301=4,AW301=5,AW301=6),IF(LEFT(BF301,1)="1",INDEX(係数_NOX・PM低減,MATCH(AY301,【参考】排出係数!$AI$801:$AI$804,1),1),VLOOKUP(AU301,INDEX((係数_バス貨物_ガソリン,係数_バス貨物_CNG,係数_バス貨物_軽油,係数_バス貨物_メタノール,係数_バス貨物_LPG),MATCH(AY301,【参考】排出係数!$AI$4:$AI$671,1),1,BE301):INDEX((係数_バス貨物_ガソリン,係数_バス貨物_CNG,係数_バス貨物_軽油,係数_バス貨物_メタノール,係数_バス貨物_LPG),MATCH(AY301+1,【参考】排出係数!$AI$4:$AI$671,1)-1,5,BE301),4,FALSE)),IF(AND(BE301=3,LEFT(BF301,1)="1"),0.48,VLOOKUP(AU301,INDEX((係数_乗用_ガソリン,係数_乗用_CNG,係数_乗用_軽油,係数_乗用_メタノール,係数_乗用_LPG),1,1,BE301):INDEX((係数_乗用_ガソリン,係数_乗用_CNG,係数_乗用_軽油,係数_乗用_メタノール,係数_乗用_LPG),125,5,BE301),4,FALSE)))))</f>
        <v/>
      </c>
      <c r="AL301" s="461" t="str">
        <f t="shared" si="164"/>
        <v/>
      </c>
      <c r="AM301" s="460" t="str">
        <f>IF(AU301="","",IF(OR(AZ301=8,AZ301=9),0,IF(OR(AW301=3,AW301=4,AW301=5,AW301=6),IF(LEFT(BH301,1)="1",INDEX(係数_PM低減,MATCH(AY301,【参考】排出係数!$AI$801:$AI$804,1),MATCH(BI301,【参考】排出係数!$AL$798:$AO$798,1)),VLOOKUP(AU301,INDEX((係数_バス貨物_ガソリン,係数_バス貨物_CNG,係数_バス貨物_軽油,係数_バス貨物_メタノール,係数_バス貨物_LPG),MATCH(AY301,【参考】排出係数!$AI$4:$AI$671,1),1,BE301):INDEX((係数_バス貨物_ガソリン,係数_バス貨物_CNG,係数_バス貨物_軽油,係数_バス貨物_メタノール,係数_バス貨物_LPG),MATCH(AY301+1,【参考】排出係数!$AI$4:$AI$671,1)-1,5,BE301),5,FALSE)),IF(AND(BE301=3,LEFT(BF301,1)="1"),0.055,VLOOKUP(AU301,INDEX((係数_乗用_ガソリン,係数_乗用_CNG,係数_乗用_軽油,係数_乗用_メタノール,係数_乗用_LPG),1,1,BE301):INDEX((係数_乗用_ガソリン,係数_乗用_CNG,係数_乗用_軽油,係数_乗用_メタノール,係数_乗用_LPG),125,5,BE301),5,FALSE)))))</f>
        <v/>
      </c>
      <c r="AN301" s="461" t="str">
        <f t="shared" si="165"/>
        <v/>
      </c>
      <c r="AO301" s="462" t="str">
        <f t="shared" si="166"/>
        <v/>
      </c>
      <c r="AP301" s="463" t="str">
        <f t="shared" si="167"/>
        <v/>
      </c>
      <c r="AQ301" s="464"/>
      <c r="AR301" s="619"/>
      <c r="AS301" s="465" t="str">
        <f t="shared" si="146"/>
        <v/>
      </c>
      <c r="AT301" s="465" t="str">
        <f t="shared" si="147"/>
        <v/>
      </c>
      <c r="AU301" s="466" t="str">
        <f t="shared" si="148"/>
        <v/>
      </c>
      <c r="AV301" s="467" t="str">
        <f t="shared" si="149"/>
        <v/>
      </c>
      <c r="AW301" s="467" t="str">
        <f t="shared" si="150"/>
        <v/>
      </c>
      <c r="AX301" s="467" t="str">
        <f t="shared" si="151"/>
        <v/>
      </c>
      <c r="AY301" s="467" t="str">
        <f t="shared" si="152"/>
        <v/>
      </c>
      <c r="AZ301" s="467" t="str">
        <f t="shared" si="153"/>
        <v/>
      </c>
      <c r="BA301" s="468" t="str">
        <f>IF(AS301="","",IF(OR(AU301="",AU301="-"),"－",IF(OR(AZ301=8,AZ301=9),"",IF(OR(AW301=3,AW301=4,AW301=5,AW301=6),VLOOKUP(AU301,INDEX((係数_バス貨物_ガソリン,係数_バス貨物_CNG,係数_バス貨物_軽油,係数_バス貨物_メタノール,係数_バス貨物_LPG),MATCH(AY301,【参考】排出係数!$AI$4:$AI$671,1),1,BE301):INDEX((係数_バス貨物_ガソリン,係数_バス貨物_CNG,係数_バス貨物_軽油,係数_バス貨物_メタノール,係数_バス貨物_LPG),MATCH(AY301+1,【参考】排出係数!$AI$4:$AI$671,1)-1,5,BE301),2,FALSE),IF(OR(AW301=1,AW301=2),VLOOKUP(AU301,INDEX((係数_乗用_ガソリン,係数_乗用_CNG,係数_乗用_軽油,係数_乗用_メタノール,係数_乗用_LPG),1,1,BE301):INDEX((係数_乗用_ガソリン,係数_乗用_CNG,係数_乗用_軽油,係数_乗用_メタノール,係数_乗用_LPG),125,5,BE301),2,FALSE))))))</f>
        <v/>
      </c>
      <c r="BB301" s="468" t="str">
        <f>IF(T301="","",IF(OR(AU301="",AU301="-"),"－",IF(OR(AZ301=8,AZ301=9),"",IF(OR(AW301=3,AW301=4,AW301=5,AW301=6),VLOOKUP(AU301,INDEX((係数_バス貨物_ガソリン,係数_バス貨物_CNG,係数_バス貨物_軽油,係数_バス貨物_メタノール,係数_バス貨物_LPG),MATCH(AY301,【参考】排出係数!$AI$4:$AI$671,1),1,BE301):INDEX((係数_バス貨物_ガソリン,係数_バス貨物_CNG,係数_バス貨物_軽油,係数_バス貨物_メタノール,係数_バス貨物_LPG),MATCH(AY301+1,【参考】排出係数!$AI$4:$AI$671,1)-1,5,BE301),3,FALSE),IF(OR(AW301=1,AW301=2),VLOOKUP(AU301,INDEX((係数_乗用_ガソリン,係数_乗用_CNG,係数_乗用_軽油,係数_乗用_メタノール,係数_乗用_LPG),1,1,BE301):INDEX((係数_乗用_ガソリン,係数_乗用_CNG,係数_乗用_軽油,係数_乗用_メタノール,係数_乗用_LPG),125,5,BE301),3,FALSE))))))</f>
        <v/>
      </c>
      <c r="BC301" s="467" t="str">
        <f t="shared" si="154"/>
        <v/>
      </c>
      <c r="BD301" s="567" t="str">
        <f t="shared" si="155"/>
        <v/>
      </c>
      <c r="BE301" s="467" t="str">
        <f t="shared" si="156"/>
        <v/>
      </c>
      <c r="BF301" s="469" t="str">
        <f t="shared" ca="1" si="157"/>
        <v/>
      </c>
      <c r="BG301" s="469" t="str">
        <f t="shared" ca="1" si="158"/>
        <v/>
      </c>
      <c r="BH301" s="467" t="str">
        <f t="shared" si="159"/>
        <v/>
      </c>
      <c r="BI301" s="467" t="str">
        <f t="shared" ca="1" si="160"/>
        <v/>
      </c>
      <c r="BJ301" s="469" t="str">
        <f t="shared" si="161"/>
        <v/>
      </c>
      <c r="BK301" s="470" t="str">
        <f t="shared" si="141"/>
        <v/>
      </c>
      <c r="BL301" s="775" t="str">
        <f t="shared" si="162"/>
        <v/>
      </c>
      <c r="BM301" s="775" t="str">
        <f t="shared" si="163"/>
        <v/>
      </c>
    </row>
    <row r="302" spans="1:65">
      <c r="A302" s="473">
        <v>246</v>
      </c>
      <c r="B302" s="132"/>
      <c r="C302" s="332"/>
      <c r="D302" s="333"/>
      <c r="E302" s="333"/>
      <c r="F302" s="334"/>
      <c r="G302" s="337"/>
      <c r="H302" s="131"/>
      <c r="I302" s="337"/>
      <c r="J302" s="131"/>
      <c r="K302" s="458" t="str">
        <f t="shared" si="130"/>
        <v/>
      </c>
      <c r="L302" s="458">
        <f t="shared" si="142"/>
        <v>0</v>
      </c>
      <c r="M302" s="458">
        <f t="shared" si="143"/>
        <v>0</v>
      </c>
      <c r="N302" s="459" t="str">
        <f t="shared" si="131"/>
        <v/>
      </c>
      <c r="O302" s="459" t="str">
        <f t="shared" si="132"/>
        <v/>
      </c>
      <c r="P302" s="459" t="str">
        <f t="shared" si="133"/>
        <v/>
      </c>
      <c r="Q302" s="459" t="str">
        <f t="shared" si="134"/>
        <v/>
      </c>
      <c r="R302" s="459" t="str">
        <f t="shared" si="135"/>
        <v/>
      </c>
      <c r="S302" s="459" t="str">
        <f t="shared" si="136"/>
        <v/>
      </c>
      <c r="T302" s="566" t="str">
        <f t="shared" si="144"/>
        <v/>
      </c>
      <c r="U302" s="702"/>
      <c r="V302" s="132"/>
      <c r="W302" s="133"/>
      <c r="X302" s="134"/>
      <c r="Y302" s="135"/>
      <c r="Z302" s="137"/>
      <c r="AA302" s="136"/>
      <c r="AB302" s="566" t="str">
        <f t="shared" si="137"/>
        <v/>
      </c>
      <c r="AC302" s="568" t="str">
        <f t="shared" si="145"/>
        <v/>
      </c>
      <c r="AD302" s="137"/>
      <c r="AE302" s="137"/>
      <c r="AF302" s="138"/>
      <c r="AG302" s="138"/>
      <c r="AH302" s="592" t="str">
        <f t="shared" si="138"/>
        <v/>
      </c>
      <c r="AI302" s="592" t="str">
        <f t="shared" si="139"/>
        <v/>
      </c>
      <c r="AJ302" s="592" t="str">
        <f t="shared" si="140"/>
        <v/>
      </c>
      <c r="AK302" s="460" t="str">
        <f>IF(AU302="","",IF(OR(AZ302=8,AZ302=9),0,IF(OR(AW302=3,AW302=4,AW302=5,AW302=6),IF(LEFT(BF302,1)="1",INDEX(係数_NOX・PM低減,MATCH(AY302,【参考】排出係数!$AI$801:$AI$804,1),1),VLOOKUP(AU302,INDEX((係数_バス貨物_ガソリン,係数_バス貨物_CNG,係数_バス貨物_軽油,係数_バス貨物_メタノール,係数_バス貨物_LPG),MATCH(AY302,【参考】排出係数!$AI$4:$AI$671,1),1,BE302):INDEX((係数_バス貨物_ガソリン,係数_バス貨物_CNG,係数_バス貨物_軽油,係数_バス貨物_メタノール,係数_バス貨物_LPG),MATCH(AY302+1,【参考】排出係数!$AI$4:$AI$671,1)-1,5,BE302),4,FALSE)),IF(AND(BE302=3,LEFT(BF302,1)="1"),0.48,VLOOKUP(AU302,INDEX((係数_乗用_ガソリン,係数_乗用_CNG,係数_乗用_軽油,係数_乗用_メタノール,係数_乗用_LPG),1,1,BE302):INDEX((係数_乗用_ガソリン,係数_乗用_CNG,係数_乗用_軽油,係数_乗用_メタノール,係数_乗用_LPG),125,5,BE302),4,FALSE)))))</f>
        <v/>
      </c>
      <c r="AL302" s="461" t="str">
        <f t="shared" si="164"/>
        <v/>
      </c>
      <c r="AM302" s="460" t="str">
        <f>IF(AU302="","",IF(OR(AZ302=8,AZ302=9),0,IF(OR(AW302=3,AW302=4,AW302=5,AW302=6),IF(LEFT(BH302,1)="1",INDEX(係数_PM低減,MATCH(AY302,【参考】排出係数!$AI$801:$AI$804,1),MATCH(BI302,【参考】排出係数!$AL$798:$AO$798,1)),VLOOKUP(AU302,INDEX((係数_バス貨物_ガソリン,係数_バス貨物_CNG,係数_バス貨物_軽油,係数_バス貨物_メタノール,係数_バス貨物_LPG),MATCH(AY302,【参考】排出係数!$AI$4:$AI$671,1),1,BE302):INDEX((係数_バス貨物_ガソリン,係数_バス貨物_CNG,係数_バス貨物_軽油,係数_バス貨物_メタノール,係数_バス貨物_LPG),MATCH(AY302+1,【参考】排出係数!$AI$4:$AI$671,1)-1,5,BE302),5,FALSE)),IF(AND(BE302=3,LEFT(BF302,1)="1"),0.055,VLOOKUP(AU302,INDEX((係数_乗用_ガソリン,係数_乗用_CNG,係数_乗用_軽油,係数_乗用_メタノール,係数_乗用_LPG),1,1,BE302):INDEX((係数_乗用_ガソリン,係数_乗用_CNG,係数_乗用_軽油,係数_乗用_メタノール,係数_乗用_LPG),125,5,BE302),5,FALSE)))))</f>
        <v/>
      </c>
      <c r="AN302" s="461" t="str">
        <f t="shared" si="165"/>
        <v/>
      </c>
      <c r="AO302" s="462" t="str">
        <f t="shared" si="166"/>
        <v/>
      </c>
      <c r="AP302" s="463" t="str">
        <f t="shared" si="167"/>
        <v/>
      </c>
      <c r="AQ302" s="464"/>
      <c r="AR302" s="619"/>
      <c r="AS302" s="465" t="str">
        <f t="shared" si="146"/>
        <v/>
      </c>
      <c r="AT302" s="465" t="str">
        <f t="shared" si="147"/>
        <v/>
      </c>
      <c r="AU302" s="466" t="str">
        <f t="shared" si="148"/>
        <v/>
      </c>
      <c r="AV302" s="467" t="str">
        <f t="shared" si="149"/>
        <v/>
      </c>
      <c r="AW302" s="467" t="str">
        <f t="shared" si="150"/>
        <v/>
      </c>
      <c r="AX302" s="467" t="str">
        <f t="shared" si="151"/>
        <v/>
      </c>
      <c r="AY302" s="467" t="str">
        <f t="shared" si="152"/>
        <v/>
      </c>
      <c r="AZ302" s="467" t="str">
        <f t="shared" si="153"/>
        <v/>
      </c>
      <c r="BA302" s="468" t="str">
        <f>IF(AS302="","",IF(OR(AU302="",AU302="-"),"－",IF(OR(AZ302=8,AZ302=9),"",IF(OR(AW302=3,AW302=4,AW302=5,AW302=6),VLOOKUP(AU302,INDEX((係数_バス貨物_ガソリン,係数_バス貨物_CNG,係数_バス貨物_軽油,係数_バス貨物_メタノール,係数_バス貨物_LPG),MATCH(AY302,【参考】排出係数!$AI$4:$AI$671,1),1,BE302):INDEX((係数_バス貨物_ガソリン,係数_バス貨物_CNG,係数_バス貨物_軽油,係数_バス貨物_メタノール,係数_バス貨物_LPG),MATCH(AY302+1,【参考】排出係数!$AI$4:$AI$671,1)-1,5,BE302),2,FALSE),IF(OR(AW302=1,AW302=2),VLOOKUP(AU302,INDEX((係数_乗用_ガソリン,係数_乗用_CNG,係数_乗用_軽油,係数_乗用_メタノール,係数_乗用_LPG),1,1,BE302):INDEX((係数_乗用_ガソリン,係数_乗用_CNG,係数_乗用_軽油,係数_乗用_メタノール,係数_乗用_LPG),125,5,BE302),2,FALSE))))))</f>
        <v/>
      </c>
      <c r="BB302" s="468" t="str">
        <f>IF(T302="","",IF(OR(AU302="",AU302="-"),"－",IF(OR(AZ302=8,AZ302=9),"",IF(OR(AW302=3,AW302=4,AW302=5,AW302=6),VLOOKUP(AU302,INDEX((係数_バス貨物_ガソリン,係数_バス貨物_CNG,係数_バス貨物_軽油,係数_バス貨物_メタノール,係数_バス貨物_LPG),MATCH(AY302,【参考】排出係数!$AI$4:$AI$671,1),1,BE302):INDEX((係数_バス貨物_ガソリン,係数_バス貨物_CNG,係数_バス貨物_軽油,係数_バス貨物_メタノール,係数_バス貨物_LPG),MATCH(AY302+1,【参考】排出係数!$AI$4:$AI$671,1)-1,5,BE302),3,FALSE),IF(OR(AW302=1,AW302=2),VLOOKUP(AU302,INDEX((係数_乗用_ガソリン,係数_乗用_CNG,係数_乗用_軽油,係数_乗用_メタノール,係数_乗用_LPG),1,1,BE302):INDEX((係数_乗用_ガソリン,係数_乗用_CNG,係数_乗用_軽油,係数_乗用_メタノール,係数_乗用_LPG),125,5,BE302),3,FALSE))))))</f>
        <v/>
      </c>
      <c r="BC302" s="467" t="str">
        <f t="shared" si="154"/>
        <v/>
      </c>
      <c r="BD302" s="567" t="str">
        <f t="shared" si="155"/>
        <v/>
      </c>
      <c r="BE302" s="467" t="str">
        <f t="shared" si="156"/>
        <v/>
      </c>
      <c r="BF302" s="469" t="str">
        <f t="shared" ca="1" si="157"/>
        <v/>
      </c>
      <c r="BG302" s="469" t="str">
        <f t="shared" ca="1" si="158"/>
        <v/>
      </c>
      <c r="BH302" s="467" t="str">
        <f t="shared" si="159"/>
        <v/>
      </c>
      <c r="BI302" s="467" t="str">
        <f t="shared" ca="1" si="160"/>
        <v/>
      </c>
      <c r="BJ302" s="469" t="str">
        <f t="shared" si="161"/>
        <v/>
      </c>
      <c r="BK302" s="470" t="str">
        <f t="shared" si="141"/>
        <v/>
      </c>
      <c r="BL302" s="775" t="str">
        <f t="shared" si="162"/>
        <v/>
      </c>
      <c r="BM302" s="775" t="str">
        <f t="shared" si="163"/>
        <v/>
      </c>
    </row>
    <row r="303" spans="1:65">
      <c r="A303" s="473">
        <v>247</v>
      </c>
      <c r="B303" s="132"/>
      <c r="C303" s="332"/>
      <c r="D303" s="333"/>
      <c r="E303" s="333"/>
      <c r="F303" s="334"/>
      <c r="G303" s="337"/>
      <c r="H303" s="131"/>
      <c r="I303" s="337"/>
      <c r="J303" s="131"/>
      <c r="K303" s="458" t="str">
        <f t="shared" si="130"/>
        <v/>
      </c>
      <c r="L303" s="458">
        <f t="shared" si="142"/>
        <v>0</v>
      </c>
      <c r="M303" s="458">
        <f t="shared" si="143"/>
        <v>0</v>
      </c>
      <c r="N303" s="459" t="str">
        <f t="shared" si="131"/>
        <v/>
      </c>
      <c r="O303" s="459" t="str">
        <f t="shared" si="132"/>
        <v/>
      </c>
      <c r="P303" s="459" t="str">
        <f t="shared" si="133"/>
        <v/>
      </c>
      <c r="Q303" s="459" t="str">
        <f t="shared" si="134"/>
        <v/>
      </c>
      <c r="R303" s="459" t="str">
        <f t="shared" si="135"/>
        <v/>
      </c>
      <c r="S303" s="459" t="str">
        <f t="shared" si="136"/>
        <v/>
      </c>
      <c r="T303" s="566" t="str">
        <f t="shared" si="144"/>
        <v/>
      </c>
      <c r="U303" s="702"/>
      <c r="V303" s="132"/>
      <c r="W303" s="133"/>
      <c r="X303" s="134"/>
      <c r="Y303" s="135"/>
      <c r="Z303" s="137"/>
      <c r="AA303" s="136"/>
      <c r="AB303" s="566" t="str">
        <f t="shared" si="137"/>
        <v/>
      </c>
      <c r="AC303" s="568" t="str">
        <f t="shared" si="145"/>
        <v/>
      </c>
      <c r="AD303" s="137"/>
      <c r="AE303" s="137"/>
      <c r="AF303" s="138"/>
      <c r="AG303" s="138"/>
      <c r="AH303" s="592" t="str">
        <f t="shared" si="138"/>
        <v/>
      </c>
      <c r="AI303" s="592" t="str">
        <f t="shared" si="139"/>
        <v/>
      </c>
      <c r="AJ303" s="592" t="str">
        <f t="shared" si="140"/>
        <v/>
      </c>
      <c r="AK303" s="460" t="str">
        <f>IF(AU303="","",IF(OR(AZ303=8,AZ303=9),0,IF(OR(AW303=3,AW303=4,AW303=5,AW303=6),IF(LEFT(BF303,1)="1",INDEX(係数_NOX・PM低減,MATCH(AY303,【参考】排出係数!$AI$801:$AI$804,1),1),VLOOKUP(AU303,INDEX((係数_バス貨物_ガソリン,係数_バス貨物_CNG,係数_バス貨物_軽油,係数_バス貨物_メタノール,係数_バス貨物_LPG),MATCH(AY303,【参考】排出係数!$AI$4:$AI$671,1),1,BE303):INDEX((係数_バス貨物_ガソリン,係数_バス貨物_CNG,係数_バス貨物_軽油,係数_バス貨物_メタノール,係数_バス貨物_LPG),MATCH(AY303+1,【参考】排出係数!$AI$4:$AI$671,1)-1,5,BE303),4,FALSE)),IF(AND(BE303=3,LEFT(BF303,1)="1"),0.48,VLOOKUP(AU303,INDEX((係数_乗用_ガソリン,係数_乗用_CNG,係数_乗用_軽油,係数_乗用_メタノール,係数_乗用_LPG),1,1,BE303):INDEX((係数_乗用_ガソリン,係数_乗用_CNG,係数_乗用_軽油,係数_乗用_メタノール,係数_乗用_LPG),125,5,BE303),4,FALSE)))))</f>
        <v/>
      </c>
      <c r="AL303" s="461" t="str">
        <f t="shared" si="164"/>
        <v/>
      </c>
      <c r="AM303" s="460" t="str">
        <f>IF(AU303="","",IF(OR(AZ303=8,AZ303=9),0,IF(OR(AW303=3,AW303=4,AW303=5,AW303=6),IF(LEFT(BH303,1)="1",INDEX(係数_PM低減,MATCH(AY303,【参考】排出係数!$AI$801:$AI$804,1),MATCH(BI303,【参考】排出係数!$AL$798:$AO$798,1)),VLOOKUP(AU303,INDEX((係数_バス貨物_ガソリン,係数_バス貨物_CNG,係数_バス貨物_軽油,係数_バス貨物_メタノール,係数_バス貨物_LPG),MATCH(AY303,【参考】排出係数!$AI$4:$AI$671,1),1,BE303):INDEX((係数_バス貨物_ガソリン,係数_バス貨物_CNG,係数_バス貨物_軽油,係数_バス貨物_メタノール,係数_バス貨物_LPG),MATCH(AY303+1,【参考】排出係数!$AI$4:$AI$671,1)-1,5,BE303),5,FALSE)),IF(AND(BE303=3,LEFT(BF303,1)="1"),0.055,VLOOKUP(AU303,INDEX((係数_乗用_ガソリン,係数_乗用_CNG,係数_乗用_軽油,係数_乗用_メタノール,係数_乗用_LPG),1,1,BE303):INDEX((係数_乗用_ガソリン,係数_乗用_CNG,係数_乗用_軽油,係数_乗用_メタノール,係数_乗用_LPG),125,5,BE303),5,FALSE)))))</f>
        <v/>
      </c>
      <c r="AN303" s="461" t="str">
        <f t="shared" si="165"/>
        <v/>
      </c>
      <c r="AO303" s="462" t="str">
        <f t="shared" si="166"/>
        <v/>
      </c>
      <c r="AP303" s="463" t="str">
        <f t="shared" si="167"/>
        <v/>
      </c>
      <c r="AQ303" s="464"/>
      <c r="AR303" s="619"/>
      <c r="AS303" s="465" t="str">
        <f t="shared" si="146"/>
        <v/>
      </c>
      <c r="AT303" s="465" t="str">
        <f t="shared" si="147"/>
        <v/>
      </c>
      <c r="AU303" s="466" t="str">
        <f t="shared" si="148"/>
        <v/>
      </c>
      <c r="AV303" s="467" t="str">
        <f t="shared" si="149"/>
        <v/>
      </c>
      <c r="AW303" s="467" t="str">
        <f t="shared" si="150"/>
        <v/>
      </c>
      <c r="AX303" s="467" t="str">
        <f t="shared" si="151"/>
        <v/>
      </c>
      <c r="AY303" s="467" t="str">
        <f t="shared" si="152"/>
        <v/>
      </c>
      <c r="AZ303" s="467" t="str">
        <f t="shared" si="153"/>
        <v/>
      </c>
      <c r="BA303" s="468" t="str">
        <f>IF(AS303="","",IF(OR(AU303="",AU303="-"),"－",IF(OR(AZ303=8,AZ303=9),"",IF(OR(AW303=3,AW303=4,AW303=5,AW303=6),VLOOKUP(AU303,INDEX((係数_バス貨物_ガソリン,係数_バス貨物_CNG,係数_バス貨物_軽油,係数_バス貨物_メタノール,係数_バス貨物_LPG),MATCH(AY303,【参考】排出係数!$AI$4:$AI$671,1),1,BE303):INDEX((係数_バス貨物_ガソリン,係数_バス貨物_CNG,係数_バス貨物_軽油,係数_バス貨物_メタノール,係数_バス貨物_LPG),MATCH(AY303+1,【参考】排出係数!$AI$4:$AI$671,1)-1,5,BE303),2,FALSE),IF(OR(AW303=1,AW303=2),VLOOKUP(AU303,INDEX((係数_乗用_ガソリン,係数_乗用_CNG,係数_乗用_軽油,係数_乗用_メタノール,係数_乗用_LPG),1,1,BE303):INDEX((係数_乗用_ガソリン,係数_乗用_CNG,係数_乗用_軽油,係数_乗用_メタノール,係数_乗用_LPG),125,5,BE303),2,FALSE))))))</f>
        <v/>
      </c>
      <c r="BB303" s="468" t="str">
        <f>IF(T303="","",IF(OR(AU303="",AU303="-"),"－",IF(OR(AZ303=8,AZ303=9),"",IF(OR(AW303=3,AW303=4,AW303=5,AW303=6),VLOOKUP(AU303,INDEX((係数_バス貨物_ガソリン,係数_バス貨物_CNG,係数_バス貨物_軽油,係数_バス貨物_メタノール,係数_バス貨物_LPG),MATCH(AY303,【参考】排出係数!$AI$4:$AI$671,1),1,BE303):INDEX((係数_バス貨物_ガソリン,係数_バス貨物_CNG,係数_バス貨物_軽油,係数_バス貨物_メタノール,係数_バス貨物_LPG),MATCH(AY303+1,【参考】排出係数!$AI$4:$AI$671,1)-1,5,BE303),3,FALSE),IF(OR(AW303=1,AW303=2),VLOOKUP(AU303,INDEX((係数_乗用_ガソリン,係数_乗用_CNG,係数_乗用_軽油,係数_乗用_メタノール,係数_乗用_LPG),1,1,BE303):INDEX((係数_乗用_ガソリン,係数_乗用_CNG,係数_乗用_軽油,係数_乗用_メタノール,係数_乗用_LPG),125,5,BE303),3,FALSE))))))</f>
        <v/>
      </c>
      <c r="BC303" s="467" t="str">
        <f t="shared" si="154"/>
        <v/>
      </c>
      <c r="BD303" s="567" t="str">
        <f t="shared" si="155"/>
        <v/>
      </c>
      <c r="BE303" s="467" t="str">
        <f t="shared" si="156"/>
        <v/>
      </c>
      <c r="BF303" s="469" t="str">
        <f t="shared" ca="1" si="157"/>
        <v/>
      </c>
      <c r="BG303" s="469" t="str">
        <f t="shared" ca="1" si="158"/>
        <v/>
      </c>
      <c r="BH303" s="467" t="str">
        <f t="shared" si="159"/>
        <v/>
      </c>
      <c r="BI303" s="467" t="str">
        <f t="shared" ca="1" si="160"/>
        <v/>
      </c>
      <c r="BJ303" s="469" t="str">
        <f t="shared" si="161"/>
        <v/>
      </c>
      <c r="BK303" s="470" t="str">
        <f t="shared" si="141"/>
        <v/>
      </c>
      <c r="BL303" s="775" t="str">
        <f t="shared" si="162"/>
        <v/>
      </c>
      <c r="BM303" s="775" t="str">
        <f t="shared" si="163"/>
        <v/>
      </c>
    </row>
    <row r="304" spans="1:65">
      <c r="A304" s="473">
        <v>248</v>
      </c>
      <c r="B304" s="132"/>
      <c r="C304" s="332"/>
      <c r="D304" s="333"/>
      <c r="E304" s="333"/>
      <c r="F304" s="334"/>
      <c r="G304" s="337"/>
      <c r="H304" s="131"/>
      <c r="I304" s="337"/>
      <c r="J304" s="131"/>
      <c r="K304" s="458" t="str">
        <f t="shared" si="130"/>
        <v/>
      </c>
      <c r="L304" s="458">
        <f t="shared" si="142"/>
        <v>0</v>
      </c>
      <c r="M304" s="458">
        <f t="shared" si="143"/>
        <v>0</v>
      </c>
      <c r="N304" s="459" t="str">
        <f t="shared" si="131"/>
        <v/>
      </c>
      <c r="O304" s="459" t="str">
        <f t="shared" si="132"/>
        <v/>
      </c>
      <c r="P304" s="459" t="str">
        <f t="shared" si="133"/>
        <v/>
      </c>
      <c r="Q304" s="459" t="str">
        <f t="shared" si="134"/>
        <v/>
      </c>
      <c r="R304" s="459" t="str">
        <f t="shared" si="135"/>
        <v/>
      </c>
      <c r="S304" s="459" t="str">
        <f t="shared" si="136"/>
        <v/>
      </c>
      <c r="T304" s="566" t="str">
        <f t="shared" si="144"/>
        <v/>
      </c>
      <c r="U304" s="702"/>
      <c r="V304" s="132"/>
      <c r="W304" s="133"/>
      <c r="X304" s="134"/>
      <c r="Y304" s="135"/>
      <c r="Z304" s="137"/>
      <c r="AA304" s="136"/>
      <c r="AB304" s="566" t="str">
        <f t="shared" si="137"/>
        <v/>
      </c>
      <c r="AC304" s="568" t="str">
        <f t="shared" si="145"/>
        <v/>
      </c>
      <c r="AD304" s="137"/>
      <c r="AE304" s="137"/>
      <c r="AF304" s="138"/>
      <c r="AG304" s="138"/>
      <c r="AH304" s="592" t="str">
        <f t="shared" si="138"/>
        <v/>
      </c>
      <c r="AI304" s="592" t="str">
        <f t="shared" si="139"/>
        <v/>
      </c>
      <c r="AJ304" s="592" t="str">
        <f t="shared" si="140"/>
        <v/>
      </c>
      <c r="AK304" s="460" t="str">
        <f>IF(AU304="","",IF(OR(AZ304=8,AZ304=9),0,IF(OR(AW304=3,AW304=4,AW304=5,AW304=6),IF(LEFT(BF304,1)="1",INDEX(係数_NOX・PM低減,MATCH(AY304,【参考】排出係数!$AI$801:$AI$804,1),1),VLOOKUP(AU304,INDEX((係数_バス貨物_ガソリン,係数_バス貨物_CNG,係数_バス貨物_軽油,係数_バス貨物_メタノール,係数_バス貨物_LPG),MATCH(AY304,【参考】排出係数!$AI$4:$AI$671,1),1,BE304):INDEX((係数_バス貨物_ガソリン,係数_バス貨物_CNG,係数_バス貨物_軽油,係数_バス貨物_メタノール,係数_バス貨物_LPG),MATCH(AY304+1,【参考】排出係数!$AI$4:$AI$671,1)-1,5,BE304),4,FALSE)),IF(AND(BE304=3,LEFT(BF304,1)="1"),0.48,VLOOKUP(AU304,INDEX((係数_乗用_ガソリン,係数_乗用_CNG,係数_乗用_軽油,係数_乗用_メタノール,係数_乗用_LPG),1,1,BE304):INDEX((係数_乗用_ガソリン,係数_乗用_CNG,係数_乗用_軽油,係数_乗用_メタノール,係数_乗用_LPG),125,5,BE304),4,FALSE)))))</f>
        <v/>
      </c>
      <c r="AL304" s="461" t="str">
        <f t="shared" si="164"/>
        <v/>
      </c>
      <c r="AM304" s="460" t="str">
        <f>IF(AU304="","",IF(OR(AZ304=8,AZ304=9),0,IF(OR(AW304=3,AW304=4,AW304=5,AW304=6),IF(LEFT(BH304,1)="1",INDEX(係数_PM低減,MATCH(AY304,【参考】排出係数!$AI$801:$AI$804,1),MATCH(BI304,【参考】排出係数!$AL$798:$AO$798,1)),VLOOKUP(AU304,INDEX((係数_バス貨物_ガソリン,係数_バス貨物_CNG,係数_バス貨物_軽油,係数_バス貨物_メタノール,係数_バス貨物_LPG),MATCH(AY304,【参考】排出係数!$AI$4:$AI$671,1),1,BE304):INDEX((係数_バス貨物_ガソリン,係数_バス貨物_CNG,係数_バス貨物_軽油,係数_バス貨物_メタノール,係数_バス貨物_LPG),MATCH(AY304+1,【参考】排出係数!$AI$4:$AI$671,1)-1,5,BE304),5,FALSE)),IF(AND(BE304=3,LEFT(BF304,1)="1"),0.055,VLOOKUP(AU304,INDEX((係数_乗用_ガソリン,係数_乗用_CNG,係数_乗用_軽油,係数_乗用_メタノール,係数_乗用_LPG),1,1,BE304):INDEX((係数_乗用_ガソリン,係数_乗用_CNG,係数_乗用_軽油,係数_乗用_メタノール,係数_乗用_LPG),125,5,BE304),5,FALSE)))))</f>
        <v/>
      </c>
      <c r="AN304" s="461" t="str">
        <f t="shared" si="165"/>
        <v/>
      </c>
      <c r="AO304" s="462" t="str">
        <f t="shared" si="166"/>
        <v/>
      </c>
      <c r="AP304" s="463" t="str">
        <f t="shared" si="167"/>
        <v/>
      </c>
      <c r="AQ304" s="464"/>
      <c r="AR304" s="619"/>
      <c r="AS304" s="465" t="str">
        <f t="shared" si="146"/>
        <v/>
      </c>
      <c r="AT304" s="465" t="str">
        <f t="shared" si="147"/>
        <v/>
      </c>
      <c r="AU304" s="466" t="str">
        <f t="shared" si="148"/>
        <v/>
      </c>
      <c r="AV304" s="467" t="str">
        <f t="shared" si="149"/>
        <v/>
      </c>
      <c r="AW304" s="467" t="str">
        <f t="shared" si="150"/>
        <v/>
      </c>
      <c r="AX304" s="467" t="str">
        <f t="shared" si="151"/>
        <v/>
      </c>
      <c r="AY304" s="467" t="str">
        <f t="shared" si="152"/>
        <v/>
      </c>
      <c r="AZ304" s="467" t="str">
        <f t="shared" si="153"/>
        <v/>
      </c>
      <c r="BA304" s="468" t="str">
        <f>IF(AS304="","",IF(OR(AU304="",AU304="-"),"－",IF(OR(AZ304=8,AZ304=9),"",IF(OR(AW304=3,AW304=4,AW304=5,AW304=6),VLOOKUP(AU304,INDEX((係数_バス貨物_ガソリン,係数_バス貨物_CNG,係数_バス貨物_軽油,係数_バス貨物_メタノール,係数_バス貨物_LPG),MATCH(AY304,【参考】排出係数!$AI$4:$AI$671,1),1,BE304):INDEX((係数_バス貨物_ガソリン,係数_バス貨物_CNG,係数_バス貨物_軽油,係数_バス貨物_メタノール,係数_バス貨物_LPG),MATCH(AY304+1,【参考】排出係数!$AI$4:$AI$671,1)-1,5,BE304),2,FALSE),IF(OR(AW304=1,AW304=2),VLOOKUP(AU304,INDEX((係数_乗用_ガソリン,係数_乗用_CNG,係数_乗用_軽油,係数_乗用_メタノール,係数_乗用_LPG),1,1,BE304):INDEX((係数_乗用_ガソリン,係数_乗用_CNG,係数_乗用_軽油,係数_乗用_メタノール,係数_乗用_LPG),125,5,BE304),2,FALSE))))))</f>
        <v/>
      </c>
      <c r="BB304" s="468" t="str">
        <f>IF(T304="","",IF(OR(AU304="",AU304="-"),"－",IF(OR(AZ304=8,AZ304=9),"",IF(OR(AW304=3,AW304=4,AW304=5,AW304=6),VLOOKUP(AU304,INDEX((係数_バス貨物_ガソリン,係数_バス貨物_CNG,係数_バス貨物_軽油,係数_バス貨物_メタノール,係数_バス貨物_LPG),MATCH(AY304,【参考】排出係数!$AI$4:$AI$671,1),1,BE304):INDEX((係数_バス貨物_ガソリン,係数_バス貨物_CNG,係数_バス貨物_軽油,係数_バス貨物_メタノール,係数_バス貨物_LPG),MATCH(AY304+1,【参考】排出係数!$AI$4:$AI$671,1)-1,5,BE304),3,FALSE),IF(OR(AW304=1,AW304=2),VLOOKUP(AU304,INDEX((係数_乗用_ガソリン,係数_乗用_CNG,係数_乗用_軽油,係数_乗用_メタノール,係数_乗用_LPG),1,1,BE304):INDEX((係数_乗用_ガソリン,係数_乗用_CNG,係数_乗用_軽油,係数_乗用_メタノール,係数_乗用_LPG),125,5,BE304),3,FALSE))))))</f>
        <v/>
      </c>
      <c r="BC304" s="467" t="str">
        <f t="shared" si="154"/>
        <v/>
      </c>
      <c r="BD304" s="567" t="str">
        <f t="shared" si="155"/>
        <v/>
      </c>
      <c r="BE304" s="467" t="str">
        <f t="shared" si="156"/>
        <v/>
      </c>
      <c r="BF304" s="469" t="str">
        <f t="shared" ca="1" si="157"/>
        <v/>
      </c>
      <c r="BG304" s="469" t="str">
        <f t="shared" ca="1" si="158"/>
        <v/>
      </c>
      <c r="BH304" s="467" t="str">
        <f t="shared" si="159"/>
        <v/>
      </c>
      <c r="BI304" s="467" t="str">
        <f t="shared" ca="1" si="160"/>
        <v/>
      </c>
      <c r="BJ304" s="469" t="str">
        <f t="shared" si="161"/>
        <v/>
      </c>
      <c r="BK304" s="470" t="str">
        <f t="shared" si="141"/>
        <v/>
      </c>
      <c r="BL304" s="775" t="str">
        <f t="shared" si="162"/>
        <v/>
      </c>
      <c r="BM304" s="775" t="str">
        <f t="shared" si="163"/>
        <v/>
      </c>
    </row>
    <row r="305" spans="1:65">
      <c r="A305" s="473">
        <v>249</v>
      </c>
      <c r="B305" s="132"/>
      <c r="C305" s="332"/>
      <c r="D305" s="333"/>
      <c r="E305" s="333"/>
      <c r="F305" s="334"/>
      <c r="G305" s="337"/>
      <c r="H305" s="131"/>
      <c r="I305" s="337"/>
      <c r="J305" s="131"/>
      <c r="K305" s="458" t="str">
        <f t="shared" si="130"/>
        <v/>
      </c>
      <c r="L305" s="458">
        <f t="shared" si="142"/>
        <v>0</v>
      </c>
      <c r="M305" s="458">
        <f t="shared" si="143"/>
        <v>0</v>
      </c>
      <c r="N305" s="459" t="str">
        <f t="shared" si="131"/>
        <v/>
      </c>
      <c r="O305" s="459" t="str">
        <f t="shared" si="132"/>
        <v/>
      </c>
      <c r="P305" s="459" t="str">
        <f t="shared" si="133"/>
        <v/>
      </c>
      <c r="Q305" s="459" t="str">
        <f t="shared" si="134"/>
        <v/>
      </c>
      <c r="R305" s="459" t="str">
        <f t="shared" si="135"/>
        <v/>
      </c>
      <c r="S305" s="459" t="str">
        <f t="shared" si="136"/>
        <v/>
      </c>
      <c r="T305" s="566" t="str">
        <f t="shared" si="144"/>
        <v/>
      </c>
      <c r="U305" s="702"/>
      <c r="V305" s="132"/>
      <c r="W305" s="133"/>
      <c r="X305" s="134"/>
      <c r="Y305" s="135"/>
      <c r="Z305" s="137"/>
      <c r="AA305" s="136"/>
      <c r="AB305" s="566" t="str">
        <f t="shared" si="137"/>
        <v/>
      </c>
      <c r="AC305" s="568" t="str">
        <f t="shared" si="145"/>
        <v/>
      </c>
      <c r="AD305" s="137"/>
      <c r="AE305" s="137"/>
      <c r="AF305" s="138"/>
      <c r="AG305" s="138"/>
      <c r="AH305" s="592" t="str">
        <f t="shared" si="138"/>
        <v/>
      </c>
      <c r="AI305" s="592" t="str">
        <f t="shared" si="139"/>
        <v/>
      </c>
      <c r="AJ305" s="592" t="str">
        <f t="shared" si="140"/>
        <v/>
      </c>
      <c r="AK305" s="460" t="str">
        <f>IF(AU305="","",IF(OR(AZ305=8,AZ305=9),0,IF(OR(AW305=3,AW305=4,AW305=5,AW305=6),IF(LEFT(BF305,1)="1",INDEX(係数_NOX・PM低減,MATCH(AY305,【参考】排出係数!$AI$801:$AI$804,1),1),VLOOKUP(AU305,INDEX((係数_バス貨物_ガソリン,係数_バス貨物_CNG,係数_バス貨物_軽油,係数_バス貨物_メタノール,係数_バス貨物_LPG),MATCH(AY305,【参考】排出係数!$AI$4:$AI$671,1),1,BE305):INDEX((係数_バス貨物_ガソリン,係数_バス貨物_CNG,係数_バス貨物_軽油,係数_バス貨物_メタノール,係数_バス貨物_LPG),MATCH(AY305+1,【参考】排出係数!$AI$4:$AI$671,1)-1,5,BE305),4,FALSE)),IF(AND(BE305=3,LEFT(BF305,1)="1"),0.48,VLOOKUP(AU305,INDEX((係数_乗用_ガソリン,係数_乗用_CNG,係数_乗用_軽油,係数_乗用_メタノール,係数_乗用_LPG),1,1,BE305):INDEX((係数_乗用_ガソリン,係数_乗用_CNG,係数_乗用_軽油,係数_乗用_メタノール,係数_乗用_LPG),125,5,BE305),4,FALSE)))))</f>
        <v/>
      </c>
      <c r="AL305" s="461" t="str">
        <f t="shared" si="164"/>
        <v/>
      </c>
      <c r="AM305" s="460" t="str">
        <f>IF(AU305="","",IF(OR(AZ305=8,AZ305=9),0,IF(OR(AW305=3,AW305=4,AW305=5,AW305=6),IF(LEFT(BH305,1)="1",INDEX(係数_PM低減,MATCH(AY305,【参考】排出係数!$AI$801:$AI$804,1),MATCH(BI305,【参考】排出係数!$AL$798:$AO$798,1)),VLOOKUP(AU305,INDEX((係数_バス貨物_ガソリン,係数_バス貨物_CNG,係数_バス貨物_軽油,係数_バス貨物_メタノール,係数_バス貨物_LPG),MATCH(AY305,【参考】排出係数!$AI$4:$AI$671,1),1,BE305):INDEX((係数_バス貨物_ガソリン,係数_バス貨物_CNG,係数_バス貨物_軽油,係数_バス貨物_メタノール,係数_バス貨物_LPG),MATCH(AY305+1,【参考】排出係数!$AI$4:$AI$671,1)-1,5,BE305),5,FALSE)),IF(AND(BE305=3,LEFT(BF305,1)="1"),0.055,VLOOKUP(AU305,INDEX((係数_乗用_ガソリン,係数_乗用_CNG,係数_乗用_軽油,係数_乗用_メタノール,係数_乗用_LPG),1,1,BE305):INDEX((係数_乗用_ガソリン,係数_乗用_CNG,係数_乗用_軽油,係数_乗用_メタノール,係数_乗用_LPG),125,5,BE305),5,FALSE)))))</f>
        <v/>
      </c>
      <c r="AN305" s="461" t="str">
        <f t="shared" si="165"/>
        <v/>
      </c>
      <c r="AO305" s="462" t="str">
        <f t="shared" si="166"/>
        <v/>
      </c>
      <c r="AP305" s="463" t="str">
        <f t="shared" si="167"/>
        <v/>
      </c>
      <c r="AQ305" s="464"/>
      <c r="AR305" s="619"/>
      <c r="AS305" s="465" t="str">
        <f t="shared" si="146"/>
        <v/>
      </c>
      <c r="AT305" s="465" t="str">
        <f t="shared" si="147"/>
        <v/>
      </c>
      <c r="AU305" s="466" t="str">
        <f t="shared" si="148"/>
        <v/>
      </c>
      <c r="AV305" s="467" t="str">
        <f t="shared" si="149"/>
        <v/>
      </c>
      <c r="AW305" s="467" t="str">
        <f t="shared" si="150"/>
        <v/>
      </c>
      <c r="AX305" s="467" t="str">
        <f t="shared" si="151"/>
        <v/>
      </c>
      <c r="AY305" s="467" t="str">
        <f t="shared" si="152"/>
        <v/>
      </c>
      <c r="AZ305" s="467" t="str">
        <f t="shared" si="153"/>
        <v/>
      </c>
      <c r="BA305" s="468" t="str">
        <f>IF(AS305="","",IF(OR(AU305="",AU305="-"),"－",IF(OR(AZ305=8,AZ305=9),"",IF(OR(AW305=3,AW305=4,AW305=5,AW305=6),VLOOKUP(AU305,INDEX((係数_バス貨物_ガソリン,係数_バス貨物_CNG,係数_バス貨物_軽油,係数_バス貨物_メタノール,係数_バス貨物_LPG),MATCH(AY305,【参考】排出係数!$AI$4:$AI$671,1),1,BE305):INDEX((係数_バス貨物_ガソリン,係数_バス貨物_CNG,係数_バス貨物_軽油,係数_バス貨物_メタノール,係数_バス貨物_LPG),MATCH(AY305+1,【参考】排出係数!$AI$4:$AI$671,1)-1,5,BE305),2,FALSE),IF(OR(AW305=1,AW305=2),VLOOKUP(AU305,INDEX((係数_乗用_ガソリン,係数_乗用_CNG,係数_乗用_軽油,係数_乗用_メタノール,係数_乗用_LPG),1,1,BE305):INDEX((係数_乗用_ガソリン,係数_乗用_CNG,係数_乗用_軽油,係数_乗用_メタノール,係数_乗用_LPG),125,5,BE305),2,FALSE))))))</f>
        <v/>
      </c>
      <c r="BB305" s="468" t="str">
        <f>IF(T305="","",IF(OR(AU305="",AU305="-"),"－",IF(OR(AZ305=8,AZ305=9),"",IF(OR(AW305=3,AW305=4,AW305=5,AW305=6),VLOOKUP(AU305,INDEX((係数_バス貨物_ガソリン,係数_バス貨物_CNG,係数_バス貨物_軽油,係数_バス貨物_メタノール,係数_バス貨物_LPG),MATCH(AY305,【参考】排出係数!$AI$4:$AI$671,1),1,BE305):INDEX((係数_バス貨物_ガソリン,係数_バス貨物_CNG,係数_バス貨物_軽油,係数_バス貨物_メタノール,係数_バス貨物_LPG),MATCH(AY305+1,【参考】排出係数!$AI$4:$AI$671,1)-1,5,BE305),3,FALSE),IF(OR(AW305=1,AW305=2),VLOOKUP(AU305,INDEX((係数_乗用_ガソリン,係数_乗用_CNG,係数_乗用_軽油,係数_乗用_メタノール,係数_乗用_LPG),1,1,BE305):INDEX((係数_乗用_ガソリン,係数_乗用_CNG,係数_乗用_軽油,係数_乗用_メタノール,係数_乗用_LPG),125,5,BE305),3,FALSE))))))</f>
        <v/>
      </c>
      <c r="BC305" s="467" t="str">
        <f t="shared" si="154"/>
        <v/>
      </c>
      <c r="BD305" s="567" t="str">
        <f t="shared" si="155"/>
        <v/>
      </c>
      <c r="BE305" s="467" t="str">
        <f t="shared" si="156"/>
        <v/>
      </c>
      <c r="BF305" s="469" t="str">
        <f t="shared" ca="1" si="157"/>
        <v/>
      </c>
      <c r="BG305" s="469" t="str">
        <f t="shared" ca="1" si="158"/>
        <v/>
      </c>
      <c r="BH305" s="467" t="str">
        <f t="shared" si="159"/>
        <v/>
      </c>
      <c r="BI305" s="467" t="str">
        <f t="shared" ca="1" si="160"/>
        <v/>
      </c>
      <c r="BJ305" s="469" t="str">
        <f t="shared" si="161"/>
        <v/>
      </c>
      <c r="BK305" s="470" t="str">
        <f t="shared" si="141"/>
        <v/>
      </c>
      <c r="BL305" s="775" t="str">
        <f t="shared" si="162"/>
        <v/>
      </c>
      <c r="BM305" s="775" t="str">
        <f t="shared" si="163"/>
        <v/>
      </c>
    </row>
    <row r="306" spans="1:65">
      <c r="A306" s="473">
        <v>250</v>
      </c>
      <c r="B306" s="132"/>
      <c r="C306" s="332"/>
      <c r="D306" s="333"/>
      <c r="E306" s="333"/>
      <c r="F306" s="334"/>
      <c r="G306" s="337"/>
      <c r="H306" s="131"/>
      <c r="I306" s="337"/>
      <c r="J306" s="131"/>
      <c r="K306" s="458" t="str">
        <f t="shared" si="130"/>
        <v/>
      </c>
      <c r="L306" s="458">
        <f t="shared" si="142"/>
        <v>0</v>
      </c>
      <c r="M306" s="458">
        <f t="shared" si="143"/>
        <v>0</v>
      </c>
      <c r="N306" s="459" t="str">
        <f t="shared" si="131"/>
        <v/>
      </c>
      <c r="O306" s="459" t="str">
        <f t="shared" si="132"/>
        <v/>
      </c>
      <c r="P306" s="459" t="str">
        <f t="shared" si="133"/>
        <v/>
      </c>
      <c r="Q306" s="459" t="str">
        <f t="shared" si="134"/>
        <v/>
      </c>
      <c r="R306" s="459" t="str">
        <f t="shared" si="135"/>
        <v/>
      </c>
      <c r="S306" s="459" t="str">
        <f t="shared" si="136"/>
        <v/>
      </c>
      <c r="T306" s="566" t="str">
        <f t="shared" si="144"/>
        <v/>
      </c>
      <c r="U306" s="702"/>
      <c r="V306" s="132"/>
      <c r="W306" s="133"/>
      <c r="X306" s="134"/>
      <c r="Y306" s="135"/>
      <c r="Z306" s="137"/>
      <c r="AA306" s="136"/>
      <c r="AB306" s="566" t="str">
        <f t="shared" si="137"/>
        <v/>
      </c>
      <c r="AC306" s="568" t="str">
        <f t="shared" si="145"/>
        <v/>
      </c>
      <c r="AD306" s="137"/>
      <c r="AE306" s="137"/>
      <c r="AF306" s="138"/>
      <c r="AG306" s="138"/>
      <c r="AH306" s="592" t="str">
        <f t="shared" si="138"/>
        <v/>
      </c>
      <c r="AI306" s="592" t="str">
        <f t="shared" si="139"/>
        <v/>
      </c>
      <c r="AJ306" s="592" t="str">
        <f t="shared" si="140"/>
        <v/>
      </c>
      <c r="AK306" s="460" t="str">
        <f>IF(AU306="","",IF(OR(AZ306=8,AZ306=9),0,IF(OR(AW306=3,AW306=4,AW306=5,AW306=6),IF(LEFT(BF306,1)="1",INDEX(係数_NOX・PM低減,MATCH(AY306,【参考】排出係数!$AI$801:$AI$804,1),1),VLOOKUP(AU306,INDEX((係数_バス貨物_ガソリン,係数_バス貨物_CNG,係数_バス貨物_軽油,係数_バス貨物_メタノール,係数_バス貨物_LPG),MATCH(AY306,【参考】排出係数!$AI$4:$AI$671,1),1,BE306):INDEX((係数_バス貨物_ガソリン,係数_バス貨物_CNG,係数_バス貨物_軽油,係数_バス貨物_メタノール,係数_バス貨物_LPG),MATCH(AY306+1,【参考】排出係数!$AI$4:$AI$671,1)-1,5,BE306),4,FALSE)),IF(AND(BE306=3,LEFT(BF306,1)="1"),0.48,VLOOKUP(AU306,INDEX((係数_乗用_ガソリン,係数_乗用_CNG,係数_乗用_軽油,係数_乗用_メタノール,係数_乗用_LPG),1,1,BE306):INDEX((係数_乗用_ガソリン,係数_乗用_CNG,係数_乗用_軽油,係数_乗用_メタノール,係数_乗用_LPG),125,5,BE306),4,FALSE)))))</f>
        <v/>
      </c>
      <c r="AL306" s="461" t="str">
        <f t="shared" si="164"/>
        <v/>
      </c>
      <c r="AM306" s="460" t="str">
        <f>IF(AU306="","",IF(OR(AZ306=8,AZ306=9),0,IF(OR(AW306=3,AW306=4,AW306=5,AW306=6),IF(LEFT(BH306,1)="1",INDEX(係数_PM低減,MATCH(AY306,【参考】排出係数!$AI$801:$AI$804,1),MATCH(BI306,【参考】排出係数!$AL$798:$AO$798,1)),VLOOKUP(AU306,INDEX((係数_バス貨物_ガソリン,係数_バス貨物_CNG,係数_バス貨物_軽油,係数_バス貨物_メタノール,係数_バス貨物_LPG),MATCH(AY306,【参考】排出係数!$AI$4:$AI$671,1),1,BE306):INDEX((係数_バス貨物_ガソリン,係数_バス貨物_CNG,係数_バス貨物_軽油,係数_バス貨物_メタノール,係数_バス貨物_LPG),MATCH(AY306+1,【参考】排出係数!$AI$4:$AI$671,1)-1,5,BE306),5,FALSE)),IF(AND(BE306=3,LEFT(BF306,1)="1"),0.055,VLOOKUP(AU306,INDEX((係数_乗用_ガソリン,係数_乗用_CNG,係数_乗用_軽油,係数_乗用_メタノール,係数_乗用_LPG),1,1,BE306):INDEX((係数_乗用_ガソリン,係数_乗用_CNG,係数_乗用_軽油,係数_乗用_メタノール,係数_乗用_LPG),125,5,BE306),5,FALSE)))))</f>
        <v/>
      </c>
      <c r="AN306" s="461" t="str">
        <f t="shared" si="165"/>
        <v/>
      </c>
      <c r="AO306" s="462" t="str">
        <f t="shared" si="166"/>
        <v/>
      </c>
      <c r="AP306" s="463" t="str">
        <f t="shared" si="167"/>
        <v/>
      </c>
      <c r="AQ306" s="464"/>
      <c r="AR306" s="619"/>
      <c r="AS306" s="465" t="str">
        <f t="shared" si="146"/>
        <v/>
      </c>
      <c r="AT306" s="465" t="str">
        <f t="shared" si="147"/>
        <v/>
      </c>
      <c r="AU306" s="466" t="str">
        <f t="shared" si="148"/>
        <v/>
      </c>
      <c r="AV306" s="467" t="str">
        <f t="shared" si="149"/>
        <v/>
      </c>
      <c r="AW306" s="467" t="str">
        <f t="shared" si="150"/>
        <v/>
      </c>
      <c r="AX306" s="467" t="str">
        <f t="shared" si="151"/>
        <v/>
      </c>
      <c r="AY306" s="467" t="str">
        <f t="shared" si="152"/>
        <v/>
      </c>
      <c r="AZ306" s="467" t="str">
        <f t="shared" si="153"/>
        <v/>
      </c>
      <c r="BA306" s="468" t="str">
        <f>IF(AS306="","",IF(OR(AU306="",AU306="-"),"－",IF(OR(AZ306=8,AZ306=9),"",IF(OR(AW306=3,AW306=4,AW306=5,AW306=6),VLOOKUP(AU306,INDEX((係数_バス貨物_ガソリン,係数_バス貨物_CNG,係数_バス貨物_軽油,係数_バス貨物_メタノール,係数_バス貨物_LPG),MATCH(AY306,【参考】排出係数!$AI$4:$AI$671,1),1,BE306):INDEX((係数_バス貨物_ガソリン,係数_バス貨物_CNG,係数_バス貨物_軽油,係数_バス貨物_メタノール,係数_バス貨物_LPG),MATCH(AY306+1,【参考】排出係数!$AI$4:$AI$671,1)-1,5,BE306),2,FALSE),IF(OR(AW306=1,AW306=2),VLOOKUP(AU306,INDEX((係数_乗用_ガソリン,係数_乗用_CNG,係数_乗用_軽油,係数_乗用_メタノール,係数_乗用_LPG),1,1,BE306):INDEX((係数_乗用_ガソリン,係数_乗用_CNG,係数_乗用_軽油,係数_乗用_メタノール,係数_乗用_LPG),125,5,BE306),2,FALSE))))))</f>
        <v/>
      </c>
      <c r="BB306" s="468" t="str">
        <f>IF(T306="","",IF(OR(AU306="",AU306="-"),"－",IF(OR(AZ306=8,AZ306=9),"",IF(OR(AW306=3,AW306=4,AW306=5,AW306=6),VLOOKUP(AU306,INDEX((係数_バス貨物_ガソリン,係数_バス貨物_CNG,係数_バス貨物_軽油,係数_バス貨物_メタノール,係数_バス貨物_LPG),MATCH(AY306,【参考】排出係数!$AI$4:$AI$671,1),1,BE306):INDEX((係数_バス貨物_ガソリン,係数_バス貨物_CNG,係数_バス貨物_軽油,係数_バス貨物_メタノール,係数_バス貨物_LPG),MATCH(AY306+1,【参考】排出係数!$AI$4:$AI$671,1)-1,5,BE306),3,FALSE),IF(OR(AW306=1,AW306=2),VLOOKUP(AU306,INDEX((係数_乗用_ガソリン,係数_乗用_CNG,係数_乗用_軽油,係数_乗用_メタノール,係数_乗用_LPG),1,1,BE306):INDEX((係数_乗用_ガソリン,係数_乗用_CNG,係数_乗用_軽油,係数_乗用_メタノール,係数_乗用_LPG),125,5,BE306),3,FALSE))))))</f>
        <v/>
      </c>
      <c r="BC306" s="467" t="str">
        <f t="shared" si="154"/>
        <v/>
      </c>
      <c r="BD306" s="567" t="str">
        <f t="shared" si="155"/>
        <v/>
      </c>
      <c r="BE306" s="467" t="str">
        <f t="shared" si="156"/>
        <v/>
      </c>
      <c r="BF306" s="469" t="str">
        <f t="shared" ca="1" si="157"/>
        <v/>
      </c>
      <c r="BG306" s="469" t="str">
        <f t="shared" ca="1" si="158"/>
        <v/>
      </c>
      <c r="BH306" s="467" t="str">
        <f t="shared" si="159"/>
        <v/>
      </c>
      <c r="BI306" s="467" t="str">
        <f t="shared" ca="1" si="160"/>
        <v/>
      </c>
      <c r="BJ306" s="469" t="str">
        <f t="shared" si="161"/>
        <v/>
      </c>
      <c r="BK306" s="470" t="str">
        <f t="shared" si="141"/>
        <v/>
      </c>
      <c r="BL306" s="775" t="str">
        <f t="shared" si="162"/>
        <v/>
      </c>
      <c r="BM306" s="775" t="str">
        <f t="shared" si="163"/>
        <v/>
      </c>
    </row>
    <row r="307" spans="1:65">
      <c r="A307" s="473">
        <v>251</v>
      </c>
      <c r="B307" s="132"/>
      <c r="C307" s="332"/>
      <c r="D307" s="333"/>
      <c r="E307" s="333"/>
      <c r="F307" s="334"/>
      <c r="G307" s="337"/>
      <c r="H307" s="131"/>
      <c r="I307" s="337"/>
      <c r="J307" s="131"/>
      <c r="K307" s="458" t="str">
        <f t="shared" si="130"/>
        <v/>
      </c>
      <c r="L307" s="458">
        <f t="shared" si="142"/>
        <v>0</v>
      </c>
      <c r="M307" s="458">
        <f t="shared" si="143"/>
        <v>0</v>
      </c>
      <c r="N307" s="459" t="str">
        <f t="shared" si="131"/>
        <v/>
      </c>
      <c r="O307" s="459" t="str">
        <f t="shared" si="132"/>
        <v/>
      </c>
      <c r="P307" s="459" t="str">
        <f t="shared" si="133"/>
        <v/>
      </c>
      <c r="Q307" s="459" t="str">
        <f t="shared" si="134"/>
        <v/>
      </c>
      <c r="R307" s="459" t="str">
        <f t="shared" si="135"/>
        <v/>
      </c>
      <c r="S307" s="459" t="str">
        <f t="shared" si="136"/>
        <v/>
      </c>
      <c r="T307" s="566" t="str">
        <f t="shared" si="144"/>
        <v/>
      </c>
      <c r="U307" s="702"/>
      <c r="V307" s="132"/>
      <c r="W307" s="133"/>
      <c r="X307" s="134"/>
      <c r="Y307" s="135"/>
      <c r="Z307" s="137"/>
      <c r="AA307" s="136"/>
      <c r="AB307" s="566" t="str">
        <f t="shared" si="137"/>
        <v/>
      </c>
      <c r="AC307" s="568" t="str">
        <f t="shared" si="145"/>
        <v/>
      </c>
      <c r="AD307" s="137"/>
      <c r="AE307" s="137"/>
      <c r="AF307" s="138"/>
      <c r="AG307" s="138"/>
      <c r="AH307" s="592" t="str">
        <f t="shared" si="138"/>
        <v/>
      </c>
      <c r="AI307" s="592" t="str">
        <f t="shared" si="139"/>
        <v/>
      </c>
      <c r="AJ307" s="592" t="str">
        <f t="shared" si="140"/>
        <v/>
      </c>
      <c r="AK307" s="460" t="str">
        <f>IF(AU307="","",IF(OR(AZ307=8,AZ307=9),0,IF(OR(AW307=3,AW307=4,AW307=5,AW307=6),IF(LEFT(BF307,1)="1",INDEX(係数_NOX・PM低減,MATCH(AY307,【参考】排出係数!$AI$801:$AI$804,1),1),VLOOKUP(AU307,INDEX((係数_バス貨物_ガソリン,係数_バス貨物_CNG,係数_バス貨物_軽油,係数_バス貨物_メタノール,係数_バス貨物_LPG),MATCH(AY307,【参考】排出係数!$AI$4:$AI$671,1),1,BE307):INDEX((係数_バス貨物_ガソリン,係数_バス貨物_CNG,係数_バス貨物_軽油,係数_バス貨物_メタノール,係数_バス貨物_LPG),MATCH(AY307+1,【参考】排出係数!$AI$4:$AI$671,1)-1,5,BE307),4,FALSE)),IF(AND(BE307=3,LEFT(BF307,1)="1"),0.48,VLOOKUP(AU307,INDEX((係数_乗用_ガソリン,係数_乗用_CNG,係数_乗用_軽油,係数_乗用_メタノール,係数_乗用_LPG),1,1,BE307):INDEX((係数_乗用_ガソリン,係数_乗用_CNG,係数_乗用_軽油,係数_乗用_メタノール,係数_乗用_LPG),125,5,BE307),4,FALSE)))))</f>
        <v/>
      </c>
      <c r="AL307" s="461" t="str">
        <f t="shared" si="164"/>
        <v/>
      </c>
      <c r="AM307" s="460" t="str">
        <f>IF(AU307="","",IF(OR(AZ307=8,AZ307=9),0,IF(OR(AW307=3,AW307=4,AW307=5,AW307=6),IF(LEFT(BH307,1)="1",INDEX(係数_PM低減,MATCH(AY307,【参考】排出係数!$AI$801:$AI$804,1),MATCH(BI307,【参考】排出係数!$AL$798:$AO$798,1)),VLOOKUP(AU307,INDEX((係数_バス貨物_ガソリン,係数_バス貨物_CNG,係数_バス貨物_軽油,係数_バス貨物_メタノール,係数_バス貨物_LPG),MATCH(AY307,【参考】排出係数!$AI$4:$AI$671,1),1,BE307):INDEX((係数_バス貨物_ガソリン,係数_バス貨物_CNG,係数_バス貨物_軽油,係数_バス貨物_メタノール,係数_バス貨物_LPG),MATCH(AY307+1,【参考】排出係数!$AI$4:$AI$671,1)-1,5,BE307),5,FALSE)),IF(AND(BE307=3,LEFT(BF307,1)="1"),0.055,VLOOKUP(AU307,INDEX((係数_乗用_ガソリン,係数_乗用_CNG,係数_乗用_軽油,係数_乗用_メタノール,係数_乗用_LPG),1,1,BE307):INDEX((係数_乗用_ガソリン,係数_乗用_CNG,係数_乗用_軽油,係数_乗用_メタノール,係数_乗用_LPG),125,5,BE307),5,FALSE)))))</f>
        <v/>
      </c>
      <c r="AN307" s="461" t="str">
        <f t="shared" si="165"/>
        <v/>
      </c>
      <c r="AO307" s="462" t="str">
        <f t="shared" si="166"/>
        <v/>
      </c>
      <c r="AP307" s="463" t="str">
        <f t="shared" si="167"/>
        <v/>
      </c>
      <c r="AQ307" s="464"/>
      <c r="AR307" s="619"/>
      <c r="AS307" s="465" t="str">
        <f t="shared" si="146"/>
        <v/>
      </c>
      <c r="AT307" s="465" t="str">
        <f t="shared" si="147"/>
        <v/>
      </c>
      <c r="AU307" s="466" t="str">
        <f t="shared" si="148"/>
        <v/>
      </c>
      <c r="AV307" s="467" t="str">
        <f t="shared" si="149"/>
        <v/>
      </c>
      <c r="AW307" s="467" t="str">
        <f t="shared" si="150"/>
        <v/>
      </c>
      <c r="AX307" s="467" t="str">
        <f t="shared" si="151"/>
        <v/>
      </c>
      <c r="AY307" s="467" t="str">
        <f t="shared" si="152"/>
        <v/>
      </c>
      <c r="AZ307" s="467" t="str">
        <f t="shared" si="153"/>
        <v/>
      </c>
      <c r="BA307" s="468" t="str">
        <f>IF(AS307="","",IF(OR(AU307="",AU307="-"),"－",IF(OR(AZ307=8,AZ307=9),"",IF(OR(AW307=3,AW307=4,AW307=5,AW307=6),VLOOKUP(AU307,INDEX((係数_バス貨物_ガソリン,係数_バス貨物_CNG,係数_バス貨物_軽油,係数_バス貨物_メタノール,係数_バス貨物_LPG),MATCH(AY307,【参考】排出係数!$AI$4:$AI$671,1),1,BE307):INDEX((係数_バス貨物_ガソリン,係数_バス貨物_CNG,係数_バス貨物_軽油,係数_バス貨物_メタノール,係数_バス貨物_LPG),MATCH(AY307+1,【参考】排出係数!$AI$4:$AI$671,1)-1,5,BE307),2,FALSE),IF(OR(AW307=1,AW307=2),VLOOKUP(AU307,INDEX((係数_乗用_ガソリン,係数_乗用_CNG,係数_乗用_軽油,係数_乗用_メタノール,係数_乗用_LPG),1,1,BE307):INDEX((係数_乗用_ガソリン,係数_乗用_CNG,係数_乗用_軽油,係数_乗用_メタノール,係数_乗用_LPG),125,5,BE307),2,FALSE))))))</f>
        <v/>
      </c>
      <c r="BB307" s="468" t="str">
        <f>IF(T307="","",IF(OR(AU307="",AU307="-"),"－",IF(OR(AZ307=8,AZ307=9),"",IF(OR(AW307=3,AW307=4,AW307=5,AW307=6),VLOOKUP(AU307,INDEX((係数_バス貨物_ガソリン,係数_バス貨物_CNG,係数_バス貨物_軽油,係数_バス貨物_メタノール,係数_バス貨物_LPG),MATCH(AY307,【参考】排出係数!$AI$4:$AI$671,1),1,BE307):INDEX((係数_バス貨物_ガソリン,係数_バス貨物_CNG,係数_バス貨物_軽油,係数_バス貨物_メタノール,係数_バス貨物_LPG),MATCH(AY307+1,【参考】排出係数!$AI$4:$AI$671,1)-1,5,BE307),3,FALSE),IF(OR(AW307=1,AW307=2),VLOOKUP(AU307,INDEX((係数_乗用_ガソリン,係数_乗用_CNG,係数_乗用_軽油,係数_乗用_メタノール,係数_乗用_LPG),1,1,BE307):INDEX((係数_乗用_ガソリン,係数_乗用_CNG,係数_乗用_軽油,係数_乗用_メタノール,係数_乗用_LPG),125,5,BE307),3,FALSE))))))</f>
        <v/>
      </c>
      <c r="BC307" s="467" t="str">
        <f t="shared" si="154"/>
        <v/>
      </c>
      <c r="BD307" s="567" t="str">
        <f t="shared" si="155"/>
        <v/>
      </c>
      <c r="BE307" s="467" t="str">
        <f t="shared" si="156"/>
        <v/>
      </c>
      <c r="BF307" s="469" t="str">
        <f t="shared" ca="1" si="157"/>
        <v/>
      </c>
      <c r="BG307" s="469" t="str">
        <f t="shared" ca="1" si="158"/>
        <v/>
      </c>
      <c r="BH307" s="467" t="str">
        <f t="shared" si="159"/>
        <v/>
      </c>
      <c r="BI307" s="467" t="str">
        <f t="shared" ca="1" si="160"/>
        <v/>
      </c>
      <c r="BJ307" s="469" t="str">
        <f t="shared" si="161"/>
        <v/>
      </c>
      <c r="BK307" s="470" t="str">
        <f t="shared" si="141"/>
        <v/>
      </c>
      <c r="BL307" s="775" t="str">
        <f t="shared" si="162"/>
        <v/>
      </c>
      <c r="BM307" s="775" t="str">
        <f t="shared" si="163"/>
        <v/>
      </c>
    </row>
    <row r="308" spans="1:65">
      <c r="A308" s="473">
        <v>252</v>
      </c>
      <c r="B308" s="132"/>
      <c r="C308" s="332"/>
      <c r="D308" s="333"/>
      <c r="E308" s="333"/>
      <c r="F308" s="334"/>
      <c r="G308" s="337"/>
      <c r="H308" s="131"/>
      <c r="I308" s="337"/>
      <c r="J308" s="131"/>
      <c r="K308" s="458" t="str">
        <f t="shared" si="130"/>
        <v/>
      </c>
      <c r="L308" s="458">
        <f t="shared" si="142"/>
        <v>0</v>
      </c>
      <c r="M308" s="458">
        <f t="shared" si="143"/>
        <v>0</v>
      </c>
      <c r="N308" s="459" t="str">
        <f t="shared" si="131"/>
        <v/>
      </c>
      <c r="O308" s="459" t="str">
        <f t="shared" si="132"/>
        <v/>
      </c>
      <c r="P308" s="459" t="str">
        <f t="shared" si="133"/>
        <v/>
      </c>
      <c r="Q308" s="459" t="str">
        <f t="shared" si="134"/>
        <v/>
      </c>
      <c r="R308" s="459" t="str">
        <f t="shared" si="135"/>
        <v/>
      </c>
      <c r="S308" s="459" t="str">
        <f t="shared" si="136"/>
        <v/>
      </c>
      <c r="T308" s="566" t="str">
        <f t="shared" si="144"/>
        <v/>
      </c>
      <c r="U308" s="702"/>
      <c r="V308" s="132"/>
      <c r="W308" s="133"/>
      <c r="X308" s="134"/>
      <c r="Y308" s="135"/>
      <c r="Z308" s="137"/>
      <c r="AA308" s="136"/>
      <c r="AB308" s="566" t="str">
        <f t="shared" si="137"/>
        <v/>
      </c>
      <c r="AC308" s="568" t="str">
        <f t="shared" si="145"/>
        <v/>
      </c>
      <c r="AD308" s="137"/>
      <c r="AE308" s="137"/>
      <c r="AF308" s="138"/>
      <c r="AG308" s="138"/>
      <c r="AH308" s="592" t="str">
        <f t="shared" si="138"/>
        <v/>
      </c>
      <c r="AI308" s="592" t="str">
        <f t="shared" si="139"/>
        <v/>
      </c>
      <c r="AJ308" s="592" t="str">
        <f t="shared" si="140"/>
        <v/>
      </c>
      <c r="AK308" s="460" t="str">
        <f>IF(AU308="","",IF(OR(AZ308=8,AZ308=9),0,IF(OR(AW308=3,AW308=4,AW308=5,AW308=6),IF(LEFT(BF308,1)="1",INDEX(係数_NOX・PM低減,MATCH(AY308,【参考】排出係数!$AI$801:$AI$804,1),1),VLOOKUP(AU308,INDEX((係数_バス貨物_ガソリン,係数_バス貨物_CNG,係数_バス貨物_軽油,係数_バス貨物_メタノール,係数_バス貨物_LPG),MATCH(AY308,【参考】排出係数!$AI$4:$AI$671,1),1,BE308):INDEX((係数_バス貨物_ガソリン,係数_バス貨物_CNG,係数_バス貨物_軽油,係数_バス貨物_メタノール,係数_バス貨物_LPG),MATCH(AY308+1,【参考】排出係数!$AI$4:$AI$671,1)-1,5,BE308),4,FALSE)),IF(AND(BE308=3,LEFT(BF308,1)="1"),0.48,VLOOKUP(AU308,INDEX((係数_乗用_ガソリン,係数_乗用_CNG,係数_乗用_軽油,係数_乗用_メタノール,係数_乗用_LPG),1,1,BE308):INDEX((係数_乗用_ガソリン,係数_乗用_CNG,係数_乗用_軽油,係数_乗用_メタノール,係数_乗用_LPG),125,5,BE308),4,FALSE)))))</f>
        <v/>
      </c>
      <c r="AL308" s="461" t="str">
        <f t="shared" si="164"/>
        <v/>
      </c>
      <c r="AM308" s="460" t="str">
        <f>IF(AU308="","",IF(OR(AZ308=8,AZ308=9),0,IF(OR(AW308=3,AW308=4,AW308=5,AW308=6),IF(LEFT(BH308,1)="1",INDEX(係数_PM低減,MATCH(AY308,【参考】排出係数!$AI$801:$AI$804,1),MATCH(BI308,【参考】排出係数!$AL$798:$AO$798,1)),VLOOKUP(AU308,INDEX((係数_バス貨物_ガソリン,係数_バス貨物_CNG,係数_バス貨物_軽油,係数_バス貨物_メタノール,係数_バス貨物_LPG),MATCH(AY308,【参考】排出係数!$AI$4:$AI$671,1),1,BE308):INDEX((係数_バス貨物_ガソリン,係数_バス貨物_CNG,係数_バス貨物_軽油,係数_バス貨物_メタノール,係数_バス貨物_LPG),MATCH(AY308+1,【参考】排出係数!$AI$4:$AI$671,1)-1,5,BE308),5,FALSE)),IF(AND(BE308=3,LEFT(BF308,1)="1"),0.055,VLOOKUP(AU308,INDEX((係数_乗用_ガソリン,係数_乗用_CNG,係数_乗用_軽油,係数_乗用_メタノール,係数_乗用_LPG),1,1,BE308):INDEX((係数_乗用_ガソリン,係数_乗用_CNG,係数_乗用_軽油,係数_乗用_メタノール,係数_乗用_LPG),125,5,BE308),5,FALSE)))))</f>
        <v/>
      </c>
      <c r="AN308" s="461" t="str">
        <f t="shared" si="165"/>
        <v/>
      </c>
      <c r="AO308" s="462" t="str">
        <f t="shared" si="166"/>
        <v/>
      </c>
      <c r="AP308" s="463" t="str">
        <f t="shared" si="167"/>
        <v/>
      </c>
      <c r="AQ308" s="464"/>
      <c r="AR308" s="619"/>
      <c r="AS308" s="465" t="str">
        <f t="shared" si="146"/>
        <v/>
      </c>
      <c r="AT308" s="465" t="str">
        <f t="shared" si="147"/>
        <v/>
      </c>
      <c r="AU308" s="466" t="str">
        <f t="shared" si="148"/>
        <v/>
      </c>
      <c r="AV308" s="467" t="str">
        <f t="shared" si="149"/>
        <v/>
      </c>
      <c r="AW308" s="467" t="str">
        <f t="shared" si="150"/>
        <v/>
      </c>
      <c r="AX308" s="467" t="str">
        <f t="shared" si="151"/>
        <v/>
      </c>
      <c r="AY308" s="467" t="str">
        <f t="shared" si="152"/>
        <v/>
      </c>
      <c r="AZ308" s="467" t="str">
        <f t="shared" si="153"/>
        <v/>
      </c>
      <c r="BA308" s="468" t="str">
        <f>IF(AS308="","",IF(OR(AU308="",AU308="-"),"－",IF(OR(AZ308=8,AZ308=9),"",IF(OR(AW308=3,AW308=4,AW308=5,AW308=6),VLOOKUP(AU308,INDEX((係数_バス貨物_ガソリン,係数_バス貨物_CNG,係数_バス貨物_軽油,係数_バス貨物_メタノール,係数_バス貨物_LPG),MATCH(AY308,【参考】排出係数!$AI$4:$AI$671,1),1,BE308):INDEX((係数_バス貨物_ガソリン,係数_バス貨物_CNG,係数_バス貨物_軽油,係数_バス貨物_メタノール,係数_バス貨物_LPG),MATCH(AY308+1,【参考】排出係数!$AI$4:$AI$671,1)-1,5,BE308),2,FALSE),IF(OR(AW308=1,AW308=2),VLOOKUP(AU308,INDEX((係数_乗用_ガソリン,係数_乗用_CNG,係数_乗用_軽油,係数_乗用_メタノール,係数_乗用_LPG),1,1,BE308):INDEX((係数_乗用_ガソリン,係数_乗用_CNG,係数_乗用_軽油,係数_乗用_メタノール,係数_乗用_LPG),125,5,BE308),2,FALSE))))))</f>
        <v/>
      </c>
      <c r="BB308" s="468" t="str">
        <f>IF(T308="","",IF(OR(AU308="",AU308="-"),"－",IF(OR(AZ308=8,AZ308=9),"",IF(OR(AW308=3,AW308=4,AW308=5,AW308=6),VLOOKUP(AU308,INDEX((係数_バス貨物_ガソリン,係数_バス貨物_CNG,係数_バス貨物_軽油,係数_バス貨物_メタノール,係数_バス貨物_LPG),MATCH(AY308,【参考】排出係数!$AI$4:$AI$671,1),1,BE308):INDEX((係数_バス貨物_ガソリン,係数_バス貨物_CNG,係数_バス貨物_軽油,係数_バス貨物_メタノール,係数_バス貨物_LPG),MATCH(AY308+1,【参考】排出係数!$AI$4:$AI$671,1)-1,5,BE308),3,FALSE),IF(OR(AW308=1,AW308=2),VLOOKUP(AU308,INDEX((係数_乗用_ガソリン,係数_乗用_CNG,係数_乗用_軽油,係数_乗用_メタノール,係数_乗用_LPG),1,1,BE308):INDEX((係数_乗用_ガソリン,係数_乗用_CNG,係数_乗用_軽油,係数_乗用_メタノール,係数_乗用_LPG),125,5,BE308),3,FALSE))))))</f>
        <v/>
      </c>
      <c r="BC308" s="467" t="str">
        <f t="shared" si="154"/>
        <v/>
      </c>
      <c r="BD308" s="567" t="str">
        <f t="shared" si="155"/>
        <v/>
      </c>
      <c r="BE308" s="467" t="str">
        <f t="shared" si="156"/>
        <v/>
      </c>
      <c r="BF308" s="469" t="str">
        <f t="shared" ca="1" si="157"/>
        <v/>
      </c>
      <c r="BG308" s="469" t="str">
        <f t="shared" ca="1" si="158"/>
        <v/>
      </c>
      <c r="BH308" s="467" t="str">
        <f t="shared" si="159"/>
        <v/>
      </c>
      <c r="BI308" s="467" t="str">
        <f t="shared" ca="1" si="160"/>
        <v/>
      </c>
      <c r="BJ308" s="469" t="str">
        <f t="shared" si="161"/>
        <v/>
      </c>
      <c r="BK308" s="470" t="str">
        <f t="shared" si="141"/>
        <v/>
      </c>
      <c r="BL308" s="775" t="str">
        <f t="shared" si="162"/>
        <v/>
      </c>
      <c r="BM308" s="775" t="str">
        <f t="shared" si="163"/>
        <v/>
      </c>
    </row>
    <row r="309" spans="1:65">
      <c r="A309" s="473">
        <v>253</v>
      </c>
      <c r="B309" s="132"/>
      <c r="C309" s="332"/>
      <c r="D309" s="333"/>
      <c r="E309" s="333"/>
      <c r="F309" s="334"/>
      <c r="G309" s="337"/>
      <c r="H309" s="131"/>
      <c r="I309" s="337"/>
      <c r="J309" s="131"/>
      <c r="K309" s="458" t="str">
        <f t="shared" si="130"/>
        <v/>
      </c>
      <c r="L309" s="458">
        <f t="shared" si="142"/>
        <v>0</v>
      </c>
      <c r="M309" s="458">
        <f t="shared" si="143"/>
        <v>0</v>
      </c>
      <c r="N309" s="459" t="str">
        <f t="shared" si="131"/>
        <v/>
      </c>
      <c r="O309" s="459" t="str">
        <f t="shared" si="132"/>
        <v/>
      </c>
      <c r="P309" s="459" t="str">
        <f t="shared" si="133"/>
        <v/>
      </c>
      <c r="Q309" s="459" t="str">
        <f t="shared" si="134"/>
        <v/>
      </c>
      <c r="R309" s="459" t="str">
        <f t="shared" si="135"/>
        <v/>
      </c>
      <c r="S309" s="459" t="str">
        <f t="shared" si="136"/>
        <v/>
      </c>
      <c r="T309" s="566" t="str">
        <f t="shared" si="144"/>
        <v/>
      </c>
      <c r="U309" s="702"/>
      <c r="V309" s="132"/>
      <c r="W309" s="133"/>
      <c r="X309" s="134"/>
      <c r="Y309" s="135"/>
      <c r="Z309" s="137"/>
      <c r="AA309" s="136"/>
      <c r="AB309" s="566" t="str">
        <f t="shared" si="137"/>
        <v/>
      </c>
      <c r="AC309" s="568" t="str">
        <f t="shared" si="145"/>
        <v/>
      </c>
      <c r="AD309" s="137"/>
      <c r="AE309" s="137"/>
      <c r="AF309" s="138"/>
      <c r="AG309" s="138"/>
      <c r="AH309" s="592" t="str">
        <f t="shared" si="138"/>
        <v/>
      </c>
      <c r="AI309" s="592" t="str">
        <f t="shared" si="139"/>
        <v/>
      </c>
      <c r="AJ309" s="592" t="str">
        <f t="shared" si="140"/>
        <v/>
      </c>
      <c r="AK309" s="460" t="str">
        <f>IF(AU309="","",IF(OR(AZ309=8,AZ309=9),0,IF(OR(AW309=3,AW309=4,AW309=5,AW309=6),IF(LEFT(BF309,1)="1",INDEX(係数_NOX・PM低減,MATCH(AY309,【参考】排出係数!$AI$801:$AI$804,1),1),VLOOKUP(AU309,INDEX((係数_バス貨物_ガソリン,係数_バス貨物_CNG,係数_バス貨物_軽油,係数_バス貨物_メタノール,係数_バス貨物_LPG),MATCH(AY309,【参考】排出係数!$AI$4:$AI$671,1),1,BE309):INDEX((係数_バス貨物_ガソリン,係数_バス貨物_CNG,係数_バス貨物_軽油,係数_バス貨物_メタノール,係数_バス貨物_LPG),MATCH(AY309+1,【参考】排出係数!$AI$4:$AI$671,1)-1,5,BE309),4,FALSE)),IF(AND(BE309=3,LEFT(BF309,1)="1"),0.48,VLOOKUP(AU309,INDEX((係数_乗用_ガソリン,係数_乗用_CNG,係数_乗用_軽油,係数_乗用_メタノール,係数_乗用_LPG),1,1,BE309):INDEX((係数_乗用_ガソリン,係数_乗用_CNG,係数_乗用_軽油,係数_乗用_メタノール,係数_乗用_LPG),125,5,BE309),4,FALSE)))))</f>
        <v/>
      </c>
      <c r="AL309" s="461" t="str">
        <f t="shared" si="164"/>
        <v/>
      </c>
      <c r="AM309" s="460" t="str">
        <f>IF(AU309="","",IF(OR(AZ309=8,AZ309=9),0,IF(OR(AW309=3,AW309=4,AW309=5,AW309=6),IF(LEFT(BH309,1)="1",INDEX(係数_PM低減,MATCH(AY309,【参考】排出係数!$AI$801:$AI$804,1),MATCH(BI309,【参考】排出係数!$AL$798:$AO$798,1)),VLOOKUP(AU309,INDEX((係数_バス貨物_ガソリン,係数_バス貨物_CNG,係数_バス貨物_軽油,係数_バス貨物_メタノール,係数_バス貨物_LPG),MATCH(AY309,【参考】排出係数!$AI$4:$AI$671,1),1,BE309):INDEX((係数_バス貨物_ガソリン,係数_バス貨物_CNG,係数_バス貨物_軽油,係数_バス貨物_メタノール,係数_バス貨物_LPG),MATCH(AY309+1,【参考】排出係数!$AI$4:$AI$671,1)-1,5,BE309),5,FALSE)),IF(AND(BE309=3,LEFT(BF309,1)="1"),0.055,VLOOKUP(AU309,INDEX((係数_乗用_ガソリン,係数_乗用_CNG,係数_乗用_軽油,係数_乗用_メタノール,係数_乗用_LPG),1,1,BE309):INDEX((係数_乗用_ガソリン,係数_乗用_CNG,係数_乗用_軽油,係数_乗用_メタノール,係数_乗用_LPG),125,5,BE309),5,FALSE)))))</f>
        <v/>
      </c>
      <c r="AN309" s="461" t="str">
        <f t="shared" si="165"/>
        <v/>
      </c>
      <c r="AO309" s="462" t="str">
        <f t="shared" si="166"/>
        <v/>
      </c>
      <c r="AP309" s="463" t="str">
        <f t="shared" si="167"/>
        <v/>
      </c>
      <c r="AQ309" s="464"/>
      <c r="AR309" s="619"/>
      <c r="AS309" s="465" t="str">
        <f t="shared" si="146"/>
        <v/>
      </c>
      <c r="AT309" s="465" t="str">
        <f t="shared" si="147"/>
        <v/>
      </c>
      <c r="AU309" s="466" t="str">
        <f t="shared" si="148"/>
        <v/>
      </c>
      <c r="AV309" s="467" t="str">
        <f t="shared" si="149"/>
        <v/>
      </c>
      <c r="AW309" s="467" t="str">
        <f t="shared" si="150"/>
        <v/>
      </c>
      <c r="AX309" s="467" t="str">
        <f t="shared" si="151"/>
        <v/>
      </c>
      <c r="AY309" s="467" t="str">
        <f t="shared" si="152"/>
        <v/>
      </c>
      <c r="AZ309" s="467" t="str">
        <f t="shared" si="153"/>
        <v/>
      </c>
      <c r="BA309" s="468" t="str">
        <f>IF(AS309="","",IF(OR(AU309="",AU309="-"),"－",IF(OR(AZ309=8,AZ309=9),"",IF(OR(AW309=3,AW309=4,AW309=5,AW309=6),VLOOKUP(AU309,INDEX((係数_バス貨物_ガソリン,係数_バス貨物_CNG,係数_バス貨物_軽油,係数_バス貨物_メタノール,係数_バス貨物_LPG),MATCH(AY309,【参考】排出係数!$AI$4:$AI$671,1),1,BE309):INDEX((係数_バス貨物_ガソリン,係数_バス貨物_CNG,係数_バス貨物_軽油,係数_バス貨物_メタノール,係数_バス貨物_LPG),MATCH(AY309+1,【参考】排出係数!$AI$4:$AI$671,1)-1,5,BE309),2,FALSE),IF(OR(AW309=1,AW309=2),VLOOKUP(AU309,INDEX((係数_乗用_ガソリン,係数_乗用_CNG,係数_乗用_軽油,係数_乗用_メタノール,係数_乗用_LPG),1,1,BE309):INDEX((係数_乗用_ガソリン,係数_乗用_CNG,係数_乗用_軽油,係数_乗用_メタノール,係数_乗用_LPG),125,5,BE309),2,FALSE))))))</f>
        <v/>
      </c>
      <c r="BB309" s="468" t="str">
        <f>IF(T309="","",IF(OR(AU309="",AU309="-"),"－",IF(OR(AZ309=8,AZ309=9),"",IF(OR(AW309=3,AW309=4,AW309=5,AW309=6),VLOOKUP(AU309,INDEX((係数_バス貨物_ガソリン,係数_バス貨物_CNG,係数_バス貨物_軽油,係数_バス貨物_メタノール,係数_バス貨物_LPG),MATCH(AY309,【参考】排出係数!$AI$4:$AI$671,1),1,BE309):INDEX((係数_バス貨物_ガソリン,係数_バス貨物_CNG,係数_バス貨物_軽油,係数_バス貨物_メタノール,係数_バス貨物_LPG),MATCH(AY309+1,【参考】排出係数!$AI$4:$AI$671,1)-1,5,BE309),3,FALSE),IF(OR(AW309=1,AW309=2),VLOOKUP(AU309,INDEX((係数_乗用_ガソリン,係数_乗用_CNG,係数_乗用_軽油,係数_乗用_メタノール,係数_乗用_LPG),1,1,BE309):INDEX((係数_乗用_ガソリン,係数_乗用_CNG,係数_乗用_軽油,係数_乗用_メタノール,係数_乗用_LPG),125,5,BE309),3,FALSE))))))</f>
        <v/>
      </c>
      <c r="BC309" s="467" t="str">
        <f t="shared" si="154"/>
        <v/>
      </c>
      <c r="BD309" s="567" t="str">
        <f t="shared" si="155"/>
        <v/>
      </c>
      <c r="BE309" s="467" t="str">
        <f t="shared" si="156"/>
        <v/>
      </c>
      <c r="BF309" s="469" t="str">
        <f t="shared" ca="1" si="157"/>
        <v/>
      </c>
      <c r="BG309" s="469" t="str">
        <f t="shared" ca="1" si="158"/>
        <v/>
      </c>
      <c r="BH309" s="467" t="str">
        <f t="shared" si="159"/>
        <v/>
      </c>
      <c r="BI309" s="467" t="str">
        <f t="shared" ca="1" si="160"/>
        <v/>
      </c>
      <c r="BJ309" s="469" t="str">
        <f t="shared" si="161"/>
        <v/>
      </c>
      <c r="BK309" s="470" t="str">
        <f t="shared" si="141"/>
        <v/>
      </c>
      <c r="BL309" s="775" t="str">
        <f t="shared" si="162"/>
        <v/>
      </c>
      <c r="BM309" s="775" t="str">
        <f t="shared" si="163"/>
        <v/>
      </c>
    </row>
    <row r="310" spans="1:65">
      <c r="A310" s="473">
        <v>254</v>
      </c>
      <c r="B310" s="132"/>
      <c r="C310" s="332"/>
      <c r="D310" s="333"/>
      <c r="E310" s="333"/>
      <c r="F310" s="334"/>
      <c r="G310" s="337"/>
      <c r="H310" s="131"/>
      <c r="I310" s="337"/>
      <c r="J310" s="131"/>
      <c r="K310" s="458" t="str">
        <f t="shared" si="130"/>
        <v/>
      </c>
      <c r="L310" s="458">
        <f t="shared" si="142"/>
        <v>0</v>
      </c>
      <c r="M310" s="458">
        <f t="shared" si="143"/>
        <v>0</v>
      </c>
      <c r="N310" s="459" t="str">
        <f t="shared" si="131"/>
        <v/>
      </c>
      <c r="O310" s="459" t="str">
        <f t="shared" si="132"/>
        <v/>
      </c>
      <c r="P310" s="459" t="str">
        <f t="shared" si="133"/>
        <v/>
      </c>
      <c r="Q310" s="459" t="str">
        <f t="shared" si="134"/>
        <v/>
      </c>
      <c r="R310" s="459" t="str">
        <f t="shared" si="135"/>
        <v/>
      </c>
      <c r="S310" s="459" t="str">
        <f t="shared" si="136"/>
        <v/>
      </c>
      <c r="T310" s="566" t="str">
        <f t="shared" si="144"/>
        <v/>
      </c>
      <c r="U310" s="702"/>
      <c r="V310" s="132"/>
      <c r="W310" s="133"/>
      <c r="X310" s="134"/>
      <c r="Y310" s="135"/>
      <c r="Z310" s="137"/>
      <c r="AA310" s="136"/>
      <c r="AB310" s="566" t="str">
        <f t="shared" si="137"/>
        <v/>
      </c>
      <c r="AC310" s="568" t="str">
        <f t="shared" si="145"/>
        <v/>
      </c>
      <c r="AD310" s="137"/>
      <c r="AE310" s="137"/>
      <c r="AF310" s="138"/>
      <c r="AG310" s="138"/>
      <c r="AH310" s="592" t="str">
        <f t="shared" si="138"/>
        <v/>
      </c>
      <c r="AI310" s="592" t="str">
        <f t="shared" si="139"/>
        <v/>
      </c>
      <c r="AJ310" s="592" t="str">
        <f t="shared" si="140"/>
        <v/>
      </c>
      <c r="AK310" s="460" t="str">
        <f>IF(AU310="","",IF(OR(AZ310=8,AZ310=9),0,IF(OR(AW310=3,AW310=4,AW310=5,AW310=6),IF(LEFT(BF310,1)="1",INDEX(係数_NOX・PM低減,MATCH(AY310,【参考】排出係数!$AI$801:$AI$804,1),1),VLOOKUP(AU310,INDEX((係数_バス貨物_ガソリン,係数_バス貨物_CNG,係数_バス貨物_軽油,係数_バス貨物_メタノール,係数_バス貨物_LPG),MATCH(AY310,【参考】排出係数!$AI$4:$AI$671,1),1,BE310):INDEX((係数_バス貨物_ガソリン,係数_バス貨物_CNG,係数_バス貨物_軽油,係数_バス貨物_メタノール,係数_バス貨物_LPG),MATCH(AY310+1,【参考】排出係数!$AI$4:$AI$671,1)-1,5,BE310),4,FALSE)),IF(AND(BE310=3,LEFT(BF310,1)="1"),0.48,VLOOKUP(AU310,INDEX((係数_乗用_ガソリン,係数_乗用_CNG,係数_乗用_軽油,係数_乗用_メタノール,係数_乗用_LPG),1,1,BE310):INDEX((係数_乗用_ガソリン,係数_乗用_CNG,係数_乗用_軽油,係数_乗用_メタノール,係数_乗用_LPG),125,5,BE310),4,FALSE)))))</f>
        <v/>
      </c>
      <c r="AL310" s="461" t="str">
        <f t="shared" si="164"/>
        <v/>
      </c>
      <c r="AM310" s="460" t="str">
        <f>IF(AU310="","",IF(OR(AZ310=8,AZ310=9),0,IF(OR(AW310=3,AW310=4,AW310=5,AW310=6),IF(LEFT(BH310,1)="1",INDEX(係数_PM低減,MATCH(AY310,【参考】排出係数!$AI$801:$AI$804,1),MATCH(BI310,【参考】排出係数!$AL$798:$AO$798,1)),VLOOKUP(AU310,INDEX((係数_バス貨物_ガソリン,係数_バス貨物_CNG,係数_バス貨物_軽油,係数_バス貨物_メタノール,係数_バス貨物_LPG),MATCH(AY310,【参考】排出係数!$AI$4:$AI$671,1),1,BE310):INDEX((係数_バス貨物_ガソリン,係数_バス貨物_CNG,係数_バス貨物_軽油,係数_バス貨物_メタノール,係数_バス貨物_LPG),MATCH(AY310+1,【参考】排出係数!$AI$4:$AI$671,1)-1,5,BE310),5,FALSE)),IF(AND(BE310=3,LEFT(BF310,1)="1"),0.055,VLOOKUP(AU310,INDEX((係数_乗用_ガソリン,係数_乗用_CNG,係数_乗用_軽油,係数_乗用_メタノール,係数_乗用_LPG),1,1,BE310):INDEX((係数_乗用_ガソリン,係数_乗用_CNG,係数_乗用_軽油,係数_乗用_メタノール,係数_乗用_LPG),125,5,BE310),5,FALSE)))))</f>
        <v/>
      </c>
      <c r="AN310" s="461" t="str">
        <f t="shared" si="165"/>
        <v/>
      </c>
      <c r="AO310" s="462" t="str">
        <f t="shared" si="166"/>
        <v/>
      </c>
      <c r="AP310" s="463" t="str">
        <f t="shared" si="167"/>
        <v/>
      </c>
      <c r="AQ310" s="464"/>
      <c r="AR310" s="619"/>
      <c r="AS310" s="465" t="str">
        <f t="shared" si="146"/>
        <v/>
      </c>
      <c r="AT310" s="465" t="str">
        <f t="shared" si="147"/>
        <v/>
      </c>
      <c r="AU310" s="466" t="str">
        <f t="shared" si="148"/>
        <v/>
      </c>
      <c r="AV310" s="467" t="str">
        <f t="shared" si="149"/>
        <v/>
      </c>
      <c r="AW310" s="467" t="str">
        <f t="shared" si="150"/>
        <v/>
      </c>
      <c r="AX310" s="467" t="str">
        <f t="shared" si="151"/>
        <v/>
      </c>
      <c r="AY310" s="467" t="str">
        <f t="shared" si="152"/>
        <v/>
      </c>
      <c r="AZ310" s="467" t="str">
        <f t="shared" si="153"/>
        <v/>
      </c>
      <c r="BA310" s="468" t="str">
        <f>IF(AS310="","",IF(OR(AU310="",AU310="-"),"－",IF(OR(AZ310=8,AZ310=9),"",IF(OR(AW310=3,AW310=4,AW310=5,AW310=6),VLOOKUP(AU310,INDEX((係数_バス貨物_ガソリン,係数_バス貨物_CNG,係数_バス貨物_軽油,係数_バス貨物_メタノール,係数_バス貨物_LPG),MATCH(AY310,【参考】排出係数!$AI$4:$AI$671,1),1,BE310):INDEX((係数_バス貨物_ガソリン,係数_バス貨物_CNG,係数_バス貨物_軽油,係数_バス貨物_メタノール,係数_バス貨物_LPG),MATCH(AY310+1,【参考】排出係数!$AI$4:$AI$671,1)-1,5,BE310),2,FALSE),IF(OR(AW310=1,AW310=2),VLOOKUP(AU310,INDEX((係数_乗用_ガソリン,係数_乗用_CNG,係数_乗用_軽油,係数_乗用_メタノール,係数_乗用_LPG),1,1,BE310):INDEX((係数_乗用_ガソリン,係数_乗用_CNG,係数_乗用_軽油,係数_乗用_メタノール,係数_乗用_LPG),125,5,BE310),2,FALSE))))))</f>
        <v/>
      </c>
      <c r="BB310" s="468" t="str">
        <f>IF(T310="","",IF(OR(AU310="",AU310="-"),"－",IF(OR(AZ310=8,AZ310=9),"",IF(OR(AW310=3,AW310=4,AW310=5,AW310=6),VLOOKUP(AU310,INDEX((係数_バス貨物_ガソリン,係数_バス貨物_CNG,係数_バス貨物_軽油,係数_バス貨物_メタノール,係数_バス貨物_LPG),MATCH(AY310,【参考】排出係数!$AI$4:$AI$671,1),1,BE310):INDEX((係数_バス貨物_ガソリン,係数_バス貨物_CNG,係数_バス貨物_軽油,係数_バス貨物_メタノール,係数_バス貨物_LPG),MATCH(AY310+1,【参考】排出係数!$AI$4:$AI$671,1)-1,5,BE310),3,FALSE),IF(OR(AW310=1,AW310=2),VLOOKUP(AU310,INDEX((係数_乗用_ガソリン,係数_乗用_CNG,係数_乗用_軽油,係数_乗用_メタノール,係数_乗用_LPG),1,1,BE310):INDEX((係数_乗用_ガソリン,係数_乗用_CNG,係数_乗用_軽油,係数_乗用_メタノール,係数_乗用_LPG),125,5,BE310),3,FALSE))))))</f>
        <v/>
      </c>
      <c r="BC310" s="467" t="str">
        <f t="shared" si="154"/>
        <v/>
      </c>
      <c r="BD310" s="567" t="str">
        <f t="shared" si="155"/>
        <v/>
      </c>
      <c r="BE310" s="467" t="str">
        <f t="shared" si="156"/>
        <v/>
      </c>
      <c r="BF310" s="469" t="str">
        <f t="shared" ca="1" si="157"/>
        <v/>
      </c>
      <c r="BG310" s="469" t="str">
        <f t="shared" ca="1" si="158"/>
        <v/>
      </c>
      <c r="BH310" s="467" t="str">
        <f t="shared" si="159"/>
        <v/>
      </c>
      <c r="BI310" s="467" t="str">
        <f t="shared" ca="1" si="160"/>
        <v/>
      </c>
      <c r="BJ310" s="469" t="str">
        <f t="shared" si="161"/>
        <v/>
      </c>
      <c r="BK310" s="470" t="str">
        <f t="shared" si="141"/>
        <v/>
      </c>
      <c r="BL310" s="775" t="str">
        <f t="shared" si="162"/>
        <v/>
      </c>
      <c r="BM310" s="775" t="str">
        <f t="shared" si="163"/>
        <v/>
      </c>
    </row>
    <row r="311" spans="1:65">
      <c r="A311" s="473">
        <v>255</v>
      </c>
      <c r="B311" s="132"/>
      <c r="C311" s="332"/>
      <c r="D311" s="333"/>
      <c r="E311" s="333"/>
      <c r="F311" s="334"/>
      <c r="G311" s="337"/>
      <c r="H311" s="131"/>
      <c r="I311" s="337"/>
      <c r="J311" s="131"/>
      <c r="K311" s="458" t="str">
        <f t="shared" si="130"/>
        <v/>
      </c>
      <c r="L311" s="458">
        <f t="shared" si="142"/>
        <v>0</v>
      </c>
      <c r="M311" s="458">
        <f t="shared" si="143"/>
        <v>0</v>
      </c>
      <c r="N311" s="459" t="str">
        <f t="shared" si="131"/>
        <v/>
      </c>
      <c r="O311" s="459" t="str">
        <f t="shared" si="132"/>
        <v/>
      </c>
      <c r="P311" s="459" t="str">
        <f t="shared" si="133"/>
        <v/>
      </c>
      <c r="Q311" s="459" t="str">
        <f t="shared" si="134"/>
        <v/>
      </c>
      <c r="R311" s="459" t="str">
        <f t="shared" si="135"/>
        <v/>
      </c>
      <c r="S311" s="459" t="str">
        <f t="shared" si="136"/>
        <v/>
      </c>
      <c r="T311" s="566" t="str">
        <f t="shared" si="144"/>
        <v/>
      </c>
      <c r="U311" s="702"/>
      <c r="V311" s="132"/>
      <c r="W311" s="133"/>
      <c r="X311" s="134"/>
      <c r="Y311" s="135"/>
      <c r="Z311" s="137"/>
      <c r="AA311" s="136"/>
      <c r="AB311" s="566" t="str">
        <f t="shared" si="137"/>
        <v/>
      </c>
      <c r="AC311" s="568" t="str">
        <f t="shared" si="145"/>
        <v/>
      </c>
      <c r="AD311" s="137"/>
      <c r="AE311" s="137"/>
      <c r="AF311" s="138"/>
      <c r="AG311" s="138"/>
      <c r="AH311" s="592" t="str">
        <f t="shared" si="138"/>
        <v/>
      </c>
      <c r="AI311" s="592" t="str">
        <f t="shared" si="139"/>
        <v/>
      </c>
      <c r="AJ311" s="592" t="str">
        <f t="shared" si="140"/>
        <v/>
      </c>
      <c r="AK311" s="460" t="str">
        <f>IF(AU311="","",IF(OR(AZ311=8,AZ311=9),0,IF(OR(AW311=3,AW311=4,AW311=5,AW311=6),IF(LEFT(BF311,1)="1",INDEX(係数_NOX・PM低減,MATCH(AY311,【参考】排出係数!$AI$801:$AI$804,1),1),VLOOKUP(AU311,INDEX((係数_バス貨物_ガソリン,係数_バス貨物_CNG,係数_バス貨物_軽油,係数_バス貨物_メタノール,係数_バス貨物_LPG),MATCH(AY311,【参考】排出係数!$AI$4:$AI$671,1),1,BE311):INDEX((係数_バス貨物_ガソリン,係数_バス貨物_CNG,係数_バス貨物_軽油,係数_バス貨物_メタノール,係数_バス貨物_LPG),MATCH(AY311+1,【参考】排出係数!$AI$4:$AI$671,1)-1,5,BE311),4,FALSE)),IF(AND(BE311=3,LEFT(BF311,1)="1"),0.48,VLOOKUP(AU311,INDEX((係数_乗用_ガソリン,係数_乗用_CNG,係数_乗用_軽油,係数_乗用_メタノール,係数_乗用_LPG),1,1,BE311):INDEX((係数_乗用_ガソリン,係数_乗用_CNG,係数_乗用_軽油,係数_乗用_メタノール,係数_乗用_LPG),125,5,BE311),4,FALSE)))))</f>
        <v/>
      </c>
      <c r="AL311" s="461" t="str">
        <f t="shared" si="164"/>
        <v/>
      </c>
      <c r="AM311" s="460" t="str">
        <f>IF(AU311="","",IF(OR(AZ311=8,AZ311=9),0,IF(OR(AW311=3,AW311=4,AW311=5,AW311=6),IF(LEFT(BH311,1)="1",INDEX(係数_PM低減,MATCH(AY311,【参考】排出係数!$AI$801:$AI$804,1),MATCH(BI311,【参考】排出係数!$AL$798:$AO$798,1)),VLOOKUP(AU311,INDEX((係数_バス貨物_ガソリン,係数_バス貨物_CNG,係数_バス貨物_軽油,係数_バス貨物_メタノール,係数_バス貨物_LPG),MATCH(AY311,【参考】排出係数!$AI$4:$AI$671,1),1,BE311):INDEX((係数_バス貨物_ガソリン,係数_バス貨物_CNG,係数_バス貨物_軽油,係数_バス貨物_メタノール,係数_バス貨物_LPG),MATCH(AY311+1,【参考】排出係数!$AI$4:$AI$671,1)-1,5,BE311),5,FALSE)),IF(AND(BE311=3,LEFT(BF311,1)="1"),0.055,VLOOKUP(AU311,INDEX((係数_乗用_ガソリン,係数_乗用_CNG,係数_乗用_軽油,係数_乗用_メタノール,係数_乗用_LPG),1,1,BE311):INDEX((係数_乗用_ガソリン,係数_乗用_CNG,係数_乗用_軽油,係数_乗用_メタノール,係数_乗用_LPG),125,5,BE311),5,FALSE)))))</f>
        <v/>
      </c>
      <c r="AN311" s="461" t="str">
        <f t="shared" si="165"/>
        <v/>
      </c>
      <c r="AO311" s="462" t="str">
        <f t="shared" si="166"/>
        <v/>
      </c>
      <c r="AP311" s="463" t="str">
        <f t="shared" si="167"/>
        <v/>
      </c>
      <c r="AQ311" s="464"/>
      <c r="AR311" s="619"/>
      <c r="AS311" s="465" t="str">
        <f t="shared" si="146"/>
        <v/>
      </c>
      <c r="AT311" s="465" t="str">
        <f t="shared" si="147"/>
        <v/>
      </c>
      <c r="AU311" s="466" t="str">
        <f t="shared" si="148"/>
        <v/>
      </c>
      <c r="AV311" s="467" t="str">
        <f t="shared" si="149"/>
        <v/>
      </c>
      <c r="AW311" s="467" t="str">
        <f t="shared" si="150"/>
        <v/>
      </c>
      <c r="AX311" s="467" t="str">
        <f t="shared" si="151"/>
        <v/>
      </c>
      <c r="AY311" s="467" t="str">
        <f t="shared" si="152"/>
        <v/>
      </c>
      <c r="AZ311" s="467" t="str">
        <f t="shared" si="153"/>
        <v/>
      </c>
      <c r="BA311" s="468" t="str">
        <f>IF(AS311="","",IF(OR(AU311="",AU311="-"),"－",IF(OR(AZ311=8,AZ311=9),"",IF(OR(AW311=3,AW311=4,AW311=5,AW311=6),VLOOKUP(AU311,INDEX((係数_バス貨物_ガソリン,係数_バス貨物_CNG,係数_バス貨物_軽油,係数_バス貨物_メタノール,係数_バス貨物_LPG),MATCH(AY311,【参考】排出係数!$AI$4:$AI$671,1),1,BE311):INDEX((係数_バス貨物_ガソリン,係数_バス貨物_CNG,係数_バス貨物_軽油,係数_バス貨物_メタノール,係数_バス貨物_LPG),MATCH(AY311+1,【参考】排出係数!$AI$4:$AI$671,1)-1,5,BE311),2,FALSE),IF(OR(AW311=1,AW311=2),VLOOKUP(AU311,INDEX((係数_乗用_ガソリン,係数_乗用_CNG,係数_乗用_軽油,係数_乗用_メタノール,係数_乗用_LPG),1,1,BE311):INDEX((係数_乗用_ガソリン,係数_乗用_CNG,係数_乗用_軽油,係数_乗用_メタノール,係数_乗用_LPG),125,5,BE311),2,FALSE))))))</f>
        <v/>
      </c>
      <c r="BB311" s="468" t="str">
        <f>IF(T311="","",IF(OR(AU311="",AU311="-"),"－",IF(OR(AZ311=8,AZ311=9),"",IF(OR(AW311=3,AW311=4,AW311=5,AW311=6),VLOOKUP(AU311,INDEX((係数_バス貨物_ガソリン,係数_バス貨物_CNG,係数_バス貨物_軽油,係数_バス貨物_メタノール,係数_バス貨物_LPG),MATCH(AY311,【参考】排出係数!$AI$4:$AI$671,1),1,BE311):INDEX((係数_バス貨物_ガソリン,係数_バス貨物_CNG,係数_バス貨物_軽油,係数_バス貨物_メタノール,係数_バス貨物_LPG),MATCH(AY311+1,【参考】排出係数!$AI$4:$AI$671,1)-1,5,BE311),3,FALSE),IF(OR(AW311=1,AW311=2),VLOOKUP(AU311,INDEX((係数_乗用_ガソリン,係数_乗用_CNG,係数_乗用_軽油,係数_乗用_メタノール,係数_乗用_LPG),1,1,BE311):INDEX((係数_乗用_ガソリン,係数_乗用_CNG,係数_乗用_軽油,係数_乗用_メタノール,係数_乗用_LPG),125,5,BE311),3,FALSE))))))</f>
        <v/>
      </c>
      <c r="BC311" s="467" t="str">
        <f t="shared" si="154"/>
        <v/>
      </c>
      <c r="BD311" s="567" t="str">
        <f t="shared" si="155"/>
        <v/>
      </c>
      <c r="BE311" s="467" t="str">
        <f t="shared" si="156"/>
        <v/>
      </c>
      <c r="BF311" s="469" t="str">
        <f t="shared" ca="1" si="157"/>
        <v/>
      </c>
      <c r="BG311" s="469" t="str">
        <f t="shared" ca="1" si="158"/>
        <v/>
      </c>
      <c r="BH311" s="467" t="str">
        <f t="shared" si="159"/>
        <v/>
      </c>
      <c r="BI311" s="467" t="str">
        <f t="shared" ca="1" si="160"/>
        <v/>
      </c>
      <c r="BJ311" s="469" t="str">
        <f t="shared" si="161"/>
        <v/>
      </c>
      <c r="BK311" s="470" t="str">
        <f t="shared" si="141"/>
        <v/>
      </c>
      <c r="BL311" s="775" t="str">
        <f t="shared" si="162"/>
        <v/>
      </c>
      <c r="BM311" s="775" t="str">
        <f t="shared" si="163"/>
        <v/>
      </c>
    </row>
    <row r="312" spans="1:65">
      <c r="A312" s="473">
        <v>256</v>
      </c>
      <c r="B312" s="132"/>
      <c r="C312" s="332"/>
      <c r="D312" s="333"/>
      <c r="E312" s="333"/>
      <c r="F312" s="334"/>
      <c r="G312" s="337"/>
      <c r="H312" s="131"/>
      <c r="I312" s="337"/>
      <c r="J312" s="131"/>
      <c r="K312" s="458" t="str">
        <f t="shared" si="130"/>
        <v/>
      </c>
      <c r="L312" s="458">
        <f t="shared" si="142"/>
        <v>0</v>
      </c>
      <c r="M312" s="458">
        <f t="shared" si="143"/>
        <v>0</v>
      </c>
      <c r="N312" s="459" t="str">
        <f t="shared" si="131"/>
        <v/>
      </c>
      <c r="O312" s="459" t="str">
        <f t="shared" si="132"/>
        <v/>
      </c>
      <c r="P312" s="459" t="str">
        <f t="shared" si="133"/>
        <v/>
      </c>
      <c r="Q312" s="459" t="str">
        <f t="shared" si="134"/>
        <v/>
      </c>
      <c r="R312" s="459" t="str">
        <f t="shared" si="135"/>
        <v/>
      </c>
      <c r="S312" s="459" t="str">
        <f t="shared" si="136"/>
        <v/>
      </c>
      <c r="T312" s="566" t="str">
        <f t="shared" si="144"/>
        <v/>
      </c>
      <c r="U312" s="702"/>
      <c r="V312" s="132"/>
      <c r="W312" s="133"/>
      <c r="X312" s="134"/>
      <c r="Y312" s="135"/>
      <c r="Z312" s="137"/>
      <c r="AA312" s="136"/>
      <c r="AB312" s="566" t="str">
        <f t="shared" si="137"/>
        <v/>
      </c>
      <c r="AC312" s="568" t="str">
        <f t="shared" si="145"/>
        <v/>
      </c>
      <c r="AD312" s="137"/>
      <c r="AE312" s="137"/>
      <c r="AF312" s="138"/>
      <c r="AG312" s="138"/>
      <c r="AH312" s="592" t="str">
        <f t="shared" si="138"/>
        <v/>
      </c>
      <c r="AI312" s="592" t="str">
        <f t="shared" si="139"/>
        <v/>
      </c>
      <c r="AJ312" s="592" t="str">
        <f t="shared" si="140"/>
        <v/>
      </c>
      <c r="AK312" s="460" t="str">
        <f>IF(AU312="","",IF(OR(AZ312=8,AZ312=9),0,IF(OR(AW312=3,AW312=4,AW312=5,AW312=6),IF(LEFT(BF312,1)="1",INDEX(係数_NOX・PM低減,MATCH(AY312,【参考】排出係数!$AI$801:$AI$804,1),1),VLOOKUP(AU312,INDEX((係数_バス貨物_ガソリン,係数_バス貨物_CNG,係数_バス貨物_軽油,係数_バス貨物_メタノール,係数_バス貨物_LPG),MATCH(AY312,【参考】排出係数!$AI$4:$AI$671,1),1,BE312):INDEX((係数_バス貨物_ガソリン,係数_バス貨物_CNG,係数_バス貨物_軽油,係数_バス貨物_メタノール,係数_バス貨物_LPG),MATCH(AY312+1,【参考】排出係数!$AI$4:$AI$671,1)-1,5,BE312),4,FALSE)),IF(AND(BE312=3,LEFT(BF312,1)="1"),0.48,VLOOKUP(AU312,INDEX((係数_乗用_ガソリン,係数_乗用_CNG,係数_乗用_軽油,係数_乗用_メタノール,係数_乗用_LPG),1,1,BE312):INDEX((係数_乗用_ガソリン,係数_乗用_CNG,係数_乗用_軽油,係数_乗用_メタノール,係数_乗用_LPG),125,5,BE312),4,FALSE)))))</f>
        <v/>
      </c>
      <c r="AL312" s="461" t="str">
        <f t="shared" si="164"/>
        <v/>
      </c>
      <c r="AM312" s="460" t="str">
        <f>IF(AU312="","",IF(OR(AZ312=8,AZ312=9),0,IF(OR(AW312=3,AW312=4,AW312=5,AW312=6),IF(LEFT(BH312,1)="1",INDEX(係数_PM低減,MATCH(AY312,【参考】排出係数!$AI$801:$AI$804,1),MATCH(BI312,【参考】排出係数!$AL$798:$AO$798,1)),VLOOKUP(AU312,INDEX((係数_バス貨物_ガソリン,係数_バス貨物_CNG,係数_バス貨物_軽油,係数_バス貨物_メタノール,係数_バス貨物_LPG),MATCH(AY312,【参考】排出係数!$AI$4:$AI$671,1),1,BE312):INDEX((係数_バス貨物_ガソリン,係数_バス貨物_CNG,係数_バス貨物_軽油,係数_バス貨物_メタノール,係数_バス貨物_LPG),MATCH(AY312+1,【参考】排出係数!$AI$4:$AI$671,1)-1,5,BE312),5,FALSE)),IF(AND(BE312=3,LEFT(BF312,1)="1"),0.055,VLOOKUP(AU312,INDEX((係数_乗用_ガソリン,係数_乗用_CNG,係数_乗用_軽油,係数_乗用_メタノール,係数_乗用_LPG),1,1,BE312):INDEX((係数_乗用_ガソリン,係数_乗用_CNG,係数_乗用_軽油,係数_乗用_メタノール,係数_乗用_LPG),125,5,BE312),5,FALSE)))))</f>
        <v/>
      </c>
      <c r="AN312" s="461" t="str">
        <f t="shared" si="165"/>
        <v/>
      </c>
      <c r="AO312" s="462" t="str">
        <f t="shared" si="166"/>
        <v/>
      </c>
      <c r="AP312" s="463" t="str">
        <f t="shared" si="167"/>
        <v/>
      </c>
      <c r="AQ312" s="464"/>
      <c r="AR312" s="619"/>
      <c r="AS312" s="465" t="str">
        <f t="shared" si="146"/>
        <v/>
      </c>
      <c r="AT312" s="465" t="str">
        <f t="shared" si="147"/>
        <v/>
      </c>
      <c r="AU312" s="466" t="str">
        <f t="shared" si="148"/>
        <v/>
      </c>
      <c r="AV312" s="467" t="str">
        <f t="shared" si="149"/>
        <v/>
      </c>
      <c r="AW312" s="467" t="str">
        <f t="shared" si="150"/>
        <v/>
      </c>
      <c r="AX312" s="467" t="str">
        <f t="shared" si="151"/>
        <v/>
      </c>
      <c r="AY312" s="467" t="str">
        <f t="shared" si="152"/>
        <v/>
      </c>
      <c r="AZ312" s="467" t="str">
        <f t="shared" si="153"/>
        <v/>
      </c>
      <c r="BA312" s="468" t="str">
        <f>IF(AS312="","",IF(OR(AU312="",AU312="-"),"－",IF(OR(AZ312=8,AZ312=9),"",IF(OR(AW312=3,AW312=4,AW312=5,AW312=6),VLOOKUP(AU312,INDEX((係数_バス貨物_ガソリン,係数_バス貨物_CNG,係数_バス貨物_軽油,係数_バス貨物_メタノール,係数_バス貨物_LPG),MATCH(AY312,【参考】排出係数!$AI$4:$AI$671,1),1,BE312):INDEX((係数_バス貨物_ガソリン,係数_バス貨物_CNG,係数_バス貨物_軽油,係数_バス貨物_メタノール,係数_バス貨物_LPG),MATCH(AY312+1,【参考】排出係数!$AI$4:$AI$671,1)-1,5,BE312),2,FALSE),IF(OR(AW312=1,AW312=2),VLOOKUP(AU312,INDEX((係数_乗用_ガソリン,係数_乗用_CNG,係数_乗用_軽油,係数_乗用_メタノール,係数_乗用_LPG),1,1,BE312):INDEX((係数_乗用_ガソリン,係数_乗用_CNG,係数_乗用_軽油,係数_乗用_メタノール,係数_乗用_LPG),125,5,BE312),2,FALSE))))))</f>
        <v/>
      </c>
      <c r="BB312" s="468" t="str">
        <f>IF(T312="","",IF(OR(AU312="",AU312="-"),"－",IF(OR(AZ312=8,AZ312=9),"",IF(OR(AW312=3,AW312=4,AW312=5,AW312=6),VLOOKUP(AU312,INDEX((係数_バス貨物_ガソリン,係数_バス貨物_CNG,係数_バス貨物_軽油,係数_バス貨物_メタノール,係数_バス貨物_LPG),MATCH(AY312,【参考】排出係数!$AI$4:$AI$671,1),1,BE312):INDEX((係数_バス貨物_ガソリン,係数_バス貨物_CNG,係数_バス貨物_軽油,係数_バス貨物_メタノール,係数_バス貨物_LPG),MATCH(AY312+1,【参考】排出係数!$AI$4:$AI$671,1)-1,5,BE312),3,FALSE),IF(OR(AW312=1,AW312=2),VLOOKUP(AU312,INDEX((係数_乗用_ガソリン,係数_乗用_CNG,係数_乗用_軽油,係数_乗用_メタノール,係数_乗用_LPG),1,1,BE312):INDEX((係数_乗用_ガソリン,係数_乗用_CNG,係数_乗用_軽油,係数_乗用_メタノール,係数_乗用_LPG),125,5,BE312),3,FALSE))))))</f>
        <v/>
      </c>
      <c r="BC312" s="467" t="str">
        <f t="shared" si="154"/>
        <v/>
      </c>
      <c r="BD312" s="567" t="str">
        <f t="shared" si="155"/>
        <v/>
      </c>
      <c r="BE312" s="467" t="str">
        <f t="shared" si="156"/>
        <v/>
      </c>
      <c r="BF312" s="469" t="str">
        <f t="shared" ca="1" si="157"/>
        <v/>
      </c>
      <c r="BG312" s="469" t="str">
        <f t="shared" ca="1" si="158"/>
        <v/>
      </c>
      <c r="BH312" s="467" t="str">
        <f t="shared" si="159"/>
        <v/>
      </c>
      <c r="BI312" s="467" t="str">
        <f t="shared" ca="1" si="160"/>
        <v/>
      </c>
      <c r="BJ312" s="469" t="str">
        <f t="shared" si="161"/>
        <v/>
      </c>
      <c r="BK312" s="470" t="str">
        <f t="shared" si="141"/>
        <v/>
      </c>
      <c r="BL312" s="775" t="str">
        <f t="shared" si="162"/>
        <v/>
      </c>
      <c r="BM312" s="775" t="str">
        <f t="shared" si="163"/>
        <v/>
      </c>
    </row>
    <row r="313" spans="1:65">
      <c r="A313" s="473">
        <v>257</v>
      </c>
      <c r="B313" s="132"/>
      <c r="C313" s="332"/>
      <c r="D313" s="333"/>
      <c r="E313" s="333"/>
      <c r="F313" s="334"/>
      <c r="G313" s="337"/>
      <c r="H313" s="131"/>
      <c r="I313" s="337"/>
      <c r="J313" s="131"/>
      <c r="K313" s="458" t="str">
        <f t="shared" ref="K313:K376" si="168">C313&amp;D313&amp;E313&amp;F313</f>
        <v/>
      </c>
      <c r="L313" s="458">
        <f t="shared" si="142"/>
        <v>0</v>
      </c>
      <c r="M313" s="458">
        <f t="shared" si="143"/>
        <v>0</v>
      </c>
      <c r="N313" s="459" t="str">
        <f t="shared" ref="N313:N376" si="169">IF(OR($L313&gt;$U$48,$M313&gt;$U$48,AND($L313&gt;$M313,$M313&lt;&gt;0),AND($L313=0,$M313&lt;&gt;0)),"ERROR","")</f>
        <v/>
      </c>
      <c r="O313" s="459" t="str">
        <f t="shared" ref="O313:O376" si="170">IF(AND($N313&lt;&gt;"ERROR",$L313&lt;=$U$49,$M313&lt;=$U$49,$M313&lt;&gt;0),"(減車済)","")</f>
        <v/>
      </c>
      <c r="P313" s="459" t="str">
        <f t="shared" ref="P313:P376" si="171">IF(AND($N313&lt;&gt;"ERROR",$L313&lt;$U$49,AND($M313&gt;$U$49,$M313&lt;=$W$49),$M313&lt;&gt;0),"減車","")</f>
        <v/>
      </c>
      <c r="Q313" s="459" t="str">
        <f t="shared" ref="Q313:Q376" si="172">IF(AND($N313&lt;&gt;"ERROR",$L313&gt;$U$49,$M313&lt;=$W$49,$M313&lt;&gt;0),"一時使用","")</f>
        <v/>
      </c>
      <c r="R313" s="459" t="str">
        <f t="shared" ref="R313:R376" si="173">IF(AND($N313&lt;&gt;"ERROR",AND($L313&gt;0,$L313&lt;=$U$49),$M313=0),"継続","")</f>
        <v/>
      </c>
      <c r="S313" s="459" t="str">
        <f t="shared" ref="S313:S376" si="174">IF(AND($N313&lt;&gt;"ERROR",AND($L313&gt;$U$49),$M313=0),"新規","")</f>
        <v/>
      </c>
      <c r="T313" s="566" t="str">
        <f t="shared" si="144"/>
        <v/>
      </c>
      <c r="U313" s="702"/>
      <c r="V313" s="132"/>
      <c r="W313" s="133"/>
      <c r="X313" s="134"/>
      <c r="Y313" s="135"/>
      <c r="Z313" s="137"/>
      <c r="AA313" s="136"/>
      <c r="AB313" s="566" t="str">
        <f t="shared" ref="AB313:AB376" si="175">IF(AS313="","",IF(AZ313=1,VLOOKUP(BA313,低公害車判別,2,FALSE),IF(AZ313=3,VLOOKUP(BA313,低公害車判別,2,FALSE),IF(AZ313=4,VLOOKUP(BB313,低公害車判別,2,FALSE),"低公害車"))))</f>
        <v/>
      </c>
      <c r="AC313" s="568" t="str">
        <f t="shared" si="145"/>
        <v/>
      </c>
      <c r="AD313" s="137"/>
      <c r="AE313" s="137"/>
      <c r="AF313" s="138"/>
      <c r="AG313" s="138"/>
      <c r="AH313" s="592" t="str">
        <f t="shared" ref="AH313:AH376" si="176">IF(C313="","",IF(LEFT(C313,2)="横浜","○",""))</f>
        <v/>
      </c>
      <c r="AI313" s="592" t="str">
        <f t="shared" ref="AI313:AI376" si="177">IF(C313="","",IF(LEFT(C313,2)="川崎","○",""))</f>
        <v/>
      </c>
      <c r="AJ313" s="592" t="str">
        <f t="shared" ref="AJ313:AJ376" si="178">IF(C313="","",IF(OR(AH313="○",AI313="○"),"","○"))</f>
        <v/>
      </c>
      <c r="AK313" s="460" t="str">
        <f>IF(AU313="","",IF(OR(AZ313=8,AZ313=9),0,IF(OR(AW313=3,AW313=4,AW313=5,AW313=6),IF(LEFT(BF313,1)="1",INDEX(係数_NOX・PM低減,MATCH(AY313,【参考】排出係数!$AI$801:$AI$804,1),1),VLOOKUP(AU313,INDEX((係数_バス貨物_ガソリン,係数_バス貨物_CNG,係数_バス貨物_軽油,係数_バス貨物_メタノール,係数_バス貨物_LPG),MATCH(AY313,【参考】排出係数!$AI$4:$AI$671,1),1,BE313):INDEX((係数_バス貨物_ガソリン,係数_バス貨物_CNG,係数_バス貨物_軽油,係数_バス貨物_メタノール,係数_バス貨物_LPG),MATCH(AY313+1,【参考】排出係数!$AI$4:$AI$671,1)-1,5,BE313),4,FALSE)),IF(AND(BE313=3,LEFT(BF313,1)="1"),0.48,VLOOKUP(AU313,INDEX((係数_乗用_ガソリン,係数_乗用_CNG,係数_乗用_軽油,係数_乗用_メタノール,係数_乗用_LPG),1,1,BE313):INDEX((係数_乗用_ガソリン,係数_乗用_CNG,係数_乗用_軽油,係数_乗用_メタノール,係数_乗用_LPG),125,5,BE313),4,FALSE)))))</f>
        <v/>
      </c>
      <c r="AL313" s="461" t="str">
        <f t="shared" si="164"/>
        <v/>
      </c>
      <c r="AM313" s="460" t="str">
        <f>IF(AU313="","",IF(OR(AZ313=8,AZ313=9),0,IF(OR(AW313=3,AW313=4,AW313=5,AW313=6),IF(LEFT(BH313,1)="1",INDEX(係数_PM低減,MATCH(AY313,【参考】排出係数!$AI$801:$AI$804,1),MATCH(BI313,【参考】排出係数!$AL$798:$AO$798,1)),VLOOKUP(AU313,INDEX((係数_バス貨物_ガソリン,係数_バス貨物_CNG,係数_バス貨物_軽油,係数_バス貨物_メタノール,係数_バス貨物_LPG),MATCH(AY313,【参考】排出係数!$AI$4:$AI$671,1),1,BE313):INDEX((係数_バス貨物_ガソリン,係数_バス貨物_CNG,係数_バス貨物_軽油,係数_バス貨物_メタノール,係数_バス貨物_LPG),MATCH(AY313+1,【参考】排出係数!$AI$4:$AI$671,1)-1,5,BE313),5,FALSE)),IF(AND(BE313=3,LEFT(BF313,1)="1"),0.055,VLOOKUP(AU313,INDEX((係数_乗用_ガソリン,係数_乗用_CNG,係数_乗用_軽油,係数_乗用_メタノール,係数_乗用_LPG),1,1,BE313):INDEX((係数_乗用_ガソリン,係数_乗用_CNG,係数_乗用_軽油,係数_乗用_メタノール,係数_乗用_LPG),125,5,BE313),5,FALSE)))))</f>
        <v/>
      </c>
      <c r="AN313" s="461" t="str">
        <f t="shared" si="165"/>
        <v/>
      </c>
      <c r="AO313" s="462" t="str">
        <f t="shared" si="166"/>
        <v/>
      </c>
      <c r="AP313" s="463" t="str">
        <f t="shared" si="167"/>
        <v/>
      </c>
      <c r="AQ313" s="464"/>
      <c r="AR313" s="619"/>
      <c r="AS313" s="465" t="str">
        <f t="shared" si="146"/>
        <v/>
      </c>
      <c r="AT313" s="465" t="str">
        <f t="shared" si="147"/>
        <v/>
      </c>
      <c r="AU313" s="466" t="str">
        <f t="shared" si="148"/>
        <v/>
      </c>
      <c r="AV313" s="467" t="str">
        <f t="shared" si="149"/>
        <v/>
      </c>
      <c r="AW313" s="467" t="str">
        <f t="shared" si="150"/>
        <v/>
      </c>
      <c r="AX313" s="467" t="str">
        <f t="shared" si="151"/>
        <v/>
      </c>
      <c r="AY313" s="467" t="str">
        <f t="shared" si="152"/>
        <v/>
      </c>
      <c r="AZ313" s="467" t="str">
        <f t="shared" si="153"/>
        <v/>
      </c>
      <c r="BA313" s="468" t="str">
        <f>IF(AS313="","",IF(OR(AU313="",AU313="-"),"－",IF(OR(AZ313=8,AZ313=9),"",IF(OR(AW313=3,AW313=4,AW313=5,AW313=6),VLOOKUP(AU313,INDEX((係数_バス貨物_ガソリン,係数_バス貨物_CNG,係数_バス貨物_軽油,係数_バス貨物_メタノール,係数_バス貨物_LPG),MATCH(AY313,【参考】排出係数!$AI$4:$AI$671,1),1,BE313):INDEX((係数_バス貨物_ガソリン,係数_バス貨物_CNG,係数_バス貨物_軽油,係数_バス貨物_メタノール,係数_バス貨物_LPG),MATCH(AY313+1,【参考】排出係数!$AI$4:$AI$671,1)-1,5,BE313),2,FALSE),IF(OR(AW313=1,AW313=2),VLOOKUP(AU313,INDEX((係数_乗用_ガソリン,係数_乗用_CNG,係数_乗用_軽油,係数_乗用_メタノール,係数_乗用_LPG),1,1,BE313):INDEX((係数_乗用_ガソリン,係数_乗用_CNG,係数_乗用_軽油,係数_乗用_メタノール,係数_乗用_LPG),125,5,BE313),2,FALSE))))))</f>
        <v/>
      </c>
      <c r="BB313" s="468" t="str">
        <f>IF(T313="","",IF(OR(AU313="",AU313="-"),"－",IF(OR(AZ313=8,AZ313=9),"",IF(OR(AW313=3,AW313=4,AW313=5,AW313=6),VLOOKUP(AU313,INDEX((係数_バス貨物_ガソリン,係数_バス貨物_CNG,係数_バス貨物_軽油,係数_バス貨物_メタノール,係数_バス貨物_LPG),MATCH(AY313,【参考】排出係数!$AI$4:$AI$671,1),1,BE313):INDEX((係数_バス貨物_ガソリン,係数_バス貨物_CNG,係数_バス貨物_軽油,係数_バス貨物_メタノール,係数_バス貨物_LPG),MATCH(AY313+1,【参考】排出係数!$AI$4:$AI$671,1)-1,5,BE313),3,FALSE),IF(OR(AW313=1,AW313=2),VLOOKUP(AU313,INDEX((係数_乗用_ガソリン,係数_乗用_CNG,係数_乗用_軽油,係数_乗用_メタノール,係数_乗用_LPG),1,1,BE313):INDEX((係数_乗用_ガソリン,係数_乗用_CNG,係数_乗用_軽油,係数_乗用_メタノール,係数_乗用_LPG),125,5,BE313),3,FALSE))))))</f>
        <v/>
      </c>
      <c r="BC313" s="467" t="str">
        <f t="shared" si="154"/>
        <v/>
      </c>
      <c r="BD313" s="567" t="str">
        <f t="shared" si="155"/>
        <v/>
      </c>
      <c r="BE313" s="467" t="str">
        <f t="shared" si="156"/>
        <v/>
      </c>
      <c r="BF313" s="469" t="str">
        <f t="shared" ca="1" si="157"/>
        <v/>
      </c>
      <c r="BG313" s="469" t="str">
        <f t="shared" ca="1" si="158"/>
        <v/>
      </c>
      <c r="BH313" s="467" t="str">
        <f t="shared" si="159"/>
        <v/>
      </c>
      <c r="BI313" s="467" t="str">
        <f t="shared" ca="1" si="160"/>
        <v/>
      </c>
      <c r="BJ313" s="469" t="str">
        <f t="shared" si="161"/>
        <v/>
      </c>
      <c r="BK313" s="470" t="str">
        <f t="shared" ref="BK313:BK376" si="179">IF(AS313="","",VLOOKUP(T313,車両の増減,2,FALSE))</f>
        <v/>
      </c>
      <c r="BL313" s="775" t="str">
        <f t="shared" si="162"/>
        <v/>
      </c>
      <c r="BM313" s="775" t="str">
        <f t="shared" si="163"/>
        <v/>
      </c>
    </row>
    <row r="314" spans="1:65">
      <c r="A314" s="473">
        <v>258</v>
      </c>
      <c r="B314" s="132"/>
      <c r="C314" s="332"/>
      <c r="D314" s="333"/>
      <c r="E314" s="333"/>
      <c r="F314" s="334"/>
      <c r="G314" s="337"/>
      <c r="H314" s="131"/>
      <c r="I314" s="337"/>
      <c r="J314" s="131"/>
      <c r="K314" s="458" t="str">
        <f t="shared" si="168"/>
        <v/>
      </c>
      <c r="L314" s="458">
        <f t="shared" ref="L314:L377" si="180">IF(G314&gt;0,DATE((G314),(H314+1),0),0)</f>
        <v>0</v>
      </c>
      <c r="M314" s="458">
        <f t="shared" ref="M314:M377" si="181">IF(I314&gt;0,DATE((I314),(J314+1),0),0)</f>
        <v>0</v>
      </c>
      <c r="N314" s="459" t="str">
        <f t="shared" si="169"/>
        <v/>
      </c>
      <c r="O314" s="459" t="str">
        <f t="shared" si="170"/>
        <v/>
      </c>
      <c r="P314" s="459" t="str">
        <f t="shared" si="171"/>
        <v/>
      </c>
      <c r="Q314" s="459" t="str">
        <f t="shared" si="172"/>
        <v/>
      </c>
      <c r="R314" s="459" t="str">
        <f t="shared" si="173"/>
        <v/>
      </c>
      <c r="S314" s="459" t="str">
        <f t="shared" si="174"/>
        <v/>
      </c>
      <c r="T314" s="566" t="str">
        <f t="shared" ref="T314:T377" si="182">N314&amp;O314&amp;P314&amp;Q314&amp;R314&amp;S314</f>
        <v/>
      </c>
      <c r="U314" s="702"/>
      <c r="V314" s="132"/>
      <c r="W314" s="133"/>
      <c r="X314" s="134"/>
      <c r="Y314" s="135"/>
      <c r="Z314" s="137"/>
      <c r="AA314" s="136"/>
      <c r="AB314" s="566" t="str">
        <f t="shared" si="175"/>
        <v/>
      </c>
      <c r="AC314" s="568" t="str">
        <f t="shared" ref="AC314:AC377" si="183">IF(AS314="","",IF((BA314="")+(BA314="－"),IF((BB314="")+(BB314=0),"－",BB314),IF((BA314="PM☆☆☆")+(BA314="☆及びPM☆☆☆")+(BA314="☆☆及びPM☆☆☆")+(BA314="☆☆☆及びPM☆☆☆"),"PM☆☆☆",IF((BA314="PM☆☆☆☆")+(BA314="☆及びPM☆☆☆☆")+(BA314="☆☆及びPM☆☆☆☆")+(BA314="☆☆☆及びPM☆☆☆☆"),"PM☆☆☆☆",IF((BA314="新☆")+(BA314="新NOx☆")+(BA314="新PM☆"),"新☆（新長期）",BA314)))))</f>
        <v/>
      </c>
      <c r="AD314" s="137"/>
      <c r="AE314" s="137"/>
      <c r="AF314" s="138"/>
      <c r="AG314" s="138"/>
      <c r="AH314" s="592" t="str">
        <f t="shared" si="176"/>
        <v/>
      </c>
      <c r="AI314" s="592" t="str">
        <f t="shared" si="177"/>
        <v/>
      </c>
      <c r="AJ314" s="592" t="str">
        <f t="shared" si="178"/>
        <v/>
      </c>
      <c r="AK314" s="460" t="str">
        <f>IF(AU314="","",IF(OR(AZ314=8,AZ314=9),0,IF(OR(AW314=3,AW314=4,AW314=5,AW314=6),IF(LEFT(BF314,1)="1",INDEX(係数_NOX・PM低減,MATCH(AY314,【参考】排出係数!$AI$801:$AI$804,1),1),VLOOKUP(AU314,INDEX((係数_バス貨物_ガソリン,係数_バス貨物_CNG,係数_バス貨物_軽油,係数_バス貨物_メタノール,係数_バス貨物_LPG),MATCH(AY314,【参考】排出係数!$AI$4:$AI$671,1),1,BE314):INDEX((係数_バス貨物_ガソリン,係数_バス貨物_CNG,係数_バス貨物_軽油,係数_バス貨物_メタノール,係数_バス貨物_LPG),MATCH(AY314+1,【参考】排出係数!$AI$4:$AI$671,1)-1,5,BE314),4,FALSE)),IF(AND(BE314=3,LEFT(BF314,1)="1"),0.48,VLOOKUP(AU314,INDEX((係数_乗用_ガソリン,係数_乗用_CNG,係数_乗用_軽油,係数_乗用_メタノール,係数_乗用_LPG),1,1,BE314):INDEX((係数_乗用_ガソリン,係数_乗用_CNG,係数_乗用_軽油,係数_乗用_メタノール,係数_乗用_LPG),125,5,BE314),4,FALSE)))))</f>
        <v/>
      </c>
      <c r="AL314" s="461" t="str">
        <f t="shared" si="164"/>
        <v/>
      </c>
      <c r="AM314" s="460" t="str">
        <f>IF(AU314="","",IF(OR(AZ314=8,AZ314=9),0,IF(OR(AW314=3,AW314=4,AW314=5,AW314=6),IF(LEFT(BH314,1)="1",INDEX(係数_PM低減,MATCH(AY314,【参考】排出係数!$AI$801:$AI$804,1),MATCH(BI314,【参考】排出係数!$AL$798:$AO$798,1)),VLOOKUP(AU314,INDEX((係数_バス貨物_ガソリン,係数_バス貨物_CNG,係数_バス貨物_軽油,係数_バス貨物_メタノール,係数_バス貨物_LPG),MATCH(AY314,【参考】排出係数!$AI$4:$AI$671,1),1,BE314):INDEX((係数_バス貨物_ガソリン,係数_バス貨物_CNG,係数_バス貨物_軽油,係数_バス貨物_メタノール,係数_バス貨物_LPG),MATCH(AY314+1,【参考】排出係数!$AI$4:$AI$671,1)-1,5,BE314),5,FALSE)),IF(AND(BE314=3,LEFT(BF314,1)="1"),0.055,VLOOKUP(AU314,INDEX((係数_乗用_ガソリン,係数_乗用_CNG,係数_乗用_軽油,係数_乗用_メタノール,係数_乗用_LPG),1,1,BE314):INDEX((係数_乗用_ガソリン,係数_乗用_CNG,係数_乗用_軽油,係数_乗用_メタノール,係数_乗用_LPG),125,5,BE314),5,FALSE)))))</f>
        <v/>
      </c>
      <c r="AN314" s="461" t="str">
        <f t="shared" si="165"/>
        <v/>
      </c>
      <c r="AO314" s="462" t="str">
        <f t="shared" si="166"/>
        <v/>
      </c>
      <c r="AP314" s="463" t="str">
        <f t="shared" si="167"/>
        <v/>
      </c>
      <c r="AQ314" s="464"/>
      <c r="AR314" s="619"/>
      <c r="AS314" s="465" t="str">
        <f t="shared" ref="AS314:AS377" si="184">IF(OR(T314="(減車済)",T314=""),"",1)</f>
        <v/>
      </c>
      <c r="AT314" s="465" t="str">
        <f t="shared" ref="AT314:AT377" si="185">IF(OR(T314="継続",T314="新規"),1,"")</f>
        <v/>
      </c>
      <c r="AU314" s="466" t="str">
        <f t="shared" ref="AU314:AU377" si="186">IF(AS314="","",UPPER(ASC(X314)))</f>
        <v/>
      </c>
      <c r="AV314" s="467" t="str">
        <f t="shared" ref="AV314:AV377" si="187">IF(AS314="","",IF(V314="","",IF(V314="普通",1,IF(V314="小型",2,0))))</f>
        <v/>
      </c>
      <c r="AW314" s="467" t="str">
        <f t="shared" ref="AW314:AW377" si="188">IF(AS314="","",IF(W314="","",VLOOKUP(W314,用途,2,FALSE)))</f>
        <v/>
      </c>
      <c r="AX314" s="467" t="str">
        <f t="shared" ref="AX314:AX377" si="189">IF(AS314="","",IF(Y314="","",IF(Y314&lt;=10,1,IF(Y314&lt;30,2,IF(Y314&gt;=30,3,0)))))</f>
        <v/>
      </c>
      <c r="AY314" s="467" t="str">
        <f t="shared" ref="AY314:AY377" si="190">IF(AS314="","",IF(Z314="","",IF(Z314&lt;=1.7*1000,1,IF(Z314&lt;=2.5*1000,2,IF(Z314&lt;=3.5*1000,3,IF(Z314&lt;8*1000,4,IF(Z314&gt;=8*1000,5,"")))))))</f>
        <v/>
      </c>
      <c r="AZ314" s="467" t="str">
        <f t="shared" ref="AZ314:AZ377" si="191">IF(AS314="","",IF(AA314="","",VLOOKUP(AA314,燃料の種類,2,FALSE)))</f>
        <v/>
      </c>
      <c r="BA314" s="468" t="str">
        <f>IF(AS314="","",IF(OR(AU314="",AU314="-"),"－",IF(OR(AZ314=8,AZ314=9),"",IF(OR(AW314=3,AW314=4,AW314=5,AW314=6),VLOOKUP(AU314,INDEX((係数_バス貨物_ガソリン,係数_バス貨物_CNG,係数_バス貨物_軽油,係数_バス貨物_メタノール,係数_バス貨物_LPG),MATCH(AY314,【参考】排出係数!$AI$4:$AI$671,1),1,BE314):INDEX((係数_バス貨物_ガソリン,係数_バス貨物_CNG,係数_バス貨物_軽油,係数_バス貨物_メタノール,係数_バス貨物_LPG),MATCH(AY314+1,【参考】排出係数!$AI$4:$AI$671,1)-1,5,BE314),2,FALSE),IF(OR(AW314=1,AW314=2),VLOOKUP(AU314,INDEX((係数_乗用_ガソリン,係数_乗用_CNG,係数_乗用_軽油,係数_乗用_メタノール,係数_乗用_LPG),1,1,BE314):INDEX((係数_乗用_ガソリン,係数_乗用_CNG,係数_乗用_軽油,係数_乗用_メタノール,係数_乗用_LPG),125,5,BE314),2,FALSE))))))</f>
        <v/>
      </c>
      <c r="BB314" s="468" t="str">
        <f>IF(T314="","",IF(OR(AU314="",AU314="-"),"－",IF(OR(AZ314=8,AZ314=9),"",IF(OR(AW314=3,AW314=4,AW314=5,AW314=6),VLOOKUP(AU314,INDEX((係数_バス貨物_ガソリン,係数_バス貨物_CNG,係数_バス貨物_軽油,係数_バス貨物_メタノール,係数_バス貨物_LPG),MATCH(AY314,【参考】排出係数!$AI$4:$AI$671,1),1,BE314):INDEX((係数_バス貨物_ガソリン,係数_バス貨物_CNG,係数_バス貨物_軽油,係数_バス貨物_メタノール,係数_バス貨物_LPG),MATCH(AY314+1,【参考】排出係数!$AI$4:$AI$671,1)-1,5,BE314),3,FALSE),IF(OR(AW314=1,AW314=2),VLOOKUP(AU314,INDEX((係数_乗用_ガソリン,係数_乗用_CNG,係数_乗用_軽油,係数_乗用_メタノール,係数_乗用_LPG),1,1,BE314):INDEX((係数_乗用_ガソリン,係数_乗用_CNG,係数_乗用_軽油,係数_乗用_メタノール,係数_乗用_LPG),125,5,BE314),3,FALSE))))))</f>
        <v/>
      </c>
      <c r="BC314" s="467" t="str">
        <f t="shared" ref="BC314:BC377" si="192">IF((AS314="")+(AC314=""),"",IF(燃料区分1=4,VLOOKUP(BB314,排ガス低減レベル,2,FALSE),VLOOKUP(AC314,排ガス低減レベル,2,FALSE)))</f>
        <v/>
      </c>
      <c r="BD314" s="567" t="str">
        <f t="shared" ref="BD314:BD377" si="193">IF(AT314="","",IF(AW314=3,B314&amp;"-"&amp;SUM(AW314*100,AX314*10,AY314)&amp;"A",IF(OR(AW314=2,AW314=4,AW314=6),B314&amp;"-"&amp;AY314*10&amp;"A",IF(AW314=1,B314&amp;"-"&amp;AW314&amp;"A",IF(AW314=5,B314&amp;"-"&amp;SUM(AW314*100,AV314*10,AY314)&amp;"A","")))))</f>
        <v/>
      </c>
      <c r="BE314" s="467" t="str">
        <f t="shared" ref="BE314:BE377" si="194">IF(OR(AZ314=1,AZ314=2,AZ314=11),1,IF(AZ314=6,2,IF(OR(AZ314=4,AZ314=5,AZ314=10),3,IF(AZ314=7,4,IF(AZ314=3,5, IF(OR(AZ314=8,AZ314=9),6,""))))))</f>
        <v/>
      </c>
      <c r="BF314" s="469" t="str">
        <f t="shared" ref="BF314:BF377" ca="1" si="195">(IF(OR(AZ314=4,AZ314=5),OFFSET($CH$1,MATCH($AF314,$CG$2:$CG$4,0),0)&amp;BK314,""))</f>
        <v/>
      </c>
      <c r="BG314" s="469" t="str">
        <f t="shared" ref="BG314:BG377" ca="1" si="196">(IF(OR(AZ314=4,AZ314=5),OFFSET($CJ$1,MATCH($AG314,$CI$2:$CI$5,0),0)&amp;BK314,""))</f>
        <v/>
      </c>
      <c r="BH314" s="467" t="str">
        <f t="shared" ref="BH314:BH377" si="197">IF(OR(AZ314=4,AZ314=5),IF(OR(LEFT(BF314,1)="1",LEFT(BG314,1)="2",LEFT(BG314,1)="3"),1,2)&amp;BK314,"")</f>
        <v/>
      </c>
      <c r="BI314" s="467" t="str">
        <f t="shared" ref="BI314:BI377" ca="1" si="198">IF(LEFT(BF314)="1",1,IF(LEFT(BG314,1)="2",2,IF(LEFT(BG314,1)="3",3,"")))</f>
        <v/>
      </c>
      <c r="BJ314" s="469" t="str">
        <f t="shared" ref="BJ314:BJ377" si="199">IF(AT314="","",B314&amp;"-"&amp;AZ314)</f>
        <v/>
      </c>
      <c r="BK314" s="470" t="str">
        <f t="shared" si="179"/>
        <v/>
      </c>
      <c r="BL314" s="775" t="str">
        <f t="shared" ref="BL314:BL377" si="200">IF(AND(OR($T314="新規",$T314="継続"),ISBLANK($AD314)),1,"")</f>
        <v/>
      </c>
      <c r="BM314" s="775" t="str">
        <f t="shared" ref="BM314:BM377" si="201">IF(AND(OR($T314="新規",$T314="継続"),ISBLANK($AE314)),1,"")</f>
        <v/>
      </c>
    </row>
    <row r="315" spans="1:65">
      <c r="A315" s="473">
        <v>259</v>
      </c>
      <c r="B315" s="132"/>
      <c r="C315" s="332"/>
      <c r="D315" s="333"/>
      <c r="E315" s="333"/>
      <c r="F315" s="334"/>
      <c r="G315" s="337"/>
      <c r="H315" s="131"/>
      <c r="I315" s="337"/>
      <c r="J315" s="131"/>
      <c r="K315" s="458" t="str">
        <f t="shared" si="168"/>
        <v/>
      </c>
      <c r="L315" s="458">
        <f t="shared" si="180"/>
        <v>0</v>
      </c>
      <c r="M315" s="458">
        <f t="shared" si="181"/>
        <v>0</v>
      </c>
      <c r="N315" s="459" t="str">
        <f t="shared" si="169"/>
        <v/>
      </c>
      <c r="O315" s="459" t="str">
        <f t="shared" si="170"/>
        <v/>
      </c>
      <c r="P315" s="459" t="str">
        <f t="shared" si="171"/>
        <v/>
      </c>
      <c r="Q315" s="459" t="str">
        <f t="shared" si="172"/>
        <v/>
      </c>
      <c r="R315" s="459" t="str">
        <f t="shared" si="173"/>
        <v/>
      </c>
      <c r="S315" s="459" t="str">
        <f t="shared" si="174"/>
        <v/>
      </c>
      <c r="T315" s="566" t="str">
        <f t="shared" si="182"/>
        <v/>
      </c>
      <c r="U315" s="702"/>
      <c r="V315" s="132"/>
      <c r="W315" s="133"/>
      <c r="X315" s="134"/>
      <c r="Y315" s="135"/>
      <c r="Z315" s="137"/>
      <c r="AA315" s="136"/>
      <c r="AB315" s="566" t="str">
        <f t="shared" si="175"/>
        <v/>
      </c>
      <c r="AC315" s="568" t="str">
        <f t="shared" si="183"/>
        <v/>
      </c>
      <c r="AD315" s="137"/>
      <c r="AE315" s="137"/>
      <c r="AF315" s="138"/>
      <c r="AG315" s="138"/>
      <c r="AH315" s="592" t="str">
        <f t="shared" si="176"/>
        <v/>
      </c>
      <c r="AI315" s="592" t="str">
        <f t="shared" si="177"/>
        <v/>
      </c>
      <c r="AJ315" s="592" t="str">
        <f t="shared" si="178"/>
        <v/>
      </c>
      <c r="AK315" s="460" t="str">
        <f>IF(AU315="","",IF(OR(AZ315=8,AZ315=9),0,IF(OR(AW315=3,AW315=4,AW315=5,AW315=6),IF(LEFT(BF315,1)="1",INDEX(係数_NOX・PM低減,MATCH(AY315,【参考】排出係数!$AI$801:$AI$804,1),1),VLOOKUP(AU315,INDEX((係数_バス貨物_ガソリン,係数_バス貨物_CNG,係数_バス貨物_軽油,係数_バス貨物_メタノール,係数_バス貨物_LPG),MATCH(AY315,【参考】排出係数!$AI$4:$AI$671,1),1,BE315):INDEX((係数_バス貨物_ガソリン,係数_バス貨物_CNG,係数_バス貨物_軽油,係数_バス貨物_メタノール,係数_バス貨物_LPG),MATCH(AY315+1,【参考】排出係数!$AI$4:$AI$671,1)-1,5,BE315),4,FALSE)),IF(AND(BE315=3,LEFT(BF315,1)="1"),0.48,VLOOKUP(AU315,INDEX((係数_乗用_ガソリン,係数_乗用_CNG,係数_乗用_軽油,係数_乗用_メタノール,係数_乗用_LPG),1,1,BE315):INDEX((係数_乗用_ガソリン,係数_乗用_CNG,係数_乗用_軽油,係数_乗用_メタノール,係数_乗用_LPG),125,5,BE315),4,FALSE)))))</f>
        <v/>
      </c>
      <c r="AL315" s="461" t="str">
        <f t="shared" si="164"/>
        <v/>
      </c>
      <c r="AM315" s="460" t="str">
        <f>IF(AU315="","",IF(OR(AZ315=8,AZ315=9),0,IF(OR(AW315=3,AW315=4,AW315=5,AW315=6),IF(LEFT(BH315,1)="1",INDEX(係数_PM低減,MATCH(AY315,【参考】排出係数!$AI$801:$AI$804,1),MATCH(BI315,【参考】排出係数!$AL$798:$AO$798,1)),VLOOKUP(AU315,INDEX((係数_バス貨物_ガソリン,係数_バス貨物_CNG,係数_バス貨物_軽油,係数_バス貨物_メタノール,係数_バス貨物_LPG),MATCH(AY315,【参考】排出係数!$AI$4:$AI$671,1),1,BE315):INDEX((係数_バス貨物_ガソリン,係数_バス貨物_CNG,係数_バス貨物_軽油,係数_バス貨物_メタノール,係数_バス貨物_LPG),MATCH(AY315+1,【参考】排出係数!$AI$4:$AI$671,1)-1,5,BE315),5,FALSE)),IF(AND(BE315=3,LEFT(BF315,1)="1"),0.055,VLOOKUP(AU315,INDEX((係数_乗用_ガソリン,係数_乗用_CNG,係数_乗用_軽油,係数_乗用_メタノール,係数_乗用_LPG),1,1,BE315):INDEX((係数_乗用_ガソリン,係数_乗用_CNG,係数_乗用_軽油,係数_乗用_メタノール,係数_乗用_LPG),125,5,BE315),5,FALSE)))))</f>
        <v/>
      </c>
      <c r="AN315" s="461" t="str">
        <f t="shared" si="165"/>
        <v/>
      </c>
      <c r="AO315" s="462" t="str">
        <f t="shared" si="166"/>
        <v/>
      </c>
      <c r="AP315" s="463" t="str">
        <f t="shared" si="167"/>
        <v/>
      </c>
      <c r="AQ315" s="464"/>
      <c r="AR315" s="619"/>
      <c r="AS315" s="465" t="str">
        <f t="shared" si="184"/>
        <v/>
      </c>
      <c r="AT315" s="465" t="str">
        <f t="shared" si="185"/>
        <v/>
      </c>
      <c r="AU315" s="466" t="str">
        <f t="shared" si="186"/>
        <v/>
      </c>
      <c r="AV315" s="467" t="str">
        <f t="shared" si="187"/>
        <v/>
      </c>
      <c r="AW315" s="467" t="str">
        <f t="shared" si="188"/>
        <v/>
      </c>
      <c r="AX315" s="467" t="str">
        <f t="shared" si="189"/>
        <v/>
      </c>
      <c r="AY315" s="467" t="str">
        <f t="shared" si="190"/>
        <v/>
      </c>
      <c r="AZ315" s="467" t="str">
        <f t="shared" si="191"/>
        <v/>
      </c>
      <c r="BA315" s="468" t="str">
        <f>IF(AS315="","",IF(OR(AU315="",AU315="-"),"－",IF(OR(AZ315=8,AZ315=9),"",IF(OR(AW315=3,AW315=4,AW315=5,AW315=6),VLOOKUP(AU315,INDEX((係数_バス貨物_ガソリン,係数_バス貨物_CNG,係数_バス貨物_軽油,係数_バス貨物_メタノール,係数_バス貨物_LPG),MATCH(AY315,【参考】排出係数!$AI$4:$AI$671,1),1,BE315):INDEX((係数_バス貨物_ガソリン,係数_バス貨物_CNG,係数_バス貨物_軽油,係数_バス貨物_メタノール,係数_バス貨物_LPG),MATCH(AY315+1,【参考】排出係数!$AI$4:$AI$671,1)-1,5,BE315),2,FALSE),IF(OR(AW315=1,AW315=2),VLOOKUP(AU315,INDEX((係数_乗用_ガソリン,係数_乗用_CNG,係数_乗用_軽油,係数_乗用_メタノール,係数_乗用_LPG),1,1,BE315):INDEX((係数_乗用_ガソリン,係数_乗用_CNG,係数_乗用_軽油,係数_乗用_メタノール,係数_乗用_LPG),125,5,BE315),2,FALSE))))))</f>
        <v/>
      </c>
      <c r="BB315" s="468" t="str">
        <f>IF(T315="","",IF(OR(AU315="",AU315="-"),"－",IF(OR(AZ315=8,AZ315=9),"",IF(OR(AW315=3,AW315=4,AW315=5,AW315=6),VLOOKUP(AU315,INDEX((係数_バス貨物_ガソリン,係数_バス貨物_CNG,係数_バス貨物_軽油,係数_バス貨物_メタノール,係数_バス貨物_LPG),MATCH(AY315,【参考】排出係数!$AI$4:$AI$671,1),1,BE315):INDEX((係数_バス貨物_ガソリン,係数_バス貨物_CNG,係数_バス貨物_軽油,係数_バス貨物_メタノール,係数_バス貨物_LPG),MATCH(AY315+1,【参考】排出係数!$AI$4:$AI$671,1)-1,5,BE315),3,FALSE),IF(OR(AW315=1,AW315=2),VLOOKUP(AU315,INDEX((係数_乗用_ガソリン,係数_乗用_CNG,係数_乗用_軽油,係数_乗用_メタノール,係数_乗用_LPG),1,1,BE315):INDEX((係数_乗用_ガソリン,係数_乗用_CNG,係数_乗用_軽油,係数_乗用_メタノール,係数_乗用_LPG),125,5,BE315),3,FALSE))))))</f>
        <v/>
      </c>
      <c r="BC315" s="467" t="str">
        <f t="shared" si="192"/>
        <v/>
      </c>
      <c r="BD315" s="567" t="str">
        <f t="shared" si="193"/>
        <v/>
      </c>
      <c r="BE315" s="467" t="str">
        <f t="shared" si="194"/>
        <v/>
      </c>
      <c r="BF315" s="469" t="str">
        <f t="shared" ca="1" si="195"/>
        <v/>
      </c>
      <c r="BG315" s="469" t="str">
        <f t="shared" ca="1" si="196"/>
        <v/>
      </c>
      <c r="BH315" s="467" t="str">
        <f t="shared" si="197"/>
        <v/>
      </c>
      <c r="BI315" s="467" t="str">
        <f t="shared" ca="1" si="198"/>
        <v/>
      </c>
      <c r="BJ315" s="469" t="str">
        <f t="shared" si="199"/>
        <v/>
      </c>
      <c r="BK315" s="470" t="str">
        <f t="shared" si="179"/>
        <v/>
      </c>
      <c r="BL315" s="775" t="str">
        <f t="shared" si="200"/>
        <v/>
      </c>
      <c r="BM315" s="775" t="str">
        <f t="shared" si="201"/>
        <v/>
      </c>
    </row>
    <row r="316" spans="1:65">
      <c r="A316" s="473">
        <v>260</v>
      </c>
      <c r="B316" s="132"/>
      <c r="C316" s="332"/>
      <c r="D316" s="333"/>
      <c r="E316" s="333"/>
      <c r="F316" s="334"/>
      <c r="G316" s="337"/>
      <c r="H316" s="131"/>
      <c r="I316" s="337"/>
      <c r="J316" s="131"/>
      <c r="K316" s="458" t="str">
        <f t="shared" si="168"/>
        <v/>
      </c>
      <c r="L316" s="458">
        <f t="shared" si="180"/>
        <v>0</v>
      </c>
      <c r="M316" s="458">
        <f t="shared" si="181"/>
        <v>0</v>
      </c>
      <c r="N316" s="459" t="str">
        <f t="shared" si="169"/>
        <v/>
      </c>
      <c r="O316" s="459" t="str">
        <f t="shared" si="170"/>
        <v/>
      </c>
      <c r="P316" s="459" t="str">
        <f t="shared" si="171"/>
        <v/>
      </c>
      <c r="Q316" s="459" t="str">
        <f t="shared" si="172"/>
        <v/>
      </c>
      <c r="R316" s="459" t="str">
        <f t="shared" si="173"/>
        <v/>
      </c>
      <c r="S316" s="459" t="str">
        <f t="shared" si="174"/>
        <v/>
      </c>
      <c r="T316" s="566" t="str">
        <f t="shared" si="182"/>
        <v/>
      </c>
      <c r="U316" s="702"/>
      <c r="V316" s="132"/>
      <c r="W316" s="133"/>
      <c r="X316" s="134"/>
      <c r="Y316" s="135"/>
      <c r="Z316" s="137"/>
      <c r="AA316" s="136"/>
      <c r="AB316" s="566" t="str">
        <f t="shared" si="175"/>
        <v/>
      </c>
      <c r="AC316" s="568" t="str">
        <f t="shared" si="183"/>
        <v/>
      </c>
      <c r="AD316" s="137"/>
      <c r="AE316" s="137"/>
      <c r="AF316" s="138"/>
      <c r="AG316" s="138"/>
      <c r="AH316" s="592" t="str">
        <f t="shared" si="176"/>
        <v/>
      </c>
      <c r="AI316" s="592" t="str">
        <f t="shared" si="177"/>
        <v/>
      </c>
      <c r="AJ316" s="592" t="str">
        <f t="shared" si="178"/>
        <v/>
      </c>
      <c r="AK316" s="460" t="str">
        <f>IF(AU316="","",IF(OR(AZ316=8,AZ316=9),0,IF(OR(AW316=3,AW316=4,AW316=5,AW316=6),IF(LEFT(BF316,1)="1",INDEX(係数_NOX・PM低減,MATCH(AY316,【参考】排出係数!$AI$801:$AI$804,1),1),VLOOKUP(AU316,INDEX((係数_バス貨物_ガソリン,係数_バス貨物_CNG,係数_バス貨物_軽油,係数_バス貨物_メタノール,係数_バス貨物_LPG),MATCH(AY316,【参考】排出係数!$AI$4:$AI$671,1),1,BE316):INDEX((係数_バス貨物_ガソリン,係数_バス貨物_CNG,係数_バス貨物_軽油,係数_バス貨物_メタノール,係数_バス貨物_LPG),MATCH(AY316+1,【参考】排出係数!$AI$4:$AI$671,1)-1,5,BE316),4,FALSE)),IF(AND(BE316=3,LEFT(BF316,1)="1"),0.48,VLOOKUP(AU316,INDEX((係数_乗用_ガソリン,係数_乗用_CNG,係数_乗用_軽油,係数_乗用_メタノール,係数_乗用_LPG),1,1,BE316):INDEX((係数_乗用_ガソリン,係数_乗用_CNG,係数_乗用_軽油,係数_乗用_メタノール,係数_乗用_LPG),125,5,BE316),4,FALSE)))))</f>
        <v/>
      </c>
      <c r="AL316" s="461" t="str">
        <f t="shared" ref="AL316:AL379" si="202">IF(AU316="","",IF(Z316&lt;=3.5*1000,AD316*AK316/1000,IF(Z316&gt;3.5*1000,AD316*Z316*AK316/1000/1000)))</f>
        <v/>
      </c>
      <c r="AM316" s="460" t="str">
        <f>IF(AU316="","",IF(OR(AZ316=8,AZ316=9),0,IF(OR(AW316=3,AW316=4,AW316=5,AW316=6),IF(LEFT(BH316,1)="1",INDEX(係数_PM低減,MATCH(AY316,【参考】排出係数!$AI$801:$AI$804,1),MATCH(BI316,【参考】排出係数!$AL$798:$AO$798,1)),VLOOKUP(AU316,INDEX((係数_バス貨物_ガソリン,係数_バス貨物_CNG,係数_バス貨物_軽油,係数_バス貨物_メタノール,係数_バス貨物_LPG),MATCH(AY316,【参考】排出係数!$AI$4:$AI$671,1),1,BE316):INDEX((係数_バス貨物_ガソリン,係数_バス貨物_CNG,係数_バス貨物_軽油,係数_バス貨物_メタノール,係数_バス貨物_LPG),MATCH(AY316+1,【参考】排出係数!$AI$4:$AI$671,1)-1,5,BE316),5,FALSE)),IF(AND(BE316=3,LEFT(BF316,1)="1"),0.055,VLOOKUP(AU316,INDEX((係数_乗用_ガソリン,係数_乗用_CNG,係数_乗用_軽油,係数_乗用_メタノール,係数_乗用_LPG),1,1,BE316):INDEX((係数_乗用_ガソリン,係数_乗用_CNG,係数_乗用_軽油,係数_乗用_メタノール,係数_乗用_LPG),125,5,BE316),5,FALSE)))))</f>
        <v/>
      </c>
      <c r="AN316" s="461" t="str">
        <f t="shared" ref="AN316:AN379" si="203">IF(AU316="","",IF(Z316&lt;=3.5*1000,AD316*AM316/1000,IF(Z316&gt;3.5*1000,AD316*Z316*AM316/1000/1000)))</f>
        <v/>
      </c>
      <c r="AO316" s="462" t="str">
        <f t="shared" ref="AO316:AO379" si="204">IF(AU316="","",IF(Z316&lt;500,"車両重量",IF(OR(AZ316=8,AZ316=9),0,IF(OR(AZ316=1,AZ316=2,AZ316=11),2.32,IF(OR(AZ316=4,AZ316=5,AZ316=11),2.58,IF(AZ316=3,3,IF(AZ316=6,2.23,IF(AZ316=7,1.37,0))))))))</f>
        <v/>
      </c>
      <c r="AP316" s="463" t="str">
        <f t="shared" ref="AP316:AP379" si="205">IF(AU316="","",AE316*AO316/1000)</f>
        <v/>
      </c>
      <c r="AQ316" s="464"/>
      <c r="AR316" s="619"/>
      <c r="AS316" s="465" t="str">
        <f t="shared" si="184"/>
        <v/>
      </c>
      <c r="AT316" s="465" t="str">
        <f t="shared" si="185"/>
        <v/>
      </c>
      <c r="AU316" s="466" t="str">
        <f t="shared" si="186"/>
        <v/>
      </c>
      <c r="AV316" s="467" t="str">
        <f t="shared" si="187"/>
        <v/>
      </c>
      <c r="AW316" s="467" t="str">
        <f t="shared" si="188"/>
        <v/>
      </c>
      <c r="AX316" s="467" t="str">
        <f t="shared" si="189"/>
        <v/>
      </c>
      <c r="AY316" s="467" t="str">
        <f t="shared" si="190"/>
        <v/>
      </c>
      <c r="AZ316" s="467" t="str">
        <f t="shared" si="191"/>
        <v/>
      </c>
      <c r="BA316" s="468" t="str">
        <f>IF(AS316="","",IF(OR(AU316="",AU316="-"),"－",IF(OR(AZ316=8,AZ316=9),"",IF(OR(AW316=3,AW316=4,AW316=5,AW316=6),VLOOKUP(AU316,INDEX((係数_バス貨物_ガソリン,係数_バス貨物_CNG,係数_バス貨物_軽油,係数_バス貨物_メタノール,係数_バス貨物_LPG),MATCH(AY316,【参考】排出係数!$AI$4:$AI$671,1),1,BE316):INDEX((係数_バス貨物_ガソリン,係数_バス貨物_CNG,係数_バス貨物_軽油,係数_バス貨物_メタノール,係数_バス貨物_LPG),MATCH(AY316+1,【参考】排出係数!$AI$4:$AI$671,1)-1,5,BE316),2,FALSE),IF(OR(AW316=1,AW316=2),VLOOKUP(AU316,INDEX((係数_乗用_ガソリン,係数_乗用_CNG,係数_乗用_軽油,係数_乗用_メタノール,係数_乗用_LPG),1,1,BE316):INDEX((係数_乗用_ガソリン,係数_乗用_CNG,係数_乗用_軽油,係数_乗用_メタノール,係数_乗用_LPG),125,5,BE316),2,FALSE))))))</f>
        <v/>
      </c>
      <c r="BB316" s="468" t="str">
        <f>IF(T316="","",IF(OR(AU316="",AU316="-"),"－",IF(OR(AZ316=8,AZ316=9),"",IF(OR(AW316=3,AW316=4,AW316=5,AW316=6),VLOOKUP(AU316,INDEX((係数_バス貨物_ガソリン,係数_バス貨物_CNG,係数_バス貨物_軽油,係数_バス貨物_メタノール,係数_バス貨物_LPG),MATCH(AY316,【参考】排出係数!$AI$4:$AI$671,1),1,BE316):INDEX((係数_バス貨物_ガソリン,係数_バス貨物_CNG,係数_バス貨物_軽油,係数_バス貨物_メタノール,係数_バス貨物_LPG),MATCH(AY316+1,【参考】排出係数!$AI$4:$AI$671,1)-1,5,BE316),3,FALSE),IF(OR(AW316=1,AW316=2),VLOOKUP(AU316,INDEX((係数_乗用_ガソリン,係数_乗用_CNG,係数_乗用_軽油,係数_乗用_メタノール,係数_乗用_LPG),1,1,BE316):INDEX((係数_乗用_ガソリン,係数_乗用_CNG,係数_乗用_軽油,係数_乗用_メタノール,係数_乗用_LPG),125,5,BE316),3,FALSE))))))</f>
        <v/>
      </c>
      <c r="BC316" s="467" t="str">
        <f t="shared" si="192"/>
        <v/>
      </c>
      <c r="BD316" s="567" t="str">
        <f t="shared" si="193"/>
        <v/>
      </c>
      <c r="BE316" s="467" t="str">
        <f t="shared" si="194"/>
        <v/>
      </c>
      <c r="BF316" s="469" t="str">
        <f t="shared" ca="1" si="195"/>
        <v/>
      </c>
      <c r="BG316" s="469" t="str">
        <f t="shared" ca="1" si="196"/>
        <v/>
      </c>
      <c r="BH316" s="467" t="str">
        <f t="shared" si="197"/>
        <v/>
      </c>
      <c r="BI316" s="467" t="str">
        <f t="shared" ca="1" si="198"/>
        <v/>
      </c>
      <c r="BJ316" s="469" t="str">
        <f t="shared" si="199"/>
        <v/>
      </c>
      <c r="BK316" s="470" t="str">
        <f t="shared" si="179"/>
        <v/>
      </c>
      <c r="BL316" s="775" t="str">
        <f t="shared" si="200"/>
        <v/>
      </c>
      <c r="BM316" s="775" t="str">
        <f t="shared" si="201"/>
        <v/>
      </c>
    </row>
    <row r="317" spans="1:65">
      <c r="A317" s="473">
        <v>261</v>
      </c>
      <c r="B317" s="132"/>
      <c r="C317" s="332"/>
      <c r="D317" s="333"/>
      <c r="E317" s="333"/>
      <c r="F317" s="334"/>
      <c r="G317" s="337"/>
      <c r="H317" s="131"/>
      <c r="I317" s="337"/>
      <c r="J317" s="131"/>
      <c r="K317" s="458" t="str">
        <f t="shared" si="168"/>
        <v/>
      </c>
      <c r="L317" s="458">
        <f t="shared" si="180"/>
        <v>0</v>
      </c>
      <c r="M317" s="458">
        <f t="shared" si="181"/>
        <v>0</v>
      </c>
      <c r="N317" s="459" t="str">
        <f t="shared" si="169"/>
        <v/>
      </c>
      <c r="O317" s="459" t="str">
        <f t="shared" si="170"/>
        <v/>
      </c>
      <c r="P317" s="459" t="str">
        <f t="shared" si="171"/>
        <v/>
      </c>
      <c r="Q317" s="459" t="str">
        <f t="shared" si="172"/>
        <v/>
      </c>
      <c r="R317" s="459" t="str">
        <f t="shared" si="173"/>
        <v/>
      </c>
      <c r="S317" s="459" t="str">
        <f t="shared" si="174"/>
        <v/>
      </c>
      <c r="T317" s="566" t="str">
        <f t="shared" si="182"/>
        <v/>
      </c>
      <c r="U317" s="702"/>
      <c r="V317" s="132"/>
      <c r="W317" s="133"/>
      <c r="X317" s="134"/>
      <c r="Y317" s="135"/>
      <c r="Z317" s="137"/>
      <c r="AA317" s="136"/>
      <c r="AB317" s="566" t="str">
        <f t="shared" si="175"/>
        <v/>
      </c>
      <c r="AC317" s="568" t="str">
        <f t="shared" si="183"/>
        <v/>
      </c>
      <c r="AD317" s="137"/>
      <c r="AE317" s="137"/>
      <c r="AF317" s="138"/>
      <c r="AG317" s="138"/>
      <c r="AH317" s="592" t="str">
        <f t="shared" si="176"/>
        <v/>
      </c>
      <c r="AI317" s="592" t="str">
        <f t="shared" si="177"/>
        <v/>
      </c>
      <c r="AJ317" s="592" t="str">
        <f t="shared" si="178"/>
        <v/>
      </c>
      <c r="AK317" s="460" t="str">
        <f>IF(AU317="","",IF(OR(AZ317=8,AZ317=9),0,IF(OR(AW317=3,AW317=4,AW317=5,AW317=6),IF(LEFT(BF317,1)="1",INDEX(係数_NOX・PM低減,MATCH(AY317,【参考】排出係数!$AI$801:$AI$804,1),1),VLOOKUP(AU317,INDEX((係数_バス貨物_ガソリン,係数_バス貨物_CNG,係数_バス貨物_軽油,係数_バス貨物_メタノール,係数_バス貨物_LPG),MATCH(AY317,【参考】排出係数!$AI$4:$AI$671,1),1,BE317):INDEX((係数_バス貨物_ガソリン,係数_バス貨物_CNG,係数_バス貨物_軽油,係数_バス貨物_メタノール,係数_バス貨物_LPG),MATCH(AY317+1,【参考】排出係数!$AI$4:$AI$671,1)-1,5,BE317),4,FALSE)),IF(AND(BE317=3,LEFT(BF317,1)="1"),0.48,VLOOKUP(AU317,INDEX((係数_乗用_ガソリン,係数_乗用_CNG,係数_乗用_軽油,係数_乗用_メタノール,係数_乗用_LPG),1,1,BE317):INDEX((係数_乗用_ガソリン,係数_乗用_CNG,係数_乗用_軽油,係数_乗用_メタノール,係数_乗用_LPG),125,5,BE317),4,FALSE)))))</f>
        <v/>
      </c>
      <c r="AL317" s="461" t="str">
        <f t="shared" si="202"/>
        <v/>
      </c>
      <c r="AM317" s="460" t="str">
        <f>IF(AU317="","",IF(OR(AZ317=8,AZ317=9),0,IF(OR(AW317=3,AW317=4,AW317=5,AW317=6),IF(LEFT(BH317,1)="1",INDEX(係数_PM低減,MATCH(AY317,【参考】排出係数!$AI$801:$AI$804,1),MATCH(BI317,【参考】排出係数!$AL$798:$AO$798,1)),VLOOKUP(AU317,INDEX((係数_バス貨物_ガソリン,係数_バス貨物_CNG,係数_バス貨物_軽油,係数_バス貨物_メタノール,係数_バス貨物_LPG),MATCH(AY317,【参考】排出係数!$AI$4:$AI$671,1),1,BE317):INDEX((係数_バス貨物_ガソリン,係数_バス貨物_CNG,係数_バス貨物_軽油,係数_バス貨物_メタノール,係数_バス貨物_LPG),MATCH(AY317+1,【参考】排出係数!$AI$4:$AI$671,1)-1,5,BE317),5,FALSE)),IF(AND(BE317=3,LEFT(BF317,1)="1"),0.055,VLOOKUP(AU317,INDEX((係数_乗用_ガソリン,係数_乗用_CNG,係数_乗用_軽油,係数_乗用_メタノール,係数_乗用_LPG),1,1,BE317):INDEX((係数_乗用_ガソリン,係数_乗用_CNG,係数_乗用_軽油,係数_乗用_メタノール,係数_乗用_LPG),125,5,BE317),5,FALSE)))))</f>
        <v/>
      </c>
      <c r="AN317" s="461" t="str">
        <f t="shared" si="203"/>
        <v/>
      </c>
      <c r="AO317" s="462" t="str">
        <f t="shared" si="204"/>
        <v/>
      </c>
      <c r="AP317" s="463" t="str">
        <f t="shared" si="205"/>
        <v/>
      </c>
      <c r="AQ317" s="464"/>
      <c r="AR317" s="619"/>
      <c r="AS317" s="465" t="str">
        <f t="shared" si="184"/>
        <v/>
      </c>
      <c r="AT317" s="465" t="str">
        <f t="shared" si="185"/>
        <v/>
      </c>
      <c r="AU317" s="466" t="str">
        <f t="shared" si="186"/>
        <v/>
      </c>
      <c r="AV317" s="467" t="str">
        <f t="shared" si="187"/>
        <v/>
      </c>
      <c r="AW317" s="467" t="str">
        <f t="shared" si="188"/>
        <v/>
      </c>
      <c r="AX317" s="467" t="str">
        <f t="shared" si="189"/>
        <v/>
      </c>
      <c r="AY317" s="467" t="str">
        <f t="shared" si="190"/>
        <v/>
      </c>
      <c r="AZ317" s="467" t="str">
        <f t="shared" si="191"/>
        <v/>
      </c>
      <c r="BA317" s="468" t="str">
        <f>IF(AS317="","",IF(OR(AU317="",AU317="-"),"－",IF(OR(AZ317=8,AZ317=9),"",IF(OR(AW317=3,AW317=4,AW317=5,AW317=6),VLOOKUP(AU317,INDEX((係数_バス貨物_ガソリン,係数_バス貨物_CNG,係数_バス貨物_軽油,係数_バス貨物_メタノール,係数_バス貨物_LPG),MATCH(AY317,【参考】排出係数!$AI$4:$AI$671,1),1,BE317):INDEX((係数_バス貨物_ガソリン,係数_バス貨物_CNG,係数_バス貨物_軽油,係数_バス貨物_メタノール,係数_バス貨物_LPG),MATCH(AY317+1,【参考】排出係数!$AI$4:$AI$671,1)-1,5,BE317),2,FALSE),IF(OR(AW317=1,AW317=2),VLOOKUP(AU317,INDEX((係数_乗用_ガソリン,係数_乗用_CNG,係数_乗用_軽油,係数_乗用_メタノール,係数_乗用_LPG),1,1,BE317):INDEX((係数_乗用_ガソリン,係数_乗用_CNG,係数_乗用_軽油,係数_乗用_メタノール,係数_乗用_LPG),125,5,BE317),2,FALSE))))))</f>
        <v/>
      </c>
      <c r="BB317" s="468" t="str">
        <f>IF(T317="","",IF(OR(AU317="",AU317="-"),"－",IF(OR(AZ317=8,AZ317=9),"",IF(OR(AW317=3,AW317=4,AW317=5,AW317=6),VLOOKUP(AU317,INDEX((係数_バス貨物_ガソリン,係数_バス貨物_CNG,係数_バス貨物_軽油,係数_バス貨物_メタノール,係数_バス貨物_LPG),MATCH(AY317,【参考】排出係数!$AI$4:$AI$671,1),1,BE317):INDEX((係数_バス貨物_ガソリン,係数_バス貨物_CNG,係数_バス貨物_軽油,係数_バス貨物_メタノール,係数_バス貨物_LPG),MATCH(AY317+1,【参考】排出係数!$AI$4:$AI$671,1)-1,5,BE317),3,FALSE),IF(OR(AW317=1,AW317=2),VLOOKUP(AU317,INDEX((係数_乗用_ガソリン,係数_乗用_CNG,係数_乗用_軽油,係数_乗用_メタノール,係数_乗用_LPG),1,1,BE317):INDEX((係数_乗用_ガソリン,係数_乗用_CNG,係数_乗用_軽油,係数_乗用_メタノール,係数_乗用_LPG),125,5,BE317),3,FALSE))))))</f>
        <v/>
      </c>
      <c r="BC317" s="467" t="str">
        <f t="shared" si="192"/>
        <v/>
      </c>
      <c r="BD317" s="567" t="str">
        <f t="shared" si="193"/>
        <v/>
      </c>
      <c r="BE317" s="467" t="str">
        <f t="shared" si="194"/>
        <v/>
      </c>
      <c r="BF317" s="469" t="str">
        <f t="shared" ca="1" si="195"/>
        <v/>
      </c>
      <c r="BG317" s="469" t="str">
        <f t="shared" ca="1" si="196"/>
        <v/>
      </c>
      <c r="BH317" s="467" t="str">
        <f t="shared" si="197"/>
        <v/>
      </c>
      <c r="BI317" s="467" t="str">
        <f t="shared" ca="1" si="198"/>
        <v/>
      </c>
      <c r="BJ317" s="469" t="str">
        <f t="shared" si="199"/>
        <v/>
      </c>
      <c r="BK317" s="470" t="str">
        <f t="shared" si="179"/>
        <v/>
      </c>
      <c r="BL317" s="775" t="str">
        <f t="shared" si="200"/>
        <v/>
      </c>
      <c r="BM317" s="775" t="str">
        <f t="shared" si="201"/>
        <v/>
      </c>
    </row>
    <row r="318" spans="1:65">
      <c r="A318" s="473">
        <v>262</v>
      </c>
      <c r="B318" s="132"/>
      <c r="C318" s="332"/>
      <c r="D318" s="333"/>
      <c r="E318" s="333"/>
      <c r="F318" s="334"/>
      <c r="G318" s="337"/>
      <c r="H318" s="131"/>
      <c r="I318" s="337"/>
      <c r="J318" s="131"/>
      <c r="K318" s="458" t="str">
        <f t="shared" si="168"/>
        <v/>
      </c>
      <c r="L318" s="458">
        <f t="shared" si="180"/>
        <v>0</v>
      </c>
      <c r="M318" s="458">
        <f t="shared" si="181"/>
        <v>0</v>
      </c>
      <c r="N318" s="459" t="str">
        <f t="shared" si="169"/>
        <v/>
      </c>
      <c r="O318" s="459" t="str">
        <f t="shared" si="170"/>
        <v/>
      </c>
      <c r="P318" s="459" t="str">
        <f t="shared" si="171"/>
        <v/>
      </c>
      <c r="Q318" s="459" t="str">
        <f t="shared" si="172"/>
        <v/>
      </c>
      <c r="R318" s="459" t="str">
        <f t="shared" si="173"/>
        <v/>
      </c>
      <c r="S318" s="459" t="str">
        <f t="shared" si="174"/>
        <v/>
      </c>
      <c r="T318" s="566" t="str">
        <f t="shared" si="182"/>
        <v/>
      </c>
      <c r="U318" s="702"/>
      <c r="V318" s="132"/>
      <c r="W318" s="133"/>
      <c r="X318" s="134"/>
      <c r="Y318" s="135"/>
      <c r="Z318" s="137"/>
      <c r="AA318" s="136"/>
      <c r="AB318" s="566" t="str">
        <f t="shared" si="175"/>
        <v/>
      </c>
      <c r="AC318" s="568" t="str">
        <f t="shared" si="183"/>
        <v/>
      </c>
      <c r="AD318" s="137"/>
      <c r="AE318" s="137"/>
      <c r="AF318" s="138"/>
      <c r="AG318" s="138"/>
      <c r="AH318" s="592" t="str">
        <f t="shared" si="176"/>
        <v/>
      </c>
      <c r="AI318" s="592" t="str">
        <f t="shared" si="177"/>
        <v/>
      </c>
      <c r="AJ318" s="592" t="str">
        <f t="shared" si="178"/>
        <v/>
      </c>
      <c r="AK318" s="460" t="str">
        <f>IF(AU318="","",IF(OR(AZ318=8,AZ318=9),0,IF(OR(AW318=3,AW318=4,AW318=5,AW318=6),IF(LEFT(BF318,1)="1",INDEX(係数_NOX・PM低減,MATCH(AY318,【参考】排出係数!$AI$801:$AI$804,1),1),VLOOKUP(AU318,INDEX((係数_バス貨物_ガソリン,係数_バス貨物_CNG,係数_バス貨物_軽油,係数_バス貨物_メタノール,係数_バス貨物_LPG),MATCH(AY318,【参考】排出係数!$AI$4:$AI$671,1),1,BE318):INDEX((係数_バス貨物_ガソリン,係数_バス貨物_CNG,係数_バス貨物_軽油,係数_バス貨物_メタノール,係数_バス貨物_LPG),MATCH(AY318+1,【参考】排出係数!$AI$4:$AI$671,1)-1,5,BE318),4,FALSE)),IF(AND(BE318=3,LEFT(BF318,1)="1"),0.48,VLOOKUP(AU318,INDEX((係数_乗用_ガソリン,係数_乗用_CNG,係数_乗用_軽油,係数_乗用_メタノール,係数_乗用_LPG),1,1,BE318):INDEX((係数_乗用_ガソリン,係数_乗用_CNG,係数_乗用_軽油,係数_乗用_メタノール,係数_乗用_LPG),125,5,BE318),4,FALSE)))))</f>
        <v/>
      </c>
      <c r="AL318" s="461" t="str">
        <f t="shared" si="202"/>
        <v/>
      </c>
      <c r="AM318" s="460" t="str">
        <f>IF(AU318="","",IF(OR(AZ318=8,AZ318=9),0,IF(OR(AW318=3,AW318=4,AW318=5,AW318=6),IF(LEFT(BH318,1)="1",INDEX(係数_PM低減,MATCH(AY318,【参考】排出係数!$AI$801:$AI$804,1),MATCH(BI318,【参考】排出係数!$AL$798:$AO$798,1)),VLOOKUP(AU318,INDEX((係数_バス貨物_ガソリン,係数_バス貨物_CNG,係数_バス貨物_軽油,係数_バス貨物_メタノール,係数_バス貨物_LPG),MATCH(AY318,【参考】排出係数!$AI$4:$AI$671,1),1,BE318):INDEX((係数_バス貨物_ガソリン,係数_バス貨物_CNG,係数_バス貨物_軽油,係数_バス貨物_メタノール,係数_バス貨物_LPG),MATCH(AY318+1,【参考】排出係数!$AI$4:$AI$671,1)-1,5,BE318),5,FALSE)),IF(AND(BE318=3,LEFT(BF318,1)="1"),0.055,VLOOKUP(AU318,INDEX((係数_乗用_ガソリン,係数_乗用_CNG,係数_乗用_軽油,係数_乗用_メタノール,係数_乗用_LPG),1,1,BE318):INDEX((係数_乗用_ガソリン,係数_乗用_CNG,係数_乗用_軽油,係数_乗用_メタノール,係数_乗用_LPG),125,5,BE318),5,FALSE)))))</f>
        <v/>
      </c>
      <c r="AN318" s="461" t="str">
        <f t="shared" si="203"/>
        <v/>
      </c>
      <c r="AO318" s="462" t="str">
        <f t="shared" si="204"/>
        <v/>
      </c>
      <c r="AP318" s="463" t="str">
        <f t="shared" si="205"/>
        <v/>
      </c>
      <c r="AQ318" s="464"/>
      <c r="AR318" s="619"/>
      <c r="AS318" s="465" t="str">
        <f t="shared" si="184"/>
        <v/>
      </c>
      <c r="AT318" s="465" t="str">
        <f t="shared" si="185"/>
        <v/>
      </c>
      <c r="AU318" s="466" t="str">
        <f t="shared" si="186"/>
        <v/>
      </c>
      <c r="AV318" s="467" t="str">
        <f t="shared" si="187"/>
        <v/>
      </c>
      <c r="AW318" s="467" t="str">
        <f t="shared" si="188"/>
        <v/>
      </c>
      <c r="AX318" s="467" t="str">
        <f t="shared" si="189"/>
        <v/>
      </c>
      <c r="AY318" s="467" t="str">
        <f t="shared" si="190"/>
        <v/>
      </c>
      <c r="AZ318" s="467" t="str">
        <f t="shared" si="191"/>
        <v/>
      </c>
      <c r="BA318" s="468" t="str">
        <f>IF(AS318="","",IF(OR(AU318="",AU318="-"),"－",IF(OR(AZ318=8,AZ318=9),"",IF(OR(AW318=3,AW318=4,AW318=5,AW318=6),VLOOKUP(AU318,INDEX((係数_バス貨物_ガソリン,係数_バス貨物_CNG,係数_バス貨物_軽油,係数_バス貨物_メタノール,係数_バス貨物_LPG),MATCH(AY318,【参考】排出係数!$AI$4:$AI$671,1),1,BE318):INDEX((係数_バス貨物_ガソリン,係数_バス貨物_CNG,係数_バス貨物_軽油,係数_バス貨物_メタノール,係数_バス貨物_LPG),MATCH(AY318+1,【参考】排出係数!$AI$4:$AI$671,1)-1,5,BE318),2,FALSE),IF(OR(AW318=1,AW318=2),VLOOKUP(AU318,INDEX((係数_乗用_ガソリン,係数_乗用_CNG,係数_乗用_軽油,係数_乗用_メタノール,係数_乗用_LPG),1,1,BE318):INDEX((係数_乗用_ガソリン,係数_乗用_CNG,係数_乗用_軽油,係数_乗用_メタノール,係数_乗用_LPG),125,5,BE318),2,FALSE))))))</f>
        <v/>
      </c>
      <c r="BB318" s="468" t="str">
        <f>IF(T318="","",IF(OR(AU318="",AU318="-"),"－",IF(OR(AZ318=8,AZ318=9),"",IF(OR(AW318=3,AW318=4,AW318=5,AW318=6),VLOOKUP(AU318,INDEX((係数_バス貨物_ガソリン,係数_バス貨物_CNG,係数_バス貨物_軽油,係数_バス貨物_メタノール,係数_バス貨物_LPG),MATCH(AY318,【参考】排出係数!$AI$4:$AI$671,1),1,BE318):INDEX((係数_バス貨物_ガソリン,係数_バス貨物_CNG,係数_バス貨物_軽油,係数_バス貨物_メタノール,係数_バス貨物_LPG),MATCH(AY318+1,【参考】排出係数!$AI$4:$AI$671,1)-1,5,BE318),3,FALSE),IF(OR(AW318=1,AW318=2),VLOOKUP(AU318,INDEX((係数_乗用_ガソリン,係数_乗用_CNG,係数_乗用_軽油,係数_乗用_メタノール,係数_乗用_LPG),1,1,BE318):INDEX((係数_乗用_ガソリン,係数_乗用_CNG,係数_乗用_軽油,係数_乗用_メタノール,係数_乗用_LPG),125,5,BE318),3,FALSE))))))</f>
        <v/>
      </c>
      <c r="BC318" s="467" t="str">
        <f t="shared" si="192"/>
        <v/>
      </c>
      <c r="BD318" s="567" t="str">
        <f t="shared" si="193"/>
        <v/>
      </c>
      <c r="BE318" s="467" t="str">
        <f t="shared" si="194"/>
        <v/>
      </c>
      <c r="BF318" s="469" t="str">
        <f t="shared" ca="1" si="195"/>
        <v/>
      </c>
      <c r="BG318" s="469" t="str">
        <f t="shared" ca="1" si="196"/>
        <v/>
      </c>
      <c r="BH318" s="467" t="str">
        <f t="shared" si="197"/>
        <v/>
      </c>
      <c r="BI318" s="467" t="str">
        <f t="shared" ca="1" si="198"/>
        <v/>
      </c>
      <c r="BJ318" s="469" t="str">
        <f t="shared" si="199"/>
        <v/>
      </c>
      <c r="BK318" s="470" t="str">
        <f t="shared" si="179"/>
        <v/>
      </c>
      <c r="BL318" s="775" t="str">
        <f t="shared" si="200"/>
        <v/>
      </c>
      <c r="BM318" s="775" t="str">
        <f t="shared" si="201"/>
        <v/>
      </c>
    </row>
    <row r="319" spans="1:65">
      <c r="A319" s="473">
        <v>263</v>
      </c>
      <c r="B319" s="132"/>
      <c r="C319" s="332"/>
      <c r="D319" s="333"/>
      <c r="E319" s="333"/>
      <c r="F319" s="334"/>
      <c r="G319" s="337"/>
      <c r="H319" s="131"/>
      <c r="I319" s="337"/>
      <c r="J319" s="131"/>
      <c r="K319" s="458" t="str">
        <f t="shared" si="168"/>
        <v/>
      </c>
      <c r="L319" s="458">
        <f t="shared" si="180"/>
        <v>0</v>
      </c>
      <c r="M319" s="458">
        <f t="shared" si="181"/>
        <v>0</v>
      </c>
      <c r="N319" s="459" t="str">
        <f t="shared" si="169"/>
        <v/>
      </c>
      <c r="O319" s="459" t="str">
        <f t="shared" si="170"/>
        <v/>
      </c>
      <c r="P319" s="459" t="str">
        <f t="shared" si="171"/>
        <v/>
      </c>
      <c r="Q319" s="459" t="str">
        <f t="shared" si="172"/>
        <v/>
      </c>
      <c r="R319" s="459" t="str">
        <f t="shared" si="173"/>
        <v/>
      </c>
      <c r="S319" s="459" t="str">
        <f t="shared" si="174"/>
        <v/>
      </c>
      <c r="T319" s="566" t="str">
        <f t="shared" si="182"/>
        <v/>
      </c>
      <c r="U319" s="702"/>
      <c r="V319" s="132"/>
      <c r="W319" s="133"/>
      <c r="X319" s="134"/>
      <c r="Y319" s="135"/>
      <c r="Z319" s="137"/>
      <c r="AA319" s="136"/>
      <c r="AB319" s="566" t="str">
        <f t="shared" si="175"/>
        <v/>
      </c>
      <c r="AC319" s="568" t="str">
        <f t="shared" si="183"/>
        <v/>
      </c>
      <c r="AD319" s="137"/>
      <c r="AE319" s="137"/>
      <c r="AF319" s="138"/>
      <c r="AG319" s="138"/>
      <c r="AH319" s="592" t="str">
        <f t="shared" si="176"/>
        <v/>
      </c>
      <c r="AI319" s="592" t="str">
        <f t="shared" si="177"/>
        <v/>
      </c>
      <c r="AJ319" s="592" t="str">
        <f t="shared" si="178"/>
        <v/>
      </c>
      <c r="AK319" s="460" t="str">
        <f>IF(AU319="","",IF(OR(AZ319=8,AZ319=9),0,IF(OR(AW319=3,AW319=4,AW319=5,AW319=6),IF(LEFT(BF319,1)="1",INDEX(係数_NOX・PM低減,MATCH(AY319,【参考】排出係数!$AI$801:$AI$804,1),1),VLOOKUP(AU319,INDEX((係数_バス貨物_ガソリン,係数_バス貨物_CNG,係数_バス貨物_軽油,係数_バス貨物_メタノール,係数_バス貨物_LPG),MATCH(AY319,【参考】排出係数!$AI$4:$AI$671,1),1,BE319):INDEX((係数_バス貨物_ガソリン,係数_バス貨物_CNG,係数_バス貨物_軽油,係数_バス貨物_メタノール,係数_バス貨物_LPG),MATCH(AY319+1,【参考】排出係数!$AI$4:$AI$671,1)-1,5,BE319),4,FALSE)),IF(AND(BE319=3,LEFT(BF319,1)="1"),0.48,VLOOKUP(AU319,INDEX((係数_乗用_ガソリン,係数_乗用_CNG,係数_乗用_軽油,係数_乗用_メタノール,係数_乗用_LPG),1,1,BE319):INDEX((係数_乗用_ガソリン,係数_乗用_CNG,係数_乗用_軽油,係数_乗用_メタノール,係数_乗用_LPG),125,5,BE319),4,FALSE)))))</f>
        <v/>
      </c>
      <c r="AL319" s="461" t="str">
        <f t="shared" si="202"/>
        <v/>
      </c>
      <c r="AM319" s="460" t="str">
        <f>IF(AU319="","",IF(OR(AZ319=8,AZ319=9),0,IF(OR(AW319=3,AW319=4,AW319=5,AW319=6),IF(LEFT(BH319,1)="1",INDEX(係数_PM低減,MATCH(AY319,【参考】排出係数!$AI$801:$AI$804,1),MATCH(BI319,【参考】排出係数!$AL$798:$AO$798,1)),VLOOKUP(AU319,INDEX((係数_バス貨物_ガソリン,係数_バス貨物_CNG,係数_バス貨物_軽油,係数_バス貨物_メタノール,係数_バス貨物_LPG),MATCH(AY319,【参考】排出係数!$AI$4:$AI$671,1),1,BE319):INDEX((係数_バス貨物_ガソリン,係数_バス貨物_CNG,係数_バス貨物_軽油,係数_バス貨物_メタノール,係数_バス貨物_LPG),MATCH(AY319+1,【参考】排出係数!$AI$4:$AI$671,1)-1,5,BE319),5,FALSE)),IF(AND(BE319=3,LEFT(BF319,1)="1"),0.055,VLOOKUP(AU319,INDEX((係数_乗用_ガソリン,係数_乗用_CNG,係数_乗用_軽油,係数_乗用_メタノール,係数_乗用_LPG),1,1,BE319):INDEX((係数_乗用_ガソリン,係数_乗用_CNG,係数_乗用_軽油,係数_乗用_メタノール,係数_乗用_LPG),125,5,BE319),5,FALSE)))))</f>
        <v/>
      </c>
      <c r="AN319" s="461" t="str">
        <f t="shared" si="203"/>
        <v/>
      </c>
      <c r="AO319" s="462" t="str">
        <f t="shared" si="204"/>
        <v/>
      </c>
      <c r="AP319" s="463" t="str">
        <f t="shared" si="205"/>
        <v/>
      </c>
      <c r="AQ319" s="464"/>
      <c r="AR319" s="619"/>
      <c r="AS319" s="465" t="str">
        <f t="shared" si="184"/>
        <v/>
      </c>
      <c r="AT319" s="465" t="str">
        <f t="shared" si="185"/>
        <v/>
      </c>
      <c r="AU319" s="466" t="str">
        <f t="shared" si="186"/>
        <v/>
      </c>
      <c r="AV319" s="467" t="str">
        <f t="shared" si="187"/>
        <v/>
      </c>
      <c r="AW319" s="467" t="str">
        <f t="shared" si="188"/>
        <v/>
      </c>
      <c r="AX319" s="467" t="str">
        <f t="shared" si="189"/>
        <v/>
      </c>
      <c r="AY319" s="467" t="str">
        <f t="shared" si="190"/>
        <v/>
      </c>
      <c r="AZ319" s="467" t="str">
        <f t="shared" si="191"/>
        <v/>
      </c>
      <c r="BA319" s="468" t="str">
        <f>IF(AS319="","",IF(OR(AU319="",AU319="-"),"－",IF(OR(AZ319=8,AZ319=9),"",IF(OR(AW319=3,AW319=4,AW319=5,AW319=6),VLOOKUP(AU319,INDEX((係数_バス貨物_ガソリン,係数_バス貨物_CNG,係数_バス貨物_軽油,係数_バス貨物_メタノール,係数_バス貨物_LPG),MATCH(AY319,【参考】排出係数!$AI$4:$AI$671,1),1,BE319):INDEX((係数_バス貨物_ガソリン,係数_バス貨物_CNG,係数_バス貨物_軽油,係数_バス貨物_メタノール,係数_バス貨物_LPG),MATCH(AY319+1,【参考】排出係数!$AI$4:$AI$671,1)-1,5,BE319),2,FALSE),IF(OR(AW319=1,AW319=2),VLOOKUP(AU319,INDEX((係数_乗用_ガソリン,係数_乗用_CNG,係数_乗用_軽油,係数_乗用_メタノール,係数_乗用_LPG),1,1,BE319):INDEX((係数_乗用_ガソリン,係数_乗用_CNG,係数_乗用_軽油,係数_乗用_メタノール,係数_乗用_LPG),125,5,BE319),2,FALSE))))))</f>
        <v/>
      </c>
      <c r="BB319" s="468" t="str">
        <f>IF(T319="","",IF(OR(AU319="",AU319="-"),"－",IF(OR(AZ319=8,AZ319=9),"",IF(OR(AW319=3,AW319=4,AW319=5,AW319=6),VLOOKUP(AU319,INDEX((係数_バス貨物_ガソリン,係数_バス貨物_CNG,係数_バス貨物_軽油,係数_バス貨物_メタノール,係数_バス貨物_LPG),MATCH(AY319,【参考】排出係数!$AI$4:$AI$671,1),1,BE319):INDEX((係数_バス貨物_ガソリン,係数_バス貨物_CNG,係数_バス貨物_軽油,係数_バス貨物_メタノール,係数_バス貨物_LPG),MATCH(AY319+1,【参考】排出係数!$AI$4:$AI$671,1)-1,5,BE319),3,FALSE),IF(OR(AW319=1,AW319=2),VLOOKUP(AU319,INDEX((係数_乗用_ガソリン,係数_乗用_CNG,係数_乗用_軽油,係数_乗用_メタノール,係数_乗用_LPG),1,1,BE319):INDEX((係数_乗用_ガソリン,係数_乗用_CNG,係数_乗用_軽油,係数_乗用_メタノール,係数_乗用_LPG),125,5,BE319),3,FALSE))))))</f>
        <v/>
      </c>
      <c r="BC319" s="467" t="str">
        <f t="shared" si="192"/>
        <v/>
      </c>
      <c r="BD319" s="567" t="str">
        <f t="shared" si="193"/>
        <v/>
      </c>
      <c r="BE319" s="467" t="str">
        <f t="shared" si="194"/>
        <v/>
      </c>
      <c r="BF319" s="469" t="str">
        <f t="shared" ca="1" si="195"/>
        <v/>
      </c>
      <c r="BG319" s="469" t="str">
        <f t="shared" ca="1" si="196"/>
        <v/>
      </c>
      <c r="BH319" s="467" t="str">
        <f t="shared" si="197"/>
        <v/>
      </c>
      <c r="BI319" s="467" t="str">
        <f t="shared" ca="1" si="198"/>
        <v/>
      </c>
      <c r="BJ319" s="469" t="str">
        <f t="shared" si="199"/>
        <v/>
      </c>
      <c r="BK319" s="470" t="str">
        <f t="shared" si="179"/>
        <v/>
      </c>
      <c r="BL319" s="775" t="str">
        <f t="shared" si="200"/>
        <v/>
      </c>
      <c r="BM319" s="775" t="str">
        <f t="shared" si="201"/>
        <v/>
      </c>
    </row>
    <row r="320" spans="1:65">
      <c r="A320" s="473">
        <v>264</v>
      </c>
      <c r="B320" s="132"/>
      <c r="C320" s="332"/>
      <c r="D320" s="333"/>
      <c r="E320" s="333"/>
      <c r="F320" s="334"/>
      <c r="G320" s="337"/>
      <c r="H320" s="131"/>
      <c r="I320" s="337"/>
      <c r="J320" s="131"/>
      <c r="K320" s="458" t="str">
        <f t="shared" si="168"/>
        <v/>
      </c>
      <c r="L320" s="458">
        <f t="shared" si="180"/>
        <v>0</v>
      </c>
      <c r="M320" s="458">
        <f t="shared" si="181"/>
        <v>0</v>
      </c>
      <c r="N320" s="459" t="str">
        <f t="shared" si="169"/>
        <v/>
      </c>
      <c r="O320" s="459" t="str">
        <f t="shared" si="170"/>
        <v/>
      </c>
      <c r="P320" s="459" t="str">
        <f t="shared" si="171"/>
        <v/>
      </c>
      <c r="Q320" s="459" t="str">
        <f t="shared" si="172"/>
        <v/>
      </c>
      <c r="R320" s="459" t="str">
        <f t="shared" si="173"/>
        <v/>
      </c>
      <c r="S320" s="459" t="str">
        <f t="shared" si="174"/>
        <v/>
      </c>
      <c r="T320" s="566" t="str">
        <f t="shared" si="182"/>
        <v/>
      </c>
      <c r="U320" s="702"/>
      <c r="V320" s="132"/>
      <c r="W320" s="133"/>
      <c r="X320" s="134"/>
      <c r="Y320" s="135"/>
      <c r="Z320" s="137"/>
      <c r="AA320" s="136"/>
      <c r="AB320" s="566" t="str">
        <f t="shared" si="175"/>
        <v/>
      </c>
      <c r="AC320" s="568" t="str">
        <f t="shared" si="183"/>
        <v/>
      </c>
      <c r="AD320" s="137"/>
      <c r="AE320" s="137"/>
      <c r="AF320" s="138"/>
      <c r="AG320" s="138"/>
      <c r="AH320" s="592" t="str">
        <f t="shared" si="176"/>
        <v/>
      </c>
      <c r="AI320" s="592" t="str">
        <f t="shared" si="177"/>
        <v/>
      </c>
      <c r="AJ320" s="592" t="str">
        <f t="shared" si="178"/>
        <v/>
      </c>
      <c r="AK320" s="460" t="str">
        <f>IF(AU320="","",IF(OR(AZ320=8,AZ320=9),0,IF(OR(AW320=3,AW320=4,AW320=5,AW320=6),IF(LEFT(BF320,1)="1",INDEX(係数_NOX・PM低減,MATCH(AY320,【参考】排出係数!$AI$801:$AI$804,1),1),VLOOKUP(AU320,INDEX((係数_バス貨物_ガソリン,係数_バス貨物_CNG,係数_バス貨物_軽油,係数_バス貨物_メタノール,係数_バス貨物_LPG),MATCH(AY320,【参考】排出係数!$AI$4:$AI$671,1),1,BE320):INDEX((係数_バス貨物_ガソリン,係数_バス貨物_CNG,係数_バス貨物_軽油,係数_バス貨物_メタノール,係数_バス貨物_LPG),MATCH(AY320+1,【参考】排出係数!$AI$4:$AI$671,1)-1,5,BE320),4,FALSE)),IF(AND(BE320=3,LEFT(BF320,1)="1"),0.48,VLOOKUP(AU320,INDEX((係数_乗用_ガソリン,係数_乗用_CNG,係数_乗用_軽油,係数_乗用_メタノール,係数_乗用_LPG),1,1,BE320):INDEX((係数_乗用_ガソリン,係数_乗用_CNG,係数_乗用_軽油,係数_乗用_メタノール,係数_乗用_LPG),125,5,BE320),4,FALSE)))))</f>
        <v/>
      </c>
      <c r="AL320" s="461" t="str">
        <f t="shared" si="202"/>
        <v/>
      </c>
      <c r="AM320" s="460" t="str">
        <f>IF(AU320="","",IF(OR(AZ320=8,AZ320=9),0,IF(OR(AW320=3,AW320=4,AW320=5,AW320=6),IF(LEFT(BH320,1)="1",INDEX(係数_PM低減,MATCH(AY320,【参考】排出係数!$AI$801:$AI$804,1),MATCH(BI320,【参考】排出係数!$AL$798:$AO$798,1)),VLOOKUP(AU320,INDEX((係数_バス貨物_ガソリン,係数_バス貨物_CNG,係数_バス貨物_軽油,係数_バス貨物_メタノール,係数_バス貨物_LPG),MATCH(AY320,【参考】排出係数!$AI$4:$AI$671,1),1,BE320):INDEX((係数_バス貨物_ガソリン,係数_バス貨物_CNG,係数_バス貨物_軽油,係数_バス貨物_メタノール,係数_バス貨物_LPG),MATCH(AY320+1,【参考】排出係数!$AI$4:$AI$671,1)-1,5,BE320),5,FALSE)),IF(AND(BE320=3,LEFT(BF320,1)="1"),0.055,VLOOKUP(AU320,INDEX((係数_乗用_ガソリン,係数_乗用_CNG,係数_乗用_軽油,係数_乗用_メタノール,係数_乗用_LPG),1,1,BE320):INDEX((係数_乗用_ガソリン,係数_乗用_CNG,係数_乗用_軽油,係数_乗用_メタノール,係数_乗用_LPG),125,5,BE320),5,FALSE)))))</f>
        <v/>
      </c>
      <c r="AN320" s="461" t="str">
        <f t="shared" si="203"/>
        <v/>
      </c>
      <c r="AO320" s="462" t="str">
        <f t="shared" si="204"/>
        <v/>
      </c>
      <c r="AP320" s="463" t="str">
        <f t="shared" si="205"/>
        <v/>
      </c>
      <c r="AQ320" s="464"/>
      <c r="AR320" s="619"/>
      <c r="AS320" s="465" t="str">
        <f t="shared" si="184"/>
        <v/>
      </c>
      <c r="AT320" s="465" t="str">
        <f t="shared" si="185"/>
        <v/>
      </c>
      <c r="AU320" s="466" t="str">
        <f t="shared" si="186"/>
        <v/>
      </c>
      <c r="AV320" s="467" t="str">
        <f t="shared" si="187"/>
        <v/>
      </c>
      <c r="AW320" s="467" t="str">
        <f t="shared" si="188"/>
        <v/>
      </c>
      <c r="AX320" s="467" t="str">
        <f t="shared" si="189"/>
        <v/>
      </c>
      <c r="AY320" s="467" t="str">
        <f t="shared" si="190"/>
        <v/>
      </c>
      <c r="AZ320" s="467" t="str">
        <f t="shared" si="191"/>
        <v/>
      </c>
      <c r="BA320" s="468" t="str">
        <f>IF(AS320="","",IF(OR(AU320="",AU320="-"),"－",IF(OR(AZ320=8,AZ320=9),"",IF(OR(AW320=3,AW320=4,AW320=5,AW320=6),VLOOKUP(AU320,INDEX((係数_バス貨物_ガソリン,係数_バス貨物_CNG,係数_バス貨物_軽油,係数_バス貨物_メタノール,係数_バス貨物_LPG),MATCH(AY320,【参考】排出係数!$AI$4:$AI$671,1),1,BE320):INDEX((係数_バス貨物_ガソリン,係数_バス貨物_CNG,係数_バス貨物_軽油,係数_バス貨物_メタノール,係数_バス貨物_LPG),MATCH(AY320+1,【参考】排出係数!$AI$4:$AI$671,1)-1,5,BE320),2,FALSE),IF(OR(AW320=1,AW320=2),VLOOKUP(AU320,INDEX((係数_乗用_ガソリン,係数_乗用_CNG,係数_乗用_軽油,係数_乗用_メタノール,係数_乗用_LPG),1,1,BE320):INDEX((係数_乗用_ガソリン,係数_乗用_CNG,係数_乗用_軽油,係数_乗用_メタノール,係数_乗用_LPG),125,5,BE320),2,FALSE))))))</f>
        <v/>
      </c>
      <c r="BB320" s="468" t="str">
        <f>IF(T320="","",IF(OR(AU320="",AU320="-"),"－",IF(OR(AZ320=8,AZ320=9),"",IF(OR(AW320=3,AW320=4,AW320=5,AW320=6),VLOOKUP(AU320,INDEX((係数_バス貨物_ガソリン,係数_バス貨物_CNG,係数_バス貨物_軽油,係数_バス貨物_メタノール,係数_バス貨物_LPG),MATCH(AY320,【参考】排出係数!$AI$4:$AI$671,1),1,BE320):INDEX((係数_バス貨物_ガソリン,係数_バス貨物_CNG,係数_バス貨物_軽油,係数_バス貨物_メタノール,係数_バス貨物_LPG),MATCH(AY320+1,【参考】排出係数!$AI$4:$AI$671,1)-1,5,BE320),3,FALSE),IF(OR(AW320=1,AW320=2),VLOOKUP(AU320,INDEX((係数_乗用_ガソリン,係数_乗用_CNG,係数_乗用_軽油,係数_乗用_メタノール,係数_乗用_LPG),1,1,BE320):INDEX((係数_乗用_ガソリン,係数_乗用_CNG,係数_乗用_軽油,係数_乗用_メタノール,係数_乗用_LPG),125,5,BE320),3,FALSE))))))</f>
        <v/>
      </c>
      <c r="BC320" s="467" t="str">
        <f t="shared" si="192"/>
        <v/>
      </c>
      <c r="BD320" s="567" t="str">
        <f t="shared" si="193"/>
        <v/>
      </c>
      <c r="BE320" s="467" t="str">
        <f t="shared" si="194"/>
        <v/>
      </c>
      <c r="BF320" s="469" t="str">
        <f t="shared" ca="1" si="195"/>
        <v/>
      </c>
      <c r="BG320" s="469" t="str">
        <f t="shared" ca="1" si="196"/>
        <v/>
      </c>
      <c r="BH320" s="467" t="str">
        <f t="shared" si="197"/>
        <v/>
      </c>
      <c r="BI320" s="467" t="str">
        <f t="shared" ca="1" si="198"/>
        <v/>
      </c>
      <c r="BJ320" s="469" t="str">
        <f t="shared" si="199"/>
        <v/>
      </c>
      <c r="BK320" s="470" t="str">
        <f t="shared" si="179"/>
        <v/>
      </c>
      <c r="BL320" s="775" t="str">
        <f t="shared" si="200"/>
        <v/>
      </c>
      <c r="BM320" s="775" t="str">
        <f t="shared" si="201"/>
        <v/>
      </c>
    </row>
    <row r="321" spans="1:65">
      <c r="A321" s="473">
        <v>265</v>
      </c>
      <c r="B321" s="132"/>
      <c r="C321" s="332"/>
      <c r="D321" s="333"/>
      <c r="E321" s="333"/>
      <c r="F321" s="334"/>
      <c r="G321" s="337"/>
      <c r="H321" s="131"/>
      <c r="I321" s="337"/>
      <c r="J321" s="131"/>
      <c r="K321" s="458" t="str">
        <f t="shared" si="168"/>
        <v/>
      </c>
      <c r="L321" s="458">
        <f t="shared" si="180"/>
        <v>0</v>
      </c>
      <c r="M321" s="458">
        <f t="shared" si="181"/>
        <v>0</v>
      </c>
      <c r="N321" s="459" t="str">
        <f t="shared" si="169"/>
        <v/>
      </c>
      <c r="O321" s="459" t="str">
        <f t="shared" si="170"/>
        <v/>
      </c>
      <c r="P321" s="459" t="str">
        <f t="shared" si="171"/>
        <v/>
      </c>
      <c r="Q321" s="459" t="str">
        <f t="shared" si="172"/>
        <v/>
      </c>
      <c r="R321" s="459" t="str">
        <f t="shared" si="173"/>
        <v/>
      </c>
      <c r="S321" s="459" t="str">
        <f t="shared" si="174"/>
        <v/>
      </c>
      <c r="T321" s="566" t="str">
        <f t="shared" si="182"/>
        <v/>
      </c>
      <c r="U321" s="702"/>
      <c r="V321" s="132"/>
      <c r="W321" s="133"/>
      <c r="X321" s="134"/>
      <c r="Y321" s="135"/>
      <c r="Z321" s="137"/>
      <c r="AA321" s="136"/>
      <c r="AB321" s="566" t="str">
        <f t="shared" si="175"/>
        <v/>
      </c>
      <c r="AC321" s="568" t="str">
        <f t="shared" si="183"/>
        <v/>
      </c>
      <c r="AD321" s="137"/>
      <c r="AE321" s="137"/>
      <c r="AF321" s="138"/>
      <c r="AG321" s="138"/>
      <c r="AH321" s="592" t="str">
        <f t="shared" si="176"/>
        <v/>
      </c>
      <c r="AI321" s="592" t="str">
        <f t="shared" si="177"/>
        <v/>
      </c>
      <c r="AJ321" s="592" t="str">
        <f t="shared" si="178"/>
        <v/>
      </c>
      <c r="AK321" s="460" t="str">
        <f>IF(AU321="","",IF(OR(AZ321=8,AZ321=9),0,IF(OR(AW321=3,AW321=4,AW321=5,AW321=6),IF(LEFT(BF321,1)="1",INDEX(係数_NOX・PM低減,MATCH(AY321,【参考】排出係数!$AI$801:$AI$804,1),1),VLOOKUP(AU321,INDEX((係数_バス貨物_ガソリン,係数_バス貨物_CNG,係数_バス貨物_軽油,係数_バス貨物_メタノール,係数_バス貨物_LPG),MATCH(AY321,【参考】排出係数!$AI$4:$AI$671,1),1,BE321):INDEX((係数_バス貨物_ガソリン,係数_バス貨物_CNG,係数_バス貨物_軽油,係数_バス貨物_メタノール,係数_バス貨物_LPG),MATCH(AY321+1,【参考】排出係数!$AI$4:$AI$671,1)-1,5,BE321),4,FALSE)),IF(AND(BE321=3,LEFT(BF321,1)="1"),0.48,VLOOKUP(AU321,INDEX((係数_乗用_ガソリン,係数_乗用_CNG,係数_乗用_軽油,係数_乗用_メタノール,係数_乗用_LPG),1,1,BE321):INDEX((係数_乗用_ガソリン,係数_乗用_CNG,係数_乗用_軽油,係数_乗用_メタノール,係数_乗用_LPG),125,5,BE321),4,FALSE)))))</f>
        <v/>
      </c>
      <c r="AL321" s="461" t="str">
        <f t="shared" si="202"/>
        <v/>
      </c>
      <c r="AM321" s="460" t="str">
        <f>IF(AU321="","",IF(OR(AZ321=8,AZ321=9),0,IF(OR(AW321=3,AW321=4,AW321=5,AW321=6),IF(LEFT(BH321,1)="1",INDEX(係数_PM低減,MATCH(AY321,【参考】排出係数!$AI$801:$AI$804,1),MATCH(BI321,【参考】排出係数!$AL$798:$AO$798,1)),VLOOKUP(AU321,INDEX((係数_バス貨物_ガソリン,係数_バス貨物_CNG,係数_バス貨物_軽油,係数_バス貨物_メタノール,係数_バス貨物_LPG),MATCH(AY321,【参考】排出係数!$AI$4:$AI$671,1),1,BE321):INDEX((係数_バス貨物_ガソリン,係数_バス貨物_CNG,係数_バス貨物_軽油,係数_バス貨物_メタノール,係数_バス貨物_LPG),MATCH(AY321+1,【参考】排出係数!$AI$4:$AI$671,1)-1,5,BE321),5,FALSE)),IF(AND(BE321=3,LEFT(BF321,1)="1"),0.055,VLOOKUP(AU321,INDEX((係数_乗用_ガソリン,係数_乗用_CNG,係数_乗用_軽油,係数_乗用_メタノール,係数_乗用_LPG),1,1,BE321):INDEX((係数_乗用_ガソリン,係数_乗用_CNG,係数_乗用_軽油,係数_乗用_メタノール,係数_乗用_LPG),125,5,BE321),5,FALSE)))))</f>
        <v/>
      </c>
      <c r="AN321" s="461" t="str">
        <f t="shared" si="203"/>
        <v/>
      </c>
      <c r="AO321" s="462" t="str">
        <f t="shared" si="204"/>
        <v/>
      </c>
      <c r="AP321" s="463" t="str">
        <f t="shared" si="205"/>
        <v/>
      </c>
      <c r="AQ321" s="464"/>
      <c r="AR321" s="619"/>
      <c r="AS321" s="465" t="str">
        <f t="shared" si="184"/>
        <v/>
      </c>
      <c r="AT321" s="465" t="str">
        <f t="shared" si="185"/>
        <v/>
      </c>
      <c r="AU321" s="466" t="str">
        <f t="shared" si="186"/>
        <v/>
      </c>
      <c r="AV321" s="467" t="str">
        <f t="shared" si="187"/>
        <v/>
      </c>
      <c r="AW321" s="467" t="str">
        <f t="shared" si="188"/>
        <v/>
      </c>
      <c r="AX321" s="467" t="str">
        <f t="shared" si="189"/>
        <v/>
      </c>
      <c r="AY321" s="467" t="str">
        <f t="shared" si="190"/>
        <v/>
      </c>
      <c r="AZ321" s="467" t="str">
        <f t="shared" si="191"/>
        <v/>
      </c>
      <c r="BA321" s="468" t="str">
        <f>IF(AS321="","",IF(OR(AU321="",AU321="-"),"－",IF(OR(AZ321=8,AZ321=9),"",IF(OR(AW321=3,AW321=4,AW321=5,AW321=6),VLOOKUP(AU321,INDEX((係数_バス貨物_ガソリン,係数_バス貨物_CNG,係数_バス貨物_軽油,係数_バス貨物_メタノール,係数_バス貨物_LPG),MATCH(AY321,【参考】排出係数!$AI$4:$AI$671,1),1,BE321):INDEX((係数_バス貨物_ガソリン,係数_バス貨物_CNG,係数_バス貨物_軽油,係数_バス貨物_メタノール,係数_バス貨物_LPG),MATCH(AY321+1,【参考】排出係数!$AI$4:$AI$671,1)-1,5,BE321),2,FALSE),IF(OR(AW321=1,AW321=2),VLOOKUP(AU321,INDEX((係数_乗用_ガソリン,係数_乗用_CNG,係数_乗用_軽油,係数_乗用_メタノール,係数_乗用_LPG),1,1,BE321):INDEX((係数_乗用_ガソリン,係数_乗用_CNG,係数_乗用_軽油,係数_乗用_メタノール,係数_乗用_LPG),125,5,BE321),2,FALSE))))))</f>
        <v/>
      </c>
      <c r="BB321" s="468" t="str">
        <f>IF(T321="","",IF(OR(AU321="",AU321="-"),"－",IF(OR(AZ321=8,AZ321=9),"",IF(OR(AW321=3,AW321=4,AW321=5,AW321=6),VLOOKUP(AU321,INDEX((係数_バス貨物_ガソリン,係数_バス貨物_CNG,係数_バス貨物_軽油,係数_バス貨物_メタノール,係数_バス貨物_LPG),MATCH(AY321,【参考】排出係数!$AI$4:$AI$671,1),1,BE321):INDEX((係数_バス貨物_ガソリン,係数_バス貨物_CNG,係数_バス貨物_軽油,係数_バス貨物_メタノール,係数_バス貨物_LPG),MATCH(AY321+1,【参考】排出係数!$AI$4:$AI$671,1)-1,5,BE321),3,FALSE),IF(OR(AW321=1,AW321=2),VLOOKUP(AU321,INDEX((係数_乗用_ガソリン,係数_乗用_CNG,係数_乗用_軽油,係数_乗用_メタノール,係数_乗用_LPG),1,1,BE321):INDEX((係数_乗用_ガソリン,係数_乗用_CNG,係数_乗用_軽油,係数_乗用_メタノール,係数_乗用_LPG),125,5,BE321),3,FALSE))))))</f>
        <v/>
      </c>
      <c r="BC321" s="467" t="str">
        <f t="shared" si="192"/>
        <v/>
      </c>
      <c r="BD321" s="567" t="str">
        <f t="shared" si="193"/>
        <v/>
      </c>
      <c r="BE321" s="467" t="str">
        <f t="shared" si="194"/>
        <v/>
      </c>
      <c r="BF321" s="469" t="str">
        <f t="shared" ca="1" si="195"/>
        <v/>
      </c>
      <c r="BG321" s="469" t="str">
        <f t="shared" ca="1" si="196"/>
        <v/>
      </c>
      <c r="BH321" s="467" t="str">
        <f t="shared" si="197"/>
        <v/>
      </c>
      <c r="BI321" s="467" t="str">
        <f t="shared" ca="1" si="198"/>
        <v/>
      </c>
      <c r="BJ321" s="469" t="str">
        <f t="shared" si="199"/>
        <v/>
      </c>
      <c r="BK321" s="470" t="str">
        <f t="shared" si="179"/>
        <v/>
      </c>
      <c r="BL321" s="775" t="str">
        <f t="shared" si="200"/>
        <v/>
      </c>
      <c r="BM321" s="775" t="str">
        <f t="shared" si="201"/>
        <v/>
      </c>
    </row>
    <row r="322" spans="1:65">
      <c r="A322" s="473">
        <v>266</v>
      </c>
      <c r="B322" s="132"/>
      <c r="C322" s="332"/>
      <c r="D322" s="333"/>
      <c r="E322" s="333"/>
      <c r="F322" s="334"/>
      <c r="G322" s="337"/>
      <c r="H322" s="131"/>
      <c r="I322" s="337"/>
      <c r="J322" s="131"/>
      <c r="K322" s="458" t="str">
        <f t="shared" si="168"/>
        <v/>
      </c>
      <c r="L322" s="458">
        <f t="shared" si="180"/>
        <v>0</v>
      </c>
      <c r="M322" s="458">
        <f t="shared" si="181"/>
        <v>0</v>
      </c>
      <c r="N322" s="459" t="str">
        <f t="shared" si="169"/>
        <v/>
      </c>
      <c r="O322" s="459" t="str">
        <f t="shared" si="170"/>
        <v/>
      </c>
      <c r="P322" s="459" t="str">
        <f t="shared" si="171"/>
        <v/>
      </c>
      <c r="Q322" s="459" t="str">
        <f t="shared" si="172"/>
        <v/>
      </c>
      <c r="R322" s="459" t="str">
        <f t="shared" si="173"/>
        <v/>
      </c>
      <c r="S322" s="459" t="str">
        <f t="shared" si="174"/>
        <v/>
      </c>
      <c r="T322" s="566" t="str">
        <f t="shared" si="182"/>
        <v/>
      </c>
      <c r="U322" s="702"/>
      <c r="V322" s="132"/>
      <c r="W322" s="133"/>
      <c r="X322" s="134"/>
      <c r="Y322" s="135"/>
      <c r="Z322" s="137"/>
      <c r="AA322" s="136"/>
      <c r="AB322" s="566" t="str">
        <f t="shared" si="175"/>
        <v/>
      </c>
      <c r="AC322" s="568" t="str">
        <f t="shared" si="183"/>
        <v/>
      </c>
      <c r="AD322" s="137"/>
      <c r="AE322" s="137"/>
      <c r="AF322" s="138"/>
      <c r="AG322" s="138"/>
      <c r="AH322" s="592" t="str">
        <f t="shared" si="176"/>
        <v/>
      </c>
      <c r="AI322" s="592" t="str">
        <f t="shared" si="177"/>
        <v/>
      </c>
      <c r="AJ322" s="592" t="str">
        <f t="shared" si="178"/>
        <v/>
      </c>
      <c r="AK322" s="460" t="str">
        <f>IF(AU322="","",IF(OR(AZ322=8,AZ322=9),0,IF(OR(AW322=3,AW322=4,AW322=5,AW322=6),IF(LEFT(BF322,1)="1",INDEX(係数_NOX・PM低減,MATCH(AY322,【参考】排出係数!$AI$801:$AI$804,1),1),VLOOKUP(AU322,INDEX((係数_バス貨物_ガソリン,係数_バス貨物_CNG,係数_バス貨物_軽油,係数_バス貨物_メタノール,係数_バス貨物_LPG),MATCH(AY322,【参考】排出係数!$AI$4:$AI$671,1),1,BE322):INDEX((係数_バス貨物_ガソリン,係数_バス貨物_CNG,係数_バス貨物_軽油,係数_バス貨物_メタノール,係数_バス貨物_LPG),MATCH(AY322+1,【参考】排出係数!$AI$4:$AI$671,1)-1,5,BE322),4,FALSE)),IF(AND(BE322=3,LEFT(BF322,1)="1"),0.48,VLOOKUP(AU322,INDEX((係数_乗用_ガソリン,係数_乗用_CNG,係数_乗用_軽油,係数_乗用_メタノール,係数_乗用_LPG),1,1,BE322):INDEX((係数_乗用_ガソリン,係数_乗用_CNG,係数_乗用_軽油,係数_乗用_メタノール,係数_乗用_LPG),125,5,BE322),4,FALSE)))))</f>
        <v/>
      </c>
      <c r="AL322" s="461" t="str">
        <f t="shared" si="202"/>
        <v/>
      </c>
      <c r="AM322" s="460" t="str">
        <f>IF(AU322="","",IF(OR(AZ322=8,AZ322=9),0,IF(OR(AW322=3,AW322=4,AW322=5,AW322=6),IF(LEFT(BH322,1)="1",INDEX(係数_PM低減,MATCH(AY322,【参考】排出係数!$AI$801:$AI$804,1),MATCH(BI322,【参考】排出係数!$AL$798:$AO$798,1)),VLOOKUP(AU322,INDEX((係数_バス貨物_ガソリン,係数_バス貨物_CNG,係数_バス貨物_軽油,係数_バス貨物_メタノール,係数_バス貨物_LPG),MATCH(AY322,【参考】排出係数!$AI$4:$AI$671,1),1,BE322):INDEX((係数_バス貨物_ガソリン,係数_バス貨物_CNG,係数_バス貨物_軽油,係数_バス貨物_メタノール,係数_バス貨物_LPG),MATCH(AY322+1,【参考】排出係数!$AI$4:$AI$671,1)-1,5,BE322),5,FALSE)),IF(AND(BE322=3,LEFT(BF322,1)="1"),0.055,VLOOKUP(AU322,INDEX((係数_乗用_ガソリン,係数_乗用_CNG,係数_乗用_軽油,係数_乗用_メタノール,係数_乗用_LPG),1,1,BE322):INDEX((係数_乗用_ガソリン,係数_乗用_CNG,係数_乗用_軽油,係数_乗用_メタノール,係数_乗用_LPG),125,5,BE322),5,FALSE)))))</f>
        <v/>
      </c>
      <c r="AN322" s="461" t="str">
        <f t="shared" si="203"/>
        <v/>
      </c>
      <c r="AO322" s="462" t="str">
        <f t="shared" si="204"/>
        <v/>
      </c>
      <c r="AP322" s="463" t="str">
        <f t="shared" si="205"/>
        <v/>
      </c>
      <c r="AQ322" s="464"/>
      <c r="AR322" s="619"/>
      <c r="AS322" s="465" t="str">
        <f t="shared" si="184"/>
        <v/>
      </c>
      <c r="AT322" s="465" t="str">
        <f t="shared" si="185"/>
        <v/>
      </c>
      <c r="AU322" s="466" t="str">
        <f t="shared" si="186"/>
        <v/>
      </c>
      <c r="AV322" s="467" t="str">
        <f t="shared" si="187"/>
        <v/>
      </c>
      <c r="AW322" s="467" t="str">
        <f t="shared" si="188"/>
        <v/>
      </c>
      <c r="AX322" s="467" t="str">
        <f t="shared" si="189"/>
        <v/>
      </c>
      <c r="AY322" s="467" t="str">
        <f t="shared" si="190"/>
        <v/>
      </c>
      <c r="AZ322" s="467" t="str">
        <f t="shared" si="191"/>
        <v/>
      </c>
      <c r="BA322" s="468" t="str">
        <f>IF(AS322="","",IF(OR(AU322="",AU322="-"),"－",IF(OR(AZ322=8,AZ322=9),"",IF(OR(AW322=3,AW322=4,AW322=5,AW322=6),VLOOKUP(AU322,INDEX((係数_バス貨物_ガソリン,係数_バス貨物_CNG,係数_バス貨物_軽油,係数_バス貨物_メタノール,係数_バス貨物_LPG),MATCH(AY322,【参考】排出係数!$AI$4:$AI$671,1),1,BE322):INDEX((係数_バス貨物_ガソリン,係数_バス貨物_CNG,係数_バス貨物_軽油,係数_バス貨物_メタノール,係数_バス貨物_LPG),MATCH(AY322+1,【参考】排出係数!$AI$4:$AI$671,1)-1,5,BE322),2,FALSE),IF(OR(AW322=1,AW322=2),VLOOKUP(AU322,INDEX((係数_乗用_ガソリン,係数_乗用_CNG,係数_乗用_軽油,係数_乗用_メタノール,係数_乗用_LPG),1,1,BE322):INDEX((係数_乗用_ガソリン,係数_乗用_CNG,係数_乗用_軽油,係数_乗用_メタノール,係数_乗用_LPG),125,5,BE322),2,FALSE))))))</f>
        <v/>
      </c>
      <c r="BB322" s="468" t="str">
        <f>IF(T322="","",IF(OR(AU322="",AU322="-"),"－",IF(OR(AZ322=8,AZ322=9),"",IF(OR(AW322=3,AW322=4,AW322=5,AW322=6),VLOOKUP(AU322,INDEX((係数_バス貨物_ガソリン,係数_バス貨物_CNG,係数_バス貨物_軽油,係数_バス貨物_メタノール,係数_バス貨物_LPG),MATCH(AY322,【参考】排出係数!$AI$4:$AI$671,1),1,BE322):INDEX((係数_バス貨物_ガソリン,係数_バス貨物_CNG,係数_バス貨物_軽油,係数_バス貨物_メタノール,係数_バス貨物_LPG),MATCH(AY322+1,【参考】排出係数!$AI$4:$AI$671,1)-1,5,BE322),3,FALSE),IF(OR(AW322=1,AW322=2),VLOOKUP(AU322,INDEX((係数_乗用_ガソリン,係数_乗用_CNG,係数_乗用_軽油,係数_乗用_メタノール,係数_乗用_LPG),1,1,BE322):INDEX((係数_乗用_ガソリン,係数_乗用_CNG,係数_乗用_軽油,係数_乗用_メタノール,係数_乗用_LPG),125,5,BE322),3,FALSE))))))</f>
        <v/>
      </c>
      <c r="BC322" s="467" t="str">
        <f t="shared" si="192"/>
        <v/>
      </c>
      <c r="BD322" s="567" t="str">
        <f t="shared" si="193"/>
        <v/>
      </c>
      <c r="BE322" s="467" t="str">
        <f t="shared" si="194"/>
        <v/>
      </c>
      <c r="BF322" s="469" t="str">
        <f t="shared" ca="1" si="195"/>
        <v/>
      </c>
      <c r="BG322" s="469" t="str">
        <f t="shared" ca="1" si="196"/>
        <v/>
      </c>
      <c r="BH322" s="467" t="str">
        <f t="shared" si="197"/>
        <v/>
      </c>
      <c r="BI322" s="467" t="str">
        <f t="shared" ca="1" si="198"/>
        <v/>
      </c>
      <c r="BJ322" s="469" t="str">
        <f t="shared" si="199"/>
        <v/>
      </c>
      <c r="BK322" s="470" t="str">
        <f t="shared" si="179"/>
        <v/>
      </c>
      <c r="BL322" s="775" t="str">
        <f t="shared" si="200"/>
        <v/>
      </c>
      <c r="BM322" s="775" t="str">
        <f t="shared" si="201"/>
        <v/>
      </c>
    </row>
    <row r="323" spans="1:65">
      <c r="A323" s="473">
        <v>267</v>
      </c>
      <c r="B323" s="132"/>
      <c r="C323" s="332"/>
      <c r="D323" s="333"/>
      <c r="E323" s="333"/>
      <c r="F323" s="334"/>
      <c r="G323" s="337"/>
      <c r="H323" s="131"/>
      <c r="I323" s="337"/>
      <c r="J323" s="131"/>
      <c r="K323" s="458" t="str">
        <f t="shared" si="168"/>
        <v/>
      </c>
      <c r="L323" s="458">
        <f t="shared" si="180"/>
        <v>0</v>
      </c>
      <c r="M323" s="458">
        <f t="shared" si="181"/>
        <v>0</v>
      </c>
      <c r="N323" s="459" t="str">
        <f t="shared" si="169"/>
        <v/>
      </c>
      <c r="O323" s="459" t="str">
        <f t="shared" si="170"/>
        <v/>
      </c>
      <c r="P323" s="459" t="str">
        <f t="shared" si="171"/>
        <v/>
      </c>
      <c r="Q323" s="459" t="str">
        <f t="shared" si="172"/>
        <v/>
      </c>
      <c r="R323" s="459" t="str">
        <f t="shared" si="173"/>
        <v/>
      </c>
      <c r="S323" s="459" t="str">
        <f t="shared" si="174"/>
        <v/>
      </c>
      <c r="T323" s="566" t="str">
        <f t="shared" si="182"/>
        <v/>
      </c>
      <c r="U323" s="702"/>
      <c r="V323" s="132"/>
      <c r="W323" s="133"/>
      <c r="X323" s="134"/>
      <c r="Y323" s="135"/>
      <c r="Z323" s="137"/>
      <c r="AA323" s="136"/>
      <c r="AB323" s="566" t="str">
        <f t="shared" si="175"/>
        <v/>
      </c>
      <c r="AC323" s="568" t="str">
        <f t="shared" si="183"/>
        <v/>
      </c>
      <c r="AD323" s="137"/>
      <c r="AE323" s="137"/>
      <c r="AF323" s="138"/>
      <c r="AG323" s="138"/>
      <c r="AH323" s="592" t="str">
        <f t="shared" si="176"/>
        <v/>
      </c>
      <c r="AI323" s="592" t="str">
        <f t="shared" si="177"/>
        <v/>
      </c>
      <c r="AJ323" s="592" t="str">
        <f t="shared" si="178"/>
        <v/>
      </c>
      <c r="AK323" s="460" t="str">
        <f>IF(AU323="","",IF(OR(AZ323=8,AZ323=9),0,IF(OR(AW323=3,AW323=4,AW323=5,AW323=6),IF(LEFT(BF323,1)="1",INDEX(係数_NOX・PM低減,MATCH(AY323,【参考】排出係数!$AI$801:$AI$804,1),1),VLOOKUP(AU323,INDEX((係数_バス貨物_ガソリン,係数_バス貨物_CNG,係数_バス貨物_軽油,係数_バス貨物_メタノール,係数_バス貨物_LPG),MATCH(AY323,【参考】排出係数!$AI$4:$AI$671,1),1,BE323):INDEX((係数_バス貨物_ガソリン,係数_バス貨物_CNG,係数_バス貨物_軽油,係数_バス貨物_メタノール,係数_バス貨物_LPG),MATCH(AY323+1,【参考】排出係数!$AI$4:$AI$671,1)-1,5,BE323),4,FALSE)),IF(AND(BE323=3,LEFT(BF323,1)="1"),0.48,VLOOKUP(AU323,INDEX((係数_乗用_ガソリン,係数_乗用_CNG,係数_乗用_軽油,係数_乗用_メタノール,係数_乗用_LPG),1,1,BE323):INDEX((係数_乗用_ガソリン,係数_乗用_CNG,係数_乗用_軽油,係数_乗用_メタノール,係数_乗用_LPG),125,5,BE323),4,FALSE)))))</f>
        <v/>
      </c>
      <c r="AL323" s="461" t="str">
        <f t="shared" si="202"/>
        <v/>
      </c>
      <c r="AM323" s="460" t="str">
        <f>IF(AU323="","",IF(OR(AZ323=8,AZ323=9),0,IF(OR(AW323=3,AW323=4,AW323=5,AW323=6),IF(LEFT(BH323,1)="1",INDEX(係数_PM低減,MATCH(AY323,【参考】排出係数!$AI$801:$AI$804,1),MATCH(BI323,【参考】排出係数!$AL$798:$AO$798,1)),VLOOKUP(AU323,INDEX((係数_バス貨物_ガソリン,係数_バス貨物_CNG,係数_バス貨物_軽油,係数_バス貨物_メタノール,係数_バス貨物_LPG),MATCH(AY323,【参考】排出係数!$AI$4:$AI$671,1),1,BE323):INDEX((係数_バス貨物_ガソリン,係数_バス貨物_CNG,係数_バス貨物_軽油,係数_バス貨物_メタノール,係数_バス貨物_LPG),MATCH(AY323+1,【参考】排出係数!$AI$4:$AI$671,1)-1,5,BE323),5,FALSE)),IF(AND(BE323=3,LEFT(BF323,1)="1"),0.055,VLOOKUP(AU323,INDEX((係数_乗用_ガソリン,係数_乗用_CNG,係数_乗用_軽油,係数_乗用_メタノール,係数_乗用_LPG),1,1,BE323):INDEX((係数_乗用_ガソリン,係数_乗用_CNG,係数_乗用_軽油,係数_乗用_メタノール,係数_乗用_LPG),125,5,BE323),5,FALSE)))))</f>
        <v/>
      </c>
      <c r="AN323" s="461" t="str">
        <f t="shared" si="203"/>
        <v/>
      </c>
      <c r="AO323" s="462" t="str">
        <f t="shared" si="204"/>
        <v/>
      </c>
      <c r="AP323" s="463" t="str">
        <f t="shared" si="205"/>
        <v/>
      </c>
      <c r="AQ323" s="464"/>
      <c r="AR323" s="619"/>
      <c r="AS323" s="465" t="str">
        <f t="shared" si="184"/>
        <v/>
      </c>
      <c r="AT323" s="465" t="str">
        <f t="shared" si="185"/>
        <v/>
      </c>
      <c r="AU323" s="466" t="str">
        <f t="shared" si="186"/>
        <v/>
      </c>
      <c r="AV323" s="467" t="str">
        <f t="shared" si="187"/>
        <v/>
      </c>
      <c r="AW323" s="467" t="str">
        <f t="shared" si="188"/>
        <v/>
      </c>
      <c r="AX323" s="467" t="str">
        <f t="shared" si="189"/>
        <v/>
      </c>
      <c r="AY323" s="467" t="str">
        <f t="shared" si="190"/>
        <v/>
      </c>
      <c r="AZ323" s="467" t="str">
        <f t="shared" si="191"/>
        <v/>
      </c>
      <c r="BA323" s="468" t="str">
        <f>IF(AS323="","",IF(OR(AU323="",AU323="-"),"－",IF(OR(AZ323=8,AZ323=9),"",IF(OR(AW323=3,AW323=4,AW323=5,AW323=6),VLOOKUP(AU323,INDEX((係数_バス貨物_ガソリン,係数_バス貨物_CNG,係数_バス貨物_軽油,係数_バス貨物_メタノール,係数_バス貨物_LPG),MATCH(AY323,【参考】排出係数!$AI$4:$AI$671,1),1,BE323):INDEX((係数_バス貨物_ガソリン,係数_バス貨物_CNG,係数_バス貨物_軽油,係数_バス貨物_メタノール,係数_バス貨物_LPG),MATCH(AY323+1,【参考】排出係数!$AI$4:$AI$671,1)-1,5,BE323),2,FALSE),IF(OR(AW323=1,AW323=2),VLOOKUP(AU323,INDEX((係数_乗用_ガソリン,係数_乗用_CNG,係数_乗用_軽油,係数_乗用_メタノール,係数_乗用_LPG),1,1,BE323):INDEX((係数_乗用_ガソリン,係数_乗用_CNG,係数_乗用_軽油,係数_乗用_メタノール,係数_乗用_LPG),125,5,BE323),2,FALSE))))))</f>
        <v/>
      </c>
      <c r="BB323" s="468" t="str">
        <f>IF(T323="","",IF(OR(AU323="",AU323="-"),"－",IF(OR(AZ323=8,AZ323=9),"",IF(OR(AW323=3,AW323=4,AW323=5,AW323=6),VLOOKUP(AU323,INDEX((係数_バス貨物_ガソリン,係数_バス貨物_CNG,係数_バス貨物_軽油,係数_バス貨物_メタノール,係数_バス貨物_LPG),MATCH(AY323,【参考】排出係数!$AI$4:$AI$671,1),1,BE323):INDEX((係数_バス貨物_ガソリン,係数_バス貨物_CNG,係数_バス貨物_軽油,係数_バス貨物_メタノール,係数_バス貨物_LPG),MATCH(AY323+1,【参考】排出係数!$AI$4:$AI$671,1)-1,5,BE323),3,FALSE),IF(OR(AW323=1,AW323=2),VLOOKUP(AU323,INDEX((係数_乗用_ガソリン,係数_乗用_CNG,係数_乗用_軽油,係数_乗用_メタノール,係数_乗用_LPG),1,1,BE323):INDEX((係数_乗用_ガソリン,係数_乗用_CNG,係数_乗用_軽油,係数_乗用_メタノール,係数_乗用_LPG),125,5,BE323),3,FALSE))))))</f>
        <v/>
      </c>
      <c r="BC323" s="467" t="str">
        <f t="shared" si="192"/>
        <v/>
      </c>
      <c r="BD323" s="567" t="str">
        <f t="shared" si="193"/>
        <v/>
      </c>
      <c r="BE323" s="467" t="str">
        <f t="shared" si="194"/>
        <v/>
      </c>
      <c r="BF323" s="469" t="str">
        <f t="shared" ca="1" si="195"/>
        <v/>
      </c>
      <c r="BG323" s="469" t="str">
        <f t="shared" ca="1" si="196"/>
        <v/>
      </c>
      <c r="BH323" s="467" t="str">
        <f t="shared" si="197"/>
        <v/>
      </c>
      <c r="BI323" s="467" t="str">
        <f t="shared" ca="1" si="198"/>
        <v/>
      </c>
      <c r="BJ323" s="469" t="str">
        <f t="shared" si="199"/>
        <v/>
      </c>
      <c r="BK323" s="470" t="str">
        <f t="shared" si="179"/>
        <v/>
      </c>
      <c r="BL323" s="775" t="str">
        <f t="shared" si="200"/>
        <v/>
      </c>
      <c r="BM323" s="775" t="str">
        <f t="shared" si="201"/>
        <v/>
      </c>
    </row>
    <row r="324" spans="1:65">
      <c r="A324" s="473">
        <v>268</v>
      </c>
      <c r="B324" s="132"/>
      <c r="C324" s="332"/>
      <c r="D324" s="333"/>
      <c r="E324" s="333"/>
      <c r="F324" s="334"/>
      <c r="G324" s="337"/>
      <c r="H324" s="131"/>
      <c r="I324" s="337"/>
      <c r="J324" s="131"/>
      <c r="K324" s="458" t="str">
        <f t="shared" si="168"/>
        <v/>
      </c>
      <c r="L324" s="458">
        <f t="shared" si="180"/>
        <v>0</v>
      </c>
      <c r="M324" s="458">
        <f t="shared" si="181"/>
        <v>0</v>
      </c>
      <c r="N324" s="459" t="str">
        <f t="shared" si="169"/>
        <v/>
      </c>
      <c r="O324" s="459" t="str">
        <f t="shared" si="170"/>
        <v/>
      </c>
      <c r="P324" s="459" t="str">
        <f t="shared" si="171"/>
        <v/>
      </c>
      <c r="Q324" s="459" t="str">
        <f t="shared" si="172"/>
        <v/>
      </c>
      <c r="R324" s="459" t="str">
        <f t="shared" si="173"/>
        <v/>
      </c>
      <c r="S324" s="459" t="str">
        <f t="shared" si="174"/>
        <v/>
      </c>
      <c r="T324" s="566" t="str">
        <f t="shared" si="182"/>
        <v/>
      </c>
      <c r="U324" s="702"/>
      <c r="V324" s="132"/>
      <c r="W324" s="133"/>
      <c r="X324" s="134"/>
      <c r="Y324" s="135"/>
      <c r="Z324" s="137"/>
      <c r="AA324" s="136"/>
      <c r="AB324" s="566" t="str">
        <f t="shared" si="175"/>
        <v/>
      </c>
      <c r="AC324" s="568" t="str">
        <f t="shared" si="183"/>
        <v/>
      </c>
      <c r="AD324" s="137"/>
      <c r="AE324" s="137"/>
      <c r="AF324" s="138"/>
      <c r="AG324" s="138"/>
      <c r="AH324" s="592" t="str">
        <f t="shared" si="176"/>
        <v/>
      </c>
      <c r="AI324" s="592" t="str">
        <f t="shared" si="177"/>
        <v/>
      </c>
      <c r="AJ324" s="592" t="str">
        <f t="shared" si="178"/>
        <v/>
      </c>
      <c r="AK324" s="460" t="str">
        <f>IF(AU324="","",IF(OR(AZ324=8,AZ324=9),0,IF(OR(AW324=3,AW324=4,AW324=5,AW324=6),IF(LEFT(BF324,1)="1",INDEX(係数_NOX・PM低減,MATCH(AY324,【参考】排出係数!$AI$801:$AI$804,1),1),VLOOKUP(AU324,INDEX((係数_バス貨物_ガソリン,係数_バス貨物_CNG,係数_バス貨物_軽油,係数_バス貨物_メタノール,係数_バス貨物_LPG),MATCH(AY324,【参考】排出係数!$AI$4:$AI$671,1),1,BE324):INDEX((係数_バス貨物_ガソリン,係数_バス貨物_CNG,係数_バス貨物_軽油,係数_バス貨物_メタノール,係数_バス貨物_LPG),MATCH(AY324+1,【参考】排出係数!$AI$4:$AI$671,1)-1,5,BE324),4,FALSE)),IF(AND(BE324=3,LEFT(BF324,1)="1"),0.48,VLOOKUP(AU324,INDEX((係数_乗用_ガソリン,係数_乗用_CNG,係数_乗用_軽油,係数_乗用_メタノール,係数_乗用_LPG),1,1,BE324):INDEX((係数_乗用_ガソリン,係数_乗用_CNG,係数_乗用_軽油,係数_乗用_メタノール,係数_乗用_LPG),125,5,BE324),4,FALSE)))))</f>
        <v/>
      </c>
      <c r="AL324" s="461" t="str">
        <f t="shared" si="202"/>
        <v/>
      </c>
      <c r="AM324" s="460" t="str">
        <f>IF(AU324="","",IF(OR(AZ324=8,AZ324=9),0,IF(OR(AW324=3,AW324=4,AW324=5,AW324=6),IF(LEFT(BH324,1)="1",INDEX(係数_PM低減,MATCH(AY324,【参考】排出係数!$AI$801:$AI$804,1),MATCH(BI324,【参考】排出係数!$AL$798:$AO$798,1)),VLOOKUP(AU324,INDEX((係数_バス貨物_ガソリン,係数_バス貨物_CNG,係数_バス貨物_軽油,係数_バス貨物_メタノール,係数_バス貨物_LPG),MATCH(AY324,【参考】排出係数!$AI$4:$AI$671,1),1,BE324):INDEX((係数_バス貨物_ガソリン,係数_バス貨物_CNG,係数_バス貨物_軽油,係数_バス貨物_メタノール,係数_バス貨物_LPG),MATCH(AY324+1,【参考】排出係数!$AI$4:$AI$671,1)-1,5,BE324),5,FALSE)),IF(AND(BE324=3,LEFT(BF324,1)="1"),0.055,VLOOKUP(AU324,INDEX((係数_乗用_ガソリン,係数_乗用_CNG,係数_乗用_軽油,係数_乗用_メタノール,係数_乗用_LPG),1,1,BE324):INDEX((係数_乗用_ガソリン,係数_乗用_CNG,係数_乗用_軽油,係数_乗用_メタノール,係数_乗用_LPG),125,5,BE324),5,FALSE)))))</f>
        <v/>
      </c>
      <c r="AN324" s="461" t="str">
        <f t="shared" si="203"/>
        <v/>
      </c>
      <c r="AO324" s="462" t="str">
        <f t="shared" si="204"/>
        <v/>
      </c>
      <c r="AP324" s="463" t="str">
        <f t="shared" si="205"/>
        <v/>
      </c>
      <c r="AQ324" s="464"/>
      <c r="AR324" s="619"/>
      <c r="AS324" s="465" t="str">
        <f t="shared" si="184"/>
        <v/>
      </c>
      <c r="AT324" s="465" t="str">
        <f t="shared" si="185"/>
        <v/>
      </c>
      <c r="AU324" s="466" t="str">
        <f t="shared" si="186"/>
        <v/>
      </c>
      <c r="AV324" s="467" t="str">
        <f t="shared" si="187"/>
        <v/>
      </c>
      <c r="AW324" s="467" t="str">
        <f t="shared" si="188"/>
        <v/>
      </c>
      <c r="AX324" s="467" t="str">
        <f t="shared" si="189"/>
        <v/>
      </c>
      <c r="AY324" s="467" t="str">
        <f t="shared" si="190"/>
        <v/>
      </c>
      <c r="AZ324" s="467" t="str">
        <f t="shared" si="191"/>
        <v/>
      </c>
      <c r="BA324" s="468" t="str">
        <f>IF(AS324="","",IF(OR(AU324="",AU324="-"),"－",IF(OR(AZ324=8,AZ324=9),"",IF(OR(AW324=3,AW324=4,AW324=5,AW324=6),VLOOKUP(AU324,INDEX((係数_バス貨物_ガソリン,係数_バス貨物_CNG,係数_バス貨物_軽油,係数_バス貨物_メタノール,係数_バス貨物_LPG),MATCH(AY324,【参考】排出係数!$AI$4:$AI$671,1),1,BE324):INDEX((係数_バス貨物_ガソリン,係数_バス貨物_CNG,係数_バス貨物_軽油,係数_バス貨物_メタノール,係数_バス貨物_LPG),MATCH(AY324+1,【参考】排出係数!$AI$4:$AI$671,1)-1,5,BE324),2,FALSE),IF(OR(AW324=1,AW324=2),VLOOKUP(AU324,INDEX((係数_乗用_ガソリン,係数_乗用_CNG,係数_乗用_軽油,係数_乗用_メタノール,係数_乗用_LPG),1,1,BE324):INDEX((係数_乗用_ガソリン,係数_乗用_CNG,係数_乗用_軽油,係数_乗用_メタノール,係数_乗用_LPG),125,5,BE324),2,FALSE))))))</f>
        <v/>
      </c>
      <c r="BB324" s="468" t="str">
        <f>IF(T324="","",IF(OR(AU324="",AU324="-"),"－",IF(OR(AZ324=8,AZ324=9),"",IF(OR(AW324=3,AW324=4,AW324=5,AW324=6),VLOOKUP(AU324,INDEX((係数_バス貨物_ガソリン,係数_バス貨物_CNG,係数_バス貨物_軽油,係数_バス貨物_メタノール,係数_バス貨物_LPG),MATCH(AY324,【参考】排出係数!$AI$4:$AI$671,1),1,BE324):INDEX((係数_バス貨物_ガソリン,係数_バス貨物_CNG,係数_バス貨物_軽油,係数_バス貨物_メタノール,係数_バス貨物_LPG),MATCH(AY324+1,【参考】排出係数!$AI$4:$AI$671,1)-1,5,BE324),3,FALSE),IF(OR(AW324=1,AW324=2),VLOOKUP(AU324,INDEX((係数_乗用_ガソリン,係数_乗用_CNG,係数_乗用_軽油,係数_乗用_メタノール,係数_乗用_LPG),1,1,BE324):INDEX((係数_乗用_ガソリン,係数_乗用_CNG,係数_乗用_軽油,係数_乗用_メタノール,係数_乗用_LPG),125,5,BE324),3,FALSE))))))</f>
        <v/>
      </c>
      <c r="BC324" s="467" t="str">
        <f t="shared" si="192"/>
        <v/>
      </c>
      <c r="BD324" s="567" t="str">
        <f t="shared" si="193"/>
        <v/>
      </c>
      <c r="BE324" s="467" t="str">
        <f t="shared" si="194"/>
        <v/>
      </c>
      <c r="BF324" s="469" t="str">
        <f t="shared" ca="1" si="195"/>
        <v/>
      </c>
      <c r="BG324" s="469" t="str">
        <f t="shared" ca="1" si="196"/>
        <v/>
      </c>
      <c r="BH324" s="467" t="str">
        <f t="shared" si="197"/>
        <v/>
      </c>
      <c r="BI324" s="467" t="str">
        <f t="shared" ca="1" si="198"/>
        <v/>
      </c>
      <c r="BJ324" s="469" t="str">
        <f t="shared" si="199"/>
        <v/>
      </c>
      <c r="BK324" s="470" t="str">
        <f t="shared" si="179"/>
        <v/>
      </c>
      <c r="BL324" s="775" t="str">
        <f t="shared" si="200"/>
        <v/>
      </c>
      <c r="BM324" s="775" t="str">
        <f t="shared" si="201"/>
        <v/>
      </c>
    </row>
    <row r="325" spans="1:65">
      <c r="A325" s="473">
        <v>269</v>
      </c>
      <c r="B325" s="132"/>
      <c r="C325" s="332"/>
      <c r="D325" s="333"/>
      <c r="E325" s="333"/>
      <c r="F325" s="334"/>
      <c r="G325" s="337"/>
      <c r="H325" s="131"/>
      <c r="I325" s="337"/>
      <c r="J325" s="131"/>
      <c r="K325" s="458" t="str">
        <f t="shared" si="168"/>
        <v/>
      </c>
      <c r="L325" s="458">
        <f t="shared" si="180"/>
        <v>0</v>
      </c>
      <c r="M325" s="458">
        <f t="shared" si="181"/>
        <v>0</v>
      </c>
      <c r="N325" s="459" t="str">
        <f t="shared" si="169"/>
        <v/>
      </c>
      <c r="O325" s="459" t="str">
        <f t="shared" si="170"/>
        <v/>
      </c>
      <c r="P325" s="459" t="str">
        <f t="shared" si="171"/>
        <v/>
      </c>
      <c r="Q325" s="459" t="str">
        <f t="shared" si="172"/>
        <v/>
      </c>
      <c r="R325" s="459" t="str">
        <f t="shared" si="173"/>
        <v/>
      </c>
      <c r="S325" s="459" t="str">
        <f t="shared" si="174"/>
        <v/>
      </c>
      <c r="T325" s="566" t="str">
        <f t="shared" si="182"/>
        <v/>
      </c>
      <c r="U325" s="702"/>
      <c r="V325" s="132"/>
      <c r="W325" s="133"/>
      <c r="X325" s="134"/>
      <c r="Y325" s="135"/>
      <c r="Z325" s="137"/>
      <c r="AA325" s="136"/>
      <c r="AB325" s="566" t="str">
        <f t="shared" si="175"/>
        <v/>
      </c>
      <c r="AC325" s="568" t="str">
        <f t="shared" si="183"/>
        <v/>
      </c>
      <c r="AD325" s="137"/>
      <c r="AE325" s="137"/>
      <c r="AF325" s="138"/>
      <c r="AG325" s="138"/>
      <c r="AH325" s="592" t="str">
        <f t="shared" si="176"/>
        <v/>
      </c>
      <c r="AI325" s="592" t="str">
        <f t="shared" si="177"/>
        <v/>
      </c>
      <c r="AJ325" s="592" t="str">
        <f t="shared" si="178"/>
        <v/>
      </c>
      <c r="AK325" s="460" t="str">
        <f>IF(AU325="","",IF(OR(AZ325=8,AZ325=9),0,IF(OR(AW325=3,AW325=4,AW325=5,AW325=6),IF(LEFT(BF325,1)="1",INDEX(係数_NOX・PM低減,MATCH(AY325,【参考】排出係数!$AI$801:$AI$804,1),1),VLOOKUP(AU325,INDEX((係数_バス貨物_ガソリン,係数_バス貨物_CNG,係数_バス貨物_軽油,係数_バス貨物_メタノール,係数_バス貨物_LPG),MATCH(AY325,【参考】排出係数!$AI$4:$AI$671,1),1,BE325):INDEX((係数_バス貨物_ガソリン,係数_バス貨物_CNG,係数_バス貨物_軽油,係数_バス貨物_メタノール,係数_バス貨物_LPG),MATCH(AY325+1,【参考】排出係数!$AI$4:$AI$671,1)-1,5,BE325),4,FALSE)),IF(AND(BE325=3,LEFT(BF325,1)="1"),0.48,VLOOKUP(AU325,INDEX((係数_乗用_ガソリン,係数_乗用_CNG,係数_乗用_軽油,係数_乗用_メタノール,係数_乗用_LPG),1,1,BE325):INDEX((係数_乗用_ガソリン,係数_乗用_CNG,係数_乗用_軽油,係数_乗用_メタノール,係数_乗用_LPG),125,5,BE325),4,FALSE)))))</f>
        <v/>
      </c>
      <c r="AL325" s="461" t="str">
        <f t="shared" si="202"/>
        <v/>
      </c>
      <c r="AM325" s="460" t="str">
        <f>IF(AU325="","",IF(OR(AZ325=8,AZ325=9),0,IF(OR(AW325=3,AW325=4,AW325=5,AW325=6),IF(LEFT(BH325,1)="1",INDEX(係数_PM低減,MATCH(AY325,【参考】排出係数!$AI$801:$AI$804,1),MATCH(BI325,【参考】排出係数!$AL$798:$AO$798,1)),VLOOKUP(AU325,INDEX((係数_バス貨物_ガソリン,係数_バス貨物_CNG,係数_バス貨物_軽油,係数_バス貨物_メタノール,係数_バス貨物_LPG),MATCH(AY325,【参考】排出係数!$AI$4:$AI$671,1),1,BE325):INDEX((係数_バス貨物_ガソリン,係数_バス貨物_CNG,係数_バス貨物_軽油,係数_バス貨物_メタノール,係数_バス貨物_LPG),MATCH(AY325+1,【参考】排出係数!$AI$4:$AI$671,1)-1,5,BE325),5,FALSE)),IF(AND(BE325=3,LEFT(BF325,1)="1"),0.055,VLOOKUP(AU325,INDEX((係数_乗用_ガソリン,係数_乗用_CNG,係数_乗用_軽油,係数_乗用_メタノール,係数_乗用_LPG),1,1,BE325):INDEX((係数_乗用_ガソリン,係数_乗用_CNG,係数_乗用_軽油,係数_乗用_メタノール,係数_乗用_LPG),125,5,BE325),5,FALSE)))))</f>
        <v/>
      </c>
      <c r="AN325" s="461" t="str">
        <f t="shared" si="203"/>
        <v/>
      </c>
      <c r="AO325" s="462" t="str">
        <f t="shared" si="204"/>
        <v/>
      </c>
      <c r="AP325" s="463" t="str">
        <f t="shared" si="205"/>
        <v/>
      </c>
      <c r="AQ325" s="464"/>
      <c r="AR325" s="619"/>
      <c r="AS325" s="465" t="str">
        <f t="shared" si="184"/>
        <v/>
      </c>
      <c r="AT325" s="465" t="str">
        <f t="shared" si="185"/>
        <v/>
      </c>
      <c r="AU325" s="466" t="str">
        <f t="shared" si="186"/>
        <v/>
      </c>
      <c r="AV325" s="467" t="str">
        <f t="shared" si="187"/>
        <v/>
      </c>
      <c r="AW325" s="467" t="str">
        <f t="shared" si="188"/>
        <v/>
      </c>
      <c r="AX325" s="467" t="str">
        <f t="shared" si="189"/>
        <v/>
      </c>
      <c r="AY325" s="467" t="str">
        <f t="shared" si="190"/>
        <v/>
      </c>
      <c r="AZ325" s="467" t="str">
        <f t="shared" si="191"/>
        <v/>
      </c>
      <c r="BA325" s="468" t="str">
        <f>IF(AS325="","",IF(OR(AU325="",AU325="-"),"－",IF(OR(AZ325=8,AZ325=9),"",IF(OR(AW325=3,AW325=4,AW325=5,AW325=6),VLOOKUP(AU325,INDEX((係数_バス貨物_ガソリン,係数_バス貨物_CNG,係数_バス貨物_軽油,係数_バス貨物_メタノール,係数_バス貨物_LPG),MATCH(AY325,【参考】排出係数!$AI$4:$AI$671,1),1,BE325):INDEX((係数_バス貨物_ガソリン,係数_バス貨物_CNG,係数_バス貨物_軽油,係数_バス貨物_メタノール,係数_バス貨物_LPG),MATCH(AY325+1,【参考】排出係数!$AI$4:$AI$671,1)-1,5,BE325),2,FALSE),IF(OR(AW325=1,AW325=2),VLOOKUP(AU325,INDEX((係数_乗用_ガソリン,係数_乗用_CNG,係数_乗用_軽油,係数_乗用_メタノール,係数_乗用_LPG),1,1,BE325):INDEX((係数_乗用_ガソリン,係数_乗用_CNG,係数_乗用_軽油,係数_乗用_メタノール,係数_乗用_LPG),125,5,BE325),2,FALSE))))))</f>
        <v/>
      </c>
      <c r="BB325" s="468" t="str">
        <f>IF(T325="","",IF(OR(AU325="",AU325="-"),"－",IF(OR(AZ325=8,AZ325=9),"",IF(OR(AW325=3,AW325=4,AW325=5,AW325=6),VLOOKUP(AU325,INDEX((係数_バス貨物_ガソリン,係数_バス貨物_CNG,係数_バス貨物_軽油,係数_バス貨物_メタノール,係数_バス貨物_LPG),MATCH(AY325,【参考】排出係数!$AI$4:$AI$671,1),1,BE325):INDEX((係数_バス貨物_ガソリン,係数_バス貨物_CNG,係数_バス貨物_軽油,係数_バス貨物_メタノール,係数_バス貨物_LPG),MATCH(AY325+1,【参考】排出係数!$AI$4:$AI$671,1)-1,5,BE325),3,FALSE),IF(OR(AW325=1,AW325=2),VLOOKUP(AU325,INDEX((係数_乗用_ガソリン,係数_乗用_CNG,係数_乗用_軽油,係数_乗用_メタノール,係数_乗用_LPG),1,1,BE325):INDEX((係数_乗用_ガソリン,係数_乗用_CNG,係数_乗用_軽油,係数_乗用_メタノール,係数_乗用_LPG),125,5,BE325),3,FALSE))))))</f>
        <v/>
      </c>
      <c r="BC325" s="467" t="str">
        <f t="shared" si="192"/>
        <v/>
      </c>
      <c r="BD325" s="567" t="str">
        <f t="shared" si="193"/>
        <v/>
      </c>
      <c r="BE325" s="467" t="str">
        <f t="shared" si="194"/>
        <v/>
      </c>
      <c r="BF325" s="469" t="str">
        <f t="shared" ca="1" si="195"/>
        <v/>
      </c>
      <c r="BG325" s="469" t="str">
        <f t="shared" ca="1" si="196"/>
        <v/>
      </c>
      <c r="BH325" s="467" t="str">
        <f t="shared" si="197"/>
        <v/>
      </c>
      <c r="BI325" s="467" t="str">
        <f t="shared" ca="1" si="198"/>
        <v/>
      </c>
      <c r="BJ325" s="469" t="str">
        <f t="shared" si="199"/>
        <v/>
      </c>
      <c r="BK325" s="470" t="str">
        <f t="shared" si="179"/>
        <v/>
      </c>
      <c r="BL325" s="775" t="str">
        <f t="shared" si="200"/>
        <v/>
      </c>
      <c r="BM325" s="775" t="str">
        <f t="shared" si="201"/>
        <v/>
      </c>
    </row>
    <row r="326" spans="1:65">
      <c r="A326" s="473">
        <v>270</v>
      </c>
      <c r="B326" s="132"/>
      <c r="C326" s="332"/>
      <c r="D326" s="333"/>
      <c r="E326" s="333"/>
      <c r="F326" s="334"/>
      <c r="G326" s="337"/>
      <c r="H326" s="131"/>
      <c r="I326" s="337"/>
      <c r="J326" s="131"/>
      <c r="K326" s="458" t="str">
        <f t="shared" si="168"/>
        <v/>
      </c>
      <c r="L326" s="458">
        <f t="shared" si="180"/>
        <v>0</v>
      </c>
      <c r="M326" s="458">
        <f t="shared" si="181"/>
        <v>0</v>
      </c>
      <c r="N326" s="459" t="str">
        <f t="shared" si="169"/>
        <v/>
      </c>
      <c r="O326" s="459" t="str">
        <f t="shared" si="170"/>
        <v/>
      </c>
      <c r="P326" s="459" t="str">
        <f t="shared" si="171"/>
        <v/>
      </c>
      <c r="Q326" s="459" t="str">
        <f t="shared" si="172"/>
        <v/>
      </c>
      <c r="R326" s="459" t="str">
        <f t="shared" si="173"/>
        <v/>
      </c>
      <c r="S326" s="459" t="str">
        <f t="shared" si="174"/>
        <v/>
      </c>
      <c r="T326" s="566" t="str">
        <f t="shared" si="182"/>
        <v/>
      </c>
      <c r="U326" s="702"/>
      <c r="V326" s="132"/>
      <c r="W326" s="133"/>
      <c r="X326" s="134"/>
      <c r="Y326" s="135"/>
      <c r="Z326" s="137"/>
      <c r="AA326" s="136"/>
      <c r="AB326" s="566" t="str">
        <f t="shared" si="175"/>
        <v/>
      </c>
      <c r="AC326" s="568" t="str">
        <f t="shared" si="183"/>
        <v/>
      </c>
      <c r="AD326" s="137"/>
      <c r="AE326" s="137"/>
      <c r="AF326" s="138"/>
      <c r="AG326" s="138"/>
      <c r="AH326" s="592" t="str">
        <f t="shared" si="176"/>
        <v/>
      </c>
      <c r="AI326" s="592" t="str">
        <f t="shared" si="177"/>
        <v/>
      </c>
      <c r="AJ326" s="592" t="str">
        <f t="shared" si="178"/>
        <v/>
      </c>
      <c r="AK326" s="460" t="str">
        <f>IF(AU326="","",IF(OR(AZ326=8,AZ326=9),0,IF(OR(AW326=3,AW326=4,AW326=5,AW326=6),IF(LEFT(BF326,1)="1",INDEX(係数_NOX・PM低減,MATCH(AY326,【参考】排出係数!$AI$801:$AI$804,1),1),VLOOKUP(AU326,INDEX((係数_バス貨物_ガソリン,係数_バス貨物_CNG,係数_バス貨物_軽油,係数_バス貨物_メタノール,係数_バス貨物_LPG),MATCH(AY326,【参考】排出係数!$AI$4:$AI$671,1),1,BE326):INDEX((係数_バス貨物_ガソリン,係数_バス貨物_CNG,係数_バス貨物_軽油,係数_バス貨物_メタノール,係数_バス貨物_LPG),MATCH(AY326+1,【参考】排出係数!$AI$4:$AI$671,1)-1,5,BE326),4,FALSE)),IF(AND(BE326=3,LEFT(BF326,1)="1"),0.48,VLOOKUP(AU326,INDEX((係数_乗用_ガソリン,係数_乗用_CNG,係数_乗用_軽油,係数_乗用_メタノール,係数_乗用_LPG),1,1,BE326):INDEX((係数_乗用_ガソリン,係数_乗用_CNG,係数_乗用_軽油,係数_乗用_メタノール,係数_乗用_LPG),125,5,BE326),4,FALSE)))))</f>
        <v/>
      </c>
      <c r="AL326" s="461" t="str">
        <f t="shared" si="202"/>
        <v/>
      </c>
      <c r="AM326" s="460" t="str">
        <f>IF(AU326="","",IF(OR(AZ326=8,AZ326=9),0,IF(OR(AW326=3,AW326=4,AW326=5,AW326=6),IF(LEFT(BH326,1)="1",INDEX(係数_PM低減,MATCH(AY326,【参考】排出係数!$AI$801:$AI$804,1),MATCH(BI326,【参考】排出係数!$AL$798:$AO$798,1)),VLOOKUP(AU326,INDEX((係数_バス貨物_ガソリン,係数_バス貨物_CNG,係数_バス貨物_軽油,係数_バス貨物_メタノール,係数_バス貨物_LPG),MATCH(AY326,【参考】排出係数!$AI$4:$AI$671,1),1,BE326):INDEX((係数_バス貨物_ガソリン,係数_バス貨物_CNG,係数_バス貨物_軽油,係数_バス貨物_メタノール,係数_バス貨物_LPG),MATCH(AY326+1,【参考】排出係数!$AI$4:$AI$671,1)-1,5,BE326),5,FALSE)),IF(AND(BE326=3,LEFT(BF326,1)="1"),0.055,VLOOKUP(AU326,INDEX((係数_乗用_ガソリン,係数_乗用_CNG,係数_乗用_軽油,係数_乗用_メタノール,係数_乗用_LPG),1,1,BE326):INDEX((係数_乗用_ガソリン,係数_乗用_CNG,係数_乗用_軽油,係数_乗用_メタノール,係数_乗用_LPG),125,5,BE326),5,FALSE)))))</f>
        <v/>
      </c>
      <c r="AN326" s="461" t="str">
        <f t="shared" si="203"/>
        <v/>
      </c>
      <c r="AO326" s="462" t="str">
        <f t="shared" si="204"/>
        <v/>
      </c>
      <c r="AP326" s="463" t="str">
        <f t="shared" si="205"/>
        <v/>
      </c>
      <c r="AQ326" s="464"/>
      <c r="AR326" s="619"/>
      <c r="AS326" s="465" t="str">
        <f t="shared" si="184"/>
        <v/>
      </c>
      <c r="AT326" s="465" t="str">
        <f t="shared" si="185"/>
        <v/>
      </c>
      <c r="AU326" s="466" t="str">
        <f t="shared" si="186"/>
        <v/>
      </c>
      <c r="AV326" s="467" t="str">
        <f t="shared" si="187"/>
        <v/>
      </c>
      <c r="AW326" s="467" t="str">
        <f t="shared" si="188"/>
        <v/>
      </c>
      <c r="AX326" s="467" t="str">
        <f t="shared" si="189"/>
        <v/>
      </c>
      <c r="AY326" s="467" t="str">
        <f t="shared" si="190"/>
        <v/>
      </c>
      <c r="AZ326" s="467" t="str">
        <f t="shared" si="191"/>
        <v/>
      </c>
      <c r="BA326" s="468" t="str">
        <f>IF(AS326="","",IF(OR(AU326="",AU326="-"),"－",IF(OR(AZ326=8,AZ326=9),"",IF(OR(AW326=3,AW326=4,AW326=5,AW326=6),VLOOKUP(AU326,INDEX((係数_バス貨物_ガソリン,係数_バス貨物_CNG,係数_バス貨物_軽油,係数_バス貨物_メタノール,係数_バス貨物_LPG),MATCH(AY326,【参考】排出係数!$AI$4:$AI$671,1),1,BE326):INDEX((係数_バス貨物_ガソリン,係数_バス貨物_CNG,係数_バス貨物_軽油,係数_バス貨物_メタノール,係数_バス貨物_LPG),MATCH(AY326+1,【参考】排出係数!$AI$4:$AI$671,1)-1,5,BE326),2,FALSE),IF(OR(AW326=1,AW326=2),VLOOKUP(AU326,INDEX((係数_乗用_ガソリン,係数_乗用_CNG,係数_乗用_軽油,係数_乗用_メタノール,係数_乗用_LPG),1,1,BE326):INDEX((係数_乗用_ガソリン,係数_乗用_CNG,係数_乗用_軽油,係数_乗用_メタノール,係数_乗用_LPG),125,5,BE326),2,FALSE))))))</f>
        <v/>
      </c>
      <c r="BB326" s="468" t="str">
        <f>IF(T326="","",IF(OR(AU326="",AU326="-"),"－",IF(OR(AZ326=8,AZ326=9),"",IF(OR(AW326=3,AW326=4,AW326=5,AW326=6),VLOOKUP(AU326,INDEX((係数_バス貨物_ガソリン,係数_バス貨物_CNG,係数_バス貨物_軽油,係数_バス貨物_メタノール,係数_バス貨物_LPG),MATCH(AY326,【参考】排出係数!$AI$4:$AI$671,1),1,BE326):INDEX((係数_バス貨物_ガソリン,係数_バス貨物_CNG,係数_バス貨物_軽油,係数_バス貨物_メタノール,係数_バス貨物_LPG),MATCH(AY326+1,【参考】排出係数!$AI$4:$AI$671,1)-1,5,BE326),3,FALSE),IF(OR(AW326=1,AW326=2),VLOOKUP(AU326,INDEX((係数_乗用_ガソリン,係数_乗用_CNG,係数_乗用_軽油,係数_乗用_メタノール,係数_乗用_LPG),1,1,BE326):INDEX((係数_乗用_ガソリン,係数_乗用_CNG,係数_乗用_軽油,係数_乗用_メタノール,係数_乗用_LPG),125,5,BE326),3,FALSE))))))</f>
        <v/>
      </c>
      <c r="BC326" s="467" t="str">
        <f t="shared" si="192"/>
        <v/>
      </c>
      <c r="BD326" s="567" t="str">
        <f t="shared" si="193"/>
        <v/>
      </c>
      <c r="BE326" s="467" t="str">
        <f t="shared" si="194"/>
        <v/>
      </c>
      <c r="BF326" s="469" t="str">
        <f t="shared" ca="1" si="195"/>
        <v/>
      </c>
      <c r="BG326" s="469" t="str">
        <f t="shared" ca="1" si="196"/>
        <v/>
      </c>
      <c r="BH326" s="467" t="str">
        <f t="shared" si="197"/>
        <v/>
      </c>
      <c r="BI326" s="467" t="str">
        <f t="shared" ca="1" si="198"/>
        <v/>
      </c>
      <c r="BJ326" s="469" t="str">
        <f t="shared" si="199"/>
        <v/>
      </c>
      <c r="BK326" s="470" t="str">
        <f t="shared" si="179"/>
        <v/>
      </c>
      <c r="BL326" s="775" t="str">
        <f t="shared" si="200"/>
        <v/>
      </c>
      <c r="BM326" s="775" t="str">
        <f t="shared" si="201"/>
        <v/>
      </c>
    </row>
    <row r="327" spans="1:65">
      <c r="A327" s="473">
        <v>271</v>
      </c>
      <c r="B327" s="132"/>
      <c r="C327" s="332"/>
      <c r="D327" s="333"/>
      <c r="E327" s="333"/>
      <c r="F327" s="334"/>
      <c r="G327" s="337"/>
      <c r="H327" s="131"/>
      <c r="I327" s="337"/>
      <c r="J327" s="131"/>
      <c r="K327" s="458" t="str">
        <f t="shared" si="168"/>
        <v/>
      </c>
      <c r="L327" s="458">
        <f t="shared" si="180"/>
        <v>0</v>
      </c>
      <c r="M327" s="458">
        <f t="shared" si="181"/>
        <v>0</v>
      </c>
      <c r="N327" s="459" t="str">
        <f t="shared" si="169"/>
        <v/>
      </c>
      <c r="O327" s="459" t="str">
        <f t="shared" si="170"/>
        <v/>
      </c>
      <c r="P327" s="459" t="str">
        <f t="shared" si="171"/>
        <v/>
      </c>
      <c r="Q327" s="459" t="str">
        <f t="shared" si="172"/>
        <v/>
      </c>
      <c r="R327" s="459" t="str">
        <f t="shared" si="173"/>
        <v/>
      </c>
      <c r="S327" s="459" t="str">
        <f t="shared" si="174"/>
        <v/>
      </c>
      <c r="T327" s="566" t="str">
        <f t="shared" si="182"/>
        <v/>
      </c>
      <c r="U327" s="702"/>
      <c r="V327" s="132"/>
      <c r="W327" s="133"/>
      <c r="X327" s="134"/>
      <c r="Y327" s="135"/>
      <c r="Z327" s="137"/>
      <c r="AA327" s="136"/>
      <c r="AB327" s="566" t="str">
        <f t="shared" si="175"/>
        <v/>
      </c>
      <c r="AC327" s="568" t="str">
        <f t="shared" si="183"/>
        <v/>
      </c>
      <c r="AD327" s="137"/>
      <c r="AE327" s="137"/>
      <c r="AF327" s="138"/>
      <c r="AG327" s="138"/>
      <c r="AH327" s="592" t="str">
        <f t="shared" si="176"/>
        <v/>
      </c>
      <c r="AI327" s="592" t="str">
        <f t="shared" si="177"/>
        <v/>
      </c>
      <c r="AJ327" s="592" t="str">
        <f t="shared" si="178"/>
        <v/>
      </c>
      <c r="AK327" s="460" t="str">
        <f>IF(AU327="","",IF(OR(AZ327=8,AZ327=9),0,IF(OR(AW327=3,AW327=4,AW327=5,AW327=6),IF(LEFT(BF327,1)="1",INDEX(係数_NOX・PM低減,MATCH(AY327,【参考】排出係数!$AI$801:$AI$804,1),1),VLOOKUP(AU327,INDEX((係数_バス貨物_ガソリン,係数_バス貨物_CNG,係数_バス貨物_軽油,係数_バス貨物_メタノール,係数_バス貨物_LPG),MATCH(AY327,【参考】排出係数!$AI$4:$AI$671,1),1,BE327):INDEX((係数_バス貨物_ガソリン,係数_バス貨物_CNG,係数_バス貨物_軽油,係数_バス貨物_メタノール,係数_バス貨物_LPG),MATCH(AY327+1,【参考】排出係数!$AI$4:$AI$671,1)-1,5,BE327),4,FALSE)),IF(AND(BE327=3,LEFT(BF327,1)="1"),0.48,VLOOKUP(AU327,INDEX((係数_乗用_ガソリン,係数_乗用_CNG,係数_乗用_軽油,係数_乗用_メタノール,係数_乗用_LPG),1,1,BE327):INDEX((係数_乗用_ガソリン,係数_乗用_CNG,係数_乗用_軽油,係数_乗用_メタノール,係数_乗用_LPG),125,5,BE327),4,FALSE)))))</f>
        <v/>
      </c>
      <c r="AL327" s="461" t="str">
        <f t="shared" si="202"/>
        <v/>
      </c>
      <c r="AM327" s="460" t="str">
        <f>IF(AU327="","",IF(OR(AZ327=8,AZ327=9),0,IF(OR(AW327=3,AW327=4,AW327=5,AW327=6),IF(LEFT(BH327,1)="1",INDEX(係数_PM低減,MATCH(AY327,【参考】排出係数!$AI$801:$AI$804,1),MATCH(BI327,【参考】排出係数!$AL$798:$AO$798,1)),VLOOKUP(AU327,INDEX((係数_バス貨物_ガソリン,係数_バス貨物_CNG,係数_バス貨物_軽油,係数_バス貨物_メタノール,係数_バス貨物_LPG),MATCH(AY327,【参考】排出係数!$AI$4:$AI$671,1),1,BE327):INDEX((係数_バス貨物_ガソリン,係数_バス貨物_CNG,係数_バス貨物_軽油,係数_バス貨物_メタノール,係数_バス貨物_LPG),MATCH(AY327+1,【参考】排出係数!$AI$4:$AI$671,1)-1,5,BE327),5,FALSE)),IF(AND(BE327=3,LEFT(BF327,1)="1"),0.055,VLOOKUP(AU327,INDEX((係数_乗用_ガソリン,係数_乗用_CNG,係数_乗用_軽油,係数_乗用_メタノール,係数_乗用_LPG),1,1,BE327):INDEX((係数_乗用_ガソリン,係数_乗用_CNG,係数_乗用_軽油,係数_乗用_メタノール,係数_乗用_LPG),125,5,BE327),5,FALSE)))))</f>
        <v/>
      </c>
      <c r="AN327" s="461" t="str">
        <f t="shared" si="203"/>
        <v/>
      </c>
      <c r="AO327" s="462" t="str">
        <f t="shared" si="204"/>
        <v/>
      </c>
      <c r="AP327" s="463" t="str">
        <f t="shared" si="205"/>
        <v/>
      </c>
      <c r="AQ327" s="464"/>
      <c r="AR327" s="619"/>
      <c r="AS327" s="465" t="str">
        <f t="shared" si="184"/>
        <v/>
      </c>
      <c r="AT327" s="465" t="str">
        <f t="shared" si="185"/>
        <v/>
      </c>
      <c r="AU327" s="466" t="str">
        <f t="shared" si="186"/>
        <v/>
      </c>
      <c r="AV327" s="467" t="str">
        <f t="shared" si="187"/>
        <v/>
      </c>
      <c r="AW327" s="467" t="str">
        <f t="shared" si="188"/>
        <v/>
      </c>
      <c r="AX327" s="467" t="str">
        <f t="shared" si="189"/>
        <v/>
      </c>
      <c r="AY327" s="467" t="str">
        <f t="shared" si="190"/>
        <v/>
      </c>
      <c r="AZ327" s="467" t="str">
        <f t="shared" si="191"/>
        <v/>
      </c>
      <c r="BA327" s="468" t="str">
        <f>IF(AS327="","",IF(OR(AU327="",AU327="-"),"－",IF(OR(AZ327=8,AZ327=9),"",IF(OR(AW327=3,AW327=4,AW327=5,AW327=6),VLOOKUP(AU327,INDEX((係数_バス貨物_ガソリン,係数_バス貨物_CNG,係数_バス貨物_軽油,係数_バス貨物_メタノール,係数_バス貨物_LPG),MATCH(AY327,【参考】排出係数!$AI$4:$AI$671,1),1,BE327):INDEX((係数_バス貨物_ガソリン,係数_バス貨物_CNG,係数_バス貨物_軽油,係数_バス貨物_メタノール,係数_バス貨物_LPG),MATCH(AY327+1,【参考】排出係数!$AI$4:$AI$671,1)-1,5,BE327),2,FALSE),IF(OR(AW327=1,AW327=2),VLOOKUP(AU327,INDEX((係数_乗用_ガソリン,係数_乗用_CNG,係数_乗用_軽油,係数_乗用_メタノール,係数_乗用_LPG),1,1,BE327):INDEX((係数_乗用_ガソリン,係数_乗用_CNG,係数_乗用_軽油,係数_乗用_メタノール,係数_乗用_LPG),125,5,BE327),2,FALSE))))))</f>
        <v/>
      </c>
      <c r="BB327" s="468" t="str">
        <f>IF(T327="","",IF(OR(AU327="",AU327="-"),"－",IF(OR(AZ327=8,AZ327=9),"",IF(OR(AW327=3,AW327=4,AW327=5,AW327=6),VLOOKUP(AU327,INDEX((係数_バス貨物_ガソリン,係数_バス貨物_CNG,係数_バス貨物_軽油,係数_バス貨物_メタノール,係数_バス貨物_LPG),MATCH(AY327,【参考】排出係数!$AI$4:$AI$671,1),1,BE327):INDEX((係数_バス貨物_ガソリン,係数_バス貨物_CNG,係数_バス貨物_軽油,係数_バス貨物_メタノール,係数_バス貨物_LPG),MATCH(AY327+1,【参考】排出係数!$AI$4:$AI$671,1)-1,5,BE327),3,FALSE),IF(OR(AW327=1,AW327=2),VLOOKUP(AU327,INDEX((係数_乗用_ガソリン,係数_乗用_CNG,係数_乗用_軽油,係数_乗用_メタノール,係数_乗用_LPG),1,1,BE327):INDEX((係数_乗用_ガソリン,係数_乗用_CNG,係数_乗用_軽油,係数_乗用_メタノール,係数_乗用_LPG),125,5,BE327),3,FALSE))))))</f>
        <v/>
      </c>
      <c r="BC327" s="467" t="str">
        <f t="shared" si="192"/>
        <v/>
      </c>
      <c r="BD327" s="567" t="str">
        <f t="shared" si="193"/>
        <v/>
      </c>
      <c r="BE327" s="467" t="str">
        <f t="shared" si="194"/>
        <v/>
      </c>
      <c r="BF327" s="469" t="str">
        <f t="shared" ca="1" si="195"/>
        <v/>
      </c>
      <c r="BG327" s="469" t="str">
        <f t="shared" ca="1" si="196"/>
        <v/>
      </c>
      <c r="BH327" s="467" t="str">
        <f t="shared" si="197"/>
        <v/>
      </c>
      <c r="BI327" s="467" t="str">
        <f t="shared" ca="1" si="198"/>
        <v/>
      </c>
      <c r="BJ327" s="469" t="str">
        <f t="shared" si="199"/>
        <v/>
      </c>
      <c r="BK327" s="470" t="str">
        <f t="shared" si="179"/>
        <v/>
      </c>
      <c r="BL327" s="775" t="str">
        <f t="shared" si="200"/>
        <v/>
      </c>
      <c r="BM327" s="775" t="str">
        <f t="shared" si="201"/>
        <v/>
      </c>
    </row>
    <row r="328" spans="1:65">
      <c r="A328" s="473">
        <v>272</v>
      </c>
      <c r="B328" s="132"/>
      <c r="C328" s="332"/>
      <c r="D328" s="333"/>
      <c r="E328" s="333"/>
      <c r="F328" s="334"/>
      <c r="G328" s="337"/>
      <c r="H328" s="131"/>
      <c r="I328" s="337"/>
      <c r="J328" s="131"/>
      <c r="K328" s="458" t="str">
        <f t="shared" si="168"/>
        <v/>
      </c>
      <c r="L328" s="458">
        <f t="shared" si="180"/>
        <v>0</v>
      </c>
      <c r="M328" s="458">
        <f t="shared" si="181"/>
        <v>0</v>
      </c>
      <c r="N328" s="459" t="str">
        <f t="shared" si="169"/>
        <v/>
      </c>
      <c r="O328" s="459" t="str">
        <f t="shared" si="170"/>
        <v/>
      </c>
      <c r="P328" s="459" t="str">
        <f t="shared" si="171"/>
        <v/>
      </c>
      <c r="Q328" s="459" t="str">
        <f t="shared" si="172"/>
        <v/>
      </c>
      <c r="R328" s="459" t="str">
        <f t="shared" si="173"/>
        <v/>
      </c>
      <c r="S328" s="459" t="str">
        <f t="shared" si="174"/>
        <v/>
      </c>
      <c r="T328" s="566" t="str">
        <f t="shared" si="182"/>
        <v/>
      </c>
      <c r="U328" s="702"/>
      <c r="V328" s="132"/>
      <c r="W328" s="133"/>
      <c r="X328" s="134"/>
      <c r="Y328" s="135"/>
      <c r="Z328" s="137"/>
      <c r="AA328" s="136"/>
      <c r="AB328" s="566" t="str">
        <f t="shared" si="175"/>
        <v/>
      </c>
      <c r="AC328" s="568" t="str">
        <f t="shared" si="183"/>
        <v/>
      </c>
      <c r="AD328" s="137"/>
      <c r="AE328" s="137"/>
      <c r="AF328" s="138"/>
      <c r="AG328" s="138"/>
      <c r="AH328" s="592" t="str">
        <f t="shared" si="176"/>
        <v/>
      </c>
      <c r="AI328" s="592" t="str">
        <f t="shared" si="177"/>
        <v/>
      </c>
      <c r="AJ328" s="592" t="str">
        <f t="shared" si="178"/>
        <v/>
      </c>
      <c r="AK328" s="460" t="str">
        <f>IF(AU328="","",IF(OR(AZ328=8,AZ328=9),0,IF(OR(AW328=3,AW328=4,AW328=5,AW328=6),IF(LEFT(BF328,1)="1",INDEX(係数_NOX・PM低減,MATCH(AY328,【参考】排出係数!$AI$801:$AI$804,1),1),VLOOKUP(AU328,INDEX((係数_バス貨物_ガソリン,係数_バス貨物_CNG,係数_バス貨物_軽油,係数_バス貨物_メタノール,係数_バス貨物_LPG),MATCH(AY328,【参考】排出係数!$AI$4:$AI$671,1),1,BE328):INDEX((係数_バス貨物_ガソリン,係数_バス貨物_CNG,係数_バス貨物_軽油,係数_バス貨物_メタノール,係数_バス貨物_LPG),MATCH(AY328+1,【参考】排出係数!$AI$4:$AI$671,1)-1,5,BE328),4,FALSE)),IF(AND(BE328=3,LEFT(BF328,1)="1"),0.48,VLOOKUP(AU328,INDEX((係数_乗用_ガソリン,係数_乗用_CNG,係数_乗用_軽油,係数_乗用_メタノール,係数_乗用_LPG),1,1,BE328):INDEX((係数_乗用_ガソリン,係数_乗用_CNG,係数_乗用_軽油,係数_乗用_メタノール,係数_乗用_LPG),125,5,BE328),4,FALSE)))))</f>
        <v/>
      </c>
      <c r="AL328" s="461" t="str">
        <f t="shared" si="202"/>
        <v/>
      </c>
      <c r="AM328" s="460" t="str">
        <f>IF(AU328="","",IF(OR(AZ328=8,AZ328=9),0,IF(OR(AW328=3,AW328=4,AW328=5,AW328=6),IF(LEFT(BH328,1)="1",INDEX(係数_PM低減,MATCH(AY328,【参考】排出係数!$AI$801:$AI$804,1),MATCH(BI328,【参考】排出係数!$AL$798:$AO$798,1)),VLOOKUP(AU328,INDEX((係数_バス貨物_ガソリン,係数_バス貨物_CNG,係数_バス貨物_軽油,係数_バス貨物_メタノール,係数_バス貨物_LPG),MATCH(AY328,【参考】排出係数!$AI$4:$AI$671,1),1,BE328):INDEX((係数_バス貨物_ガソリン,係数_バス貨物_CNG,係数_バス貨物_軽油,係数_バス貨物_メタノール,係数_バス貨物_LPG),MATCH(AY328+1,【参考】排出係数!$AI$4:$AI$671,1)-1,5,BE328),5,FALSE)),IF(AND(BE328=3,LEFT(BF328,1)="1"),0.055,VLOOKUP(AU328,INDEX((係数_乗用_ガソリン,係数_乗用_CNG,係数_乗用_軽油,係数_乗用_メタノール,係数_乗用_LPG),1,1,BE328):INDEX((係数_乗用_ガソリン,係数_乗用_CNG,係数_乗用_軽油,係数_乗用_メタノール,係数_乗用_LPG),125,5,BE328),5,FALSE)))))</f>
        <v/>
      </c>
      <c r="AN328" s="461" t="str">
        <f t="shared" si="203"/>
        <v/>
      </c>
      <c r="AO328" s="462" t="str">
        <f t="shared" si="204"/>
        <v/>
      </c>
      <c r="AP328" s="463" t="str">
        <f t="shared" si="205"/>
        <v/>
      </c>
      <c r="AQ328" s="464"/>
      <c r="AR328" s="619"/>
      <c r="AS328" s="465" t="str">
        <f t="shared" si="184"/>
        <v/>
      </c>
      <c r="AT328" s="465" t="str">
        <f t="shared" si="185"/>
        <v/>
      </c>
      <c r="AU328" s="466" t="str">
        <f t="shared" si="186"/>
        <v/>
      </c>
      <c r="AV328" s="467" t="str">
        <f t="shared" si="187"/>
        <v/>
      </c>
      <c r="AW328" s="467" t="str">
        <f t="shared" si="188"/>
        <v/>
      </c>
      <c r="AX328" s="467" t="str">
        <f t="shared" si="189"/>
        <v/>
      </c>
      <c r="AY328" s="467" t="str">
        <f t="shared" si="190"/>
        <v/>
      </c>
      <c r="AZ328" s="467" t="str">
        <f t="shared" si="191"/>
        <v/>
      </c>
      <c r="BA328" s="468" t="str">
        <f>IF(AS328="","",IF(OR(AU328="",AU328="-"),"－",IF(OR(AZ328=8,AZ328=9),"",IF(OR(AW328=3,AW328=4,AW328=5,AW328=6),VLOOKUP(AU328,INDEX((係数_バス貨物_ガソリン,係数_バス貨物_CNG,係数_バス貨物_軽油,係数_バス貨物_メタノール,係数_バス貨物_LPG),MATCH(AY328,【参考】排出係数!$AI$4:$AI$671,1),1,BE328):INDEX((係数_バス貨物_ガソリン,係数_バス貨物_CNG,係数_バス貨物_軽油,係数_バス貨物_メタノール,係数_バス貨物_LPG),MATCH(AY328+1,【参考】排出係数!$AI$4:$AI$671,1)-1,5,BE328),2,FALSE),IF(OR(AW328=1,AW328=2),VLOOKUP(AU328,INDEX((係数_乗用_ガソリン,係数_乗用_CNG,係数_乗用_軽油,係数_乗用_メタノール,係数_乗用_LPG),1,1,BE328):INDEX((係数_乗用_ガソリン,係数_乗用_CNG,係数_乗用_軽油,係数_乗用_メタノール,係数_乗用_LPG),125,5,BE328),2,FALSE))))))</f>
        <v/>
      </c>
      <c r="BB328" s="468" t="str">
        <f>IF(T328="","",IF(OR(AU328="",AU328="-"),"－",IF(OR(AZ328=8,AZ328=9),"",IF(OR(AW328=3,AW328=4,AW328=5,AW328=6),VLOOKUP(AU328,INDEX((係数_バス貨物_ガソリン,係数_バス貨物_CNG,係数_バス貨物_軽油,係数_バス貨物_メタノール,係数_バス貨物_LPG),MATCH(AY328,【参考】排出係数!$AI$4:$AI$671,1),1,BE328):INDEX((係数_バス貨物_ガソリン,係数_バス貨物_CNG,係数_バス貨物_軽油,係数_バス貨物_メタノール,係数_バス貨物_LPG),MATCH(AY328+1,【参考】排出係数!$AI$4:$AI$671,1)-1,5,BE328),3,FALSE),IF(OR(AW328=1,AW328=2),VLOOKUP(AU328,INDEX((係数_乗用_ガソリン,係数_乗用_CNG,係数_乗用_軽油,係数_乗用_メタノール,係数_乗用_LPG),1,1,BE328):INDEX((係数_乗用_ガソリン,係数_乗用_CNG,係数_乗用_軽油,係数_乗用_メタノール,係数_乗用_LPG),125,5,BE328),3,FALSE))))))</f>
        <v/>
      </c>
      <c r="BC328" s="467" t="str">
        <f t="shared" si="192"/>
        <v/>
      </c>
      <c r="BD328" s="567" t="str">
        <f t="shared" si="193"/>
        <v/>
      </c>
      <c r="BE328" s="467" t="str">
        <f t="shared" si="194"/>
        <v/>
      </c>
      <c r="BF328" s="469" t="str">
        <f t="shared" ca="1" si="195"/>
        <v/>
      </c>
      <c r="BG328" s="469" t="str">
        <f t="shared" ca="1" si="196"/>
        <v/>
      </c>
      <c r="BH328" s="467" t="str">
        <f t="shared" si="197"/>
        <v/>
      </c>
      <c r="BI328" s="467" t="str">
        <f t="shared" ca="1" si="198"/>
        <v/>
      </c>
      <c r="BJ328" s="469" t="str">
        <f t="shared" si="199"/>
        <v/>
      </c>
      <c r="BK328" s="470" t="str">
        <f t="shared" si="179"/>
        <v/>
      </c>
      <c r="BL328" s="775" t="str">
        <f t="shared" si="200"/>
        <v/>
      </c>
      <c r="BM328" s="775" t="str">
        <f t="shared" si="201"/>
        <v/>
      </c>
    </row>
    <row r="329" spans="1:65">
      <c r="A329" s="473">
        <v>273</v>
      </c>
      <c r="B329" s="132"/>
      <c r="C329" s="332"/>
      <c r="D329" s="333"/>
      <c r="E329" s="333"/>
      <c r="F329" s="334"/>
      <c r="G329" s="337"/>
      <c r="H329" s="131"/>
      <c r="I329" s="337"/>
      <c r="J329" s="131"/>
      <c r="K329" s="458" t="str">
        <f t="shared" si="168"/>
        <v/>
      </c>
      <c r="L329" s="458">
        <f t="shared" si="180"/>
        <v>0</v>
      </c>
      <c r="M329" s="458">
        <f t="shared" si="181"/>
        <v>0</v>
      </c>
      <c r="N329" s="459" t="str">
        <f t="shared" si="169"/>
        <v/>
      </c>
      <c r="O329" s="459" t="str">
        <f t="shared" si="170"/>
        <v/>
      </c>
      <c r="P329" s="459" t="str">
        <f t="shared" si="171"/>
        <v/>
      </c>
      <c r="Q329" s="459" t="str">
        <f t="shared" si="172"/>
        <v/>
      </c>
      <c r="R329" s="459" t="str">
        <f t="shared" si="173"/>
        <v/>
      </c>
      <c r="S329" s="459" t="str">
        <f t="shared" si="174"/>
        <v/>
      </c>
      <c r="T329" s="566" t="str">
        <f t="shared" si="182"/>
        <v/>
      </c>
      <c r="U329" s="702"/>
      <c r="V329" s="132"/>
      <c r="W329" s="133"/>
      <c r="X329" s="134"/>
      <c r="Y329" s="135"/>
      <c r="Z329" s="137"/>
      <c r="AA329" s="136"/>
      <c r="AB329" s="566" t="str">
        <f t="shared" si="175"/>
        <v/>
      </c>
      <c r="AC329" s="568" t="str">
        <f t="shared" si="183"/>
        <v/>
      </c>
      <c r="AD329" s="137"/>
      <c r="AE329" s="137"/>
      <c r="AF329" s="138"/>
      <c r="AG329" s="138"/>
      <c r="AH329" s="592" t="str">
        <f t="shared" si="176"/>
        <v/>
      </c>
      <c r="AI329" s="592" t="str">
        <f t="shared" si="177"/>
        <v/>
      </c>
      <c r="AJ329" s="592" t="str">
        <f t="shared" si="178"/>
        <v/>
      </c>
      <c r="AK329" s="460" t="str">
        <f>IF(AU329="","",IF(OR(AZ329=8,AZ329=9),0,IF(OR(AW329=3,AW329=4,AW329=5,AW329=6),IF(LEFT(BF329,1)="1",INDEX(係数_NOX・PM低減,MATCH(AY329,【参考】排出係数!$AI$801:$AI$804,1),1),VLOOKUP(AU329,INDEX((係数_バス貨物_ガソリン,係数_バス貨物_CNG,係数_バス貨物_軽油,係数_バス貨物_メタノール,係数_バス貨物_LPG),MATCH(AY329,【参考】排出係数!$AI$4:$AI$671,1),1,BE329):INDEX((係数_バス貨物_ガソリン,係数_バス貨物_CNG,係数_バス貨物_軽油,係数_バス貨物_メタノール,係数_バス貨物_LPG),MATCH(AY329+1,【参考】排出係数!$AI$4:$AI$671,1)-1,5,BE329),4,FALSE)),IF(AND(BE329=3,LEFT(BF329,1)="1"),0.48,VLOOKUP(AU329,INDEX((係数_乗用_ガソリン,係数_乗用_CNG,係数_乗用_軽油,係数_乗用_メタノール,係数_乗用_LPG),1,1,BE329):INDEX((係数_乗用_ガソリン,係数_乗用_CNG,係数_乗用_軽油,係数_乗用_メタノール,係数_乗用_LPG),125,5,BE329),4,FALSE)))))</f>
        <v/>
      </c>
      <c r="AL329" s="461" t="str">
        <f t="shared" si="202"/>
        <v/>
      </c>
      <c r="AM329" s="460" t="str">
        <f>IF(AU329="","",IF(OR(AZ329=8,AZ329=9),0,IF(OR(AW329=3,AW329=4,AW329=5,AW329=6),IF(LEFT(BH329,1)="1",INDEX(係数_PM低減,MATCH(AY329,【参考】排出係数!$AI$801:$AI$804,1),MATCH(BI329,【参考】排出係数!$AL$798:$AO$798,1)),VLOOKUP(AU329,INDEX((係数_バス貨物_ガソリン,係数_バス貨物_CNG,係数_バス貨物_軽油,係数_バス貨物_メタノール,係数_バス貨物_LPG),MATCH(AY329,【参考】排出係数!$AI$4:$AI$671,1),1,BE329):INDEX((係数_バス貨物_ガソリン,係数_バス貨物_CNG,係数_バス貨物_軽油,係数_バス貨物_メタノール,係数_バス貨物_LPG),MATCH(AY329+1,【参考】排出係数!$AI$4:$AI$671,1)-1,5,BE329),5,FALSE)),IF(AND(BE329=3,LEFT(BF329,1)="1"),0.055,VLOOKUP(AU329,INDEX((係数_乗用_ガソリン,係数_乗用_CNG,係数_乗用_軽油,係数_乗用_メタノール,係数_乗用_LPG),1,1,BE329):INDEX((係数_乗用_ガソリン,係数_乗用_CNG,係数_乗用_軽油,係数_乗用_メタノール,係数_乗用_LPG),125,5,BE329),5,FALSE)))))</f>
        <v/>
      </c>
      <c r="AN329" s="461" t="str">
        <f t="shared" si="203"/>
        <v/>
      </c>
      <c r="AO329" s="462" t="str">
        <f t="shared" si="204"/>
        <v/>
      </c>
      <c r="AP329" s="463" t="str">
        <f t="shared" si="205"/>
        <v/>
      </c>
      <c r="AQ329" s="464"/>
      <c r="AR329" s="619"/>
      <c r="AS329" s="465" t="str">
        <f t="shared" si="184"/>
        <v/>
      </c>
      <c r="AT329" s="465" t="str">
        <f t="shared" si="185"/>
        <v/>
      </c>
      <c r="AU329" s="466" t="str">
        <f t="shared" si="186"/>
        <v/>
      </c>
      <c r="AV329" s="467" t="str">
        <f t="shared" si="187"/>
        <v/>
      </c>
      <c r="AW329" s="467" t="str">
        <f t="shared" si="188"/>
        <v/>
      </c>
      <c r="AX329" s="467" t="str">
        <f t="shared" si="189"/>
        <v/>
      </c>
      <c r="AY329" s="467" t="str">
        <f t="shared" si="190"/>
        <v/>
      </c>
      <c r="AZ329" s="467" t="str">
        <f t="shared" si="191"/>
        <v/>
      </c>
      <c r="BA329" s="468" t="str">
        <f>IF(AS329="","",IF(OR(AU329="",AU329="-"),"－",IF(OR(AZ329=8,AZ329=9),"",IF(OR(AW329=3,AW329=4,AW329=5,AW329=6),VLOOKUP(AU329,INDEX((係数_バス貨物_ガソリン,係数_バス貨物_CNG,係数_バス貨物_軽油,係数_バス貨物_メタノール,係数_バス貨物_LPG),MATCH(AY329,【参考】排出係数!$AI$4:$AI$671,1),1,BE329):INDEX((係数_バス貨物_ガソリン,係数_バス貨物_CNG,係数_バス貨物_軽油,係数_バス貨物_メタノール,係数_バス貨物_LPG),MATCH(AY329+1,【参考】排出係数!$AI$4:$AI$671,1)-1,5,BE329),2,FALSE),IF(OR(AW329=1,AW329=2),VLOOKUP(AU329,INDEX((係数_乗用_ガソリン,係数_乗用_CNG,係数_乗用_軽油,係数_乗用_メタノール,係数_乗用_LPG),1,1,BE329):INDEX((係数_乗用_ガソリン,係数_乗用_CNG,係数_乗用_軽油,係数_乗用_メタノール,係数_乗用_LPG),125,5,BE329),2,FALSE))))))</f>
        <v/>
      </c>
      <c r="BB329" s="468" t="str">
        <f>IF(T329="","",IF(OR(AU329="",AU329="-"),"－",IF(OR(AZ329=8,AZ329=9),"",IF(OR(AW329=3,AW329=4,AW329=5,AW329=6),VLOOKUP(AU329,INDEX((係数_バス貨物_ガソリン,係数_バス貨物_CNG,係数_バス貨物_軽油,係数_バス貨物_メタノール,係数_バス貨物_LPG),MATCH(AY329,【参考】排出係数!$AI$4:$AI$671,1),1,BE329):INDEX((係数_バス貨物_ガソリン,係数_バス貨物_CNG,係数_バス貨物_軽油,係数_バス貨物_メタノール,係数_バス貨物_LPG),MATCH(AY329+1,【参考】排出係数!$AI$4:$AI$671,1)-1,5,BE329),3,FALSE),IF(OR(AW329=1,AW329=2),VLOOKUP(AU329,INDEX((係数_乗用_ガソリン,係数_乗用_CNG,係数_乗用_軽油,係数_乗用_メタノール,係数_乗用_LPG),1,1,BE329):INDEX((係数_乗用_ガソリン,係数_乗用_CNG,係数_乗用_軽油,係数_乗用_メタノール,係数_乗用_LPG),125,5,BE329),3,FALSE))))))</f>
        <v/>
      </c>
      <c r="BC329" s="467" t="str">
        <f t="shared" si="192"/>
        <v/>
      </c>
      <c r="BD329" s="567" t="str">
        <f t="shared" si="193"/>
        <v/>
      </c>
      <c r="BE329" s="467" t="str">
        <f t="shared" si="194"/>
        <v/>
      </c>
      <c r="BF329" s="469" t="str">
        <f t="shared" ca="1" si="195"/>
        <v/>
      </c>
      <c r="BG329" s="469" t="str">
        <f t="shared" ca="1" si="196"/>
        <v/>
      </c>
      <c r="BH329" s="467" t="str">
        <f t="shared" si="197"/>
        <v/>
      </c>
      <c r="BI329" s="467" t="str">
        <f t="shared" ca="1" si="198"/>
        <v/>
      </c>
      <c r="BJ329" s="469" t="str">
        <f t="shared" si="199"/>
        <v/>
      </c>
      <c r="BK329" s="470" t="str">
        <f t="shared" si="179"/>
        <v/>
      </c>
      <c r="BL329" s="775" t="str">
        <f t="shared" si="200"/>
        <v/>
      </c>
      <c r="BM329" s="775" t="str">
        <f t="shared" si="201"/>
        <v/>
      </c>
    </row>
    <row r="330" spans="1:65">
      <c r="A330" s="473">
        <v>274</v>
      </c>
      <c r="B330" s="132"/>
      <c r="C330" s="332"/>
      <c r="D330" s="333"/>
      <c r="E330" s="333"/>
      <c r="F330" s="334"/>
      <c r="G330" s="337"/>
      <c r="H330" s="131"/>
      <c r="I330" s="337"/>
      <c r="J330" s="131"/>
      <c r="K330" s="458" t="str">
        <f t="shared" si="168"/>
        <v/>
      </c>
      <c r="L330" s="458">
        <f t="shared" si="180"/>
        <v>0</v>
      </c>
      <c r="M330" s="458">
        <f t="shared" si="181"/>
        <v>0</v>
      </c>
      <c r="N330" s="459" t="str">
        <f t="shared" si="169"/>
        <v/>
      </c>
      <c r="O330" s="459" t="str">
        <f t="shared" si="170"/>
        <v/>
      </c>
      <c r="P330" s="459" t="str">
        <f t="shared" si="171"/>
        <v/>
      </c>
      <c r="Q330" s="459" t="str">
        <f t="shared" si="172"/>
        <v/>
      </c>
      <c r="R330" s="459" t="str">
        <f t="shared" si="173"/>
        <v/>
      </c>
      <c r="S330" s="459" t="str">
        <f t="shared" si="174"/>
        <v/>
      </c>
      <c r="T330" s="566" t="str">
        <f t="shared" si="182"/>
        <v/>
      </c>
      <c r="U330" s="702"/>
      <c r="V330" s="132"/>
      <c r="W330" s="133"/>
      <c r="X330" s="134"/>
      <c r="Y330" s="135"/>
      <c r="Z330" s="137"/>
      <c r="AA330" s="136"/>
      <c r="AB330" s="566" t="str">
        <f t="shared" si="175"/>
        <v/>
      </c>
      <c r="AC330" s="568" t="str">
        <f t="shared" si="183"/>
        <v/>
      </c>
      <c r="AD330" s="137"/>
      <c r="AE330" s="137"/>
      <c r="AF330" s="138"/>
      <c r="AG330" s="138"/>
      <c r="AH330" s="592" t="str">
        <f t="shared" si="176"/>
        <v/>
      </c>
      <c r="AI330" s="592" t="str">
        <f t="shared" si="177"/>
        <v/>
      </c>
      <c r="AJ330" s="592" t="str">
        <f t="shared" si="178"/>
        <v/>
      </c>
      <c r="AK330" s="460" t="str">
        <f>IF(AU330="","",IF(OR(AZ330=8,AZ330=9),0,IF(OR(AW330=3,AW330=4,AW330=5,AW330=6),IF(LEFT(BF330,1)="1",INDEX(係数_NOX・PM低減,MATCH(AY330,【参考】排出係数!$AI$801:$AI$804,1),1),VLOOKUP(AU330,INDEX((係数_バス貨物_ガソリン,係数_バス貨物_CNG,係数_バス貨物_軽油,係数_バス貨物_メタノール,係数_バス貨物_LPG),MATCH(AY330,【参考】排出係数!$AI$4:$AI$671,1),1,BE330):INDEX((係数_バス貨物_ガソリン,係数_バス貨物_CNG,係数_バス貨物_軽油,係数_バス貨物_メタノール,係数_バス貨物_LPG),MATCH(AY330+1,【参考】排出係数!$AI$4:$AI$671,1)-1,5,BE330),4,FALSE)),IF(AND(BE330=3,LEFT(BF330,1)="1"),0.48,VLOOKUP(AU330,INDEX((係数_乗用_ガソリン,係数_乗用_CNG,係数_乗用_軽油,係数_乗用_メタノール,係数_乗用_LPG),1,1,BE330):INDEX((係数_乗用_ガソリン,係数_乗用_CNG,係数_乗用_軽油,係数_乗用_メタノール,係数_乗用_LPG),125,5,BE330),4,FALSE)))))</f>
        <v/>
      </c>
      <c r="AL330" s="461" t="str">
        <f t="shared" si="202"/>
        <v/>
      </c>
      <c r="AM330" s="460" t="str">
        <f>IF(AU330="","",IF(OR(AZ330=8,AZ330=9),0,IF(OR(AW330=3,AW330=4,AW330=5,AW330=6),IF(LEFT(BH330,1)="1",INDEX(係数_PM低減,MATCH(AY330,【参考】排出係数!$AI$801:$AI$804,1),MATCH(BI330,【参考】排出係数!$AL$798:$AO$798,1)),VLOOKUP(AU330,INDEX((係数_バス貨物_ガソリン,係数_バス貨物_CNG,係数_バス貨物_軽油,係数_バス貨物_メタノール,係数_バス貨物_LPG),MATCH(AY330,【参考】排出係数!$AI$4:$AI$671,1),1,BE330):INDEX((係数_バス貨物_ガソリン,係数_バス貨物_CNG,係数_バス貨物_軽油,係数_バス貨物_メタノール,係数_バス貨物_LPG),MATCH(AY330+1,【参考】排出係数!$AI$4:$AI$671,1)-1,5,BE330),5,FALSE)),IF(AND(BE330=3,LEFT(BF330,1)="1"),0.055,VLOOKUP(AU330,INDEX((係数_乗用_ガソリン,係数_乗用_CNG,係数_乗用_軽油,係数_乗用_メタノール,係数_乗用_LPG),1,1,BE330):INDEX((係数_乗用_ガソリン,係数_乗用_CNG,係数_乗用_軽油,係数_乗用_メタノール,係数_乗用_LPG),125,5,BE330),5,FALSE)))))</f>
        <v/>
      </c>
      <c r="AN330" s="461" t="str">
        <f t="shared" si="203"/>
        <v/>
      </c>
      <c r="AO330" s="462" t="str">
        <f t="shared" si="204"/>
        <v/>
      </c>
      <c r="AP330" s="463" t="str">
        <f t="shared" si="205"/>
        <v/>
      </c>
      <c r="AQ330" s="464"/>
      <c r="AR330" s="619"/>
      <c r="AS330" s="465" t="str">
        <f t="shared" si="184"/>
        <v/>
      </c>
      <c r="AT330" s="465" t="str">
        <f t="shared" si="185"/>
        <v/>
      </c>
      <c r="AU330" s="466" t="str">
        <f t="shared" si="186"/>
        <v/>
      </c>
      <c r="AV330" s="467" t="str">
        <f t="shared" si="187"/>
        <v/>
      </c>
      <c r="AW330" s="467" t="str">
        <f t="shared" si="188"/>
        <v/>
      </c>
      <c r="AX330" s="467" t="str">
        <f t="shared" si="189"/>
        <v/>
      </c>
      <c r="AY330" s="467" t="str">
        <f t="shared" si="190"/>
        <v/>
      </c>
      <c r="AZ330" s="467" t="str">
        <f t="shared" si="191"/>
        <v/>
      </c>
      <c r="BA330" s="468" t="str">
        <f>IF(AS330="","",IF(OR(AU330="",AU330="-"),"－",IF(OR(AZ330=8,AZ330=9),"",IF(OR(AW330=3,AW330=4,AW330=5,AW330=6),VLOOKUP(AU330,INDEX((係数_バス貨物_ガソリン,係数_バス貨物_CNG,係数_バス貨物_軽油,係数_バス貨物_メタノール,係数_バス貨物_LPG),MATCH(AY330,【参考】排出係数!$AI$4:$AI$671,1),1,BE330):INDEX((係数_バス貨物_ガソリン,係数_バス貨物_CNG,係数_バス貨物_軽油,係数_バス貨物_メタノール,係数_バス貨物_LPG),MATCH(AY330+1,【参考】排出係数!$AI$4:$AI$671,1)-1,5,BE330),2,FALSE),IF(OR(AW330=1,AW330=2),VLOOKUP(AU330,INDEX((係数_乗用_ガソリン,係数_乗用_CNG,係数_乗用_軽油,係数_乗用_メタノール,係数_乗用_LPG),1,1,BE330):INDEX((係数_乗用_ガソリン,係数_乗用_CNG,係数_乗用_軽油,係数_乗用_メタノール,係数_乗用_LPG),125,5,BE330),2,FALSE))))))</f>
        <v/>
      </c>
      <c r="BB330" s="468" t="str">
        <f>IF(T330="","",IF(OR(AU330="",AU330="-"),"－",IF(OR(AZ330=8,AZ330=9),"",IF(OR(AW330=3,AW330=4,AW330=5,AW330=6),VLOOKUP(AU330,INDEX((係数_バス貨物_ガソリン,係数_バス貨物_CNG,係数_バス貨物_軽油,係数_バス貨物_メタノール,係数_バス貨物_LPG),MATCH(AY330,【参考】排出係数!$AI$4:$AI$671,1),1,BE330):INDEX((係数_バス貨物_ガソリン,係数_バス貨物_CNG,係数_バス貨物_軽油,係数_バス貨物_メタノール,係数_バス貨物_LPG),MATCH(AY330+1,【参考】排出係数!$AI$4:$AI$671,1)-1,5,BE330),3,FALSE),IF(OR(AW330=1,AW330=2),VLOOKUP(AU330,INDEX((係数_乗用_ガソリン,係数_乗用_CNG,係数_乗用_軽油,係数_乗用_メタノール,係数_乗用_LPG),1,1,BE330):INDEX((係数_乗用_ガソリン,係数_乗用_CNG,係数_乗用_軽油,係数_乗用_メタノール,係数_乗用_LPG),125,5,BE330),3,FALSE))))))</f>
        <v/>
      </c>
      <c r="BC330" s="467" t="str">
        <f t="shared" si="192"/>
        <v/>
      </c>
      <c r="BD330" s="567" t="str">
        <f t="shared" si="193"/>
        <v/>
      </c>
      <c r="BE330" s="467" t="str">
        <f t="shared" si="194"/>
        <v/>
      </c>
      <c r="BF330" s="469" t="str">
        <f t="shared" ca="1" si="195"/>
        <v/>
      </c>
      <c r="BG330" s="469" t="str">
        <f t="shared" ca="1" si="196"/>
        <v/>
      </c>
      <c r="BH330" s="467" t="str">
        <f t="shared" si="197"/>
        <v/>
      </c>
      <c r="BI330" s="467" t="str">
        <f t="shared" ca="1" si="198"/>
        <v/>
      </c>
      <c r="BJ330" s="469" t="str">
        <f t="shared" si="199"/>
        <v/>
      </c>
      <c r="BK330" s="470" t="str">
        <f t="shared" si="179"/>
        <v/>
      </c>
      <c r="BL330" s="775" t="str">
        <f t="shared" si="200"/>
        <v/>
      </c>
      <c r="BM330" s="775" t="str">
        <f t="shared" si="201"/>
        <v/>
      </c>
    </row>
    <row r="331" spans="1:65">
      <c r="A331" s="473">
        <v>275</v>
      </c>
      <c r="B331" s="132"/>
      <c r="C331" s="332"/>
      <c r="D331" s="333"/>
      <c r="E331" s="333"/>
      <c r="F331" s="334"/>
      <c r="G331" s="337"/>
      <c r="H331" s="131"/>
      <c r="I331" s="337"/>
      <c r="J331" s="131"/>
      <c r="K331" s="458" t="str">
        <f t="shared" si="168"/>
        <v/>
      </c>
      <c r="L331" s="458">
        <f t="shared" si="180"/>
        <v>0</v>
      </c>
      <c r="M331" s="458">
        <f t="shared" si="181"/>
        <v>0</v>
      </c>
      <c r="N331" s="459" t="str">
        <f t="shared" si="169"/>
        <v/>
      </c>
      <c r="O331" s="459" t="str">
        <f t="shared" si="170"/>
        <v/>
      </c>
      <c r="P331" s="459" t="str">
        <f t="shared" si="171"/>
        <v/>
      </c>
      <c r="Q331" s="459" t="str">
        <f t="shared" si="172"/>
        <v/>
      </c>
      <c r="R331" s="459" t="str">
        <f t="shared" si="173"/>
        <v/>
      </c>
      <c r="S331" s="459" t="str">
        <f t="shared" si="174"/>
        <v/>
      </c>
      <c r="T331" s="566" t="str">
        <f t="shared" si="182"/>
        <v/>
      </c>
      <c r="U331" s="702"/>
      <c r="V331" s="132"/>
      <c r="W331" s="133"/>
      <c r="X331" s="134"/>
      <c r="Y331" s="135"/>
      <c r="Z331" s="137"/>
      <c r="AA331" s="136"/>
      <c r="AB331" s="566" t="str">
        <f t="shared" si="175"/>
        <v/>
      </c>
      <c r="AC331" s="568" t="str">
        <f t="shared" si="183"/>
        <v/>
      </c>
      <c r="AD331" s="137"/>
      <c r="AE331" s="137"/>
      <c r="AF331" s="138"/>
      <c r="AG331" s="138"/>
      <c r="AH331" s="592" t="str">
        <f t="shared" si="176"/>
        <v/>
      </c>
      <c r="AI331" s="592" t="str">
        <f t="shared" si="177"/>
        <v/>
      </c>
      <c r="AJ331" s="592" t="str">
        <f t="shared" si="178"/>
        <v/>
      </c>
      <c r="AK331" s="460" t="str">
        <f>IF(AU331="","",IF(OR(AZ331=8,AZ331=9),0,IF(OR(AW331=3,AW331=4,AW331=5,AW331=6),IF(LEFT(BF331,1)="1",INDEX(係数_NOX・PM低減,MATCH(AY331,【参考】排出係数!$AI$801:$AI$804,1),1),VLOOKUP(AU331,INDEX((係数_バス貨物_ガソリン,係数_バス貨物_CNG,係数_バス貨物_軽油,係数_バス貨物_メタノール,係数_バス貨物_LPG),MATCH(AY331,【参考】排出係数!$AI$4:$AI$671,1),1,BE331):INDEX((係数_バス貨物_ガソリン,係数_バス貨物_CNG,係数_バス貨物_軽油,係数_バス貨物_メタノール,係数_バス貨物_LPG),MATCH(AY331+1,【参考】排出係数!$AI$4:$AI$671,1)-1,5,BE331),4,FALSE)),IF(AND(BE331=3,LEFT(BF331,1)="1"),0.48,VLOOKUP(AU331,INDEX((係数_乗用_ガソリン,係数_乗用_CNG,係数_乗用_軽油,係数_乗用_メタノール,係数_乗用_LPG),1,1,BE331):INDEX((係数_乗用_ガソリン,係数_乗用_CNG,係数_乗用_軽油,係数_乗用_メタノール,係数_乗用_LPG),125,5,BE331),4,FALSE)))))</f>
        <v/>
      </c>
      <c r="AL331" s="461" t="str">
        <f t="shared" si="202"/>
        <v/>
      </c>
      <c r="AM331" s="460" t="str">
        <f>IF(AU331="","",IF(OR(AZ331=8,AZ331=9),0,IF(OR(AW331=3,AW331=4,AW331=5,AW331=6),IF(LEFT(BH331,1)="1",INDEX(係数_PM低減,MATCH(AY331,【参考】排出係数!$AI$801:$AI$804,1),MATCH(BI331,【参考】排出係数!$AL$798:$AO$798,1)),VLOOKUP(AU331,INDEX((係数_バス貨物_ガソリン,係数_バス貨物_CNG,係数_バス貨物_軽油,係数_バス貨物_メタノール,係数_バス貨物_LPG),MATCH(AY331,【参考】排出係数!$AI$4:$AI$671,1),1,BE331):INDEX((係数_バス貨物_ガソリン,係数_バス貨物_CNG,係数_バス貨物_軽油,係数_バス貨物_メタノール,係数_バス貨物_LPG),MATCH(AY331+1,【参考】排出係数!$AI$4:$AI$671,1)-1,5,BE331),5,FALSE)),IF(AND(BE331=3,LEFT(BF331,1)="1"),0.055,VLOOKUP(AU331,INDEX((係数_乗用_ガソリン,係数_乗用_CNG,係数_乗用_軽油,係数_乗用_メタノール,係数_乗用_LPG),1,1,BE331):INDEX((係数_乗用_ガソリン,係数_乗用_CNG,係数_乗用_軽油,係数_乗用_メタノール,係数_乗用_LPG),125,5,BE331),5,FALSE)))))</f>
        <v/>
      </c>
      <c r="AN331" s="461" t="str">
        <f t="shared" si="203"/>
        <v/>
      </c>
      <c r="AO331" s="462" t="str">
        <f t="shared" si="204"/>
        <v/>
      </c>
      <c r="AP331" s="463" t="str">
        <f t="shared" si="205"/>
        <v/>
      </c>
      <c r="AQ331" s="464"/>
      <c r="AR331" s="619"/>
      <c r="AS331" s="465" t="str">
        <f t="shared" si="184"/>
        <v/>
      </c>
      <c r="AT331" s="465" t="str">
        <f t="shared" si="185"/>
        <v/>
      </c>
      <c r="AU331" s="466" t="str">
        <f t="shared" si="186"/>
        <v/>
      </c>
      <c r="AV331" s="467" t="str">
        <f t="shared" si="187"/>
        <v/>
      </c>
      <c r="AW331" s="467" t="str">
        <f t="shared" si="188"/>
        <v/>
      </c>
      <c r="AX331" s="467" t="str">
        <f t="shared" si="189"/>
        <v/>
      </c>
      <c r="AY331" s="467" t="str">
        <f t="shared" si="190"/>
        <v/>
      </c>
      <c r="AZ331" s="467" t="str">
        <f t="shared" si="191"/>
        <v/>
      </c>
      <c r="BA331" s="468" t="str">
        <f>IF(AS331="","",IF(OR(AU331="",AU331="-"),"－",IF(OR(AZ331=8,AZ331=9),"",IF(OR(AW331=3,AW331=4,AW331=5,AW331=6),VLOOKUP(AU331,INDEX((係数_バス貨物_ガソリン,係数_バス貨物_CNG,係数_バス貨物_軽油,係数_バス貨物_メタノール,係数_バス貨物_LPG),MATCH(AY331,【参考】排出係数!$AI$4:$AI$671,1),1,BE331):INDEX((係数_バス貨物_ガソリン,係数_バス貨物_CNG,係数_バス貨物_軽油,係数_バス貨物_メタノール,係数_バス貨物_LPG),MATCH(AY331+1,【参考】排出係数!$AI$4:$AI$671,1)-1,5,BE331),2,FALSE),IF(OR(AW331=1,AW331=2),VLOOKUP(AU331,INDEX((係数_乗用_ガソリン,係数_乗用_CNG,係数_乗用_軽油,係数_乗用_メタノール,係数_乗用_LPG),1,1,BE331):INDEX((係数_乗用_ガソリン,係数_乗用_CNG,係数_乗用_軽油,係数_乗用_メタノール,係数_乗用_LPG),125,5,BE331),2,FALSE))))))</f>
        <v/>
      </c>
      <c r="BB331" s="468" t="str">
        <f>IF(T331="","",IF(OR(AU331="",AU331="-"),"－",IF(OR(AZ331=8,AZ331=9),"",IF(OR(AW331=3,AW331=4,AW331=5,AW331=6),VLOOKUP(AU331,INDEX((係数_バス貨物_ガソリン,係数_バス貨物_CNG,係数_バス貨物_軽油,係数_バス貨物_メタノール,係数_バス貨物_LPG),MATCH(AY331,【参考】排出係数!$AI$4:$AI$671,1),1,BE331):INDEX((係数_バス貨物_ガソリン,係数_バス貨物_CNG,係数_バス貨物_軽油,係数_バス貨物_メタノール,係数_バス貨物_LPG),MATCH(AY331+1,【参考】排出係数!$AI$4:$AI$671,1)-1,5,BE331),3,FALSE),IF(OR(AW331=1,AW331=2),VLOOKUP(AU331,INDEX((係数_乗用_ガソリン,係数_乗用_CNG,係数_乗用_軽油,係数_乗用_メタノール,係数_乗用_LPG),1,1,BE331):INDEX((係数_乗用_ガソリン,係数_乗用_CNG,係数_乗用_軽油,係数_乗用_メタノール,係数_乗用_LPG),125,5,BE331),3,FALSE))))))</f>
        <v/>
      </c>
      <c r="BC331" s="467" t="str">
        <f t="shared" si="192"/>
        <v/>
      </c>
      <c r="BD331" s="567" t="str">
        <f t="shared" si="193"/>
        <v/>
      </c>
      <c r="BE331" s="467" t="str">
        <f t="shared" si="194"/>
        <v/>
      </c>
      <c r="BF331" s="469" t="str">
        <f t="shared" ca="1" si="195"/>
        <v/>
      </c>
      <c r="BG331" s="469" t="str">
        <f t="shared" ca="1" si="196"/>
        <v/>
      </c>
      <c r="BH331" s="467" t="str">
        <f t="shared" si="197"/>
        <v/>
      </c>
      <c r="BI331" s="467" t="str">
        <f t="shared" ca="1" si="198"/>
        <v/>
      </c>
      <c r="BJ331" s="469" t="str">
        <f t="shared" si="199"/>
        <v/>
      </c>
      <c r="BK331" s="470" t="str">
        <f t="shared" si="179"/>
        <v/>
      </c>
      <c r="BL331" s="775" t="str">
        <f t="shared" si="200"/>
        <v/>
      </c>
      <c r="BM331" s="775" t="str">
        <f t="shared" si="201"/>
        <v/>
      </c>
    </row>
    <row r="332" spans="1:65">
      <c r="A332" s="473">
        <v>276</v>
      </c>
      <c r="B332" s="132"/>
      <c r="C332" s="332"/>
      <c r="D332" s="333"/>
      <c r="E332" s="333"/>
      <c r="F332" s="334"/>
      <c r="G332" s="337"/>
      <c r="H332" s="131"/>
      <c r="I332" s="337"/>
      <c r="J332" s="131"/>
      <c r="K332" s="458" t="str">
        <f t="shared" si="168"/>
        <v/>
      </c>
      <c r="L332" s="458">
        <f t="shared" si="180"/>
        <v>0</v>
      </c>
      <c r="M332" s="458">
        <f t="shared" si="181"/>
        <v>0</v>
      </c>
      <c r="N332" s="459" t="str">
        <f t="shared" si="169"/>
        <v/>
      </c>
      <c r="O332" s="459" t="str">
        <f t="shared" si="170"/>
        <v/>
      </c>
      <c r="P332" s="459" t="str">
        <f t="shared" si="171"/>
        <v/>
      </c>
      <c r="Q332" s="459" t="str">
        <f t="shared" si="172"/>
        <v/>
      </c>
      <c r="R332" s="459" t="str">
        <f t="shared" si="173"/>
        <v/>
      </c>
      <c r="S332" s="459" t="str">
        <f t="shared" si="174"/>
        <v/>
      </c>
      <c r="T332" s="566" t="str">
        <f t="shared" si="182"/>
        <v/>
      </c>
      <c r="U332" s="702"/>
      <c r="V332" s="132"/>
      <c r="W332" s="133"/>
      <c r="X332" s="134"/>
      <c r="Y332" s="135"/>
      <c r="Z332" s="137"/>
      <c r="AA332" s="136"/>
      <c r="AB332" s="566" t="str">
        <f t="shared" si="175"/>
        <v/>
      </c>
      <c r="AC332" s="568" t="str">
        <f t="shared" si="183"/>
        <v/>
      </c>
      <c r="AD332" s="137"/>
      <c r="AE332" s="137"/>
      <c r="AF332" s="138"/>
      <c r="AG332" s="138"/>
      <c r="AH332" s="592" t="str">
        <f t="shared" si="176"/>
        <v/>
      </c>
      <c r="AI332" s="592" t="str">
        <f t="shared" si="177"/>
        <v/>
      </c>
      <c r="AJ332" s="592" t="str">
        <f t="shared" si="178"/>
        <v/>
      </c>
      <c r="AK332" s="460" t="str">
        <f>IF(AU332="","",IF(OR(AZ332=8,AZ332=9),0,IF(OR(AW332=3,AW332=4,AW332=5,AW332=6),IF(LEFT(BF332,1)="1",INDEX(係数_NOX・PM低減,MATCH(AY332,【参考】排出係数!$AI$801:$AI$804,1),1),VLOOKUP(AU332,INDEX((係数_バス貨物_ガソリン,係数_バス貨物_CNG,係数_バス貨物_軽油,係数_バス貨物_メタノール,係数_バス貨物_LPG),MATCH(AY332,【参考】排出係数!$AI$4:$AI$671,1),1,BE332):INDEX((係数_バス貨物_ガソリン,係数_バス貨物_CNG,係数_バス貨物_軽油,係数_バス貨物_メタノール,係数_バス貨物_LPG),MATCH(AY332+1,【参考】排出係数!$AI$4:$AI$671,1)-1,5,BE332),4,FALSE)),IF(AND(BE332=3,LEFT(BF332,1)="1"),0.48,VLOOKUP(AU332,INDEX((係数_乗用_ガソリン,係数_乗用_CNG,係数_乗用_軽油,係数_乗用_メタノール,係数_乗用_LPG),1,1,BE332):INDEX((係数_乗用_ガソリン,係数_乗用_CNG,係数_乗用_軽油,係数_乗用_メタノール,係数_乗用_LPG),125,5,BE332),4,FALSE)))))</f>
        <v/>
      </c>
      <c r="AL332" s="461" t="str">
        <f t="shared" si="202"/>
        <v/>
      </c>
      <c r="AM332" s="460" t="str">
        <f>IF(AU332="","",IF(OR(AZ332=8,AZ332=9),0,IF(OR(AW332=3,AW332=4,AW332=5,AW332=6),IF(LEFT(BH332,1)="1",INDEX(係数_PM低減,MATCH(AY332,【参考】排出係数!$AI$801:$AI$804,1),MATCH(BI332,【参考】排出係数!$AL$798:$AO$798,1)),VLOOKUP(AU332,INDEX((係数_バス貨物_ガソリン,係数_バス貨物_CNG,係数_バス貨物_軽油,係数_バス貨物_メタノール,係数_バス貨物_LPG),MATCH(AY332,【参考】排出係数!$AI$4:$AI$671,1),1,BE332):INDEX((係数_バス貨物_ガソリン,係数_バス貨物_CNG,係数_バス貨物_軽油,係数_バス貨物_メタノール,係数_バス貨物_LPG),MATCH(AY332+1,【参考】排出係数!$AI$4:$AI$671,1)-1,5,BE332),5,FALSE)),IF(AND(BE332=3,LEFT(BF332,1)="1"),0.055,VLOOKUP(AU332,INDEX((係数_乗用_ガソリン,係数_乗用_CNG,係数_乗用_軽油,係数_乗用_メタノール,係数_乗用_LPG),1,1,BE332):INDEX((係数_乗用_ガソリン,係数_乗用_CNG,係数_乗用_軽油,係数_乗用_メタノール,係数_乗用_LPG),125,5,BE332),5,FALSE)))))</f>
        <v/>
      </c>
      <c r="AN332" s="461" t="str">
        <f t="shared" si="203"/>
        <v/>
      </c>
      <c r="AO332" s="462" t="str">
        <f t="shared" si="204"/>
        <v/>
      </c>
      <c r="AP332" s="463" t="str">
        <f t="shared" si="205"/>
        <v/>
      </c>
      <c r="AQ332" s="464"/>
      <c r="AR332" s="619"/>
      <c r="AS332" s="465" t="str">
        <f t="shared" si="184"/>
        <v/>
      </c>
      <c r="AT332" s="465" t="str">
        <f t="shared" si="185"/>
        <v/>
      </c>
      <c r="AU332" s="466" t="str">
        <f t="shared" si="186"/>
        <v/>
      </c>
      <c r="AV332" s="467" t="str">
        <f t="shared" si="187"/>
        <v/>
      </c>
      <c r="AW332" s="467" t="str">
        <f t="shared" si="188"/>
        <v/>
      </c>
      <c r="AX332" s="467" t="str">
        <f t="shared" si="189"/>
        <v/>
      </c>
      <c r="AY332" s="467" t="str">
        <f t="shared" si="190"/>
        <v/>
      </c>
      <c r="AZ332" s="467" t="str">
        <f t="shared" si="191"/>
        <v/>
      </c>
      <c r="BA332" s="468" t="str">
        <f>IF(AS332="","",IF(OR(AU332="",AU332="-"),"－",IF(OR(AZ332=8,AZ332=9),"",IF(OR(AW332=3,AW332=4,AW332=5,AW332=6),VLOOKUP(AU332,INDEX((係数_バス貨物_ガソリン,係数_バス貨物_CNG,係数_バス貨物_軽油,係数_バス貨物_メタノール,係数_バス貨物_LPG),MATCH(AY332,【参考】排出係数!$AI$4:$AI$671,1),1,BE332):INDEX((係数_バス貨物_ガソリン,係数_バス貨物_CNG,係数_バス貨物_軽油,係数_バス貨物_メタノール,係数_バス貨物_LPG),MATCH(AY332+1,【参考】排出係数!$AI$4:$AI$671,1)-1,5,BE332),2,FALSE),IF(OR(AW332=1,AW332=2),VLOOKUP(AU332,INDEX((係数_乗用_ガソリン,係数_乗用_CNG,係数_乗用_軽油,係数_乗用_メタノール,係数_乗用_LPG),1,1,BE332):INDEX((係数_乗用_ガソリン,係数_乗用_CNG,係数_乗用_軽油,係数_乗用_メタノール,係数_乗用_LPG),125,5,BE332),2,FALSE))))))</f>
        <v/>
      </c>
      <c r="BB332" s="468" t="str">
        <f>IF(T332="","",IF(OR(AU332="",AU332="-"),"－",IF(OR(AZ332=8,AZ332=9),"",IF(OR(AW332=3,AW332=4,AW332=5,AW332=6),VLOOKUP(AU332,INDEX((係数_バス貨物_ガソリン,係数_バス貨物_CNG,係数_バス貨物_軽油,係数_バス貨物_メタノール,係数_バス貨物_LPG),MATCH(AY332,【参考】排出係数!$AI$4:$AI$671,1),1,BE332):INDEX((係数_バス貨物_ガソリン,係数_バス貨物_CNG,係数_バス貨物_軽油,係数_バス貨物_メタノール,係数_バス貨物_LPG),MATCH(AY332+1,【参考】排出係数!$AI$4:$AI$671,1)-1,5,BE332),3,FALSE),IF(OR(AW332=1,AW332=2),VLOOKUP(AU332,INDEX((係数_乗用_ガソリン,係数_乗用_CNG,係数_乗用_軽油,係数_乗用_メタノール,係数_乗用_LPG),1,1,BE332):INDEX((係数_乗用_ガソリン,係数_乗用_CNG,係数_乗用_軽油,係数_乗用_メタノール,係数_乗用_LPG),125,5,BE332),3,FALSE))))))</f>
        <v/>
      </c>
      <c r="BC332" s="467" t="str">
        <f t="shared" si="192"/>
        <v/>
      </c>
      <c r="BD332" s="567" t="str">
        <f t="shared" si="193"/>
        <v/>
      </c>
      <c r="BE332" s="467" t="str">
        <f t="shared" si="194"/>
        <v/>
      </c>
      <c r="BF332" s="469" t="str">
        <f t="shared" ca="1" si="195"/>
        <v/>
      </c>
      <c r="BG332" s="469" t="str">
        <f t="shared" ca="1" si="196"/>
        <v/>
      </c>
      <c r="BH332" s="467" t="str">
        <f t="shared" si="197"/>
        <v/>
      </c>
      <c r="BI332" s="467" t="str">
        <f t="shared" ca="1" si="198"/>
        <v/>
      </c>
      <c r="BJ332" s="469" t="str">
        <f t="shared" si="199"/>
        <v/>
      </c>
      <c r="BK332" s="470" t="str">
        <f t="shared" si="179"/>
        <v/>
      </c>
      <c r="BL332" s="775" t="str">
        <f t="shared" si="200"/>
        <v/>
      </c>
      <c r="BM332" s="775" t="str">
        <f t="shared" si="201"/>
        <v/>
      </c>
    </row>
    <row r="333" spans="1:65">
      <c r="A333" s="473">
        <v>277</v>
      </c>
      <c r="B333" s="132"/>
      <c r="C333" s="332"/>
      <c r="D333" s="333"/>
      <c r="E333" s="333"/>
      <c r="F333" s="334"/>
      <c r="G333" s="337"/>
      <c r="H333" s="131"/>
      <c r="I333" s="337"/>
      <c r="J333" s="131"/>
      <c r="K333" s="458" t="str">
        <f t="shared" si="168"/>
        <v/>
      </c>
      <c r="L333" s="458">
        <f t="shared" si="180"/>
        <v>0</v>
      </c>
      <c r="M333" s="458">
        <f t="shared" si="181"/>
        <v>0</v>
      </c>
      <c r="N333" s="459" t="str">
        <f t="shared" si="169"/>
        <v/>
      </c>
      <c r="O333" s="459" t="str">
        <f t="shared" si="170"/>
        <v/>
      </c>
      <c r="P333" s="459" t="str">
        <f t="shared" si="171"/>
        <v/>
      </c>
      <c r="Q333" s="459" t="str">
        <f t="shared" si="172"/>
        <v/>
      </c>
      <c r="R333" s="459" t="str">
        <f t="shared" si="173"/>
        <v/>
      </c>
      <c r="S333" s="459" t="str">
        <f t="shared" si="174"/>
        <v/>
      </c>
      <c r="T333" s="566" t="str">
        <f t="shared" si="182"/>
        <v/>
      </c>
      <c r="U333" s="702"/>
      <c r="V333" s="132"/>
      <c r="W333" s="133"/>
      <c r="X333" s="134"/>
      <c r="Y333" s="135"/>
      <c r="Z333" s="137"/>
      <c r="AA333" s="136"/>
      <c r="AB333" s="566" t="str">
        <f t="shared" si="175"/>
        <v/>
      </c>
      <c r="AC333" s="568" t="str">
        <f t="shared" si="183"/>
        <v/>
      </c>
      <c r="AD333" s="137"/>
      <c r="AE333" s="137"/>
      <c r="AF333" s="138"/>
      <c r="AG333" s="138"/>
      <c r="AH333" s="592" t="str">
        <f t="shared" si="176"/>
        <v/>
      </c>
      <c r="AI333" s="592" t="str">
        <f t="shared" si="177"/>
        <v/>
      </c>
      <c r="AJ333" s="592" t="str">
        <f t="shared" si="178"/>
        <v/>
      </c>
      <c r="AK333" s="460" t="str">
        <f>IF(AU333="","",IF(OR(AZ333=8,AZ333=9),0,IF(OR(AW333=3,AW333=4,AW333=5,AW333=6),IF(LEFT(BF333,1)="1",INDEX(係数_NOX・PM低減,MATCH(AY333,【参考】排出係数!$AI$801:$AI$804,1),1),VLOOKUP(AU333,INDEX((係数_バス貨物_ガソリン,係数_バス貨物_CNG,係数_バス貨物_軽油,係数_バス貨物_メタノール,係数_バス貨物_LPG),MATCH(AY333,【参考】排出係数!$AI$4:$AI$671,1),1,BE333):INDEX((係数_バス貨物_ガソリン,係数_バス貨物_CNG,係数_バス貨物_軽油,係数_バス貨物_メタノール,係数_バス貨物_LPG),MATCH(AY333+1,【参考】排出係数!$AI$4:$AI$671,1)-1,5,BE333),4,FALSE)),IF(AND(BE333=3,LEFT(BF333,1)="1"),0.48,VLOOKUP(AU333,INDEX((係数_乗用_ガソリン,係数_乗用_CNG,係数_乗用_軽油,係数_乗用_メタノール,係数_乗用_LPG),1,1,BE333):INDEX((係数_乗用_ガソリン,係数_乗用_CNG,係数_乗用_軽油,係数_乗用_メタノール,係数_乗用_LPG),125,5,BE333),4,FALSE)))))</f>
        <v/>
      </c>
      <c r="AL333" s="461" t="str">
        <f t="shared" si="202"/>
        <v/>
      </c>
      <c r="AM333" s="460" t="str">
        <f>IF(AU333="","",IF(OR(AZ333=8,AZ333=9),0,IF(OR(AW333=3,AW333=4,AW333=5,AW333=6),IF(LEFT(BH333,1)="1",INDEX(係数_PM低減,MATCH(AY333,【参考】排出係数!$AI$801:$AI$804,1),MATCH(BI333,【参考】排出係数!$AL$798:$AO$798,1)),VLOOKUP(AU333,INDEX((係数_バス貨物_ガソリン,係数_バス貨物_CNG,係数_バス貨物_軽油,係数_バス貨物_メタノール,係数_バス貨物_LPG),MATCH(AY333,【参考】排出係数!$AI$4:$AI$671,1),1,BE333):INDEX((係数_バス貨物_ガソリン,係数_バス貨物_CNG,係数_バス貨物_軽油,係数_バス貨物_メタノール,係数_バス貨物_LPG),MATCH(AY333+1,【参考】排出係数!$AI$4:$AI$671,1)-1,5,BE333),5,FALSE)),IF(AND(BE333=3,LEFT(BF333,1)="1"),0.055,VLOOKUP(AU333,INDEX((係数_乗用_ガソリン,係数_乗用_CNG,係数_乗用_軽油,係数_乗用_メタノール,係数_乗用_LPG),1,1,BE333):INDEX((係数_乗用_ガソリン,係数_乗用_CNG,係数_乗用_軽油,係数_乗用_メタノール,係数_乗用_LPG),125,5,BE333),5,FALSE)))))</f>
        <v/>
      </c>
      <c r="AN333" s="461" t="str">
        <f t="shared" si="203"/>
        <v/>
      </c>
      <c r="AO333" s="462" t="str">
        <f t="shared" si="204"/>
        <v/>
      </c>
      <c r="AP333" s="463" t="str">
        <f t="shared" si="205"/>
        <v/>
      </c>
      <c r="AQ333" s="464"/>
      <c r="AR333" s="619"/>
      <c r="AS333" s="465" t="str">
        <f t="shared" si="184"/>
        <v/>
      </c>
      <c r="AT333" s="465" t="str">
        <f t="shared" si="185"/>
        <v/>
      </c>
      <c r="AU333" s="466" t="str">
        <f t="shared" si="186"/>
        <v/>
      </c>
      <c r="AV333" s="467" t="str">
        <f t="shared" si="187"/>
        <v/>
      </c>
      <c r="AW333" s="467" t="str">
        <f t="shared" si="188"/>
        <v/>
      </c>
      <c r="AX333" s="467" t="str">
        <f t="shared" si="189"/>
        <v/>
      </c>
      <c r="AY333" s="467" t="str">
        <f t="shared" si="190"/>
        <v/>
      </c>
      <c r="AZ333" s="467" t="str">
        <f t="shared" si="191"/>
        <v/>
      </c>
      <c r="BA333" s="468" t="str">
        <f>IF(AS333="","",IF(OR(AU333="",AU333="-"),"－",IF(OR(AZ333=8,AZ333=9),"",IF(OR(AW333=3,AW333=4,AW333=5,AW333=6),VLOOKUP(AU333,INDEX((係数_バス貨物_ガソリン,係数_バス貨物_CNG,係数_バス貨物_軽油,係数_バス貨物_メタノール,係数_バス貨物_LPG),MATCH(AY333,【参考】排出係数!$AI$4:$AI$671,1),1,BE333):INDEX((係数_バス貨物_ガソリン,係数_バス貨物_CNG,係数_バス貨物_軽油,係数_バス貨物_メタノール,係数_バス貨物_LPG),MATCH(AY333+1,【参考】排出係数!$AI$4:$AI$671,1)-1,5,BE333),2,FALSE),IF(OR(AW333=1,AW333=2),VLOOKUP(AU333,INDEX((係数_乗用_ガソリン,係数_乗用_CNG,係数_乗用_軽油,係数_乗用_メタノール,係数_乗用_LPG),1,1,BE333):INDEX((係数_乗用_ガソリン,係数_乗用_CNG,係数_乗用_軽油,係数_乗用_メタノール,係数_乗用_LPG),125,5,BE333),2,FALSE))))))</f>
        <v/>
      </c>
      <c r="BB333" s="468" t="str">
        <f>IF(T333="","",IF(OR(AU333="",AU333="-"),"－",IF(OR(AZ333=8,AZ333=9),"",IF(OR(AW333=3,AW333=4,AW333=5,AW333=6),VLOOKUP(AU333,INDEX((係数_バス貨物_ガソリン,係数_バス貨物_CNG,係数_バス貨物_軽油,係数_バス貨物_メタノール,係数_バス貨物_LPG),MATCH(AY333,【参考】排出係数!$AI$4:$AI$671,1),1,BE333):INDEX((係数_バス貨物_ガソリン,係数_バス貨物_CNG,係数_バス貨物_軽油,係数_バス貨物_メタノール,係数_バス貨物_LPG),MATCH(AY333+1,【参考】排出係数!$AI$4:$AI$671,1)-1,5,BE333),3,FALSE),IF(OR(AW333=1,AW333=2),VLOOKUP(AU333,INDEX((係数_乗用_ガソリン,係数_乗用_CNG,係数_乗用_軽油,係数_乗用_メタノール,係数_乗用_LPG),1,1,BE333):INDEX((係数_乗用_ガソリン,係数_乗用_CNG,係数_乗用_軽油,係数_乗用_メタノール,係数_乗用_LPG),125,5,BE333),3,FALSE))))))</f>
        <v/>
      </c>
      <c r="BC333" s="467" t="str">
        <f t="shared" si="192"/>
        <v/>
      </c>
      <c r="BD333" s="567" t="str">
        <f t="shared" si="193"/>
        <v/>
      </c>
      <c r="BE333" s="467" t="str">
        <f t="shared" si="194"/>
        <v/>
      </c>
      <c r="BF333" s="469" t="str">
        <f t="shared" ca="1" si="195"/>
        <v/>
      </c>
      <c r="BG333" s="469" t="str">
        <f t="shared" ca="1" si="196"/>
        <v/>
      </c>
      <c r="BH333" s="467" t="str">
        <f t="shared" si="197"/>
        <v/>
      </c>
      <c r="BI333" s="467" t="str">
        <f t="shared" ca="1" si="198"/>
        <v/>
      </c>
      <c r="BJ333" s="469" t="str">
        <f t="shared" si="199"/>
        <v/>
      </c>
      <c r="BK333" s="470" t="str">
        <f t="shared" si="179"/>
        <v/>
      </c>
      <c r="BL333" s="775" t="str">
        <f t="shared" si="200"/>
        <v/>
      </c>
      <c r="BM333" s="775" t="str">
        <f t="shared" si="201"/>
        <v/>
      </c>
    </row>
    <row r="334" spans="1:65">
      <c r="A334" s="473">
        <v>278</v>
      </c>
      <c r="B334" s="132"/>
      <c r="C334" s="332"/>
      <c r="D334" s="333"/>
      <c r="E334" s="333"/>
      <c r="F334" s="334"/>
      <c r="G334" s="337"/>
      <c r="H334" s="131"/>
      <c r="I334" s="337"/>
      <c r="J334" s="131"/>
      <c r="K334" s="458" t="str">
        <f t="shared" si="168"/>
        <v/>
      </c>
      <c r="L334" s="458">
        <f t="shared" si="180"/>
        <v>0</v>
      </c>
      <c r="M334" s="458">
        <f t="shared" si="181"/>
        <v>0</v>
      </c>
      <c r="N334" s="459" t="str">
        <f t="shared" si="169"/>
        <v/>
      </c>
      <c r="O334" s="459" t="str">
        <f t="shared" si="170"/>
        <v/>
      </c>
      <c r="P334" s="459" t="str">
        <f t="shared" si="171"/>
        <v/>
      </c>
      <c r="Q334" s="459" t="str">
        <f t="shared" si="172"/>
        <v/>
      </c>
      <c r="R334" s="459" t="str">
        <f t="shared" si="173"/>
        <v/>
      </c>
      <c r="S334" s="459" t="str">
        <f t="shared" si="174"/>
        <v/>
      </c>
      <c r="T334" s="566" t="str">
        <f t="shared" si="182"/>
        <v/>
      </c>
      <c r="U334" s="702"/>
      <c r="V334" s="132"/>
      <c r="W334" s="133"/>
      <c r="X334" s="134"/>
      <c r="Y334" s="135"/>
      <c r="Z334" s="137"/>
      <c r="AA334" s="136"/>
      <c r="AB334" s="566" t="str">
        <f t="shared" si="175"/>
        <v/>
      </c>
      <c r="AC334" s="568" t="str">
        <f t="shared" si="183"/>
        <v/>
      </c>
      <c r="AD334" s="137"/>
      <c r="AE334" s="137"/>
      <c r="AF334" s="138"/>
      <c r="AG334" s="138"/>
      <c r="AH334" s="592" t="str">
        <f t="shared" si="176"/>
        <v/>
      </c>
      <c r="AI334" s="592" t="str">
        <f t="shared" si="177"/>
        <v/>
      </c>
      <c r="AJ334" s="592" t="str">
        <f t="shared" si="178"/>
        <v/>
      </c>
      <c r="AK334" s="460" t="str">
        <f>IF(AU334="","",IF(OR(AZ334=8,AZ334=9),0,IF(OR(AW334=3,AW334=4,AW334=5,AW334=6),IF(LEFT(BF334,1)="1",INDEX(係数_NOX・PM低減,MATCH(AY334,【参考】排出係数!$AI$801:$AI$804,1),1),VLOOKUP(AU334,INDEX((係数_バス貨物_ガソリン,係数_バス貨物_CNG,係数_バス貨物_軽油,係数_バス貨物_メタノール,係数_バス貨物_LPG),MATCH(AY334,【参考】排出係数!$AI$4:$AI$671,1),1,BE334):INDEX((係数_バス貨物_ガソリン,係数_バス貨物_CNG,係数_バス貨物_軽油,係数_バス貨物_メタノール,係数_バス貨物_LPG),MATCH(AY334+1,【参考】排出係数!$AI$4:$AI$671,1)-1,5,BE334),4,FALSE)),IF(AND(BE334=3,LEFT(BF334,1)="1"),0.48,VLOOKUP(AU334,INDEX((係数_乗用_ガソリン,係数_乗用_CNG,係数_乗用_軽油,係数_乗用_メタノール,係数_乗用_LPG),1,1,BE334):INDEX((係数_乗用_ガソリン,係数_乗用_CNG,係数_乗用_軽油,係数_乗用_メタノール,係数_乗用_LPG),125,5,BE334),4,FALSE)))))</f>
        <v/>
      </c>
      <c r="AL334" s="461" t="str">
        <f t="shared" si="202"/>
        <v/>
      </c>
      <c r="AM334" s="460" t="str">
        <f>IF(AU334="","",IF(OR(AZ334=8,AZ334=9),0,IF(OR(AW334=3,AW334=4,AW334=5,AW334=6),IF(LEFT(BH334,1)="1",INDEX(係数_PM低減,MATCH(AY334,【参考】排出係数!$AI$801:$AI$804,1),MATCH(BI334,【参考】排出係数!$AL$798:$AO$798,1)),VLOOKUP(AU334,INDEX((係数_バス貨物_ガソリン,係数_バス貨物_CNG,係数_バス貨物_軽油,係数_バス貨物_メタノール,係数_バス貨物_LPG),MATCH(AY334,【参考】排出係数!$AI$4:$AI$671,1),1,BE334):INDEX((係数_バス貨物_ガソリン,係数_バス貨物_CNG,係数_バス貨物_軽油,係数_バス貨物_メタノール,係数_バス貨物_LPG),MATCH(AY334+1,【参考】排出係数!$AI$4:$AI$671,1)-1,5,BE334),5,FALSE)),IF(AND(BE334=3,LEFT(BF334,1)="1"),0.055,VLOOKUP(AU334,INDEX((係数_乗用_ガソリン,係数_乗用_CNG,係数_乗用_軽油,係数_乗用_メタノール,係数_乗用_LPG),1,1,BE334):INDEX((係数_乗用_ガソリン,係数_乗用_CNG,係数_乗用_軽油,係数_乗用_メタノール,係数_乗用_LPG),125,5,BE334),5,FALSE)))))</f>
        <v/>
      </c>
      <c r="AN334" s="461" t="str">
        <f t="shared" si="203"/>
        <v/>
      </c>
      <c r="AO334" s="462" t="str">
        <f t="shared" si="204"/>
        <v/>
      </c>
      <c r="AP334" s="463" t="str">
        <f t="shared" si="205"/>
        <v/>
      </c>
      <c r="AQ334" s="464"/>
      <c r="AR334" s="619"/>
      <c r="AS334" s="465" t="str">
        <f t="shared" si="184"/>
        <v/>
      </c>
      <c r="AT334" s="465" t="str">
        <f t="shared" si="185"/>
        <v/>
      </c>
      <c r="AU334" s="466" t="str">
        <f t="shared" si="186"/>
        <v/>
      </c>
      <c r="AV334" s="467" t="str">
        <f t="shared" si="187"/>
        <v/>
      </c>
      <c r="AW334" s="467" t="str">
        <f t="shared" si="188"/>
        <v/>
      </c>
      <c r="AX334" s="467" t="str">
        <f t="shared" si="189"/>
        <v/>
      </c>
      <c r="AY334" s="467" t="str">
        <f t="shared" si="190"/>
        <v/>
      </c>
      <c r="AZ334" s="467" t="str">
        <f t="shared" si="191"/>
        <v/>
      </c>
      <c r="BA334" s="468" t="str">
        <f>IF(AS334="","",IF(OR(AU334="",AU334="-"),"－",IF(OR(AZ334=8,AZ334=9),"",IF(OR(AW334=3,AW334=4,AW334=5,AW334=6),VLOOKUP(AU334,INDEX((係数_バス貨物_ガソリン,係数_バス貨物_CNG,係数_バス貨物_軽油,係数_バス貨物_メタノール,係数_バス貨物_LPG),MATCH(AY334,【参考】排出係数!$AI$4:$AI$671,1),1,BE334):INDEX((係数_バス貨物_ガソリン,係数_バス貨物_CNG,係数_バス貨物_軽油,係数_バス貨物_メタノール,係数_バス貨物_LPG),MATCH(AY334+1,【参考】排出係数!$AI$4:$AI$671,1)-1,5,BE334),2,FALSE),IF(OR(AW334=1,AW334=2),VLOOKUP(AU334,INDEX((係数_乗用_ガソリン,係数_乗用_CNG,係数_乗用_軽油,係数_乗用_メタノール,係数_乗用_LPG),1,1,BE334):INDEX((係数_乗用_ガソリン,係数_乗用_CNG,係数_乗用_軽油,係数_乗用_メタノール,係数_乗用_LPG),125,5,BE334),2,FALSE))))))</f>
        <v/>
      </c>
      <c r="BB334" s="468" t="str">
        <f>IF(T334="","",IF(OR(AU334="",AU334="-"),"－",IF(OR(AZ334=8,AZ334=9),"",IF(OR(AW334=3,AW334=4,AW334=5,AW334=6),VLOOKUP(AU334,INDEX((係数_バス貨物_ガソリン,係数_バス貨物_CNG,係数_バス貨物_軽油,係数_バス貨物_メタノール,係数_バス貨物_LPG),MATCH(AY334,【参考】排出係数!$AI$4:$AI$671,1),1,BE334):INDEX((係数_バス貨物_ガソリン,係数_バス貨物_CNG,係数_バス貨物_軽油,係数_バス貨物_メタノール,係数_バス貨物_LPG),MATCH(AY334+1,【参考】排出係数!$AI$4:$AI$671,1)-1,5,BE334),3,FALSE),IF(OR(AW334=1,AW334=2),VLOOKUP(AU334,INDEX((係数_乗用_ガソリン,係数_乗用_CNG,係数_乗用_軽油,係数_乗用_メタノール,係数_乗用_LPG),1,1,BE334):INDEX((係数_乗用_ガソリン,係数_乗用_CNG,係数_乗用_軽油,係数_乗用_メタノール,係数_乗用_LPG),125,5,BE334),3,FALSE))))))</f>
        <v/>
      </c>
      <c r="BC334" s="467" t="str">
        <f t="shared" si="192"/>
        <v/>
      </c>
      <c r="BD334" s="567" t="str">
        <f t="shared" si="193"/>
        <v/>
      </c>
      <c r="BE334" s="467" t="str">
        <f t="shared" si="194"/>
        <v/>
      </c>
      <c r="BF334" s="469" t="str">
        <f t="shared" ca="1" si="195"/>
        <v/>
      </c>
      <c r="BG334" s="469" t="str">
        <f t="shared" ca="1" si="196"/>
        <v/>
      </c>
      <c r="BH334" s="467" t="str">
        <f t="shared" si="197"/>
        <v/>
      </c>
      <c r="BI334" s="467" t="str">
        <f t="shared" ca="1" si="198"/>
        <v/>
      </c>
      <c r="BJ334" s="469" t="str">
        <f t="shared" si="199"/>
        <v/>
      </c>
      <c r="BK334" s="470" t="str">
        <f t="shared" si="179"/>
        <v/>
      </c>
      <c r="BL334" s="775" t="str">
        <f t="shared" si="200"/>
        <v/>
      </c>
      <c r="BM334" s="775" t="str">
        <f t="shared" si="201"/>
        <v/>
      </c>
    </row>
    <row r="335" spans="1:65">
      <c r="A335" s="473">
        <v>279</v>
      </c>
      <c r="B335" s="132"/>
      <c r="C335" s="332"/>
      <c r="D335" s="333"/>
      <c r="E335" s="333"/>
      <c r="F335" s="334"/>
      <c r="G335" s="337"/>
      <c r="H335" s="131"/>
      <c r="I335" s="337"/>
      <c r="J335" s="131"/>
      <c r="K335" s="458" t="str">
        <f t="shared" si="168"/>
        <v/>
      </c>
      <c r="L335" s="458">
        <f t="shared" si="180"/>
        <v>0</v>
      </c>
      <c r="M335" s="458">
        <f t="shared" si="181"/>
        <v>0</v>
      </c>
      <c r="N335" s="459" t="str">
        <f t="shared" si="169"/>
        <v/>
      </c>
      <c r="O335" s="459" t="str">
        <f t="shared" si="170"/>
        <v/>
      </c>
      <c r="P335" s="459" t="str">
        <f t="shared" si="171"/>
        <v/>
      </c>
      <c r="Q335" s="459" t="str">
        <f t="shared" si="172"/>
        <v/>
      </c>
      <c r="R335" s="459" t="str">
        <f t="shared" si="173"/>
        <v/>
      </c>
      <c r="S335" s="459" t="str">
        <f t="shared" si="174"/>
        <v/>
      </c>
      <c r="T335" s="566" t="str">
        <f t="shared" si="182"/>
        <v/>
      </c>
      <c r="U335" s="702"/>
      <c r="V335" s="132"/>
      <c r="W335" s="133"/>
      <c r="X335" s="134"/>
      <c r="Y335" s="135"/>
      <c r="Z335" s="137"/>
      <c r="AA335" s="136"/>
      <c r="AB335" s="566" t="str">
        <f t="shared" si="175"/>
        <v/>
      </c>
      <c r="AC335" s="568" t="str">
        <f t="shared" si="183"/>
        <v/>
      </c>
      <c r="AD335" s="137"/>
      <c r="AE335" s="137"/>
      <c r="AF335" s="138"/>
      <c r="AG335" s="138"/>
      <c r="AH335" s="592" t="str">
        <f t="shared" si="176"/>
        <v/>
      </c>
      <c r="AI335" s="592" t="str">
        <f t="shared" si="177"/>
        <v/>
      </c>
      <c r="AJ335" s="592" t="str">
        <f t="shared" si="178"/>
        <v/>
      </c>
      <c r="AK335" s="460" t="str">
        <f>IF(AU335="","",IF(OR(AZ335=8,AZ335=9),0,IF(OR(AW335=3,AW335=4,AW335=5,AW335=6),IF(LEFT(BF335,1)="1",INDEX(係数_NOX・PM低減,MATCH(AY335,【参考】排出係数!$AI$801:$AI$804,1),1),VLOOKUP(AU335,INDEX((係数_バス貨物_ガソリン,係数_バス貨物_CNG,係数_バス貨物_軽油,係数_バス貨物_メタノール,係数_バス貨物_LPG),MATCH(AY335,【参考】排出係数!$AI$4:$AI$671,1),1,BE335):INDEX((係数_バス貨物_ガソリン,係数_バス貨物_CNG,係数_バス貨物_軽油,係数_バス貨物_メタノール,係数_バス貨物_LPG),MATCH(AY335+1,【参考】排出係数!$AI$4:$AI$671,1)-1,5,BE335),4,FALSE)),IF(AND(BE335=3,LEFT(BF335,1)="1"),0.48,VLOOKUP(AU335,INDEX((係数_乗用_ガソリン,係数_乗用_CNG,係数_乗用_軽油,係数_乗用_メタノール,係数_乗用_LPG),1,1,BE335):INDEX((係数_乗用_ガソリン,係数_乗用_CNG,係数_乗用_軽油,係数_乗用_メタノール,係数_乗用_LPG),125,5,BE335),4,FALSE)))))</f>
        <v/>
      </c>
      <c r="AL335" s="461" t="str">
        <f t="shared" si="202"/>
        <v/>
      </c>
      <c r="AM335" s="460" t="str">
        <f>IF(AU335="","",IF(OR(AZ335=8,AZ335=9),0,IF(OR(AW335=3,AW335=4,AW335=5,AW335=6),IF(LEFT(BH335,1)="1",INDEX(係数_PM低減,MATCH(AY335,【参考】排出係数!$AI$801:$AI$804,1),MATCH(BI335,【参考】排出係数!$AL$798:$AO$798,1)),VLOOKUP(AU335,INDEX((係数_バス貨物_ガソリン,係数_バス貨物_CNG,係数_バス貨物_軽油,係数_バス貨物_メタノール,係数_バス貨物_LPG),MATCH(AY335,【参考】排出係数!$AI$4:$AI$671,1),1,BE335):INDEX((係数_バス貨物_ガソリン,係数_バス貨物_CNG,係数_バス貨物_軽油,係数_バス貨物_メタノール,係数_バス貨物_LPG),MATCH(AY335+1,【参考】排出係数!$AI$4:$AI$671,1)-1,5,BE335),5,FALSE)),IF(AND(BE335=3,LEFT(BF335,1)="1"),0.055,VLOOKUP(AU335,INDEX((係数_乗用_ガソリン,係数_乗用_CNG,係数_乗用_軽油,係数_乗用_メタノール,係数_乗用_LPG),1,1,BE335):INDEX((係数_乗用_ガソリン,係数_乗用_CNG,係数_乗用_軽油,係数_乗用_メタノール,係数_乗用_LPG),125,5,BE335),5,FALSE)))))</f>
        <v/>
      </c>
      <c r="AN335" s="461" t="str">
        <f t="shared" si="203"/>
        <v/>
      </c>
      <c r="AO335" s="462" t="str">
        <f t="shared" si="204"/>
        <v/>
      </c>
      <c r="AP335" s="463" t="str">
        <f t="shared" si="205"/>
        <v/>
      </c>
      <c r="AQ335" s="464"/>
      <c r="AR335" s="619"/>
      <c r="AS335" s="465" t="str">
        <f t="shared" si="184"/>
        <v/>
      </c>
      <c r="AT335" s="465" t="str">
        <f t="shared" si="185"/>
        <v/>
      </c>
      <c r="AU335" s="466" t="str">
        <f t="shared" si="186"/>
        <v/>
      </c>
      <c r="AV335" s="467" t="str">
        <f t="shared" si="187"/>
        <v/>
      </c>
      <c r="AW335" s="467" t="str">
        <f t="shared" si="188"/>
        <v/>
      </c>
      <c r="AX335" s="467" t="str">
        <f t="shared" si="189"/>
        <v/>
      </c>
      <c r="AY335" s="467" t="str">
        <f t="shared" si="190"/>
        <v/>
      </c>
      <c r="AZ335" s="467" t="str">
        <f t="shared" si="191"/>
        <v/>
      </c>
      <c r="BA335" s="468" t="str">
        <f>IF(AS335="","",IF(OR(AU335="",AU335="-"),"－",IF(OR(AZ335=8,AZ335=9),"",IF(OR(AW335=3,AW335=4,AW335=5,AW335=6),VLOOKUP(AU335,INDEX((係数_バス貨物_ガソリン,係数_バス貨物_CNG,係数_バス貨物_軽油,係数_バス貨物_メタノール,係数_バス貨物_LPG),MATCH(AY335,【参考】排出係数!$AI$4:$AI$671,1),1,BE335):INDEX((係数_バス貨物_ガソリン,係数_バス貨物_CNG,係数_バス貨物_軽油,係数_バス貨物_メタノール,係数_バス貨物_LPG),MATCH(AY335+1,【参考】排出係数!$AI$4:$AI$671,1)-1,5,BE335),2,FALSE),IF(OR(AW335=1,AW335=2),VLOOKUP(AU335,INDEX((係数_乗用_ガソリン,係数_乗用_CNG,係数_乗用_軽油,係数_乗用_メタノール,係数_乗用_LPG),1,1,BE335):INDEX((係数_乗用_ガソリン,係数_乗用_CNG,係数_乗用_軽油,係数_乗用_メタノール,係数_乗用_LPG),125,5,BE335),2,FALSE))))))</f>
        <v/>
      </c>
      <c r="BB335" s="468" t="str">
        <f>IF(T335="","",IF(OR(AU335="",AU335="-"),"－",IF(OR(AZ335=8,AZ335=9),"",IF(OR(AW335=3,AW335=4,AW335=5,AW335=6),VLOOKUP(AU335,INDEX((係数_バス貨物_ガソリン,係数_バス貨物_CNG,係数_バス貨物_軽油,係数_バス貨物_メタノール,係数_バス貨物_LPG),MATCH(AY335,【参考】排出係数!$AI$4:$AI$671,1),1,BE335):INDEX((係数_バス貨物_ガソリン,係数_バス貨物_CNG,係数_バス貨物_軽油,係数_バス貨物_メタノール,係数_バス貨物_LPG),MATCH(AY335+1,【参考】排出係数!$AI$4:$AI$671,1)-1,5,BE335),3,FALSE),IF(OR(AW335=1,AW335=2),VLOOKUP(AU335,INDEX((係数_乗用_ガソリン,係数_乗用_CNG,係数_乗用_軽油,係数_乗用_メタノール,係数_乗用_LPG),1,1,BE335):INDEX((係数_乗用_ガソリン,係数_乗用_CNG,係数_乗用_軽油,係数_乗用_メタノール,係数_乗用_LPG),125,5,BE335),3,FALSE))))))</f>
        <v/>
      </c>
      <c r="BC335" s="467" t="str">
        <f t="shared" si="192"/>
        <v/>
      </c>
      <c r="BD335" s="567" t="str">
        <f t="shared" si="193"/>
        <v/>
      </c>
      <c r="BE335" s="467" t="str">
        <f t="shared" si="194"/>
        <v/>
      </c>
      <c r="BF335" s="469" t="str">
        <f t="shared" ca="1" si="195"/>
        <v/>
      </c>
      <c r="BG335" s="469" t="str">
        <f t="shared" ca="1" si="196"/>
        <v/>
      </c>
      <c r="BH335" s="467" t="str">
        <f t="shared" si="197"/>
        <v/>
      </c>
      <c r="BI335" s="467" t="str">
        <f t="shared" ca="1" si="198"/>
        <v/>
      </c>
      <c r="BJ335" s="469" t="str">
        <f t="shared" si="199"/>
        <v/>
      </c>
      <c r="BK335" s="470" t="str">
        <f t="shared" si="179"/>
        <v/>
      </c>
      <c r="BL335" s="775" t="str">
        <f t="shared" si="200"/>
        <v/>
      </c>
      <c r="BM335" s="775" t="str">
        <f t="shared" si="201"/>
        <v/>
      </c>
    </row>
    <row r="336" spans="1:65">
      <c r="A336" s="473">
        <v>280</v>
      </c>
      <c r="B336" s="132"/>
      <c r="C336" s="332"/>
      <c r="D336" s="333"/>
      <c r="E336" s="333"/>
      <c r="F336" s="334"/>
      <c r="G336" s="337"/>
      <c r="H336" s="131"/>
      <c r="I336" s="337"/>
      <c r="J336" s="131"/>
      <c r="K336" s="458" t="str">
        <f t="shared" si="168"/>
        <v/>
      </c>
      <c r="L336" s="458">
        <f t="shared" si="180"/>
        <v>0</v>
      </c>
      <c r="M336" s="458">
        <f t="shared" si="181"/>
        <v>0</v>
      </c>
      <c r="N336" s="459" t="str">
        <f t="shared" si="169"/>
        <v/>
      </c>
      <c r="O336" s="459" t="str">
        <f t="shared" si="170"/>
        <v/>
      </c>
      <c r="P336" s="459" t="str">
        <f t="shared" si="171"/>
        <v/>
      </c>
      <c r="Q336" s="459" t="str">
        <f t="shared" si="172"/>
        <v/>
      </c>
      <c r="R336" s="459" t="str">
        <f t="shared" si="173"/>
        <v/>
      </c>
      <c r="S336" s="459" t="str">
        <f t="shared" si="174"/>
        <v/>
      </c>
      <c r="T336" s="566" t="str">
        <f t="shared" si="182"/>
        <v/>
      </c>
      <c r="U336" s="702"/>
      <c r="V336" s="132"/>
      <c r="W336" s="133"/>
      <c r="X336" s="134"/>
      <c r="Y336" s="135"/>
      <c r="Z336" s="137"/>
      <c r="AA336" s="136"/>
      <c r="AB336" s="566" t="str">
        <f t="shared" si="175"/>
        <v/>
      </c>
      <c r="AC336" s="568" t="str">
        <f t="shared" si="183"/>
        <v/>
      </c>
      <c r="AD336" s="137"/>
      <c r="AE336" s="137"/>
      <c r="AF336" s="138"/>
      <c r="AG336" s="138"/>
      <c r="AH336" s="592" t="str">
        <f t="shared" si="176"/>
        <v/>
      </c>
      <c r="AI336" s="592" t="str">
        <f t="shared" si="177"/>
        <v/>
      </c>
      <c r="AJ336" s="592" t="str">
        <f t="shared" si="178"/>
        <v/>
      </c>
      <c r="AK336" s="460" t="str">
        <f>IF(AU336="","",IF(OR(AZ336=8,AZ336=9),0,IF(OR(AW336=3,AW336=4,AW336=5,AW336=6),IF(LEFT(BF336,1)="1",INDEX(係数_NOX・PM低減,MATCH(AY336,【参考】排出係数!$AI$801:$AI$804,1),1),VLOOKUP(AU336,INDEX((係数_バス貨物_ガソリン,係数_バス貨物_CNG,係数_バス貨物_軽油,係数_バス貨物_メタノール,係数_バス貨物_LPG),MATCH(AY336,【参考】排出係数!$AI$4:$AI$671,1),1,BE336):INDEX((係数_バス貨物_ガソリン,係数_バス貨物_CNG,係数_バス貨物_軽油,係数_バス貨物_メタノール,係数_バス貨物_LPG),MATCH(AY336+1,【参考】排出係数!$AI$4:$AI$671,1)-1,5,BE336),4,FALSE)),IF(AND(BE336=3,LEFT(BF336,1)="1"),0.48,VLOOKUP(AU336,INDEX((係数_乗用_ガソリン,係数_乗用_CNG,係数_乗用_軽油,係数_乗用_メタノール,係数_乗用_LPG),1,1,BE336):INDEX((係数_乗用_ガソリン,係数_乗用_CNG,係数_乗用_軽油,係数_乗用_メタノール,係数_乗用_LPG),125,5,BE336),4,FALSE)))))</f>
        <v/>
      </c>
      <c r="AL336" s="461" t="str">
        <f t="shared" si="202"/>
        <v/>
      </c>
      <c r="AM336" s="460" t="str">
        <f>IF(AU336="","",IF(OR(AZ336=8,AZ336=9),0,IF(OR(AW336=3,AW336=4,AW336=5,AW336=6),IF(LEFT(BH336,1)="1",INDEX(係数_PM低減,MATCH(AY336,【参考】排出係数!$AI$801:$AI$804,1),MATCH(BI336,【参考】排出係数!$AL$798:$AO$798,1)),VLOOKUP(AU336,INDEX((係数_バス貨物_ガソリン,係数_バス貨物_CNG,係数_バス貨物_軽油,係数_バス貨物_メタノール,係数_バス貨物_LPG),MATCH(AY336,【参考】排出係数!$AI$4:$AI$671,1),1,BE336):INDEX((係数_バス貨物_ガソリン,係数_バス貨物_CNG,係数_バス貨物_軽油,係数_バス貨物_メタノール,係数_バス貨物_LPG),MATCH(AY336+1,【参考】排出係数!$AI$4:$AI$671,1)-1,5,BE336),5,FALSE)),IF(AND(BE336=3,LEFT(BF336,1)="1"),0.055,VLOOKUP(AU336,INDEX((係数_乗用_ガソリン,係数_乗用_CNG,係数_乗用_軽油,係数_乗用_メタノール,係数_乗用_LPG),1,1,BE336):INDEX((係数_乗用_ガソリン,係数_乗用_CNG,係数_乗用_軽油,係数_乗用_メタノール,係数_乗用_LPG),125,5,BE336),5,FALSE)))))</f>
        <v/>
      </c>
      <c r="AN336" s="461" t="str">
        <f t="shared" si="203"/>
        <v/>
      </c>
      <c r="AO336" s="462" t="str">
        <f t="shared" si="204"/>
        <v/>
      </c>
      <c r="AP336" s="463" t="str">
        <f t="shared" si="205"/>
        <v/>
      </c>
      <c r="AQ336" s="464"/>
      <c r="AR336" s="619"/>
      <c r="AS336" s="465" t="str">
        <f t="shared" si="184"/>
        <v/>
      </c>
      <c r="AT336" s="465" t="str">
        <f t="shared" si="185"/>
        <v/>
      </c>
      <c r="AU336" s="466" t="str">
        <f t="shared" si="186"/>
        <v/>
      </c>
      <c r="AV336" s="467" t="str">
        <f t="shared" si="187"/>
        <v/>
      </c>
      <c r="AW336" s="467" t="str">
        <f t="shared" si="188"/>
        <v/>
      </c>
      <c r="AX336" s="467" t="str">
        <f t="shared" si="189"/>
        <v/>
      </c>
      <c r="AY336" s="467" t="str">
        <f t="shared" si="190"/>
        <v/>
      </c>
      <c r="AZ336" s="467" t="str">
        <f t="shared" si="191"/>
        <v/>
      </c>
      <c r="BA336" s="468" t="str">
        <f>IF(AS336="","",IF(OR(AU336="",AU336="-"),"－",IF(OR(AZ336=8,AZ336=9),"",IF(OR(AW336=3,AW336=4,AW336=5,AW336=6),VLOOKUP(AU336,INDEX((係数_バス貨物_ガソリン,係数_バス貨物_CNG,係数_バス貨物_軽油,係数_バス貨物_メタノール,係数_バス貨物_LPG),MATCH(AY336,【参考】排出係数!$AI$4:$AI$671,1),1,BE336):INDEX((係数_バス貨物_ガソリン,係数_バス貨物_CNG,係数_バス貨物_軽油,係数_バス貨物_メタノール,係数_バス貨物_LPG),MATCH(AY336+1,【参考】排出係数!$AI$4:$AI$671,1)-1,5,BE336),2,FALSE),IF(OR(AW336=1,AW336=2),VLOOKUP(AU336,INDEX((係数_乗用_ガソリン,係数_乗用_CNG,係数_乗用_軽油,係数_乗用_メタノール,係数_乗用_LPG),1,1,BE336):INDEX((係数_乗用_ガソリン,係数_乗用_CNG,係数_乗用_軽油,係数_乗用_メタノール,係数_乗用_LPG),125,5,BE336),2,FALSE))))))</f>
        <v/>
      </c>
      <c r="BB336" s="468" t="str">
        <f>IF(T336="","",IF(OR(AU336="",AU336="-"),"－",IF(OR(AZ336=8,AZ336=9),"",IF(OR(AW336=3,AW336=4,AW336=5,AW336=6),VLOOKUP(AU336,INDEX((係数_バス貨物_ガソリン,係数_バス貨物_CNG,係数_バス貨物_軽油,係数_バス貨物_メタノール,係数_バス貨物_LPG),MATCH(AY336,【参考】排出係数!$AI$4:$AI$671,1),1,BE336):INDEX((係数_バス貨物_ガソリン,係数_バス貨物_CNG,係数_バス貨物_軽油,係数_バス貨物_メタノール,係数_バス貨物_LPG),MATCH(AY336+1,【参考】排出係数!$AI$4:$AI$671,1)-1,5,BE336),3,FALSE),IF(OR(AW336=1,AW336=2),VLOOKUP(AU336,INDEX((係数_乗用_ガソリン,係数_乗用_CNG,係数_乗用_軽油,係数_乗用_メタノール,係数_乗用_LPG),1,1,BE336):INDEX((係数_乗用_ガソリン,係数_乗用_CNG,係数_乗用_軽油,係数_乗用_メタノール,係数_乗用_LPG),125,5,BE336),3,FALSE))))))</f>
        <v/>
      </c>
      <c r="BC336" s="467" t="str">
        <f t="shared" si="192"/>
        <v/>
      </c>
      <c r="BD336" s="567" t="str">
        <f t="shared" si="193"/>
        <v/>
      </c>
      <c r="BE336" s="467" t="str">
        <f t="shared" si="194"/>
        <v/>
      </c>
      <c r="BF336" s="469" t="str">
        <f t="shared" ca="1" si="195"/>
        <v/>
      </c>
      <c r="BG336" s="469" t="str">
        <f t="shared" ca="1" si="196"/>
        <v/>
      </c>
      <c r="BH336" s="467" t="str">
        <f t="shared" si="197"/>
        <v/>
      </c>
      <c r="BI336" s="467" t="str">
        <f t="shared" ca="1" si="198"/>
        <v/>
      </c>
      <c r="BJ336" s="469" t="str">
        <f t="shared" si="199"/>
        <v/>
      </c>
      <c r="BK336" s="470" t="str">
        <f t="shared" si="179"/>
        <v/>
      </c>
      <c r="BL336" s="775" t="str">
        <f t="shared" si="200"/>
        <v/>
      </c>
      <c r="BM336" s="775" t="str">
        <f t="shared" si="201"/>
        <v/>
      </c>
    </row>
    <row r="337" spans="1:65">
      <c r="A337" s="473">
        <v>281</v>
      </c>
      <c r="B337" s="132"/>
      <c r="C337" s="332"/>
      <c r="D337" s="333"/>
      <c r="E337" s="333"/>
      <c r="F337" s="334"/>
      <c r="G337" s="337"/>
      <c r="H337" s="131"/>
      <c r="I337" s="337"/>
      <c r="J337" s="131"/>
      <c r="K337" s="458" t="str">
        <f t="shared" si="168"/>
        <v/>
      </c>
      <c r="L337" s="458">
        <f t="shared" si="180"/>
        <v>0</v>
      </c>
      <c r="M337" s="458">
        <f t="shared" si="181"/>
        <v>0</v>
      </c>
      <c r="N337" s="459" t="str">
        <f t="shared" si="169"/>
        <v/>
      </c>
      <c r="O337" s="459" t="str">
        <f t="shared" si="170"/>
        <v/>
      </c>
      <c r="P337" s="459" t="str">
        <f t="shared" si="171"/>
        <v/>
      </c>
      <c r="Q337" s="459" t="str">
        <f t="shared" si="172"/>
        <v/>
      </c>
      <c r="R337" s="459" t="str">
        <f t="shared" si="173"/>
        <v/>
      </c>
      <c r="S337" s="459" t="str">
        <f t="shared" si="174"/>
        <v/>
      </c>
      <c r="T337" s="566" t="str">
        <f t="shared" si="182"/>
        <v/>
      </c>
      <c r="U337" s="702"/>
      <c r="V337" s="132"/>
      <c r="W337" s="133"/>
      <c r="X337" s="134"/>
      <c r="Y337" s="135"/>
      <c r="Z337" s="137"/>
      <c r="AA337" s="136"/>
      <c r="AB337" s="566" t="str">
        <f t="shared" si="175"/>
        <v/>
      </c>
      <c r="AC337" s="568" t="str">
        <f t="shared" si="183"/>
        <v/>
      </c>
      <c r="AD337" s="137"/>
      <c r="AE337" s="137"/>
      <c r="AF337" s="138"/>
      <c r="AG337" s="138"/>
      <c r="AH337" s="592" t="str">
        <f t="shared" si="176"/>
        <v/>
      </c>
      <c r="AI337" s="592" t="str">
        <f t="shared" si="177"/>
        <v/>
      </c>
      <c r="AJ337" s="592" t="str">
        <f t="shared" si="178"/>
        <v/>
      </c>
      <c r="AK337" s="460" t="str">
        <f>IF(AU337="","",IF(OR(AZ337=8,AZ337=9),0,IF(OR(AW337=3,AW337=4,AW337=5,AW337=6),IF(LEFT(BF337,1)="1",INDEX(係数_NOX・PM低減,MATCH(AY337,【参考】排出係数!$AI$801:$AI$804,1),1),VLOOKUP(AU337,INDEX((係数_バス貨物_ガソリン,係数_バス貨物_CNG,係数_バス貨物_軽油,係数_バス貨物_メタノール,係数_バス貨物_LPG),MATCH(AY337,【参考】排出係数!$AI$4:$AI$671,1),1,BE337):INDEX((係数_バス貨物_ガソリン,係数_バス貨物_CNG,係数_バス貨物_軽油,係数_バス貨物_メタノール,係数_バス貨物_LPG),MATCH(AY337+1,【参考】排出係数!$AI$4:$AI$671,1)-1,5,BE337),4,FALSE)),IF(AND(BE337=3,LEFT(BF337,1)="1"),0.48,VLOOKUP(AU337,INDEX((係数_乗用_ガソリン,係数_乗用_CNG,係数_乗用_軽油,係数_乗用_メタノール,係数_乗用_LPG),1,1,BE337):INDEX((係数_乗用_ガソリン,係数_乗用_CNG,係数_乗用_軽油,係数_乗用_メタノール,係数_乗用_LPG),125,5,BE337),4,FALSE)))))</f>
        <v/>
      </c>
      <c r="AL337" s="461" t="str">
        <f t="shared" si="202"/>
        <v/>
      </c>
      <c r="AM337" s="460" t="str">
        <f>IF(AU337="","",IF(OR(AZ337=8,AZ337=9),0,IF(OR(AW337=3,AW337=4,AW337=5,AW337=6),IF(LEFT(BH337,1)="1",INDEX(係数_PM低減,MATCH(AY337,【参考】排出係数!$AI$801:$AI$804,1),MATCH(BI337,【参考】排出係数!$AL$798:$AO$798,1)),VLOOKUP(AU337,INDEX((係数_バス貨物_ガソリン,係数_バス貨物_CNG,係数_バス貨物_軽油,係数_バス貨物_メタノール,係数_バス貨物_LPG),MATCH(AY337,【参考】排出係数!$AI$4:$AI$671,1),1,BE337):INDEX((係数_バス貨物_ガソリン,係数_バス貨物_CNG,係数_バス貨物_軽油,係数_バス貨物_メタノール,係数_バス貨物_LPG),MATCH(AY337+1,【参考】排出係数!$AI$4:$AI$671,1)-1,5,BE337),5,FALSE)),IF(AND(BE337=3,LEFT(BF337,1)="1"),0.055,VLOOKUP(AU337,INDEX((係数_乗用_ガソリン,係数_乗用_CNG,係数_乗用_軽油,係数_乗用_メタノール,係数_乗用_LPG),1,1,BE337):INDEX((係数_乗用_ガソリン,係数_乗用_CNG,係数_乗用_軽油,係数_乗用_メタノール,係数_乗用_LPG),125,5,BE337),5,FALSE)))))</f>
        <v/>
      </c>
      <c r="AN337" s="461" t="str">
        <f t="shared" si="203"/>
        <v/>
      </c>
      <c r="AO337" s="462" t="str">
        <f t="shared" si="204"/>
        <v/>
      </c>
      <c r="AP337" s="463" t="str">
        <f t="shared" si="205"/>
        <v/>
      </c>
      <c r="AQ337" s="464"/>
      <c r="AR337" s="619"/>
      <c r="AS337" s="465" t="str">
        <f t="shared" si="184"/>
        <v/>
      </c>
      <c r="AT337" s="465" t="str">
        <f t="shared" si="185"/>
        <v/>
      </c>
      <c r="AU337" s="466" t="str">
        <f t="shared" si="186"/>
        <v/>
      </c>
      <c r="AV337" s="467" t="str">
        <f t="shared" si="187"/>
        <v/>
      </c>
      <c r="AW337" s="467" t="str">
        <f t="shared" si="188"/>
        <v/>
      </c>
      <c r="AX337" s="467" t="str">
        <f t="shared" si="189"/>
        <v/>
      </c>
      <c r="AY337" s="467" t="str">
        <f t="shared" si="190"/>
        <v/>
      </c>
      <c r="AZ337" s="467" t="str">
        <f t="shared" si="191"/>
        <v/>
      </c>
      <c r="BA337" s="468" t="str">
        <f>IF(AS337="","",IF(OR(AU337="",AU337="-"),"－",IF(OR(AZ337=8,AZ337=9),"",IF(OR(AW337=3,AW337=4,AW337=5,AW337=6),VLOOKUP(AU337,INDEX((係数_バス貨物_ガソリン,係数_バス貨物_CNG,係数_バス貨物_軽油,係数_バス貨物_メタノール,係数_バス貨物_LPG),MATCH(AY337,【参考】排出係数!$AI$4:$AI$671,1),1,BE337):INDEX((係数_バス貨物_ガソリン,係数_バス貨物_CNG,係数_バス貨物_軽油,係数_バス貨物_メタノール,係数_バス貨物_LPG),MATCH(AY337+1,【参考】排出係数!$AI$4:$AI$671,1)-1,5,BE337),2,FALSE),IF(OR(AW337=1,AW337=2),VLOOKUP(AU337,INDEX((係数_乗用_ガソリン,係数_乗用_CNG,係数_乗用_軽油,係数_乗用_メタノール,係数_乗用_LPG),1,1,BE337):INDEX((係数_乗用_ガソリン,係数_乗用_CNG,係数_乗用_軽油,係数_乗用_メタノール,係数_乗用_LPG),125,5,BE337),2,FALSE))))))</f>
        <v/>
      </c>
      <c r="BB337" s="468" t="str">
        <f>IF(T337="","",IF(OR(AU337="",AU337="-"),"－",IF(OR(AZ337=8,AZ337=9),"",IF(OR(AW337=3,AW337=4,AW337=5,AW337=6),VLOOKUP(AU337,INDEX((係数_バス貨物_ガソリン,係数_バス貨物_CNG,係数_バス貨物_軽油,係数_バス貨物_メタノール,係数_バス貨物_LPG),MATCH(AY337,【参考】排出係数!$AI$4:$AI$671,1),1,BE337):INDEX((係数_バス貨物_ガソリン,係数_バス貨物_CNG,係数_バス貨物_軽油,係数_バス貨物_メタノール,係数_バス貨物_LPG),MATCH(AY337+1,【参考】排出係数!$AI$4:$AI$671,1)-1,5,BE337),3,FALSE),IF(OR(AW337=1,AW337=2),VLOOKUP(AU337,INDEX((係数_乗用_ガソリン,係数_乗用_CNG,係数_乗用_軽油,係数_乗用_メタノール,係数_乗用_LPG),1,1,BE337):INDEX((係数_乗用_ガソリン,係数_乗用_CNG,係数_乗用_軽油,係数_乗用_メタノール,係数_乗用_LPG),125,5,BE337),3,FALSE))))))</f>
        <v/>
      </c>
      <c r="BC337" s="467" t="str">
        <f t="shared" si="192"/>
        <v/>
      </c>
      <c r="BD337" s="567" t="str">
        <f t="shared" si="193"/>
        <v/>
      </c>
      <c r="BE337" s="467" t="str">
        <f t="shared" si="194"/>
        <v/>
      </c>
      <c r="BF337" s="469" t="str">
        <f t="shared" ca="1" si="195"/>
        <v/>
      </c>
      <c r="BG337" s="469" t="str">
        <f t="shared" ca="1" si="196"/>
        <v/>
      </c>
      <c r="BH337" s="467" t="str">
        <f t="shared" si="197"/>
        <v/>
      </c>
      <c r="BI337" s="467" t="str">
        <f t="shared" ca="1" si="198"/>
        <v/>
      </c>
      <c r="BJ337" s="469" t="str">
        <f t="shared" si="199"/>
        <v/>
      </c>
      <c r="BK337" s="470" t="str">
        <f t="shared" si="179"/>
        <v/>
      </c>
      <c r="BL337" s="775" t="str">
        <f t="shared" si="200"/>
        <v/>
      </c>
      <c r="BM337" s="775" t="str">
        <f t="shared" si="201"/>
        <v/>
      </c>
    </row>
    <row r="338" spans="1:65">
      <c r="A338" s="473">
        <v>282</v>
      </c>
      <c r="B338" s="132"/>
      <c r="C338" s="332"/>
      <c r="D338" s="333"/>
      <c r="E338" s="333"/>
      <c r="F338" s="334"/>
      <c r="G338" s="337"/>
      <c r="H338" s="131"/>
      <c r="I338" s="337"/>
      <c r="J338" s="131"/>
      <c r="K338" s="458" t="str">
        <f t="shared" si="168"/>
        <v/>
      </c>
      <c r="L338" s="458">
        <f t="shared" si="180"/>
        <v>0</v>
      </c>
      <c r="M338" s="458">
        <f t="shared" si="181"/>
        <v>0</v>
      </c>
      <c r="N338" s="459" t="str">
        <f t="shared" si="169"/>
        <v/>
      </c>
      <c r="O338" s="459" t="str">
        <f t="shared" si="170"/>
        <v/>
      </c>
      <c r="P338" s="459" t="str">
        <f t="shared" si="171"/>
        <v/>
      </c>
      <c r="Q338" s="459" t="str">
        <f t="shared" si="172"/>
        <v/>
      </c>
      <c r="R338" s="459" t="str">
        <f t="shared" si="173"/>
        <v/>
      </c>
      <c r="S338" s="459" t="str">
        <f t="shared" si="174"/>
        <v/>
      </c>
      <c r="T338" s="566" t="str">
        <f t="shared" si="182"/>
        <v/>
      </c>
      <c r="U338" s="702"/>
      <c r="V338" s="132"/>
      <c r="W338" s="133"/>
      <c r="X338" s="134"/>
      <c r="Y338" s="135"/>
      <c r="Z338" s="137"/>
      <c r="AA338" s="136"/>
      <c r="AB338" s="566" t="str">
        <f t="shared" si="175"/>
        <v/>
      </c>
      <c r="AC338" s="568" t="str">
        <f t="shared" si="183"/>
        <v/>
      </c>
      <c r="AD338" s="137"/>
      <c r="AE338" s="137"/>
      <c r="AF338" s="138"/>
      <c r="AG338" s="138"/>
      <c r="AH338" s="592" t="str">
        <f t="shared" si="176"/>
        <v/>
      </c>
      <c r="AI338" s="592" t="str">
        <f t="shared" si="177"/>
        <v/>
      </c>
      <c r="AJ338" s="592" t="str">
        <f t="shared" si="178"/>
        <v/>
      </c>
      <c r="AK338" s="460" t="str">
        <f>IF(AU338="","",IF(OR(AZ338=8,AZ338=9),0,IF(OR(AW338=3,AW338=4,AW338=5,AW338=6),IF(LEFT(BF338,1)="1",INDEX(係数_NOX・PM低減,MATCH(AY338,【参考】排出係数!$AI$801:$AI$804,1),1),VLOOKUP(AU338,INDEX((係数_バス貨物_ガソリン,係数_バス貨物_CNG,係数_バス貨物_軽油,係数_バス貨物_メタノール,係数_バス貨物_LPG),MATCH(AY338,【参考】排出係数!$AI$4:$AI$671,1),1,BE338):INDEX((係数_バス貨物_ガソリン,係数_バス貨物_CNG,係数_バス貨物_軽油,係数_バス貨物_メタノール,係数_バス貨物_LPG),MATCH(AY338+1,【参考】排出係数!$AI$4:$AI$671,1)-1,5,BE338),4,FALSE)),IF(AND(BE338=3,LEFT(BF338,1)="1"),0.48,VLOOKUP(AU338,INDEX((係数_乗用_ガソリン,係数_乗用_CNG,係数_乗用_軽油,係数_乗用_メタノール,係数_乗用_LPG),1,1,BE338):INDEX((係数_乗用_ガソリン,係数_乗用_CNG,係数_乗用_軽油,係数_乗用_メタノール,係数_乗用_LPG),125,5,BE338),4,FALSE)))))</f>
        <v/>
      </c>
      <c r="AL338" s="461" t="str">
        <f t="shared" si="202"/>
        <v/>
      </c>
      <c r="AM338" s="460" t="str">
        <f>IF(AU338="","",IF(OR(AZ338=8,AZ338=9),0,IF(OR(AW338=3,AW338=4,AW338=5,AW338=6),IF(LEFT(BH338,1)="1",INDEX(係数_PM低減,MATCH(AY338,【参考】排出係数!$AI$801:$AI$804,1),MATCH(BI338,【参考】排出係数!$AL$798:$AO$798,1)),VLOOKUP(AU338,INDEX((係数_バス貨物_ガソリン,係数_バス貨物_CNG,係数_バス貨物_軽油,係数_バス貨物_メタノール,係数_バス貨物_LPG),MATCH(AY338,【参考】排出係数!$AI$4:$AI$671,1),1,BE338):INDEX((係数_バス貨物_ガソリン,係数_バス貨物_CNG,係数_バス貨物_軽油,係数_バス貨物_メタノール,係数_バス貨物_LPG),MATCH(AY338+1,【参考】排出係数!$AI$4:$AI$671,1)-1,5,BE338),5,FALSE)),IF(AND(BE338=3,LEFT(BF338,1)="1"),0.055,VLOOKUP(AU338,INDEX((係数_乗用_ガソリン,係数_乗用_CNG,係数_乗用_軽油,係数_乗用_メタノール,係数_乗用_LPG),1,1,BE338):INDEX((係数_乗用_ガソリン,係数_乗用_CNG,係数_乗用_軽油,係数_乗用_メタノール,係数_乗用_LPG),125,5,BE338),5,FALSE)))))</f>
        <v/>
      </c>
      <c r="AN338" s="461" t="str">
        <f t="shared" si="203"/>
        <v/>
      </c>
      <c r="AO338" s="462" t="str">
        <f t="shared" si="204"/>
        <v/>
      </c>
      <c r="AP338" s="463" t="str">
        <f t="shared" si="205"/>
        <v/>
      </c>
      <c r="AQ338" s="464"/>
      <c r="AR338" s="619"/>
      <c r="AS338" s="465" t="str">
        <f t="shared" si="184"/>
        <v/>
      </c>
      <c r="AT338" s="465" t="str">
        <f t="shared" si="185"/>
        <v/>
      </c>
      <c r="AU338" s="466" t="str">
        <f t="shared" si="186"/>
        <v/>
      </c>
      <c r="AV338" s="467" t="str">
        <f t="shared" si="187"/>
        <v/>
      </c>
      <c r="AW338" s="467" t="str">
        <f t="shared" si="188"/>
        <v/>
      </c>
      <c r="AX338" s="467" t="str">
        <f t="shared" si="189"/>
        <v/>
      </c>
      <c r="AY338" s="467" t="str">
        <f t="shared" si="190"/>
        <v/>
      </c>
      <c r="AZ338" s="467" t="str">
        <f t="shared" si="191"/>
        <v/>
      </c>
      <c r="BA338" s="468" t="str">
        <f>IF(AS338="","",IF(OR(AU338="",AU338="-"),"－",IF(OR(AZ338=8,AZ338=9),"",IF(OR(AW338=3,AW338=4,AW338=5,AW338=6),VLOOKUP(AU338,INDEX((係数_バス貨物_ガソリン,係数_バス貨物_CNG,係数_バス貨物_軽油,係数_バス貨物_メタノール,係数_バス貨物_LPG),MATCH(AY338,【参考】排出係数!$AI$4:$AI$671,1),1,BE338):INDEX((係数_バス貨物_ガソリン,係数_バス貨物_CNG,係数_バス貨物_軽油,係数_バス貨物_メタノール,係数_バス貨物_LPG),MATCH(AY338+1,【参考】排出係数!$AI$4:$AI$671,1)-1,5,BE338),2,FALSE),IF(OR(AW338=1,AW338=2),VLOOKUP(AU338,INDEX((係数_乗用_ガソリン,係数_乗用_CNG,係数_乗用_軽油,係数_乗用_メタノール,係数_乗用_LPG),1,1,BE338):INDEX((係数_乗用_ガソリン,係数_乗用_CNG,係数_乗用_軽油,係数_乗用_メタノール,係数_乗用_LPG),125,5,BE338),2,FALSE))))))</f>
        <v/>
      </c>
      <c r="BB338" s="468" t="str">
        <f>IF(T338="","",IF(OR(AU338="",AU338="-"),"－",IF(OR(AZ338=8,AZ338=9),"",IF(OR(AW338=3,AW338=4,AW338=5,AW338=6),VLOOKUP(AU338,INDEX((係数_バス貨物_ガソリン,係数_バス貨物_CNG,係数_バス貨物_軽油,係数_バス貨物_メタノール,係数_バス貨物_LPG),MATCH(AY338,【参考】排出係数!$AI$4:$AI$671,1),1,BE338):INDEX((係数_バス貨物_ガソリン,係数_バス貨物_CNG,係数_バス貨物_軽油,係数_バス貨物_メタノール,係数_バス貨物_LPG),MATCH(AY338+1,【参考】排出係数!$AI$4:$AI$671,1)-1,5,BE338),3,FALSE),IF(OR(AW338=1,AW338=2),VLOOKUP(AU338,INDEX((係数_乗用_ガソリン,係数_乗用_CNG,係数_乗用_軽油,係数_乗用_メタノール,係数_乗用_LPG),1,1,BE338):INDEX((係数_乗用_ガソリン,係数_乗用_CNG,係数_乗用_軽油,係数_乗用_メタノール,係数_乗用_LPG),125,5,BE338),3,FALSE))))))</f>
        <v/>
      </c>
      <c r="BC338" s="467" t="str">
        <f t="shared" si="192"/>
        <v/>
      </c>
      <c r="BD338" s="567" t="str">
        <f t="shared" si="193"/>
        <v/>
      </c>
      <c r="BE338" s="467" t="str">
        <f t="shared" si="194"/>
        <v/>
      </c>
      <c r="BF338" s="469" t="str">
        <f t="shared" ca="1" si="195"/>
        <v/>
      </c>
      <c r="BG338" s="469" t="str">
        <f t="shared" ca="1" si="196"/>
        <v/>
      </c>
      <c r="BH338" s="467" t="str">
        <f t="shared" si="197"/>
        <v/>
      </c>
      <c r="BI338" s="467" t="str">
        <f t="shared" ca="1" si="198"/>
        <v/>
      </c>
      <c r="BJ338" s="469" t="str">
        <f t="shared" si="199"/>
        <v/>
      </c>
      <c r="BK338" s="470" t="str">
        <f t="shared" si="179"/>
        <v/>
      </c>
      <c r="BL338" s="775" t="str">
        <f t="shared" si="200"/>
        <v/>
      </c>
      <c r="BM338" s="775" t="str">
        <f t="shared" si="201"/>
        <v/>
      </c>
    </row>
    <row r="339" spans="1:65">
      <c r="A339" s="473">
        <v>283</v>
      </c>
      <c r="B339" s="132"/>
      <c r="C339" s="332"/>
      <c r="D339" s="333"/>
      <c r="E339" s="333"/>
      <c r="F339" s="334"/>
      <c r="G339" s="337"/>
      <c r="H339" s="131"/>
      <c r="I339" s="337"/>
      <c r="J339" s="131"/>
      <c r="K339" s="458" t="str">
        <f t="shared" si="168"/>
        <v/>
      </c>
      <c r="L339" s="458">
        <f t="shared" si="180"/>
        <v>0</v>
      </c>
      <c r="M339" s="458">
        <f t="shared" si="181"/>
        <v>0</v>
      </c>
      <c r="N339" s="459" t="str">
        <f t="shared" si="169"/>
        <v/>
      </c>
      <c r="O339" s="459" t="str">
        <f t="shared" si="170"/>
        <v/>
      </c>
      <c r="P339" s="459" t="str">
        <f t="shared" si="171"/>
        <v/>
      </c>
      <c r="Q339" s="459" t="str">
        <f t="shared" si="172"/>
        <v/>
      </c>
      <c r="R339" s="459" t="str">
        <f t="shared" si="173"/>
        <v/>
      </c>
      <c r="S339" s="459" t="str">
        <f t="shared" si="174"/>
        <v/>
      </c>
      <c r="T339" s="566" t="str">
        <f t="shared" si="182"/>
        <v/>
      </c>
      <c r="U339" s="702"/>
      <c r="V339" s="132"/>
      <c r="W339" s="133"/>
      <c r="X339" s="134"/>
      <c r="Y339" s="135"/>
      <c r="Z339" s="137"/>
      <c r="AA339" s="136"/>
      <c r="AB339" s="566" t="str">
        <f t="shared" si="175"/>
        <v/>
      </c>
      <c r="AC339" s="568" t="str">
        <f t="shared" si="183"/>
        <v/>
      </c>
      <c r="AD339" s="137"/>
      <c r="AE339" s="137"/>
      <c r="AF339" s="138"/>
      <c r="AG339" s="138"/>
      <c r="AH339" s="592" t="str">
        <f t="shared" si="176"/>
        <v/>
      </c>
      <c r="AI339" s="592" t="str">
        <f t="shared" si="177"/>
        <v/>
      </c>
      <c r="AJ339" s="592" t="str">
        <f t="shared" si="178"/>
        <v/>
      </c>
      <c r="AK339" s="460" t="str">
        <f>IF(AU339="","",IF(OR(AZ339=8,AZ339=9),0,IF(OR(AW339=3,AW339=4,AW339=5,AW339=6),IF(LEFT(BF339,1)="1",INDEX(係数_NOX・PM低減,MATCH(AY339,【参考】排出係数!$AI$801:$AI$804,1),1),VLOOKUP(AU339,INDEX((係数_バス貨物_ガソリン,係数_バス貨物_CNG,係数_バス貨物_軽油,係数_バス貨物_メタノール,係数_バス貨物_LPG),MATCH(AY339,【参考】排出係数!$AI$4:$AI$671,1),1,BE339):INDEX((係数_バス貨物_ガソリン,係数_バス貨物_CNG,係数_バス貨物_軽油,係数_バス貨物_メタノール,係数_バス貨物_LPG),MATCH(AY339+1,【参考】排出係数!$AI$4:$AI$671,1)-1,5,BE339),4,FALSE)),IF(AND(BE339=3,LEFT(BF339,1)="1"),0.48,VLOOKUP(AU339,INDEX((係数_乗用_ガソリン,係数_乗用_CNG,係数_乗用_軽油,係数_乗用_メタノール,係数_乗用_LPG),1,1,BE339):INDEX((係数_乗用_ガソリン,係数_乗用_CNG,係数_乗用_軽油,係数_乗用_メタノール,係数_乗用_LPG),125,5,BE339),4,FALSE)))))</f>
        <v/>
      </c>
      <c r="AL339" s="461" t="str">
        <f t="shared" si="202"/>
        <v/>
      </c>
      <c r="AM339" s="460" t="str">
        <f>IF(AU339="","",IF(OR(AZ339=8,AZ339=9),0,IF(OR(AW339=3,AW339=4,AW339=5,AW339=6),IF(LEFT(BH339,1)="1",INDEX(係数_PM低減,MATCH(AY339,【参考】排出係数!$AI$801:$AI$804,1),MATCH(BI339,【参考】排出係数!$AL$798:$AO$798,1)),VLOOKUP(AU339,INDEX((係数_バス貨物_ガソリン,係数_バス貨物_CNG,係数_バス貨物_軽油,係数_バス貨物_メタノール,係数_バス貨物_LPG),MATCH(AY339,【参考】排出係数!$AI$4:$AI$671,1),1,BE339):INDEX((係数_バス貨物_ガソリン,係数_バス貨物_CNG,係数_バス貨物_軽油,係数_バス貨物_メタノール,係数_バス貨物_LPG),MATCH(AY339+1,【参考】排出係数!$AI$4:$AI$671,1)-1,5,BE339),5,FALSE)),IF(AND(BE339=3,LEFT(BF339,1)="1"),0.055,VLOOKUP(AU339,INDEX((係数_乗用_ガソリン,係数_乗用_CNG,係数_乗用_軽油,係数_乗用_メタノール,係数_乗用_LPG),1,1,BE339):INDEX((係数_乗用_ガソリン,係数_乗用_CNG,係数_乗用_軽油,係数_乗用_メタノール,係数_乗用_LPG),125,5,BE339),5,FALSE)))))</f>
        <v/>
      </c>
      <c r="AN339" s="461" t="str">
        <f t="shared" si="203"/>
        <v/>
      </c>
      <c r="AO339" s="462" t="str">
        <f t="shared" si="204"/>
        <v/>
      </c>
      <c r="AP339" s="463" t="str">
        <f t="shared" si="205"/>
        <v/>
      </c>
      <c r="AQ339" s="464"/>
      <c r="AR339" s="619"/>
      <c r="AS339" s="465" t="str">
        <f t="shared" si="184"/>
        <v/>
      </c>
      <c r="AT339" s="465" t="str">
        <f t="shared" si="185"/>
        <v/>
      </c>
      <c r="AU339" s="466" t="str">
        <f t="shared" si="186"/>
        <v/>
      </c>
      <c r="AV339" s="467" t="str">
        <f t="shared" si="187"/>
        <v/>
      </c>
      <c r="AW339" s="467" t="str">
        <f t="shared" si="188"/>
        <v/>
      </c>
      <c r="AX339" s="467" t="str">
        <f t="shared" si="189"/>
        <v/>
      </c>
      <c r="AY339" s="467" t="str">
        <f t="shared" si="190"/>
        <v/>
      </c>
      <c r="AZ339" s="467" t="str">
        <f t="shared" si="191"/>
        <v/>
      </c>
      <c r="BA339" s="468" t="str">
        <f>IF(AS339="","",IF(OR(AU339="",AU339="-"),"－",IF(OR(AZ339=8,AZ339=9),"",IF(OR(AW339=3,AW339=4,AW339=5,AW339=6),VLOOKUP(AU339,INDEX((係数_バス貨物_ガソリン,係数_バス貨物_CNG,係数_バス貨物_軽油,係数_バス貨物_メタノール,係数_バス貨物_LPG),MATCH(AY339,【参考】排出係数!$AI$4:$AI$671,1),1,BE339):INDEX((係数_バス貨物_ガソリン,係数_バス貨物_CNG,係数_バス貨物_軽油,係数_バス貨物_メタノール,係数_バス貨物_LPG),MATCH(AY339+1,【参考】排出係数!$AI$4:$AI$671,1)-1,5,BE339),2,FALSE),IF(OR(AW339=1,AW339=2),VLOOKUP(AU339,INDEX((係数_乗用_ガソリン,係数_乗用_CNG,係数_乗用_軽油,係数_乗用_メタノール,係数_乗用_LPG),1,1,BE339):INDEX((係数_乗用_ガソリン,係数_乗用_CNG,係数_乗用_軽油,係数_乗用_メタノール,係数_乗用_LPG),125,5,BE339),2,FALSE))))))</f>
        <v/>
      </c>
      <c r="BB339" s="468" t="str">
        <f>IF(T339="","",IF(OR(AU339="",AU339="-"),"－",IF(OR(AZ339=8,AZ339=9),"",IF(OR(AW339=3,AW339=4,AW339=5,AW339=6),VLOOKUP(AU339,INDEX((係数_バス貨物_ガソリン,係数_バス貨物_CNG,係数_バス貨物_軽油,係数_バス貨物_メタノール,係数_バス貨物_LPG),MATCH(AY339,【参考】排出係数!$AI$4:$AI$671,1),1,BE339):INDEX((係数_バス貨物_ガソリン,係数_バス貨物_CNG,係数_バス貨物_軽油,係数_バス貨物_メタノール,係数_バス貨物_LPG),MATCH(AY339+1,【参考】排出係数!$AI$4:$AI$671,1)-1,5,BE339),3,FALSE),IF(OR(AW339=1,AW339=2),VLOOKUP(AU339,INDEX((係数_乗用_ガソリン,係数_乗用_CNG,係数_乗用_軽油,係数_乗用_メタノール,係数_乗用_LPG),1,1,BE339):INDEX((係数_乗用_ガソリン,係数_乗用_CNG,係数_乗用_軽油,係数_乗用_メタノール,係数_乗用_LPG),125,5,BE339),3,FALSE))))))</f>
        <v/>
      </c>
      <c r="BC339" s="467" t="str">
        <f t="shared" si="192"/>
        <v/>
      </c>
      <c r="BD339" s="567" t="str">
        <f t="shared" si="193"/>
        <v/>
      </c>
      <c r="BE339" s="467" t="str">
        <f t="shared" si="194"/>
        <v/>
      </c>
      <c r="BF339" s="469" t="str">
        <f t="shared" ca="1" si="195"/>
        <v/>
      </c>
      <c r="BG339" s="469" t="str">
        <f t="shared" ca="1" si="196"/>
        <v/>
      </c>
      <c r="BH339" s="467" t="str">
        <f t="shared" si="197"/>
        <v/>
      </c>
      <c r="BI339" s="467" t="str">
        <f t="shared" ca="1" si="198"/>
        <v/>
      </c>
      <c r="BJ339" s="469" t="str">
        <f t="shared" si="199"/>
        <v/>
      </c>
      <c r="BK339" s="470" t="str">
        <f t="shared" si="179"/>
        <v/>
      </c>
      <c r="BL339" s="775" t="str">
        <f t="shared" si="200"/>
        <v/>
      </c>
      <c r="BM339" s="775" t="str">
        <f t="shared" si="201"/>
        <v/>
      </c>
    </row>
    <row r="340" spans="1:65">
      <c r="A340" s="473">
        <v>284</v>
      </c>
      <c r="B340" s="132"/>
      <c r="C340" s="332"/>
      <c r="D340" s="333"/>
      <c r="E340" s="333"/>
      <c r="F340" s="334"/>
      <c r="G340" s="337"/>
      <c r="H340" s="131"/>
      <c r="I340" s="337"/>
      <c r="J340" s="131"/>
      <c r="K340" s="458" t="str">
        <f t="shared" si="168"/>
        <v/>
      </c>
      <c r="L340" s="458">
        <f t="shared" si="180"/>
        <v>0</v>
      </c>
      <c r="M340" s="458">
        <f t="shared" si="181"/>
        <v>0</v>
      </c>
      <c r="N340" s="459" t="str">
        <f t="shared" si="169"/>
        <v/>
      </c>
      <c r="O340" s="459" t="str">
        <f t="shared" si="170"/>
        <v/>
      </c>
      <c r="P340" s="459" t="str">
        <f t="shared" si="171"/>
        <v/>
      </c>
      <c r="Q340" s="459" t="str">
        <f t="shared" si="172"/>
        <v/>
      </c>
      <c r="R340" s="459" t="str">
        <f t="shared" si="173"/>
        <v/>
      </c>
      <c r="S340" s="459" t="str">
        <f t="shared" si="174"/>
        <v/>
      </c>
      <c r="T340" s="566" t="str">
        <f t="shared" si="182"/>
        <v/>
      </c>
      <c r="U340" s="702"/>
      <c r="V340" s="132"/>
      <c r="W340" s="133"/>
      <c r="X340" s="134"/>
      <c r="Y340" s="135"/>
      <c r="Z340" s="137"/>
      <c r="AA340" s="136"/>
      <c r="AB340" s="566" t="str">
        <f t="shared" si="175"/>
        <v/>
      </c>
      <c r="AC340" s="568" t="str">
        <f t="shared" si="183"/>
        <v/>
      </c>
      <c r="AD340" s="137"/>
      <c r="AE340" s="137"/>
      <c r="AF340" s="138"/>
      <c r="AG340" s="138"/>
      <c r="AH340" s="592" t="str">
        <f t="shared" si="176"/>
        <v/>
      </c>
      <c r="AI340" s="592" t="str">
        <f t="shared" si="177"/>
        <v/>
      </c>
      <c r="AJ340" s="592" t="str">
        <f t="shared" si="178"/>
        <v/>
      </c>
      <c r="AK340" s="460" t="str">
        <f>IF(AU340="","",IF(OR(AZ340=8,AZ340=9),0,IF(OR(AW340=3,AW340=4,AW340=5,AW340=6),IF(LEFT(BF340,1)="1",INDEX(係数_NOX・PM低減,MATCH(AY340,【参考】排出係数!$AI$801:$AI$804,1),1),VLOOKUP(AU340,INDEX((係数_バス貨物_ガソリン,係数_バス貨物_CNG,係数_バス貨物_軽油,係数_バス貨物_メタノール,係数_バス貨物_LPG),MATCH(AY340,【参考】排出係数!$AI$4:$AI$671,1),1,BE340):INDEX((係数_バス貨物_ガソリン,係数_バス貨物_CNG,係数_バス貨物_軽油,係数_バス貨物_メタノール,係数_バス貨物_LPG),MATCH(AY340+1,【参考】排出係数!$AI$4:$AI$671,1)-1,5,BE340),4,FALSE)),IF(AND(BE340=3,LEFT(BF340,1)="1"),0.48,VLOOKUP(AU340,INDEX((係数_乗用_ガソリン,係数_乗用_CNG,係数_乗用_軽油,係数_乗用_メタノール,係数_乗用_LPG),1,1,BE340):INDEX((係数_乗用_ガソリン,係数_乗用_CNG,係数_乗用_軽油,係数_乗用_メタノール,係数_乗用_LPG),125,5,BE340),4,FALSE)))))</f>
        <v/>
      </c>
      <c r="AL340" s="461" t="str">
        <f t="shared" si="202"/>
        <v/>
      </c>
      <c r="AM340" s="460" t="str">
        <f>IF(AU340="","",IF(OR(AZ340=8,AZ340=9),0,IF(OR(AW340=3,AW340=4,AW340=5,AW340=6),IF(LEFT(BH340,1)="1",INDEX(係数_PM低減,MATCH(AY340,【参考】排出係数!$AI$801:$AI$804,1),MATCH(BI340,【参考】排出係数!$AL$798:$AO$798,1)),VLOOKUP(AU340,INDEX((係数_バス貨物_ガソリン,係数_バス貨物_CNG,係数_バス貨物_軽油,係数_バス貨物_メタノール,係数_バス貨物_LPG),MATCH(AY340,【参考】排出係数!$AI$4:$AI$671,1),1,BE340):INDEX((係数_バス貨物_ガソリン,係数_バス貨物_CNG,係数_バス貨物_軽油,係数_バス貨物_メタノール,係数_バス貨物_LPG),MATCH(AY340+1,【参考】排出係数!$AI$4:$AI$671,1)-1,5,BE340),5,FALSE)),IF(AND(BE340=3,LEFT(BF340,1)="1"),0.055,VLOOKUP(AU340,INDEX((係数_乗用_ガソリン,係数_乗用_CNG,係数_乗用_軽油,係数_乗用_メタノール,係数_乗用_LPG),1,1,BE340):INDEX((係数_乗用_ガソリン,係数_乗用_CNG,係数_乗用_軽油,係数_乗用_メタノール,係数_乗用_LPG),125,5,BE340),5,FALSE)))))</f>
        <v/>
      </c>
      <c r="AN340" s="461" t="str">
        <f t="shared" si="203"/>
        <v/>
      </c>
      <c r="AO340" s="462" t="str">
        <f t="shared" si="204"/>
        <v/>
      </c>
      <c r="AP340" s="463" t="str">
        <f t="shared" si="205"/>
        <v/>
      </c>
      <c r="AQ340" s="464"/>
      <c r="AR340" s="619"/>
      <c r="AS340" s="465" t="str">
        <f t="shared" si="184"/>
        <v/>
      </c>
      <c r="AT340" s="465" t="str">
        <f t="shared" si="185"/>
        <v/>
      </c>
      <c r="AU340" s="466" t="str">
        <f t="shared" si="186"/>
        <v/>
      </c>
      <c r="AV340" s="467" t="str">
        <f t="shared" si="187"/>
        <v/>
      </c>
      <c r="AW340" s="467" t="str">
        <f t="shared" si="188"/>
        <v/>
      </c>
      <c r="AX340" s="467" t="str">
        <f t="shared" si="189"/>
        <v/>
      </c>
      <c r="AY340" s="467" t="str">
        <f t="shared" si="190"/>
        <v/>
      </c>
      <c r="AZ340" s="467" t="str">
        <f t="shared" si="191"/>
        <v/>
      </c>
      <c r="BA340" s="468" t="str">
        <f>IF(AS340="","",IF(OR(AU340="",AU340="-"),"－",IF(OR(AZ340=8,AZ340=9),"",IF(OR(AW340=3,AW340=4,AW340=5,AW340=6),VLOOKUP(AU340,INDEX((係数_バス貨物_ガソリン,係数_バス貨物_CNG,係数_バス貨物_軽油,係数_バス貨物_メタノール,係数_バス貨物_LPG),MATCH(AY340,【参考】排出係数!$AI$4:$AI$671,1),1,BE340):INDEX((係数_バス貨物_ガソリン,係数_バス貨物_CNG,係数_バス貨物_軽油,係数_バス貨物_メタノール,係数_バス貨物_LPG),MATCH(AY340+1,【参考】排出係数!$AI$4:$AI$671,1)-1,5,BE340),2,FALSE),IF(OR(AW340=1,AW340=2),VLOOKUP(AU340,INDEX((係数_乗用_ガソリン,係数_乗用_CNG,係数_乗用_軽油,係数_乗用_メタノール,係数_乗用_LPG),1,1,BE340):INDEX((係数_乗用_ガソリン,係数_乗用_CNG,係数_乗用_軽油,係数_乗用_メタノール,係数_乗用_LPG),125,5,BE340),2,FALSE))))))</f>
        <v/>
      </c>
      <c r="BB340" s="468" t="str">
        <f>IF(T340="","",IF(OR(AU340="",AU340="-"),"－",IF(OR(AZ340=8,AZ340=9),"",IF(OR(AW340=3,AW340=4,AW340=5,AW340=6),VLOOKUP(AU340,INDEX((係数_バス貨物_ガソリン,係数_バス貨物_CNG,係数_バス貨物_軽油,係数_バス貨物_メタノール,係数_バス貨物_LPG),MATCH(AY340,【参考】排出係数!$AI$4:$AI$671,1),1,BE340):INDEX((係数_バス貨物_ガソリン,係数_バス貨物_CNG,係数_バス貨物_軽油,係数_バス貨物_メタノール,係数_バス貨物_LPG),MATCH(AY340+1,【参考】排出係数!$AI$4:$AI$671,1)-1,5,BE340),3,FALSE),IF(OR(AW340=1,AW340=2),VLOOKUP(AU340,INDEX((係数_乗用_ガソリン,係数_乗用_CNG,係数_乗用_軽油,係数_乗用_メタノール,係数_乗用_LPG),1,1,BE340):INDEX((係数_乗用_ガソリン,係数_乗用_CNG,係数_乗用_軽油,係数_乗用_メタノール,係数_乗用_LPG),125,5,BE340),3,FALSE))))))</f>
        <v/>
      </c>
      <c r="BC340" s="467" t="str">
        <f t="shared" si="192"/>
        <v/>
      </c>
      <c r="BD340" s="567" t="str">
        <f t="shared" si="193"/>
        <v/>
      </c>
      <c r="BE340" s="467" t="str">
        <f t="shared" si="194"/>
        <v/>
      </c>
      <c r="BF340" s="469" t="str">
        <f t="shared" ca="1" si="195"/>
        <v/>
      </c>
      <c r="BG340" s="469" t="str">
        <f t="shared" ca="1" si="196"/>
        <v/>
      </c>
      <c r="BH340" s="467" t="str">
        <f t="shared" si="197"/>
        <v/>
      </c>
      <c r="BI340" s="467" t="str">
        <f t="shared" ca="1" si="198"/>
        <v/>
      </c>
      <c r="BJ340" s="469" t="str">
        <f t="shared" si="199"/>
        <v/>
      </c>
      <c r="BK340" s="470" t="str">
        <f t="shared" si="179"/>
        <v/>
      </c>
      <c r="BL340" s="775" t="str">
        <f t="shared" si="200"/>
        <v/>
      </c>
      <c r="BM340" s="775" t="str">
        <f t="shared" si="201"/>
        <v/>
      </c>
    </row>
    <row r="341" spans="1:65">
      <c r="A341" s="473">
        <v>285</v>
      </c>
      <c r="B341" s="132"/>
      <c r="C341" s="332"/>
      <c r="D341" s="333"/>
      <c r="E341" s="333"/>
      <c r="F341" s="334"/>
      <c r="G341" s="337"/>
      <c r="H341" s="131"/>
      <c r="I341" s="337"/>
      <c r="J341" s="131"/>
      <c r="K341" s="458" t="str">
        <f t="shared" si="168"/>
        <v/>
      </c>
      <c r="L341" s="458">
        <f t="shared" si="180"/>
        <v>0</v>
      </c>
      <c r="M341" s="458">
        <f t="shared" si="181"/>
        <v>0</v>
      </c>
      <c r="N341" s="459" t="str">
        <f t="shared" si="169"/>
        <v/>
      </c>
      <c r="O341" s="459" t="str">
        <f t="shared" si="170"/>
        <v/>
      </c>
      <c r="P341" s="459" t="str">
        <f t="shared" si="171"/>
        <v/>
      </c>
      <c r="Q341" s="459" t="str">
        <f t="shared" si="172"/>
        <v/>
      </c>
      <c r="R341" s="459" t="str">
        <f t="shared" si="173"/>
        <v/>
      </c>
      <c r="S341" s="459" t="str">
        <f t="shared" si="174"/>
        <v/>
      </c>
      <c r="T341" s="566" t="str">
        <f t="shared" si="182"/>
        <v/>
      </c>
      <c r="U341" s="702"/>
      <c r="V341" s="132"/>
      <c r="W341" s="133"/>
      <c r="X341" s="134"/>
      <c r="Y341" s="135"/>
      <c r="Z341" s="137"/>
      <c r="AA341" s="136"/>
      <c r="AB341" s="566" t="str">
        <f t="shared" si="175"/>
        <v/>
      </c>
      <c r="AC341" s="568" t="str">
        <f t="shared" si="183"/>
        <v/>
      </c>
      <c r="AD341" s="137"/>
      <c r="AE341" s="137"/>
      <c r="AF341" s="138"/>
      <c r="AG341" s="138"/>
      <c r="AH341" s="592" t="str">
        <f t="shared" si="176"/>
        <v/>
      </c>
      <c r="AI341" s="592" t="str">
        <f t="shared" si="177"/>
        <v/>
      </c>
      <c r="AJ341" s="592" t="str">
        <f t="shared" si="178"/>
        <v/>
      </c>
      <c r="AK341" s="460" t="str">
        <f>IF(AU341="","",IF(OR(AZ341=8,AZ341=9),0,IF(OR(AW341=3,AW341=4,AW341=5,AW341=6),IF(LEFT(BF341,1)="1",INDEX(係数_NOX・PM低減,MATCH(AY341,【参考】排出係数!$AI$801:$AI$804,1),1),VLOOKUP(AU341,INDEX((係数_バス貨物_ガソリン,係数_バス貨物_CNG,係数_バス貨物_軽油,係数_バス貨物_メタノール,係数_バス貨物_LPG),MATCH(AY341,【参考】排出係数!$AI$4:$AI$671,1),1,BE341):INDEX((係数_バス貨物_ガソリン,係数_バス貨物_CNG,係数_バス貨物_軽油,係数_バス貨物_メタノール,係数_バス貨物_LPG),MATCH(AY341+1,【参考】排出係数!$AI$4:$AI$671,1)-1,5,BE341),4,FALSE)),IF(AND(BE341=3,LEFT(BF341,1)="1"),0.48,VLOOKUP(AU341,INDEX((係数_乗用_ガソリン,係数_乗用_CNG,係数_乗用_軽油,係数_乗用_メタノール,係数_乗用_LPG),1,1,BE341):INDEX((係数_乗用_ガソリン,係数_乗用_CNG,係数_乗用_軽油,係数_乗用_メタノール,係数_乗用_LPG),125,5,BE341),4,FALSE)))))</f>
        <v/>
      </c>
      <c r="AL341" s="461" t="str">
        <f t="shared" si="202"/>
        <v/>
      </c>
      <c r="AM341" s="460" t="str">
        <f>IF(AU341="","",IF(OR(AZ341=8,AZ341=9),0,IF(OR(AW341=3,AW341=4,AW341=5,AW341=6),IF(LEFT(BH341,1)="1",INDEX(係数_PM低減,MATCH(AY341,【参考】排出係数!$AI$801:$AI$804,1),MATCH(BI341,【参考】排出係数!$AL$798:$AO$798,1)),VLOOKUP(AU341,INDEX((係数_バス貨物_ガソリン,係数_バス貨物_CNG,係数_バス貨物_軽油,係数_バス貨物_メタノール,係数_バス貨物_LPG),MATCH(AY341,【参考】排出係数!$AI$4:$AI$671,1),1,BE341):INDEX((係数_バス貨物_ガソリン,係数_バス貨物_CNG,係数_バス貨物_軽油,係数_バス貨物_メタノール,係数_バス貨物_LPG),MATCH(AY341+1,【参考】排出係数!$AI$4:$AI$671,1)-1,5,BE341),5,FALSE)),IF(AND(BE341=3,LEFT(BF341,1)="1"),0.055,VLOOKUP(AU341,INDEX((係数_乗用_ガソリン,係数_乗用_CNG,係数_乗用_軽油,係数_乗用_メタノール,係数_乗用_LPG),1,1,BE341):INDEX((係数_乗用_ガソリン,係数_乗用_CNG,係数_乗用_軽油,係数_乗用_メタノール,係数_乗用_LPG),125,5,BE341),5,FALSE)))))</f>
        <v/>
      </c>
      <c r="AN341" s="461" t="str">
        <f t="shared" si="203"/>
        <v/>
      </c>
      <c r="AO341" s="462" t="str">
        <f t="shared" si="204"/>
        <v/>
      </c>
      <c r="AP341" s="463" t="str">
        <f t="shared" si="205"/>
        <v/>
      </c>
      <c r="AQ341" s="464"/>
      <c r="AR341" s="619"/>
      <c r="AS341" s="465" t="str">
        <f t="shared" si="184"/>
        <v/>
      </c>
      <c r="AT341" s="465" t="str">
        <f t="shared" si="185"/>
        <v/>
      </c>
      <c r="AU341" s="466" t="str">
        <f t="shared" si="186"/>
        <v/>
      </c>
      <c r="AV341" s="467" t="str">
        <f t="shared" si="187"/>
        <v/>
      </c>
      <c r="AW341" s="467" t="str">
        <f t="shared" si="188"/>
        <v/>
      </c>
      <c r="AX341" s="467" t="str">
        <f t="shared" si="189"/>
        <v/>
      </c>
      <c r="AY341" s="467" t="str">
        <f t="shared" si="190"/>
        <v/>
      </c>
      <c r="AZ341" s="467" t="str">
        <f t="shared" si="191"/>
        <v/>
      </c>
      <c r="BA341" s="468" t="str">
        <f>IF(AS341="","",IF(OR(AU341="",AU341="-"),"－",IF(OR(AZ341=8,AZ341=9),"",IF(OR(AW341=3,AW341=4,AW341=5,AW341=6),VLOOKUP(AU341,INDEX((係数_バス貨物_ガソリン,係数_バス貨物_CNG,係数_バス貨物_軽油,係数_バス貨物_メタノール,係数_バス貨物_LPG),MATCH(AY341,【参考】排出係数!$AI$4:$AI$671,1),1,BE341):INDEX((係数_バス貨物_ガソリン,係数_バス貨物_CNG,係数_バス貨物_軽油,係数_バス貨物_メタノール,係数_バス貨物_LPG),MATCH(AY341+1,【参考】排出係数!$AI$4:$AI$671,1)-1,5,BE341),2,FALSE),IF(OR(AW341=1,AW341=2),VLOOKUP(AU341,INDEX((係数_乗用_ガソリン,係数_乗用_CNG,係数_乗用_軽油,係数_乗用_メタノール,係数_乗用_LPG),1,1,BE341):INDEX((係数_乗用_ガソリン,係数_乗用_CNG,係数_乗用_軽油,係数_乗用_メタノール,係数_乗用_LPG),125,5,BE341),2,FALSE))))))</f>
        <v/>
      </c>
      <c r="BB341" s="468" t="str">
        <f>IF(T341="","",IF(OR(AU341="",AU341="-"),"－",IF(OR(AZ341=8,AZ341=9),"",IF(OR(AW341=3,AW341=4,AW341=5,AW341=6),VLOOKUP(AU341,INDEX((係数_バス貨物_ガソリン,係数_バス貨物_CNG,係数_バス貨物_軽油,係数_バス貨物_メタノール,係数_バス貨物_LPG),MATCH(AY341,【参考】排出係数!$AI$4:$AI$671,1),1,BE341):INDEX((係数_バス貨物_ガソリン,係数_バス貨物_CNG,係数_バス貨物_軽油,係数_バス貨物_メタノール,係数_バス貨物_LPG),MATCH(AY341+1,【参考】排出係数!$AI$4:$AI$671,1)-1,5,BE341),3,FALSE),IF(OR(AW341=1,AW341=2),VLOOKUP(AU341,INDEX((係数_乗用_ガソリン,係数_乗用_CNG,係数_乗用_軽油,係数_乗用_メタノール,係数_乗用_LPG),1,1,BE341):INDEX((係数_乗用_ガソリン,係数_乗用_CNG,係数_乗用_軽油,係数_乗用_メタノール,係数_乗用_LPG),125,5,BE341),3,FALSE))))))</f>
        <v/>
      </c>
      <c r="BC341" s="467" t="str">
        <f t="shared" si="192"/>
        <v/>
      </c>
      <c r="BD341" s="567" t="str">
        <f t="shared" si="193"/>
        <v/>
      </c>
      <c r="BE341" s="467" t="str">
        <f t="shared" si="194"/>
        <v/>
      </c>
      <c r="BF341" s="469" t="str">
        <f t="shared" ca="1" si="195"/>
        <v/>
      </c>
      <c r="BG341" s="469" t="str">
        <f t="shared" ca="1" si="196"/>
        <v/>
      </c>
      <c r="BH341" s="467" t="str">
        <f t="shared" si="197"/>
        <v/>
      </c>
      <c r="BI341" s="467" t="str">
        <f t="shared" ca="1" si="198"/>
        <v/>
      </c>
      <c r="BJ341" s="469" t="str">
        <f t="shared" si="199"/>
        <v/>
      </c>
      <c r="BK341" s="470" t="str">
        <f t="shared" si="179"/>
        <v/>
      </c>
      <c r="BL341" s="775" t="str">
        <f t="shared" si="200"/>
        <v/>
      </c>
      <c r="BM341" s="775" t="str">
        <f t="shared" si="201"/>
        <v/>
      </c>
    </row>
    <row r="342" spans="1:65">
      <c r="A342" s="473">
        <v>286</v>
      </c>
      <c r="B342" s="132"/>
      <c r="C342" s="332"/>
      <c r="D342" s="333"/>
      <c r="E342" s="333"/>
      <c r="F342" s="334"/>
      <c r="G342" s="337"/>
      <c r="H342" s="131"/>
      <c r="I342" s="337"/>
      <c r="J342" s="131"/>
      <c r="K342" s="458" t="str">
        <f t="shared" si="168"/>
        <v/>
      </c>
      <c r="L342" s="458">
        <f t="shared" si="180"/>
        <v>0</v>
      </c>
      <c r="M342" s="458">
        <f t="shared" si="181"/>
        <v>0</v>
      </c>
      <c r="N342" s="459" t="str">
        <f t="shared" si="169"/>
        <v/>
      </c>
      <c r="O342" s="459" t="str">
        <f t="shared" si="170"/>
        <v/>
      </c>
      <c r="P342" s="459" t="str">
        <f t="shared" si="171"/>
        <v/>
      </c>
      <c r="Q342" s="459" t="str">
        <f t="shared" si="172"/>
        <v/>
      </c>
      <c r="R342" s="459" t="str">
        <f t="shared" si="173"/>
        <v/>
      </c>
      <c r="S342" s="459" t="str">
        <f t="shared" si="174"/>
        <v/>
      </c>
      <c r="T342" s="566" t="str">
        <f t="shared" si="182"/>
        <v/>
      </c>
      <c r="U342" s="702"/>
      <c r="V342" s="132"/>
      <c r="W342" s="133"/>
      <c r="X342" s="134"/>
      <c r="Y342" s="135"/>
      <c r="Z342" s="137"/>
      <c r="AA342" s="136"/>
      <c r="AB342" s="566" t="str">
        <f t="shared" si="175"/>
        <v/>
      </c>
      <c r="AC342" s="568" t="str">
        <f t="shared" si="183"/>
        <v/>
      </c>
      <c r="AD342" s="137"/>
      <c r="AE342" s="137"/>
      <c r="AF342" s="138"/>
      <c r="AG342" s="138"/>
      <c r="AH342" s="592" t="str">
        <f t="shared" si="176"/>
        <v/>
      </c>
      <c r="AI342" s="592" t="str">
        <f t="shared" si="177"/>
        <v/>
      </c>
      <c r="AJ342" s="592" t="str">
        <f t="shared" si="178"/>
        <v/>
      </c>
      <c r="AK342" s="460" t="str">
        <f>IF(AU342="","",IF(OR(AZ342=8,AZ342=9),0,IF(OR(AW342=3,AW342=4,AW342=5,AW342=6),IF(LEFT(BF342,1)="1",INDEX(係数_NOX・PM低減,MATCH(AY342,【参考】排出係数!$AI$801:$AI$804,1),1),VLOOKUP(AU342,INDEX((係数_バス貨物_ガソリン,係数_バス貨物_CNG,係数_バス貨物_軽油,係数_バス貨物_メタノール,係数_バス貨物_LPG),MATCH(AY342,【参考】排出係数!$AI$4:$AI$671,1),1,BE342):INDEX((係数_バス貨物_ガソリン,係数_バス貨物_CNG,係数_バス貨物_軽油,係数_バス貨物_メタノール,係数_バス貨物_LPG),MATCH(AY342+1,【参考】排出係数!$AI$4:$AI$671,1)-1,5,BE342),4,FALSE)),IF(AND(BE342=3,LEFT(BF342,1)="1"),0.48,VLOOKUP(AU342,INDEX((係数_乗用_ガソリン,係数_乗用_CNG,係数_乗用_軽油,係数_乗用_メタノール,係数_乗用_LPG),1,1,BE342):INDEX((係数_乗用_ガソリン,係数_乗用_CNG,係数_乗用_軽油,係数_乗用_メタノール,係数_乗用_LPG),125,5,BE342),4,FALSE)))))</f>
        <v/>
      </c>
      <c r="AL342" s="461" t="str">
        <f t="shared" si="202"/>
        <v/>
      </c>
      <c r="AM342" s="460" t="str">
        <f>IF(AU342="","",IF(OR(AZ342=8,AZ342=9),0,IF(OR(AW342=3,AW342=4,AW342=5,AW342=6),IF(LEFT(BH342,1)="1",INDEX(係数_PM低減,MATCH(AY342,【参考】排出係数!$AI$801:$AI$804,1),MATCH(BI342,【参考】排出係数!$AL$798:$AO$798,1)),VLOOKUP(AU342,INDEX((係数_バス貨物_ガソリン,係数_バス貨物_CNG,係数_バス貨物_軽油,係数_バス貨物_メタノール,係数_バス貨物_LPG),MATCH(AY342,【参考】排出係数!$AI$4:$AI$671,1),1,BE342):INDEX((係数_バス貨物_ガソリン,係数_バス貨物_CNG,係数_バス貨物_軽油,係数_バス貨物_メタノール,係数_バス貨物_LPG),MATCH(AY342+1,【参考】排出係数!$AI$4:$AI$671,1)-1,5,BE342),5,FALSE)),IF(AND(BE342=3,LEFT(BF342,1)="1"),0.055,VLOOKUP(AU342,INDEX((係数_乗用_ガソリン,係数_乗用_CNG,係数_乗用_軽油,係数_乗用_メタノール,係数_乗用_LPG),1,1,BE342):INDEX((係数_乗用_ガソリン,係数_乗用_CNG,係数_乗用_軽油,係数_乗用_メタノール,係数_乗用_LPG),125,5,BE342),5,FALSE)))))</f>
        <v/>
      </c>
      <c r="AN342" s="461" t="str">
        <f t="shared" si="203"/>
        <v/>
      </c>
      <c r="AO342" s="462" t="str">
        <f t="shared" si="204"/>
        <v/>
      </c>
      <c r="AP342" s="463" t="str">
        <f t="shared" si="205"/>
        <v/>
      </c>
      <c r="AQ342" s="464"/>
      <c r="AR342" s="619"/>
      <c r="AS342" s="465" t="str">
        <f t="shared" si="184"/>
        <v/>
      </c>
      <c r="AT342" s="465" t="str">
        <f t="shared" si="185"/>
        <v/>
      </c>
      <c r="AU342" s="466" t="str">
        <f t="shared" si="186"/>
        <v/>
      </c>
      <c r="AV342" s="467" t="str">
        <f t="shared" si="187"/>
        <v/>
      </c>
      <c r="AW342" s="467" t="str">
        <f t="shared" si="188"/>
        <v/>
      </c>
      <c r="AX342" s="467" t="str">
        <f t="shared" si="189"/>
        <v/>
      </c>
      <c r="AY342" s="467" t="str">
        <f t="shared" si="190"/>
        <v/>
      </c>
      <c r="AZ342" s="467" t="str">
        <f t="shared" si="191"/>
        <v/>
      </c>
      <c r="BA342" s="468" t="str">
        <f>IF(AS342="","",IF(OR(AU342="",AU342="-"),"－",IF(OR(AZ342=8,AZ342=9),"",IF(OR(AW342=3,AW342=4,AW342=5,AW342=6),VLOOKUP(AU342,INDEX((係数_バス貨物_ガソリン,係数_バス貨物_CNG,係数_バス貨物_軽油,係数_バス貨物_メタノール,係数_バス貨物_LPG),MATCH(AY342,【参考】排出係数!$AI$4:$AI$671,1),1,BE342):INDEX((係数_バス貨物_ガソリン,係数_バス貨物_CNG,係数_バス貨物_軽油,係数_バス貨物_メタノール,係数_バス貨物_LPG),MATCH(AY342+1,【参考】排出係数!$AI$4:$AI$671,1)-1,5,BE342),2,FALSE),IF(OR(AW342=1,AW342=2),VLOOKUP(AU342,INDEX((係数_乗用_ガソリン,係数_乗用_CNG,係数_乗用_軽油,係数_乗用_メタノール,係数_乗用_LPG),1,1,BE342):INDEX((係数_乗用_ガソリン,係数_乗用_CNG,係数_乗用_軽油,係数_乗用_メタノール,係数_乗用_LPG),125,5,BE342),2,FALSE))))))</f>
        <v/>
      </c>
      <c r="BB342" s="468" t="str">
        <f>IF(T342="","",IF(OR(AU342="",AU342="-"),"－",IF(OR(AZ342=8,AZ342=9),"",IF(OR(AW342=3,AW342=4,AW342=5,AW342=6),VLOOKUP(AU342,INDEX((係数_バス貨物_ガソリン,係数_バス貨物_CNG,係数_バス貨物_軽油,係数_バス貨物_メタノール,係数_バス貨物_LPG),MATCH(AY342,【参考】排出係数!$AI$4:$AI$671,1),1,BE342):INDEX((係数_バス貨物_ガソリン,係数_バス貨物_CNG,係数_バス貨物_軽油,係数_バス貨物_メタノール,係数_バス貨物_LPG),MATCH(AY342+1,【参考】排出係数!$AI$4:$AI$671,1)-1,5,BE342),3,FALSE),IF(OR(AW342=1,AW342=2),VLOOKUP(AU342,INDEX((係数_乗用_ガソリン,係数_乗用_CNG,係数_乗用_軽油,係数_乗用_メタノール,係数_乗用_LPG),1,1,BE342):INDEX((係数_乗用_ガソリン,係数_乗用_CNG,係数_乗用_軽油,係数_乗用_メタノール,係数_乗用_LPG),125,5,BE342),3,FALSE))))))</f>
        <v/>
      </c>
      <c r="BC342" s="467" t="str">
        <f t="shared" si="192"/>
        <v/>
      </c>
      <c r="BD342" s="567" t="str">
        <f t="shared" si="193"/>
        <v/>
      </c>
      <c r="BE342" s="467" t="str">
        <f t="shared" si="194"/>
        <v/>
      </c>
      <c r="BF342" s="469" t="str">
        <f t="shared" ca="1" si="195"/>
        <v/>
      </c>
      <c r="BG342" s="469" t="str">
        <f t="shared" ca="1" si="196"/>
        <v/>
      </c>
      <c r="BH342" s="467" t="str">
        <f t="shared" si="197"/>
        <v/>
      </c>
      <c r="BI342" s="467" t="str">
        <f t="shared" ca="1" si="198"/>
        <v/>
      </c>
      <c r="BJ342" s="469" t="str">
        <f t="shared" si="199"/>
        <v/>
      </c>
      <c r="BK342" s="470" t="str">
        <f t="shared" si="179"/>
        <v/>
      </c>
      <c r="BL342" s="775" t="str">
        <f t="shared" si="200"/>
        <v/>
      </c>
      <c r="BM342" s="775" t="str">
        <f t="shared" si="201"/>
        <v/>
      </c>
    </row>
    <row r="343" spans="1:65">
      <c r="A343" s="473">
        <v>287</v>
      </c>
      <c r="B343" s="132"/>
      <c r="C343" s="332"/>
      <c r="D343" s="333"/>
      <c r="E343" s="333"/>
      <c r="F343" s="334"/>
      <c r="G343" s="337"/>
      <c r="H343" s="131"/>
      <c r="I343" s="337"/>
      <c r="J343" s="131"/>
      <c r="K343" s="458" t="str">
        <f t="shared" si="168"/>
        <v/>
      </c>
      <c r="L343" s="458">
        <f t="shared" si="180"/>
        <v>0</v>
      </c>
      <c r="M343" s="458">
        <f t="shared" si="181"/>
        <v>0</v>
      </c>
      <c r="N343" s="459" t="str">
        <f t="shared" si="169"/>
        <v/>
      </c>
      <c r="O343" s="459" t="str">
        <f t="shared" si="170"/>
        <v/>
      </c>
      <c r="P343" s="459" t="str">
        <f t="shared" si="171"/>
        <v/>
      </c>
      <c r="Q343" s="459" t="str">
        <f t="shared" si="172"/>
        <v/>
      </c>
      <c r="R343" s="459" t="str">
        <f t="shared" si="173"/>
        <v/>
      </c>
      <c r="S343" s="459" t="str">
        <f t="shared" si="174"/>
        <v/>
      </c>
      <c r="T343" s="566" t="str">
        <f t="shared" si="182"/>
        <v/>
      </c>
      <c r="U343" s="702"/>
      <c r="V343" s="132"/>
      <c r="W343" s="133"/>
      <c r="X343" s="134"/>
      <c r="Y343" s="135"/>
      <c r="Z343" s="137"/>
      <c r="AA343" s="136"/>
      <c r="AB343" s="566" t="str">
        <f t="shared" si="175"/>
        <v/>
      </c>
      <c r="AC343" s="568" t="str">
        <f t="shared" si="183"/>
        <v/>
      </c>
      <c r="AD343" s="137"/>
      <c r="AE343" s="137"/>
      <c r="AF343" s="138"/>
      <c r="AG343" s="138"/>
      <c r="AH343" s="592" t="str">
        <f t="shared" si="176"/>
        <v/>
      </c>
      <c r="AI343" s="592" t="str">
        <f t="shared" si="177"/>
        <v/>
      </c>
      <c r="AJ343" s="592" t="str">
        <f t="shared" si="178"/>
        <v/>
      </c>
      <c r="AK343" s="460" t="str">
        <f>IF(AU343="","",IF(OR(AZ343=8,AZ343=9),0,IF(OR(AW343=3,AW343=4,AW343=5,AW343=6),IF(LEFT(BF343,1)="1",INDEX(係数_NOX・PM低減,MATCH(AY343,【参考】排出係数!$AI$801:$AI$804,1),1),VLOOKUP(AU343,INDEX((係数_バス貨物_ガソリン,係数_バス貨物_CNG,係数_バス貨物_軽油,係数_バス貨物_メタノール,係数_バス貨物_LPG),MATCH(AY343,【参考】排出係数!$AI$4:$AI$671,1),1,BE343):INDEX((係数_バス貨物_ガソリン,係数_バス貨物_CNG,係数_バス貨物_軽油,係数_バス貨物_メタノール,係数_バス貨物_LPG),MATCH(AY343+1,【参考】排出係数!$AI$4:$AI$671,1)-1,5,BE343),4,FALSE)),IF(AND(BE343=3,LEFT(BF343,1)="1"),0.48,VLOOKUP(AU343,INDEX((係数_乗用_ガソリン,係数_乗用_CNG,係数_乗用_軽油,係数_乗用_メタノール,係数_乗用_LPG),1,1,BE343):INDEX((係数_乗用_ガソリン,係数_乗用_CNG,係数_乗用_軽油,係数_乗用_メタノール,係数_乗用_LPG),125,5,BE343),4,FALSE)))))</f>
        <v/>
      </c>
      <c r="AL343" s="461" t="str">
        <f t="shared" si="202"/>
        <v/>
      </c>
      <c r="AM343" s="460" t="str">
        <f>IF(AU343="","",IF(OR(AZ343=8,AZ343=9),0,IF(OR(AW343=3,AW343=4,AW343=5,AW343=6),IF(LEFT(BH343,1)="1",INDEX(係数_PM低減,MATCH(AY343,【参考】排出係数!$AI$801:$AI$804,1),MATCH(BI343,【参考】排出係数!$AL$798:$AO$798,1)),VLOOKUP(AU343,INDEX((係数_バス貨物_ガソリン,係数_バス貨物_CNG,係数_バス貨物_軽油,係数_バス貨物_メタノール,係数_バス貨物_LPG),MATCH(AY343,【参考】排出係数!$AI$4:$AI$671,1),1,BE343):INDEX((係数_バス貨物_ガソリン,係数_バス貨物_CNG,係数_バス貨物_軽油,係数_バス貨物_メタノール,係数_バス貨物_LPG),MATCH(AY343+1,【参考】排出係数!$AI$4:$AI$671,1)-1,5,BE343),5,FALSE)),IF(AND(BE343=3,LEFT(BF343,1)="1"),0.055,VLOOKUP(AU343,INDEX((係数_乗用_ガソリン,係数_乗用_CNG,係数_乗用_軽油,係数_乗用_メタノール,係数_乗用_LPG),1,1,BE343):INDEX((係数_乗用_ガソリン,係数_乗用_CNG,係数_乗用_軽油,係数_乗用_メタノール,係数_乗用_LPG),125,5,BE343),5,FALSE)))))</f>
        <v/>
      </c>
      <c r="AN343" s="461" t="str">
        <f t="shared" si="203"/>
        <v/>
      </c>
      <c r="AO343" s="462" t="str">
        <f t="shared" si="204"/>
        <v/>
      </c>
      <c r="AP343" s="463" t="str">
        <f t="shared" si="205"/>
        <v/>
      </c>
      <c r="AQ343" s="464"/>
      <c r="AR343" s="619"/>
      <c r="AS343" s="465" t="str">
        <f t="shared" si="184"/>
        <v/>
      </c>
      <c r="AT343" s="465" t="str">
        <f t="shared" si="185"/>
        <v/>
      </c>
      <c r="AU343" s="466" t="str">
        <f t="shared" si="186"/>
        <v/>
      </c>
      <c r="AV343" s="467" t="str">
        <f t="shared" si="187"/>
        <v/>
      </c>
      <c r="AW343" s="467" t="str">
        <f t="shared" si="188"/>
        <v/>
      </c>
      <c r="AX343" s="467" t="str">
        <f t="shared" si="189"/>
        <v/>
      </c>
      <c r="AY343" s="467" t="str">
        <f t="shared" si="190"/>
        <v/>
      </c>
      <c r="AZ343" s="467" t="str">
        <f t="shared" si="191"/>
        <v/>
      </c>
      <c r="BA343" s="468" t="str">
        <f>IF(AS343="","",IF(OR(AU343="",AU343="-"),"－",IF(OR(AZ343=8,AZ343=9),"",IF(OR(AW343=3,AW343=4,AW343=5,AW343=6),VLOOKUP(AU343,INDEX((係数_バス貨物_ガソリン,係数_バス貨物_CNG,係数_バス貨物_軽油,係数_バス貨物_メタノール,係数_バス貨物_LPG),MATCH(AY343,【参考】排出係数!$AI$4:$AI$671,1),1,BE343):INDEX((係数_バス貨物_ガソリン,係数_バス貨物_CNG,係数_バス貨物_軽油,係数_バス貨物_メタノール,係数_バス貨物_LPG),MATCH(AY343+1,【参考】排出係数!$AI$4:$AI$671,1)-1,5,BE343),2,FALSE),IF(OR(AW343=1,AW343=2),VLOOKUP(AU343,INDEX((係数_乗用_ガソリン,係数_乗用_CNG,係数_乗用_軽油,係数_乗用_メタノール,係数_乗用_LPG),1,1,BE343):INDEX((係数_乗用_ガソリン,係数_乗用_CNG,係数_乗用_軽油,係数_乗用_メタノール,係数_乗用_LPG),125,5,BE343),2,FALSE))))))</f>
        <v/>
      </c>
      <c r="BB343" s="468" t="str">
        <f>IF(T343="","",IF(OR(AU343="",AU343="-"),"－",IF(OR(AZ343=8,AZ343=9),"",IF(OR(AW343=3,AW343=4,AW343=5,AW343=6),VLOOKUP(AU343,INDEX((係数_バス貨物_ガソリン,係数_バス貨物_CNG,係数_バス貨物_軽油,係数_バス貨物_メタノール,係数_バス貨物_LPG),MATCH(AY343,【参考】排出係数!$AI$4:$AI$671,1),1,BE343):INDEX((係数_バス貨物_ガソリン,係数_バス貨物_CNG,係数_バス貨物_軽油,係数_バス貨物_メタノール,係数_バス貨物_LPG),MATCH(AY343+1,【参考】排出係数!$AI$4:$AI$671,1)-1,5,BE343),3,FALSE),IF(OR(AW343=1,AW343=2),VLOOKUP(AU343,INDEX((係数_乗用_ガソリン,係数_乗用_CNG,係数_乗用_軽油,係数_乗用_メタノール,係数_乗用_LPG),1,1,BE343):INDEX((係数_乗用_ガソリン,係数_乗用_CNG,係数_乗用_軽油,係数_乗用_メタノール,係数_乗用_LPG),125,5,BE343),3,FALSE))))))</f>
        <v/>
      </c>
      <c r="BC343" s="467" t="str">
        <f t="shared" si="192"/>
        <v/>
      </c>
      <c r="BD343" s="567" t="str">
        <f t="shared" si="193"/>
        <v/>
      </c>
      <c r="BE343" s="467" t="str">
        <f t="shared" si="194"/>
        <v/>
      </c>
      <c r="BF343" s="469" t="str">
        <f t="shared" ca="1" si="195"/>
        <v/>
      </c>
      <c r="BG343" s="469" t="str">
        <f t="shared" ca="1" si="196"/>
        <v/>
      </c>
      <c r="BH343" s="467" t="str">
        <f t="shared" si="197"/>
        <v/>
      </c>
      <c r="BI343" s="467" t="str">
        <f t="shared" ca="1" si="198"/>
        <v/>
      </c>
      <c r="BJ343" s="469" t="str">
        <f t="shared" si="199"/>
        <v/>
      </c>
      <c r="BK343" s="470" t="str">
        <f t="shared" si="179"/>
        <v/>
      </c>
      <c r="BL343" s="775" t="str">
        <f t="shared" si="200"/>
        <v/>
      </c>
      <c r="BM343" s="775" t="str">
        <f t="shared" si="201"/>
        <v/>
      </c>
    </row>
    <row r="344" spans="1:65">
      <c r="A344" s="473">
        <v>288</v>
      </c>
      <c r="B344" s="132"/>
      <c r="C344" s="332"/>
      <c r="D344" s="333"/>
      <c r="E344" s="333"/>
      <c r="F344" s="334"/>
      <c r="G344" s="337"/>
      <c r="H344" s="131"/>
      <c r="I344" s="337"/>
      <c r="J344" s="131"/>
      <c r="K344" s="458" t="str">
        <f t="shared" si="168"/>
        <v/>
      </c>
      <c r="L344" s="458">
        <f t="shared" si="180"/>
        <v>0</v>
      </c>
      <c r="M344" s="458">
        <f t="shared" si="181"/>
        <v>0</v>
      </c>
      <c r="N344" s="459" t="str">
        <f t="shared" si="169"/>
        <v/>
      </c>
      <c r="O344" s="459" t="str">
        <f t="shared" si="170"/>
        <v/>
      </c>
      <c r="P344" s="459" t="str">
        <f t="shared" si="171"/>
        <v/>
      </c>
      <c r="Q344" s="459" t="str">
        <f t="shared" si="172"/>
        <v/>
      </c>
      <c r="R344" s="459" t="str">
        <f t="shared" si="173"/>
        <v/>
      </c>
      <c r="S344" s="459" t="str">
        <f t="shared" si="174"/>
        <v/>
      </c>
      <c r="T344" s="566" t="str">
        <f t="shared" si="182"/>
        <v/>
      </c>
      <c r="U344" s="702"/>
      <c r="V344" s="132"/>
      <c r="W344" s="133"/>
      <c r="X344" s="134"/>
      <c r="Y344" s="135"/>
      <c r="Z344" s="137"/>
      <c r="AA344" s="136"/>
      <c r="AB344" s="566" t="str">
        <f t="shared" si="175"/>
        <v/>
      </c>
      <c r="AC344" s="568" t="str">
        <f t="shared" si="183"/>
        <v/>
      </c>
      <c r="AD344" s="137"/>
      <c r="AE344" s="137"/>
      <c r="AF344" s="138"/>
      <c r="AG344" s="138"/>
      <c r="AH344" s="592" t="str">
        <f t="shared" si="176"/>
        <v/>
      </c>
      <c r="AI344" s="592" t="str">
        <f t="shared" si="177"/>
        <v/>
      </c>
      <c r="AJ344" s="592" t="str">
        <f t="shared" si="178"/>
        <v/>
      </c>
      <c r="AK344" s="460" t="str">
        <f>IF(AU344="","",IF(OR(AZ344=8,AZ344=9),0,IF(OR(AW344=3,AW344=4,AW344=5,AW344=6),IF(LEFT(BF344,1)="1",INDEX(係数_NOX・PM低減,MATCH(AY344,【参考】排出係数!$AI$801:$AI$804,1),1),VLOOKUP(AU344,INDEX((係数_バス貨物_ガソリン,係数_バス貨物_CNG,係数_バス貨物_軽油,係数_バス貨物_メタノール,係数_バス貨物_LPG),MATCH(AY344,【参考】排出係数!$AI$4:$AI$671,1),1,BE344):INDEX((係数_バス貨物_ガソリン,係数_バス貨物_CNG,係数_バス貨物_軽油,係数_バス貨物_メタノール,係数_バス貨物_LPG),MATCH(AY344+1,【参考】排出係数!$AI$4:$AI$671,1)-1,5,BE344),4,FALSE)),IF(AND(BE344=3,LEFT(BF344,1)="1"),0.48,VLOOKUP(AU344,INDEX((係数_乗用_ガソリン,係数_乗用_CNG,係数_乗用_軽油,係数_乗用_メタノール,係数_乗用_LPG),1,1,BE344):INDEX((係数_乗用_ガソリン,係数_乗用_CNG,係数_乗用_軽油,係数_乗用_メタノール,係数_乗用_LPG),125,5,BE344),4,FALSE)))))</f>
        <v/>
      </c>
      <c r="AL344" s="461" t="str">
        <f t="shared" si="202"/>
        <v/>
      </c>
      <c r="AM344" s="460" t="str">
        <f>IF(AU344="","",IF(OR(AZ344=8,AZ344=9),0,IF(OR(AW344=3,AW344=4,AW344=5,AW344=6),IF(LEFT(BH344,1)="1",INDEX(係数_PM低減,MATCH(AY344,【参考】排出係数!$AI$801:$AI$804,1),MATCH(BI344,【参考】排出係数!$AL$798:$AO$798,1)),VLOOKUP(AU344,INDEX((係数_バス貨物_ガソリン,係数_バス貨物_CNG,係数_バス貨物_軽油,係数_バス貨物_メタノール,係数_バス貨物_LPG),MATCH(AY344,【参考】排出係数!$AI$4:$AI$671,1),1,BE344):INDEX((係数_バス貨物_ガソリン,係数_バス貨物_CNG,係数_バス貨物_軽油,係数_バス貨物_メタノール,係数_バス貨物_LPG),MATCH(AY344+1,【参考】排出係数!$AI$4:$AI$671,1)-1,5,BE344),5,FALSE)),IF(AND(BE344=3,LEFT(BF344,1)="1"),0.055,VLOOKUP(AU344,INDEX((係数_乗用_ガソリン,係数_乗用_CNG,係数_乗用_軽油,係数_乗用_メタノール,係数_乗用_LPG),1,1,BE344):INDEX((係数_乗用_ガソリン,係数_乗用_CNG,係数_乗用_軽油,係数_乗用_メタノール,係数_乗用_LPG),125,5,BE344),5,FALSE)))))</f>
        <v/>
      </c>
      <c r="AN344" s="461" t="str">
        <f t="shared" si="203"/>
        <v/>
      </c>
      <c r="AO344" s="462" t="str">
        <f t="shared" si="204"/>
        <v/>
      </c>
      <c r="AP344" s="463" t="str">
        <f t="shared" si="205"/>
        <v/>
      </c>
      <c r="AQ344" s="464"/>
      <c r="AR344" s="619"/>
      <c r="AS344" s="465" t="str">
        <f t="shared" si="184"/>
        <v/>
      </c>
      <c r="AT344" s="465" t="str">
        <f t="shared" si="185"/>
        <v/>
      </c>
      <c r="AU344" s="466" t="str">
        <f t="shared" si="186"/>
        <v/>
      </c>
      <c r="AV344" s="467" t="str">
        <f t="shared" si="187"/>
        <v/>
      </c>
      <c r="AW344" s="467" t="str">
        <f t="shared" si="188"/>
        <v/>
      </c>
      <c r="AX344" s="467" t="str">
        <f t="shared" si="189"/>
        <v/>
      </c>
      <c r="AY344" s="467" t="str">
        <f t="shared" si="190"/>
        <v/>
      </c>
      <c r="AZ344" s="467" t="str">
        <f t="shared" si="191"/>
        <v/>
      </c>
      <c r="BA344" s="468" t="str">
        <f>IF(AS344="","",IF(OR(AU344="",AU344="-"),"－",IF(OR(AZ344=8,AZ344=9),"",IF(OR(AW344=3,AW344=4,AW344=5,AW344=6),VLOOKUP(AU344,INDEX((係数_バス貨物_ガソリン,係数_バス貨物_CNG,係数_バス貨物_軽油,係数_バス貨物_メタノール,係数_バス貨物_LPG),MATCH(AY344,【参考】排出係数!$AI$4:$AI$671,1),1,BE344):INDEX((係数_バス貨物_ガソリン,係数_バス貨物_CNG,係数_バス貨物_軽油,係数_バス貨物_メタノール,係数_バス貨物_LPG),MATCH(AY344+1,【参考】排出係数!$AI$4:$AI$671,1)-1,5,BE344),2,FALSE),IF(OR(AW344=1,AW344=2),VLOOKUP(AU344,INDEX((係数_乗用_ガソリン,係数_乗用_CNG,係数_乗用_軽油,係数_乗用_メタノール,係数_乗用_LPG),1,1,BE344):INDEX((係数_乗用_ガソリン,係数_乗用_CNG,係数_乗用_軽油,係数_乗用_メタノール,係数_乗用_LPG),125,5,BE344),2,FALSE))))))</f>
        <v/>
      </c>
      <c r="BB344" s="468" t="str">
        <f>IF(T344="","",IF(OR(AU344="",AU344="-"),"－",IF(OR(AZ344=8,AZ344=9),"",IF(OR(AW344=3,AW344=4,AW344=5,AW344=6),VLOOKUP(AU344,INDEX((係数_バス貨物_ガソリン,係数_バス貨物_CNG,係数_バス貨物_軽油,係数_バス貨物_メタノール,係数_バス貨物_LPG),MATCH(AY344,【参考】排出係数!$AI$4:$AI$671,1),1,BE344):INDEX((係数_バス貨物_ガソリン,係数_バス貨物_CNG,係数_バス貨物_軽油,係数_バス貨物_メタノール,係数_バス貨物_LPG),MATCH(AY344+1,【参考】排出係数!$AI$4:$AI$671,1)-1,5,BE344),3,FALSE),IF(OR(AW344=1,AW344=2),VLOOKUP(AU344,INDEX((係数_乗用_ガソリン,係数_乗用_CNG,係数_乗用_軽油,係数_乗用_メタノール,係数_乗用_LPG),1,1,BE344):INDEX((係数_乗用_ガソリン,係数_乗用_CNG,係数_乗用_軽油,係数_乗用_メタノール,係数_乗用_LPG),125,5,BE344),3,FALSE))))))</f>
        <v/>
      </c>
      <c r="BC344" s="467" t="str">
        <f t="shared" si="192"/>
        <v/>
      </c>
      <c r="BD344" s="567" t="str">
        <f t="shared" si="193"/>
        <v/>
      </c>
      <c r="BE344" s="467" t="str">
        <f t="shared" si="194"/>
        <v/>
      </c>
      <c r="BF344" s="469" t="str">
        <f t="shared" ca="1" si="195"/>
        <v/>
      </c>
      <c r="BG344" s="469" t="str">
        <f t="shared" ca="1" si="196"/>
        <v/>
      </c>
      <c r="BH344" s="467" t="str">
        <f t="shared" si="197"/>
        <v/>
      </c>
      <c r="BI344" s="467" t="str">
        <f t="shared" ca="1" si="198"/>
        <v/>
      </c>
      <c r="BJ344" s="469" t="str">
        <f t="shared" si="199"/>
        <v/>
      </c>
      <c r="BK344" s="470" t="str">
        <f t="shared" si="179"/>
        <v/>
      </c>
      <c r="BL344" s="775" t="str">
        <f t="shared" si="200"/>
        <v/>
      </c>
      <c r="BM344" s="775" t="str">
        <f t="shared" si="201"/>
        <v/>
      </c>
    </row>
    <row r="345" spans="1:65">
      <c r="A345" s="473">
        <v>289</v>
      </c>
      <c r="B345" s="132"/>
      <c r="C345" s="332"/>
      <c r="D345" s="333"/>
      <c r="E345" s="333"/>
      <c r="F345" s="334"/>
      <c r="G345" s="337"/>
      <c r="H345" s="131"/>
      <c r="I345" s="337"/>
      <c r="J345" s="131"/>
      <c r="K345" s="458" t="str">
        <f t="shared" si="168"/>
        <v/>
      </c>
      <c r="L345" s="458">
        <f t="shared" si="180"/>
        <v>0</v>
      </c>
      <c r="M345" s="458">
        <f t="shared" si="181"/>
        <v>0</v>
      </c>
      <c r="N345" s="459" t="str">
        <f t="shared" si="169"/>
        <v/>
      </c>
      <c r="O345" s="459" t="str">
        <f t="shared" si="170"/>
        <v/>
      </c>
      <c r="P345" s="459" t="str">
        <f t="shared" si="171"/>
        <v/>
      </c>
      <c r="Q345" s="459" t="str">
        <f t="shared" si="172"/>
        <v/>
      </c>
      <c r="R345" s="459" t="str">
        <f t="shared" si="173"/>
        <v/>
      </c>
      <c r="S345" s="459" t="str">
        <f t="shared" si="174"/>
        <v/>
      </c>
      <c r="T345" s="566" t="str">
        <f t="shared" si="182"/>
        <v/>
      </c>
      <c r="U345" s="702"/>
      <c r="V345" s="132"/>
      <c r="W345" s="133"/>
      <c r="X345" s="134"/>
      <c r="Y345" s="135"/>
      <c r="Z345" s="137"/>
      <c r="AA345" s="136"/>
      <c r="AB345" s="566" t="str">
        <f t="shared" si="175"/>
        <v/>
      </c>
      <c r="AC345" s="568" t="str">
        <f t="shared" si="183"/>
        <v/>
      </c>
      <c r="AD345" s="137"/>
      <c r="AE345" s="137"/>
      <c r="AF345" s="138"/>
      <c r="AG345" s="138"/>
      <c r="AH345" s="592" t="str">
        <f t="shared" si="176"/>
        <v/>
      </c>
      <c r="AI345" s="592" t="str">
        <f t="shared" si="177"/>
        <v/>
      </c>
      <c r="AJ345" s="592" t="str">
        <f t="shared" si="178"/>
        <v/>
      </c>
      <c r="AK345" s="460" t="str">
        <f>IF(AU345="","",IF(OR(AZ345=8,AZ345=9),0,IF(OR(AW345=3,AW345=4,AW345=5,AW345=6),IF(LEFT(BF345,1)="1",INDEX(係数_NOX・PM低減,MATCH(AY345,【参考】排出係数!$AI$801:$AI$804,1),1),VLOOKUP(AU345,INDEX((係数_バス貨物_ガソリン,係数_バス貨物_CNG,係数_バス貨物_軽油,係数_バス貨物_メタノール,係数_バス貨物_LPG),MATCH(AY345,【参考】排出係数!$AI$4:$AI$671,1),1,BE345):INDEX((係数_バス貨物_ガソリン,係数_バス貨物_CNG,係数_バス貨物_軽油,係数_バス貨物_メタノール,係数_バス貨物_LPG),MATCH(AY345+1,【参考】排出係数!$AI$4:$AI$671,1)-1,5,BE345),4,FALSE)),IF(AND(BE345=3,LEFT(BF345,1)="1"),0.48,VLOOKUP(AU345,INDEX((係数_乗用_ガソリン,係数_乗用_CNG,係数_乗用_軽油,係数_乗用_メタノール,係数_乗用_LPG),1,1,BE345):INDEX((係数_乗用_ガソリン,係数_乗用_CNG,係数_乗用_軽油,係数_乗用_メタノール,係数_乗用_LPG),125,5,BE345),4,FALSE)))))</f>
        <v/>
      </c>
      <c r="AL345" s="461" t="str">
        <f t="shared" si="202"/>
        <v/>
      </c>
      <c r="AM345" s="460" t="str">
        <f>IF(AU345="","",IF(OR(AZ345=8,AZ345=9),0,IF(OR(AW345=3,AW345=4,AW345=5,AW345=6),IF(LEFT(BH345,1)="1",INDEX(係数_PM低減,MATCH(AY345,【参考】排出係数!$AI$801:$AI$804,1),MATCH(BI345,【参考】排出係数!$AL$798:$AO$798,1)),VLOOKUP(AU345,INDEX((係数_バス貨物_ガソリン,係数_バス貨物_CNG,係数_バス貨物_軽油,係数_バス貨物_メタノール,係数_バス貨物_LPG),MATCH(AY345,【参考】排出係数!$AI$4:$AI$671,1),1,BE345):INDEX((係数_バス貨物_ガソリン,係数_バス貨物_CNG,係数_バス貨物_軽油,係数_バス貨物_メタノール,係数_バス貨物_LPG),MATCH(AY345+1,【参考】排出係数!$AI$4:$AI$671,1)-1,5,BE345),5,FALSE)),IF(AND(BE345=3,LEFT(BF345,1)="1"),0.055,VLOOKUP(AU345,INDEX((係数_乗用_ガソリン,係数_乗用_CNG,係数_乗用_軽油,係数_乗用_メタノール,係数_乗用_LPG),1,1,BE345):INDEX((係数_乗用_ガソリン,係数_乗用_CNG,係数_乗用_軽油,係数_乗用_メタノール,係数_乗用_LPG),125,5,BE345),5,FALSE)))))</f>
        <v/>
      </c>
      <c r="AN345" s="461" t="str">
        <f t="shared" si="203"/>
        <v/>
      </c>
      <c r="AO345" s="462" t="str">
        <f t="shared" si="204"/>
        <v/>
      </c>
      <c r="AP345" s="463" t="str">
        <f t="shared" si="205"/>
        <v/>
      </c>
      <c r="AQ345" s="464"/>
      <c r="AR345" s="619"/>
      <c r="AS345" s="465" t="str">
        <f t="shared" si="184"/>
        <v/>
      </c>
      <c r="AT345" s="465" t="str">
        <f t="shared" si="185"/>
        <v/>
      </c>
      <c r="AU345" s="466" t="str">
        <f t="shared" si="186"/>
        <v/>
      </c>
      <c r="AV345" s="467" t="str">
        <f t="shared" si="187"/>
        <v/>
      </c>
      <c r="AW345" s="467" t="str">
        <f t="shared" si="188"/>
        <v/>
      </c>
      <c r="AX345" s="467" t="str">
        <f t="shared" si="189"/>
        <v/>
      </c>
      <c r="AY345" s="467" t="str">
        <f t="shared" si="190"/>
        <v/>
      </c>
      <c r="AZ345" s="467" t="str">
        <f t="shared" si="191"/>
        <v/>
      </c>
      <c r="BA345" s="468" t="str">
        <f>IF(AS345="","",IF(OR(AU345="",AU345="-"),"－",IF(OR(AZ345=8,AZ345=9),"",IF(OR(AW345=3,AW345=4,AW345=5,AW345=6),VLOOKUP(AU345,INDEX((係数_バス貨物_ガソリン,係数_バス貨物_CNG,係数_バス貨物_軽油,係数_バス貨物_メタノール,係数_バス貨物_LPG),MATCH(AY345,【参考】排出係数!$AI$4:$AI$671,1),1,BE345):INDEX((係数_バス貨物_ガソリン,係数_バス貨物_CNG,係数_バス貨物_軽油,係数_バス貨物_メタノール,係数_バス貨物_LPG),MATCH(AY345+1,【参考】排出係数!$AI$4:$AI$671,1)-1,5,BE345),2,FALSE),IF(OR(AW345=1,AW345=2),VLOOKUP(AU345,INDEX((係数_乗用_ガソリン,係数_乗用_CNG,係数_乗用_軽油,係数_乗用_メタノール,係数_乗用_LPG),1,1,BE345):INDEX((係数_乗用_ガソリン,係数_乗用_CNG,係数_乗用_軽油,係数_乗用_メタノール,係数_乗用_LPG),125,5,BE345),2,FALSE))))))</f>
        <v/>
      </c>
      <c r="BB345" s="468" t="str">
        <f>IF(T345="","",IF(OR(AU345="",AU345="-"),"－",IF(OR(AZ345=8,AZ345=9),"",IF(OR(AW345=3,AW345=4,AW345=5,AW345=6),VLOOKUP(AU345,INDEX((係数_バス貨物_ガソリン,係数_バス貨物_CNG,係数_バス貨物_軽油,係数_バス貨物_メタノール,係数_バス貨物_LPG),MATCH(AY345,【参考】排出係数!$AI$4:$AI$671,1),1,BE345):INDEX((係数_バス貨物_ガソリン,係数_バス貨物_CNG,係数_バス貨物_軽油,係数_バス貨物_メタノール,係数_バス貨物_LPG),MATCH(AY345+1,【参考】排出係数!$AI$4:$AI$671,1)-1,5,BE345),3,FALSE),IF(OR(AW345=1,AW345=2),VLOOKUP(AU345,INDEX((係数_乗用_ガソリン,係数_乗用_CNG,係数_乗用_軽油,係数_乗用_メタノール,係数_乗用_LPG),1,1,BE345):INDEX((係数_乗用_ガソリン,係数_乗用_CNG,係数_乗用_軽油,係数_乗用_メタノール,係数_乗用_LPG),125,5,BE345),3,FALSE))))))</f>
        <v/>
      </c>
      <c r="BC345" s="467" t="str">
        <f t="shared" si="192"/>
        <v/>
      </c>
      <c r="BD345" s="567" t="str">
        <f t="shared" si="193"/>
        <v/>
      </c>
      <c r="BE345" s="467" t="str">
        <f t="shared" si="194"/>
        <v/>
      </c>
      <c r="BF345" s="469" t="str">
        <f t="shared" ca="1" si="195"/>
        <v/>
      </c>
      <c r="BG345" s="469" t="str">
        <f t="shared" ca="1" si="196"/>
        <v/>
      </c>
      <c r="BH345" s="467" t="str">
        <f t="shared" si="197"/>
        <v/>
      </c>
      <c r="BI345" s="467" t="str">
        <f t="shared" ca="1" si="198"/>
        <v/>
      </c>
      <c r="BJ345" s="469" t="str">
        <f t="shared" si="199"/>
        <v/>
      </c>
      <c r="BK345" s="470" t="str">
        <f t="shared" si="179"/>
        <v/>
      </c>
      <c r="BL345" s="775" t="str">
        <f t="shared" si="200"/>
        <v/>
      </c>
      <c r="BM345" s="775" t="str">
        <f t="shared" si="201"/>
        <v/>
      </c>
    </row>
    <row r="346" spans="1:65">
      <c r="A346" s="473">
        <v>290</v>
      </c>
      <c r="B346" s="132"/>
      <c r="C346" s="332"/>
      <c r="D346" s="333"/>
      <c r="E346" s="333"/>
      <c r="F346" s="334"/>
      <c r="G346" s="337"/>
      <c r="H346" s="131"/>
      <c r="I346" s="337"/>
      <c r="J346" s="131"/>
      <c r="K346" s="458" t="str">
        <f t="shared" si="168"/>
        <v/>
      </c>
      <c r="L346" s="458">
        <f t="shared" si="180"/>
        <v>0</v>
      </c>
      <c r="M346" s="458">
        <f t="shared" si="181"/>
        <v>0</v>
      </c>
      <c r="N346" s="459" t="str">
        <f t="shared" si="169"/>
        <v/>
      </c>
      <c r="O346" s="459" t="str">
        <f t="shared" si="170"/>
        <v/>
      </c>
      <c r="P346" s="459" t="str">
        <f t="shared" si="171"/>
        <v/>
      </c>
      <c r="Q346" s="459" t="str">
        <f t="shared" si="172"/>
        <v/>
      </c>
      <c r="R346" s="459" t="str">
        <f t="shared" si="173"/>
        <v/>
      </c>
      <c r="S346" s="459" t="str">
        <f t="shared" si="174"/>
        <v/>
      </c>
      <c r="T346" s="566" t="str">
        <f t="shared" si="182"/>
        <v/>
      </c>
      <c r="U346" s="702"/>
      <c r="V346" s="132"/>
      <c r="W346" s="133"/>
      <c r="X346" s="134"/>
      <c r="Y346" s="135"/>
      <c r="Z346" s="137"/>
      <c r="AA346" s="136"/>
      <c r="AB346" s="566" t="str">
        <f t="shared" si="175"/>
        <v/>
      </c>
      <c r="AC346" s="568" t="str">
        <f t="shared" si="183"/>
        <v/>
      </c>
      <c r="AD346" s="137"/>
      <c r="AE346" s="137"/>
      <c r="AF346" s="138"/>
      <c r="AG346" s="138"/>
      <c r="AH346" s="592" t="str">
        <f t="shared" si="176"/>
        <v/>
      </c>
      <c r="AI346" s="592" t="str">
        <f t="shared" si="177"/>
        <v/>
      </c>
      <c r="AJ346" s="592" t="str">
        <f t="shared" si="178"/>
        <v/>
      </c>
      <c r="AK346" s="460" t="str">
        <f>IF(AU346="","",IF(OR(AZ346=8,AZ346=9),0,IF(OR(AW346=3,AW346=4,AW346=5,AW346=6),IF(LEFT(BF346,1)="1",INDEX(係数_NOX・PM低減,MATCH(AY346,【参考】排出係数!$AI$801:$AI$804,1),1),VLOOKUP(AU346,INDEX((係数_バス貨物_ガソリン,係数_バス貨物_CNG,係数_バス貨物_軽油,係数_バス貨物_メタノール,係数_バス貨物_LPG),MATCH(AY346,【参考】排出係数!$AI$4:$AI$671,1),1,BE346):INDEX((係数_バス貨物_ガソリン,係数_バス貨物_CNG,係数_バス貨物_軽油,係数_バス貨物_メタノール,係数_バス貨物_LPG),MATCH(AY346+1,【参考】排出係数!$AI$4:$AI$671,1)-1,5,BE346),4,FALSE)),IF(AND(BE346=3,LEFT(BF346,1)="1"),0.48,VLOOKUP(AU346,INDEX((係数_乗用_ガソリン,係数_乗用_CNG,係数_乗用_軽油,係数_乗用_メタノール,係数_乗用_LPG),1,1,BE346):INDEX((係数_乗用_ガソリン,係数_乗用_CNG,係数_乗用_軽油,係数_乗用_メタノール,係数_乗用_LPG),125,5,BE346),4,FALSE)))))</f>
        <v/>
      </c>
      <c r="AL346" s="461" t="str">
        <f t="shared" si="202"/>
        <v/>
      </c>
      <c r="AM346" s="460" t="str">
        <f>IF(AU346="","",IF(OR(AZ346=8,AZ346=9),0,IF(OR(AW346=3,AW346=4,AW346=5,AW346=6),IF(LEFT(BH346,1)="1",INDEX(係数_PM低減,MATCH(AY346,【参考】排出係数!$AI$801:$AI$804,1),MATCH(BI346,【参考】排出係数!$AL$798:$AO$798,1)),VLOOKUP(AU346,INDEX((係数_バス貨物_ガソリン,係数_バス貨物_CNG,係数_バス貨物_軽油,係数_バス貨物_メタノール,係数_バス貨物_LPG),MATCH(AY346,【参考】排出係数!$AI$4:$AI$671,1),1,BE346):INDEX((係数_バス貨物_ガソリン,係数_バス貨物_CNG,係数_バス貨物_軽油,係数_バス貨物_メタノール,係数_バス貨物_LPG),MATCH(AY346+1,【参考】排出係数!$AI$4:$AI$671,1)-1,5,BE346),5,FALSE)),IF(AND(BE346=3,LEFT(BF346,1)="1"),0.055,VLOOKUP(AU346,INDEX((係数_乗用_ガソリン,係数_乗用_CNG,係数_乗用_軽油,係数_乗用_メタノール,係数_乗用_LPG),1,1,BE346):INDEX((係数_乗用_ガソリン,係数_乗用_CNG,係数_乗用_軽油,係数_乗用_メタノール,係数_乗用_LPG),125,5,BE346),5,FALSE)))))</f>
        <v/>
      </c>
      <c r="AN346" s="461" t="str">
        <f t="shared" si="203"/>
        <v/>
      </c>
      <c r="AO346" s="462" t="str">
        <f t="shared" si="204"/>
        <v/>
      </c>
      <c r="AP346" s="463" t="str">
        <f t="shared" si="205"/>
        <v/>
      </c>
      <c r="AQ346" s="464"/>
      <c r="AR346" s="619"/>
      <c r="AS346" s="465" t="str">
        <f t="shared" si="184"/>
        <v/>
      </c>
      <c r="AT346" s="465" t="str">
        <f t="shared" si="185"/>
        <v/>
      </c>
      <c r="AU346" s="466" t="str">
        <f t="shared" si="186"/>
        <v/>
      </c>
      <c r="AV346" s="467" t="str">
        <f t="shared" si="187"/>
        <v/>
      </c>
      <c r="AW346" s="467" t="str">
        <f t="shared" si="188"/>
        <v/>
      </c>
      <c r="AX346" s="467" t="str">
        <f t="shared" si="189"/>
        <v/>
      </c>
      <c r="AY346" s="467" t="str">
        <f t="shared" si="190"/>
        <v/>
      </c>
      <c r="AZ346" s="467" t="str">
        <f t="shared" si="191"/>
        <v/>
      </c>
      <c r="BA346" s="468" t="str">
        <f>IF(AS346="","",IF(OR(AU346="",AU346="-"),"－",IF(OR(AZ346=8,AZ346=9),"",IF(OR(AW346=3,AW346=4,AW346=5,AW346=6),VLOOKUP(AU346,INDEX((係数_バス貨物_ガソリン,係数_バス貨物_CNG,係数_バス貨物_軽油,係数_バス貨物_メタノール,係数_バス貨物_LPG),MATCH(AY346,【参考】排出係数!$AI$4:$AI$671,1),1,BE346):INDEX((係数_バス貨物_ガソリン,係数_バス貨物_CNG,係数_バス貨物_軽油,係数_バス貨物_メタノール,係数_バス貨物_LPG),MATCH(AY346+1,【参考】排出係数!$AI$4:$AI$671,1)-1,5,BE346),2,FALSE),IF(OR(AW346=1,AW346=2),VLOOKUP(AU346,INDEX((係数_乗用_ガソリン,係数_乗用_CNG,係数_乗用_軽油,係数_乗用_メタノール,係数_乗用_LPG),1,1,BE346):INDEX((係数_乗用_ガソリン,係数_乗用_CNG,係数_乗用_軽油,係数_乗用_メタノール,係数_乗用_LPG),125,5,BE346),2,FALSE))))))</f>
        <v/>
      </c>
      <c r="BB346" s="468" t="str">
        <f>IF(T346="","",IF(OR(AU346="",AU346="-"),"－",IF(OR(AZ346=8,AZ346=9),"",IF(OR(AW346=3,AW346=4,AW346=5,AW346=6),VLOOKUP(AU346,INDEX((係数_バス貨物_ガソリン,係数_バス貨物_CNG,係数_バス貨物_軽油,係数_バス貨物_メタノール,係数_バス貨物_LPG),MATCH(AY346,【参考】排出係数!$AI$4:$AI$671,1),1,BE346):INDEX((係数_バス貨物_ガソリン,係数_バス貨物_CNG,係数_バス貨物_軽油,係数_バス貨物_メタノール,係数_バス貨物_LPG),MATCH(AY346+1,【参考】排出係数!$AI$4:$AI$671,1)-1,5,BE346),3,FALSE),IF(OR(AW346=1,AW346=2),VLOOKUP(AU346,INDEX((係数_乗用_ガソリン,係数_乗用_CNG,係数_乗用_軽油,係数_乗用_メタノール,係数_乗用_LPG),1,1,BE346):INDEX((係数_乗用_ガソリン,係数_乗用_CNG,係数_乗用_軽油,係数_乗用_メタノール,係数_乗用_LPG),125,5,BE346),3,FALSE))))))</f>
        <v/>
      </c>
      <c r="BC346" s="467" t="str">
        <f t="shared" si="192"/>
        <v/>
      </c>
      <c r="BD346" s="567" t="str">
        <f t="shared" si="193"/>
        <v/>
      </c>
      <c r="BE346" s="467" t="str">
        <f t="shared" si="194"/>
        <v/>
      </c>
      <c r="BF346" s="469" t="str">
        <f t="shared" ca="1" si="195"/>
        <v/>
      </c>
      <c r="BG346" s="469" t="str">
        <f t="shared" ca="1" si="196"/>
        <v/>
      </c>
      <c r="BH346" s="467" t="str">
        <f t="shared" si="197"/>
        <v/>
      </c>
      <c r="BI346" s="467" t="str">
        <f t="shared" ca="1" si="198"/>
        <v/>
      </c>
      <c r="BJ346" s="469" t="str">
        <f t="shared" si="199"/>
        <v/>
      </c>
      <c r="BK346" s="470" t="str">
        <f t="shared" si="179"/>
        <v/>
      </c>
      <c r="BL346" s="775" t="str">
        <f t="shared" si="200"/>
        <v/>
      </c>
      <c r="BM346" s="775" t="str">
        <f t="shared" si="201"/>
        <v/>
      </c>
    </row>
    <row r="347" spans="1:65">
      <c r="A347" s="473">
        <v>291</v>
      </c>
      <c r="B347" s="132"/>
      <c r="C347" s="332"/>
      <c r="D347" s="333"/>
      <c r="E347" s="333"/>
      <c r="F347" s="334"/>
      <c r="G347" s="337"/>
      <c r="H347" s="131"/>
      <c r="I347" s="337"/>
      <c r="J347" s="131"/>
      <c r="K347" s="458" t="str">
        <f t="shared" si="168"/>
        <v/>
      </c>
      <c r="L347" s="458">
        <f t="shared" si="180"/>
        <v>0</v>
      </c>
      <c r="M347" s="458">
        <f t="shared" si="181"/>
        <v>0</v>
      </c>
      <c r="N347" s="459" t="str">
        <f t="shared" si="169"/>
        <v/>
      </c>
      <c r="O347" s="459" t="str">
        <f t="shared" si="170"/>
        <v/>
      </c>
      <c r="P347" s="459" t="str">
        <f t="shared" si="171"/>
        <v/>
      </c>
      <c r="Q347" s="459" t="str">
        <f t="shared" si="172"/>
        <v/>
      </c>
      <c r="R347" s="459" t="str">
        <f t="shared" si="173"/>
        <v/>
      </c>
      <c r="S347" s="459" t="str">
        <f t="shared" si="174"/>
        <v/>
      </c>
      <c r="T347" s="566" t="str">
        <f t="shared" si="182"/>
        <v/>
      </c>
      <c r="U347" s="702"/>
      <c r="V347" s="132"/>
      <c r="W347" s="133"/>
      <c r="X347" s="134"/>
      <c r="Y347" s="135"/>
      <c r="Z347" s="137"/>
      <c r="AA347" s="136"/>
      <c r="AB347" s="566" t="str">
        <f t="shared" si="175"/>
        <v/>
      </c>
      <c r="AC347" s="568" t="str">
        <f t="shared" si="183"/>
        <v/>
      </c>
      <c r="AD347" s="137"/>
      <c r="AE347" s="137"/>
      <c r="AF347" s="138"/>
      <c r="AG347" s="138"/>
      <c r="AH347" s="592" t="str">
        <f t="shared" si="176"/>
        <v/>
      </c>
      <c r="AI347" s="592" t="str">
        <f t="shared" si="177"/>
        <v/>
      </c>
      <c r="AJ347" s="592" t="str">
        <f t="shared" si="178"/>
        <v/>
      </c>
      <c r="AK347" s="460" t="str">
        <f>IF(AU347="","",IF(OR(AZ347=8,AZ347=9),0,IF(OR(AW347=3,AW347=4,AW347=5,AW347=6),IF(LEFT(BF347,1)="1",INDEX(係数_NOX・PM低減,MATCH(AY347,【参考】排出係数!$AI$801:$AI$804,1),1),VLOOKUP(AU347,INDEX((係数_バス貨物_ガソリン,係数_バス貨物_CNG,係数_バス貨物_軽油,係数_バス貨物_メタノール,係数_バス貨物_LPG),MATCH(AY347,【参考】排出係数!$AI$4:$AI$671,1),1,BE347):INDEX((係数_バス貨物_ガソリン,係数_バス貨物_CNG,係数_バス貨物_軽油,係数_バス貨物_メタノール,係数_バス貨物_LPG),MATCH(AY347+1,【参考】排出係数!$AI$4:$AI$671,1)-1,5,BE347),4,FALSE)),IF(AND(BE347=3,LEFT(BF347,1)="1"),0.48,VLOOKUP(AU347,INDEX((係数_乗用_ガソリン,係数_乗用_CNG,係数_乗用_軽油,係数_乗用_メタノール,係数_乗用_LPG),1,1,BE347):INDEX((係数_乗用_ガソリン,係数_乗用_CNG,係数_乗用_軽油,係数_乗用_メタノール,係数_乗用_LPG),125,5,BE347),4,FALSE)))))</f>
        <v/>
      </c>
      <c r="AL347" s="461" t="str">
        <f t="shared" si="202"/>
        <v/>
      </c>
      <c r="AM347" s="460" t="str">
        <f>IF(AU347="","",IF(OR(AZ347=8,AZ347=9),0,IF(OR(AW347=3,AW347=4,AW347=5,AW347=6),IF(LEFT(BH347,1)="1",INDEX(係数_PM低減,MATCH(AY347,【参考】排出係数!$AI$801:$AI$804,1),MATCH(BI347,【参考】排出係数!$AL$798:$AO$798,1)),VLOOKUP(AU347,INDEX((係数_バス貨物_ガソリン,係数_バス貨物_CNG,係数_バス貨物_軽油,係数_バス貨物_メタノール,係数_バス貨物_LPG),MATCH(AY347,【参考】排出係数!$AI$4:$AI$671,1),1,BE347):INDEX((係数_バス貨物_ガソリン,係数_バス貨物_CNG,係数_バス貨物_軽油,係数_バス貨物_メタノール,係数_バス貨物_LPG),MATCH(AY347+1,【参考】排出係数!$AI$4:$AI$671,1)-1,5,BE347),5,FALSE)),IF(AND(BE347=3,LEFT(BF347,1)="1"),0.055,VLOOKUP(AU347,INDEX((係数_乗用_ガソリン,係数_乗用_CNG,係数_乗用_軽油,係数_乗用_メタノール,係数_乗用_LPG),1,1,BE347):INDEX((係数_乗用_ガソリン,係数_乗用_CNG,係数_乗用_軽油,係数_乗用_メタノール,係数_乗用_LPG),125,5,BE347),5,FALSE)))))</f>
        <v/>
      </c>
      <c r="AN347" s="461" t="str">
        <f t="shared" si="203"/>
        <v/>
      </c>
      <c r="AO347" s="462" t="str">
        <f t="shared" si="204"/>
        <v/>
      </c>
      <c r="AP347" s="463" t="str">
        <f t="shared" si="205"/>
        <v/>
      </c>
      <c r="AQ347" s="464"/>
      <c r="AR347" s="619"/>
      <c r="AS347" s="465" t="str">
        <f t="shared" si="184"/>
        <v/>
      </c>
      <c r="AT347" s="465" t="str">
        <f t="shared" si="185"/>
        <v/>
      </c>
      <c r="AU347" s="466" t="str">
        <f t="shared" si="186"/>
        <v/>
      </c>
      <c r="AV347" s="467" t="str">
        <f t="shared" si="187"/>
        <v/>
      </c>
      <c r="AW347" s="467" t="str">
        <f t="shared" si="188"/>
        <v/>
      </c>
      <c r="AX347" s="467" t="str">
        <f t="shared" si="189"/>
        <v/>
      </c>
      <c r="AY347" s="467" t="str">
        <f t="shared" si="190"/>
        <v/>
      </c>
      <c r="AZ347" s="467" t="str">
        <f t="shared" si="191"/>
        <v/>
      </c>
      <c r="BA347" s="468" t="str">
        <f>IF(AS347="","",IF(OR(AU347="",AU347="-"),"－",IF(OR(AZ347=8,AZ347=9),"",IF(OR(AW347=3,AW347=4,AW347=5,AW347=6),VLOOKUP(AU347,INDEX((係数_バス貨物_ガソリン,係数_バス貨物_CNG,係数_バス貨物_軽油,係数_バス貨物_メタノール,係数_バス貨物_LPG),MATCH(AY347,【参考】排出係数!$AI$4:$AI$671,1),1,BE347):INDEX((係数_バス貨物_ガソリン,係数_バス貨物_CNG,係数_バス貨物_軽油,係数_バス貨物_メタノール,係数_バス貨物_LPG),MATCH(AY347+1,【参考】排出係数!$AI$4:$AI$671,1)-1,5,BE347),2,FALSE),IF(OR(AW347=1,AW347=2),VLOOKUP(AU347,INDEX((係数_乗用_ガソリン,係数_乗用_CNG,係数_乗用_軽油,係数_乗用_メタノール,係数_乗用_LPG),1,1,BE347):INDEX((係数_乗用_ガソリン,係数_乗用_CNG,係数_乗用_軽油,係数_乗用_メタノール,係数_乗用_LPG),125,5,BE347),2,FALSE))))))</f>
        <v/>
      </c>
      <c r="BB347" s="468" t="str">
        <f>IF(T347="","",IF(OR(AU347="",AU347="-"),"－",IF(OR(AZ347=8,AZ347=9),"",IF(OR(AW347=3,AW347=4,AW347=5,AW347=6),VLOOKUP(AU347,INDEX((係数_バス貨物_ガソリン,係数_バス貨物_CNG,係数_バス貨物_軽油,係数_バス貨物_メタノール,係数_バス貨物_LPG),MATCH(AY347,【参考】排出係数!$AI$4:$AI$671,1),1,BE347):INDEX((係数_バス貨物_ガソリン,係数_バス貨物_CNG,係数_バス貨物_軽油,係数_バス貨物_メタノール,係数_バス貨物_LPG),MATCH(AY347+1,【参考】排出係数!$AI$4:$AI$671,1)-1,5,BE347),3,FALSE),IF(OR(AW347=1,AW347=2),VLOOKUP(AU347,INDEX((係数_乗用_ガソリン,係数_乗用_CNG,係数_乗用_軽油,係数_乗用_メタノール,係数_乗用_LPG),1,1,BE347):INDEX((係数_乗用_ガソリン,係数_乗用_CNG,係数_乗用_軽油,係数_乗用_メタノール,係数_乗用_LPG),125,5,BE347),3,FALSE))))))</f>
        <v/>
      </c>
      <c r="BC347" s="467" t="str">
        <f t="shared" si="192"/>
        <v/>
      </c>
      <c r="BD347" s="567" t="str">
        <f t="shared" si="193"/>
        <v/>
      </c>
      <c r="BE347" s="467" t="str">
        <f t="shared" si="194"/>
        <v/>
      </c>
      <c r="BF347" s="469" t="str">
        <f t="shared" ca="1" si="195"/>
        <v/>
      </c>
      <c r="BG347" s="469" t="str">
        <f t="shared" ca="1" si="196"/>
        <v/>
      </c>
      <c r="BH347" s="467" t="str">
        <f t="shared" si="197"/>
        <v/>
      </c>
      <c r="BI347" s="467" t="str">
        <f t="shared" ca="1" si="198"/>
        <v/>
      </c>
      <c r="BJ347" s="469" t="str">
        <f t="shared" si="199"/>
        <v/>
      </c>
      <c r="BK347" s="470" t="str">
        <f t="shared" si="179"/>
        <v/>
      </c>
      <c r="BL347" s="775" t="str">
        <f t="shared" si="200"/>
        <v/>
      </c>
      <c r="BM347" s="775" t="str">
        <f t="shared" si="201"/>
        <v/>
      </c>
    </row>
    <row r="348" spans="1:65">
      <c r="A348" s="473">
        <v>292</v>
      </c>
      <c r="B348" s="132"/>
      <c r="C348" s="332"/>
      <c r="D348" s="333"/>
      <c r="E348" s="333"/>
      <c r="F348" s="334"/>
      <c r="G348" s="337"/>
      <c r="H348" s="131"/>
      <c r="I348" s="337"/>
      <c r="J348" s="131"/>
      <c r="K348" s="458" t="str">
        <f t="shared" si="168"/>
        <v/>
      </c>
      <c r="L348" s="458">
        <f t="shared" si="180"/>
        <v>0</v>
      </c>
      <c r="M348" s="458">
        <f t="shared" si="181"/>
        <v>0</v>
      </c>
      <c r="N348" s="459" t="str">
        <f t="shared" si="169"/>
        <v/>
      </c>
      <c r="O348" s="459" t="str">
        <f t="shared" si="170"/>
        <v/>
      </c>
      <c r="P348" s="459" t="str">
        <f t="shared" si="171"/>
        <v/>
      </c>
      <c r="Q348" s="459" t="str">
        <f t="shared" si="172"/>
        <v/>
      </c>
      <c r="R348" s="459" t="str">
        <f t="shared" si="173"/>
        <v/>
      </c>
      <c r="S348" s="459" t="str">
        <f t="shared" si="174"/>
        <v/>
      </c>
      <c r="T348" s="566" t="str">
        <f t="shared" si="182"/>
        <v/>
      </c>
      <c r="U348" s="702"/>
      <c r="V348" s="132"/>
      <c r="W348" s="133"/>
      <c r="X348" s="134"/>
      <c r="Y348" s="135"/>
      <c r="Z348" s="137"/>
      <c r="AA348" s="136"/>
      <c r="AB348" s="566" t="str">
        <f t="shared" si="175"/>
        <v/>
      </c>
      <c r="AC348" s="568" t="str">
        <f t="shared" si="183"/>
        <v/>
      </c>
      <c r="AD348" s="137"/>
      <c r="AE348" s="137"/>
      <c r="AF348" s="138"/>
      <c r="AG348" s="138"/>
      <c r="AH348" s="592" t="str">
        <f t="shared" si="176"/>
        <v/>
      </c>
      <c r="AI348" s="592" t="str">
        <f t="shared" si="177"/>
        <v/>
      </c>
      <c r="AJ348" s="592" t="str">
        <f t="shared" si="178"/>
        <v/>
      </c>
      <c r="AK348" s="460" t="str">
        <f>IF(AU348="","",IF(OR(AZ348=8,AZ348=9),0,IF(OR(AW348=3,AW348=4,AW348=5,AW348=6),IF(LEFT(BF348,1)="1",INDEX(係数_NOX・PM低減,MATCH(AY348,【参考】排出係数!$AI$801:$AI$804,1),1),VLOOKUP(AU348,INDEX((係数_バス貨物_ガソリン,係数_バス貨物_CNG,係数_バス貨物_軽油,係数_バス貨物_メタノール,係数_バス貨物_LPG),MATCH(AY348,【参考】排出係数!$AI$4:$AI$671,1),1,BE348):INDEX((係数_バス貨物_ガソリン,係数_バス貨物_CNG,係数_バス貨物_軽油,係数_バス貨物_メタノール,係数_バス貨物_LPG),MATCH(AY348+1,【参考】排出係数!$AI$4:$AI$671,1)-1,5,BE348),4,FALSE)),IF(AND(BE348=3,LEFT(BF348,1)="1"),0.48,VLOOKUP(AU348,INDEX((係数_乗用_ガソリン,係数_乗用_CNG,係数_乗用_軽油,係数_乗用_メタノール,係数_乗用_LPG),1,1,BE348):INDEX((係数_乗用_ガソリン,係数_乗用_CNG,係数_乗用_軽油,係数_乗用_メタノール,係数_乗用_LPG),125,5,BE348),4,FALSE)))))</f>
        <v/>
      </c>
      <c r="AL348" s="461" t="str">
        <f t="shared" si="202"/>
        <v/>
      </c>
      <c r="AM348" s="460" t="str">
        <f>IF(AU348="","",IF(OR(AZ348=8,AZ348=9),0,IF(OR(AW348=3,AW348=4,AW348=5,AW348=6),IF(LEFT(BH348,1)="1",INDEX(係数_PM低減,MATCH(AY348,【参考】排出係数!$AI$801:$AI$804,1),MATCH(BI348,【参考】排出係数!$AL$798:$AO$798,1)),VLOOKUP(AU348,INDEX((係数_バス貨物_ガソリン,係数_バス貨物_CNG,係数_バス貨物_軽油,係数_バス貨物_メタノール,係数_バス貨物_LPG),MATCH(AY348,【参考】排出係数!$AI$4:$AI$671,1),1,BE348):INDEX((係数_バス貨物_ガソリン,係数_バス貨物_CNG,係数_バス貨物_軽油,係数_バス貨物_メタノール,係数_バス貨物_LPG),MATCH(AY348+1,【参考】排出係数!$AI$4:$AI$671,1)-1,5,BE348),5,FALSE)),IF(AND(BE348=3,LEFT(BF348,1)="1"),0.055,VLOOKUP(AU348,INDEX((係数_乗用_ガソリン,係数_乗用_CNG,係数_乗用_軽油,係数_乗用_メタノール,係数_乗用_LPG),1,1,BE348):INDEX((係数_乗用_ガソリン,係数_乗用_CNG,係数_乗用_軽油,係数_乗用_メタノール,係数_乗用_LPG),125,5,BE348),5,FALSE)))))</f>
        <v/>
      </c>
      <c r="AN348" s="461" t="str">
        <f t="shared" si="203"/>
        <v/>
      </c>
      <c r="AO348" s="462" t="str">
        <f t="shared" si="204"/>
        <v/>
      </c>
      <c r="AP348" s="463" t="str">
        <f t="shared" si="205"/>
        <v/>
      </c>
      <c r="AQ348" s="464"/>
      <c r="AR348" s="619"/>
      <c r="AS348" s="465" t="str">
        <f t="shared" si="184"/>
        <v/>
      </c>
      <c r="AT348" s="465" t="str">
        <f t="shared" si="185"/>
        <v/>
      </c>
      <c r="AU348" s="466" t="str">
        <f t="shared" si="186"/>
        <v/>
      </c>
      <c r="AV348" s="467" t="str">
        <f t="shared" si="187"/>
        <v/>
      </c>
      <c r="AW348" s="467" t="str">
        <f t="shared" si="188"/>
        <v/>
      </c>
      <c r="AX348" s="467" t="str">
        <f t="shared" si="189"/>
        <v/>
      </c>
      <c r="AY348" s="467" t="str">
        <f t="shared" si="190"/>
        <v/>
      </c>
      <c r="AZ348" s="467" t="str">
        <f t="shared" si="191"/>
        <v/>
      </c>
      <c r="BA348" s="468" t="str">
        <f>IF(AS348="","",IF(OR(AU348="",AU348="-"),"－",IF(OR(AZ348=8,AZ348=9),"",IF(OR(AW348=3,AW348=4,AW348=5,AW348=6),VLOOKUP(AU348,INDEX((係数_バス貨物_ガソリン,係数_バス貨物_CNG,係数_バス貨物_軽油,係数_バス貨物_メタノール,係数_バス貨物_LPG),MATCH(AY348,【参考】排出係数!$AI$4:$AI$671,1),1,BE348):INDEX((係数_バス貨物_ガソリン,係数_バス貨物_CNG,係数_バス貨物_軽油,係数_バス貨物_メタノール,係数_バス貨物_LPG),MATCH(AY348+1,【参考】排出係数!$AI$4:$AI$671,1)-1,5,BE348),2,FALSE),IF(OR(AW348=1,AW348=2),VLOOKUP(AU348,INDEX((係数_乗用_ガソリン,係数_乗用_CNG,係数_乗用_軽油,係数_乗用_メタノール,係数_乗用_LPG),1,1,BE348):INDEX((係数_乗用_ガソリン,係数_乗用_CNG,係数_乗用_軽油,係数_乗用_メタノール,係数_乗用_LPG),125,5,BE348),2,FALSE))))))</f>
        <v/>
      </c>
      <c r="BB348" s="468" t="str">
        <f>IF(T348="","",IF(OR(AU348="",AU348="-"),"－",IF(OR(AZ348=8,AZ348=9),"",IF(OR(AW348=3,AW348=4,AW348=5,AW348=6),VLOOKUP(AU348,INDEX((係数_バス貨物_ガソリン,係数_バス貨物_CNG,係数_バス貨物_軽油,係数_バス貨物_メタノール,係数_バス貨物_LPG),MATCH(AY348,【参考】排出係数!$AI$4:$AI$671,1),1,BE348):INDEX((係数_バス貨物_ガソリン,係数_バス貨物_CNG,係数_バス貨物_軽油,係数_バス貨物_メタノール,係数_バス貨物_LPG),MATCH(AY348+1,【参考】排出係数!$AI$4:$AI$671,1)-1,5,BE348),3,FALSE),IF(OR(AW348=1,AW348=2),VLOOKUP(AU348,INDEX((係数_乗用_ガソリン,係数_乗用_CNG,係数_乗用_軽油,係数_乗用_メタノール,係数_乗用_LPG),1,1,BE348):INDEX((係数_乗用_ガソリン,係数_乗用_CNG,係数_乗用_軽油,係数_乗用_メタノール,係数_乗用_LPG),125,5,BE348),3,FALSE))))))</f>
        <v/>
      </c>
      <c r="BC348" s="467" t="str">
        <f t="shared" si="192"/>
        <v/>
      </c>
      <c r="BD348" s="567" t="str">
        <f t="shared" si="193"/>
        <v/>
      </c>
      <c r="BE348" s="467" t="str">
        <f t="shared" si="194"/>
        <v/>
      </c>
      <c r="BF348" s="469" t="str">
        <f t="shared" ca="1" si="195"/>
        <v/>
      </c>
      <c r="BG348" s="469" t="str">
        <f t="shared" ca="1" si="196"/>
        <v/>
      </c>
      <c r="BH348" s="467" t="str">
        <f t="shared" si="197"/>
        <v/>
      </c>
      <c r="BI348" s="467" t="str">
        <f t="shared" ca="1" si="198"/>
        <v/>
      </c>
      <c r="BJ348" s="469" t="str">
        <f t="shared" si="199"/>
        <v/>
      </c>
      <c r="BK348" s="470" t="str">
        <f t="shared" si="179"/>
        <v/>
      </c>
      <c r="BL348" s="775" t="str">
        <f t="shared" si="200"/>
        <v/>
      </c>
      <c r="BM348" s="775" t="str">
        <f t="shared" si="201"/>
        <v/>
      </c>
    </row>
    <row r="349" spans="1:65">
      <c r="A349" s="473">
        <v>293</v>
      </c>
      <c r="B349" s="132"/>
      <c r="C349" s="332"/>
      <c r="D349" s="333"/>
      <c r="E349" s="333"/>
      <c r="F349" s="334"/>
      <c r="G349" s="337"/>
      <c r="H349" s="131"/>
      <c r="I349" s="337"/>
      <c r="J349" s="131"/>
      <c r="K349" s="458" t="str">
        <f t="shared" si="168"/>
        <v/>
      </c>
      <c r="L349" s="458">
        <f t="shared" si="180"/>
        <v>0</v>
      </c>
      <c r="M349" s="458">
        <f t="shared" si="181"/>
        <v>0</v>
      </c>
      <c r="N349" s="459" t="str">
        <f t="shared" si="169"/>
        <v/>
      </c>
      <c r="O349" s="459" t="str">
        <f t="shared" si="170"/>
        <v/>
      </c>
      <c r="P349" s="459" t="str">
        <f t="shared" si="171"/>
        <v/>
      </c>
      <c r="Q349" s="459" t="str">
        <f t="shared" si="172"/>
        <v/>
      </c>
      <c r="R349" s="459" t="str">
        <f t="shared" si="173"/>
        <v/>
      </c>
      <c r="S349" s="459" t="str">
        <f t="shared" si="174"/>
        <v/>
      </c>
      <c r="T349" s="566" t="str">
        <f t="shared" si="182"/>
        <v/>
      </c>
      <c r="U349" s="702"/>
      <c r="V349" s="132"/>
      <c r="W349" s="133"/>
      <c r="X349" s="134"/>
      <c r="Y349" s="135"/>
      <c r="Z349" s="137"/>
      <c r="AA349" s="136"/>
      <c r="AB349" s="566" t="str">
        <f t="shared" si="175"/>
        <v/>
      </c>
      <c r="AC349" s="568" t="str">
        <f t="shared" si="183"/>
        <v/>
      </c>
      <c r="AD349" s="137"/>
      <c r="AE349" s="137"/>
      <c r="AF349" s="138"/>
      <c r="AG349" s="138"/>
      <c r="AH349" s="592" t="str">
        <f t="shared" si="176"/>
        <v/>
      </c>
      <c r="AI349" s="592" t="str">
        <f t="shared" si="177"/>
        <v/>
      </c>
      <c r="AJ349" s="592" t="str">
        <f t="shared" si="178"/>
        <v/>
      </c>
      <c r="AK349" s="460" t="str">
        <f>IF(AU349="","",IF(OR(AZ349=8,AZ349=9),0,IF(OR(AW349=3,AW349=4,AW349=5,AW349=6),IF(LEFT(BF349,1)="1",INDEX(係数_NOX・PM低減,MATCH(AY349,【参考】排出係数!$AI$801:$AI$804,1),1),VLOOKUP(AU349,INDEX((係数_バス貨物_ガソリン,係数_バス貨物_CNG,係数_バス貨物_軽油,係数_バス貨物_メタノール,係数_バス貨物_LPG),MATCH(AY349,【参考】排出係数!$AI$4:$AI$671,1),1,BE349):INDEX((係数_バス貨物_ガソリン,係数_バス貨物_CNG,係数_バス貨物_軽油,係数_バス貨物_メタノール,係数_バス貨物_LPG),MATCH(AY349+1,【参考】排出係数!$AI$4:$AI$671,1)-1,5,BE349),4,FALSE)),IF(AND(BE349=3,LEFT(BF349,1)="1"),0.48,VLOOKUP(AU349,INDEX((係数_乗用_ガソリン,係数_乗用_CNG,係数_乗用_軽油,係数_乗用_メタノール,係数_乗用_LPG),1,1,BE349):INDEX((係数_乗用_ガソリン,係数_乗用_CNG,係数_乗用_軽油,係数_乗用_メタノール,係数_乗用_LPG),125,5,BE349),4,FALSE)))))</f>
        <v/>
      </c>
      <c r="AL349" s="461" t="str">
        <f t="shared" si="202"/>
        <v/>
      </c>
      <c r="AM349" s="460" t="str">
        <f>IF(AU349="","",IF(OR(AZ349=8,AZ349=9),0,IF(OR(AW349=3,AW349=4,AW349=5,AW349=6),IF(LEFT(BH349,1)="1",INDEX(係数_PM低減,MATCH(AY349,【参考】排出係数!$AI$801:$AI$804,1),MATCH(BI349,【参考】排出係数!$AL$798:$AO$798,1)),VLOOKUP(AU349,INDEX((係数_バス貨物_ガソリン,係数_バス貨物_CNG,係数_バス貨物_軽油,係数_バス貨物_メタノール,係数_バス貨物_LPG),MATCH(AY349,【参考】排出係数!$AI$4:$AI$671,1),1,BE349):INDEX((係数_バス貨物_ガソリン,係数_バス貨物_CNG,係数_バス貨物_軽油,係数_バス貨物_メタノール,係数_バス貨物_LPG),MATCH(AY349+1,【参考】排出係数!$AI$4:$AI$671,1)-1,5,BE349),5,FALSE)),IF(AND(BE349=3,LEFT(BF349,1)="1"),0.055,VLOOKUP(AU349,INDEX((係数_乗用_ガソリン,係数_乗用_CNG,係数_乗用_軽油,係数_乗用_メタノール,係数_乗用_LPG),1,1,BE349):INDEX((係数_乗用_ガソリン,係数_乗用_CNG,係数_乗用_軽油,係数_乗用_メタノール,係数_乗用_LPG),125,5,BE349),5,FALSE)))))</f>
        <v/>
      </c>
      <c r="AN349" s="461" t="str">
        <f t="shared" si="203"/>
        <v/>
      </c>
      <c r="AO349" s="462" t="str">
        <f t="shared" si="204"/>
        <v/>
      </c>
      <c r="AP349" s="463" t="str">
        <f t="shared" si="205"/>
        <v/>
      </c>
      <c r="AQ349" s="464"/>
      <c r="AR349" s="619"/>
      <c r="AS349" s="465" t="str">
        <f t="shared" si="184"/>
        <v/>
      </c>
      <c r="AT349" s="465" t="str">
        <f t="shared" si="185"/>
        <v/>
      </c>
      <c r="AU349" s="466" t="str">
        <f t="shared" si="186"/>
        <v/>
      </c>
      <c r="AV349" s="467" t="str">
        <f t="shared" si="187"/>
        <v/>
      </c>
      <c r="AW349" s="467" t="str">
        <f t="shared" si="188"/>
        <v/>
      </c>
      <c r="AX349" s="467" t="str">
        <f t="shared" si="189"/>
        <v/>
      </c>
      <c r="AY349" s="467" t="str">
        <f t="shared" si="190"/>
        <v/>
      </c>
      <c r="AZ349" s="467" t="str">
        <f t="shared" si="191"/>
        <v/>
      </c>
      <c r="BA349" s="468" t="str">
        <f>IF(AS349="","",IF(OR(AU349="",AU349="-"),"－",IF(OR(AZ349=8,AZ349=9),"",IF(OR(AW349=3,AW349=4,AW349=5,AW349=6),VLOOKUP(AU349,INDEX((係数_バス貨物_ガソリン,係数_バス貨物_CNG,係数_バス貨物_軽油,係数_バス貨物_メタノール,係数_バス貨物_LPG),MATCH(AY349,【参考】排出係数!$AI$4:$AI$671,1),1,BE349):INDEX((係数_バス貨物_ガソリン,係数_バス貨物_CNG,係数_バス貨物_軽油,係数_バス貨物_メタノール,係数_バス貨物_LPG),MATCH(AY349+1,【参考】排出係数!$AI$4:$AI$671,1)-1,5,BE349),2,FALSE),IF(OR(AW349=1,AW349=2),VLOOKUP(AU349,INDEX((係数_乗用_ガソリン,係数_乗用_CNG,係数_乗用_軽油,係数_乗用_メタノール,係数_乗用_LPG),1,1,BE349):INDEX((係数_乗用_ガソリン,係数_乗用_CNG,係数_乗用_軽油,係数_乗用_メタノール,係数_乗用_LPG),125,5,BE349),2,FALSE))))))</f>
        <v/>
      </c>
      <c r="BB349" s="468" t="str">
        <f>IF(T349="","",IF(OR(AU349="",AU349="-"),"－",IF(OR(AZ349=8,AZ349=9),"",IF(OR(AW349=3,AW349=4,AW349=5,AW349=6),VLOOKUP(AU349,INDEX((係数_バス貨物_ガソリン,係数_バス貨物_CNG,係数_バス貨物_軽油,係数_バス貨物_メタノール,係数_バス貨物_LPG),MATCH(AY349,【参考】排出係数!$AI$4:$AI$671,1),1,BE349):INDEX((係数_バス貨物_ガソリン,係数_バス貨物_CNG,係数_バス貨物_軽油,係数_バス貨物_メタノール,係数_バス貨物_LPG),MATCH(AY349+1,【参考】排出係数!$AI$4:$AI$671,1)-1,5,BE349),3,FALSE),IF(OR(AW349=1,AW349=2),VLOOKUP(AU349,INDEX((係数_乗用_ガソリン,係数_乗用_CNG,係数_乗用_軽油,係数_乗用_メタノール,係数_乗用_LPG),1,1,BE349):INDEX((係数_乗用_ガソリン,係数_乗用_CNG,係数_乗用_軽油,係数_乗用_メタノール,係数_乗用_LPG),125,5,BE349),3,FALSE))))))</f>
        <v/>
      </c>
      <c r="BC349" s="467" t="str">
        <f t="shared" si="192"/>
        <v/>
      </c>
      <c r="BD349" s="567" t="str">
        <f t="shared" si="193"/>
        <v/>
      </c>
      <c r="BE349" s="467" t="str">
        <f t="shared" si="194"/>
        <v/>
      </c>
      <c r="BF349" s="469" t="str">
        <f t="shared" ca="1" si="195"/>
        <v/>
      </c>
      <c r="BG349" s="469" t="str">
        <f t="shared" ca="1" si="196"/>
        <v/>
      </c>
      <c r="BH349" s="467" t="str">
        <f t="shared" si="197"/>
        <v/>
      </c>
      <c r="BI349" s="467" t="str">
        <f t="shared" ca="1" si="198"/>
        <v/>
      </c>
      <c r="BJ349" s="469" t="str">
        <f t="shared" si="199"/>
        <v/>
      </c>
      <c r="BK349" s="470" t="str">
        <f t="shared" si="179"/>
        <v/>
      </c>
      <c r="BL349" s="775" t="str">
        <f t="shared" si="200"/>
        <v/>
      </c>
      <c r="BM349" s="775" t="str">
        <f t="shared" si="201"/>
        <v/>
      </c>
    </row>
    <row r="350" spans="1:65">
      <c r="A350" s="473">
        <v>294</v>
      </c>
      <c r="B350" s="132"/>
      <c r="C350" s="332"/>
      <c r="D350" s="333"/>
      <c r="E350" s="333"/>
      <c r="F350" s="334"/>
      <c r="G350" s="337"/>
      <c r="H350" s="131"/>
      <c r="I350" s="337"/>
      <c r="J350" s="131"/>
      <c r="K350" s="458" t="str">
        <f t="shared" si="168"/>
        <v/>
      </c>
      <c r="L350" s="458">
        <f t="shared" si="180"/>
        <v>0</v>
      </c>
      <c r="M350" s="458">
        <f t="shared" si="181"/>
        <v>0</v>
      </c>
      <c r="N350" s="459" t="str">
        <f t="shared" si="169"/>
        <v/>
      </c>
      <c r="O350" s="459" t="str">
        <f t="shared" si="170"/>
        <v/>
      </c>
      <c r="P350" s="459" t="str">
        <f t="shared" si="171"/>
        <v/>
      </c>
      <c r="Q350" s="459" t="str">
        <f t="shared" si="172"/>
        <v/>
      </c>
      <c r="R350" s="459" t="str">
        <f t="shared" si="173"/>
        <v/>
      </c>
      <c r="S350" s="459" t="str">
        <f t="shared" si="174"/>
        <v/>
      </c>
      <c r="T350" s="566" t="str">
        <f t="shared" si="182"/>
        <v/>
      </c>
      <c r="U350" s="702"/>
      <c r="V350" s="132"/>
      <c r="W350" s="133"/>
      <c r="X350" s="134"/>
      <c r="Y350" s="135"/>
      <c r="Z350" s="137"/>
      <c r="AA350" s="136"/>
      <c r="AB350" s="566" t="str">
        <f t="shared" si="175"/>
        <v/>
      </c>
      <c r="AC350" s="568" t="str">
        <f t="shared" si="183"/>
        <v/>
      </c>
      <c r="AD350" s="137"/>
      <c r="AE350" s="137"/>
      <c r="AF350" s="138"/>
      <c r="AG350" s="138"/>
      <c r="AH350" s="592" t="str">
        <f t="shared" si="176"/>
        <v/>
      </c>
      <c r="AI350" s="592" t="str">
        <f t="shared" si="177"/>
        <v/>
      </c>
      <c r="AJ350" s="592" t="str">
        <f t="shared" si="178"/>
        <v/>
      </c>
      <c r="AK350" s="460" t="str">
        <f>IF(AU350="","",IF(OR(AZ350=8,AZ350=9),0,IF(OR(AW350=3,AW350=4,AW350=5,AW350=6),IF(LEFT(BF350,1)="1",INDEX(係数_NOX・PM低減,MATCH(AY350,【参考】排出係数!$AI$801:$AI$804,1),1),VLOOKUP(AU350,INDEX((係数_バス貨物_ガソリン,係数_バス貨物_CNG,係数_バス貨物_軽油,係数_バス貨物_メタノール,係数_バス貨物_LPG),MATCH(AY350,【参考】排出係数!$AI$4:$AI$671,1),1,BE350):INDEX((係数_バス貨物_ガソリン,係数_バス貨物_CNG,係数_バス貨物_軽油,係数_バス貨物_メタノール,係数_バス貨物_LPG),MATCH(AY350+1,【参考】排出係数!$AI$4:$AI$671,1)-1,5,BE350),4,FALSE)),IF(AND(BE350=3,LEFT(BF350,1)="1"),0.48,VLOOKUP(AU350,INDEX((係数_乗用_ガソリン,係数_乗用_CNG,係数_乗用_軽油,係数_乗用_メタノール,係数_乗用_LPG),1,1,BE350):INDEX((係数_乗用_ガソリン,係数_乗用_CNG,係数_乗用_軽油,係数_乗用_メタノール,係数_乗用_LPG),125,5,BE350),4,FALSE)))))</f>
        <v/>
      </c>
      <c r="AL350" s="461" t="str">
        <f t="shared" si="202"/>
        <v/>
      </c>
      <c r="AM350" s="460" t="str">
        <f>IF(AU350="","",IF(OR(AZ350=8,AZ350=9),0,IF(OR(AW350=3,AW350=4,AW350=5,AW350=6),IF(LEFT(BH350,1)="1",INDEX(係数_PM低減,MATCH(AY350,【参考】排出係数!$AI$801:$AI$804,1),MATCH(BI350,【参考】排出係数!$AL$798:$AO$798,1)),VLOOKUP(AU350,INDEX((係数_バス貨物_ガソリン,係数_バス貨物_CNG,係数_バス貨物_軽油,係数_バス貨物_メタノール,係数_バス貨物_LPG),MATCH(AY350,【参考】排出係数!$AI$4:$AI$671,1),1,BE350):INDEX((係数_バス貨物_ガソリン,係数_バス貨物_CNG,係数_バス貨物_軽油,係数_バス貨物_メタノール,係数_バス貨物_LPG),MATCH(AY350+1,【参考】排出係数!$AI$4:$AI$671,1)-1,5,BE350),5,FALSE)),IF(AND(BE350=3,LEFT(BF350,1)="1"),0.055,VLOOKUP(AU350,INDEX((係数_乗用_ガソリン,係数_乗用_CNG,係数_乗用_軽油,係数_乗用_メタノール,係数_乗用_LPG),1,1,BE350):INDEX((係数_乗用_ガソリン,係数_乗用_CNG,係数_乗用_軽油,係数_乗用_メタノール,係数_乗用_LPG),125,5,BE350),5,FALSE)))))</f>
        <v/>
      </c>
      <c r="AN350" s="461" t="str">
        <f t="shared" si="203"/>
        <v/>
      </c>
      <c r="AO350" s="462" t="str">
        <f t="shared" si="204"/>
        <v/>
      </c>
      <c r="AP350" s="463" t="str">
        <f t="shared" si="205"/>
        <v/>
      </c>
      <c r="AQ350" s="464"/>
      <c r="AR350" s="619"/>
      <c r="AS350" s="465" t="str">
        <f t="shared" si="184"/>
        <v/>
      </c>
      <c r="AT350" s="465" t="str">
        <f t="shared" si="185"/>
        <v/>
      </c>
      <c r="AU350" s="466" t="str">
        <f t="shared" si="186"/>
        <v/>
      </c>
      <c r="AV350" s="467" t="str">
        <f t="shared" si="187"/>
        <v/>
      </c>
      <c r="AW350" s="467" t="str">
        <f t="shared" si="188"/>
        <v/>
      </c>
      <c r="AX350" s="467" t="str">
        <f t="shared" si="189"/>
        <v/>
      </c>
      <c r="AY350" s="467" t="str">
        <f t="shared" si="190"/>
        <v/>
      </c>
      <c r="AZ350" s="467" t="str">
        <f t="shared" si="191"/>
        <v/>
      </c>
      <c r="BA350" s="468" t="str">
        <f>IF(AS350="","",IF(OR(AU350="",AU350="-"),"－",IF(OR(AZ350=8,AZ350=9),"",IF(OR(AW350=3,AW350=4,AW350=5,AW350=6),VLOOKUP(AU350,INDEX((係数_バス貨物_ガソリン,係数_バス貨物_CNG,係数_バス貨物_軽油,係数_バス貨物_メタノール,係数_バス貨物_LPG),MATCH(AY350,【参考】排出係数!$AI$4:$AI$671,1),1,BE350):INDEX((係数_バス貨物_ガソリン,係数_バス貨物_CNG,係数_バス貨物_軽油,係数_バス貨物_メタノール,係数_バス貨物_LPG),MATCH(AY350+1,【参考】排出係数!$AI$4:$AI$671,1)-1,5,BE350),2,FALSE),IF(OR(AW350=1,AW350=2),VLOOKUP(AU350,INDEX((係数_乗用_ガソリン,係数_乗用_CNG,係数_乗用_軽油,係数_乗用_メタノール,係数_乗用_LPG),1,1,BE350):INDEX((係数_乗用_ガソリン,係数_乗用_CNG,係数_乗用_軽油,係数_乗用_メタノール,係数_乗用_LPG),125,5,BE350),2,FALSE))))))</f>
        <v/>
      </c>
      <c r="BB350" s="468" t="str">
        <f>IF(T350="","",IF(OR(AU350="",AU350="-"),"－",IF(OR(AZ350=8,AZ350=9),"",IF(OR(AW350=3,AW350=4,AW350=5,AW350=6),VLOOKUP(AU350,INDEX((係数_バス貨物_ガソリン,係数_バス貨物_CNG,係数_バス貨物_軽油,係数_バス貨物_メタノール,係数_バス貨物_LPG),MATCH(AY350,【参考】排出係数!$AI$4:$AI$671,1),1,BE350):INDEX((係数_バス貨物_ガソリン,係数_バス貨物_CNG,係数_バス貨物_軽油,係数_バス貨物_メタノール,係数_バス貨物_LPG),MATCH(AY350+1,【参考】排出係数!$AI$4:$AI$671,1)-1,5,BE350),3,FALSE),IF(OR(AW350=1,AW350=2),VLOOKUP(AU350,INDEX((係数_乗用_ガソリン,係数_乗用_CNG,係数_乗用_軽油,係数_乗用_メタノール,係数_乗用_LPG),1,1,BE350):INDEX((係数_乗用_ガソリン,係数_乗用_CNG,係数_乗用_軽油,係数_乗用_メタノール,係数_乗用_LPG),125,5,BE350),3,FALSE))))))</f>
        <v/>
      </c>
      <c r="BC350" s="467" t="str">
        <f t="shared" si="192"/>
        <v/>
      </c>
      <c r="BD350" s="567" t="str">
        <f t="shared" si="193"/>
        <v/>
      </c>
      <c r="BE350" s="467" t="str">
        <f t="shared" si="194"/>
        <v/>
      </c>
      <c r="BF350" s="469" t="str">
        <f t="shared" ca="1" si="195"/>
        <v/>
      </c>
      <c r="BG350" s="469" t="str">
        <f t="shared" ca="1" si="196"/>
        <v/>
      </c>
      <c r="BH350" s="467" t="str">
        <f t="shared" si="197"/>
        <v/>
      </c>
      <c r="BI350" s="467" t="str">
        <f t="shared" ca="1" si="198"/>
        <v/>
      </c>
      <c r="BJ350" s="469" t="str">
        <f t="shared" si="199"/>
        <v/>
      </c>
      <c r="BK350" s="470" t="str">
        <f t="shared" si="179"/>
        <v/>
      </c>
      <c r="BL350" s="775" t="str">
        <f t="shared" si="200"/>
        <v/>
      </c>
      <c r="BM350" s="775" t="str">
        <f t="shared" si="201"/>
        <v/>
      </c>
    </row>
    <row r="351" spans="1:65">
      <c r="A351" s="473">
        <v>295</v>
      </c>
      <c r="B351" s="132"/>
      <c r="C351" s="332"/>
      <c r="D351" s="333"/>
      <c r="E351" s="333"/>
      <c r="F351" s="334"/>
      <c r="G351" s="337"/>
      <c r="H351" s="131"/>
      <c r="I351" s="337"/>
      <c r="J351" s="131"/>
      <c r="K351" s="458" t="str">
        <f t="shared" si="168"/>
        <v/>
      </c>
      <c r="L351" s="458">
        <f t="shared" si="180"/>
        <v>0</v>
      </c>
      <c r="M351" s="458">
        <f t="shared" si="181"/>
        <v>0</v>
      </c>
      <c r="N351" s="459" t="str">
        <f t="shared" si="169"/>
        <v/>
      </c>
      <c r="O351" s="459" t="str">
        <f t="shared" si="170"/>
        <v/>
      </c>
      <c r="P351" s="459" t="str">
        <f t="shared" si="171"/>
        <v/>
      </c>
      <c r="Q351" s="459" t="str">
        <f t="shared" si="172"/>
        <v/>
      </c>
      <c r="R351" s="459" t="str">
        <f t="shared" si="173"/>
        <v/>
      </c>
      <c r="S351" s="459" t="str">
        <f t="shared" si="174"/>
        <v/>
      </c>
      <c r="T351" s="566" t="str">
        <f t="shared" si="182"/>
        <v/>
      </c>
      <c r="U351" s="702"/>
      <c r="V351" s="132"/>
      <c r="W351" s="133"/>
      <c r="X351" s="134"/>
      <c r="Y351" s="135"/>
      <c r="Z351" s="137"/>
      <c r="AA351" s="136"/>
      <c r="AB351" s="566" t="str">
        <f t="shared" si="175"/>
        <v/>
      </c>
      <c r="AC351" s="568" t="str">
        <f t="shared" si="183"/>
        <v/>
      </c>
      <c r="AD351" s="137"/>
      <c r="AE351" s="137"/>
      <c r="AF351" s="138"/>
      <c r="AG351" s="138"/>
      <c r="AH351" s="592" t="str">
        <f t="shared" si="176"/>
        <v/>
      </c>
      <c r="AI351" s="592" t="str">
        <f t="shared" si="177"/>
        <v/>
      </c>
      <c r="AJ351" s="592" t="str">
        <f t="shared" si="178"/>
        <v/>
      </c>
      <c r="AK351" s="460" t="str">
        <f>IF(AU351="","",IF(OR(AZ351=8,AZ351=9),0,IF(OR(AW351=3,AW351=4,AW351=5,AW351=6),IF(LEFT(BF351,1)="1",INDEX(係数_NOX・PM低減,MATCH(AY351,【参考】排出係数!$AI$801:$AI$804,1),1),VLOOKUP(AU351,INDEX((係数_バス貨物_ガソリン,係数_バス貨物_CNG,係数_バス貨物_軽油,係数_バス貨物_メタノール,係数_バス貨物_LPG),MATCH(AY351,【参考】排出係数!$AI$4:$AI$671,1),1,BE351):INDEX((係数_バス貨物_ガソリン,係数_バス貨物_CNG,係数_バス貨物_軽油,係数_バス貨物_メタノール,係数_バス貨物_LPG),MATCH(AY351+1,【参考】排出係数!$AI$4:$AI$671,1)-1,5,BE351),4,FALSE)),IF(AND(BE351=3,LEFT(BF351,1)="1"),0.48,VLOOKUP(AU351,INDEX((係数_乗用_ガソリン,係数_乗用_CNG,係数_乗用_軽油,係数_乗用_メタノール,係数_乗用_LPG),1,1,BE351):INDEX((係数_乗用_ガソリン,係数_乗用_CNG,係数_乗用_軽油,係数_乗用_メタノール,係数_乗用_LPG),125,5,BE351),4,FALSE)))))</f>
        <v/>
      </c>
      <c r="AL351" s="461" t="str">
        <f t="shared" si="202"/>
        <v/>
      </c>
      <c r="AM351" s="460" t="str">
        <f>IF(AU351="","",IF(OR(AZ351=8,AZ351=9),0,IF(OR(AW351=3,AW351=4,AW351=5,AW351=6),IF(LEFT(BH351,1)="1",INDEX(係数_PM低減,MATCH(AY351,【参考】排出係数!$AI$801:$AI$804,1),MATCH(BI351,【参考】排出係数!$AL$798:$AO$798,1)),VLOOKUP(AU351,INDEX((係数_バス貨物_ガソリン,係数_バス貨物_CNG,係数_バス貨物_軽油,係数_バス貨物_メタノール,係数_バス貨物_LPG),MATCH(AY351,【参考】排出係数!$AI$4:$AI$671,1),1,BE351):INDEX((係数_バス貨物_ガソリン,係数_バス貨物_CNG,係数_バス貨物_軽油,係数_バス貨物_メタノール,係数_バス貨物_LPG),MATCH(AY351+1,【参考】排出係数!$AI$4:$AI$671,1)-1,5,BE351),5,FALSE)),IF(AND(BE351=3,LEFT(BF351,1)="1"),0.055,VLOOKUP(AU351,INDEX((係数_乗用_ガソリン,係数_乗用_CNG,係数_乗用_軽油,係数_乗用_メタノール,係数_乗用_LPG),1,1,BE351):INDEX((係数_乗用_ガソリン,係数_乗用_CNG,係数_乗用_軽油,係数_乗用_メタノール,係数_乗用_LPG),125,5,BE351),5,FALSE)))))</f>
        <v/>
      </c>
      <c r="AN351" s="461" t="str">
        <f t="shared" si="203"/>
        <v/>
      </c>
      <c r="AO351" s="462" t="str">
        <f t="shared" si="204"/>
        <v/>
      </c>
      <c r="AP351" s="463" t="str">
        <f t="shared" si="205"/>
        <v/>
      </c>
      <c r="AQ351" s="464"/>
      <c r="AR351" s="619"/>
      <c r="AS351" s="465" t="str">
        <f t="shared" si="184"/>
        <v/>
      </c>
      <c r="AT351" s="465" t="str">
        <f t="shared" si="185"/>
        <v/>
      </c>
      <c r="AU351" s="466" t="str">
        <f t="shared" si="186"/>
        <v/>
      </c>
      <c r="AV351" s="467" t="str">
        <f t="shared" si="187"/>
        <v/>
      </c>
      <c r="AW351" s="467" t="str">
        <f t="shared" si="188"/>
        <v/>
      </c>
      <c r="AX351" s="467" t="str">
        <f t="shared" si="189"/>
        <v/>
      </c>
      <c r="AY351" s="467" t="str">
        <f t="shared" si="190"/>
        <v/>
      </c>
      <c r="AZ351" s="467" t="str">
        <f t="shared" si="191"/>
        <v/>
      </c>
      <c r="BA351" s="468" t="str">
        <f>IF(AS351="","",IF(OR(AU351="",AU351="-"),"－",IF(OR(AZ351=8,AZ351=9),"",IF(OR(AW351=3,AW351=4,AW351=5,AW351=6),VLOOKUP(AU351,INDEX((係数_バス貨物_ガソリン,係数_バス貨物_CNG,係数_バス貨物_軽油,係数_バス貨物_メタノール,係数_バス貨物_LPG),MATCH(AY351,【参考】排出係数!$AI$4:$AI$671,1),1,BE351):INDEX((係数_バス貨物_ガソリン,係数_バス貨物_CNG,係数_バス貨物_軽油,係数_バス貨物_メタノール,係数_バス貨物_LPG),MATCH(AY351+1,【参考】排出係数!$AI$4:$AI$671,1)-1,5,BE351),2,FALSE),IF(OR(AW351=1,AW351=2),VLOOKUP(AU351,INDEX((係数_乗用_ガソリン,係数_乗用_CNG,係数_乗用_軽油,係数_乗用_メタノール,係数_乗用_LPG),1,1,BE351):INDEX((係数_乗用_ガソリン,係数_乗用_CNG,係数_乗用_軽油,係数_乗用_メタノール,係数_乗用_LPG),125,5,BE351),2,FALSE))))))</f>
        <v/>
      </c>
      <c r="BB351" s="468" t="str">
        <f>IF(T351="","",IF(OR(AU351="",AU351="-"),"－",IF(OR(AZ351=8,AZ351=9),"",IF(OR(AW351=3,AW351=4,AW351=5,AW351=6),VLOOKUP(AU351,INDEX((係数_バス貨物_ガソリン,係数_バス貨物_CNG,係数_バス貨物_軽油,係数_バス貨物_メタノール,係数_バス貨物_LPG),MATCH(AY351,【参考】排出係数!$AI$4:$AI$671,1),1,BE351):INDEX((係数_バス貨物_ガソリン,係数_バス貨物_CNG,係数_バス貨物_軽油,係数_バス貨物_メタノール,係数_バス貨物_LPG),MATCH(AY351+1,【参考】排出係数!$AI$4:$AI$671,1)-1,5,BE351),3,FALSE),IF(OR(AW351=1,AW351=2),VLOOKUP(AU351,INDEX((係数_乗用_ガソリン,係数_乗用_CNG,係数_乗用_軽油,係数_乗用_メタノール,係数_乗用_LPG),1,1,BE351):INDEX((係数_乗用_ガソリン,係数_乗用_CNG,係数_乗用_軽油,係数_乗用_メタノール,係数_乗用_LPG),125,5,BE351),3,FALSE))))))</f>
        <v/>
      </c>
      <c r="BC351" s="467" t="str">
        <f t="shared" si="192"/>
        <v/>
      </c>
      <c r="BD351" s="567" t="str">
        <f t="shared" si="193"/>
        <v/>
      </c>
      <c r="BE351" s="467" t="str">
        <f t="shared" si="194"/>
        <v/>
      </c>
      <c r="BF351" s="469" t="str">
        <f t="shared" ca="1" si="195"/>
        <v/>
      </c>
      <c r="BG351" s="469" t="str">
        <f t="shared" ca="1" si="196"/>
        <v/>
      </c>
      <c r="BH351" s="467" t="str">
        <f t="shared" si="197"/>
        <v/>
      </c>
      <c r="BI351" s="467" t="str">
        <f t="shared" ca="1" si="198"/>
        <v/>
      </c>
      <c r="BJ351" s="469" t="str">
        <f t="shared" si="199"/>
        <v/>
      </c>
      <c r="BK351" s="470" t="str">
        <f t="shared" si="179"/>
        <v/>
      </c>
      <c r="BL351" s="775" t="str">
        <f t="shared" si="200"/>
        <v/>
      </c>
      <c r="BM351" s="775" t="str">
        <f t="shared" si="201"/>
        <v/>
      </c>
    </row>
    <row r="352" spans="1:65">
      <c r="A352" s="473">
        <v>296</v>
      </c>
      <c r="B352" s="132"/>
      <c r="C352" s="332"/>
      <c r="D352" s="333"/>
      <c r="E352" s="333"/>
      <c r="F352" s="334"/>
      <c r="G352" s="337"/>
      <c r="H352" s="131"/>
      <c r="I352" s="337"/>
      <c r="J352" s="131"/>
      <c r="K352" s="458" t="str">
        <f t="shared" si="168"/>
        <v/>
      </c>
      <c r="L352" s="458">
        <f t="shared" si="180"/>
        <v>0</v>
      </c>
      <c r="M352" s="458">
        <f t="shared" si="181"/>
        <v>0</v>
      </c>
      <c r="N352" s="459" t="str">
        <f t="shared" si="169"/>
        <v/>
      </c>
      <c r="O352" s="459" t="str">
        <f t="shared" si="170"/>
        <v/>
      </c>
      <c r="P352" s="459" t="str">
        <f t="shared" si="171"/>
        <v/>
      </c>
      <c r="Q352" s="459" t="str">
        <f t="shared" si="172"/>
        <v/>
      </c>
      <c r="R352" s="459" t="str">
        <f t="shared" si="173"/>
        <v/>
      </c>
      <c r="S352" s="459" t="str">
        <f t="shared" si="174"/>
        <v/>
      </c>
      <c r="T352" s="566" t="str">
        <f t="shared" si="182"/>
        <v/>
      </c>
      <c r="U352" s="702"/>
      <c r="V352" s="132"/>
      <c r="W352" s="133"/>
      <c r="X352" s="134"/>
      <c r="Y352" s="135"/>
      <c r="Z352" s="137"/>
      <c r="AA352" s="136"/>
      <c r="AB352" s="566" t="str">
        <f t="shared" si="175"/>
        <v/>
      </c>
      <c r="AC352" s="568" t="str">
        <f t="shared" si="183"/>
        <v/>
      </c>
      <c r="AD352" s="137"/>
      <c r="AE352" s="137"/>
      <c r="AF352" s="138"/>
      <c r="AG352" s="138"/>
      <c r="AH352" s="592" t="str">
        <f t="shared" si="176"/>
        <v/>
      </c>
      <c r="AI352" s="592" t="str">
        <f t="shared" si="177"/>
        <v/>
      </c>
      <c r="AJ352" s="592" t="str">
        <f t="shared" si="178"/>
        <v/>
      </c>
      <c r="AK352" s="460" t="str">
        <f>IF(AU352="","",IF(OR(AZ352=8,AZ352=9),0,IF(OR(AW352=3,AW352=4,AW352=5,AW352=6),IF(LEFT(BF352,1)="1",INDEX(係数_NOX・PM低減,MATCH(AY352,【参考】排出係数!$AI$801:$AI$804,1),1),VLOOKUP(AU352,INDEX((係数_バス貨物_ガソリン,係数_バス貨物_CNG,係数_バス貨物_軽油,係数_バス貨物_メタノール,係数_バス貨物_LPG),MATCH(AY352,【参考】排出係数!$AI$4:$AI$671,1),1,BE352):INDEX((係数_バス貨物_ガソリン,係数_バス貨物_CNG,係数_バス貨物_軽油,係数_バス貨物_メタノール,係数_バス貨物_LPG),MATCH(AY352+1,【参考】排出係数!$AI$4:$AI$671,1)-1,5,BE352),4,FALSE)),IF(AND(BE352=3,LEFT(BF352,1)="1"),0.48,VLOOKUP(AU352,INDEX((係数_乗用_ガソリン,係数_乗用_CNG,係数_乗用_軽油,係数_乗用_メタノール,係数_乗用_LPG),1,1,BE352):INDEX((係数_乗用_ガソリン,係数_乗用_CNG,係数_乗用_軽油,係数_乗用_メタノール,係数_乗用_LPG),125,5,BE352),4,FALSE)))))</f>
        <v/>
      </c>
      <c r="AL352" s="461" t="str">
        <f t="shared" si="202"/>
        <v/>
      </c>
      <c r="AM352" s="460" t="str">
        <f>IF(AU352="","",IF(OR(AZ352=8,AZ352=9),0,IF(OR(AW352=3,AW352=4,AW352=5,AW352=6),IF(LEFT(BH352,1)="1",INDEX(係数_PM低減,MATCH(AY352,【参考】排出係数!$AI$801:$AI$804,1),MATCH(BI352,【参考】排出係数!$AL$798:$AO$798,1)),VLOOKUP(AU352,INDEX((係数_バス貨物_ガソリン,係数_バス貨物_CNG,係数_バス貨物_軽油,係数_バス貨物_メタノール,係数_バス貨物_LPG),MATCH(AY352,【参考】排出係数!$AI$4:$AI$671,1),1,BE352):INDEX((係数_バス貨物_ガソリン,係数_バス貨物_CNG,係数_バス貨物_軽油,係数_バス貨物_メタノール,係数_バス貨物_LPG),MATCH(AY352+1,【参考】排出係数!$AI$4:$AI$671,1)-1,5,BE352),5,FALSE)),IF(AND(BE352=3,LEFT(BF352,1)="1"),0.055,VLOOKUP(AU352,INDEX((係数_乗用_ガソリン,係数_乗用_CNG,係数_乗用_軽油,係数_乗用_メタノール,係数_乗用_LPG),1,1,BE352):INDEX((係数_乗用_ガソリン,係数_乗用_CNG,係数_乗用_軽油,係数_乗用_メタノール,係数_乗用_LPG),125,5,BE352),5,FALSE)))))</f>
        <v/>
      </c>
      <c r="AN352" s="461" t="str">
        <f t="shared" si="203"/>
        <v/>
      </c>
      <c r="AO352" s="462" t="str">
        <f t="shared" si="204"/>
        <v/>
      </c>
      <c r="AP352" s="463" t="str">
        <f t="shared" si="205"/>
        <v/>
      </c>
      <c r="AQ352" s="464"/>
      <c r="AR352" s="619"/>
      <c r="AS352" s="465" t="str">
        <f t="shared" si="184"/>
        <v/>
      </c>
      <c r="AT352" s="465" t="str">
        <f t="shared" si="185"/>
        <v/>
      </c>
      <c r="AU352" s="466" t="str">
        <f t="shared" si="186"/>
        <v/>
      </c>
      <c r="AV352" s="467" t="str">
        <f t="shared" si="187"/>
        <v/>
      </c>
      <c r="AW352" s="467" t="str">
        <f t="shared" si="188"/>
        <v/>
      </c>
      <c r="AX352" s="467" t="str">
        <f t="shared" si="189"/>
        <v/>
      </c>
      <c r="AY352" s="467" t="str">
        <f t="shared" si="190"/>
        <v/>
      </c>
      <c r="AZ352" s="467" t="str">
        <f t="shared" si="191"/>
        <v/>
      </c>
      <c r="BA352" s="468" t="str">
        <f>IF(AS352="","",IF(OR(AU352="",AU352="-"),"－",IF(OR(AZ352=8,AZ352=9),"",IF(OR(AW352=3,AW352=4,AW352=5,AW352=6),VLOOKUP(AU352,INDEX((係数_バス貨物_ガソリン,係数_バス貨物_CNG,係数_バス貨物_軽油,係数_バス貨物_メタノール,係数_バス貨物_LPG),MATCH(AY352,【参考】排出係数!$AI$4:$AI$671,1),1,BE352):INDEX((係数_バス貨物_ガソリン,係数_バス貨物_CNG,係数_バス貨物_軽油,係数_バス貨物_メタノール,係数_バス貨物_LPG),MATCH(AY352+1,【参考】排出係数!$AI$4:$AI$671,1)-1,5,BE352),2,FALSE),IF(OR(AW352=1,AW352=2),VLOOKUP(AU352,INDEX((係数_乗用_ガソリン,係数_乗用_CNG,係数_乗用_軽油,係数_乗用_メタノール,係数_乗用_LPG),1,1,BE352):INDEX((係数_乗用_ガソリン,係数_乗用_CNG,係数_乗用_軽油,係数_乗用_メタノール,係数_乗用_LPG),125,5,BE352),2,FALSE))))))</f>
        <v/>
      </c>
      <c r="BB352" s="468" t="str">
        <f>IF(T352="","",IF(OR(AU352="",AU352="-"),"－",IF(OR(AZ352=8,AZ352=9),"",IF(OR(AW352=3,AW352=4,AW352=5,AW352=6),VLOOKUP(AU352,INDEX((係数_バス貨物_ガソリン,係数_バス貨物_CNG,係数_バス貨物_軽油,係数_バス貨物_メタノール,係数_バス貨物_LPG),MATCH(AY352,【参考】排出係数!$AI$4:$AI$671,1),1,BE352):INDEX((係数_バス貨物_ガソリン,係数_バス貨物_CNG,係数_バス貨物_軽油,係数_バス貨物_メタノール,係数_バス貨物_LPG),MATCH(AY352+1,【参考】排出係数!$AI$4:$AI$671,1)-1,5,BE352),3,FALSE),IF(OR(AW352=1,AW352=2),VLOOKUP(AU352,INDEX((係数_乗用_ガソリン,係数_乗用_CNG,係数_乗用_軽油,係数_乗用_メタノール,係数_乗用_LPG),1,1,BE352):INDEX((係数_乗用_ガソリン,係数_乗用_CNG,係数_乗用_軽油,係数_乗用_メタノール,係数_乗用_LPG),125,5,BE352),3,FALSE))))))</f>
        <v/>
      </c>
      <c r="BC352" s="467" t="str">
        <f t="shared" si="192"/>
        <v/>
      </c>
      <c r="BD352" s="567" t="str">
        <f t="shared" si="193"/>
        <v/>
      </c>
      <c r="BE352" s="467" t="str">
        <f t="shared" si="194"/>
        <v/>
      </c>
      <c r="BF352" s="469" t="str">
        <f t="shared" ca="1" si="195"/>
        <v/>
      </c>
      <c r="BG352" s="469" t="str">
        <f t="shared" ca="1" si="196"/>
        <v/>
      </c>
      <c r="BH352" s="467" t="str">
        <f t="shared" si="197"/>
        <v/>
      </c>
      <c r="BI352" s="467" t="str">
        <f t="shared" ca="1" si="198"/>
        <v/>
      </c>
      <c r="BJ352" s="469" t="str">
        <f t="shared" si="199"/>
        <v/>
      </c>
      <c r="BK352" s="470" t="str">
        <f t="shared" si="179"/>
        <v/>
      </c>
      <c r="BL352" s="775" t="str">
        <f t="shared" si="200"/>
        <v/>
      </c>
      <c r="BM352" s="775" t="str">
        <f t="shared" si="201"/>
        <v/>
      </c>
    </row>
    <row r="353" spans="1:65">
      <c r="A353" s="473">
        <v>297</v>
      </c>
      <c r="B353" s="132"/>
      <c r="C353" s="332"/>
      <c r="D353" s="333"/>
      <c r="E353" s="333"/>
      <c r="F353" s="334"/>
      <c r="G353" s="337"/>
      <c r="H353" s="131"/>
      <c r="I353" s="337"/>
      <c r="J353" s="131"/>
      <c r="K353" s="458" t="str">
        <f t="shared" si="168"/>
        <v/>
      </c>
      <c r="L353" s="458">
        <f t="shared" si="180"/>
        <v>0</v>
      </c>
      <c r="M353" s="458">
        <f t="shared" si="181"/>
        <v>0</v>
      </c>
      <c r="N353" s="459" t="str">
        <f t="shared" si="169"/>
        <v/>
      </c>
      <c r="O353" s="459" t="str">
        <f t="shared" si="170"/>
        <v/>
      </c>
      <c r="P353" s="459" t="str">
        <f t="shared" si="171"/>
        <v/>
      </c>
      <c r="Q353" s="459" t="str">
        <f t="shared" si="172"/>
        <v/>
      </c>
      <c r="R353" s="459" t="str">
        <f t="shared" si="173"/>
        <v/>
      </c>
      <c r="S353" s="459" t="str">
        <f t="shared" si="174"/>
        <v/>
      </c>
      <c r="T353" s="566" t="str">
        <f t="shared" si="182"/>
        <v/>
      </c>
      <c r="U353" s="702"/>
      <c r="V353" s="132"/>
      <c r="W353" s="133"/>
      <c r="X353" s="134"/>
      <c r="Y353" s="135"/>
      <c r="Z353" s="137"/>
      <c r="AA353" s="136"/>
      <c r="AB353" s="566" t="str">
        <f t="shared" si="175"/>
        <v/>
      </c>
      <c r="AC353" s="568" t="str">
        <f t="shared" si="183"/>
        <v/>
      </c>
      <c r="AD353" s="137"/>
      <c r="AE353" s="137"/>
      <c r="AF353" s="138"/>
      <c r="AG353" s="138"/>
      <c r="AH353" s="592" t="str">
        <f t="shared" si="176"/>
        <v/>
      </c>
      <c r="AI353" s="592" t="str">
        <f t="shared" si="177"/>
        <v/>
      </c>
      <c r="AJ353" s="592" t="str">
        <f t="shared" si="178"/>
        <v/>
      </c>
      <c r="AK353" s="460" t="str">
        <f>IF(AU353="","",IF(OR(AZ353=8,AZ353=9),0,IF(OR(AW353=3,AW353=4,AW353=5,AW353=6),IF(LEFT(BF353,1)="1",INDEX(係数_NOX・PM低減,MATCH(AY353,【参考】排出係数!$AI$801:$AI$804,1),1),VLOOKUP(AU353,INDEX((係数_バス貨物_ガソリン,係数_バス貨物_CNG,係数_バス貨物_軽油,係数_バス貨物_メタノール,係数_バス貨物_LPG),MATCH(AY353,【参考】排出係数!$AI$4:$AI$671,1),1,BE353):INDEX((係数_バス貨物_ガソリン,係数_バス貨物_CNG,係数_バス貨物_軽油,係数_バス貨物_メタノール,係数_バス貨物_LPG),MATCH(AY353+1,【参考】排出係数!$AI$4:$AI$671,1)-1,5,BE353),4,FALSE)),IF(AND(BE353=3,LEFT(BF353,1)="1"),0.48,VLOOKUP(AU353,INDEX((係数_乗用_ガソリン,係数_乗用_CNG,係数_乗用_軽油,係数_乗用_メタノール,係数_乗用_LPG),1,1,BE353):INDEX((係数_乗用_ガソリン,係数_乗用_CNG,係数_乗用_軽油,係数_乗用_メタノール,係数_乗用_LPG),125,5,BE353),4,FALSE)))))</f>
        <v/>
      </c>
      <c r="AL353" s="461" t="str">
        <f t="shared" si="202"/>
        <v/>
      </c>
      <c r="AM353" s="460" t="str">
        <f>IF(AU353="","",IF(OR(AZ353=8,AZ353=9),0,IF(OR(AW353=3,AW353=4,AW353=5,AW353=6),IF(LEFT(BH353,1)="1",INDEX(係数_PM低減,MATCH(AY353,【参考】排出係数!$AI$801:$AI$804,1),MATCH(BI353,【参考】排出係数!$AL$798:$AO$798,1)),VLOOKUP(AU353,INDEX((係数_バス貨物_ガソリン,係数_バス貨物_CNG,係数_バス貨物_軽油,係数_バス貨物_メタノール,係数_バス貨物_LPG),MATCH(AY353,【参考】排出係数!$AI$4:$AI$671,1),1,BE353):INDEX((係数_バス貨物_ガソリン,係数_バス貨物_CNG,係数_バス貨物_軽油,係数_バス貨物_メタノール,係数_バス貨物_LPG),MATCH(AY353+1,【参考】排出係数!$AI$4:$AI$671,1)-1,5,BE353),5,FALSE)),IF(AND(BE353=3,LEFT(BF353,1)="1"),0.055,VLOOKUP(AU353,INDEX((係数_乗用_ガソリン,係数_乗用_CNG,係数_乗用_軽油,係数_乗用_メタノール,係数_乗用_LPG),1,1,BE353):INDEX((係数_乗用_ガソリン,係数_乗用_CNG,係数_乗用_軽油,係数_乗用_メタノール,係数_乗用_LPG),125,5,BE353),5,FALSE)))))</f>
        <v/>
      </c>
      <c r="AN353" s="461" t="str">
        <f t="shared" si="203"/>
        <v/>
      </c>
      <c r="AO353" s="462" t="str">
        <f t="shared" si="204"/>
        <v/>
      </c>
      <c r="AP353" s="463" t="str">
        <f t="shared" si="205"/>
        <v/>
      </c>
      <c r="AQ353" s="464"/>
      <c r="AR353" s="619"/>
      <c r="AS353" s="465" t="str">
        <f t="shared" si="184"/>
        <v/>
      </c>
      <c r="AT353" s="465" t="str">
        <f t="shared" si="185"/>
        <v/>
      </c>
      <c r="AU353" s="466" t="str">
        <f t="shared" si="186"/>
        <v/>
      </c>
      <c r="AV353" s="467" t="str">
        <f t="shared" si="187"/>
        <v/>
      </c>
      <c r="AW353" s="467" t="str">
        <f t="shared" si="188"/>
        <v/>
      </c>
      <c r="AX353" s="467" t="str">
        <f t="shared" si="189"/>
        <v/>
      </c>
      <c r="AY353" s="467" t="str">
        <f t="shared" si="190"/>
        <v/>
      </c>
      <c r="AZ353" s="467" t="str">
        <f t="shared" si="191"/>
        <v/>
      </c>
      <c r="BA353" s="468" t="str">
        <f>IF(AS353="","",IF(OR(AU353="",AU353="-"),"－",IF(OR(AZ353=8,AZ353=9),"",IF(OR(AW353=3,AW353=4,AW353=5,AW353=6),VLOOKUP(AU353,INDEX((係数_バス貨物_ガソリン,係数_バス貨物_CNG,係数_バス貨物_軽油,係数_バス貨物_メタノール,係数_バス貨物_LPG),MATCH(AY353,【参考】排出係数!$AI$4:$AI$671,1),1,BE353):INDEX((係数_バス貨物_ガソリン,係数_バス貨物_CNG,係数_バス貨物_軽油,係数_バス貨物_メタノール,係数_バス貨物_LPG),MATCH(AY353+1,【参考】排出係数!$AI$4:$AI$671,1)-1,5,BE353),2,FALSE),IF(OR(AW353=1,AW353=2),VLOOKUP(AU353,INDEX((係数_乗用_ガソリン,係数_乗用_CNG,係数_乗用_軽油,係数_乗用_メタノール,係数_乗用_LPG),1,1,BE353):INDEX((係数_乗用_ガソリン,係数_乗用_CNG,係数_乗用_軽油,係数_乗用_メタノール,係数_乗用_LPG),125,5,BE353),2,FALSE))))))</f>
        <v/>
      </c>
      <c r="BB353" s="468" t="str">
        <f>IF(T353="","",IF(OR(AU353="",AU353="-"),"－",IF(OR(AZ353=8,AZ353=9),"",IF(OR(AW353=3,AW353=4,AW353=5,AW353=6),VLOOKUP(AU353,INDEX((係数_バス貨物_ガソリン,係数_バス貨物_CNG,係数_バス貨物_軽油,係数_バス貨物_メタノール,係数_バス貨物_LPG),MATCH(AY353,【参考】排出係数!$AI$4:$AI$671,1),1,BE353):INDEX((係数_バス貨物_ガソリン,係数_バス貨物_CNG,係数_バス貨物_軽油,係数_バス貨物_メタノール,係数_バス貨物_LPG),MATCH(AY353+1,【参考】排出係数!$AI$4:$AI$671,1)-1,5,BE353),3,FALSE),IF(OR(AW353=1,AW353=2),VLOOKUP(AU353,INDEX((係数_乗用_ガソリン,係数_乗用_CNG,係数_乗用_軽油,係数_乗用_メタノール,係数_乗用_LPG),1,1,BE353):INDEX((係数_乗用_ガソリン,係数_乗用_CNG,係数_乗用_軽油,係数_乗用_メタノール,係数_乗用_LPG),125,5,BE353),3,FALSE))))))</f>
        <v/>
      </c>
      <c r="BC353" s="467" t="str">
        <f t="shared" si="192"/>
        <v/>
      </c>
      <c r="BD353" s="567" t="str">
        <f t="shared" si="193"/>
        <v/>
      </c>
      <c r="BE353" s="467" t="str">
        <f t="shared" si="194"/>
        <v/>
      </c>
      <c r="BF353" s="469" t="str">
        <f t="shared" ca="1" si="195"/>
        <v/>
      </c>
      <c r="BG353" s="469" t="str">
        <f t="shared" ca="1" si="196"/>
        <v/>
      </c>
      <c r="BH353" s="467" t="str">
        <f t="shared" si="197"/>
        <v/>
      </c>
      <c r="BI353" s="467" t="str">
        <f t="shared" ca="1" si="198"/>
        <v/>
      </c>
      <c r="BJ353" s="469" t="str">
        <f t="shared" si="199"/>
        <v/>
      </c>
      <c r="BK353" s="470" t="str">
        <f t="shared" si="179"/>
        <v/>
      </c>
      <c r="BL353" s="775" t="str">
        <f t="shared" si="200"/>
        <v/>
      </c>
      <c r="BM353" s="775" t="str">
        <f t="shared" si="201"/>
        <v/>
      </c>
    </row>
    <row r="354" spans="1:65">
      <c r="A354" s="473">
        <v>298</v>
      </c>
      <c r="B354" s="132"/>
      <c r="C354" s="332"/>
      <c r="D354" s="333"/>
      <c r="E354" s="333"/>
      <c r="F354" s="334"/>
      <c r="G354" s="337"/>
      <c r="H354" s="131"/>
      <c r="I354" s="337"/>
      <c r="J354" s="131"/>
      <c r="K354" s="458" t="str">
        <f t="shared" si="168"/>
        <v/>
      </c>
      <c r="L354" s="458">
        <f t="shared" si="180"/>
        <v>0</v>
      </c>
      <c r="M354" s="458">
        <f t="shared" si="181"/>
        <v>0</v>
      </c>
      <c r="N354" s="459" t="str">
        <f t="shared" si="169"/>
        <v/>
      </c>
      <c r="O354" s="459" t="str">
        <f t="shared" si="170"/>
        <v/>
      </c>
      <c r="P354" s="459" t="str">
        <f t="shared" si="171"/>
        <v/>
      </c>
      <c r="Q354" s="459" t="str">
        <f t="shared" si="172"/>
        <v/>
      </c>
      <c r="R354" s="459" t="str">
        <f t="shared" si="173"/>
        <v/>
      </c>
      <c r="S354" s="459" t="str">
        <f t="shared" si="174"/>
        <v/>
      </c>
      <c r="T354" s="566" t="str">
        <f t="shared" si="182"/>
        <v/>
      </c>
      <c r="U354" s="702"/>
      <c r="V354" s="132"/>
      <c r="W354" s="133"/>
      <c r="X354" s="134"/>
      <c r="Y354" s="135"/>
      <c r="Z354" s="137"/>
      <c r="AA354" s="136"/>
      <c r="AB354" s="566" t="str">
        <f t="shared" si="175"/>
        <v/>
      </c>
      <c r="AC354" s="568" t="str">
        <f t="shared" si="183"/>
        <v/>
      </c>
      <c r="AD354" s="137"/>
      <c r="AE354" s="137"/>
      <c r="AF354" s="138"/>
      <c r="AG354" s="138"/>
      <c r="AH354" s="592" t="str">
        <f t="shared" si="176"/>
        <v/>
      </c>
      <c r="AI354" s="592" t="str">
        <f t="shared" si="177"/>
        <v/>
      </c>
      <c r="AJ354" s="592" t="str">
        <f t="shared" si="178"/>
        <v/>
      </c>
      <c r="AK354" s="460" t="str">
        <f>IF(AU354="","",IF(OR(AZ354=8,AZ354=9),0,IF(OR(AW354=3,AW354=4,AW354=5,AW354=6),IF(LEFT(BF354,1)="1",INDEX(係数_NOX・PM低減,MATCH(AY354,【参考】排出係数!$AI$801:$AI$804,1),1),VLOOKUP(AU354,INDEX((係数_バス貨物_ガソリン,係数_バス貨物_CNG,係数_バス貨物_軽油,係数_バス貨物_メタノール,係数_バス貨物_LPG),MATCH(AY354,【参考】排出係数!$AI$4:$AI$671,1),1,BE354):INDEX((係数_バス貨物_ガソリン,係数_バス貨物_CNG,係数_バス貨物_軽油,係数_バス貨物_メタノール,係数_バス貨物_LPG),MATCH(AY354+1,【参考】排出係数!$AI$4:$AI$671,1)-1,5,BE354),4,FALSE)),IF(AND(BE354=3,LEFT(BF354,1)="1"),0.48,VLOOKUP(AU354,INDEX((係数_乗用_ガソリン,係数_乗用_CNG,係数_乗用_軽油,係数_乗用_メタノール,係数_乗用_LPG),1,1,BE354):INDEX((係数_乗用_ガソリン,係数_乗用_CNG,係数_乗用_軽油,係数_乗用_メタノール,係数_乗用_LPG),125,5,BE354),4,FALSE)))))</f>
        <v/>
      </c>
      <c r="AL354" s="461" t="str">
        <f t="shared" si="202"/>
        <v/>
      </c>
      <c r="AM354" s="460" t="str">
        <f>IF(AU354="","",IF(OR(AZ354=8,AZ354=9),0,IF(OR(AW354=3,AW354=4,AW354=5,AW354=6),IF(LEFT(BH354,1)="1",INDEX(係数_PM低減,MATCH(AY354,【参考】排出係数!$AI$801:$AI$804,1),MATCH(BI354,【参考】排出係数!$AL$798:$AO$798,1)),VLOOKUP(AU354,INDEX((係数_バス貨物_ガソリン,係数_バス貨物_CNG,係数_バス貨物_軽油,係数_バス貨物_メタノール,係数_バス貨物_LPG),MATCH(AY354,【参考】排出係数!$AI$4:$AI$671,1),1,BE354):INDEX((係数_バス貨物_ガソリン,係数_バス貨物_CNG,係数_バス貨物_軽油,係数_バス貨物_メタノール,係数_バス貨物_LPG),MATCH(AY354+1,【参考】排出係数!$AI$4:$AI$671,1)-1,5,BE354),5,FALSE)),IF(AND(BE354=3,LEFT(BF354,1)="1"),0.055,VLOOKUP(AU354,INDEX((係数_乗用_ガソリン,係数_乗用_CNG,係数_乗用_軽油,係数_乗用_メタノール,係数_乗用_LPG),1,1,BE354):INDEX((係数_乗用_ガソリン,係数_乗用_CNG,係数_乗用_軽油,係数_乗用_メタノール,係数_乗用_LPG),125,5,BE354),5,FALSE)))))</f>
        <v/>
      </c>
      <c r="AN354" s="461" t="str">
        <f t="shared" si="203"/>
        <v/>
      </c>
      <c r="AO354" s="462" t="str">
        <f t="shared" si="204"/>
        <v/>
      </c>
      <c r="AP354" s="463" t="str">
        <f t="shared" si="205"/>
        <v/>
      </c>
      <c r="AQ354" s="464"/>
      <c r="AR354" s="619"/>
      <c r="AS354" s="465" t="str">
        <f t="shared" si="184"/>
        <v/>
      </c>
      <c r="AT354" s="465" t="str">
        <f t="shared" si="185"/>
        <v/>
      </c>
      <c r="AU354" s="466" t="str">
        <f t="shared" si="186"/>
        <v/>
      </c>
      <c r="AV354" s="467" t="str">
        <f t="shared" si="187"/>
        <v/>
      </c>
      <c r="AW354" s="467" t="str">
        <f t="shared" si="188"/>
        <v/>
      </c>
      <c r="AX354" s="467" t="str">
        <f t="shared" si="189"/>
        <v/>
      </c>
      <c r="AY354" s="467" t="str">
        <f t="shared" si="190"/>
        <v/>
      </c>
      <c r="AZ354" s="467" t="str">
        <f t="shared" si="191"/>
        <v/>
      </c>
      <c r="BA354" s="468" t="str">
        <f>IF(AS354="","",IF(OR(AU354="",AU354="-"),"－",IF(OR(AZ354=8,AZ354=9),"",IF(OR(AW354=3,AW354=4,AW354=5,AW354=6),VLOOKUP(AU354,INDEX((係数_バス貨物_ガソリン,係数_バス貨物_CNG,係数_バス貨物_軽油,係数_バス貨物_メタノール,係数_バス貨物_LPG),MATCH(AY354,【参考】排出係数!$AI$4:$AI$671,1),1,BE354):INDEX((係数_バス貨物_ガソリン,係数_バス貨物_CNG,係数_バス貨物_軽油,係数_バス貨物_メタノール,係数_バス貨物_LPG),MATCH(AY354+1,【参考】排出係数!$AI$4:$AI$671,1)-1,5,BE354),2,FALSE),IF(OR(AW354=1,AW354=2),VLOOKUP(AU354,INDEX((係数_乗用_ガソリン,係数_乗用_CNG,係数_乗用_軽油,係数_乗用_メタノール,係数_乗用_LPG),1,1,BE354):INDEX((係数_乗用_ガソリン,係数_乗用_CNG,係数_乗用_軽油,係数_乗用_メタノール,係数_乗用_LPG),125,5,BE354),2,FALSE))))))</f>
        <v/>
      </c>
      <c r="BB354" s="468" t="str">
        <f>IF(T354="","",IF(OR(AU354="",AU354="-"),"－",IF(OR(AZ354=8,AZ354=9),"",IF(OR(AW354=3,AW354=4,AW354=5,AW354=6),VLOOKUP(AU354,INDEX((係数_バス貨物_ガソリン,係数_バス貨物_CNG,係数_バス貨物_軽油,係数_バス貨物_メタノール,係数_バス貨物_LPG),MATCH(AY354,【参考】排出係数!$AI$4:$AI$671,1),1,BE354):INDEX((係数_バス貨物_ガソリン,係数_バス貨物_CNG,係数_バス貨物_軽油,係数_バス貨物_メタノール,係数_バス貨物_LPG),MATCH(AY354+1,【参考】排出係数!$AI$4:$AI$671,1)-1,5,BE354),3,FALSE),IF(OR(AW354=1,AW354=2),VLOOKUP(AU354,INDEX((係数_乗用_ガソリン,係数_乗用_CNG,係数_乗用_軽油,係数_乗用_メタノール,係数_乗用_LPG),1,1,BE354):INDEX((係数_乗用_ガソリン,係数_乗用_CNG,係数_乗用_軽油,係数_乗用_メタノール,係数_乗用_LPG),125,5,BE354),3,FALSE))))))</f>
        <v/>
      </c>
      <c r="BC354" s="467" t="str">
        <f t="shared" si="192"/>
        <v/>
      </c>
      <c r="BD354" s="567" t="str">
        <f t="shared" si="193"/>
        <v/>
      </c>
      <c r="BE354" s="467" t="str">
        <f t="shared" si="194"/>
        <v/>
      </c>
      <c r="BF354" s="469" t="str">
        <f t="shared" ca="1" si="195"/>
        <v/>
      </c>
      <c r="BG354" s="469" t="str">
        <f t="shared" ca="1" si="196"/>
        <v/>
      </c>
      <c r="BH354" s="467" t="str">
        <f t="shared" si="197"/>
        <v/>
      </c>
      <c r="BI354" s="467" t="str">
        <f t="shared" ca="1" si="198"/>
        <v/>
      </c>
      <c r="BJ354" s="469" t="str">
        <f t="shared" si="199"/>
        <v/>
      </c>
      <c r="BK354" s="470" t="str">
        <f t="shared" si="179"/>
        <v/>
      </c>
      <c r="BL354" s="775" t="str">
        <f t="shared" si="200"/>
        <v/>
      </c>
      <c r="BM354" s="775" t="str">
        <f t="shared" si="201"/>
        <v/>
      </c>
    </row>
    <row r="355" spans="1:65">
      <c r="A355" s="473">
        <v>299</v>
      </c>
      <c r="B355" s="132"/>
      <c r="C355" s="332"/>
      <c r="D355" s="333"/>
      <c r="E355" s="333"/>
      <c r="F355" s="334"/>
      <c r="G355" s="337"/>
      <c r="H355" s="131"/>
      <c r="I355" s="337"/>
      <c r="J355" s="131"/>
      <c r="K355" s="458" t="str">
        <f t="shared" si="168"/>
        <v/>
      </c>
      <c r="L355" s="458">
        <f t="shared" si="180"/>
        <v>0</v>
      </c>
      <c r="M355" s="458">
        <f t="shared" si="181"/>
        <v>0</v>
      </c>
      <c r="N355" s="459" t="str">
        <f t="shared" si="169"/>
        <v/>
      </c>
      <c r="O355" s="459" t="str">
        <f t="shared" si="170"/>
        <v/>
      </c>
      <c r="P355" s="459" t="str">
        <f t="shared" si="171"/>
        <v/>
      </c>
      <c r="Q355" s="459" t="str">
        <f t="shared" si="172"/>
        <v/>
      </c>
      <c r="R355" s="459" t="str">
        <f t="shared" si="173"/>
        <v/>
      </c>
      <c r="S355" s="459" t="str">
        <f t="shared" si="174"/>
        <v/>
      </c>
      <c r="T355" s="566" t="str">
        <f t="shared" si="182"/>
        <v/>
      </c>
      <c r="U355" s="702"/>
      <c r="V355" s="132"/>
      <c r="W355" s="133"/>
      <c r="X355" s="134"/>
      <c r="Y355" s="135"/>
      <c r="Z355" s="137"/>
      <c r="AA355" s="136"/>
      <c r="AB355" s="566" t="str">
        <f t="shared" si="175"/>
        <v/>
      </c>
      <c r="AC355" s="568" t="str">
        <f t="shared" si="183"/>
        <v/>
      </c>
      <c r="AD355" s="137"/>
      <c r="AE355" s="137"/>
      <c r="AF355" s="138"/>
      <c r="AG355" s="138"/>
      <c r="AH355" s="592" t="str">
        <f t="shared" si="176"/>
        <v/>
      </c>
      <c r="AI355" s="592" t="str">
        <f t="shared" si="177"/>
        <v/>
      </c>
      <c r="AJ355" s="592" t="str">
        <f t="shared" si="178"/>
        <v/>
      </c>
      <c r="AK355" s="460" t="str">
        <f>IF(AU355="","",IF(OR(AZ355=8,AZ355=9),0,IF(OR(AW355=3,AW355=4,AW355=5,AW355=6),IF(LEFT(BF355,1)="1",INDEX(係数_NOX・PM低減,MATCH(AY355,【参考】排出係数!$AI$801:$AI$804,1),1),VLOOKUP(AU355,INDEX((係数_バス貨物_ガソリン,係数_バス貨物_CNG,係数_バス貨物_軽油,係数_バス貨物_メタノール,係数_バス貨物_LPG),MATCH(AY355,【参考】排出係数!$AI$4:$AI$671,1),1,BE355):INDEX((係数_バス貨物_ガソリン,係数_バス貨物_CNG,係数_バス貨物_軽油,係数_バス貨物_メタノール,係数_バス貨物_LPG),MATCH(AY355+1,【参考】排出係数!$AI$4:$AI$671,1)-1,5,BE355),4,FALSE)),IF(AND(BE355=3,LEFT(BF355,1)="1"),0.48,VLOOKUP(AU355,INDEX((係数_乗用_ガソリン,係数_乗用_CNG,係数_乗用_軽油,係数_乗用_メタノール,係数_乗用_LPG),1,1,BE355):INDEX((係数_乗用_ガソリン,係数_乗用_CNG,係数_乗用_軽油,係数_乗用_メタノール,係数_乗用_LPG),125,5,BE355),4,FALSE)))))</f>
        <v/>
      </c>
      <c r="AL355" s="461" t="str">
        <f t="shared" si="202"/>
        <v/>
      </c>
      <c r="AM355" s="460" t="str">
        <f>IF(AU355="","",IF(OR(AZ355=8,AZ355=9),0,IF(OR(AW355=3,AW355=4,AW355=5,AW355=6),IF(LEFT(BH355,1)="1",INDEX(係数_PM低減,MATCH(AY355,【参考】排出係数!$AI$801:$AI$804,1),MATCH(BI355,【参考】排出係数!$AL$798:$AO$798,1)),VLOOKUP(AU355,INDEX((係数_バス貨物_ガソリン,係数_バス貨物_CNG,係数_バス貨物_軽油,係数_バス貨物_メタノール,係数_バス貨物_LPG),MATCH(AY355,【参考】排出係数!$AI$4:$AI$671,1),1,BE355):INDEX((係数_バス貨物_ガソリン,係数_バス貨物_CNG,係数_バス貨物_軽油,係数_バス貨物_メタノール,係数_バス貨物_LPG),MATCH(AY355+1,【参考】排出係数!$AI$4:$AI$671,1)-1,5,BE355),5,FALSE)),IF(AND(BE355=3,LEFT(BF355,1)="1"),0.055,VLOOKUP(AU355,INDEX((係数_乗用_ガソリン,係数_乗用_CNG,係数_乗用_軽油,係数_乗用_メタノール,係数_乗用_LPG),1,1,BE355):INDEX((係数_乗用_ガソリン,係数_乗用_CNG,係数_乗用_軽油,係数_乗用_メタノール,係数_乗用_LPG),125,5,BE355),5,FALSE)))))</f>
        <v/>
      </c>
      <c r="AN355" s="461" t="str">
        <f t="shared" si="203"/>
        <v/>
      </c>
      <c r="AO355" s="462" t="str">
        <f t="shared" si="204"/>
        <v/>
      </c>
      <c r="AP355" s="463" t="str">
        <f t="shared" si="205"/>
        <v/>
      </c>
      <c r="AQ355" s="464"/>
      <c r="AR355" s="619"/>
      <c r="AS355" s="465" t="str">
        <f t="shared" si="184"/>
        <v/>
      </c>
      <c r="AT355" s="465" t="str">
        <f t="shared" si="185"/>
        <v/>
      </c>
      <c r="AU355" s="466" t="str">
        <f t="shared" si="186"/>
        <v/>
      </c>
      <c r="AV355" s="467" t="str">
        <f t="shared" si="187"/>
        <v/>
      </c>
      <c r="AW355" s="467" t="str">
        <f t="shared" si="188"/>
        <v/>
      </c>
      <c r="AX355" s="467" t="str">
        <f t="shared" si="189"/>
        <v/>
      </c>
      <c r="AY355" s="467" t="str">
        <f t="shared" si="190"/>
        <v/>
      </c>
      <c r="AZ355" s="467" t="str">
        <f t="shared" si="191"/>
        <v/>
      </c>
      <c r="BA355" s="468" t="str">
        <f>IF(AS355="","",IF(OR(AU355="",AU355="-"),"－",IF(OR(AZ355=8,AZ355=9),"",IF(OR(AW355=3,AW355=4,AW355=5,AW355=6),VLOOKUP(AU355,INDEX((係数_バス貨物_ガソリン,係数_バス貨物_CNG,係数_バス貨物_軽油,係数_バス貨物_メタノール,係数_バス貨物_LPG),MATCH(AY355,【参考】排出係数!$AI$4:$AI$671,1),1,BE355):INDEX((係数_バス貨物_ガソリン,係数_バス貨物_CNG,係数_バス貨物_軽油,係数_バス貨物_メタノール,係数_バス貨物_LPG),MATCH(AY355+1,【参考】排出係数!$AI$4:$AI$671,1)-1,5,BE355),2,FALSE),IF(OR(AW355=1,AW355=2),VLOOKUP(AU355,INDEX((係数_乗用_ガソリン,係数_乗用_CNG,係数_乗用_軽油,係数_乗用_メタノール,係数_乗用_LPG),1,1,BE355):INDEX((係数_乗用_ガソリン,係数_乗用_CNG,係数_乗用_軽油,係数_乗用_メタノール,係数_乗用_LPG),125,5,BE355),2,FALSE))))))</f>
        <v/>
      </c>
      <c r="BB355" s="468" t="str">
        <f>IF(T355="","",IF(OR(AU355="",AU355="-"),"－",IF(OR(AZ355=8,AZ355=9),"",IF(OR(AW355=3,AW355=4,AW355=5,AW355=6),VLOOKUP(AU355,INDEX((係数_バス貨物_ガソリン,係数_バス貨物_CNG,係数_バス貨物_軽油,係数_バス貨物_メタノール,係数_バス貨物_LPG),MATCH(AY355,【参考】排出係数!$AI$4:$AI$671,1),1,BE355):INDEX((係数_バス貨物_ガソリン,係数_バス貨物_CNG,係数_バス貨物_軽油,係数_バス貨物_メタノール,係数_バス貨物_LPG),MATCH(AY355+1,【参考】排出係数!$AI$4:$AI$671,1)-1,5,BE355),3,FALSE),IF(OR(AW355=1,AW355=2),VLOOKUP(AU355,INDEX((係数_乗用_ガソリン,係数_乗用_CNG,係数_乗用_軽油,係数_乗用_メタノール,係数_乗用_LPG),1,1,BE355):INDEX((係数_乗用_ガソリン,係数_乗用_CNG,係数_乗用_軽油,係数_乗用_メタノール,係数_乗用_LPG),125,5,BE355),3,FALSE))))))</f>
        <v/>
      </c>
      <c r="BC355" s="467" t="str">
        <f t="shared" si="192"/>
        <v/>
      </c>
      <c r="BD355" s="567" t="str">
        <f t="shared" si="193"/>
        <v/>
      </c>
      <c r="BE355" s="467" t="str">
        <f t="shared" si="194"/>
        <v/>
      </c>
      <c r="BF355" s="469" t="str">
        <f t="shared" ca="1" si="195"/>
        <v/>
      </c>
      <c r="BG355" s="469" t="str">
        <f t="shared" ca="1" si="196"/>
        <v/>
      </c>
      <c r="BH355" s="467" t="str">
        <f t="shared" si="197"/>
        <v/>
      </c>
      <c r="BI355" s="467" t="str">
        <f t="shared" ca="1" si="198"/>
        <v/>
      </c>
      <c r="BJ355" s="469" t="str">
        <f t="shared" si="199"/>
        <v/>
      </c>
      <c r="BK355" s="470" t="str">
        <f t="shared" si="179"/>
        <v/>
      </c>
      <c r="BL355" s="775" t="str">
        <f t="shared" si="200"/>
        <v/>
      </c>
      <c r="BM355" s="775" t="str">
        <f t="shared" si="201"/>
        <v/>
      </c>
    </row>
    <row r="356" spans="1:65">
      <c r="A356" s="473">
        <v>300</v>
      </c>
      <c r="B356" s="132"/>
      <c r="C356" s="332"/>
      <c r="D356" s="333"/>
      <c r="E356" s="333"/>
      <c r="F356" s="334"/>
      <c r="G356" s="337"/>
      <c r="H356" s="131"/>
      <c r="I356" s="337"/>
      <c r="J356" s="131"/>
      <c r="K356" s="458" t="str">
        <f t="shared" si="168"/>
        <v/>
      </c>
      <c r="L356" s="458">
        <f t="shared" si="180"/>
        <v>0</v>
      </c>
      <c r="M356" s="458">
        <f t="shared" si="181"/>
        <v>0</v>
      </c>
      <c r="N356" s="459" t="str">
        <f t="shared" si="169"/>
        <v/>
      </c>
      <c r="O356" s="459" t="str">
        <f t="shared" si="170"/>
        <v/>
      </c>
      <c r="P356" s="459" t="str">
        <f t="shared" si="171"/>
        <v/>
      </c>
      <c r="Q356" s="459" t="str">
        <f t="shared" si="172"/>
        <v/>
      </c>
      <c r="R356" s="459" t="str">
        <f t="shared" si="173"/>
        <v/>
      </c>
      <c r="S356" s="459" t="str">
        <f t="shared" si="174"/>
        <v/>
      </c>
      <c r="T356" s="566" t="str">
        <f t="shared" si="182"/>
        <v/>
      </c>
      <c r="U356" s="702"/>
      <c r="V356" s="132"/>
      <c r="W356" s="133"/>
      <c r="X356" s="134"/>
      <c r="Y356" s="135"/>
      <c r="Z356" s="137"/>
      <c r="AA356" s="136"/>
      <c r="AB356" s="566" t="str">
        <f t="shared" si="175"/>
        <v/>
      </c>
      <c r="AC356" s="568" t="str">
        <f t="shared" si="183"/>
        <v/>
      </c>
      <c r="AD356" s="137"/>
      <c r="AE356" s="137"/>
      <c r="AF356" s="138"/>
      <c r="AG356" s="138"/>
      <c r="AH356" s="592" t="str">
        <f t="shared" si="176"/>
        <v/>
      </c>
      <c r="AI356" s="592" t="str">
        <f t="shared" si="177"/>
        <v/>
      </c>
      <c r="AJ356" s="592" t="str">
        <f t="shared" si="178"/>
        <v/>
      </c>
      <c r="AK356" s="460" t="str">
        <f>IF(AU356="","",IF(OR(AZ356=8,AZ356=9),0,IF(OR(AW356=3,AW356=4,AW356=5,AW356=6),IF(LEFT(BF356,1)="1",INDEX(係数_NOX・PM低減,MATCH(AY356,【参考】排出係数!$AI$801:$AI$804,1),1),VLOOKUP(AU356,INDEX((係数_バス貨物_ガソリン,係数_バス貨物_CNG,係数_バス貨物_軽油,係数_バス貨物_メタノール,係数_バス貨物_LPG),MATCH(AY356,【参考】排出係数!$AI$4:$AI$671,1),1,BE356):INDEX((係数_バス貨物_ガソリン,係数_バス貨物_CNG,係数_バス貨物_軽油,係数_バス貨物_メタノール,係数_バス貨物_LPG),MATCH(AY356+1,【参考】排出係数!$AI$4:$AI$671,1)-1,5,BE356),4,FALSE)),IF(AND(BE356=3,LEFT(BF356,1)="1"),0.48,VLOOKUP(AU356,INDEX((係数_乗用_ガソリン,係数_乗用_CNG,係数_乗用_軽油,係数_乗用_メタノール,係数_乗用_LPG),1,1,BE356):INDEX((係数_乗用_ガソリン,係数_乗用_CNG,係数_乗用_軽油,係数_乗用_メタノール,係数_乗用_LPG),125,5,BE356),4,FALSE)))))</f>
        <v/>
      </c>
      <c r="AL356" s="461" t="str">
        <f t="shared" si="202"/>
        <v/>
      </c>
      <c r="AM356" s="460" t="str">
        <f>IF(AU356="","",IF(OR(AZ356=8,AZ356=9),0,IF(OR(AW356=3,AW356=4,AW356=5,AW356=6),IF(LEFT(BH356,1)="1",INDEX(係数_PM低減,MATCH(AY356,【参考】排出係数!$AI$801:$AI$804,1),MATCH(BI356,【参考】排出係数!$AL$798:$AO$798,1)),VLOOKUP(AU356,INDEX((係数_バス貨物_ガソリン,係数_バス貨物_CNG,係数_バス貨物_軽油,係数_バス貨物_メタノール,係数_バス貨物_LPG),MATCH(AY356,【参考】排出係数!$AI$4:$AI$671,1),1,BE356):INDEX((係数_バス貨物_ガソリン,係数_バス貨物_CNG,係数_バス貨物_軽油,係数_バス貨物_メタノール,係数_バス貨物_LPG),MATCH(AY356+1,【参考】排出係数!$AI$4:$AI$671,1)-1,5,BE356),5,FALSE)),IF(AND(BE356=3,LEFT(BF356,1)="1"),0.055,VLOOKUP(AU356,INDEX((係数_乗用_ガソリン,係数_乗用_CNG,係数_乗用_軽油,係数_乗用_メタノール,係数_乗用_LPG),1,1,BE356):INDEX((係数_乗用_ガソリン,係数_乗用_CNG,係数_乗用_軽油,係数_乗用_メタノール,係数_乗用_LPG),125,5,BE356),5,FALSE)))))</f>
        <v/>
      </c>
      <c r="AN356" s="461" t="str">
        <f t="shared" si="203"/>
        <v/>
      </c>
      <c r="AO356" s="462" t="str">
        <f t="shared" si="204"/>
        <v/>
      </c>
      <c r="AP356" s="463" t="str">
        <f t="shared" si="205"/>
        <v/>
      </c>
      <c r="AQ356" s="464"/>
      <c r="AR356" s="619"/>
      <c r="AS356" s="465" t="str">
        <f t="shared" si="184"/>
        <v/>
      </c>
      <c r="AT356" s="465" t="str">
        <f t="shared" si="185"/>
        <v/>
      </c>
      <c r="AU356" s="466" t="str">
        <f t="shared" si="186"/>
        <v/>
      </c>
      <c r="AV356" s="467" t="str">
        <f t="shared" si="187"/>
        <v/>
      </c>
      <c r="AW356" s="467" t="str">
        <f t="shared" si="188"/>
        <v/>
      </c>
      <c r="AX356" s="467" t="str">
        <f t="shared" si="189"/>
        <v/>
      </c>
      <c r="AY356" s="467" t="str">
        <f t="shared" si="190"/>
        <v/>
      </c>
      <c r="AZ356" s="467" t="str">
        <f t="shared" si="191"/>
        <v/>
      </c>
      <c r="BA356" s="468" t="str">
        <f>IF(AS356="","",IF(OR(AU356="",AU356="-"),"－",IF(OR(AZ356=8,AZ356=9),"",IF(OR(AW356=3,AW356=4,AW356=5,AW356=6),VLOOKUP(AU356,INDEX((係数_バス貨物_ガソリン,係数_バス貨物_CNG,係数_バス貨物_軽油,係数_バス貨物_メタノール,係数_バス貨物_LPG),MATCH(AY356,【参考】排出係数!$AI$4:$AI$671,1),1,BE356):INDEX((係数_バス貨物_ガソリン,係数_バス貨物_CNG,係数_バス貨物_軽油,係数_バス貨物_メタノール,係数_バス貨物_LPG),MATCH(AY356+1,【参考】排出係数!$AI$4:$AI$671,1)-1,5,BE356),2,FALSE),IF(OR(AW356=1,AW356=2),VLOOKUP(AU356,INDEX((係数_乗用_ガソリン,係数_乗用_CNG,係数_乗用_軽油,係数_乗用_メタノール,係数_乗用_LPG),1,1,BE356):INDEX((係数_乗用_ガソリン,係数_乗用_CNG,係数_乗用_軽油,係数_乗用_メタノール,係数_乗用_LPG),125,5,BE356),2,FALSE))))))</f>
        <v/>
      </c>
      <c r="BB356" s="468" t="str">
        <f>IF(T356="","",IF(OR(AU356="",AU356="-"),"－",IF(OR(AZ356=8,AZ356=9),"",IF(OR(AW356=3,AW356=4,AW356=5,AW356=6),VLOOKUP(AU356,INDEX((係数_バス貨物_ガソリン,係数_バス貨物_CNG,係数_バス貨物_軽油,係数_バス貨物_メタノール,係数_バス貨物_LPG),MATCH(AY356,【参考】排出係数!$AI$4:$AI$671,1),1,BE356):INDEX((係数_バス貨物_ガソリン,係数_バス貨物_CNG,係数_バス貨物_軽油,係数_バス貨物_メタノール,係数_バス貨物_LPG),MATCH(AY356+1,【参考】排出係数!$AI$4:$AI$671,1)-1,5,BE356),3,FALSE),IF(OR(AW356=1,AW356=2),VLOOKUP(AU356,INDEX((係数_乗用_ガソリン,係数_乗用_CNG,係数_乗用_軽油,係数_乗用_メタノール,係数_乗用_LPG),1,1,BE356):INDEX((係数_乗用_ガソリン,係数_乗用_CNG,係数_乗用_軽油,係数_乗用_メタノール,係数_乗用_LPG),125,5,BE356),3,FALSE))))))</f>
        <v/>
      </c>
      <c r="BC356" s="467" t="str">
        <f t="shared" si="192"/>
        <v/>
      </c>
      <c r="BD356" s="567" t="str">
        <f t="shared" si="193"/>
        <v/>
      </c>
      <c r="BE356" s="467" t="str">
        <f t="shared" si="194"/>
        <v/>
      </c>
      <c r="BF356" s="469" t="str">
        <f t="shared" ca="1" si="195"/>
        <v/>
      </c>
      <c r="BG356" s="469" t="str">
        <f t="shared" ca="1" si="196"/>
        <v/>
      </c>
      <c r="BH356" s="467" t="str">
        <f t="shared" si="197"/>
        <v/>
      </c>
      <c r="BI356" s="467" t="str">
        <f t="shared" ca="1" si="198"/>
        <v/>
      </c>
      <c r="BJ356" s="469" t="str">
        <f t="shared" si="199"/>
        <v/>
      </c>
      <c r="BK356" s="470" t="str">
        <f t="shared" si="179"/>
        <v/>
      </c>
      <c r="BL356" s="775" t="str">
        <f t="shared" si="200"/>
        <v/>
      </c>
      <c r="BM356" s="775" t="str">
        <f t="shared" si="201"/>
        <v/>
      </c>
    </row>
    <row r="357" spans="1:65">
      <c r="A357" s="473">
        <v>301</v>
      </c>
      <c r="B357" s="132"/>
      <c r="C357" s="332"/>
      <c r="D357" s="333"/>
      <c r="E357" s="333"/>
      <c r="F357" s="334"/>
      <c r="G357" s="337"/>
      <c r="H357" s="131"/>
      <c r="I357" s="337"/>
      <c r="J357" s="131"/>
      <c r="K357" s="458" t="str">
        <f t="shared" si="168"/>
        <v/>
      </c>
      <c r="L357" s="458">
        <f t="shared" si="180"/>
        <v>0</v>
      </c>
      <c r="M357" s="458">
        <f t="shared" si="181"/>
        <v>0</v>
      </c>
      <c r="N357" s="459" t="str">
        <f t="shared" si="169"/>
        <v/>
      </c>
      <c r="O357" s="459" t="str">
        <f t="shared" si="170"/>
        <v/>
      </c>
      <c r="P357" s="459" t="str">
        <f t="shared" si="171"/>
        <v/>
      </c>
      <c r="Q357" s="459" t="str">
        <f t="shared" si="172"/>
        <v/>
      </c>
      <c r="R357" s="459" t="str">
        <f t="shared" si="173"/>
        <v/>
      </c>
      <c r="S357" s="459" t="str">
        <f t="shared" si="174"/>
        <v/>
      </c>
      <c r="T357" s="566" t="str">
        <f t="shared" si="182"/>
        <v/>
      </c>
      <c r="U357" s="702"/>
      <c r="V357" s="132"/>
      <c r="W357" s="133"/>
      <c r="X357" s="134"/>
      <c r="Y357" s="135"/>
      <c r="Z357" s="137"/>
      <c r="AA357" s="136"/>
      <c r="AB357" s="566" t="str">
        <f t="shared" si="175"/>
        <v/>
      </c>
      <c r="AC357" s="568" t="str">
        <f t="shared" si="183"/>
        <v/>
      </c>
      <c r="AD357" s="137"/>
      <c r="AE357" s="137"/>
      <c r="AF357" s="138"/>
      <c r="AG357" s="138"/>
      <c r="AH357" s="592" t="str">
        <f t="shared" si="176"/>
        <v/>
      </c>
      <c r="AI357" s="592" t="str">
        <f t="shared" si="177"/>
        <v/>
      </c>
      <c r="AJ357" s="592" t="str">
        <f t="shared" si="178"/>
        <v/>
      </c>
      <c r="AK357" s="460" t="str">
        <f>IF(AU357="","",IF(OR(AZ357=8,AZ357=9),0,IF(OR(AW357=3,AW357=4,AW357=5,AW357=6),IF(LEFT(BF357,1)="1",INDEX(係数_NOX・PM低減,MATCH(AY357,【参考】排出係数!$AI$801:$AI$804,1),1),VLOOKUP(AU357,INDEX((係数_バス貨物_ガソリン,係数_バス貨物_CNG,係数_バス貨物_軽油,係数_バス貨物_メタノール,係数_バス貨物_LPG),MATCH(AY357,【参考】排出係数!$AI$4:$AI$671,1),1,BE357):INDEX((係数_バス貨物_ガソリン,係数_バス貨物_CNG,係数_バス貨物_軽油,係数_バス貨物_メタノール,係数_バス貨物_LPG),MATCH(AY357+1,【参考】排出係数!$AI$4:$AI$671,1)-1,5,BE357),4,FALSE)),IF(AND(BE357=3,LEFT(BF357,1)="1"),0.48,VLOOKUP(AU357,INDEX((係数_乗用_ガソリン,係数_乗用_CNG,係数_乗用_軽油,係数_乗用_メタノール,係数_乗用_LPG),1,1,BE357):INDEX((係数_乗用_ガソリン,係数_乗用_CNG,係数_乗用_軽油,係数_乗用_メタノール,係数_乗用_LPG),125,5,BE357),4,FALSE)))))</f>
        <v/>
      </c>
      <c r="AL357" s="461" t="str">
        <f t="shared" si="202"/>
        <v/>
      </c>
      <c r="AM357" s="460" t="str">
        <f>IF(AU357="","",IF(OR(AZ357=8,AZ357=9),0,IF(OR(AW357=3,AW357=4,AW357=5,AW357=6),IF(LEFT(BH357,1)="1",INDEX(係数_PM低減,MATCH(AY357,【参考】排出係数!$AI$801:$AI$804,1),MATCH(BI357,【参考】排出係数!$AL$798:$AO$798,1)),VLOOKUP(AU357,INDEX((係数_バス貨物_ガソリン,係数_バス貨物_CNG,係数_バス貨物_軽油,係数_バス貨物_メタノール,係数_バス貨物_LPG),MATCH(AY357,【参考】排出係数!$AI$4:$AI$671,1),1,BE357):INDEX((係数_バス貨物_ガソリン,係数_バス貨物_CNG,係数_バス貨物_軽油,係数_バス貨物_メタノール,係数_バス貨物_LPG),MATCH(AY357+1,【参考】排出係数!$AI$4:$AI$671,1)-1,5,BE357),5,FALSE)),IF(AND(BE357=3,LEFT(BF357,1)="1"),0.055,VLOOKUP(AU357,INDEX((係数_乗用_ガソリン,係数_乗用_CNG,係数_乗用_軽油,係数_乗用_メタノール,係数_乗用_LPG),1,1,BE357):INDEX((係数_乗用_ガソリン,係数_乗用_CNG,係数_乗用_軽油,係数_乗用_メタノール,係数_乗用_LPG),125,5,BE357),5,FALSE)))))</f>
        <v/>
      </c>
      <c r="AN357" s="461" t="str">
        <f t="shared" si="203"/>
        <v/>
      </c>
      <c r="AO357" s="462" t="str">
        <f t="shared" si="204"/>
        <v/>
      </c>
      <c r="AP357" s="463" t="str">
        <f t="shared" si="205"/>
        <v/>
      </c>
      <c r="AQ357" s="464"/>
      <c r="AR357" s="619"/>
      <c r="AS357" s="465" t="str">
        <f t="shared" si="184"/>
        <v/>
      </c>
      <c r="AT357" s="465" t="str">
        <f t="shared" si="185"/>
        <v/>
      </c>
      <c r="AU357" s="466" t="str">
        <f t="shared" si="186"/>
        <v/>
      </c>
      <c r="AV357" s="467" t="str">
        <f t="shared" si="187"/>
        <v/>
      </c>
      <c r="AW357" s="467" t="str">
        <f t="shared" si="188"/>
        <v/>
      </c>
      <c r="AX357" s="467" t="str">
        <f t="shared" si="189"/>
        <v/>
      </c>
      <c r="AY357" s="467" t="str">
        <f t="shared" si="190"/>
        <v/>
      </c>
      <c r="AZ357" s="467" t="str">
        <f t="shared" si="191"/>
        <v/>
      </c>
      <c r="BA357" s="468" t="str">
        <f>IF(AS357="","",IF(OR(AU357="",AU357="-"),"－",IF(OR(AZ357=8,AZ357=9),"",IF(OR(AW357=3,AW357=4,AW357=5,AW357=6),VLOOKUP(AU357,INDEX((係数_バス貨物_ガソリン,係数_バス貨物_CNG,係数_バス貨物_軽油,係数_バス貨物_メタノール,係数_バス貨物_LPG),MATCH(AY357,【参考】排出係数!$AI$4:$AI$671,1),1,BE357):INDEX((係数_バス貨物_ガソリン,係数_バス貨物_CNG,係数_バス貨物_軽油,係数_バス貨物_メタノール,係数_バス貨物_LPG),MATCH(AY357+1,【参考】排出係数!$AI$4:$AI$671,1)-1,5,BE357),2,FALSE),IF(OR(AW357=1,AW357=2),VLOOKUP(AU357,INDEX((係数_乗用_ガソリン,係数_乗用_CNG,係数_乗用_軽油,係数_乗用_メタノール,係数_乗用_LPG),1,1,BE357):INDEX((係数_乗用_ガソリン,係数_乗用_CNG,係数_乗用_軽油,係数_乗用_メタノール,係数_乗用_LPG),125,5,BE357),2,FALSE))))))</f>
        <v/>
      </c>
      <c r="BB357" s="468" t="str">
        <f>IF(T357="","",IF(OR(AU357="",AU357="-"),"－",IF(OR(AZ357=8,AZ357=9),"",IF(OR(AW357=3,AW357=4,AW357=5,AW357=6),VLOOKUP(AU357,INDEX((係数_バス貨物_ガソリン,係数_バス貨物_CNG,係数_バス貨物_軽油,係数_バス貨物_メタノール,係数_バス貨物_LPG),MATCH(AY357,【参考】排出係数!$AI$4:$AI$671,1),1,BE357):INDEX((係数_バス貨物_ガソリン,係数_バス貨物_CNG,係数_バス貨物_軽油,係数_バス貨物_メタノール,係数_バス貨物_LPG),MATCH(AY357+1,【参考】排出係数!$AI$4:$AI$671,1)-1,5,BE357),3,FALSE),IF(OR(AW357=1,AW357=2),VLOOKUP(AU357,INDEX((係数_乗用_ガソリン,係数_乗用_CNG,係数_乗用_軽油,係数_乗用_メタノール,係数_乗用_LPG),1,1,BE357):INDEX((係数_乗用_ガソリン,係数_乗用_CNG,係数_乗用_軽油,係数_乗用_メタノール,係数_乗用_LPG),125,5,BE357),3,FALSE))))))</f>
        <v/>
      </c>
      <c r="BC357" s="467" t="str">
        <f t="shared" si="192"/>
        <v/>
      </c>
      <c r="BD357" s="567" t="str">
        <f t="shared" si="193"/>
        <v/>
      </c>
      <c r="BE357" s="467" t="str">
        <f t="shared" si="194"/>
        <v/>
      </c>
      <c r="BF357" s="469" t="str">
        <f t="shared" ca="1" si="195"/>
        <v/>
      </c>
      <c r="BG357" s="469" t="str">
        <f t="shared" ca="1" si="196"/>
        <v/>
      </c>
      <c r="BH357" s="467" t="str">
        <f t="shared" si="197"/>
        <v/>
      </c>
      <c r="BI357" s="467" t="str">
        <f t="shared" ca="1" si="198"/>
        <v/>
      </c>
      <c r="BJ357" s="469" t="str">
        <f t="shared" si="199"/>
        <v/>
      </c>
      <c r="BK357" s="470" t="str">
        <f t="shared" si="179"/>
        <v/>
      </c>
      <c r="BL357" s="775" t="str">
        <f t="shared" si="200"/>
        <v/>
      </c>
      <c r="BM357" s="775" t="str">
        <f t="shared" si="201"/>
        <v/>
      </c>
    </row>
    <row r="358" spans="1:65">
      <c r="A358" s="473">
        <v>302</v>
      </c>
      <c r="B358" s="132"/>
      <c r="C358" s="332"/>
      <c r="D358" s="333"/>
      <c r="E358" s="333"/>
      <c r="F358" s="334"/>
      <c r="G358" s="337"/>
      <c r="H358" s="131"/>
      <c r="I358" s="337"/>
      <c r="J358" s="131"/>
      <c r="K358" s="458" t="str">
        <f t="shared" si="168"/>
        <v/>
      </c>
      <c r="L358" s="458">
        <f t="shared" si="180"/>
        <v>0</v>
      </c>
      <c r="M358" s="458">
        <f t="shared" si="181"/>
        <v>0</v>
      </c>
      <c r="N358" s="459" t="str">
        <f t="shared" si="169"/>
        <v/>
      </c>
      <c r="O358" s="459" t="str">
        <f t="shared" si="170"/>
        <v/>
      </c>
      <c r="P358" s="459" t="str">
        <f t="shared" si="171"/>
        <v/>
      </c>
      <c r="Q358" s="459" t="str">
        <f t="shared" si="172"/>
        <v/>
      </c>
      <c r="R358" s="459" t="str">
        <f t="shared" si="173"/>
        <v/>
      </c>
      <c r="S358" s="459" t="str">
        <f t="shared" si="174"/>
        <v/>
      </c>
      <c r="T358" s="566" t="str">
        <f t="shared" si="182"/>
        <v/>
      </c>
      <c r="U358" s="702"/>
      <c r="V358" s="132"/>
      <c r="W358" s="133"/>
      <c r="X358" s="134"/>
      <c r="Y358" s="135"/>
      <c r="Z358" s="137"/>
      <c r="AA358" s="136"/>
      <c r="AB358" s="566" t="str">
        <f t="shared" si="175"/>
        <v/>
      </c>
      <c r="AC358" s="568" t="str">
        <f t="shared" si="183"/>
        <v/>
      </c>
      <c r="AD358" s="137"/>
      <c r="AE358" s="137"/>
      <c r="AF358" s="138"/>
      <c r="AG358" s="138"/>
      <c r="AH358" s="592" t="str">
        <f t="shared" si="176"/>
        <v/>
      </c>
      <c r="AI358" s="592" t="str">
        <f t="shared" si="177"/>
        <v/>
      </c>
      <c r="AJ358" s="592" t="str">
        <f t="shared" si="178"/>
        <v/>
      </c>
      <c r="AK358" s="460" t="str">
        <f>IF(AU358="","",IF(OR(AZ358=8,AZ358=9),0,IF(OR(AW358=3,AW358=4,AW358=5,AW358=6),IF(LEFT(BF358,1)="1",INDEX(係数_NOX・PM低減,MATCH(AY358,【参考】排出係数!$AI$801:$AI$804,1),1),VLOOKUP(AU358,INDEX((係数_バス貨物_ガソリン,係数_バス貨物_CNG,係数_バス貨物_軽油,係数_バス貨物_メタノール,係数_バス貨物_LPG),MATCH(AY358,【参考】排出係数!$AI$4:$AI$671,1),1,BE358):INDEX((係数_バス貨物_ガソリン,係数_バス貨物_CNG,係数_バス貨物_軽油,係数_バス貨物_メタノール,係数_バス貨物_LPG),MATCH(AY358+1,【参考】排出係数!$AI$4:$AI$671,1)-1,5,BE358),4,FALSE)),IF(AND(BE358=3,LEFT(BF358,1)="1"),0.48,VLOOKUP(AU358,INDEX((係数_乗用_ガソリン,係数_乗用_CNG,係数_乗用_軽油,係数_乗用_メタノール,係数_乗用_LPG),1,1,BE358):INDEX((係数_乗用_ガソリン,係数_乗用_CNG,係数_乗用_軽油,係数_乗用_メタノール,係数_乗用_LPG),125,5,BE358),4,FALSE)))))</f>
        <v/>
      </c>
      <c r="AL358" s="461" t="str">
        <f t="shared" si="202"/>
        <v/>
      </c>
      <c r="AM358" s="460" t="str">
        <f>IF(AU358="","",IF(OR(AZ358=8,AZ358=9),0,IF(OR(AW358=3,AW358=4,AW358=5,AW358=6),IF(LEFT(BH358,1)="1",INDEX(係数_PM低減,MATCH(AY358,【参考】排出係数!$AI$801:$AI$804,1),MATCH(BI358,【参考】排出係数!$AL$798:$AO$798,1)),VLOOKUP(AU358,INDEX((係数_バス貨物_ガソリン,係数_バス貨物_CNG,係数_バス貨物_軽油,係数_バス貨物_メタノール,係数_バス貨物_LPG),MATCH(AY358,【参考】排出係数!$AI$4:$AI$671,1),1,BE358):INDEX((係数_バス貨物_ガソリン,係数_バス貨物_CNG,係数_バス貨物_軽油,係数_バス貨物_メタノール,係数_バス貨物_LPG),MATCH(AY358+1,【参考】排出係数!$AI$4:$AI$671,1)-1,5,BE358),5,FALSE)),IF(AND(BE358=3,LEFT(BF358,1)="1"),0.055,VLOOKUP(AU358,INDEX((係数_乗用_ガソリン,係数_乗用_CNG,係数_乗用_軽油,係数_乗用_メタノール,係数_乗用_LPG),1,1,BE358):INDEX((係数_乗用_ガソリン,係数_乗用_CNG,係数_乗用_軽油,係数_乗用_メタノール,係数_乗用_LPG),125,5,BE358),5,FALSE)))))</f>
        <v/>
      </c>
      <c r="AN358" s="461" t="str">
        <f t="shared" si="203"/>
        <v/>
      </c>
      <c r="AO358" s="462" t="str">
        <f t="shared" si="204"/>
        <v/>
      </c>
      <c r="AP358" s="463" t="str">
        <f t="shared" si="205"/>
        <v/>
      </c>
      <c r="AQ358" s="464"/>
      <c r="AR358" s="619"/>
      <c r="AS358" s="465" t="str">
        <f t="shared" si="184"/>
        <v/>
      </c>
      <c r="AT358" s="465" t="str">
        <f t="shared" si="185"/>
        <v/>
      </c>
      <c r="AU358" s="466" t="str">
        <f t="shared" si="186"/>
        <v/>
      </c>
      <c r="AV358" s="467" t="str">
        <f t="shared" si="187"/>
        <v/>
      </c>
      <c r="AW358" s="467" t="str">
        <f t="shared" si="188"/>
        <v/>
      </c>
      <c r="AX358" s="467" t="str">
        <f t="shared" si="189"/>
        <v/>
      </c>
      <c r="AY358" s="467" t="str">
        <f t="shared" si="190"/>
        <v/>
      </c>
      <c r="AZ358" s="467" t="str">
        <f t="shared" si="191"/>
        <v/>
      </c>
      <c r="BA358" s="468" t="str">
        <f>IF(AS358="","",IF(OR(AU358="",AU358="-"),"－",IF(OR(AZ358=8,AZ358=9),"",IF(OR(AW358=3,AW358=4,AW358=5,AW358=6),VLOOKUP(AU358,INDEX((係数_バス貨物_ガソリン,係数_バス貨物_CNG,係数_バス貨物_軽油,係数_バス貨物_メタノール,係数_バス貨物_LPG),MATCH(AY358,【参考】排出係数!$AI$4:$AI$671,1),1,BE358):INDEX((係数_バス貨物_ガソリン,係数_バス貨物_CNG,係数_バス貨物_軽油,係数_バス貨物_メタノール,係数_バス貨物_LPG),MATCH(AY358+1,【参考】排出係数!$AI$4:$AI$671,1)-1,5,BE358),2,FALSE),IF(OR(AW358=1,AW358=2),VLOOKUP(AU358,INDEX((係数_乗用_ガソリン,係数_乗用_CNG,係数_乗用_軽油,係数_乗用_メタノール,係数_乗用_LPG),1,1,BE358):INDEX((係数_乗用_ガソリン,係数_乗用_CNG,係数_乗用_軽油,係数_乗用_メタノール,係数_乗用_LPG),125,5,BE358),2,FALSE))))))</f>
        <v/>
      </c>
      <c r="BB358" s="468" t="str">
        <f>IF(T358="","",IF(OR(AU358="",AU358="-"),"－",IF(OR(AZ358=8,AZ358=9),"",IF(OR(AW358=3,AW358=4,AW358=5,AW358=6),VLOOKUP(AU358,INDEX((係数_バス貨物_ガソリン,係数_バス貨物_CNG,係数_バス貨物_軽油,係数_バス貨物_メタノール,係数_バス貨物_LPG),MATCH(AY358,【参考】排出係数!$AI$4:$AI$671,1),1,BE358):INDEX((係数_バス貨物_ガソリン,係数_バス貨物_CNG,係数_バス貨物_軽油,係数_バス貨物_メタノール,係数_バス貨物_LPG),MATCH(AY358+1,【参考】排出係数!$AI$4:$AI$671,1)-1,5,BE358),3,FALSE),IF(OR(AW358=1,AW358=2),VLOOKUP(AU358,INDEX((係数_乗用_ガソリン,係数_乗用_CNG,係数_乗用_軽油,係数_乗用_メタノール,係数_乗用_LPG),1,1,BE358):INDEX((係数_乗用_ガソリン,係数_乗用_CNG,係数_乗用_軽油,係数_乗用_メタノール,係数_乗用_LPG),125,5,BE358),3,FALSE))))))</f>
        <v/>
      </c>
      <c r="BC358" s="467" t="str">
        <f t="shared" si="192"/>
        <v/>
      </c>
      <c r="BD358" s="567" t="str">
        <f t="shared" si="193"/>
        <v/>
      </c>
      <c r="BE358" s="467" t="str">
        <f t="shared" si="194"/>
        <v/>
      </c>
      <c r="BF358" s="469" t="str">
        <f t="shared" ca="1" si="195"/>
        <v/>
      </c>
      <c r="BG358" s="469" t="str">
        <f t="shared" ca="1" si="196"/>
        <v/>
      </c>
      <c r="BH358" s="467" t="str">
        <f t="shared" si="197"/>
        <v/>
      </c>
      <c r="BI358" s="467" t="str">
        <f t="shared" ca="1" si="198"/>
        <v/>
      </c>
      <c r="BJ358" s="469" t="str">
        <f t="shared" si="199"/>
        <v/>
      </c>
      <c r="BK358" s="470" t="str">
        <f t="shared" si="179"/>
        <v/>
      </c>
      <c r="BL358" s="775" t="str">
        <f t="shared" si="200"/>
        <v/>
      </c>
      <c r="BM358" s="775" t="str">
        <f t="shared" si="201"/>
        <v/>
      </c>
    </row>
    <row r="359" spans="1:65">
      <c r="A359" s="473">
        <v>303</v>
      </c>
      <c r="B359" s="132"/>
      <c r="C359" s="332"/>
      <c r="D359" s="333"/>
      <c r="E359" s="333"/>
      <c r="F359" s="334"/>
      <c r="G359" s="337"/>
      <c r="H359" s="131"/>
      <c r="I359" s="337"/>
      <c r="J359" s="131"/>
      <c r="K359" s="458" t="str">
        <f t="shared" si="168"/>
        <v/>
      </c>
      <c r="L359" s="458">
        <f t="shared" si="180"/>
        <v>0</v>
      </c>
      <c r="M359" s="458">
        <f t="shared" si="181"/>
        <v>0</v>
      </c>
      <c r="N359" s="459" t="str">
        <f t="shared" si="169"/>
        <v/>
      </c>
      <c r="O359" s="459" t="str">
        <f t="shared" si="170"/>
        <v/>
      </c>
      <c r="P359" s="459" t="str">
        <f t="shared" si="171"/>
        <v/>
      </c>
      <c r="Q359" s="459" t="str">
        <f t="shared" si="172"/>
        <v/>
      </c>
      <c r="R359" s="459" t="str">
        <f t="shared" si="173"/>
        <v/>
      </c>
      <c r="S359" s="459" t="str">
        <f t="shared" si="174"/>
        <v/>
      </c>
      <c r="T359" s="566" t="str">
        <f t="shared" si="182"/>
        <v/>
      </c>
      <c r="U359" s="702"/>
      <c r="V359" s="132"/>
      <c r="W359" s="133"/>
      <c r="X359" s="134"/>
      <c r="Y359" s="135"/>
      <c r="Z359" s="137"/>
      <c r="AA359" s="136"/>
      <c r="AB359" s="566" t="str">
        <f t="shared" si="175"/>
        <v/>
      </c>
      <c r="AC359" s="568" t="str">
        <f t="shared" si="183"/>
        <v/>
      </c>
      <c r="AD359" s="137"/>
      <c r="AE359" s="137"/>
      <c r="AF359" s="138"/>
      <c r="AG359" s="138"/>
      <c r="AH359" s="592" t="str">
        <f t="shared" si="176"/>
        <v/>
      </c>
      <c r="AI359" s="592" t="str">
        <f t="shared" si="177"/>
        <v/>
      </c>
      <c r="AJ359" s="592" t="str">
        <f t="shared" si="178"/>
        <v/>
      </c>
      <c r="AK359" s="460" t="str">
        <f>IF(AU359="","",IF(OR(AZ359=8,AZ359=9),0,IF(OR(AW359=3,AW359=4,AW359=5,AW359=6),IF(LEFT(BF359,1)="1",INDEX(係数_NOX・PM低減,MATCH(AY359,【参考】排出係数!$AI$801:$AI$804,1),1),VLOOKUP(AU359,INDEX((係数_バス貨物_ガソリン,係数_バス貨物_CNG,係数_バス貨物_軽油,係数_バス貨物_メタノール,係数_バス貨物_LPG),MATCH(AY359,【参考】排出係数!$AI$4:$AI$671,1),1,BE359):INDEX((係数_バス貨物_ガソリン,係数_バス貨物_CNG,係数_バス貨物_軽油,係数_バス貨物_メタノール,係数_バス貨物_LPG),MATCH(AY359+1,【参考】排出係数!$AI$4:$AI$671,1)-1,5,BE359),4,FALSE)),IF(AND(BE359=3,LEFT(BF359,1)="1"),0.48,VLOOKUP(AU359,INDEX((係数_乗用_ガソリン,係数_乗用_CNG,係数_乗用_軽油,係数_乗用_メタノール,係数_乗用_LPG),1,1,BE359):INDEX((係数_乗用_ガソリン,係数_乗用_CNG,係数_乗用_軽油,係数_乗用_メタノール,係数_乗用_LPG),125,5,BE359),4,FALSE)))))</f>
        <v/>
      </c>
      <c r="AL359" s="461" t="str">
        <f t="shared" si="202"/>
        <v/>
      </c>
      <c r="AM359" s="460" t="str">
        <f>IF(AU359="","",IF(OR(AZ359=8,AZ359=9),0,IF(OR(AW359=3,AW359=4,AW359=5,AW359=6),IF(LEFT(BH359,1)="1",INDEX(係数_PM低減,MATCH(AY359,【参考】排出係数!$AI$801:$AI$804,1),MATCH(BI359,【参考】排出係数!$AL$798:$AO$798,1)),VLOOKUP(AU359,INDEX((係数_バス貨物_ガソリン,係数_バス貨物_CNG,係数_バス貨物_軽油,係数_バス貨物_メタノール,係数_バス貨物_LPG),MATCH(AY359,【参考】排出係数!$AI$4:$AI$671,1),1,BE359):INDEX((係数_バス貨物_ガソリン,係数_バス貨物_CNG,係数_バス貨物_軽油,係数_バス貨物_メタノール,係数_バス貨物_LPG),MATCH(AY359+1,【参考】排出係数!$AI$4:$AI$671,1)-1,5,BE359),5,FALSE)),IF(AND(BE359=3,LEFT(BF359,1)="1"),0.055,VLOOKUP(AU359,INDEX((係数_乗用_ガソリン,係数_乗用_CNG,係数_乗用_軽油,係数_乗用_メタノール,係数_乗用_LPG),1,1,BE359):INDEX((係数_乗用_ガソリン,係数_乗用_CNG,係数_乗用_軽油,係数_乗用_メタノール,係数_乗用_LPG),125,5,BE359),5,FALSE)))))</f>
        <v/>
      </c>
      <c r="AN359" s="461" t="str">
        <f t="shared" si="203"/>
        <v/>
      </c>
      <c r="AO359" s="462" t="str">
        <f t="shared" si="204"/>
        <v/>
      </c>
      <c r="AP359" s="463" t="str">
        <f t="shared" si="205"/>
        <v/>
      </c>
      <c r="AQ359" s="464"/>
      <c r="AR359" s="619"/>
      <c r="AS359" s="465" t="str">
        <f t="shared" si="184"/>
        <v/>
      </c>
      <c r="AT359" s="465" t="str">
        <f t="shared" si="185"/>
        <v/>
      </c>
      <c r="AU359" s="466" t="str">
        <f t="shared" si="186"/>
        <v/>
      </c>
      <c r="AV359" s="467" t="str">
        <f t="shared" si="187"/>
        <v/>
      </c>
      <c r="AW359" s="467" t="str">
        <f t="shared" si="188"/>
        <v/>
      </c>
      <c r="AX359" s="467" t="str">
        <f t="shared" si="189"/>
        <v/>
      </c>
      <c r="AY359" s="467" t="str">
        <f t="shared" si="190"/>
        <v/>
      </c>
      <c r="AZ359" s="467" t="str">
        <f t="shared" si="191"/>
        <v/>
      </c>
      <c r="BA359" s="468" t="str">
        <f>IF(AS359="","",IF(OR(AU359="",AU359="-"),"－",IF(OR(AZ359=8,AZ359=9),"",IF(OR(AW359=3,AW359=4,AW359=5,AW359=6),VLOOKUP(AU359,INDEX((係数_バス貨物_ガソリン,係数_バス貨物_CNG,係数_バス貨物_軽油,係数_バス貨物_メタノール,係数_バス貨物_LPG),MATCH(AY359,【参考】排出係数!$AI$4:$AI$671,1),1,BE359):INDEX((係数_バス貨物_ガソリン,係数_バス貨物_CNG,係数_バス貨物_軽油,係数_バス貨物_メタノール,係数_バス貨物_LPG),MATCH(AY359+1,【参考】排出係数!$AI$4:$AI$671,1)-1,5,BE359),2,FALSE),IF(OR(AW359=1,AW359=2),VLOOKUP(AU359,INDEX((係数_乗用_ガソリン,係数_乗用_CNG,係数_乗用_軽油,係数_乗用_メタノール,係数_乗用_LPG),1,1,BE359):INDEX((係数_乗用_ガソリン,係数_乗用_CNG,係数_乗用_軽油,係数_乗用_メタノール,係数_乗用_LPG),125,5,BE359),2,FALSE))))))</f>
        <v/>
      </c>
      <c r="BB359" s="468" t="str">
        <f>IF(T359="","",IF(OR(AU359="",AU359="-"),"－",IF(OR(AZ359=8,AZ359=9),"",IF(OR(AW359=3,AW359=4,AW359=5,AW359=6),VLOOKUP(AU359,INDEX((係数_バス貨物_ガソリン,係数_バス貨物_CNG,係数_バス貨物_軽油,係数_バス貨物_メタノール,係数_バス貨物_LPG),MATCH(AY359,【参考】排出係数!$AI$4:$AI$671,1),1,BE359):INDEX((係数_バス貨物_ガソリン,係数_バス貨物_CNG,係数_バス貨物_軽油,係数_バス貨物_メタノール,係数_バス貨物_LPG),MATCH(AY359+1,【参考】排出係数!$AI$4:$AI$671,1)-1,5,BE359),3,FALSE),IF(OR(AW359=1,AW359=2),VLOOKUP(AU359,INDEX((係数_乗用_ガソリン,係数_乗用_CNG,係数_乗用_軽油,係数_乗用_メタノール,係数_乗用_LPG),1,1,BE359):INDEX((係数_乗用_ガソリン,係数_乗用_CNG,係数_乗用_軽油,係数_乗用_メタノール,係数_乗用_LPG),125,5,BE359),3,FALSE))))))</f>
        <v/>
      </c>
      <c r="BC359" s="467" t="str">
        <f t="shared" si="192"/>
        <v/>
      </c>
      <c r="BD359" s="567" t="str">
        <f t="shared" si="193"/>
        <v/>
      </c>
      <c r="BE359" s="467" t="str">
        <f t="shared" si="194"/>
        <v/>
      </c>
      <c r="BF359" s="469" t="str">
        <f t="shared" ca="1" si="195"/>
        <v/>
      </c>
      <c r="BG359" s="469" t="str">
        <f t="shared" ca="1" si="196"/>
        <v/>
      </c>
      <c r="BH359" s="467" t="str">
        <f t="shared" si="197"/>
        <v/>
      </c>
      <c r="BI359" s="467" t="str">
        <f t="shared" ca="1" si="198"/>
        <v/>
      </c>
      <c r="BJ359" s="469" t="str">
        <f t="shared" si="199"/>
        <v/>
      </c>
      <c r="BK359" s="470" t="str">
        <f t="shared" si="179"/>
        <v/>
      </c>
      <c r="BL359" s="775" t="str">
        <f t="shared" si="200"/>
        <v/>
      </c>
      <c r="BM359" s="775" t="str">
        <f t="shared" si="201"/>
        <v/>
      </c>
    </row>
    <row r="360" spans="1:65">
      <c r="A360" s="473">
        <v>304</v>
      </c>
      <c r="B360" s="132"/>
      <c r="C360" s="332"/>
      <c r="D360" s="333"/>
      <c r="E360" s="333"/>
      <c r="F360" s="334"/>
      <c r="G360" s="337"/>
      <c r="H360" s="131"/>
      <c r="I360" s="337"/>
      <c r="J360" s="131"/>
      <c r="K360" s="458" t="str">
        <f t="shared" si="168"/>
        <v/>
      </c>
      <c r="L360" s="458">
        <f t="shared" si="180"/>
        <v>0</v>
      </c>
      <c r="M360" s="458">
        <f t="shared" si="181"/>
        <v>0</v>
      </c>
      <c r="N360" s="459" t="str">
        <f t="shared" si="169"/>
        <v/>
      </c>
      <c r="O360" s="459" t="str">
        <f t="shared" si="170"/>
        <v/>
      </c>
      <c r="P360" s="459" t="str">
        <f t="shared" si="171"/>
        <v/>
      </c>
      <c r="Q360" s="459" t="str">
        <f t="shared" si="172"/>
        <v/>
      </c>
      <c r="R360" s="459" t="str">
        <f t="shared" si="173"/>
        <v/>
      </c>
      <c r="S360" s="459" t="str">
        <f t="shared" si="174"/>
        <v/>
      </c>
      <c r="T360" s="566" t="str">
        <f t="shared" si="182"/>
        <v/>
      </c>
      <c r="U360" s="702"/>
      <c r="V360" s="132"/>
      <c r="W360" s="133"/>
      <c r="X360" s="134"/>
      <c r="Y360" s="135"/>
      <c r="Z360" s="137"/>
      <c r="AA360" s="136"/>
      <c r="AB360" s="566" t="str">
        <f t="shared" si="175"/>
        <v/>
      </c>
      <c r="AC360" s="568" t="str">
        <f t="shared" si="183"/>
        <v/>
      </c>
      <c r="AD360" s="137"/>
      <c r="AE360" s="137"/>
      <c r="AF360" s="138"/>
      <c r="AG360" s="138"/>
      <c r="AH360" s="592" t="str">
        <f t="shared" si="176"/>
        <v/>
      </c>
      <c r="AI360" s="592" t="str">
        <f t="shared" si="177"/>
        <v/>
      </c>
      <c r="AJ360" s="592" t="str">
        <f t="shared" si="178"/>
        <v/>
      </c>
      <c r="AK360" s="460" t="str">
        <f>IF(AU360="","",IF(OR(AZ360=8,AZ360=9),0,IF(OR(AW360=3,AW360=4,AW360=5,AW360=6),IF(LEFT(BF360,1)="1",INDEX(係数_NOX・PM低減,MATCH(AY360,【参考】排出係数!$AI$801:$AI$804,1),1),VLOOKUP(AU360,INDEX((係数_バス貨物_ガソリン,係数_バス貨物_CNG,係数_バス貨物_軽油,係数_バス貨物_メタノール,係数_バス貨物_LPG),MATCH(AY360,【参考】排出係数!$AI$4:$AI$671,1),1,BE360):INDEX((係数_バス貨物_ガソリン,係数_バス貨物_CNG,係数_バス貨物_軽油,係数_バス貨物_メタノール,係数_バス貨物_LPG),MATCH(AY360+1,【参考】排出係数!$AI$4:$AI$671,1)-1,5,BE360),4,FALSE)),IF(AND(BE360=3,LEFT(BF360,1)="1"),0.48,VLOOKUP(AU360,INDEX((係数_乗用_ガソリン,係数_乗用_CNG,係数_乗用_軽油,係数_乗用_メタノール,係数_乗用_LPG),1,1,BE360):INDEX((係数_乗用_ガソリン,係数_乗用_CNG,係数_乗用_軽油,係数_乗用_メタノール,係数_乗用_LPG),125,5,BE360),4,FALSE)))))</f>
        <v/>
      </c>
      <c r="AL360" s="461" t="str">
        <f t="shared" si="202"/>
        <v/>
      </c>
      <c r="AM360" s="460" t="str">
        <f>IF(AU360="","",IF(OR(AZ360=8,AZ360=9),0,IF(OR(AW360=3,AW360=4,AW360=5,AW360=6),IF(LEFT(BH360,1)="1",INDEX(係数_PM低減,MATCH(AY360,【参考】排出係数!$AI$801:$AI$804,1),MATCH(BI360,【参考】排出係数!$AL$798:$AO$798,1)),VLOOKUP(AU360,INDEX((係数_バス貨物_ガソリン,係数_バス貨物_CNG,係数_バス貨物_軽油,係数_バス貨物_メタノール,係数_バス貨物_LPG),MATCH(AY360,【参考】排出係数!$AI$4:$AI$671,1),1,BE360):INDEX((係数_バス貨物_ガソリン,係数_バス貨物_CNG,係数_バス貨物_軽油,係数_バス貨物_メタノール,係数_バス貨物_LPG),MATCH(AY360+1,【参考】排出係数!$AI$4:$AI$671,1)-1,5,BE360),5,FALSE)),IF(AND(BE360=3,LEFT(BF360,1)="1"),0.055,VLOOKUP(AU360,INDEX((係数_乗用_ガソリン,係数_乗用_CNG,係数_乗用_軽油,係数_乗用_メタノール,係数_乗用_LPG),1,1,BE360):INDEX((係数_乗用_ガソリン,係数_乗用_CNG,係数_乗用_軽油,係数_乗用_メタノール,係数_乗用_LPG),125,5,BE360),5,FALSE)))))</f>
        <v/>
      </c>
      <c r="AN360" s="461" t="str">
        <f t="shared" si="203"/>
        <v/>
      </c>
      <c r="AO360" s="462" t="str">
        <f t="shared" si="204"/>
        <v/>
      </c>
      <c r="AP360" s="463" t="str">
        <f t="shared" si="205"/>
        <v/>
      </c>
      <c r="AQ360" s="464"/>
      <c r="AR360" s="619"/>
      <c r="AS360" s="465" t="str">
        <f t="shared" si="184"/>
        <v/>
      </c>
      <c r="AT360" s="465" t="str">
        <f t="shared" si="185"/>
        <v/>
      </c>
      <c r="AU360" s="466" t="str">
        <f t="shared" si="186"/>
        <v/>
      </c>
      <c r="AV360" s="467" t="str">
        <f t="shared" si="187"/>
        <v/>
      </c>
      <c r="AW360" s="467" t="str">
        <f t="shared" si="188"/>
        <v/>
      </c>
      <c r="AX360" s="467" t="str">
        <f t="shared" si="189"/>
        <v/>
      </c>
      <c r="AY360" s="467" t="str">
        <f t="shared" si="190"/>
        <v/>
      </c>
      <c r="AZ360" s="467" t="str">
        <f t="shared" si="191"/>
        <v/>
      </c>
      <c r="BA360" s="468" t="str">
        <f>IF(AS360="","",IF(OR(AU360="",AU360="-"),"－",IF(OR(AZ360=8,AZ360=9),"",IF(OR(AW360=3,AW360=4,AW360=5,AW360=6),VLOOKUP(AU360,INDEX((係数_バス貨物_ガソリン,係数_バス貨物_CNG,係数_バス貨物_軽油,係数_バス貨物_メタノール,係数_バス貨物_LPG),MATCH(AY360,【参考】排出係数!$AI$4:$AI$671,1),1,BE360):INDEX((係数_バス貨物_ガソリン,係数_バス貨物_CNG,係数_バス貨物_軽油,係数_バス貨物_メタノール,係数_バス貨物_LPG),MATCH(AY360+1,【参考】排出係数!$AI$4:$AI$671,1)-1,5,BE360),2,FALSE),IF(OR(AW360=1,AW360=2),VLOOKUP(AU360,INDEX((係数_乗用_ガソリン,係数_乗用_CNG,係数_乗用_軽油,係数_乗用_メタノール,係数_乗用_LPG),1,1,BE360):INDEX((係数_乗用_ガソリン,係数_乗用_CNG,係数_乗用_軽油,係数_乗用_メタノール,係数_乗用_LPG),125,5,BE360),2,FALSE))))))</f>
        <v/>
      </c>
      <c r="BB360" s="468" t="str">
        <f>IF(T360="","",IF(OR(AU360="",AU360="-"),"－",IF(OR(AZ360=8,AZ360=9),"",IF(OR(AW360=3,AW360=4,AW360=5,AW360=6),VLOOKUP(AU360,INDEX((係数_バス貨物_ガソリン,係数_バス貨物_CNG,係数_バス貨物_軽油,係数_バス貨物_メタノール,係数_バス貨物_LPG),MATCH(AY360,【参考】排出係数!$AI$4:$AI$671,1),1,BE360):INDEX((係数_バス貨物_ガソリン,係数_バス貨物_CNG,係数_バス貨物_軽油,係数_バス貨物_メタノール,係数_バス貨物_LPG),MATCH(AY360+1,【参考】排出係数!$AI$4:$AI$671,1)-1,5,BE360),3,FALSE),IF(OR(AW360=1,AW360=2),VLOOKUP(AU360,INDEX((係数_乗用_ガソリン,係数_乗用_CNG,係数_乗用_軽油,係数_乗用_メタノール,係数_乗用_LPG),1,1,BE360):INDEX((係数_乗用_ガソリン,係数_乗用_CNG,係数_乗用_軽油,係数_乗用_メタノール,係数_乗用_LPG),125,5,BE360),3,FALSE))))))</f>
        <v/>
      </c>
      <c r="BC360" s="467" t="str">
        <f t="shared" si="192"/>
        <v/>
      </c>
      <c r="BD360" s="567" t="str">
        <f t="shared" si="193"/>
        <v/>
      </c>
      <c r="BE360" s="467" t="str">
        <f t="shared" si="194"/>
        <v/>
      </c>
      <c r="BF360" s="469" t="str">
        <f t="shared" ca="1" si="195"/>
        <v/>
      </c>
      <c r="BG360" s="469" t="str">
        <f t="shared" ca="1" si="196"/>
        <v/>
      </c>
      <c r="BH360" s="467" t="str">
        <f t="shared" si="197"/>
        <v/>
      </c>
      <c r="BI360" s="467" t="str">
        <f t="shared" ca="1" si="198"/>
        <v/>
      </c>
      <c r="BJ360" s="469" t="str">
        <f t="shared" si="199"/>
        <v/>
      </c>
      <c r="BK360" s="470" t="str">
        <f t="shared" si="179"/>
        <v/>
      </c>
      <c r="BL360" s="775" t="str">
        <f t="shared" si="200"/>
        <v/>
      </c>
      <c r="BM360" s="775" t="str">
        <f t="shared" si="201"/>
        <v/>
      </c>
    </row>
    <row r="361" spans="1:65">
      <c r="A361" s="473">
        <v>305</v>
      </c>
      <c r="B361" s="132"/>
      <c r="C361" s="332"/>
      <c r="D361" s="333"/>
      <c r="E361" s="333"/>
      <c r="F361" s="334"/>
      <c r="G361" s="337"/>
      <c r="H361" s="131"/>
      <c r="I361" s="337"/>
      <c r="J361" s="131"/>
      <c r="K361" s="458" t="str">
        <f t="shared" si="168"/>
        <v/>
      </c>
      <c r="L361" s="458">
        <f t="shared" si="180"/>
        <v>0</v>
      </c>
      <c r="M361" s="458">
        <f t="shared" si="181"/>
        <v>0</v>
      </c>
      <c r="N361" s="459" t="str">
        <f t="shared" si="169"/>
        <v/>
      </c>
      <c r="O361" s="459" t="str">
        <f t="shared" si="170"/>
        <v/>
      </c>
      <c r="P361" s="459" t="str">
        <f t="shared" si="171"/>
        <v/>
      </c>
      <c r="Q361" s="459" t="str">
        <f t="shared" si="172"/>
        <v/>
      </c>
      <c r="R361" s="459" t="str">
        <f t="shared" si="173"/>
        <v/>
      </c>
      <c r="S361" s="459" t="str">
        <f t="shared" si="174"/>
        <v/>
      </c>
      <c r="T361" s="566" t="str">
        <f t="shared" si="182"/>
        <v/>
      </c>
      <c r="U361" s="702"/>
      <c r="V361" s="132"/>
      <c r="W361" s="133"/>
      <c r="X361" s="134"/>
      <c r="Y361" s="135"/>
      <c r="Z361" s="137"/>
      <c r="AA361" s="136"/>
      <c r="AB361" s="566" t="str">
        <f t="shared" si="175"/>
        <v/>
      </c>
      <c r="AC361" s="568" t="str">
        <f t="shared" si="183"/>
        <v/>
      </c>
      <c r="AD361" s="137"/>
      <c r="AE361" s="137"/>
      <c r="AF361" s="138"/>
      <c r="AG361" s="138"/>
      <c r="AH361" s="592" t="str">
        <f t="shared" si="176"/>
        <v/>
      </c>
      <c r="AI361" s="592" t="str">
        <f t="shared" si="177"/>
        <v/>
      </c>
      <c r="AJ361" s="592" t="str">
        <f t="shared" si="178"/>
        <v/>
      </c>
      <c r="AK361" s="460" t="str">
        <f>IF(AU361="","",IF(OR(AZ361=8,AZ361=9),0,IF(OR(AW361=3,AW361=4,AW361=5,AW361=6),IF(LEFT(BF361,1)="1",INDEX(係数_NOX・PM低減,MATCH(AY361,【参考】排出係数!$AI$801:$AI$804,1),1),VLOOKUP(AU361,INDEX((係数_バス貨物_ガソリン,係数_バス貨物_CNG,係数_バス貨物_軽油,係数_バス貨物_メタノール,係数_バス貨物_LPG),MATCH(AY361,【参考】排出係数!$AI$4:$AI$671,1),1,BE361):INDEX((係数_バス貨物_ガソリン,係数_バス貨物_CNG,係数_バス貨物_軽油,係数_バス貨物_メタノール,係数_バス貨物_LPG),MATCH(AY361+1,【参考】排出係数!$AI$4:$AI$671,1)-1,5,BE361),4,FALSE)),IF(AND(BE361=3,LEFT(BF361,1)="1"),0.48,VLOOKUP(AU361,INDEX((係数_乗用_ガソリン,係数_乗用_CNG,係数_乗用_軽油,係数_乗用_メタノール,係数_乗用_LPG),1,1,BE361):INDEX((係数_乗用_ガソリン,係数_乗用_CNG,係数_乗用_軽油,係数_乗用_メタノール,係数_乗用_LPG),125,5,BE361),4,FALSE)))))</f>
        <v/>
      </c>
      <c r="AL361" s="461" t="str">
        <f t="shared" si="202"/>
        <v/>
      </c>
      <c r="AM361" s="460" t="str">
        <f>IF(AU361="","",IF(OR(AZ361=8,AZ361=9),0,IF(OR(AW361=3,AW361=4,AW361=5,AW361=6),IF(LEFT(BH361,1)="1",INDEX(係数_PM低減,MATCH(AY361,【参考】排出係数!$AI$801:$AI$804,1),MATCH(BI361,【参考】排出係数!$AL$798:$AO$798,1)),VLOOKUP(AU361,INDEX((係数_バス貨物_ガソリン,係数_バス貨物_CNG,係数_バス貨物_軽油,係数_バス貨物_メタノール,係数_バス貨物_LPG),MATCH(AY361,【参考】排出係数!$AI$4:$AI$671,1),1,BE361):INDEX((係数_バス貨物_ガソリン,係数_バス貨物_CNG,係数_バス貨物_軽油,係数_バス貨物_メタノール,係数_バス貨物_LPG),MATCH(AY361+1,【参考】排出係数!$AI$4:$AI$671,1)-1,5,BE361),5,FALSE)),IF(AND(BE361=3,LEFT(BF361,1)="1"),0.055,VLOOKUP(AU361,INDEX((係数_乗用_ガソリン,係数_乗用_CNG,係数_乗用_軽油,係数_乗用_メタノール,係数_乗用_LPG),1,1,BE361):INDEX((係数_乗用_ガソリン,係数_乗用_CNG,係数_乗用_軽油,係数_乗用_メタノール,係数_乗用_LPG),125,5,BE361),5,FALSE)))))</f>
        <v/>
      </c>
      <c r="AN361" s="461" t="str">
        <f t="shared" si="203"/>
        <v/>
      </c>
      <c r="AO361" s="462" t="str">
        <f t="shared" si="204"/>
        <v/>
      </c>
      <c r="AP361" s="463" t="str">
        <f t="shared" si="205"/>
        <v/>
      </c>
      <c r="AQ361" s="464"/>
      <c r="AR361" s="619"/>
      <c r="AS361" s="465" t="str">
        <f t="shared" si="184"/>
        <v/>
      </c>
      <c r="AT361" s="465" t="str">
        <f t="shared" si="185"/>
        <v/>
      </c>
      <c r="AU361" s="466" t="str">
        <f t="shared" si="186"/>
        <v/>
      </c>
      <c r="AV361" s="467" t="str">
        <f t="shared" si="187"/>
        <v/>
      </c>
      <c r="AW361" s="467" t="str">
        <f t="shared" si="188"/>
        <v/>
      </c>
      <c r="AX361" s="467" t="str">
        <f t="shared" si="189"/>
        <v/>
      </c>
      <c r="AY361" s="467" t="str">
        <f t="shared" si="190"/>
        <v/>
      </c>
      <c r="AZ361" s="467" t="str">
        <f t="shared" si="191"/>
        <v/>
      </c>
      <c r="BA361" s="468" t="str">
        <f>IF(AS361="","",IF(OR(AU361="",AU361="-"),"－",IF(OR(AZ361=8,AZ361=9),"",IF(OR(AW361=3,AW361=4,AW361=5,AW361=6),VLOOKUP(AU361,INDEX((係数_バス貨物_ガソリン,係数_バス貨物_CNG,係数_バス貨物_軽油,係数_バス貨物_メタノール,係数_バス貨物_LPG),MATCH(AY361,【参考】排出係数!$AI$4:$AI$671,1),1,BE361):INDEX((係数_バス貨物_ガソリン,係数_バス貨物_CNG,係数_バス貨物_軽油,係数_バス貨物_メタノール,係数_バス貨物_LPG),MATCH(AY361+1,【参考】排出係数!$AI$4:$AI$671,1)-1,5,BE361),2,FALSE),IF(OR(AW361=1,AW361=2),VLOOKUP(AU361,INDEX((係数_乗用_ガソリン,係数_乗用_CNG,係数_乗用_軽油,係数_乗用_メタノール,係数_乗用_LPG),1,1,BE361):INDEX((係数_乗用_ガソリン,係数_乗用_CNG,係数_乗用_軽油,係数_乗用_メタノール,係数_乗用_LPG),125,5,BE361),2,FALSE))))))</f>
        <v/>
      </c>
      <c r="BB361" s="468" t="str">
        <f>IF(T361="","",IF(OR(AU361="",AU361="-"),"－",IF(OR(AZ361=8,AZ361=9),"",IF(OR(AW361=3,AW361=4,AW361=5,AW361=6),VLOOKUP(AU361,INDEX((係数_バス貨物_ガソリン,係数_バス貨物_CNG,係数_バス貨物_軽油,係数_バス貨物_メタノール,係数_バス貨物_LPG),MATCH(AY361,【参考】排出係数!$AI$4:$AI$671,1),1,BE361):INDEX((係数_バス貨物_ガソリン,係数_バス貨物_CNG,係数_バス貨物_軽油,係数_バス貨物_メタノール,係数_バス貨物_LPG),MATCH(AY361+1,【参考】排出係数!$AI$4:$AI$671,1)-1,5,BE361),3,FALSE),IF(OR(AW361=1,AW361=2),VLOOKUP(AU361,INDEX((係数_乗用_ガソリン,係数_乗用_CNG,係数_乗用_軽油,係数_乗用_メタノール,係数_乗用_LPG),1,1,BE361):INDEX((係数_乗用_ガソリン,係数_乗用_CNG,係数_乗用_軽油,係数_乗用_メタノール,係数_乗用_LPG),125,5,BE361),3,FALSE))))))</f>
        <v/>
      </c>
      <c r="BC361" s="467" t="str">
        <f t="shared" si="192"/>
        <v/>
      </c>
      <c r="BD361" s="567" t="str">
        <f t="shared" si="193"/>
        <v/>
      </c>
      <c r="BE361" s="467" t="str">
        <f t="shared" si="194"/>
        <v/>
      </c>
      <c r="BF361" s="469" t="str">
        <f t="shared" ca="1" si="195"/>
        <v/>
      </c>
      <c r="BG361" s="469" t="str">
        <f t="shared" ca="1" si="196"/>
        <v/>
      </c>
      <c r="BH361" s="467" t="str">
        <f t="shared" si="197"/>
        <v/>
      </c>
      <c r="BI361" s="467" t="str">
        <f t="shared" ca="1" si="198"/>
        <v/>
      </c>
      <c r="BJ361" s="469" t="str">
        <f t="shared" si="199"/>
        <v/>
      </c>
      <c r="BK361" s="470" t="str">
        <f t="shared" si="179"/>
        <v/>
      </c>
      <c r="BL361" s="775" t="str">
        <f t="shared" si="200"/>
        <v/>
      </c>
      <c r="BM361" s="775" t="str">
        <f t="shared" si="201"/>
        <v/>
      </c>
    </row>
    <row r="362" spans="1:65">
      <c r="A362" s="473">
        <v>306</v>
      </c>
      <c r="B362" s="132"/>
      <c r="C362" s="332"/>
      <c r="D362" s="333"/>
      <c r="E362" s="333"/>
      <c r="F362" s="334"/>
      <c r="G362" s="337"/>
      <c r="H362" s="131"/>
      <c r="I362" s="337"/>
      <c r="J362" s="131"/>
      <c r="K362" s="458" t="str">
        <f t="shared" si="168"/>
        <v/>
      </c>
      <c r="L362" s="458">
        <f t="shared" si="180"/>
        <v>0</v>
      </c>
      <c r="M362" s="458">
        <f t="shared" si="181"/>
        <v>0</v>
      </c>
      <c r="N362" s="459" t="str">
        <f t="shared" si="169"/>
        <v/>
      </c>
      <c r="O362" s="459" t="str">
        <f t="shared" si="170"/>
        <v/>
      </c>
      <c r="P362" s="459" t="str">
        <f t="shared" si="171"/>
        <v/>
      </c>
      <c r="Q362" s="459" t="str">
        <f t="shared" si="172"/>
        <v/>
      </c>
      <c r="R362" s="459" t="str">
        <f t="shared" si="173"/>
        <v/>
      </c>
      <c r="S362" s="459" t="str">
        <f t="shared" si="174"/>
        <v/>
      </c>
      <c r="T362" s="566" t="str">
        <f t="shared" si="182"/>
        <v/>
      </c>
      <c r="U362" s="702"/>
      <c r="V362" s="132"/>
      <c r="W362" s="133"/>
      <c r="X362" s="134"/>
      <c r="Y362" s="135"/>
      <c r="Z362" s="137"/>
      <c r="AA362" s="136"/>
      <c r="AB362" s="566" t="str">
        <f t="shared" si="175"/>
        <v/>
      </c>
      <c r="AC362" s="568" t="str">
        <f t="shared" si="183"/>
        <v/>
      </c>
      <c r="AD362" s="137"/>
      <c r="AE362" s="137"/>
      <c r="AF362" s="138"/>
      <c r="AG362" s="138"/>
      <c r="AH362" s="592" t="str">
        <f t="shared" si="176"/>
        <v/>
      </c>
      <c r="AI362" s="592" t="str">
        <f t="shared" si="177"/>
        <v/>
      </c>
      <c r="AJ362" s="592" t="str">
        <f t="shared" si="178"/>
        <v/>
      </c>
      <c r="AK362" s="460" t="str">
        <f>IF(AU362="","",IF(OR(AZ362=8,AZ362=9),0,IF(OR(AW362=3,AW362=4,AW362=5,AW362=6),IF(LEFT(BF362,1)="1",INDEX(係数_NOX・PM低減,MATCH(AY362,【参考】排出係数!$AI$801:$AI$804,1),1),VLOOKUP(AU362,INDEX((係数_バス貨物_ガソリン,係数_バス貨物_CNG,係数_バス貨物_軽油,係数_バス貨物_メタノール,係数_バス貨物_LPG),MATCH(AY362,【参考】排出係数!$AI$4:$AI$671,1),1,BE362):INDEX((係数_バス貨物_ガソリン,係数_バス貨物_CNG,係数_バス貨物_軽油,係数_バス貨物_メタノール,係数_バス貨物_LPG),MATCH(AY362+1,【参考】排出係数!$AI$4:$AI$671,1)-1,5,BE362),4,FALSE)),IF(AND(BE362=3,LEFT(BF362,1)="1"),0.48,VLOOKUP(AU362,INDEX((係数_乗用_ガソリン,係数_乗用_CNG,係数_乗用_軽油,係数_乗用_メタノール,係数_乗用_LPG),1,1,BE362):INDEX((係数_乗用_ガソリン,係数_乗用_CNG,係数_乗用_軽油,係数_乗用_メタノール,係数_乗用_LPG),125,5,BE362),4,FALSE)))))</f>
        <v/>
      </c>
      <c r="AL362" s="461" t="str">
        <f t="shared" si="202"/>
        <v/>
      </c>
      <c r="AM362" s="460" t="str">
        <f>IF(AU362="","",IF(OR(AZ362=8,AZ362=9),0,IF(OR(AW362=3,AW362=4,AW362=5,AW362=6),IF(LEFT(BH362,1)="1",INDEX(係数_PM低減,MATCH(AY362,【参考】排出係数!$AI$801:$AI$804,1),MATCH(BI362,【参考】排出係数!$AL$798:$AO$798,1)),VLOOKUP(AU362,INDEX((係数_バス貨物_ガソリン,係数_バス貨物_CNG,係数_バス貨物_軽油,係数_バス貨物_メタノール,係数_バス貨物_LPG),MATCH(AY362,【参考】排出係数!$AI$4:$AI$671,1),1,BE362):INDEX((係数_バス貨物_ガソリン,係数_バス貨物_CNG,係数_バス貨物_軽油,係数_バス貨物_メタノール,係数_バス貨物_LPG),MATCH(AY362+1,【参考】排出係数!$AI$4:$AI$671,1)-1,5,BE362),5,FALSE)),IF(AND(BE362=3,LEFT(BF362,1)="1"),0.055,VLOOKUP(AU362,INDEX((係数_乗用_ガソリン,係数_乗用_CNG,係数_乗用_軽油,係数_乗用_メタノール,係数_乗用_LPG),1,1,BE362):INDEX((係数_乗用_ガソリン,係数_乗用_CNG,係数_乗用_軽油,係数_乗用_メタノール,係数_乗用_LPG),125,5,BE362),5,FALSE)))))</f>
        <v/>
      </c>
      <c r="AN362" s="461" t="str">
        <f t="shared" si="203"/>
        <v/>
      </c>
      <c r="AO362" s="462" t="str">
        <f t="shared" si="204"/>
        <v/>
      </c>
      <c r="AP362" s="463" t="str">
        <f t="shared" si="205"/>
        <v/>
      </c>
      <c r="AQ362" s="464"/>
      <c r="AR362" s="619"/>
      <c r="AS362" s="465" t="str">
        <f t="shared" si="184"/>
        <v/>
      </c>
      <c r="AT362" s="465" t="str">
        <f t="shared" si="185"/>
        <v/>
      </c>
      <c r="AU362" s="466" t="str">
        <f t="shared" si="186"/>
        <v/>
      </c>
      <c r="AV362" s="467" t="str">
        <f t="shared" si="187"/>
        <v/>
      </c>
      <c r="AW362" s="467" t="str">
        <f t="shared" si="188"/>
        <v/>
      </c>
      <c r="AX362" s="467" t="str">
        <f t="shared" si="189"/>
        <v/>
      </c>
      <c r="AY362" s="467" t="str">
        <f t="shared" si="190"/>
        <v/>
      </c>
      <c r="AZ362" s="467" t="str">
        <f t="shared" si="191"/>
        <v/>
      </c>
      <c r="BA362" s="468" t="str">
        <f>IF(AS362="","",IF(OR(AU362="",AU362="-"),"－",IF(OR(AZ362=8,AZ362=9),"",IF(OR(AW362=3,AW362=4,AW362=5,AW362=6),VLOOKUP(AU362,INDEX((係数_バス貨物_ガソリン,係数_バス貨物_CNG,係数_バス貨物_軽油,係数_バス貨物_メタノール,係数_バス貨物_LPG),MATCH(AY362,【参考】排出係数!$AI$4:$AI$671,1),1,BE362):INDEX((係数_バス貨物_ガソリン,係数_バス貨物_CNG,係数_バス貨物_軽油,係数_バス貨物_メタノール,係数_バス貨物_LPG),MATCH(AY362+1,【参考】排出係数!$AI$4:$AI$671,1)-1,5,BE362),2,FALSE),IF(OR(AW362=1,AW362=2),VLOOKUP(AU362,INDEX((係数_乗用_ガソリン,係数_乗用_CNG,係数_乗用_軽油,係数_乗用_メタノール,係数_乗用_LPG),1,1,BE362):INDEX((係数_乗用_ガソリン,係数_乗用_CNG,係数_乗用_軽油,係数_乗用_メタノール,係数_乗用_LPG),125,5,BE362),2,FALSE))))))</f>
        <v/>
      </c>
      <c r="BB362" s="468" t="str">
        <f>IF(T362="","",IF(OR(AU362="",AU362="-"),"－",IF(OR(AZ362=8,AZ362=9),"",IF(OR(AW362=3,AW362=4,AW362=5,AW362=6),VLOOKUP(AU362,INDEX((係数_バス貨物_ガソリン,係数_バス貨物_CNG,係数_バス貨物_軽油,係数_バス貨物_メタノール,係数_バス貨物_LPG),MATCH(AY362,【参考】排出係数!$AI$4:$AI$671,1),1,BE362):INDEX((係数_バス貨物_ガソリン,係数_バス貨物_CNG,係数_バス貨物_軽油,係数_バス貨物_メタノール,係数_バス貨物_LPG),MATCH(AY362+1,【参考】排出係数!$AI$4:$AI$671,1)-1,5,BE362),3,FALSE),IF(OR(AW362=1,AW362=2),VLOOKUP(AU362,INDEX((係数_乗用_ガソリン,係数_乗用_CNG,係数_乗用_軽油,係数_乗用_メタノール,係数_乗用_LPG),1,1,BE362):INDEX((係数_乗用_ガソリン,係数_乗用_CNG,係数_乗用_軽油,係数_乗用_メタノール,係数_乗用_LPG),125,5,BE362),3,FALSE))))))</f>
        <v/>
      </c>
      <c r="BC362" s="467" t="str">
        <f t="shared" si="192"/>
        <v/>
      </c>
      <c r="BD362" s="567" t="str">
        <f t="shared" si="193"/>
        <v/>
      </c>
      <c r="BE362" s="467" t="str">
        <f t="shared" si="194"/>
        <v/>
      </c>
      <c r="BF362" s="469" t="str">
        <f t="shared" ca="1" si="195"/>
        <v/>
      </c>
      <c r="BG362" s="469" t="str">
        <f t="shared" ca="1" si="196"/>
        <v/>
      </c>
      <c r="BH362" s="467" t="str">
        <f t="shared" si="197"/>
        <v/>
      </c>
      <c r="BI362" s="467" t="str">
        <f t="shared" ca="1" si="198"/>
        <v/>
      </c>
      <c r="BJ362" s="469" t="str">
        <f t="shared" si="199"/>
        <v/>
      </c>
      <c r="BK362" s="470" t="str">
        <f t="shared" si="179"/>
        <v/>
      </c>
      <c r="BL362" s="775" t="str">
        <f t="shared" si="200"/>
        <v/>
      </c>
      <c r="BM362" s="775" t="str">
        <f t="shared" si="201"/>
        <v/>
      </c>
    </row>
    <row r="363" spans="1:65">
      <c r="A363" s="473">
        <v>307</v>
      </c>
      <c r="B363" s="132"/>
      <c r="C363" s="332"/>
      <c r="D363" s="333"/>
      <c r="E363" s="333"/>
      <c r="F363" s="334"/>
      <c r="G363" s="337"/>
      <c r="H363" s="131"/>
      <c r="I363" s="337"/>
      <c r="J363" s="131"/>
      <c r="K363" s="458" t="str">
        <f t="shared" si="168"/>
        <v/>
      </c>
      <c r="L363" s="458">
        <f t="shared" si="180"/>
        <v>0</v>
      </c>
      <c r="M363" s="458">
        <f t="shared" si="181"/>
        <v>0</v>
      </c>
      <c r="N363" s="459" t="str">
        <f t="shared" si="169"/>
        <v/>
      </c>
      <c r="O363" s="459" t="str">
        <f t="shared" si="170"/>
        <v/>
      </c>
      <c r="P363" s="459" t="str">
        <f t="shared" si="171"/>
        <v/>
      </c>
      <c r="Q363" s="459" t="str">
        <f t="shared" si="172"/>
        <v/>
      </c>
      <c r="R363" s="459" t="str">
        <f t="shared" si="173"/>
        <v/>
      </c>
      <c r="S363" s="459" t="str">
        <f t="shared" si="174"/>
        <v/>
      </c>
      <c r="T363" s="566" t="str">
        <f t="shared" si="182"/>
        <v/>
      </c>
      <c r="U363" s="702"/>
      <c r="V363" s="132"/>
      <c r="W363" s="133"/>
      <c r="X363" s="134"/>
      <c r="Y363" s="135"/>
      <c r="Z363" s="137"/>
      <c r="AA363" s="136"/>
      <c r="AB363" s="566" t="str">
        <f t="shared" si="175"/>
        <v/>
      </c>
      <c r="AC363" s="568" t="str">
        <f t="shared" si="183"/>
        <v/>
      </c>
      <c r="AD363" s="137"/>
      <c r="AE363" s="137"/>
      <c r="AF363" s="138"/>
      <c r="AG363" s="138"/>
      <c r="AH363" s="592" t="str">
        <f t="shared" si="176"/>
        <v/>
      </c>
      <c r="AI363" s="592" t="str">
        <f t="shared" si="177"/>
        <v/>
      </c>
      <c r="AJ363" s="592" t="str">
        <f t="shared" si="178"/>
        <v/>
      </c>
      <c r="AK363" s="460" t="str">
        <f>IF(AU363="","",IF(OR(AZ363=8,AZ363=9),0,IF(OR(AW363=3,AW363=4,AW363=5,AW363=6),IF(LEFT(BF363,1)="1",INDEX(係数_NOX・PM低減,MATCH(AY363,【参考】排出係数!$AI$801:$AI$804,1),1),VLOOKUP(AU363,INDEX((係数_バス貨物_ガソリン,係数_バス貨物_CNG,係数_バス貨物_軽油,係数_バス貨物_メタノール,係数_バス貨物_LPG),MATCH(AY363,【参考】排出係数!$AI$4:$AI$671,1),1,BE363):INDEX((係数_バス貨物_ガソリン,係数_バス貨物_CNG,係数_バス貨物_軽油,係数_バス貨物_メタノール,係数_バス貨物_LPG),MATCH(AY363+1,【参考】排出係数!$AI$4:$AI$671,1)-1,5,BE363),4,FALSE)),IF(AND(BE363=3,LEFT(BF363,1)="1"),0.48,VLOOKUP(AU363,INDEX((係数_乗用_ガソリン,係数_乗用_CNG,係数_乗用_軽油,係数_乗用_メタノール,係数_乗用_LPG),1,1,BE363):INDEX((係数_乗用_ガソリン,係数_乗用_CNG,係数_乗用_軽油,係数_乗用_メタノール,係数_乗用_LPG),125,5,BE363),4,FALSE)))))</f>
        <v/>
      </c>
      <c r="AL363" s="461" t="str">
        <f t="shared" si="202"/>
        <v/>
      </c>
      <c r="AM363" s="460" t="str">
        <f>IF(AU363="","",IF(OR(AZ363=8,AZ363=9),0,IF(OR(AW363=3,AW363=4,AW363=5,AW363=6),IF(LEFT(BH363,1)="1",INDEX(係数_PM低減,MATCH(AY363,【参考】排出係数!$AI$801:$AI$804,1),MATCH(BI363,【参考】排出係数!$AL$798:$AO$798,1)),VLOOKUP(AU363,INDEX((係数_バス貨物_ガソリン,係数_バス貨物_CNG,係数_バス貨物_軽油,係数_バス貨物_メタノール,係数_バス貨物_LPG),MATCH(AY363,【参考】排出係数!$AI$4:$AI$671,1),1,BE363):INDEX((係数_バス貨物_ガソリン,係数_バス貨物_CNG,係数_バス貨物_軽油,係数_バス貨物_メタノール,係数_バス貨物_LPG),MATCH(AY363+1,【参考】排出係数!$AI$4:$AI$671,1)-1,5,BE363),5,FALSE)),IF(AND(BE363=3,LEFT(BF363,1)="1"),0.055,VLOOKUP(AU363,INDEX((係数_乗用_ガソリン,係数_乗用_CNG,係数_乗用_軽油,係数_乗用_メタノール,係数_乗用_LPG),1,1,BE363):INDEX((係数_乗用_ガソリン,係数_乗用_CNG,係数_乗用_軽油,係数_乗用_メタノール,係数_乗用_LPG),125,5,BE363),5,FALSE)))))</f>
        <v/>
      </c>
      <c r="AN363" s="461" t="str">
        <f t="shared" si="203"/>
        <v/>
      </c>
      <c r="AO363" s="462" t="str">
        <f t="shared" si="204"/>
        <v/>
      </c>
      <c r="AP363" s="463" t="str">
        <f t="shared" si="205"/>
        <v/>
      </c>
      <c r="AQ363" s="464"/>
      <c r="AR363" s="619"/>
      <c r="AS363" s="465" t="str">
        <f t="shared" si="184"/>
        <v/>
      </c>
      <c r="AT363" s="465" t="str">
        <f t="shared" si="185"/>
        <v/>
      </c>
      <c r="AU363" s="466" t="str">
        <f t="shared" si="186"/>
        <v/>
      </c>
      <c r="AV363" s="467" t="str">
        <f t="shared" si="187"/>
        <v/>
      </c>
      <c r="AW363" s="467" t="str">
        <f t="shared" si="188"/>
        <v/>
      </c>
      <c r="AX363" s="467" t="str">
        <f t="shared" si="189"/>
        <v/>
      </c>
      <c r="AY363" s="467" t="str">
        <f t="shared" si="190"/>
        <v/>
      </c>
      <c r="AZ363" s="467" t="str">
        <f t="shared" si="191"/>
        <v/>
      </c>
      <c r="BA363" s="468" t="str">
        <f>IF(AS363="","",IF(OR(AU363="",AU363="-"),"－",IF(OR(AZ363=8,AZ363=9),"",IF(OR(AW363=3,AW363=4,AW363=5,AW363=6),VLOOKUP(AU363,INDEX((係数_バス貨物_ガソリン,係数_バス貨物_CNG,係数_バス貨物_軽油,係数_バス貨物_メタノール,係数_バス貨物_LPG),MATCH(AY363,【参考】排出係数!$AI$4:$AI$671,1),1,BE363):INDEX((係数_バス貨物_ガソリン,係数_バス貨物_CNG,係数_バス貨物_軽油,係数_バス貨物_メタノール,係数_バス貨物_LPG),MATCH(AY363+1,【参考】排出係数!$AI$4:$AI$671,1)-1,5,BE363),2,FALSE),IF(OR(AW363=1,AW363=2),VLOOKUP(AU363,INDEX((係数_乗用_ガソリン,係数_乗用_CNG,係数_乗用_軽油,係数_乗用_メタノール,係数_乗用_LPG),1,1,BE363):INDEX((係数_乗用_ガソリン,係数_乗用_CNG,係数_乗用_軽油,係数_乗用_メタノール,係数_乗用_LPG),125,5,BE363),2,FALSE))))))</f>
        <v/>
      </c>
      <c r="BB363" s="468" t="str">
        <f>IF(T363="","",IF(OR(AU363="",AU363="-"),"－",IF(OR(AZ363=8,AZ363=9),"",IF(OR(AW363=3,AW363=4,AW363=5,AW363=6),VLOOKUP(AU363,INDEX((係数_バス貨物_ガソリン,係数_バス貨物_CNG,係数_バス貨物_軽油,係数_バス貨物_メタノール,係数_バス貨物_LPG),MATCH(AY363,【参考】排出係数!$AI$4:$AI$671,1),1,BE363):INDEX((係数_バス貨物_ガソリン,係数_バス貨物_CNG,係数_バス貨物_軽油,係数_バス貨物_メタノール,係数_バス貨物_LPG),MATCH(AY363+1,【参考】排出係数!$AI$4:$AI$671,1)-1,5,BE363),3,FALSE),IF(OR(AW363=1,AW363=2),VLOOKUP(AU363,INDEX((係数_乗用_ガソリン,係数_乗用_CNG,係数_乗用_軽油,係数_乗用_メタノール,係数_乗用_LPG),1,1,BE363):INDEX((係数_乗用_ガソリン,係数_乗用_CNG,係数_乗用_軽油,係数_乗用_メタノール,係数_乗用_LPG),125,5,BE363),3,FALSE))))))</f>
        <v/>
      </c>
      <c r="BC363" s="467" t="str">
        <f t="shared" si="192"/>
        <v/>
      </c>
      <c r="BD363" s="567" t="str">
        <f t="shared" si="193"/>
        <v/>
      </c>
      <c r="BE363" s="467" t="str">
        <f t="shared" si="194"/>
        <v/>
      </c>
      <c r="BF363" s="469" t="str">
        <f t="shared" ca="1" si="195"/>
        <v/>
      </c>
      <c r="BG363" s="469" t="str">
        <f t="shared" ca="1" si="196"/>
        <v/>
      </c>
      <c r="BH363" s="467" t="str">
        <f t="shared" si="197"/>
        <v/>
      </c>
      <c r="BI363" s="467" t="str">
        <f t="shared" ca="1" si="198"/>
        <v/>
      </c>
      <c r="BJ363" s="469" t="str">
        <f t="shared" si="199"/>
        <v/>
      </c>
      <c r="BK363" s="470" t="str">
        <f t="shared" si="179"/>
        <v/>
      </c>
      <c r="BL363" s="775" t="str">
        <f t="shared" si="200"/>
        <v/>
      </c>
      <c r="BM363" s="775" t="str">
        <f t="shared" si="201"/>
        <v/>
      </c>
    </row>
    <row r="364" spans="1:65">
      <c r="A364" s="473">
        <v>308</v>
      </c>
      <c r="B364" s="132"/>
      <c r="C364" s="332"/>
      <c r="D364" s="333"/>
      <c r="E364" s="333"/>
      <c r="F364" s="334"/>
      <c r="G364" s="337"/>
      <c r="H364" s="131"/>
      <c r="I364" s="337"/>
      <c r="J364" s="131"/>
      <c r="K364" s="458" t="str">
        <f t="shared" si="168"/>
        <v/>
      </c>
      <c r="L364" s="458">
        <f t="shared" si="180"/>
        <v>0</v>
      </c>
      <c r="M364" s="458">
        <f t="shared" si="181"/>
        <v>0</v>
      </c>
      <c r="N364" s="459" t="str">
        <f t="shared" si="169"/>
        <v/>
      </c>
      <c r="O364" s="459" t="str">
        <f t="shared" si="170"/>
        <v/>
      </c>
      <c r="P364" s="459" t="str">
        <f t="shared" si="171"/>
        <v/>
      </c>
      <c r="Q364" s="459" t="str">
        <f t="shared" si="172"/>
        <v/>
      </c>
      <c r="R364" s="459" t="str">
        <f t="shared" si="173"/>
        <v/>
      </c>
      <c r="S364" s="459" t="str">
        <f t="shared" si="174"/>
        <v/>
      </c>
      <c r="T364" s="566" t="str">
        <f t="shared" si="182"/>
        <v/>
      </c>
      <c r="U364" s="702"/>
      <c r="V364" s="132"/>
      <c r="W364" s="133"/>
      <c r="X364" s="134"/>
      <c r="Y364" s="135"/>
      <c r="Z364" s="137"/>
      <c r="AA364" s="136"/>
      <c r="AB364" s="566" t="str">
        <f t="shared" si="175"/>
        <v/>
      </c>
      <c r="AC364" s="568" t="str">
        <f t="shared" si="183"/>
        <v/>
      </c>
      <c r="AD364" s="137"/>
      <c r="AE364" s="137"/>
      <c r="AF364" s="138"/>
      <c r="AG364" s="138"/>
      <c r="AH364" s="592" t="str">
        <f t="shared" si="176"/>
        <v/>
      </c>
      <c r="AI364" s="592" t="str">
        <f t="shared" si="177"/>
        <v/>
      </c>
      <c r="AJ364" s="592" t="str">
        <f t="shared" si="178"/>
        <v/>
      </c>
      <c r="AK364" s="460" t="str">
        <f>IF(AU364="","",IF(OR(AZ364=8,AZ364=9),0,IF(OR(AW364=3,AW364=4,AW364=5,AW364=6),IF(LEFT(BF364,1)="1",INDEX(係数_NOX・PM低減,MATCH(AY364,【参考】排出係数!$AI$801:$AI$804,1),1),VLOOKUP(AU364,INDEX((係数_バス貨物_ガソリン,係数_バス貨物_CNG,係数_バス貨物_軽油,係数_バス貨物_メタノール,係数_バス貨物_LPG),MATCH(AY364,【参考】排出係数!$AI$4:$AI$671,1),1,BE364):INDEX((係数_バス貨物_ガソリン,係数_バス貨物_CNG,係数_バス貨物_軽油,係数_バス貨物_メタノール,係数_バス貨物_LPG),MATCH(AY364+1,【参考】排出係数!$AI$4:$AI$671,1)-1,5,BE364),4,FALSE)),IF(AND(BE364=3,LEFT(BF364,1)="1"),0.48,VLOOKUP(AU364,INDEX((係数_乗用_ガソリン,係数_乗用_CNG,係数_乗用_軽油,係数_乗用_メタノール,係数_乗用_LPG),1,1,BE364):INDEX((係数_乗用_ガソリン,係数_乗用_CNG,係数_乗用_軽油,係数_乗用_メタノール,係数_乗用_LPG),125,5,BE364),4,FALSE)))))</f>
        <v/>
      </c>
      <c r="AL364" s="461" t="str">
        <f t="shared" si="202"/>
        <v/>
      </c>
      <c r="AM364" s="460" t="str">
        <f>IF(AU364="","",IF(OR(AZ364=8,AZ364=9),0,IF(OR(AW364=3,AW364=4,AW364=5,AW364=6),IF(LEFT(BH364,1)="1",INDEX(係数_PM低減,MATCH(AY364,【参考】排出係数!$AI$801:$AI$804,1),MATCH(BI364,【参考】排出係数!$AL$798:$AO$798,1)),VLOOKUP(AU364,INDEX((係数_バス貨物_ガソリン,係数_バス貨物_CNG,係数_バス貨物_軽油,係数_バス貨物_メタノール,係数_バス貨物_LPG),MATCH(AY364,【参考】排出係数!$AI$4:$AI$671,1),1,BE364):INDEX((係数_バス貨物_ガソリン,係数_バス貨物_CNG,係数_バス貨物_軽油,係数_バス貨物_メタノール,係数_バス貨物_LPG),MATCH(AY364+1,【参考】排出係数!$AI$4:$AI$671,1)-1,5,BE364),5,FALSE)),IF(AND(BE364=3,LEFT(BF364,1)="1"),0.055,VLOOKUP(AU364,INDEX((係数_乗用_ガソリン,係数_乗用_CNG,係数_乗用_軽油,係数_乗用_メタノール,係数_乗用_LPG),1,1,BE364):INDEX((係数_乗用_ガソリン,係数_乗用_CNG,係数_乗用_軽油,係数_乗用_メタノール,係数_乗用_LPG),125,5,BE364),5,FALSE)))))</f>
        <v/>
      </c>
      <c r="AN364" s="461" t="str">
        <f t="shared" si="203"/>
        <v/>
      </c>
      <c r="AO364" s="462" t="str">
        <f t="shared" si="204"/>
        <v/>
      </c>
      <c r="AP364" s="463" t="str">
        <f t="shared" si="205"/>
        <v/>
      </c>
      <c r="AQ364" s="464"/>
      <c r="AR364" s="619"/>
      <c r="AS364" s="465" t="str">
        <f t="shared" si="184"/>
        <v/>
      </c>
      <c r="AT364" s="465" t="str">
        <f t="shared" si="185"/>
        <v/>
      </c>
      <c r="AU364" s="466" t="str">
        <f t="shared" si="186"/>
        <v/>
      </c>
      <c r="AV364" s="467" t="str">
        <f t="shared" si="187"/>
        <v/>
      </c>
      <c r="AW364" s="467" t="str">
        <f t="shared" si="188"/>
        <v/>
      </c>
      <c r="AX364" s="467" t="str">
        <f t="shared" si="189"/>
        <v/>
      </c>
      <c r="AY364" s="467" t="str">
        <f t="shared" si="190"/>
        <v/>
      </c>
      <c r="AZ364" s="467" t="str">
        <f t="shared" si="191"/>
        <v/>
      </c>
      <c r="BA364" s="468" t="str">
        <f>IF(AS364="","",IF(OR(AU364="",AU364="-"),"－",IF(OR(AZ364=8,AZ364=9),"",IF(OR(AW364=3,AW364=4,AW364=5,AW364=6),VLOOKUP(AU364,INDEX((係数_バス貨物_ガソリン,係数_バス貨物_CNG,係数_バス貨物_軽油,係数_バス貨物_メタノール,係数_バス貨物_LPG),MATCH(AY364,【参考】排出係数!$AI$4:$AI$671,1),1,BE364):INDEX((係数_バス貨物_ガソリン,係数_バス貨物_CNG,係数_バス貨物_軽油,係数_バス貨物_メタノール,係数_バス貨物_LPG),MATCH(AY364+1,【参考】排出係数!$AI$4:$AI$671,1)-1,5,BE364),2,FALSE),IF(OR(AW364=1,AW364=2),VLOOKUP(AU364,INDEX((係数_乗用_ガソリン,係数_乗用_CNG,係数_乗用_軽油,係数_乗用_メタノール,係数_乗用_LPG),1,1,BE364):INDEX((係数_乗用_ガソリン,係数_乗用_CNG,係数_乗用_軽油,係数_乗用_メタノール,係数_乗用_LPG),125,5,BE364),2,FALSE))))))</f>
        <v/>
      </c>
      <c r="BB364" s="468" t="str">
        <f>IF(T364="","",IF(OR(AU364="",AU364="-"),"－",IF(OR(AZ364=8,AZ364=9),"",IF(OR(AW364=3,AW364=4,AW364=5,AW364=6),VLOOKUP(AU364,INDEX((係数_バス貨物_ガソリン,係数_バス貨物_CNG,係数_バス貨物_軽油,係数_バス貨物_メタノール,係数_バス貨物_LPG),MATCH(AY364,【参考】排出係数!$AI$4:$AI$671,1),1,BE364):INDEX((係数_バス貨物_ガソリン,係数_バス貨物_CNG,係数_バス貨物_軽油,係数_バス貨物_メタノール,係数_バス貨物_LPG),MATCH(AY364+1,【参考】排出係数!$AI$4:$AI$671,1)-1,5,BE364),3,FALSE),IF(OR(AW364=1,AW364=2),VLOOKUP(AU364,INDEX((係数_乗用_ガソリン,係数_乗用_CNG,係数_乗用_軽油,係数_乗用_メタノール,係数_乗用_LPG),1,1,BE364):INDEX((係数_乗用_ガソリン,係数_乗用_CNG,係数_乗用_軽油,係数_乗用_メタノール,係数_乗用_LPG),125,5,BE364),3,FALSE))))))</f>
        <v/>
      </c>
      <c r="BC364" s="467" t="str">
        <f t="shared" si="192"/>
        <v/>
      </c>
      <c r="BD364" s="567" t="str">
        <f t="shared" si="193"/>
        <v/>
      </c>
      <c r="BE364" s="467" t="str">
        <f t="shared" si="194"/>
        <v/>
      </c>
      <c r="BF364" s="469" t="str">
        <f t="shared" ca="1" si="195"/>
        <v/>
      </c>
      <c r="BG364" s="469" t="str">
        <f t="shared" ca="1" si="196"/>
        <v/>
      </c>
      <c r="BH364" s="467" t="str">
        <f t="shared" si="197"/>
        <v/>
      </c>
      <c r="BI364" s="467" t="str">
        <f t="shared" ca="1" si="198"/>
        <v/>
      </c>
      <c r="BJ364" s="469" t="str">
        <f t="shared" si="199"/>
        <v/>
      </c>
      <c r="BK364" s="470" t="str">
        <f t="shared" si="179"/>
        <v/>
      </c>
      <c r="BL364" s="775" t="str">
        <f t="shared" si="200"/>
        <v/>
      </c>
      <c r="BM364" s="775" t="str">
        <f t="shared" si="201"/>
        <v/>
      </c>
    </row>
    <row r="365" spans="1:65">
      <c r="A365" s="473">
        <v>309</v>
      </c>
      <c r="B365" s="132"/>
      <c r="C365" s="332"/>
      <c r="D365" s="333"/>
      <c r="E365" s="333"/>
      <c r="F365" s="334"/>
      <c r="G365" s="337"/>
      <c r="H365" s="131"/>
      <c r="I365" s="337"/>
      <c r="J365" s="131"/>
      <c r="K365" s="458" t="str">
        <f t="shared" si="168"/>
        <v/>
      </c>
      <c r="L365" s="458">
        <f t="shared" si="180"/>
        <v>0</v>
      </c>
      <c r="M365" s="458">
        <f t="shared" si="181"/>
        <v>0</v>
      </c>
      <c r="N365" s="459" t="str">
        <f t="shared" si="169"/>
        <v/>
      </c>
      <c r="O365" s="459" t="str">
        <f t="shared" si="170"/>
        <v/>
      </c>
      <c r="P365" s="459" t="str">
        <f t="shared" si="171"/>
        <v/>
      </c>
      <c r="Q365" s="459" t="str">
        <f t="shared" si="172"/>
        <v/>
      </c>
      <c r="R365" s="459" t="str">
        <f t="shared" si="173"/>
        <v/>
      </c>
      <c r="S365" s="459" t="str">
        <f t="shared" si="174"/>
        <v/>
      </c>
      <c r="T365" s="566" t="str">
        <f t="shared" si="182"/>
        <v/>
      </c>
      <c r="U365" s="702"/>
      <c r="V365" s="132"/>
      <c r="W365" s="133"/>
      <c r="X365" s="134"/>
      <c r="Y365" s="135"/>
      <c r="Z365" s="137"/>
      <c r="AA365" s="136"/>
      <c r="AB365" s="566" t="str">
        <f t="shared" si="175"/>
        <v/>
      </c>
      <c r="AC365" s="568" t="str">
        <f t="shared" si="183"/>
        <v/>
      </c>
      <c r="AD365" s="137"/>
      <c r="AE365" s="137"/>
      <c r="AF365" s="138"/>
      <c r="AG365" s="138"/>
      <c r="AH365" s="592" t="str">
        <f t="shared" si="176"/>
        <v/>
      </c>
      <c r="AI365" s="592" t="str">
        <f t="shared" si="177"/>
        <v/>
      </c>
      <c r="AJ365" s="592" t="str">
        <f t="shared" si="178"/>
        <v/>
      </c>
      <c r="AK365" s="460" t="str">
        <f>IF(AU365="","",IF(OR(AZ365=8,AZ365=9),0,IF(OR(AW365=3,AW365=4,AW365=5,AW365=6),IF(LEFT(BF365,1)="1",INDEX(係数_NOX・PM低減,MATCH(AY365,【参考】排出係数!$AI$801:$AI$804,1),1),VLOOKUP(AU365,INDEX((係数_バス貨物_ガソリン,係数_バス貨物_CNG,係数_バス貨物_軽油,係数_バス貨物_メタノール,係数_バス貨物_LPG),MATCH(AY365,【参考】排出係数!$AI$4:$AI$671,1),1,BE365):INDEX((係数_バス貨物_ガソリン,係数_バス貨物_CNG,係数_バス貨物_軽油,係数_バス貨物_メタノール,係数_バス貨物_LPG),MATCH(AY365+1,【参考】排出係数!$AI$4:$AI$671,1)-1,5,BE365),4,FALSE)),IF(AND(BE365=3,LEFT(BF365,1)="1"),0.48,VLOOKUP(AU365,INDEX((係数_乗用_ガソリン,係数_乗用_CNG,係数_乗用_軽油,係数_乗用_メタノール,係数_乗用_LPG),1,1,BE365):INDEX((係数_乗用_ガソリン,係数_乗用_CNG,係数_乗用_軽油,係数_乗用_メタノール,係数_乗用_LPG),125,5,BE365),4,FALSE)))))</f>
        <v/>
      </c>
      <c r="AL365" s="461" t="str">
        <f t="shared" si="202"/>
        <v/>
      </c>
      <c r="AM365" s="460" t="str">
        <f>IF(AU365="","",IF(OR(AZ365=8,AZ365=9),0,IF(OR(AW365=3,AW365=4,AW365=5,AW365=6),IF(LEFT(BH365,1)="1",INDEX(係数_PM低減,MATCH(AY365,【参考】排出係数!$AI$801:$AI$804,1),MATCH(BI365,【参考】排出係数!$AL$798:$AO$798,1)),VLOOKUP(AU365,INDEX((係数_バス貨物_ガソリン,係数_バス貨物_CNG,係数_バス貨物_軽油,係数_バス貨物_メタノール,係数_バス貨物_LPG),MATCH(AY365,【参考】排出係数!$AI$4:$AI$671,1),1,BE365):INDEX((係数_バス貨物_ガソリン,係数_バス貨物_CNG,係数_バス貨物_軽油,係数_バス貨物_メタノール,係数_バス貨物_LPG),MATCH(AY365+1,【参考】排出係数!$AI$4:$AI$671,1)-1,5,BE365),5,FALSE)),IF(AND(BE365=3,LEFT(BF365,1)="1"),0.055,VLOOKUP(AU365,INDEX((係数_乗用_ガソリン,係数_乗用_CNG,係数_乗用_軽油,係数_乗用_メタノール,係数_乗用_LPG),1,1,BE365):INDEX((係数_乗用_ガソリン,係数_乗用_CNG,係数_乗用_軽油,係数_乗用_メタノール,係数_乗用_LPG),125,5,BE365),5,FALSE)))))</f>
        <v/>
      </c>
      <c r="AN365" s="461" t="str">
        <f t="shared" si="203"/>
        <v/>
      </c>
      <c r="AO365" s="462" t="str">
        <f t="shared" si="204"/>
        <v/>
      </c>
      <c r="AP365" s="463" t="str">
        <f t="shared" si="205"/>
        <v/>
      </c>
      <c r="AQ365" s="464"/>
      <c r="AR365" s="619"/>
      <c r="AS365" s="465" t="str">
        <f t="shared" si="184"/>
        <v/>
      </c>
      <c r="AT365" s="465" t="str">
        <f t="shared" si="185"/>
        <v/>
      </c>
      <c r="AU365" s="466" t="str">
        <f t="shared" si="186"/>
        <v/>
      </c>
      <c r="AV365" s="467" t="str">
        <f t="shared" si="187"/>
        <v/>
      </c>
      <c r="AW365" s="467" t="str">
        <f t="shared" si="188"/>
        <v/>
      </c>
      <c r="AX365" s="467" t="str">
        <f t="shared" si="189"/>
        <v/>
      </c>
      <c r="AY365" s="467" t="str">
        <f t="shared" si="190"/>
        <v/>
      </c>
      <c r="AZ365" s="467" t="str">
        <f t="shared" si="191"/>
        <v/>
      </c>
      <c r="BA365" s="468" t="str">
        <f>IF(AS365="","",IF(OR(AU365="",AU365="-"),"－",IF(OR(AZ365=8,AZ365=9),"",IF(OR(AW365=3,AW365=4,AW365=5,AW365=6),VLOOKUP(AU365,INDEX((係数_バス貨物_ガソリン,係数_バス貨物_CNG,係数_バス貨物_軽油,係数_バス貨物_メタノール,係数_バス貨物_LPG),MATCH(AY365,【参考】排出係数!$AI$4:$AI$671,1),1,BE365):INDEX((係数_バス貨物_ガソリン,係数_バス貨物_CNG,係数_バス貨物_軽油,係数_バス貨物_メタノール,係数_バス貨物_LPG),MATCH(AY365+1,【参考】排出係数!$AI$4:$AI$671,1)-1,5,BE365),2,FALSE),IF(OR(AW365=1,AW365=2),VLOOKUP(AU365,INDEX((係数_乗用_ガソリン,係数_乗用_CNG,係数_乗用_軽油,係数_乗用_メタノール,係数_乗用_LPG),1,1,BE365):INDEX((係数_乗用_ガソリン,係数_乗用_CNG,係数_乗用_軽油,係数_乗用_メタノール,係数_乗用_LPG),125,5,BE365),2,FALSE))))))</f>
        <v/>
      </c>
      <c r="BB365" s="468" t="str">
        <f>IF(T365="","",IF(OR(AU365="",AU365="-"),"－",IF(OR(AZ365=8,AZ365=9),"",IF(OR(AW365=3,AW365=4,AW365=5,AW365=6),VLOOKUP(AU365,INDEX((係数_バス貨物_ガソリン,係数_バス貨物_CNG,係数_バス貨物_軽油,係数_バス貨物_メタノール,係数_バス貨物_LPG),MATCH(AY365,【参考】排出係数!$AI$4:$AI$671,1),1,BE365):INDEX((係数_バス貨物_ガソリン,係数_バス貨物_CNG,係数_バス貨物_軽油,係数_バス貨物_メタノール,係数_バス貨物_LPG),MATCH(AY365+1,【参考】排出係数!$AI$4:$AI$671,1)-1,5,BE365),3,FALSE),IF(OR(AW365=1,AW365=2),VLOOKUP(AU365,INDEX((係数_乗用_ガソリン,係数_乗用_CNG,係数_乗用_軽油,係数_乗用_メタノール,係数_乗用_LPG),1,1,BE365):INDEX((係数_乗用_ガソリン,係数_乗用_CNG,係数_乗用_軽油,係数_乗用_メタノール,係数_乗用_LPG),125,5,BE365),3,FALSE))))))</f>
        <v/>
      </c>
      <c r="BC365" s="467" t="str">
        <f t="shared" si="192"/>
        <v/>
      </c>
      <c r="BD365" s="567" t="str">
        <f t="shared" si="193"/>
        <v/>
      </c>
      <c r="BE365" s="467" t="str">
        <f t="shared" si="194"/>
        <v/>
      </c>
      <c r="BF365" s="469" t="str">
        <f t="shared" ca="1" si="195"/>
        <v/>
      </c>
      <c r="BG365" s="469" t="str">
        <f t="shared" ca="1" si="196"/>
        <v/>
      </c>
      <c r="BH365" s="467" t="str">
        <f t="shared" si="197"/>
        <v/>
      </c>
      <c r="BI365" s="467" t="str">
        <f t="shared" ca="1" si="198"/>
        <v/>
      </c>
      <c r="BJ365" s="469" t="str">
        <f t="shared" si="199"/>
        <v/>
      </c>
      <c r="BK365" s="470" t="str">
        <f t="shared" si="179"/>
        <v/>
      </c>
      <c r="BL365" s="775" t="str">
        <f t="shared" si="200"/>
        <v/>
      </c>
      <c r="BM365" s="775" t="str">
        <f t="shared" si="201"/>
        <v/>
      </c>
    </row>
    <row r="366" spans="1:65">
      <c r="A366" s="473">
        <v>310</v>
      </c>
      <c r="B366" s="132"/>
      <c r="C366" s="332"/>
      <c r="D366" s="333"/>
      <c r="E366" s="333"/>
      <c r="F366" s="334"/>
      <c r="G366" s="337"/>
      <c r="H366" s="131"/>
      <c r="I366" s="337"/>
      <c r="J366" s="131"/>
      <c r="K366" s="458" t="str">
        <f t="shared" si="168"/>
        <v/>
      </c>
      <c r="L366" s="458">
        <f t="shared" si="180"/>
        <v>0</v>
      </c>
      <c r="M366" s="458">
        <f t="shared" si="181"/>
        <v>0</v>
      </c>
      <c r="N366" s="459" t="str">
        <f t="shared" si="169"/>
        <v/>
      </c>
      <c r="O366" s="459" t="str">
        <f t="shared" si="170"/>
        <v/>
      </c>
      <c r="P366" s="459" t="str">
        <f t="shared" si="171"/>
        <v/>
      </c>
      <c r="Q366" s="459" t="str">
        <f t="shared" si="172"/>
        <v/>
      </c>
      <c r="R366" s="459" t="str">
        <f t="shared" si="173"/>
        <v/>
      </c>
      <c r="S366" s="459" t="str">
        <f t="shared" si="174"/>
        <v/>
      </c>
      <c r="T366" s="566" t="str">
        <f t="shared" si="182"/>
        <v/>
      </c>
      <c r="U366" s="702"/>
      <c r="V366" s="132"/>
      <c r="W366" s="133"/>
      <c r="X366" s="134"/>
      <c r="Y366" s="135"/>
      <c r="Z366" s="137"/>
      <c r="AA366" s="136"/>
      <c r="AB366" s="566" t="str">
        <f t="shared" si="175"/>
        <v/>
      </c>
      <c r="AC366" s="568" t="str">
        <f t="shared" si="183"/>
        <v/>
      </c>
      <c r="AD366" s="137"/>
      <c r="AE366" s="137"/>
      <c r="AF366" s="138"/>
      <c r="AG366" s="138"/>
      <c r="AH366" s="592" t="str">
        <f t="shared" si="176"/>
        <v/>
      </c>
      <c r="AI366" s="592" t="str">
        <f t="shared" si="177"/>
        <v/>
      </c>
      <c r="AJ366" s="592" t="str">
        <f t="shared" si="178"/>
        <v/>
      </c>
      <c r="AK366" s="460" t="str">
        <f>IF(AU366="","",IF(OR(AZ366=8,AZ366=9),0,IF(OR(AW366=3,AW366=4,AW366=5,AW366=6),IF(LEFT(BF366,1)="1",INDEX(係数_NOX・PM低減,MATCH(AY366,【参考】排出係数!$AI$801:$AI$804,1),1),VLOOKUP(AU366,INDEX((係数_バス貨物_ガソリン,係数_バス貨物_CNG,係数_バス貨物_軽油,係数_バス貨物_メタノール,係数_バス貨物_LPG),MATCH(AY366,【参考】排出係数!$AI$4:$AI$671,1),1,BE366):INDEX((係数_バス貨物_ガソリン,係数_バス貨物_CNG,係数_バス貨物_軽油,係数_バス貨物_メタノール,係数_バス貨物_LPG),MATCH(AY366+1,【参考】排出係数!$AI$4:$AI$671,1)-1,5,BE366),4,FALSE)),IF(AND(BE366=3,LEFT(BF366,1)="1"),0.48,VLOOKUP(AU366,INDEX((係数_乗用_ガソリン,係数_乗用_CNG,係数_乗用_軽油,係数_乗用_メタノール,係数_乗用_LPG),1,1,BE366):INDEX((係数_乗用_ガソリン,係数_乗用_CNG,係数_乗用_軽油,係数_乗用_メタノール,係数_乗用_LPG),125,5,BE366),4,FALSE)))))</f>
        <v/>
      </c>
      <c r="AL366" s="461" t="str">
        <f t="shared" si="202"/>
        <v/>
      </c>
      <c r="AM366" s="460" t="str">
        <f>IF(AU366="","",IF(OR(AZ366=8,AZ366=9),0,IF(OR(AW366=3,AW366=4,AW366=5,AW366=6),IF(LEFT(BH366,1)="1",INDEX(係数_PM低減,MATCH(AY366,【参考】排出係数!$AI$801:$AI$804,1),MATCH(BI366,【参考】排出係数!$AL$798:$AO$798,1)),VLOOKUP(AU366,INDEX((係数_バス貨物_ガソリン,係数_バス貨物_CNG,係数_バス貨物_軽油,係数_バス貨物_メタノール,係数_バス貨物_LPG),MATCH(AY366,【参考】排出係数!$AI$4:$AI$671,1),1,BE366):INDEX((係数_バス貨物_ガソリン,係数_バス貨物_CNG,係数_バス貨物_軽油,係数_バス貨物_メタノール,係数_バス貨物_LPG),MATCH(AY366+1,【参考】排出係数!$AI$4:$AI$671,1)-1,5,BE366),5,FALSE)),IF(AND(BE366=3,LEFT(BF366,1)="1"),0.055,VLOOKUP(AU366,INDEX((係数_乗用_ガソリン,係数_乗用_CNG,係数_乗用_軽油,係数_乗用_メタノール,係数_乗用_LPG),1,1,BE366):INDEX((係数_乗用_ガソリン,係数_乗用_CNG,係数_乗用_軽油,係数_乗用_メタノール,係数_乗用_LPG),125,5,BE366),5,FALSE)))))</f>
        <v/>
      </c>
      <c r="AN366" s="461" t="str">
        <f t="shared" si="203"/>
        <v/>
      </c>
      <c r="AO366" s="462" t="str">
        <f t="shared" si="204"/>
        <v/>
      </c>
      <c r="AP366" s="463" t="str">
        <f t="shared" si="205"/>
        <v/>
      </c>
      <c r="AQ366" s="464"/>
      <c r="AR366" s="619"/>
      <c r="AS366" s="465" t="str">
        <f t="shared" si="184"/>
        <v/>
      </c>
      <c r="AT366" s="465" t="str">
        <f t="shared" si="185"/>
        <v/>
      </c>
      <c r="AU366" s="466" t="str">
        <f t="shared" si="186"/>
        <v/>
      </c>
      <c r="AV366" s="467" t="str">
        <f t="shared" si="187"/>
        <v/>
      </c>
      <c r="AW366" s="467" t="str">
        <f t="shared" si="188"/>
        <v/>
      </c>
      <c r="AX366" s="467" t="str">
        <f t="shared" si="189"/>
        <v/>
      </c>
      <c r="AY366" s="467" t="str">
        <f t="shared" si="190"/>
        <v/>
      </c>
      <c r="AZ366" s="467" t="str">
        <f t="shared" si="191"/>
        <v/>
      </c>
      <c r="BA366" s="468" t="str">
        <f>IF(AS366="","",IF(OR(AU366="",AU366="-"),"－",IF(OR(AZ366=8,AZ366=9),"",IF(OR(AW366=3,AW366=4,AW366=5,AW366=6),VLOOKUP(AU366,INDEX((係数_バス貨物_ガソリン,係数_バス貨物_CNG,係数_バス貨物_軽油,係数_バス貨物_メタノール,係数_バス貨物_LPG),MATCH(AY366,【参考】排出係数!$AI$4:$AI$671,1),1,BE366):INDEX((係数_バス貨物_ガソリン,係数_バス貨物_CNG,係数_バス貨物_軽油,係数_バス貨物_メタノール,係数_バス貨物_LPG),MATCH(AY366+1,【参考】排出係数!$AI$4:$AI$671,1)-1,5,BE366),2,FALSE),IF(OR(AW366=1,AW366=2),VLOOKUP(AU366,INDEX((係数_乗用_ガソリン,係数_乗用_CNG,係数_乗用_軽油,係数_乗用_メタノール,係数_乗用_LPG),1,1,BE366):INDEX((係数_乗用_ガソリン,係数_乗用_CNG,係数_乗用_軽油,係数_乗用_メタノール,係数_乗用_LPG),125,5,BE366),2,FALSE))))))</f>
        <v/>
      </c>
      <c r="BB366" s="468" t="str">
        <f>IF(T366="","",IF(OR(AU366="",AU366="-"),"－",IF(OR(AZ366=8,AZ366=9),"",IF(OR(AW366=3,AW366=4,AW366=5,AW366=6),VLOOKUP(AU366,INDEX((係数_バス貨物_ガソリン,係数_バス貨物_CNG,係数_バス貨物_軽油,係数_バス貨物_メタノール,係数_バス貨物_LPG),MATCH(AY366,【参考】排出係数!$AI$4:$AI$671,1),1,BE366):INDEX((係数_バス貨物_ガソリン,係数_バス貨物_CNG,係数_バス貨物_軽油,係数_バス貨物_メタノール,係数_バス貨物_LPG),MATCH(AY366+1,【参考】排出係数!$AI$4:$AI$671,1)-1,5,BE366),3,FALSE),IF(OR(AW366=1,AW366=2),VLOOKUP(AU366,INDEX((係数_乗用_ガソリン,係数_乗用_CNG,係数_乗用_軽油,係数_乗用_メタノール,係数_乗用_LPG),1,1,BE366):INDEX((係数_乗用_ガソリン,係数_乗用_CNG,係数_乗用_軽油,係数_乗用_メタノール,係数_乗用_LPG),125,5,BE366),3,FALSE))))))</f>
        <v/>
      </c>
      <c r="BC366" s="467" t="str">
        <f t="shared" si="192"/>
        <v/>
      </c>
      <c r="BD366" s="567" t="str">
        <f t="shared" si="193"/>
        <v/>
      </c>
      <c r="BE366" s="467" t="str">
        <f t="shared" si="194"/>
        <v/>
      </c>
      <c r="BF366" s="469" t="str">
        <f t="shared" ca="1" si="195"/>
        <v/>
      </c>
      <c r="BG366" s="469" t="str">
        <f t="shared" ca="1" si="196"/>
        <v/>
      </c>
      <c r="BH366" s="467" t="str">
        <f t="shared" si="197"/>
        <v/>
      </c>
      <c r="BI366" s="467" t="str">
        <f t="shared" ca="1" si="198"/>
        <v/>
      </c>
      <c r="BJ366" s="469" t="str">
        <f t="shared" si="199"/>
        <v/>
      </c>
      <c r="BK366" s="470" t="str">
        <f t="shared" si="179"/>
        <v/>
      </c>
      <c r="BL366" s="775" t="str">
        <f t="shared" si="200"/>
        <v/>
      </c>
      <c r="BM366" s="775" t="str">
        <f t="shared" si="201"/>
        <v/>
      </c>
    </row>
    <row r="367" spans="1:65">
      <c r="A367" s="473">
        <v>311</v>
      </c>
      <c r="B367" s="132"/>
      <c r="C367" s="332"/>
      <c r="D367" s="333"/>
      <c r="E367" s="333"/>
      <c r="F367" s="334"/>
      <c r="G367" s="337"/>
      <c r="H367" s="131"/>
      <c r="I367" s="337"/>
      <c r="J367" s="131"/>
      <c r="K367" s="458" t="str">
        <f t="shared" si="168"/>
        <v/>
      </c>
      <c r="L367" s="458">
        <f t="shared" si="180"/>
        <v>0</v>
      </c>
      <c r="M367" s="458">
        <f t="shared" si="181"/>
        <v>0</v>
      </c>
      <c r="N367" s="459" t="str">
        <f t="shared" si="169"/>
        <v/>
      </c>
      <c r="O367" s="459" t="str">
        <f t="shared" si="170"/>
        <v/>
      </c>
      <c r="P367" s="459" t="str">
        <f t="shared" si="171"/>
        <v/>
      </c>
      <c r="Q367" s="459" t="str">
        <f t="shared" si="172"/>
        <v/>
      </c>
      <c r="R367" s="459" t="str">
        <f t="shared" si="173"/>
        <v/>
      </c>
      <c r="S367" s="459" t="str">
        <f t="shared" si="174"/>
        <v/>
      </c>
      <c r="T367" s="566" t="str">
        <f t="shared" si="182"/>
        <v/>
      </c>
      <c r="U367" s="702"/>
      <c r="V367" s="132"/>
      <c r="W367" s="133"/>
      <c r="X367" s="134"/>
      <c r="Y367" s="135"/>
      <c r="Z367" s="137"/>
      <c r="AA367" s="136"/>
      <c r="AB367" s="566" t="str">
        <f t="shared" si="175"/>
        <v/>
      </c>
      <c r="AC367" s="568" t="str">
        <f t="shared" si="183"/>
        <v/>
      </c>
      <c r="AD367" s="137"/>
      <c r="AE367" s="137"/>
      <c r="AF367" s="138"/>
      <c r="AG367" s="138"/>
      <c r="AH367" s="592" t="str">
        <f t="shared" si="176"/>
        <v/>
      </c>
      <c r="AI367" s="592" t="str">
        <f t="shared" si="177"/>
        <v/>
      </c>
      <c r="AJ367" s="592" t="str">
        <f t="shared" si="178"/>
        <v/>
      </c>
      <c r="AK367" s="460" t="str">
        <f>IF(AU367="","",IF(OR(AZ367=8,AZ367=9),0,IF(OR(AW367=3,AW367=4,AW367=5,AW367=6),IF(LEFT(BF367,1)="1",INDEX(係数_NOX・PM低減,MATCH(AY367,【参考】排出係数!$AI$801:$AI$804,1),1),VLOOKUP(AU367,INDEX((係数_バス貨物_ガソリン,係数_バス貨物_CNG,係数_バス貨物_軽油,係数_バス貨物_メタノール,係数_バス貨物_LPG),MATCH(AY367,【参考】排出係数!$AI$4:$AI$671,1),1,BE367):INDEX((係数_バス貨物_ガソリン,係数_バス貨物_CNG,係数_バス貨物_軽油,係数_バス貨物_メタノール,係数_バス貨物_LPG),MATCH(AY367+1,【参考】排出係数!$AI$4:$AI$671,1)-1,5,BE367),4,FALSE)),IF(AND(BE367=3,LEFT(BF367,1)="1"),0.48,VLOOKUP(AU367,INDEX((係数_乗用_ガソリン,係数_乗用_CNG,係数_乗用_軽油,係数_乗用_メタノール,係数_乗用_LPG),1,1,BE367):INDEX((係数_乗用_ガソリン,係数_乗用_CNG,係数_乗用_軽油,係数_乗用_メタノール,係数_乗用_LPG),125,5,BE367),4,FALSE)))))</f>
        <v/>
      </c>
      <c r="AL367" s="461" t="str">
        <f t="shared" si="202"/>
        <v/>
      </c>
      <c r="AM367" s="460" t="str">
        <f>IF(AU367="","",IF(OR(AZ367=8,AZ367=9),0,IF(OR(AW367=3,AW367=4,AW367=5,AW367=6),IF(LEFT(BH367,1)="1",INDEX(係数_PM低減,MATCH(AY367,【参考】排出係数!$AI$801:$AI$804,1),MATCH(BI367,【参考】排出係数!$AL$798:$AO$798,1)),VLOOKUP(AU367,INDEX((係数_バス貨物_ガソリン,係数_バス貨物_CNG,係数_バス貨物_軽油,係数_バス貨物_メタノール,係数_バス貨物_LPG),MATCH(AY367,【参考】排出係数!$AI$4:$AI$671,1),1,BE367):INDEX((係数_バス貨物_ガソリン,係数_バス貨物_CNG,係数_バス貨物_軽油,係数_バス貨物_メタノール,係数_バス貨物_LPG),MATCH(AY367+1,【参考】排出係数!$AI$4:$AI$671,1)-1,5,BE367),5,FALSE)),IF(AND(BE367=3,LEFT(BF367,1)="1"),0.055,VLOOKUP(AU367,INDEX((係数_乗用_ガソリン,係数_乗用_CNG,係数_乗用_軽油,係数_乗用_メタノール,係数_乗用_LPG),1,1,BE367):INDEX((係数_乗用_ガソリン,係数_乗用_CNG,係数_乗用_軽油,係数_乗用_メタノール,係数_乗用_LPG),125,5,BE367),5,FALSE)))))</f>
        <v/>
      </c>
      <c r="AN367" s="461" t="str">
        <f t="shared" si="203"/>
        <v/>
      </c>
      <c r="AO367" s="462" t="str">
        <f t="shared" si="204"/>
        <v/>
      </c>
      <c r="AP367" s="463" t="str">
        <f t="shared" si="205"/>
        <v/>
      </c>
      <c r="AQ367" s="464"/>
      <c r="AR367" s="619"/>
      <c r="AS367" s="465" t="str">
        <f t="shared" si="184"/>
        <v/>
      </c>
      <c r="AT367" s="465" t="str">
        <f t="shared" si="185"/>
        <v/>
      </c>
      <c r="AU367" s="466" t="str">
        <f t="shared" si="186"/>
        <v/>
      </c>
      <c r="AV367" s="467" t="str">
        <f t="shared" si="187"/>
        <v/>
      </c>
      <c r="AW367" s="467" t="str">
        <f t="shared" si="188"/>
        <v/>
      </c>
      <c r="AX367" s="467" t="str">
        <f t="shared" si="189"/>
        <v/>
      </c>
      <c r="AY367" s="467" t="str">
        <f t="shared" si="190"/>
        <v/>
      </c>
      <c r="AZ367" s="467" t="str">
        <f t="shared" si="191"/>
        <v/>
      </c>
      <c r="BA367" s="468" t="str">
        <f>IF(AS367="","",IF(OR(AU367="",AU367="-"),"－",IF(OR(AZ367=8,AZ367=9),"",IF(OR(AW367=3,AW367=4,AW367=5,AW367=6),VLOOKUP(AU367,INDEX((係数_バス貨物_ガソリン,係数_バス貨物_CNG,係数_バス貨物_軽油,係数_バス貨物_メタノール,係数_バス貨物_LPG),MATCH(AY367,【参考】排出係数!$AI$4:$AI$671,1),1,BE367):INDEX((係数_バス貨物_ガソリン,係数_バス貨物_CNG,係数_バス貨物_軽油,係数_バス貨物_メタノール,係数_バス貨物_LPG),MATCH(AY367+1,【参考】排出係数!$AI$4:$AI$671,1)-1,5,BE367),2,FALSE),IF(OR(AW367=1,AW367=2),VLOOKUP(AU367,INDEX((係数_乗用_ガソリン,係数_乗用_CNG,係数_乗用_軽油,係数_乗用_メタノール,係数_乗用_LPG),1,1,BE367):INDEX((係数_乗用_ガソリン,係数_乗用_CNG,係数_乗用_軽油,係数_乗用_メタノール,係数_乗用_LPG),125,5,BE367),2,FALSE))))))</f>
        <v/>
      </c>
      <c r="BB367" s="468" t="str">
        <f>IF(T367="","",IF(OR(AU367="",AU367="-"),"－",IF(OR(AZ367=8,AZ367=9),"",IF(OR(AW367=3,AW367=4,AW367=5,AW367=6),VLOOKUP(AU367,INDEX((係数_バス貨物_ガソリン,係数_バス貨物_CNG,係数_バス貨物_軽油,係数_バス貨物_メタノール,係数_バス貨物_LPG),MATCH(AY367,【参考】排出係数!$AI$4:$AI$671,1),1,BE367):INDEX((係数_バス貨物_ガソリン,係数_バス貨物_CNG,係数_バス貨物_軽油,係数_バス貨物_メタノール,係数_バス貨物_LPG),MATCH(AY367+1,【参考】排出係数!$AI$4:$AI$671,1)-1,5,BE367),3,FALSE),IF(OR(AW367=1,AW367=2),VLOOKUP(AU367,INDEX((係数_乗用_ガソリン,係数_乗用_CNG,係数_乗用_軽油,係数_乗用_メタノール,係数_乗用_LPG),1,1,BE367):INDEX((係数_乗用_ガソリン,係数_乗用_CNG,係数_乗用_軽油,係数_乗用_メタノール,係数_乗用_LPG),125,5,BE367),3,FALSE))))))</f>
        <v/>
      </c>
      <c r="BC367" s="467" t="str">
        <f t="shared" si="192"/>
        <v/>
      </c>
      <c r="BD367" s="567" t="str">
        <f t="shared" si="193"/>
        <v/>
      </c>
      <c r="BE367" s="467" t="str">
        <f t="shared" si="194"/>
        <v/>
      </c>
      <c r="BF367" s="469" t="str">
        <f t="shared" ca="1" si="195"/>
        <v/>
      </c>
      <c r="BG367" s="469" t="str">
        <f t="shared" ca="1" si="196"/>
        <v/>
      </c>
      <c r="BH367" s="467" t="str">
        <f t="shared" si="197"/>
        <v/>
      </c>
      <c r="BI367" s="467" t="str">
        <f t="shared" ca="1" si="198"/>
        <v/>
      </c>
      <c r="BJ367" s="469" t="str">
        <f t="shared" si="199"/>
        <v/>
      </c>
      <c r="BK367" s="470" t="str">
        <f t="shared" si="179"/>
        <v/>
      </c>
      <c r="BL367" s="775" t="str">
        <f t="shared" si="200"/>
        <v/>
      </c>
      <c r="BM367" s="775" t="str">
        <f t="shared" si="201"/>
        <v/>
      </c>
    </row>
    <row r="368" spans="1:65">
      <c r="A368" s="473">
        <v>312</v>
      </c>
      <c r="B368" s="132"/>
      <c r="C368" s="332"/>
      <c r="D368" s="333"/>
      <c r="E368" s="333"/>
      <c r="F368" s="334"/>
      <c r="G368" s="337"/>
      <c r="H368" s="131"/>
      <c r="I368" s="337"/>
      <c r="J368" s="131"/>
      <c r="K368" s="458" t="str">
        <f t="shared" si="168"/>
        <v/>
      </c>
      <c r="L368" s="458">
        <f t="shared" si="180"/>
        <v>0</v>
      </c>
      <c r="M368" s="458">
        <f t="shared" si="181"/>
        <v>0</v>
      </c>
      <c r="N368" s="459" t="str">
        <f t="shared" si="169"/>
        <v/>
      </c>
      <c r="O368" s="459" t="str">
        <f t="shared" si="170"/>
        <v/>
      </c>
      <c r="P368" s="459" t="str">
        <f t="shared" si="171"/>
        <v/>
      </c>
      <c r="Q368" s="459" t="str">
        <f t="shared" si="172"/>
        <v/>
      </c>
      <c r="R368" s="459" t="str">
        <f t="shared" si="173"/>
        <v/>
      </c>
      <c r="S368" s="459" t="str">
        <f t="shared" si="174"/>
        <v/>
      </c>
      <c r="T368" s="566" t="str">
        <f t="shared" si="182"/>
        <v/>
      </c>
      <c r="U368" s="702"/>
      <c r="V368" s="132"/>
      <c r="W368" s="133"/>
      <c r="X368" s="134"/>
      <c r="Y368" s="135"/>
      <c r="Z368" s="137"/>
      <c r="AA368" s="136"/>
      <c r="AB368" s="566" t="str">
        <f t="shared" si="175"/>
        <v/>
      </c>
      <c r="AC368" s="568" t="str">
        <f t="shared" si="183"/>
        <v/>
      </c>
      <c r="AD368" s="137"/>
      <c r="AE368" s="137"/>
      <c r="AF368" s="138"/>
      <c r="AG368" s="138"/>
      <c r="AH368" s="592" t="str">
        <f t="shared" si="176"/>
        <v/>
      </c>
      <c r="AI368" s="592" t="str">
        <f t="shared" si="177"/>
        <v/>
      </c>
      <c r="AJ368" s="592" t="str">
        <f t="shared" si="178"/>
        <v/>
      </c>
      <c r="AK368" s="460" t="str">
        <f>IF(AU368="","",IF(OR(AZ368=8,AZ368=9),0,IF(OR(AW368=3,AW368=4,AW368=5,AW368=6),IF(LEFT(BF368,1)="1",INDEX(係数_NOX・PM低減,MATCH(AY368,【参考】排出係数!$AI$801:$AI$804,1),1),VLOOKUP(AU368,INDEX((係数_バス貨物_ガソリン,係数_バス貨物_CNG,係数_バス貨物_軽油,係数_バス貨物_メタノール,係数_バス貨物_LPG),MATCH(AY368,【参考】排出係数!$AI$4:$AI$671,1),1,BE368):INDEX((係数_バス貨物_ガソリン,係数_バス貨物_CNG,係数_バス貨物_軽油,係数_バス貨物_メタノール,係数_バス貨物_LPG),MATCH(AY368+1,【参考】排出係数!$AI$4:$AI$671,1)-1,5,BE368),4,FALSE)),IF(AND(BE368=3,LEFT(BF368,1)="1"),0.48,VLOOKUP(AU368,INDEX((係数_乗用_ガソリン,係数_乗用_CNG,係数_乗用_軽油,係数_乗用_メタノール,係数_乗用_LPG),1,1,BE368):INDEX((係数_乗用_ガソリン,係数_乗用_CNG,係数_乗用_軽油,係数_乗用_メタノール,係数_乗用_LPG),125,5,BE368),4,FALSE)))))</f>
        <v/>
      </c>
      <c r="AL368" s="461" t="str">
        <f t="shared" si="202"/>
        <v/>
      </c>
      <c r="AM368" s="460" t="str">
        <f>IF(AU368="","",IF(OR(AZ368=8,AZ368=9),0,IF(OR(AW368=3,AW368=4,AW368=5,AW368=6),IF(LEFT(BH368,1)="1",INDEX(係数_PM低減,MATCH(AY368,【参考】排出係数!$AI$801:$AI$804,1),MATCH(BI368,【参考】排出係数!$AL$798:$AO$798,1)),VLOOKUP(AU368,INDEX((係数_バス貨物_ガソリン,係数_バス貨物_CNG,係数_バス貨物_軽油,係数_バス貨物_メタノール,係数_バス貨物_LPG),MATCH(AY368,【参考】排出係数!$AI$4:$AI$671,1),1,BE368):INDEX((係数_バス貨物_ガソリン,係数_バス貨物_CNG,係数_バス貨物_軽油,係数_バス貨物_メタノール,係数_バス貨物_LPG),MATCH(AY368+1,【参考】排出係数!$AI$4:$AI$671,1)-1,5,BE368),5,FALSE)),IF(AND(BE368=3,LEFT(BF368,1)="1"),0.055,VLOOKUP(AU368,INDEX((係数_乗用_ガソリン,係数_乗用_CNG,係数_乗用_軽油,係数_乗用_メタノール,係数_乗用_LPG),1,1,BE368):INDEX((係数_乗用_ガソリン,係数_乗用_CNG,係数_乗用_軽油,係数_乗用_メタノール,係数_乗用_LPG),125,5,BE368),5,FALSE)))))</f>
        <v/>
      </c>
      <c r="AN368" s="461" t="str">
        <f t="shared" si="203"/>
        <v/>
      </c>
      <c r="AO368" s="462" t="str">
        <f t="shared" si="204"/>
        <v/>
      </c>
      <c r="AP368" s="463" t="str">
        <f t="shared" si="205"/>
        <v/>
      </c>
      <c r="AQ368" s="464"/>
      <c r="AR368" s="619"/>
      <c r="AS368" s="465" t="str">
        <f t="shared" si="184"/>
        <v/>
      </c>
      <c r="AT368" s="465" t="str">
        <f t="shared" si="185"/>
        <v/>
      </c>
      <c r="AU368" s="466" t="str">
        <f t="shared" si="186"/>
        <v/>
      </c>
      <c r="AV368" s="467" t="str">
        <f t="shared" si="187"/>
        <v/>
      </c>
      <c r="AW368" s="467" t="str">
        <f t="shared" si="188"/>
        <v/>
      </c>
      <c r="AX368" s="467" t="str">
        <f t="shared" si="189"/>
        <v/>
      </c>
      <c r="AY368" s="467" t="str">
        <f t="shared" si="190"/>
        <v/>
      </c>
      <c r="AZ368" s="467" t="str">
        <f t="shared" si="191"/>
        <v/>
      </c>
      <c r="BA368" s="468" t="str">
        <f>IF(AS368="","",IF(OR(AU368="",AU368="-"),"－",IF(OR(AZ368=8,AZ368=9),"",IF(OR(AW368=3,AW368=4,AW368=5,AW368=6),VLOOKUP(AU368,INDEX((係数_バス貨物_ガソリン,係数_バス貨物_CNG,係数_バス貨物_軽油,係数_バス貨物_メタノール,係数_バス貨物_LPG),MATCH(AY368,【参考】排出係数!$AI$4:$AI$671,1),1,BE368):INDEX((係数_バス貨物_ガソリン,係数_バス貨物_CNG,係数_バス貨物_軽油,係数_バス貨物_メタノール,係数_バス貨物_LPG),MATCH(AY368+1,【参考】排出係数!$AI$4:$AI$671,1)-1,5,BE368),2,FALSE),IF(OR(AW368=1,AW368=2),VLOOKUP(AU368,INDEX((係数_乗用_ガソリン,係数_乗用_CNG,係数_乗用_軽油,係数_乗用_メタノール,係数_乗用_LPG),1,1,BE368):INDEX((係数_乗用_ガソリン,係数_乗用_CNG,係数_乗用_軽油,係数_乗用_メタノール,係数_乗用_LPG),125,5,BE368),2,FALSE))))))</f>
        <v/>
      </c>
      <c r="BB368" s="468" t="str">
        <f>IF(T368="","",IF(OR(AU368="",AU368="-"),"－",IF(OR(AZ368=8,AZ368=9),"",IF(OR(AW368=3,AW368=4,AW368=5,AW368=6),VLOOKUP(AU368,INDEX((係数_バス貨物_ガソリン,係数_バス貨物_CNG,係数_バス貨物_軽油,係数_バス貨物_メタノール,係数_バス貨物_LPG),MATCH(AY368,【参考】排出係数!$AI$4:$AI$671,1),1,BE368):INDEX((係数_バス貨物_ガソリン,係数_バス貨物_CNG,係数_バス貨物_軽油,係数_バス貨物_メタノール,係数_バス貨物_LPG),MATCH(AY368+1,【参考】排出係数!$AI$4:$AI$671,1)-1,5,BE368),3,FALSE),IF(OR(AW368=1,AW368=2),VLOOKUP(AU368,INDEX((係数_乗用_ガソリン,係数_乗用_CNG,係数_乗用_軽油,係数_乗用_メタノール,係数_乗用_LPG),1,1,BE368):INDEX((係数_乗用_ガソリン,係数_乗用_CNG,係数_乗用_軽油,係数_乗用_メタノール,係数_乗用_LPG),125,5,BE368),3,FALSE))))))</f>
        <v/>
      </c>
      <c r="BC368" s="467" t="str">
        <f t="shared" si="192"/>
        <v/>
      </c>
      <c r="BD368" s="567" t="str">
        <f t="shared" si="193"/>
        <v/>
      </c>
      <c r="BE368" s="467" t="str">
        <f t="shared" si="194"/>
        <v/>
      </c>
      <c r="BF368" s="469" t="str">
        <f t="shared" ca="1" si="195"/>
        <v/>
      </c>
      <c r="BG368" s="469" t="str">
        <f t="shared" ca="1" si="196"/>
        <v/>
      </c>
      <c r="BH368" s="467" t="str">
        <f t="shared" si="197"/>
        <v/>
      </c>
      <c r="BI368" s="467" t="str">
        <f t="shared" ca="1" si="198"/>
        <v/>
      </c>
      <c r="BJ368" s="469" t="str">
        <f t="shared" si="199"/>
        <v/>
      </c>
      <c r="BK368" s="470" t="str">
        <f t="shared" si="179"/>
        <v/>
      </c>
      <c r="BL368" s="775" t="str">
        <f t="shared" si="200"/>
        <v/>
      </c>
      <c r="BM368" s="775" t="str">
        <f t="shared" si="201"/>
        <v/>
      </c>
    </row>
    <row r="369" spans="1:65">
      <c r="A369" s="473">
        <v>313</v>
      </c>
      <c r="B369" s="132"/>
      <c r="C369" s="332"/>
      <c r="D369" s="333"/>
      <c r="E369" s="333"/>
      <c r="F369" s="334"/>
      <c r="G369" s="337"/>
      <c r="H369" s="131"/>
      <c r="I369" s="337"/>
      <c r="J369" s="131"/>
      <c r="K369" s="458" t="str">
        <f t="shared" si="168"/>
        <v/>
      </c>
      <c r="L369" s="458">
        <f t="shared" si="180"/>
        <v>0</v>
      </c>
      <c r="M369" s="458">
        <f t="shared" si="181"/>
        <v>0</v>
      </c>
      <c r="N369" s="459" t="str">
        <f t="shared" si="169"/>
        <v/>
      </c>
      <c r="O369" s="459" t="str">
        <f t="shared" si="170"/>
        <v/>
      </c>
      <c r="P369" s="459" t="str">
        <f t="shared" si="171"/>
        <v/>
      </c>
      <c r="Q369" s="459" t="str">
        <f t="shared" si="172"/>
        <v/>
      </c>
      <c r="R369" s="459" t="str">
        <f t="shared" si="173"/>
        <v/>
      </c>
      <c r="S369" s="459" t="str">
        <f t="shared" si="174"/>
        <v/>
      </c>
      <c r="T369" s="566" t="str">
        <f t="shared" si="182"/>
        <v/>
      </c>
      <c r="U369" s="702"/>
      <c r="V369" s="132"/>
      <c r="W369" s="133"/>
      <c r="X369" s="134"/>
      <c r="Y369" s="135"/>
      <c r="Z369" s="137"/>
      <c r="AA369" s="136"/>
      <c r="AB369" s="566" t="str">
        <f t="shared" si="175"/>
        <v/>
      </c>
      <c r="AC369" s="568" t="str">
        <f t="shared" si="183"/>
        <v/>
      </c>
      <c r="AD369" s="137"/>
      <c r="AE369" s="137"/>
      <c r="AF369" s="138"/>
      <c r="AG369" s="138"/>
      <c r="AH369" s="592" t="str">
        <f t="shared" si="176"/>
        <v/>
      </c>
      <c r="AI369" s="592" t="str">
        <f t="shared" si="177"/>
        <v/>
      </c>
      <c r="AJ369" s="592" t="str">
        <f t="shared" si="178"/>
        <v/>
      </c>
      <c r="AK369" s="460" t="str">
        <f>IF(AU369="","",IF(OR(AZ369=8,AZ369=9),0,IF(OR(AW369=3,AW369=4,AW369=5,AW369=6),IF(LEFT(BF369,1)="1",INDEX(係数_NOX・PM低減,MATCH(AY369,【参考】排出係数!$AI$801:$AI$804,1),1),VLOOKUP(AU369,INDEX((係数_バス貨物_ガソリン,係数_バス貨物_CNG,係数_バス貨物_軽油,係数_バス貨物_メタノール,係数_バス貨物_LPG),MATCH(AY369,【参考】排出係数!$AI$4:$AI$671,1),1,BE369):INDEX((係数_バス貨物_ガソリン,係数_バス貨物_CNG,係数_バス貨物_軽油,係数_バス貨物_メタノール,係数_バス貨物_LPG),MATCH(AY369+1,【参考】排出係数!$AI$4:$AI$671,1)-1,5,BE369),4,FALSE)),IF(AND(BE369=3,LEFT(BF369,1)="1"),0.48,VLOOKUP(AU369,INDEX((係数_乗用_ガソリン,係数_乗用_CNG,係数_乗用_軽油,係数_乗用_メタノール,係数_乗用_LPG),1,1,BE369):INDEX((係数_乗用_ガソリン,係数_乗用_CNG,係数_乗用_軽油,係数_乗用_メタノール,係数_乗用_LPG),125,5,BE369),4,FALSE)))))</f>
        <v/>
      </c>
      <c r="AL369" s="461" t="str">
        <f t="shared" si="202"/>
        <v/>
      </c>
      <c r="AM369" s="460" t="str">
        <f>IF(AU369="","",IF(OR(AZ369=8,AZ369=9),0,IF(OR(AW369=3,AW369=4,AW369=5,AW369=6),IF(LEFT(BH369,1)="1",INDEX(係数_PM低減,MATCH(AY369,【参考】排出係数!$AI$801:$AI$804,1),MATCH(BI369,【参考】排出係数!$AL$798:$AO$798,1)),VLOOKUP(AU369,INDEX((係数_バス貨物_ガソリン,係数_バス貨物_CNG,係数_バス貨物_軽油,係数_バス貨物_メタノール,係数_バス貨物_LPG),MATCH(AY369,【参考】排出係数!$AI$4:$AI$671,1),1,BE369):INDEX((係数_バス貨物_ガソリン,係数_バス貨物_CNG,係数_バス貨物_軽油,係数_バス貨物_メタノール,係数_バス貨物_LPG),MATCH(AY369+1,【参考】排出係数!$AI$4:$AI$671,1)-1,5,BE369),5,FALSE)),IF(AND(BE369=3,LEFT(BF369,1)="1"),0.055,VLOOKUP(AU369,INDEX((係数_乗用_ガソリン,係数_乗用_CNG,係数_乗用_軽油,係数_乗用_メタノール,係数_乗用_LPG),1,1,BE369):INDEX((係数_乗用_ガソリン,係数_乗用_CNG,係数_乗用_軽油,係数_乗用_メタノール,係数_乗用_LPG),125,5,BE369),5,FALSE)))))</f>
        <v/>
      </c>
      <c r="AN369" s="461" t="str">
        <f t="shared" si="203"/>
        <v/>
      </c>
      <c r="AO369" s="462" t="str">
        <f t="shared" si="204"/>
        <v/>
      </c>
      <c r="AP369" s="463" t="str">
        <f t="shared" si="205"/>
        <v/>
      </c>
      <c r="AQ369" s="464"/>
      <c r="AR369" s="619"/>
      <c r="AS369" s="465" t="str">
        <f t="shared" si="184"/>
        <v/>
      </c>
      <c r="AT369" s="465" t="str">
        <f t="shared" si="185"/>
        <v/>
      </c>
      <c r="AU369" s="466" t="str">
        <f t="shared" si="186"/>
        <v/>
      </c>
      <c r="AV369" s="467" t="str">
        <f t="shared" si="187"/>
        <v/>
      </c>
      <c r="AW369" s="467" t="str">
        <f t="shared" si="188"/>
        <v/>
      </c>
      <c r="AX369" s="467" t="str">
        <f t="shared" si="189"/>
        <v/>
      </c>
      <c r="AY369" s="467" t="str">
        <f t="shared" si="190"/>
        <v/>
      </c>
      <c r="AZ369" s="467" t="str">
        <f t="shared" si="191"/>
        <v/>
      </c>
      <c r="BA369" s="468" t="str">
        <f>IF(AS369="","",IF(OR(AU369="",AU369="-"),"－",IF(OR(AZ369=8,AZ369=9),"",IF(OR(AW369=3,AW369=4,AW369=5,AW369=6),VLOOKUP(AU369,INDEX((係数_バス貨物_ガソリン,係数_バス貨物_CNG,係数_バス貨物_軽油,係数_バス貨物_メタノール,係数_バス貨物_LPG),MATCH(AY369,【参考】排出係数!$AI$4:$AI$671,1),1,BE369):INDEX((係数_バス貨物_ガソリン,係数_バス貨物_CNG,係数_バス貨物_軽油,係数_バス貨物_メタノール,係数_バス貨物_LPG),MATCH(AY369+1,【参考】排出係数!$AI$4:$AI$671,1)-1,5,BE369),2,FALSE),IF(OR(AW369=1,AW369=2),VLOOKUP(AU369,INDEX((係数_乗用_ガソリン,係数_乗用_CNG,係数_乗用_軽油,係数_乗用_メタノール,係数_乗用_LPG),1,1,BE369):INDEX((係数_乗用_ガソリン,係数_乗用_CNG,係数_乗用_軽油,係数_乗用_メタノール,係数_乗用_LPG),125,5,BE369),2,FALSE))))))</f>
        <v/>
      </c>
      <c r="BB369" s="468" t="str">
        <f>IF(T369="","",IF(OR(AU369="",AU369="-"),"－",IF(OR(AZ369=8,AZ369=9),"",IF(OR(AW369=3,AW369=4,AW369=5,AW369=6),VLOOKUP(AU369,INDEX((係数_バス貨物_ガソリン,係数_バス貨物_CNG,係数_バス貨物_軽油,係数_バス貨物_メタノール,係数_バス貨物_LPG),MATCH(AY369,【参考】排出係数!$AI$4:$AI$671,1),1,BE369):INDEX((係数_バス貨物_ガソリン,係数_バス貨物_CNG,係数_バス貨物_軽油,係数_バス貨物_メタノール,係数_バス貨物_LPG),MATCH(AY369+1,【参考】排出係数!$AI$4:$AI$671,1)-1,5,BE369),3,FALSE),IF(OR(AW369=1,AW369=2),VLOOKUP(AU369,INDEX((係数_乗用_ガソリン,係数_乗用_CNG,係数_乗用_軽油,係数_乗用_メタノール,係数_乗用_LPG),1,1,BE369):INDEX((係数_乗用_ガソリン,係数_乗用_CNG,係数_乗用_軽油,係数_乗用_メタノール,係数_乗用_LPG),125,5,BE369),3,FALSE))))))</f>
        <v/>
      </c>
      <c r="BC369" s="467" t="str">
        <f t="shared" si="192"/>
        <v/>
      </c>
      <c r="BD369" s="567" t="str">
        <f t="shared" si="193"/>
        <v/>
      </c>
      <c r="BE369" s="467" t="str">
        <f t="shared" si="194"/>
        <v/>
      </c>
      <c r="BF369" s="469" t="str">
        <f t="shared" ca="1" si="195"/>
        <v/>
      </c>
      <c r="BG369" s="469" t="str">
        <f t="shared" ca="1" si="196"/>
        <v/>
      </c>
      <c r="BH369" s="467" t="str">
        <f t="shared" si="197"/>
        <v/>
      </c>
      <c r="BI369" s="467" t="str">
        <f t="shared" ca="1" si="198"/>
        <v/>
      </c>
      <c r="BJ369" s="469" t="str">
        <f t="shared" si="199"/>
        <v/>
      </c>
      <c r="BK369" s="470" t="str">
        <f t="shared" si="179"/>
        <v/>
      </c>
      <c r="BL369" s="775" t="str">
        <f t="shared" si="200"/>
        <v/>
      </c>
      <c r="BM369" s="775" t="str">
        <f t="shared" si="201"/>
        <v/>
      </c>
    </row>
    <row r="370" spans="1:65">
      <c r="A370" s="473">
        <v>314</v>
      </c>
      <c r="B370" s="132"/>
      <c r="C370" s="332"/>
      <c r="D370" s="333"/>
      <c r="E370" s="333"/>
      <c r="F370" s="334"/>
      <c r="G370" s="337"/>
      <c r="H370" s="131"/>
      <c r="I370" s="337"/>
      <c r="J370" s="131"/>
      <c r="K370" s="458" t="str">
        <f t="shared" si="168"/>
        <v/>
      </c>
      <c r="L370" s="458">
        <f t="shared" si="180"/>
        <v>0</v>
      </c>
      <c r="M370" s="458">
        <f t="shared" si="181"/>
        <v>0</v>
      </c>
      <c r="N370" s="459" t="str">
        <f t="shared" si="169"/>
        <v/>
      </c>
      <c r="O370" s="459" t="str">
        <f t="shared" si="170"/>
        <v/>
      </c>
      <c r="P370" s="459" t="str">
        <f t="shared" si="171"/>
        <v/>
      </c>
      <c r="Q370" s="459" t="str">
        <f t="shared" si="172"/>
        <v/>
      </c>
      <c r="R370" s="459" t="str">
        <f t="shared" si="173"/>
        <v/>
      </c>
      <c r="S370" s="459" t="str">
        <f t="shared" si="174"/>
        <v/>
      </c>
      <c r="T370" s="566" t="str">
        <f t="shared" si="182"/>
        <v/>
      </c>
      <c r="U370" s="702"/>
      <c r="V370" s="132"/>
      <c r="W370" s="133"/>
      <c r="X370" s="134"/>
      <c r="Y370" s="135"/>
      <c r="Z370" s="137"/>
      <c r="AA370" s="136"/>
      <c r="AB370" s="566" t="str">
        <f t="shared" si="175"/>
        <v/>
      </c>
      <c r="AC370" s="568" t="str">
        <f t="shared" si="183"/>
        <v/>
      </c>
      <c r="AD370" s="137"/>
      <c r="AE370" s="137"/>
      <c r="AF370" s="138"/>
      <c r="AG370" s="138"/>
      <c r="AH370" s="592" t="str">
        <f t="shared" si="176"/>
        <v/>
      </c>
      <c r="AI370" s="592" t="str">
        <f t="shared" si="177"/>
        <v/>
      </c>
      <c r="AJ370" s="592" t="str">
        <f t="shared" si="178"/>
        <v/>
      </c>
      <c r="AK370" s="460" t="str">
        <f>IF(AU370="","",IF(OR(AZ370=8,AZ370=9),0,IF(OR(AW370=3,AW370=4,AW370=5,AW370=6),IF(LEFT(BF370,1)="1",INDEX(係数_NOX・PM低減,MATCH(AY370,【参考】排出係数!$AI$801:$AI$804,1),1),VLOOKUP(AU370,INDEX((係数_バス貨物_ガソリン,係数_バス貨物_CNG,係数_バス貨物_軽油,係数_バス貨物_メタノール,係数_バス貨物_LPG),MATCH(AY370,【参考】排出係数!$AI$4:$AI$671,1),1,BE370):INDEX((係数_バス貨物_ガソリン,係数_バス貨物_CNG,係数_バス貨物_軽油,係数_バス貨物_メタノール,係数_バス貨物_LPG),MATCH(AY370+1,【参考】排出係数!$AI$4:$AI$671,1)-1,5,BE370),4,FALSE)),IF(AND(BE370=3,LEFT(BF370,1)="1"),0.48,VLOOKUP(AU370,INDEX((係数_乗用_ガソリン,係数_乗用_CNG,係数_乗用_軽油,係数_乗用_メタノール,係数_乗用_LPG),1,1,BE370):INDEX((係数_乗用_ガソリン,係数_乗用_CNG,係数_乗用_軽油,係数_乗用_メタノール,係数_乗用_LPG),125,5,BE370),4,FALSE)))))</f>
        <v/>
      </c>
      <c r="AL370" s="461" t="str">
        <f t="shared" si="202"/>
        <v/>
      </c>
      <c r="AM370" s="460" t="str">
        <f>IF(AU370="","",IF(OR(AZ370=8,AZ370=9),0,IF(OR(AW370=3,AW370=4,AW370=5,AW370=6),IF(LEFT(BH370,1)="1",INDEX(係数_PM低減,MATCH(AY370,【参考】排出係数!$AI$801:$AI$804,1),MATCH(BI370,【参考】排出係数!$AL$798:$AO$798,1)),VLOOKUP(AU370,INDEX((係数_バス貨物_ガソリン,係数_バス貨物_CNG,係数_バス貨物_軽油,係数_バス貨物_メタノール,係数_バス貨物_LPG),MATCH(AY370,【参考】排出係数!$AI$4:$AI$671,1),1,BE370):INDEX((係数_バス貨物_ガソリン,係数_バス貨物_CNG,係数_バス貨物_軽油,係数_バス貨物_メタノール,係数_バス貨物_LPG),MATCH(AY370+1,【参考】排出係数!$AI$4:$AI$671,1)-1,5,BE370),5,FALSE)),IF(AND(BE370=3,LEFT(BF370,1)="1"),0.055,VLOOKUP(AU370,INDEX((係数_乗用_ガソリン,係数_乗用_CNG,係数_乗用_軽油,係数_乗用_メタノール,係数_乗用_LPG),1,1,BE370):INDEX((係数_乗用_ガソリン,係数_乗用_CNG,係数_乗用_軽油,係数_乗用_メタノール,係数_乗用_LPG),125,5,BE370),5,FALSE)))))</f>
        <v/>
      </c>
      <c r="AN370" s="461" t="str">
        <f t="shared" si="203"/>
        <v/>
      </c>
      <c r="AO370" s="462" t="str">
        <f t="shared" si="204"/>
        <v/>
      </c>
      <c r="AP370" s="463" t="str">
        <f t="shared" si="205"/>
        <v/>
      </c>
      <c r="AQ370" s="464"/>
      <c r="AR370" s="619"/>
      <c r="AS370" s="465" t="str">
        <f t="shared" si="184"/>
        <v/>
      </c>
      <c r="AT370" s="465" t="str">
        <f t="shared" si="185"/>
        <v/>
      </c>
      <c r="AU370" s="466" t="str">
        <f t="shared" si="186"/>
        <v/>
      </c>
      <c r="AV370" s="467" t="str">
        <f t="shared" si="187"/>
        <v/>
      </c>
      <c r="AW370" s="467" t="str">
        <f t="shared" si="188"/>
        <v/>
      </c>
      <c r="AX370" s="467" t="str">
        <f t="shared" si="189"/>
        <v/>
      </c>
      <c r="AY370" s="467" t="str">
        <f t="shared" si="190"/>
        <v/>
      </c>
      <c r="AZ370" s="467" t="str">
        <f t="shared" si="191"/>
        <v/>
      </c>
      <c r="BA370" s="468" t="str">
        <f>IF(AS370="","",IF(OR(AU370="",AU370="-"),"－",IF(OR(AZ370=8,AZ370=9),"",IF(OR(AW370=3,AW370=4,AW370=5,AW370=6),VLOOKUP(AU370,INDEX((係数_バス貨物_ガソリン,係数_バス貨物_CNG,係数_バス貨物_軽油,係数_バス貨物_メタノール,係数_バス貨物_LPG),MATCH(AY370,【参考】排出係数!$AI$4:$AI$671,1),1,BE370):INDEX((係数_バス貨物_ガソリン,係数_バス貨物_CNG,係数_バス貨物_軽油,係数_バス貨物_メタノール,係数_バス貨物_LPG),MATCH(AY370+1,【参考】排出係数!$AI$4:$AI$671,1)-1,5,BE370),2,FALSE),IF(OR(AW370=1,AW370=2),VLOOKUP(AU370,INDEX((係数_乗用_ガソリン,係数_乗用_CNG,係数_乗用_軽油,係数_乗用_メタノール,係数_乗用_LPG),1,1,BE370):INDEX((係数_乗用_ガソリン,係数_乗用_CNG,係数_乗用_軽油,係数_乗用_メタノール,係数_乗用_LPG),125,5,BE370),2,FALSE))))))</f>
        <v/>
      </c>
      <c r="BB370" s="468" t="str">
        <f>IF(T370="","",IF(OR(AU370="",AU370="-"),"－",IF(OR(AZ370=8,AZ370=9),"",IF(OR(AW370=3,AW370=4,AW370=5,AW370=6),VLOOKUP(AU370,INDEX((係数_バス貨物_ガソリン,係数_バス貨物_CNG,係数_バス貨物_軽油,係数_バス貨物_メタノール,係数_バス貨物_LPG),MATCH(AY370,【参考】排出係数!$AI$4:$AI$671,1),1,BE370):INDEX((係数_バス貨物_ガソリン,係数_バス貨物_CNG,係数_バス貨物_軽油,係数_バス貨物_メタノール,係数_バス貨物_LPG),MATCH(AY370+1,【参考】排出係数!$AI$4:$AI$671,1)-1,5,BE370),3,FALSE),IF(OR(AW370=1,AW370=2),VLOOKUP(AU370,INDEX((係数_乗用_ガソリン,係数_乗用_CNG,係数_乗用_軽油,係数_乗用_メタノール,係数_乗用_LPG),1,1,BE370):INDEX((係数_乗用_ガソリン,係数_乗用_CNG,係数_乗用_軽油,係数_乗用_メタノール,係数_乗用_LPG),125,5,BE370),3,FALSE))))))</f>
        <v/>
      </c>
      <c r="BC370" s="467" t="str">
        <f t="shared" si="192"/>
        <v/>
      </c>
      <c r="BD370" s="567" t="str">
        <f t="shared" si="193"/>
        <v/>
      </c>
      <c r="BE370" s="467" t="str">
        <f t="shared" si="194"/>
        <v/>
      </c>
      <c r="BF370" s="469" t="str">
        <f t="shared" ca="1" si="195"/>
        <v/>
      </c>
      <c r="BG370" s="469" t="str">
        <f t="shared" ca="1" si="196"/>
        <v/>
      </c>
      <c r="BH370" s="467" t="str">
        <f t="shared" si="197"/>
        <v/>
      </c>
      <c r="BI370" s="467" t="str">
        <f t="shared" ca="1" si="198"/>
        <v/>
      </c>
      <c r="BJ370" s="469" t="str">
        <f t="shared" si="199"/>
        <v/>
      </c>
      <c r="BK370" s="470" t="str">
        <f t="shared" si="179"/>
        <v/>
      </c>
      <c r="BL370" s="775" t="str">
        <f t="shared" si="200"/>
        <v/>
      </c>
      <c r="BM370" s="775" t="str">
        <f t="shared" si="201"/>
        <v/>
      </c>
    </row>
    <row r="371" spans="1:65">
      <c r="A371" s="473">
        <v>315</v>
      </c>
      <c r="B371" s="132"/>
      <c r="C371" s="332"/>
      <c r="D371" s="333"/>
      <c r="E371" s="333"/>
      <c r="F371" s="334"/>
      <c r="G371" s="337"/>
      <c r="H371" s="131"/>
      <c r="I371" s="337"/>
      <c r="J371" s="131"/>
      <c r="K371" s="458" t="str">
        <f t="shared" si="168"/>
        <v/>
      </c>
      <c r="L371" s="458">
        <f t="shared" si="180"/>
        <v>0</v>
      </c>
      <c r="M371" s="458">
        <f t="shared" si="181"/>
        <v>0</v>
      </c>
      <c r="N371" s="459" t="str">
        <f t="shared" si="169"/>
        <v/>
      </c>
      <c r="O371" s="459" t="str">
        <f t="shared" si="170"/>
        <v/>
      </c>
      <c r="P371" s="459" t="str">
        <f t="shared" si="171"/>
        <v/>
      </c>
      <c r="Q371" s="459" t="str">
        <f t="shared" si="172"/>
        <v/>
      </c>
      <c r="R371" s="459" t="str">
        <f t="shared" si="173"/>
        <v/>
      </c>
      <c r="S371" s="459" t="str">
        <f t="shared" si="174"/>
        <v/>
      </c>
      <c r="T371" s="566" t="str">
        <f t="shared" si="182"/>
        <v/>
      </c>
      <c r="U371" s="702"/>
      <c r="V371" s="132"/>
      <c r="W371" s="133"/>
      <c r="X371" s="134"/>
      <c r="Y371" s="135"/>
      <c r="Z371" s="137"/>
      <c r="AA371" s="136"/>
      <c r="AB371" s="566" t="str">
        <f t="shared" si="175"/>
        <v/>
      </c>
      <c r="AC371" s="568" t="str">
        <f t="shared" si="183"/>
        <v/>
      </c>
      <c r="AD371" s="137"/>
      <c r="AE371" s="137"/>
      <c r="AF371" s="138"/>
      <c r="AG371" s="138"/>
      <c r="AH371" s="592" t="str">
        <f t="shared" si="176"/>
        <v/>
      </c>
      <c r="AI371" s="592" t="str">
        <f t="shared" si="177"/>
        <v/>
      </c>
      <c r="AJ371" s="592" t="str">
        <f t="shared" si="178"/>
        <v/>
      </c>
      <c r="AK371" s="460" t="str">
        <f>IF(AU371="","",IF(OR(AZ371=8,AZ371=9),0,IF(OR(AW371=3,AW371=4,AW371=5,AW371=6),IF(LEFT(BF371,1)="1",INDEX(係数_NOX・PM低減,MATCH(AY371,【参考】排出係数!$AI$801:$AI$804,1),1),VLOOKUP(AU371,INDEX((係数_バス貨物_ガソリン,係数_バス貨物_CNG,係数_バス貨物_軽油,係数_バス貨物_メタノール,係数_バス貨物_LPG),MATCH(AY371,【参考】排出係数!$AI$4:$AI$671,1),1,BE371):INDEX((係数_バス貨物_ガソリン,係数_バス貨物_CNG,係数_バス貨物_軽油,係数_バス貨物_メタノール,係数_バス貨物_LPG),MATCH(AY371+1,【参考】排出係数!$AI$4:$AI$671,1)-1,5,BE371),4,FALSE)),IF(AND(BE371=3,LEFT(BF371,1)="1"),0.48,VLOOKUP(AU371,INDEX((係数_乗用_ガソリン,係数_乗用_CNG,係数_乗用_軽油,係数_乗用_メタノール,係数_乗用_LPG),1,1,BE371):INDEX((係数_乗用_ガソリン,係数_乗用_CNG,係数_乗用_軽油,係数_乗用_メタノール,係数_乗用_LPG),125,5,BE371),4,FALSE)))))</f>
        <v/>
      </c>
      <c r="AL371" s="461" t="str">
        <f t="shared" si="202"/>
        <v/>
      </c>
      <c r="AM371" s="460" t="str">
        <f>IF(AU371="","",IF(OR(AZ371=8,AZ371=9),0,IF(OR(AW371=3,AW371=4,AW371=5,AW371=6),IF(LEFT(BH371,1)="1",INDEX(係数_PM低減,MATCH(AY371,【参考】排出係数!$AI$801:$AI$804,1),MATCH(BI371,【参考】排出係数!$AL$798:$AO$798,1)),VLOOKUP(AU371,INDEX((係数_バス貨物_ガソリン,係数_バス貨物_CNG,係数_バス貨物_軽油,係数_バス貨物_メタノール,係数_バス貨物_LPG),MATCH(AY371,【参考】排出係数!$AI$4:$AI$671,1),1,BE371):INDEX((係数_バス貨物_ガソリン,係数_バス貨物_CNG,係数_バス貨物_軽油,係数_バス貨物_メタノール,係数_バス貨物_LPG),MATCH(AY371+1,【参考】排出係数!$AI$4:$AI$671,1)-1,5,BE371),5,FALSE)),IF(AND(BE371=3,LEFT(BF371,1)="1"),0.055,VLOOKUP(AU371,INDEX((係数_乗用_ガソリン,係数_乗用_CNG,係数_乗用_軽油,係数_乗用_メタノール,係数_乗用_LPG),1,1,BE371):INDEX((係数_乗用_ガソリン,係数_乗用_CNG,係数_乗用_軽油,係数_乗用_メタノール,係数_乗用_LPG),125,5,BE371),5,FALSE)))))</f>
        <v/>
      </c>
      <c r="AN371" s="461" t="str">
        <f t="shared" si="203"/>
        <v/>
      </c>
      <c r="AO371" s="462" t="str">
        <f t="shared" si="204"/>
        <v/>
      </c>
      <c r="AP371" s="463" t="str">
        <f t="shared" si="205"/>
        <v/>
      </c>
      <c r="AQ371" s="464"/>
      <c r="AR371" s="619"/>
      <c r="AS371" s="465" t="str">
        <f t="shared" si="184"/>
        <v/>
      </c>
      <c r="AT371" s="465" t="str">
        <f t="shared" si="185"/>
        <v/>
      </c>
      <c r="AU371" s="466" t="str">
        <f t="shared" si="186"/>
        <v/>
      </c>
      <c r="AV371" s="467" t="str">
        <f t="shared" si="187"/>
        <v/>
      </c>
      <c r="AW371" s="467" t="str">
        <f t="shared" si="188"/>
        <v/>
      </c>
      <c r="AX371" s="467" t="str">
        <f t="shared" si="189"/>
        <v/>
      </c>
      <c r="AY371" s="467" t="str">
        <f t="shared" si="190"/>
        <v/>
      </c>
      <c r="AZ371" s="467" t="str">
        <f t="shared" si="191"/>
        <v/>
      </c>
      <c r="BA371" s="468" t="str">
        <f>IF(AS371="","",IF(OR(AU371="",AU371="-"),"－",IF(OR(AZ371=8,AZ371=9),"",IF(OR(AW371=3,AW371=4,AW371=5,AW371=6),VLOOKUP(AU371,INDEX((係数_バス貨物_ガソリン,係数_バス貨物_CNG,係数_バス貨物_軽油,係数_バス貨物_メタノール,係数_バス貨物_LPG),MATCH(AY371,【参考】排出係数!$AI$4:$AI$671,1),1,BE371):INDEX((係数_バス貨物_ガソリン,係数_バス貨物_CNG,係数_バス貨物_軽油,係数_バス貨物_メタノール,係数_バス貨物_LPG),MATCH(AY371+1,【参考】排出係数!$AI$4:$AI$671,1)-1,5,BE371),2,FALSE),IF(OR(AW371=1,AW371=2),VLOOKUP(AU371,INDEX((係数_乗用_ガソリン,係数_乗用_CNG,係数_乗用_軽油,係数_乗用_メタノール,係数_乗用_LPG),1,1,BE371):INDEX((係数_乗用_ガソリン,係数_乗用_CNG,係数_乗用_軽油,係数_乗用_メタノール,係数_乗用_LPG),125,5,BE371),2,FALSE))))))</f>
        <v/>
      </c>
      <c r="BB371" s="468" t="str">
        <f>IF(T371="","",IF(OR(AU371="",AU371="-"),"－",IF(OR(AZ371=8,AZ371=9),"",IF(OR(AW371=3,AW371=4,AW371=5,AW371=6),VLOOKUP(AU371,INDEX((係数_バス貨物_ガソリン,係数_バス貨物_CNG,係数_バス貨物_軽油,係数_バス貨物_メタノール,係数_バス貨物_LPG),MATCH(AY371,【参考】排出係数!$AI$4:$AI$671,1),1,BE371):INDEX((係数_バス貨物_ガソリン,係数_バス貨物_CNG,係数_バス貨物_軽油,係数_バス貨物_メタノール,係数_バス貨物_LPG),MATCH(AY371+1,【参考】排出係数!$AI$4:$AI$671,1)-1,5,BE371),3,FALSE),IF(OR(AW371=1,AW371=2),VLOOKUP(AU371,INDEX((係数_乗用_ガソリン,係数_乗用_CNG,係数_乗用_軽油,係数_乗用_メタノール,係数_乗用_LPG),1,1,BE371):INDEX((係数_乗用_ガソリン,係数_乗用_CNG,係数_乗用_軽油,係数_乗用_メタノール,係数_乗用_LPG),125,5,BE371),3,FALSE))))))</f>
        <v/>
      </c>
      <c r="BC371" s="467" t="str">
        <f t="shared" si="192"/>
        <v/>
      </c>
      <c r="BD371" s="567" t="str">
        <f t="shared" si="193"/>
        <v/>
      </c>
      <c r="BE371" s="467" t="str">
        <f t="shared" si="194"/>
        <v/>
      </c>
      <c r="BF371" s="469" t="str">
        <f t="shared" ca="1" si="195"/>
        <v/>
      </c>
      <c r="BG371" s="469" t="str">
        <f t="shared" ca="1" si="196"/>
        <v/>
      </c>
      <c r="BH371" s="467" t="str">
        <f t="shared" si="197"/>
        <v/>
      </c>
      <c r="BI371" s="467" t="str">
        <f t="shared" ca="1" si="198"/>
        <v/>
      </c>
      <c r="BJ371" s="469" t="str">
        <f t="shared" si="199"/>
        <v/>
      </c>
      <c r="BK371" s="470" t="str">
        <f t="shared" si="179"/>
        <v/>
      </c>
      <c r="BL371" s="775" t="str">
        <f t="shared" si="200"/>
        <v/>
      </c>
      <c r="BM371" s="775" t="str">
        <f t="shared" si="201"/>
        <v/>
      </c>
    </row>
    <row r="372" spans="1:65">
      <c r="A372" s="473">
        <v>316</v>
      </c>
      <c r="B372" s="132"/>
      <c r="C372" s="332"/>
      <c r="D372" s="333"/>
      <c r="E372" s="333"/>
      <c r="F372" s="334"/>
      <c r="G372" s="337"/>
      <c r="H372" s="131"/>
      <c r="I372" s="337"/>
      <c r="J372" s="131"/>
      <c r="K372" s="458" t="str">
        <f t="shared" si="168"/>
        <v/>
      </c>
      <c r="L372" s="458">
        <f t="shared" si="180"/>
        <v>0</v>
      </c>
      <c r="M372" s="458">
        <f t="shared" si="181"/>
        <v>0</v>
      </c>
      <c r="N372" s="459" t="str">
        <f t="shared" si="169"/>
        <v/>
      </c>
      <c r="O372" s="459" t="str">
        <f t="shared" si="170"/>
        <v/>
      </c>
      <c r="P372" s="459" t="str">
        <f t="shared" si="171"/>
        <v/>
      </c>
      <c r="Q372" s="459" t="str">
        <f t="shared" si="172"/>
        <v/>
      </c>
      <c r="R372" s="459" t="str">
        <f t="shared" si="173"/>
        <v/>
      </c>
      <c r="S372" s="459" t="str">
        <f t="shared" si="174"/>
        <v/>
      </c>
      <c r="T372" s="566" t="str">
        <f t="shared" si="182"/>
        <v/>
      </c>
      <c r="U372" s="702"/>
      <c r="V372" s="132"/>
      <c r="W372" s="133"/>
      <c r="X372" s="134"/>
      <c r="Y372" s="135"/>
      <c r="Z372" s="137"/>
      <c r="AA372" s="136"/>
      <c r="AB372" s="566" t="str">
        <f t="shared" si="175"/>
        <v/>
      </c>
      <c r="AC372" s="568" t="str">
        <f t="shared" si="183"/>
        <v/>
      </c>
      <c r="AD372" s="137"/>
      <c r="AE372" s="137"/>
      <c r="AF372" s="138"/>
      <c r="AG372" s="138"/>
      <c r="AH372" s="592" t="str">
        <f t="shared" si="176"/>
        <v/>
      </c>
      <c r="AI372" s="592" t="str">
        <f t="shared" si="177"/>
        <v/>
      </c>
      <c r="AJ372" s="592" t="str">
        <f t="shared" si="178"/>
        <v/>
      </c>
      <c r="AK372" s="460" t="str">
        <f>IF(AU372="","",IF(OR(AZ372=8,AZ372=9),0,IF(OR(AW372=3,AW372=4,AW372=5,AW372=6),IF(LEFT(BF372,1)="1",INDEX(係数_NOX・PM低減,MATCH(AY372,【参考】排出係数!$AI$801:$AI$804,1),1),VLOOKUP(AU372,INDEX((係数_バス貨物_ガソリン,係数_バス貨物_CNG,係数_バス貨物_軽油,係数_バス貨物_メタノール,係数_バス貨物_LPG),MATCH(AY372,【参考】排出係数!$AI$4:$AI$671,1),1,BE372):INDEX((係数_バス貨物_ガソリン,係数_バス貨物_CNG,係数_バス貨物_軽油,係数_バス貨物_メタノール,係数_バス貨物_LPG),MATCH(AY372+1,【参考】排出係数!$AI$4:$AI$671,1)-1,5,BE372),4,FALSE)),IF(AND(BE372=3,LEFT(BF372,1)="1"),0.48,VLOOKUP(AU372,INDEX((係数_乗用_ガソリン,係数_乗用_CNG,係数_乗用_軽油,係数_乗用_メタノール,係数_乗用_LPG),1,1,BE372):INDEX((係数_乗用_ガソリン,係数_乗用_CNG,係数_乗用_軽油,係数_乗用_メタノール,係数_乗用_LPG),125,5,BE372),4,FALSE)))))</f>
        <v/>
      </c>
      <c r="AL372" s="461" t="str">
        <f t="shared" si="202"/>
        <v/>
      </c>
      <c r="AM372" s="460" t="str">
        <f>IF(AU372="","",IF(OR(AZ372=8,AZ372=9),0,IF(OR(AW372=3,AW372=4,AW372=5,AW372=6),IF(LEFT(BH372,1)="1",INDEX(係数_PM低減,MATCH(AY372,【参考】排出係数!$AI$801:$AI$804,1),MATCH(BI372,【参考】排出係数!$AL$798:$AO$798,1)),VLOOKUP(AU372,INDEX((係数_バス貨物_ガソリン,係数_バス貨物_CNG,係数_バス貨物_軽油,係数_バス貨物_メタノール,係数_バス貨物_LPG),MATCH(AY372,【参考】排出係数!$AI$4:$AI$671,1),1,BE372):INDEX((係数_バス貨物_ガソリン,係数_バス貨物_CNG,係数_バス貨物_軽油,係数_バス貨物_メタノール,係数_バス貨物_LPG),MATCH(AY372+1,【参考】排出係数!$AI$4:$AI$671,1)-1,5,BE372),5,FALSE)),IF(AND(BE372=3,LEFT(BF372,1)="1"),0.055,VLOOKUP(AU372,INDEX((係数_乗用_ガソリン,係数_乗用_CNG,係数_乗用_軽油,係数_乗用_メタノール,係数_乗用_LPG),1,1,BE372):INDEX((係数_乗用_ガソリン,係数_乗用_CNG,係数_乗用_軽油,係数_乗用_メタノール,係数_乗用_LPG),125,5,BE372),5,FALSE)))))</f>
        <v/>
      </c>
      <c r="AN372" s="461" t="str">
        <f t="shared" si="203"/>
        <v/>
      </c>
      <c r="AO372" s="462" t="str">
        <f t="shared" si="204"/>
        <v/>
      </c>
      <c r="AP372" s="463" t="str">
        <f t="shared" si="205"/>
        <v/>
      </c>
      <c r="AQ372" s="464"/>
      <c r="AR372" s="619"/>
      <c r="AS372" s="465" t="str">
        <f t="shared" si="184"/>
        <v/>
      </c>
      <c r="AT372" s="465" t="str">
        <f t="shared" si="185"/>
        <v/>
      </c>
      <c r="AU372" s="466" t="str">
        <f t="shared" si="186"/>
        <v/>
      </c>
      <c r="AV372" s="467" t="str">
        <f t="shared" si="187"/>
        <v/>
      </c>
      <c r="AW372" s="467" t="str">
        <f t="shared" si="188"/>
        <v/>
      </c>
      <c r="AX372" s="467" t="str">
        <f t="shared" si="189"/>
        <v/>
      </c>
      <c r="AY372" s="467" t="str">
        <f t="shared" si="190"/>
        <v/>
      </c>
      <c r="AZ372" s="467" t="str">
        <f t="shared" si="191"/>
        <v/>
      </c>
      <c r="BA372" s="468" t="str">
        <f>IF(AS372="","",IF(OR(AU372="",AU372="-"),"－",IF(OR(AZ372=8,AZ372=9),"",IF(OR(AW372=3,AW372=4,AW372=5,AW372=6),VLOOKUP(AU372,INDEX((係数_バス貨物_ガソリン,係数_バス貨物_CNG,係数_バス貨物_軽油,係数_バス貨物_メタノール,係数_バス貨物_LPG),MATCH(AY372,【参考】排出係数!$AI$4:$AI$671,1),1,BE372):INDEX((係数_バス貨物_ガソリン,係数_バス貨物_CNG,係数_バス貨物_軽油,係数_バス貨物_メタノール,係数_バス貨物_LPG),MATCH(AY372+1,【参考】排出係数!$AI$4:$AI$671,1)-1,5,BE372),2,FALSE),IF(OR(AW372=1,AW372=2),VLOOKUP(AU372,INDEX((係数_乗用_ガソリン,係数_乗用_CNG,係数_乗用_軽油,係数_乗用_メタノール,係数_乗用_LPG),1,1,BE372):INDEX((係数_乗用_ガソリン,係数_乗用_CNG,係数_乗用_軽油,係数_乗用_メタノール,係数_乗用_LPG),125,5,BE372),2,FALSE))))))</f>
        <v/>
      </c>
      <c r="BB372" s="468" t="str">
        <f>IF(T372="","",IF(OR(AU372="",AU372="-"),"－",IF(OR(AZ372=8,AZ372=9),"",IF(OR(AW372=3,AW372=4,AW372=5,AW372=6),VLOOKUP(AU372,INDEX((係数_バス貨物_ガソリン,係数_バス貨物_CNG,係数_バス貨物_軽油,係数_バス貨物_メタノール,係数_バス貨物_LPG),MATCH(AY372,【参考】排出係数!$AI$4:$AI$671,1),1,BE372):INDEX((係数_バス貨物_ガソリン,係数_バス貨物_CNG,係数_バス貨物_軽油,係数_バス貨物_メタノール,係数_バス貨物_LPG),MATCH(AY372+1,【参考】排出係数!$AI$4:$AI$671,1)-1,5,BE372),3,FALSE),IF(OR(AW372=1,AW372=2),VLOOKUP(AU372,INDEX((係数_乗用_ガソリン,係数_乗用_CNG,係数_乗用_軽油,係数_乗用_メタノール,係数_乗用_LPG),1,1,BE372):INDEX((係数_乗用_ガソリン,係数_乗用_CNG,係数_乗用_軽油,係数_乗用_メタノール,係数_乗用_LPG),125,5,BE372),3,FALSE))))))</f>
        <v/>
      </c>
      <c r="BC372" s="467" t="str">
        <f t="shared" si="192"/>
        <v/>
      </c>
      <c r="BD372" s="567" t="str">
        <f t="shared" si="193"/>
        <v/>
      </c>
      <c r="BE372" s="467" t="str">
        <f t="shared" si="194"/>
        <v/>
      </c>
      <c r="BF372" s="469" t="str">
        <f t="shared" ca="1" si="195"/>
        <v/>
      </c>
      <c r="BG372" s="469" t="str">
        <f t="shared" ca="1" si="196"/>
        <v/>
      </c>
      <c r="BH372" s="467" t="str">
        <f t="shared" si="197"/>
        <v/>
      </c>
      <c r="BI372" s="467" t="str">
        <f t="shared" ca="1" si="198"/>
        <v/>
      </c>
      <c r="BJ372" s="469" t="str">
        <f t="shared" si="199"/>
        <v/>
      </c>
      <c r="BK372" s="470" t="str">
        <f t="shared" si="179"/>
        <v/>
      </c>
      <c r="BL372" s="775" t="str">
        <f t="shared" si="200"/>
        <v/>
      </c>
      <c r="BM372" s="775" t="str">
        <f t="shared" si="201"/>
        <v/>
      </c>
    </row>
    <row r="373" spans="1:65">
      <c r="A373" s="473">
        <v>317</v>
      </c>
      <c r="B373" s="132"/>
      <c r="C373" s="332"/>
      <c r="D373" s="333"/>
      <c r="E373" s="333"/>
      <c r="F373" s="334"/>
      <c r="G373" s="337"/>
      <c r="H373" s="131"/>
      <c r="I373" s="337"/>
      <c r="J373" s="131"/>
      <c r="K373" s="458" t="str">
        <f t="shared" si="168"/>
        <v/>
      </c>
      <c r="L373" s="458">
        <f t="shared" si="180"/>
        <v>0</v>
      </c>
      <c r="M373" s="458">
        <f t="shared" si="181"/>
        <v>0</v>
      </c>
      <c r="N373" s="459" t="str">
        <f t="shared" si="169"/>
        <v/>
      </c>
      <c r="O373" s="459" t="str">
        <f t="shared" si="170"/>
        <v/>
      </c>
      <c r="P373" s="459" t="str">
        <f t="shared" si="171"/>
        <v/>
      </c>
      <c r="Q373" s="459" t="str">
        <f t="shared" si="172"/>
        <v/>
      </c>
      <c r="R373" s="459" t="str">
        <f t="shared" si="173"/>
        <v/>
      </c>
      <c r="S373" s="459" t="str">
        <f t="shared" si="174"/>
        <v/>
      </c>
      <c r="T373" s="566" t="str">
        <f t="shared" si="182"/>
        <v/>
      </c>
      <c r="U373" s="702"/>
      <c r="V373" s="132"/>
      <c r="W373" s="133"/>
      <c r="X373" s="134"/>
      <c r="Y373" s="135"/>
      <c r="Z373" s="137"/>
      <c r="AA373" s="136"/>
      <c r="AB373" s="566" t="str">
        <f t="shared" si="175"/>
        <v/>
      </c>
      <c r="AC373" s="568" t="str">
        <f t="shared" si="183"/>
        <v/>
      </c>
      <c r="AD373" s="137"/>
      <c r="AE373" s="137"/>
      <c r="AF373" s="138"/>
      <c r="AG373" s="138"/>
      <c r="AH373" s="592" t="str">
        <f t="shared" si="176"/>
        <v/>
      </c>
      <c r="AI373" s="592" t="str">
        <f t="shared" si="177"/>
        <v/>
      </c>
      <c r="AJ373" s="592" t="str">
        <f t="shared" si="178"/>
        <v/>
      </c>
      <c r="AK373" s="460" t="str">
        <f>IF(AU373="","",IF(OR(AZ373=8,AZ373=9),0,IF(OR(AW373=3,AW373=4,AW373=5,AW373=6),IF(LEFT(BF373,1)="1",INDEX(係数_NOX・PM低減,MATCH(AY373,【参考】排出係数!$AI$801:$AI$804,1),1),VLOOKUP(AU373,INDEX((係数_バス貨物_ガソリン,係数_バス貨物_CNG,係数_バス貨物_軽油,係数_バス貨物_メタノール,係数_バス貨物_LPG),MATCH(AY373,【参考】排出係数!$AI$4:$AI$671,1),1,BE373):INDEX((係数_バス貨物_ガソリン,係数_バス貨物_CNG,係数_バス貨物_軽油,係数_バス貨物_メタノール,係数_バス貨物_LPG),MATCH(AY373+1,【参考】排出係数!$AI$4:$AI$671,1)-1,5,BE373),4,FALSE)),IF(AND(BE373=3,LEFT(BF373,1)="1"),0.48,VLOOKUP(AU373,INDEX((係数_乗用_ガソリン,係数_乗用_CNG,係数_乗用_軽油,係数_乗用_メタノール,係数_乗用_LPG),1,1,BE373):INDEX((係数_乗用_ガソリン,係数_乗用_CNG,係数_乗用_軽油,係数_乗用_メタノール,係数_乗用_LPG),125,5,BE373),4,FALSE)))))</f>
        <v/>
      </c>
      <c r="AL373" s="461" t="str">
        <f t="shared" si="202"/>
        <v/>
      </c>
      <c r="AM373" s="460" t="str">
        <f>IF(AU373="","",IF(OR(AZ373=8,AZ373=9),0,IF(OR(AW373=3,AW373=4,AW373=5,AW373=6),IF(LEFT(BH373,1)="1",INDEX(係数_PM低減,MATCH(AY373,【参考】排出係数!$AI$801:$AI$804,1),MATCH(BI373,【参考】排出係数!$AL$798:$AO$798,1)),VLOOKUP(AU373,INDEX((係数_バス貨物_ガソリン,係数_バス貨物_CNG,係数_バス貨物_軽油,係数_バス貨物_メタノール,係数_バス貨物_LPG),MATCH(AY373,【参考】排出係数!$AI$4:$AI$671,1),1,BE373):INDEX((係数_バス貨物_ガソリン,係数_バス貨物_CNG,係数_バス貨物_軽油,係数_バス貨物_メタノール,係数_バス貨物_LPG),MATCH(AY373+1,【参考】排出係数!$AI$4:$AI$671,1)-1,5,BE373),5,FALSE)),IF(AND(BE373=3,LEFT(BF373,1)="1"),0.055,VLOOKUP(AU373,INDEX((係数_乗用_ガソリン,係数_乗用_CNG,係数_乗用_軽油,係数_乗用_メタノール,係数_乗用_LPG),1,1,BE373):INDEX((係数_乗用_ガソリン,係数_乗用_CNG,係数_乗用_軽油,係数_乗用_メタノール,係数_乗用_LPG),125,5,BE373),5,FALSE)))))</f>
        <v/>
      </c>
      <c r="AN373" s="461" t="str">
        <f t="shared" si="203"/>
        <v/>
      </c>
      <c r="AO373" s="462" t="str">
        <f t="shared" si="204"/>
        <v/>
      </c>
      <c r="AP373" s="463" t="str">
        <f t="shared" si="205"/>
        <v/>
      </c>
      <c r="AQ373" s="464"/>
      <c r="AR373" s="619"/>
      <c r="AS373" s="465" t="str">
        <f t="shared" si="184"/>
        <v/>
      </c>
      <c r="AT373" s="465" t="str">
        <f t="shared" si="185"/>
        <v/>
      </c>
      <c r="AU373" s="466" t="str">
        <f t="shared" si="186"/>
        <v/>
      </c>
      <c r="AV373" s="467" t="str">
        <f t="shared" si="187"/>
        <v/>
      </c>
      <c r="AW373" s="467" t="str">
        <f t="shared" si="188"/>
        <v/>
      </c>
      <c r="AX373" s="467" t="str">
        <f t="shared" si="189"/>
        <v/>
      </c>
      <c r="AY373" s="467" t="str">
        <f t="shared" si="190"/>
        <v/>
      </c>
      <c r="AZ373" s="467" t="str">
        <f t="shared" si="191"/>
        <v/>
      </c>
      <c r="BA373" s="468" t="str">
        <f>IF(AS373="","",IF(OR(AU373="",AU373="-"),"－",IF(OR(AZ373=8,AZ373=9),"",IF(OR(AW373=3,AW373=4,AW373=5,AW373=6),VLOOKUP(AU373,INDEX((係数_バス貨物_ガソリン,係数_バス貨物_CNG,係数_バス貨物_軽油,係数_バス貨物_メタノール,係数_バス貨物_LPG),MATCH(AY373,【参考】排出係数!$AI$4:$AI$671,1),1,BE373):INDEX((係数_バス貨物_ガソリン,係数_バス貨物_CNG,係数_バス貨物_軽油,係数_バス貨物_メタノール,係数_バス貨物_LPG),MATCH(AY373+1,【参考】排出係数!$AI$4:$AI$671,1)-1,5,BE373),2,FALSE),IF(OR(AW373=1,AW373=2),VLOOKUP(AU373,INDEX((係数_乗用_ガソリン,係数_乗用_CNG,係数_乗用_軽油,係数_乗用_メタノール,係数_乗用_LPG),1,1,BE373):INDEX((係数_乗用_ガソリン,係数_乗用_CNG,係数_乗用_軽油,係数_乗用_メタノール,係数_乗用_LPG),125,5,BE373),2,FALSE))))))</f>
        <v/>
      </c>
      <c r="BB373" s="468" t="str">
        <f>IF(T373="","",IF(OR(AU373="",AU373="-"),"－",IF(OR(AZ373=8,AZ373=9),"",IF(OR(AW373=3,AW373=4,AW373=5,AW373=6),VLOOKUP(AU373,INDEX((係数_バス貨物_ガソリン,係数_バス貨物_CNG,係数_バス貨物_軽油,係数_バス貨物_メタノール,係数_バス貨物_LPG),MATCH(AY373,【参考】排出係数!$AI$4:$AI$671,1),1,BE373):INDEX((係数_バス貨物_ガソリン,係数_バス貨物_CNG,係数_バス貨物_軽油,係数_バス貨物_メタノール,係数_バス貨物_LPG),MATCH(AY373+1,【参考】排出係数!$AI$4:$AI$671,1)-1,5,BE373),3,FALSE),IF(OR(AW373=1,AW373=2),VLOOKUP(AU373,INDEX((係数_乗用_ガソリン,係数_乗用_CNG,係数_乗用_軽油,係数_乗用_メタノール,係数_乗用_LPG),1,1,BE373):INDEX((係数_乗用_ガソリン,係数_乗用_CNG,係数_乗用_軽油,係数_乗用_メタノール,係数_乗用_LPG),125,5,BE373),3,FALSE))))))</f>
        <v/>
      </c>
      <c r="BC373" s="467" t="str">
        <f t="shared" si="192"/>
        <v/>
      </c>
      <c r="BD373" s="567" t="str">
        <f t="shared" si="193"/>
        <v/>
      </c>
      <c r="BE373" s="467" t="str">
        <f t="shared" si="194"/>
        <v/>
      </c>
      <c r="BF373" s="469" t="str">
        <f t="shared" ca="1" si="195"/>
        <v/>
      </c>
      <c r="BG373" s="469" t="str">
        <f t="shared" ca="1" si="196"/>
        <v/>
      </c>
      <c r="BH373" s="467" t="str">
        <f t="shared" si="197"/>
        <v/>
      </c>
      <c r="BI373" s="467" t="str">
        <f t="shared" ca="1" si="198"/>
        <v/>
      </c>
      <c r="BJ373" s="469" t="str">
        <f t="shared" si="199"/>
        <v/>
      </c>
      <c r="BK373" s="470" t="str">
        <f t="shared" si="179"/>
        <v/>
      </c>
      <c r="BL373" s="775" t="str">
        <f t="shared" si="200"/>
        <v/>
      </c>
      <c r="BM373" s="775" t="str">
        <f t="shared" si="201"/>
        <v/>
      </c>
    </row>
    <row r="374" spans="1:65">
      <c r="A374" s="473">
        <v>318</v>
      </c>
      <c r="B374" s="132"/>
      <c r="C374" s="332"/>
      <c r="D374" s="333"/>
      <c r="E374" s="333"/>
      <c r="F374" s="334"/>
      <c r="G374" s="337"/>
      <c r="H374" s="131"/>
      <c r="I374" s="337"/>
      <c r="J374" s="131"/>
      <c r="K374" s="458" t="str">
        <f t="shared" si="168"/>
        <v/>
      </c>
      <c r="L374" s="458">
        <f t="shared" si="180"/>
        <v>0</v>
      </c>
      <c r="M374" s="458">
        <f t="shared" si="181"/>
        <v>0</v>
      </c>
      <c r="N374" s="459" t="str">
        <f t="shared" si="169"/>
        <v/>
      </c>
      <c r="O374" s="459" t="str">
        <f t="shared" si="170"/>
        <v/>
      </c>
      <c r="P374" s="459" t="str">
        <f t="shared" si="171"/>
        <v/>
      </c>
      <c r="Q374" s="459" t="str">
        <f t="shared" si="172"/>
        <v/>
      </c>
      <c r="R374" s="459" t="str">
        <f t="shared" si="173"/>
        <v/>
      </c>
      <c r="S374" s="459" t="str">
        <f t="shared" si="174"/>
        <v/>
      </c>
      <c r="T374" s="566" t="str">
        <f t="shared" si="182"/>
        <v/>
      </c>
      <c r="U374" s="702"/>
      <c r="V374" s="132"/>
      <c r="W374" s="133"/>
      <c r="X374" s="134"/>
      <c r="Y374" s="135"/>
      <c r="Z374" s="137"/>
      <c r="AA374" s="136"/>
      <c r="AB374" s="566" t="str">
        <f t="shared" si="175"/>
        <v/>
      </c>
      <c r="AC374" s="568" t="str">
        <f t="shared" si="183"/>
        <v/>
      </c>
      <c r="AD374" s="137"/>
      <c r="AE374" s="137"/>
      <c r="AF374" s="138"/>
      <c r="AG374" s="138"/>
      <c r="AH374" s="592" t="str">
        <f t="shared" si="176"/>
        <v/>
      </c>
      <c r="AI374" s="592" t="str">
        <f t="shared" si="177"/>
        <v/>
      </c>
      <c r="AJ374" s="592" t="str">
        <f t="shared" si="178"/>
        <v/>
      </c>
      <c r="AK374" s="460" t="str">
        <f>IF(AU374="","",IF(OR(AZ374=8,AZ374=9),0,IF(OR(AW374=3,AW374=4,AW374=5,AW374=6),IF(LEFT(BF374,1)="1",INDEX(係数_NOX・PM低減,MATCH(AY374,【参考】排出係数!$AI$801:$AI$804,1),1),VLOOKUP(AU374,INDEX((係数_バス貨物_ガソリン,係数_バス貨物_CNG,係数_バス貨物_軽油,係数_バス貨物_メタノール,係数_バス貨物_LPG),MATCH(AY374,【参考】排出係数!$AI$4:$AI$671,1),1,BE374):INDEX((係数_バス貨物_ガソリン,係数_バス貨物_CNG,係数_バス貨物_軽油,係数_バス貨物_メタノール,係数_バス貨物_LPG),MATCH(AY374+1,【参考】排出係数!$AI$4:$AI$671,1)-1,5,BE374),4,FALSE)),IF(AND(BE374=3,LEFT(BF374,1)="1"),0.48,VLOOKUP(AU374,INDEX((係数_乗用_ガソリン,係数_乗用_CNG,係数_乗用_軽油,係数_乗用_メタノール,係数_乗用_LPG),1,1,BE374):INDEX((係数_乗用_ガソリン,係数_乗用_CNG,係数_乗用_軽油,係数_乗用_メタノール,係数_乗用_LPG),125,5,BE374),4,FALSE)))))</f>
        <v/>
      </c>
      <c r="AL374" s="461" t="str">
        <f t="shared" si="202"/>
        <v/>
      </c>
      <c r="AM374" s="460" t="str">
        <f>IF(AU374="","",IF(OR(AZ374=8,AZ374=9),0,IF(OR(AW374=3,AW374=4,AW374=5,AW374=6),IF(LEFT(BH374,1)="1",INDEX(係数_PM低減,MATCH(AY374,【参考】排出係数!$AI$801:$AI$804,1),MATCH(BI374,【参考】排出係数!$AL$798:$AO$798,1)),VLOOKUP(AU374,INDEX((係数_バス貨物_ガソリン,係数_バス貨物_CNG,係数_バス貨物_軽油,係数_バス貨物_メタノール,係数_バス貨物_LPG),MATCH(AY374,【参考】排出係数!$AI$4:$AI$671,1),1,BE374):INDEX((係数_バス貨物_ガソリン,係数_バス貨物_CNG,係数_バス貨物_軽油,係数_バス貨物_メタノール,係数_バス貨物_LPG),MATCH(AY374+1,【参考】排出係数!$AI$4:$AI$671,1)-1,5,BE374),5,FALSE)),IF(AND(BE374=3,LEFT(BF374,1)="1"),0.055,VLOOKUP(AU374,INDEX((係数_乗用_ガソリン,係数_乗用_CNG,係数_乗用_軽油,係数_乗用_メタノール,係数_乗用_LPG),1,1,BE374):INDEX((係数_乗用_ガソリン,係数_乗用_CNG,係数_乗用_軽油,係数_乗用_メタノール,係数_乗用_LPG),125,5,BE374),5,FALSE)))))</f>
        <v/>
      </c>
      <c r="AN374" s="461" t="str">
        <f t="shared" si="203"/>
        <v/>
      </c>
      <c r="AO374" s="462" t="str">
        <f t="shared" si="204"/>
        <v/>
      </c>
      <c r="AP374" s="463" t="str">
        <f t="shared" si="205"/>
        <v/>
      </c>
      <c r="AQ374" s="464"/>
      <c r="AR374" s="619"/>
      <c r="AS374" s="465" t="str">
        <f t="shared" si="184"/>
        <v/>
      </c>
      <c r="AT374" s="465" t="str">
        <f t="shared" si="185"/>
        <v/>
      </c>
      <c r="AU374" s="466" t="str">
        <f t="shared" si="186"/>
        <v/>
      </c>
      <c r="AV374" s="467" t="str">
        <f t="shared" si="187"/>
        <v/>
      </c>
      <c r="AW374" s="467" t="str">
        <f t="shared" si="188"/>
        <v/>
      </c>
      <c r="AX374" s="467" t="str">
        <f t="shared" si="189"/>
        <v/>
      </c>
      <c r="AY374" s="467" t="str">
        <f t="shared" si="190"/>
        <v/>
      </c>
      <c r="AZ374" s="467" t="str">
        <f t="shared" si="191"/>
        <v/>
      </c>
      <c r="BA374" s="468" t="str">
        <f>IF(AS374="","",IF(OR(AU374="",AU374="-"),"－",IF(OR(AZ374=8,AZ374=9),"",IF(OR(AW374=3,AW374=4,AW374=5,AW374=6),VLOOKUP(AU374,INDEX((係数_バス貨物_ガソリン,係数_バス貨物_CNG,係数_バス貨物_軽油,係数_バス貨物_メタノール,係数_バス貨物_LPG),MATCH(AY374,【参考】排出係数!$AI$4:$AI$671,1),1,BE374):INDEX((係数_バス貨物_ガソリン,係数_バス貨物_CNG,係数_バス貨物_軽油,係数_バス貨物_メタノール,係数_バス貨物_LPG),MATCH(AY374+1,【参考】排出係数!$AI$4:$AI$671,1)-1,5,BE374),2,FALSE),IF(OR(AW374=1,AW374=2),VLOOKUP(AU374,INDEX((係数_乗用_ガソリン,係数_乗用_CNG,係数_乗用_軽油,係数_乗用_メタノール,係数_乗用_LPG),1,1,BE374):INDEX((係数_乗用_ガソリン,係数_乗用_CNG,係数_乗用_軽油,係数_乗用_メタノール,係数_乗用_LPG),125,5,BE374),2,FALSE))))))</f>
        <v/>
      </c>
      <c r="BB374" s="468" t="str">
        <f>IF(T374="","",IF(OR(AU374="",AU374="-"),"－",IF(OR(AZ374=8,AZ374=9),"",IF(OR(AW374=3,AW374=4,AW374=5,AW374=6),VLOOKUP(AU374,INDEX((係数_バス貨物_ガソリン,係数_バス貨物_CNG,係数_バス貨物_軽油,係数_バス貨物_メタノール,係数_バス貨物_LPG),MATCH(AY374,【参考】排出係数!$AI$4:$AI$671,1),1,BE374):INDEX((係数_バス貨物_ガソリン,係数_バス貨物_CNG,係数_バス貨物_軽油,係数_バス貨物_メタノール,係数_バス貨物_LPG),MATCH(AY374+1,【参考】排出係数!$AI$4:$AI$671,1)-1,5,BE374),3,FALSE),IF(OR(AW374=1,AW374=2),VLOOKUP(AU374,INDEX((係数_乗用_ガソリン,係数_乗用_CNG,係数_乗用_軽油,係数_乗用_メタノール,係数_乗用_LPG),1,1,BE374):INDEX((係数_乗用_ガソリン,係数_乗用_CNG,係数_乗用_軽油,係数_乗用_メタノール,係数_乗用_LPG),125,5,BE374),3,FALSE))))))</f>
        <v/>
      </c>
      <c r="BC374" s="467" t="str">
        <f t="shared" si="192"/>
        <v/>
      </c>
      <c r="BD374" s="567" t="str">
        <f t="shared" si="193"/>
        <v/>
      </c>
      <c r="BE374" s="467" t="str">
        <f t="shared" si="194"/>
        <v/>
      </c>
      <c r="BF374" s="469" t="str">
        <f t="shared" ca="1" si="195"/>
        <v/>
      </c>
      <c r="BG374" s="469" t="str">
        <f t="shared" ca="1" si="196"/>
        <v/>
      </c>
      <c r="BH374" s="467" t="str">
        <f t="shared" si="197"/>
        <v/>
      </c>
      <c r="BI374" s="467" t="str">
        <f t="shared" ca="1" si="198"/>
        <v/>
      </c>
      <c r="BJ374" s="469" t="str">
        <f t="shared" si="199"/>
        <v/>
      </c>
      <c r="BK374" s="470" t="str">
        <f t="shared" si="179"/>
        <v/>
      </c>
      <c r="BL374" s="775" t="str">
        <f t="shared" si="200"/>
        <v/>
      </c>
      <c r="BM374" s="775" t="str">
        <f t="shared" si="201"/>
        <v/>
      </c>
    </row>
    <row r="375" spans="1:65">
      <c r="A375" s="473">
        <v>319</v>
      </c>
      <c r="B375" s="132"/>
      <c r="C375" s="332"/>
      <c r="D375" s="333"/>
      <c r="E375" s="333"/>
      <c r="F375" s="334"/>
      <c r="G375" s="337"/>
      <c r="H375" s="131"/>
      <c r="I375" s="337"/>
      <c r="J375" s="131"/>
      <c r="K375" s="458" t="str">
        <f t="shared" si="168"/>
        <v/>
      </c>
      <c r="L375" s="458">
        <f t="shared" si="180"/>
        <v>0</v>
      </c>
      <c r="M375" s="458">
        <f t="shared" si="181"/>
        <v>0</v>
      </c>
      <c r="N375" s="459" t="str">
        <f t="shared" si="169"/>
        <v/>
      </c>
      <c r="O375" s="459" t="str">
        <f t="shared" si="170"/>
        <v/>
      </c>
      <c r="P375" s="459" t="str">
        <f t="shared" si="171"/>
        <v/>
      </c>
      <c r="Q375" s="459" t="str">
        <f t="shared" si="172"/>
        <v/>
      </c>
      <c r="R375" s="459" t="str">
        <f t="shared" si="173"/>
        <v/>
      </c>
      <c r="S375" s="459" t="str">
        <f t="shared" si="174"/>
        <v/>
      </c>
      <c r="T375" s="566" t="str">
        <f t="shared" si="182"/>
        <v/>
      </c>
      <c r="U375" s="702"/>
      <c r="V375" s="132"/>
      <c r="W375" s="133"/>
      <c r="X375" s="134"/>
      <c r="Y375" s="135"/>
      <c r="Z375" s="137"/>
      <c r="AA375" s="136"/>
      <c r="AB375" s="566" t="str">
        <f t="shared" si="175"/>
        <v/>
      </c>
      <c r="AC375" s="568" t="str">
        <f t="shared" si="183"/>
        <v/>
      </c>
      <c r="AD375" s="137"/>
      <c r="AE375" s="137"/>
      <c r="AF375" s="138"/>
      <c r="AG375" s="138"/>
      <c r="AH375" s="592" t="str">
        <f t="shared" si="176"/>
        <v/>
      </c>
      <c r="AI375" s="592" t="str">
        <f t="shared" si="177"/>
        <v/>
      </c>
      <c r="AJ375" s="592" t="str">
        <f t="shared" si="178"/>
        <v/>
      </c>
      <c r="AK375" s="460" t="str">
        <f>IF(AU375="","",IF(OR(AZ375=8,AZ375=9),0,IF(OR(AW375=3,AW375=4,AW375=5,AW375=6),IF(LEFT(BF375,1)="1",INDEX(係数_NOX・PM低減,MATCH(AY375,【参考】排出係数!$AI$801:$AI$804,1),1),VLOOKUP(AU375,INDEX((係数_バス貨物_ガソリン,係数_バス貨物_CNG,係数_バス貨物_軽油,係数_バス貨物_メタノール,係数_バス貨物_LPG),MATCH(AY375,【参考】排出係数!$AI$4:$AI$671,1),1,BE375):INDEX((係数_バス貨物_ガソリン,係数_バス貨物_CNG,係数_バス貨物_軽油,係数_バス貨物_メタノール,係数_バス貨物_LPG),MATCH(AY375+1,【参考】排出係数!$AI$4:$AI$671,1)-1,5,BE375),4,FALSE)),IF(AND(BE375=3,LEFT(BF375,1)="1"),0.48,VLOOKUP(AU375,INDEX((係数_乗用_ガソリン,係数_乗用_CNG,係数_乗用_軽油,係数_乗用_メタノール,係数_乗用_LPG),1,1,BE375):INDEX((係数_乗用_ガソリン,係数_乗用_CNG,係数_乗用_軽油,係数_乗用_メタノール,係数_乗用_LPG),125,5,BE375),4,FALSE)))))</f>
        <v/>
      </c>
      <c r="AL375" s="461" t="str">
        <f t="shared" si="202"/>
        <v/>
      </c>
      <c r="AM375" s="460" t="str">
        <f>IF(AU375="","",IF(OR(AZ375=8,AZ375=9),0,IF(OR(AW375=3,AW375=4,AW375=5,AW375=6),IF(LEFT(BH375,1)="1",INDEX(係数_PM低減,MATCH(AY375,【参考】排出係数!$AI$801:$AI$804,1),MATCH(BI375,【参考】排出係数!$AL$798:$AO$798,1)),VLOOKUP(AU375,INDEX((係数_バス貨物_ガソリン,係数_バス貨物_CNG,係数_バス貨物_軽油,係数_バス貨物_メタノール,係数_バス貨物_LPG),MATCH(AY375,【参考】排出係数!$AI$4:$AI$671,1),1,BE375):INDEX((係数_バス貨物_ガソリン,係数_バス貨物_CNG,係数_バス貨物_軽油,係数_バス貨物_メタノール,係数_バス貨物_LPG),MATCH(AY375+1,【参考】排出係数!$AI$4:$AI$671,1)-1,5,BE375),5,FALSE)),IF(AND(BE375=3,LEFT(BF375,1)="1"),0.055,VLOOKUP(AU375,INDEX((係数_乗用_ガソリン,係数_乗用_CNG,係数_乗用_軽油,係数_乗用_メタノール,係数_乗用_LPG),1,1,BE375):INDEX((係数_乗用_ガソリン,係数_乗用_CNG,係数_乗用_軽油,係数_乗用_メタノール,係数_乗用_LPG),125,5,BE375),5,FALSE)))))</f>
        <v/>
      </c>
      <c r="AN375" s="461" t="str">
        <f t="shared" si="203"/>
        <v/>
      </c>
      <c r="AO375" s="462" t="str">
        <f t="shared" si="204"/>
        <v/>
      </c>
      <c r="AP375" s="463" t="str">
        <f t="shared" si="205"/>
        <v/>
      </c>
      <c r="AQ375" s="464"/>
      <c r="AR375" s="619"/>
      <c r="AS375" s="465" t="str">
        <f t="shared" si="184"/>
        <v/>
      </c>
      <c r="AT375" s="465" t="str">
        <f t="shared" si="185"/>
        <v/>
      </c>
      <c r="AU375" s="466" t="str">
        <f t="shared" si="186"/>
        <v/>
      </c>
      <c r="AV375" s="467" t="str">
        <f t="shared" si="187"/>
        <v/>
      </c>
      <c r="AW375" s="467" t="str">
        <f t="shared" si="188"/>
        <v/>
      </c>
      <c r="AX375" s="467" t="str">
        <f t="shared" si="189"/>
        <v/>
      </c>
      <c r="AY375" s="467" t="str">
        <f t="shared" si="190"/>
        <v/>
      </c>
      <c r="AZ375" s="467" t="str">
        <f t="shared" si="191"/>
        <v/>
      </c>
      <c r="BA375" s="468" t="str">
        <f>IF(AS375="","",IF(OR(AU375="",AU375="-"),"－",IF(OR(AZ375=8,AZ375=9),"",IF(OR(AW375=3,AW375=4,AW375=5,AW375=6),VLOOKUP(AU375,INDEX((係数_バス貨物_ガソリン,係数_バス貨物_CNG,係数_バス貨物_軽油,係数_バス貨物_メタノール,係数_バス貨物_LPG),MATCH(AY375,【参考】排出係数!$AI$4:$AI$671,1),1,BE375):INDEX((係数_バス貨物_ガソリン,係数_バス貨物_CNG,係数_バス貨物_軽油,係数_バス貨物_メタノール,係数_バス貨物_LPG),MATCH(AY375+1,【参考】排出係数!$AI$4:$AI$671,1)-1,5,BE375),2,FALSE),IF(OR(AW375=1,AW375=2),VLOOKUP(AU375,INDEX((係数_乗用_ガソリン,係数_乗用_CNG,係数_乗用_軽油,係数_乗用_メタノール,係数_乗用_LPG),1,1,BE375):INDEX((係数_乗用_ガソリン,係数_乗用_CNG,係数_乗用_軽油,係数_乗用_メタノール,係数_乗用_LPG),125,5,BE375),2,FALSE))))))</f>
        <v/>
      </c>
      <c r="BB375" s="468" t="str">
        <f>IF(T375="","",IF(OR(AU375="",AU375="-"),"－",IF(OR(AZ375=8,AZ375=9),"",IF(OR(AW375=3,AW375=4,AW375=5,AW375=6),VLOOKUP(AU375,INDEX((係数_バス貨物_ガソリン,係数_バス貨物_CNG,係数_バス貨物_軽油,係数_バス貨物_メタノール,係数_バス貨物_LPG),MATCH(AY375,【参考】排出係数!$AI$4:$AI$671,1),1,BE375):INDEX((係数_バス貨物_ガソリン,係数_バス貨物_CNG,係数_バス貨物_軽油,係数_バス貨物_メタノール,係数_バス貨物_LPG),MATCH(AY375+1,【参考】排出係数!$AI$4:$AI$671,1)-1,5,BE375),3,FALSE),IF(OR(AW375=1,AW375=2),VLOOKUP(AU375,INDEX((係数_乗用_ガソリン,係数_乗用_CNG,係数_乗用_軽油,係数_乗用_メタノール,係数_乗用_LPG),1,1,BE375):INDEX((係数_乗用_ガソリン,係数_乗用_CNG,係数_乗用_軽油,係数_乗用_メタノール,係数_乗用_LPG),125,5,BE375),3,FALSE))))))</f>
        <v/>
      </c>
      <c r="BC375" s="467" t="str">
        <f t="shared" si="192"/>
        <v/>
      </c>
      <c r="BD375" s="567" t="str">
        <f t="shared" si="193"/>
        <v/>
      </c>
      <c r="BE375" s="467" t="str">
        <f t="shared" si="194"/>
        <v/>
      </c>
      <c r="BF375" s="469" t="str">
        <f t="shared" ca="1" si="195"/>
        <v/>
      </c>
      <c r="BG375" s="469" t="str">
        <f t="shared" ca="1" si="196"/>
        <v/>
      </c>
      <c r="BH375" s="467" t="str">
        <f t="shared" si="197"/>
        <v/>
      </c>
      <c r="BI375" s="467" t="str">
        <f t="shared" ca="1" si="198"/>
        <v/>
      </c>
      <c r="BJ375" s="469" t="str">
        <f t="shared" si="199"/>
        <v/>
      </c>
      <c r="BK375" s="470" t="str">
        <f t="shared" si="179"/>
        <v/>
      </c>
      <c r="BL375" s="775" t="str">
        <f t="shared" si="200"/>
        <v/>
      </c>
      <c r="BM375" s="775" t="str">
        <f t="shared" si="201"/>
        <v/>
      </c>
    </row>
    <row r="376" spans="1:65">
      <c r="A376" s="473">
        <v>320</v>
      </c>
      <c r="B376" s="132"/>
      <c r="C376" s="332"/>
      <c r="D376" s="333"/>
      <c r="E376" s="333"/>
      <c r="F376" s="334"/>
      <c r="G376" s="337"/>
      <c r="H376" s="131"/>
      <c r="I376" s="337"/>
      <c r="J376" s="131"/>
      <c r="K376" s="458" t="str">
        <f t="shared" si="168"/>
        <v/>
      </c>
      <c r="L376" s="458">
        <f t="shared" si="180"/>
        <v>0</v>
      </c>
      <c r="M376" s="458">
        <f t="shared" si="181"/>
        <v>0</v>
      </c>
      <c r="N376" s="459" t="str">
        <f t="shared" si="169"/>
        <v/>
      </c>
      <c r="O376" s="459" t="str">
        <f t="shared" si="170"/>
        <v/>
      </c>
      <c r="P376" s="459" t="str">
        <f t="shared" si="171"/>
        <v/>
      </c>
      <c r="Q376" s="459" t="str">
        <f t="shared" si="172"/>
        <v/>
      </c>
      <c r="R376" s="459" t="str">
        <f t="shared" si="173"/>
        <v/>
      </c>
      <c r="S376" s="459" t="str">
        <f t="shared" si="174"/>
        <v/>
      </c>
      <c r="T376" s="566" t="str">
        <f t="shared" si="182"/>
        <v/>
      </c>
      <c r="U376" s="702"/>
      <c r="V376" s="132"/>
      <c r="W376" s="133"/>
      <c r="X376" s="134"/>
      <c r="Y376" s="135"/>
      <c r="Z376" s="137"/>
      <c r="AA376" s="136"/>
      <c r="AB376" s="566" t="str">
        <f t="shared" si="175"/>
        <v/>
      </c>
      <c r="AC376" s="568" t="str">
        <f t="shared" si="183"/>
        <v/>
      </c>
      <c r="AD376" s="137"/>
      <c r="AE376" s="137"/>
      <c r="AF376" s="138"/>
      <c r="AG376" s="138"/>
      <c r="AH376" s="592" t="str">
        <f t="shared" si="176"/>
        <v/>
      </c>
      <c r="AI376" s="592" t="str">
        <f t="shared" si="177"/>
        <v/>
      </c>
      <c r="AJ376" s="592" t="str">
        <f t="shared" si="178"/>
        <v/>
      </c>
      <c r="AK376" s="460" t="str">
        <f>IF(AU376="","",IF(OR(AZ376=8,AZ376=9),0,IF(OR(AW376=3,AW376=4,AW376=5,AW376=6),IF(LEFT(BF376,1)="1",INDEX(係数_NOX・PM低減,MATCH(AY376,【参考】排出係数!$AI$801:$AI$804,1),1),VLOOKUP(AU376,INDEX((係数_バス貨物_ガソリン,係数_バス貨物_CNG,係数_バス貨物_軽油,係数_バス貨物_メタノール,係数_バス貨物_LPG),MATCH(AY376,【参考】排出係数!$AI$4:$AI$671,1),1,BE376):INDEX((係数_バス貨物_ガソリン,係数_バス貨物_CNG,係数_バス貨物_軽油,係数_バス貨物_メタノール,係数_バス貨物_LPG),MATCH(AY376+1,【参考】排出係数!$AI$4:$AI$671,1)-1,5,BE376),4,FALSE)),IF(AND(BE376=3,LEFT(BF376,1)="1"),0.48,VLOOKUP(AU376,INDEX((係数_乗用_ガソリン,係数_乗用_CNG,係数_乗用_軽油,係数_乗用_メタノール,係数_乗用_LPG),1,1,BE376):INDEX((係数_乗用_ガソリン,係数_乗用_CNG,係数_乗用_軽油,係数_乗用_メタノール,係数_乗用_LPG),125,5,BE376),4,FALSE)))))</f>
        <v/>
      </c>
      <c r="AL376" s="461" t="str">
        <f t="shared" si="202"/>
        <v/>
      </c>
      <c r="AM376" s="460" t="str">
        <f>IF(AU376="","",IF(OR(AZ376=8,AZ376=9),0,IF(OR(AW376=3,AW376=4,AW376=5,AW376=6),IF(LEFT(BH376,1)="1",INDEX(係数_PM低減,MATCH(AY376,【参考】排出係数!$AI$801:$AI$804,1),MATCH(BI376,【参考】排出係数!$AL$798:$AO$798,1)),VLOOKUP(AU376,INDEX((係数_バス貨物_ガソリン,係数_バス貨物_CNG,係数_バス貨物_軽油,係数_バス貨物_メタノール,係数_バス貨物_LPG),MATCH(AY376,【参考】排出係数!$AI$4:$AI$671,1),1,BE376):INDEX((係数_バス貨物_ガソリン,係数_バス貨物_CNG,係数_バス貨物_軽油,係数_バス貨物_メタノール,係数_バス貨物_LPG),MATCH(AY376+1,【参考】排出係数!$AI$4:$AI$671,1)-1,5,BE376),5,FALSE)),IF(AND(BE376=3,LEFT(BF376,1)="1"),0.055,VLOOKUP(AU376,INDEX((係数_乗用_ガソリン,係数_乗用_CNG,係数_乗用_軽油,係数_乗用_メタノール,係数_乗用_LPG),1,1,BE376):INDEX((係数_乗用_ガソリン,係数_乗用_CNG,係数_乗用_軽油,係数_乗用_メタノール,係数_乗用_LPG),125,5,BE376),5,FALSE)))))</f>
        <v/>
      </c>
      <c r="AN376" s="461" t="str">
        <f t="shared" si="203"/>
        <v/>
      </c>
      <c r="AO376" s="462" t="str">
        <f t="shared" si="204"/>
        <v/>
      </c>
      <c r="AP376" s="463" t="str">
        <f t="shared" si="205"/>
        <v/>
      </c>
      <c r="AQ376" s="464"/>
      <c r="AR376" s="619"/>
      <c r="AS376" s="465" t="str">
        <f t="shared" si="184"/>
        <v/>
      </c>
      <c r="AT376" s="465" t="str">
        <f t="shared" si="185"/>
        <v/>
      </c>
      <c r="AU376" s="466" t="str">
        <f t="shared" si="186"/>
        <v/>
      </c>
      <c r="AV376" s="467" t="str">
        <f t="shared" si="187"/>
        <v/>
      </c>
      <c r="AW376" s="467" t="str">
        <f t="shared" si="188"/>
        <v/>
      </c>
      <c r="AX376" s="467" t="str">
        <f t="shared" si="189"/>
        <v/>
      </c>
      <c r="AY376" s="467" t="str">
        <f t="shared" si="190"/>
        <v/>
      </c>
      <c r="AZ376" s="467" t="str">
        <f t="shared" si="191"/>
        <v/>
      </c>
      <c r="BA376" s="468" t="str">
        <f>IF(AS376="","",IF(OR(AU376="",AU376="-"),"－",IF(OR(AZ376=8,AZ376=9),"",IF(OR(AW376=3,AW376=4,AW376=5,AW376=6),VLOOKUP(AU376,INDEX((係数_バス貨物_ガソリン,係数_バス貨物_CNG,係数_バス貨物_軽油,係数_バス貨物_メタノール,係数_バス貨物_LPG),MATCH(AY376,【参考】排出係数!$AI$4:$AI$671,1),1,BE376):INDEX((係数_バス貨物_ガソリン,係数_バス貨物_CNG,係数_バス貨物_軽油,係数_バス貨物_メタノール,係数_バス貨物_LPG),MATCH(AY376+1,【参考】排出係数!$AI$4:$AI$671,1)-1,5,BE376),2,FALSE),IF(OR(AW376=1,AW376=2),VLOOKUP(AU376,INDEX((係数_乗用_ガソリン,係数_乗用_CNG,係数_乗用_軽油,係数_乗用_メタノール,係数_乗用_LPG),1,1,BE376):INDEX((係数_乗用_ガソリン,係数_乗用_CNG,係数_乗用_軽油,係数_乗用_メタノール,係数_乗用_LPG),125,5,BE376),2,FALSE))))))</f>
        <v/>
      </c>
      <c r="BB376" s="468" t="str">
        <f>IF(T376="","",IF(OR(AU376="",AU376="-"),"－",IF(OR(AZ376=8,AZ376=9),"",IF(OR(AW376=3,AW376=4,AW376=5,AW376=6),VLOOKUP(AU376,INDEX((係数_バス貨物_ガソリン,係数_バス貨物_CNG,係数_バス貨物_軽油,係数_バス貨物_メタノール,係数_バス貨物_LPG),MATCH(AY376,【参考】排出係数!$AI$4:$AI$671,1),1,BE376):INDEX((係数_バス貨物_ガソリン,係数_バス貨物_CNG,係数_バス貨物_軽油,係数_バス貨物_メタノール,係数_バス貨物_LPG),MATCH(AY376+1,【参考】排出係数!$AI$4:$AI$671,1)-1,5,BE376),3,FALSE),IF(OR(AW376=1,AW376=2),VLOOKUP(AU376,INDEX((係数_乗用_ガソリン,係数_乗用_CNG,係数_乗用_軽油,係数_乗用_メタノール,係数_乗用_LPG),1,1,BE376):INDEX((係数_乗用_ガソリン,係数_乗用_CNG,係数_乗用_軽油,係数_乗用_メタノール,係数_乗用_LPG),125,5,BE376),3,FALSE))))))</f>
        <v/>
      </c>
      <c r="BC376" s="467" t="str">
        <f t="shared" si="192"/>
        <v/>
      </c>
      <c r="BD376" s="567" t="str">
        <f t="shared" si="193"/>
        <v/>
      </c>
      <c r="BE376" s="467" t="str">
        <f t="shared" si="194"/>
        <v/>
      </c>
      <c r="BF376" s="469" t="str">
        <f t="shared" ca="1" si="195"/>
        <v/>
      </c>
      <c r="BG376" s="469" t="str">
        <f t="shared" ca="1" si="196"/>
        <v/>
      </c>
      <c r="BH376" s="467" t="str">
        <f t="shared" si="197"/>
        <v/>
      </c>
      <c r="BI376" s="467" t="str">
        <f t="shared" ca="1" si="198"/>
        <v/>
      </c>
      <c r="BJ376" s="469" t="str">
        <f t="shared" si="199"/>
        <v/>
      </c>
      <c r="BK376" s="470" t="str">
        <f t="shared" si="179"/>
        <v/>
      </c>
      <c r="BL376" s="775" t="str">
        <f t="shared" si="200"/>
        <v/>
      </c>
      <c r="BM376" s="775" t="str">
        <f t="shared" si="201"/>
        <v/>
      </c>
    </row>
    <row r="377" spans="1:65">
      <c r="A377" s="473">
        <v>321</v>
      </c>
      <c r="B377" s="132"/>
      <c r="C377" s="332"/>
      <c r="D377" s="333"/>
      <c r="E377" s="333"/>
      <c r="F377" s="334"/>
      <c r="G377" s="337"/>
      <c r="H377" s="131"/>
      <c r="I377" s="337"/>
      <c r="J377" s="131"/>
      <c r="K377" s="458" t="str">
        <f t="shared" ref="K377:K440" si="206">C377&amp;D377&amp;E377&amp;F377</f>
        <v/>
      </c>
      <c r="L377" s="458">
        <f t="shared" si="180"/>
        <v>0</v>
      </c>
      <c r="M377" s="458">
        <f t="shared" si="181"/>
        <v>0</v>
      </c>
      <c r="N377" s="459" t="str">
        <f t="shared" ref="N377:N440" si="207">IF(OR($L377&gt;$U$48,$M377&gt;$U$48,AND($L377&gt;$M377,$M377&lt;&gt;0),AND($L377=0,$M377&lt;&gt;0)),"ERROR","")</f>
        <v/>
      </c>
      <c r="O377" s="459" t="str">
        <f t="shared" ref="O377:O440" si="208">IF(AND($N377&lt;&gt;"ERROR",$L377&lt;=$U$49,$M377&lt;=$U$49,$M377&lt;&gt;0),"(減車済)","")</f>
        <v/>
      </c>
      <c r="P377" s="459" t="str">
        <f t="shared" ref="P377:P440" si="209">IF(AND($N377&lt;&gt;"ERROR",$L377&lt;$U$49,AND($M377&gt;$U$49,$M377&lt;=$W$49),$M377&lt;&gt;0),"減車","")</f>
        <v/>
      </c>
      <c r="Q377" s="459" t="str">
        <f t="shared" ref="Q377:Q440" si="210">IF(AND($N377&lt;&gt;"ERROR",$L377&gt;$U$49,$M377&lt;=$W$49,$M377&lt;&gt;0),"一時使用","")</f>
        <v/>
      </c>
      <c r="R377" s="459" t="str">
        <f t="shared" ref="R377:R440" si="211">IF(AND($N377&lt;&gt;"ERROR",AND($L377&gt;0,$L377&lt;=$U$49),$M377=0),"継続","")</f>
        <v/>
      </c>
      <c r="S377" s="459" t="str">
        <f t="shared" ref="S377:S440" si="212">IF(AND($N377&lt;&gt;"ERROR",AND($L377&gt;$U$49),$M377=0),"新規","")</f>
        <v/>
      </c>
      <c r="T377" s="566" t="str">
        <f t="shared" si="182"/>
        <v/>
      </c>
      <c r="U377" s="702"/>
      <c r="V377" s="132"/>
      <c r="W377" s="133"/>
      <c r="X377" s="134"/>
      <c r="Y377" s="135"/>
      <c r="Z377" s="137"/>
      <c r="AA377" s="136"/>
      <c r="AB377" s="566" t="str">
        <f t="shared" ref="AB377:AB440" si="213">IF(AS377="","",IF(AZ377=1,VLOOKUP(BA377,低公害車判別,2,FALSE),IF(AZ377=3,VLOOKUP(BA377,低公害車判別,2,FALSE),IF(AZ377=4,VLOOKUP(BB377,低公害車判別,2,FALSE),"低公害車"))))</f>
        <v/>
      </c>
      <c r="AC377" s="568" t="str">
        <f t="shared" si="183"/>
        <v/>
      </c>
      <c r="AD377" s="137"/>
      <c r="AE377" s="137"/>
      <c r="AF377" s="138"/>
      <c r="AG377" s="138"/>
      <c r="AH377" s="592" t="str">
        <f t="shared" ref="AH377:AH440" si="214">IF(C377="","",IF(LEFT(C377,2)="横浜","○",""))</f>
        <v/>
      </c>
      <c r="AI377" s="592" t="str">
        <f t="shared" ref="AI377:AI440" si="215">IF(C377="","",IF(LEFT(C377,2)="川崎","○",""))</f>
        <v/>
      </c>
      <c r="AJ377" s="592" t="str">
        <f t="shared" ref="AJ377:AJ440" si="216">IF(C377="","",IF(OR(AH377="○",AI377="○"),"","○"))</f>
        <v/>
      </c>
      <c r="AK377" s="460" t="str">
        <f>IF(AU377="","",IF(OR(AZ377=8,AZ377=9),0,IF(OR(AW377=3,AW377=4,AW377=5,AW377=6),IF(LEFT(BF377,1)="1",INDEX(係数_NOX・PM低減,MATCH(AY377,【参考】排出係数!$AI$801:$AI$804,1),1),VLOOKUP(AU377,INDEX((係数_バス貨物_ガソリン,係数_バス貨物_CNG,係数_バス貨物_軽油,係数_バス貨物_メタノール,係数_バス貨物_LPG),MATCH(AY377,【参考】排出係数!$AI$4:$AI$671,1),1,BE377):INDEX((係数_バス貨物_ガソリン,係数_バス貨物_CNG,係数_バス貨物_軽油,係数_バス貨物_メタノール,係数_バス貨物_LPG),MATCH(AY377+1,【参考】排出係数!$AI$4:$AI$671,1)-1,5,BE377),4,FALSE)),IF(AND(BE377=3,LEFT(BF377,1)="1"),0.48,VLOOKUP(AU377,INDEX((係数_乗用_ガソリン,係数_乗用_CNG,係数_乗用_軽油,係数_乗用_メタノール,係数_乗用_LPG),1,1,BE377):INDEX((係数_乗用_ガソリン,係数_乗用_CNG,係数_乗用_軽油,係数_乗用_メタノール,係数_乗用_LPG),125,5,BE377),4,FALSE)))))</f>
        <v/>
      </c>
      <c r="AL377" s="461" t="str">
        <f t="shared" si="202"/>
        <v/>
      </c>
      <c r="AM377" s="460" t="str">
        <f>IF(AU377="","",IF(OR(AZ377=8,AZ377=9),0,IF(OR(AW377=3,AW377=4,AW377=5,AW377=6),IF(LEFT(BH377,1)="1",INDEX(係数_PM低減,MATCH(AY377,【参考】排出係数!$AI$801:$AI$804,1),MATCH(BI377,【参考】排出係数!$AL$798:$AO$798,1)),VLOOKUP(AU377,INDEX((係数_バス貨物_ガソリン,係数_バス貨物_CNG,係数_バス貨物_軽油,係数_バス貨物_メタノール,係数_バス貨物_LPG),MATCH(AY377,【参考】排出係数!$AI$4:$AI$671,1),1,BE377):INDEX((係数_バス貨物_ガソリン,係数_バス貨物_CNG,係数_バス貨物_軽油,係数_バス貨物_メタノール,係数_バス貨物_LPG),MATCH(AY377+1,【参考】排出係数!$AI$4:$AI$671,1)-1,5,BE377),5,FALSE)),IF(AND(BE377=3,LEFT(BF377,1)="1"),0.055,VLOOKUP(AU377,INDEX((係数_乗用_ガソリン,係数_乗用_CNG,係数_乗用_軽油,係数_乗用_メタノール,係数_乗用_LPG),1,1,BE377):INDEX((係数_乗用_ガソリン,係数_乗用_CNG,係数_乗用_軽油,係数_乗用_メタノール,係数_乗用_LPG),125,5,BE377),5,FALSE)))))</f>
        <v/>
      </c>
      <c r="AN377" s="461" t="str">
        <f t="shared" si="203"/>
        <v/>
      </c>
      <c r="AO377" s="462" t="str">
        <f t="shared" si="204"/>
        <v/>
      </c>
      <c r="AP377" s="463" t="str">
        <f t="shared" si="205"/>
        <v/>
      </c>
      <c r="AQ377" s="464"/>
      <c r="AR377" s="619"/>
      <c r="AS377" s="465" t="str">
        <f t="shared" si="184"/>
        <v/>
      </c>
      <c r="AT377" s="465" t="str">
        <f t="shared" si="185"/>
        <v/>
      </c>
      <c r="AU377" s="466" t="str">
        <f t="shared" si="186"/>
        <v/>
      </c>
      <c r="AV377" s="467" t="str">
        <f t="shared" si="187"/>
        <v/>
      </c>
      <c r="AW377" s="467" t="str">
        <f t="shared" si="188"/>
        <v/>
      </c>
      <c r="AX377" s="467" t="str">
        <f t="shared" si="189"/>
        <v/>
      </c>
      <c r="AY377" s="467" t="str">
        <f t="shared" si="190"/>
        <v/>
      </c>
      <c r="AZ377" s="467" t="str">
        <f t="shared" si="191"/>
        <v/>
      </c>
      <c r="BA377" s="468" t="str">
        <f>IF(AS377="","",IF(OR(AU377="",AU377="-"),"－",IF(OR(AZ377=8,AZ377=9),"",IF(OR(AW377=3,AW377=4,AW377=5,AW377=6),VLOOKUP(AU377,INDEX((係数_バス貨物_ガソリン,係数_バス貨物_CNG,係数_バス貨物_軽油,係数_バス貨物_メタノール,係数_バス貨物_LPG),MATCH(AY377,【参考】排出係数!$AI$4:$AI$671,1),1,BE377):INDEX((係数_バス貨物_ガソリン,係数_バス貨物_CNG,係数_バス貨物_軽油,係数_バス貨物_メタノール,係数_バス貨物_LPG),MATCH(AY377+1,【参考】排出係数!$AI$4:$AI$671,1)-1,5,BE377),2,FALSE),IF(OR(AW377=1,AW377=2),VLOOKUP(AU377,INDEX((係数_乗用_ガソリン,係数_乗用_CNG,係数_乗用_軽油,係数_乗用_メタノール,係数_乗用_LPG),1,1,BE377):INDEX((係数_乗用_ガソリン,係数_乗用_CNG,係数_乗用_軽油,係数_乗用_メタノール,係数_乗用_LPG),125,5,BE377),2,FALSE))))))</f>
        <v/>
      </c>
      <c r="BB377" s="468" t="str">
        <f>IF(T377="","",IF(OR(AU377="",AU377="-"),"－",IF(OR(AZ377=8,AZ377=9),"",IF(OR(AW377=3,AW377=4,AW377=5,AW377=6),VLOOKUP(AU377,INDEX((係数_バス貨物_ガソリン,係数_バス貨物_CNG,係数_バス貨物_軽油,係数_バス貨物_メタノール,係数_バス貨物_LPG),MATCH(AY377,【参考】排出係数!$AI$4:$AI$671,1),1,BE377):INDEX((係数_バス貨物_ガソリン,係数_バス貨物_CNG,係数_バス貨物_軽油,係数_バス貨物_メタノール,係数_バス貨物_LPG),MATCH(AY377+1,【参考】排出係数!$AI$4:$AI$671,1)-1,5,BE377),3,FALSE),IF(OR(AW377=1,AW377=2),VLOOKUP(AU377,INDEX((係数_乗用_ガソリン,係数_乗用_CNG,係数_乗用_軽油,係数_乗用_メタノール,係数_乗用_LPG),1,1,BE377):INDEX((係数_乗用_ガソリン,係数_乗用_CNG,係数_乗用_軽油,係数_乗用_メタノール,係数_乗用_LPG),125,5,BE377),3,FALSE))))))</f>
        <v/>
      </c>
      <c r="BC377" s="467" t="str">
        <f t="shared" si="192"/>
        <v/>
      </c>
      <c r="BD377" s="567" t="str">
        <f t="shared" si="193"/>
        <v/>
      </c>
      <c r="BE377" s="467" t="str">
        <f t="shared" si="194"/>
        <v/>
      </c>
      <c r="BF377" s="469" t="str">
        <f t="shared" ca="1" si="195"/>
        <v/>
      </c>
      <c r="BG377" s="469" t="str">
        <f t="shared" ca="1" si="196"/>
        <v/>
      </c>
      <c r="BH377" s="467" t="str">
        <f t="shared" si="197"/>
        <v/>
      </c>
      <c r="BI377" s="467" t="str">
        <f t="shared" ca="1" si="198"/>
        <v/>
      </c>
      <c r="BJ377" s="469" t="str">
        <f t="shared" si="199"/>
        <v/>
      </c>
      <c r="BK377" s="470" t="str">
        <f t="shared" ref="BK377:BK440" si="217">IF(AS377="","",VLOOKUP(T377,車両の増減,2,FALSE))</f>
        <v/>
      </c>
      <c r="BL377" s="775" t="str">
        <f t="shared" si="200"/>
        <v/>
      </c>
      <c r="BM377" s="775" t="str">
        <f t="shared" si="201"/>
        <v/>
      </c>
    </row>
    <row r="378" spans="1:65">
      <c r="A378" s="473">
        <v>322</v>
      </c>
      <c r="B378" s="132"/>
      <c r="C378" s="332"/>
      <c r="D378" s="333"/>
      <c r="E378" s="333"/>
      <c r="F378" s="334"/>
      <c r="G378" s="337"/>
      <c r="H378" s="131"/>
      <c r="I378" s="337"/>
      <c r="J378" s="131"/>
      <c r="K378" s="458" t="str">
        <f t="shared" si="206"/>
        <v/>
      </c>
      <c r="L378" s="458">
        <f t="shared" ref="L378:L441" si="218">IF(G378&gt;0,DATE((G378),(H378+1),0),0)</f>
        <v>0</v>
      </c>
      <c r="M378" s="458">
        <f t="shared" ref="M378:M441" si="219">IF(I378&gt;0,DATE((I378),(J378+1),0),0)</f>
        <v>0</v>
      </c>
      <c r="N378" s="459" t="str">
        <f t="shared" si="207"/>
        <v/>
      </c>
      <c r="O378" s="459" t="str">
        <f t="shared" si="208"/>
        <v/>
      </c>
      <c r="P378" s="459" t="str">
        <f t="shared" si="209"/>
        <v/>
      </c>
      <c r="Q378" s="459" t="str">
        <f t="shared" si="210"/>
        <v/>
      </c>
      <c r="R378" s="459" t="str">
        <f t="shared" si="211"/>
        <v/>
      </c>
      <c r="S378" s="459" t="str">
        <f t="shared" si="212"/>
        <v/>
      </c>
      <c r="T378" s="566" t="str">
        <f t="shared" ref="T378:T441" si="220">N378&amp;O378&amp;P378&amp;Q378&amp;R378&amp;S378</f>
        <v/>
      </c>
      <c r="U378" s="702"/>
      <c r="V378" s="132"/>
      <c r="W378" s="133"/>
      <c r="X378" s="134"/>
      <c r="Y378" s="135"/>
      <c r="Z378" s="137"/>
      <c r="AA378" s="136"/>
      <c r="AB378" s="566" t="str">
        <f t="shared" si="213"/>
        <v/>
      </c>
      <c r="AC378" s="568" t="str">
        <f t="shared" ref="AC378:AC441" si="221">IF(AS378="","",IF((BA378="")+(BA378="－"),IF((BB378="")+(BB378=0),"－",BB378),IF((BA378="PM☆☆☆")+(BA378="☆及びPM☆☆☆")+(BA378="☆☆及びPM☆☆☆")+(BA378="☆☆☆及びPM☆☆☆"),"PM☆☆☆",IF((BA378="PM☆☆☆☆")+(BA378="☆及びPM☆☆☆☆")+(BA378="☆☆及びPM☆☆☆☆")+(BA378="☆☆☆及びPM☆☆☆☆"),"PM☆☆☆☆",IF((BA378="新☆")+(BA378="新NOx☆")+(BA378="新PM☆"),"新☆（新長期）",BA378)))))</f>
        <v/>
      </c>
      <c r="AD378" s="137"/>
      <c r="AE378" s="137"/>
      <c r="AF378" s="138"/>
      <c r="AG378" s="138"/>
      <c r="AH378" s="592" t="str">
        <f t="shared" si="214"/>
        <v/>
      </c>
      <c r="AI378" s="592" t="str">
        <f t="shared" si="215"/>
        <v/>
      </c>
      <c r="AJ378" s="592" t="str">
        <f t="shared" si="216"/>
        <v/>
      </c>
      <c r="AK378" s="460" t="str">
        <f>IF(AU378="","",IF(OR(AZ378=8,AZ378=9),0,IF(OR(AW378=3,AW378=4,AW378=5,AW378=6),IF(LEFT(BF378,1)="1",INDEX(係数_NOX・PM低減,MATCH(AY378,【参考】排出係数!$AI$801:$AI$804,1),1),VLOOKUP(AU378,INDEX((係数_バス貨物_ガソリン,係数_バス貨物_CNG,係数_バス貨物_軽油,係数_バス貨物_メタノール,係数_バス貨物_LPG),MATCH(AY378,【参考】排出係数!$AI$4:$AI$671,1),1,BE378):INDEX((係数_バス貨物_ガソリン,係数_バス貨物_CNG,係数_バス貨物_軽油,係数_バス貨物_メタノール,係数_バス貨物_LPG),MATCH(AY378+1,【参考】排出係数!$AI$4:$AI$671,1)-1,5,BE378),4,FALSE)),IF(AND(BE378=3,LEFT(BF378,1)="1"),0.48,VLOOKUP(AU378,INDEX((係数_乗用_ガソリン,係数_乗用_CNG,係数_乗用_軽油,係数_乗用_メタノール,係数_乗用_LPG),1,1,BE378):INDEX((係数_乗用_ガソリン,係数_乗用_CNG,係数_乗用_軽油,係数_乗用_メタノール,係数_乗用_LPG),125,5,BE378),4,FALSE)))))</f>
        <v/>
      </c>
      <c r="AL378" s="461" t="str">
        <f t="shared" si="202"/>
        <v/>
      </c>
      <c r="AM378" s="460" t="str">
        <f>IF(AU378="","",IF(OR(AZ378=8,AZ378=9),0,IF(OR(AW378=3,AW378=4,AW378=5,AW378=6),IF(LEFT(BH378,1)="1",INDEX(係数_PM低減,MATCH(AY378,【参考】排出係数!$AI$801:$AI$804,1),MATCH(BI378,【参考】排出係数!$AL$798:$AO$798,1)),VLOOKUP(AU378,INDEX((係数_バス貨物_ガソリン,係数_バス貨物_CNG,係数_バス貨物_軽油,係数_バス貨物_メタノール,係数_バス貨物_LPG),MATCH(AY378,【参考】排出係数!$AI$4:$AI$671,1),1,BE378):INDEX((係数_バス貨物_ガソリン,係数_バス貨物_CNG,係数_バス貨物_軽油,係数_バス貨物_メタノール,係数_バス貨物_LPG),MATCH(AY378+1,【参考】排出係数!$AI$4:$AI$671,1)-1,5,BE378),5,FALSE)),IF(AND(BE378=3,LEFT(BF378,1)="1"),0.055,VLOOKUP(AU378,INDEX((係数_乗用_ガソリン,係数_乗用_CNG,係数_乗用_軽油,係数_乗用_メタノール,係数_乗用_LPG),1,1,BE378):INDEX((係数_乗用_ガソリン,係数_乗用_CNG,係数_乗用_軽油,係数_乗用_メタノール,係数_乗用_LPG),125,5,BE378),5,FALSE)))))</f>
        <v/>
      </c>
      <c r="AN378" s="461" t="str">
        <f t="shared" si="203"/>
        <v/>
      </c>
      <c r="AO378" s="462" t="str">
        <f t="shared" si="204"/>
        <v/>
      </c>
      <c r="AP378" s="463" t="str">
        <f t="shared" si="205"/>
        <v/>
      </c>
      <c r="AQ378" s="464"/>
      <c r="AR378" s="619"/>
      <c r="AS378" s="465" t="str">
        <f t="shared" ref="AS378:AS441" si="222">IF(OR(T378="(減車済)",T378=""),"",1)</f>
        <v/>
      </c>
      <c r="AT378" s="465" t="str">
        <f t="shared" ref="AT378:AT441" si="223">IF(OR(T378="継続",T378="新規"),1,"")</f>
        <v/>
      </c>
      <c r="AU378" s="466" t="str">
        <f t="shared" ref="AU378:AU441" si="224">IF(AS378="","",UPPER(ASC(X378)))</f>
        <v/>
      </c>
      <c r="AV378" s="467" t="str">
        <f t="shared" ref="AV378:AV441" si="225">IF(AS378="","",IF(V378="","",IF(V378="普通",1,IF(V378="小型",2,0))))</f>
        <v/>
      </c>
      <c r="AW378" s="467" t="str">
        <f t="shared" ref="AW378:AW441" si="226">IF(AS378="","",IF(W378="","",VLOOKUP(W378,用途,2,FALSE)))</f>
        <v/>
      </c>
      <c r="AX378" s="467" t="str">
        <f t="shared" ref="AX378:AX441" si="227">IF(AS378="","",IF(Y378="","",IF(Y378&lt;=10,1,IF(Y378&lt;30,2,IF(Y378&gt;=30,3,0)))))</f>
        <v/>
      </c>
      <c r="AY378" s="467" t="str">
        <f t="shared" ref="AY378:AY441" si="228">IF(AS378="","",IF(Z378="","",IF(Z378&lt;=1.7*1000,1,IF(Z378&lt;=2.5*1000,2,IF(Z378&lt;=3.5*1000,3,IF(Z378&lt;8*1000,4,IF(Z378&gt;=8*1000,5,"")))))))</f>
        <v/>
      </c>
      <c r="AZ378" s="467" t="str">
        <f t="shared" ref="AZ378:AZ441" si="229">IF(AS378="","",IF(AA378="","",VLOOKUP(AA378,燃料の種類,2,FALSE)))</f>
        <v/>
      </c>
      <c r="BA378" s="468" t="str">
        <f>IF(AS378="","",IF(OR(AU378="",AU378="-"),"－",IF(OR(AZ378=8,AZ378=9),"",IF(OR(AW378=3,AW378=4,AW378=5,AW378=6),VLOOKUP(AU378,INDEX((係数_バス貨物_ガソリン,係数_バス貨物_CNG,係数_バス貨物_軽油,係数_バス貨物_メタノール,係数_バス貨物_LPG),MATCH(AY378,【参考】排出係数!$AI$4:$AI$671,1),1,BE378):INDEX((係数_バス貨物_ガソリン,係数_バス貨物_CNG,係数_バス貨物_軽油,係数_バス貨物_メタノール,係数_バス貨物_LPG),MATCH(AY378+1,【参考】排出係数!$AI$4:$AI$671,1)-1,5,BE378),2,FALSE),IF(OR(AW378=1,AW378=2),VLOOKUP(AU378,INDEX((係数_乗用_ガソリン,係数_乗用_CNG,係数_乗用_軽油,係数_乗用_メタノール,係数_乗用_LPG),1,1,BE378):INDEX((係数_乗用_ガソリン,係数_乗用_CNG,係数_乗用_軽油,係数_乗用_メタノール,係数_乗用_LPG),125,5,BE378),2,FALSE))))))</f>
        <v/>
      </c>
      <c r="BB378" s="468" t="str">
        <f>IF(T378="","",IF(OR(AU378="",AU378="-"),"－",IF(OR(AZ378=8,AZ378=9),"",IF(OR(AW378=3,AW378=4,AW378=5,AW378=6),VLOOKUP(AU378,INDEX((係数_バス貨物_ガソリン,係数_バス貨物_CNG,係数_バス貨物_軽油,係数_バス貨物_メタノール,係数_バス貨物_LPG),MATCH(AY378,【参考】排出係数!$AI$4:$AI$671,1),1,BE378):INDEX((係数_バス貨物_ガソリン,係数_バス貨物_CNG,係数_バス貨物_軽油,係数_バス貨物_メタノール,係数_バス貨物_LPG),MATCH(AY378+1,【参考】排出係数!$AI$4:$AI$671,1)-1,5,BE378),3,FALSE),IF(OR(AW378=1,AW378=2),VLOOKUP(AU378,INDEX((係数_乗用_ガソリン,係数_乗用_CNG,係数_乗用_軽油,係数_乗用_メタノール,係数_乗用_LPG),1,1,BE378):INDEX((係数_乗用_ガソリン,係数_乗用_CNG,係数_乗用_軽油,係数_乗用_メタノール,係数_乗用_LPG),125,5,BE378),3,FALSE))))))</f>
        <v/>
      </c>
      <c r="BC378" s="467" t="str">
        <f t="shared" ref="BC378:BC441" si="230">IF((AS378="")+(AC378=""),"",IF(燃料区分1=4,VLOOKUP(BB378,排ガス低減レベル,2,FALSE),VLOOKUP(AC378,排ガス低減レベル,2,FALSE)))</f>
        <v/>
      </c>
      <c r="BD378" s="567" t="str">
        <f t="shared" ref="BD378:BD441" si="231">IF(AT378="","",IF(AW378=3,B378&amp;"-"&amp;SUM(AW378*100,AX378*10,AY378)&amp;"A",IF(OR(AW378=2,AW378=4,AW378=6),B378&amp;"-"&amp;AY378*10&amp;"A",IF(AW378=1,B378&amp;"-"&amp;AW378&amp;"A",IF(AW378=5,B378&amp;"-"&amp;SUM(AW378*100,AV378*10,AY378)&amp;"A","")))))</f>
        <v/>
      </c>
      <c r="BE378" s="467" t="str">
        <f t="shared" ref="BE378:BE441" si="232">IF(OR(AZ378=1,AZ378=2,AZ378=11),1,IF(AZ378=6,2,IF(OR(AZ378=4,AZ378=5,AZ378=10),3,IF(AZ378=7,4,IF(AZ378=3,5, IF(OR(AZ378=8,AZ378=9),6,""))))))</f>
        <v/>
      </c>
      <c r="BF378" s="469" t="str">
        <f t="shared" ref="BF378:BF441" ca="1" si="233">(IF(OR(AZ378=4,AZ378=5),OFFSET($CH$1,MATCH($AF378,$CG$2:$CG$4,0),0)&amp;BK378,""))</f>
        <v/>
      </c>
      <c r="BG378" s="469" t="str">
        <f t="shared" ref="BG378:BG441" ca="1" si="234">(IF(OR(AZ378=4,AZ378=5),OFFSET($CJ$1,MATCH($AG378,$CI$2:$CI$5,0),0)&amp;BK378,""))</f>
        <v/>
      </c>
      <c r="BH378" s="467" t="str">
        <f t="shared" ref="BH378:BH441" si="235">IF(OR(AZ378=4,AZ378=5),IF(OR(LEFT(BF378,1)="1",LEFT(BG378,1)="2",LEFT(BG378,1)="3"),1,2)&amp;BK378,"")</f>
        <v/>
      </c>
      <c r="BI378" s="467" t="str">
        <f t="shared" ref="BI378:BI441" ca="1" si="236">IF(LEFT(BF378)="1",1,IF(LEFT(BG378,1)="2",2,IF(LEFT(BG378,1)="3",3,"")))</f>
        <v/>
      </c>
      <c r="BJ378" s="469" t="str">
        <f t="shared" ref="BJ378:BJ441" si="237">IF(AT378="","",B378&amp;"-"&amp;AZ378)</f>
        <v/>
      </c>
      <c r="BK378" s="470" t="str">
        <f t="shared" si="217"/>
        <v/>
      </c>
      <c r="BL378" s="775" t="str">
        <f t="shared" ref="BL378:BL441" si="238">IF(AND(OR($T378="新規",$T378="継続"),ISBLANK($AD378)),1,"")</f>
        <v/>
      </c>
      <c r="BM378" s="775" t="str">
        <f t="shared" ref="BM378:BM441" si="239">IF(AND(OR($T378="新規",$T378="継続"),ISBLANK($AE378)),1,"")</f>
        <v/>
      </c>
    </row>
    <row r="379" spans="1:65">
      <c r="A379" s="473">
        <v>323</v>
      </c>
      <c r="B379" s="132"/>
      <c r="C379" s="332"/>
      <c r="D379" s="333"/>
      <c r="E379" s="333"/>
      <c r="F379" s="334"/>
      <c r="G379" s="337"/>
      <c r="H379" s="131"/>
      <c r="I379" s="337"/>
      <c r="J379" s="131"/>
      <c r="K379" s="458" t="str">
        <f t="shared" si="206"/>
        <v/>
      </c>
      <c r="L379" s="458">
        <f t="shared" si="218"/>
        <v>0</v>
      </c>
      <c r="M379" s="458">
        <f t="shared" si="219"/>
        <v>0</v>
      </c>
      <c r="N379" s="459" t="str">
        <f t="shared" si="207"/>
        <v/>
      </c>
      <c r="O379" s="459" t="str">
        <f t="shared" si="208"/>
        <v/>
      </c>
      <c r="P379" s="459" t="str">
        <f t="shared" si="209"/>
        <v/>
      </c>
      <c r="Q379" s="459" t="str">
        <f t="shared" si="210"/>
        <v/>
      </c>
      <c r="R379" s="459" t="str">
        <f t="shared" si="211"/>
        <v/>
      </c>
      <c r="S379" s="459" t="str">
        <f t="shared" si="212"/>
        <v/>
      </c>
      <c r="T379" s="566" t="str">
        <f t="shared" si="220"/>
        <v/>
      </c>
      <c r="U379" s="702"/>
      <c r="V379" s="132"/>
      <c r="W379" s="133"/>
      <c r="X379" s="134"/>
      <c r="Y379" s="135"/>
      <c r="Z379" s="137"/>
      <c r="AA379" s="136"/>
      <c r="AB379" s="566" t="str">
        <f t="shared" si="213"/>
        <v/>
      </c>
      <c r="AC379" s="568" t="str">
        <f t="shared" si="221"/>
        <v/>
      </c>
      <c r="AD379" s="137"/>
      <c r="AE379" s="137"/>
      <c r="AF379" s="138"/>
      <c r="AG379" s="138"/>
      <c r="AH379" s="592" t="str">
        <f t="shared" si="214"/>
        <v/>
      </c>
      <c r="AI379" s="592" t="str">
        <f t="shared" si="215"/>
        <v/>
      </c>
      <c r="AJ379" s="592" t="str">
        <f t="shared" si="216"/>
        <v/>
      </c>
      <c r="AK379" s="460" t="str">
        <f>IF(AU379="","",IF(OR(AZ379=8,AZ379=9),0,IF(OR(AW379=3,AW379=4,AW379=5,AW379=6),IF(LEFT(BF379,1)="1",INDEX(係数_NOX・PM低減,MATCH(AY379,【参考】排出係数!$AI$801:$AI$804,1),1),VLOOKUP(AU379,INDEX((係数_バス貨物_ガソリン,係数_バス貨物_CNG,係数_バス貨物_軽油,係数_バス貨物_メタノール,係数_バス貨物_LPG),MATCH(AY379,【参考】排出係数!$AI$4:$AI$671,1),1,BE379):INDEX((係数_バス貨物_ガソリン,係数_バス貨物_CNG,係数_バス貨物_軽油,係数_バス貨物_メタノール,係数_バス貨物_LPG),MATCH(AY379+1,【参考】排出係数!$AI$4:$AI$671,1)-1,5,BE379),4,FALSE)),IF(AND(BE379=3,LEFT(BF379,1)="1"),0.48,VLOOKUP(AU379,INDEX((係数_乗用_ガソリン,係数_乗用_CNG,係数_乗用_軽油,係数_乗用_メタノール,係数_乗用_LPG),1,1,BE379):INDEX((係数_乗用_ガソリン,係数_乗用_CNG,係数_乗用_軽油,係数_乗用_メタノール,係数_乗用_LPG),125,5,BE379),4,FALSE)))))</f>
        <v/>
      </c>
      <c r="AL379" s="461" t="str">
        <f t="shared" si="202"/>
        <v/>
      </c>
      <c r="AM379" s="460" t="str">
        <f>IF(AU379="","",IF(OR(AZ379=8,AZ379=9),0,IF(OR(AW379=3,AW379=4,AW379=5,AW379=6),IF(LEFT(BH379,1)="1",INDEX(係数_PM低減,MATCH(AY379,【参考】排出係数!$AI$801:$AI$804,1),MATCH(BI379,【参考】排出係数!$AL$798:$AO$798,1)),VLOOKUP(AU379,INDEX((係数_バス貨物_ガソリン,係数_バス貨物_CNG,係数_バス貨物_軽油,係数_バス貨物_メタノール,係数_バス貨物_LPG),MATCH(AY379,【参考】排出係数!$AI$4:$AI$671,1),1,BE379):INDEX((係数_バス貨物_ガソリン,係数_バス貨物_CNG,係数_バス貨物_軽油,係数_バス貨物_メタノール,係数_バス貨物_LPG),MATCH(AY379+1,【参考】排出係数!$AI$4:$AI$671,1)-1,5,BE379),5,FALSE)),IF(AND(BE379=3,LEFT(BF379,1)="1"),0.055,VLOOKUP(AU379,INDEX((係数_乗用_ガソリン,係数_乗用_CNG,係数_乗用_軽油,係数_乗用_メタノール,係数_乗用_LPG),1,1,BE379):INDEX((係数_乗用_ガソリン,係数_乗用_CNG,係数_乗用_軽油,係数_乗用_メタノール,係数_乗用_LPG),125,5,BE379),5,FALSE)))))</f>
        <v/>
      </c>
      <c r="AN379" s="461" t="str">
        <f t="shared" si="203"/>
        <v/>
      </c>
      <c r="AO379" s="462" t="str">
        <f t="shared" si="204"/>
        <v/>
      </c>
      <c r="AP379" s="463" t="str">
        <f t="shared" si="205"/>
        <v/>
      </c>
      <c r="AQ379" s="464"/>
      <c r="AR379" s="619"/>
      <c r="AS379" s="465" t="str">
        <f t="shared" si="222"/>
        <v/>
      </c>
      <c r="AT379" s="465" t="str">
        <f t="shared" si="223"/>
        <v/>
      </c>
      <c r="AU379" s="466" t="str">
        <f t="shared" si="224"/>
        <v/>
      </c>
      <c r="AV379" s="467" t="str">
        <f t="shared" si="225"/>
        <v/>
      </c>
      <c r="AW379" s="467" t="str">
        <f t="shared" si="226"/>
        <v/>
      </c>
      <c r="AX379" s="467" t="str">
        <f t="shared" si="227"/>
        <v/>
      </c>
      <c r="AY379" s="467" t="str">
        <f t="shared" si="228"/>
        <v/>
      </c>
      <c r="AZ379" s="467" t="str">
        <f t="shared" si="229"/>
        <v/>
      </c>
      <c r="BA379" s="468" t="str">
        <f>IF(AS379="","",IF(OR(AU379="",AU379="-"),"－",IF(OR(AZ379=8,AZ379=9),"",IF(OR(AW379=3,AW379=4,AW379=5,AW379=6),VLOOKUP(AU379,INDEX((係数_バス貨物_ガソリン,係数_バス貨物_CNG,係数_バス貨物_軽油,係数_バス貨物_メタノール,係数_バス貨物_LPG),MATCH(AY379,【参考】排出係数!$AI$4:$AI$671,1),1,BE379):INDEX((係数_バス貨物_ガソリン,係数_バス貨物_CNG,係数_バス貨物_軽油,係数_バス貨物_メタノール,係数_バス貨物_LPG),MATCH(AY379+1,【参考】排出係数!$AI$4:$AI$671,1)-1,5,BE379),2,FALSE),IF(OR(AW379=1,AW379=2),VLOOKUP(AU379,INDEX((係数_乗用_ガソリン,係数_乗用_CNG,係数_乗用_軽油,係数_乗用_メタノール,係数_乗用_LPG),1,1,BE379):INDEX((係数_乗用_ガソリン,係数_乗用_CNG,係数_乗用_軽油,係数_乗用_メタノール,係数_乗用_LPG),125,5,BE379),2,FALSE))))))</f>
        <v/>
      </c>
      <c r="BB379" s="468" t="str">
        <f>IF(T379="","",IF(OR(AU379="",AU379="-"),"－",IF(OR(AZ379=8,AZ379=9),"",IF(OR(AW379=3,AW379=4,AW379=5,AW379=6),VLOOKUP(AU379,INDEX((係数_バス貨物_ガソリン,係数_バス貨物_CNG,係数_バス貨物_軽油,係数_バス貨物_メタノール,係数_バス貨物_LPG),MATCH(AY379,【参考】排出係数!$AI$4:$AI$671,1),1,BE379):INDEX((係数_バス貨物_ガソリン,係数_バス貨物_CNG,係数_バス貨物_軽油,係数_バス貨物_メタノール,係数_バス貨物_LPG),MATCH(AY379+1,【参考】排出係数!$AI$4:$AI$671,1)-1,5,BE379),3,FALSE),IF(OR(AW379=1,AW379=2),VLOOKUP(AU379,INDEX((係数_乗用_ガソリン,係数_乗用_CNG,係数_乗用_軽油,係数_乗用_メタノール,係数_乗用_LPG),1,1,BE379):INDEX((係数_乗用_ガソリン,係数_乗用_CNG,係数_乗用_軽油,係数_乗用_メタノール,係数_乗用_LPG),125,5,BE379),3,FALSE))))))</f>
        <v/>
      </c>
      <c r="BC379" s="467" t="str">
        <f t="shared" si="230"/>
        <v/>
      </c>
      <c r="BD379" s="567" t="str">
        <f t="shared" si="231"/>
        <v/>
      </c>
      <c r="BE379" s="467" t="str">
        <f t="shared" si="232"/>
        <v/>
      </c>
      <c r="BF379" s="469" t="str">
        <f t="shared" ca="1" si="233"/>
        <v/>
      </c>
      <c r="BG379" s="469" t="str">
        <f t="shared" ca="1" si="234"/>
        <v/>
      </c>
      <c r="BH379" s="467" t="str">
        <f t="shared" si="235"/>
        <v/>
      </c>
      <c r="BI379" s="467" t="str">
        <f t="shared" ca="1" si="236"/>
        <v/>
      </c>
      <c r="BJ379" s="469" t="str">
        <f t="shared" si="237"/>
        <v/>
      </c>
      <c r="BK379" s="470" t="str">
        <f t="shared" si="217"/>
        <v/>
      </c>
      <c r="BL379" s="775" t="str">
        <f t="shared" si="238"/>
        <v/>
      </c>
      <c r="BM379" s="775" t="str">
        <f t="shared" si="239"/>
        <v/>
      </c>
    </row>
    <row r="380" spans="1:65">
      <c r="A380" s="473">
        <v>324</v>
      </c>
      <c r="B380" s="132"/>
      <c r="C380" s="332"/>
      <c r="D380" s="333"/>
      <c r="E380" s="333"/>
      <c r="F380" s="334"/>
      <c r="G380" s="337"/>
      <c r="H380" s="131"/>
      <c r="I380" s="337"/>
      <c r="J380" s="131"/>
      <c r="K380" s="458" t="str">
        <f t="shared" si="206"/>
        <v/>
      </c>
      <c r="L380" s="458">
        <f t="shared" si="218"/>
        <v>0</v>
      </c>
      <c r="M380" s="458">
        <f t="shared" si="219"/>
        <v>0</v>
      </c>
      <c r="N380" s="459" t="str">
        <f t="shared" si="207"/>
        <v/>
      </c>
      <c r="O380" s="459" t="str">
        <f t="shared" si="208"/>
        <v/>
      </c>
      <c r="P380" s="459" t="str">
        <f t="shared" si="209"/>
        <v/>
      </c>
      <c r="Q380" s="459" t="str">
        <f t="shared" si="210"/>
        <v/>
      </c>
      <c r="R380" s="459" t="str">
        <f t="shared" si="211"/>
        <v/>
      </c>
      <c r="S380" s="459" t="str">
        <f t="shared" si="212"/>
        <v/>
      </c>
      <c r="T380" s="566" t="str">
        <f t="shared" si="220"/>
        <v/>
      </c>
      <c r="U380" s="702"/>
      <c r="V380" s="132"/>
      <c r="W380" s="133"/>
      <c r="X380" s="134"/>
      <c r="Y380" s="135"/>
      <c r="Z380" s="137"/>
      <c r="AA380" s="136"/>
      <c r="AB380" s="566" t="str">
        <f t="shared" si="213"/>
        <v/>
      </c>
      <c r="AC380" s="568" t="str">
        <f t="shared" si="221"/>
        <v/>
      </c>
      <c r="AD380" s="137"/>
      <c r="AE380" s="137"/>
      <c r="AF380" s="138"/>
      <c r="AG380" s="138"/>
      <c r="AH380" s="592" t="str">
        <f t="shared" si="214"/>
        <v/>
      </c>
      <c r="AI380" s="592" t="str">
        <f t="shared" si="215"/>
        <v/>
      </c>
      <c r="AJ380" s="592" t="str">
        <f t="shared" si="216"/>
        <v/>
      </c>
      <c r="AK380" s="460" t="str">
        <f>IF(AU380="","",IF(OR(AZ380=8,AZ380=9),0,IF(OR(AW380=3,AW380=4,AW380=5,AW380=6),IF(LEFT(BF380,1)="1",INDEX(係数_NOX・PM低減,MATCH(AY380,【参考】排出係数!$AI$801:$AI$804,1),1),VLOOKUP(AU380,INDEX((係数_バス貨物_ガソリン,係数_バス貨物_CNG,係数_バス貨物_軽油,係数_バス貨物_メタノール,係数_バス貨物_LPG),MATCH(AY380,【参考】排出係数!$AI$4:$AI$671,1),1,BE380):INDEX((係数_バス貨物_ガソリン,係数_バス貨物_CNG,係数_バス貨物_軽油,係数_バス貨物_メタノール,係数_バス貨物_LPG),MATCH(AY380+1,【参考】排出係数!$AI$4:$AI$671,1)-1,5,BE380),4,FALSE)),IF(AND(BE380=3,LEFT(BF380,1)="1"),0.48,VLOOKUP(AU380,INDEX((係数_乗用_ガソリン,係数_乗用_CNG,係数_乗用_軽油,係数_乗用_メタノール,係数_乗用_LPG),1,1,BE380):INDEX((係数_乗用_ガソリン,係数_乗用_CNG,係数_乗用_軽油,係数_乗用_メタノール,係数_乗用_LPG),125,5,BE380),4,FALSE)))))</f>
        <v/>
      </c>
      <c r="AL380" s="461" t="str">
        <f t="shared" ref="AL380:AL443" si="240">IF(AU380="","",IF(Z380&lt;=3.5*1000,AD380*AK380/1000,IF(Z380&gt;3.5*1000,AD380*Z380*AK380/1000/1000)))</f>
        <v/>
      </c>
      <c r="AM380" s="460" t="str">
        <f>IF(AU380="","",IF(OR(AZ380=8,AZ380=9),0,IF(OR(AW380=3,AW380=4,AW380=5,AW380=6),IF(LEFT(BH380,1)="1",INDEX(係数_PM低減,MATCH(AY380,【参考】排出係数!$AI$801:$AI$804,1),MATCH(BI380,【参考】排出係数!$AL$798:$AO$798,1)),VLOOKUP(AU380,INDEX((係数_バス貨物_ガソリン,係数_バス貨物_CNG,係数_バス貨物_軽油,係数_バス貨物_メタノール,係数_バス貨物_LPG),MATCH(AY380,【参考】排出係数!$AI$4:$AI$671,1),1,BE380):INDEX((係数_バス貨物_ガソリン,係数_バス貨物_CNG,係数_バス貨物_軽油,係数_バス貨物_メタノール,係数_バス貨物_LPG),MATCH(AY380+1,【参考】排出係数!$AI$4:$AI$671,1)-1,5,BE380),5,FALSE)),IF(AND(BE380=3,LEFT(BF380,1)="1"),0.055,VLOOKUP(AU380,INDEX((係数_乗用_ガソリン,係数_乗用_CNG,係数_乗用_軽油,係数_乗用_メタノール,係数_乗用_LPG),1,1,BE380):INDEX((係数_乗用_ガソリン,係数_乗用_CNG,係数_乗用_軽油,係数_乗用_メタノール,係数_乗用_LPG),125,5,BE380),5,FALSE)))))</f>
        <v/>
      </c>
      <c r="AN380" s="461" t="str">
        <f t="shared" ref="AN380:AN443" si="241">IF(AU380="","",IF(Z380&lt;=3.5*1000,AD380*AM380/1000,IF(Z380&gt;3.5*1000,AD380*Z380*AM380/1000/1000)))</f>
        <v/>
      </c>
      <c r="AO380" s="462" t="str">
        <f t="shared" ref="AO380:AO443" si="242">IF(AU380="","",IF(Z380&lt;500,"車両重量",IF(OR(AZ380=8,AZ380=9),0,IF(OR(AZ380=1,AZ380=2,AZ380=11),2.32,IF(OR(AZ380=4,AZ380=5,AZ380=11),2.58,IF(AZ380=3,3,IF(AZ380=6,2.23,IF(AZ380=7,1.37,0))))))))</f>
        <v/>
      </c>
      <c r="AP380" s="463" t="str">
        <f t="shared" ref="AP380:AP443" si="243">IF(AU380="","",AE380*AO380/1000)</f>
        <v/>
      </c>
      <c r="AQ380" s="464"/>
      <c r="AR380" s="619"/>
      <c r="AS380" s="465" t="str">
        <f t="shared" si="222"/>
        <v/>
      </c>
      <c r="AT380" s="465" t="str">
        <f t="shared" si="223"/>
        <v/>
      </c>
      <c r="AU380" s="466" t="str">
        <f t="shared" si="224"/>
        <v/>
      </c>
      <c r="AV380" s="467" t="str">
        <f t="shared" si="225"/>
        <v/>
      </c>
      <c r="AW380" s="467" t="str">
        <f t="shared" si="226"/>
        <v/>
      </c>
      <c r="AX380" s="467" t="str">
        <f t="shared" si="227"/>
        <v/>
      </c>
      <c r="AY380" s="467" t="str">
        <f t="shared" si="228"/>
        <v/>
      </c>
      <c r="AZ380" s="467" t="str">
        <f t="shared" si="229"/>
        <v/>
      </c>
      <c r="BA380" s="468" t="str">
        <f>IF(AS380="","",IF(OR(AU380="",AU380="-"),"－",IF(OR(AZ380=8,AZ380=9),"",IF(OR(AW380=3,AW380=4,AW380=5,AW380=6),VLOOKUP(AU380,INDEX((係数_バス貨物_ガソリン,係数_バス貨物_CNG,係数_バス貨物_軽油,係数_バス貨物_メタノール,係数_バス貨物_LPG),MATCH(AY380,【参考】排出係数!$AI$4:$AI$671,1),1,BE380):INDEX((係数_バス貨物_ガソリン,係数_バス貨物_CNG,係数_バス貨物_軽油,係数_バス貨物_メタノール,係数_バス貨物_LPG),MATCH(AY380+1,【参考】排出係数!$AI$4:$AI$671,1)-1,5,BE380),2,FALSE),IF(OR(AW380=1,AW380=2),VLOOKUP(AU380,INDEX((係数_乗用_ガソリン,係数_乗用_CNG,係数_乗用_軽油,係数_乗用_メタノール,係数_乗用_LPG),1,1,BE380):INDEX((係数_乗用_ガソリン,係数_乗用_CNG,係数_乗用_軽油,係数_乗用_メタノール,係数_乗用_LPG),125,5,BE380),2,FALSE))))))</f>
        <v/>
      </c>
      <c r="BB380" s="468" t="str">
        <f>IF(T380="","",IF(OR(AU380="",AU380="-"),"－",IF(OR(AZ380=8,AZ380=9),"",IF(OR(AW380=3,AW380=4,AW380=5,AW380=6),VLOOKUP(AU380,INDEX((係数_バス貨物_ガソリン,係数_バス貨物_CNG,係数_バス貨物_軽油,係数_バス貨物_メタノール,係数_バス貨物_LPG),MATCH(AY380,【参考】排出係数!$AI$4:$AI$671,1),1,BE380):INDEX((係数_バス貨物_ガソリン,係数_バス貨物_CNG,係数_バス貨物_軽油,係数_バス貨物_メタノール,係数_バス貨物_LPG),MATCH(AY380+1,【参考】排出係数!$AI$4:$AI$671,1)-1,5,BE380),3,FALSE),IF(OR(AW380=1,AW380=2),VLOOKUP(AU380,INDEX((係数_乗用_ガソリン,係数_乗用_CNG,係数_乗用_軽油,係数_乗用_メタノール,係数_乗用_LPG),1,1,BE380):INDEX((係数_乗用_ガソリン,係数_乗用_CNG,係数_乗用_軽油,係数_乗用_メタノール,係数_乗用_LPG),125,5,BE380),3,FALSE))))))</f>
        <v/>
      </c>
      <c r="BC380" s="467" t="str">
        <f t="shared" si="230"/>
        <v/>
      </c>
      <c r="BD380" s="567" t="str">
        <f t="shared" si="231"/>
        <v/>
      </c>
      <c r="BE380" s="467" t="str">
        <f t="shared" si="232"/>
        <v/>
      </c>
      <c r="BF380" s="469" t="str">
        <f t="shared" ca="1" si="233"/>
        <v/>
      </c>
      <c r="BG380" s="469" t="str">
        <f t="shared" ca="1" si="234"/>
        <v/>
      </c>
      <c r="BH380" s="467" t="str">
        <f t="shared" si="235"/>
        <v/>
      </c>
      <c r="BI380" s="467" t="str">
        <f t="shared" ca="1" si="236"/>
        <v/>
      </c>
      <c r="BJ380" s="469" t="str">
        <f t="shared" si="237"/>
        <v/>
      </c>
      <c r="BK380" s="470" t="str">
        <f t="shared" si="217"/>
        <v/>
      </c>
      <c r="BL380" s="775" t="str">
        <f t="shared" si="238"/>
        <v/>
      </c>
      <c r="BM380" s="775" t="str">
        <f t="shared" si="239"/>
        <v/>
      </c>
    </row>
    <row r="381" spans="1:65">
      <c r="A381" s="473">
        <v>325</v>
      </c>
      <c r="B381" s="132"/>
      <c r="C381" s="332"/>
      <c r="D381" s="333"/>
      <c r="E381" s="333"/>
      <c r="F381" s="334"/>
      <c r="G381" s="337"/>
      <c r="H381" s="131"/>
      <c r="I381" s="337"/>
      <c r="J381" s="131"/>
      <c r="K381" s="458" t="str">
        <f t="shared" si="206"/>
        <v/>
      </c>
      <c r="L381" s="458">
        <f t="shared" si="218"/>
        <v>0</v>
      </c>
      <c r="M381" s="458">
        <f t="shared" si="219"/>
        <v>0</v>
      </c>
      <c r="N381" s="459" t="str">
        <f t="shared" si="207"/>
        <v/>
      </c>
      <c r="O381" s="459" t="str">
        <f t="shared" si="208"/>
        <v/>
      </c>
      <c r="P381" s="459" t="str">
        <f t="shared" si="209"/>
        <v/>
      </c>
      <c r="Q381" s="459" t="str">
        <f t="shared" si="210"/>
        <v/>
      </c>
      <c r="R381" s="459" t="str">
        <f t="shared" si="211"/>
        <v/>
      </c>
      <c r="S381" s="459" t="str">
        <f t="shared" si="212"/>
        <v/>
      </c>
      <c r="T381" s="566" t="str">
        <f t="shared" si="220"/>
        <v/>
      </c>
      <c r="U381" s="702"/>
      <c r="V381" s="132"/>
      <c r="W381" s="133"/>
      <c r="X381" s="134"/>
      <c r="Y381" s="135"/>
      <c r="Z381" s="137"/>
      <c r="AA381" s="136"/>
      <c r="AB381" s="566" t="str">
        <f t="shared" si="213"/>
        <v/>
      </c>
      <c r="AC381" s="568" t="str">
        <f t="shared" si="221"/>
        <v/>
      </c>
      <c r="AD381" s="137"/>
      <c r="AE381" s="137"/>
      <c r="AF381" s="138"/>
      <c r="AG381" s="138"/>
      <c r="AH381" s="592" t="str">
        <f t="shared" si="214"/>
        <v/>
      </c>
      <c r="AI381" s="592" t="str">
        <f t="shared" si="215"/>
        <v/>
      </c>
      <c r="AJ381" s="592" t="str">
        <f t="shared" si="216"/>
        <v/>
      </c>
      <c r="AK381" s="460" t="str">
        <f>IF(AU381="","",IF(OR(AZ381=8,AZ381=9),0,IF(OR(AW381=3,AW381=4,AW381=5,AW381=6),IF(LEFT(BF381,1)="1",INDEX(係数_NOX・PM低減,MATCH(AY381,【参考】排出係数!$AI$801:$AI$804,1),1),VLOOKUP(AU381,INDEX((係数_バス貨物_ガソリン,係数_バス貨物_CNG,係数_バス貨物_軽油,係数_バス貨物_メタノール,係数_バス貨物_LPG),MATCH(AY381,【参考】排出係数!$AI$4:$AI$671,1),1,BE381):INDEX((係数_バス貨物_ガソリン,係数_バス貨物_CNG,係数_バス貨物_軽油,係数_バス貨物_メタノール,係数_バス貨物_LPG),MATCH(AY381+1,【参考】排出係数!$AI$4:$AI$671,1)-1,5,BE381),4,FALSE)),IF(AND(BE381=3,LEFT(BF381,1)="1"),0.48,VLOOKUP(AU381,INDEX((係数_乗用_ガソリン,係数_乗用_CNG,係数_乗用_軽油,係数_乗用_メタノール,係数_乗用_LPG),1,1,BE381):INDEX((係数_乗用_ガソリン,係数_乗用_CNG,係数_乗用_軽油,係数_乗用_メタノール,係数_乗用_LPG),125,5,BE381),4,FALSE)))))</f>
        <v/>
      </c>
      <c r="AL381" s="461" t="str">
        <f t="shared" si="240"/>
        <v/>
      </c>
      <c r="AM381" s="460" t="str">
        <f>IF(AU381="","",IF(OR(AZ381=8,AZ381=9),0,IF(OR(AW381=3,AW381=4,AW381=5,AW381=6),IF(LEFT(BH381,1)="1",INDEX(係数_PM低減,MATCH(AY381,【参考】排出係数!$AI$801:$AI$804,1),MATCH(BI381,【参考】排出係数!$AL$798:$AO$798,1)),VLOOKUP(AU381,INDEX((係数_バス貨物_ガソリン,係数_バス貨物_CNG,係数_バス貨物_軽油,係数_バス貨物_メタノール,係数_バス貨物_LPG),MATCH(AY381,【参考】排出係数!$AI$4:$AI$671,1),1,BE381):INDEX((係数_バス貨物_ガソリン,係数_バス貨物_CNG,係数_バス貨物_軽油,係数_バス貨物_メタノール,係数_バス貨物_LPG),MATCH(AY381+1,【参考】排出係数!$AI$4:$AI$671,1)-1,5,BE381),5,FALSE)),IF(AND(BE381=3,LEFT(BF381,1)="1"),0.055,VLOOKUP(AU381,INDEX((係数_乗用_ガソリン,係数_乗用_CNG,係数_乗用_軽油,係数_乗用_メタノール,係数_乗用_LPG),1,1,BE381):INDEX((係数_乗用_ガソリン,係数_乗用_CNG,係数_乗用_軽油,係数_乗用_メタノール,係数_乗用_LPG),125,5,BE381),5,FALSE)))))</f>
        <v/>
      </c>
      <c r="AN381" s="461" t="str">
        <f t="shared" si="241"/>
        <v/>
      </c>
      <c r="AO381" s="462" t="str">
        <f t="shared" si="242"/>
        <v/>
      </c>
      <c r="AP381" s="463" t="str">
        <f t="shared" si="243"/>
        <v/>
      </c>
      <c r="AQ381" s="464"/>
      <c r="AR381" s="619"/>
      <c r="AS381" s="465" t="str">
        <f t="shared" si="222"/>
        <v/>
      </c>
      <c r="AT381" s="465" t="str">
        <f t="shared" si="223"/>
        <v/>
      </c>
      <c r="AU381" s="466" t="str">
        <f t="shared" si="224"/>
        <v/>
      </c>
      <c r="AV381" s="467" t="str">
        <f t="shared" si="225"/>
        <v/>
      </c>
      <c r="AW381" s="467" t="str">
        <f t="shared" si="226"/>
        <v/>
      </c>
      <c r="AX381" s="467" t="str">
        <f t="shared" si="227"/>
        <v/>
      </c>
      <c r="AY381" s="467" t="str">
        <f t="shared" si="228"/>
        <v/>
      </c>
      <c r="AZ381" s="467" t="str">
        <f t="shared" si="229"/>
        <v/>
      </c>
      <c r="BA381" s="468" t="str">
        <f>IF(AS381="","",IF(OR(AU381="",AU381="-"),"－",IF(OR(AZ381=8,AZ381=9),"",IF(OR(AW381=3,AW381=4,AW381=5,AW381=6),VLOOKUP(AU381,INDEX((係数_バス貨物_ガソリン,係数_バス貨物_CNG,係数_バス貨物_軽油,係数_バス貨物_メタノール,係数_バス貨物_LPG),MATCH(AY381,【参考】排出係数!$AI$4:$AI$671,1),1,BE381):INDEX((係数_バス貨物_ガソリン,係数_バス貨物_CNG,係数_バス貨物_軽油,係数_バス貨物_メタノール,係数_バス貨物_LPG),MATCH(AY381+1,【参考】排出係数!$AI$4:$AI$671,1)-1,5,BE381),2,FALSE),IF(OR(AW381=1,AW381=2),VLOOKUP(AU381,INDEX((係数_乗用_ガソリン,係数_乗用_CNG,係数_乗用_軽油,係数_乗用_メタノール,係数_乗用_LPG),1,1,BE381):INDEX((係数_乗用_ガソリン,係数_乗用_CNG,係数_乗用_軽油,係数_乗用_メタノール,係数_乗用_LPG),125,5,BE381),2,FALSE))))))</f>
        <v/>
      </c>
      <c r="BB381" s="468" t="str">
        <f>IF(T381="","",IF(OR(AU381="",AU381="-"),"－",IF(OR(AZ381=8,AZ381=9),"",IF(OR(AW381=3,AW381=4,AW381=5,AW381=6),VLOOKUP(AU381,INDEX((係数_バス貨物_ガソリン,係数_バス貨物_CNG,係数_バス貨物_軽油,係数_バス貨物_メタノール,係数_バス貨物_LPG),MATCH(AY381,【参考】排出係数!$AI$4:$AI$671,1),1,BE381):INDEX((係数_バス貨物_ガソリン,係数_バス貨物_CNG,係数_バス貨物_軽油,係数_バス貨物_メタノール,係数_バス貨物_LPG),MATCH(AY381+1,【参考】排出係数!$AI$4:$AI$671,1)-1,5,BE381),3,FALSE),IF(OR(AW381=1,AW381=2),VLOOKUP(AU381,INDEX((係数_乗用_ガソリン,係数_乗用_CNG,係数_乗用_軽油,係数_乗用_メタノール,係数_乗用_LPG),1,1,BE381):INDEX((係数_乗用_ガソリン,係数_乗用_CNG,係数_乗用_軽油,係数_乗用_メタノール,係数_乗用_LPG),125,5,BE381),3,FALSE))))))</f>
        <v/>
      </c>
      <c r="BC381" s="467" t="str">
        <f t="shared" si="230"/>
        <v/>
      </c>
      <c r="BD381" s="567" t="str">
        <f t="shared" si="231"/>
        <v/>
      </c>
      <c r="BE381" s="467" t="str">
        <f t="shared" si="232"/>
        <v/>
      </c>
      <c r="BF381" s="469" t="str">
        <f t="shared" ca="1" si="233"/>
        <v/>
      </c>
      <c r="BG381" s="469" t="str">
        <f t="shared" ca="1" si="234"/>
        <v/>
      </c>
      <c r="BH381" s="467" t="str">
        <f t="shared" si="235"/>
        <v/>
      </c>
      <c r="BI381" s="467" t="str">
        <f t="shared" ca="1" si="236"/>
        <v/>
      </c>
      <c r="BJ381" s="469" t="str">
        <f t="shared" si="237"/>
        <v/>
      </c>
      <c r="BK381" s="470" t="str">
        <f t="shared" si="217"/>
        <v/>
      </c>
      <c r="BL381" s="775" t="str">
        <f t="shared" si="238"/>
        <v/>
      </c>
      <c r="BM381" s="775" t="str">
        <f t="shared" si="239"/>
        <v/>
      </c>
    </row>
    <row r="382" spans="1:65">
      <c r="A382" s="473">
        <v>326</v>
      </c>
      <c r="B382" s="132"/>
      <c r="C382" s="332"/>
      <c r="D382" s="333"/>
      <c r="E382" s="333"/>
      <c r="F382" s="334"/>
      <c r="G382" s="337"/>
      <c r="H382" s="131"/>
      <c r="I382" s="337"/>
      <c r="J382" s="131"/>
      <c r="K382" s="458" t="str">
        <f t="shared" si="206"/>
        <v/>
      </c>
      <c r="L382" s="458">
        <f t="shared" si="218"/>
        <v>0</v>
      </c>
      <c r="M382" s="458">
        <f t="shared" si="219"/>
        <v>0</v>
      </c>
      <c r="N382" s="459" t="str">
        <f t="shared" si="207"/>
        <v/>
      </c>
      <c r="O382" s="459" t="str">
        <f t="shared" si="208"/>
        <v/>
      </c>
      <c r="P382" s="459" t="str">
        <f t="shared" si="209"/>
        <v/>
      </c>
      <c r="Q382" s="459" t="str">
        <f t="shared" si="210"/>
        <v/>
      </c>
      <c r="R382" s="459" t="str">
        <f t="shared" si="211"/>
        <v/>
      </c>
      <c r="S382" s="459" t="str">
        <f t="shared" si="212"/>
        <v/>
      </c>
      <c r="T382" s="566" t="str">
        <f t="shared" si="220"/>
        <v/>
      </c>
      <c r="U382" s="702"/>
      <c r="V382" s="132"/>
      <c r="W382" s="133"/>
      <c r="X382" s="134"/>
      <c r="Y382" s="135"/>
      <c r="Z382" s="137"/>
      <c r="AA382" s="136"/>
      <c r="AB382" s="566" t="str">
        <f t="shared" si="213"/>
        <v/>
      </c>
      <c r="AC382" s="568" t="str">
        <f t="shared" si="221"/>
        <v/>
      </c>
      <c r="AD382" s="137"/>
      <c r="AE382" s="137"/>
      <c r="AF382" s="138"/>
      <c r="AG382" s="138"/>
      <c r="AH382" s="592" t="str">
        <f t="shared" si="214"/>
        <v/>
      </c>
      <c r="AI382" s="592" t="str">
        <f t="shared" si="215"/>
        <v/>
      </c>
      <c r="AJ382" s="592" t="str">
        <f t="shared" si="216"/>
        <v/>
      </c>
      <c r="AK382" s="460" t="str">
        <f>IF(AU382="","",IF(OR(AZ382=8,AZ382=9),0,IF(OR(AW382=3,AW382=4,AW382=5,AW382=6),IF(LEFT(BF382,1)="1",INDEX(係数_NOX・PM低減,MATCH(AY382,【参考】排出係数!$AI$801:$AI$804,1),1),VLOOKUP(AU382,INDEX((係数_バス貨物_ガソリン,係数_バス貨物_CNG,係数_バス貨物_軽油,係数_バス貨物_メタノール,係数_バス貨物_LPG),MATCH(AY382,【参考】排出係数!$AI$4:$AI$671,1),1,BE382):INDEX((係数_バス貨物_ガソリン,係数_バス貨物_CNG,係数_バス貨物_軽油,係数_バス貨物_メタノール,係数_バス貨物_LPG),MATCH(AY382+1,【参考】排出係数!$AI$4:$AI$671,1)-1,5,BE382),4,FALSE)),IF(AND(BE382=3,LEFT(BF382,1)="1"),0.48,VLOOKUP(AU382,INDEX((係数_乗用_ガソリン,係数_乗用_CNG,係数_乗用_軽油,係数_乗用_メタノール,係数_乗用_LPG),1,1,BE382):INDEX((係数_乗用_ガソリン,係数_乗用_CNG,係数_乗用_軽油,係数_乗用_メタノール,係数_乗用_LPG),125,5,BE382),4,FALSE)))))</f>
        <v/>
      </c>
      <c r="AL382" s="461" t="str">
        <f t="shared" si="240"/>
        <v/>
      </c>
      <c r="AM382" s="460" t="str">
        <f>IF(AU382="","",IF(OR(AZ382=8,AZ382=9),0,IF(OR(AW382=3,AW382=4,AW382=5,AW382=6),IF(LEFT(BH382,1)="1",INDEX(係数_PM低減,MATCH(AY382,【参考】排出係数!$AI$801:$AI$804,1),MATCH(BI382,【参考】排出係数!$AL$798:$AO$798,1)),VLOOKUP(AU382,INDEX((係数_バス貨物_ガソリン,係数_バス貨物_CNG,係数_バス貨物_軽油,係数_バス貨物_メタノール,係数_バス貨物_LPG),MATCH(AY382,【参考】排出係数!$AI$4:$AI$671,1),1,BE382):INDEX((係数_バス貨物_ガソリン,係数_バス貨物_CNG,係数_バス貨物_軽油,係数_バス貨物_メタノール,係数_バス貨物_LPG),MATCH(AY382+1,【参考】排出係数!$AI$4:$AI$671,1)-1,5,BE382),5,FALSE)),IF(AND(BE382=3,LEFT(BF382,1)="1"),0.055,VLOOKUP(AU382,INDEX((係数_乗用_ガソリン,係数_乗用_CNG,係数_乗用_軽油,係数_乗用_メタノール,係数_乗用_LPG),1,1,BE382):INDEX((係数_乗用_ガソリン,係数_乗用_CNG,係数_乗用_軽油,係数_乗用_メタノール,係数_乗用_LPG),125,5,BE382),5,FALSE)))))</f>
        <v/>
      </c>
      <c r="AN382" s="461" t="str">
        <f t="shared" si="241"/>
        <v/>
      </c>
      <c r="AO382" s="462" t="str">
        <f t="shared" si="242"/>
        <v/>
      </c>
      <c r="AP382" s="463" t="str">
        <f t="shared" si="243"/>
        <v/>
      </c>
      <c r="AQ382" s="464"/>
      <c r="AR382" s="619"/>
      <c r="AS382" s="465" t="str">
        <f t="shared" si="222"/>
        <v/>
      </c>
      <c r="AT382" s="465" t="str">
        <f t="shared" si="223"/>
        <v/>
      </c>
      <c r="AU382" s="466" t="str">
        <f t="shared" si="224"/>
        <v/>
      </c>
      <c r="AV382" s="467" t="str">
        <f t="shared" si="225"/>
        <v/>
      </c>
      <c r="AW382" s="467" t="str">
        <f t="shared" si="226"/>
        <v/>
      </c>
      <c r="AX382" s="467" t="str">
        <f t="shared" si="227"/>
        <v/>
      </c>
      <c r="AY382" s="467" t="str">
        <f t="shared" si="228"/>
        <v/>
      </c>
      <c r="AZ382" s="467" t="str">
        <f t="shared" si="229"/>
        <v/>
      </c>
      <c r="BA382" s="468" t="str">
        <f>IF(AS382="","",IF(OR(AU382="",AU382="-"),"－",IF(OR(AZ382=8,AZ382=9),"",IF(OR(AW382=3,AW382=4,AW382=5,AW382=6),VLOOKUP(AU382,INDEX((係数_バス貨物_ガソリン,係数_バス貨物_CNG,係数_バス貨物_軽油,係数_バス貨物_メタノール,係数_バス貨物_LPG),MATCH(AY382,【参考】排出係数!$AI$4:$AI$671,1),1,BE382):INDEX((係数_バス貨物_ガソリン,係数_バス貨物_CNG,係数_バス貨物_軽油,係数_バス貨物_メタノール,係数_バス貨物_LPG),MATCH(AY382+1,【参考】排出係数!$AI$4:$AI$671,1)-1,5,BE382),2,FALSE),IF(OR(AW382=1,AW382=2),VLOOKUP(AU382,INDEX((係数_乗用_ガソリン,係数_乗用_CNG,係数_乗用_軽油,係数_乗用_メタノール,係数_乗用_LPG),1,1,BE382):INDEX((係数_乗用_ガソリン,係数_乗用_CNG,係数_乗用_軽油,係数_乗用_メタノール,係数_乗用_LPG),125,5,BE382),2,FALSE))))))</f>
        <v/>
      </c>
      <c r="BB382" s="468" t="str">
        <f>IF(T382="","",IF(OR(AU382="",AU382="-"),"－",IF(OR(AZ382=8,AZ382=9),"",IF(OR(AW382=3,AW382=4,AW382=5,AW382=6),VLOOKUP(AU382,INDEX((係数_バス貨物_ガソリン,係数_バス貨物_CNG,係数_バス貨物_軽油,係数_バス貨物_メタノール,係数_バス貨物_LPG),MATCH(AY382,【参考】排出係数!$AI$4:$AI$671,1),1,BE382):INDEX((係数_バス貨物_ガソリン,係数_バス貨物_CNG,係数_バス貨物_軽油,係数_バス貨物_メタノール,係数_バス貨物_LPG),MATCH(AY382+1,【参考】排出係数!$AI$4:$AI$671,1)-1,5,BE382),3,FALSE),IF(OR(AW382=1,AW382=2),VLOOKUP(AU382,INDEX((係数_乗用_ガソリン,係数_乗用_CNG,係数_乗用_軽油,係数_乗用_メタノール,係数_乗用_LPG),1,1,BE382):INDEX((係数_乗用_ガソリン,係数_乗用_CNG,係数_乗用_軽油,係数_乗用_メタノール,係数_乗用_LPG),125,5,BE382),3,FALSE))))))</f>
        <v/>
      </c>
      <c r="BC382" s="467" t="str">
        <f t="shared" si="230"/>
        <v/>
      </c>
      <c r="BD382" s="567" t="str">
        <f t="shared" si="231"/>
        <v/>
      </c>
      <c r="BE382" s="467" t="str">
        <f t="shared" si="232"/>
        <v/>
      </c>
      <c r="BF382" s="469" t="str">
        <f t="shared" ca="1" si="233"/>
        <v/>
      </c>
      <c r="BG382" s="469" t="str">
        <f t="shared" ca="1" si="234"/>
        <v/>
      </c>
      <c r="BH382" s="467" t="str">
        <f t="shared" si="235"/>
        <v/>
      </c>
      <c r="BI382" s="467" t="str">
        <f t="shared" ca="1" si="236"/>
        <v/>
      </c>
      <c r="BJ382" s="469" t="str">
        <f t="shared" si="237"/>
        <v/>
      </c>
      <c r="BK382" s="470" t="str">
        <f t="shared" si="217"/>
        <v/>
      </c>
      <c r="BL382" s="775" t="str">
        <f t="shared" si="238"/>
        <v/>
      </c>
      <c r="BM382" s="775" t="str">
        <f t="shared" si="239"/>
        <v/>
      </c>
    </row>
    <row r="383" spans="1:65">
      <c r="A383" s="473">
        <v>327</v>
      </c>
      <c r="B383" s="132"/>
      <c r="C383" s="332"/>
      <c r="D383" s="333"/>
      <c r="E383" s="333"/>
      <c r="F383" s="334"/>
      <c r="G383" s="337"/>
      <c r="H383" s="131"/>
      <c r="I383" s="337"/>
      <c r="J383" s="131"/>
      <c r="K383" s="458" t="str">
        <f t="shared" si="206"/>
        <v/>
      </c>
      <c r="L383" s="458">
        <f t="shared" si="218"/>
        <v>0</v>
      </c>
      <c r="M383" s="458">
        <f t="shared" si="219"/>
        <v>0</v>
      </c>
      <c r="N383" s="459" t="str">
        <f t="shared" si="207"/>
        <v/>
      </c>
      <c r="O383" s="459" t="str">
        <f t="shared" si="208"/>
        <v/>
      </c>
      <c r="P383" s="459" t="str">
        <f t="shared" si="209"/>
        <v/>
      </c>
      <c r="Q383" s="459" t="str">
        <f t="shared" si="210"/>
        <v/>
      </c>
      <c r="R383" s="459" t="str">
        <f t="shared" si="211"/>
        <v/>
      </c>
      <c r="S383" s="459" t="str">
        <f t="shared" si="212"/>
        <v/>
      </c>
      <c r="T383" s="566" t="str">
        <f t="shared" si="220"/>
        <v/>
      </c>
      <c r="U383" s="702"/>
      <c r="V383" s="132"/>
      <c r="W383" s="133"/>
      <c r="X383" s="134"/>
      <c r="Y383" s="135"/>
      <c r="Z383" s="137"/>
      <c r="AA383" s="136"/>
      <c r="AB383" s="566" t="str">
        <f t="shared" si="213"/>
        <v/>
      </c>
      <c r="AC383" s="568" t="str">
        <f t="shared" si="221"/>
        <v/>
      </c>
      <c r="AD383" s="137"/>
      <c r="AE383" s="137"/>
      <c r="AF383" s="138"/>
      <c r="AG383" s="138"/>
      <c r="AH383" s="592" t="str">
        <f t="shared" si="214"/>
        <v/>
      </c>
      <c r="AI383" s="592" t="str">
        <f t="shared" si="215"/>
        <v/>
      </c>
      <c r="AJ383" s="592" t="str">
        <f t="shared" si="216"/>
        <v/>
      </c>
      <c r="AK383" s="460" t="str">
        <f>IF(AU383="","",IF(OR(AZ383=8,AZ383=9),0,IF(OR(AW383=3,AW383=4,AW383=5,AW383=6),IF(LEFT(BF383,1)="1",INDEX(係数_NOX・PM低減,MATCH(AY383,【参考】排出係数!$AI$801:$AI$804,1),1),VLOOKUP(AU383,INDEX((係数_バス貨物_ガソリン,係数_バス貨物_CNG,係数_バス貨物_軽油,係数_バス貨物_メタノール,係数_バス貨物_LPG),MATCH(AY383,【参考】排出係数!$AI$4:$AI$671,1),1,BE383):INDEX((係数_バス貨物_ガソリン,係数_バス貨物_CNG,係数_バス貨物_軽油,係数_バス貨物_メタノール,係数_バス貨物_LPG),MATCH(AY383+1,【参考】排出係数!$AI$4:$AI$671,1)-1,5,BE383),4,FALSE)),IF(AND(BE383=3,LEFT(BF383,1)="1"),0.48,VLOOKUP(AU383,INDEX((係数_乗用_ガソリン,係数_乗用_CNG,係数_乗用_軽油,係数_乗用_メタノール,係数_乗用_LPG),1,1,BE383):INDEX((係数_乗用_ガソリン,係数_乗用_CNG,係数_乗用_軽油,係数_乗用_メタノール,係数_乗用_LPG),125,5,BE383),4,FALSE)))))</f>
        <v/>
      </c>
      <c r="AL383" s="461" t="str">
        <f t="shared" si="240"/>
        <v/>
      </c>
      <c r="AM383" s="460" t="str">
        <f>IF(AU383="","",IF(OR(AZ383=8,AZ383=9),0,IF(OR(AW383=3,AW383=4,AW383=5,AW383=6),IF(LEFT(BH383,1)="1",INDEX(係数_PM低減,MATCH(AY383,【参考】排出係数!$AI$801:$AI$804,1),MATCH(BI383,【参考】排出係数!$AL$798:$AO$798,1)),VLOOKUP(AU383,INDEX((係数_バス貨物_ガソリン,係数_バス貨物_CNG,係数_バス貨物_軽油,係数_バス貨物_メタノール,係数_バス貨物_LPG),MATCH(AY383,【参考】排出係数!$AI$4:$AI$671,1),1,BE383):INDEX((係数_バス貨物_ガソリン,係数_バス貨物_CNG,係数_バス貨物_軽油,係数_バス貨物_メタノール,係数_バス貨物_LPG),MATCH(AY383+1,【参考】排出係数!$AI$4:$AI$671,1)-1,5,BE383),5,FALSE)),IF(AND(BE383=3,LEFT(BF383,1)="1"),0.055,VLOOKUP(AU383,INDEX((係数_乗用_ガソリン,係数_乗用_CNG,係数_乗用_軽油,係数_乗用_メタノール,係数_乗用_LPG),1,1,BE383):INDEX((係数_乗用_ガソリン,係数_乗用_CNG,係数_乗用_軽油,係数_乗用_メタノール,係数_乗用_LPG),125,5,BE383),5,FALSE)))))</f>
        <v/>
      </c>
      <c r="AN383" s="461" t="str">
        <f t="shared" si="241"/>
        <v/>
      </c>
      <c r="AO383" s="462" t="str">
        <f t="shared" si="242"/>
        <v/>
      </c>
      <c r="AP383" s="463" t="str">
        <f t="shared" si="243"/>
        <v/>
      </c>
      <c r="AQ383" s="464"/>
      <c r="AR383" s="619"/>
      <c r="AS383" s="465" t="str">
        <f t="shared" si="222"/>
        <v/>
      </c>
      <c r="AT383" s="465" t="str">
        <f t="shared" si="223"/>
        <v/>
      </c>
      <c r="AU383" s="466" t="str">
        <f t="shared" si="224"/>
        <v/>
      </c>
      <c r="AV383" s="467" t="str">
        <f t="shared" si="225"/>
        <v/>
      </c>
      <c r="AW383" s="467" t="str">
        <f t="shared" si="226"/>
        <v/>
      </c>
      <c r="AX383" s="467" t="str">
        <f t="shared" si="227"/>
        <v/>
      </c>
      <c r="AY383" s="467" t="str">
        <f t="shared" si="228"/>
        <v/>
      </c>
      <c r="AZ383" s="467" t="str">
        <f t="shared" si="229"/>
        <v/>
      </c>
      <c r="BA383" s="468" t="str">
        <f>IF(AS383="","",IF(OR(AU383="",AU383="-"),"－",IF(OR(AZ383=8,AZ383=9),"",IF(OR(AW383=3,AW383=4,AW383=5,AW383=6),VLOOKUP(AU383,INDEX((係数_バス貨物_ガソリン,係数_バス貨物_CNG,係数_バス貨物_軽油,係数_バス貨物_メタノール,係数_バス貨物_LPG),MATCH(AY383,【参考】排出係数!$AI$4:$AI$671,1),1,BE383):INDEX((係数_バス貨物_ガソリン,係数_バス貨物_CNG,係数_バス貨物_軽油,係数_バス貨物_メタノール,係数_バス貨物_LPG),MATCH(AY383+1,【参考】排出係数!$AI$4:$AI$671,1)-1,5,BE383),2,FALSE),IF(OR(AW383=1,AW383=2),VLOOKUP(AU383,INDEX((係数_乗用_ガソリン,係数_乗用_CNG,係数_乗用_軽油,係数_乗用_メタノール,係数_乗用_LPG),1,1,BE383):INDEX((係数_乗用_ガソリン,係数_乗用_CNG,係数_乗用_軽油,係数_乗用_メタノール,係数_乗用_LPG),125,5,BE383),2,FALSE))))))</f>
        <v/>
      </c>
      <c r="BB383" s="468" t="str">
        <f>IF(T383="","",IF(OR(AU383="",AU383="-"),"－",IF(OR(AZ383=8,AZ383=9),"",IF(OR(AW383=3,AW383=4,AW383=5,AW383=6),VLOOKUP(AU383,INDEX((係数_バス貨物_ガソリン,係数_バス貨物_CNG,係数_バス貨物_軽油,係数_バス貨物_メタノール,係数_バス貨物_LPG),MATCH(AY383,【参考】排出係数!$AI$4:$AI$671,1),1,BE383):INDEX((係数_バス貨物_ガソリン,係数_バス貨物_CNG,係数_バス貨物_軽油,係数_バス貨物_メタノール,係数_バス貨物_LPG),MATCH(AY383+1,【参考】排出係数!$AI$4:$AI$671,1)-1,5,BE383),3,FALSE),IF(OR(AW383=1,AW383=2),VLOOKUP(AU383,INDEX((係数_乗用_ガソリン,係数_乗用_CNG,係数_乗用_軽油,係数_乗用_メタノール,係数_乗用_LPG),1,1,BE383):INDEX((係数_乗用_ガソリン,係数_乗用_CNG,係数_乗用_軽油,係数_乗用_メタノール,係数_乗用_LPG),125,5,BE383),3,FALSE))))))</f>
        <v/>
      </c>
      <c r="BC383" s="467" t="str">
        <f t="shared" si="230"/>
        <v/>
      </c>
      <c r="BD383" s="567" t="str">
        <f t="shared" si="231"/>
        <v/>
      </c>
      <c r="BE383" s="467" t="str">
        <f t="shared" si="232"/>
        <v/>
      </c>
      <c r="BF383" s="469" t="str">
        <f t="shared" ca="1" si="233"/>
        <v/>
      </c>
      <c r="BG383" s="469" t="str">
        <f t="shared" ca="1" si="234"/>
        <v/>
      </c>
      <c r="BH383" s="467" t="str">
        <f t="shared" si="235"/>
        <v/>
      </c>
      <c r="BI383" s="467" t="str">
        <f t="shared" ca="1" si="236"/>
        <v/>
      </c>
      <c r="BJ383" s="469" t="str">
        <f t="shared" si="237"/>
        <v/>
      </c>
      <c r="BK383" s="470" t="str">
        <f t="shared" si="217"/>
        <v/>
      </c>
      <c r="BL383" s="775" t="str">
        <f t="shared" si="238"/>
        <v/>
      </c>
      <c r="BM383" s="775" t="str">
        <f t="shared" si="239"/>
        <v/>
      </c>
    </row>
    <row r="384" spans="1:65">
      <c r="A384" s="473">
        <v>328</v>
      </c>
      <c r="B384" s="132"/>
      <c r="C384" s="332"/>
      <c r="D384" s="333"/>
      <c r="E384" s="333"/>
      <c r="F384" s="334"/>
      <c r="G384" s="337"/>
      <c r="H384" s="131"/>
      <c r="I384" s="337"/>
      <c r="J384" s="131"/>
      <c r="K384" s="458" t="str">
        <f t="shared" si="206"/>
        <v/>
      </c>
      <c r="L384" s="458">
        <f t="shared" si="218"/>
        <v>0</v>
      </c>
      <c r="M384" s="458">
        <f t="shared" si="219"/>
        <v>0</v>
      </c>
      <c r="N384" s="459" t="str">
        <f t="shared" si="207"/>
        <v/>
      </c>
      <c r="O384" s="459" t="str">
        <f t="shared" si="208"/>
        <v/>
      </c>
      <c r="P384" s="459" t="str">
        <f t="shared" si="209"/>
        <v/>
      </c>
      <c r="Q384" s="459" t="str">
        <f t="shared" si="210"/>
        <v/>
      </c>
      <c r="R384" s="459" t="str">
        <f t="shared" si="211"/>
        <v/>
      </c>
      <c r="S384" s="459" t="str">
        <f t="shared" si="212"/>
        <v/>
      </c>
      <c r="T384" s="566" t="str">
        <f t="shared" si="220"/>
        <v/>
      </c>
      <c r="U384" s="702"/>
      <c r="V384" s="132"/>
      <c r="W384" s="133"/>
      <c r="X384" s="134"/>
      <c r="Y384" s="135"/>
      <c r="Z384" s="137"/>
      <c r="AA384" s="136"/>
      <c r="AB384" s="566" t="str">
        <f t="shared" si="213"/>
        <v/>
      </c>
      <c r="AC384" s="568" t="str">
        <f t="shared" si="221"/>
        <v/>
      </c>
      <c r="AD384" s="137"/>
      <c r="AE384" s="137"/>
      <c r="AF384" s="138"/>
      <c r="AG384" s="138"/>
      <c r="AH384" s="592" t="str">
        <f t="shared" si="214"/>
        <v/>
      </c>
      <c r="AI384" s="592" t="str">
        <f t="shared" si="215"/>
        <v/>
      </c>
      <c r="AJ384" s="592" t="str">
        <f t="shared" si="216"/>
        <v/>
      </c>
      <c r="AK384" s="460" t="str">
        <f>IF(AU384="","",IF(OR(AZ384=8,AZ384=9),0,IF(OR(AW384=3,AW384=4,AW384=5,AW384=6),IF(LEFT(BF384,1)="1",INDEX(係数_NOX・PM低減,MATCH(AY384,【参考】排出係数!$AI$801:$AI$804,1),1),VLOOKUP(AU384,INDEX((係数_バス貨物_ガソリン,係数_バス貨物_CNG,係数_バス貨物_軽油,係数_バス貨物_メタノール,係数_バス貨物_LPG),MATCH(AY384,【参考】排出係数!$AI$4:$AI$671,1),1,BE384):INDEX((係数_バス貨物_ガソリン,係数_バス貨物_CNG,係数_バス貨物_軽油,係数_バス貨物_メタノール,係数_バス貨物_LPG),MATCH(AY384+1,【参考】排出係数!$AI$4:$AI$671,1)-1,5,BE384),4,FALSE)),IF(AND(BE384=3,LEFT(BF384,1)="1"),0.48,VLOOKUP(AU384,INDEX((係数_乗用_ガソリン,係数_乗用_CNG,係数_乗用_軽油,係数_乗用_メタノール,係数_乗用_LPG),1,1,BE384):INDEX((係数_乗用_ガソリン,係数_乗用_CNG,係数_乗用_軽油,係数_乗用_メタノール,係数_乗用_LPG),125,5,BE384),4,FALSE)))))</f>
        <v/>
      </c>
      <c r="AL384" s="461" t="str">
        <f t="shared" si="240"/>
        <v/>
      </c>
      <c r="AM384" s="460" t="str">
        <f>IF(AU384="","",IF(OR(AZ384=8,AZ384=9),0,IF(OR(AW384=3,AW384=4,AW384=5,AW384=6),IF(LEFT(BH384,1)="1",INDEX(係数_PM低減,MATCH(AY384,【参考】排出係数!$AI$801:$AI$804,1),MATCH(BI384,【参考】排出係数!$AL$798:$AO$798,1)),VLOOKUP(AU384,INDEX((係数_バス貨物_ガソリン,係数_バス貨物_CNG,係数_バス貨物_軽油,係数_バス貨物_メタノール,係数_バス貨物_LPG),MATCH(AY384,【参考】排出係数!$AI$4:$AI$671,1),1,BE384):INDEX((係数_バス貨物_ガソリン,係数_バス貨物_CNG,係数_バス貨物_軽油,係数_バス貨物_メタノール,係数_バス貨物_LPG),MATCH(AY384+1,【参考】排出係数!$AI$4:$AI$671,1)-1,5,BE384),5,FALSE)),IF(AND(BE384=3,LEFT(BF384,1)="1"),0.055,VLOOKUP(AU384,INDEX((係数_乗用_ガソリン,係数_乗用_CNG,係数_乗用_軽油,係数_乗用_メタノール,係数_乗用_LPG),1,1,BE384):INDEX((係数_乗用_ガソリン,係数_乗用_CNG,係数_乗用_軽油,係数_乗用_メタノール,係数_乗用_LPG),125,5,BE384),5,FALSE)))))</f>
        <v/>
      </c>
      <c r="AN384" s="461" t="str">
        <f t="shared" si="241"/>
        <v/>
      </c>
      <c r="AO384" s="462" t="str">
        <f t="shared" si="242"/>
        <v/>
      </c>
      <c r="AP384" s="463" t="str">
        <f t="shared" si="243"/>
        <v/>
      </c>
      <c r="AQ384" s="464"/>
      <c r="AR384" s="619"/>
      <c r="AS384" s="465" t="str">
        <f t="shared" si="222"/>
        <v/>
      </c>
      <c r="AT384" s="465" t="str">
        <f t="shared" si="223"/>
        <v/>
      </c>
      <c r="AU384" s="466" t="str">
        <f t="shared" si="224"/>
        <v/>
      </c>
      <c r="AV384" s="467" t="str">
        <f t="shared" si="225"/>
        <v/>
      </c>
      <c r="AW384" s="467" t="str">
        <f t="shared" si="226"/>
        <v/>
      </c>
      <c r="AX384" s="467" t="str">
        <f t="shared" si="227"/>
        <v/>
      </c>
      <c r="AY384" s="467" t="str">
        <f t="shared" si="228"/>
        <v/>
      </c>
      <c r="AZ384" s="467" t="str">
        <f t="shared" si="229"/>
        <v/>
      </c>
      <c r="BA384" s="468" t="str">
        <f>IF(AS384="","",IF(OR(AU384="",AU384="-"),"－",IF(OR(AZ384=8,AZ384=9),"",IF(OR(AW384=3,AW384=4,AW384=5,AW384=6),VLOOKUP(AU384,INDEX((係数_バス貨物_ガソリン,係数_バス貨物_CNG,係数_バス貨物_軽油,係数_バス貨物_メタノール,係数_バス貨物_LPG),MATCH(AY384,【参考】排出係数!$AI$4:$AI$671,1),1,BE384):INDEX((係数_バス貨物_ガソリン,係数_バス貨物_CNG,係数_バス貨物_軽油,係数_バス貨物_メタノール,係数_バス貨物_LPG),MATCH(AY384+1,【参考】排出係数!$AI$4:$AI$671,1)-1,5,BE384),2,FALSE),IF(OR(AW384=1,AW384=2),VLOOKUP(AU384,INDEX((係数_乗用_ガソリン,係数_乗用_CNG,係数_乗用_軽油,係数_乗用_メタノール,係数_乗用_LPG),1,1,BE384):INDEX((係数_乗用_ガソリン,係数_乗用_CNG,係数_乗用_軽油,係数_乗用_メタノール,係数_乗用_LPG),125,5,BE384),2,FALSE))))))</f>
        <v/>
      </c>
      <c r="BB384" s="468" t="str">
        <f>IF(T384="","",IF(OR(AU384="",AU384="-"),"－",IF(OR(AZ384=8,AZ384=9),"",IF(OR(AW384=3,AW384=4,AW384=5,AW384=6),VLOOKUP(AU384,INDEX((係数_バス貨物_ガソリン,係数_バス貨物_CNG,係数_バス貨物_軽油,係数_バス貨物_メタノール,係数_バス貨物_LPG),MATCH(AY384,【参考】排出係数!$AI$4:$AI$671,1),1,BE384):INDEX((係数_バス貨物_ガソリン,係数_バス貨物_CNG,係数_バス貨物_軽油,係数_バス貨物_メタノール,係数_バス貨物_LPG),MATCH(AY384+1,【参考】排出係数!$AI$4:$AI$671,1)-1,5,BE384),3,FALSE),IF(OR(AW384=1,AW384=2),VLOOKUP(AU384,INDEX((係数_乗用_ガソリン,係数_乗用_CNG,係数_乗用_軽油,係数_乗用_メタノール,係数_乗用_LPG),1,1,BE384):INDEX((係数_乗用_ガソリン,係数_乗用_CNG,係数_乗用_軽油,係数_乗用_メタノール,係数_乗用_LPG),125,5,BE384),3,FALSE))))))</f>
        <v/>
      </c>
      <c r="BC384" s="467" t="str">
        <f t="shared" si="230"/>
        <v/>
      </c>
      <c r="BD384" s="567" t="str">
        <f t="shared" si="231"/>
        <v/>
      </c>
      <c r="BE384" s="467" t="str">
        <f t="shared" si="232"/>
        <v/>
      </c>
      <c r="BF384" s="469" t="str">
        <f t="shared" ca="1" si="233"/>
        <v/>
      </c>
      <c r="BG384" s="469" t="str">
        <f t="shared" ca="1" si="234"/>
        <v/>
      </c>
      <c r="BH384" s="467" t="str">
        <f t="shared" si="235"/>
        <v/>
      </c>
      <c r="BI384" s="467" t="str">
        <f t="shared" ca="1" si="236"/>
        <v/>
      </c>
      <c r="BJ384" s="469" t="str">
        <f t="shared" si="237"/>
        <v/>
      </c>
      <c r="BK384" s="470" t="str">
        <f t="shared" si="217"/>
        <v/>
      </c>
      <c r="BL384" s="775" t="str">
        <f t="shared" si="238"/>
        <v/>
      </c>
      <c r="BM384" s="775" t="str">
        <f t="shared" si="239"/>
        <v/>
      </c>
    </row>
    <row r="385" spans="1:65">
      <c r="A385" s="473">
        <v>329</v>
      </c>
      <c r="B385" s="132"/>
      <c r="C385" s="332"/>
      <c r="D385" s="333"/>
      <c r="E385" s="333"/>
      <c r="F385" s="334"/>
      <c r="G385" s="337"/>
      <c r="H385" s="131"/>
      <c r="I385" s="337"/>
      <c r="J385" s="131"/>
      <c r="K385" s="458" t="str">
        <f t="shared" si="206"/>
        <v/>
      </c>
      <c r="L385" s="458">
        <f t="shared" si="218"/>
        <v>0</v>
      </c>
      <c r="M385" s="458">
        <f t="shared" si="219"/>
        <v>0</v>
      </c>
      <c r="N385" s="459" t="str">
        <f t="shared" si="207"/>
        <v/>
      </c>
      <c r="O385" s="459" t="str">
        <f t="shared" si="208"/>
        <v/>
      </c>
      <c r="P385" s="459" t="str">
        <f t="shared" si="209"/>
        <v/>
      </c>
      <c r="Q385" s="459" t="str">
        <f t="shared" si="210"/>
        <v/>
      </c>
      <c r="R385" s="459" t="str">
        <f t="shared" si="211"/>
        <v/>
      </c>
      <c r="S385" s="459" t="str">
        <f t="shared" si="212"/>
        <v/>
      </c>
      <c r="T385" s="566" t="str">
        <f t="shared" si="220"/>
        <v/>
      </c>
      <c r="U385" s="702"/>
      <c r="V385" s="132"/>
      <c r="W385" s="133"/>
      <c r="X385" s="134"/>
      <c r="Y385" s="135"/>
      <c r="Z385" s="137"/>
      <c r="AA385" s="136"/>
      <c r="AB385" s="566" t="str">
        <f t="shared" si="213"/>
        <v/>
      </c>
      <c r="AC385" s="568" t="str">
        <f t="shared" si="221"/>
        <v/>
      </c>
      <c r="AD385" s="137"/>
      <c r="AE385" s="137"/>
      <c r="AF385" s="138"/>
      <c r="AG385" s="138"/>
      <c r="AH385" s="592" t="str">
        <f t="shared" si="214"/>
        <v/>
      </c>
      <c r="AI385" s="592" t="str">
        <f t="shared" si="215"/>
        <v/>
      </c>
      <c r="AJ385" s="592" t="str">
        <f t="shared" si="216"/>
        <v/>
      </c>
      <c r="AK385" s="460" t="str">
        <f>IF(AU385="","",IF(OR(AZ385=8,AZ385=9),0,IF(OR(AW385=3,AW385=4,AW385=5,AW385=6),IF(LEFT(BF385,1)="1",INDEX(係数_NOX・PM低減,MATCH(AY385,【参考】排出係数!$AI$801:$AI$804,1),1),VLOOKUP(AU385,INDEX((係数_バス貨物_ガソリン,係数_バス貨物_CNG,係数_バス貨物_軽油,係数_バス貨物_メタノール,係数_バス貨物_LPG),MATCH(AY385,【参考】排出係数!$AI$4:$AI$671,1),1,BE385):INDEX((係数_バス貨物_ガソリン,係数_バス貨物_CNG,係数_バス貨物_軽油,係数_バス貨物_メタノール,係数_バス貨物_LPG),MATCH(AY385+1,【参考】排出係数!$AI$4:$AI$671,1)-1,5,BE385),4,FALSE)),IF(AND(BE385=3,LEFT(BF385,1)="1"),0.48,VLOOKUP(AU385,INDEX((係数_乗用_ガソリン,係数_乗用_CNG,係数_乗用_軽油,係数_乗用_メタノール,係数_乗用_LPG),1,1,BE385):INDEX((係数_乗用_ガソリン,係数_乗用_CNG,係数_乗用_軽油,係数_乗用_メタノール,係数_乗用_LPG),125,5,BE385),4,FALSE)))))</f>
        <v/>
      </c>
      <c r="AL385" s="461" t="str">
        <f t="shared" si="240"/>
        <v/>
      </c>
      <c r="AM385" s="460" t="str">
        <f>IF(AU385="","",IF(OR(AZ385=8,AZ385=9),0,IF(OR(AW385=3,AW385=4,AW385=5,AW385=6),IF(LEFT(BH385,1)="1",INDEX(係数_PM低減,MATCH(AY385,【参考】排出係数!$AI$801:$AI$804,1),MATCH(BI385,【参考】排出係数!$AL$798:$AO$798,1)),VLOOKUP(AU385,INDEX((係数_バス貨物_ガソリン,係数_バス貨物_CNG,係数_バス貨物_軽油,係数_バス貨物_メタノール,係数_バス貨物_LPG),MATCH(AY385,【参考】排出係数!$AI$4:$AI$671,1),1,BE385):INDEX((係数_バス貨物_ガソリン,係数_バス貨物_CNG,係数_バス貨物_軽油,係数_バス貨物_メタノール,係数_バス貨物_LPG),MATCH(AY385+1,【参考】排出係数!$AI$4:$AI$671,1)-1,5,BE385),5,FALSE)),IF(AND(BE385=3,LEFT(BF385,1)="1"),0.055,VLOOKUP(AU385,INDEX((係数_乗用_ガソリン,係数_乗用_CNG,係数_乗用_軽油,係数_乗用_メタノール,係数_乗用_LPG),1,1,BE385):INDEX((係数_乗用_ガソリン,係数_乗用_CNG,係数_乗用_軽油,係数_乗用_メタノール,係数_乗用_LPG),125,5,BE385),5,FALSE)))))</f>
        <v/>
      </c>
      <c r="AN385" s="461" t="str">
        <f t="shared" si="241"/>
        <v/>
      </c>
      <c r="AO385" s="462" t="str">
        <f t="shared" si="242"/>
        <v/>
      </c>
      <c r="AP385" s="463" t="str">
        <f t="shared" si="243"/>
        <v/>
      </c>
      <c r="AQ385" s="464"/>
      <c r="AR385" s="619"/>
      <c r="AS385" s="465" t="str">
        <f t="shared" si="222"/>
        <v/>
      </c>
      <c r="AT385" s="465" t="str">
        <f t="shared" si="223"/>
        <v/>
      </c>
      <c r="AU385" s="466" t="str">
        <f t="shared" si="224"/>
        <v/>
      </c>
      <c r="AV385" s="467" t="str">
        <f t="shared" si="225"/>
        <v/>
      </c>
      <c r="AW385" s="467" t="str">
        <f t="shared" si="226"/>
        <v/>
      </c>
      <c r="AX385" s="467" t="str">
        <f t="shared" si="227"/>
        <v/>
      </c>
      <c r="AY385" s="467" t="str">
        <f t="shared" si="228"/>
        <v/>
      </c>
      <c r="AZ385" s="467" t="str">
        <f t="shared" si="229"/>
        <v/>
      </c>
      <c r="BA385" s="468" t="str">
        <f>IF(AS385="","",IF(OR(AU385="",AU385="-"),"－",IF(OR(AZ385=8,AZ385=9),"",IF(OR(AW385=3,AW385=4,AW385=5,AW385=6),VLOOKUP(AU385,INDEX((係数_バス貨物_ガソリン,係数_バス貨物_CNG,係数_バス貨物_軽油,係数_バス貨物_メタノール,係数_バス貨物_LPG),MATCH(AY385,【参考】排出係数!$AI$4:$AI$671,1),1,BE385):INDEX((係数_バス貨物_ガソリン,係数_バス貨物_CNG,係数_バス貨物_軽油,係数_バス貨物_メタノール,係数_バス貨物_LPG),MATCH(AY385+1,【参考】排出係数!$AI$4:$AI$671,1)-1,5,BE385),2,FALSE),IF(OR(AW385=1,AW385=2),VLOOKUP(AU385,INDEX((係数_乗用_ガソリン,係数_乗用_CNG,係数_乗用_軽油,係数_乗用_メタノール,係数_乗用_LPG),1,1,BE385):INDEX((係数_乗用_ガソリン,係数_乗用_CNG,係数_乗用_軽油,係数_乗用_メタノール,係数_乗用_LPG),125,5,BE385),2,FALSE))))))</f>
        <v/>
      </c>
      <c r="BB385" s="468" t="str">
        <f>IF(T385="","",IF(OR(AU385="",AU385="-"),"－",IF(OR(AZ385=8,AZ385=9),"",IF(OR(AW385=3,AW385=4,AW385=5,AW385=6),VLOOKUP(AU385,INDEX((係数_バス貨物_ガソリン,係数_バス貨物_CNG,係数_バス貨物_軽油,係数_バス貨物_メタノール,係数_バス貨物_LPG),MATCH(AY385,【参考】排出係数!$AI$4:$AI$671,1),1,BE385):INDEX((係数_バス貨物_ガソリン,係数_バス貨物_CNG,係数_バス貨物_軽油,係数_バス貨物_メタノール,係数_バス貨物_LPG),MATCH(AY385+1,【参考】排出係数!$AI$4:$AI$671,1)-1,5,BE385),3,FALSE),IF(OR(AW385=1,AW385=2),VLOOKUP(AU385,INDEX((係数_乗用_ガソリン,係数_乗用_CNG,係数_乗用_軽油,係数_乗用_メタノール,係数_乗用_LPG),1,1,BE385):INDEX((係数_乗用_ガソリン,係数_乗用_CNG,係数_乗用_軽油,係数_乗用_メタノール,係数_乗用_LPG),125,5,BE385),3,FALSE))))))</f>
        <v/>
      </c>
      <c r="BC385" s="467" t="str">
        <f t="shared" si="230"/>
        <v/>
      </c>
      <c r="BD385" s="567" t="str">
        <f t="shared" si="231"/>
        <v/>
      </c>
      <c r="BE385" s="467" t="str">
        <f t="shared" si="232"/>
        <v/>
      </c>
      <c r="BF385" s="469" t="str">
        <f t="shared" ca="1" si="233"/>
        <v/>
      </c>
      <c r="BG385" s="469" t="str">
        <f t="shared" ca="1" si="234"/>
        <v/>
      </c>
      <c r="BH385" s="467" t="str">
        <f t="shared" si="235"/>
        <v/>
      </c>
      <c r="BI385" s="467" t="str">
        <f t="shared" ca="1" si="236"/>
        <v/>
      </c>
      <c r="BJ385" s="469" t="str">
        <f t="shared" si="237"/>
        <v/>
      </c>
      <c r="BK385" s="470" t="str">
        <f t="shared" si="217"/>
        <v/>
      </c>
      <c r="BL385" s="775" t="str">
        <f t="shared" si="238"/>
        <v/>
      </c>
      <c r="BM385" s="775" t="str">
        <f t="shared" si="239"/>
        <v/>
      </c>
    </row>
    <row r="386" spans="1:65">
      <c r="A386" s="473">
        <v>330</v>
      </c>
      <c r="B386" s="132"/>
      <c r="C386" s="332"/>
      <c r="D386" s="333"/>
      <c r="E386" s="333"/>
      <c r="F386" s="334"/>
      <c r="G386" s="337"/>
      <c r="H386" s="131"/>
      <c r="I386" s="337"/>
      <c r="J386" s="131"/>
      <c r="K386" s="458" t="str">
        <f t="shared" si="206"/>
        <v/>
      </c>
      <c r="L386" s="458">
        <f t="shared" si="218"/>
        <v>0</v>
      </c>
      <c r="M386" s="458">
        <f t="shared" si="219"/>
        <v>0</v>
      </c>
      <c r="N386" s="459" t="str">
        <f t="shared" si="207"/>
        <v/>
      </c>
      <c r="O386" s="459" t="str">
        <f t="shared" si="208"/>
        <v/>
      </c>
      <c r="P386" s="459" t="str">
        <f t="shared" si="209"/>
        <v/>
      </c>
      <c r="Q386" s="459" t="str">
        <f t="shared" si="210"/>
        <v/>
      </c>
      <c r="R386" s="459" t="str">
        <f t="shared" si="211"/>
        <v/>
      </c>
      <c r="S386" s="459" t="str">
        <f t="shared" si="212"/>
        <v/>
      </c>
      <c r="T386" s="566" t="str">
        <f t="shared" si="220"/>
        <v/>
      </c>
      <c r="U386" s="702"/>
      <c r="V386" s="132"/>
      <c r="W386" s="133"/>
      <c r="X386" s="134"/>
      <c r="Y386" s="135"/>
      <c r="Z386" s="137"/>
      <c r="AA386" s="136"/>
      <c r="AB386" s="566" t="str">
        <f t="shared" si="213"/>
        <v/>
      </c>
      <c r="AC386" s="568" t="str">
        <f t="shared" si="221"/>
        <v/>
      </c>
      <c r="AD386" s="137"/>
      <c r="AE386" s="137"/>
      <c r="AF386" s="138"/>
      <c r="AG386" s="138"/>
      <c r="AH386" s="592" t="str">
        <f t="shared" si="214"/>
        <v/>
      </c>
      <c r="AI386" s="592" t="str">
        <f t="shared" si="215"/>
        <v/>
      </c>
      <c r="AJ386" s="592" t="str">
        <f t="shared" si="216"/>
        <v/>
      </c>
      <c r="AK386" s="460" t="str">
        <f>IF(AU386="","",IF(OR(AZ386=8,AZ386=9),0,IF(OR(AW386=3,AW386=4,AW386=5,AW386=6),IF(LEFT(BF386,1)="1",INDEX(係数_NOX・PM低減,MATCH(AY386,【参考】排出係数!$AI$801:$AI$804,1),1),VLOOKUP(AU386,INDEX((係数_バス貨物_ガソリン,係数_バス貨物_CNG,係数_バス貨物_軽油,係数_バス貨物_メタノール,係数_バス貨物_LPG),MATCH(AY386,【参考】排出係数!$AI$4:$AI$671,1),1,BE386):INDEX((係数_バス貨物_ガソリン,係数_バス貨物_CNG,係数_バス貨物_軽油,係数_バス貨物_メタノール,係数_バス貨物_LPG),MATCH(AY386+1,【参考】排出係数!$AI$4:$AI$671,1)-1,5,BE386),4,FALSE)),IF(AND(BE386=3,LEFT(BF386,1)="1"),0.48,VLOOKUP(AU386,INDEX((係数_乗用_ガソリン,係数_乗用_CNG,係数_乗用_軽油,係数_乗用_メタノール,係数_乗用_LPG),1,1,BE386):INDEX((係数_乗用_ガソリン,係数_乗用_CNG,係数_乗用_軽油,係数_乗用_メタノール,係数_乗用_LPG),125,5,BE386),4,FALSE)))))</f>
        <v/>
      </c>
      <c r="AL386" s="461" t="str">
        <f t="shared" si="240"/>
        <v/>
      </c>
      <c r="AM386" s="460" t="str">
        <f>IF(AU386="","",IF(OR(AZ386=8,AZ386=9),0,IF(OR(AW386=3,AW386=4,AW386=5,AW386=6),IF(LEFT(BH386,1)="1",INDEX(係数_PM低減,MATCH(AY386,【参考】排出係数!$AI$801:$AI$804,1),MATCH(BI386,【参考】排出係数!$AL$798:$AO$798,1)),VLOOKUP(AU386,INDEX((係数_バス貨物_ガソリン,係数_バス貨物_CNG,係数_バス貨物_軽油,係数_バス貨物_メタノール,係数_バス貨物_LPG),MATCH(AY386,【参考】排出係数!$AI$4:$AI$671,1),1,BE386):INDEX((係数_バス貨物_ガソリン,係数_バス貨物_CNG,係数_バス貨物_軽油,係数_バス貨物_メタノール,係数_バス貨物_LPG),MATCH(AY386+1,【参考】排出係数!$AI$4:$AI$671,1)-1,5,BE386),5,FALSE)),IF(AND(BE386=3,LEFT(BF386,1)="1"),0.055,VLOOKUP(AU386,INDEX((係数_乗用_ガソリン,係数_乗用_CNG,係数_乗用_軽油,係数_乗用_メタノール,係数_乗用_LPG),1,1,BE386):INDEX((係数_乗用_ガソリン,係数_乗用_CNG,係数_乗用_軽油,係数_乗用_メタノール,係数_乗用_LPG),125,5,BE386),5,FALSE)))))</f>
        <v/>
      </c>
      <c r="AN386" s="461" t="str">
        <f t="shared" si="241"/>
        <v/>
      </c>
      <c r="AO386" s="462" t="str">
        <f t="shared" si="242"/>
        <v/>
      </c>
      <c r="AP386" s="463" t="str">
        <f t="shared" si="243"/>
        <v/>
      </c>
      <c r="AQ386" s="464"/>
      <c r="AR386" s="619"/>
      <c r="AS386" s="465" t="str">
        <f t="shared" si="222"/>
        <v/>
      </c>
      <c r="AT386" s="465" t="str">
        <f t="shared" si="223"/>
        <v/>
      </c>
      <c r="AU386" s="466" t="str">
        <f t="shared" si="224"/>
        <v/>
      </c>
      <c r="AV386" s="467" t="str">
        <f t="shared" si="225"/>
        <v/>
      </c>
      <c r="AW386" s="467" t="str">
        <f t="shared" si="226"/>
        <v/>
      </c>
      <c r="AX386" s="467" t="str">
        <f t="shared" si="227"/>
        <v/>
      </c>
      <c r="AY386" s="467" t="str">
        <f t="shared" si="228"/>
        <v/>
      </c>
      <c r="AZ386" s="467" t="str">
        <f t="shared" si="229"/>
        <v/>
      </c>
      <c r="BA386" s="468" t="str">
        <f>IF(AS386="","",IF(OR(AU386="",AU386="-"),"－",IF(OR(AZ386=8,AZ386=9),"",IF(OR(AW386=3,AW386=4,AW386=5,AW386=6),VLOOKUP(AU386,INDEX((係数_バス貨物_ガソリン,係数_バス貨物_CNG,係数_バス貨物_軽油,係数_バス貨物_メタノール,係数_バス貨物_LPG),MATCH(AY386,【参考】排出係数!$AI$4:$AI$671,1),1,BE386):INDEX((係数_バス貨物_ガソリン,係数_バス貨物_CNG,係数_バス貨物_軽油,係数_バス貨物_メタノール,係数_バス貨物_LPG),MATCH(AY386+1,【参考】排出係数!$AI$4:$AI$671,1)-1,5,BE386),2,FALSE),IF(OR(AW386=1,AW386=2),VLOOKUP(AU386,INDEX((係数_乗用_ガソリン,係数_乗用_CNG,係数_乗用_軽油,係数_乗用_メタノール,係数_乗用_LPG),1,1,BE386):INDEX((係数_乗用_ガソリン,係数_乗用_CNG,係数_乗用_軽油,係数_乗用_メタノール,係数_乗用_LPG),125,5,BE386),2,FALSE))))))</f>
        <v/>
      </c>
      <c r="BB386" s="468" t="str">
        <f>IF(T386="","",IF(OR(AU386="",AU386="-"),"－",IF(OR(AZ386=8,AZ386=9),"",IF(OR(AW386=3,AW386=4,AW386=5,AW386=6),VLOOKUP(AU386,INDEX((係数_バス貨物_ガソリン,係数_バス貨物_CNG,係数_バス貨物_軽油,係数_バス貨物_メタノール,係数_バス貨物_LPG),MATCH(AY386,【参考】排出係数!$AI$4:$AI$671,1),1,BE386):INDEX((係数_バス貨物_ガソリン,係数_バス貨物_CNG,係数_バス貨物_軽油,係数_バス貨物_メタノール,係数_バス貨物_LPG),MATCH(AY386+1,【参考】排出係数!$AI$4:$AI$671,1)-1,5,BE386),3,FALSE),IF(OR(AW386=1,AW386=2),VLOOKUP(AU386,INDEX((係数_乗用_ガソリン,係数_乗用_CNG,係数_乗用_軽油,係数_乗用_メタノール,係数_乗用_LPG),1,1,BE386):INDEX((係数_乗用_ガソリン,係数_乗用_CNG,係数_乗用_軽油,係数_乗用_メタノール,係数_乗用_LPG),125,5,BE386),3,FALSE))))))</f>
        <v/>
      </c>
      <c r="BC386" s="467" t="str">
        <f t="shared" si="230"/>
        <v/>
      </c>
      <c r="BD386" s="567" t="str">
        <f t="shared" si="231"/>
        <v/>
      </c>
      <c r="BE386" s="467" t="str">
        <f t="shared" si="232"/>
        <v/>
      </c>
      <c r="BF386" s="469" t="str">
        <f t="shared" ca="1" si="233"/>
        <v/>
      </c>
      <c r="BG386" s="469" t="str">
        <f t="shared" ca="1" si="234"/>
        <v/>
      </c>
      <c r="BH386" s="467" t="str">
        <f t="shared" si="235"/>
        <v/>
      </c>
      <c r="BI386" s="467" t="str">
        <f t="shared" ca="1" si="236"/>
        <v/>
      </c>
      <c r="BJ386" s="469" t="str">
        <f t="shared" si="237"/>
        <v/>
      </c>
      <c r="BK386" s="470" t="str">
        <f t="shared" si="217"/>
        <v/>
      </c>
      <c r="BL386" s="775" t="str">
        <f t="shared" si="238"/>
        <v/>
      </c>
      <c r="BM386" s="775" t="str">
        <f t="shared" si="239"/>
        <v/>
      </c>
    </row>
    <row r="387" spans="1:65">
      <c r="A387" s="473">
        <v>331</v>
      </c>
      <c r="B387" s="132"/>
      <c r="C387" s="332"/>
      <c r="D387" s="333"/>
      <c r="E387" s="333"/>
      <c r="F387" s="334"/>
      <c r="G387" s="337"/>
      <c r="H387" s="131"/>
      <c r="I387" s="337"/>
      <c r="J387" s="131"/>
      <c r="K387" s="458" t="str">
        <f t="shared" si="206"/>
        <v/>
      </c>
      <c r="L387" s="458">
        <f t="shared" si="218"/>
        <v>0</v>
      </c>
      <c r="M387" s="458">
        <f t="shared" si="219"/>
        <v>0</v>
      </c>
      <c r="N387" s="459" t="str">
        <f t="shared" si="207"/>
        <v/>
      </c>
      <c r="O387" s="459" t="str">
        <f t="shared" si="208"/>
        <v/>
      </c>
      <c r="P387" s="459" t="str">
        <f t="shared" si="209"/>
        <v/>
      </c>
      <c r="Q387" s="459" t="str">
        <f t="shared" si="210"/>
        <v/>
      </c>
      <c r="R387" s="459" t="str">
        <f t="shared" si="211"/>
        <v/>
      </c>
      <c r="S387" s="459" t="str">
        <f t="shared" si="212"/>
        <v/>
      </c>
      <c r="T387" s="566" t="str">
        <f t="shared" si="220"/>
        <v/>
      </c>
      <c r="U387" s="702"/>
      <c r="V387" s="132"/>
      <c r="W387" s="133"/>
      <c r="X387" s="134"/>
      <c r="Y387" s="135"/>
      <c r="Z387" s="137"/>
      <c r="AA387" s="136"/>
      <c r="AB387" s="566" t="str">
        <f t="shared" si="213"/>
        <v/>
      </c>
      <c r="AC387" s="568" t="str">
        <f t="shared" si="221"/>
        <v/>
      </c>
      <c r="AD387" s="137"/>
      <c r="AE387" s="137"/>
      <c r="AF387" s="138"/>
      <c r="AG387" s="138"/>
      <c r="AH387" s="592" t="str">
        <f t="shared" si="214"/>
        <v/>
      </c>
      <c r="AI387" s="592" t="str">
        <f t="shared" si="215"/>
        <v/>
      </c>
      <c r="AJ387" s="592" t="str">
        <f t="shared" si="216"/>
        <v/>
      </c>
      <c r="AK387" s="460" t="str">
        <f>IF(AU387="","",IF(OR(AZ387=8,AZ387=9),0,IF(OR(AW387=3,AW387=4,AW387=5,AW387=6),IF(LEFT(BF387,1)="1",INDEX(係数_NOX・PM低減,MATCH(AY387,【参考】排出係数!$AI$801:$AI$804,1),1),VLOOKUP(AU387,INDEX((係数_バス貨物_ガソリン,係数_バス貨物_CNG,係数_バス貨物_軽油,係数_バス貨物_メタノール,係数_バス貨物_LPG),MATCH(AY387,【参考】排出係数!$AI$4:$AI$671,1),1,BE387):INDEX((係数_バス貨物_ガソリン,係数_バス貨物_CNG,係数_バス貨物_軽油,係数_バス貨物_メタノール,係数_バス貨物_LPG),MATCH(AY387+1,【参考】排出係数!$AI$4:$AI$671,1)-1,5,BE387),4,FALSE)),IF(AND(BE387=3,LEFT(BF387,1)="1"),0.48,VLOOKUP(AU387,INDEX((係数_乗用_ガソリン,係数_乗用_CNG,係数_乗用_軽油,係数_乗用_メタノール,係数_乗用_LPG),1,1,BE387):INDEX((係数_乗用_ガソリン,係数_乗用_CNG,係数_乗用_軽油,係数_乗用_メタノール,係数_乗用_LPG),125,5,BE387),4,FALSE)))))</f>
        <v/>
      </c>
      <c r="AL387" s="461" t="str">
        <f t="shared" si="240"/>
        <v/>
      </c>
      <c r="AM387" s="460" t="str">
        <f>IF(AU387="","",IF(OR(AZ387=8,AZ387=9),0,IF(OR(AW387=3,AW387=4,AW387=5,AW387=6),IF(LEFT(BH387,1)="1",INDEX(係数_PM低減,MATCH(AY387,【参考】排出係数!$AI$801:$AI$804,1),MATCH(BI387,【参考】排出係数!$AL$798:$AO$798,1)),VLOOKUP(AU387,INDEX((係数_バス貨物_ガソリン,係数_バス貨物_CNG,係数_バス貨物_軽油,係数_バス貨物_メタノール,係数_バス貨物_LPG),MATCH(AY387,【参考】排出係数!$AI$4:$AI$671,1),1,BE387):INDEX((係数_バス貨物_ガソリン,係数_バス貨物_CNG,係数_バス貨物_軽油,係数_バス貨物_メタノール,係数_バス貨物_LPG),MATCH(AY387+1,【参考】排出係数!$AI$4:$AI$671,1)-1,5,BE387),5,FALSE)),IF(AND(BE387=3,LEFT(BF387,1)="1"),0.055,VLOOKUP(AU387,INDEX((係数_乗用_ガソリン,係数_乗用_CNG,係数_乗用_軽油,係数_乗用_メタノール,係数_乗用_LPG),1,1,BE387):INDEX((係数_乗用_ガソリン,係数_乗用_CNG,係数_乗用_軽油,係数_乗用_メタノール,係数_乗用_LPG),125,5,BE387),5,FALSE)))))</f>
        <v/>
      </c>
      <c r="AN387" s="461" t="str">
        <f t="shared" si="241"/>
        <v/>
      </c>
      <c r="AO387" s="462" t="str">
        <f t="shared" si="242"/>
        <v/>
      </c>
      <c r="AP387" s="463" t="str">
        <f t="shared" si="243"/>
        <v/>
      </c>
      <c r="AQ387" s="464"/>
      <c r="AR387" s="619"/>
      <c r="AS387" s="465" t="str">
        <f t="shared" si="222"/>
        <v/>
      </c>
      <c r="AT387" s="465" t="str">
        <f t="shared" si="223"/>
        <v/>
      </c>
      <c r="AU387" s="466" t="str">
        <f t="shared" si="224"/>
        <v/>
      </c>
      <c r="AV387" s="467" t="str">
        <f t="shared" si="225"/>
        <v/>
      </c>
      <c r="AW387" s="467" t="str">
        <f t="shared" si="226"/>
        <v/>
      </c>
      <c r="AX387" s="467" t="str">
        <f t="shared" si="227"/>
        <v/>
      </c>
      <c r="AY387" s="467" t="str">
        <f t="shared" si="228"/>
        <v/>
      </c>
      <c r="AZ387" s="467" t="str">
        <f t="shared" si="229"/>
        <v/>
      </c>
      <c r="BA387" s="468" t="str">
        <f>IF(AS387="","",IF(OR(AU387="",AU387="-"),"－",IF(OR(AZ387=8,AZ387=9),"",IF(OR(AW387=3,AW387=4,AW387=5,AW387=6),VLOOKUP(AU387,INDEX((係数_バス貨物_ガソリン,係数_バス貨物_CNG,係数_バス貨物_軽油,係数_バス貨物_メタノール,係数_バス貨物_LPG),MATCH(AY387,【参考】排出係数!$AI$4:$AI$671,1),1,BE387):INDEX((係数_バス貨物_ガソリン,係数_バス貨物_CNG,係数_バス貨物_軽油,係数_バス貨物_メタノール,係数_バス貨物_LPG),MATCH(AY387+1,【参考】排出係数!$AI$4:$AI$671,1)-1,5,BE387),2,FALSE),IF(OR(AW387=1,AW387=2),VLOOKUP(AU387,INDEX((係数_乗用_ガソリン,係数_乗用_CNG,係数_乗用_軽油,係数_乗用_メタノール,係数_乗用_LPG),1,1,BE387):INDEX((係数_乗用_ガソリン,係数_乗用_CNG,係数_乗用_軽油,係数_乗用_メタノール,係数_乗用_LPG),125,5,BE387),2,FALSE))))))</f>
        <v/>
      </c>
      <c r="BB387" s="468" t="str">
        <f>IF(T387="","",IF(OR(AU387="",AU387="-"),"－",IF(OR(AZ387=8,AZ387=9),"",IF(OR(AW387=3,AW387=4,AW387=5,AW387=6),VLOOKUP(AU387,INDEX((係数_バス貨物_ガソリン,係数_バス貨物_CNG,係数_バス貨物_軽油,係数_バス貨物_メタノール,係数_バス貨物_LPG),MATCH(AY387,【参考】排出係数!$AI$4:$AI$671,1),1,BE387):INDEX((係数_バス貨物_ガソリン,係数_バス貨物_CNG,係数_バス貨物_軽油,係数_バス貨物_メタノール,係数_バス貨物_LPG),MATCH(AY387+1,【参考】排出係数!$AI$4:$AI$671,1)-1,5,BE387),3,FALSE),IF(OR(AW387=1,AW387=2),VLOOKUP(AU387,INDEX((係数_乗用_ガソリン,係数_乗用_CNG,係数_乗用_軽油,係数_乗用_メタノール,係数_乗用_LPG),1,1,BE387):INDEX((係数_乗用_ガソリン,係数_乗用_CNG,係数_乗用_軽油,係数_乗用_メタノール,係数_乗用_LPG),125,5,BE387),3,FALSE))))))</f>
        <v/>
      </c>
      <c r="BC387" s="467" t="str">
        <f t="shared" si="230"/>
        <v/>
      </c>
      <c r="BD387" s="567" t="str">
        <f t="shared" si="231"/>
        <v/>
      </c>
      <c r="BE387" s="467" t="str">
        <f t="shared" si="232"/>
        <v/>
      </c>
      <c r="BF387" s="469" t="str">
        <f t="shared" ca="1" si="233"/>
        <v/>
      </c>
      <c r="BG387" s="469" t="str">
        <f t="shared" ca="1" si="234"/>
        <v/>
      </c>
      <c r="BH387" s="467" t="str">
        <f t="shared" si="235"/>
        <v/>
      </c>
      <c r="BI387" s="467" t="str">
        <f t="shared" ca="1" si="236"/>
        <v/>
      </c>
      <c r="BJ387" s="469" t="str">
        <f t="shared" si="237"/>
        <v/>
      </c>
      <c r="BK387" s="470" t="str">
        <f t="shared" si="217"/>
        <v/>
      </c>
      <c r="BL387" s="775" t="str">
        <f t="shared" si="238"/>
        <v/>
      </c>
      <c r="BM387" s="775" t="str">
        <f t="shared" si="239"/>
        <v/>
      </c>
    </row>
    <row r="388" spans="1:65">
      <c r="A388" s="473">
        <v>332</v>
      </c>
      <c r="B388" s="132"/>
      <c r="C388" s="332"/>
      <c r="D388" s="333"/>
      <c r="E388" s="333"/>
      <c r="F388" s="334"/>
      <c r="G388" s="337"/>
      <c r="H388" s="131"/>
      <c r="I388" s="337"/>
      <c r="J388" s="131"/>
      <c r="K388" s="458" t="str">
        <f t="shared" si="206"/>
        <v/>
      </c>
      <c r="L388" s="458">
        <f t="shared" si="218"/>
        <v>0</v>
      </c>
      <c r="M388" s="458">
        <f t="shared" si="219"/>
        <v>0</v>
      </c>
      <c r="N388" s="459" t="str">
        <f t="shared" si="207"/>
        <v/>
      </c>
      <c r="O388" s="459" t="str">
        <f t="shared" si="208"/>
        <v/>
      </c>
      <c r="P388" s="459" t="str">
        <f t="shared" si="209"/>
        <v/>
      </c>
      <c r="Q388" s="459" t="str">
        <f t="shared" si="210"/>
        <v/>
      </c>
      <c r="R388" s="459" t="str">
        <f t="shared" si="211"/>
        <v/>
      </c>
      <c r="S388" s="459" t="str">
        <f t="shared" si="212"/>
        <v/>
      </c>
      <c r="T388" s="566" t="str">
        <f t="shared" si="220"/>
        <v/>
      </c>
      <c r="U388" s="702"/>
      <c r="V388" s="132"/>
      <c r="W388" s="133"/>
      <c r="X388" s="134"/>
      <c r="Y388" s="135"/>
      <c r="Z388" s="137"/>
      <c r="AA388" s="136"/>
      <c r="AB388" s="566" t="str">
        <f t="shared" si="213"/>
        <v/>
      </c>
      <c r="AC388" s="568" t="str">
        <f t="shared" si="221"/>
        <v/>
      </c>
      <c r="AD388" s="137"/>
      <c r="AE388" s="137"/>
      <c r="AF388" s="138"/>
      <c r="AG388" s="138"/>
      <c r="AH388" s="592" t="str">
        <f t="shared" si="214"/>
        <v/>
      </c>
      <c r="AI388" s="592" t="str">
        <f t="shared" si="215"/>
        <v/>
      </c>
      <c r="AJ388" s="592" t="str">
        <f t="shared" si="216"/>
        <v/>
      </c>
      <c r="AK388" s="460" t="str">
        <f>IF(AU388="","",IF(OR(AZ388=8,AZ388=9),0,IF(OR(AW388=3,AW388=4,AW388=5,AW388=6),IF(LEFT(BF388,1)="1",INDEX(係数_NOX・PM低減,MATCH(AY388,【参考】排出係数!$AI$801:$AI$804,1),1),VLOOKUP(AU388,INDEX((係数_バス貨物_ガソリン,係数_バス貨物_CNG,係数_バス貨物_軽油,係数_バス貨物_メタノール,係数_バス貨物_LPG),MATCH(AY388,【参考】排出係数!$AI$4:$AI$671,1),1,BE388):INDEX((係数_バス貨物_ガソリン,係数_バス貨物_CNG,係数_バス貨物_軽油,係数_バス貨物_メタノール,係数_バス貨物_LPG),MATCH(AY388+1,【参考】排出係数!$AI$4:$AI$671,1)-1,5,BE388),4,FALSE)),IF(AND(BE388=3,LEFT(BF388,1)="1"),0.48,VLOOKUP(AU388,INDEX((係数_乗用_ガソリン,係数_乗用_CNG,係数_乗用_軽油,係数_乗用_メタノール,係数_乗用_LPG),1,1,BE388):INDEX((係数_乗用_ガソリン,係数_乗用_CNG,係数_乗用_軽油,係数_乗用_メタノール,係数_乗用_LPG),125,5,BE388),4,FALSE)))))</f>
        <v/>
      </c>
      <c r="AL388" s="461" t="str">
        <f t="shared" si="240"/>
        <v/>
      </c>
      <c r="AM388" s="460" t="str">
        <f>IF(AU388="","",IF(OR(AZ388=8,AZ388=9),0,IF(OR(AW388=3,AW388=4,AW388=5,AW388=6),IF(LEFT(BH388,1)="1",INDEX(係数_PM低減,MATCH(AY388,【参考】排出係数!$AI$801:$AI$804,1),MATCH(BI388,【参考】排出係数!$AL$798:$AO$798,1)),VLOOKUP(AU388,INDEX((係数_バス貨物_ガソリン,係数_バス貨物_CNG,係数_バス貨物_軽油,係数_バス貨物_メタノール,係数_バス貨物_LPG),MATCH(AY388,【参考】排出係数!$AI$4:$AI$671,1),1,BE388):INDEX((係数_バス貨物_ガソリン,係数_バス貨物_CNG,係数_バス貨物_軽油,係数_バス貨物_メタノール,係数_バス貨物_LPG),MATCH(AY388+1,【参考】排出係数!$AI$4:$AI$671,1)-1,5,BE388),5,FALSE)),IF(AND(BE388=3,LEFT(BF388,1)="1"),0.055,VLOOKUP(AU388,INDEX((係数_乗用_ガソリン,係数_乗用_CNG,係数_乗用_軽油,係数_乗用_メタノール,係数_乗用_LPG),1,1,BE388):INDEX((係数_乗用_ガソリン,係数_乗用_CNG,係数_乗用_軽油,係数_乗用_メタノール,係数_乗用_LPG),125,5,BE388),5,FALSE)))))</f>
        <v/>
      </c>
      <c r="AN388" s="461" t="str">
        <f t="shared" si="241"/>
        <v/>
      </c>
      <c r="AO388" s="462" t="str">
        <f t="shared" si="242"/>
        <v/>
      </c>
      <c r="AP388" s="463" t="str">
        <f t="shared" si="243"/>
        <v/>
      </c>
      <c r="AQ388" s="464"/>
      <c r="AR388" s="619"/>
      <c r="AS388" s="465" t="str">
        <f t="shared" si="222"/>
        <v/>
      </c>
      <c r="AT388" s="465" t="str">
        <f t="shared" si="223"/>
        <v/>
      </c>
      <c r="AU388" s="466" t="str">
        <f t="shared" si="224"/>
        <v/>
      </c>
      <c r="AV388" s="467" t="str">
        <f t="shared" si="225"/>
        <v/>
      </c>
      <c r="AW388" s="467" t="str">
        <f t="shared" si="226"/>
        <v/>
      </c>
      <c r="AX388" s="467" t="str">
        <f t="shared" si="227"/>
        <v/>
      </c>
      <c r="AY388" s="467" t="str">
        <f t="shared" si="228"/>
        <v/>
      </c>
      <c r="AZ388" s="467" t="str">
        <f t="shared" si="229"/>
        <v/>
      </c>
      <c r="BA388" s="468" t="str">
        <f>IF(AS388="","",IF(OR(AU388="",AU388="-"),"－",IF(OR(AZ388=8,AZ388=9),"",IF(OR(AW388=3,AW388=4,AW388=5,AW388=6),VLOOKUP(AU388,INDEX((係数_バス貨物_ガソリン,係数_バス貨物_CNG,係数_バス貨物_軽油,係数_バス貨物_メタノール,係数_バス貨物_LPG),MATCH(AY388,【参考】排出係数!$AI$4:$AI$671,1),1,BE388):INDEX((係数_バス貨物_ガソリン,係数_バス貨物_CNG,係数_バス貨物_軽油,係数_バス貨物_メタノール,係数_バス貨物_LPG),MATCH(AY388+1,【参考】排出係数!$AI$4:$AI$671,1)-1,5,BE388),2,FALSE),IF(OR(AW388=1,AW388=2),VLOOKUP(AU388,INDEX((係数_乗用_ガソリン,係数_乗用_CNG,係数_乗用_軽油,係数_乗用_メタノール,係数_乗用_LPG),1,1,BE388):INDEX((係数_乗用_ガソリン,係数_乗用_CNG,係数_乗用_軽油,係数_乗用_メタノール,係数_乗用_LPG),125,5,BE388),2,FALSE))))))</f>
        <v/>
      </c>
      <c r="BB388" s="468" t="str">
        <f>IF(T388="","",IF(OR(AU388="",AU388="-"),"－",IF(OR(AZ388=8,AZ388=9),"",IF(OR(AW388=3,AW388=4,AW388=5,AW388=6),VLOOKUP(AU388,INDEX((係数_バス貨物_ガソリン,係数_バス貨物_CNG,係数_バス貨物_軽油,係数_バス貨物_メタノール,係数_バス貨物_LPG),MATCH(AY388,【参考】排出係数!$AI$4:$AI$671,1),1,BE388):INDEX((係数_バス貨物_ガソリン,係数_バス貨物_CNG,係数_バス貨物_軽油,係数_バス貨物_メタノール,係数_バス貨物_LPG),MATCH(AY388+1,【参考】排出係数!$AI$4:$AI$671,1)-1,5,BE388),3,FALSE),IF(OR(AW388=1,AW388=2),VLOOKUP(AU388,INDEX((係数_乗用_ガソリン,係数_乗用_CNG,係数_乗用_軽油,係数_乗用_メタノール,係数_乗用_LPG),1,1,BE388):INDEX((係数_乗用_ガソリン,係数_乗用_CNG,係数_乗用_軽油,係数_乗用_メタノール,係数_乗用_LPG),125,5,BE388),3,FALSE))))))</f>
        <v/>
      </c>
      <c r="BC388" s="467" t="str">
        <f t="shared" si="230"/>
        <v/>
      </c>
      <c r="BD388" s="567" t="str">
        <f t="shared" si="231"/>
        <v/>
      </c>
      <c r="BE388" s="467" t="str">
        <f t="shared" si="232"/>
        <v/>
      </c>
      <c r="BF388" s="469" t="str">
        <f t="shared" ca="1" si="233"/>
        <v/>
      </c>
      <c r="BG388" s="469" t="str">
        <f t="shared" ca="1" si="234"/>
        <v/>
      </c>
      <c r="BH388" s="467" t="str">
        <f t="shared" si="235"/>
        <v/>
      </c>
      <c r="BI388" s="467" t="str">
        <f t="shared" ca="1" si="236"/>
        <v/>
      </c>
      <c r="BJ388" s="469" t="str">
        <f t="shared" si="237"/>
        <v/>
      </c>
      <c r="BK388" s="470" t="str">
        <f t="shared" si="217"/>
        <v/>
      </c>
      <c r="BL388" s="775" t="str">
        <f t="shared" si="238"/>
        <v/>
      </c>
      <c r="BM388" s="775" t="str">
        <f t="shared" si="239"/>
        <v/>
      </c>
    </row>
    <row r="389" spans="1:65">
      <c r="A389" s="473">
        <v>333</v>
      </c>
      <c r="B389" s="132"/>
      <c r="C389" s="332"/>
      <c r="D389" s="333"/>
      <c r="E389" s="333"/>
      <c r="F389" s="334"/>
      <c r="G389" s="337"/>
      <c r="H389" s="131"/>
      <c r="I389" s="337"/>
      <c r="J389" s="131"/>
      <c r="K389" s="458" t="str">
        <f t="shared" si="206"/>
        <v/>
      </c>
      <c r="L389" s="458">
        <f t="shared" si="218"/>
        <v>0</v>
      </c>
      <c r="M389" s="458">
        <f t="shared" si="219"/>
        <v>0</v>
      </c>
      <c r="N389" s="459" t="str">
        <f t="shared" si="207"/>
        <v/>
      </c>
      <c r="O389" s="459" t="str">
        <f t="shared" si="208"/>
        <v/>
      </c>
      <c r="P389" s="459" t="str">
        <f t="shared" si="209"/>
        <v/>
      </c>
      <c r="Q389" s="459" t="str">
        <f t="shared" si="210"/>
        <v/>
      </c>
      <c r="R389" s="459" t="str">
        <f t="shared" si="211"/>
        <v/>
      </c>
      <c r="S389" s="459" t="str">
        <f t="shared" si="212"/>
        <v/>
      </c>
      <c r="T389" s="566" t="str">
        <f t="shared" si="220"/>
        <v/>
      </c>
      <c r="U389" s="702"/>
      <c r="V389" s="132"/>
      <c r="W389" s="133"/>
      <c r="X389" s="134"/>
      <c r="Y389" s="135"/>
      <c r="Z389" s="137"/>
      <c r="AA389" s="136"/>
      <c r="AB389" s="566" t="str">
        <f t="shared" si="213"/>
        <v/>
      </c>
      <c r="AC389" s="568" t="str">
        <f t="shared" si="221"/>
        <v/>
      </c>
      <c r="AD389" s="137"/>
      <c r="AE389" s="137"/>
      <c r="AF389" s="138"/>
      <c r="AG389" s="138"/>
      <c r="AH389" s="592" t="str">
        <f t="shared" si="214"/>
        <v/>
      </c>
      <c r="AI389" s="592" t="str">
        <f t="shared" si="215"/>
        <v/>
      </c>
      <c r="AJ389" s="592" t="str">
        <f t="shared" si="216"/>
        <v/>
      </c>
      <c r="AK389" s="460" t="str">
        <f>IF(AU389="","",IF(OR(AZ389=8,AZ389=9),0,IF(OR(AW389=3,AW389=4,AW389=5,AW389=6),IF(LEFT(BF389,1)="1",INDEX(係数_NOX・PM低減,MATCH(AY389,【参考】排出係数!$AI$801:$AI$804,1),1),VLOOKUP(AU389,INDEX((係数_バス貨物_ガソリン,係数_バス貨物_CNG,係数_バス貨物_軽油,係数_バス貨物_メタノール,係数_バス貨物_LPG),MATCH(AY389,【参考】排出係数!$AI$4:$AI$671,1),1,BE389):INDEX((係数_バス貨物_ガソリン,係数_バス貨物_CNG,係数_バス貨物_軽油,係数_バス貨物_メタノール,係数_バス貨物_LPG),MATCH(AY389+1,【参考】排出係数!$AI$4:$AI$671,1)-1,5,BE389),4,FALSE)),IF(AND(BE389=3,LEFT(BF389,1)="1"),0.48,VLOOKUP(AU389,INDEX((係数_乗用_ガソリン,係数_乗用_CNG,係数_乗用_軽油,係数_乗用_メタノール,係数_乗用_LPG),1,1,BE389):INDEX((係数_乗用_ガソリン,係数_乗用_CNG,係数_乗用_軽油,係数_乗用_メタノール,係数_乗用_LPG),125,5,BE389),4,FALSE)))))</f>
        <v/>
      </c>
      <c r="AL389" s="461" t="str">
        <f t="shared" si="240"/>
        <v/>
      </c>
      <c r="AM389" s="460" t="str">
        <f>IF(AU389="","",IF(OR(AZ389=8,AZ389=9),0,IF(OR(AW389=3,AW389=4,AW389=5,AW389=6),IF(LEFT(BH389,1)="1",INDEX(係数_PM低減,MATCH(AY389,【参考】排出係数!$AI$801:$AI$804,1),MATCH(BI389,【参考】排出係数!$AL$798:$AO$798,1)),VLOOKUP(AU389,INDEX((係数_バス貨物_ガソリン,係数_バス貨物_CNG,係数_バス貨物_軽油,係数_バス貨物_メタノール,係数_バス貨物_LPG),MATCH(AY389,【参考】排出係数!$AI$4:$AI$671,1),1,BE389):INDEX((係数_バス貨物_ガソリン,係数_バス貨物_CNG,係数_バス貨物_軽油,係数_バス貨物_メタノール,係数_バス貨物_LPG),MATCH(AY389+1,【参考】排出係数!$AI$4:$AI$671,1)-1,5,BE389),5,FALSE)),IF(AND(BE389=3,LEFT(BF389,1)="1"),0.055,VLOOKUP(AU389,INDEX((係数_乗用_ガソリン,係数_乗用_CNG,係数_乗用_軽油,係数_乗用_メタノール,係数_乗用_LPG),1,1,BE389):INDEX((係数_乗用_ガソリン,係数_乗用_CNG,係数_乗用_軽油,係数_乗用_メタノール,係数_乗用_LPG),125,5,BE389),5,FALSE)))))</f>
        <v/>
      </c>
      <c r="AN389" s="461" t="str">
        <f t="shared" si="241"/>
        <v/>
      </c>
      <c r="AO389" s="462" t="str">
        <f t="shared" si="242"/>
        <v/>
      </c>
      <c r="AP389" s="463" t="str">
        <f t="shared" si="243"/>
        <v/>
      </c>
      <c r="AQ389" s="464"/>
      <c r="AR389" s="619"/>
      <c r="AS389" s="465" t="str">
        <f t="shared" si="222"/>
        <v/>
      </c>
      <c r="AT389" s="465" t="str">
        <f t="shared" si="223"/>
        <v/>
      </c>
      <c r="AU389" s="466" t="str">
        <f t="shared" si="224"/>
        <v/>
      </c>
      <c r="AV389" s="467" t="str">
        <f t="shared" si="225"/>
        <v/>
      </c>
      <c r="AW389" s="467" t="str">
        <f t="shared" si="226"/>
        <v/>
      </c>
      <c r="AX389" s="467" t="str">
        <f t="shared" si="227"/>
        <v/>
      </c>
      <c r="AY389" s="467" t="str">
        <f t="shared" si="228"/>
        <v/>
      </c>
      <c r="AZ389" s="467" t="str">
        <f t="shared" si="229"/>
        <v/>
      </c>
      <c r="BA389" s="468" t="str">
        <f>IF(AS389="","",IF(OR(AU389="",AU389="-"),"－",IF(OR(AZ389=8,AZ389=9),"",IF(OR(AW389=3,AW389=4,AW389=5,AW389=6),VLOOKUP(AU389,INDEX((係数_バス貨物_ガソリン,係数_バス貨物_CNG,係数_バス貨物_軽油,係数_バス貨物_メタノール,係数_バス貨物_LPG),MATCH(AY389,【参考】排出係数!$AI$4:$AI$671,1),1,BE389):INDEX((係数_バス貨物_ガソリン,係数_バス貨物_CNG,係数_バス貨物_軽油,係数_バス貨物_メタノール,係数_バス貨物_LPG),MATCH(AY389+1,【参考】排出係数!$AI$4:$AI$671,1)-1,5,BE389),2,FALSE),IF(OR(AW389=1,AW389=2),VLOOKUP(AU389,INDEX((係数_乗用_ガソリン,係数_乗用_CNG,係数_乗用_軽油,係数_乗用_メタノール,係数_乗用_LPG),1,1,BE389):INDEX((係数_乗用_ガソリン,係数_乗用_CNG,係数_乗用_軽油,係数_乗用_メタノール,係数_乗用_LPG),125,5,BE389),2,FALSE))))))</f>
        <v/>
      </c>
      <c r="BB389" s="468" t="str">
        <f>IF(T389="","",IF(OR(AU389="",AU389="-"),"－",IF(OR(AZ389=8,AZ389=9),"",IF(OR(AW389=3,AW389=4,AW389=5,AW389=6),VLOOKUP(AU389,INDEX((係数_バス貨物_ガソリン,係数_バス貨物_CNG,係数_バス貨物_軽油,係数_バス貨物_メタノール,係数_バス貨物_LPG),MATCH(AY389,【参考】排出係数!$AI$4:$AI$671,1),1,BE389):INDEX((係数_バス貨物_ガソリン,係数_バス貨物_CNG,係数_バス貨物_軽油,係数_バス貨物_メタノール,係数_バス貨物_LPG),MATCH(AY389+1,【参考】排出係数!$AI$4:$AI$671,1)-1,5,BE389),3,FALSE),IF(OR(AW389=1,AW389=2),VLOOKUP(AU389,INDEX((係数_乗用_ガソリン,係数_乗用_CNG,係数_乗用_軽油,係数_乗用_メタノール,係数_乗用_LPG),1,1,BE389):INDEX((係数_乗用_ガソリン,係数_乗用_CNG,係数_乗用_軽油,係数_乗用_メタノール,係数_乗用_LPG),125,5,BE389),3,FALSE))))))</f>
        <v/>
      </c>
      <c r="BC389" s="467" t="str">
        <f t="shared" si="230"/>
        <v/>
      </c>
      <c r="BD389" s="567" t="str">
        <f t="shared" si="231"/>
        <v/>
      </c>
      <c r="BE389" s="467" t="str">
        <f t="shared" si="232"/>
        <v/>
      </c>
      <c r="BF389" s="469" t="str">
        <f t="shared" ca="1" si="233"/>
        <v/>
      </c>
      <c r="BG389" s="469" t="str">
        <f t="shared" ca="1" si="234"/>
        <v/>
      </c>
      <c r="BH389" s="467" t="str">
        <f t="shared" si="235"/>
        <v/>
      </c>
      <c r="BI389" s="467" t="str">
        <f t="shared" ca="1" si="236"/>
        <v/>
      </c>
      <c r="BJ389" s="469" t="str">
        <f t="shared" si="237"/>
        <v/>
      </c>
      <c r="BK389" s="470" t="str">
        <f t="shared" si="217"/>
        <v/>
      </c>
      <c r="BL389" s="775" t="str">
        <f t="shared" si="238"/>
        <v/>
      </c>
      <c r="BM389" s="775" t="str">
        <f t="shared" si="239"/>
        <v/>
      </c>
    </row>
    <row r="390" spans="1:65">
      <c r="A390" s="473">
        <v>334</v>
      </c>
      <c r="B390" s="132"/>
      <c r="C390" s="332"/>
      <c r="D390" s="333"/>
      <c r="E390" s="333"/>
      <c r="F390" s="334"/>
      <c r="G390" s="337"/>
      <c r="H390" s="131"/>
      <c r="I390" s="337"/>
      <c r="J390" s="131"/>
      <c r="K390" s="458" t="str">
        <f t="shared" si="206"/>
        <v/>
      </c>
      <c r="L390" s="458">
        <f t="shared" si="218"/>
        <v>0</v>
      </c>
      <c r="M390" s="458">
        <f t="shared" si="219"/>
        <v>0</v>
      </c>
      <c r="N390" s="459" t="str">
        <f t="shared" si="207"/>
        <v/>
      </c>
      <c r="O390" s="459" t="str">
        <f t="shared" si="208"/>
        <v/>
      </c>
      <c r="P390" s="459" t="str">
        <f t="shared" si="209"/>
        <v/>
      </c>
      <c r="Q390" s="459" t="str">
        <f t="shared" si="210"/>
        <v/>
      </c>
      <c r="R390" s="459" t="str">
        <f t="shared" si="211"/>
        <v/>
      </c>
      <c r="S390" s="459" t="str">
        <f t="shared" si="212"/>
        <v/>
      </c>
      <c r="T390" s="566" t="str">
        <f t="shared" si="220"/>
        <v/>
      </c>
      <c r="U390" s="702"/>
      <c r="V390" s="132"/>
      <c r="W390" s="133"/>
      <c r="X390" s="134"/>
      <c r="Y390" s="135"/>
      <c r="Z390" s="137"/>
      <c r="AA390" s="136"/>
      <c r="AB390" s="566" t="str">
        <f t="shared" si="213"/>
        <v/>
      </c>
      <c r="AC390" s="568" t="str">
        <f t="shared" si="221"/>
        <v/>
      </c>
      <c r="AD390" s="137"/>
      <c r="AE390" s="137"/>
      <c r="AF390" s="138"/>
      <c r="AG390" s="138"/>
      <c r="AH390" s="592" t="str">
        <f t="shared" si="214"/>
        <v/>
      </c>
      <c r="AI390" s="592" t="str">
        <f t="shared" si="215"/>
        <v/>
      </c>
      <c r="AJ390" s="592" t="str">
        <f t="shared" si="216"/>
        <v/>
      </c>
      <c r="AK390" s="460" t="str">
        <f>IF(AU390="","",IF(OR(AZ390=8,AZ390=9),0,IF(OR(AW390=3,AW390=4,AW390=5,AW390=6),IF(LEFT(BF390,1)="1",INDEX(係数_NOX・PM低減,MATCH(AY390,【参考】排出係数!$AI$801:$AI$804,1),1),VLOOKUP(AU390,INDEX((係数_バス貨物_ガソリン,係数_バス貨物_CNG,係数_バス貨物_軽油,係数_バス貨物_メタノール,係数_バス貨物_LPG),MATCH(AY390,【参考】排出係数!$AI$4:$AI$671,1),1,BE390):INDEX((係数_バス貨物_ガソリン,係数_バス貨物_CNG,係数_バス貨物_軽油,係数_バス貨物_メタノール,係数_バス貨物_LPG),MATCH(AY390+1,【参考】排出係数!$AI$4:$AI$671,1)-1,5,BE390),4,FALSE)),IF(AND(BE390=3,LEFT(BF390,1)="1"),0.48,VLOOKUP(AU390,INDEX((係数_乗用_ガソリン,係数_乗用_CNG,係数_乗用_軽油,係数_乗用_メタノール,係数_乗用_LPG),1,1,BE390):INDEX((係数_乗用_ガソリン,係数_乗用_CNG,係数_乗用_軽油,係数_乗用_メタノール,係数_乗用_LPG),125,5,BE390),4,FALSE)))))</f>
        <v/>
      </c>
      <c r="AL390" s="461" t="str">
        <f t="shared" si="240"/>
        <v/>
      </c>
      <c r="AM390" s="460" t="str">
        <f>IF(AU390="","",IF(OR(AZ390=8,AZ390=9),0,IF(OR(AW390=3,AW390=4,AW390=5,AW390=6),IF(LEFT(BH390,1)="1",INDEX(係数_PM低減,MATCH(AY390,【参考】排出係数!$AI$801:$AI$804,1),MATCH(BI390,【参考】排出係数!$AL$798:$AO$798,1)),VLOOKUP(AU390,INDEX((係数_バス貨物_ガソリン,係数_バス貨物_CNG,係数_バス貨物_軽油,係数_バス貨物_メタノール,係数_バス貨物_LPG),MATCH(AY390,【参考】排出係数!$AI$4:$AI$671,1),1,BE390):INDEX((係数_バス貨物_ガソリン,係数_バス貨物_CNG,係数_バス貨物_軽油,係数_バス貨物_メタノール,係数_バス貨物_LPG),MATCH(AY390+1,【参考】排出係数!$AI$4:$AI$671,1)-1,5,BE390),5,FALSE)),IF(AND(BE390=3,LEFT(BF390,1)="1"),0.055,VLOOKUP(AU390,INDEX((係数_乗用_ガソリン,係数_乗用_CNG,係数_乗用_軽油,係数_乗用_メタノール,係数_乗用_LPG),1,1,BE390):INDEX((係数_乗用_ガソリン,係数_乗用_CNG,係数_乗用_軽油,係数_乗用_メタノール,係数_乗用_LPG),125,5,BE390),5,FALSE)))))</f>
        <v/>
      </c>
      <c r="AN390" s="461" t="str">
        <f t="shared" si="241"/>
        <v/>
      </c>
      <c r="AO390" s="462" t="str">
        <f t="shared" si="242"/>
        <v/>
      </c>
      <c r="AP390" s="463" t="str">
        <f t="shared" si="243"/>
        <v/>
      </c>
      <c r="AQ390" s="464"/>
      <c r="AR390" s="619"/>
      <c r="AS390" s="465" t="str">
        <f t="shared" si="222"/>
        <v/>
      </c>
      <c r="AT390" s="465" t="str">
        <f t="shared" si="223"/>
        <v/>
      </c>
      <c r="AU390" s="466" t="str">
        <f t="shared" si="224"/>
        <v/>
      </c>
      <c r="AV390" s="467" t="str">
        <f t="shared" si="225"/>
        <v/>
      </c>
      <c r="AW390" s="467" t="str">
        <f t="shared" si="226"/>
        <v/>
      </c>
      <c r="AX390" s="467" t="str">
        <f t="shared" si="227"/>
        <v/>
      </c>
      <c r="AY390" s="467" t="str">
        <f t="shared" si="228"/>
        <v/>
      </c>
      <c r="AZ390" s="467" t="str">
        <f t="shared" si="229"/>
        <v/>
      </c>
      <c r="BA390" s="468" t="str">
        <f>IF(AS390="","",IF(OR(AU390="",AU390="-"),"－",IF(OR(AZ390=8,AZ390=9),"",IF(OR(AW390=3,AW390=4,AW390=5,AW390=6),VLOOKUP(AU390,INDEX((係数_バス貨物_ガソリン,係数_バス貨物_CNG,係数_バス貨物_軽油,係数_バス貨物_メタノール,係数_バス貨物_LPG),MATCH(AY390,【参考】排出係数!$AI$4:$AI$671,1),1,BE390):INDEX((係数_バス貨物_ガソリン,係数_バス貨物_CNG,係数_バス貨物_軽油,係数_バス貨物_メタノール,係数_バス貨物_LPG),MATCH(AY390+1,【参考】排出係数!$AI$4:$AI$671,1)-1,5,BE390),2,FALSE),IF(OR(AW390=1,AW390=2),VLOOKUP(AU390,INDEX((係数_乗用_ガソリン,係数_乗用_CNG,係数_乗用_軽油,係数_乗用_メタノール,係数_乗用_LPG),1,1,BE390):INDEX((係数_乗用_ガソリン,係数_乗用_CNG,係数_乗用_軽油,係数_乗用_メタノール,係数_乗用_LPG),125,5,BE390),2,FALSE))))))</f>
        <v/>
      </c>
      <c r="BB390" s="468" t="str">
        <f>IF(T390="","",IF(OR(AU390="",AU390="-"),"－",IF(OR(AZ390=8,AZ390=9),"",IF(OR(AW390=3,AW390=4,AW390=5,AW390=6),VLOOKUP(AU390,INDEX((係数_バス貨物_ガソリン,係数_バス貨物_CNG,係数_バス貨物_軽油,係数_バス貨物_メタノール,係数_バス貨物_LPG),MATCH(AY390,【参考】排出係数!$AI$4:$AI$671,1),1,BE390):INDEX((係数_バス貨物_ガソリン,係数_バス貨物_CNG,係数_バス貨物_軽油,係数_バス貨物_メタノール,係数_バス貨物_LPG),MATCH(AY390+1,【参考】排出係数!$AI$4:$AI$671,1)-1,5,BE390),3,FALSE),IF(OR(AW390=1,AW390=2),VLOOKUP(AU390,INDEX((係数_乗用_ガソリン,係数_乗用_CNG,係数_乗用_軽油,係数_乗用_メタノール,係数_乗用_LPG),1,1,BE390):INDEX((係数_乗用_ガソリン,係数_乗用_CNG,係数_乗用_軽油,係数_乗用_メタノール,係数_乗用_LPG),125,5,BE390),3,FALSE))))))</f>
        <v/>
      </c>
      <c r="BC390" s="467" t="str">
        <f t="shared" si="230"/>
        <v/>
      </c>
      <c r="BD390" s="567" t="str">
        <f t="shared" si="231"/>
        <v/>
      </c>
      <c r="BE390" s="467" t="str">
        <f t="shared" si="232"/>
        <v/>
      </c>
      <c r="BF390" s="469" t="str">
        <f t="shared" ca="1" si="233"/>
        <v/>
      </c>
      <c r="BG390" s="469" t="str">
        <f t="shared" ca="1" si="234"/>
        <v/>
      </c>
      <c r="BH390" s="467" t="str">
        <f t="shared" si="235"/>
        <v/>
      </c>
      <c r="BI390" s="467" t="str">
        <f t="shared" ca="1" si="236"/>
        <v/>
      </c>
      <c r="BJ390" s="469" t="str">
        <f t="shared" si="237"/>
        <v/>
      </c>
      <c r="BK390" s="470" t="str">
        <f t="shared" si="217"/>
        <v/>
      </c>
      <c r="BL390" s="775" t="str">
        <f t="shared" si="238"/>
        <v/>
      </c>
      <c r="BM390" s="775" t="str">
        <f t="shared" si="239"/>
        <v/>
      </c>
    </row>
    <row r="391" spans="1:65">
      <c r="A391" s="473">
        <v>335</v>
      </c>
      <c r="B391" s="132"/>
      <c r="C391" s="332"/>
      <c r="D391" s="333"/>
      <c r="E391" s="333"/>
      <c r="F391" s="334"/>
      <c r="G391" s="337"/>
      <c r="H391" s="131"/>
      <c r="I391" s="337"/>
      <c r="J391" s="131"/>
      <c r="K391" s="458" t="str">
        <f t="shared" si="206"/>
        <v/>
      </c>
      <c r="L391" s="458">
        <f t="shared" si="218"/>
        <v>0</v>
      </c>
      <c r="M391" s="458">
        <f t="shared" si="219"/>
        <v>0</v>
      </c>
      <c r="N391" s="459" t="str">
        <f t="shared" si="207"/>
        <v/>
      </c>
      <c r="O391" s="459" t="str">
        <f t="shared" si="208"/>
        <v/>
      </c>
      <c r="P391" s="459" t="str">
        <f t="shared" si="209"/>
        <v/>
      </c>
      <c r="Q391" s="459" t="str">
        <f t="shared" si="210"/>
        <v/>
      </c>
      <c r="R391" s="459" t="str">
        <f t="shared" si="211"/>
        <v/>
      </c>
      <c r="S391" s="459" t="str">
        <f t="shared" si="212"/>
        <v/>
      </c>
      <c r="T391" s="566" t="str">
        <f t="shared" si="220"/>
        <v/>
      </c>
      <c r="U391" s="702"/>
      <c r="V391" s="132"/>
      <c r="W391" s="133"/>
      <c r="X391" s="134"/>
      <c r="Y391" s="135"/>
      <c r="Z391" s="137"/>
      <c r="AA391" s="136"/>
      <c r="AB391" s="566" t="str">
        <f t="shared" si="213"/>
        <v/>
      </c>
      <c r="AC391" s="568" t="str">
        <f t="shared" si="221"/>
        <v/>
      </c>
      <c r="AD391" s="137"/>
      <c r="AE391" s="137"/>
      <c r="AF391" s="138"/>
      <c r="AG391" s="138"/>
      <c r="AH391" s="592" t="str">
        <f t="shared" si="214"/>
        <v/>
      </c>
      <c r="AI391" s="592" t="str">
        <f t="shared" si="215"/>
        <v/>
      </c>
      <c r="AJ391" s="592" t="str">
        <f t="shared" si="216"/>
        <v/>
      </c>
      <c r="AK391" s="460" t="str">
        <f>IF(AU391="","",IF(OR(AZ391=8,AZ391=9),0,IF(OR(AW391=3,AW391=4,AW391=5,AW391=6),IF(LEFT(BF391,1)="1",INDEX(係数_NOX・PM低減,MATCH(AY391,【参考】排出係数!$AI$801:$AI$804,1),1),VLOOKUP(AU391,INDEX((係数_バス貨物_ガソリン,係数_バス貨物_CNG,係数_バス貨物_軽油,係数_バス貨物_メタノール,係数_バス貨物_LPG),MATCH(AY391,【参考】排出係数!$AI$4:$AI$671,1),1,BE391):INDEX((係数_バス貨物_ガソリン,係数_バス貨物_CNG,係数_バス貨物_軽油,係数_バス貨物_メタノール,係数_バス貨物_LPG),MATCH(AY391+1,【参考】排出係数!$AI$4:$AI$671,1)-1,5,BE391),4,FALSE)),IF(AND(BE391=3,LEFT(BF391,1)="1"),0.48,VLOOKUP(AU391,INDEX((係数_乗用_ガソリン,係数_乗用_CNG,係数_乗用_軽油,係数_乗用_メタノール,係数_乗用_LPG),1,1,BE391):INDEX((係数_乗用_ガソリン,係数_乗用_CNG,係数_乗用_軽油,係数_乗用_メタノール,係数_乗用_LPG),125,5,BE391),4,FALSE)))))</f>
        <v/>
      </c>
      <c r="AL391" s="461" t="str">
        <f t="shared" si="240"/>
        <v/>
      </c>
      <c r="AM391" s="460" t="str">
        <f>IF(AU391="","",IF(OR(AZ391=8,AZ391=9),0,IF(OR(AW391=3,AW391=4,AW391=5,AW391=6),IF(LEFT(BH391,1)="1",INDEX(係数_PM低減,MATCH(AY391,【参考】排出係数!$AI$801:$AI$804,1),MATCH(BI391,【参考】排出係数!$AL$798:$AO$798,1)),VLOOKUP(AU391,INDEX((係数_バス貨物_ガソリン,係数_バス貨物_CNG,係数_バス貨物_軽油,係数_バス貨物_メタノール,係数_バス貨物_LPG),MATCH(AY391,【参考】排出係数!$AI$4:$AI$671,1),1,BE391):INDEX((係数_バス貨物_ガソリン,係数_バス貨物_CNG,係数_バス貨物_軽油,係数_バス貨物_メタノール,係数_バス貨物_LPG),MATCH(AY391+1,【参考】排出係数!$AI$4:$AI$671,1)-1,5,BE391),5,FALSE)),IF(AND(BE391=3,LEFT(BF391,1)="1"),0.055,VLOOKUP(AU391,INDEX((係数_乗用_ガソリン,係数_乗用_CNG,係数_乗用_軽油,係数_乗用_メタノール,係数_乗用_LPG),1,1,BE391):INDEX((係数_乗用_ガソリン,係数_乗用_CNG,係数_乗用_軽油,係数_乗用_メタノール,係数_乗用_LPG),125,5,BE391),5,FALSE)))))</f>
        <v/>
      </c>
      <c r="AN391" s="461" t="str">
        <f t="shared" si="241"/>
        <v/>
      </c>
      <c r="AO391" s="462" t="str">
        <f t="shared" si="242"/>
        <v/>
      </c>
      <c r="AP391" s="463" t="str">
        <f t="shared" si="243"/>
        <v/>
      </c>
      <c r="AQ391" s="464"/>
      <c r="AR391" s="619"/>
      <c r="AS391" s="465" t="str">
        <f t="shared" si="222"/>
        <v/>
      </c>
      <c r="AT391" s="465" t="str">
        <f t="shared" si="223"/>
        <v/>
      </c>
      <c r="AU391" s="466" t="str">
        <f t="shared" si="224"/>
        <v/>
      </c>
      <c r="AV391" s="467" t="str">
        <f t="shared" si="225"/>
        <v/>
      </c>
      <c r="AW391" s="467" t="str">
        <f t="shared" si="226"/>
        <v/>
      </c>
      <c r="AX391" s="467" t="str">
        <f t="shared" si="227"/>
        <v/>
      </c>
      <c r="AY391" s="467" t="str">
        <f t="shared" si="228"/>
        <v/>
      </c>
      <c r="AZ391" s="467" t="str">
        <f t="shared" si="229"/>
        <v/>
      </c>
      <c r="BA391" s="468" t="str">
        <f>IF(AS391="","",IF(OR(AU391="",AU391="-"),"－",IF(OR(AZ391=8,AZ391=9),"",IF(OR(AW391=3,AW391=4,AW391=5,AW391=6),VLOOKUP(AU391,INDEX((係数_バス貨物_ガソリン,係数_バス貨物_CNG,係数_バス貨物_軽油,係数_バス貨物_メタノール,係数_バス貨物_LPG),MATCH(AY391,【参考】排出係数!$AI$4:$AI$671,1),1,BE391):INDEX((係数_バス貨物_ガソリン,係数_バス貨物_CNG,係数_バス貨物_軽油,係数_バス貨物_メタノール,係数_バス貨物_LPG),MATCH(AY391+1,【参考】排出係数!$AI$4:$AI$671,1)-1,5,BE391),2,FALSE),IF(OR(AW391=1,AW391=2),VLOOKUP(AU391,INDEX((係数_乗用_ガソリン,係数_乗用_CNG,係数_乗用_軽油,係数_乗用_メタノール,係数_乗用_LPG),1,1,BE391):INDEX((係数_乗用_ガソリン,係数_乗用_CNG,係数_乗用_軽油,係数_乗用_メタノール,係数_乗用_LPG),125,5,BE391),2,FALSE))))))</f>
        <v/>
      </c>
      <c r="BB391" s="468" t="str">
        <f>IF(T391="","",IF(OR(AU391="",AU391="-"),"－",IF(OR(AZ391=8,AZ391=9),"",IF(OR(AW391=3,AW391=4,AW391=5,AW391=6),VLOOKUP(AU391,INDEX((係数_バス貨物_ガソリン,係数_バス貨物_CNG,係数_バス貨物_軽油,係数_バス貨物_メタノール,係数_バス貨物_LPG),MATCH(AY391,【参考】排出係数!$AI$4:$AI$671,1),1,BE391):INDEX((係数_バス貨物_ガソリン,係数_バス貨物_CNG,係数_バス貨物_軽油,係数_バス貨物_メタノール,係数_バス貨物_LPG),MATCH(AY391+1,【参考】排出係数!$AI$4:$AI$671,1)-1,5,BE391),3,FALSE),IF(OR(AW391=1,AW391=2),VLOOKUP(AU391,INDEX((係数_乗用_ガソリン,係数_乗用_CNG,係数_乗用_軽油,係数_乗用_メタノール,係数_乗用_LPG),1,1,BE391):INDEX((係数_乗用_ガソリン,係数_乗用_CNG,係数_乗用_軽油,係数_乗用_メタノール,係数_乗用_LPG),125,5,BE391),3,FALSE))))))</f>
        <v/>
      </c>
      <c r="BC391" s="467" t="str">
        <f t="shared" si="230"/>
        <v/>
      </c>
      <c r="BD391" s="567" t="str">
        <f t="shared" si="231"/>
        <v/>
      </c>
      <c r="BE391" s="467" t="str">
        <f t="shared" si="232"/>
        <v/>
      </c>
      <c r="BF391" s="469" t="str">
        <f t="shared" ca="1" si="233"/>
        <v/>
      </c>
      <c r="BG391" s="469" t="str">
        <f t="shared" ca="1" si="234"/>
        <v/>
      </c>
      <c r="BH391" s="467" t="str">
        <f t="shared" si="235"/>
        <v/>
      </c>
      <c r="BI391" s="467" t="str">
        <f t="shared" ca="1" si="236"/>
        <v/>
      </c>
      <c r="BJ391" s="469" t="str">
        <f t="shared" si="237"/>
        <v/>
      </c>
      <c r="BK391" s="470" t="str">
        <f t="shared" si="217"/>
        <v/>
      </c>
      <c r="BL391" s="775" t="str">
        <f t="shared" si="238"/>
        <v/>
      </c>
      <c r="BM391" s="775" t="str">
        <f t="shared" si="239"/>
        <v/>
      </c>
    </row>
    <row r="392" spans="1:65">
      <c r="A392" s="473">
        <v>336</v>
      </c>
      <c r="B392" s="132"/>
      <c r="C392" s="332"/>
      <c r="D392" s="333"/>
      <c r="E392" s="333"/>
      <c r="F392" s="334"/>
      <c r="G392" s="337"/>
      <c r="H392" s="131"/>
      <c r="I392" s="337"/>
      <c r="J392" s="131"/>
      <c r="K392" s="458" t="str">
        <f t="shared" si="206"/>
        <v/>
      </c>
      <c r="L392" s="458">
        <f t="shared" si="218"/>
        <v>0</v>
      </c>
      <c r="M392" s="458">
        <f t="shared" si="219"/>
        <v>0</v>
      </c>
      <c r="N392" s="459" t="str">
        <f t="shared" si="207"/>
        <v/>
      </c>
      <c r="O392" s="459" t="str">
        <f t="shared" si="208"/>
        <v/>
      </c>
      <c r="P392" s="459" t="str">
        <f t="shared" si="209"/>
        <v/>
      </c>
      <c r="Q392" s="459" t="str">
        <f t="shared" si="210"/>
        <v/>
      </c>
      <c r="R392" s="459" t="str">
        <f t="shared" si="211"/>
        <v/>
      </c>
      <c r="S392" s="459" t="str">
        <f t="shared" si="212"/>
        <v/>
      </c>
      <c r="T392" s="566" t="str">
        <f t="shared" si="220"/>
        <v/>
      </c>
      <c r="U392" s="702"/>
      <c r="V392" s="132"/>
      <c r="W392" s="133"/>
      <c r="X392" s="134"/>
      <c r="Y392" s="135"/>
      <c r="Z392" s="137"/>
      <c r="AA392" s="136"/>
      <c r="AB392" s="566" t="str">
        <f t="shared" si="213"/>
        <v/>
      </c>
      <c r="AC392" s="568" t="str">
        <f t="shared" si="221"/>
        <v/>
      </c>
      <c r="AD392" s="137"/>
      <c r="AE392" s="137"/>
      <c r="AF392" s="138"/>
      <c r="AG392" s="138"/>
      <c r="AH392" s="592" t="str">
        <f t="shared" si="214"/>
        <v/>
      </c>
      <c r="AI392" s="592" t="str">
        <f t="shared" si="215"/>
        <v/>
      </c>
      <c r="AJ392" s="592" t="str">
        <f t="shared" si="216"/>
        <v/>
      </c>
      <c r="AK392" s="460" t="str">
        <f>IF(AU392="","",IF(OR(AZ392=8,AZ392=9),0,IF(OR(AW392=3,AW392=4,AW392=5,AW392=6),IF(LEFT(BF392,1)="1",INDEX(係数_NOX・PM低減,MATCH(AY392,【参考】排出係数!$AI$801:$AI$804,1),1),VLOOKUP(AU392,INDEX((係数_バス貨物_ガソリン,係数_バス貨物_CNG,係数_バス貨物_軽油,係数_バス貨物_メタノール,係数_バス貨物_LPG),MATCH(AY392,【参考】排出係数!$AI$4:$AI$671,1),1,BE392):INDEX((係数_バス貨物_ガソリン,係数_バス貨物_CNG,係数_バス貨物_軽油,係数_バス貨物_メタノール,係数_バス貨物_LPG),MATCH(AY392+1,【参考】排出係数!$AI$4:$AI$671,1)-1,5,BE392),4,FALSE)),IF(AND(BE392=3,LEFT(BF392,1)="1"),0.48,VLOOKUP(AU392,INDEX((係数_乗用_ガソリン,係数_乗用_CNG,係数_乗用_軽油,係数_乗用_メタノール,係数_乗用_LPG),1,1,BE392):INDEX((係数_乗用_ガソリン,係数_乗用_CNG,係数_乗用_軽油,係数_乗用_メタノール,係数_乗用_LPG),125,5,BE392),4,FALSE)))))</f>
        <v/>
      </c>
      <c r="AL392" s="461" t="str">
        <f t="shared" si="240"/>
        <v/>
      </c>
      <c r="AM392" s="460" t="str">
        <f>IF(AU392="","",IF(OR(AZ392=8,AZ392=9),0,IF(OR(AW392=3,AW392=4,AW392=5,AW392=6),IF(LEFT(BH392,1)="1",INDEX(係数_PM低減,MATCH(AY392,【参考】排出係数!$AI$801:$AI$804,1),MATCH(BI392,【参考】排出係数!$AL$798:$AO$798,1)),VLOOKUP(AU392,INDEX((係数_バス貨物_ガソリン,係数_バス貨物_CNG,係数_バス貨物_軽油,係数_バス貨物_メタノール,係数_バス貨物_LPG),MATCH(AY392,【参考】排出係数!$AI$4:$AI$671,1),1,BE392):INDEX((係数_バス貨物_ガソリン,係数_バス貨物_CNG,係数_バス貨物_軽油,係数_バス貨物_メタノール,係数_バス貨物_LPG),MATCH(AY392+1,【参考】排出係数!$AI$4:$AI$671,1)-1,5,BE392),5,FALSE)),IF(AND(BE392=3,LEFT(BF392,1)="1"),0.055,VLOOKUP(AU392,INDEX((係数_乗用_ガソリン,係数_乗用_CNG,係数_乗用_軽油,係数_乗用_メタノール,係数_乗用_LPG),1,1,BE392):INDEX((係数_乗用_ガソリン,係数_乗用_CNG,係数_乗用_軽油,係数_乗用_メタノール,係数_乗用_LPG),125,5,BE392),5,FALSE)))))</f>
        <v/>
      </c>
      <c r="AN392" s="461" t="str">
        <f t="shared" si="241"/>
        <v/>
      </c>
      <c r="AO392" s="462" t="str">
        <f t="shared" si="242"/>
        <v/>
      </c>
      <c r="AP392" s="463" t="str">
        <f t="shared" si="243"/>
        <v/>
      </c>
      <c r="AQ392" s="464"/>
      <c r="AR392" s="619"/>
      <c r="AS392" s="465" t="str">
        <f t="shared" si="222"/>
        <v/>
      </c>
      <c r="AT392" s="465" t="str">
        <f t="shared" si="223"/>
        <v/>
      </c>
      <c r="AU392" s="466" t="str">
        <f t="shared" si="224"/>
        <v/>
      </c>
      <c r="AV392" s="467" t="str">
        <f t="shared" si="225"/>
        <v/>
      </c>
      <c r="AW392" s="467" t="str">
        <f t="shared" si="226"/>
        <v/>
      </c>
      <c r="AX392" s="467" t="str">
        <f t="shared" si="227"/>
        <v/>
      </c>
      <c r="AY392" s="467" t="str">
        <f t="shared" si="228"/>
        <v/>
      </c>
      <c r="AZ392" s="467" t="str">
        <f t="shared" si="229"/>
        <v/>
      </c>
      <c r="BA392" s="468" t="str">
        <f>IF(AS392="","",IF(OR(AU392="",AU392="-"),"－",IF(OR(AZ392=8,AZ392=9),"",IF(OR(AW392=3,AW392=4,AW392=5,AW392=6),VLOOKUP(AU392,INDEX((係数_バス貨物_ガソリン,係数_バス貨物_CNG,係数_バス貨物_軽油,係数_バス貨物_メタノール,係数_バス貨物_LPG),MATCH(AY392,【参考】排出係数!$AI$4:$AI$671,1),1,BE392):INDEX((係数_バス貨物_ガソリン,係数_バス貨物_CNG,係数_バス貨物_軽油,係数_バス貨物_メタノール,係数_バス貨物_LPG),MATCH(AY392+1,【参考】排出係数!$AI$4:$AI$671,1)-1,5,BE392),2,FALSE),IF(OR(AW392=1,AW392=2),VLOOKUP(AU392,INDEX((係数_乗用_ガソリン,係数_乗用_CNG,係数_乗用_軽油,係数_乗用_メタノール,係数_乗用_LPG),1,1,BE392):INDEX((係数_乗用_ガソリン,係数_乗用_CNG,係数_乗用_軽油,係数_乗用_メタノール,係数_乗用_LPG),125,5,BE392),2,FALSE))))))</f>
        <v/>
      </c>
      <c r="BB392" s="468" t="str">
        <f>IF(T392="","",IF(OR(AU392="",AU392="-"),"－",IF(OR(AZ392=8,AZ392=9),"",IF(OR(AW392=3,AW392=4,AW392=5,AW392=6),VLOOKUP(AU392,INDEX((係数_バス貨物_ガソリン,係数_バス貨物_CNG,係数_バス貨物_軽油,係数_バス貨物_メタノール,係数_バス貨物_LPG),MATCH(AY392,【参考】排出係数!$AI$4:$AI$671,1),1,BE392):INDEX((係数_バス貨物_ガソリン,係数_バス貨物_CNG,係数_バス貨物_軽油,係数_バス貨物_メタノール,係数_バス貨物_LPG),MATCH(AY392+1,【参考】排出係数!$AI$4:$AI$671,1)-1,5,BE392),3,FALSE),IF(OR(AW392=1,AW392=2),VLOOKUP(AU392,INDEX((係数_乗用_ガソリン,係数_乗用_CNG,係数_乗用_軽油,係数_乗用_メタノール,係数_乗用_LPG),1,1,BE392):INDEX((係数_乗用_ガソリン,係数_乗用_CNG,係数_乗用_軽油,係数_乗用_メタノール,係数_乗用_LPG),125,5,BE392),3,FALSE))))))</f>
        <v/>
      </c>
      <c r="BC392" s="467" t="str">
        <f t="shared" si="230"/>
        <v/>
      </c>
      <c r="BD392" s="567" t="str">
        <f t="shared" si="231"/>
        <v/>
      </c>
      <c r="BE392" s="467" t="str">
        <f t="shared" si="232"/>
        <v/>
      </c>
      <c r="BF392" s="469" t="str">
        <f t="shared" ca="1" si="233"/>
        <v/>
      </c>
      <c r="BG392" s="469" t="str">
        <f t="shared" ca="1" si="234"/>
        <v/>
      </c>
      <c r="BH392" s="467" t="str">
        <f t="shared" si="235"/>
        <v/>
      </c>
      <c r="BI392" s="467" t="str">
        <f t="shared" ca="1" si="236"/>
        <v/>
      </c>
      <c r="BJ392" s="469" t="str">
        <f t="shared" si="237"/>
        <v/>
      </c>
      <c r="BK392" s="470" t="str">
        <f t="shared" si="217"/>
        <v/>
      </c>
      <c r="BL392" s="775" t="str">
        <f t="shared" si="238"/>
        <v/>
      </c>
      <c r="BM392" s="775" t="str">
        <f t="shared" si="239"/>
        <v/>
      </c>
    </row>
    <row r="393" spans="1:65">
      <c r="A393" s="473">
        <v>337</v>
      </c>
      <c r="B393" s="132"/>
      <c r="C393" s="332"/>
      <c r="D393" s="333"/>
      <c r="E393" s="333"/>
      <c r="F393" s="334"/>
      <c r="G393" s="337"/>
      <c r="H393" s="131"/>
      <c r="I393" s="337"/>
      <c r="J393" s="131"/>
      <c r="K393" s="458" t="str">
        <f t="shared" si="206"/>
        <v/>
      </c>
      <c r="L393" s="458">
        <f t="shared" si="218"/>
        <v>0</v>
      </c>
      <c r="M393" s="458">
        <f t="shared" si="219"/>
        <v>0</v>
      </c>
      <c r="N393" s="459" t="str">
        <f t="shared" si="207"/>
        <v/>
      </c>
      <c r="O393" s="459" t="str">
        <f t="shared" si="208"/>
        <v/>
      </c>
      <c r="P393" s="459" t="str">
        <f t="shared" si="209"/>
        <v/>
      </c>
      <c r="Q393" s="459" t="str">
        <f t="shared" si="210"/>
        <v/>
      </c>
      <c r="R393" s="459" t="str">
        <f t="shared" si="211"/>
        <v/>
      </c>
      <c r="S393" s="459" t="str">
        <f t="shared" si="212"/>
        <v/>
      </c>
      <c r="T393" s="566" t="str">
        <f t="shared" si="220"/>
        <v/>
      </c>
      <c r="U393" s="702"/>
      <c r="V393" s="132"/>
      <c r="W393" s="133"/>
      <c r="X393" s="134"/>
      <c r="Y393" s="135"/>
      <c r="Z393" s="137"/>
      <c r="AA393" s="136"/>
      <c r="AB393" s="566" t="str">
        <f t="shared" si="213"/>
        <v/>
      </c>
      <c r="AC393" s="568" t="str">
        <f t="shared" si="221"/>
        <v/>
      </c>
      <c r="AD393" s="137"/>
      <c r="AE393" s="137"/>
      <c r="AF393" s="138"/>
      <c r="AG393" s="138"/>
      <c r="AH393" s="592" t="str">
        <f t="shared" si="214"/>
        <v/>
      </c>
      <c r="AI393" s="592" t="str">
        <f t="shared" si="215"/>
        <v/>
      </c>
      <c r="AJ393" s="592" t="str">
        <f t="shared" si="216"/>
        <v/>
      </c>
      <c r="AK393" s="460" t="str">
        <f>IF(AU393="","",IF(OR(AZ393=8,AZ393=9),0,IF(OR(AW393=3,AW393=4,AW393=5,AW393=6),IF(LEFT(BF393,1)="1",INDEX(係数_NOX・PM低減,MATCH(AY393,【参考】排出係数!$AI$801:$AI$804,1),1),VLOOKUP(AU393,INDEX((係数_バス貨物_ガソリン,係数_バス貨物_CNG,係数_バス貨物_軽油,係数_バス貨物_メタノール,係数_バス貨物_LPG),MATCH(AY393,【参考】排出係数!$AI$4:$AI$671,1),1,BE393):INDEX((係数_バス貨物_ガソリン,係数_バス貨物_CNG,係数_バス貨物_軽油,係数_バス貨物_メタノール,係数_バス貨物_LPG),MATCH(AY393+1,【参考】排出係数!$AI$4:$AI$671,1)-1,5,BE393),4,FALSE)),IF(AND(BE393=3,LEFT(BF393,1)="1"),0.48,VLOOKUP(AU393,INDEX((係数_乗用_ガソリン,係数_乗用_CNG,係数_乗用_軽油,係数_乗用_メタノール,係数_乗用_LPG),1,1,BE393):INDEX((係数_乗用_ガソリン,係数_乗用_CNG,係数_乗用_軽油,係数_乗用_メタノール,係数_乗用_LPG),125,5,BE393),4,FALSE)))))</f>
        <v/>
      </c>
      <c r="AL393" s="461" t="str">
        <f t="shared" si="240"/>
        <v/>
      </c>
      <c r="AM393" s="460" t="str">
        <f>IF(AU393="","",IF(OR(AZ393=8,AZ393=9),0,IF(OR(AW393=3,AW393=4,AW393=5,AW393=6),IF(LEFT(BH393,1)="1",INDEX(係数_PM低減,MATCH(AY393,【参考】排出係数!$AI$801:$AI$804,1),MATCH(BI393,【参考】排出係数!$AL$798:$AO$798,1)),VLOOKUP(AU393,INDEX((係数_バス貨物_ガソリン,係数_バス貨物_CNG,係数_バス貨物_軽油,係数_バス貨物_メタノール,係数_バス貨物_LPG),MATCH(AY393,【参考】排出係数!$AI$4:$AI$671,1),1,BE393):INDEX((係数_バス貨物_ガソリン,係数_バス貨物_CNG,係数_バス貨物_軽油,係数_バス貨物_メタノール,係数_バス貨物_LPG),MATCH(AY393+1,【参考】排出係数!$AI$4:$AI$671,1)-1,5,BE393),5,FALSE)),IF(AND(BE393=3,LEFT(BF393,1)="1"),0.055,VLOOKUP(AU393,INDEX((係数_乗用_ガソリン,係数_乗用_CNG,係数_乗用_軽油,係数_乗用_メタノール,係数_乗用_LPG),1,1,BE393):INDEX((係数_乗用_ガソリン,係数_乗用_CNG,係数_乗用_軽油,係数_乗用_メタノール,係数_乗用_LPG),125,5,BE393),5,FALSE)))))</f>
        <v/>
      </c>
      <c r="AN393" s="461" t="str">
        <f t="shared" si="241"/>
        <v/>
      </c>
      <c r="AO393" s="462" t="str">
        <f t="shared" si="242"/>
        <v/>
      </c>
      <c r="AP393" s="463" t="str">
        <f t="shared" si="243"/>
        <v/>
      </c>
      <c r="AQ393" s="464"/>
      <c r="AR393" s="619"/>
      <c r="AS393" s="465" t="str">
        <f t="shared" si="222"/>
        <v/>
      </c>
      <c r="AT393" s="465" t="str">
        <f t="shared" si="223"/>
        <v/>
      </c>
      <c r="AU393" s="466" t="str">
        <f t="shared" si="224"/>
        <v/>
      </c>
      <c r="AV393" s="467" t="str">
        <f t="shared" si="225"/>
        <v/>
      </c>
      <c r="AW393" s="467" t="str">
        <f t="shared" si="226"/>
        <v/>
      </c>
      <c r="AX393" s="467" t="str">
        <f t="shared" si="227"/>
        <v/>
      </c>
      <c r="AY393" s="467" t="str">
        <f t="shared" si="228"/>
        <v/>
      </c>
      <c r="AZ393" s="467" t="str">
        <f t="shared" si="229"/>
        <v/>
      </c>
      <c r="BA393" s="468" t="str">
        <f>IF(AS393="","",IF(OR(AU393="",AU393="-"),"－",IF(OR(AZ393=8,AZ393=9),"",IF(OR(AW393=3,AW393=4,AW393=5,AW393=6),VLOOKUP(AU393,INDEX((係数_バス貨物_ガソリン,係数_バス貨物_CNG,係数_バス貨物_軽油,係数_バス貨物_メタノール,係数_バス貨物_LPG),MATCH(AY393,【参考】排出係数!$AI$4:$AI$671,1),1,BE393):INDEX((係数_バス貨物_ガソリン,係数_バス貨物_CNG,係数_バス貨物_軽油,係数_バス貨物_メタノール,係数_バス貨物_LPG),MATCH(AY393+1,【参考】排出係数!$AI$4:$AI$671,1)-1,5,BE393),2,FALSE),IF(OR(AW393=1,AW393=2),VLOOKUP(AU393,INDEX((係数_乗用_ガソリン,係数_乗用_CNG,係数_乗用_軽油,係数_乗用_メタノール,係数_乗用_LPG),1,1,BE393):INDEX((係数_乗用_ガソリン,係数_乗用_CNG,係数_乗用_軽油,係数_乗用_メタノール,係数_乗用_LPG),125,5,BE393),2,FALSE))))))</f>
        <v/>
      </c>
      <c r="BB393" s="468" t="str">
        <f>IF(T393="","",IF(OR(AU393="",AU393="-"),"－",IF(OR(AZ393=8,AZ393=9),"",IF(OR(AW393=3,AW393=4,AW393=5,AW393=6),VLOOKUP(AU393,INDEX((係数_バス貨物_ガソリン,係数_バス貨物_CNG,係数_バス貨物_軽油,係数_バス貨物_メタノール,係数_バス貨物_LPG),MATCH(AY393,【参考】排出係数!$AI$4:$AI$671,1),1,BE393):INDEX((係数_バス貨物_ガソリン,係数_バス貨物_CNG,係数_バス貨物_軽油,係数_バス貨物_メタノール,係数_バス貨物_LPG),MATCH(AY393+1,【参考】排出係数!$AI$4:$AI$671,1)-1,5,BE393),3,FALSE),IF(OR(AW393=1,AW393=2),VLOOKUP(AU393,INDEX((係数_乗用_ガソリン,係数_乗用_CNG,係数_乗用_軽油,係数_乗用_メタノール,係数_乗用_LPG),1,1,BE393):INDEX((係数_乗用_ガソリン,係数_乗用_CNG,係数_乗用_軽油,係数_乗用_メタノール,係数_乗用_LPG),125,5,BE393),3,FALSE))))))</f>
        <v/>
      </c>
      <c r="BC393" s="467" t="str">
        <f t="shared" si="230"/>
        <v/>
      </c>
      <c r="BD393" s="567" t="str">
        <f t="shared" si="231"/>
        <v/>
      </c>
      <c r="BE393" s="467" t="str">
        <f t="shared" si="232"/>
        <v/>
      </c>
      <c r="BF393" s="469" t="str">
        <f t="shared" ca="1" si="233"/>
        <v/>
      </c>
      <c r="BG393" s="469" t="str">
        <f t="shared" ca="1" si="234"/>
        <v/>
      </c>
      <c r="BH393" s="467" t="str">
        <f t="shared" si="235"/>
        <v/>
      </c>
      <c r="BI393" s="467" t="str">
        <f t="shared" ca="1" si="236"/>
        <v/>
      </c>
      <c r="BJ393" s="469" t="str">
        <f t="shared" si="237"/>
        <v/>
      </c>
      <c r="BK393" s="470" t="str">
        <f t="shared" si="217"/>
        <v/>
      </c>
      <c r="BL393" s="775" t="str">
        <f t="shared" si="238"/>
        <v/>
      </c>
      <c r="BM393" s="775" t="str">
        <f t="shared" si="239"/>
        <v/>
      </c>
    </row>
    <row r="394" spans="1:65">
      <c r="A394" s="473">
        <v>338</v>
      </c>
      <c r="B394" s="132"/>
      <c r="C394" s="332"/>
      <c r="D394" s="333"/>
      <c r="E394" s="333"/>
      <c r="F394" s="334"/>
      <c r="G394" s="337"/>
      <c r="H394" s="131"/>
      <c r="I394" s="337"/>
      <c r="J394" s="131"/>
      <c r="K394" s="458" t="str">
        <f t="shared" si="206"/>
        <v/>
      </c>
      <c r="L394" s="458">
        <f t="shared" si="218"/>
        <v>0</v>
      </c>
      <c r="M394" s="458">
        <f t="shared" si="219"/>
        <v>0</v>
      </c>
      <c r="N394" s="459" t="str">
        <f t="shared" si="207"/>
        <v/>
      </c>
      <c r="O394" s="459" t="str">
        <f t="shared" si="208"/>
        <v/>
      </c>
      <c r="P394" s="459" t="str">
        <f t="shared" si="209"/>
        <v/>
      </c>
      <c r="Q394" s="459" t="str">
        <f t="shared" si="210"/>
        <v/>
      </c>
      <c r="R394" s="459" t="str">
        <f t="shared" si="211"/>
        <v/>
      </c>
      <c r="S394" s="459" t="str">
        <f t="shared" si="212"/>
        <v/>
      </c>
      <c r="T394" s="566" t="str">
        <f t="shared" si="220"/>
        <v/>
      </c>
      <c r="U394" s="702"/>
      <c r="V394" s="132"/>
      <c r="W394" s="133"/>
      <c r="X394" s="134"/>
      <c r="Y394" s="135"/>
      <c r="Z394" s="137"/>
      <c r="AA394" s="136"/>
      <c r="AB394" s="566" t="str">
        <f t="shared" si="213"/>
        <v/>
      </c>
      <c r="AC394" s="568" t="str">
        <f t="shared" si="221"/>
        <v/>
      </c>
      <c r="AD394" s="137"/>
      <c r="AE394" s="137"/>
      <c r="AF394" s="138"/>
      <c r="AG394" s="138"/>
      <c r="AH394" s="592" t="str">
        <f t="shared" si="214"/>
        <v/>
      </c>
      <c r="AI394" s="592" t="str">
        <f t="shared" si="215"/>
        <v/>
      </c>
      <c r="AJ394" s="592" t="str">
        <f t="shared" si="216"/>
        <v/>
      </c>
      <c r="AK394" s="460" t="str">
        <f>IF(AU394="","",IF(OR(AZ394=8,AZ394=9),0,IF(OR(AW394=3,AW394=4,AW394=5,AW394=6),IF(LEFT(BF394,1)="1",INDEX(係数_NOX・PM低減,MATCH(AY394,【参考】排出係数!$AI$801:$AI$804,1),1),VLOOKUP(AU394,INDEX((係数_バス貨物_ガソリン,係数_バス貨物_CNG,係数_バス貨物_軽油,係数_バス貨物_メタノール,係数_バス貨物_LPG),MATCH(AY394,【参考】排出係数!$AI$4:$AI$671,1),1,BE394):INDEX((係数_バス貨物_ガソリン,係数_バス貨物_CNG,係数_バス貨物_軽油,係数_バス貨物_メタノール,係数_バス貨物_LPG),MATCH(AY394+1,【参考】排出係数!$AI$4:$AI$671,1)-1,5,BE394),4,FALSE)),IF(AND(BE394=3,LEFT(BF394,1)="1"),0.48,VLOOKUP(AU394,INDEX((係数_乗用_ガソリン,係数_乗用_CNG,係数_乗用_軽油,係数_乗用_メタノール,係数_乗用_LPG),1,1,BE394):INDEX((係数_乗用_ガソリン,係数_乗用_CNG,係数_乗用_軽油,係数_乗用_メタノール,係数_乗用_LPG),125,5,BE394),4,FALSE)))))</f>
        <v/>
      </c>
      <c r="AL394" s="461" t="str">
        <f t="shared" si="240"/>
        <v/>
      </c>
      <c r="AM394" s="460" t="str">
        <f>IF(AU394="","",IF(OR(AZ394=8,AZ394=9),0,IF(OR(AW394=3,AW394=4,AW394=5,AW394=6),IF(LEFT(BH394,1)="1",INDEX(係数_PM低減,MATCH(AY394,【参考】排出係数!$AI$801:$AI$804,1),MATCH(BI394,【参考】排出係数!$AL$798:$AO$798,1)),VLOOKUP(AU394,INDEX((係数_バス貨物_ガソリン,係数_バス貨物_CNG,係数_バス貨物_軽油,係数_バス貨物_メタノール,係数_バス貨物_LPG),MATCH(AY394,【参考】排出係数!$AI$4:$AI$671,1),1,BE394):INDEX((係数_バス貨物_ガソリン,係数_バス貨物_CNG,係数_バス貨物_軽油,係数_バス貨物_メタノール,係数_バス貨物_LPG),MATCH(AY394+1,【参考】排出係数!$AI$4:$AI$671,1)-1,5,BE394),5,FALSE)),IF(AND(BE394=3,LEFT(BF394,1)="1"),0.055,VLOOKUP(AU394,INDEX((係数_乗用_ガソリン,係数_乗用_CNG,係数_乗用_軽油,係数_乗用_メタノール,係数_乗用_LPG),1,1,BE394):INDEX((係数_乗用_ガソリン,係数_乗用_CNG,係数_乗用_軽油,係数_乗用_メタノール,係数_乗用_LPG),125,5,BE394),5,FALSE)))))</f>
        <v/>
      </c>
      <c r="AN394" s="461" t="str">
        <f t="shared" si="241"/>
        <v/>
      </c>
      <c r="AO394" s="462" t="str">
        <f t="shared" si="242"/>
        <v/>
      </c>
      <c r="AP394" s="463" t="str">
        <f t="shared" si="243"/>
        <v/>
      </c>
      <c r="AQ394" s="464"/>
      <c r="AR394" s="619"/>
      <c r="AS394" s="465" t="str">
        <f t="shared" si="222"/>
        <v/>
      </c>
      <c r="AT394" s="465" t="str">
        <f t="shared" si="223"/>
        <v/>
      </c>
      <c r="AU394" s="466" t="str">
        <f t="shared" si="224"/>
        <v/>
      </c>
      <c r="AV394" s="467" t="str">
        <f t="shared" si="225"/>
        <v/>
      </c>
      <c r="AW394" s="467" t="str">
        <f t="shared" si="226"/>
        <v/>
      </c>
      <c r="AX394" s="467" t="str">
        <f t="shared" si="227"/>
        <v/>
      </c>
      <c r="AY394" s="467" t="str">
        <f t="shared" si="228"/>
        <v/>
      </c>
      <c r="AZ394" s="467" t="str">
        <f t="shared" si="229"/>
        <v/>
      </c>
      <c r="BA394" s="468" t="str">
        <f>IF(AS394="","",IF(OR(AU394="",AU394="-"),"－",IF(OR(AZ394=8,AZ394=9),"",IF(OR(AW394=3,AW394=4,AW394=5,AW394=6),VLOOKUP(AU394,INDEX((係数_バス貨物_ガソリン,係数_バス貨物_CNG,係数_バス貨物_軽油,係数_バス貨物_メタノール,係数_バス貨物_LPG),MATCH(AY394,【参考】排出係数!$AI$4:$AI$671,1),1,BE394):INDEX((係数_バス貨物_ガソリン,係数_バス貨物_CNG,係数_バス貨物_軽油,係数_バス貨物_メタノール,係数_バス貨物_LPG),MATCH(AY394+1,【参考】排出係数!$AI$4:$AI$671,1)-1,5,BE394),2,FALSE),IF(OR(AW394=1,AW394=2),VLOOKUP(AU394,INDEX((係数_乗用_ガソリン,係数_乗用_CNG,係数_乗用_軽油,係数_乗用_メタノール,係数_乗用_LPG),1,1,BE394):INDEX((係数_乗用_ガソリン,係数_乗用_CNG,係数_乗用_軽油,係数_乗用_メタノール,係数_乗用_LPG),125,5,BE394),2,FALSE))))))</f>
        <v/>
      </c>
      <c r="BB394" s="468" t="str">
        <f>IF(T394="","",IF(OR(AU394="",AU394="-"),"－",IF(OR(AZ394=8,AZ394=9),"",IF(OR(AW394=3,AW394=4,AW394=5,AW394=6),VLOOKUP(AU394,INDEX((係数_バス貨物_ガソリン,係数_バス貨物_CNG,係数_バス貨物_軽油,係数_バス貨物_メタノール,係数_バス貨物_LPG),MATCH(AY394,【参考】排出係数!$AI$4:$AI$671,1),1,BE394):INDEX((係数_バス貨物_ガソリン,係数_バス貨物_CNG,係数_バス貨物_軽油,係数_バス貨物_メタノール,係数_バス貨物_LPG),MATCH(AY394+1,【参考】排出係数!$AI$4:$AI$671,1)-1,5,BE394),3,FALSE),IF(OR(AW394=1,AW394=2),VLOOKUP(AU394,INDEX((係数_乗用_ガソリン,係数_乗用_CNG,係数_乗用_軽油,係数_乗用_メタノール,係数_乗用_LPG),1,1,BE394):INDEX((係数_乗用_ガソリン,係数_乗用_CNG,係数_乗用_軽油,係数_乗用_メタノール,係数_乗用_LPG),125,5,BE394),3,FALSE))))))</f>
        <v/>
      </c>
      <c r="BC394" s="467" t="str">
        <f t="shared" si="230"/>
        <v/>
      </c>
      <c r="BD394" s="567" t="str">
        <f t="shared" si="231"/>
        <v/>
      </c>
      <c r="BE394" s="467" t="str">
        <f t="shared" si="232"/>
        <v/>
      </c>
      <c r="BF394" s="469" t="str">
        <f t="shared" ca="1" si="233"/>
        <v/>
      </c>
      <c r="BG394" s="469" t="str">
        <f t="shared" ca="1" si="234"/>
        <v/>
      </c>
      <c r="BH394" s="467" t="str">
        <f t="shared" si="235"/>
        <v/>
      </c>
      <c r="BI394" s="467" t="str">
        <f t="shared" ca="1" si="236"/>
        <v/>
      </c>
      <c r="BJ394" s="469" t="str">
        <f t="shared" si="237"/>
        <v/>
      </c>
      <c r="BK394" s="470" t="str">
        <f t="shared" si="217"/>
        <v/>
      </c>
      <c r="BL394" s="775" t="str">
        <f t="shared" si="238"/>
        <v/>
      </c>
      <c r="BM394" s="775" t="str">
        <f t="shared" si="239"/>
        <v/>
      </c>
    </row>
    <row r="395" spans="1:65">
      <c r="A395" s="473">
        <v>339</v>
      </c>
      <c r="B395" s="132"/>
      <c r="C395" s="332"/>
      <c r="D395" s="333"/>
      <c r="E395" s="333"/>
      <c r="F395" s="334"/>
      <c r="G395" s="337"/>
      <c r="H395" s="131"/>
      <c r="I395" s="337"/>
      <c r="J395" s="131"/>
      <c r="K395" s="458" t="str">
        <f t="shared" si="206"/>
        <v/>
      </c>
      <c r="L395" s="458">
        <f t="shared" si="218"/>
        <v>0</v>
      </c>
      <c r="M395" s="458">
        <f t="shared" si="219"/>
        <v>0</v>
      </c>
      <c r="N395" s="459" t="str">
        <f t="shared" si="207"/>
        <v/>
      </c>
      <c r="O395" s="459" t="str">
        <f t="shared" si="208"/>
        <v/>
      </c>
      <c r="P395" s="459" t="str">
        <f t="shared" si="209"/>
        <v/>
      </c>
      <c r="Q395" s="459" t="str">
        <f t="shared" si="210"/>
        <v/>
      </c>
      <c r="R395" s="459" t="str">
        <f t="shared" si="211"/>
        <v/>
      </c>
      <c r="S395" s="459" t="str">
        <f t="shared" si="212"/>
        <v/>
      </c>
      <c r="T395" s="566" t="str">
        <f t="shared" si="220"/>
        <v/>
      </c>
      <c r="U395" s="702"/>
      <c r="V395" s="132"/>
      <c r="W395" s="133"/>
      <c r="X395" s="134"/>
      <c r="Y395" s="135"/>
      <c r="Z395" s="137"/>
      <c r="AA395" s="136"/>
      <c r="AB395" s="566" t="str">
        <f t="shared" si="213"/>
        <v/>
      </c>
      <c r="AC395" s="568" t="str">
        <f t="shared" si="221"/>
        <v/>
      </c>
      <c r="AD395" s="137"/>
      <c r="AE395" s="137"/>
      <c r="AF395" s="138"/>
      <c r="AG395" s="138"/>
      <c r="AH395" s="592" t="str">
        <f t="shared" si="214"/>
        <v/>
      </c>
      <c r="AI395" s="592" t="str">
        <f t="shared" si="215"/>
        <v/>
      </c>
      <c r="AJ395" s="592" t="str">
        <f t="shared" si="216"/>
        <v/>
      </c>
      <c r="AK395" s="460" t="str">
        <f>IF(AU395="","",IF(OR(AZ395=8,AZ395=9),0,IF(OR(AW395=3,AW395=4,AW395=5,AW395=6),IF(LEFT(BF395,1)="1",INDEX(係数_NOX・PM低減,MATCH(AY395,【参考】排出係数!$AI$801:$AI$804,1),1),VLOOKUP(AU395,INDEX((係数_バス貨物_ガソリン,係数_バス貨物_CNG,係数_バス貨物_軽油,係数_バス貨物_メタノール,係数_バス貨物_LPG),MATCH(AY395,【参考】排出係数!$AI$4:$AI$671,1),1,BE395):INDEX((係数_バス貨物_ガソリン,係数_バス貨物_CNG,係数_バス貨物_軽油,係数_バス貨物_メタノール,係数_バス貨物_LPG),MATCH(AY395+1,【参考】排出係数!$AI$4:$AI$671,1)-1,5,BE395),4,FALSE)),IF(AND(BE395=3,LEFT(BF395,1)="1"),0.48,VLOOKUP(AU395,INDEX((係数_乗用_ガソリン,係数_乗用_CNG,係数_乗用_軽油,係数_乗用_メタノール,係数_乗用_LPG),1,1,BE395):INDEX((係数_乗用_ガソリン,係数_乗用_CNG,係数_乗用_軽油,係数_乗用_メタノール,係数_乗用_LPG),125,5,BE395),4,FALSE)))))</f>
        <v/>
      </c>
      <c r="AL395" s="461" t="str">
        <f t="shared" si="240"/>
        <v/>
      </c>
      <c r="AM395" s="460" t="str">
        <f>IF(AU395="","",IF(OR(AZ395=8,AZ395=9),0,IF(OR(AW395=3,AW395=4,AW395=5,AW395=6),IF(LEFT(BH395,1)="1",INDEX(係数_PM低減,MATCH(AY395,【参考】排出係数!$AI$801:$AI$804,1),MATCH(BI395,【参考】排出係数!$AL$798:$AO$798,1)),VLOOKUP(AU395,INDEX((係数_バス貨物_ガソリン,係数_バス貨物_CNG,係数_バス貨物_軽油,係数_バス貨物_メタノール,係数_バス貨物_LPG),MATCH(AY395,【参考】排出係数!$AI$4:$AI$671,1),1,BE395):INDEX((係数_バス貨物_ガソリン,係数_バス貨物_CNG,係数_バス貨物_軽油,係数_バス貨物_メタノール,係数_バス貨物_LPG),MATCH(AY395+1,【参考】排出係数!$AI$4:$AI$671,1)-1,5,BE395),5,FALSE)),IF(AND(BE395=3,LEFT(BF395,1)="1"),0.055,VLOOKUP(AU395,INDEX((係数_乗用_ガソリン,係数_乗用_CNG,係数_乗用_軽油,係数_乗用_メタノール,係数_乗用_LPG),1,1,BE395):INDEX((係数_乗用_ガソリン,係数_乗用_CNG,係数_乗用_軽油,係数_乗用_メタノール,係数_乗用_LPG),125,5,BE395),5,FALSE)))))</f>
        <v/>
      </c>
      <c r="AN395" s="461" t="str">
        <f t="shared" si="241"/>
        <v/>
      </c>
      <c r="AO395" s="462" t="str">
        <f t="shared" si="242"/>
        <v/>
      </c>
      <c r="AP395" s="463" t="str">
        <f t="shared" si="243"/>
        <v/>
      </c>
      <c r="AQ395" s="464"/>
      <c r="AR395" s="619"/>
      <c r="AS395" s="465" t="str">
        <f t="shared" si="222"/>
        <v/>
      </c>
      <c r="AT395" s="465" t="str">
        <f t="shared" si="223"/>
        <v/>
      </c>
      <c r="AU395" s="466" t="str">
        <f t="shared" si="224"/>
        <v/>
      </c>
      <c r="AV395" s="467" t="str">
        <f t="shared" si="225"/>
        <v/>
      </c>
      <c r="AW395" s="467" t="str">
        <f t="shared" si="226"/>
        <v/>
      </c>
      <c r="AX395" s="467" t="str">
        <f t="shared" si="227"/>
        <v/>
      </c>
      <c r="AY395" s="467" t="str">
        <f t="shared" si="228"/>
        <v/>
      </c>
      <c r="AZ395" s="467" t="str">
        <f t="shared" si="229"/>
        <v/>
      </c>
      <c r="BA395" s="468" t="str">
        <f>IF(AS395="","",IF(OR(AU395="",AU395="-"),"－",IF(OR(AZ395=8,AZ395=9),"",IF(OR(AW395=3,AW395=4,AW395=5,AW395=6),VLOOKUP(AU395,INDEX((係数_バス貨物_ガソリン,係数_バス貨物_CNG,係数_バス貨物_軽油,係数_バス貨物_メタノール,係数_バス貨物_LPG),MATCH(AY395,【参考】排出係数!$AI$4:$AI$671,1),1,BE395):INDEX((係数_バス貨物_ガソリン,係数_バス貨物_CNG,係数_バス貨物_軽油,係数_バス貨物_メタノール,係数_バス貨物_LPG),MATCH(AY395+1,【参考】排出係数!$AI$4:$AI$671,1)-1,5,BE395),2,FALSE),IF(OR(AW395=1,AW395=2),VLOOKUP(AU395,INDEX((係数_乗用_ガソリン,係数_乗用_CNG,係数_乗用_軽油,係数_乗用_メタノール,係数_乗用_LPG),1,1,BE395):INDEX((係数_乗用_ガソリン,係数_乗用_CNG,係数_乗用_軽油,係数_乗用_メタノール,係数_乗用_LPG),125,5,BE395),2,FALSE))))))</f>
        <v/>
      </c>
      <c r="BB395" s="468" t="str">
        <f>IF(T395="","",IF(OR(AU395="",AU395="-"),"－",IF(OR(AZ395=8,AZ395=9),"",IF(OR(AW395=3,AW395=4,AW395=5,AW395=6),VLOOKUP(AU395,INDEX((係数_バス貨物_ガソリン,係数_バス貨物_CNG,係数_バス貨物_軽油,係数_バス貨物_メタノール,係数_バス貨物_LPG),MATCH(AY395,【参考】排出係数!$AI$4:$AI$671,1),1,BE395):INDEX((係数_バス貨物_ガソリン,係数_バス貨物_CNG,係数_バス貨物_軽油,係数_バス貨物_メタノール,係数_バス貨物_LPG),MATCH(AY395+1,【参考】排出係数!$AI$4:$AI$671,1)-1,5,BE395),3,FALSE),IF(OR(AW395=1,AW395=2),VLOOKUP(AU395,INDEX((係数_乗用_ガソリン,係数_乗用_CNG,係数_乗用_軽油,係数_乗用_メタノール,係数_乗用_LPG),1,1,BE395):INDEX((係数_乗用_ガソリン,係数_乗用_CNG,係数_乗用_軽油,係数_乗用_メタノール,係数_乗用_LPG),125,5,BE395),3,FALSE))))))</f>
        <v/>
      </c>
      <c r="BC395" s="467" t="str">
        <f t="shared" si="230"/>
        <v/>
      </c>
      <c r="BD395" s="567" t="str">
        <f t="shared" si="231"/>
        <v/>
      </c>
      <c r="BE395" s="467" t="str">
        <f t="shared" si="232"/>
        <v/>
      </c>
      <c r="BF395" s="469" t="str">
        <f t="shared" ca="1" si="233"/>
        <v/>
      </c>
      <c r="BG395" s="469" t="str">
        <f t="shared" ca="1" si="234"/>
        <v/>
      </c>
      <c r="BH395" s="467" t="str">
        <f t="shared" si="235"/>
        <v/>
      </c>
      <c r="BI395" s="467" t="str">
        <f t="shared" ca="1" si="236"/>
        <v/>
      </c>
      <c r="BJ395" s="469" t="str">
        <f t="shared" si="237"/>
        <v/>
      </c>
      <c r="BK395" s="470" t="str">
        <f t="shared" si="217"/>
        <v/>
      </c>
      <c r="BL395" s="775" t="str">
        <f t="shared" si="238"/>
        <v/>
      </c>
      <c r="BM395" s="775" t="str">
        <f t="shared" si="239"/>
        <v/>
      </c>
    </row>
    <row r="396" spans="1:65">
      <c r="A396" s="473">
        <v>340</v>
      </c>
      <c r="B396" s="132"/>
      <c r="C396" s="332"/>
      <c r="D396" s="333"/>
      <c r="E396" s="333"/>
      <c r="F396" s="334"/>
      <c r="G396" s="337"/>
      <c r="H396" s="131"/>
      <c r="I396" s="337"/>
      <c r="J396" s="131"/>
      <c r="K396" s="458" t="str">
        <f t="shared" si="206"/>
        <v/>
      </c>
      <c r="L396" s="458">
        <f t="shared" si="218"/>
        <v>0</v>
      </c>
      <c r="M396" s="458">
        <f t="shared" si="219"/>
        <v>0</v>
      </c>
      <c r="N396" s="459" t="str">
        <f t="shared" si="207"/>
        <v/>
      </c>
      <c r="O396" s="459" t="str">
        <f t="shared" si="208"/>
        <v/>
      </c>
      <c r="P396" s="459" t="str">
        <f t="shared" si="209"/>
        <v/>
      </c>
      <c r="Q396" s="459" t="str">
        <f t="shared" si="210"/>
        <v/>
      </c>
      <c r="R396" s="459" t="str">
        <f t="shared" si="211"/>
        <v/>
      </c>
      <c r="S396" s="459" t="str">
        <f t="shared" si="212"/>
        <v/>
      </c>
      <c r="T396" s="566" t="str">
        <f t="shared" si="220"/>
        <v/>
      </c>
      <c r="U396" s="702"/>
      <c r="V396" s="132"/>
      <c r="W396" s="133"/>
      <c r="X396" s="134"/>
      <c r="Y396" s="135"/>
      <c r="Z396" s="137"/>
      <c r="AA396" s="136"/>
      <c r="AB396" s="566" t="str">
        <f t="shared" si="213"/>
        <v/>
      </c>
      <c r="AC396" s="568" t="str">
        <f t="shared" si="221"/>
        <v/>
      </c>
      <c r="AD396" s="137"/>
      <c r="AE396" s="137"/>
      <c r="AF396" s="138"/>
      <c r="AG396" s="138"/>
      <c r="AH396" s="592" t="str">
        <f t="shared" si="214"/>
        <v/>
      </c>
      <c r="AI396" s="592" t="str">
        <f t="shared" si="215"/>
        <v/>
      </c>
      <c r="AJ396" s="592" t="str">
        <f t="shared" si="216"/>
        <v/>
      </c>
      <c r="AK396" s="460" t="str">
        <f>IF(AU396="","",IF(OR(AZ396=8,AZ396=9),0,IF(OR(AW396=3,AW396=4,AW396=5,AW396=6),IF(LEFT(BF396,1)="1",INDEX(係数_NOX・PM低減,MATCH(AY396,【参考】排出係数!$AI$801:$AI$804,1),1),VLOOKUP(AU396,INDEX((係数_バス貨物_ガソリン,係数_バス貨物_CNG,係数_バス貨物_軽油,係数_バス貨物_メタノール,係数_バス貨物_LPG),MATCH(AY396,【参考】排出係数!$AI$4:$AI$671,1),1,BE396):INDEX((係数_バス貨物_ガソリン,係数_バス貨物_CNG,係数_バス貨物_軽油,係数_バス貨物_メタノール,係数_バス貨物_LPG),MATCH(AY396+1,【参考】排出係数!$AI$4:$AI$671,1)-1,5,BE396),4,FALSE)),IF(AND(BE396=3,LEFT(BF396,1)="1"),0.48,VLOOKUP(AU396,INDEX((係数_乗用_ガソリン,係数_乗用_CNG,係数_乗用_軽油,係数_乗用_メタノール,係数_乗用_LPG),1,1,BE396):INDEX((係数_乗用_ガソリン,係数_乗用_CNG,係数_乗用_軽油,係数_乗用_メタノール,係数_乗用_LPG),125,5,BE396),4,FALSE)))))</f>
        <v/>
      </c>
      <c r="AL396" s="461" t="str">
        <f t="shared" si="240"/>
        <v/>
      </c>
      <c r="AM396" s="460" t="str">
        <f>IF(AU396="","",IF(OR(AZ396=8,AZ396=9),0,IF(OR(AW396=3,AW396=4,AW396=5,AW396=6),IF(LEFT(BH396,1)="1",INDEX(係数_PM低減,MATCH(AY396,【参考】排出係数!$AI$801:$AI$804,1),MATCH(BI396,【参考】排出係数!$AL$798:$AO$798,1)),VLOOKUP(AU396,INDEX((係数_バス貨物_ガソリン,係数_バス貨物_CNG,係数_バス貨物_軽油,係数_バス貨物_メタノール,係数_バス貨物_LPG),MATCH(AY396,【参考】排出係数!$AI$4:$AI$671,1),1,BE396):INDEX((係数_バス貨物_ガソリン,係数_バス貨物_CNG,係数_バス貨物_軽油,係数_バス貨物_メタノール,係数_バス貨物_LPG),MATCH(AY396+1,【参考】排出係数!$AI$4:$AI$671,1)-1,5,BE396),5,FALSE)),IF(AND(BE396=3,LEFT(BF396,1)="1"),0.055,VLOOKUP(AU396,INDEX((係数_乗用_ガソリン,係数_乗用_CNG,係数_乗用_軽油,係数_乗用_メタノール,係数_乗用_LPG),1,1,BE396):INDEX((係数_乗用_ガソリン,係数_乗用_CNG,係数_乗用_軽油,係数_乗用_メタノール,係数_乗用_LPG),125,5,BE396),5,FALSE)))))</f>
        <v/>
      </c>
      <c r="AN396" s="461" t="str">
        <f t="shared" si="241"/>
        <v/>
      </c>
      <c r="AO396" s="462" t="str">
        <f t="shared" si="242"/>
        <v/>
      </c>
      <c r="AP396" s="463" t="str">
        <f t="shared" si="243"/>
        <v/>
      </c>
      <c r="AQ396" s="464"/>
      <c r="AR396" s="619"/>
      <c r="AS396" s="465" t="str">
        <f t="shared" si="222"/>
        <v/>
      </c>
      <c r="AT396" s="465" t="str">
        <f t="shared" si="223"/>
        <v/>
      </c>
      <c r="AU396" s="466" t="str">
        <f t="shared" si="224"/>
        <v/>
      </c>
      <c r="AV396" s="467" t="str">
        <f t="shared" si="225"/>
        <v/>
      </c>
      <c r="AW396" s="467" t="str">
        <f t="shared" si="226"/>
        <v/>
      </c>
      <c r="AX396" s="467" t="str">
        <f t="shared" si="227"/>
        <v/>
      </c>
      <c r="AY396" s="467" t="str">
        <f t="shared" si="228"/>
        <v/>
      </c>
      <c r="AZ396" s="467" t="str">
        <f t="shared" si="229"/>
        <v/>
      </c>
      <c r="BA396" s="468" t="str">
        <f>IF(AS396="","",IF(OR(AU396="",AU396="-"),"－",IF(OR(AZ396=8,AZ396=9),"",IF(OR(AW396=3,AW396=4,AW396=5,AW396=6),VLOOKUP(AU396,INDEX((係数_バス貨物_ガソリン,係数_バス貨物_CNG,係数_バス貨物_軽油,係数_バス貨物_メタノール,係数_バス貨物_LPG),MATCH(AY396,【参考】排出係数!$AI$4:$AI$671,1),1,BE396):INDEX((係数_バス貨物_ガソリン,係数_バス貨物_CNG,係数_バス貨物_軽油,係数_バス貨物_メタノール,係数_バス貨物_LPG),MATCH(AY396+1,【参考】排出係数!$AI$4:$AI$671,1)-1,5,BE396),2,FALSE),IF(OR(AW396=1,AW396=2),VLOOKUP(AU396,INDEX((係数_乗用_ガソリン,係数_乗用_CNG,係数_乗用_軽油,係数_乗用_メタノール,係数_乗用_LPG),1,1,BE396):INDEX((係数_乗用_ガソリン,係数_乗用_CNG,係数_乗用_軽油,係数_乗用_メタノール,係数_乗用_LPG),125,5,BE396),2,FALSE))))))</f>
        <v/>
      </c>
      <c r="BB396" s="468" t="str">
        <f>IF(T396="","",IF(OR(AU396="",AU396="-"),"－",IF(OR(AZ396=8,AZ396=9),"",IF(OR(AW396=3,AW396=4,AW396=5,AW396=6),VLOOKUP(AU396,INDEX((係数_バス貨物_ガソリン,係数_バス貨物_CNG,係数_バス貨物_軽油,係数_バス貨物_メタノール,係数_バス貨物_LPG),MATCH(AY396,【参考】排出係数!$AI$4:$AI$671,1),1,BE396):INDEX((係数_バス貨物_ガソリン,係数_バス貨物_CNG,係数_バス貨物_軽油,係数_バス貨物_メタノール,係数_バス貨物_LPG),MATCH(AY396+1,【参考】排出係数!$AI$4:$AI$671,1)-1,5,BE396),3,FALSE),IF(OR(AW396=1,AW396=2),VLOOKUP(AU396,INDEX((係数_乗用_ガソリン,係数_乗用_CNG,係数_乗用_軽油,係数_乗用_メタノール,係数_乗用_LPG),1,1,BE396):INDEX((係数_乗用_ガソリン,係数_乗用_CNG,係数_乗用_軽油,係数_乗用_メタノール,係数_乗用_LPG),125,5,BE396),3,FALSE))))))</f>
        <v/>
      </c>
      <c r="BC396" s="467" t="str">
        <f t="shared" si="230"/>
        <v/>
      </c>
      <c r="BD396" s="567" t="str">
        <f t="shared" si="231"/>
        <v/>
      </c>
      <c r="BE396" s="467" t="str">
        <f t="shared" si="232"/>
        <v/>
      </c>
      <c r="BF396" s="469" t="str">
        <f t="shared" ca="1" si="233"/>
        <v/>
      </c>
      <c r="BG396" s="469" t="str">
        <f t="shared" ca="1" si="234"/>
        <v/>
      </c>
      <c r="BH396" s="467" t="str">
        <f t="shared" si="235"/>
        <v/>
      </c>
      <c r="BI396" s="467" t="str">
        <f t="shared" ca="1" si="236"/>
        <v/>
      </c>
      <c r="BJ396" s="469" t="str">
        <f t="shared" si="237"/>
        <v/>
      </c>
      <c r="BK396" s="470" t="str">
        <f t="shared" si="217"/>
        <v/>
      </c>
      <c r="BL396" s="775" t="str">
        <f t="shared" si="238"/>
        <v/>
      </c>
      <c r="BM396" s="775" t="str">
        <f t="shared" si="239"/>
        <v/>
      </c>
    </row>
    <row r="397" spans="1:65">
      <c r="A397" s="473">
        <v>341</v>
      </c>
      <c r="B397" s="132"/>
      <c r="C397" s="332"/>
      <c r="D397" s="333"/>
      <c r="E397" s="333"/>
      <c r="F397" s="334"/>
      <c r="G397" s="337"/>
      <c r="H397" s="131"/>
      <c r="I397" s="337"/>
      <c r="J397" s="131"/>
      <c r="K397" s="458" t="str">
        <f t="shared" si="206"/>
        <v/>
      </c>
      <c r="L397" s="458">
        <f t="shared" si="218"/>
        <v>0</v>
      </c>
      <c r="M397" s="458">
        <f t="shared" si="219"/>
        <v>0</v>
      </c>
      <c r="N397" s="459" t="str">
        <f t="shared" si="207"/>
        <v/>
      </c>
      <c r="O397" s="459" t="str">
        <f t="shared" si="208"/>
        <v/>
      </c>
      <c r="P397" s="459" t="str">
        <f t="shared" si="209"/>
        <v/>
      </c>
      <c r="Q397" s="459" t="str">
        <f t="shared" si="210"/>
        <v/>
      </c>
      <c r="R397" s="459" t="str">
        <f t="shared" si="211"/>
        <v/>
      </c>
      <c r="S397" s="459" t="str">
        <f t="shared" si="212"/>
        <v/>
      </c>
      <c r="T397" s="566" t="str">
        <f t="shared" si="220"/>
        <v/>
      </c>
      <c r="U397" s="702"/>
      <c r="V397" s="132"/>
      <c r="W397" s="133"/>
      <c r="X397" s="134"/>
      <c r="Y397" s="135"/>
      <c r="Z397" s="137"/>
      <c r="AA397" s="136"/>
      <c r="AB397" s="566" t="str">
        <f t="shared" si="213"/>
        <v/>
      </c>
      <c r="AC397" s="568" t="str">
        <f t="shared" si="221"/>
        <v/>
      </c>
      <c r="AD397" s="137"/>
      <c r="AE397" s="137"/>
      <c r="AF397" s="138"/>
      <c r="AG397" s="138"/>
      <c r="AH397" s="592" t="str">
        <f t="shared" si="214"/>
        <v/>
      </c>
      <c r="AI397" s="592" t="str">
        <f t="shared" si="215"/>
        <v/>
      </c>
      <c r="AJ397" s="592" t="str">
        <f t="shared" si="216"/>
        <v/>
      </c>
      <c r="AK397" s="460" t="str">
        <f>IF(AU397="","",IF(OR(AZ397=8,AZ397=9),0,IF(OR(AW397=3,AW397=4,AW397=5,AW397=6),IF(LEFT(BF397,1)="1",INDEX(係数_NOX・PM低減,MATCH(AY397,【参考】排出係数!$AI$801:$AI$804,1),1),VLOOKUP(AU397,INDEX((係数_バス貨物_ガソリン,係数_バス貨物_CNG,係数_バス貨物_軽油,係数_バス貨物_メタノール,係数_バス貨物_LPG),MATCH(AY397,【参考】排出係数!$AI$4:$AI$671,1),1,BE397):INDEX((係数_バス貨物_ガソリン,係数_バス貨物_CNG,係数_バス貨物_軽油,係数_バス貨物_メタノール,係数_バス貨物_LPG),MATCH(AY397+1,【参考】排出係数!$AI$4:$AI$671,1)-1,5,BE397),4,FALSE)),IF(AND(BE397=3,LEFT(BF397,1)="1"),0.48,VLOOKUP(AU397,INDEX((係数_乗用_ガソリン,係数_乗用_CNG,係数_乗用_軽油,係数_乗用_メタノール,係数_乗用_LPG),1,1,BE397):INDEX((係数_乗用_ガソリン,係数_乗用_CNG,係数_乗用_軽油,係数_乗用_メタノール,係数_乗用_LPG),125,5,BE397),4,FALSE)))))</f>
        <v/>
      </c>
      <c r="AL397" s="461" t="str">
        <f t="shared" si="240"/>
        <v/>
      </c>
      <c r="AM397" s="460" t="str">
        <f>IF(AU397="","",IF(OR(AZ397=8,AZ397=9),0,IF(OR(AW397=3,AW397=4,AW397=5,AW397=6),IF(LEFT(BH397,1)="1",INDEX(係数_PM低減,MATCH(AY397,【参考】排出係数!$AI$801:$AI$804,1),MATCH(BI397,【参考】排出係数!$AL$798:$AO$798,1)),VLOOKUP(AU397,INDEX((係数_バス貨物_ガソリン,係数_バス貨物_CNG,係数_バス貨物_軽油,係数_バス貨物_メタノール,係数_バス貨物_LPG),MATCH(AY397,【参考】排出係数!$AI$4:$AI$671,1),1,BE397):INDEX((係数_バス貨物_ガソリン,係数_バス貨物_CNG,係数_バス貨物_軽油,係数_バス貨物_メタノール,係数_バス貨物_LPG),MATCH(AY397+1,【参考】排出係数!$AI$4:$AI$671,1)-1,5,BE397),5,FALSE)),IF(AND(BE397=3,LEFT(BF397,1)="1"),0.055,VLOOKUP(AU397,INDEX((係数_乗用_ガソリン,係数_乗用_CNG,係数_乗用_軽油,係数_乗用_メタノール,係数_乗用_LPG),1,1,BE397):INDEX((係数_乗用_ガソリン,係数_乗用_CNG,係数_乗用_軽油,係数_乗用_メタノール,係数_乗用_LPG),125,5,BE397),5,FALSE)))))</f>
        <v/>
      </c>
      <c r="AN397" s="461" t="str">
        <f t="shared" si="241"/>
        <v/>
      </c>
      <c r="AO397" s="462" t="str">
        <f t="shared" si="242"/>
        <v/>
      </c>
      <c r="AP397" s="463" t="str">
        <f t="shared" si="243"/>
        <v/>
      </c>
      <c r="AQ397" s="464"/>
      <c r="AR397" s="619"/>
      <c r="AS397" s="465" t="str">
        <f t="shared" si="222"/>
        <v/>
      </c>
      <c r="AT397" s="465" t="str">
        <f t="shared" si="223"/>
        <v/>
      </c>
      <c r="AU397" s="466" t="str">
        <f t="shared" si="224"/>
        <v/>
      </c>
      <c r="AV397" s="467" t="str">
        <f t="shared" si="225"/>
        <v/>
      </c>
      <c r="AW397" s="467" t="str">
        <f t="shared" si="226"/>
        <v/>
      </c>
      <c r="AX397" s="467" t="str">
        <f t="shared" si="227"/>
        <v/>
      </c>
      <c r="AY397" s="467" t="str">
        <f t="shared" si="228"/>
        <v/>
      </c>
      <c r="AZ397" s="467" t="str">
        <f t="shared" si="229"/>
        <v/>
      </c>
      <c r="BA397" s="468" t="str">
        <f>IF(AS397="","",IF(OR(AU397="",AU397="-"),"－",IF(OR(AZ397=8,AZ397=9),"",IF(OR(AW397=3,AW397=4,AW397=5,AW397=6),VLOOKUP(AU397,INDEX((係数_バス貨物_ガソリン,係数_バス貨物_CNG,係数_バス貨物_軽油,係数_バス貨物_メタノール,係数_バス貨物_LPG),MATCH(AY397,【参考】排出係数!$AI$4:$AI$671,1),1,BE397):INDEX((係数_バス貨物_ガソリン,係数_バス貨物_CNG,係数_バス貨物_軽油,係数_バス貨物_メタノール,係数_バス貨物_LPG),MATCH(AY397+1,【参考】排出係数!$AI$4:$AI$671,1)-1,5,BE397),2,FALSE),IF(OR(AW397=1,AW397=2),VLOOKUP(AU397,INDEX((係数_乗用_ガソリン,係数_乗用_CNG,係数_乗用_軽油,係数_乗用_メタノール,係数_乗用_LPG),1,1,BE397):INDEX((係数_乗用_ガソリン,係数_乗用_CNG,係数_乗用_軽油,係数_乗用_メタノール,係数_乗用_LPG),125,5,BE397),2,FALSE))))))</f>
        <v/>
      </c>
      <c r="BB397" s="468" t="str">
        <f>IF(T397="","",IF(OR(AU397="",AU397="-"),"－",IF(OR(AZ397=8,AZ397=9),"",IF(OR(AW397=3,AW397=4,AW397=5,AW397=6),VLOOKUP(AU397,INDEX((係数_バス貨物_ガソリン,係数_バス貨物_CNG,係数_バス貨物_軽油,係数_バス貨物_メタノール,係数_バス貨物_LPG),MATCH(AY397,【参考】排出係数!$AI$4:$AI$671,1),1,BE397):INDEX((係数_バス貨物_ガソリン,係数_バス貨物_CNG,係数_バス貨物_軽油,係数_バス貨物_メタノール,係数_バス貨物_LPG),MATCH(AY397+1,【参考】排出係数!$AI$4:$AI$671,1)-1,5,BE397),3,FALSE),IF(OR(AW397=1,AW397=2),VLOOKUP(AU397,INDEX((係数_乗用_ガソリン,係数_乗用_CNG,係数_乗用_軽油,係数_乗用_メタノール,係数_乗用_LPG),1,1,BE397):INDEX((係数_乗用_ガソリン,係数_乗用_CNG,係数_乗用_軽油,係数_乗用_メタノール,係数_乗用_LPG),125,5,BE397),3,FALSE))))))</f>
        <v/>
      </c>
      <c r="BC397" s="467" t="str">
        <f t="shared" si="230"/>
        <v/>
      </c>
      <c r="BD397" s="567" t="str">
        <f t="shared" si="231"/>
        <v/>
      </c>
      <c r="BE397" s="467" t="str">
        <f t="shared" si="232"/>
        <v/>
      </c>
      <c r="BF397" s="469" t="str">
        <f t="shared" ca="1" si="233"/>
        <v/>
      </c>
      <c r="BG397" s="469" t="str">
        <f t="shared" ca="1" si="234"/>
        <v/>
      </c>
      <c r="BH397" s="467" t="str">
        <f t="shared" si="235"/>
        <v/>
      </c>
      <c r="BI397" s="467" t="str">
        <f t="shared" ca="1" si="236"/>
        <v/>
      </c>
      <c r="BJ397" s="469" t="str">
        <f t="shared" si="237"/>
        <v/>
      </c>
      <c r="BK397" s="470" t="str">
        <f t="shared" si="217"/>
        <v/>
      </c>
      <c r="BL397" s="775" t="str">
        <f t="shared" si="238"/>
        <v/>
      </c>
      <c r="BM397" s="775" t="str">
        <f t="shared" si="239"/>
        <v/>
      </c>
    </row>
    <row r="398" spans="1:65">
      <c r="A398" s="473">
        <v>342</v>
      </c>
      <c r="B398" s="132"/>
      <c r="C398" s="332"/>
      <c r="D398" s="333"/>
      <c r="E398" s="333"/>
      <c r="F398" s="334"/>
      <c r="G398" s="337"/>
      <c r="H398" s="131"/>
      <c r="I398" s="337"/>
      <c r="J398" s="131"/>
      <c r="K398" s="458" t="str">
        <f t="shared" si="206"/>
        <v/>
      </c>
      <c r="L398" s="458">
        <f t="shared" si="218"/>
        <v>0</v>
      </c>
      <c r="M398" s="458">
        <f t="shared" si="219"/>
        <v>0</v>
      </c>
      <c r="N398" s="459" t="str">
        <f t="shared" si="207"/>
        <v/>
      </c>
      <c r="O398" s="459" t="str">
        <f t="shared" si="208"/>
        <v/>
      </c>
      <c r="P398" s="459" t="str">
        <f t="shared" si="209"/>
        <v/>
      </c>
      <c r="Q398" s="459" t="str">
        <f t="shared" si="210"/>
        <v/>
      </c>
      <c r="R398" s="459" t="str">
        <f t="shared" si="211"/>
        <v/>
      </c>
      <c r="S398" s="459" t="str">
        <f t="shared" si="212"/>
        <v/>
      </c>
      <c r="T398" s="566" t="str">
        <f t="shared" si="220"/>
        <v/>
      </c>
      <c r="U398" s="702"/>
      <c r="V398" s="132"/>
      <c r="W398" s="133"/>
      <c r="X398" s="134"/>
      <c r="Y398" s="135"/>
      <c r="Z398" s="137"/>
      <c r="AA398" s="136"/>
      <c r="AB398" s="566" t="str">
        <f t="shared" si="213"/>
        <v/>
      </c>
      <c r="AC398" s="568" t="str">
        <f t="shared" si="221"/>
        <v/>
      </c>
      <c r="AD398" s="137"/>
      <c r="AE398" s="137"/>
      <c r="AF398" s="138"/>
      <c r="AG398" s="138"/>
      <c r="AH398" s="592" t="str">
        <f t="shared" si="214"/>
        <v/>
      </c>
      <c r="AI398" s="592" t="str">
        <f t="shared" si="215"/>
        <v/>
      </c>
      <c r="AJ398" s="592" t="str">
        <f t="shared" si="216"/>
        <v/>
      </c>
      <c r="AK398" s="460" t="str">
        <f>IF(AU398="","",IF(OR(AZ398=8,AZ398=9),0,IF(OR(AW398=3,AW398=4,AW398=5,AW398=6),IF(LEFT(BF398,1)="1",INDEX(係数_NOX・PM低減,MATCH(AY398,【参考】排出係数!$AI$801:$AI$804,1),1),VLOOKUP(AU398,INDEX((係数_バス貨物_ガソリン,係数_バス貨物_CNG,係数_バス貨物_軽油,係数_バス貨物_メタノール,係数_バス貨物_LPG),MATCH(AY398,【参考】排出係数!$AI$4:$AI$671,1),1,BE398):INDEX((係数_バス貨物_ガソリン,係数_バス貨物_CNG,係数_バス貨物_軽油,係数_バス貨物_メタノール,係数_バス貨物_LPG),MATCH(AY398+1,【参考】排出係数!$AI$4:$AI$671,1)-1,5,BE398),4,FALSE)),IF(AND(BE398=3,LEFT(BF398,1)="1"),0.48,VLOOKUP(AU398,INDEX((係数_乗用_ガソリン,係数_乗用_CNG,係数_乗用_軽油,係数_乗用_メタノール,係数_乗用_LPG),1,1,BE398):INDEX((係数_乗用_ガソリン,係数_乗用_CNG,係数_乗用_軽油,係数_乗用_メタノール,係数_乗用_LPG),125,5,BE398),4,FALSE)))))</f>
        <v/>
      </c>
      <c r="AL398" s="461" t="str">
        <f t="shared" si="240"/>
        <v/>
      </c>
      <c r="AM398" s="460" t="str">
        <f>IF(AU398="","",IF(OR(AZ398=8,AZ398=9),0,IF(OR(AW398=3,AW398=4,AW398=5,AW398=6),IF(LEFT(BH398,1)="1",INDEX(係数_PM低減,MATCH(AY398,【参考】排出係数!$AI$801:$AI$804,1),MATCH(BI398,【参考】排出係数!$AL$798:$AO$798,1)),VLOOKUP(AU398,INDEX((係数_バス貨物_ガソリン,係数_バス貨物_CNG,係数_バス貨物_軽油,係数_バス貨物_メタノール,係数_バス貨物_LPG),MATCH(AY398,【参考】排出係数!$AI$4:$AI$671,1),1,BE398):INDEX((係数_バス貨物_ガソリン,係数_バス貨物_CNG,係数_バス貨物_軽油,係数_バス貨物_メタノール,係数_バス貨物_LPG),MATCH(AY398+1,【参考】排出係数!$AI$4:$AI$671,1)-1,5,BE398),5,FALSE)),IF(AND(BE398=3,LEFT(BF398,1)="1"),0.055,VLOOKUP(AU398,INDEX((係数_乗用_ガソリン,係数_乗用_CNG,係数_乗用_軽油,係数_乗用_メタノール,係数_乗用_LPG),1,1,BE398):INDEX((係数_乗用_ガソリン,係数_乗用_CNG,係数_乗用_軽油,係数_乗用_メタノール,係数_乗用_LPG),125,5,BE398),5,FALSE)))))</f>
        <v/>
      </c>
      <c r="AN398" s="461" t="str">
        <f t="shared" si="241"/>
        <v/>
      </c>
      <c r="AO398" s="462" t="str">
        <f t="shared" si="242"/>
        <v/>
      </c>
      <c r="AP398" s="463" t="str">
        <f t="shared" si="243"/>
        <v/>
      </c>
      <c r="AQ398" s="464"/>
      <c r="AR398" s="619"/>
      <c r="AS398" s="465" t="str">
        <f t="shared" si="222"/>
        <v/>
      </c>
      <c r="AT398" s="465" t="str">
        <f t="shared" si="223"/>
        <v/>
      </c>
      <c r="AU398" s="466" t="str">
        <f t="shared" si="224"/>
        <v/>
      </c>
      <c r="AV398" s="467" t="str">
        <f t="shared" si="225"/>
        <v/>
      </c>
      <c r="AW398" s="467" t="str">
        <f t="shared" si="226"/>
        <v/>
      </c>
      <c r="AX398" s="467" t="str">
        <f t="shared" si="227"/>
        <v/>
      </c>
      <c r="AY398" s="467" t="str">
        <f t="shared" si="228"/>
        <v/>
      </c>
      <c r="AZ398" s="467" t="str">
        <f t="shared" si="229"/>
        <v/>
      </c>
      <c r="BA398" s="468" t="str">
        <f>IF(AS398="","",IF(OR(AU398="",AU398="-"),"－",IF(OR(AZ398=8,AZ398=9),"",IF(OR(AW398=3,AW398=4,AW398=5,AW398=6),VLOOKUP(AU398,INDEX((係数_バス貨物_ガソリン,係数_バス貨物_CNG,係数_バス貨物_軽油,係数_バス貨物_メタノール,係数_バス貨物_LPG),MATCH(AY398,【参考】排出係数!$AI$4:$AI$671,1),1,BE398):INDEX((係数_バス貨物_ガソリン,係数_バス貨物_CNG,係数_バス貨物_軽油,係数_バス貨物_メタノール,係数_バス貨物_LPG),MATCH(AY398+1,【参考】排出係数!$AI$4:$AI$671,1)-1,5,BE398),2,FALSE),IF(OR(AW398=1,AW398=2),VLOOKUP(AU398,INDEX((係数_乗用_ガソリン,係数_乗用_CNG,係数_乗用_軽油,係数_乗用_メタノール,係数_乗用_LPG),1,1,BE398):INDEX((係数_乗用_ガソリン,係数_乗用_CNG,係数_乗用_軽油,係数_乗用_メタノール,係数_乗用_LPG),125,5,BE398),2,FALSE))))))</f>
        <v/>
      </c>
      <c r="BB398" s="468" t="str">
        <f>IF(T398="","",IF(OR(AU398="",AU398="-"),"－",IF(OR(AZ398=8,AZ398=9),"",IF(OR(AW398=3,AW398=4,AW398=5,AW398=6),VLOOKUP(AU398,INDEX((係数_バス貨物_ガソリン,係数_バス貨物_CNG,係数_バス貨物_軽油,係数_バス貨物_メタノール,係数_バス貨物_LPG),MATCH(AY398,【参考】排出係数!$AI$4:$AI$671,1),1,BE398):INDEX((係数_バス貨物_ガソリン,係数_バス貨物_CNG,係数_バス貨物_軽油,係数_バス貨物_メタノール,係数_バス貨物_LPG),MATCH(AY398+1,【参考】排出係数!$AI$4:$AI$671,1)-1,5,BE398),3,FALSE),IF(OR(AW398=1,AW398=2),VLOOKUP(AU398,INDEX((係数_乗用_ガソリン,係数_乗用_CNG,係数_乗用_軽油,係数_乗用_メタノール,係数_乗用_LPG),1,1,BE398):INDEX((係数_乗用_ガソリン,係数_乗用_CNG,係数_乗用_軽油,係数_乗用_メタノール,係数_乗用_LPG),125,5,BE398),3,FALSE))))))</f>
        <v/>
      </c>
      <c r="BC398" s="467" t="str">
        <f t="shared" si="230"/>
        <v/>
      </c>
      <c r="BD398" s="567" t="str">
        <f t="shared" si="231"/>
        <v/>
      </c>
      <c r="BE398" s="467" t="str">
        <f t="shared" si="232"/>
        <v/>
      </c>
      <c r="BF398" s="469" t="str">
        <f t="shared" ca="1" si="233"/>
        <v/>
      </c>
      <c r="BG398" s="469" t="str">
        <f t="shared" ca="1" si="234"/>
        <v/>
      </c>
      <c r="BH398" s="467" t="str">
        <f t="shared" si="235"/>
        <v/>
      </c>
      <c r="BI398" s="467" t="str">
        <f t="shared" ca="1" si="236"/>
        <v/>
      </c>
      <c r="BJ398" s="469" t="str">
        <f t="shared" si="237"/>
        <v/>
      </c>
      <c r="BK398" s="470" t="str">
        <f t="shared" si="217"/>
        <v/>
      </c>
      <c r="BL398" s="775" t="str">
        <f t="shared" si="238"/>
        <v/>
      </c>
      <c r="BM398" s="775" t="str">
        <f t="shared" si="239"/>
        <v/>
      </c>
    </row>
    <row r="399" spans="1:65">
      <c r="A399" s="473">
        <v>343</v>
      </c>
      <c r="B399" s="132"/>
      <c r="C399" s="332"/>
      <c r="D399" s="333"/>
      <c r="E399" s="333"/>
      <c r="F399" s="334"/>
      <c r="G399" s="337"/>
      <c r="H399" s="131"/>
      <c r="I399" s="337"/>
      <c r="J399" s="131"/>
      <c r="K399" s="458" t="str">
        <f t="shared" si="206"/>
        <v/>
      </c>
      <c r="L399" s="458">
        <f t="shared" si="218"/>
        <v>0</v>
      </c>
      <c r="M399" s="458">
        <f t="shared" si="219"/>
        <v>0</v>
      </c>
      <c r="N399" s="459" t="str">
        <f t="shared" si="207"/>
        <v/>
      </c>
      <c r="O399" s="459" t="str">
        <f t="shared" si="208"/>
        <v/>
      </c>
      <c r="P399" s="459" t="str">
        <f t="shared" si="209"/>
        <v/>
      </c>
      <c r="Q399" s="459" t="str">
        <f t="shared" si="210"/>
        <v/>
      </c>
      <c r="R399" s="459" t="str">
        <f t="shared" si="211"/>
        <v/>
      </c>
      <c r="S399" s="459" t="str">
        <f t="shared" si="212"/>
        <v/>
      </c>
      <c r="T399" s="566" t="str">
        <f t="shared" si="220"/>
        <v/>
      </c>
      <c r="U399" s="702"/>
      <c r="V399" s="132"/>
      <c r="W399" s="133"/>
      <c r="X399" s="134"/>
      <c r="Y399" s="135"/>
      <c r="Z399" s="137"/>
      <c r="AA399" s="136"/>
      <c r="AB399" s="566" t="str">
        <f t="shared" si="213"/>
        <v/>
      </c>
      <c r="AC399" s="568" t="str">
        <f t="shared" si="221"/>
        <v/>
      </c>
      <c r="AD399" s="137"/>
      <c r="AE399" s="137"/>
      <c r="AF399" s="138"/>
      <c r="AG399" s="138"/>
      <c r="AH399" s="592" t="str">
        <f t="shared" si="214"/>
        <v/>
      </c>
      <c r="AI399" s="592" t="str">
        <f t="shared" si="215"/>
        <v/>
      </c>
      <c r="AJ399" s="592" t="str">
        <f t="shared" si="216"/>
        <v/>
      </c>
      <c r="AK399" s="460" t="str">
        <f>IF(AU399="","",IF(OR(AZ399=8,AZ399=9),0,IF(OR(AW399=3,AW399=4,AW399=5,AW399=6),IF(LEFT(BF399,1)="1",INDEX(係数_NOX・PM低減,MATCH(AY399,【参考】排出係数!$AI$801:$AI$804,1),1),VLOOKUP(AU399,INDEX((係数_バス貨物_ガソリン,係数_バス貨物_CNG,係数_バス貨物_軽油,係数_バス貨物_メタノール,係数_バス貨物_LPG),MATCH(AY399,【参考】排出係数!$AI$4:$AI$671,1),1,BE399):INDEX((係数_バス貨物_ガソリン,係数_バス貨物_CNG,係数_バス貨物_軽油,係数_バス貨物_メタノール,係数_バス貨物_LPG),MATCH(AY399+1,【参考】排出係数!$AI$4:$AI$671,1)-1,5,BE399),4,FALSE)),IF(AND(BE399=3,LEFT(BF399,1)="1"),0.48,VLOOKUP(AU399,INDEX((係数_乗用_ガソリン,係数_乗用_CNG,係数_乗用_軽油,係数_乗用_メタノール,係数_乗用_LPG),1,1,BE399):INDEX((係数_乗用_ガソリン,係数_乗用_CNG,係数_乗用_軽油,係数_乗用_メタノール,係数_乗用_LPG),125,5,BE399),4,FALSE)))))</f>
        <v/>
      </c>
      <c r="AL399" s="461" t="str">
        <f t="shared" si="240"/>
        <v/>
      </c>
      <c r="AM399" s="460" t="str">
        <f>IF(AU399="","",IF(OR(AZ399=8,AZ399=9),0,IF(OR(AW399=3,AW399=4,AW399=5,AW399=6),IF(LEFT(BH399,1)="1",INDEX(係数_PM低減,MATCH(AY399,【参考】排出係数!$AI$801:$AI$804,1),MATCH(BI399,【参考】排出係数!$AL$798:$AO$798,1)),VLOOKUP(AU399,INDEX((係数_バス貨物_ガソリン,係数_バス貨物_CNG,係数_バス貨物_軽油,係数_バス貨物_メタノール,係数_バス貨物_LPG),MATCH(AY399,【参考】排出係数!$AI$4:$AI$671,1),1,BE399):INDEX((係数_バス貨物_ガソリン,係数_バス貨物_CNG,係数_バス貨物_軽油,係数_バス貨物_メタノール,係数_バス貨物_LPG),MATCH(AY399+1,【参考】排出係数!$AI$4:$AI$671,1)-1,5,BE399),5,FALSE)),IF(AND(BE399=3,LEFT(BF399,1)="1"),0.055,VLOOKUP(AU399,INDEX((係数_乗用_ガソリン,係数_乗用_CNG,係数_乗用_軽油,係数_乗用_メタノール,係数_乗用_LPG),1,1,BE399):INDEX((係数_乗用_ガソリン,係数_乗用_CNG,係数_乗用_軽油,係数_乗用_メタノール,係数_乗用_LPG),125,5,BE399),5,FALSE)))))</f>
        <v/>
      </c>
      <c r="AN399" s="461" t="str">
        <f t="shared" si="241"/>
        <v/>
      </c>
      <c r="AO399" s="462" t="str">
        <f t="shared" si="242"/>
        <v/>
      </c>
      <c r="AP399" s="463" t="str">
        <f t="shared" si="243"/>
        <v/>
      </c>
      <c r="AQ399" s="464"/>
      <c r="AR399" s="619"/>
      <c r="AS399" s="465" t="str">
        <f t="shared" si="222"/>
        <v/>
      </c>
      <c r="AT399" s="465" t="str">
        <f t="shared" si="223"/>
        <v/>
      </c>
      <c r="AU399" s="466" t="str">
        <f t="shared" si="224"/>
        <v/>
      </c>
      <c r="AV399" s="467" t="str">
        <f t="shared" si="225"/>
        <v/>
      </c>
      <c r="AW399" s="467" t="str">
        <f t="shared" si="226"/>
        <v/>
      </c>
      <c r="AX399" s="467" t="str">
        <f t="shared" si="227"/>
        <v/>
      </c>
      <c r="AY399" s="467" t="str">
        <f t="shared" si="228"/>
        <v/>
      </c>
      <c r="AZ399" s="467" t="str">
        <f t="shared" si="229"/>
        <v/>
      </c>
      <c r="BA399" s="468" t="str">
        <f>IF(AS399="","",IF(OR(AU399="",AU399="-"),"－",IF(OR(AZ399=8,AZ399=9),"",IF(OR(AW399=3,AW399=4,AW399=5,AW399=6),VLOOKUP(AU399,INDEX((係数_バス貨物_ガソリン,係数_バス貨物_CNG,係数_バス貨物_軽油,係数_バス貨物_メタノール,係数_バス貨物_LPG),MATCH(AY399,【参考】排出係数!$AI$4:$AI$671,1),1,BE399):INDEX((係数_バス貨物_ガソリン,係数_バス貨物_CNG,係数_バス貨物_軽油,係数_バス貨物_メタノール,係数_バス貨物_LPG),MATCH(AY399+1,【参考】排出係数!$AI$4:$AI$671,1)-1,5,BE399),2,FALSE),IF(OR(AW399=1,AW399=2),VLOOKUP(AU399,INDEX((係数_乗用_ガソリン,係数_乗用_CNG,係数_乗用_軽油,係数_乗用_メタノール,係数_乗用_LPG),1,1,BE399):INDEX((係数_乗用_ガソリン,係数_乗用_CNG,係数_乗用_軽油,係数_乗用_メタノール,係数_乗用_LPG),125,5,BE399),2,FALSE))))))</f>
        <v/>
      </c>
      <c r="BB399" s="468" t="str">
        <f>IF(T399="","",IF(OR(AU399="",AU399="-"),"－",IF(OR(AZ399=8,AZ399=9),"",IF(OR(AW399=3,AW399=4,AW399=5,AW399=6),VLOOKUP(AU399,INDEX((係数_バス貨物_ガソリン,係数_バス貨物_CNG,係数_バス貨物_軽油,係数_バス貨物_メタノール,係数_バス貨物_LPG),MATCH(AY399,【参考】排出係数!$AI$4:$AI$671,1),1,BE399):INDEX((係数_バス貨物_ガソリン,係数_バス貨物_CNG,係数_バス貨物_軽油,係数_バス貨物_メタノール,係数_バス貨物_LPG),MATCH(AY399+1,【参考】排出係数!$AI$4:$AI$671,1)-1,5,BE399),3,FALSE),IF(OR(AW399=1,AW399=2),VLOOKUP(AU399,INDEX((係数_乗用_ガソリン,係数_乗用_CNG,係数_乗用_軽油,係数_乗用_メタノール,係数_乗用_LPG),1,1,BE399):INDEX((係数_乗用_ガソリン,係数_乗用_CNG,係数_乗用_軽油,係数_乗用_メタノール,係数_乗用_LPG),125,5,BE399),3,FALSE))))))</f>
        <v/>
      </c>
      <c r="BC399" s="467" t="str">
        <f t="shared" si="230"/>
        <v/>
      </c>
      <c r="BD399" s="567" t="str">
        <f t="shared" si="231"/>
        <v/>
      </c>
      <c r="BE399" s="467" t="str">
        <f t="shared" si="232"/>
        <v/>
      </c>
      <c r="BF399" s="469" t="str">
        <f t="shared" ca="1" si="233"/>
        <v/>
      </c>
      <c r="BG399" s="469" t="str">
        <f t="shared" ca="1" si="234"/>
        <v/>
      </c>
      <c r="BH399" s="467" t="str">
        <f t="shared" si="235"/>
        <v/>
      </c>
      <c r="BI399" s="467" t="str">
        <f t="shared" ca="1" si="236"/>
        <v/>
      </c>
      <c r="BJ399" s="469" t="str">
        <f t="shared" si="237"/>
        <v/>
      </c>
      <c r="BK399" s="470" t="str">
        <f t="shared" si="217"/>
        <v/>
      </c>
      <c r="BL399" s="775" t="str">
        <f t="shared" si="238"/>
        <v/>
      </c>
      <c r="BM399" s="775" t="str">
        <f t="shared" si="239"/>
        <v/>
      </c>
    </row>
    <row r="400" spans="1:65">
      <c r="A400" s="473">
        <v>344</v>
      </c>
      <c r="B400" s="132"/>
      <c r="C400" s="332"/>
      <c r="D400" s="333"/>
      <c r="E400" s="333"/>
      <c r="F400" s="334"/>
      <c r="G400" s="337"/>
      <c r="H400" s="131"/>
      <c r="I400" s="337"/>
      <c r="J400" s="131"/>
      <c r="K400" s="458" t="str">
        <f t="shared" si="206"/>
        <v/>
      </c>
      <c r="L400" s="458">
        <f t="shared" si="218"/>
        <v>0</v>
      </c>
      <c r="M400" s="458">
        <f t="shared" si="219"/>
        <v>0</v>
      </c>
      <c r="N400" s="459" t="str">
        <f t="shared" si="207"/>
        <v/>
      </c>
      <c r="O400" s="459" t="str">
        <f t="shared" si="208"/>
        <v/>
      </c>
      <c r="P400" s="459" t="str">
        <f t="shared" si="209"/>
        <v/>
      </c>
      <c r="Q400" s="459" t="str">
        <f t="shared" si="210"/>
        <v/>
      </c>
      <c r="R400" s="459" t="str">
        <f t="shared" si="211"/>
        <v/>
      </c>
      <c r="S400" s="459" t="str">
        <f t="shared" si="212"/>
        <v/>
      </c>
      <c r="T400" s="566" t="str">
        <f t="shared" si="220"/>
        <v/>
      </c>
      <c r="U400" s="702"/>
      <c r="V400" s="132"/>
      <c r="W400" s="133"/>
      <c r="X400" s="134"/>
      <c r="Y400" s="135"/>
      <c r="Z400" s="137"/>
      <c r="AA400" s="136"/>
      <c r="AB400" s="566" t="str">
        <f t="shared" si="213"/>
        <v/>
      </c>
      <c r="AC400" s="568" t="str">
        <f t="shared" si="221"/>
        <v/>
      </c>
      <c r="AD400" s="137"/>
      <c r="AE400" s="137"/>
      <c r="AF400" s="138"/>
      <c r="AG400" s="138"/>
      <c r="AH400" s="592" t="str">
        <f t="shared" si="214"/>
        <v/>
      </c>
      <c r="AI400" s="592" t="str">
        <f t="shared" si="215"/>
        <v/>
      </c>
      <c r="AJ400" s="592" t="str">
        <f t="shared" si="216"/>
        <v/>
      </c>
      <c r="AK400" s="460" t="str">
        <f>IF(AU400="","",IF(OR(AZ400=8,AZ400=9),0,IF(OR(AW400=3,AW400=4,AW400=5,AW400=6),IF(LEFT(BF400,1)="1",INDEX(係数_NOX・PM低減,MATCH(AY400,【参考】排出係数!$AI$801:$AI$804,1),1),VLOOKUP(AU400,INDEX((係数_バス貨物_ガソリン,係数_バス貨物_CNG,係数_バス貨物_軽油,係数_バス貨物_メタノール,係数_バス貨物_LPG),MATCH(AY400,【参考】排出係数!$AI$4:$AI$671,1),1,BE400):INDEX((係数_バス貨物_ガソリン,係数_バス貨物_CNG,係数_バス貨物_軽油,係数_バス貨物_メタノール,係数_バス貨物_LPG),MATCH(AY400+1,【参考】排出係数!$AI$4:$AI$671,1)-1,5,BE400),4,FALSE)),IF(AND(BE400=3,LEFT(BF400,1)="1"),0.48,VLOOKUP(AU400,INDEX((係数_乗用_ガソリン,係数_乗用_CNG,係数_乗用_軽油,係数_乗用_メタノール,係数_乗用_LPG),1,1,BE400):INDEX((係数_乗用_ガソリン,係数_乗用_CNG,係数_乗用_軽油,係数_乗用_メタノール,係数_乗用_LPG),125,5,BE400),4,FALSE)))))</f>
        <v/>
      </c>
      <c r="AL400" s="461" t="str">
        <f t="shared" si="240"/>
        <v/>
      </c>
      <c r="AM400" s="460" t="str">
        <f>IF(AU400="","",IF(OR(AZ400=8,AZ400=9),0,IF(OR(AW400=3,AW400=4,AW400=5,AW400=6),IF(LEFT(BH400,1)="1",INDEX(係数_PM低減,MATCH(AY400,【参考】排出係数!$AI$801:$AI$804,1),MATCH(BI400,【参考】排出係数!$AL$798:$AO$798,1)),VLOOKUP(AU400,INDEX((係数_バス貨物_ガソリン,係数_バス貨物_CNG,係数_バス貨物_軽油,係数_バス貨物_メタノール,係数_バス貨物_LPG),MATCH(AY400,【参考】排出係数!$AI$4:$AI$671,1),1,BE400):INDEX((係数_バス貨物_ガソリン,係数_バス貨物_CNG,係数_バス貨物_軽油,係数_バス貨物_メタノール,係数_バス貨物_LPG),MATCH(AY400+1,【参考】排出係数!$AI$4:$AI$671,1)-1,5,BE400),5,FALSE)),IF(AND(BE400=3,LEFT(BF400,1)="1"),0.055,VLOOKUP(AU400,INDEX((係数_乗用_ガソリン,係数_乗用_CNG,係数_乗用_軽油,係数_乗用_メタノール,係数_乗用_LPG),1,1,BE400):INDEX((係数_乗用_ガソリン,係数_乗用_CNG,係数_乗用_軽油,係数_乗用_メタノール,係数_乗用_LPG),125,5,BE400),5,FALSE)))))</f>
        <v/>
      </c>
      <c r="AN400" s="461" t="str">
        <f t="shared" si="241"/>
        <v/>
      </c>
      <c r="AO400" s="462" t="str">
        <f t="shared" si="242"/>
        <v/>
      </c>
      <c r="AP400" s="463" t="str">
        <f t="shared" si="243"/>
        <v/>
      </c>
      <c r="AQ400" s="464"/>
      <c r="AR400" s="619"/>
      <c r="AS400" s="465" t="str">
        <f t="shared" si="222"/>
        <v/>
      </c>
      <c r="AT400" s="465" t="str">
        <f t="shared" si="223"/>
        <v/>
      </c>
      <c r="AU400" s="466" t="str">
        <f t="shared" si="224"/>
        <v/>
      </c>
      <c r="AV400" s="467" t="str">
        <f t="shared" si="225"/>
        <v/>
      </c>
      <c r="AW400" s="467" t="str">
        <f t="shared" si="226"/>
        <v/>
      </c>
      <c r="AX400" s="467" t="str">
        <f t="shared" si="227"/>
        <v/>
      </c>
      <c r="AY400" s="467" t="str">
        <f t="shared" si="228"/>
        <v/>
      </c>
      <c r="AZ400" s="467" t="str">
        <f t="shared" si="229"/>
        <v/>
      </c>
      <c r="BA400" s="468" t="str">
        <f>IF(AS400="","",IF(OR(AU400="",AU400="-"),"－",IF(OR(AZ400=8,AZ400=9),"",IF(OR(AW400=3,AW400=4,AW400=5,AW400=6),VLOOKUP(AU400,INDEX((係数_バス貨物_ガソリン,係数_バス貨物_CNG,係数_バス貨物_軽油,係数_バス貨物_メタノール,係数_バス貨物_LPG),MATCH(AY400,【参考】排出係数!$AI$4:$AI$671,1),1,BE400):INDEX((係数_バス貨物_ガソリン,係数_バス貨物_CNG,係数_バス貨物_軽油,係数_バス貨物_メタノール,係数_バス貨物_LPG),MATCH(AY400+1,【参考】排出係数!$AI$4:$AI$671,1)-1,5,BE400),2,FALSE),IF(OR(AW400=1,AW400=2),VLOOKUP(AU400,INDEX((係数_乗用_ガソリン,係数_乗用_CNG,係数_乗用_軽油,係数_乗用_メタノール,係数_乗用_LPG),1,1,BE400):INDEX((係数_乗用_ガソリン,係数_乗用_CNG,係数_乗用_軽油,係数_乗用_メタノール,係数_乗用_LPG),125,5,BE400),2,FALSE))))))</f>
        <v/>
      </c>
      <c r="BB400" s="468" t="str">
        <f>IF(T400="","",IF(OR(AU400="",AU400="-"),"－",IF(OR(AZ400=8,AZ400=9),"",IF(OR(AW400=3,AW400=4,AW400=5,AW400=6),VLOOKUP(AU400,INDEX((係数_バス貨物_ガソリン,係数_バス貨物_CNG,係数_バス貨物_軽油,係数_バス貨物_メタノール,係数_バス貨物_LPG),MATCH(AY400,【参考】排出係数!$AI$4:$AI$671,1),1,BE400):INDEX((係数_バス貨物_ガソリン,係数_バス貨物_CNG,係数_バス貨物_軽油,係数_バス貨物_メタノール,係数_バス貨物_LPG),MATCH(AY400+1,【参考】排出係数!$AI$4:$AI$671,1)-1,5,BE400),3,FALSE),IF(OR(AW400=1,AW400=2),VLOOKUP(AU400,INDEX((係数_乗用_ガソリン,係数_乗用_CNG,係数_乗用_軽油,係数_乗用_メタノール,係数_乗用_LPG),1,1,BE400):INDEX((係数_乗用_ガソリン,係数_乗用_CNG,係数_乗用_軽油,係数_乗用_メタノール,係数_乗用_LPG),125,5,BE400),3,FALSE))))))</f>
        <v/>
      </c>
      <c r="BC400" s="467" t="str">
        <f t="shared" si="230"/>
        <v/>
      </c>
      <c r="BD400" s="567" t="str">
        <f t="shared" si="231"/>
        <v/>
      </c>
      <c r="BE400" s="467" t="str">
        <f t="shared" si="232"/>
        <v/>
      </c>
      <c r="BF400" s="469" t="str">
        <f t="shared" ca="1" si="233"/>
        <v/>
      </c>
      <c r="BG400" s="469" t="str">
        <f t="shared" ca="1" si="234"/>
        <v/>
      </c>
      <c r="BH400" s="467" t="str">
        <f t="shared" si="235"/>
        <v/>
      </c>
      <c r="BI400" s="467" t="str">
        <f t="shared" ca="1" si="236"/>
        <v/>
      </c>
      <c r="BJ400" s="469" t="str">
        <f t="shared" si="237"/>
        <v/>
      </c>
      <c r="BK400" s="470" t="str">
        <f t="shared" si="217"/>
        <v/>
      </c>
      <c r="BL400" s="775" t="str">
        <f t="shared" si="238"/>
        <v/>
      </c>
      <c r="BM400" s="775" t="str">
        <f t="shared" si="239"/>
        <v/>
      </c>
    </row>
    <row r="401" spans="1:65">
      <c r="A401" s="473">
        <v>345</v>
      </c>
      <c r="B401" s="132"/>
      <c r="C401" s="332"/>
      <c r="D401" s="333"/>
      <c r="E401" s="333"/>
      <c r="F401" s="334"/>
      <c r="G401" s="337"/>
      <c r="H401" s="131"/>
      <c r="I401" s="337"/>
      <c r="J401" s="131"/>
      <c r="K401" s="458" t="str">
        <f t="shared" si="206"/>
        <v/>
      </c>
      <c r="L401" s="458">
        <f t="shared" si="218"/>
        <v>0</v>
      </c>
      <c r="M401" s="458">
        <f t="shared" si="219"/>
        <v>0</v>
      </c>
      <c r="N401" s="459" t="str">
        <f t="shared" si="207"/>
        <v/>
      </c>
      <c r="O401" s="459" t="str">
        <f t="shared" si="208"/>
        <v/>
      </c>
      <c r="P401" s="459" t="str">
        <f t="shared" si="209"/>
        <v/>
      </c>
      <c r="Q401" s="459" t="str">
        <f t="shared" si="210"/>
        <v/>
      </c>
      <c r="R401" s="459" t="str">
        <f t="shared" si="211"/>
        <v/>
      </c>
      <c r="S401" s="459" t="str">
        <f t="shared" si="212"/>
        <v/>
      </c>
      <c r="T401" s="566" t="str">
        <f t="shared" si="220"/>
        <v/>
      </c>
      <c r="U401" s="702"/>
      <c r="V401" s="132"/>
      <c r="W401" s="133"/>
      <c r="X401" s="134"/>
      <c r="Y401" s="135"/>
      <c r="Z401" s="137"/>
      <c r="AA401" s="136"/>
      <c r="AB401" s="566" t="str">
        <f t="shared" si="213"/>
        <v/>
      </c>
      <c r="AC401" s="568" t="str">
        <f t="shared" si="221"/>
        <v/>
      </c>
      <c r="AD401" s="137"/>
      <c r="AE401" s="137"/>
      <c r="AF401" s="138"/>
      <c r="AG401" s="138"/>
      <c r="AH401" s="592" t="str">
        <f t="shared" si="214"/>
        <v/>
      </c>
      <c r="AI401" s="592" t="str">
        <f t="shared" si="215"/>
        <v/>
      </c>
      <c r="AJ401" s="592" t="str">
        <f t="shared" si="216"/>
        <v/>
      </c>
      <c r="AK401" s="460" t="str">
        <f>IF(AU401="","",IF(OR(AZ401=8,AZ401=9),0,IF(OR(AW401=3,AW401=4,AW401=5,AW401=6),IF(LEFT(BF401,1)="1",INDEX(係数_NOX・PM低減,MATCH(AY401,【参考】排出係数!$AI$801:$AI$804,1),1),VLOOKUP(AU401,INDEX((係数_バス貨物_ガソリン,係数_バス貨物_CNG,係数_バス貨物_軽油,係数_バス貨物_メタノール,係数_バス貨物_LPG),MATCH(AY401,【参考】排出係数!$AI$4:$AI$671,1),1,BE401):INDEX((係数_バス貨物_ガソリン,係数_バス貨物_CNG,係数_バス貨物_軽油,係数_バス貨物_メタノール,係数_バス貨物_LPG),MATCH(AY401+1,【参考】排出係数!$AI$4:$AI$671,1)-1,5,BE401),4,FALSE)),IF(AND(BE401=3,LEFT(BF401,1)="1"),0.48,VLOOKUP(AU401,INDEX((係数_乗用_ガソリン,係数_乗用_CNG,係数_乗用_軽油,係数_乗用_メタノール,係数_乗用_LPG),1,1,BE401):INDEX((係数_乗用_ガソリン,係数_乗用_CNG,係数_乗用_軽油,係数_乗用_メタノール,係数_乗用_LPG),125,5,BE401),4,FALSE)))))</f>
        <v/>
      </c>
      <c r="AL401" s="461" t="str">
        <f t="shared" si="240"/>
        <v/>
      </c>
      <c r="AM401" s="460" t="str">
        <f>IF(AU401="","",IF(OR(AZ401=8,AZ401=9),0,IF(OR(AW401=3,AW401=4,AW401=5,AW401=6),IF(LEFT(BH401,1)="1",INDEX(係数_PM低減,MATCH(AY401,【参考】排出係数!$AI$801:$AI$804,1),MATCH(BI401,【参考】排出係数!$AL$798:$AO$798,1)),VLOOKUP(AU401,INDEX((係数_バス貨物_ガソリン,係数_バス貨物_CNG,係数_バス貨物_軽油,係数_バス貨物_メタノール,係数_バス貨物_LPG),MATCH(AY401,【参考】排出係数!$AI$4:$AI$671,1),1,BE401):INDEX((係数_バス貨物_ガソリン,係数_バス貨物_CNG,係数_バス貨物_軽油,係数_バス貨物_メタノール,係数_バス貨物_LPG),MATCH(AY401+1,【参考】排出係数!$AI$4:$AI$671,1)-1,5,BE401),5,FALSE)),IF(AND(BE401=3,LEFT(BF401,1)="1"),0.055,VLOOKUP(AU401,INDEX((係数_乗用_ガソリン,係数_乗用_CNG,係数_乗用_軽油,係数_乗用_メタノール,係数_乗用_LPG),1,1,BE401):INDEX((係数_乗用_ガソリン,係数_乗用_CNG,係数_乗用_軽油,係数_乗用_メタノール,係数_乗用_LPG),125,5,BE401),5,FALSE)))))</f>
        <v/>
      </c>
      <c r="AN401" s="461" t="str">
        <f t="shared" si="241"/>
        <v/>
      </c>
      <c r="AO401" s="462" t="str">
        <f t="shared" si="242"/>
        <v/>
      </c>
      <c r="AP401" s="463" t="str">
        <f t="shared" si="243"/>
        <v/>
      </c>
      <c r="AQ401" s="464"/>
      <c r="AR401" s="619"/>
      <c r="AS401" s="465" t="str">
        <f t="shared" si="222"/>
        <v/>
      </c>
      <c r="AT401" s="465" t="str">
        <f t="shared" si="223"/>
        <v/>
      </c>
      <c r="AU401" s="466" t="str">
        <f t="shared" si="224"/>
        <v/>
      </c>
      <c r="AV401" s="467" t="str">
        <f t="shared" si="225"/>
        <v/>
      </c>
      <c r="AW401" s="467" t="str">
        <f t="shared" si="226"/>
        <v/>
      </c>
      <c r="AX401" s="467" t="str">
        <f t="shared" si="227"/>
        <v/>
      </c>
      <c r="AY401" s="467" t="str">
        <f t="shared" si="228"/>
        <v/>
      </c>
      <c r="AZ401" s="467" t="str">
        <f t="shared" si="229"/>
        <v/>
      </c>
      <c r="BA401" s="468" t="str">
        <f>IF(AS401="","",IF(OR(AU401="",AU401="-"),"－",IF(OR(AZ401=8,AZ401=9),"",IF(OR(AW401=3,AW401=4,AW401=5,AW401=6),VLOOKUP(AU401,INDEX((係数_バス貨物_ガソリン,係数_バス貨物_CNG,係数_バス貨物_軽油,係数_バス貨物_メタノール,係数_バス貨物_LPG),MATCH(AY401,【参考】排出係数!$AI$4:$AI$671,1),1,BE401):INDEX((係数_バス貨物_ガソリン,係数_バス貨物_CNG,係数_バス貨物_軽油,係数_バス貨物_メタノール,係数_バス貨物_LPG),MATCH(AY401+1,【参考】排出係数!$AI$4:$AI$671,1)-1,5,BE401),2,FALSE),IF(OR(AW401=1,AW401=2),VLOOKUP(AU401,INDEX((係数_乗用_ガソリン,係数_乗用_CNG,係数_乗用_軽油,係数_乗用_メタノール,係数_乗用_LPG),1,1,BE401):INDEX((係数_乗用_ガソリン,係数_乗用_CNG,係数_乗用_軽油,係数_乗用_メタノール,係数_乗用_LPG),125,5,BE401),2,FALSE))))))</f>
        <v/>
      </c>
      <c r="BB401" s="468" t="str">
        <f>IF(T401="","",IF(OR(AU401="",AU401="-"),"－",IF(OR(AZ401=8,AZ401=9),"",IF(OR(AW401=3,AW401=4,AW401=5,AW401=6),VLOOKUP(AU401,INDEX((係数_バス貨物_ガソリン,係数_バス貨物_CNG,係数_バス貨物_軽油,係数_バス貨物_メタノール,係数_バス貨物_LPG),MATCH(AY401,【参考】排出係数!$AI$4:$AI$671,1),1,BE401):INDEX((係数_バス貨物_ガソリン,係数_バス貨物_CNG,係数_バス貨物_軽油,係数_バス貨物_メタノール,係数_バス貨物_LPG),MATCH(AY401+1,【参考】排出係数!$AI$4:$AI$671,1)-1,5,BE401),3,FALSE),IF(OR(AW401=1,AW401=2),VLOOKUP(AU401,INDEX((係数_乗用_ガソリン,係数_乗用_CNG,係数_乗用_軽油,係数_乗用_メタノール,係数_乗用_LPG),1,1,BE401):INDEX((係数_乗用_ガソリン,係数_乗用_CNG,係数_乗用_軽油,係数_乗用_メタノール,係数_乗用_LPG),125,5,BE401),3,FALSE))))))</f>
        <v/>
      </c>
      <c r="BC401" s="467" t="str">
        <f t="shared" si="230"/>
        <v/>
      </c>
      <c r="BD401" s="567" t="str">
        <f t="shared" si="231"/>
        <v/>
      </c>
      <c r="BE401" s="467" t="str">
        <f t="shared" si="232"/>
        <v/>
      </c>
      <c r="BF401" s="469" t="str">
        <f t="shared" ca="1" si="233"/>
        <v/>
      </c>
      <c r="BG401" s="469" t="str">
        <f t="shared" ca="1" si="234"/>
        <v/>
      </c>
      <c r="BH401" s="467" t="str">
        <f t="shared" si="235"/>
        <v/>
      </c>
      <c r="BI401" s="467" t="str">
        <f t="shared" ca="1" si="236"/>
        <v/>
      </c>
      <c r="BJ401" s="469" t="str">
        <f t="shared" si="237"/>
        <v/>
      </c>
      <c r="BK401" s="470" t="str">
        <f t="shared" si="217"/>
        <v/>
      </c>
      <c r="BL401" s="775" t="str">
        <f t="shared" si="238"/>
        <v/>
      </c>
      <c r="BM401" s="775" t="str">
        <f t="shared" si="239"/>
        <v/>
      </c>
    </row>
    <row r="402" spans="1:65">
      <c r="A402" s="473">
        <v>346</v>
      </c>
      <c r="B402" s="132"/>
      <c r="C402" s="332"/>
      <c r="D402" s="333"/>
      <c r="E402" s="333"/>
      <c r="F402" s="334"/>
      <c r="G402" s="337"/>
      <c r="H402" s="131"/>
      <c r="I402" s="337"/>
      <c r="J402" s="131"/>
      <c r="K402" s="458" t="str">
        <f t="shared" si="206"/>
        <v/>
      </c>
      <c r="L402" s="458">
        <f t="shared" si="218"/>
        <v>0</v>
      </c>
      <c r="M402" s="458">
        <f t="shared" si="219"/>
        <v>0</v>
      </c>
      <c r="N402" s="459" t="str">
        <f t="shared" si="207"/>
        <v/>
      </c>
      <c r="O402" s="459" t="str">
        <f t="shared" si="208"/>
        <v/>
      </c>
      <c r="P402" s="459" t="str">
        <f t="shared" si="209"/>
        <v/>
      </c>
      <c r="Q402" s="459" t="str">
        <f t="shared" si="210"/>
        <v/>
      </c>
      <c r="R402" s="459" t="str">
        <f t="shared" si="211"/>
        <v/>
      </c>
      <c r="S402" s="459" t="str">
        <f t="shared" si="212"/>
        <v/>
      </c>
      <c r="T402" s="566" t="str">
        <f t="shared" si="220"/>
        <v/>
      </c>
      <c r="U402" s="702"/>
      <c r="V402" s="132"/>
      <c r="W402" s="133"/>
      <c r="X402" s="134"/>
      <c r="Y402" s="135"/>
      <c r="Z402" s="137"/>
      <c r="AA402" s="136"/>
      <c r="AB402" s="566" t="str">
        <f t="shared" si="213"/>
        <v/>
      </c>
      <c r="AC402" s="568" t="str">
        <f t="shared" si="221"/>
        <v/>
      </c>
      <c r="AD402" s="137"/>
      <c r="AE402" s="137"/>
      <c r="AF402" s="138"/>
      <c r="AG402" s="138"/>
      <c r="AH402" s="592" t="str">
        <f t="shared" si="214"/>
        <v/>
      </c>
      <c r="AI402" s="592" t="str">
        <f t="shared" si="215"/>
        <v/>
      </c>
      <c r="AJ402" s="592" t="str">
        <f t="shared" si="216"/>
        <v/>
      </c>
      <c r="AK402" s="460" t="str">
        <f>IF(AU402="","",IF(OR(AZ402=8,AZ402=9),0,IF(OR(AW402=3,AW402=4,AW402=5,AW402=6),IF(LEFT(BF402,1)="1",INDEX(係数_NOX・PM低減,MATCH(AY402,【参考】排出係数!$AI$801:$AI$804,1),1),VLOOKUP(AU402,INDEX((係数_バス貨物_ガソリン,係数_バス貨物_CNG,係数_バス貨物_軽油,係数_バス貨物_メタノール,係数_バス貨物_LPG),MATCH(AY402,【参考】排出係数!$AI$4:$AI$671,1),1,BE402):INDEX((係数_バス貨物_ガソリン,係数_バス貨物_CNG,係数_バス貨物_軽油,係数_バス貨物_メタノール,係数_バス貨物_LPG),MATCH(AY402+1,【参考】排出係数!$AI$4:$AI$671,1)-1,5,BE402),4,FALSE)),IF(AND(BE402=3,LEFT(BF402,1)="1"),0.48,VLOOKUP(AU402,INDEX((係数_乗用_ガソリン,係数_乗用_CNG,係数_乗用_軽油,係数_乗用_メタノール,係数_乗用_LPG),1,1,BE402):INDEX((係数_乗用_ガソリン,係数_乗用_CNG,係数_乗用_軽油,係数_乗用_メタノール,係数_乗用_LPG),125,5,BE402),4,FALSE)))))</f>
        <v/>
      </c>
      <c r="AL402" s="461" t="str">
        <f t="shared" si="240"/>
        <v/>
      </c>
      <c r="AM402" s="460" t="str">
        <f>IF(AU402="","",IF(OR(AZ402=8,AZ402=9),0,IF(OR(AW402=3,AW402=4,AW402=5,AW402=6),IF(LEFT(BH402,1)="1",INDEX(係数_PM低減,MATCH(AY402,【参考】排出係数!$AI$801:$AI$804,1),MATCH(BI402,【参考】排出係数!$AL$798:$AO$798,1)),VLOOKUP(AU402,INDEX((係数_バス貨物_ガソリン,係数_バス貨物_CNG,係数_バス貨物_軽油,係数_バス貨物_メタノール,係数_バス貨物_LPG),MATCH(AY402,【参考】排出係数!$AI$4:$AI$671,1),1,BE402):INDEX((係数_バス貨物_ガソリン,係数_バス貨物_CNG,係数_バス貨物_軽油,係数_バス貨物_メタノール,係数_バス貨物_LPG),MATCH(AY402+1,【参考】排出係数!$AI$4:$AI$671,1)-1,5,BE402),5,FALSE)),IF(AND(BE402=3,LEFT(BF402,1)="1"),0.055,VLOOKUP(AU402,INDEX((係数_乗用_ガソリン,係数_乗用_CNG,係数_乗用_軽油,係数_乗用_メタノール,係数_乗用_LPG),1,1,BE402):INDEX((係数_乗用_ガソリン,係数_乗用_CNG,係数_乗用_軽油,係数_乗用_メタノール,係数_乗用_LPG),125,5,BE402),5,FALSE)))))</f>
        <v/>
      </c>
      <c r="AN402" s="461" t="str">
        <f t="shared" si="241"/>
        <v/>
      </c>
      <c r="AO402" s="462" t="str">
        <f t="shared" si="242"/>
        <v/>
      </c>
      <c r="AP402" s="463" t="str">
        <f t="shared" si="243"/>
        <v/>
      </c>
      <c r="AQ402" s="464"/>
      <c r="AR402" s="619"/>
      <c r="AS402" s="465" t="str">
        <f t="shared" si="222"/>
        <v/>
      </c>
      <c r="AT402" s="465" t="str">
        <f t="shared" si="223"/>
        <v/>
      </c>
      <c r="AU402" s="466" t="str">
        <f t="shared" si="224"/>
        <v/>
      </c>
      <c r="AV402" s="467" t="str">
        <f t="shared" si="225"/>
        <v/>
      </c>
      <c r="AW402" s="467" t="str">
        <f t="shared" si="226"/>
        <v/>
      </c>
      <c r="AX402" s="467" t="str">
        <f t="shared" si="227"/>
        <v/>
      </c>
      <c r="AY402" s="467" t="str">
        <f t="shared" si="228"/>
        <v/>
      </c>
      <c r="AZ402" s="467" t="str">
        <f t="shared" si="229"/>
        <v/>
      </c>
      <c r="BA402" s="468" t="str">
        <f>IF(AS402="","",IF(OR(AU402="",AU402="-"),"－",IF(OR(AZ402=8,AZ402=9),"",IF(OR(AW402=3,AW402=4,AW402=5,AW402=6),VLOOKUP(AU402,INDEX((係数_バス貨物_ガソリン,係数_バス貨物_CNG,係数_バス貨物_軽油,係数_バス貨物_メタノール,係数_バス貨物_LPG),MATCH(AY402,【参考】排出係数!$AI$4:$AI$671,1),1,BE402):INDEX((係数_バス貨物_ガソリン,係数_バス貨物_CNG,係数_バス貨物_軽油,係数_バス貨物_メタノール,係数_バス貨物_LPG),MATCH(AY402+1,【参考】排出係数!$AI$4:$AI$671,1)-1,5,BE402),2,FALSE),IF(OR(AW402=1,AW402=2),VLOOKUP(AU402,INDEX((係数_乗用_ガソリン,係数_乗用_CNG,係数_乗用_軽油,係数_乗用_メタノール,係数_乗用_LPG),1,1,BE402):INDEX((係数_乗用_ガソリン,係数_乗用_CNG,係数_乗用_軽油,係数_乗用_メタノール,係数_乗用_LPG),125,5,BE402),2,FALSE))))))</f>
        <v/>
      </c>
      <c r="BB402" s="468" t="str">
        <f>IF(T402="","",IF(OR(AU402="",AU402="-"),"－",IF(OR(AZ402=8,AZ402=9),"",IF(OR(AW402=3,AW402=4,AW402=5,AW402=6),VLOOKUP(AU402,INDEX((係数_バス貨物_ガソリン,係数_バス貨物_CNG,係数_バス貨物_軽油,係数_バス貨物_メタノール,係数_バス貨物_LPG),MATCH(AY402,【参考】排出係数!$AI$4:$AI$671,1),1,BE402):INDEX((係数_バス貨物_ガソリン,係数_バス貨物_CNG,係数_バス貨物_軽油,係数_バス貨物_メタノール,係数_バス貨物_LPG),MATCH(AY402+1,【参考】排出係数!$AI$4:$AI$671,1)-1,5,BE402),3,FALSE),IF(OR(AW402=1,AW402=2),VLOOKUP(AU402,INDEX((係数_乗用_ガソリン,係数_乗用_CNG,係数_乗用_軽油,係数_乗用_メタノール,係数_乗用_LPG),1,1,BE402):INDEX((係数_乗用_ガソリン,係数_乗用_CNG,係数_乗用_軽油,係数_乗用_メタノール,係数_乗用_LPG),125,5,BE402),3,FALSE))))))</f>
        <v/>
      </c>
      <c r="BC402" s="467" t="str">
        <f t="shared" si="230"/>
        <v/>
      </c>
      <c r="BD402" s="567" t="str">
        <f t="shared" si="231"/>
        <v/>
      </c>
      <c r="BE402" s="467" t="str">
        <f t="shared" si="232"/>
        <v/>
      </c>
      <c r="BF402" s="469" t="str">
        <f t="shared" ca="1" si="233"/>
        <v/>
      </c>
      <c r="BG402" s="469" t="str">
        <f t="shared" ca="1" si="234"/>
        <v/>
      </c>
      <c r="BH402" s="467" t="str">
        <f t="shared" si="235"/>
        <v/>
      </c>
      <c r="BI402" s="467" t="str">
        <f t="shared" ca="1" si="236"/>
        <v/>
      </c>
      <c r="BJ402" s="469" t="str">
        <f t="shared" si="237"/>
        <v/>
      </c>
      <c r="BK402" s="470" t="str">
        <f t="shared" si="217"/>
        <v/>
      </c>
      <c r="BL402" s="775" t="str">
        <f t="shared" si="238"/>
        <v/>
      </c>
      <c r="BM402" s="775" t="str">
        <f t="shared" si="239"/>
        <v/>
      </c>
    </row>
    <row r="403" spans="1:65">
      <c r="A403" s="473">
        <v>347</v>
      </c>
      <c r="B403" s="132"/>
      <c r="C403" s="332"/>
      <c r="D403" s="333"/>
      <c r="E403" s="333"/>
      <c r="F403" s="334"/>
      <c r="G403" s="337"/>
      <c r="H403" s="131"/>
      <c r="I403" s="337"/>
      <c r="J403" s="131"/>
      <c r="K403" s="458" t="str">
        <f t="shared" si="206"/>
        <v/>
      </c>
      <c r="L403" s="458">
        <f t="shared" si="218"/>
        <v>0</v>
      </c>
      <c r="M403" s="458">
        <f t="shared" si="219"/>
        <v>0</v>
      </c>
      <c r="N403" s="459" t="str">
        <f t="shared" si="207"/>
        <v/>
      </c>
      <c r="O403" s="459" t="str">
        <f t="shared" si="208"/>
        <v/>
      </c>
      <c r="P403" s="459" t="str">
        <f t="shared" si="209"/>
        <v/>
      </c>
      <c r="Q403" s="459" t="str">
        <f t="shared" si="210"/>
        <v/>
      </c>
      <c r="R403" s="459" t="str">
        <f t="shared" si="211"/>
        <v/>
      </c>
      <c r="S403" s="459" t="str">
        <f t="shared" si="212"/>
        <v/>
      </c>
      <c r="T403" s="566" t="str">
        <f t="shared" si="220"/>
        <v/>
      </c>
      <c r="U403" s="702"/>
      <c r="V403" s="132"/>
      <c r="W403" s="133"/>
      <c r="X403" s="134"/>
      <c r="Y403" s="135"/>
      <c r="Z403" s="137"/>
      <c r="AA403" s="136"/>
      <c r="AB403" s="566" t="str">
        <f t="shared" si="213"/>
        <v/>
      </c>
      <c r="AC403" s="568" t="str">
        <f t="shared" si="221"/>
        <v/>
      </c>
      <c r="AD403" s="137"/>
      <c r="AE403" s="137"/>
      <c r="AF403" s="138"/>
      <c r="AG403" s="138"/>
      <c r="AH403" s="592" t="str">
        <f t="shared" si="214"/>
        <v/>
      </c>
      <c r="AI403" s="592" t="str">
        <f t="shared" si="215"/>
        <v/>
      </c>
      <c r="AJ403" s="592" t="str">
        <f t="shared" si="216"/>
        <v/>
      </c>
      <c r="AK403" s="460" t="str">
        <f>IF(AU403="","",IF(OR(AZ403=8,AZ403=9),0,IF(OR(AW403=3,AW403=4,AW403=5,AW403=6),IF(LEFT(BF403,1)="1",INDEX(係数_NOX・PM低減,MATCH(AY403,【参考】排出係数!$AI$801:$AI$804,1),1),VLOOKUP(AU403,INDEX((係数_バス貨物_ガソリン,係数_バス貨物_CNG,係数_バス貨物_軽油,係数_バス貨物_メタノール,係数_バス貨物_LPG),MATCH(AY403,【参考】排出係数!$AI$4:$AI$671,1),1,BE403):INDEX((係数_バス貨物_ガソリン,係数_バス貨物_CNG,係数_バス貨物_軽油,係数_バス貨物_メタノール,係数_バス貨物_LPG),MATCH(AY403+1,【参考】排出係数!$AI$4:$AI$671,1)-1,5,BE403),4,FALSE)),IF(AND(BE403=3,LEFT(BF403,1)="1"),0.48,VLOOKUP(AU403,INDEX((係数_乗用_ガソリン,係数_乗用_CNG,係数_乗用_軽油,係数_乗用_メタノール,係数_乗用_LPG),1,1,BE403):INDEX((係数_乗用_ガソリン,係数_乗用_CNG,係数_乗用_軽油,係数_乗用_メタノール,係数_乗用_LPG),125,5,BE403),4,FALSE)))))</f>
        <v/>
      </c>
      <c r="AL403" s="461" t="str">
        <f t="shared" si="240"/>
        <v/>
      </c>
      <c r="AM403" s="460" t="str">
        <f>IF(AU403="","",IF(OR(AZ403=8,AZ403=9),0,IF(OR(AW403=3,AW403=4,AW403=5,AW403=6),IF(LEFT(BH403,1)="1",INDEX(係数_PM低減,MATCH(AY403,【参考】排出係数!$AI$801:$AI$804,1),MATCH(BI403,【参考】排出係数!$AL$798:$AO$798,1)),VLOOKUP(AU403,INDEX((係数_バス貨物_ガソリン,係数_バス貨物_CNG,係数_バス貨物_軽油,係数_バス貨物_メタノール,係数_バス貨物_LPG),MATCH(AY403,【参考】排出係数!$AI$4:$AI$671,1),1,BE403):INDEX((係数_バス貨物_ガソリン,係数_バス貨物_CNG,係数_バス貨物_軽油,係数_バス貨物_メタノール,係数_バス貨物_LPG),MATCH(AY403+1,【参考】排出係数!$AI$4:$AI$671,1)-1,5,BE403),5,FALSE)),IF(AND(BE403=3,LEFT(BF403,1)="1"),0.055,VLOOKUP(AU403,INDEX((係数_乗用_ガソリン,係数_乗用_CNG,係数_乗用_軽油,係数_乗用_メタノール,係数_乗用_LPG),1,1,BE403):INDEX((係数_乗用_ガソリン,係数_乗用_CNG,係数_乗用_軽油,係数_乗用_メタノール,係数_乗用_LPG),125,5,BE403),5,FALSE)))))</f>
        <v/>
      </c>
      <c r="AN403" s="461" t="str">
        <f t="shared" si="241"/>
        <v/>
      </c>
      <c r="AO403" s="462" t="str">
        <f t="shared" si="242"/>
        <v/>
      </c>
      <c r="AP403" s="463" t="str">
        <f t="shared" si="243"/>
        <v/>
      </c>
      <c r="AQ403" s="464"/>
      <c r="AR403" s="619"/>
      <c r="AS403" s="465" t="str">
        <f t="shared" si="222"/>
        <v/>
      </c>
      <c r="AT403" s="465" t="str">
        <f t="shared" si="223"/>
        <v/>
      </c>
      <c r="AU403" s="466" t="str">
        <f t="shared" si="224"/>
        <v/>
      </c>
      <c r="AV403" s="467" t="str">
        <f t="shared" si="225"/>
        <v/>
      </c>
      <c r="AW403" s="467" t="str">
        <f t="shared" si="226"/>
        <v/>
      </c>
      <c r="AX403" s="467" t="str">
        <f t="shared" si="227"/>
        <v/>
      </c>
      <c r="AY403" s="467" t="str">
        <f t="shared" si="228"/>
        <v/>
      </c>
      <c r="AZ403" s="467" t="str">
        <f t="shared" si="229"/>
        <v/>
      </c>
      <c r="BA403" s="468" t="str">
        <f>IF(AS403="","",IF(OR(AU403="",AU403="-"),"－",IF(OR(AZ403=8,AZ403=9),"",IF(OR(AW403=3,AW403=4,AW403=5,AW403=6),VLOOKUP(AU403,INDEX((係数_バス貨物_ガソリン,係数_バス貨物_CNG,係数_バス貨物_軽油,係数_バス貨物_メタノール,係数_バス貨物_LPG),MATCH(AY403,【参考】排出係数!$AI$4:$AI$671,1),1,BE403):INDEX((係数_バス貨物_ガソリン,係数_バス貨物_CNG,係数_バス貨物_軽油,係数_バス貨物_メタノール,係数_バス貨物_LPG),MATCH(AY403+1,【参考】排出係数!$AI$4:$AI$671,1)-1,5,BE403),2,FALSE),IF(OR(AW403=1,AW403=2),VLOOKUP(AU403,INDEX((係数_乗用_ガソリン,係数_乗用_CNG,係数_乗用_軽油,係数_乗用_メタノール,係数_乗用_LPG),1,1,BE403):INDEX((係数_乗用_ガソリン,係数_乗用_CNG,係数_乗用_軽油,係数_乗用_メタノール,係数_乗用_LPG),125,5,BE403),2,FALSE))))))</f>
        <v/>
      </c>
      <c r="BB403" s="468" t="str">
        <f>IF(T403="","",IF(OR(AU403="",AU403="-"),"－",IF(OR(AZ403=8,AZ403=9),"",IF(OR(AW403=3,AW403=4,AW403=5,AW403=6),VLOOKUP(AU403,INDEX((係数_バス貨物_ガソリン,係数_バス貨物_CNG,係数_バス貨物_軽油,係数_バス貨物_メタノール,係数_バス貨物_LPG),MATCH(AY403,【参考】排出係数!$AI$4:$AI$671,1),1,BE403):INDEX((係数_バス貨物_ガソリン,係数_バス貨物_CNG,係数_バス貨物_軽油,係数_バス貨物_メタノール,係数_バス貨物_LPG),MATCH(AY403+1,【参考】排出係数!$AI$4:$AI$671,1)-1,5,BE403),3,FALSE),IF(OR(AW403=1,AW403=2),VLOOKUP(AU403,INDEX((係数_乗用_ガソリン,係数_乗用_CNG,係数_乗用_軽油,係数_乗用_メタノール,係数_乗用_LPG),1,1,BE403):INDEX((係数_乗用_ガソリン,係数_乗用_CNG,係数_乗用_軽油,係数_乗用_メタノール,係数_乗用_LPG),125,5,BE403),3,FALSE))))))</f>
        <v/>
      </c>
      <c r="BC403" s="467" t="str">
        <f t="shared" si="230"/>
        <v/>
      </c>
      <c r="BD403" s="567" t="str">
        <f t="shared" si="231"/>
        <v/>
      </c>
      <c r="BE403" s="467" t="str">
        <f t="shared" si="232"/>
        <v/>
      </c>
      <c r="BF403" s="469" t="str">
        <f t="shared" ca="1" si="233"/>
        <v/>
      </c>
      <c r="BG403" s="469" t="str">
        <f t="shared" ca="1" si="234"/>
        <v/>
      </c>
      <c r="BH403" s="467" t="str">
        <f t="shared" si="235"/>
        <v/>
      </c>
      <c r="BI403" s="467" t="str">
        <f t="shared" ca="1" si="236"/>
        <v/>
      </c>
      <c r="BJ403" s="469" t="str">
        <f t="shared" si="237"/>
        <v/>
      </c>
      <c r="BK403" s="470" t="str">
        <f t="shared" si="217"/>
        <v/>
      </c>
      <c r="BL403" s="775" t="str">
        <f t="shared" si="238"/>
        <v/>
      </c>
      <c r="BM403" s="775" t="str">
        <f t="shared" si="239"/>
        <v/>
      </c>
    </row>
    <row r="404" spans="1:65">
      <c r="A404" s="473">
        <v>348</v>
      </c>
      <c r="B404" s="132"/>
      <c r="C404" s="332"/>
      <c r="D404" s="333"/>
      <c r="E404" s="333"/>
      <c r="F404" s="334"/>
      <c r="G404" s="337"/>
      <c r="H404" s="131"/>
      <c r="I404" s="337"/>
      <c r="J404" s="131"/>
      <c r="K404" s="458" t="str">
        <f t="shared" si="206"/>
        <v/>
      </c>
      <c r="L404" s="458">
        <f t="shared" si="218"/>
        <v>0</v>
      </c>
      <c r="M404" s="458">
        <f t="shared" si="219"/>
        <v>0</v>
      </c>
      <c r="N404" s="459" t="str">
        <f t="shared" si="207"/>
        <v/>
      </c>
      <c r="O404" s="459" t="str">
        <f t="shared" si="208"/>
        <v/>
      </c>
      <c r="P404" s="459" t="str">
        <f t="shared" si="209"/>
        <v/>
      </c>
      <c r="Q404" s="459" t="str">
        <f t="shared" si="210"/>
        <v/>
      </c>
      <c r="R404" s="459" t="str">
        <f t="shared" si="211"/>
        <v/>
      </c>
      <c r="S404" s="459" t="str">
        <f t="shared" si="212"/>
        <v/>
      </c>
      <c r="T404" s="566" t="str">
        <f t="shared" si="220"/>
        <v/>
      </c>
      <c r="U404" s="702"/>
      <c r="V404" s="132"/>
      <c r="W404" s="133"/>
      <c r="X404" s="134"/>
      <c r="Y404" s="135"/>
      <c r="Z404" s="137"/>
      <c r="AA404" s="136"/>
      <c r="AB404" s="566" t="str">
        <f t="shared" si="213"/>
        <v/>
      </c>
      <c r="AC404" s="568" t="str">
        <f t="shared" si="221"/>
        <v/>
      </c>
      <c r="AD404" s="137"/>
      <c r="AE404" s="137"/>
      <c r="AF404" s="138"/>
      <c r="AG404" s="138"/>
      <c r="AH404" s="592" t="str">
        <f t="shared" si="214"/>
        <v/>
      </c>
      <c r="AI404" s="592" t="str">
        <f t="shared" si="215"/>
        <v/>
      </c>
      <c r="AJ404" s="592" t="str">
        <f t="shared" si="216"/>
        <v/>
      </c>
      <c r="AK404" s="460" t="str">
        <f>IF(AU404="","",IF(OR(AZ404=8,AZ404=9),0,IF(OR(AW404=3,AW404=4,AW404=5,AW404=6),IF(LEFT(BF404,1)="1",INDEX(係数_NOX・PM低減,MATCH(AY404,【参考】排出係数!$AI$801:$AI$804,1),1),VLOOKUP(AU404,INDEX((係数_バス貨物_ガソリン,係数_バス貨物_CNG,係数_バス貨物_軽油,係数_バス貨物_メタノール,係数_バス貨物_LPG),MATCH(AY404,【参考】排出係数!$AI$4:$AI$671,1),1,BE404):INDEX((係数_バス貨物_ガソリン,係数_バス貨物_CNG,係数_バス貨物_軽油,係数_バス貨物_メタノール,係数_バス貨物_LPG),MATCH(AY404+1,【参考】排出係数!$AI$4:$AI$671,1)-1,5,BE404),4,FALSE)),IF(AND(BE404=3,LEFT(BF404,1)="1"),0.48,VLOOKUP(AU404,INDEX((係数_乗用_ガソリン,係数_乗用_CNG,係数_乗用_軽油,係数_乗用_メタノール,係数_乗用_LPG),1,1,BE404):INDEX((係数_乗用_ガソリン,係数_乗用_CNG,係数_乗用_軽油,係数_乗用_メタノール,係数_乗用_LPG),125,5,BE404),4,FALSE)))))</f>
        <v/>
      </c>
      <c r="AL404" s="461" t="str">
        <f t="shared" si="240"/>
        <v/>
      </c>
      <c r="AM404" s="460" t="str">
        <f>IF(AU404="","",IF(OR(AZ404=8,AZ404=9),0,IF(OR(AW404=3,AW404=4,AW404=5,AW404=6),IF(LEFT(BH404,1)="1",INDEX(係数_PM低減,MATCH(AY404,【参考】排出係数!$AI$801:$AI$804,1),MATCH(BI404,【参考】排出係数!$AL$798:$AO$798,1)),VLOOKUP(AU404,INDEX((係数_バス貨物_ガソリン,係数_バス貨物_CNG,係数_バス貨物_軽油,係数_バス貨物_メタノール,係数_バス貨物_LPG),MATCH(AY404,【参考】排出係数!$AI$4:$AI$671,1),1,BE404):INDEX((係数_バス貨物_ガソリン,係数_バス貨物_CNG,係数_バス貨物_軽油,係数_バス貨物_メタノール,係数_バス貨物_LPG),MATCH(AY404+1,【参考】排出係数!$AI$4:$AI$671,1)-1,5,BE404),5,FALSE)),IF(AND(BE404=3,LEFT(BF404,1)="1"),0.055,VLOOKUP(AU404,INDEX((係数_乗用_ガソリン,係数_乗用_CNG,係数_乗用_軽油,係数_乗用_メタノール,係数_乗用_LPG),1,1,BE404):INDEX((係数_乗用_ガソリン,係数_乗用_CNG,係数_乗用_軽油,係数_乗用_メタノール,係数_乗用_LPG),125,5,BE404),5,FALSE)))))</f>
        <v/>
      </c>
      <c r="AN404" s="461" t="str">
        <f t="shared" si="241"/>
        <v/>
      </c>
      <c r="AO404" s="462" t="str">
        <f t="shared" si="242"/>
        <v/>
      </c>
      <c r="AP404" s="463" t="str">
        <f t="shared" si="243"/>
        <v/>
      </c>
      <c r="AQ404" s="464"/>
      <c r="AR404" s="619"/>
      <c r="AS404" s="465" t="str">
        <f t="shared" si="222"/>
        <v/>
      </c>
      <c r="AT404" s="465" t="str">
        <f t="shared" si="223"/>
        <v/>
      </c>
      <c r="AU404" s="466" t="str">
        <f t="shared" si="224"/>
        <v/>
      </c>
      <c r="AV404" s="467" t="str">
        <f t="shared" si="225"/>
        <v/>
      </c>
      <c r="AW404" s="467" t="str">
        <f t="shared" si="226"/>
        <v/>
      </c>
      <c r="AX404" s="467" t="str">
        <f t="shared" si="227"/>
        <v/>
      </c>
      <c r="AY404" s="467" t="str">
        <f t="shared" si="228"/>
        <v/>
      </c>
      <c r="AZ404" s="467" t="str">
        <f t="shared" si="229"/>
        <v/>
      </c>
      <c r="BA404" s="468" t="str">
        <f>IF(AS404="","",IF(OR(AU404="",AU404="-"),"－",IF(OR(AZ404=8,AZ404=9),"",IF(OR(AW404=3,AW404=4,AW404=5,AW404=6),VLOOKUP(AU404,INDEX((係数_バス貨物_ガソリン,係数_バス貨物_CNG,係数_バス貨物_軽油,係数_バス貨物_メタノール,係数_バス貨物_LPG),MATCH(AY404,【参考】排出係数!$AI$4:$AI$671,1),1,BE404):INDEX((係数_バス貨物_ガソリン,係数_バス貨物_CNG,係数_バス貨物_軽油,係数_バス貨物_メタノール,係数_バス貨物_LPG),MATCH(AY404+1,【参考】排出係数!$AI$4:$AI$671,1)-1,5,BE404),2,FALSE),IF(OR(AW404=1,AW404=2),VLOOKUP(AU404,INDEX((係数_乗用_ガソリン,係数_乗用_CNG,係数_乗用_軽油,係数_乗用_メタノール,係数_乗用_LPG),1,1,BE404):INDEX((係数_乗用_ガソリン,係数_乗用_CNG,係数_乗用_軽油,係数_乗用_メタノール,係数_乗用_LPG),125,5,BE404),2,FALSE))))))</f>
        <v/>
      </c>
      <c r="BB404" s="468" t="str">
        <f>IF(T404="","",IF(OR(AU404="",AU404="-"),"－",IF(OR(AZ404=8,AZ404=9),"",IF(OR(AW404=3,AW404=4,AW404=5,AW404=6),VLOOKUP(AU404,INDEX((係数_バス貨物_ガソリン,係数_バス貨物_CNG,係数_バス貨物_軽油,係数_バス貨物_メタノール,係数_バス貨物_LPG),MATCH(AY404,【参考】排出係数!$AI$4:$AI$671,1),1,BE404):INDEX((係数_バス貨物_ガソリン,係数_バス貨物_CNG,係数_バス貨物_軽油,係数_バス貨物_メタノール,係数_バス貨物_LPG),MATCH(AY404+1,【参考】排出係数!$AI$4:$AI$671,1)-1,5,BE404),3,FALSE),IF(OR(AW404=1,AW404=2),VLOOKUP(AU404,INDEX((係数_乗用_ガソリン,係数_乗用_CNG,係数_乗用_軽油,係数_乗用_メタノール,係数_乗用_LPG),1,1,BE404):INDEX((係数_乗用_ガソリン,係数_乗用_CNG,係数_乗用_軽油,係数_乗用_メタノール,係数_乗用_LPG),125,5,BE404),3,FALSE))))))</f>
        <v/>
      </c>
      <c r="BC404" s="467" t="str">
        <f t="shared" si="230"/>
        <v/>
      </c>
      <c r="BD404" s="567" t="str">
        <f t="shared" si="231"/>
        <v/>
      </c>
      <c r="BE404" s="467" t="str">
        <f t="shared" si="232"/>
        <v/>
      </c>
      <c r="BF404" s="469" t="str">
        <f t="shared" ca="1" si="233"/>
        <v/>
      </c>
      <c r="BG404" s="469" t="str">
        <f t="shared" ca="1" si="234"/>
        <v/>
      </c>
      <c r="BH404" s="467" t="str">
        <f t="shared" si="235"/>
        <v/>
      </c>
      <c r="BI404" s="467" t="str">
        <f t="shared" ca="1" si="236"/>
        <v/>
      </c>
      <c r="BJ404" s="469" t="str">
        <f t="shared" si="237"/>
        <v/>
      </c>
      <c r="BK404" s="470" t="str">
        <f t="shared" si="217"/>
        <v/>
      </c>
      <c r="BL404" s="775" t="str">
        <f t="shared" si="238"/>
        <v/>
      </c>
      <c r="BM404" s="775" t="str">
        <f t="shared" si="239"/>
        <v/>
      </c>
    </row>
    <row r="405" spans="1:65">
      <c r="A405" s="473">
        <v>349</v>
      </c>
      <c r="B405" s="132"/>
      <c r="C405" s="332"/>
      <c r="D405" s="333"/>
      <c r="E405" s="333"/>
      <c r="F405" s="334"/>
      <c r="G405" s="337"/>
      <c r="H405" s="131"/>
      <c r="I405" s="337"/>
      <c r="J405" s="131"/>
      <c r="K405" s="458" t="str">
        <f t="shared" si="206"/>
        <v/>
      </c>
      <c r="L405" s="458">
        <f t="shared" si="218"/>
        <v>0</v>
      </c>
      <c r="M405" s="458">
        <f t="shared" si="219"/>
        <v>0</v>
      </c>
      <c r="N405" s="459" t="str">
        <f t="shared" si="207"/>
        <v/>
      </c>
      <c r="O405" s="459" t="str">
        <f t="shared" si="208"/>
        <v/>
      </c>
      <c r="P405" s="459" t="str">
        <f t="shared" si="209"/>
        <v/>
      </c>
      <c r="Q405" s="459" t="str">
        <f t="shared" si="210"/>
        <v/>
      </c>
      <c r="R405" s="459" t="str">
        <f t="shared" si="211"/>
        <v/>
      </c>
      <c r="S405" s="459" t="str">
        <f t="shared" si="212"/>
        <v/>
      </c>
      <c r="T405" s="566" t="str">
        <f t="shared" si="220"/>
        <v/>
      </c>
      <c r="U405" s="702"/>
      <c r="V405" s="132"/>
      <c r="W405" s="133"/>
      <c r="X405" s="134"/>
      <c r="Y405" s="135"/>
      <c r="Z405" s="137"/>
      <c r="AA405" s="136"/>
      <c r="AB405" s="566" t="str">
        <f t="shared" si="213"/>
        <v/>
      </c>
      <c r="AC405" s="568" t="str">
        <f t="shared" si="221"/>
        <v/>
      </c>
      <c r="AD405" s="137"/>
      <c r="AE405" s="137"/>
      <c r="AF405" s="138"/>
      <c r="AG405" s="138"/>
      <c r="AH405" s="592" t="str">
        <f t="shared" si="214"/>
        <v/>
      </c>
      <c r="AI405" s="592" t="str">
        <f t="shared" si="215"/>
        <v/>
      </c>
      <c r="AJ405" s="592" t="str">
        <f t="shared" si="216"/>
        <v/>
      </c>
      <c r="AK405" s="460" t="str">
        <f>IF(AU405="","",IF(OR(AZ405=8,AZ405=9),0,IF(OR(AW405=3,AW405=4,AW405=5,AW405=6),IF(LEFT(BF405,1)="1",INDEX(係数_NOX・PM低減,MATCH(AY405,【参考】排出係数!$AI$801:$AI$804,1),1),VLOOKUP(AU405,INDEX((係数_バス貨物_ガソリン,係数_バス貨物_CNG,係数_バス貨物_軽油,係数_バス貨物_メタノール,係数_バス貨物_LPG),MATCH(AY405,【参考】排出係数!$AI$4:$AI$671,1),1,BE405):INDEX((係数_バス貨物_ガソリン,係数_バス貨物_CNG,係数_バス貨物_軽油,係数_バス貨物_メタノール,係数_バス貨物_LPG),MATCH(AY405+1,【参考】排出係数!$AI$4:$AI$671,1)-1,5,BE405),4,FALSE)),IF(AND(BE405=3,LEFT(BF405,1)="1"),0.48,VLOOKUP(AU405,INDEX((係数_乗用_ガソリン,係数_乗用_CNG,係数_乗用_軽油,係数_乗用_メタノール,係数_乗用_LPG),1,1,BE405):INDEX((係数_乗用_ガソリン,係数_乗用_CNG,係数_乗用_軽油,係数_乗用_メタノール,係数_乗用_LPG),125,5,BE405),4,FALSE)))))</f>
        <v/>
      </c>
      <c r="AL405" s="461" t="str">
        <f t="shared" si="240"/>
        <v/>
      </c>
      <c r="AM405" s="460" t="str">
        <f>IF(AU405="","",IF(OR(AZ405=8,AZ405=9),0,IF(OR(AW405=3,AW405=4,AW405=5,AW405=6),IF(LEFT(BH405,1)="1",INDEX(係数_PM低減,MATCH(AY405,【参考】排出係数!$AI$801:$AI$804,1),MATCH(BI405,【参考】排出係数!$AL$798:$AO$798,1)),VLOOKUP(AU405,INDEX((係数_バス貨物_ガソリン,係数_バス貨物_CNG,係数_バス貨物_軽油,係数_バス貨物_メタノール,係数_バス貨物_LPG),MATCH(AY405,【参考】排出係数!$AI$4:$AI$671,1),1,BE405):INDEX((係数_バス貨物_ガソリン,係数_バス貨物_CNG,係数_バス貨物_軽油,係数_バス貨物_メタノール,係数_バス貨物_LPG),MATCH(AY405+1,【参考】排出係数!$AI$4:$AI$671,1)-1,5,BE405),5,FALSE)),IF(AND(BE405=3,LEFT(BF405,1)="1"),0.055,VLOOKUP(AU405,INDEX((係数_乗用_ガソリン,係数_乗用_CNG,係数_乗用_軽油,係数_乗用_メタノール,係数_乗用_LPG),1,1,BE405):INDEX((係数_乗用_ガソリン,係数_乗用_CNG,係数_乗用_軽油,係数_乗用_メタノール,係数_乗用_LPG),125,5,BE405),5,FALSE)))))</f>
        <v/>
      </c>
      <c r="AN405" s="461" t="str">
        <f t="shared" si="241"/>
        <v/>
      </c>
      <c r="AO405" s="462" t="str">
        <f t="shared" si="242"/>
        <v/>
      </c>
      <c r="AP405" s="463" t="str">
        <f t="shared" si="243"/>
        <v/>
      </c>
      <c r="AQ405" s="464"/>
      <c r="AR405" s="619"/>
      <c r="AS405" s="465" t="str">
        <f t="shared" si="222"/>
        <v/>
      </c>
      <c r="AT405" s="465" t="str">
        <f t="shared" si="223"/>
        <v/>
      </c>
      <c r="AU405" s="466" t="str">
        <f t="shared" si="224"/>
        <v/>
      </c>
      <c r="AV405" s="467" t="str">
        <f t="shared" si="225"/>
        <v/>
      </c>
      <c r="AW405" s="467" t="str">
        <f t="shared" si="226"/>
        <v/>
      </c>
      <c r="AX405" s="467" t="str">
        <f t="shared" si="227"/>
        <v/>
      </c>
      <c r="AY405" s="467" t="str">
        <f t="shared" si="228"/>
        <v/>
      </c>
      <c r="AZ405" s="467" t="str">
        <f t="shared" si="229"/>
        <v/>
      </c>
      <c r="BA405" s="468" t="str">
        <f>IF(AS405="","",IF(OR(AU405="",AU405="-"),"－",IF(OR(AZ405=8,AZ405=9),"",IF(OR(AW405=3,AW405=4,AW405=5,AW405=6),VLOOKUP(AU405,INDEX((係数_バス貨物_ガソリン,係数_バス貨物_CNG,係数_バス貨物_軽油,係数_バス貨物_メタノール,係数_バス貨物_LPG),MATCH(AY405,【参考】排出係数!$AI$4:$AI$671,1),1,BE405):INDEX((係数_バス貨物_ガソリン,係数_バス貨物_CNG,係数_バス貨物_軽油,係数_バス貨物_メタノール,係数_バス貨物_LPG),MATCH(AY405+1,【参考】排出係数!$AI$4:$AI$671,1)-1,5,BE405),2,FALSE),IF(OR(AW405=1,AW405=2),VLOOKUP(AU405,INDEX((係数_乗用_ガソリン,係数_乗用_CNG,係数_乗用_軽油,係数_乗用_メタノール,係数_乗用_LPG),1,1,BE405):INDEX((係数_乗用_ガソリン,係数_乗用_CNG,係数_乗用_軽油,係数_乗用_メタノール,係数_乗用_LPG),125,5,BE405),2,FALSE))))))</f>
        <v/>
      </c>
      <c r="BB405" s="468" t="str">
        <f>IF(T405="","",IF(OR(AU405="",AU405="-"),"－",IF(OR(AZ405=8,AZ405=9),"",IF(OR(AW405=3,AW405=4,AW405=5,AW405=6),VLOOKUP(AU405,INDEX((係数_バス貨物_ガソリン,係数_バス貨物_CNG,係数_バス貨物_軽油,係数_バス貨物_メタノール,係数_バス貨物_LPG),MATCH(AY405,【参考】排出係数!$AI$4:$AI$671,1),1,BE405):INDEX((係数_バス貨物_ガソリン,係数_バス貨物_CNG,係数_バス貨物_軽油,係数_バス貨物_メタノール,係数_バス貨物_LPG),MATCH(AY405+1,【参考】排出係数!$AI$4:$AI$671,1)-1,5,BE405),3,FALSE),IF(OR(AW405=1,AW405=2),VLOOKUP(AU405,INDEX((係数_乗用_ガソリン,係数_乗用_CNG,係数_乗用_軽油,係数_乗用_メタノール,係数_乗用_LPG),1,1,BE405):INDEX((係数_乗用_ガソリン,係数_乗用_CNG,係数_乗用_軽油,係数_乗用_メタノール,係数_乗用_LPG),125,5,BE405),3,FALSE))))))</f>
        <v/>
      </c>
      <c r="BC405" s="467" t="str">
        <f t="shared" si="230"/>
        <v/>
      </c>
      <c r="BD405" s="567" t="str">
        <f t="shared" si="231"/>
        <v/>
      </c>
      <c r="BE405" s="467" t="str">
        <f t="shared" si="232"/>
        <v/>
      </c>
      <c r="BF405" s="469" t="str">
        <f t="shared" ca="1" si="233"/>
        <v/>
      </c>
      <c r="BG405" s="469" t="str">
        <f t="shared" ca="1" si="234"/>
        <v/>
      </c>
      <c r="BH405" s="467" t="str">
        <f t="shared" si="235"/>
        <v/>
      </c>
      <c r="BI405" s="467" t="str">
        <f t="shared" ca="1" si="236"/>
        <v/>
      </c>
      <c r="BJ405" s="469" t="str">
        <f t="shared" si="237"/>
        <v/>
      </c>
      <c r="BK405" s="470" t="str">
        <f t="shared" si="217"/>
        <v/>
      </c>
      <c r="BL405" s="775" t="str">
        <f t="shared" si="238"/>
        <v/>
      </c>
      <c r="BM405" s="775" t="str">
        <f t="shared" si="239"/>
        <v/>
      </c>
    </row>
    <row r="406" spans="1:65">
      <c r="A406" s="473">
        <v>350</v>
      </c>
      <c r="B406" s="132"/>
      <c r="C406" s="332"/>
      <c r="D406" s="333"/>
      <c r="E406" s="333"/>
      <c r="F406" s="334"/>
      <c r="G406" s="337"/>
      <c r="H406" s="131"/>
      <c r="I406" s="337"/>
      <c r="J406" s="131"/>
      <c r="K406" s="458" t="str">
        <f t="shared" si="206"/>
        <v/>
      </c>
      <c r="L406" s="458">
        <f t="shared" si="218"/>
        <v>0</v>
      </c>
      <c r="M406" s="458">
        <f t="shared" si="219"/>
        <v>0</v>
      </c>
      <c r="N406" s="459" t="str">
        <f t="shared" si="207"/>
        <v/>
      </c>
      <c r="O406" s="459" t="str">
        <f t="shared" si="208"/>
        <v/>
      </c>
      <c r="P406" s="459" t="str">
        <f t="shared" si="209"/>
        <v/>
      </c>
      <c r="Q406" s="459" t="str">
        <f t="shared" si="210"/>
        <v/>
      </c>
      <c r="R406" s="459" t="str">
        <f t="shared" si="211"/>
        <v/>
      </c>
      <c r="S406" s="459" t="str">
        <f t="shared" si="212"/>
        <v/>
      </c>
      <c r="T406" s="566" t="str">
        <f t="shared" si="220"/>
        <v/>
      </c>
      <c r="U406" s="702"/>
      <c r="V406" s="132"/>
      <c r="W406" s="133"/>
      <c r="X406" s="134"/>
      <c r="Y406" s="135"/>
      <c r="Z406" s="137"/>
      <c r="AA406" s="136"/>
      <c r="AB406" s="566" t="str">
        <f t="shared" si="213"/>
        <v/>
      </c>
      <c r="AC406" s="568" t="str">
        <f t="shared" si="221"/>
        <v/>
      </c>
      <c r="AD406" s="137"/>
      <c r="AE406" s="137"/>
      <c r="AF406" s="138"/>
      <c r="AG406" s="138"/>
      <c r="AH406" s="592" t="str">
        <f t="shared" si="214"/>
        <v/>
      </c>
      <c r="AI406" s="592" t="str">
        <f t="shared" si="215"/>
        <v/>
      </c>
      <c r="AJ406" s="592" t="str">
        <f t="shared" si="216"/>
        <v/>
      </c>
      <c r="AK406" s="460" t="str">
        <f>IF(AU406="","",IF(OR(AZ406=8,AZ406=9),0,IF(OR(AW406=3,AW406=4,AW406=5,AW406=6),IF(LEFT(BF406,1)="1",INDEX(係数_NOX・PM低減,MATCH(AY406,【参考】排出係数!$AI$801:$AI$804,1),1),VLOOKUP(AU406,INDEX((係数_バス貨物_ガソリン,係数_バス貨物_CNG,係数_バス貨物_軽油,係数_バス貨物_メタノール,係数_バス貨物_LPG),MATCH(AY406,【参考】排出係数!$AI$4:$AI$671,1),1,BE406):INDEX((係数_バス貨物_ガソリン,係数_バス貨物_CNG,係数_バス貨物_軽油,係数_バス貨物_メタノール,係数_バス貨物_LPG),MATCH(AY406+1,【参考】排出係数!$AI$4:$AI$671,1)-1,5,BE406),4,FALSE)),IF(AND(BE406=3,LEFT(BF406,1)="1"),0.48,VLOOKUP(AU406,INDEX((係数_乗用_ガソリン,係数_乗用_CNG,係数_乗用_軽油,係数_乗用_メタノール,係数_乗用_LPG),1,1,BE406):INDEX((係数_乗用_ガソリン,係数_乗用_CNG,係数_乗用_軽油,係数_乗用_メタノール,係数_乗用_LPG),125,5,BE406),4,FALSE)))))</f>
        <v/>
      </c>
      <c r="AL406" s="461" t="str">
        <f t="shared" si="240"/>
        <v/>
      </c>
      <c r="AM406" s="460" t="str">
        <f>IF(AU406="","",IF(OR(AZ406=8,AZ406=9),0,IF(OR(AW406=3,AW406=4,AW406=5,AW406=6),IF(LEFT(BH406,1)="1",INDEX(係数_PM低減,MATCH(AY406,【参考】排出係数!$AI$801:$AI$804,1),MATCH(BI406,【参考】排出係数!$AL$798:$AO$798,1)),VLOOKUP(AU406,INDEX((係数_バス貨物_ガソリン,係数_バス貨物_CNG,係数_バス貨物_軽油,係数_バス貨物_メタノール,係数_バス貨物_LPG),MATCH(AY406,【参考】排出係数!$AI$4:$AI$671,1),1,BE406):INDEX((係数_バス貨物_ガソリン,係数_バス貨物_CNG,係数_バス貨物_軽油,係数_バス貨物_メタノール,係数_バス貨物_LPG),MATCH(AY406+1,【参考】排出係数!$AI$4:$AI$671,1)-1,5,BE406),5,FALSE)),IF(AND(BE406=3,LEFT(BF406,1)="1"),0.055,VLOOKUP(AU406,INDEX((係数_乗用_ガソリン,係数_乗用_CNG,係数_乗用_軽油,係数_乗用_メタノール,係数_乗用_LPG),1,1,BE406):INDEX((係数_乗用_ガソリン,係数_乗用_CNG,係数_乗用_軽油,係数_乗用_メタノール,係数_乗用_LPG),125,5,BE406),5,FALSE)))))</f>
        <v/>
      </c>
      <c r="AN406" s="461" t="str">
        <f t="shared" si="241"/>
        <v/>
      </c>
      <c r="AO406" s="462" t="str">
        <f t="shared" si="242"/>
        <v/>
      </c>
      <c r="AP406" s="463" t="str">
        <f t="shared" si="243"/>
        <v/>
      </c>
      <c r="AQ406" s="464"/>
      <c r="AR406" s="619"/>
      <c r="AS406" s="465" t="str">
        <f t="shared" si="222"/>
        <v/>
      </c>
      <c r="AT406" s="465" t="str">
        <f t="shared" si="223"/>
        <v/>
      </c>
      <c r="AU406" s="466" t="str">
        <f t="shared" si="224"/>
        <v/>
      </c>
      <c r="AV406" s="467" t="str">
        <f t="shared" si="225"/>
        <v/>
      </c>
      <c r="AW406" s="467" t="str">
        <f t="shared" si="226"/>
        <v/>
      </c>
      <c r="AX406" s="467" t="str">
        <f t="shared" si="227"/>
        <v/>
      </c>
      <c r="AY406" s="467" t="str">
        <f t="shared" si="228"/>
        <v/>
      </c>
      <c r="AZ406" s="467" t="str">
        <f t="shared" si="229"/>
        <v/>
      </c>
      <c r="BA406" s="468" t="str">
        <f>IF(AS406="","",IF(OR(AU406="",AU406="-"),"－",IF(OR(AZ406=8,AZ406=9),"",IF(OR(AW406=3,AW406=4,AW406=5,AW406=6),VLOOKUP(AU406,INDEX((係数_バス貨物_ガソリン,係数_バス貨物_CNG,係数_バス貨物_軽油,係数_バス貨物_メタノール,係数_バス貨物_LPG),MATCH(AY406,【参考】排出係数!$AI$4:$AI$671,1),1,BE406):INDEX((係数_バス貨物_ガソリン,係数_バス貨物_CNG,係数_バス貨物_軽油,係数_バス貨物_メタノール,係数_バス貨物_LPG),MATCH(AY406+1,【参考】排出係数!$AI$4:$AI$671,1)-1,5,BE406),2,FALSE),IF(OR(AW406=1,AW406=2),VLOOKUP(AU406,INDEX((係数_乗用_ガソリン,係数_乗用_CNG,係数_乗用_軽油,係数_乗用_メタノール,係数_乗用_LPG),1,1,BE406):INDEX((係数_乗用_ガソリン,係数_乗用_CNG,係数_乗用_軽油,係数_乗用_メタノール,係数_乗用_LPG),125,5,BE406),2,FALSE))))))</f>
        <v/>
      </c>
      <c r="BB406" s="468" t="str">
        <f>IF(T406="","",IF(OR(AU406="",AU406="-"),"－",IF(OR(AZ406=8,AZ406=9),"",IF(OR(AW406=3,AW406=4,AW406=5,AW406=6),VLOOKUP(AU406,INDEX((係数_バス貨物_ガソリン,係数_バス貨物_CNG,係数_バス貨物_軽油,係数_バス貨物_メタノール,係数_バス貨物_LPG),MATCH(AY406,【参考】排出係数!$AI$4:$AI$671,1),1,BE406):INDEX((係数_バス貨物_ガソリン,係数_バス貨物_CNG,係数_バス貨物_軽油,係数_バス貨物_メタノール,係数_バス貨物_LPG),MATCH(AY406+1,【参考】排出係数!$AI$4:$AI$671,1)-1,5,BE406),3,FALSE),IF(OR(AW406=1,AW406=2),VLOOKUP(AU406,INDEX((係数_乗用_ガソリン,係数_乗用_CNG,係数_乗用_軽油,係数_乗用_メタノール,係数_乗用_LPG),1,1,BE406):INDEX((係数_乗用_ガソリン,係数_乗用_CNG,係数_乗用_軽油,係数_乗用_メタノール,係数_乗用_LPG),125,5,BE406),3,FALSE))))))</f>
        <v/>
      </c>
      <c r="BC406" s="467" t="str">
        <f t="shared" si="230"/>
        <v/>
      </c>
      <c r="BD406" s="567" t="str">
        <f t="shared" si="231"/>
        <v/>
      </c>
      <c r="BE406" s="467" t="str">
        <f t="shared" si="232"/>
        <v/>
      </c>
      <c r="BF406" s="469" t="str">
        <f t="shared" ca="1" si="233"/>
        <v/>
      </c>
      <c r="BG406" s="469" t="str">
        <f t="shared" ca="1" si="234"/>
        <v/>
      </c>
      <c r="BH406" s="467" t="str">
        <f t="shared" si="235"/>
        <v/>
      </c>
      <c r="BI406" s="467" t="str">
        <f t="shared" ca="1" si="236"/>
        <v/>
      </c>
      <c r="BJ406" s="469" t="str">
        <f t="shared" si="237"/>
        <v/>
      </c>
      <c r="BK406" s="470" t="str">
        <f t="shared" si="217"/>
        <v/>
      </c>
      <c r="BL406" s="775" t="str">
        <f t="shared" si="238"/>
        <v/>
      </c>
      <c r="BM406" s="775" t="str">
        <f t="shared" si="239"/>
        <v/>
      </c>
    </row>
    <row r="407" spans="1:65">
      <c r="A407" s="473">
        <v>351</v>
      </c>
      <c r="B407" s="132"/>
      <c r="C407" s="332"/>
      <c r="D407" s="333"/>
      <c r="E407" s="333"/>
      <c r="F407" s="334"/>
      <c r="G407" s="337"/>
      <c r="H407" s="131"/>
      <c r="I407" s="337"/>
      <c r="J407" s="131"/>
      <c r="K407" s="458" t="str">
        <f t="shared" si="206"/>
        <v/>
      </c>
      <c r="L407" s="458">
        <f t="shared" si="218"/>
        <v>0</v>
      </c>
      <c r="M407" s="458">
        <f t="shared" si="219"/>
        <v>0</v>
      </c>
      <c r="N407" s="459" t="str">
        <f t="shared" si="207"/>
        <v/>
      </c>
      <c r="O407" s="459" t="str">
        <f t="shared" si="208"/>
        <v/>
      </c>
      <c r="P407" s="459" t="str">
        <f t="shared" si="209"/>
        <v/>
      </c>
      <c r="Q407" s="459" t="str">
        <f t="shared" si="210"/>
        <v/>
      </c>
      <c r="R407" s="459" t="str">
        <f t="shared" si="211"/>
        <v/>
      </c>
      <c r="S407" s="459" t="str">
        <f t="shared" si="212"/>
        <v/>
      </c>
      <c r="T407" s="566" t="str">
        <f t="shared" si="220"/>
        <v/>
      </c>
      <c r="U407" s="702"/>
      <c r="V407" s="132"/>
      <c r="W407" s="133"/>
      <c r="X407" s="134"/>
      <c r="Y407" s="135"/>
      <c r="Z407" s="137"/>
      <c r="AA407" s="136"/>
      <c r="AB407" s="566" t="str">
        <f t="shared" si="213"/>
        <v/>
      </c>
      <c r="AC407" s="568" t="str">
        <f t="shared" si="221"/>
        <v/>
      </c>
      <c r="AD407" s="137"/>
      <c r="AE407" s="137"/>
      <c r="AF407" s="138"/>
      <c r="AG407" s="138"/>
      <c r="AH407" s="592" t="str">
        <f t="shared" si="214"/>
        <v/>
      </c>
      <c r="AI407" s="592" t="str">
        <f t="shared" si="215"/>
        <v/>
      </c>
      <c r="AJ407" s="592" t="str">
        <f t="shared" si="216"/>
        <v/>
      </c>
      <c r="AK407" s="460" t="str">
        <f>IF(AU407="","",IF(OR(AZ407=8,AZ407=9),0,IF(OR(AW407=3,AW407=4,AW407=5,AW407=6),IF(LEFT(BF407,1)="1",INDEX(係数_NOX・PM低減,MATCH(AY407,【参考】排出係数!$AI$801:$AI$804,1),1),VLOOKUP(AU407,INDEX((係数_バス貨物_ガソリン,係数_バス貨物_CNG,係数_バス貨物_軽油,係数_バス貨物_メタノール,係数_バス貨物_LPG),MATCH(AY407,【参考】排出係数!$AI$4:$AI$671,1),1,BE407):INDEX((係数_バス貨物_ガソリン,係数_バス貨物_CNG,係数_バス貨物_軽油,係数_バス貨物_メタノール,係数_バス貨物_LPG),MATCH(AY407+1,【参考】排出係数!$AI$4:$AI$671,1)-1,5,BE407),4,FALSE)),IF(AND(BE407=3,LEFT(BF407,1)="1"),0.48,VLOOKUP(AU407,INDEX((係数_乗用_ガソリン,係数_乗用_CNG,係数_乗用_軽油,係数_乗用_メタノール,係数_乗用_LPG),1,1,BE407):INDEX((係数_乗用_ガソリン,係数_乗用_CNG,係数_乗用_軽油,係数_乗用_メタノール,係数_乗用_LPG),125,5,BE407),4,FALSE)))))</f>
        <v/>
      </c>
      <c r="AL407" s="461" t="str">
        <f t="shared" si="240"/>
        <v/>
      </c>
      <c r="AM407" s="460" t="str">
        <f>IF(AU407="","",IF(OR(AZ407=8,AZ407=9),0,IF(OR(AW407=3,AW407=4,AW407=5,AW407=6),IF(LEFT(BH407,1)="1",INDEX(係数_PM低減,MATCH(AY407,【参考】排出係数!$AI$801:$AI$804,1),MATCH(BI407,【参考】排出係数!$AL$798:$AO$798,1)),VLOOKUP(AU407,INDEX((係数_バス貨物_ガソリン,係数_バス貨物_CNG,係数_バス貨物_軽油,係数_バス貨物_メタノール,係数_バス貨物_LPG),MATCH(AY407,【参考】排出係数!$AI$4:$AI$671,1),1,BE407):INDEX((係数_バス貨物_ガソリン,係数_バス貨物_CNG,係数_バス貨物_軽油,係数_バス貨物_メタノール,係数_バス貨物_LPG),MATCH(AY407+1,【参考】排出係数!$AI$4:$AI$671,1)-1,5,BE407),5,FALSE)),IF(AND(BE407=3,LEFT(BF407,1)="1"),0.055,VLOOKUP(AU407,INDEX((係数_乗用_ガソリン,係数_乗用_CNG,係数_乗用_軽油,係数_乗用_メタノール,係数_乗用_LPG),1,1,BE407):INDEX((係数_乗用_ガソリン,係数_乗用_CNG,係数_乗用_軽油,係数_乗用_メタノール,係数_乗用_LPG),125,5,BE407),5,FALSE)))))</f>
        <v/>
      </c>
      <c r="AN407" s="461" t="str">
        <f t="shared" si="241"/>
        <v/>
      </c>
      <c r="AO407" s="462" t="str">
        <f t="shared" si="242"/>
        <v/>
      </c>
      <c r="AP407" s="463" t="str">
        <f t="shared" si="243"/>
        <v/>
      </c>
      <c r="AQ407" s="464"/>
      <c r="AR407" s="619"/>
      <c r="AS407" s="465" t="str">
        <f t="shared" si="222"/>
        <v/>
      </c>
      <c r="AT407" s="465" t="str">
        <f t="shared" si="223"/>
        <v/>
      </c>
      <c r="AU407" s="466" t="str">
        <f t="shared" si="224"/>
        <v/>
      </c>
      <c r="AV407" s="467" t="str">
        <f t="shared" si="225"/>
        <v/>
      </c>
      <c r="AW407" s="467" t="str">
        <f t="shared" si="226"/>
        <v/>
      </c>
      <c r="AX407" s="467" t="str">
        <f t="shared" si="227"/>
        <v/>
      </c>
      <c r="AY407" s="467" t="str">
        <f t="shared" si="228"/>
        <v/>
      </c>
      <c r="AZ407" s="467" t="str">
        <f t="shared" si="229"/>
        <v/>
      </c>
      <c r="BA407" s="468" t="str">
        <f>IF(AS407="","",IF(OR(AU407="",AU407="-"),"－",IF(OR(AZ407=8,AZ407=9),"",IF(OR(AW407=3,AW407=4,AW407=5,AW407=6),VLOOKUP(AU407,INDEX((係数_バス貨物_ガソリン,係数_バス貨物_CNG,係数_バス貨物_軽油,係数_バス貨物_メタノール,係数_バス貨物_LPG),MATCH(AY407,【参考】排出係数!$AI$4:$AI$671,1),1,BE407):INDEX((係数_バス貨物_ガソリン,係数_バス貨物_CNG,係数_バス貨物_軽油,係数_バス貨物_メタノール,係数_バス貨物_LPG),MATCH(AY407+1,【参考】排出係数!$AI$4:$AI$671,1)-1,5,BE407),2,FALSE),IF(OR(AW407=1,AW407=2),VLOOKUP(AU407,INDEX((係数_乗用_ガソリン,係数_乗用_CNG,係数_乗用_軽油,係数_乗用_メタノール,係数_乗用_LPG),1,1,BE407):INDEX((係数_乗用_ガソリン,係数_乗用_CNG,係数_乗用_軽油,係数_乗用_メタノール,係数_乗用_LPG),125,5,BE407),2,FALSE))))))</f>
        <v/>
      </c>
      <c r="BB407" s="468" t="str">
        <f>IF(T407="","",IF(OR(AU407="",AU407="-"),"－",IF(OR(AZ407=8,AZ407=9),"",IF(OR(AW407=3,AW407=4,AW407=5,AW407=6),VLOOKUP(AU407,INDEX((係数_バス貨物_ガソリン,係数_バス貨物_CNG,係数_バス貨物_軽油,係数_バス貨物_メタノール,係数_バス貨物_LPG),MATCH(AY407,【参考】排出係数!$AI$4:$AI$671,1),1,BE407):INDEX((係数_バス貨物_ガソリン,係数_バス貨物_CNG,係数_バス貨物_軽油,係数_バス貨物_メタノール,係数_バス貨物_LPG),MATCH(AY407+1,【参考】排出係数!$AI$4:$AI$671,1)-1,5,BE407),3,FALSE),IF(OR(AW407=1,AW407=2),VLOOKUP(AU407,INDEX((係数_乗用_ガソリン,係数_乗用_CNG,係数_乗用_軽油,係数_乗用_メタノール,係数_乗用_LPG),1,1,BE407):INDEX((係数_乗用_ガソリン,係数_乗用_CNG,係数_乗用_軽油,係数_乗用_メタノール,係数_乗用_LPG),125,5,BE407),3,FALSE))))))</f>
        <v/>
      </c>
      <c r="BC407" s="467" t="str">
        <f t="shared" si="230"/>
        <v/>
      </c>
      <c r="BD407" s="567" t="str">
        <f t="shared" si="231"/>
        <v/>
      </c>
      <c r="BE407" s="467" t="str">
        <f t="shared" si="232"/>
        <v/>
      </c>
      <c r="BF407" s="469" t="str">
        <f t="shared" ca="1" si="233"/>
        <v/>
      </c>
      <c r="BG407" s="469" t="str">
        <f t="shared" ca="1" si="234"/>
        <v/>
      </c>
      <c r="BH407" s="467" t="str">
        <f t="shared" si="235"/>
        <v/>
      </c>
      <c r="BI407" s="467" t="str">
        <f t="shared" ca="1" si="236"/>
        <v/>
      </c>
      <c r="BJ407" s="469" t="str">
        <f t="shared" si="237"/>
        <v/>
      </c>
      <c r="BK407" s="470" t="str">
        <f t="shared" si="217"/>
        <v/>
      </c>
      <c r="BL407" s="775" t="str">
        <f t="shared" si="238"/>
        <v/>
      </c>
      <c r="BM407" s="775" t="str">
        <f t="shared" si="239"/>
        <v/>
      </c>
    </row>
    <row r="408" spans="1:65">
      <c r="A408" s="473">
        <v>352</v>
      </c>
      <c r="B408" s="132"/>
      <c r="C408" s="332"/>
      <c r="D408" s="333"/>
      <c r="E408" s="333"/>
      <c r="F408" s="334"/>
      <c r="G408" s="337"/>
      <c r="H408" s="131"/>
      <c r="I408" s="337"/>
      <c r="J408" s="131"/>
      <c r="K408" s="458" t="str">
        <f t="shared" si="206"/>
        <v/>
      </c>
      <c r="L408" s="458">
        <f t="shared" si="218"/>
        <v>0</v>
      </c>
      <c r="M408" s="458">
        <f t="shared" si="219"/>
        <v>0</v>
      </c>
      <c r="N408" s="459" t="str">
        <f t="shared" si="207"/>
        <v/>
      </c>
      <c r="O408" s="459" t="str">
        <f t="shared" si="208"/>
        <v/>
      </c>
      <c r="P408" s="459" t="str">
        <f t="shared" si="209"/>
        <v/>
      </c>
      <c r="Q408" s="459" t="str">
        <f t="shared" si="210"/>
        <v/>
      </c>
      <c r="R408" s="459" t="str">
        <f t="shared" si="211"/>
        <v/>
      </c>
      <c r="S408" s="459" t="str">
        <f t="shared" si="212"/>
        <v/>
      </c>
      <c r="T408" s="566" t="str">
        <f t="shared" si="220"/>
        <v/>
      </c>
      <c r="U408" s="702"/>
      <c r="V408" s="132"/>
      <c r="W408" s="133"/>
      <c r="X408" s="134"/>
      <c r="Y408" s="135"/>
      <c r="Z408" s="137"/>
      <c r="AA408" s="136"/>
      <c r="AB408" s="566" t="str">
        <f t="shared" si="213"/>
        <v/>
      </c>
      <c r="AC408" s="568" t="str">
        <f t="shared" si="221"/>
        <v/>
      </c>
      <c r="AD408" s="137"/>
      <c r="AE408" s="137"/>
      <c r="AF408" s="138"/>
      <c r="AG408" s="138"/>
      <c r="AH408" s="592" t="str">
        <f t="shared" si="214"/>
        <v/>
      </c>
      <c r="AI408" s="592" t="str">
        <f t="shared" si="215"/>
        <v/>
      </c>
      <c r="AJ408" s="592" t="str">
        <f t="shared" si="216"/>
        <v/>
      </c>
      <c r="AK408" s="460" t="str">
        <f>IF(AU408="","",IF(OR(AZ408=8,AZ408=9),0,IF(OR(AW408=3,AW408=4,AW408=5,AW408=6),IF(LEFT(BF408,1)="1",INDEX(係数_NOX・PM低減,MATCH(AY408,【参考】排出係数!$AI$801:$AI$804,1),1),VLOOKUP(AU408,INDEX((係数_バス貨物_ガソリン,係数_バス貨物_CNG,係数_バス貨物_軽油,係数_バス貨物_メタノール,係数_バス貨物_LPG),MATCH(AY408,【参考】排出係数!$AI$4:$AI$671,1),1,BE408):INDEX((係数_バス貨物_ガソリン,係数_バス貨物_CNG,係数_バス貨物_軽油,係数_バス貨物_メタノール,係数_バス貨物_LPG),MATCH(AY408+1,【参考】排出係数!$AI$4:$AI$671,1)-1,5,BE408),4,FALSE)),IF(AND(BE408=3,LEFT(BF408,1)="1"),0.48,VLOOKUP(AU408,INDEX((係数_乗用_ガソリン,係数_乗用_CNG,係数_乗用_軽油,係数_乗用_メタノール,係数_乗用_LPG),1,1,BE408):INDEX((係数_乗用_ガソリン,係数_乗用_CNG,係数_乗用_軽油,係数_乗用_メタノール,係数_乗用_LPG),125,5,BE408),4,FALSE)))))</f>
        <v/>
      </c>
      <c r="AL408" s="461" t="str">
        <f t="shared" si="240"/>
        <v/>
      </c>
      <c r="AM408" s="460" t="str">
        <f>IF(AU408="","",IF(OR(AZ408=8,AZ408=9),0,IF(OR(AW408=3,AW408=4,AW408=5,AW408=6),IF(LEFT(BH408,1)="1",INDEX(係数_PM低減,MATCH(AY408,【参考】排出係数!$AI$801:$AI$804,1),MATCH(BI408,【参考】排出係数!$AL$798:$AO$798,1)),VLOOKUP(AU408,INDEX((係数_バス貨物_ガソリン,係数_バス貨物_CNG,係数_バス貨物_軽油,係数_バス貨物_メタノール,係数_バス貨物_LPG),MATCH(AY408,【参考】排出係数!$AI$4:$AI$671,1),1,BE408):INDEX((係数_バス貨物_ガソリン,係数_バス貨物_CNG,係数_バス貨物_軽油,係数_バス貨物_メタノール,係数_バス貨物_LPG),MATCH(AY408+1,【参考】排出係数!$AI$4:$AI$671,1)-1,5,BE408),5,FALSE)),IF(AND(BE408=3,LEFT(BF408,1)="1"),0.055,VLOOKUP(AU408,INDEX((係数_乗用_ガソリン,係数_乗用_CNG,係数_乗用_軽油,係数_乗用_メタノール,係数_乗用_LPG),1,1,BE408):INDEX((係数_乗用_ガソリン,係数_乗用_CNG,係数_乗用_軽油,係数_乗用_メタノール,係数_乗用_LPG),125,5,BE408),5,FALSE)))))</f>
        <v/>
      </c>
      <c r="AN408" s="461" t="str">
        <f t="shared" si="241"/>
        <v/>
      </c>
      <c r="AO408" s="462" t="str">
        <f t="shared" si="242"/>
        <v/>
      </c>
      <c r="AP408" s="463" t="str">
        <f t="shared" si="243"/>
        <v/>
      </c>
      <c r="AQ408" s="464"/>
      <c r="AR408" s="619"/>
      <c r="AS408" s="465" t="str">
        <f t="shared" si="222"/>
        <v/>
      </c>
      <c r="AT408" s="465" t="str">
        <f t="shared" si="223"/>
        <v/>
      </c>
      <c r="AU408" s="466" t="str">
        <f t="shared" si="224"/>
        <v/>
      </c>
      <c r="AV408" s="467" t="str">
        <f t="shared" si="225"/>
        <v/>
      </c>
      <c r="AW408" s="467" t="str">
        <f t="shared" si="226"/>
        <v/>
      </c>
      <c r="AX408" s="467" t="str">
        <f t="shared" si="227"/>
        <v/>
      </c>
      <c r="AY408" s="467" t="str">
        <f t="shared" si="228"/>
        <v/>
      </c>
      <c r="AZ408" s="467" t="str">
        <f t="shared" si="229"/>
        <v/>
      </c>
      <c r="BA408" s="468" t="str">
        <f>IF(AS408="","",IF(OR(AU408="",AU408="-"),"－",IF(OR(AZ408=8,AZ408=9),"",IF(OR(AW408=3,AW408=4,AW408=5,AW408=6),VLOOKUP(AU408,INDEX((係数_バス貨物_ガソリン,係数_バス貨物_CNG,係数_バス貨物_軽油,係数_バス貨物_メタノール,係数_バス貨物_LPG),MATCH(AY408,【参考】排出係数!$AI$4:$AI$671,1),1,BE408):INDEX((係数_バス貨物_ガソリン,係数_バス貨物_CNG,係数_バス貨物_軽油,係数_バス貨物_メタノール,係数_バス貨物_LPG),MATCH(AY408+1,【参考】排出係数!$AI$4:$AI$671,1)-1,5,BE408),2,FALSE),IF(OR(AW408=1,AW408=2),VLOOKUP(AU408,INDEX((係数_乗用_ガソリン,係数_乗用_CNG,係数_乗用_軽油,係数_乗用_メタノール,係数_乗用_LPG),1,1,BE408):INDEX((係数_乗用_ガソリン,係数_乗用_CNG,係数_乗用_軽油,係数_乗用_メタノール,係数_乗用_LPG),125,5,BE408),2,FALSE))))))</f>
        <v/>
      </c>
      <c r="BB408" s="468" t="str">
        <f>IF(T408="","",IF(OR(AU408="",AU408="-"),"－",IF(OR(AZ408=8,AZ408=9),"",IF(OR(AW408=3,AW408=4,AW408=5,AW408=6),VLOOKUP(AU408,INDEX((係数_バス貨物_ガソリン,係数_バス貨物_CNG,係数_バス貨物_軽油,係数_バス貨物_メタノール,係数_バス貨物_LPG),MATCH(AY408,【参考】排出係数!$AI$4:$AI$671,1),1,BE408):INDEX((係数_バス貨物_ガソリン,係数_バス貨物_CNG,係数_バス貨物_軽油,係数_バス貨物_メタノール,係数_バス貨物_LPG),MATCH(AY408+1,【参考】排出係数!$AI$4:$AI$671,1)-1,5,BE408),3,FALSE),IF(OR(AW408=1,AW408=2),VLOOKUP(AU408,INDEX((係数_乗用_ガソリン,係数_乗用_CNG,係数_乗用_軽油,係数_乗用_メタノール,係数_乗用_LPG),1,1,BE408):INDEX((係数_乗用_ガソリン,係数_乗用_CNG,係数_乗用_軽油,係数_乗用_メタノール,係数_乗用_LPG),125,5,BE408),3,FALSE))))))</f>
        <v/>
      </c>
      <c r="BC408" s="467" t="str">
        <f t="shared" si="230"/>
        <v/>
      </c>
      <c r="BD408" s="567" t="str">
        <f t="shared" si="231"/>
        <v/>
      </c>
      <c r="BE408" s="467" t="str">
        <f t="shared" si="232"/>
        <v/>
      </c>
      <c r="BF408" s="469" t="str">
        <f t="shared" ca="1" si="233"/>
        <v/>
      </c>
      <c r="BG408" s="469" t="str">
        <f t="shared" ca="1" si="234"/>
        <v/>
      </c>
      <c r="BH408" s="467" t="str">
        <f t="shared" si="235"/>
        <v/>
      </c>
      <c r="BI408" s="467" t="str">
        <f t="shared" ca="1" si="236"/>
        <v/>
      </c>
      <c r="BJ408" s="469" t="str">
        <f t="shared" si="237"/>
        <v/>
      </c>
      <c r="BK408" s="470" t="str">
        <f t="shared" si="217"/>
        <v/>
      </c>
      <c r="BL408" s="775" t="str">
        <f t="shared" si="238"/>
        <v/>
      </c>
      <c r="BM408" s="775" t="str">
        <f t="shared" si="239"/>
        <v/>
      </c>
    </row>
    <row r="409" spans="1:65">
      <c r="A409" s="473">
        <v>353</v>
      </c>
      <c r="B409" s="132"/>
      <c r="C409" s="332"/>
      <c r="D409" s="333"/>
      <c r="E409" s="333"/>
      <c r="F409" s="334"/>
      <c r="G409" s="337"/>
      <c r="H409" s="131"/>
      <c r="I409" s="337"/>
      <c r="J409" s="131"/>
      <c r="K409" s="458" t="str">
        <f t="shared" si="206"/>
        <v/>
      </c>
      <c r="L409" s="458">
        <f t="shared" si="218"/>
        <v>0</v>
      </c>
      <c r="M409" s="458">
        <f t="shared" si="219"/>
        <v>0</v>
      </c>
      <c r="N409" s="459" t="str">
        <f t="shared" si="207"/>
        <v/>
      </c>
      <c r="O409" s="459" t="str">
        <f t="shared" si="208"/>
        <v/>
      </c>
      <c r="P409" s="459" t="str">
        <f t="shared" si="209"/>
        <v/>
      </c>
      <c r="Q409" s="459" t="str">
        <f t="shared" si="210"/>
        <v/>
      </c>
      <c r="R409" s="459" t="str">
        <f t="shared" si="211"/>
        <v/>
      </c>
      <c r="S409" s="459" t="str">
        <f t="shared" si="212"/>
        <v/>
      </c>
      <c r="T409" s="566" t="str">
        <f t="shared" si="220"/>
        <v/>
      </c>
      <c r="U409" s="702"/>
      <c r="V409" s="132"/>
      <c r="W409" s="133"/>
      <c r="X409" s="134"/>
      <c r="Y409" s="135"/>
      <c r="Z409" s="137"/>
      <c r="AA409" s="136"/>
      <c r="AB409" s="566" t="str">
        <f t="shared" si="213"/>
        <v/>
      </c>
      <c r="AC409" s="568" t="str">
        <f t="shared" si="221"/>
        <v/>
      </c>
      <c r="AD409" s="137"/>
      <c r="AE409" s="137"/>
      <c r="AF409" s="138"/>
      <c r="AG409" s="138"/>
      <c r="AH409" s="592" t="str">
        <f t="shared" si="214"/>
        <v/>
      </c>
      <c r="AI409" s="592" t="str">
        <f t="shared" si="215"/>
        <v/>
      </c>
      <c r="AJ409" s="592" t="str">
        <f t="shared" si="216"/>
        <v/>
      </c>
      <c r="AK409" s="460" t="str">
        <f>IF(AU409="","",IF(OR(AZ409=8,AZ409=9),0,IF(OR(AW409=3,AW409=4,AW409=5,AW409=6),IF(LEFT(BF409,1)="1",INDEX(係数_NOX・PM低減,MATCH(AY409,【参考】排出係数!$AI$801:$AI$804,1),1),VLOOKUP(AU409,INDEX((係数_バス貨物_ガソリン,係数_バス貨物_CNG,係数_バス貨物_軽油,係数_バス貨物_メタノール,係数_バス貨物_LPG),MATCH(AY409,【参考】排出係数!$AI$4:$AI$671,1),1,BE409):INDEX((係数_バス貨物_ガソリン,係数_バス貨物_CNG,係数_バス貨物_軽油,係数_バス貨物_メタノール,係数_バス貨物_LPG),MATCH(AY409+1,【参考】排出係数!$AI$4:$AI$671,1)-1,5,BE409),4,FALSE)),IF(AND(BE409=3,LEFT(BF409,1)="1"),0.48,VLOOKUP(AU409,INDEX((係数_乗用_ガソリン,係数_乗用_CNG,係数_乗用_軽油,係数_乗用_メタノール,係数_乗用_LPG),1,1,BE409):INDEX((係数_乗用_ガソリン,係数_乗用_CNG,係数_乗用_軽油,係数_乗用_メタノール,係数_乗用_LPG),125,5,BE409),4,FALSE)))))</f>
        <v/>
      </c>
      <c r="AL409" s="461" t="str">
        <f t="shared" si="240"/>
        <v/>
      </c>
      <c r="AM409" s="460" t="str">
        <f>IF(AU409="","",IF(OR(AZ409=8,AZ409=9),0,IF(OR(AW409=3,AW409=4,AW409=5,AW409=6),IF(LEFT(BH409,1)="1",INDEX(係数_PM低減,MATCH(AY409,【参考】排出係数!$AI$801:$AI$804,1),MATCH(BI409,【参考】排出係数!$AL$798:$AO$798,1)),VLOOKUP(AU409,INDEX((係数_バス貨物_ガソリン,係数_バス貨物_CNG,係数_バス貨物_軽油,係数_バス貨物_メタノール,係数_バス貨物_LPG),MATCH(AY409,【参考】排出係数!$AI$4:$AI$671,1),1,BE409):INDEX((係数_バス貨物_ガソリン,係数_バス貨物_CNG,係数_バス貨物_軽油,係数_バス貨物_メタノール,係数_バス貨物_LPG),MATCH(AY409+1,【参考】排出係数!$AI$4:$AI$671,1)-1,5,BE409),5,FALSE)),IF(AND(BE409=3,LEFT(BF409,1)="1"),0.055,VLOOKUP(AU409,INDEX((係数_乗用_ガソリン,係数_乗用_CNG,係数_乗用_軽油,係数_乗用_メタノール,係数_乗用_LPG),1,1,BE409):INDEX((係数_乗用_ガソリン,係数_乗用_CNG,係数_乗用_軽油,係数_乗用_メタノール,係数_乗用_LPG),125,5,BE409),5,FALSE)))))</f>
        <v/>
      </c>
      <c r="AN409" s="461" t="str">
        <f t="shared" si="241"/>
        <v/>
      </c>
      <c r="AO409" s="462" t="str">
        <f t="shared" si="242"/>
        <v/>
      </c>
      <c r="AP409" s="463" t="str">
        <f t="shared" si="243"/>
        <v/>
      </c>
      <c r="AQ409" s="464"/>
      <c r="AR409" s="619"/>
      <c r="AS409" s="465" t="str">
        <f t="shared" si="222"/>
        <v/>
      </c>
      <c r="AT409" s="465" t="str">
        <f t="shared" si="223"/>
        <v/>
      </c>
      <c r="AU409" s="466" t="str">
        <f t="shared" si="224"/>
        <v/>
      </c>
      <c r="AV409" s="467" t="str">
        <f t="shared" si="225"/>
        <v/>
      </c>
      <c r="AW409" s="467" t="str">
        <f t="shared" si="226"/>
        <v/>
      </c>
      <c r="AX409" s="467" t="str">
        <f t="shared" si="227"/>
        <v/>
      </c>
      <c r="AY409" s="467" t="str">
        <f t="shared" si="228"/>
        <v/>
      </c>
      <c r="AZ409" s="467" t="str">
        <f t="shared" si="229"/>
        <v/>
      </c>
      <c r="BA409" s="468" t="str">
        <f>IF(AS409="","",IF(OR(AU409="",AU409="-"),"－",IF(OR(AZ409=8,AZ409=9),"",IF(OR(AW409=3,AW409=4,AW409=5,AW409=6),VLOOKUP(AU409,INDEX((係数_バス貨物_ガソリン,係数_バス貨物_CNG,係数_バス貨物_軽油,係数_バス貨物_メタノール,係数_バス貨物_LPG),MATCH(AY409,【参考】排出係数!$AI$4:$AI$671,1),1,BE409):INDEX((係数_バス貨物_ガソリン,係数_バス貨物_CNG,係数_バス貨物_軽油,係数_バス貨物_メタノール,係数_バス貨物_LPG),MATCH(AY409+1,【参考】排出係数!$AI$4:$AI$671,1)-1,5,BE409),2,FALSE),IF(OR(AW409=1,AW409=2),VLOOKUP(AU409,INDEX((係数_乗用_ガソリン,係数_乗用_CNG,係数_乗用_軽油,係数_乗用_メタノール,係数_乗用_LPG),1,1,BE409):INDEX((係数_乗用_ガソリン,係数_乗用_CNG,係数_乗用_軽油,係数_乗用_メタノール,係数_乗用_LPG),125,5,BE409),2,FALSE))))))</f>
        <v/>
      </c>
      <c r="BB409" s="468" t="str">
        <f>IF(T409="","",IF(OR(AU409="",AU409="-"),"－",IF(OR(AZ409=8,AZ409=9),"",IF(OR(AW409=3,AW409=4,AW409=5,AW409=6),VLOOKUP(AU409,INDEX((係数_バス貨物_ガソリン,係数_バス貨物_CNG,係数_バス貨物_軽油,係数_バス貨物_メタノール,係数_バス貨物_LPG),MATCH(AY409,【参考】排出係数!$AI$4:$AI$671,1),1,BE409):INDEX((係数_バス貨物_ガソリン,係数_バス貨物_CNG,係数_バス貨物_軽油,係数_バス貨物_メタノール,係数_バス貨物_LPG),MATCH(AY409+1,【参考】排出係数!$AI$4:$AI$671,1)-1,5,BE409),3,FALSE),IF(OR(AW409=1,AW409=2),VLOOKUP(AU409,INDEX((係数_乗用_ガソリン,係数_乗用_CNG,係数_乗用_軽油,係数_乗用_メタノール,係数_乗用_LPG),1,1,BE409):INDEX((係数_乗用_ガソリン,係数_乗用_CNG,係数_乗用_軽油,係数_乗用_メタノール,係数_乗用_LPG),125,5,BE409),3,FALSE))))))</f>
        <v/>
      </c>
      <c r="BC409" s="467" t="str">
        <f t="shared" si="230"/>
        <v/>
      </c>
      <c r="BD409" s="567" t="str">
        <f t="shared" si="231"/>
        <v/>
      </c>
      <c r="BE409" s="467" t="str">
        <f t="shared" si="232"/>
        <v/>
      </c>
      <c r="BF409" s="469" t="str">
        <f t="shared" ca="1" si="233"/>
        <v/>
      </c>
      <c r="BG409" s="469" t="str">
        <f t="shared" ca="1" si="234"/>
        <v/>
      </c>
      <c r="BH409" s="467" t="str">
        <f t="shared" si="235"/>
        <v/>
      </c>
      <c r="BI409" s="467" t="str">
        <f t="shared" ca="1" si="236"/>
        <v/>
      </c>
      <c r="BJ409" s="469" t="str">
        <f t="shared" si="237"/>
        <v/>
      </c>
      <c r="BK409" s="470" t="str">
        <f t="shared" si="217"/>
        <v/>
      </c>
      <c r="BL409" s="775" t="str">
        <f t="shared" si="238"/>
        <v/>
      </c>
      <c r="BM409" s="775" t="str">
        <f t="shared" si="239"/>
        <v/>
      </c>
    </row>
    <row r="410" spans="1:65">
      <c r="A410" s="473">
        <v>354</v>
      </c>
      <c r="B410" s="132"/>
      <c r="C410" s="332"/>
      <c r="D410" s="333"/>
      <c r="E410" s="333"/>
      <c r="F410" s="334"/>
      <c r="G410" s="337"/>
      <c r="H410" s="131"/>
      <c r="I410" s="337"/>
      <c r="J410" s="131"/>
      <c r="K410" s="458" t="str">
        <f t="shared" si="206"/>
        <v/>
      </c>
      <c r="L410" s="458">
        <f t="shared" si="218"/>
        <v>0</v>
      </c>
      <c r="M410" s="458">
        <f t="shared" si="219"/>
        <v>0</v>
      </c>
      <c r="N410" s="459" t="str">
        <f t="shared" si="207"/>
        <v/>
      </c>
      <c r="O410" s="459" t="str">
        <f t="shared" si="208"/>
        <v/>
      </c>
      <c r="P410" s="459" t="str">
        <f t="shared" si="209"/>
        <v/>
      </c>
      <c r="Q410" s="459" t="str">
        <f t="shared" si="210"/>
        <v/>
      </c>
      <c r="R410" s="459" t="str">
        <f t="shared" si="211"/>
        <v/>
      </c>
      <c r="S410" s="459" t="str">
        <f t="shared" si="212"/>
        <v/>
      </c>
      <c r="T410" s="566" t="str">
        <f t="shared" si="220"/>
        <v/>
      </c>
      <c r="U410" s="702"/>
      <c r="V410" s="132"/>
      <c r="W410" s="133"/>
      <c r="X410" s="134"/>
      <c r="Y410" s="135"/>
      <c r="Z410" s="137"/>
      <c r="AA410" s="136"/>
      <c r="AB410" s="566" t="str">
        <f t="shared" si="213"/>
        <v/>
      </c>
      <c r="AC410" s="568" t="str">
        <f t="shared" si="221"/>
        <v/>
      </c>
      <c r="AD410" s="137"/>
      <c r="AE410" s="137"/>
      <c r="AF410" s="138"/>
      <c r="AG410" s="138"/>
      <c r="AH410" s="592" t="str">
        <f t="shared" si="214"/>
        <v/>
      </c>
      <c r="AI410" s="592" t="str">
        <f t="shared" si="215"/>
        <v/>
      </c>
      <c r="AJ410" s="592" t="str">
        <f t="shared" si="216"/>
        <v/>
      </c>
      <c r="AK410" s="460" t="str">
        <f>IF(AU410="","",IF(OR(AZ410=8,AZ410=9),0,IF(OR(AW410=3,AW410=4,AW410=5,AW410=6),IF(LEFT(BF410,1)="1",INDEX(係数_NOX・PM低減,MATCH(AY410,【参考】排出係数!$AI$801:$AI$804,1),1),VLOOKUP(AU410,INDEX((係数_バス貨物_ガソリン,係数_バス貨物_CNG,係数_バス貨物_軽油,係数_バス貨物_メタノール,係数_バス貨物_LPG),MATCH(AY410,【参考】排出係数!$AI$4:$AI$671,1),1,BE410):INDEX((係数_バス貨物_ガソリン,係数_バス貨物_CNG,係数_バス貨物_軽油,係数_バス貨物_メタノール,係数_バス貨物_LPG),MATCH(AY410+1,【参考】排出係数!$AI$4:$AI$671,1)-1,5,BE410),4,FALSE)),IF(AND(BE410=3,LEFT(BF410,1)="1"),0.48,VLOOKUP(AU410,INDEX((係数_乗用_ガソリン,係数_乗用_CNG,係数_乗用_軽油,係数_乗用_メタノール,係数_乗用_LPG),1,1,BE410):INDEX((係数_乗用_ガソリン,係数_乗用_CNG,係数_乗用_軽油,係数_乗用_メタノール,係数_乗用_LPG),125,5,BE410),4,FALSE)))))</f>
        <v/>
      </c>
      <c r="AL410" s="461" t="str">
        <f t="shared" si="240"/>
        <v/>
      </c>
      <c r="AM410" s="460" t="str">
        <f>IF(AU410="","",IF(OR(AZ410=8,AZ410=9),0,IF(OR(AW410=3,AW410=4,AW410=5,AW410=6),IF(LEFT(BH410,1)="1",INDEX(係数_PM低減,MATCH(AY410,【参考】排出係数!$AI$801:$AI$804,1),MATCH(BI410,【参考】排出係数!$AL$798:$AO$798,1)),VLOOKUP(AU410,INDEX((係数_バス貨物_ガソリン,係数_バス貨物_CNG,係数_バス貨物_軽油,係数_バス貨物_メタノール,係数_バス貨物_LPG),MATCH(AY410,【参考】排出係数!$AI$4:$AI$671,1),1,BE410):INDEX((係数_バス貨物_ガソリン,係数_バス貨物_CNG,係数_バス貨物_軽油,係数_バス貨物_メタノール,係数_バス貨物_LPG),MATCH(AY410+1,【参考】排出係数!$AI$4:$AI$671,1)-1,5,BE410),5,FALSE)),IF(AND(BE410=3,LEFT(BF410,1)="1"),0.055,VLOOKUP(AU410,INDEX((係数_乗用_ガソリン,係数_乗用_CNG,係数_乗用_軽油,係数_乗用_メタノール,係数_乗用_LPG),1,1,BE410):INDEX((係数_乗用_ガソリン,係数_乗用_CNG,係数_乗用_軽油,係数_乗用_メタノール,係数_乗用_LPG),125,5,BE410),5,FALSE)))))</f>
        <v/>
      </c>
      <c r="AN410" s="461" t="str">
        <f t="shared" si="241"/>
        <v/>
      </c>
      <c r="AO410" s="462" t="str">
        <f t="shared" si="242"/>
        <v/>
      </c>
      <c r="AP410" s="463" t="str">
        <f t="shared" si="243"/>
        <v/>
      </c>
      <c r="AQ410" s="464"/>
      <c r="AR410" s="619"/>
      <c r="AS410" s="465" t="str">
        <f t="shared" si="222"/>
        <v/>
      </c>
      <c r="AT410" s="465" t="str">
        <f t="shared" si="223"/>
        <v/>
      </c>
      <c r="AU410" s="466" t="str">
        <f t="shared" si="224"/>
        <v/>
      </c>
      <c r="AV410" s="467" t="str">
        <f t="shared" si="225"/>
        <v/>
      </c>
      <c r="AW410" s="467" t="str">
        <f t="shared" si="226"/>
        <v/>
      </c>
      <c r="AX410" s="467" t="str">
        <f t="shared" si="227"/>
        <v/>
      </c>
      <c r="AY410" s="467" t="str">
        <f t="shared" si="228"/>
        <v/>
      </c>
      <c r="AZ410" s="467" t="str">
        <f t="shared" si="229"/>
        <v/>
      </c>
      <c r="BA410" s="468" t="str">
        <f>IF(AS410="","",IF(OR(AU410="",AU410="-"),"－",IF(OR(AZ410=8,AZ410=9),"",IF(OR(AW410=3,AW410=4,AW410=5,AW410=6),VLOOKUP(AU410,INDEX((係数_バス貨物_ガソリン,係数_バス貨物_CNG,係数_バス貨物_軽油,係数_バス貨物_メタノール,係数_バス貨物_LPG),MATCH(AY410,【参考】排出係数!$AI$4:$AI$671,1),1,BE410):INDEX((係数_バス貨物_ガソリン,係数_バス貨物_CNG,係数_バス貨物_軽油,係数_バス貨物_メタノール,係数_バス貨物_LPG),MATCH(AY410+1,【参考】排出係数!$AI$4:$AI$671,1)-1,5,BE410),2,FALSE),IF(OR(AW410=1,AW410=2),VLOOKUP(AU410,INDEX((係数_乗用_ガソリン,係数_乗用_CNG,係数_乗用_軽油,係数_乗用_メタノール,係数_乗用_LPG),1,1,BE410):INDEX((係数_乗用_ガソリン,係数_乗用_CNG,係数_乗用_軽油,係数_乗用_メタノール,係数_乗用_LPG),125,5,BE410),2,FALSE))))))</f>
        <v/>
      </c>
      <c r="BB410" s="468" t="str">
        <f>IF(T410="","",IF(OR(AU410="",AU410="-"),"－",IF(OR(AZ410=8,AZ410=9),"",IF(OR(AW410=3,AW410=4,AW410=5,AW410=6),VLOOKUP(AU410,INDEX((係数_バス貨物_ガソリン,係数_バス貨物_CNG,係数_バス貨物_軽油,係数_バス貨物_メタノール,係数_バス貨物_LPG),MATCH(AY410,【参考】排出係数!$AI$4:$AI$671,1),1,BE410):INDEX((係数_バス貨物_ガソリン,係数_バス貨物_CNG,係数_バス貨物_軽油,係数_バス貨物_メタノール,係数_バス貨物_LPG),MATCH(AY410+1,【参考】排出係数!$AI$4:$AI$671,1)-1,5,BE410),3,FALSE),IF(OR(AW410=1,AW410=2),VLOOKUP(AU410,INDEX((係数_乗用_ガソリン,係数_乗用_CNG,係数_乗用_軽油,係数_乗用_メタノール,係数_乗用_LPG),1,1,BE410):INDEX((係数_乗用_ガソリン,係数_乗用_CNG,係数_乗用_軽油,係数_乗用_メタノール,係数_乗用_LPG),125,5,BE410),3,FALSE))))))</f>
        <v/>
      </c>
      <c r="BC410" s="467" t="str">
        <f t="shared" si="230"/>
        <v/>
      </c>
      <c r="BD410" s="567" t="str">
        <f t="shared" si="231"/>
        <v/>
      </c>
      <c r="BE410" s="467" t="str">
        <f t="shared" si="232"/>
        <v/>
      </c>
      <c r="BF410" s="469" t="str">
        <f t="shared" ca="1" si="233"/>
        <v/>
      </c>
      <c r="BG410" s="469" t="str">
        <f t="shared" ca="1" si="234"/>
        <v/>
      </c>
      <c r="BH410" s="467" t="str">
        <f t="shared" si="235"/>
        <v/>
      </c>
      <c r="BI410" s="467" t="str">
        <f t="shared" ca="1" si="236"/>
        <v/>
      </c>
      <c r="BJ410" s="469" t="str">
        <f t="shared" si="237"/>
        <v/>
      </c>
      <c r="BK410" s="470" t="str">
        <f t="shared" si="217"/>
        <v/>
      </c>
      <c r="BL410" s="775" t="str">
        <f t="shared" si="238"/>
        <v/>
      </c>
      <c r="BM410" s="775" t="str">
        <f t="shared" si="239"/>
        <v/>
      </c>
    </row>
    <row r="411" spans="1:65">
      <c r="A411" s="473">
        <v>355</v>
      </c>
      <c r="B411" s="132"/>
      <c r="C411" s="332"/>
      <c r="D411" s="333"/>
      <c r="E411" s="333"/>
      <c r="F411" s="334"/>
      <c r="G411" s="337"/>
      <c r="H411" s="131"/>
      <c r="I411" s="337"/>
      <c r="J411" s="131"/>
      <c r="K411" s="458" t="str">
        <f t="shared" si="206"/>
        <v/>
      </c>
      <c r="L411" s="458">
        <f t="shared" si="218"/>
        <v>0</v>
      </c>
      <c r="M411" s="458">
        <f t="shared" si="219"/>
        <v>0</v>
      </c>
      <c r="N411" s="459" t="str">
        <f t="shared" si="207"/>
        <v/>
      </c>
      <c r="O411" s="459" t="str">
        <f t="shared" si="208"/>
        <v/>
      </c>
      <c r="P411" s="459" t="str">
        <f t="shared" si="209"/>
        <v/>
      </c>
      <c r="Q411" s="459" t="str">
        <f t="shared" si="210"/>
        <v/>
      </c>
      <c r="R411" s="459" t="str">
        <f t="shared" si="211"/>
        <v/>
      </c>
      <c r="S411" s="459" t="str">
        <f t="shared" si="212"/>
        <v/>
      </c>
      <c r="T411" s="566" t="str">
        <f t="shared" si="220"/>
        <v/>
      </c>
      <c r="U411" s="702"/>
      <c r="V411" s="132"/>
      <c r="W411" s="133"/>
      <c r="X411" s="134"/>
      <c r="Y411" s="135"/>
      <c r="Z411" s="137"/>
      <c r="AA411" s="136"/>
      <c r="AB411" s="566" t="str">
        <f t="shared" si="213"/>
        <v/>
      </c>
      <c r="AC411" s="568" t="str">
        <f t="shared" si="221"/>
        <v/>
      </c>
      <c r="AD411" s="137"/>
      <c r="AE411" s="137"/>
      <c r="AF411" s="138"/>
      <c r="AG411" s="138"/>
      <c r="AH411" s="592" t="str">
        <f t="shared" si="214"/>
        <v/>
      </c>
      <c r="AI411" s="592" t="str">
        <f t="shared" si="215"/>
        <v/>
      </c>
      <c r="AJ411" s="592" t="str">
        <f t="shared" si="216"/>
        <v/>
      </c>
      <c r="AK411" s="460" t="str">
        <f>IF(AU411="","",IF(OR(AZ411=8,AZ411=9),0,IF(OR(AW411=3,AW411=4,AW411=5,AW411=6),IF(LEFT(BF411,1)="1",INDEX(係数_NOX・PM低減,MATCH(AY411,【参考】排出係数!$AI$801:$AI$804,1),1),VLOOKUP(AU411,INDEX((係数_バス貨物_ガソリン,係数_バス貨物_CNG,係数_バス貨物_軽油,係数_バス貨物_メタノール,係数_バス貨物_LPG),MATCH(AY411,【参考】排出係数!$AI$4:$AI$671,1),1,BE411):INDEX((係数_バス貨物_ガソリン,係数_バス貨物_CNG,係数_バス貨物_軽油,係数_バス貨物_メタノール,係数_バス貨物_LPG),MATCH(AY411+1,【参考】排出係数!$AI$4:$AI$671,1)-1,5,BE411),4,FALSE)),IF(AND(BE411=3,LEFT(BF411,1)="1"),0.48,VLOOKUP(AU411,INDEX((係数_乗用_ガソリン,係数_乗用_CNG,係数_乗用_軽油,係数_乗用_メタノール,係数_乗用_LPG),1,1,BE411):INDEX((係数_乗用_ガソリン,係数_乗用_CNG,係数_乗用_軽油,係数_乗用_メタノール,係数_乗用_LPG),125,5,BE411),4,FALSE)))))</f>
        <v/>
      </c>
      <c r="AL411" s="461" t="str">
        <f t="shared" si="240"/>
        <v/>
      </c>
      <c r="AM411" s="460" t="str">
        <f>IF(AU411="","",IF(OR(AZ411=8,AZ411=9),0,IF(OR(AW411=3,AW411=4,AW411=5,AW411=6),IF(LEFT(BH411,1)="1",INDEX(係数_PM低減,MATCH(AY411,【参考】排出係数!$AI$801:$AI$804,1),MATCH(BI411,【参考】排出係数!$AL$798:$AO$798,1)),VLOOKUP(AU411,INDEX((係数_バス貨物_ガソリン,係数_バス貨物_CNG,係数_バス貨物_軽油,係数_バス貨物_メタノール,係数_バス貨物_LPG),MATCH(AY411,【参考】排出係数!$AI$4:$AI$671,1),1,BE411):INDEX((係数_バス貨物_ガソリン,係数_バス貨物_CNG,係数_バス貨物_軽油,係数_バス貨物_メタノール,係数_バス貨物_LPG),MATCH(AY411+1,【参考】排出係数!$AI$4:$AI$671,1)-1,5,BE411),5,FALSE)),IF(AND(BE411=3,LEFT(BF411,1)="1"),0.055,VLOOKUP(AU411,INDEX((係数_乗用_ガソリン,係数_乗用_CNG,係数_乗用_軽油,係数_乗用_メタノール,係数_乗用_LPG),1,1,BE411):INDEX((係数_乗用_ガソリン,係数_乗用_CNG,係数_乗用_軽油,係数_乗用_メタノール,係数_乗用_LPG),125,5,BE411),5,FALSE)))))</f>
        <v/>
      </c>
      <c r="AN411" s="461" t="str">
        <f t="shared" si="241"/>
        <v/>
      </c>
      <c r="AO411" s="462" t="str">
        <f t="shared" si="242"/>
        <v/>
      </c>
      <c r="AP411" s="463" t="str">
        <f t="shared" si="243"/>
        <v/>
      </c>
      <c r="AQ411" s="464"/>
      <c r="AR411" s="619"/>
      <c r="AS411" s="465" t="str">
        <f t="shared" si="222"/>
        <v/>
      </c>
      <c r="AT411" s="465" t="str">
        <f t="shared" si="223"/>
        <v/>
      </c>
      <c r="AU411" s="466" t="str">
        <f t="shared" si="224"/>
        <v/>
      </c>
      <c r="AV411" s="467" t="str">
        <f t="shared" si="225"/>
        <v/>
      </c>
      <c r="AW411" s="467" t="str">
        <f t="shared" si="226"/>
        <v/>
      </c>
      <c r="AX411" s="467" t="str">
        <f t="shared" si="227"/>
        <v/>
      </c>
      <c r="AY411" s="467" t="str">
        <f t="shared" si="228"/>
        <v/>
      </c>
      <c r="AZ411" s="467" t="str">
        <f t="shared" si="229"/>
        <v/>
      </c>
      <c r="BA411" s="468" t="str">
        <f>IF(AS411="","",IF(OR(AU411="",AU411="-"),"－",IF(OR(AZ411=8,AZ411=9),"",IF(OR(AW411=3,AW411=4,AW411=5,AW411=6),VLOOKUP(AU411,INDEX((係数_バス貨物_ガソリン,係数_バス貨物_CNG,係数_バス貨物_軽油,係数_バス貨物_メタノール,係数_バス貨物_LPG),MATCH(AY411,【参考】排出係数!$AI$4:$AI$671,1),1,BE411):INDEX((係数_バス貨物_ガソリン,係数_バス貨物_CNG,係数_バス貨物_軽油,係数_バス貨物_メタノール,係数_バス貨物_LPG),MATCH(AY411+1,【参考】排出係数!$AI$4:$AI$671,1)-1,5,BE411),2,FALSE),IF(OR(AW411=1,AW411=2),VLOOKUP(AU411,INDEX((係数_乗用_ガソリン,係数_乗用_CNG,係数_乗用_軽油,係数_乗用_メタノール,係数_乗用_LPG),1,1,BE411):INDEX((係数_乗用_ガソリン,係数_乗用_CNG,係数_乗用_軽油,係数_乗用_メタノール,係数_乗用_LPG),125,5,BE411),2,FALSE))))))</f>
        <v/>
      </c>
      <c r="BB411" s="468" t="str">
        <f>IF(T411="","",IF(OR(AU411="",AU411="-"),"－",IF(OR(AZ411=8,AZ411=9),"",IF(OR(AW411=3,AW411=4,AW411=5,AW411=6),VLOOKUP(AU411,INDEX((係数_バス貨物_ガソリン,係数_バス貨物_CNG,係数_バス貨物_軽油,係数_バス貨物_メタノール,係数_バス貨物_LPG),MATCH(AY411,【参考】排出係数!$AI$4:$AI$671,1),1,BE411):INDEX((係数_バス貨物_ガソリン,係数_バス貨物_CNG,係数_バス貨物_軽油,係数_バス貨物_メタノール,係数_バス貨物_LPG),MATCH(AY411+1,【参考】排出係数!$AI$4:$AI$671,1)-1,5,BE411),3,FALSE),IF(OR(AW411=1,AW411=2),VLOOKUP(AU411,INDEX((係数_乗用_ガソリン,係数_乗用_CNG,係数_乗用_軽油,係数_乗用_メタノール,係数_乗用_LPG),1,1,BE411):INDEX((係数_乗用_ガソリン,係数_乗用_CNG,係数_乗用_軽油,係数_乗用_メタノール,係数_乗用_LPG),125,5,BE411),3,FALSE))))))</f>
        <v/>
      </c>
      <c r="BC411" s="467" t="str">
        <f t="shared" si="230"/>
        <v/>
      </c>
      <c r="BD411" s="567" t="str">
        <f t="shared" si="231"/>
        <v/>
      </c>
      <c r="BE411" s="467" t="str">
        <f t="shared" si="232"/>
        <v/>
      </c>
      <c r="BF411" s="469" t="str">
        <f t="shared" ca="1" si="233"/>
        <v/>
      </c>
      <c r="BG411" s="469" t="str">
        <f t="shared" ca="1" si="234"/>
        <v/>
      </c>
      <c r="BH411" s="467" t="str">
        <f t="shared" si="235"/>
        <v/>
      </c>
      <c r="BI411" s="467" t="str">
        <f t="shared" ca="1" si="236"/>
        <v/>
      </c>
      <c r="BJ411" s="469" t="str">
        <f t="shared" si="237"/>
        <v/>
      </c>
      <c r="BK411" s="470" t="str">
        <f t="shared" si="217"/>
        <v/>
      </c>
      <c r="BL411" s="775" t="str">
        <f t="shared" si="238"/>
        <v/>
      </c>
      <c r="BM411" s="775" t="str">
        <f t="shared" si="239"/>
        <v/>
      </c>
    </row>
    <row r="412" spans="1:65">
      <c r="A412" s="473">
        <v>356</v>
      </c>
      <c r="B412" s="132"/>
      <c r="C412" s="332"/>
      <c r="D412" s="333"/>
      <c r="E412" s="333"/>
      <c r="F412" s="334"/>
      <c r="G412" s="337"/>
      <c r="H412" s="131"/>
      <c r="I412" s="337"/>
      <c r="J412" s="131"/>
      <c r="K412" s="458" t="str">
        <f t="shared" si="206"/>
        <v/>
      </c>
      <c r="L412" s="458">
        <f t="shared" si="218"/>
        <v>0</v>
      </c>
      <c r="M412" s="458">
        <f t="shared" si="219"/>
        <v>0</v>
      </c>
      <c r="N412" s="459" t="str">
        <f t="shared" si="207"/>
        <v/>
      </c>
      <c r="O412" s="459" t="str">
        <f t="shared" si="208"/>
        <v/>
      </c>
      <c r="P412" s="459" t="str">
        <f t="shared" si="209"/>
        <v/>
      </c>
      <c r="Q412" s="459" t="str">
        <f t="shared" si="210"/>
        <v/>
      </c>
      <c r="R412" s="459" t="str">
        <f t="shared" si="211"/>
        <v/>
      </c>
      <c r="S412" s="459" t="str">
        <f t="shared" si="212"/>
        <v/>
      </c>
      <c r="T412" s="566" t="str">
        <f t="shared" si="220"/>
        <v/>
      </c>
      <c r="U412" s="702"/>
      <c r="V412" s="132"/>
      <c r="W412" s="133"/>
      <c r="X412" s="134"/>
      <c r="Y412" s="135"/>
      <c r="Z412" s="137"/>
      <c r="AA412" s="136"/>
      <c r="AB412" s="566" t="str">
        <f t="shared" si="213"/>
        <v/>
      </c>
      <c r="AC412" s="568" t="str">
        <f t="shared" si="221"/>
        <v/>
      </c>
      <c r="AD412" s="137"/>
      <c r="AE412" s="137"/>
      <c r="AF412" s="138"/>
      <c r="AG412" s="138"/>
      <c r="AH412" s="592" t="str">
        <f t="shared" si="214"/>
        <v/>
      </c>
      <c r="AI412" s="592" t="str">
        <f t="shared" si="215"/>
        <v/>
      </c>
      <c r="AJ412" s="592" t="str">
        <f t="shared" si="216"/>
        <v/>
      </c>
      <c r="AK412" s="460" t="str">
        <f>IF(AU412="","",IF(OR(AZ412=8,AZ412=9),0,IF(OR(AW412=3,AW412=4,AW412=5,AW412=6),IF(LEFT(BF412,1)="1",INDEX(係数_NOX・PM低減,MATCH(AY412,【参考】排出係数!$AI$801:$AI$804,1),1),VLOOKUP(AU412,INDEX((係数_バス貨物_ガソリン,係数_バス貨物_CNG,係数_バス貨物_軽油,係数_バス貨物_メタノール,係数_バス貨物_LPG),MATCH(AY412,【参考】排出係数!$AI$4:$AI$671,1),1,BE412):INDEX((係数_バス貨物_ガソリン,係数_バス貨物_CNG,係数_バス貨物_軽油,係数_バス貨物_メタノール,係数_バス貨物_LPG),MATCH(AY412+1,【参考】排出係数!$AI$4:$AI$671,1)-1,5,BE412),4,FALSE)),IF(AND(BE412=3,LEFT(BF412,1)="1"),0.48,VLOOKUP(AU412,INDEX((係数_乗用_ガソリン,係数_乗用_CNG,係数_乗用_軽油,係数_乗用_メタノール,係数_乗用_LPG),1,1,BE412):INDEX((係数_乗用_ガソリン,係数_乗用_CNG,係数_乗用_軽油,係数_乗用_メタノール,係数_乗用_LPG),125,5,BE412),4,FALSE)))))</f>
        <v/>
      </c>
      <c r="AL412" s="461" t="str">
        <f t="shared" si="240"/>
        <v/>
      </c>
      <c r="AM412" s="460" t="str">
        <f>IF(AU412="","",IF(OR(AZ412=8,AZ412=9),0,IF(OR(AW412=3,AW412=4,AW412=5,AW412=6),IF(LEFT(BH412,1)="1",INDEX(係数_PM低減,MATCH(AY412,【参考】排出係数!$AI$801:$AI$804,1),MATCH(BI412,【参考】排出係数!$AL$798:$AO$798,1)),VLOOKUP(AU412,INDEX((係数_バス貨物_ガソリン,係数_バス貨物_CNG,係数_バス貨物_軽油,係数_バス貨物_メタノール,係数_バス貨物_LPG),MATCH(AY412,【参考】排出係数!$AI$4:$AI$671,1),1,BE412):INDEX((係数_バス貨物_ガソリン,係数_バス貨物_CNG,係数_バス貨物_軽油,係数_バス貨物_メタノール,係数_バス貨物_LPG),MATCH(AY412+1,【参考】排出係数!$AI$4:$AI$671,1)-1,5,BE412),5,FALSE)),IF(AND(BE412=3,LEFT(BF412,1)="1"),0.055,VLOOKUP(AU412,INDEX((係数_乗用_ガソリン,係数_乗用_CNG,係数_乗用_軽油,係数_乗用_メタノール,係数_乗用_LPG),1,1,BE412):INDEX((係数_乗用_ガソリン,係数_乗用_CNG,係数_乗用_軽油,係数_乗用_メタノール,係数_乗用_LPG),125,5,BE412),5,FALSE)))))</f>
        <v/>
      </c>
      <c r="AN412" s="461" t="str">
        <f t="shared" si="241"/>
        <v/>
      </c>
      <c r="AO412" s="462" t="str">
        <f t="shared" si="242"/>
        <v/>
      </c>
      <c r="AP412" s="463" t="str">
        <f t="shared" si="243"/>
        <v/>
      </c>
      <c r="AQ412" s="464"/>
      <c r="AR412" s="619"/>
      <c r="AS412" s="465" t="str">
        <f t="shared" si="222"/>
        <v/>
      </c>
      <c r="AT412" s="465" t="str">
        <f t="shared" si="223"/>
        <v/>
      </c>
      <c r="AU412" s="466" t="str">
        <f t="shared" si="224"/>
        <v/>
      </c>
      <c r="AV412" s="467" t="str">
        <f t="shared" si="225"/>
        <v/>
      </c>
      <c r="AW412" s="467" t="str">
        <f t="shared" si="226"/>
        <v/>
      </c>
      <c r="AX412" s="467" t="str">
        <f t="shared" si="227"/>
        <v/>
      </c>
      <c r="AY412" s="467" t="str">
        <f t="shared" si="228"/>
        <v/>
      </c>
      <c r="AZ412" s="467" t="str">
        <f t="shared" si="229"/>
        <v/>
      </c>
      <c r="BA412" s="468" t="str">
        <f>IF(AS412="","",IF(OR(AU412="",AU412="-"),"－",IF(OR(AZ412=8,AZ412=9),"",IF(OR(AW412=3,AW412=4,AW412=5,AW412=6),VLOOKUP(AU412,INDEX((係数_バス貨物_ガソリン,係数_バス貨物_CNG,係数_バス貨物_軽油,係数_バス貨物_メタノール,係数_バス貨物_LPG),MATCH(AY412,【参考】排出係数!$AI$4:$AI$671,1),1,BE412):INDEX((係数_バス貨物_ガソリン,係数_バス貨物_CNG,係数_バス貨物_軽油,係数_バス貨物_メタノール,係数_バス貨物_LPG),MATCH(AY412+1,【参考】排出係数!$AI$4:$AI$671,1)-1,5,BE412),2,FALSE),IF(OR(AW412=1,AW412=2),VLOOKUP(AU412,INDEX((係数_乗用_ガソリン,係数_乗用_CNG,係数_乗用_軽油,係数_乗用_メタノール,係数_乗用_LPG),1,1,BE412):INDEX((係数_乗用_ガソリン,係数_乗用_CNG,係数_乗用_軽油,係数_乗用_メタノール,係数_乗用_LPG),125,5,BE412),2,FALSE))))))</f>
        <v/>
      </c>
      <c r="BB412" s="468" t="str">
        <f>IF(T412="","",IF(OR(AU412="",AU412="-"),"－",IF(OR(AZ412=8,AZ412=9),"",IF(OR(AW412=3,AW412=4,AW412=5,AW412=6),VLOOKUP(AU412,INDEX((係数_バス貨物_ガソリン,係数_バス貨物_CNG,係数_バス貨物_軽油,係数_バス貨物_メタノール,係数_バス貨物_LPG),MATCH(AY412,【参考】排出係数!$AI$4:$AI$671,1),1,BE412):INDEX((係数_バス貨物_ガソリン,係数_バス貨物_CNG,係数_バス貨物_軽油,係数_バス貨物_メタノール,係数_バス貨物_LPG),MATCH(AY412+1,【参考】排出係数!$AI$4:$AI$671,1)-1,5,BE412),3,FALSE),IF(OR(AW412=1,AW412=2),VLOOKUP(AU412,INDEX((係数_乗用_ガソリン,係数_乗用_CNG,係数_乗用_軽油,係数_乗用_メタノール,係数_乗用_LPG),1,1,BE412):INDEX((係数_乗用_ガソリン,係数_乗用_CNG,係数_乗用_軽油,係数_乗用_メタノール,係数_乗用_LPG),125,5,BE412),3,FALSE))))))</f>
        <v/>
      </c>
      <c r="BC412" s="467" t="str">
        <f t="shared" si="230"/>
        <v/>
      </c>
      <c r="BD412" s="567" t="str">
        <f t="shared" si="231"/>
        <v/>
      </c>
      <c r="BE412" s="467" t="str">
        <f t="shared" si="232"/>
        <v/>
      </c>
      <c r="BF412" s="469" t="str">
        <f t="shared" ca="1" si="233"/>
        <v/>
      </c>
      <c r="BG412" s="469" t="str">
        <f t="shared" ca="1" si="234"/>
        <v/>
      </c>
      <c r="BH412" s="467" t="str">
        <f t="shared" si="235"/>
        <v/>
      </c>
      <c r="BI412" s="467" t="str">
        <f t="shared" ca="1" si="236"/>
        <v/>
      </c>
      <c r="BJ412" s="469" t="str">
        <f t="shared" si="237"/>
        <v/>
      </c>
      <c r="BK412" s="470" t="str">
        <f t="shared" si="217"/>
        <v/>
      </c>
      <c r="BL412" s="775" t="str">
        <f t="shared" si="238"/>
        <v/>
      </c>
      <c r="BM412" s="775" t="str">
        <f t="shared" si="239"/>
        <v/>
      </c>
    </row>
    <row r="413" spans="1:65">
      <c r="A413" s="473">
        <v>357</v>
      </c>
      <c r="B413" s="132"/>
      <c r="C413" s="332"/>
      <c r="D413" s="333"/>
      <c r="E413" s="333"/>
      <c r="F413" s="334"/>
      <c r="G413" s="337"/>
      <c r="H413" s="131"/>
      <c r="I413" s="337"/>
      <c r="J413" s="131"/>
      <c r="K413" s="458" t="str">
        <f t="shared" si="206"/>
        <v/>
      </c>
      <c r="L413" s="458">
        <f t="shared" si="218"/>
        <v>0</v>
      </c>
      <c r="M413" s="458">
        <f t="shared" si="219"/>
        <v>0</v>
      </c>
      <c r="N413" s="459" t="str">
        <f t="shared" si="207"/>
        <v/>
      </c>
      <c r="O413" s="459" t="str">
        <f t="shared" si="208"/>
        <v/>
      </c>
      <c r="P413" s="459" t="str">
        <f t="shared" si="209"/>
        <v/>
      </c>
      <c r="Q413" s="459" t="str">
        <f t="shared" si="210"/>
        <v/>
      </c>
      <c r="R413" s="459" t="str">
        <f t="shared" si="211"/>
        <v/>
      </c>
      <c r="S413" s="459" t="str">
        <f t="shared" si="212"/>
        <v/>
      </c>
      <c r="T413" s="566" t="str">
        <f t="shared" si="220"/>
        <v/>
      </c>
      <c r="U413" s="702"/>
      <c r="V413" s="132"/>
      <c r="W413" s="133"/>
      <c r="X413" s="134"/>
      <c r="Y413" s="135"/>
      <c r="Z413" s="137"/>
      <c r="AA413" s="136"/>
      <c r="AB413" s="566" t="str">
        <f t="shared" si="213"/>
        <v/>
      </c>
      <c r="AC413" s="568" t="str">
        <f t="shared" si="221"/>
        <v/>
      </c>
      <c r="AD413" s="137"/>
      <c r="AE413" s="137"/>
      <c r="AF413" s="138"/>
      <c r="AG413" s="138"/>
      <c r="AH413" s="592" t="str">
        <f t="shared" si="214"/>
        <v/>
      </c>
      <c r="AI413" s="592" t="str">
        <f t="shared" si="215"/>
        <v/>
      </c>
      <c r="AJ413" s="592" t="str">
        <f t="shared" si="216"/>
        <v/>
      </c>
      <c r="AK413" s="460" t="str">
        <f>IF(AU413="","",IF(OR(AZ413=8,AZ413=9),0,IF(OR(AW413=3,AW413=4,AW413=5,AW413=6),IF(LEFT(BF413,1)="1",INDEX(係数_NOX・PM低減,MATCH(AY413,【参考】排出係数!$AI$801:$AI$804,1),1),VLOOKUP(AU413,INDEX((係数_バス貨物_ガソリン,係数_バス貨物_CNG,係数_バス貨物_軽油,係数_バス貨物_メタノール,係数_バス貨物_LPG),MATCH(AY413,【参考】排出係数!$AI$4:$AI$671,1),1,BE413):INDEX((係数_バス貨物_ガソリン,係数_バス貨物_CNG,係数_バス貨物_軽油,係数_バス貨物_メタノール,係数_バス貨物_LPG),MATCH(AY413+1,【参考】排出係数!$AI$4:$AI$671,1)-1,5,BE413),4,FALSE)),IF(AND(BE413=3,LEFT(BF413,1)="1"),0.48,VLOOKUP(AU413,INDEX((係数_乗用_ガソリン,係数_乗用_CNG,係数_乗用_軽油,係数_乗用_メタノール,係数_乗用_LPG),1,1,BE413):INDEX((係数_乗用_ガソリン,係数_乗用_CNG,係数_乗用_軽油,係数_乗用_メタノール,係数_乗用_LPG),125,5,BE413),4,FALSE)))))</f>
        <v/>
      </c>
      <c r="AL413" s="461" t="str">
        <f t="shared" si="240"/>
        <v/>
      </c>
      <c r="AM413" s="460" t="str">
        <f>IF(AU413="","",IF(OR(AZ413=8,AZ413=9),0,IF(OR(AW413=3,AW413=4,AW413=5,AW413=6),IF(LEFT(BH413,1)="1",INDEX(係数_PM低減,MATCH(AY413,【参考】排出係数!$AI$801:$AI$804,1),MATCH(BI413,【参考】排出係数!$AL$798:$AO$798,1)),VLOOKUP(AU413,INDEX((係数_バス貨物_ガソリン,係数_バス貨物_CNG,係数_バス貨物_軽油,係数_バス貨物_メタノール,係数_バス貨物_LPG),MATCH(AY413,【参考】排出係数!$AI$4:$AI$671,1),1,BE413):INDEX((係数_バス貨物_ガソリン,係数_バス貨物_CNG,係数_バス貨物_軽油,係数_バス貨物_メタノール,係数_バス貨物_LPG),MATCH(AY413+1,【参考】排出係数!$AI$4:$AI$671,1)-1,5,BE413),5,FALSE)),IF(AND(BE413=3,LEFT(BF413,1)="1"),0.055,VLOOKUP(AU413,INDEX((係数_乗用_ガソリン,係数_乗用_CNG,係数_乗用_軽油,係数_乗用_メタノール,係数_乗用_LPG),1,1,BE413):INDEX((係数_乗用_ガソリン,係数_乗用_CNG,係数_乗用_軽油,係数_乗用_メタノール,係数_乗用_LPG),125,5,BE413),5,FALSE)))))</f>
        <v/>
      </c>
      <c r="AN413" s="461" t="str">
        <f t="shared" si="241"/>
        <v/>
      </c>
      <c r="AO413" s="462" t="str">
        <f t="shared" si="242"/>
        <v/>
      </c>
      <c r="AP413" s="463" t="str">
        <f t="shared" si="243"/>
        <v/>
      </c>
      <c r="AQ413" s="464"/>
      <c r="AR413" s="619"/>
      <c r="AS413" s="465" t="str">
        <f t="shared" si="222"/>
        <v/>
      </c>
      <c r="AT413" s="465" t="str">
        <f t="shared" si="223"/>
        <v/>
      </c>
      <c r="AU413" s="466" t="str">
        <f t="shared" si="224"/>
        <v/>
      </c>
      <c r="AV413" s="467" t="str">
        <f t="shared" si="225"/>
        <v/>
      </c>
      <c r="AW413" s="467" t="str">
        <f t="shared" si="226"/>
        <v/>
      </c>
      <c r="AX413" s="467" t="str">
        <f t="shared" si="227"/>
        <v/>
      </c>
      <c r="AY413" s="467" t="str">
        <f t="shared" si="228"/>
        <v/>
      </c>
      <c r="AZ413" s="467" t="str">
        <f t="shared" si="229"/>
        <v/>
      </c>
      <c r="BA413" s="468" t="str">
        <f>IF(AS413="","",IF(OR(AU413="",AU413="-"),"－",IF(OR(AZ413=8,AZ413=9),"",IF(OR(AW413=3,AW413=4,AW413=5,AW413=6),VLOOKUP(AU413,INDEX((係数_バス貨物_ガソリン,係数_バス貨物_CNG,係数_バス貨物_軽油,係数_バス貨物_メタノール,係数_バス貨物_LPG),MATCH(AY413,【参考】排出係数!$AI$4:$AI$671,1),1,BE413):INDEX((係数_バス貨物_ガソリン,係数_バス貨物_CNG,係数_バス貨物_軽油,係数_バス貨物_メタノール,係数_バス貨物_LPG),MATCH(AY413+1,【参考】排出係数!$AI$4:$AI$671,1)-1,5,BE413),2,FALSE),IF(OR(AW413=1,AW413=2),VLOOKUP(AU413,INDEX((係数_乗用_ガソリン,係数_乗用_CNG,係数_乗用_軽油,係数_乗用_メタノール,係数_乗用_LPG),1,1,BE413):INDEX((係数_乗用_ガソリン,係数_乗用_CNG,係数_乗用_軽油,係数_乗用_メタノール,係数_乗用_LPG),125,5,BE413),2,FALSE))))))</f>
        <v/>
      </c>
      <c r="BB413" s="468" t="str">
        <f>IF(T413="","",IF(OR(AU413="",AU413="-"),"－",IF(OR(AZ413=8,AZ413=9),"",IF(OR(AW413=3,AW413=4,AW413=5,AW413=6),VLOOKUP(AU413,INDEX((係数_バス貨物_ガソリン,係数_バス貨物_CNG,係数_バス貨物_軽油,係数_バス貨物_メタノール,係数_バス貨物_LPG),MATCH(AY413,【参考】排出係数!$AI$4:$AI$671,1),1,BE413):INDEX((係数_バス貨物_ガソリン,係数_バス貨物_CNG,係数_バス貨物_軽油,係数_バス貨物_メタノール,係数_バス貨物_LPG),MATCH(AY413+1,【参考】排出係数!$AI$4:$AI$671,1)-1,5,BE413),3,FALSE),IF(OR(AW413=1,AW413=2),VLOOKUP(AU413,INDEX((係数_乗用_ガソリン,係数_乗用_CNG,係数_乗用_軽油,係数_乗用_メタノール,係数_乗用_LPG),1,1,BE413):INDEX((係数_乗用_ガソリン,係数_乗用_CNG,係数_乗用_軽油,係数_乗用_メタノール,係数_乗用_LPG),125,5,BE413),3,FALSE))))))</f>
        <v/>
      </c>
      <c r="BC413" s="467" t="str">
        <f t="shared" si="230"/>
        <v/>
      </c>
      <c r="BD413" s="567" t="str">
        <f t="shared" si="231"/>
        <v/>
      </c>
      <c r="BE413" s="467" t="str">
        <f t="shared" si="232"/>
        <v/>
      </c>
      <c r="BF413" s="469" t="str">
        <f t="shared" ca="1" si="233"/>
        <v/>
      </c>
      <c r="BG413" s="469" t="str">
        <f t="shared" ca="1" si="234"/>
        <v/>
      </c>
      <c r="BH413" s="467" t="str">
        <f t="shared" si="235"/>
        <v/>
      </c>
      <c r="BI413" s="467" t="str">
        <f t="shared" ca="1" si="236"/>
        <v/>
      </c>
      <c r="BJ413" s="469" t="str">
        <f t="shared" si="237"/>
        <v/>
      </c>
      <c r="BK413" s="470" t="str">
        <f t="shared" si="217"/>
        <v/>
      </c>
      <c r="BL413" s="775" t="str">
        <f t="shared" si="238"/>
        <v/>
      </c>
      <c r="BM413" s="775" t="str">
        <f t="shared" si="239"/>
        <v/>
      </c>
    </row>
    <row r="414" spans="1:65">
      <c r="A414" s="473">
        <v>358</v>
      </c>
      <c r="B414" s="132"/>
      <c r="C414" s="332"/>
      <c r="D414" s="333"/>
      <c r="E414" s="333"/>
      <c r="F414" s="334"/>
      <c r="G414" s="337"/>
      <c r="H414" s="131"/>
      <c r="I414" s="337"/>
      <c r="J414" s="131"/>
      <c r="K414" s="458" t="str">
        <f t="shared" si="206"/>
        <v/>
      </c>
      <c r="L414" s="458">
        <f t="shared" si="218"/>
        <v>0</v>
      </c>
      <c r="M414" s="458">
        <f t="shared" si="219"/>
        <v>0</v>
      </c>
      <c r="N414" s="459" t="str">
        <f t="shared" si="207"/>
        <v/>
      </c>
      <c r="O414" s="459" t="str">
        <f t="shared" si="208"/>
        <v/>
      </c>
      <c r="P414" s="459" t="str">
        <f t="shared" si="209"/>
        <v/>
      </c>
      <c r="Q414" s="459" t="str">
        <f t="shared" si="210"/>
        <v/>
      </c>
      <c r="R414" s="459" t="str">
        <f t="shared" si="211"/>
        <v/>
      </c>
      <c r="S414" s="459" t="str">
        <f t="shared" si="212"/>
        <v/>
      </c>
      <c r="T414" s="566" t="str">
        <f t="shared" si="220"/>
        <v/>
      </c>
      <c r="U414" s="702"/>
      <c r="V414" s="132"/>
      <c r="W414" s="133"/>
      <c r="X414" s="134"/>
      <c r="Y414" s="135"/>
      <c r="Z414" s="137"/>
      <c r="AA414" s="136"/>
      <c r="AB414" s="566" t="str">
        <f t="shared" si="213"/>
        <v/>
      </c>
      <c r="AC414" s="568" t="str">
        <f t="shared" si="221"/>
        <v/>
      </c>
      <c r="AD414" s="137"/>
      <c r="AE414" s="137"/>
      <c r="AF414" s="138"/>
      <c r="AG414" s="138"/>
      <c r="AH414" s="592" t="str">
        <f t="shared" si="214"/>
        <v/>
      </c>
      <c r="AI414" s="592" t="str">
        <f t="shared" si="215"/>
        <v/>
      </c>
      <c r="AJ414" s="592" t="str">
        <f t="shared" si="216"/>
        <v/>
      </c>
      <c r="AK414" s="460" t="str">
        <f>IF(AU414="","",IF(OR(AZ414=8,AZ414=9),0,IF(OR(AW414=3,AW414=4,AW414=5,AW414=6),IF(LEFT(BF414,1)="1",INDEX(係数_NOX・PM低減,MATCH(AY414,【参考】排出係数!$AI$801:$AI$804,1),1),VLOOKUP(AU414,INDEX((係数_バス貨物_ガソリン,係数_バス貨物_CNG,係数_バス貨物_軽油,係数_バス貨物_メタノール,係数_バス貨物_LPG),MATCH(AY414,【参考】排出係数!$AI$4:$AI$671,1),1,BE414):INDEX((係数_バス貨物_ガソリン,係数_バス貨物_CNG,係数_バス貨物_軽油,係数_バス貨物_メタノール,係数_バス貨物_LPG),MATCH(AY414+1,【参考】排出係数!$AI$4:$AI$671,1)-1,5,BE414),4,FALSE)),IF(AND(BE414=3,LEFT(BF414,1)="1"),0.48,VLOOKUP(AU414,INDEX((係数_乗用_ガソリン,係数_乗用_CNG,係数_乗用_軽油,係数_乗用_メタノール,係数_乗用_LPG),1,1,BE414):INDEX((係数_乗用_ガソリン,係数_乗用_CNG,係数_乗用_軽油,係数_乗用_メタノール,係数_乗用_LPG),125,5,BE414),4,FALSE)))))</f>
        <v/>
      </c>
      <c r="AL414" s="461" t="str">
        <f t="shared" si="240"/>
        <v/>
      </c>
      <c r="AM414" s="460" t="str">
        <f>IF(AU414="","",IF(OR(AZ414=8,AZ414=9),0,IF(OR(AW414=3,AW414=4,AW414=5,AW414=6),IF(LEFT(BH414,1)="1",INDEX(係数_PM低減,MATCH(AY414,【参考】排出係数!$AI$801:$AI$804,1),MATCH(BI414,【参考】排出係数!$AL$798:$AO$798,1)),VLOOKUP(AU414,INDEX((係数_バス貨物_ガソリン,係数_バス貨物_CNG,係数_バス貨物_軽油,係数_バス貨物_メタノール,係数_バス貨物_LPG),MATCH(AY414,【参考】排出係数!$AI$4:$AI$671,1),1,BE414):INDEX((係数_バス貨物_ガソリン,係数_バス貨物_CNG,係数_バス貨物_軽油,係数_バス貨物_メタノール,係数_バス貨物_LPG),MATCH(AY414+1,【参考】排出係数!$AI$4:$AI$671,1)-1,5,BE414),5,FALSE)),IF(AND(BE414=3,LEFT(BF414,1)="1"),0.055,VLOOKUP(AU414,INDEX((係数_乗用_ガソリン,係数_乗用_CNG,係数_乗用_軽油,係数_乗用_メタノール,係数_乗用_LPG),1,1,BE414):INDEX((係数_乗用_ガソリン,係数_乗用_CNG,係数_乗用_軽油,係数_乗用_メタノール,係数_乗用_LPG),125,5,BE414),5,FALSE)))))</f>
        <v/>
      </c>
      <c r="AN414" s="461" t="str">
        <f t="shared" si="241"/>
        <v/>
      </c>
      <c r="AO414" s="462" t="str">
        <f t="shared" si="242"/>
        <v/>
      </c>
      <c r="AP414" s="463" t="str">
        <f t="shared" si="243"/>
        <v/>
      </c>
      <c r="AQ414" s="464"/>
      <c r="AR414" s="619"/>
      <c r="AS414" s="465" t="str">
        <f t="shared" si="222"/>
        <v/>
      </c>
      <c r="AT414" s="465" t="str">
        <f t="shared" si="223"/>
        <v/>
      </c>
      <c r="AU414" s="466" t="str">
        <f t="shared" si="224"/>
        <v/>
      </c>
      <c r="AV414" s="467" t="str">
        <f t="shared" si="225"/>
        <v/>
      </c>
      <c r="AW414" s="467" t="str">
        <f t="shared" si="226"/>
        <v/>
      </c>
      <c r="AX414" s="467" t="str">
        <f t="shared" si="227"/>
        <v/>
      </c>
      <c r="AY414" s="467" t="str">
        <f t="shared" si="228"/>
        <v/>
      </c>
      <c r="AZ414" s="467" t="str">
        <f t="shared" si="229"/>
        <v/>
      </c>
      <c r="BA414" s="468" t="str">
        <f>IF(AS414="","",IF(OR(AU414="",AU414="-"),"－",IF(OR(AZ414=8,AZ414=9),"",IF(OR(AW414=3,AW414=4,AW414=5,AW414=6),VLOOKUP(AU414,INDEX((係数_バス貨物_ガソリン,係数_バス貨物_CNG,係数_バス貨物_軽油,係数_バス貨物_メタノール,係数_バス貨物_LPG),MATCH(AY414,【参考】排出係数!$AI$4:$AI$671,1),1,BE414):INDEX((係数_バス貨物_ガソリン,係数_バス貨物_CNG,係数_バス貨物_軽油,係数_バス貨物_メタノール,係数_バス貨物_LPG),MATCH(AY414+1,【参考】排出係数!$AI$4:$AI$671,1)-1,5,BE414),2,FALSE),IF(OR(AW414=1,AW414=2),VLOOKUP(AU414,INDEX((係数_乗用_ガソリン,係数_乗用_CNG,係数_乗用_軽油,係数_乗用_メタノール,係数_乗用_LPG),1,1,BE414):INDEX((係数_乗用_ガソリン,係数_乗用_CNG,係数_乗用_軽油,係数_乗用_メタノール,係数_乗用_LPG),125,5,BE414),2,FALSE))))))</f>
        <v/>
      </c>
      <c r="BB414" s="468" t="str">
        <f>IF(T414="","",IF(OR(AU414="",AU414="-"),"－",IF(OR(AZ414=8,AZ414=9),"",IF(OR(AW414=3,AW414=4,AW414=5,AW414=6),VLOOKUP(AU414,INDEX((係数_バス貨物_ガソリン,係数_バス貨物_CNG,係数_バス貨物_軽油,係数_バス貨物_メタノール,係数_バス貨物_LPG),MATCH(AY414,【参考】排出係数!$AI$4:$AI$671,1),1,BE414):INDEX((係数_バス貨物_ガソリン,係数_バス貨物_CNG,係数_バス貨物_軽油,係数_バス貨物_メタノール,係数_バス貨物_LPG),MATCH(AY414+1,【参考】排出係数!$AI$4:$AI$671,1)-1,5,BE414),3,FALSE),IF(OR(AW414=1,AW414=2),VLOOKUP(AU414,INDEX((係数_乗用_ガソリン,係数_乗用_CNG,係数_乗用_軽油,係数_乗用_メタノール,係数_乗用_LPG),1,1,BE414):INDEX((係数_乗用_ガソリン,係数_乗用_CNG,係数_乗用_軽油,係数_乗用_メタノール,係数_乗用_LPG),125,5,BE414),3,FALSE))))))</f>
        <v/>
      </c>
      <c r="BC414" s="467" t="str">
        <f t="shared" si="230"/>
        <v/>
      </c>
      <c r="BD414" s="567" t="str">
        <f t="shared" si="231"/>
        <v/>
      </c>
      <c r="BE414" s="467" t="str">
        <f t="shared" si="232"/>
        <v/>
      </c>
      <c r="BF414" s="469" t="str">
        <f t="shared" ca="1" si="233"/>
        <v/>
      </c>
      <c r="BG414" s="469" t="str">
        <f t="shared" ca="1" si="234"/>
        <v/>
      </c>
      <c r="BH414" s="467" t="str">
        <f t="shared" si="235"/>
        <v/>
      </c>
      <c r="BI414" s="467" t="str">
        <f t="shared" ca="1" si="236"/>
        <v/>
      </c>
      <c r="BJ414" s="469" t="str">
        <f t="shared" si="237"/>
        <v/>
      </c>
      <c r="BK414" s="470" t="str">
        <f t="shared" si="217"/>
        <v/>
      </c>
      <c r="BL414" s="775" t="str">
        <f t="shared" si="238"/>
        <v/>
      </c>
      <c r="BM414" s="775" t="str">
        <f t="shared" si="239"/>
        <v/>
      </c>
    </row>
    <row r="415" spans="1:65">
      <c r="A415" s="473">
        <v>359</v>
      </c>
      <c r="B415" s="132"/>
      <c r="C415" s="332"/>
      <c r="D415" s="333"/>
      <c r="E415" s="333"/>
      <c r="F415" s="334"/>
      <c r="G415" s="337"/>
      <c r="H415" s="131"/>
      <c r="I415" s="337"/>
      <c r="J415" s="131"/>
      <c r="K415" s="458" t="str">
        <f t="shared" si="206"/>
        <v/>
      </c>
      <c r="L415" s="458">
        <f t="shared" si="218"/>
        <v>0</v>
      </c>
      <c r="M415" s="458">
        <f t="shared" si="219"/>
        <v>0</v>
      </c>
      <c r="N415" s="459" t="str">
        <f t="shared" si="207"/>
        <v/>
      </c>
      <c r="O415" s="459" t="str">
        <f t="shared" si="208"/>
        <v/>
      </c>
      <c r="P415" s="459" t="str">
        <f t="shared" si="209"/>
        <v/>
      </c>
      <c r="Q415" s="459" t="str">
        <f t="shared" si="210"/>
        <v/>
      </c>
      <c r="R415" s="459" t="str">
        <f t="shared" si="211"/>
        <v/>
      </c>
      <c r="S415" s="459" t="str">
        <f t="shared" si="212"/>
        <v/>
      </c>
      <c r="T415" s="566" t="str">
        <f t="shared" si="220"/>
        <v/>
      </c>
      <c r="U415" s="702"/>
      <c r="V415" s="132"/>
      <c r="W415" s="133"/>
      <c r="X415" s="134"/>
      <c r="Y415" s="135"/>
      <c r="Z415" s="137"/>
      <c r="AA415" s="136"/>
      <c r="AB415" s="566" t="str">
        <f t="shared" si="213"/>
        <v/>
      </c>
      <c r="AC415" s="568" t="str">
        <f t="shared" si="221"/>
        <v/>
      </c>
      <c r="AD415" s="137"/>
      <c r="AE415" s="137"/>
      <c r="AF415" s="138"/>
      <c r="AG415" s="138"/>
      <c r="AH415" s="592" t="str">
        <f t="shared" si="214"/>
        <v/>
      </c>
      <c r="AI415" s="592" t="str">
        <f t="shared" si="215"/>
        <v/>
      </c>
      <c r="AJ415" s="592" t="str">
        <f t="shared" si="216"/>
        <v/>
      </c>
      <c r="AK415" s="460" t="str">
        <f>IF(AU415="","",IF(OR(AZ415=8,AZ415=9),0,IF(OR(AW415=3,AW415=4,AW415=5,AW415=6),IF(LEFT(BF415,1)="1",INDEX(係数_NOX・PM低減,MATCH(AY415,【参考】排出係数!$AI$801:$AI$804,1),1),VLOOKUP(AU415,INDEX((係数_バス貨物_ガソリン,係数_バス貨物_CNG,係数_バス貨物_軽油,係数_バス貨物_メタノール,係数_バス貨物_LPG),MATCH(AY415,【参考】排出係数!$AI$4:$AI$671,1),1,BE415):INDEX((係数_バス貨物_ガソリン,係数_バス貨物_CNG,係数_バス貨物_軽油,係数_バス貨物_メタノール,係数_バス貨物_LPG),MATCH(AY415+1,【参考】排出係数!$AI$4:$AI$671,1)-1,5,BE415),4,FALSE)),IF(AND(BE415=3,LEFT(BF415,1)="1"),0.48,VLOOKUP(AU415,INDEX((係数_乗用_ガソリン,係数_乗用_CNG,係数_乗用_軽油,係数_乗用_メタノール,係数_乗用_LPG),1,1,BE415):INDEX((係数_乗用_ガソリン,係数_乗用_CNG,係数_乗用_軽油,係数_乗用_メタノール,係数_乗用_LPG),125,5,BE415),4,FALSE)))))</f>
        <v/>
      </c>
      <c r="AL415" s="461" t="str">
        <f t="shared" si="240"/>
        <v/>
      </c>
      <c r="AM415" s="460" t="str">
        <f>IF(AU415="","",IF(OR(AZ415=8,AZ415=9),0,IF(OR(AW415=3,AW415=4,AW415=5,AW415=6),IF(LEFT(BH415,1)="1",INDEX(係数_PM低減,MATCH(AY415,【参考】排出係数!$AI$801:$AI$804,1),MATCH(BI415,【参考】排出係数!$AL$798:$AO$798,1)),VLOOKUP(AU415,INDEX((係数_バス貨物_ガソリン,係数_バス貨物_CNG,係数_バス貨物_軽油,係数_バス貨物_メタノール,係数_バス貨物_LPG),MATCH(AY415,【参考】排出係数!$AI$4:$AI$671,1),1,BE415):INDEX((係数_バス貨物_ガソリン,係数_バス貨物_CNG,係数_バス貨物_軽油,係数_バス貨物_メタノール,係数_バス貨物_LPG),MATCH(AY415+1,【参考】排出係数!$AI$4:$AI$671,1)-1,5,BE415),5,FALSE)),IF(AND(BE415=3,LEFT(BF415,1)="1"),0.055,VLOOKUP(AU415,INDEX((係数_乗用_ガソリン,係数_乗用_CNG,係数_乗用_軽油,係数_乗用_メタノール,係数_乗用_LPG),1,1,BE415):INDEX((係数_乗用_ガソリン,係数_乗用_CNG,係数_乗用_軽油,係数_乗用_メタノール,係数_乗用_LPG),125,5,BE415),5,FALSE)))))</f>
        <v/>
      </c>
      <c r="AN415" s="461" t="str">
        <f t="shared" si="241"/>
        <v/>
      </c>
      <c r="AO415" s="462" t="str">
        <f t="shared" si="242"/>
        <v/>
      </c>
      <c r="AP415" s="463" t="str">
        <f t="shared" si="243"/>
        <v/>
      </c>
      <c r="AQ415" s="464"/>
      <c r="AR415" s="619"/>
      <c r="AS415" s="465" t="str">
        <f t="shared" si="222"/>
        <v/>
      </c>
      <c r="AT415" s="465" t="str">
        <f t="shared" si="223"/>
        <v/>
      </c>
      <c r="AU415" s="466" t="str">
        <f t="shared" si="224"/>
        <v/>
      </c>
      <c r="AV415" s="467" t="str">
        <f t="shared" si="225"/>
        <v/>
      </c>
      <c r="AW415" s="467" t="str">
        <f t="shared" si="226"/>
        <v/>
      </c>
      <c r="AX415" s="467" t="str">
        <f t="shared" si="227"/>
        <v/>
      </c>
      <c r="AY415" s="467" t="str">
        <f t="shared" si="228"/>
        <v/>
      </c>
      <c r="AZ415" s="467" t="str">
        <f t="shared" si="229"/>
        <v/>
      </c>
      <c r="BA415" s="468" t="str">
        <f>IF(AS415="","",IF(OR(AU415="",AU415="-"),"－",IF(OR(AZ415=8,AZ415=9),"",IF(OR(AW415=3,AW415=4,AW415=5,AW415=6),VLOOKUP(AU415,INDEX((係数_バス貨物_ガソリン,係数_バス貨物_CNG,係数_バス貨物_軽油,係数_バス貨物_メタノール,係数_バス貨物_LPG),MATCH(AY415,【参考】排出係数!$AI$4:$AI$671,1),1,BE415):INDEX((係数_バス貨物_ガソリン,係数_バス貨物_CNG,係数_バス貨物_軽油,係数_バス貨物_メタノール,係数_バス貨物_LPG),MATCH(AY415+1,【参考】排出係数!$AI$4:$AI$671,1)-1,5,BE415),2,FALSE),IF(OR(AW415=1,AW415=2),VLOOKUP(AU415,INDEX((係数_乗用_ガソリン,係数_乗用_CNG,係数_乗用_軽油,係数_乗用_メタノール,係数_乗用_LPG),1,1,BE415):INDEX((係数_乗用_ガソリン,係数_乗用_CNG,係数_乗用_軽油,係数_乗用_メタノール,係数_乗用_LPG),125,5,BE415),2,FALSE))))))</f>
        <v/>
      </c>
      <c r="BB415" s="468" t="str">
        <f>IF(T415="","",IF(OR(AU415="",AU415="-"),"－",IF(OR(AZ415=8,AZ415=9),"",IF(OR(AW415=3,AW415=4,AW415=5,AW415=6),VLOOKUP(AU415,INDEX((係数_バス貨物_ガソリン,係数_バス貨物_CNG,係数_バス貨物_軽油,係数_バス貨物_メタノール,係数_バス貨物_LPG),MATCH(AY415,【参考】排出係数!$AI$4:$AI$671,1),1,BE415):INDEX((係数_バス貨物_ガソリン,係数_バス貨物_CNG,係数_バス貨物_軽油,係数_バス貨物_メタノール,係数_バス貨物_LPG),MATCH(AY415+1,【参考】排出係数!$AI$4:$AI$671,1)-1,5,BE415),3,FALSE),IF(OR(AW415=1,AW415=2),VLOOKUP(AU415,INDEX((係数_乗用_ガソリン,係数_乗用_CNG,係数_乗用_軽油,係数_乗用_メタノール,係数_乗用_LPG),1,1,BE415):INDEX((係数_乗用_ガソリン,係数_乗用_CNG,係数_乗用_軽油,係数_乗用_メタノール,係数_乗用_LPG),125,5,BE415),3,FALSE))))))</f>
        <v/>
      </c>
      <c r="BC415" s="467" t="str">
        <f t="shared" si="230"/>
        <v/>
      </c>
      <c r="BD415" s="567" t="str">
        <f t="shared" si="231"/>
        <v/>
      </c>
      <c r="BE415" s="467" t="str">
        <f t="shared" si="232"/>
        <v/>
      </c>
      <c r="BF415" s="469" t="str">
        <f t="shared" ca="1" si="233"/>
        <v/>
      </c>
      <c r="BG415" s="469" t="str">
        <f t="shared" ca="1" si="234"/>
        <v/>
      </c>
      <c r="BH415" s="467" t="str">
        <f t="shared" si="235"/>
        <v/>
      </c>
      <c r="BI415" s="467" t="str">
        <f t="shared" ca="1" si="236"/>
        <v/>
      </c>
      <c r="BJ415" s="469" t="str">
        <f t="shared" si="237"/>
        <v/>
      </c>
      <c r="BK415" s="470" t="str">
        <f t="shared" si="217"/>
        <v/>
      </c>
      <c r="BL415" s="775" t="str">
        <f t="shared" si="238"/>
        <v/>
      </c>
      <c r="BM415" s="775" t="str">
        <f t="shared" si="239"/>
        <v/>
      </c>
    </row>
    <row r="416" spans="1:65">
      <c r="A416" s="473">
        <v>360</v>
      </c>
      <c r="B416" s="132"/>
      <c r="C416" s="332"/>
      <c r="D416" s="333"/>
      <c r="E416" s="333"/>
      <c r="F416" s="334"/>
      <c r="G416" s="337"/>
      <c r="H416" s="131"/>
      <c r="I416" s="337"/>
      <c r="J416" s="131"/>
      <c r="K416" s="458" t="str">
        <f t="shared" si="206"/>
        <v/>
      </c>
      <c r="L416" s="458">
        <f t="shared" si="218"/>
        <v>0</v>
      </c>
      <c r="M416" s="458">
        <f t="shared" si="219"/>
        <v>0</v>
      </c>
      <c r="N416" s="459" t="str">
        <f t="shared" si="207"/>
        <v/>
      </c>
      <c r="O416" s="459" t="str">
        <f t="shared" si="208"/>
        <v/>
      </c>
      <c r="P416" s="459" t="str">
        <f t="shared" si="209"/>
        <v/>
      </c>
      <c r="Q416" s="459" t="str">
        <f t="shared" si="210"/>
        <v/>
      </c>
      <c r="R416" s="459" t="str">
        <f t="shared" si="211"/>
        <v/>
      </c>
      <c r="S416" s="459" t="str">
        <f t="shared" si="212"/>
        <v/>
      </c>
      <c r="T416" s="566" t="str">
        <f t="shared" si="220"/>
        <v/>
      </c>
      <c r="U416" s="702"/>
      <c r="V416" s="132"/>
      <c r="W416" s="133"/>
      <c r="X416" s="134"/>
      <c r="Y416" s="135"/>
      <c r="Z416" s="137"/>
      <c r="AA416" s="136"/>
      <c r="AB416" s="566" t="str">
        <f t="shared" si="213"/>
        <v/>
      </c>
      <c r="AC416" s="568" t="str">
        <f t="shared" si="221"/>
        <v/>
      </c>
      <c r="AD416" s="137"/>
      <c r="AE416" s="137"/>
      <c r="AF416" s="138"/>
      <c r="AG416" s="138"/>
      <c r="AH416" s="592" t="str">
        <f t="shared" si="214"/>
        <v/>
      </c>
      <c r="AI416" s="592" t="str">
        <f t="shared" si="215"/>
        <v/>
      </c>
      <c r="AJ416" s="592" t="str">
        <f t="shared" si="216"/>
        <v/>
      </c>
      <c r="AK416" s="460" t="str">
        <f>IF(AU416="","",IF(OR(AZ416=8,AZ416=9),0,IF(OR(AW416=3,AW416=4,AW416=5,AW416=6),IF(LEFT(BF416,1)="1",INDEX(係数_NOX・PM低減,MATCH(AY416,【参考】排出係数!$AI$801:$AI$804,1),1),VLOOKUP(AU416,INDEX((係数_バス貨物_ガソリン,係数_バス貨物_CNG,係数_バス貨物_軽油,係数_バス貨物_メタノール,係数_バス貨物_LPG),MATCH(AY416,【参考】排出係数!$AI$4:$AI$671,1),1,BE416):INDEX((係数_バス貨物_ガソリン,係数_バス貨物_CNG,係数_バス貨物_軽油,係数_バス貨物_メタノール,係数_バス貨物_LPG),MATCH(AY416+1,【参考】排出係数!$AI$4:$AI$671,1)-1,5,BE416),4,FALSE)),IF(AND(BE416=3,LEFT(BF416,1)="1"),0.48,VLOOKUP(AU416,INDEX((係数_乗用_ガソリン,係数_乗用_CNG,係数_乗用_軽油,係数_乗用_メタノール,係数_乗用_LPG),1,1,BE416):INDEX((係数_乗用_ガソリン,係数_乗用_CNG,係数_乗用_軽油,係数_乗用_メタノール,係数_乗用_LPG),125,5,BE416),4,FALSE)))))</f>
        <v/>
      </c>
      <c r="AL416" s="461" t="str">
        <f t="shared" si="240"/>
        <v/>
      </c>
      <c r="AM416" s="460" t="str">
        <f>IF(AU416="","",IF(OR(AZ416=8,AZ416=9),0,IF(OR(AW416=3,AW416=4,AW416=5,AW416=6),IF(LEFT(BH416,1)="1",INDEX(係数_PM低減,MATCH(AY416,【参考】排出係数!$AI$801:$AI$804,1),MATCH(BI416,【参考】排出係数!$AL$798:$AO$798,1)),VLOOKUP(AU416,INDEX((係数_バス貨物_ガソリン,係数_バス貨物_CNG,係数_バス貨物_軽油,係数_バス貨物_メタノール,係数_バス貨物_LPG),MATCH(AY416,【参考】排出係数!$AI$4:$AI$671,1),1,BE416):INDEX((係数_バス貨物_ガソリン,係数_バス貨物_CNG,係数_バス貨物_軽油,係数_バス貨物_メタノール,係数_バス貨物_LPG),MATCH(AY416+1,【参考】排出係数!$AI$4:$AI$671,1)-1,5,BE416),5,FALSE)),IF(AND(BE416=3,LEFT(BF416,1)="1"),0.055,VLOOKUP(AU416,INDEX((係数_乗用_ガソリン,係数_乗用_CNG,係数_乗用_軽油,係数_乗用_メタノール,係数_乗用_LPG),1,1,BE416):INDEX((係数_乗用_ガソリン,係数_乗用_CNG,係数_乗用_軽油,係数_乗用_メタノール,係数_乗用_LPG),125,5,BE416),5,FALSE)))))</f>
        <v/>
      </c>
      <c r="AN416" s="461" t="str">
        <f t="shared" si="241"/>
        <v/>
      </c>
      <c r="AO416" s="462" t="str">
        <f t="shared" si="242"/>
        <v/>
      </c>
      <c r="AP416" s="463" t="str">
        <f t="shared" si="243"/>
        <v/>
      </c>
      <c r="AQ416" s="464"/>
      <c r="AR416" s="619"/>
      <c r="AS416" s="465" t="str">
        <f t="shared" si="222"/>
        <v/>
      </c>
      <c r="AT416" s="465" t="str">
        <f t="shared" si="223"/>
        <v/>
      </c>
      <c r="AU416" s="466" t="str">
        <f t="shared" si="224"/>
        <v/>
      </c>
      <c r="AV416" s="467" t="str">
        <f t="shared" si="225"/>
        <v/>
      </c>
      <c r="AW416" s="467" t="str">
        <f t="shared" si="226"/>
        <v/>
      </c>
      <c r="AX416" s="467" t="str">
        <f t="shared" si="227"/>
        <v/>
      </c>
      <c r="AY416" s="467" t="str">
        <f t="shared" si="228"/>
        <v/>
      </c>
      <c r="AZ416" s="467" t="str">
        <f t="shared" si="229"/>
        <v/>
      </c>
      <c r="BA416" s="468" t="str">
        <f>IF(AS416="","",IF(OR(AU416="",AU416="-"),"－",IF(OR(AZ416=8,AZ416=9),"",IF(OR(AW416=3,AW416=4,AW416=5,AW416=6),VLOOKUP(AU416,INDEX((係数_バス貨物_ガソリン,係数_バス貨物_CNG,係数_バス貨物_軽油,係数_バス貨物_メタノール,係数_バス貨物_LPG),MATCH(AY416,【参考】排出係数!$AI$4:$AI$671,1),1,BE416):INDEX((係数_バス貨物_ガソリン,係数_バス貨物_CNG,係数_バス貨物_軽油,係数_バス貨物_メタノール,係数_バス貨物_LPG),MATCH(AY416+1,【参考】排出係数!$AI$4:$AI$671,1)-1,5,BE416),2,FALSE),IF(OR(AW416=1,AW416=2),VLOOKUP(AU416,INDEX((係数_乗用_ガソリン,係数_乗用_CNG,係数_乗用_軽油,係数_乗用_メタノール,係数_乗用_LPG),1,1,BE416):INDEX((係数_乗用_ガソリン,係数_乗用_CNG,係数_乗用_軽油,係数_乗用_メタノール,係数_乗用_LPG),125,5,BE416),2,FALSE))))))</f>
        <v/>
      </c>
      <c r="BB416" s="468" t="str">
        <f>IF(T416="","",IF(OR(AU416="",AU416="-"),"－",IF(OR(AZ416=8,AZ416=9),"",IF(OR(AW416=3,AW416=4,AW416=5,AW416=6),VLOOKUP(AU416,INDEX((係数_バス貨物_ガソリン,係数_バス貨物_CNG,係数_バス貨物_軽油,係数_バス貨物_メタノール,係数_バス貨物_LPG),MATCH(AY416,【参考】排出係数!$AI$4:$AI$671,1),1,BE416):INDEX((係数_バス貨物_ガソリン,係数_バス貨物_CNG,係数_バス貨物_軽油,係数_バス貨物_メタノール,係数_バス貨物_LPG),MATCH(AY416+1,【参考】排出係数!$AI$4:$AI$671,1)-1,5,BE416),3,FALSE),IF(OR(AW416=1,AW416=2),VLOOKUP(AU416,INDEX((係数_乗用_ガソリン,係数_乗用_CNG,係数_乗用_軽油,係数_乗用_メタノール,係数_乗用_LPG),1,1,BE416):INDEX((係数_乗用_ガソリン,係数_乗用_CNG,係数_乗用_軽油,係数_乗用_メタノール,係数_乗用_LPG),125,5,BE416),3,FALSE))))))</f>
        <v/>
      </c>
      <c r="BC416" s="467" t="str">
        <f t="shared" si="230"/>
        <v/>
      </c>
      <c r="BD416" s="567" t="str">
        <f t="shared" si="231"/>
        <v/>
      </c>
      <c r="BE416" s="467" t="str">
        <f t="shared" si="232"/>
        <v/>
      </c>
      <c r="BF416" s="469" t="str">
        <f t="shared" ca="1" si="233"/>
        <v/>
      </c>
      <c r="BG416" s="469" t="str">
        <f t="shared" ca="1" si="234"/>
        <v/>
      </c>
      <c r="BH416" s="467" t="str">
        <f t="shared" si="235"/>
        <v/>
      </c>
      <c r="BI416" s="467" t="str">
        <f t="shared" ca="1" si="236"/>
        <v/>
      </c>
      <c r="BJ416" s="469" t="str">
        <f t="shared" si="237"/>
        <v/>
      </c>
      <c r="BK416" s="470" t="str">
        <f t="shared" si="217"/>
        <v/>
      </c>
      <c r="BL416" s="775" t="str">
        <f t="shared" si="238"/>
        <v/>
      </c>
      <c r="BM416" s="775" t="str">
        <f t="shared" si="239"/>
        <v/>
      </c>
    </row>
    <row r="417" spans="1:65">
      <c r="A417" s="473">
        <v>361</v>
      </c>
      <c r="B417" s="132"/>
      <c r="C417" s="332"/>
      <c r="D417" s="333"/>
      <c r="E417" s="333"/>
      <c r="F417" s="334"/>
      <c r="G417" s="337"/>
      <c r="H417" s="131"/>
      <c r="I417" s="337"/>
      <c r="J417" s="131"/>
      <c r="K417" s="458" t="str">
        <f t="shared" si="206"/>
        <v/>
      </c>
      <c r="L417" s="458">
        <f t="shared" si="218"/>
        <v>0</v>
      </c>
      <c r="M417" s="458">
        <f t="shared" si="219"/>
        <v>0</v>
      </c>
      <c r="N417" s="459" t="str">
        <f t="shared" si="207"/>
        <v/>
      </c>
      <c r="O417" s="459" t="str">
        <f t="shared" si="208"/>
        <v/>
      </c>
      <c r="P417" s="459" t="str">
        <f t="shared" si="209"/>
        <v/>
      </c>
      <c r="Q417" s="459" t="str">
        <f t="shared" si="210"/>
        <v/>
      </c>
      <c r="R417" s="459" t="str">
        <f t="shared" si="211"/>
        <v/>
      </c>
      <c r="S417" s="459" t="str">
        <f t="shared" si="212"/>
        <v/>
      </c>
      <c r="T417" s="566" t="str">
        <f t="shared" si="220"/>
        <v/>
      </c>
      <c r="U417" s="702"/>
      <c r="V417" s="132"/>
      <c r="W417" s="133"/>
      <c r="X417" s="134"/>
      <c r="Y417" s="135"/>
      <c r="Z417" s="137"/>
      <c r="AA417" s="136"/>
      <c r="AB417" s="566" t="str">
        <f t="shared" si="213"/>
        <v/>
      </c>
      <c r="AC417" s="568" t="str">
        <f t="shared" si="221"/>
        <v/>
      </c>
      <c r="AD417" s="137"/>
      <c r="AE417" s="137"/>
      <c r="AF417" s="138"/>
      <c r="AG417" s="138"/>
      <c r="AH417" s="592" t="str">
        <f t="shared" si="214"/>
        <v/>
      </c>
      <c r="AI417" s="592" t="str">
        <f t="shared" si="215"/>
        <v/>
      </c>
      <c r="AJ417" s="592" t="str">
        <f t="shared" si="216"/>
        <v/>
      </c>
      <c r="AK417" s="460" t="str">
        <f>IF(AU417="","",IF(OR(AZ417=8,AZ417=9),0,IF(OR(AW417=3,AW417=4,AW417=5,AW417=6),IF(LEFT(BF417,1)="1",INDEX(係数_NOX・PM低減,MATCH(AY417,【参考】排出係数!$AI$801:$AI$804,1),1),VLOOKUP(AU417,INDEX((係数_バス貨物_ガソリン,係数_バス貨物_CNG,係数_バス貨物_軽油,係数_バス貨物_メタノール,係数_バス貨物_LPG),MATCH(AY417,【参考】排出係数!$AI$4:$AI$671,1),1,BE417):INDEX((係数_バス貨物_ガソリン,係数_バス貨物_CNG,係数_バス貨物_軽油,係数_バス貨物_メタノール,係数_バス貨物_LPG),MATCH(AY417+1,【参考】排出係数!$AI$4:$AI$671,1)-1,5,BE417),4,FALSE)),IF(AND(BE417=3,LEFT(BF417,1)="1"),0.48,VLOOKUP(AU417,INDEX((係数_乗用_ガソリン,係数_乗用_CNG,係数_乗用_軽油,係数_乗用_メタノール,係数_乗用_LPG),1,1,BE417):INDEX((係数_乗用_ガソリン,係数_乗用_CNG,係数_乗用_軽油,係数_乗用_メタノール,係数_乗用_LPG),125,5,BE417),4,FALSE)))))</f>
        <v/>
      </c>
      <c r="AL417" s="461" t="str">
        <f t="shared" si="240"/>
        <v/>
      </c>
      <c r="AM417" s="460" t="str">
        <f>IF(AU417="","",IF(OR(AZ417=8,AZ417=9),0,IF(OR(AW417=3,AW417=4,AW417=5,AW417=6),IF(LEFT(BH417,1)="1",INDEX(係数_PM低減,MATCH(AY417,【参考】排出係数!$AI$801:$AI$804,1),MATCH(BI417,【参考】排出係数!$AL$798:$AO$798,1)),VLOOKUP(AU417,INDEX((係数_バス貨物_ガソリン,係数_バス貨物_CNG,係数_バス貨物_軽油,係数_バス貨物_メタノール,係数_バス貨物_LPG),MATCH(AY417,【参考】排出係数!$AI$4:$AI$671,1),1,BE417):INDEX((係数_バス貨物_ガソリン,係数_バス貨物_CNG,係数_バス貨物_軽油,係数_バス貨物_メタノール,係数_バス貨物_LPG),MATCH(AY417+1,【参考】排出係数!$AI$4:$AI$671,1)-1,5,BE417),5,FALSE)),IF(AND(BE417=3,LEFT(BF417,1)="1"),0.055,VLOOKUP(AU417,INDEX((係数_乗用_ガソリン,係数_乗用_CNG,係数_乗用_軽油,係数_乗用_メタノール,係数_乗用_LPG),1,1,BE417):INDEX((係数_乗用_ガソリン,係数_乗用_CNG,係数_乗用_軽油,係数_乗用_メタノール,係数_乗用_LPG),125,5,BE417),5,FALSE)))))</f>
        <v/>
      </c>
      <c r="AN417" s="461" t="str">
        <f t="shared" si="241"/>
        <v/>
      </c>
      <c r="AO417" s="462" t="str">
        <f t="shared" si="242"/>
        <v/>
      </c>
      <c r="AP417" s="463" t="str">
        <f t="shared" si="243"/>
        <v/>
      </c>
      <c r="AQ417" s="464"/>
      <c r="AR417" s="619"/>
      <c r="AS417" s="465" t="str">
        <f t="shared" si="222"/>
        <v/>
      </c>
      <c r="AT417" s="465" t="str">
        <f t="shared" si="223"/>
        <v/>
      </c>
      <c r="AU417" s="466" t="str">
        <f t="shared" si="224"/>
        <v/>
      </c>
      <c r="AV417" s="467" t="str">
        <f t="shared" si="225"/>
        <v/>
      </c>
      <c r="AW417" s="467" t="str">
        <f t="shared" si="226"/>
        <v/>
      </c>
      <c r="AX417" s="467" t="str">
        <f t="shared" si="227"/>
        <v/>
      </c>
      <c r="AY417" s="467" t="str">
        <f t="shared" si="228"/>
        <v/>
      </c>
      <c r="AZ417" s="467" t="str">
        <f t="shared" si="229"/>
        <v/>
      </c>
      <c r="BA417" s="468" t="str">
        <f>IF(AS417="","",IF(OR(AU417="",AU417="-"),"－",IF(OR(AZ417=8,AZ417=9),"",IF(OR(AW417=3,AW417=4,AW417=5,AW417=6),VLOOKUP(AU417,INDEX((係数_バス貨物_ガソリン,係数_バス貨物_CNG,係数_バス貨物_軽油,係数_バス貨物_メタノール,係数_バス貨物_LPG),MATCH(AY417,【参考】排出係数!$AI$4:$AI$671,1),1,BE417):INDEX((係数_バス貨物_ガソリン,係数_バス貨物_CNG,係数_バス貨物_軽油,係数_バス貨物_メタノール,係数_バス貨物_LPG),MATCH(AY417+1,【参考】排出係数!$AI$4:$AI$671,1)-1,5,BE417),2,FALSE),IF(OR(AW417=1,AW417=2),VLOOKUP(AU417,INDEX((係数_乗用_ガソリン,係数_乗用_CNG,係数_乗用_軽油,係数_乗用_メタノール,係数_乗用_LPG),1,1,BE417):INDEX((係数_乗用_ガソリン,係数_乗用_CNG,係数_乗用_軽油,係数_乗用_メタノール,係数_乗用_LPG),125,5,BE417),2,FALSE))))))</f>
        <v/>
      </c>
      <c r="BB417" s="468" t="str">
        <f>IF(T417="","",IF(OR(AU417="",AU417="-"),"－",IF(OR(AZ417=8,AZ417=9),"",IF(OR(AW417=3,AW417=4,AW417=5,AW417=6),VLOOKUP(AU417,INDEX((係数_バス貨物_ガソリン,係数_バス貨物_CNG,係数_バス貨物_軽油,係数_バス貨物_メタノール,係数_バス貨物_LPG),MATCH(AY417,【参考】排出係数!$AI$4:$AI$671,1),1,BE417):INDEX((係数_バス貨物_ガソリン,係数_バス貨物_CNG,係数_バス貨物_軽油,係数_バス貨物_メタノール,係数_バス貨物_LPG),MATCH(AY417+1,【参考】排出係数!$AI$4:$AI$671,1)-1,5,BE417),3,FALSE),IF(OR(AW417=1,AW417=2),VLOOKUP(AU417,INDEX((係数_乗用_ガソリン,係数_乗用_CNG,係数_乗用_軽油,係数_乗用_メタノール,係数_乗用_LPG),1,1,BE417):INDEX((係数_乗用_ガソリン,係数_乗用_CNG,係数_乗用_軽油,係数_乗用_メタノール,係数_乗用_LPG),125,5,BE417),3,FALSE))))))</f>
        <v/>
      </c>
      <c r="BC417" s="467" t="str">
        <f t="shared" si="230"/>
        <v/>
      </c>
      <c r="BD417" s="567" t="str">
        <f t="shared" si="231"/>
        <v/>
      </c>
      <c r="BE417" s="467" t="str">
        <f t="shared" si="232"/>
        <v/>
      </c>
      <c r="BF417" s="469" t="str">
        <f t="shared" ca="1" si="233"/>
        <v/>
      </c>
      <c r="BG417" s="469" t="str">
        <f t="shared" ca="1" si="234"/>
        <v/>
      </c>
      <c r="BH417" s="467" t="str">
        <f t="shared" si="235"/>
        <v/>
      </c>
      <c r="BI417" s="467" t="str">
        <f t="shared" ca="1" si="236"/>
        <v/>
      </c>
      <c r="BJ417" s="469" t="str">
        <f t="shared" si="237"/>
        <v/>
      </c>
      <c r="BK417" s="470" t="str">
        <f t="shared" si="217"/>
        <v/>
      </c>
      <c r="BL417" s="775" t="str">
        <f t="shared" si="238"/>
        <v/>
      </c>
      <c r="BM417" s="775" t="str">
        <f t="shared" si="239"/>
        <v/>
      </c>
    </row>
    <row r="418" spans="1:65">
      <c r="A418" s="473">
        <v>362</v>
      </c>
      <c r="B418" s="132"/>
      <c r="C418" s="332"/>
      <c r="D418" s="333"/>
      <c r="E418" s="333"/>
      <c r="F418" s="334"/>
      <c r="G418" s="337"/>
      <c r="H418" s="131"/>
      <c r="I418" s="337"/>
      <c r="J418" s="131"/>
      <c r="K418" s="458" t="str">
        <f t="shared" si="206"/>
        <v/>
      </c>
      <c r="L418" s="458">
        <f t="shared" si="218"/>
        <v>0</v>
      </c>
      <c r="M418" s="458">
        <f t="shared" si="219"/>
        <v>0</v>
      </c>
      <c r="N418" s="459" t="str">
        <f t="shared" si="207"/>
        <v/>
      </c>
      <c r="O418" s="459" t="str">
        <f t="shared" si="208"/>
        <v/>
      </c>
      <c r="P418" s="459" t="str">
        <f t="shared" si="209"/>
        <v/>
      </c>
      <c r="Q418" s="459" t="str">
        <f t="shared" si="210"/>
        <v/>
      </c>
      <c r="R418" s="459" t="str">
        <f t="shared" si="211"/>
        <v/>
      </c>
      <c r="S418" s="459" t="str">
        <f t="shared" si="212"/>
        <v/>
      </c>
      <c r="T418" s="566" t="str">
        <f t="shared" si="220"/>
        <v/>
      </c>
      <c r="U418" s="702"/>
      <c r="V418" s="132"/>
      <c r="W418" s="133"/>
      <c r="X418" s="134"/>
      <c r="Y418" s="135"/>
      <c r="Z418" s="137"/>
      <c r="AA418" s="136"/>
      <c r="AB418" s="566" t="str">
        <f t="shared" si="213"/>
        <v/>
      </c>
      <c r="AC418" s="568" t="str">
        <f t="shared" si="221"/>
        <v/>
      </c>
      <c r="AD418" s="137"/>
      <c r="AE418" s="137"/>
      <c r="AF418" s="138"/>
      <c r="AG418" s="138"/>
      <c r="AH418" s="592" t="str">
        <f t="shared" si="214"/>
        <v/>
      </c>
      <c r="AI418" s="592" t="str">
        <f t="shared" si="215"/>
        <v/>
      </c>
      <c r="AJ418" s="592" t="str">
        <f t="shared" si="216"/>
        <v/>
      </c>
      <c r="AK418" s="460" t="str">
        <f>IF(AU418="","",IF(OR(AZ418=8,AZ418=9),0,IF(OR(AW418=3,AW418=4,AW418=5,AW418=6),IF(LEFT(BF418,1)="1",INDEX(係数_NOX・PM低減,MATCH(AY418,【参考】排出係数!$AI$801:$AI$804,1),1),VLOOKUP(AU418,INDEX((係数_バス貨物_ガソリン,係数_バス貨物_CNG,係数_バス貨物_軽油,係数_バス貨物_メタノール,係数_バス貨物_LPG),MATCH(AY418,【参考】排出係数!$AI$4:$AI$671,1),1,BE418):INDEX((係数_バス貨物_ガソリン,係数_バス貨物_CNG,係数_バス貨物_軽油,係数_バス貨物_メタノール,係数_バス貨物_LPG),MATCH(AY418+1,【参考】排出係数!$AI$4:$AI$671,1)-1,5,BE418),4,FALSE)),IF(AND(BE418=3,LEFT(BF418,1)="1"),0.48,VLOOKUP(AU418,INDEX((係数_乗用_ガソリン,係数_乗用_CNG,係数_乗用_軽油,係数_乗用_メタノール,係数_乗用_LPG),1,1,BE418):INDEX((係数_乗用_ガソリン,係数_乗用_CNG,係数_乗用_軽油,係数_乗用_メタノール,係数_乗用_LPG),125,5,BE418),4,FALSE)))))</f>
        <v/>
      </c>
      <c r="AL418" s="461" t="str">
        <f t="shared" si="240"/>
        <v/>
      </c>
      <c r="AM418" s="460" t="str">
        <f>IF(AU418="","",IF(OR(AZ418=8,AZ418=9),0,IF(OR(AW418=3,AW418=4,AW418=5,AW418=6),IF(LEFT(BH418,1)="1",INDEX(係数_PM低減,MATCH(AY418,【参考】排出係数!$AI$801:$AI$804,1),MATCH(BI418,【参考】排出係数!$AL$798:$AO$798,1)),VLOOKUP(AU418,INDEX((係数_バス貨物_ガソリン,係数_バス貨物_CNG,係数_バス貨物_軽油,係数_バス貨物_メタノール,係数_バス貨物_LPG),MATCH(AY418,【参考】排出係数!$AI$4:$AI$671,1),1,BE418):INDEX((係数_バス貨物_ガソリン,係数_バス貨物_CNG,係数_バス貨物_軽油,係数_バス貨物_メタノール,係数_バス貨物_LPG),MATCH(AY418+1,【参考】排出係数!$AI$4:$AI$671,1)-1,5,BE418),5,FALSE)),IF(AND(BE418=3,LEFT(BF418,1)="1"),0.055,VLOOKUP(AU418,INDEX((係数_乗用_ガソリン,係数_乗用_CNG,係数_乗用_軽油,係数_乗用_メタノール,係数_乗用_LPG),1,1,BE418):INDEX((係数_乗用_ガソリン,係数_乗用_CNG,係数_乗用_軽油,係数_乗用_メタノール,係数_乗用_LPG),125,5,BE418),5,FALSE)))))</f>
        <v/>
      </c>
      <c r="AN418" s="461" t="str">
        <f t="shared" si="241"/>
        <v/>
      </c>
      <c r="AO418" s="462" t="str">
        <f t="shared" si="242"/>
        <v/>
      </c>
      <c r="AP418" s="463" t="str">
        <f t="shared" si="243"/>
        <v/>
      </c>
      <c r="AQ418" s="464"/>
      <c r="AR418" s="619"/>
      <c r="AS418" s="465" t="str">
        <f t="shared" si="222"/>
        <v/>
      </c>
      <c r="AT418" s="465" t="str">
        <f t="shared" si="223"/>
        <v/>
      </c>
      <c r="AU418" s="466" t="str">
        <f t="shared" si="224"/>
        <v/>
      </c>
      <c r="AV418" s="467" t="str">
        <f t="shared" si="225"/>
        <v/>
      </c>
      <c r="AW418" s="467" t="str">
        <f t="shared" si="226"/>
        <v/>
      </c>
      <c r="AX418" s="467" t="str">
        <f t="shared" si="227"/>
        <v/>
      </c>
      <c r="AY418" s="467" t="str">
        <f t="shared" si="228"/>
        <v/>
      </c>
      <c r="AZ418" s="467" t="str">
        <f t="shared" si="229"/>
        <v/>
      </c>
      <c r="BA418" s="468" t="str">
        <f>IF(AS418="","",IF(OR(AU418="",AU418="-"),"－",IF(OR(AZ418=8,AZ418=9),"",IF(OR(AW418=3,AW418=4,AW418=5,AW418=6),VLOOKUP(AU418,INDEX((係数_バス貨物_ガソリン,係数_バス貨物_CNG,係数_バス貨物_軽油,係数_バス貨物_メタノール,係数_バス貨物_LPG),MATCH(AY418,【参考】排出係数!$AI$4:$AI$671,1),1,BE418):INDEX((係数_バス貨物_ガソリン,係数_バス貨物_CNG,係数_バス貨物_軽油,係数_バス貨物_メタノール,係数_バス貨物_LPG),MATCH(AY418+1,【参考】排出係数!$AI$4:$AI$671,1)-1,5,BE418),2,FALSE),IF(OR(AW418=1,AW418=2),VLOOKUP(AU418,INDEX((係数_乗用_ガソリン,係数_乗用_CNG,係数_乗用_軽油,係数_乗用_メタノール,係数_乗用_LPG),1,1,BE418):INDEX((係数_乗用_ガソリン,係数_乗用_CNG,係数_乗用_軽油,係数_乗用_メタノール,係数_乗用_LPG),125,5,BE418),2,FALSE))))))</f>
        <v/>
      </c>
      <c r="BB418" s="468" t="str">
        <f>IF(T418="","",IF(OR(AU418="",AU418="-"),"－",IF(OR(AZ418=8,AZ418=9),"",IF(OR(AW418=3,AW418=4,AW418=5,AW418=6),VLOOKUP(AU418,INDEX((係数_バス貨物_ガソリン,係数_バス貨物_CNG,係数_バス貨物_軽油,係数_バス貨物_メタノール,係数_バス貨物_LPG),MATCH(AY418,【参考】排出係数!$AI$4:$AI$671,1),1,BE418):INDEX((係数_バス貨物_ガソリン,係数_バス貨物_CNG,係数_バス貨物_軽油,係数_バス貨物_メタノール,係数_バス貨物_LPG),MATCH(AY418+1,【参考】排出係数!$AI$4:$AI$671,1)-1,5,BE418),3,FALSE),IF(OR(AW418=1,AW418=2),VLOOKUP(AU418,INDEX((係数_乗用_ガソリン,係数_乗用_CNG,係数_乗用_軽油,係数_乗用_メタノール,係数_乗用_LPG),1,1,BE418):INDEX((係数_乗用_ガソリン,係数_乗用_CNG,係数_乗用_軽油,係数_乗用_メタノール,係数_乗用_LPG),125,5,BE418),3,FALSE))))))</f>
        <v/>
      </c>
      <c r="BC418" s="467" t="str">
        <f t="shared" si="230"/>
        <v/>
      </c>
      <c r="BD418" s="567" t="str">
        <f t="shared" si="231"/>
        <v/>
      </c>
      <c r="BE418" s="467" t="str">
        <f t="shared" si="232"/>
        <v/>
      </c>
      <c r="BF418" s="469" t="str">
        <f t="shared" ca="1" si="233"/>
        <v/>
      </c>
      <c r="BG418" s="469" t="str">
        <f t="shared" ca="1" si="234"/>
        <v/>
      </c>
      <c r="BH418" s="467" t="str">
        <f t="shared" si="235"/>
        <v/>
      </c>
      <c r="BI418" s="467" t="str">
        <f t="shared" ca="1" si="236"/>
        <v/>
      </c>
      <c r="BJ418" s="469" t="str">
        <f t="shared" si="237"/>
        <v/>
      </c>
      <c r="BK418" s="470" t="str">
        <f t="shared" si="217"/>
        <v/>
      </c>
      <c r="BL418" s="775" t="str">
        <f t="shared" si="238"/>
        <v/>
      </c>
      <c r="BM418" s="775" t="str">
        <f t="shared" si="239"/>
        <v/>
      </c>
    </row>
    <row r="419" spans="1:65">
      <c r="A419" s="473">
        <v>363</v>
      </c>
      <c r="B419" s="132"/>
      <c r="C419" s="332"/>
      <c r="D419" s="333"/>
      <c r="E419" s="333"/>
      <c r="F419" s="334"/>
      <c r="G419" s="337"/>
      <c r="H419" s="131"/>
      <c r="I419" s="337"/>
      <c r="J419" s="131"/>
      <c r="K419" s="458" t="str">
        <f t="shared" si="206"/>
        <v/>
      </c>
      <c r="L419" s="458">
        <f t="shared" si="218"/>
        <v>0</v>
      </c>
      <c r="M419" s="458">
        <f t="shared" si="219"/>
        <v>0</v>
      </c>
      <c r="N419" s="459" t="str">
        <f t="shared" si="207"/>
        <v/>
      </c>
      <c r="O419" s="459" t="str">
        <f t="shared" si="208"/>
        <v/>
      </c>
      <c r="P419" s="459" t="str">
        <f t="shared" si="209"/>
        <v/>
      </c>
      <c r="Q419" s="459" t="str">
        <f t="shared" si="210"/>
        <v/>
      </c>
      <c r="R419" s="459" t="str">
        <f t="shared" si="211"/>
        <v/>
      </c>
      <c r="S419" s="459" t="str">
        <f t="shared" si="212"/>
        <v/>
      </c>
      <c r="T419" s="566" t="str">
        <f t="shared" si="220"/>
        <v/>
      </c>
      <c r="U419" s="702"/>
      <c r="V419" s="132"/>
      <c r="W419" s="133"/>
      <c r="X419" s="134"/>
      <c r="Y419" s="135"/>
      <c r="Z419" s="137"/>
      <c r="AA419" s="136"/>
      <c r="AB419" s="566" t="str">
        <f t="shared" si="213"/>
        <v/>
      </c>
      <c r="AC419" s="568" t="str">
        <f t="shared" si="221"/>
        <v/>
      </c>
      <c r="AD419" s="137"/>
      <c r="AE419" s="137"/>
      <c r="AF419" s="138"/>
      <c r="AG419" s="138"/>
      <c r="AH419" s="592" t="str">
        <f t="shared" si="214"/>
        <v/>
      </c>
      <c r="AI419" s="592" t="str">
        <f t="shared" si="215"/>
        <v/>
      </c>
      <c r="AJ419" s="592" t="str">
        <f t="shared" si="216"/>
        <v/>
      </c>
      <c r="AK419" s="460" t="str">
        <f>IF(AU419="","",IF(OR(AZ419=8,AZ419=9),0,IF(OR(AW419=3,AW419=4,AW419=5,AW419=6),IF(LEFT(BF419,1)="1",INDEX(係数_NOX・PM低減,MATCH(AY419,【参考】排出係数!$AI$801:$AI$804,1),1),VLOOKUP(AU419,INDEX((係数_バス貨物_ガソリン,係数_バス貨物_CNG,係数_バス貨物_軽油,係数_バス貨物_メタノール,係数_バス貨物_LPG),MATCH(AY419,【参考】排出係数!$AI$4:$AI$671,1),1,BE419):INDEX((係数_バス貨物_ガソリン,係数_バス貨物_CNG,係数_バス貨物_軽油,係数_バス貨物_メタノール,係数_バス貨物_LPG),MATCH(AY419+1,【参考】排出係数!$AI$4:$AI$671,1)-1,5,BE419),4,FALSE)),IF(AND(BE419=3,LEFT(BF419,1)="1"),0.48,VLOOKUP(AU419,INDEX((係数_乗用_ガソリン,係数_乗用_CNG,係数_乗用_軽油,係数_乗用_メタノール,係数_乗用_LPG),1,1,BE419):INDEX((係数_乗用_ガソリン,係数_乗用_CNG,係数_乗用_軽油,係数_乗用_メタノール,係数_乗用_LPG),125,5,BE419),4,FALSE)))))</f>
        <v/>
      </c>
      <c r="AL419" s="461" t="str">
        <f t="shared" si="240"/>
        <v/>
      </c>
      <c r="AM419" s="460" t="str">
        <f>IF(AU419="","",IF(OR(AZ419=8,AZ419=9),0,IF(OR(AW419=3,AW419=4,AW419=5,AW419=6),IF(LEFT(BH419,1)="1",INDEX(係数_PM低減,MATCH(AY419,【参考】排出係数!$AI$801:$AI$804,1),MATCH(BI419,【参考】排出係数!$AL$798:$AO$798,1)),VLOOKUP(AU419,INDEX((係数_バス貨物_ガソリン,係数_バス貨物_CNG,係数_バス貨物_軽油,係数_バス貨物_メタノール,係数_バス貨物_LPG),MATCH(AY419,【参考】排出係数!$AI$4:$AI$671,1),1,BE419):INDEX((係数_バス貨物_ガソリン,係数_バス貨物_CNG,係数_バス貨物_軽油,係数_バス貨物_メタノール,係数_バス貨物_LPG),MATCH(AY419+1,【参考】排出係数!$AI$4:$AI$671,1)-1,5,BE419),5,FALSE)),IF(AND(BE419=3,LEFT(BF419,1)="1"),0.055,VLOOKUP(AU419,INDEX((係数_乗用_ガソリン,係数_乗用_CNG,係数_乗用_軽油,係数_乗用_メタノール,係数_乗用_LPG),1,1,BE419):INDEX((係数_乗用_ガソリン,係数_乗用_CNG,係数_乗用_軽油,係数_乗用_メタノール,係数_乗用_LPG),125,5,BE419),5,FALSE)))))</f>
        <v/>
      </c>
      <c r="AN419" s="461" t="str">
        <f t="shared" si="241"/>
        <v/>
      </c>
      <c r="AO419" s="462" t="str">
        <f t="shared" si="242"/>
        <v/>
      </c>
      <c r="AP419" s="463" t="str">
        <f t="shared" si="243"/>
        <v/>
      </c>
      <c r="AQ419" s="464"/>
      <c r="AR419" s="619"/>
      <c r="AS419" s="465" t="str">
        <f t="shared" si="222"/>
        <v/>
      </c>
      <c r="AT419" s="465" t="str">
        <f t="shared" si="223"/>
        <v/>
      </c>
      <c r="AU419" s="466" t="str">
        <f t="shared" si="224"/>
        <v/>
      </c>
      <c r="AV419" s="467" t="str">
        <f t="shared" si="225"/>
        <v/>
      </c>
      <c r="AW419" s="467" t="str">
        <f t="shared" si="226"/>
        <v/>
      </c>
      <c r="AX419" s="467" t="str">
        <f t="shared" si="227"/>
        <v/>
      </c>
      <c r="AY419" s="467" t="str">
        <f t="shared" si="228"/>
        <v/>
      </c>
      <c r="AZ419" s="467" t="str">
        <f t="shared" si="229"/>
        <v/>
      </c>
      <c r="BA419" s="468" t="str">
        <f>IF(AS419="","",IF(OR(AU419="",AU419="-"),"－",IF(OR(AZ419=8,AZ419=9),"",IF(OR(AW419=3,AW419=4,AW419=5,AW419=6),VLOOKUP(AU419,INDEX((係数_バス貨物_ガソリン,係数_バス貨物_CNG,係数_バス貨物_軽油,係数_バス貨物_メタノール,係数_バス貨物_LPG),MATCH(AY419,【参考】排出係数!$AI$4:$AI$671,1),1,BE419):INDEX((係数_バス貨物_ガソリン,係数_バス貨物_CNG,係数_バス貨物_軽油,係数_バス貨物_メタノール,係数_バス貨物_LPG),MATCH(AY419+1,【参考】排出係数!$AI$4:$AI$671,1)-1,5,BE419),2,FALSE),IF(OR(AW419=1,AW419=2),VLOOKUP(AU419,INDEX((係数_乗用_ガソリン,係数_乗用_CNG,係数_乗用_軽油,係数_乗用_メタノール,係数_乗用_LPG),1,1,BE419):INDEX((係数_乗用_ガソリン,係数_乗用_CNG,係数_乗用_軽油,係数_乗用_メタノール,係数_乗用_LPG),125,5,BE419),2,FALSE))))))</f>
        <v/>
      </c>
      <c r="BB419" s="468" t="str">
        <f>IF(T419="","",IF(OR(AU419="",AU419="-"),"－",IF(OR(AZ419=8,AZ419=9),"",IF(OR(AW419=3,AW419=4,AW419=5,AW419=6),VLOOKUP(AU419,INDEX((係数_バス貨物_ガソリン,係数_バス貨物_CNG,係数_バス貨物_軽油,係数_バス貨物_メタノール,係数_バス貨物_LPG),MATCH(AY419,【参考】排出係数!$AI$4:$AI$671,1),1,BE419):INDEX((係数_バス貨物_ガソリン,係数_バス貨物_CNG,係数_バス貨物_軽油,係数_バス貨物_メタノール,係数_バス貨物_LPG),MATCH(AY419+1,【参考】排出係数!$AI$4:$AI$671,1)-1,5,BE419),3,FALSE),IF(OR(AW419=1,AW419=2),VLOOKUP(AU419,INDEX((係数_乗用_ガソリン,係数_乗用_CNG,係数_乗用_軽油,係数_乗用_メタノール,係数_乗用_LPG),1,1,BE419):INDEX((係数_乗用_ガソリン,係数_乗用_CNG,係数_乗用_軽油,係数_乗用_メタノール,係数_乗用_LPG),125,5,BE419),3,FALSE))))))</f>
        <v/>
      </c>
      <c r="BC419" s="467" t="str">
        <f t="shared" si="230"/>
        <v/>
      </c>
      <c r="BD419" s="567" t="str">
        <f t="shared" si="231"/>
        <v/>
      </c>
      <c r="BE419" s="467" t="str">
        <f t="shared" si="232"/>
        <v/>
      </c>
      <c r="BF419" s="469" t="str">
        <f t="shared" ca="1" si="233"/>
        <v/>
      </c>
      <c r="BG419" s="469" t="str">
        <f t="shared" ca="1" si="234"/>
        <v/>
      </c>
      <c r="BH419" s="467" t="str">
        <f t="shared" si="235"/>
        <v/>
      </c>
      <c r="BI419" s="467" t="str">
        <f t="shared" ca="1" si="236"/>
        <v/>
      </c>
      <c r="BJ419" s="469" t="str">
        <f t="shared" si="237"/>
        <v/>
      </c>
      <c r="BK419" s="470" t="str">
        <f t="shared" si="217"/>
        <v/>
      </c>
      <c r="BL419" s="775" t="str">
        <f t="shared" si="238"/>
        <v/>
      </c>
      <c r="BM419" s="775" t="str">
        <f t="shared" si="239"/>
        <v/>
      </c>
    </row>
    <row r="420" spans="1:65">
      <c r="A420" s="473">
        <v>364</v>
      </c>
      <c r="B420" s="132"/>
      <c r="C420" s="332"/>
      <c r="D420" s="333"/>
      <c r="E420" s="333"/>
      <c r="F420" s="334"/>
      <c r="G420" s="337"/>
      <c r="H420" s="131"/>
      <c r="I420" s="337"/>
      <c r="J420" s="131"/>
      <c r="K420" s="458" t="str">
        <f t="shared" si="206"/>
        <v/>
      </c>
      <c r="L420" s="458">
        <f t="shared" si="218"/>
        <v>0</v>
      </c>
      <c r="M420" s="458">
        <f t="shared" si="219"/>
        <v>0</v>
      </c>
      <c r="N420" s="459" t="str">
        <f t="shared" si="207"/>
        <v/>
      </c>
      <c r="O420" s="459" t="str">
        <f t="shared" si="208"/>
        <v/>
      </c>
      <c r="P420" s="459" t="str">
        <f t="shared" si="209"/>
        <v/>
      </c>
      <c r="Q420" s="459" t="str">
        <f t="shared" si="210"/>
        <v/>
      </c>
      <c r="R420" s="459" t="str">
        <f t="shared" si="211"/>
        <v/>
      </c>
      <c r="S420" s="459" t="str">
        <f t="shared" si="212"/>
        <v/>
      </c>
      <c r="T420" s="566" t="str">
        <f t="shared" si="220"/>
        <v/>
      </c>
      <c r="U420" s="702"/>
      <c r="V420" s="132"/>
      <c r="W420" s="133"/>
      <c r="X420" s="134"/>
      <c r="Y420" s="135"/>
      <c r="Z420" s="137"/>
      <c r="AA420" s="136"/>
      <c r="AB420" s="566" t="str">
        <f t="shared" si="213"/>
        <v/>
      </c>
      <c r="AC420" s="568" t="str">
        <f t="shared" si="221"/>
        <v/>
      </c>
      <c r="AD420" s="137"/>
      <c r="AE420" s="137"/>
      <c r="AF420" s="138"/>
      <c r="AG420" s="138"/>
      <c r="AH420" s="592" t="str">
        <f t="shared" si="214"/>
        <v/>
      </c>
      <c r="AI420" s="592" t="str">
        <f t="shared" si="215"/>
        <v/>
      </c>
      <c r="AJ420" s="592" t="str">
        <f t="shared" si="216"/>
        <v/>
      </c>
      <c r="AK420" s="460" t="str">
        <f>IF(AU420="","",IF(OR(AZ420=8,AZ420=9),0,IF(OR(AW420=3,AW420=4,AW420=5,AW420=6),IF(LEFT(BF420,1)="1",INDEX(係数_NOX・PM低減,MATCH(AY420,【参考】排出係数!$AI$801:$AI$804,1),1),VLOOKUP(AU420,INDEX((係数_バス貨物_ガソリン,係数_バス貨物_CNG,係数_バス貨物_軽油,係数_バス貨物_メタノール,係数_バス貨物_LPG),MATCH(AY420,【参考】排出係数!$AI$4:$AI$671,1),1,BE420):INDEX((係数_バス貨物_ガソリン,係数_バス貨物_CNG,係数_バス貨物_軽油,係数_バス貨物_メタノール,係数_バス貨物_LPG),MATCH(AY420+1,【参考】排出係数!$AI$4:$AI$671,1)-1,5,BE420),4,FALSE)),IF(AND(BE420=3,LEFT(BF420,1)="1"),0.48,VLOOKUP(AU420,INDEX((係数_乗用_ガソリン,係数_乗用_CNG,係数_乗用_軽油,係数_乗用_メタノール,係数_乗用_LPG),1,1,BE420):INDEX((係数_乗用_ガソリン,係数_乗用_CNG,係数_乗用_軽油,係数_乗用_メタノール,係数_乗用_LPG),125,5,BE420),4,FALSE)))))</f>
        <v/>
      </c>
      <c r="AL420" s="461" t="str">
        <f t="shared" si="240"/>
        <v/>
      </c>
      <c r="AM420" s="460" t="str">
        <f>IF(AU420="","",IF(OR(AZ420=8,AZ420=9),0,IF(OR(AW420=3,AW420=4,AW420=5,AW420=6),IF(LEFT(BH420,1)="1",INDEX(係数_PM低減,MATCH(AY420,【参考】排出係数!$AI$801:$AI$804,1),MATCH(BI420,【参考】排出係数!$AL$798:$AO$798,1)),VLOOKUP(AU420,INDEX((係数_バス貨物_ガソリン,係数_バス貨物_CNG,係数_バス貨物_軽油,係数_バス貨物_メタノール,係数_バス貨物_LPG),MATCH(AY420,【参考】排出係数!$AI$4:$AI$671,1),1,BE420):INDEX((係数_バス貨物_ガソリン,係数_バス貨物_CNG,係数_バス貨物_軽油,係数_バス貨物_メタノール,係数_バス貨物_LPG),MATCH(AY420+1,【参考】排出係数!$AI$4:$AI$671,1)-1,5,BE420),5,FALSE)),IF(AND(BE420=3,LEFT(BF420,1)="1"),0.055,VLOOKUP(AU420,INDEX((係数_乗用_ガソリン,係数_乗用_CNG,係数_乗用_軽油,係数_乗用_メタノール,係数_乗用_LPG),1,1,BE420):INDEX((係数_乗用_ガソリン,係数_乗用_CNG,係数_乗用_軽油,係数_乗用_メタノール,係数_乗用_LPG),125,5,BE420),5,FALSE)))))</f>
        <v/>
      </c>
      <c r="AN420" s="461" t="str">
        <f t="shared" si="241"/>
        <v/>
      </c>
      <c r="AO420" s="462" t="str">
        <f t="shared" si="242"/>
        <v/>
      </c>
      <c r="AP420" s="463" t="str">
        <f t="shared" si="243"/>
        <v/>
      </c>
      <c r="AQ420" s="464"/>
      <c r="AR420" s="619"/>
      <c r="AS420" s="465" t="str">
        <f t="shared" si="222"/>
        <v/>
      </c>
      <c r="AT420" s="465" t="str">
        <f t="shared" si="223"/>
        <v/>
      </c>
      <c r="AU420" s="466" t="str">
        <f t="shared" si="224"/>
        <v/>
      </c>
      <c r="AV420" s="467" t="str">
        <f t="shared" si="225"/>
        <v/>
      </c>
      <c r="AW420" s="467" t="str">
        <f t="shared" si="226"/>
        <v/>
      </c>
      <c r="AX420" s="467" t="str">
        <f t="shared" si="227"/>
        <v/>
      </c>
      <c r="AY420" s="467" t="str">
        <f t="shared" si="228"/>
        <v/>
      </c>
      <c r="AZ420" s="467" t="str">
        <f t="shared" si="229"/>
        <v/>
      </c>
      <c r="BA420" s="468" t="str">
        <f>IF(AS420="","",IF(OR(AU420="",AU420="-"),"－",IF(OR(AZ420=8,AZ420=9),"",IF(OR(AW420=3,AW420=4,AW420=5,AW420=6),VLOOKUP(AU420,INDEX((係数_バス貨物_ガソリン,係数_バス貨物_CNG,係数_バス貨物_軽油,係数_バス貨物_メタノール,係数_バス貨物_LPG),MATCH(AY420,【参考】排出係数!$AI$4:$AI$671,1),1,BE420):INDEX((係数_バス貨物_ガソリン,係数_バス貨物_CNG,係数_バス貨物_軽油,係数_バス貨物_メタノール,係数_バス貨物_LPG),MATCH(AY420+1,【参考】排出係数!$AI$4:$AI$671,1)-1,5,BE420),2,FALSE),IF(OR(AW420=1,AW420=2),VLOOKUP(AU420,INDEX((係数_乗用_ガソリン,係数_乗用_CNG,係数_乗用_軽油,係数_乗用_メタノール,係数_乗用_LPG),1,1,BE420):INDEX((係数_乗用_ガソリン,係数_乗用_CNG,係数_乗用_軽油,係数_乗用_メタノール,係数_乗用_LPG),125,5,BE420),2,FALSE))))))</f>
        <v/>
      </c>
      <c r="BB420" s="468" t="str">
        <f>IF(T420="","",IF(OR(AU420="",AU420="-"),"－",IF(OR(AZ420=8,AZ420=9),"",IF(OR(AW420=3,AW420=4,AW420=5,AW420=6),VLOOKUP(AU420,INDEX((係数_バス貨物_ガソリン,係数_バス貨物_CNG,係数_バス貨物_軽油,係数_バス貨物_メタノール,係数_バス貨物_LPG),MATCH(AY420,【参考】排出係数!$AI$4:$AI$671,1),1,BE420):INDEX((係数_バス貨物_ガソリン,係数_バス貨物_CNG,係数_バス貨物_軽油,係数_バス貨物_メタノール,係数_バス貨物_LPG),MATCH(AY420+1,【参考】排出係数!$AI$4:$AI$671,1)-1,5,BE420),3,FALSE),IF(OR(AW420=1,AW420=2),VLOOKUP(AU420,INDEX((係数_乗用_ガソリン,係数_乗用_CNG,係数_乗用_軽油,係数_乗用_メタノール,係数_乗用_LPG),1,1,BE420):INDEX((係数_乗用_ガソリン,係数_乗用_CNG,係数_乗用_軽油,係数_乗用_メタノール,係数_乗用_LPG),125,5,BE420),3,FALSE))))))</f>
        <v/>
      </c>
      <c r="BC420" s="467" t="str">
        <f t="shared" si="230"/>
        <v/>
      </c>
      <c r="BD420" s="567" t="str">
        <f t="shared" si="231"/>
        <v/>
      </c>
      <c r="BE420" s="467" t="str">
        <f t="shared" si="232"/>
        <v/>
      </c>
      <c r="BF420" s="469" t="str">
        <f t="shared" ca="1" si="233"/>
        <v/>
      </c>
      <c r="BG420" s="469" t="str">
        <f t="shared" ca="1" si="234"/>
        <v/>
      </c>
      <c r="BH420" s="467" t="str">
        <f t="shared" si="235"/>
        <v/>
      </c>
      <c r="BI420" s="467" t="str">
        <f t="shared" ca="1" si="236"/>
        <v/>
      </c>
      <c r="BJ420" s="469" t="str">
        <f t="shared" si="237"/>
        <v/>
      </c>
      <c r="BK420" s="470" t="str">
        <f t="shared" si="217"/>
        <v/>
      </c>
      <c r="BL420" s="775" t="str">
        <f t="shared" si="238"/>
        <v/>
      </c>
      <c r="BM420" s="775" t="str">
        <f t="shared" si="239"/>
        <v/>
      </c>
    </row>
    <row r="421" spans="1:65">
      <c r="A421" s="473">
        <v>365</v>
      </c>
      <c r="B421" s="132"/>
      <c r="C421" s="332"/>
      <c r="D421" s="333"/>
      <c r="E421" s="333"/>
      <c r="F421" s="334"/>
      <c r="G421" s="337"/>
      <c r="H421" s="131"/>
      <c r="I421" s="337"/>
      <c r="J421" s="131"/>
      <c r="K421" s="458" t="str">
        <f t="shared" si="206"/>
        <v/>
      </c>
      <c r="L421" s="458">
        <f t="shared" si="218"/>
        <v>0</v>
      </c>
      <c r="M421" s="458">
        <f t="shared" si="219"/>
        <v>0</v>
      </c>
      <c r="N421" s="459" t="str">
        <f t="shared" si="207"/>
        <v/>
      </c>
      <c r="O421" s="459" t="str">
        <f t="shared" si="208"/>
        <v/>
      </c>
      <c r="P421" s="459" t="str">
        <f t="shared" si="209"/>
        <v/>
      </c>
      <c r="Q421" s="459" t="str">
        <f t="shared" si="210"/>
        <v/>
      </c>
      <c r="R421" s="459" t="str">
        <f t="shared" si="211"/>
        <v/>
      </c>
      <c r="S421" s="459" t="str">
        <f t="shared" si="212"/>
        <v/>
      </c>
      <c r="T421" s="566" t="str">
        <f t="shared" si="220"/>
        <v/>
      </c>
      <c r="U421" s="702"/>
      <c r="V421" s="132"/>
      <c r="W421" s="133"/>
      <c r="X421" s="134"/>
      <c r="Y421" s="135"/>
      <c r="Z421" s="137"/>
      <c r="AA421" s="136"/>
      <c r="AB421" s="566" t="str">
        <f t="shared" si="213"/>
        <v/>
      </c>
      <c r="AC421" s="568" t="str">
        <f t="shared" si="221"/>
        <v/>
      </c>
      <c r="AD421" s="137"/>
      <c r="AE421" s="137"/>
      <c r="AF421" s="138"/>
      <c r="AG421" s="138"/>
      <c r="AH421" s="592" t="str">
        <f t="shared" si="214"/>
        <v/>
      </c>
      <c r="AI421" s="592" t="str">
        <f t="shared" si="215"/>
        <v/>
      </c>
      <c r="AJ421" s="592" t="str">
        <f t="shared" si="216"/>
        <v/>
      </c>
      <c r="AK421" s="460" t="str">
        <f>IF(AU421="","",IF(OR(AZ421=8,AZ421=9),0,IF(OR(AW421=3,AW421=4,AW421=5,AW421=6),IF(LEFT(BF421,1)="1",INDEX(係数_NOX・PM低減,MATCH(AY421,【参考】排出係数!$AI$801:$AI$804,1),1),VLOOKUP(AU421,INDEX((係数_バス貨物_ガソリン,係数_バス貨物_CNG,係数_バス貨物_軽油,係数_バス貨物_メタノール,係数_バス貨物_LPG),MATCH(AY421,【参考】排出係数!$AI$4:$AI$671,1),1,BE421):INDEX((係数_バス貨物_ガソリン,係数_バス貨物_CNG,係数_バス貨物_軽油,係数_バス貨物_メタノール,係数_バス貨物_LPG),MATCH(AY421+1,【参考】排出係数!$AI$4:$AI$671,1)-1,5,BE421),4,FALSE)),IF(AND(BE421=3,LEFT(BF421,1)="1"),0.48,VLOOKUP(AU421,INDEX((係数_乗用_ガソリン,係数_乗用_CNG,係数_乗用_軽油,係数_乗用_メタノール,係数_乗用_LPG),1,1,BE421):INDEX((係数_乗用_ガソリン,係数_乗用_CNG,係数_乗用_軽油,係数_乗用_メタノール,係数_乗用_LPG),125,5,BE421),4,FALSE)))))</f>
        <v/>
      </c>
      <c r="AL421" s="461" t="str">
        <f t="shared" si="240"/>
        <v/>
      </c>
      <c r="AM421" s="460" t="str">
        <f>IF(AU421="","",IF(OR(AZ421=8,AZ421=9),0,IF(OR(AW421=3,AW421=4,AW421=5,AW421=6),IF(LEFT(BH421,1)="1",INDEX(係数_PM低減,MATCH(AY421,【参考】排出係数!$AI$801:$AI$804,1),MATCH(BI421,【参考】排出係数!$AL$798:$AO$798,1)),VLOOKUP(AU421,INDEX((係数_バス貨物_ガソリン,係数_バス貨物_CNG,係数_バス貨物_軽油,係数_バス貨物_メタノール,係数_バス貨物_LPG),MATCH(AY421,【参考】排出係数!$AI$4:$AI$671,1),1,BE421):INDEX((係数_バス貨物_ガソリン,係数_バス貨物_CNG,係数_バス貨物_軽油,係数_バス貨物_メタノール,係数_バス貨物_LPG),MATCH(AY421+1,【参考】排出係数!$AI$4:$AI$671,1)-1,5,BE421),5,FALSE)),IF(AND(BE421=3,LEFT(BF421,1)="1"),0.055,VLOOKUP(AU421,INDEX((係数_乗用_ガソリン,係数_乗用_CNG,係数_乗用_軽油,係数_乗用_メタノール,係数_乗用_LPG),1,1,BE421):INDEX((係数_乗用_ガソリン,係数_乗用_CNG,係数_乗用_軽油,係数_乗用_メタノール,係数_乗用_LPG),125,5,BE421),5,FALSE)))))</f>
        <v/>
      </c>
      <c r="AN421" s="461" t="str">
        <f t="shared" si="241"/>
        <v/>
      </c>
      <c r="AO421" s="462" t="str">
        <f t="shared" si="242"/>
        <v/>
      </c>
      <c r="AP421" s="463" t="str">
        <f t="shared" si="243"/>
        <v/>
      </c>
      <c r="AQ421" s="464"/>
      <c r="AR421" s="619"/>
      <c r="AS421" s="465" t="str">
        <f t="shared" si="222"/>
        <v/>
      </c>
      <c r="AT421" s="465" t="str">
        <f t="shared" si="223"/>
        <v/>
      </c>
      <c r="AU421" s="466" t="str">
        <f t="shared" si="224"/>
        <v/>
      </c>
      <c r="AV421" s="467" t="str">
        <f t="shared" si="225"/>
        <v/>
      </c>
      <c r="AW421" s="467" t="str">
        <f t="shared" si="226"/>
        <v/>
      </c>
      <c r="AX421" s="467" t="str">
        <f t="shared" si="227"/>
        <v/>
      </c>
      <c r="AY421" s="467" t="str">
        <f t="shared" si="228"/>
        <v/>
      </c>
      <c r="AZ421" s="467" t="str">
        <f t="shared" si="229"/>
        <v/>
      </c>
      <c r="BA421" s="468" t="str">
        <f>IF(AS421="","",IF(OR(AU421="",AU421="-"),"－",IF(OR(AZ421=8,AZ421=9),"",IF(OR(AW421=3,AW421=4,AW421=5,AW421=6),VLOOKUP(AU421,INDEX((係数_バス貨物_ガソリン,係数_バス貨物_CNG,係数_バス貨物_軽油,係数_バス貨物_メタノール,係数_バス貨物_LPG),MATCH(AY421,【参考】排出係数!$AI$4:$AI$671,1),1,BE421):INDEX((係数_バス貨物_ガソリン,係数_バス貨物_CNG,係数_バス貨物_軽油,係数_バス貨物_メタノール,係数_バス貨物_LPG),MATCH(AY421+1,【参考】排出係数!$AI$4:$AI$671,1)-1,5,BE421),2,FALSE),IF(OR(AW421=1,AW421=2),VLOOKUP(AU421,INDEX((係数_乗用_ガソリン,係数_乗用_CNG,係数_乗用_軽油,係数_乗用_メタノール,係数_乗用_LPG),1,1,BE421):INDEX((係数_乗用_ガソリン,係数_乗用_CNG,係数_乗用_軽油,係数_乗用_メタノール,係数_乗用_LPG),125,5,BE421),2,FALSE))))))</f>
        <v/>
      </c>
      <c r="BB421" s="468" t="str">
        <f>IF(T421="","",IF(OR(AU421="",AU421="-"),"－",IF(OR(AZ421=8,AZ421=9),"",IF(OR(AW421=3,AW421=4,AW421=5,AW421=6),VLOOKUP(AU421,INDEX((係数_バス貨物_ガソリン,係数_バス貨物_CNG,係数_バス貨物_軽油,係数_バス貨物_メタノール,係数_バス貨物_LPG),MATCH(AY421,【参考】排出係数!$AI$4:$AI$671,1),1,BE421):INDEX((係数_バス貨物_ガソリン,係数_バス貨物_CNG,係数_バス貨物_軽油,係数_バス貨物_メタノール,係数_バス貨物_LPG),MATCH(AY421+1,【参考】排出係数!$AI$4:$AI$671,1)-1,5,BE421),3,FALSE),IF(OR(AW421=1,AW421=2),VLOOKUP(AU421,INDEX((係数_乗用_ガソリン,係数_乗用_CNG,係数_乗用_軽油,係数_乗用_メタノール,係数_乗用_LPG),1,1,BE421):INDEX((係数_乗用_ガソリン,係数_乗用_CNG,係数_乗用_軽油,係数_乗用_メタノール,係数_乗用_LPG),125,5,BE421),3,FALSE))))))</f>
        <v/>
      </c>
      <c r="BC421" s="467" t="str">
        <f t="shared" si="230"/>
        <v/>
      </c>
      <c r="BD421" s="567" t="str">
        <f t="shared" si="231"/>
        <v/>
      </c>
      <c r="BE421" s="467" t="str">
        <f t="shared" si="232"/>
        <v/>
      </c>
      <c r="BF421" s="469" t="str">
        <f t="shared" ca="1" si="233"/>
        <v/>
      </c>
      <c r="BG421" s="469" t="str">
        <f t="shared" ca="1" si="234"/>
        <v/>
      </c>
      <c r="BH421" s="467" t="str">
        <f t="shared" si="235"/>
        <v/>
      </c>
      <c r="BI421" s="467" t="str">
        <f t="shared" ca="1" si="236"/>
        <v/>
      </c>
      <c r="BJ421" s="469" t="str">
        <f t="shared" si="237"/>
        <v/>
      </c>
      <c r="BK421" s="470" t="str">
        <f t="shared" si="217"/>
        <v/>
      </c>
      <c r="BL421" s="775" t="str">
        <f t="shared" si="238"/>
        <v/>
      </c>
      <c r="BM421" s="775" t="str">
        <f t="shared" si="239"/>
        <v/>
      </c>
    </row>
    <row r="422" spans="1:65">
      <c r="A422" s="473">
        <v>366</v>
      </c>
      <c r="B422" s="132"/>
      <c r="C422" s="332"/>
      <c r="D422" s="333"/>
      <c r="E422" s="333"/>
      <c r="F422" s="334"/>
      <c r="G422" s="337"/>
      <c r="H422" s="131"/>
      <c r="I422" s="337"/>
      <c r="J422" s="131"/>
      <c r="K422" s="458" t="str">
        <f t="shared" si="206"/>
        <v/>
      </c>
      <c r="L422" s="458">
        <f t="shared" si="218"/>
        <v>0</v>
      </c>
      <c r="M422" s="458">
        <f t="shared" si="219"/>
        <v>0</v>
      </c>
      <c r="N422" s="459" t="str">
        <f t="shared" si="207"/>
        <v/>
      </c>
      <c r="O422" s="459" t="str">
        <f t="shared" si="208"/>
        <v/>
      </c>
      <c r="P422" s="459" t="str">
        <f t="shared" si="209"/>
        <v/>
      </c>
      <c r="Q422" s="459" t="str">
        <f t="shared" si="210"/>
        <v/>
      </c>
      <c r="R422" s="459" t="str">
        <f t="shared" si="211"/>
        <v/>
      </c>
      <c r="S422" s="459" t="str">
        <f t="shared" si="212"/>
        <v/>
      </c>
      <c r="T422" s="566" t="str">
        <f t="shared" si="220"/>
        <v/>
      </c>
      <c r="U422" s="702"/>
      <c r="V422" s="132"/>
      <c r="W422" s="133"/>
      <c r="X422" s="134"/>
      <c r="Y422" s="135"/>
      <c r="Z422" s="137"/>
      <c r="AA422" s="136"/>
      <c r="AB422" s="566" t="str">
        <f t="shared" si="213"/>
        <v/>
      </c>
      <c r="AC422" s="568" t="str">
        <f t="shared" si="221"/>
        <v/>
      </c>
      <c r="AD422" s="137"/>
      <c r="AE422" s="137"/>
      <c r="AF422" s="138"/>
      <c r="AG422" s="138"/>
      <c r="AH422" s="592" t="str">
        <f t="shared" si="214"/>
        <v/>
      </c>
      <c r="AI422" s="592" t="str">
        <f t="shared" si="215"/>
        <v/>
      </c>
      <c r="AJ422" s="592" t="str">
        <f t="shared" si="216"/>
        <v/>
      </c>
      <c r="AK422" s="460" t="str">
        <f>IF(AU422="","",IF(OR(AZ422=8,AZ422=9),0,IF(OR(AW422=3,AW422=4,AW422=5,AW422=6),IF(LEFT(BF422,1)="1",INDEX(係数_NOX・PM低減,MATCH(AY422,【参考】排出係数!$AI$801:$AI$804,1),1),VLOOKUP(AU422,INDEX((係数_バス貨物_ガソリン,係数_バス貨物_CNG,係数_バス貨物_軽油,係数_バス貨物_メタノール,係数_バス貨物_LPG),MATCH(AY422,【参考】排出係数!$AI$4:$AI$671,1),1,BE422):INDEX((係数_バス貨物_ガソリン,係数_バス貨物_CNG,係数_バス貨物_軽油,係数_バス貨物_メタノール,係数_バス貨物_LPG),MATCH(AY422+1,【参考】排出係数!$AI$4:$AI$671,1)-1,5,BE422),4,FALSE)),IF(AND(BE422=3,LEFT(BF422,1)="1"),0.48,VLOOKUP(AU422,INDEX((係数_乗用_ガソリン,係数_乗用_CNG,係数_乗用_軽油,係数_乗用_メタノール,係数_乗用_LPG),1,1,BE422):INDEX((係数_乗用_ガソリン,係数_乗用_CNG,係数_乗用_軽油,係数_乗用_メタノール,係数_乗用_LPG),125,5,BE422),4,FALSE)))))</f>
        <v/>
      </c>
      <c r="AL422" s="461" t="str">
        <f t="shared" si="240"/>
        <v/>
      </c>
      <c r="AM422" s="460" t="str">
        <f>IF(AU422="","",IF(OR(AZ422=8,AZ422=9),0,IF(OR(AW422=3,AW422=4,AW422=5,AW422=6),IF(LEFT(BH422,1)="1",INDEX(係数_PM低減,MATCH(AY422,【参考】排出係数!$AI$801:$AI$804,1),MATCH(BI422,【参考】排出係数!$AL$798:$AO$798,1)),VLOOKUP(AU422,INDEX((係数_バス貨物_ガソリン,係数_バス貨物_CNG,係数_バス貨物_軽油,係数_バス貨物_メタノール,係数_バス貨物_LPG),MATCH(AY422,【参考】排出係数!$AI$4:$AI$671,1),1,BE422):INDEX((係数_バス貨物_ガソリン,係数_バス貨物_CNG,係数_バス貨物_軽油,係数_バス貨物_メタノール,係数_バス貨物_LPG),MATCH(AY422+1,【参考】排出係数!$AI$4:$AI$671,1)-1,5,BE422),5,FALSE)),IF(AND(BE422=3,LEFT(BF422,1)="1"),0.055,VLOOKUP(AU422,INDEX((係数_乗用_ガソリン,係数_乗用_CNG,係数_乗用_軽油,係数_乗用_メタノール,係数_乗用_LPG),1,1,BE422):INDEX((係数_乗用_ガソリン,係数_乗用_CNG,係数_乗用_軽油,係数_乗用_メタノール,係数_乗用_LPG),125,5,BE422),5,FALSE)))))</f>
        <v/>
      </c>
      <c r="AN422" s="461" t="str">
        <f t="shared" si="241"/>
        <v/>
      </c>
      <c r="AO422" s="462" t="str">
        <f t="shared" si="242"/>
        <v/>
      </c>
      <c r="AP422" s="463" t="str">
        <f t="shared" si="243"/>
        <v/>
      </c>
      <c r="AQ422" s="464"/>
      <c r="AR422" s="619"/>
      <c r="AS422" s="465" t="str">
        <f t="shared" si="222"/>
        <v/>
      </c>
      <c r="AT422" s="465" t="str">
        <f t="shared" si="223"/>
        <v/>
      </c>
      <c r="AU422" s="466" t="str">
        <f t="shared" si="224"/>
        <v/>
      </c>
      <c r="AV422" s="467" t="str">
        <f t="shared" si="225"/>
        <v/>
      </c>
      <c r="AW422" s="467" t="str">
        <f t="shared" si="226"/>
        <v/>
      </c>
      <c r="AX422" s="467" t="str">
        <f t="shared" si="227"/>
        <v/>
      </c>
      <c r="AY422" s="467" t="str">
        <f t="shared" si="228"/>
        <v/>
      </c>
      <c r="AZ422" s="467" t="str">
        <f t="shared" si="229"/>
        <v/>
      </c>
      <c r="BA422" s="468" t="str">
        <f>IF(AS422="","",IF(OR(AU422="",AU422="-"),"－",IF(OR(AZ422=8,AZ422=9),"",IF(OR(AW422=3,AW422=4,AW422=5,AW422=6),VLOOKUP(AU422,INDEX((係数_バス貨物_ガソリン,係数_バス貨物_CNG,係数_バス貨物_軽油,係数_バス貨物_メタノール,係数_バス貨物_LPG),MATCH(AY422,【参考】排出係数!$AI$4:$AI$671,1),1,BE422):INDEX((係数_バス貨物_ガソリン,係数_バス貨物_CNG,係数_バス貨物_軽油,係数_バス貨物_メタノール,係数_バス貨物_LPG),MATCH(AY422+1,【参考】排出係数!$AI$4:$AI$671,1)-1,5,BE422),2,FALSE),IF(OR(AW422=1,AW422=2),VLOOKUP(AU422,INDEX((係数_乗用_ガソリン,係数_乗用_CNG,係数_乗用_軽油,係数_乗用_メタノール,係数_乗用_LPG),1,1,BE422):INDEX((係数_乗用_ガソリン,係数_乗用_CNG,係数_乗用_軽油,係数_乗用_メタノール,係数_乗用_LPG),125,5,BE422),2,FALSE))))))</f>
        <v/>
      </c>
      <c r="BB422" s="468" t="str">
        <f>IF(T422="","",IF(OR(AU422="",AU422="-"),"－",IF(OR(AZ422=8,AZ422=9),"",IF(OR(AW422=3,AW422=4,AW422=5,AW422=6),VLOOKUP(AU422,INDEX((係数_バス貨物_ガソリン,係数_バス貨物_CNG,係数_バス貨物_軽油,係数_バス貨物_メタノール,係数_バス貨物_LPG),MATCH(AY422,【参考】排出係数!$AI$4:$AI$671,1),1,BE422):INDEX((係数_バス貨物_ガソリン,係数_バス貨物_CNG,係数_バス貨物_軽油,係数_バス貨物_メタノール,係数_バス貨物_LPG),MATCH(AY422+1,【参考】排出係数!$AI$4:$AI$671,1)-1,5,BE422),3,FALSE),IF(OR(AW422=1,AW422=2),VLOOKUP(AU422,INDEX((係数_乗用_ガソリン,係数_乗用_CNG,係数_乗用_軽油,係数_乗用_メタノール,係数_乗用_LPG),1,1,BE422):INDEX((係数_乗用_ガソリン,係数_乗用_CNG,係数_乗用_軽油,係数_乗用_メタノール,係数_乗用_LPG),125,5,BE422),3,FALSE))))))</f>
        <v/>
      </c>
      <c r="BC422" s="467" t="str">
        <f t="shared" si="230"/>
        <v/>
      </c>
      <c r="BD422" s="567" t="str">
        <f t="shared" si="231"/>
        <v/>
      </c>
      <c r="BE422" s="467" t="str">
        <f t="shared" si="232"/>
        <v/>
      </c>
      <c r="BF422" s="469" t="str">
        <f t="shared" ca="1" si="233"/>
        <v/>
      </c>
      <c r="BG422" s="469" t="str">
        <f t="shared" ca="1" si="234"/>
        <v/>
      </c>
      <c r="BH422" s="467" t="str">
        <f t="shared" si="235"/>
        <v/>
      </c>
      <c r="BI422" s="467" t="str">
        <f t="shared" ca="1" si="236"/>
        <v/>
      </c>
      <c r="BJ422" s="469" t="str">
        <f t="shared" si="237"/>
        <v/>
      </c>
      <c r="BK422" s="470" t="str">
        <f t="shared" si="217"/>
        <v/>
      </c>
      <c r="BL422" s="775" t="str">
        <f t="shared" si="238"/>
        <v/>
      </c>
      <c r="BM422" s="775" t="str">
        <f t="shared" si="239"/>
        <v/>
      </c>
    </row>
    <row r="423" spans="1:65">
      <c r="A423" s="473">
        <v>367</v>
      </c>
      <c r="B423" s="132"/>
      <c r="C423" s="332"/>
      <c r="D423" s="333"/>
      <c r="E423" s="333"/>
      <c r="F423" s="334"/>
      <c r="G423" s="337"/>
      <c r="H423" s="131"/>
      <c r="I423" s="337"/>
      <c r="J423" s="131"/>
      <c r="K423" s="458" t="str">
        <f t="shared" si="206"/>
        <v/>
      </c>
      <c r="L423" s="458">
        <f t="shared" si="218"/>
        <v>0</v>
      </c>
      <c r="M423" s="458">
        <f t="shared" si="219"/>
        <v>0</v>
      </c>
      <c r="N423" s="459" t="str">
        <f t="shared" si="207"/>
        <v/>
      </c>
      <c r="O423" s="459" t="str">
        <f t="shared" si="208"/>
        <v/>
      </c>
      <c r="P423" s="459" t="str">
        <f t="shared" si="209"/>
        <v/>
      </c>
      <c r="Q423" s="459" t="str">
        <f t="shared" si="210"/>
        <v/>
      </c>
      <c r="R423" s="459" t="str">
        <f t="shared" si="211"/>
        <v/>
      </c>
      <c r="S423" s="459" t="str">
        <f t="shared" si="212"/>
        <v/>
      </c>
      <c r="T423" s="566" t="str">
        <f t="shared" si="220"/>
        <v/>
      </c>
      <c r="U423" s="702"/>
      <c r="V423" s="132"/>
      <c r="W423" s="133"/>
      <c r="X423" s="134"/>
      <c r="Y423" s="135"/>
      <c r="Z423" s="137"/>
      <c r="AA423" s="136"/>
      <c r="AB423" s="566" t="str">
        <f t="shared" si="213"/>
        <v/>
      </c>
      <c r="AC423" s="568" t="str">
        <f t="shared" si="221"/>
        <v/>
      </c>
      <c r="AD423" s="137"/>
      <c r="AE423" s="137"/>
      <c r="AF423" s="138"/>
      <c r="AG423" s="138"/>
      <c r="AH423" s="592" t="str">
        <f t="shared" si="214"/>
        <v/>
      </c>
      <c r="AI423" s="592" t="str">
        <f t="shared" si="215"/>
        <v/>
      </c>
      <c r="AJ423" s="592" t="str">
        <f t="shared" si="216"/>
        <v/>
      </c>
      <c r="AK423" s="460" t="str">
        <f>IF(AU423="","",IF(OR(AZ423=8,AZ423=9),0,IF(OR(AW423=3,AW423=4,AW423=5,AW423=6),IF(LEFT(BF423,1)="1",INDEX(係数_NOX・PM低減,MATCH(AY423,【参考】排出係数!$AI$801:$AI$804,1),1),VLOOKUP(AU423,INDEX((係数_バス貨物_ガソリン,係数_バス貨物_CNG,係数_バス貨物_軽油,係数_バス貨物_メタノール,係数_バス貨物_LPG),MATCH(AY423,【参考】排出係数!$AI$4:$AI$671,1),1,BE423):INDEX((係数_バス貨物_ガソリン,係数_バス貨物_CNG,係数_バス貨物_軽油,係数_バス貨物_メタノール,係数_バス貨物_LPG),MATCH(AY423+1,【参考】排出係数!$AI$4:$AI$671,1)-1,5,BE423),4,FALSE)),IF(AND(BE423=3,LEFT(BF423,1)="1"),0.48,VLOOKUP(AU423,INDEX((係数_乗用_ガソリン,係数_乗用_CNG,係数_乗用_軽油,係数_乗用_メタノール,係数_乗用_LPG),1,1,BE423):INDEX((係数_乗用_ガソリン,係数_乗用_CNG,係数_乗用_軽油,係数_乗用_メタノール,係数_乗用_LPG),125,5,BE423),4,FALSE)))))</f>
        <v/>
      </c>
      <c r="AL423" s="461" t="str">
        <f t="shared" si="240"/>
        <v/>
      </c>
      <c r="AM423" s="460" t="str">
        <f>IF(AU423="","",IF(OR(AZ423=8,AZ423=9),0,IF(OR(AW423=3,AW423=4,AW423=5,AW423=6),IF(LEFT(BH423,1)="1",INDEX(係数_PM低減,MATCH(AY423,【参考】排出係数!$AI$801:$AI$804,1),MATCH(BI423,【参考】排出係数!$AL$798:$AO$798,1)),VLOOKUP(AU423,INDEX((係数_バス貨物_ガソリン,係数_バス貨物_CNG,係数_バス貨物_軽油,係数_バス貨物_メタノール,係数_バス貨物_LPG),MATCH(AY423,【参考】排出係数!$AI$4:$AI$671,1),1,BE423):INDEX((係数_バス貨物_ガソリン,係数_バス貨物_CNG,係数_バス貨物_軽油,係数_バス貨物_メタノール,係数_バス貨物_LPG),MATCH(AY423+1,【参考】排出係数!$AI$4:$AI$671,1)-1,5,BE423),5,FALSE)),IF(AND(BE423=3,LEFT(BF423,1)="1"),0.055,VLOOKUP(AU423,INDEX((係数_乗用_ガソリン,係数_乗用_CNG,係数_乗用_軽油,係数_乗用_メタノール,係数_乗用_LPG),1,1,BE423):INDEX((係数_乗用_ガソリン,係数_乗用_CNG,係数_乗用_軽油,係数_乗用_メタノール,係数_乗用_LPG),125,5,BE423),5,FALSE)))))</f>
        <v/>
      </c>
      <c r="AN423" s="461" t="str">
        <f t="shared" si="241"/>
        <v/>
      </c>
      <c r="AO423" s="462" t="str">
        <f t="shared" si="242"/>
        <v/>
      </c>
      <c r="AP423" s="463" t="str">
        <f t="shared" si="243"/>
        <v/>
      </c>
      <c r="AQ423" s="464"/>
      <c r="AR423" s="619"/>
      <c r="AS423" s="465" t="str">
        <f t="shared" si="222"/>
        <v/>
      </c>
      <c r="AT423" s="465" t="str">
        <f t="shared" si="223"/>
        <v/>
      </c>
      <c r="AU423" s="466" t="str">
        <f t="shared" si="224"/>
        <v/>
      </c>
      <c r="AV423" s="467" t="str">
        <f t="shared" si="225"/>
        <v/>
      </c>
      <c r="AW423" s="467" t="str">
        <f t="shared" si="226"/>
        <v/>
      </c>
      <c r="AX423" s="467" t="str">
        <f t="shared" si="227"/>
        <v/>
      </c>
      <c r="AY423" s="467" t="str">
        <f t="shared" si="228"/>
        <v/>
      </c>
      <c r="AZ423" s="467" t="str">
        <f t="shared" si="229"/>
        <v/>
      </c>
      <c r="BA423" s="468" t="str">
        <f>IF(AS423="","",IF(OR(AU423="",AU423="-"),"－",IF(OR(AZ423=8,AZ423=9),"",IF(OR(AW423=3,AW423=4,AW423=5,AW423=6),VLOOKUP(AU423,INDEX((係数_バス貨物_ガソリン,係数_バス貨物_CNG,係数_バス貨物_軽油,係数_バス貨物_メタノール,係数_バス貨物_LPG),MATCH(AY423,【参考】排出係数!$AI$4:$AI$671,1),1,BE423):INDEX((係数_バス貨物_ガソリン,係数_バス貨物_CNG,係数_バス貨物_軽油,係数_バス貨物_メタノール,係数_バス貨物_LPG),MATCH(AY423+1,【参考】排出係数!$AI$4:$AI$671,1)-1,5,BE423),2,FALSE),IF(OR(AW423=1,AW423=2),VLOOKUP(AU423,INDEX((係数_乗用_ガソリン,係数_乗用_CNG,係数_乗用_軽油,係数_乗用_メタノール,係数_乗用_LPG),1,1,BE423):INDEX((係数_乗用_ガソリン,係数_乗用_CNG,係数_乗用_軽油,係数_乗用_メタノール,係数_乗用_LPG),125,5,BE423),2,FALSE))))))</f>
        <v/>
      </c>
      <c r="BB423" s="468" t="str">
        <f>IF(T423="","",IF(OR(AU423="",AU423="-"),"－",IF(OR(AZ423=8,AZ423=9),"",IF(OR(AW423=3,AW423=4,AW423=5,AW423=6),VLOOKUP(AU423,INDEX((係数_バス貨物_ガソリン,係数_バス貨物_CNG,係数_バス貨物_軽油,係数_バス貨物_メタノール,係数_バス貨物_LPG),MATCH(AY423,【参考】排出係数!$AI$4:$AI$671,1),1,BE423):INDEX((係数_バス貨物_ガソリン,係数_バス貨物_CNG,係数_バス貨物_軽油,係数_バス貨物_メタノール,係数_バス貨物_LPG),MATCH(AY423+1,【参考】排出係数!$AI$4:$AI$671,1)-1,5,BE423),3,FALSE),IF(OR(AW423=1,AW423=2),VLOOKUP(AU423,INDEX((係数_乗用_ガソリン,係数_乗用_CNG,係数_乗用_軽油,係数_乗用_メタノール,係数_乗用_LPG),1,1,BE423):INDEX((係数_乗用_ガソリン,係数_乗用_CNG,係数_乗用_軽油,係数_乗用_メタノール,係数_乗用_LPG),125,5,BE423),3,FALSE))))))</f>
        <v/>
      </c>
      <c r="BC423" s="467" t="str">
        <f t="shared" si="230"/>
        <v/>
      </c>
      <c r="BD423" s="567" t="str">
        <f t="shared" si="231"/>
        <v/>
      </c>
      <c r="BE423" s="467" t="str">
        <f t="shared" si="232"/>
        <v/>
      </c>
      <c r="BF423" s="469" t="str">
        <f t="shared" ca="1" si="233"/>
        <v/>
      </c>
      <c r="BG423" s="469" t="str">
        <f t="shared" ca="1" si="234"/>
        <v/>
      </c>
      <c r="BH423" s="467" t="str">
        <f t="shared" si="235"/>
        <v/>
      </c>
      <c r="BI423" s="467" t="str">
        <f t="shared" ca="1" si="236"/>
        <v/>
      </c>
      <c r="BJ423" s="469" t="str">
        <f t="shared" si="237"/>
        <v/>
      </c>
      <c r="BK423" s="470" t="str">
        <f t="shared" si="217"/>
        <v/>
      </c>
      <c r="BL423" s="775" t="str">
        <f t="shared" si="238"/>
        <v/>
      </c>
      <c r="BM423" s="775" t="str">
        <f t="shared" si="239"/>
        <v/>
      </c>
    </row>
    <row r="424" spans="1:65">
      <c r="A424" s="473">
        <v>368</v>
      </c>
      <c r="B424" s="132"/>
      <c r="C424" s="332"/>
      <c r="D424" s="333"/>
      <c r="E424" s="333"/>
      <c r="F424" s="334"/>
      <c r="G424" s="337"/>
      <c r="H424" s="131"/>
      <c r="I424" s="337"/>
      <c r="J424" s="131"/>
      <c r="K424" s="458" t="str">
        <f t="shared" si="206"/>
        <v/>
      </c>
      <c r="L424" s="458">
        <f t="shared" si="218"/>
        <v>0</v>
      </c>
      <c r="M424" s="458">
        <f t="shared" si="219"/>
        <v>0</v>
      </c>
      <c r="N424" s="459" t="str">
        <f t="shared" si="207"/>
        <v/>
      </c>
      <c r="O424" s="459" t="str">
        <f t="shared" si="208"/>
        <v/>
      </c>
      <c r="P424" s="459" t="str">
        <f t="shared" si="209"/>
        <v/>
      </c>
      <c r="Q424" s="459" t="str">
        <f t="shared" si="210"/>
        <v/>
      </c>
      <c r="R424" s="459" t="str">
        <f t="shared" si="211"/>
        <v/>
      </c>
      <c r="S424" s="459" t="str">
        <f t="shared" si="212"/>
        <v/>
      </c>
      <c r="T424" s="566" t="str">
        <f t="shared" si="220"/>
        <v/>
      </c>
      <c r="U424" s="702"/>
      <c r="V424" s="132"/>
      <c r="W424" s="133"/>
      <c r="X424" s="134"/>
      <c r="Y424" s="135"/>
      <c r="Z424" s="137"/>
      <c r="AA424" s="136"/>
      <c r="AB424" s="566" t="str">
        <f t="shared" si="213"/>
        <v/>
      </c>
      <c r="AC424" s="568" t="str">
        <f t="shared" si="221"/>
        <v/>
      </c>
      <c r="AD424" s="137"/>
      <c r="AE424" s="137"/>
      <c r="AF424" s="138"/>
      <c r="AG424" s="138"/>
      <c r="AH424" s="592" t="str">
        <f t="shared" si="214"/>
        <v/>
      </c>
      <c r="AI424" s="592" t="str">
        <f t="shared" si="215"/>
        <v/>
      </c>
      <c r="AJ424" s="592" t="str">
        <f t="shared" si="216"/>
        <v/>
      </c>
      <c r="AK424" s="460" t="str">
        <f>IF(AU424="","",IF(OR(AZ424=8,AZ424=9),0,IF(OR(AW424=3,AW424=4,AW424=5,AW424=6),IF(LEFT(BF424,1)="1",INDEX(係数_NOX・PM低減,MATCH(AY424,【参考】排出係数!$AI$801:$AI$804,1),1),VLOOKUP(AU424,INDEX((係数_バス貨物_ガソリン,係数_バス貨物_CNG,係数_バス貨物_軽油,係数_バス貨物_メタノール,係数_バス貨物_LPG),MATCH(AY424,【参考】排出係数!$AI$4:$AI$671,1),1,BE424):INDEX((係数_バス貨物_ガソリン,係数_バス貨物_CNG,係数_バス貨物_軽油,係数_バス貨物_メタノール,係数_バス貨物_LPG),MATCH(AY424+1,【参考】排出係数!$AI$4:$AI$671,1)-1,5,BE424),4,FALSE)),IF(AND(BE424=3,LEFT(BF424,1)="1"),0.48,VLOOKUP(AU424,INDEX((係数_乗用_ガソリン,係数_乗用_CNG,係数_乗用_軽油,係数_乗用_メタノール,係数_乗用_LPG),1,1,BE424):INDEX((係数_乗用_ガソリン,係数_乗用_CNG,係数_乗用_軽油,係数_乗用_メタノール,係数_乗用_LPG),125,5,BE424),4,FALSE)))))</f>
        <v/>
      </c>
      <c r="AL424" s="461" t="str">
        <f t="shared" si="240"/>
        <v/>
      </c>
      <c r="AM424" s="460" t="str">
        <f>IF(AU424="","",IF(OR(AZ424=8,AZ424=9),0,IF(OR(AW424=3,AW424=4,AW424=5,AW424=6),IF(LEFT(BH424,1)="1",INDEX(係数_PM低減,MATCH(AY424,【参考】排出係数!$AI$801:$AI$804,1),MATCH(BI424,【参考】排出係数!$AL$798:$AO$798,1)),VLOOKUP(AU424,INDEX((係数_バス貨物_ガソリン,係数_バス貨物_CNG,係数_バス貨物_軽油,係数_バス貨物_メタノール,係数_バス貨物_LPG),MATCH(AY424,【参考】排出係数!$AI$4:$AI$671,1),1,BE424):INDEX((係数_バス貨物_ガソリン,係数_バス貨物_CNG,係数_バス貨物_軽油,係数_バス貨物_メタノール,係数_バス貨物_LPG),MATCH(AY424+1,【参考】排出係数!$AI$4:$AI$671,1)-1,5,BE424),5,FALSE)),IF(AND(BE424=3,LEFT(BF424,1)="1"),0.055,VLOOKUP(AU424,INDEX((係数_乗用_ガソリン,係数_乗用_CNG,係数_乗用_軽油,係数_乗用_メタノール,係数_乗用_LPG),1,1,BE424):INDEX((係数_乗用_ガソリン,係数_乗用_CNG,係数_乗用_軽油,係数_乗用_メタノール,係数_乗用_LPG),125,5,BE424),5,FALSE)))))</f>
        <v/>
      </c>
      <c r="AN424" s="461" t="str">
        <f t="shared" si="241"/>
        <v/>
      </c>
      <c r="AO424" s="462" t="str">
        <f t="shared" si="242"/>
        <v/>
      </c>
      <c r="AP424" s="463" t="str">
        <f t="shared" si="243"/>
        <v/>
      </c>
      <c r="AQ424" s="464"/>
      <c r="AR424" s="619"/>
      <c r="AS424" s="465" t="str">
        <f t="shared" si="222"/>
        <v/>
      </c>
      <c r="AT424" s="465" t="str">
        <f t="shared" si="223"/>
        <v/>
      </c>
      <c r="AU424" s="466" t="str">
        <f t="shared" si="224"/>
        <v/>
      </c>
      <c r="AV424" s="467" t="str">
        <f t="shared" si="225"/>
        <v/>
      </c>
      <c r="AW424" s="467" t="str">
        <f t="shared" si="226"/>
        <v/>
      </c>
      <c r="AX424" s="467" t="str">
        <f t="shared" si="227"/>
        <v/>
      </c>
      <c r="AY424" s="467" t="str">
        <f t="shared" si="228"/>
        <v/>
      </c>
      <c r="AZ424" s="467" t="str">
        <f t="shared" si="229"/>
        <v/>
      </c>
      <c r="BA424" s="468" t="str">
        <f>IF(AS424="","",IF(OR(AU424="",AU424="-"),"－",IF(OR(AZ424=8,AZ424=9),"",IF(OR(AW424=3,AW424=4,AW424=5,AW424=6),VLOOKUP(AU424,INDEX((係数_バス貨物_ガソリン,係数_バス貨物_CNG,係数_バス貨物_軽油,係数_バス貨物_メタノール,係数_バス貨物_LPG),MATCH(AY424,【参考】排出係数!$AI$4:$AI$671,1),1,BE424):INDEX((係数_バス貨物_ガソリン,係数_バス貨物_CNG,係数_バス貨物_軽油,係数_バス貨物_メタノール,係数_バス貨物_LPG),MATCH(AY424+1,【参考】排出係数!$AI$4:$AI$671,1)-1,5,BE424),2,FALSE),IF(OR(AW424=1,AW424=2),VLOOKUP(AU424,INDEX((係数_乗用_ガソリン,係数_乗用_CNG,係数_乗用_軽油,係数_乗用_メタノール,係数_乗用_LPG),1,1,BE424):INDEX((係数_乗用_ガソリン,係数_乗用_CNG,係数_乗用_軽油,係数_乗用_メタノール,係数_乗用_LPG),125,5,BE424),2,FALSE))))))</f>
        <v/>
      </c>
      <c r="BB424" s="468" t="str">
        <f>IF(T424="","",IF(OR(AU424="",AU424="-"),"－",IF(OR(AZ424=8,AZ424=9),"",IF(OR(AW424=3,AW424=4,AW424=5,AW424=6),VLOOKUP(AU424,INDEX((係数_バス貨物_ガソリン,係数_バス貨物_CNG,係数_バス貨物_軽油,係数_バス貨物_メタノール,係数_バス貨物_LPG),MATCH(AY424,【参考】排出係数!$AI$4:$AI$671,1),1,BE424):INDEX((係数_バス貨物_ガソリン,係数_バス貨物_CNG,係数_バス貨物_軽油,係数_バス貨物_メタノール,係数_バス貨物_LPG),MATCH(AY424+1,【参考】排出係数!$AI$4:$AI$671,1)-1,5,BE424),3,FALSE),IF(OR(AW424=1,AW424=2),VLOOKUP(AU424,INDEX((係数_乗用_ガソリン,係数_乗用_CNG,係数_乗用_軽油,係数_乗用_メタノール,係数_乗用_LPG),1,1,BE424):INDEX((係数_乗用_ガソリン,係数_乗用_CNG,係数_乗用_軽油,係数_乗用_メタノール,係数_乗用_LPG),125,5,BE424),3,FALSE))))))</f>
        <v/>
      </c>
      <c r="BC424" s="467" t="str">
        <f t="shared" si="230"/>
        <v/>
      </c>
      <c r="BD424" s="567" t="str">
        <f t="shared" si="231"/>
        <v/>
      </c>
      <c r="BE424" s="467" t="str">
        <f t="shared" si="232"/>
        <v/>
      </c>
      <c r="BF424" s="469" t="str">
        <f t="shared" ca="1" si="233"/>
        <v/>
      </c>
      <c r="BG424" s="469" t="str">
        <f t="shared" ca="1" si="234"/>
        <v/>
      </c>
      <c r="BH424" s="467" t="str">
        <f t="shared" si="235"/>
        <v/>
      </c>
      <c r="BI424" s="467" t="str">
        <f t="shared" ca="1" si="236"/>
        <v/>
      </c>
      <c r="BJ424" s="469" t="str">
        <f t="shared" si="237"/>
        <v/>
      </c>
      <c r="BK424" s="470" t="str">
        <f t="shared" si="217"/>
        <v/>
      </c>
      <c r="BL424" s="775" t="str">
        <f t="shared" si="238"/>
        <v/>
      </c>
      <c r="BM424" s="775" t="str">
        <f t="shared" si="239"/>
        <v/>
      </c>
    </row>
    <row r="425" spans="1:65">
      <c r="A425" s="473">
        <v>369</v>
      </c>
      <c r="B425" s="132"/>
      <c r="C425" s="332"/>
      <c r="D425" s="333"/>
      <c r="E425" s="333"/>
      <c r="F425" s="334"/>
      <c r="G425" s="337"/>
      <c r="H425" s="131"/>
      <c r="I425" s="337"/>
      <c r="J425" s="131"/>
      <c r="K425" s="458" t="str">
        <f t="shared" si="206"/>
        <v/>
      </c>
      <c r="L425" s="458">
        <f t="shared" si="218"/>
        <v>0</v>
      </c>
      <c r="M425" s="458">
        <f t="shared" si="219"/>
        <v>0</v>
      </c>
      <c r="N425" s="459" t="str">
        <f t="shared" si="207"/>
        <v/>
      </c>
      <c r="O425" s="459" t="str">
        <f t="shared" si="208"/>
        <v/>
      </c>
      <c r="P425" s="459" t="str">
        <f t="shared" si="209"/>
        <v/>
      </c>
      <c r="Q425" s="459" t="str">
        <f t="shared" si="210"/>
        <v/>
      </c>
      <c r="R425" s="459" t="str">
        <f t="shared" si="211"/>
        <v/>
      </c>
      <c r="S425" s="459" t="str">
        <f t="shared" si="212"/>
        <v/>
      </c>
      <c r="T425" s="566" t="str">
        <f t="shared" si="220"/>
        <v/>
      </c>
      <c r="U425" s="702"/>
      <c r="V425" s="132"/>
      <c r="W425" s="133"/>
      <c r="X425" s="134"/>
      <c r="Y425" s="135"/>
      <c r="Z425" s="137"/>
      <c r="AA425" s="136"/>
      <c r="AB425" s="566" t="str">
        <f t="shared" si="213"/>
        <v/>
      </c>
      <c r="AC425" s="568" t="str">
        <f t="shared" si="221"/>
        <v/>
      </c>
      <c r="AD425" s="137"/>
      <c r="AE425" s="137"/>
      <c r="AF425" s="138"/>
      <c r="AG425" s="138"/>
      <c r="AH425" s="592" t="str">
        <f t="shared" si="214"/>
        <v/>
      </c>
      <c r="AI425" s="592" t="str">
        <f t="shared" si="215"/>
        <v/>
      </c>
      <c r="AJ425" s="592" t="str">
        <f t="shared" si="216"/>
        <v/>
      </c>
      <c r="AK425" s="460" t="str">
        <f>IF(AU425="","",IF(OR(AZ425=8,AZ425=9),0,IF(OR(AW425=3,AW425=4,AW425=5,AW425=6),IF(LEFT(BF425,1)="1",INDEX(係数_NOX・PM低減,MATCH(AY425,【参考】排出係数!$AI$801:$AI$804,1),1),VLOOKUP(AU425,INDEX((係数_バス貨物_ガソリン,係数_バス貨物_CNG,係数_バス貨物_軽油,係数_バス貨物_メタノール,係数_バス貨物_LPG),MATCH(AY425,【参考】排出係数!$AI$4:$AI$671,1),1,BE425):INDEX((係数_バス貨物_ガソリン,係数_バス貨物_CNG,係数_バス貨物_軽油,係数_バス貨物_メタノール,係数_バス貨物_LPG),MATCH(AY425+1,【参考】排出係数!$AI$4:$AI$671,1)-1,5,BE425),4,FALSE)),IF(AND(BE425=3,LEFT(BF425,1)="1"),0.48,VLOOKUP(AU425,INDEX((係数_乗用_ガソリン,係数_乗用_CNG,係数_乗用_軽油,係数_乗用_メタノール,係数_乗用_LPG),1,1,BE425):INDEX((係数_乗用_ガソリン,係数_乗用_CNG,係数_乗用_軽油,係数_乗用_メタノール,係数_乗用_LPG),125,5,BE425),4,FALSE)))))</f>
        <v/>
      </c>
      <c r="AL425" s="461" t="str">
        <f t="shared" si="240"/>
        <v/>
      </c>
      <c r="AM425" s="460" t="str">
        <f>IF(AU425="","",IF(OR(AZ425=8,AZ425=9),0,IF(OR(AW425=3,AW425=4,AW425=5,AW425=6),IF(LEFT(BH425,1)="1",INDEX(係数_PM低減,MATCH(AY425,【参考】排出係数!$AI$801:$AI$804,1),MATCH(BI425,【参考】排出係数!$AL$798:$AO$798,1)),VLOOKUP(AU425,INDEX((係数_バス貨物_ガソリン,係数_バス貨物_CNG,係数_バス貨物_軽油,係数_バス貨物_メタノール,係数_バス貨物_LPG),MATCH(AY425,【参考】排出係数!$AI$4:$AI$671,1),1,BE425):INDEX((係数_バス貨物_ガソリン,係数_バス貨物_CNG,係数_バス貨物_軽油,係数_バス貨物_メタノール,係数_バス貨物_LPG),MATCH(AY425+1,【参考】排出係数!$AI$4:$AI$671,1)-1,5,BE425),5,FALSE)),IF(AND(BE425=3,LEFT(BF425,1)="1"),0.055,VLOOKUP(AU425,INDEX((係数_乗用_ガソリン,係数_乗用_CNG,係数_乗用_軽油,係数_乗用_メタノール,係数_乗用_LPG),1,1,BE425):INDEX((係数_乗用_ガソリン,係数_乗用_CNG,係数_乗用_軽油,係数_乗用_メタノール,係数_乗用_LPG),125,5,BE425),5,FALSE)))))</f>
        <v/>
      </c>
      <c r="AN425" s="461" t="str">
        <f t="shared" si="241"/>
        <v/>
      </c>
      <c r="AO425" s="462" t="str">
        <f t="shared" si="242"/>
        <v/>
      </c>
      <c r="AP425" s="463" t="str">
        <f t="shared" si="243"/>
        <v/>
      </c>
      <c r="AQ425" s="464"/>
      <c r="AR425" s="619"/>
      <c r="AS425" s="465" t="str">
        <f t="shared" si="222"/>
        <v/>
      </c>
      <c r="AT425" s="465" t="str">
        <f t="shared" si="223"/>
        <v/>
      </c>
      <c r="AU425" s="466" t="str">
        <f t="shared" si="224"/>
        <v/>
      </c>
      <c r="AV425" s="467" t="str">
        <f t="shared" si="225"/>
        <v/>
      </c>
      <c r="AW425" s="467" t="str">
        <f t="shared" si="226"/>
        <v/>
      </c>
      <c r="AX425" s="467" t="str">
        <f t="shared" si="227"/>
        <v/>
      </c>
      <c r="AY425" s="467" t="str">
        <f t="shared" si="228"/>
        <v/>
      </c>
      <c r="AZ425" s="467" t="str">
        <f t="shared" si="229"/>
        <v/>
      </c>
      <c r="BA425" s="468" t="str">
        <f>IF(AS425="","",IF(OR(AU425="",AU425="-"),"－",IF(OR(AZ425=8,AZ425=9),"",IF(OR(AW425=3,AW425=4,AW425=5,AW425=6),VLOOKUP(AU425,INDEX((係数_バス貨物_ガソリン,係数_バス貨物_CNG,係数_バス貨物_軽油,係数_バス貨物_メタノール,係数_バス貨物_LPG),MATCH(AY425,【参考】排出係数!$AI$4:$AI$671,1),1,BE425):INDEX((係数_バス貨物_ガソリン,係数_バス貨物_CNG,係数_バス貨物_軽油,係数_バス貨物_メタノール,係数_バス貨物_LPG),MATCH(AY425+1,【参考】排出係数!$AI$4:$AI$671,1)-1,5,BE425),2,FALSE),IF(OR(AW425=1,AW425=2),VLOOKUP(AU425,INDEX((係数_乗用_ガソリン,係数_乗用_CNG,係数_乗用_軽油,係数_乗用_メタノール,係数_乗用_LPG),1,1,BE425):INDEX((係数_乗用_ガソリン,係数_乗用_CNG,係数_乗用_軽油,係数_乗用_メタノール,係数_乗用_LPG),125,5,BE425),2,FALSE))))))</f>
        <v/>
      </c>
      <c r="BB425" s="468" t="str">
        <f>IF(T425="","",IF(OR(AU425="",AU425="-"),"－",IF(OR(AZ425=8,AZ425=9),"",IF(OR(AW425=3,AW425=4,AW425=5,AW425=6),VLOOKUP(AU425,INDEX((係数_バス貨物_ガソリン,係数_バス貨物_CNG,係数_バス貨物_軽油,係数_バス貨物_メタノール,係数_バス貨物_LPG),MATCH(AY425,【参考】排出係数!$AI$4:$AI$671,1),1,BE425):INDEX((係数_バス貨物_ガソリン,係数_バス貨物_CNG,係数_バス貨物_軽油,係数_バス貨物_メタノール,係数_バス貨物_LPG),MATCH(AY425+1,【参考】排出係数!$AI$4:$AI$671,1)-1,5,BE425),3,FALSE),IF(OR(AW425=1,AW425=2),VLOOKUP(AU425,INDEX((係数_乗用_ガソリン,係数_乗用_CNG,係数_乗用_軽油,係数_乗用_メタノール,係数_乗用_LPG),1,1,BE425):INDEX((係数_乗用_ガソリン,係数_乗用_CNG,係数_乗用_軽油,係数_乗用_メタノール,係数_乗用_LPG),125,5,BE425),3,FALSE))))))</f>
        <v/>
      </c>
      <c r="BC425" s="467" t="str">
        <f t="shared" si="230"/>
        <v/>
      </c>
      <c r="BD425" s="567" t="str">
        <f t="shared" si="231"/>
        <v/>
      </c>
      <c r="BE425" s="467" t="str">
        <f t="shared" si="232"/>
        <v/>
      </c>
      <c r="BF425" s="469" t="str">
        <f t="shared" ca="1" si="233"/>
        <v/>
      </c>
      <c r="BG425" s="469" t="str">
        <f t="shared" ca="1" si="234"/>
        <v/>
      </c>
      <c r="BH425" s="467" t="str">
        <f t="shared" si="235"/>
        <v/>
      </c>
      <c r="BI425" s="467" t="str">
        <f t="shared" ca="1" si="236"/>
        <v/>
      </c>
      <c r="BJ425" s="469" t="str">
        <f t="shared" si="237"/>
        <v/>
      </c>
      <c r="BK425" s="470" t="str">
        <f t="shared" si="217"/>
        <v/>
      </c>
      <c r="BL425" s="775" t="str">
        <f t="shared" si="238"/>
        <v/>
      </c>
      <c r="BM425" s="775" t="str">
        <f t="shared" si="239"/>
        <v/>
      </c>
    </row>
    <row r="426" spans="1:65">
      <c r="A426" s="473">
        <v>370</v>
      </c>
      <c r="B426" s="132"/>
      <c r="C426" s="332"/>
      <c r="D426" s="333"/>
      <c r="E426" s="333"/>
      <c r="F426" s="334"/>
      <c r="G426" s="337"/>
      <c r="H426" s="131"/>
      <c r="I426" s="337"/>
      <c r="J426" s="131"/>
      <c r="K426" s="458" t="str">
        <f t="shared" si="206"/>
        <v/>
      </c>
      <c r="L426" s="458">
        <f t="shared" si="218"/>
        <v>0</v>
      </c>
      <c r="M426" s="458">
        <f t="shared" si="219"/>
        <v>0</v>
      </c>
      <c r="N426" s="459" t="str">
        <f t="shared" si="207"/>
        <v/>
      </c>
      <c r="O426" s="459" t="str">
        <f t="shared" si="208"/>
        <v/>
      </c>
      <c r="P426" s="459" t="str">
        <f t="shared" si="209"/>
        <v/>
      </c>
      <c r="Q426" s="459" t="str">
        <f t="shared" si="210"/>
        <v/>
      </c>
      <c r="R426" s="459" t="str">
        <f t="shared" si="211"/>
        <v/>
      </c>
      <c r="S426" s="459" t="str">
        <f t="shared" si="212"/>
        <v/>
      </c>
      <c r="T426" s="566" t="str">
        <f t="shared" si="220"/>
        <v/>
      </c>
      <c r="U426" s="702"/>
      <c r="V426" s="132"/>
      <c r="W426" s="133"/>
      <c r="X426" s="134"/>
      <c r="Y426" s="135"/>
      <c r="Z426" s="137"/>
      <c r="AA426" s="136"/>
      <c r="AB426" s="566" t="str">
        <f t="shared" si="213"/>
        <v/>
      </c>
      <c r="AC426" s="568" t="str">
        <f t="shared" si="221"/>
        <v/>
      </c>
      <c r="AD426" s="137"/>
      <c r="AE426" s="137"/>
      <c r="AF426" s="138"/>
      <c r="AG426" s="138"/>
      <c r="AH426" s="592" t="str">
        <f t="shared" si="214"/>
        <v/>
      </c>
      <c r="AI426" s="592" t="str">
        <f t="shared" si="215"/>
        <v/>
      </c>
      <c r="AJ426" s="592" t="str">
        <f t="shared" si="216"/>
        <v/>
      </c>
      <c r="AK426" s="460" t="str">
        <f>IF(AU426="","",IF(OR(AZ426=8,AZ426=9),0,IF(OR(AW426=3,AW426=4,AW426=5,AW426=6),IF(LEFT(BF426,1)="1",INDEX(係数_NOX・PM低減,MATCH(AY426,【参考】排出係数!$AI$801:$AI$804,1),1),VLOOKUP(AU426,INDEX((係数_バス貨物_ガソリン,係数_バス貨物_CNG,係数_バス貨物_軽油,係数_バス貨物_メタノール,係数_バス貨物_LPG),MATCH(AY426,【参考】排出係数!$AI$4:$AI$671,1),1,BE426):INDEX((係数_バス貨物_ガソリン,係数_バス貨物_CNG,係数_バス貨物_軽油,係数_バス貨物_メタノール,係数_バス貨物_LPG),MATCH(AY426+1,【参考】排出係数!$AI$4:$AI$671,1)-1,5,BE426),4,FALSE)),IF(AND(BE426=3,LEFT(BF426,1)="1"),0.48,VLOOKUP(AU426,INDEX((係数_乗用_ガソリン,係数_乗用_CNG,係数_乗用_軽油,係数_乗用_メタノール,係数_乗用_LPG),1,1,BE426):INDEX((係数_乗用_ガソリン,係数_乗用_CNG,係数_乗用_軽油,係数_乗用_メタノール,係数_乗用_LPG),125,5,BE426),4,FALSE)))))</f>
        <v/>
      </c>
      <c r="AL426" s="461" t="str">
        <f t="shared" si="240"/>
        <v/>
      </c>
      <c r="AM426" s="460" t="str">
        <f>IF(AU426="","",IF(OR(AZ426=8,AZ426=9),0,IF(OR(AW426=3,AW426=4,AW426=5,AW426=6),IF(LEFT(BH426,1)="1",INDEX(係数_PM低減,MATCH(AY426,【参考】排出係数!$AI$801:$AI$804,1),MATCH(BI426,【参考】排出係数!$AL$798:$AO$798,1)),VLOOKUP(AU426,INDEX((係数_バス貨物_ガソリン,係数_バス貨物_CNG,係数_バス貨物_軽油,係数_バス貨物_メタノール,係数_バス貨物_LPG),MATCH(AY426,【参考】排出係数!$AI$4:$AI$671,1),1,BE426):INDEX((係数_バス貨物_ガソリン,係数_バス貨物_CNG,係数_バス貨物_軽油,係数_バス貨物_メタノール,係数_バス貨物_LPG),MATCH(AY426+1,【参考】排出係数!$AI$4:$AI$671,1)-1,5,BE426),5,FALSE)),IF(AND(BE426=3,LEFT(BF426,1)="1"),0.055,VLOOKUP(AU426,INDEX((係数_乗用_ガソリン,係数_乗用_CNG,係数_乗用_軽油,係数_乗用_メタノール,係数_乗用_LPG),1,1,BE426):INDEX((係数_乗用_ガソリン,係数_乗用_CNG,係数_乗用_軽油,係数_乗用_メタノール,係数_乗用_LPG),125,5,BE426),5,FALSE)))))</f>
        <v/>
      </c>
      <c r="AN426" s="461" t="str">
        <f t="shared" si="241"/>
        <v/>
      </c>
      <c r="AO426" s="462" t="str">
        <f t="shared" si="242"/>
        <v/>
      </c>
      <c r="AP426" s="463" t="str">
        <f t="shared" si="243"/>
        <v/>
      </c>
      <c r="AQ426" s="464"/>
      <c r="AR426" s="619"/>
      <c r="AS426" s="465" t="str">
        <f t="shared" si="222"/>
        <v/>
      </c>
      <c r="AT426" s="465" t="str">
        <f t="shared" si="223"/>
        <v/>
      </c>
      <c r="AU426" s="466" t="str">
        <f t="shared" si="224"/>
        <v/>
      </c>
      <c r="AV426" s="467" t="str">
        <f t="shared" si="225"/>
        <v/>
      </c>
      <c r="AW426" s="467" t="str">
        <f t="shared" si="226"/>
        <v/>
      </c>
      <c r="AX426" s="467" t="str">
        <f t="shared" si="227"/>
        <v/>
      </c>
      <c r="AY426" s="467" t="str">
        <f t="shared" si="228"/>
        <v/>
      </c>
      <c r="AZ426" s="467" t="str">
        <f t="shared" si="229"/>
        <v/>
      </c>
      <c r="BA426" s="468" t="str">
        <f>IF(AS426="","",IF(OR(AU426="",AU426="-"),"－",IF(OR(AZ426=8,AZ426=9),"",IF(OR(AW426=3,AW426=4,AW426=5,AW426=6),VLOOKUP(AU426,INDEX((係数_バス貨物_ガソリン,係数_バス貨物_CNG,係数_バス貨物_軽油,係数_バス貨物_メタノール,係数_バス貨物_LPG),MATCH(AY426,【参考】排出係数!$AI$4:$AI$671,1),1,BE426):INDEX((係数_バス貨物_ガソリン,係数_バス貨物_CNG,係数_バス貨物_軽油,係数_バス貨物_メタノール,係数_バス貨物_LPG),MATCH(AY426+1,【参考】排出係数!$AI$4:$AI$671,1)-1,5,BE426),2,FALSE),IF(OR(AW426=1,AW426=2),VLOOKUP(AU426,INDEX((係数_乗用_ガソリン,係数_乗用_CNG,係数_乗用_軽油,係数_乗用_メタノール,係数_乗用_LPG),1,1,BE426):INDEX((係数_乗用_ガソリン,係数_乗用_CNG,係数_乗用_軽油,係数_乗用_メタノール,係数_乗用_LPG),125,5,BE426),2,FALSE))))))</f>
        <v/>
      </c>
      <c r="BB426" s="468" t="str">
        <f>IF(T426="","",IF(OR(AU426="",AU426="-"),"－",IF(OR(AZ426=8,AZ426=9),"",IF(OR(AW426=3,AW426=4,AW426=5,AW426=6),VLOOKUP(AU426,INDEX((係数_バス貨物_ガソリン,係数_バス貨物_CNG,係数_バス貨物_軽油,係数_バス貨物_メタノール,係数_バス貨物_LPG),MATCH(AY426,【参考】排出係数!$AI$4:$AI$671,1),1,BE426):INDEX((係数_バス貨物_ガソリン,係数_バス貨物_CNG,係数_バス貨物_軽油,係数_バス貨物_メタノール,係数_バス貨物_LPG),MATCH(AY426+1,【参考】排出係数!$AI$4:$AI$671,1)-1,5,BE426),3,FALSE),IF(OR(AW426=1,AW426=2),VLOOKUP(AU426,INDEX((係数_乗用_ガソリン,係数_乗用_CNG,係数_乗用_軽油,係数_乗用_メタノール,係数_乗用_LPG),1,1,BE426):INDEX((係数_乗用_ガソリン,係数_乗用_CNG,係数_乗用_軽油,係数_乗用_メタノール,係数_乗用_LPG),125,5,BE426),3,FALSE))))))</f>
        <v/>
      </c>
      <c r="BC426" s="467" t="str">
        <f t="shared" si="230"/>
        <v/>
      </c>
      <c r="BD426" s="567" t="str">
        <f t="shared" si="231"/>
        <v/>
      </c>
      <c r="BE426" s="467" t="str">
        <f t="shared" si="232"/>
        <v/>
      </c>
      <c r="BF426" s="469" t="str">
        <f t="shared" ca="1" si="233"/>
        <v/>
      </c>
      <c r="BG426" s="469" t="str">
        <f t="shared" ca="1" si="234"/>
        <v/>
      </c>
      <c r="BH426" s="467" t="str">
        <f t="shared" si="235"/>
        <v/>
      </c>
      <c r="BI426" s="467" t="str">
        <f t="shared" ca="1" si="236"/>
        <v/>
      </c>
      <c r="BJ426" s="469" t="str">
        <f t="shared" si="237"/>
        <v/>
      </c>
      <c r="BK426" s="470" t="str">
        <f t="shared" si="217"/>
        <v/>
      </c>
      <c r="BL426" s="775" t="str">
        <f t="shared" si="238"/>
        <v/>
      </c>
      <c r="BM426" s="775" t="str">
        <f t="shared" si="239"/>
        <v/>
      </c>
    </row>
    <row r="427" spans="1:65">
      <c r="A427" s="473">
        <v>371</v>
      </c>
      <c r="B427" s="132"/>
      <c r="C427" s="332"/>
      <c r="D427" s="333"/>
      <c r="E427" s="333"/>
      <c r="F427" s="334"/>
      <c r="G427" s="337"/>
      <c r="H427" s="131"/>
      <c r="I427" s="337"/>
      <c r="J427" s="131"/>
      <c r="K427" s="458" t="str">
        <f t="shared" si="206"/>
        <v/>
      </c>
      <c r="L427" s="458">
        <f t="shared" si="218"/>
        <v>0</v>
      </c>
      <c r="M427" s="458">
        <f t="shared" si="219"/>
        <v>0</v>
      </c>
      <c r="N427" s="459" t="str">
        <f t="shared" si="207"/>
        <v/>
      </c>
      <c r="O427" s="459" t="str">
        <f t="shared" si="208"/>
        <v/>
      </c>
      <c r="P427" s="459" t="str">
        <f t="shared" si="209"/>
        <v/>
      </c>
      <c r="Q427" s="459" t="str">
        <f t="shared" si="210"/>
        <v/>
      </c>
      <c r="R427" s="459" t="str">
        <f t="shared" si="211"/>
        <v/>
      </c>
      <c r="S427" s="459" t="str">
        <f t="shared" si="212"/>
        <v/>
      </c>
      <c r="T427" s="566" t="str">
        <f t="shared" si="220"/>
        <v/>
      </c>
      <c r="U427" s="702"/>
      <c r="V427" s="132"/>
      <c r="W427" s="133"/>
      <c r="X427" s="134"/>
      <c r="Y427" s="135"/>
      <c r="Z427" s="137"/>
      <c r="AA427" s="136"/>
      <c r="AB427" s="566" t="str">
        <f t="shared" si="213"/>
        <v/>
      </c>
      <c r="AC427" s="568" t="str">
        <f t="shared" si="221"/>
        <v/>
      </c>
      <c r="AD427" s="137"/>
      <c r="AE427" s="137"/>
      <c r="AF427" s="138"/>
      <c r="AG427" s="138"/>
      <c r="AH427" s="592" t="str">
        <f t="shared" si="214"/>
        <v/>
      </c>
      <c r="AI427" s="592" t="str">
        <f t="shared" si="215"/>
        <v/>
      </c>
      <c r="AJ427" s="592" t="str">
        <f t="shared" si="216"/>
        <v/>
      </c>
      <c r="AK427" s="460" t="str">
        <f>IF(AU427="","",IF(OR(AZ427=8,AZ427=9),0,IF(OR(AW427=3,AW427=4,AW427=5,AW427=6),IF(LEFT(BF427,1)="1",INDEX(係数_NOX・PM低減,MATCH(AY427,【参考】排出係数!$AI$801:$AI$804,1),1),VLOOKUP(AU427,INDEX((係数_バス貨物_ガソリン,係数_バス貨物_CNG,係数_バス貨物_軽油,係数_バス貨物_メタノール,係数_バス貨物_LPG),MATCH(AY427,【参考】排出係数!$AI$4:$AI$671,1),1,BE427):INDEX((係数_バス貨物_ガソリン,係数_バス貨物_CNG,係数_バス貨物_軽油,係数_バス貨物_メタノール,係数_バス貨物_LPG),MATCH(AY427+1,【参考】排出係数!$AI$4:$AI$671,1)-1,5,BE427),4,FALSE)),IF(AND(BE427=3,LEFT(BF427,1)="1"),0.48,VLOOKUP(AU427,INDEX((係数_乗用_ガソリン,係数_乗用_CNG,係数_乗用_軽油,係数_乗用_メタノール,係数_乗用_LPG),1,1,BE427):INDEX((係数_乗用_ガソリン,係数_乗用_CNG,係数_乗用_軽油,係数_乗用_メタノール,係数_乗用_LPG),125,5,BE427),4,FALSE)))))</f>
        <v/>
      </c>
      <c r="AL427" s="461" t="str">
        <f t="shared" si="240"/>
        <v/>
      </c>
      <c r="AM427" s="460" t="str">
        <f>IF(AU427="","",IF(OR(AZ427=8,AZ427=9),0,IF(OR(AW427=3,AW427=4,AW427=5,AW427=6),IF(LEFT(BH427,1)="1",INDEX(係数_PM低減,MATCH(AY427,【参考】排出係数!$AI$801:$AI$804,1),MATCH(BI427,【参考】排出係数!$AL$798:$AO$798,1)),VLOOKUP(AU427,INDEX((係数_バス貨物_ガソリン,係数_バス貨物_CNG,係数_バス貨物_軽油,係数_バス貨物_メタノール,係数_バス貨物_LPG),MATCH(AY427,【参考】排出係数!$AI$4:$AI$671,1),1,BE427):INDEX((係数_バス貨物_ガソリン,係数_バス貨物_CNG,係数_バス貨物_軽油,係数_バス貨物_メタノール,係数_バス貨物_LPG),MATCH(AY427+1,【参考】排出係数!$AI$4:$AI$671,1)-1,5,BE427),5,FALSE)),IF(AND(BE427=3,LEFT(BF427,1)="1"),0.055,VLOOKUP(AU427,INDEX((係数_乗用_ガソリン,係数_乗用_CNG,係数_乗用_軽油,係数_乗用_メタノール,係数_乗用_LPG),1,1,BE427):INDEX((係数_乗用_ガソリン,係数_乗用_CNG,係数_乗用_軽油,係数_乗用_メタノール,係数_乗用_LPG),125,5,BE427),5,FALSE)))))</f>
        <v/>
      </c>
      <c r="AN427" s="461" t="str">
        <f t="shared" si="241"/>
        <v/>
      </c>
      <c r="AO427" s="462" t="str">
        <f t="shared" si="242"/>
        <v/>
      </c>
      <c r="AP427" s="463" t="str">
        <f t="shared" si="243"/>
        <v/>
      </c>
      <c r="AQ427" s="464"/>
      <c r="AR427" s="619"/>
      <c r="AS427" s="465" t="str">
        <f t="shared" si="222"/>
        <v/>
      </c>
      <c r="AT427" s="465" t="str">
        <f t="shared" si="223"/>
        <v/>
      </c>
      <c r="AU427" s="466" t="str">
        <f t="shared" si="224"/>
        <v/>
      </c>
      <c r="AV427" s="467" t="str">
        <f t="shared" si="225"/>
        <v/>
      </c>
      <c r="AW427" s="467" t="str">
        <f t="shared" si="226"/>
        <v/>
      </c>
      <c r="AX427" s="467" t="str">
        <f t="shared" si="227"/>
        <v/>
      </c>
      <c r="AY427" s="467" t="str">
        <f t="shared" si="228"/>
        <v/>
      </c>
      <c r="AZ427" s="467" t="str">
        <f t="shared" si="229"/>
        <v/>
      </c>
      <c r="BA427" s="468" t="str">
        <f>IF(AS427="","",IF(OR(AU427="",AU427="-"),"－",IF(OR(AZ427=8,AZ427=9),"",IF(OR(AW427=3,AW427=4,AW427=5,AW427=6),VLOOKUP(AU427,INDEX((係数_バス貨物_ガソリン,係数_バス貨物_CNG,係数_バス貨物_軽油,係数_バス貨物_メタノール,係数_バス貨物_LPG),MATCH(AY427,【参考】排出係数!$AI$4:$AI$671,1),1,BE427):INDEX((係数_バス貨物_ガソリン,係数_バス貨物_CNG,係数_バス貨物_軽油,係数_バス貨物_メタノール,係数_バス貨物_LPG),MATCH(AY427+1,【参考】排出係数!$AI$4:$AI$671,1)-1,5,BE427),2,FALSE),IF(OR(AW427=1,AW427=2),VLOOKUP(AU427,INDEX((係数_乗用_ガソリン,係数_乗用_CNG,係数_乗用_軽油,係数_乗用_メタノール,係数_乗用_LPG),1,1,BE427):INDEX((係数_乗用_ガソリン,係数_乗用_CNG,係数_乗用_軽油,係数_乗用_メタノール,係数_乗用_LPG),125,5,BE427),2,FALSE))))))</f>
        <v/>
      </c>
      <c r="BB427" s="468" t="str">
        <f>IF(T427="","",IF(OR(AU427="",AU427="-"),"－",IF(OR(AZ427=8,AZ427=9),"",IF(OR(AW427=3,AW427=4,AW427=5,AW427=6),VLOOKUP(AU427,INDEX((係数_バス貨物_ガソリン,係数_バス貨物_CNG,係数_バス貨物_軽油,係数_バス貨物_メタノール,係数_バス貨物_LPG),MATCH(AY427,【参考】排出係数!$AI$4:$AI$671,1),1,BE427):INDEX((係数_バス貨物_ガソリン,係数_バス貨物_CNG,係数_バス貨物_軽油,係数_バス貨物_メタノール,係数_バス貨物_LPG),MATCH(AY427+1,【参考】排出係数!$AI$4:$AI$671,1)-1,5,BE427),3,FALSE),IF(OR(AW427=1,AW427=2),VLOOKUP(AU427,INDEX((係数_乗用_ガソリン,係数_乗用_CNG,係数_乗用_軽油,係数_乗用_メタノール,係数_乗用_LPG),1,1,BE427):INDEX((係数_乗用_ガソリン,係数_乗用_CNG,係数_乗用_軽油,係数_乗用_メタノール,係数_乗用_LPG),125,5,BE427),3,FALSE))))))</f>
        <v/>
      </c>
      <c r="BC427" s="467" t="str">
        <f t="shared" si="230"/>
        <v/>
      </c>
      <c r="BD427" s="567" t="str">
        <f t="shared" si="231"/>
        <v/>
      </c>
      <c r="BE427" s="467" t="str">
        <f t="shared" si="232"/>
        <v/>
      </c>
      <c r="BF427" s="469" t="str">
        <f t="shared" ca="1" si="233"/>
        <v/>
      </c>
      <c r="BG427" s="469" t="str">
        <f t="shared" ca="1" si="234"/>
        <v/>
      </c>
      <c r="BH427" s="467" t="str">
        <f t="shared" si="235"/>
        <v/>
      </c>
      <c r="BI427" s="467" t="str">
        <f t="shared" ca="1" si="236"/>
        <v/>
      </c>
      <c r="BJ427" s="469" t="str">
        <f t="shared" si="237"/>
        <v/>
      </c>
      <c r="BK427" s="470" t="str">
        <f t="shared" si="217"/>
        <v/>
      </c>
      <c r="BL427" s="775" t="str">
        <f t="shared" si="238"/>
        <v/>
      </c>
      <c r="BM427" s="775" t="str">
        <f t="shared" si="239"/>
        <v/>
      </c>
    </row>
    <row r="428" spans="1:65">
      <c r="A428" s="473">
        <v>372</v>
      </c>
      <c r="B428" s="132"/>
      <c r="C428" s="332"/>
      <c r="D428" s="333"/>
      <c r="E428" s="333"/>
      <c r="F428" s="334"/>
      <c r="G428" s="337"/>
      <c r="H428" s="131"/>
      <c r="I428" s="337"/>
      <c r="J428" s="131"/>
      <c r="K428" s="458" t="str">
        <f t="shared" si="206"/>
        <v/>
      </c>
      <c r="L428" s="458">
        <f t="shared" si="218"/>
        <v>0</v>
      </c>
      <c r="M428" s="458">
        <f t="shared" si="219"/>
        <v>0</v>
      </c>
      <c r="N428" s="459" t="str">
        <f t="shared" si="207"/>
        <v/>
      </c>
      <c r="O428" s="459" t="str">
        <f t="shared" si="208"/>
        <v/>
      </c>
      <c r="P428" s="459" t="str">
        <f t="shared" si="209"/>
        <v/>
      </c>
      <c r="Q428" s="459" t="str">
        <f t="shared" si="210"/>
        <v/>
      </c>
      <c r="R428" s="459" t="str">
        <f t="shared" si="211"/>
        <v/>
      </c>
      <c r="S428" s="459" t="str">
        <f t="shared" si="212"/>
        <v/>
      </c>
      <c r="T428" s="566" t="str">
        <f t="shared" si="220"/>
        <v/>
      </c>
      <c r="U428" s="702"/>
      <c r="V428" s="132"/>
      <c r="W428" s="133"/>
      <c r="X428" s="134"/>
      <c r="Y428" s="135"/>
      <c r="Z428" s="137"/>
      <c r="AA428" s="136"/>
      <c r="AB428" s="566" t="str">
        <f t="shared" si="213"/>
        <v/>
      </c>
      <c r="AC428" s="568" t="str">
        <f t="shared" si="221"/>
        <v/>
      </c>
      <c r="AD428" s="137"/>
      <c r="AE428" s="137"/>
      <c r="AF428" s="138"/>
      <c r="AG428" s="138"/>
      <c r="AH428" s="592" t="str">
        <f t="shared" si="214"/>
        <v/>
      </c>
      <c r="AI428" s="592" t="str">
        <f t="shared" si="215"/>
        <v/>
      </c>
      <c r="AJ428" s="592" t="str">
        <f t="shared" si="216"/>
        <v/>
      </c>
      <c r="AK428" s="460" t="str">
        <f>IF(AU428="","",IF(OR(AZ428=8,AZ428=9),0,IF(OR(AW428=3,AW428=4,AW428=5,AW428=6),IF(LEFT(BF428,1)="1",INDEX(係数_NOX・PM低減,MATCH(AY428,【参考】排出係数!$AI$801:$AI$804,1),1),VLOOKUP(AU428,INDEX((係数_バス貨物_ガソリン,係数_バス貨物_CNG,係数_バス貨物_軽油,係数_バス貨物_メタノール,係数_バス貨物_LPG),MATCH(AY428,【参考】排出係数!$AI$4:$AI$671,1),1,BE428):INDEX((係数_バス貨物_ガソリン,係数_バス貨物_CNG,係数_バス貨物_軽油,係数_バス貨物_メタノール,係数_バス貨物_LPG),MATCH(AY428+1,【参考】排出係数!$AI$4:$AI$671,1)-1,5,BE428),4,FALSE)),IF(AND(BE428=3,LEFT(BF428,1)="1"),0.48,VLOOKUP(AU428,INDEX((係数_乗用_ガソリン,係数_乗用_CNG,係数_乗用_軽油,係数_乗用_メタノール,係数_乗用_LPG),1,1,BE428):INDEX((係数_乗用_ガソリン,係数_乗用_CNG,係数_乗用_軽油,係数_乗用_メタノール,係数_乗用_LPG),125,5,BE428),4,FALSE)))))</f>
        <v/>
      </c>
      <c r="AL428" s="461" t="str">
        <f t="shared" si="240"/>
        <v/>
      </c>
      <c r="AM428" s="460" t="str">
        <f>IF(AU428="","",IF(OR(AZ428=8,AZ428=9),0,IF(OR(AW428=3,AW428=4,AW428=5,AW428=6),IF(LEFT(BH428,1)="1",INDEX(係数_PM低減,MATCH(AY428,【参考】排出係数!$AI$801:$AI$804,1),MATCH(BI428,【参考】排出係数!$AL$798:$AO$798,1)),VLOOKUP(AU428,INDEX((係数_バス貨物_ガソリン,係数_バス貨物_CNG,係数_バス貨物_軽油,係数_バス貨物_メタノール,係数_バス貨物_LPG),MATCH(AY428,【参考】排出係数!$AI$4:$AI$671,1),1,BE428):INDEX((係数_バス貨物_ガソリン,係数_バス貨物_CNG,係数_バス貨物_軽油,係数_バス貨物_メタノール,係数_バス貨物_LPG),MATCH(AY428+1,【参考】排出係数!$AI$4:$AI$671,1)-1,5,BE428),5,FALSE)),IF(AND(BE428=3,LEFT(BF428,1)="1"),0.055,VLOOKUP(AU428,INDEX((係数_乗用_ガソリン,係数_乗用_CNG,係数_乗用_軽油,係数_乗用_メタノール,係数_乗用_LPG),1,1,BE428):INDEX((係数_乗用_ガソリン,係数_乗用_CNG,係数_乗用_軽油,係数_乗用_メタノール,係数_乗用_LPG),125,5,BE428),5,FALSE)))))</f>
        <v/>
      </c>
      <c r="AN428" s="461" t="str">
        <f t="shared" si="241"/>
        <v/>
      </c>
      <c r="AO428" s="462" t="str">
        <f t="shared" si="242"/>
        <v/>
      </c>
      <c r="AP428" s="463" t="str">
        <f t="shared" si="243"/>
        <v/>
      </c>
      <c r="AQ428" s="464"/>
      <c r="AR428" s="619"/>
      <c r="AS428" s="465" t="str">
        <f t="shared" si="222"/>
        <v/>
      </c>
      <c r="AT428" s="465" t="str">
        <f t="shared" si="223"/>
        <v/>
      </c>
      <c r="AU428" s="466" t="str">
        <f t="shared" si="224"/>
        <v/>
      </c>
      <c r="AV428" s="467" t="str">
        <f t="shared" si="225"/>
        <v/>
      </c>
      <c r="AW428" s="467" t="str">
        <f t="shared" si="226"/>
        <v/>
      </c>
      <c r="AX428" s="467" t="str">
        <f t="shared" si="227"/>
        <v/>
      </c>
      <c r="AY428" s="467" t="str">
        <f t="shared" si="228"/>
        <v/>
      </c>
      <c r="AZ428" s="467" t="str">
        <f t="shared" si="229"/>
        <v/>
      </c>
      <c r="BA428" s="468" t="str">
        <f>IF(AS428="","",IF(OR(AU428="",AU428="-"),"－",IF(OR(AZ428=8,AZ428=9),"",IF(OR(AW428=3,AW428=4,AW428=5,AW428=6),VLOOKUP(AU428,INDEX((係数_バス貨物_ガソリン,係数_バス貨物_CNG,係数_バス貨物_軽油,係数_バス貨物_メタノール,係数_バス貨物_LPG),MATCH(AY428,【参考】排出係数!$AI$4:$AI$671,1),1,BE428):INDEX((係数_バス貨物_ガソリン,係数_バス貨物_CNG,係数_バス貨物_軽油,係数_バス貨物_メタノール,係数_バス貨物_LPG),MATCH(AY428+1,【参考】排出係数!$AI$4:$AI$671,1)-1,5,BE428),2,FALSE),IF(OR(AW428=1,AW428=2),VLOOKUP(AU428,INDEX((係数_乗用_ガソリン,係数_乗用_CNG,係数_乗用_軽油,係数_乗用_メタノール,係数_乗用_LPG),1,1,BE428):INDEX((係数_乗用_ガソリン,係数_乗用_CNG,係数_乗用_軽油,係数_乗用_メタノール,係数_乗用_LPG),125,5,BE428),2,FALSE))))))</f>
        <v/>
      </c>
      <c r="BB428" s="468" t="str">
        <f>IF(T428="","",IF(OR(AU428="",AU428="-"),"－",IF(OR(AZ428=8,AZ428=9),"",IF(OR(AW428=3,AW428=4,AW428=5,AW428=6),VLOOKUP(AU428,INDEX((係数_バス貨物_ガソリン,係数_バス貨物_CNG,係数_バス貨物_軽油,係数_バス貨物_メタノール,係数_バス貨物_LPG),MATCH(AY428,【参考】排出係数!$AI$4:$AI$671,1),1,BE428):INDEX((係数_バス貨物_ガソリン,係数_バス貨物_CNG,係数_バス貨物_軽油,係数_バス貨物_メタノール,係数_バス貨物_LPG),MATCH(AY428+1,【参考】排出係数!$AI$4:$AI$671,1)-1,5,BE428),3,FALSE),IF(OR(AW428=1,AW428=2),VLOOKUP(AU428,INDEX((係数_乗用_ガソリン,係数_乗用_CNG,係数_乗用_軽油,係数_乗用_メタノール,係数_乗用_LPG),1,1,BE428):INDEX((係数_乗用_ガソリン,係数_乗用_CNG,係数_乗用_軽油,係数_乗用_メタノール,係数_乗用_LPG),125,5,BE428),3,FALSE))))))</f>
        <v/>
      </c>
      <c r="BC428" s="467" t="str">
        <f t="shared" si="230"/>
        <v/>
      </c>
      <c r="BD428" s="567" t="str">
        <f t="shared" si="231"/>
        <v/>
      </c>
      <c r="BE428" s="467" t="str">
        <f t="shared" si="232"/>
        <v/>
      </c>
      <c r="BF428" s="469" t="str">
        <f t="shared" ca="1" si="233"/>
        <v/>
      </c>
      <c r="BG428" s="469" t="str">
        <f t="shared" ca="1" si="234"/>
        <v/>
      </c>
      <c r="BH428" s="467" t="str">
        <f t="shared" si="235"/>
        <v/>
      </c>
      <c r="BI428" s="467" t="str">
        <f t="shared" ca="1" si="236"/>
        <v/>
      </c>
      <c r="BJ428" s="469" t="str">
        <f t="shared" si="237"/>
        <v/>
      </c>
      <c r="BK428" s="470" t="str">
        <f t="shared" si="217"/>
        <v/>
      </c>
      <c r="BL428" s="775" t="str">
        <f t="shared" si="238"/>
        <v/>
      </c>
      <c r="BM428" s="775" t="str">
        <f t="shared" si="239"/>
        <v/>
      </c>
    </row>
    <row r="429" spans="1:65">
      <c r="A429" s="473">
        <v>373</v>
      </c>
      <c r="B429" s="132"/>
      <c r="C429" s="332"/>
      <c r="D429" s="333"/>
      <c r="E429" s="333"/>
      <c r="F429" s="334"/>
      <c r="G429" s="337"/>
      <c r="H429" s="131"/>
      <c r="I429" s="337"/>
      <c r="J429" s="131"/>
      <c r="K429" s="458" t="str">
        <f t="shared" si="206"/>
        <v/>
      </c>
      <c r="L429" s="458">
        <f t="shared" si="218"/>
        <v>0</v>
      </c>
      <c r="M429" s="458">
        <f t="shared" si="219"/>
        <v>0</v>
      </c>
      <c r="N429" s="459" t="str">
        <f t="shared" si="207"/>
        <v/>
      </c>
      <c r="O429" s="459" t="str">
        <f t="shared" si="208"/>
        <v/>
      </c>
      <c r="P429" s="459" t="str">
        <f t="shared" si="209"/>
        <v/>
      </c>
      <c r="Q429" s="459" t="str">
        <f t="shared" si="210"/>
        <v/>
      </c>
      <c r="R429" s="459" t="str">
        <f t="shared" si="211"/>
        <v/>
      </c>
      <c r="S429" s="459" t="str">
        <f t="shared" si="212"/>
        <v/>
      </c>
      <c r="T429" s="566" t="str">
        <f t="shared" si="220"/>
        <v/>
      </c>
      <c r="U429" s="702"/>
      <c r="V429" s="132"/>
      <c r="W429" s="133"/>
      <c r="X429" s="134"/>
      <c r="Y429" s="135"/>
      <c r="Z429" s="137"/>
      <c r="AA429" s="136"/>
      <c r="AB429" s="566" t="str">
        <f t="shared" si="213"/>
        <v/>
      </c>
      <c r="AC429" s="568" t="str">
        <f t="shared" si="221"/>
        <v/>
      </c>
      <c r="AD429" s="137"/>
      <c r="AE429" s="137"/>
      <c r="AF429" s="138"/>
      <c r="AG429" s="138"/>
      <c r="AH429" s="592" t="str">
        <f t="shared" si="214"/>
        <v/>
      </c>
      <c r="AI429" s="592" t="str">
        <f t="shared" si="215"/>
        <v/>
      </c>
      <c r="AJ429" s="592" t="str">
        <f t="shared" si="216"/>
        <v/>
      </c>
      <c r="AK429" s="460" t="str">
        <f>IF(AU429="","",IF(OR(AZ429=8,AZ429=9),0,IF(OR(AW429=3,AW429=4,AW429=5,AW429=6),IF(LEFT(BF429,1)="1",INDEX(係数_NOX・PM低減,MATCH(AY429,【参考】排出係数!$AI$801:$AI$804,1),1),VLOOKUP(AU429,INDEX((係数_バス貨物_ガソリン,係数_バス貨物_CNG,係数_バス貨物_軽油,係数_バス貨物_メタノール,係数_バス貨物_LPG),MATCH(AY429,【参考】排出係数!$AI$4:$AI$671,1),1,BE429):INDEX((係数_バス貨物_ガソリン,係数_バス貨物_CNG,係数_バス貨物_軽油,係数_バス貨物_メタノール,係数_バス貨物_LPG),MATCH(AY429+1,【参考】排出係数!$AI$4:$AI$671,1)-1,5,BE429),4,FALSE)),IF(AND(BE429=3,LEFT(BF429,1)="1"),0.48,VLOOKUP(AU429,INDEX((係数_乗用_ガソリン,係数_乗用_CNG,係数_乗用_軽油,係数_乗用_メタノール,係数_乗用_LPG),1,1,BE429):INDEX((係数_乗用_ガソリン,係数_乗用_CNG,係数_乗用_軽油,係数_乗用_メタノール,係数_乗用_LPG),125,5,BE429),4,FALSE)))))</f>
        <v/>
      </c>
      <c r="AL429" s="461" t="str">
        <f t="shared" si="240"/>
        <v/>
      </c>
      <c r="AM429" s="460" t="str">
        <f>IF(AU429="","",IF(OR(AZ429=8,AZ429=9),0,IF(OR(AW429=3,AW429=4,AW429=5,AW429=6),IF(LEFT(BH429,1)="1",INDEX(係数_PM低減,MATCH(AY429,【参考】排出係数!$AI$801:$AI$804,1),MATCH(BI429,【参考】排出係数!$AL$798:$AO$798,1)),VLOOKUP(AU429,INDEX((係数_バス貨物_ガソリン,係数_バス貨物_CNG,係数_バス貨物_軽油,係数_バス貨物_メタノール,係数_バス貨物_LPG),MATCH(AY429,【参考】排出係数!$AI$4:$AI$671,1),1,BE429):INDEX((係数_バス貨物_ガソリン,係数_バス貨物_CNG,係数_バス貨物_軽油,係数_バス貨物_メタノール,係数_バス貨物_LPG),MATCH(AY429+1,【参考】排出係数!$AI$4:$AI$671,1)-1,5,BE429),5,FALSE)),IF(AND(BE429=3,LEFT(BF429,1)="1"),0.055,VLOOKUP(AU429,INDEX((係数_乗用_ガソリン,係数_乗用_CNG,係数_乗用_軽油,係数_乗用_メタノール,係数_乗用_LPG),1,1,BE429):INDEX((係数_乗用_ガソリン,係数_乗用_CNG,係数_乗用_軽油,係数_乗用_メタノール,係数_乗用_LPG),125,5,BE429),5,FALSE)))))</f>
        <v/>
      </c>
      <c r="AN429" s="461" t="str">
        <f t="shared" si="241"/>
        <v/>
      </c>
      <c r="AO429" s="462" t="str">
        <f t="shared" si="242"/>
        <v/>
      </c>
      <c r="AP429" s="463" t="str">
        <f t="shared" si="243"/>
        <v/>
      </c>
      <c r="AQ429" s="464"/>
      <c r="AR429" s="619"/>
      <c r="AS429" s="465" t="str">
        <f t="shared" si="222"/>
        <v/>
      </c>
      <c r="AT429" s="465" t="str">
        <f t="shared" si="223"/>
        <v/>
      </c>
      <c r="AU429" s="466" t="str">
        <f t="shared" si="224"/>
        <v/>
      </c>
      <c r="AV429" s="467" t="str">
        <f t="shared" si="225"/>
        <v/>
      </c>
      <c r="AW429" s="467" t="str">
        <f t="shared" si="226"/>
        <v/>
      </c>
      <c r="AX429" s="467" t="str">
        <f t="shared" si="227"/>
        <v/>
      </c>
      <c r="AY429" s="467" t="str">
        <f t="shared" si="228"/>
        <v/>
      </c>
      <c r="AZ429" s="467" t="str">
        <f t="shared" si="229"/>
        <v/>
      </c>
      <c r="BA429" s="468" t="str">
        <f>IF(AS429="","",IF(OR(AU429="",AU429="-"),"－",IF(OR(AZ429=8,AZ429=9),"",IF(OR(AW429=3,AW429=4,AW429=5,AW429=6),VLOOKUP(AU429,INDEX((係数_バス貨物_ガソリン,係数_バス貨物_CNG,係数_バス貨物_軽油,係数_バス貨物_メタノール,係数_バス貨物_LPG),MATCH(AY429,【参考】排出係数!$AI$4:$AI$671,1),1,BE429):INDEX((係数_バス貨物_ガソリン,係数_バス貨物_CNG,係数_バス貨物_軽油,係数_バス貨物_メタノール,係数_バス貨物_LPG),MATCH(AY429+1,【参考】排出係数!$AI$4:$AI$671,1)-1,5,BE429),2,FALSE),IF(OR(AW429=1,AW429=2),VLOOKUP(AU429,INDEX((係数_乗用_ガソリン,係数_乗用_CNG,係数_乗用_軽油,係数_乗用_メタノール,係数_乗用_LPG),1,1,BE429):INDEX((係数_乗用_ガソリン,係数_乗用_CNG,係数_乗用_軽油,係数_乗用_メタノール,係数_乗用_LPG),125,5,BE429),2,FALSE))))))</f>
        <v/>
      </c>
      <c r="BB429" s="468" t="str">
        <f>IF(T429="","",IF(OR(AU429="",AU429="-"),"－",IF(OR(AZ429=8,AZ429=9),"",IF(OR(AW429=3,AW429=4,AW429=5,AW429=6),VLOOKUP(AU429,INDEX((係数_バス貨物_ガソリン,係数_バス貨物_CNG,係数_バス貨物_軽油,係数_バス貨物_メタノール,係数_バス貨物_LPG),MATCH(AY429,【参考】排出係数!$AI$4:$AI$671,1),1,BE429):INDEX((係数_バス貨物_ガソリン,係数_バス貨物_CNG,係数_バス貨物_軽油,係数_バス貨物_メタノール,係数_バス貨物_LPG),MATCH(AY429+1,【参考】排出係数!$AI$4:$AI$671,1)-1,5,BE429),3,FALSE),IF(OR(AW429=1,AW429=2),VLOOKUP(AU429,INDEX((係数_乗用_ガソリン,係数_乗用_CNG,係数_乗用_軽油,係数_乗用_メタノール,係数_乗用_LPG),1,1,BE429):INDEX((係数_乗用_ガソリン,係数_乗用_CNG,係数_乗用_軽油,係数_乗用_メタノール,係数_乗用_LPG),125,5,BE429),3,FALSE))))))</f>
        <v/>
      </c>
      <c r="BC429" s="467" t="str">
        <f t="shared" si="230"/>
        <v/>
      </c>
      <c r="BD429" s="567" t="str">
        <f t="shared" si="231"/>
        <v/>
      </c>
      <c r="BE429" s="467" t="str">
        <f t="shared" si="232"/>
        <v/>
      </c>
      <c r="BF429" s="469" t="str">
        <f t="shared" ca="1" si="233"/>
        <v/>
      </c>
      <c r="BG429" s="469" t="str">
        <f t="shared" ca="1" si="234"/>
        <v/>
      </c>
      <c r="BH429" s="467" t="str">
        <f t="shared" si="235"/>
        <v/>
      </c>
      <c r="BI429" s="467" t="str">
        <f t="shared" ca="1" si="236"/>
        <v/>
      </c>
      <c r="BJ429" s="469" t="str">
        <f t="shared" si="237"/>
        <v/>
      </c>
      <c r="BK429" s="470" t="str">
        <f t="shared" si="217"/>
        <v/>
      </c>
      <c r="BL429" s="775" t="str">
        <f t="shared" si="238"/>
        <v/>
      </c>
      <c r="BM429" s="775" t="str">
        <f t="shared" si="239"/>
        <v/>
      </c>
    </row>
    <row r="430" spans="1:65">
      <c r="A430" s="473">
        <v>374</v>
      </c>
      <c r="B430" s="132"/>
      <c r="C430" s="332"/>
      <c r="D430" s="333"/>
      <c r="E430" s="333"/>
      <c r="F430" s="334"/>
      <c r="G430" s="337"/>
      <c r="H430" s="131"/>
      <c r="I430" s="337"/>
      <c r="J430" s="131"/>
      <c r="K430" s="458" t="str">
        <f t="shared" si="206"/>
        <v/>
      </c>
      <c r="L430" s="458">
        <f t="shared" si="218"/>
        <v>0</v>
      </c>
      <c r="M430" s="458">
        <f t="shared" si="219"/>
        <v>0</v>
      </c>
      <c r="N430" s="459" t="str">
        <f t="shared" si="207"/>
        <v/>
      </c>
      <c r="O430" s="459" t="str">
        <f t="shared" si="208"/>
        <v/>
      </c>
      <c r="P430" s="459" t="str">
        <f t="shared" si="209"/>
        <v/>
      </c>
      <c r="Q430" s="459" t="str">
        <f t="shared" si="210"/>
        <v/>
      </c>
      <c r="R430" s="459" t="str">
        <f t="shared" si="211"/>
        <v/>
      </c>
      <c r="S430" s="459" t="str">
        <f t="shared" si="212"/>
        <v/>
      </c>
      <c r="T430" s="566" t="str">
        <f t="shared" si="220"/>
        <v/>
      </c>
      <c r="U430" s="702"/>
      <c r="V430" s="132"/>
      <c r="W430" s="133"/>
      <c r="X430" s="134"/>
      <c r="Y430" s="135"/>
      <c r="Z430" s="137"/>
      <c r="AA430" s="136"/>
      <c r="AB430" s="566" t="str">
        <f t="shared" si="213"/>
        <v/>
      </c>
      <c r="AC430" s="568" t="str">
        <f t="shared" si="221"/>
        <v/>
      </c>
      <c r="AD430" s="137"/>
      <c r="AE430" s="137"/>
      <c r="AF430" s="138"/>
      <c r="AG430" s="138"/>
      <c r="AH430" s="592" t="str">
        <f t="shared" si="214"/>
        <v/>
      </c>
      <c r="AI430" s="592" t="str">
        <f t="shared" si="215"/>
        <v/>
      </c>
      <c r="AJ430" s="592" t="str">
        <f t="shared" si="216"/>
        <v/>
      </c>
      <c r="AK430" s="460" t="str">
        <f>IF(AU430="","",IF(OR(AZ430=8,AZ430=9),0,IF(OR(AW430=3,AW430=4,AW430=5,AW430=6),IF(LEFT(BF430,1)="1",INDEX(係数_NOX・PM低減,MATCH(AY430,【参考】排出係数!$AI$801:$AI$804,1),1),VLOOKUP(AU430,INDEX((係数_バス貨物_ガソリン,係数_バス貨物_CNG,係数_バス貨物_軽油,係数_バス貨物_メタノール,係数_バス貨物_LPG),MATCH(AY430,【参考】排出係数!$AI$4:$AI$671,1),1,BE430):INDEX((係数_バス貨物_ガソリン,係数_バス貨物_CNG,係数_バス貨物_軽油,係数_バス貨物_メタノール,係数_バス貨物_LPG),MATCH(AY430+1,【参考】排出係数!$AI$4:$AI$671,1)-1,5,BE430),4,FALSE)),IF(AND(BE430=3,LEFT(BF430,1)="1"),0.48,VLOOKUP(AU430,INDEX((係数_乗用_ガソリン,係数_乗用_CNG,係数_乗用_軽油,係数_乗用_メタノール,係数_乗用_LPG),1,1,BE430):INDEX((係数_乗用_ガソリン,係数_乗用_CNG,係数_乗用_軽油,係数_乗用_メタノール,係数_乗用_LPG),125,5,BE430),4,FALSE)))))</f>
        <v/>
      </c>
      <c r="AL430" s="461" t="str">
        <f t="shared" si="240"/>
        <v/>
      </c>
      <c r="AM430" s="460" t="str">
        <f>IF(AU430="","",IF(OR(AZ430=8,AZ430=9),0,IF(OR(AW430=3,AW430=4,AW430=5,AW430=6),IF(LEFT(BH430,1)="1",INDEX(係数_PM低減,MATCH(AY430,【参考】排出係数!$AI$801:$AI$804,1),MATCH(BI430,【参考】排出係数!$AL$798:$AO$798,1)),VLOOKUP(AU430,INDEX((係数_バス貨物_ガソリン,係数_バス貨物_CNG,係数_バス貨物_軽油,係数_バス貨物_メタノール,係数_バス貨物_LPG),MATCH(AY430,【参考】排出係数!$AI$4:$AI$671,1),1,BE430):INDEX((係数_バス貨物_ガソリン,係数_バス貨物_CNG,係数_バス貨物_軽油,係数_バス貨物_メタノール,係数_バス貨物_LPG),MATCH(AY430+1,【参考】排出係数!$AI$4:$AI$671,1)-1,5,BE430),5,FALSE)),IF(AND(BE430=3,LEFT(BF430,1)="1"),0.055,VLOOKUP(AU430,INDEX((係数_乗用_ガソリン,係数_乗用_CNG,係数_乗用_軽油,係数_乗用_メタノール,係数_乗用_LPG),1,1,BE430):INDEX((係数_乗用_ガソリン,係数_乗用_CNG,係数_乗用_軽油,係数_乗用_メタノール,係数_乗用_LPG),125,5,BE430),5,FALSE)))))</f>
        <v/>
      </c>
      <c r="AN430" s="461" t="str">
        <f t="shared" si="241"/>
        <v/>
      </c>
      <c r="AO430" s="462" t="str">
        <f t="shared" si="242"/>
        <v/>
      </c>
      <c r="AP430" s="463" t="str">
        <f t="shared" si="243"/>
        <v/>
      </c>
      <c r="AQ430" s="464"/>
      <c r="AR430" s="619"/>
      <c r="AS430" s="465" t="str">
        <f t="shared" si="222"/>
        <v/>
      </c>
      <c r="AT430" s="465" t="str">
        <f t="shared" si="223"/>
        <v/>
      </c>
      <c r="AU430" s="466" t="str">
        <f t="shared" si="224"/>
        <v/>
      </c>
      <c r="AV430" s="467" t="str">
        <f t="shared" si="225"/>
        <v/>
      </c>
      <c r="AW430" s="467" t="str">
        <f t="shared" si="226"/>
        <v/>
      </c>
      <c r="AX430" s="467" t="str">
        <f t="shared" si="227"/>
        <v/>
      </c>
      <c r="AY430" s="467" t="str">
        <f t="shared" si="228"/>
        <v/>
      </c>
      <c r="AZ430" s="467" t="str">
        <f t="shared" si="229"/>
        <v/>
      </c>
      <c r="BA430" s="468" t="str">
        <f>IF(AS430="","",IF(OR(AU430="",AU430="-"),"－",IF(OR(AZ430=8,AZ430=9),"",IF(OR(AW430=3,AW430=4,AW430=5,AW430=6),VLOOKUP(AU430,INDEX((係数_バス貨物_ガソリン,係数_バス貨物_CNG,係数_バス貨物_軽油,係数_バス貨物_メタノール,係数_バス貨物_LPG),MATCH(AY430,【参考】排出係数!$AI$4:$AI$671,1),1,BE430):INDEX((係数_バス貨物_ガソリン,係数_バス貨物_CNG,係数_バス貨物_軽油,係数_バス貨物_メタノール,係数_バス貨物_LPG),MATCH(AY430+1,【参考】排出係数!$AI$4:$AI$671,1)-1,5,BE430),2,FALSE),IF(OR(AW430=1,AW430=2),VLOOKUP(AU430,INDEX((係数_乗用_ガソリン,係数_乗用_CNG,係数_乗用_軽油,係数_乗用_メタノール,係数_乗用_LPG),1,1,BE430):INDEX((係数_乗用_ガソリン,係数_乗用_CNG,係数_乗用_軽油,係数_乗用_メタノール,係数_乗用_LPG),125,5,BE430),2,FALSE))))))</f>
        <v/>
      </c>
      <c r="BB430" s="468" t="str">
        <f>IF(T430="","",IF(OR(AU430="",AU430="-"),"－",IF(OR(AZ430=8,AZ430=9),"",IF(OR(AW430=3,AW430=4,AW430=5,AW430=6),VLOOKUP(AU430,INDEX((係数_バス貨物_ガソリン,係数_バス貨物_CNG,係数_バス貨物_軽油,係数_バス貨物_メタノール,係数_バス貨物_LPG),MATCH(AY430,【参考】排出係数!$AI$4:$AI$671,1),1,BE430):INDEX((係数_バス貨物_ガソリン,係数_バス貨物_CNG,係数_バス貨物_軽油,係数_バス貨物_メタノール,係数_バス貨物_LPG),MATCH(AY430+1,【参考】排出係数!$AI$4:$AI$671,1)-1,5,BE430),3,FALSE),IF(OR(AW430=1,AW430=2),VLOOKUP(AU430,INDEX((係数_乗用_ガソリン,係数_乗用_CNG,係数_乗用_軽油,係数_乗用_メタノール,係数_乗用_LPG),1,1,BE430):INDEX((係数_乗用_ガソリン,係数_乗用_CNG,係数_乗用_軽油,係数_乗用_メタノール,係数_乗用_LPG),125,5,BE430),3,FALSE))))))</f>
        <v/>
      </c>
      <c r="BC430" s="467" t="str">
        <f t="shared" si="230"/>
        <v/>
      </c>
      <c r="BD430" s="567" t="str">
        <f t="shared" si="231"/>
        <v/>
      </c>
      <c r="BE430" s="467" t="str">
        <f t="shared" si="232"/>
        <v/>
      </c>
      <c r="BF430" s="469" t="str">
        <f t="shared" ca="1" si="233"/>
        <v/>
      </c>
      <c r="BG430" s="469" t="str">
        <f t="shared" ca="1" si="234"/>
        <v/>
      </c>
      <c r="BH430" s="467" t="str">
        <f t="shared" si="235"/>
        <v/>
      </c>
      <c r="BI430" s="467" t="str">
        <f t="shared" ca="1" si="236"/>
        <v/>
      </c>
      <c r="BJ430" s="469" t="str">
        <f t="shared" si="237"/>
        <v/>
      </c>
      <c r="BK430" s="470" t="str">
        <f t="shared" si="217"/>
        <v/>
      </c>
      <c r="BL430" s="775" t="str">
        <f t="shared" si="238"/>
        <v/>
      </c>
      <c r="BM430" s="775" t="str">
        <f t="shared" si="239"/>
        <v/>
      </c>
    </row>
    <row r="431" spans="1:65">
      <c r="A431" s="473">
        <v>375</v>
      </c>
      <c r="B431" s="132"/>
      <c r="C431" s="332"/>
      <c r="D431" s="333"/>
      <c r="E431" s="333"/>
      <c r="F431" s="334"/>
      <c r="G431" s="337"/>
      <c r="H431" s="131"/>
      <c r="I431" s="337"/>
      <c r="J431" s="131"/>
      <c r="K431" s="458" t="str">
        <f t="shared" si="206"/>
        <v/>
      </c>
      <c r="L431" s="458">
        <f t="shared" si="218"/>
        <v>0</v>
      </c>
      <c r="M431" s="458">
        <f t="shared" si="219"/>
        <v>0</v>
      </c>
      <c r="N431" s="459" t="str">
        <f t="shared" si="207"/>
        <v/>
      </c>
      <c r="O431" s="459" t="str">
        <f t="shared" si="208"/>
        <v/>
      </c>
      <c r="P431" s="459" t="str">
        <f t="shared" si="209"/>
        <v/>
      </c>
      <c r="Q431" s="459" t="str">
        <f t="shared" si="210"/>
        <v/>
      </c>
      <c r="R431" s="459" t="str">
        <f t="shared" si="211"/>
        <v/>
      </c>
      <c r="S431" s="459" t="str">
        <f t="shared" si="212"/>
        <v/>
      </c>
      <c r="T431" s="566" t="str">
        <f t="shared" si="220"/>
        <v/>
      </c>
      <c r="U431" s="702"/>
      <c r="V431" s="132"/>
      <c r="W431" s="133"/>
      <c r="X431" s="134"/>
      <c r="Y431" s="135"/>
      <c r="Z431" s="137"/>
      <c r="AA431" s="136"/>
      <c r="AB431" s="566" t="str">
        <f t="shared" si="213"/>
        <v/>
      </c>
      <c r="AC431" s="568" t="str">
        <f t="shared" si="221"/>
        <v/>
      </c>
      <c r="AD431" s="137"/>
      <c r="AE431" s="137"/>
      <c r="AF431" s="138"/>
      <c r="AG431" s="138"/>
      <c r="AH431" s="592" t="str">
        <f t="shared" si="214"/>
        <v/>
      </c>
      <c r="AI431" s="592" t="str">
        <f t="shared" si="215"/>
        <v/>
      </c>
      <c r="AJ431" s="592" t="str">
        <f t="shared" si="216"/>
        <v/>
      </c>
      <c r="AK431" s="460" t="str">
        <f>IF(AU431="","",IF(OR(AZ431=8,AZ431=9),0,IF(OR(AW431=3,AW431=4,AW431=5,AW431=6),IF(LEFT(BF431,1)="1",INDEX(係数_NOX・PM低減,MATCH(AY431,【参考】排出係数!$AI$801:$AI$804,1),1),VLOOKUP(AU431,INDEX((係数_バス貨物_ガソリン,係数_バス貨物_CNG,係数_バス貨物_軽油,係数_バス貨物_メタノール,係数_バス貨物_LPG),MATCH(AY431,【参考】排出係数!$AI$4:$AI$671,1),1,BE431):INDEX((係数_バス貨物_ガソリン,係数_バス貨物_CNG,係数_バス貨物_軽油,係数_バス貨物_メタノール,係数_バス貨物_LPG),MATCH(AY431+1,【参考】排出係数!$AI$4:$AI$671,1)-1,5,BE431),4,FALSE)),IF(AND(BE431=3,LEFT(BF431,1)="1"),0.48,VLOOKUP(AU431,INDEX((係数_乗用_ガソリン,係数_乗用_CNG,係数_乗用_軽油,係数_乗用_メタノール,係数_乗用_LPG),1,1,BE431):INDEX((係数_乗用_ガソリン,係数_乗用_CNG,係数_乗用_軽油,係数_乗用_メタノール,係数_乗用_LPG),125,5,BE431),4,FALSE)))))</f>
        <v/>
      </c>
      <c r="AL431" s="461" t="str">
        <f t="shared" si="240"/>
        <v/>
      </c>
      <c r="AM431" s="460" t="str">
        <f>IF(AU431="","",IF(OR(AZ431=8,AZ431=9),0,IF(OR(AW431=3,AW431=4,AW431=5,AW431=6),IF(LEFT(BH431,1)="1",INDEX(係数_PM低減,MATCH(AY431,【参考】排出係数!$AI$801:$AI$804,1),MATCH(BI431,【参考】排出係数!$AL$798:$AO$798,1)),VLOOKUP(AU431,INDEX((係数_バス貨物_ガソリン,係数_バス貨物_CNG,係数_バス貨物_軽油,係数_バス貨物_メタノール,係数_バス貨物_LPG),MATCH(AY431,【参考】排出係数!$AI$4:$AI$671,1),1,BE431):INDEX((係数_バス貨物_ガソリン,係数_バス貨物_CNG,係数_バス貨物_軽油,係数_バス貨物_メタノール,係数_バス貨物_LPG),MATCH(AY431+1,【参考】排出係数!$AI$4:$AI$671,1)-1,5,BE431),5,FALSE)),IF(AND(BE431=3,LEFT(BF431,1)="1"),0.055,VLOOKUP(AU431,INDEX((係数_乗用_ガソリン,係数_乗用_CNG,係数_乗用_軽油,係数_乗用_メタノール,係数_乗用_LPG),1,1,BE431):INDEX((係数_乗用_ガソリン,係数_乗用_CNG,係数_乗用_軽油,係数_乗用_メタノール,係数_乗用_LPG),125,5,BE431),5,FALSE)))))</f>
        <v/>
      </c>
      <c r="AN431" s="461" t="str">
        <f t="shared" si="241"/>
        <v/>
      </c>
      <c r="AO431" s="462" t="str">
        <f t="shared" si="242"/>
        <v/>
      </c>
      <c r="AP431" s="463" t="str">
        <f t="shared" si="243"/>
        <v/>
      </c>
      <c r="AQ431" s="464"/>
      <c r="AR431" s="619"/>
      <c r="AS431" s="465" t="str">
        <f t="shared" si="222"/>
        <v/>
      </c>
      <c r="AT431" s="465" t="str">
        <f t="shared" si="223"/>
        <v/>
      </c>
      <c r="AU431" s="466" t="str">
        <f t="shared" si="224"/>
        <v/>
      </c>
      <c r="AV431" s="467" t="str">
        <f t="shared" si="225"/>
        <v/>
      </c>
      <c r="AW431" s="467" t="str">
        <f t="shared" si="226"/>
        <v/>
      </c>
      <c r="AX431" s="467" t="str">
        <f t="shared" si="227"/>
        <v/>
      </c>
      <c r="AY431" s="467" t="str">
        <f t="shared" si="228"/>
        <v/>
      </c>
      <c r="AZ431" s="467" t="str">
        <f t="shared" si="229"/>
        <v/>
      </c>
      <c r="BA431" s="468" t="str">
        <f>IF(AS431="","",IF(OR(AU431="",AU431="-"),"－",IF(OR(AZ431=8,AZ431=9),"",IF(OR(AW431=3,AW431=4,AW431=5,AW431=6),VLOOKUP(AU431,INDEX((係数_バス貨物_ガソリン,係数_バス貨物_CNG,係数_バス貨物_軽油,係数_バス貨物_メタノール,係数_バス貨物_LPG),MATCH(AY431,【参考】排出係数!$AI$4:$AI$671,1),1,BE431):INDEX((係数_バス貨物_ガソリン,係数_バス貨物_CNG,係数_バス貨物_軽油,係数_バス貨物_メタノール,係数_バス貨物_LPG),MATCH(AY431+1,【参考】排出係数!$AI$4:$AI$671,1)-1,5,BE431),2,FALSE),IF(OR(AW431=1,AW431=2),VLOOKUP(AU431,INDEX((係数_乗用_ガソリン,係数_乗用_CNG,係数_乗用_軽油,係数_乗用_メタノール,係数_乗用_LPG),1,1,BE431):INDEX((係数_乗用_ガソリン,係数_乗用_CNG,係数_乗用_軽油,係数_乗用_メタノール,係数_乗用_LPG),125,5,BE431),2,FALSE))))))</f>
        <v/>
      </c>
      <c r="BB431" s="468" t="str">
        <f>IF(T431="","",IF(OR(AU431="",AU431="-"),"－",IF(OR(AZ431=8,AZ431=9),"",IF(OR(AW431=3,AW431=4,AW431=5,AW431=6),VLOOKUP(AU431,INDEX((係数_バス貨物_ガソリン,係数_バス貨物_CNG,係数_バス貨物_軽油,係数_バス貨物_メタノール,係数_バス貨物_LPG),MATCH(AY431,【参考】排出係数!$AI$4:$AI$671,1),1,BE431):INDEX((係数_バス貨物_ガソリン,係数_バス貨物_CNG,係数_バス貨物_軽油,係数_バス貨物_メタノール,係数_バス貨物_LPG),MATCH(AY431+1,【参考】排出係数!$AI$4:$AI$671,1)-1,5,BE431),3,FALSE),IF(OR(AW431=1,AW431=2),VLOOKUP(AU431,INDEX((係数_乗用_ガソリン,係数_乗用_CNG,係数_乗用_軽油,係数_乗用_メタノール,係数_乗用_LPG),1,1,BE431):INDEX((係数_乗用_ガソリン,係数_乗用_CNG,係数_乗用_軽油,係数_乗用_メタノール,係数_乗用_LPG),125,5,BE431),3,FALSE))))))</f>
        <v/>
      </c>
      <c r="BC431" s="467" t="str">
        <f t="shared" si="230"/>
        <v/>
      </c>
      <c r="BD431" s="567" t="str">
        <f t="shared" si="231"/>
        <v/>
      </c>
      <c r="BE431" s="467" t="str">
        <f t="shared" si="232"/>
        <v/>
      </c>
      <c r="BF431" s="469" t="str">
        <f t="shared" ca="1" si="233"/>
        <v/>
      </c>
      <c r="BG431" s="469" t="str">
        <f t="shared" ca="1" si="234"/>
        <v/>
      </c>
      <c r="BH431" s="467" t="str">
        <f t="shared" si="235"/>
        <v/>
      </c>
      <c r="BI431" s="467" t="str">
        <f t="shared" ca="1" si="236"/>
        <v/>
      </c>
      <c r="BJ431" s="469" t="str">
        <f t="shared" si="237"/>
        <v/>
      </c>
      <c r="BK431" s="470" t="str">
        <f t="shared" si="217"/>
        <v/>
      </c>
      <c r="BL431" s="775" t="str">
        <f t="shared" si="238"/>
        <v/>
      </c>
      <c r="BM431" s="775" t="str">
        <f t="shared" si="239"/>
        <v/>
      </c>
    </row>
    <row r="432" spans="1:65">
      <c r="A432" s="473">
        <v>376</v>
      </c>
      <c r="B432" s="132"/>
      <c r="C432" s="332"/>
      <c r="D432" s="333"/>
      <c r="E432" s="333"/>
      <c r="F432" s="334"/>
      <c r="G432" s="337"/>
      <c r="H432" s="131"/>
      <c r="I432" s="337"/>
      <c r="J432" s="131"/>
      <c r="K432" s="458" t="str">
        <f t="shared" si="206"/>
        <v/>
      </c>
      <c r="L432" s="458">
        <f t="shared" si="218"/>
        <v>0</v>
      </c>
      <c r="M432" s="458">
        <f t="shared" si="219"/>
        <v>0</v>
      </c>
      <c r="N432" s="459" t="str">
        <f t="shared" si="207"/>
        <v/>
      </c>
      <c r="O432" s="459" t="str">
        <f t="shared" si="208"/>
        <v/>
      </c>
      <c r="P432" s="459" t="str">
        <f t="shared" si="209"/>
        <v/>
      </c>
      <c r="Q432" s="459" t="str">
        <f t="shared" si="210"/>
        <v/>
      </c>
      <c r="R432" s="459" t="str">
        <f t="shared" si="211"/>
        <v/>
      </c>
      <c r="S432" s="459" t="str">
        <f t="shared" si="212"/>
        <v/>
      </c>
      <c r="T432" s="566" t="str">
        <f t="shared" si="220"/>
        <v/>
      </c>
      <c r="U432" s="702"/>
      <c r="V432" s="132"/>
      <c r="W432" s="133"/>
      <c r="X432" s="134"/>
      <c r="Y432" s="135"/>
      <c r="Z432" s="137"/>
      <c r="AA432" s="136"/>
      <c r="AB432" s="566" t="str">
        <f t="shared" si="213"/>
        <v/>
      </c>
      <c r="AC432" s="568" t="str">
        <f t="shared" si="221"/>
        <v/>
      </c>
      <c r="AD432" s="137"/>
      <c r="AE432" s="137"/>
      <c r="AF432" s="138"/>
      <c r="AG432" s="138"/>
      <c r="AH432" s="592" t="str">
        <f t="shared" si="214"/>
        <v/>
      </c>
      <c r="AI432" s="592" t="str">
        <f t="shared" si="215"/>
        <v/>
      </c>
      <c r="AJ432" s="592" t="str">
        <f t="shared" si="216"/>
        <v/>
      </c>
      <c r="AK432" s="460" t="str">
        <f>IF(AU432="","",IF(OR(AZ432=8,AZ432=9),0,IF(OR(AW432=3,AW432=4,AW432=5,AW432=6),IF(LEFT(BF432,1)="1",INDEX(係数_NOX・PM低減,MATCH(AY432,【参考】排出係数!$AI$801:$AI$804,1),1),VLOOKUP(AU432,INDEX((係数_バス貨物_ガソリン,係数_バス貨物_CNG,係数_バス貨物_軽油,係数_バス貨物_メタノール,係数_バス貨物_LPG),MATCH(AY432,【参考】排出係数!$AI$4:$AI$671,1),1,BE432):INDEX((係数_バス貨物_ガソリン,係数_バス貨物_CNG,係数_バス貨物_軽油,係数_バス貨物_メタノール,係数_バス貨物_LPG),MATCH(AY432+1,【参考】排出係数!$AI$4:$AI$671,1)-1,5,BE432),4,FALSE)),IF(AND(BE432=3,LEFT(BF432,1)="1"),0.48,VLOOKUP(AU432,INDEX((係数_乗用_ガソリン,係数_乗用_CNG,係数_乗用_軽油,係数_乗用_メタノール,係数_乗用_LPG),1,1,BE432):INDEX((係数_乗用_ガソリン,係数_乗用_CNG,係数_乗用_軽油,係数_乗用_メタノール,係数_乗用_LPG),125,5,BE432),4,FALSE)))))</f>
        <v/>
      </c>
      <c r="AL432" s="461" t="str">
        <f t="shared" si="240"/>
        <v/>
      </c>
      <c r="AM432" s="460" t="str">
        <f>IF(AU432="","",IF(OR(AZ432=8,AZ432=9),0,IF(OR(AW432=3,AW432=4,AW432=5,AW432=6),IF(LEFT(BH432,1)="1",INDEX(係数_PM低減,MATCH(AY432,【参考】排出係数!$AI$801:$AI$804,1),MATCH(BI432,【参考】排出係数!$AL$798:$AO$798,1)),VLOOKUP(AU432,INDEX((係数_バス貨物_ガソリン,係数_バス貨物_CNG,係数_バス貨物_軽油,係数_バス貨物_メタノール,係数_バス貨物_LPG),MATCH(AY432,【参考】排出係数!$AI$4:$AI$671,1),1,BE432):INDEX((係数_バス貨物_ガソリン,係数_バス貨物_CNG,係数_バス貨物_軽油,係数_バス貨物_メタノール,係数_バス貨物_LPG),MATCH(AY432+1,【参考】排出係数!$AI$4:$AI$671,1)-1,5,BE432),5,FALSE)),IF(AND(BE432=3,LEFT(BF432,1)="1"),0.055,VLOOKUP(AU432,INDEX((係数_乗用_ガソリン,係数_乗用_CNG,係数_乗用_軽油,係数_乗用_メタノール,係数_乗用_LPG),1,1,BE432):INDEX((係数_乗用_ガソリン,係数_乗用_CNG,係数_乗用_軽油,係数_乗用_メタノール,係数_乗用_LPG),125,5,BE432),5,FALSE)))))</f>
        <v/>
      </c>
      <c r="AN432" s="461" t="str">
        <f t="shared" si="241"/>
        <v/>
      </c>
      <c r="AO432" s="462" t="str">
        <f t="shared" si="242"/>
        <v/>
      </c>
      <c r="AP432" s="463" t="str">
        <f t="shared" si="243"/>
        <v/>
      </c>
      <c r="AQ432" s="464"/>
      <c r="AR432" s="619"/>
      <c r="AS432" s="465" t="str">
        <f t="shared" si="222"/>
        <v/>
      </c>
      <c r="AT432" s="465" t="str">
        <f t="shared" si="223"/>
        <v/>
      </c>
      <c r="AU432" s="466" t="str">
        <f t="shared" si="224"/>
        <v/>
      </c>
      <c r="AV432" s="467" t="str">
        <f t="shared" si="225"/>
        <v/>
      </c>
      <c r="AW432" s="467" t="str">
        <f t="shared" si="226"/>
        <v/>
      </c>
      <c r="AX432" s="467" t="str">
        <f t="shared" si="227"/>
        <v/>
      </c>
      <c r="AY432" s="467" t="str">
        <f t="shared" si="228"/>
        <v/>
      </c>
      <c r="AZ432" s="467" t="str">
        <f t="shared" si="229"/>
        <v/>
      </c>
      <c r="BA432" s="468" t="str">
        <f>IF(AS432="","",IF(OR(AU432="",AU432="-"),"－",IF(OR(AZ432=8,AZ432=9),"",IF(OR(AW432=3,AW432=4,AW432=5,AW432=6),VLOOKUP(AU432,INDEX((係数_バス貨物_ガソリン,係数_バス貨物_CNG,係数_バス貨物_軽油,係数_バス貨物_メタノール,係数_バス貨物_LPG),MATCH(AY432,【参考】排出係数!$AI$4:$AI$671,1),1,BE432):INDEX((係数_バス貨物_ガソリン,係数_バス貨物_CNG,係数_バス貨物_軽油,係数_バス貨物_メタノール,係数_バス貨物_LPG),MATCH(AY432+1,【参考】排出係数!$AI$4:$AI$671,1)-1,5,BE432),2,FALSE),IF(OR(AW432=1,AW432=2),VLOOKUP(AU432,INDEX((係数_乗用_ガソリン,係数_乗用_CNG,係数_乗用_軽油,係数_乗用_メタノール,係数_乗用_LPG),1,1,BE432):INDEX((係数_乗用_ガソリン,係数_乗用_CNG,係数_乗用_軽油,係数_乗用_メタノール,係数_乗用_LPG),125,5,BE432),2,FALSE))))))</f>
        <v/>
      </c>
      <c r="BB432" s="468" t="str">
        <f>IF(T432="","",IF(OR(AU432="",AU432="-"),"－",IF(OR(AZ432=8,AZ432=9),"",IF(OR(AW432=3,AW432=4,AW432=5,AW432=6),VLOOKUP(AU432,INDEX((係数_バス貨物_ガソリン,係数_バス貨物_CNG,係数_バス貨物_軽油,係数_バス貨物_メタノール,係数_バス貨物_LPG),MATCH(AY432,【参考】排出係数!$AI$4:$AI$671,1),1,BE432):INDEX((係数_バス貨物_ガソリン,係数_バス貨物_CNG,係数_バス貨物_軽油,係数_バス貨物_メタノール,係数_バス貨物_LPG),MATCH(AY432+1,【参考】排出係数!$AI$4:$AI$671,1)-1,5,BE432),3,FALSE),IF(OR(AW432=1,AW432=2),VLOOKUP(AU432,INDEX((係数_乗用_ガソリン,係数_乗用_CNG,係数_乗用_軽油,係数_乗用_メタノール,係数_乗用_LPG),1,1,BE432):INDEX((係数_乗用_ガソリン,係数_乗用_CNG,係数_乗用_軽油,係数_乗用_メタノール,係数_乗用_LPG),125,5,BE432),3,FALSE))))))</f>
        <v/>
      </c>
      <c r="BC432" s="467" t="str">
        <f t="shared" si="230"/>
        <v/>
      </c>
      <c r="BD432" s="567" t="str">
        <f t="shared" si="231"/>
        <v/>
      </c>
      <c r="BE432" s="467" t="str">
        <f t="shared" si="232"/>
        <v/>
      </c>
      <c r="BF432" s="469" t="str">
        <f t="shared" ca="1" si="233"/>
        <v/>
      </c>
      <c r="BG432" s="469" t="str">
        <f t="shared" ca="1" si="234"/>
        <v/>
      </c>
      <c r="BH432" s="467" t="str">
        <f t="shared" si="235"/>
        <v/>
      </c>
      <c r="BI432" s="467" t="str">
        <f t="shared" ca="1" si="236"/>
        <v/>
      </c>
      <c r="BJ432" s="469" t="str">
        <f t="shared" si="237"/>
        <v/>
      </c>
      <c r="BK432" s="470" t="str">
        <f t="shared" si="217"/>
        <v/>
      </c>
      <c r="BL432" s="775" t="str">
        <f t="shared" si="238"/>
        <v/>
      </c>
      <c r="BM432" s="775" t="str">
        <f t="shared" si="239"/>
        <v/>
      </c>
    </row>
    <row r="433" spans="1:65">
      <c r="A433" s="473">
        <v>377</v>
      </c>
      <c r="B433" s="132"/>
      <c r="C433" s="332"/>
      <c r="D433" s="333"/>
      <c r="E433" s="333"/>
      <c r="F433" s="334"/>
      <c r="G433" s="337"/>
      <c r="H433" s="131"/>
      <c r="I433" s="337"/>
      <c r="J433" s="131"/>
      <c r="K433" s="458" t="str">
        <f t="shared" si="206"/>
        <v/>
      </c>
      <c r="L433" s="458">
        <f t="shared" si="218"/>
        <v>0</v>
      </c>
      <c r="M433" s="458">
        <f t="shared" si="219"/>
        <v>0</v>
      </c>
      <c r="N433" s="459" t="str">
        <f t="shared" si="207"/>
        <v/>
      </c>
      <c r="O433" s="459" t="str">
        <f t="shared" si="208"/>
        <v/>
      </c>
      <c r="P433" s="459" t="str">
        <f t="shared" si="209"/>
        <v/>
      </c>
      <c r="Q433" s="459" t="str">
        <f t="shared" si="210"/>
        <v/>
      </c>
      <c r="R433" s="459" t="str">
        <f t="shared" si="211"/>
        <v/>
      </c>
      <c r="S433" s="459" t="str">
        <f t="shared" si="212"/>
        <v/>
      </c>
      <c r="T433" s="566" t="str">
        <f t="shared" si="220"/>
        <v/>
      </c>
      <c r="U433" s="702"/>
      <c r="V433" s="132"/>
      <c r="W433" s="133"/>
      <c r="X433" s="134"/>
      <c r="Y433" s="135"/>
      <c r="Z433" s="137"/>
      <c r="AA433" s="136"/>
      <c r="AB433" s="566" t="str">
        <f t="shared" si="213"/>
        <v/>
      </c>
      <c r="AC433" s="568" t="str">
        <f t="shared" si="221"/>
        <v/>
      </c>
      <c r="AD433" s="137"/>
      <c r="AE433" s="137"/>
      <c r="AF433" s="138"/>
      <c r="AG433" s="138"/>
      <c r="AH433" s="592" t="str">
        <f t="shared" si="214"/>
        <v/>
      </c>
      <c r="AI433" s="592" t="str">
        <f t="shared" si="215"/>
        <v/>
      </c>
      <c r="AJ433" s="592" t="str">
        <f t="shared" si="216"/>
        <v/>
      </c>
      <c r="AK433" s="460" t="str">
        <f>IF(AU433="","",IF(OR(AZ433=8,AZ433=9),0,IF(OR(AW433=3,AW433=4,AW433=5,AW433=6),IF(LEFT(BF433,1)="1",INDEX(係数_NOX・PM低減,MATCH(AY433,【参考】排出係数!$AI$801:$AI$804,1),1),VLOOKUP(AU433,INDEX((係数_バス貨物_ガソリン,係数_バス貨物_CNG,係数_バス貨物_軽油,係数_バス貨物_メタノール,係数_バス貨物_LPG),MATCH(AY433,【参考】排出係数!$AI$4:$AI$671,1),1,BE433):INDEX((係数_バス貨物_ガソリン,係数_バス貨物_CNG,係数_バス貨物_軽油,係数_バス貨物_メタノール,係数_バス貨物_LPG),MATCH(AY433+1,【参考】排出係数!$AI$4:$AI$671,1)-1,5,BE433),4,FALSE)),IF(AND(BE433=3,LEFT(BF433,1)="1"),0.48,VLOOKUP(AU433,INDEX((係数_乗用_ガソリン,係数_乗用_CNG,係数_乗用_軽油,係数_乗用_メタノール,係数_乗用_LPG),1,1,BE433):INDEX((係数_乗用_ガソリン,係数_乗用_CNG,係数_乗用_軽油,係数_乗用_メタノール,係数_乗用_LPG),125,5,BE433),4,FALSE)))))</f>
        <v/>
      </c>
      <c r="AL433" s="461" t="str">
        <f t="shared" si="240"/>
        <v/>
      </c>
      <c r="AM433" s="460" t="str">
        <f>IF(AU433="","",IF(OR(AZ433=8,AZ433=9),0,IF(OR(AW433=3,AW433=4,AW433=5,AW433=6),IF(LEFT(BH433,1)="1",INDEX(係数_PM低減,MATCH(AY433,【参考】排出係数!$AI$801:$AI$804,1),MATCH(BI433,【参考】排出係数!$AL$798:$AO$798,1)),VLOOKUP(AU433,INDEX((係数_バス貨物_ガソリン,係数_バス貨物_CNG,係数_バス貨物_軽油,係数_バス貨物_メタノール,係数_バス貨物_LPG),MATCH(AY433,【参考】排出係数!$AI$4:$AI$671,1),1,BE433):INDEX((係数_バス貨物_ガソリン,係数_バス貨物_CNG,係数_バス貨物_軽油,係数_バス貨物_メタノール,係数_バス貨物_LPG),MATCH(AY433+1,【参考】排出係数!$AI$4:$AI$671,1)-1,5,BE433),5,FALSE)),IF(AND(BE433=3,LEFT(BF433,1)="1"),0.055,VLOOKUP(AU433,INDEX((係数_乗用_ガソリン,係数_乗用_CNG,係数_乗用_軽油,係数_乗用_メタノール,係数_乗用_LPG),1,1,BE433):INDEX((係数_乗用_ガソリン,係数_乗用_CNG,係数_乗用_軽油,係数_乗用_メタノール,係数_乗用_LPG),125,5,BE433),5,FALSE)))))</f>
        <v/>
      </c>
      <c r="AN433" s="461" t="str">
        <f t="shared" si="241"/>
        <v/>
      </c>
      <c r="AO433" s="462" t="str">
        <f t="shared" si="242"/>
        <v/>
      </c>
      <c r="AP433" s="463" t="str">
        <f t="shared" si="243"/>
        <v/>
      </c>
      <c r="AQ433" s="464"/>
      <c r="AR433" s="619"/>
      <c r="AS433" s="465" t="str">
        <f t="shared" si="222"/>
        <v/>
      </c>
      <c r="AT433" s="465" t="str">
        <f t="shared" si="223"/>
        <v/>
      </c>
      <c r="AU433" s="466" t="str">
        <f t="shared" si="224"/>
        <v/>
      </c>
      <c r="AV433" s="467" t="str">
        <f t="shared" si="225"/>
        <v/>
      </c>
      <c r="AW433" s="467" t="str">
        <f t="shared" si="226"/>
        <v/>
      </c>
      <c r="AX433" s="467" t="str">
        <f t="shared" si="227"/>
        <v/>
      </c>
      <c r="AY433" s="467" t="str">
        <f t="shared" si="228"/>
        <v/>
      </c>
      <c r="AZ433" s="467" t="str">
        <f t="shared" si="229"/>
        <v/>
      </c>
      <c r="BA433" s="468" t="str">
        <f>IF(AS433="","",IF(OR(AU433="",AU433="-"),"－",IF(OR(AZ433=8,AZ433=9),"",IF(OR(AW433=3,AW433=4,AW433=5,AW433=6),VLOOKUP(AU433,INDEX((係数_バス貨物_ガソリン,係数_バス貨物_CNG,係数_バス貨物_軽油,係数_バス貨物_メタノール,係数_バス貨物_LPG),MATCH(AY433,【参考】排出係数!$AI$4:$AI$671,1),1,BE433):INDEX((係数_バス貨物_ガソリン,係数_バス貨物_CNG,係数_バス貨物_軽油,係数_バス貨物_メタノール,係数_バス貨物_LPG),MATCH(AY433+1,【参考】排出係数!$AI$4:$AI$671,1)-1,5,BE433),2,FALSE),IF(OR(AW433=1,AW433=2),VLOOKUP(AU433,INDEX((係数_乗用_ガソリン,係数_乗用_CNG,係数_乗用_軽油,係数_乗用_メタノール,係数_乗用_LPG),1,1,BE433):INDEX((係数_乗用_ガソリン,係数_乗用_CNG,係数_乗用_軽油,係数_乗用_メタノール,係数_乗用_LPG),125,5,BE433),2,FALSE))))))</f>
        <v/>
      </c>
      <c r="BB433" s="468" t="str">
        <f>IF(T433="","",IF(OR(AU433="",AU433="-"),"－",IF(OR(AZ433=8,AZ433=9),"",IF(OR(AW433=3,AW433=4,AW433=5,AW433=6),VLOOKUP(AU433,INDEX((係数_バス貨物_ガソリン,係数_バス貨物_CNG,係数_バス貨物_軽油,係数_バス貨物_メタノール,係数_バス貨物_LPG),MATCH(AY433,【参考】排出係数!$AI$4:$AI$671,1),1,BE433):INDEX((係数_バス貨物_ガソリン,係数_バス貨物_CNG,係数_バス貨物_軽油,係数_バス貨物_メタノール,係数_バス貨物_LPG),MATCH(AY433+1,【参考】排出係数!$AI$4:$AI$671,1)-1,5,BE433),3,FALSE),IF(OR(AW433=1,AW433=2),VLOOKUP(AU433,INDEX((係数_乗用_ガソリン,係数_乗用_CNG,係数_乗用_軽油,係数_乗用_メタノール,係数_乗用_LPG),1,1,BE433):INDEX((係数_乗用_ガソリン,係数_乗用_CNG,係数_乗用_軽油,係数_乗用_メタノール,係数_乗用_LPG),125,5,BE433),3,FALSE))))))</f>
        <v/>
      </c>
      <c r="BC433" s="467" t="str">
        <f t="shared" si="230"/>
        <v/>
      </c>
      <c r="BD433" s="567" t="str">
        <f t="shared" si="231"/>
        <v/>
      </c>
      <c r="BE433" s="467" t="str">
        <f t="shared" si="232"/>
        <v/>
      </c>
      <c r="BF433" s="469" t="str">
        <f t="shared" ca="1" si="233"/>
        <v/>
      </c>
      <c r="BG433" s="469" t="str">
        <f t="shared" ca="1" si="234"/>
        <v/>
      </c>
      <c r="BH433" s="467" t="str">
        <f t="shared" si="235"/>
        <v/>
      </c>
      <c r="BI433" s="467" t="str">
        <f t="shared" ca="1" si="236"/>
        <v/>
      </c>
      <c r="BJ433" s="469" t="str">
        <f t="shared" si="237"/>
        <v/>
      </c>
      <c r="BK433" s="470" t="str">
        <f t="shared" si="217"/>
        <v/>
      </c>
      <c r="BL433" s="775" t="str">
        <f t="shared" si="238"/>
        <v/>
      </c>
      <c r="BM433" s="775" t="str">
        <f t="shared" si="239"/>
        <v/>
      </c>
    </row>
    <row r="434" spans="1:65">
      <c r="A434" s="473">
        <v>378</v>
      </c>
      <c r="B434" s="132"/>
      <c r="C434" s="332"/>
      <c r="D434" s="333"/>
      <c r="E434" s="333"/>
      <c r="F434" s="334"/>
      <c r="G434" s="337"/>
      <c r="H434" s="131"/>
      <c r="I434" s="337"/>
      <c r="J434" s="131"/>
      <c r="K434" s="458" t="str">
        <f t="shared" si="206"/>
        <v/>
      </c>
      <c r="L434" s="458">
        <f t="shared" si="218"/>
        <v>0</v>
      </c>
      <c r="M434" s="458">
        <f t="shared" si="219"/>
        <v>0</v>
      </c>
      <c r="N434" s="459" t="str">
        <f t="shared" si="207"/>
        <v/>
      </c>
      <c r="O434" s="459" t="str">
        <f t="shared" si="208"/>
        <v/>
      </c>
      <c r="P434" s="459" t="str">
        <f t="shared" si="209"/>
        <v/>
      </c>
      <c r="Q434" s="459" t="str">
        <f t="shared" si="210"/>
        <v/>
      </c>
      <c r="R434" s="459" t="str">
        <f t="shared" si="211"/>
        <v/>
      </c>
      <c r="S434" s="459" t="str">
        <f t="shared" si="212"/>
        <v/>
      </c>
      <c r="T434" s="566" t="str">
        <f t="shared" si="220"/>
        <v/>
      </c>
      <c r="U434" s="702"/>
      <c r="V434" s="132"/>
      <c r="W434" s="133"/>
      <c r="X434" s="134"/>
      <c r="Y434" s="135"/>
      <c r="Z434" s="137"/>
      <c r="AA434" s="136"/>
      <c r="AB434" s="566" t="str">
        <f t="shared" si="213"/>
        <v/>
      </c>
      <c r="AC434" s="568" t="str">
        <f t="shared" si="221"/>
        <v/>
      </c>
      <c r="AD434" s="137"/>
      <c r="AE434" s="137"/>
      <c r="AF434" s="138"/>
      <c r="AG434" s="138"/>
      <c r="AH434" s="592" t="str">
        <f t="shared" si="214"/>
        <v/>
      </c>
      <c r="AI434" s="592" t="str">
        <f t="shared" si="215"/>
        <v/>
      </c>
      <c r="AJ434" s="592" t="str">
        <f t="shared" si="216"/>
        <v/>
      </c>
      <c r="AK434" s="460" t="str">
        <f>IF(AU434="","",IF(OR(AZ434=8,AZ434=9),0,IF(OR(AW434=3,AW434=4,AW434=5,AW434=6),IF(LEFT(BF434,1)="1",INDEX(係数_NOX・PM低減,MATCH(AY434,【参考】排出係数!$AI$801:$AI$804,1),1),VLOOKUP(AU434,INDEX((係数_バス貨物_ガソリン,係数_バス貨物_CNG,係数_バス貨物_軽油,係数_バス貨物_メタノール,係数_バス貨物_LPG),MATCH(AY434,【参考】排出係数!$AI$4:$AI$671,1),1,BE434):INDEX((係数_バス貨物_ガソリン,係数_バス貨物_CNG,係数_バス貨物_軽油,係数_バス貨物_メタノール,係数_バス貨物_LPG),MATCH(AY434+1,【参考】排出係数!$AI$4:$AI$671,1)-1,5,BE434),4,FALSE)),IF(AND(BE434=3,LEFT(BF434,1)="1"),0.48,VLOOKUP(AU434,INDEX((係数_乗用_ガソリン,係数_乗用_CNG,係数_乗用_軽油,係数_乗用_メタノール,係数_乗用_LPG),1,1,BE434):INDEX((係数_乗用_ガソリン,係数_乗用_CNG,係数_乗用_軽油,係数_乗用_メタノール,係数_乗用_LPG),125,5,BE434),4,FALSE)))))</f>
        <v/>
      </c>
      <c r="AL434" s="461" t="str">
        <f t="shared" si="240"/>
        <v/>
      </c>
      <c r="AM434" s="460" t="str">
        <f>IF(AU434="","",IF(OR(AZ434=8,AZ434=9),0,IF(OR(AW434=3,AW434=4,AW434=5,AW434=6),IF(LEFT(BH434,1)="1",INDEX(係数_PM低減,MATCH(AY434,【参考】排出係数!$AI$801:$AI$804,1),MATCH(BI434,【参考】排出係数!$AL$798:$AO$798,1)),VLOOKUP(AU434,INDEX((係数_バス貨物_ガソリン,係数_バス貨物_CNG,係数_バス貨物_軽油,係数_バス貨物_メタノール,係数_バス貨物_LPG),MATCH(AY434,【参考】排出係数!$AI$4:$AI$671,1),1,BE434):INDEX((係数_バス貨物_ガソリン,係数_バス貨物_CNG,係数_バス貨物_軽油,係数_バス貨物_メタノール,係数_バス貨物_LPG),MATCH(AY434+1,【参考】排出係数!$AI$4:$AI$671,1)-1,5,BE434),5,FALSE)),IF(AND(BE434=3,LEFT(BF434,1)="1"),0.055,VLOOKUP(AU434,INDEX((係数_乗用_ガソリン,係数_乗用_CNG,係数_乗用_軽油,係数_乗用_メタノール,係数_乗用_LPG),1,1,BE434):INDEX((係数_乗用_ガソリン,係数_乗用_CNG,係数_乗用_軽油,係数_乗用_メタノール,係数_乗用_LPG),125,5,BE434),5,FALSE)))))</f>
        <v/>
      </c>
      <c r="AN434" s="461" t="str">
        <f t="shared" si="241"/>
        <v/>
      </c>
      <c r="AO434" s="462" t="str">
        <f t="shared" si="242"/>
        <v/>
      </c>
      <c r="AP434" s="463" t="str">
        <f t="shared" si="243"/>
        <v/>
      </c>
      <c r="AQ434" s="464"/>
      <c r="AR434" s="619"/>
      <c r="AS434" s="465" t="str">
        <f t="shared" si="222"/>
        <v/>
      </c>
      <c r="AT434" s="465" t="str">
        <f t="shared" si="223"/>
        <v/>
      </c>
      <c r="AU434" s="466" t="str">
        <f t="shared" si="224"/>
        <v/>
      </c>
      <c r="AV434" s="467" t="str">
        <f t="shared" si="225"/>
        <v/>
      </c>
      <c r="AW434" s="467" t="str">
        <f t="shared" si="226"/>
        <v/>
      </c>
      <c r="AX434" s="467" t="str">
        <f t="shared" si="227"/>
        <v/>
      </c>
      <c r="AY434" s="467" t="str">
        <f t="shared" si="228"/>
        <v/>
      </c>
      <c r="AZ434" s="467" t="str">
        <f t="shared" si="229"/>
        <v/>
      </c>
      <c r="BA434" s="468" t="str">
        <f>IF(AS434="","",IF(OR(AU434="",AU434="-"),"－",IF(OR(AZ434=8,AZ434=9),"",IF(OR(AW434=3,AW434=4,AW434=5,AW434=6),VLOOKUP(AU434,INDEX((係数_バス貨物_ガソリン,係数_バス貨物_CNG,係数_バス貨物_軽油,係数_バス貨物_メタノール,係数_バス貨物_LPG),MATCH(AY434,【参考】排出係数!$AI$4:$AI$671,1),1,BE434):INDEX((係数_バス貨物_ガソリン,係数_バス貨物_CNG,係数_バス貨物_軽油,係数_バス貨物_メタノール,係数_バス貨物_LPG),MATCH(AY434+1,【参考】排出係数!$AI$4:$AI$671,1)-1,5,BE434),2,FALSE),IF(OR(AW434=1,AW434=2),VLOOKUP(AU434,INDEX((係数_乗用_ガソリン,係数_乗用_CNG,係数_乗用_軽油,係数_乗用_メタノール,係数_乗用_LPG),1,1,BE434):INDEX((係数_乗用_ガソリン,係数_乗用_CNG,係数_乗用_軽油,係数_乗用_メタノール,係数_乗用_LPG),125,5,BE434),2,FALSE))))))</f>
        <v/>
      </c>
      <c r="BB434" s="468" t="str">
        <f>IF(T434="","",IF(OR(AU434="",AU434="-"),"－",IF(OR(AZ434=8,AZ434=9),"",IF(OR(AW434=3,AW434=4,AW434=5,AW434=6),VLOOKUP(AU434,INDEX((係数_バス貨物_ガソリン,係数_バス貨物_CNG,係数_バス貨物_軽油,係数_バス貨物_メタノール,係数_バス貨物_LPG),MATCH(AY434,【参考】排出係数!$AI$4:$AI$671,1),1,BE434):INDEX((係数_バス貨物_ガソリン,係数_バス貨物_CNG,係数_バス貨物_軽油,係数_バス貨物_メタノール,係数_バス貨物_LPG),MATCH(AY434+1,【参考】排出係数!$AI$4:$AI$671,1)-1,5,BE434),3,FALSE),IF(OR(AW434=1,AW434=2),VLOOKUP(AU434,INDEX((係数_乗用_ガソリン,係数_乗用_CNG,係数_乗用_軽油,係数_乗用_メタノール,係数_乗用_LPG),1,1,BE434):INDEX((係数_乗用_ガソリン,係数_乗用_CNG,係数_乗用_軽油,係数_乗用_メタノール,係数_乗用_LPG),125,5,BE434),3,FALSE))))))</f>
        <v/>
      </c>
      <c r="BC434" s="467" t="str">
        <f t="shared" si="230"/>
        <v/>
      </c>
      <c r="BD434" s="567" t="str">
        <f t="shared" si="231"/>
        <v/>
      </c>
      <c r="BE434" s="467" t="str">
        <f t="shared" si="232"/>
        <v/>
      </c>
      <c r="BF434" s="469" t="str">
        <f t="shared" ca="1" si="233"/>
        <v/>
      </c>
      <c r="BG434" s="469" t="str">
        <f t="shared" ca="1" si="234"/>
        <v/>
      </c>
      <c r="BH434" s="467" t="str">
        <f t="shared" si="235"/>
        <v/>
      </c>
      <c r="BI434" s="467" t="str">
        <f t="shared" ca="1" si="236"/>
        <v/>
      </c>
      <c r="BJ434" s="469" t="str">
        <f t="shared" si="237"/>
        <v/>
      </c>
      <c r="BK434" s="470" t="str">
        <f t="shared" si="217"/>
        <v/>
      </c>
      <c r="BL434" s="775" t="str">
        <f t="shared" si="238"/>
        <v/>
      </c>
      <c r="BM434" s="775" t="str">
        <f t="shared" si="239"/>
        <v/>
      </c>
    </row>
    <row r="435" spans="1:65">
      <c r="A435" s="473">
        <v>379</v>
      </c>
      <c r="B435" s="132"/>
      <c r="C435" s="332"/>
      <c r="D435" s="333"/>
      <c r="E435" s="333"/>
      <c r="F435" s="334"/>
      <c r="G435" s="337"/>
      <c r="H435" s="131"/>
      <c r="I435" s="337"/>
      <c r="J435" s="131"/>
      <c r="K435" s="458" t="str">
        <f t="shared" si="206"/>
        <v/>
      </c>
      <c r="L435" s="458">
        <f t="shared" si="218"/>
        <v>0</v>
      </c>
      <c r="M435" s="458">
        <f t="shared" si="219"/>
        <v>0</v>
      </c>
      <c r="N435" s="459" t="str">
        <f t="shared" si="207"/>
        <v/>
      </c>
      <c r="O435" s="459" t="str">
        <f t="shared" si="208"/>
        <v/>
      </c>
      <c r="P435" s="459" t="str">
        <f t="shared" si="209"/>
        <v/>
      </c>
      <c r="Q435" s="459" t="str">
        <f t="shared" si="210"/>
        <v/>
      </c>
      <c r="R435" s="459" t="str">
        <f t="shared" si="211"/>
        <v/>
      </c>
      <c r="S435" s="459" t="str">
        <f t="shared" si="212"/>
        <v/>
      </c>
      <c r="T435" s="566" t="str">
        <f t="shared" si="220"/>
        <v/>
      </c>
      <c r="U435" s="702"/>
      <c r="V435" s="132"/>
      <c r="W435" s="133"/>
      <c r="X435" s="134"/>
      <c r="Y435" s="135"/>
      <c r="Z435" s="137"/>
      <c r="AA435" s="136"/>
      <c r="AB435" s="566" t="str">
        <f t="shared" si="213"/>
        <v/>
      </c>
      <c r="AC435" s="568" t="str">
        <f t="shared" si="221"/>
        <v/>
      </c>
      <c r="AD435" s="137"/>
      <c r="AE435" s="137"/>
      <c r="AF435" s="138"/>
      <c r="AG435" s="138"/>
      <c r="AH435" s="592" t="str">
        <f t="shared" si="214"/>
        <v/>
      </c>
      <c r="AI435" s="592" t="str">
        <f t="shared" si="215"/>
        <v/>
      </c>
      <c r="AJ435" s="592" t="str">
        <f t="shared" si="216"/>
        <v/>
      </c>
      <c r="AK435" s="460" t="str">
        <f>IF(AU435="","",IF(OR(AZ435=8,AZ435=9),0,IF(OR(AW435=3,AW435=4,AW435=5,AW435=6),IF(LEFT(BF435,1)="1",INDEX(係数_NOX・PM低減,MATCH(AY435,【参考】排出係数!$AI$801:$AI$804,1),1),VLOOKUP(AU435,INDEX((係数_バス貨物_ガソリン,係数_バス貨物_CNG,係数_バス貨物_軽油,係数_バス貨物_メタノール,係数_バス貨物_LPG),MATCH(AY435,【参考】排出係数!$AI$4:$AI$671,1),1,BE435):INDEX((係数_バス貨物_ガソリン,係数_バス貨物_CNG,係数_バス貨物_軽油,係数_バス貨物_メタノール,係数_バス貨物_LPG),MATCH(AY435+1,【参考】排出係数!$AI$4:$AI$671,1)-1,5,BE435),4,FALSE)),IF(AND(BE435=3,LEFT(BF435,1)="1"),0.48,VLOOKUP(AU435,INDEX((係数_乗用_ガソリン,係数_乗用_CNG,係数_乗用_軽油,係数_乗用_メタノール,係数_乗用_LPG),1,1,BE435):INDEX((係数_乗用_ガソリン,係数_乗用_CNG,係数_乗用_軽油,係数_乗用_メタノール,係数_乗用_LPG),125,5,BE435),4,FALSE)))))</f>
        <v/>
      </c>
      <c r="AL435" s="461" t="str">
        <f t="shared" si="240"/>
        <v/>
      </c>
      <c r="AM435" s="460" t="str">
        <f>IF(AU435="","",IF(OR(AZ435=8,AZ435=9),0,IF(OR(AW435=3,AW435=4,AW435=5,AW435=6),IF(LEFT(BH435,1)="1",INDEX(係数_PM低減,MATCH(AY435,【参考】排出係数!$AI$801:$AI$804,1),MATCH(BI435,【参考】排出係数!$AL$798:$AO$798,1)),VLOOKUP(AU435,INDEX((係数_バス貨物_ガソリン,係数_バス貨物_CNG,係数_バス貨物_軽油,係数_バス貨物_メタノール,係数_バス貨物_LPG),MATCH(AY435,【参考】排出係数!$AI$4:$AI$671,1),1,BE435):INDEX((係数_バス貨物_ガソリン,係数_バス貨物_CNG,係数_バス貨物_軽油,係数_バス貨物_メタノール,係数_バス貨物_LPG),MATCH(AY435+1,【参考】排出係数!$AI$4:$AI$671,1)-1,5,BE435),5,FALSE)),IF(AND(BE435=3,LEFT(BF435,1)="1"),0.055,VLOOKUP(AU435,INDEX((係数_乗用_ガソリン,係数_乗用_CNG,係数_乗用_軽油,係数_乗用_メタノール,係数_乗用_LPG),1,1,BE435):INDEX((係数_乗用_ガソリン,係数_乗用_CNG,係数_乗用_軽油,係数_乗用_メタノール,係数_乗用_LPG),125,5,BE435),5,FALSE)))))</f>
        <v/>
      </c>
      <c r="AN435" s="461" t="str">
        <f t="shared" si="241"/>
        <v/>
      </c>
      <c r="AO435" s="462" t="str">
        <f t="shared" si="242"/>
        <v/>
      </c>
      <c r="AP435" s="463" t="str">
        <f t="shared" si="243"/>
        <v/>
      </c>
      <c r="AQ435" s="464"/>
      <c r="AR435" s="619"/>
      <c r="AS435" s="465" t="str">
        <f t="shared" si="222"/>
        <v/>
      </c>
      <c r="AT435" s="465" t="str">
        <f t="shared" si="223"/>
        <v/>
      </c>
      <c r="AU435" s="466" t="str">
        <f t="shared" si="224"/>
        <v/>
      </c>
      <c r="AV435" s="467" t="str">
        <f t="shared" si="225"/>
        <v/>
      </c>
      <c r="AW435" s="467" t="str">
        <f t="shared" si="226"/>
        <v/>
      </c>
      <c r="AX435" s="467" t="str">
        <f t="shared" si="227"/>
        <v/>
      </c>
      <c r="AY435" s="467" t="str">
        <f t="shared" si="228"/>
        <v/>
      </c>
      <c r="AZ435" s="467" t="str">
        <f t="shared" si="229"/>
        <v/>
      </c>
      <c r="BA435" s="468" t="str">
        <f>IF(AS435="","",IF(OR(AU435="",AU435="-"),"－",IF(OR(AZ435=8,AZ435=9),"",IF(OR(AW435=3,AW435=4,AW435=5,AW435=6),VLOOKUP(AU435,INDEX((係数_バス貨物_ガソリン,係数_バス貨物_CNG,係数_バス貨物_軽油,係数_バス貨物_メタノール,係数_バス貨物_LPG),MATCH(AY435,【参考】排出係数!$AI$4:$AI$671,1),1,BE435):INDEX((係数_バス貨物_ガソリン,係数_バス貨物_CNG,係数_バス貨物_軽油,係数_バス貨物_メタノール,係数_バス貨物_LPG),MATCH(AY435+1,【参考】排出係数!$AI$4:$AI$671,1)-1,5,BE435),2,FALSE),IF(OR(AW435=1,AW435=2),VLOOKUP(AU435,INDEX((係数_乗用_ガソリン,係数_乗用_CNG,係数_乗用_軽油,係数_乗用_メタノール,係数_乗用_LPG),1,1,BE435):INDEX((係数_乗用_ガソリン,係数_乗用_CNG,係数_乗用_軽油,係数_乗用_メタノール,係数_乗用_LPG),125,5,BE435),2,FALSE))))))</f>
        <v/>
      </c>
      <c r="BB435" s="468" t="str">
        <f>IF(T435="","",IF(OR(AU435="",AU435="-"),"－",IF(OR(AZ435=8,AZ435=9),"",IF(OR(AW435=3,AW435=4,AW435=5,AW435=6),VLOOKUP(AU435,INDEX((係数_バス貨物_ガソリン,係数_バス貨物_CNG,係数_バス貨物_軽油,係数_バス貨物_メタノール,係数_バス貨物_LPG),MATCH(AY435,【参考】排出係数!$AI$4:$AI$671,1),1,BE435):INDEX((係数_バス貨物_ガソリン,係数_バス貨物_CNG,係数_バス貨物_軽油,係数_バス貨物_メタノール,係数_バス貨物_LPG),MATCH(AY435+1,【参考】排出係数!$AI$4:$AI$671,1)-1,5,BE435),3,FALSE),IF(OR(AW435=1,AW435=2),VLOOKUP(AU435,INDEX((係数_乗用_ガソリン,係数_乗用_CNG,係数_乗用_軽油,係数_乗用_メタノール,係数_乗用_LPG),1,1,BE435):INDEX((係数_乗用_ガソリン,係数_乗用_CNG,係数_乗用_軽油,係数_乗用_メタノール,係数_乗用_LPG),125,5,BE435),3,FALSE))))))</f>
        <v/>
      </c>
      <c r="BC435" s="467" t="str">
        <f t="shared" si="230"/>
        <v/>
      </c>
      <c r="BD435" s="567" t="str">
        <f t="shared" si="231"/>
        <v/>
      </c>
      <c r="BE435" s="467" t="str">
        <f t="shared" si="232"/>
        <v/>
      </c>
      <c r="BF435" s="469" t="str">
        <f t="shared" ca="1" si="233"/>
        <v/>
      </c>
      <c r="BG435" s="469" t="str">
        <f t="shared" ca="1" si="234"/>
        <v/>
      </c>
      <c r="BH435" s="467" t="str">
        <f t="shared" si="235"/>
        <v/>
      </c>
      <c r="BI435" s="467" t="str">
        <f t="shared" ca="1" si="236"/>
        <v/>
      </c>
      <c r="BJ435" s="469" t="str">
        <f t="shared" si="237"/>
        <v/>
      </c>
      <c r="BK435" s="470" t="str">
        <f t="shared" si="217"/>
        <v/>
      </c>
      <c r="BL435" s="775" t="str">
        <f t="shared" si="238"/>
        <v/>
      </c>
      <c r="BM435" s="775" t="str">
        <f t="shared" si="239"/>
        <v/>
      </c>
    </row>
    <row r="436" spans="1:65">
      <c r="A436" s="473">
        <v>380</v>
      </c>
      <c r="B436" s="132"/>
      <c r="C436" s="332"/>
      <c r="D436" s="333"/>
      <c r="E436" s="333"/>
      <c r="F436" s="334"/>
      <c r="G436" s="337"/>
      <c r="H436" s="131"/>
      <c r="I436" s="337"/>
      <c r="J436" s="131"/>
      <c r="K436" s="458" t="str">
        <f t="shared" si="206"/>
        <v/>
      </c>
      <c r="L436" s="458">
        <f t="shared" si="218"/>
        <v>0</v>
      </c>
      <c r="M436" s="458">
        <f t="shared" si="219"/>
        <v>0</v>
      </c>
      <c r="N436" s="459" t="str">
        <f t="shared" si="207"/>
        <v/>
      </c>
      <c r="O436" s="459" t="str">
        <f t="shared" si="208"/>
        <v/>
      </c>
      <c r="P436" s="459" t="str">
        <f t="shared" si="209"/>
        <v/>
      </c>
      <c r="Q436" s="459" t="str">
        <f t="shared" si="210"/>
        <v/>
      </c>
      <c r="R436" s="459" t="str">
        <f t="shared" si="211"/>
        <v/>
      </c>
      <c r="S436" s="459" t="str">
        <f t="shared" si="212"/>
        <v/>
      </c>
      <c r="T436" s="566" t="str">
        <f t="shared" si="220"/>
        <v/>
      </c>
      <c r="U436" s="702"/>
      <c r="V436" s="132"/>
      <c r="W436" s="133"/>
      <c r="X436" s="134"/>
      <c r="Y436" s="135"/>
      <c r="Z436" s="137"/>
      <c r="AA436" s="136"/>
      <c r="AB436" s="566" t="str">
        <f t="shared" si="213"/>
        <v/>
      </c>
      <c r="AC436" s="568" t="str">
        <f t="shared" si="221"/>
        <v/>
      </c>
      <c r="AD436" s="137"/>
      <c r="AE436" s="137"/>
      <c r="AF436" s="138"/>
      <c r="AG436" s="138"/>
      <c r="AH436" s="592" t="str">
        <f t="shared" si="214"/>
        <v/>
      </c>
      <c r="AI436" s="592" t="str">
        <f t="shared" si="215"/>
        <v/>
      </c>
      <c r="AJ436" s="592" t="str">
        <f t="shared" si="216"/>
        <v/>
      </c>
      <c r="AK436" s="460" t="str">
        <f>IF(AU436="","",IF(OR(AZ436=8,AZ436=9),0,IF(OR(AW436=3,AW436=4,AW436=5,AW436=6),IF(LEFT(BF436,1)="1",INDEX(係数_NOX・PM低減,MATCH(AY436,【参考】排出係数!$AI$801:$AI$804,1),1),VLOOKUP(AU436,INDEX((係数_バス貨物_ガソリン,係数_バス貨物_CNG,係数_バス貨物_軽油,係数_バス貨物_メタノール,係数_バス貨物_LPG),MATCH(AY436,【参考】排出係数!$AI$4:$AI$671,1),1,BE436):INDEX((係数_バス貨物_ガソリン,係数_バス貨物_CNG,係数_バス貨物_軽油,係数_バス貨物_メタノール,係数_バス貨物_LPG),MATCH(AY436+1,【参考】排出係数!$AI$4:$AI$671,1)-1,5,BE436),4,FALSE)),IF(AND(BE436=3,LEFT(BF436,1)="1"),0.48,VLOOKUP(AU436,INDEX((係数_乗用_ガソリン,係数_乗用_CNG,係数_乗用_軽油,係数_乗用_メタノール,係数_乗用_LPG),1,1,BE436):INDEX((係数_乗用_ガソリン,係数_乗用_CNG,係数_乗用_軽油,係数_乗用_メタノール,係数_乗用_LPG),125,5,BE436),4,FALSE)))))</f>
        <v/>
      </c>
      <c r="AL436" s="461" t="str">
        <f t="shared" si="240"/>
        <v/>
      </c>
      <c r="AM436" s="460" t="str">
        <f>IF(AU436="","",IF(OR(AZ436=8,AZ436=9),0,IF(OR(AW436=3,AW436=4,AW436=5,AW436=6),IF(LEFT(BH436,1)="1",INDEX(係数_PM低減,MATCH(AY436,【参考】排出係数!$AI$801:$AI$804,1),MATCH(BI436,【参考】排出係数!$AL$798:$AO$798,1)),VLOOKUP(AU436,INDEX((係数_バス貨物_ガソリン,係数_バス貨物_CNG,係数_バス貨物_軽油,係数_バス貨物_メタノール,係数_バス貨物_LPG),MATCH(AY436,【参考】排出係数!$AI$4:$AI$671,1),1,BE436):INDEX((係数_バス貨物_ガソリン,係数_バス貨物_CNG,係数_バス貨物_軽油,係数_バス貨物_メタノール,係数_バス貨物_LPG),MATCH(AY436+1,【参考】排出係数!$AI$4:$AI$671,1)-1,5,BE436),5,FALSE)),IF(AND(BE436=3,LEFT(BF436,1)="1"),0.055,VLOOKUP(AU436,INDEX((係数_乗用_ガソリン,係数_乗用_CNG,係数_乗用_軽油,係数_乗用_メタノール,係数_乗用_LPG),1,1,BE436):INDEX((係数_乗用_ガソリン,係数_乗用_CNG,係数_乗用_軽油,係数_乗用_メタノール,係数_乗用_LPG),125,5,BE436),5,FALSE)))))</f>
        <v/>
      </c>
      <c r="AN436" s="461" t="str">
        <f t="shared" si="241"/>
        <v/>
      </c>
      <c r="AO436" s="462" t="str">
        <f t="shared" si="242"/>
        <v/>
      </c>
      <c r="AP436" s="463" t="str">
        <f t="shared" si="243"/>
        <v/>
      </c>
      <c r="AQ436" s="464"/>
      <c r="AR436" s="619"/>
      <c r="AS436" s="465" t="str">
        <f t="shared" si="222"/>
        <v/>
      </c>
      <c r="AT436" s="465" t="str">
        <f t="shared" si="223"/>
        <v/>
      </c>
      <c r="AU436" s="466" t="str">
        <f t="shared" si="224"/>
        <v/>
      </c>
      <c r="AV436" s="467" t="str">
        <f t="shared" si="225"/>
        <v/>
      </c>
      <c r="AW436" s="467" t="str">
        <f t="shared" si="226"/>
        <v/>
      </c>
      <c r="AX436" s="467" t="str">
        <f t="shared" si="227"/>
        <v/>
      </c>
      <c r="AY436" s="467" t="str">
        <f t="shared" si="228"/>
        <v/>
      </c>
      <c r="AZ436" s="467" t="str">
        <f t="shared" si="229"/>
        <v/>
      </c>
      <c r="BA436" s="468" t="str">
        <f>IF(AS436="","",IF(OR(AU436="",AU436="-"),"－",IF(OR(AZ436=8,AZ436=9),"",IF(OR(AW436=3,AW436=4,AW436=5,AW436=6),VLOOKUP(AU436,INDEX((係数_バス貨物_ガソリン,係数_バス貨物_CNG,係数_バス貨物_軽油,係数_バス貨物_メタノール,係数_バス貨物_LPG),MATCH(AY436,【参考】排出係数!$AI$4:$AI$671,1),1,BE436):INDEX((係数_バス貨物_ガソリン,係数_バス貨物_CNG,係数_バス貨物_軽油,係数_バス貨物_メタノール,係数_バス貨物_LPG),MATCH(AY436+1,【参考】排出係数!$AI$4:$AI$671,1)-1,5,BE436),2,FALSE),IF(OR(AW436=1,AW436=2),VLOOKUP(AU436,INDEX((係数_乗用_ガソリン,係数_乗用_CNG,係数_乗用_軽油,係数_乗用_メタノール,係数_乗用_LPG),1,1,BE436):INDEX((係数_乗用_ガソリン,係数_乗用_CNG,係数_乗用_軽油,係数_乗用_メタノール,係数_乗用_LPG),125,5,BE436),2,FALSE))))))</f>
        <v/>
      </c>
      <c r="BB436" s="468" t="str">
        <f>IF(T436="","",IF(OR(AU436="",AU436="-"),"－",IF(OR(AZ436=8,AZ436=9),"",IF(OR(AW436=3,AW436=4,AW436=5,AW436=6),VLOOKUP(AU436,INDEX((係数_バス貨物_ガソリン,係数_バス貨物_CNG,係数_バス貨物_軽油,係数_バス貨物_メタノール,係数_バス貨物_LPG),MATCH(AY436,【参考】排出係数!$AI$4:$AI$671,1),1,BE436):INDEX((係数_バス貨物_ガソリン,係数_バス貨物_CNG,係数_バス貨物_軽油,係数_バス貨物_メタノール,係数_バス貨物_LPG),MATCH(AY436+1,【参考】排出係数!$AI$4:$AI$671,1)-1,5,BE436),3,FALSE),IF(OR(AW436=1,AW436=2),VLOOKUP(AU436,INDEX((係数_乗用_ガソリン,係数_乗用_CNG,係数_乗用_軽油,係数_乗用_メタノール,係数_乗用_LPG),1,1,BE436):INDEX((係数_乗用_ガソリン,係数_乗用_CNG,係数_乗用_軽油,係数_乗用_メタノール,係数_乗用_LPG),125,5,BE436),3,FALSE))))))</f>
        <v/>
      </c>
      <c r="BC436" s="467" t="str">
        <f t="shared" si="230"/>
        <v/>
      </c>
      <c r="BD436" s="567" t="str">
        <f t="shared" si="231"/>
        <v/>
      </c>
      <c r="BE436" s="467" t="str">
        <f t="shared" si="232"/>
        <v/>
      </c>
      <c r="BF436" s="469" t="str">
        <f t="shared" ca="1" si="233"/>
        <v/>
      </c>
      <c r="BG436" s="469" t="str">
        <f t="shared" ca="1" si="234"/>
        <v/>
      </c>
      <c r="BH436" s="467" t="str">
        <f t="shared" si="235"/>
        <v/>
      </c>
      <c r="BI436" s="467" t="str">
        <f t="shared" ca="1" si="236"/>
        <v/>
      </c>
      <c r="BJ436" s="469" t="str">
        <f t="shared" si="237"/>
        <v/>
      </c>
      <c r="BK436" s="470" t="str">
        <f t="shared" si="217"/>
        <v/>
      </c>
      <c r="BL436" s="775" t="str">
        <f t="shared" si="238"/>
        <v/>
      </c>
      <c r="BM436" s="775" t="str">
        <f t="shared" si="239"/>
        <v/>
      </c>
    </row>
    <row r="437" spans="1:65">
      <c r="A437" s="473">
        <v>381</v>
      </c>
      <c r="B437" s="132"/>
      <c r="C437" s="332"/>
      <c r="D437" s="333"/>
      <c r="E437" s="333"/>
      <c r="F437" s="334"/>
      <c r="G437" s="337"/>
      <c r="H437" s="131"/>
      <c r="I437" s="337"/>
      <c r="J437" s="131"/>
      <c r="K437" s="458" t="str">
        <f t="shared" si="206"/>
        <v/>
      </c>
      <c r="L437" s="458">
        <f t="shared" si="218"/>
        <v>0</v>
      </c>
      <c r="M437" s="458">
        <f t="shared" si="219"/>
        <v>0</v>
      </c>
      <c r="N437" s="459" t="str">
        <f t="shared" si="207"/>
        <v/>
      </c>
      <c r="O437" s="459" t="str">
        <f t="shared" si="208"/>
        <v/>
      </c>
      <c r="P437" s="459" t="str">
        <f t="shared" si="209"/>
        <v/>
      </c>
      <c r="Q437" s="459" t="str">
        <f t="shared" si="210"/>
        <v/>
      </c>
      <c r="R437" s="459" t="str">
        <f t="shared" si="211"/>
        <v/>
      </c>
      <c r="S437" s="459" t="str">
        <f t="shared" si="212"/>
        <v/>
      </c>
      <c r="T437" s="566" t="str">
        <f t="shared" si="220"/>
        <v/>
      </c>
      <c r="U437" s="702"/>
      <c r="V437" s="132"/>
      <c r="W437" s="133"/>
      <c r="X437" s="134"/>
      <c r="Y437" s="135"/>
      <c r="Z437" s="137"/>
      <c r="AA437" s="136"/>
      <c r="AB437" s="566" t="str">
        <f t="shared" si="213"/>
        <v/>
      </c>
      <c r="AC437" s="568" t="str">
        <f t="shared" si="221"/>
        <v/>
      </c>
      <c r="AD437" s="137"/>
      <c r="AE437" s="137"/>
      <c r="AF437" s="138"/>
      <c r="AG437" s="138"/>
      <c r="AH437" s="592" t="str">
        <f t="shared" si="214"/>
        <v/>
      </c>
      <c r="AI437" s="592" t="str">
        <f t="shared" si="215"/>
        <v/>
      </c>
      <c r="AJ437" s="592" t="str">
        <f t="shared" si="216"/>
        <v/>
      </c>
      <c r="AK437" s="460" t="str">
        <f>IF(AU437="","",IF(OR(AZ437=8,AZ437=9),0,IF(OR(AW437=3,AW437=4,AW437=5,AW437=6),IF(LEFT(BF437,1)="1",INDEX(係数_NOX・PM低減,MATCH(AY437,【参考】排出係数!$AI$801:$AI$804,1),1),VLOOKUP(AU437,INDEX((係数_バス貨物_ガソリン,係数_バス貨物_CNG,係数_バス貨物_軽油,係数_バス貨物_メタノール,係数_バス貨物_LPG),MATCH(AY437,【参考】排出係数!$AI$4:$AI$671,1),1,BE437):INDEX((係数_バス貨物_ガソリン,係数_バス貨物_CNG,係数_バス貨物_軽油,係数_バス貨物_メタノール,係数_バス貨物_LPG),MATCH(AY437+1,【参考】排出係数!$AI$4:$AI$671,1)-1,5,BE437),4,FALSE)),IF(AND(BE437=3,LEFT(BF437,1)="1"),0.48,VLOOKUP(AU437,INDEX((係数_乗用_ガソリン,係数_乗用_CNG,係数_乗用_軽油,係数_乗用_メタノール,係数_乗用_LPG),1,1,BE437):INDEX((係数_乗用_ガソリン,係数_乗用_CNG,係数_乗用_軽油,係数_乗用_メタノール,係数_乗用_LPG),125,5,BE437),4,FALSE)))))</f>
        <v/>
      </c>
      <c r="AL437" s="461" t="str">
        <f t="shared" si="240"/>
        <v/>
      </c>
      <c r="AM437" s="460" t="str">
        <f>IF(AU437="","",IF(OR(AZ437=8,AZ437=9),0,IF(OR(AW437=3,AW437=4,AW437=5,AW437=6),IF(LEFT(BH437,1)="1",INDEX(係数_PM低減,MATCH(AY437,【参考】排出係数!$AI$801:$AI$804,1),MATCH(BI437,【参考】排出係数!$AL$798:$AO$798,1)),VLOOKUP(AU437,INDEX((係数_バス貨物_ガソリン,係数_バス貨物_CNG,係数_バス貨物_軽油,係数_バス貨物_メタノール,係数_バス貨物_LPG),MATCH(AY437,【参考】排出係数!$AI$4:$AI$671,1),1,BE437):INDEX((係数_バス貨物_ガソリン,係数_バス貨物_CNG,係数_バス貨物_軽油,係数_バス貨物_メタノール,係数_バス貨物_LPG),MATCH(AY437+1,【参考】排出係数!$AI$4:$AI$671,1)-1,5,BE437),5,FALSE)),IF(AND(BE437=3,LEFT(BF437,1)="1"),0.055,VLOOKUP(AU437,INDEX((係数_乗用_ガソリン,係数_乗用_CNG,係数_乗用_軽油,係数_乗用_メタノール,係数_乗用_LPG),1,1,BE437):INDEX((係数_乗用_ガソリン,係数_乗用_CNG,係数_乗用_軽油,係数_乗用_メタノール,係数_乗用_LPG),125,5,BE437),5,FALSE)))))</f>
        <v/>
      </c>
      <c r="AN437" s="461" t="str">
        <f t="shared" si="241"/>
        <v/>
      </c>
      <c r="AO437" s="462" t="str">
        <f t="shared" si="242"/>
        <v/>
      </c>
      <c r="AP437" s="463" t="str">
        <f t="shared" si="243"/>
        <v/>
      </c>
      <c r="AQ437" s="464"/>
      <c r="AR437" s="619"/>
      <c r="AS437" s="465" t="str">
        <f t="shared" si="222"/>
        <v/>
      </c>
      <c r="AT437" s="465" t="str">
        <f t="shared" si="223"/>
        <v/>
      </c>
      <c r="AU437" s="466" t="str">
        <f t="shared" si="224"/>
        <v/>
      </c>
      <c r="AV437" s="467" t="str">
        <f t="shared" si="225"/>
        <v/>
      </c>
      <c r="AW437" s="467" t="str">
        <f t="shared" si="226"/>
        <v/>
      </c>
      <c r="AX437" s="467" t="str">
        <f t="shared" si="227"/>
        <v/>
      </c>
      <c r="AY437" s="467" t="str">
        <f t="shared" si="228"/>
        <v/>
      </c>
      <c r="AZ437" s="467" t="str">
        <f t="shared" si="229"/>
        <v/>
      </c>
      <c r="BA437" s="468" t="str">
        <f>IF(AS437="","",IF(OR(AU437="",AU437="-"),"－",IF(OR(AZ437=8,AZ437=9),"",IF(OR(AW437=3,AW437=4,AW437=5,AW437=6),VLOOKUP(AU437,INDEX((係数_バス貨物_ガソリン,係数_バス貨物_CNG,係数_バス貨物_軽油,係数_バス貨物_メタノール,係数_バス貨物_LPG),MATCH(AY437,【参考】排出係数!$AI$4:$AI$671,1),1,BE437):INDEX((係数_バス貨物_ガソリン,係数_バス貨物_CNG,係数_バス貨物_軽油,係数_バス貨物_メタノール,係数_バス貨物_LPG),MATCH(AY437+1,【参考】排出係数!$AI$4:$AI$671,1)-1,5,BE437),2,FALSE),IF(OR(AW437=1,AW437=2),VLOOKUP(AU437,INDEX((係数_乗用_ガソリン,係数_乗用_CNG,係数_乗用_軽油,係数_乗用_メタノール,係数_乗用_LPG),1,1,BE437):INDEX((係数_乗用_ガソリン,係数_乗用_CNG,係数_乗用_軽油,係数_乗用_メタノール,係数_乗用_LPG),125,5,BE437),2,FALSE))))))</f>
        <v/>
      </c>
      <c r="BB437" s="468" t="str">
        <f>IF(T437="","",IF(OR(AU437="",AU437="-"),"－",IF(OR(AZ437=8,AZ437=9),"",IF(OR(AW437=3,AW437=4,AW437=5,AW437=6),VLOOKUP(AU437,INDEX((係数_バス貨物_ガソリン,係数_バス貨物_CNG,係数_バス貨物_軽油,係数_バス貨物_メタノール,係数_バス貨物_LPG),MATCH(AY437,【参考】排出係数!$AI$4:$AI$671,1),1,BE437):INDEX((係数_バス貨物_ガソリン,係数_バス貨物_CNG,係数_バス貨物_軽油,係数_バス貨物_メタノール,係数_バス貨物_LPG),MATCH(AY437+1,【参考】排出係数!$AI$4:$AI$671,1)-1,5,BE437),3,FALSE),IF(OR(AW437=1,AW437=2),VLOOKUP(AU437,INDEX((係数_乗用_ガソリン,係数_乗用_CNG,係数_乗用_軽油,係数_乗用_メタノール,係数_乗用_LPG),1,1,BE437):INDEX((係数_乗用_ガソリン,係数_乗用_CNG,係数_乗用_軽油,係数_乗用_メタノール,係数_乗用_LPG),125,5,BE437),3,FALSE))))))</f>
        <v/>
      </c>
      <c r="BC437" s="467" t="str">
        <f t="shared" si="230"/>
        <v/>
      </c>
      <c r="BD437" s="567" t="str">
        <f t="shared" si="231"/>
        <v/>
      </c>
      <c r="BE437" s="467" t="str">
        <f t="shared" si="232"/>
        <v/>
      </c>
      <c r="BF437" s="469" t="str">
        <f t="shared" ca="1" si="233"/>
        <v/>
      </c>
      <c r="BG437" s="469" t="str">
        <f t="shared" ca="1" si="234"/>
        <v/>
      </c>
      <c r="BH437" s="467" t="str">
        <f t="shared" si="235"/>
        <v/>
      </c>
      <c r="BI437" s="467" t="str">
        <f t="shared" ca="1" si="236"/>
        <v/>
      </c>
      <c r="BJ437" s="469" t="str">
        <f t="shared" si="237"/>
        <v/>
      </c>
      <c r="BK437" s="470" t="str">
        <f t="shared" si="217"/>
        <v/>
      </c>
      <c r="BL437" s="775" t="str">
        <f t="shared" si="238"/>
        <v/>
      </c>
      <c r="BM437" s="775" t="str">
        <f t="shared" si="239"/>
        <v/>
      </c>
    </row>
    <row r="438" spans="1:65">
      <c r="A438" s="473">
        <v>382</v>
      </c>
      <c r="B438" s="132"/>
      <c r="C438" s="332"/>
      <c r="D438" s="333"/>
      <c r="E438" s="333"/>
      <c r="F438" s="334"/>
      <c r="G438" s="337"/>
      <c r="H438" s="131"/>
      <c r="I438" s="337"/>
      <c r="J438" s="131"/>
      <c r="K438" s="458" t="str">
        <f t="shared" si="206"/>
        <v/>
      </c>
      <c r="L438" s="458">
        <f t="shared" si="218"/>
        <v>0</v>
      </c>
      <c r="M438" s="458">
        <f t="shared" si="219"/>
        <v>0</v>
      </c>
      <c r="N438" s="459" t="str">
        <f t="shared" si="207"/>
        <v/>
      </c>
      <c r="O438" s="459" t="str">
        <f t="shared" si="208"/>
        <v/>
      </c>
      <c r="P438" s="459" t="str">
        <f t="shared" si="209"/>
        <v/>
      </c>
      <c r="Q438" s="459" t="str">
        <f t="shared" si="210"/>
        <v/>
      </c>
      <c r="R438" s="459" t="str">
        <f t="shared" si="211"/>
        <v/>
      </c>
      <c r="S438" s="459" t="str">
        <f t="shared" si="212"/>
        <v/>
      </c>
      <c r="T438" s="566" t="str">
        <f t="shared" si="220"/>
        <v/>
      </c>
      <c r="U438" s="702"/>
      <c r="V438" s="132"/>
      <c r="W438" s="133"/>
      <c r="X438" s="134"/>
      <c r="Y438" s="135"/>
      <c r="Z438" s="137"/>
      <c r="AA438" s="136"/>
      <c r="AB438" s="566" t="str">
        <f t="shared" si="213"/>
        <v/>
      </c>
      <c r="AC438" s="568" t="str">
        <f t="shared" si="221"/>
        <v/>
      </c>
      <c r="AD438" s="137"/>
      <c r="AE438" s="137"/>
      <c r="AF438" s="138"/>
      <c r="AG438" s="138"/>
      <c r="AH438" s="592" t="str">
        <f t="shared" si="214"/>
        <v/>
      </c>
      <c r="AI438" s="592" t="str">
        <f t="shared" si="215"/>
        <v/>
      </c>
      <c r="AJ438" s="592" t="str">
        <f t="shared" si="216"/>
        <v/>
      </c>
      <c r="AK438" s="460" t="str">
        <f>IF(AU438="","",IF(OR(AZ438=8,AZ438=9),0,IF(OR(AW438=3,AW438=4,AW438=5,AW438=6),IF(LEFT(BF438,1)="1",INDEX(係数_NOX・PM低減,MATCH(AY438,【参考】排出係数!$AI$801:$AI$804,1),1),VLOOKUP(AU438,INDEX((係数_バス貨物_ガソリン,係数_バス貨物_CNG,係数_バス貨物_軽油,係数_バス貨物_メタノール,係数_バス貨物_LPG),MATCH(AY438,【参考】排出係数!$AI$4:$AI$671,1),1,BE438):INDEX((係数_バス貨物_ガソリン,係数_バス貨物_CNG,係数_バス貨物_軽油,係数_バス貨物_メタノール,係数_バス貨物_LPG),MATCH(AY438+1,【参考】排出係数!$AI$4:$AI$671,1)-1,5,BE438),4,FALSE)),IF(AND(BE438=3,LEFT(BF438,1)="1"),0.48,VLOOKUP(AU438,INDEX((係数_乗用_ガソリン,係数_乗用_CNG,係数_乗用_軽油,係数_乗用_メタノール,係数_乗用_LPG),1,1,BE438):INDEX((係数_乗用_ガソリン,係数_乗用_CNG,係数_乗用_軽油,係数_乗用_メタノール,係数_乗用_LPG),125,5,BE438),4,FALSE)))))</f>
        <v/>
      </c>
      <c r="AL438" s="461" t="str">
        <f t="shared" si="240"/>
        <v/>
      </c>
      <c r="AM438" s="460" t="str">
        <f>IF(AU438="","",IF(OR(AZ438=8,AZ438=9),0,IF(OR(AW438=3,AW438=4,AW438=5,AW438=6),IF(LEFT(BH438,1)="1",INDEX(係数_PM低減,MATCH(AY438,【参考】排出係数!$AI$801:$AI$804,1),MATCH(BI438,【参考】排出係数!$AL$798:$AO$798,1)),VLOOKUP(AU438,INDEX((係数_バス貨物_ガソリン,係数_バス貨物_CNG,係数_バス貨物_軽油,係数_バス貨物_メタノール,係数_バス貨物_LPG),MATCH(AY438,【参考】排出係数!$AI$4:$AI$671,1),1,BE438):INDEX((係数_バス貨物_ガソリン,係数_バス貨物_CNG,係数_バス貨物_軽油,係数_バス貨物_メタノール,係数_バス貨物_LPG),MATCH(AY438+1,【参考】排出係数!$AI$4:$AI$671,1)-1,5,BE438),5,FALSE)),IF(AND(BE438=3,LEFT(BF438,1)="1"),0.055,VLOOKUP(AU438,INDEX((係数_乗用_ガソリン,係数_乗用_CNG,係数_乗用_軽油,係数_乗用_メタノール,係数_乗用_LPG),1,1,BE438):INDEX((係数_乗用_ガソリン,係数_乗用_CNG,係数_乗用_軽油,係数_乗用_メタノール,係数_乗用_LPG),125,5,BE438),5,FALSE)))))</f>
        <v/>
      </c>
      <c r="AN438" s="461" t="str">
        <f t="shared" si="241"/>
        <v/>
      </c>
      <c r="AO438" s="462" t="str">
        <f t="shared" si="242"/>
        <v/>
      </c>
      <c r="AP438" s="463" t="str">
        <f t="shared" si="243"/>
        <v/>
      </c>
      <c r="AQ438" s="464"/>
      <c r="AR438" s="619"/>
      <c r="AS438" s="465" t="str">
        <f t="shared" si="222"/>
        <v/>
      </c>
      <c r="AT438" s="465" t="str">
        <f t="shared" si="223"/>
        <v/>
      </c>
      <c r="AU438" s="466" t="str">
        <f t="shared" si="224"/>
        <v/>
      </c>
      <c r="AV438" s="467" t="str">
        <f t="shared" si="225"/>
        <v/>
      </c>
      <c r="AW438" s="467" t="str">
        <f t="shared" si="226"/>
        <v/>
      </c>
      <c r="AX438" s="467" t="str">
        <f t="shared" si="227"/>
        <v/>
      </c>
      <c r="AY438" s="467" t="str">
        <f t="shared" si="228"/>
        <v/>
      </c>
      <c r="AZ438" s="467" t="str">
        <f t="shared" si="229"/>
        <v/>
      </c>
      <c r="BA438" s="468" t="str">
        <f>IF(AS438="","",IF(OR(AU438="",AU438="-"),"－",IF(OR(AZ438=8,AZ438=9),"",IF(OR(AW438=3,AW438=4,AW438=5,AW438=6),VLOOKUP(AU438,INDEX((係数_バス貨物_ガソリン,係数_バス貨物_CNG,係数_バス貨物_軽油,係数_バス貨物_メタノール,係数_バス貨物_LPG),MATCH(AY438,【参考】排出係数!$AI$4:$AI$671,1),1,BE438):INDEX((係数_バス貨物_ガソリン,係数_バス貨物_CNG,係数_バス貨物_軽油,係数_バス貨物_メタノール,係数_バス貨物_LPG),MATCH(AY438+1,【参考】排出係数!$AI$4:$AI$671,1)-1,5,BE438),2,FALSE),IF(OR(AW438=1,AW438=2),VLOOKUP(AU438,INDEX((係数_乗用_ガソリン,係数_乗用_CNG,係数_乗用_軽油,係数_乗用_メタノール,係数_乗用_LPG),1,1,BE438):INDEX((係数_乗用_ガソリン,係数_乗用_CNG,係数_乗用_軽油,係数_乗用_メタノール,係数_乗用_LPG),125,5,BE438),2,FALSE))))))</f>
        <v/>
      </c>
      <c r="BB438" s="468" t="str">
        <f>IF(T438="","",IF(OR(AU438="",AU438="-"),"－",IF(OR(AZ438=8,AZ438=9),"",IF(OR(AW438=3,AW438=4,AW438=5,AW438=6),VLOOKUP(AU438,INDEX((係数_バス貨物_ガソリン,係数_バス貨物_CNG,係数_バス貨物_軽油,係数_バス貨物_メタノール,係数_バス貨物_LPG),MATCH(AY438,【参考】排出係数!$AI$4:$AI$671,1),1,BE438):INDEX((係数_バス貨物_ガソリン,係数_バス貨物_CNG,係数_バス貨物_軽油,係数_バス貨物_メタノール,係数_バス貨物_LPG),MATCH(AY438+1,【参考】排出係数!$AI$4:$AI$671,1)-1,5,BE438),3,FALSE),IF(OR(AW438=1,AW438=2),VLOOKUP(AU438,INDEX((係数_乗用_ガソリン,係数_乗用_CNG,係数_乗用_軽油,係数_乗用_メタノール,係数_乗用_LPG),1,1,BE438):INDEX((係数_乗用_ガソリン,係数_乗用_CNG,係数_乗用_軽油,係数_乗用_メタノール,係数_乗用_LPG),125,5,BE438),3,FALSE))))))</f>
        <v/>
      </c>
      <c r="BC438" s="467" t="str">
        <f t="shared" si="230"/>
        <v/>
      </c>
      <c r="BD438" s="567" t="str">
        <f t="shared" si="231"/>
        <v/>
      </c>
      <c r="BE438" s="467" t="str">
        <f t="shared" si="232"/>
        <v/>
      </c>
      <c r="BF438" s="469" t="str">
        <f t="shared" ca="1" si="233"/>
        <v/>
      </c>
      <c r="BG438" s="469" t="str">
        <f t="shared" ca="1" si="234"/>
        <v/>
      </c>
      <c r="BH438" s="467" t="str">
        <f t="shared" si="235"/>
        <v/>
      </c>
      <c r="BI438" s="467" t="str">
        <f t="shared" ca="1" si="236"/>
        <v/>
      </c>
      <c r="BJ438" s="469" t="str">
        <f t="shared" si="237"/>
        <v/>
      </c>
      <c r="BK438" s="470" t="str">
        <f t="shared" si="217"/>
        <v/>
      </c>
      <c r="BL438" s="775" t="str">
        <f t="shared" si="238"/>
        <v/>
      </c>
      <c r="BM438" s="775" t="str">
        <f t="shared" si="239"/>
        <v/>
      </c>
    </row>
    <row r="439" spans="1:65">
      <c r="A439" s="473">
        <v>383</v>
      </c>
      <c r="B439" s="132"/>
      <c r="C439" s="332"/>
      <c r="D439" s="333"/>
      <c r="E439" s="333"/>
      <c r="F439" s="334"/>
      <c r="G439" s="337"/>
      <c r="H439" s="131"/>
      <c r="I439" s="337"/>
      <c r="J439" s="131"/>
      <c r="K439" s="458" t="str">
        <f t="shared" si="206"/>
        <v/>
      </c>
      <c r="L439" s="458">
        <f t="shared" si="218"/>
        <v>0</v>
      </c>
      <c r="M439" s="458">
        <f t="shared" si="219"/>
        <v>0</v>
      </c>
      <c r="N439" s="459" t="str">
        <f t="shared" si="207"/>
        <v/>
      </c>
      <c r="O439" s="459" t="str">
        <f t="shared" si="208"/>
        <v/>
      </c>
      <c r="P439" s="459" t="str">
        <f t="shared" si="209"/>
        <v/>
      </c>
      <c r="Q439" s="459" t="str">
        <f t="shared" si="210"/>
        <v/>
      </c>
      <c r="R439" s="459" t="str">
        <f t="shared" si="211"/>
        <v/>
      </c>
      <c r="S439" s="459" t="str">
        <f t="shared" si="212"/>
        <v/>
      </c>
      <c r="T439" s="566" t="str">
        <f t="shared" si="220"/>
        <v/>
      </c>
      <c r="U439" s="702"/>
      <c r="V439" s="132"/>
      <c r="W439" s="133"/>
      <c r="X439" s="134"/>
      <c r="Y439" s="135"/>
      <c r="Z439" s="137"/>
      <c r="AA439" s="136"/>
      <c r="AB439" s="566" t="str">
        <f t="shared" si="213"/>
        <v/>
      </c>
      <c r="AC439" s="568" t="str">
        <f t="shared" si="221"/>
        <v/>
      </c>
      <c r="AD439" s="137"/>
      <c r="AE439" s="137"/>
      <c r="AF439" s="138"/>
      <c r="AG439" s="138"/>
      <c r="AH439" s="592" t="str">
        <f t="shared" si="214"/>
        <v/>
      </c>
      <c r="AI439" s="592" t="str">
        <f t="shared" si="215"/>
        <v/>
      </c>
      <c r="AJ439" s="592" t="str">
        <f t="shared" si="216"/>
        <v/>
      </c>
      <c r="AK439" s="460" t="str">
        <f>IF(AU439="","",IF(OR(AZ439=8,AZ439=9),0,IF(OR(AW439=3,AW439=4,AW439=5,AW439=6),IF(LEFT(BF439,1)="1",INDEX(係数_NOX・PM低減,MATCH(AY439,【参考】排出係数!$AI$801:$AI$804,1),1),VLOOKUP(AU439,INDEX((係数_バス貨物_ガソリン,係数_バス貨物_CNG,係数_バス貨物_軽油,係数_バス貨物_メタノール,係数_バス貨物_LPG),MATCH(AY439,【参考】排出係数!$AI$4:$AI$671,1),1,BE439):INDEX((係数_バス貨物_ガソリン,係数_バス貨物_CNG,係数_バス貨物_軽油,係数_バス貨物_メタノール,係数_バス貨物_LPG),MATCH(AY439+1,【参考】排出係数!$AI$4:$AI$671,1)-1,5,BE439),4,FALSE)),IF(AND(BE439=3,LEFT(BF439,1)="1"),0.48,VLOOKUP(AU439,INDEX((係数_乗用_ガソリン,係数_乗用_CNG,係数_乗用_軽油,係数_乗用_メタノール,係数_乗用_LPG),1,1,BE439):INDEX((係数_乗用_ガソリン,係数_乗用_CNG,係数_乗用_軽油,係数_乗用_メタノール,係数_乗用_LPG),125,5,BE439),4,FALSE)))))</f>
        <v/>
      </c>
      <c r="AL439" s="461" t="str">
        <f t="shared" si="240"/>
        <v/>
      </c>
      <c r="AM439" s="460" t="str">
        <f>IF(AU439="","",IF(OR(AZ439=8,AZ439=9),0,IF(OR(AW439=3,AW439=4,AW439=5,AW439=6),IF(LEFT(BH439,1)="1",INDEX(係数_PM低減,MATCH(AY439,【参考】排出係数!$AI$801:$AI$804,1),MATCH(BI439,【参考】排出係数!$AL$798:$AO$798,1)),VLOOKUP(AU439,INDEX((係数_バス貨物_ガソリン,係数_バス貨物_CNG,係数_バス貨物_軽油,係数_バス貨物_メタノール,係数_バス貨物_LPG),MATCH(AY439,【参考】排出係数!$AI$4:$AI$671,1),1,BE439):INDEX((係数_バス貨物_ガソリン,係数_バス貨物_CNG,係数_バス貨物_軽油,係数_バス貨物_メタノール,係数_バス貨物_LPG),MATCH(AY439+1,【参考】排出係数!$AI$4:$AI$671,1)-1,5,BE439),5,FALSE)),IF(AND(BE439=3,LEFT(BF439,1)="1"),0.055,VLOOKUP(AU439,INDEX((係数_乗用_ガソリン,係数_乗用_CNG,係数_乗用_軽油,係数_乗用_メタノール,係数_乗用_LPG),1,1,BE439):INDEX((係数_乗用_ガソリン,係数_乗用_CNG,係数_乗用_軽油,係数_乗用_メタノール,係数_乗用_LPG),125,5,BE439),5,FALSE)))))</f>
        <v/>
      </c>
      <c r="AN439" s="461" t="str">
        <f t="shared" si="241"/>
        <v/>
      </c>
      <c r="AO439" s="462" t="str">
        <f t="shared" si="242"/>
        <v/>
      </c>
      <c r="AP439" s="463" t="str">
        <f t="shared" si="243"/>
        <v/>
      </c>
      <c r="AQ439" s="464"/>
      <c r="AR439" s="619"/>
      <c r="AS439" s="465" t="str">
        <f t="shared" si="222"/>
        <v/>
      </c>
      <c r="AT439" s="465" t="str">
        <f t="shared" si="223"/>
        <v/>
      </c>
      <c r="AU439" s="466" t="str">
        <f t="shared" si="224"/>
        <v/>
      </c>
      <c r="AV439" s="467" t="str">
        <f t="shared" si="225"/>
        <v/>
      </c>
      <c r="AW439" s="467" t="str">
        <f t="shared" si="226"/>
        <v/>
      </c>
      <c r="AX439" s="467" t="str">
        <f t="shared" si="227"/>
        <v/>
      </c>
      <c r="AY439" s="467" t="str">
        <f t="shared" si="228"/>
        <v/>
      </c>
      <c r="AZ439" s="467" t="str">
        <f t="shared" si="229"/>
        <v/>
      </c>
      <c r="BA439" s="468" t="str">
        <f>IF(AS439="","",IF(OR(AU439="",AU439="-"),"－",IF(OR(AZ439=8,AZ439=9),"",IF(OR(AW439=3,AW439=4,AW439=5,AW439=6),VLOOKUP(AU439,INDEX((係数_バス貨物_ガソリン,係数_バス貨物_CNG,係数_バス貨物_軽油,係数_バス貨物_メタノール,係数_バス貨物_LPG),MATCH(AY439,【参考】排出係数!$AI$4:$AI$671,1),1,BE439):INDEX((係数_バス貨物_ガソリン,係数_バス貨物_CNG,係数_バス貨物_軽油,係数_バス貨物_メタノール,係数_バス貨物_LPG),MATCH(AY439+1,【参考】排出係数!$AI$4:$AI$671,1)-1,5,BE439),2,FALSE),IF(OR(AW439=1,AW439=2),VLOOKUP(AU439,INDEX((係数_乗用_ガソリン,係数_乗用_CNG,係数_乗用_軽油,係数_乗用_メタノール,係数_乗用_LPG),1,1,BE439):INDEX((係数_乗用_ガソリン,係数_乗用_CNG,係数_乗用_軽油,係数_乗用_メタノール,係数_乗用_LPG),125,5,BE439),2,FALSE))))))</f>
        <v/>
      </c>
      <c r="BB439" s="468" t="str">
        <f>IF(T439="","",IF(OR(AU439="",AU439="-"),"－",IF(OR(AZ439=8,AZ439=9),"",IF(OR(AW439=3,AW439=4,AW439=5,AW439=6),VLOOKUP(AU439,INDEX((係数_バス貨物_ガソリン,係数_バス貨物_CNG,係数_バス貨物_軽油,係数_バス貨物_メタノール,係数_バス貨物_LPG),MATCH(AY439,【参考】排出係数!$AI$4:$AI$671,1),1,BE439):INDEX((係数_バス貨物_ガソリン,係数_バス貨物_CNG,係数_バス貨物_軽油,係数_バス貨物_メタノール,係数_バス貨物_LPG),MATCH(AY439+1,【参考】排出係数!$AI$4:$AI$671,1)-1,5,BE439),3,FALSE),IF(OR(AW439=1,AW439=2),VLOOKUP(AU439,INDEX((係数_乗用_ガソリン,係数_乗用_CNG,係数_乗用_軽油,係数_乗用_メタノール,係数_乗用_LPG),1,1,BE439):INDEX((係数_乗用_ガソリン,係数_乗用_CNG,係数_乗用_軽油,係数_乗用_メタノール,係数_乗用_LPG),125,5,BE439),3,FALSE))))))</f>
        <v/>
      </c>
      <c r="BC439" s="467" t="str">
        <f t="shared" si="230"/>
        <v/>
      </c>
      <c r="BD439" s="567" t="str">
        <f t="shared" si="231"/>
        <v/>
      </c>
      <c r="BE439" s="467" t="str">
        <f t="shared" si="232"/>
        <v/>
      </c>
      <c r="BF439" s="469" t="str">
        <f t="shared" ca="1" si="233"/>
        <v/>
      </c>
      <c r="BG439" s="469" t="str">
        <f t="shared" ca="1" si="234"/>
        <v/>
      </c>
      <c r="BH439" s="467" t="str">
        <f t="shared" si="235"/>
        <v/>
      </c>
      <c r="BI439" s="467" t="str">
        <f t="shared" ca="1" si="236"/>
        <v/>
      </c>
      <c r="BJ439" s="469" t="str">
        <f t="shared" si="237"/>
        <v/>
      </c>
      <c r="BK439" s="470" t="str">
        <f t="shared" si="217"/>
        <v/>
      </c>
      <c r="BL439" s="775" t="str">
        <f t="shared" si="238"/>
        <v/>
      </c>
      <c r="BM439" s="775" t="str">
        <f t="shared" si="239"/>
        <v/>
      </c>
    </row>
    <row r="440" spans="1:65">
      <c r="A440" s="473">
        <v>384</v>
      </c>
      <c r="B440" s="132"/>
      <c r="C440" s="332"/>
      <c r="D440" s="333"/>
      <c r="E440" s="333"/>
      <c r="F440" s="334"/>
      <c r="G440" s="337"/>
      <c r="H440" s="131"/>
      <c r="I440" s="337"/>
      <c r="J440" s="131"/>
      <c r="K440" s="458" t="str">
        <f t="shared" si="206"/>
        <v/>
      </c>
      <c r="L440" s="458">
        <f t="shared" si="218"/>
        <v>0</v>
      </c>
      <c r="M440" s="458">
        <f t="shared" si="219"/>
        <v>0</v>
      </c>
      <c r="N440" s="459" t="str">
        <f t="shared" si="207"/>
        <v/>
      </c>
      <c r="O440" s="459" t="str">
        <f t="shared" si="208"/>
        <v/>
      </c>
      <c r="P440" s="459" t="str">
        <f t="shared" si="209"/>
        <v/>
      </c>
      <c r="Q440" s="459" t="str">
        <f t="shared" si="210"/>
        <v/>
      </c>
      <c r="R440" s="459" t="str">
        <f t="shared" si="211"/>
        <v/>
      </c>
      <c r="S440" s="459" t="str">
        <f t="shared" si="212"/>
        <v/>
      </c>
      <c r="T440" s="566" t="str">
        <f t="shared" si="220"/>
        <v/>
      </c>
      <c r="U440" s="702"/>
      <c r="V440" s="132"/>
      <c r="W440" s="133"/>
      <c r="X440" s="134"/>
      <c r="Y440" s="135"/>
      <c r="Z440" s="137"/>
      <c r="AA440" s="136"/>
      <c r="AB440" s="566" t="str">
        <f t="shared" si="213"/>
        <v/>
      </c>
      <c r="AC440" s="568" t="str">
        <f t="shared" si="221"/>
        <v/>
      </c>
      <c r="AD440" s="137"/>
      <c r="AE440" s="137"/>
      <c r="AF440" s="138"/>
      <c r="AG440" s="138"/>
      <c r="AH440" s="592" t="str">
        <f t="shared" si="214"/>
        <v/>
      </c>
      <c r="AI440" s="592" t="str">
        <f t="shared" si="215"/>
        <v/>
      </c>
      <c r="AJ440" s="592" t="str">
        <f t="shared" si="216"/>
        <v/>
      </c>
      <c r="AK440" s="460" t="str">
        <f>IF(AU440="","",IF(OR(AZ440=8,AZ440=9),0,IF(OR(AW440=3,AW440=4,AW440=5,AW440=6),IF(LEFT(BF440,1)="1",INDEX(係数_NOX・PM低減,MATCH(AY440,【参考】排出係数!$AI$801:$AI$804,1),1),VLOOKUP(AU440,INDEX((係数_バス貨物_ガソリン,係数_バス貨物_CNG,係数_バス貨物_軽油,係数_バス貨物_メタノール,係数_バス貨物_LPG),MATCH(AY440,【参考】排出係数!$AI$4:$AI$671,1),1,BE440):INDEX((係数_バス貨物_ガソリン,係数_バス貨物_CNG,係数_バス貨物_軽油,係数_バス貨物_メタノール,係数_バス貨物_LPG),MATCH(AY440+1,【参考】排出係数!$AI$4:$AI$671,1)-1,5,BE440),4,FALSE)),IF(AND(BE440=3,LEFT(BF440,1)="1"),0.48,VLOOKUP(AU440,INDEX((係数_乗用_ガソリン,係数_乗用_CNG,係数_乗用_軽油,係数_乗用_メタノール,係数_乗用_LPG),1,1,BE440):INDEX((係数_乗用_ガソリン,係数_乗用_CNG,係数_乗用_軽油,係数_乗用_メタノール,係数_乗用_LPG),125,5,BE440),4,FALSE)))))</f>
        <v/>
      </c>
      <c r="AL440" s="461" t="str">
        <f t="shared" si="240"/>
        <v/>
      </c>
      <c r="AM440" s="460" t="str">
        <f>IF(AU440="","",IF(OR(AZ440=8,AZ440=9),0,IF(OR(AW440=3,AW440=4,AW440=5,AW440=6),IF(LEFT(BH440,1)="1",INDEX(係数_PM低減,MATCH(AY440,【参考】排出係数!$AI$801:$AI$804,1),MATCH(BI440,【参考】排出係数!$AL$798:$AO$798,1)),VLOOKUP(AU440,INDEX((係数_バス貨物_ガソリン,係数_バス貨物_CNG,係数_バス貨物_軽油,係数_バス貨物_メタノール,係数_バス貨物_LPG),MATCH(AY440,【参考】排出係数!$AI$4:$AI$671,1),1,BE440):INDEX((係数_バス貨物_ガソリン,係数_バス貨物_CNG,係数_バス貨物_軽油,係数_バス貨物_メタノール,係数_バス貨物_LPG),MATCH(AY440+1,【参考】排出係数!$AI$4:$AI$671,1)-1,5,BE440),5,FALSE)),IF(AND(BE440=3,LEFT(BF440,1)="1"),0.055,VLOOKUP(AU440,INDEX((係数_乗用_ガソリン,係数_乗用_CNG,係数_乗用_軽油,係数_乗用_メタノール,係数_乗用_LPG),1,1,BE440):INDEX((係数_乗用_ガソリン,係数_乗用_CNG,係数_乗用_軽油,係数_乗用_メタノール,係数_乗用_LPG),125,5,BE440),5,FALSE)))))</f>
        <v/>
      </c>
      <c r="AN440" s="461" t="str">
        <f t="shared" si="241"/>
        <v/>
      </c>
      <c r="AO440" s="462" t="str">
        <f t="shared" si="242"/>
        <v/>
      </c>
      <c r="AP440" s="463" t="str">
        <f t="shared" si="243"/>
        <v/>
      </c>
      <c r="AQ440" s="464"/>
      <c r="AR440" s="619"/>
      <c r="AS440" s="465" t="str">
        <f t="shared" si="222"/>
        <v/>
      </c>
      <c r="AT440" s="465" t="str">
        <f t="shared" si="223"/>
        <v/>
      </c>
      <c r="AU440" s="466" t="str">
        <f t="shared" si="224"/>
        <v/>
      </c>
      <c r="AV440" s="467" t="str">
        <f t="shared" si="225"/>
        <v/>
      </c>
      <c r="AW440" s="467" t="str">
        <f t="shared" si="226"/>
        <v/>
      </c>
      <c r="AX440" s="467" t="str">
        <f t="shared" si="227"/>
        <v/>
      </c>
      <c r="AY440" s="467" t="str">
        <f t="shared" si="228"/>
        <v/>
      </c>
      <c r="AZ440" s="467" t="str">
        <f t="shared" si="229"/>
        <v/>
      </c>
      <c r="BA440" s="468" t="str">
        <f>IF(AS440="","",IF(OR(AU440="",AU440="-"),"－",IF(OR(AZ440=8,AZ440=9),"",IF(OR(AW440=3,AW440=4,AW440=5,AW440=6),VLOOKUP(AU440,INDEX((係数_バス貨物_ガソリン,係数_バス貨物_CNG,係数_バス貨物_軽油,係数_バス貨物_メタノール,係数_バス貨物_LPG),MATCH(AY440,【参考】排出係数!$AI$4:$AI$671,1),1,BE440):INDEX((係数_バス貨物_ガソリン,係数_バス貨物_CNG,係数_バス貨物_軽油,係数_バス貨物_メタノール,係数_バス貨物_LPG),MATCH(AY440+1,【参考】排出係数!$AI$4:$AI$671,1)-1,5,BE440),2,FALSE),IF(OR(AW440=1,AW440=2),VLOOKUP(AU440,INDEX((係数_乗用_ガソリン,係数_乗用_CNG,係数_乗用_軽油,係数_乗用_メタノール,係数_乗用_LPG),1,1,BE440):INDEX((係数_乗用_ガソリン,係数_乗用_CNG,係数_乗用_軽油,係数_乗用_メタノール,係数_乗用_LPG),125,5,BE440),2,FALSE))))))</f>
        <v/>
      </c>
      <c r="BB440" s="468" t="str">
        <f>IF(T440="","",IF(OR(AU440="",AU440="-"),"－",IF(OR(AZ440=8,AZ440=9),"",IF(OR(AW440=3,AW440=4,AW440=5,AW440=6),VLOOKUP(AU440,INDEX((係数_バス貨物_ガソリン,係数_バス貨物_CNG,係数_バス貨物_軽油,係数_バス貨物_メタノール,係数_バス貨物_LPG),MATCH(AY440,【参考】排出係数!$AI$4:$AI$671,1),1,BE440):INDEX((係数_バス貨物_ガソリン,係数_バス貨物_CNG,係数_バス貨物_軽油,係数_バス貨物_メタノール,係数_バス貨物_LPG),MATCH(AY440+1,【参考】排出係数!$AI$4:$AI$671,1)-1,5,BE440),3,FALSE),IF(OR(AW440=1,AW440=2),VLOOKUP(AU440,INDEX((係数_乗用_ガソリン,係数_乗用_CNG,係数_乗用_軽油,係数_乗用_メタノール,係数_乗用_LPG),1,1,BE440):INDEX((係数_乗用_ガソリン,係数_乗用_CNG,係数_乗用_軽油,係数_乗用_メタノール,係数_乗用_LPG),125,5,BE440),3,FALSE))))))</f>
        <v/>
      </c>
      <c r="BC440" s="467" t="str">
        <f t="shared" si="230"/>
        <v/>
      </c>
      <c r="BD440" s="567" t="str">
        <f t="shared" si="231"/>
        <v/>
      </c>
      <c r="BE440" s="467" t="str">
        <f t="shared" si="232"/>
        <v/>
      </c>
      <c r="BF440" s="469" t="str">
        <f t="shared" ca="1" si="233"/>
        <v/>
      </c>
      <c r="BG440" s="469" t="str">
        <f t="shared" ca="1" si="234"/>
        <v/>
      </c>
      <c r="BH440" s="467" t="str">
        <f t="shared" si="235"/>
        <v/>
      </c>
      <c r="BI440" s="467" t="str">
        <f t="shared" ca="1" si="236"/>
        <v/>
      </c>
      <c r="BJ440" s="469" t="str">
        <f t="shared" si="237"/>
        <v/>
      </c>
      <c r="BK440" s="470" t="str">
        <f t="shared" si="217"/>
        <v/>
      </c>
      <c r="BL440" s="775" t="str">
        <f t="shared" si="238"/>
        <v/>
      </c>
      <c r="BM440" s="775" t="str">
        <f t="shared" si="239"/>
        <v/>
      </c>
    </row>
    <row r="441" spans="1:65">
      <c r="A441" s="473">
        <v>385</v>
      </c>
      <c r="B441" s="132"/>
      <c r="C441" s="332"/>
      <c r="D441" s="333"/>
      <c r="E441" s="333"/>
      <c r="F441" s="334"/>
      <c r="G441" s="337"/>
      <c r="H441" s="131"/>
      <c r="I441" s="337"/>
      <c r="J441" s="131"/>
      <c r="K441" s="458" t="str">
        <f t="shared" ref="K441:K504" si="244">C441&amp;D441&amp;E441&amp;F441</f>
        <v/>
      </c>
      <c r="L441" s="458">
        <f t="shared" si="218"/>
        <v>0</v>
      </c>
      <c r="M441" s="458">
        <f t="shared" si="219"/>
        <v>0</v>
      </c>
      <c r="N441" s="459" t="str">
        <f t="shared" ref="N441:N504" si="245">IF(OR($L441&gt;$U$48,$M441&gt;$U$48,AND($L441&gt;$M441,$M441&lt;&gt;0),AND($L441=0,$M441&lt;&gt;0)),"ERROR","")</f>
        <v/>
      </c>
      <c r="O441" s="459" t="str">
        <f t="shared" ref="O441:O504" si="246">IF(AND($N441&lt;&gt;"ERROR",$L441&lt;=$U$49,$M441&lt;=$U$49,$M441&lt;&gt;0),"(減車済)","")</f>
        <v/>
      </c>
      <c r="P441" s="459" t="str">
        <f t="shared" ref="P441:P504" si="247">IF(AND($N441&lt;&gt;"ERROR",$L441&lt;$U$49,AND($M441&gt;$U$49,$M441&lt;=$W$49),$M441&lt;&gt;0),"減車","")</f>
        <v/>
      </c>
      <c r="Q441" s="459" t="str">
        <f t="shared" ref="Q441:Q504" si="248">IF(AND($N441&lt;&gt;"ERROR",$L441&gt;$U$49,$M441&lt;=$W$49,$M441&lt;&gt;0),"一時使用","")</f>
        <v/>
      </c>
      <c r="R441" s="459" t="str">
        <f t="shared" ref="R441:R504" si="249">IF(AND($N441&lt;&gt;"ERROR",AND($L441&gt;0,$L441&lt;=$U$49),$M441=0),"継続","")</f>
        <v/>
      </c>
      <c r="S441" s="459" t="str">
        <f t="shared" ref="S441:S504" si="250">IF(AND($N441&lt;&gt;"ERROR",AND($L441&gt;$U$49),$M441=0),"新規","")</f>
        <v/>
      </c>
      <c r="T441" s="566" t="str">
        <f t="shared" si="220"/>
        <v/>
      </c>
      <c r="U441" s="702"/>
      <c r="V441" s="132"/>
      <c r="W441" s="133"/>
      <c r="X441" s="134"/>
      <c r="Y441" s="135"/>
      <c r="Z441" s="137"/>
      <c r="AA441" s="136"/>
      <c r="AB441" s="566" t="str">
        <f t="shared" ref="AB441:AB504" si="251">IF(AS441="","",IF(AZ441=1,VLOOKUP(BA441,低公害車判別,2,FALSE),IF(AZ441=3,VLOOKUP(BA441,低公害車判別,2,FALSE),IF(AZ441=4,VLOOKUP(BB441,低公害車判別,2,FALSE),"低公害車"))))</f>
        <v/>
      </c>
      <c r="AC441" s="568" t="str">
        <f t="shared" si="221"/>
        <v/>
      </c>
      <c r="AD441" s="137"/>
      <c r="AE441" s="137"/>
      <c r="AF441" s="138"/>
      <c r="AG441" s="138"/>
      <c r="AH441" s="592" t="str">
        <f t="shared" ref="AH441:AH504" si="252">IF(C441="","",IF(LEFT(C441,2)="横浜","○",""))</f>
        <v/>
      </c>
      <c r="AI441" s="592" t="str">
        <f t="shared" ref="AI441:AI504" si="253">IF(C441="","",IF(LEFT(C441,2)="川崎","○",""))</f>
        <v/>
      </c>
      <c r="AJ441" s="592" t="str">
        <f t="shared" ref="AJ441:AJ504" si="254">IF(C441="","",IF(OR(AH441="○",AI441="○"),"","○"))</f>
        <v/>
      </c>
      <c r="AK441" s="460" t="str">
        <f>IF(AU441="","",IF(OR(AZ441=8,AZ441=9),0,IF(OR(AW441=3,AW441=4,AW441=5,AW441=6),IF(LEFT(BF441,1)="1",INDEX(係数_NOX・PM低減,MATCH(AY441,【参考】排出係数!$AI$801:$AI$804,1),1),VLOOKUP(AU441,INDEX((係数_バス貨物_ガソリン,係数_バス貨物_CNG,係数_バス貨物_軽油,係数_バス貨物_メタノール,係数_バス貨物_LPG),MATCH(AY441,【参考】排出係数!$AI$4:$AI$671,1),1,BE441):INDEX((係数_バス貨物_ガソリン,係数_バス貨物_CNG,係数_バス貨物_軽油,係数_バス貨物_メタノール,係数_バス貨物_LPG),MATCH(AY441+1,【参考】排出係数!$AI$4:$AI$671,1)-1,5,BE441),4,FALSE)),IF(AND(BE441=3,LEFT(BF441,1)="1"),0.48,VLOOKUP(AU441,INDEX((係数_乗用_ガソリン,係数_乗用_CNG,係数_乗用_軽油,係数_乗用_メタノール,係数_乗用_LPG),1,1,BE441):INDEX((係数_乗用_ガソリン,係数_乗用_CNG,係数_乗用_軽油,係数_乗用_メタノール,係数_乗用_LPG),125,5,BE441),4,FALSE)))))</f>
        <v/>
      </c>
      <c r="AL441" s="461" t="str">
        <f t="shared" si="240"/>
        <v/>
      </c>
      <c r="AM441" s="460" t="str">
        <f>IF(AU441="","",IF(OR(AZ441=8,AZ441=9),0,IF(OR(AW441=3,AW441=4,AW441=5,AW441=6),IF(LEFT(BH441,1)="1",INDEX(係数_PM低減,MATCH(AY441,【参考】排出係数!$AI$801:$AI$804,1),MATCH(BI441,【参考】排出係数!$AL$798:$AO$798,1)),VLOOKUP(AU441,INDEX((係数_バス貨物_ガソリン,係数_バス貨物_CNG,係数_バス貨物_軽油,係数_バス貨物_メタノール,係数_バス貨物_LPG),MATCH(AY441,【参考】排出係数!$AI$4:$AI$671,1),1,BE441):INDEX((係数_バス貨物_ガソリン,係数_バス貨物_CNG,係数_バス貨物_軽油,係数_バス貨物_メタノール,係数_バス貨物_LPG),MATCH(AY441+1,【参考】排出係数!$AI$4:$AI$671,1)-1,5,BE441),5,FALSE)),IF(AND(BE441=3,LEFT(BF441,1)="1"),0.055,VLOOKUP(AU441,INDEX((係数_乗用_ガソリン,係数_乗用_CNG,係数_乗用_軽油,係数_乗用_メタノール,係数_乗用_LPG),1,1,BE441):INDEX((係数_乗用_ガソリン,係数_乗用_CNG,係数_乗用_軽油,係数_乗用_メタノール,係数_乗用_LPG),125,5,BE441),5,FALSE)))))</f>
        <v/>
      </c>
      <c r="AN441" s="461" t="str">
        <f t="shared" si="241"/>
        <v/>
      </c>
      <c r="AO441" s="462" t="str">
        <f t="shared" si="242"/>
        <v/>
      </c>
      <c r="AP441" s="463" t="str">
        <f t="shared" si="243"/>
        <v/>
      </c>
      <c r="AQ441" s="464"/>
      <c r="AR441" s="619"/>
      <c r="AS441" s="465" t="str">
        <f t="shared" si="222"/>
        <v/>
      </c>
      <c r="AT441" s="465" t="str">
        <f t="shared" si="223"/>
        <v/>
      </c>
      <c r="AU441" s="466" t="str">
        <f t="shared" si="224"/>
        <v/>
      </c>
      <c r="AV441" s="467" t="str">
        <f t="shared" si="225"/>
        <v/>
      </c>
      <c r="AW441" s="467" t="str">
        <f t="shared" si="226"/>
        <v/>
      </c>
      <c r="AX441" s="467" t="str">
        <f t="shared" si="227"/>
        <v/>
      </c>
      <c r="AY441" s="467" t="str">
        <f t="shared" si="228"/>
        <v/>
      </c>
      <c r="AZ441" s="467" t="str">
        <f t="shared" si="229"/>
        <v/>
      </c>
      <c r="BA441" s="468" t="str">
        <f>IF(AS441="","",IF(OR(AU441="",AU441="-"),"－",IF(OR(AZ441=8,AZ441=9),"",IF(OR(AW441=3,AW441=4,AW441=5,AW441=6),VLOOKUP(AU441,INDEX((係数_バス貨物_ガソリン,係数_バス貨物_CNG,係数_バス貨物_軽油,係数_バス貨物_メタノール,係数_バス貨物_LPG),MATCH(AY441,【参考】排出係数!$AI$4:$AI$671,1),1,BE441):INDEX((係数_バス貨物_ガソリン,係数_バス貨物_CNG,係数_バス貨物_軽油,係数_バス貨物_メタノール,係数_バス貨物_LPG),MATCH(AY441+1,【参考】排出係数!$AI$4:$AI$671,1)-1,5,BE441),2,FALSE),IF(OR(AW441=1,AW441=2),VLOOKUP(AU441,INDEX((係数_乗用_ガソリン,係数_乗用_CNG,係数_乗用_軽油,係数_乗用_メタノール,係数_乗用_LPG),1,1,BE441):INDEX((係数_乗用_ガソリン,係数_乗用_CNG,係数_乗用_軽油,係数_乗用_メタノール,係数_乗用_LPG),125,5,BE441),2,FALSE))))))</f>
        <v/>
      </c>
      <c r="BB441" s="468" t="str">
        <f>IF(T441="","",IF(OR(AU441="",AU441="-"),"－",IF(OR(AZ441=8,AZ441=9),"",IF(OR(AW441=3,AW441=4,AW441=5,AW441=6),VLOOKUP(AU441,INDEX((係数_バス貨物_ガソリン,係数_バス貨物_CNG,係数_バス貨物_軽油,係数_バス貨物_メタノール,係数_バス貨物_LPG),MATCH(AY441,【参考】排出係数!$AI$4:$AI$671,1),1,BE441):INDEX((係数_バス貨物_ガソリン,係数_バス貨物_CNG,係数_バス貨物_軽油,係数_バス貨物_メタノール,係数_バス貨物_LPG),MATCH(AY441+1,【参考】排出係数!$AI$4:$AI$671,1)-1,5,BE441),3,FALSE),IF(OR(AW441=1,AW441=2),VLOOKUP(AU441,INDEX((係数_乗用_ガソリン,係数_乗用_CNG,係数_乗用_軽油,係数_乗用_メタノール,係数_乗用_LPG),1,1,BE441):INDEX((係数_乗用_ガソリン,係数_乗用_CNG,係数_乗用_軽油,係数_乗用_メタノール,係数_乗用_LPG),125,5,BE441),3,FALSE))))))</f>
        <v/>
      </c>
      <c r="BC441" s="467" t="str">
        <f t="shared" si="230"/>
        <v/>
      </c>
      <c r="BD441" s="567" t="str">
        <f t="shared" si="231"/>
        <v/>
      </c>
      <c r="BE441" s="467" t="str">
        <f t="shared" si="232"/>
        <v/>
      </c>
      <c r="BF441" s="469" t="str">
        <f t="shared" ca="1" si="233"/>
        <v/>
      </c>
      <c r="BG441" s="469" t="str">
        <f t="shared" ca="1" si="234"/>
        <v/>
      </c>
      <c r="BH441" s="467" t="str">
        <f t="shared" si="235"/>
        <v/>
      </c>
      <c r="BI441" s="467" t="str">
        <f t="shared" ca="1" si="236"/>
        <v/>
      </c>
      <c r="BJ441" s="469" t="str">
        <f t="shared" si="237"/>
        <v/>
      </c>
      <c r="BK441" s="470" t="str">
        <f t="shared" ref="BK441:BK504" si="255">IF(AS441="","",VLOOKUP(T441,車両の増減,2,FALSE))</f>
        <v/>
      </c>
      <c r="BL441" s="775" t="str">
        <f t="shared" si="238"/>
        <v/>
      </c>
      <c r="BM441" s="775" t="str">
        <f t="shared" si="239"/>
        <v/>
      </c>
    </row>
    <row r="442" spans="1:65">
      <c r="A442" s="473">
        <v>386</v>
      </c>
      <c r="B442" s="132"/>
      <c r="C442" s="332"/>
      <c r="D442" s="333"/>
      <c r="E442" s="333"/>
      <c r="F442" s="334"/>
      <c r="G442" s="337"/>
      <c r="H442" s="131"/>
      <c r="I442" s="337"/>
      <c r="J442" s="131"/>
      <c r="K442" s="458" t="str">
        <f t="shared" si="244"/>
        <v/>
      </c>
      <c r="L442" s="458">
        <f t="shared" ref="L442:L505" si="256">IF(G442&gt;0,DATE((G442),(H442+1),0),0)</f>
        <v>0</v>
      </c>
      <c r="M442" s="458">
        <f t="shared" ref="M442:M505" si="257">IF(I442&gt;0,DATE((I442),(J442+1),0),0)</f>
        <v>0</v>
      </c>
      <c r="N442" s="459" t="str">
        <f t="shared" si="245"/>
        <v/>
      </c>
      <c r="O442" s="459" t="str">
        <f t="shared" si="246"/>
        <v/>
      </c>
      <c r="P442" s="459" t="str">
        <f t="shared" si="247"/>
        <v/>
      </c>
      <c r="Q442" s="459" t="str">
        <f t="shared" si="248"/>
        <v/>
      </c>
      <c r="R442" s="459" t="str">
        <f t="shared" si="249"/>
        <v/>
      </c>
      <c r="S442" s="459" t="str">
        <f t="shared" si="250"/>
        <v/>
      </c>
      <c r="T442" s="566" t="str">
        <f t="shared" ref="T442:T505" si="258">N442&amp;O442&amp;P442&amp;Q442&amp;R442&amp;S442</f>
        <v/>
      </c>
      <c r="U442" s="702"/>
      <c r="V442" s="132"/>
      <c r="W442" s="133"/>
      <c r="X442" s="134"/>
      <c r="Y442" s="135"/>
      <c r="Z442" s="137"/>
      <c r="AA442" s="136"/>
      <c r="AB442" s="566" t="str">
        <f t="shared" si="251"/>
        <v/>
      </c>
      <c r="AC442" s="568" t="str">
        <f t="shared" ref="AC442:AC505" si="259">IF(AS442="","",IF((BA442="")+(BA442="－"),IF((BB442="")+(BB442=0),"－",BB442),IF((BA442="PM☆☆☆")+(BA442="☆及びPM☆☆☆")+(BA442="☆☆及びPM☆☆☆")+(BA442="☆☆☆及びPM☆☆☆"),"PM☆☆☆",IF((BA442="PM☆☆☆☆")+(BA442="☆及びPM☆☆☆☆")+(BA442="☆☆及びPM☆☆☆☆")+(BA442="☆☆☆及びPM☆☆☆☆"),"PM☆☆☆☆",IF((BA442="新☆")+(BA442="新NOx☆")+(BA442="新PM☆"),"新☆（新長期）",BA442)))))</f>
        <v/>
      </c>
      <c r="AD442" s="137"/>
      <c r="AE442" s="137"/>
      <c r="AF442" s="138"/>
      <c r="AG442" s="138"/>
      <c r="AH442" s="592" t="str">
        <f t="shared" si="252"/>
        <v/>
      </c>
      <c r="AI442" s="592" t="str">
        <f t="shared" si="253"/>
        <v/>
      </c>
      <c r="AJ442" s="592" t="str">
        <f t="shared" si="254"/>
        <v/>
      </c>
      <c r="AK442" s="460" t="str">
        <f>IF(AU442="","",IF(OR(AZ442=8,AZ442=9),0,IF(OR(AW442=3,AW442=4,AW442=5,AW442=6),IF(LEFT(BF442,1)="1",INDEX(係数_NOX・PM低減,MATCH(AY442,【参考】排出係数!$AI$801:$AI$804,1),1),VLOOKUP(AU442,INDEX((係数_バス貨物_ガソリン,係数_バス貨物_CNG,係数_バス貨物_軽油,係数_バス貨物_メタノール,係数_バス貨物_LPG),MATCH(AY442,【参考】排出係数!$AI$4:$AI$671,1),1,BE442):INDEX((係数_バス貨物_ガソリン,係数_バス貨物_CNG,係数_バス貨物_軽油,係数_バス貨物_メタノール,係数_バス貨物_LPG),MATCH(AY442+1,【参考】排出係数!$AI$4:$AI$671,1)-1,5,BE442),4,FALSE)),IF(AND(BE442=3,LEFT(BF442,1)="1"),0.48,VLOOKUP(AU442,INDEX((係数_乗用_ガソリン,係数_乗用_CNG,係数_乗用_軽油,係数_乗用_メタノール,係数_乗用_LPG),1,1,BE442):INDEX((係数_乗用_ガソリン,係数_乗用_CNG,係数_乗用_軽油,係数_乗用_メタノール,係数_乗用_LPG),125,5,BE442),4,FALSE)))))</f>
        <v/>
      </c>
      <c r="AL442" s="461" t="str">
        <f t="shared" si="240"/>
        <v/>
      </c>
      <c r="AM442" s="460" t="str">
        <f>IF(AU442="","",IF(OR(AZ442=8,AZ442=9),0,IF(OR(AW442=3,AW442=4,AW442=5,AW442=6),IF(LEFT(BH442,1)="1",INDEX(係数_PM低減,MATCH(AY442,【参考】排出係数!$AI$801:$AI$804,1),MATCH(BI442,【参考】排出係数!$AL$798:$AO$798,1)),VLOOKUP(AU442,INDEX((係数_バス貨物_ガソリン,係数_バス貨物_CNG,係数_バス貨物_軽油,係数_バス貨物_メタノール,係数_バス貨物_LPG),MATCH(AY442,【参考】排出係数!$AI$4:$AI$671,1),1,BE442):INDEX((係数_バス貨物_ガソリン,係数_バス貨物_CNG,係数_バス貨物_軽油,係数_バス貨物_メタノール,係数_バス貨物_LPG),MATCH(AY442+1,【参考】排出係数!$AI$4:$AI$671,1)-1,5,BE442),5,FALSE)),IF(AND(BE442=3,LEFT(BF442,1)="1"),0.055,VLOOKUP(AU442,INDEX((係数_乗用_ガソリン,係数_乗用_CNG,係数_乗用_軽油,係数_乗用_メタノール,係数_乗用_LPG),1,1,BE442):INDEX((係数_乗用_ガソリン,係数_乗用_CNG,係数_乗用_軽油,係数_乗用_メタノール,係数_乗用_LPG),125,5,BE442),5,FALSE)))))</f>
        <v/>
      </c>
      <c r="AN442" s="461" t="str">
        <f t="shared" si="241"/>
        <v/>
      </c>
      <c r="AO442" s="462" t="str">
        <f t="shared" si="242"/>
        <v/>
      </c>
      <c r="AP442" s="463" t="str">
        <f t="shared" si="243"/>
        <v/>
      </c>
      <c r="AQ442" s="464"/>
      <c r="AR442" s="619"/>
      <c r="AS442" s="465" t="str">
        <f t="shared" ref="AS442:AS505" si="260">IF(OR(T442="(減車済)",T442=""),"",1)</f>
        <v/>
      </c>
      <c r="AT442" s="465" t="str">
        <f t="shared" ref="AT442:AT505" si="261">IF(OR(T442="継続",T442="新規"),1,"")</f>
        <v/>
      </c>
      <c r="AU442" s="466" t="str">
        <f t="shared" ref="AU442:AU505" si="262">IF(AS442="","",UPPER(ASC(X442)))</f>
        <v/>
      </c>
      <c r="AV442" s="467" t="str">
        <f t="shared" ref="AV442:AV505" si="263">IF(AS442="","",IF(V442="","",IF(V442="普通",1,IF(V442="小型",2,0))))</f>
        <v/>
      </c>
      <c r="AW442" s="467" t="str">
        <f t="shared" ref="AW442:AW505" si="264">IF(AS442="","",IF(W442="","",VLOOKUP(W442,用途,2,FALSE)))</f>
        <v/>
      </c>
      <c r="AX442" s="467" t="str">
        <f t="shared" ref="AX442:AX505" si="265">IF(AS442="","",IF(Y442="","",IF(Y442&lt;=10,1,IF(Y442&lt;30,2,IF(Y442&gt;=30,3,0)))))</f>
        <v/>
      </c>
      <c r="AY442" s="467" t="str">
        <f t="shared" ref="AY442:AY505" si="266">IF(AS442="","",IF(Z442="","",IF(Z442&lt;=1.7*1000,1,IF(Z442&lt;=2.5*1000,2,IF(Z442&lt;=3.5*1000,3,IF(Z442&lt;8*1000,4,IF(Z442&gt;=8*1000,5,"")))))))</f>
        <v/>
      </c>
      <c r="AZ442" s="467" t="str">
        <f t="shared" ref="AZ442:AZ505" si="267">IF(AS442="","",IF(AA442="","",VLOOKUP(AA442,燃料の種類,2,FALSE)))</f>
        <v/>
      </c>
      <c r="BA442" s="468" t="str">
        <f>IF(AS442="","",IF(OR(AU442="",AU442="-"),"－",IF(OR(AZ442=8,AZ442=9),"",IF(OR(AW442=3,AW442=4,AW442=5,AW442=6),VLOOKUP(AU442,INDEX((係数_バス貨物_ガソリン,係数_バス貨物_CNG,係数_バス貨物_軽油,係数_バス貨物_メタノール,係数_バス貨物_LPG),MATCH(AY442,【参考】排出係数!$AI$4:$AI$671,1),1,BE442):INDEX((係数_バス貨物_ガソリン,係数_バス貨物_CNG,係数_バス貨物_軽油,係数_バス貨物_メタノール,係数_バス貨物_LPG),MATCH(AY442+1,【参考】排出係数!$AI$4:$AI$671,1)-1,5,BE442),2,FALSE),IF(OR(AW442=1,AW442=2),VLOOKUP(AU442,INDEX((係数_乗用_ガソリン,係数_乗用_CNG,係数_乗用_軽油,係数_乗用_メタノール,係数_乗用_LPG),1,1,BE442):INDEX((係数_乗用_ガソリン,係数_乗用_CNG,係数_乗用_軽油,係数_乗用_メタノール,係数_乗用_LPG),125,5,BE442),2,FALSE))))))</f>
        <v/>
      </c>
      <c r="BB442" s="468" t="str">
        <f>IF(T442="","",IF(OR(AU442="",AU442="-"),"－",IF(OR(AZ442=8,AZ442=9),"",IF(OR(AW442=3,AW442=4,AW442=5,AW442=6),VLOOKUP(AU442,INDEX((係数_バス貨物_ガソリン,係数_バス貨物_CNG,係数_バス貨物_軽油,係数_バス貨物_メタノール,係数_バス貨物_LPG),MATCH(AY442,【参考】排出係数!$AI$4:$AI$671,1),1,BE442):INDEX((係数_バス貨物_ガソリン,係数_バス貨物_CNG,係数_バス貨物_軽油,係数_バス貨物_メタノール,係数_バス貨物_LPG),MATCH(AY442+1,【参考】排出係数!$AI$4:$AI$671,1)-1,5,BE442),3,FALSE),IF(OR(AW442=1,AW442=2),VLOOKUP(AU442,INDEX((係数_乗用_ガソリン,係数_乗用_CNG,係数_乗用_軽油,係数_乗用_メタノール,係数_乗用_LPG),1,1,BE442):INDEX((係数_乗用_ガソリン,係数_乗用_CNG,係数_乗用_軽油,係数_乗用_メタノール,係数_乗用_LPG),125,5,BE442),3,FALSE))))))</f>
        <v/>
      </c>
      <c r="BC442" s="467" t="str">
        <f t="shared" ref="BC442:BC505" si="268">IF((AS442="")+(AC442=""),"",IF(燃料区分1=4,VLOOKUP(BB442,排ガス低減レベル,2,FALSE),VLOOKUP(AC442,排ガス低減レベル,2,FALSE)))</f>
        <v/>
      </c>
      <c r="BD442" s="567" t="str">
        <f t="shared" ref="BD442:BD505" si="269">IF(AT442="","",IF(AW442=3,B442&amp;"-"&amp;SUM(AW442*100,AX442*10,AY442)&amp;"A",IF(OR(AW442=2,AW442=4,AW442=6),B442&amp;"-"&amp;AY442*10&amp;"A",IF(AW442=1,B442&amp;"-"&amp;AW442&amp;"A",IF(AW442=5,B442&amp;"-"&amp;SUM(AW442*100,AV442*10,AY442)&amp;"A","")))))</f>
        <v/>
      </c>
      <c r="BE442" s="467" t="str">
        <f t="shared" ref="BE442:BE505" si="270">IF(OR(AZ442=1,AZ442=2,AZ442=11),1,IF(AZ442=6,2,IF(OR(AZ442=4,AZ442=5,AZ442=10),3,IF(AZ442=7,4,IF(AZ442=3,5, IF(OR(AZ442=8,AZ442=9),6,""))))))</f>
        <v/>
      </c>
      <c r="BF442" s="469" t="str">
        <f t="shared" ref="BF442:BF505" ca="1" si="271">(IF(OR(AZ442=4,AZ442=5),OFFSET($CH$1,MATCH($AF442,$CG$2:$CG$4,0),0)&amp;BK442,""))</f>
        <v/>
      </c>
      <c r="BG442" s="469" t="str">
        <f t="shared" ref="BG442:BG505" ca="1" si="272">(IF(OR(AZ442=4,AZ442=5),OFFSET($CJ$1,MATCH($AG442,$CI$2:$CI$5,0),0)&amp;BK442,""))</f>
        <v/>
      </c>
      <c r="BH442" s="467" t="str">
        <f t="shared" ref="BH442:BH505" si="273">IF(OR(AZ442=4,AZ442=5),IF(OR(LEFT(BF442,1)="1",LEFT(BG442,1)="2",LEFT(BG442,1)="3"),1,2)&amp;BK442,"")</f>
        <v/>
      </c>
      <c r="BI442" s="467" t="str">
        <f t="shared" ref="BI442:BI505" ca="1" si="274">IF(LEFT(BF442)="1",1,IF(LEFT(BG442,1)="2",2,IF(LEFT(BG442,1)="3",3,"")))</f>
        <v/>
      </c>
      <c r="BJ442" s="469" t="str">
        <f t="shared" ref="BJ442:BJ505" si="275">IF(AT442="","",B442&amp;"-"&amp;AZ442)</f>
        <v/>
      </c>
      <c r="BK442" s="470" t="str">
        <f t="shared" si="255"/>
        <v/>
      </c>
      <c r="BL442" s="775" t="str">
        <f t="shared" ref="BL442:BL505" si="276">IF(AND(OR($T442="新規",$T442="継続"),ISBLANK($AD442)),1,"")</f>
        <v/>
      </c>
      <c r="BM442" s="775" t="str">
        <f t="shared" ref="BM442:BM505" si="277">IF(AND(OR($T442="新規",$T442="継続"),ISBLANK($AE442)),1,"")</f>
        <v/>
      </c>
    </row>
    <row r="443" spans="1:65">
      <c r="A443" s="473">
        <v>387</v>
      </c>
      <c r="B443" s="132"/>
      <c r="C443" s="332"/>
      <c r="D443" s="333"/>
      <c r="E443" s="333"/>
      <c r="F443" s="334"/>
      <c r="G443" s="337"/>
      <c r="H443" s="131"/>
      <c r="I443" s="337"/>
      <c r="J443" s="131"/>
      <c r="K443" s="458" t="str">
        <f t="shared" si="244"/>
        <v/>
      </c>
      <c r="L443" s="458">
        <f t="shared" si="256"/>
        <v>0</v>
      </c>
      <c r="M443" s="458">
        <f t="shared" si="257"/>
        <v>0</v>
      </c>
      <c r="N443" s="459" t="str">
        <f t="shared" si="245"/>
        <v/>
      </c>
      <c r="O443" s="459" t="str">
        <f t="shared" si="246"/>
        <v/>
      </c>
      <c r="P443" s="459" t="str">
        <f t="shared" si="247"/>
        <v/>
      </c>
      <c r="Q443" s="459" t="str">
        <f t="shared" si="248"/>
        <v/>
      </c>
      <c r="R443" s="459" t="str">
        <f t="shared" si="249"/>
        <v/>
      </c>
      <c r="S443" s="459" t="str">
        <f t="shared" si="250"/>
        <v/>
      </c>
      <c r="T443" s="566" t="str">
        <f t="shared" si="258"/>
        <v/>
      </c>
      <c r="U443" s="702"/>
      <c r="V443" s="132"/>
      <c r="W443" s="133"/>
      <c r="X443" s="134"/>
      <c r="Y443" s="135"/>
      <c r="Z443" s="137"/>
      <c r="AA443" s="136"/>
      <c r="AB443" s="566" t="str">
        <f t="shared" si="251"/>
        <v/>
      </c>
      <c r="AC443" s="568" t="str">
        <f t="shared" si="259"/>
        <v/>
      </c>
      <c r="AD443" s="137"/>
      <c r="AE443" s="137"/>
      <c r="AF443" s="138"/>
      <c r="AG443" s="138"/>
      <c r="AH443" s="592" t="str">
        <f t="shared" si="252"/>
        <v/>
      </c>
      <c r="AI443" s="592" t="str">
        <f t="shared" si="253"/>
        <v/>
      </c>
      <c r="AJ443" s="592" t="str">
        <f t="shared" si="254"/>
        <v/>
      </c>
      <c r="AK443" s="460" t="str">
        <f>IF(AU443="","",IF(OR(AZ443=8,AZ443=9),0,IF(OR(AW443=3,AW443=4,AW443=5,AW443=6),IF(LEFT(BF443,1)="1",INDEX(係数_NOX・PM低減,MATCH(AY443,【参考】排出係数!$AI$801:$AI$804,1),1),VLOOKUP(AU443,INDEX((係数_バス貨物_ガソリン,係数_バス貨物_CNG,係数_バス貨物_軽油,係数_バス貨物_メタノール,係数_バス貨物_LPG),MATCH(AY443,【参考】排出係数!$AI$4:$AI$671,1),1,BE443):INDEX((係数_バス貨物_ガソリン,係数_バス貨物_CNG,係数_バス貨物_軽油,係数_バス貨物_メタノール,係数_バス貨物_LPG),MATCH(AY443+1,【参考】排出係数!$AI$4:$AI$671,1)-1,5,BE443),4,FALSE)),IF(AND(BE443=3,LEFT(BF443,1)="1"),0.48,VLOOKUP(AU443,INDEX((係数_乗用_ガソリン,係数_乗用_CNG,係数_乗用_軽油,係数_乗用_メタノール,係数_乗用_LPG),1,1,BE443):INDEX((係数_乗用_ガソリン,係数_乗用_CNG,係数_乗用_軽油,係数_乗用_メタノール,係数_乗用_LPG),125,5,BE443),4,FALSE)))))</f>
        <v/>
      </c>
      <c r="AL443" s="461" t="str">
        <f t="shared" si="240"/>
        <v/>
      </c>
      <c r="AM443" s="460" t="str">
        <f>IF(AU443="","",IF(OR(AZ443=8,AZ443=9),0,IF(OR(AW443=3,AW443=4,AW443=5,AW443=6),IF(LEFT(BH443,1)="1",INDEX(係数_PM低減,MATCH(AY443,【参考】排出係数!$AI$801:$AI$804,1),MATCH(BI443,【参考】排出係数!$AL$798:$AO$798,1)),VLOOKUP(AU443,INDEX((係数_バス貨物_ガソリン,係数_バス貨物_CNG,係数_バス貨物_軽油,係数_バス貨物_メタノール,係数_バス貨物_LPG),MATCH(AY443,【参考】排出係数!$AI$4:$AI$671,1),1,BE443):INDEX((係数_バス貨物_ガソリン,係数_バス貨物_CNG,係数_バス貨物_軽油,係数_バス貨物_メタノール,係数_バス貨物_LPG),MATCH(AY443+1,【参考】排出係数!$AI$4:$AI$671,1)-1,5,BE443),5,FALSE)),IF(AND(BE443=3,LEFT(BF443,1)="1"),0.055,VLOOKUP(AU443,INDEX((係数_乗用_ガソリン,係数_乗用_CNG,係数_乗用_軽油,係数_乗用_メタノール,係数_乗用_LPG),1,1,BE443):INDEX((係数_乗用_ガソリン,係数_乗用_CNG,係数_乗用_軽油,係数_乗用_メタノール,係数_乗用_LPG),125,5,BE443),5,FALSE)))))</f>
        <v/>
      </c>
      <c r="AN443" s="461" t="str">
        <f t="shared" si="241"/>
        <v/>
      </c>
      <c r="AO443" s="462" t="str">
        <f t="shared" si="242"/>
        <v/>
      </c>
      <c r="AP443" s="463" t="str">
        <f t="shared" si="243"/>
        <v/>
      </c>
      <c r="AQ443" s="464"/>
      <c r="AR443" s="619"/>
      <c r="AS443" s="465" t="str">
        <f t="shared" si="260"/>
        <v/>
      </c>
      <c r="AT443" s="465" t="str">
        <f t="shared" si="261"/>
        <v/>
      </c>
      <c r="AU443" s="466" t="str">
        <f t="shared" si="262"/>
        <v/>
      </c>
      <c r="AV443" s="467" t="str">
        <f t="shared" si="263"/>
        <v/>
      </c>
      <c r="AW443" s="467" t="str">
        <f t="shared" si="264"/>
        <v/>
      </c>
      <c r="AX443" s="467" t="str">
        <f t="shared" si="265"/>
        <v/>
      </c>
      <c r="AY443" s="467" t="str">
        <f t="shared" si="266"/>
        <v/>
      </c>
      <c r="AZ443" s="467" t="str">
        <f t="shared" si="267"/>
        <v/>
      </c>
      <c r="BA443" s="468" t="str">
        <f>IF(AS443="","",IF(OR(AU443="",AU443="-"),"－",IF(OR(AZ443=8,AZ443=9),"",IF(OR(AW443=3,AW443=4,AW443=5,AW443=6),VLOOKUP(AU443,INDEX((係数_バス貨物_ガソリン,係数_バス貨物_CNG,係数_バス貨物_軽油,係数_バス貨物_メタノール,係数_バス貨物_LPG),MATCH(AY443,【参考】排出係数!$AI$4:$AI$671,1),1,BE443):INDEX((係数_バス貨物_ガソリン,係数_バス貨物_CNG,係数_バス貨物_軽油,係数_バス貨物_メタノール,係数_バス貨物_LPG),MATCH(AY443+1,【参考】排出係数!$AI$4:$AI$671,1)-1,5,BE443),2,FALSE),IF(OR(AW443=1,AW443=2),VLOOKUP(AU443,INDEX((係数_乗用_ガソリン,係数_乗用_CNG,係数_乗用_軽油,係数_乗用_メタノール,係数_乗用_LPG),1,1,BE443):INDEX((係数_乗用_ガソリン,係数_乗用_CNG,係数_乗用_軽油,係数_乗用_メタノール,係数_乗用_LPG),125,5,BE443),2,FALSE))))))</f>
        <v/>
      </c>
      <c r="BB443" s="468" t="str">
        <f>IF(T443="","",IF(OR(AU443="",AU443="-"),"－",IF(OR(AZ443=8,AZ443=9),"",IF(OR(AW443=3,AW443=4,AW443=5,AW443=6),VLOOKUP(AU443,INDEX((係数_バス貨物_ガソリン,係数_バス貨物_CNG,係数_バス貨物_軽油,係数_バス貨物_メタノール,係数_バス貨物_LPG),MATCH(AY443,【参考】排出係数!$AI$4:$AI$671,1),1,BE443):INDEX((係数_バス貨物_ガソリン,係数_バス貨物_CNG,係数_バス貨物_軽油,係数_バス貨物_メタノール,係数_バス貨物_LPG),MATCH(AY443+1,【参考】排出係数!$AI$4:$AI$671,1)-1,5,BE443),3,FALSE),IF(OR(AW443=1,AW443=2),VLOOKUP(AU443,INDEX((係数_乗用_ガソリン,係数_乗用_CNG,係数_乗用_軽油,係数_乗用_メタノール,係数_乗用_LPG),1,1,BE443):INDEX((係数_乗用_ガソリン,係数_乗用_CNG,係数_乗用_軽油,係数_乗用_メタノール,係数_乗用_LPG),125,5,BE443),3,FALSE))))))</f>
        <v/>
      </c>
      <c r="BC443" s="467" t="str">
        <f t="shared" si="268"/>
        <v/>
      </c>
      <c r="BD443" s="567" t="str">
        <f t="shared" si="269"/>
        <v/>
      </c>
      <c r="BE443" s="467" t="str">
        <f t="shared" si="270"/>
        <v/>
      </c>
      <c r="BF443" s="469" t="str">
        <f t="shared" ca="1" si="271"/>
        <v/>
      </c>
      <c r="BG443" s="469" t="str">
        <f t="shared" ca="1" si="272"/>
        <v/>
      </c>
      <c r="BH443" s="467" t="str">
        <f t="shared" si="273"/>
        <v/>
      </c>
      <c r="BI443" s="467" t="str">
        <f t="shared" ca="1" si="274"/>
        <v/>
      </c>
      <c r="BJ443" s="469" t="str">
        <f t="shared" si="275"/>
        <v/>
      </c>
      <c r="BK443" s="470" t="str">
        <f t="shared" si="255"/>
        <v/>
      </c>
      <c r="BL443" s="775" t="str">
        <f t="shared" si="276"/>
        <v/>
      </c>
      <c r="BM443" s="775" t="str">
        <f t="shared" si="277"/>
        <v/>
      </c>
    </row>
    <row r="444" spans="1:65">
      <c r="A444" s="473">
        <v>388</v>
      </c>
      <c r="B444" s="132"/>
      <c r="C444" s="332"/>
      <c r="D444" s="333"/>
      <c r="E444" s="333"/>
      <c r="F444" s="334"/>
      <c r="G444" s="337"/>
      <c r="H444" s="131"/>
      <c r="I444" s="337"/>
      <c r="J444" s="131"/>
      <c r="K444" s="458" t="str">
        <f t="shared" si="244"/>
        <v/>
      </c>
      <c r="L444" s="458">
        <f t="shared" si="256"/>
        <v>0</v>
      </c>
      <c r="M444" s="458">
        <f t="shared" si="257"/>
        <v>0</v>
      </c>
      <c r="N444" s="459" t="str">
        <f t="shared" si="245"/>
        <v/>
      </c>
      <c r="O444" s="459" t="str">
        <f t="shared" si="246"/>
        <v/>
      </c>
      <c r="P444" s="459" t="str">
        <f t="shared" si="247"/>
        <v/>
      </c>
      <c r="Q444" s="459" t="str">
        <f t="shared" si="248"/>
        <v/>
      </c>
      <c r="R444" s="459" t="str">
        <f t="shared" si="249"/>
        <v/>
      </c>
      <c r="S444" s="459" t="str">
        <f t="shared" si="250"/>
        <v/>
      </c>
      <c r="T444" s="566" t="str">
        <f t="shared" si="258"/>
        <v/>
      </c>
      <c r="U444" s="702"/>
      <c r="V444" s="132"/>
      <c r="W444" s="133"/>
      <c r="X444" s="134"/>
      <c r="Y444" s="135"/>
      <c r="Z444" s="137"/>
      <c r="AA444" s="136"/>
      <c r="AB444" s="566" t="str">
        <f t="shared" si="251"/>
        <v/>
      </c>
      <c r="AC444" s="568" t="str">
        <f t="shared" si="259"/>
        <v/>
      </c>
      <c r="AD444" s="137"/>
      <c r="AE444" s="137"/>
      <c r="AF444" s="138"/>
      <c r="AG444" s="138"/>
      <c r="AH444" s="592" t="str">
        <f t="shared" si="252"/>
        <v/>
      </c>
      <c r="AI444" s="592" t="str">
        <f t="shared" si="253"/>
        <v/>
      </c>
      <c r="AJ444" s="592" t="str">
        <f t="shared" si="254"/>
        <v/>
      </c>
      <c r="AK444" s="460" t="str">
        <f>IF(AU444="","",IF(OR(AZ444=8,AZ444=9),0,IF(OR(AW444=3,AW444=4,AW444=5,AW444=6),IF(LEFT(BF444,1)="1",INDEX(係数_NOX・PM低減,MATCH(AY444,【参考】排出係数!$AI$801:$AI$804,1),1),VLOOKUP(AU444,INDEX((係数_バス貨物_ガソリン,係数_バス貨物_CNG,係数_バス貨物_軽油,係数_バス貨物_メタノール,係数_バス貨物_LPG),MATCH(AY444,【参考】排出係数!$AI$4:$AI$671,1),1,BE444):INDEX((係数_バス貨物_ガソリン,係数_バス貨物_CNG,係数_バス貨物_軽油,係数_バス貨物_メタノール,係数_バス貨物_LPG),MATCH(AY444+1,【参考】排出係数!$AI$4:$AI$671,1)-1,5,BE444),4,FALSE)),IF(AND(BE444=3,LEFT(BF444,1)="1"),0.48,VLOOKUP(AU444,INDEX((係数_乗用_ガソリン,係数_乗用_CNG,係数_乗用_軽油,係数_乗用_メタノール,係数_乗用_LPG),1,1,BE444):INDEX((係数_乗用_ガソリン,係数_乗用_CNG,係数_乗用_軽油,係数_乗用_メタノール,係数_乗用_LPG),125,5,BE444),4,FALSE)))))</f>
        <v/>
      </c>
      <c r="AL444" s="461" t="str">
        <f t="shared" ref="AL444:AL507" si="278">IF(AU444="","",IF(Z444&lt;=3.5*1000,AD444*AK444/1000,IF(Z444&gt;3.5*1000,AD444*Z444*AK444/1000/1000)))</f>
        <v/>
      </c>
      <c r="AM444" s="460" t="str">
        <f>IF(AU444="","",IF(OR(AZ444=8,AZ444=9),0,IF(OR(AW444=3,AW444=4,AW444=5,AW444=6),IF(LEFT(BH444,1)="1",INDEX(係数_PM低減,MATCH(AY444,【参考】排出係数!$AI$801:$AI$804,1),MATCH(BI444,【参考】排出係数!$AL$798:$AO$798,1)),VLOOKUP(AU444,INDEX((係数_バス貨物_ガソリン,係数_バス貨物_CNG,係数_バス貨物_軽油,係数_バス貨物_メタノール,係数_バス貨物_LPG),MATCH(AY444,【参考】排出係数!$AI$4:$AI$671,1),1,BE444):INDEX((係数_バス貨物_ガソリン,係数_バス貨物_CNG,係数_バス貨物_軽油,係数_バス貨物_メタノール,係数_バス貨物_LPG),MATCH(AY444+1,【参考】排出係数!$AI$4:$AI$671,1)-1,5,BE444),5,FALSE)),IF(AND(BE444=3,LEFT(BF444,1)="1"),0.055,VLOOKUP(AU444,INDEX((係数_乗用_ガソリン,係数_乗用_CNG,係数_乗用_軽油,係数_乗用_メタノール,係数_乗用_LPG),1,1,BE444):INDEX((係数_乗用_ガソリン,係数_乗用_CNG,係数_乗用_軽油,係数_乗用_メタノール,係数_乗用_LPG),125,5,BE444),5,FALSE)))))</f>
        <v/>
      </c>
      <c r="AN444" s="461" t="str">
        <f t="shared" ref="AN444:AN507" si="279">IF(AU444="","",IF(Z444&lt;=3.5*1000,AD444*AM444/1000,IF(Z444&gt;3.5*1000,AD444*Z444*AM444/1000/1000)))</f>
        <v/>
      </c>
      <c r="AO444" s="462" t="str">
        <f t="shared" ref="AO444:AO507" si="280">IF(AU444="","",IF(Z444&lt;500,"車両重量",IF(OR(AZ444=8,AZ444=9),0,IF(OR(AZ444=1,AZ444=2,AZ444=11),2.32,IF(OR(AZ444=4,AZ444=5,AZ444=11),2.58,IF(AZ444=3,3,IF(AZ444=6,2.23,IF(AZ444=7,1.37,0))))))))</f>
        <v/>
      </c>
      <c r="AP444" s="463" t="str">
        <f t="shared" ref="AP444:AP507" si="281">IF(AU444="","",AE444*AO444/1000)</f>
        <v/>
      </c>
      <c r="AQ444" s="464"/>
      <c r="AR444" s="619"/>
      <c r="AS444" s="465" t="str">
        <f t="shared" si="260"/>
        <v/>
      </c>
      <c r="AT444" s="465" t="str">
        <f t="shared" si="261"/>
        <v/>
      </c>
      <c r="AU444" s="466" t="str">
        <f t="shared" si="262"/>
        <v/>
      </c>
      <c r="AV444" s="467" t="str">
        <f t="shared" si="263"/>
        <v/>
      </c>
      <c r="AW444" s="467" t="str">
        <f t="shared" si="264"/>
        <v/>
      </c>
      <c r="AX444" s="467" t="str">
        <f t="shared" si="265"/>
        <v/>
      </c>
      <c r="AY444" s="467" t="str">
        <f t="shared" si="266"/>
        <v/>
      </c>
      <c r="AZ444" s="467" t="str">
        <f t="shared" si="267"/>
        <v/>
      </c>
      <c r="BA444" s="468" t="str">
        <f>IF(AS444="","",IF(OR(AU444="",AU444="-"),"－",IF(OR(AZ444=8,AZ444=9),"",IF(OR(AW444=3,AW444=4,AW444=5,AW444=6),VLOOKUP(AU444,INDEX((係数_バス貨物_ガソリン,係数_バス貨物_CNG,係数_バス貨物_軽油,係数_バス貨物_メタノール,係数_バス貨物_LPG),MATCH(AY444,【参考】排出係数!$AI$4:$AI$671,1),1,BE444):INDEX((係数_バス貨物_ガソリン,係数_バス貨物_CNG,係数_バス貨物_軽油,係数_バス貨物_メタノール,係数_バス貨物_LPG),MATCH(AY444+1,【参考】排出係数!$AI$4:$AI$671,1)-1,5,BE444),2,FALSE),IF(OR(AW444=1,AW444=2),VLOOKUP(AU444,INDEX((係数_乗用_ガソリン,係数_乗用_CNG,係数_乗用_軽油,係数_乗用_メタノール,係数_乗用_LPG),1,1,BE444):INDEX((係数_乗用_ガソリン,係数_乗用_CNG,係数_乗用_軽油,係数_乗用_メタノール,係数_乗用_LPG),125,5,BE444),2,FALSE))))))</f>
        <v/>
      </c>
      <c r="BB444" s="468" t="str">
        <f>IF(T444="","",IF(OR(AU444="",AU444="-"),"－",IF(OR(AZ444=8,AZ444=9),"",IF(OR(AW444=3,AW444=4,AW444=5,AW444=6),VLOOKUP(AU444,INDEX((係数_バス貨物_ガソリン,係数_バス貨物_CNG,係数_バス貨物_軽油,係数_バス貨物_メタノール,係数_バス貨物_LPG),MATCH(AY444,【参考】排出係数!$AI$4:$AI$671,1),1,BE444):INDEX((係数_バス貨物_ガソリン,係数_バス貨物_CNG,係数_バス貨物_軽油,係数_バス貨物_メタノール,係数_バス貨物_LPG),MATCH(AY444+1,【参考】排出係数!$AI$4:$AI$671,1)-1,5,BE444),3,FALSE),IF(OR(AW444=1,AW444=2),VLOOKUP(AU444,INDEX((係数_乗用_ガソリン,係数_乗用_CNG,係数_乗用_軽油,係数_乗用_メタノール,係数_乗用_LPG),1,1,BE444):INDEX((係数_乗用_ガソリン,係数_乗用_CNG,係数_乗用_軽油,係数_乗用_メタノール,係数_乗用_LPG),125,5,BE444),3,FALSE))))))</f>
        <v/>
      </c>
      <c r="BC444" s="467" t="str">
        <f t="shared" si="268"/>
        <v/>
      </c>
      <c r="BD444" s="567" t="str">
        <f t="shared" si="269"/>
        <v/>
      </c>
      <c r="BE444" s="467" t="str">
        <f t="shared" si="270"/>
        <v/>
      </c>
      <c r="BF444" s="469" t="str">
        <f t="shared" ca="1" si="271"/>
        <v/>
      </c>
      <c r="BG444" s="469" t="str">
        <f t="shared" ca="1" si="272"/>
        <v/>
      </c>
      <c r="BH444" s="467" t="str">
        <f t="shared" si="273"/>
        <v/>
      </c>
      <c r="BI444" s="467" t="str">
        <f t="shared" ca="1" si="274"/>
        <v/>
      </c>
      <c r="BJ444" s="469" t="str">
        <f t="shared" si="275"/>
        <v/>
      </c>
      <c r="BK444" s="470" t="str">
        <f t="shared" si="255"/>
        <v/>
      </c>
      <c r="BL444" s="775" t="str">
        <f t="shared" si="276"/>
        <v/>
      </c>
      <c r="BM444" s="775" t="str">
        <f t="shared" si="277"/>
        <v/>
      </c>
    </row>
    <row r="445" spans="1:65">
      <c r="A445" s="473">
        <v>389</v>
      </c>
      <c r="B445" s="132"/>
      <c r="C445" s="332"/>
      <c r="D445" s="333"/>
      <c r="E445" s="333"/>
      <c r="F445" s="334"/>
      <c r="G445" s="337"/>
      <c r="H445" s="131"/>
      <c r="I445" s="337"/>
      <c r="J445" s="131"/>
      <c r="K445" s="458" t="str">
        <f t="shared" si="244"/>
        <v/>
      </c>
      <c r="L445" s="458">
        <f t="shared" si="256"/>
        <v>0</v>
      </c>
      <c r="M445" s="458">
        <f t="shared" si="257"/>
        <v>0</v>
      </c>
      <c r="N445" s="459" t="str">
        <f t="shared" si="245"/>
        <v/>
      </c>
      <c r="O445" s="459" t="str">
        <f t="shared" si="246"/>
        <v/>
      </c>
      <c r="P445" s="459" t="str">
        <f t="shared" si="247"/>
        <v/>
      </c>
      <c r="Q445" s="459" t="str">
        <f t="shared" si="248"/>
        <v/>
      </c>
      <c r="R445" s="459" t="str">
        <f t="shared" si="249"/>
        <v/>
      </c>
      <c r="S445" s="459" t="str">
        <f t="shared" si="250"/>
        <v/>
      </c>
      <c r="T445" s="566" t="str">
        <f t="shared" si="258"/>
        <v/>
      </c>
      <c r="U445" s="702"/>
      <c r="V445" s="132"/>
      <c r="W445" s="133"/>
      <c r="X445" s="134"/>
      <c r="Y445" s="135"/>
      <c r="Z445" s="137"/>
      <c r="AA445" s="136"/>
      <c r="AB445" s="566" t="str">
        <f t="shared" si="251"/>
        <v/>
      </c>
      <c r="AC445" s="568" t="str">
        <f t="shared" si="259"/>
        <v/>
      </c>
      <c r="AD445" s="137"/>
      <c r="AE445" s="137"/>
      <c r="AF445" s="138"/>
      <c r="AG445" s="138"/>
      <c r="AH445" s="592" t="str">
        <f t="shared" si="252"/>
        <v/>
      </c>
      <c r="AI445" s="592" t="str">
        <f t="shared" si="253"/>
        <v/>
      </c>
      <c r="AJ445" s="592" t="str">
        <f t="shared" si="254"/>
        <v/>
      </c>
      <c r="AK445" s="460" t="str">
        <f>IF(AU445="","",IF(OR(AZ445=8,AZ445=9),0,IF(OR(AW445=3,AW445=4,AW445=5,AW445=6),IF(LEFT(BF445,1)="1",INDEX(係数_NOX・PM低減,MATCH(AY445,【参考】排出係数!$AI$801:$AI$804,1),1),VLOOKUP(AU445,INDEX((係数_バス貨物_ガソリン,係数_バス貨物_CNG,係数_バス貨物_軽油,係数_バス貨物_メタノール,係数_バス貨物_LPG),MATCH(AY445,【参考】排出係数!$AI$4:$AI$671,1),1,BE445):INDEX((係数_バス貨物_ガソリン,係数_バス貨物_CNG,係数_バス貨物_軽油,係数_バス貨物_メタノール,係数_バス貨物_LPG),MATCH(AY445+1,【参考】排出係数!$AI$4:$AI$671,1)-1,5,BE445),4,FALSE)),IF(AND(BE445=3,LEFT(BF445,1)="1"),0.48,VLOOKUP(AU445,INDEX((係数_乗用_ガソリン,係数_乗用_CNG,係数_乗用_軽油,係数_乗用_メタノール,係数_乗用_LPG),1,1,BE445):INDEX((係数_乗用_ガソリン,係数_乗用_CNG,係数_乗用_軽油,係数_乗用_メタノール,係数_乗用_LPG),125,5,BE445),4,FALSE)))))</f>
        <v/>
      </c>
      <c r="AL445" s="461" t="str">
        <f t="shared" si="278"/>
        <v/>
      </c>
      <c r="AM445" s="460" t="str">
        <f>IF(AU445="","",IF(OR(AZ445=8,AZ445=9),0,IF(OR(AW445=3,AW445=4,AW445=5,AW445=6),IF(LEFT(BH445,1)="1",INDEX(係数_PM低減,MATCH(AY445,【参考】排出係数!$AI$801:$AI$804,1),MATCH(BI445,【参考】排出係数!$AL$798:$AO$798,1)),VLOOKUP(AU445,INDEX((係数_バス貨物_ガソリン,係数_バス貨物_CNG,係数_バス貨物_軽油,係数_バス貨物_メタノール,係数_バス貨物_LPG),MATCH(AY445,【参考】排出係数!$AI$4:$AI$671,1),1,BE445):INDEX((係数_バス貨物_ガソリン,係数_バス貨物_CNG,係数_バス貨物_軽油,係数_バス貨物_メタノール,係数_バス貨物_LPG),MATCH(AY445+1,【参考】排出係数!$AI$4:$AI$671,1)-1,5,BE445),5,FALSE)),IF(AND(BE445=3,LEFT(BF445,1)="1"),0.055,VLOOKUP(AU445,INDEX((係数_乗用_ガソリン,係数_乗用_CNG,係数_乗用_軽油,係数_乗用_メタノール,係数_乗用_LPG),1,1,BE445):INDEX((係数_乗用_ガソリン,係数_乗用_CNG,係数_乗用_軽油,係数_乗用_メタノール,係数_乗用_LPG),125,5,BE445),5,FALSE)))))</f>
        <v/>
      </c>
      <c r="AN445" s="461" t="str">
        <f t="shared" si="279"/>
        <v/>
      </c>
      <c r="AO445" s="462" t="str">
        <f t="shared" si="280"/>
        <v/>
      </c>
      <c r="AP445" s="463" t="str">
        <f t="shared" si="281"/>
        <v/>
      </c>
      <c r="AQ445" s="464"/>
      <c r="AR445" s="619"/>
      <c r="AS445" s="465" t="str">
        <f t="shared" si="260"/>
        <v/>
      </c>
      <c r="AT445" s="465" t="str">
        <f t="shared" si="261"/>
        <v/>
      </c>
      <c r="AU445" s="466" t="str">
        <f t="shared" si="262"/>
        <v/>
      </c>
      <c r="AV445" s="467" t="str">
        <f t="shared" si="263"/>
        <v/>
      </c>
      <c r="AW445" s="467" t="str">
        <f t="shared" si="264"/>
        <v/>
      </c>
      <c r="AX445" s="467" t="str">
        <f t="shared" si="265"/>
        <v/>
      </c>
      <c r="AY445" s="467" t="str">
        <f t="shared" si="266"/>
        <v/>
      </c>
      <c r="AZ445" s="467" t="str">
        <f t="shared" si="267"/>
        <v/>
      </c>
      <c r="BA445" s="468" t="str">
        <f>IF(AS445="","",IF(OR(AU445="",AU445="-"),"－",IF(OR(AZ445=8,AZ445=9),"",IF(OR(AW445=3,AW445=4,AW445=5,AW445=6),VLOOKUP(AU445,INDEX((係数_バス貨物_ガソリン,係数_バス貨物_CNG,係数_バス貨物_軽油,係数_バス貨物_メタノール,係数_バス貨物_LPG),MATCH(AY445,【参考】排出係数!$AI$4:$AI$671,1),1,BE445):INDEX((係数_バス貨物_ガソリン,係数_バス貨物_CNG,係数_バス貨物_軽油,係数_バス貨物_メタノール,係数_バス貨物_LPG),MATCH(AY445+1,【参考】排出係数!$AI$4:$AI$671,1)-1,5,BE445),2,FALSE),IF(OR(AW445=1,AW445=2),VLOOKUP(AU445,INDEX((係数_乗用_ガソリン,係数_乗用_CNG,係数_乗用_軽油,係数_乗用_メタノール,係数_乗用_LPG),1,1,BE445):INDEX((係数_乗用_ガソリン,係数_乗用_CNG,係数_乗用_軽油,係数_乗用_メタノール,係数_乗用_LPG),125,5,BE445),2,FALSE))))))</f>
        <v/>
      </c>
      <c r="BB445" s="468" t="str">
        <f>IF(T445="","",IF(OR(AU445="",AU445="-"),"－",IF(OR(AZ445=8,AZ445=9),"",IF(OR(AW445=3,AW445=4,AW445=5,AW445=6),VLOOKUP(AU445,INDEX((係数_バス貨物_ガソリン,係数_バス貨物_CNG,係数_バス貨物_軽油,係数_バス貨物_メタノール,係数_バス貨物_LPG),MATCH(AY445,【参考】排出係数!$AI$4:$AI$671,1),1,BE445):INDEX((係数_バス貨物_ガソリン,係数_バス貨物_CNG,係数_バス貨物_軽油,係数_バス貨物_メタノール,係数_バス貨物_LPG),MATCH(AY445+1,【参考】排出係数!$AI$4:$AI$671,1)-1,5,BE445),3,FALSE),IF(OR(AW445=1,AW445=2),VLOOKUP(AU445,INDEX((係数_乗用_ガソリン,係数_乗用_CNG,係数_乗用_軽油,係数_乗用_メタノール,係数_乗用_LPG),1,1,BE445):INDEX((係数_乗用_ガソリン,係数_乗用_CNG,係数_乗用_軽油,係数_乗用_メタノール,係数_乗用_LPG),125,5,BE445),3,FALSE))))))</f>
        <v/>
      </c>
      <c r="BC445" s="467" t="str">
        <f t="shared" si="268"/>
        <v/>
      </c>
      <c r="BD445" s="567" t="str">
        <f t="shared" si="269"/>
        <v/>
      </c>
      <c r="BE445" s="467" t="str">
        <f t="shared" si="270"/>
        <v/>
      </c>
      <c r="BF445" s="469" t="str">
        <f t="shared" ca="1" si="271"/>
        <v/>
      </c>
      <c r="BG445" s="469" t="str">
        <f t="shared" ca="1" si="272"/>
        <v/>
      </c>
      <c r="BH445" s="467" t="str">
        <f t="shared" si="273"/>
        <v/>
      </c>
      <c r="BI445" s="467" t="str">
        <f t="shared" ca="1" si="274"/>
        <v/>
      </c>
      <c r="BJ445" s="469" t="str">
        <f t="shared" si="275"/>
        <v/>
      </c>
      <c r="BK445" s="470" t="str">
        <f t="shared" si="255"/>
        <v/>
      </c>
      <c r="BL445" s="775" t="str">
        <f t="shared" si="276"/>
        <v/>
      </c>
      <c r="BM445" s="775" t="str">
        <f t="shared" si="277"/>
        <v/>
      </c>
    </row>
    <row r="446" spans="1:65">
      <c r="A446" s="473">
        <v>390</v>
      </c>
      <c r="B446" s="132"/>
      <c r="C446" s="332"/>
      <c r="D446" s="333"/>
      <c r="E446" s="333"/>
      <c r="F446" s="334"/>
      <c r="G446" s="337"/>
      <c r="H446" s="131"/>
      <c r="I446" s="337"/>
      <c r="J446" s="131"/>
      <c r="K446" s="458" t="str">
        <f t="shared" si="244"/>
        <v/>
      </c>
      <c r="L446" s="458">
        <f t="shared" si="256"/>
        <v>0</v>
      </c>
      <c r="M446" s="458">
        <f t="shared" si="257"/>
        <v>0</v>
      </c>
      <c r="N446" s="459" t="str">
        <f t="shared" si="245"/>
        <v/>
      </c>
      <c r="O446" s="459" t="str">
        <f t="shared" si="246"/>
        <v/>
      </c>
      <c r="P446" s="459" t="str">
        <f t="shared" si="247"/>
        <v/>
      </c>
      <c r="Q446" s="459" t="str">
        <f t="shared" si="248"/>
        <v/>
      </c>
      <c r="R446" s="459" t="str">
        <f t="shared" si="249"/>
        <v/>
      </c>
      <c r="S446" s="459" t="str">
        <f t="shared" si="250"/>
        <v/>
      </c>
      <c r="T446" s="566" t="str">
        <f t="shared" si="258"/>
        <v/>
      </c>
      <c r="U446" s="702"/>
      <c r="V446" s="132"/>
      <c r="W446" s="133"/>
      <c r="X446" s="134"/>
      <c r="Y446" s="135"/>
      <c r="Z446" s="137"/>
      <c r="AA446" s="136"/>
      <c r="AB446" s="566" t="str">
        <f t="shared" si="251"/>
        <v/>
      </c>
      <c r="AC446" s="568" t="str">
        <f t="shared" si="259"/>
        <v/>
      </c>
      <c r="AD446" s="137"/>
      <c r="AE446" s="137"/>
      <c r="AF446" s="138"/>
      <c r="AG446" s="138"/>
      <c r="AH446" s="592" t="str">
        <f t="shared" si="252"/>
        <v/>
      </c>
      <c r="AI446" s="592" t="str">
        <f t="shared" si="253"/>
        <v/>
      </c>
      <c r="AJ446" s="592" t="str">
        <f t="shared" si="254"/>
        <v/>
      </c>
      <c r="AK446" s="460" t="str">
        <f>IF(AU446="","",IF(OR(AZ446=8,AZ446=9),0,IF(OR(AW446=3,AW446=4,AW446=5,AW446=6),IF(LEFT(BF446,1)="1",INDEX(係数_NOX・PM低減,MATCH(AY446,【参考】排出係数!$AI$801:$AI$804,1),1),VLOOKUP(AU446,INDEX((係数_バス貨物_ガソリン,係数_バス貨物_CNG,係数_バス貨物_軽油,係数_バス貨物_メタノール,係数_バス貨物_LPG),MATCH(AY446,【参考】排出係数!$AI$4:$AI$671,1),1,BE446):INDEX((係数_バス貨物_ガソリン,係数_バス貨物_CNG,係数_バス貨物_軽油,係数_バス貨物_メタノール,係数_バス貨物_LPG),MATCH(AY446+1,【参考】排出係数!$AI$4:$AI$671,1)-1,5,BE446),4,FALSE)),IF(AND(BE446=3,LEFT(BF446,1)="1"),0.48,VLOOKUP(AU446,INDEX((係数_乗用_ガソリン,係数_乗用_CNG,係数_乗用_軽油,係数_乗用_メタノール,係数_乗用_LPG),1,1,BE446):INDEX((係数_乗用_ガソリン,係数_乗用_CNG,係数_乗用_軽油,係数_乗用_メタノール,係数_乗用_LPG),125,5,BE446),4,FALSE)))))</f>
        <v/>
      </c>
      <c r="AL446" s="461" t="str">
        <f t="shared" si="278"/>
        <v/>
      </c>
      <c r="AM446" s="460" t="str">
        <f>IF(AU446="","",IF(OR(AZ446=8,AZ446=9),0,IF(OR(AW446=3,AW446=4,AW446=5,AW446=6),IF(LEFT(BH446,1)="1",INDEX(係数_PM低減,MATCH(AY446,【参考】排出係数!$AI$801:$AI$804,1),MATCH(BI446,【参考】排出係数!$AL$798:$AO$798,1)),VLOOKUP(AU446,INDEX((係数_バス貨物_ガソリン,係数_バス貨物_CNG,係数_バス貨物_軽油,係数_バス貨物_メタノール,係数_バス貨物_LPG),MATCH(AY446,【参考】排出係数!$AI$4:$AI$671,1),1,BE446):INDEX((係数_バス貨物_ガソリン,係数_バス貨物_CNG,係数_バス貨物_軽油,係数_バス貨物_メタノール,係数_バス貨物_LPG),MATCH(AY446+1,【参考】排出係数!$AI$4:$AI$671,1)-1,5,BE446),5,FALSE)),IF(AND(BE446=3,LEFT(BF446,1)="1"),0.055,VLOOKUP(AU446,INDEX((係数_乗用_ガソリン,係数_乗用_CNG,係数_乗用_軽油,係数_乗用_メタノール,係数_乗用_LPG),1,1,BE446):INDEX((係数_乗用_ガソリン,係数_乗用_CNG,係数_乗用_軽油,係数_乗用_メタノール,係数_乗用_LPG),125,5,BE446),5,FALSE)))))</f>
        <v/>
      </c>
      <c r="AN446" s="461" t="str">
        <f t="shared" si="279"/>
        <v/>
      </c>
      <c r="AO446" s="462" t="str">
        <f t="shared" si="280"/>
        <v/>
      </c>
      <c r="AP446" s="463" t="str">
        <f t="shared" si="281"/>
        <v/>
      </c>
      <c r="AQ446" s="464"/>
      <c r="AR446" s="619"/>
      <c r="AS446" s="465" t="str">
        <f t="shared" si="260"/>
        <v/>
      </c>
      <c r="AT446" s="465" t="str">
        <f t="shared" si="261"/>
        <v/>
      </c>
      <c r="AU446" s="466" t="str">
        <f t="shared" si="262"/>
        <v/>
      </c>
      <c r="AV446" s="467" t="str">
        <f t="shared" si="263"/>
        <v/>
      </c>
      <c r="AW446" s="467" t="str">
        <f t="shared" si="264"/>
        <v/>
      </c>
      <c r="AX446" s="467" t="str">
        <f t="shared" si="265"/>
        <v/>
      </c>
      <c r="AY446" s="467" t="str">
        <f t="shared" si="266"/>
        <v/>
      </c>
      <c r="AZ446" s="467" t="str">
        <f t="shared" si="267"/>
        <v/>
      </c>
      <c r="BA446" s="468" t="str">
        <f>IF(AS446="","",IF(OR(AU446="",AU446="-"),"－",IF(OR(AZ446=8,AZ446=9),"",IF(OR(AW446=3,AW446=4,AW446=5,AW446=6),VLOOKUP(AU446,INDEX((係数_バス貨物_ガソリン,係数_バス貨物_CNG,係数_バス貨物_軽油,係数_バス貨物_メタノール,係数_バス貨物_LPG),MATCH(AY446,【参考】排出係数!$AI$4:$AI$671,1),1,BE446):INDEX((係数_バス貨物_ガソリン,係数_バス貨物_CNG,係数_バス貨物_軽油,係数_バス貨物_メタノール,係数_バス貨物_LPG),MATCH(AY446+1,【参考】排出係数!$AI$4:$AI$671,1)-1,5,BE446),2,FALSE),IF(OR(AW446=1,AW446=2),VLOOKUP(AU446,INDEX((係数_乗用_ガソリン,係数_乗用_CNG,係数_乗用_軽油,係数_乗用_メタノール,係数_乗用_LPG),1,1,BE446):INDEX((係数_乗用_ガソリン,係数_乗用_CNG,係数_乗用_軽油,係数_乗用_メタノール,係数_乗用_LPG),125,5,BE446),2,FALSE))))))</f>
        <v/>
      </c>
      <c r="BB446" s="468" t="str">
        <f>IF(T446="","",IF(OR(AU446="",AU446="-"),"－",IF(OR(AZ446=8,AZ446=9),"",IF(OR(AW446=3,AW446=4,AW446=5,AW446=6),VLOOKUP(AU446,INDEX((係数_バス貨物_ガソリン,係数_バス貨物_CNG,係数_バス貨物_軽油,係数_バス貨物_メタノール,係数_バス貨物_LPG),MATCH(AY446,【参考】排出係数!$AI$4:$AI$671,1),1,BE446):INDEX((係数_バス貨物_ガソリン,係数_バス貨物_CNG,係数_バス貨物_軽油,係数_バス貨物_メタノール,係数_バス貨物_LPG),MATCH(AY446+1,【参考】排出係数!$AI$4:$AI$671,1)-1,5,BE446),3,FALSE),IF(OR(AW446=1,AW446=2),VLOOKUP(AU446,INDEX((係数_乗用_ガソリン,係数_乗用_CNG,係数_乗用_軽油,係数_乗用_メタノール,係数_乗用_LPG),1,1,BE446):INDEX((係数_乗用_ガソリン,係数_乗用_CNG,係数_乗用_軽油,係数_乗用_メタノール,係数_乗用_LPG),125,5,BE446),3,FALSE))))))</f>
        <v/>
      </c>
      <c r="BC446" s="467" t="str">
        <f t="shared" si="268"/>
        <v/>
      </c>
      <c r="BD446" s="567" t="str">
        <f t="shared" si="269"/>
        <v/>
      </c>
      <c r="BE446" s="467" t="str">
        <f t="shared" si="270"/>
        <v/>
      </c>
      <c r="BF446" s="469" t="str">
        <f t="shared" ca="1" si="271"/>
        <v/>
      </c>
      <c r="BG446" s="469" t="str">
        <f t="shared" ca="1" si="272"/>
        <v/>
      </c>
      <c r="BH446" s="467" t="str">
        <f t="shared" si="273"/>
        <v/>
      </c>
      <c r="BI446" s="467" t="str">
        <f t="shared" ca="1" si="274"/>
        <v/>
      </c>
      <c r="BJ446" s="469" t="str">
        <f t="shared" si="275"/>
        <v/>
      </c>
      <c r="BK446" s="470" t="str">
        <f t="shared" si="255"/>
        <v/>
      </c>
      <c r="BL446" s="775" t="str">
        <f t="shared" si="276"/>
        <v/>
      </c>
      <c r="BM446" s="775" t="str">
        <f t="shared" si="277"/>
        <v/>
      </c>
    </row>
    <row r="447" spans="1:65">
      <c r="A447" s="473">
        <v>391</v>
      </c>
      <c r="B447" s="132"/>
      <c r="C447" s="332"/>
      <c r="D447" s="333"/>
      <c r="E447" s="333"/>
      <c r="F447" s="334"/>
      <c r="G447" s="337"/>
      <c r="H447" s="131"/>
      <c r="I447" s="337"/>
      <c r="J447" s="131"/>
      <c r="K447" s="458" t="str">
        <f t="shared" si="244"/>
        <v/>
      </c>
      <c r="L447" s="458">
        <f t="shared" si="256"/>
        <v>0</v>
      </c>
      <c r="M447" s="458">
        <f t="shared" si="257"/>
        <v>0</v>
      </c>
      <c r="N447" s="459" t="str">
        <f t="shared" si="245"/>
        <v/>
      </c>
      <c r="O447" s="459" t="str">
        <f t="shared" si="246"/>
        <v/>
      </c>
      <c r="P447" s="459" t="str">
        <f t="shared" si="247"/>
        <v/>
      </c>
      <c r="Q447" s="459" t="str">
        <f t="shared" si="248"/>
        <v/>
      </c>
      <c r="R447" s="459" t="str">
        <f t="shared" si="249"/>
        <v/>
      </c>
      <c r="S447" s="459" t="str">
        <f t="shared" si="250"/>
        <v/>
      </c>
      <c r="T447" s="566" t="str">
        <f t="shared" si="258"/>
        <v/>
      </c>
      <c r="U447" s="702"/>
      <c r="V447" s="132"/>
      <c r="W447" s="133"/>
      <c r="X447" s="134"/>
      <c r="Y447" s="135"/>
      <c r="Z447" s="137"/>
      <c r="AA447" s="136"/>
      <c r="AB447" s="566" t="str">
        <f t="shared" si="251"/>
        <v/>
      </c>
      <c r="AC447" s="568" t="str">
        <f t="shared" si="259"/>
        <v/>
      </c>
      <c r="AD447" s="137"/>
      <c r="AE447" s="137"/>
      <c r="AF447" s="138"/>
      <c r="AG447" s="138"/>
      <c r="AH447" s="592" t="str">
        <f t="shared" si="252"/>
        <v/>
      </c>
      <c r="AI447" s="592" t="str">
        <f t="shared" si="253"/>
        <v/>
      </c>
      <c r="AJ447" s="592" t="str">
        <f t="shared" si="254"/>
        <v/>
      </c>
      <c r="AK447" s="460" t="str">
        <f>IF(AU447="","",IF(OR(AZ447=8,AZ447=9),0,IF(OR(AW447=3,AW447=4,AW447=5,AW447=6),IF(LEFT(BF447,1)="1",INDEX(係数_NOX・PM低減,MATCH(AY447,【参考】排出係数!$AI$801:$AI$804,1),1),VLOOKUP(AU447,INDEX((係数_バス貨物_ガソリン,係数_バス貨物_CNG,係数_バス貨物_軽油,係数_バス貨物_メタノール,係数_バス貨物_LPG),MATCH(AY447,【参考】排出係数!$AI$4:$AI$671,1),1,BE447):INDEX((係数_バス貨物_ガソリン,係数_バス貨物_CNG,係数_バス貨物_軽油,係数_バス貨物_メタノール,係数_バス貨物_LPG),MATCH(AY447+1,【参考】排出係数!$AI$4:$AI$671,1)-1,5,BE447),4,FALSE)),IF(AND(BE447=3,LEFT(BF447,1)="1"),0.48,VLOOKUP(AU447,INDEX((係数_乗用_ガソリン,係数_乗用_CNG,係数_乗用_軽油,係数_乗用_メタノール,係数_乗用_LPG),1,1,BE447):INDEX((係数_乗用_ガソリン,係数_乗用_CNG,係数_乗用_軽油,係数_乗用_メタノール,係数_乗用_LPG),125,5,BE447),4,FALSE)))))</f>
        <v/>
      </c>
      <c r="AL447" s="461" t="str">
        <f t="shared" si="278"/>
        <v/>
      </c>
      <c r="AM447" s="460" t="str">
        <f>IF(AU447="","",IF(OR(AZ447=8,AZ447=9),0,IF(OR(AW447=3,AW447=4,AW447=5,AW447=6),IF(LEFT(BH447,1)="1",INDEX(係数_PM低減,MATCH(AY447,【参考】排出係数!$AI$801:$AI$804,1),MATCH(BI447,【参考】排出係数!$AL$798:$AO$798,1)),VLOOKUP(AU447,INDEX((係数_バス貨物_ガソリン,係数_バス貨物_CNG,係数_バス貨物_軽油,係数_バス貨物_メタノール,係数_バス貨物_LPG),MATCH(AY447,【参考】排出係数!$AI$4:$AI$671,1),1,BE447):INDEX((係数_バス貨物_ガソリン,係数_バス貨物_CNG,係数_バス貨物_軽油,係数_バス貨物_メタノール,係数_バス貨物_LPG),MATCH(AY447+1,【参考】排出係数!$AI$4:$AI$671,1)-1,5,BE447),5,FALSE)),IF(AND(BE447=3,LEFT(BF447,1)="1"),0.055,VLOOKUP(AU447,INDEX((係数_乗用_ガソリン,係数_乗用_CNG,係数_乗用_軽油,係数_乗用_メタノール,係数_乗用_LPG),1,1,BE447):INDEX((係数_乗用_ガソリン,係数_乗用_CNG,係数_乗用_軽油,係数_乗用_メタノール,係数_乗用_LPG),125,5,BE447),5,FALSE)))))</f>
        <v/>
      </c>
      <c r="AN447" s="461" t="str">
        <f t="shared" si="279"/>
        <v/>
      </c>
      <c r="AO447" s="462" t="str">
        <f t="shared" si="280"/>
        <v/>
      </c>
      <c r="AP447" s="463" t="str">
        <f t="shared" si="281"/>
        <v/>
      </c>
      <c r="AQ447" s="464"/>
      <c r="AR447" s="619"/>
      <c r="AS447" s="465" t="str">
        <f t="shared" si="260"/>
        <v/>
      </c>
      <c r="AT447" s="465" t="str">
        <f t="shared" si="261"/>
        <v/>
      </c>
      <c r="AU447" s="466" t="str">
        <f t="shared" si="262"/>
        <v/>
      </c>
      <c r="AV447" s="467" t="str">
        <f t="shared" si="263"/>
        <v/>
      </c>
      <c r="AW447" s="467" t="str">
        <f t="shared" si="264"/>
        <v/>
      </c>
      <c r="AX447" s="467" t="str">
        <f t="shared" si="265"/>
        <v/>
      </c>
      <c r="AY447" s="467" t="str">
        <f t="shared" si="266"/>
        <v/>
      </c>
      <c r="AZ447" s="467" t="str">
        <f t="shared" si="267"/>
        <v/>
      </c>
      <c r="BA447" s="468" t="str">
        <f>IF(AS447="","",IF(OR(AU447="",AU447="-"),"－",IF(OR(AZ447=8,AZ447=9),"",IF(OR(AW447=3,AW447=4,AW447=5,AW447=6),VLOOKUP(AU447,INDEX((係数_バス貨物_ガソリン,係数_バス貨物_CNG,係数_バス貨物_軽油,係数_バス貨物_メタノール,係数_バス貨物_LPG),MATCH(AY447,【参考】排出係数!$AI$4:$AI$671,1),1,BE447):INDEX((係数_バス貨物_ガソリン,係数_バス貨物_CNG,係数_バス貨物_軽油,係数_バス貨物_メタノール,係数_バス貨物_LPG),MATCH(AY447+1,【参考】排出係数!$AI$4:$AI$671,1)-1,5,BE447),2,FALSE),IF(OR(AW447=1,AW447=2),VLOOKUP(AU447,INDEX((係数_乗用_ガソリン,係数_乗用_CNG,係数_乗用_軽油,係数_乗用_メタノール,係数_乗用_LPG),1,1,BE447):INDEX((係数_乗用_ガソリン,係数_乗用_CNG,係数_乗用_軽油,係数_乗用_メタノール,係数_乗用_LPG),125,5,BE447),2,FALSE))))))</f>
        <v/>
      </c>
      <c r="BB447" s="468" t="str">
        <f>IF(T447="","",IF(OR(AU447="",AU447="-"),"－",IF(OR(AZ447=8,AZ447=9),"",IF(OR(AW447=3,AW447=4,AW447=5,AW447=6),VLOOKUP(AU447,INDEX((係数_バス貨物_ガソリン,係数_バス貨物_CNG,係数_バス貨物_軽油,係数_バス貨物_メタノール,係数_バス貨物_LPG),MATCH(AY447,【参考】排出係数!$AI$4:$AI$671,1),1,BE447):INDEX((係数_バス貨物_ガソリン,係数_バス貨物_CNG,係数_バス貨物_軽油,係数_バス貨物_メタノール,係数_バス貨物_LPG),MATCH(AY447+1,【参考】排出係数!$AI$4:$AI$671,1)-1,5,BE447),3,FALSE),IF(OR(AW447=1,AW447=2),VLOOKUP(AU447,INDEX((係数_乗用_ガソリン,係数_乗用_CNG,係数_乗用_軽油,係数_乗用_メタノール,係数_乗用_LPG),1,1,BE447):INDEX((係数_乗用_ガソリン,係数_乗用_CNG,係数_乗用_軽油,係数_乗用_メタノール,係数_乗用_LPG),125,5,BE447),3,FALSE))))))</f>
        <v/>
      </c>
      <c r="BC447" s="467" t="str">
        <f t="shared" si="268"/>
        <v/>
      </c>
      <c r="BD447" s="567" t="str">
        <f t="shared" si="269"/>
        <v/>
      </c>
      <c r="BE447" s="467" t="str">
        <f t="shared" si="270"/>
        <v/>
      </c>
      <c r="BF447" s="469" t="str">
        <f t="shared" ca="1" si="271"/>
        <v/>
      </c>
      <c r="BG447" s="469" t="str">
        <f t="shared" ca="1" si="272"/>
        <v/>
      </c>
      <c r="BH447" s="467" t="str">
        <f t="shared" si="273"/>
        <v/>
      </c>
      <c r="BI447" s="467" t="str">
        <f t="shared" ca="1" si="274"/>
        <v/>
      </c>
      <c r="BJ447" s="469" t="str">
        <f t="shared" si="275"/>
        <v/>
      </c>
      <c r="BK447" s="470" t="str">
        <f t="shared" si="255"/>
        <v/>
      </c>
      <c r="BL447" s="775" t="str">
        <f t="shared" si="276"/>
        <v/>
      </c>
      <c r="BM447" s="775" t="str">
        <f t="shared" si="277"/>
        <v/>
      </c>
    </row>
    <row r="448" spans="1:65">
      <c r="A448" s="473">
        <v>392</v>
      </c>
      <c r="B448" s="132"/>
      <c r="C448" s="332"/>
      <c r="D448" s="333"/>
      <c r="E448" s="333"/>
      <c r="F448" s="334"/>
      <c r="G448" s="337"/>
      <c r="H448" s="131"/>
      <c r="I448" s="337"/>
      <c r="J448" s="131"/>
      <c r="K448" s="458" t="str">
        <f t="shared" si="244"/>
        <v/>
      </c>
      <c r="L448" s="458">
        <f t="shared" si="256"/>
        <v>0</v>
      </c>
      <c r="M448" s="458">
        <f t="shared" si="257"/>
        <v>0</v>
      </c>
      <c r="N448" s="459" t="str">
        <f t="shared" si="245"/>
        <v/>
      </c>
      <c r="O448" s="459" t="str">
        <f t="shared" si="246"/>
        <v/>
      </c>
      <c r="P448" s="459" t="str">
        <f t="shared" si="247"/>
        <v/>
      </c>
      <c r="Q448" s="459" t="str">
        <f t="shared" si="248"/>
        <v/>
      </c>
      <c r="R448" s="459" t="str">
        <f t="shared" si="249"/>
        <v/>
      </c>
      <c r="S448" s="459" t="str">
        <f t="shared" si="250"/>
        <v/>
      </c>
      <c r="T448" s="566" t="str">
        <f t="shared" si="258"/>
        <v/>
      </c>
      <c r="U448" s="702"/>
      <c r="V448" s="132"/>
      <c r="W448" s="133"/>
      <c r="X448" s="134"/>
      <c r="Y448" s="135"/>
      <c r="Z448" s="137"/>
      <c r="AA448" s="136"/>
      <c r="AB448" s="566" t="str">
        <f t="shared" si="251"/>
        <v/>
      </c>
      <c r="AC448" s="568" t="str">
        <f t="shared" si="259"/>
        <v/>
      </c>
      <c r="AD448" s="137"/>
      <c r="AE448" s="137"/>
      <c r="AF448" s="138"/>
      <c r="AG448" s="138"/>
      <c r="AH448" s="592" t="str">
        <f t="shared" si="252"/>
        <v/>
      </c>
      <c r="AI448" s="592" t="str">
        <f t="shared" si="253"/>
        <v/>
      </c>
      <c r="AJ448" s="592" t="str">
        <f t="shared" si="254"/>
        <v/>
      </c>
      <c r="AK448" s="460" t="str">
        <f>IF(AU448="","",IF(OR(AZ448=8,AZ448=9),0,IF(OR(AW448=3,AW448=4,AW448=5,AW448=6),IF(LEFT(BF448,1)="1",INDEX(係数_NOX・PM低減,MATCH(AY448,【参考】排出係数!$AI$801:$AI$804,1),1),VLOOKUP(AU448,INDEX((係数_バス貨物_ガソリン,係数_バス貨物_CNG,係数_バス貨物_軽油,係数_バス貨物_メタノール,係数_バス貨物_LPG),MATCH(AY448,【参考】排出係数!$AI$4:$AI$671,1),1,BE448):INDEX((係数_バス貨物_ガソリン,係数_バス貨物_CNG,係数_バス貨物_軽油,係数_バス貨物_メタノール,係数_バス貨物_LPG),MATCH(AY448+1,【参考】排出係数!$AI$4:$AI$671,1)-1,5,BE448),4,FALSE)),IF(AND(BE448=3,LEFT(BF448,1)="1"),0.48,VLOOKUP(AU448,INDEX((係数_乗用_ガソリン,係数_乗用_CNG,係数_乗用_軽油,係数_乗用_メタノール,係数_乗用_LPG),1,1,BE448):INDEX((係数_乗用_ガソリン,係数_乗用_CNG,係数_乗用_軽油,係数_乗用_メタノール,係数_乗用_LPG),125,5,BE448),4,FALSE)))))</f>
        <v/>
      </c>
      <c r="AL448" s="461" t="str">
        <f t="shared" si="278"/>
        <v/>
      </c>
      <c r="AM448" s="460" t="str">
        <f>IF(AU448="","",IF(OR(AZ448=8,AZ448=9),0,IF(OR(AW448=3,AW448=4,AW448=5,AW448=6),IF(LEFT(BH448,1)="1",INDEX(係数_PM低減,MATCH(AY448,【参考】排出係数!$AI$801:$AI$804,1),MATCH(BI448,【参考】排出係数!$AL$798:$AO$798,1)),VLOOKUP(AU448,INDEX((係数_バス貨物_ガソリン,係数_バス貨物_CNG,係数_バス貨物_軽油,係数_バス貨物_メタノール,係数_バス貨物_LPG),MATCH(AY448,【参考】排出係数!$AI$4:$AI$671,1),1,BE448):INDEX((係数_バス貨物_ガソリン,係数_バス貨物_CNG,係数_バス貨物_軽油,係数_バス貨物_メタノール,係数_バス貨物_LPG),MATCH(AY448+1,【参考】排出係数!$AI$4:$AI$671,1)-1,5,BE448),5,FALSE)),IF(AND(BE448=3,LEFT(BF448,1)="1"),0.055,VLOOKUP(AU448,INDEX((係数_乗用_ガソリン,係数_乗用_CNG,係数_乗用_軽油,係数_乗用_メタノール,係数_乗用_LPG),1,1,BE448):INDEX((係数_乗用_ガソリン,係数_乗用_CNG,係数_乗用_軽油,係数_乗用_メタノール,係数_乗用_LPG),125,5,BE448),5,FALSE)))))</f>
        <v/>
      </c>
      <c r="AN448" s="461" t="str">
        <f t="shared" si="279"/>
        <v/>
      </c>
      <c r="AO448" s="462" t="str">
        <f t="shared" si="280"/>
        <v/>
      </c>
      <c r="AP448" s="463" t="str">
        <f t="shared" si="281"/>
        <v/>
      </c>
      <c r="AQ448" s="464"/>
      <c r="AR448" s="619"/>
      <c r="AS448" s="465" t="str">
        <f t="shared" si="260"/>
        <v/>
      </c>
      <c r="AT448" s="465" t="str">
        <f t="shared" si="261"/>
        <v/>
      </c>
      <c r="AU448" s="466" t="str">
        <f t="shared" si="262"/>
        <v/>
      </c>
      <c r="AV448" s="467" t="str">
        <f t="shared" si="263"/>
        <v/>
      </c>
      <c r="AW448" s="467" t="str">
        <f t="shared" si="264"/>
        <v/>
      </c>
      <c r="AX448" s="467" t="str">
        <f t="shared" si="265"/>
        <v/>
      </c>
      <c r="AY448" s="467" t="str">
        <f t="shared" si="266"/>
        <v/>
      </c>
      <c r="AZ448" s="467" t="str">
        <f t="shared" si="267"/>
        <v/>
      </c>
      <c r="BA448" s="468" t="str">
        <f>IF(AS448="","",IF(OR(AU448="",AU448="-"),"－",IF(OR(AZ448=8,AZ448=9),"",IF(OR(AW448=3,AW448=4,AW448=5,AW448=6),VLOOKUP(AU448,INDEX((係数_バス貨物_ガソリン,係数_バス貨物_CNG,係数_バス貨物_軽油,係数_バス貨物_メタノール,係数_バス貨物_LPG),MATCH(AY448,【参考】排出係数!$AI$4:$AI$671,1),1,BE448):INDEX((係数_バス貨物_ガソリン,係数_バス貨物_CNG,係数_バス貨物_軽油,係数_バス貨物_メタノール,係数_バス貨物_LPG),MATCH(AY448+1,【参考】排出係数!$AI$4:$AI$671,1)-1,5,BE448),2,FALSE),IF(OR(AW448=1,AW448=2),VLOOKUP(AU448,INDEX((係数_乗用_ガソリン,係数_乗用_CNG,係数_乗用_軽油,係数_乗用_メタノール,係数_乗用_LPG),1,1,BE448):INDEX((係数_乗用_ガソリン,係数_乗用_CNG,係数_乗用_軽油,係数_乗用_メタノール,係数_乗用_LPG),125,5,BE448),2,FALSE))))))</f>
        <v/>
      </c>
      <c r="BB448" s="468" t="str">
        <f>IF(T448="","",IF(OR(AU448="",AU448="-"),"－",IF(OR(AZ448=8,AZ448=9),"",IF(OR(AW448=3,AW448=4,AW448=5,AW448=6),VLOOKUP(AU448,INDEX((係数_バス貨物_ガソリン,係数_バス貨物_CNG,係数_バス貨物_軽油,係数_バス貨物_メタノール,係数_バス貨物_LPG),MATCH(AY448,【参考】排出係数!$AI$4:$AI$671,1),1,BE448):INDEX((係数_バス貨物_ガソリン,係数_バス貨物_CNG,係数_バス貨物_軽油,係数_バス貨物_メタノール,係数_バス貨物_LPG),MATCH(AY448+1,【参考】排出係数!$AI$4:$AI$671,1)-1,5,BE448),3,FALSE),IF(OR(AW448=1,AW448=2),VLOOKUP(AU448,INDEX((係数_乗用_ガソリン,係数_乗用_CNG,係数_乗用_軽油,係数_乗用_メタノール,係数_乗用_LPG),1,1,BE448):INDEX((係数_乗用_ガソリン,係数_乗用_CNG,係数_乗用_軽油,係数_乗用_メタノール,係数_乗用_LPG),125,5,BE448),3,FALSE))))))</f>
        <v/>
      </c>
      <c r="BC448" s="467" t="str">
        <f t="shared" si="268"/>
        <v/>
      </c>
      <c r="BD448" s="567" t="str">
        <f t="shared" si="269"/>
        <v/>
      </c>
      <c r="BE448" s="467" t="str">
        <f t="shared" si="270"/>
        <v/>
      </c>
      <c r="BF448" s="469" t="str">
        <f t="shared" ca="1" si="271"/>
        <v/>
      </c>
      <c r="BG448" s="469" t="str">
        <f t="shared" ca="1" si="272"/>
        <v/>
      </c>
      <c r="BH448" s="467" t="str">
        <f t="shared" si="273"/>
        <v/>
      </c>
      <c r="BI448" s="467" t="str">
        <f t="shared" ca="1" si="274"/>
        <v/>
      </c>
      <c r="BJ448" s="469" t="str">
        <f t="shared" si="275"/>
        <v/>
      </c>
      <c r="BK448" s="470" t="str">
        <f t="shared" si="255"/>
        <v/>
      </c>
      <c r="BL448" s="775" t="str">
        <f t="shared" si="276"/>
        <v/>
      </c>
      <c r="BM448" s="775" t="str">
        <f t="shared" si="277"/>
        <v/>
      </c>
    </row>
    <row r="449" spans="1:65">
      <c r="A449" s="473">
        <v>393</v>
      </c>
      <c r="B449" s="132"/>
      <c r="C449" s="332"/>
      <c r="D449" s="333"/>
      <c r="E449" s="333"/>
      <c r="F449" s="334"/>
      <c r="G449" s="337"/>
      <c r="H449" s="131"/>
      <c r="I449" s="337"/>
      <c r="J449" s="131"/>
      <c r="K449" s="458" t="str">
        <f t="shared" si="244"/>
        <v/>
      </c>
      <c r="L449" s="458">
        <f t="shared" si="256"/>
        <v>0</v>
      </c>
      <c r="M449" s="458">
        <f t="shared" si="257"/>
        <v>0</v>
      </c>
      <c r="N449" s="459" t="str">
        <f t="shared" si="245"/>
        <v/>
      </c>
      <c r="O449" s="459" t="str">
        <f t="shared" si="246"/>
        <v/>
      </c>
      <c r="P449" s="459" t="str">
        <f t="shared" si="247"/>
        <v/>
      </c>
      <c r="Q449" s="459" t="str">
        <f t="shared" si="248"/>
        <v/>
      </c>
      <c r="R449" s="459" t="str">
        <f t="shared" si="249"/>
        <v/>
      </c>
      <c r="S449" s="459" t="str">
        <f t="shared" si="250"/>
        <v/>
      </c>
      <c r="T449" s="566" t="str">
        <f t="shared" si="258"/>
        <v/>
      </c>
      <c r="U449" s="702"/>
      <c r="V449" s="132"/>
      <c r="W449" s="133"/>
      <c r="X449" s="134"/>
      <c r="Y449" s="135"/>
      <c r="Z449" s="137"/>
      <c r="AA449" s="136"/>
      <c r="AB449" s="566" t="str">
        <f t="shared" si="251"/>
        <v/>
      </c>
      <c r="AC449" s="568" t="str">
        <f t="shared" si="259"/>
        <v/>
      </c>
      <c r="AD449" s="137"/>
      <c r="AE449" s="137"/>
      <c r="AF449" s="138"/>
      <c r="AG449" s="138"/>
      <c r="AH449" s="592" t="str">
        <f t="shared" si="252"/>
        <v/>
      </c>
      <c r="AI449" s="592" t="str">
        <f t="shared" si="253"/>
        <v/>
      </c>
      <c r="AJ449" s="592" t="str">
        <f t="shared" si="254"/>
        <v/>
      </c>
      <c r="AK449" s="460" t="str">
        <f>IF(AU449="","",IF(OR(AZ449=8,AZ449=9),0,IF(OR(AW449=3,AW449=4,AW449=5,AW449=6),IF(LEFT(BF449,1)="1",INDEX(係数_NOX・PM低減,MATCH(AY449,【参考】排出係数!$AI$801:$AI$804,1),1),VLOOKUP(AU449,INDEX((係数_バス貨物_ガソリン,係数_バス貨物_CNG,係数_バス貨物_軽油,係数_バス貨物_メタノール,係数_バス貨物_LPG),MATCH(AY449,【参考】排出係数!$AI$4:$AI$671,1),1,BE449):INDEX((係数_バス貨物_ガソリン,係数_バス貨物_CNG,係数_バス貨物_軽油,係数_バス貨物_メタノール,係数_バス貨物_LPG),MATCH(AY449+1,【参考】排出係数!$AI$4:$AI$671,1)-1,5,BE449),4,FALSE)),IF(AND(BE449=3,LEFT(BF449,1)="1"),0.48,VLOOKUP(AU449,INDEX((係数_乗用_ガソリン,係数_乗用_CNG,係数_乗用_軽油,係数_乗用_メタノール,係数_乗用_LPG),1,1,BE449):INDEX((係数_乗用_ガソリン,係数_乗用_CNG,係数_乗用_軽油,係数_乗用_メタノール,係数_乗用_LPG),125,5,BE449),4,FALSE)))))</f>
        <v/>
      </c>
      <c r="AL449" s="461" t="str">
        <f t="shared" si="278"/>
        <v/>
      </c>
      <c r="AM449" s="460" t="str">
        <f>IF(AU449="","",IF(OR(AZ449=8,AZ449=9),0,IF(OR(AW449=3,AW449=4,AW449=5,AW449=6),IF(LEFT(BH449,1)="1",INDEX(係数_PM低減,MATCH(AY449,【参考】排出係数!$AI$801:$AI$804,1),MATCH(BI449,【参考】排出係数!$AL$798:$AO$798,1)),VLOOKUP(AU449,INDEX((係数_バス貨物_ガソリン,係数_バス貨物_CNG,係数_バス貨物_軽油,係数_バス貨物_メタノール,係数_バス貨物_LPG),MATCH(AY449,【参考】排出係数!$AI$4:$AI$671,1),1,BE449):INDEX((係数_バス貨物_ガソリン,係数_バス貨物_CNG,係数_バス貨物_軽油,係数_バス貨物_メタノール,係数_バス貨物_LPG),MATCH(AY449+1,【参考】排出係数!$AI$4:$AI$671,1)-1,5,BE449),5,FALSE)),IF(AND(BE449=3,LEFT(BF449,1)="1"),0.055,VLOOKUP(AU449,INDEX((係数_乗用_ガソリン,係数_乗用_CNG,係数_乗用_軽油,係数_乗用_メタノール,係数_乗用_LPG),1,1,BE449):INDEX((係数_乗用_ガソリン,係数_乗用_CNG,係数_乗用_軽油,係数_乗用_メタノール,係数_乗用_LPG),125,5,BE449),5,FALSE)))))</f>
        <v/>
      </c>
      <c r="AN449" s="461" t="str">
        <f t="shared" si="279"/>
        <v/>
      </c>
      <c r="AO449" s="462" t="str">
        <f t="shared" si="280"/>
        <v/>
      </c>
      <c r="AP449" s="463" t="str">
        <f t="shared" si="281"/>
        <v/>
      </c>
      <c r="AQ449" s="464"/>
      <c r="AR449" s="619"/>
      <c r="AS449" s="465" t="str">
        <f t="shared" si="260"/>
        <v/>
      </c>
      <c r="AT449" s="465" t="str">
        <f t="shared" si="261"/>
        <v/>
      </c>
      <c r="AU449" s="466" t="str">
        <f t="shared" si="262"/>
        <v/>
      </c>
      <c r="AV449" s="467" t="str">
        <f t="shared" si="263"/>
        <v/>
      </c>
      <c r="AW449" s="467" t="str">
        <f t="shared" si="264"/>
        <v/>
      </c>
      <c r="AX449" s="467" t="str">
        <f t="shared" si="265"/>
        <v/>
      </c>
      <c r="AY449" s="467" t="str">
        <f t="shared" si="266"/>
        <v/>
      </c>
      <c r="AZ449" s="467" t="str">
        <f t="shared" si="267"/>
        <v/>
      </c>
      <c r="BA449" s="468" t="str">
        <f>IF(AS449="","",IF(OR(AU449="",AU449="-"),"－",IF(OR(AZ449=8,AZ449=9),"",IF(OR(AW449=3,AW449=4,AW449=5,AW449=6),VLOOKUP(AU449,INDEX((係数_バス貨物_ガソリン,係数_バス貨物_CNG,係数_バス貨物_軽油,係数_バス貨物_メタノール,係数_バス貨物_LPG),MATCH(AY449,【参考】排出係数!$AI$4:$AI$671,1),1,BE449):INDEX((係数_バス貨物_ガソリン,係数_バス貨物_CNG,係数_バス貨物_軽油,係数_バス貨物_メタノール,係数_バス貨物_LPG),MATCH(AY449+1,【参考】排出係数!$AI$4:$AI$671,1)-1,5,BE449),2,FALSE),IF(OR(AW449=1,AW449=2),VLOOKUP(AU449,INDEX((係数_乗用_ガソリン,係数_乗用_CNG,係数_乗用_軽油,係数_乗用_メタノール,係数_乗用_LPG),1,1,BE449):INDEX((係数_乗用_ガソリン,係数_乗用_CNG,係数_乗用_軽油,係数_乗用_メタノール,係数_乗用_LPG),125,5,BE449),2,FALSE))))))</f>
        <v/>
      </c>
      <c r="BB449" s="468" t="str">
        <f>IF(T449="","",IF(OR(AU449="",AU449="-"),"－",IF(OR(AZ449=8,AZ449=9),"",IF(OR(AW449=3,AW449=4,AW449=5,AW449=6),VLOOKUP(AU449,INDEX((係数_バス貨物_ガソリン,係数_バス貨物_CNG,係数_バス貨物_軽油,係数_バス貨物_メタノール,係数_バス貨物_LPG),MATCH(AY449,【参考】排出係数!$AI$4:$AI$671,1),1,BE449):INDEX((係数_バス貨物_ガソリン,係数_バス貨物_CNG,係数_バス貨物_軽油,係数_バス貨物_メタノール,係数_バス貨物_LPG),MATCH(AY449+1,【参考】排出係数!$AI$4:$AI$671,1)-1,5,BE449),3,FALSE),IF(OR(AW449=1,AW449=2),VLOOKUP(AU449,INDEX((係数_乗用_ガソリン,係数_乗用_CNG,係数_乗用_軽油,係数_乗用_メタノール,係数_乗用_LPG),1,1,BE449):INDEX((係数_乗用_ガソリン,係数_乗用_CNG,係数_乗用_軽油,係数_乗用_メタノール,係数_乗用_LPG),125,5,BE449),3,FALSE))))))</f>
        <v/>
      </c>
      <c r="BC449" s="467" t="str">
        <f t="shared" si="268"/>
        <v/>
      </c>
      <c r="BD449" s="567" t="str">
        <f t="shared" si="269"/>
        <v/>
      </c>
      <c r="BE449" s="467" t="str">
        <f t="shared" si="270"/>
        <v/>
      </c>
      <c r="BF449" s="469" t="str">
        <f t="shared" ca="1" si="271"/>
        <v/>
      </c>
      <c r="BG449" s="469" t="str">
        <f t="shared" ca="1" si="272"/>
        <v/>
      </c>
      <c r="BH449" s="467" t="str">
        <f t="shared" si="273"/>
        <v/>
      </c>
      <c r="BI449" s="467" t="str">
        <f t="shared" ca="1" si="274"/>
        <v/>
      </c>
      <c r="BJ449" s="469" t="str">
        <f t="shared" si="275"/>
        <v/>
      </c>
      <c r="BK449" s="470" t="str">
        <f t="shared" si="255"/>
        <v/>
      </c>
      <c r="BL449" s="775" t="str">
        <f t="shared" si="276"/>
        <v/>
      </c>
      <c r="BM449" s="775" t="str">
        <f t="shared" si="277"/>
        <v/>
      </c>
    </row>
    <row r="450" spans="1:65">
      <c r="A450" s="473">
        <v>394</v>
      </c>
      <c r="B450" s="132"/>
      <c r="C450" s="332"/>
      <c r="D450" s="333"/>
      <c r="E450" s="333"/>
      <c r="F450" s="334"/>
      <c r="G450" s="337"/>
      <c r="H450" s="131"/>
      <c r="I450" s="337"/>
      <c r="J450" s="131"/>
      <c r="K450" s="458" t="str">
        <f t="shared" si="244"/>
        <v/>
      </c>
      <c r="L450" s="458">
        <f t="shared" si="256"/>
        <v>0</v>
      </c>
      <c r="M450" s="458">
        <f t="shared" si="257"/>
        <v>0</v>
      </c>
      <c r="N450" s="459" t="str">
        <f t="shared" si="245"/>
        <v/>
      </c>
      <c r="O450" s="459" t="str">
        <f t="shared" si="246"/>
        <v/>
      </c>
      <c r="P450" s="459" t="str">
        <f t="shared" si="247"/>
        <v/>
      </c>
      <c r="Q450" s="459" t="str">
        <f t="shared" si="248"/>
        <v/>
      </c>
      <c r="R450" s="459" t="str">
        <f t="shared" si="249"/>
        <v/>
      </c>
      <c r="S450" s="459" t="str">
        <f t="shared" si="250"/>
        <v/>
      </c>
      <c r="T450" s="566" t="str">
        <f t="shared" si="258"/>
        <v/>
      </c>
      <c r="U450" s="702"/>
      <c r="V450" s="132"/>
      <c r="W450" s="133"/>
      <c r="X450" s="134"/>
      <c r="Y450" s="135"/>
      <c r="Z450" s="137"/>
      <c r="AA450" s="136"/>
      <c r="AB450" s="566" t="str">
        <f t="shared" si="251"/>
        <v/>
      </c>
      <c r="AC450" s="568" t="str">
        <f t="shared" si="259"/>
        <v/>
      </c>
      <c r="AD450" s="137"/>
      <c r="AE450" s="137"/>
      <c r="AF450" s="138"/>
      <c r="AG450" s="138"/>
      <c r="AH450" s="592" t="str">
        <f t="shared" si="252"/>
        <v/>
      </c>
      <c r="AI450" s="592" t="str">
        <f t="shared" si="253"/>
        <v/>
      </c>
      <c r="AJ450" s="592" t="str">
        <f t="shared" si="254"/>
        <v/>
      </c>
      <c r="AK450" s="460" t="str">
        <f>IF(AU450="","",IF(OR(AZ450=8,AZ450=9),0,IF(OR(AW450=3,AW450=4,AW450=5,AW450=6),IF(LEFT(BF450,1)="1",INDEX(係数_NOX・PM低減,MATCH(AY450,【参考】排出係数!$AI$801:$AI$804,1),1),VLOOKUP(AU450,INDEX((係数_バス貨物_ガソリン,係数_バス貨物_CNG,係数_バス貨物_軽油,係数_バス貨物_メタノール,係数_バス貨物_LPG),MATCH(AY450,【参考】排出係数!$AI$4:$AI$671,1),1,BE450):INDEX((係数_バス貨物_ガソリン,係数_バス貨物_CNG,係数_バス貨物_軽油,係数_バス貨物_メタノール,係数_バス貨物_LPG),MATCH(AY450+1,【参考】排出係数!$AI$4:$AI$671,1)-1,5,BE450),4,FALSE)),IF(AND(BE450=3,LEFT(BF450,1)="1"),0.48,VLOOKUP(AU450,INDEX((係数_乗用_ガソリン,係数_乗用_CNG,係数_乗用_軽油,係数_乗用_メタノール,係数_乗用_LPG),1,1,BE450):INDEX((係数_乗用_ガソリン,係数_乗用_CNG,係数_乗用_軽油,係数_乗用_メタノール,係数_乗用_LPG),125,5,BE450),4,FALSE)))))</f>
        <v/>
      </c>
      <c r="AL450" s="461" t="str">
        <f t="shared" si="278"/>
        <v/>
      </c>
      <c r="AM450" s="460" t="str">
        <f>IF(AU450="","",IF(OR(AZ450=8,AZ450=9),0,IF(OR(AW450=3,AW450=4,AW450=5,AW450=6),IF(LEFT(BH450,1)="1",INDEX(係数_PM低減,MATCH(AY450,【参考】排出係数!$AI$801:$AI$804,1),MATCH(BI450,【参考】排出係数!$AL$798:$AO$798,1)),VLOOKUP(AU450,INDEX((係数_バス貨物_ガソリン,係数_バス貨物_CNG,係数_バス貨物_軽油,係数_バス貨物_メタノール,係数_バス貨物_LPG),MATCH(AY450,【参考】排出係数!$AI$4:$AI$671,1),1,BE450):INDEX((係数_バス貨物_ガソリン,係数_バス貨物_CNG,係数_バス貨物_軽油,係数_バス貨物_メタノール,係数_バス貨物_LPG),MATCH(AY450+1,【参考】排出係数!$AI$4:$AI$671,1)-1,5,BE450),5,FALSE)),IF(AND(BE450=3,LEFT(BF450,1)="1"),0.055,VLOOKUP(AU450,INDEX((係数_乗用_ガソリン,係数_乗用_CNG,係数_乗用_軽油,係数_乗用_メタノール,係数_乗用_LPG),1,1,BE450):INDEX((係数_乗用_ガソリン,係数_乗用_CNG,係数_乗用_軽油,係数_乗用_メタノール,係数_乗用_LPG),125,5,BE450),5,FALSE)))))</f>
        <v/>
      </c>
      <c r="AN450" s="461" t="str">
        <f t="shared" si="279"/>
        <v/>
      </c>
      <c r="AO450" s="462" t="str">
        <f t="shared" si="280"/>
        <v/>
      </c>
      <c r="AP450" s="463" t="str">
        <f t="shared" si="281"/>
        <v/>
      </c>
      <c r="AQ450" s="464"/>
      <c r="AR450" s="619"/>
      <c r="AS450" s="465" t="str">
        <f t="shared" si="260"/>
        <v/>
      </c>
      <c r="AT450" s="465" t="str">
        <f t="shared" si="261"/>
        <v/>
      </c>
      <c r="AU450" s="466" t="str">
        <f t="shared" si="262"/>
        <v/>
      </c>
      <c r="AV450" s="467" t="str">
        <f t="shared" si="263"/>
        <v/>
      </c>
      <c r="AW450" s="467" t="str">
        <f t="shared" si="264"/>
        <v/>
      </c>
      <c r="AX450" s="467" t="str">
        <f t="shared" si="265"/>
        <v/>
      </c>
      <c r="AY450" s="467" t="str">
        <f t="shared" si="266"/>
        <v/>
      </c>
      <c r="AZ450" s="467" t="str">
        <f t="shared" si="267"/>
        <v/>
      </c>
      <c r="BA450" s="468" t="str">
        <f>IF(AS450="","",IF(OR(AU450="",AU450="-"),"－",IF(OR(AZ450=8,AZ450=9),"",IF(OR(AW450=3,AW450=4,AW450=5,AW450=6),VLOOKUP(AU450,INDEX((係数_バス貨物_ガソリン,係数_バス貨物_CNG,係数_バス貨物_軽油,係数_バス貨物_メタノール,係数_バス貨物_LPG),MATCH(AY450,【参考】排出係数!$AI$4:$AI$671,1),1,BE450):INDEX((係数_バス貨物_ガソリン,係数_バス貨物_CNG,係数_バス貨物_軽油,係数_バス貨物_メタノール,係数_バス貨物_LPG),MATCH(AY450+1,【参考】排出係数!$AI$4:$AI$671,1)-1,5,BE450),2,FALSE),IF(OR(AW450=1,AW450=2),VLOOKUP(AU450,INDEX((係数_乗用_ガソリン,係数_乗用_CNG,係数_乗用_軽油,係数_乗用_メタノール,係数_乗用_LPG),1,1,BE450):INDEX((係数_乗用_ガソリン,係数_乗用_CNG,係数_乗用_軽油,係数_乗用_メタノール,係数_乗用_LPG),125,5,BE450),2,FALSE))))))</f>
        <v/>
      </c>
      <c r="BB450" s="468" t="str">
        <f>IF(T450="","",IF(OR(AU450="",AU450="-"),"－",IF(OR(AZ450=8,AZ450=9),"",IF(OR(AW450=3,AW450=4,AW450=5,AW450=6),VLOOKUP(AU450,INDEX((係数_バス貨物_ガソリン,係数_バス貨物_CNG,係数_バス貨物_軽油,係数_バス貨物_メタノール,係数_バス貨物_LPG),MATCH(AY450,【参考】排出係数!$AI$4:$AI$671,1),1,BE450):INDEX((係数_バス貨物_ガソリン,係数_バス貨物_CNG,係数_バス貨物_軽油,係数_バス貨物_メタノール,係数_バス貨物_LPG),MATCH(AY450+1,【参考】排出係数!$AI$4:$AI$671,1)-1,5,BE450),3,FALSE),IF(OR(AW450=1,AW450=2),VLOOKUP(AU450,INDEX((係数_乗用_ガソリン,係数_乗用_CNG,係数_乗用_軽油,係数_乗用_メタノール,係数_乗用_LPG),1,1,BE450):INDEX((係数_乗用_ガソリン,係数_乗用_CNG,係数_乗用_軽油,係数_乗用_メタノール,係数_乗用_LPG),125,5,BE450),3,FALSE))))))</f>
        <v/>
      </c>
      <c r="BC450" s="467" t="str">
        <f t="shared" si="268"/>
        <v/>
      </c>
      <c r="BD450" s="567" t="str">
        <f t="shared" si="269"/>
        <v/>
      </c>
      <c r="BE450" s="467" t="str">
        <f t="shared" si="270"/>
        <v/>
      </c>
      <c r="BF450" s="469" t="str">
        <f t="shared" ca="1" si="271"/>
        <v/>
      </c>
      <c r="BG450" s="469" t="str">
        <f t="shared" ca="1" si="272"/>
        <v/>
      </c>
      <c r="BH450" s="467" t="str">
        <f t="shared" si="273"/>
        <v/>
      </c>
      <c r="BI450" s="467" t="str">
        <f t="shared" ca="1" si="274"/>
        <v/>
      </c>
      <c r="BJ450" s="469" t="str">
        <f t="shared" si="275"/>
        <v/>
      </c>
      <c r="BK450" s="470" t="str">
        <f t="shared" si="255"/>
        <v/>
      </c>
      <c r="BL450" s="775" t="str">
        <f t="shared" si="276"/>
        <v/>
      </c>
      <c r="BM450" s="775" t="str">
        <f t="shared" si="277"/>
        <v/>
      </c>
    </row>
    <row r="451" spans="1:65">
      <c r="A451" s="473">
        <v>395</v>
      </c>
      <c r="B451" s="132"/>
      <c r="C451" s="332"/>
      <c r="D451" s="333"/>
      <c r="E451" s="333"/>
      <c r="F451" s="334"/>
      <c r="G451" s="337"/>
      <c r="H451" s="131"/>
      <c r="I451" s="337"/>
      <c r="J451" s="131"/>
      <c r="K451" s="458" t="str">
        <f t="shared" si="244"/>
        <v/>
      </c>
      <c r="L451" s="458">
        <f t="shared" si="256"/>
        <v>0</v>
      </c>
      <c r="M451" s="458">
        <f t="shared" si="257"/>
        <v>0</v>
      </c>
      <c r="N451" s="459" t="str">
        <f t="shared" si="245"/>
        <v/>
      </c>
      <c r="O451" s="459" t="str">
        <f t="shared" si="246"/>
        <v/>
      </c>
      <c r="P451" s="459" t="str">
        <f t="shared" si="247"/>
        <v/>
      </c>
      <c r="Q451" s="459" t="str">
        <f t="shared" si="248"/>
        <v/>
      </c>
      <c r="R451" s="459" t="str">
        <f t="shared" si="249"/>
        <v/>
      </c>
      <c r="S451" s="459" t="str">
        <f t="shared" si="250"/>
        <v/>
      </c>
      <c r="T451" s="566" t="str">
        <f t="shared" si="258"/>
        <v/>
      </c>
      <c r="U451" s="702"/>
      <c r="V451" s="132"/>
      <c r="W451" s="133"/>
      <c r="X451" s="134"/>
      <c r="Y451" s="135"/>
      <c r="Z451" s="137"/>
      <c r="AA451" s="136"/>
      <c r="AB451" s="566" t="str">
        <f t="shared" si="251"/>
        <v/>
      </c>
      <c r="AC451" s="568" t="str">
        <f t="shared" si="259"/>
        <v/>
      </c>
      <c r="AD451" s="137"/>
      <c r="AE451" s="137"/>
      <c r="AF451" s="138"/>
      <c r="AG451" s="138"/>
      <c r="AH451" s="592" t="str">
        <f t="shared" si="252"/>
        <v/>
      </c>
      <c r="AI451" s="592" t="str">
        <f t="shared" si="253"/>
        <v/>
      </c>
      <c r="AJ451" s="592" t="str">
        <f t="shared" si="254"/>
        <v/>
      </c>
      <c r="AK451" s="460" t="str">
        <f>IF(AU451="","",IF(OR(AZ451=8,AZ451=9),0,IF(OR(AW451=3,AW451=4,AW451=5,AW451=6),IF(LEFT(BF451,1)="1",INDEX(係数_NOX・PM低減,MATCH(AY451,【参考】排出係数!$AI$801:$AI$804,1),1),VLOOKUP(AU451,INDEX((係数_バス貨物_ガソリン,係数_バス貨物_CNG,係数_バス貨物_軽油,係数_バス貨物_メタノール,係数_バス貨物_LPG),MATCH(AY451,【参考】排出係数!$AI$4:$AI$671,1),1,BE451):INDEX((係数_バス貨物_ガソリン,係数_バス貨物_CNG,係数_バス貨物_軽油,係数_バス貨物_メタノール,係数_バス貨物_LPG),MATCH(AY451+1,【参考】排出係数!$AI$4:$AI$671,1)-1,5,BE451),4,FALSE)),IF(AND(BE451=3,LEFT(BF451,1)="1"),0.48,VLOOKUP(AU451,INDEX((係数_乗用_ガソリン,係数_乗用_CNG,係数_乗用_軽油,係数_乗用_メタノール,係数_乗用_LPG),1,1,BE451):INDEX((係数_乗用_ガソリン,係数_乗用_CNG,係数_乗用_軽油,係数_乗用_メタノール,係数_乗用_LPG),125,5,BE451),4,FALSE)))))</f>
        <v/>
      </c>
      <c r="AL451" s="461" t="str">
        <f t="shared" si="278"/>
        <v/>
      </c>
      <c r="AM451" s="460" t="str">
        <f>IF(AU451="","",IF(OR(AZ451=8,AZ451=9),0,IF(OR(AW451=3,AW451=4,AW451=5,AW451=6),IF(LEFT(BH451,1)="1",INDEX(係数_PM低減,MATCH(AY451,【参考】排出係数!$AI$801:$AI$804,1),MATCH(BI451,【参考】排出係数!$AL$798:$AO$798,1)),VLOOKUP(AU451,INDEX((係数_バス貨物_ガソリン,係数_バス貨物_CNG,係数_バス貨物_軽油,係数_バス貨物_メタノール,係数_バス貨物_LPG),MATCH(AY451,【参考】排出係数!$AI$4:$AI$671,1),1,BE451):INDEX((係数_バス貨物_ガソリン,係数_バス貨物_CNG,係数_バス貨物_軽油,係数_バス貨物_メタノール,係数_バス貨物_LPG),MATCH(AY451+1,【参考】排出係数!$AI$4:$AI$671,1)-1,5,BE451),5,FALSE)),IF(AND(BE451=3,LEFT(BF451,1)="1"),0.055,VLOOKUP(AU451,INDEX((係数_乗用_ガソリン,係数_乗用_CNG,係数_乗用_軽油,係数_乗用_メタノール,係数_乗用_LPG),1,1,BE451):INDEX((係数_乗用_ガソリン,係数_乗用_CNG,係数_乗用_軽油,係数_乗用_メタノール,係数_乗用_LPG),125,5,BE451),5,FALSE)))))</f>
        <v/>
      </c>
      <c r="AN451" s="461" t="str">
        <f t="shared" si="279"/>
        <v/>
      </c>
      <c r="AO451" s="462" t="str">
        <f t="shared" si="280"/>
        <v/>
      </c>
      <c r="AP451" s="463" t="str">
        <f t="shared" si="281"/>
        <v/>
      </c>
      <c r="AQ451" s="464"/>
      <c r="AR451" s="619"/>
      <c r="AS451" s="465" t="str">
        <f t="shared" si="260"/>
        <v/>
      </c>
      <c r="AT451" s="465" t="str">
        <f t="shared" si="261"/>
        <v/>
      </c>
      <c r="AU451" s="466" t="str">
        <f t="shared" si="262"/>
        <v/>
      </c>
      <c r="AV451" s="467" t="str">
        <f t="shared" si="263"/>
        <v/>
      </c>
      <c r="AW451" s="467" t="str">
        <f t="shared" si="264"/>
        <v/>
      </c>
      <c r="AX451" s="467" t="str">
        <f t="shared" si="265"/>
        <v/>
      </c>
      <c r="AY451" s="467" t="str">
        <f t="shared" si="266"/>
        <v/>
      </c>
      <c r="AZ451" s="467" t="str">
        <f t="shared" si="267"/>
        <v/>
      </c>
      <c r="BA451" s="468" t="str">
        <f>IF(AS451="","",IF(OR(AU451="",AU451="-"),"－",IF(OR(AZ451=8,AZ451=9),"",IF(OR(AW451=3,AW451=4,AW451=5,AW451=6),VLOOKUP(AU451,INDEX((係数_バス貨物_ガソリン,係数_バス貨物_CNG,係数_バス貨物_軽油,係数_バス貨物_メタノール,係数_バス貨物_LPG),MATCH(AY451,【参考】排出係数!$AI$4:$AI$671,1),1,BE451):INDEX((係数_バス貨物_ガソリン,係数_バス貨物_CNG,係数_バス貨物_軽油,係数_バス貨物_メタノール,係数_バス貨物_LPG),MATCH(AY451+1,【参考】排出係数!$AI$4:$AI$671,1)-1,5,BE451),2,FALSE),IF(OR(AW451=1,AW451=2),VLOOKUP(AU451,INDEX((係数_乗用_ガソリン,係数_乗用_CNG,係数_乗用_軽油,係数_乗用_メタノール,係数_乗用_LPG),1,1,BE451):INDEX((係数_乗用_ガソリン,係数_乗用_CNG,係数_乗用_軽油,係数_乗用_メタノール,係数_乗用_LPG),125,5,BE451),2,FALSE))))))</f>
        <v/>
      </c>
      <c r="BB451" s="468" t="str">
        <f>IF(T451="","",IF(OR(AU451="",AU451="-"),"－",IF(OR(AZ451=8,AZ451=9),"",IF(OR(AW451=3,AW451=4,AW451=5,AW451=6),VLOOKUP(AU451,INDEX((係数_バス貨物_ガソリン,係数_バス貨物_CNG,係数_バス貨物_軽油,係数_バス貨物_メタノール,係数_バス貨物_LPG),MATCH(AY451,【参考】排出係数!$AI$4:$AI$671,1),1,BE451):INDEX((係数_バス貨物_ガソリン,係数_バス貨物_CNG,係数_バス貨物_軽油,係数_バス貨物_メタノール,係数_バス貨物_LPG),MATCH(AY451+1,【参考】排出係数!$AI$4:$AI$671,1)-1,5,BE451),3,FALSE),IF(OR(AW451=1,AW451=2),VLOOKUP(AU451,INDEX((係数_乗用_ガソリン,係数_乗用_CNG,係数_乗用_軽油,係数_乗用_メタノール,係数_乗用_LPG),1,1,BE451):INDEX((係数_乗用_ガソリン,係数_乗用_CNG,係数_乗用_軽油,係数_乗用_メタノール,係数_乗用_LPG),125,5,BE451),3,FALSE))))))</f>
        <v/>
      </c>
      <c r="BC451" s="467" t="str">
        <f t="shared" si="268"/>
        <v/>
      </c>
      <c r="BD451" s="567" t="str">
        <f t="shared" si="269"/>
        <v/>
      </c>
      <c r="BE451" s="467" t="str">
        <f t="shared" si="270"/>
        <v/>
      </c>
      <c r="BF451" s="469" t="str">
        <f t="shared" ca="1" si="271"/>
        <v/>
      </c>
      <c r="BG451" s="469" t="str">
        <f t="shared" ca="1" si="272"/>
        <v/>
      </c>
      <c r="BH451" s="467" t="str">
        <f t="shared" si="273"/>
        <v/>
      </c>
      <c r="BI451" s="467" t="str">
        <f t="shared" ca="1" si="274"/>
        <v/>
      </c>
      <c r="BJ451" s="469" t="str">
        <f t="shared" si="275"/>
        <v/>
      </c>
      <c r="BK451" s="470" t="str">
        <f t="shared" si="255"/>
        <v/>
      </c>
      <c r="BL451" s="775" t="str">
        <f t="shared" si="276"/>
        <v/>
      </c>
      <c r="BM451" s="775" t="str">
        <f t="shared" si="277"/>
        <v/>
      </c>
    </row>
    <row r="452" spans="1:65">
      <c r="A452" s="473">
        <v>396</v>
      </c>
      <c r="B452" s="132"/>
      <c r="C452" s="332"/>
      <c r="D452" s="333"/>
      <c r="E452" s="333"/>
      <c r="F452" s="334"/>
      <c r="G452" s="337"/>
      <c r="H452" s="131"/>
      <c r="I452" s="337"/>
      <c r="J452" s="131"/>
      <c r="K452" s="458" t="str">
        <f t="shared" si="244"/>
        <v/>
      </c>
      <c r="L452" s="458">
        <f t="shared" si="256"/>
        <v>0</v>
      </c>
      <c r="M452" s="458">
        <f t="shared" si="257"/>
        <v>0</v>
      </c>
      <c r="N452" s="459" t="str">
        <f t="shared" si="245"/>
        <v/>
      </c>
      <c r="O452" s="459" t="str">
        <f t="shared" si="246"/>
        <v/>
      </c>
      <c r="P452" s="459" t="str">
        <f t="shared" si="247"/>
        <v/>
      </c>
      <c r="Q452" s="459" t="str">
        <f t="shared" si="248"/>
        <v/>
      </c>
      <c r="R452" s="459" t="str">
        <f t="shared" si="249"/>
        <v/>
      </c>
      <c r="S452" s="459" t="str">
        <f t="shared" si="250"/>
        <v/>
      </c>
      <c r="T452" s="566" t="str">
        <f t="shared" si="258"/>
        <v/>
      </c>
      <c r="U452" s="702"/>
      <c r="V452" s="132"/>
      <c r="W452" s="133"/>
      <c r="X452" s="134"/>
      <c r="Y452" s="135"/>
      <c r="Z452" s="137"/>
      <c r="AA452" s="136"/>
      <c r="AB452" s="566" t="str">
        <f t="shared" si="251"/>
        <v/>
      </c>
      <c r="AC452" s="568" t="str">
        <f t="shared" si="259"/>
        <v/>
      </c>
      <c r="AD452" s="137"/>
      <c r="AE452" s="137"/>
      <c r="AF452" s="138"/>
      <c r="AG452" s="138"/>
      <c r="AH452" s="592" t="str">
        <f t="shared" si="252"/>
        <v/>
      </c>
      <c r="AI452" s="592" t="str">
        <f t="shared" si="253"/>
        <v/>
      </c>
      <c r="AJ452" s="592" t="str">
        <f t="shared" si="254"/>
        <v/>
      </c>
      <c r="AK452" s="460" t="str">
        <f>IF(AU452="","",IF(OR(AZ452=8,AZ452=9),0,IF(OR(AW452=3,AW452=4,AW452=5,AW452=6),IF(LEFT(BF452,1)="1",INDEX(係数_NOX・PM低減,MATCH(AY452,【参考】排出係数!$AI$801:$AI$804,1),1),VLOOKUP(AU452,INDEX((係数_バス貨物_ガソリン,係数_バス貨物_CNG,係数_バス貨物_軽油,係数_バス貨物_メタノール,係数_バス貨物_LPG),MATCH(AY452,【参考】排出係数!$AI$4:$AI$671,1),1,BE452):INDEX((係数_バス貨物_ガソリン,係数_バス貨物_CNG,係数_バス貨物_軽油,係数_バス貨物_メタノール,係数_バス貨物_LPG),MATCH(AY452+1,【参考】排出係数!$AI$4:$AI$671,1)-1,5,BE452),4,FALSE)),IF(AND(BE452=3,LEFT(BF452,1)="1"),0.48,VLOOKUP(AU452,INDEX((係数_乗用_ガソリン,係数_乗用_CNG,係数_乗用_軽油,係数_乗用_メタノール,係数_乗用_LPG),1,1,BE452):INDEX((係数_乗用_ガソリン,係数_乗用_CNG,係数_乗用_軽油,係数_乗用_メタノール,係数_乗用_LPG),125,5,BE452),4,FALSE)))))</f>
        <v/>
      </c>
      <c r="AL452" s="461" t="str">
        <f t="shared" si="278"/>
        <v/>
      </c>
      <c r="AM452" s="460" t="str">
        <f>IF(AU452="","",IF(OR(AZ452=8,AZ452=9),0,IF(OR(AW452=3,AW452=4,AW452=5,AW452=6),IF(LEFT(BH452,1)="1",INDEX(係数_PM低減,MATCH(AY452,【参考】排出係数!$AI$801:$AI$804,1),MATCH(BI452,【参考】排出係数!$AL$798:$AO$798,1)),VLOOKUP(AU452,INDEX((係数_バス貨物_ガソリン,係数_バス貨物_CNG,係数_バス貨物_軽油,係数_バス貨物_メタノール,係数_バス貨物_LPG),MATCH(AY452,【参考】排出係数!$AI$4:$AI$671,1),1,BE452):INDEX((係数_バス貨物_ガソリン,係数_バス貨物_CNG,係数_バス貨物_軽油,係数_バス貨物_メタノール,係数_バス貨物_LPG),MATCH(AY452+1,【参考】排出係数!$AI$4:$AI$671,1)-1,5,BE452),5,FALSE)),IF(AND(BE452=3,LEFT(BF452,1)="1"),0.055,VLOOKUP(AU452,INDEX((係数_乗用_ガソリン,係数_乗用_CNG,係数_乗用_軽油,係数_乗用_メタノール,係数_乗用_LPG),1,1,BE452):INDEX((係数_乗用_ガソリン,係数_乗用_CNG,係数_乗用_軽油,係数_乗用_メタノール,係数_乗用_LPG),125,5,BE452),5,FALSE)))))</f>
        <v/>
      </c>
      <c r="AN452" s="461" t="str">
        <f t="shared" si="279"/>
        <v/>
      </c>
      <c r="AO452" s="462" t="str">
        <f t="shared" si="280"/>
        <v/>
      </c>
      <c r="AP452" s="463" t="str">
        <f t="shared" si="281"/>
        <v/>
      </c>
      <c r="AQ452" s="464"/>
      <c r="AR452" s="619"/>
      <c r="AS452" s="465" t="str">
        <f t="shared" si="260"/>
        <v/>
      </c>
      <c r="AT452" s="465" t="str">
        <f t="shared" si="261"/>
        <v/>
      </c>
      <c r="AU452" s="466" t="str">
        <f t="shared" si="262"/>
        <v/>
      </c>
      <c r="AV452" s="467" t="str">
        <f t="shared" si="263"/>
        <v/>
      </c>
      <c r="AW452" s="467" t="str">
        <f t="shared" si="264"/>
        <v/>
      </c>
      <c r="AX452" s="467" t="str">
        <f t="shared" si="265"/>
        <v/>
      </c>
      <c r="AY452" s="467" t="str">
        <f t="shared" si="266"/>
        <v/>
      </c>
      <c r="AZ452" s="467" t="str">
        <f t="shared" si="267"/>
        <v/>
      </c>
      <c r="BA452" s="468" t="str">
        <f>IF(AS452="","",IF(OR(AU452="",AU452="-"),"－",IF(OR(AZ452=8,AZ452=9),"",IF(OR(AW452=3,AW452=4,AW452=5,AW452=6),VLOOKUP(AU452,INDEX((係数_バス貨物_ガソリン,係数_バス貨物_CNG,係数_バス貨物_軽油,係数_バス貨物_メタノール,係数_バス貨物_LPG),MATCH(AY452,【参考】排出係数!$AI$4:$AI$671,1),1,BE452):INDEX((係数_バス貨物_ガソリン,係数_バス貨物_CNG,係数_バス貨物_軽油,係数_バス貨物_メタノール,係数_バス貨物_LPG),MATCH(AY452+1,【参考】排出係数!$AI$4:$AI$671,1)-1,5,BE452),2,FALSE),IF(OR(AW452=1,AW452=2),VLOOKUP(AU452,INDEX((係数_乗用_ガソリン,係数_乗用_CNG,係数_乗用_軽油,係数_乗用_メタノール,係数_乗用_LPG),1,1,BE452):INDEX((係数_乗用_ガソリン,係数_乗用_CNG,係数_乗用_軽油,係数_乗用_メタノール,係数_乗用_LPG),125,5,BE452),2,FALSE))))))</f>
        <v/>
      </c>
      <c r="BB452" s="468" t="str">
        <f>IF(T452="","",IF(OR(AU452="",AU452="-"),"－",IF(OR(AZ452=8,AZ452=9),"",IF(OR(AW452=3,AW452=4,AW452=5,AW452=6),VLOOKUP(AU452,INDEX((係数_バス貨物_ガソリン,係数_バス貨物_CNG,係数_バス貨物_軽油,係数_バス貨物_メタノール,係数_バス貨物_LPG),MATCH(AY452,【参考】排出係数!$AI$4:$AI$671,1),1,BE452):INDEX((係数_バス貨物_ガソリン,係数_バス貨物_CNG,係数_バス貨物_軽油,係数_バス貨物_メタノール,係数_バス貨物_LPG),MATCH(AY452+1,【参考】排出係数!$AI$4:$AI$671,1)-1,5,BE452),3,FALSE),IF(OR(AW452=1,AW452=2),VLOOKUP(AU452,INDEX((係数_乗用_ガソリン,係数_乗用_CNG,係数_乗用_軽油,係数_乗用_メタノール,係数_乗用_LPG),1,1,BE452):INDEX((係数_乗用_ガソリン,係数_乗用_CNG,係数_乗用_軽油,係数_乗用_メタノール,係数_乗用_LPG),125,5,BE452),3,FALSE))))))</f>
        <v/>
      </c>
      <c r="BC452" s="467" t="str">
        <f t="shared" si="268"/>
        <v/>
      </c>
      <c r="BD452" s="567" t="str">
        <f t="shared" si="269"/>
        <v/>
      </c>
      <c r="BE452" s="467" t="str">
        <f t="shared" si="270"/>
        <v/>
      </c>
      <c r="BF452" s="469" t="str">
        <f t="shared" ca="1" si="271"/>
        <v/>
      </c>
      <c r="BG452" s="469" t="str">
        <f t="shared" ca="1" si="272"/>
        <v/>
      </c>
      <c r="BH452" s="467" t="str">
        <f t="shared" si="273"/>
        <v/>
      </c>
      <c r="BI452" s="467" t="str">
        <f t="shared" ca="1" si="274"/>
        <v/>
      </c>
      <c r="BJ452" s="469" t="str">
        <f t="shared" si="275"/>
        <v/>
      </c>
      <c r="BK452" s="470" t="str">
        <f t="shared" si="255"/>
        <v/>
      </c>
      <c r="BL452" s="775" t="str">
        <f t="shared" si="276"/>
        <v/>
      </c>
      <c r="BM452" s="775" t="str">
        <f t="shared" si="277"/>
        <v/>
      </c>
    </row>
    <row r="453" spans="1:65">
      <c r="A453" s="473">
        <v>397</v>
      </c>
      <c r="B453" s="132"/>
      <c r="C453" s="332"/>
      <c r="D453" s="333"/>
      <c r="E453" s="333"/>
      <c r="F453" s="334"/>
      <c r="G453" s="337"/>
      <c r="H453" s="131"/>
      <c r="I453" s="337"/>
      <c r="J453" s="131"/>
      <c r="K453" s="458" t="str">
        <f t="shared" si="244"/>
        <v/>
      </c>
      <c r="L453" s="458">
        <f t="shared" si="256"/>
        <v>0</v>
      </c>
      <c r="M453" s="458">
        <f t="shared" si="257"/>
        <v>0</v>
      </c>
      <c r="N453" s="459" t="str">
        <f t="shared" si="245"/>
        <v/>
      </c>
      <c r="O453" s="459" t="str">
        <f t="shared" si="246"/>
        <v/>
      </c>
      <c r="P453" s="459" t="str">
        <f t="shared" si="247"/>
        <v/>
      </c>
      <c r="Q453" s="459" t="str">
        <f t="shared" si="248"/>
        <v/>
      </c>
      <c r="R453" s="459" t="str">
        <f t="shared" si="249"/>
        <v/>
      </c>
      <c r="S453" s="459" t="str">
        <f t="shared" si="250"/>
        <v/>
      </c>
      <c r="T453" s="566" t="str">
        <f t="shared" si="258"/>
        <v/>
      </c>
      <c r="U453" s="702"/>
      <c r="V453" s="132"/>
      <c r="W453" s="133"/>
      <c r="X453" s="134"/>
      <c r="Y453" s="135"/>
      <c r="Z453" s="137"/>
      <c r="AA453" s="136"/>
      <c r="AB453" s="566" t="str">
        <f t="shared" si="251"/>
        <v/>
      </c>
      <c r="AC453" s="568" t="str">
        <f t="shared" si="259"/>
        <v/>
      </c>
      <c r="AD453" s="137"/>
      <c r="AE453" s="137"/>
      <c r="AF453" s="138"/>
      <c r="AG453" s="138"/>
      <c r="AH453" s="592" t="str">
        <f t="shared" si="252"/>
        <v/>
      </c>
      <c r="AI453" s="592" t="str">
        <f t="shared" si="253"/>
        <v/>
      </c>
      <c r="AJ453" s="592" t="str">
        <f t="shared" si="254"/>
        <v/>
      </c>
      <c r="AK453" s="460" t="str">
        <f>IF(AU453="","",IF(OR(AZ453=8,AZ453=9),0,IF(OR(AW453=3,AW453=4,AW453=5,AW453=6),IF(LEFT(BF453,1)="1",INDEX(係数_NOX・PM低減,MATCH(AY453,【参考】排出係数!$AI$801:$AI$804,1),1),VLOOKUP(AU453,INDEX((係数_バス貨物_ガソリン,係数_バス貨物_CNG,係数_バス貨物_軽油,係数_バス貨物_メタノール,係数_バス貨物_LPG),MATCH(AY453,【参考】排出係数!$AI$4:$AI$671,1),1,BE453):INDEX((係数_バス貨物_ガソリン,係数_バス貨物_CNG,係数_バス貨物_軽油,係数_バス貨物_メタノール,係数_バス貨物_LPG),MATCH(AY453+1,【参考】排出係数!$AI$4:$AI$671,1)-1,5,BE453),4,FALSE)),IF(AND(BE453=3,LEFT(BF453,1)="1"),0.48,VLOOKUP(AU453,INDEX((係数_乗用_ガソリン,係数_乗用_CNG,係数_乗用_軽油,係数_乗用_メタノール,係数_乗用_LPG),1,1,BE453):INDEX((係数_乗用_ガソリン,係数_乗用_CNG,係数_乗用_軽油,係数_乗用_メタノール,係数_乗用_LPG),125,5,BE453),4,FALSE)))))</f>
        <v/>
      </c>
      <c r="AL453" s="461" t="str">
        <f t="shared" si="278"/>
        <v/>
      </c>
      <c r="AM453" s="460" t="str">
        <f>IF(AU453="","",IF(OR(AZ453=8,AZ453=9),0,IF(OR(AW453=3,AW453=4,AW453=5,AW453=6),IF(LEFT(BH453,1)="1",INDEX(係数_PM低減,MATCH(AY453,【参考】排出係数!$AI$801:$AI$804,1),MATCH(BI453,【参考】排出係数!$AL$798:$AO$798,1)),VLOOKUP(AU453,INDEX((係数_バス貨物_ガソリン,係数_バス貨物_CNG,係数_バス貨物_軽油,係数_バス貨物_メタノール,係数_バス貨物_LPG),MATCH(AY453,【参考】排出係数!$AI$4:$AI$671,1),1,BE453):INDEX((係数_バス貨物_ガソリン,係数_バス貨物_CNG,係数_バス貨物_軽油,係数_バス貨物_メタノール,係数_バス貨物_LPG),MATCH(AY453+1,【参考】排出係数!$AI$4:$AI$671,1)-1,5,BE453),5,FALSE)),IF(AND(BE453=3,LEFT(BF453,1)="1"),0.055,VLOOKUP(AU453,INDEX((係数_乗用_ガソリン,係数_乗用_CNG,係数_乗用_軽油,係数_乗用_メタノール,係数_乗用_LPG),1,1,BE453):INDEX((係数_乗用_ガソリン,係数_乗用_CNG,係数_乗用_軽油,係数_乗用_メタノール,係数_乗用_LPG),125,5,BE453),5,FALSE)))))</f>
        <v/>
      </c>
      <c r="AN453" s="461" t="str">
        <f t="shared" si="279"/>
        <v/>
      </c>
      <c r="AO453" s="462" t="str">
        <f t="shared" si="280"/>
        <v/>
      </c>
      <c r="AP453" s="463" t="str">
        <f t="shared" si="281"/>
        <v/>
      </c>
      <c r="AQ453" s="464"/>
      <c r="AR453" s="619"/>
      <c r="AS453" s="465" t="str">
        <f t="shared" si="260"/>
        <v/>
      </c>
      <c r="AT453" s="465" t="str">
        <f t="shared" si="261"/>
        <v/>
      </c>
      <c r="AU453" s="466" t="str">
        <f t="shared" si="262"/>
        <v/>
      </c>
      <c r="AV453" s="467" t="str">
        <f t="shared" si="263"/>
        <v/>
      </c>
      <c r="AW453" s="467" t="str">
        <f t="shared" si="264"/>
        <v/>
      </c>
      <c r="AX453" s="467" t="str">
        <f t="shared" si="265"/>
        <v/>
      </c>
      <c r="AY453" s="467" t="str">
        <f t="shared" si="266"/>
        <v/>
      </c>
      <c r="AZ453" s="467" t="str">
        <f t="shared" si="267"/>
        <v/>
      </c>
      <c r="BA453" s="468" t="str">
        <f>IF(AS453="","",IF(OR(AU453="",AU453="-"),"－",IF(OR(AZ453=8,AZ453=9),"",IF(OR(AW453=3,AW453=4,AW453=5,AW453=6),VLOOKUP(AU453,INDEX((係数_バス貨物_ガソリン,係数_バス貨物_CNG,係数_バス貨物_軽油,係数_バス貨物_メタノール,係数_バス貨物_LPG),MATCH(AY453,【参考】排出係数!$AI$4:$AI$671,1),1,BE453):INDEX((係数_バス貨物_ガソリン,係数_バス貨物_CNG,係数_バス貨物_軽油,係数_バス貨物_メタノール,係数_バス貨物_LPG),MATCH(AY453+1,【参考】排出係数!$AI$4:$AI$671,1)-1,5,BE453),2,FALSE),IF(OR(AW453=1,AW453=2),VLOOKUP(AU453,INDEX((係数_乗用_ガソリン,係数_乗用_CNG,係数_乗用_軽油,係数_乗用_メタノール,係数_乗用_LPG),1,1,BE453):INDEX((係数_乗用_ガソリン,係数_乗用_CNG,係数_乗用_軽油,係数_乗用_メタノール,係数_乗用_LPG),125,5,BE453),2,FALSE))))))</f>
        <v/>
      </c>
      <c r="BB453" s="468" t="str">
        <f>IF(T453="","",IF(OR(AU453="",AU453="-"),"－",IF(OR(AZ453=8,AZ453=9),"",IF(OR(AW453=3,AW453=4,AW453=5,AW453=6),VLOOKUP(AU453,INDEX((係数_バス貨物_ガソリン,係数_バス貨物_CNG,係数_バス貨物_軽油,係数_バス貨物_メタノール,係数_バス貨物_LPG),MATCH(AY453,【参考】排出係数!$AI$4:$AI$671,1),1,BE453):INDEX((係数_バス貨物_ガソリン,係数_バス貨物_CNG,係数_バス貨物_軽油,係数_バス貨物_メタノール,係数_バス貨物_LPG),MATCH(AY453+1,【参考】排出係数!$AI$4:$AI$671,1)-1,5,BE453),3,FALSE),IF(OR(AW453=1,AW453=2),VLOOKUP(AU453,INDEX((係数_乗用_ガソリン,係数_乗用_CNG,係数_乗用_軽油,係数_乗用_メタノール,係数_乗用_LPG),1,1,BE453):INDEX((係数_乗用_ガソリン,係数_乗用_CNG,係数_乗用_軽油,係数_乗用_メタノール,係数_乗用_LPG),125,5,BE453),3,FALSE))))))</f>
        <v/>
      </c>
      <c r="BC453" s="467" t="str">
        <f t="shared" si="268"/>
        <v/>
      </c>
      <c r="BD453" s="567" t="str">
        <f t="shared" si="269"/>
        <v/>
      </c>
      <c r="BE453" s="467" t="str">
        <f t="shared" si="270"/>
        <v/>
      </c>
      <c r="BF453" s="469" t="str">
        <f t="shared" ca="1" si="271"/>
        <v/>
      </c>
      <c r="BG453" s="469" t="str">
        <f t="shared" ca="1" si="272"/>
        <v/>
      </c>
      <c r="BH453" s="467" t="str">
        <f t="shared" si="273"/>
        <v/>
      </c>
      <c r="BI453" s="467" t="str">
        <f t="shared" ca="1" si="274"/>
        <v/>
      </c>
      <c r="BJ453" s="469" t="str">
        <f t="shared" si="275"/>
        <v/>
      </c>
      <c r="BK453" s="470" t="str">
        <f t="shared" si="255"/>
        <v/>
      </c>
      <c r="BL453" s="775" t="str">
        <f t="shared" si="276"/>
        <v/>
      </c>
      <c r="BM453" s="775" t="str">
        <f t="shared" si="277"/>
        <v/>
      </c>
    </row>
    <row r="454" spans="1:65">
      <c r="A454" s="473">
        <v>398</v>
      </c>
      <c r="B454" s="132"/>
      <c r="C454" s="332"/>
      <c r="D454" s="333"/>
      <c r="E454" s="333"/>
      <c r="F454" s="334"/>
      <c r="G454" s="337"/>
      <c r="H454" s="131"/>
      <c r="I454" s="337"/>
      <c r="J454" s="131"/>
      <c r="K454" s="458" t="str">
        <f t="shared" si="244"/>
        <v/>
      </c>
      <c r="L454" s="458">
        <f t="shared" si="256"/>
        <v>0</v>
      </c>
      <c r="M454" s="458">
        <f t="shared" si="257"/>
        <v>0</v>
      </c>
      <c r="N454" s="459" t="str">
        <f t="shared" si="245"/>
        <v/>
      </c>
      <c r="O454" s="459" t="str">
        <f t="shared" si="246"/>
        <v/>
      </c>
      <c r="P454" s="459" t="str">
        <f t="shared" si="247"/>
        <v/>
      </c>
      <c r="Q454" s="459" t="str">
        <f t="shared" si="248"/>
        <v/>
      </c>
      <c r="R454" s="459" t="str">
        <f t="shared" si="249"/>
        <v/>
      </c>
      <c r="S454" s="459" t="str">
        <f t="shared" si="250"/>
        <v/>
      </c>
      <c r="T454" s="566" t="str">
        <f t="shared" si="258"/>
        <v/>
      </c>
      <c r="U454" s="702"/>
      <c r="V454" s="132"/>
      <c r="W454" s="133"/>
      <c r="X454" s="134"/>
      <c r="Y454" s="135"/>
      <c r="Z454" s="137"/>
      <c r="AA454" s="136"/>
      <c r="AB454" s="566" t="str">
        <f t="shared" si="251"/>
        <v/>
      </c>
      <c r="AC454" s="568" t="str">
        <f t="shared" si="259"/>
        <v/>
      </c>
      <c r="AD454" s="137"/>
      <c r="AE454" s="137"/>
      <c r="AF454" s="138"/>
      <c r="AG454" s="138"/>
      <c r="AH454" s="592" t="str">
        <f t="shared" si="252"/>
        <v/>
      </c>
      <c r="AI454" s="592" t="str">
        <f t="shared" si="253"/>
        <v/>
      </c>
      <c r="AJ454" s="592" t="str">
        <f t="shared" si="254"/>
        <v/>
      </c>
      <c r="AK454" s="460" t="str">
        <f>IF(AU454="","",IF(OR(AZ454=8,AZ454=9),0,IF(OR(AW454=3,AW454=4,AW454=5,AW454=6),IF(LEFT(BF454,1)="1",INDEX(係数_NOX・PM低減,MATCH(AY454,【参考】排出係数!$AI$801:$AI$804,1),1),VLOOKUP(AU454,INDEX((係数_バス貨物_ガソリン,係数_バス貨物_CNG,係数_バス貨物_軽油,係数_バス貨物_メタノール,係数_バス貨物_LPG),MATCH(AY454,【参考】排出係数!$AI$4:$AI$671,1),1,BE454):INDEX((係数_バス貨物_ガソリン,係数_バス貨物_CNG,係数_バス貨物_軽油,係数_バス貨物_メタノール,係数_バス貨物_LPG),MATCH(AY454+1,【参考】排出係数!$AI$4:$AI$671,1)-1,5,BE454),4,FALSE)),IF(AND(BE454=3,LEFT(BF454,1)="1"),0.48,VLOOKUP(AU454,INDEX((係数_乗用_ガソリン,係数_乗用_CNG,係数_乗用_軽油,係数_乗用_メタノール,係数_乗用_LPG),1,1,BE454):INDEX((係数_乗用_ガソリン,係数_乗用_CNG,係数_乗用_軽油,係数_乗用_メタノール,係数_乗用_LPG),125,5,BE454),4,FALSE)))))</f>
        <v/>
      </c>
      <c r="AL454" s="461" t="str">
        <f t="shared" si="278"/>
        <v/>
      </c>
      <c r="AM454" s="460" t="str">
        <f>IF(AU454="","",IF(OR(AZ454=8,AZ454=9),0,IF(OR(AW454=3,AW454=4,AW454=5,AW454=6),IF(LEFT(BH454,1)="1",INDEX(係数_PM低減,MATCH(AY454,【参考】排出係数!$AI$801:$AI$804,1),MATCH(BI454,【参考】排出係数!$AL$798:$AO$798,1)),VLOOKUP(AU454,INDEX((係数_バス貨物_ガソリン,係数_バス貨物_CNG,係数_バス貨物_軽油,係数_バス貨物_メタノール,係数_バス貨物_LPG),MATCH(AY454,【参考】排出係数!$AI$4:$AI$671,1),1,BE454):INDEX((係数_バス貨物_ガソリン,係数_バス貨物_CNG,係数_バス貨物_軽油,係数_バス貨物_メタノール,係数_バス貨物_LPG),MATCH(AY454+1,【参考】排出係数!$AI$4:$AI$671,1)-1,5,BE454),5,FALSE)),IF(AND(BE454=3,LEFT(BF454,1)="1"),0.055,VLOOKUP(AU454,INDEX((係数_乗用_ガソリン,係数_乗用_CNG,係数_乗用_軽油,係数_乗用_メタノール,係数_乗用_LPG),1,1,BE454):INDEX((係数_乗用_ガソリン,係数_乗用_CNG,係数_乗用_軽油,係数_乗用_メタノール,係数_乗用_LPG),125,5,BE454),5,FALSE)))))</f>
        <v/>
      </c>
      <c r="AN454" s="461" t="str">
        <f t="shared" si="279"/>
        <v/>
      </c>
      <c r="AO454" s="462" t="str">
        <f t="shared" si="280"/>
        <v/>
      </c>
      <c r="AP454" s="463" t="str">
        <f t="shared" si="281"/>
        <v/>
      </c>
      <c r="AQ454" s="464"/>
      <c r="AR454" s="619"/>
      <c r="AS454" s="465" t="str">
        <f t="shared" si="260"/>
        <v/>
      </c>
      <c r="AT454" s="465" t="str">
        <f t="shared" si="261"/>
        <v/>
      </c>
      <c r="AU454" s="466" t="str">
        <f t="shared" si="262"/>
        <v/>
      </c>
      <c r="AV454" s="467" t="str">
        <f t="shared" si="263"/>
        <v/>
      </c>
      <c r="AW454" s="467" t="str">
        <f t="shared" si="264"/>
        <v/>
      </c>
      <c r="AX454" s="467" t="str">
        <f t="shared" si="265"/>
        <v/>
      </c>
      <c r="AY454" s="467" t="str">
        <f t="shared" si="266"/>
        <v/>
      </c>
      <c r="AZ454" s="467" t="str">
        <f t="shared" si="267"/>
        <v/>
      </c>
      <c r="BA454" s="468" t="str">
        <f>IF(AS454="","",IF(OR(AU454="",AU454="-"),"－",IF(OR(AZ454=8,AZ454=9),"",IF(OR(AW454=3,AW454=4,AW454=5,AW454=6),VLOOKUP(AU454,INDEX((係数_バス貨物_ガソリン,係数_バス貨物_CNG,係数_バス貨物_軽油,係数_バス貨物_メタノール,係数_バス貨物_LPG),MATCH(AY454,【参考】排出係数!$AI$4:$AI$671,1),1,BE454):INDEX((係数_バス貨物_ガソリン,係数_バス貨物_CNG,係数_バス貨物_軽油,係数_バス貨物_メタノール,係数_バス貨物_LPG),MATCH(AY454+1,【参考】排出係数!$AI$4:$AI$671,1)-1,5,BE454),2,FALSE),IF(OR(AW454=1,AW454=2),VLOOKUP(AU454,INDEX((係数_乗用_ガソリン,係数_乗用_CNG,係数_乗用_軽油,係数_乗用_メタノール,係数_乗用_LPG),1,1,BE454):INDEX((係数_乗用_ガソリン,係数_乗用_CNG,係数_乗用_軽油,係数_乗用_メタノール,係数_乗用_LPG),125,5,BE454),2,FALSE))))))</f>
        <v/>
      </c>
      <c r="BB454" s="468" t="str">
        <f>IF(T454="","",IF(OR(AU454="",AU454="-"),"－",IF(OR(AZ454=8,AZ454=9),"",IF(OR(AW454=3,AW454=4,AW454=5,AW454=6),VLOOKUP(AU454,INDEX((係数_バス貨物_ガソリン,係数_バス貨物_CNG,係数_バス貨物_軽油,係数_バス貨物_メタノール,係数_バス貨物_LPG),MATCH(AY454,【参考】排出係数!$AI$4:$AI$671,1),1,BE454):INDEX((係数_バス貨物_ガソリン,係数_バス貨物_CNG,係数_バス貨物_軽油,係数_バス貨物_メタノール,係数_バス貨物_LPG),MATCH(AY454+1,【参考】排出係数!$AI$4:$AI$671,1)-1,5,BE454),3,FALSE),IF(OR(AW454=1,AW454=2),VLOOKUP(AU454,INDEX((係数_乗用_ガソリン,係数_乗用_CNG,係数_乗用_軽油,係数_乗用_メタノール,係数_乗用_LPG),1,1,BE454):INDEX((係数_乗用_ガソリン,係数_乗用_CNG,係数_乗用_軽油,係数_乗用_メタノール,係数_乗用_LPG),125,5,BE454),3,FALSE))))))</f>
        <v/>
      </c>
      <c r="BC454" s="467" t="str">
        <f t="shared" si="268"/>
        <v/>
      </c>
      <c r="BD454" s="567" t="str">
        <f t="shared" si="269"/>
        <v/>
      </c>
      <c r="BE454" s="467" t="str">
        <f t="shared" si="270"/>
        <v/>
      </c>
      <c r="BF454" s="469" t="str">
        <f t="shared" ca="1" si="271"/>
        <v/>
      </c>
      <c r="BG454" s="469" t="str">
        <f t="shared" ca="1" si="272"/>
        <v/>
      </c>
      <c r="BH454" s="467" t="str">
        <f t="shared" si="273"/>
        <v/>
      </c>
      <c r="BI454" s="467" t="str">
        <f t="shared" ca="1" si="274"/>
        <v/>
      </c>
      <c r="BJ454" s="469" t="str">
        <f t="shared" si="275"/>
        <v/>
      </c>
      <c r="BK454" s="470" t="str">
        <f t="shared" si="255"/>
        <v/>
      </c>
      <c r="BL454" s="775" t="str">
        <f t="shared" si="276"/>
        <v/>
      </c>
      <c r="BM454" s="775" t="str">
        <f t="shared" si="277"/>
        <v/>
      </c>
    </row>
    <row r="455" spans="1:65">
      <c r="A455" s="473">
        <v>399</v>
      </c>
      <c r="B455" s="132"/>
      <c r="C455" s="332"/>
      <c r="D455" s="333"/>
      <c r="E455" s="333"/>
      <c r="F455" s="334"/>
      <c r="G455" s="337"/>
      <c r="H455" s="131"/>
      <c r="I455" s="337"/>
      <c r="J455" s="131"/>
      <c r="K455" s="458" t="str">
        <f t="shared" si="244"/>
        <v/>
      </c>
      <c r="L455" s="458">
        <f t="shared" si="256"/>
        <v>0</v>
      </c>
      <c r="M455" s="458">
        <f t="shared" si="257"/>
        <v>0</v>
      </c>
      <c r="N455" s="459" t="str">
        <f t="shared" si="245"/>
        <v/>
      </c>
      <c r="O455" s="459" t="str">
        <f t="shared" si="246"/>
        <v/>
      </c>
      <c r="P455" s="459" t="str">
        <f t="shared" si="247"/>
        <v/>
      </c>
      <c r="Q455" s="459" t="str">
        <f t="shared" si="248"/>
        <v/>
      </c>
      <c r="R455" s="459" t="str">
        <f t="shared" si="249"/>
        <v/>
      </c>
      <c r="S455" s="459" t="str">
        <f t="shared" si="250"/>
        <v/>
      </c>
      <c r="T455" s="566" t="str">
        <f t="shared" si="258"/>
        <v/>
      </c>
      <c r="U455" s="702"/>
      <c r="V455" s="132"/>
      <c r="W455" s="133"/>
      <c r="X455" s="134"/>
      <c r="Y455" s="135"/>
      <c r="Z455" s="137"/>
      <c r="AA455" s="136"/>
      <c r="AB455" s="566" t="str">
        <f t="shared" si="251"/>
        <v/>
      </c>
      <c r="AC455" s="568" t="str">
        <f t="shared" si="259"/>
        <v/>
      </c>
      <c r="AD455" s="137"/>
      <c r="AE455" s="137"/>
      <c r="AF455" s="138"/>
      <c r="AG455" s="138"/>
      <c r="AH455" s="592" t="str">
        <f t="shared" si="252"/>
        <v/>
      </c>
      <c r="AI455" s="592" t="str">
        <f t="shared" si="253"/>
        <v/>
      </c>
      <c r="AJ455" s="592" t="str">
        <f t="shared" si="254"/>
        <v/>
      </c>
      <c r="AK455" s="460" t="str">
        <f>IF(AU455="","",IF(OR(AZ455=8,AZ455=9),0,IF(OR(AW455=3,AW455=4,AW455=5,AW455=6),IF(LEFT(BF455,1)="1",INDEX(係数_NOX・PM低減,MATCH(AY455,【参考】排出係数!$AI$801:$AI$804,1),1),VLOOKUP(AU455,INDEX((係数_バス貨物_ガソリン,係数_バス貨物_CNG,係数_バス貨物_軽油,係数_バス貨物_メタノール,係数_バス貨物_LPG),MATCH(AY455,【参考】排出係数!$AI$4:$AI$671,1),1,BE455):INDEX((係数_バス貨物_ガソリン,係数_バス貨物_CNG,係数_バス貨物_軽油,係数_バス貨物_メタノール,係数_バス貨物_LPG),MATCH(AY455+1,【参考】排出係数!$AI$4:$AI$671,1)-1,5,BE455),4,FALSE)),IF(AND(BE455=3,LEFT(BF455,1)="1"),0.48,VLOOKUP(AU455,INDEX((係数_乗用_ガソリン,係数_乗用_CNG,係数_乗用_軽油,係数_乗用_メタノール,係数_乗用_LPG),1,1,BE455):INDEX((係数_乗用_ガソリン,係数_乗用_CNG,係数_乗用_軽油,係数_乗用_メタノール,係数_乗用_LPG),125,5,BE455),4,FALSE)))))</f>
        <v/>
      </c>
      <c r="AL455" s="461" t="str">
        <f t="shared" si="278"/>
        <v/>
      </c>
      <c r="AM455" s="460" t="str">
        <f>IF(AU455="","",IF(OR(AZ455=8,AZ455=9),0,IF(OR(AW455=3,AW455=4,AW455=5,AW455=6),IF(LEFT(BH455,1)="1",INDEX(係数_PM低減,MATCH(AY455,【参考】排出係数!$AI$801:$AI$804,1),MATCH(BI455,【参考】排出係数!$AL$798:$AO$798,1)),VLOOKUP(AU455,INDEX((係数_バス貨物_ガソリン,係数_バス貨物_CNG,係数_バス貨物_軽油,係数_バス貨物_メタノール,係数_バス貨物_LPG),MATCH(AY455,【参考】排出係数!$AI$4:$AI$671,1),1,BE455):INDEX((係数_バス貨物_ガソリン,係数_バス貨物_CNG,係数_バス貨物_軽油,係数_バス貨物_メタノール,係数_バス貨物_LPG),MATCH(AY455+1,【参考】排出係数!$AI$4:$AI$671,1)-1,5,BE455),5,FALSE)),IF(AND(BE455=3,LEFT(BF455,1)="1"),0.055,VLOOKUP(AU455,INDEX((係数_乗用_ガソリン,係数_乗用_CNG,係数_乗用_軽油,係数_乗用_メタノール,係数_乗用_LPG),1,1,BE455):INDEX((係数_乗用_ガソリン,係数_乗用_CNG,係数_乗用_軽油,係数_乗用_メタノール,係数_乗用_LPG),125,5,BE455),5,FALSE)))))</f>
        <v/>
      </c>
      <c r="AN455" s="461" t="str">
        <f t="shared" si="279"/>
        <v/>
      </c>
      <c r="AO455" s="462" t="str">
        <f t="shared" si="280"/>
        <v/>
      </c>
      <c r="AP455" s="463" t="str">
        <f t="shared" si="281"/>
        <v/>
      </c>
      <c r="AQ455" s="464"/>
      <c r="AR455" s="619"/>
      <c r="AS455" s="465" t="str">
        <f t="shared" si="260"/>
        <v/>
      </c>
      <c r="AT455" s="465" t="str">
        <f t="shared" si="261"/>
        <v/>
      </c>
      <c r="AU455" s="466" t="str">
        <f t="shared" si="262"/>
        <v/>
      </c>
      <c r="AV455" s="467" t="str">
        <f t="shared" si="263"/>
        <v/>
      </c>
      <c r="AW455" s="467" t="str">
        <f t="shared" si="264"/>
        <v/>
      </c>
      <c r="AX455" s="467" t="str">
        <f t="shared" si="265"/>
        <v/>
      </c>
      <c r="AY455" s="467" t="str">
        <f t="shared" si="266"/>
        <v/>
      </c>
      <c r="AZ455" s="467" t="str">
        <f t="shared" si="267"/>
        <v/>
      </c>
      <c r="BA455" s="468" t="str">
        <f>IF(AS455="","",IF(OR(AU455="",AU455="-"),"－",IF(OR(AZ455=8,AZ455=9),"",IF(OR(AW455=3,AW455=4,AW455=5,AW455=6),VLOOKUP(AU455,INDEX((係数_バス貨物_ガソリン,係数_バス貨物_CNG,係数_バス貨物_軽油,係数_バス貨物_メタノール,係数_バス貨物_LPG),MATCH(AY455,【参考】排出係数!$AI$4:$AI$671,1),1,BE455):INDEX((係数_バス貨物_ガソリン,係数_バス貨物_CNG,係数_バス貨物_軽油,係数_バス貨物_メタノール,係数_バス貨物_LPG),MATCH(AY455+1,【参考】排出係数!$AI$4:$AI$671,1)-1,5,BE455),2,FALSE),IF(OR(AW455=1,AW455=2),VLOOKUP(AU455,INDEX((係数_乗用_ガソリン,係数_乗用_CNG,係数_乗用_軽油,係数_乗用_メタノール,係数_乗用_LPG),1,1,BE455):INDEX((係数_乗用_ガソリン,係数_乗用_CNG,係数_乗用_軽油,係数_乗用_メタノール,係数_乗用_LPG),125,5,BE455),2,FALSE))))))</f>
        <v/>
      </c>
      <c r="BB455" s="468" t="str">
        <f>IF(T455="","",IF(OR(AU455="",AU455="-"),"－",IF(OR(AZ455=8,AZ455=9),"",IF(OR(AW455=3,AW455=4,AW455=5,AW455=6),VLOOKUP(AU455,INDEX((係数_バス貨物_ガソリン,係数_バス貨物_CNG,係数_バス貨物_軽油,係数_バス貨物_メタノール,係数_バス貨物_LPG),MATCH(AY455,【参考】排出係数!$AI$4:$AI$671,1),1,BE455):INDEX((係数_バス貨物_ガソリン,係数_バス貨物_CNG,係数_バス貨物_軽油,係数_バス貨物_メタノール,係数_バス貨物_LPG),MATCH(AY455+1,【参考】排出係数!$AI$4:$AI$671,1)-1,5,BE455),3,FALSE),IF(OR(AW455=1,AW455=2),VLOOKUP(AU455,INDEX((係数_乗用_ガソリン,係数_乗用_CNG,係数_乗用_軽油,係数_乗用_メタノール,係数_乗用_LPG),1,1,BE455):INDEX((係数_乗用_ガソリン,係数_乗用_CNG,係数_乗用_軽油,係数_乗用_メタノール,係数_乗用_LPG),125,5,BE455),3,FALSE))))))</f>
        <v/>
      </c>
      <c r="BC455" s="467" t="str">
        <f t="shared" si="268"/>
        <v/>
      </c>
      <c r="BD455" s="567" t="str">
        <f t="shared" si="269"/>
        <v/>
      </c>
      <c r="BE455" s="467" t="str">
        <f t="shared" si="270"/>
        <v/>
      </c>
      <c r="BF455" s="469" t="str">
        <f t="shared" ca="1" si="271"/>
        <v/>
      </c>
      <c r="BG455" s="469" t="str">
        <f t="shared" ca="1" si="272"/>
        <v/>
      </c>
      <c r="BH455" s="467" t="str">
        <f t="shared" si="273"/>
        <v/>
      </c>
      <c r="BI455" s="467" t="str">
        <f t="shared" ca="1" si="274"/>
        <v/>
      </c>
      <c r="BJ455" s="469" t="str">
        <f t="shared" si="275"/>
        <v/>
      </c>
      <c r="BK455" s="470" t="str">
        <f t="shared" si="255"/>
        <v/>
      </c>
      <c r="BL455" s="775" t="str">
        <f t="shared" si="276"/>
        <v/>
      </c>
      <c r="BM455" s="775" t="str">
        <f t="shared" si="277"/>
        <v/>
      </c>
    </row>
    <row r="456" spans="1:65">
      <c r="A456" s="473">
        <v>400</v>
      </c>
      <c r="B456" s="132"/>
      <c r="C456" s="332"/>
      <c r="D456" s="333"/>
      <c r="E456" s="333"/>
      <c r="F456" s="334"/>
      <c r="G456" s="337"/>
      <c r="H456" s="131"/>
      <c r="I456" s="337"/>
      <c r="J456" s="131"/>
      <c r="K456" s="458" t="str">
        <f t="shared" si="244"/>
        <v/>
      </c>
      <c r="L456" s="458">
        <f t="shared" si="256"/>
        <v>0</v>
      </c>
      <c r="M456" s="458">
        <f t="shared" si="257"/>
        <v>0</v>
      </c>
      <c r="N456" s="459" t="str">
        <f t="shared" si="245"/>
        <v/>
      </c>
      <c r="O456" s="459" t="str">
        <f t="shared" si="246"/>
        <v/>
      </c>
      <c r="P456" s="459" t="str">
        <f t="shared" si="247"/>
        <v/>
      </c>
      <c r="Q456" s="459" t="str">
        <f t="shared" si="248"/>
        <v/>
      </c>
      <c r="R456" s="459" t="str">
        <f t="shared" si="249"/>
        <v/>
      </c>
      <c r="S456" s="459" t="str">
        <f t="shared" si="250"/>
        <v/>
      </c>
      <c r="T456" s="566" t="str">
        <f t="shared" si="258"/>
        <v/>
      </c>
      <c r="U456" s="702"/>
      <c r="V456" s="132"/>
      <c r="W456" s="133"/>
      <c r="X456" s="134"/>
      <c r="Y456" s="135"/>
      <c r="Z456" s="137"/>
      <c r="AA456" s="136"/>
      <c r="AB456" s="566" t="str">
        <f t="shared" si="251"/>
        <v/>
      </c>
      <c r="AC456" s="568" t="str">
        <f t="shared" si="259"/>
        <v/>
      </c>
      <c r="AD456" s="137"/>
      <c r="AE456" s="137"/>
      <c r="AF456" s="138"/>
      <c r="AG456" s="138"/>
      <c r="AH456" s="592" t="str">
        <f t="shared" si="252"/>
        <v/>
      </c>
      <c r="AI456" s="592" t="str">
        <f t="shared" si="253"/>
        <v/>
      </c>
      <c r="AJ456" s="592" t="str">
        <f t="shared" si="254"/>
        <v/>
      </c>
      <c r="AK456" s="460" t="str">
        <f>IF(AU456="","",IF(OR(AZ456=8,AZ456=9),0,IF(OR(AW456=3,AW456=4,AW456=5,AW456=6),IF(LEFT(BF456,1)="1",INDEX(係数_NOX・PM低減,MATCH(AY456,【参考】排出係数!$AI$801:$AI$804,1),1),VLOOKUP(AU456,INDEX((係数_バス貨物_ガソリン,係数_バス貨物_CNG,係数_バス貨物_軽油,係数_バス貨物_メタノール,係数_バス貨物_LPG),MATCH(AY456,【参考】排出係数!$AI$4:$AI$671,1),1,BE456):INDEX((係数_バス貨物_ガソリン,係数_バス貨物_CNG,係数_バス貨物_軽油,係数_バス貨物_メタノール,係数_バス貨物_LPG),MATCH(AY456+1,【参考】排出係数!$AI$4:$AI$671,1)-1,5,BE456),4,FALSE)),IF(AND(BE456=3,LEFT(BF456,1)="1"),0.48,VLOOKUP(AU456,INDEX((係数_乗用_ガソリン,係数_乗用_CNG,係数_乗用_軽油,係数_乗用_メタノール,係数_乗用_LPG),1,1,BE456):INDEX((係数_乗用_ガソリン,係数_乗用_CNG,係数_乗用_軽油,係数_乗用_メタノール,係数_乗用_LPG),125,5,BE456),4,FALSE)))))</f>
        <v/>
      </c>
      <c r="AL456" s="461" t="str">
        <f t="shared" si="278"/>
        <v/>
      </c>
      <c r="AM456" s="460" t="str">
        <f>IF(AU456="","",IF(OR(AZ456=8,AZ456=9),0,IF(OR(AW456=3,AW456=4,AW456=5,AW456=6),IF(LEFT(BH456,1)="1",INDEX(係数_PM低減,MATCH(AY456,【参考】排出係数!$AI$801:$AI$804,1),MATCH(BI456,【参考】排出係数!$AL$798:$AO$798,1)),VLOOKUP(AU456,INDEX((係数_バス貨物_ガソリン,係数_バス貨物_CNG,係数_バス貨物_軽油,係数_バス貨物_メタノール,係数_バス貨物_LPG),MATCH(AY456,【参考】排出係数!$AI$4:$AI$671,1),1,BE456):INDEX((係数_バス貨物_ガソリン,係数_バス貨物_CNG,係数_バス貨物_軽油,係数_バス貨物_メタノール,係数_バス貨物_LPG),MATCH(AY456+1,【参考】排出係数!$AI$4:$AI$671,1)-1,5,BE456),5,FALSE)),IF(AND(BE456=3,LEFT(BF456,1)="1"),0.055,VLOOKUP(AU456,INDEX((係数_乗用_ガソリン,係数_乗用_CNG,係数_乗用_軽油,係数_乗用_メタノール,係数_乗用_LPG),1,1,BE456):INDEX((係数_乗用_ガソリン,係数_乗用_CNG,係数_乗用_軽油,係数_乗用_メタノール,係数_乗用_LPG),125,5,BE456),5,FALSE)))))</f>
        <v/>
      </c>
      <c r="AN456" s="461" t="str">
        <f t="shared" si="279"/>
        <v/>
      </c>
      <c r="AO456" s="462" t="str">
        <f t="shared" si="280"/>
        <v/>
      </c>
      <c r="AP456" s="463" t="str">
        <f t="shared" si="281"/>
        <v/>
      </c>
      <c r="AQ456" s="464"/>
      <c r="AR456" s="619"/>
      <c r="AS456" s="465" t="str">
        <f t="shared" si="260"/>
        <v/>
      </c>
      <c r="AT456" s="465" t="str">
        <f t="shared" si="261"/>
        <v/>
      </c>
      <c r="AU456" s="466" t="str">
        <f t="shared" si="262"/>
        <v/>
      </c>
      <c r="AV456" s="467" t="str">
        <f t="shared" si="263"/>
        <v/>
      </c>
      <c r="AW456" s="467" t="str">
        <f t="shared" si="264"/>
        <v/>
      </c>
      <c r="AX456" s="467" t="str">
        <f t="shared" si="265"/>
        <v/>
      </c>
      <c r="AY456" s="467" t="str">
        <f t="shared" si="266"/>
        <v/>
      </c>
      <c r="AZ456" s="467" t="str">
        <f t="shared" si="267"/>
        <v/>
      </c>
      <c r="BA456" s="468" t="str">
        <f>IF(AS456="","",IF(OR(AU456="",AU456="-"),"－",IF(OR(AZ456=8,AZ456=9),"",IF(OR(AW456=3,AW456=4,AW456=5,AW456=6),VLOOKUP(AU456,INDEX((係数_バス貨物_ガソリン,係数_バス貨物_CNG,係数_バス貨物_軽油,係数_バス貨物_メタノール,係数_バス貨物_LPG),MATCH(AY456,【参考】排出係数!$AI$4:$AI$671,1),1,BE456):INDEX((係数_バス貨物_ガソリン,係数_バス貨物_CNG,係数_バス貨物_軽油,係数_バス貨物_メタノール,係数_バス貨物_LPG),MATCH(AY456+1,【参考】排出係数!$AI$4:$AI$671,1)-1,5,BE456),2,FALSE),IF(OR(AW456=1,AW456=2),VLOOKUP(AU456,INDEX((係数_乗用_ガソリン,係数_乗用_CNG,係数_乗用_軽油,係数_乗用_メタノール,係数_乗用_LPG),1,1,BE456):INDEX((係数_乗用_ガソリン,係数_乗用_CNG,係数_乗用_軽油,係数_乗用_メタノール,係数_乗用_LPG),125,5,BE456),2,FALSE))))))</f>
        <v/>
      </c>
      <c r="BB456" s="468" t="str">
        <f>IF(T456="","",IF(OR(AU456="",AU456="-"),"－",IF(OR(AZ456=8,AZ456=9),"",IF(OR(AW456=3,AW456=4,AW456=5,AW456=6),VLOOKUP(AU456,INDEX((係数_バス貨物_ガソリン,係数_バス貨物_CNG,係数_バス貨物_軽油,係数_バス貨物_メタノール,係数_バス貨物_LPG),MATCH(AY456,【参考】排出係数!$AI$4:$AI$671,1),1,BE456):INDEX((係数_バス貨物_ガソリン,係数_バス貨物_CNG,係数_バス貨物_軽油,係数_バス貨物_メタノール,係数_バス貨物_LPG),MATCH(AY456+1,【参考】排出係数!$AI$4:$AI$671,1)-1,5,BE456),3,FALSE),IF(OR(AW456=1,AW456=2),VLOOKUP(AU456,INDEX((係数_乗用_ガソリン,係数_乗用_CNG,係数_乗用_軽油,係数_乗用_メタノール,係数_乗用_LPG),1,1,BE456):INDEX((係数_乗用_ガソリン,係数_乗用_CNG,係数_乗用_軽油,係数_乗用_メタノール,係数_乗用_LPG),125,5,BE456),3,FALSE))))))</f>
        <v/>
      </c>
      <c r="BC456" s="467" t="str">
        <f t="shared" si="268"/>
        <v/>
      </c>
      <c r="BD456" s="567" t="str">
        <f t="shared" si="269"/>
        <v/>
      </c>
      <c r="BE456" s="467" t="str">
        <f t="shared" si="270"/>
        <v/>
      </c>
      <c r="BF456" s="469" t="str">
        <f t="shared" ca="1" si="271"/>
        <v/>
      </c>
      <c r="BG456" s="469" t="str">
        <f t="shared" ca="1" si="272"/>
        <v/>
      </c>
      <c r="BH456" s="467" t="str">
        <f t="shared" si="273"/>
        <v/>
      </c>
      <c r="BI456" s="467" t="str">
        <f t="shared" ca="1" si="274"/>
        <v/>
      </c>
      <c r="BJ456" s="469" t="str">
        <f t="shared" si="275"/>
        <v/>
      </c>
      <c r="BK456" s="470" t="str">
        <f t="shared" si="255"/>
        <v/>
      </c>
      <c r="BL456" s="775" t="str">
        <f t="shared" si="276"/>
        <v/>
      </c>
      <c r="BM456" s="775" t="str">
        <f t="shared" si="277"/>
        <v/>
      </c>
    </row>
    <row r="457" spans="1:65">
      <c r="A457" s="473">
        <v>401</v>
      </c>
      <c r="B457" s="132"/>
      <c r="C457" s="332"/>
      <c r="D457" s="333"/>
      <c r="E457" s="333"/>
      <c r="F457" s="334"/>
      <c r="G457" s="337"/>
      <c r="H457" s="131"/>
      <c r="I457" s="337"/>
      <c r="J457" s="131"/>
      <c r="K457" s="458" t="str">
        <f t="shared" si="244"/>
        <v/>
      </c>
      <c r="L457" s="458">
        <f t="shared" si="256"/>
        <v>0</v>
      </c>
      <c r="M457" s="458">
        <f t="shared" si="257"/>
        <v>0</v>
      </c>
      <c r="N457" s="459" t="str">
        <f t="shared" si="245"/>
        <v/>
      </c>
      <c r="O457" s="459" t="str">
        <f t="shared" si="246"/>
        <v/>
      </c>
      <c r="P457" s="459" t="str">
        <f t="shared" si="247"/>
        <v/>
      </c>
      <c r="Q457" s="459" t="str">
        <f t="shared" si="248"/>
        <v/>
      </c>
      <c r="R457" s="459" t="str">
        <f t="shared" si="249"/>
        <v/>
      </c>
      <c r="S457" s="459" t="str">
        <f t="shared" si="250"/>
        <v/>
      </c>
      <c r="T457" s="566" t="str">
        <f t="shared" si="258"/>
        <v/>
      </c>
      <c r="U457" s="702"/>
      <c r="V457" s="132"/>
      <c r="W457" s="133"/>
      <c r="X457" s="134"/>
      <c r="Y457" s="135"/>
      <c r="Z457" s="137"/>
      <c r="AA457" s="136"/>
      <c r="AB457" s="566" t="str">
        <f t="shared" si="251"/>
        <v/>
      </c>
      <c r="AC457" s="568" t="str">
        <f t="shared" si="259"/>
        <v/>
      </c>
      <c r="AD457" s="137"/>
      <c r="AE457" s="137"/>
      <c r="AF457" s="138"/>
      <c r="AG457" s="138"/>
      <c r="AH457" s="592" t="str">
        <f t="shared" si="252"/>
        <v/>
      </c>
      <c r="AI457" s="592" t="str">
        <f t="shared" si="253"/>
        <v/>
      </c>
      <c r="AJ457" s="592" t="str">
        <f t="shared" si="254"/>
        <v/>
      </c>
      <c r="AK457" s="460" t="str">
        <f>IF(AU457="","",IF(OR(AZ457=8,AZ457=9),0,IF(OR(AW457=3,AW457=4,AW457=5,AW457=6),IF(LEFT(BF457,1)="1",INDEX(係数_NOX・PM低減,MATCH(AY457,【参考】排出係数!$AI$801:$AI$804,1),1),VLOOKUP(AU457,INDEX((係数_バス貨物_ガソリン,係数_バス貨物_CNG,係数_バス貨物_軽油,係数_バス貨物_メタノール,係数_バス貨物_LPG),MATCH(AY457,【参考】排出係数!$AI$4:$AI$671,1),1,BE457):INDEX((係数_バス貨物_ガソリン,係数_バス貨物_CNG,係数_バス貨物_軽油,係数_バス貨物_メタノール,係数_バス貨物_LPG),MATCH(AY457+1,【参考】排出係数!$AI$4:$AI$671,1)-1,5,BE457),4,FALSE)),IF(AND(BE457=3,LEFT(BF457,1)="1"),0.48,VLOOKUP(AU457,INDEX((係数_乗用_ガソリン,係数_乗用_CNG,係数_乗用_軽油,係数_乗用_メタノール,係数_乗用_LPG),1,1,BE457):INDEX((係数_乗用_ガソリン,係数_乗用_CNG,係数_乗用_軽油,係数_乗用_メタノール,係数_乗用_LPG),125,5,BE457),4,FALSE)))))</f>
        <v/>
      </c>
      <c r="AL457" s="461" t="str">
        <f t="shared" si="278"/>
        <v/>
      </c>
      <c r="AM457" s="460" t="str">
        <f>IF(AU457="","",IF(OR(AZ457=8,AZ457=9),0,IF(OR(AW457=3,AW457=4,AW457=5,AW457=6),IF(LEFT(BH457,1)="1",INDEX(係数_PM低減,MATCH(AY457,【参考】排出係数!$AI$801:$AI$804,1),MATCH(BI457,【参考】排出係数!$AL$798:$AO$798,1)),VLOOKUP(AU457,INDEX((係数_バス貨物_ガソリン,係数_バス貨物_CNG,係数_バス貨物_軽油,係数_バス貨物_メタノール,係数_バス貨物_LPG),MATCH(AY457,【参考】排出係数!$AI$4:$AI$671,1),1,BE457):INDEX((係数_バス貨物_ガソリン,係数_バス貨物_CNG,係数_バス貨物_軽油,係数_バス貨物_メタノール,係数_バス貨物_LPG),MATCH(AY457+1,【参考】排出係数!$AI$4:$AI$671,1)-1,5,BE457),5,FALSE)),IF(AND(BE457=3,LEFT(BF457,1)="1"),0.055,VLOOKUP(AU457,INDEX((係数_乗用_ガソリン,係数_乗用_CNG,係数_乗用_軽油,係数_乗用_メタノール,係数_乗用_LPG),1,1,BE457):INDEX((係数_乗用_ガソリン,係数_乗用_CNG,係数_乗用_軽油,係数_乗用_メタノール,係数_乗用_LPG),125,5,BE457),5,FALSE)))))</f>
        <v/>
      </c>
      <c r="AN457" s="461" t="str">
        <f t="shared" si="279"/>
        <v/>
      </c>
      <c r="AO457" s="462" t="str">
        <f t="shared" si="280"/>
        <v/>
      </c>
      <c r="AP457" s="463" t="str">
        <f t="shared" si="281"/>
        <v/>
      </c>
      <c r="AQ457" s="464"/>
      <c r="AR457" s="619"/>
      <c r="AS457" s="465" t="str">
        <f t="shared" si="260"/>
        <v/>
      </c>
      <c r="AT457" s="465" t="str">
        <f t="shared" si="261"/>
        <v/>
      </c>
      <c r="AU457" s="466" t="str">
        <f t="shared" si="262"/>
        <v/>
      </c>
      <c r="AV457" s="467" t="str">
        <f t="shared" si="263"/>
        <v/>
      </c>
      <c r="AW457" s="467" t="str">
        <f t="shared" si="264"/>
        <v/>
      </c>
      <c r="AX457" s="467" t="str">
        <f t="shared" si="265"/>
        <v/>
      </c>
      <c r="AY457" s="467" t="str">
        <f t="shared" si="266"/>
        <v/>
      </c>
      <c r="AZ457" s="467" t="str">
        <f t="shared" si="267"/>
        <v/>
      </c>
      <c r="BA457" s="468" t="str">
        <f>IF(AS457="","",IF(OR(AU457="",AU457="-"),"－",IF(OR(AZ457=8,AZ457=9),"",IF(OR(AW457=3,AW457=4,AW457=5,AW457=6),VLOOKUP(AU457,INDEX((係数_バス貨物_ガソリン,係数_バス貨物_CNG,係数_バス貨物_軽油,係数_バス貨物_メタノール,係数_バス貨物_LPG),MATCH(AY457,【参考】排出係数!$AI$4:$AI$671,1),1,BE457):INDEX((係数_バス貨物_ガソリン,係数_バス貨物_CNG,係数_バス貨物_軽油,係数_バス貨物_メタノール,係数_バス貨物_LPG),MATCH(AY457+1,【参考】排出係数!$AI$4:$AI$671,1)-1,5,BE457),2,FALSE),IF(OR(AW457=1,AW457=2),VLOOKUP(AU457,INDEX((係数_乗用_ガソリン,係数_乗用_CNG,係数_乗用_軽油,係数_乗用_メタノール,係数_乗用_LPG),1,1,BE457):INDEX((係数_乗用_ガソリン,係数_乗用_CNG,係数_乗用_軽油,係数_乗用_メタノール,係数_乗用_LPG),125,5,BE457),2,FALSE))))))</f>
        <v/>
      </c>
      <c r="BB457" s="468" t="str">
        <f>IF(T457="","",IF(OR(AU457="",AU457="-"),"－",IF(OR(AZ457=8,AZ457=9),"",IF(OR(AW457=3,AW457=4,AW457=5,AW457=6),VLOOKUP(AU457,INDEX((係数_バス貨物_ガソリン,係数_バス貨物_CNG,係数_バス貨物_軽油,係数_バス貨物_メタノール,係数_バス貨物_LPG),MATCH(AY457,【参考】排出係数!$AI$4:$AI$671,1),1,BE457):INDEX((係数_バス貨物_ガソリン,係数_バス貨物_CNG,係数_バス貨物_軽油,係数_バス貨物_メタノール,係数_バス貨物_LPG),MATCH(AY457+1,【参考】排出係数!$AI$4:$AI$671,1)-1,5,BE457),3,FALSE),IF(OR(AW457=1,AW457=2),VLOOKUP(AU457,INDEX((係数_乗用_ガソリン,係数_乗用_CNG,係数_乗用_軽油,係数_乗用_メタノール,係数_乗用_LPG),1,1,BE457):INDEX((係数_乗用_ガソリン,係数_乗用_CNG,係数_乗用_軽油,係数_乗用_メタノール,係数_乗用_LPG),125,5,BE457),3,FALSE))))))</f>
        <v/>
      </c>
      <c r="BC457" s="467" t="str">
        <f t="shared" si="268"/>
        <v/>
      </c>
      <c r="BD457" s="567" t="str">
        <f t="shared" si="269"/>
        <v/>
      </c>
      <c r="BE457" s="467" t="str">
        <f t="shared" si="270"/>
        <v/>
      </c>
      <c r="BF457" s="469" t="str">
        <f t="shared" ca="1" si="271"/>
        <v/>
      </c>
      <c r="BG457" s="469" t="str">
        <f t="shared" ca="1" si="272"/>
        <v/>
      </c>
      <c r="BH457" s="467" t="str">
        <f t="shared" si="273"/>
        <v/>
      </c>
      <c r="BI457" s="467" t="str">
        <f t="shared" ca="1" si="274"/>
        <v/>
      </c>
      <c r="BJ457" s="469" t="str">
        <f t="shared" si="275"/>
        <v/>
      </c>
      <c r="BK457" s="470" t="str">
        <f t="shared" si="255"/>
        <v/>
      </c>
      <c r="BL457" s="775" t="str">
        <f t="shared" si="276"/>
        <v/>
      </c>
      <c r="BM457" s="775" t="str">
        <f t="shared" si="277"/>
        <v/>
      </c>
    </row>
    <row r="458" spans="1:65">
      <c r="A458" s="473">
        <v>402</v>
      </c>
      <c r="B458" s="132"/>
      <c r="C458" s="332"/>
      <c r="D458" s="333"/>
      <c r="E458" s="333"/>
      <c r="F458" s="334"/>
      <c r="G458" s="337"/>
      <c r="H458" s="131"/>
      <c r="I458" s="337"/>
      <c r="J458" s="131"/>
      <c r="K458" s="458" t="str">
        <f t="shared" si="244"/>
        <v/>
      </c>
      <c r="L458" s="458">
        <f t="shared" si="256"/>
        <v>0</v>
      </c>
      <c r="M458" s="458">
        <f t="shared" si="257"/>
        <v>0</v>
      </c>
      <c r="N458" s="459" t="str">
        <f t="shared" si="245"/>
        <v/>
      </c>
      <c r="O458" s="459" t="str">
        <f t="shared" si="246"/>
        <v/>
      </c>
      <c r="P458" s="459" t="str">
        <f t="shared" si="247"/>
        <v/>
      </c>
      <c r="Q458" s="459" t="str">
        <f t="shared" si="248"/>
        <v/>
      </c>
      <c r="R458" s="459" t="str">
        <f t="shared" si="249"/>
        <v/>
      </c>
      <c r="S458" s="459" t="str">
        <f t="shared" si="250"/>
        <v/>
      </c>
      <c r="T458" s="566" t="str">
        <f t="shared" si="258"/>
        <v/>
      </c>
      <c r="U458" s="702"/>
      <c r="V458" s="132"/>
      <c r="W458" s="133"/>
      <c r="X458" s="134"/>
      <c r="Y458" s="135"/>
      <c r="Z458" s="137"/>
      <c r="AA458" s="136"/>
      <c r="AB458" s="566" t="str">
        <f t="shared" si="251"/>
        <v/>
      </c>
      <c r="AC458" s="568" t="str">
        <f t="shared" si="259"/>
        <v/>
      </c>
      <c r="AD458" s="137"/>
      <c r="AE458" s="137"/>
      <c r="AF458" s="138"/>
      <c r="AG458" s="138"/>
      <c r="AH458" s="592" t="str">
        <f t="shared" si="252"/>
        <v/>
      </c>
      <c r="AI458" s="592" t="str">
        <f t="shared" si="253"/>
        <v/>
      </c>
      <c r="AJ458" s="592" t="str">
        <f t="shared" si="254"/>
        <v/>
      </c>
      <c r="AK458" s="460" t="str">
        <f>IF(AU458="","",IF(OR(AZ458=8,AZ458=9),0,IF(OR(AW458=3,AW458=4,AW458=5,AW458=6),IF(LEFT(BF458,1)="1",INDEX(係数_NOX・PM低減,MATCH(AY458,【参考】排出係数!$AI$801:$AI$804,1),1),VLOOKUP(AU458,INDEX((係数_バス貨物_ガソリン,係数_バス貨物_CNG,係数_バス貨物_軽油,係数_バス貨物_メタノール,係数_バス貨物_LPG),MATCH(AY458,【参考】排出係数!$AI$4:$AI$671,1),1,BE458):INDEX((係数_バス貨物_ガソリン,係数_バス貨物_CNG,係数_バス貨物_軽油,係数_バス貨物_メタノール,係数_バス貨物_LPG),MATCH(AY458+1,【参考】排出係数!$AI$4:$AI$671,1)-1,5,BE458),4,FALSE)),IF(AND(BE458=3,LEFT(BF458,1)="1"),0.48,VLOOKUP(AU458,INDEX((係数_乗用_ガソリン,係数_乗用_CNG,係数_乗用_軽油,係数_乗用_メタノール,係数_乗用_LPG),1,1,BE458):INDEX((係数_乗用_ガソリン,係数_乗用_CNG,係数_乗用_軽油,係数_乗用_メタノール,係数_乗用_LPG),125,5,BE458),4,FALSE)))))</f>
        <v/>
      </c>
      <c r="AL458" s="461" t="str">
        <f t="shared" si="278"/>
        <v/>
      </c>
      <c r="AM458" s="460" t="str">
        <f>IF(AU458="","",IF(OR(AZ458=8,AZ458=9),0,IF(OR(AW458=3,AW458=4,AW458=5,AW458=6),IF(LEFT(BH458,1)="1",INDEX(係数_PM低減,MATCH(AY458,【参考】排出係数!$AI$801:$AI$804,1),MATCH(BI458,【参考】排出係数!$AL$798:$AO$798,1)),VLOOKUP(AU458,INDEX((係数_バス貨物_ガソリン,係数_バス貨物_CNG,係数_バス貨物_軽油,係数_バス貨物_メタノール,係数_バス貨物_LPG),MATCH(AY458,【参考】排出係数!$AI$4:$AI$671,1),1,BE458):INDEX((係数_バス貨物_ガソリン,係数_バス貨物_CNG,係数_バス貨物_軽油,係数_バス貨物_メタノール,係数_バス貨物_LPG),MATCH(AY458+1,【参考】排出係数!$AI$4:$AI$671,1)-1,5,BE458),5,FALSE)),IF(AND(BE458=3,LEFT(BF458,1)="1"),0.055,VLOOKUP(AU458,INDEX((係数_乗用_ガソリン,係数_乗用_CNG,係数_乗用_軽油,係数_乗用_メタノール,係数_乗用_LPG),1,1,BE458):INDEX((係数_乗用_ガソリン,係数_乗用_CNG,係数_乗用_軽油,係数_乗用_メタノール,係数_乗用_LPG),125,5,BE458),5,FALSE)))))</f>
        <v/>
      </c>
      <c r="AN458" s="461" t="str">
        <f t="shared" si="279"/>
        <v/>
      </c>
      <c r="AO458" s="462" t="str">
        <f t="shared" si="280"/>
        <v/>
      </c>
      <c r="AP458" s="463" t="str">
        <f t="shared" si="281"/>
        <v/>
      </c>
      <c r="AQ458" s="464"/>
      <c r="AR458" s="619"/>
      <c r="AS458" s="465" t="str">
        <f t="shared" si="260"/>
        <v/>
      </c>
      <c r="AT458" s="465" t="str">
        <f t="shared" si="261"/>
        <v/>
      </c>
      <c r="AU458" s="466" t="str">
        <f t="shared" si="262"/>
        <v/>
      </c>
      <c r="AV458" s="467" t="str">
        <f t="shared" si="263"/>
        <v/>
      </c>
      <c r="AW458" s="467" t="str">
        <f t="shared" si="264"/>
        <v/>
      </c>
      <c r="AX458" s="467" t="str">
        <f t="shared" si="265"/>
        <v/>
      </c>
      <c r="AY458" s="467" t="str">
        <f t="shared" si="266"/>
        <v/>
      </c>
      <c r="AZ458" s="467" t="str">
        <f t="shared" si="267"/>
        <v/>
      </c>
      <c r="BA458" s="468" t="str">
        <f>IF(AS458="","",IF(OR(AU458="",AU458="-"),"－",IF(OR(AZ458=8,AZ458=9),"",IF(OR(AW458=3,AW458=4,AW458=5,AW458=6),VLOOKUP(AU458,INDEX((係数_バス貨物_ガソリン,係数_バス貨物_CNG,係数_バス貨物_軽油,係数_バス貨物_メタノール,係数_バス貨物_LPG),MATCH(AY458,【参考】排出係数!$AI$4:$AI$671,1),1,BE458):INDEX((係数_バス貨物_ガソリン,係数_バス貨物_CNG,係数_バス貨物_軽油,係数_バス貨物_メタノール,係数_バス貨物_LPG),MATCH(AY458+1,【参考】排出係数!$AI$4:$AI$671,1)-1,5,BE458),2,FALSE),IF(OR(AW458=1,AW458=2),VLOOKUP(AU458,INDEX((係数_乗用_ガソリン,係数_乗用_CNG,係数_乗用_軽油,係数_乗用_メタノール,係数_乗用_LPG),1,1,BE458):INDEX((係数_乗用_ガソリン,係数_乗用_CNG,係数_乗用_軽油,係数_乗用_メタノール,係数_乗用_LPG),125,5,BE458),2,FALSE))))))</f>
        <v/>
      </c>
      <c r="BB458" s="468" t="str">
        <f>IF(T458="","",IF(OR(AU458="",AU458="-"),"－",IF(OR(AZ458=8,AZ458=9),"",IF(OR(AW458=3,AW458=4,AW458=5,AW458=6),VLOOKUP(AU458,INDEX((係数_バス貨物_ガソリン,係数_バス貨物_CNG,係数_バス貨物_軽油,係数_バス貨物_メタノール,係数_バス貨物_LPG),MATCH(AY458,【参考】排出係数!$AI$4:$AI$671,1),1,BE458):INDEX((係数_バス貨物_ガソリン,係数_バス貨物_CNG,係数_バス貨物_軽油,係数_バス貨物_メタノール,係数_バス貨物_LPG),MATCH(AY458+1,【参考】排出係数!$AI$4:$AI$671,1)-1,5,BE458),3,FALSE),IF(OR(AW458=1,AW458=2),VLOOKUP(AU458,INDEX((係数_乗用_ガソリン,係数_乗用_CNG,係数_乗用_軽油,係数_乗用_メタノール,係数_乗用_LPG),1,1,BE458):INDEX((係数_乗用_ガソリン,係数_乗用_CNG,係数_乗用_軽油,係数_乗用_メタノール,係数_乗用_LPG),125,5,BE458),3,FALSE))))))</f>
        <v/>
      </c>
      <c r="BC458" s="467" t="str">
        <f t="shared" si="268"/>
        <v/>
      </c>
      <c r="BD458" s="567" t="str">
        <f t="shared" si="269"/>
        <v/>
      </c>
      <c r="BE458" s="467" t="str">
        <f t="shared" si="270"/>
        <v/>
      </c>
      <c r="BF458" s="469" t="str">
        <f t="shared" ca="1" si="271"/>
        <v/>
      </c>
      <c r="BG458" s="469" t="str">
        <f t="shared" ca="1" si="272"/>
        <v/>
      </c>
      <c r="BH458" s="467" t="str">
        <f t="shared" si="273"/>
        <v/>
      </c>
      <c r="BI458" s="467" t="str">
        <f t="shared" ca="1" si="274"/>
        <v/>
      </c>
      <c r="BJ458" s="469" t="str">
        <f t="shared" si="275"/>
        <v/>
      </c>
      <c r="BK458" s="470" t="str">
        <f t="shared" si="255"/>
        <v/>
      </c>
      <c r="BL458" s="775" t="str">
        <f t="shared" si="276"/>
        <v/>
      </c>
      <c r="BM458" s="775" t="str">
        <f t="shared" si="277"/>
        <v/>
      </c>
    </row>
    <row r="459" spans="1:65">
      <c r="A459" s="473">
        <v>403</v>
      </c>
      <c r="B459" s="132"/>
      <c r="C459" s="332"/>
      <c r="D459" s="333"/>
      <c r="E459" s="333"/>
      <c r="F459" s="334"/>
      <c r="G459" s="337"/>
      <c r="H459" s="131"/>
      <c r="I459" s="337"/>
      <c r="J459" s="131"/>
      <c r="K459" s="458" t="str">
        <f t="shared" si="244"/>
        <v/>
      </c>
      <c r="L459" s="458">
        <f t="shared" si="256"/>
        <v>0</v>
      </c>
      <c r="M459" s="458">
        <f t="shared" si="257"/>
        <v>0</v>
      </c>
      <c r="N459" s="459" t="str">
        <f t="shared" si="245"/>
        <v/>
      </c>
      <c r="O459" s="459" t="str">
        <f t="shared" si="246"/>
        <v/>
      </c>
      <c r="P459" s="459" t="str">
        <f t="shared" si="247"/>
        <v/>
      </c>
      <c r="Q459" s="459" t="str">
        <f t="shared" si="248"/>
        <v/>
      </c>
      <c r="R459" s="459" t="str">
        <f t="shared" si="249"/>
        <v/>
      </c>
      <c r="S459" s="459" t="str">
        <f t="shared" si="250"/>
        <v/>
      </c>
      <c r="T459" s="566" t="str">
        <f t="shared" si="258"/>
        <v/>
      </c>
      <c r="U459" s="702"/>
      <c r="V459" s="132"/>
      <c r="W459" s="133"/>
      <c r="X459" s="134"/>
      <c r="Y459" s="135"/>
      <c r="Z459" s="137"/>
      <c r="AA459" s="136"/>
      <c r="AB459" s="566" t="str">
        <f t="shared" si="251"/>
        <v/>
      </c>
      <c r="AC459" s="568" t="str">
        <f t="shared" si="259"/>
        <v/>
      </c>
      <c r="AD459" s="137"/>
      <c r="AE459" s="137"/>
      <c r="AF459" s="138"/>
      <c r="AG459" s="138"/>
      <c r="AH459" s="592" t="str">
        <f t="shared" si="252"/>
        <v/>
      </c>
      <c r="AI459" s="592" t="str">
        <f t="shared" si="253"/>
        <v/>
      </c>
      <c r="AJ459" s="592" t="str">
        <f t="shared" si="254"/>
        <v/>
      </c>
      <c r="AK459" s="460" t="str">
        <f>IF(AU459="","",IF(OR(AZ459=8,AZ459=9),0,IF(OR(AW459=3,AW459=4,AW459=5,AW459=6),IF(LEFT(BF459,1)="1",INDEX(係数_NOX・PM低減,MATCH(AY459,【参考】排出係数!$AI$801:$AI$804,1),1),VLOOKUP(AU459,INDEX((係数_バス貨物_ガソリン,係数_バス貨物_CNG,係数_バス貨物_軽油,係数_バス貨物_メタノール,係数_バス貨物_LPG),MATCH(AY459,【参考】排出係数!$AI$4:$AI$671,1),1,BE459):INDEX((係数_バス貨物_ガソリン,係数_バス貨物_CNG,係数_バス貨物_軽油,係数_バス貨物_メタノール,係数_バス貨物_LPG),MATCH(AY459+1,【参考】排出係数!$AI$4:$AI$671,1)-1,5,BE459),4,FALSE)),IF(AND(BE459=3,LEFT(BF459,1)="1"),0.48,VLOOKUP(AU459,INDEX((係数_乗用_ガソリン,係数_乗用_CNG,係数_乗用_軽油,係数_乗用_メタノール,係数_乗用_LPG),1,1,BE459):INDEX((係数_乗用_ガソリン,係数_乗用_CNG,係数_乗用_軽油,係数_乗用_メタノール,係数_乗用_LPG),125,5,BE459),4,FALSE)))))</f>
        <v/>
      </c>
      <c r="AL459" s="461" t="str">
        <f t="shared" si="278"/>
        <v/>
      </c>
      <c r="AM459" s="460" t="str">
        <f>IF(AU459="","",IF(OR(AZ459=8,AZ459=9),0,IF(OR(AW459=3,AW459=4,AW459=5,AW459=6),IF(LEFT(BH459,1)="1",INDEX(係数_PM低減,MATCH(AY459,【参考】排出係数!$AI$801:$AI$804,1),MATCH(BI459,【参考】排出係数!$AL$798:$AO$798,1)),VLOOKUP(AU459,INDEX((係数_バス貨物_ガソリン,係数_バス貨物_CNG,係数_バス貨物_軽油,係数_バス貨物_メタノール,係数_バス貨物_LPG),MATCH(AY459,【参考】排出係数!$AI$4:$AI$671,1),1,BE459):INDEX((係数_バス貨物_ガソリン,係数_バス貨物_CNG,係数_バス貨物_軽油,係数_バス貨物_メタノール,係数_バス貨物_LPG),MATCH(AY459+1,【参考】排出係数!$AI$4:$AI$671,1)-1,5,BE459),5,FALSE)),IF(AND(BE459=3,LEFT(BF459,1)="1"),0.055,VLOOKUP(AU459,INDEX((係数_乗用_ガソリン,係数_乗用_CNG,係数_乗用_軽油,係数_乗用_メタノール,係数_乗用_LPG),1,1,BE459):INDEX((係数_乗用_ガソリン,係数_乗用_CNG,係数_乗用_軽油,係数_乗用_メタノール,係数_乗用_LPG),125,5,BE459),5,FALSE)))))</f>
        <v/>
      </c>
      <c r="AN459" s="461" t="str">
        <f t="shared" si="279"/>
        <v/>
      </c>
      <c r="AO459" s="462" t="str">
        <f t="shared" si="280"/>
        <v/>
      </c>
      <c r="AP459" s="463" t="str">
        <f t="shared" si="281"/>
        <v/>
      </c>
      <c r="AQ459" s="464"/>
      <c r="AR459" s="619"/>
      <c r="AS459" s="465" t="str">
        <f t="shared" si="260"/>
        <v/>
      </c>
      <c r="AT459" s="465" t="str">
        <f t="shared" si="261"/>
        <v/>
      </c>
      <c r="AU459" s="466" t="str">
        <f t="shared" si="262"/>
        <v/>
      </c>
      <c r="AV459" s="467" t="str">
        <f t="shared" si="263"/>
        <v/>
      </c>
      <c r="AW459" s="467" t="str">
        <f t="shared" si="264"/>
        <v/>
      </c>
      <c r="AX459" s="467" t="str">
        <f t="shared" si="265"/>
        <v/>
      </c>
      <c r="AY459" s="467" t="str">
        <f t="shared" si="266"/>
        <v/>
      </c>
      <c r="AZ459" s="467" t="str">
        <f t="shared" si="267"/>
        <v/>
      </c>
      <c r="BA459" s="468" t="str">
        <f>IF(AS459="","",IF(OR(AU459="",AU459="-"),"－",IF(OR(AZ459=8,AZ459=9),"",IF(OR(AW459=3,AW459=4,AW459=5,AW459=6),VLOOKUP(AU459,INDEX((係数_バス貨物_ガソリン,係数_バス貨物_CNG,係数_バス貨物_軽油,係数_バス貨物_メタノール,係数_バス貨物_LPG),MATCH(AY459,【参考】排出係数!$AI$4:$AI$671,1),1,BE459):INDEX((係数_バス貨物_ガソリン,係数_バス貨物_CNG,係数_バス貨物_軽油,係数_バス貨物_メタノール,係数_バス貨物_LPG),MATCH(AY459+1,【参考】排出係数!$AI$4:$AI$671,1)-1,5,BE459),2,FALSE),IF(OR(AW459=1,AW459=2),VLOOKUP(AU459,INDEX((係数_乗用_ガソリン,係数_乗用_CNG,係数_乗用_軽油,係数_乗用_メタノール,係数_乗用_LPG),1,1,BE459):INDEX((係数_乗用_ガソリン,係数_乗用_CNG,係数_乗用_軽油,係数_乗用_メタノール,係数_乗用_LPG),125,5,BE459),2,FALSE))))))</f>
        <v/>
      </c>
      <c r="BB459" s="468" t="str">
        <f>IF(T459="","",IF(OR(AU459="",AU459="-"),"－",IF(OR(AZ459=8,AZ459=9),"",IF(OR(AW459=3,AW459=4,AW459=5,AW459=6),VLOOKUP(AU459,INDEX((係数_バス貨物_ガソリン,係数_バス貨物_CNG,係数_バス貨物_軽油,係数_バス貨物_メタノール,係数_バス貨物_LPG),MATCH(AY459,【参考】排出係数!$AI$4:$AI$671,1),1,BE459):INDEX((係数_バス貨物_ガソリン,係数_バス貨物_CNG,係数_バス貨物_軽油,係数_バス貨物_メタノール,係数_バス貨物_LPG),MATCH(AY459+1,【参考】排出係数!$AI$4:$AI$671,1)-1,5,BE459),3,FALSE),IF(OR(AW459=1,AW459=2),VLOOKUP(AU459,INDEX((係数_乗用_ガソリン,係数_乗用_CNG,係数_乗用_軽油,係数_乗用_メタノール,係数_乗用_LPG),1,1,BE459):INDEX((係数_乗用_ガソリン,係数_乗用_CNG,係数_乗用_軽油,係数_乗用_メタノール,係数_乗用_LPG),125,5,BE459),3,FALSE))))))</f>
        <v/>
      </c>
      <c r="BC459" s="467" t="str">
        <f t="shared" si="268"/>
        <v/>
      </c>
      <c r="BD459" s="567" t="str">
        <f t="shared" si="269"/>
        <v/>
      </c>
      <c r="BE459" s="467" t="str">
        <f t="shared" si="270"/>
        <v/>
      </c>
      <c r="BF459" s="469" t="str">
        <f t="shared" ca="1" si="271"/>
        <v/>
      </c>
      <c r="BG459" s="469" t="str">
        <f t="shared" ca="1" si="272"/>
        <v/>
      </c>
      <c r="BH459" s="467" t="str">
        <f t="shared" si="273"/>
        <v/>
      </c>
      <c r="BI459" s="467" t="str">
        <f t="shared" ca="1" si="274"/>
        <v/>
      </c>
      <c r="BJ459" s="469" t="str">
        <f t="shared" si="275"/>
        <v/>
      </c>
      <c r="BK459" s="470" t="str">
        <f t="shared" si="255"/>
        <v/>
      </c>
      <c r="BL459" s="775" t="str">
        <f t="shared" si="276"/>
        <v/>
      </c>
      <c r="BM459" s="775" t="str">
        <f t="shared" si="277"/>
        <v/>
      </c>
    </row>
    <row r="460" spans="1:65">
      <c r="A460" s="473">
        <v>404</v>
      </c>
      <c r="B460" s="132"/>
      <c r="C460" s="332"/>
      <c r="D460" s="333"/>
      <c r="E460" s="333"/>
      <c r="F460" s="334"/>
      <c r="G460" s="337"/>
      <c r="H460" s="131"/>
      <c r="I460" s="337"/>
      <c r="J460" s="131"/>
      <c r="K460" s="458" t="str">
        <f t="shared" si="244"/>
        <v/>
      </c>
      <c r="L460" s="458">
        <f t="shared" si="256"/>
        <v>0</v>
      </c>
      <c r="M460" s="458">
        <f t="shared" si="257"/>
        <v>0</v>
      </c>
      <c r="N460" s="459" t="str">
        <f t="shared" si="245"/>
        <v/>
      </c>
      <c r="O460" s="459" t="str">
        <f t="shared" si="246"/>
        <v/>
      </c>
      <c r="P460" s="459" t="str">
        <f t="shared" si="247"/>
        <v/>
      </c>
      <c r="Q460" s="459" t="str">
        <f t="shared" si="248"/>
        <v/>
      </c>
      <c r="R460" s="459" t="str">
        <f t="shared" si="249"/>
        <v/>
      </c>
      <c r="S460" s="459" t="str">
        <f t="shared" si="250"/>
        <v/>
      </c>
      <c r="T460" s="566" t="str">
        <f t="shared" si="258"/>
        <v/>
      </c>
      <c r="U460" s="702"/>
      <c r="V460" s="132"/>
      <c r="W460" s="133"/>
      <c r="X460" s="134"/>
      <c r="Y460" s="135"/>
      <c r="Z460" s="137"/>
      <c r="AA460" s="136"/>
      <c r="AB460" s="566" t="str">
        <f t="shared" si="251"/>
        <v/>
      </c>
      <c r="AC460" s="568" t="str">
        <f t="shared" si="259"/>
        <v/>
      </c>
      <c r="AD460" s="137"/>
      <c r="AE460" s="137"/>
      <c r="AF460" s="138"/>
      <c r="AG460" s="138"/>
      <c r="AH460" s="592" t="str">
        <f t="shared" si="252"/>
        <v/>
      </c>
      <c r="AI460" s="592" t="str">
        <f t="shared" si="253"/>
        <v/>
      </c>
      <c r="AJ460" s="592" t="str">
        <f t="shared" si="254"/>
        <v/>
      </c>
      <c r="AK460" s="460" t="str">
        <f>IF(AU460="","",IF(OR(AZ460=8,AZ460=9),0,IF(OR(AW460=3,AW460=4,AW460=5,AW460=6),IF(LEFT(BF460,1)="1",INDEX(係数_NOX・PM低減,MATCH(AY460,【参考】排出係数!$AI$801:$AI$804,1),1),VLOOKUP(AU460,INDEX((係数_バス貨物_ガソリン,係数_バス貨物_CNG,係数_バス貨物_軽油,係数_バス貨物_メタノール,係数_バス貨物_LPG),MATCH(AY460,【参考】排出係数!$AI$4:$AI$671,1),1,BE460):INDEX((係数_バス貨物_ガソリン,係数_バス貨物_CNG,係数_バス貨物_軽油,係数_バス貨物_メタノール,係数_バス貨物_LPG),MATCH(AY460+1,【参考】排出係数!$AI$4:$AI$671,1)-1,5,BE460),4,FALSE)),IF(AND(BE460=3,LEFT(BF460,1)="1"),0.48,VLOOKUP(AU460,INDEX((係数_乗用_ガソリン,係数_乗用_CNG,係数_乗用_軽油,係数_乗用_メタノール,係数_乗用_LPG),1,1,BE460):INDEX((係数_乗用_ガソリン,係数_乗用_CNG,係数_乗用_軽油,係数_乗用_メタノール,係数_乗用_LPG),125,5,BE460),4,FALSE)))))</f>
        <v/>
      </c>
      <c r="AL460" s="461" t="str">
        <f t="shared" si="278"/>
        <v/>
      </c>
      <c r="AM460" s="460" t="str">
        <f>IF(AU460="","",IF(OR(AZ460=8,AZ460=9),0,IF(OR(AW460=3,AW460=4,AW460=5,AW460=6),IF(LEFT(BH460,1)="1",INDEX(係数_PM低減,MATCH(AY460,【参考】排出係数!$AI$801:$AI$804,1),MATCH(BI460,【参考】排出係数!$AL$798:$AO$798,1)),VLOOKUP(AU460,INDEX((係数_バス貨物_ガソリン,係数_バス貨物_CNG,係数_バス貨物_軽油,係数_バス貨物_メタノール,係数_バス貨物_LPG),MATCH(AY460,【参考】排出係数!$AI$4:$AI$671,1),1,BE460):INDEX((係数_バス貨物_ガソリン,係数_バス貨物_CNG,係数_バス貨物_軽油,係数_バス貨物_メタノール,係数_バス貨物_LPG),MATCH(AY460+1,【参考】排出係数!$AI$4:$AI$671,1)-1,5,BE460),5,FALSE)),IF(AND(BE460=3,LEFT(BF460,1)="1"),0.055,VLOOKUP(AU460,INDEX((係数_乗用_ガソリン,係数_乗用_CNG,係数_乗用_軽油,係数_乗用_メタノール,係数_乗用_LPG),1,1,BE460):INDEX((係数_乗用_ガソリン,係数_乗用_CNG,係数_乗用_軽油,係数_乗用_メタノール,係数_乗用_LPG),125,5,BE460),5,FALSE)))))</f>
        <v/>
      </c>
      <c r="AN460" s="461" t="str">
        <f t="shared" si="279"/>
        <v/>
      </c>
      <c r="AO460" s="462" t="str">
        <f t="shared" si="280"/>
        <v/>
      </c>
      <c r="AP460" s="463" t="str">
        <f t="shared" si="281"/>
        <v/>
      </c>
      <c r="AQ460" s="464"/>
      <c r="AR460" s="619"/>
      <c r="AS460" s="465" t="str">
        <f t="shared" si="260"/>
        <v/>
      </c>
      <c r="AT460" s="465" t="str">
        <f t="shared" si="261"/>
        <v/>
      </c>
      <c r="AU460" s="466" t="str">
        <f t="shared" si="262"/>
        <v/>
      </c>
      <c r="AV460" s="467" t="str">
        <f t="shared" si="263"/>
        <v/>
      </c>
      <c r="AW460" s="467" t="str">
        <f t="shared" si="264"/>
        <v/>
      </c>
      <c r="AX460" s="467" t="str">
        <f t="shared" si="265"/>
        <v/>
      </c>
      <c r="AY460" s="467" t="str">
        <f t="shared" si="266"/>
        <v/>
      </c>
      <c r="AZ460" s="467" t="str">
        <f t="shared" si="267"/>
        <v/>
      </c>
      <c r="BA460" s="468" t="str">
        <f>IF(AS460="","",IF(OR(AU460="",AU460="-"),"－",IF(OR(AZ460=8,AZ460=9),"",IF(OR(AW460=3,AW460=4,AW460=5,AW460=6),VLOOKUP(AU460,INDEX((係数_バス貨物_ガソリン,係数_バス貨物_CNG,係数_バス貨物_軽油,係数_バス貨物_メタノール,係数_バス貨物_LPG),MATCH(AY460,【参考】排出係数!$AI$4:$AI$671,1),1,BE460):INDEX((係数_バス貨物_ガソリン,係数_バス貨物_CNG,係数_バス貨物_軽油,係数_バス貨物_メタノール,係数_バス貨物_LPG),MATCH(AY460+1,【参考】排出係数!$AI$4:$AI$671,1)-1,5,BE460),2,FALSE),IF(OR(AW460=1,AW460=2),VLOOKUP(AU460,INDEX((係数_乗用_ガソリン,係数_乗用_CNG,係数_乗用_軽油,係数_乗用_メタノール,係数_乗用_LPG),1,1,BE460):INDEX((係数_乗用_ガソリン,係数_乗用_CNG,係数_乗用_軽油,係数_乗用_メタノール,係数_乗用_LPG),125,5,BE460),2,FALSE))))))</f>
        <v/>
      </c>
      <c r="BB460" s="468" t="str">
        <f>IF(T460="","",IF(OR(AU460="",AU460="-"),"－",IF(OR(AZ460=8,AZ460=9),"",IF(OR(AW460=3,AW460=4,AW460=5,AW460=6),VLOOKUP(AU460,INDEX((係数_バス貨物_ガソリン,係数_バス貨物_CNG,係数_バス貨物_軽油,係数_バス貨物_メタノール,係数_バス貨物_LPG),MATCH(AY460,【参考】排出係数!$AI$4:$AI$671,1),1,BE460):INDEX((係数_バス貨物_ガソリン,係数_バス貨物_CNG,係数_バス貨物_軽油,係数_バス貨物_メタノール,係数_バス貨物_LPG),MATCH(AY460+1,【参考】排出係数!$AI$4:$AI$671,1)-1,5,BE460),3,FALSE),IF(OR(AW460=1,AW460=2),VLOOKUP(AU460,INDEX((係数_乗用_ガソリン,係数_乗用_CNG,係数_乗用_軽油,係数_乗用_メタノール,係数_乗用_LPG),1,1,BE460):INDEX((係数_乗用_ガソリン,係数_乗用_CNG,係数_乗用_軽油,係数_乗用_メタノール,係数_乗用_LPG),125,5,BE460),3,FALSE))))))</f>
        <v/>
      </c>
      <c r="BC460" s="467" t="str">
        <f t="shared" si="268"/>
        <v/>
      </c>
      <c r="BD460" s="567" t="str">
        <f t="shared" si="269"/>
        <v/>
      </c>
      <c r="BE460" s="467" t="str">
        <f t="shared" si="270"/>
        <v/>
      </c>
      <c r="BF460" s="469" t="str">
        <f t="shared" ca="1" si="271"/>
        <v/>
      </c>
      <c r="BG460" s="469" t="str">
        <f t="shared" ca="1" si="272"/>
        <v/>
      </c>
      <c r="BH460" s="467" t="str">
        <f t="shared" si="273"/>
        <v/>
      </c>
      <c r="BI460" s="467" t="str">
        <f t="shared" ca="1" si="274"/>
        <v/>
      </c>
      <c r="BJ460" s="469" t="str">
        <f t="shared" si="275"/>
        <v/>
      </c>
      <c r="BK460" s="470" t="str">
        <f t="shared" si="255"/>
        <v/>
      </c>
      <c r="BL460" s="775" t="str">
        <f t="shared" si="276"/>
        <v/>
      </c>
      <c r="BM460" s="775" t="str">
        <f t="shared" si="277"/>
        <v/>
      </c>
    </row>
    <row r="461" spans="1:65">
      <c r="A461" s="473">
        <v>405</v>
      </c>
      <c r="B461" s="132"/>
      <c r="C461" s="332"/>
      <c r="D461" s="333"/>
      <c r="E461" s="333"/>
      <c r="F461" s="334"/>
      <c r="G461" s="337"/>
      <c r="H461" s="131"/>
      <c r="I461" s="337"/>
      <c r="J461" s="131"/>
      <c r="K461" s="458" t="str">
        <f t="shared" si="244"/>
        <v/>
      </c>
      <c r="L461" s="458">
        <f t="shared" si="256"/>
        <v>0</v>
      </c>
      <c r="M461" s="458">
        <f t="shared" si="257"/>
        <v>0</v>
      </c>
      <c r="N461" s="459" t="str">
        <f t="shared" si="245"/>
        <v/>
      </c>
      <c r="O461" s="459" t="str">
        <f t="shared" si="246"/>
        <v/>
      </c>
      <c r="P461" s="459" t="str">
        <f t="shared" si="247"/>
        <v/>
      </c>
      <c r="Q461" s="459" t="str">
        <f t="shared" si="248"/>
        <v/>
      </c>
      <c r="R461" s="459" t="str">
        <f t="shared" si="249"/>
        <v/>
      </c>
      <c r="S461" s="459" t="str">
        <f t="shared" si="250"/>
        <v/>
      </c>
      <c r="T461" s="566" t="str">
        <f t="shared" si="258"/>
        <v/>
      </c>
      <c r="U461" s="702"/>
      <c r="V461" s="132"/>
      <c r="W461" s="133"/>
      <c r="X461" s="134"/>
      <c r="Y461" s="135"/>
      <c r="Z461" s="137"/>
      <c r="AA461" s="136"/>
      <c r="AB461" s="566" t="str">
        <f t="shared" si="251"/>
        <v/>
      </c>
      <c r="AC461" s="568" t="str">
        <f t="shared" si="259"/>
        <v/>
      </c>
      <c r="AD461" s="137"/>
      <c r="AE461" s="137"/>
      <c r="AF461" s="138"/>
      <c r="AG461" s="138"/>
      <c r="AH461" s="592" t="str">
        <f t="shared" si="252"/>
        <v/>
      </c>
      <c r="AI461" s="592" t="str">
        <f t="shared" si="253"/>
        <v/>
      </c>
      <c r="AJ461" s="592" t="str">
        <f t="shared" si="254"/>
        <v/>
      </c>
      <c r="AK461" s="460" t="str">
        <f>IF(AU461="","",IF(OR(AZ461=8,AZ461=9),0,IF(OR(AW461=3,AW461=4,AW461=5,AW461=6),IF(LEFT(BF461,1)="1",INDEX(係数_NOX・PM低減,MATCH(AY461,【参考】排出係数!$AI$801:$AI$804,1),1),VLOOKUP(AU461,INDEX((係数_バス貨物_ガソリン,係数_バス貨物_CNG,係数_バス貨物_軽油,係数_バス貨物_メタノール,係数_バス貨物_LPG),MATCH(AY461,【参考】排出係数!$AI$4:$AI$671,1),1,BE461):INDEX((係数_バス貨物_ガソリン,係数_バス貨物_CNG,係数_バス貨物_軽油,係数_バス貨物_メタノール,係数_バス貨物_LPG),MATCH(AY461+1,【参考】排出係数!$AI$4:$AI$671,1)-1,5,BE461),4,FALSE)),IF(AND(BE461=3,LEFT(BF461,1)="1"),0.48,VLOOKUP(AU461,INDEX((係数_乗用_ガソリン,係数_乗用_CNG,係数_乗用_軽油,係数_乗用_メタノール,係数_乗用_LPG),1,1,BE461):INDEX((係数_乗用_ガソリン,係数_乗用_CNG,係数_乗用_軽油,係数_乗用_メタノール,係数_乗用_LPG),125,5,BE461),4,FALSE)))))</f>
        <v/>
      </c>
      <c r="AL461" s="461" t="str">
        <f t="shared" si="278"/>
        <v/>
      </c>
      <c r="AM461" s="460" t="str">
        <f>IF(AU461="","",IF(OR(AZ461=8,AZ461=9),0,IF(OR(AW461=3,AW461=4,AW461=5,AW461=6),IF(LEFT(BH461,1)="1",INDEX(係数_PM低減,MATCH(AY461,【参考】排出係数!$AI$801:$AI$804,1),MATCH(BI461,【参考】排出係数!$AL$798:$AO$798,1)),VLOOKUP(AU461,INDEX((係数_バス貨物_ガソリン,係数_バス貨物_CNG,係数_バス貨物_軽油,係数_バス貨物_メタノール,係数_バス貨物_LPG),MATCH(AY461,【参考】排出係数!$AI$4:$AI$671,1),1,BE461):INDEX((係数_バス貨物_ガソリン,係数_バス貨物_CNG,係数_バス貨物_軽油,係数_バス貨物_メタノール,係数_バス貨物_LPG),MATCH(AY461+1,【参考】排出係数!$AI$4:$AI$671,1)-1,5,BE461),5,FALSE)),IF(AND(BE461=3,LEFT(BF461,1)="1"),0.055,VLOOKUP(AU461,INDEX((係数_乗用_ガソリン,係数_乗用_CNG,係数_乗用_軽油,係数_乗用_メタノール,係数_乗用_LPG),1,1,BE461):INDEX((係数_乗用_ガソリン,係数_乗用_CNG,係数_乗用_軽油,係数_乗用_メタノール,係数_乗用_LPG),125,5,BE461),5,FALSE)))))</f>
        <v/>
      </c>
      <c r="AN461" s="461" t="str">
        <f t="shared" si="279"/>
        <v/>
      </c>
      <c r="AO461" s="462" t="str">
        <f t="shared" si="280"/>
        <v/>
      </c>
      <c r="AP461" s="463" t="str">
        <f t="shared" si="281"/>
        <v/>
      </c>
      <c r="AQ461" s="464"/>
      <c r="AR461" s="619"/>
      <c r="AS461" s="465" t="str">
        <f t="shared" si="260"/>
        <v/>
      </c>
      <c r="AT461" s="465" t="str">
        <f t="shared" si="261"/>
        <v/>
      </c>
      <c r="AU461" s="466" t="str">
        <f t="shared" si="262"/>
        <v/>
      </c>
      <c r="AV461" s="467" t="str">
        <f t="shared" si="263"/>
        <v/>
      </c>
      <c r="AW461" s="467" t="str">
        <f t="shared" si="264"/>
        <v/>
      </c>
      <c r="AX461" s="467" t="str">
        <f t="shared" si="265"/>
        <v/>
      </c>
      <c r="AY461" s="467" t="str">
        <f t="shared" si="266"/>
        <v/>
      </c>
      <c r="AZ461" s="467" t="str">
        <f t="shared" si="267"/>
        <v/>
      </c>
      <c r="BA461" s="468" t="str">
        <f>IF(AS461="","",IF(OR(AU461="",AU461="-"),"－",IF(OR(AZ461=8,AZ461=9),"",IF(OR(AW461=3,AW461=4,AW461=5,AW461=6),VLOOKUP(AU461,INDEX((係数_バス貨物_ガソリン,係数_バス貨物_CNG,係数_バス貨物_軽油,係数_バス貨物_メタノール,係数_バス貨物_LPG),MATCH(AY461,【参考】排出係数!$AI$4:$AI$671,1),1,BE461):INDEX((係数_バス貨物_ガソリン,係数_バス貨物_CNG,係数_バス貨物_軽油,係数_バス貨物_メタノール,係数_バス貨物_LPG),MATCH(AY461+1,【参考】排出係数!$AI$4:$AI$671,1)-1,5,BE461),2,FALSE),IF(OR(AW461=1,AW461=2),VLOOKUP(AU461,INDEX((係数_乗用_ガソリン,係数_乗用_CNG,係数_乗用_軽油,係数_乗用_メタノール,係数_乗用_LPG),1,1,BE461):INDEX((係数_乗用_ガソリン,係数_乗用_CNG,係数_乗用_軽油,係数_乗用_メタノール,係数_乗用_LPG),125,5,BE461),2,FALSE))))))</f>
        <v/>
      </c>
      <c r="BB461" s="468" t="str">
        <f>IF(T461="","",IF(OR(AU461="",AU461="-"),"－",IF(OR(AZ461=8,AZ461=9),"",IF(OR(AW461=3,AW461=4,AW461=5,AW461=6),VLOOKUP(AU461,INDEX((係数_バス貨物_ガソリン,係数_バス貨物_CNG,係数_バス貨物_軽油,係数_バス貨物_メタノール,係数_バス貨物_LPG),MATCH(AY461,【参考】排出係数!$AI$4:$AI$671,1),1,BE461):INDEX((係数_バス貨物_ガソリン,係数_バス貨物_CNG,係数_バス貨物_軽油,係数_バス貨物_メタノール,係数_バス貨物_LPG),MATCH(AY461+1,【参考】排出係数!$AI$4:$AI$671,1)-1,5,BE461),3,FALSE),IF(OR(AW461=1,AW461=2),VLOOKUP(AU461,INDEX((係数_乗用_ガソリン,係数_乗用_CNG,係数_乗用_軽油,係数_乗用_メタノール,係数_乗用_LPG),1,1,BE461):INDEX((係数_乗用_ガソリン,係数_乗用_CNG,係数_乗用_軽油,係数_乗用_メタノール,係数_乗用_LPG),125,5,BE461),3,FALSE))))))</f>
        <v/>
      </c>
      <c r="BC461" s="467" t="str">
        <f t="shared" si="268"/>
        <v/>
      </c>
      <c r="BD461" s="567" t="str">
        <f t="shared" si="269"/>
        <v/>
      </c>
      <c r="BE461" s="467" t="str">
        <f t="shared" si="270"/>
        <v/>
      </c>
      <c r="BF461" s="469" t="str">
        <f t="shared" ca="1" si="271"/>
        <v/>
      </c>
      <c r="BG461" s="469" t="str">
        <f t="shared" ca="1" si="272"/>
        <v/>
      </c>
      <c r="BH461" s="467" t="str">
        <f t="shared" si="273"/>
        <v/>
      </c>
      <c r="BI461" s="467" t="str">
        <f t="shared" ca="1" si="274"/>
        <v/>
      </c>
      <c r="BJ461" s="469" t="str">
        <f t="shared" si="275"/>
        <v/>
      </c>
      <c r="BK461" s="470" t="str">
        <f t="shared" si="255"/>
        <v/>
      </c>
      <c r="BL461" s="775" t="str">
        <f t="shared" si="276"/>
        <v/>
      </c>
      <c r="BM461" s="775" t="str">
        <f t="shared" si="277"/>
        <v/>
      </c>
    </row>
    <row r="462" spans="1:65">
      <c r="A462" s="473">
        <v>406</v>
      </c>
      <c r="B462" s="132"/>
      <c r="C462" s="332"/>
      <c r="D462" s="333"/>
      <c r="E462" s="333"/>
      <c r="F462" s="334"/>
      <c r="G462" s="337"/>
      <c r="H462" s="131"/>
      <c r="I462" s="337"/>
      <c r="J462" s="131"/>
      <c r="K462" s="458" t="str">
        <f t="shared" si="244"/>
        <v/>
      </c>
      <c r="L462" s="458">
        <f t="shared" si="256"/>
        <v>0</v>
      </c>
      <c r="M462" s="458">
        <f t="shared" si="257"/>
        <v>0</v>
      </c>
      <c r="N462" s="459" t="str">
        <f t="shared" si="245"/>
        <v/>
      </c>
      <c r="O462" s="459" t="str">
        <f t="shared" si="246"/>
        <v/>
      </c>
      <c r="P462" s="459" t="str">
        <f t="shared" si="247"/>
        <v/>
      </c>
      <c r="Q462" s="459" t="str">
        <f t="shared" si="248"/>
        <v/>
      </c>
      <c r="R462" s="459" t="str">
        <f t="shared" si="249"/>
        <v/>
      </c>
      <c r="S462" s="459" t="str">
        <f t="shared" si="250"/>
        <v/>
      </c>
      <c r="T462" s="566" t="str">
        <f t="shared" si="258"/>
        <v/>
      </c>
      <c r="U462" s="702"/>
      <c r="V462" s="132"/>
      <c r="W462" s="133"/>
      <c r="X462" s="134"/>
      <c r="Y462" s="135"/>
      <c r="Z462" s="137"/>
      <c r="AA462" s="136"/>
      <c r="AB462" s="566" t="str">
        <f t="shared" si="251"/>
        <v/>
      </c>
      <c r="AC462" s="568" t="str">
        <f t="shared" si="259"/>
        <v/>
      </c>
      <c r="AD462" s="137"/>
      <c r="AE462" s="137"/>
      <c r="AF462" s="138"/>
      <c r="AG462" s="138"/>
      <c r="AH462" s="592" t="str">
        <f t="shared" si="252"/>
        <v/>
      </c>
      <c r="AI462" s="592" t="str">
        <f t="shared" si="253"/>
        <v/>
      </c>
      <c r="AJ462" s="592" t="str">
        <f t="shared" si="254"/>
        <v/>
      </c>
      <c r="AK462" s="460" t="str">
        <f>IF(AU462="","",IF(OR(AZ462=8,AZ462=9),0,IF(OR(AW462=3,AW462=4,AW462=5,AW462=6),IF(LEFT(BF462,1)="1",INDEX(係数_NOX・PM低減,MATCH(AY462,【参考】排出係数!$AI$801:$AI$804,1),1),VLOOKUP(AU462,INDEX((係数_バス貨物_ガソリン,係数_バス貨物_CNG,係数_バス貨物_軽油,係数_バス貨物_メタノール,係数_バス貨物_LPG),MATCH(AY462,【参考】排出係数!$AI$4:$AI$671,1),1,BE462):INDEX((係数_バス貨物_ガソリン,係数_バス貨物_CNG,係数_バス貨物_軽油,係数_バス貨物_メタノール,係数_バス貨物_LPG),MATCH(AY462+1,【参考】排出係数!$AI$4:$AI$671,1)-1,5,BE462),4,FALSE)),IF(AND(BE462=3,LEFT(BF462,1)="1"),0.48,VLOOKUP(AU462,INDEX((係数_乗用_ガソリン,係数_乗用_CNG,係数_乗用_軽油,係数_乗用_メタノール,係数_乗用_LPG),1,1,BE462):INDEX((係数_乗用_ガソリン,係数_乗用_CNG,係数_乗用_軽油,係数_乗用_メタノール,係数_乗用_LPG),125,5,BE462),4,FALSE)))))</f>
        <v/>
      </c>
      <c r="AL462" s="461" t="str">
        <f t="shared" si="278"/>
        <v/>
      </c>
      <c r="AM462" s="460" t="str">
        <f>IF(AU462="","",IF(OR(AZ462=8,AZ462=9),0,IF(OR(AW462=3,AW462=4,AW462=5,AW462=6),IF(LEFT(BH462,1)="1",INDEX(係数_PM低減,MATCH(AY462,【参考】排出係数!$AI$801:$AI$804,1),MATCH(BI462,【参考】排出係数!$AL$798:$AO$798,1)),VLOOKUP(AU462,INDEX((係数_バス貨物_ガソリン,係数_バス貨物_CNG,係数_バス貨物_軽油,係数_バス貨物_メタノール,係数_バス貨物_LPG),MATCH(AY462,【参考】排出係数!$AI$4:$AI$671,1),1,BE462):INDEX((係数_バス貨物_ガソリン,係数_バス貨物_CNG,係数_バス貨物_軽油,係数_バス貨物_メタノール,係数_バス貨物_LPG),MATCH(AY462+1,【参考】排出係数!$AI$4:$AI$671,1)-1,5,BE462),5,FALSE)),IF(AND(BE462=3,LEFT(BF462,1)="1"),0.055,VLOOKUP(AU462,INDEX((係数_乗用_ガソリン,係数_乗用_CNG,係数_乗用_軽油,係数_乗用_メタノール,係数_乗用_LPG),1,1,BE462):INDEX((係数_乗用_ガソリン,係数_乗用_CNG,係数_乗用_軽油,係数_乗用_メタノール,係数_乗用_LPG),125,5,BE462),5,FALSE)))))</f>
        <v/>
      </c>
      <c r="AN462" s="461" t="str">
        <f t="shared" si="279"/>
        <v/>
      </c>
      <c r="AO462" s="462" t="str">
        <f t="shared" si="280"/>
        <v/>
      </c>
      <c r="AP462" s="463" t="str">
        <f t="shared" si="281"/>
        <v/>
      </c>
      <c r="AQ462" s="464"/>
      <c r="AR462" s="619"/>
      <c r="AS462" s="465" t="str">
        <f t="shared" si="260"/>
        <v/>
      </c>
      <c r="AT462" s="465" t="str">
        <f t="shared" si="261"/>
        <v/>
      </c>
      <c r="AU462" s="466" t="str">
        <f t="shared" si="262"/>
        <v/>
      </c>
      <c r="AV462" s="467" t="str">
        <f t="shared" si="263"/>
        <v/>
      </c>
      <c r="AW462" s="467" t="str">
        <f t="shared" si="264"/>
        <v/>
      </c>
      <c r="AX462" s="467" t="str">
        <f t="shared" si="265"/>
        <v/>
      </c>
      <c r="AY462" s="467" t="str">
        <f t="shared" si="266"/>
        <v/>
      </c>
      <c r="AZ462" s="467" t="str">
        <f t="shared" si="267"/>
        <v/>
      </c>
      <c r="BA462" s="468" t="str">
        <f>IF(AS462="","",IF(OR(AU462="",AU462="-"),"－",IF(OR(AZ462=8,AZ462=9),"",IF(OR(AW462=3,AW462=4,AW462=5,AW462=6),VLOOKUP(AU462,INDEX((係数_バス貨物_ガソリン,係数_バス貨物_CNG,係数_バス貨物_軽油,係数_バス貨物_メタノール,係数_バス貨物_LPG),MATCH(AY462,【参考】排出係数!$AI$4:$AI$671,1),1,BE462):INDEX((係数_バス貨物_ガソリン,係数_バス貨物_CNG,係数_バス貨物_軽油,係数_バス貨物_メタノール,係数_バス貨物_LPG),MATCH(AY462+1,【参考】排出係数!$AI$4:$AI$671,1)-1,5,BE462),2,FALSE),IF(OR(AW462=1,AW462=2),VLOOKUP(AU462,INDEX((係数_乗用_ガソリン,係数_乗用_CNG,係数_乗用_軽油,係数_乗用_メタノール,係数_乗用_LPG),1,1,BE462):INDEX((係数_乗用_ガソリン,係数_乗用_CNG,係数_乗用_軽油,係数_乗用_メタノール,係数_乗用_LPG),125,5,BE462),2,FALSE))))))</f>
        <v/>
      </c>
      <c r="BB462" s="468" t="str">
        <f>IF(T462="","",IF(OR(AU462="",AU462="-"),"－",IF(OR(AZ462=8,AZ462=9),"",IF(OR(AW462=3,AW462=4,AW462=5,AW462=6),VLOOKUP(AU462,INDEX((係数_バス貨物_ガソリン,係数_バス貨物_CNG,係数_バス貨物_軽油,係数_バス貨物_メタノール,係数_バス貨物_LPG),MATCH(AY462,【参考】排出係数!$AI$4:$AI$671,1),1,BE462):INDEX((係数_バス貨物_ガソリン,係数_バス貨物_CNG,係数_バス貨物_軽油,係数_バス貨物_メタノール,係数_バス貨物_LPG),MATCH(AY462+1,【参考】排出係数!$AI$4:$AI$671,1)-1,5,BE462),3,FALSE),IF(OR(AW462=1,AW462=2),VLOOKUP(AU462,INDEX((係数_乗用_ガソリン,係数_乗用_CNG,係数_乗用_軽油,係数_乗用_メタノール,係数_乗用_LPG),1,1,BE462):INDEX((係数_乗用_ガソリン,係数_乗用_CNG,係数_乗用_軽油,係数_乗用_メタノール,係数_乗用_LPG),125,5,BE462),3,FALSE))))))</f>
        <v/>
      </c>
      <c r="BC462" s="467" t="str">
        <f t="shared" si="268"/>
        <v/>
      </c>
      <c r="BD462" s="567" t="str">
        <f t="shared" si="269"/>
        <v/>
      </c>
      <c r="BE462" s="467" t="str">
        <f t="shared" si="270"/>
        <v/>
      </c>
      <c r="BF462" s="469" t="str">
        <f t="shared" ca="1" si="271"/>
        <v/>
      </c>
      <c r="BG462" s="469" t="str">
        <f t="shared" ca="1" si="272"/>
        <v/>
      </c>
      <c r="BH462" s="467" t="str">
        <f t="shared" si="273"/>
        <v/>
      </c>
      <c r="BI462" s="467" t="str">
        <f t="shared" ca="1" si="274"/>
        <v/>
      </c>
      <c r="BJ462" s="469" t="str">
        <f t="shared" si="275"/>
        <v/>
      </c>
      <c r="BK462" s="470" t="str">
        <f t="shared" si="255"/>
        <v/>
      </c>
      <c r="BL462" s="775" t="str">
        <f t="shared" si="276"/>
        <v/>
      </c>
      <c r="BM462" s="775" t="str">
        <f t="shared" si="277"/>
        <v/>
      </c>
    </row>
    <row r="463" spans="1:65">
      <c r="A463" s="473">
        <v>407</v>
      </c>
      <c r="B463" s="132"/>
      <c r="C463" s="332"/>
      <c r="D463" s="333"/>
      <c r="E463" s="333"/>
      <c r="F463" s="334"/>
      <c r="G463" s="337"/>
      <c r="H463" s="131"/>
      <c r="I463" s="337"/>
      <c r="J463" s="131"/>
      <c r="K463" s="458" t="str">
        <f t="shared" si="244"/>
        <v/>
      </c>
      <c r="L463" s="458">
        <f t="shared" si="256"/>
        <v>0</v>
      </c>
      <c r="M463" s="458">
        <f t="shared" si="257"/>
        <v>0</v>
      </c>
      <c r="N463" s="459" t="str">
        <f t="shared" si="245"/>
        <v/>
      </c>
      <c r="O463" s="459" t="str">
        <f t="shared" si="246"/>
        <v/>
      </c>
      <c r="P463" s="459" t="str">
        <f t="shared" si="247"/>
        <v/>
      </c>
      <c r="Q463" s="459" t="str">
        <f t="shared" si="248"/>
        <v/>
      </c>
      <c r="R463" s="459" t="str">
        <f t="shared" si="249"/>
        <v/>
      </c>
      <c r="S463" s="459" t="str">
        <f t="shared" si="250"/>
        <v/>
      </c>
      <c r="T463" s="566" t="str">
        <f t="shared" si="258"/>
        <v/>
      </c>
      <c r="U463" s="702"/>
      <c r="V463" s="132"/>
      <c r="W463" s="133"/>
      <c r="X463" s="134"/>
      <c r="Y463" s="135"/>
      <c r="Z463" s="137"/>
      <c r="AA463" s="136"/>
      <c r="AB463" s="566" t="str">
        <f t="shared" si="251"/>
        <v/>
      </c>
      <c r="AC463" s="568" t="str">
        <f t="shared" si="259"/>
        <v/>
      </c>
      <c r="AD463" s="137"/>
      <c r="AE463" s="137"/>
      <c r="AF463" s="138"/>
      <c r="AG463" s="138"/>
      <c r="AH463" s="592" t="str">
        <f t="shared" si="252"/>
        <v/>
      </c>
      <c r="AI463" s="592" t="str">
        <f t="shared" si="253"/>
        <v/>
      </c>
      <c r="AJ463" s="592" t="str">
        <f t="shared" si="254"/>
        <v/>
      </c>
      <c r="AK463" s="460" t="str">
        <f>IF(AU463="","",IF(OR(AZ463=8,AZ463=9),0,IF(OR(AW463=3,AW463=4,AW463=5,AW463=6),IF(LEFT(BF463,1)="1",INDEX(係数_NOX・PM低減,MATCH(AY463,【参考】排出係数!$AI$801:$AI$804,1),1),VLOOKUP(AU463,INDEX((係数_バス貨物_ガソリン,係数_バス貨物_CNG,係数_バス貨物_軽油,係数_バス貨物_メタノール,係数_バス貨物_LPG),MATCH(AY463,【参考】排出係数!$AI$4:$AI$671,1),1,BE463):INDEX((係数_バス貨物_ガソリン,係数_バス貨物_CNG,係数_バス貨物_軽油,係数_バス貨物_メタノール,係数_バス貨物_LPG),MATCH(AY463+1,【参考】排出係数!$AI$4:$AI$671,1)-1,5,BE463),4,FALSE)),IF(AND(BE463=3,LEFT(BF463,1)="1"),0.48,VLOOKUP(AU463,INDEX((係数_乗用_ガソリン,係数_乗用_CNG,係数_乗用_軽油,係数_乗用_メタノール,係数_乗用_LPG),1,1,BE463):INDEX((係数_乗用_ガソリン,係数_乗用_CNG,係数_乗用_軽油,係数_乗用_メタノール,係数_乗用_LPG),125,5,BE463),4,FALSE)))))</f>
        <v/>
      </c>
      <c r="AL463" s="461" t="str">
        <f t="shared" si="278"/>
        <v/>
      </c>
      <c r="AM463" s="460" t="str">
        <f>IF(AU463="","",IF(OR(AZ463=8,AZ463=9),0,IF(OR(AW463=3,AW463=4,AW463=5,AW463=6),IF(LEFT(BH463,1)="1",INDEX(係数_PM低減,MATCH(AY463,【参考】排出係数!$AI$801:$AI$804,1),MATCH(BI463,【参考】排出係数!$AL$798:$AO$798,1)),VLOOKUP(AU463,INDEX((係数_バス貨物_ガソリン,係数_バス貨物_CNG,係数_バス貨物_軽油,係数_バス貨物_メタノール,係数_バス貨物_LPG),MATCH(AY463,【参考】排出係数!$AI$4:$AI$671,1),1,BE463):INDEX((係数_バス貨物_ガソリン,係数_バス貨物_CNG,係数_バス貨物_軽油,係数_バス貨物_メタノール,係数_バス貨物_LPG),MATCH(AY463+1,【参考】排出係数!$AI$4:$AI$671,1)-1,5,BE463),5,FALSE)),IF(AND(BE463=3,LEFT(BF463,1)="1"),0.055,VLOOKUP(AU463,INDEX((係数_乗用_ガソリン,係数_乗用_CNG,係数_乗用_軽油,係数_乗用_メタノール,係数_乗用_LPG),1,1,BE463):INDEX((係数_乗用_ガソリン,係数_乗用_CNG,係数_乗用_軽油,係数_乗用_メタノール,係数_乗用_LPG),125,5,BE463),5,FALSE)))))</f>
        <v/>
      </c>
      <c r="AN463" s="461" t="str">
        <f t="shared" si="279"/>
        <v/>
      </c>
      <c r="AO463" s="462" t="str">
        <f t="shared" si="280"/>
        <v/>
      </c>
      <c r="AP463" s="463" t="str">
        <f t="shared" si="281"/>
        <v/>
      </c>
      <c r="AQ463" s="464"/>
      <c r="AR463" s="619"/>
      <c r="AS463" s="465" t="str">
        <f t="shared" si="260"/>
        <v/>
      </c>
      <c r="AT463" s="465" t="str">
        <f t="shared" si="261"/>
        <v/>
      </c>
      <c r="AU463" s="466" t="str">
        <f t="shared" si="262"/>
        <v/>
      </c>
      <c r="AV463" s="467" t="str">
        <f t="shared" si="263"/>
        <v/>
      </c>
      <c r="AW463" s="467" t="str">
        <f t="shared" si="264"/>
        <v/>
      </c>
      <c r="AX463" s="467" t="str">
        <f t="shared" si="265"/>
        <v/>
      </c>
      <c r="AY463" s="467" t="str">
        <f t="shared" si="266"/>
        <v/>
      </c>
      <c r="AZ463" s="467" t="str">
        <f t="shared" si="267"/>
        <v/>
      </c>
      <c r="BA463" s="468" t="str">
        <f>IF(AS463="","",IF(OR(AU463="",AU463="-"),"－",IF(OR(AZ463=8,AZ463=9),"",IF(OR(AW463=3,AW463=4,AW463=5,AW463=6),VLOOKUP(AU463,INDEX((係数_バス貨物_ガソリン,係数_バス貨物_CNG,係数_バス貨物_軽油,係数_バス貨物_メタノール,係数_バス貨物_LPG),MATCH(AY463,【参考】排出係数!$AI$4:$AI$671,1),1,BE463):INDEX((係数_バス貨物_ガソリン,係数_バス貨物_CNG,係数_バス貨物_軽油,係数_バス貨物_メタノール,係数_バス貨物_LPG),MATCH(AY463+1,【参考】排出係数!$AI$4:$AI$671,1)-1,5,BE463),2,FALSE),IF(OR(AW463=1,AW463=2),VLOOKUP(AU463,INDEX((係数_乗用_ガソリン,係数_乗用_CNG,係数_乗用_軽油,係数_乗用_メタノール,係数_乗用_LPG),1,1,BE463):INDEX((係数_乗用_ガソリン,係数_乗用_CNG,係数_乗用_軽油,係数_乗用_メタノール,係数_乗用_LPG),125,5,BE463),2,FALSE))))))</f>
        <v/>
      </c>
      <c r="BB463" s="468" t="str">
        <f>IF(T463="","",IF(OR(AU463="",AU463="-"),"－",IF(OR(AZ463=8,AZ463=9),"",IF(OR(AW463=3,AW463=4,AW463=5,AW463=6),VLOOKUP(AU463,INDEX((係数_バス貨物_ガソリン,係数_バス貨物_CNG,係数_バス貨物_軽油,係数_バス貨物_メタノール,係数_バス貨物_LPG),MATCH(AY463,【参考】排出係数!$AI$4:$AI$671,1),1,BE463):INDEX((係数_バス貨物_ガソリン,係数_バス貨物_CNG,係数_バス貨物_軽油,係数_バス貨物_メタノール,係数_バス貨物_LPG),MATCH(AY463+1,【参考】排出係数!$AI$4:$AI$671,1)-1,5,BE463),3,FALSE),IF(OR(AW463=1,AW463=2),VLOOKUP(AU463,INDEX((係数_乗用_ガソリン,係数_乗用_CNG,係数_乗用_軽油,係数_乗用_メタノール,係数_乗用_LPG),1,1,BE463):INDEX((係数_乗用_ガソリン,係数_乗用_CNG,係数_乗用_軽油,係数_乗用_メタノール,係数_乗用_LPG),125,5,BE463),3,FALSE))))))</f>
        <v/>
      </c>
      <c r="BC463" s="467" t="str">
        <f t="shared" si="268"/>
        <v/>
      </c>
      <c r="BD463" s="567" t="str">
        <f t="shared" si="269"/>
        <v/>
      </c>
      <c r="BE463" s="467" t="str">
        <f t="shared" si="270"/>
        <v/>
      </c>
      <c r="BF463" s="469" t="str">
        <f t="shared" ca="1" si="271"/>
        <v/>
      </c>
      <c r="BG463" s="469" t="str">
        <f t="shared" ca="1" si="272"/>
        <v/>
      </c>
      <c r="BH463" s="467" t="str">
        <f t="shared" si="273"/>
        <v/>
      </c>
      <c r="BI463" s="467" t="str">
        <f t="shared" ca="1" si="274"/>
        <v/>
      </c>
      <c r="BJ463" s="469" t="str">
        <f t="shared" si="275"/>
        <v/>
      </c>
      <c r="BK463" s="470" t="str">
        <f t="shared" si="255"/>
        <v/>
      </c>
      <c r="BL463" s="775" t="str">
        <f t="shared" si="276"/>
        <v/>
      </c>
      <c r="BM463" s="775" t="str">
        <f t="shared" si="277"/>
        <v/>
      </c>
    </row>
    <row r="464" spans="1:65">
      <c r="A464" s="473">
        <v>408</v>
      </c>
      <c r="B464" s="132"/>
      <c r="C464" s="332"/>
      <c r="D464" s="333"/>
      <c r="E464" s="333"/>
      <c r="F464" s="334"/>
      <c r="G464" s="337"/>
      <c r="H464" s="131"/>
      <c r="I464" s="337"/>
      <c r="J464" s="131"/>
      <c r="K464" s="458" t="str">
        <f t="shared" si="244"/>
        <v/>
      </c>
      <c r="L464" s="458">
        <f t="shared" si="256"/>
        <v>0</v>
      </c>
      <c r="M464" s="458">
        <f t="shared" si="257"/>
        <v>0</v>
      </c>
      <c r="N464" s="459" t="str">
        <f t="shared" si="245"/>
        <v/>
      </c>
      <c r="O464" s="459" t="str">
        <f t="shared" si="246"/>
        <v/>
      </c>
      <c r="P464" s="459" t="str">
        <f t="shared" si="247"/>
        <v/>
      </c>
      <c r="Q464" s="459" t="str">
        <f t="shared" si="248"/>
        <v/>
      </c>
      <c r="R464" s="459" t="str">
        <f t="shared" si="249"/>
        <v/>
      </c>
      <c r="S464" s="459" t="str">
        <f t="shared" si="250"/>
        <v/>
      </c>
      <c r="T464" s="566" t="str">
        <f t="shared" si="258"/>
        <v/>
      </c>
      <c r="U464" s="702"/>
      <c r="V464" s="132"/>
      <c r="W464" s="133"/>
      <c r="X464" s="134"/>
      <c r="Y464" s="135"/>
      <c r="Z464" s="137"/>
      <c r="AA464" s="136"/>
      <c r="AB464" s="566" t="str">
        <f t="shared" si="251"/>
        <v/>
      </c>
      <c r="AC464" s="568" t="str">
        <f t="shared" si="259"/>
        <v/>
      </c>
      <c r="AD464" s="137"/>
      <c r="AE464" s="137"/>
      <c r="AF464" s="138"/>
      <c r="AG464" s="138"/>
      <c r="AH464" s="592" t="str">
        <f t="shared" si="252"/>
        <v/>
      </c>
      <c r="AI464" s="592" t="str">
        <f t="shared" si="253"/>
        <v/>
      </c>
      <c r="AJ464" s="592" t="str">
        <f t="shared" si="254"/>
        <v/>
      </c>
      <c r="AK464" s="460" t="str">
        <f>IF(AU464="","",IF(OR(AZ464=8,AZ464=9),0,IF(OR(AW464=3,AW464=4,AW464=5,AW464=6),IF(LEFT(BF464,1)="1",INDEX(係数_NOX・PM低減,MATCH(AY464,【参考】排出係数!$AI$801:$AI$804,1),1),VLOOKUP(AU464,INDEX((係数_バス貨物_ガソリン,係数_バス貨物_CNG,係数_バス貨物_軽油,係数_バス貨物_メタノール,係数_バス貨物_LPG),MATCH(AY464,【参考】排出係数!$AI$4:$AI$671,1),1,BE464):INDEX((係数_バス貨物_ガソリン,係数_バス貨物_CNG,係数_バス貨物_軽油,係数_バス貨物_メタノール,係数_バス貨物_LPG),MATCH(AY464+1,【参考】排出係数!$AI$4:$AI$671,1)-1,5,BE464),4,FALSE)),IF(AND(BE464=3,LEFT(BF464,1)="1"),0.48,VLOOKUP(AU464,INDEX((係数_乗用_ガソリン,係数_乗用_CNG,係数_乗用_軽油,係数_乗用_メタノール,係数_乗用_LPG),1,1,BE464):INDEX((係数_乗用_ガソリン,係数_乗用_CNG,係数_乗用_軽油,係数_乗用_メタノール,係数_乗用_LPG),125,5,BE464),4,FALSE)))))</f>
        <v/>
      </c>
      <c r="AL464" s="461" t="str">
        <f t="shared" si="278"/>
        <v/>
      </c>
      <c r="AM464" s="460" t="str">
        <f>IF(AU464="","",IF(OR(AZ464=8,AZ464=9),0,IF(OR(AW464=3,AW464=4,AW464=5,AW464=6),IF(LEFT(BH464,1)="1",INDEX(係数_PM低減,MATCH(AY464,【参考】排出係数!$AI$801:$AI$804,1),MATCH(BI464,【参考】排出係数!$AL$798:$AO$798,1)),VLOOKUP(AU464,INDEX((係数_バス貨物_ガソリン,係数_バス貨物_CNG,係数_バス貨物_軽油,係数_バス貨物_メタノール,係数_バス貨物_LPG),MATCH(AY464,【参考】排出係数!$AI$4:$AI$671,1),1,BE464):INDEX((係数_バス貨物_ガソリン,係数_バス貨物_CNG,係数_バス貨物_軽油,係数_バス貨物_メタノール,係数_バス貨物_LPG),MATCH(AY464+1,【参考】排出係数!$AI$4:$AI$671,1)-1,5,BE464),5,FALSE)),IF(AND(BE464=3,LEFT(BF464,1)="1"),0.055,VLOOKUP(AU464,INDEX((係数_乗用_ガソリン,係数_乗用_CNG,係数_乗用_軽油,係数_乗用_メタノール,係数_乗用_LPG),1,1,BE464):INDEX((係数_乗用_ガソリン,係数_乗用_CNG,係数_乗用_軽油,係数_乗用_メタノール,係数_乗用_LPG),125,5,BE464),5,FALSE)))))</f>
        <v/>
      </c>
      <c r="AN464" s="461" t="str">
        <f t="shared" si="279"/>
        <v/>
      </c>
      <c r="AO464" s="462" t="str">
        <f t="shared" si="280"/>
        <v/>
      </c>
      <c r="AP464" s="463" t="str">
        <f t="shared" si="281"/>
        <v/>
      </c>
      <c r="AQ464" s="464"/>
      <c r="AR464" s="619"/>
      <c r="AS464" s="465" t="str">
        <f t="shared" si="260"/>
        <v/>
      </c>
      <c r="AT464" s="465" t="str">
        <f t="shared" si="261"/>
        <v/>
      </c>
      <c r="AU464" s="466" t="str">
        <f t="shared" si="262"/>
        <v/>
      </c>
      <c r="AV464" s="467" t="str">
        <f t="shared" si="263"/>
        <v/>
      </c>
      <c r="AW464" s="467" t="str">
        <f t="shared" si="264"/>
        <v/>
      </c>
      <c r="AX464" s="467" t="str">
        <f t="shared" si="265"/>
        <v/>
      </c>
      <c r="AY464" s="467" t="str">
        <f t="shared" si="266"/>
        <v/>
      </c>
      <c r="AZ464" s="467" t="str">
        <f t="shared" si="267"/>
        <v/>
      </c>
      <c r="BA464" s="468" t="str">
        <f>IF(AS464="","",IF(OR(AU464="",AU464="-"),"－",IF(OR(AZ464=8,AZ464=9),"",IF(OR(AW464=3,AW464=4,AW464=5,AW464=6),VLOOKUP(AU464,INDEX((係数_バス貨物_ガソリン,係数_バス貨物_CNG,係数_バス貨物_軽油,係数_バス貨物_メタノール,係数_バス貨物_LPG),MATCH(AY464,【参考】排出係数!$AI$4:$AI$671,1),1,BE464):INDEX((係数_バス貨物_ガソリン,係数_バス貨物_CNG,係数_バス貨物_軽油,係数_バス貨物_メタノール,係数_バス貨物_LPG),MATCH(AY464+1,【参考】排出係数!$AI$4:$AI$671,1)-1,5,BE464),2,FALSE),IF(OR(AW464=1,AW464=2),VLOOKUP(AU464,INDEX((係数_乗用_ガソリン,係数_乗用_CNG,係数_乗用_軽油,係数_乗用_メタノール,係数_乗用_LPG),1,1,BE464):INDEX((係数_乗用_ガソリン,係数_乗用_CNG,係数_乗用_軽油,係数_乗用_メタノール,係数_乗用_LPG),125,5,BE464),2,FALSE))))))</f>
        <v/>
      </c>
      <c r="BB464" s="468" t="str">
        <f>IF(T464="","",IF(OR(AU464="",AU464="-"),"－",IF(OR(AZ464=8,AZ464=9),"",IF(OR(AW464=3,AW464=4,AW464=5,AW464=6),VLOOKUP(AU464,INDEX((係数_バス貨物_ガソリン,係数_バス貨物_CNG,係数_バス貨物_軽油,係数_バス貨物_メタノール,係数_バス貨物_LPG),MATCH(AY464,【参考】排出係数!$AI$4:$AI$671,1),1,BE464):INDEX((係数_バス貨物_ガソリン,係数_バス貨物_CNG,係数_バス貨物_軽油,係数_バス貨物_メタノール,係数_バス貨物_LPG),MATCH(AY464+1,【参考】排出係数!$AI$4:$AI$671,1)-1,5,BE464),3,FALSE),IF(OR(AW464=1,AW464=2),VLOOKUP(AU464,INDEX((係数_乗用_ガソリン,係数_乗用_CNG,係数_乗用_軽油,係数_乗用_メタノール,係数_乗用_LPG),1,1,BE464):INDEX((係数_乗用_ガソリン,係数_乗用_CNG,係数_乗用_軽油,係数_乗用_メタノール,係数_乗用_LPG),125,5,BE464),3,FALSE))))))</f>
        <v/>
      </c>
      <c r="BC464" s="467" t="str">
        <f t="shared" si="268"/>
        <v/>
      </c>
      <c r="BD464" s="567" t="str">
        <f t="shared" si="269"/>
        <v/>
      </c>
      <c r="BE464" s="467" t="str">
        <f t="shared" si="270"/>
        <v/>
      </c>
      <c r="BF464" s="469" t="str">
        <f t="shared" ca="1" si="271"/>
        <v/>
      </c>
      <c r="BG464" s="469" t="str">
        <f t="shared" ca="1" si="272"/>
        <v/>
      </c>
      <c r="BH464" s="467" t="str">
        <f t="shared" si="273"/>
        <v/>
      </c>
      <c r="BI464" s="467" t="str">
        <f t="shared" ca="1" si="274"/>
        <v/>
      </c>
      <c r="BJ464" s="469" t="str">
        <f t="shared" si="275"/>
        <v/>
      </c>
      <c r="BK464" s="470" t="str">
        <f t="shared" si="255"/>
        <v/>
      </c>
      <c r="BL464" s="775" t="str">
        <f t="shared" si="276"/>
        <v/>
      </c>
      <c r="BM464" s="775" t="str">
        <f t="shared" si="277"/>
        <v/>
      </c>
    </row>
    <row r="465" spans="1:65">
      <c r="A465" s="473">
        <v>409</v>
      </c>
      <c r="B465" s="132"/>
      <c r="C465" s="332"/>
      <c r="D465" s="333"/>
      <c r="E465" s="333"/>
      <c r="F465" s="334"/>
      <c r="G465" s="337"/>
      <c r="H465" s="131"/>
      <c r="I465" s="337"/>
      <c r="J465" s="131"/>
      <c r="K465" s="458" t="str">
        <f t="shared" si="244"/>
        <v/>
      </c>
      <c r="L465" s="458">
        <f t="shared" si="256"/>
        <v>0</v>
      </c>
      <c r="M465" s="458">
        <f t="shared" si="257"/>
        <v>0</v>
      </c>
      <c r="N465" s="459" t="str">
        <f t="shared" si="245"/>
        <v/>
      </c>
      <c r="O465" s="459" t="str">
        <f t="shared" si="246"/>
        <v/>
      </c>
      <c r="P465" s="459" t="str">
        <f t="shared" si="247"/>
        <v/>
      </c>
      <c r="Q465" s="459" t="str">
        <f t="shared" si="248"/>
        <v/>
      </c>
      <c r="R465" s="459" t="str">
        <f t="shared" si="249"/>
        <v/>
      </c>
      <c r="S465" s="459" t="str">
        <f t="shared" si="250"/>
        <v/>
      </c>
      <c r="T465" s="566" t="str">
        <f t="shared" si="258"/>
        <v/>
      </c>
      <c r="U465" s="702"/>
      <c r="V465" s="132"/>
      <c r="W465" s="133"/>
      <c r="X465" s="134"/>
      <c r="Y465" s="135"/>
      <c r="Z465" s="137"/>
      <c r="AA465" s="136"/>
      <c r="AB465" s="566" t="str">
        <f t="shared" si="251"/>
        <v/>
      </c>
      <c r="AC465" s="568" t="str">
        <f t="shared" si="259"/>
        <v/>
      </c>
      <c r="AD465" s="137"/>
      <c r="AE465" s="137"/>
      <c r="AF465" s="138"/>
      <c r="AG465" s="138"/>
      <c r="AH465" s="592" t="str">
        <f t="shared" si="252"/>
        <v/>
      </c>
      <c r="AI465" s="592" t="str">
        <f t="shared" si="253"/>
        <v/>
      </c>
      <c r="AJ465" s="592" t="str">
        <f t="shared" si="254"/>
        <v/>
      </c>
      <c r="AK465" s="460" t="str">
        <f>IF(AU465="","",IF(OR(AZ465=8,AZ465=9),0,IF(OR(AW465=3,AW465=4,AW465=5,AW465=6),IF(LEFT(BF465,1)="1",INDEX(係数_NOX・PM低減,MATCH(AY465,【参考】排出係数!$AI$801:$AI$804,1),1),VLOOKUP(AU465,INDEX((係数_バス貨物_ガソリン,係数_バス貨物_CNG,係数_バス貨物_軽油,係数_バス貨物_メタノール,係数_バス貨物_LPG),MATCH(AY465,【参考】排出係数!$AI$4:$AI$671,1),1,BE465):INDEX((係数_バス貨物_ガソリン,係数_バス貨物_CNG,係数_バス貨物_軽油,係数_バス貨物_メタノール,係数_バス貨物_LPG),MATCH(AY465+1,【参考】排出係数!$AI$4:$AI$671,1)-1,5,BE465),4,FALSE)),IF(AND(BE465=3,LEFT(BF465,1)="1"),0.48,VLOOKUP(AU465,INDEX((係数_乗用_ガソリン,係数_乗用_CNG,係数_乗用_軽油,係数_乗用_メタノール,係数_乗用_LPG),1,1,BE465):INDEX((係数_乗用_ガソリン,係数_乗用_CNG,係数_乗用_軽油,係数_乗用_メタノール,係数_乗用_LPG),125,5,BE465),4,FALSE)))))</f>
        <v/>
      </c>
      <c r="AL465" s="461" t="str">
        <f t="shared" si="278"/>
        <v/>
      </c>
      <c r="AM465" s="460" t="str">
        <f>IF(AU465="","",IF(OR(AZ465=8,AZ465=9),0,IF(OR(AW465=3,AW465=4,AW465=5,AW465=6),IF(LEFT(BH465,1)="1",INDEX(係数_PM低減,MATCH(AY465,【参考】排出係数!$AI$801:$AI$804,1),MATCH(BI465,【参考】排出係数!$AL$798:$AO$798,1)),VLOOKUP(AU465,INDEX((係数_バス貨物_ガソリン,係数_バス貨物_CNG,係数_バス貨物_軽油,係数_バス貨物_メタノール,係数_バス貨物_LPG),MATCH(AY465,【参考】排出係数!$AI$4:$AI$671,1),1,BE465):INDEX((係数_バス貨物_ガソリン,係数_バス貨物_CNG,係数_バス貨物_軽油,係数_バス貨物_メタノール,係数_バス貨物_LPG),MATCH(AY465+1,【参考】排出係数!$AI$4:$AI$671,1)-1,5,BE465),5,FALSE)),IF(AND(BE465=3,LEFT(BF465,1)="1"),0.055,VLOOKUP(AU465,INDEX((係数_乗用_ガソリン,係数_乗用_CNG,係数_乗用_軽油,係数_乗用_メタノール,係数_乗用_LPG),1,1,BE465):INDEX((係数_乗用_ガソリン,係数_乗用_CNG,係数_乗用_軽油,係数_乗用_メタノール,係数_乗用_LPG),125,5,BE465),5,FALSE)))))</f>
        <v/>
      </c>
      <c r="AN465" s="461" t="str">
        <f t="shared" si="279"/>
        <v/>
      </c>
      <c r="AO465" s="462" t="str">
        <f t="shared" si="280"/>
        <v/>
      </c>
      <c r="AP465" s="463" t="str">
        <f t="shared" si="281"/>
        <v/>
      </c>
      <c r="AQ465" s="464"/>
      <c r="AR465" s="619"/>
      <c r="AS465" s="465" t="str">
        <f t="shared" si="260"/>
        <v/>
      </c>
      <c r="AT465" s="465" t="str">
        <f t="shared" si="261"/>
        <v/>
      </c>
      <c r="AU465" s="466" t="str">
        <f t="shared" si="262"/>
        <v/>
      </c>
      <c r="AV465" s="467" t="str">
        <f t="shared" si="263"/>
        <v/>
      </c>
      <c r="AW465" s="467" t="str">
        <f t="shared" si="264"/>
        <v/>
      </c>
      <c r="AX465" s="467" t="str">
        <f t="shared" si="265"/>
        <v/>
      </c>
      <c r="AY465" s="467" t="str">
        <f t="shared" si="266"/>
        <v/>
      </c>
      <c r="AZ465" s="467" t="str">
        <f t="shared" si="267"/>
        <v/>
      </c>
      <c r="BA465" s="468" t="str">
        <f>IF(AS465="","",IF(OR(AU465="",AU465="-"),"－",IF(OR(AZ465=8,AZ465=9),"",IF(OR(AW465=3,AW465=4,AW465=5,AW465=6),VLOOKUP(AU465,INDEX((係数_バス貨物_ガソリン,係数_バス貨物_CNG,係数_バス貨物_軽油,係数_バス貨物_メタノール,係数_バス貨物_LPG),MATCH(AY465,【参考】排出係数!$AI$4:$AI$671,1),1,BE465):INDEX((係数_バス貨物_ガソリン,係数_バス貨物_CNG,係数_バス貨物_軽油,係数_バス貨物_メタノール,係数_バス貨物_LPG),MATCH(AY465+1,【参考】排出係数!$AI$4:$AI$671,1)-1,5,BE465),2,FALSE),IF(OR(AW465=1,AW465=2),VLOOKUP(AU465,INDEX((係数_乗用_ガソリン,係数_乗用_CNG,係数_乗用_軽油,係数_乗用_メタノール,係数_乗用_LPG),1,1,BE465):INDEX((係数_乗用_ガソリン,係数_乗用_CNG,係数_乗用_軽油,係数_乗用_メタノール,係数_乗用_LPG),125,5,BE465),2,FALSE))))))</f>
        <v/>
      </c>
      <c r="BB465" s="468" t="str">
        <f>IF(T465="","",IF(OR(AU465="",AU465="-"),"－",IF(OR(AZ465=8,AZ465=9),"",IF(OR(AW465=3,AW465=4,AW465=5,AW465=6),VLOOKUP(AU465,INDEX((係数_バス貨物_ガソリン,係数_バス貨物_CNG,係数_バス貨物_軽油,係数_バス貨物_メタノール,係数_バス貨物_LPG),MATCH(AY465,【参考】排出係数!$AI$4:$AI$671,1),1,BE465):INDEX((係数_バス貨物_ガソリン,係数_バス貨物_CNG,係数_バス貨物_軽油,係数_バス貨物_メタノール,係数_バス貨物_LPG),MATCH(AY465+1,【参考】排出係数!$AI$4:$AI$671,1)-1,5,BE465),3,FALSE),IF(OR(AW465=1,AW465=2),VLOOKUP(AU465,INDEX((係数_乗用_ガソリン,係数_乗用_CNG,係数_乗用_軽油,係数_乗用_メタノール,係数_乗用_LPG),1,1,BE465):INDEX((係数_乗用_ガソリン,係数_乗用_CNG,係数_乗用_軽油,係数_乗用_メタノール,係数_乗用_LPG),125,5,BE465),3,FALSE))))))</f>
        <v/>
      </c>
      <c r="BC465" s="467" t="str">
        <f t="shared" si="268"/>
        <v/>
      </c>
      <c r="BD465" s="567" t="str">
        <f t="shared" si="269"/>
        <v/>
      </c>
      <c r="BE465" s="467" t="str">
        <f t="shared" si="270"/>
        <v/>
      </c>
      <c r="BF465" s="469" t="str">
        <f t="shared" ca="1" si="271"/>
        <v/>
      </c>
      <c r="BG465" s="469" t="str">
        <f t="shared" ca="1" si="272"/>
        <v/>
      </c>
      <c r="BH465" s="467" t="str">
        <f t="shared" si="273"/>
        <v/>
      </c>
      <c r="BI465" s="467" t="str">
        <f t="shared" ca="1" si="274"/>
        <v/>
      </c>
      <c r="BJ465" s="469" t="str">
        <f t="shared" si="275"/>
        <v/>
      </c>
      <c r="BK465" s="470" t="str">
        <f t="shared" si="255"/>
        <v/>
      </c>
      <c r="BL465" s="775" t="str">
        <f t="shared" si="276"/>
        <v/>
      </c>
      <c r="BM465" s="775" t="str">
        <f t="shared" si="277"/>
        <v/>
      </c>
    </row>
    <row r="466" spans="1:65">
      <c r="A466" s="473">
        <v>410</v>
      </c>
      <c r="B466" s="132"/>
      <c r="C466" s="332"/>
      <c r="D466" s="333"/>
      <c r="E466" s="333"/>
      <c r="F466" s="334"/>
      <c r="G466" s="337"/>
      <c r="H466" s="131"/>
      <c r="I466" s="337"/>
      <c r="J466" s="131"/>
      <c r="K466" s="458" t="str">
        <f t="shared" si="244"/>
        <v/>
      </c>
      <c r="L466" s="458">
        <f t="shared" si="256"/>
        <v>0</v>
      </c>
      <c r="M466" s="458">
        <f t="shared" si="257"/>
        <v>0</v>
      </c>
      <c r="N466" s="459" t="str">
        <f t="shared" si="245"/>
        <v/>
      </c>
      <c r="O466" s="459" t="str">
        <f t="shared" si="246"/>
        <v/>
      </c>
      <c r="P466" s="459" t="str">
        <f t="shared" si="247"/>
        <v/>
      </c>
      <c r="Q466" s="459" t="str">
        <f t="shared" si="248"/>
        <v/>
      </c>
      <c r="R466" s="459" t="str">
        <f t="shared" si="249"/>
        <v/>
      </c>
      <c r="S466" s="459" t="str">
        <f t="shared" si="250"/>
        <v/>
      </c>
      <c r="T466" s="566" t="str">
        <f t="shared" si="258"/>
        <v/>
      </c>
      <c r="U466" s="702"/>
      <c r="V466" s="132"/>
      <c r="W466" s="133"/>
      <c r="X466" s="134"/>
      <c r="Y466" s="135"/>
      <c r="Z466" s="137"/>
      <c r="AA466" s="136"/>
      <c r="AB466" s="566" t="str">
        <f t="shared" si="251"/>
        <v/>
      </c>
      <c r="AC466" s="568" t="str">
        <f t="shared" si="259"/>
        <v/>
      </c>
      <c r="AD466" s="137"/>
      <c r="AE466" s="137"/>
      <c r="AF466" s="138"/>
      <c r="AG466" s="138"/>
      <c r="AH466" s="592" t="str">
        <f t="shared" si="252"/>
        <v/>
      </c>
      <c r="AI466" s="592" t="str">
        <f t="shared" si="253"/>
        <v/>
      </c>
      <c r="AJ466" s="592" t="str">
        <f t="shared" si="254"/>
        <v/>
      </c>
      <c r="AK466" s="460" t="str">
        <f>IF(AU466="","",IF(OR(AZ466=8,AZ466=9),0,IF(OR(AW466=3,AW466=4,AW466=5,AW466=6),IF(LEFT(BF466,1)="1",INDEX(係数_NOX・PM低減,MATCH(AY466,【参考】排出係数!$AI$801:$AI$804,1),1),VLOOKUP(AU466,INDEX((係数_バス貨物_ガソリン,係数_バス貨物_CNG,係数_バス貨物_軽油,係数_バス貨物_メタノール,係数_バス貨物_LPG),MATCH(AY466,【参考】排出係数!$AI$4:$AI$671,1),1,BE466):INDEX((係数_バス貨物_ガソリン,係数_バス貨物_CNG,係数_バス貨物_軽油,係数_バス貨物_メタノール,係数_バス貨物_LPG),MATCH(AY466+1,【参考】排出係数!$AI$4:$AI$671,1)-1,5,BE466),4,FALSE)),IF(AND(BE466=3,LEFT(BF466,1)="1"),0.48,VLOOKUP(AU466,INDEX((係数_乗用_ガソリン,係数_乗用_CNG,係数_乗用_軽油,係数_乗用_メタノール,係数_乗用_LPG),1,1,BE466):INDEX((係数_乗用_ガソリン,係数_乗用_CNG,係数_乗用_軽油,係数_乗用_メタノール,係数_乗用_LPG),125,5,BE466),4,FALSE)))))</f>
        <v/>
      </c>
      <c r="AL466" s="461" t="str">
        <f t="shared" si="278"/>
        <v/>
      </c>
      <c r="AM466" s="460" t="str">
        <f>IF(AU466="","",IF(OR(AZ466=8,AZ466=9),0,IF(OR(AW466=3,AW466=4,AW466=5,AW466=6),IF(LEFT(BH466,1)="1",INDEX(係数_PM低減,MATCH(AY466,【参考】排出係数!$AI$801:$AI$804,1),MATCH(BI466,【参考】排出係数!$AL$798:$AO$798,1)),VLOOKUP(AU466,INDEX((係数_バス貨物_ガソリン,係数_バス貨物_CNG,係数_バス貨物_軽油,係数_バス貨物_メタノール,係数_バス貨物_LPG),MATCH(AY466,【参考】排出係数!$AI$4:$AI$671,1),1,BE466):INDEX((係数_バス貨物_ガソリン,係数_バス貨物_CNG,係数_バス貨物_軽油,係数_バス貨物_メタノール,係数_バス貨物_LPG),MATCH(AY466+1,【参考】排出係数!$AI$4:$AI$671,1)-1,5,BE466),5,FALSE)),IF(AND(BE466=3,LEFT(BF466,1)="1"),0.055,VLOOKUP(AU466,INDEX((係数_乗用_ガソリン,係数_乗用_CNG,係数_乗用_軽油,係数_乗用_メタノール,係数_乗用_LPG),1,1,BE466):INDEX((係数_乗用_ガソリン,係数_乗用_CNG,係数_乗用_軽油,係数_乗用_メタノール,係数_乗用_LPG),125,5,BE466),5,FALSE)))))</f>
        <v/>
      </c>
      <c r="AN466" s="461" t="str">
        <f t="shared" si="279"/>
        <v/>
      </c>
      <c r="AO466" s="462" t="str">
        <f t="shared" si="280"/>
        <v/>
      </c>
      <c r="AP466" s="463" t="str">
        <f t="shared" si="281"/>
        <v/>
      </c>
      <c r="AQ466" s="464"/>
      <c r="AR466" s="619"/>
      <c r="AS466" s="465" t="str">
        <f t="shared" si="260"/>
        <v/>
      </c>
      <c r="AT466" s="465" t="str">
        <f t="shared" si="261"/>
        <v/>
      </c>
      <c r="AU466" s="466" t="str">
        <f t="shared" si="262"/>
        <v/>
      </c>
      <c r="AV466" s="467" t="str">
        <f t="shared" si="263"/>
        <v/>
      </c>
      <c r="AW466" s="467" t="str">
        <f t="shared" si="264"/>
        <v/>
      </c>
      <c r="AX466" s="467" t="str">
        <f t="shared" si="265"/>
        <v/>
      </c>
      <c r="AY466" s="467" t="str">
        <f t="shared" si="266"/>
        <v/>
      </c>
      <c r="AZ466" s="467" t="str">
        <f t="shared" si="267"/>
        <v/>
      </c>
      <c r="BA466" s="468" t="str">
        <f>IF(AS466="","",IF(OR(AU466="",AU466="-"),"－",IF(OR(AZ466=8,AZ466=9),"",IF(OR(AW466=3,AW466=4,AW466=5,AW466=6),VLOOKUP(AU466,INDEX((係数_バス貨物_ガソリン,係数_バス貨物_CNG,係数_バス貨物_軽油,係数_バス貨物_メタノール,係数_バス貨物_LPG),MATCH(AY466,【参考】排出係数!$AI$4:$AI$671,1),1,BE466):INDEX((係数_バス貨物_ガソリン,係数_バス貨物_CNG,係数_バス貨物_軽油,係数_バス貨物_メタノール,係数_バス貨物_LPG),MATCH(AY466+1,【参考】排出係数!$AI$4:$AI$671,1)-1,5,BE466),2,FALSE),IF(OR(AW466=1,AW466=2),VLOOKUP(AU466,INDEX((係数_乗用_ガソリン,係数_乗用_CNG,係数_乗用_軽油,係数_乗用_メタノール,係数_乗用_LPG),1,1,BE466):INDEX((係数_乗用_ガソリン,係数_乗用_CNG,係数_乗用_軽油,係数_乗用_メタノール,係数_乗用_LPG),125,5,BE466),2,FALSE))))))</f>
        <v/>
      </c>
      <c r="BB466" s="468" t="str">
        <f>IF(T466="","",IF(OR(AU466="",AU466="-"),"－",IF(OR(AZ466=8,AZ466=9),"",IF(OR(AW466=3,AW466=4,AW466=5,AW466=6),VLOOKUP(AU466,INDEX((係数_バス貨物_ガソリン,係数_バス貨物_CNG,係数_バス貨物_軽油,係数_バス貨物_メタノール,係数_バス貨物_LPG),MATCH(AY466,【参考】排出係数!$AI$4:$AI$671,1),1,BE466):INDEX((係数_バス貨物_ガソリン,係数_バス貨物_CNG,係数_バス貨物_軽油,係数_バス貨物_メタノール,係数_バス貨物_LPG),MATCH(AY466+1,【参考】排出係数!$AI$4:$AI$671,1)-1,5,BE466),3,FALSE),IF(OR(AW466=1,AW466=2),VLOOKUP(AU466,INDEX((係数_乗用_ガソリン,係数_乗用_CNG,係数_乗用_軽油,係数_乗用_メタノール,係数_乗用_LPG),1,1,BE466):INDEX((係数_乗用_ガソリン,係数_乗用_CNG,係数_乗用_軽油,係数_乗用_メタノール,係数_乗用_LPG),125,5,BE466),3,FALSE))))))</f>
        <v/>
      </c>
      <c r="BC466" s="467" t="str">
        <f t="shared" si="268"/>
        <v/>
      </c>
      <c r="BD466" s="567" t="str">
        <f t="shared" si="269"/>
        <v/>
      </c>
      <c r="BE466" s="467" t="str">
        <f t="shared" si="270"/>
        <v/>
      </c>
      <c r="BF466" s="469" t="str">
        <f t="shared" ca="1" si="271"/>
        <v/>
      </c>
      <c r="BG466" s="469" t="str">
        <f t="shared" ca="1" si="272"/>
        <v/>
      </c>
      <c r="BH466" s="467" t="str">
        <f t="shared" si="273"/>
        <v/>
      </c>
      <c r="BI466" s="467" t="str">
        <f t="shared" ca="1" si="274"/>
        <v/>
      </c>
      <c r="BJ466" s="469" t="str">
        <f t="shared" si="275"/>
        <v/>
      </c>
      <c r="BK466" s="470" t="str">
        <f t="shared" si="255"/>
        <v/>
      </c>
      <c r="BL466" s="775" t="str">
        <f t="shared" si="276"/>
        <v/>
      </c>
      <c r="BM466" s="775" t="str">
        <f t="shared" si="277"/>
        <v/>
      </c>
    </row>
    <row r="467" spans="1:65">
      <c r="A467" s="473">
        <v>411</v>
      </c>
      <c r="B467" s="132"/>
      <c r="C467" s="332"/>
      <c r="D467" s="333"/>
      <c r="E467" s="333"/>
      <c r="F467" s="334"/>
      <c r="G467" s="337"/>
      <c r="H467" s="131"/>
      <c r="I467" s="337"/>
      <c r="J467" s="131"/>
      <c r="K467" s="458" t="str">
        <f t="shared" si="244"/>
        <v/>
      </c>
      <c r="L467" s="458">
        <f t="shared" si="256"/>
        <v>0</v>
      </c>
      <c r="M467" s="458">
        <f t="shared" si="257"/>
        <v>0</v>
      </c>
      <c r="N467" s="459" t="str">
        <f t="shared" si="245"/>
        <v/>
      </c>
      <c r="O467" s="459" t="str">
        <f t="shared" si="246"/>
        <v/>
      </c>
      <c r="P467" s="459" t="str">
        <f t="shared" si="247"/>
        <v/>
      </c>
      <c r="Q467" s="459" t="str">
        <f t="shared" si="248"/>
        <v/>
      </c>
      <c r="R467" s="459" t="str">
        <f t="shared" si="249"/>
        <v/>
      </c>
      <c r="S467" s="459" t="str">
        <f t="shared" si="250"/>
        <v/>
      </c>
      <c r="T467" s="566" t="str">
        <f t="shared" si="258"/>
        <v/>
      </c>
      <c r="U467" s="702"/>
      <c r="V467" s="132"/>
      <c r="W467" s="133"/>
      <c r="X467" s="134"/>
      <c r="Y467" s="135"/>
      <c r="Z467" s="137"/>
      <c r="AA467" s="136"/>
      <c r="AB467" s="566" t="str">
        <f t="shared" si="251"/>
        <v/>
      </c>
      <c r="AC467" s="568" t="str">
        <f t="shared" si="259"/>
        <v/>
      </c>
      <c r="AD467" s="137"/>
      <c r="AE467" s="137"/>
      <c r="AF467" s="138"/>
      <c r="AG467" s="138"/>
      <c r="AH467" s="592" t="str">
        <f t="shared" si="252"/>
        <v/>
      </c>
      <c r="AI467" s="592" t="str">
        <f t="shared" si="253"/>
        <v/>
      </c>
      <c r="AJ467" s="592" t="str">
        <f t="shared" si="254"/>
        <v/>
      </c>
      <c r="AK467" s="460" t="str">
        <f>IF(AU467="","",IF(OR(AZ467=8,AZ467=9),0,IF(OR(AW467=3,AW467=4,AW467=5,AW467=6),IF(LEFT(BF467,1)="1",INDEX(係数_NOX・PM低減,MATCH(AY467,【参考】排出係数!$AI$801:$AI$804,1),1),VLOOKUP(AU467,INDEX((係数_バス貨物_ガソリン,係数_バス貨物_CNG,係数_バス貨物_軽油,係数_バス貨物_メタノール,係数_バス貨物_LPG),MATCH(AY467,【参考】排出係数!$AI$4:$AI$671,1),1,BE467):INDEX((係数_バス貨物_ガソリン,係数_バス貨物_CNG,係数_バス貨物_軽油,係数_バス貨物_メタノール,係数_バス貨物_LPG),MATCH(AY467+1,【参考】排出係数!$AI$4:$AI$671,1)-1,5,BE467),4,FALSE)),IF(AND(BE467=3,LEFT(BF467,1)="1"),0.48,VLOOKUP(AU467,INDEX((係数_乗用_ガソリン,係数_乗用_CNG,係数_乗用_軽油,係数_乗用_メタノール,係数_乗用_LPG),1,1,BE467):INDEX((係数_乗用_ガソリン,係数_乗用_CNG,係数_乗用_軽油,係数_乗用_メタノール,係数_乗用_LPG),125,5,BE467),4,FALSE)))))</f>
        <v/>
      </c>
      <c r="AL467" s="461" t="str">
        <f t="shared" si="278"/>
        <v/>
      </c>
      <c r="AM467" s="460" t="str">
        <f>IF(AU467="","",IF(OR(AZ467=8,AZ467=9),0,IF(OR(AW467=3,AW467=4,AW467=5,AW467=6),IF(LEFT(BH467,1)="1",INDEX(係数_PM低減,MATCH(AY467,【参考】排出係数!$AI$801:$AI$804,1),MATCH(BI467,【参考】排出係数!$AL$798:$AO$798,1)),VLOOKUP(AU467,INDEX((係数_バス貨物_ガソリン,係数_バス貨物_CNG,係数_バス貨物_軽油,係数_バス貨物_メタノール,係数_バス貨物_LPG),MATCH(AY467,【参考】排出係数!$AI$4:$AI$671,1),1,BE467):INDEX((係数_バス貨物_ガソリン,係数_バス貨物_CNG,係数_バス貨物_軽油,係数_バス貨物_メタノール,係数_バス貨物_LPG),MATCH(AY467+1,【参考】排出係数!$AI$4:$AI$671,1)-1,5,BE467),5,FALSE)),IF(AND(BE467=3,LEFT(BF467,1)="1"),0.055,VLOOKUP(AU467,INDEX((係数_乗用_ガソリン,係数_乗用_CNG,係数_乗用_軽油,係数_乗用_メタノール,係数_乗用_LPG),1,1,BE467):INDEX((係数_乗用_ガソリン,係数_乗用_CNG,係数_乗用_軽油,係数_乗用_メタノール,係数_乗用_LPG),125,5,BE467),5,FALSE)))))</f>
        <v/>
      </c>
      <c r="AN467" s="461" t="str">
        <f t="shared" si="279"/>
        <v/>
      </c>
      <c r="AO467" s="462" t="str">
        <f t="shared" si="280"/>
        <v/>
      </c>
      <c r="AP467" s="463" t="str">
        <f t="shared" si="281"/>
        <v/>
      </c>
      <c r="AQ467" s="464"/>
      <c r="AR467" s="619"/>
      <c r="AS467" s="465" t="str">
        <f t="shared" si="260"/>
        <v/>
      </c>
      <c r="AT467" s="465" t="str">
        <f t="shared" si="261"/>
        <v/>
      </c>
      <c r="AU467" s="466" t="str">
        <f t="shared" si="262"/>
        <v/>
      </c>
      <c r="AV467" s="467" t="str">
        <f t="shared" si="263"/>
        <v/>
      </c>
      <c r="AW467" s="467" t="str">
        <f t="shared" si="264"/>
        <v/>
      </c>
      <c r="AX467" s="467" t="str">
        <f t="shared" si="265"/>
        <v/>
      </c>
      <c r="AY467" s="467" t="str">
        <f t="shared" si="266"/>
        <v/>
      </c>
      <c r="AZ467" s="467" t="str">
        <f t="shared" si="267"/>
        <v/>
      </c>
      <c r="BA467" s="468" t="str">
        <f>IF(AS467="","",IF(OR(AU467="",AU467="-"),"－",IF(OR(AZ467=8,AZ467=9),"",IF(OR(AW467=3,AW467=4,AW467=5,AW467=6),VLOOKUP(AU467,INDEX((係数_バス貨物_ガソリン,係数_バス貨物_CNG,係数_バス貨物_軽油,係数_バス貨物_メタノール,係数_バス貨物_LPG),MATCH(AY467,【参考】排出係数!$AI$4:$AI$671,1),1,BE467):INDEX((係数_バス貨物_ガソリン,係数_バス貨物_CNG,係数_バス貨物_軽油,係数_バス貨物_メタノール,係数_バス貨物_LPG),MATCH(AY467+1,【参考】排出係数!$AI$4:$AI$671,1)-1,5,BE467),2,FALSE),IF(OR(AW467=1,AW467=2),VLOOKUP(AU467,INDEX((係数_乗用_ガソリン,係数_乗用_CNG,係数_乗用_軽油,係数_乗用_メタノール,係数_乗用_LPG),1,1,BE467):INDEX((係数_乗用_ガソリン,係数_乗用_CNG,係数_乗用_軽油,係数_乗用_メタノール,係数_乗用_LPG),125,5,BE467),2,FALSE))))))</f>
        <v/>
      </c>
      <c r="BB467" s="468" t="str">
        <f>IF(T467="","",IF(OR(AU467="",AU467="-"),"－",IF(OR(AZ467=8,AZ467=9),"",IF(OR(AW467=3,AW467=4,AW467=5,AW467=6),VLOOKUP(AU467,INDEX((係数_バス貨物_ガソリン,係数_バス貨物_CNG,係数_バス貨物_軽油,係数_バス貨物_メタノール,係数_バス貨物_LPG),MATCH(AY467,【参考】排出係数!$AI$4:$AI$671,1),1,BE467):INDEX((係数_バス貨物_ガソリン,係数_バス貨物_CNG,係数_バス貨物_軽油,係数_バス貨物_メタノール,係数_バス貨物_LPG),MATCH(AY467+1,【参考】排出係数!$AI$4:$AI$671,1)-1,5,BE467),3,FALSE),IF(OR(AW467=1,AW467=2),VLOOKUP(AU467,INDEX((係数_乗用_ガソリン,係数_乗用_CNG,係数_乗用_軽油,係数_乗用_メタノール,係数_乗用_LPG),1,1,BE467):INDEX((係数_乗用_ガソリン,係数_乗用_CNG,係数_乗用_軽油,係数_乗用_メタノール,係数_乗用_LPG),125,5,BE467),3,FALSE))))))</f>
        <v/>
      </c>
      <c r="BC467" s="467" t="str">
        <f t="shared" si="268"/>
        <v/>
      </c>
      <c r="BD467" s="567" t="str">
        <f t="shared" si="269"/>
        <v/>
      </c>
      <c r="BE467" s="467" t="str">
        <f t="shared" si="270"/>
        <v/>
      </c>
      <c r="BF467" s="469" t="str">
        <f t="shared" ca="1" si="271"/>
        <v/>
      </c>
      <c r="BG467" s="469" t="str">
        <f t="shared" ca="1" si="272"/>
        <v/>
      </c>
      <c r="BH467" s="467" t="str">
        <f t="shared" si="273"/>
        <v/>
      </c>
      <c r="BI467" s="467" t="str">
        <f t="shared" ca="1" si="274"/>
        <v/>
      </c>
      <c r="BJ467" s="469" t="str">
        <f t="shared" si="275"/>
        <v/>
      </c>
      <c r="BK467" s="470" t="str">
        <f t="shared" si="255"/>
        <v/>
      </c>
      <c r="BL467" s="775" t="str">
        <f t="shared" si="276"/>
        <v/>
      </c>
      <c r="BM467" s="775" t="str">
        <f t="shared" si="277"/>
        <v/>
      </c>
    </row>
    <row r="468" spans="1:65">
      <c r="A468" s="473">
        <v>412</v>
      </c>
      <c r="B468" s="132"/>
      <c r="C468" s="332"/>
      <c r="D468" s="333"/>
      <c r="E468" s="333"/>
      <c r="F468" s="334"/>
      <c r="G468" s="337"/>
      <c r="H468" s="131"/>
      <c r="I468" s="337"/>
      <c r="J468" s="131"/>
      <c r="K468" s="458" t="str">
        <f t="shared" si="244"/>
        <v/>
      </c>
      <c r="L468" s="458">
        <f t="shared" si="256"/>
        <v>0</v>
      </c>
      <c r="M468" s="458">
        <f t="shared" si="257"/>
        <v>0</v>
      </c>
      <c r="N468" s="459" t="str">
        <f t="shared" si="245"/>
        <v/>
      </c>
      <c r="O468" s="459" t="str">
        <f t="shared" si="246"/>
        <v/>
      </c>
      <c r="P468" s="459" t="str">
        <f t="shared" si="247"/>
        <v/>
      </c>
      <c r="Q468" s="459" t="str">
        <f t="shared" si="248"/>
        <v/>
      </c>
      <c r="R468" s="459" t="str">
        <f t="shared" si="249"/>
        <v/>
      </c>
      <c r="S468" s="459" t="str">
        <f t="shared" si="250"/>
        <v/>
      </c>
      <c r="T468" s="566" t="str">
        <f t="shared" si="258"/>
        <v/>
      </c>
      <c r="U468" s="702"/>
      <c r="V468" s="132"/>
      <c r="W468" s="133"/>
      <c r="X468" s="134"/>
      <c r="Y468" s="135"/>
      <c r="Z468" s="137"/>
      <c r="AA468" s="136"/>
      <c r="AB468" s="566" t="str">
        <f t="shared" si="251"/>
        <v/>
      </c>
      <c r="AC468" s="568" t="str">
        <f t="shared" si="259"/>
        <v/>
      </c>
      <c r="AD468" s="137"/>
      <c r="AE468" s="137"/>
      <c r="AF468" s="138"/>
      <c r="AG468" s="138"/>
      <c r="AH468" s="592" t="str">
        <f t="shared" si="252"/>
        <v/>
      </c>
      <c r="AI468" s="592" t="str">
        <f t="shared" si="253"/>
        <v/>
      </c>
      <c r="AJ468" s="592" t="str">
        <f t="shared" si="254"/>
        <v/>
      </c>
      <c r="AK468" s="460" t="str">
        <f>IF(AU468="","",IF(OR(AZ468=8,AZ468=9),0,IF(OR(AW468=3,AW468=4,AW468=5,AW468=6),IF(LEFT(BF468,1)="1",INDEX(係数_NOX・PM低減,MATCH(AY468,【参考】排出係数!$AI$801:$AI$804,1),1),VLOOKUP(AU468,INDEX((係数_バス貨物_ガソリン,係数_バス貨物_CNG,係数_バス貨物_軽油,係数_バス貨物_メタノール,係数_バス貨物_LPG),MATCH(AY468,【参考】排出係数!$AI$4:$AI$671,1),1,BE468):INDEX((係数_バス貨物_ガソリン,係数_バス貨物_CNG,係数_バス貨物_軽油,係数_バス貨物_メタノール,係数_バス貨物_LPG),MATCH(AY468+1,【参考】排出係数!$AI$4:$AI$671,1)-1,5,BE468),4,FALSE)),IF(AND(BE468=3,LEFT(BF468,1)="1"),0.48,VLOOKUP(AU468,INDEX((係数_乗用_ガソリン,係数_乗用_CNG,係数_乗用_軽油,係数_乗用_メタノール,係数_乗用_LPG),1,1,BE468):INDEX((係数_乗用_ガソリン,係数_乗用_CNG,係数_乗用_軽油,係数_乗用_メタノール,係数_乗用_LPG),125,5,BE468),4,FALSE)))))</f>
        <v/>
      </c>
      <c r="AL468" s="461" t="str">
        <f t="shared" si="278"/>
        <v/>
      </c>
      <c r="AM468" s="460" t="str">
        <f>IF(AU468="","",IF(OR(AZ468=8,AZ468=9),0,IF(OR(AW468=3,AW468=4,AW468=5,AW468=6),IF(LEFT(BH468,1)="1",INDEX(係数_PM低減,MATCH(AY468,【参考】排出係数!$AI$801:$AI$804,1),MATCH(BI468,【参考】排出係数!$AL$798:$AO$798,1)),VLOOKUP(AU468,INDEX((係数_バス貨物_ガソリン,係数_バス貨物_CNG,係数_バス貨物_軽油,係数_バス貨物_メタノール,係数_バス貨物_LPG),MATCH(AY468,【参考】排出係数!$AI$4:$AI$671,1),1,BE468):INDEX((係数_バス貨物_ガソリン,係数_バス貨物_CNG,係数_バス貨物_軽油,係数_バス貨物_メタノール,係数_バス貨物_LPG),MATCH(AY468+1,【参考】排出係数!$AI$4:$AI$671,1)-1,5,BE468),5,FALSE)),IF(AND(BE468=3,LEFT(BF468,1)="1"),0.055,VLOOKUP(AU468,INDEX((係数_乗用_ガソリン,係数_乗用_CNG,係数_乗用_軽油,係数_乗用_メタノール,係数_乗用_LPG),1,1,BE468):INDEX((係数_乗用_ガソリン,係数_乗用_CNG,係数_乗用_軽油,係数_乗用_メタノール,係数_乗用_LPG),125,5,BE468),5,FALSE)))))</f>
        <v/>
      </c>
      <c r="AN468" s="461" t="str">
        <f t="shared" si="279"/>
        <v/>
      </c>
      <c r="AO468" s="462" t="str">
        <f t="shared" si="280"/>
        <v/>
      </c>
      <c r="AP468" s="463" t="str">
        <f t="shared" si="281"/>
        <v/>
      </c>
      <c r="AQ468" s="464"/>
      <c r="AR468" s="619"/>
      <c r="AS468" s="465" t="str">
        <f t="shared" si="260"/>
        <v/>
      </c>
      <c r="AT468" s="465" t="str">
        <f t="shared" si="261"/>
        <v/>
      </c>
      <c r="AU468" s="466" t="str">
        <f t="shared" si="262"/>
        <v/>
      </c>
      <c r="AV468" s="467" t="str">
        <f t="shared" si="263"/>
        <v/>
      </c>
      <c r="AW468" s="467" t="str">
        <f t="shared" si="264"/>
        <v/>
      </c>
      <c r="AX468" s="467" t="str">
        <f t="shared" si="265"/>
        <v/>
      </c>
      <c r="AY468" s="467" t="str">
        <f t="shared" si="266"/>
        <v/>
      </c>
      <c r="AZ468" s="467" t="str">
        <f t="shared" si="267"/>
        <v/>
      </c>
      <c r="BA468" s="468" t="str">
        <f>IF(AS468="","",IF(OR(AU468="",AU468="-"),"－",IF(OR(AZ468=8,AZ468=9),"",IF(OR(AW468=3,AW468=4,AW468=5,AW468=6),VLOOKUP(AU468,INDEX((係数_バス貨物_ガソリン,係数_バス貨物_CNG,係数_バス貨物_軽油,係数_バス貨物_メタノール,係数_バス貨物_LPG),MATCH(AY468,【参考】排出係数!$AI$4:$AI$671,1),1,BE468):INDEX((係数_バス貨物_ガソリン,係数_バス貨物_CNG,係数_バス貨物_軽油,係数_バス貨物_メタノール,係数_バス貨物_LPG),MATCH(AY468+1,【参考】排出係数!$AI$4:$AI$671,1)-1,5,BE468),2,FALSE),IF(OR(AW468=1,AW468=2),VLOOKUP(AU468,INDEX((係数_乗用_ガソリン,係数_乗用_CNG,係数_乗用_軽油,係数_乗用_メタノール,係数_乗用_LPG),1,1,BE468):INDEX((係数_乗用_ガソリン,係数_乗用_CNG,係数_乗用_軽油,係数_乗用_メタノール,係数_乗用_LPG),125,5,BE468),2,FALSE))))))</f>
        <v/>
      </c>
      <c r="BB468" s="468" t="str">
        <f>IF(T468="","",IF(OR(AU468="",AU468="-"),"－",IF(OR(AZ468=8,AZ468=9),"",IF(OR(AW468=3,AW468=4,AW468=5,AW468=6),VLOOKUP(AU468,INDEX((係数_バス貨物_ガソリン,係数_バス貨物_CNG,係数_バス貨物_軽油,係数_バス貨物_メタノール,係数_バス貨物_LPG),MATCH(AY468,【参考】排出係数!$AI$4:$AI$671,1),1,BE468):INDEX((係数_バス貨物_ガソリン,係数_バス貨物_CNG,係数_バス貨物_軽油,係数_バス貨物_メタノール,係数_バス貨物_LPG),MATCH(AY468+1,【参考】排出係数!$AI$4:$AI$671,1)-1,5,BE468),3,FALSE),IF(OR(AW468=1,AW468=2),VLOOKUP(AU468,INDEX((係数_乗用_ガソリン,係数_乗用_CNG,係数_乗用_軽油,係数_乗用_メタノール,係数_乗用_LPG),1,1,BE468):INDEX((係数_乗用_ガソリン,係数_乗用_CNG,係数_乗用_軽油,係数_乗用_メタノール,係数_乗用_LPG),125,5,BE468),3,FALSE))))))</f>
        <v/>
      </c>
      <c r="BC468" s="467" t="str">
        <f t="shared" si="268"/>
        <v/>
      </c>
      <c r="BD468" s="567" t="str">
        <f t="shared" si="269"/>
        <v/>
      </c>
      <c r="BE468" s="467" t="str">
        <f t="shared" si="270"/>
        <v/>
      </c>
      <c r="BF468" s="469" t="str">
        <f t="shared" ca="1" si="271"/>
        <v/>
      </c>
      <c r="BG468" s="469" t="str">
        <f t="shared" ca="1" si="272"/>
        <v/>
      </c>
      <c r="BH468" s="467" t="str">
        <f t="shared" si="273"/>
        <v/>
      </c>
      <c r="BI468" s="467" t="str">
        <f t="shared" ca="1" si="274"/>
        <v/>
      </c>
      <c r="BJ468" s="469" t="str">
        <f t="shared" si="275"/>
        <v/>
      </c>
      <c r="BK468" s="470" t="str">
        <f t="shared" si="255"/>
        <v/>
      </c>
      <c r="BL468" s="775" t="str">
        <f t="shared" si="276"/>
        <v/>
      </c>
      <c r="BM468" s="775" t="str">
        <f t="shared" si="277"/>
        <v/>
      </c>
    </row>
    <row r="469" spans="1:65">
      <c r="A469" s="473">
        <v>413</v>
      </c>
      <c r="B469" s="132"/>
      <c r="C469" s="332"/>
      <c r="D469" s="333"/>
      <c r="E469" s="333"/>
      <c r="F469" s="334"/>
      <c r="G469" s="337"/>
      <c r="H469" s="131"/>
      <c r="I469" s="337"/>
      <c r="J469" s="131"/>
      <c r="K469" s="458" t="str">
        <f t="shared" si="244"/>
        <v/>
      </c>
      <c r="L469" s="458">
        <f t="shared" si="256"/>
        <v>0</v>
      </c>
      <c r="M469" s="458">
        <f t="shared" si="257"/>
        <v>0</v>
      </c>
      <c r="N469" s="459" t="str">
        <f t="shared" si="245"/>
        <v/>
      </c>
      <c r="O469" s="459" t="str">
        <f t="shared" si="246"/>
        <v/>
      </c>
      <c r="P469" s="459" t="str">
        <f t="shared" si="247"/>
        <v/>
      </c>
      <c r="Q469" s="459" t="str">
        <f t="shared" si="248"/>
        <v/>
      </c>
      <c r="R469" s="459" t="str">
        <f t="shared" si="249"/>
        <v/>
      </c>
      <c r="S469" s="459" t="str">
        <f t="shared" si="250"/>
        <v/>
      </c>
      <c r="T469" s="566" t="str">
        <f t="shared" si="258"/>
        <v/>
      </c>
      <c r="U469" s="702"/>
      <c r="V469" s="132"/>
      <c r="W469" s="133"/>
      <c r="X469" s="134"/>
      <c r="Y469" s="135"/>
      <c r="Z469" s="137"/>
      <c r="AA469" s="136"/>
      <c r="AB469" s="566" t="str">
        <f t="shared" si="251"/>
        <v/>
      </c>
      <c r="AC469" s="568" t="str">
        <f t="shared" si="259"/>
        <v/>
      </c>
      <c r="AD469" s="137"/>
      <c r="AE469" s="137"/>
      <c r="AF469" s="138"/>
      <c r="AG469" s="138"/>
      <c r="AH469" s="592" t="str">
        <f t="shared" si="252"/>
        <v/>
      </c>
      <c r="AI469" s="592" t="str">
        <f t="shared" si="253"/>
        <v/>
      </c>
      <c r="AJ469" s="592" t="str">
        <f t="shared" si="254"/>
        <v/>
      </c>
      <c r="AK469" s="460" t="str">
        <f>IF(AU469="","",IF(OR(AZ469=8,AZ469=9),0,IF(OR(AW469=3,AW469=4,AW469=5,AW469=6),IF(LEFT(BF469,1)="1",INDEX(係数_NOX・PM低減,MATCH(AY469,【参考】排出係数!$AI$801:$AI$804,1),1),VLOOKUP(AU469,INDEX((係数_バス貨物_ガソリン,係数_バス貨物_CNG,係数_バス貨物_軽油,係数_バス貨物_メタノール,係数_バス貨物_LPG),MATCH(AY469,【参考】排出係数!$AI$4:$AI$671,1),1,BE469):INDEX((係数_バス貨物_ガソリン,係数_バス貨物_CNG,係数_バス貨物_軽油,係数_バス貨物_メタノール,係数_バス貨物_LPG),MATCH(AY469+1,【参考】排出係数!$AI$4:$AI$671,1)-1,5,BE469),4,FALSE)),IF(AND(BE469=3,LEFT(BF469,1)="1"),0.48,VLOOKUP(AU469,INDEX((係数_乗用_ガソリン,係数_乗用_CNG,係数_乗用_軽油,係数_乗用_メタノール,係数_乗用_LPG),1,1,BE469):INDEX((係数_乗用_ガソリン,係数_乗用_CNG,係数_乗用_軽油,係数_乗用_メタノール,係数_乗用_LPG),125,5,BE469),4,FALSE)))))</f>
        <v/>
      </c>
      <c r="AL469" s="461" t="str">
        <f t="shared" si="278"/>
        <v/>
      </c>
      <c r="AM469" s="460" t="str">
        <f>IF(AU469="","",IF(OR(AZ469=8,AZ469=9),0,IF(OR(AW469=3,AW469=4,AW469=5,AW469=6),IF(LEFT(BH469,1)="1",INDEX(係数_PM低減,MATCH(AY469,【参考】排出係数!$AI$801:$AI$804,1),MATCH(BI469,【参考】排出係数!$AL$798:$AO$798,1)),VLOOKUP(AU469,INDEX((係数_バス貨物_ガソリン,係数_バス貨物_CNG,係数_バス貨物_軽油,係数_バス貨物_メタノール,係数_バス貨物_LPG),MATCH(AY469,【参考】排出係数!$AI$4:$AI$671,1),1,BE469):INDEX((係数_バス貨物_ガソリン,係数_バス貨物_CNG,係数_バス貨物_軽油,係数_バス貨物_メタノール,係数_バス貨物_LPG),MATCH(AY469+1,【参考】排出係数!$AI$4:$AI$671,1)-1,5,BE469),5,FALSE)),IF(AND(BE469=3,LEFT(BF469,1)="1"),0.055,VLOOKUP(AU469,INDEX((係数_乗用_ガソリン,係数_乗用_CNG,係数_乗用_軽油,係数_乗用_メタノール,係数_乗用_LPG),1,1,BE469):INDEX((係数_乗用_ガソリン,係数_乗用_CNG,係数_乗用_軽油,係数_乗用_メタノール,係数_乗用_LPG),125,5,BE469),5,FALSE)))))</f>
        <v/>
      </c>
      <c r="AN469" s="461" t="str">
        <f t="shared" si="279"/>
        <v/>
      </c>
      <c r="AO469" s="462" t="str">
        <f t="shared" si="280"/>
        <v/>
      </c>
      <c r="AP469" s="463" t="str">
        <f t="shared" si="281"/>
        <v/>
      </c>
      <c r="AQ469" s="464"/>
      <c r="AR469" s="619"/>
      <c r="AS469" s="465" t="str">
        <f t="shared" si="260"/>
        <v/>
      </c>
      <c r="AT469" s="465" t="str">
        <f t="shared" si="261"/>
        <v/>
      </c>
      <c r="AU469" s="466" t="str">
        <f t="shared" si="262"/>
        <v/>
      </c>
      <c r="AV469" s="467" t="str">
        <f t="shared" si="263"/>
        <v/>
      </c>
      <c r="AW469" s="467" t="str">
        <f t="shared" si="264"/>
        <v/>
      </c>
      <c r="AX469" s="467" t="str">
        <f t="shared" si="265"/>
        <v/>
      </c>
      <c r="AY469" s="467" t="str">
        <f t="shared" si="266"/>
        <v/>
      </c>
      <c r="AZ469" s="467" t="str">
        <f t="shared" si="267"/>
        <v/>
      </c>
      <c r="BA469" s="468" t="str">
        <f>IF(AS469="","",IF(OR(AU469="",AU469="-"),"－",IF(OR(AZ469=8,AZ469=9),"",IF(OR(AW469=3,AW469=4,AW469=5,AW469=6),VLOOKUP(AU469,INDEX((係数_バス貨物_ガソリン,係数_バス貨物_CNG,係数_バス貨物_軽油,係数_バス貨物_メタノール,係数_バス貨物_LPG),MATCH(AY469,【参考】排出係数!$AI$4:$AI$671,1),1,BE469):INDEX((係数_バス貨物_ガソリン,係数_バス貨物_CNG,係数_バス貨物_軽油,係数_バス貨物_メタノール,係数_バス貨物_LPG),MATCH(AY469+1,【参考】排出係数!$AI$4:$AI$671,1)-1,5,BE469),2,FALSE),IF(OR(AW469=1,AW469=2),VLOOKUP(AU469,INDEX((係数_乗用_ガソリン,係数_乗用_CNG,係数_乗用_軽油,係数_乗用_メタノール,係数_乗用_LPG),1,1,BE469):INDEX((係数_乗用_ガソリン,係数_乗用_CNG,係数_乗用_軽油,係数_乗用_メタノール,係数_乗用_LPG),125,5,BE469),2,FALSE))))))</f>
        <v/>
      </c>
      <c r="BB469" s="468" t="str">
        <f>IF(T469="","",IF(OR(AU469="",AU469="-"),"－",IF(OR(AZ469=8,AZ469=9),"",IF(OR(AW469=3,AW469=4,AW469=5,AW469=6),VLOOKUP(AU469,INDEX((係数_バス貨物_ガソリン,係数_バス貨物_CNG,係数_バス貨物_軽油,係数_バス貨物_メタノール,係数_バス貨物_LPG),MATCH(AY469,【参考】排出係数!$AI$4:$AI$671,1),1,BE469):INDEX((係数_バス貨物_ガソリン,係数_バス貨物_CNG,係数_バス貨物_軽油,係数_バス貨物_メタノール,係数_バス貨物_LPG),MATCH(AY469+1,【参考】排出係数!$AI$4:$AI$671,1)-1,5,BE469),3,FALSE),IF(OR(AW469=1,AW469=2),VLOOKUP(AU469,INDEX((係数_乗用_ガソリン,係数_乗用_CNG,係数_乗用_軽油,係数_乗用_メタノール,係数_乗用_LPG),1,1,BE469):INDEX((係数_乗用_ガソリン,係数_乗用_CNG,係数_乗用_軽油,係数_乗用_メタノール,係数_乗用_LPG),125,5,BE469),3,FALSE))))))</f>
        <v/>
      </c>
      <c r="BC469" s="467" t="str">
        <f t="shared" si="268"/>
        <v/>
      </c>
      <c r="BD469" s="567" t="str">
        <f t="shared" si="269"/>
        <v/>
      </c>
      <c r="BE469" s="467" t="str">
        <f t="shared" si="270"/>
        <v/>
      </c>
      <c r="BF469" s="469" t="str">
        <f t="shared" ca="1" si="271"/>
        <v/>
      </c>
      <c r="BG469" s="469" t="str">
        <f t="shared" ca="1" si="272"/>
        <v/>
      </c>
      <c r="BH469" s="467" t="str">
        <f t="shared" si="273"/>
        <v/>
      </c>
      <c r="BI469" s="467" t="str">
        <f t="shared" ca="1" si="274"/>
        <v/>
      </c>
      <c r="BJ469" s="469" t="str">
        <f t="shared" si="275"/>
        <v/>
      </c>
      <c r="BK469" s="470" t="str">
        <f t="shared" si="255"/>
        <v/>
      </c>
      <c r="BL469" s="775" t="str">
        <f t="shared" si="276"/>
        <v/>
      </c>
      <c r="BM469" s="775" t="str">
        <f t="shared" si="277"/>
        <v/>
      </c>
    </row>
    <row r="470" spans="1:65">
      <c r="A470" s="473">
        <v>414</v>
      </c>
      <c r="B470" s="132"/>
      <c r="C470" s="332"/>
      <c r="D470" s="333"/>
      <c r="E470" s="333"/>
      <c r="F470" s="334"/>
      <c r="G470" s="337"/>
      <c r="H470" s="131"/>
      <c r="I470" s="337"/>
      <c r="J470" s="131"/>
      <c r="K470" s="458" t="str">
        <f t="shared" si="244"/>
        <v/>
      </c>
      <c r="L470" s="458">
        <f t="shared" si="256"/>
        <v>0</v>
      </c>
      <c r="M470" s="458">
        <f t="shared" si="257"/>
        <v>0</v>
      </c>
      <c r="N470" s="459" t="str">
        <f t="shared" si="245"/>
        <v/>
      </c>
      <c r="O470" s="459" t="str">
        <f t="shared" si="246"/>
        <v/>
      </c>
      <c r="P470" s="459" t="str">
        <f t="shared" si="247"/>
        <v/>
      </c>
      <c r="Q470" s="459" t="str">
        <f t="shared" si="248"/>
        <v/>
      </c>
      <c r="R470" s="459" t="str">
        <f t="shared" si="249"/>
        <v/>
      </c>
      <c r="S470" s="459" t="str">
        <f t="shared" si="250"/>
        <v/>
      </c>
      <c r="T470" s="566" t="str">
        <f t="shared" si="258"/>
        <v/>
      </c>
      <c r="U470" s="702"/>
      <c r="V470" s="132"/>
      <c r="W470" s="133"/>
      <c r="X470" s="134"/>
      <c r="Y470" s="135"/>
      <c r="Z470" s="137"/>
      <c r="AA470" s="136"/>
      <c r="AB470" s="566" t="str">
        <f t="shared" si="251"/>
        <v/>
      </c>
      <c r="AC470" s="568" t="str">
        <f t="shared" si="259"/>
        <v/>
      </c>
      <c r="AD470" s="137"/>
      <c r="AE470" s="137"/>
      <c r="AF470" s="138"/>
      <c r="AG470" s="138"/>
      <c r="AH470" s="592" t="str">
        <f t="shared" si="252"/>
        <v/>
      </c>
      <c r="AI470" s="592" t="str">
        <f t="shared" si="253"/>
        <v/>
      </c>
      <c r="AJ470" s="592" t="str">
        <f t="shared" si="254"/>
        <v/>
      </c>
      <c r="AK470" s="460" t="str">
        <f>IF(AU470="","",IF(OR(AZ470=8,AZ470=9),0,IF(OR(AW470=3,AW470=4,AW470=5,AW470=6),IF(LEFT(BF470,1)="1",INDEX(係数_NOX・PM低減,MATCH(AY470,【参考】排出係数!$AI$801:$AI$804,1),1),VLOOKUP(AU470,INDEX((係数_バス貨物_ガソリン,係数_バス貨物_CNG,係数_バス貨物_軽油,係数_バス貨物_メタノール,係数_バス貨物_LPG),MATCH(AY470,【参考】排出係数!$AI$4:$AI$671,1),1,BE470):INDEX((係数_バス貨物_ガソリン,係数_バス貨物_CNG,係数_バス貨物_軽油,係数_バス貨物_メタノール,係数_バス貨物_LPG),MATCH(AY470+1,【参考】排出係数!$AI$4:$AI$671,1)-1,5,BE470),4,FALSE)),IF(AND(BE470=3,LEFT(BF470,1)="1"),0.48,VLOOKUP(AU470,INDEX((係数_乗用_ガソリン,係数_乗用_CNG,係数_乗用_軽油,係数_乗用_メタノール,係数_乗用_LPG),1,1,BE470):INDEX((係数_乗用_ガソリン,係数_乗用_CNG,係数_乗用_軽油,係数_乗用_メタノール,係数_乗用_LPG),125,5,BE470),4,FALSE)))))</f>
        <v/>
      </c>
      <c r="AL470" s="461" t="str">
        <f t="shared" si="278"/>
        <v/>
      </c>
      <c r="AM470" s="460" t="str">
        <f>IF(AU470="","",IF(OR(AZ470=8,AZ470=9),0,IF(OR(AW470=3,AW470=4,AW470=5,AW470=6),IF(LEFT(BH470,1)="1",INDEX(係数_PM低減,MATCH(AY470,【参考】排出係数!$AI$801:$AI$804,1),MATCH(BI470,【参考】排出係数!$AL$798:$AO$798,1)),VLOOKUP(AU470,INDEX((係数_バス貨物_ガソリン,係数_バス貨物_CNG,係数_バス貨物_軽油,係数_バス貨物_メタノール,係数_バス貨物_LPG),MATCH(AY470,【参考】排出係数!$AI$4:$AI$671,1),1,BE470):INDEX((係数_バス貨物_ガソリン,係数_バス貨物_CNG,係数_バス貨物_軽油,係数_バス貨物_メタノール,係数_バス貨物_LPG),MATCH(AY470+1,【参考】排出係数!$AI$4:$AI$671,1)-1,5,BE470),5,FALSE)),IF(AND(BE470=3,LEFT(BF470,1)="1"),0.055,VLOOKUP(AU470,INDEX((係数_乗用_ガソリン,係数_乗用_CNG,係数_乗用_軽油,係数_乗用_メタノール,係数_乗用_LPG),1,1,BE470):INDEX((係数_乗用_ガソリン,係数_乗用_CNG,係数_乗用_軽油,係数_乗用_メタノール,係数_乗用_LPG),125,5,BE470),5,FALSE)))))</f>
        <v/>
      </c>
      <c r="AN470" s="461" t="str">
        <f t="shared" si="279"/>
        <v/>
      </c>
      <c r="AO470" s="462" t="str">
        <f t="shared" si="280"/>
        <v/>
      </c>
      <c r="AP470" s="463" t="str">
        <f t="shared" si="281"/>
        <v/>
      </c>
      <c r="AQ470" s="464"/>
      <c r="AR470" s="619"/>
      <c r="AS470" s="465" t="str">
        <f t="shared" si="260"/>
        <v/>
      </c>
      <c r="AT470" s="465" t="str">
        <f t="shared" si="261"/>
        <v/>
      </c>
      <c r="AU470" s="466" t="str">
        <f t="shared" si="262"/>
        <v/>
      </c>
      <c r="AV470" s="467" t="str">
        <f t="shared" si="263"/>
        <v/>
      </c>
      <c r="AW470" s="467" t="str">
        <f t="shared" si="264"/>
        <v/>
      </c>
      <c r="AX470" s="467" t="str">
        <f t="shared" si="265"/>
        <v/>
      </c>
      <c r="AY470" s="467" t="str">
        <f t="shared" si="266"/>
        <v/>
      </c>
      <c r="AZ470" s="467" t="str">
        <f t="shared" si="267"/>
        <v/>
      </c>
      <c r="BA470" s="468" t="str">
        <f>IF(AS470="","",IF(OR(AU470="",AU470="-"),"－",IF(OR(AZ470=8,AZ470=9),"",IF(OR(AW470=3,AW470=4,AW470=5,AW470=6),VLOOKUP(AU470,INDEX((係数_バス貨物_ガソリン,係数_バス貨物_CNG,係数_バス貨物_軽油,係数_バス貨物_メタノール,係数_バス貨物_LPG),MATCH(AY470,【参考】排出係数!$AI$4:$AI$671,1),1,BE470):INDEX((係数_バス貨物_ガソリン,係数_バス貨物_CNG,係数_バス貨物_軽油,係数_バス貨物_メタノール,係数_バス貨物_LPG),MATCH(AY470+1,【参考】排出係数!$AI$4:$AI$671,1)-1,5,BE470),2,FALSE),IF(OR(AW470=1,AW470=2),VLOOKUP(AU470,INDEX((係数_乗用_ガソリン,係数_乗用_CNG,係数_乗用_軽油,係数_乗用_メタノール,係数_乗用_LPG),1,1,BE470):INDEX((係数_乗用_ガソリン,係数_乗用_CNG,係数_乗用_軽油,係数_乗用_メタノール,係数_乗用_LPG),125,5,BE470),2,FALSE))))))</f>
        <v/>
      </c>
      <c r="BB470" s="468" t="str">
        <f>IF(T470="","",IF(OR(AU470="",AU470="-"),"－",IF(OR(AZ470=8,AZ470=9),"",IF(OR(AW470=3,AW470=4,AW470=5,AW470=6),VLOOKUP(AU470,INDEX((係数_バス貨物_ガソリン,係数_バス貨物_CNG,係数_バス貨物_軽油,係数_バス貨物_メタノール,係数_バス貨物_LPG),MATCH(AY470,【参考】排出係数!$AI$4:$AI$671,1),1,BE470):INDEX((係数_バス貨物_ガソリン,係数_バス貨物_CNG,係数_バス貨物_軽油,係数_バス貨物_メタノール,係数_バス貨物_LPG),MATCH(AY470+1,【参考】排出係数!$AI$4:$AI$671,1)-1,5,BE470),3,FALSE),IF(OR(AW470=1,AW470=2),VLOOKUP(AU470,INDEX((係数_乗用_ガソリン,係数_乗用_CNG,係数_乗用_軽油,係数_乗用_メタノール,係数_乗用_LPG),1,1,BE470):INDEX((係数_乗用_ガソリン,係数_乗用_CNG,係数_乗用_軽油,係数_乗用_メタノール,係数_乗用_LPG),125,5,BE470),3,FALSE))))))</f>
        <v/>
      </c>
      <c r="BC470" s="467" t="str">
        <f t="shared" si="268"/>
        <v/>
      </c>
      <c r="BD470" s="567" t="str">
        <f t="shared" si="269"/>
        <v/>
      </c>
      <c r="BE470" s="467" t="str">
        <f t="shared" si="270"/>
        <v/>
      </c>
      <c r="BF470" s="469" t="str">
        <f t="shared" ca="1" si="271"/>
        <v/>
      </c>
      <c r="BG470" s="469" t="str">
        <f t="shared" ca="1" si="272"/>
        <v/>
      </c>
      <c r="BH470" s="467" t="str">
        <f t="shared" si="273"/>
        <v/>
      </c>
      <c r="BI470" s="467" t="str">
        <f t="shared" ca="1" si="274"/>
        <v/>
      </c>
      <c r="BJ470" s="469" t="str">
        <f t="shared" si="275"/>
        <v/>
      </c>
      <c r="BK470" s="470" t="str">
        <f t="shared" si="255"/>
        <v/>
      </c>
      <c r="BL470" s="775" t="str">
        <f t="shared" si="276"/>
        <v/>
      </c>
      <c r="BM470" s="775" t="str">
        <f t="shared" si="277"/>
        <v/>
      </c>
    </row>
    <row r="471" spans="1:65">
      <c r="A471" s="473">
        <v>415</v>
      </c>
      <c r="B471" s="132"/>
      <c r="C471" s="332"/>
      <c r="D471" s="333"/>
      <c r="E471" s="333"/>
      <c r="F471" s="334"/>
      <c r="G471" s="337"/>
      <c r="H471" s="131"/>
      <c r="I471" s="337"/>
      <c r="J471" s="131"/>
      <c r="K471" s="458" t="str">
        <f t="shared" si="244"/>
        <v/>
      </c>
      <c r="L471" s="458">
        <f t="shared" si="256"/>
        <v>0</v>
      </c>
      <c r="M471" s="458">
        <f t="shared" si="257"/>
        <v>0</v>
      </c>
      <c r="N471" s="459" t="str">
        <f t="shared" si="245"/>
        <v/>
      </c>
      <c r="O471" s="459" t="str">
        <f t="shared" si="246"/>
        <v/>
      </c>
      <c r="P471" s="459" t="str">
        <f t="shared" si="247"/>
        <v/>
      </c>
      <c r="Q471" s="459" t="str">
        <f t="shared" si="248"/>
        <v/>
      </c>
      <c r="R471" s="459" t="str">
        <f t="shared" si="249"/>
        <v/>
      </c>
      <c r="S471" s="459" t="str">
        <f t="shared" si="250"/>
        <v/>
      </c>
      <c r="T471" s="566" t="str">
        <f t="shared" si="258"/>
        <v/>
      </c>
      <c r="U471" s="702"/>
      <c r="V471" s="132"/>
      <c r="W471" s="133"/>
      <c r="X471" s="134"/>
      <c r="Y471" s="135"/>
      <c r="Z471" s="137"/>
      <c r="AA471" s="136"/>
      <c r="AB471" s="566" t="str">
        <f t="shared" si="251"/>
        <v/>
      </c>
      <c r="AC471" s="568" t="str">
        <f t="shared" si="259"/>
        <v/>
      </c>
      <c r="AD471" s="137"/>
      <c r="AE471" s="137"/>
      <c r="AF471" s="138"/>
      <c r="AG471" s="138"/>
      <c r="AH471" s="592" t="str">
        <f t="shared" si="252"/>
        <v/>
      </c>
      <c r="AI471" s="592" t="str">
        <f t="shared" si="253"/>
        <v/>
      </c>
      <c r="AJ471" s="592" t="str">
        <f t="shared" si="254"/>
        <v/>
      </c>
      <c r="AK471" s="460" t="str">
        <f>IF(AU471="","",IF(OR(AZ471=8,AZ471=9),0,IF(OR(AW471=3,AW471=4,AW471=5,AW471=6),IF(LEFT(BF471,1)="1",INDEX(係数_NOX・PM低減,MATCH(AY471,【参考】排出係数!$AI$801:$AI$804,1),1),VLOOKUP(AU471,INDEX((係数_バス貨物_ガソリン,係数_バス貨物_CNG,係数_バス貨物_軽油,係数_バス貨物_メタノール,係数_バス貨物_LPG),MATCH(AY471,【参考】排出係数!$AI$4:$AI$671,1),1,BE471):INDEX((係数_バス貨物_ガソリン,係数_バス貨物_CNG,係数_バス貨物_軽油,係数_バス貨物_メタノール,係数_バス貨物_LPG),MATCH(AY471+1,【参考】排出係数!$AI$4:$AI$671,1)-1,5,BE471),4,FALSE)),IF(AND(BE471=3,LEFT(BF471,1)="1"),0.48,VLOOKUP(AU471,INDEX((係数_乗用_ガソリン,係数_乗用_CNG,係数_乗用_軽油,係数_乗用_メタノール,係数_乗用_LPG),1,1,BE471):INDEX((係数_乗用_ガソリン,係数_乗用_CNG,係数_乗用_軽油,係数_乗用_メタノール,係数_乗用_LPG),125,5,BE471),4,FALSE)))))</f>
        <v/>
      </c>
      <c r="AL471" s="461" t="str">
        <f t="shared" si="278"/>
        <v/>
      </c>
      <c r="AM471" s="460" t="str">
        <f>IF(AU471="","",IF(OR(AZ471=8,AZ471=9),0,IF(OR(AW471=3,AW471=4,AW471=5,AW471=6),IF(LEFT(BH471,1)="1",INDEX(係数_PM低減,MATCH(AY471,【参考】排出係数!$AI$801:$AI$804,1),MATCH(BI471,【参考】排出係数!$AL$798:$AO$798,1)),VLOOKUP(AU471,INDEX((係数_バス貨物_ガソリン,係数_バス貨物_CNG,係数_バス貨物_軽油,係数_バス貨物_メタノール,係数_バス貨物_LPG),MATCH(AY471,【参考】排出係数!$AI$4:$AI$671,1),1,BE471):INDEX((係数_バス貨物_ガソリン,係数_バス貨物_CNG,係数_バス貨物_軽油,係数_バス貨物_メタノール,係数_バス貨物_LPG),MATCH(AY471+1,【参考】排出係数!$AI$4:$AI$671,1)-1,5,BE471),5,FALSE)),IF(AND(BE471=3,LEFT(BF471,1)="1"),0.055,VLOOKUP(AU471,INDEX((係数_乗用_ガソリン,係数_乗用_CNG,係数_乗用_軽油,係数_乗用_メタノール,係数_乗用_LPG),1,1,BE471):INDEX((係数_乗用_ガソリン,係数_乗用_CNG,係数_乗用_軽油,係数_乗用_メタノール,係数_乗用_LPG),125,5,BE471),5,FALSE)))))</f>
        <v/>
      </c>
      <c r="AN471" s="461" t="str">
        <f t="shared" si="279"/>
        <v/>
      </c>
      <c r="AO471" s="462" t="str">
        <f t="shared" si="280"/>
        <v/>
      </c>
      <c r="AP471" s="463" t="str">
        <f t="shared" si="281"/>
        <v/>
      </c>
      <c r="AQ471" s="464"/>
      <c r="AR471" s="619"/>
      <c r="AS471" s="465" t="str">
        <f t="shared" si="260"/>
        <v/>
      </c>
      <c r="AT471" s="465" t="str">
        <f t="shared" si="261"/>
        <v/>
      </c>
      <c r="AU471" s="466" t="str">
        <f t="shared" si="262"/>
        <v/>
      </c>
      <c r="AV471" s="467" t="str">
        <f t="shared" si="263"/>
        <v/>
      </c>
      <c r="AW471" s="467" t="str">
        <f t="shared" si="264"/>
        <v/>
      </c>
      <c r="AX471" s="467" t="str">
        <f t="shared" si="265"/>
        <v/>
      </c>
      <c r="AY471" s="467" t="str">
        <f t="shared" si="266"/>
        <v/>
      </c>
      <c r="AZ471" s="467" t="str">
        <f t="shared" si="267"/>
        <v/>
      </c>
      <c r="BA471" s="468" t="str">
        <f>IF(AS471="","",IF(OR(AU471="",AU471="-"),"－",IF(OR(AZ471=8,AZ471=9),"",IF(OR(AW471=3,AW471=4,AW471=5,AW471=6),VLOOKUP(AU471,INDEX((係数_バス貨物_ガソリン,係数_バス貨物_CNG,係数_バス貨物_軽油,係数_バス貨物_メタノール,係数_バス貨物_LPG),MATCH(AY471,【参考】排出係数!$AI$4:$AI$671,1),1,BE471):INDEX((係数_バス貨物_ガソリン,係数_バス貨物_CNG,係数_バス貨物_軽油,係数_バス貨物_メタノール,係数_バス貨物_LPG),MATCH(AY471+1,【参考】排出係数!$AI$4:$AI$671,1)-1,5,BE471),2,FALSE),IF(OR(AW471=1,AW471=2),VLOOKUP(AU471,INDEX((係数_乗用_ガソリン,係数_乗用_CNG,係数_乗用_軽油,係数_乗用_メタノール,係数_乗用_LPG),1,1,BE471):INDEX((係数_乗用_ガソリン,係数_乗用_CNG,係数_乗用_軽油,係数_乗用_メタノール,係数_乗用_LPG),125,5,BE471),2,FALSE))))))</f>
        <v/>
      </c>
      <c r="BB471" s="468" t="str">
        <f>IF(T471="","",IF(OR(AU471="",AU471="-"),"－",IF(OR(AZ471=8,AZ471=9),"",IF(OR(AW471=3,AW471=4,AW471=5,AW471=6),VLOOKUP(AU471,INDEX((係数_バス貨物_ガソリン,係数_バス貨物_CNG,係数_バス貨物_軽油,係数_バス貨物_メタノール,係数_バス貨物_LPG),MATCH(AY471,【参考】排出係数!$AI$4:$AI$671,1),1,BE471):INDEX((係数_バス貨物_ガソリン,係数_バス貨物_CNG,係数_バス貨物_軽油,係数_バス貨物_メタノール,係数_バス貨物_LPG),MATCH(AY471+1,【参考】排出係数!$AI$4:$AI$671,1)-1,5,BE471),3,FALSE),IF(OR(AW471=1,AW471=2),VLOOKUP(AU471,INDEX((係数_乗用_ガソリン,係数_乗用_CNG,係数_乗用_軽油,係数_乗用_メタノール,係数_乗用_LPG),1,1,BE471):INDEX((係数_乗用_ガソリン,係数_乗用_CNG,係数_乗用_軽油,係数_乗用_メタノール,係数_乗用_LPG),125,5,BE471),3,FALSE))))))</f>
        <v/>
      </c>
      <c r="BC471" s="467" t="str">
        <f t="shared" si="268"/>
        <v/>
      </c>
      <c r="BD471" s="567" t="str">
        <f t="shared" si="269"/>
        <v/>
      </c>
      <c r="BE471" s="467" t="str">
        <f t="shared" si="270"/>
        <v/>
      </c>
      <c r="BF471" s="469" t="str">
        <f t="shared" ca="1" si="271"/>
        <v/>
      </c>
      <c r="BG471" s="469" t="str">
        <f t="shared" ca="1" si="272"/>
        <v/>
      </c>
      <c r="BH471" s="467" t="str">
        <f t="shared" si="273"/>
        <v/>
      </c>
      <c r="BI471" s="467" t="str">
        <f t="shared" ca="1" si="274"/>
        <v/>
      </c>
      <c r="BJ471" s="469" t="str">
        <f t="shared" si="275"/>
        <v/>
      </c>
      <c r="BK471" s="470" t="str">
        <f t="shared" si="255"/>
        <v/>
      </c>
      <c r="BL471" s="775" t="str">
        <f t="shared" si="276"/>
        <v/>
      </c>
      <c r="BM471" s="775" t="str">
        <f t="shared" si="277"/>
        <v/>
      </c>
    </row>
    <row r="472" spans="1:65">
      <c r="A472" s="473">
        <v>416</v>
      </c>
      <c r="B472" s="132"/>
      <c r="C472" s="332"/>
      <c r="D472" s="333"/>
      <c r="E472" s="333"/>
      <c r="F472" s="334"/>
      <c r="G472" s="337"/>
      <c r="H472" s="131"/>
      <c r="I472" s="337"/>
      <c r="J472" s="131"/>
      <c r="K472" s="458" t="str">
        <f t="shared" si="244"/>
        <v/>
      </c>
      <c r="L472" s="458">
        <f t="shared" si="256"/>
        <v>0</v>
      </c>
      <c r="M472" s="458">
        <f t="shared" si="257"/>
        <v>0</v>
      </c>
      <c r="N472" s="459" t="str">
        <f t="shared" si="245"/>
        <v/>
      </c>
      <c r="O472" s="459" t="str">
        <f t="shared" si="246"/>
        <v/>
      </c>
      <c r="P472" s="459" t="str">
        <f t="shared" si="247"/>
        <v/>
      </c>
      <c r="Q472" s="459" t="str">
        <f t="shared" si="248"/>
        <v/>
      </c>
      <c r="R472" s="459" t="str">
        <f t="shared" si="249"/>
        <v/>
      </c>
      <c r="S472" s="459" t="str">
        <f t="shared" si="250"/>
        <v/>
      </c>
      <c r="T472" s="566" t="str">
        <f t="shared" si="258"/>
        <v/>
      </c>
      <c r="U472" s="702"/>
      <c r="V472" s="132"/>
      <c r="W472" s="133"/>
      <c r="X472" s="134"/>
      <c r="Y472" s="135"/>
      <c r="Z472" s="137"/>
      <c r="AA472" s="136"/>
      <c r="AB472" s="566" t="str">
        <f t="shared" si="251"/>
        <v/>
      </c>
      <c r="AC472" s="568" t="str">
        <f t="shared" si="259"/>
        <v/>
      </c>
      <c r="AD472" s="137"/>
      <c r="AE472" s="137"/>
      <c r="AF472" s="138"/>
      <c r="AG472" s="138"/>
      <c r="AH472" s="592" t="str">
        <f t="shared" si="252"/>
        <v/>
      </c>
      <c r="AI472" s="592" t="str">
        <f t="shared" si="253"/>
        <v/>
      </c>
      <c r="AJ472" s="592" t="str">
        <f t="shared" si="254"/>
        <v/>
      </c>
      <c r="AK472" s="460" t="str">
        <f>IF(AU472="","",IF(OR(AZ472=8,AZ472=9),0,IF(OR(AW472=3,AW472=4,AW472=5,AW472=6),IF(LEFT(BF472,1)="1",INDEX(係数_NOX・PM低減,MATCH(AY472,【参考】排出係数!$AI$801:$AI$804,1),1),VLOOKUP(AU472,INDEX((係数_バス貨物_ガソリン,係数_バス貨物_CNG,係数_バス貨物_軽油,係数_バス貨物_メタノール,係数_バス貨物_LPG),MATCH(AY472,【参考】排出係数!$AI$4:$AI$671,1),1,BE472):INDEX((係数_バス貨物_ガソリン,係数_バス貨物_CNG,係数_バス貨物_軽油,係数_バス貨物_メタノール,係数_バス貨物_LPG),MATCH(AY472+1,【参考】排出係数!$AI$4:$AI$671,1)-1,5,BE472),4,FALSE)),IF(AND(BE472=3,LEFT(BF472,1)="1"),0.48,VLOOKUP(AU472,INDEX((係数_乗用_ガソリン,係数_乗用_CNG,係数_乗用_軽油,係数_乗用_メタノール,係数_乗用_LPG),1,1,BE472):INDEX((係数_乗用_ガソリン,係数_乗用_CNG,係数_乗用_軽油,係数_乗用_メタノール,係数_乗用_LPG),125,5,BE472),4,FALSE)))))</f>
        <v/>
      </c>
      <c r="AL472" s="461" t="str">
        <f t="shared" si="278"/>
        <v/>
      </c>
      <c r="AM472" s="460" t="str">
        <f>IF(AU472="","",IF(OR(AZ472=8,AZ472=9),0,IF(OR(AW472=3,AW472=4,AW472=5,AW472=6),IF(LEFT(BH472,1)="1",INDEX(係数_PM低減,MATCH(AY472,【参考】排出係数!$AI$801:$AI$804,1),MATCH(BI472,【参考】排出係数!$AL$798:$AO$798,1)),VLOOKUP(AU472,INDEX((係数_バス貨物_ガソリン,係数_バス貨物_CNG,係数_バス貨物_軽油,係数_バス貨物_メタノール,係数_バス貨物_LPG),MATCH(AY472,【参考】排出係数!$AI$4:$AI$671,1),1,BE472):INDEX((係数_バス貨物_ガソリン,係数_バス貨物_CNG,係数_バス貨物_軽油,係数_バス貨物_メタノール,係数_バス貨物_LPG),MATCH(AY472+1,【参考】排出係数!$AI$4:$AI$671,1)-1,5,BE472),5,FALSE)),IF(AND(BE472=3,LEFT(BF472,1)="1"),0.055,VLOOKUP(AU472,INDEX((係数_乗用_ガソリン,係数_乗用_CNG,係数_乗用_軽油,係数_乗用_メタノール,係数_乗用_LPG),1,1,BE472):INDEX((係数_乗用_ガソリン,係数_乗用_CNG,係数_乗用_軽油,係数_乗用_メタノール,係数_乗用_LPG),125,5,BE472),5,FALSE)))))</f>
        <v/>
      </c>
      <c r="AN472" s="461" t="str">
        <f t="shared" si="279"/>
        <v/>
      </c>
      <c r="AO472" s="462" t="str">
        <f t="shared" si="280"/>
        <v/>
      </c>
      <c r="AP472" s="463" t="str">
        <f t="shared" si="281"/>
        <v/>
      </c>
      <c r="AQ472" s="464"/>
      <c r="AR472" s="619"/>
      <c r="AS472" s="465" t="str">
        <f t="shared" si="260"/>
        <v/>
      </c>
      <c r="AT472" s="465" t="str">
        <f t="shared" si="261"/>
        <v/>
      </c>
      <c r="AU472" s="466" t="str">
        <f t="shared" si="262"/>
        <v/>
      </c>
      <c r="AV472" s="467" t="str">
        <f t="shared" si="263"/>
        <v/>
      </c>
      <c r="AW472" s="467" t="str">
        <f t="shared" si="264"/>
        <v/>
      </c>
      <c r="AX472" s="467" t="str">
        <f t="shared" si="265"/>
        <v/>
      </c>
      <c r="AY472" s="467" t="str">
        <f t="shared" si="266"/>
        <v/>
      </c>
      <c r="AZ472" s="467" t="str">
        <f t="shared" si="267"/>
        <v/>
      </c>
      <c r="BA472" s="468" t="str">
        <f>IF(AS472="","",IF(OR(AU472="",AU472="-"),"－",IF(OR(AZ472=8,AZ472=9),"",IF(OR(AW472=3,AW472=4,AW472=5,AW472=6),VLOOKUP(AU472,INDEX((係数_バス貨物_ガソリン,係数_バス貨物_CNG,係数_バス貨物_軽油,係数_バス貨物_メタノール,係数_バス貨物_LPG),MATCH(AY472,【参考】排出係数!$AI$4:$AI$671,1),1,BE472):INDEX((係数_バス貨物_ガソリン,係数_バス貨物_CNG,係数_バス貨物_軽油,係数_バス貨物_メタノール,係数_バス貨物_LPG),MATCH(AY472+1,【参考】排出係数!$AI$4:$AI$671,1)-1,5,BE472),2,FALSE),IF(OR(AW472=1,AW472=2),VLOOKUP(AU472,INDEX((係数_乗用_ガソリン,係数_乗用_CNG,係数_乗用_軽油,係数_乗用_メタノール,係数_乗用_LPG),1,1,BE472):INDEX((係数_乗用_ガソリン,係数_乗用_CNG,係数_乗用_軽油,係数_乗用_メタノール,係数_乗用_LPG),125,5,BE472),2,FALSE))))))</f>
        <v/>
      </c>
      <c r="BB472" s="468" t="str">
        <f>IF(T472="","",IF(OR(AU472="",AU472="-"),"－",IF(OR(AZ472=8,AZ472=9),"",IF(OR(AW472=3,AW472=4,AW472=5,AW472=6),VLOOKUP(AU472,INDEX((係数_バス貨物_ガソリン,係数_バス貨物_CNG,係数_バス貨物_軽油,係数_バス貨物_メタノール,係数_バス貨物_LPG),MATCH(AY472,【参考】排出係数!$AI$4:$AI$671,1),1,BE472):INDEX((係数_バス貨物_ガソリン,係数_バス貨物_CNG,係数_バス貨物_軽油,係数_バス貨物_メタノール,係数_バス貨物_LPG),MATCH(AY472+1,【参考】排出係数!$AI$4:$AI$671,1)-1,5,BE472),3,FALSE),IF(OR(AW472=1,AW472=2),VLOOKUP(AU472,INDEX((係数_乗用_ガソリン,係数_乗用_CNG,係数_乗用_軽油,係数_乗用_メタノール,係数_乗用_LPG),1,1,BE472):INDEX((係数_乗用_ガソリン,係数_乗用_CNG,係数_乗用_軽油,係数_乗用_メタノール,係数_乗用_LPG),125,5,BE472),3,FALSE))))))</f>
        <v/>
      </c>
      <c r="BC472" s="467" t="str">
        <f t="shared" si="268"/>
        <v/>
      </c>
      <c r="BD472" s="567" t="str">
        <f t="shared" si="269"/>
        <v/>
      </c>
      <c r="BE472" s="467" t="str">
        <f t="shared" si="270"/>
        <v/>
      </c>
      <c r="BF472" s="469" t="str">
        <f t="shared" ca="1" si="271"/>
        <v/>
      </c>
      <c r="BG472" s="469" t="str">
        <f t="shared" ca="1" si="272"/>
        <v/>
      </c>
      <c r="BH472" s="467" t="str">
        <f t="shared" si="273"/>
        <v/>
      </c>
      <c r="BI472" s="467" t="str">
        <f t="shared" ca="1" si="274"/>
        <v/>
      </c>
      <c r="BJ472" s="469" t="str">
        <f t="shared" si="275"/>
        <v/>
      </c>
      <c r="BK472" s="470" t="str">
        <f t="shared" si="255"/>
        <v/>
      </c>
      <c r="BL472" s="775" t="str">
        <f t="shared" si="276"/>
        <v/>
      </c>
      <c r="BM472" s="775" t="str">
        <f t="shared" si="277"/>
        <v/>
      </c>
    </row>
    <row r="473" spans="1:65">
      <c r="A473" s="473">
        <v>417</v>
      </c>
      <c r="B473" s="132"/>
      <c r="C473" s="332"/>
      <c r="D473" s="333"/>
      <c r="E473" s="333"/>
      <c r="F473" s="334"/>
      <c r="G473" s="337"/>
      <c r="H473" s="131"/>
      <c r="I473" s="337"/>
      <c r="J473" s="131"/>
      <c r="K473" s="458" t="str">
        <f t="shared" si="244"/>
        <v/>
      </c>
      <c r="L473" s="458">
        <f t="shared" si="256"/>
        <v>0</v>
      </c>
      <c r="M473" s="458">
        <f t="shared" si="257"/>
        <v>0</v>
      </c>
      <c r="N473" s="459" t="str">
        <f t="shared" si="245"/>
        <v/>
      </c>
      <c r="O473" s="459" t="str">
        <f t="shared" si="246"/>
        <v/>
      </c>
      <c r="P473" s="459" t="str">
        <f t="shared" si="247"/>
        <v/>
      </c>
      <c r="Q473" s="459" t="str">
        <f t="shared" si="248"/>
        <v/>
      </c>
      <c r="R473" s="459" t="str">
        <f t="shared" si="249"/>
        <v/>
      </c>
      <c r="S473" s="459" t="str">
        <f t="shared" si="250"/>
        <v/>
      </c>
      <c r="T473" s="566" t="str">
        <f t="shared" si="258"/>
        <v/>
      </c>
      <c r="U473" s="702"/>
      <c r="V473" s="132"/>
      <c r="W473" s="133"/>
      <c r="X473" s="134"/>
      <c r="Y473" s="135"/>
      <c r="Z473" s="137"/>
      <c r="AA473" s="136"/>
      <c r="AB473" s="566" t="str">
        <f t="shared" si="251"/>
        <v/>
      </c>
      <c r="AC473" s="568" t="str">
        <f t="shared" si="259"/>
        <v/>
      </c>
      <c r="AD473" s="137"/>
      <c r="AE473" s="137"/>
      <c r="AF473" s="138"/>
      <c r="AG473" s="138"/>
      <c r="AH473" s="592" t="str">
        <f t="shared" si="252"/>
        <v/>
      </c>
      <c r="AI473" s="592" t="str">
        <f t="shared" si="253"/>
        <v/>
      </c>
      <c r="AJ473" s="592" t="str">
        <f t="shared" si="254"/>
        <v/>
      </c>
      <c r="AK473" s="460" t="str">
        <f>IF(AU473="","",IF(OR(AZ473=8,AZ473=9),0,IF(OR(AW473=3,AW473=4,AW473=5,AW473=6),IF(LEFT(BF473,1)="1",INDEX(係数_NOX・PM低減,MATCH(AY473,【参考】排出係数!$AI$801:$AI$804,1),1),VLOOKUP(AU473,INDEX((係数_バス貨物_ガソリン,係数_バス貨物_CNG,係数_バス貨物_軽油,係数_バス貨物_メタノール,係数_バス貨物_LPG),MATCH(AY473,【参考】排出係数!$AI$4:$AI$671,1),1,BE473):INDEX((係数_バス貨物_ガソリン,係数_バス貨物_CNG,係数_バス貨物_軽油,係数_バス貨物_メタノール,係数_バス貨物_LPG),MATCH(AY473+1,【参考】排出係数!$AI$4:$AI$671,1)-1,5,BE473),4,FALSE)),IF(AND(BE473=3,LEFT(BF473,1)="1"),0.48,VLOOKUP(AU473,INDEX((係数_乗用_ガソリン,係数_乗用_CNG,係数_乗用_軽油,係数_乗用_メタノール,係数_乗用_LPG),1,1,BE473):INDEX((係数_乗用_ガソリン,係数_乗用_CNG,係数_乗用_軽油,係数_乗用_メタノール,係数_乗用_LPG),125,5,BE473),4,FALSE)))))</f>
        <v/>
      </c>
      <c r="AL473" s="461" t="str">
        <f t="shared" si="278"/>
        <v/>
      </c>
      <c r="AM473" s="460" t="str">
        <f>IF(AU473="","",IF(OR(AZ473=8,AZ473=9),0,IF(OR(AW473=3,AW473=4,AW473=5,AW473=6),IF(LEFT(BH473,1)="1",INDEX(係数_PM低減,MATCH(AY473,【参考】排出係数!$AI$801:$AI$804,1),MATCH(BI473,【参考】排出係数!$AL$798:$AO$798,1)),VLOOKUP(AU473,INDEX((係数_バス貨物_ガソリン,係数_バス貨物_CNG,係数_バス貨物_軽油,係数_バス貨物_メタノール,係数_バス貨物_LPG),MATCH(AY473,【参考】排出係数!$AI$4:$AI$671,1),1,BE473):INDEX((係数_バス貨物_ガソリン,係数_バス貨物_CNG,係数_バス貨物_軽油,係数_バス貨物_メタノール,係数_バス貨物_LPG),MATCH(AY473+1,【参考】排出係数!$AI$4:$AI$671,1)-1,5,BE473),5,FALSE)),IF(AND(BE473=3,LEFT(BF473,1)="1"),0.055,VLOOKUP(AU473,INDEX((係数_乗用_ガソリン,係数_乗用_CNG,係数_乗用_軽油,係数_乗用_メタノール,係数_乗用_LPG),1,1,BE473):INDEX((係数_乗用_ガソリン,係数_乗用_CNG,係数_乗用_軽油,係数_乗用_メタノール,係数_乗用_LPG),125,5,BE473),5,FALSE)))))</f>
        <v/>
      </c>
      <c r="AN473" s="461" t="str">
        <f t="shared" si="279"/>
        <v/>
      </c>
      <c r="AO473" s="462" t="str">
        <f t="shared" si="280"/>
        <v/>
      </c>
      <c r="AP473" s="463" t="str">
        <f t="shared" si="281"/>
        <v/>
      </c>
      <c r="AQ473" s="464"/>
      <c r="AR473" s="619"/>
      <c r="AS473" s="465" t="str">
        <f t="shared" si="260"/>
        <v/>
      </c>
      <c r="AT473" s="465" t="str">
        <f t="shared" si="261"/>
        <v/>
      </c>
      <c r="AU473" s="466" t="str">
        <f t="shared" si="262"/>
        <v/>
      </c>
      <c r="AV473" s="467" t="str">
        <f t="shared" si="263"/>
        <v/>
      </c>
      <c r="AW473" s="467" t="str">
        <f t="shared" si="264"/>
        <v/>
      </c>
      <c r="AX473" s="467" t="str">
        <f t="shared" si="265"/>
        <v/>
      </c>
      <c r="AY473" s="467" t="str">
        <f t="shared" si="266"/>
        <v/>
      </c>
      <c r="AZ473" s="467" t="str">
        <f t="shared" si="267"/>
        <v/>
      </c>
      <c r="BA473" s="468" t="str">
        <f>IF(AS473="","",IF(OR(AU473="",AU473="-"),"－",IF(OR(AZ473=8,AZ473=9),"",IF(OR(AW473=3,AW473=4,AW473=5,AW473=6),VLOOKUP(AU473,INDEX((係数_バス貨物_ガソリン,係数_バス貨物_CNG,係数_バス貨物_軽油,係数_バス貨物_メタノール,係数_バス貨物_LPG),MATCH(AY473,【参考】排出係数!$AI$4:$AI$671,1),1,BE473):INDEX((係数_バス貨物_ガソリン,係数_バス貨物_CNG,係数_バス貨物_軽油,係数_バス貨物_メタノール,係数_バス貨物_LPG),MATCH(AY473+1,【参考】排出係数!$AI$4:$AI$671,1)-1,5,BE473),2,FALSE),IF(OR(AW473=1,AW473=2),VLOOKUP(AU473,INDEX((係数_乗用_ガソリン,係数_乗用_CNG,係数_乗用_軽油,係数_乗用_メタノール,係数_乗用_LPG),1,1,BE473):INDEX((係数_乗用_ガソリン,係数_乗用_CNG,係数_乗用_軽油,係数_乗用_メタノール,係数_乗用_LPG),125,5,BE473),2,FALSE))))))</f>
        <v/>
      </c>
      <c r="BB473" s="468" t="str">
        <f>IF(T473="","",IF(OR(AU473="",AU473="-"),"－",IF(OR(AZ473=8,AZ473=9),"",IF(OR(AW473=3,AW473=4,AW473=5,AW473=6),VLOOKUP(AU473,INDEX((係数_バス貨物_ガソリン,係数_バス貨物_CNG,係数_バス貨物_軽油,係数_バス貨物_メタノール,係数_バス貨物_LPG),MATCH(AY473,【参考】排出係数!$AI$4:$AI$671,1),1,BE473):INDEX((係数_バス貨物_ガソリン,係数_バス貨物_CNG,係数_バス貨物_軽油,係数_バス貨物_メタノール,係数_バス貨物_LPG),MATCH(AY473+1,【参考】排出係数!$AI$4:$AI$671,1)-1,5,BE473),3,FALSE),IF(OR(AW473=1,AW473=2),VLOOKUP(AU473,INDEX((係数_乗用_ガソリン,係数_乗用_CNG,係数_乗用_軽油,係数_乗用_メタノール,係数_乗用_LPG),1,1,BE473):INDEX((係数_乗用_ガソリン,係数_乗用_CNG,係数_乗用_軽油,係数_乗用_メタノール,係数_乗用_LPG),125,5,BE473),3,FALSE))))))</f>
        <v/>
      </c>
      <c r="BC473" s="467" t="str">
        <f t="shared" si="268"/>
        <v/>
      </c>
      <c r="BD473" s="567" t="str">
        <f t="shared" si="269"/>
        <v/>
      </c>
      <c r="BE473" s="467" t="str">
        <f t="shared" si="270"/>
        <v/>
      </c>
      <c r="BF473" s="469" t="str">
        <f t="shared" ca="1" si="271"/>
        <v/>
      </c>
      <c r="BG473" s="469" t="str">
        <f t="shared" ca="1" si="272"/>
        <v/>
      </c>
      <c r="BH473" s="467" t="str">
        <f t="shared" si="273"/>
        <v/>
      </c>
      <c r="BI473" s="467" t="str">
        <f t="shared" ca="1" si="274"/>
        <v/>
      </c>
      <c r="BJ473" s="469" t="str">
        <f t="shared" si="275"/>
        <v/>
      </c>
      <c r="BK473" s="470" t="str">
        <f t="shared" si="255"/>
        <v/>
      </c>
      <c r="BL473" s="775" t="str">
        <f t="shared" si="276"/>
        <v/>
      </c>
      <c r="BM473" s="775" t="str">
        <f t="shared" si="277"/>
        <v/>
      </c>
    </row>
    <row r="474" spans="1:65">
      <c r="A474" s="473">
        <v>418</v>
      </c>
      <c r="B474" s="132"/>
      <c r="C474" s="332"/>
      <c r="D474" s="333"/>
      <c r="E474" s="333"/>
      <c r="F474" s="334"/>
      <c r="G474" s="337"/>
      <c r="H474" s="131"/>
      <c r="I474" s="337"/>
      <c r="J474" s="131"/>
      <c r="K474" s="458" t="str">
        <f t="shared" si="244"/>
        <v/>
      </c>
      <c r="L474" s="458">
        <f t="shared" si="256"/>
        <v>0</v>
      </c>
      <c r="M474" s="458">
        <f t="shared" si="257"/>
        <v>0</v>
      </c>
      <c r="N474" s="459" t="str">
        <f t="shared" si="245"/>
        <v/>
      </c>
      <c r="O474" s="459" t="str">
        <f t="shared" si="246"/>
        <v/>
      </c>
      <c r="P474" s="459" t="str">
        <f t="shared" si="247"/>
        <v/>
      </c>
      <c r="Q474" s="459" t="str">
        <f t="shared" si="248"/>
        <v/>
      </c>
      <c r="R474" s="459" t="str">
        <f t="shared" si="249"/>
        <v/>
      </c>
      <c r="S474" s="459" t="str">
        <f t="shared" si="250"/>
        <v/>
      </c>
      <c r="T474" s="566" t="str">
        <f t="shared" si="258"/>
        <v/>
      </c>
      <c r="U474" s="702"/>
      <c r="V474" s="132"/>
      <c r="W474" s="133"/>
      <c r="X474" s="134"/>
      <c r="Y474" s="135"/>
      <c r="Z474" s="137"/>
      <c r="AA474" s="136"/>
      <c r="AB474" s="566" t="str">
        <f t="shared" si="251"/>
        <v/>
      </c>
      <c r="AC474" s="568" t="str">
        <f t="shared" si="259"/>
        <v/>
      </c>
      <c r="AD474" s="137"/>
      <c r="AE474" s="137"/>
      <c r="AF474" s="138"/>
      <c r="AG474" s="138"/>
      <c r="AH474" s="592" t="str">
        <f t="shared" si="252"/>
        <v/>
      </c>
      <c r="AI474" s="592" t="str">
        <f t="shared" si="253"/>
        <v/>
      </c>
      <c r="AJ474" s="592" t="str">
        <f t="shared" si="254"/>
        <v/>
      </c>
      <c r="AK474" s="460" t="str">
        <f>IF(AU474="","",IF(OR(AZ474=8,AZ474=9),0,IF(OR(AW474=3,AW474=4,AW474=5,AW474=6),IF(LEFT(BF474,1)="1",INDEX(係数_NOX・PM低減,MATCH(AY474,【参考】排出係数!$AI$801:$AI$804,1),1),VLOOKUP(AU474,INDEX((係数_バス貨物_ガソリン,係数_バス貨物_CNG,係数_バス貨物_軽油,係数_バス貨物_メタノール,係数_バス貨物_LPG),MATCH(AY474,【参考】排出係数!$AI$4:$AI$671,1),1,BE474):INDEX((係数_バス貨物_ガソリン,係数_バス貨物_CNG,係数_バス貨物_軽油,係数_バス貨物_メタノール,係数_バス貨物_LPG),MATCH(AY474+1,【参考】排出係数!$AI$4:$AI$671,1)-1,5,BE474),4,FALSE)),IF(AND(BE474=3,LEFT(BF474,1)="1"),0.48,VLOOKUP(AU474,INDEX((係数_乗用_ガソリン,係数_乗用_CNG,係数_乗用_軽油,係数_乗用_メタノール,係数_乗用_LPG),1,1,BE474):INDEX((係数_乗用_ガソリン,係数_乗用_CNG,係数_乗用_軽油,係数_乗用_メタノール,係数_乗用_LPG),125,5,BE474),4,FALSE)))))</f>
        <v/>
      </c>
      <c r="AL474" s="461" t="str">
        <f t="shared" si="278"/>
        <v/>
      </c>
      <c r="AM474" s="460" t="str">
        <f>IF(AU474="","",IF(OR(AZ474=8,AZ474=9),0,IF(OR(AW474=3,AW474=4,AW474=5,AW474=6),IF(LEFT(BH474,1)="1",INDEX(係数_PM低減,MATCH(AY474,【参考】排出係数!$AI$801:$AI$804,1),MATCH(BI474,【参考】排出係数!$AL$798:$AO$798,1)),VLOOKUP(AU474,INDEX((係数_バス貨物_ガソリン,係数_バス貨物_CNG,係数_バス貨物_軽油,係数_バス貨物_メタノール,係数_バス貨物_LPG),MATCH(AY474,【参考】排出係数!$AI$4:$AI$671,1),1,BE474):INDEX((係数_バス貨物_ガソリン,係数_バス貨物_CNG,係数_バス貨物_軽油,係数_バス貨物_メタノール,係数_バス貨物_LPG),MATCH(AY474+1,【参考】排出係数!$AI$4:$AI$671,1)-1,5,BE474),5,FALSE)),IF(AND(BE474=3,LEFT(BF474,1)="1"),0.055,VLOOKUP(AU474,INDEX((係数_乗用_ガソリン,係数_乗用_CNG,係数_乗用_軽油,係数_乗用_メタノール,係数_乗用_LPG),1,1,BE474):INDEX((係数_乗用_ガソリン,係数_乗用_CNG,係数_乗用_軽油,係数_乗用_メタノール,係数_乗用_LPG),125,5,BE474),5,FALSE)))))</f>
        <v/>
      </c>
      <c r="AN474" s="461" t="str">
        <f t="shared" si="279"/>
        <v/>
      </c>
      <c r="AO474" s="462" t="str">
        <f t="shared" si="280"/>
        <v/>
      </c>
      <c r="AP474" s="463" t="str">
        <f t="shared" si="281"/>
        <v/>
      </c>
      <c r="AQ474" s="464"/>
      <c r="AR474" s="619"/>
      <c r="AS474" s="465" t="str">
        <f t="shared" si="260"/>
        <v/>
      </c>
      <c r="AT474" s="465" t="str">
        <f t="shared" si="261"/>
        <v/>
      </c>
      <c r="AU474" s="466" t="str">
        <f t="shared" si="262"/>
        <v/>
      </c>
      <c r="AV474" s="467" t="str">
        <f t="shared" si="263"/>
        <v/>
      </c>
      <c r="AW474" s="467" t="str">
        <f t="shared" si="264"/>
        <v/>
      </c>
      <c r="AX474" s="467" t="str">
        <f t="shared" si="265"/>
        <v/>
      </c>
      <c r="AY474" s="467" t="str">
        <f t="shared" si="266"/>
        <v/>
      </c>
      <c r="AZ474" s="467" t="str">
        <f t="shared" si="267"/>
        <v/>
      </c>
      <c r="BA474" s="468" t="str">
        <f>IF(AS474="","",IF(OR(AU474="",AU474="-"),"－",IF(OR(AZ474=8,AZ474=9),"",IF(OR(AW474=3,AW474=4,AW474=5,AW474=6),VLOOKUP(AU474,INDEX((係数_バス貨物_ガソリン,係数_バス貨物_CNG,係数_バス貨物_軽油,係数_バス貨物_メタノール,係数_バス貨物_LPG),MATCH(AY474,【参考】排出係数!$AI$4:$AI$671,1),1,BE474):INDEX((係数_バス貨物_ガソリン,係数_バス貨物_CNG,係数_バス貨物_軽油,係数_バス貨物_メタノール,係数_バス貨物_LPG),MATCH(AY474+1,【参考】排出係数!$AI$4:$AI$671,1)-1,5,BE474),2,FALSE),IF(OR(AW474=1,AW474=2),VLOOKUP(AU474,INDEX((係数_乗用_ガソリン,係数_乗用_CNG,係数_乗用_軽油,係数_乗用_メタノール,係数_乗用_LPG),1,1,BE474):INDEX((係数_乗用_ガソリン,係数_乗用_CNG,係数_乗用_軽油,係数_乗用_メタノール,係数_乗用_LPG),125,5,BE474),2,FALSE))))))</f>
        <v/>
      </c>
      <c r="BB474" s="468" t="str">
        <f>IF(T474="","",IF(OR(AU474="",AU474="-"),"－",IF(OR(AZ474=8,AZ474=9),"",IF(OR(AW474=3,AW474=4,AW474=5,AW474=6),VLOOKUP(AU474,INDEX((係数_バス貨物_ガソリン,係数_バス貨物_CNG,係数_バス貨物_軽油,係数_バス貨物_メタノール,係数_バス貨物_LPG),MATCH(AY474,【参考】排出係数!$AI$4:$AI$671,1),1,BE474):INDEX((係数_バス貨物_ガソリン,係数_バス貨物_CNG,係数_バス貨物_軽油,係数_バス貨物_メタノール,係数_バス貨物_LPG),MATCH(AY474+1,【参考】排出係数!$AI$4:$AI$671,1)-1,5,BE474),3,FALSE),IF(OR(AW474=1,AW474=2),VLOOKUP(AU474,INDEX((係数_乗用_ガソリン,係数_乗用_CNG,係数_乗用_軽油,係数_乗用_メタノール,係数_乗用_LPG),1,1,BE474):INDEX((係数_乗用_ガソリン,係数_乗用_CNG,係数_乗用_軽油,係数_乗用_メタノール,係数_乗用_LPG),125,5,BE474),3,FALSE))))))</f>
        <v/>
      </c>
      <c r="BC474" s="467" t="str">
        <f t="shared" si="268"/>
        <v/>
      </c>
      <c r="BD474" s="567" t="str">
        <f t="shared" si="269"/>
        <v/>
      </c>
      <c r="BE474" s="467" t="str">
        <f t="shared" si="270"/>
        <v/>
      </c>
      <c r="BF474" s="469" t="str">
        <f t="shared" ca="1" si="271"/>
        <v/>
      </c>
      <c r="BG474" s="469" t="str">
        <f t="shared" ca="1" si="272"/>
        <v/>
      </c>
      <c r="BH474" s="467" t="str">
        <f t="shared" si="273"/>
        <v/>
      </c>
      <c r="BI474" s="467" t="str">
        <f t="shared" ca="1" si="274"/>
        <v/>
      </c>
      <c r="BJ474" s="469" t="str">
        <f t="shared" si="275"/>
        <v/>
      </c>
      <c r="BK474" s="470" t="str">
        <f t="shared" si="255"/>
        <v/>
      </c>
      <c r="BL474" s="775" t="str">
        <f t="shared" si="276"/>
        <v/>
      </c>
      <c r="BM474" s="775" t="str">
        <f t="shared" si="277"/>
        <v/>
      </c>
    </row>
    <row r="475" spans="1:65">
      <c r="A475" s="473">
        <v>419</v>
      </c>
      <c r="B475" s="132"/>
      <c r="C475" s="332"/>
      <c r="D475" s="333"/>
      <c r="E475" s="333"/>
      <c r="F475" s="334"/>
      <c r="G475" s="337"/>
      <c r="H475" s="131"/>
      <c r="I475" s="337"/>
      <c r="J475" s="131"/>
      <c r="K475" s="458" t="str">
        <f t="shared" si="244"/>
        <v/>
      </c>
      <c r="L475" s="458">
        <f t="shared" si="256"/>
        <v>0</v>
      </c>
      <c r="M475" s="458">
        <f t="shared" si="257"/>
        <v>0</v>
      </c>
      <c r="N475" s="459" t="str">
        <f t="shared" si="245"/>
        <v/>
      </c>
      <c r="O475" s="459" t="str">
        <f t="shared" si="246"/>
        <v/>
      </c>
      <c r="P475" s="459" t="str">
        <f t="shared" si="247"/>
        <v/>
      </c>
      <c r="Q475" s="459" t="str">
        <f t="shared" si="248"/>
        <v/>
      </c>
      <c r="R475" s="459" t="str">
        <f t="shared" si="249"/>
        <v/>
      </c>
      <c r="S475" s="459" t="str">
        <f t="shared" si="250"/>
        <v/>
      </c>
      <c r="T475" s="566" t="str">
        <f t="shared" si="258"/>
        <v/>
      </c>
      <c r="U475" s="702"/>
      <c r="V475" s="132"/>
      <c r="W475" s="133"/>
      <c r="X475" s="134"/>
      <c r="Y475" s="135"/>
      <c r="Z475" s="137"/>
      <c r="AA475" s="136"/>
      <c r="AB475" s="566" t="str">
        <f t="shared" si="251"/>
        <v/>
      </c>
      <c r="AC475" s="568" t="str">
        <f t="shared" si="259"/>
        <v/>
      </c>
      <c r="AD475" s="137"/>
      <c r="AE475" s="137"/>
      <c r="AF475" s="138"/>
      <c r="AG475" s="138"/>
      <c r="AH475" s="592" t="str">
        <f t="shared" si="252"/>
        <v/>
      </c>
      <c r="AI475" s="592" t="str">
        <f t="shared" si="253"/>
        <v/>
      </c>
      <c r="AJ475" s="592" t="str">
        <f t="shared" si="254"/>
        <v/>
      </c>
      <c r="AK475" s="460" t="str">
        <f>IF(AU475="","",IF(OR(AZ475=8,AZ475=9),0,IF(OR(AW475=3,AW475=4,AW475=5,AW475=6),IF(LEFT(BF475,1)="1",INDEX(係数_NOX・PM低減,MATCH(AY475,【参考】排出係数!$AI$801:$AI$804,1),1),VLOOKUP(AU475,INDEX((係数_バス貨物_ガソリン,係数_バス貨物_CNG,係数_バス貨物_軽油,係数_バス貨物_メタノール,係数_バス貨物_LPG),MATCH(AY475,【参考】排出係数!$AI$4:$AI$671,1),1,BE475):INDEX((係数_バス貨物_ガソリン,係数_バス貨物_CNG,係数_バス貨物_軽油,係数_バス貨物_メタノール,係数_バス貨物_LPG),MATCH(AY475+1,【参考】排出係数!$AI$4:$AI$671,1)-1,5,BE475),4,FALSE)),IF(AND(BE475=3,LEFT(BF475,1)="1"),0.48,VLOOKUP(AU475,INDEX((係数_乗用_ガソリン,係数_乗用_CNG,係数_乗用_軽油,係数_乗用_メタノール,係数_乗用_LPG),1,1,BE475):INDEX((係数_乗用_ガソリン,係数_乗用_CNG,係数_乗用_軽油,係数_乗用_メタノール,係数_乗用_LPG),125,5,BE475),4,FALSE)))))</f>
        <v/>
      </c>
      <c r="AL475" s="461" t="str">
        <f t="shared" si="278"/>
        <v/>
      </c>
      <c r="AM475" s="460" t="str">
        <f>IF(AU475="","",IF(OR(AZ475=8,AZ475=9),0,IF(OR(AW475=3,AW475=4,AW475=5,AW475=6),IF(LEFT(BH475,1)="1",INDEX(係数_PM低減,MATCH(AY475,【参考】排出係数!$AI$801:$AI$804,1),MATCH(BI475,【参考】排出係数!$AL$798:$AO$798,1)),VLOOKUP(AU475,INDEX((係数_バス貨物_ガソリン,係数_バス貨物_CNG,係数_バス貨物_軽油,係数_バス貨物_メタノール,係数_バス貨物_LPG),MATCH(AY475,【参考】排出係数!$AI$4:$AI$671,1),1,BE475):INDEX((係数_バス貨物_ガソリン,係数_バス貨物_CNG,係数_バス貨物_軽油,係数_バス貨物_メタノール,係数_バス貨物_LPG),MATCH(AY475+1,【参考】排出係数!$AI$4:$AI$671,1)-1,5,BE475),5,FALSE)),IF(AND(BE475=3,LEFT(BF475,1)="1"),0.055,VLOOKUP(AU475,INDEX((係数_乗用_ガソリン,係数_乗用_CNG,係数_乗用_軽油,係数_乗用_メタノール,係数_乗用_LPG),1,1,BE475):INDEX((係数_乗用_ガソリン,係数_乗用_CNG,係数_乗用_軽油,係数_乗用_メタノール,係数_乗用_LPG),125,5,BE475),5,FALSE)))))</f>
        <v/>
      </c>
      <c r="AN475" s="461" t="str">
        <f t="shared" si="279"/>
        <v/>
      </c>
      <c r="AO475" s="462" t="str">
        <f t="shared" si="280"/>
        <v/>
      </c>
      <c r="AP475" s="463" t="str">
        <f t="shared" si="281"/>
        <v/>
      </c>
      <c r="AQ475" s="464"/>
      <c r="AR475" s="619"/>
      <c r="AS475" s="465" t="str">
        <f t="shared" si="260"/>
        <v/>
      </c>
      <c r="AT475" s="465" t="str">
        <f t="shared" si="261"/>
        <v/>
      </c>
      <c r="AU475" s="466" t="str">
        <f t="shared" si="262"/>
        <v/>
      </c>
      <c r="AV475" s="467" t="str">
        <f t="shared" si="263"/>
        <v/>
      </c>
      <c r="AW475" s="467" t="str">
        <f t="shared" si="264"/>
        <v/>
      </c>
      <c r="AX475" s="467" t="str">
        <f t="shared" si="265"/>
        <v/>
      </c>
      <c r="AY475" s="467" t="str">
        <f t="shared" si="266"/>
        <v/>
      </c>
      <c r="AZ475" s="467" t="str">
        <f t="shared" si="267"/>
        <v/>
      </c>
      <c r="BA475" s="468" t="str">
        <f>IF(AS475="","",IF(OR(AU475="",AU475="-"),"－",IF(OR(AZ475=8,AZ475=9),"",IF(OR(AW475=3,AW475=4,AW475=5,AW475=6),VLOOKUP(AU475,INDEX((係数_バス貨物_ガソリン,係数_バス貨物_CNG,係数_バス貨物_軽油,係数_バス貨物_メタノール,係数_バス貨物_LPG),MATCH(AY475,【参考】排出係数!$AI$4:$AI$671,1),1,BE475):INDEX((係数_バス貨物_ガソリン,係数_バス貨物_CNG,係数_バス貨物_軽油,係数_バス貨物_メタノール,係数_バス貨物_LPG),MATCH(AY475+1,【参考】排出係数!$AI$4:$AI$671,1)-1,5,BE475),2,FALSE),IF(OR(AW475=1,AW475=2),VLOOKUP(AU475,INDEX((係数_乗用_ガソリン,係数_乗用_CNG,係数_乗用_軽油,係数_乗用_メタノール,係数_乗用_LPG),1,1,BE475):INDEX((係数_乗用_ガソリン,係数_乗用_CNG,係数_乗用_軽油,係数_乗用_メタノール,係数_乗用_LPG),125,5,BE475),2,FALSE))))))</f>
        <v/>
      </c>
      <c r="BB475" s="468" t="str">
        <f>IF(T475="","",IF(OR(AU475="",AU475="-"),"－",IF(OR(AZ475=8,AZ475=9),"",IF(OR(AW475=3,AW475=4,AW475=5,AW475=6),VLOOKUP(AU475,INDEX((係数_バス貨物_ガソリン,係数_バス貨物_CNG,係数_バス貨物_軽油,係数_バス貨物_メタノール,係数_バス貨物_LPG),MATCH(AY475,【参考】排出係数!$AI$4:$AI$671,1),1,BE475):INDEX((係数_バス貨物_ガソリン,係数_バス貨物_CNG,係数_バス貨物_軽油,係数_バス貨物_メタノール,係数_バス貨物_LPG),MATCH(AY475+1,【参考】排出係数!$AI$4:$AI$671,1)-1,5,BE475),3,FALSE),IF(OR(AW475=1,AW475=2),VLOOKUP(AU475,INDEX((係数_乗用_ガソリン,係数_乗用_CNG,係数_乗用_軽油,係数_乗用_メタノール,係数_乗用_LPG),1,1,BE475):INDEX((係数_乗用_ガソリン,係数_乗用_CNG,係数_乗用_軽油,係数_乗用_メタノール,係数_乗用_LPG),125,5,BE475),3,FALSE))))))</f>
        <v/>
      </c>
      <c r="BC475" s="467" t="str">
        <f t="shared" si="268"/>
        <v/>
      </c>
      <c r="BD475" s="567" t="str">
        <f t="shared" si="269"/>
        <v/>
      </c>
      <c r="BE475" s="467" t="str">
        <f t="shared" si="270"/>
        <v/>
      </c>
      <c r="BF475" s="469" t="str">
        <f t="shared" ca="1" si="271"/>
        <v/>
      </c>
      <c r="BG475" s="469" t="str">
        <f t="shared" ca="1" si="272"/>
        <v/>
      </c>
      <c r="BH475" s="467" t="str">
        <f t="shared" si="273"/>
        <v/>
      </c>
      <c r="BI475" s="467" t="str">
        <f t="shared" ca="1" si="274"/>
        <v/>
      </c>
      <c r="BJ475" s="469" t="str">
        <f t="shared" si="275"/>
        <v/>
      </c>
      <c r="BK475" s="470" t="str">
        <f t="shared" si="255"/>
        <v/>
      </c>
      <c r="BL475" s="775" t="str">
        <f t="shared" si="276"/>
        <v/>
      </c>
      <c r="BM475" s="775" t="str">
        <f t="shared" si="277"/>
        <v/>
      </c>
    </row>
    <row r="476" spans="1:65">
      <c r="A476" s="473">
        <v>420</v>
      </c>
      <c r="B476" s="132"/>
      <c r="C476" s="332"/>
      <c r="D476" s="333"/>
      <c r="E476" s="333"/>
      <c r="F476" s="334"/>
      <c r="G476" s="337"/>
      <c r="H476" s="131"/>
      <c r="I476" s="337"/>
      <c r="J476" s="131"/>
      <c r="K476" s="458" t="str">
        <f t="shared" si="244"/>
        <v/>
      </c>
      <c r="L476" s="458">
        <f t="shared" si="256"/>
        <v>0</v>
      </c>
      <c r="M476" s="458">
        <f t="shared" si="257"/>
        <v>0</v>
      </c>
      <c r="N476" s="459" t="str">
        <f t="shared" si="245"/>
        <v/>
      </c>
      <c r="O476" s="459" t="str">
        <f t="shared" si="246"/>
        <v/>
      </c>
      <c r="P476" s="459" t="str">
        <f t="shared" si="247"/>
        <v/>
      </c>
      <c r="Q476" s="459" t="str">
        <f t="shared" si="248"/>
        <v/>
      </c>
      <c r="R476" s="459" t="str">
        <f t="shared" si="249"/>
        <v/>
      </c>
      <c r="S476" s="459" t="str">
        <f t="shared" si="250"/>
        <v/>
      </c>
      <c r="T476" s="566" t="str">
        <f t="shared" si="258"/>
        <v/>
      </c>
      <c r="U476" s="702"/>
      <c r="V476" s="132"/>
      <c r="W476" s="133"/>
      <c r="X476" s="134"/>
      <c r="Y476" s="135"/>
      <c r="Z476" s="137"/>
      <c r="AA476" s="136"/>
      <c r="AB476" s="566" t="str">
        <f t="shared" si="251"/>
        <v/>
      </c>
      <c r="AC476" s="568" t="str">
        <f t="shared" si="259"/>
        <v/>
      </c>
      <c r="AD476" s="137"/>
      <c r="AE476" s="137"/>
      <c r="AF476" s="138"/>
      <c r="AG476" s="138"/>
      <c r="AH476" s="592" t="str">
        <f t="shared" si="252"/>
        <v/>
      </c>
      <c r="AI476" s="592" t="str">
        <f t="shared" si="253"/>
        <v/>
      </c>
      <c r="AJ476" s="592" t="str">
        <f t="shared" si="254"/>
        <v/>
      </c>
      <c r="AK476" s="460" t="str">
        <f>IF(AU476="","",IF(OR(AZ476=8,AZ476=9),0,IF(OR(AW476=3,AW476=4,AW476=5,AW476=6),IF(LEFT(BF476,1)="1",INDEX(係数_NOX・PM低減,MATCH(AY476,【参考】排出係数!$AI$801:$AI$804,1),1),VLOOKUP(AU476,INDEX((係数_バス貨物_ガソリン,係数_バス貨物_CNG,係数_バス貨物_軽油,係数_バス貨物_メタノール,係数_バス貨物_LPG),MATCH(AY476,【参考】排出係数!$AI$4:$AI$671,1),1,BE476):INDEX((係数_バス貨物_ガソリン,係数_バス貨物_CNG,係数_バス貨物_軽油,係数_バス貨物_メタノール,係数_バス貨物_LPG),MATCH(AY476+1,【参考】排出係数!$AI$4:$AI$671,1)-1,5,BE476),4,FALSE)),IF(AND(BE476=3,LEFT(BF476,1)="1"),0.48,VLOOKUP(AU476,INDEX((係数_乗用_ガソリン,係数_乗用_CNG,係数_乗用_軽油,係数_乗用_メタノール,係数_乗用_LPG),1,1,BE476):INDEX((係数_乗用_ガソリン,係数_乗用_CNG,係数_乗用_軽油,係数_乗用_メタノール,係数_乗用_LPG),125,5,BE476),4,FALSE)))))</f>
        <v/>
      </c>
      <c r="AL476" s="461" t="str">
        <f t="shared" si="278"/>
        <v/>
      </c>
      <c r="AM476" s="460" t="str">
        <f>IF(AU476="","",IF(OR(AZ476=8,AZ476=9),0,IF(OR(AW476=3,AW476=4,AW476=5,AW476=6),IF(LEFT(BH476,1)="1",INDEX(係数_PM低減,MATCH(AY476,【参考】排出係数!$AI$801:$AI$804,1),MATCH(BI476,【参考】排出係数!$AL$798:$AO$798,1)),VLOOKUP(AU476,INDEX((係数_バス貨物_ガソリン,係数_バス貨物_CNG,係数_バス貨物_軽油,係数_バス貨物_メタノール,係数_バス貨物_LPG),MATCH(AY476,【参考】排出係数!$AI$4:$AI$671,1),1,BE476):INDEX((係数_バス貨物_ガソリン,係数_バス貨物_CNG,係数_バス貨物_軽油,係数_バス貨物_メタノール,係数_バス貨物_LPG),MATCH(AY476+1,【参考】排出係数!$AI$4:$AI$671,1)-1,5,BE476),5,FALSE)),IF(AND(BE476=3,LEFT(BF476,1)="1"),0.055,VLOOKUP(AU476,INDEX((係数_乗用_ガソリン,係数_乗用_CNG,係数_乗用_軽油,係数_乗用_メタノール,係数_乗用_LPG),1,1,BE476):INDEX((係数_乗用_ガソリン,係数_乗用_CNG,係数_乗用_軽油,係数_乗用_メタノール,係数_乗用_LPG),125,5,BE476),5,FALSE)))))</f>
        <v/>
      </c>
      <c r="AN476" s="461" t="str">
        <f t="shared" si="279"/>
        <v/>
      </c>
      <c r="AO476" s="462" t="str">
        <f t="shared" si="280"/>
        <v/>
      </c>
      <c r="AP476" s="463" t="str">
        <f t="shared" si="281"/>
        <v/>
      </c>
      <c r="AQ476" s="464"/>
      <c r="AR476" s="619"/>
      <c r="AS476" s="465" t="str">
        <f t="shared" si="260"/>
        <v/>
      </c>
      <c r="AT476" s="465" t="str">
        <f t="shared" si="261"/>
        <v/>
      </c>
      <c r="AU476" s="466" t="str">
        <f t="shared" si="262"/>
        <v/>
      </c>
      <c r="AV476" s="467" t="str">
        <f t="shared" si="263"/>
        <v/>
      </c>
      <c r="AW476" s="467" t="str">
        <f t="shared" si="264"/>
        <v/>
      </c>
      <c r="AX476" s="467" t="str">
        <f t="shared" si="265"/>
        <v/>
      </c>
      <c r="AY476" s="467" t="str">
        <f t="shared" si="266"/>
        <v/>
      </c>
      <c r="AZ476" s="467" t="str">
        <f t="shared" si="267"/>
        <v/>
      </c>
      <c r="BA476" s="468" t="str">
        <f>IF(AS476="","",IF(OR(AU476="",AU476="-"),"－",IF(OR(AZ476=8,AZ476=9),"",IF(OR(AW476=3,AW476=4,AW476=5,AW476=6),VLOOKUP(AU476,INDEX((係数_バス貨物_ガソリン,係数_バス貨物_CNG,係数_バス貨物_軽油,係数_バス貨物_メタノール,係数_バス貨物_LPG),MATCH(AY476,【参考】排出係数!$AI$4:$AI$671,1),1,BE476):INDEX((係数_バス貨物_ガソリン,係数_バス貨物_CNG,係数_バス貨物_軽油,係数_バス貨物_メタノール,係数_バス貨物_LPG),MATCH(AY476+1,【参考】排出係数!$AI$4:$AI$671,1)-1,5,BE476),2,FALSE),IF(OR(AW476=1,AW476=2),VLOOKUP(AU476,INDEX((係数_乗用_ガソリン,係数_乗用_CNG,係数_乗用_軽油,係数_乗用_メタノール,係数_乗用_LPG),1,1,BE476):INDEX((係数_乗用_ガソリン,係数_乗用_CNG,係数_乗用_軽油,係数_乗用_メタノール,係数_乗用_LPG),125,5,BE476),2,FALSE))))))</f>
        <v/>
      </c>
      <c r="BB476" s="468" t="str">
        <f>IF(T476="","",IF(OR(AU476="",AU476="-"),"－",IF(OR(AZ476=8,AZ476=9),"",IF(OR(AW476=3,AW476=4,AW476=5,AW476=6),VLOOKUP(AU476,INDEX((係数_バス貨物_ガソリン,係数_バス貨物_CNG,係数_バス貨物_軽油,係数_バス貨物_メタノール,係数_バス貨物_LPG),MATCH(AY476,【参考】排出係数!$AI$4:$AI$671,1),1,BE476):INDEX((係数_バス貨物_ガソリン,係数_バス貨物_CNG,係数_バス貨物_軽油,係数_バス貨物_メタノール,係数_バス貨物_LPG),MATCH(AY476+1,【参考】排出係数!$AI$4:$AI$671,1)-1,5,BE476),3,FALSE),IF(OR(AW476=1,AW476=2),VLOOKUP(AU476,INDEX((係数_乗用_ガソリン,係数_乗用_CNG,係数_乗用_軽油,係数_乗用_メタノール,係数_乗用_LPG),1,1,BE476):INDEX((係数_乗用_ガソリン,係数_乗用_CNG,係数_乗用_軽油,係数_乗用_メタノール,係数_乗用_LPG),125,5,BE476),3,FALSE))))))</f>
        <v/>
      </c>
      <c r="BC476" s="467" t="str">
        <f t="shared" si="268"/>
        <v/>
      </c>
      <c r="BD476" s="567" t="str">
        <f t="shared" si="269"/>
        <v/>
      </c>
      <c r="BE476" s="467" t="str">
        <f t="shared" si="270"/>
        <v/>
      </c>
      <c r="BF476" s="469" t="str">
        <f t="shared" ca="1" si="271"/>
        <v/>
      </c>
      <c r="BG476" s="469" t="str">
        <f t="shared" ca="1" si="272"/>
        <v/>
      </c>
      <c r="BH476" s="467" t="str">
        <f t="shared" si="273"/>
        <v/>
      </c>
      <c r="BI476" s="467" t="str">
        <f t="shared" ca="1" si="274"/>
        <v/>
      </c>
      <c r="BJ476" s="469" t="str">
        <f t="shared" si="275"/>
        <v/>
      </c>
      <c r="BK476" s="470" t="str">
        <f t="shared" si="255"/>
        <v/>
      </c>
      <c r="BL476" s="775" t="str">
        <f t="shared" si="276"/>
        <v/>
      </c>
      <c r="BM476" s="775" t="str">
        <f t="shared" si="277"/>
        <v/>
      </c>
    </row>
    <row r="477" spans="1:65">
      <c r="A477" s="473">
        <v>421</v>
      </c>
      <c r="B477" s="132"/>
      <c r="C477" s="332"/>
      <c r="D477" s="333"/>
      <c r="E477" s="333"/>
      <c r="F477" s="334"/>
      <c r="G477" s="337"/>
      <c r="H477" s="131"/>
      <c r="I477" s="337"/>
      <c r="J477" s="131"/>
      <c r="K477" s="458" t="str">
        <f t="shared" si="244"/>
        <v/>
      </c>
      <c r="L477" s="458">
        <f t="shared" si="256"/>
        <v>0</v>
      </c>
      <c r="M477" s="458">
        <f t="shared" si="257"/>
        <v>0</v>
      </c>
      <c r="N477" s="459" t="str">
        <f t="shared" si="245"/>
        <v/>
      </c>
      <c r="O477" s="459" t="str">
        <f t="shared" si="246"/>
        <v/>
      </c>
      <c r="P477" s="459" t="str">
        <f t="shared" si="247"/>
        <v/>
      </c>
      <c r="Q477" s="459" t="str">
        <f t="shared" si="248"/>
        <v/>
      </c>
      <c r="R477" s="459" t="str">
        <f t="shared" si="249"/>
        <v/>
      </c>
      <c r="S477" s="459" t="str">
        <f t="shared" si="250"/>
        <v/>
      </c>
      <c r="T477" s="566" t="str">
        <f t="shared" si="258"/>
        <v/>
      </c>
      <c r="U477" s="702"/>
      <c r="V477" s="132"/>
      <c r="W477" s="133"/>
      <c r="X477" s="134"/>
      <c r="Y477" s="135"/>
      <c r="Z477" s="137"/>
      <c r="AA477" s="136"/>
      <c r="AB477" s="566" t="str">
        <f t="shared" si="251"/>
        <v/>
      </c>
      <c r="AC477" s="568" t="str">
        <f t="shared" si="259"/>
        <v/>
      </c>
      <c r="AD477" s="137"/>
      <c r="AE477" s="137"/>
      <c r="AF477" s="138"/>
      <c r="AG477" s="138"/>
      <c r="AH477" s="592" t="str">
        <f t="shared" si="252"/>
        <v/>
      </c>
      <c r="AI477" s="592" t="str">
        <f t="shared" si="253"/>
        <v/>
      </c>
      <c r="AJ477" s="592" t="str">
        <f t="shared" si="254"/>
        <v/>
      </c>
      <c r="AK477" s="460" t="str">
        <f>IF(AU477="","",IF(OR(AZ477=8,AZ477=9),0,IF(OR(AW477=3,AW477=4,AW477=5,AW477=6),IF(LEFT(BF477,1)="1",INDEX(係数_NOX・PM低減,MATCH(AY477,【参考】排出係数!$AI$801:$AI$804,1),1),VLOOKUP(AU477,INDEX((係数_バス貨物_ガソリン,係数_バス貨物_CNG,係数_バス貨物_軽油,係数_バス貨物_メタノール,係数_バス貨物_LPG),MATCH(AY477,【参考】排出係数!$AI$4:$AI$671,1),1,BE477):INDEX((係数_バス貨物_ガソリン,係数_バス貨物_CNG,係数_バス貨物_軽油,係数_バス貨物_メタノール,係数_バス貨物_LPG),MATCH(AY477+1,【参考】排出係数!$AI$4:$AI$671,1)-1,5,BE477),4,FALSE)),IF(AND(BE477=3,LEFT(BF477,1)="1"),0.48,VLOOKUP(AU477,INDEX((係数_乗用_ガソリン,係数_乗用_CNG,係数_乗用_軽油,係数_乗用_メタノール,係数_乗用_LPG),1,1,BE477):INDEX((係数_乗用_ガソリン,係数_乗用_CNG,係数_乗用_軽油,係数_乗用_メタノール,係数_乗用_LPG),125,5,BE477),4,FALSE)))))</f>
        <v/>
      </c>
      <c r="AL477" s="461" t="str">
        <f t="shared" si="278"/>
        <v/>
      </c>
      <c r="AM477" s="460" t="str">
        <f>IF(AU477="","",IF(OR(AZ477=8,AZ477=9),0,IF(OR(AW477=3,AW477=4,AW477=5,AW477=6),IF(LEFT(BH477,1)="1",INDEX(係数_PM低減,MATCH(AY477,【参考】排出係数!$AI$801:$AI$804,1),MATCH(BI477,【参考】排出係数!$AL$798:$AO$798,1)),VLOOKUP(AU477,INDEX((係数_バス貨物_ガソリン,係数_バス貨物_CNG,係数_バス貨物_軽油,係数_バス貨物_メタノール,係数_バス貨物_LPG),MATCH(AY477,【参考】排出係数!$AI$4:$AI$671,1),1,BE477):INDEX((係数_バス貨物_ガソリン,係数_バス貨物_CNG,係数_バス貨物_軽油,係数_バス貨物_メタノール,係数_バス貨物_LPG),MATCH(AY477+1,【参考】排出係数!$AI$4:$AI$671,1)-1,5,BE477),5,FALSE)),IF(AND(BE477=3,LEFT(BF477,1)="1"),0.055,VLOOKUP(AU477,INDEX((係数_乗用_ガソリン,係数_乗用_CNG,係数_乗用_軽油,係数_乗用_メタノール,係数_乗用_LPG),1,1,BE477):INDEX((係数_乗用_ガソリン,係数_乗用_CNG,係数_乗用_軽油,係数_乗用_メタノール,係数_乗用_LPG),125,5,BE477),5,FALSE)))))</f>
        <v/>
      </c>
      <c r="AN477" s="461" t="str">
        <f t="shared" si="279"/>
        <v/>
      </c>
      <c r="AO477" s="462" t="str">
        <f t="shared" si="280"/>
        <v/>
      </c>
      <c r="AP477" s="463" t="str">
        <f t="shared" si="281"/>
        <v/>
      </c>
      <c r="AQ477" s="464"/>
      <c r="AR477" s="619"/>
      <c r="AS477" s="465" t="str">
        <f t="shared" si="260"/>
        <v/>
      </c>
      <c r="AT477" s="465" t="str">
        <f t="shared" si="261"/>
        <v/>
      </c>
      <c r="AU477" s="466" t="str">
        <f t="shared" si="262"/>
        <v/>
      </c>
      <c r="AV477" s="467" t="str">
        <f t="shared" si="263"/>
        <v/>
      </c>
      <c r="AW477" s="467" t="str">
        <f t="shared" si="264"/>
        <v/>
      </c>
      <c r="AX477" s="467" t="str">
        <f t="shared" si="265"/>
        <v/>
      </c>
      <c r="AY477" s="467" t="str">
        <f t="shared" si="266"/>
        <v/>
      </c>
      <c r="AZ477" s="467" t="str">
        <f t="shared" si="267"/>
        <v/>
      </c>
      <c r="BA477" s="468" t="str">
        <f>IF(AS477="","",IF(OR(AU477="",AU477="-"),"－",IF(OR(AZ477=8,AZ477=9),"",IF(OR(AW477=3,AW477=4,AW477=5,AW477=6),VLOOKUP(AU477,INDEX((係数_バス貨物_ガソリン,係数_バス貨物_CNG,係数_バス貨物_軽油,係数_バス貨物_メタノール,係数_バス貨物_LPG),MATCH(AY477,【参考】排出係数!$AI$4:$AI$671,1),1,BE477):INDEX((係数_バス貨物_ガソリン,係数_バス貨物_CNG,係数_バス貨物_軽油,係数_バス貨物_メタノール,係数_バス貨物_LPG),MATCH(AY477+1,【参考】排出係数!$AI$4:$AI$671,1)-1,5,BE477),2,FALSE),IF(OR(AW477=1,AW477=2),VLOOKUP(AU477,INDEX((係数_乗用_ガソリン,係数_乗用_CNG,係数_乗用_軽油,係数_乗用_メタノール,係数_乗用_LPG),1,1,BE477):INDEX((係数_乗用_ガソリン,係数_乗用_CNG,係数_乗用_軽油,係数_乗用_メタノール,係数_乗用_LPG),125,5,BE477),2,FALSE))))))</f>
        <v/>
      </c>
      <c r="BB477" s="468" t="str">
        <f>IF(T477="","",IF(OR(AU477="",AU477="-"),"－",IF(OR(AZ477=8,AZ477=9),"",IF(OR(AW477=3,AW477=4,AW477=5,AW477=6),VLOOKUP(AU477,INDEX((係数_バス貨物_ガソリン,係数_バス貨物_CNG,係数_バス貨物_軽油,係数_バス貨物_メタノール,係数_バス貨物_LPG),MATCH(AY477,【参考】排出係数!$AI$4:$AI$671,1),1,BE477):INDEX((係数_バス貨物_ガソリン,係数_バス貨物_CNG,係数_バス貨物_軽油,係数_バス貨物_メタノール,係数_バス貨物_LPG),MATCH(AY477+1,【参考】排出係数!$AI$4:$AI$671,1)-1,5,BE477),3,FALSE),IF(OR(AW477=1,AW477=2),VLOOKUP(AU477,INDEX((係数_乗用_ガソリン,係数_乗用_CNG,係数_乗用_軽油,係数_乗用_メタノール,係数_乗用_LPG),1,1,BE477):INDEX((係数_乗用_ガソリン,係数_乗用_CNG,係数_乗用_軽油,係数_乗用_メタノール,係数_乗用_LPG),125,5,BE477),3,FALSE))))))</f>
        <v/>
      </c>
      <c r="BC477" s="467" t="str">
        <f t="shared" si="268"/>
        <v/>
      </c>
      <c r="BD477" s="567" t="str">
        <f t="shared" si="269"/>
        <v/>
      </c>
      <c r="BE477" s="467" t="str">
        <f t="shared" si="270"/>
        <v/>
      </c>
      <c r="BF477" s="469" t="str">
        <f t="shared" ca="1" si="271"/>
        <v/>
      </c>
      <c r="BG477" s="469" t="str">
        <f t="shared" ca="1" si="272"/>
        <v/>
      </c>
      <c r="BH477" s="467" t="str">
        <f t="shared" si="273"/>
        <v/>
      </c>
      <c r="BI477" s="467" t="str">
        <f t="shared" ca="1" si="274"/>
        <v/>
      </c>
      <c r="BJ477" s="469" t="str">
        <f t="shared" si="275"/>
        <v/>
      </c>
      <c r="BK477" s="470" t="str">
        <f t="shared" si="255"/>
        <v/>
      </c>
      <c r="BL477" s="775" t="str">
        <f t="shared" si="276"/>
        <v/>
      </c>
      <c r="BM477" s="775" t="str">
        <f t="shared" si="277"/>
        <v/>
      </c>
    </row>
    <row r="478" spans="1:65">
      <c r="A478" s="473">
        <v>422</v>
      </c>
      <c r="B478" s="132"/>
      <c r="C478" s="332"/>
      <c r="D478" s="333"/>
      <c r="E478" s="333"/>
      <c r="F478" s="334"/>
      <c r="G478" s="337"/>
      <c r="H478" s="131"/>
      <c r="I478" s="337"/>
      <c r="J478" s="131"/>
      <c r="K478" s="458" t="str">
        <f t="shared" si="244"/>
        <v/>
      </c>
      <c r="L478" s="458">
        <f t="shared" si="256"/>
        <v>0</v>
      </c>
      <c r="M478" s="458">
        <f t="shared" si="257"/>
        <v>0</v>
      </c>
      <c r="N478" s="459" t="str">
        <f t="shared" si="245"/>
        <v/>
      </c>
      <c r="O478" s="459" t="str">
        <f t="shared" si="246"/>
        <v/>
      </c>
      <c r="P478" s="459" t="str">
        <f t="shared" si="247"/>
        <v/>
      </c>
      <c r="Q478" s="459" t="str">
        <f t="shared" si="248"/>
        <v/>
      </c>
      <c r="R478" s="459" t="str">
        <f t="shared" si="249"/>
        <v/>
      </c>
      <c r="S478" s="459" t="str">
        <f t="shared" si="250"/>
        <v/>
      </c>
      <c r="T478" s="566" t="str">
        <f t="shared" si="258"/>
        <v/>
      </c>
      <c r="U478" s="702"/>
      <c r="V478" s="132"/>
      <c r="W478" s="133"/>
      <c r="X478" s="134"/>
      <c r="Y478" s="135"/>
      <c r="Z478" s="137"/>
      <c r="AA478" s="136"/>
      <c r="AB478" s="566" t="str">
        <f t="shared" si="251"/>
        <v/>
      </c>
      <c r="AC478" s="568" t="str">
        <f t="shared" si="259"/>
        <v/>
      </c>
      <c r="AD478" s="137"/>
      <c r="AE478" s="137"/>
      <c r="AF478" s="138"/>
      <c r="AG478" s="138"/>
      <c r="AH478" s="592" t="str">
        <f t="shared" si="252"/>
        <v/>
      </c>
      <c r="AI478" s="592" t="str">
        <f t="shared" si="253"/>
        <v/>
      </c>
      <c r="AJ478" s="592" t="str">
        <f t="shared" si="254"/>
        <v/>
      </c>
      <c r="AK478" s="460" t="str">
        <f>IF(AU478="","",IF(OR(AZ478=8,AZ478=9),0,IF(OR(AW478=3,AW478=4,AW478=5,AW478=6),IF(LEFT(BF478,1)="1",INDEX(係数_NOX・PM低減,MATCH(AY478,【参考】排出係数!$AI$801:$AI$804,1),1),VLOOKUP(AU478,INDEX((係数_バス貨物_ガソリン,係数_バス貨物_CNG,係数_バス貨物_軽油,係数_バス貨物_メタノール,係数_バス貨物_LPG),MATCH(AY478,【参考】排出係数!$AI$4:$AI$671,1),1,BE478):INDEX((係数_バス貨物_ガソリン,係数_バス貨物_CNG,係数_バス貨物_軽油,係数_バス貨物_メタノール,係数_バス貨物_LPG),MATCH(AY478+1,【参考】排出係数!$AI$4:$AI$671,1)-1,5,BE478),4,FALSE)),IF(AND(BE478=3,LEFT(BF478,1)="1"),0.48,VLOOKUP(AU478,INDEX((係数_乗用_ガソリン,係数_乗用_CNG,係数_乗用_軽油,係数_乗用_メタノール,係数_乗用_LPG),1,1,BE478):INDEX((係数_乗用_ガソリン,係数_乗用_CNG,係数_乗用_軽油,係数_乗用_メタノール,係数_乗用_LPG),125,5,BE478),4,FALSE)))))</f>
        <v/>
      </c>
      <c r="AL478" s="461" t="str">
        <f t="shared" si="278"/>
        <v/>
      </c>
      <c r="AM478" s="460" t="str">
        <f>IF(AU478="","",IF(OR(AZ478=8,AZ478=9),0,IF(OR(AW478=3,AW478=4,AW478=5,AW478=6),IF(LEFT(BH478,1)="1",INDEX(係数_PM低減,MATCH(AY478,【参考】排出係数!$AI$801:$AI$804,1),MATCH(BI478,【参考】排出係数!$AL$798:$AO$798,1)),VLOOKUP(AU478,INDEX((係数_バス貨物_ガソリン,係数_バス貨物_CNG,係数_バス貨物_軽油,係数_バス貨物_メタノール,係数_バス貨物_LPG),MATCH(AY478,【参考】排出係数!$AI$4:$AI$671,1),1,BE478):INDEX((係数_バス貨物_ガソリン,係数_バス貨物_CNG,係数_バス貨物_軽油,係数_バス貨物_メタノール,係数_バス貨物_LPG),MATCH(AY478+1,【参考】排出係数!$AI$4:$AI$671,1)-1,5,BE478),5,FALSE)),IF(AND(BE478=3,LEFT(BF478,1)="1"),0.055,VLOOKUP(AU478,INDEX((係数_乗用_ガソリン,係数_乗用_CNG,係数_乗用_軽油,係数_乗用_メタノール,係数_乗用_LPG),1,1,BE478):INDEX((係数_乗用_ガソリン,係数_乗用_CNG,係数_乗用_軽油,係数_乗用_メタノール,係数_乗用_LPG),125,5,BE478),5,FALSE)))))</f>
        <v/>
      </c>
      <c r="AN478" s="461" t="str">
        <f t="shared" si="279"/>
        <v/>
      </c>
      <c r="AO478" s="462" t="str">
        <f t="shared" si="280"/>
        <v/>
      </c>
      <c r="AP478" s="463" t="str">
        <f t="shared" si="281"/>
        <v/>
      </c>
      <c r="AQ478" s="464"/>
      <c r="AR478" s="619"/>
      <c r="AS478" s="465" t="str">
        <f t="shared" si="260"/>
        <v/>
      </c>
      <c r="AT478" s="465" t="str">
        <f t="shared" si="261"/>
        <v/>
      </c>
      <c r="AU478" s="466" t="str">
        <f t="shared" si="262"/>
        <v/>
      </c>
      <c r="AV478" s="467" t="str">
        <f t="shared" si="263"/>
        <v/>
      </c>
      <c r="AW478" s="467" t="str">
        <f t="shared" si="264"/>
        <v/>
      </c>
      <c r="AX478" s="467" t="str">
        <f t="shared" si="265"/>
        <v/>
      </c>
      <c r="AY478" s="467" t="str">
        <f t="shared" si="266"/>
        <v/>
      </c>
      <c r="AZ478" s="467" t="str">
        <f t="shared" si="267"/>
        <v/>
      </c>
      <c r="BA478" s="468" t="str">
        <f>IF(AS478="","",IF(OR(AU478="",AU478="-"),"－",IF(OR(AZ478=8,AZ478=9),"",IF(OR(AW478=3,AW478=4,AW478=5,AW478=6),VLOOKUP(AU478,INDEX((係数_バス貨物_ガソリン,係数_バス貨物_CNG,係数_バス貨物_軽油,係数_バス貨物_メタノール,係数_バス貨物_LPG),MATCH(AY478,【参考】排出係数!$AI$4:$AI$671,1),1,BE478):INDEX((係数_バス貨物_ガソリン,係数_バス貨物_CNG,係数_バス貨物_軽油,係数_バス貨物_メタノール,係数_バス貨物_LPG),MATCH(AY478+1,【参考】排出係数!$AI$4:$AI$671,1)-1,5,BE478),2,FALSE),IF(OR(AW478=1,AW478=2),VLOOKUP(AU478,INDEX((係数_乗用_ガソリン,係数_乗用_CNG,係数_乗用_軽油,係数_乗用_メタノール,係数_乗用_LPG),1,1,BE478):INDEX((係数_乗用_ガソリン,係数_乗用_CNG,係数_乗用_軽油,係数_乗用_メタノール,係数_乗用_LPG),125,5,BE478),2,FALSE))))))</f>
        <v/>
      </c>
      <c r="BB478" s="468" t="str">
        <f>IF(T478="","",IF(OR(AU478="",AU478="-"),"－",IF(OR(AZ478=8,AZ478=9),"",IF(OR(AW478=3,AW478=4,AW478=5,AW478=6),VLOOKUP(AU478,INDEX((係数_バス貨物_ガソリン,係数_バス貨物_CNG,係数_バス貨物_軽油,係数_バス貨物_メタノール,係数_バス貨物_LPG),MATCH(AY478,【参考】排出係数!$AI$4:$AI$671,1),1,BE478):INDEX((係数_バス貨物_ガソリン,係数_バス貨物_CNG,係数_バス貨物_軽油,係数_バス貨物_メタノール,係数_バス貨物_LPG),MATCH(AY478+1,【参考】排出係数!$AI$4:$AI$671,1)-1,5,BE478),3,FALSE),IF(OR(AW478=1,AW478=2),VLOOKUP(AU478,INDEX((係数_乗用_ガソリン,係数_乗用_CNG,係数_乗用_軽油,係数_乗用_メタノール,係数_乗用_LPG),1,1,BE478):INDEX((係数_乗用_ガソリン,係数_乗用_CNG,係数_乗用_軽油,係数_乗用_メタノール,係数_乗用_LPG),125,5,BE478),3,FALSE))))))</f>
        <v/>
      </c>
      <c r="BC478" s="467" t="str">
        <f t="shared" si="268"/>
        <v/>
      </c>
      <c r="BD478" s="567" t="str">
        <f t="shared" si="269"/>
        <v/>
      </c>
      <c r="BE478" s="467" t="str">
        <f t="shared" si="270"/>
        <v/>
      </c>
      <c r="BF478" s="469" t="str">
        <f t="shared" ca="1" si="271"/>
        <v/>
      </c>
      <c r="BG478" s="469" t="str">
        <f t="shared" ca="1" si="272"/>
        <v/>
      </c>
      <c r="BH478" s="467" t="str">
        <f t="shared" si="273"/>
        <v/>
      </c>
      <c r="BI478" s="467" t="str">
        <f t="shared" ca="1" si="274"/>
        <v/>
      </c>
      <c r="BJ478" s="469" t="str">
        <f t="shared" si="275"/>
        <v/>
      </c>
      <c r="BK478" s="470" t="str">
        <f t="shared" si="255"/>
        <v/>
      </c>
      <c r="BL478" s="775" t="str">
        <f t="shared" si="276"/>
        <v/>
      </c>
      <c r="BM478" s="775" t="str">
        <f t="shared" si="277"/>
        <v/>
      </c>
    </row>
    <row r="479" spans="1:65">
      <c r="A479" s="473">
        <v>423</v>
      </c>
      <c r="B479" s="132"/>
      <c r="C479" s="332"/>
      <c r="D479" s="333"/>
      <c r="E479" s="333"/>
      <c r="F479" s="334"/>
      <c r="G479" s="337"/>
      <c r="H479" s="131"/>
      <c r="I479" s="337"/>
      <c r="J479" s="131"/>
      <c r="K479" s="458" t="str">
        <f t="shared" si="244"/>
        <v/>
      </c>
      <c r="L479" s="458">
        <f t="shared" si="256"/>
        <v>0</v>
      </c>
      <c r="M479" s="458">
        <f t="shared" si="257"/>
        <v>0</v>
      </c>
      <c r="N479" s="459" t="str">
        <f t="shared" si="245"/>
        <v/>
      </c>
      <c r="O479" s="459" t="str">
        <f t="shared" si="246"/>
        <v/>
      </c>
      <c r="P479" s="459" t="str">
        <f t="shared" si="247"/>
        <v/>
      </c>
      <c r="Q479" s="459" t="str">
        <f t="shared" si="248"/>
        <v/>
      </c>
      <c r="R479" s="459" t="str">
        <f t="shared" si="249"/>
        <v/>
      </c>
      <c r="S479" s="459" t="str">
        <f t="shared" si="250"/>
        <v/>
      </c>
      <c r="T479" s="566" t="str">
        <f t="shared" si="258"/>
        <v/>
      </c>
      <c r="U479" s="702"/>
      <c r="V479" s="132"/>
      <c r="W479" s="133"/>
      <c r="X479" s="134"/>
      <c r="Y479" s="135"/>
      <c r="Z479" s="137"/>
      <c r="AA479" s="136"/>
      <c r="AB479" s="566" t="str">
        <f t="shared" si="251"/>
        <v/>
      </c>
      <c r="AC479" s="568" t="str">
        <f t="shared" si="259"/>
        <v/>
      </c>
      <c r="AD479" s="137"/>
      <c r="AE479" s="137"/>
      <c r="AF479" s="138"/>
      <c r="AG479" s="138"/>
      <c r="AH479" s="592" t="str">
        <f t="shared" si="252"/>
        <v/>
      </c>
      <c r="AI479" s="592" t="str">
        <f t="shared" si="253"/>
        <v/>
      </c>
      <c r="AJ479" s="592" t="str">
        <f t="shared" si="254"/>
        <v/>
      </c>
      <c r="AK479" s="460" t="str">
        <f>IF(AU479="","",IF(OR(AZ479=8,AZ479=9),0,IF(OR(AW479=3,AW479=4,AW479=5,AW479=6),IF(LEFT(BF479,1)="1",INDEX(係数_NOX・PM低減,MATCH(AY479,【参考】排出係数!$AI$801:$AI$804,1),1),VLOOKUP(AU479,INDEX((係数_バス貨物_ガソリン,係数_バス貨物_CNG,係数_バス貨物_軽油,係数_バス貨物_メタノール,係数_バス貨物_LPG),MATCH(AY479,【参考】排出係数!$AI$4:$AI$671,1),1,BE479):INDEX((係数_バス貨物_ガソリン,係数_バス貨物_CNG,係数_バス貨物_軽油,係数_バス貨物_メタノール,係数_バス貨物_LPG),MATCH(AY479+1,【参考】排出係数!$AI$4:$AI$671,1)-1,5,BE479),4,FALSE)),IF(AND(BE479=3,LEFT(BF479,1)="1"),0.48,VLOOKUP(AU479,INDEX((係数_乗用_ガソリン,係数_乗用_CNG,係数_乗用_軽油,係数_乗用_メタノール,係数_乗用_LPG),1,1,BE479):INDEX((係数_乗用_ガソリン,係数_乗用_CNG,係数_乗用_軽油,係数_乗用_メタノール,係数_乗用_LPG),125,5,BE479),4,FALSE)))))</f>
        <v/>
      </c>
      <c r="AL479" s="461" t="str">
        <f t="shared" si="278"/>
        <v/>
      </c>
      <c r="AM479" s="460" t="str">
        <f>IF(AU479="","",IF(OR(AZ479=8,AZ479=9),0,IF(OR(AW479=3,AW479=4,AW479=5,AW479=6),IF(LEFT(BH479,1)="1",INDEX(係数_PM低減,MATCH(AY479,【参考】排出係数!$AI$801:$AI$804,1),MATCH(BI479,【参考】排出係数!$AL$798:$AO$798,1)),VLOOKUP(AU479,INDEX((係数_バス貨物_ガソリン,係数_バス貨物_CNG,係数_バス貨物_軽油,係数_バス貨物_メタノール,係数_バス貨物_LPG),MATCH(AY479,【参考】排出係数!$AI$4:$AI$671,1),1,BE479):INDEX((係数_バス貨物_ガソリン,係数_バス貨物_CNG,係数_バス貨物_軽油,係数_バス貨物_メタノール,係数_バス貨物_LPG),MATCH(AY479+1,【参考】排出係数!$AI$4:$AI$671,1)-1,5,BE479),5,FALSE)),IF(AND(BE479=3,LEFT(BF479,1)="1"),0.055,VLOOKUP(AU479,INDEX((係数_乗用_ガソリン,係数_乗用_CNG,係数_乗用_軽油,係数_乗用_メタノール,係数_乗用_LPG),1,1,BE479):INDEX((係数_乗用_ガソリン,係数_乗用_CNG,係数_乗用_軽油,係数_乗用_メタノール,係数_乗用_LPG),125,5,BE479),5,FALSE)))))</f>
        <v/>
      </c>
      <c r="AN479" s="461" t="str">
        <f t="shared" si="279"/>
        <v/>
      </c>
      <c r="AO479" s="462" t="str">
        <f t="shared" si="280"/>
        <v/>
      </c>
      <c r="AP479" s="463" t="str">
        <f t="shared" si="281"/>
        <v/>
      </c>
      <c r="AQ479" s="464"/>
      <c r="AR479" s="619"/>
      <c r="AS479" s="465" t="str">
        <f t="shared" si="260"/>
        <v/>
      </c>
      <c r="AT479" s="465" t="str">
        <f t="shared" si="261"/>
        <v/>
      </c>
      <c r="AU479" s="466" t="str">
        <f t="shared" si="262"/>
        <v/>
      </c>
      <c r="AV479" s="467" t="str">
        <f t="shared" si="263"/>
        <v/>
      </c>
      <c r="AW479" s="467" t="str">
        <f t="shared" si="264"/>
        <v/>
      </c>
      <c r="AX479" s="467" t="str">
        <f t="shared" si="265"/>
        <v/>
      </c>
      <c r="AY479" s="467" t="str">
        <f t="shared" si="266"/>
        <v/>
      </c>
      <c r="AZ479" s="467" t="str">
        <f t="shared" si="267"/>
        <v/>
      </c>
      <c r="BA479" s="468" t="str">
        <f>IF(AS479="","",IF(OR(AU479="",AU479="-"),"－",IF(OR(AZ479=8,AZ479=9),"",IF(OR(AW479=3,AW479=4,AW479=5,AW479=6),VLOOKUP(AU479,INDEX((係数_バス貨物_ガソリン,係数_バス貨物_CNG,係数_バス貨物_軽油,係数_バス貨物_メタノール,係数_バス貨物_LPG),MATCH(AY479,【参考】排出係数!$AI$4:$AI$671,1),1,BE479):INDEX((係数_バス貨物_ガソリン,係数_バス貨物_CNG,係数_バス貨物_軽油,係数_バス貨物_メタノール,係数_バス貨物_LPG),MATCH(AY479+1,【参考】排出係数!$AI$4:$AI$671,1)-1,5,BE479),2,FALSE),IF(OR(AW479=1,AW479=2),VLOOKUP(AU479,INDEX((係数_乗用_ガソリン,係数_乗用_CNG,係数_乗用_軽油,係数_乗用_メタノール,係数_乗用_LPG),1,1,BE479):INDEX((係数_乗用_ガソリン,係数_乗用_CNG,係数_乗用_軽油,係数_乗用_メタノール,係数_乗用_LPG),125,5,BE479),2,FALSE))))))</f>
        <v/>
      </c>
      <c r="BB479" s="468" t="str">
        <f>IF(T479="","",IF(OR(AU479="",AU479="-"),"－",IF(OR(AZ479=8,AZ479=9),"",IF(OR(AW479=3,AW479=4,AW479=5,AW479=6),VLOOKUP(AU479,INDEX((係数_バス貨物_ガソリン,係数_バス貨物_CNG,係数_バス貨物_軽油,係数_バス貨物_メタノール,係数_バス貨物_LPG),MATCH(AY479,【参考】排出係数!$AI$4:$AI$671,1),1,BE479):INDEX((係数_バス貨物_ガソリン,係数_バス貨物_CNG,係数_バス貨物_軽油,係数_バス貨物_メタノール,係数_バス貨物_LPG),MATCH(AY479+1,【参考】排出係数!$AI$4:$AI$671,1)-1,5,BE479),3,FALSE),IF(OR(AW479=1,AW479=2),VLOOKUP(AU479,INDEX((係数_乗用_ガソリン,係数_乗用_CNG,係数_乗用_軽油,係数_乗用_メタノール,係数_乗用_LPG),1,1,BE479):INDEX((係数_乗用_ガソリン,係数_乗用_CNG,係数_乗用_軽油,係数_乗用_メタノール,係数_乗用_LPG),125,5,BE479),3,FALSE))))))</f>
        <v/>
      </c>
      <c r="BC479" s="467" t="str">
        <f t="shared" si="268"/>
        <v/>
      </c>
      <c r="BD479" s="567" t="str">
        <f t="shared" si="269"/>
        <v/>
      </c>
      <c r="BE479" s="467" t="str">
        <f t="shared" si="270"/>
        <v/>
      </c>
      <c r="BF479" s="469" t="str">
        <f t="shared" ca="1" si="271"/>
        <v/>
      </c>
      <c r="BG479" s="469" t="str">
        <f t="shared" ca="1" si="272"/>
        <v/>
      </c>
      <c r="BH479" s="467" t="str">
        <f t="shared" si="273"/>
        <v/>
      </c>
      <c r="BI479" s="467" t="str">
        <f t="shared" ca="1" si="274"/>
        <v/>
      </c>
      <c r="BJ479" s="469" t="str">
        <f t="shared" si="275"/>
        <v/>
      </c>
      <c r="BK479" s="470" t="str">
        <f t="shared" si="255"/>
        <v/>
      </c>
      <c r="BL479" s="775" t="str">
        <f t="shared" si="276"/>
        <v/>
      </c>
      <c r="BM479" s="775" t="str">
        <f t="shared" si="277"/>
        <v/>
      </c>
    </row>
    <row r="480" spans="1:65">
      <c r="A480" s="473">
        <v>424</v>
      </c>
      <c r="B480" s="132"/>
      <c r="C480" s="332"/>
      <c r="D480" s="333"/>
      <c r="E480" s="333"/>
      <c r="F480" s="334"/>
      <c r="G480" s="337"/>
      <c r="H480" s="131"/>
      <c r="I480" s="337"/>
      <c r="J480" s="131"/>
      <c r="K480" s="458" t="str">
        <f t="shared" si="244"/>
        <v/>
      </c>
      <c r="L480" s="458">
        <f t="shared" si="256"/>
        <v>0</v>
      </c>
      <c r="M480" s="458">
        <f t="shared" si="257"/>
        <v>0</v>
      </c>
      <c r="N480" s="459" t="str">
        <f t="shared" si="245"/>
        <v/>
      </c>
      <c r="O480" s="459" t="str">
        <f t="shared" si="246"/>
        <v/>
      </c>
      <c r="P480" s="459" t="str">
        <f t="shared" si="247"/>
        <v/>
      </c>
      <c r="Q480" s="459" t="str">
        <f t="shared" si="248"/>
        <v/>
      </c>
      <c r="R480" s="459" t="str">
        <f t="shared" si="249"/>
        <v/>
      </c>
      <c r="S480" s="459" t="str">
        <f t="shared" si="250"/>
        <v/>
      </c>
      <c r="T480" s="566" t="str">
        <f t="shared" si="258"/>
        <v/>
      </c>
      <c r="U480" s="702"/>
      <c r="V480" s="132"/>
      <c r="W480" s="133"/>
      <c r="X480" s="134"/>
      <c r="Y480" s="135"/>
      <c r="Z480" s="137"/>
      <c r="AA480" s="136"/>
      <c r="AB480" s="566" t="str">
        <f t="shared" si="251"/>
        <v/>
      </c>
      <c r="AC480" s="568" t="str">
        <f t="shared" si="259"/>
        <v/>
      </c>
      <c r="AD480" s="137"/>
      <c r="AE480" s="137"/>
      <c r="AF480" s="138"/>
      <c r="AG480" s="138"/>
      <c r="AH480" s="592" t="str">
        <f t="shared" si="252"/>
        <v/>
      </c>
      <c r="AI480" s="592" t="str">
        <f t="shared" si="253"/>
        <v/>
      </c>
      <c r="AJ480" s="592" t="str">
        <f t="shared" si="254"/>
        <v/>
      </c>
      <c r="AK480" s="460" t="str">
        <f>IF(AU480="","",IF(OR(AZ480=8,AZ480=9),0,IF(OR(AW480=3,AW480=4,AW480=5,AW480=6),IF(LEFT(BF480,1)="1",INDEX(係数_NOX・PM低減,MATCH(AY480,【参考】排出係数!$AI$801:$AI$804,1),1),VLOOKUP(AU480,INDEX((係数_バス貨物_ガソリン,係数_バス貨物_CNG,係数_バス貨物_軽油,係数_バス貨物_メタノール,係数_バス貨物_LPG),MATCH(AY480,【参考】排出係数!$AI$4:$AI$671,1),1,BE480):INDEX((係数_バス貨物_ガソリン,係数_バス貨物_CNG,係数_バス貨物_軽油,係数_バス貨物_メタノール,係数_バス貨物_LPG),MATCH(AY480+1,【参考】排出係数!$AI$4:$AI$671,1)-1,5,BE480),4,FALSE)),IF(AND(BE480=3,LEFT(BF480,1)="1"),0.48,VLOOKUP(AU480,INDEX((係数_乗用_ガソリン,係数_乗用_CNG,係数_乗用_軽油,係数_乗用_メタノール,係数_乗用_LPG),1,1,BE480):INDEX((係数_乗用_ガソリン,係数_乗用_CNG,係数_乗用_軽油,係数_乗用_メタノール,係数_乗用_LPG),125,5,BE480),4,FALSE)))))</f>
        <v/>
      </c>
      <c r="AL480" s="461" t="str">
        <f t="shared" si="278"/>
        <v/>
      </c>
      <c r="AM480" s="460" t="str">
        <f>IF(AU480="","",IF(OR(AZ480=8,AZ480=9),0,IF(OR(AW480=3,AW480=4,AW480=5,AW480=6),IF(LEFT(BH480,1)="1",INDEX(係数_PM低減,MATCH(AY480,【参考】排出係数!$AI$801:$AI$804,1),MATCH(BI480,【参考】排出係数!$AL$798:$AO$798,1)),VLOOKUP(AU480,INDEX((係数_バス貨物_ガソリン,係数_バス貨物_CNG,係数_バス貨物_軽油,係数_バス貨物_メタノール,係数_バス貨物_LPG),MATCH(AY480,【参考】排出係数!$AI$4:$AI$671,1),1,BE480):INDEX((係数_バス貨物_ガソリン,係数_バス貨物_CNG,係数_バス貨物_軽油,係数_バス貨物_メタノール,係数_バス貨物_LPG),MATCH(AY480+1,【参考】排出係数!$AI$4:$AI$671,1)-1,5,BE480),5,FALSE)),IF(AND(BE480=3,LEFT(BF480,1)="1"),0.055,VLOOKUP(AU480,INDEX((係数_乗用_ガソリン,係数_乗用_CNG,係数_乗用_軽油,係数_乗用_メタノール,係数_乗用_LPG),1,1,BE480):INDEX((係数_乗用_ガソリン,係数_乗用_CNG,係数_乗用_軽油,係数_乗用_メタノール,係数_乗用_LPG),125,5,BE480),5,FALSE)))))</f>
        <v/>
      </c>
      <c r="AN480" s="461" t="str">
        <f t="shared" si="279"/>
        <v/>
      </c>
      <c r="AO480" s="462" t="str">
        <f t="shared" si="280"/>
        <v/>
      </c>
      <c r="AP480" s="463" t="str">
        <f t="shared" si="281"/>
        <v/>
      </c>
      <c r="AQ480" s="464"/>
      <c r="AR480" s="619"/>
      <c r="AS480" s="465" t="str">
        <f t="shared" si="260"/>
        <v/>
      </c>
      <c r="AT480" s="465" t="str">
        <f t="shared" si="261"/>
        <v/>
      </c>
      <c r="AU480" s="466" t="str">
        <f t="shared" si="262"/>
        <v/>
      </c>
      <c r="AV480" s="467" t="str">
        <f t="shared" si="263"/>
        <v/>
      </c>
      <c r="AW480" s="467" t="str">
        <f t="shared" si="264"/>
        <v/>
      </c>
      <c r="AX480" s="467" t="str">
        <f t="shared" si="265"/>
        <v/>
      </c>
      <c r="AY480" s="467" t="str">
        <f t="shared" si="266"/>
        <v/>
      </c>
      <c r="AZ480" s="467" t="str">
        <f t="shared" si="267"/>
        <v/>
      </c>
      <c r="BA480" s="468" t="str">
        <f>IF(AS480="","",IF(OR(AU480="",AU480="-"),"－",IF(OR(AZ480=8,AZ480=9),"",IF(OR(AW480=3,AW480=4,AW480=5,AW480=6),VLOOKUP(AU480,INDEX((係数_バス貨物_ガソリン,係数_バス貨物_CNG,係数_バス貨物_軽油,係数_バス貨物_メタノール,係数_バス貨物_LPG),MATCH(AY480,【参考】排出係数!$AI$4:$AI$671,1),1,BE480):INDEX((係数_バス貨物_ガソリン,係数_バス貨物_CNG,係数_バス貨物_軽油,係数_バス貨物_メタノール,係数_バス貨物_LPG),MATCH(AY480+1,【参考】排出係数!$AI$4:$AI$671,1)-1,5,BE480),2,FALSE),IF(OR(AW480=1,AW480=2),VLOOKUP(AU480,INDEX((係数_乗用_ガソリン,係数_乗用_CNG,係数_乗用_軽油,係数_乗用_メタノール,係数_乗用_LPG),1,1,BE480):INDEX((係数_乗用_ガソリン,係数_乗用_CNG,係数_乗用_軽油,係数_乗用_メタノール,係数_乗用_LPG),125,5,BE480),2,FALSE))))))</f>
        <v/>
      </c>
      <c r="BB480" s="468" t="str">
        <f>IF(T480="","",IF(OR(AU480="",AU480="-"),"－",IF(OR(AZ480=8,AZ480=9),"",IF(OR(AW480=3,AW480=4,AW480=5,AW480=6),VLOOKUP(AU480,INDEX((係数_バス貨物_ガソリン,係数_バス貨物_CNG,係数_バス貨物_軽油,係数_バス貨物_メタノール,係数_バス貨物_LPG),MATCH(AY480,【参考】排出係数!$AI$4:$AI$671,1),1,BE480):INDEX((係数_バス貨物_ガソリン,係数_バス貨物_CNG,係数_バス貨物_軽油,係数_バス貨物_メタノール,係数_バス貨物_LPG),MATCH(AY480+1,【参考】排出係数!$AI$4:$AI$671,1)-1,5,BE480),3,FALSE),IF(OR(AW480=1,AW480=2),VLOOKUP(AU480,INDEX((係数_乗用_ガソリン,係数_乗用_CNG,係数_乗用_軽油,係数_乗用_メタノール,係数_乗用_LPG),1,1,BE480):INDEX((係数_乗用_ガソリン,係数_乗用_CNG,係数_乗用_軽油,係数_乗用_メタノール,係数_乗用_LPG),125,5,BE480),3,FALSE))))))</f>
        <v/>
      </c>
      <c r="BC480" s="467" t="str">
        <f t="shared" si="268"/>
        <v/>
      </c>
      <c r="BD480" s="567" t="str">
        <f t="shared" si="269"/>
        <v/>
      </c>
      <c r="BE480" s="467" t="str">
        <f t="shared" si="270"/>
        <v/>
      </c>
      <c r="BF480" s="469" t="str">
        <f t="shared" ca="1" si="271"/>
        <v/>
      </c>
      <c r="BG480" s="469" t="str">
        <f t="shared" ca="1" si="272"/>
        <v/>
      </c>
      <c r="BH480" s="467" t="str">
        <f t="shared" si="273"/>
        <v/>
      </c>
      <c r="BI480" s="467" t="str">
        <f t="shared" ca="1" si="274"/>
        <v/>
      </c>
      <c r="BJ480" s="469" t="str">
        <f t="shared" si="275"/>
        <v/>
      </c>
      <c r="BK480" s="470" t="str">
        <f t="shared" si="255"/>
        <v/>
      </c>
      <c r="BL480" s="775" t="str">
        <f t="shared" si="276"/>
        <v/>
      </c>
      <c r="BM480" s="775" t="str">
        <f t="shared" si="277"/>
        <v/>
      </c>
    </row>
    <row r="481" spans="1:65">
      <c r="A481" s="473">
        <v>425</v>
      </c>
      <c r="B481" s="132"/>
      <c r="C481" s="332"/>
      <c r="D481" s="333"/>
      <c r="E481" s="333"/>
      <c r="F481" s="334"/>
      <c r="G481" s="337"/>
      <c r="H481" s="131"/>
      <c r="I481" s="337"/>
      <c r="J481" s="131"/>
      <c r="K481" s="458" t="str">
        <f t="shared" si="244"/>
        <v/>
      </c>
      <c r="L481" s="458">
        <f t="shared" si="256"/>
        <v>0</v>
      </c>
      <c r="M481" s="458">
        <f t="shared" si="257"/>
        <v>0</v>
      </c>
      <c r="N481" s="459" t="str">
        <f t="shared" si="245"/>
        <v/>
      </c>
      <c r="O481" s="459" t="str">
        <f t="shared" si="246"/>
        <v/>
      </c>
      <c r="P481" s="459" t="str">
        <f t="shared" si="247"/>
        <v/>
      </c>
      <c r="Q481" s="459" t="str">
        <f t="shared" si="248"/>
        <v/>
      </c>
      <c r="R481" s="459" t="str">
        <f t="shared" si="249"/>
        <v/>
      </c>
      <c r="S481" s="459" t="str">
        <f t="shared" si="250"/>
        <v/>
      </c>
      <c r="T481" s="566" t="str">
        <f t="shared" si="258"/>
        <v/>
      </c>
      <c r="U481" s="702"/>
      <c r="V481" s="132"/>
      <c r="W481" s="133"/>
      <c r="X481" s="134"/>
      <c r="Y481" s="135"/>
      <c r="Z481" s="137"/>
      <c r="AA481" s="136"/>
      <c r="AB481" s="566" t="str">
        <f t="shared" si="251"/>
        <v/>
      </c>
      <c r="AC481" s="568" t="str">
        <f t="shared" si="259"/>
        <v/>
      </c>
      <c r="AD481" s="137"/>
      <c r="AE481" s="137"/>
      <c r="AF481" s="138"/>
      <c r="AG481" s="138"/>
      <c r="AH481" s="592" t="str">
        <f t="shared" si="252"/>
        <v/>
      </c>
      <c r="AI481" s="592" t="str">
        <f t="shared" si="253"/>
        <v/>
      </c>
      <c r="AJ481" s="592" t="str">
        <f t="shared" si="254"/>
        <v/>
      </c>
      <c r="AK481" s="460" t="str">
        <f>IF(AU481="","",IF(OR(AZ481=8,AZ481=9),0,IF(OR(AW481=3,AW481=4,AW481=5,AW481=6),IF(LEFT(BF481,1)="1",INDEX(係数_NOX・PM低減,MATCH(AY481,【参考】排出係数!$AI$801:$AI$804,1),1),VLOOKUP(AU481,INDEX((係数_バス貨物_ガソリン,係数_バス貨物_CNG,係数_バス貨物_軽油,係数_バス貨物_メタノール,係数_バス貨物_LPG),MATCH(AY481,【参考】排出係数!$AI$4:$AI$671,1),1,BE481):INDEX((係数_バス貨物_ガソリン,係数_バス貨物_CNG,係数_バス貨物_軽油,係数_バス貨物_メタノール,係数_バス貨物_LPG),MATCH(AY481+1,【参考】排出係数!$AI$4:$AI$671,1)-1,5,BE481),4,FALSE)),IF(AND(BE481=3,LEFT(BF481,1)="1"),0.48,VLOOKUP(AU481,INDEX((係数_乗用_ガソリン,係数_乗用_CNG,係数_乗用_軽油,係数_乗用_メタノール,係数_乗用_LPG),1,1,BE481):INDEX((係数_乗用_ガソリン,係数_乗用_CNG,係数_乗用_軽油,係数_乗用_メタノール,係数_乗用_LPG),125,5,BE481),4,FALSE)))))</f>
        <v/>
      </c>
      <c r="AL481" s="461" t="str">
        <f t="shared" si="278"/>
        <v/>
      </c>
      <c r="AM481" s="460" t="str">
        <f>IF(AU481="","",IF(OR(AZ481=8,AZ481=9),0,IF(OR(AW481=3,AW481=4,AW481=5,AW481=6),IF(LEFT(BH481,1)="1",INDEX(係数_PM低減,MATCH(AY481,【参考】排出係数!$AI$801:$AI$804,1),MATCH(BI481,【参考】排出係数!$AL$798:$AO$798,1)),VLOOKUP(AU481,INDEX((係数_バス貨物_ガソリン,係数_バス貨物_CNG,係数_バス貨物_軽油,係数_バス貨物_メタノール,係数_バス貨物_LPG),MATCH(AY481,【参考】排出係数!$AI$4:$AI$671,1),1,BE481):INDEX((係数_バス貨物_ガソリン,係数_バス貨物_CNG,係数_バス貨物_軽油,係数_バス貨物_メタノール,係数_バス貨物_LPG),MATCH(AY481+1,【参考】排出係数!$AI$4:$AI$671,1)-1,5,BE481),5,FALSE)),IF(AND(BE481=3,LEFT(BF481,1)="1"),0.055,VLOOKUP(AU481,INDEX((係数_乗用_ガソリン,係数_乗用_CNG,係数_乗用_軽油,係数_乗用_メタノール,係数_乗用_LPG),1,1,BE481):INDEX((係数_乗用_ガソリン,係数_乗用_CNG,係数_乗用_軽油,係数_乗用_メタノール,係数_乗用_LPG),125,5,BE481),5,FALSE)))))</f>
        <v/>
      </c>
      <c r="AN481" s="461" t="str">
        <f t="shared" si="279"/>
        <v/>
      </c>
      <c r="AO481" s="462" t="str">
        <f t="shared" si="280"/>
        <v/>
      </c>
      <c r="AP481" s="463" t="str">
        <f t="shared" si="281"/>
        <v/>
      </c>
      <c r="AQ481" s="464"/>
      <c r="AR481" s="619"/>
      <c r="AS481" s="465" t="str">
        <f t="shared" si="260"/>
        <v/>
      </c>
      <c r="AT481" s="465" t="str">
        <f t="shared" si="261"/>
        <v/>
      </c>
      <c r="AU481" s="466" t="str">
        <f t="shared" si="262"/>
        <v/>
      </c>
      <c r="AV481" s="467" t="str">
        <f t="shared" si="263"/>
        <v/>
      </c>
      <c r="AW481" s="467" t="str">
        <f t="shared" si="264"/>
        <v/>
      </c>
      <c r="AX481" s="467" t="str">
        <f t="shared" si="265"/>
        <v/>
      </c>
      <c r="AY481" s="467" t="str">
        <f t="shared" si="266"/>
        <v/>
      </c>
      <c r="AZ481" s="467" t="str">
        <f t="shared" si="267"/>
        <v/>
      </c>
      <c r="BA481" s="468" t="str">
        <f>IF(AS481="","",IF(OR(AU481="",AU481="-"),"－",IF(OR(AZ481=8,AZ481=9),"",IF(OR(AW481=3,AW481=4,AW481=5,AW481=6),VLOOKUP(AU481,INDEX((係数_バス貨物_ガソリン,係数_バス貨物_CNG,係数_バス貨物_軽油,係数_バス貨物_メタノール,係数_バス貨物_LPG),MATCH(AY481,【参考】排出係数!$AI$4:$AI$671,1),1,BE481):INDEX((係数_バス貨物_ガソリン,係数_バス貨物_CNG,係数_バス貨物_軽油,係数_バス貨物_メタノール,係数_バス貨物_LPG),MATCH(AY481+1,【参考】排出係数!$AI$4:$AI$671,1)-1,5,BE481),2,FALSE),IF(OR(AW481=1,AW481=2),VLOOKUP(AU481,INDEX((係数_乗用_ガソリン,係数_乗用_CNG,係数_乗用_軽油,係数_乗用_メタノール,係数_乗用_LPG),1,1,BE481):INDEX((係数_乗用_ガソリン,係数_乗用_CNG,係数_乗用_軽油,係数_乗用_メタノール,係数_乗用_LPG),125,5,BE481),2,FALSE))))))</f>
        <v/>
      </c>
      <c r="BB481" s="468" t="str">
        <f>IF(T481="","",IF(OR(AU481="",AU481="-"),"－",IF(OR(AZ481=8,AZ481=9),"",IF(OR(AW481=3,AW481=4,AW481=5,AW481=6),VLOOKUP(AU481,INDEX((係数_バス貨物_ガソリン,係数_バス貨物_CNG,係数_バス貨物_軽油,係数_バス貨物_メタノール,係数_バス貨物_LPG),MATCH(AY481,【参考】排出係数!$AI$4:$AI$671,1),1,BE481):INDEX((係数_バス貨物_ガソリン,係数_バス貨物_CNG,係数_バス貨物_軽油,係数_バス貨物_メタノール,係数_バス貨物_LPG),MATCH(AY481+1,【参考】排出係数!$AI$4:$AI$671,1)-1,5,BE481),3,FALSE),IF(OR(AW481=1,AW481=2),VLOOKUP(AU481,INDEX((係数_乗用_ガソリン,係数_乗用_CNG,係数_乗用_軽油,係数_乗用_メタノール,係数_乗用_LPG),1,1,BE481):INDEX((係数_乗用_ガソリン,係数_乗用_CNG,係数_乗用_軽油,係数_乗用_メタノール,係数_乗用_LPG),125,5,BE481),3,FALSE))))))</f>
        <v/>
      </c>
      <c r="BC481" s="467" t="str">
        <f t="shared" si="268"/>
        <v/>
      </c>
      <c r="BD481" s="567" t="str">
        <f t="shared" si="269"/>
        <v/>
      </c>
      <c r="BE481" s="467" t="str">
        <f t="shared" si="270"/>
        <v/>
      </c>
      <c r="BF481" s="469" t="str">
        <f t="shared" ca="1" si="271"/>
        <v/>
      </c>
      <c r="BG481" s="469" t="str">
        <f t="shared" ca="1" si="272"/>
        <v/>
      </c>
      <c r="BH481" s="467" t="str">
        <f t="shared" si="273"/>
        <v/>
      </c>
      <c r="BI481" s="467" t="str">
        <f t="shared" ca="1" si="274"/>
        <v/>
      </c>
      <c r="BJ481" s="469" t="str">
        <f t="shared" si="275"/>
        <v/>
      </c>
      <c r="BK481" s="470" t="str">
        <f t="shared" si="255"/>
        <v/>
      </c>
      <c r="BL481" s="775" t="str">
        <f t="shared" si="276"/>
        <v/>
      </c>
      <c r="BM481" s="775" t="str">
        <f t="shared" si="277"/>
        <v/>
      </c>
    </row>
    <row r="482" spans="1:65">
      <c r="A482" s="473">
        <v>426</v>
      </c>
      <c r="B482" s="132"/>
      <c r="C482" s="332"/>
      <c r="D482" s="333"/>
      <c r="E482" s="333"/>
      <c r="F482" s="334"/>
      <c r="G482" s="337"/>
      <c r="H482" s="131"/>
      <c r="I482" s="337"/>
      <c r="J482" s="131"/>
      <c r="K482" s="458" t="str">
        <f t="shared" si="244"/>
        <v/>
      </c>
      <c r="L482" s="458">
        <f t="shared" si="256"/>
        <v>0</v>
      </c>
      <c r="M482" s="458">
        <f t="shared" si="257"/>
        <v>0</v>
      </c>
      <c r="N482" s="459" t="str">
        <f t="shared" si="245"/>
        <v/>
      </c>
      <c r="O482" s="459" t="str">
        <f t="shared" si="246"/>
        <v/>
      </c>
      <c r="P482" s="459" t="str">
        <f t="shared" si="247"/>
        <v/>
      </c>
      <c r="Q482" s="459" t="str">
        <f t="shared" si="248"/>
        <v/>
      </c>
      <c r="R482" s="459" t="str">
        <f t="shared" si="249"/>
        <v/>
      </c>
      <c r="S482" s="459" t="str">
        <f t="shared" si="250"/>
        <v/>
      </c>
      <c r="T482" s="566" t="str">
        <f t="shared" si="258"/>
        <v/>
      </c>
      <c r="U482" s="702"/>
      <c r="V482" s="132"/>
      <c r="W482" s="133"/>
      <c r="X482" s="134"/>
      <c r="Y482" s="135"/>
      <c r="Z482" s="137"/>
      <c r="AA482" s="136"/>
      <c r="AB482" s="566" t="str">
        <f t="shared" si="251"/>
        <v/>
      </c>
      <c r="AC482" s="568" t="str">
        <f t="shared" si="259"/>
        <v/>
      </c>
      <c r="AD482" s="137"/>
      <c r="AE482" s="137"/>
      <c r="AF482" s="138"/>
      <c r="AG482" s="138"/>
      <c r="AH482" s="592" t="str">
        <f t="shared" si="252"/>
        <v/>
      </c>
      <c r="AI482" s="592" t="str">
        <f t="shared" si="253"/>
        <v/>
      </c>
      <c r="AJ482" s="592" t="str">
        <f t="shared" si="254"/>
        <v/>
      </c>
      <c r="AK482" s="460" t="str">
        <f>IF(AU482="","",IF(OR(AZ482=8,AZ482=9),0,IF(OR(AW482=3,AW482=4,AW482=5,AW482=6),IF(LEFT(BF482,1)="1",INDEX(係数_NOX・PM低減,MATCH(AY482,【参考】排出係数!$AI$801:$AI$804,1),1),VLOOKUP(AU482,INDEX((係数_バス貨物_ガソリン,係数_バス貨物_CNG,係数_バス貨物_軽油,係数_バス貨物_メタノール,係数_バス貨物_LPG),MATCH(AY482,【参考】排出係数!$AI$4:$AI$671,1),1,BE482):INDEX((係数_バス貨物_ガソリン,係数_バス貨物_CNG,係数_バス貨物_軽油,係数_バス貨物_メタノール,係数_バス貨物_LPG),MATCH(AY482+1,【参考】排出係数!$AI$4:$AI$671,1)-1,5,BE482),4,FALSE)),IF(AND(BE482=3,LEFT(BF482,1)="1"),0.48,VLOOKUP(AU482,INDEX((係数_乗用_ガソリン,係数_乗用_CNG,係数_乗用_軽油,係数_乗用_メタノール,係数_乗用_LPG),1,1,BE482):INDEX((係数_乗用_ガソリン,係数_乗用_CNG,係数_乗用_軽油,係数_乗用_メタノール,係数_乗用_LPG),125,5,BE482),4,FALSE)))))</f>
        <v/>
      </c>
      <c r="AL482" s="461" t="str">
        <f t="shared" si="278"/>
        <v/>
      </c>
      <c r="AM482" s="460" t="str">
        <f>IF(AU482="","",IF(OR(AZ482=8,AZ482=9),0,IF(OR(AW482=3,AW482=4,AW482=5,AW482=6),IF(LEFT(BH482,1)="1",INDEX(係数_PM低減,MATCH(AY482,【参考】排出係数!$AI$801:$AI$804,1),MATCH(BI482,【参考】排出係数!$AL$798:$AO$798,1)),VLOOKUP(AU482,INDEX((係数_バス貨物_ガソリン,係数_バス貨物_CNG,係数_バス貨物_軽油,係数_バス貨物_メタノール,係数_バス貨物_LPG),MATCH(AY482,【参考】排出係数!$AI$4:$AI$671,1),1,BE482):INDEX((係数_バス貨物_ガソリン,係数_バス貨物_CNG,係数_バス貨物_軽油,係数_バス貨物_メタノール,係数_バス貨物_LPG),MATCH(AY482+1,【参考】排出係数!$AI$4:$AI$671,1)-1,5,BE482),5,FALSE)),IF(AND(BE482=3,LEFT(BF482,1)="1"),0.055,VLOOKUP(AU482,INDEX((係数_乗用_ガソリン,係数_乗用_CNG,係数_乗用_軽油,係数_乗用_メタノール,係数_乗用_LPG),1,1,BE482):INDEX((係数_乗用_ガソリン,係数_乗用_CNG,係数_乗用_軽油,係数_乗用_メタノール,係数_乗用_LPG),125,5,BE482),5,FALSE)))))</f>
        <v/>
      </c>
      <c r="AN482" s="461" t="str">
        <f t="shared" si="279"/>
        <v/>
      </c>
      <c r="AO482" s="462" t="str">
        <f t="shared" si="280"/>
        <v/>
      </c>
      <c r="AP482" s="463" t="str">
        <f t="shared" si="281"/>
        <v/>
      </c>
      <c r="AQ482" s="464"/>
      <c r="AR482" s="619"/>
      <c r="AS482" s="465" t="str">
        <f t="shared" si="260"/>
        <v/>
      </c>
      <c r="AT482" s="465" t="str">
        <f t="shared" si="261"/>
        <v/>
      </c>
      <c r="AU482" s="466" t="str">
        <f t="shared" si="262"/>
        <v/>
      </c>
      <c r="AV482" s="467" t="str">
        <f t="shared" si="263"/>
        <v/>
      </c>
      <c r="AW482" s="467" t="str">
        <f t="shared" si="264"/>
        <v/>
      </c>
      <c r="AX482" s="467" t="str">
        <f t="shared" si="265"/>
        <v/>
      </c>
      <c r="AY482" s="467" t="str">
        <f t="shared" si="266"/>
        <v/>
      </c>
      <c r="AZ482" s="467" t="str">
        <f t="shared" si="267"/>
        <v/>
      </c>
      <c r="BA482" s="468" t="str">
        <f>IF(AS482="","",IF(OR(AU482="",AU482="-"),"－",IF(OR(AZ482=8,AZ482=9),"",IF(OR(AW482=3,AW482=4,AW482=5,AW482=6),VLOOKUP(AU482,INDEX((係数_バス貨物_ガソリン,係数_バス貨物_CNG,係数_バス貨物_軽油,係数_バス貨物_メタノール,係数_バス貨物_LPG),MATCH(AY482,【参考】排出係数!$AI$4:$AI$671,1),1,BE482):INDEX((係数_バス貨物_ガソリン,係数_バス貨物_CNG,係数_バス貨物_軽油,係数_バス貨物_メタノール,係数_バス貨物_LPG),MATCH(AY482+1,【参考】排出係数!$AI$4:$AI$671,1)-1,5,BE482),2,FALSE),IF(OR(AW482=1,AW482=2),VLOOKUP(AU482,INDEX((係数_乗用_ガソリン,係数_乗用_CNG,係数_乗用_軽油,係数_乗用_メタノール,係数_乗用_LPG),1,1,BE482):INDEX((係数_乗用_ガソリン,係数_乗用_CNG,係数_乗用_軽油,係数_乗用_メタノール,係数_乗用_LPG),125,5,BE482),2,FALSE))))))</f>
        <v/>
      </c>
      <c r="BB482" s="468" t="str">
        <f>IF(T482="","",IF(OR(AU482="",AU482="-"),"－",IF(OR(AZ482=8,AZ482=9),"",IF(OR(AW482=3,AW482=4,AW482=5,AW482=6),VLOOKUP(AU482,INDEX((係数_バス貨物_ガソリン,係数_バス貨物_CNG,係数_バス貨物_軽油,係数_バス貨物_メタノール,係数_バス貨物_LPG),MATCH(AY482,【参考】排出係数!$AI$4:$AI$671,1),1,BE482):INDEX((係数_バス貨物_ガソリン,係数_バス貨物_CNG,係数_バス貨物_軽油,係数_バス貨物_メタノール,係数_バス貨物_LPG),MATCH(AY482+1,【参考】排出係数!$AI$4:$AI$671,1)-1,5,BE482),3,FALSE),IF(OR(AW482=1,AW482=2),VLOOKUP(AU482,INDEX((係数_乗用_ガソリン,係数_乗用_CNG,係数_乗用_軽油,係数_乗用_メタノール,係数_乗用_LPG),1,1,BE482):INDEX((係数_乗用_ガソリン,係数_乗用_CNG,係数_乗用_軽油,係数_乗用_メタノール,係数_乗用_LPG),125,5,BE482),3,FALSE))))))</f>
        <v/>
      </c>
      <c r="BC482" s="467" t="str">
        <f t="shared" si="268"/>
        <v/>
      </c>
      <c r="BD482" s="567" t="str">
        <f t="shared" si="269"/>
        <v/>
      </c>
      <c r="BE482" s="467" t="str">
        <f t="shared" si="270"/>
        <v/>
      </c>
      <c r="BF482" s="469" t="str">
        <f t="shared" ca="1" si="271"/>
        <v/>
      </c>
      <c r="BG482" s="469" t="str">
        <f t="shared" ca="1" si="272"/>
        <v/>
      </c>
      <c r="BH482" s="467" t="str">
        <f t="shared" si="273"/>
        <v/>
      </c>
      <c r="BI482" s="467" t="str">
        <f t="shared" ca="1" si="274"/>
        <v/>
      </c>
      <c r="BJ482" s="469" t="str">
        <f t="shared" si="275"/>
        <v/>
      </c>
      <c r="BK482" s="470" t="str">
        <f t="shared" si="255"/>
        <v/>
      </c>
      <c r="BL482" s="775" t="str">
        <f t="shared" si="276"/>
        <v/>
      </c>
      <c r="BM482" s="775" t="str">
        <f t="shared" si="277"/>
        <v/>
      </c>
    </row>
    <row r="483" spans="1:65">
      <c r="A483" s="473">
        <v>427</v>
      </c>
      <c r="B483" s="132"/>
      <c r="C483" s="332"/>
      <c r="D483" s="333"/>
      <c r="E483" s="333"/>
      <c r="F483" s="334"/>
      <c r="G483" s="337"/>
      <c r="H483" s="131"/>
      <c r="I483" s="337"/>
      <c r="J483" s="131"/>
      <c r="K483" s="458" t="str">
        <f t="shared" si="244"/>
        <v/>
      </c>
      <c r="L483" s="458">
        <f t="shared" si="256"/>
        <v>0</v>
      </c>
      <c r="M483" s="458">
        <f t="shared" si="257"/>
        <v>0</v>
      </c>
      <c r="N483" s="459" t="str">
        <f t="shared" si="245"/>
        <v/>
      </c>
      <c r="O483" s="459" t="str">
        <f t="shared" si="246"/>
        <v/>
      </c>
      <c r="P483" s="459" t="str">
        <f t="shared" si="247"/>
        <v/>
      </c>
      <c r="Q483" s="459" t="str">
        <f t="shared" si="248"/>
        <v/>
      </c>
      <c r="R483" s="459" t="str">
        <f t="shared" si="249"/>
        <v/>
      </c>
      <c r="S483" s="459" t="str">
        <f t="shared" si="250"/>
        <v/>
      </c>
      <c r="T483" s="566" t="str">
        <f t="shared" si="258"/>
        <v/>
      </c>
      <c r="U483" s="702"/>
      <c r="V483" s="132"/>
      <c r="W483" s="133"/>
      <c r="X483" s="134"/>
      <c r="Y483" s="135"/>
      <c r="Z483" s="137"/>
      <c r="AA483" s="136"/>
      <c r="AB483" s="566" t="str">
        <f t="shared" si="251"/>
        <v/>
      </c>
      <c r="AC483" s="568" t="str">
        <f t="shared" si="259"/>
        <v/>
      </c>
      <c r="AD483" s="137"/>
      <c r="AE483" s="137"/>
      <c r="AF483" s="138"/>
      <c r="AG483" s="138"/>
      <c r="AH483" s="592" t="str">
        <f t="shared" si="252"/>
        <v/>
      </c>
      <c r="AI483" s="592" t="str">
        <f t="shared" si="253"/>
        <v/>
      </c>
      <c r="AJ483" s="592" t="str">
        <f t="shared" si="254"/>
        <v/>
      </c>
      <c r="AK483" s="460" t="str">
        <f>IF(AU483="","",IF(OR(AZ483=8,AZ483=9),0,IF(OR(AW483=3,AW483=4,AW483=5,AW483=6),IF(LEFT(BF483,1)="1",INDEX(係数_NOX・PM低減,MATCH(AY483,【参考】排出係数!$AI$801:$AI$804,1),1),VLOOKUP(AU483,INDEX((係数_バス貨物_ガソリン,係数_バス貨物_CNG,係数_バス貨物_軽油,係数_バス貨物_メタノール,係数_バス貨物_LPG),MATCH(AY483,【参考】排出係数!$AI$4:$AI$671,1),1,BE483):INDEX((係数_バス貨物_ガソリン,係数_バス貨物_CNG,係数_バス貨物_軽油,係数_バス貨物_メタノール,係数_バス貨物_LPG),MATCH(AY483+1,【参考】排出係数!$AI$4:$AI$671,1)-1,5,BE483),4,FALSE)),IF(AND(BE483=3,LEFT(BF483,1)="1"),0.48,VLOOKUP(AU483,INDEX((係数_乗用_ガソリン,係数_乗用_CNG,係数_乗用_軽油,係数_乗用_メタノール,係数_乗用_LPG),1,1,BE483):INDEX((係数_乗用_ガソリン,係数_乗用_CNG,係数_乗用_軽油,係数_乗用_メタノール,係数_乗用_LPG),125,5,BE483),4,FALSE)))))</f>
        <v/>
      </c>
      <c r="AL483" s="461" t="str">
        <f t="shared" si="278"/>
        <v/>
      </c>
      <c r="AM483" s="460" t="str">
        <f>IF(AU483="","",IF(OR(AZ483=8,AZ483=9),0,IF(OR(AW483=3,AW483=4,AW483=5,AW483=6),IF(LEFT(BH483,1)="1",INDEX(係数_PM低減,MATCH(AY483,【参考】排出係数!$AI$801:$AI$804,1),MATCH(BI483,【参考】排出係数!$AL$798:$AO$798,1)),VLOOKUP(AU483,INDEX((係数_バス貨物_ガソリン,係数_バス貨物_CNG,係数_バス貨物_軽油,係数_バス貨物_メタノール,係数_バス貨物_LPG),MATCH(AY483,【参考】排出係数!$AI$4:$AI$671,1),1,BE483):INDEX((係数_バス貨物_ガソリン,係数_バス貨物_CNG,係数_バス貨物_軽油,係数_バス貨物_メタノール,係数_バス貨物_LPG),MATCH(AY483+1,【参考】排出係数!$AI$4:$AI$671,1)-1,5,BE483),5,FALSE)),IF(AND(BE483=3,LEFT(BF483,1)="1"),0.055,VLOOKUP(AU483,INDEX((係数_乗用_ガソリン,係数_乗用_CNG,係数_乗用_軽油,係数_乗用_メタノール,係数_乗用_LPG),1,1,BE483):INDEX((係数_乗用_ガソリン,係数_乗用_CNG,係数_乗用_軽油,係数_乗用_メタノール,係数_乗用_LPG),125,5,BE483),5,FALSE)))))</f>
        <v/>
      </c>
      <c r="AN483" s="461" t="str">
        <f t="shared" si="279"/>
        <v/>
      </c>
      <c r="AO483" s="462" t="str">
        <f t="shared" si="280"/>
        <v/>
      </c>
      <c r="AP483" s="463" t="str">
        <f t="shared" si="281"/>
        <v/>
      </c>
      <c r="AQ483" s="464"/>
      <c r="AR483" s="619"/>
      <c r="AS483" s="465" t="str">
        <f t="shared" si="260"/>
        <v/>
      </c>
      <c r="AT483" s="465" t="str">
        <f t="shared" si="261"/>
        <v/>
      </c>
      <c r="AU483" s="466" t="str">
        <f t="shared" si="262"/>
        <v/>
      </c>
      <c r="AV483" s="467" t="str">
        <f t="shared" si="263"/>
        <v/>
      </c>
      <c r="AW483" s="467" t="str">
        <f t="shared" si="264"/>
        <v/>
      </c>
      <c r="AX483" s="467" t="str">
        <f t="shared" si="265"/>
        <v/>
      </c>
      <c r="AY483" s="467" t="str">
        <f t="shared" si="266"/>
        <v/>
      </c>
      <c r="AZ483" s="467" t="str">
        <f t="shared" si="267"/>
        <v/>
      </c>
      <c r="BA483" s="468" t="str">
        <f>IF(AS483="","",IF(OR(AU483="",AU483="-"),"－",IF(OR(AZ483=8,AZ483=9),"",IF(OR(AW483=3,AW483=4,AW483=5,AW483=6),VLOOKUP(AU483,INDEX((係数_バス貨物_ガソリン,係数_バス貨物_CNG,係数_バス貨物_軽油,係数_バス貨物_メタノール,係数_バス貨物_LPG),MATCH(AY483,【参考】排出係数!$AI$4:$AI$671,1),1,BE483):INDEX((係数_バス貨物_ガソリン,係数_バス貨物_CNG,係数_バス貨物_軽油,係数_バス貨物_メタノール,係数_バス貨物_LPG),MATCH(AY483+1,【参考】排出係数!$AI$4:$AI$671,1)-1,5,BE483),2,FALSE),IF(OR(AW483=1,AW483=2),VLOOKUP(AU483,INDEX((係数_乗用_ガソリン,係数_乗用_CNG,係数_乗用_軽油,係数_乗用_メタノール,係数_乗用_LPG),1,1,BE483):INDEX((係数_乗用_ガソリン,係数_乗用_CNG,係数_乗用_軽油,係数_乗用_メタノール,係数_乗用_LPG),125,5,BE483),2,FALSE))))))</f>
        <v/>
      </c>
      <c r="BB483" s="468" t="str">
        <f>IF(T483="","",IF(OR(AU483="",AU483="-"),"－",IF(OR(AZ483=8,AZ483=9),"",IF(OR(AW483=3,AW483=4,AW483=5,AW483=6),VLOOKUP(AU483,INDEX((係数_バス貨物_ガソリン,係数_バス貨物_CNG,係数_バス貨物_軽油,係数_バス貨物_メタノール,係数_バス貨物_LPG),MATCH(AY483,【参考】排出係数!$AI$4:$AI$671,1),1,BE483):INDEX((係数_バス貨物_ガソリン,係数_バス貨物_CNG,係数_バス貨物_軽油,係数_バス貨物_メタノール,係数_バス貨物_LPG),MATCH(AY483+1,【参考】排出係数!$AI$4:$AI$671,1)-1,5,BE483),3,FALSE),IF(OR(AW483=1,AW483=2),VLOOKUP(AU483,INDEX((係数_乗用_ガソリン,係数_乗用_CNG,係数_乗用_軽油,係数_乗用_メタノール,係数_乗用_LPG),1,1,BE483):INDEX((係数_乗用_ガソリン,係数_乗用_CNG,係数_乗用_軽油,係数_乗用_メタノール,係数_乗用_LPG),125,5,BE483),3,FALSE))))))</f>
        <v/>
      </c>
      <c r="BC483" s="467" t="str">
        <f t="shared" si="268"/>
        <v/>
      </c>
      <c r="BD483" s="567" t="str">
        <f t="shared" si="269"/>
        <v/>
      </c>
      <c r="BE483" s="467" t="str">
        <f t="shared" si="270"/>
        <v/>
      </c>
      <c r="BF483" s="469" t="str">
        <f t="shared" ca="1" si="271"/>
        <v/>
      </c>
      <c r="BG483" s="469" t="str">
        <f t="shared" ca="1" si="272"/>
        <v/>
      </c>
      <c r="BH483" s="467" t="str">
        <f t="shared" si="273"/>
        <v/>
      </c>
      <c r="BI483" s="467" t="str">
        <f t="shared" ca="1" si="274"/>
        <v/>
      </c>
      <c r="BJ483" s="469" t="str">
        <f t="shared" si="275"/>
        <v/>
      </c>
      <c r="BK483" s="470" t="str">
        <f t="shared" si="255"/>
        <v/>
      </c>
      <c r="BL483" s="775" t="str">
        <f t="shared" si="276"/>
        <v/>
      </c>
      <c r="BM483" s="775" t="str">
        <f t="shared" si="277"/>
        <v/>
      </c>
    </row>
    <row r="484" spans="1:65">
      <c r="A484" s="473">
        <v>428</v>
      </c>
      <c r="B484" s="132"/>
      <c r="C484" s="332"/>
      <c r="D484" s="333"/>
      <c r="E484" s="333"/>
      <c r="F484" s="334"/>
      <c r="G484" s="337"/>
      <c r="H484" s="131"/>
      <c r="I484" s="337"/>
      <c r="J484" s="131"/>
      <c r="K484" s="458" t="str">
        <f t="shared" si="244"/>
        <v/>
      </c>
      <c r="L484" s="458">
        <f t="shared" si="256"/>
        <v>0</v>
      </c>
      <c r="M484" s="458">
        <f t="shared" si="257"/>
        <v>0</v>
      </c>
      <c r="N484" s="459" t="str">
        <f t="shared" si="245"/>
        <v/>
      </c>
      <c r="O484" s="459" t="str">
        <f t="shared" si="246"/>
        <v/>
      </c>
      <c r="P484" s="459" t="str">
        <f t="shared" si="247"/>
        <v/>
      </c>
      <c r="Q484" s="459" t="str">
        <f t="shared" si="248"/>
        <v/>
      </c>
      <c r="R484" s="459" t="str">
        <f t="shared" si="249"/>
        <v/>
      </c>
      <c r="S484" s="459" t="str">
        <f t="shared" si="250"/>
        <v/>
      </c>
      <c r="T484" s="566" t="str">
        <f t="shared" si="258"/>
        <v/>
      </c>
      <c r="U484" s="702"/>
      <c r="V484" s="132"/>
      <c r="W484" s="133"/>
      <c r="X484" s="134"/>
      <c r="Y484" s="135"/>
      <c r="Z484" s="137"/>
      <c r="AA484" s="136"/>
      <c r="AB484" s="566" t="str">
        <f t="shared" si="251"/>
        <v/>
      </c>
      <c r="AC484" s="568" t="str">
        <f t="shared" si="259"/>
        <v/>
      </c>
      <c r="AD484" s="137"/>
      <c r="AE484" s="137"/>
      <c r="AF484" s="138"/>
      <c r="AG484" s="138"/>
      <c r="AH484" s="592" t="str">
        <f t="shared" si="252"/>
        <v/>
      </c>
      <c r="AI484" s="592" t="str">
        <f t="shared" si="253"/>
        <v/>
      </c>
      <c r="AJ484" s="592" t="str">
        <f t="shared" si="254"/>
        <v/>
      </c>
      <c r="AK484" s="460" t="str">
        <f>IF(AU484="","",IF(OR(AZ484=8,AZ484=9),0,IF(OR(AW484=3,AW484=4,AW484=5,AW484=6),IF(LEFT(BF484,1)="1",INDEX(係数_NOX・PM低減,MATCH(AY484,【参考】排出係数!$AI$801:$AI$804,1),1),VLOOKUP(AU484,INDEX((係数_バス貨物_ガソリン,係数_バス貨物_CNG,係数_バス貨物_軽油,係数_バス貨物_メタノール,係数_バス貨物_LPG),MATCH(AY484,【参考】排出係数!$AI$4:$AI$671,1),1,BE484):INDEX((係数_バス貨物_ガソリン,係数_バス貨物_CNG,係数_バス貨物_軽油,係数_バス貨物_メタノール,係数_バス貨物_LPG),MATCH(AY484+1,【参考】排出係数!$AI$4:$AI$671,1)-1,5,BE484),4,FALSE)),IF(AND(BE484=3,LEFT(BF484,1)="1"),0.48,VLOOKUP(AU484,INDEX((係数_乗用_ガソリン,係数_乗用_CNG,係数_乗用_軽油,係数_乗用_メタノール,係数_乗用_LPG),1,1,BE484):INDEX((係数_乗用_ガソリン,係数_乗用_CNG,係数_乗用_軽油,係数_乗用_メタノール,係数_乗用_LPG),125,5,BE484),4,FALSE)))))</f>
        <v/>
      </c>
      <c r="AL484" s="461" t="str">
        <f t="shared" si="278"/>
        <v/>
      </c>
      <c r="AM484" s="460" t="str">
        <f>IF(AU484="","",IF(OR(AZ484=8,AZ484=9),0,IF(OR(AW484=3,AW484=4,AW484=5,AW484=6),IF(LEFT(BH484,1)="1",INDEX(係数_PM低減,MATCH(AY484,【参考】排出係数!$AI$801:$AI$804,1),MATCH(BI484,【参考】排出係数!$AL$798:$AO$798,1)),VLOOKUP(AU484,INDEX((係数_バス貨物_ガソリン,係数_バス貨物_CNG,係数_バス貨物_軽油,係数_バス貨物_メタノール,係数_バス貨物_LPG),MATCH(AY484,【参考】排出係数!$AI$4:$AI$671,1),1,BE484):INDEX((係数_バス貨物_ガソリン,係数_バス貨物_CNG,係数_バス貨物_軽油,係数_バス貨物_メタノール,係数_バス貨物_LPG),MATCH(AY484+1,【参考】排出係数!$AI$4:$AI$671,1)-1,5,BE484),5,FALSE)),IF(AND(BE484=3,LEFT(BF484,1)="1"),0.055,VLOOKUP(AU484,INDEX((係数_乗用_ガソリン,係数_乗用_CNG,係数_乗用_軽油,係数_乗用_メタノール,係数_乗用_LPG),1,1,BE484):INDEX((係数_乗用_ガソリン,係数_乗用_CNG,係数_乗用_軽油,係数_乗用_メタノール,係数_乗用_LPG),125,5,BE484),5,FALSE)))))</f>
        <v/>
      </c>
      <c r="AN484" s="461" t="str">
        <f t="shared" si="279"/>
        <v/>
      </c>
      <c r="AO484" s="462" t="str">
        <f t="shared" si="280"/>
        <v/>
      </c>
      <c r="AP484" s="463" t="str">
        <f t="shared" si="281"/>
        <v/>
      </c>
      <c r="AQ484" s="464"/>
      <c r="AR484" s="619"/>
      <c r="AS484" s="465" t="str">
        <f t="shared" si="260"/>
        <v/>
      </c>
      <c r="AT484" s="465" t="str">
        <f t="shared" si="261"/>
        <v/>
      </c>
      <c r="AU484" s="466" t="str">
        <f t="shared" si="262"/>
        <v/>
      </c>
      <c r="AV484" s="467" t="str">
        <f t="shared" si="263"/>
        <v/>
      </c>
      <c r="AW484" s="467" t="str">
        <f t="shared" si="264"/>
        <v/>
      </c>
      <c r="AX484" s="467" t="str">
        <f t="shared" si="265"/>
        <v/>
      </c>
      <c r="AY484" s="467" t="str">
        <f t="shared" si="266"/>
        <v/>
      </c>
      <c r="AZ484" s="467" t="str">
        <f t="shared" si="267"/>
        <v/>
      </c>
      <c r="BA484" s="468" t="str">
        <f>IF(AS484="","",IF(OR(AU484="",AU484="-"),"－",IF(OR(AZ484=8,AZ484=9),"",IF(OR(AW484=3,AW484=4,AW484=5,AW484=6),VLOOKUP(AU484,INDEX((係数_バス貨物_ガソリン,係数_バス貨物_CNG,係数_バス貨物_軽油,係数_バス貨物_メタノール,係数_バス貨物_LPG),MATCH(AY484,【参考】排出係数!$AI$4:$AI$671,1),1,BE484):INDEX((係数_バス貨物_ガソリン,係数_バス貨物_CNG,係数_バス貨物_軽油,係数_バス貨物_メタノール,係数_バス貨物_LPG),MATCH(AY484+1,【参考】排出係数!$AI$4:$AI$671,1)-1,5,BE484),2,FALSE),IF(OR(AW484=1,AW484=2),VLOOKUP(AU484,INDEX((係数_乗用_ガソリン,係数_乗用_CNG,係数_乗用_軽油,係数_乗用_メタノール,係数_乗用_LPG),1,1,BE484):INDEX((係数_乗用_ガソリン,係数_乗用_CNG,係数_乗用_軽油,係数_乗用_メタノール,係数_乗用_LPG),125,5,BE484),2,FALSE))))))</f>
        <v/>
      </c>
      <c r="BB484" s="468" t="str">
        <f>IF(T484="","",IF(OR(AU484="",AU484="-"),"－",IF(OR(AZ484=8,AZ484=9),"",IF(OR(AW484=3,AW484=4,AW484=5,AW484=6),VLOOKUP(AU484,INDEX((係数_バス貨物_ガソリン,係数_バス貨物_CNG,係数_バス貨物_軽油,係数_バス貨物_メタノール,係数_バス貨物_LPG),MATCH(AY484,【参考】排出係数!$AI$4:$AI$671,1),1,BE484):INDEX((係数_バス貨物_ガソリン,係数_バス貨物_CNG,係数_バス貨物_軽油,係数_バス貨物_メタノール,係数_バス貨物_LPG),MATCH(AY484+1,【参考】排出係数!$AI$4:$AI$671,1)-1,5,BE484),3,FALSE),IF(OR(AW484=1,AW484=2),VLOOKUP(AU484,INDEX((係数_乗用_ガソリン,係数_乗用_CNG,係数_乗用_軽油,係数_乗用_メタノール,係数_乗用_LPG),1,1,BE484):INDEX((係数_乗用_ガソリン,係数_乗用_CNG,係数_乗用_軽油,係数_乗用_メタノール,係数_乗用_LPG),125,5,BE484),3,FALSE))))))</f>
        <v/>
      </c>
      <c r="BC484" s="467" t="str">
        <f t="shared" si="268"/>
        <v/>
      </c>
      <c r="BD484" s="567" t="str">
        <f t="shared" si="269"/>
        <v/>
      </c>
      <c r="BE484" s="467" t="str">
        <f t="shared" si="270"/>
        <v/>
      </c>
      <c r="BF484" s="469" t="str">
        <f t="shared" ca="1" si="271"/>
        <v/>
      </c>
      <c r="BG484" s="469" t="str">
        <f t="shared" ca="1" si="272"/>
        <v/>
      </c>
      <c r="BH484" s="467" t="str">
        <f t="shared" si="273"/>
        <v/>
      </c>
      <c r="BI484" s="467" t="str">
        <f t="shared" ca="1" si="274"/>
        <v/>
      </c>
      <c r="BJ484" s="469" t="str">
        <f t="shared" si="275"/>
        <v/>
      </c>
      <c r="BK484" s="470" t="str">
        <f t="shared" si="255"/>
        <v/>
      </c>
      <c r="BL484" s="775" t="str">
        <f t="shared" si="276"/>
        <v/>
      </c>
      <c r="BM484" s="775" t="str">
        <f t="shared" si="277"/>
        <v/>
      </c>
    </row>
    <row r="485" spans="1:65">
      <c r="A485" s="473">
        <v>429</v>
      </c>
      <c r="B485" s="132"/>
      <c r="C485" s="332"/>
      <c r="D485" s="333"/>
      <c r="E485" s="333"/>
      <c r="F485" s="334"/>
      <c r="G485" s="337"/>
      <c r="H485" s="131"/>
      <c r="I485" s="337"/>
      <c r="J485" s="131"/>
      <c r="K485" s="458" t="str">
        <f t="shared" si="244"/>
        <v/>
      </c>
      <c r="L485" s="458">
        <f t="shared" si="256"/>
        <v>0</v>
      </c>
      <c r="M485" s="458">
        <f t="shared" si="257"/>
        <v>0</v>
      </c>
      <c r="N485" s="459" t="str">
        <f t="shared" si="245"/>
        <v/>
      </c>
      <c r="O485" s="459" t="str">
        <f t="shared" si="246"/>
        <v/>
      </c>
      <c r="P485" s="459" t="str">
        <f t="shared" si="247"/>
        <v/>
      </c>
      <c r="Q485" s="459" t="str">
        <f t="shared" si="248"/>
        <v/>
      </c>
      <c r="R485" s="459" t="str">
        <f t="shared" si="249"/>
        <v/>
      </c>
      <c r="S485" s="459" t="str">
        <f t="shared" si="250"/>
        <v/>
      </c>
      <c r="T485" s="566" t="str">
        <f t="shared" si="258"/>
        <v/>
      </c>
      <c r="U485" s="702"/>
      <c r="V485" s="132"/>
      <c r="W485" s="133"/>
      <c r="X485" s="134"/>
      <c r="Y485" s="135"/>
      <c r="Z485" s="137"/>
      <c r="AA485" s="136"/>
      <c r="AB485" s="566" t="str">
        <f t="shared" si="251"/>
        <v/>
      </c>
      <c r="AC485" s="568" t="str">
        <f t="shared" si="259"/>
        <v/>
      </c>
      <c r="AD485" s="137"/>
      <c r="AE485" s="137"/>
      <c r="AF485" s="138"/>
      <c r="AG485" s="138"/>
      <c r="AH485" s="592" t="str">
        <f t="shared" si="252"/>
        <v/>
      </c>
      <c r="AI485" s="592" t="str">
        <f t="shared" si="253"/>
        <v/>
      </c>
      <c r="AJ485" s="592" t="str">
        <f t="shared" si="254"/>
        <v/>
      </c>
      <c r="AK485" s="460" t="str">
        <f>IF(AU485="","",IF(OR(AZ485=8,AZ485=9),0,IF(OR(AW485=3,AW485=4,AW485=5,AW485=6),IF(LEFT(BF485,1)="1",INDEX(係数_NOX・PM低減,MATCH(AY485,【参考】排出係数!$AI$801:$AI$804,1),1),VLOOKUP(AU485,INDEX((係数_バス貨物_ガソリン,係数_バス貨物_CNG,係数_バス貨物_軽油,係数_バス貨物_メタノール,係数_バス貨物_LPG),MATCH(AY485,【参考】排出係数!$AI$4:$AI$671,1),1,BE485):INDEX((係数_バス貨物_ガソリン,係数_バス貨物_CNG,係数_バス貨物_軽油,係数_バス貨物_メタノール,係数_バス貨物_LPG),MATCH(AY485+1,【参考】排出係数!$AI$4:$AI$671,1)-1,5,BE485),4,FALSE)),IF(AND(BE485=3,LEFT(BF485,1)="1"),0.48,VLOOKUP(AU485,INDEX((係数_乗用_ガソリン,係数_乗用_CNG,係数_乗用_軽油,係数_乗用_メタノール,係数_乗用_LPG),1,1,BE485):INDEX((係数_乗用_ガソリン,係数_乗用_CNG,係数_乗用_軽油,係数_乗用_メタノール,係数_乗用_LPG),125,5,BE485),4,FALSE)))))</f>
        <v/>
      </c>
      <c r="AL485" s="461" t="str">
        <f t="shared" si="278"/>
        <v/>
      </c>
      <c r="AM485" s="460" t="str">
        <f>IF(AU485="","",IF(OR(AZ485=8,AZ485=9),0,IF(OR(AW485=3,AW485=4,AW485=5,AW485=6),IF(LEFT(BH485,1)="1",INDEX(係数_PM低減,MATCH(AY485,【参考】排出係数!$AI$801:$AI$804,1),MATCH(BI485,【参考】排出係数!$AL$798:$AO$798,1)),VLOOKUP(AU485,INDEX((係数_バス貨物_ガソリン,係数_バス貨物_CNG,係数_バス貨物_軽油,係数_バス貨物_メタノール,係数_バス貨物_LPG),MATCH(AY485,【参考】排出係数!$AI$4:$AI$671,1),1,BE485):INDEX((係数_バス貨物_ガソリン,係数_バス貨物_CNG,係数_バス貨物_軽油,係数_バス貨物_メタノール,係数_バス貨物_LPG),MATCH(AY485+1,【参考】排出係数!$AI$4:$AI$671,1)-1,5,BE485),5,FALSE)),IF(AND(BE485=3,LEFT(BF485,1)="1"),0.055,VLOOKUP(AU485,INDEX((係数_乗用_ガソリン,係数_乗用_CNG,係数_乗用_軽油,係数_乗用_メタノール,係数_乗用_LPG),1,1,BE485):INDEX((係数_乗用_ガソリン,係数_乗用_CNG,係数_乗用_軽油,係数_乗用_メタノール,係数_乗用_LPG),125,5,BE485),5,FALSE)))))</f>
        <v/>
      </c>
      <c r="AN485" s="461" t="str">
        <f t="shared" si="279"/>
        <v/>
      </c>
      <c r="AO485" s="462" t="str">
        <f t="shared" si="280"/>
        <v/>
      </c>
      <c r="AP485" s="463" t="str">
        <f t="shared" si="281"/>
        <v/>
      </c>
      <c r="AQ485" s="464"/>
      <c r="AR485" s="619"/>
      <c r="AS485" s="465" t="str">
        <f t="shared" si="260"/>
        <v/>
      </c>
      <c r="AT485" s="465" t="str">
        <f t="shared" si="261"/>
        <v/>
      </c>
      <c r="AU485" s="466" t="str">
        <f t="shared" si="262"/>
        <v/>
      </c>
      <c r="AV485" s="467" t="str">
        <f t="shared" si="263"/>
        <v/>
      </c>
      <c r="AW485" s="467" t="str">
        <f t="shared" si="264"/>
        <v/>
      </c>
      <c r="AX485" s="467" t="str">
        <f t="shared" si="265"/>
        <v/>
      </c>
      <c r="AY485" s="467" t="str">
        <f t="shared" si="266"/>
        <v/>
      </c>
      <c r="AZ485" s="467" t="str">
        <f t="shared" si="267"/>
        <v/>
      </c>
      <c r="BA485" s="468" t="str">
        <f>IF(AS485="","",IF(OR(AU485="",AU485="-"),"－",IF(OR(AZ485=8,AZ485=9),"",IF(OR(AW485=3,AW485=4,AW485=5,AW485=6),VLOOKUP(AU485,INDEX((係数_バス貨物_ガソリン,係数_バス貨物_CNG,係数_バス貨物_軽油,係数_バス貨物_メタノール,係数_バス貨物_LPG),MATCH(AY485,【参考】排出係数!$AI$4:$AI$671,1),1,BE485):INDEX((係数_バス貨物_ガソリン,係数_バス貨物_CNG,係数_バス貨物_軽油,係数_バス貨物_メタノール,係数_バス貨物_LPG),MATCH(AY485+1,【参考】排出係数!$AI$4:$AI$671,1)-1,5,BE485),2,FALSE),IF(OR(AW485=1,AW485=2),VLOOKUP(AU485,INDEX((係数_乗用_ガソリン,係数_乗用_CNG,係数_乗用_軽油,係数_乗用_メタノール,係数_乗用_LPG),1,1,BE485):INDEX((係数_乗用_ガソリン,係数_乗用_CNG,係数_乗用_軽油,係数_乗用_メタノール,係数_乗用_LPG),125,5,BE485),2,FALSE))))))</f>
        <v/>
      </c>
      <c r="BB485" s="468" t="str">
        <f>IF(T485="","",IF(OR(AU485="",AU485="-"),"－",IF(OR(AZ485=8,AZ485=9),"",IF(OR(AW485=3,AW485=4,AW485=5,AW485=6),VLOOKUP(AU485,INDEX((係数_バス貨物_ガソリン,係数_バス貨物_CNG,係数_バス貨物_軽油,係数_バス貨物_メタノール,係数_バス貨物_LPG),MATCH(AY485,【参考】排出係数!$AI$4:$AI$671,1),1,BE485):INDEX((係数_バス貨物_ガソリン,係数_バス貨物_CNG,係数_バス貨物_軽油,係数_バス貨物_メタノール,係数_バス貨物_LPG),MATCH(AY485+1,【参考】排出係数!$AI$4:$AI$671,1)-1,5,BE485),3,FALSE),IF(OR(AW485=1,AW485=2),VLOOKUP(AU485,INDEX((係数_乗用_ガソリン,係数_乗用_CNG,係数_乗用_軽油,係数_乗用_メタノール,係数_乗用_LPG),1,1,BE485):INDEX((係数_乗用_ガソリン,係数_乗用_CNG,係数_乗用_軽油,係数_乗用_メタノール,係数_乗用_LPG),125,5,BE485),3,FALSE))))))</f>
        <v/>
      </c>
      <c r="BC485" s="467" t="str">
        <f t="shared" si="268"/>
        <v/>
      </c>
      <c r="BD485" s="567" t="str">
        <f t="shared" si="269"/>
        <v/>
      </c>
      <c r="BE485" s="467" t="str">
        <f t="shared" si="270"/>
        <v/>
      </c>
      <c r="BF485" s="469" t="str">
        <f t="shared" ca="1" si="271"/>
        <v/>
      </c>
      <c r="BG485" s="469" t="str">
        <f t="shared" ca="1" si="272"/>
        <v/>
      </c>
      <c r="BH485" s="467" t="str">
        <f t="shared" si="273"/>
        <v/>
      </c>
      <c r="BI485" s="467" t="str">
        <f t="shared" ca="1" si="274"/>
        <v/>
      </c>
      <c r="BJ485" s="469" t="str">
        <f t="shared" si="275"/>
        <v/>
      </c>
      <c r="BK485" s="470" t="str">
        <f t="shared" si="255"/>
        <v/>
      </c>
      <c r="BL485" s="775" t="str">
        <f t="shared" si="276"/>
        <v/>
      </c>
      <c r="BM485" s="775" t="str">
        <f t="shared" si="277"/>
        <v/>
      </c>
    </row>
    <row r="486" spans="1:65">
      <c r="A486" s="473">
        <v>430</v>
      </c>
      <c r="B486" s="132"/>
      <c r="C486" s="332"/>
      <c r="D486" s="333"/>
      <c r="E486" s="333"/>
      <c r="F486" s="334"/>
      <c r="G486" s="337"/>
      <c r="H486" s="131"/>
      <c r="I486" s="337"/>
      <c r="J486" s="131"/>
      <c r="K486" s="458" t="str">
        <f t="shared" si="244"/>
        <v/>
      </c>
      <c r="L486" s="458">
        <f t="shared" si="256"/>
        <v>0</v>
      </c>
      <c r="M486" s="458">
        <f t="shared" si="257"/>
        <v>0</v>
      </c>
      <c r="N486" s="459" t="str">
        <f t="shared" si="245"/>
        <v/>
      </c>
      <c r="O486" s="459" t="str">
        <f t="shared" si="246"/>
        <v/>
      </c>
      <c r="P486" s="459" t="str">
        <f t="shared" si="247"/>
        <v/>
      </c>
      <c r="Q486" s="459" t="str">
        <f t="shared" si="248"/>
        <v/>
      </c>
      <c r="R486" s="459" t="str">
        <f t="shared" si="249"/>
        <v/>
      </c>
      <c r="S486" s="459" t="str">
        <f t="shared" si="250"/>
        <v/>
      </c>
      <c r="T486" s="566" t="str">
        <f t="shared" si="258"/>
        <v/>
      </c>
      <c r="U486" s="702"/>
      <c r="V486" s="132"/>
      <c r="W486" s="133"/>
      <c r="X486" s="134"/>
      <c r="Y486" s="135"/>
      <c r="Z486" s="137"/>
      <c r="AA486" s="136"/>
      <c r="AB486" s="566" t="str">
        <f t="shared" si="251"/>
        <v/>
      </c>
      <c r="AC486" s="568" t="str">
        <f t="shared" si="259"/>
        <v/>
      </c>
      <c r="AD486" s="137"/>
      <c r="AE486" s="137"/>
      <c r="AF486" s="138"/>
      <c r="AG486" s="138"/>
      <c r="AH486" s="592" t="str">
        <f t="shared" si="252"/>
        <v/>
      </c>
      <c r="AI486" s="592" t="str">
        <f t="shared" si="253"/>
        <v/>
      </c>
      <c r="AJ486" s="592" t="str">
        <f t="shared" si="254"/>
        <v/>
      </c>
      <c r="AK486" s="460" t="str">
        <f>IF(AU486="","",IF(OR(AZ486=8,AZ486=9),0,IF(OR(AW486=3,AW486=4,AW486=5,AW486=6),IF(LEFT(BF486,1)="1",INDEX(係数_NOX・PM低減,MATCH(AY486,【参考】排出係数!$AI$801:$AI$804,1),1),VLOOKUP(AU486,INDEX((係数_バス貨物_ガソリン,係数_バス貨物_CNG,係数_バス貨物_軽油,係数_バス貨物_メタノール,係数_バス貨物_LPG),MATCH(AY486,【参考】排出係数!$AI$4:$AI$671,1),1,BE486):INDEX((係数_バス貨物_ガソリン,係数_バス貨物_CNG,係数_バス貨物_軽油,係数_バス貨物_メタノール,係数_バス貨物_LPG),MATCH(AY486+1,【参考】排出係数!$AI$4:$AI$671,1)-1,5,BE486),4,FALSE)),IF(AND(BE486=3,LEFT(BF486,1)="1"),0.48,VLOOKUP(AU486,INDEX((係数_乗用_ガソリン,係数_乗用_CNG,係数_乗用_軽油,係数_乗用_メタノール,係数_乗用_LPG),1,1,BE486):INDEX((係数_乗用_ガソリン,係数_乗用_CNG,係数_乗用_軽油,係数_乗用_メタノール,係数_乗用_LPG),125,5,BE486),4,FALSE)))))</f>
        <v/>
      </c>
      <c r="AL486" s="461" t="str">
        <f t="shared" si="278"/>
        <v/>
      </c>
      <c r="AM486" s="460" t="str">
        <f>IF(AU486="","",IF(OR(AZ486=8,AZ486=9),0,IF(OR(AW486=3,AW486=4,AW486=5,AW486=6),IF(LEFT(BH486,1)="1",INDEX(係数_PM低減,MATCH(AY486,【参考】排出係数!$AI$801:$AI$804,1),MATCH(BI486,【参考】排出係数!$AL$798:$AO$798,1)),VLOOKUP(AU486,INDEX((係数_バス貨物_ガソリン,係数_バス貨物_CNG,係数_バス貨物_軽油,係数_バス貨物_メタノール,係数_バス貨物_LPG),MATCH(AY486,【参考】排出係数!$AI$4:$AI$671,1),1,BE486):INDEX((係数_バス貨物_ガソリン,係数_バス貨物_CNG,係数_バス貨物_軽油,係数_バス貨物_メタノール,係数_バス貨物_LPG),MATCH(AY486+1,【参考】排出係数!$AI$4:$AI$671,1)-1,5,BE486),5,FALSE)),IF(AND(BE486=3,LEFT(BF486,1)="1"),0.055,VLOOKUP(AU486,INDEX((係数_乗用_ガソリン,係数_乗用_CNG,係数_乗用_軽油,係数_乗用_メタノール,係数_乗用_LPG),1,1,BE486):INDEX((係数_乗用_ガソリン,係数_乗用_CNG,係数_乗用_軽油,係数_乗用_メタノール,係数_乗用_LPG),125,5,BE486),5,FALSE)))))</f>
        <v/>
      </c>
      <c r="AN486" s="461" t="str">
        <f t="shared" si="279"/>
        <v/>
      </c>
      <c r="AO486" s="462" t="str">
        <f t="shared" si="280"/>
        <v/>
      </c>
      <c r="AP486" s="463" t="str">
        <f t="shared" si="281"/>
        <v/>
      </c>
      <c r="AQ486" s="464"/>
      <c r="AR486" s="619"/>
      <c r="AS486" s="465" t="str">
        <f t="shared" si="260"/>
        <v/>
      </c>
      <c r="AT486" s="465" t="str">
        <f t="shared" si="261"/>
        <v/>
      </c>
      <c r="AU486" s="466" t="str">
        <f t="shared" si="262"/>
        <v/>
      </c>
      <c r="AV486" s="467" t="str">
        <f t="shared" si="263"/>
        <v/>
      </c>
      <c r="AW486" s="467" t="str">
        <f t="shared" si="264"/>
        <v/>
      </c>
      <c r="AX486" s="467" t="str">
        <f t="shared" si="265"/>
        <v/>
      </c>
      <c r="AY486" s="467" t="str">
        <f t="shared" si="266"/>
        <v/>
      </c>
      <c r="AZ486" s="467" t="str">
        <f t="shared" si="267"/>
        <v/>
      </c>
      <c r="BA486" s="468" t="str">
        <f>IF(AS486="","",IF(OR(AU486="",AU486="-"),"－",IF(OR(AZ486=8,AZ486=9),"",IF(OR(AW486=3,AW486=4,AW486=5,AW486=6),VLOOKUP(AU486,INDEX((係数_バス貨物_ガソリン,係数_バス貨物_CNG,係数_バス貨物_軽油,係数_バス貨物_メタノール,係数_バス貨物_LPG),MATCH(AY486,【参考】排出係数!$AI$4:$AI$671,1),1,BE486):INDEX((係数_バス貨物_ガソリン,係数_バス貨物_CNG,係数_バス貨物_軽油,係数_バス貨物_メタノール,係数_バス貨物_LPG),MATCH(AY486+1,【参考】排出係数!$AI$4:$AI$671,1)-1,5,BE486),2,FALSE),IF(OR(AW486=1,AW486=2),VLOOKUP(AU486,INDEX((係数_乗用_ガソリン,係数_乗用_CNG,係数_乗用_軽油,係数_乗用_メタノール,係数_乗用_LPG),1,1,BE486):INDEX((係数_乗用_ガソリン,係数_乗用_CNG,係数_乗用_軽油,係数_乗用_メタノール,係数_乗用_LPG),125,5,BE486),2,FALSE))))))</f>
        <v/>
      </c>
      <c r="BB486" s="468" t="str">
        <f>IF(T486="","",IF(OR(AU486="",AU486="-"),"－",IF(OR(AZ486=8,AZ486=9),"",IF(OR(AW486=3,AW486=4,AW486=5,AW486=6),VLOOKUP(AU486,INDEX((係数_バス貨物_ガソリン,係数_バス貨物_CNG,係数_バス貨物_軽油,係数_バス貨物_メタノール,係数_バス貨物_LPG),MATCH(AY486,【参考】排出係数!$AI$4:$AI$671,1),1,BE486):INDEX((係数_バス貨物_ガソリン,係数_バス貨物_CNG,係数_バス貨物_軽油,係数_バス貨物_メタノール,係数_バス貨物_LPG),MATCH(AY486+1,【参考】排出係数!$AI$4:$AI$671,1)-1,5,BE486),3,FALSE),IF(OR(AW486=1,AW486=2),VLOOKUP(AU486,INDEX((係数_乗用_ガソリン,係数_乗用_CNG,係数_乗用_軽油,係数_乗用_メタノール,係数_乗用_LPG),1,1,BE486):INDEX((係数_乗用_ガソリン,係数_乗用_CNG,係数_乗用_軽油,係数_乗用_メタノール,係数_乗用_LPG),125,5,BE486),3,FALSE))))))</f>
        <v/>
      </c>
      <c r="BC486" s="467" t="str">
        <f t="shared" si="268"/>
        <v/>
      </c>
      <c r="BD486" s="567" t="str">
        <f t="shared" si="269"/>
        <v/>
      </c>
      <c r="BE486" s="467" t="str">
        <f t="shared" si="270"/>
        <v/>
      </c>
      <c r="BF486" s="469" t="str">
        <f t="shared" ca="1" si="271"/>
        <v/>
      </c>
      <c r="BG486" s="469" t="str">
        <f t="shared" ca="1" si="272"/>
        <v/>
      </c>
      <c r="BH486" s="467" t="str">
        <f t="shared" si="273"/>
        <v/>
      </c>
      <c r="BI486" s="467" t="str">
        <f t="shared" ca="1" si="274"/>
        <v/>
      </c>
      <c r="BJ486" s="469" t="str">
        <f t="shared" si="275"/>
        <v/>
      </c>
      <c r="BK486" s="470" t="str">
        <f t="shared" si="255"/>
        <v/>
      </c>
      <c r="BL486" s="775" t="str">
        <f t="shared" si="276"/>
        <v/>
      </c>
      <c r="BM486" s="775" t="str">
        <f t="shared" si="277"/>
        <v/>
      </c>
    </row>
    <row r="487" spans="1:65">
      <c r="A487" s="473">
        <v>431</v>
      </c>
      <c r="B487" s="132"/>
      <c r="C487" s="332"/>
      <c r="D487" s="333"/>
      <c r="E487" s="333"/>
      <c r="F487" s="334"/>
      <c r="G487" s="337"/>
      <c r="H487" s="131"/>
      <c r="I487" s="337"/>
      <c r="J487" s="131"/>
      <c r="K487" s="458" t="str">
        <f t="shared" si="244"/>
        <v/>
      </c>
      <c r="L487" s="458">
        <f t="shared" si="256"/>
        <v>0</v>
      </c>
      <c r="M487" s="458">
        <f t="shared" si="257"/>
        <v>0</v>
      </c>
      <c r="N487" s="459" t="str">
        <f t="shared" si="245"/>
        <v/>
      </c>
      <c r="O487" s="459" t="str">
        <f t="shared" si="246"/>
        <v/>
      </c>
      <c r="P487" s="459" t="str">
        <f t="shared" si="247"/>
        <v/>
      </c>
      <c r="Q487" s="459" t="str">
        <f t="shared" si="248"/>
        <v/>
      </c>
      <c r="R487" s="459" t="str">
        <f t="shared" si="249"/>
        <v/>
      </c>
      <c r="S487" s="459" t="str">
        <f t="shared" si="250"/>
        <v/>
      </c>
      <c r="T487" s="566" t="str">
        <f t="shared" si="258"/>
        <v/>
      </c>
      <c r="U487" s="702"/>
      <c r="V487" s="132"/>
      <c r="W487" s="133"/>
      <c r="X487" s="134"/>
      <c r="Y487" s="135"/>
      <c r="Z487" s="137"/>
      <c r="AA487" s="136"/>
      <c r="AB487" s="566" t="str">
        <f t="shared" si="251"/>
        <v/>
      </c>
      <c r="AC487" s="568" t="str">
        <f t="shared" si="259"/>
        <v/>
      </c>
      <c r="AD487" s="137"/>
      <c r="AE487" s="137"/>
      <c r="AF487" s="138"/>
      <c r="AG487" s="138"/>
      <c r="AH487" s="592" t="str">
        <f t="shared" si="252"/>
        <v/>
      </c>
      <c r="AI487" s="592" t="str">
        <f t="shared" si="253"/>
        <v/>
      </c>
      <c r="AJ487" s="592" t="str">
        <f t="shared" si="254"/>
        <v/>
      </c>
      <c r="AK487" s="460" t="str">
        <f>IF(AU487="","",IF(OR(AZ487=8,AZ487=9),0,IF(OR(AW487=3,AW487=4,AW487=5,AW487=6),IF(LEFT(BF487,1)="1",INDEX(係数_NOX・PM低減,MATCH(AY487,【参考】排出係数!$AI$801:$AI$804,1),1),VLOOKUP(AU487,INDEX((係数_バス貨物_ガソリン,係数_バス貨物_CNG,係数_バス貨物_軽油,係数_バス貨物_メタノール,係数_バス貨物_LPG),MATCH(AY487,【参考】排出係数!$AI$4:$AI$671,1),1,BE487):INDEX((係数_バス貨物_ガソリン,係数_バス貨物_CNG,係数_バス貨物_軽油,係数_バス貨物_メタノール,係数_バス貨物_LPG),MATCH(AY487+1,【参考】排出係数!$AI$4:$AI$671,1)-1,5,BE487),4,FALSE)),IF(AND(BE487=3,LEFT(BF487,1)="1"),0.48,VLOOKUP(AU487,INDEX((係数_乗用_ガソリン,係数_乗用_CNG,係数_乗用_軽油,係数_乗用_メタノール,係数_乗用_LPG),1,1,BE487):INDEX((係数_乗用_ガソリン,係数_乗用_CNG,係数_乗用_軽油,係数_乗用_メタノール,係数_乗用_LPG),125,5,BE487),4,FALSE)))))</f>
        <v/>
      </c>
      <c r="AL487" s="461" t="str">
        <f t="shared" si="278"/>
        <v/>
      </c>
      <c r="AM487" s="460" t="str">
        <f>IF(AU487="","",IF(OR(AZ487=8,AZ487=9),0,IF(OR(AW487=3,AW487=4,AW487=5,AW487=6),IF(LEFT(BH487,1)="1",INDEX(係数_PM低減,MATCH(AY487,【参考】排出係数!$AI$801:$AI$804,1),MATCH(BI487,【参考】排出係数!$AL$798:$AO$798,1)),VLOOKUP(AU487,INDEX((係数_バス貨物_ガソリン,係数_バス貨物_CNG,係数_バス貨物_軽油,係数_バス貨物_メタノール,係数_バス貨物_LPG),MATCH(AY487,【参考】排出係数!$AI$4:$AI$671,1),1,BE487):INDEX((係数_バス貨物_ガソリン,係数_バス貨物_CNG,係数_バス貨物_軽油,係数_バス貨物_メタノール,係数_バス貨物_LPG),MATCH(AY487+1,【参考】排出係数!$AI$4:$AI$671,1)-1,5,BE487),5,FALSE)),IF(AND(BE487=3,LEFT(BF487,1)="1"),0.055,VLOOKUP(AU487,INDEX((係数_乗用_ガソリン,係数_乗用_CNG,係数_乗用_軽油,係数_乗用_メタノール,係数_乗用_LPG),1,1,BE487):INDEX((係数_乗用_ガソリン,係数_乗用_CNG,係数_乗用_軽油,係数_乗用_メタノール,係数_乗用_LPG),125,5,BE487),5,FALSE)))))</f>
        <v/>
      </c>
      <c r="AN487" s="461" t="str">
        <f t="shared" si="279"/>
        <v/>
      </c>
      <c r="AO487" s="462" t="str">
        <f t="shared" si="280"/>
        <v/>
      </c>
      <c r="AP487" s="463" t="str">
        <f t="shared" si="281"/>
        <v/>
      </c>
      <c r="AQ487" s="464"/>
      <c r="AR487" s="619"/>
      <c r="AS487" s="465" t="str">
        <f t="shared" si="260"/>
        <v/>
      </c>
      <c r="AT487" s="465" t="str">
        <f t="shared" si="261"/>
        <v/>
      </c>
      <c r="AU487" s="466" t="str">
        <f t="shared" si="262"/>
        <v/>
      </c>
      <c r="AV487" s="467" t="str">
        <f t="shared" si="263"/>
        <v/>
      </c>
      <c r="AW487" s="467" t="str">
        <f t="shared" si="264"/>
        <v/>
      </c>
      <c r="AX487" s="467" t="str">
        <f t="shared" si="265"/>
        <v/>
      </c>
      <c r="AY487" s="467" t="str">
        <f t="shared" si="266"/>
        <v/>
      </c>
      <c r="AZ487" s="467" t="str">
        <f t="shared" si="267"/>
        <v/>
      </c>
      <c r="BA487" s="468" t="str">
        <f>IF(AS487="","",IF(OR(AU487="",AU487="-"),"－",IF(OR(AZ487=8,AZ487=9),"",IF(OR(AW487=3,AW487=4,AW487=5,AW487=6),VLOOKUP(AU487,INDEX((係数_バス貨物_ガソリン,係数_バス貨物_CNG,係数_バス貨物_軽油,係数_バス貨物_メタノール,係数_バス貨物_LPG),MATCH(AY487,【参考】排出係数!$AI$4:$AI$671,1),1,BE487):INDEX((係数_バス貨物_ガソリン,係数_バス貨物_CNG,係数_バス貨物_軽油,係数_バス貨物_メタノール,係数_バス貨物_LPG),MATCH(AY487+1,【参考】排出係数!$AI$4:$AI$671,1)-1,5,BE487),2,FALSE),IF(OR(AW487=1,AW487=2),VLOOKUP(AU487,INDEX((係数_乗用_ガソリン,係数_乗用_CNG,係数_乗用_軽油,係数_乗用_メタノール,係数_乗用_LPG),1,1,BE487):INDEX((係数_乗用_ガソリン,係数_乗用_CNG,係数_乗用_軽油,係数_乗用_メタノール,係数_乗用_LPG),125,5,BE487),2,FALSE))))))</f>
        <v/>
      </c>
      <c r="BB487" s="468" t="str">
        <f>IF(T487="","",IF(OR(AU487="",AU487="-"),"－",IF(OR(AZ487=8,AZ487=9),"",IF(OR(AW487=3,AW487=4,AW487=5,AW487=6),VLOOKUP(AU487,INDEX((係数_バス貨物_ガソリン,係数_バス貨物_CNG,係数_バス貨物_軽油,係数_バス貨物_メタノール,係数_バス貨物_LPG),MATCH(AY487,【参考】排出係数!$AI$4:$AI$671,1),1,BE487):INDEX((係数_バス貨物_ガソリン,係数_バス貨物_CNG,係数_バス貨物_軽油,係数_バス貨物_メタノール,係数_バス貨物_LPG),MATCH(AY487+1,【参考】排出係数!$AI$4:$AI$671,1)-1,5,BE487),3,FALSE),IF(OR(AW487=1,AW487=2),VLOOKUP(AU487,INDEX((係数_乗用_ガソリン,係数_乗用_CNG,係数_乗用_軽油,係数_乗用_メタノール,係数_乗用_LPG),1,1,BE487):INDEX((係数_乗用_ガソリン,係数_乗用_CNG,係数_乗用_軽油,係数_乗用_メタノール,係数_乗用_LPG),125,5,BE487),3,FALSE))))))</f>
        <v/>
      </c>
      <c r="BC487" s="467" t="str">
        <f t="shared" si="268"/>
        <v/>
      </c>
      <c r="BD487" s="567" t="str">
        <f t="shared" si="269"/>
        <v/>
      </c>
      <c r="BE487" s="467" t="str">
        <f t="shared" si="270"/>
        <v/>
      </c>
      <c r="BF487" s="469" t="str">
        <f t="shared" ca="1" si="271"/>
        <v/>
      </c>
      <c r="BG487" s="469" t="str">
        <f t="shared" ca="1" si="272"/>
        <v/>
      </c>
      <c r="BH487" s="467" t="str">
        <f t="shared" si="273"/>
        <v/>
      </c>
      <c r="BI487" s="467" t="str">
        <f t="shared" ca="1" si="274"/>
        <v/>
      </c>
      <c r="BJ487" s="469" t="str">
        <f t="shared" si="275"/>
        <v/>
      </c>
      <c r="BK487" s="470" t="str">
        <f t="shared" si="255"/>
        <v/>
      </c>
      <c r="BL487" s="775" t="str">
        <f t="shared" si="276"/>
        <v/>
      </c>
      <c r="BM487" s="775" t="str">
        <f t="shared" si="277"/>
        <v/>
      </c>
    </row>
    <row r="488" spans="1:65">
      <c r="A488" s="473">
        <v>432</v>
      </c>
      <c r="B488" s="132"/>
      <c r="C488" s="332"/>
      <c r="D488" s="333"/>
      <c r="E488" s="333"/>
      <c r="F488" s="334"/>
      <c r="G488" s="337"/>
      <c r="H488" s="131"/>
      <c r="I488" s="337"/>
      <c r="J488" s="131"/>
      <c r="K488" s="458" t="str">
        <f t="shared" si="244"/>
        <v/>
      </c>
      <c r="L488" s="458">
        <f t="shared" si="256"/>
        <v>0</v>
      </c>
      <c r="M488" s="458">
        <f t="shared" si="257"/>
        <v>0</v>
      </c>
      <c r="N488" s="459" t="str">
        <f t="shared" si="245"/>
        <v/>
      </c>
      <c r="O488" s="459" t="str">
        <f t="shared" si="246"/>
        <v/>
      </c>
      <c r="P488" s="459" t="str">
        <f t="shared" si="247"/>
        <v/>
      </c>
      <c r="Q488" s="459" t="str">
        <f t="shared" si="248"/>
        <v/>
      </c>
      <c r="R488" s="459" t="str">
        <f t="shared" si="249"/>
        <v/>
      </c>
      <c r="S488" s="459" t="str">
        <f t="shared" si="250"/>
        <v/>
      </c>
      <c r="T488" s="566" t="str">
        <f t="shared" si="258"/>
        <v/>
      </c>
      <c r="U488" s="702"/>
      <c r="V488" s="132"/>
      <c r="W488" s="133"/>
      <c r="X488" s="134"/>
      <c r="Y488" s="135"/>
      <c r="Z488" s="137"/>
      <c r="AA488" s="136"/>
      <c r="AB488" s="566" t="str">
        <f t="shared" si="251"/>
        <v/>
      </c>
      <c r="AC488" s="568" t="str">
        <f t="shared" si="259"/>
        <v/>
      </c>
      <c r="AD488" s="137"/>
      <c r="AE488" s="137"/>
      <c r="AF488" s="138"/>
      <c r="AG488" s="138"/>
      <c r="AH488" s="592" t="str">
        <f t="shared" si="252"/>
        <v/>
      </c>
      <c r="AI488" s="592" t="str">
        <f t="shared" si="253"/>
        <v/>
      </c>
      <c r="AJ488" s="592" t="str">
        <f t="shared" si="254"/>
        <v/>
      </c>
      <c r="AK488" s="460" t="str">
        <f>IF(AU488="","",IF(OR(AZ488=8,AZ488=9),0,IF(OR(AW488=3,AW488=4,AW488=5,AW488=6),IF(LEFT(BF488,1)="1",INDEX(係数_NOX・PM低減,MATCH(AY488,【参考】排出係数!$AI$801:$AI$804,1),1),VLOOKUP(AU488,INDEX((係数_バス貨物_ガソリン,係数_バス貨物_CNG,係数_バス貨物_軽油,係数_バス貨物_メタノール,係数_バス貨物_LPG),MATCH(AY488,【参考】排出係数!$AI$4:$AI$671,1),1,BE488):INDEX((係数_バス貨物_ガソリン,係数_バス貨物_CNG,係数_バス貨物_軽油,係数_バス貨物_メタノール,係数_バス貨物_LPG),MATCH(AY488+1,【参考】排出係数!$AI$4:$AI$671,1)-1,5,BE488),4,FALSE)),IF(AND(BE488=3,LEFT(BF488,1)="1"),0.48,VLOOKUP(AU488,INDEX((係数_乗用_ガソリン,係数_乗用_CNG,係数_乗用_軽油,係数_乗用_メタノール,係数_乗用_LPG),1,1,BE488):INDEX((係数_乗用_ガソリン,係数_乗用_CNG,係数_乗用_軽油,係数_乗用_メタノール,係数_乗用_LPG),125,5,BE488),4,FALSE)))))</f>
        <v/>
      </c>
      <c r="AL488" s="461" t="str">
        <f t="shared" si="278"/>
        <v/>
      </c>
      <c r="AM488" s="460" t="str">
        <f>IF(AU488="","",IF(OR(AZ488=8,AZ488=9),0,IF(OR(AW488=3,AW488=4,AW488=5,AW488=6),IF(LEFT(BH488,1)="1",INDEX(係数_PM低減,MATCH(AY488,【参考】排出係数!$AI$801:$AI$804,1),MATCH(BI488,【参考】排出係数!$AL$798:$AO$798,1)),VLOOKUP(AU488,INDEX((係数_バス貨物_ガソリン,係数_バス貨物_CNG,係数_バス貨物_軽油,係数_バス貨物_メタノール,係数_バス貨物_LPG),MATCH(AY488,【参考】排出係数!$AI$4:$AI$671,1),1,BE488):INDEX((係数_バス貨物_ガソリン,係数_バス貨物_CNG,係数_バス貨物_軽油,係数_バス貨物_メタノール,係数_バス貨物_LPG),MATCH(AY488+1,【参考】排出係数!$AI$4:$AI$671,1)-1,5,BE488),5,FALSE)),IF(AND(BE488=3,LEFT(BF488,1)="1"),0.055,VLOOKUP(AU488,INDEX((係数_乗用_ガソリン,係数_乗用_CNG,係数_乗用_軽油,係数_乗用_メタノール,係数_乗用_LPG),1,1,BE488):INDEX((係数_乗用_ガソリン,係数_乗用_CNG,係数_乗用_軽油,係数_乗用_メタノール,係数_乗用_LPG),125,5,BE488),5,FALSE)))))</f>
        <v/>
      </c>
      <c r="AN488" s="461" t="str">
        <f t="shared" si="279"/>
        <v/>
      </c>
      <c r="AO488" s="462" t="str">
        <f t="shared" si="280"/>
        <v/>
      </c>
      <c r="AP488" s="463" t="str">
        <f t="shared" si="281"/>
        <v/>
      </c>
      <c r="AQ488" s="464"/>
      <c r="AR488" s="619"/>
      <c r="AS488" s="465" t="str">
        <f t="shared" si="260"/>
        <v/>
      </c>
      <c r="AT488" s="465" t="str">
        <f t="shared" si="261"/>
        <v/>
      </c>
      <c r="AU488" s="466" t="str">
        <f t="shared" si="262"/>
        <v/>
      </c>
      <c r="AV488" s="467" t="str">
        <f t="shared" si="263"/>
        <v/>
      </c>
      <c r="AW488" s="467" t="str">
        <f t="shared" si="264"/>
        <v/>
      </c>
      <c r="AX488" s="467" t="str">
        <f t="shared" si="265"/>
        <v/>
      </c>
      <c r="AY488" s="467" t="str">
        <f t="shared" si="266"/>
        <v/>
      </c>
      <c r="AZ488" s="467" t="str">
        <f t="shared" si="267"/>
        <v/>
      </c>
      <c r="BA488" s="468" t="str">
        <f>IF(AS488="","",IF(OR(AU488="",AU488="-"),"－",IF(OR(AZ488=8,AZ488=9),"",IF(OR(AW488=3,AW488=4,AW488=5,AW488=6),VLOOKUP(AU488,INDEX((係数_バス貨物_ガソリン,係数_バス貨物_CNG,係数_バス貨物_軽油,係数_バス貨物_メタノール,係数_バス貨物_LPG),MATCH(AY488,【参考】排出係数!$AI$4:$AI$671,1),1,BE488):INDEX((係数_バス貨物_ガソリン,係数_バス貨物_CNG,係数_バス貨物_軽油,係数_バス貨物_メタノール,係数_バス貨物_LPG),MATCH(AY488+1,【参考】排出係数!$AI$4:$AI$671,1)-1,5,BE488),2,FALSE),IF(OR(AW488=1,AW488=2),VLOOKUP(AU488,INDEX((係数_乗用_ガソリン,係数_乗用_CNG,係数_乗用_軽油,係数_乗用_メタノール,係数_乗用_LPG),1,1,BE488):INDEX((係数_乗用_ガソリン,係数_乗用_CNG,係数_乗用_軽油,係数_乗用_メタノール,係数_乗用_LPG),125,5,BE488),2,FALSE))))))</f>
        <v/>
      </c>
      <c r="BB488" s="468" t="str">
        <f>IF(T488="","",IF(OR(AU488="",AU488="-"),"－",IF(OR(AZ488=8,AZ488=9),"",IF(OR(AW488=3,AW488=4,AW488=5,AW488=6),VLOOKUP(AU488,INDEX((係数_バス貨物_ガソリン,係数_バス貨物_CNG,係数_バス貨物_軽油,係数_バス貨物_メタノール,係数_バス貨物_LPG),MATCH(AY488,【参考】排出係数!$AI$4:$AI$671,1),1,BE488):INDEX((係数_バス貨物_ガソリン,係数_バス貨物_CNG,係数_バス貨物_軽油,係数_バス貨物_メタノール,係数_バス貨物_LPG),MATCH(AY488+1,【参考】排出係数!$AI$4:$AI$671,1)-1,5,BE488),3,FALSE),IF(OR(AW488=1,AW488=2),VLOOKUP(AU488,INDEX((係数_乗用_ガソリン,係数_乗用_CNG,係数_乗用_軽油,係数_乗用_メタノール,係数_乗用_LPG),1,1,BE488):INDEX((係数_乗用_ガソリン,係数_乗用_CNG,係数_乗用_軽油,係数_乗用_メタノール,係数_乗用_LPG),125,5,BE488),3,FALSE))))))</f>
        <v/>
      </c>
      <c r="BC488" s="467" t="str">
        <f t="shared" si="268"/>
        <v/>
      </c>
      <c r="BD488" s="567" t="str">
        <f t="shared" si="269"/>
        <v/>
      </c>
      <c r="BE488" s="467" t="str">
        <f t="shared" si="270"/>
        <v/>
      </c>
      <c r="BF488" s="469" t="str">
        <f t="shared" ca="1" si="271"/>
        <v/>
      </c>
      <c r="BG488" s="469" t="str">
        <f t="shared" ca="1" si="272"/>
        <v/>
      </c>
      <c r="BH488" s="467" t="str">
        <f t="shared" si="273"/>
        <v/>
      </c>
      <c r="BI488" s="467" t="str">
        <f t="shared" ca="1" si="274"/>
        <v/>
      </c>
      <c r="BJ488" s="469" t="str">
        <f t="shared" si="275"/>
        <v/>
      </c>
      <c r="BK488" s="470" t="str">
        <f t="shared" si="255"/>
        <v/>
      </c>
      <c r="BL488" s="775" t="str">
        <f t="shared" si="276"/>
        <v/>
      </c>
      <c r="BM488" s="775" t="str">
        <f t="shared" si="277"/>
        <v/>
      </c>
    </row>
    <row r="489" spans="1:65">
      <c r="A489" s="473">
        <v>433</v>
      </c>
      <c r="B489" s="132"/>
      <c r="C489" s="332"/>
      <c r="D489" s="333"/>
      <c r="E489" s="333"/>
      <c r="F489" s="334"/>
      <c r="G489" s="337"/>
      <c r="H489" s="131"/>
      <c r="I489" s="337"/>
      <c r="J489" s="131"/>
      <c r="K489" s="458" t="str">
        <f t="shared" si="244"/>
        <v/>
      </c>
      <c r="L489" s="458">
        <f t="shared" si="256"/>
        <v>0</v>
      </c>
      <c r="M489" s="458">
        <f t="shared" si="257"/>
        <v>0</v>
      </c>
      <c r="N489" s="459" t="str">
        <f t="shared" si="245"/>
        <v/>
      </c>
      <c r="O489" s="459" t="str">
        <f t="shared" si="246"/>
        <v/>
      </c>
      <c r="P489" s="459" t="str">
        <f t="shared" si="247"/>
        <v/>
      </c>
      <c r="Q489" s="459" t="str">
        <f t="shared" si="248"/>
        <v/>
      </c>
      <c r="R489" s="459" t="str">
        <f t="shared" si="249"/>
        <v/>
      </c>
      <c r="S489" s="459" t="str">
        <f t="shared" si="250"/>
        <v/>
      </c>
      <c r="T489" s="566" t="str">
        <f t="shared" si="258"/>
        <v/>
      </c>
      <c r="U489" s="702"/>
      <c r="V489" s="132"/>
      <c r="W489" s="133"/>
      <c r="X489" s="134"/>
      <c r="Y489" s="135"/>
      <c r="Z489" s="137"/>
      <c r="AA489" s="136"/>
      <c r="AB489" s="566" t="str">
        <f t="shared" si="251"/>
        <v/>
      </c>
      <c r="AC489" s="568" t="str">
        <f t="shared" si="259"/>
        <v/>
      </c>
      <c r="AD489" s="137"/>
      <c r="AE489" s="137"/>
      <c r="AF489" s="138"/>
      <c r="AG489" s="138"/>
      <c r="AH489" s="592" t="str">
        <f t="shared" si="252"/>
        <v/>
      </c>
      <c r="AI489" s="592" t="str">
        <f t="shared" si="253"/>
        <v/>
      </c>
      <c r="AJ489" s="592" t="str">
        <f t="shared" si="254"/>
        <v/>
      </c>
      <c r="AK489" s="460" t="str">
        <f>IF(AU489="","",IF(OR(AZ489=8,AZ489=9),0,IF(OR(AW489=3,AW489=4,AW489=5,AW489=6),IF(LEFT(BF489,1)="1",INDEX(係数_NOX・PM低減,MATCH(AY489,【参考】排出係数!$AI$801:$AI$804,1),1),VLOOKUP(AU489,INDEX((係数_バス貨物_ガソリン,係数_バス貨物_CNG,係数_バス貨物_軽油,係数_バス貨物_メタノール,係数_バス貨物_LPG),MATCH(AY489,【参考】排出係数!$AI$4:$AI$671,1),1,BE489):INDEX((係数_バス貨物_ガソリン,係数_バス貨物_CNG,係数_バス貨物_軽油,係数_バス貨物_メタノール,係数_バス貨物_LPG),MATCH(AY489+1,【参考】排出係数!$AI$4:$AI$671,1)-1,5,BE489),4,FALSE)),IF(AND(BE489=3,LEFT(BF489,1)="1"),0.48,VLOOKUP(AU489,INDEX((係数_乗用_ガソリン,係数_乗用_CNG,係数_乗用_軽油,係数_乗用_メタノール,係数_乗用_LPG),1,1,BE489):INDEX((係数_乗用_ガソリン,係数_乗用_CNG,係数_乗用_軽油,係数_乗用_メタノール,係数_乗用_LPG),125,5,BE489),4,FALSE)))))</f>
        <v/>
      </c>
      <c r="AL489" s="461" t="str">
        <f t="shared" si="278"/>
        <v/>
      </c>
      <c r="AM489" s="460" t="str">
        <f>IF(AU489="","",IF(OR(AZ489=8,AZ489=9),0,IF(OR(AW489=3,AW489=4,AW489=5,AW489=6),IF(LEFT(BH489,1)="1",INDEX(係数_PM低減,MATCH(AY489,【参考】排出係数!$AI$801:$AI$804,1),MATCH(BI489,【参考】排出係数!$AL$798:$AO$798,1)),VLOOKUP(AU489,INDEX((係数_バス貨物_ガソリン,係数_バス貨物_CNG,係数_バス貨物_軽油,係数_バス貨物_メタノール,係数_バス貨物_LPG),MATCH(AY489,【参考】排出係数!$AI$4:$AI$671,1),1,BE489):INDEX((係数_バス貨物_ガソリン,係数_バス貨物_CNG,係数_バス貨物_軽油,係数_バス貨物_メタノール,係数_バス貨物_LPG),MATCH(AY489+1,【参考】排出係数!$AI$4:$AI$671,1)-1,5,BE489),5,FALSE)),IF(AND(BE489=3,LEFT(BF489,1)="1"),0.055,VLOOKUP(AU489,INDEX((係数_乗用_ガソリン,係数_乗用_CNG,係数_乗用_軽油,係数_乗用_メタノール,係数_乗用_LPG),1,1,BE489):INDEX((係数_乗用_ガソリン,係数_乗用_CNG,係数_乗用_軽油,係数_乗用_メタノール,係数_乗用_LPG),125,5,BE489),5,FALSE)))))</f>
        <v/>
      </c>
      <c r="AN489" s="461" t="str">
        <f t="shared" si="279"/>
        <v/>
      </c>
      <c r="AO489" s="462" t="str">
        <f t="shared" si="280"/>
        <v/>
      </c>
      <c r="AP489" s="463" t="str">
        <f t="shared" si="281"/>
        <v/>
      </c>
      <c r="AQ489" s="464"/>
      <c r="AR489" s="619"/>
      <c r="AS489" s="465" t="str">
        <f t="shared" si="260"/>
        <v/>
      </c>
      <c r="AT489" s="465" t="str">
        <f t="shared" si="261"/>
        <v/>
      </c>
      <c r="AU489" s="466" t="str">
        <f t="shared" si="262"/>
        <v/>
      </c>
      <c r="AV489" s="467" t="str">
        <f t="shared" si="263"/>
        <v/>
      </c>
      <c r="AW489" s="467" t="str">
        <f t="shared" si="264"/>
        <v/>
      </c>
      <c r="AX489" s="467" t="str">
        <f t="shared" si="265"/>
        <v/>
      </c>
      <c r="AY489" s="467" t="str">
        <f t="shared" si="266"/>
        <v/>
      </c>
      <c r="AZ489" s="467" t="str">
        <f t="shared" si="267"/>
        <v/>
      </c>
      <c r="BA489" s="468" t="str">
        <f>IF(AS489="","",IF(OR(AU489="",AU489="-"),"－",IF(OR(AZ489=8,AZ489=9),"",IF(OR(AW489=3,AW489=4,AW489=5,AW489=6),VLOOKUP(AU489,INDEX((係数_バス貨物_ガソリン,係数_バス貨物_CNG,係数_バス貨物_軽油,係数_バス貨物_メタノール,係数_バス貨物_LPG),MATCH(AY489,【参考】排出係数!$AI$4:$AI$671,1),1,BE489):INDEX((係数_バス貨物_ガソリン,係数_バス貨物_CNG,係数_バス貨物_軽油,係数_バス貨物_メタノール,係数_バス貨物_LPG),MATCH(AY489+1,【参考】排出係数!$AI$4:$AI$671,1)-1,5,BE489),2,FALSE),IF(OR(AW489=1,AW489=2),VLOOKUP(AU489,INDEX((係数_乗用_ガソリン,係数_乗用_CNG,係数_乗用_軽油,係数_乗用_メタノール,係数_乗用_LPG),1,1,BE489):INDEX((係数_乗用_ガソリン,係数_乗用_CNG,係数_乗用_軽油,係数_乗用_メタノール,係数_乗用_LPG),125,5,BE489),2,FALSE))))))</f>
        <v/>
      </c>
      <c r="BB489" s="468" t="str">
        <f>IF(T489="","",IF(OR(AU489="",AU489="-"),"－",IF(OR(AZ489=8,AZ489=9),"",IF(OR(AW489=3,AW489=4,AW489=5,AW489=6),VLOOKUP(AU489,INDEX((係数_バス貨物_ガソリン,係数_バス貨物_CNG,係数_バス貨物_軽油,係数_バス貨物_メタノール,係数_バス貨物_LPG),MATCH(AY489,【参考】排出係数!$AI$4:$AI$671,1),1,BE489):INDEX((係数_バス貨物_ガソリン,係数_バス貨物_CNG,係数_バス貨物_軽油,係数_バス貨物_メタノール,係数_バス貨物_LPG),MATCH(AY489+1,【参考】排出係数!$AI$4:$AI$671,1)-1,5,BE489),3,FALSE),IF(OR(AW489=1,AW489=2),VLOOKUP(AU489,INDEX((係数_乗用_ガソリン,係数_乗用_CNG,係数_乗用_軽油,係数_乗用_メタノール,係数_乗用_LPG),1,1,BE489):INDEX((係数_乗用_ガソリン,係数_乗用_CNG,係数_乗用_軽油,係数_乗用_メタノール,係数_乗用_LPG),125,5,BE489),3,FALSE))))))</f>
        <v/>
      </c>
      <c r="BC489" s="467" t="str">
        <f t="shared" si="268"/>
        <v/>
      </c>
      <c r="BD489" s="567" t="str">
        <f t="shared" si="269"/>
        <v/>
      </c>
      <c r="BE489" s="467" t="str">
        <f t="shared" si="270"/>
        <v/>
      </c>
      <c r="BF489" s="469" t="str">
        <f t="shared" ca="1" si="271"/>
        <v/>
      </c>
      <c r="BG489" s="469" t="str">
        <f t="shared" ca="1" si="272"/>
        <v/>
      </c>
      <c r="BH489" s="467" t="str">
        <f t="shared" si="273"/>
        <v/>
      </c>
      <c r="BI489" s="467" t="str">
        <f t="shared" ca="1" si="274"/>
        <v/>
      </c>
      <c r="BJ489" s="469" t="str">
        <f t="shared" si="275"/>
        <v/>
      </c>
      <c r="BK489" s="470" t="str">
        <f t="shared" si="255"/>
        <v/>
      </c>
      <c r="BL489" s="775" t="str">
        <f t="shared" si="276"/>
        <v/>
      </c>
      <c r="BM489" s="775" t="str">
        <f t="shared" si="277"/>
        <v/>
      </c>
    </row>
    <row r="490" spans="1:65">
      <c r="A490" s="473">
        <v>434</v>
      </c>
      <c r="B490" s="132"/>
      <c r="C490" s="332"/>
      <c r="D490" s="333"/>
      <c r="E490" s="333"/>
      <c r="F490" s="334"/>
      <c r="G490" s="337"/>
      <c r="H490" s="131"/>
      <c r="I490" s="337"/>
      <c r="J490" s="131"/>
      <c r="K490" s="458" t="str">
        <f t="shared" si="244"/>
        <v/>
      </c>
      <c r="L490" s="458">
        <f t="shared" si="256"/>
        <v>0</v>
      </c>
      <c r="M490" s="458">
        <f t="shared" si="257"/>
        <v>0</v>
      </c>
      <c r="N490" s="459" t="str">
        <f t="shared" si="245"/>
        <v/>
      </c>
      <c r="O490" s="459" t="str">
        <f t="shared" si="246"/>
        <v/>
      </c>
      <c r="P490" s="459" t="str">
        <f t="shared" si="247"/>
        <v/>
      </c>
      <c r="Q490" s="459" t="str">
        <f t="shared" si="248"/>
        <v/>
      </c>
      <c r="R490" s="459" t="str">
        <f t="shared" si="249"/>
        <v/>
      </c>
      <c r="S490" s="459" t="str">
        <f t="shared" si="250"/>
        <v/>
      </c>
      <c r="T490" s="566" t="str">
        <f t="shared" si="258"/>
        <v/>
      </c>
      <c r="U490" s="702"/>
      <c r="V490" s="132"/>
      <c r="W490" s="133"/>
      <c r="X490" s="134"/>
      <c r="Y490" s="135"/>
      <c r="Z490" s="137"/>
      <c r="AA490" s="136"/>
      <c r="AB490" s="566" t="str">
        <f t="shared" si="251"/>
        <v/>
      </c>
      <c r="AC490" s="568" t="str">
        <f t="shared" si="259"/>
        <v/>
      </c>
      <c r="AD490" s="137"/>
      <c r="AE490" s="137"/>
      <c r="AF490" s="138"/>
      <c r="AG490" s="138"/>
      <c r="AH490" s="592" t="str">
        <f t="shared" si="252"/>
        <v/>
      </c>
      <c r="AI490" s="592" t="str">
        <f t="shared" si="253"/>
        <v/>
      </c>
      <c r="AJ490" s="592" t="str">
        <f t="shared" si="254"/>
        <v/>
      </c>
      <c r="AK490" s="460" t="str">
        <f>IF(AU490="","",IF(OR(AZ490=8,AZ490=9),0,IF(OR(AW490=3,AW490=4,AW490=5,AW490=6),IF(LEFT(BF490,1)="1",INDEX(係数_NOX・PM低減,MATCH(AY490,【参考】排出係数!$AI$801:$AI$804,1),1),VLOOKUP(AU490,INDEX((係数_バス貨物_ガソリン,係数_バス貨物_CNG,係数_バス貨物_軽油,係数_バス貨物_メタノール,係数_バス貨物_LPG),MATCH(AY490,【参考】排出係数!$AI$4:$AI$671,1),1,BE490):INDEX((係数_バス貨物_ガソリン,係数_バス貨物_CNG,係数_バス貨物_軽油,係数_バス貨物_メタノール,係数_バス貨物_LPG),MATCH(AY490+1,【参考】排出係数!$AI$4:$AI$671,1)-1,5,BE490),4,FALSE)),IF(AND(BE490=3,LEFT(BF490,1)="1"),0.48,VLOOKUP(AU490,INDEX((係数_乗用_ガソリン,係数_乗用_CNG,係数_乗用_軽油,係数_乗用_メタノール,係数_乗用_LPG),1,1,BE490):INDEX((係数_乗用_ガソリン,係数_乗用_CNG,係数_乗用_軽油,係数_乗用_メタノール,係数_乗用_LPG),125,5,BE490),4,FALSE)))))</f>
        <v/>
      </c>
      <c r="AL490" s="461" t="str">
        <f t="shared" si="278"/>
        <v/>
      </c>
      <c r="AM490" s="460" t="str">
        <f>IF(AU490="","",IF(OR(AZ490=8,AZ490=9),0,IF(OR(AW490=3,AW490=4,AW490=5,AW490=6),IF(LEFT(BH490,1)="1",INDEX(係数_PM低減,MATCH(AY490,【参考】排出係数!$AI$801:$AI$804,1),MATCH(BI490,【参考】排出係数!$AL$798:$AO$798,1)),VLOOKUP(AU490,INDEX((係数_バス貨物_ガソリン,係数_バス貨物_CNG,係数_バス貨物_軽油,係数_バス貨物_メタノール,係数_バス貨物_LPG),MATCH(AY490,【参考】排出係数!$AI$4:$AI$671,1),1,BE490):INDEX((係数_バス貨物_ガソリン,係数_バス貨物_CNG,係数_バス貨物_軽油,係数_バス貨物_メタノール,係数_バス貨物_LPG),MATCH(AY490+1,【参考】排出係数!$AI$4:$AI$671,1)-1,5,BE490),5,FALSE)),IF(AND(BE490=3,LEFT(BF490,1)="1"),0.055,VLOOKUP(AU490,INDEX((係数_乗用_ガソリン,係数_乗用_CNG,係数_乗用_軽油,係数_乗用_メタノール,係数_乗用_LPG),1,1,BE490):INDEX((係数_乗用_ガソリン,係数_乗用_CNG,係数_乗用_軽油,係数_乗用_メタノール,係数_乗用_LPG),125,5,BE490),5,FALSE)))))</f>
        <v/>
      </c>
      <c r="AN490" s="461" t="str">
        <f t="shared" si="279"/>
        <v/>
      </c>
      <c r="AO490" s="462" t="str">
        <f t="shared" si="280"/>
        <v/>
      </c>
      <c r="AP490" s="463" t="str">
        <f t="shared" si="281"/>
        <v/>
      </c>
      <c r="AQ490" s="464"/>
      <c r="AR490" s="619"/>
      <c r="AS490" s="465" t="str">
        <f t="shared" si="260"/>
        <v/>
      </c>
      <c r="AT490" s="465" t="str">
        <f t="shared" si="261"/>
        <v/>
      </c>
      <c r="AU490" s="466" t="str">
        <f t="shared" si="262"/>
        <v/>
      </c>
      <c r="AV490" s="467" t="str">
        <f t="shared" si="263"/>
        <v/>
      </c>
      <c r="AW490" s="467" t="str">
        <f t="shared" si="264"/>
        <v/>
      </c>
      <c r="AX490" s="467" t="str">
        <f t="shared" si="265"/>
        <v/>
      </c>
      <c r="AY490" s="467" t="str">
        <f t="shared" si="266"/>
        <v/>
      </c>
      <c r="AZ490" s="467" t="str">
        <f t="shared" si="267"/>
        <v/>
      </c>
      <c r="BA490" s="468" t="str">
        <f>IF(AS490="","",IF(OR(AU490="",AU490="-"),"－",IF(OR(AZ490=8,AZ490=9),"",IF(OR(AW490=3,AW490=4,AW490=5,AW490=6),VLOOKUP(AU490,INDEX((係数_バス貨物_ガソリン,係数_バス貨物_CNG,係数_バス貨物_軽油,係数_バス貨物_メタノール,係数_バス貨物_LPG),MATCH(AY490,【参考】排出係数!$AI$4:$AI$671,1),1,BE490):INDEX((係数_バス貨物_ガソリン,係数_バス貨物_CNG,係数_バス貨物_軽油,係数_バス貨物_メタノール,係数_バス貨物_LPG),MATCH(AY490+1,【参考】排出係数!$AI$4:$AI$671,1)-1,5,BE490),2,FALSE),IF(OR(AW490=1,AW490=2),VLOOKUP(AU490,INDEX((係数_乗用_ガソリン,係数_乗用_CNG,係数_乗用_軽油,係数_乗用_メタノール,係数_乗用_LPG),1,1,BE490):INDEX((係数_乗用_ガソリン,係数_乗用_CNG,係数_乗用_軽油,係数_乗用_メタノール,係数_乗用_LPG),125,5,BE490),2,FALSE))))))</f>
        <v/>
      </c>
      <c r="BB490" s="468" t="str">
        <f>IF(T490="","",IF(OR(AU490="",AU490="-"),"－",IF(OR(AZ490=8,AZ490=9),"",IF(OR(AW490=3,AW490=4,AW490=5,AW490=6),VLOOKUP(AU490,INDEX((係数_バス貨物_ガソリン,係数_バス貨物_CNG,係数_バス貨物_軽油,係数_バス貨物_メタノール,係数_バス貨物_LPG),MATCH(AY490,【参考】排出係数!$AI$4:$AI$671,1),1,BE490):INDEX((係数_バス貨物_ガソリン,係数_バス貨物_CNG,係数_バス貨物_軽油,係数_バス貨物_メタノール,係数_バス貨物_LPG),MATCH(AY490+1,【参考】排出係数!$AI$4:$AI$671,1)-1,5,BE490),3,FALSE),IF(OR(AW490=1,AW490=2),VLOOKUP(AU490,INDEX((係数_乗用_ガソリン,係数_乗用_CNG,係数_乗用_軽油,係数_乗用_メタノール,係数_乗用_LPG),1,1,BE490):INDEX((係数_乗用_ガソリン,係数_乗用_CNG,係数_乗用_軽油,係数_乗用_メタノール,係数_乗用_LPG),125,5,BE490),3,FALSE))))))</f>
        <v/>
      </c>
      <c r="BC490" s="467" t="str">
        <f t="shared" si="268"/>
        <v/>
      </c>
      <c r="BD490" s="567" t="str">
        <f t="shared" si="269"/>
        <v/>
      </c>
      <c r="BE490" s="467" t="str">
        <f t="shared" si="270"/>
        <v/>
      </c>
      <c r="BF490" s="469" t="str">
        <f t="shared" ca="1" si="271"/>
        <v/>
      </c>
      <c r="BG490" s="469" t="str">
        <f t="shared" ca="1" si="272"/>
        <v/>
      </c>
      <c r="BH490" s="467" t="str">
        <f t="shared" si="273"/>
        <v/>
      </c>
      <c r="BI490" s="467" t="str">
        <f t="shared" ca="1" si="274"/>
        <v/>
      </c>
      <c r="BJ490" s="469" t="str">
        <f t="shared" si="275"/>
        <v/>
      </c>
      <c r="BK490" s="470" t="str">
        <f t="shared" si="255"/>
        <v/>
      </c>
      <c r="BL490" s="775" t="str">
        <f t="shared" si="276"/>
        <v/>
      </c>
      <c r="BM490" s="775" t="str">
        <f t="shared" si="277"/>
        <v/>
      </c>
    </row>
    <row r="491" spans="1:65">
      <c r="A491" s="473">
        <v>435</v>
      </c>
      <c r="B491" s="132"/>
      <c r="C491" s="332"/>
      <c r="D491" s="333"/>
      <c r="E491" s="333"/>
      <c r="F491" s="334"/>
      <c r="G491" s="337"/>
      <c r="H491" s="131"/>
      <c r="I491" s="337"/>
      <c r="J491" s="131"/>
      <c r="K491" s="458" t="str">
        <f t="shared" si="244"/>
        <v/>
      </c>
      <c r="L491" s="458">
        <f t="shared" si="256"/>
        <v>0</v>
      </c>
      <c r="M491" s="458">
        <f t="shared" si="257"/>
        <v>0</v>
      </c>
      <c r="N491" s="459" t="str">
        <f t="shared" si="245"/>
        <v/>
      </c>
      <c r="O491" s="459" t="str">
        <f t="shared" si="246"/>
        <v/>
      </c>
      <c r="P491" s="459" t="str">
        <f t="shared" si="247"/>
        <v/>
      </c>
      <c r="Q491" s="459" t="str">
        <f t="shared" si="248"/>
        <v/>
      </c>
      <c r="R491" s="459" t="str">
        <f t="shared" si="249"/>
        <v/>
      </c>
      <c r="S491" s="459" t="str">
        <f t="shared" si="250"/>
        <v/>
      </c>
      <c r="T491" s="566" t="str">
        <f t="shared" si="258"/>
        <v/>
      </c>
      <c r="U491" s="702"/>
      <c r="V491" s="132"/>
      <c r="W491" s="133"/>
      <c r="X491" s="134"/>
      <c r="Y491" s="135"/>
      <c r="Z491" s="137"/>
      <c r="AA491" s="136"/>
      <c r="AB491" s="566" t="str">
        <f t="shared" si="251"/>
        <v/>
      </c>
      <c r="AC491" s="568" t="str">
        <f t="shared" si="259"/>
        <v/>
      </c>
      <c r="AD491" s="137"/>
      <c r="AE491" s="137"/>
      <c r="AF491" s="138"/>
      <c r="AG491" s="138"/>
      <c r="AH491" s="592" t="str">
        <f t="shared" si="252"/>
        <v/>
      </c>
      <c r="AI491" s="592" t="str">
        <f t="shared" si="253"/>
        <v/>
      </c>
      <c r="AJ491" s="592" t="str">
        <f t="shared" si="254"/>
        <v/>
      </c>
      <c r="AK491" s="460" t="str">
        <f>IF(AU491="","",IF(OR(AZ491=8,AZ491=9),0,IF(OR(AW491=3,AW491=4,AW491=5,AW491=6),IF(LEFT(BF491,1)="1",INDEX(係数_NOX・PM低減,MATCH(AY491,【参考】排出係数!$AI$801:$AI$804,1),1),VLOOKUP(AU491,INDEX((係数_バス貨物_ガソリン,係数_バス貨物_CNG,係数_バス貨物_軽油,係数_バス貨物_メタノール,係数_バス貨物_LPG),MATCH(AY491,【参考】排出係数!$AI$4:$AI$671,1),1,BE491):INDEX((係数_バス貨物_ガソリン,係数_バス貨物_CNG,係数_バス貨物_軽油,係数_バス貨物_メタノール,係数_バス貨物_LPG),MATCH(AY491+1,【参考】排出係数!$AI$4:$AI$671,1)-1,5,BE491),4,FALSE)),IF(AND(BE491=3,LEFT(BF491,1)="1"),0.48,VLOOKUP(AU491,INDEX((係数_乗用_ガソリン,係数_乗用_CNG,係数_乗用_軽油,係数_乗用_メタノール,係数_乗用_LPG),1,1,BE491):INDEX((係数_乗用_ガソリン,係数_乗用_CNG,係数_乗用_軽油,係数_乗用_メタノール,係数_乗用_LPG),125,5,BE491),4,FALSE)))))</f>
        <v/>
      </c>
      <c r="AL491" s="461" t="str">
        <f t="shared" si="278"/>
        <v/>
      </c>
      <c r="AM491" s="460" t="str">
        <f>IF(AU491="","",IF(OR(AZ491=8,AZ491=9),0,IF(OR(AW491=3,AW491=4,AW491=5,AW491=6),IF(LEFT(BH491,1)="1",INDEX(係数_PM低減,MATCH(AY491,【参考】排出係数!$AI$801:$AI$804,1),MATCH(BI491,【参考】排出係数!$AL$798:$AO$798,1)),VLOOKUP(AU491,INDEX((係数_バス貨物_ガソリン,係数_バス貨物_CNG,係数_バス貨物_軽油,係数_バス貨物_メタノール,係数_バス貨物_LPG),MATCH(AY491,【参考】排出係数!$AI$4:$AI$671,1),1,BE491):INDEX((係数_バス貨物_ガソリン,係数_バス貨物_CNG,係数_バス貨物_軽油,係数_バス貨物_メタノール,係数_バス貨物_LPG),MATCH(AY491+1,【参考】排出係数!$AI$4:$AI$671,1)-1,5,BE491),5,FALSE)),IF(AND(BE491=3,LEFT(BF491,1)="1"),0.055,VLOOKUP(AU491,INDEX((係数_乗用_ガソリン,係数_乗用_CNG,係数_乗用_軽油,係数_乗用_メタノール,係数_乗用_LPG),1,1,BE491):INDEX((係数_乗用_ガソリン,係数_乗用_CNG,係数_乗用_軽油,係数_乗用_メタノール,係数_乗用_LPG),125,5,BE491),5,FALSE)))))</f>
        <v/>
      </c>
      <c r="AN491" s="461" t="str">
        <f t="shared" si="279"/>
        <v/>
      </c>
      <c r="AO491" s="462" t="str">
        <f t="shared" si="280"/>
        <v/>
      </c>
      <c r="AP491" s="463" t="str">
        <f t="shared" si="281"/>
        <v/>
      </c>
      <c r="AQ491" s="464"/>
      <c r="AR491" s="619"/>
      <c r="AS491" s="465" t="str">
        <f t="shared" si="260"/>
        <v/>
      </c>
      <c r="AT491" s="465" t="str">
        <f t="shared" si="261"/>
        <v/>
      </c>
      <c r="AU491" s="466" t="str">
        <f t="shared" si="262"/>
        <v/>
      </c>
      <c r="AV491" s="467" t="str">
        <f t="shared" si="263"/>
        <v/>
      </c>
      <c r="AW491" s="467" t="str">
        <f t="shared" si="264"/>
        <v/>
      </c>
      <c r="AX491" s="467" t="str">
        <f t="shared" si="265"/>
        <v/>
      </c>
      <c r="AY491" s="467" t="str">
        <f t="shared" si="266"/>
        <v/>
      </c>
      <c r="AZ491" s="467" t="str">
        <f t="shared" si="267"/>
        <v/>
      </c>
      <c r="BA491" s="468" t="str">
        <f>IF(AS491="","",IF(OR(AU491="",AU491="-"),"－",IF(OR(AZ491=8,AZ491=9),"",IF(OR(AW491=3,AW491=4,AW491=5,AW491=6),VLOOKUP(AU491,INDEX((係数_バス貨物_ガソリン,係数_バス貨物_CNG,係数_バス貨物_軽油,係数_バス貨物_メタノール,係数_バス貨物_LPG),MATCH(AY491,【参考】排出係数!$AI$4:$AI$671,1),1,BE491):INDEX((係数_バス貨物_ガソリン,係数_バス貨物_CNG,係数_バス貨物_軽油,係数_バス貨物_メタノール,係数_バス貨物_LPG),MATCH(AY491+1,【参考】排出係数!$AI$4:$AI$671,1)-1,5,BE491),2,FALSE),IF(OR(AW491=1,AW491=2),VLOOKUP(AU491,INDEX((係数_乗用_ガソリン,係数_乗用_CNG,係数_乗用_軽油,係数_乗用_メタノール,係数_乗用_LPG),1,1,BE491):INDEX((係数_乗用_ガソリン,係数_乗用_CNG,係数_乗用_軽油,係数_乗用_メタノール,係数_乗用_LPG),125,5,BE491),2,FALSE))))))</f>
        <v/>
      </c>
      <c r="BB491" s="468" t="str">
        <f>IF(T491="","",IF(OR(AU491="",AU491="-"),"－",IF(OR(AZ491=8,AZ491=9),"",IF(OR(AW491=3,AW491=4,AW491=5,AW491=6),VLOOKUP(AU491,INDEX((係数_バス貨物_ガソリン,係数_バス貨物_CNG,係数_バス貨物_軽油,係数_バス貨物_メタノール,係数_バス貨物_LPG),MATCH(AY491,【参考】排出係数!$AI$4:$AI$671,1),1,BE491):INDEX((係数_バス貨物_ガソリン,係数_バス貨物_CNG,係数_バス貨物_軽油,係数_バス貨物_メタノール,係数_バス貨物_LPG),MATCH(AY491+1,【参考】排出係数!$AI$4:$AI$671,1)-1,5,BE491),3,FALSE),IF(OR(AW491=1,AW491=2),VLOOKUP(AU491,INDEX((係数_乗用_ガソリン,係数_乗用_CNG,係数_乗用_軽油,係数_乗用_メタノール,係数_乗用_LPG),1,1,BE491):INDEX((係数_乗用_ガソリン,係数_乗用_CNG,係数_乗用_軽油,係数_乗用_メタノール,係数_乗用_LPG),125,5,BE491),3,FALSE))))))</f>
        <v/>
      </c>
      <c r="BC491" s="467" t="str">
        <f t="shared" si="268"/>
        <v/>
      </c>
      <c r="BD491" s="567" t="str">
        <f t="shared" si="269"/>
        <v/>
      </c>
      <c r="BE491" s="467" t="str">
        <f t="shared" si="270"/>
        <v/>
      </c>
      <c r="BF491" s="469" t="str">
        <f t="shared" ca="1" si="271"/>
        <v/>
      </c>
      <c r="BG491" s="469" t="str">
        <f t="shared" ca="1" si="272"/>
        <v/>
      </c>
      <c r="BH491" s="467" t="str">
        <f t="shared" si="273"/>
        <v/>
      </c>
      <c r="BI491" s="467" t="str">
        <f t="shared" ca="1" si="274"/>
        <v/>
      </c>
      <c r="BJ491" s="469" t="str">
        <f t="shared" si="275"/>
        <v/>
      </c>
      <c r="BK491" s="470" t="str">
        <f t="shared" si="255"/>
        <v/>
      </c>
      <c r="BL491" s="775" t="str">
        <f t="shared" si="276"/>
        <v/>
      </c>
      <c r="BM491" s="775" t="str">
        <f t="shared" si="277"/>
        <v/>
      </c>
    </row>
    <row r="492" spans="1:65">
      <c r="A492" s="473">
        <v>436</v>
      </c>
      <c r="B492" s="132"/>
      <c r="C492" s="332"/>
      <c r="D492" s="333"/>
      <c r="E492" s="333"/>
      <c r="F492" s="334"/>
      <c r="G492" s="337"/>
      <c r="H492" s="131"/>
      <c r="I492" s="337"/>
      <c r="J492" s="131"/>
      <c r="K492" s="458" t="str">
        <f t="shared" si="244"/>
        <v/>
      </c>
      <c r="L492" s="458">
        <f t="shared" si="256"/>
        <v>0</v>
      </c>
      <c r="M492" s="458">
        <f t="shared" si="257"/>
        <v>0</v>
      </c>
      <c r="N492" s="459" t="str">
        <f t="shared" si="245"/>
        <v/>
      </c>
      <c r="O492" s="459" t="str">
        <f t="shared" si="246"/>
        <v/>
      </c>
      <c r="P492" s="459" t="str">
        <f t="shared" si="247"/>
        <v/>
      </c>
      <c r="Q492" s="459" t="str">
        <f t="shared" si="248"/>
        <v/>
      </c>
      <c r="R492" s="459" t="str">
        <f t="shared" si="249"/>
        <v/>
      </c>
      <c r="S492" s="459" t="str">
        <f t="shared" si="250"/>
        <v/>
      </c>
      <c r="T492" s="566" t="str">
        <f t="shared" si="258"/>
        <v/>
      </c>
      <c r="U492" s="702"/>
      <c r="V492" s="132"/>
      <c r="W492" s="133"/>
      <c r="X492" s="134"/>
      <c r="Y492" s="135"/>
      <c r="Z492" s="137"/>
      <c r="AA492" s="136"/>
      <c r="AB492" s="566" t="str">
        <f t="shared" si="251"/>
        <v/>
      </c>
      <c r="AC492" s="568" t="str">
        <f t="shared" si="259"/>
        <v/>
      </c>
      <c r="AD492" s="137"/>
      <c r="AE492" s="137"/>
      <c r="AF492" s="138"/>
      <c r="AG492" s="138"/>
      <c r="AH492" s="592" t="str">
        <f t="shared" si="252"/>
        <v/>
      </c>
      <c r="AI492" s="592" t="str">
        <f t="shared" si="253"/>
        <v/>
      </c>
      <c r="AJ492" s="592" t="str">
        <f t="shared" si="254"/>
        <v/>
      </c>
      <c r="AK492" s="460" t="str">
        <f>IF(AU492="","",IF(OR(AZ492=8,AZ492=9),0,IF(OR(AW492=3,AW492=4,AW492=5,AW492=6),IF(LEFT(BF492,1)="1",INDEX(係数_NOX・PM低減,MATCH(AY492,【参考】排出係数!$AI$801:$AI$804,1),1),VLOOKUP(AU492,INDEX((係数_バス貨物_ガソリン,係数_バス貨物_CNG,係数_バス貨物_軽油,係数_バス貨物_メタノール,係数_バス貨物_LPG),MATCH(AY492,【参考】排出係数!$AI$4:$AI$671,1),1,BE492):INDEX((係数_バス貨物_ガソリン,係数_バス貨物_CNG,係数_バス貨物_軽油,係数_バス貨物_メタノール,係数_バス貨物_LPG),MATCH(AY492+1,【参考】排出係数!$AI$4:$AI$671,1)-1,5,BE492),4,FALSE)),IF(AND(BE492=3,LEFT(BF492,1)="1"),0.48,VLOOKUP(AU492,INDEX((係数_乗用_ガソリン,係数_乗用_CNG,係数_乗用_軽油,係数_乗用_メタノール,係数_乗用_LPG),1,1,BE492):INDEX((係数_乗用_ガソリン,係数_乗用_CNG,係数_乗用_軽油,係数_乗用_メタノール,係数_乗用_LPG),125,5,BE492),4,FALSE)))))</f>
        <v/>
      </c>
      <c r="AL492" s="461" t="str">
        <f t="shared" si="278"/>
        <v/>
      </c>
      <c r="AM492" s="460" t="str">
        <f>IF(AU492="","",IF(OR(AZ492=8,AZ492=9),0,IF(OR(AW492=3,AW492=4,AW492=5,AW492=6),IF(LEFT(BH492,1)="1",INDEX(係数_PM低減,MATCH(AY492,【参考】排出係数!$AI$801:$AI$804,1),MATCH(BI492,【参考】排出係数!$AL$798:$AO$798,1)),VLOOKUP(AU492,INDEX((係数_バス貨物_ガソリン,係数_バス貨物_CNG,係数_バス貨物_軽油,係数_バス貨物_メタノール,係数_バス貨物_LPG),MATCH(AY492,【参考】排出係数!$AI$4:$AI$671,1),1,BE492):INDEX((係数_バス貨物_ガソリン,係数_バス貨物_CNG,係数_バス貨物_軽油,係数_バス貨物_メタノール,係数_バス貨物_LPG),MATCH(AY492+1,【参考】排出係数!$AI$4:$AI$671,1)-1,5,BE492),5,FALSE)),IF(AND(BE492=3,LEFT(BF492,1)="1"),0.055,VLOOKUP(AU492,INDEX((係数_乗用_ガソリン,係数_乗用_CNG,係数_乗用_軽油,係数_乗用_メタノール,係数_乗用_LPG),1,1,BE492):INDEX((係数_乗用_ガソリン,係数_乗用_CNG,係数_乗用_軽油,係数_乗用_メタノール,係数_乗用_LPG),125,5,BE492),5,FALSE)))))</f>
        <v/>
      </c>
      <c r="AN492" s="461" t="str">
        <f t="shared" si="279"/>
        <v/>
      </c>
      <c r="AO492" s="462" t="str">
        <f t="shared" si="280"/>
        <v/>
      </c>
      <c r="AP492" s="463" t="str">
        <f t="shared" si="281"/>
        <v/>
      </c>
      <c r="AQ492" s="464"/>
      <c r="AR492" s="619"/>
      <c r="AS492" s="465" t="str">
        <f t="shared" si="260"/>
        <v/>
      </c>
      <c r="AT492" s="465" t="str">
        <f t="shared" si="261"/>
        <v/>
      </c>
      <c r="AU492" s="466" t="str">
        <f t="shared" si="262"/>
        <v/>
      </c>
      <c r="AV492" s="467" t="str">
        <f t="shared" si="263"/>
        <v/>
      </c>
      <c r="AW492" s="467" t="str">
        <f t="shared" si="264"/>
        <v/>
      </c>
      <c r="AX492" s="467" t="str">
        <f t="shared" si="265"/>
        <v/>
      </c>
      <c r="AY492" s="467" t="str">
        <f t="shared" si="266"/>
        <v/>
      </c>
      <c r="AZ492" s="467" t="str">
        <f t="shared" si="267"/>
        <v/>
      </c>
      <c r="BA492" s="468" t="str">
        <f>IF(AS492="","",IF(OR(AU492="",AU492="-"),"－",IF(OR(AZ492=8,AZ492=9),"",IF(OR(AW492=3,AW492=4,AW492=5,AW492=6),VLOOKUP(AU492,INDEX((係数_バス貨物_ガソリン,係数_バス貨物_CNG,係数_バス貨物_軽油,係数_バス貨物_メタノール,係数_バス貨物_LPG),MATCH(AY492,【参考】排出係数!$AI$4:$AI$671,1),1,BE492):INDEX((係数_バス貨物_ガソリン,係数_バス貨物_CNG,係数_バス貨物_軽油,係数_バス貨物_メタノール,係数_バス貨物_LPG),MATCH(AY492+1,【参考】排出係数!$AI$4:$AI$671,1)-1,5,BE492),2,FALSE),IF(OR(AW492=1,AW492=2),VLOOKUP(AU492,INDEX((係数_乗用_ガソリン,係数_乗用_CNG,係数_乗用_軽油,係数_乗用_メタノール,係数_乗用_LPG),1,1,BE492):INDEX((係数_乗用_ガソリン,係数_乗用_CNG,係数_乗用_軽油,係数_乗用_メタノール,係数_乗用_LPG),125,5,BE492),2,FALSE))))))</f>
        <v/>
      </c>
      <c r="BB492" s="468" t="str">
        <f>IF(T492="","",IF(OR(AU492="",AU492="-"),"－",IF(OR(AZ492=8,AZ492=9),"",IF(OR(AW492=3,AW492=4,AW492=5,AW492=6),VLOOKUP(AU492,INDEX((係数_バス貨物_ガソリン,係数_バス貨物_CNG,係数_バス貨物_軽油,係数_バス貨物_メタノール,係数_バス貨物_LPG),MATCH(AY492,【参考】排出係数!$AI$4:$AI$671,1),1,BE492):INDEX((係数_バス貨物_ガソリン,係数_バス貨物_CNG,係数_バス貨物_軽油,係数_バス貨物_メタノール,係数_バス貨物_LPG),MATCH(AY492+1,【参考】排出係数!$AI$4:$AI$671,1)-1,5,BE492),3,FALSE),IF(OR(AW492=1,AW492=2),VLOOKUP(AU492,INDEX((係数_乗用_ガソリン,係数_乗用_CNG,係数_乗用_軽油,係数_乗用_メタノール,係数_乗用_LPG),1,1,BE492):INDEX((係数_乗用_ガソリン,係数_乗用_CNG,係数_乗用_軽油,係数_乗用_メタノール,係数_乗用_LPG),125,5,BE492),3,FALSE))))))</f>
        <v/>
      </c>
      <c r="BC492" s="467" t="str">
        <f t="shared" si="268"/>
        <v/>
      </c>
      <c r="BD492" s="567" t="str">
        <f t="shared" si="269"/>
        <v/>
      </c>
      <c r="BE492" s="467" t="str">
        <f t="shared" si="270"/>
        <v/>
      </c>
      <c r="BF492" s="469" t="str">
        <f t="shared" ca="1" si="271"/>
        <v/>
      </c>
      <c r="BG492" s="469" t="str">
        <f t="shared" ca="1" si="272"/>
        <v/>
      </c>
      <c r="BH492" s="467" t="str">
        <f t="shared" si="273"/>
        <v/>
      </c>
      <c r="BI492" s="467" t="str">
        <f t="shared" ca="1" si="274"/>
        <v/>
      </c>
      <c r="BJ492" s="469" t="str">
        <f t="shared" si="275"/>
        <v/>
      </c>
      <c r="BK492" s="470" t="str">
        <f t="shared" si="255"/>
        <v/>
      </c>
      <c r="BL492" s="775" t="str">
        <f t="shared" si="276"/>
        <v/>
      </c>
      <c r="BM492" s="775" t="str">
        <f t="shared" si="277"/>
        <v/>
      </c>
    </row>
    <row r="493" spans="1:65">
      <c r="A493" s="473">
        <v>437</v>
      </c>
      <c r="B493" s="132"/>
      <c r="C493" s="332"/>
      <c r="D493" s="333"/>
      <c r="E493" s="333"/>
      <c r="F493" s="334"/>
      <c r="G493" s="337"/>
      <c r="H493" s="131"/>
      <c r="I493" s="337"/>
      <c r="J493" s="131"/>
      <c r="K493" s="458" t="str">
        <f t="shared" si="244"/>
        <v/>
      </c>
      <c r="L493" s="458">
        <f t="shared" si="256"/>
        <v>0</v>
      </c>
      <c r="M493" s="458">
        <f t="shared" si="257"/>
        <v>0</v>
      </c>
      <c r="N493" s="459" t="str">
        <f t="shared" si="245"/>
        <v/>
      </c>
      <c r="O493" s="459" t="str">
        <f t="shared" si="246"/>
        <v/>
      </c>
      <c r="P493" s="459" t="str">
        <f t="shared" si="247"/>
        <v/>
      </c>
      <c r="Q493" s="459" t="str">
        <f t="shared" si="248"/>
        <v/>
      </c>
      <c r="R493" s="459" t="str">
        <f t="shared" si="249"/>
        <v/>
      </c>
      <c r="S493" s="459" t="str">
        <f t="shared" si="250"/>
        <v/>
      </c>
      <c r="T493" s="566" t="str">
        <f t="shared" si="258"/>
        <v/>
      </c>
      <c r="U493" s="702"/>
      <c r="V493" s="132"/>
      <c r="W493" s="133"/>
      <c r="X493" s="134"/>
      <c r="Y493" s="135"/>
      <c r="Z493" s="137"/>
      <c r="AA493" s="136"/>
      <c r="AB493" s="566" t="str">
        <f t="shared" si="251"/>
        <v/>
      </c>
      <c r="AC493" s="568" t="str">
        <f t="shared" si="259"/>
        <v/>
      </c>
      <c r="AD493" s="137"/>
      <c r="AE493" s="137"/>
      <c r="AF493" s="138"/>
      <c r="AG493" s="138"/>
      <c r="AH493" s="592" t="str">
        <f t="shared" si="252"/>
        <v/>
      </c>
      <c r="AI493" s="592" t="str">
        <f t="shared" si="253"/>
        <v/>
      </c>
      <c r="AJ493" s="592" t="str">
        <f t="shared" si="254"/>
        <v/>
      </c>
      <c r="AK493" s="460" t="str">
        <f>IF(AU493="","",IF(OR(AZ493=8,AZ493=9),0,IF(OR(AW493=3,AW493=4,AW493=5,AW493=6),IF(LEFT(BF493,1)="1",INDEX(係数_NOX・PM低減,MATCH(AY493,【参考】排出係数!$AI$801:$AI$804,1),1),VLOOKUP(AU493,INDEX((係数_バス貨物_ガソリン,係数_バス貨物_CNG,係数_バス貨物_軽油,係数_バス貨物_メタノール,係数_バス貨物_LPG),MATCH(AY493,【参考】排出係数!$AI$4:$AI$671,1),1,BE493):INDEX((係数_バス貨物_ガソリン,係数_バス貨物_CNG,係数_バス貨物_軽油,係数_バス貨物_メタノール,係数_バス貨物_LPG),MATCH(AY493+1,【参考】排出係数!$AI$4:$AI$671,1)-1,5,BE493),4,FALSE)),IF(AND(BE493=3,LEFT(BF493,1)="1"),0.48,VLOOKUP(AU493,INDEX((係数_乗用_ガソリン,係数_乗用_CNG,係数_乗用_軽油,係数_乗用_メタノール,係数_乗用_LPG),1,1,BE493):INDEX((係数_乗用_ガソリン,係数_乗用_CNG,係数_乗用_軽油,係数_乗用_メタノール,係数_乗用_LPG),125,5,BE493),4,FALSE)))))</f>
        <v/>
      </c>
      <c r="AL493" s="461" t="str">
        <f t="shared" si="278"/>
        <v/>
      </c>
      <c r="AM493" s="460" t="str">
        <f>IF(AU493="","",IF(OR(AZ493=8,AZ493=9),0,IF(OR(AW493=3,AW493=4,AW493=5,AW493=6),IF(LEFT(BH493,1)="1",INDEX(係数_PM低減,MATCH(AY493,【参考】排出係数!$AI$801:$AI$804,1),MATCH(BI493,【参考】排出係数!$AL$798:$AO$798,1)),VLOOKUP(AU493,INDEX((係数_バス貨物_ガソリン,係数_バス貨物_CNG,係数_バス貨物_軽油,係数_バス貨物_メタノール,係数_バス貨物_LPG),MATCH(AY493,【参考】排出係数!$AI$4:$AI$671,1),1,BE493):INDEX((係数_バス貨物_ガソリン,係数_バス貨物_CNG,係数_バス貨物_軽油,係数_バス貨物_メタノール,係数_バス貨物_LPG),MATCH(AY493+1,【参考】排出係数!$AI$4:$AI$671,1)-1,5,BE493),5,FALSE)),IF(AND(BE493=3,LEFT(BF493,1)="1"),0.055,VLOOKUP(AU493,INDEX((係数_乗用_ガソリン,係数_乗用_CNG,係数_乗用_軽油,係数_乗用_メタノール,係数_乗用_LPG),1,1,BE493):INDEX((係数_乗用_ガソリン,係数_乗用_CNG,係数_乗用_軽油,係数_乗用_メタノール,係数_乗用_LPG),125,5,BE493),5,FALSE)))))</f>
        <v/>
      </c>
      <c r="AN493" s="461" t="str">
        <f t="shared" si="279"/>
        <v/>
      </c>
      <c r="AO493" s="462" t="str">
        <f t="shared" si="280"/>
        <v/>
      </c>
      <c r="AP493" s="463" t="str">
        <f t="shared" si="281"/>
        <v/>
      </c>
      <c r="AQ493" s="464"/>
      <c r="AR493" s="619"/>
      <c r="AS493" s="465" t="str">
        <f t="shared" si="260"/>
        <v/>
      </c>
      <c r="AT493" s="465" t="str">
        <f t="shared" si="261"/>
        <v/>
      </c>
      <c r="AU493" s="466" t="str">
        <f t="shared" si="262"/>
        <v/>
      </c>
      <c r="AV493" s="467" t="str">
        <f t="shared" si="263"/>
        <v/>
      </c>
      <c r="AW493" s="467" t="str">
        <f t="shared" si="264"/>
        <v/>
      </c>
      <c r="AX493" s="467" t="str">
        <f t="shared" si="265"/>
        <v/>
      </c>
      <c r="AY493" s="467" t="str">
        <f t="shared" si="266"/>
        <v/>
      </c>
      <c r="AZ493" s="467" t="str">
        <f t="shared" si="267"/>
        <v/>
      </c>
      <c r="BA493" s="468" t="str">
        <f>IF(AS493="","",IF(OR(AU493="",AU493="-"),"－",IF(OR(AZ493=8,AZ493=9),"",IF(OR(AW493=3,AW493=4,AW493=5,AW493=6),VLOOKUP(AU493,INDEX((係数_バス貨物_ガソリン,係数_バス貨物_CNG,係数_バス貨物_軽油,係数_バス貨物_メタノール,係数_バス貨物_LPG),MATCH(AY493,【参考】排出係数!$AI$4:$AI$671,1),1,BE493):INDEX((係数_バス貨物_ガソリン,係数_バス貨物_CNG,係数_バス貨物_軽油,係数_バス貨物_メタノール,係数_バス貨物_LPG),MATCH(AY493+1,【参考】排出係数!$AI$4:$AI$671,1)-1,5,BE493),2,FALSE),IF(OR(AW493=1,AW493=2),VLOOKUP(AU493,INDEX((係数_乗用_ガソリン,係数_乗用_CNG,係数_乗用_軽油,係数_乗用_メタノール,係数_乗用_LPG),1,1,BE493):INDEX((係数_乗用_ガソリン,係数_乗用_CNG,係数_乗用_軽油,係数_乗用_メタノール,係数_乗用_LPG),125,5,BE493),2,FALSE))))))</f>
        <v/>
      </c>
      <c r="BB493" s="468" t="str">
        <f>IF(T493="","",IF(OR(AU493="",AU493="-"),"－",IF(OR(AZ493=8,AZ493=9),"",IF(OR(AW493=3,AW493=4,AW493=5,AW493=6),VLOOKUP(AU493,INDEX((係数_バス貨物_ガソリン,係数_バス貨物_CNG,係数_バス貨物_軽油,係数_バス貨物_メタノール,係数_バス貨物_LPG),MATCH(AY493,【参考】排出係数!$AI$4:$AI$671,1),1,BE493):INDEX((係数_バス貨物_ガソリン,係数_バス貨物_CNG,係数_バス貨物_軽油,係数_バス貨物_メタノール,係数_バス貨物_LPG),MATCH(AY493+1,【参考】排出係数!$AI$4:$AI$671,1)-1,5,BE493),3,FALSE),IF(OR(AW493=1,AW493=2),VLOOKUP(AU493,INDEX((係数_乗用_ガソリン,係数_乗用_CNG,係数_乗用_軽油,係数_乗用_メタノール,係数_乗用_LPG),1,1,BE493):INDEX((係数_乗用_ガソリン,係数_乗用_CNG,係数_乗用_軽油,係数_乗用_メタノール,係数_乗用_LPG),125,5,BE493),3,FALSE))))))</f>
        <v/>
      </c>
      <c r="BC493" s="467" t="str">
        <f t="shared" si="268"/>
        <v/>
      </c>
      <c r="BD493" s="567" t="str">
        <f t="shared" si="269"/>
        <v/>
      </c>
      <c r="BE493" s="467" t="str">
        <f t="shared" si="270"/>
        <v/>
      </c>
      <c r="BF493" s="469" t="str">
        <f t="shared" ca="1" si="271"/>
        <v/>
      </c>
      <c r="BG493" s="469" t="str">
        <f t="shared" ca="1" si="272"/>
        <v/>
      </c>
      <c r="BH493" s="467" t="str">
        <f t="shared" si="273"/>
        <v/>
      </c>
      <c r="BI493" s="467" t="str">
        <f t="shared" ca="1" si="274"/>
        <v/>
      </c>
      <c r="BJ493" s="469" t="str">
        <f t="shared" si="275"/>
        <v/>
      </c>
      <c r="BK493" s="470" t="str">
        <f t="shared" si="255"/>
        <v/>
      </c>
      <c r="BL493" s="775" t="str">
        <f t="shared" si="276"/>
        <v/>
      </c>
      <c r="BM493" s="775" t="str">
        <f t="shared" si="277"/>
        <v/>
      </c>
    </row>
    <row r="494" spans="1:65">
      <c r="A494" s="473">
        <v>438</v>
      </c>
      <c r="B494" s="132"/>
      <c r="C494" s="332"/>
      <c r="D494" s="333"/>
      <c r="E494" s="333"/>
      <c r="F494" s="334"/>
      <c r="G494" s="337"/>
      <c r="H494" s="131"/>
      <c r="I494" s="337"/>
      <c r="J494" s="131"/>
      <c r="K494" s="458" t="str">
        <f t="shared" si="244"/>
        <v/>
      </c>
      <c r="L494" s="458">
        <f t="shared" si="256"/>
        <v>0</v>
      </c>
      <c r="M494" s="458">
        <f t="shared" si="257"/>
        <v>0</v>
      </c>
      <c r="N494" s="459" t="str">
        <f t="shared" si="245"/>
        <v/>
      </c>
      <c r="O494" s="459" t="str">
        <f t="shared" si="246"/>
        <v/>
      </c>
      <c r="P494" s="459" t="str">
        <f t="shared" si="247"/>
        <v/>
      </c>
      <c r="Q494" s="459" t="str">
        <f t="shared" si="248"/>
        <v/>
      </c>
      <c r="R494" s="459" t="str">
        <f t="shared" si="249"/>
        <v/>
      </c>
      <c r="S494" s="459" t="str">
        <f t="shared" si="250"/>
        <v/>
      </c>
      <c r="T494" s="566" t="str">
        <f t="shared" si="258"/>
        <v/>
      </c>
      <c r="U494" s="702"/>
      <c r="V494" s="132"/>
      <c r="W494" s="133"/>
      <c r="X494" s="134"/>
      <c r="Y494" s="135"/>
      <c r="Z494" s="137"/>
      <c r="AA494" s="136"/>
      <c r="AB494" s="566" t="str">
        <f t="shared" si="251"/>
        <v/>
      </c>
      <c r="AC494" s="568" t="str">
        <f t="shared" si="259"/>
        <v/>
      </c>
      <c r="AD494" s="137"/>
      <c r="AE494" s="137"/>
      <c r="AF494" s="138"/>
      <c r="AG494" s="138"/>
      <c r="AH494" s="592" t="str">
        <f t="shared" si="252"/>
        <v/>
      </c>
      <c r="AI494" s="592" t="str">
        <f t="shared" si="253"/>
        <v/>
      </c>
      <c r="AJ494" s="592" t="str">
        <f t="shared" si="254"/>
        <v/>
      </c>
      <c r="AK494" s="460" t="str">
        <f>IF(AU494="","",IF(OR(AZ494=8,AZ494=9),0,IF(OR(AW494=3,AW494=4,AW494=5,AW494=6),IF(LEFT(BF494,1)="1",INDEX(係数_NOX・PM低減,MATCH(AY494,【参考】排出係数!$AI$801:$AI$804,1),1),VLOOKUP(AU494,INDEX((係数_バス貨物_ガソリン,係数_バス貨物_CNG,係数_バス貨物_軽油,係数_バス貨物_メタノール,係数_バス貨物_LPG),MATCH(AY494,【参考】排出係数!$AI$4:$AI$671,1),1,BE494):INDEX((係数_バス貨物_ガソリン,係数_バス貨物_CNG,係数_バス貨物_軽油,係数_バス貨物_メタノール,係数_バス貨物_LPG),MATCH(AY494+1,【参考】排出係数!$AI$4:$AI$671,1)-1,5,BE494),4,FALSE)),IF(AND(BE494=3,LEFT(BF494,1)="1"),0.48,VLOOKUP(AU494,INDEX((係数_乗用_ガソリン,係数_乗用_CNG,係数_乗用_軽油,係数_乗用_メタノール,係数_乗用_LPG),1,1,BE494):INDEX((係数_乗用_ガソリン,係数_乗用_CNG,係数_乗用_軽油,係数_乗用_メタノール,係数_乗用_LPG),125,5,BE494),4,FALSE)))))</f>
        <v/>
      </c>
      <c r="AL494" s="461" t="str">
        <f t="shared" si="278"/>
        <v/>
      </c>
      <c r="AM494" s="460" t="str">
        <f>IF(AU494="","",IF(OR(AZ494=8,AZ494=9),0,IF(OR(AW494=3,AW494=4,AW494=5,AW494=6),IF(LEFT(BH494,1)="1",INDEX(係数_PM低減,MATCH(AY494,【参考】排出係数!$AI$801:$AI$804,1),MATCH(BI494,【参考】排出係数!$AL$798:$AO$798,1)),VLOOKUP(AU494,INDEX((係数_バス貨物_ガソリン,係数_バス貨物_CNG,係数_バス貨物_軽油,係数_バス貨物_メタノール,係数_バス貨物_LPG),MATCH(AY494,【参考】排出係数!$AI$4:$AI$671,1),1,BE494):INDEX((係数_バス貨物_ガソリン,係数_バス貨物_CNG,係数_バス貨物_軽油,係数_バス貨物_メタノール,係数_バス貨物_LPG),MATCH(AY494+1,【参考】排出係数!$AI$4:$AI$671,1)-1,5,BE494),5,FALSE)),IF(AND(BE494=3,LEFT(BF494,1)="1"),0.055,VLOOKUP(AU494,INDEX((係数_乗用_ガソリン,係数_乗用_CNG,係数_乗用_軽油,係数_乗用_メタノール,係数_乗用_LPG),1,1,BE494):INDEX((係数_乗用_ガソリン,係数_乗用_CNG,係数_乗用_軽油,係数_乗用_メタノール,係数_乗用_LPG),125,5,BE494),5,FALSE)))))</f>
        <v/>
      </c>
      <c r="AN494" s="461" t="str">
        <f t="shared" si="279"/>
        <v/>
      </c>
      <c r="AO494" s="462" t="str">
        <f t="shared" si="280"/>
        <v/>
      </c>
      <c r="AP494" s="463" t="str">
        <f t="shared" si="281"/>
        <v/>
      </c>
      <c r="AQ494" s="464"/>
      <c r="AR494" s="619"/>
      <c r="AS494" s="465" t="str">
        <f t="shared" si="260"/>
        <v/>
      </c>
      <c r="AT494" s="465" t="str">
        <f t="shared" si="261"/>
        <v/>
      </c>
      <c r="AU494" s="466" t="str">
        <f t="shared" si="262"/>
        <v/>
      </c>
      <c r="AV494" s="467" t="str">
        <f t="shared" si="263"/>
        <v/>
      </c>
      <c r="AW494" s="467" t="str">
        <f t="shared" si="264"/>
        <v/>
      </c>
      <c r="AX494" s="467" t="str">
        <f t="shared" si="265"/>
        <v/>
      </c>
      <c r="AY494" s="467" t="str">
        <f t="shared" si="266"/>
        <v/>
      </c>
      <c r="AZ494" s="467" t="str">
        <f t="shared" si="267"/>
        <v/>
      </c>
      <c r="BA494" s="468" t="str">
        <f>IF(AS494="","",IF(OR(AU494="",AU494="-"),"－",IF(OR(AZ494=8,AZ494=9),"",IF(OR(AW494=3,AW494=4,AW494=5,AW494=6),VLOOKUP(AU494,INDEX((係数_バス貨物_ガソリン,係数_バス貨物_CNG,係数_バス貨物_軽油,係数_バス貨物_メタノール,係数_バス貨物_LPG),MATCH(AY494,【参考】排出係数!$AI$4:$AI$671,1),1,BE494):INDEX((係数_バス貨物_ガソリン,係数_バス貨物_CNG,係数_バス貨物_軽油,係数_バス貨物_メタノール,係数_バス貨物_LPG),MATCH(AY494+1,【参考】排出係数!$AI$4:$AI$671,1)-1,5,BE494),2,FALSE),IF(OR(AW494=1,AW494=2),VLOOKUP(AU494,INDEX((係数_乗用_ガソリン,係数_乗用_CNG,係数_乗用_軽油,係数_乗用_メタノール,係数_乗用_LPG),1,1,BE494):INDEX((係数_乗用_ガソリン,係数_乗用_CNG,係数_乗用_軽油,係数_乗用_メタノール,係数_乗用_LPG),125,5,BE494),2,FALSE))))))</f>
        <v/>
      </c>
      <c r="BB494" s="468" t="str">
        <f>IF(T494="","",IF(OR(AU494="",AU494="-"),"－",IF(OR(AZ494=8,AZ494=9),"",IF(OR(AW494=3,AW494=4,AW494=5,AW494=6),VLOOKUP(AU494,INDEX((係数_バス貨物_ガソリン,係数_バス貨物_CNG,係数_バス貨物_軽油,係数_バス貨物_メタノール,係数_バス貨物_LPG),MATCH(AY494,【参考】排出係数!$AI$4:$AI$671,1),1,BE494):INDEX((係数_バス貨物_ガソリン,係数_バス貨物_CNG,係数_バス貨物_軽油,係数_バス貨物_メタノール,係数_バス貨物_LPG),MATCH(AY494+1,【参考】排出係数!$AI$4:$AI$671,1)-1,5,BE494),3,FALSE),IF(OR(AW494=1,AW494=2),VLOOKUP(AU494,INDEX((係数_乗用_ガソリン,係数_乗用_CNG,係数_乗用_軽油,係数_乗用_メタノール,係数_乗用_LPG),1,1,BE494):INDEX((係数_乗用_ガソリン,係数_乗用_CNG,係数_乗用_軽油,係数_乗用_メタノール,係数_乗用_LPG),125,5,BE494),3,FALSE))))))</f>
        <v/>
      </c>
      <c r="BC494" s="467" t="str">
        <f t="shared" si="268"/>
        <v/>
      </c>
      <c r="BD494" s="567" t="str">
        <f t="shared" si="269"/>
        <v/>
      </c>
      <c r="BE494" s="467" t="str">
        <f t="shared" si="270"/>
        <v/>
      </c>
      <c r="BF494" s="469" t="str">
        <f t="shared" ca="1" si="271"/>
        <v/>
      </c>
      <c r="BG494" s="469" t="str">
        <f t="shared" ca="1" si="272"/>
        <v/>
      </c>
      <c r="BH494" s="467" t="str">
        <f t="shared" si="273"/>
        <v/>
      </c>
      <c r="BI494" s="467" t="str">
        <f t="shared" ca="1" si="274"/>
        <v/>
      </c>
      <c r="BJ494" s="469" t="str">
        <f t="shared" si="275"/>
        <v/>
      </c>
      <c r="BK494" s="470" t="str">
        <f t="shared" si="255"/>
        <v/>
      </c>
      <c r="BL494" s="775" t="str">
        <f t="shared" si="276"/>
        <v/>
      </c>
      <c r="BM494" s="775" t="str">
        <f t="shared" si="277"/>
        <v/>
      </c>
    </row>
    <row r="495" spans="1:65">
      <c r="A495" s="473">
        <v>439</v>
      </c>
      <c r="B495" s="132"/>
      <c r="C495" s="332"/>
      <c r="D495" s="333"/>
      <c r="E495" s="333"/>
      <c r="F495" s="334"/>
      <c r="G495" s="337"/>
      <c r="H495" s="131"/>
      <c r="I495" s="337"/>
      <c r="J495" s="131"/>
      <c r="K495" s="458" t="str">
        <f t="shared" si="244"/>
        <v/>
      </c>
      <c r="L495" s="458">
        <f t="shared" si="256"/>
        <v>0</v>
      </c>
      <c r="M495" s="458">
        <f t="shared" si="257"/>
        <v>0</v>
      </c>
      <c r="N495" s="459" t="str">
        <f t="shared" si="245"/>
        <v/>
      </c>
      <c r="O495" s="459" t="str">
        <f t="shared" si="246"/>
        <v/>
      </c>
      <c r="P495" s="459" t="str">
        <f t="shared" si="247"/>
        <v/>
      </c>
      <c r="Q495" s="459" t="str">
        <f t="shared" si="248"/>
        <v/>
      </c>
      <c r="R495" s="459" t="str">
        <f t="shared" si="249"/>
        <v/>
      </c>
      <c r="S495" s="459" t="str">
        <f t="shared" si="250"/>
        <v/>
      </c>
      <c r="T495" s="566" t="str">
        <f t="shared" si="258"/>
        <v/>
      </c>
      <c r="U495" s="702"/>
      <c r="V495" s="132"/>
      <c r="W495" s="133"/>
      <c r="X495" s="134"/>
      <c r="Y495" s="135"/>
      <c r="Z495" s="137"/>
      <c r="AA495" s="136"/>
      <c r="AB495" s="566" t="str">
        <f t="shared" si="251"/>
        <v/>
      </c>
      <c r="AC495" s="568" t="str">
        <f t="shared" si="259"/>
        <v/>
      </c>
      <c r="AD495" s="137"/>
      <c r="AE495" s="137"/>
      <c r="AF495" s="138"/>
      <c r="AG495" s="138"/>
      <c r="AH495" s="592" t="str">
        <f t="shared" si="252"/>
        <v/>
      </c>
      <c r="AI495" s="592" t="str">
        <f t="shared" si="253"/>
        <v/>
      </c>
      <c r="AJ495" s="592" t="str">
        <f t="shared" si="254"/>
        <v/>
      </c>
      <c r="AK495" s="460" t="str">
        <f>IF(AU495="","",IF(OR(AZ495=8,AZ495=9),0,IF(OR(AW495=3,AW495=4,AW495=5,AW495=6),IF(LEFT(BF495,1)="1",INDEX(係数_NOX・PM低減,MATCH(AY495,【参考】排出係数!$AI$801:$AI$804,1),1),VLOOKUP(AU495,INDEX((係数_バス貨物_ガソリン,係数_バス貨物_CNG,係数_バス貨物_軽油,係数_バス貨物_メタノール,係数_バス貨物_LPG),MATCH(AY495,【参考】排出係数!$AI$4:$AI$671,1),1,BE495):INDEX((係数_バス貨物_ガソリン,係数_バス貨物_CNG,係数_バス貨物_軽油,係数_バス貨物_メタノール,係数_バス貨物_LPG),MATCH(AY495+1,【参考】排出係数!$AI$4:$AI$671,1)-1,5,BE495),4,FALSE)),IF(AND(BE495=3,LEFT(BF495,1)="1"),0.48,VLOOKUP(AU495,INDEX((係数_乗用_ガソリン,係数_乗用_CNG,係数_乗用_軽油,係数_乗用_メタノール,係数_乗用_LPG),1,1,BE495):INDEX((係数_乗用_ガソリン,係数_乗用_CNG,係数_乗用_軽油,係数_乗用_メタノール,係数_乗用_LPG),125,5,BE495),4,FALSE)))))</f>
        <v/>
      </c>
      <c r="AL495" s="461" t="str">
        <f t="shared" si="278"/>
        <v/>
      </c>
      <c r="AM495" s="460" t="str">
        <f>IF(AU495="","",IF(OR(AZ495=8,AZ495=9),0,IF(OR(AW495=3,AW495=4,AW495=5,AW495=6),IF(LEFT(BH495,1)="1",INDEX(係数_PM低減,MATCH(AY495,【参考】排出係数!$AI$801:$AI$804,1),MATCH(BI495,【参考】排出係数!$AL$798:$AO$798,1)),VLOOKUP(AU495,INDEX((係数_バス貨物_ガソリン,係数_バス貨物_CNG,係数_バス貨物_軽油,係数_バス貨物_メタノール,係数_バス貨物_LPG),MATCH(AY495,【参考】排出係数!$AI$4:$AI$671,1),1,BE495):INDEX((係数_バス貨物_ガソリン,係数_バス貨物_CNG,係数_バス貨物_軽油,係数_バス貨物_メタノール,係数_バス貨物_LPG),MATCH(AY495+1,【参考】排出係数!$AI$4:$AI$671,1)-1,5,BE495),5,FALSE)),IF(AND(BE495=3,LEFT(BF495,1)="1"),0.055,VLOOKUP(AU495,INDEX((係数_乗用_ガソリン,係数_乗用_CNG,係数_乗用_軽油,係数_乗用_メタノール,係数_乗用_LPG),1,1,BE495):INDEX((係数_乗用_ガソリン,係数_乗用_CNG,係数_乗用_軽油,係数_乗用_メタノール,係数_乗用_LPG),125,5,BE495),5,FALSE)))))</f>
        <v/>
      </c>
      <c r="AN495" s="461" t="str">
        <f t="shared" si="279"/>
        <v/>
      </c>
      <c r="AO495" s="462" t="str">
        <f t="shared" si="280"/>
        <v/>
      </c>
      <c r="AP495" s="463" t="str">
        <f t="shared" si="281"/>
        <v/>
      </c>
      <c r="AQ495" s="464"/>
      <c r="AR495" s="619"/>
      <c r="AS495" s="465" t="str">
        <f t="shared" si="260"/>
        <v/>
      </c>
      <c r="AT495" s="465" t="str">
        <f t="shared" si="261"/>
        <v/>
      </c>
      <c r="AU495" s="466" t="str">
        <f t="shared" si="262"/>
        <v/>
      </c>
      <c r="AV495" s="467" t="str">
        <f t="shared" si="263"/>
        <v/>
      </c>
      <c r="AW495" s="467" t="str">
        <f t="shared" si="264"/>
        <v/>
      </c>
      <c r="AX495" s="467" t="str">
        <f t="shared" si="265"/>
        <v/>
      </c>
      <c r="AY495" s="467" t="str">
        <f t="shared" si="266"/>
        <v/>
      </c>
      <c r="AZ495" s="467" t="str">
        <f t="shared" si="267"/>
        <v/>
      </c>
      <c r="BA495" s="468" t="str">
        <f>IF(AS495="","",IF(OR(AU495="",AU495="-"),"－",IF(OR(AZ495=8,AZ495=9),"",IF(OR(AW495=3,AW495=4,AW495=5,AW495=6),VLOOKUP(AU495,INDEX((係数_バス貨物_ガソリン,係数_バス貨物_CNG,係数_バス貨物_軽油,係数_バス貨物_メタノール,係数_バス貨物_LPG),MATCH(AY495,【参考】排出係数!$AI$4:$AI$671,1),1,BE495):INDEX((係数_バス貨物_ガソリン,係数_バス貨物_CNG,係数_バス貨物_軽油,係数_バス貨物_メタノール,係数_バス貨物_LPG),MATCH(AY495+1,【参考】排出係数!$AI$4:$AI$671,1)-1,5,BE495),2,FALSE),IF(OR(AW495=1,AW495=2),VLOOKUP(AU495,INDEX((係数_乗用_ガソリン,係数_乗用_CNG,係数_乗用_軽油,係数_乗用_メタノール,係数_乗用_LPG),1,1,BE495):INDEX((係数_乗用_ガソリン,係数_乗用_CNG,係数_乗用_軽油,係数_乗用_メタノール,係数_乗用_LPG),125,5,BE495),2,FALSE))))))</f>
        <v/>
      </c>
      <c r="BB495" s="468" t="str">
        <f>IF(T495="","",IF(OR(AU495="",AU495="-"),"－",IF(OR(AZ495=8,AZ495=9),"",IF(OR(AW495=3,AW495=4,AW495=5,AW495=6),VLOOKUP(AU495,INDEX((係数_バス貨物_ガソリン,係数_バス貨物_CNG,係数_バス貨物_軽油,係数_バス貨物_メタノール,係数_バス貨物_LPG),MATCH(AY495,【参考】排出係数!$AI$4:$AI$671,1),1,BE495):INDEX((係数_バス貨物_ガソリン,係数_バス貨物_CNG,係数_バス貨物_軽油,係数_バス貨物_メタノール,係数_バス貨物_LPG),MATCH(AY495+1,【参考】排出係数!$AI$4:$AI$671,1)-1,5,BE495),3,FALSE),IF(OR(AW495=1,AW495=2),VLOOKUP(AU495,INDEX((係数_乗用_ガソリン,係数_乗用_CNG,係数_乗用_軽油,係数_乗用_メタノール,係数_乗用_LPG),1,1,BE495):INDEX((係数_乗用_ガソリン,係数_乗用_CNG,係数_乗用_軽油,係数_乗用_メタノール,係数_乗用_LPG),125,5,BE495),3,FALSE))))))</f>
        <v/>
      </c>
      <c r="BC495" s="467" t="str">
        <f t="shared" si="268"/>
        <v/>
      </c>
      <c r="BD495" s="567" t="str">
        <f t="shared" si="269"/>
        <v/>
      </c>
      <c r="BE495" s="467" t="str">
        <f t="shared" si="270"/>
        <v/>
      </c>
      <c r="BF495" s="469" t="str">
        <f t="shared" ca="1" si="271"/>
        <v/>
      </c>
      <c r="BG495" s="469" t="str">
        <f t="shared" ca="1" si="272"/>
        <v/>
      </c>
      <c r="BH495" s="467" t="str">
        <f t="shared" si="273"/>
        <v/>
      </c>
      <c r="BI495" s="467" t="str">
        <f t="shared" ca="1" si="274"/>
        <v/>
      </c>
      <c r="BJ495" s="469" t="str">
        <f t="shared" si="275"/>
        <v/>
      </c>
      <c r="BK495" s="470" t="str">
        <f t="shared" si="255"/>
        <v/>
      </c>
      <c r="BL495" s="775" t="str">
        <f t="shared" si="276"/>
        <v/>
      </c>
      <c r="BM495" s="775" t="str">
        <f t="shared" si="277"/>
        <v/>
      </c>
    </row>
    <row r="496" spans="1:65">
      <c r="A496" s="473">
        <v>440</v>
      </c>
      <c r="B496" s="132"/>
      <c r="C496" s="332"/>
      <c r="D496" s="333"/>
      <c r="E496" s="333"/>
      <c r="F496" s="334"/>
      <c r="G496" s="337"/>
      <c r="H496" s="131"/>
      <c r="I496" s="337"/>
      <c r="J496" s="131"/>
      <c r="K496" s="458" t="str">
        <f t="shared" si="244"/>
        <v/>
      </c>
      <c r="L496" s="458">
        <f t="shared" si="256"/>
        <v>0</v>
      </c>
      <c r="M496" s="458">
        <f t="shared" si="257"/>
        <v>0</v>
      </c>
      <c r="N496" s="459" t="str">
        <f t="shared" si="245"/>
        <v/>
      </c>
      <c r="O496" s="459" t="str">
        <f t="shared" si="246"/>
        <v/>
      </c>
      <c r="P496" s="459" t="str">
        <f t="shared" si="247"/>
        <v/>
      </c>
      <c r="Q496" s="459" t="str">
        <f t="shared" si="248"/>
        <v/>
      </c>
      <c r="R496" s="459" t="str">
        <f t="shared" si="249"/>
        <v/>
      </c>
      <c r="S496" s="459" t="str">
        <f t="shared" si="250"/>
        <v/>
      </c>
      <c r="T496" s="566" t="str">
        <f t="shared" si="258"/>
        <v/>
      </c>
      <c r="U496" s="702"/>
      <c r="V496" s="132"/>
      <c r="W496" s="133"/>
      <c r="X496" s="134"/>
      <c r="Y496" s="135"/>
      <c r="Z496" s="137"/>
      <c r="AA496" s="136"/>
      <c r="AB496" s="566" t="str">
        <f t="shared" si="251"/>
        <v/>
      </c>
      <c r="AC496" s="568" t="str">
        <f t="shared" si="259"/>
        <v/>
      </c>
      <c r="AD496" s="137"/>
      <c r="AE496" s="137"/>
      <c r="AF496" s="138"/>
      <c r="AG496" s="138"/>
      <c r="AH496" s="592" t="str">
        <f t="shared" si="252"/>
        <v/>
      </c>
      <c r="AI496" s="592" t="str">
        <f t="shared" si="253"/>
        <v/>
      </c>
      <c r="AJ496" s="592" t="str">
        <f t="shared" si="254"/>
        <v/>
      </c>
      <c r="AK496" s="460" t="str">
        <f>IF(AU496="","",IF(OR(AZ496=8,AZ496=9),0,IF(OR(AW496=3,AW496=4,AW496=5,AW496=6),IF(LEFT(BF496,1)="1",INDEX(係数_NOX・PM低減,MATCH(AY496,【参考】排出係数!$AI$801:$AI$804,1),1),VLOOKUP(AU496,INDEX((係数_バス貨物_ガソリン,係数_バス貨物_CNG,係数_バス貨物_軽油,係数_バス貨物_メタノール,係数_バス貨物_LPG),MATCH(AY496,【参考】排出係数!$AI$4:$AI$671,1),1,BE496):INDEX((係数_バス貨物_ガソリン,係数_バス貨物_CNG,係数_バス貨物_軽油,係数_バス貨物_メタノール,係数_バス貨物_LPG),MATCH(AY496+1,【参考】排出係数!$AI$4:$AI$671,1)-1,5,BE496),4,FALSE)),IF(AND(BE496=3,LEFT(BF496,1)="1"),0.48,VLOOKUP(AU496,INDEX((係数_乗用_ガソリン,係数_乗用_CNG,係数_乗用_軽油,係数_乗用_メタノール,係数_乗用_LPG),1,1,BE496):INDEX((係数_乗用_ガソリン,係数_乗用_CNG,係数_乗用_軽油,係数_乗用_メタノール,係数_乗用_LPG),125,5,BE496),4,FALSE)))))</f>
        <v/>
      </c>
      <c r="AL496" s="461" t="str">
        <f t="shared" si="278"/>
        <v/>
      </c>
      <c r="AM496" s="460" t="str">
        <f>IF(AU496="","",IF(OR(AZ496=8,AZ496=9),0,IF(OR(AW496=3,AW496=4,AW496=5,AW496=6),IF(LEFT(BH496,1)="1",INDEX(係数_PM低減,MATCH(AY496,【参考】排出係数!$AI$801:$AI$804,1),MATCH(BI496,【参考】排出係数!$AL$798:$AO$798,1)),VLOOKUP(AU496,INDEX((係数_バス貨物_ガソリン,係数_バス貨物_CNG,係数_バス貨物_軽油,係数_バス貨物_メタノール,係数_バス貨物_LPG),MATCH(AY496,【参考】排出係数!$AI$4:$AI$671,1),1,BE496):INDEX((係数_バス貨物_ガソリン,係数_バス貨物_CNG,係数_バス貨物_軽油,係数_バス貨物_メタノール,係数_バス貨物_LPG),MATCH(AY496+1,【参考】排出係数!$AI$4:$AI$671,1)-1,5,BE496),5,FALSE)),IF(AND(BE496=3,LEFT(BF496,1)="1"),0.055,VLOOKUP(AU496,INDEX((係数_乗用_ガソリン,係数_乗用_CNG,係数_乗用_軽油,係数_乗用_メタノール,係数_乗用_LPG),1,1,BE496):INDEX((係数_乗用_ガソリン,係数_乗用_CNG,係数_乗用_軽油,係数_乗用_メタノール,係数_乗用_LPG),125,5,BE496),5,FALSE)))))</f>
        <v/>
      </c>
      <c r="AN496" s="461" t="str">
        <f t="shared" si="279"/>
        <v/>
      </c>
      <c r="AO496" s="462" t="str">
        <f t="shared" si="280"/>
        <v/>
      </c>
      <c r="AP496" s="463" t="str">
        <f t="shared" si="281"/>
        <v/>
      </c>
      <c r="AQ496" s="464"/>
      <c r="AR496" s="619"/>
      <c r="AS496" s="465" t="str">
        <f t="shared" si="260"/>
        <v/>
      </c>
      <c r="AT496" s="465" t="str">
        <f t="shared" si="261"/>
        <v/>
      </c>
      <c r="AU496" s="466" t="str">
        <f t="shared" si="262"/>
        <v/>
      </c>
      <c r="AV496" s="467" t="str">
        <f t="shared" si="263"/>
        <v/>
      </c>
      <c r="AW496" s="467" t="str">
        <f t="shared" si="264"/>
        <v/>
      </c>
      <c r="AX496" s="467" t="str">
        <f t="shared" si="265"/>
        <v/>
      </c>
      <c r="AY496" s="467" t="str">
        <f t="shared" si="266"/>
        <v/>
      </c>
      <c r="AZ496" s="467" t="str">
        <f t="shared" si="267"/>
        <v/>
      </c>
      <c r="BA496" s="468" t="str">
        <f>IF(AS496="","",IF(OR(AU496="",AU496="-"),"－",IF(OR(AZ496=8,AZ496=9),"",IF(OR(AW496=3,AW496=4,AW496=5,AW496=6),VLOOKUP(AU496,INDEX((係数_バス貨物_ガソリン,係数_バス貨物_CNG,係数_バス貨物_軽油,係数_バス貨物_メタノール,係数_バス貨物_LPG),MATCH(AY496,【参考】排出係数!$AI$4:$AI$671,1),1,BE496):INDEX((係数_バス貨物_ガソリン,係数_バス貨物_CNG,係数_バス貨物_軽油,係数_バス貨物_メタノール,係数_バス貨物_LPG),MATCH(AY496+1,【参考】排出係数!$AI$4:$AI$671,1)-1,5,BE496),2,FALSE),IF(OR(AW496=1,AW496=2),VLOOKUP(AU496,INDEX((係数_乗用_ガソリン,係数_乗用_CNG,係数_乗用_軽油,係数_乗用_メタノール,係数_乗用_LPG),1,1,BE496):INDEX((係数_乗用_ガソリン,係数_乗用_CNG,係数_乗用_軽油,係数_乗用_メタノール,係数_乗用_LPG),125,5,BE496),2,FALSE))))))</f>
        <v/>
      </c>
      <c r="BB496" s="468" t="str">
        <f>IF(T496="","",IF(OR(AU496="",AU496="-"),"－",IF(OR(AZ496=8,AZ496=9),"",IF(OR(AW496=3,AW496=4,AW496=5,AW496=6),VLOOKUP(AU496,INDEX((係数_バス貨物_ガソリン,係数_バス貨物_CNG,係数_バス貨物_軽油,係数_バス貨物_メタノール,係数_バス貨物_LPG),MATCH(AY496,【参考】排出係数!$AI$4:$AI$671,1),1,BE496):INDEX((係数_バス貨物_ガソリン,係数_バス貨物_CNG,係数_バス貨物_軽油,係数_バス貨物_メタノール,係数_バス貨物_LPG),MATCH(AY496+1,【参考】排出係数!$AI$4:$AI$671,1)-1,5,BE496),3,FALSE),IF(OR(AW496=1,AW496=2),VLOOKUP(AU496,INDEX((係数_乗用_ガソリン,係数_乗用_CNG,係数_乗用_軽油,係数_乗用_メタノール,係数_乗用_LPG),1,1,BE496):INDEX((係数_乗用_ガソリン,係数_乗用_CNG,係数_乗用_軽油,係数_乗用_メタノール,係数_乗用_LPG),125,5,BE496),3,FALSE))))))</f>
        <v/>
      </c>
      <c r="BC496" s="467" t="str">
        <f t="shared" si="268"/>
        <v/>
      </c>
      <c r="BD496" s="567" t="str">
        <f t="shared" si="269"/>
        <v/>
      </c>
      <c r="BE496" s="467" t="str">
        <f t="shared" si="270"/>
        <v/>
      </c>
      <c r="BF496" s="469" t="str">
        <f t="shared" ca="1" si="271"/>
        <v/>
      </c>
      <c r="BG496" s="469" t="str">
        <f t="shared" ca="1" si="272"/>
        <v/>
      </c>
      <c r="BH496" s="467" t="str">
        <f t="shared" si="273"/>
        <v/>
      </c>
      <c r="BI496" s="467" t="str">
        <f t="shared" ca="1" si="274"/>
        <v/>
      </c>
      <c r="BJ496" s="469" t="str">
        <f t="shared" si="275"/>
        <v/>
      </c>
      <c r="BK496" s="470" t="str">
        <f t="shared" si="255"/>
        <v/>
      </c>
      <c r="BL496" s="775" t="str">
        <f t="shared" si="276"/>
        <v/>
      </c>
      <c r="BM496" s="775" t="str">
        <f t="shared" si="277"/>
        <v/>
      </c>
    </row>
    <row r="497" spans="1:65">
      <c r="A497" s="473">
        <v>441</v>
      </c>
      <c r="B497" s="132"/>
      <c r="C497" s="332"/>
      <c r="D497" s="333"/>
      <c r="E497" s="333"/>
      <c r="F497" s="334"/>
      <c r="G497" s="337"/>
      <c r="H497" s="131"/>
      <c r="I497" s="337"/>
      <c r="J497" s="131"/>
      <c r="K497" s="458" t="str">
        <f t="shared" si="244"/>
        <v/>
      </c>
      <c r="L497" s="458">
        <f t="shared" si="256"/>
        <v>0</v>
      </c>
      <c r="M497" s="458">
        <f t="shared" si="257"/>
        <v>0</v>
      </c>
      <c r="N497" s="459" t="str">
        <f t="shared" si="245"/>
        <v/>
      </c>
      <c r="O497" s="459" t="str">
        <f t="shared" si="246"/>
        <v/>
      </c>
      <c r="P497" s="459" t="str">
        <f t="shared" si="247"/>
        <v/>
      </c>
      <c r="Q497" s="459" t="str">
        <f t="shared" si="248"/>
        <v/>
      </c>
      <c r="R497" s="459" t="str">
        <f t="shared" si="249"/>
        <v/>
      </c>
      <c r="S497" s="459" t="str">
        <f t="shared" si="250"/>
        <v/>
      </c>
      <c r="T497" s="566" t="str">
        <f t="shared" si="258"/>
        <v/>
      </c>
      <c r="U497" s="702"/>
      <c r="V497" s="132"/>
      <c r="W497" s="133"/>
      <c r="X497" s="134"/>
      <c r="Y497" s="135"/>
      <c r="Z497" s="137"/>
      <c r="AA497" s="136"/>
      <c r="AB497" s="566" t="str">
        <f t="shared" si="251"/>
        <v/>
      </c>
      <c r="AC497" s="568" t="str">
        <f t="shared" si="259"/>
        <v/>
      </c>
      <c r="AD497" s="137"/>
      <c r="AE497" s="137"/>
      <c r="AF497" s="138"/>
      <c r="AG497" s="138"/>
      <c r="AH497" s="592" t="str">
        <f t="shared" si="252"/>
        <v/>
      </c>
      <c r="AI497" s="592" t="str">
        <f t="shared" si="253"/>
        <v/>
      </c>
      <c r="AJ497" s="592" t="str">
        <f t="shared" si="254"/>
        <v/>
      </c>
      <c r="AK497" s="460" t="str">
        <f>IF(AU497="","",IF(OR(AZ497=8,AZ497=9),0,IF(OR(AW497=3,AW497=4,AW497=5,AW497=6),IF(LEFT(BF497,1)="1",INDEX(係数_NOX・PM低減,MATCH(AY497,【参考】排出係数!$AI$801:$AI$804,1),1),VLOOKUP(AU497,INDEX((係数_バス貨物_ガソリン,係数_バス貨物_CNG,係数_バス貨物_軽油,係数_バス貨物_メタノール,係数_バス貨物_LPG),MATCH(AY497,【参考】排出係数!$AI$4:$AI$671,1),1,BE497):INDEX((係数_バス貨物_ガソリン,係数_バス貨物_CNG,係数_バス貨物_軽油,係数_バス貨物_メタノール,係数_バス貨物_LPG),MATCH(AY497+1,【参考】排出係数!$AI$4:$AI$671,1)-1,5,BE497),4,FALSE)),IF(AND(BE497=3,LEFT(BF497,1)="1"),0.48,VLOOKUP(AU497,INDEX((係数_乗用_ガソリン,係数_乗用_CNG,係数_乗用_軽油,係数_乗用_メタノール,係数_乗用_LPG),1,1,BE497):INDEX((係数_乗用_ガソリン,係数_乗用_CNG,係数_乗用_軽油,係数_乗用_メタノール,係数_乗用_LPG),125,5,BE497),4,FALSE)))))</f>
        <v/>
      </c>
      <c r="AL497" s="461" t="str">
        <f t="shared" si="278"/>
        <v/>
      </c>
      <c r="AM497" s="460" t="str">
        <f>IF(AU497="","",IF(OR(AZ497=8,AZ497=9),0,IF(OR(AW497=3,AW497=4,AW497=5,AW497=6),IF(LEFT(BH497,1)="1",INDEX(係数_PM低減,MATCH(AY497,【参考】排出係数!$AI$801:$AI$804,1),MATCH(BI497,【参考】排出係数!$AL$798:$AO$798,1)),VLOOKUP(AU497,INDEX((係数_バス貨物_ガソリン,係数_バス貨物_CNG,係数_バス貨物_軽油,係数_バス貨物_メタノール,係数_バス貨物_LPG),MATCH(AY497,【参考】排出係数!$AI$4:$AI$671,1),1,BE497):INDEX((係数_バス貨物_ガソリン,係数_バス貨物_CNG,係数_バス貨物_軽油,係数_バス貨物_メタノール,係数_バス貨物_LPG),MATCH(AY497+1,【参考】排出係数!$AI$4:$AI$671,1)-1,5,BE497),5,FALSE)),IF(AND(BE497=3,LEFT(BF497,1)="1"),0.055,VLOOKUP(AU497,INDEX((係数_乗用_ガソリン,係数_乗用_CNG,係数_乗用_軽油,係数_乗用_メタノール,係数_乗用_LPG),1,1,BE497):INDEX((係数_乗用_ガソリン,係数_乗用_CNG,係数_乗用_軽油,係数_乗用_メタノール,係数_乗用_LPG),125,5,BE497),5,FALSE)))))</f>
        <v/>
      </c>
      <c r="AN497" s="461" t="str">
        <f t="shared" si="279"/>
        <v/>
      </c>
      <c r="AO497" s="462" t="str">
        <f t="shared" si="280"/>
        <v/>
      </c>
      <c r="AP497" s="463" t="str">
        <f t="shared" si="281"/>
        <v/>
      </c>
      <c r="AQ497" s="464"/>
      <c r="AR497" s="619"/>
      <c r="AS497" s="465" t="str">
        <f t="shared" si="260"/>
        <v/>
      </c>
      <c r="AT497" s="465" t="str">
        <f t="shared" si="261"/>
        <v/>
      </c>
      <c r="AU497" s="466" t="str">
        <f t="shared" si="262"/>
        <v/>
      </c>
      <c r="AV497" s="467" t="str">
        <f t="shared" si="263"/>
        <v/>
      </c>
      <c r="AW497" s="467" t="str">
        <f t="shared" si="264"/>
        <v/>
      </c>
      <c r="AX497" s="467" t="str">
        <f t="shared" si="265"/>
        <v/>
      </c>
      <c r="AY497" s="467" t="str">
        <f t="shared" si="266"/>
        <v/>
      </c>
      <c r="AZ497" s="467" t="str">
        <f t="shared" si="267"/>
        <v/>
      </c>
      <c r="BA497" s="468" t="str">
        <f>IF(AS497="","",IF(OR(AU497="",AU497="-"),"－",IF(OR(AZ497=8,AZ497=9),"",IF(OR(AW497=3,AW497=4,AW497=5,AW497=6),VLOOKUP(AU497,INDEX((係数_バス貨物_ガソリン,係数_バス貨物_CNG,係数_バス貨物_軽油,係数_バス貨物_メタノール,係数_バス貨物_LPG),MATCH(AY497,【参考】排出係数!$AI$4:$AI$671,1),1,BE497):INDEX((係数_バス貨物_ガソリン,係数_バス貨物_CNG,係数_バス貨物_軽油,係数_バス貨物_メタノール,係数_バス貨物_LPG),MATCH(AY497+1,【参考】排出係数!$AI$4:$AI$671,1)-1,5,BE497),2,FALSE),IF(OR(AW497=1,AW497=2),VLOOKUP(AU497,INDEX((係数_乗用_ガソリン,係数_乗用_CNG,係数_乗用_軽油,係数_乗用_メタノール,係数_乗用_LPG),1,1,BE497):INDEX((係数_乗用_ガソリン,係数_乗用_CNG,係数_乗用_軽油,係数_乗用_メタノール,係数_乗用_LPG),125,5,BE497),2,FALSE))))))</f>
        <v/>
      </c>
      <c r="BB497" s="468" t="str">
        <f>IF(T497="","",IF(OR(AU497="",AU497="-"),"－",IF(OR(AZ497=8,AZ497=9),"",IF(OR(AW497=3,AW497=4,AW497=5,AW497=6),VLOOKUP(AU497,INDEX((係数_バス貨物_ガソリン,係数_バス貨物_CNG,係数_バス貨物_軽油,係数_バス貨物_メタノール,係数_バス貨物_LPG),MATCH(AY497,【参考】排出係数!$AI$4:$AI$671,1),1,BE497):INDEX((係数_バス貨物_ガソリン,係数_バス貨物_CNG,係数_バス貨物_軽油,係数_バス貨物_メタノール,係数_バス貨物_LPG),MATCH(AY497+1,【参考】排出係数!$AI$4:$AI$671,1)-1,5,BE497),3,FALSE),IF(OR(AW497=1,AW497=2),VLOOKUP(AU497,INDEX((係数_乗用_ガソリン,係数_乗用_CNG,係数_乗用_軽油,係数_乗用_メタノール,係数_乗用_LPG),1,1,BE497):INDEX((係数_乗用_ガソリン,係数_乗用_CNG,係数_乗用_軽油,係数_乗用_メタノール,係数_乗用_LPG),125,5,BE497),3,FALSE))))))</f>
        <v/>
      </c>
      <c r="BC497" s="467" t="str">
        <f t="shared" si="268"/>
        <v/>
      </c>
      <c r="BD497" s="567" t="str">
        <f t="shared" si="269"/>
        <v/>
      </c>
      <c r="BE497" s="467" t="str">
        <f t="shared" si="270"/>
        <v/>
      </c>
      <c r="BF497" s="469" t="str">
        <f t="shared" ca="1" si="271"/>
        <v/>
      </c>
      <c r="BG497" s="469" t="str">
        <f t="shared" ca="1" si="272"/>
        <v/>
      </c>
      <c r="BH497" s="467" t="str">
        <f t="shared" si="273"/>
        <v/>
      </c>
      <c r="BI497" s="467" t="str">
        <f t="shared" ca="1" si="274"/>
        <v/>
      </c>
      <c r="BJ497" s="469" t="str">
        <f t="shared" si="275"/>
        <v/>
      </c>
      <c r="BK497" s="470" t="str">
        <f t="shared" si="255"/>
        <v/>
      </c>
      <c r="BL497" s="775" t="str">
        <f t="shared" si="276"/>
        <v/>
      </c>
      <c r="BM497" s="775" t="str">
        <f t="shared" si="277"/>
        <v/>
      </c>
    </row>
    <row r="498" spans="1:65">
      <c r="A498" s="473">
        <v>442</v>
      </c>
      <c r="B498" s="132"/>
      <c r="C498" s="332"/>
      <c r="D498" s="333"/>
      <c r="E498" s="333"/>
      <c r="F498" s="334"/>
      <c r="G498" s="337"/>
      <c r="H498" s="131"/>
      <c r="I498" s="337"/>
      <c r="J498" s="131"/>
      <c r="K498" s="458" t="str">
        <f t="shared" si="244"/>
        <v/>
      </c>
      <c r="L498" s="458">
        <f t="shared" si="256"/>
        <v>0</v>
      </c>
      <c r="M498" s="458">
        <f t="shared" si="257"/>
        <v>0</v>
      </c>
      <c r="N498" s="459" t="str">
        <f t="shared" si="245"/>
        <v/>
      </c>
      <c r="O498" s="459" t="str">
        <f t="shared" si="246"/>
        <v/>
      </c>
      <c r="P498" s="459" t="str">
        <f t="shared" si="247"/>
        <v/>
      </c>
      <c r="Q498" s="459" t="str">
        <f t="shared" si="248"/>
        <v/>
      </c>
      <c r="R498" s="459" t="str">
        <f t="shared" si="249"/>
        <v/>
      </c>
      <c r="S498" s="459" t="str">
        <f t="shared" si="250"/>
        <v/>
      </c>
      <c r="T498" s="566" t="str">
        <f t="shared" si="258"/>
        <v/>
      </c>
      <c r="U498" s="702"/>
      <c r="V498" s="132"/>
      <c r="W498" s="133"/>
      <c r="X498" s="134"/>
      <c r="Y498" s="135"/>
      <c r="Z498" s="137"/>
      <c r="AA498" s="136"/>
      <c r="AB498" s="566" t="str">
        <f t="shared" si="251"/>
        <v/>
      </c>
      <c r="AC498" s="568" t="str">
        <f t="shared" si="259"/>
        <v/>
      </c>
      <c r="AD498" s="137"/>
      <c r="AE498" s="137"/>
      <c r="AF498" s="138"/>
      <c r="AG498" s="138"/>
      <c r="AH498" s="592" t="str">
        <f t="shared" si="252"/>
        <v/>
      </c>
      <c r="AI498" s="592" t="str">
        <f t="shared" si="253"/>
        <v/>
      </c>
      <c r="AJ498" s="592" t="str">
        <f t="shared" si="254"/>
        <v/>
      </c>
      <c r="AK498" s="460" t="str">
        <f>IF(AU498="","",IF(OR(AZ498=8,AZ498=9),0,IF(OR(AW498=3,AW498=4,AW498=5,AW498=6),IF(LEFT(BF498,1)="1",INDEX(係数_NOX・PM低減,MATCH(AY498,【参考】排出係数!$AI$801:$AI$804,1),1),VLOOKUP(AU498,INDEX((係数_バス貨物_ガソリン,係数_バス貨物_CNG,係数_バス貨物_軽油,係数_バス貨物_メタノール,係数_バス貨物_LPG),MATCH(AY498,【参考】排出係数!$AI$4:$AI$671,1),1,BE498):INDEX((係数_バス貨物_ガソリン,係数_バス貨物_CNG,係数_バス貨物_軽油,係数_バス貨物_メタノール,係数_バス貨物_LPG),MATCH(AY498+1,【参考】排出係数!$AI$4:$AI$671,1)-1,5,BE498),4,FALSE)),IF(AND(BE498=3,LEFT(BF498,1)="1"),0.48,VLOOKUP(AU498,INDEX((係数_乗用_ガソリン,係数_乗用_CNG,係数_乗用_軽油,係数_乗用_メタノール,係数_乗用_LPG),1,1,BE498):INDEX((係数_乗用_ガソリン,係数_乗用_CNG,係数_乗用_軽油,係数_乗用_メタノール,係数_乗用_LPG),125,5,BE498),4,FALSE)))))</f>
        <v/>
      </c>
      <c r="AL498" s="461" t="str">
        <f t="shared" si="278"/>
        <v/>
      </c>
      <c r="AM498" s="460" t="str">
        <f>IF(AU498="","",IF(OR(AZ498=8,AZ498=9),0,IF(OR(AW498=3,AW498=4,AW498=5,AW498=6),IF(LEFT(BH498,1)="1",INDEX(係数_PM低減,MATCH(AY498,【参考】排出係数!$AI$801:$AI$804,1),MATCH(BI498,【参考】排出係数!$AL$798:$AO$798,1)),VLOOKUP(AU498,INDEX((係数_バス貨物_ガソリン,係数_バス貨物_CNG,係数_バス貨物_軽油,係数_バス貨物_メタノール,係数_バス貨物_LPG),MATCH(AY498,【参考】排出係数!$AI$4:$AI$671,1),1,BE498):INDEX((係数_バス貨物_ガソリン,係数_バス貨物_CNG,係数_バス貨物_軽油,係数_バス貨物_メタノール,係数_バス貨物_LPG),MATCH(AY498+1,【参考】排出係数!$AI$4:$AI$671,1)-1,5,BE498),5,FALSE)),IF(AND(BE498=3,LEFT(BF498,1)="1"),0.055,VLOOKUP(AU498,INDEX((係数_乗用_ガソリン,係数_乗用_CNG,係数_乗用_軽油,係数_乗用_メタノール,係数_乗用_LPG),1,1,BE498):INDEX((係数_乗用_ガソリン,係数_乗用_CNG,係数_乗用_軽油,係数_乗用_メタノール,係数_乗用_LPG),125,5,BE498),5,FALSE)))))</f>
        <v/>
      </c>
      <c r="AN498" s="461" t="str">
        <f t="shared" si="279"/>
        <v/>
      </c>
      <c r="AO498" s="462" t="str">
        <f t="shared" si="280"/>
        <v/>
      </c>
      <c r="AP498" s="463" t="str">
        <f t="shared" si="281"/>
        <v/>
      </c>
      <c r="AQ498" s="464"/>
      <c r="AR498" s="619"/>
      <c r="AS498" s="465" t="str">
        <f t="shared" si="260"/>
        <v/>
      </c>
      <c r="AT498" s="465" t="str">
        <f t="shared" si="261"/>
        <v/>
      </c>
      <c r="AU498" s="466" t="str">
        <f t="shared" si="262"/>
        <v/>
      </c>
      <c r="AV498" s="467" t="str">
        <f t="shared" si="263"/>
        <v/>
      </c>
      <c r="AW498" s="467" t="str">
        <f t="shared" si="264"/>
        <v/>
      </c>
      <c r="AX498" s="467" t="str">
        <f t="shared" si="265"/>
        <v/>
      </c>
      <c r="AY498" s="467" t="str">
        <f t="shared" si="266"/>
        <v/>
      </c>
      <c r="AZ498" s="467" t="str">
        <f t="shared" si="267"/>
        <v/>
      </c>
      <c r="BA498" s="468" t="str">
        <f>IF(AS498="","",IF(OR(AU498="",AU498="-"),"－",IF(OR(AZ498=8,AZ498=9),"",IF(OR(AW498=3,AW498=4,AW498=5,AW498=6),VLOOKUP(AU498,INDEX((係数_バス貨物_ガソリン,係数_バス貨物_CNG,係数_バス貨物_軽油,係数_バス貨物_メタノール,係数_バス貨物_LPG),MATCH(AY498,【参考】排出係数!$AI$4:$AI$671,1),1,BE498):INDEX((係数_バス貨物_ガソリン,係数_バス貨物_CNG,係数_バス貨物_軽油,係数_バス貨物_メタノール,係数_バス貨物_LPG),MATCH(AY498+1,【参考】排出係数!$AI$4:$AI$671,1)-1,5,BE498),2,FALSE),IF(OR(AW498=1,AW498=2),VLOOKUP(AU498,INDEX((係数_乗用_ガソリン,係数_乗用_CNG,係数_乗用_軽油,係数_乗用_メタノール,係数_乗用_LPG),1,1,BE498):INDEX((係数_乗用_ガソリン,係数_乗用_CNG,係数_乗用_軽油,係数_乗用_メタノール,係数_乗用_LPG),125,5,BE498),2,FALSE))))))</f>
        <v/>
      </c>
      <c r="BB498" s="468" t="str">
        <f>IF(T498="","",IF(OR(AU498="",AU498="-"),"－",IF(OR(AZ498=8,AZ498=9),"",IF(OR(AW498=3,AW498=4,AW498=5,AW498=6),VLOOKUP(AU498,INDEX((係数_バス貨物_ガソリン,係数_バス貨物_CNG,係数_バス貨物_軽油,係数_バス貨物_メタノール,係数_バス貨物_LPG),MATCH(AY498,【参考】排出係数!$AI$4:$AI$671,1),1,BE498):INDEX((係数_バス貨物_ガソリン,係数_バス貨物_CNG,係数_バス貨物_軽油,係数_バス貨物_メタノール,係数_バス貨物_LPG),MATCH(AY498+1,【参考】排出係数!$AI$4:$AI$671,1)-1,5,BE498),3,FALSE),IF(OR(AW498=1,AW498=2),VLOOKUP(AU498,INDEX((係数_乗用_ガソリン,係数_乗用_CNG,係数_乗用_軽油,係数_乗用_メタノール,係数_乗用_LPG),1,1,BE498):INDEX((係数_乗用_ガソリン,係数_乗用_CNG,係数_乗用_軽油,係数_乗用_メタノール,係数_乗用_LPG),125,5,BE498),3,FALSE))))))</f>
        <v/>
      </c>
      <c r="BC498" s="467" t="str">
        <f t="shared" si="268"/>
        <v/>
      </c>
      <c r="BD498" s="567" t="str">
        <f t="shared" si="269"/>
        <v/>
      </c>
      <c r="BE498" s="467" t="str">
        <f t="shared" si="270"/>
        <v/>
      </c>
      <c r="BF498" s="469" t="str">
        <f t="shared" ca="1" si="271"/>
        <v/>
      </c>
      <c r="BG498" s="469" t="str">
        <f t="shared" ca="1" si="272"/>
        <v/>
      </c>
      <c r="BH498" s="467" t="str">
        <f t="shared" si="273"/>
        <v/>
      </c>
      <c r="BI498" s="467" t="str">
        <f t="shared" ca="1" si="274"/>
        <v/>
      </c>
      <c r="BJ498" s="469" t="str">
        <f t="shared" si="275"/>
        <v/>
      </c>
      <c r="BK498" s="470" t="str">
        <f t="shared" si="255"/>
        <v/>
      </c>
      <c r="BL498" s="775" t="str">
        <f t="shared" si="276"/>
        <v/>
      </c>
      <c r="BM498" s="775" t="str">
        <f t="shared" si="277"/>
        <v/>
      </c>
    </row>
    <row r="499" spans="1:65">
      <c r="A499" s="473">
        <v>443</v>
      </c>
      <c r="B499" s="132"/>
      <c r="C499" s="332"/>
      <c r="D499" s="333"/>
      <c r="E499" s="333"/>
      <c r="F499" s="334"/>
      <c r="G499" s="337"/>
      <c r="H499" s="131"/>
      <c r="I499" s="337"/>
      <c r="J499" s="131"/>
      <c r="K499" s="458" t="str">
        <f t="shared" si="244"/>
        <v/>
      </c>
      <c r="L499" s="458">
        <f t="shared" si="256"/>
        <v>0</v>
      </c>
      <c r="M499" s="458">
        <f t="shared" si="257"/>
        <v>0</v>
      </c>
      <c r="N499" s="459" t="str">
        <f t="shared" si="245"/>
        <v/>
      </c>
      <c r="O499" s="459" t="str">
        <f t="shared" si="246"/>
        <v/>
      </c>
      <c r="P499" s="459" t="str">
        <f t="shared" si="247"/>
        <v/>
      </c>
      <c r="Q499" s="459" t="str">
        <f t="shared" si="248"/>
        <v/>
      </c>
      <c r="R499" s="459" t="str">
        <f t="shared" si="249"/>
        <v/>
      </c>
      <c r="S499" s="459" t="str">
        <f t="shared" si="250"/>
        <v/>
      </c>
      <c r="T499" s="566" t="str">
        <f t="shared" si="258"/>
        <v/>
      </c>
      <c r="U499" s="702"/>
      <c r="V499" s="132"/>
      <c r="W499" s="133"/>
      <c r="X499" s="134"/>
      <c r="Y499" s="135"/>
      <c r="Z499" s="137"/>
      <c r="AA499" s="136"/>
      <c r="AB499" s="566" t="str">
        <f t="shared" si="251"/>
        <v/>
      </c>
      <c r="AC499" s="568" t="str">
        <f t="shared" si="259"/>
        <v/>
      </c>
      <c r="AD499" s="137"/>
      <c r="AE499" s="137"/>
      <c r="AF499" s="138"/>
      <c r="AG499" s="138"/>
      <c r="AH499" s="592" t="str">
        <f t="shared" si="252"/>
        <v/>
      </c>
      <c r="AI499" s="592" t="str">
        <f t="shared" si="253"/>
        <v/>
      </c>
      <c r="AJ499" s="592" t="str">
        <f t="shared" si="254"/>
        <v/>
      </c>
      <c r="AK499" s="460" t="str">
        <f>IF(AU499="","",IF(OR(AZ499=8,AZ499=9),0,IF(OR(AW499=3,AW499=4,AW499=5,AW499=6),IF(LEFT(BF499,1)="1",INDEX(係数_NOX・PM低減,MATCH(AY499,【参考】排出係数!$AI$801:$AI$804,1),1),VLOOKUP(AU499,INDEX((係数_バス貨物_ガソリン,係数_バス貨物_CNG,係数_バス貨物_軽油,係数_バス貨物_メタノール,係数_バス貨物_LPG),MATCH(AY499,【参考】排出係数!$AI$4:$AI$671,1),1,BE499):INDEX((係数_バス貨物_ガソリン,係数_バス貨物_CNG,係数_バス貨物_軽油,係数_バス貨物_メタノール,係数_バス貨物_LPG),MATCH(AY499+1,【参考】排出係数!$AI$4:$AI$671,1)-1,5,BE499),4,FALSE)),IF(AND(BE499=3,LEFT(BF499,1)="1"),0.48,VLOOKUP(AU499,INDEX((係数_乗用_ガソリン,係数_乗用_CNG,係数_乗用_軽油,係数_乗用_メタノール,係数_乗用_LPG),1,1,BE499):INDEX((係数_乗用_ガソリン,係数_乗用_CNG,係数_乗用_軽油,係数_乗用_メタノール,係数_乗用_LPG),125,5,BE499),4,FALSE)))))</f>
        <v/>
      </c>
      <c r="AL499" s="461" t="str">
        <f t="shared" si="278"/>
        <v/>
      </c>
      <c r="AM499" s="460" t="str">
        <f>IF(AU499="","",IF(OR(AZ499=8,AZ499=9),0,IF(OR(AW499=3,AW499=4,AW499=5,AW499=6),IF(LEFT(BH499,1)="1",INDEX(係数_PM低減,MATCH(AY499,【参考】排出係数!$AI$801:$AI$804,1),MATCH(BI499,【参考】排出係数!$AL$798:$AO$798,1)),VLOOKUP(AU499,INDEX((係数_バス貨物_ガソリン,係数_バス貨物_CNG,係数_バス貨物_軽油,係数_バス貨物_メタノール,係数_バス貨物_LPG),MATCH(AY499,【参考】排出係数!$AI$4:$AI$671,1),1,BE499):INDEX((係数_バス貨物_ガソリン,係数_バス貨物_CNG,係数_バス貨物_軽油,係数_バス貨物_メタノール,係数_バス貨物_LPG),MATCH(AY499+1,【参考】排出係数!$AI$4:$AI$671,1)-1,5,BE499),5,FALSE)),IF(AND(BE499=3,LEFT(BF499,1)="1"),0.055,VLOOKUP(AU499,INDEX((係数_乗用_ガソリン,係数_乗用_CNG,係数_乗用_軽油,係数_乗用_メタノール,係数_乗用_LPG),1,1,BE499):INDEX((係数_乗用_ガソリン,係数_乗用_CNG,係数_乗用_軽油,係数_乗用_メタノール,係数_乗用_LPG),125,5,BE499),5,FALSE)))))</f>
        <v/>
      </c>
      <c r="AN499" s="461" t="str">
        <f t="shared" si="279"/>
        <v/>
      </c>
      <c r="AO499" s="462" t="str">
        <f t="shared" si="280"/>
        <v/>
      </c>
      <c r="AP499" s="463" t="str">
        <f t="shared" si="281"/>
        <v/>
      </c>
      <c r="AQ499" s="464"/>
      <c r="AR499" s="619"/>
      <c r="AS499" s="465" t="str">
        <f t="shared" si="260"/>
        <v/>
      </c>
      <c r="AT499" s="465" t="str">
        <f t="shared" si="261"/>
        <v/>
      </c>
      <c r="AU499" s="466" t="str">
        <f t="shared" si="262"/>
        <v/>
      </c>
      <c r="AV499" s="467" t="str">
        <f t="shared" si="263"/>
        <v/>
      </c>
      <c r="AW499" s="467" t="str">
        <f t="shared" si="264"/>
        <v/>
      </c>
      <c r="AX499" s="467" t="str">
        <f t="shared" si="265"/>
        <v/>
      </c>
      <c r="AY499" s="467" t="str">
        <f t="shared" si="266"/>
        <v/>
      </c>
      <c r="AZ499" s="467" t="str">
        <f t="shared" si="267"/>
        <v/>
      </c>
      <c r="BA499" s="468" t="str">
        <f>IF(AS499="","",IF(OR(AU499="",AU499="-"),"－",IF(OR(AZ499=8,AZ499=9),"",IF(OR(AW499=3,AW499=4,AW499=5,AW499=6),VLOOKUP(AU499,INDEX((係数_バス貨物_ガソリン,係数_バス貨物_CNG,係数_バス貨物_軽油,係数_バス貨物_メタノール,係数_バス貨物_LPG),MATCH(AY499,【参考】排出係数!$AI$4:$AI$671,1),1,BE499):INDEX((係数_バス貨物_ガソリン,係数_バス貨物_CNG,係数_バス貨物_軽油,係数_バス貨物_メタノール,係数_バス貨物_LPG),MATCH(AY499+1,【参考】排出係数!$AI$4:$AI$671,1)-1,5,BE499),2,FALSE),IF(OR(AW499=1,AW499=2),VLOOKUP(AU499,INDEX((係数_乗用_ガソリン,係数_乗用_CNG,係数_乗用_軽油,係数_乗用_メタノール,係数_乗用_LPG),1,1,BE499):INDEX((係数_乗用_ガソリン,係数_乗用_CNG,係数_乗用_軽油,係数_乗用_メタノール,係数_乗用_LPG),125,5,BE499),2,FALSE))))))</f>
        <v/>
      </c>
      <c r="BB499" s="468" t="str">
        <f>IF(T499="","",IF(OR(AU499="",AU499="-"),"－",IF(OR(AZ499=8,AZ499=9),"",IF(OR(AW499=3,AW499=4,AW499=5,AW499=6),VLOOKUP(AU499,INDEX((係数_バス貨物_ガソリン,係数_バス貨物_CNG,係数_バス貨物_軽油,係数_バス貨物_メタノール,係数_バス貨物_LPG),MATCH(AY499,【参考】排出係数!$AI$4:$AI$671,1),1,BE499):INDEX((係数_バス貨物_ガソリン,係数_バス貨物_CNG,係数_バス貨物_軽油,係数_バス貨物_メタノール,係数_バス貨物_LPG),MATCH(AY499+1,【参考】排出係数!$AI$4:$AI$671,1)-1,5,BE499),3,FALSE),IF(OR(AW499=1,AW499=2),VLOOKUP(AU499,INDEX((係数_乗用_ガソリン,係数_乗用_CNG,係数_乗用_軽油,係数_乗用_メタノール,係数_乗用_LPG),1,1,BE499):INDEX((係数_乗用_ガソリン,係数_乗用_CNG,係数_乗用_軽油,係数_乗用_メタノール,係数_乗用_LPG),125,5,BE499),3,FALSE))))))</f>
        <v/>
      </c>
      <c r="BC499" s="467" t="str">
        <f t="shared" si="268"/>
        <v/>
      </c>
      <c r="BD499" s="567" t="str">
        <f t="shared" si="269"/>
        <v/>
      </c>
      <c r="BE499" s="467" t="str">
        <f t="shared" si="270"/>
        <v/>
      </c>
      <c r="BF499" s="469" t="str">
        <f t="shared" ca="1" si="271"/>
        <v/>
      </c>
      <c r="BG499" s="469" t="str">
        <f t="shared" ca="1" si="272"/>
        <v/>
      </c>
      <c r="BH499" s="467" t="str">
        <f t="shared" si="273"/>
        <v/>
      </c>
      <c r="BI499" s="467" t="str">
        <f t="shared" ca="1" si="274"/>
        <v/>
      </c>
      <c r="BJ499" s="469" t="str">
        <f t="shared" si="275"/>
        <v/>
      </c>
      <c r="BK499" s="470" t="str">
        <f t="shared" si="255"/>
        <v/>
      </c>
      <c r="BL499" s="775" t="str">
        <f t="shared" si="276"/>
        <v/>
      </c>
      <c r="BM499" s="775" t="str">
        <f t="shared" si="277"/>
        <v/>
      </c>
    </row>
    <row r="500" spans="1:65">
      <c r="A500" s="473">
        <v>444</v>
      </c>
      <c r="B500" s="132"/>
      <c r="C500" s="332"/>
      <c r="D500" s="333"/>
      <c r="E500" s="333"/>
      <c r="F500" s="334"/>
      <c r="G500" s="337"/>
      <c r="H500" s="131"/>
      <c r="I500" s="337"/>
      <c r="J500" s="131"/>
      <c r="K500" s="458" t="str">
        <f t="shared" si="244"/>
        <v/>
      </c>
      <c r="L500" s="458">
        <f t="shared" si="256"/>
        <v>0</v>
      </c>
      <c r="M500" s="458">
        <f t="shared" si="257"/>
        <v>0</v>
      </c>
      <c r="N500" s="459" t="str">
        <f t="shared" si="245"/>
        <v/>
      </c>
      <c r="O500" s="459" t="str">
        <f t="shared" si="246"/>
        <v/>
      </c>
      <c r="P500" s="459" t="str">
        <f t="shared" si="247"/>
        <v/>
      </c>
      <c r="Q500" s="459" t="str">
        <f t="shared" si="248"/>
        <v/>
      </c>
      <c r="R500" s="459" t="str">
        <f t="shared" si="249"/>
        <v/>
      </c>
      <c r="S500" s="459" t="str">
        <f t="shared" si="250"/>
        <v/>
      </c>
      <c r="T500" s="566" t="str">
        <f t="shared" si="258"/>
        <v/>
      </c>
      <c r="U500" s="702"/>
      <c r="V500" s="132"/>
      <c r="W500" s="133"/>
      <c r="X500" s="134"/>
      <c r="Y500" s="135"/>
      <c r="Z500" s="137"/>
      <c r="AA500" s="136"/>
      <c r="AB500" s="566" t="str">
        <f t="shared" si="251"/>
        <v/>
      </c>
      <c r="AC500" s="568" t="str">
        <f t="shared" si="259"/>
        <v/>
      </c>
      <c r="AD500" s="137"/>
      <c r="AE500" s="137"/>
      <c r="AF500" s="138"/>
      <c r="AG500" s="138"/>
      <c r="AH500" s="592" t="str">
        <f t="shared" si="252"/>
        <v/>
      </c>
      <c r="AI500" s="592" t="str">
        <f t="shared" si="253"/>
        <v/>
      </c>
      <c r="AJ500" s="592" t="str">
        <f t="shared" si="254"/>
        <v/>
      </c>
      <c r="AK500" s="460" t="str">
        <f>IF(AU500="","",IF(OR(AZ500=8,AZ500=9),0,IF(OR(AW500=3,AW500=4,AW500=5,AW500=6),IF(LEFT(BF500,1)="1",INDEX(係数_NOX・PM低減,MATCH(AY500,【参考】排出係数!$AI$801:$AI$804,1),1),VLOOKUP(AU500,INDEX((係数_バス貨物_ガソリン,係数_バス貨物_CNG,係数_バス貨物_軽油,係数_バス貨物_メタノール,係数_バス貨物_LPG),MATCH(AY500,【参考】排出係数!$AI$4:$AI$671,1),1,BE500):INDEX((係数_バス貨物_ガソリン,係数_バス貨物_CNG,係数_バス貨物_軽油,係数_バス貨物_メタノール,係数_バス貨物_LPG),MATCH(AY500+1,【参考】排出係数!$AI$4:$AI$671,1)-1,5,BE500),4,FALSE)),IF(AND(BE500=3,LEFT(BF500,1)="1"),0.48,VLOOKUP(AU500,INDEX((係数_乗用_ガソリン,係数_乗用_CNG,係数_乗用_軽油,係数_乗用_メタノール,係数_乗用_LPG),1,1,BE500):INDEX((係数_乗用_ガソリン,係数_乗用_CNG,係数_乗用_軽油,係数_乗用_メタノール,係数_乗用_LPG),125,5,BE500),4,FALSE)))))</f>
        <v/>
      </c>
      <c r="AL500" s="461" t="str">
        <f t="shared" si="278"/>
        <v/>
      </c>
      <c r="AM500" s="460" t="str">
        <f>IF(AU500="","",IF(OR(AZ500=8,AZ500=9),0,IF(OR(AW500=3,AW500=4,AW500=5,AW500=6),IF(LEFT(BH500,1)="1",INDEX(係数_PM低減,MATCH(AY500,【参考】排出係数!$AI$801:$AI$804,1),MATCH(BI500,【参考】排出係数!$AL$798:$AO$798,1)),VLOOKUP(AU500,INDEX((係数_バス貨物_ガソリン,係数_バス貨物_CNG,係数_バス貨物_軽油,係数_バス貨物_メタノール,係数_バス貨物_LPG),MATCH(AY500,【参考】排出係数!$AI$4:$AI$671,1),1,BE500):INDEX((係数_バス貨物_ガソリン,係数_バス貨物_CNG,係数_バス貨物_軽油,係数_バス貨物_メタノール,係数_バス貨物_LPG),MATCH(AY500+1,【参考】排出係数!$AI$4:$AI$671,1)-1,5,BE500),5,FALSE)),IF(AND(BE500=3,LEFT(BF500,1)="1"),0.055,VLOOKUP(AU500,INDEX((係数_乗用_ガソリン,係数_乗用_CNG,係数_乗用_軽油,係数_乗用_メタノール,係数_乗用_LPG),1,1,BE500):INDEX((係数_乗用_ガソリン,係数_乗用_CNG,係数_乗用_軽油,係数_乗用_メタノール,係数_乗用_LPG),125,5,BE500),5,FALSE)))))</f>
        <v/>
      </c>
      <c r="AN500" s="461" t="str">
        <f t="shared" si="279"/>
        <v/>
      </c>
      <c r="AO500" s="462" t="str">
        <f t="shared" si="280"/>
        <v/>
      </c>
      <c r="AP500" s="463" t="str">
        <f t="shared" si="281"/>
        <v/>
      </c>
      <c r="AQ500" s="464"/>
      <c r="AR500" s="619"/>
      <c r="AS500" s="465" t="str">
        <f t="shared" si="260"/>
        <v/>
      </c>
      <c r="AT500" s="465" t="str">
        <f t="shared" si="261"/>
        <v/>
      </c>
      <c r="AU500" s="466" t="str">
        <f t="shared" si="262"/>
        <v/>
      </c>
      <c r="AV500" s="467" t="str">
        <f t="shared" si="263"/>
        <v/>
      </c>
      <c r="AW500" s="467" t="str">
        <f t="shared" si="264"/>
        <v/>
      </c>
      <c r="AX500" s="467" t="str">
        <f t="shared" si="265"/>
        <v/>
      </c>
      <c r="AY500" s="467" t="str">
        <f t="shared" si="266"/>
        <v/>
      </c>
      <c r="AZ500" s="467" t="str">
        <f t="shared" si="267"/>
        <v/>
      </c>
      <c r="BA500" s="468" t="str">
        <f>IF(AS500="","",IF(OR(AU500="",AU500="-"),"－",IF(OR(AZ500=8,AZ500=9),"",IF(OR(AW500=3,AW500=4,AW500=5,AW500=6),VLOOKUP(AU500,INDEX((係数_バス貨物_ガソリン,係数_バス貨物_CNG,係数_バス貨物_軽油,係数_バス貨物_メタノール,係数_バス貨物_LPG),MATCH(AY500,【参考】排出係数!$AI$4:$AI$671,1),1,BE500):INDEX((係数_バス貨物_ガソリン,係数_バス貨物_CNG,係数_バス貨物_軽油,係数_バス貨物_メタノール,係数_バス貨物_LPG),MATCH(AY500+1,【参考】排出係数!$AI$4:$AI$671,1)-1,5,BE500),2,FALSE),IF(OR(AW500=1,AW500=2),VLOOKUP(AU500,INDEX((係数_乗用_ガソリン,係数_乗用_CNG,係数_乗用_軽油,係数_乗用_メタノール,係数_乗用_LPG),1,1,BE500):INDEX((係数_乗用_ガソリン,係数_乗用_CNG,係数_乗用_軽油,係数_乗用_メタノール,係数_乗用_LPG),125,5,BE500),2,FALSE))))))</f>
        <v/>
      </c>
      <c r="BB500" s="468" t="str">
        <f>IF(T500="","",IF(OR(AU500="",AU500="-"),"－",IF(OR(AZ500=8,AZ500=9),"",IF(OR(AW500=3,AW500=4,AW500=5,AW500=6),VLOOKUP(AU500,INDEX((係数_バス貨物_ガソリン,係数_バス貨物_CNG,係数_バス貨物_軽油,係数_バス貨物_メタノール,係数_バス貨物_LPG),MATCH(AY500,【参考】排出係数!$AI$4:$AI$671,1),1,BE500):INDEX((係数_バス貨物_ガソリン,係数_バス貨物_CNG,係数_バス貨物_軽油,係数_バス貨物_メタノール,係数_バス貨物_LPG),MATCH(AY500+1,【参考】排出係数!$AI$4:$AI$671,1)-1,5,BE500),3,FALSE),IF(OR(AW500=1,AW500=2),VLOOKUP(AU500,INDEX((係数_乗用_ガソリン,係数_乗用_CNG,係数_乗用_軽油,係数_乗用_メタノール,係数_乗用_LPG),1,1,BE500):INDEX((係数_乗用_ガソリン,係数_乗用_CNG,係数_乗用_軽油,係数_乗用_メタノール,係数_乗用_LPG),125,5,BE500),3,FALSE))))))</f>
        <v/>
      </c>
      <c r="BC500" s="467" t="str">
        <f t="shared" si="268"/>
        <v/>
      </c>
      <c r="BD500" s="567" t="str">
        <f t="shared" si="269"/>
        <v/>
      </c>
      <c r="BE500" s="467" t="str">
        <f t="shared" si="270"/>
        <v/>
      </c>
      <c r="BF500" s="469" t="str">
        <f t="shared" ca="1" si="271"/>
        <v/>
      </c>
      <c r="BG500" s="469" t="str">
        <f t="shared" ca="1" si="272"/>
        <v/>
      </c>
      <c r="BH500" s="467" t="str">
        <f t="shared" si="273"/>
        <v/>
      </c>
      <c r="BI500" s="467" t="str">
        <f t="shared" ca="1" si="274"/>
        <v/>
      </c>
      <c r="BJ500" s="469" t="str">
        <f t="shared" si="275"/>
        <v/>
      </c>
      <c r="BK500" s="470" t="str">
        <f t="shared" si="255"/>
        <v/>
      </c>
      <c r="BL500" s="775" t="str">
        <f t="shared" si="276"/>
        <v/>
      </c>
      <c r="BM500" s="775" t="str">
        <f t="shared" si="277"/>
        <v/>
      </c>
    </row>
    <row r="501" spans="1:65">
      <c r="A501" s="473">
        <v>445</v>
      </c>
      <c r="B501" s="132"/>
      <c r="C501" s="332"/>
      <c r="D501" s="333"/>
      <c r="E501" s="333"/>
      <c r="F501" s="334"/>
      <c r="G501" s="337"/>
      <c r="H501" s="131"/>
      <c r="I501" s="337"/>
      <c r="J501" s="131"/>
      <c r="K501" s="458" t="str">
        <f t="shared" si="244"/>
        <v/>
      </c>
      <c r="L501" s="458">
        <f t="shared" si="256"/>
        <v>0</v>
      </c>
      <c r="M501" s="458">
        <f t="shared" si="257"/>
        <v>0</v>
      </c>
      <c r="N501" s="459" t="str">
        <f t="shared" si="245"/>
        <v/>
      </c>
      <c r="O501" s="459" t="str">
        <f t="shared" si="246"/>
        <v/>
      </c>
      <c r="P501" s="459" t="str">
        <f t="shared" si="247"/>
        <v/>
      </c>
      <c r="Q501" s="459" t="str">
        <f t="shared" si="248"/>
        <v/>
      </c>
      <c r="R501" s="459" t="str">
        <f t="shared" si="249"/>
        <v/>
      </c>
      <c r="S501" s="459" t="str">
        <f t="shared" si="250"/>
        <v/>
      </c>
      <c r="T501" s="566" t="str">
        <f t="shared" si="258"/>
        <v/>
      </c>
      <c r="U501" s="702"/>
      <c r="V501" s="132"/>
      <c r="W501" s="133"/>
      <c r="X501" s="134"/>
      <c r="Y501" s="135"/>
      <c r="Z501" s="137"/>
      <c r="AA501" s="136"/>
      <c r="AB501" s="566" t="str">
        <f t="shared" si="251"/>
        <v/>
      </c>
      <c r="AC501" s="568" t="str">
        <f t="shared" si="259"/>
        <v/>
      </c>
      <c r="AD501" s="137"/>
      <c r="AE501" s="137"/>
      <c r="AF501" s="138"/>
      <c r="AG501" s="138"/>
      <c r="AH501" s="592" t="str">
        <f t="shared" si="252"/>
        <v/>
      </c>
      <c r="AI501" s="592" t="str">
        <f t="shared" si="253"/>
        <v/>
      </c>
      <c r="AJ501" s="592" t="str">
        <f t="shared" si="254"/>
        <v/>
      </c>
      <c r="AK501" s="460" t="str">
        <f>IF(AU501="","",IF(OR(AZ501=8,AZ501=9),0,IF(OR(AW501=3,AW501=4,AW501=5,AW501=6),IF(LEFT(BF501,1)="1",INDEX(係数_NOX・PM低減,MATCH(AY501,【参考】排出係数!$AI$801:$AI$804,1),1),VLOOKUP(AU501,INDEX((係数_バス貨物_ガソリン,係数_バス貨物_CNG,係数_バス貨物_軽油,係数_バス貨物_メタノール,係数_バス貨物_LPG),MATCH(AY501,【参考】排出係数!$AI$4:$AI$671,1),1,BE501):INDEX((係数_バス貨物_ガソリン,係数_バス貨物_CNG,係数_バス貨物_軽油,係数_バス貨物_メタノール,係数_バス貨物_LPG),MATCH(AY501+1,【参考】排出係数!$AI$4:$AI$671,1)-1,5,BE501),4,FALSE)),IF(AND(BE501=3,LEFT(BF501,1)="1"),0.48,VLOOKUP(AU501,INDEX((係数_乗用_ガソリン,係数_乗用_CNG,係数_乗用_軽油,係数_乗用_メタノール,係数_乗用_LPG),1,1,BE501):INDEX((係数_乗用_ガソリン,係数_乗用_CNG,係数_乗用_軽油,係数_乗用_メタノール,係数_乗用_LPG),125,5,BE501),4,FALSE)))))</f>
        <v/>
      </c>
      <c r="AL501" s="461" t="str">
        <f t="shared" si="278"/>
        <v/>
      </c>
      <c r="AM501" s="460" t="str">
        <f>IF(AU501="","",IF(OR(AZ501=8,AZ501=9),0,IF(OR(AW501=3,AW501=4,AW501=5,AW501=6),IF(LEFT(BH501,1)="1",INDEX(係数_PM低減,MATCH(AY501,【参考】排出係数!$AI$801:$AI$804,1),MATCH(BI501,【参考】排出係数!$AL$798:$AO$798,1)),VLOOKUP(AU501,INDEX((係数_バス貨物_ガソリン,係数_バス貨物_CNG,係数_バス貨物_軽油,係数_バス貨物_メタノール,係数_バス貨物_LPG),MATCH(AY501,【参考】排出係数!$AI$4:$AI$671,1),1,BE501):INDEX((係数_バス貨物_ガソリン,係数_バス貨物_CNG,係数_バス貨物_軽油,係数_バス貨物_メタノール,係数_バス貨物_LPG),MATCH(AY501+1,【参考】排出係数!$AI$4:$AI$671,1)-1,5,BE501),5,FALSE)),IF(AND(BE501=3,LEFT(BF501,1)="1"),0.055,VLOOKUP(AU501,INDEX((係数_乗用_ガソリン,係数_乗用_CNG,係数_乗用_軽油,係数_乗用_メタノール,係数_乗用_LPG),1,1,BE501):INDEX((係数_乗用_ガソリン,係数_乗用_CNG,係数_乗用_軽油,係数_乗用_メタノール,係数_乗用_LPG),125,5,BE501),5,FALSE)))))</f>
        <v/>
      </c>
      <c r="AN501" s="461" t="str">
        <f t="shared" si="279"/>
        <v/>
      </c>
      <c r="AO501" s="462" t="str">
        <f t="shared" si="280"/>
        <v/>
      </c>
      <c r="AP501" s="463" t="str">
        <f t="shared" si="281"/>
        <v/>
      </c>
      <c r="AQ501" s="464"/>
      <c r="AR501" s="619"/>
      <c r="AS501" s="465" t="str">
        <f t="shared" si="260"/>
        <v/>
      </c>
      <c r="AT501" s="465" t="str">
        <f t="shared" si="261"/>
        <v/>
      </c>
      <c r="AU501" s="466" t="str">
        <f t="shared" si="262"/>
        <v/>
      </c>
      <c r="AV501" s="467" t="str">
        <f t="shared" si="263"/>
        <v/>
      </c>
      <c r="AW501" s="467" t="str">
        <f t="shared" si="264"/>
        <v/>
      </c>
      <c r="AX501" s="467" t="str">
        <f t="shared" si="265"/>
        <v/>
      </c>
      <c r="AY501" s="467" t="str">
        <f t="shared" si="266"/>
        <v/>
      </c>
      <c r="AZ501" s="467" t="str">
        <f t="shared" si="267"/>
        <v/>
      </c>
      <c r="BA501" s="468" t="str">
        <f>IF(AS501="","",IF(OR(AU501="",AU501="-"),"－",IF(OR(AZ501=8,AZ501=9),"",IF(OR(AW501=3,AW501=4,AW501=5,AW501=6),VLOOKUP(AU501,INDEX((係数_バス貨物_ガソリン,係数_バス貨物_CNG,係数_バス貨物_軽油,係数_バス貨物_メタノール,係数_バス貨物_LPG),MATCH(AY501,【参考】排出係数!$AI$4:$AI$671,1),1,BE501):INDEX((係数_バス貨物_ガソリン,係数_バス貨物_CNG,係数_バス貨物_軽油,係数_バス貨物_メタノール,係数_バス貨物_LPG),MATCH(AY501+1,【参考】排出係数!$AI$4:$AI$671,1)-1,5,BE501),2,FALSE),IF(OR(AW501=1,AW501=2),VLOOKUP(AU501,INDEX((係数_乗用_ガソリン,係数_乗用_CNG,係数_乗用_軽油,係数_乗用_メタノール,係数_乗用_LPG),1,1,BE501):INDEX((係数_乗用_ガソリン,係数_乗用_CNG,係数_乗用_軽油,係数_乗用_メタノール,係数_乗用_LPG),125,5,BE501),2,FALSE))))))</f>
        <v/>
      </c>
      <c r="BB501" s="468" t="str">
        <f>IF(T501="","",IF(OR(AU501="",AU501="-"),"－",IF(OR(AZ501=8,AZ501=9),"",IF(OR(AW501=3,AW501=4,AW501=5,AW501=6),VLOOKUP(AU501,INDEX((係数_バス貨物_ガソリン,係数_バス貨物_CNG,係数_バス貨物_軽油,係数_バス貨物_メタノール,係数_バス貨物_LPG),MATCH(AY501,【参考】排出係数!$AI$4:$AI$671,1),1,BE501):INDEX((係数_バス貨物_ガソリン,係数_バス貨物_CNG,係数_バス貨物_軽油,係数_バス貨物_メタノール,係数_バス貨物_LPG),MATCH(AY501+1,【参考】排出係数!$AI$4:$AI$671,1)-1,5,BE501),3,FALSE),IF(OR(AW501=1,AW501=2),VLOOKUP(AU501,INDEX((係数_乗用_ガソリン,係数_乗用_CNG,係数_乗用_軽油,係数_乗用_メタノール,係数_乗用_LPG),1,1,BE501):INDEX((係数_乗用_ガソリン,係数_乗用_CNG,係数_乗用_軽油,係数_乗用_メタノール,係数_乗用_LPG),125,5,BE501),3,FALSE))))))</f>
        <v/>
      </c>
      <c r="BC501" s="467" t="str">
        <f t="shared" si="268"/>
        <v/>
      </c>
      <c r="BD501" s="567" t="str">
        <f t="shared" si="269"/>
        <v/>
      </c>
      <c r="BE501" s="467" t="str">
        <f t="shared" si="270"/>
        <v/>
      </c>
      <c r="BF501" s="469" t="str">
        <f t="shared" ca="1" si="271"/>
        <v/>
      </c>
      <c r="BG501" s="469" t="str">
        <f t="shared" ca="1" si="272"/>
        <v/>
      </c>
      <c r="BH501" s="467" t="str">
        <f t="shared" si="273"/>
        <v/>
      </c>
      <c r="BI501" s="467" t="str">
        <f t="shared" ca="1" si="274"/>
        <v/>
      </c>
      <c r="BJ501" s="469" t="str">
        <f t="shared" si="275"/>
        <v/>
      </c>
      <c r="BK501" s="470" t="str">
        <f t="shared" si="255"/>
        <v/>
      </c>
      <c r="BL501" s="775" t="str">
        <f t="shared" si="276"/>
        <v/>
      </c>
      <c r="BM501" s="775" t="str">
        <f t="shared" si="277"/>
        <v/>
      </c>
    </row>
    <row r="502" spans="1:65">
      <c r="A502" s="473">
        <v>446</v>
      </c>
      <c r="B502" s="132"/>
      <c r="C502" s="332"/>
      <c r="D502" s="333"/>
      <c r="E502" s="333"/>
      <c r="F502" s="334"/>
      <c r="G502" s="337"/>
      <c r="H502" s="131"/>
      <c r="I502" s="337"/>
      <c r="J502" s="131"/>
      <c r="K502" s="458" t="str">
        <f t="shared" si="244"/>
        <v/>
      </c>
      <c r="L502" s="458">
        <f t="shared" si="256"/>
        <v>0</v>
      </c>
      <c r="M502" s="458">
        <f t="shared" si="257"/>
        <v>0</v>
      </c>
      <c r="N502" s="459" t="str">
        <f t="shared" si="245"/>
        <v/>
      </c>
      <c r="O502" s="459" t="str">
        <f t="shared" si="246"/>
        <v/>
      </c>
      <c r="P502" s="459" t="str">
        <f t="shared" si="247"/>
        <v/>
      </c>
      <c r="Q502" s="459" t="str">
        <f t="shared" si="248"/>
        <v/>
      </c>
      <c r="R502" s="459" t="str">
        <f t="shared" si="249"/>
        <v/>
      </c>
      <c r="S502" s="459" t="str">
        <f t="shared" si="250"/>
        <v/>
      </c>
      <c r="T502" s="566" t="str">
        <f t="shared" si="258"/>
        <v/>
      </c>
      <c r="U502" s="702"/>
      <c r="V502" s="132"/>
      <c r="W502" s="133"/>
      <c r="X502" s="134"/>
      <c r="Y502" s="135"/>
      <c r="Z502" s="137"/>
      <c r="AA502" s="136"/>
      <c r="AB502" s="566" t="str">
        <f t="shared" si="251"/>
        <v/>
      </c>
      <c r="AC502" s="568" t="str">
        <f t="shared" si="259"/>
        <v/>
      </c>
      <c r="AD502" s="137"/>
      <c r="AE502" s="137"/>
      <c r="AF502" s="138"/>
      <c r="AG502" s="138"/>
      <c r="AH502" s="592" t="str">
        <f t="shared" si="252"/>
        <v/>
      </c>
      <c r="AI502" s="592" t="str">
        <f t="shared" si="253"/>
        <v/>
      </c>
      <c r="AJ502" s="592" t="str">
        <f t="shared" si="254"/>
        <v/>
      </c>
      <c r="AK502" s="460" t="str">
        <f>IF(AU502="","",IF(OR(AZ502=8,AZ502=9),0,IF(OR(AW502=3,AW502=4,AW502=5,AW502=6),IF(LEFT(BF502,1)="1",INDEX(係数_NOX・PM低減,MATCH(AY502,【参考】排出係数!$AI$801:$AI$804,1),1),VLOOKUP(AU502,INDEX((係数_バス貨物_ガソリン,係数_バス貨物_CNG,係数_バス貨物_軽油,係数_バス貨物_メタノール,係数_バス貨物_LPG),MATCH(AY502,【参考】排出係数!$AI$4:$AI$671,1),1,BE502):INDEX((係数_バス貨物_ガソリン,係数_バス貨物_CNG,係数_バス貨物_軽油,係数_バス貨物_メタノール,係数_バス貨物_LPG),MATCH(AY502+1,【参考】排出係数!$AI$4:$AI$671,1)-1,5,BE502),4,FALSE)),IF(AND(BE502=3,LEFT(BF502,1)="1"),0.48,VLOOKUP(AU502,INDEX((係数_乗用_ガソリン,係数_乗用_CNG,係数_乗用_軽油,係数_乗用_メタノール,係数_乗用_LPG),1,1,BE502):INDEX((係数_乗用_ガソリン,係数_乗用_CNG,係数_乗用_軽油,係数_乗用_メタノール,係数_乗用_LPG),125,5,BE502),4,FALSE)))))</f>
        <v/>
      </c>
      <c r="AL502" s="461" t="str">
        <f t="shared" si="278"/>
        <v/>
      </c>
      <c r="AM502" s="460" t="str">
        <f>IF(AU502="","",IF(OR(AZ502=8,AZ502=9),0,IF(OR(AW502=3,AW502=4,AW502=5,AW502=6),IF(LEFT(BH502,1)="1",INDEX(係数_PM低減,MATCH(AY502,【参考】排出係数!$AI$801:$AI$804,1),MATCH(BI502,【参考】排出係数!$AL$798:$AO$798,1)),VLOOKUP(AU502,INDEX((係数_バス貨物_ガソリン,係数_バス貨物_CNG,係数_バス貨物_軽油,係数_バス貨物_メタノール,係数_バス貨物_LPG),MATCH(AY502,【参考】排出係数!$AI$4:$AI$671,1),1,BE502):INDEX((係数_バス貨物_ガソリン,係数_バス貨物_CNG,係数_バス貨物_軽油,係数_バス貨物_メタノール,係数_バス貨物_LPG),MATCH(AY502+1,【参考】排出係数!$AI$4:$AI$671,1)-1,5,BE502),5,FALSE)),IF(AND(BE502=3,LEFT(BF502,1)="1"),0.055,VLOOKUP(AU502,INDEX((係数_乗用_ガソリン,係数_乗用_CNG,係数_乗用_軽油,係数_乗用_メタノール,係数_乗用_LPG),1,1,BE502):INDEX((係数_乗用_ガソリン,係数_乗用_CNG,係数_乗用_軽油,係数_乗用_メタノール,係数_乗用_LPG),125,5,BE502),5,FALSE)))))</f>
        <v/>
      </c>
      <c r="AN502" s="461" t="str">
        <f t="shared" si="279"/>
        <v/>
      </c>
      <c r="AO502" s="462" t="str">
        <f t="shared" si="280"/>
        <v/>
      </c>
      <c r="AP502" s="463" t="str">
        <f t="shared" si="281"/>
        <v/>
      </c>
      <c r="AQ502" s="464"/>
      <c r="AR502" s="619"/>
      <c r="AS502" s="465" t="str">
        <f t="shared" si="260"/>
        <v/>
      </c>
      <c r="AT502" s="465" t="str">
        <f t="shared" si="261"/>
        <v/>
      </c>
      <c r="AU502" s="466" t="str">
        <f t="shared" si="262"/>
        <v/>
      </c>
      <c r="AV502" s="467" t="str">
        <f t="shared" si="263"/>
        <v/>
      </c>
      <c r="AW502" s="467" t="str">
        <f t="shared" si="264"/>
        <v/>
      </c>
      <c r="AX502" s="467" t="str">
        <f t="shared" si="265"/>
        <v/>
      </c>
      <c r="AY502" s="467" t="str">
        <f t="shared" si="266"/>
        <v/>
      </c>
      <c r="AZ502" s="467" t="str">
        <f t="shared" si="267"/>
        <v/>
      </c>
      <c r="BA502" s="468" t="str">
        <f>IF(AS502="","",IF(OR(AU502="",AU502="-"),"－",IF(OR(AZ502=8,AZ502=9),"",IF(OR(AW502=3,AW502=4,AW502=5,AW502=6),VLOOKUP(AU502,INDEX((係数_バス貨物_ガソリン,係数_バス貨物_CNG,係数_バス貨物_軽油,係数_バス貨物_メタノール,係数_バス貨物_LPG),MATCH(AY502,【参考】排出係数!$AI$4:$AI$671,1),1,BE502):INDEX((係数_バス貨物_ガソリン,係数_バス貨物_CNG,係数_バス貨物_軽油,係数_バス貨物_メタノール,係数_バス貨物_LPG),MATCH(AY502+1,【参考】排出係数!$AI$4:$AI$671,1)-1,5,BE502),2,FALSE),IF(OR(AW502=1,AW502=2),VLOOKUP(AU502,INDEX((係数_乗用_ガソリン,係数_乗用_CNG,係数_乗用_軽油,係数_乗用_メタノール,係数_乗用_LPG),1,1,BE502):INDEX((係数_乗用_ガソリン,係数_乗用_CNG,係数_乗用_軽油,係数_乗用_メタノール,係数_乗用_LPG),125,5,BE502),2,FALSE))))))</f>
        <v/>
      </c>
      <c r="BB502" s="468" t="str">
        <f>IF(T502="","",IF(OR(AU502="",AU502="-"),"－",IF(OR(AZ502=8,AZ502=9),"",IF(OR(AW502=3,AW502=4,AW502=5,AW502=6),VLOOKUP(AU502,INDEX((係数_バス貨物_ガソリン,係数_バス貨物_CNG,係数_バス貨物_軽油,係数_バス貨物_メタノール,係数_バス貨物_LPG),MATCH(AY502,【参考】排出係数!$AI$4:$AI$671,1),1,BE502):INDEX((係数_バス貨物_ガソリン,係数_バス貨物_CNG,係数_バス貨物_軽油,係数_バス貨物_メタノール,係数_バス貨物_LPG),MATCH(AY502+1,【参考】排出係数!$AI$4:$AI$671,1)-1,5,BE502),3,FALSE),IF(OR(AW502=1,AW502=2),VLOOKUP(AU502,INDEX((係数_乗用_ガソリン,係数_乗用_CNG,係数_乗用_軽油,係数_乗用_メタノール,係数_乗用_LPG),1,1,BE502):INDEX((係数_乗用_ガソリン,係数_乗用_CNG,係数_乗用_軽油,係数_乗用_メタノール,係数_乗用_LPG),125,5,BE502),3,FALSE))))))</f>
        <v/>
      </c>
      <c r="BC502" s="467" t="str">
        <f t="shared" si="268"/>
        <v/>
      </c>
      <c r="BD502" s="567" t="str">
        <f t="shared" si="269"/>
        <v/>
      </c>
      <c r="BE502" s="467" t="str">
        <f t="shared" si="270"/>
        <v/>
      </c>
      <c r="BF502" s="469" t="str">
        <f t="shared" ca="1" si="271"/>
        <v/>
      </c>
      <c r="BG502" s="469" t="str">
        <f t="shared" ca="1" si="272"/>
        <v/>
      </c>
      <c r="BH502" s="467" t="str">
        <f t="shared" si="273"/>
        <v/>
      </c>
      <c r="BI502" s="467" t="str">
        <f t="shared" ca="1" si="274"/>
        <v/>
      </c>
      <c r="BJ502" s="469" t="str">
        <f t="shared" si="275"/>
        <v/>
      </c>
      <c r="BK502" s="470" t="str">
        <f t="shared" si="255"/>
        <v/>
      </c>
      <c r="BL502" s="775" t="str">
        <f t="shared" si="276"/>
        <v/>
      </c>
      <c r="BM502" s="775" t="str">
        <f t="shared" si="277"/>
        <v/>
      </c>
    </row>
    <row r="503" spans="1:65">
      <c r="A503" s="473">
        <v>447</v>
      </c>
      <c r="B503" s="132"/>
      <c r="C503" s="332"/>
      <c r="D503" s="333"/>
      <c r="E503" s="333"/>
      <c r="F503" s="334"/>
      <c r="G503" s="337"/>
      <c r="H503" s="131"/>
      <c r="I503" s="337"/>
      <c r="J503" s="131"/>
      <c r="K503" s="458" t="str">
        <f t="shared" si="244"/>
        <v/>
      </c>
      <c r="L503" s="458">
        <f t="shared" si="256"/>
        <v>0</v>
      </c>
      <c r="M503" s="458">
        <f t="shared" si="257"/>
        <v>0</v>
      </c>
      <c r="N503" s="459" t="str">
        <f t="shared" si="245"/>
        <v/>
      </c>
      <c r="O503" s="459" t="str">
        <f t="shared" si="246"/>
        <v/>
      </c>
      <c r="P503" s="459" t="str">
        <f t="shared" si="247"/>
        <v/>
      </c>
      <c r="Q503" s="459" t="str">
        <f t="shared" si="248"/>
        <v/>
      </c>
      <c r="R503" s="459" t="str">
        <f t="shared" si="249"/>
        <v/>
      </c>
      <c r="S503" s="459" t="str">
        <f t="shared" si="250"/>
        <v/>
      </c>
      <c r="T503" s="566" t="str">
        <f t="shared" si="258"/>
        <v/>
      </c>
      <c r="U503" s="702"/>
      <c r="V503" s="132"/>
      <c r="W503" s="133"/>
      <c r="X503" s="134"/>
      <c r="Y503" s="135"/>
      <c r="Z503" s="137"/>
      <c r="AA503" s="136"/>
      <c r="AB503" s="566" t="str">
        <f t="shared" si="251"/>
        <v/>
      </c>
      <c r="AC503" s="568" t="str">
        <f t="shared" si="259"/>
        <v/>
      </c>
      <c r="AD503" s="137"/>
      <c r="AE503" s="137"/>
      <c r="AF503" s="138"/>
      <c r="AG503" s="138"/>
      <c r="AH503" s="592" t="str">
        <f t="shared" si="252"/>
        <v/>
      </c>
      <c r="AI503" s="592" t="str">
        <f t="shared" si="253"/>
        <v/>
      </c>
      <c r="AJ503" s="592" t="str">
        <f t="shared" si="254"/>
        <v/>
      </c>
      <c r="AK503" s="460" t="str">
        <f>IF(AU503="","",IF(OR(AZ503=8,AZ503=9),0,IF(OR(AW503=3,AW503=4,AW503=5,AW503=6),IF(LEFT(BF503,1)="1",INDEX(係数_NOX・PM低減,MATCH(AY503,【参考】排出係数!$AI$801:$AI$804,1),1),VLOOKUP(AU503,INDEX((係数_バス貨物_ガソリン,係数_バス貨物_CNG,係数_バス貨物_軽油,係数_バス貨物_メタノール,係数_バス貨物_LPG),MATCH(AY503,【参考】排出係数!$AI$4:$AI$671,1),1,BE503):INDEX((係数_バス貨物_ガソリン,係数_バス貨物_CNG,係数_バス貨物_軽油,係数_バス貨物_メタノール,係数_バス貨物_LPG),MATCH(AY503+1,【参考】排出係数!$AI$4:$AI$671,1)-1,5,BE503),4,FALSE)),IF(AND(BE503=3,LEFT(BF503,1)="1"),0.48,VLOOKUP(AU503,INDEX((係数_乗用_ガソリン,係数_乗用_CNG,係数_乗用_軽油,係数_乗用_メタノール,係数_乗用_LPG),1,1,BE503):INDEX((係数_乗用_ガソリン,係数_乗用_CNG,係数_乗用_軽油,係数_乗用_メタノール,係数_乗用_LPG),125,5,BE503),4,FALSE)))))</f>
        <v/>
      </c>
      <c r="AL503" s="461" t="str">
        <f t="shared" si="278"/>
        <v/>
      </c>
      <c r="AM503" s="460" t="str">
        <f>IF(AU503="","",IF(OR(AZ503=8,AZ503=9),0,IF(OR(AW503=3,AW503=4,AW503=5,AW503=6),IF(LEFT(BH503,1)="1",INDEX(係数_PM低減,MATCH(AY503,【参考】排出係数!$AI$801:$AI$804,1),MATCH(BI503,【参考】排出係数!$AL$798:$AO$798,1)),VLOOKUP(AU503,INDEX((係数_バス貨物_ガソリン,係数_バス貨物_CNG,係数_バス貨物_軽油,係数_バス貨物_メタノール,係数_バス貨物_LPG),MATCH(AY503,【参考】排出係数!$AI$4:$AI$671,1),1,BE503):INDEX((係数_バス貨物_ガソリン,係数_バス貨物_CNG,係数_バス貨物_軽油,係数_バス貨物_メタノール,係数_バス貨物_LPG),MATCH(AY503+1,【参考】排出係数!$AI$4:$AI$671,1)-1,5,BE503),5,FALSE)),IF(AND(BE503=3,LEFT(BF503,1)="1"),0.055,VLOOKUP(AU503,INDEX((係数_乗用_ガソリン,係数_乗用_CNG,係数_乗用_軽油,係数_乗用_メタノール,係数_乗用_LPG),1,1,BE503):INDEX((係数_乗用_ガソリン,係数_乗用_CNG,係数_乗用_軽油,係数_乗用_メタノール,係数_乗用_LPG),125,5,BE503),5,FALSE)))))</f>
        <v/>
      </c>
      <c r="AN503" s="461" t="str">
        <f t="shared" si="279"/>
        <v/>
      </c>
      <c r="AO503" s="462" t="str">
        <f t="shared" si="280"/>
        <v/>
      </c>
      <c r="AP503" s="463" t="str">
        <f t="shared" si="281"/>
        <v/>
      </c>
      <c r="AQ503" s="464"/>
      <c r="AR503" s="619"/>
      <c r="AS503" s="465" t="str">
        <f t="shared" si="260"/>
        <v/>
      </c>
      <c r="AT503" s="465" t="str">
        <f t="shared" si="261"/>
        <v/>
      </c>
      <c r="AU503" s="466" t="str">
        <f t="shared" si="262"/>
        <v/>
      </c>
      <c r="AV503" s="467" t="str">
        <f t="shared" si="263"/>
        <v/>
      </c>
      <c r="AW503" s="467" t="str">
        <f t="shared" si="264"/>
        <v/>
      </c>
      <c r="AX503" s="467" t="str">
        <f t="shared" si="265"/>
        <v/>
      </c>
      <c r="AY503" s="467" t="str">
        <f t="shared" si="266"/>
        <v/>
      </c>
      <c r="AZ503" s="467" t="str">
        <f t="shared" si="267"/>
        <v/>
      </c>
      <c r="BA503" s="468" t="str">
        <f>IF(AS503="","",IF(OR(AU503="",AU503="-"),"－",IF(OR(AZ503=8,AZ503=9),"",IF(OR(AW503=3,AW503=4,AW503=5,AW503=6),VLOOKUP(AU503,INDEX((係数_バス貨物_ガソリン,係数_バス貨物_CNG,係数_バス貨物_軽油,係数_バス貨物_メタノール,係数_バス貨物_LPG),MATCH(AY503,【参考】排出係数!$AI$4:$AI$671,1),1,BE503):INDEX((係数_バス貨物_ガソリン,係数_バス貨物_CNG,係数_バス貨物_軽油,係数_バス貨物_メタノール,係数_バス貨物_LPG),MATCH(AY503+1,【参考】排出係数!$AI$4:$AI$671,1)-1,5,BE503),2,FALSE),IF(OR(AW503=1,AW503=2),VLOOKUP(AU503,INDEX((係数_乗用_ガソリン,係数_乗用_CNG,係数_乗用_軽油,係数_乗用_メタノール,係数_乗用_LPG),1,1,BE503):INDEX((係数_乗用_ガソリン,係数_乗用_CNG,係数_乗用_軽油,係数_乗用_メタノール,係数_乗用_LPG),125,5,BE503),2,FALSE))))))</f>
        <v/>
      </c>
      <c r="BB503" s="468" t="str">
        <f>IF(T503="","",IF(OR(AU503="",AU503="-"),"－",IF(OR(AZ503=8,AZ503=9),"",IF(OR(AW503=3,AW503=4,AW503=5,AW503=6),VLOOKUP(AU503,INDEX((係数_バス貨物_ガソリン,係数_バス貨物_CNG,係数_バス貨物_軽油,係数_バス貨物_メタノール,係数_バス貨物_LPG),MATCH(AY503,【参考】排出係数!$AI$4:$AI$671,1),1,BE503):INDEX((係数_バス貨物_ガソリン,係数_バス貨物_CNG,係数_バス貨物_軽油,係数_バス貨物_メタノール,係数_バス貨物_LPG),MATCH(AY503+1,【参考】排出係数!$AI$4:$AI$671,1)-1,5,BE503),3,FALSE),IF(OR(AW503=1,AW503=2),VLOOKUP(AU503,INDEX((係数_乗用_ガソリン,係数_乗用_CNG,係数_乗用_軽油,係数_乗用_メタノール,係数_乗用_LPG),1,1,BE503):INDEX((係数_乗用_ガソリン,係数_乗用_CNG,係数_乗用_軽油,係数_乗用_メタノール,係数_乗用_LPG),125,5,BE503),3,FALSE))))))</f>
        <v/>
      </c>
      <c r="BC503" s="467" t="str">
        <f t="shared" si="268"/>
        <v/>
      </c>
      <c r="BD503" s="567" t="str">
        <f t="shared" si="269"/>
        <v/>
      </c>
      <c r="BE503" s="467" t="str">
        <f t="shared" si="270"/>
        <v/>
      </c>
      <c r="BF503" s="469" t="str">
        <f t="shared" ca="1" si="271"/>
        <v/>
      </c>
      <c r="BG503" s="469" t="str">
        <f t="shared" ca="1" si="272"/>
        <v/>
      </c>
      <c r="BH503" s="467" t="str">
        <f t="shared" si="273"/>
        <v/>
      </c>
      <c r="BI503" s="467" t="str">
        <f t="shared" ca="1" si="274"/>
        <v/>
      </c>
      <c r="BJ503" s="469" t="str">
        <f t="shared" si="275"/>
        <v/>
      </c>
      <c r="BK503" s="470" t="str">
        <f t="shared" si="255"/>
        <v/>
      </c>
      <c r="BL503" s="775" t="str">
        <f t="shared" si="276"/>
        <v/>
      </c>
      <c r="BM503" s="775" t="str">
        <f t="shared" si="277"/>
        <v/>
      </c>
    </row>
    <row r="504" spans="1:65">
      <c r="A504" s="473">
        <v>448</v>
      </c>
      <c r="B504" s="132"/>
      <c r="C504" s="332"/>
      <c r="D504" s="333"/>
      <c r="E504" s="333"/>
      <c r="F504" s="334"/>
      <c r="G504" s="337"/>
      <c r="H504" s="131"/>
      <c r="I504" s="337"/>
      <c r="J504" s="131"/>
      <c r="K504" s="458" t="str">
        <f t="shared" si="244"/>
        <v/>
      </c>
      <c r="L504" s="458">
        <f t="shared" si="256"/>
        <v>0</v>
      </c>
      <c r="M504" s="458">
        <f t="shared" si="257"/>
        <v>0</v>
      </c>
      <c r="N504" s="459" t="str">
        <f t="shared" si="245"/>
        <v/>
      </c>
      <c r="O504" s="459" t="str">
        <f t="shared" si="246"/>
        <v/>
      </c>
      <c r="P504" s="459" t="str">
        <f t="shared" si="247"/>
        <v/>
      </c>
      <c r="Q504" s="459" t="str">
        <f t="shared" si="248"/>
        <v/>
      </c>
      <c r="R504" s="459" t="str">
        <f t="shared" si="249"/>
        <v/>
      </c>
      <c r="S504" s="459" t="str">
        <f t="shared" si="250"/>
        <v/>
      </c>
      <c r="T504" s="566" t="str">
        <f t="shared" si="258"/>
        <v/>
      </c>
      <c r="U504" s="702"/>
      <c r="V504" s="132"/>
      <c r="W504" s="133"/>
      <c r="X504" s="134"/>
      <c r="Y504" s="135"/>
      <c r="Z504" s="137"/>
      <c r="AA504" s="136"/>
      <c r="AB504" s="566" t="str">
        <f t="shared" si="251"/>
        <v/>
      </c>
      <c r="AC504" s="568" t="str">
        <f t="shared" si="259"/>
        <v/>
      </c>
      <c r="AD504" s="137"/>
      <c r="AE504" s="137"/>
      <c r="AF504" s="138"/>
      <c r="AG504" s="138"/>
      <c r="AH504" s="592" t="str">
        <f t="shared" si="252"/>
        <v/>
      </c>
      <c r="AI504" s="592" t="str">
        <f t="shared" si="253"/>
        <v/>
      </c>
      <c r="AJ504" s="592" t="str">
        <f t="shared" si="254"/>
        <v/>
      </c>
      <c r="AK504" s="460" t="str">
        <f>IF(AU504="","",IF(OR(AZ504=8,AZ504=9),0,IF(OR(AW504=3,AW504=4,AW504=5,AW504=6),IF(LEFT(BF504,1)="1",INDEX(係数_NOX・PM低減,MATCH(AY504,【参考】排出係数!$AI$801:$AI$804,1),1),VLOOKUP(AU504,INDEX((係数_バス貨物_ガソリン,係数_バス貨物_CNG,係数_バス貨物_軽油,係数_バス貨物_メタノール,係数_バス貨物_LPG),MATCH(AY504,【参考】排出係数!$AI$4:$AI$671,1),1,BE504):INDEX((係数_バス貨物_ガソリン,係数_バス貨物_CNG,係数_バス貨物_軽油,係数_バス貨物_メタノール,係数_バス貨物_LPG),MATCH(AY504+1,【参考】排出係数!$AI$4:$AI$671,1)-1,5,BE504),4,FALSE)),IF(AND(BE504=3,LEFT(BF504,1)="1"),0.48,VLOOKUP(AU504,INDEX((係数_乗用_ガソリン,係数_乗用_CNG,係数_乗用_軽油,係数_乗用_メタノール,係数_乗用_LPG),1,1,BE504):INDEX((係数_乗用_ガソリン,係数_乗用_CNG,係数_乗用_軽油,係数_乗用_メタノール,係数_乗用_LPG),125,5,BE504),4,FALSE)))))</f>
        <v/>
      </c>
      <c r="AL504" s="461" t="str">
        <f t="shared" si="278"/>
        <v/>
      </c>
      <c r="AM504" s="460" t="str">
        <f>IF(AU504="","",IF(OR(AZ504=8,AZ504=9),0,IF(OR(AW504=3,AW504=4,AW504=5,AW504=6),IF(LEFT(BH504,1)="1",INDEX(係数_PM低減,MATCH(AY504,【参考】排出係数!$AI$801:$AI$804,1),MATCH(BI504,【参考】排出係数!$AL$798:$AO$798,1)),VLOOKUP(AU504,INDEX((係数_バス貨物_ガソリン,係数_バス貨物_CNG,係数_バス貨物_軽油,係数_バス貨物_メタノール,係数_バス貨物_LPG),MATCH(AY504,【参考】排出係数!$AI$4:$AI$671,1),1,BE504):INDEX((係数_バス貨物_ガソリン,係数_バス貨物_CNG,係数_バス貨物_軽油,係数_バス貨物_メタノール,係数_バス貨物_LPG),MATCH(AY504+1,【参考】排出係数!$AI$4:$AI$671,1)-1,5,BE504),5,FALSE)),IF(AND(BE504=3,LEFT(BF504,1)="1"),0.055,VLOOKUP(AU504,INDEX((係数_乗用_ガソリン,係数_乗用_CNG,係数_乗用_軽油,係数_乗用_メタノール,係数_乗用_LPG),1,1,BE504):INDEX((係数_乗用_ガソリン,係数_乗用_CNG,係数_乗用_軽油,係数_乗用_メタノール,係数_乗用_LPG),125,5,BE504),5,FALSE)))))</f>
        <v/>
      </c>
      <c r="AN504" s="461" t="str">
        <f t="shared" si="279"/>
        <v/>
      </c>
      <c r="AO504" s="462" t="str">
        <f t="shared" si="280"/>
        <v/>
      </c>
      <c r="AP504" s="463" t="str">
        <f t="shared" si="281"/>
        <v/>
      </c>
      <c r="AQ504" s="464"/>
      <c r="AR504" s="619"/>
      <c r="AS504" s="465" t="str">
        <f t="shared" si="260"/>
        <v/>
      </c>
      <c r="AT504" s="465" t="str">
        <f t="shared" si="261"/>
        <v/>
      </c>
      <c r="AU504" s="466" t="str">
        <f t="shared" si="262"/>
        <v/>
      </c>
      <c r="AV504" s="467" t="str">
        <f t="shared" si="263"/>
        <v/>
      </c>
      <c r="AW504" s="467" t="str">
        <f t="shared" si="264"/>
        <v/>
      </c>
      <c r="AX504" s="467" t="str">
        <f t="shared" si="265"/>
        <v/>
      </c>
      <c r="AY504" s="467" t="str">
        <f t="shared" si="266"/>
        <v/>
      </c>
      <c r="AZ504" s="467" t="str">
        <f t="shared" si="267"/>
        <v/>
      </c>
      <c r="BA504" s="468" t="str">
        <f>IF(AS504="","",IF(OR(AU504="",AU504="-"),"－",IF(OR(AZ504=8,AZ504=9),"",IF(OR(AW504=3,AW504=4,AW504=5,AW504=6),VLOOKUP(AU504,INDEX((係数_バス貨物_ガソリン,係数_バス貨物_CNG,係数_バス貨物_軽油,係数_バス貨物_メタノール,係数_バス貨物_LPG),MATCH(AY504,【参考】排出係数!$AI$4:$AI$671,1),1,BE504):INDEX((係数_バス貨物_ガソリン,係数_バス貨物_CNG,係数_バス貨物_軽油,係数_バス貨物_メタノール,係数_バス貨物_LPG),MATCH(AY504+1,【参考】排出係数!$AI$4:$AI$671,1)-1,5,BE504),2,FALSE),IF(OR(AW504=1,AW504=2),VLOOKUP(AU504,INDEX((係数_乗用_ガソリン,係数_乗用_CNG,係数_乗用_軽油,係数_乗用_メタノール,係数_乗用_LPG),1,1,BE504):INDEX((係数_乗用_ガソリン,係数_乗用_CNG,係数_乗用_軽油,係数_乗用_メタノール,係数_乗用_LPG),125,5,BE504),2,FALSE))))))</f>
        <v/>
      </c>
      <c r="BB504" s="468" t="str">
        <f>IF(T504="","",IF(OR(AU504="",AU504="-"),"－",IF(OR(AZ504=8,AZ504=9),"",IF(OR(AW504=3,AW504=4,AW504=5,AW504=6),VLOOKUP(AU504,INDEX((係数_バス貨物_ガソリン,係数_バス貨物_CNG,係数_バス貨物_軽油,係数_バス貨物_メタノール,係数_バス貨物_LPG),MATCH(AY504,【参考】排出係数!$AI$4:$AI$671,1),1,BE504):INDEX((係数_バス貨物_ガソリン,係数_バス貨物_CNG,係数_バス貨物_軽油,係数_バス貨物_メタノール,係数_バス貨物_LPG),MATCH(AY504+1,【参考】排出係数!$AI$4:$AI$671,1)-1,5,BE504),3,FALSE),IF(OR(AW504=1,AW504=2),VLOOKUP(AU504,INDEX((係数_乗用_ガソリン,係数_乗用_CNG,係数_乗用_軽油,係数_乗用_メタノール,係数_乗用_LPG),1,1,BE504):INDEX((係数_乗用_ガソリン,係数_乗用_CNG,係数_乗用_軽油,係数_乗用_メタノール,係数_乗用_LPG),125,5,BE504),3,FALSE))))))</f>
        <v/>
      </c>
      <c r="BC504" s="467" t="str">
        <f t="shared" si="268"/>
        <v/>
      </c>
      <c r="BD504" s="567" t="str">
        <f t="shared" si="269"/>
        <v/>
      </c>
      <c r="BE504" s="467" t="str">
        <f t="shared" si="270"/>
        <v/>
      </c>
      <c r="BF504" s="469" t="str">
        <f t="shared" ca="1" si="271"/>
        <v/>
      </c>
      <c r="BG504" s="469" t="str">
        <f t="shared" ca="1" si="272"/>
        <v/>
      </c>
      <c r="BH504" s="467" t="str">
        <f t="shared" si="273"/>
        <v/>
      </c>
      <c r="BI504" s="467" t="str">
        <f t="shared" ca="1" si="274"/>
        <v/>
      </c>
      <c r="BJ504" s="469" t="str">
        <f t="shared" si="275"/>
        <v/>
      </c>
      <c r="BK504" s="470" t="str">
        <f t="shared" si="255"/>
        <v/>
      </c>
      <c r="BL504" s="775" t="str">
        <f t="shared" si="276"/>
        <v/>
      </c>
      <c r="BM504" s="775" t="str">
        <f t="shared" si="277"/>
        <v/>
      </c>
    </row>
    <row r="505" spans="1:65">
      <c r="A505" s="473">
        <v>449</v>
      </c>
      <c r="B505" s="132"/>
      <c r="C505" s="332"/>
      <c r="D505" s="333"/>
      <c r="E505" s="333"/>
      <c r="F505" s="334"/>
      <c r="G505" s="337"/>
      <c r="H505" s="131"/>
      <c r="I505" s="337"/>
      <c r="J505" s="131"/>
      <c r="K505" s="458" t="str">
        <f t="shared" ref="K505:K2056" si="282">C505&amp;D505&amp;E505&amp;F505</f>
        <v/>
      </c>
      <c r="L505" s="458">
        <f t="shared" si="256"/>
        <v>0</v>
      </c>
      <c r="M505" s="458">
        <f t="shared" si="257"/>
        <v>0</v>
      </c>
      <c r="N505" s="459" t="str">
        <f t="shared" ref="N505:N2056" si="283">IF(OR($L505&gt;$U$48,$M505&gt;$U$48,AND($L505&gt;$M505,$M505&lt;&gt;0),AND($L505=0,$M505&lt;&gt;0)),"ERROR","")</f>
        <v/>
      </c>
      <c r="O505" s="459" t="str">
        <f t="shared" ref="O505:O2056" si="284">IF(AND($N505&lt;&gt;"ERROR",$L505&lt;=$U$49,$M505&lt;=$U$49,$M505&lt;&gt;0),"(減車済)","")</f>
        <v/>
      </c>
      <c r="P505" s="459" t="str">
        <f t="shared" ref="P505:P2056" si="285">IF(AND($N505&lt;&gt;"ERROR",$L505&lt;$U$49,AND($M505&gt;$U$49,$M505&lt;=$W$49),$M505&lt;&gt;0),"減車","")</f>
        <v/>
      </c>
      <c r="Q505" s="459" t="str">
        <f t="shared" ref="Q505:Q2056" si="286">IF(AND($N505&lt;&gt;"ERROR",$L505&gt;$U$49,$M505&lt;=$W$49,$M505&lt;&gt;0),"一時使用","")</f>
        <v/>
      </c>
      <c r="R505" s="459" t="str">
        <f t="shared" ref="R505:R2056" si="287">IF(AND($N505&lt;&gt;"ERROR",AND($L505&gt;0,$L505&lt;=$U$49),$M505=0),"継続","")</f>
        <v/>
      </c>
      <c r="S505" s="459" t="str">
        <f t="shared" ref="S505:S2056" si="288">IF(AND($N505&lt;&gt;"ERROR",AND($L505&gt;$U$49),$M505=0),"新規","")</f>
        <v/>
      </c>
      <c r="T505" s="566" t="str">
        <f t="shared" si="258"/>
        <v/>
      </c>
      <c r="U505" s="702"/>
      <c r="V505" s="132"/>
      <c r="W505" s="133"/>
      <c r="X505" s="134"/>
      <c r="Y505" s="135"/>
      <c r="Z505" s="137"/>
      <c r="AA505" s="136"/>
      <c r="AB505" s="566" t="str">
        <f t="shared" ref="AB505:AB2056" si="289">IF(AS505="","",IF(AZ505=1,VLOOKUP(BA505,低公害車判別,2,FALSE),IF(AZ505=3,VLOOKUP(BA505,低公害車判別,2,FALSE),IF(AZ505=4,VLOOKUP(BB505,低公害車判別,2,FALSE),"低公害車"))))</f>
        <v/>
      </c>
      <c r="AC505" s="568" t="str">
        <f t="shared" si="259"/>
        <v/>
      </c>
      <c r="AD505" s="137"/>
      <c r="AE505" s="137"/>
      <c r="AF505" s="138"/>
      <c r="AG505" s="138"/>
      <c r="AH505" s="592" t="str">
        <f t="shared" ref="AH505:AH2056" si="290">IF(C505="","",IF(LEFT(C505,2)="横浜","○",""))</f>
        <v/>
      </c>
      <c r="AI505" s="592" t="str">
        <f t="shared" ref="AI505:AI2056" si="291">IF(C505="","",IF(LEFT(C505,2)="川崎","○",""))</f>
        <v/>
      </c>
      <c r="AJ505" s="592" t="str">
        <f t="shared" ref="AJ505:AJ2056" si="292">IF(C505="","",IF(OR(AH505="○",AI505="○"),"","○"))</f>
        <v/>
      </c>
      <c r="AK505" s="460" t="str">
        <f>IF(AU505="","",IF(OR(AZ505=8,AZ505=9),0,IF(OR(AW505=3,AW505=4,AW505=5,AW505=6),IF(LEFT(BF505,1)="1",INDEX(係数_NOX・PM低減,MATCH(AY505,【参考】排出係数!$AI$801:$AI$804,1),1),VLOOKUP(AU505,INDEX((係数_バス貨物_ガソリン,係数_バス貨物_CNG,係数_バス貨物_軽油,係数_バス貨物_メタノール,係数_バス貨物_LPG),MATCH(AY505,【参考】排出係数!$AI$4:$AI$671,1),1,BE505):INDEX((係数_バス貨物_ガソリン,係数_バス貨物_CNG,係数_バス貨物_軽油,係数_バス貨物_メタノール,係数_バス貨物_LPG),MATCH(AY505+1,【参考】排出係数!$AI$4:$AI$671,1)-1,5,BE505),4,FALSE)),IF(AND(BE505=3,LEFT(BF505,1)="1"),0.48,VLOOKUP(AU505,INDEX((係数_乗用_ガソリン,係数_乗用_CNG,係数_乗用_軽油,係数_乗用_メタノール,係数_乗用_LPG),1,1,BE505):INDEX((係数_乗用_ガソリン,係数_乗用_CNG,係数_乗用_軽油,係数_乗用_メタノール,係数_乗用_LPG),125,5,BE505),4,FALSE)))))</f>
        <v/>
      </c>
      <c r="AL505" s="461" t="str">
        <f t="shared" si="278"/>
        <v/>
      </c>
      <c r="AM505" s="460" t="str">
        <f>IF(AU505="","",IF(OR(AZ505=8,AZ505=9),0,IF(OR(AW505=3,AW505=4,AW505=5,AW505=6),IF(LEFT(BH505,1)="1",INDEX(係数_PM低減,MATCH(AY505,【参考】排出係数!$AI$801:$AI$804,1),MATCH(BI505,【参考】排出係数!$AL$798:$AO$798,1)),VLOOKUP(AU505,INDEX((係数_バス貨物_ガソリン,係数_バス貨物_CNG,係数_バス貨物_軽油,係数_バス貨物_メタノール,係数_バス貨物_LPG),MATCH(AY505,【参考】排出係数!$AI$4:$AI$671,1),1,BE505):INDEX((係数_バス貨物_ガソリン,係数_バス貨物_CNG,係数_バス貨物_軽油,係数_バス貨物_メタノール,係数_バス貨物_LPG),MATCH(AY505+1,【参考】排出係数!$AI$4:$AI$671,1)-1,5,BE505),5,FALSE)),IF(AND(BE505=3,LEFT(BF505,1)="1"),0.055,VLOOKUP(AU505,INDEX((係数_乗用_ガソリン,係数_乗用_CNG,係数_乗用_軽油,係数_乗用_メタノール,係数_乗用_LPG),1,1,BE505):INDEX((係数_乗用_ガソリン,係数_乗用_CNG,係数_乗用_軽油,係数_乗用_メタノール,係数_乗用_LPG),125,5,BE505),5,FALSE)))))</f>
        <v/>
      </c>
      <c r="AN505" s="461" t="str">
        <f t="shared" si="279"/>
        <v/>
      </c>
      <c r="AO505" s="462" t="str">
        <f t="shared" si="280"/>
        <v/>
      </c>
      <c r="AP505" s="463" t="str">
        <f t="shared" si="281"/>
        <v/>
      </c>
      <c r="AQ505" s="464"/>
      <c r="AR505" s="619"/>
      <c r="AS505" s="465" t="str">
        <f t="shared" si="260"/>
        <v/>
      </c>
      <c r="AT505" s="465" t="str">
        <f t="shared" si="261"/>
        <v/>
      </c>
      <c r="AU505" s="466" t="str">
        <f t="shared" si="262"/>
        <v/>
      </c>
      <c r="AV505" s="467" t="str">
        <f t="shared" si="263"/>
        <v/>
      </c>
      <c r="AW505" s="467" t="str">
        <f t="shared" si="264"/>
        <v/>
      </c>
      <c r="AX505" s="467" t="str">
        <f t="shared" si="265"/>
        <v/>
      </c>
      <c r="AY505" s="467" t="str">
        <f t="shared" si="266"/>
        <v/>
      </c>
      <c r="AZ505" s="467" t="str">
        <f t="shared" si="267"/>
        <v/>
      </c>
      <c r="BA505" s="468" t="str">
        <f>IF(AS505="","",IF(OR(AU505="",AU505="-"),"－",IF(OR(AZ505=8,AZ505=9),"",IF(OR(AW505=3,AW505=4,AW505=5,AW505=6),VLOOKUP(AU505,INDEX((係数_バス貨物_ガソリン,係数_バス貨物_CNG,係数_バス貨物_軽油,係数_バス貨物_メタノール,係数_バス貨物_LPG),MATCH(AY505,【参考】排出係数!$AI$4:$AI$671,1),1,BE505):INDEX((係数_バス貨物_ガソリン,係数_バス貨物_CNG,係数_バス貨物_軽油,係数_バス貨物_メタノール,係数_バス貨物_LPG),MATCH(AY505+1,【参考】排出係数!$AI$4:$AI$671,1)-1,5,BE505),2,FALSE),IF(OR(AW505=1,AW505=2),VLOOKUP(AU505,INDEX((係数_乗用_ガソリン,係数_乗用_CNG,係数_乗用_軽油,係数_乗用_メタノール,係数_乗用_LPG),1,1,BE505):INDEX((係数_乗用_ガソリン,係数_乗用_CNG,係数_乗用_軽油,係数_乗用_メタノール,係数_乗用_LPG),125,5,BE505),2,FALSE))))))</f>
        <v/>
      </c>
      <c r="BB505" s="468" t="str">
        <f>IF(T505="","",IF(OR(AU505="",AU505="-"),"－",IF(OR(AZ505=8,AZ505=9),"",IF(OR(AW505=3,AW505=4,AW505=5,AW505=6),VLOOKUP(AU505,INDEX((係数_バス貨物_ガソリン,係数_バス貨物_CNG,係数_バス貨物_軽油,係数_バス貨物_メタノール,係数_バス貨物_LPG),MATCH(AY505,【参考】排出係数!$AI$4:$AI$671,1),1,BE505):INDEX((係数_バス貨物_ガソリン,係数_バス貨物_CNG,係数_バス貨物_軽油,係数_バス貨物_メタノール,係数_バス貨物_LPG),MATCH(AY505+1,【参考】排出係数!$AI$4:$AI$671,1)-1,5,BE505),3,FALSE),IF(OR(AW505=1,AW505=2),VLOOKUP(AU505,INDEX((係数_乗用_ガソリン,係数_乗用_CNG,係数_乗用_軽油,係数_乗用_メタノール,係数_乗用_LPG),1,1,BE505):INDEX((係数_乗用_ガソリン,係数_乗用_CNG,係数_乗用_軽油,係数_乗用_メタノール,係数_乗用_LPG),125,5,BE505),3,FALSE))))))</f>
        <v/>
      </c>
      <c r="BC505" s="467" t="str">
        <f t="shared" si="268"/>
        <v/>
      </c>
      <c r="BD505" s="567" t="str">
        <f t="shared" si="269"/>
        <v/>
      </c>
      <c r="BE505" s="467" t="str">
        <f t="shared" si="270"/>
        <v/>
      </c>
      <c r="BF505" s="469" t="str">
        <f t="shared" ca="1" si="271"/>
        <v/>
      </c>
      <c r="BG505" s="469" t="str">
        <f t="shared" ca="1" si="272"/>
        <v/>
      </c>
      <c r="BH505" s="467" t="str">
        <f t="shared" si="273"/>
        <v/>
      </c>
      <c r="BI505" s="467" t="str">
        <f t="shared" ca="1" si="274"/>
        <v/>
      </c>
      <c r="BJ505" s="469" t="str">
        <f t="shared" si="275"/>
        <v/>
      </c>
      <c r="BK505" s="470" t="str">
        <f t="shared" ref="BK505:BK568" si="293">IF(AS505="","",VLOOKUP(T505,車両の増減,2,FALSE))</f>
        <v/>
      </c>
      <c r="BL505" s="775" t="str">
        <f t="shared" si="276"/>
        <v/>
      </c>
      <c r="BM505" s="775" t="str">
        <f t="shared" si="277"/>
        <v/>
      </c>
    </row>
    <row r="506" spans="1:65">
      <c r="A506" s="473">
        <v>450</v>
      </c>
      <c r="B506" s="132"/>
      <c r="C506" s="332"/>
      <c r="D506" s="333"/>
      <c r="E506" s="333"/>
      <c r="F506" s="334"/>
      <c r="G506" s="337"/>
      <c r="H506" s="131"/>
      <c r="I506" s="337"/>
      <c r="J506" s="131"/>
      <c r="K506" s="458" t="str">
        <f t="shared" si="282"/>
        <v/>
      </c>
      <c r="L506" s="458">
        <f t="shared" ref="L506:L2056" si="294">IF(G506&gt;0,DATE((G506),(H506+1),0),0)</f>
        <v>0</v>
      </c>
      <c r="M506" s="458">
        <f t="shared" ref="M506:M2056" si="295">IF(I506&gt;0,DATE((I506),(J506+1),0),0)</f>
        <v>0</v>
      </c>
      <c r="N506" s="459" t="str">
        <f t="shared" si="283"/>
        <v/>
      </c>
      <c r="O506" s="459" t="str">
        <f t="shared" si="284"/>
        <v/>
      </c>
      <c r="P506" s="459" t="str">
        <f t="shared" si="285"/>
        <v/>
      </c>
      <c r="Q506" s="459" t="str">
        <f t="shared" si="286"/>
        <v/>
      </c>
      <c r="R506" s="459" t="str">
        <f t="shared" si="287"/>
        <v/>
      </c>
      <c r="S506" s="459" t="str">
        <f t="shared" si="288"/>
        <v/>
      </c>
      <c r="T506" s="566" t="str">
        <f t="shared" ref="T506:T2056" si="296">N506&amp;O506&amp;P506&amp;Q506&amp;R506&amp;S506</f>
        <v/>
      </c>
      <c r="U506" s="702"/>
      <c r="V506" s="132"/>
      <c r="W506" s="133"/>
      <c r="X506" s="134"/>
      <c r="Y506" s="135"/>
      <c r="Z506" s="137"/>
      <c r="AA506" s="136"/>
      <c r="AB506" s="566" t="str">
        <f t="shared" si="289"/>
        <v/>
      </c>
      <c r="AC506" s="568" t="str">
        <f t="shared" ref="AC506:AC2056" si="297">IF(AS506="","",IF((BA506="")+(BA506="－"),IF((BB506="")+(BB506=0),"－",BB506),IF((BA506="PM☆☆☆")+(BA506="☆及びPM☆☆☆")+(BA506="☆☆及びPM☆☆☆")+(BA506="☆☆☆及びPM☆☆☆"),"PM☆☆☆",IF((BA506="PM☆☆☆☆")+(BA506="☆及びPM☆☆☆☆")+(BA506="☆☆及びPM☆☆☆☆")+(BA506="☆☆☆及びPM☆☆☆☆"),"PM☆☆☆☆",IF((BA506="新☆")+(BA506="新NOx☆")+(BA506="新PM☆"),"新☆（新長期）",BA506)))))</f>
        <v/>
      </c>
      <c r="AD506" s="137"/>
      <c r="AE506" s="137"/>
      <c r="AF506" s="138"/>
      <c r="AG506" s="138"/>
      <c r="AH506" s="592" t="str">
        <f t="shared" si="290"/>
        <v/>
      </c>
      <c r="AI506" s="592" t="str">
        <f t="shared" si="291"/>
        <v/>
      </c>
      <c r="AJ506" s="592" t="str">
        <f t="shared" si="292"/>
        <v/>
      </c>
      <c r="AK506" s="460" t="str">
        <f>IF(AU506="","",IF(OR(AZ506=8,AZ506=9),0,IF(OR(AW506=3,AW506=4,AW506=5,AW506=6),IF(LEFT(BF506,1)="1",INDEX(係数_NOX・PM低減,MATCH(AY506,【参考】排出係数!$AI$801:$AI$804,1),1),VLOOKUP(AU506,INDEX((係数_バス貨物_ガソリン,係数_バス貨物_CNG,係数_バス貨物_軽油,係数_バス貨物_メタノール,係数_バス貨物_LPG),MATCH(AY506,【参考】排出係数!$AI$4:$AI$671,1),1,BE506):INDEX((係数_バス貨物_ガソリン,係数_バス貨物_CNG,係数_バス貨物_軽油,係数_バス貨物_メタノール,係数_バス貨物_LPG),MATCH(AY506+1,【参考】排出係数!$AI$4:$AI$671,1)-1,5,BE506),4,FALSE)),IF(AND(BE506=3,LEFT(BF506,1)="1"),0.48,VLOOKUP(AU506,INDEX((係数_乗用_ガソリン,係数_乗用_CNG,係数_乗用_軽油,係数_乗用_メタノール,係数_乗用_LPG),1,1,BE506):INDEX((係数_乗用_ガソリン,係数_乗用_CNG,係数_乗用_軽油,係数_乗用_メタノール,係数_乗用_LPG),125,5,BE506),4,FALSE)))))</f>
        <v/>
      </c>
      <c r="AL506" s="461" t="str">
        <f t="shared" si="278"/>
        <v/>
      </c>
      <c r="AM506" s="460" t="str">
        <f>IF(AU506="","",IF(OR(AZ506=8,AZ506=9),0,IF(OR(AW506=3,AW506=4,AW506=5,AW506=6),IF(LEFT(BH506,1)="1",INDEX(係数_PM低減,MATCH(AY506,【参考】排出係数!$AI$801:$AI$804,1),MATCH(BI506,【参考】排出係数!$AL$798:$AO$798,1)),VLOOKUP(AU506,INDEX((係数_バス貨物_ガソリン,係数_バス貨物_CNG,係数_バス貨物_軽油,係数_バス貨物_メタノール,係数_バス貨物_LPG),MATCH(AY506,【参考】排出係数!$AI$4:$AI$671,1),1,BE506):INDEX((係数_バス貨物_ガソリン,係数_バス貨物_CNG,係数_バス貨物_軽油,係数_バス貨物_メタノール,係数_バス貨物_LPG),MATCH(AY506+1,【参考】排出係数!$AI$4:$AI$671,1)-1,5,BE506),5,FALSE)),IF(AND(BE506=3,LEFT(BF506,1)="1"),0.055,VLOOKUP(AU506,INDEX((係数_乗用_ガソリン,係数_乗用_CNG,係数_乗用_軽油,係数_乗用_メタノール,係数_乗用_LPG),1,1,BE506):INDEX((係数_乗用_ガソリン,係数_乗用_CNG,係数_乗用_軽油,係数_乗用_メタノール,係数_乗用_LPG),125,5,BE506),5,FALSE)))))</f>
        <v/>
      </c>
      <c r="AN506" s="461" t="str">
        <f t="shared" si="279"/>
        <v/>
      </c>
      <c r="AO506" s="462" t="str">
        <f t="shared" si="280"/>
        <v/>
      </c>
      <c r="AP506" s="463" t="str">
        <f t="shared" si="281"/>
        <v/>
      </c>
      <c r="AQ506" s="464"/>
      <c r="AR506" s="619"/>
      <c r="AS506" s="465" t="str">
        <f t="shared" ref="AS506:AS569" si="298">IF(OR(T506="(減車済)",T506=""),"",1)</f>
        <v/>
      </c>
      <c r="AT506" s="465" t="str">
        <f t="shared" ref="AT506:AT569" si="299">IF(OR(T506="継続",T506="新規"),1,"")</f>
        <v/>
      </c>
      <c r="AU506" s="466" t="str">
        <f t="shared" ref="AU506:AU569" si="300">IF(AS506="","",UPPER(ASC(X506)))</f>
        <v/>
      </c>
      <c r="AV506" s="467" t="str">
        <f t="shared" ref="AV506:AV569" si="301">IF(AS506="","",IF(V506="","",IF(V506="普通",1,IF(V506="小型",2,0))))</f>
        <v/>
      </c>
      <c r="AW506" s="467" t="str">
        <f t="shared" ref="AW506:AW569" si="302">IF(AS506="","",IF(W506="","",VLOOKUP(W506,用途,2,FALSE)))</f>
        <v/>
      </c>
      <c r="AX506" s="467" t="str">
        <f t="shared" ref="AX506:AX569" si="303">IF(AS506="","",IF(Y506="","",IF(Y506&lt;=10,1,IF(Y506&lt;30,2,IF(Y506&gt;=30,3,0)))))</f>
        <v/>
      </c>
      <c r="AY506" s="467" t="str">
        <f t="shared" ref="AY506:AY569" si="304">IF(AS506="","",IF(Z506="","",IF(Z506&lt;=1.7*1000,1,IF(Z506&lt;=2.5*1000,2,IF(Z506&lt;=3.5*1000,3,IF(Z506&lt;8*1000,4,IF(Z506&gt;=8*1000,5,"")))))))</f>
        <v/>
      </c>
      <c r="AZ506" s="467" t="str">
        <f t="shared" ref="AZ506:AZ569" si="305">IF(AS506="","",IF(AA506="","",VLOOKUP(AA506,燃料の種類,2,FALSE)))</f>
        <v/>
      </c>
      <c r="BA506" s="468" t="str">
        <f>IF(AS506="","",IF(OR(AU506="",AU506="-"),"－",IF(OR(AZ506=8,AZ506=9),"",IF(OR(AW506=3,AW506=4,AW506=5,AW506=6),VLOOKUP(AU506,INDEX((係数_バス貨物_ガソリン,係数_バス貨物_CNG,係数_バス貨物_軽油,係数_バス貨物_メタノール,係数_バス貨物_LPG),MATCH(AY506,【参考】排出係数!$AI$4:$AI$671,1),1,BE506):INDEX((係数_バス貨物_ガソリン,係数_バス貨物_CNG,係数_バス貨物_軽油,係数_バス貨物_メタノール,係数_バス貨物_LPG),MATCH(AY506+1,【参考】排出係数!$AI$4:$AI$671,1)-1,5,BE506),2,FALSE),IF(OR(AW506=1,AW506=2),VLOOKUP(AU506,INDEX((係数_乗用_ガソリン,係数_乗用_CNG,係数_乗用_軽油,係数_乗用_メタノール,係数_乗用_LPG),1,1,BE506):INDEX((係数_乗用_ガソリン,係数_乗用_CNG,係数_乗用_軽油,係数_乗用_メタノール,係数_乗用_LPG),125,5,BE506),2,FALSE))))))</f>
        <v/>
      </c>
      <c r="BB506" s="468" t="str">
        <f>IF(T506="","",IF(OR(AU506="",AU506="-"),"－",IF(OR(AZ506=8,AZ506=9),"",IF(OR(AW506=3,AW506=4,AW506=5,AW506=6),VLOOKUP(AU506,INDEX((係数_バス貨物_ガソリン,係数_バス貨物_CNG,係数_バス貨物_軽油,係数_バス貨物_メタノール,係数_バス貨物_LPG),MATCH(AY506,【参考】排出係数!$AI$4:$AI$671,1),1,BE506):INDEX((係数_バス貨物_ガソリン,係数_バス貨物_CNG,係数_バス貨物_軽油,係数_バス貨物_メタノール,係数_バス貨物_LPG),MATCH(AY506+1,【参考】排出係数!$AI$4:$AI$671,1)-1,5,BE506),3,FALSE),IF(OR(AW506=1,AW506=2),VLOOKUP(AU506,INDEX((係数_乗用_ガソリン,係数_乗用_CNG,係数_乗用_軽油,係数_乗用_メタノール,係数_乗用_LPG),1,1,BE506):INDEX((係数_乗用_ガソリン,係数_乗用_CNG,係数_乗用_軽油,係数_乗用_メタノール,係数_乗用_LPG),125,5,BE506),3,FALSE))))))</f>
        <v/>
      </c>
      <c r="BC506" s="467" t="str">
        <f t="shared" ref="BC506:BC569" si="306">IF((AS506="")+(AC506=""),"",IF(燃料区分1=4,VLOOKUP(BB506,排ガス低減レベル,2,FALSE),VLOOKUP(AC506,排ガス低減レベル,2,FALSE)))</f>
        <v/>
      </c>
      <c r="BD506" s="567" t="str">
        <f t="shared" ref="BD506:BD569" si="307">IF(AT506="","",IF(AW506=3,B506&amp;"-"&amp;SUM(AW506*100,AX506*10,AY506)&amp;"A",IF(OR(AW506=2,AW506=4,AW506=6),B506&amp;"-"&amp;AY506*10&amp;"A",IF(AW506=1,B506&amp;"-"&amp;AW506&amp;"A",IF(AW506=5,B506&amp;"-"&amp;SUM(AW506*100,AV506*10,AY506)&amp;"A","")))))</f>
        <v/>
      </c>
      <c r="BE506" s="467" t="str">
        <f t="shared" ref="BE506:BE569" si="308">IF(OR(AZ506=1,AZ506=2,AZ506=11),1,IF(AZ506=6,2,IF(OR(AZ506=4,AZ506=5,AZ506=10),3,IF(AZ506=7,4,IF(AZ506=3,5, IF(OR(AZ506=8,AZ506=9),6,""))))))</f>
        <v/>
      </c>
      <c r="BF506" s="469" t="str">
        <f t="shared" ref="BF506:BF569" ca="1" si="309">(IF(OR(AZ506=4,AZ506=5),OFFSET($CH$1,MATCH($AF506,$CG$2:$CG$4,0),0)&amp;BK506,""))</f>
        <v/>
      </c>
      <c r="BG506" s="469" t="str">
        <f t="shared" ref="BG506:BG569" ca="1" si="310">(IF(OR(AZ506=4,AZ506=5),OFFSET($CJ$1,MATCH($AG506,$CI$2:$CI$5,0),0)&amp;BK506,""))</f>
        <v/>
      </c>
      <c r="BH506" s="467" t="str">
        <f t="shared" ref="BH506:BH569" si="311">IF(OR(AZ506=4,AZ506=5),IF(OR(LEFT(BF506,1)="1",LEFT(BG506,1)="2",LEFT(BG506,1)="3"),1,2)&amp;BK506,"")</f>
        <v/>
      </c>
      <c r="BI506" s="467" t="str">
        <f t="shared" ref="BI506:BI569" ca="1" si="312">IF(LEFT(BF506)="1",1,IF(LEFT(BG506,1)="2",2,IF(LEFT(BG506,1)="3",3,"")))</f>
        <v/>
      </c>
      <c r="BJ506" s="469" t="str">
        <f t="shared" ref="BJ506:BJ569" si="313">IF(AT506="","",B506&amp;"-"&amp;AZ506)</f>
        <v/>
      </c>
      <c r="BK506" s="470" t="str">
        <f t="shared" si="293"/>
        <v/>
      </c>
      <c r="BL506" s="775" t="str">
        <f t="shared" ref="BL506:BL569" si="314">IF(AND(OR($T506="新規",$T506="継続"),ISBLANK($AD506)),1,"")</f>
        <v/>
      </c>
      <c r="BM506" s="775" t="str">
        <f t="shared" ref="BM506:BM569" si="315">IF(AND(OR($T506="新規",$T506="継続"),ISBLANK($AE506)),1,"")</f>
        <v/>
      </c>
    </row>
    <row r="507" spans="1:65">
      <c r="A507" s="473">
        <v>451</v>
      </c>
      <c r="B507" s="132"/>
      <c r="C507" s="332"/>
      <c r="D507" s="333"/>
      <c r="E507" s="333"/>
      <c r="F507" s="334"/>
      <c r="G507" s="337"/>
      <c r="H507" s="131"/>
      <c r="I507" s="337"/>
      <c r="J507" s="131"/>
      <c r="K507" s="458" t="str">
        <f t="shared" si="282"/>
        <v/>
      </c>
      <c r="L507" s="458">
        <f t="shared" si="294"/>
        <v>0</v>
      </c>
      <c r="M507" s="458">
        <f t="shared" si="295"/>
        <v>0</v>
      </c>
      <c r="N507" s="459" t="str">
        <f t="shared" si="283"/>
        <v/>
      </c>
      <c r="O507" s="459" t="str">
        <f t="shared" si="284"/>
        <v/>
      </c>
      <c r="P507" s="459" t="str">
        <f t="shared" si="285"/>
        <v/>
      </c>
      <c r="Q507" s="459" t="str">
        <f t="shared" si="286"/>
        <v/>
      </c>
      <c r="R507" s="459" t="str">
        <f t="shared" si="287"/>
        <v/>
      </c>
      <c r="S507" s="459" t="str">
        <f t="shared" si="288"/>
        <v/>
      </c>
      <c r="T507" s="566" t="str">
        <f t="shared" si="296"/>
        <v/>
      </c>
      <c r="U507" s="702"/>
      <c r="V507" s="132"/>
      <c r="W507" s="133"/>
      <c r="X507" s="134"/>
      <c r="Y507" s="135"/>
      <c r="Z507" s="137"/>
      <c r="AA507" s="136"/>
      <c r="AB507" s="566" t="str">
        <f t="shared" si="289"/>
        <v/>
      </c>
      <c r="AC507" s="568" t="str">
        <f t="shared" si="297"/>
        <v/>
      </c>
      <c r="AD507" s="137"/>
      <c r="AE507" s="137"/>
      <c r="AF507" s="138"/>
      <c r="AG507" s="138"/>
      <c r="AH507" s="592" t="str">
        <f t="shared" si="290"/>
        <v/>
      </c>
      <c r="AI507" s="592" t="str">
        <f t="shared" si="291"/>
        <v/>
      </c>
      <c r="AJ507" s="592" t="str">
        <f t="shared" si="292"/>
        <v/>
      </c>
      <c r="AK507" s="460" t="str">
        <f>IF(AU507="","",IF(OR(AZ507=8,AZ507=9),0,IF(OR(AW507=3,AW507=4,AW507=5,AW507=6),IF(LEFT(BF507,1)="1",INDEX(係数_NOX・PM低減,MATCH(AY507,【参考】排出係数!$AI$801:$AI$804,1),1),VLOOKUP(AU507,INDEX((係数_バス貨物_ガソリン,係数_バス貨物_CNG,係数_バス貨物_軽油,係数_バス貨物_メタノール,係数_バス貨物_LPG),MATCH(AY507,【参考】排出係数!$AI$4:$AI$671,1),1,BE507):INDEX((係数_バス貨物_ガソリン,係数_バス貨物_CNG,係数_バス貨物_軽油,係数_バス貨物_メタノール,係数_バス貨物_LPG),MATCH(AY507+1,【参考】排出係数!$AI$4:$AI$671,1)-1,5,BE507),4,FALSE)),IF(AND(BE507=3,LEFT(BF507,1)="1"),0.48,VLOOKUP(AU507,INDEX((係数_乗用_ガソリン,係数_乗用_CNG,係数_乗用_軽油,係数_乗用_メタノール,係数_乗用_LPG),1,1,BE507):INDEX((係数_乗用_ガソリン,係数_乗用_CNG,係数_乗用_軽油,係数_乗用_メタノール,係数_乗用_LPG),125,5,BE507),4,FALSE)))))</f>
        <v/>
      </c>
      <c r="AL507" s="461" t="str">
        <f t="shared" si="278"/>
        <v/>
      </c>
      <c r="AM507" s="460" t="str">
        <f>IF(AU507="","",IF(OR(AZ507=8,AZ507=9),0,IF(OR(AW507=3,AW507=4,AW507=5,AW507=6),IF(LEFT(BH507,1)="1",INDEX(係数_PM低減,MATCH(AY507,【参考】排出係数!$AI$801:$AI$804,1),MATCH(BI507,【参考】排出係数!$AL$798:$AO$798,1)),VLOOKUP(AU507,INDEX((係数_バス貨物_ガソリン,係数_バス貨物_CNG,係数_バス貨物_軽油,係数_バス貨物_メタノール,係数_バス貨物_LPG),MATCH(AY507,【参考】排出係数!$AI$4:$AI$671,1),1,BE507):INDEX((係数_バス貨物_ガソリン,係数_バス貨物_CNG,係数_バス貨物_軽油,係数_バス貨物_メタノール,係数_バス貨物_LPG),MATCH(AY507+1,【参考】排出係数!$AI$4:$AI$671,1)-1,5,BE507),5,FALSE)),IF(AND(BE507=3,LEFT(BF507,1)="1"),0.055,VLOOKUP(AU507,INDEX((係数_乗用_ガソリン,係数_乗用_CNG,係数_乗用_軽油,係数_乗用_メタノール,係数_乗用_LPG),1,1,BE507):INDEX((係数_乗用_ガソリン,係数_乗用_CNG,係数_乗用_軽油,係数_乗用_メタノール,係数_乗用_LPG),125,5,BE507),5,FALSE)))))</f>
        <v/>
      </c>
      <c r="AN507" s="461" t="str">
        <f t="shared" si="279"/>
        <v/>
      </c>
      <c r="AO507" s="462" t="str">
        <f t="shared" si="280"/>
        <v/>
      </c>
      <c r="AP507" s="463" t="str">
        <f t="shared" si="281"/>
        <v/>
      </c>
      <c r="AQ507" s="464"/>
      <c r="AR507" s="619"/>
      <c r="AS507" s="465" t="str">
        <f t="shared" si="298"/>
        <v/>
      </c>
      <c r="AT507" s="465" t="str">
        <f t="shared" si="299"/>
        <v/>
      </c>
      <c r="AU507" s="466" t="str">
        <f t="shared" si="300"/>
        <v/>
      </c>
      <c r="AV507" s="467" t="str">
        <f t="shared" si="301"/>
        <v/>
      </c>
      <c r="AW507" s="467" t="str">
        <f t="shared" si="302"/>
        <v/>
      </c>
      <c r="AX507" s="467" t="str">
        <f t="shared" si="303"/>
        <v/>
      </c>
      <c r="AY507" s="467" t="str">
        <f t="shared" si="304"/>
        <v/>
      </c>
      <c r="AZ507" s="467" t="str">
        <f t="shared" si="305"/>
        <v/>
      </c>
      <c r="BA507" s="468" t="str">
        <f>IF(AS507="","",IF(OR(AU507="",AU507="-"),"－",IF(OR(AZ507=8,AZ507=9),"",IF(OR(AW507=3,AW507=4,AW507=5,AW507=6),VLOOKUP(AU507,INDEX((係数_バス貨物_ガソリン,係数_バス貨物_CNG,係数_バス貨物_軽油,係数_バス貨物_メタノール,係数_バス貨物_LPG),MATCH(AY507,【参考】排出係数!$AI$4:$AI$671,1),1,BE507):INDEX((係数_バス貨物_ガソリン,係数_バス貨物_CNG,係数_バス貨物_軽油,係数_バス貨物_メタノール,係数_バス貨物_LPG),MATCH(AY507+1,【参考】排出係数!$AI$4:$AI$671,1)-1,5,BE507),2,FALSE),IF(OR(AW507=1,AW507=2),VLOOKUP(AU507,INDEX((係数_乗用_ガソリン,係数_乗用_CNG,係数_乗用_軽油,係数_乗用_メタノール,係数_乗用_LPG),1,1,BE507):INDEX((係数_乗用_ガソリン,係数_乗用_CNG,係数_乗用_軽油,係数_乗用_メタノール,係数_乗用_LPG),125,5,BE507),2,FALSE))))))</f>
        <v/>
      </c>
      <c r="BB507" s="468" t="str">
        <f>IF(T507="","",IF(OR(AU507="",AU507="-"),"－",IF(OR(AZ507=8,AZ507=9),"",IF(OR(AW507=3,AW507=4,AW507=5,AW507=6),VLOOKUP(AU507,INDEX((係数_バス貨物_ガソリン,係数_バス貨物_CNG,係数_バス貨物_軽油,係数_バス貨物_メタノール,係数_バス貨物_LPG),MATCH(AY507,【参考】排出係数!$AI$4:$AI$671,1),1,BE507):INDEX((係数_バス貨物_ガソリン,係数_バス貨物_CNG,係数_バス貨物_軽油,係数_バス貨物_メタノール,係数_バス貨物_LPG),MATCH(AY507+1,【参考】排出係数!$AI$4:$AI$671,1)-1,5,BE507),3,FALSE),IF(OR(AW507=1,AW507=2),VLOOKUP(AU507,INDEX((係数_乗用_ガソリン,係数_乗用_CNG,係数_乗用_軽油,係数_乗用_メタノール,係数_乗用_LPG),1,1,BE507):INDEX((係数_乗用_ガソリン,係数_乗用_CNG,係数_乗用_軽油,係数_乗用_メタノール,係数_乗用_LPG),125,5,BE507),3,FALSE))))))</f>
        <v/>
      </c>
      <c r="BC507" s="467" t="str">
        <f t="shared" si="306"/>
        <v/>
      </c>
      <c r="BD507" s="567" t="str">
        <f t="shared" si="307"/>
        <v/>
      </c>
      <c r="BE507" s="467" t="str">
        <f t="shared" si="308"/>
        <v/>
      </c>
      <c r="BF507" s="469" t="str">
        <f t="shared" ca="1" si="309"/>
        <v/>
      </c>
      <c r="BG507" s="469" t="str">
        <f t="shared" ca="1" si="310"/>
        <v/>
      </c>
      <c r="BH507" s="467" t="str">
        <f t="shared" si="311"/>
        <v/>
      </c>
      <c r="BI507" s="467" t="str">
        <f t="shared" ca="1" si="312"/>
        <v/>
      </c>
      <c r="BJ507" s="469" t="str">
        <f t="shared" si="313"/>
        <v/>
      </c>
      <c r="BK507" s="470" t="str">
        <f t="shared" si="293"/>
        <v/>
      </c>
      <c r="BL507" s="775" t="str">
        <f t="shared" si="314"/>
        <v/>
      </c>
      <c r="BM507" s="775" t="str">
        <f t="shared" si="315"/>
        <v/>
      </c>
    </row>
    <row r="508" spans="1:65">
      <c r="A508" s="473">
        <v>452</v>
      </c>
      <c r="B508" s="132"/>
      <c r="C508" s="332"/>
      <c r="D508" s="333"/>
      <c r="E508" s="333"/>
      <c r="F508" s="334"/>
      <c r="G508" s="337"/>
      <c r="H508" s="131"/>
      <c r="I508" s="337"/>
      <c r="J508" s="131"/>
      <c r="K508" s="458" t="str">
        <f t="shared" si="282"/>
        <v/>
      </c>
      <c r="L508" s="458">
        <f t="shared" si="294"/>
        <v>0</v>
      </c>
      <c r="M508" s="458">
        <f t="shared" si="295"/>
        <v>0</v>
      </c>
      <c r="N508" s="459" t="str">
        <f t="shared" si="283"/>
        <v/>
      </c>
      <c r="O508" s="459" t="str">
        <f t="shared" si="284"/>
        <v/>
      </c>
      <c r="P508" s="459" t="str">
        <f t="shared" si="285"/>
        <v/>
      </c>
      <c r="Q508" s="459" t="str">
        <f t="shared" si="286"/>
        <v/>
      </c>
      <c r="R508" s="459" t="str">
        <f t="shared" si="287"/>
        <v/>
      </c>
      <c r="S508" s="459" t="str">
        <f t="shared" si="288"/>
        <v/>
      </c>
      <c r="T508" s="566" t="str">
        <f t="shared" si="296"/>
        <v/>
      </c>
      <c r="U508" s="702"/>
      <c r="V508" s="132"/>
      <c r="W508" s="133"/>
      <c r="X508" s="134"/>
      <c r="Y508" s="135"/>
      <c r="Z508" s="137"/>
      <c r="AA508" s="136"/>
      <c r="AB508" s="566" t="str">
        <f t="shared" si="289"/>
        <v/>
      </c>
      <c r="AC508" s="568" t="str">
        <f t="shared" si="297"/>
        <v/>
      </c>
      <c r="AD508" s="137"/>
      <c r="AE508" s="137"/>
      <c r="AF508" s="138"/>
      <c r="AG508" s="138"/>
      <c r="AH508" s="592" t="str">
        <f t="shared" si="290"/>
        <v/>
      </c>
      <c r="AI508" s="592" t="str">
        <f t="shared" si="291"/>
        <v/>
      </c>
      <c r="AJ508" s="592" t="str">
        <f t="shared" si="292"/>
        <v/>
      </c>
      <c r="AK508" s="460" t="str">
        <f>IF(AU508="","",IF(OR(AZ508=8,AZ508=9),0,IF(OR(AW508=3,AW508=4,AW508=5,AW508=6),IF(LEFT(BF508,1)="1",INDEX(係数_NOX・PM低減,MATCH(AY508,【参考】排出係数!$AI$801:$AI$804,1),1),VLOOKUP(AU508,INDEX((係数_バス貨物_ガソリン,係数_バス貨物_CNG,係数_バス貨物_軽油,係数_バス貨物_メタノール,係数_バス貨物_LPG),MATCH(AY508,【参考】排出係数!$AI$4:$AI$671,1),1,BE508):INDEX((係数_バス貨物_ガソリン,係数_バス貨物_CNG,係数_バス貨物_軽油,係数_バス貨物_メタノール,係数_バス貨物_LPG),MATCH(AY508+1,【参考】排出係数!$AI$4:$AI$671,1)-1,5,BE508),4,FALSE)),IF(AND(BE508=3,LEFT(BF508,1)="1"),0.48,VLOOKUP(AU508,INDEX((係数_乗用_ガソリン,係数_乗用_CNG,係数_乗用_軽油,係数_乗用_メタノール,係数_乗用_LPG),1,1,BE508):INDEX((係数_乗用_ガソリン,係数_乗用_CNG,係数_乗用_軽油,係数_乗用_メタノール,係数_乗用_LPG),125,5,BE508),4,FALSE)))))</f>
        <v/>
      </c>
      <c r="AL508" s="461" t="str">
        <f t="shared" ref="AL508:AL2056" si="316">IF(AU508="","",IF(Z508&lt;=3.5*1000,AD508*AK508/1000,IF(Z508&gt;3.5*1000,AD508*Z508*AK508/1000/1000)))</f>
        <v/>
      </c>
      <c r="AM508" s="460" t="str">
        <f>IF(AU508="","",IF(OR(AZ508=8,AZ508=9),0,IF(OR(AW508=3,AW508=4,AW508=5,AW508=6),IF(LEFT(BH508,1)="1",INDEX(係数_PM低減,MATCH(AY508,【参考】排出係数!$AI$801:$AI$804,1),MATCH(BI508,【参考】排出係数!$AL$798:$AO$798,1)),VLOOKUP(AU508,INDEX((係数_バス貨物_ガソリン,係数_バス貨物_CNG,係数_バス貨物_軽油,係数_バス貨物_メタノール,係数_バス貨物_LPG),MATCH(AY508,【参考】排出係数!$AI$4:$AI$671,1),1,BE508):INDEX((係数_バス貨物_ガソリン,係数_バス貨物_CNG,係数_バス貨物_軽油,係数_バス貨物_メタノール,係数_バス貨物_LPG),MATCH(AY508+1,【参考】排出係数!$AI$4:$AI$671,1)-1,5,BE508),5,FALSE)),IF(AND(BE508=3,LEFT(BF508,1)="1"),0.055,VLOOKUP(AU508,INDEX((係数_乗用_ガソリン,係数_乗用_CNG,係数_乗用_軽油,係数_乗用_メタノール,係数_乗用_LPG),1,1,BE508):INDEX((係数_乗用_ガソリン,係数_乗用_CNG,係数_乗用_軽油,係数_乗用_メタノール,係数_乗用_LPG),125,5,BE508),5,FALSE)))))</f>
        <v/>
      </c>
      <c r="AN508" s="461" t="str">
        <f t="shared" ref="AN508:AN2056" si="317">IF(AU508="","",IF(Z508&lt;=3.5*1000,AD508*AM508/1000,IF(Z508&gt;3.5*1000,AD508*Z508*AM508/1000/1000)))</f>
        <v/>
      </c>
      <c r="AO508" s="462" t="str">
        <f t="shared" ref="AO508:AO2056" si="318">IF(AU508="","",IF(Z508&lt;500,"車両重量",IF(OR(AZ508=8,AZ508=9),0,IF(OR(AZ508=1,AZ508=2,AZ508=11),2.32,IF(OR(AZ508=4,AZ508=5,AZ508=11),2.58,IF(AZ508=3,3,IF(AZ508=6,2.23,IF(AZ508=7,1.37,0))))))))</f>
        <v/>
      </c>
      <c r="AP508" s="463" t="str">
        <f t="shared" ref="AP508:AP2056" si="319">IF(AU508="","",AE508*AO508/1000)</f>
        <v/>
      </c>
      <c r="AQ508" s="464"/>
      <c r="AR508" s="619"/>
      <c r="AS508" s="465" t="str">
        <f t="shared" si="298"/>
        <v/>
      </c>
      <c r="AT508" s="465" t="str">
        <f t="shared" si="299"/>
        <v/>
      </c>
      <c r="AU508" s="466" t="str">
        <f t="shared" si="300"/>
        <v/>
      </c>
      <c r="AV508" s="467" t="str">
        <f t="shared" si="301"/>
        <v/>
      </c>
      <c r="AW508" s="467" t="str">
        <f t="shared" si="302"/>
        <v/>
      </c>
      <c r="AX508" s="467" t="str">
        <f t="shared" si="303"/>
        <v/>
      </c>
      <c r="AY508" s="467" t="str">
        <f t="shared" si="304"/>
        <v/>
      </c>
      <c r="AZ508" s="467" t="str">
        <f t="shared" si="305"/>
        <v/>
      </c>
      <c r="BA508" s="468" t="str">
        <f>IF(AS508="","",IF(OR(AU508="",AU508="-"),"－",IF(OR(AZ508=8,AZ508=9),"",IF(OR(AW508=3,AW508=4,AW508=5,AW508=6),VLOOKUP(AU508,INDEX((係数_バス貨物_ガソリン,係数_バス貨物_CNG,係数_バス貨物_軽油,係数_バス貨物_メタノール,係数_バス貨物_LPG),MATCH(AY508,【参考】排出係数!$AI$4:$AI$671,1),1,BE508):INDEX((係数_バス貨物_ガソリン,係数_バス貨物_CNG,係数_バス貨物_軽油,係数_バス貨物_メタノール,係数_バス貨物_LPG),MATCH(AY508+1,【参考】排出係数!$AI$4:$AI$671,1)-1,5,BE508),2,FALSE),IF(OR(AW508=1,AW508=2),VLOOKUP(AU508,INDEX((係数_乗用_ガソリン,係数_乗用_CNG,係数_乗用_軽油,係数_乗用_メタノール,係数_乗用_LPG),1,1,BE508):INDEX((係数_乗用_ガソリン,係数_乗用_CNG,係数_乗用_軽油,係数_乗用_メタノール,係数_乗用_LPG),125,5,BE508),2,FALSE))))))</f>
        <v/>
      </c>
      <c r="BB508" s="468" t="str">
        <f>IF(T508="","",IF(OR(AU508="",AU508="-"),"－",IF(OR(AZ508=8,AZ508=9),"",IF(OR(AW508=3,AW508=4,AW508=5,AW508=6),VLOOKUP(AU508,INDEX((係数_バス貨物_ガソリン,係数_バス貨物_CNG,係数_バス貨物_軽油,係数_バス貨物_メタノール,係数_バス貨物_LPG),MATCH(AY508,【参考】排出係数!$AI$4:$AI$671,1),1,BE508):INDEX((係数_バス貨物_ガソリン,係数_バス貨物_CNG,係数_バス貨物_軽油,係数_バス貨物_メタノール,係数_バス貨物_LPG),MATCH(AY508+1,【参考】排出係数!$AI$4:$AI$671,1)-1,5,BE508),3,FALSE),IF(OR(AW508=1,AW508=2),VLOOKUP(AU508,INDEX((係数_乗用_ガソリン,係数_乗用_CNG,係数_乗用_軽油,係数_乗用_メタノール,係数_乗用_LPG),1,1,BE508):INDEX((係数_乗用_ガソリン,係数_乗用_CNG,係数_乗用_軽油,係数_乗用_メタノール,係数_乗用_LPG),125,5,BE508),3,FALSE))))))</f>
        <v/>
      </c>
      <c r="BC508" s="467" t="str">
        <f t="shared" si="306"/>
        <v/>
      </c>
      <c r="BD508" s="567" t="str">
        <f t="shared" si="307"/>
        <v/>
      </c>
      <c r="BE508" s="467" t="str">
        <f t="shared" si="308"/>
        <v/>
      </c>
      <c r="BF508" s="469" t="str">
        <f t="shared" ca="1" si="309"/>
        <v/>
      </c>
      <c r="BG508" s="469" t="str">
        <f t="shared" ca="1" si="310"/>
        <v/>
      </c>
      <c r="BH508" s="467" t="str">
        <f t="shared" si="311"/>
        <v/>
      </c>
      <c r="BI508" s="467" t="str">
        <f t="shared" ca="1" si="312"/>
        <v/>
      </c>
      <c r="BJ508" s="469" t="str">
        <f t="shared" si="313"/>
        <v/>
      </c>
      <c r="BK508" s="470" t="str">
        <f t="shared" si="293"/>
        <v/>
      </c>
      <c r="BL508" s="775" t="str">
        <f t="shared" si="314"/>
        <v/>
      </c>
      <c r="BM508" s="775" t="str">
        <f t="shared" si="315"/>
        <v/>
      </c>
    </row>
    <row r="509" spans="1:65">
      <c r="A509" s="473">
        <v>453</v>
      </c>
      <c r="B509" s="132"/>
      <c r="C509" s="332"/>
      <c r="D509" s="333"/>
      <c r="E509" s="333"/>
      <c r="F509" s="334"/>
      <c r="G509" s="337"/>
      <c r="H509" s="131"/>
      <c r="I509" s="337"/>
      <c r="J509" s="131"/>
      <c r="K509" s="458" t="str">
        <f t="shared" si="282"/>
        <v/>
      </c>
      <c r="L509" s="458">
        <f t="shared" si="294"/>
        <v>0</v>
      </c>
      <c r="M509" s="458">
        <f t="shared" si="295"/>
        <v>0</v>
      </c>
      <c r="N509" s="459" t="str">
        <f t="shared" si="283"/>
        <v/>
      </c>
      <c r="O509" s="459" t="str">
        <f t="shared" si="284"/>
        <v/>
      </c>
      <c r="P509" s="459" t="str">
        <f t="shared" si="285"/>
        <v/>
      </c>
      <c r="Q509" s="459" t="str">
        <f t="shared" si="286"/>
        <v/>
      </c>
      <c r="R509" s="459" t="str">
        <f t="shared" si="287"/>
        <v/>
      </c>
      <c r="S509" s="459" t="str">
        <f t="shared" si="288"/>
        <v/>
      </c>
      <c r="T509" s="566" t="str">
        <f t="shared" si="296"/>
        <v/>
      </c>
      <c r="U509" s="702"/>
      <c r="V509" s="132"/>
      <c r="W509" s="133"/>
      <c r="X509" s="134"/>
      <c r="Y509" s="135"/>
      <c r="Z509" s="137"/>
      <c r="AA509" s="136"/>
      <c r="AB509" s="566" t="str">
        <f t="shared" si="289"/>
        <v/>
      </c>
      <c r="AC509" s="568" t="str">
        <f t="shared" si="297"/>
        <v/>
      </c>
      <c r="AD509" s="137"/>
      <c r="AE509" s="137"/>
      <c r="AF509" s="138"/>
      <c r="AG509" s="138"/>
      <c r="AH509" s="592" t="str">
        <f t="shared" si="290"/>
        <v/>
      </c>
      <c r="AI509" s="592" t="str">
        <f t="shared" si="291"/>
        <v/>
      </c>
      <c r="AJ509" s="592" t="str">
        <f t="shared" si="292"/>
        <v/>
      </c>
      <c r="AK509" s="460" t="str">
        <f>IF(AU509="","",IF(OR(AZ509=8,AZ509=9),0,IF(OR(AW509=3,AW509=4,AW509=5,AW509=6),IF(LEFT(BF509,1)="1",INDEX(係数_NOX・PM低減,MATCH(AY509,【参考】排出係数!$AI$801:$AI$804,1),1),VLOOKUP(AU509,INDEX((係数_バス貨物_ガソリン,係数_バス貨物_CNG,係数_バス貨物_軽油,係数_バス貨物_メタノール,係数_バス貨物_LPG),MATCH(AY509,【参考】排出係数!$AI$4:$AI$671,1),1,BE509):INDEX((係数_バス貨物_ガソリン,係数_バス貨物_CNG,係数_バス貨物_軽油,係数_バス貨物_メタノール,係数_バス貨物_LPG),MATCH(AY509+1,【参考】排出係数!$AI$4:$AI$671,1)-1,5,BE509),4,FALSE)),IF(AND(BE509=3,LEFT(BF509,1)="1"),0.48,VLOOKUP(AU509,INDEX((係数_乗用_ガソリン,係数_乗用_CNG,係数_乗用_軽油,係数_乗用_メタノール,係数_乗用_LPG),1,1,BE509):INDEX((係数_乗用_ガソリン,係数_乗用_CNG,係数_乗用_軽油,係数_乗用_メタノール,係数_乗用_LPG),125,5,BE509),4,FALSE)))))</f>
        <v/>
      </c>
      <c r="AL509" s="461" t="str">
        <f t="shared" si="316"/>
        <v/>
      </c>
      <c r="AM509" s="460" t="str">
        <f>IF(AU509="","",IF(OR(AZ509=8,AZ509=9),0,IF(OR(AW509=3,AW509=4,AW509=5,AW509=6),IF(LEFT(BH509,1)="1",INDEX(係数_PM低減,MATCH(AY509,【参考】排出係数!$AI$801:$AI$804,1),MATCH(BI509,【参考】排出係数!$AL$798:$AO$798,1)),VLOOKUP(AU509,INDEX((係数_バス貨物_ガソリン,係数_バス貨物_CNG,係数_バス貨物_軽油,係数_バス貨物_メタノール,係数_バス貨物_LPG),MATCH(AY509,【参考】排出係数!$AI$4:$AI$671,1),1,BE509):INDEX((係数_バス貨物_ガソリン,係数_バス貨物_CNG,係数_バス貨物_軽油,係数_バス貨物_メタノール,係数_バス貨物_LPG),MATCH(AY509+1,【参考】排出係数!$AI$4:$AI$671,1)-1,5,BE509),5,FALSE)),IF(AND(BE509=3,LEFT(BF509,1)="1"),0.055,VLOOKUP(AU509,INDEX((係数_乗用_ガソリン,係数_乗用_CNG,係数_乗用_軽油,係数_乗用_メタノール,係数_乗用_LPG),1,1,BE509):INDEX((係数_乗用_ガソリン,係数_乗用_CNG,係数_乗用_軽油,係数_乗用_メタノール,係数_乗用_LPG),125,5,BE509),5,FALSE)))))</f>
        <v/>
      </c>
      <c r="AN509" s="461" t="str">
        <f t="shared" si="317"/>
        <v/>
      </c>
      <c r="AO509" s="462" t="str">
        <f t="shared" si="318"/>
        <v/>
      </c>
      <c r="AP509" s="463" t="str">
        <f t="shared" si="319"/>
        <v/>
      </c>
      <c r="AQ509" s="464"/>
      <c r="AR509" s="619"/>
      <c r="AS509" s="465" t="str">
        <f t="shared" si="298"/>
        <v/>
      </c>
      <c r="AT509" s="465" t="str">
        <f t="shared" si="299"/>
        <v/>
      </c>
      <c r="AU509" s="466" t="str">
        <f t="shared" si="300"/>
        <v/>
      </c>
      <c r="AV509" s="467" t="str">
        <f t="shared" si="301"/>
        <v/>
      </c>
      <c r="AW509" s="467" t="str">
        <f t="shared" si="302"/>
        <v/>
      </c>
      <c r="AX509" s="467" t="str">
        <f t="shared" si="303"/>
        <v/>
      </c>
      <c r="AY509" s="467" t="str">
        <f t="shared" si="304"/>
        <v/>
      </c>
      <c r="AZ509" s="467" t="str">
        <f t="shared" si="305"/>
        <v/>
      </c>
      <c r="BA509" s="468" t="str">
        <f>IF(AS509="","",IF(OR(AU509="",AU509="-"),"－",IF(OR(AZ509=8,AZ509=9),"",IF(OR(AW509=3,AW509=4,AW509=5,AW509=6),VLOOKUP(AU509,INDEX((係数_バス貨物_ガソリン,係数_バス貨物_CNG,係数_バス貨物_軽油,係数_バス貨物_メタノール,係数_バス貨物_LPG),MATCH(AY509,【参考】排出係数!$AI$4:$AI$671,1),1,BE509):INDEX((係数_バス貨物_ガソリン,係数_バス貨物_CNG,係数_バス貨物_軽油,係数_バス貨物_メタノール,係数_バス貨物_LPG),MATCH(AY509+1,【参考】排出係数!$AI$4:$AI$671,1)-1,5,BE509),2,FALSE),IF(OR(AW509=1,AW509=2),VLOOKUP(AU509,INDEX((係数_乗用_ガソリン,係数_乗用_CNG,係数_乗用_軽油,係数_乗用_メタノール,係数_乗用_LPG),1,1,BE509):INDEX((係数_乗用_ガソリン,係数_乗用_CNG,係数_乗用_軽油,係数_乗用_メタノール,係数_乗用_LPG),125,5,BE509),2,FALSE))))))</f>
        <v/>
      </c>
      <c r="BB509" s="468" t="str">
        <f>IF(T509="","",IF(OR(AU509="",AU509="-"),"－",IF(OR(AZ509=8,AZ509=9),"",IF(OR(AW509=3,AW509=4,AW509=5,AW509=6),VLOOKUP(AU509,INDEX((係数_バス貨物_ガソリン,係数_バス貨物_CNG,係数_バス貨物_軽油,係数_バス貨物_メタノール,係数_バス貨物_LPG),MATCH(AY509,【参考】排出係数!$AI$4:$AI$671,1),1,BE509):INDEX((係数_バス貨物_ガソリン,係数_バス貨物_CNG,係数_バス貨物_軽油,係数_バス貨物_メタノール,係数_バス貨物_LPG),MATCH(AY509+1,【参考】排出係数!$AI$4:$AI$671,1)-1,5,BE509),3,FALSE),IF(OR(AW509=1,AW509=2),VLOOKUP(AU509,INDEX((係数_乗用_ガソリン,係数_乗用_CNG,係数_乗用_軽油,係数_乗用_メタノール,係数_乗用_LPG),1,1,BE509):INDEX((係数_乗用_ガソリン,係数_乗用_CNG,係数_乗用_軽油,係数_乗用_メタノール,係数_乗用_LPG),125,5,BE509),3,FALSE))))))</f>
        <v/>
      </c>
      <c r="BC509" s="467" t="str">
        <f t="shared" si="306"/>
        <v/>
      </c>
      <c r="BD509" s="567" t="str">
        <f t="shared" si="307"/>
        <v/>
      </c>
      <c r="BE509" s="467" t="str">
        <f t="shared" si="308"/>
        <v/>
      </c>
      <c r="BF509" s="469" t="str">
        <f t="shared" ca="1" si="309"/>
        <v/>
      </c>
      <c r="BG509" s="469" t="str">
        <f t="shared" ca="1" si="310"/>
        <v/>
      </c>
      <c r="BH509" s="467" t="str">
        <f t="shared" si="311"/>
        <v/>
      </c>
      <c r="BI509" s="467" t="str">
        <f t="shared" ca="1" si="312"/>
        <v/>
      </c>
      <c r="BJ509" s="469" t="str">
        <f t="shared" si="313"/>
        <v/>
      </c>
      <c r="BK509" s="470" t="str">
        <f t="shared" si="293"/>
        <v/>
      </c>
      <c r="BL509" s="775" t="str">
        <f t="shared" si="314"/>
        <v/>
      </c>
      <c r="BM509" s="775" t="str">
        <f t="shared" si="315"/>
        <v/>
      </c>
    </row>
    <row r="510" spans="1:65">
      <c r="A510" s="473">
        <v>454</v>
      </c>
      <c r="B510" s="132"/>
      <c r="C510" s="332"/>
      <c r="D510" s="333"/>
      <c r="E510" s="333"/>
      <c r="F510" s="334"/>
      <c r="G510" s="337"/>
      <c r="H510" s="131"/>
      <c r="I510" s="337"/>
      <c r="J510" s="131"/>
      <c r="K510" s="458" t="str">
        <f t="shared" si="282"/>
        <v/>
      </c>
      <c r="L510" s="458">
        <f t="shared" si="294"/>
        <v>0</v>
      </c>
      <c r="M510" s="458">
        <f t="shared" si="295"/>
        <v>0</v>
      </c>
      <c r="N510" s="459" t="str">
        <f t="shared" si="283"/>
        <v/>
      </c>
      <c r="O510" s="459" t="str">
        <f t="shared" si="284"/>
        <v/>
      </c>
      <c r="P510" s="459" t="str">
        <f t="shared" si="285"/>
        <v/>
      </c>
      <c r="Q510" s="459" t="str">
        <f t="shared" si="286"/>
        <v/>
      </c>
      <c r="R510" s="459" t="str">
        <f t="shared" si="287"/>
        <v/>
      </c>
      <c r="S510" s="459" t="str">
        <f t="shared" si="288"/>
        <v/>
      </c>
      <c r="T510" s="566" t="str">
        <f t="shared" si="296"/>
        <v/>
      </c>
      <c r="U510" s="702"/>
      <c r="V510" s="132"/>
      <c r="W510" s="133"/>
      <c r="X510" s="134"/>
      <c r="Y510" s="135"/>
      <c r="Z510" s="137"/>
      <c r="AA510" s="136"/>
      <c r="AB510" s="566" t="str">
        <f t="shared" si="289"/>
        <v/>
      </c>
      <c r="AC510" s="568" t="str">
        <f t="shared" si="297"/>
        <v/>
      </c>
      <c r="AD510" s="137"/>
      <c r="AE510" s="137"/>
      <c r="AF510" s="138"/>
      <c r="AG510" s="138"/>
      <c r="AH510" s="592" t="str">
        <f t="shared" si="290"/>
        <v/>
      </c>
      <c r="AI510" s="592" t="str">
        <f t="shared" si="291"/>
        <v/>
      </c>
      <c r="AJ510" s="592" t="str">
        <f t="shared" si="292"/>
        <v/>
      </c>
      <c r="AK510" s="460" t="str">
        <f>IF(AU510="","",IF(OR(AZ510=8,AZ510=9),0,IF(OR(AW510=3,AW510=4,AW510=5,AW510=6),IF(LEFT(BF510,1)="1",INDEX(係数_NOX・PM低減,MATCH(AY510,【参考】排出係数!$AI$801:$AI$804,1),1),VLOOKUP(AU510,INDEX((係数_バス貨物_ガソリン,係数_バス貨物_CNG,係数_バス貨物_軽油,係数_バス貨物_メタノール,係数_バス貨物_LPG),MATCH(AY510,【参考】排出係数!$AI$4:$AI$671,1),1,BE510):INDEX((係数_バス貨物_ガソリン,係数_バス貨物_CNG,係数_バス貨物_軽油,係数_バス貨物_メタノール,係数_バス貨物_LPG),MATCH(AY510+1,【参考】排出係数!$AI$4:$AI$671,1)-1,5,BE510),4,FALSE)),IF(AND(BE510=3,LEFT(BF510,1)="1"),0.48,VLOOKUP(AU510,INDEX((係数_乗用_ガソリン,係数_乗用_CNG,係数_乗用_軽油,係数_乗用_メタノール,係数_乗用_LPG),1,1,BE510):INDEX((係数_乗用_ガソリン,係数_乗用_CNG,係数_乗用_軽油,係数_乗用_メタノール,係数_乗用_LPG),125,5,BE510),4,FALSE)))))</f>
        <v/>
      </c>
      <c r="AL510" s="461" t="str">
        <f t="shared" si="316"/>
        <v/>
      </c>
      <c r="AM510" s="460" t="str">
        <f>IF(AU510="","",IF(OR(AZ510=8,AZ510=9),0,IF(OR(AW510=3,AW510=4,AW510=5,AW510=6),IF(LEFT(BH510,1)="1",INDEX(係数_PM低減,MATCH(AY510,【参考】排出係数!$AI$801:$AI$804,1),MATCH(BI510,【参考】排出係数!$AL$798:$AO$798,1)),VLOOKUP(AU510,INDEX((係数_バス貨物_ガソリン,係数_バス貨物_CNG,係数_バス貨物_軽油,係数_バス貨物_メタノール,係数_バス貨物_LPG),MATCH(AY510,【参考】排出係数!$AI$4:$AI$671,1),1,BE510):INDEX((係数_バス貨物_ガソリン,係数_バス貨物_CNG,係数_バス貨物_軽油,係数_バス貨物_メタノール,係数_バス貨物_LPG),MATCH(AY510+1,【参考】排出係数!$AI$4:$AI$671,1)-1,5,BE510),5,FALSE)),IF(AND(BE510=3,LEFT(BF510,1)="1"),0.055,VLOOKUP(AU510,INDEX((係数_乗用_ガソリン,係数_乗用_CNG,係数_乗用_軽油,係数_乗用_メタノール,係数_乗用_LPG),1,1,BE510):INDEX((係数_乗用_ガソリン,係数_乗用_CNG,係数_乗用_軽油,係数_乗用_メタノール,係数_乗用_LPG),125,5,BE510),5,FALSE)))))</f>
        <v/>
      </c>
      <c r="AN510" s="461" t="str">
        <f t="shared" si="317"/>
        <v/>
      </c>
      <c r="AO510" s="462" t="str">
        <f t="shared" si="318"/>
        <v/>
      </c>
      <c r="AP510" s="463" t="str">
        <f t="shared" si="319"/>
        <v/>
      </c>
      <c r="AQ510" s="464"/>
      <c r="AR510" s="619"/>
      <c r="AS510" s="465" t="str">
        <f t="shared" si="298"/>
        <v/>
      </c>
      <c r="AT510" s="465" t="str">
        <f t="shared" si="299"/>
        <v/>
      </c>
      <c r="AU510" s="466" t="str">
        <f t="shared" si="300"/>
        <v/>
      </c>
      <c r="AV510" s="467" t="str">
        <f t="shared" si="301"/>
        <v/>
      </c>
      <c r="AW510" s="467" t="str">
        <f t="shared" si="302"/>
        <v/>
      </c>
      <c r="AX510" s="467" t="str">
        <f t="shared" si="303"/>
        <v/>
      </c>
      <c r="AY510" s="467" t="str">
        <f t="shared" si="304"/>
        <v/>
      </c>
      <c r="AZ510" s="467" t="str">
        <f t="shared" si="305"/>
        <v/>
      </c>
      <c r="BA510" s="468" t="str">
        <f>IF(AS510="","",IF(OR(AU510="",AU510="-"),"－",IF(OR(AZ510=8,AZ510=9),"",IF(OR(AW510=3,AW510=4,AW510=5,AW510=6),VLOOKUP(AU510,INDEX((係数_バス貨物_ガソリン,係数_バス貨物_CNG,係数_バス貨物_軽油,係数_バス貨物_メタノール,係数_バス貨物_LPG),MATCH(AY510,【参考】排出係数!$AI$4:$AI$671,1),1,BE510):INDEX((係数_バス貨物_ガソリン,係数_バス貨物_CNG,係数_バス貨物_軽油,係数_バス貨物_メタノール,係数_バス貨物_LPG),MATCH(AY510+1,【参考】排出係数!$AI$4:$AI$671,1)-1,5,BE510),2,FALSE),IF(OR(AW510=1,AW510=2),VLOOKUP(AU510,INDEX((係数_乗用_ガソリン,係数_乗用_CNG,係数_乗用_軽油,係数_乗用_メタノール,係数_乗用_LPG),1,1,BE510):INDEX((係数_乗用_ガソリン,係数_乗用_CNG,係数_乗用_軽油,係数_乗用_メタノール,係数_乗用_LPG),125,5,BE510),2,FALSE))))))</f>
        <v/>
      </c>
      <c r="BB510" s="468" t="str">
        <f>IF(T510="","",IF(OR(AU510="",AU510="-"),"－",IF(OR(AZ510=8,AZ510=9),"",IF(OR(AW510=3,AW510=4,AW510=5,AW510=6),VLOOKUP(AU510,INDEX((係数_バス貨物_ガソリン,係数_バス貨物_CNG,係数_バス貨物_軽油,係数_バス貨物_メタノール,係数_バス貨物_LPG),MATCH(AY510,【参考】排出係数!$AI$4:$AI$671,1),1,BE510):INDEX((係数_バス貨物_ガソリン,係数_バス貨物_CNG,係数_バス貨物_軽油,係数_バス貨物_メタノール,係数_バス貨物_LPG),MATCH(AY510+1,【参考】排出係数!$AI$4:$AI$671,1)-1,5,BE510),3,FALSE),IF(OR(AW510=1,AW510=2),VLOOKUP(AU510,INDEX((係数_乗用_ガソリン,係数_乗用_CNG,係数_乗用_軽油,係数_乗用_メタノール,係数_乗用_LPG),1,1,BE510):INDEX((係数_乗用_ガソリン,係数_乗用_CNG,係数_乗用_軽油,係数_乗用_メタノール,係数_乗用_LPG),125,5,BE510),3,FALSE))))))</f>
        <v/>
      </c>
      <c r="BC510" s="467" t="str">
        <f t="shared" si="306"/>
        <v/>
      </c>
      <c r="BD510" s="567" t="str">
        <f t="shared" si="307"/>
        <v/>
      </c>
      <c r="BE510" s="467" t="str">
        <f t="shared" si="308"/>
        <v/>
      </c>
      <c r="BF510" s="469" t="str">
        <f t="shared" ca="1" si="309"/>
        <v/>
      </c>
      <c r="BG510" s="469" t="str">
        <f t="shared" ca="1" si="310"/>
        <v/>
      </c>
      <c r="BH510" s="467" t="str">
        <f t="shared" si="311"/>
        <v/>
      </c>
      <c r="BI510" s="467" t="str">
        <f t="shared" ca="1" si="312"/>
        <v/>
      </c>
      <c r="BJ510" s="469" t="str">
        <f t="shared" si="313"/>
        <v/>
      </c>
      <c r="BK510" s="470" t="str">
        <f t="shared" si="293"/>
        <v/>
      </c>
      <c r="BL510" s="775" t="str">
        <f t="shared" si="314"/>
        <v/>
      </c>
      <c r="BM510" s="775" t="str">
        <f t="shared" si="315"/>
        <v/>
      </c>
    </row>
    <row r="511" spans="1:65">
      <c r="A511" s="473">
        <v>455</v>
      </c>
      <c r="B511" s="132"/>
      <c r="C511" s="332"/>
      <c r="D511" s="333"/>
      <c r="E511" s="333"/>
      <c r="F511" s="334"/>
      <c r="G511" s="337"/>
      <c r="H511" s="131"/>
      <c r="I511" s="337"/>
      <c r="J511" s="131"/>
      <c r="K511" s="458" t="str">
        <f t="shared" si="282"/>
        <v/>
      </c>
      <c r="L511" s="458">
        <f t="shared" si="294"/>
        <v>0</v>
      </c>
      <c r="M511" s="458">
        <f t="shared" si="295"/>
        <v>0</v>
      </c>
      <c r="N511" s="459" t="str">
        <f t="shared" si="283"/>
        <v/>
      </c>
      <c r="O511" s="459" t="str">
        <f t="shared" si="284"/>
        <v/>
      </c>
      <c r="P511" s="459" t="str">
        <f t="shared" si="285"/>
        <v/>
      </c>
      <c r="Q511" s="459" t="str">
        <f t="shared" si="286"/>
        <v/>
      </c>
      <c r="R511" s="459" t="str">
        <f t="shared" si="287"/>
        <v/>
      </c>
      <c r="S511" s="459" t="str">
        <f t="shared" si="288"/>
        <v/>
      </c>
      <c r="T511" s="566" t="str">
        <f t="shared" si="296"/>
        <v/>
      </c>
      <c r="U511" s="702"/>
      <c r="V511" s="132"/>
      <c r="W511" s="133"/>
      <c r="X511" s="134"/>
      <c r="Y511" s="135"/>
      <c r="Z511" s="137"/>
      <c r="AA511" s="136"/>
      <c r="AB511" s="566" t="str">
        <f t="shared" si="289"/>
        <v/>
      </c>
      <c r="AC511" s="568" t="str">
        <f t="shared" si="297"/>
        <v/>
      </c>
      <c r="AD511" s="137"/>
      <c r="AE511" s="137"/>
      <c r="AF511" s="138"/>
      <c r="AG511" s="138"/>
      <c r="AH511" s="592" t="str">
        <f t="shared" si="290"/>
        <v/>
      </c>
      <c r="AI511" s="592" t="str">
        <f t="shared" si="291"/>
        <v/>
      </c>
      <c r="AJ511" s="592" t="str">
        <f t="shared" si="292"/>
        <v/>
      </c>
      <c r="AK511" s="460" t="str">
        <f>IF(AU511="","",IF(OR(AZ511=8,AZ511=9),0,IF(OR(AW511=3,AW511=4,AW511=5,AW511=6),IF(LEFT(BF511,1)="1",INDEX(係数_NOX・PM低減,MATCH(AY511,【参考】排出係数!$AI$801:$AI$804,1),1),VLOOKUP(AU511,INDEX((係数_バス貨物_ガソリン,係数_バス貨物_CNG,係数_バス貨物_軽油,係数_バス貨物_メタノール,係数_バス貨物_LPG),MATCH(AY511,【参考】排出係数!$AI$4:$AI$671,1),1,BE511):INDEX((係数_バス貨物_ガソリン,係数_バス貨物_CNG,係数_バス貨物_軽油,係数_バス貨物_メタノール,係数_バス貨物_LPG),MATCH(AY511+1,【参考】排出係数!$AI$4:$AI$671,1)-1,5,BE511),4,FALSE)),IF(AND(BE511=3,LEFT(BF511,1)="1"),0.48,VLOOKUP(AU511,INDEX((係数_乗用_ガソリン,係数_乗用_CNG,係数_乗用_軽油,係数_乗用_メタノール,係数_乗用_LPG),1,1,BE511):INDEX((係数_乗用_ガソリン,係数_乗用_CNG,係数_乗用_軽油,係数_乗用_メタノール,係数_乗用_LPG),125,5,BE511),4,FALSE)))))</f>
        <v/>
      </c>
      <c r="AL511" s="461" t="str">
        <f t="shared" si="316"/>
        <v/>
      </c>
      <c r="AM511" s="460" t="str">
        <f>IF(AU511="","",IF(OR(AZ511=8,AZ511=9),0,IF(OR(AW511=3,AW511=4,AW511=5,AW511=6),IF(LEFT(BH511,1)="1",INDEX(係数_PM低減,MATCH(AY511,【参考】排出係数!$AI$801:$AI$804,1),MATCH(BI511,【参考】排出係数!$AL$798:$AO$798,1)),VLOOKUP(AU511,INDEX((係数_バス貨物_ガソリン,係数_バス貨物_CNG,係数_バス貨物_軽油,係数_バス貨物_メタノール,係数_バス貨物_LPG),MATCH(AY511,【参考】排出係数!$AI$4:$AI$671,1),1,BE511):INDEX((係数_バス貨物_ガソリン,係数_バス貨物_CNG,係数_バス貨物_軽油,係数_バス貨物_メタノール,係数_バス貨物_LPG),MATCH(AY511+1,【参考】排出係数!$AI$4:$AI$671,1)-1,5,BE511),5,FALSE)),IF(AND(BE511=3,LEFT(BF511,1)="1"),0.055,VLOOKUP(AU511,INDEX((係数_乗用_ガソリン,係数_乗用_CNG,係数_乗用_軽油,係数_乗用_メタノール,係数_乗用_LPG),1,1,BE511):INDEX((係数_乗用_ガソリン,係数_乗用_CNG,係数_乗用_軽油,係数_乗用_メタノール,係数_乗用_LPG),125,5,BE511),5,FALSE)))))</f>
        <v/>
      </c>
      <c r="AN511" s="461" t="str">
        <f t="shared" si="317"/>
        <v/>
      </c>
      <c r="AO511" s="462" t="str">
        <f t="shared" si="318"/>
        <v/>
      </c>
      <c r="AP511" s="463" t="str">
        <f t="shared" si="319"/>
        <v/>
      </c>
      <c r="AQ511" s="464"/>
      <c r="AR511" s="619"/>
      <c r="AS511" s="465" t="str">
        <f t="shared" si="298"/>
        <v/>
      </c>
      <c r="AT511" s="465" t="str">
        <f t="shared" si="299"/>
        <v/>
      </c>
      <c r="AU511" s="466" t="str">
        <f t="shared" si="300"/>
        <v/>
      </c>
      <c r="AV511" s="467" t="str">
        <f t="shared" si="301"/>
        <v/>
      </c>
      <c r="AW511" s="467" t="str">
        <f t="shared" si="302"/>
        <v/>
      </c>
      <c r="AX511" s="467" t="str">
        <f t="shared" si="303"/>
        <v/>
      </c>
      <c r="AY511" s="467" t="str">
        <f t="shared" si="304"/>
        <v/>
      </c>
      <c r="AZ511" s="467" t="str">
        <f t="shared" si="305"/>
        <v/>
      </c>
      <c r="BA511" s="468" t="str">
        <f>IF(AS511="","",IF(OR(AU511="",AU511="-"),"－",IF(OR(AZ511=8,AZ511=9),"",IF(OR(AW511=3,AW511=4,AW511=5,AW511=6),VLOOKUP(AU511,INDEX((係数_バス貨物_ガソリン,係数_バス貨物_CNG,係数_バス貨物_軽油,係数_バス貨物_メタノール,係数_バス貨物_LPG),MATCH(AY511,【参考】排出係数!$AI$4:$AI$671,1),1,BE511):INDEX((係数_バス貨物_ガソリン,係数_バス貨物_CNG,係数_バス貨物_軽油,係数_バス貨物_メタノール,係数_バス貨物_LPG),MATCH(AY511+1,【参考】排出係数!$AI$4:$AI$671,1)-1,5,BE511),2,FALSE),IF(OR(AW511=1,AW511=2),VLOOKUP(AU511,INDEX((係数_乗用_ガソリン,係数_乗用_CNG,係数_乗用_軽油,係数_乗用_メタノール,係数_乗用_LPG),1,1,BE511):INDEX((係数_乗用_ガソリン,係数_乗用_CNG,係数_乗用_軽油,係数_乗用_メタノール,係数_乗用_LPG),125,5,BE511),2,FALSE))))))</f>
        <v/>
      </c>
      <c r="BB511" s="468" t="str">
        <f>IF(T511="","",IF(OR(AU511="",AU511="-"),"－",IF(OR(AZ511=8,AZ511=9),"",IF(OR(AW511=3,AW511=4,AW511=5,AW511=6),VLOOKUP(AU511,INDEX((係数_バス貨物_ガソリン,係数_バス貨物_CNG,係数_バス貨物_軽油,係数_バス貨物_メタノール,係数_バス貨物_LPG),MATCH(AY511,【参考】排出係数!$AI$4:$AI$671,1),1,BE511):INDEX((係数_バス貨物_ガソリン,係数_バス貨物_CNG,係数_バス貨物_軽油,係数_バス貨物_メタノール,係数_バス貨物_LPG),MATCH(AY511+1,【参考】排出係数!$AI$4:$AI$671,1)-1,5,BE511),3,FALSE),IF(OR(AW511=1,AW511=2),VLOOKUP(AU511,INDEX((係数_乗用_ガソリン,係数_乗用_CNG,係数_乗用_軽油,係数_乗用_メタノール,係数_乗用_LPG),1,1,BE511):INDEX((係数_乗用_ガソリン,係数_乗用_CNG,係数_乗用_軽油,係数_乗用_メタノール,係数_乗用_LPG),125,5,BE511),3,FALSE))))))</f>
        <v/>
      </c>
      <c r="BC511" s="467" t="str">
        <f t="shared" si="306"/>
        <v/>
      </c>
      <c r="BD511" s="567" t="str">
        <f t="shared" si="307"/>
        <v/>
      </c>
      <c r="BE511" s="467" t="str">
        <f t="shared" si="308"/>
        <v/>
      </c>
      <c r="BF511" s="469" t="str">
        <f t="shared" ca="1" si="309"/>
        <v/>
      </c>
      <c r="BG511" s="469" t="str">
        <f t="shared" ca="1" si="310"/>
        <v/>
      </c>
      <c r="BH511" s="467" t="str">
        <f t="shared" si="311"/>
        <v/>
      </c>
      <c r="BI511" s="467" t="str">
        <f t="shared" ca="1" si="312"/>
        <v/>
      </c>
      <c r="BJ511" s="469" t="str">
        <f t="shared" si="313"/>
        <v/>
      </c>
      <c r="BK511" s="470" t="str">
        <f t="shared" si="293"/>
        <v/>
      </c>
      <c r="BL511" s="775" t="str">
        <f t="shared" si="314"/>
        <v/>
      </c>
      <c r="BM511" s="775" t="str">
        <f t="shared" si="315"/>
        <v/>
      </c>
    </row>
    <row r="512" spans="1:65">
      <c r="A512" s="473">
        <v>456</v>
      </c>
      <c r="B512" s="132"/>
      <c r="C512" s="332"/>
      <c r="D512" s="333"/>
      <c r="E512" s="333"/>
      <c r="F512" s="334"/>
      <c r="G512" s="337"/>
      <c r="H512" s="131"/>
      <c r="I512" s="337"/>
      <c r="J512" s="131"/>
      <c r="K512" s="458" t="str">
        <f t="shared" si="282"/>
        <v/>
      </c>
      <c r="L512" s="458">
        <f t="shared" si="294"/>
        <v>0</v>
      </c>
      <c r="M512" s="458">
        <f t="shared" si="295"/>
        <v>0</v>
      </c>
      <c r="N512" s="459" t="str">
        <f t="shared" si="283"/>
        <v/>
      </c>
      <c r="O512" s="459" t="str">
        <f t="shared" si="284"/>
        <v/>
      </c>
      <c r="P512" s="459" t="str">
        <f t="shared" si="285"/>
        <v/>
      </c>
      <c r="Q512" s="459" t="str">
        <f t="shared" si="286"/>
        <v/>
      </c>
      <c r="R512" s="459" t="str">
        <f t="shared" si="287"/>
        <v/>
      </c>
      <c r="S512" s="459" t="str">
        <f t="shared" si="288"/>
        <v/>
      </c>
      <c r="T512" s="566" t="str">
        <f t="shared" si="296"/>
        <v/>
      </c>
      <c r="U512" s="702"/>
      <c r="V512" s="132"/>
      <c r="W512" s="133"/>
      <c r="X512" s="134"/>
      <c r="Y512" s="135"/>
      <c r="Z512" s="137"/>
      <c r="AA512" s="136"/>
      <c r="AB512" s="566" t="str">
        <f t="shared" si="289"/>
        <v/>
      </c>
      <c r="AC512" s="568" t="str">
        <f t="shared" si="297"/>
        <v/>
      </c>
      <c r="AD512" s="137"/>
      <c r="AE512" s="137"/>
      <c r="AF512" s="138"/>
      <c r="AG512" s="138"/>
      <c r="AH512" s="592" t="str">
        <f t="shared" si="290"/>
        <v/>
      </c>
      <c r="AI512" s="592" t="str">
        <f t="shared" si="291"/>
        <v/>
      </c>
      <c r="AJ512" s="592" t="str">
        <f t="shared" si="292"/>
        <v/>
      </c>
      <c r="AK512" s="460" t="str">
        <f>IF(AU512="","",IF(OR(AZ512=8,AZ512=9),0,IF(OR(AW512=3,AW512=4,AW512=5,AW512=6),IF(LEFT(BF512,1)="1",INDEX(係数_NOX・PM低減,MATCH(AY512,【参考】排出係数!$AI$801:$AI$804,1),1),VLOOKUP(AU512,INDEX((係数_バス貨物_ガソリン,係数_バス貨物_CNG,係数_バス貨物_軽油,係数_バス貨物_メタノール,係数_バス貨物_LPG),MATCH(AY512,【参考】排出係数!$AI$4:$AI$671,1),1,BE512):INDEX((係数_バス貨物_ガソリン,係数_バス貨物_CNG,係数_バス貨物_軽油,係数_バス貨物_メタノール,係数_バス貨物_LPG),MATCH(AY512+1,【参考】排出係数!$AI$4:$AI$671,1)-1,5,BE512),4,FALSE)),IF(AND(BE512=3,LEFT(BF512,1)="1"),0.48,VLOOKUP(AU512,INDEX((係数_乗用_ガソリン,係数_乗用_CNG,係数_乗用_軽油,係数_乗用_メタノール,係数_乗用_LPG),1,1,BE512):INDEX((係数_乗用_ガソリン,係数_乗用_CNG,係数_乗用_軽油,係数_乗用_メタノール,係数_乗用_LPG),125,5,BE512),4,FALSE)))))</f>
        <v/>
      </c>
      <c r="AL512" s="461" t="str">
        <f t="shared" si="316"/>
        <v/>
      </c>
      <c r="AM512" s="460" t="str">
        <f>IF(AU512="","",IF(OR(AZ512=8,AZ512=9),0,IF(OR(AW512=3,AW512=4,AW512=5,AW512=6),IF(LEFT(BH512,1)="1",INDEX(係数_PM低減,MATCH(AY512,【参考】排出係数!$AI$801:$AI$804,1),MATCH(BI512,【参考】排出係数!$AL$798:$AO$798,1)),VLOOKUP(AU512,INDEX((係数_バス貨物_ガソリン,係数_バス貨物_CNG,係数_バス貨物_軽油,係数_バス貨物_メタノール,係数_バス貨物_LPG),MATCH(AY512,【参考】排出係数!$AI$4:$AI$671,1),1,BE512):INDEX((係数_バス貨物_ガソリン,係数_バス貨物_CNG,係数_バス貨物_軽油,係数_バス貨物_メタノール,係数_バス貨物_LPG),MATCH(AY512+1,【参考】排出係数!$AI$4:$AI$671,1)-1,5,BE512),5,FALSE)),IF(AND(BE512=3,LEFT(BF512,1)="1"),0.055,VLOOKUP(AU512,INDEX((係数_乗用_ガソリン,係数_乗用_CNG,係数_乗用_軽油,係数_乗用_メタノール,係数_乗用_LPG),1,1,BE512):INDEX((係数_乗用_ガソリン,係数_乗用_CNG,係数_乗用_軽油,係数_乗用_メタノール,係数_乗用_LPG),125,5,BE512),5,FALSE)))))</f>
        <v/>
      </c>
      <c r="AN512" s="461" t="str">
        <f t="shared" si="317"/>
        <v/>
      </c>
      <c r="AO512" s="462" t="str">
        <f t="shared" si="318"/>
        <v/>
      </c>
      <c r="AP512" s="463" t="str">
        <f t="shared" si="319"/>
        <v/>
      </c>
      <c r="AQ512" s="464"/>
      <c r="AR512" s="619"/>
      <c r="AS512" s="465" t="str">
        <f t="shared" si="298"/>
        <v/>
      </c>
      <c r="AT512" s="465" t="str">
        <f t="shared" si="299"/>
        <v/>
      </c>
      <c r="AU512" s="466" t="str">
        <f t="shared" si="300"/>
        <v/>
      </c>
      <c r="AV512" s="467" t="str">
        <f t="shared" si="301"/>
        <v/>
      </c>
      <c r="AW512" s="467" t="str">
        <f t="shared" si="302"/>
        <v/>
      </c>
      <c r="AX512" s="467" t="str">
        <f t="shared" si="303"/>
        <v/>
      </c>
      <c r="AY512" s="467" t="str">
        <f t="shared" si="304"/>
        <v/>
      </c>
      <c r="AZ512" s="467" t="str">
        <f t="shared" si="305"/>
        <v/>
      </c>
      <c r="BA512" s="468" t="str">
        <f>IF(AS512="","",IF(OR(AU512="",AU512="-"),"－",IF(OR(AZ512=8,AZ512=9),"",IF(OR(AW512=3,AW512=4,AW512=5,AW512=6),VLOOKUP(AU512,INDEX((係数_バス貨物_ガソリン,係数_バス貨物_CNG,係数_バス貨物_軽油,係数_バス貨物_メタノール,係数_バス貨物_LPG),MATCH(AY512,【参考】排出係数!$AI$4:$AI$671,1),1,BE512):INDEX((係数_バス貨物_ガソリン,係数_バス貨物_CNG,係数_バス貨物_軽油,係数_バス貨物_メタノール,係数_バス貨物_LPG),MATCH(AY512+1,【参考】排出係数!$AI$4:$AI$671,1)-1,5,BE512),2,FALSE),IF(OR(AW512=1,AW512=2),VLOOKUP(AU512,INDEX((係数_乗用_ガソリン,係数_乗用_CNG,係数_乗用_軽油,係数_乗用_メタノール,係数_乗用_LPG),1,1,BE512):INDEX((係数_乗用_ガソリン,係数_乗用_CNG,係数_乗用_軽油,係数_乗用_メタノール,係数_乗用_LPG),125,5,BE512),2,FALSE))))))</f>
        <v/>
      </c>
      <c r="BB512" s="468" t="str">
        <f>IF(T512="","",IF(OR(AU512="",AU512="-"),"－",IF(OR(AZ512=8,AZ512=9),"",IF(OR(AW512=3,AW512=4,AW512=5,AW512=6),VLOOKUP(AU512,INDEX((係数_バス貨物_ガソリン,係数_バス貨物_CNG,係数_バス貨物_軽油,係数_バス貨物_メタノール,係数_バス貨物_LPG),MATCH(AY512,【参考】排出係数!$AI$4:$AI$671,1),1,BE512):INDEX((係数_バス貨物_ガソリン,係数_バス貨物_CNG,係数_バス貨物_軽油,係数_バス貨物_メタノール,係数_バス貨物_LPG),MATCH(AY512+1,【参考】排出係数!$AI$4:$AI$671,1)-1,5,BE512),3,FALSE),IF(OR(AW512=1,AW512=2),VLOOKUP(AU512,INDEX((係数_乗用_ガソリン,係数_乗用_CNG,係数_乗用_軽油,係数_乗用_メタノール,係数_乗用_LPG),1,1,BE512):INDEX((係数_乗用_ガソリン,係数_乗用_CNG,係数_乗用_軽油,係数_乗用_メタノール,係数_乗用_LPG),125,5,BE512),3,FALSE))))))</f>
        <v/>
      </c>
      <c r="BC512" s="467" t="str">
        <f t="shared" si="306"/>
        <v/>
      </c>
      <c r="BD512" s="567" t="str">
        <f t="shared" si="307"/>
        <v/>
      </c>
      <c r="BE512" s="467" t="str">
        <f t="shared" si="308"/>
        <v/>
      </c>
      <c r="BF512" s="469" t="str">
        <f t="shared" ca="1" si="309"/>
        <v/>
      </c>
      <c r="BG512" s="469" t="str">
        <f t="shared" ca="1" si="310"/>
        <v/>
      </c>
      <c r="BH512" s="467" t="str">
        <f t="shared" si="311"/>
        <v/>
      </c>
      <c r="BI512" s="467" t="str">
        <f t="shared" ca="1" si="312"/>
        <v/>
      </c>
      <c r="BJ512" s="469" t="str">
        <f t="shared" si="313"/>
        <v/>
      </c>
      <c r="BK512" s="470" t="str">
        <f t="shared" si="293"/>
        <v/>
      </c>
      <c r="BL512" s="775" t="str">
        <f t="shared" si="314"/>
        <v/>
      </c>
      <c r="BM512" s="775" t="str">
        <f t="shared" si="315"/>
        <v/>
      </c>
    </row>
    <row r="513" spans="1:65">
      <c r="A513" s="473">
        <v>457</v>
      </c>
      <c r="B513" s="132"/>
      <c r="C513" s="332"/>
      <c r="D513" s="333"/>
      <c r="E513" s="333"/>
      <c r="F513" s="334"/>
      <c r="G513" s="337"/>
      <c r="H513" s="131"/>
      <c r="I513" s="337"/>
      <c r="J513" s="131"/>
      <c r="K513" s="458" t="str">
        <f t="shared" si="282"/>
        <v/>
      </c>
      <c r="L513" s="458">
        <f t="shared" si="294"/>
        <v>0</v>
      </c>
      <c r="M513" s="458">
        <f t="shared" si="295"/>
        <v>0</v>
      </c>
      <c r="N513" s="459" t="str">
        <f t="shared" si="283"/>
        <v/>
      </c>
      <c r="O513" s="459" t="str">
        <f t="shared" si="284"/>
        <v/>
      </c>
      <c r="P513" s="459" t="str">
        <f t="shared" si="285"/>
        <v/>
      </c>
      <c r="Q513" s="459" t="str">
        <f t="shared" si="286"/>
        <v/>
      </c>
      <c r="R513" s="459" t="str">
        <f t="shared" si="287"/>
        <v/>
      </c>
      <c r="S513" s="459" t="str">
        <f t="shared" si="288"/>
        <v/>
      </c>
      <c r="T513" s="566" t="str">
        <f t="shared" si="296"/>
        <v/>
      </c>
      <c r="U513" s="702"/>
      <c r="V513" s="132"/>
      <c r="W513" s="133"/>
      <c r="X513" s="134"/>
      <c r="Y513" s="135"/>
      <c r="Z513" s="137"/>
      <c r="AA513" s="136"/>
      <c r="AB513" s="566" t="str">
        <f t="shared" si="289"/>
        <v/>
      </c>
      <c r="AC513" s="568" t="str">
        <f t="shared" si="297"/>
        <v/>
      </c>
      <c r="AD513" s="137"/>
      <c r="AE513" s="137"/>
      <c r="AF513" s="138"/>
      <c r="AG513" s="138"/>
      <c r="AH513" s="592" t="str">
        <f t="shared" si="290"/>
        <v/>
      </c>
      <c r="AI513" s="592" t="str">
        <f t="shared" si="291"/>
        <v/>
      </c>
      <c r="AJ513" s="592" t="str">
        <f t="shared" si="292"/>
        <v/>
      </c>
      <c r="AK513" s="460" t="str">
        <f>IF(AU513="","",IF(OR(AZ513=8,AZ513=9),0,IF(OR(AW513=3,AW513=4,AW513=5,AW513=6),IF(LEFT(BF513,1)="1",INDEX(係数_NOX・PM低減,MATCH(AY513,【参考】排出係数!$AI$801:$AI$804,1),1),VLOOKUP(AU513,INDEX((係数_バス貨物_ガソリン,係数_バス貨物_CNG,係数_バス貨物_軽油,係数_バス貨物_メタノール,係数_バス貨物_LPG),MATCH(AY513,【参考】排出係数!$AI$4:$AI$671,1),1,BE513):INDEX((係数_バス貨物_ガソリン,係数_バス貨物_CNG,係数_バス貨物_軽油,係数_バス貨物_メタノール,係数_バス貨物_LPG),MATCH(AY513+1,【参考】排出係数!$AI$4:$AI$671,1)-1,5,BE513),4,FALSE)),IF(AND(BE513=3,LEFT(BF513,1)="1"),0.48,VLOOKUP(AU513,INDEX((係数_乗用_ガソリン,係数_乗用_CNG,係数_乗用_軽油,係数_乗用_メタノール,係数_乗用_LPG),1,1,BE513):INDEX((係数_乗用_ガソリン,係数_乗用_CNG,係数_乗用_軽油,係数_乗用_メタノール,係数_乗用_LPG),125,5,BE513),4,FALSE)))))</f>
        <v/>
      </c>
      <c r="AL513" s="461" t="str">
        <f t="shared" si="316"/>
        <v/>
      </c>
      <c r="AM513" s="460" t="str">
        <f>IF(AU513="","",IF(OR(AZ513=8,AZ513=9),0,IF(OR(AW513=3,AW513=4,AW513=5,AW513=6),IF(LEFT(BH513,1)="1",INDEX(係数_PM低減,MATCH(AY513,【参考】排出係数!$AI$801:$AI$804,1),MATCH(BI513,【参考】排出係数!$AL$798:$AO$798,1)),VLOOKUP(AU513,INDEX((係数_バス貨物_ガソリン,係数_バス貨物_CNG,係数_バス貨物_軽油,係数_バス貨物_メタノール,係数_バス貨物_LPG),MATCH(AY513,【参考】排出係数!$AI$4:$AI$671,1),1,BE513):INDEX((係数_バス貨物_ガソリン,係数_バス貨物_CNG,係数_バス貨物_軽油,係数_バス貨物_メタノール,係数_バス貨物_LPG),MATCH(AY513+1,【参考】排出係数!$AI$4:$AI$671,1)-1,5,BE513),5,FALSE)),IF(AND(BE513=3,LEFT(BF513,1)="1"),0.055,VLOOKUP(AU513,INDEX((係数_乗用_ガソリン,係数_乗用_CNG,係数_乗用_軽油,係数_乗用_メタノール,係数_乗用_LPG),1,1,BE513):INDEX((係数_乗用_ガソリン,係数_乗用_CNG,係数_乗用_軽油,係数_乗用_メタノール,係数_乗用_LPG),125,5,BE513),5,FALSE)))))</f>
        <v/>
      </c>
      <c r="AN513" s="461" t="str">
        <f t="shared" si="317"/>
        <v/>
      </c>
      <c r="AO513" s="462" t="str">
        <f t="shared" si="318"/>
        <v/>
      </c>
      <c r="AP513" s="463" t="str">
        <f t="shared" si="319"/>
        <v/>
      </c>
      <c r="AQ513" s="464"/>
      <c r="AR513" s="619"/>
      <c r="AS513" s="465" t="str">
        <f t="shared" si="298"/>
        <v/>
      </c>
      <c r="AT513" s="465" t="str">
        <f t="shared" si="299"/>
        <v/>
      </c>
      <c r="AU513" s="466" t="str">
        <f t="shared" si="300"/>
        <v/>
      </c>
      <c r="AV513" s="467" t="str">
        <f t="shared" si="301"/>
        <v/>
      </c>
      <c r="AW513" s="467" t="str">
        <f t="shared" si="302"/>
        <v/>
      </c>
      <c r="AX513" s="467" t="str">
        <f t="shared" si="303"/>
        <v/>
      </c>
      <c r="AY513" s="467" t="str">
        <f t="shared" si="304"/>
        <v/>
      </c>
      <c r="AZ513" s="467" t="str">
        <f t="shared" si="305"/>
        <v/>
      </c>
      <c r="BA513" s="468" t="str">
        <f>IF(AS513="","",IF(OR(AU513="",AU513="-"),"－",IF(OR(AZ513=8,AZ513=9),"",IF(OR(AW513=3,AW513=4,AW513=5,AW513=6),VLOOKUP(AU513,INDEX((係数_バス貨物_ガソリン,係数_バス貨物_CNG,係数_バス貨物_軽油,係数_バス貨物_メタノール,係数_バス貨物_LPG),MATCH(AY513,【参考】排出係数!$AI$4:$AI$671,1),1,BE513):INDEX((係数_バス貨物_ガソリン,係数_バス貨物_CNG,係数_バス貨物_軽油,係数_バス貨物_メタノール,係数_バス貨物_LPG),MATCH(AY513+1,【参考】排出係数!$AI$4:$AI$671,1)-1,5,BE513),2,FALSE),IF(OR(AW513=1,AW513=2),VLOOKUP(AU513,INDEX((係数_乗用_ガソリン,係数_乗用_CNG,係数_乗用_軽油,係数_乗用_メタノール,係数_乗用_LPG),1,1,BE513):INDEX((係数_乗用_ガソリン,係数_乗用_CNG,係数_乗用_軽油,係数_乗用_メタノール,係数_乗用_LPG),125,5,BE513),2,FALSE))))))</f>
        <v/>
      </c>
      <c r="BB513" s="468" t="str">
        <f>IF(T513="","",IF(OR(AU513="",AU513="-"),"－",IF(OR(AZ513=8,AZ513=9),"",IF(OR(AW513=3,AW513=4,AW513=5,AW513=6),VLOOKUP(AU513,INDEX((係数_バス貨物_ガソリン,係数_バス貨物_CNG,係数_バス貨物_軽油,係数_バス貨物_メタノール,係数_バス貨物_LPG),MATCH(AY513,【参考】排出係数!$AI$4:$AI$671,1),1,BE513):INDEX((係数_バス貨物_ガソリン,係数_バス貨物_CNG,係数_バス貨物_軽油,係数_バス貨物_メタノール,係数_バス貨物_LPG),MATCH(AY513+1,【参考】排出係数!$AI$4:$AI$671,1)-1,5,BE513),3,FALSE),IF(OR(AW513=1,AW513=2),VLOOKUP(AU513,INDEX((係数_乗用_ガソリン,係数_乗用_CNG,係数_乗用_軽油,係数_乗用_メタノール,係数_乗用_LPG),1,1,BE513):INDEX((係数_乗用_ガソリン,係数_乗用_CNG,係数_乗用_軽油,係数_乗用_メタノール,係数_乗用_LPG),125,5,BE513),3,FALSE))))))</f>
        <v/>
      </c>
      <c r="BC513" s="467" t="str">
        <f t="shared" si="306"/>
        <v/>
      </c>
      <c r="BD513" s="567" t="str">
        <f t="shared" si="307"/>
        <v/>
      </c>
      <c r="BE513" s="467" t="str">
        <f t="shared" si="308"/>
        <v/>
      </c>
      <c r="BF513" s="469" t="str">
        <f t="shared" ca="1" si="309"/>
        <v/>
      </c>
      <c r="BG513" s="469" t="str">
        <f t="shared" ca="1" si="310"/>
        <v/>
      </c>
      <c r="BH513" s="467" t="str">
        <f t="shared" si="311"/>
        <v/>
      </c>
      <c r="BI513" s="467" t="str">
        <f t="shared" ca="1" si="312"/>
        <v/>
      </c>
      <c r="BJ513" s="469" t="str">
        <f t="shared" si="313"/>
        <v/>
      </c>
      <c r="BK513" s="470" t="str">
        <f t="shared" si="293"/>
        <v/>
      </c>
      <c r="BL513" s="775" t="str">
        <f t="shared" si="314"/>
        <v/>
      </c>
      <c r="BM513" s="775" t="str">
        <f t="shared" si="315"/>
        <v/>
      </c>
    </row>
    <row r="514" spans="1:65">
      <c r="A514" s="473">
        <v>458</v>
      </c>
      <c r="B514" s="132"/>
      <c r="C514" s="332"/>
      <c r="D514" s="333"/>
      <c r="E514" s="333"/>
      <c r="F514" s="334"/>
      <c r="G514" s="337"/>
      <c r="H514" s="131"/>
      <c r="I514" s="337"/>
      <c r="J514" s="131"/>
      <c r="K514" s="458" t="str">
        <f t="shared" si="282"/>
        <v/>
      </c>
      <c r="L514" s="458">
        <f t="shared" si="294"/>
        <v>0</v>
      </c>
      <c r="M514" s="458">
        <f t="shared" si="295"/>
        <v>0</v>
      </c>
      <c r="N514" s="459" t="str">
        <f t="shared" si="283"/>
        <v/>
      </c>
      <c r="O514" s="459" t="str">
        <f t="shared" si="284"/>
        <v/>
      </c>
      <c r="P514" s="459" t="str">
        <f t="shared" si="285"/>
        <v/>
      </c>
      <c r="Q514" s="459" t="str">
        <f t="shared" si="286"/>
        <v/>
      </c>
      <c r="R514" s="459" t="str">
        <f t="shared" si="287"/>
        <v/>
      </c>
      <c r="S514" s="459" t="str">
        <f t="shared" si="288"/>
        <v/>
      </c>
      <c r="T514" s="566" t="str">
        <f t="shared" si="296"/>
        <v/>
      </c>
      <c r="U514" s="702"/>
      <c r="V514" s="132"/>
      <c r="W514" s="133"/>
      <c r="X514" s="134"/>
      <c r="Y514" s="135"/>
      <c r="Z514" s="137"/>
      <c r="AA514" s="136"/>
      <c r="AB514" s="566" t="str">
        <f t="shared" si="289"/>
        <v/>
      </c>
      <c r="AC514" s="568" t="str">
        <f t="shared" si="297"/>
        <v/>
      </c>
      <c r="AD514" s="137"/>
      <c r="AE514" s="137"/>
      <c r="AF514" s="138"/>
      <c r="AG514" s="138"/>
      <c r="AH514" s="592" t="str">
        <f t="shared" si="290"/>
        <v/>
      </c>
      <c r="AI514" s="592" t="str">
        <f t="shared" si="291"/>
        <v/>
      </c>
      <c r="AJ514" s="592" t="str">
        <f t="shared" si="292"/>
        <v/>
      </c>
      <c r="AK514" s="460" t="str">
        <f>IF(AU514="","",IF(OR(AZ514=8,AZ514=9),0,IF(OR(AW514=3,AW514=4,AW514=5,AW514=6),IF(LEFT(BF514,1)="1",INDEX(係数_NOX・PM低減,MATCH(AY514,【参考】排出係数!$AI$801:$AI$804,1),1),VLOOKUP(AU514,INDEX((係数_バス貨物_ガソリン,係数_バス貨物_CNG,係数_バス貨物_軽油,係数_バス貨物_メタノール,係数_バス貨物_LPG),MATCH(AY514,【参考】排出係数!$AI$4:$AI$671,1),1,BE514):INDEX((係数_バス貨物_ガソリン,係数_バス貨物_CNG,係数_バス貨物_軽油,係数_バス貨物_メタノール,係数_バス貨物_LPG),MATCH(AY514+1,【参考】排出係数!$AI$4:$AI$671,1)-1,5,BE514),4,FALSE)),IF(AND(BE514=3,LEFT(BF514,1)="1"),0.48,VLOOKUP(AU514,INDEX((係数_乗用_ガソリン,係数_乗用_CNG,係数_乗用_軽油,係数_乗用_メタノール,係数_乗用_LPG),1,1,BE514):INDEX((係数_乗用_ガソリン,係数_乗用_CNG,係数_乗用_軽油,係数_乗用_メタノール,係数_乗用_LPG),125,5,BE514),4,FALSE)))))</f>
        <v/>
      </c>
      <c r="AL514" s="461" t="str">
        <f t="shared" si="316"/>
        <v/>
      </c>
      <c r="AM514" s="460" t="str">
        <f>IF(AU514="","",IF(OR(AZ514=8,AZ514=9),0,IF(OR(AW514=3,AW514=4,AW514=5,AW514=6),IF(LEFT(BH514,1)="1",INDEX(係数_PM低減,MATCH(AY514,【参考】排出係数!$AI$801:$AI$804,1),MATCH(BI514,【参考】排出係数!$AL$798:$AO$798,1)),VLOOKUP(AU514,INDEX((係数_バス貨物_ガソリン,係数_バス貨物_CNG,係数_バス貨物_軽油,係数_バス貨物_メタノール,係数_バス貨物_LPG),MATCH(AY514,【参考】排出係数!$AI$4:$AI$671,1),1,BE514):INDEX((係数_バス貨物_ガソリン,係数_バス貨物_CNG,係数_バス貨物_軽油,係数_バス貨物_メタノール,係数_バス貨物_LPG),MATCH(AY514+1,【参考】排出係数!$AI$4:$AI$671,1)-1,5,BE514),5,FALSE)),IF(AND(BE514=3,LEFT(BF514,1)="1"),0.055,VLOOKUP(AU514,INDEX((係数_乗用_ガソリン,係数_乗用_CNG,係数_乗用_軽油,係数_乗用_メタノール,係数_乗用_LPG),1,1,BE514):INDEX((係数_乗用_ガソリン,係数_乗用_CNG,係数_乗用_軽油,係数_乗用_メタノール,係数_乗用_LPG),125,5,BE514),5,FALSE)))))</f>
        <v/>
      </c>
      <c r="AN514" s="461" t="str">
        <f t="shared" si="317"/>
        <v/>
      </c>
      <c r="AO514" s="462" t="str">
        <f t="shared" si="318"/>
        <v/>
      </c>
      <c r="AP514" s="463" t="str">
        <f t="shared" si="319"/>
        <v/>
      </c>
      <c r="AQ514" s="464"/>
      <c r="AR514" s="619"/>
      <c r="AS514" s="465" t="str">
        <f t="shared" si="298"/>
        <v/>
      </c>
      <c r="AT514" s="465" t="str">
        <f t="shared" si="299"/>
        <v/>
      </c>
      <c r="AU514" s="466" t="str">
        <f t="shared" si="300"/>
        <v/>
      </c>
      <c r="AV514" s="467" t="str">
        <f t="shared" si="301"/>
        <v/>
      </c>
      <c r="AW514" s="467" t="str">
        <f t="shared" si="302"/>
        <v/>
      </c>
      <c r="AX514" s="467" t="str">
        <f t="shared" si="303"/>
        <v/>
      </c>
      <c r="AY514" s="467" t="str">
        <f t="shared" si="304"/>
        <v/>
      </c>
      <c r="AZ514" s="467" t="str">
        <f t="shared" si="305"/>
        <v/>
      </c>
      <c r="BA514" s="468" t="str">
        <f>IF(AS514="","",IF(OR(AU514="",AU514="-"),"－",IF(OR(AZ514=8,AZ514=9),"",IF(OR(AW514=3,AW514=4,AW514=5,AW514=6),VLOOKUP(AU514,INDEX((係数_バス貨物_ガソリン,係数_バス貨物_CNG,係数_バス貨物_軽油,係数_バス貨物_メタノール,係数_バス貨物_LPG),MATCH(AY514,【参考】排出係数!$AI$4:$AI$671,1),1,BE514):INDEX((係数_バス貨物_ガソリン,係数_バス貨物_CNG,係数_バス貨物_軽油,係数_バス貨物_メタノール,係数_バス貨物_LPG),MATCH(AY514+1,【参考】排出係数!$AI$4:$AI$671,1)-1,5,BE514),2,FALSE),IF(OR(AW514=1,AW514=2),VLOOKUP(AU514,INDEX((係数_乗用_ガソリン,係数_乗用_CNG,係数_乗用_軽油,係数_乗用_メタノール,係数_乗用_LPG),1,1,BE514):INDEX((係数_乗用_ガソリン,係数_乗用_CNG,係数_乗用_軽油,係数_乗用_メタノール,係数_乗用_LPG),125,5,BE514),2,FALSE))))))</f>
        <v/>
      </c>
      <c r="BB514" s="468" t="str">
        <f>IF(T514="","",IF(OR(AU514="",AU514="-"),"－",IF(OR(AZ514=8,AZ514=9),"",IF(OR(AW514=3,AW514=4,AW514=5,AW514=6),VLOOKUP(AU514,INDEX((係数_バス貨物_ガソリン,係数_バス貨物_CNG,係数_バス貨物_軽油,係数_バス貨物_メタノール,係数_バス貨物_LPG),MATCH(AY514,【参考】排出係数!$AI$4:$AI$671,1),1,BE514):INDEX((係数_バス貨物_ガソリン,係数_バス貨物_CNG,係数_バス貨物_軽油,係数_バス貨物_メタノール,係数_バス貨物_LPG),MATCH(AY514+1,【参考】排出係数!$AI$4:$AI$671,1)-1,5,BE514),3,FALSE),IF(OR(AW514=1,AW514=2),VLOOKUP(AU514,INDEX((係数_乗用_ガソリン,係数_乗用_CNG,係数_乗用_軽油,係数_乗用_メタノール,係数_乗用_LPG),1,1,BE514):INDEX((係数_乗用_ガソリン,係数_乗用_CNG,係数_乗用_軽油,係数_乗用_メタノール,係数_乗用_LPG),125,5,BE514),3,FALSE))))))</f>
        <v/>
      </c>
      <c r="BC514" s="467" t="str">
        <f t="shared" si="306"/>
        <v/>
      </c>
      <c r="BD514" s="567" t="str">
        <f t="shared" si="307"/>
        <v/>
      </c>
      <c r="BE514" s="467" t="str">
        <f t="shared" si="308"/>
        <v/>
      </c>
      <c r="BF514" s="469" t="str">
        <f t="shared" ca="1" si="309"/>
        <v/>
      </c>
      <c r="BG514" s="469" t="str">
        <f t="shared" ca="1" si="310"/>
        <v/>
      </c>
      <c r="BH514" s="467" t="str">
        <f t="shared" si="311"/>
        <v/>
      </c>
      <c r="BI514" s="467" t="str">
        <f t="shared" ca="1" si="312"/>
        <v/>
      </c>
      <c r="BJ514" s="469" t="str">
        <f t="shared" si="313"/>
        <v/>
      </c>
      <c r="BK514" s="470" t="str">
        <f t="shared" si="293"/>
        <v/>
      </c>
      <c r="BL514" s="775" t="str">
        <f t="shared" si="314"/>
        <v/>
      </c>
      <c r="BM514" s="775" t="str">
        <f t="shared" si="315"/>
        <v/>
      </c>
    </row>
    <row r="515" spans="1:65">
      <c r="A515" s="473">
        <v>459</v>
      </c>
      <c r="B515" s="132"/>
      <c r="C515" s="332"/>
      <c r="D515" s="333"/>
      <c r="E515" s="333"/>
      <c r="F515" s="334"/>
      <c r="G515" s="337"/>
      <c r="H515" s="131"/>
      <c r="I515" s="337"/>
      <c r="J515" s="131"/>
      <c r="K515" s="458" t="str">
        <f t="shared" si="282"/>
        <v/>
      </c>
      <c r="L515" s="458">
        <f t="shared" si="294"/>
        <v>0</v>
      </c>
      <c r="M515" s="458">
        <f t="shared" si="295"/>
        <v>0</v>
      </c>
      <c r="N515" s="459" t="str">
        <f t="shared" si="283"/>
        <v/>
      </c>
      <c r="O515" s="459" t="str">
        <f t="shared" si="284"/>
        <v/>
      </c>
      <c r="P515" s="459" t="str">
        <f t="shared" si="285"/>
        <v/>
      </c>
      <c r="Q515" s="459" t="str">
        <f t="shared" si="286"/>
        <v/>
      </c>
      <c r="R515" s="459" t="str">
        <f t="shared" si="287"/>
        <v/>
      </c>
      <c r="S515" s="459" t="str">
        <f t="shared" si="288"/>
        <v/>
      </c>
      <c r="T515" s="566" t="str">
        <f t="shared" si="296"/>
        <v/>
      </c>
      <c r="U515" s="702"/>
      <c r="V515" s="132"/>
      <c r="W515" s="133"/>
      <c r="X515" s="134"/>
      <c r="Y515" s="135"/>
      <c r="Z515" s="137"/>
      <c r="AA515" s="136"/>
      <c r="AB515" s="566" t="str">
        <f t="shared" si="289"/>
        <v/>
      </c>
      <c r="AC515" s="568" t="str">
        <f t="shared" si="297"/>
        <v/>
      </c>
      <c r="AD515" s="137"/>
      <c r="AE515" s="137"/>
      <c r="AF515" s="138"/>
      <c r="AG515" s="138"/>
      <c r="AH515" s="592" t="str">
        <f t="shared" si="290"/>
        <v/>
      </c>
      <c r="AI515" s="592" t="str">
        <f t="shared" si="291"/>
        <v/>
      </c>
      <c r="AJ515" s="592" t="str">
        <f t="shared" si="292"/>
        <v/>
      </c>
      <c r="AK515" s="460" t="str">
        <f>IF(AU515="","",IF(OR(AZ515=8,AZ515=9),0,IF(OR(AW515=3,AW515=4,AW515=5,AW515=6),IF(LEFT(BF515,1)="1",INDEX(係数_NOX・PM低減,MATCH(AY515,【参考】排出係数!$AI$801:$AI$804,1),1),VLOOKUP(AU515,INDEX((係数_バス貨物_ガソリン,係数_バス貨物_CNG,係数_バス貨物_軽油,係数_バス貨物_メタノール,係数_バス貨物_LPG),MATCH(AY515,【参考】排出係数!$AI$4:$AI$671,1),1,BE515):INDEX((係数_バス貨物_ガソリン,係数_バス貨物_CNG,係数_バス貨物_軽油,係数_バス貨物_メタノール,係数_バス貨物_LPG),MATCH(AY515+1,【参考】排出係数!$AI$4:$AI$671,1)-1,5,BE515),4,FALSE)),IF(AND(BE515=3,LEFT(BF515,1)="1"),0.48,VLOOKUP(AU515,INDEX((係数_乗用_ガソリン,係数_乗用_CNG,係数_乗用_軽油,係数_乗用_メタノール,係数_乗用_LPG),1,1,BE515):INDEX((係数_乗用_ガソリン,係数_乗用_CNG,係数_乗用_軽油,係数_乗用_メタノール,係数_乗用_LPG),125,5,BE515),4,FALSE)))))</f>
        <v/>
      </c>
      <c r="AL515" s="461" t="str">
        <f t="shared" si="316"/>
        <v/>
      </c>
      <c r="AM515" s="460" t="str">
        <f>IF(AU515="","",IF(OR(AZ515=8,AZ515=9),0,IF(OR(AW515=3,AW515=4,AW515=5,AW515=6),IF(LEFT(BH515,1)="1",INDEX(係数_PM低減,MATCH(AY515,【参考】排出係数!$AI$801:$AI$804,1),MATCH(BI515,【参考】排出係数!$AL$798:$AO$798,1)),VLOOKUP(AU515,INDEX((係数_バス貨物_ガソリン,係数_バス貨物_CNG,係数_バス貨物_軽油,係数_バス貨物_メタノール,係数_バス貨物_LPG),MATCH(AY515,【参考】排出係数!$AI$4:$AI$671,1),1,BE515):INDEX((係数_バス貨物_ガソリン,係数_バス貨物_CNG,係数_バス貨物_軽油,係数_バス貨物_メタノール,係数_バス貨物_LPG),MATCH(AY515+1,【参考】排出係数!$AI$4:$AI$671,1)-1,5,BE515),5,FALSE)),IF(AND(BE515=3,LEFT(BF515,1)="1"),0.055,VLOOKUP(AU515,INDEX((係数_乗用_ガソリン,係数_乗用_CNG,係数_乗用_軽油,係数_乗用_メタノール,係数_乗用_LPG),1,1,BE515):INDEX((係数_乗用_ガソリン,係数_乗用_CNG,係数_乗用_軽油,係数_乗用_メタノール,係数_乗用_LPG),125,5,BE515),5,FALSE)))))</f>
        <v/>
      </c>
      <c r="AN515" s="461" t="str">
        <f t="shared" si="317"/>
        <v/>
      </c>
      <c r="AO515" s="462" t="str">
        <f t="shared" si="318"/>
        <v/>
      </c>
      <c r="AP515" s="463" t="str">
        <f t="shared" si="319"/>
        <v/>
      </c>
      <c r="AQ515" s="464"/>
      <c r="AR515" s="619"/>
      <c r="AS515" s="465" t="str">
        <f t="shared" si="298"/>
        <v/>
      </c>
      <c r="AT515" s="465" t="str">
        <f t="shared" si="299"/>
        <v/>
      </c>
      <c r="AU515" s="466" t="str">
        <f t="shared" si="300"/>
        <v/>
      </c>
      <c r="AV515" s="467" t="str">
        <f t="shared" si="301"/>
        <v/>
      </c>
      <c r="AW515" s="467" t="str">
        <f t="shared" si="302"/>
        <v/>
      </c>
      <c r="AX515" s="467" t="str">
        <f t="shared" si="303"/>
        <v/>
      </c>
      <c r="AY515" s="467" t="str">
        <f t="shared" si="304"/>
        <v/>
      </c>
      <c r="AZ515" s="467" t="str">
        <f t="shared" si="305"/>
        <v/>
      </c>
      <c r="BA515" s="468" t="str">
        <f>IF(AS515="","",IF(OR(AU515="",AU515="-"),"－",IF(OR(AZ515=8,AZ515=9),"",IF(OR(AW515=3,AW515=4,AW515=5,AW515=6),VLOOKUP(AU515,INDEX((係数_バス貨物_ガソリン,係数_バス貨物_CNG,係数_バス貨物_軽油,係数_バス貨物_メタノール,係数_バス貨物_LPG),MATCH(AY515,【参考】排出係数!$AI$4:$AI$671,1),1,BE515):INDEX((係数_バス貨物_ガソリン,係数_バス貨物_CNG,係数_バス貨物_軽油,係数_バス貨物_メタノール,係数_バス貨物_LPG),MATCH(AY515+1,【参考】排出係数!$AI$4:$AI$671,1)-1,5,BE515),2,FALSE),IF(OR(AW515=1,AW515=2),VLOOKUP(AU515,INDEX((係数_乗用_ガソリン,係数_乗用_CNG,係数_乗用_軽油,係数_乗用_メタノール,係数_乗用_LPG),1,1,BE515):INDEX((係数_乗用_ガソリン,係数_乗用_CNG,係数_乗用_軽油,係数_乗用_メタノール,係数_乗用_LPG),125,5,BE515),2,FALSE))))))</f>
        <v/>
      </c>
      <c r="BB515" s="468" t="str">
        <f>IF(T515="","",IF(OR(AU515="",AU515="-"),"－",IF(OR(AZ515=8,AZ515=9),"",IF(OR(AW515=3,AW515=4,AW515=5,AW515=6),VLOOKUP(AU515,INDEX((係数_バス貨物_ガソリン,係数_バス貨物_CNG,係数_バス貨物_軽油,係数_バス貨物_メタノール,係数_バス貨物_LPG),MATCH(AY515,【参考】排出係数!$AI$4:$AI$671,1),1,BE515):INDEX((係数_バス貨物_ガソリン,係数_バス貨物_CNG,係数_バス貨物_軽油,係数_バス貨物_メタノール,係数_バス貨物_LPG),MATCH(AY515+1,【参考】排出係数!$AI$4:$AI$671,1)-1,5,BE515),3,FALSE),IF(OR(AW515=1,AW515=2),VLOOKUP(AU515,INDEX((係数_乗用_ガソリン,係数_乗用_CNG,係数_乗用_軽油,係数_乗用_メタノール,係数_乗用_LPG),1,1,BE515):INDEX((係数_乗用_ガソリン,係数_乗用_CNG,係数_乗用_軽油,係数_乗用_メタノール,係数_乗用_LPG),125,5,BE515),3,FALSE))))))</f>
        <v/>
      </c>
      <c r="BC515" s="467" t="str">
        <f t="shared" si="306"/>
        <v/>
      </c>
      <c r="BD515" s="567" t="str">
        <f t="shared" si="307"/>
        <v/>
      </c>
      <c r="BE515" s="467" t="str">
        <f t="shared" si="308"/>
        <v/>
      </c>
      <c r="BF515" s="469" t="str">
        <f t="shared" ca="1" si="309"/>
        <v/>
      </c>
      <c r="BG515" s="469" t="str">
        <f t="shared" ca="1" si="310"/>
        <v/>
      </c>
      <c r="BH515" s="467" t="str">
        <f t="shared" si="311"/>
        <v/>
      </c>
      <c r="BI515" s="467" t="str">
        <f t="shared" ca="1" si="312"/>
        <v/>
      </c>
      <c r="BJ515" s="469" t="str">
        <f t="shared" si="313"/>
        <v/>
      </c>
      <c r="BK515" s="470" t="str">
        <f t="shared" si="293"/>
        <v/>
      </c>
      <c r="BL515" s="775" t="str">
        <f t="shared" si="314"/>
        <v/>
      </c>
      <c r="BM515" s="775" t="str">
        <f t="shared" si="315"/>
        <v/>
      </c>
    </row>
    <row r="516" spans="1:65">
      <c r="A516" s="473">
        <v>460</v>
      </c>
      <c r="B516" s="132"/>
      <c r="C516" s="332"/>
      <c r="D516" s="333"/>
      <c r="E516" s="333"/>
      <c r="F516" s="334"/>
      <c r="G516" s="337"/>
      <c r="H516" s="131"/>
      <c r="I516" s="337"/>
      <c r="J516" s="131"/>
      <c r="K516" s="458" t="str">
        <f t="shared" si="282"/>
        <v/>
      </c>
      <c r="L516" s="458">
        <f t="shared" si="294"/>
        <v>0</v>
      </c>
      <c r="M516" s="458">
        <f t="shared" si="295"/>
        <v>0</v>
      </c>
      <c r="N516" s="459" t="str">
        <f t="shared" si="283"/>
        <v/>
      </c>
      <c r="O516" s="459" t="str">
        <f t="shared" si="284"/>
        <v/>
      </c>
      <c r="P516" s="459" t="str">
        <f t="shared" si="285"/>
        <v/>
      </c>
      <c r="Q516" s="459" t="str">
        <f t="shared" si="286"/>
        <v/>
      </c>
      <c r="R516" s="459" t="str">
        <f t="shared" si="287"/>
        <v/>
      </c>
      <c r="S516" s="459" t="str">
        <f t="shared" si="288"/>
        <v/>
      </c>
      <c r="T516" s="566" t="str">
        <f t="shared" si="296"/>
        <v/>
      </c>
      <c r="U516" s="702"/>
      <c r="V516" s="132"/>
      <c r="W516" s="133"/>
      <c r="X516" s="134"/>
      <c r="Y516" s="135"/>
      <c r="Z516" s="137"/>
      <c r="AA516" s="136"/>
      <c r="AB516" s="566" t="str">
        <f t="shared" si="289"/>
        <v/>
      </c>
      <c r="AC516" s="568" t="str">
        <f t="shared" si="297"/>
        <v/>
      </c>
      <c r="AD516" s="137"/>
      <c r="AE516" s="137"/>
      <c r="AF516" s="138"/>
      <c r="AG516" s="138"/>
      <c r="AH516" s="592" t="str">
        <f t="shared" si="290"/>
        <v/>
      </c>
      <c r="AI516" s="592" t="str">
        <f t="shared" si="291"/>
        <v/>
      </c>
      <c r="AJ516" s="592" t="str">
        <f t="shared" si="292"/>
        <v/>
      </c>
      <c r="AK516" s="460" t="str">
        <f>IF(AU516="","",IF(OR(AZ516=8,AZ516=9),0,IF(OR(AW516=3,AW516=4,AW516=5,AW516=6),IF(LEFT(BF516,1)="1",INDEX(係数_NOX・PM低減,MATCH(AY516,【参考】排出係数!$AI$801:$AI$804,1),1),VLOOKUP(AU516,INDEX((係数_バス貨物_ガソリン,係数_バス貨物_CNG,係数_バス貨物_軽油,係数_バス貨物_メタノール,係数_バス貨物_LPG),MATCH(AY516,【参考】排出係数!$AI$4:$AI$671,1),1,BE516):INDEX((係数_バス貨物_ガソリン,係数_バス貨物_CNG,係数_バス貨物_軽油,係数_バス貨物_メタノール,係数_バス貨物_LPG),MATCH(AY516+1,【参考】排出係数!$AI$4:$AI$671,1)-1,5,BE516),4,FALSE)),IF(AND(BE516=3,LEFT(BF516,1)="1"),0.48,VLOOKUP(AU516,INDEX((係数_乗用_ガソリン,係数_乗用_CNG,係数_乗用_軽油,係数_乗用_メタノール,係数_乗用_LPG),1,1,BE516):INDEX((係数_乗用_ガソリン,係数_乗用_CNG,係数_乗用_軽油,係数_乗用_メタノール,係数_乗用_LPG),125,5,BE516),4,FALSE)))))</f>
        <v/>
      </c>
      <c r="AL516" s="461" t="str">
        <f t="shared" si="316"/>
        <v/>
      </c>
      <c r="AM516" s="460" t="str">
        <f>IF(AU516="","",IF(OR(AZ516=8,AZ516=9),0,IF(OR(AW516=3,AW516=4,AW516=5,AW516=6),IF(LEFT(BH516,1)="1",INDEX(係数_PM低減,MATCH(AY516,【参考】排出係数!$AI$801:$AI$804,1),MATCH(BI516,【参考】排出係数!$AL$798:$AO$798,1)),VLOOKUP(AU516,INDEX((係数_バス貨物_ガソリン,係数_バス貨物_CNG,係数_バス貨物_軽油,係数_バス貨物_メタノール,係数_バス貨物_LPG),MATCH(AY516,【参考】排出係数!$AI$4:$AI$671,1),1,BE516):INDEX((係数_バス貨物_ガソリン,係数_バス貨物_CNG,係数_バス貨物_軽油,係数_バス貨物_メタノール,係数_バス貨物_LPG),MATCH(AY516+1,【参考】排出係数!$AI$4:$AI$671,1)-1,5,BE516),5,FALSE)),IF(AND(BE516=3,LEFT(BF516,1)="1"),0.055,VLOOKUP(AU516,INDEX((係数_乗用_ガソリン,係数_乗用_CNG,係数_乗用_軽油,係数_乗用_メタノール,係数_乗用_LPG),1,1,BE516):INDEX((係数_乗用_ガソリン,係数_乗用_CNG,係数_乗用_軽油,係数_乗用_メタノール,係数_乗用_LPG),125,5,BE516),5,FALSE)))))</f>
        <v/>
      </c>
      <c r="AN516" s="461" t="str">
        <f t="shared" si="317"/>
        <v/>
      </c>
      <c r="AO516" s="462" t="str">
        <f t="shared" si="318"/>
        <v/>
      </c>
      <c r="AP516" s="463" t="str">
        <f t="shared" si="319"/>
        <v/>
      </c>
      <c r="AQ516" s="464"/>
      <c r="AR516" s="619"/>
      <c r="AS516" s="465" t="str">
        <f t="shared" si="298"/>
        <v/>
      </c>
      <c r="AT516" s="465" t="str">
        <f t="shared" si="299"/>
        <v/>
      </c>
      <c r="AU516" s="466" t="str">
        <f t="shared" si="300"/>
        <v/>
      </c>
      <c r="AV516" s="467" t="str">
        <f t="shared" si="301"/>
        <v/>
      </c>
      <c r="AW516" s="467" t="str">
        <f t="shared" si="302"/>
        <v/>
      </c>
      <c r="AX516" s="467" t="str">
        <f t="shared" si="303"/>
        <v/>
      </c>
      <c r="AY516" s="467" t="str">
        <f t="shared" si="304"/>
        <v/>
      </c>
      <c r="AZ516" s="467" t="str">
        <f t="shared" si="305"/>
        <v/>
      </c>
      <c r="BA516" s="468" t="str">
        <f>IF(AS516="","",IF(OR(AU516="",AU516="-"),"－",IF(OR(AZ516=8,AZ516=9),"",IF(OR(AW516=3,AW516=4,AW516=5,AW516=6),VLOOKUP(AU516,INDEX((係数_バス貨物_ガソリン,係数_バス貨物_CNG,係数_バス貨物_軽油,係数_バス貨物_メタノール,係数_バス貨物_LPG),MATCH(AY516,【参考】排出係数!$AI$4:$AI$671,1),1,BE516):INDEX((係数_バス貨物_ガソリン,係数_バス貨物_CNG,係数_バス貨物_軽油,係数_バス貨物_メタノール,係数_バス貨物_LPG),MATCH(AY516+1,【参考】排出係数!$AI$4:$AI$671,1)-1,5,BE516),2,FALSE),IF(OR(AW516=1,AW516=2),VLOOKUP(AU516,INDEX((係数_乗用_ガソリン,係数_乗用_CNG,係数_乗用_軽油,係数_乗用_メタノール,係数_乗用_LPG),1,1,BE516):INDEX((係数_乗用_ガソリン,係数_乗用_CNG,係数_乗用_軽油,係数_乗用_メタノール,係数_乗用_LPG),125,5,BE516),2,FALSE))))))</f>
        <v/>
      </c>
      <c r="BB516" s="468" t="str">
        <f>IF(T516="","",IF(OR(AU516="",AU516="-"),"－",IF(OR(AZ516=8,AZ516=9),"",IF(OR(AW516=3,AW516=4,AW516=5,AW516=6),VLOOKUP(AU516,INDEX((係数_バス貨物_ガソリン,係数_バス貨物_CNG,係数_バス貨物_軽油,係数_バス貨物_メタノール,係数_バス貨物_LPG),MATCH(AY516,【参考】排出係数!$AI$4:$AI$671,1),1,BE516):INDEX((係数_バス貨物_ガソリン,係数_バス貨物_CNG,係数_バス貨物_軽油,係数_バス貨物_メタノール,係数_バス貨物_LPG),MATCH(AY516+1,【参考】排出係数!$AI$4:$AI$671,1)-1,5,BE516),3,FALSE),IF(OR(AW516=1,AW516=2),VLOOKUP(AU516,INDEX((係数_乗用_ガソリン,係数_乗用_CNG,係数_乗用_軽油,係数_乗用_メタノール,係数_乗用_LPG),1,1,BE516):INDEX((係数_乗用_ガソリン,係数_乗用_CNG,係数_乗用_軽油,係数_乗用_メタノール,係数_乗用_LPG),125,5,BE516),3,FALSE))))))</f>
        <v/>
      </c>
      <c r="BC516" s="467" t="str">
        <f t="shared" si="306"/>
        <v/>
      </c>
      <c r="BD516" s="567" t="str">
        <f t="shared" si="307"/>
        <v/>
      </c>
      <c r="BE516" s="467" t="str">
        <f t="shared" si="308"/>
        <v/>
      </c>
      <c r="BF516" s="469" t="str">
        <f t="shared" ca="1" si="309"/>
        <v/>
      </c>
      <c r="BG516" s="469" t="str">
        <f t="shared" ca="1" si="310"/>
        <v/>
      </c>
      <c r="BH516" s="467" t="str">
        <f t="shared" si="311"/>
        <v/>
      </c>
      <c r="BI516" s="467" t="str">
        <f t="shared" ca="1" si="312"/>
        <v/>
      </c>
      <c r="BJ516" s="469" t="str">
        <f t="shared" si="313"/>
        <v/>
      </c>
      <c r="BK516" s="470" t="str">
        <f t="shared" si="293"/>
        <v/>
      </c>
      <c r="BL516" s="775" t="str">
        <f t="shared" si="314"/>
        <v/>
      </c>
      <c r="BM516" s="775" t="str">
        <f t="shared" si="315"/>
        <v/>
      </c>
    </row>
    <row r="517" spans="1:65">
      <c r="A517" s="473">
        <v>461</v>
      </c>
      <c r="B517" s="132"/>
      <c r="C517" s="332"/>
      <c r="D517" s="333"/>
      <c r="E517" s="333"/>
      <c r="F517" s="334"/>
      <c r="G517" s="337"/>
      <c r="H517" s="131"/>
      <c r="I517" s="337"/>
      <c r="J517" s="131"/>
      <c r="K517" s="458" t="str">
        <f t="shared" si="282"/>
        <v/>
      </c>
      <c r="L517" s="458">
        <f t="shared" si="294"/>
        <v>0</v>
      </c>
      <c r="M517" s="458">
        <f t="shared" si="295"/>
        <v>0</v>
      </c>
      <c r="N517" s="459" t="str">
        <f t="shared" si="283"/>
        <v/>
      </c>
      <c r="O517" s="459" t="str">
        <f t="shared" si="284"/>
        <v/>
      </c>
      <c r="P517" s="459" t="str">
        <f t="shared" si="285"/>
        <v/>
      </c>
      <c r="Q517" s="459" t="str">
        <f t="shared" si="286"/>
        <v/>
      </c>
      <c r="R517" s="459" t="str">
        <f t="shared" si="287"/>
        <v/>
      </c>
      <c r="S517" s="459" t="str">
        <f t="shared" si="288"/>
        <v/>
      </c>
      <c r="T517" s="566" t="str">
        <f t="shared" si="296"/>
        <v/>
      </c>
      <c r="U517" s="702"/>
      <c r="V517" s="132"/>
      <c r="W517" s="133"/>
      <c r="X517" s="134"/>
      <c r="Y517" s="135"/>
      <c r="Z517" s="137"/>
      <c r="AA517" s="136"/>
      <c r="AB517" s="566" t="str">
        <f t="shared" si="289"/>
        <v/>
      </c>
      <c r="AC517" s="568" t="str">
        <f t="shared" si="297"/>
        <v/>
      </c>
      <c r="AD517" s="137"/>
      <c r="AE517" s="137"/>
      <c r="AF517" s="138"/>
      <c r="AG517" s="138"/>
      <c r="AH517" s="592" t="str">
        <f t="shared" si="290"/>
        <v/>
      </c>
      <c r="AI517" s="592" t="str">
        <f t="shared" si="291"/>
        <v/>
      </c>
      <c r="AJ517" s="592" t="str">
        <f t="shared" si="292"/>
        <v/>
      </c>
      <c r="AK517" s="460" t="str">
        <f>IF(AU517="","",IF(OR(AZ517=8,AZ517=9),0,IF(OR(AW517=3,AW517=4,AW517=5,AW517=6),IF(LEFT(BF517,1)="1",INDEX(係数_NOX・PM低減,MATCH(AY517,【参考】排出係数!$AI$801:$AI$804,1),1),VLOOKUP(AU517,INDEX((係数_バス貨物_ガソリン,係数_バス貨物_CNG,係数_バス貨物_軽油,係数_バス貨物_メタノール,係数_バス貨物_LPG),MATCH(AY517,【参考】排出係数!$AI$4:$AI$671,1),1,BE517):INDEX((係数_バス貨物_ガソリン,係数_バス貨物_CNG,係数_バス貨物_軽油,係数_バス貨物_メタノール,係数_バス貨物_LPG),MATCH(AY517+1,【参考】排出係数!$AI$4:$AI$671,1)-1,5,BE517),4,FALSE)),IF(AND(BE517=3,LEFT(BF517,1)="1"),0.48,VLOOKUP(AU517,INDEX((係数_乗用_ガソリン,係数_乗用_CNG,係数_乗用_軽油,係数_乗用_メタノール,係数_乗用_LPG),1,1,BE517):INDEX((係数_乗用_ガソリン,係数_乗用_CNG,係数_乗用_軽油,係数_乗用_メタノール,係数_乗用_LPG),125,5,BE517),4,FALSE)))))</f>
        <v/>
      </c>
      <c r="AL517" s="461" t="str">
        <f t="shared" si="316"/>
        <v/>
      </c>
      <c r="AM517" s="460" t="str">
        <f>IF(AU517="","",IF(OR(AZ517=8,AZ517=9),0,IF(OR(AW517=3,AW517=4,AW517=5,AW517=6),IF(LEFT(BH517,1)="1",INDEX(係数_PM低減,MATCH(AY517,【参考】排出係数!$AI$801:$AI$804,1),MATCH(BI517,【参考】排出係数!$AL$798:$AO$798,1)),VLOOKUP(AU517,INDEX((係数_バス貨物_ガソリン,係数_バス貨物_CNG,係数_バス貨物_軽油,係数_バス貨物_メタノール,係数_バス貨物_LPG),MATCH(AY517,【参考】排出係数!$AI$4:$AI$671,1),1,BE517):INDEX((係数_バス貨物_ガソリン,係数_バス貨物_CNG,係数_バス貨物_軽油,係数_バス貨物_メタノール,係数_バス貨物_LPG),MATCH(AY517+1,【参考】排出係数!$AI$4:$AI$671,1)-1,5,BE517),5,FALSE)),IF(AND(BE517=3,LEFT(BF517,1)="1"),0.055,VLOOKUP(AU517,INDEX((係数_乗用_ガソリン,係数_乗用_CNG,係数_乗用_軽油,係数_乗用_メタノール,係数_乗用_LPG),1,1,BE517):INDEX((係数_乗用_ガソリン,係数_乗用_CNG,係数_乗用_軽油,係数_乗用_メタノール,係数_乗用_LPG),125,5,BE517),5,FALSE)))))</f>
        <v/>
      </c>
      <c r="AN517" s="461" t="str">
        <f t="shared" si="317"/>
        <v/>
      </c>
      <c r="AO517" s="462" t="str">
        <f t="shared" si="318"/>
        <v/>
      </c>
      <c r="AP517" s="463" t="str">
        <f t="shared" si="319"/>
        <v/>
      </c>
      <c r="AQ517" s="464"/>
      <c r="AR517" s="619"/>
      <c r="AS517" s="465" t="str">
        <f t="shared" si="298"/>
        <v/>
      </c>
      <c r="AT517" s="465" t="str">
        <f t="shared" si="299"/>
        <v/>
      </c>
      <c r="AU517" s="466" t="str">
        <f t="shared" si="300"/>
        <v/>
      </c>
      <c r="AV517" s="467" t="str">
        <f t="shared" si="301"/>
        <v/>
      </c>
      <c r="AW517" s="467" t="str">
        <f t="shared" si="302"/>
        <v/>
      </c>
      <c r="AX517" s="467" t="str">
        <f t="shared" si="303"/>
        <v/>
      </c>
      <c r="AY517" s="467" t="str">
        <f t="shared" si="304"/>
        <v/>
      </c>
      <c r="AZ517" s="467" t="str">
        <f t="shared" si="305"/>
        <v/>
      </c>
      <c r="BA517" s="468" t="str">
        <f>IF(AS517="","",IF(OR(AU517="",AU517="-"),"－",IF(OR(AZ517=8,AZ517=9),"",IF(OR(AW517=3,AW517=4,AW517=5,AW517=6),VLOOKUP(AU517,INDEX((係数_バス貨物_ガソリン,係数_バス貨物_CNG,係数_バス貨物_軽油,係数_バス貨物_メタノール,係数_バス貨物_LPG),MATCH(AY517,【参考】排出係数!$AI$4:$AI$671,1),1,BE517):INDEX((係数_バス貨物_ガソリン,係数_バス貨物_CNG,係数_バス貨物_軽油,係数_バス貨物_メタノール,係数_バス貨物_LPG),MATCH(AY517+1,【参考】排出係数!$AI$4:$AI$671,1)-1,5,BE517),2,FALSE),IF(OR(AW517=1,AW517=2),VLOOKUP(AU517,INDEX((係数_乗用_ガソリン,係数_乗用_CNG,係数_乗用_軽油,係数_乗用_メタノール,係数_乗用_LPG),1,1,BE517):INDEX((係数_乗用_ガソリン,係数_乗用_CNG,係数_乗用_軽油,係数_乗用_メタノール,係数_乗用_LPG),125,5,BE517),2,FALSE))))))</f>
        <v/>
      </c>
      <c r="BB517" s="468" t="str">
        <f>IF(T517="","",IF(OR(AU517="",AU517="-"),"－",IF(OR(AZ517=8,AZ517=9),"",IF(OR(AW517=3,AW517=4,AW517=5,AW517=6),VLOOKUP(AU517,INDEX((係数_バス貨物_ガソリン,係数_バス貨物_CNG,係数_バス貨物_軽油,係数_バス貨物_メタノール,係数_バス貨物_LPG),MATCH(AY517,【参考】排出係数!$AI$4:$AI$671,1),1,BE517):INDEX((係数_バス貨物_ガソリン,係数_バス貨物_CNG,係数_バス貨物_軽油,係数_バス貨物_メタノール,係数_バス貨物_LPG),MATCH(AY517+1,【参考】排出係数!$AI$4:$AI$671,1)-1,5,BE517),3,FALSE),IF(OR(AW517=1,AW517=2),VLOOKUP(AU517,INDEX((係数_乗用_ガソリン,係数_乗用_CNG,係数_乗用_軽油,係数_乗用_メタノール,係数_乗用_LPG),1,1,BE517):INDEX((係数_乗用_ガソリン,係数_乗用_CNG,係数_乗用_軽油,係数_乗用_メタノール,係数_乗用_LPG),125,5,BE517),3,FALSE))))))</f>
        <v/>
      </c>
      <c r="BC517" s="467" t="str">
        <f t="shared" si="306"/>
        <v/>
      </c>
      <c r="BD517" s="567" t="str">
        <f t="shared" si="307"/>
        <v/>
      </c>
      <c r="BE517" s="467" t="str">
        <f t="shared" si="308"/>
        <v/>
      </c>
      <c r="BF517" s="469" t="str">
        <f t="shared" ca="1" si="309"/>
        <v/>
      </c>
      <c r="BG517" s="469" t="str">
        <f t="shared" ca="1" si="310"/>
        <v/>
      </c>
      <c r="BH517" s="467" t="str">
        <f t="shared" si="311"/>
        <v/>
      </c>
      <c r="BI517" s="467" t="str">
        <f t="shared" ca="1" si="312"/>
        <v/>
      </c>
      <c r="BJ517" s="469" t="str">
        <f t="shared" si="313"/>
        <v/>
      </c>
      <c r="BK517" s="470" t="str">
        <f t="shared" si="293"/>
        <v/>
      </c>
      <c r="BL517" s="775" t="str">
        <f t="shared" si="314"/>
        <v/>
      </c>
      <c r="BM517" s="775" t="str">
        <f t="shared" si="315"/>
        <v/>
      </c>
    </row>
    <row r="518" spans="1:65">
      <c r="A518" s="473">
        <v>462</v>
      </c>
      <c r="B518" s="132"/>
      <c r="C518" s="332"/>
      <c r="D518" s="333"/>
      <c r="E518" s="333"/>
      <c r="F518" s="334"/>
      <c r="G518" s="337"/>
      <c r="H518" s="131"/>
      <c r="I518" s="337"/>
      <c r="J518" s="131"/>
      <c r="K518" s="458" t="str">
        <f t="shared" si="282"/>
        <v/>
      </c>
      <c r="L518" s="458">
        <f t="shared" si="294"/>
        <v>0</v>
      </c>
      <c r="M518" s="458">
        <f t="shared" si="295"/>
        <v>0</v>
      </c>
      <c r="N518" s="459" t="str">
        <f t="shared" si="283"/>
        <v/>
      </c>
      <c r="O518" s="459" t="str">
        <f t="shared" si="284"/>
        <v/>
      </c>
      <c r="P518" s="459" t="str">
        <f t="shared" si="285"/>
        <v/>
      </c>
      <c r="Q518" s="459" t="str">
        <f t="shared" si="286"/>
        <v/>
      </c>
      <c r="R518" s="459" t="str">
        <f t="shared" si="287"/>
        <v/>
      </c>
      <c r="S518" s="459" t="str">
        <f t="shared" si="288"/>
        <v/>
      </c>
      <c r="T518" s="566" t="str">
        <f t="shared" si="296"/>
        <v/>
      </c>
      <c r="U518" s="702"/>
      <c r="V518" s="132"/>
      <c r="W518" s="133"/>
      <c r="X518" s="134"/>
      <c r="Y518" s="135"/>
      <c r="Z518" s="137"/>
      <c r="AA518" s="136"/>
      <c r="AB518" s="566" t="str">
        <f t="shared" si="289"/>
        <v/>
      </c>
      <c r="AC518" s="568" t="str">
        <f t="shared" si="297"/>
        <v/>
      </c>
      <c r="AD518" s="137"/>
      <c r="AE518" s="137"/>
      <c r="AF518" s="138"/>
      <c r="AG518" s="138"/>
      <c r="AH518" s="592" t="str">
        <f t="shared" si="290"/>
        <v/>
      </c>
      <c r="AI518" s="592" t="str">
        <f t="shared" si="291"/>
        <v/>
      </c>
      <c r="AJ518" s="592" t="str">
        <f t="shared" si="292"/>
        <v/>
      </c>
      <c r="AK518" s="460" t="str">
        <f>IF(AU518="","",IF(OR(AZ518=8,AZ518=9),0,IF(OR(AW518=3,AW518=4,AW518=5,AW518=6),IF(LEFT(BF518,1)="1",INDEX(係数_NOX・PM低減,MATCH(AY518,【参考】排出係数!$AI$801:$AI$804,1),1),VLOOKUP(AU518,INDEX((係数_バス貨物_ガソリン,係数_バス貨物_CNG,係数_バス貨物_軽油,係数_バス貨物_メタノール,係数_バス貨物_LPG),MATCH(AY518,【参考】排出係数!$AI$4:$AI$671,1),1,BE518):INDEX((係数_バス貨物_ガソリン,係数_バス貨物_CNG,係数_バス貨物_軽油,係数_バス貨物_メタノール,係数_バス貨物_LPG),MATCH(AY518+1,【参考】排出係数!$AI$4:$AI$671,1)-1,5,BE518),4,FALSE)),IF(AND(BE518=3,LEFT(BF518,1)="1"),0.48,VLOOKUP(AU518,INDEX((係数_乗用_ガソリン,係数_乗用_CNG,係数_乗用_軽油,係数_乗用_メタノール,係数_乗用_LPG),1,1,BE518):INDEX((係数_乗用_ガソリン,係数_乗用_CNG,係数_乗用_軽油,係数_乗用_メタノール,係数_乗用_LPG),125,5,BE518),4,FALSE)))))</f>
        <v/>
      </c>
      <c r="AL518" s="461" t="str">
        <f t="shared" si="316"/>
        <v/>
      </c>
      <c r="AM518" s="460" t="str">
        <f>IF(AU518="","",IF(OR(AZ518=8,AZ518=9),0,IF(OR(AW518=3,AW518=4,AW518=5,AW518=6),IF(LEFT(BH518,1)="1",INDEX(係数_PM低減,MATCH(AY518,【参考】排出係数!$AI$801:$AI$804,1),MATCH(BI518,【参考】排出係数!$AL$798:$AO$798,1)),VLOOKUP(AU518,INDEX((係数_バス貨物_ガソリン,係数_バス貨物_CNG,係数_バス貨物_軽油,係数_バス貨物_メタノール,係数_バス貨物_LPG),MATCH(AY518,【参考】排出係数!$AI$4:$AI$671,1),1,BE518):INDEX((係数_バス貨物_ガソリン,係数_バス貨物_CNG,係数_バス貨物_軽油,係数_バス貨物_メタノール,係数_バス貨物_LPG),MATCH(AY518+1,【参考】排出係数!$AI$4:$AI$671,1)-1,5,BE518),5,FALSE)),IF(AND(BE518=3,LEFT(BF518,1)="1"),0.055,VLOOKUP(AU518,INDEX((係数_乗用_ガソリン,係数_乗用_CNG,係数_乗用_軽油,係数_乗用_メタノール,係数_乗用_LPG),1,1,BE518):INDEX((係数_乗用_ガソリン,係数_乗用_CNG,係数_乗用_軽油,係数_乗用_メタノール,係数_乗用_LPG),125,5,BE518),5,FALSE)))))</f>
        <v/>
      </c>
      <c r="AN518" s="461" t="str">
        <f t="shared" si="317"/>
        <v/>
      </c>
      <c r="AO518" s="462" t="str">
        <f t="shared" si="318"/>
        <v/>
      </c>
      <c r="AP518" s="463" t="str">
        <f t="shared" si="319"/>
        <v/>
      </c>
      <c r="AQ518" s="464"/>
      <c r="AR518" s="619"/>
      <c r="AS518" s="465" t="str">
        <f t="shared" si="298"/>
        <v/>
      </c>
      <c r="AT518" s="465" t="str">
        <f t="shared" si="299"/>
        <v/>
      </c>
      <c r="AU518" s="466" t="str">
        <f t="shared" si="300"/>
        <v/>
      </c>
      <c r="AV518" s="467" t="str">
        <f t="shared" si="301"/>
        <v/>
      </c>
      <c r="AW518" s="467" t="str">
        <f t="shared" si="302"/>
        <v/>
      </c>
      <c r="AX518" s="467" t="str">
        <f t="shared" si="303"/>
        <v/>
      </c>
      <c r="AY518" s="467" t="str">
        <f t="shared" si="304"/>
        <v/>
      </c>
      <c r="AZ518" s="467" t="str">
        <f t="shared" si="305"/>
        <v/>
      </c>
      <c r="BA518" s="468" t="str">
        <f>IF(AS518="","",IF(OR(AU518="",AU518="-"),"－",IF(OR(AZ518=8,AZ518=9),"",IF(OR(AW518=3,AW518=4,AW518=5,AW518=6),VLOOKUP(AU518,INDEX((係数_バス貨物_ガソリン,係数_バス貨物_CNG,係数_バス貨物_軽油,係数_バス貨物_メタノール,係数_バス貨物_LPG),MATCH(AY518,【参考】排出係数!$AI$4:$AI$671,1),1,BE518):INDEX((係数_バス貨物_ガソリン,係数_バス貨物_CNG,係数_バス貨物_軽油,係数_バス貨物_メタノール,係数_バス貨物_LPG),MATCH(AY518+1,【参考】排出係数!$AI$4:$AI$671,1)-1,5,BE518),2,FALSE),IF(OR(AW518=1,AW518=2),VLOOKUP(AU518,INDEX((係数_乗用_ガソリン,係数_乗用_CNG,係数_乗用_軽油,係数_乗用_メタノール,係数_乗用_LPG),1,1,BE518):INDEX((係数_乗用_ガソリン,係数_乗用_CNG,係数_乗用_軽油,係数_乗用_メタノール,係数_乗用_LPG),125,5,BE518),2,FALSE))))))</f>
        <v/>
      </c>
      <c r="BB518" s="468" t="str">
        <f>IF(T518="","",IF(OR(AU518="",AU518="-"),"－",IF(OR(AZ518=8,AZ518=9),"",IF(OR(AW518=3,AW518=4,AW518=5,AW518=6),VLOOKUP(AU518,INDEX((係数_バス貨物_ガソリン,係数_バス貨物_CNG,係数_バス貨物_軽油,係数_バス貨物_メタノール,係数_バス貨物_LPG),MATCH(AY518,【参考】排出係数!$AI$4:$AI$671,1),1,BE518):INDEX((係数_バス貨物_ガソリン,係数_バス貨物_CNG,係数_バス貨物_軽油,係数_バス貨物_メタノール,係数_バス貨物_LPG),MATCH(AY518+1,【参考】排出係数!$AI$4:$AI$671,1)-1,5,BE518),3,FALSE),IF(OR(AW518=1,AW518=2),VLOOKUP(AU518,INDEX((係数_乗用_ガソリン,係数_乗用_CNG,係数_乗用_軽油,係数_乗用_メタノール,係数_乗用_LPG),1,1,BE518):INDEX((係数_乗用_ガソリン,係数_乗用_CNG,係数_乗用_軽油,係数_乗用_メタノール,係数_乗用_LPG),125,5,BE518),3,FALSE))))))</f>
        <v/>
      </c>
      <c r="BC518" s="467" t="str">
        <f t="shared" si="306"/>
        <v/>
      </c>
      <c r="BD518" s="567" t="str">
        <f t="shared" si="307"/>
        <v/>
      </c>
      <c r="BE518" s="467" t="str">
        <f t="shared" si="308"/>
        <v/>
      </c>
      <c r="BF518" s="469" t="str">
        <f t="shared" ca="1" si="309"/>
        <v/>
      </c>
      <c r="BG518" s="469" t="str">
        <f t="shared" ca="1" si="310"/>
        <v/>
      </c>
      <c r="BH518" s="467" t="str">
        <f t="shared" si="311"/>
        <v/>
      </c>
      <c r="BI518" s="467" t="str">
        <f t="shared" ca="1" si="312"/>
        <v/>
      </c>
      <c r="BJ518" s="469" t="str">
        <f t="shared" si="313"/>
        <v/>
      </c>
      <c r="BK518" s="470" t="str">
        <f t="shared" si="293"/>
        <v/>
      </c>
      <c r="BL518" s="775" t="str">
        <f t="shared" si="314"/>
        <v/>
      </c>
      <c r="BM518" s="775" t="str">
        <f t="shared" si="315"/>
        <v/>
      </c>
    </row>
    <row r="519" spans="1:65">
      <c r="A519" s="473">
        <v>463</v>
      </c>
      <c r="B519" s="132"/>
      <c r="C519" s="332"/>
      <c r="D519" s="333"/>
      <c r="E519" s="333"/>
      <c r="F519" s="334"/>
      <c r="G519" s="337"/>
      <c r="H519" s="131"/>
      <c r="I519" s="337"/>
      <c r="J519" s="131"/>
      <c r="K519" s="458" t="str">
        <f t="shared" si="282"/>
        <v/>
      </c>
      <c r="L519" s="458">
        <f t="shared" si="294"/>
        <v>0</v>
      </c>
      <c r="M519" s="458">
        <f t="shared" si="295"/>
        <v>0</v>
      </c>
      <c r="N519" s="459" t="str">
        <f t="shared" si="283"/>
        <v/>
      </c>
      <c r="O519" s="459" t="str">
        <f t="shared" si="284"/>
        <v/>
      </c>
      <c r="P519" s="459" t="str">
        <f t="shared" si="285"/>
        <v/>
      </c>
      <c r="Q519" s="459" t="str">
        <f t="shared" si="286"/>
        <v/>
      </c>
      <c r="R519" s="459" t="str">
        <f t="shared" si="287"/>
        <v/>
      </c>
      <c r="S519" s="459" t="str">
        <f t="shared" si="288"/>
        <v/>
      </c>
      <c r="T519" s="566" t="str">
        <f t="shared" si="296"/>
        <v/>
      </c>
      <c r="U519" s="702"/>
      <c r="V519" s="132"/>
      <c r="W519" s="133"/>
      <c r="X519" s="134"/>
      <c r="Y519" s="135"/>
      <c r="Z519" s="137"/>
      <c r="AA519" s="136"/>
      <c r="AB519" s="566" t="str">
        <f t="shared" si="289"/>
        <v/>
      </c>
      <c r="AC519" s="568" t="str">
        <f t="shared" si="297"/>
        <v/>
      </c>
      <c r="AD519" s="137"/>
      <c r="AE519" s="137"/>
      <c r="AF519" s="138"/>
      <c r="AG519" s="138"/>
      <c r="AH519" s="592" t="str">
        <f t="shared" si="290"/>
        <v/>
      </c>
      <c r="AI519" s="592" t="str">
        <f t="shared" si="291"/>
        <v/>
      </c>
      <c r="AJ519" s="592" t="str">
        <f t="shared" si="292"/>
        <v/>
      </c>
      <c r="AK519" s="460" t="str">
        <f>IF(AU519="","",IF(OR(AZ519=8,AZ519=9),0,IF(OR(AW519=3,AW519=4,AW519=5,AW519=6),IF(LEFT(BF519,1)="1",INDEX(係数_NOX・PM低減,MATCH(AY519,【参考】排出係数!$AI$801:$AI$804,1),1),VLOOKUP(AU519,INDEX((係数_バス貨物_ガソリン,係数_バス貨物_CNG,係数_バス貨物_軽油,係数_バス貨物_メタノール,係数_バス貨物_LPG),MATCH(AY519,【参考】排出係数!$AI$4:$AI$671,1),1,BE519):INDEX((係数_バス貨物_ガソリン,係数_バス貨物_CNG,係数_バス貨物_軽油,係数_バス貨物_メタノール,係数_バス貨物_LPG),MATCH(AY519+1,【参考】排出係数!$AI$4:$AI$671,1)-1,5,BE519),4,FALSE)),IF(AND(BE519=3,LEFT(BF519,1)="1"),0.48,VLOOKUP(AU519,INDEX((係数_乗用_ガソリン,係数_乗用_CNG,係数_乗用_軽油,係数_乗用_メタノール,係数_乗用_LPG),1,1,BE519):INDEX((係数_乗用_ガソリン,係数_乗用_CNG,係数_乗用_軽油,係数_乗用_メタノール,係数_乗用_LPG),125,5,BE519),4,FALSE)))))</f>
        <v/>
      </c>
      <c r="AL519" s="461" t="str">
        <f t="shared" si="316"/>
        <v/>
      </c>
      <c r="AM519" s="460" t="str">
        <f>IF(AU519="","",IF(OR(AZ519=8,AZ519=9),0,IF(OR(AW519=3,AW519=4,AW519=5,AW519=6),IF(LEFT(BH519,1)="1",INDEX(係数_PM低減,MATCH(AY519,【参考】排出係数!$AI$801:$AI$804,1),MATCH(BI519,【参考】排出係数!$AL$798:$AO$798,1)),VLOOKUP(AU519,INDEX((係数_バス貨物_ガソリン,係数_バス貨物_CNG,係数_バス貨物_軽油,係数_バス貨物_メタノール,係数_バス貨物_LPG),MATCH(AY519,【参考】排出係数!$AI$4:$AI$671,1),1,BE519):INDEX((係数_バス貨物_ガソリン,係数_バス貨物_CNG,係数_バス貨物_軽油,係数_バス貨物_メタノール,係数_バス貨物_LPG),MATCH(AY519+1,【参考】排出係数!$AI$4:$AI$671,1)-1,5,BE519),5,FALSE)),IF(AND(BE519=3,LEFT(BF519,1)="1"),0.055,VLOOKUP(AU519,INDEX((係数_乗用_ガソリン,係数_乗用_CNG,係数_乗用_軽油,係数_乗用_メタノール,係数_乗用_LPG),1,1,BE519):INDEX((係数_乗用_ガソリン,係数_乗用_CNG,係数_乗用_軽油,係数_乗用_メタノール,係数_乗用_LPG),125,5,BE519),5,FALSE)))))</f>
        <v/>
      </c>
      <c r="AN519" s="461" t="str">
        <f t="shared" si="317"/>
        <v/>
      </c>
      <c r="AO519" s="462" t="str">
        <f t="shared" si="318"/>
        <v/>
      </c>
      <c r="AP519" s="463" t="str">
        <f t="shared" si="319"/>
        <v/>
      </c>
      <c r="AQ519" s="464"/>
      <c r="AR519" s="619"/>
      <c r="AS519" s="465" t="str">
        <f t="shared" si="298"/>
        <v/>
      </c>
      <c r="AT519" s="465" t="str">
        <f t="shared" si="299"/>
        <v/>
      </c>
      <c r="AU519" s="466" t="str">
        <f t="shared" si="300"/>
        <v/>
      </c>
      <c r="AV519" s="467" t="str">
        <f t="shared" si="301"/>
        <v/>
      </c>
      <c r="AW519" s="467" t="str">
        <f t="shared" si="302"/>
        <v/>
      </c>
      <c r="AX519" s="467" t="str">
        <f t="shared" si="303"/>
        <v/>
      </c>
      <c r="AY519" s="467" t="str">
        <f t="shared" si="304"/>
        <v/>
      </c>
      <c r="AZ519" s="467" t="str">
        <f t="shared" si="305"/>
        <v/>
      </c>
      <c r="BA519" s="468" t="str">
        <f>IF(AS519="","",IF(OR(AU519="",AU519="-"),"－",IF(OR(AZ519=8,AZ519=9),"",IF(OR(AW519=3,AW519=4,AW519=5,AW519=6),VLOOKUP(AU519,INDEX((係数_バス貨物_ガソリン,係数_バス貨物_CNG,係数_バス貨物_軽油,係数_バス貨物_メタノール,係数_バス貨物_LPG),MATCH(AY519,【参考】排出係数!$AI$4:$AI$671,1),1,BE519):INDEX((係数_バス貨物_ガソリン,係数_バス貨物_CNG,係数_バス貨物_軽油,係数_バス貨物_メタノール,係数_バス貨物_LPG),MATCH(AY519+1,【参考】排出係数!$AI$4:$AI$671,1)-1,5,BE519),2,FALSE),IF(OR(AW519=1,AW519=2),VLOOKUP(AU519,INDEX((係数_乗用_ガソリン,係数_乗用_CNG,係数_乗用_軽油,係数_乗用_メタノール,係数_乗用_LPG),1,1,BE519):INDEX((係数_乗用_ガソリン,係数_乗用_CNG,係数_乗用_軽油,係数_乗用_メタノール,係数_乗用_LPG),125,5,BE519),2,FALSE))))))</f>
        <v/>
      </c>
      <c r="BB519" s="468" t="str">
        <f>IF(T519="","",IF(OR(AU519="",AU519="-"),"－",IF(OR(AZ519=8,AZ519=9),"",IF(OR(AW519=3,AW519=4,AW519=5,AW519=6),VLOOKUP(AU519,INDEX((係数_バス貨物_ガソリン,係数_バス貨物_CNG,係数_バス貨物_軽油,係数_バス貨物_メタノール,係数_バス貨物_LPG),MATCH(AY519,【参考】排出係数!$AI$4:$AI$671,1),1,BE519):INDEX((係数_バス貨物_ガソリン,係数_バス貨物_CNG,係数_バス貨物_軽油,係数_バス貨物_メタノール,係数_バス貨物_LPG),MATCH(AY519+1,【参考】排出係数!$AI$4:$AI$671,1)-1,5,BE519),3,FALSE),IF(OR(AW519=1,AW519=2),VLOOKUP(AU519,INDEX((係数_乗用_ガソリン,係数_乗用_CNG,係数_乗用_軽油,係数_乗用_メタノール,係数_乗用_LPG),1,1,BE519):INDEX((係数_乗用_ガソリン,係数_乗用_CNG,係数_乗用_軽油,係数_乗用_メタノール,係数_乗用_LPG),125,5,BE519),3,FALSE))))))</f>
        <v/>
      </c>
      <c r="BC519" s="467" t="str">
        <f t="shared" si="306"/>
        <v/>
      </c>
      <c r="BD519" s="567" t="str">
        <f t="shared" si="307"/>
        <v/>
      </c>
      <c r="BE519" s="467" t="str">
        <f t="shared" si="308"/>
        <v/>
      </c>
      <c r="BF519" s="469" t="str">
        <f t="shared" ca="1" si="309"/>
        <v/>
      </c>
      <c r="BG519" s="469" t="str">
        <f t="shared" ca="1" si="310"/>
        <v/>
      </c>
      <c r="BH519" s="467" t="str">
        <f t="shared" si="311"/>
        <v/>
      </c>
      <c r="BI519" s="467" t="str">
        <f t="shared" ca="1" si="312"/>
        <v/>
      </c>
      <c r="BJ519" s="469" t="str">
        <f t="shared" si="313"/>
        <v/>
      </c>
      <c r="BK519" s="470" t="str">
        <f t="shared" si="293"/>
        <v/>
      </c>
      <c r="BL519" s="775" t="str">
        <f t="shared" si="314"/>
        <v/>
      </c>
      <c r="BM519" s="775" t="str">
        <f t="shared" si="315"/>
        <v/>
      </c>
    </row>
    <row r="520" spans="1:65">
      <c r="A520" s="473">
        <v>464</v>
      </c>
      <c r="B520" s="132"/>
      <c r="C520" s="332"/>
      <c r="D520" s="333"/>
      <c r="E520" s="333"/>
      <c r="F520" s="334"/>
      <c r="G520" s="337"/>
      <c r="H520" s="131"/>
      <c r="I520" s="337"/>
      <c r="J520" s="131"/>
      <c r="K520" s="458" t="str">
        <f t="shared" si="282"/>
        <v/>
      </c>
      <c r="L520" s="458">
        <f t="shared" si="294"/>
        <v>0</v>
      </c>
      <c r="M520" s="458">
        <f t="shared" si="295"/>
        <v>0</v>
      </c>
      <c r="N520" s="459" t="str">
        <f t="shared" si="283"/>
        <v/>
      </c>
      <c r="O520" s="459" t="str">
        <f t="shared" si="284"/>
        <v/>
      </c>
      <c r="P520" s="459" t="str">
        <f t="shared" si="285"/>
        <v/>
      </c>
      <c r="Q520" s="459" t="str">
        <f t="shared" si="286"/>
        <v/>
      </c>
      <c r="R520" s="459" t="str">
        <f t="shared" si="287"/>
        <v/>
      </c>
      <c r="S520" s="459" t="str">
        <f t="shared" si="288"/>
        <v/>
      </c>
      <c r="T520" s="566" t="str">
        <f t="shared" si="296"/>
        <v/>
      </c>
      <c r="U520" s="702"/>
      <c r="V520" s="132"/>
      <c r="W520" s="133"/>
      <c r="X520" s="134"/>
      <c r="Y520" s="135"/>
      <c r="Z520" s="137"/>
      <c r="AA520" s="136"/>
      <c r="AB520" s="566" t="str">
        <f t="shared" si="289"/>
        <v/>
      </c>
      <c r="AC520" s="568" t="str">
        <f t="shared" si="297"/>
        <v/>
      </c>
      <c r="AD520" s="137"/>
      <c r="AE520" s="137"/>
      <c r="AF520" s="138"/>
      <c r="AG520" s="138"/>
      <c r="AH520" s="592" t="str">
        <f t="shared" si="290"/>
        <v/>
      </c>
      <c r="AI520" s="592" t="str">
        <f t="shared" si="291"/>
        <v/>
      </c>
      <c r="AJ520" s="592" t="str">
        <f t="shared" si="292"/>
        <v/>
      </c>
      <c r="AK520" s="460" t="str">
        <f>IF(AU520="","",IF(OR(AZ520=8,AZ520=9),0,IF(OR(AW520=3,AW520=4,AW520=5,AW520=6),IF(LEFT(BF520,1)="1",INDEX(係数_NOX・PM低減,MATCH(AY520,【参考】排出係数!$AI$801:$AI$804,1),1),VLOOKUP(AU520,INDEX((係数_バス貨物_ガソリン,係数_バス貨物_CNG,係数_バス貨物_軽油,係数_バス貨物_メタノール,係数_バス貨物_LPG),MATCH(AY520,【参考】排出係数!$AI$4:$AI$671,1),1,BE520):INDEX((係数_バス貨物_ガソリン,係数_バス貨物_CNG,係数_バス貨物_軽油,係数_バス貨物_メタノール,係数_バス貨物_LPG),MATCH(AY520+1,【参考】排出係数!$AI$4:$AI$671,1)-1,5,BE520),4,FALSE)),IF(AND(BE520=3,LEFT(BF520,1)="1"),0.48,VLOOKUP(AU520,INDEX((係数_乗用_ガソリン,係数_乗用_CNG,係数_乗用_軽油,係数_乗用_メタノール,係数_乗用_LPG),1,1,BE520):INDEX((係数_乗用_ガソリン,係数_乗用_CNG,係数_乗用_軽油,係数_乗用_メタノール,係数_乗用_LPG),125,5,BE520),4,FALSE)))))</f>
        <v/>
      </c>
      <c r="AL520" s="461" t="str">
        <f t="shared" si="316"/>
        <v/>
      </c>
      <c r="AM520" s="460" t="str">
        <f>IF(AU520="","",IF(OR(AZ520=8,AZ520=9),0,IF(OR(AW520=3,AW520=4,AW520=5,AW520=6),IF(LEFT(BH520,1)="1",INDEX(係数_PM低減,MATCH(AY520,【参考】排出係数!$AI$801:$AI$804,1),MATCH(BI520,【参考】排出係数!$AL$798:$AO$798,1)),VLOOKUP(AU520,INDEX((係数_バス貨物_ガソリン,係数_バス貨物_CNG,係数_バス貨物_軽油,係数_バス貨物_メタノール,係数_バス貨物_LPG),MATCH(AY520,【参考】排出係数!$AI$4:$AI$671,1),1,BE520):INDEX((係数_バス貨物_ガソリン,係数_バス貨物_CNG,係数_バス貨物_軽油,係数_バス貨物_メタノール,係数_バス貨物_LPG),MATCH(AY520+1,【参考】排出係数!$AI$4:$AI$671,1)-1,5,BE520),5,FALSE)),IF(AND(BE520=3,LEFT(BF520,1)="1"),0.055,VLOOKUP(AU520,INDEX((係数_乗用_ガソリン,係数_乗用_CNG,係数_乗用_軽油,係数_乗用_メタノール,係数_乗用_LPG),1,1,BE520):INDEX((係数_乗用_ガソリン,係数_乗用_CNG,係数_乗用_軽油,係数_乗用_メタノール,係数_乗用_LPG),125,5,BE520),5,FALSE)))))</f>
        <v/>
      </c>
      <c r="AN520" s="461" t="str">
        <f t="shared" si="317"/>
        <v/>
      </c>
      <c r="AO520" s="462" t="str">
        <f t="shared" si="318"/>
        <v/>
      </c>
      <c r="AP520" s="463" t="str">
        <f t="shared" si="319"/>
        <v/>
      </c>
      <c r="AQ520" s="464"/>
      <c r="AR520" s="619"/>
      <c r="AS520" s="465" t="str">
        <f t="shared" si="298"/>
        <v/>
      </c>
      <c r="AT520" s="465" t="str">
        <f t="shared" si="299"/>
        <v/>
      </c>
      <c r="AU520" s="466" t="str">
        <f t="shared" si="300"/>
        <v/>
      </c>
      <c r="AV520" s="467" t="str">
        <f t="shared" si="301"/>
        <v/>
      </c>
      <c r="AW520" s="467" t="str">
        <f t="shared" si="302"/>
        <v/>
      </c>
      <c r="AX520" s="467" t="str">
        <f t="shared" si="303"/>
        <v/>
      </c>
      <c r="AY520" s="467" t="str">
        <f t="shared" si="304"/>
        <v/>
      </c>
      <c r="AZ520" s="467" t="str">
        <f t="shared" si="305"/>
        <v/>
      </c>
      <c r="BA520" s="468" t="str">
        <f>IF(AS520="","",IF(OR(AU520="",AU520="-"),"－",IF(OR(AZ520=8,AZ520=9),"",IF(OR(AW520=3,AW520=4,AW520=5,AW520=6),VLOOKUP(AU520,INDEX((係数_バス貨物_ガソリン,係数_バス貨物_CNG,係数_バス貨物_軽油,係数_バス貨物_メタノール,係数_バス貨物_LPG),MATCH(AY520,【参考】排出係数!$AI$4:$AI$671,1),1,BE520):INDEX((係数_バス貨物_ガソリン,係数_バス貨物_CNG,係数_バス貨物_軽油,係数_バス貨物_メタノール,係数_バス貨物_LPG),MATCH(AY520+1,【参考】排出係数!$AI$4:$AI$671,1)-1,5,BE520),2,FALSE),IF(OR(AW520=1,AW520=2),VLOOKUP(AU520,INDEX((係数_乗用_ガソリン,係数_乗用_CNG,係数_乗用_軽油,係数_乗用_メタノール,係数_乗用_LPG),1,1,BE520):INDEX((係数_乗用_ガソリン,係数_乗用_CNG,係数_乗用_軽油,係数_乗用_メタノール,係数_乗用_LPG),125,5,BE520),2,FALSE))))))</f>
        <v/>
      </c>
      <c r="BB520" s="468" t="str">
        <f>IF(T520="","",IF(OR(AU520="",AU520="-"),"－",IF(OR(AZ520=8,AZ520=9),"",IF(OR(AW520=3,AW520=4,AW520=5,AW520=6),VLOOKUP(AU520,INDEX((係数_バス貨物_ガソリン,係数_バス貨物_CNG,係数_バス貨物_軽油,係数_バス貨物_メタノール,係数_バス貨物_LPG),MATCH(AY520,【参考】排出係数!$AI$4:$AI$671,1),1,BE520):INDEX((係数_バス貨物_ガソリン,係数_バス貨物_CNG,係数_バス貨物_軽油,係数_バス貨物_メタノール,係数_バス貨物_LPG),MATCH(AY520+1,【参考】排出係数!$AI$4:$AI$671,1)-1,5,BE520),3,FALSE),IF(OR(AW520=1,AW520=2),VLOOKUP(AU520,INDEX((係数_乗用_ガソリン,係数_乗用_CNG,係数_乗用_軽油,係数_乗用_メタノール,係数_乗用_LPG),1,1,BE520):INDEX((係数_乗用_ガソリン,係数_乗用_CNG,係数_乗用_軽油,係数_乗用_メタノール,係数_乗用_LPG),125,5,BE520),3,FALSE))))))</f>
        <v/>
      </c>
      <c r="BC520" s="467" t="str">
        <f t="shared" si="306"/>
        <v/>
      </c>
      <c r="BD520" s="567" t="str">
        <f t="shared" si="307"/>
        <v/>
      </c>
      <c r="BE520" s="467" t="str">
        <f t="shared" si="308"/>
        <v/>
      </c>
      <c r="BF520" s="469" t="str">
        <f t="shared" ca="1" si="309"/>
        <v/>
      </c>
      <c r="BG520" s="469" t="str">
        <f t="shared" ca="1" si="310"/>
        <v/>
      </c>
      <c r="BH520" s="467" t="str">
        <f t="shared" si="311"/>
        <v/>
      </c>
      <c r="BI520" s="467" t="str">
        <f t="shared" ca="1" si="312"/>
        <v/>
      </c>
      <c r="BJ520" s="469" t="str">
        <f t="shared" si="313"/>
        <v/>
      </c>
      <c r="BK520" s="470" t="str">
        <f t="shared" si="293"/>
        <v/>
      </c>
      <c r="BL520" s="775" t="str">
        <f t="shared" si="314"/>
        <v/>
      </c>
      <c r="BM520" s="775" t="str">
        <f t="shared" si="315"/>
        <v/>
      </c>
    </row>
    <row r="521" spans="1:65">
      <c r="A521" s="473">
        <v>465</v>
      </c>
      <c r="B521" s="132"/>
      <c r="C521" s="332"/>
      <c r="D521" s="333"/>
      <c r="E521" s="333"/>
      <c r="F521" s="334"/>
      <c r="G521" s="337"/>
      <c r="H521" s="131"/>
      <c r="I521" s="337"/>
      <c r="J521" s="131"/>
      <c r="K521" s="458" t="str">
        <f t="shared" si="282"/>
        <v/>
      </c>
      <c r="L521" s="458">
        <f t="shared" si="294"/>
        <v>0</v>
      </c>
      <c r="M521" s="458">
        <f t="shared" si="295"/>
        <v>0</v>
      </c>
      <c r="N521" s="459" t="str">
        <f t="shared" si="283"/>
        <v/>
      </c>
      <c r="O521" s="459" t="str">
        <f t="shared" si="284"/>
        <v/>
      </c>
      <c r="P521" s="459" t="str">
        <f t="shared" si="285"/>
        <v/>
      </c>
      <c r="Q521" s="459" t="str">
        <f t="shared" si="286"/>
        <v/>
      </c>
      <c r="R521" s="459" t="str">
        <f t="shared" si="287"/>
        <v/>
      </c>
      <c r="S521" s="459" t="str">
        <f t="shared" si="288"/>
        <v/>
      </c>
      <c r="T521" s="566" t="str">
        <f t="shared" si="296"/>
        <v/>
      </c>
      <c r="U521" s="702"/>
      <c r="V521" s="132"/>
      <c r="W521" s="133"/>
      <c r="X521" s="134"/>
      <c r="Y521" s="135"/>
      <c r="Z521" s="137"/>
      <c r="AA521" s="136"/>
      <c r="AB521" s="566" t="str">
        <f t="shared" si="289"/>
        <v/>
      </c>
      <c r="AC521" s="568" t="str">
        <f t="shared" si="297"/>
        <v/>
      </c>
      <c r="AD521" s="137"/>
      <c r="AE521" s="137"/>
      <c r="AF521" s="138"/>
      <c r="AG521" s="138"/>
      <c r="AH521" s="592" t="str">
        <f t="shared" si="290"/>
        <v/>
      </c>
      <c r="AI521" s="592" t="str">
        <f t="shared" si="291"/>
        <v/>
      </c>
      <c r="AJ521" s="592" t="str">
        <f t="shared" si="292"/>
        <v/>
      </c>
      <c r="AK521" s="460" t="str">
        <f>IF(AU521="","",IF(OR(AZ521=8,AZ521=9),0,IF(OR(AW521=3,AW521=4,AW521=5,AW521=6),IF(LEFT(BF521,1)="1",INDEX(係数_NOX・PM低減,MATCH(AY521,【参考】排出係数!$AI$801:$AI$804,1),1),VLOOKUP(AU521,INDEX((係数_バス貨物_ガソリン,係数_バス貨物_CNG,係数_バス貨物_軽油,係数_バス貨物_メタノール,係数_バス貨物_LPG),MATCH(AY521,【参考】排出係数!$AI$4:$AI$671,1),1,BE521):INDEX((係数_バス貨物_ガソリン,係数_バス貨物_CNG,係数_バス貨物_軽油,係数_バス貨物_メタノール,係数_バス貨物_LPG),MATCH(AY521+1,【参考】排出係数!$AI$4:$AI$671,1)-1,5,BE521),4,FALSE)),IF(AND(BE521=3,LEFT(BF521,1)="1"),0.48,VLOOKUP(AU521,INDEX((係数_乗用_ガソリン,係数_乗用_CNG,係数_乗用_軽油,係数_乗用_メタノール,係数_乗用_LPG),1,1,BE521):INDEX((係数_乗用_ガソリン,係数_乗用_CNG,係数_乗用_軽油,係数_乗用_メタノール,係数_乗用_LPG),125,5,BE521),4,FALSE)))))</f>
        <v/>
      </c>
      <c r="AL521" s="461" t="str">
        <f t="shared" si="316"/>
        <v/>
      </c>
      <c r="AM521" s="460" t="str">
        <f>IF(AU521="","",IF(OR(AZ521=8,AZ521=9),0,IF(OR(AW521=3,AW521=4,AW521=5,AW521=6),IF(LEFT(BH521,1)="1",INDEX(係数_PM低減,MATCH(AY521,【参考】排出係数!$AI$801:$AI$804,1),MATCH(BI521,【参考】排出係数!$AL$798:$AO$798,1)),VLOOKUP(AU521,INDEX((係数_バス貨物_ガソリン,係数_バス貨物_CNG,係数_バス貨物_軽油,係数_バス貨物_メタノール,係数_バス貨物_LPG),MATCH(AY521,【参考】排出係数!$AI$4:$AI$671,1),1,BE521):INDEX((係数_バス貨物_ガソリン,係数_バス貨物_CNG,係数_バス貨物_軽油,係数_バス貨物_メタノール,係数_バス貨物_LPG),MATCH(AY521+1,【参考】排出係数!$AI$4:$AI$671,1)-1,5,BE521),5,FALSE)),IF(AND(BE521=3,LEFT(BF521,1)="1"),0.055,VLOOKUP(AU521,INDEX((係数_乗用_ガソリン,係数_乗用_CNG,係数_乗用_軽油,係数_乗用_メタノール,係数_乗用_LPG),1,1,BE521):INDEX((係数_乗用_ガソリン,係数_乗用_CNG,係数_乗用_軽油,係数_乗用_メタノール,係数_乗用_LPG),125,5,BE521),5,FALSE)))))</f>
        <v/>
      </c>
      <c r="AN521" s="461" t="str">
        <f t="shared" si="317"/>
        <v/>
      </c>
      <c r="AO521" s="462" t="str">
        <f t="shared" si="318"/>
        <v/>
      </c>
      <c r="AP521" s="463" t="str">
        <f t="shared" si="319"/>
        <v/>
      </c>
      <c r="AQ521" s="464"/>
      <c r="AR521" s="619"/>
      <c r="AS521" s="465" t="str">
        <f t="shared" si="298"/>
        <v/>
      </c>
      <c r="AT521" s="465" t="str">
        <f t="shared" si="299"/>
        <v/>
      </c>
      <c r="AU521" s="466" t="str">
        <f t="shared" si="300"/>
        <v/>
      </c>
      <c r="AV521" s="467" t="str">
        <f t="shared" si="301"/>
        <v/>
      </c>
      <c r="AW521" s="467" t="str">
        <f t="shared" si="302"/>
        <v/>
      </c>
      <c r="AX521" s="467" t="str">
        <f t="shared" si="303"/>
        <v/>
      </c>
      <c r="AY521" s="467" t="str">
        <f t="shared" si="304"/>
        <v/>
      </c>
      <c r="AZ521" s="467" t="str">
        <f t="shared" si="305"/>
        <v/>
      </c>
      <c r="BA521" s="468" t="str">
        <f>IF(AS521="","",IF(OR(AU521="",AU521="-"),"－",IF(OR(AZ521=8,AZ521=9),"",IF(OR(AW521=3,AW521=4,AW521=5,AW521=6),VLOOKUP(AU521,INDEX((係数_バス貨物_ガソリン,係数_バス貨物_CNG,係数_バス貨物_軽油,係数_バス貨物_メタノール,係数_バス貨物_LPG),MATCH(AY521,【参考】排出係数!$AI$4:$AI$671,1),1,BE521):INDEX((係数_バス貨物_ガソリン,係数_バス貨物_CNG,係数_バス貨物_軽油,係数_バス貨物_メタノール,係数_バス貨物_LPG),MATCH(AY521+1,【参考】排出係数!$AI$4:$AI$671,1)-1,5,BE521),2,FALSE),IF(OR(AW521=1,AW521=2),VLOOKUP(AU521,INDEX((係数_乗用_ガソリン,係数_乗用_CNG,係数_乗用_軽油,係数_乗用_メタノール,係数_乗用_LPG),1,1,BE521):INDEX((係数_乗用_ガソリン,係数_乗用_CNG,係数_乗用_軽油,係数_乗用_メタノール,係数_乗用_LPG),125,5,BE521),2,FALSE))))))</f>
        <v/>
      </c>
      <c r="BB521" s="468" t="str">
        <f>IF(T521="","",IF(OR(AU521="",AU521="-"),"－",IF(OR(AZ521=8,AZ521=9),"",IF(OR(AW521=3,AW521=4,AW521=5,AW521=6),VLOOKUP(AU521,INDEX((係数_バス貨物_ガソリン,係数_バス貨物_CNG,係数_バス貨物_軽油,係数_バス貨物_メタノール,係数_バス貨物_LPG),MATCH(AY521,【参考】排出係数!$AI$4:$AI$671,1),1,BE521):INDEX((係数_バス貨物_ガソリン,係数_バス貨物_CNG,係数_バス貨物_軽油,係数_バス貨物_メタノール,係数_バス貨物_LPG),MATCH(AY521+1,【参考】排出係数!$AI$4:$AI$671,1)-1,5,BE521),3,FALSE),IF(OR(AW521=1,AW521=2),VLOOKUP(AU521,INDEX((係数_乗用_ガソリン,係数_乗用_CNG,係数_乗用_軽油,係数_乗用_メタノール,係数_乗用_LPG),1,1,BE521):INDEX((係数_乗用_ガソリン,係数_乗用_CNG,係数_乗用_軽油,係数_乗用_メタノール,係数_乗用_LPG),125,5,BE521),3,FALSE))))))</f>
        <v/>
      </c>
      <c r="BC521" s="467" t="str">
        <f t="shared" si="306"/>
        <v/>
      </c>
      <c r="BD521" s="567" t="str">
        <f t="shared" si="307"/>
        <v/>
      </c>
      <c r="BE521" s="467" t="str">
        <f t="shared" si="308"/>
        <v/>
      </c>
      <c r="BF521" s="469" t="str">
        <f t="shared" ca="1" si="309"/>
        <v/>
      </c>
      <c r="BG521" s="469" t="str">
        <f t="shared" ca="1" si="310"/>
        <v/>
      </c>
      <c r="BH521" s="467" t="str">
        <f t="shared" si="311"/>
        <v/>
      </c>
      <c r="BI521" s="467" t="str">
        <f t="shared" ca="1" si="312"/>
        <v/>
      </c>
      <c r="BJ521" s="469" t="str">
        <f t="shared" si="313"/>
        <v/>
      </c>
      <c r="BK521" s="470" t="str">
        <f t="shared" si="293"/>
        <v/>
      </c>
      <c r="BL521" s="775" t="str">
        <f t="shared" si="314"/>
        <v/>
      </c>
      <c r="BM521" s="775" t="str">
        <f t="shared" si="315"/>
        <v/>
      </c>
    </row>
    <row r="522" spans="1:65">
      <c r="A522" s="473">
        <v>466</v>
      </c>
      <c r="B522" s="132"/>
      <c r="C522" s="332"/>
      <c r="D522" s="333"/>
      <c r="E522" s="333"/>
      <c r="F522" s="334"/>
      <c r="G522" s="337"/>
      <c r="H522" s="131"/>
      <c r="I522" s="337"/>
      <c r="J522" s="131"/>
      <c r="K522" s="458" t="str">
        <f t="shared" si="282"/>
        <v/>
      </c>
      <c r="L522" s="458">
        <f t="shared" si="294"/>
        <v>0</v>
      </c>
      <c r="M522" s="458">
        <f t="shared" si="295"/>
        <v>0</v>
      </c>
      <c r="N522" s="459" t="str">
        <f t="shared" si="283"/>
        <v/>
      </c>
      <c r="O522" s="459" t="str">
        <f t="shared" si="284"/>
        <v/>
      </c>
      <c r="P522" s="459" t="str">
        <f t="shared" si="285"/>
        <v/>
      </c>
      <c r="Q522" s="459" t="str">
        <f t="shared" si="286"/>
        <v/>
      </c>
      <c r="R522" s="459" t="str">
        <f t="shared" si="287"/>
        <v/>
      </c>
      <c r="S522" s="459" t="str">
        <f t="shared" si="288"/>
        <v/>
      </c>
      <c r="T522" s="566" t="str">
        <f t="shared" si="296"/>
        <v/>
      </c>
      <c r="U522" s="702"/>
      <c r="V522" s="132"/>
      <c r="W522" s="133"/>
      <c r="X522" s="134"/>
      <c r="Y522" s="135"/>
      <c r="Z522" s="137"/>
      <c r="AA522" s="136"/>
      <c r="AB522" s="566" t="str">
        <f t="shared" si="289"/>
        <v/>
      </c>
      <c r="AC522" s="568" t="str">
        <f t="shared" si="297"/>
        <v/>
      </c>
      <c r="AD522" s="137"/>
      <c r="AE522" s="137"/>
      <c r="AF522" s="138"/>
      <c r="AG522" s="138"/>
      <c r="AH522" s="592" t="str">
        <f t="shared" si="290"/>
        <v/>
      </c>
      <c r="AI522" s="592" t="str">
        <f t="shared" si="291"/>
        <v/>
      </c>
      <c r="AJ522" s="592" t="str">
        <f t="shared" si="292"/>
        <v/>
      </c>
      <c r="AK522" s="460" t="str">
        <f>IF(AU522="","",IF(OR(AZ522=8,AZ522=9),0,IF(OR(AW522=3,AW522=4,AW522=5,AW522=6),IF(LEFT(BF522,1)="1",INDEX(係数_NOX・PM低減,MATCH(AY522,【参考】排出係数!$AI$801:$AI$804,1),1),VLOOKUP(AU522,INDEX((係数_バス貨物_ガソリン,係数_バス貨物_CNG,係数_バス貨物_軽油,係数_バス貨物_メタノール,係数_バス貨物_LPG),MATCH(AY522,【参考】排出係数!$AI$4:$AI$671,1),1,BE522):INDEX((係数_バス貨物_ガソリン,係数_バス貨物_CNG,係数_バス貨物_軽油,係数_バス貨物_メタノール,係数_バス貨物_LPG),MATCH(AY522+1,【参考】排出係数!$AI$4:$AI$671,1)-1,5,BE522),4,FALSE)),IF(AND(BE522=3,LEFT(BF522,1)="1"),0.48,VLOOKUP(AU522,INDEX((係数_乗用_ガソリン,係数_乗用_CNG,係数_乗用_軽油,係数_乗用_メタノール,係数_乗用_LPG),1,1,BE522):INDEX((係数_乗用_ガソリン,係数_乗用_CNG,係数_乗用_軽油,係数_乗用_メタノール,係数_乗用_LPG),125,5,BE522),4,FALSE)))))</f>
        <v/>
      </c>
      <c r="AL522" s="461" t="str">
        <f t="shared" si="316"/>
        <v/>
      </c>
      <c r="AM522" s="460" t="str">
        <f>IF(AU522="","",IF(OR(AZ522=8,AZ522=9),0,IF(OR(AW522=3,AW522=4,AW522=5,AW522=6),IF(LEFT(BH522,1)="1",INDEX(係数_PM低減,MATCH(AY522,【参考】排出係数!$AI$801:$AI$804,1),MATCH(BI522,【参考】排出係数!$AL$798:$AO$798,1)),VLOOKUP(AU522,INDEX((係数_バス貨物_ガソリン,係数_バス貨物_CNG,係数_バス貨物_軽油,係数_バス貨物_メタノール,係数_バス貨物_LPG),MATCH(AY522,【参考】排出係数!$AI$4:$AI$671,1),1,BE522):INDEX((係数_バス貨物_ガソリン,係数_バス貨物_CNG,係数_バス貨物_軽油,係数_バス貨物_メタノール,係数_バス貨物_LPG),MATCH(AY522+1,【参考】排出係数!$AI$4:$AI$671,1)-1,5,BE522),5,FALSE)),IF(AND(BE522=3,LEFT(BF522,1)="1"),0.055,VLOOKUP(AU522,INDEX((係数_乗用_ガソリン,係数_乗用_CNG,係数_乗用_軽油,係数_乗用_メタノール,係数_乗用_LPG),1,1,BE522):INDEX((係数_乗用_ガソリン,係数_乗用_CNG,係数_乗用_軽油,係数_乗用_メタノール,係数_乗用_LPG),125,5,BE522),5,FALSE)))))</f>
        <v/>
      </c>
      <c r="AN522" s="461" t="str">
        <f t="shared" si="317"/>
        <v/>
      </c>
      <c r="AO522" s="462" t="str">
        <f t="shared" si="318"/>
        <v/>
      </c>
      <c r="AP522" s="463" t="str">
        <f t="shared" si="319"/>
        <v/>
      </c>
      <c r="AQ522" s="464"/>
      <c r="AR522" s="619"/>
      <c r="AS522" s="465" t="str">
        <f t="shared" si="298"/>
        <v/>
      </c>
      <c r="AT522" s="465" t="str">
        <f t="shared" si="299"/>
        <v/>
      </c>
      <c r="AU522" s="466" t="str">
        <f t="shared" si="300"/>
        <v/>
      </c>
      <c r="AV522" s="467" t="str">
        <f t="shared" si="301"/>
        <v/>
      </c>
      <c r="AW522" s="467" t="str">
        <f t="shared" si="302"/>
        <v/>
      </c>
      <c r="AX522" s="467" t="str">
        <f t="shared" si="303"/>
        <v/>
      </c>
      <c r="AY522" s="467" t="str">
        <f t="shared" si="304"/>
        <v/>
      </c>
      <c r="AZ522" s="467" t="str">
        <f t="shared" si="305"/>
        <v/>
      </c>
      <c r="BA522" s="468" t="str">
        <f>IF(AS522="","",IF(OR(AU522="",AU522="-"),"－",IF(OR(AZ522=8,AZ522=9),"",IF(OR(AW522=3,AW522=4,AW522=5,AW522=6),VLOOKUP(AU522,INDEX((係数_バス貨物_ガソリン,係数_バス貨物_CNG,係数_バス貨物_軽油,係数_バス貨物_メタノール,係数_バス貨物_LPG),MATCH(AY522,【参考】排出係数!$AI$4:$AI$671,1),1,BE522):INDEX((係数_バス貨物_ガソリン,係数_バス貨物_CNG,係数_バス貨物_軽油,係数_バス貨物_メタノール,係数_バス貨物_LPG),MATCH(AY522+1,【参考】排出係数!$AI$4:$AI$671,1)-1,5,BE522),2,FALSE),IF(OR(AW522=1,AW522=2),VLOOKUP(AU522,INDEX((係数_乗用_ガソリン,係数_乗用_CNG,係数_乗用_軽油,係数_乗用_メタノール,係数_乗用_LPG),1,1,BE522):INDEX((係数_乗用_ガソリン,係数_乗用_CNG,係数_乗用_軽油,係数_乗用_メタノール,係数_乗用_LPG),125,5,BE522),2,FALSE))))))</f>
        <v/>
      </c>
      <c r="BB522" s="468" t="str">
        <f>IF(T522="","",IF(OR(AU522="",AU522="-"),"－",IF(OR(AZ522=8,AZ522=9),"",IF(OR(AW522=3,AW522=4,AW522=5,AW522=6),VLOOKUP(AU522,INDEX((係数_バス貨物_ガソリン,係数_バス貨物_CNG,係数_バス貨物_軽油,係数_バス貨物_メタノール,係数_バス貨物_LPG),MATCH(AY522,【参考】排出係数!$AI$4:$AI$671,1),1,BE522):INDEX((係数_バス貨物_ガソリン,係数_バス貨物_CNG,係数_バス貨物_軽油,係数_バス貨物_メタノール,係数_バス貨物_LPG),MATCH(AY522+1,【参考】排出係数!$AI$4:$AI$671,1)-1,5,BE522),3,FALSE),IF(OR(AW522=1,AW522=2),VLOOKUP(AU522,INDEX((係数_乗用_ガソリン,係数_乗用_CNG,係数_乗用_軽油,係数_乗用_メタノール,係数_乗用_LPG),1,1,BE522):INDEX((係数_乗用_ガソリン,係数_乗用_CNG,係数_乗用_軽油,係数_乗用_メタノール,係数_乗用_LPG),125,5,BE522),3,FALSE))))))</f>
        <v/>
      </c>
      <c r="BC522" s="467" t="str">
        <f t="shared" si="306"/>
        <v/>
      </c>
      <c r="BD522" s="567" t="str">
        <f t="shared" si="307"/>
        <v/>
      </c>
      <c r="BE522" s="467" t="str">
        <f t="shared" si="308"/>
        <v/>
      </c>
      <c r="BF522" s="469" t="str">
        <f t="shared" ca="1" si="309"/>
        <v/>
      </c>
      <c r="BG522" s="469" t="str">
        <f t="shared" ca="1" si="310"/>
        <v/>
      </c>
      <c r="BH522" s="467" t="str">
        <f t="shared" si="311"/>
        <v/>
      </c>
      <c r="BI522" s="467" t="str">
        <f t="shared" ca="1" si="312"/>
        <v/>
      </c>
      <c r="BJ522" s="469" t="str">
        <f t="shared" si="313"/>
        <v/>
      </c>
      <c r="BK522" s="470" t="str">
        <f t="shared" si="293"/>
        <v/>
      </c>
      <c r="BL522" s="775" t="str">
        <f t="shared" si="314"/>
        <v/>
      </c>
      <c r="BM522" s="775" t="str">
        <f t="shared" si="315"/>
        <v/>
      </c>
    </row>
    <row r="523" spans="1:65">
      <c r="A523" s="473">
        <v>467</v>
      </c>
      <c r="B523" s="132"/>
      <c r="C523" s="332"/>
      <c r="D523" s="333"/>
      <c r="E523" s="333"/>
      <c r="F523" s="334"/>
      <c r="G523" s="337"/>
      <c r="H523" s="131"/>
      <c r="I523" s="337"/>
      <c r="J523" s="131"/>
      <c r="K523" s="458" t="str">
        <f t="shared" si="282"/>
        <v/>
      </c>
      <c r="L523" s="458">
        <f t="shared" si="294"/>
        <v>0</v>
      </c>
      <c r="M523" s="458">
        <f t="shared" si="295"/>
        <v>0</v>
      </c>
      <c r="N523" s="459" t="str">
        <f t="shared" si="283"/>
        <v/>
      </c>
      <c r="O523" s="459" t="str">
        <f t="shared" si="284"/>
        <v/>
      </c>
      <c r="P523" s="459" t="str">
        <f t="shared" si="285"/>
        <v/>
      </c>
      <c r="Q523" s="459" t="str">
        <f t="shared" si="286"/>
        <v/>
      </c>
      <c r="R523" s="459" t="str">
        <f t="shared" si="287"/>
        <v/>
      </c>
      <c r="S523" s="459" t="str">
        <f t="shared" si="288"/>
        <v/>
      </c>
      <c r="T523" s="566" t="str">
        <f t="shared" si="296"/>
        <v/>
      </c>
      <c r="U523" s="702"/>
      <c r="V523" s="132"/>
      <c r="W523" s="133"/>
      <c r="X523" s="134"/>
      <c r="Y523" s="135"/>
      <c r="Z523" s="137"/>
      <c r="AA523" s="136"/>
      <c r="AB523" s="566" t="str">
        <f t="shared" si="289"/>
        <v/>
      </c>
      <c r="AC523" s="568" t="str">
        <f t="shared" si="297"/>
        <v/>
      </c>
      <c r="AD523" s="137"/>
      <c r="AE523" s="137"/>
      <c r="AF523" s="138"/>
      <c r="AG523" s="138"/>
      <c r="AH523" s="592" t="str">
        <f t="shared" si="290"/>
        <v/>
      </c>
      <c r="AI523" s="592" t="str">
        <f t="shared" si="291"/>
        <v/>
      </c>
      <c r="AJ523" s="592" t="str">
        <f t="shared" si="292"/>
        <v/>
      </c>
      <c r="AK523" s="460" t="str">
        <f>IF(AU523="","",IF(OR(AZ523=8,AZ523=9),0,IF(OR(AW523=3,AW523=4,AW523=5,AW523=6),IF(LEFT(BF523,1)="1",INDEX(係数_NOX・PM低減,MATCH(AY523,【参考】排出係数!$AI$801:$AI$804,1),1),VLOOKUP(AU523,INDEX((係数_バス貨物_ガソリン,係数_バス貨物_CNG,係数_バス貨物_軽油,係数_バス貨物_メタノール,係数_バス貨物_LPG),MATCH(AY523,【参考】排出係数!$AI$4:$AI$671,1),1,BE523):INDEX((係数_バス貨物_ガソリン,係数_バス貨物_CNG,係数_バス貨物_軽油,係数_バス貨物_メタノール,係数_バス貨物_LPG),MATCH(AY523+1,【参考】排出係数!$AI$4:$AI$671,1)-1,5,BE523),4,FALSE)),IF(AND(BE523=3,LEFT(BF523,1)="1"),0.48,VLOOKUP(AU523,INDEX((係数_乗用_ガソリン,係数_乗用_CNG,係数_乗用_軽油,係数_乗用_メタノール,係数_乗用_LPG),1,1,BE523):INDEX((係数_乗用_ガソリン,係数_乗用_CNG,係数_乗用_軽油,係数_乗用_メタノール,係数_乗用_LPG),125,5,BE523),4,FALSE)))))</f>
        <v/>
      </c>
      <c r="AL523" s="461" t="str">
        <f t="shared" si="316"/>
        <v/>
      </c>
      <c r="AM523" s="460" t="str">
        <f>IF(AU523="","",IF(OR(AZ523=8,AZ523=9),0,IF(OR(AW523=3,AW523=4,AW523=5,AW523=6),IF(LEFT(BH523,1)="1",INDEX(係数_PM低減,MATCH(AY523,【参考】排出係数!$AI$801:$AI$804,1),MATCH(BI523,【参考】排出係数!$AL$798:$AO$798,1)),VLOOKUP(AU523,INDEX((係数_バス貨物_ガソリン,係数_バス貨物_CNG,係数_バス貨物_軽油,係数_バス貨物_メタノール,係数_バス貨物_LPG),MATCH(AY523,【参考】排出係数!$AI$4:$AI$671,1),1,BE523):INDEX((係数_バス貨物_ガソリン,係数_バス貨物_CNG,係数_バス貨物_軽油,係数_バス貨物_メタノール,係数_バス貨物_LPG),MATCH(AY523+1,【参考】排出係数!$AI$4:$AI$671,1)-1,5,BE523),5,FALSE)),IF(AND(BE523=3,LEFT(BF523,1)="1"),0.055,VLOOKUP(AU523,INDEX((係数_乗用_ガソリン,係数_乗用_CNG,係数_乗用_軽油,係数_乗用_メタノール,係数_乗用_LPG),1,1,BE523):INDEX((係数_乗用_ガソリン,係数_乗用_CNG,係数_乗用_軽油,係数_乗用_メタノール,係数_乗用_LPG),125,5,BE523),5,FALSE)))))</f>
        <v/>
      </c>
      <c r="AN523" s="461" t="str">
        <f t="shared" si="317"/>
        <v/>
      </c>
      <c r="AO523" s="462" t="str">
        <f t="shared" si="318"/>
        <v/>
      </c>
      <c r="AP523" s="463" t="str">
        <f t="shared" si="319"/>
        <v/>
      </c>
      <c r="AQ523" s="464"/>
      <c r="AR523" s="619"/>
      <c r="AS523" s="465" t="str">
        <f t="shared" si="298"/>
        <v/>
      </c>
      <c r="AT523" s="465" t="str">
        <f t="shared" si="299"/>
        <v/>
      </c>
      <c r="AU523" s="466" t="str">
        <f t="shared" si="300"/>
        <v/>
      </c>
      <c r="AV523" s="467" t="str">
        <f t="shared" si="301"/>
        <v/>
      </c>
      <c r="AW523" s="467" t="str">
        <f t="shared" si="302"/>
        <v/>
      </c>
      <c r="AX523" s="467" t="str">
        <f t="shared" si="303"/>
        <v/>
      </c>
      <c r="AY523" s="467" t="str">
        <f t="shared" si="304"/>
        <v/>
      </c>
      <c r="AZ523" s="467" t="str">
        <f t="shared" si="305"/>
        <v/>
      </c>
      <c r="BA523" s="468" t="str">
        <f>IF(AS523="","",IF(OR(AU523="",AU523="-"),"－",IF(OR(AZ523=8,AZ523=9),"",IF(OR(AW523=3,AW523=4,AW523=5,AW523=6),VLOOKUP(AU523,INDEX((係数_バス貨物_ガソリン,係数_バス貨物_CNG,係数_バス貨物_軽油,係数_バス貨物_メタノール,係数_バス貨物_LPG),MATCH(AY523,【参考】排出係数!$AI$4:$AI$671,1),1,BE523):INDEX((係数_バス貨物_ガソリン,係数_バス貨物_CNG,係数_バス貨物_軽油,係数_バス貨物_メタノール,係数_バス貨物_LPG),MATCH(AY523+1,【参考】排出係数!$AI$4:$AI$671,1)-1,5,BE523),2,FALSE),IF(OR(AW523=1,AW523=2),VLOOKUP(AU523,INDEX((係数_乗用_ガソリン,係数_乗用_CNG,係数_乗用_軽油,係数_乗用_メタノール,係数_乗用_LPG),1,1,BE523):INDEX((係数_乗用_ガソリン,係数_乗用_CNG,係数_乗用_軽油,係数_乗用_メタノール,係数_乗用_LPG),125,5,BE523),2,FALSE))))))</f>
        <v/>
      </c>
      <c r="BB523" s="468" t="str">
        <f>IF(T523="","",IF(OR(AU523="",AU523="-"),"－",IF(OR(AZ523=8,AZ523=9),"",IF(OR(AW523=3,AW523=4,AW523=5,AW523=6),VLOOKUP(AU523,INDEX((係数_バス貨物_ガソリン,係数_バス貨物_CNG,係数_バス貨物_軽油,係数_バス貨物_メタノール,係数_バス貨物_LPG),MATCH(AY523,【参考】排出係数!$AI$4:$AI$671,1),1,BE523):INDEX((係数_バス貨物_ガソリン,係数_バス貨物_CNG,係数_バス貨物_軽油,係数_バス貨物_メタノール,係数_バス貨物_LPG),MATCH(AY523+1,【参考】排出係数!$AI$4:$AI$671,1)-1,5,BE523),3,FALSE),IF(OR(AW523=1,AW523=2),VLOOKUP(AU523,INDEX((係数_乗用_ガソリン,係数_乗用_CNG,係数_乗用_軽油,係数_乗用_メタノール,係数_乗用_LPG),1,1,BE523):INDEX((係数_乗用_ガソリン,係数_乗用_CNG,係数_乗用_軽油,係数_乗用_メタノール,係数_乗用_LPG),125,5,BE523),3,FALSE))))))</f>
        <v/>
      </c>
      <c r="BC523" s="467" t="str">
        <f t="shared" si="306"/>
        <v/>
      </c>
      <c r="BD523" s="567" t="str">
        <f t="shared" si="307"/>
        <v/>
      </c>
      <c r="BE523" s="467" t="str">
        <f t="shared" si="308"/>
        <v/>
      </c>
      <c r="BF523" s="469" t="str">
        <f t="shared" ca="1" si="309"/>
        <v/>
      </c>
      <c r="BG523" s="469" t="str">
        <f t="shared" ca="1" si="310"/>
        <v/>
      </c>
      <c r="BH523" s="467" t="str">
        <f t="shared" si="311"/>
        <v/>
      </c>
      <c r="BI523" s="467" t="str">
        <f t="shared" ca="1" si="312"/>
        <v/>
      </c>
      <c r="BJ523" s="469" t="str">
        <f t="shared" si="313"/>
        <v/>
      </c>
      <c r="BK523" s="470" t="str">
        <f t="shared" si="293"/>
        <v/>
      </c>
      <c r="BL523" s="775" t="str">
        <f t="shared" si="314"/>
        <v/>
      </c>
      <c r="BM523" s="775" t="str">
        <f t="shared" si="315"/>
        <v/>
      </c>
    </row>
    <row r="524" spans="1:65">
      <c r="A524" s="473">
        <v>468</v>
      </c>
      <c r="B524" s="132"/>
      <c r="C524" s="332"/>
      <c r="D524" s="333"/>
      <c r="E524" s="333"/>
      <c r="F524" s="334"/>
      <c r="G524" s="337"/>
      <c r="H524" s="131"/>
      <c r="I524" s="337"/>
      <c r="J524" s="131"/>
      <c r="K524" s="458" t="str">
        <f t="shared" si="282"/>
        <v/>
      </c>
      <c r="L524" s="458">
        <f t="shared" si="294"/>
        <v>0</v>
      </c>
      <c r="M524" s="458">
        <f t="shared" si="295"/>
        <v>0</v>
      </c>
      <c r="N524" s="459" t="str">
        <f t="shared" si="283"/>
        <v/>
      </c>
      <c r="O524" s="459" t="str">
        <f t="shared" si="284"/>
        <v/>
      </c>
      <c r="P524" s="459" t="str">
        <f t="shared" si="285"/>
        <v/>
      </c>
      <c r="Q524" s="459" t="str">
        <f t="shared" si="286"/>
        <v/>
      </c>
      <c r="R524" s="459" t="str">
        <f t="shared" si="287"/>
        <v/>
      </c>
      <c r="S524" s="459" t="str">
        <f t="shared" si="288"/>
        <v/>
      </c>
      <c r="T524" s="566" t="str">
        <f t="shared" si="296"/>
        <v/>
      </c>
      <c r="U524" s="702"/>
      <c r="V524" s="132"/>
      <c r="W524" s="133"/>
      <c r="X524" s="134"/>
      <c r="Y524" s="135"/>
      <c r="Z524" s="137"/>
      <c r="AA524" s="136"/>
      <c r="AB524" s="566" t="str">
        <f t="shared" si="289"/>
        <v/>
      </c>
      <c r="AC524" s="568" t="str">
        <f t="shared" si="297"/>
        <v/>
      </c>
      <c r="AD524" s="137"/>
      <c r="AE524" s="137"/>
      <c r="AF524" s="138"/>
      <c r="AG524" s="138"/>
      <c r="AH524" s="592" t="str">
        <f t="shared" si="290"/>
        <v/>
      </c>
      <c r="AI524" s="592" t="str">
        <f t="shared" si="291"/>
        <v/>
      </c>
      <c r="AJ524" s="592" t="str">
        <f t="shared" si="292"/>
        <v/>
      </c>
      <c r="AK524" s="460" t="str">
        <f>IF(AU524="","",IF(OR(AZ524=8,AZ524=9),0,IF(OR(AW524=3,AW524=4,AW524=5,AW524=6),IF(LEFT(BF524,1)="1",INDEX(係数_NOX・PM低減,MATCH(AY524,【参考】排出係数!$AI$801:$AI$804,1),1),VLOOKUP(AU524,INDEX((係数_バス貨物_ガソリン,係数_バス貨物_CNG,係数_バス貨物_軽油,係数_バス貨物_メタノール,係数_バス貨物_LPG),MATCH(AY524,【参考】排出係数!$AI$4:$AI$671,1),1,BE524):INDEX((係数_バス貨物_ガソリン,係数_バス貨物_CNG,係数_バス貨物_軽油,係数_バス貨物_メタノール,係数_バス貨物_LPG),MATCH(AY524+1,【参考】排出係数!$AI$4:$AI$671,1)-1,5,BE524),4,FALSE)),IF(AND(BE524=3,LEFT(BF524,1)="1"),0.48,VLOOKUP(AU524,INDEX((係数_乗用_ガソリン,係数_乗用_CNG,係数_乗用_軽油,係数_乗用_メタノール,係数_乗用_LPG),1,1,BE524):INDEX((係数_乗用_ガソリン,係数_乗用_CNG,係数_乗用_軽油,係数_乗用_メタノール,係数_乗用_LPG),125,5,BE524),4,FALSE)))))</f>
        <v/>
      </c>
      <c r="AL524" s="461" t="str">
        <f t="shared" si="316"/>
        <v/>
      </c>
      <c r="AM524" s="460" t="str">
        <f>IF(AU524="","",IF(OR(AZ524=8,AZ524=9),0,IF(OR(AW524=3,AW524=4,AW524=5,AW524=6),IF(LEFT(BH524,1)="1",INDEX(係数_PM低減,MATCH(AY524,【参考】排出係数!$AI$801:$AI$804,1),MATCH(BI524,【参考】排出係数!$AL$798:$AO$798,1)),VLOOKUP(AU524,INDEX((係数_バス貨物_ガソリン,係数_バス貨物_CNG,係数_バス貨物_軽油,係数_バス貨物_メタノール,係数_バス貨物_LPG),MATCH(AY524,【参考】排出係数!$AI$4:$AI$671,1),1,BE524):INDEX((係数_バス貨物_ガソリン,係数_バス貨物_CNG,係数_バス貨物_軽油,係数_バス貨物_メタノール,係数_バス貨物_LPG),MATCH(AY524+1,【参考】排出係数!$AI$4:$AI$671,1)-1,5,BE524),5,FALSE)),IF(AND(BE524=3,LEFT(BF524,1)="1"),0.055,VLOOKUP(AU524,INDEX((係数_乗用_ガソリン,係数_乗用_CNG,係数_乗用_軽油,係数_乗用_メタノール,係数_乗用_LPG),1,1,BE524):INDEX((係数_乗用_ガソリン,係数_乗用_CNG,係数_乗用_軽油,係数_乗用_メタノール,係数_乗用_LPG),125,5,BE524),5,FALSE)))))</f>
        <v/>
      </c>
      <c r="AN524" s="461" t="str">
        <f t="shared" si="317"/>
        <v/>
      </c>
      <c r="AO524" s="462" t="str">
        <f t="shared" si="318"/>
        <v/>
      </c>
      <c r="AP524" s="463" t="str">
        <f t="shared" si="319"/>
        <v/>
      </c>
      <c r="AQ524" s="464"/>
      <c r="AR524" s="619"/>
      <c r="AS524" s="465" t="str">
        <f t="shared" si="298"/>
        <v/>
      </c>
      <c r="AT524" s="465" t="str">
        <f t="shared" si="299"/>
        <v/>
      </c>
      <c r="AU524" s="466" t="str">
        <f t="shared" si="300"/>
        <v/>
      </c>
      <c r="AV524" s="467" t="str">
        <f t="shared" si="301"/>
        <v/>
      </c>
      <c r="AW524" s="467" t="str">
        <f t="shared" si="302"/>
        <v/>
      </c>
      <c r="AX524" s="467" t="str">
        <f t="shared" si="303"/>
        <v/>
      </c>
      <c r="AY524" s="467" t="str">
        <f t="shared" si="304"/>
        <v/>
      </c>
      <c r="AZ524" s="467" t="str">
        <f t="shared" si="305"/>
        <v/>
      </c>
      <c r="BA524" s="468" t="str">
        <f>IF(AS524="","",IF(OR(AU524="",AU524="-"),"－",IF(OR(AZ524=8,AZ524=9),"",IF(OR(AW524=3,AW524=4,AW524=5,AW524=6),VLOOKUP(AU524,INDEX((係数_バス貨物_ガソリン,係数_バス貨物_CNG,係数_バス貨物_軽油,係数_バス貨物_メタノール,係数_バス貨物_LPG),MATCH(AY524,【参考】排出係数!$AI$4:$AI$671,1),1,BE524):INDEX((係数_バス貨物_ガソリン,係数_バス貨物_CNG,係数_バス貨物_軽油,係数_バス貨物_メタノール,係数_バス貨物_LPG),MATCH(AY524+1,【参考】排出係数!$AI$4:$AI$671,1)-1,5,BE524),2,FALSE),IF(OR(AW524=1,AW524=2),VLOOKUP(AU524,INDEX((係数_乗用_ガソリン,係数_乗用_CNG,係数_乗用_軽油,係数_乗用_メタノール,係数_乗用_LPG),1,1,BE524):INDEX((係数_乗用_ガソリン,係数_乗用_CNG,係数_乗用_軽油,係数_乗用_メタノール,係数_乗用_LPG),125,5,BE524),2,FALSE))))))</f>
        <v/>
      </c>
      <c r="BB524" s="468" t="str">
        <f>IF(T524="","",IF(OR(AU524="",AU524="-"),"－",IF(OR(AZ524=8,AZ524=9),"",IF(OR(AW524=3,AW524=4,AW524=5,AW524=6),VLOOKUP(AU524,INDEX((係数_バス貨物_ガソリン,係数_バス貨物_CNG,係数_バス貨物_軽油,係数_バス貨物_メタノール,係数_バス貨物_LPG),MATCH(AY524,【参考】排出係数!$AI$4:$AI$671,1),1,BE524):INDEX((係数_バス貨物_ガソリン,係数_バス貨物_CNG,係数_バス貨物_軽油,係数_バス貨物_メタノール,係数_バス貨物_LPG),MATCH(AY524+1,【参考】排出係数!$AI$4:$AI$671,1)-1,5,BE524),3,FALSE),IF(OR(AW524=1,AW524=2),VLOOKUP(AU524,INDEX((係数_乗用_ガソリン,係数_乗用_CNG,係数_乗用_軽油,係数_乗用_メタノール,係数_乗用_LPG),1,1,BE524):INDEX((係数_乗用_ガソリン,係数_乗用_CNG,係数_乗用_軽油,係数_乗用_メタノール,係数_乗用_LPG),125,5,BE524),3,FALSE))))))</f>
        <v/>
      </c>
      <c r="BC524" s="467" t="str">
        <f t="shared" si="306"/>
        <v/>
      </c>
      <c r="BD524" s="567" t="str">
        <f t="shared" si="307"/>
        <v/>
      </c>
      <c r="BE524" s="467" t="str">
        <f t="shared" si="308"/>
        <v/>
      </c>
      <c r="BF524" s="469" t="str">
        <f t="shared" ca="1" si="309"/>
        <v/>
      </c>
      <c r="BG524" s="469" t="str">
        <f t="shared" ca="1" si="310"/>
        <v/>
      </c>
      <c r="BH524" s="467" t="str">
        <f t="shared" si="311"/>
        <v/>
      </c>
      <c r="BI524" s="467" t="str">
        <f t="shared" ca="1" si="312"/>
        <v/>
      </c>
      <c r="BJ524" s="469" t="str">
        <f t="shared" si="313"/>
        <v/>
      </c>
      <c r="BK524" s="470" t="str">
        <f t="shared" si="293"/>
        <v/>
      </c>
      <c r="BL524" s="775" t="str">
        <f t="shared" si="314"/>
        <v/>
      </c>
      <c r="BM524" s="775" t="str">
        <f t="shared" si="315"/>
        <v/>
      </c>
    </row>
    <row r="525" spans="1:65">
      <c r="A525" s="473">
        <v>469</v>
      </c>
      <c r="B525" s="132"/>
      <c r="C525" s="332"/>
      <c r="D525" s="333"/>
      <c r="E525" s="333"/>
      <c r="F525" s="334"/>
      <c r="G525" s="337"/>
      <c r="H525" s="131"/>
      <c r="I525" s="337"/>
      <c r="J525" s="131"/>
      <c r="K525" s="458" t="str">
        <f t="shared" si="282"/>
        <v/>
      </c>
      <c r="L525" s="458">
        <f t="shared" si="294"/>
        <v>0</v>
      </c>
      <c r="M525" s="458">
        <f t="shared" si="295"/>
        <v>0</v>
      </c>
      <c r="N525" s="459" t="str">
        <f t="shared" si="283"/>
        <v/>
      </c>
      <c r="O525" s="459" t="str">
        <f t="shared" si="284"/>
        <v/>
      </c>
      <c r="P525" s="459" t="str">
        <f t="shared" si="285"/>
        <v/>
      </c>
      <c r="Q525" s="459" t="str">
        <f t="shared" si="286"/>
        <v/>
      </c>
      <c r="R525" s="459" t="str">
        <f t="shared" si="287"/>
        <v/>
      </c>
      <c r="S525" s="459" t="str">
        <f t="shared" si="288"/>
        <v/>
      </c>
      <c r="T525" s="566" t="str">
        <f t="shared" si="296"/>
        <v/>
      </c>
      <c r="U525" s="702"/>
      <c r="V525" s="132"/>
      <c r="W525" s="133"/>
      <c r="X525" s="134"/>
      <c r="Y525" s="135"/>
      <c r="Z525" s="137"/>
      <c r="AA525" s="136"/>
      <c r="AB525" s="566" t="str">
        <f t="shared" si="289"/>
        <v/>
      </c>
      <c r="AC525" s="568" t="str">
        <f t="shared" si="297"/>
        <v/>
      </c>
      <c r="AD525" s="137"/>
      <c r="AE525" s="137"/>
      <c r="AF525" s="138"/>
      <c r="AG525" s="138"/>
      <c r="AH525" s="592" t="str">
        <f t="shared" si="290"/>
        <v/>
      </c>
      <c r="AI525" s="592" t="str">
        <f t="shared" si="291"/>
        <v/>
      </c>
      <c r="AJ525" s="592" t="str">
        <f t="shared" si="292"/>
        <v/>
      </c>
      <c r="AK525" s="460" t="str">
        <f>IF(AU525="","",IF(OR(AZ525=8,AZ525=9),0,IF(OR(AW525=3,AW525=4,AW525=5,AW525=6),IF(LEFT(BF525,1)="1",INDEX(係数_NOX・PM低減,MATCH(AY525,【参考】排出係数!$AI$801:$AI$804,1),1),VLOOKUP(AU525,INDEX((係数_バス貨物_ガソリン,係数_バス貨物_CNG,係数_バス貨物_軽油,係数_バス貨物_メタノール,係数_バス貨物_LPG),MATCH(AY525,【参考】排出係数!$AI$4:$AI$671,1),1,BE525):INDEX((係数_バス貨物_ガソリン,係数_バス貨物_CNG,係数_バス貨物_軽油,係数_バス貨物_メタノール,係数_バス貨物_LPG),MATCH(AY525+1,【参考】排出係数!$AI$4:$AI$671,1)-1,5,BE525),4,FALSE)),IF(AND(BE525=3,LEFT(BF525,1)="1"),0.48,VLOOKUP(AU525,INDEX((係数_乗用_ガソリン,係数_乗用_CNG,係数_乗用_軽油,係数_乗用_メタノール,係数_乗用_LPG),1,1,BE525):INDEX((係数_乗用_ガソリン,係数_乗用_CNG,係数_乗用_軽油,係数_乗用_メタノール,係数_乗用_LPG),125,5,BE525),4,FALSE)))))</f>
        <v/>
      </c>
      <c r="AL525" s="461" t="str">
        <f t="shared" si="316"/>
        <v/>
      </c>
      <c r="AM525" s="460" t="str">
        <f>IF(AU525="","",IF(OR(AZ525=8,AZ525=9),0,IF(OR(AW525=3,AW525=4,AW525=5,AW525=6),IF(LEFT(BH525,1)="1",INDEX(係数_PM低減,MATCH(AY525,【参考】排出係数!$AI$801:$AI$804,1),MATCH(BI525,【参考】排出係数!$AL$798:$AO$798,1)),VLOOKUP(AU525,INDEX((係数_バス貨物_ガソリン,係数_バス貨物_CNG,係数_バス貨物_軽油,係数_バス貨物_メタノール,係数_バス貨物_LPG),MATCH(AY525,【参考】排出係数!$AI$4:$AI$671,1),1,BE525):INDEX((係数_バス貨物_ガソリン,係数_バス貨物_CNG,係数_バス貨物_軽油,係数_バス貨物_メタノール,係数_バス貨物_LPG),MATCH(AY525+1,【参考】排出係数!$AI$4:$AI$671,1)-1,5,BE525),5,FALSE)),IF(AND(BE525=3,LEFT(BF525,1)="1"),0.055,VLOOKUP(AU525,INDEX((係数_乗用_ガソリン,係数_乗用_CNG,係数_乗用_軽油,係数_乗用_メタノール,係数_乗用_LPG),1,1,BE525):INDEX((係数_乗用_ガソリン,係数_乗用_CNG,係数_乗用_軽油,係数_乗用_メタノール,係数_乗用_LPG),125,5,BE525),5,FALSE)))))</f>
        <v/>
      </c>
      <c r="AN525" s="461" t="str">
        <f t="shared" si="317"/>
        <v/>
      </c>
      <c r="AO525" s="462" t="str">
        <f t="shared" si="318"/>
        <v/>
      </c>
      <c r="AP525" s="463" t="str">
        <f t="shared" si="319"/>
        <v/>
      </c>
      <c r="AQ525" s="464"/>
      <c r="AR525" s="619"/>
      <c r="AS525" s="465" t="str">
        <f t="shared" si="298"/>
        <v/>
      </c>
      <c r="AT525" s="465" t="str">
        <f t="shared" si="299"/>
        <v/>
      </c>
      <c r="AU525" s="466" t="str">
        <f t="shared" si="300"/>
        <v/>
      </c>
      <c r="AV525" s="467" t="str">
        <f t="shared" si="301"/>
        <v/>
      </c>
      <c r="AW525" s="467" t="str">
        <f t="shared" si="302"/>
        <v/>
      </c>
      <c r="AX525" s="467" t="str">
        <f t="shared" si="303"/>
        <v/>
      </c>
      <c r="AY525" s="467" t="str">
        <f t="shared" si="304"/>
        <v/>
      </c>
      <c r="AZ525" s="467" t="str">
        <f t="shared" si="305"/>
        <v/>
      </c>
      <c r="BA525" s="468" t="str">
        <f>IF(AS525="","",IF(OR(AU525="",AU525="-"),"－",IF(OR(AZ525=8,AZ525=9),"",IF(OR(AW525=3,AW525=4,AW525=5,AW525=6),VLOOKUP(AU525,INDEX((係数_バス貨物_ガソリン,係数_バス貨物_CNG,係数_バス貨物_軽油,係数_バス貨物_メタノール,係数_バス貨物_LPG),MATCH(AY525,【参考】排出係数!$AI$4:$AI$671,1),1,BE525):INDEX((係数_バス貨物_ガソリン,係数_バス貨物_CNG,係数_バス貨物_軽油,係数_バス貨物_メタノール,係数_バス貨物_LPG),MATCH(AY525+1,【参考】排出係数!$AI$4:$AI$671,1)-1,5,BE525),2,FALSE),IF(OR(AW525=1,AW525=2),VLOOKUP(AU525,INDEX((係数_乗用_ガソリン,係数_乗用_CNG,係数_乗用_軽油,係数_乗用_メタノール,係数_乗用_LPG),1,1,BE525):INDEX((係数_乗用_ガソリン,係数_乗用_CNG,係数_乗用_軽油,係数_乗用_メタノール,係数_乗用_LPG),125,5,BE525),2,FALSE))))))</f>
        <v/>
      </c>
      <c r="BB525" s="468" t="str">
        <f>IF(T525="","",IF(OR(AU525="",AU525="-"),"－",IF(OR(AZ525=8,AZ525=9),"",IF(OR(AW525=3,AW525=4,AW525=5,AW525=6),VLOOKUP(AU525,INDEX((係数_バス貨物_ガソリン,係数_バス貨物_CNG,係数_バス貨物_軽油,係数_バス貨物_メタノール,係数_バス貨物_LPG),MATCH(AY525,【参考】排出係数!$AI$4:$AI$671,1),1,BE525):INDEX((係数_バス貨物_ガソリン,係数_バス貨物_CNG,係数_バス貨物_軽油,係数_バス貨物_メタノール,係数_バス貨物_LPG),MATCH(AY525+1,【参考】排出係数!$AI$4:$AI$671,1)-1,5,BE525),3,FALSE),IF(OR(AW525=1,AW525=2),VLOOKUP(AU525,INDEX((係数_乗用_ガソリン,係数_乗用_CNG,係数_乗用_軽油,係数_乗用_メタノール,係数_乗用_LPG),1,1,BE525):INDEX((係数_乗用_ガソリン,係数_乗用_CNG,係数_乗用_軽油,係数_乗用_メタノール,係数_乗用_LPG),125,5,BE525),3,FALSE))))))</f>
        <v/>
      </c>
      <c r="BC525" s="467" t="str">
        <f t="shared" si="306"/>
        <v/>
      </c>
      <c r="BD525" s="567" t="str">
        <f t="shared" si="307"/>
        <v/>
      </c>
      <c r="BE525" s="467" t="str">
        <f t="shared" si="308"/>
        <v/>
      </c>
      <c r="BF525" s="469" t="str">
        <f t="shared" ca="1" si="309"/>
        <v/>
      </c>
      <c r="BG525" s="469" t="str">
        <f t="shared" ca="1" si="310"/>
        <v/>
      </c>
      <c r="BH525" s="467" t="str">
        <f t="shared" si="311"/>
        <v/>
      </c>
      <c r="BI525" s="467" t="str">
        <f t="shared" ca="1" si="312"/>
        <v/>
      </c>
      <c r="BJ525" s="469" t="str">
        <f t="shared" si="313"/>
        <v/>
      </c>
      <c r="BK525" s="470" t="str">
        <f t="shared" si="293"/>
        <v/>
      </c>
      <c r="BL525" s="775" t="str">
        <f t="shared" si="314"/>
        <v/>
      </c>
      <c r="BM525" s="775" t="str">
        <f t="shared" si="315"/>
        <v/>
      </c>
    </row>
    <row r="526" spans="1:65">
      <c r="A526" s="473">
        <v>470</v>
      </c>
      <c r="B526" s="132"/>
      <c r="C526" s="332"/>
      <c r="D526" s="333"/>
      <c r="E526" s="333"/>
      <c r="F526" s="334"/>
      <c r="G526" s="337"/>
      <c r="H526" s="131"/>
      <c r="I526" s="337"/>
      <c r="J526" s="131"/>
      <c r="K526" s="458" t="str">
        <f t="shared" si="282"/>
        <v/>
      </c>
      <c r="L526" s="458">
        <f t="shared" si="294"/>
        <v>0</v>
      </c>
      <c r="M526" s="458">
        <f t="shared" si="295"/>
        <v>0</v>
      </c>
      <c r="N526" s="459" t="str">
        <f t="shared" si="283"/>
        <v/>
      </c>
      <c r="O526" s="459" t="str">
        <f t="shared" si="284"/>
        <v/>
      </c>
      <c r="P526" s="459" t="str">
        <f t="shared" si="285"/>
        <v/>
      </c>
      <c r="Q526" s="459" t="str">
        <f t="shared" si="286"/>
        <v/>
      </c>
      <c r="R526" s="459" t="str">
        <f t="shared" si="287"/>
        <v/>
      </c>
      <c r="S526" s="459" t="str">
        <f t="shared" si="288"/>
        <v/>
      </c>
      <c r="T526" s="566" t="str">
        <f t="shared" si="296"/>
        <v/>
      </c>
      <c r="U526" s="702"/>
      <c r="V526" s="132"/>
      <c r="W526" s="133"/>
      <c r="X526" s="134"/>
      <c r="Y526" s="135"/>
      <c r="Z526" s="137"/>
      <c r="AA526" s="136"/>
      <c r="AB526" s="566" t="str">
        <f t="shared" si="289"/>
        <v/>
      </c>
      <c r="AC526" s="568" t="str">
        <f t="shared" si="297"/>
        <v/>
      </c>
      <c r="AD526" s="137"/>
      <c r="AE526" s="137"/>
      <c r="AF526" s="138"/>
      <c r="AG526" s="138"/>
      <c r="AH526" s="592" t="str">
        <f t="shared" si="290"/>
        <v/>
      </c>
      <c r="AI526" s="592" t="str">
        <f t="shared" si="291"/>
        <v/>
      </c>
      <c r="AJ526" s="592" t="str">
        <f t="shared" si="292"/>
        <v/>
      </c>
      <c r="AK526" s="460" t="str">
        <f>IF(AU526="","",IF(OR(AZ526=8,AZ526=9),0,IF(OR(AW526=3,AW526=4,AW526=5,AW526=6),IF(LEFT(BF526,1)="1",INDEX(係数_NOX・PM低減,MATCH(AY526,【参考】排出係数!$AI$801:$AI$804,1),1),VLOOKUP(AU526,INDEX((係数_バス貨物_ガソリン,係数_バス貨物_CNG,係数_バス貨物_軽油,係数_バス貨物_メタノール,係数_バス貨物_LPG),MATCH(AY526,【参考】排出係数!$AI$4:$AI$671,1),1,BE526):INDEX((係数_バス貨物_ガソリン,係数_バス貨物_CNG,係数_バス貨物_軽油,係数_バス貨物_メタノール,係数_バス貨物_LPG),MATCH(AY526+1,【参考】排出係数!$AI$4:$AI$671,1)-1,5,BE526),4,FALSE)),IF(AND(BE526=3,LEFT(BF526,1)="1"),0.48,VLOOKUP(AU526,INDEX((係数_乗用_ガソリン,係数_乗用_CNG,係数_乗用_軽油,係数_乗用_メタノール,係数_乗用_LPG),1,1,BE526):INDEX((係数_乗用_ガソリン,係数_乗用_CNG,係数_乗用_軽油,係数_乗用_メタノール,係数_乗用_LPG),125,5,BE526),4,FALSE)))))</f>
        <v/>
      </c>
      <c r="AL526" s="461" t="str">
        <f t="shared" si="316"/>
        <v/>
      </c>
      <c r="AM526" s="460" t="str">
        <f>IF(AU526="","",IF(OR(AZ526=8,AZ526=9),0,IF(OR(AW526=3,AW526=4,AW526=5,AW526=6),IF(LEFT(BH526,1)="1",INDEX(係数_PM低減,MATCH(AY526,【参考】排出係数!$AI$801:$AI$804,1),MATCH(BI526,【参考】排出係数!$AL$798:$AO$798,1)),VLOOKUP(AU526,INDEX((係数_バス貨物_ガソリン,係数_バス貨物_CNG,係数_バス貨物_軽油,係数_バス貨物_メタノール,係数_バス貨物_LPG),MATCH(AY526,【参考】排出係数!$AI$4:$AI$671,1),1,BE526):INDEX((係数_バス貨物_ガソリン,係数_バス貨物_CNG,係数_バス貨物_軽油,係数_バス貨物_メタノール,係数_バス貨物_LPG),MATCH(AY526+1,【参考】排出係数!$AI$4:$AI$671,1)-1,5,BE526),5,FALSE)),IF(AND(BE526=3,LEFT(BF526,1)="1"),0.055,VLOOKUP(AU526,INDEX((係数_乗用_ガソリン,係数_乗用_CNG,係数_乗用_軽油,係数_乗用_メタノール,係数_乗用_LPG),1,1,BE526):INDEX((係数_乗用_ガソリン,係数_乗用_CNG,係数_乗用_軽油,係数_乗用_メタノール,係数_乗用_LPG),125,5,BE526),5,FALSE)))))</f>
        <v/>
      </c>
      <c r="AN526" s="461" t="str">
        <f t="shared" si="317"/>
        <v/>
      </c>
      <c r="AO526" s="462" t="str">
        <f t="shared" si="318"/>
        <v/>
      </c>
      <c r="AP526" s="463" t="str">
        <f t="shared" si="319"/>
        <v/>
      </c>
      <c r="AQ526" s="464"/>
      <c r="AR526" s="619"/>
      <c r="AS526" s="465" t="str">
        <f t="shared" si="298"/>
        <v/>
      </c>
      <c r="AT526" s="465" t="str">
        <f t="shared" si="299"/>
        <v/>
      </c>
      <c r="AU526" s="466" t="str">
        <f t="shared" si="300"/>
        <v/>
      </c>
      <c r="AV526" s="467" t="str">
        <f t="shared" si="301"/>
        <v/>
      </c>
      <c r="AW526" s="467" t="str">
        <f t="shared" si="302"/>
        <v/>
      </c>
      <c r="AX526" s="467" t="str">
        <f t="shared" si="303"/>
        <v/>
      </c>
      <c r="AY526" s="467" t="str">
        <f t="shared" si="304"/>
        <v/>
      </c>
      <c r="AZ526" s="467" t="str">
        <f t="shared" si="305"/>
        <v/>
      </c>
      <c r="BA526" s="468" t="str">
        <f>IF(AS526="","",IF(OR(AU526="",AU526="-"),"－",IF(OR(AZ526=8,AZ526=9),"",IF(OR(AW526=3,AW526=4,AW526=5,AW526=6),VLOOKUP(AU526,INDEX((係数_バス貨物_ガソリン,係数_バス貨物_CNG,係数_バス貨物_軽油,係数_バス貨物_メタノール,係数_バス貨物_LPG),MATCH(AY526,【参考】排出係数!$AI$4:$AI$671,1),1,BE526):INDEX((係数_バス貨物_ガソリン,係数_バス貨物_CNG,係数_バス貨物_軽油,係数_バス貨物_メタノール,係数_バス貨物_LPG),MATCH(AY526+1,【参考】排出係数!$AI$4:$AI$671,1)-1,5,BE526),2,FALSE),IF(OR(AW526=1,AW526=2),VLOOKUP(AU526,INDEX((係数_乗用_ガソリン,係数_乗用_CNG,係数_乗用_軽油,係数_乗用_メタノール,係数_乗用_LPG),1,1,BE526):INDEX((係数_乗用_ガソリン,係数_乗用_CNG,係数_乗用_軽油,係数_乗用_メタノール,係数_乗用_LPG),125,5,BE526),2,FALSE))))))</f>
        <v/>
      </c>
      <c r="BB526" s="468" t="str">
        <f>IF(T526="","",IF(OR(AU526="",AU526="-"),"－",IF(OR(AZ526=8,AZ526=9),"",IF(OR(AW526=3,AW526=4,AW526=5,AW526=6),VLOOKUP(AU526,INDEX((係数_バス貨物_ガソリン,係数_バス貨物_CNG,係数_バス貨物_軽油,係数_バス貨物_メタノール,係数_バス貨物_LPG),MATCH(AY526,【参考】排出係数!$AI$4:$AI$671,1),1,BE526):INDEX((係数_バス貨物_ガソリン,係数_バス貨物_CNG,係数_バス貨物_軽油,係数_バス貨物_メタノール,係数_バス貨物_LPG),MATCH(AY526+1,【参考】排出係数!$AI$4:$AI$671,1)-1,5,BE526),3,FALSE),IF(OR(AW526=1,AW526=2),VLOOKUP(AU526,INDEX((係数_乗用_ガソリン,係数_乗用_CNG,係数_乗用_軽油,係数_乗用_メタノール,係数_乗用_LPG),1,1,BE526):INDEX((係数_乗用_ガソリン,係数_乗用_CNG,係数_乗用_軽油,係数_乗用_メタノール,係数_乗用_LPG),125,5,BE526),3,FALSE))))))</f>
        <v/>
      </c>
      <c r="BC526" s="467" t="str">
        <f t="shared" si="306"/>
        <v/>
      </c>
      <c r="BD526" s="567" t="str">
        <f t="shared" si="307"/>
        <v/>
      </c>
      <c r="BE526" s="467" t="str">
        <f t="shared" si="308"/>
        <v/>
      </c>
      <c r="BF526" s="469" t="str">
        <f t="shared" ca="1" si="309"/>
        <v/>
      </c>
      <c r="BG526" s="469" t="str">
        <f t="shared" ca="1" si="310"/>
        <v/>
      </c>
      <c r="BH526" s="467" t="str">
        <f t="shared" si="311"/>
        <v/>
      </c>
      <c r="BI526" s="467" t="str">
        <f t="shared" ca="1" si="312"/>
        <v/>
      </c>
      <c r="BJ526" s="469" t="str">
        <f t="shared" si="313"/>
        <v/>
      </c>
      <c r="BK526" s="470" t="str">
        <f t="shared" si="293"/>
        <v/>
      </c>
      <c r="BL526" s="775" t="str">
        <f t="shared" si="314"/>
        <v/>
      </c>
      <c r="BM526" s="775" t="str">
        <f t="shared" si="315"/>
        <v/>
      </c>
    </row>
    <row r="527" spans="1:65">
      <c r="A527" s="473">
        <v>471</v>
      </c>
      <c r="B527" s="132"/>
      <c r="C527" s="332"/>
      <c r="D527" s="333"/>
      <c r="E527" s="333"/>
      <c r="F527" s="334"/>
      <c r="G527" s="337"/>
      <c r="H527" s="131"/>
      <c r="I527" s="337"/>
      <c r="J527" s="131"/>
      <c r="K527" s="458" t="str">
        <f t="shared" si="282"/>
        <v/>
      </c>
      <c r="L527" s="458">
        <f t="shared" si="294"/>
        <v>0</v>
      </c>
      <c r="M527" s="458">
        <f t="shared" si="295"/>
        <v>0</v>
      </c>
      <c r="N527" s="459" t="str">
        <f t="shared" si="283"/>
        <v/>
      </c>
      <c r="O527" s="459" t="str">
        <f t="shared" si="284"/>
        <v/>
      </c>
      <c r="P527" s="459" t="str">
        <f t="shared" si="285"/>
        <v/>
      </c>
      <c r="Q527" s="459" t="str">
        <f t="shared" si="286"/>
        <v/>
      </c>
      <c r="R527" s="459" t="str">
        <f t="shared" si="287"/>
        <v/>
      </c>
      <c r="S527" s="459" t="str">
        <f t="shared" si="288"/>
        <v/>
      </c>
      <c r="T527" s="566" t="str">
        <f t="shared" si="296"/>
        <v/>
      </c>
      <c r="U527" s="702"/>
      <c r="V527" s="132"/>
      <c r="W527" s="133"/>
      <c r="X527" s="134"/>
      <c r="Y527" s="135"/>
      <c r="Z527" s="137"/>
      <c r="AA527" s="136"/>
      <c r="AB527" s="566" t="str">
        <f t="shared" si="289"/>
        <v/>
      </c>
      <c r="AC527" s="568" t="str">
        <f t="shared" si="297"/>
        <v/>
      </c>
      <c r="AD527" s="137"/>
      <c r="AE527" s="137"/>
      <c r="AF527" s="138"/>
      <c r="AG527" s="138"/>
      <c r="AH527" s="592" t="str">
        <f t="shared" si="290"/>
        <v/>
      </c>
      <c r="AI527" s="592" t="str">
        <f t="shared" si="291"/>
        <v/>
      </c>
      <c r="AJ527" s="592" t="str">
        <f t="shared" si="292"/>
        <v/>
      </c>
      <c r="AK527" s="460" t="str">
        <f>IF(AU527="","",IF(OR(AZ527=8,AZ527=9),0,IF(OR(AW527=3,AW527=4,AW527=5,AW527=6),IF(LEFT(BF527,1)="1",INDEX(係数_NOX・PM低減,MATCH(AY527,【参考】排出係数!$AI$801:$AI$804,1),1),VLOOKUP(AU527,INDEX((係数_バス貨物_ガソリン,係数_バス貨物_CNG,係数_バス貨物_軽油,係数_バス貨物_メタノール,係数_バス貨物_LPG),MATCH(AY527,【参考】排出係数!$AI$4:$AI$671,1),1,BE527):INDEX((係数_バス貨物_ガソリン,係数_バス貨物_CNG,係数_バス貨物_軽油,係数_バス貨物_メタノール,係数_バス貨物_LPG),MATCH(AY527+1,【参考】排出係数!$AI$4:$AI$671,1)-1,5,BE527),4,FALSE)),IF(AND(BE527=3,LEFT(BF527,1)="1"),0.48,VLOOKUP(AU527,INDEX((係数_乗用_ガソリン,係数_乗用_CNG,係数_乗用_軽油,係数_乗用_メタノール,係数_乗用_LPG),1,1,BE527):INDEX((係数_乗用_ガソリン,係数_乗用_CNG,係数_乗用_軽油,係数_乗用_メタノール,係数_乗用_LPG),125,5,BE527),4,FALSE)))))</f>
        <v/>
      </c>
      <c r="AL527" s="461" t="str">
        <f t="shared" si="316"/>
        <v/>
      </c>
      <c r="AM527" s="460" t="str">
        <f>IF(AU527="","",IF(OR(AZ527=8,AZ527=9),0,IF(OR(AW527=3,AW527=4,AW527=5,AW527=6),IF(LEFT(BH527,1)="1",INDEX(係数_PM低減,MATCH(AY527,【参考】排出係数!$AI$801:$AI$804,1),MATCH(BI527,【参考】排出係数!$AL$798:$AO$798,1)),VLOOKUP(AU527,INDEX((係数_バス貨物_ガソリン,係数_バス貨物_CNG,係数_バス貨物_軽油,係数_バス貨物_メタノール,係数_バス貨物_LPG),MATCH(AY527,【参考】排出係数!$AI$4:$AI$671,1),1,BE527):INDEX((係数_バス貨物_ガソリン,係数_バス貨物_CNG,係数_バス貨物_軽油,係数_バス貨物_メタノール,係数_バス貨物_LPG),MATCH(AY527+1,【参考】排出係数!$AI$4:$AI$671,1)-1,5,BE527),5,FALSE)),IF(AND(BE527=3,LEFT(BF527,1)="1"),0.055,VLOOKUP(AU527,INDEX((係数_乗用_ガソリン,係数_乗用_CNG,係数_乗用_軽油,係数_乗用_メタノール,係数_乗用_LPG),1,1,BE527):INDEX((係数_乗用_ガソリン,係数_乗用_CNG,係数_乗用_軽油,係数_乗用_メタノール,係数_乗用_LPG),125,5,BE527),5,FALSE)))))</f>
        <v/>
      </c>
      <c r="AN527" s="461" t="str">
        <f t="shared" si="317"/>
        <v/>
      </c>
      <c r="AO527" s="462" t="str">
        <f t="shared" si="318"/>
        <v/>
      </c>
      <c r="AP527" s="463" t="str">
        <f t="shared" si="319"/>
        <v/>
      </c>
      <c r="AQ527" s="464"/>
      <c r="AR527" s="619"/>
      <c r="AS527" s="465" t="str">
        <f t="shared" si="298"/>
        <v/>
      </c>
      <c r="AT527" s="465" t="str">
        <f t="shared" si="299"/>
        <v/>
      </c>
      <c r="AU527" s="466" t="str">
        <f t="shared" si="300"/>
        <v/>
      </c>
      <c r="AV527" s="467" t="str">
        <f t="shared" si="301"/>
        <v/>
      </c>
      <c r="AW527" s="467" t="str">
        <f t="shared" si="302"/>
        <v/>
      </c>
      <c r="AX527" s="467" t="str">
        <f t="shared" si="303"/>
        <v/>
      </c>
      <c r="AY527" s="467" t="str">
        <f t="shared" si="304"/>
        <v/>
      </c>
      <c r="AZ527" s="467" t="str">
        <f t="shared" si="305"/>
        <v/>
      </c>
      <c r="BA527" s="468" t="str">
        <f>IF(AS527="","",IF(OR(AU527="",AU527="-"),"－",IF(OR(AZ527=8,AZ527=9),"",IF(OR(AW527=3,AW527=4,AW527=5,AW527=6),VLOOKUP(AU527,INDEX((係数_バス貨物_ガソリン,係数_バス貨物_CNG,係数_バス貨物_軽油,係数_バス貨物_メタノール,係数_バス貨物_LPG),MATCH(AY527,【参考】排出係数!$AI$4:$AI$671,1),1,BE527):INDEX((係数_バス貨物_ガソリン,係数_バス貨物_CNG,係数_バス貨物_軽油,係数_バス貨物_メタノール,係数_バス貨物_LPG),MATCH(AY527+1,【参考】排出係数!$AI$4:$AI$671,1)-1,5,BE527),2,FALSE),IF(OR(AW527=1,AW527=2),VLOOKUP(AU527,INDEX((係数_乗用_ガソリン,係数_乗用_CNG,係数_乗用_軽油,係数_乗用_メタノール,係数_乗用_LPG),1,1,BE527):INDEX((係数_乗用_ガソリン,係数_乗用_CNG,係数_乗用_軽油,係数_乗用_メタノール,係数_乗用_LPG),125,5,BE527),2,FALSE))))))</f>
        <v/>
      </c>
      <c r="BB527" s="468" t="str">
        <f>IF(T527="","",IF(OR(AU527="",AU527="-"),"－",IF(OR(AZ527=8,AZ527=9),"",IF(OR(AW527=3,AW527=4,AW527=5,AW527=6),VLOOKUP(AU527,INDEX((係数_バス貨物_ガソリン,係数_バス貨物_CNG,係数_バス貨物_軽油,係数_バス貨物_メタノール,係数_バス貨物_LPG),MATCH(AY527,【参考】排出係数!$AI$4:$AI$671,1),1,BE527):INDEX((係数_バス貨物_ガソリン,係数_バス貨物_CNG,係数_バス貨物_軽油,係数_バス貨物_メタノール,係数_バス貨物_LPG),MATCH(AY527+1,【参考】排出係数!$AI$4:$AI$671,1)-1,5,BE527),3,FALSE),IF(OR(AW527=1,AW527=2),VLOOKUP(AU527,INDEX((係数_乗用_ガソリン,係数_乗用_CNG,係数_乗用_軽油,係数_乗用_メタノール,係数_乗用_LPG),1,1,BE527):INDEX((係数_乗用_ガソリン,係数_乗用_CNG,係数_乗用_軽油,係数_乗用_メタノール,係数_乗用_LPG),125,5,BE527),3,FALSE))))))</f>
        <v/>
      </c>
      <c r="BC527" s="467" t="str">
        <f t="shared" si="306"/>
        <v/>
      </c>
      <c r="BD527" s="567" t="str">
        <f t="shared" si="307"/>
        <v/>
      </c>
      <c r="BE527" s="467" t="str">
        <f t="shared" si="308"/>
        <v/>
      </c>
      <c r="BF527" s="469" t="str">
        <f t="shared" ca="1" si="309"/>
        <v/>
      </c>
      <c r="BG527" s="469" t="str">
        <f t="shared" ca="1" si="310"/>
        <v/>
      </c>
      <c r="BH527" s="467" t="str">
        <f t="shared" si="311"/>
        <v/>
      </c>
      <c r="BI527" s="467" t="str">
        <f t="shared" ca="1" si="312"/>
        <v/>
      </c>
      <c r="BJ527" s="469" t="str">
        <f t="shared" si="313"/>
        <v/>
      </c>
      <c r="BK527" s="470" t="str">
        <f t="shared" si="293"/>
        <v/>
      </c>
      <c r="BL527" s="775" t="str">
        <f t="shared" si="314"/>
        <v/>
      </c>
      <c r="BM527" s="775" t="str">
        <f t="shared" si="315"/>
        <v/>
      </c>
    </row>
    <row r="528" spans="1:65">
      <c r="A528" s="473">
        <v>472</v>
      </c>
      <c r="B528" s="132"/>
      <c r="C528" s="332"/>
      <c r="D528" s="333"/>
      <c r="E528" s="333"/>
      <c r="F528" s="334"/>
      <c r="G528" s="337"/>
      <c r="H528" s="131"/>
      <c r="I528" s="337"/>
      <c r="J528" s="131"/>
      <c r="K528" s="458" t="str">
        <f t="shared" si="282"/>
        <v/>
      </c>
      <c r="L528" s="458">
        <f t="shared" si="294"/>
        <v>0</v>
      </c>
      <c r="M528" s="458">
        <f t="shared" si="295"/>
        <v>0</v>
      </c>
      <c r="N528" s="459" t="str">
        <f t="shared" si="283"/>
        <v/>
      </c>
      <c r="O528" s="459" t="str">
        <f t="shared" si="284"/>
        <v/>
      </c>
      <c r="P528" s="459" t="str">
        <f t="shared" si="285"/>
        <v/>
      </c>
      <c r="Q528" s="459" t="str">
        <f t="shared" si="286"/>
        <v/>
      </c>
      <c r="R528" s="459" t="str">
        <f t="shared" si="287"/>
        <v/>
      </c>
      <c r="S528" s="459" t="str">
        <f t="shared" si="288"/>
        <v/>
      </c>
      <c r="T528" s="566" t="str">
        <f t="shared" si="296"/>
        <v/>
      </c>
      <c r="U528" s="702"/>
      <c r="V528" s="132"/>
      <c r="W528" s="133"/>
      <c r="X528" s="134"/>
      <c r="Y528" s="135"/>
      <c r="Z528" s="137"/>
      <c r="AA528" s="136"/>
      <c r="AB528" s="566" t="str">
        <f t="shared" si="289"/>
        <v/>
      </c>
      <c r="AC528" s="568" t="str">
        <f t="shared" si="297"/>
        <v/>
      </c>
      <c r="AD528" s="137"/>
      <c r="AE528" s="137"/>
      <c r="AF528" s="138"/>
      <c r="AG528" s="138"/>
      <c r="AH528" s="592" t="str">
        <f t="shared" si="290"/>
        <v/>
      </c>
      <c r="AI528" s="592" t="str">
        <f t="shared" si="291"/>
        <v/>
      </c>
      <c r="AJ528" s="592" t="str">
        <f t="shared" si="292"/>
        <v/>
      </c>
      <c r="AK528" s="460" t="str">
        <f>IF(AU528="","",IF(OR(AZ528=8,AZ528=9),0,IF(OR(AW528=3,AW528=4,AW528=5,AW528=6),IF(LEFT(BF528,1)="1",INDEX(係数_NOX・PM低減,MATCH(AY528,【参考】排出係数!$AI$801:$AI$804,1),1),VLOOKUP(AU528,INDEX((係数_バス貨物_ガソリン,係数_バス貨物_CNG,係数_バス貨物_軽油,係数_バス貨物_メタノール,係数_バス貨物_LPG),MATCH(AY528,【参考】排出係数!$AI$4:$AI$671,1),1,BE528):INDEX((係数_バス貨物_ガソリン,係数_バス貨物_CNG,係数_バス貨物_軽油,係数_バス貨物_メタノール,係数_バス貨物_LPG),MATCH(AY528+1,【参考】排出係数!$AI$4:$AI$671,1)-1,5,BE528),4,FALSE)),IF(AND(BE528=3,LEFT(BF528,1)="1"),0.48,VLOOKUP(AU528,INDEX((係数_乗用_ガソリン,係数_乗用_CNG,係数_乗用_軽油,係数_乗用_メタノール,係数_乗用_LPG),1,1,BE528):INDEX((係数_乗用_ガソリン,係数_乗用_CNG,係数_乗用_軽油,係数_乗用_メタノール,係数_乗用_LPG),125,5,BE528),4,FALSE)))))</f>
        <v/>
      </c>
      <c r="AL528" s="461" t="str">
        <f t="shared" si="316"/>
        <v/>
      </c>
      <c r="AM528" s="460" t="str">
        <f>IF(AU528="","",IF(OR(AZ528=8,AZ528=9),0,IF(OR(AW528=3,AW528=4,AW528=5,AW528=6),IF(LEFT(BH528,1)="1",INDEX(係数_PM低減,MATCH(AY528,【参考】排出係数!$AI$801:$AI$804,1),MATCH(BI528,【参考】排出係数!$AL$798:$AO$798,1)),VLOOKUP(AU528,INDEX((係数_バス貨物_ガソリン,係数_バス貨物_CNG,係数_バス貨物_軽油,係数_バス貨物_メタノール,係数_バス貨物_LPG),MATCH(AY528,【参考】排出係数!$AI$4:$AI$671,1),1,BE528):INDEX((係数_バス貨物_ガソリン,係数_バス貨物_CNG,係数_バス貨物_軽油,係数_バス貨物_メタノール,係数_バス貨物_LPG),MATCH(AY528+1,【参考】排出係数!$AI$4:$AI$671,1)-1,5,BE528),5,FALSE)),IF(AND(BE528=3,LEFT(BF528,1)="1"),0.055,VLOOKUP(AU528,INDEX((係数_乗用_ガソリン,係数_乗用_CNG,係数_乗用_軽油,係数_乗用_メタノール,係数_乗用_LPG),1,1,BE528):INDEX((係数_乗用_ガソリン,係数_乗用_CNG,係数_乗用_軽油,係数_乗用_メタノール,係数_乗用_LPG),125,5,BE528),5,FALSE)))))</f>
        <v/>
      </c>
      <c r="AN528" s="461" t="str">
        <f t="shared" si="317"/>
        <v/>
      </c>
      <c r="AO528" s="462" t="str">
        <f t="shared" si="318"/>
        <v/>
      </c>
      <c r="AP528" s="463" t="str">
        <f t="shared" si="319"/>
        <v/>
      </c>
      <c r="AQ528" s="464"/>
      <c r="AR528" s="619"/>
      <c r="AS528" s="465" t="str">
        <f t="shared" si="298"/>
        <v/>
      </c>
      <c r="AT528" s="465" t="str">
        <f t="shared" si="299"/>
        <v/>
      </c>
      <c r="AU528" s="466" t="str">
        <f t="shared" si="300"/>
        <v/>
      </c>
      <c r="AV528" s="467" t="str">
        <f t="shared" si="301"/>
        <v/>
      </c>
      <c r="AW528" s="467" t="str">
        <f t="shared" si="302"/>
        <v/>
      </c>
      <c r="AX528" s="467" t="str">
        <f t="shared" si="303"/>
        <v/>
      </c>
      <c r="AY528" s="467" t="str">
        <f t="shared" si="304"/>
        <v/>
      </c>
      <c r="AZ528" s="467" t="str">
        <f t="shared" si="305"/>
        <v/>
      </c>
      <c r="BA528" s="468" t="str">
        <f>IF(AS528="","",IF(OR(AU528="",AU528="-"),"－",IF(OR(AZ528=8,AZ528=9),"",IF(OR(AW528=3,AW528=4,AW528=5,AW528=6),VLOOKUP(AU528,INDEX((係数_バス貨物_ガソリン,係数_バス貨物_CNG,係数_バス貨物_軽油,係数_バス貨物_メタノール,係数_バス貨物_LPG),MATCH(AY528,【参考】排出係数!$AI$4:$AI$671,1),1,BE528):INDEX((係数_バス貨物_ガソリン,係数_バス貨物_CNG,係数_バス貨物_軽油,係数_バス貨物_メタノール,係数_バス貨物_LPG),MATCH(AY528+1,【参考】排出係数!$AI$4:$AI$671,1)-1,5,BE528),2,FALSE),IF(OR(AW528=1,AW528=2),VLOOKUP(AU528,INDEX((係数_乗用_ガソリン,係数_乗用_CNG,係数_乗用_軽油,係数_乗用_メタノール,係数_乗用_LPG),1,1,BE528):INDEX((係数_乗用_ガソリン,係数_乗用_CNG,係数_乗用_軽油,係数_乗用_メタノール,係数_乗用_LPG),125,5,BE528),2,FALSE))))))</f>
        <v/>
      </c>
      <c r="BB528" s="468" t="str">
        <f>IF(T528="","",IF(OR(AU528="",AU528="-"),"－",IF(OR(AZ528=8,AZ528=9),"",IF(OR(AW528=3,AW528=4,AW528=5,AW528=6),VLOOKUP(AU528,INDEX((係数_バス貨物_ガソリン,係数_バス貨物_CNG,係数_バス貨物_軽油,係数_バス貨物_メタノール,係数_バス貨物_LPG),MATCH(AY528,【参考】排出係数!$AI$4:$AI$671,1),1,BE528):INDEX((係数_バス貨物_ガソリン,係数_バス貨物_CNG,係数_バス貨物_軽油,係数_バス貨物_メタノール,係数_バス貨物_LPG),MATCH(AY528+1,【参考】排出係数!$AI$4:$AI$671,1)-1,5,BE528),3,FALSE),IF(OR(AW528=1,AW528=2),VLOOKUP(AU528,INDEX((係数_乗用_ガソリン,係数_乗用_CNG,係数_乗用_軽油,係数_乗用_メタノール,係数_乗用_LPG),1,1,BE528):INDEX((係数_乗用_ガソリン,係数_乗用_CNG,係数_乗用_軽油,係数_乗用_メタノール,係数_乗用_LPG),125,5,BE528),3,FALSE))))))</f>
        <v/>
      </c>
      <c r="BC528" s="467" t="str">
        <f t="shared" si="306"/>
        <v/>
      </c>
      <c r="BD528" s="567" t="str">
        <f t="shared" si="307"/>
        <v/>
      </c>
      <c r="BE528" s="467" t="str">
        <f t="shared" si="308"/>
        <v/>
      </c>
      <c r="BF528" s="469" t="str">
        <f t="shared" ca="1" si="309"/>
        <v/>
      </c>
      <c r="BG528" s="469" t="str">
        <f t="shared" ca="1" si="310"/>
        <v/>
      </c>
      <c r="BH528" s="467" t="str">
        <f t="shared" si="311"/>
        <v/>
      </c>
      <c r="BI528" s="467" t="str">
        <f t="shared" ca="1" si="312"/>
        <v/>
      </c>
      <c r="BJ528" s="469" t="str">
        <f t="shared" si="313"/>
        <v/>
      </c>
      <c r="BK528" s="470" t="str">
        <f t="shared" si="293"/>
        <v/>
      </c>
      <c r="BL528" s="775" t="str">
        <f t="shared" si="314"/>
        <v/>
      </c>
      <c r="BM528" s="775" t="str">
        <f t="shared" si="315"/>
        <v/>
      </c>
    </row>
    <row r="529" spans="1:65">
      <c r="A529" s="473">
        <v>473</v>
      </c>
      <c r="B529" s="132"/>
      <c r="C529" s="332"/>
      <c r="D529" s="333"/>
      <c r="E529" s="333"/>
      <c r="F529" s="334"/>
      <c r="G529" s="337"/>
      <c r="H529" s="131"/>
      <c r="I529" s="337"/>
      <c r="J529" s="131"/>
      <c r="K529" s="458" t="str">
        <f t="shared" si="282"/>
        <v/>
      </c>
      <c r="L529" s="458">
        <f t="shared" si="294"/>
        <v>0</v>
      </c>
      <c r="M529" s="458">
        <f t="shared" si="295"/>
        <v>0</v>
      </c>
      <c r="N529" s="459" t="str">
        <f t="shared" si="283"/>
        <v/>
      </c>
      <c r="O529" s="459" t="str">
        <f t="shared" si="284"/>
        <v/>
      </c>
      <c r="P529" s="459" t="str">
        <f t="shared" si="285"/>
        <v/>
      </c>
      <c r="Q529" s="459" t="str">
        <f t="shared" si="286"/>
        <v/>
      </c>
      <c r="R529" s="459" t="str">
        <f t="shared" si="287"/>
        <v/>
      </c>
      <c r="S529" s="459" t="str">
        <f t="shared" si="288"/>
        <v/>
      </c>
      <c r="T529" s="566" t="str">
        <f t="shared" si="296"/>
        <v/>
      </c>
      <c r="U529" s="702"/>
      <c r="V529" s="132"/>
      <c r="W529" s="133"/>
      <c r="X529" s="134"/>
      <c r="Y529" s="135"/>
      <c r="Z529" s="137"/>
      <c r="AA529" s="136"/>
      <c r="AB529" s="566" t="str">
        <f t="shared" si="289"/>
        <v/>
      </c>
      <c r="AC529" s="568" t="str">
        <f t="shared" si="297"/>
        <v/>
      </c>
      <c r="AD529" s="137"/>
      <c r="AE529" s="137"/>
      <c r="AF529" s="138"/>
      <c r="AG529" s="138"/>
      <c r="AH529" s="592" t="str">
        <f t="shared" si="290"/>
        <v/>
      </c>
      <c r="AI529" s="592" t="str">
        <f t="shared" si="291"/>
        <v/>
      </c>
      <c r="AJ529" s="592" t="str">
        <f t="shared" si="292"/>
        <v/>
      </c>
      <c r="AK529" s="460" t="str">
        <f>IF(AU529="","",IF(OR(AZ529=8,AZ529=9),0,IF(OR(AW529=3,AW529=4,AW529=5,AW529=6),IF(LEFT(BF529,1)="1",INDEX(係数_NOX・PM低減,MATCH(AY529,【参考】排出係数!$AI$801:$AI$804,1),1),VLOOKUP(AU529,INDEX((係数_バス貨物_ガソリン,係数_バス貨物_CNG,係数_バス貨物_軽油,係数_バス貨物_メタノール,係数_バス貨物_LPG),MATCH(AY529,【参考】排出係数!$AI$4:$AI$671,1),1,BE529):INDEX((係数_バス貨物_ガソリン,係数_バス貨物_CNG,係数_バス貨物_軽油,係数_バス貨物_メタノール,係数_バス貨物_LPG),MATCH(AY529+1,【参考】排出係数!$AI$4:$AI$671,1)-1,5,BE529),4,FALSE)),IF(AND(BE529=3,LEFT(BF529,1)="1"),0.48,VLOOKUP(AU529,INDEX((係数_乗用_ガソリン,係数_乗用_CNG,係数_乗用_軽油,係数_乗用_メタノール,係数_乗用_LPG),1,1,BE529):INDEX((係数_乗用_ガソリン,係数_乗用_CNG,係数_乗用_軽油,係数_乗用_メタノール,係数_乗用_LPG),125,5,BE529),4,FALSE)))))</f>
        <v/>
      </c>
      <c r="AL529" s="461" t="str">
        <f t="shared" si="316"/>
        <v/>
      </c>
      <c r="AM529" s="460" t="str">
        <f>IF(AU529="","",IF(OR(AZ529=8,AZ529=9),0,IF(OR(AW529=3,AW529=4,AW529=5,AW529=6),IF(LEFT(BH529,1)="1",INDEX(係数_PM低減,MATCH(AY529,【参考】排出係数!$AI$801:$AI$804,1),MATCH(BI529,【参考】排出係数!$AL$798:$AO$798,1)),VLOOKUP(AU529,INDEX((係数_バス貨物_ガソリン,係数_バス貨物_CNG,係数_バス貨物_軽油,係数_バス貨物_メタノール,係数_バス貨物_LPG),MATCH(AY529,【参考】排出係数!$AI$4:$AI$671,1),1,BE529):INDEX((係数_バス貨物_ガソリン,係数_バス貨物_CNG,係数_バス貨物_軽油,係数_バス貨物_メタノール,係数_バス貨物_LPG),MATCH(AY529+1,【参考】排出係数!$AI$4:$AI$671,1)-1,5,BE529),5,FALSE)),IF(AND(BE529=3,LEFT(BF529,1)="1"),0.055,VLOOKUP(AU529,INDEX((係数_乗用_ガソリン,係数_乗用_CNG,係数_乗用_軽油,係数_乗用_メタノール,係数_乗用_LPG),1,1,BE529):INDEX((係数_乗用_ガソリン,係数_乗用_CNG,係数_乗用_軽油,係数_乗用_メタノール,係数_乗用_LPG),125,5,BE529),5,FALSE)))))</f>
        <v/>
      </c>
      <c r="AN529" s="461" t="str">
        <f t="shared" si="317"/>
        <v/>
      </c>
      <c r="AO529" s="462" t="str">
        <f t="shared" si="318"/>
        <v/>
      </c>
      <c r="AP529" s="463" t="str">
        <f t="shared" si="319"/>
        <v/>
      </c>
      <c r="AQ529" s="464"/>
      <c r="AR529" s="619"/>
      <c r="AS529" s="465" t="str">
        <f t="shared" si="298"/>
        <v/>
      </c>
      <c r="AT529" s="465" t="str">
        <f t="shared" si="299"/>
        <v/>
      </c>
      <c r="AU529" s="466" t="str">
        <f t="shared" si="300"/>
        <v/>
      </c>
      <c r="AV529" s="467" t="str">
        <f t="shared" si="301"/>
        <v/>
      </c>
      <c r="AW529" s="467" t="str">
        <f t="shared" si="302"/>
        <v/>
      </c>
      <c r="AX529" s="467" t="str">
        <f t="shared" si="303"/>
        <v/>
      </c>
      <c r="AY529" s="467" t="str">
        <f t="shared" si="304"/>
        <v/>
      </c>
      <c r="AZ529" s="467" t="str">
        <f t="shared" si="305"/>
        <v/>
      </c>
      <c r="BA529" s="468" t="str">
        <f>IF(AS529="","",IF(OR(AU529="",AU529="-"),"－",IF(OR(AZ529=8,AZ529=9),"",IF(OR(AW529=3,AW529=4,AW529=5,AW529=6),VLOOKUP(AU529,INDEX((係数_バス貨物_ガソリン,係数_バス貨物_CNG,係数_バス貨物_軽油,係数_バス貨物_メタノール,係数_バス貨物_LPG),MATCH(AY529,【参考】排出係数!$AI$4:$AI$671,1),1,BE529):INDEX((係数_バス貨物_ガソリン,係数_バス貨物_CNG,係数_バス貨物_軽油,係数_バス貨物_メタノール,係数_バス貨物_LPG),MATCH(AY529+1,【参考】排出係数!$AI$4:$AI$671,1)-1,5,BE529),2,FALSE),IF(OR(AW529=1,AW529=2),VLOOKUP(AU529,INDEX((係数_乗用_ガソリン,係数_乗用_CNG,係数_乗用_軽油,係数_乗用_メタノール,係数_乗用_LPG),1,1,BE529):INDEX((係数_乗用_ガソリン,係数_乗用_CNG,係数_乗用_軽油,係数_乗用_メタノール,係数_乗用_LPG),125,5,BE529),2,FALSE))))))</f>
        <v/>
      </c>
      <c r="BB529" s="468" t="str">
        <f>IF(T529="","",IF(OR(AU529="",AU529="-"),"－",IF(OR(AZ529=8,AZ529=9),"",IF(OR(AW529=3,AW529=4,AW529=5,AW529=6),VLOOKUP(AU529,INDEX((係数_バス貨物_ガソリン,係数_バス貨物_CNG,係数_バス貨物_軽油,係数_バス貨物_メタノール,係数_バス貨物_LPG),MATCH(AY529,【参考】排出係数!$AI$4:$AI$671,1),1,BE529):INDEX((係数_バス貨物_ガソリン,係数_バス貨物_CNG,係数_バス貨物_軽油,係数_バス貨物_メタノール,係数_バス貨物_LPG),MATCH(AY529+1,【参考】排出係数!$AI$4:$AI$671,1)-1,5,BE529),3,FALSE),IF(OR(AW529=1,AW529=2),VLOOKUP(AU529,INDEX((係数_乗用_ガソリン,係数_乗用_CNG,係数_乗用_軽油,係数_乗用_メタノール,係数_乗用_LPG),1,1,BE529):INDEX((係数_乗用_ガソリン,係数_乗用_CNG,係数_乗用_軽油,係数_乗用_メタノール,係数_乗用_LPG),125,5,BE529),3,FALSE))))))</f>
        <v/>
      </c>
      <c r="BC529" s="467" t="str">
        <f t="shared" si="306"/>
        <v/>
      </c>
      <c r="BD529" s="567" t="str">
        <f t="shared" si="307"/>
        <v/>
      </c>
      <c r="BE529" s="467" t="str">
        <f t="shared" si="308"/>
        <v/>
      </c>
      <c r="BF529" s="469" t="str">
        <f t="shared" ca="1" si="309"/>
        <v/>
      </c>
      <c r="BG529" s="469" t="str">
        <f t="shared" ca="1" si="310"/>
        <v/>
      </c>
      <c r="BH529" s="467" t="str">
        <f t="shared" si="311"/>
        <v/>
      </c>
      <c r="BI529" s="467" t="str">
        <f t="shared" ca="1" si="312"/>
        <v/>
      </c>
      <c r="BJ529" s="469" t="str">
        <f t="shared" si="313"/>
        <v/>
      </c>
      <c r="BK529" s="470" t="str">
        <f t="shared" si="293"/>
        <v/>
      </c>
      <c r="BL529" s="775" t="str">
        <f t="shared" si="314"/>
        <v/>
      </c>
      <c r="BM529" s="775" t="str">
        <f t="shared" si="315"/>
        <v/>
      </c>
    </row>
    <row r="530" spans="1:65">
      <c r="A530" s="473">
        <v>474</v>
      </c>
      <c r="B530" s="132"/>
      <c r="C530" s="332"/>
      <c r="D530" s="333"/>
      <c r="E530" s="333"/>
      <c r="F530" s="334"/>
      <c r="G530" s="337"/>
      <c r="H530" s="131"/>
      <c r="I530" s="337"/>
      <c r="J530" s="131"/>
      <c r="K530" s="458" t="str">
        <f t="shared" si="282"/>
        <v/>
      </c>
      <c r="L530" s="458">
        <f t="shared" si="294"/>
        <v>0</v>
      </c>
      <c r="M530" s="458">
        <f t="shared" si="295"/>
        <v>0</v>
      </c>
      <c r="N530" s="459" t="str">
        <f t="shared" si="283"/>
        <v/>
      </c>
      <c r="O530" s="459" t="str">
        <f t="shared" si="284"/>
        <v/>
      </c>
      <c r="P530" s="459" t="str">
        <f t="shared" si="285"/>
        <v/>
      </c>
      <c r="Q530" s="459" t="str">
        <f t="shared" si="286"/>
        <v/>
      </c>
      <c r="R530" s="459" t="str">
        <f t="shared" si="287"/>
        <v/>
      </c>
      <c r="S530" s="459" t="str">
        <f t="shared" si="288"/>
        <v/>
      </c>
      <c r="T530" s="566" t="str">
        <f t="shared" si="296"/>
        <v/>
      </c>
      <c r="U530" s="702"/>
      <c r="V530" s="132"/>
      <c r="W530" s="133"/>
      <c r="X530" s="134"/>
      <c r="Y530" s="135"/>
      <c r="Z530" s="137"/>
      <c r="AA530" s="136"/>
      <c r="AB530" s="566" t="str">
        <f t="shared" si="289"/>
        <v/>
      </c>
      <c r="AC530" s="568" t="str">
        <f t="shared" si="297"/>
        <v/>
      </c>
      <c r="AD530" s="137"/>
      <c r="AE530" s="137"/>
      <c r="AF530" s="138"/>
      <c r="AG530" s="138"/>
      <c r="AH530" s="592" t="str">
        <f t="shared" si="290"/>
        <v/>
      </c>
      <c r="AI530" s="592" t="str">
        <f t="shared" si="291"/>
        <v/>
      </c>
      <c r="AJ530" s="592" t="str">
        <f t="shared" si="292"/>
        <v/>
      </c>
      <c r="AK530" s="460" t="str">
        <f>IF(AU530="","",IF(OR(AZ530=8,AZ530=9),0,IF(OR(AW530=3,AW530=4,AW530=5,AW530=6),IF(LEFT(BF530,1)="1",INDEX(係数_NOX・PM低減,MATCH(AY530,【参考】排出係数!$AI$801:$AI$804,1),1),VLOOKUP(AU530,INDEX((係数_バス貨物_ガソリン,係数_バス貨物_CNG,係数_バス貨物_軽油,係数_バス貨物_メタノール,係数_バス貨物_LPG),MATCH(AY530,【参考】排出係数!$AI$4:$AI$671,1),1,BE530):INDEX((係数_バス貨物_ガソリン,係数_バス貨物_CNG,係数_バス貨物_軽油,係数_バス貨物_メタノール,係数_バス貨物_LPG),MATCH(AY530+1,【参考】排出係数!$AI$4:$AI$671,1)-1,5,BE530),4,FALSE)),IF(AND(BE530=3,LEFT(BF530,1)="1"),0.48,VLOOKUP(AU530,INDEX((係数_乗用_ガソリン,係数_乗用_CNG,係数_乗用_軽油,係数_乗用_メタノール,係数_乗用_LPG),1,1,BE530):INDEX((係数_乗用_ガソリン,係数_乗用_CNG,係数_乗用_軽油,係数_乗用_メタノール,係数_乗用_LPG),125,5,BE530),4,FALSE)))))</f>
        <v/>
      </c>
      <c r="AL530" s="461" t="str">
        <f t="shared" si="316"/>
        <v/>
      </c>
      <c r="AM530" s="460" t="str">
        <f>IF(AU530="","",IF(OR(AZ530=8,AZ530=9),0,IF(OR(AW530=3,AW530=4,AW530=5,AW530=6),IF(LEFT(BH530,1)="1",INDEX(係数_PM低減,MATCH(AY530,【参考】排出係数!$AI$801:$AI$804,1),MATCH(BI530,【参考】排出係数!$AL$798:$AO$798,1)),VLOOKUP(AU530,INDEX((係数_バス貨物_ガソリン,係数_バス貨物_CNG,係数_バス貨物_軽油,係数_バス貨物_メタノール,係数_バス貨物_LPG),MATCH(AY530,【参考】排出係数!$AI$4:$AI$671,1),1,BE530):INDEX((係数_バス貨物_ガソリン,係数_バス貨物_CNG,係数_バス貨物_軽油,係数_バス貨物_メタノール,係数_バス貨物_LPG),MATCH(AY530+1,【参考】排出係数!$AI$4:$AI$671,1)-1,5,BE530),5,FALSE)),IF(AND(BE530=3,LEFT(BF530,1)="1"),0.055,VLOOKUP(AU530,INDEX((係数_乗用_ガソリン,係数_乗用_CNG,係数_乗用_軽油,係数_乗用_メタノール,係数_乗用_LPG),1,1,BE530):INDEX((係数_乗用_ガソリン,係数_乗用_CNG,係数_乗用_軽油,係数_乗用_メタノール,係数_乗用_LPG),125,5,BE530),5,FALSE)))))</f>
        <v/>
      </c>
      <c r="AN530" s="461" t="str">
        <f t="shared" si="317"/>
        <v/>
      </c>
      <c r="AO530" s="462" t="str">
        <f t="shared" si="318"/>
        <v/>
      </c>
      <c r="AP530" s="463" t="str">
        <f t="shared" si="319"/>
        <v/>
      </c>
      <c r="AQ530" s="464"/>
      <c r="AR530" s="619"/>
      <c r="AS530" s="465" t="str">
        <f t="shared" si="298"/>
        <v/>
      </c>
      <c r="AT530" s="465" t="str">
        <f t="shared" si="299"/>
        <v/>
      </c>
      <c r="AU530" s="466" t="str">
        <f t="shared" si="300"/>
        <v/>
      </c>
      <c r="AV530" s="467" t="str">
        <f t="shared" si="301"/>
        <v/>
      </c>
      <c r="AW530" s="467" t="str">
        <f t="shared" si="302"/>
        <v/>
      </c>
      <c r="AX530" s="467" t="str">
        <f t="shared" si="303"/>
        <v/>
      </c>
      <c r="AY530" s="467" t="str">
        <f t="shared" si="304"/>
        <v/>
      </c>
      <c r="AZ530" s="467" t="str">
        <f t="shared" si="305"/>
        <v/>
      </c>
      <c r="BA530" s="468" t="str">
        <f>IF(AS530="","",IF(OR(AU530="",AU530="-"),"－",IF(OR(AZ530=8,AZ530=9),"",IF(OR(AW530=3,AW530=4,AW530=5,AW530=6),VLOOKUP(AU530,INDEX((係数_バス貨物_ガソリン,係数_バス貨物_CNG,係数_バス貨物_軽油,係数_バス貨物_メタノール,係数_バス貨物_LPG),MATCH(AY530,【参考】排出係数!$AI$4:$AI$671,1),1,BE530):INDEX((係数_バス貨物_ガソリン,係数_バス貨物_CNG,係数_バス貨物_軽油,係数_バス貨物_メタノール,係数_バス貨物_LPG),MATCH(AY530+1,【参考】排出係数!$AI$4:$AI$671,1)-1,5,BE530),2,FALSE),IF(OR(AW530=1,AW530=2),VLOOKUP(AU530,INDEX((係数_乗用_ガソリン,係数_乗用_CNG,係数_乗用_軽油,係数_乗用_メタノール,係数_乗用_LPG),1,1,BE530):INDEX((係数_乗用_ガソリン,係数_乗用_CNG,係数_乗用_軽油,係数_乗用_メタノール,係数_乗用_LPG),125,5,BE530),2,FALSE))))))</f>
        <v/>
      </c>
      <c r="BB530" s="468" t="str">
        <f>IF(T530="","",IF(OR(AU530="",AU530="-"),"－",IF(OR(AZ530=8,AZ530=9),"",IF(OR(AW530=3,AW530=4,AW530=5,AW530=6),VLOOKUP(AU530,INDEX((係数_バス貨物_ガソリン,係数_バス貨物_CNG,係数_バス貨物_軽油,係数_バス貨物_メタノール,係数_バス貨物_LPG),MATCH(AY530,【参考】排出係数!$AI$4:$AI$671,1),1,BE530):INDEX((係数_バス貨物_ガソリン,係数_バス貨物_CNG,係数_バス貨物_軽油,係数_バス貨物_メタノール,係数_バス貨物_LPG),MATCH(AY530+1,【参考】排出係数!$AI$4:$AI$671,1)-1,5,BE530),3,FALSE),IF(OR(AW530=1,AW530=2),VLOOKUP(AU530,INDEX((係数_乗用_ガソリン,係数_乗用_CNG,係数_乗用_軽油,係数_乗用_メタノール,係数_乗用_LPG),1,1,BE530):INDEX((係数_乗用_ガソリン,係数_乗用_CNG,係数_乗用_軽油,係数_乗用_メタノール,係数_乗用_LPG),125,5,BE530),3,FALSE))))))</f>
        <v/>
      </c>
      <c r="BC530" s="467" t="str">
        <f t="shared" si="306"/>
        <v/>
      </c>
      <c r="BD530" s="567" t="str">
        <f t="shared" si="307"/>
        <v/>
      </c>
      <c r="BE530" s="467" t="str">
        <f t="shared" si="308"/>
        <v/>
      </c>
      <c r="BF530" s="469" t="str">
        <f t="shared" ca="1" si="309"/>
        <v/>
      </c>
      <c r="BG530" s="469" t="str">
        <f t="shared" ca="1" si="310"/>
        <v/>
      </c>
      <c r="BH530" s="467" t="str">
        <f t="shared" si="311"/>
        <v/>
      </c>
      <c r="BI530" s="467" t="str">
        <f t="shared" ca="1" si="312"/>
        <v/>
      </c>
      <c r="BJ530" s="469" t="str">
        <f t="shared" si="313"/>
        <v/>
      </c>
      <c r="BK530" s="470" t="str">
        <f t="shared" si="293"/>
        <v/>
      </c>
      <c r="BL530" s="775" t="str">
        <f t="shared" si="314"/>
        <v/>
      </c>
      <c r="BM530" s="775" t="str">
        <f t="shared" si="315"/>
        <v/>
      </c>
    </row>
    <row r="531" spans="1:65">
      <c r="A531" s="473">
        <v>475</v>
      </c>
      <c r="B531" s="132"/>
      <c r="C531" s="332"/>
      <c r="D531" s="333"/>
      <c r="E531" s="333"/>
      <c r="F531" s="334"/>
      <c r="G531" s="337"/>
      <c r="H531" s="131"/>
      <c r="I531" s="337"/>
      <c r="J531" s="131"/>
      <c r="K531" s="458" t="str">
        <f t="shared" si="282"/>
        <v/>
      </c>
      <c r="L531" s="458">
        <f t="shared" si="294"/>
        <v>0</v>
      </c>
      <c r="M531" s="458">
        <f t="shared" si="295"/>
        <v>0</v>
      </c>
      <c r="N531" s="459" t="str">
        <f t="shared" si="283"/>
        <v/>
      </c>
      <c r="O531" s="459" t="str">
        <f t="shared" si="284"/>
        <v/>
      </c>
      <c r="P531" s="459" t="str">
        <f t="shared" si="285"/>
        <v/>
      </c>
      <c r="Q531" s="459" t="str">
        <f t="shared" si="286"/>
        <v/>
      </c>
      <c r="R531" s="459" t="str">
        <f t="shared" si="287"/>
        <v/>
      </c>
      <c r="S531" s="459" t="str">
        <f t="shared" si="288"/>
        <v/>
      </c>
      <c r="T531" s="566" t="str">
        <f t="shared" si="296"/>
        <v/>
      </c>
      <c r="U531" s="702"/>
      <c r="V531" s="132"/>
      <c r="W531" s="133"/>
      <c r="X531" s="134"/>
      <c r="Y531" s="135"/>
      <c r="Z531" s="137"/>
      <c r="AA531" s="136"/>
      <c r="AB531" s="566" t="str">
        <f t="shared" si="289"/>
        <v/>
      </c>
      <c r="AC531" s="568" t="str">
        <f t="shared" si="297"/>
        <v/>
      </c>
      <c r="AD531" s="137"/>
      <c r="AE531" s="137"/>
      <c r="AF531" s="138"/>
      <c r="AG531" s="138"/>
      <c r="AH531" s="592" t="str">
        <f t="shared" si="290"/>
        <v/>
      </c>
      <c r="AI531" s="592" t="str">
        <f t="shared" si="291"/>
        <v/>
      </c>
      <c r="AJ531" s="592" t="str">
        <f t="shared" si="292"/>
        <v/>
      </c>
      <c r="AK531" s="460" t="str">
        <f>IF(AU531="","",IF(OR(AZ531=8,AZ531=9),0,IF(OR(AW531=3,AW531=4,AW531=5,AW531=6),IF(LEFT(BF531,1)="1",INDEX(係数_NOX・PM低減,MATCH(AY531,【参考】排出係数!$AI$801:$AI$804,1),1),VLOOKUP(AU531,INDEX((係数_バス貨物_ガソリン,係数_バス貨物_CNG,係数_バス貨物_軽油,係数_バス貨物_メタノール,係数_バス貨物_LPG),MATCH(AY531,【参考】排出係数!$AI$4:$AI$671,1),1,BE531):INDEX((係数_バス貨物_ガソリン,係数_バス貨物_CNG,係数_バス貨物_軽油,係数_バス貨物_メタノール,係数_バス貨物_LPG),MATCH(AY531+1,【参考】排出係数!$AI$4:$AI$671,1)-1,5,BE531),4,FALSE)),IF(AND(BE531=3,LEFT(BF531,1)="1"),0.48,VLOOKUP(AU531,INDEX((係数_乗用_ガソリン,係数_乗用_CNG,係数_乗用_軽油,係数_乗用_メタノール,係数_乗用_LPG),1,1,BE531):INDEX((係数_乗用_ガソリン,係数_乗用_CNG,係数_乗用_軽油,係数_乗用_メタノール,係数_乗用_LPG),125,5,BE531),4,FALSE)))))</f>
        <v/>
      </c>
      <c r="AL531" s="461" t="str">
        <f t="shared" si="316"/>
        <v/>
      </c>
      <c r="AM531" s="460" t="str">
        <f>IF(AU531="","",IF(OR(AZ531=8,AZ531=9),0,IF(OR(AW531=3,AW531=4,AW531=5,AW531=6),IF(LEFT(BH531,1)="1",INDEX(係数_PM低減,MATCH(AY531,【参考】排出係数!$AI$801:$AI$804,1),MATCH(BI531,【参考】排出係数!$AL$798:$AO$798,1)),VLOOKUP(AU531,INDEX((係数_バス貨物_ガソリン,係数_バス貨物_CNG,係数_バス貨物_軽油,係数_バス貨物_メタノール,係数_バス貨物_LPG),MATCH(AY531,【参考】排出係数!$AI$4:$AI$671,1),1,BE531):INDEX((係数_バス貨物_ガソリン,係数_バス貨物_CNG,係数_バス貨物_軽油,係数_バス貨物_メタノール,係数_バス貨物_LPG),MATCH(AY531+1,【参考】排出係数!$AI$4:$AI$671,1)-1,5,BE531),5,FALSE)),IF(AND(BE531=3,LEFT(BF531,1)="1"),0.055,VLOOKUP(AU531,INDEX((係数_乗用_ガソリン,係数_乗用_CNG,係数_乗用_軽油,係数_乗用_メタノール,係数_乗用_LPG),1,1,BE531):INDEX((係数_乗用_ガソリン,係数_乗用_CNG,係数_乗用_軽油,係数_乗用_メタノール,係数_乗用_LPG),125,5,BE531),5,FALSE)))))</f>
        <v/>
      </c>
      <c r="AN531" s="461" t="str">
        <f t="shared" si="317"/>
        <v/>
      </c>
      <c r="AO531" s="462" t="str">
        <f t="shared" si="318"/>
        <v/>
      </c>
      <c r="AP531" s="463" t="str">
        <f t="shared" si="319"/>
        <v/>
      </c>
      <c r="AQ531" s="464"/>
      <c r="AR531" s="619"/>
      <c r="AS531" s="465" t="str">
        <f t="shared" si="298"/>
        <v/>
      </c>
      <c r="AT531" s="465" t="str">
        <f t="shared" si="299"/>
        <v/>
      </c>
      <c r="AU531" s="466" t="str">
        <f t="shared" si="300"/>
        <v/>
      </c>
      <c r="AV531" s="467" t="str">
        <f t="shared" si="301"/>
        <v/>
      </c>
      <c r="AW531" s="467" t="str">
        <f t="shared" si="302"/>
        <v/>
      </c>
      <c r="AX531" s="467" t="str">
        <f t="shared" si="303"/>
        <v/>
      </c>
      <c r="AY531" s="467" t="str">
        <f t="shared" si="304"/>
        <v/>
      </c>
      <c r="AZ531" s="467" t="str">
        <f t="shared" si="305"/>
        <v/>
      </c>
      <c r="BA531" s="468" t="str">
        <f>IF(AS531="","",IF(OR(AU531="",AU531="-"),"－",IF(OR(AZ531=8,AZ531=9),"",IF(OR(AW531=3,AW531=4,AW531=5,AW531=6),VLOOKUP(AU531,INDEX((係数_バス貨物_ガソリン,係数_バス貨物_CNG,係数_バス貨物_軽油,係数_バス貨物_メタノール,係数_バス貨物_LPG),MATCH(AY531,【参考】排出係数!$AI$4:$AI$671,1),1,BE531):INDEX((係数_バス貨物_ガソリン,係数_バス貨物_CNG,係数_バス貨物_軽油,係数_バス貨物_メタノール,係数_バス貨物_LPG),MATCH(AY531+1,【参考】排出係数!$AI$4:$AI$671,1)-1,5,BE531),2,FALSE),IF(OR(AW531=1,AW531=2),VLOOKUP(AU531,INDEX((係数_乗用_ガソリン,係数_乗用_CNG,係数_乗用_軽油,係数_乗用_メタノール,係数_乗用_LPG),1,1,BE531):INDEX((係数_乗用_ガソリン,係数_乗用_CNG,係数_乗用_軽油,係数_乗用_メタノール,係数_乗用_LPG),125,5,BE531),2,FALSE))))))</f>
        <v/>
      </c>
      <c r="BB531" s="468" t="str">
        <f>IF(T531="","",IF(OR(AU531="",AU531="-"),"－",IF(OR(AZ531=8,AZ531=9),"",IF(OR(AW531=3,AW531=4,AW531=5,AW531=6),VLOOKUP(AU531,INDEX((係数_バス貨物_ガソリン,係数_バス貨物_CNG,係数_バス貨物_軽油,係数_バス貨物_メタノール,係数_バス貨物_LPG),MATCH(AY531,【参考】排出係数!$AI$4:$AI$671,1),1,BE531):INDEX((係数_バス貨物_ガソリン,係数_バス貨物_CNG,係数_バス貨物_軽油,係数_バス貨物_メタノール,係数_バス貨物_LPG),MATCH(AY531+1,【参考】排出係数!$AI$4:$AI$671,1)-1,5,BE531),3,FALSE),IF(OR(AW531=1,AW531=2),VLOOKUP(AU531,INDEX((係数_乗用_ガソリン,係数_乗用_CNG,係数_乗用_軽油,係数_乗用_メタノール,係数_乗用_LPG),1,1,BE531):INDEX((係数_乗用_ガソリン,係数_乗用_CNG,係数_乗用_軽油,係数_乗用_メタノール,係数_乗用_LPG),125,5,BE531),3,FALSE))))))</f>
        <v/>
      </c>
      <c r="BC531" s="467" t="str">
        <f t="shared" si="306"/>
        <v/>
      </c>
      <c r="BD531" s="567" t="str">
        <f t="shared" si="307"/>
        <v/>
      </c>
      <c r="BE531" s="467" t="str">
        <f t="shared" si="308"/>
        <v/>
      </c>
      <c r="BF531" s="469" t="str">
        <f t="shared" ca="1" si="309"/>
        <v/>
      </c>
      <c r="BG531" s="469" t="str">
        <f t="shared" ca="1" si="310"/>
        <v/>
      </c>
      <c r="BH531" s="467" t="str">
        <f t="shared" si="311"/>
        <v/>
      </c>
      <c r="BI531" s="467" t="str">
        <f t="shared" ca="1" si="312"/>
        <v/>
      </c>
      <c r="BJ531" s="469" t="str">
        <f t="shared" si="313"/>
        <v/>
      </c>
      <c r="BK531" s="470" t="str">
        <f t="shared" si="293"/>
        <v/>
      </c>
      <c r="BL531" s="775" t="str">
        <f t="shared" si="314"/>
        <v/>
      </c>
      <c r="BM531" s="775" t="str">
        <f t="shared" si="315"/>
        <v/>
      </c>
    </row>
    <row r="532" spans="1:65">
      <c r="A532" s="473">
        <v>476</v>
      </c>
      <c r="B532" s="132"/>
      <c r="C532" s="332"/>
      <c r="D532" s="333"/>
      <c r="E532" s="333"/>
      <c r="F532" s="334"/>
      <c r="G532" s="337"/>
      <c r="H532" s="131"/>
      <c r="I532" s="337"/>
      <c r="J532" s="131"/>
      <c r="K532" s="458" t="str">
        <f t="shared" si="282"/>
        <v/>
      </c>
      <c r="L532" s="458">
        <f t="shared" si="294"/>
        <v>0</v>
      </c>
      <c r="M532" s="458">
        <f t="shared" si="295"/>
        <v>0</v>
      </c>
      <c r="N532" s="459" t="str">
        <f t="shared" si="283"/>
        <v/>
      </c>
      <c r="O532" s="459" t="str">
        <f t="shared" si="284"/>
        <v/>
      </c>
      <c r="P532" s="459" t="str">
        <f t="shared" si="285"/>
        <v/>
      </c>
      <c r="Q532" s="459" t="str">
        <f t="shared" si="286"/>
        <v/>
      </c>
      <c r="R532" s="459" t="str">
        <f t="shared" si="287"/>
        <v/>
      </c>
      <c r="S532" s="459" t="str">
        <f t="shared" si="288"/>
        <v/>
      </c>
      <c r="T532" s="566" t="str">
        <f t="shared" si="296"/>
        <v/>
      </c>
      <c r="U532" s="702"/>
      <c r="V532" s="132"/>
      <c r="W532" s="133"/>
      <c r="X532" s="134"/>
      <c r="Y532" s="135"/>
      <c r="Z532" s="137"/>
      <c r="AA532" s="136"/>
      <c r="AB532" s="566" t="str">
        <f t="shared" si="289"/>
        <v/>
      </c>
      <c r="AC532" s="568" t="str">
        <f t="shared" si="297"/>
        <v/>
      </c>
      <c r="AD532" s="137"/>
      <c r="AE532" s="137"/>
      <c r="AF532" s="138"/>
      <c r="AG532" s="138"/>
      <c r="AH532" s="592" t="str">
        <f t="shared" si="290"/>
        <v/>
      </c>
      <c r="AI532" s="592" t="str">
        <f t="shared" si="291"/>
        <v/>
      </c>
      <c r="AJ532" s="592" t="str">
        <f t="shared" si="292"/>
        <v/>
      </c>
      <c r="AK532" s="460" t="str">
        <f>IF(AU532="","",IF(OR(AZ532=8,AZ532=9),0,IF(OR(AW532=3,AW532=4,AW532=5,AW532=6),IF(LEFT(BF532,1)="1",INDEX(係数_NOX・PM低減,MATCH(AY532,【参考】排出係数!$AI$801:$AI$804,1),1),VLOOKUP(AU532,INDEX((係数_バス貨物_ガソリン,係数_バス貨物_CNG,係数_バス貨物_軽油,係数_バス貨物_メタノール,係数_バス貨物_LPG),MATCH(AY532,【参考】排出係数!$AI$4:$AI$671,1),1,BE532):INDEX((係数_バス貨物_ガソリン,係数_バス貨物_CNG,係数_バス貨物_軽油,係数_バス貨物_メタノール,係数_バス貨物_LPG),MATCH(AY532+1,【参考】排出係数!$AI$4:$AI$671,1)-1,5,BE532),4,FALSE)),IF(AND(BE532=3,LEFT(BF532,1)="1"),0.48,VLOOKUP(AU532,INDEX((係数_乗用_ガソリン,係数_乗用_CNG,係数_乗用_軽油,係数_乗用_メタノール,係数_乗用_LPG),1,1,BE532):INDEX((係数_乗用_ガソリン,係数_乗用_CNG,係数_乗用_軽油,係数_乗用_メタノール,係数_乗用_LPG),125,5,BE532),4,FALSE)))))</f>
        <v/>
      </c>
      <c r="AL532" s="461" t="str">
        <f t="shared" si="316"/>
        <v/>
      </c>
      <c r="AM532" s="460" t="str">
        <f>IF(AU532="","",IF(OR(AZ532=8,AZ532=9),0,IF(OR(AW532=3,AW532=4,AW532=5,AW532=6),IF(LEFT(BH532,1)="1",INDEX(係数_PM低減,MATCH(AY532,【参考】排出係数!$AI$801:$AI$804,1),MATCH(BI532,【参考】排出係数!$AL$798:$AO$798,1)),VLOOKUP(AU532,INDEX((係数_バス貨物_ガソリン,係数_バス貨物_CNG,係数_バス貨物_軽油,係数_バス貨物_メタノール,係数_バス貨物_LPG),MATCH(AY532,【参考】排出係数!$AI$4:$AI$671,1),1,BE532):INDEX((係数_バス貨物_ガソリン,係数_バス貨物_CNG,係数_バス貨物_軽油,係数_バス貨物_メタノール,係数_バス貨物_LPG),MATCH(AY532+1,【参考】排出係数!$AI$4:$AI$671,1)-1,5,BE532),5,FALSE)),IF(AND(BE532=3,LEFT(BF532,1)="1"),0.055,VLOOKUP(AU532,INDEX((係数_乗用_ガソリン,係数_乗用_CNG,係数_乗用_軽油,係数_乗用_メタノール,係数_乗用_LPG),1,1,BE532):INDEX((係数_乗用_ガソリン,係数_乗用_CNG,係数_乗用_軽油,係数_乗用_メタノール,係数_乗用_LPG),125,5,BE532),5,FALSE)))))</f>
        <v/>
      </c>
      <c r="AN532" s="461" t="str">
        <f t="shared" si="317"/>
        <v/>
      </c>
      <c r="AO532" s="462" t="str">
        <f t="shared" si="318"/>
        <v/>
      </c>
      <c r="AP532" s="463" t="str">
        <f t="shared" si="319"/>
        <v/>
      </c>
      <c r="AQ532" s="464"/>
      <c r="AR532" s="619"/>
      <c r="AS532" s="465" t="str">
        <f t="shared" si="298"/>
        <v/>
      </c>
      <c r="AT532" s="465" t="str">
        <f t="shared" si="299"/>
        <v/>
      </c>
      <c r="AU532" s="466" t="str">
        <f t="shared" si="300"/>
        <v/>
      </c>
      <c r="AV532" s="467" t="str">
        <f t="shared" si="301"/>
        <v/>
      </c>
      <c r="AW532" s="467" t="str">
        <f t="shared" si="302"/>
        <v/>
      </c>
      <c r="AX532" s="467" t="str">
        <f t="shared" si="303"/>
        <v/>
      </c>
      <c r="AY532" s="467" t="str">
        <f t="shared" si="304"/>
        <v/>
      </c>
      <c r="AZ532" s="467" t="str">
        <f t="shared" si="305"/>
        <v/>
      </c>
      <c r="BA532" s="468" t="str">
        <f>IF(AS532="","",IF(OR(AU532="",AU532="-"),"－",IF(OR(AZ532=8,AZ532=9),"",IF(OR(AW532=3,AW532=4,AW532=5,AW532=6),VLOOKUP(AU532,INDEX((係数_バス貨物_ガソリン,係数_バス貨物_CNG,係数_バス貨物_軽油,係数_バス貨物_メタノール,係数_バス貨物_LPG),MATCH(AY532,【参考】排出係数!$AI$4:$AI$671,1),1,BE532):INDEX((係数_バス貨物_ガソリン,係数_バス貨物_CNG,係数_バス貨物_軽油,係数_バス貨物_メタノール,係数_バス貨物_LPG),MATCH(AY532+1,【参考】排出係数!$AI$4:$AI$671,1)-1,5,BE532),2,FALSE),IF(OR(AW532=1,AW532=2),VLOOKUP(AU532,INDEX((係数_乗用_ガソリン,係数_乗用_CNG,係数_乗用_軽油,係数_乗用_メタノール,係数_乗用_LPG),1,1,BE532):INDEX((係数_乗用_ガソリン,係数_乗用_CNG,係数_乗用_軽油,係数_乗用_メタノール,係数_乗用_LPG),125,5,BE532),2,FALSE))))))</f>
        <v/>
      </c>
      <c r="BB532" s="468" t="str">
        <f>IF(T532="","",IF(OR(AU532="",AU532="-"),"－",IF(OR(AZ532=8,AZ532=9),"",IF(OR(AW532=3,AW532=4,AW532=5,AW532=6),VLOOKUP(AU532,INDEX((係数_バス貨物_ガソリン,係数_バス貨物_CNG,係数_バス貨物_軽油,係数_バス貨物_メタノール,係数_バス貨物_LPG),MATCH(AY532,【参考】排出係数!$AI$4:$AI$671,1),1,BE532):INDEX((係数_バス貨物_ガソリン,係数_バス貨物_CNG,係数_バス貨物_軽油,係数_バス貨物_メタノール,係数_バス貨物_LPG),MATCH(AY532+1,【参考】排出係数!$AI$4:$AI$671,1)-1,5,BE532),3,FALSE),IF(OR(AW532=1,AW532=2),VLOOKUP(AU532,INDEX((係数_乗用_ガソリン,係数_乗用_CNG,係数_乗用_軽油,係数_乗用_メタノール,係数_乗用_LPG),1,1,BE532):INDEX((係数_乗用_ガソリン,係数_乗用_CNG,係数_乗用_軽油,係数_乗用_メタノール,係数_乗用_LPG),125,5,BE532),3,FALSE))))))</f>
        <v/>
      </c>
      <c r="BC532" s="467" t="str">
        <f t="shared" si="306"/>
        <v/>
      </c>
      <c r="BD532" s="567" t="str">
        <f t="shared" si="307"/>
        <v/>
      </c>
      <c r="BE532" s="467" t="str">
        <f t="shared" si="308"/>
        <v/>
      </c>
      <c r="BF532" s="469" t="str">
        <f t="shared" ca="1" si="309"/>
        <v/>
      </c>
      <c r="BG532" s="469" t="str">
        <f t="shared" ca="1" si="310"/>
        <v/>
      </c>
      <c r="BH532" s="467" t="str">
        <f t="shared" si="311"/>
        <v/>
      </c>
      <c r="BI532" s="467" t="str">
        <f t="shared" ca="1" si="312"/>
        <v/>
      </c>
      <c r="BJ532" s="469" t="str">
        <f t="shared" si="313"/>
        <v/>
      </c>
      <c r="BK532" s="470" t="str">
        <f t="shared" si="293"/>
        <v/>
      </c>
      <c r="BL532" s="775" t="str">
        <f t="shared" si="314"/>
        <v/>
      </c>
      <c r="BM532" s="775" t="str">
        <f t="shared" si="315"/>
        <v/>
      </c>
    </row>
    <row r="533" spans="1:65">
      <c r="A533" s="473">
        <v>477</v>
      </c>
      <c r="B533" s="132"/>
      <c r="C533" s="332"/>
      <c r="D533" s="333"/>
      <c r="E533" s="333"/>
      <c r="F533" s="334"/>
      <c r="G533" s="337"/>
      <c r="H533" s="131"/>
      <c r="I533" s="337"/>
      <c r="J533" s="131"/>
      <c r="K533" s="458" t="str">
        <f t="shared" si="282"/>
        <v/>
      </c>
      <c r="L533" s="458">
        <f t="shared" si="294"/>
        <v>0</v>
      </c>
      <c r="M533" s="458">
        <f t="shared" si="295"/>
        <v>0</v>
      </c>
      <c r="N533" s="459" t="str">
        <f t="shared" si="283"/>
        <v/>
      </c>
      <c r="O533" s="459" t="str">
        <f t="shared" si="284"/>
        <v/>
      </c>
      <c r="P533" s="459" t="str">
        <f t="shared" si="285"/>
        <v/>
      </c>
      <c r="Q533" s="459" t="str">
        <f t="shared" si="286"/>
        <v/>
      </c>
      <c r="R533" s="459" t="str">
        <f t="shared" si="287"/>
        <v/>
      </c>
      <c r="S533" s="459" t="str">
        <f t="shared" si="288"/>
        <v/>
      </c>
      <c r="T533" s="566" t="str">
        <f t="shared" si="296"/>
        <v/>
      </c>
      <c r="U533" s="702"/>
      <c r="V533" s="132"/>
      <c r="W533" s="133"/>
      <c r="X533" s="134"/>
      <c r="Y533" s="135"/>
      <c r="Z533" s="137"/>
      <c r="AA533" s="136"/>
      <c r="AB533" s="566" t="str">
        <f t="shared" si="289"/>
        <v/>
      </c>
      <c r="AC533" s="568" t="str">
        <f t="shared" si="297"/>
        <v/>
      </c>
      <c r="AD533" s="137"/>
      <c r="AE533" s="137"/>
      <c r="AF533" s="138"/>
      <c r="AG533" s="138"/>
      <c r="AH533" s="592" t="str">
        <f t="shared" si="290"/>
        <v/>
      </c>
      <c r="AI533" s="592" t="str">
        <f t="shared" si="291"/>
        <v/>
      </c>
      <c r="AJ533" s="592" t="str">
        <f t="shared" si="292"/>
        <v/>
      </c>
      <c r="AK533" s="460" t="str">
        <f>IF(AU533="","",IF(OR(AZ533=8,AZ533=9),0,IF(OR(AW533=3,AW533=4,AW533=5,AW533=6),IF(LEFT(BF533,1)="1",INDEX(係数_NOX・PM低減,MATCH(AY533,【参考】排出係数!$AI$801:$AI$804,1),1),VLOOKUP(AU533,INDEX((係数_バス貨物_ガソリン,係数_バス貨物_CNG,係数_バス貨物_軽油,係数_バス貨物_メタノール,係数_バス貨物_LPG),MATCH(AY533,【参考】排出係数!$AI$4:$AI$671,1),1,BE533):INDEX((係数_バス貨物_ガソリン,係数_バス貨物_CNG,係数_バス貨物_軽油,係数_バス貨物_メタノール,係数_バス貨物_LPG),MATCH(AY533+1,【参考】排出係数!$AI$4:$AI$671,1)-1,5,BE533),4,FALSE)),IF(AND(BE533=3,LEFT(BF533,1)="1"),0.48,VLOOKUP(AU533,INDEX((係数_乗用_ガソリン,係数_乗用_CNG,係数_乗用_軽油,係数_乗用_メタノール,係数_乗用_LPG),1,1,BE533):INDEX((係数_乗用_ガソリン,係数_乗用_CNG,係数_乗用_軽油,係数_乗用_メタノール,係数_乗用_LPG),125,5,BE533),4,FALSE)))))</f>
        <v/>
      </c>
      <c r="AL533" s="461" t="str">
        <f t="shared" si="316"/>
        <v/>
      </c>
      <c r="AM533" s="460" t="str">
        <f>IF(AU533="","",IF(OR(AZ533=8,AZ533=9),0,IF(OR(AW533=3,AW533=4,AW533=5,AW533=6),IF(LEFT(BH533,1)="1",INDEX(係数_PM低減,MATCH(AY533,【参考】排出係数!$AI$801:$AI$804,1),MATCH(BI533,【参考】排出係数!$AL$798:$AO$798,1)),VLOOKUP(AU533,INDEX((係数_バス貨物_ガソリン,係数_バス貨物_CNG,係数_バス貨物_軽油,係数_バス貨物_メタノール,係数_バス貨物_LPG),MATCH(AY533,【参考】排出係数!$AI$4:$AI$671,1),1,BE533):INDEX((係数_バス貨物_ガソリン,係数_バス貨物_CNG,係数_バス貨物_軽油,係数_バス貨物_メタノール,係数_バス貨物_LPG),MATCH(AY533+1,【参考】排出係数!$AI$4:$AI$671,1)-1,5,BE533),5,FALSE)),IF(AND(BE533=3,LEFT(BF533,1)="1"),0.055,VLOOKUP(AU533,INDEX((係数_乗用_ガソリン,係数_乗用_CNG,係数_乗用_軽油,係数_乗用_メタノール,係数_乗用_LPG),1,1,BE533):INDEX((係数_乗用_ガソリン,係数_乗用_CNG,係数_乗用_軽油,係数_乗用_メタノール,係数_乗用_LPG),125,5,BE533),5,FALSE)))))</f>
        <v/>
      </c>
      <c r="AN533" s="461" t="str">
        <f t="shared" si="317"/>
        <v/>
      </c>
      <c r="AO533" s="462" t="str">
        <f t="shared" si="318"/>
        <v/>
      </c>
      <c r="AP533" s="463" t="str">
        <f t="shared" si="319"/>
        <v/>
      </c>
      <c r="AQ533" s="464"/>
      <c r="AR533" s="619"/>
      <c r="AS533" s="465" t="str">
        <f t="shared" si="298"/>
        <v/>
      </c>
      <c r="AT533" s="465" t="str">
        <f t="shared" si="299"/>
        <v/>
      </c>
      <c r="AU533" s="466" t="str">
        <f t="shared" si="300"/>
        <v/>
      </c>
      <c r="AV533" s="467" t="str">
        <f t="shared" si="301"/>
        <v/>
      </c>
      <c r="AW533" s="467" t="str">
        <f t="shared" si="302"/>
        <v/>
      </c>
      <c r="AX533" s="467" t="str">
        <f t="shared" si="303"/>
        <v/>
      </c>
      <c r="AY533" s="467" t="str">
        <f t="shared" si="304"/>
        <v/>
      </c>
      <c r="AZ533" s="467" t="str">
        <f t="shared" si="305"/>
        <v/>
      </c>
      <c r="BA533" s="468" t="str">
        <f>IF(AS533="","",IF(OR(AU533="",AU533="-"),"－",IF(OR(AZ533=8,AZ533=9),"",IF(OR(AW533=3,AW533=4,AW533=5,AW533=6),VLOOKUP(AU533,INDEX((係数_バス貨物_ガソリン,係数_バス貨物_CNG,係数_バス貨物_軽油,係数_バス貨物_メタノール,係数_バス貨物_LPG),MATCH(AY533,【参考】排出係数!$AI$4:$AI$671,1),1,BE533):INDEX((係数_バス貨物_ガソリン,係数_バス貨物_CNG,係数_バス貨物_軽油,係数_バス貨物_メタノール,係数_バス貨物_LPG),MATCH(AY533+1,【参考】排出係数!$AI$4:$AI$671,1)-1,5,BE533),2,FALSE),IF(OR(AW533=1,AW533=2),VLOOKUP(AU533,INDEX((係数_乗用_ガソリン,係数_乗用_CNG,係数_乗用_軽油,係数_乗用_メタノール,係数_乗用_LPG),1,1,BE533):INDEX((係数_乗用_ガソリン,係数_乗用_CNG,係数_乗用_軽油,係数_乗用_メタノール,係数_乗用_LPG),125,5,BE533),2,FALSE))))))</f>
        <v/>
      </c>
      <c r="BB533" s="468" t="str">
        <f>IF(T533="","",IF(OR(AU533="",AU533="-"),"－",IF(OR(AZ533=8,AZ533=9),"",IF(OR(AW533=3,AW533=4,AW533=5,AW533=6),VLOOKUP(AU533,INDEX((係数_バス貨物_ガソリン,係数_バス貨物_CNG,係数_バス貨物_軽油,係数_バス貨物_メタノール,係数_バス貨物_LPG),MATCH(AY533,【参考】排出係数!$AI$4:$AI$671,1),1,BE533):INDEX((係数_バス貨物_ガソリン,係数_バス貨物_CNG,係数_バス貨物_軽油,係数_バス貨物_メタノール,係数_バス貨物_LPG),MATCH(AY533+1,【参考】排出係数!$AI$4:$AI$671,1)-1,5,BE533),3,FALSE),IF(OR(AW533=1,AW533=2),VLOOKUP(AU533,INDEX((係数_乗用_ガソリン,係数_乗用_CNG,係数_乗用_軽油,係数_乗用_メタノール,係数_乗用_LPG),1,1,BE533):INDEX((係数_乗用_ガソリン,係数_乗用_CNG,係数_乗用_軽油,係数_乗用_メタノール,係数_乗用_LPG),125,5,BE533),3,FALSE))))))</f>
        <v/>
      </c>
      <c r="BC533" s="467" t="str">
        <f t="shared" si="306"/>
        <v/>
      </c>
      <c r="BD533" s="567" t="str">
        <f t="shared" si="307"/>
        <v/>
      </c>
      <c r="BE533" s="467" t="str">
        <f t="shared" si="308"/>
        <v/>
      </c>
      <c r="BF533" s="469" t="str">
        <f t="shared" ca="1" si="309"/>
        <v/>
      </c>
      <c r="BG533" s="469" t="str">
        <f t="shared" ca="1" si="310"/>
        <v/>
      </c>
      <c r="BH533" s="467" t="str">
        <f t="shared" si="311"/>
        <v/>
      </c>
      <c r="BI533" s="467" t="str">
        <f t="shared" ca="1" si="312"/>
        <v/>
      </c>
      <c r="BJ533" s="469" t="str">
        <f t="shared" si="313"/>
        <v/>
      </c>
      <c r="BK533" s="470" t="str">
        <f t="shared" si="293"/>
        <v/>
      </c>
      <c r="BL533" s="775" t="str">
        <f t="shared" si="314"/>
        <v/>
      </c>
      <c r="BM533" s="775" t="str">
        <f t="shared" si="315"/>
        <v/>
      </c>
    </row>
    <row r="534" spans="1:65">
      <c r="A534" s="473">
        <v>478</v>
      </c>
      <c r="B534" s="132"/>
      <c r="C534" s="332"/>
      <c r="D534" s="333"/>
      <c r="E534" s="333"/>
      <c r="F534" s="334"/>
      <c r="G534" s="337"/>
      <c r="H534" s="131"/>
      <c r="I534" s="337"/>
      <c r="J534" s="131"/>
      <c r="K534" s="458" t="str">
        <f t="shared" si="282"/>
        <v/>
      </c>
      <c r="L534" s="458">
        <f t="shared" si="294"/>
        <v>0</v>
      </c>
      <c r="M534" s="458">
        <f t="shared" si="295"/>
        <v>0</v>
      </c>
      <c r="N534" s="459" t="str">
        <f t="shared" si="283"/>
        <v/>
      </c>
      <c r="O534" s="459" t="str">
        <f t="shared" si="284"/>
        <v/>
      </c>
      <c r="P534" s="459" t="str">
        <f t="shared" si="285"/>
        <v/>
      </c>
      <c r="Q534" s="459" t="str">
        <f t="shared" si="286"/>
        <v/>
      </c>
      <c r="R534" s="459" t="str">
        <f t="shared" si="287"/>
        <v/>
      </c>
      <c r="S534" s="459" t="str">
        <f t="shared" si="288"/>
        <v/>
      </c>
      <c r="T534" s="566" t="str">
        <f t="shared" si="296"/>
        <v/>
      </c>
      <c r="U534" s="702"/>
      <c r="V534" s="132"/>
      <c r="W534" s="133"/>
      <c r="X534" s="134"/>
      <c r="Y534" s="135"/>
      <c r="Z534" s="137"/>
      <c r="AA534" s="136"/>
      <c r="AB534" s="566" t="str">
        <f t="shared" si="289"/>
        <v/>
      </c>
      <c r="AC534" s="568" t="str">
        <f t="shared" si="297"/>
        <v/>
      </c>
      <c r="AD534" s="137"/>
      <c r="AE534" s="137"/>
      <c r="AF534" s="138"/>
      <c r="AG534" s="138"/>
      <c r="AH534" s="592" t="str">
        <f t="shared" si="290"/>
        <v/>
      </c>
      <c r="AI534" s="592" t="str">
        <f t="shared" si="291"/>
        <v/>
      </c>
      <c r="AJ534" s="592" t="str">
        <f t="shared" si="292"/>
        <v/>
      </c>
      <c r="AK534" s="460" t="str">
        <f>IF(AU534="","",IF(OR(AZ534=8,AZ534=9),0,IF(OR(AW534=3,AW534=4,AW534=5,AW534=6),IF(LEFT(BF534,1)="1",INDEX(係数_NOX・PM低減,MATCH(AY534,【参考】排出係数!$AI$801:$AI$804,1),1),VLOOKUP(AU534,INDEX((係数_バス貨物_ガソリン,係数_バス貨物_CNG,係数_バス貨物_軽油,係数_バス貨物_メタノール,係数_バス貨物_LPG),MATCH(AY534,【参考】排出係数!$AI$4:$AI$671,1),1,BE534):INDEX((係数_バス貨物_ガソリン,係数_バス貨物_CNG,係数_バス貨物_軽油,係数_バス貨物_メタノール,係数_バス貨物_LPG),MATCH(AY534+1,【参考】排出係数!$AI$4:$AI$671,1)-1,5,BE534),4,FALSE)),IF(AND(BE534=3,LEFT(BF534,1)="1"),0.48,VLOOKUP(AU534,INDEX((係数_乗用_ガソリン,係数_乗用_CNG,係数_乗用_軽油,係数_乗用_メタノール,係数_乗用_LPG),1,1,BE534):INDEX((係数_乗用_ガソリン,係数_乗用_CNG,係数_乗用_軽油,係数_乗用_メタノール,係数_乗用_LPG),125,5,BE534),4,FALSE)))))</f>
        <v/>
      </c>
      <c r="AL534" s="461" t="str">
        <f t="shared" si="316"/>
        <v/>
      </c>
      <c r="AM534" s="460" t="str">
        <f>IF(AU534="","",IF(OR(AZ534=8,AZ534=9),0,IF(OR(AW534=3,AW534=4,AW534=5,AW534=6),IF(LEFT(BH534,1)="1",INDEX(係数_PM低減,MATCH(AY534,【参考】排出係数!$AI$801:$AI$804,1),MATCH(BI534,【参考】排出係数!$AL$798:$AO$798,1)),VLOOKUP(AU534,INDEX((係数_バス貨物_ガソリン,係数_バス貨物_CNG,係数_バス貨物_軽油,係数_バス貨物_メタノール,係数_バス貨物_LPG),MATCH(AY534,【参考】排出係数!$AI$4:$AI$671,1),1,BE534):INDEX((係数_バス貨物_ガソリン,係数_バス貨物_CNG,係数_バス貨物_軽油,係数_バス貨物_メタノール,係数_バス貨物_LPG),MATCH(AY534+1,【参考】排出係数!$AI$4:$AI$671,1)-1,5,BE534),5,FALSE)),IF(AND(BE534=3,LEFT(BF534,1)="1"),0.055,VLOOKUP(AU534,INDEX((係数_乗用_ガソリン,係数_乗用_CNG,係数_乗用_軽油,係数_乗用_メタノール,係数_乗用_LPG),1,1,BE534):INDEX((係数_乗用_ガソリン,係数_乗用_CNG,係数_乗用_軽油,係数_乗用_メタノール,係数_乗用_LPG),125,5,BE534),5,FALSE)))))</f>
        <v/>
      </c>
      <c r="AN534" s="461" t="str">
        <f t="shared" si="317"/>
        <v/>
      </c>
      <c r="AO534" s="462" t="str">
        <f t="shared" si="318"/>
        <v/>
      </c>
      <c r="AP534" s="463" t="str">
        <f t="shared" si="319"/>
        <v/>
      </c>
      <c r="AQ534" s="464"/>
      <c r="AR534" s="619"/>
      <c r="AS534" s="465" t="str">
        <f t="shared" si="298"/>
        <v/>
      </c>
      <c r="AT534" s="465" t="str">
        <f t="shared" si="299"/>
        <v/>
      </c>
      <c r="AU534" s="466" t="str">
        <f t="shared" si="300"/>
        <v/>
      </c>
      <c r="AV534" s="467" t="str">
        <f t="shared" si="301"/>
        <v/>
      </c>
      <c r="AW534" s="467" t="str">
        <f t="shared" si="302"/>
        <v/>
      </c>
      <c r="AX534" s="467" t="str">
        <f t="shared" si="303"/>
        <v/>
      </c>
      <c r="AY534" s="467" t="str">
        <f t="shared" si="304"/>
        <v/>
      </c>
      <c r="AZ534" s="467" t="str">
        <f t="shared" si="305"/>
        <v/>
      </c>
      <c r="BA534" s="468" t="str">
        <f>IF(AS534="","",IF(OR(AU534="",AU534="-"),"－",IF(OR(AZ534=8,AZ534=9),"",IF(OR(AW534=3,AW534=4,AW534=5,AW534=6),VLOOKUP(AU534,INDEX((係数_バス貨物_ガソリン,係数_バス貨物_CNG,係数_バス貨物_軽油,係数_バス貨物_メタノール,係数_バス貨物_LPG),MATCH(AY534,【参考】排出係数!$AI$4:$AI$671,1),1,BE534):INDEX((係数_バス貨物_ガソリン,係数_バス貨物_CNG,係数_バス貨物_軽油,係数_バス貨物_メタノール,係数_バス貨物_LPG),MATCH(AY534+1,【参考】排出係数!$AI$4:$AI$671,1)-1,5,BE534),2,FALSE),IF(OR(AW534=1,AW534=2),VLOOKUP(AU534,INDEX((係数_乗用_ガソリン,係数_乗用_CNG,係数_乗用_軽油,係数_乗用_メタノール,係数_乗用_LPG),1,1,BE534):INDEX((係数_乗用_ガソリン,係数_乗用_CNG,係数_乗用_軽油,係数_乗用_メタノール,係数_乗用_LPG),125,5,BE534),2,FALSE))))))</f>
        <v/>
      </c>
      <c r="BB534" s="468" t="str">
        <f>IF(T534="","",IF(OR(AU534="",AU534="-"),"－",IF(OR(AZ534=8,AZ534=9),"",IF(OR(AW534=3,AW534=4,AW534=5,AW534=6),VLOOKUP(AU534,INDEX((係数_バス貨物_ガソリン,係数_バス貨物_CNG,係数_バス貨物_軽油,係数_バス貨物_メタノール,係数_バス貨物_LPG),MATCH(AY534,【参考】排出係数!$AI$4:$AI$671,1),1,BE534):INDEX((係数_バス貨物_ガソリン,係数_バス貨物_CNG,係数_バス貨物_軽油,係数_バス貨物_メタノール,係数_バス貨物_LPG),MATCH(AY534+1,【参考】排出係数!$AI$4:$AI$671,1)-1,5,BE534),3,FALSE),IF(OR(AW534=1,AW534=2),VLOOKUP(AU534,INDEX((係数_乗用_ガソリン,係数_乗用_CNG,係数_乗用_軽油,係数_乗用_メタノール,係数_乗用_LPG),1,1,BE534):INDEX((係数_乗用_ガソリン,係数_乗用_CNG,係数_乗用_軽油,係数_乗用_メタノール,係数_乗用_LPG),125,5,BE534),3,FALSE))))))</f>
        <v/>
      </c>
      <c r="BC534" s="467" t="str">
        <f t="shared" si="306"/>
        <v/>
      </c>
      <c r="BD534" s="567" t="str">
        <f t="shared" si="307"/>
        <v/>
      </c>
      <c r="BE534" s="467" t="str">
        <f t="shared" si="308"/>
        <v/>
      </c>
      <c r="BF534" s="469" t="str">
        <f t="shared" ca="1" si="309"/>
        <v/>
      </c>
      <c r="BG534" s="469" t="str">
        <f t="shared" ca="1" si="310"/>
        <v/>
      </c>
      <c r="BH534" s="467" t="str">
        <f t="shared" si="311"/>
        <v/>
      </c>
      <c r="BI534" s="467" t="str">
        <f t="shared" ca="1" si="312"/>
        <v/>
      </c>
      <c r="BJ534" s="469" t="str">
        <f t="shared" si="313"/>
        <v/>
      </c>
      <c r="BK534" s="470" t="str">
        <f t="shared" si="293"/>
        <v/>
      </c>
      <c r="BL534" s="775" t="str">
        <f t="shared" si="314"/>
        <v/>
      </c>
      <c r="BM534" s="775" t="str">
        <f t="shared" si="315"/>
        <v/>
      </c>
    </row>
    <row r="535" spans="1:65">
      <c r="A535" s="473">
        <v>479</v>
      </c>
      <c r="B535" s="132"/>
      <c r="C535" s="332"/>
      <c r="D535" s="333"/>
      <c r="E535" s="333"/>
      <c r="F535" s="334"/>
      <c r="G535" s="337"/>
      <c r="H535" s="131"/>
      <c r="I535" s="337"/>
      <c r="J535" s="131"/>
      <c r="K535" s="458" t="str">
        <f t="shared" si="282"/>
        <v/>
      </c>
      <c r="L535" s="458">
        <f t="shared" si="294"/>
        <v>0</v>
      </c>
      <c r="M535" s="458">
        <f t="shared" si="295"/>
        <v>0</v>
      </c>
      <c r="N535" s="459" t="str">
        <f t="shared" si="283"/>
        <v/>
      </c>
      <c r="O535" s="459" t="str">
        <f t="shared" si="284"/>
        <v/>
      </c>
      <c r="P535" s="459" t="str">
        <f t="shared" si="285"/>
        <v/>
      </c>
      <c r="Q535" s="459" t="str">
        <f t="shared" si="286"/>
        <v/>
      </c>
      <c r="R535" s="459" t="str">
        <f t="shared" si="287"/>
        <v/>
      </c>
      <c r="S535" s="459" t="str">
        <f t="shared" si="288"/>
        <v/>
      </c>
      <c r="T535" s="566" t="str">
        <f t="shared" si="296"/>
        <v/>
      </c>
      <c r="U535" s="702"/>
      <c r="V535" s="132"/>
      <c r="W535" s="133"/>
      <c r="X535" s="134"/>
      <c r="Y535" s="135"/>
      <c r="Z535" s="137"/>
      <c r="AA535" s="136"/>
      <c r="AB535" s="566" t="str">
        <f t="shared" si="289"/>
        <v/>
      </c>
      <c r="AC535" s="568" t="str">
        <f t="shared" si="297"/>
        <v/>
      </c>
      <c r="AD535" s="137"/>
      <c r="AE535" s="137"/>
      <c r="AF535" s="138"/>
      <c r="AG535" s="138"/>
      <c r="AH535" s="592" t="str">
        <f t="shared" si="290"/>
        <v/>
      </c>
      <c r="AI535" s="592" t="str">
        <f t="shared" si="291"/>
        <v/>
      </c>
      <c r="AJ535" s="592" t="str">
        <f t="shared" si="292"/>
        <v/>
      </c>
      <c r="AK535" s="460" t="str">
        <f>IF(AU535="","",IF(OR(AZ535=8,AZ535=9),0,IF(OR(AW535=3,AW535=4,AW535=5,AW535=6),IF(LEFT(BF535,1)="1",INDEX(係数_NOX・PM低減,MATCH(AY535,【参考】排出係数!$AI$801:$AI$804,1),1),VLOOKUP(AU535,INDEX((係数_バス貨物_ガソリン,係数_バス貨物_CNG,係数_バス貨物_軽油,係数_バス貨物_メタノール,係数_バス貨物_LPG),MATCH(AY535,【参考】排出係数!$AI$4:$AI$671,1),1,BE535):INDEX((係数_バス貨物_ガソリン,係数_バス貨物_CNG,係数_バス貨物_軽油,係数_バス貨物_メタノール,係数_バス貨物_LPG),MATCH(AY535+1,【参考】排出係数!$AI$4:$AI$671,1)-1,5,BE535),4,FALSE)),IF(AND(BE535=3,LEFT(BF535,1)="1"),0.48,VLOOKUP(AU535,INDEX((係数_乗用_ガソリン,係数_乗用_CNG,係数_乗用_軽油,係数_乗用_メタノール,係数_乗用_LPG),1,1,BE535):INDEX((係数_乗用_ガソリン,係数_乗用_CNG,係数_乗用_軽油,係数_乗用_メタノール,係数_乗用_LPG),125,5,BE535),4,FALSE)))))</f>
        <v/>
      </c>
      <c r="AL535" s="461" t="str">
        <f t="shared" si="316"/>
        <v/>
      </c>
      <c r="AM535" s="460" t="str">
        <f>IF(AU535="","",IF(OR(AZ535=8,AZ535=9),0,IF(OR(AW535=3,AW535=4,AW535=5,AW535=6),IF(LEFT(BH535,1)="1",INDEX(係数_PM低減,MATCH(AY535,【参考】排出係数!$AI$801:$AI$804,1),MATCH(BI535,【参考】排出係数!$AL$798:$AO$798,1)),VLOOKUP(AU535,INDEX((係数_バス貨物_ガソリン,係数_バス貨物_CNG,係数_バス貨物_軽油,係数_バス貨物_メタノール,係数_バス貨物_LPG),MATCH(AY535,【参考】排出係数!$AI$4:$AI$671,1),1,BE535):INDEX((係数_バス貨物_ガソリン,係数_バス貨物_CNG,係数_バス貨物_軽油,係数_バス貨物_メタノール,係数_バス貨物_LPG),MATCH(AY535+1,【参考】排出係数!$AI$4:$AI$671,1)-1,5,BE535),5,FALSE)),IF(AND(BE535=3,LEFT(BF535,1)="1"),0.055,VLOOKUP(AU535,INDEX((係数_乗用_ガソリン,係数_乗用_CNG,係数_乗用_軽油,係数_乗用_メタノール,係数_乗用_LPG),1,1,BE535):INDEX((係数_乗用_ガソリン,係数_乗用_CNG,係数_乗用_軽油,係数_乗用_メタノール,係数_乗用_LPG),125,5,BE535),5,FALSE)))))</f>
        <v/>
      </c>
      <c r="AN535" s="461" t="str">
        <f t="shared" si="317"/>
        <v/>
      </c>
      <c r="AO535" s="462" t="str">
        <f t="shared" si="318"/>
        <v/>
      </c>
      <c r="AP535" s="463" t="str">
        <f t="shared" si="319"/>
        <v/>
      </c>
      <c r="AQ535" s="464"/>
      <c r="AR535" s="619"/>
      <c r="AS535" s="465" t="str">
        <f t="shared" si="298"/>
        <v/>
      </c>
      <c r="AT535" s="465" t="str">
        <f t="shared" si="299"/>
        <v/>
      </c>
      <c r="AU535" s="466" t="str">
        <f t="shared" si="300"/>
        <v/>
      </c>
      <c r="AV535" s="467" t="str">
        <f t="shared" si="301"/>
        <v/>
      </c>
      <c r="AW535" s="467" t="str">
        <f t="shared" si="302"/>
        <v/>
      </c>
      <c r="AX535" s="467" t="str">
        <f t="shared" si="303"/>
        <v/>
      </c>
      <c r="AY535" s="467" t="str">
        <f t="shared" si="304"/>
        <v/>
      </c>
      <c r="AZ535" s="467" t="str">
        <f t="shared" si="305"/>
        <v/>
      </c>
      <c r="BA535" s="468" t="str">
        <f>IF(AS535="","",IF(OR(AU535="",AU535="-"),"－",IF(OR(AZ535=8,AZ535=9),"",IF(OR(AW535=3,AW535=4,AW535=5,AW535=6),VLOOKUP(AU535,INDEX((係数_バス貨物_ガソリン,係数_バス貨物_CNG,係数_バス貨物_軽油,係数_バス貨物_メタノール,係数_バス貨物_LPG),MATCH(AY535,【参考】排出係数!$AI$4:$AI$671,1),1,BE535):INDEX((係数_バス貨物_ガソリン,係数_バス貨物_CNG,係数_バス貨物_軽油,係数_バス貨物_メタノール,係数_バス貨物_LPG),MATCH(AY535+1,【参考】排出係数!$AI$4:$AI$671,1)-1,5,BE535),2,FALSE),IF(OR(AW535=1,AW535=2),VLOOKUP(AU535,INDEX((係数_乗用_ガソリン,係数_乗用_CNG,係数_乗用_軽油,係数_乗用_メタノール,係数_乗用_LPG),1,1,BE535):INDEX((係数_乗用_ガソリン,係数_乗用_CNG,係数_乗用_軽油,係数_乗用_メタノール,係数_乗用_LPG),125,5,BE535),2,FALSE))))))</f>
        <v/>
      </c>
      <c r="BB535" s="468" t="str">
        <f>IF(T535="","",IF(OR(AU535="",AU535="-"),"－",IF(OR(AZ535=8,AZ535=9),"",IF(OR(AW535=3,AW535=4,AW535=5,AW535=6),VLOOKUP(AU535,INDEX((係数_バス貨物_ガソリン,係数_バス貨物_CNG,係数_バス貨物_軽油,係数_バス貨物_メタノール,係数_バス貨物_LPG),MATCH(AY535,【参考】排出係数!$AI$4:$AI$671,1),1,BE535):INDEX((係数_バス貨物_ガソリン,係数_バス貨物_CNG,係数_バス貨物_軽油,係数_バス貨物_メタノール,係数_バス貨物_LPG),MATCH(AY535+1,【参考】排出係数!$AI$4:$AI$671,1)-1,5,BE535),3,FALSE),IF(OR(AW535=1,AW535=2),VLOOKUP(AU535,INDEX((係数_乗用_ガソリン,係数_乗用_CNG,係数_乗用_軽油,係数_乗用_メタノール,係数_乗用_LPG),1,1,BE535):INDEX((係数_乗用_ガソリン,係数_乗用_CNG,係数_乗用_軽油,係数_乗用_メタノール,係数_乗用_LPG),125,5,BE535),3,FALSE))))))</f>
        <v/>
      </c>
      <c r="BC535" s="467" t="str">
        <f t="shared" si="306"/>
        <v/>
      </c>
      <c r="BD535" s="567" t="str">
        <f t="shared" si="307"/>
        <v/>
      </c>
      <c r="BE535" s="467" t="str">
        <f t="shared" si="308"/>
        <v/>
      </c>
      <c r="BF535" s="469" t="str">
        <f t="shared" ca="1" si="309"/>
        <v/>
      </c>
      <c r="BG535" s="469" t="str">
        <f t="shared" ca="1" si="310"/>
        <v/>
      </c>
      <c r="BH535" s="467" t="str">
        <f t="shared" si="311"/>
        <v/>
      </c>
      <c r="BI535" s="467" t="str">
        <f t="shared" ca="1" si="312"/>
        <v/>
      </c>
      <c r="BJ535" s="469" t="str">
        <f t="shared" si="313"/>
        <v/>
      </c>
      <c r="BK535" s="470" t="str">
        <f t="shared" si="293"/>
        <v/>
      </c>
      <c r="BL535" s="775" t="str">
        <f t="shared" si="314"/>
        <v/>
      </c>
      <c r="BM535" s="775" t="str">
        <f t="shared" si="315"/>
        <v/>
      </c>
    </row>
    <row r="536" spans="1:65">
      <c r="A536" s="473">
        <v>480</v>
      </c>
      <c r="B536" s="132"/>
      <c r="C536" s="332"/>
      <c r="D536" s="333"/>
      <c r="E536" s="333"/>
      <c r="F536" s="334"/>
      <c r="G536" s="337"/>
      <c r="H536" s="131"/>
      <c r="I536" s="337"/>
      <c r="J536" s="131"/>
      <c r="K536" s="458" t="str">
        <f t="shared" si="282"/>
        <v/>
      </c>
      <c r="L536" s="458">
        <f t="shared" si="294"/>
        <v>0</v>
      </c>
      <c r="M536" s="458">
        <f t="shared" si="295"/>
        <v>0</v>
      </c>
      <c r="N536" s="459" t="str">
        <f t="shared" si="283"/>
        <v/>
      </c>
      <c r="O536" s="459" t="str">
        <f t="shared" si="284"/>
        <v/>
      </c>
      <c r="P536" s="459" t="str">
        <f t="shared" si="285"/>
        <v/>
      </c>
      <c r="Q536" s="459" t="str">
        <f t="shared" si="286"/>
        <v/>
      </c>
      <c r="R536" s="459" t="str">
        <f t="shared" si="287"/>
        <v/>
      </c>
      <c r="S536" s="459" t="str">
        <f t="shared" si="288"/>
        <v/>
      </c>
      <c r="T536" s="566" t="str">
        <f t="shared" si="296"/>
        <v/>
      </c>
      <c r="U536" s="702"/>
      <c r="V536" s="132"/>
      <c r="W536" s="133"/>
      <c r="X536" s="134"/>
      <c r="Y536" s="135"/>
      <c r="Z536" s="137"/>
      <c r="AA536" s="136"/>
      <c r="AB536" s="566" t="str">
        <f t="shared" si="289"/>
        <v/>
      </c>
      <c r="AC536" s="568" t="str">
        <f t="shared" si="297"/>
        <v/>
      </c>
      <c r="AD536" s="137"/>
      <c r="AE536" s="137"/>
      <c r="AF536" s="138"/>
      <c r="AG536" s="138"/>
      <c r="AH536" s="592" t="str">
        <f t="shared" si="290"/>
        <v/>
      </c>
      <c r="AI536" s="592" t="str">
        <f t="shared" si="291"/>
        <v/>
      </c>
      <c r="AJ536" s="592" t="str">
        <f t="shared" si="292"/>
        <v/>
      </c>
      <c r="AK536" s="460" t="str">
        <f>IF(AU536="","",IF(OR(AZ536=8,AZ536=9),0,IF(OR(AW536=3,AW536=4,AW536=5,AW536=6),IF(LEFT(BF536,1)="1",INDEX(係数_NOX・PM低減,MATCH(AY536,【参考】排出係数!$AI$801:$AI$804,1),1),VLOOKUP(AU536,INDEX((係数_バス貨物_ガソリン,係数_バス貨物_CNG,係数_バス貨物_軽油,係数_バス貨物_メタノール,係数_バス貨物_LPG),MATCH(AY536,【参考】排出係数!$AI$4:$AI$671,1),1,BE536):INDEX((係数_バス貨物_ガソリン,係数_バス貨物_CNG,係数_バス貨物_軽油,係数_バス貨物_メタノール,係数_バス貨物_LPG),MATCH(AY536+1,【参考】排出係数!$AI$4:$AI$671,1)-1,5,BE536),4,FALSE)),IF(AND(BE536=3,LEFT(BF536,1)="1"),0.48,VLOOKUP(AU536,INDEX((係数_乗用_ガソリン,係数_乗用_CNG,係数_乗用_軽油,係数_乗用_メタノール,係数_乗用_LPG),1,1,BE536):INDEX((係数_乗用_ガソリン,係数_乗用_CNG,係数_乗用_軽油,係数_乗用_メタノール,係数_乗用_LPG),125,5,BE536),4,FALSE)))))</f>
        <v/>
      </c>
      <c r="AL536" s="461" t="str">
        <f t="shared" si="316"/>
        <v/>
      </c>
      <c r="AM536" s="460" t="str">
        <f>IF(AU536="","",IF(OR(AZ536=8,AZ536=9),0,IF(OR(AW536=3,AW536=4,AW536=5,AW536=6),IF(LEFT(BH536,1)="1",INDEX(係数_PM低減,MATCH(AY536,【参考】排出係数!$AI$801:$AI$804,1),MATCH(BI536,【参考】排出係数!$AL$798:$AO$798,1)),VLOOKUP(AU536,INDEX((係数_バス貨物_ガソリン,係数_バス貨物_CNG,係数_バス貨物_軽油,係数_バス貨物_メタノール,係数_バス貨物_LPG),MATCH(AY536,【参考】排出係数!$AI$4:$AI$671,1),1,BE536):INDEX((係数_バス貨物_ガソリン,係数_バス貨物_CNG,係数_バス貨物_軽油,係数_バス貨物_メタノール,係数_バス貨物_LPG),MATCH(AY536+1,【参考】排出係数!$AI$4:$AI$671,1)-1,5,BE536),5,FALSE)),IF(AND(BE536=3,LEFT(BF536,1)="1"),0.055,VLOOKUP(AU536,INDEX((係数_乗用_ガソリン,係数_乗用_CNG,係数_乗用_軽油,係数_乗用_メタノール,係数_乗用_LPG),1,1,BE536):INDEX((係数_乗用_ガソリン,係数_乗用_CNG,係数_乗用_軽油,係数_乗用_メタノール,係数_乗用_LPG),125,5,BE536),5,FALSE)))))</f>
        <v/>
      </c>
      <c r="AN536" s="461" t="str">
        <f t="shared" si="317"/>
        <v/>
      </c>
      <c r="AO536" s="462" t="str">
        <f t="shared" si="318"/>
        <v/>
      </c>
      <c r="AP536" s="463" t="str">
        <f t="shared" si="319"/>
        <v/>
      </c>
      <c r="AQ536" s="464"/>
      <c r="AR536" s="619"/>
      <c r="AS536" s="465" t="str">
        <f t="shared" si="298"/>
        <v/>
      </c>
      <c r="AT536" s="465" t="str">
        <f t="shared" si="299"/>
        <v/>
      </c>
      <c r="AU536" s="466" t="str">
        <f t="shared" si="300"/>
        <v/>
      </c>
      <c r="AV536" s="467" t="str">
        <f t="shared" si="301"/>
        <v/>
      </c>
      <c r="AW536" s="467" t="str">
        <f t="shared" si="302"/>
        <v/>
      </c>
      <c r="AX536" s="467" t="str">
        <f t="shared" si="303"/>
        <v/>
      </c>
      <c r="AY536" s="467" t="str">
        <f t="shared" si="304"/>
        <v/>
      </c>
      <c r="AZ536" s="467" t="str">
        <f t="shared" si="305"/>
        <v/>
      </c>
      <c r="BA536" s="468" t="str">
        <f>IF(AS536="","",IF(OR(AU536="",AU536="-"),"－",IF(OR(AZ536=8,AZ536=9),"",IF(OR(AW536=3,AW536=4,AW536=5,AW536=6),VLOOKUP(AU536,INDEX((係数_バス貨物_ガソリン,係数_バス貨物_CNG,係数_バス貨物_軽油,係数_バス貨物_メタノール,係数_バス貨物_LPG),MATCH(AY536,【参考】排出係数!$AI$4:$AI$671,1),1,BE536):INDEX((係数_バス貨物_ガソリン,係数_バス貨物_CNG,係数_バス貨物_軽油,係数_バス貨物_メタノール,係数_バス貨物_LPG),MATCH(AY536+1,【参考】排出係数!$AI$4:$AI$671,1)-1,5,BE536),2,FALSE),IF(OR(AW536=1,AW536=2),VLOOKUP(AU536,INDEX((係数_乗用_ガソリン,係数_乗用_CNG,係数_乗用_軽油,係数_乗用_メタノール,係数_乗用_LPG),1,1,BE536):INDEX((係数_乗用_ガソリン,係数_乗用_CNG,係数_乗用_軽油,係数_乗用_メタノール,係数_乗用_LPG),125,5,BE536),2,FALSE))))))</f>
        <v/>
      </c>
      <c r="BB536" s="468" t="str">
        <f>IF(T536="","",IF(OR(AU536="",AU536="-"),"－",IF(OR(AZ536=8,AZ536=9),"",IF(OR(AW536=3,AW536=4,AW536=5,AW536=6),VLOOKUP(AU536,INDEX((係数_バス貨物_ガソリン,係数_バス貨物_CNG,係数_バス貨物_軽油,係数_バス貨物_メタノール,係数_バス貨物_LPG),MATCH(AY536,【参考】排出係数!$AI$4:$AI$671,1),1,BE536):INDEX((係数_バス貨物_ガソリン,係数_バス貨物_CNG,係数_バス貨物_軽油,係数_バス貨物_メタノール,係数_バス貨物_LPG),MATCH(AY536+1,【参考】排出係数!$AI$4:$AI$671,1)-1,5,BE536),3,FALSE),IF(OR(AW536=1,AW536=2),VLOOKUP(AU536,INDEX((係数_乗用_ガソリン,係数_乗用_CNG,係数_乗用_軽油,係数_乗用_メタノール,係数_乗用_LPG),1,1,BE536):INDEX((係数_乗用_ガソリン,係数_乗用_CNG,係数_乗用_軽油,係数_乗用_メタノール,係数_乗用_LPG),125,5,BE536),3,FALSE))))))</f>
        <v/>
      </c>
      <c r="BC536" s="467" t="str">
        <f t="shared" si="306"/>
        <v/>
      </c>
      <c r="BD536" s="567" t="str">
        <f t="shared" si="307"/>
        <v/>
      </c>
      <c r="BE536" s="467" t="str">
        <f t="shared" si="308"/>
        <v/>
      </c>
      <c r="BF536" s="469" t="str">
        <f t="shared" ca="1" si="309"/>
        <v/>
      </c>
      <c r="BG536" s="469" t="str">
        <f t="shared" ca="1" si="310"/>
        <v/>
      </c>
      <c r="BH536" s="467" t="str">
        <f t="shared" si="311"/>
        <v/>
      </c>
      <c r="BI536" s="467" t="str">
        <f t="shared" ca="1" si="312"/>
        <v/>
      </c>
      <c r="BJ536" s="469" t="str">
        <f t="shared" si="313"/>
        <v/>
      </c>
      <c r="BK536" s="470" t="str">
        <f t="shared" si="293"/>
        <v/>
      </c>
      <c r="BL536" s="775" t="str">
        <f t="shared" si="314"/>
        <v/>
      </c>
      <c r="BM536" s="775" t="str">
        <f t="shared" si="315"/>
        <v/>
      </c>
    </row>
    <row r="537" spans="1:65">
      <c r="A537" s="473">
        <v>481</v>
      </c>
      <c r="B537" s="132"/>
      <c r="C537" s="332"/>
      <c r="D537" s="333"/>
      <c r="E537" s="333"/>
      <c r="F537" s="334"/>
      <c r="G537" s="337"/>
      <c r="H537" s="131"/>
      <c r="I537" s="337"/>
      <c r="J537" s="131"/>
      <c r="K537" s="458" t="str">
        <f t="shared" si="282"/>
        <v/>
      </c>
      <c r="L537" s="458">
        <f t="shared" si="294"/>
        <v>0</v>
      </c>
      <c r="M537" s="458">
        <f t="shared" si="295"/>
        <v>0</v>
      </c>
      <c r="N537" s="459" t="str">
        <f t="shared" si="283"/>
        <v/>
      </c>
      <c r="O537" s="459" t="str">
        <f t="shared" si="284"/>
        <v/>
      </c>
      <c r="P537" s="459" t="str">
        <f t="shared" si="285"/>
        <v/>
      </c>
      <c r="Q537" s="459" t="str">
        <f t="shared" si="286"/>
        <v/>
      </c>
      <c r="R537" s="459" t="str">
        <f t="shared" si="287"/>
        <v/>
      </c>
      <c r="S537" s="459" t="str">
        <f t="shared" si="288"/>
        <v/>
      </c>
      <c r="T537" s="566" t="str">
        <f t="shared" si="296"/>
        <v/>
      </c>
      <c r="U537" s="702"/>
      <c r="V537" s="132"/>
      <c r="W537" s="133"/>
      <c r="X537" s="134"/>
      <c r="Y537" s="135"/>
      <c r="Z537" s="137"/>
      <c r="AA537" s="136"/>
      <c r="AB537" s="566" t="str">
        <f t="shared" si="289"/>
        <v/>
      </c>
      <c r="AC537" s="568" t="str">
        <f t="shared" si="297"/>
        <v/>
      </c>
      <c r="AD537" s="137"/>
      <c r="AE537" s="137"/>
      <c r="AF537" s="138"/>
      <c r="AG537" s="138"/>
      <c r="AH537" s="592" t="str">
        <f t="shared" si="290"/>
        <v/>
      </c>
      <c r="AI537" s="592" t="str">
        <f t="shared" si="291"/>
        <v/>
      </c>
      <c r="AJ537" s="592" t="str">
        <f t="shared" si="292"/>
        <v/>
      </c>
      <c r="AK537" s="460" t="str">
        <f>IF(AU537="","",IF(OR(AZ537=8,AZ537=9),0,IF(OR(AW537=3,AW537=4,AW537=5,AW537=6),IF(LEFT(BF537,1)="1",INDEX(係数_NOX・PM低減,MATCH(AY537,【参考】排出係数!$AI$801:$AI$804,1),1),VLOOKUP(AU537,INDEX((係数_バス貨物_ガソリン,係数_バス貨物_CNG,係数_バス貨物_軽油,係数_バス貨物_メタノール,係数_バス貨物_LPG),MATCH(AY537,【参考】排出係数!$AI$4:$AI$671,1),1,BE537):INDEX((係数_バス貨物_ガソリン,係数_バス貨物_CNG,係数_バス貨物_軽油,係数_バス貨物_メタノール,係数_バス貨物_LPG),MATCH(AY537+1,【参考】排出係数!$AI$4:$AI$671,1)-1,5,BE537),4,FALSE)),IF(AND(BE537=3,LEFT(BF537,1)="1"),0.48,VLOOKUP(AU537,INDEX((係数_乗用_ガソリン,係数_乗用_CNG,係数_乗用_軽油,係数_乗用_メタノール,係数_乗用_LPG),1,1,BE537):INDEX((係数_乗用_ガソリン,係数_乗用_CNG,係数_乗用_軽油,係数_乗用_メタノール,係数_乗用_LPG),125,5,BE537),4,FALSE)))))</f>
        <v/>
      </c>
      <c r="AL537" s="461" t="str">
        <f t="shared" si="316"/>
        <v/>
      </c>
      <c r="AM537" s="460" t="str">
        <f>IF(AU537="","",IF(OR(AZ537=8,AZ537=9),0,IF(OR(AW537=3,AW537=4,AW537=5,AW537=6),IF(LEFT(BH537,1)="1",INDEX(係数_PM低減,MATCH(AY537,【参考】排出係数!$AI$801:$AI$804,1),MATCH(BI537,【参考】排出係数!$AL$798:$AO$798,1)),VLOOKUP(AU537,INDEX((係数_バス貨物_ガソリン,係数_バス貨物_CNG,係数_バス貨物_軽油,係数_バス貨物_メタノール,係数_バス貨物_LPG),MATCH(AY537,【参考】排出係数!$AI$4:$AI$671,1),1,BE537):INDEX((係数_バス貨物_ガソリン,係数_バス貨物_CNG,係数_バス貨物_軽油,係数_バス貨物_メタノール,係数_バス貨物_LPG),MATCH(AY537+1,【参考】排出係数!$AI$4:$AI$671,1)-1,5,BE537),5,FALSE)),IF(AND(BE537=3,LEFT(BF537,1)="1"),0.055,VLOOKUP(AU537,INDEX((係数_乗用_ガソリン,係数_乗用_CNG,係数_乗用_軽油,係数_乗用_メタノール,係数_乗用_LPG),1,1,BE537):INDEX((係数_乗用_ガソリン,係数_乗用_CNG,係数_乗用_軽油,係数_乗用_メタノール,係数_乗用_LPG),125,5,BE537),5,FALSE)))))</f>
        <v/>
      </c>
      <c r="AN537" s="461" t="str">
        <f t="shared" si="317"/>
        <v/>
      </c>
      <c r="AO537" s="462" t="str">
        <f t="shared" si="318"/>
        <v/>
      </c>
      <c r="AP537" s="463" t="str">
        <f t="shared" si="319"/>
        <v/>
      </c>
      <c r="AQ537" s="464"/>
      <c r="AR537" s="619"/>
      <c r="AS537" s="465" t="str">
        <f t="shared" si="298"/>
        <v/>
      </c>
      <c r="AT537" s="465" t="str">
        <f t="shared" si="299"/>
        <v/>
      </c>
      <c r="AU537" s="466" t="str">
        <f t="shared" si="300"/>
        <v/>
      </c>
      <c r="AV537" s="467" t="str">
        <f t="shared" si="301"/>
        <v/>
      </c>
      <c r="AW537" s="467" t="str">
        <f t="shared" si="302"/>
        <v/>
      </c>
      <c r="AX537" s="467" t="str">
        <f t="shared" si="303"/>
        <v/>
      </c>
      <c r="AY537" s="467" t="str">
        <f t="shared" si="304"/>
        <v/>
      </c>
      <c r="AZ537" s="467" t="str">
        <f t="shared" si="305"/>
        <v/>
      </c>
      <c r="BA537" s="468" t="str">
        <f>IF(AS537="","",IF(OR(AU537="",AU537="-"),"－",IF(OR(AZ537=8,AZ537=9),"",IF(OR(AW537=3,AW537=4,AW537=5,AW537=6),VLOOKUP(AU537,INDEX((係数_バス貨物_ガソリン,係数_バス貨物_CNG,係数_バス貨物_軽油,係数_バス貨物_メタノール,係数_バス貨物_LPG),MATCH(AY537,【参考】排出係数!$AI$4:$AI$671,1),1,BE537):INDEX((係数_バス貨物_ガソリン,係数_バス貨物_CNG,係数_バス貨物_軽油,係数_バス貨物_メタノール,係数_バス貨物_LPG),MATCH(AY537+1,【参考】排出係数!$AI$4:$AI$671,1)-1,5,BE537),2,FALSE),IF(OR(AW537=1,AW537=2),VLOOKUP(AU537,INDEX((係数_乗用_ガソリン,係数_乗用_CNG,係数_乗用_軽油,係数_乗用_メタノール,係数_乗用_LPG),1,1,BE537):INDEX((係数_乗用_ガソリン,係数_乗用_CNG,係数_乗用_軽油,係数_乗用_メタノール,係数_乗用_LPG),125,5,BE537),2,FALSE))))))</f>
        <v/>
      </c>
      <c r="BB537" s="468" t="str">
        <f>IF(T537="","",IF(OR(AU537="",AU537="-"),"－",IF(OR(AZ537=8,AZ537=9),"",IF(OR(AW537=3,AW537=4,AW537=5,AW537=6),VLOOKUP(AU537,INDEX((係数_バス貨物_ガソリン,係数_バス貨物_CNG,係数_バス貨物_軽油,係数_バス貨物_メタノール,係数_バス貨物_LPG),MATCH(AY537,【参考】排出係数!$AI$4:$AI$671,1),1,BE537):INDEX((係数_バス貨物_ガソリン,係数_バス貨物_CNG,係数_バス貨物_軽油,係数_バス貨物_メタノール,係数_バス貨物_LPG),MATCH(AY537+1,【参考】排出係数!$AI$4:$AI$671,1)-1,5,BE537),3,FALSE),IF(OR(AW537=1,AW537=2),VLOOKUP(AU537,INDEX((係数_乗用_ガソリン,係数_乗用_CNG,係数_乗用_軽油,係数_乗用_メタノール,係数_乗用_LPG),1,1,BE537):INDEX((係数_乗用_ガソリン,係数_乗用_CNG,係数_乗用_軽油,係数_乗用_メタノール,係数_乗用_LPG),125,5,BE537),3,FALSE))))))</f>
        <v/>
      </c>
      <c r="BC537" s="467" t="str">
        <f t="shared" si="306"/>
        <v/>
      </c>
      <c r="BD537" s="567" t="str">
        <f t="shared" si="307"/>
        <v/>
      </c>
      <c r="BE537" s="467" t="str">
        <f t="shared" si="308"/>
        <v/>
      </c>
      <c r="BF537" s="469" t="str">
        <f t="shared" ca="1" si="309"/>
        <v/>
      </c>
      <c r="BG537" s="469" t="str">
        <f t="shared" ca="1" si="310"/>
        <v/>
      </c>
      <c r="BH537" s="467" t="str">
        <f t="shared" si="311"/>
        <v/>
      </c>
      <c r="BI537" s="467" t="str">
        <f t="shared" ca="1" si="312"/>
        <v/>
      </c>
      <c r="BJ537" s="469" t="str">
        <f t="shared" si="313"/>
        <v/>
      </c>
      <c r="BK537" s="470" t="str">
        <f t="shared" si="293"/>
        <v/>
      </c>
      <c r="BL537" s="775" t="str">
        <f t="shared" si="314"/>
        <v/>
      </c>
      <c r="BM537" s="775" t="str">
        <f t="shared" si="315"/>
        <v/>
      </c>
    </row>
    <row r="538" spans="1:65">
      <c r="A538" s="473">
        <v>482</v>
      </c>
      <c r="B538" s="132"/>
      <c r="C538" s="332"/>
      <c r="D538" s="333"/>
      <c r="E538" s="333"/>
      <c r="F538" s="334"/>
      <c r="G538" s="337"/>
      <c r="H538" s="131"/>
      <c r="I538" s="337"/>
      <c r="J538" s="131"/>
      <c r="K538" s="458" t="str">
        <f t="shared" si="282"/>
        <v/>
      </c>
      <c r="L538" s="458">
        <f t="shared" si="294"/>
        <v>0</v>
      </c>
      <c r="M538" s="458">
        <f t="shared" si="295"/>
        <v>0</v>
      </c>
      <c r="N538" s="459" t="str">
        <f t="shared" si="283"/>
        <v/>
      </c>
      <c r="O538" s="459" t="str">
        <f t="shared" si="284"/>
        <v/>
      </c>
      <c r="P538" s="459" t="str">
        <f t="shared" si="285"/>
        <v/>
      </c>
      <c r="Q538" s="459" t="str">
        <f t="shared" si="286"/>
        <v/>
      </c>
      <c r="R538" s="459" t="str">
        <f t="shared" si="287"/>
        <v/>
      </c>
      <c r="S538" s="459" t="str">
        <f t="shared" si="288"/>
        <v/>
      </c>
      <c r="T538" s="566" t="str">
        <f t="shared" si="296"/>
        <v/>
      </c>
      <c r="U538" s="702"/>
      <c r="V538" s="132"/>
      <c r="W538" s="133"/>
      <c r="X538" s="134"/>
      <c r="Y538" s="135"/>
      <c r="Z538" s="137"/>
      <c r="AA538" s="136"/>
      <c r="AB538" s="566" t="str">
        <f t="shared" si="289"/>
        <v/>
      </c>
      <c r="AC538" s="568" t="str">
        <f t="shared" si="297"/>
        <v/>
      </c>
      <c r="AD538" s="137"/>
      <c r="AE538" s="137"/>
      <c r="AF538" s="138"/>
      <c r="AG538" s="138"/>
      <c r="AH538" s="592" t="str">
        <f t="shared" si="290"/>
        <v/>
      </c>
      <c r="AI538" s="592" t="str">
        <f t="shared" si="291"/>
        <v/>
      </c>
      <c r="AJ538" s="592" t="str">
        <f t="shared" si="292"/>
        <v/>
      </c>
      <c r="AK538" s="460" t="str">
        <f>IF(AU538="","",IF(OR(AZ538=8,AZ538=9),0,IF(OR(AW538=3,AW538=4,AW538=5,AW538=6),IF(LEFT(BF538,1)="1",INDEX(係数_NOX・PM低減,MATCH(AY538,【参考】排出係数!$AI$801:$AI$804,1),1),VLOOKUP(AU538,INDEX((係数_バス貨物_ガソリン,係数_バス貨物_CNG,係数_バス貨物_軽油,係数_バス貨物_メタノール,係数_バス貨物_LPG),MATCH(AY538,【参考】排出係数!$AI$4:$AI$671,1),1,BE538):INDEX((係数_バス貨物_ガソリン,係数_バス貨物_CNG,係数_バス貨物_軽油,係数_バス貨物_メタノール,係数_バス貨物_LPG),MATCH(AY538+1,【参考】排出係数!$AI$4:$AI$671,1)-1,5,BE538),4,FALSE)),IF(AND(BE538=3,LEFT(BF538,1)="1"),0.48,VLOOKUP(AU538,INDEX((係数_乗用_ガソリン,係数_乗用_CNG,係数_乗用_軽油,係数_乗用_メタノール,係数_乗用_LPG),1,1,BE538):INDEX((係数_乗用_ガソリン,係数_乗用_CNG,係数_乗用_軽油,係数_乗用_メタノール,係数_乗用_LPG),125,5,BE538),4,FALSE)))))</f>
        <v/>
      </c>
      <c r="AL538" s="461" t="str">
        <f t="shared" si="316"/>
        <v/>
      </c>
      <c r="AM538" s="460" t="str">
        <f>IF(AU538="","",IF(OR(AZ538=8,AZ538=9),0,IF(OR(AW538=3,AW538=4,AW538=5,AW538=6),IF(LEFT(BH538,1)="1",INDEX(係数_PM低減,MATCH(AY538,【参考】排出係数!$AI$801:$AI$804,1),MATCH(BI538,【参考】排出係数!$AL$798:$AO$798,1)),VLOOKUP(AU538,INDEX((係数_バス貨物_ガソリン,係数_バス貨物_CNG,係数_バス貨物_軽油,係数_バス貨物_メタノール,係数_バス貨物_LPG),MATCH(AY538,【参考】排出係数!$AI$4:$AI$671,1),1,BE538):INDEX((係数_バス貨物_ガソリン,係数_バス貨物_CNG,係数_バス貨物_軽油,係数_バス貨物_メタノール,係数_バス貨物_LPG),MATCH(AY538+1,【参考】排出係数!$AI$4:$AI$671,1)-1,5,BE538),5,FALSE)),IF(AND(BE538=3,LEFT(BF538,1)="1"),0.055,VLOOKUP(AU538,INDEX((係数_乗用_ガソリン,係数_乗用_CNG,係数_乗用_軽油,係数_乗用_メタノール,係数_乗用_LPG),1,1,BE538):INDEX((係数_乗用_ガソリン,係数_乗用_CNG,係数_乗用_軽油,係数_乗用_メタノール,係数_乗用_LPG),125,5,BE538),5,FALSE)))))</f>
        <v/>
      </c>
      <c r="AN538" s="461" t="str">
        <f t="shared" si="317"/>
        <v/>
      </c>
      <c r="AO538" s="462" t="str">
        <f t="shared" si="318"/>
        <v/>
      </c>
      <c r="AP538" s="463" t="str">
        <f t="shared" si="319"/>
        <v/>
      </c>
      <c r="AQ538" s="464"/>
      <c r="AR538" s="619"/>
      <c r="AS538" s="465" t="str">
        <f t="shared" si="298"/>
        <v/>
      </c>
      <c r="AT538" s="465" t="str">
        <f t="shared" si="299"/>
        <v/>
      </c>
      <c r="AU538" s="466" t="str">
        <f t="shared" si="300"/>
        <v/>
      </c>
      <c r="AV538" s="467" t="str">
        <f t="shared" si="301"/>
        <v/>
      </c>
      <c r="AW538" s="467" t="str">
        <f t="shared" si="302"/>
        <v/>
      </c>
      <c r="AX538" s="467" t="str">
        <f t="shared" si="303"/>
        <v/>
      </c>
      <c r="AY538" s="467" t="str">
        <f t="shared" si="304"/>
        <v/>
      </c>
      <c r="AZ538" s="467" t="str">
        <f t="shared" si="305"/>
        <v/>
      </c>
      <c r="BA538" s="468" t="str">
        <f>IF(AS538="","",IF(OR(AU538="",AU538="-"),"－",IF(OR(AZ538=8,AZ538=9),"",IF(OR(AW538=3,AW538=4,AW538=5,AW538=6),VLOOKUP(AU538,INDEX((係数_バス貨物_ガソリン,係数_バス貨物_CNG,係数_バス貨物_軽油,係数_バス貨物_メタノール,係数_バス貨物_LPG),MATCH(AY538,【参考】排出係数!$AI$4:$AI$671,1),1,BE538):INDEX((係数_バス貨物_ガソリン,係数_バス貨物_CNG,係数_バス貨物_軽油,係数_バス貨物_メタノール,係数_バス貨物_LPG),MATCH(AY538+1,【参考】排出係数!$AI$4:$AI$671,1)-1,5,BE538),2,FALSE),IF(OR(AW538=1,AW538=2),VLOOKUP(AU538,INDEX((係数_乗用_ガソリン,係数_乗用_CNG,係数_乗用_軽油,係数_乗用_メタノール,係数_乗用_LPG),1,1,BE538):INDEX((係数_乗用_ガソリン,係数_乗用_CNG,係数_乗用_軽油,係数_乗用_メタノール,係数_乗用_LPG),125,5,BE538),2,FALSE))))))</f>
        <v/>
      </c>
      <c r="BB538" s="468" t="str">
        <f>IF(T538="","",IF(OR(AU538="",AU538="-"),"－",IF(OR(AZ538=8,AZ538=9),"",IF(OR(AW538=3,AW538=4,AW538=5,AW538=6),VLOOKUP(AU538,INDEX((係数_バス貨物_ガソリン,係数_バス貨物_CNG,係数_バス貨物_軽油,係数_バス貨物_メタノール,係数_バス貨物_LPG),MATCH(AY538,【参考】排出係数!$AI$4:$AI$671,1),1,BE538):INDEX((係数_バス貨物_ガソリン,係数_バス貨物_CNG,係数_バス貨物_軽油,係数_バス貨物_メタノール,係数_バス貨物_LPG),MATCH(AY538+1,【参考】排出係数!$AI$4:$AI$671,1)-1,5,BE538),3,FALSE),IF(OR(AW538=1,AW538=2),VLOOKUP(AU538,INDEX((係数_乗用_ガソリン,係数_乗用_CNG,係数_乗用_軽油,係数_乗用_メタノール,係数_乗用_LPG),1,1,BE538):INDEX((係数_乗用_ガソリン,係数_乗用_CNG,係数_乗用_軽油,係数_乗用_メタノール,係数_乗用_LPG),125,5,BE538),3,FALSE))))))</f>
        <v/>
      </c>
      <c r="BC538" s="467" t="str">
        <f t="shared" si="306"/>
        <v/>
      </c>
      <c r="BD538" s="567" t="str">
        <f t="shared" si="307"/>
        <v/>
      </c>
      <c r="BE538" s="467" t="str">
        <f t="shared" si="308"/>
        <v/>
      </c>
      <c r="BF538" s="469" t="str">
        <f t="shared" ca="1" si="309"/>
        <v/>
      </c>
      <c r="BG538" s="469" t="str">
        <f t="shared" ca="1" si="310"/>
        <v/>
      </c>
      <c r="BH538" s="467" t="str">
        <f t="shared" si="311"/>
        <v/>
      </c>
      <c r="BI538" s="467" t="str">
        <f t="shared" ca="1" si="312"/>
        <v/>
      </c>
      <c r="BJ538" s="469" t="str">
        <f t="shared" si="313"/>
        <v/>
      </c>
      <c r="BK538" s="470" t="str">
        <f t="shared" si="293"/>
        <v/>
      </c>
      <c r="BL538" s="775" t="str">
        <f t="shared" si="314"/>
        <v/>
      </c>
      <c r="BM538" s="775" t="str">
        <f t="shared" si="315"/>
        <v/>
      </c>
    </row>
    <row r="539" spans="1:65">
      <c r="A539" s="473">
        <v>483</v>
      </c>
      <c r="B539" s="132"/>
      <c r="C539" s="332"/>
      <c r="D539" s="333"/>
      <c r="E539" s="333"/>
      <c r="F539" s="334"/>
      <c r="G539" s="337"/>
      <c r="H539" s="131"/>
      <c r="I539" s="337"/>
      <c r="J539" s="131"/>
      <c r="K539" s="458" t="str">
        <f t="shared" si="282"/>
        <v/>
      </c>
      <c r="L539" s="458">
        <f t="shared" si="294"/>
        <v>0</v>
      </c>
      <c r="M539" s="458">
        <f t="shared" si="295"/>
        <v>0</v>
      </c>
      <c r="N539" s="459" t="str">
        <f t="shared" si="283"/>
        <v/>
      </c>
      <c r="O539" s="459" t="str">
        <f t="shared" si="284"/>
        <v/>
      </c>
      <c r="P539" s="459" t="str">
        <f t="shared" si="285"/>
        <v/>
      </c>
      <c r="Q539" s="459" t="str">
        <f t="shared" si="286"/>
        <v/>
      </c>
      <c r="R539" s="459" t="str">
        <f t="shared" si="287"/>
        <v/>
      </c>
      <c r="S539" s="459" t="str">
        <f t="shared" si="288"/>
        <v/>
      </c>
      <c r="T539" s="566" t="str">
        <f t="shared" si="296"/>
        <v/>
      </c>
      <c r="U539" s="702"/>
      <c r="V539" s="132"/>
      <c r="W539" s="133"/>
      <c r="X539" s="134"/>
      <c r="Y539" s="135"/>
      <c r="Z539" s="137"/>
      <c r="AA539" s="136"/>
      <c r="AB539" s="566" t="str">
        <f t="shared" si="289"/>
        <v/>
      </c>
      <c r="AC539" s="568" t="str">
        <f t="shared" si="297"/>
        <v/>
      </c>
      <c r="AD539" s="137"/>
      <c r="AE539" s="137"/>
      <c r="AF539" s="138"/>
      <c r="AG539" s="138"/>
      <c r="AH539" s="592" t="str">
        <f t="shared" si="290"/>
        <v/>
      </c>
      <c r="AI539" s="592" t="str">
        <f t="shared" si="291"/>
        <v/>
      </c>
      <c r="AJ539" s="592" t="str">
        <f t="shared" si="292"/>
        <v/>
      </c>
      <c r="AK539" s="460" t="str">
        <f>IF(AU539="","",IF(OR(AZ539=8,AZ539=9),0,IF(OR(AW539=3,AW539=4,AW539=5,AW539=6),IF(LEFT(BF539,1)="1",INDEX(係数_NOX・PM低減,MATCH(AY539,【参考】排出係数!$AI$801:$AI$804,1),1),VLOOKUP(AU539,INDEX((係数_バス貨物_ガソリン,係数_バス貨物_CNG,係数_バス貨物_軽油,係数_バス貨物_メタノール,係数_バス貨物_LPG),MATCH(AY539,【参考】排出係数!$AI$4:$AI$671,1),1,BE539):INDEX((係数_バス貨物_ガソリン,係数_バス貨物_CNG,係数_バス貨物_軽油,係数_バス貨物_メタノール,係数_バス貨物_LPG),MATCH(AY539+1,【参考】排出係数!$AI$4:$AI$671,1)-1,5,BE539),4,FALSE)),IF(AND(BE539=3,LEFT(BF539,1)="1"),0.48,VLOOKUP(AU539,INDEX((係数_乗用_ガソリン,係数_乗用_CNG,係数_乗用_軽油,係数_乗用_メタノール,係数_乗用_LPG),1,1,BE539):INDEX((係数_乗用_ガソリン,係数_乗用_CNG,係数_乗用_軽油,係数_乗用_メタノール,係数_乗用_LPG),125,5,BE539),4,FALSE)))))</f>
        <v/>
      </c>
      <c r="AL539" s="461" t="str">
        <f t="shared" si="316"/>
        <v/>
      </c>
      <c r="AM539" s="460" t="str">
        <f>IF(AU539="","",IF(OR(AZ539=8,AZ539=9),0,IF(OR(AW539=3,AW539=4,AW539=5,AW539=6),IF(LEFT(BH539,1)="1",INDEX(係数_PM低減,MATCH(AY539,【参考】排出係数!$AI$801:$AI$804,1),MATCH(BI539,【参考】排出係数!$AL$798:$AO$798,1)),VLOOKUP(AU539,INDEX((係数_バス貨物_ガソリン,係数_バス貨物_CNG,係数_バス貨物_軽油,係数_バス貨物_メタノール,係数_バス貨物_LPG),MATCH(AY539,【参考】排出係数!$AI$4:$AI$671,1),1,BE539):INDEX((係数_バス貨物_ガソリン,係数_バス貨物_CNG,係数_バス貨物_軽油,係数_バス貨物_メタノール,係数_バス貨物_LPG),MATCH(AY539+1,【参考】排出係数!$AI$4:$AI$671,1)-1,5,BE539),5,FALSE)),IF(AND(BE539=3,LEFT(BF539,1)="1"),0.055,VLOOKUP(AU539,INDEX((係数_乗用_ガソリン,係数_乗用_CNG,係数_乗用_軽油,係数_乗用_メタノール,係数_乗用_LPG),1,1,BE539):INDEX((係数_乗用_ガソリン,係数_乗用_CNG,係数_乗用_軽油,係数_乗用_メタノール,係数_乗用_LPG),125,5,BE539),5,FALSE)))))</f>
        <v/>
      </c>
      <c r="AN539" s="461" t="str">
        <f t="shared" si="317"/>
        <v/>
      </c>
      <c r="AO539" s="462" t="str">
        <f t="shared" si="318"/>
        <v/>
      </c>
      <c r="AP539" s="463" t="str">
        <f t="shared" si="319"/>
        <v/>
      </c>
      <c r="AQ539" s="464"/>
      <c r="AR539" s="619"/>
      <c r="AS539" s="465" t="str">
        <f t="shared" si="298"/>
        <v/>
      </c>
      <c r="AT539" s="465" t="str">
        <f t="shared" si="299"/>
        <v/>
      </c>
      <c r="AU539" s="466" t="str">
        <f t="shared" si="300"/>
        <v/>
      </c>
      <c r="AV539" s="467" t="str">
        <f t="shared" si="301"/>
        <v/>
      </c>
      <c r="AW539" s="467" t="str">
        <f t="shared" si="302"/>
        <v/>
      </c>
      <c r="AX539" s="467" t="str">
        <f t="shared" si="303"/>
        <v/>
      </c>
      <c r="AY539" s="467" t="str">
        <f t="shared" si="304"/>
        <v/>
      </c>
      <c r="AZ539" s="467" t="str">
        <f t="shared" si="305"/>
        <v/>
      </c>
      <c r="BA539" s="468" t="str">
        <f>IF(AS539="","",IF(OR(AU539="",AU539="-"),"－",IF(OR(AZ539=8,AZ539=9),"",IF(OR(AW539=3,AW539=4,AW539=5,AW539=6),VLOOKUP(AU539,INDEX((係数_バス貨物_ガソリン,係数_バス貨物_CNG,係数_バス貨物_軽油,係数_バス貨物_メタノール,係数_バス貨物_LPG),MATCH(AY539,【参考】排出係数!$AI$4:$AI$671,1),1,BE539):INDEX((係数_バス貨物_ガソリン,係数_バス貨物_CNG,係数_バス貨物_軽油,係数_バス貨物_メタノール,係数_バス貨物_LPG),MATCH(AY539+1,【参考】排出係数!$AI$4:$AI$671,1)-1,5,BE539),2,FALSE),IF(OR(AW539=1,AW539=2),VLOOKUP(AU539,INDEX((係数_乗用_ガソリン,係数_乗用_CNG,係数_乗用_軽油,係数_乗用_メタノール,係数_乗用_LPG),1,1,BE539):INDEX((係数_乗用_ガソリン,係数_乗用_CNG,係数_乗用_軽油,係数_乗用_メタノール,係数_乗用_LPG),125,5,BE539),2,FALSE))))))</f>
        <v/>
      </c>
      <c r="BB539" s="468" t="str">
        <f>IF(T539="","",IF(OR(AU539="",AU539="-"),"－",IF(OR(AZ539=8,AZ539=9),"",IF(OR(AW539=3,AW539=4,AW539=5,AW539=6),VLOOKUP(AU539,INDEX((係数_バス貨物_ガソリン,係数_バス貨物_CNG,係数_バス貨物_軽油,係数_バス貨物_メタノール,係数_バス貨物_LPG),MATCH(AY539,【参考】排出係数!$AI$4:$AI$671,1),1,BE539):INDEX((係数_バス貨物_ガソリン,係数_バス貨物_CNG,係数_バス貨物_軽油,係数_バス貨物_メタノール,係数_バス貨物_LPG),MATCH(AY539+1,【参考】排出係数!$AI$4:$AI$671,1)-1,5,BE539),3,FALSE),IF(OR(AW539=1,AW539=2),VLOOKUP(AU539,INDEX((係数_乗用_ガソリン,係数_乗用_CNG,係数_乗用_軽油,係数_乗用_メタノール,係数_乗用_LPG),1,1,BE539):INDEX((係数_乗用_ガソリン,係数_乗用_CNG,係数_乗用_軽油,係数_乗用_メタノール,係数_乗用_LPG),125,5,BE539),3,FALSE))))))</f>
        <v/>
      </c>
      <c r="BC539" s="467" t="str">
        <f t="shared" si="306"/>
        <v/>
      </c>
      <c r="BD539" s="567" t="str">
        <f t="shared" si="307"/>
        <v/>
      </c>
      <c r="BE539" s="467" t="str">
        <f t="shared" si="308"/>
        <v/>
      </c>
      <c r="BF539" s="469" t="str">
        <f t="shared" ca="1" si="309"/>
        <v/>
      </c>
      <c r="BG539" s="469" t="str">
        <f t="shared" ca="1" si="310"/>
        <v/>
      </c>
      <c r="BH539" s="467" t="str">
        <f t="shared" si="311"/>
        <v/>
      </c>
      <c r="BI539" s="467" t="str">
        <f t="shared" ca="1" si="312"/>
        <v/>
      </c>
      <c r="BJ539" s="469" t="str">
        <f t="shared" si="313"/>
        <v/>
      </c>
      <c r="BK539" s="470" t="str">
        <f t="shared" si="293"/>
        <v/>
      </c>
      <c r="BL539" s="775" t="str">
        <f t="shared" si="314"/>
        <v/>
      </c>
      <c r="BM539" s="775" t="str">
        <f t="shared" si="315"/>
        <v/>
      </c>
    </row>
    <row r="540" spans="1:65">
      <c r="A540" s="473">
        <v>484</v>
      </c>
      <c r="B540" s="132"/>
      <c r="C540" s="332"/>
      <c r="D540" s="333"/>
      <c r="E540" s="333"/>
      <c r="F540" s="334"/>
      <c r="G540" s="337"/>
      <c r="H540" s="131"/>
      <c r="I540" s="337"/>
      <c r="J540" s="131"/>
      <c r="K540" s="458" t="str">
        <f t="shared" si="282"/>
        <v/>
      </c>
      <c r="L540" s="458">
        <f t="shared" si="294"/>
        <v>0</v>
      </c>
      <c r="M540" s="458">
        <f t="shared" si="295"/>
        <v>0</v>
      </c>
      <c r="N540" s="459" t="str">
        <f t="shared" si="283"/>
        <v/>
      </c>
      <c r="O540" s="459" t="str">
        <f t="shared" si="284"/>
        <v/>
      </c>
      <c r="P540" s="459" t="str">
        <f t="shared" si="285"/>
        <v/>
      </c>
      <c r="Q540" s="459" t="str">
        <f t="shared" si="286"/>
        <v/>
      </c>
      <c r="R540" s="459" t="str">
        <f t="shared" si="287"/>
        <v/>
      </c>
      <c r="S540" s="459" t="str">
        <f t="shared" si="288"/>
        <v/>
      </c>
      <c r="T540" s="566" t="str">
        <f t="shared" si="296"/>
        <v/>
      </c>
      <c r="U540" s="702"/>
      <c r="V540" s="132"/>
      <c r="W540" s="133"/>
      <c r="X540" s="134"/>
      <c r="Y540" s="135"/>
      <c r="Z540" s="137"/>
      <c r="AA540" s="136"/>
      <c r="AB540" s="566" t="str">
        <f t="shared" si="289"/>
        <v/>
      </c>
      <c r="AC540" s="568" t="str">
        <f t="shared" si="297"/>
        <v/>
      </c>
      <c r="AD540" s="137"/>
      <c r="AE540" s="137"/>
      <c r="AF540" s="138"/>
      <c r="AG540" s="138"/>
      <c r="AH540" s="592" t="str">
        <f t="shared" si="290"/>
        <v/>
      </c>
      <c r="AI540" s="592" t="str">
        <f t="shared" si="291"/>
        <v/>
      </c>
      <c r="AJ540" s="592" t="str">
        <f t="shared" si="292"/>
        <v/>
      </c>
      <c r="AK540" s="460" t="str">
        <f>IF(AU540="","",IF(OR(AZ540=8,AZ540=9),0,IF(OR(AW540=3,AW540=4,AW540=5,AW540=6),IF(LEFT(BF540,1)="1",INDEX(係数_NOX・PM低減,MATCH(AY540,【参考】排出係数!$AI$801:$AI$804,1),1),VLOOKUP(AU540,INDEX((係数_バス貨物_ガソリン,係数_バス貨物_CNG,係数_バス貨物_軽油,係数_バス貨物_メタノール,係数_バス貨物_LPG),MATCH(AY540,【参考】排出係数!$AI$4:$AI$671,1),1,BE540):INDEX((係数_バス貨物_ガソリン,係数_バス貨物_CNG,係数_バス貨物_軽油,係数_バス貨物_メタノール,係数_バス貨物_LPG),MATCH(AY540+1,【参考】排出係数!$AI$4:$AI$671,1)-1,5,BE540),4,FALSE)),IF(AND(BE540=3,LEFT(BF540,1)="1"),0.48,VLOOKUP(AU540,INDEX((係数_乗用_ガソリン,係数_乗用_CNG,係数_乗用_軽油,係数_乗用_メタノール,係数_乗用_LPG),1,1,BE540):INDEX((係数_乗用_ガソリン,係数_乗用_CNG,係数_乗用_軽油,係数_乗用_メタノール,係数_乗用_LPG),125,5,BE540),4,FALSE)))))</f>
        <v/>
      </c>
      <c r="AL540" s="461" t="str">
        <f t="shared" si="316"/>
        <v/>
      </c>
      <c r="AM540" s="460" t="str">
        <f>IF(AU540="","",IF(OR(AZ540=8,AZ540=9),0,IF(OR(AW540=3,AW540=4,AW540=5,AW540=6),IF(LEFT(BH540,1)="1",INDEX(係数_PM低減,MATCH(AY540,【参考】排出係数!$AI$801:$AI$804,1),MATCH(BI540,【参考】排出係数!$AL$798:$AO$798,1)),VLOOKUP(AU540,INDEX((係数_バス貨物_ガソリン,係数_バス貨物_CNG,係数_バス貨物_軽油,係数_バス貨物_メタノール,係数_バス貨物_LPG),MATCH(AY540,【参考】排出係数!$AI$4:$AI$671,1),1,BE540):INDEX((係数_バス貨物_ガソリン,係数_バス貨物_CNG,係数_バス貨物_軽油,係数_バス貨物_メタノール,係数_バス貨物_LPG),MATCH(AY540+1,【参考】排出係数!$AI$4:$AI$671,1)-1,5,BE540),5,FALSE)),IF(AND(BE540=3,LEFT(BF540,1)="1"),0.055,VLOOKUP(AU540,INDEX((係数_乗用_ガソリン,係数_乗用_CNG,係数_乗用_軽油,係数_乗用_メタノール,係数_乗用_LPG),1,1,BE540):INDEX((係数_乗用_ガソリン,係数_乗用_CNG,係数_乗用_軽油,係数_乗用_メタノール,係数_乗用_LPG),125,5,BE540),5,FALSE)))))</f>
        <v/>
      </c>
      <c r="AN540" s="461" t="str">
        <f t="shared" si="317"/>
        <v/>
      </c>
      <c r="AO540" s="462" t="str">
        <f t="shared" si="318"/>
        <v/>
      </c>
      <c r="AP540" s="463" t="str">
        <f t="shared" si="319"/>
        <v/>
      </c>
      <c r="AQ540" s="464"/>
      <c r="AR540" s="619"/>
      <c r="AS540" s="465" t="str">
        <f t="shared" si="298"/>
        <v/>
      </c>
      <c r="AT540" s="465" t="str">
        <f t="shared" si="299"/>
        <v/>
      </c>
      <c r="AU540" s="466" t="str">
        <f t="shared" si="300"/>
        <v/>
      </c>
      <c r="AV540" s="467" t="str">
        <f t="shared" si="301"/>
        <v/>
      </c>
      <c r="AW540" s="467" t="str">
        <f t="shared" si="302"/>
        <v/>
      </c>
      <c r="AX540" s="467" t="str">
        <f t="shared" si="303"/>
        <v/>
      </c>
      <c r="AY540" s="467" t="str">
        <f t="shared" si="304"/>
        <v/>
      </c>
      <c r="AZ540" s="467" t="str">
        <f t="shared" si="305"/>
        <v/>
      </c>
      <c r="BA540" s="468" t="str">
        <f>IF(AS540="","",IF(OR(AU540="",AU540="-"),"－",IF(OR(AZ540=8,AZ540=9),"",IF(OR(AW540=3,AW540=4,AW540=5,AW540=6),VLOOKUP(AU540,INDEX((係数_バス貨物_ガソリン,係数_バス貨物_CNG,係数_バス貨物_軽油,係数_バス貨物_メタノール,係数_バス貨物_LPG),MATCH(AY540,【参考】排出係数!$AI$4:$AI$671,1),1,BE540):INDEX((係数_バス貨物_ガソリン,係数_バス貨物_CNG,係数_バス貨物_軽油,係数_バス貨物_メタノール,係数_バス貨物_LPG),MATCH(AY540+1,【参考】排出係数!$AI$4:$AI$671,1)-1,5,BE540),2,FALSE),IF(OR(AW540=1,AW540=2),VLOOKUP(AU540,INDEX((係数_乗用_ガソリン,係数_乗用_CNG,係数_乗用_軽油,係数_乗用_メタノール,係数_乗用_LPG),1,1,BE540):INDEX((係数_乗用_ガソリン,係数_乗用_CNG,係数_乗用_軽油,係数_乗用_メタノール,係数_乗用_LPG),125,5,BE540),2,FALSE))))))</f>
        <v/>
      </c>
      <c r="BB540" s="468" t="str">
        <f>IF(T540="","",IF(OR(AU540="",AU540="-"),"－",IF(OR(AZ540=8,AZ540=9),"",IF(OR(AW540=3,AW540=4,AW540=5,AW540=6),VLOOKUP(AU540,INDEX((係数_バス貨物_ガソリン,係数_バス貨物_CNG,係数_バス貨物_軽油,係数_バス貨物_メタノール,係数_バス貨物_LPG),MATCH(AY540,【参考】排出係数!$AI$4:$AI$671,1),1,BE540):INDEX((係数_バス貨物_ガソリン,係数_バス貨物_CNG,係数_バス貨物_軽油,係数_バス貨物_メタノール,係数_バス貨物_LPG),MATCH(AY540+1,【参考】排出係数!$AI$4:$AI$671,1)-1,5,BE540),3,FALSE),IF(OR(AW540=1,AW540=2),VLOOKUP(AU540,INDEX((係数_乗用_ガソリン,係数_乗用_CNG,係数_乗用_軽油,係数_乗用_メタノール,係数_乗用_LPG),1,1,BE540):INDEX((係数_乗用_ガソリン,係数_乗用_CNG,係数_乗用_軽油,係数_乗用_メタノール,係数_乗用_LPG),125,5,BE540),3,FALSE))))))</f>
        <v/>
      </c>
      <c r="BC540" s="467" t="str">
        <f t="shared" si="306"/>
        <v/>
      </c>
      <c r="BD540" s="567" t="str">
        <f t="shared" si="307"/>
        <v/>
      </c>
      <c r="BE540" s="467" t="str">
        <f t="shared" si="308"/>
        <v/>
      </c>
      <c r="BF540" s="469" t="str">
        <f t="shared" ca="1" si="309"/>
        <v/>
      </c>
      <c r="BG540" s="469" t="str">
        <f t="shared" ca="1" si="310"/>
        <v/>
      </c>
      <c r="BH540" s="467" t="str">
        <f t="shared" si="311"/>
        <v/>
      </c>
      <c r="BI540" s="467" t="str">
        <f t="shared" ca="1" si="312"/>
        <v/>
      </c>
      <c r="BJ540" s="469" t="str">
        <f t="shared" si="313"/>
        <v/>
      </c>
      <c r="BK540" s="470" t="str">
        <f t="shared" si="293"/>
        <v/>
      </c>
      <c r="BL540" s="775" t="str">
        <f t="shared" si="314"/>
        <v/>
      </c>
      <c r="BM540" s="775" t="str">
        <f t="shared" si="315"/>
        <v/>
      </c>
    </row>
    <row r="541" spans="1:65">
      <c r="A541" s="473">
        <v>485</v>
      </c>
      <c r="B541" s="132"/>
      <c r="C541" s="332"/>
      <c r="D541" s="333"/>
      <c r="E541" s="333"/>
      <c r="F541" s="334"/>
      <c r="G541" s="337"/>
      <c r="H541" s="131"/>
      <c r="I541" s="337"/>
      <c r="J541" s="131"/>
      <c r="K541" s="458" t="str">
        <f t="shared" si="282"/>
        <v/>
      </c>
      <c r="L541" s="458">
        <f t="shared" si="294"/>
        <v>0</v>
      </c>
      <c r="M541" s="458">
        <f t="shared" si="295"/>
        <v>0</v>
      </c>
      <c r="N541" s="459" t="str">
        <f t="shared" si="283"/>
        <v/>
      </c>
      <c r="O541" s="459" t="str">
        <f t="shared" si="284"/>
        <v/>
      </c>
      <c r="P541" s="459" t="str">
        <f t="shared" si="285"/>
        <v/>
      </c>
      <c r="Q541" s="459" t="str">
        <f t="shared" si="286"/>
        <v/>
      </c>
      <c r="R541" s="459" t="str">
        <f t="shared" si="287"/>
        <v/>
      </c>
      <c r="S541" s="459" t="str">
        <f t="shared" si="288"/>
        <v/>
      </c>
      <c r="T541" s="566" t="str">
        <f t="shared" si="296"/>
        <v/>
      </c>
      <c r="U541" s="702"/>
      <c r="V541" s="132"/>
      <c r="W541" s="133"/>
      <c r="X541" s="134"/>
      <c r="Y541" s="135"/>
      <c r="Z541" s="137"/>
      <c r="AA541" s="136"/>
      <c r="AB541" s="566" t="str">
        <f t="shared" si="289"/>
        <v/>
      </c>
      <c r="AC541" s="568" t="str">
        <f t="shared" si="297"/>
        <v/>
      </c>
      <c r="AD541" s="137"/>
      <c r="AE541" s="137"/>
      <c r="AF541" s="138"/>
      <c r="AG541" s="138"/>
      <c r="AH541" s="592" t="str">
        <f t="shared" si="290"/>
        <v/>
      </c>
      <c r="AI541" s="592" t="str">
        <f t="shared" si="291"/>
        <v/>
      </c>
      <c r="AJ541" s="592" t="str">
        <f t="shared" si="292"/>
        <v/>
      </c>
      <c r="AK541" s="460" t="str">
        <f>IF(AU541="","",IF(OR(AZ541=8,AZ541=9),0,IF(OR(AW541=3,AW541=4,AW541=5,AW541=6),IF(LEFT(BF541,1)="1",INDEX(係数_NOX・PM低減,MATCH(AY541,【参考】排出係数!$AI$801:$AI$804,1),1),VLOOKUP(AU541,INDEX((係数_バス貨物_ガソリン,係数_バス貨物_CNG,係数_バス貨物_軽油,係数_バス貨物_メタノール,係数_バス貨物_LPG),MATCH(AY541,【参考】排出係数!$AI$4:$AI$671,1),1,BE541):INDEX((係数_バス貨物_ガソリン,係数_バス貨物_CNG,係数_バス貨物_軽油,係数_バス貨物_メタノール,係数_バス貨物_LPG),MATCH(AY541+1,【参考】排出係数!$AI$4:$AI$671,1)-1,5,BE541),4,FALSE)),IF(AND(BE541=3,LEFT(BF541,1)="1"),0.48,VLOOKUP(AU541,INDEX((係数_乗用_ガソリン,係数_乗用_CNG,係数_乗用_軽油,係数_乗用_メタノール,係数_乗用_LPG),1,1,BE541):INDEX((係数_乗用_ガソリン,係数_乗用_CNG,係数_乗用_軽油,係数_乗用_メタノール,係数_乗用_LPG),125,5,BE541),4,FALSE)))))</f>
        <v/>
      </c>
      <c r="AL541" s="461" t="str">
        <f t="shared" si="316"/>
        <v/>
      </c>
      <c r="AM541" s="460" t="str">
        <f>IF(AU541="","",IF(OR(AZ541=8,AZ541=9),0,IF(OR(AW541=3,AW541=4,AW541=5,AW541=6),IF(LEFT(BH541,1)="1",INDEX(係数_PM低減,MATCH(AY541,【参考】排出係数!$AI$801:$AI$804,1),MATCH(BI541,【参考】排出係数!$AL$798:$AO$798,1)),VLOOKUP(AU541,INDEX((係数_バス貨物_ガソリン,係数_バス貨物_CNG,係数_バス貨物_軽油,係数_バス貨物_メタノール,係数_バス貨物_LPG),MATCH(AY541,【参考】排出係数!$AI$4:$AI$671,1),1,BE541):INDEX((係数_バス貨物_ガソリン,係数_バス貨物_CNG,係数_バス貨物_軽油,係数_バス貨物_メタノール,係数_バス貨物_LPG),MATCH(AY541+1,【参考】排出係数!$AI$4:$AI$671,1)-1,5,BE541),5,FALSE)),IF(AND(BE541=3,LEFT(BF541,1)="1"),0.055,VLOOKUP(AU541,INDEX((係数_乗用_ガソリン,係数_乗用_CNG,係数_乗用_軽油,係数_乗用_メタノール,係数_乗用_LPG),1,1,BE541):INDEX((係数_乗用_ガソリン,係数_乗用_CNG,係数_乗用_軽油,係数_乗用_メタノール,係数_乗用_LPG),125,5,BE541),5,FALSE)))))</f>
        <v/>
      </c>
      <c r="AN541" s="461" t="str">
        <f t="shared" si="317"/>
        <v/>
      </c>
      <c r="AO541" s="462" t="str">
        <f t="shared" si="318"/>
        <v/>
      </c>
      <c r="AP541" s="463" t="str">
        <f t="shared" si="319"/>
        <v/>
      </c>
      <c r="AQ541" s="464"/>
      <c r="AR541" s="619"/>
      <c r="AS541" s="465" t="str">
        <f t="shared" si="298"/>
        <v/>
      </c>
      <c r="AT541" s="465" t="str">
        <f t="shared" si="299"/>
        <v/>
      </c>
      <c r="AU541" s="466" t="str">
        <f t="shared" si="300"/>
        <v/>
      </c>
      <c r="AV541" s="467" t="str">
        <f t="shared" si="301"/>
        <v/>
      </c>
      <c r="AW541" s="467" t="str">
        <f t="shared" si="302"/>
        <v/>
      </c>
      <c r="AX541" s="467" t="str">
        <f t="shared" si="303"/>
        <v/>
      </c>
      <c r="AY541" s="467" t="str">
        <f t="shared" si="304"/>
        <v/>
      </c>
      <c r="AZ541" s="467" t="str">
        <f t="shared" si="305"/>
        <v/>
      </c>
      <c r="BA541" s="468" t="str">
        <f>IF(AS541="","",IF(OR(AU541="",AU541="-"),"－",IF(OR(AZ541=8,AZ541=9),"",IF(OR(AW541=3,AW541=4,AW541=5,AW541=6),VLOOKUP(AU541,INDEX((係数_バス貨物_ガソリン,係数_バス貨物_CNG,係数_バス貨物_軽油,係数_バス貨物_メタノール,係数_バス貨物_LPG),MATCH(AY541,【参考】排出係数!$AI$4:$AI$671,1),1,BE541):INDEX((係数_バス貨物_ガソリン,係数_バス貨物_CNG,係数_バス貨物_軽油,係数_バス貨物_メタノール,係数_バス貨物_LPG),MATCH(AY541+1,【参考】排出係数!$AI$4:$AI$671,1)-1,5,BE541),2,FALSE),IF(OR(AW541=1,AW541=2),VLOOKUP(AU541,INDEX((係数_乗用_ガソリン,係数_乗用_CNG,係数_乗用_軽油,係数_乗用_メタノール,係数_乗用_LPG),1,1,BE541):INDEX((係数_乗用_ガソリン,係数_乗用_CNG,係数_乗用_軽油,係数_乗用_メタノール,係数_乗用_LPG),125,5,BE541),2,FALSE))))))</f>
        <v/>
      </c>
      <c r="BB541" s="468" t="str">
        <f>IF(T541="","",IF(OR(AU541="",AU541="-"),"－",IF(OR(AZ541=8,AZ541=9),"",IF(OR(AW541=3,AW541=4,AW541=5,AW541=6),VLOOKUP(AU541,INDEX((係数_バス貨物_ガソリン,係数_バス貨物_CNG,係数_バス貨物_軽油,係数_バス貨物_メタノール,係数_バス貨物_LPG),MATCH(AY541,【参考】排出係数!$AI$4:$AI$671,1),1,BE541):INDEX((係数_バス貨物_ガソリン,係数_バス貨物_CNG,係数_バス貨物_軽油,係数_バス貨物_メタノール,係数_バス貨物_LPG),MATCH(AY541+1,【参考】排出係数!$AI$4:$AI$671,1)-1,5,BE541),3,FALSE),IF(OR(AW541=1,AW541=2),VLOOKUP(AU541,INDEX((係数_乗用_ガソリン,係数_乗用_CNG,係数_乗用_軽油,係数_乗用_メタノール,係数_乗用_LPG),1,1,BE541):INDEX((係数_乗用_ガソリン,係数_乗用_CNG,係数_乗用_軽油,係数_乗用_メタノール,係数_乗用_LPG),125,5,BE541),3,FALSE))))))</f>
        <v/>
      </c>
      <c r="BC541" s="467" t="str">
        <f t="shared" si="306"/>
        <v/>
      </c>
      <c r="BD541" s="567" t="str">
        <f t="shared" si="307"/>
        <v/>
      </c>
      <c r="BE541" s="467" t="str">
        <f t="shared" si="308"/>
        <v/>
      </c>
      <c r="BF541" s="469" t="str">
        <f t="shared" ca="1" si="309"/>
        <v/>
      </c>
      <c r="BG541" s="469" t="str">
        <f t="shared" ca="1" si="310"/>
        <v/>
      </c>
      <c r="BH541" s="467" t="str">
        <f t="shared" si="311"/>
        <v/>
      </c>
      <c r="BI541" s="467" t="str">
        <f t="shared" ca="1" si="312"/>
        <v/>
      </c>
      <c r="BJ541" s="469" t="str">
        <f t="shared" si="313"/>
        <v/>
      </c>
      <c r="BK541" s="470" t="str">
        <f t="shared" si="293"/>
        <v/>
      </c>
      <c r="BL541" s="775" t="str">
        <f t="shared" si="314"/>
        <v/>
      </c>
      <c r="BM541" s="775" t="str">
        <f t="shared" si="315"/>
        <v/>
      </c>
    </row>
    <row r="542" spans="1:65">
      <c r="A542" s="473">
        <v>486</v>
      </c>
      <c r="B542" s="132"/>
      <c r="C542" s="332"/>
      <c r="D542" s="333"/>
      <c r="E542" s="333"/>
      <c r="F542" s="334"/>
      <c r="G542" s="337"/>
      <c r="H542" s="131"/>
      <c r="I542" s="337"/>
      <c r="J542" s="131"/>
      <c r="K542" s="458" t="str">
        <f t="shared" si="282"/>
        <v/>
      </c>
      <c r="L542" s="458">
        <f t="shared" si="294"/>
        <v>0</v>
      </c>
      <c r="M542" s="458">
        <f t="shared" si="295"/>
        <v>0</v>
      </c>
      <c r="N542" s="459" t="str">
        <f t="shared" si="283"/>
        <v/>
      </c>
      <c r="O542" s="459" t="str">
        <f t="shared" si="284"/>
        <v/>
      </c>
      <c r="P542" s="459" t="str">
        <f t="shared" si="285"/>
        <v/>
      </c>
      <c r="Q542" s="459" t="str">
        <f t="shared" si="286"/>
        <v/>
      </c>
      <c r="R542" s="459" t="str">
        <f t="shared" si="287"/>
        <v/>
      </c>
      <c r="S542" s="459" t="str">
        <f t="shared" si="288"/>
        <v/>
      </c>
      <c r="T542" s="566" t="str">
        <f t="shared" si="296"/>
        <v/>
      </c>
      <c r="U542" s="702"/>
      <c r="V542" s="132"/>
      <c r="W542" s="133"/>
      <c r="X542" s="134"/>
      <c r="Y542" s="135"/>
      <c r="Z542" s="137"/>
      <c r="AA542" s="136"/>
      <c r="AB542" s="566" t="str">
        <f t="shared" si="289"/>
        <v/>
      </c>
      <c r="AC542" s="568" t="str">
        <f t="shared" si="297"/>
        <v/>
      </c>
      <c r="AD542" s="137"/>
      <c r="AE542" s="137"/>
      <c r="AF542" s="138"/>
      <c r="AG542" s="138"/>
      <c r="AH542" s="592" t="str">
        <f t="shared" si="290"/>
        <v/>
      </c>
      <c r="AI542" s="592" t="str">
        <f t="shared" si="291"/>
        <v/>
      </c>
      <c r="AJ542" s="592" t="str">
        <f t="shared" si="292"/>
        <v/>
      </c>
      <c r="AK542" s="460" t="str">
        <f>IF(AU542="","",IF(OR(AZ542=8,AZ542=9),0,IF(OR(AW542=3,AW542=4,AW542=5,AW542=6),IF(LEFT(BF542,1)="1",INDEX(係数_NOX・PM低減,MATCH(AY542,【参考】排出係数!$AI$801:$AI$804,1),1),VLOOKUP(AU542,INDEX((係数_バス貨物_ガソリン,係数_バス貨物_CNG,係数_バス貨物_軽油,係数_バス貨物_メタノール,係数_バス貨物_LPG),MATCH(AY542,【参考】排出係数!$AI$4:$AI$671,1),1,BE542):INDEX((係数_バス貨物_ガソリン,係数_バス貨物_CNG,係数_バス貨物_軽油,係数_バス貨物_メタノール,係数_バス貨物_LPG),MATCH(AY542+1,【参考】排出係数!$AI$4:$AI$671,1)-1,5,BE542),4,FALSE)),IF(AND(BE542=3,LEFT(BF542,1)="1"),0.48,VLOOKUP(AU542,INDEX((係数_乗用_ガソリン,係数_乗用_CNG,係数_乗用_軽油,係数_乗用_メタノール,係数_乗用_LPG),1,1,BE542):INDEX((係数_乗用_ガソリン,係数_乗用_CNG,係数_乗用_軽油,係数_乗用_メタノール,係数_乗用_LPG),125,5,BE542),4,FALSE)))))</f>
        <v/>
      </c>
      <c r="AL542" s="461" t="str">
        <f t="shared" si="316"/>
        <v/>
      </c>
      <c r="AM542" s="460" t="str">
        <f>IF(AU542="","",IF(OR(AZ542=8,AZ542=9),0,IF(OR(AW542=3,AW542=4,AW542=5,AW542=6),IF(LEFT(BH542,1)="1",INDEX(係数_PM低減,MATCH(AY542,【参考】排出係数!$AI$801:$AI$804,1),MATCH(BI542,【参考】排出係数!$AL$798:$AO$798,1)),VLOOKUP(AU542,INDEX((係数_バス貨物_ガソリン,係数_バス貨物_CNG,係数_バス貨物_軽油,係数_バス貨物_メタノール,係数_バス貨物_LPG),MATCH(AY542,【参考】排出係数!$AI$4:$AI$671,1),1,BE542):INDEX((係数_バス貨物_ガソリン,係数_バス貨物_CNG,係数_バス貨物_軽油,係数_バス貨物_メタノール,係数_バス貨物_LPG),MATCH(AY542+1,【参考】排出係数!$AI$4:$AI$671,1)-1,5,BE542),5,FALSE)),IF(AND(BE542=3,LEFT(BF542,1)="1"),0.055,VLOOKUP(AU542,INDEX((係数_乗用_ガソリン,係数_乗用_CNG,係数_乗用_軽油,係数_乗用_メタノール,係数_乗用_LPG),1,1,BE542):INDEX((係数_乗用_ガソリン,係数_乗用_CNG,係数_乗用_軽油,係数_乗用_メタノール,係数_乗用_LPG),125,5,BE542),5,FALSE)))))</f>
        <v/>
      </c>
      <c r="AN542" s="461" t="str">
        <f t="shared" si="317"/>
        <v/>
      </c>
      <c r="AO542" s="462" t="str">
        <f t="shared" si="318"/>
        <v/>
      </c>
      <c r="AP542" s="463" t="str">
        <f t="shared" si="319"/>
        <v/>
      </c>
      <c r="AQ542" s="464"/>
      <c r="AR542" s="619"/>
      <c r="AS542" s="465" t="str">
        <f t="shared" si="298"/>
        <v/>
      </c>
      <c r="AT542" s="465" t="str">
        <f t="shared" si="299"/>
        <v/>
      </c>
      <c r="AU542" s="466" t="str">
        <f t="shared" si="300"/>
        <v/>
      </c>
      <c r="AV542" s="467" t="str">
        <f t="shared" si="301"/>
        <v/>
      </c>
      <c r="AW542" s="467" t="str">
        <f t="shared" si="302"/>
        <v/>
      </c>
      <c r="AX542" s="467" t="str">
        <f t="shared" si="303"/>
        <v/>
      </c>
      <c r="AY542" s="467" t="str">
        <f t="shared" si="304"/>
        <v/>
      </c>
      <c r="AZ542" s="467" t="str">
        <f t="shared" si="305"/>
        <v/>
      </c>
      <c r="BA542" s="468" t="str">
        <f>IF(AS542="","",IF(OR(AU542="",AU542="-"),"－",IF(OR(AZ542=8,AZ542=9),"",IF(OR(AW542=3,AW542=4,AW542=5,AW542=6),VLOOKUP(AU542,INDEX((係数_バス貨物_ガソリン,係数_バス貨物_CNG,係数_バス貨物_軽油,係数_バス貨物_メタノール,係数_バス貨物_LPG),MATCH(AY542,【参考】排出係数!$AI$4:$AI$671,1),1,BE542):INDEX((係数_バス貨物_ガソリン,係数_バス貨物_CNG,係数_バス貨物_軽油,係数_バス貨物_メタノール,係数_バス貨物_LPG),MATCH(AY542+1,【参考】排出係数!$AI$4:$AI$671,1)-1,5,BE542),2,FALSE),IF(OR(AW542=1,AW542=2),VLOOKUP(AU542,INDEX((係数_乗用_ガソリン,係数_乗用_CNG,係数_乗用_軽油,係数_乗用_メタノール,係数_乗用_LPG),1,1,BE542):INDEX((係数_乗用_ガソリン,係数_乗用_CNG,係数_乗用_軽油,係数_乗用_メタノール,係数_乗用_LPG),125,5,BE542),2,FALSE))))))</f>
        <v/>
      </c>
      <c r="BB542" s="468" t="str">
        <f>IF(T542="","",IF(OR(AU542="",AU542="-"),"－",IF(OR(AZ542=8,AZ542=9),"",IF(OR(AW542=3,AW542=4,AW542=5,AW542=6),VLOOKUP(AU542,INDEX((係数_バス貨物_ガソリン,係数_バス貨物_CNG,係数_バス貨物_軽油,係数_バス貨物_メタノール,係数_バス貨物_LPG),MATCH(AY542,【参考】排出係数!$AI$4:$AI$671,1),1,BE542):INDEX((係数_バス貨物_ガソリン,係数_バス貨物_CNG,係数_バス貨物_軽油,係数_バス貨物_メタノール,係数_バス貨物_LPG),MATCH(AY542+1,【参考】排出係数!$AI$4:$AI$671,1)-1,5,BE542),3,FALSE),IF(OR(AW542=1,AW542=2),VLOOKUP(AU542,INDEX((係数_乗用_ガソリン,係数_乗用_CNG,係数_乗用_軽油,係数_乗用_メタノール,係数_乗用_LPG),1,1,BE542):INDEX((係数_乗用_ガソリン,係数_乗用_CNG,係数_乗用_軽油,係数_乗用_メタノール,係数_乗用_LPG),125,5,BE542),3,FALSE))))))</f>
        <v/>
      </c>
      <c r="BC542" s="467" t="str">
        <f t="shared" si="306"/>
        <v/>
      </c>
      <c r="BD542" s="567" t="str">
        <f t="shared" si="307"/>
        <v/>
      </c>
      <c r="BE542" s="467" t="str">
        <f t="shared" si="308"/>
        <v/>
      </c>
      <c r="BF542" s="469" t="str">
        <f t="shared" ca="1" si="309"/>
        <v/>
      </c>
      <c r="BG542" s="469" t="str">
        <f t="shared" ca="1" si="310"/>
        <v/>
      </c>
      <c r="BH542" s="467" t="str">
        <f t="shared" si="311"/>
        <v/>
      </c>
      <c r="BI542" s="467" t="str">
        <f t="shared" ca="1" si="312"/>
        <v/>
      </c>
      <c r="BJ542" s="469" t="str">
        <f t="shared" si="313"/>
        <v/>
      </c>
      <c r="BK542" s="470" t="str">
        <f t="shared" si="293"/>
        <v/>
      </c>
      <c r="BL542" s="775" t="str">
        <f t="shared" si="314"/>
        <v/>
      </c>
      <c r="BM542" s="775" t="str">
        <f t="shared" si="315"/>
        <v/>
      </c>
    </row>
    <row r="543" spans="1:65">
      <c r="A543" s="473">
        <v>487</v>
      </c>
      <c r="B543" s="132"/>
      <c r="C543" s="332"/>
      <c r="D543" s="333"/>
      <c r="E543" s="333"/>
      <c r="F543" s="334"/>
      <c r="G543" s="337"/>
      <c r="H543" s="131"/>
      <c r="I543" s="337"/>
      <c r="J543" s="131"/>
      <c r="K543" s="458" t="str">
        <f t="shared" si="282"/>
        <v/>
      </c>
      <c r="L543" s="458">
        <f t="shared" si="294"/>
        <v>0</v>
      </c>
      <c r="M543" s="458">
        <f t="shared" si="295"/>
        <v>0</v>
      </c>
      <c r="N543" s="459" t="str">
        <f t="shared" si="283"/>
        <v/>
      </c>
      <c r="O543" s="459" t="str">
        <f t="shared" si="284"/>
        <v/>
      </c>
      <c r="P543" s="459" t="str">
        <f t="shared" si="285"/>
        <v/>
      </c>
      <c r="Q543" s="459" t="str">
        <f t="shared" si="286"/>
        <v/>
      </c>
      <c r="R543" s="459" t="str">
        <f t="shared" si="287"/>
        <v/>
      </c>
      <c r="S543" s="459" t="str">
        <f t="shared" si="288"/>
        <v/>
      </c>
      <c r="T543" s="566" t="str">
        <f t="shared" si="296"/>
        <v/>
      </c>
      <c r="U543" s="702"/>
      <c r="V543" s="132"/>
      <c r="W543" s="133"/>
      <c r="X543" s="134"/>
      <c r="Y543" s="135"/>
      <c r="Z543" s="137"/>
      <c r="AA543" s="136"/>
      <c r="AB543" s="566" t="str">
        <f t="shared" si="289"/>
        <v/>
      </c>
      <c r="AC543" s="568" t="str">
        <f t="shared" si="297"/>
        <v/>
      </c>
      <c r="AD543" s="137"/>
      <c r="AE543" s="137"/>
      <c r="AF543" s="138"/>
      <c r="AG543" s="138"/>
      <c r="AH543" s="592" t="str">
        <f t="shared" si="290"/>
        <v/>
      </c>
      <c r="AI543" s="592" t="str">
        <f t="shared" si="291"/>
        <v/>
      </c>
      <c r="AJ543" s="592" t="str">
        <f t="shared" si="292"/>
        <v/>
      </c>
      <c r="AK543" s="460" t="str">
        <f>IF(AU543="","",IF(OR(AZ543=8,AZ543=9),0,IF(OR(AW543=3,AW543=4,AW543=5,AW543=6),IF(LEFT(BF543,1)="1",INDEX(係数_NOX・PM低減,MATCH(AY543,【参考】排出係数!$AI$801:$AI$804,1),1),VLOOKUP(AU543,INDEX((係数_バス貨物_ガソリン,係数_バス貨物_CNG,係数_バス貨物_軽油,係数_バス貨物_メタノール,係数_バス貨物_LPG),MATCH(AY543,【参考】排出係数!$AI$4:$AI$671,1),1,BE543):INDEX((係数_バス貨物_ガソリン,係数_バス貨物_CNG,係数_バス貨物_軽油,係数_バス貨物_メタノール,係数_バス貨物_LPG),MATCH(AY543+1,【参考】排出係数!$AI$4:$AI$671,1)-1,5,BE543),4,FALSE)),IF(AND(BE543=3,LEFT(BF543,1)="1"),0.48,VLOOKUP(AU543,INDEX((係数_乗用_ガソリン,係数_乗用_CNG,係数_乗用_軽油,係数_乗用_メタノール,係数_乗用_LPG),1,1,BE543):INDEX((係数_乗用_ガソリン,係数_乗用_CNG,係数_乗用_軽油,係数_乗用_メタノール,係数_乗用_LPG),125,5,BE543),4,FALSE)))))</f>
        <v/>
      </c>
      <c r="AL543" s="461" t="str">
        <f t="shared" si="316"/>
        <v/>
      </c>
      <c r="AM543" s="460" t="str">
        <f>IF(AU543="","",IF(OR(AZ543=8,AZ543=9),0,IF(OR(AW543=3,AW543=4,AW543=5,AW543=6),IF(LEFT(BH543,1)="1",INDEX(係数_PM低減,MATCH(AY543,【参考】排出係数!$AI$801:$AI$804,1),MATCH(BI543,【参考】排出係数!$AL$798:$AO$798,1)),VLOOKUP(AU543,INDEX((係数_バス貨物_ガソリン,係数_バス貨物_CNG,係数_バス貨物_軽油,係数_バス貨物_メタノール,係数_バス貨物_LPG),MATCH(AY543,【参考】排出係数!$AI$4:$AI$671,1),1,BE543):INDEX((係数_バス貨物_ガソリン,係数_バス貨物_CNG,係数_バス貨物_軽油,係数_バス貨物_メタノール,係数_バス貨物_LPG),MATCH(AY543+1,【参考】排出係数!$AI$4:$AI$671,1)-1,5,BE543),5,FALSE)),IF(AND(BE543=3,LEFT(BF543,1)="1"),0.055,VLOOKUP(AU543,INDEX((係数_乗用_ガソリン,係数_乗用_CNG,係数_乗用_軽油,係数_乗用_メタノール,係数_乗用_LPG),1,1,BE543):INDEX((係数_乗用_ガソリン,係数_乗用_CNG,係数_乗用_軽油,係数_乗用_メタノール,係数_乗用_LPG),125,5,BE543),5,FALSE)))))</f>
        <v/>
      </c>
      <c r="AN543" s="461" t="str">
        <f t="shared" si="317"/>
        <v/>
      </c>
      <c r="AO543" s="462" t="str">
        <f t="shared" si="318"/>
        <v/>
      </c>
      <c r="AP543" s="463" t="str">
        <f t="shared" si="319"/>
        <v/>
      </c>
      <c r="AQ543" s="464"/>
      <c r="AR543" s="619"/>
      <c r="AS543" s="465" t="str">
        <f t="shared" si="298"/>
        <v/>
      </c>
      <c r="AT543" s="465" t="str">
        <f t="shared" si="299"/>
        <v/>
      </c>
      <c r="AU543" s="466" t="str">
        <f t="shared" si="300"/>
        <v/>
      </c>
      <c r="AV543" s="467" t="str">
        <f t="shared" si="301"/>
        <v/>
      </c>
      <c r="AW543" s="467" t="str">
        <f t="shared" si="302"/>
        <v/>
      </c>
      <c r="AX543" s="467" t="str">
        <f t="shared" si="303"/>
        <v/>
      </c>
      <c r="AY543" s="467" t="str">
        <f t="shared" si="304"/>
        <v/>
      </c>
      <c r="AZ543" s="467" t="str">
        <f t="shared" si="305"/>
        <v/>
      </c>
      <c r="BA543" s="468" t="str">
        <f>IF(AS543="","",IF(OR(AU543="",AU543="-"),"－",IF(OR(AZ543=8,AZ543=9),"",IF(OR(AW543=3,AW543=4,AW543=5,AW543=6),VLOOKUP(AU543,INDEX((係数_バス貨物_ガソリン,係数_バス貨物_CNG,係数_バス貨物_軽油,係数_バス貨物_メタノール,係数_バス貨物_LPG),MATCH(AY543,【参考】排出係数!$AI$4:$AI$671,1),1,BE543):INDEX((係数_バス貨物_ガソリン,係数_バス貨物_CNG,係数_バス貨物_軽油,係数_バス貨物_メタノール,係数_バス貨物_LPG),MATCH(AY543+1,【参考】排出係数!$AI$4:$AI$671,1)-1,5,BE543),2,FALSE),IF(OR(AW543=1,AW543=2),VLOOKUP(AU543,INDEX((係数_乗用_ガソリン,係数_乗用_CNG,係数_乗用_軽油,係数_乗用_メタノール,係数_乗用_LPG),1,1,BE543):INDEX((係数_乗用_ガソリン,係数_乗用_CNG,係数_乗用_軽油,係数_乗用_メタノール,係数_乗用_LPG),125,5,BE543),2,FALSE))))))</f>
        <v/>
      </c>
      <c r="BB543" s="468" t="str">
        <f>IF(T543="","",IF(OR(AU543="",AU543="-"),"－",IF(OR(AZ543=8,AZ543=9),"",IF(OR(AW543=3,AW543=4,AW543=5,AW543=6),VLOOKUP(AU543,INDEX((係数_バス貨物_ガソリン,係数_バス貨物_CNG,係数_バス貨物_軽油,係数_バス貨物_メタノール,係数_バス貨物_LPG),MATCH(AY543,【参考】排出係数!$AI$4:$AI$671,1),1,BE543):INDEX((係数_バス貨物_ガソリン,係数_バス貨物_CNG,係数_バス貨物_軽油,係数_バス貨物_メタノール,係数_バス貨物_LPG),MATCH(AY543+1,【参考】排出係数!$AI$4:$AI$671,1)-1,5,BE543),3,FALSE),IF(OR(AW543=1,AW543=2),VLOOKUP(AU543,INDEX((係数_乗用_ガソリン,係数_乗用_CNG,係数_乗用_軽油,係数_乗用_メタノール,係数_乗用_LPG),1,1,BE543):INDEX((係数_乗用_ガソリン,係数_乗用_CNG,係数_乗用_軽油,係数_乗用_メタノール,係数_乗用_LPG),125,5,BE543),3,FALSE))))))</f>
        <v/>
      </c>
      <c r="BC543" s="467" t="str">
        <f t="shared" si="306"/>
        <v/>
      </c>
      <c r="BD543" s="567" t="str">
        <f t="shared" si="307"/>
        <v/>
      </c>
      <c r="BE543" s="467" t="str">
        <f t="shared" si="308"/>
        <v/>
      </c>
      <c r="BF543" s="469" t="str">
        <f t="shared" ca="1" si="309"/>
        <v/>
      </c>
      <c r="BG543" s="469" t="str">
        <f t="shared" ca="1" si="310"/>
        <v/>
      </c>
      <c r="BH543" s="467" t="str">
        <f t="shared" si="311"/>
        <v/>
      </c>
      <c r="BI543" s="467" t="str">
        <f t="shared" ca="1" si="312"/>
        <v/>
      </c>
      <c r="BJ543" s="469" t="str">
        <f t="shared" si="313"/>
        <v/>
      </c>
      <c r="BK543" s="470" t="str">
        <f t="shared" si="293"/>
        <v/>
      </c>
      <c r="BL543" s="775" t="str">
        <f t="shared" si="314"/>
        <v/>
      </c>
      <c r="BM543" s="775" t="str">
        <f t="shared" si="315"/>
        <v/>
      </c>
    </row>
    <row r="544" spans="1:65">
      <c r="A544" s="473">
        <v>488</v>
      </c>
      <c r="B544" s="132"/>
      <c r="C544" s="332"/>
      <c r="D544" s="333"/>
      <c r="E544" s="333"/>
      <c r="F544" s="334"/>
      <c r="G544" s="337"/>
      <c r="H544" s="131"/>
      <c r="I544" s="337"/>
      <c r="J544" s="131"/>
      <c r="K544" s="458" t="str">
        <f t="shared" si="282"/>
        <v/>
      </c>
      <c r="L544" s="458">
        <f t="shared" si="294"/>
        <v>0</v>
      </c>
      <c r="M544" s="458">
        <f t="shared" si="295"/>
        <v>0</v>
      </c>
      <c r="N544" s="459" t="str">
        <f t="shared" si="283"/>
        <v/>
      </c>
      <c r="O544" s="459" t="str">
        <f t="shared" si="284"/>
        <v/>
      </c>
      <c r="P544" s="459" t="str">
        <f t="shared" si="285"/>
        <v/>
      </c>
      <c r="Q544" s="459" t="str">
        <f t="shared" si="286"/>
        <v/>
      </c>
      <c r="R544" s="459" t="str">
        <f t="shared" si="287"/>
        <v/>
      </c>
      <c r="S544" s="459" t="str">
        <f t="shared" si="288"/>
        <v/>
      </c>
      <c r="T544" s="566" t="str">
        <f t="shared" si="296"/>
        <v/>
      </c>
      <c r="U544" s="702"/>
      <c r="V544" s="132"/>
      <c r="W544" s="133"/>
      <c r="X544" s="134"/>
      <c r="Y544" s="135"/>
      <c r="Z544" s="137"/>
      <c r="AA544" s="136"/>
      <c r="AB544" s="566" t="str">
        <f t="shared" si="289"/>
        <v/>
      </c>
      <c r="AC544" s="568" t="str">
        <f t="shared" si="297"/>
        <v/>
      </c>
      <c r="AD544" s="137"/>
      <c r="AE544" s="137"/>
      <c r="AF544" s="138"/>
      <c r="AG544" s="138"/>
      <c r="AH544" s="592" t="str">
        <f t="shared" si="290"/>
        <v/>
      </c>
      <c r="AI544" s="592" t="str">
        <f t="shared" si="291"/>
        <v/>
      </c>
      <c r="AJ544" s="592" t="str">
        <f t="shared" si="292"/>
        <v/>
      </c>
      <c r="AK544" s="460" t="str">
        <f>IF(AU544="","",IF(OR(AZ544=8,AZ544=9),0,IF(OR(AW544=3,AW544=4,AW544=5,AW544=6),IF(LEFT(BF544,1)="1",INDEX(係数_NOX・PM低減,MATCH(AY544,【参考】排出係数!$AI$801:$AI$804,1),1),VLOOKUP(AU544,INDEX((係数_バス貨物_ガソリン,係数_バス貨物_CNG,係数_バス貨物_軽油,係数_バス貨物_メタノール,係数_バス貨物_LPG),MATCH(AY544,【参考】排出係数!$AI$4:$AI$671,1),1,BE544):INDEX((係数_バス貨物_ガソリン,係数_バス貨物_CNG,係数_バス貨物_軽油,係数_バス貨物_メタノール,係数_バス貨物_LPG),MATCH(AY544+1,【参考】排出係数!$AI$4:$AI$671,1)-1,5,BE544),4,FALSE)),IF(AND(BE544=3,LEFT(BF544,1)="1"),0.48,VLOOKUP(AU544,INDEX((係数_乗用_ガソリン,係数_乗用_CNG,係数_乗用_軽油,係数_乗用_メタノール,係数_乗用_LPG),1,1,BE544):INDEX((係数_乗用_ガソリン,係数_乗用_CNG,係数_乗用_軽油,係数_乗用_メタノール,係数_乗用_LPG),125,5,BE544),4,FALSE)))))</f>
        <v/>
      </c>
      <c r="AL544" s="461" t="str">
        <f t="shared" si="316"/>
        <v/>
      </c>
      <c r="AM544" s="460" t="str">
        <f>IF(AU544="","",IF(OR(AZ544=8,AZ544=9),0,IF(OR(AW544=3,AW544=4,AW544=5,AW544=6),IF(LEFT(BH544,1)="1",INDEX(係数_PM低減,MATCH(AY544,【参考】排出係数!$AI$801:$AI$804,1),MATCH(BI544,【参考】排出係数!$AL$798:$AO$798,1)),VLOOKUP(AU544,INDEX((係数_バス貨物_ガソリン,係数_バス貨物_CNG,係数_バス貨物_軽油,係数_バス貨物_メタノール,係数_バス貨物_LPG),MATCH(AY544,【参考】排出係数!$AI$4:$AI$671,1),1,BE544):INDEX((係数_バス貨物_ガソリン,係数_バス貨物_CNG,係数_バス貨物_軽油,係数_バス貨物_メタノール,係数_バス貨物_LPG),MATCH(AY544+1,【参考】排出係数!$AI$4:$AI$671,1)-1,5,BE544),5,FALSE)),IF(AND(BE544=3,LEFT(BF544,1)="1"),0.055,VLOOKUP(AU544,INDEX((係数_乗用_ガソリン,係数_乗用_CNG,係数_乗用_軽油,係数_乗用_メタノール,係数_乗用_LPG),1,1,BE544):INDEX((係数_乗用_ガソリン,係数_乗用_CNG,係数_乗用_軽油,係数_乗用_メタノール,係数_乗用_LPG),125,5,BE544),5,FALSE)))))</f>
        <v/>
      </c>
      <c r="AN544" s="461" t="str">
        <f t="shared" si="317"/>
        <v/>
      </c>
      <c r="AO544" s="462" t="str">
        <f t="shared" si="318"/>
        <v/>
      </c>
      <c r="AP544" s="463" t="str">
        <f t="shared" si="319"/>
        <v/>
      </c>
      <c r="AQ544" s="464"/>
      <c r="AR544" s="619"/>
      <c r="AS544" s="465" t="str">
        <f t="shared" si="298"/>
        <v/>
      </c>
      <c r="AT544" s="465" t="str">
        <f t="shared" si="299"/>
        <v/>
      </c>
      <c r="AU544" s="466" t="str">
        <f t="shared" si="300"/>
        <v/>
      </c>
      <c r="AV544" s="467" t="str">
        <f t="shared" si="301"/>
        <v/>
      </c>
      <c r="AW544" s="467" t="str">
        <f t="shared" si="302"/>
        <v/>
      </c>
      <c r="AX544" s="467" t="str">
        <f t="shared" si="303"/>
        <v/>
      </c>
      <c r="AY544" s="467" t="str">
        <f t="shared" si="304"/>
        <v/>
      </c>
      <c r="AZ544" s="467" t="str">
        <f t="shared" si="305"/>
        <v/>
      </c>
      <c r="BA544" s="468" t="str">
        <f>IF(AS544="","",IF(OR(AU544="",AU544="-"),"－",IF(OR(AZ544=8,AZ544=9),"",IF(OR(AW544=3,AW544=4,AW544=5,AW544=6),VLOOKUP(AU544,INDEX((係数_バス貨物_ガソリン,係数_バス貨物_CNG,係数_バス貨物_軽油,係数_バス貨物_メタノール,係数_バス貨物_LPG),MATCH(AY544,【参考】排出係数!$AI$4:$AI$671,1),1,BE544):INDEX((係数_バス貨物_ガソリン,係数_バス貨物_CNG,係数_バス貨物_軽油,係数_バス貨物_メタノール,係数_バス貨物_LPG),MATCH(AY544+1,【参考】排出係数!$AI$4:$AI$671,1)-1,5,BE544),2,FALSE),IF(OR(AW544=1,AW544=2),VLOOKUP(AU544,INDEX((係数_乗用_ガソリン,係数_乗用_CNG,係数_乗用_軽油,係数_乗用_メタノール,係数_乗用_LPG),1,1,BE544):INDEX((係数_乗用_ガソリン,係数_乗用_CNG,係数_乗用_軽油,係数_乗用_メタノール,係数_乗用_LPG),125,5,BE544),2,FALSE))))))</f>
        <v/>
      </c>
      <c r="BB544" s="468" t="str">
        <f>IF(T544="","",IF(OR(AU544="",AU544="-"),"－",IF(OR(AZ544=8,AZ544=9),"",IF(OR(AW544=3,AW544=4,AW544=5,AW544=6),VLOOKUP(AU544,INDEX((係数_バス貨物_ガソリン,係数_バス貨物_CNG,係数_バス貨物_軽油,係数_バス貨物_メタノール,係数_バス貨物_LPG),MATCH(AY544,【参考】排出係数!$AI$4:$AI$671,1),1,BE544):INDEX((係数_バス貨物_ガソリン,係数_バス貨物_CNG,係数_バス貨物_軽油,係数_バス貨物_メタノール,係数_バス貨物_LPG),MATCH(AY544+1,【参考】排出係数!$AI$4:$AI$671,1)-1,5,BE544),3,FALSE),IF(OR(AW544=1,AW544=2),VLOOKUP(AU544,INDEX((係数_乗用_ガソリン,係数_乗用_CNG,係数_乗用_軽油,係数_乗用_メタノール,係数_乗用_LPG),1,1,BE544):INDEX((係数_乗用_ガソリン,係数_乗用_CNG,係数_乗用_軽油,係数_乗用_メタノール,係数_乗用_LPG),125,5,BE544),3,FALSE))))))</f>
        <v/>
      </c>
      <c r="BC544" s="467" t="str">
        <f t="shared" si="306"/>
        <v/>
      </c>
      <c r="BD544" s="567" t="str">
        <f t="shared" si="307"/>
        <v/>
      </c>
      <c r="BE544" s="467" t="str">
        <f t="shared" si="308"/>
        <v/>
      </c>
      <c r="BF544" s="469" t="str">
        <f t="shared" ca="1" si="309"/>
        <v/>
      </c>
      <c r="BG544" s="469" t="str">
        <f t="shared" ca="1" si="310"/>
        <v/>
      </c>
      <c r="BH544" s="467" t="str">
        <f t="shared" si="311"/>
        <v/>
      </c>
      <c r="BI544" s="467" t="str">
        <f t="shared" ca="1" si="312"/>
        <v/>
      </c>
      <c r="BJ544" s="469" t="str">
        <f t="shared" si="313"/>
        <v/>
      </c>
      <c r="BK544" s="470" t="str">
        <f t="shared" si="293"/>
        <v/>
      </c>
      <c r="BL544" s="775" t="str">
        <f t="shared" si="314"/>
        <v/>
      </c>
      <c r="BM544" s="775" t="str">
        <f t="shared" si="315"/>
        <v/>
      </c>
    </row>
    <row r="545" spans="1:65">
      <c r="A545" s="473">
        <v>489</v>
      </c>
      <c r="B545" s="132"/>
      <c r="C545" s="332"/>
      <c r="D545" s="333"/>
      <c r="E545" s="333"/>
      <c r="F545" s="334"/>
      <c r="G545" s="337"/>
      <c r="H545" s="131"/>
      <c r="I545" s="337"/>
      <c r="J545" s="131"/>
      <c r="K545" s="458" t="str">
        <f t="shared" si="282"/>
        <v/>
      </c>
      <c r="L545" s="458">
        <f t="shared" si="294"/>
        <v>0</v>
      </c>
      <c r="M545" s="458">
        <f t="shared" si="295"/>
        <v>0</v>
      </c>
      <c r="N545" s="459" t="str">
        <f t="shared" si="283"/>
        <v/>
      </c>
      <c r="O545" s="459" t="str">
        <f t="shared" si="284"/>
        <v/>
      </c>
      <c r="P545" s="459" t="str">
        <f t="shared" si="285"/>
        <v/>
      </c>
      <c r="Q545" s="459" t="str">
        <f t="shared" si="286"/>
        <v/>
      </c>
      <c r="R545" s="459" t="str">
        <f t="shared" si="287"/>
        <v/>
      </c>
      <c r="S545" s="459" t="str">
        <f t="shared" si="288"/>
        <v/>
      </c>
      <c r="T545" s="566" t="str">
        <f t="shared" si="296"/>
        <v/>
      </c>
      <c r="U545" s="702"/>
      <c r="V545" s="132"/>
      <c r="W545" s="133"/>
      <c r="X545" s="134"/>
      <c r="Y545" s="135"/>
      <c r="Z545" s="137"/>
      <c r="AA545" s="136"/>
      <c r="AB545" s="566" t="str">
        <f t="shared" si="289"/>
        <v/>
      </c>
      <c r="AC545" s="568" t="str">
        <f t="shared" si="297"/>
        <v/>
      </c>
      <c r="AD545" s="137"/>
      <c r="AE545" s="137"/>
      <c r="AF545" s="138"/>
      <c r="AG545" s="138"/>
      <c r="AH545" s="592" t="str">
        <f t="shared" si="290"/>
        <v/>
      </c>
      <c r="AI545" s="592" t="str">
        <f t="shared" si="291"/>
        <v/>
      </c>
      <c r="AJ545" s="592" t="str">
        <f t="shared" si="292"/>
        <v/>
      </c>
      <c r="AK545" s="460" t="str">
        <f>IF(AU545="","",IF(OR(AZ545=8,AZ545=9),0,IF(OR(AW545=3,AW545=4,AW545=5,AW545=6),IF(LEFT(BF545,1)="1",INDEX(係数_NOX・PM低減,MATCH(AY545,【参考】排出係数!$AI$801:$AI$804,1),1),VLOOKUP(AU545,INDEX((係数_バス貨物_ガソリン,係数_バス貨物_CNG,係数_バス貨物_軽油,係数_バス貨物_メタノール,係数_バス貨物_LPG),MATCH(AY545,【参考】排出係数!$AI$4:$AI$671,1),1,BE545):INDEX((係数_バス貨物_ガソリン,係数_バス貨物_CNG,係数_バス貨物_軽油,係数_バス貨物_メタノール,係数_バス貨物_LPG),MATCH(AY545+1,【参考】排出係数!$AI$4:$AI$671,1)-1,5,BE545),4,FALSE)),IF(AND(BE545=3,LEFT(BF545,1)="1"),0.48,VLOOKUP(AU545,INDEX((係数_乗用_ガソリン,係数_乗用_CNG,係数_乗用_軽油,係数_乗用_メタノール,係数_乗用_LPG),1,1,BE545):INDEX((係数_乗用_ガソリン,係数_乗用_CNG,係数_乗用_軽油,係数_乗用_メタノール,係数_乗用_LPG),125,5,BE545),4,FALSE)))))</f>
        <v/>
      </c>
      <c r="AL545" s="461" t="str">
        <f t="shared" si="316"/>
        <v/>
      </c>
      <c r="AM545" s="460" t="str">
        <f>IF(AU545="","",IF(OR(AZ545=8,AZ545=9),0,IF(OR(AW545=3,AW545=4,AW545=5,AW545=6),IF(LEFT(BH545,1)="1",INDEX(係数_PM低減,MATCH(AY545,【参考】排出係数!$AI$801:$AI$804,1),MATCH(BI545,【参考】排出係数!$AL$798:$AO$798,1)),VLOOKUP(AU545,INDEX((係数_バス貨物_ガソリン,係数_バス貨物_CNG,係数_バス貨物_軽油,係数_バス貨物_メタノール,係数_バス貨物_LPG),MATCH(AY545,【参考】排出係数!$AI$4:$AI$671,1),1,BE545):INDEX((係数_バス貨物_ガソリン,係数_バス貨物_CNG,係数_バス貨物_軽油,係数_バス貨物_メタノール,係数_バス貨物_LPG),MATCH(AY545+1,【参考】排出係数!$AI$4:$AI$671,1)-1,5,BE545),5,FALSE)),IF(AND(BE545=3,LEFT(BF545,1)="1"),0.055,VLOOKUP(AU545,INDEX((係数_乗用_ガソリン,係数_乗用_CNG,係数_乗用_軽油,係数_乗用_メタノール,係数_乗用_LPG),1,1,BE545):INDEX((係数_乗用_ガソリン,係数_乗用_CNG,係数_乗用_軽油,係数_乗用_メタノール,係数_乗用_LPG),125,5,BE545),5,FALSE)))))</f>
        <v/>
      </c>
      <c r="AN545" s="461" t="str">
        <f t="shared" si="317"/>
        <v/>
      </c>
      <c r="AO545" s="462" t="str">
        <f t="shared" si="318"/>
        <v/>
      </c>
      <c r="AP545" s="463" t="str">
        <f t="shared" si="319"/>
        <v/>
      </c>
      <c r="AQ545" s="464"/>
      <c r="AR545" s="619"/>
      <c r="AS545" s="465" t="str">
        <f t="shared" si="298"/>
        <v/>
      </c>
      <c r="AT545" s="465" t="str">
        <f t="shared" si="299"/>
        <v/>
      </c>
      <c r="AU545" s="466" t="str">
        <f t="shared" si="300"/>
        <v/>
      </c>
      <c r="AV545" s="467" t="str">
        <f t="shared" si="301"/>
        <v/>
      </c>
      <c r="AW545" s="467" t="str">
        <f t="shared" si="302"/>
        <v/>
      </c>
      <c r="AX545" s="467" t="str">
        <f t="shared" si="303"/>
        <v/>
      </c>
      <c r="AY545" s="467" t="str">
        <f t="shared" si="304"/>
        <v/>
      </c>
      <c r="AZ545" s="467" t="str">
        <f t="shared" si="305"/>
        <v/>
      </c>
      <c r="BA545" s="468" t="str">
        <f>IF(AS545="","",IF(OR(AU545="",AU545="-"),"－",IF(OR(AZ545=8,AZ545=9),"",IF(OR(AW545=3,AW545=4,AW545=5,AW545=6),VLOOKUP(AU545,INDEX((係数_バス貨物_ガソリン,係数_バス貨物_CNG,係数_バス貨物_軽油,係数_バス貨物_メタノール,係数_バス貨物_LPG),MATCH(AY545,【参考】排出係数!$AI$4:$AI$671,1),1,BE545):INDEX((係数_バス貨物_ガソリン,係数_バス貨物_CNG,係数_バス貨物_軽油,係数_バス貨物_メタノール,係数_バス貨物_LPG),MATCH(AY545+1,【参考】排出係数!$AI$4:$AI$671,1)-1,5,BE545),2,FALSE),IF(OR(AW545=1,AW545=2),VLOOKUP(AU545,INDEX((係数_乗用_ガソリン,係数_乗用_CNG,係数_乗用_軽油,係数_乗用_メタノール,係数_乗用_LPG),1,1,BE545):INDEX((係数_乗用_ガソリン,係数_乗用_CNG,係数_乗用_軽油,係数_乗用_メタノール,係数_乗用_LPG),125,5,BE545),2,FALSE))))))</f>
        <v/>
      </c>
      <c r="BB545" s="468" t="str">
        <f>IF(T545="","",IF(OR(AU545="",AU545="-"),"－",IF(OR(AZ545=8,AZ545=9),"",IF(OR(AW545=3,AW545=4,AW545=5,AW545=6),VLOOKUP(AU545,INDEX((係数_バス貨物_ガソリン,係数_バス貨物_CNG,係数_バス貨物_軽油,係数_バス貨物_メタノール,係数_バス貨物_LPG),MATCH(AY545,【参考】排出係数!$AI$4:$AI$671,1),1,BE545):INDEX((係数_バス貨物_ガソリン,係数_バス貨物_CNG,係数_バス貨物_軽油,係数_バス貨物_メタノール,係数_バス貨物_LPG),MATCH(AY545+1,【参考】排出係数!$AI$4:$AI$671,1)-1,5,BE545),3,FALSE),IF(OR(AW545=1,AW545=2),VLOOKUP(AU545,INDEX((係数_乗用_ガソリン,係数_乗用_CNG,係数_乗用_軽油,係数_乗用_メタノール,係数_乗用_LPG),1,1,BE545):INDEX((係数_乗用_ガソリン,係数_乗用_CNG,係数_乗用_軽油,係数_乗用_メタノール,係数_乗用_LPG),125,5,BE545),3,FALSE))))))</f>
        <v/>
      </c>
      <c r="BC545" s="467" t="str">
        <f t="shared" si="306"/>
        <v/>
      </c>
      <c r="BD545" s="567" t="str">
        <f t="shared" si="307"/>
        <v/>
      </c>
      <c r="BE545" s="467" t="str">
        <f t="shared" si="308"/>
        <v/>
      </c>
      <c r="BF545" s="469" t="str">
        <f t="shared" ca="1" si="309"/>
        <v/>
      </c>
      <c r="BG545" s="469" t="str">
        <f t="shared" ca="1" si="310"/>
        <v/>
      </c>
      <c r="BH545" s="467" t="str">
        <f t="shared" si="311"/>
        <v/>
      </c>
      <c r="BI545" s="467" t="str">
        <f t="shared" ca="1" si="312"/>
        <v/>
      </c>
      <c r="BJ545" s="469" t="str">
        <f t="shared" si="313"/>
        <v/>
      </c>
      <c r="BK545" s="470" t="str">
        <f t="shared" si="293"/>
        <v/>
      </c>
      <c r="BL545" s="775" t="str">
        <f t="shared" si="314"/>
        <v/>
      </c>
      <c r="BM545" s="775" t="str">
        <f t="shared" si="315"/>
        <v/>
      </c>
    </row>
    <row r="546" spans="1:65">
      <c r="A546" s="473">
        <v>490</v>
      </c>
      <c r="B546" s="132"/>
      <c r="C546" s="332"/>
      <c r="D546" s="333"/>
      <c r="E546" s="333"/>
      <c r="F546" s="334"/>
      <c r="G546" s="337"/>
      <c r="H546" s="131"/>
      <c r="I546" s="337"/>
      <c r="J546" s="131"/>
      <c r="K546" s="458" t="str">
        <f t="shared" si="282"/>
        <v/>
      </c>
      <c r="L546" s="458">
        <f t="shared" si="294"/>
        <v>0</v>
      </c>
      <c r="M546" s="458">
        <f t="shared" si="295"/>
        <v>0</v>
      </c>
      <c r="N546" s="459" t="str">
        <f t="shared" si="283"/>
        <v/>
      </c>
      <c r="O546" s="459" t="str">
        <f t="shared" si="284"/>
        <v/>
      </c>
      <c r="P546" s="459" t="str">
        <f t="shared" si="285"/>
        <v/>
      </c>
      <c r="Q546" s="459" t="str">
        <f t="shared" si="286"/>
        <v/>
      </c>
      <c r="R546" s="459" t="str">
        <f t="shared" si="287"/>
        <v/>
      </c>
      <c r="S546" s="459" t="str">
        <f t="shared" si="288"/>
        <v/>
      </c>
      <c r="T546" s="566" t="str">
        <f t="shared" si="296"/>
        <v/>
      </c>
      <c r="U546" s="702"/>
      <c r="V546" s="132"/>
      <c r="W546" s="133"/>
      <c r="X546" s="134"/>
      <c r="Y546" s="135"/>
      <c r="Z546" s="137"/>
      <c r="AA546" s="136"/>
      <c r="AB546" s="566" t="str">
        <f t="shared" si="289"/>
        <v/>
      </c>
      <c r="AC546" s="568" t="str">
        <f t="shared" si="297"/>
        <v/>
      </c>
      <c r="AD546" s="137"/>
      <c r="AE546" s="137"/>
      <c r="AF546" s="138"/>
      <c r="AG546" s="138"/>
      <c r="AH546" s="592" t="str">
        <f t="shared" si="290"/>
        <v/>
      </c>
      <c r="AI546" s="592" t="str">
        <f t="shared" si="291"/>
        <v/>
      </c>
      <c r="AJ546" s="592" t="str">
        <f t="shared" si="292"/>
        <v/>
      </c>
      <c r="AK546" s="460" t="str">
        <f>IF(AU546="","",IF(OR(AZ546=8,AZ546=9),0,IF(OR(AW546=3,AW546=4,AW546=5,AW546=6),IF(LEFT(BF546,1)="1",INDEX(係数_NOX・PM低減,MATCH(AY546,【参考】排出係数!$AI$801:$AI$804,1),1),VLOOKUP(AU546,INDEX((係数_バス貨物_ガソリン,係数_バス貨物_CNG,係数_バス貨物_軽油,係数_バス貨物_メタノール,係数_バス貨物_LPG),MATCH(AY546,【参考】排出係数!$AI$4:$AI$671,1),1,BE546):INDEX((係数_バス貨物_ガソリン,係数_バス貨物_CNG,係数_バス貨物_軽油,係数_バス貨物_メタノール,係数_バス貨物_LPG),MATCH(AY546+1,【参考】排出係数!$AI$4:$AI$671,1)-1,5,BE546),4,FALSE)),IF(AND(BE546=3,LEFT(BF546,1)="1"),0.48,VLOOKUP(AU546,INDEX((係数_乗用_ガソリン,係数_乗用_CNG,係数_乗用_軽油,係数_乗用_メタノール,係数_乗用_LPG),1,1,BE546):INDEX((係数_乗用_ガソリン,係数_乗用_CNG,係数_乗用_軽油,係数_乗用_メタノール,係数_乗用_LPG),125,5,BE546),4,FALSE)))))</f>
        <v/>
      </c>
      <c r="AL546" s="461" t="str">
        <f t="shared" si="316"/>
        <v/>
      </c>
      <c r="AM546" s="460" t="str">
        <f>IF(AU546="","",IF(OR(AZ546=8,AZ546=9),0,IF(OR(AW546=3,AW546=4,AW546=5,AW546=6),IF(LEFT(BH546,1)="1",INDEX(係数_PM低減,MATCH(AY546,【参考】排出係数!$AI$801:$AI$804,1),MATCH(BI546,【参考】排出係数!$AL$798:$AO$798,1)),VLOOKUP(AU546,INDEX((係数_バス貨物_ガソリン,係数_バス貨物_CNG,係数_バス貨物_軽油,係数_バス貨物_メタノール,係数_バス貨物_LPG),MATCH(AY546,【参考】排出係数!$AI$4:$AI$671,1),1,BE546):INDEX((係数_バス貨物_ガソリン,係数_バス貨物_CNG,係数_バス貨物_軽油,係数_バス貨物_メタノール,係数_バス貨物_LPG),MATCH(AY546+1,【参考】排出係数!$AI$4:$AI$671,1)-1,5,BE546),5,FALSE)),IF(AND(BE546=3,LEFT(BF546,1)="1"),0.055,VLOOKUP(AU546,INDEX((係数_乗用_ガソリン,係数_乗用_CNG,係数_乗用_軽油,係数_乗用_メタノール,係数_乗用_LPG),1,1,BE546):INDEX((係数_乗用_ガソリン,係数_乗用_CNG,係数_乗用_軽油,係数_乗用_メタノール,係数_乗用_LPG),125,5,BE546),5,FALSE)))))</f>
        <v/>
      </c>
      <c r="AN546" s="461" t="str">
        <f t="shared" si="317"/>
        <v/>
      </c>
      <c r="AO546" s="462" t="str">
        <f t="shared" si="318"/>
        <v/>
      </c>
      <c r="AP546" s="463" t="str">
        <f t="shared" si="319"/>
        <v/>
      </c>
      <c r="AQ546" s="464"/>
      <c r="AR546" s="619"/>
      <c r="AS546" s="465" t="str">
        <f t="shared" si="298"/>
        <v/>
      </c>
      <c r="AT546" s="465" t="str">
        <f t="shared" si="299"/>
        <v/>
      </c>
      <c r="AU546" s="466" t="str">
        <f t="shared" si="300"/>
        <v/>
      </c>
      <c r="AV546" s="467" t="str">
        <f t="shared" si="301"/>
        <v/>
      </c>
      <c r="AW546" s="467" t="str">
        <f t="shared" si="302"/>
        <v/>
      </c>
      <c r="AX546" s="467" t="str">
        <f t="shared" si="303"/>
        <v/>
      </c>
      <c r="AY546" s="467" t="str">
        <f t="shared" si="304"/>
        <v/>
      </c>
      <c r="AZ546" s="467" t="str">
        <f t="shared" si="305"/>
        <v/>
      </c>
      <c r="BA546" s="468" t="str">
        <f>IF(AS546="","",IF(OR(AU546="",AU546="-"),"－",IF(OR(AZ546=8,AZ546=9),"",IF(OR(AW546=3,AW546=4,AW546=5,AW546=6),VLOOKUP(AU546,INDEX((係数_バス貨物_ガソリン,係数_バス貨物_CNG,係数_バス貨物_軽油,係数_バス貨物_メタノール,係数_バス貨物_LPG),MATCH(AY546,【参考】排出係数!$AI$4:$AI$671,1),1,BE546):INDEX((係数_バス貨物_ガソリン,係数_バス貨物_CNG,係数_バス貨物_軽油,係数_バス貨物_メタノール,係数_バス貨物_LPG),MATCH(AY546+1,【参考】排出係数!$AI$4:$AI$671,1)-1,5,BE546),2,FALSE),IF(OR(AW546=1,AW546=2),VLOOKUP(AU546,INDEX((係数_乗用_ガソリン,係数_乗用_CNG,係数_乗用_軽油,係数_乗用_メタノール,係数_乗用_LPG),1,1,BE546):INDEX((係数_乗用_ガソリン,係数_乗用_CNG,係数_乗用_軽油,係数_乗用_メタノール,係数_乗用_LPG),125,5,BE546),2,FALSE))))))</f>
        <v/>
      </c>
      <c r="BB546" s="468" t="str">
        <f>IF(T546="","",IF(OR(AU546="",AU546="-"),"－",IF(OR(AZ546=8,AZ546=9),"",IF(OR(AW546=3,AW546=4,AW546=5,AW546=6),VLOOKUP(AU546,INDEX((係数_バス貨物_ガソリン,係数_バス貨物_CNG,係数_バス貨物_軽油,係数_バス貨物_メタノール,係数_バス貨物_LPG),MATCH(AY546,【参考】排出係数!$AI$4:$AI$671,1),1,BE546):INDEX((係数_バス貨物_ガソリン,係数_バス貨物_CNG,係数_バス貨物_軽油,係数_バス貨物_メタノール,係数_バス貨物_LPG),MATCH(AY546+1,【参考】排出係数!$AI$4:$AI$671,1)-1,5,BE546),3,FALSE),IF(OR(AW546=1,AW546=2),VLOOKUP(AU546,INDEX((係数_乗用_ガソリン,係数_乗用_CNG,係数_乗用_軽油,係数_乗用_メタノール,係数_乗用_LPG),1,1,BE546):INDEX((係数_乗用_ガソリン,係数_乗用_CNG,係数_乗用_軽油,係数_乗用_メタノール,係数_乗用_LPG),125,5,BE546),3,FALSE))))))</f>
        <v/>
      </c>
      <c r="BC546" s="467" t="str">
        <f t="shared" si="306"/>
        <v/>
      </c>
      <c r="BD546" s="567" t="str">
        <f t="shared" si="307"/>
        <v/>
      </c>
      <c r="BE546" s="467" t="str">
        <f t="shared" si="308"/>
        <v/>
      </c>
      <c r="BF546" s="469" t="str">
        <f t="shared" ca="1" si="309"/>
        <v/>
      </c>
      <c r="BG546" s="469" t="str">
        <f t="shared" ca="1" si="310"/>
        <v/>
      </c>
      <c r="BH546" s="467" t="str">
        <f t="shared" si="311"/>
        <v/>
      </c>
      <c r="BI546" s="467" t="str">
        <f t="shared" ca="1" si="312"/>
        <v/>
      </c>
      <c r="BJ546" s="469" t="str">
        <f t="shared" si="313"/>
        <v/>
      </c>
      <c r="BK546" s="470" t="str">
        <f t="shared" si="293"/>
        <v/>
      </c>
      <c r="BL546" s="775" t="str">
        <f t="shared" si="314"/>
        <v/>
      </c>
      <c r="BM546" s="775" t="str">
        <f t="shared" si="315"/>
        <v/>
      </c>
    </row>
    <row r="547" spans="1:65">
      <c r="A547" s="473">
        <v>491</v>
      </c>
      <c r="B547" s="132"/>
      <c r="C547" s="332"/>
      <c r="D547" s="333"/>
      <c r="E547" s="333"/>
      <c r="F547" s="334"/>
      <c r="G547" s="337"/>
      <c r="H547" s="131"/>
      <c r="I547" s="337"/>
      <c r="J547" s="131"/>
      <c r="K547" s="458" t="str">
        <f t="shared" si="282"/>
        <v/>
      </c>
      <c r="L547" s="458">
        <f t="shared" si="294"/>
        <v>0</v>
      </c>
      <c r="M547" s="458">
        <f t="shared" si="295"/>
        <v>0</v>
      </c>
      <c r="N547" s="459" t="str">
        <f t="shared" si="283"/>
        <v/>
      </c>
      <c r="O547" s="459" t="str">
        <f t="shared" si="284"/>
        <v/>
      </c>
      <c r="P547" s="459" t="str">
        <f t="shared" si="285"/>
        <v/>
      </c>
      <c r="Q547" s="459" t="str">
        <f t="shared" si="286"/>
        <v/>
      </c>
      <c r="R547" s="459" t="str">
        <f t="shared" si="287"/>
        <v/>
      </c>
      <c r="S547" s="459" t="str">
        <f t="shared" si="288"/>
        <v/>
      </c>
      <c r="T547" s="566" t="str">
        <f t="shared" si="296"/>
        <v/>
      </c>
      <c r="U547" s="702"/>
      <c r="V547" s="132"/>
      <c r="W547" s="133"/>
      <c r="X547" s="134"/>
      <c r="Y547" s="135"/>
      <c r="Z547" s="137"/>
      <c r="AA547" s="136"/>
      <c r="AB547" s="566" t="str">
        <f t="shared" si="289"/>
        <v/>
      </c>
      <c r="AC547" s="568" t="str">
        <f t="shared" si="297"/>
        <v/>
      </c>
      <c r="AD547" s="137"/>
      <c r="AE547" s="137"/>
      <c r="AF547" s="138"/>
      <c r="AG547" s="138"/>
      <c r="AH547" s="592" t="str">
        <f t="shared" si="290"/>
        <v/>
      </c>
      <c r="AI547" s="592" t="str">
        <f t="shared" si="291"/>
        <v/>
      </c>
      <c r="AJ547" s="592" t="str">
        <f t="shared" si="292"/>
        <v/>
      </c>
      <c r="AK547" s="460" t="str">
        <f>IF(AU547="","",IF(OR(AZ547=8,AZ547=9),0,IF(OR(AW547=3,AW547=4,AW547=5,AW547=6),IF(LEFT(BF547,1)="1",INDEX(係数_NOX・PM低減,MATCH(AY547,【参考】排出係数!$AI$801:$AI$804,1),1),VLOOKUP(AU547,INDEX((係数_バス貨物_ガソリン,係数_バス貨物_CNG,係数_バス貨物_軽油,係数_バス貨物_メタノール,係数_バス貨物_LPG),MATCH(AY547,【参考】排出係数!$AI$4:$AI$671,1),1,BE547):INDEX((係数_バス貨物_ガソリン,係数_バス貨物_CNG,係数_バス貨物_軽油,係数_バス貨物_メタノール,係数_バス貨物_LPG),MATCH(AY547+1,【参考】排出係数!$AI$4:$AI$671,1)-1,5,BE547),4,FALSE)),IF(AND(BE547=3,LEFT(BF547,1)="1"),0.48,VLOOKUP(AU547,INDEX((係数_乗用_ガソリン,係数_乗用_CNG,係数_乗用_軽油,係数_乗用_メタノール,係数_乗用_LPG),1,1,BE547):INDEX((係数_乗用_ガソリン,係数_乗用_CNG,係数_乗用_軽油,係数_乗用_メタノール,係数_乗用_LPG),125,5,BE547),4,FALSE)))))</f>
        <v/>
      </c>
      <c r="AL547" s="461" t="str">
        <f t="shared" si="316"/>
        <v/>
      </c>
      <c r="AM547" s="460" t="str">
        <f>IF(AU547="","",IF(OR(AZ547=8,AZ547=9),0,IF(OR(AW547=3,AW547=4,AW547=5,AW547=6),IF(LEFT(BH547,1)="1",INDEX(係数_PM低減,MATCH(AY547,【参考】排出係数!$AI$801:$AI$804,1),MATCH(BI547,【参考】排出係数!$AL$798:$AO$798,1)),VLOOKUP(AU547,INDEX((係数_バス貨物_ガソリン,係数_バス貨物_CNG,係数_バス貨物_軽油,係数_バス貨物_メタノール,係数_バス貨物_LPG),MATCH(AY547,【参考】排出係数!$AI$4:$AI$671,1),1,BE547):INDEX((係数_バス貨物_ガソリン,係数_バス貨物_CNG,係数_バス貨物_軽油,係数_バス貨物_メタノール,係数_バス貨物_LPG),MATCH(AY547+1,【参考】排出係数!$AI$4:$AI$671,1)-1,5,BE547),5,FALSE)),IF(AND(BE547=3,LEFT(BF547,1)="1"),0.055,VLOOKUP(AU547,INDEX((係数_乗用_ガソリン,係数_乗用_CNG,係数_乗用_軽油,係数_乗用_メタノール,係数_乗用_LPG),1,1,BE547):INDEX((係数_乗用_ガソリン,係数_乗用_CNG,係数_乗用_軽油,係数_乗用_メタノール,係数_乗用_LPG),125,5,BE547),5,FALSE)))))</f>
        <v/>
      </c>
      <c r="AN547" s="461" t="str">
        <f t="shared" si="317"/>
        <v/>
      </c>
      <c r="AO547" s="462" t="str">
        <f t="shared" si="318"/>
        <v/>
      </c>
      <c r="AP547" s="463" t="str">
        <f t="shared" si="319"/>
        <v/>
      </c>
      <c r="AQ547" s="464"/>
      <c r="AR547" s="619"/>
      <c r="AS547" s="465" t="str">
        <f t="shared" si="298"/>
        <v/>
      </c>
      <c r="AT547" s="465" t="str">
        <f t="shared" si="299"/>
        <v/>
      </c>
      <c r="AU547" s="466" t="str">
        <f t="shared" si="300"/>
        <v/>
      </c>
      <c r="AV547" s="467" t="str">
        <f t="shared" si="301"/>
        <v/>
      </c>
      <c r="AW547" s="467" t="str">
        <f t="shared" si="302"/>
        <v/>
      </c>
      <c r="AX547" s="467" t="str">
        <f t="shared" si="303"/>
        <v/>
      </c>
      <c r="AY547" s="467" t="str">
        <f t="shared" si="304"/>
        <v/>
      </c>
      <c r="AZ547" s="467" t="str">
        <f t="shared" si="305"/>
        <v/>
      </c>
      <c r="BA547" s="468" t="str">
        <f>IF(AS547="","",IF(OR(AU547="",AU547="-"),"－",IF(OR(AZ547=8,AZ547=9),"",IF(OR(AW547=3,AW547=4,AW547=5,AW547=6),VLOOKUP(AU547,INDEX((係数_バス貨物_ガソリン,係数_バス貨物_CNG,係数_バス貨物_軽油,係数_バス貨物_メタノール,係数_バス貨物_LPG),MATCH(AY547,【参考】排出係数!$AI$4:$AI$671,1),1,BE547):INDEX((係数_バス貨物_ガソリン,係数_バス貨物_CNG,係数_バス貨物_軽油,係数_バス貨物_メタノール,係数_バス貨物_LPG),MATCH(AY547+1,【参考】排出係数!$AI$4:$AI$671,1)-1,5,BE547),2,FALSE),IF(OR(AW547=1,AW547=2),VLOOKUP(AU547,INDEX((係数_乗用_ガソリン,係数_乗用_CNG,係数_乗用_軽油,係数_乗用_メタノール,係数_乗用_LPG),1,1,BE547):INDEX((係数_乗用_ガソリン,係数_乗用_CNG,係数_乗用_軽油,係数_乗用_メタノール,係数_乗用_LPG),125,5,BE547),2,FALSE))))))</f>
        <v/>
      </c>
      <c r="BB547" s="468" t="str">
        <f>IF(T547="","",IF(OR(AU547="",AU547="-"),"－",IF(OR(AZ547=8,AZ547=9),"",IF(OR(AW547=3,AW547=4,AW547=5,AW547=6),VLOOKUP(AU547,INDEX((係数_バス貨物_ガソリン,係数_バス貨物_CNG,係数_バス貨物_軽油,係数_バス貨物_メタノール,係数_バス貨物_LPG),MATCH(AY547,【参考】排出係数!$AI$4:$AI$671,1),1,BE547):INDEX((係数_バス貨物_ガソリン,係数_バス貨物_CNG,係数_バス貨物_軽油,係数_バス貨物_メタノール,係数_バス貨物_LPG),MATCH(AY547+1,【参考】排出係数!$AI$4:$AI$671,1)-1,5,BE547),3,FALSE),IF(OR(AW547=1,AW547=2),VLOOKUP(AU547,INDEX((係数_乗用_ガソリン,係数_乗用_CNG,係数_乗用_軽油,係数_乗用_メタノール,係数_乗用_LPG),1,1,BE547):INDEX((係数_乗用_ガソリン,係数_乗用_CNG,係数_乗用_軽油,係数_乗用_メタノール,係数_乗用_LPG),125,5,BE547),3,FALSE))))))</f>
        <v/>
      </c>
      <c r="BC547" s="467" t="str">
        <f t="shared" si="306"/>
        <v/>
      </c>
      <c r="BD547" s="567" t="str">
        <f t="shared" si="307"/>
        <v/>
      </c>
      <c r="BE547" s="467" t="str">
        <f t="shared" si="308"/>
        <v/>
      </c>
      <c r="BF547" s="469" t="str">
        <f t="shared" ca="1" si="309"/>
        <v/>
      </c>
      <c r="BG547" s="469" t="str">
        <f t="shared" ca="1" si="310"/>
        <v/>
      </c>
      <c r="BH547" s="467" t="str">
        <f t="shared" si="311"/>
        <v/>
      </c>
      <c r="BI547" s="467" t="str">
        <f t="shared" ca="1" si="312"/>
        <v/>
      </c>
      <c r="BJ547" s="469" t="str">
        <f t="shared" si="313"/>
        <v/>
      </c>
      <c r="BK547" s="470" t="str">
        <f t="shared" si="293"/>
        <v/>
      </c>
      <c r="BL547" s="775" t="str">
        <f t="shared" si="314"/>
        <v/>
      </c>
      <c r="BM547" s="775" t="str">
        <f t="shared" si="315"/>
        <v/>
      </c>
    </row>
    <row r="548" spans="1:65">
      <c r="A548" s="473">
        <v>492</v>
      </c>
      <c r="B548" s="132"/>
      <c r="C548" s="332"/>
      <c r="D548" s="333"/>
      <c r="E548" s="333"/>
      <c r="F548" s="334"/>
      <c r="G548" s="337"/>
      <c r="H548" s="131"/>
      <c r="I548" s="337"/>
      <c r="J548" s="131"/>
      <c r="K548" s="458" t="str">
        <f t="shared" si="282"/>
        <v/>
      </c>
      <c r="L548" s="458">
        <f t="shared" si="294"/>
        <v>0</v>
      </c>
      <c r="M548" s="458">
        <f t="shared" si="295"/>
        <v>0</v>
      </c>
      <c r="N548" s="459" t="str">
        <f t="shared" si="283"/>
        <v/>
      </c>
      <c r="O548" s="459" t="str">
        <f t="shared" si="284"/>
        <v/>
      </c>
      <c r="P548" s="459" t="str">
        <f t="shared" si="285"/>
        <v/>
      </c>
      <c r="Q548" s="459" t="str">
        <f t="shared" si="286"/>
        <v/>
      </c>
      <c r="R548" s="459" t="str">
        <f t="shared" si="287"/>
        <v/>
      </c>
      <c r="S548" s="459" t="str">
        <f t="shared" si="288"/>
        <v/>
      </c>
      <c r="T548" s="566" t="str">
        <f t="shared" si="296"/>
        <v/>
      </c>
      <c r="U548" s="702"/>
      <c r="V548" s="132"/>
      <c r="W548" s="133"/>
      <c r="X548" s="134"/>
      <c r="Y548" s="135"/>
      <c r="Z548" s="137"/>
      <c r="AA548" s="136"/>
      <c r="AB548" s="566" t="str">
        <f t="shared" si="289"/>
        <v/>
      </c>
      <c r="AC548" s="568" t="str">
        <f t="shared" si="297"/>
        <v/>
      </c>
      <c r="AD548" s="137"/>
      <c r="AE548" s="137"/>
      <c r="AF548" s="138"/>
      <c r="AG548" s="138"/>
      <c r="AH548" s="592" t="str">
        <f t="shared" si="290"/>
        <v/>
      </c>
      <c r="AI548" s="592" t="str">
        <f t="shared" si="291"/>
        <v/>
      </c>
      <c r="AJ548" s="592" t="str">
        <f t="shared" si="292"/>
        <v/>
      </c>
      <c r="AK548" s="460" t="str">
        <f>IF(AU548="","",IF(OR(AZ548=8,AZ548=9),0,IF(OR(AW548=3,AW548=4,AW548=5,AW548=6),IF(LEFT(BF548,1)="1",INDEX(係数_NOX・PM低減,MATCH(AY548,【参考】排出係数!$AI$801:$AI$804,1),1),VLOOKUP(AU548,INDEX((係数_バス貨物_ガソリン,係数_バス貨物_CNG,係数_バス貨物_軽油,係数_バス貨物_メタノール,係数_バス貨物_LPG),MATCH(AY548,【参考】排出係数!$AI$4:$AI$671,1),1,BE548):INDEX((係数_バス貨物_ガソリン,係数_バス貨物_CNG,係数_バス貨物_軽油,係数_バス貨物_メタノール,係数_バス貨物_LPG),MATCH(AY548+1,【参考】排出係数!$AI$4:$AI$671,1)-1,5,BE548),4,FALSE)),IF(AND(BE548=3,LEFT(BF548,1)="1"),0.48,VLOOKUP(AU548,INDEX((係数_乗用_ガソリン,係数_乗用_CNG,係数_乗用_軽油,係数_乗用_メタノール,係数_乗用_LPG),1,1,BE548):INDEX((係数_乗用_ガソリン,係数_乗用_CNG,係数_乗用_軽油,係数_乗用_メタノール,係数_乗用_LPG),125,5,BE548),4,FALSE)))))</f>
        <v/>
      </c>
      <c r="AL548" s="461" t="str">
        <f t="shared" si="316"/>
        <v/>
      </c>
      <c r="AM548" s="460" t="str">
        <f>IF(AU548="","",IF(OR(AZ548=8,AZ548=9),0,IF(OR(AW548=3,AW548=4,AW548=5,AW548=6),IF(LEFT(BH548,1)="1",INDEX(係数_PM低減,MATCH(AY548,【参考】排出係数!$AI$801:$AI$804,1),MATCH(BI548,【参考】排出係数!$AL$798:$AO$798,1)),VLOOKUP(AU548,INDEX((係数_バス貨物_ガソリン,係数_バス貨物_CNG,係数_バス貨物_軽油,係数_バス貨物_メタノール,係数_バス貨物_LPG),MATCH(AY548,【参考】排出係数!$AI$4:$AI$671,1),1,BE548):INDEX((係数_バス貨物_ガソリン,係数_バス貨物_CNG,係数_バス貨物_軽油,係数_バス貨物_メタノール,係数_バス貨物_LPG),MATCH(AY548+1,【参考】排出係数!$AI$4:$AI$671,1)-1,5,BE548),5,FALSE)),IF(AND(BE548=3,LEFT(BF548,1)="1"),0.055,VLOOKUP(AU548,INDEX((係数_乗用_ガソリン,係数_乗用_CNG,係数_乗用_軽油,係数_乗用_メタノール,係数_乗用_LPG),1,1,BE548):INDEX((係数_乗用_ガソリン,係数_乗用_CNG,係数_乗用_軽油,係数_乗用_メタノール,係数_乗用_LPG),125,5,BE548),5,FALSE)))))</f>
        <v/>
      </c>
      <c r="AN548" s="461" t="str">
        <f t="shared" si="317"/>
        <v/>
      </c>
      <c r="AO548" s="462" t="str">
        <f t="shared" si="318"/>
        <v/>
      </c>
      <c r="AP548" s="463" t="str">
        <f t="shared" si="319"/>
        <v/>
      </c>
      <c r="AQ548" s="464"/>
      <c r="AR548" s="619"/>
      <c r="AS548" s="465" t="str">
        <f t="shared" si="298"/>
        <v/>
      </c>
      <c r="AT548" s="465" t="str">
        <f t="shared" si="299"/>
        <v/>
      </c>
      <c r="AU548" s="466" t="str">
        <f t="shared" si="300"/>
        <v/>
      </c>
      <c r="AV548" s="467" t="str">
        <f t="shared" si="301"/>
        <v/>
      </c>
      <c r="AW548" s="467" t="str">
        <f t="shared" si="302"/>
        <v/>
      </c>
      <c r="AX548" s="467" t="str">
        <f t="shared" si="303"/>
        <v/>
      </c>
      <c r="AY548" s="467" t="str">
        <f t="shared" si="304"/>
        <v/>
      </c>
      <c r="AZ548" s="467" t="str">
        <f t="shared" si="305"/>
        <v/>
      </c>
      <c r="BA548" s="468" t="str">
        <f>IF(AS548="","",IF(OR(AU548="",AU548="-"),"－",IF(OR(AZ548=8,AZ548=9),"",IF(OR(AW548=3,AW548=4,AW548=5,AW548=6),VLOOKUP(AU548,INDEX((係数_バス貨物_ガソリン,係数_バス貨物_CNG,係数_バス貨物_軽油,係数_バス貨物_メタノール,係数_バス貨物_LPG),MATCH(AY548,【参考】排出係数!$AI$4:$AI$671,1),1,BE548):INDEX((係数_バス貨物_ガソリン,係数_バス貨物_CNG,係数_バス貨物_軽油,係数_バス貨物_メタノール,係数_バス貨物_LPG),MATCH(AY548+1,【参考】排出係数!$AI$4:$AI$671,1)-1,5,BE548),2,FALSE),IF(OR(AW548=1,AW548=2),VLOOKUP(AU548,INDEX((係数_乗用_ガソリン,係数_乗用_CNG,係数_乗用_軽油,係数_乗用_メタノール,係数_乗用_LPG),1,1,BE548):INDEX((係数_乗用_ガソリン,係数_乗用_CNG,係数_乗用_軽油,係数_乗用_メタノール,係数_乗用_LPG),125,5,BE548),2,FALSE))))))</f>
        <v/>
      </c>
      <c r="BB548" s="468" t="str">
        <f>IF(T548="","",IF(OR(AU548="",AU548="-"),"－",IF(OR(AZ548=8,AZ548=9),"",IF(OR(AW548=3,AW548=4,AW548=5,AW548=6),VLOOKUP(AU548,INDEX((係数_バス貨物_ガソリン,係数_バス貨物_CNG,係数_バス貨物_軽油,係数_バス貨物_メタノール,係数_バス貨物_LPG),MATCH(AY548,【参考】排出係数!$AI$4:$AI$671,1),1,BE548):INDEX((係数_バス貨物_ガソリン,係数_バス貨物_CNG,係数_バス貨物_軽油,係数_バス貨物_メタノール,係数_バス貨物_LPG),MATCH(AY548+1,【参考】排出係数!$AI$4:$AI$671,1)-1,5,BE548),3,FALSE),IF(OR(AW548=1,AW548=2),VLOOKUP(AU548,INDEX((係数_乗用_ガソリン,係数_乗用_CNG,係数_乗用_軽油,係数_乗用_メタノール,係数_乗用_LPG),1,1,BE548):INDEX((係数_乗用_ガソリン,係数_乗用_CNG,係数_乗用_軽油,係数_乗用_メタノール,係数_乗用_LPG),125,5,BE548),3,FALSE))))))</f>
        <v/>
      </c>
      <c r="BC548" s="467" t="str">
        <f t="shared" si="306"/>
        <v/>
      </c>
      <c r="BD548" s="567" t="str">
        <f t="shared" si="307"/>
        <v/>
      </c>
      <c r="BE548" s="467" t="str">
        <f t="shared" si="308"/>
        <v/>
      </c>
      <c r="BF548" s="469" t="str">
        <f t="shared" ca="1" si="309"/>
        <v/>
      </c>
      <c r="BG548" s="469" t="str">
        <f t="shared" ca="1" si="310"/>
        <v/>
      </c>
      <c r="BH548" s="467" t="str">
        <f t="shared" si="311"/>
        <v/>
      </c>
      <c r="BI548" s="467" t="str">
        <f t="shared" ca="1" si="312"/>
        <v/>
      </c>
      <c r="BJ548" s="469" t="str">
        <f t="shared" si="313"/>
        <v/>
      </c>
      <c r="BK548" s="470" t="str">
        <f t="shared" si="293"/>
        <v/>
      </c>
      <c r="BL548" s="775" t="str">
        <f t="shared" si="314"/>
        <v/>
      </c>
      <c r="BM548" s="775" t="str">
        <f t="shared" si="315"/>
        <v/>
      </c>
    </row>
    <row r="549" spans="1:65">
      <c r="A549" s="473">
        <v>493</v>
      </c>
      <c r="B549" s="132"/>
      <c r="C549" s="332"/>
      <c r="D549" s="333"/>
      <c r="E549" s="333"/>
      <c r="F549" s="334"/>
      <c r="G549" s="337"/>
      <c r="H549" s="131"/>
      <c r="I549" s="337"/>
      <c r="J549" s="131"/>
      <c r="K549" s="458" t="str">
        <f t="shared" si="282"/>
        <v/>
      </c>
      <c r="L549" s="458">
        <f t="shared" si="294"/>
        <v>0</v>
      </c>
      <c r="M549" s="458">
        <f t="shared" si="295"/>
        <v>0</v>
      </c>
      <c r="N549" s="459" t="str">
        <f t="shared" si="283"/>
        <v/>
      </c>
      <c r="O549" s="459" t="str">
        <f t="shared" si="284"/>
        <v/>
      </c>
      <c r="P549" s="459" t="str">
        <f t="shared" si="285"/>
        <v/>
      </c>
      <c r="Q549" s="459" t="str">
        <f t="shared" si="286"/>
        <v/>
      </c>
      <c r="R549" s="459" t="str">
        <f t="shared" si="287"/>
        <v/>
      </c>
      <c r="S549" s="459" t="str">
        <f t="shared" si="288"/>
        <v/>
      </c>
      <c r="T549" s="566" t="str">
        <f t="shared" si="296"/>
        <v/>
      </c>
      <c r="U549" s="702"/>
      <c r="V549" s="132"/>
      <c r="W549" s="133"/>
      <c r="X549" s="134"/>
      <c r="Y549" s="135"/>
      <c r="Z549" s="137"/>
      <c r="AA549" s="136"/>
      <c r="AB549" s="566" t="str">
        <f t="shared" si="289"/>
        <v/>
      </c>
      <c r="AC549" s="568" t="str">
        <f t="shared" si="297"/>
        <v/>
      </c>
      <c r="AD549" s="137"/>
      <c r="AE549" s="137"/>
      <c r="AF549" s="138"/>
      <c r="AG549" s="138"/>
      <c r="AH549" s="592" t="str">
        <f t="shared" si="290"/>
        <v/>
      </c>
      <c r="AI549" s="592" t="str">
        <f t="shared" si="291"/>
        <v/>
      </c>
      <c r="AJ549" s="592" t="str">
        <f t="shared" si="292"/>
        <v/>
      </c>
      <c r="AK549" s="460" t="str">
        <f>IF(AU549="","",IF(OR(AZ549=8,AZ549=9),0,IF(OR(AW549=3,AW549=4,AW549=5,AW549=6),IF(LEFT(BF549,1)="1",INDEX(係数_NOX・PM低減,MATCH(AY549,【参考】排出係数!$AI$801:$AI$804,1),1),VLOOKUP(AU549,INDEX((係数_バス貨物_ガソリン,係数_バス貨物_CNG,係数_バス貨物_軽油,係数_バス貨物_メタノール,係数_バス貨物_LPG),MATCH(AY549,【参考】排出係数!$AI$4:$AI$671,1),1,BE549):INDEX((係数_バス貨物_ガソリン,係数_バス貨物_CNG,係数_バス貨物_軽油,係数_バス貨物_メタノール,係数_バス貨物_LPG),MATCH(AY549+1,【参考】排出係数!$AI$4:$AI$671,1)-1,5,BE549),4,FALSE)),IF(AND(BE549=3,LEFT(BF549,1)="1"),0.48,VLOOKUP(AU549,INDEX((係数_乗用_ガソリン,係数_乗用_CNG,係数_乗用_軽油,係数_乗用_メタノール,係数_乗用_LPG),1,1,BE549):INDEX((係数_乗用_ガソリン,係数_乗用_CNG,係数_乗用_軽油,係数_乗用_メタノール,係数_乗用_LPG),125,5,BE549),4,FALSE)))))</f>
        <v/>
      </c>
      <c r="AL549" s="461" t="str">
        <f t="shared" si="316"/>
        <v/>
      </c>
      <c r="AM549" s="460" t="str">
        <f>IF(AU549="","",IF(OR(AZ549=8,AZ549=9),0,IF(OR(AW549=3,AW549=4,AW549=5,AW549=6),IF(LEFT(BH549,1)="1",INDEX(係数_PM低減,MATCH(AY549,【参考】排出係数!$AI$801:$AI$804,1),MATCH(BI549,【参考】排出係数!$AL$798:$AO$798,1)),VLOOKUP(AU549,INDEX((係数_バス貨物_ガソリン,係数_バス貨物_CNG,係数_バス貨物_軽油,係数_バス貨物_メタノール,係数_バス貨物_LPG),MATCH(AY549,【参考】排出係数!$AI$4:$AI$671,1),1,BE549):INDEX((係数_バス貨物_ガソリン,係数_バス貨物_CNG,係数_バス貨物_軽油,係数_バス貨物_メタノール,係数_バス貨物_LPG),MATCH(AY549+1,【参考】排出係数!$AI$4:$AI$671,1)-1,5,BE549),5,FALSE)),IF(AND(BE549=3,LEFT(BF549,1)="1"),0.055,VLOOKUP(AU549,INDEX((係数_乗用_ガソリン,係数_乗用_CNG,係数_乗用_軽油,係数_乗用_メタノール,係数_乗用_LPG),1,1,BE549):INDEX((係数_乗用_ガソリン,係数_乗用_CNG,係数_乗用_軽油,係数_乗用_メタノール,係数_乗用_LPG),125,5,BE549),5,FALSE)))))</f>
        <v/>
      </c>
      <c r="AN549" s="461" t="str">
        <f t="shared" si="317"/>
        <v/>
      </c>
      <c r="AO549" s="462" t="str">
        <f t="shared" si="318"/>
        <v/>
      </c>
      <c r="AP549" s="463" t="str">
        <f t="shared" si="319"/>
        <v/>
      </c>
      <c r="AQ549" s="464"/>
      <c r="AR549" s="619"/>
      <c r="AS549" s="465" t="str">
        <f t="shared" si="298"/>
        <v/>
      </c>
      <c r="AT549" s="465" t="str">
        <f t="shared" si="299"/>
        <v/>
      </c>
      <c r="AU549" s="466" t="str">
        <f t="shared" si="300"/>
        <v/>
      </c>
      <c r="AV549" s="467" t="str">
        <f t="shared" si="301"/>
        <v/>
      </c>
      <c r="AW549" s="467" t="str">
        <f t="shared" si="302"/>
        <v/>
      </c>
      <c r="AX549" s="467" t="str">
        <f t="shared" si="303"/>
        <v/>
      </c>
      <c r="AY549" s="467" t="str">
        <f t="shared" si="304"/>
        <v/>
      </c>
      <c r="AZ549" s="467" t="str">
        <f t="shared" si="305"/>
        <v/>
      </c>
      <c r="BA549" s="468" t="str">
        <f>IF(AS549="","",IF(OR(AU549="",AU549="-"),"－",IF(OR(AZ549=8,AZ549=9),"",IF(OR(AW549=3,AW549=4,AW549=5,AW549=6),VLOOKUP(AU549,INDEX((係数_バス貨物_ガソリン,係数_バス貨物_CNG,係数_バス貨物_軽油,係数_バス貨物_メタノール,係数_バス貨物_LPG),MATCH(AY549,【参考】排出係数!$AI$4:$AI$671,1),1,BE549):INDEX((係数_バス貨物_ガソリン,係数_バス貨物_CNG,係数_バス貨物_軽油,係数_バス貨物_メタノール,係数_バス貨物_LPG),MATCH(AY549+1,【参考】排出係数!$AI$4:$AI$671,1)-1,5,BE549),2,FALSE),IF(OR(AW549=1,AW549=2),VLOOKUP(AU549,INDEX((係数_乗用_ガソリン,係数_乗用_CNG,係数_乗用_軽油,係数_乗用_メタノール,係数_乗用_LPG),1,1,BE549):INDEX((係数_乗用_ガソリン,係数_乗用_CNG,係数_乗用_軽油,係数_乗用_メタノール,係数_乗用_LPG),125,5,BE549),2,FALSE))))))</f>
        <v/>
      </c>
      <c r="BB549" s="468" t="str">
        <f>IF(T549="","",IF(OR(AU549="",AU549="-"),"－",IF(OR(AZ549=8,AZ549=9),"",IF(OR(AW549=3,AW549=4,AW549=5,AW549=6),VLOOKUP(AU549,INDEX((係数_バス貨物_ガソリン,係数_バス貨物_CNG,係数_バス貨物_軽油,係数_バス貨物_メタノール,係数_バス貨物_LPG),MATCH(AY549,【参考】排出係数!$AI$4:$AI$671,1),1,BE549):INDEX((係数_バス貨物_ガソリン,係数_バス貨物_CNG,係数_バス貨物_軽油,係数_バス貨物_メタノール,係数_バス貨物_LPG),MATCH(AY549+1,【参考】排出係数!$AI$4:$AI$671,1)-1,5,BE549),3,FALSE),IF(OR(AW549=1,AW549=2),VLOOKUP(AU549,INDEX((係数_乗用_ガソリン,係数_乗用_CNG,係数_乗用_軽油,係数_乗用_メタノール,係数_乗用_LPG),1,1,BE549):INDEX((係数_乗用_ガソリン,係数_乗用_CNG,係数_乗用_軽油,係数_乗用_メタノール,係数_乗用_LPG),125,5,BE549),3,FALSE))))))</f>
        <v/>
      </c>
      <c r="BC549" s="467" t="str">
        <f t="shared" si="306"/>
        <v/>
      </c>
      <c r="BD549" s="567" t="str">
        <f t="shared" si="307"/>
        <v/>
      </c>
      <c r="BE549" s="467" t="str">
        <f t="shared" si="308"/>
        <v/>
      </c>
      <c r="BF549" s="469" t="str">
        <f t="shared" ca="1" si="309"/>
        <v/>
      </c>
      <c r="BG549" s="469" t="str">
        <f t="shared" ca="1" si="310"/>
        <v/>
      </c>
      <c r="BH549" s="467" t="str">
        <f t="shared" si="311"/>
        <v/>
      </c>
      <c r="BI549" s="467" t="str">
        <f t="shared" ca="1" si="312"/>
        <v/>
      </c>
      <c r="BJ549" s="469" t="str">
        <f t="shared" si="313"/>
        <v/>
      </c>
      <c r="BK549" s="470" t="str">
        <f t="shared" si="293"/>
        <v/>
      </c>
      <c r="BL549" s="775" t="str">
        <f t="shared" si="314"/>
        <v/>
      </c>
      <c r="BM549" s="775" t="str">
        <f t="shared" si="315"/>
        <v/>
      </c>
    </row>
    <row r="550" spans="1:65">
      <c r="A550" s="473">
        <v>494</v>
      </c>
      <c r="B550" s="132"/>
      <c r="C550" s="332"/>
      <c r="D550" s="333"/>
      <c r="E550" s="333"/>
      <c r="F550" s="334"/>
      <c r="G550" s="337"/>
      <c r="H550" s="131"/>
      <c r="I550" s="337"/>
      <c r="J550" s="131"/>
      <c r="K550" s="458" t="str">
        <f t="shared" si="282"/>
        <v/>
      </c>
      <c r="L550" s="458">
        <f t="shared" si="294"/>
        <v>0</v>
      </c>
      <c r="M550" s="458">
        <f t="shared" si="295"/>
        <v>0</v>
      </c>
      <c r="N550" s="459" t="str">
        <f t="shared" si="283"/>
        <v/>
      </c>
      <c r="O550" s="459" t="str">
        <f t="shared" si="284"/>
        <v/>
      </c>
      <c r="P550" s="459" t="str">
        <f t="shared" si="285"/>
        <v/>
      </c>
      <c r="Q550" s="459" t="str">
        <f t="shared" si="286"/>
        <v/>
      </c>
      <c r="R550" s="459" t="str">
        <f t="shared" si="287"/>
        <v/>
      </c>
      <c r="S550" s="459" t="str">
        <f t="shared" si="288"/>
        <v/>
      </c>
      <c r="T550" s="566" t="str">
        <f t="shared" si="296"/>
        <v/>
      </c>
      <c r="U550" s="702"/>
      <c r="V550" s="132"/>
      <c r="W550" s="133"/>
      <c r="X550" s="134"/>
      <c r="Y550" s="135"/>
      <c r="Z550" s="137"/>
      <c r="AA550" s="136"/>
      <c r="AB550" s="566" t="str">
        <f t="shared" si="289"/>
        <v/>
      </c>
      <c r="AC550" s="568" t="str">
        <f t="shared" si="297"/>
        <v/>
      </c>
      <c r="AD550" s="137"/>
      <c r="AE550" s="137"/>
      <c r="AF550" s="138"/>
      <c r="AG550" s="138"/>
      <c r="AH550" s="592" t="str">
        <f t="shared" si="290"/>
        <v/>
      </c>
      <c r="AI550" s="592" t="str">
        <f t="shared" si="291"/>
        <v/>
      </c>
      <c r="AJ550" s="592" t="str">
        <f t="shared" si="292"/>
        <v/>
      </c>
      <c r="AK550" s="460" t="str">
        <f>IF(AU550="","",IF(OR(AZ550=8,AZ550=9),0,IF(OR(AW550=3,AW550=4,AW550=5,AW550=6),IF(LEFT(BF550,1)="1",INDEX(係数_NOX・PM低減,MATCH(AY550,【参考】排出係数!$AI$801:$AI$804,1),1),VLOOKUP(AU550,INDEX((係数_バス貨物_ガソリン,係数_バス貨物_CNG,係数_バス貨物_軽油,係数_バス貨物_メタノール,係数_バス貨物_LPG),MATCH(AY550,【参考】排出係数!$AI$4:$AI$671,1),1,BE550):INDEX((係数_バス貨物_ガソリン,係数_バス貨物_CNG,係数_バス貨物_軽油,係数_バス貨物_メタノール,係数_バス貨物_LPG),MATCH(AY550+1,【参考】排出係数!$AI$4:$AI$671,1)-1,5,BE550),4,FALSE)),IF(AND(BE550=3,LEFT(BF550,1)="1"),0.48,VLOOKUP(AU550,INDEX((係数_乗用_ガソリン,係数_乗用_CNG,係数_乗用_軽油,係数_乗用_メタノール,係数_乗用_LPG),1,1,BE550):INDEX((係数_乗用_ガソリン,係数_乗用_CNG,係数_乗用_軽油,係数_乗用_メタノール,係数_乗用_LPG),125,5,BE550),4,FALSE)))))</f>
        <v/>
      </c>
      <c r="AL550" s="461" t="str">
        <f t="shared" si="316"/>
        <v/>
      </c>
      <c r="AM550" s="460" t="str">
        <f>IF(AU550="","",IF(OR(AZ550=8,AZ550=9),0,IF(OR(AW550=3,AW550=4,AW550=5,AW550=6),IF(LEFT(BH550,1)="1",INDEX(係数_PM低減,MATCH(AY550,【参考】排出係数!$AI$801:$AI$804,1),MATCH(BI550,【参考】排出係数!$AL$798:$AO$798,1)),VLOOKUP(AU550,INDEX((係数_バス貨物_ガソリン,係数_バス貨物_CNG,係数_バス貨物_軽油,係数_バス貨物_メタノール,係数_バス貨物_LPG),MATCH(AY550,【参考】排出係数!$AI$4:$AI$671,1),1,BE550):INDEX((係数_バス貨物_ガソリン,係数_バス貨物_CNG,係数_バス貨物_軽油,係数_バス貨物_メタノール,係数_バス貨物_LPG),MATCH(AY550+1,【参考】排出係数!$AI$4:$AI$671,1)-1,5,BE550),5,FALSE)),IF(AND(BE550=3,LEFT(BF550,1)="1"),0.055,VLOOKUP(AU550,INDEX((係数_乗用_ガソリン,係数_乗用_CNG,係数_乗用_軽油,係数_乗用_メタノール,係数_乗用_LPG),1,1,BE550):INDEX((係数_乗用_ガソリン,係数_乗用_CNG,係数_乗用_軽油,係数_乗用_メタノール,係数_乗用_LPG),125,5,BE550),5,FALSE)))))</f>
        <v/>
      </c>
      <c r="AN550" s="461" t="str">
        <f t="shared" si="317"/>
        <v/>
      </c>
      <c r="AO550" s="462" t="str">
        <f t="shared" si="318"/>
        <v/>
      </c>
      <c r="AP550" s="463" t="str">
        <f t="shared" si="319"/>
        <v/>
      </c>
      <c r="AQ550" s="464"/>
      <c r="AR550" s="619"/>
      <c r="AS550" s="465" t="str">
        <f t="shared" si="298"/>
        <v/>
      </c>
      <c r="AT550" s="465" t="str">
        <f t="shared" si="299"/>
        <v/>
      </c>
      <c r="AU550" s="466" t="str">
        <f t="shared" si="300"/>
        <v/>
      </c>
      <c r="AV550" s="467" t="str">
        <f t="shared" si="301"/>
        <v/>
      </c>
      <c r="AW550" s="467" t="str">
        <f t="shared" si="302"/>
        <v/>
      </c>
      <c r="AX550" s="467" t="str">
        <f t="shared" si="303"/>
        <v/>
      </c>
      <c r="AY550" s="467" t="str">
        <f t="shared" si="304"/>
        <v/>
      </c>
      <c r="AZ550" s="467" t="str">
        <f t="shared" si="305"/>
        <v/>
      </c>
      <c r="BA550" s="468" t="str">
        <f>IF(AS550="","",IF(OR(AU550="",AU550="-"),"－",IF(OR(AZ550=8,AZ550=9),"",IF(OR(AW550=3,AW550=4,AW550=5,AW550=6),VLOOKUP(AU550,INDEX((係数_バス貨物_ガソリン,係数_バス貨物_CNG,係数_バス貨物_軽油,係数_バス貨物_メタノール,係数_バス貨物_LPG),MATCH(AY550,【参考】排出係数!$AI$4:$AI$671,1),1,BE550):INDEX((係数_バス貨物_ガソリン,係数_バス貨物_CNG,係数_バス貨物_軽油,係数_バス貨物_メタノール,係数_バス貨物_LPG),MATCH(AY550+1,【参考】排出係数!$AI$4:$AI$671,1)-1,5,BE550),2,FALSE),IF(OR(AW550=1,AW550=2),VLOOKUP(AU550,INDEX((係数_乗用_ガソリン,係数_乗用_CNG,係数_乗用_軽油,係数_乗用_メタノール,係数_乗用_LPG),1,1,BE550):INDEX((係数_乗用_ガソリン,係数_乗用_CNG,係数_乗用_軽油,係数_乗用_メタノール,係数_乗用_LPG),125,5,BE550),2,FALSE))))))</f>
        <v/>
      </c>
      <c r="BB550" s="468" t="str">
        <f>IF(T550="","",IF(OR(AU550="",AU550="-"),"－",IF(OR(AZ550=8,AZ550=9),"",IF(OR(AW550=3,AW550=4,AW550=5,AW550=6),VLOOKUP(AU550,INDEX((係数_バス貨物_ガソリン,係数_バス貨物_CNG,係数_バス貨物_軽油,係数_バス貨物_メタノール,係数_バス貨物_LPG),MATCH(AY550,【参考】排出係数!$AI$4:$AI$671,1),1,BE550):INDEX((係数_バス貨物_ガソリン,係数_バス貨物_CNG,係数_バス貨物_軽油,係数_バス貨物_メタノール,係数_バス貨物_LPG),MATCH(AY550+1,【参考】排出係数!$AI$4:$AI$671,1)-1,5,BE550),3,FALSE),IF(OR(AW550=1,AW550=2),VLOOKUP(AU550,INDEX((係数_乗用_ガソリン,係数_乗用_CNG,係数_乗用_軽油,係数_乗用_メタノール,係数_乗用_LPG),1,1,BE550):INDEX((係数_乗用_ガソリン,係数_乗用_CNG,係数_乗用_軽油,係数_乗用_メタノール,係数_乗用_LPG),125,5,BE550),3,FALSE))))))</f>
        <v/>
      </c>
      <c r="BC550" s="467" t="str">
        <f t="shared" si="306"/>
        <v/>
      </c>
      <c r="BD550" s="567" t="str">
        <f t="shared" si="307"/>
        <v/>
      </c>
      <c r="BE550" s="467" t="str">
        <f t="shared" si="308"/>
        <v/>
      </c>
      <c r="BF550" s="469" t="str">
        <f t="shared" ca="1" si="309"/>
        <v/>
      </c>
      <c r="BG550" s="469" t="str">
        <f t="shared" ca="1" si="310"/>
        <v/>
      </c>
      <c r="BH550" s="467" t="str">
        <f t="shared" si="311"/>
        <v/>
      </c>
      <c r="BI550" s="467" t="str">
        <f t="shared" ca="1" si="312"/>
        <v/>
      </c>
      <c r="BJ550" s="469" t="str">
        <f t="shared" si="313"/>
        <v/>
      </c>
      <c r="BK550" s="470" t="str">
        <f t="shared" si="293"/>
        <v/>
      </c>
      <c r="BL550" s="775" t="str">
        <f t="shared" si="314"/>
        <v/>
      </c>
      <c r="BM550" s="775" t="str">
        <f t="shared" si="315"/>
        <v/>
      </c>
    </row>
    <row r="551" spans="1:65">
      <c r="A551" s="473">
        <v>495</v>
      </c>
      <c r="B551" s="132"/>
      <c r="C551" s="332"/>
      <c r="D551" s="333"/>
      <c r="E551" s="333"/>
      <c r="F551" s="334"/>
      <c r="G551" s="337"/>
      <c r="H551" s="131"/>
      <c r="I551" s="337"/>
      <c r="J551" s="131"/>
      <c r="K551" s="458" t="str">
        <f t="shared" si="282"/>
        <v/>
      </c>
      <c r="L551" s="458">
        <f t="shared" si="294"/>
        <v>0</v>
      </c>
      <c r="M551" s="458">
        <f t="shared" si="295"/>
        <v>0</v>
      </c>
      <c r="N551" s="459" t="str">
        <f t="shared" si="283"/>
        <v/>
      </c>
      <c r="O551" s="459" t="str">
        <f t="shared" si="284"/>
        <v/>
      </c>
      <c r="P551" s="459" t="str">
        <f t="shared" si="285"/>
        <v/>
      </c>
      <c r="Q551" s="459" t="str">
        <f t="shared" si="286"/>
        <v/>
      </c>
      <c r="R551" s="459" t="str">
        <f t="shared" si="287"/>
        <v/>
      </c>
      <c r="S551" s="459" t="str">
        <f t="shared" si="288"/>
        <v/>
      </c>
      <c r="T551" s="566" t="str">
        <f t="shared" si="296"/>
        <v/>
      </c>
      <c r="U551" s="702"/>
      <c r="V551" s="132"/>
      <c r="W551" s="133"/>
      <c r="X551" s="134"/>
      <c r="Y551" s="135"/>
      <c r="Z551" s="137"/>
      <c r="AA551" s="136"/>
      <c r="AB551" s="566" t="str">
        <f t="shared" si="289"/>
        <v/>
      </c>
      <c r="AC551" s="568" t="str">
        <f t="shared" si="297"/>
        <v/>
      </c>
      <c r="AD551" s="137"/>
      <c r="AE551" s="137"/>
      <c r="AF551" s="138"/>
      <c r="AG551" s="138"/>
      <c r="AH551" s="592" t="str">
        <f t="shared" si="290"/>
        <v/>
      </c>
      <c r="AI551" s="592" t="str">
        <f t="shared" si="291"/>
        <v/>
      </c>
      <c r="AJ551" s="592" t="str">
        <f t="shared" si="292"/>
        <v/>
      </c>
      <c r="AK551" s="460" t="str">
        <f>IF(AU551="","",IF(OR(AZ551=8,AZ551=9),0,IF(OR(AW551=3,AW551=4,AW551=5,AW551=6),IF(LEFT(BF551,1)="1",INDEX(係数_NOX・PM低減,MATCH(AY551,【参考】排出係数!$AI$801:$AI$804,1),1),VLOOKUP(AU551,INDEX((係数_バス貨物_ガソリン,係数_バス貨物_CNG,係数_バス貨物_軽油,係数_バス貨物_メタノール,係数_バス貨物_LPG),MATCH(AY551,【参考】排出係数!$AI$4:$AI$671,1),1,BE551):INDEX((係数_バス貨物_ガソリン,係数_バス貨物_CNG,係数_バス貨物_軽油,係数_バス貨物_メタノール,係数_バス貨物_LPG),MATCH(AY551+1,【参考】排出係数!$AI$4:$AI$671,1)-1,5,BE551),4,FALSE)),IF(AND(BE551=3,LEFT(BF551,1)="1"),0.48,VLOOKUP(AU551,INDEX((係数_乗用_ガソリン,係数_乗用_CNG,係数_乗用_軽油,係数_乗用_メタノール,係数_乗用_LPG),1,1,BE551):INDEX((係数_乗用_ガソリン,係数_乗用_CNG,係数_乗用_軽油,係数_乗用_メタノール,係数_乗用_LPG),125,5,BE551),4,FALSE)))))</f>
        <v/>
      </c>
      <c r="AL551" s="461" t="str">
        <f t="shared" si="316"/>
        <v/>
      </c>
      <c r="AM551" s="460" t="str">
        <f>IF(AU551="","",IF(OR(AZ551=8,AZ551=9),0,IF(OR(AW551=3,AW551=4,AW551=5,AW551=6),IF(LEFT(BH551,1)="1",INDEX(係数_PM低減,MATCH(AY551,【参考】排出係数!$AI$801:$AI$804,1),MATCH(BI551,【参考】排出係数!$AL$798:$AO$798,1)),VLOOKUP(AU551,INDEX((係数_バス貨物_ガソリン,係数_バス貨物_CNG,係数_バス貨物_軽油,係数_バス貨物_メタノール,係数_バス貨物_LPG),MATCH(AY551,【参考】排出係数!$AI$4:$AI$671,1),1,BE551):INDEX((係数_バス貨物_ガソリン,係数_バス貨物_CNG,係数_バス貨物_軽油,係数_バス貨物_メタノール,係数_バス貨物_LPG),MATCH(AY551+1,【参考】排出係数!$AI$4:$AI$671,1)-1,5,BE551),5,FALSE)),IF(AND(BE551=3,LEFT(BF551,1)="1"),0.055,VLOOKUP(AU551,INDEX((係数_乗用_ガソリン,係数_乗用_CNG,係数_乗用_軽油,係数_乗用_メタノール,係数_乗用_LPG),1,1,BE551):INDEX((係数_乗用_ガソリン,係数_乗用_CNG,係数_乗用_軽油,係数_乗用_メタノール,係数_乗用_LPG),125,5,BE551),5,FALSE)))))</f>
        <v/>
      </c>
      <c r="AN551" s="461" t="str">
        <f t="shared" si="317"/>
        <v/>
      </c>
      <c r="AO551" s="462" t="str">
        <f t="shared" si="318"/>
        <v/>
      </c>
      <c r="AP551" s="463" t="str">
        <f t="shared" si="319"/>
        <v/>
      </c>
      <c r="AQ551" s="464"/>
      <c r="AR551" s="619"/>
      <c r="AS551" s="465" t="str">
        <f t="shared" si="298"/>
        <v/>
      </c>
      <c r="AT551" s="465" t="str">
        <f t="shared" si="299"/>
        <v/>
      </c>
      <c r="AU551" s="466" t="str">
        <f t="shared" si="300"/>
        <v/>
      </c>
      <c r="AV551" s="467" t="str">
        <f t="shared" si="301"/>
        <v/>
      </c>
      <c r="AW551" s="467" t="str">
        <f t="shared" si="302"/>
        <v/>
      </c>
      <c r="AX551" s="467" t="str">
        <f t="shared" si="303"/>
        <v/>
      </c>
      <c r="AY551" s="467" t="str">
        <f t="shared" si="304"/>
        <v/>
      </c>
      <c r="AZ551" s="467" t="str">
        <f t="shared" si="305"/>
        <v/>
      </c>
      <c r="BA551" s="468" t="str">
        <f>IF(AS551="","",IF(OR(AU551="",AU551="-"),"－",IF(OR(AZ551=8,AZ551=9),"",IF(OR(AW551=3,AW551=4,AW551=5,AW551=6),VLOOKUP(AU551,INDEX((係数_バス貨物_ガソリン,係数_バス貨物_CNG,係数_バス貨物_軽油,係数_バス貨物_メタノール,係数_バス貨物_LPG),MATCH(AY551,【参考】排出係数!$AI$4:$AI$671,1),1,BE551):INDEX((係数_バス貨物_ガソリン,係数_バス貨物_CNG,係数_バス貨物_軽油,係数_バス貨物_メタノール,係数_バス貨物_LPG),MATCH(AY551+1,【参考】排出係数!$AI$4:$AI$671,1)-1,5,BE551),2,FALSE),IF(OR(AW551=1,AW551=2),VLOOKUP(AU551,INDEX((係数_乗用_ガソリン,係数_乗用_CNG,係数_乗用_軽油,係数_乗用_メタノール,係数_乗用_LPG),1,1,BE551):INDEX((係数_乗用_ガソリン,係数_乗用_CNG,係数_乗用_軽油,係数_乗用_メタノール,係数_乗用_LPG),125,5,BE551),2,FALSE))))))</f>
        <v/>
      </c>
      <c r="BB551" s="468" t="str">
        <f>IF(T551="","",IF(OR(AU551="",AU551="-"),"－",IF(OR(AZ551=8,AZ551=9),"",IF(OR(AW551=3,AW551=4,AW551=5,AW551=6),VLOOKUP(AU551,INDEX((係数_バス貨物_ガソリン,係数_バス貨物_CNG,係数_バス貨物_軽油,係数_バス貨物_メタノール,係数_バス貨物_LPG),MATCH(AY551,【参考】排出係数!$AI$4:$AI$671,1),1,BE551):INDEX((係数_バス貨物_ガソリン,係数_バス貨物_CNG,係数_バス貨物_軽油,係数_バス貨物_メタノール,係数_バス貨物_LPG),MATCH(AY551+1,【参考】排出係数!$AI$4:$AI$671,1)-1,5,BE551),3,FALSE),IF(OR(AW551=1,AW551=2),VLOOKUP(AU551,INDEX((係数_乗用_ガソリン,係数_乗用_CNG,係数_乗用_軽油,係数_乗用_メタノール,係数_乗用_LPG),1,1,BE551):INDEX((係数_乗用_ガソリン,係数_乗用_CNG,係数_乗用_軽油,係数_乗用_メタノール,係数_乗用_LPG),125,5,BE551),3,FALSE))))))</f>
        <v/>
      </c>
      <c r="BC551" s="467" t="str">
        <f t="shared" si="306"/>
        <v/>
      </c>
      <c r="BD551" s="567" t="str">
        <f t="shared" si="307"/>
        <v/>
      </c>
      <c r="BE551" s="467" t="str">
        <f t="shared" si="308"/>
        <v/>
      </c>
      <c r="BF551" s="469" t="str">
        <f t="shared" ca="1" si="309"/>
        <v/>
      </c>
      <c r="BG551" s="469" t="str">
        <f t="shared" ca="1" si="310"/>
        <v/>
      </c>
      <c r="BH551" s="467" t="str">
        <f t="shared" si="311"/>
        <v/>
      </c>
      <c r="BI551" s="467" t="str">
        <f t="shared" ca="1" si="312"/>
        <v/>
      </c>
      <c r="BJ551" s="469" t="str">
        <f t="shared" si="313"/>
        <v/>
      </c>
      <c r="BK551" s="470" t="str">
        <f t="shared" si="293"/>
        <v/>
      </c>
      <c r="BL551" s="775" t="str">
        <f t="shared" si="314"/>
        <v/>
      </c>
      <c r="BM551" s="775" t="str">
        <f t="shared" si="315"/>
        <v/>
      </c>
    </row>
    <row r="552" spans="1:65">
      <c r="A552" s="473">
        <v>496</v>
      </c>
      <c r="B552" s="132"/>
      <c r="C552" s="332"/>
      <c r="D552" s="333"/>
      <c r="E552" s="333"/>
      <c r="F552" s="334"/>
      <c r="G552" s="337"/>
      <c r="H552" s="131"/>
      <c r="I552" s="337"/>
      <c r="J552" s="131"/>
      <c r="K552" s="458" t="str">
        <f t="shared" si="282"/>
        <v/>
      </c>
      <c r="L552" s="458">
        <f t="shared" si="294"/>
        <v>0</v>
      </c>
      <c r="M552" s="458">
        <f t="shared" si="295"/>
        <v>0</v>
      </c>
      <c r="N552" s="459" t="str">
        <f t="shared" si="283"/>
        <v/>
      </c>
      <c r="O552" s="459" t="str">
        <f t="shared" si="284"/>
        <v/>
      </c>
      <c r="P552" s="459" t="str">
        <f t="shared" si="285"/>
        <v/>
      </c>
      <c r="Q552" s="459" t="str">
        <f t="shared" si="286"/>
        <v/>
      </c>
      <c r="R552" s="459" t="str">
        <f t="shared" si="287"/>
        <v/>
      </c>
      <c r="S552" s="459" t="str">
        <f t="shared" si="288"/>
        <v/>
      </c>
      <c r="T552" s="566" t="str">
        <f t="shared" si="296"/>
        <v/>
      </c>
      <c r="U552" s="702"/>
      <c r="V552" s="132"/>
      <c r="W552" s="133"/>
      <c r="X552" s="134"/>
      <c r="Y552" s="135"/>
      <c r="Z552" s="137"/>
      <c r="AA552" s="136"/>
      <c r="AB552" s="566" t="str">
        <f t="shared" si="289"/>
        <v/>
      </c>
      <c r="AC552" s="568" t="str">
        <f t="shared" si="297"/>
        <v/>
      </c>
      <c r="AD552" s="137"/>
      <c r="AE552" s="137"/>
      <c r="AF552" s="138"/>
      <c r="AG552" s="138"/>
      <c r="AH552" s="592" t="str">
        <f t="shared" si="290"/>
        <v/>
      </c>
      <c r="AI552" s="592" t="str">
        <f t="shared" si="291"/>
        <v/>
      </c>
      <c r="AJ552" s="592" t="str">
        <f t="shared" si="292"/>
        <v/>
      </c>
      <c r="AK552" s="460" t="str">
        <f>IF(AU552="","",IF(OR(AZ552=8,AZ552=9),0,IF(OR(AW552=3,AW552=4,AW552=5,AW552=6),IF(LEFT(BF552,1)="1",INDEX(係数_NOX・PM低減,MATCH(AY552,【参考】排出係数!$AI$801:$AI$804,1),1),VLOOKUP(AU552,INDEX((係数_バス貨物_ガソリン,係数_バス貨物_CNG,係数_バス貨物_軽油,係数_バス貨物_メタノール,係数_バス貨物_LPG),MATCH(AY552,【参考】排出係数!$AI$4:$AI$671,1),1,BE552):INDEX((係数_バス貨物_ガソリン,係数_バス貨物_CNG,係数_バス貨物_軽油,係数_バス貨物_メタノール,係数_バス貨物_LPG),MATCH(AY552+1,【参考】排出係数!$AI$4:$AI$671,1)-1,5,BE552),4,FALSE)),IF(AND(BE552=3,LEFT(BF552,1)="1"),0.48,VLOOKUP(AU552,INDEX((係数_乗用_ガソリン,係数_乗用_CNG,係数_乗用_軽油,係数_乗用_メタノール,係数_乗用_LPG),1,1,BE552):INDEX((係数_乗用_ガソリン,係数_乗用_CNG,係数_乗用_軽油,係数_乗用_メタノール,係数_乗用_LPG),125,5,BE552),4,FALSE)))))</f>
        <v/>
      </c>
      <c r="AL552" s="461" t="str">
        <f t="shared" si="316"/>
        <v/>
      </c>
      <c r="AM552" s="460" t="str">
        <f>IF(AU552="","",IF(OR(AZ552=8,AZ552=9),0,IF(OR(AW552=3,AW552=4,AW552=5,AW552=6),IF(LEFT(BH552,1)="1",INDEX(係数_PM低減,MATCH(AY552,【参考】排出係数!$AI$801:$AI$804,1),MATCH(BI552,【参考】排出係数!$AL$798:$AO$798,1)),VLOOKUP(AU552,INDEX((係数_バス貨物_ガソリン,係数_バス貨物_CNG,係数_バス貨物_軽油,係数_バス貨物_メタノール,係数_バス貨物_LPG),MATCH(AY552,【参考】排出係数!$AI$4:$AI$671,1),1,BE552):INDEX((係数_バス貨物_ガソリン,係数_バス貨物_CNG,係数_バス貨物_軽油,係数_バス貨物_メタノール,係数_バス貨物_LPG),MATCH(AY552+1,【参考】排出係数!$AI$4:$AI$671,1)-1,5,BE552),5,FALSE)),IF(AND(BE552=3,LEFT(BF552,1)="1"),0.055,VLOOKUP(AU552,INDEX((係数_乗用_ガソリン,係数_乗用_CNG,係数_乗用_軽油,係数_乗用_メタノール,係数_乗用_LPG),1,1,BE552):INDEX((係数_乗用_ガソリン,係数_乗用_CNG,係数_乗用_軽油,係数_乗用_メタノール,係数_乗用_LPG),125,5,BE552),5,FALSE)))))</f>
        <v/>
      </c>
      <c r="AN552" s="461" t="str">
        <f t="shared" si="317"/>
        <v/>
      </c>
      <c r="AO552" s="462" t="str">
        <f t="shared" si="318"/>
        <v/>
      </c>
      <c r="AP552" s="463" t="str">
        <f t="shared" si="319"/>
        <v/>
      </c>
      <c r="AQ552" s="464"/>
      <c r="AR552" s="619"/>
      <c r="AS552" s="465" t="str">
        <f t="shared" si="298"/>
        <v/>
      </c>
      <c r="AT552" s="465" t="str">
        <f t="shared" si="299"/>
        <v/>
      </c>
      <c r="AU552" s="466" t="str">
        <f t="shared" si="300"/>
        <v/>
      </c>
      <c r="AV552" s="467" t="str">
        <f t="shared" si="301"/>
        <v/>
      </c>
      <c r="AW552" s="467" t="str">
        <f t="shared" si="302"/>
        <v/>
      </c>
      <c r="AX552" s="467" t="str">
        <f t="shared" si="303"/>
        <v/>
      </c>
      <c r="AY552" s="467" t="str">
        <f t="shared" si="304"/>
        <v/>
      </c>
      <c r="AZ552" s="467" t="str">
        <f t="shared" si="305"/>
        <v/>
      </c>
      <c r="BA552" s="468" t="str">
        <f>IF(AS552="","",IF(OR(AU552="",AU552="-"),"－",IF(OR(AZ552=8,AZ552=9),"",IF(OR(AW552=3,AW552=4,AW552=5,AW552=6),VLOOKUP(AU552,INDEX((係数_バス貨物_ガソリン,係数_バス貨物_CNG,係数_バス貨物_軽油,係数_バス貨物_メタノール,係数_バス貨物_LPG),MATCH(AY552,【参考】排出係数!$AI$4:$AI$671,1),1,BE552):INDEX((係数_バス貨物_ガソリン,係数_バス貨物_CNG,係数_バス貨物_軽油,係数_バス貨物_メタノール,係数_バス貨物_LPG),MATCH(AY552+1,【参考】排出係数!$AI$4:$AI$671,1)-1,5,BE552),2,FALSE),IF(OR(AW552=1,AW552=2),VLOOKUP(AU552,INDEX((係数_乗用_ガソリン,係数_乗用_CNG,係数_乗用_軽油,係数_乗用_メタノール,係数_乗用_LPG),1,1,BE552):INDEX((係数_乗用_ガソリン,係数_乗用_CNG,係数_乗用_軽油,係数_乗用_メタノール,係数_乗用_LPG),125,5,BE552),2,FALSE))))))</f>
        <v/>
      </c>
      <c r="BB552" s="468" t="str">
        <f>IF(T552="","",IF(OR(AU552="",AU552="-"),"－",IF(OR(AZ552=8,AZ552=9),"",IF(OR(AW552=3,AW552=4,AW552=5,AW552=6),VLOOKUP(AU552,INDEX((係数_バス貨物_ガソリン,係数_バス貨物_CNG,係数_バス貨物_軽油,係数_バス貨物_メタノール,係数_バス貨物_LPG),MATCH(AY552,【参考】排出係数!$AI$4:$AI$671,1),1,BE552):INDEX((係数_バス貨物_ガソリン,係数_バス貨物_CNG,係数_バス貨物_軽油,係数_バス貨物_メタノール,係数_バス貨物_LPG),MATCH(AY552+1,【参考】排出係数!$AI$4:$AI$671,1)-1,5,BE552),3,FALSE),IF(OR(AW552=1,AW552=2),VLOOKUP(AU552,INDEX((係数_乗用_ガソリン,係数_乗用_CNG,係数_乗用_軽油,係数_乗用_メタノール,係数_乗用_LPG),1,1,BE552):INDEX((係数_乗用_ガソリン,係数_乗用_CNG,係数_乗用_軽油,係数_乗用_メタノール,係数_乗用_LPG),125,5,BE552),3,FALSE))))))</f>
        <v/>
      </c>
      <c r="BC552" s="467" t="str">
        <f t="shared" si="306"/>
        <v/>
      </c>
      <c r="BD552" s="567" t="str">
        <f t="shared" si="307"/>
        <v/>
      </c>
      <c r="BE552" s="467" t="str">
        <f t="shared" si="308"/>
        <v/>
      </c>
      <c r="BF552" s="469" t="str">
        <f t="shared" ca="1" si="309"/>
        <v/>
      </c>
      <c r="BG552" s="469" t="str">
        <f t="shared" ca="1" si="310"/>
        <v/>
      </c>
      <c r="BH552" s="467" t="str">
        <f t="shared" si="311"/>
        <v/>
      </c>
      <c r="BI552" s="467" t="str">
        <f t="shared" ca="1" si="312"/>
        <v/>
      </c>
      <c r="BJ552" s="469" t="str">
        <f t="shared" si="313"/>
        <v/>
      </c>
      <c r="BK552" s="470" t="str">
        <f t="shared" si="293"/>
        <v/>
      </c>
      <c r="BL552" s="775" t="str">
        <f t="shared" si="314"/>
        <v/>
      </c>
      <c r="BM552" s="775" t="str">
        <f t="shared" si="315"/>
        <v/>
      </c>
    </row>
    <row r="553" spans="1:65">
      <c r="A553" s="473">
        <v>497</v>
      </c>
      <c r="B553" s="132"/>
      <c r="C553" s="332"/>
      <c r="D553" s="333"/>
      <c r="E553" s="333"/>
      <c r="F553" s="334"/>
      <c r="G553" s="337"/>
      <c r="H553" s="131"/>
      <c r="I553" s="337"/>
      <c r="J553" s="131"/>
      <c r="K553" s="458" t="str">
        <f t="shared" si="282"/>
        <v/>
      </c>
      <c r="L553" s="458">
        <f t="shared" si="294"/>
        <v>0</v>
      </c>
      <c r="M553" s="458">
        <f t="shared" si="295"/>
        <v>0</v>
      </c>
      <c r="N553" s="459" t="str">
        <f t="shared" si="283"/>
        <v/>
      </c>
      <c r="O553" s="459" t="str">
        <f t="shared" si="284"/>
        <v/>
      </c>
      <c r="P553" s="459" t="str">
        <f t="shared" si="285"/>
        <v/>
      </c>
      <c r="Q553" s="459" t="str">
        <f t="shared" si="286"/>
        <v/>
      </c>
      <c r="R553" s="459" t="str">
        <f t="shared" si="287"/>
        <v/>
      </c>
      <c r="S553" s="459" t="str">
        <f t="shared" si="288"/>
        <v/>
      </c>
      <c r="T553" s="566" t="str">
        <f t="shared" si="296"/>
        <v/>
      </c>
      <c r="U553" s="702"/>
      <c r="V553" s="132"/>
      <c r="W553" s="133"/>
      <c r="X553" s="134"/>
      <c r="Y553" s="135"/>
      <c r="Z553" s="137"/>
      <c r="AA553" s="136"/>
      <c r="AB553" s="566" t="str">
        <f t="shared" si="289"/>
        <v/>
      </c>
      <c r="AC553" s="568" t="str">
        <f t="shared" si="297"/>
        <v/>
      </c>
      <c r="AD553" s="137"/>
      <c r="AE553" s="137"/>
      <c r="AF553" s="138"/>
      <c r="AG553" s="138"/>
      <c r="AH553" s="592" t="str">
        <f t="shared" si="290"/>
        <v/>
      </c>
      <c r="AI553" s="592" t="str">
        <f t="shared" si="291"/>
        <v/>
      </c>
      <c r="AJ553" s="592" t="str">
        <f t="shared" si="292"/>
        <v/>
      </c>
      <c r="AK553" s="460" t="str">
        <f>IF(AU553="","",IF(OR(AZ553=8,AZ553=9),0,IF(OR(AW553=3,AW553=4,AW553=5,AW553=6),IF(LEFT(BF553,1)="1",INDEX(係数_NOX・PM低減,MATCH(AY553,【参考】排出係数!$AI$801:$AI$804,1),1),VLOOKUP(AU553,INDEX((係数_バス貨物_ガソリン,係数_バス貨物_CNG,係数_バス貨物_軽油,係数_バス貨物_メタノール,係数_バス貨物_LPG),MATCH(AY553,【参考】排出係数!$AI$4:$AI$671,1),1,BE553):INDEX((係数_バス貨物_ガソリン,係数_バス貨物_CNG,係数_バス貨物_軽油,係数_バス貨物_メタノール,係数_バス貨物_LPG),MATCH(AY553+1,【参考】排出係数!$AI$4:$AI$671,1)-1,5,BE553),4,FALSE)),IF(AND(BE553=3,LEFT(BF553,1)="1"),0.48,VLOOKUP(AU553,INDEX((係数_乗用_ガソリン,係数_乗用_CNG,係数_乗用_軽油,係数_乗用_メタノール,係数_乗用_LPG),1,1,BE553):INDEX((係数_乗用_ガソリン,係数_乗用_CNG,係数_乗用_軽油,係数_乗用_メタノール,係数_乗用_LPG),125,5,BE553),4,FALSE)))))</f>
        <v/>
      </c>
      <c r="AL553" s="461" t="str">
        <f t="shared" si="316"/>
        <v/>
      </c>
      <c r="AM553" s="460" t="str">
        <f>IF(AU553="","",IF(OR(AZ553=8,AZ553=9),0,IF(OR(AW553=3,AW553=4,AW553=5,AW553=6),IF(LEFT(BH553,1)="1",INDEX(係数_PM低減,MATCH(AY553,【参考】排出係数!$AI$801:$AI$804,1),MATCH(BI553,【参考】排出係数!$AL$798:$AO$798,1)),VLOOKUP(AU553,INDEX((係数_バス貨物_ガソリン,係数_バス貨物_CNG,係数_バス貨物_軽油,係数_バス貨物_メタノール,係数_バス貨物_LPG),MATCH(AY553,【参考】排出係数!$AI$4:$AI$671,1),1,BE553):INDEX((係数_バス貨物_ガソリン,係数_バス貨物_CNG,係数_バス貨物_軽油,係数_バス貨物_メタノール,係数_バス貨物_LPG),MATCH(AY553+1,【参考】排出係数!$AI$4:$AI$671,1)-1,5,BE553),5,FALSE)),IF(AND(BE553=3,LEFT(BF553,1)="1"),0.055,VLOOKUP(AU553,INDEX((係数_乗用_ガソリン,係数_乗用_CNG,係数_乗用_軽油,係数_乗用_メタノール,係数_乗用_LPG),1,1,BE553):INDEX((係数_乗用_ガソリン,係数_乗用_CNG,係数_乗用_軽油,係数_乗用_メタノール,係数_乗用_LPG),125,5,BE553),5,FALSE)))))</f>
        <v/>
      </c>
      <c r="AN553" s="461" t="str">
        <f t="shared" si="317"/>
        <v/>
      </c>
      <c r="AO553" s="462" t="str">
        <f t="shared" si="318"/>
        <v/>
      </c>
      <c r="AP553" s="463" t="str">
        <f t="shared" si="319"/>
        <v/>
      </c>
      <c r="AQ553" s="464"/>
      <c r="AR553" s="619"/>
      <c r="AS553" s="465" t="str">
        <f t="shared" si="298"/>
        <v/>
      </c>
      <c r="AT553" s="465" t="str">
        <f t="shared" si="299"/>
        <v/>
      </c>
      <c r="AU553" s="466" t="str">
        <f t="shared" si="300"/>
        <v/>
      </c>
      <c r="AV553" s="467" t="str">
        <f t="shared" si="301"/>
        <v/>
      </c>
      <c r="AW553" s="467" t="str">
        <f t="shared" si="302"/>
        <v/>
      </c>
      <c r="AX553" s="467" t="str">
        <f t="shared" si="303"/>
        <v/>
      </c>
      <c r="AY553" s="467" t="str">
        <f t="shared" si="304"/>
        <v/>
      </c>
      <c r="AZ553" s="467" t="str">
        <f t="shared" si="305"/>
        <v/>
      </c>
      <c r="BA553" s="468" t="str">
        <f>IF(AS553="","",IF(OR(AU553="",AU553="-"),"－",IF(OR(AZ553=8,AZ553=9),"",IF(OR(AW553=3,AW553=4,AW553=5,AW553=6),VLOOKUP(AU553,INDEX((係数_バス貨物_ガソリン,係数_バス貨物_CNG,係数_バス貨物_軽油,係数_バス貨物_メタノール,係数_バス貨物_LPG),MATCH(AY553,【参考】排出係数!$AI$4:$AI$671,1),1,BE553):INDEX((係数_バス貨物_ガソリン,係数_バス貨物_CNG,係数_バス貨物_軽油,係数_バス貨物_メタノール,係数_バス貨物_LPG),MATCH(AY553+1,【参考】排出係数!$AI$4:$AI$671,1)-1,5,BE553),2,FALSE),IF(OR(AW553=1,AW553=2),VLOOKUP(AU553,INDEX((係数_乗用_ガソリン,係数_乗用_CNG,係数_乗用_軽油,係数_乗用_メタノール,係数_乗用_LPG),1,1,BE553):INDEX((係数_乗用_ガソリン,係数_乗用_CNG,係数_乗用_軽油,係数_乗用_メタノール,係数_乗用_LPG),125,5,BE553),2,FALSE))))))</f>
        <v/>
      </c>
      <c r="BB553" s="468" t="str">
        <f>IF(T553="","",IF(OR(AU553="",AU553="-"),"－",IF(OR(AZ553=8,AZ553=9),"",IF(OR(AW553=3,AW553=4,AW553=5,AW553=6),VLOOKUP(AU553,INDEX((係数_バス貨物_ガソリン,係数_バス貨物_CNG,係数_バス貨物_軽油,係数_バス貨物_メタノール,係数_バス貨物_LPG),MATCH(AY553,【参考】排出係数!$AI$4:$AI$671,1),1,BE553):INDEX((係数_バス貨物_ガソリン,係数_バス貨物_CNG,係数_バス貨物_軽油,係数_バス貨物_メタノール,係数_バス貨物_LPG),MATCH(AY553+1,【参考】排出係数!$AI$4:$AI$671,1)-1,5,BE553),3,FALSE),IF(OR(AW553=1,AW553=2),VLOOKUP(AU553,INDEX((係数_乗用_ガソリン,係数_乗用_CNG,係数_乗用_軽油,係数_乗用_メタノール,係数_乗用_LPG),1,1,BE553):INDEX((係数_乗用_ガソリン,係数_乗用_CNG,係数_乗用_軽油,係数_乗用_メタノール,係数_乗用_LPG),125,5,BE553),3,FALSE))))))</f>
        <v/>
      </c>
      <c r="BC553" s="467" t="str">
        <f t="shared" si="306"/>
        <v/>
      </c>
      <c r="BD553" s="567" t="str">
        <f t="shared" si="307"/>
        <v/>
      </c>
      <c r="BE553" s="467" t="str">
        <f t="shared" si="308"/>
        <v/>
      </c>
      <c r="BF553" s="469" t="str">
        <f t="shared" ca="1" si="309"/>
        <v/>
      </c>
      <c r="BG553" s="469" t="str">
        <f t="shared" ca="1" si="310"/>
        <v/>
      </c>
      <c r="BH553" s="467" t="str">
        <f t="shared" si="311"/>
        <v/>
      </c>
      <c r="BI553" s="467" t="str">
        <f t="shared" ca="1" si="312"/>
        <v/>
      </c>
      <c r="BJ553" s="469" t="str">
        <f t="shared" si="313"/>
        <v/>
      </c>
      <c r="BK553" s="470" t="str">
        <f t="shared" si="293"/>
        <v/>
      </c>
      <c r="BL553" s="775" t="str">
        <f t="shared" si="314"/>
        <v/>
      </c>
      <c r="BM553" s="775" t="str">
        <f t="shared" si="315"/>
        <v/>
      </c>
    </row>
    <row r="554" spans="1:65">
      <c r="A554" s="473">
        <v>498</v>
      </c>
      <c r="B554" s="132"/>
      <c r="C554" s="332"/>
      <c r="D554" s="333"/>
      <c r="E554" s="333"/>
      <c r="F554" s="334"/>
      <c r="G554" s="337"/>
      <c r="H554" s="131"/>
      <c r="I554" s="337"/>
      <c r="J554" s="131"/>
      <c r="K554" s="458" t="str">
        <f t="shared" si="282"/>
        <v/>
      </c>
      <c r="L554" s="458">
        <f t="shared" si="294"/>
        <v>0</v>
      </c>
      <c r="M554" s="458">
        <f t="shared" si="295"/>
        <v>0</v>
      </c>
      <c r="N554" s="459" t="str">
        <f t="shared" si="283"/>
        <v/>
      </c>
      <c r="O554" s="459" t="str">
        <f t="shared" si="284"/>
        <v/>
      </c>
      <c r="P554" s="459" t="str">
        <f t="shared" si="285"/>
        <v/>
      </c>
      <c r="Q554" s="459" t="str">
        <f t="shared" si="286"/>
        <v/>
      </c>
      <c r="R554" s="459" t="str">
        <f t="shared" si="287"/>
        <v/>
      </c>
      <c r="S554" s="459" t="str">
        <f t="shared" si="288"/>
        <v/>
      </c>
      <c r="T554" s="566" t="str">
        <f t="shared" si="296"/>
        <v/>
      </c>
      <c r="U554" s="702"/>
      <c r="V554" s="132"/>
      <c r="W554" s="133"/>
      <c r="X554" s="134"/>
      <c r="Y554" s="135"/>
      <c r="Z554" s="137"/>
      <c r="AA554" s="136"/>
      <c r="AB554" s="566" t="str">
        <f t="shared" si="289"/>
        <v/>
      </c>
      <c r="AC554" s="568" t="str">
        <f t="shared" si="297"/>
        <v/>
      </c>
      <c r="AD554" s="137"/>
      <c r="AE554" s="137"/>
      <c r="AF554" s="138"/>
      <c r="AG554" s="138"/>
      <c r="AH554" s="592" t="str">
        <f t="shared" si="290"/>
        <v/>
      </c>
      <c r="AI554" s="592" t="str">
        <f t="shared" si="291"/>
        <v/>
      </c>
      <c r="AJ554" s="592" t="str">
        <f t="shared" si="292"/>
        <v/>
      </c>
      <c r="AK554" s="460" t="str">
        <f>IF(AU554="","",IF(OR(AZ554=8,AZ554=9),0,IF(OR(AW554=3,AW554=4,AW554=5,AW554=6),IF(LEFT(BF554,1)="1",INDEX(係数_NOX・PM低減,MATCH(AY554,【参考】排出係数!$AI$801:$AI$804,1),1),VLOOKUP(AU554,INDEX((係数_バス貨物_ガソリン,係数_バス貨物_CNG,係数_バス貨物_軽油,係数_バス貨物_メタノール,係数_バス貨物_LPG),MATCH(AY554,【参考】排出係数!$AI$4:$AI$671,1),1,BE554):INDEX((係数_バス貨物_ガソリン,係数_バス貨物_CNG,係数_バス貨物_軽油,係数_バス貨物_メタノール,係数_バス貨物_LPG),MATCH(AY554+1,【参考】排出係数!$AI$4:$AI$671,1)-1,5,BE554),4,FALSE)),IF(AND(BE554=3,LEFT(BF554,1)="1"),0.48,VLOOKUP(AU554,INDEX((係数_乗用_ガソリン,係数_乗用_CNG,係数_乗用_軽油,係数_乗用_メタノール,係数_乗用_LPG),1,1,BE554):INDEX((係数_乗用_ガソリン,係数_乗用_CNG,係数_乗用_軽油,係数_乗用_メタノール,係数_乗用_LPG),125,5,BE554),4,FALSE)))))</f>
        <v/>
      </c>
      <c r="AL554" s="461" t="str">
        <f t="shared" si="316"/>
        <v/>
      </c>
      <c r="AM554" s="460" t="str">
        <f>IF(AU554="","",IF(OR(AZ554=8,AZ554=9),0,IF(OR(AW554=3,AW554=4,AW554=5,AW554=6),IF(LEFT(BH554,1)="1",INDEX(係数_PM低減,MATCH(AY554,【参考】排出係数!$AI$801:$AI$804,1),MATCH(BI554,【参考】排出係数!$AL$798:$AO$798,1)),VLOOKUP(AU554,INDEX((係数_バス貨物_ガソリン,係数_バス貨物_CNG,係数_バス貨物_軽油,係数_バス貨物_メタノール,係数_バス貨物_LPG),MATCH(AY554,【参考】排出係数!$AI$4:$AI$671,1),1,BE554):INDEX((係数_バス貨物_ガソリン,係数_バス貨物_CNG,係数_バス貨物_軽油,係数_バス貨物_メタノール,係数_バス貨物_LPG),MATCH(AY554+1,【参考】排出係数!$AI$4:$AI$671,1)-1,5,BE554),5,FALSE)),IF(AND(BE554=3,LEFT(BF554,1)="1"),0.055,VLOOKUP(AU554,INDEX((係数_乗用_ガソリン,係数_乗用_CNG,係数_乗用_軽油,係数_乗用_メタノール,係数_乗用_LPG),1,1,BE554):INDEX((係数_乗用_ガソリン,係数_乗用_CNG,係数_乗用_軽油,係数_乗用_メタノール,係数_乗用_LPG),125,5,BE554),5,FALSE)))))</f>
        <v/>
      </c>
      <c r="AN554" s="461" t="str">
        <f t="shared" si="317"/>
        <v/>
      </c>
      <c r="AO554" s="462" t="str">
        <f t="shared" si="318"/>
        <v/>
      </c>
      <c r="AP554" s="463" t="str">
        <f t="shared" si="319"/>
        <v/>
      </c>
      <c r="AQ554" s="464"/>
      <c r="AR554" s="619"/>
      <c r="AS554" s="465" t="str">
        <f t="shared" si="298"/>
        <v/>
      </c>
      <c r="AT554" s="465" t="str">
        <f t="shared" si="299"/>
        <v/>
      </c>
      <c r="AU554" s="466" t="str">
        <f t="shared" si="300"/>
        <v/>
      </c>
      <c r="AV554" s="467" t="str">
        <f t="shared" si="301"/>
        <v/>
      </c>
      <c r="AW554" s="467" t="str">
        <f t="shared" si="302"/>
        <v/>
      </c>
      <c r="AX554" s="467" t="str">
        <f t="shared" si="303"/>
        <v/>
      </c>
      <c r="AY554" s="467" t="str">
        <f t="shared" si="304"/>
        <v/>
      </c>
      <c r="AZ554" s="467" t="str">
        <f t="shared" si="305"/>
        <v/>
      </c>
      <c r="BA554" s="468" t="str">
        <f>IF(AS554="","",IF(OR(AU554="",AU554="-"),"－",IF(OR(AZ554=8,AZ554=9),"",IF(OR(AW554=3,AW554=4,AW554=5,AW554=6),VLOOKUP(AU554,INDEX((係数_バス貨物_ガソリン,係数_バス貨物_CNG,係数_バス貨物_軽油,係数_バス貨物_メタノール,係数_バス貨物_LPG),MATCH(AY554,【参考】排出係数!$AI$4:$AI$671,1),1,BE554):INDEX((係数_バス貨物_ガソリン,係数_バス貨物_CNG,係数_バス貨物_軽油,係数_バス貨物_メタノール,係数_バス貨物_LPG),MATCH(AY554+1,【参考】排出係数!$AI$4:$AI$671,1)-1,5,BE554),2,FALSE),IF(OR(AW554=1,AW554=2),VLOOKUP(AU554,INDEX((係数_乗用_ガソリン,係数_乗用_CNG,係数_乗用_軽油,係数_乗用_メタノール,係数_乗用_LPG),1,1,BE554):INDEX((係数_乗用_ガソリン,係数_乗用_CNG,係数_乗用_軽油,係数_乗用_メタノール,係数_乗用_LPG),125,5,BE554),2,FALSE))))))</f>
        <v/>
      </c>
      <c r="BB554" s="468" t="str">
        <f>IF(T554="","",IF(OR(AU554="",AU554="-"),"－",IF(OR(AZ554=8,AZ554=9),"",IF(OR(AW554=3,AW554=4,AW554=5,AW554=6),VLOOKUP(AU554,INDEX((係数_バス貨物_ガソリン,係数_バス貨物_CNG,係数_バス貨物_軽油,係数_バス貨物_メタノール,係数_バス貨物_LPG),MATCH(AY554,【参考】排出係数!$AI$4:$AI$671,1),1,BE554):INDEX((係数_バス貨物_ガソリン,係数_バス貨物_CNG,係数_バス貨物_軽油,係数_バス貨物_メタノール,係数_バス貨物_LPG),MATCH(AY554+1,【参考】排出係数!$AI$4:$AI$671,1)-1,5,BE554),3,FALSE),IF(OR(AW554=1,AW554=2),VLOOKUP(AU554,INDEX((係数_乗用_ガソリン,係数_乗用_CNG,係数_乗用_軽油,係数_乗用_メタノール,係数_乗用_LPG),1,1,BE554):INDEX((係数_乗用_ガソリン,係数_乗用_CNG,係数_乗用_軽油,係数_乗用_メタノール,係数_乗用_LPG),125,5,BE554),3,FALSE))))))</f>
        <v/>
      </c>
      <c r="BC554" s="467" t="str">
        <f t="shared" si="306"/>
        <v/>
      </c>
      <c r="BD554" s="567" t="str">
        <f t="shared" si="307"/>
        <v/>
      </c>
      <c r="BE554" s="467" t="str">
        <f t="shared" si="308"/>
        <v/>
      </c>
      <c r="BF554" s="469" t="str">
        <f t="shared" ca="1" si="309"/>
        <v/>
      </c>
      <c r="BG554" s="469" t="str">
        <f t="shared" ca="1" si="310"/>
        <v/>
      </c>
      <c r="BH554" s="467" t="str">
        <f t="shared" si="311"/>
        <v/>
      </c>
      <c r="BI554" s="467" t="str">
        <f t="shared" ca="1" si="312"/>
        <v/>
      </c>
      <c r="BJ554" s="469" t="str">
        <f t="shared" si="313"/>
        <v/>
      </c>
      <c r="BK554" s="470" t="str">
        <f t="shared" si="293"/>
        <v/>
      </c>
      <c r="BL554" s="775" t="str">
        <f t="shared" si="314"/>
        <v/>
      </c>
      <c r="BM554" s="775" t="str">
        <f t="shared" si="315"/>
        <v/>
      </c>
    </row>
    <row r="555" spans="1:65">
      <c r="A555" s="473">
        <v>499</v>
      </c>
      <c r="B555" s="132"/>
      <c r="C555" s="332"/>
      <c r="D555" s="333"/>
      <c r="E555" s="333"/>
      <c r="F555" s="334"/>
      <c r="G555" s="337"/>
      <c r="H555" s="131"/>
      <c r="I555" s="337"/>
      <c r="J555" s="131"/>
      <c r="K555" s="458" t="str">
        <f t="shared" si="282"/>
        <v/>
      </c>
      <c r="L555" s="458">
        <f t="shared" si="294"/>
        <v>0</v>
      </c>
      <c r="M555" s="458">
        <f t="shared" si="295"/>
        <v>0</v>
      </c>
      <c r="N555" s="459" t="str">
        <f t="shared" si="283"/>
        <v/>
      </c>
      <c r="O555" s="459" t="str">
        <f t="shared" si="284"/>
        <v/>
      </c>
      <c r="P555" s="459" t="str">
        <f t="shared" si="285"/>
        <v/>
      </c>
      <c r="Q555" s="459" t="str">
        <f t="shared" si="286"/>
        <v/>
      </c>
      <c r="R555" s="459" t="str">
        <f t="shared" si="287"/>
        <v/>
      </c>
      <c r="S555" s="459" t="str">
        <f t="shared" si="288"/>
        <v/>
      </c>
      <c r="T555" s="566" t="str">
        <f t="shared" si="296"/>
        <v/>
      </c>
      <c r="U555" s="702"/>
      <c r="V555" s="132"/>
      <c r="W555" s="133"/>
      <c r="X555" s="134"/>
      <c r="Y555" s="135"/>
      <c r="Z555" s="137"/>
      <c r="AA555" s="136"/>
      <c r="AB555" s="566" t="str">
        <f t="shared" si="289"/>
        <v/>
      </c>
      <c r="AC555" s="568" t="str">
        <f t="shared" si="297"/>
        <v/>
      </c>
      <c r="AD555" s="137"/>
      <c r="AE555" s="137"/>
      <c r="AF555" s="138"/>
      <c r="AG555" s="138"/>
      <c r="AH555" s="592" t="str">
        <f t="shared" si="290"/>
        <v/>
      </c>
      <c r="AI555" s="592" t="str">
        <f t="shared" si="291"/>
        <v/>
      </c>
      <c r="AJ555" s="592" t="str">
        <f t="shared" si="292"/>
        <v/>
      </c>
      <c r="AK555" s="460" t="str">
        <f>IF(AU555="","",IF(OR(AZ555=8,AZ555=9),0,IF(OR(AW555=3,AW555=4,AW555=5,AW555=6),IF(LEFT(BF555,1)="1",INDEX(係数_NOX・PM低減,MATCH(AY555,【参考】排出係数!$AI$801:$AI$804,1),1),VLOOKUP(AU555,INDEX((係数_バス貨物_ガソリン,係数_バス貨物_CNG,係数_バス貨物_軽油,係数_バス貨物_メタノール,係数_バス貨物_LPG),MATCH(AY555,【参考】排出係数!$AI$4:$AI$671,1),1,BE555):INDEX((係数_バス貨物_ガソリン,係数_バス貨物_CNG,係数_バス貨物_軽油,係数_バス貨物_メタノール,係数_バス貨物_LPG),MATCH(AY555+1,【参考】排出係数!$AI$4:$AI$671,1)-1,5,BE555),4,FALSE)),IF(AND(BE555=3,LEFT(BF555,1)="1"),0.48,VLOOKUP(AU555,INDEX((係数_乗用_ガソリン,係数_乗用_CNG,係数_乗用_軽油,係数_乗用_メタノール,係数_乗用_LPG),1,1,BE555):INDEX((係数_乗用_ガソリン,係数_乗用_CNG,係数_乗用_軽油,係数_乗用_メタノール,係数_乗用_LPG),125,5,BE555),4,FALSE)))))</f>
        <v/>
      </c>
      <c r="AL555" s="461" t="str">
        <f t="shared" si="316"/>
        <v/>
      </c>
      <c r="AM555" s="460" t="str">
        <f>IF(AU555="","",IF(OR(AZ555=8,AZ555=9),0,IF(OR(AW555=3,AW555=4,AW555=5,AW555=6),IF(LEFT(BH555,1)="1",INDEX(係数_PM低減,MATCH(AY555,【参考】排出係数!$AI$801:$AI$804,1),MATCH(BI555,【参考】排出係数!$AL$798:$AO$798,1)),VLOOKUP(AU555,INDEX((係数_バス貨物_ガソリン,係数_バス貨物_CNG,係数_バス貨物_軽油,係数_バス貨物_メタノール,係数_バス貨物_LPG),MATCH(AY555,【参考】排出係数!$AI$4:$AI$671,1),1,BE555):INDEX((係数_バス貨物_ガソリン,係数_バス貨物_CNG,係数_バス貨物_軽油,係数_バス貨物_メタノール,係数_バス貨物_LPG),MATCH(AY555+1,【参考】排出係数!$AI$4:$AI$671,1)-1,5,BE555),5,FALSE)),IF(AND(BE555=3,LEFT(BF555,1)="1"),0.055,VLOOKUP(AU555,INDEX((係数_乗用_ガソリン,係数_乗用_CNG,係数_乗用_軽油,係数_乗用_メタノール,係数_乗用_LPG),1,1,BE555):INDEX((係数_乗用_ガソリン,係数_乗用_CNG,係数_乗用_軽油,係数_乗用_メタノール,係数_乗用_LPG),125,5,BE555),5,FALSE)))))</f>
        <v/>
      </c>
      <c r="AN555" s="461" t="str">
        <f t="shared" si="317"/>
        <v/>
      </c>
      <c r="AO555" s="462" t="str">
        <f t="shared" si="318"/>
        <v/>
      </c>
      <c r="AP555" s="463" t="str">
        <f t="shared" si="319"/>
        <v/>
      </c>
      <c r="AQ555" s="464"/>
      <c r="AR555" s="619"/>
      <c r="AS555" s="465" t="str">
        <f t="shared" si="298"/>
        <v/>
      </c>
      <c r="AT555" s="465" t="str">
        <f t="shared" si="299"/>
        <v/>
      </c>
      <c r="AU555" s="466" t="str">
        <f t="shared" si="300"/>
        <v/>
      </c>
      <c r="AV555" s="467" t="str">
        <f t="shared" si="301"/>
        <v/>
      </c>
      <c r="AW555" s="467" t="str">
        <f t="shared" si="302"/>
        <v/>
      </c>
      <c r="AX555" s="467" t="str">
        <f t="shared" si="303"/>
        <v/>
      </c>
      <c r="AY555" s="467" t="str">
        <f t="shared" si="304"/>
        <v/>
      </c>
      <c r="AZ555" s="467" t="str">
        <f t="shared" si="305"/>
        <v/>
      </c>
      <c r="BA555" s="468" t="str">
        <f>IF(AS555="","",IF(OR(AU555="",AU555="-"),"－",IF(OR(AZ555=8,AZ555=9),"",IF(OR(AW555=3,AW555=4,AW555=5,AW555=6),VLOOKUP(AU555,INDEX((係数_バス貨物_ガソリン,係数_バス貨物_CNG,係数_バス貨物_軽油,係数_バス貨物_メタノール,係数_バス貨物_LPG),MATCH(AY555,【参考】排出係数!$AI$4:$AI$671,1),1,BE555):INDEX((係数_バス貨物_ガソリン,係数_バス貨物_CNG,係数_バス貨物_軽油,係数_バス貨物_メタノール,係数_バス貨物_LPG),MATCH(AY555+1,【参考】排出係数!$AI$4:$AI$671,1)-1,5,BE555),2,FALSE),IF(OR(AW555=1,AW555=2),VLOOKUP(AU555,INDEX((係数_乗用_ガソリン,係数_乗用_CNG,係数_乗用_軽油,係数_乗用_メタノール,係数_乗用_LPG),1,1,BE555):INDEX((係数_乗用_ガソリン,係数_乗用_CNG,係数_乗用_軽油,係数_乗用_メタノール,係数_乗用_LPG),125,5,BE555),2,FALSE))))))</f>
        <v/>
      </c>
      <c r="BB555" s="468" t="str">
        <f>IF(T555="","",IF(OR(AU555="",AU555="-"),"－",IF(OR(AZ555=8,AZ555=9),"",IF(OR(AW555=3,AW555=4,AW555=5,AW555=6),VLOOKUP(AU555,INDEX((係数_バス貨物_ガソリン,係数_バス貨物_CNG,係数_バス貨物_軽油,係数_バス貨物_メタノール,係数_バス貨物_LPG),MATCH(AY555,【参考】排出係数!$AI$4:$AI$671,1),1,BE555):INDEX((係数_バス貨物_ガソリン,係数_バス貨物_CNG,係数_バス貨物_軽油,係数_バス貨物_メタノール,係数_バス貨物_LPG),MATCH(AY555+1,【参考】排出係数!$AI$4:$AI$671,1)-1,5,BE555),3,FALSE),IF(OR(AW555=1,AW555=2),VLOOKUP(AU555,INDEX((係数_乗用_ガソリン,係数_乗用_CNG,係数_乗用_軽油,係数_乗用_メタノール,係数_乗用_LPG),1,1,BE555):INDEX((係数_乗用_ガソリン,係数_乗用_CNG,係数_乗用_軽油,係数_乗用_メタノール,係数_乗用_LPG),125,5,BE555),3,FALSE))))))</f>
        <v/>
      </c>
      <c r="BC555" s="467" t="str">
        <f t="shared" si="306"/>
        <v/>
      </c>
      <c r="BD555" s="567" t="str">
        <f t="shared" si="307"/>
        <v/>
      </c>
      <c r="BE555" s="467" t="str">
        <f t="shared" si="308"/>
        <v/>
      </c>
      <c r="BF555" s="469" t="str">
        <f t="shared" ca="1" si="309"/>
        <v/>
      </c>
      <c r="BG555" s="469" t="str">
        <f t="shared" ca="1" si="310"/>
        <v/>
      </c>
      <c r="BH555" s="467" t="str">
        <f t="shared" si="311"/>
        <v/>
      </c>
      <c r="BI555" s="467" t="str">
        <f t="shared" ca="1" si="312"/>
        <v/>
      </c>
      <c r="BJ555" s="469" t="str">
        <f t="shared" si="313"/>
        <v/>
      </c>
      <c r="BK555" s="470" t="str">
        <f t="shared" si="293"/>
        <v/>
      </c>
      <c r="BL555" s="775" t="str">
        <f t="shared" si="314"/>
        <v/>
      </c>
      <c r="BM555" s="775" t="str">
        <f t="shared" si="315"/>
        <v/>
      </c>
    </row>
    <row r="556" spans="1:65">
      <c r="A556" s="473">
        <v>500</v>
      </c>
      <c r="B556" s="132"/>
      <c r="C556" s="332"/>
      <c r="D556" s="333"/>
      <c r="E556" s="333"/>
      <c r="F556" s="334"/>
      <c r="G556" s="337"/>
      <c r="H556" s="131"/>
      <c r="I556" s="337"/>
      <c r="J556" s="131"/>
      <c r="K556" s="458" t="str">
        <f t="shared" ref="K556:K619" si="320">C556&amp;D556&amp;E556&amp;F556</f>
        <v/>
      </c>
      <c r="L556" s="458">
        <f t="shared" ref="L556:L619" si="321">IF(G556&gt;0,DATE((G556),(H556+1),0),0)</f>
        <v>0</v>
      </c>
      <c r="M556" s="458">
        <f t="shared" ref="M556:M619" si="322">IF(I556&gt;0,DATE((I556),(J556+1),0),0)</f>
        <v>0</v>
      </c>
      <c r="N556" s="459" t="str">
        <f t="shared" si="283"/>
        <v/>
      </c>
      <c r="O556" s="459" t="str">
        <f t="shared" si="284"/>
        <v/>
      </c>
      <c r="P556" s="459" t="str">
        <f t="shared" si="285"/>
        <v/>
      </c>
      <c r="Q556" s="459" t="str">
        <f t="shared" si="286"/>
        <v/>
      </c>
      <c r="R556" s="459" t="str">
        <f t="shared" si="287"/>
        <v/>
      </c>
      <c r="S556" s="459" t="str">
        <f t="shared" si="288"/>
        <v/>
      </c>
      <c r="T556" s="566" t="str">
        <f t="shared" ref="T556:T619" si="323">N556&amp;O556&amp;P556&amp;Q556&amp;R556&amp;S556</f>
        <v/>
      </c>
      <c r="U556" s="702"/>
      <c r="V556" s="132"/>
      <c r="W556" s="133"/>
      <c r="X556" s="134"/>
      <c r="Y556" s="135"/>
      <c r="Z556" s="137"/>
      <c r="AA556" s="136"/>
      <c r="AB556" s="566" t="str">
        <f t="shared" ref="AB556:AB619" si="324">IF(AS556="","",IF(AZ556=1,VLOOKUP(BA556,低公害車判別,2,FALSE),IF(AZ556=3,VLOOKUP(BA556,低公害車判別,2,FALSE),IF(AZ556=4,VLOOKUP(BB556,低公害車判別,2,FALSE),"低公害車"))))</f>
        <v/>
      </c>
      <c r="AC556" s="568" t="str">
        <f t="shared" ref="AC556:AC619" si="325">IF(AS556="","",IF((BA556="")+(BA556="－"),IF((BB556="")+(BB556=0),"－",BB556),IF((BA556="PM☆☆☆")+(BA556="☆及びPM☆☆☆")+(BA556="☆☆及びPM☆☆☆")+(BA556="☆☆☆及びPM☆☆☆"),"PM☆☆☆",IF((BA556="PM☆☆☆☆")+(BA556="☆及びPM☆☆☆☆")+(BA556="☆☆及びPM☆☆☆☆")+(BA556="☆☆☆及びPM☆☆☆☆"),"PM☆☆☆☆",IF((BA556="新☆")+(BA556="新NOx☆")+(BA556="新PM☆"),"新☆（新長期）",BA556)))))</f>
        <v/>
      </c>
      <c r="AD556" s="137"/>
      <c r="AE556" s="137"/>
      <c r="AF556" s="138"/>
      <c r="AG556" s="138"/>
      <c r="AH556" s="592" t="str">
        <f t="shared" ref="AH556:AH619" si="326">IF(C556="","",IF(LEFT(C556,2)="横浜","○",""))</f>
        <v/>
      </c>
      <c r="AI556" s="592" t="str">
        <f t="shared" ref="AI556:AI619" si="327">IF(C556="","",IF(LEFT(C556,2)="川崎","○",""))</f>
        <v/>
      </c>
      <c r="AJ556" s="592" t="str">
        <f t="shared" ref="AJ556:AJ619" si="328">IF(C556="","",IF(OR(AH556="○",AI556="○"),"","○"))</f>
        <v/>
      </c>
      <c r="AK556" s="460" t="str">
        <f>IF(AU556="","",IF(OR(AZ556=8,AZ556=9),0,IF(OR(AW556=3,AW556=4,AW556=5,AW556=6),IF(LEFT(BF556,1)="1",INDEX(係数_NOX・PM低減,MATCH(AY556,【参考】排出係数!$AI$801:$AI$804,1),1),VLOOKUP(AU556,INDEX((係数_バス貨物_ガソリン,係数_バス貨物_CNG,係数_バス貨物_軽油,係数_バス貨物_メタノール,係数_バス貨物_LPG),MATCH(AY556,【参考】排出係数!$AI$4:$AI$671,1),1,BE556):INDEX((係数_バス貨物_ガソリン,係数_バス貨物_CNG,係数_バス貨物_軽油,係数_バス貨物_メタノール,係数_バス貨物_LPG),MATCH(AY556+1,【参考】排出係数!$AI$4:$AI$671,1)-1,5,BE556),4,FALSE)),IF(AND(BE556=3,LEFT(BF556,1)="1"),0.48,VLOOKUP(AU556,INDEX((係数_乗用_ガソリン,係数_乗用_CNG,係数_乗用_軽油,係数_乗用_メタノール,係数_乗用_LPG),1,1,BE556):INDEX((係数_乗用_ガソリン,係数_乗用_CNG,係数_乗用_軽油,係数_乗用_メタノール,係数_乗用_LPG),125,5,BE556),4,FALSE)))))</f>
        <v/>
      </c>
      <c r="AL556" s="461" t="str">
        <f t="shared" ref="AL556:AL619" si="329">IF(AU556="","",IF(Z556&lt;=3.5*1000,AD556*AK556/1000,IF(Z556&gt;3.5*1000,AD556*Z556*AK556/1000/1000)))</f>
        <v/>
      </c>
      <c r="AM556" s="460" t="str">
        <f>IF(AU556="","",IF(OR(AZ556=8,AZ556=9),0,IF(OR(AW556=3,AW556=4,AW556=5,AW556=6),IF(LEFT(BH556,1)="1",INDEX(係数_PM低減,MATCH(AY556,【参考】排出係数!$AI$801:$AI$804,1),MATCH(BI556,【参考】排出係数!$AL$798:$AO$798,1)),VLOOKUP(AU556,INDEX((係数_バス貨物_ガソリン,係数_バス貨物_CNG,係数_バス貨物_軽油,係数_バス貨物_メタノール,係数_バス貨物_LPG),MATCH(AY556,【参考】排出係数!$AI$4:$AI$671,1),1,BE556):INDEX((係数_バス貨物_ガソリン,係数_バス貨物_CNG,係数_バス貨物_軽油,係数_バス貨物_メタノール,係数_バス貨物_LPG),MATCH(AY556+1,【参考】排出係数!$AI$4:$AI$671,1)-1,5,BE556),5,FALSE)),IF(AND(BE556=3,LEFT(BF556,1)="1"),0.055,VLOOKUP(AU556,INDEX((係数_乗用_ガソリン,係数_乗用_CNG,係数_乗用_軽油,係数_乗用_メタノール,係数_乗用_LPG),1,1,BE556):INDEX((係数_乗用_ガソリン,係数_乗用_CNG,係数_乗用_軽油,係数_乗用_メタノール,係数_乗用_LPG),125,5,BE556),5,FALSE)))))</f>
        <v/>
      </c>
      <c r="AN556" s="461" t="str">
        <f t="shared" ref="AN556:AN619" si="330">IF(AU556="","",IF(Z556&lt;=3.5*1000,AD556*AM556/1000,IF(Z556&gt;3.5*1000,AD556*Z556*AM556/1000/1000)))</f>
        <v/>
      </c>
      <c r="AO556" s="462" t="str">
        <f t="shared" ref="AO556:AO619" si="331">IF(AU556="","",IF(Z556&lt;500,"車両重量",IF(OR(AZ556=8,AZ556=9),0,IF(OR(AZ556=1,AZ556=2,AZ556=11),2.32,IF(OR(AZ556=4,AZ556=5,AZ556=11),2.58,IF(AZ556=3,3,IF(AZ556=6,2.23,IF(AZ556=7,1.37,0))))))))</f>
        <v/>
      </c>
      <c r="AP556" s="463" t="str">
        <f t="shared" ref="AP556:AP619" si="332">IF(AU556="","",AE556*AO556/1000)</f>
        <v/>
      </c>
      <c r="AQ556" s="464"/>
      <c r="AR556" s="619"/>
      <c r="AS556" s="465" t="str">
        <f t="shared" si="298"/>
        <v/>
      </c>
      <c r="AT556" s="465" t="str">
        <f t="shared" si="299"/>
        <v/>
      </c>
      <c r="AU556" s="466" t="str">
        <f t="shared" si="300"/>
        <v/>
      </c>
      <c r="AV556" s="467" t="str">
        <f t="shared" si="301"/>
        <v/>
      </c>
      <c r="AW556" s="467" t="str">
        <f t="shared" si="302"/>
        <v/>
      </c>
      <c r="AX556" s="467" t="str">
        <f t="shared" si="303"/>
        <v/>
      </c>
      <c r="AY556" s="467" t="str">
        <f t="shared" si="304"/>
        <v/>
      </c>
      <c r="AZ556" s="467" t="str">
        <f t="shared" si="305"/>
        <v/>
      </c>
      <c r="BA556" s="468" t="str">
        <f>IF(AS556="","",IF(OR(AU556="",AU556="-"),"－",IF(OR(AZ556=8,AZ556=9),"",IF(OR(AW556=3,AW556=4,AW556=5,AW556=6),VLOOKUP(AU556,INDEX((係数_バス貨物_ガソリン,係数_バス貨物_CNG,係数_バス貨物_軽油,係数_バス貨物_メタノール,係数_バス貨物_LPG),MATCH(AY556,【参考】排出係数!$AI$4:$AI$671,1),1,BE556):INDEX((係数_バス貨物_ガソリン,係数_バス貨物_CNG,係数_バス貨物_軽油,係数_バス貨物_メタノール,係数_バス貨物_LPG),MATCH(AY556+1,【参考】排出係数!$AI$4:$AI$671,1)-1,5,BE556),2,FALSE),IF(OR(AW556=1,AW556=2),VLOOKUP(AU556,INDEX((係数_乗用_ガソリン,係数_乗用_CNG,係数_乗用_軽油,係数_乗用_メタノール,係数_乗用_LPG),1,1,BE556):INDEX((係数_乗用_ガソリン,係数_乗用_CNG,係数_乗用_軽油,係数_乗用_メタノール,係数_乗用_LPG),125,5,BE556),2,FALSE))))))</f>
        <v/>
      </c>
      <c r="BB556" s="468" t="str">
        <f>IF(T556="","",IF(OR(AU556="",AU556="-"),"－",IF(OR(AZ556=8,AZ556=9),"",IF(OR(AW556=3,AW556=4,AW556=5,AW556=6),VLOOKUP(AU556,INDEX((係数_バス貨物_ガソリン,係数_バス貨物_CNG,係数_バス貨物_軽油,係数_バス貨物_メタノール,係数_バス貨物_LPG),MATCH(AY556,【参考】排出係数!$AI$4:$AI$671,1),1,BE556):INDEX((係数_バス貨物_ガソリン,係数_バス貨物_CNG,係数_バス貨物_軽油,係数_バス貨物_メタノール,係数_バス貨物_LPG),MATCH(AY556+1,【参考】排出係数!$AI$4:$AI$671,1)-1,5,BE556),3,FALSE),IF(OR(AW556=1,AW556=2),VLOOKUP(AU556,INDEX((係数_乗用_ガソリン,係数_乗用_CNG,係数_乗用_軽油,係数_乗用_メタノール,係数_乗用_LPG),1,1,BE556):INDEX((係数_乗用_ガソリン,係数_乗用_CNG,係数_乗用_軽油,係数_乗用_メタノール,係数_乗用_LPG),125,5,BE556),3,FALSE))))))</f>
        <v/>
      </c>
      <c r="BC556" s="467" t="str">
        <f t="shared" si="306"/>
        <v/>
      </c>
      <c r="BD556" s="567" t="str">
        <f t="shared" si="307"/>
        <v/>
      </c>
      <c r="BE556" s="467" t="str">
        <f t="shared" si="308"/>
        <v/>
      </c>
      <c r="BF556" s="469" t="str">
        <f t="shared" ca="1" si="309"/>
        <v/>
      </c>
      <c r="BG556" s="469" t="str">
        <f t="shared" ca="1" si="310"/>
        <v/>
      </c>
      <c r="BH556" s="467" t="str">
        <f t="shared" si="311"/>
        <v/>
      </c>
      <c r="BI556" s="467" t="str">
        <f t="shared" ca="1" si="312"/>
        <v/>
      </c>
      <c r="BJ556" s="469" t="str">
        <f t="shared" si="313"/>
        <v/>
      </c>
      <c r="BK556" s="470" t="str">
        <f t="shared" si="293"/>
        <v/>
      </c>
      <c r="BL556" s="775" t="str">
        <f t="shared" si="314"/>
        <v/>
      </c>
      <c r="BM556" s="775" t="str">
        <f t="shared" si="315"/>
        <v/>
      </c>
    </row>
    <row r="557" spans="1:65">
      <c r="A557" s="473">
        <v>501</v>
      </c>
      <c r="B557" s="132"/>
      <c r="C557" s="332"/>
      <c r="D557" s="333"/>
      <c r="E557" s="333"/>
      <c r="F557" s="334"/>
      <c r="G557" s="337"/>
      <c r="H557" s="131"/>
      <c r="I557" s="337"/>
      <c r="J557" s="131"/>
      <c r="K557" s="458" t="str">
        <f t="shared" si="320"/>
        <v/>
      </c>
      <c r="L557" s="458">
        <f t="shared" si="321"/>
        <v>0</v>
      </c>
      <c r="M557" s="458">
        <f t="shared" si="322"/>
        <v>0</v>
      </c>
      <c r="N557" s="459" t="str">
        <f t="shared" si="283"/>
        <v/>
      </c>
      <c r="O557" s="459" t="str">
        <f t="shared" si="284"/>
        <v/>
      </c>
      <c r="P557" s="459" t="str">
        <f t="shared" si="285"/>
        <v/>
      </c>
      <c r="Q557" s="459" t="str">
        <f t="shared" si="286"/>
        <v/>
      </c>
      <c r="R557" s="459" t="str">
        <f t="shared" si="287"/>
        <v/>
      </c>
      <c r="S557" s="459" t="str">
        <f t="shared" si="288"/>
        <v/>
      </c>
      <c r="T557" s="566" t="str">
        <f t="shared" si="323"/>
        <v/>
      </c>
      <c r="U557" s="702"/>
      <c r="V557" s="132"/>
      <c r="W557" s="133"/>
      <c r="X557" s="134"/>
      <c r="Y557" s="135"/>
      <c r="Z557" s="137"/>
      <c r="AA557" s="136"/>
      <c r="AB557" s="566" t="str">
        <f t="shared" si="324"/>
        <v/>
      </c>
      <c r="AC557" s="568" t="str">
        <f t="shared" si="325"/>
        <v/>
      </c>
      <c r="AD557" s="137"/>
      <c r="AE557" s="137"/>
      <c r="AF557" s="138"/>
      <c r="AG557" s="138"/>
      <c r="AH557" s="592" t="str">
        <f t="shared" si="326"/>
        <v/>
      </c>
      <c r="AI557" s="592" t="str">
        <f t="shared" si="327"/>
        <v/>
      </c>
      <c r="AJ557" s="592" t="str">
        <f t="shared" si="328"/>
        <v/>
      </c>
      <c r="AK557" s="460" t="str">
        <f>IF(AU557="","",IF(OR(AZ557=8,AZ557=9),0,IF(OR(AW557=3,AW557=4,AW557=5,AW557=6),IF(LEFT(BF557,1)="1",INDEX(係数_NOX・PM低減,MATCH(AY557,【参考】排出係数!$AI$801:$AI$804,1),1),VLOOKUP(AU557,INDEX((係数_バス貨物_ガソリン,係数_バス貨物_CNG,係数_バス貨物_軽油,係数_バス貨物_メタノール,係数_バス貨物_LPG),MATCH(AY557,【参考】排出係数!$AI$4:$AI$671,1),1,BE557):INDEX((係数_バス貨物_ガソリン,係数_バス貨物_CNG,係数_バス貨物_軽油,係数_バス貨物_メタノール,係数_バス貨物_LPG),MATCH(AY557+1,【参考】排出係数!$AI$4:$AI$671,1)-1,5,BE557),4,FALSE)),IF(AND(BE557=3,LEFT(BF557,1)="1"),0.48,VLOOKUP(AU557,INDEX((係数_乗用_ガソリン,係数_乗用_CNG,係数_乗用_軽油,係数_乗用_メタノール,係数_乗用_LPG),1,1,BE557):INDEX((係数_乗用_ガソリン,係数_乗用_CNG,係数_乗用_軽油,係数_乗用_メタノール,係数_乗用_LPG),125,5,BE557),4,FALSE)))))</f>
        <v/>
      </c>
      <c r="AL557" s="461" t="str">
        <f t="shared" si="329"/>
        <v/>
      </c>
      <c r="AM557" s="460" t="str">
        <f>IF(AU557="","",IF(OR(AZ557=8,AZ557=9),0,IF(OR(AW557=3,AW557=4,AW557=5,AW557=6),IF(LEFT(BH557,1)="1",INDEX(係数_PM低減,MATCH(AY557,【参考】排出係数!$AI$801:$AI$804,1),MATCH(BI557,【参考】排出係数!$AL$798:$AO$798,1)),VLOOKUP(AU557,INDEX((係数_バス貨物_ガソリン,係数_バス貨物_CNG,係数_バス貨物_軽油,係数_バス貨物_メタノール,係数_バス貨物_LPG),MATCH(AY557,【参考】排出係数!$AI$4:$AI$671,1),1,BE557):INDEX((係数_バス貨物_ガソリン,係数_バス貨物_CNG,係数_バス貨物_軽油,係数_バス貨物_メタノール,係数_バス貨物_LPG),MATCH(AY557+1,【参考】排出係数!$AI$4:$AI$671,1)-1,5,BE557),5,FALSE)),IF(AND(BE557=3,LEFT(BF557,1)="1"),0.055,VLOOKUP(AU557,INDEX((係数_乗用_ガソリン,係数_乗用_CNG,係数_乗用_軽油,係数_乗用_メタノール,係数_乗用_LPG),1,1,BE557):INDEX((係数_乗用_ガソリン,係数_乗用_CNG,係数_乗用_軽油,係数_乗用_メタノール,係数_乗用_LPG),125,5,BE557),5,FALSE)))))</f>
        <v/>
      </c>
      <c r="AN557" s="461" t="str">
        <f t="shared" si="330"/>
        <v/>
      </c>
      <c r="AO557" s="462" t="str">
        <f t="shared" si="331"/>
        <v/>
      </c>
      <c r="AP557" s="463" t="str">
        <f t="shared" si="332"/>
        <v/>
      </c>
      <c r="AQ557" s="464"/>
      <c r="AR557" s="619"/>
      <c r="AS557" s="465" t="str">
        <f t="shared" si="298"/>
        <v/>
      </c>
      <c r="AT557" s="465" t="str">
        <f t="shared" si="299"/>
        <v/>
      </c>
      <c r="AU557" s="466" t="str">
        <f t="shared" si="300"/>
        <v/>
      </c>
      <c r="AV557" s="467" t="str">
        <f t="shared" si="301"/>
        <v/>
      </c>
      <c r="AW557" s="467" t="str">
        <f t="shared" si="302"/>
        <v/>
      </c>
      <c r="AX557" s="467" t="str">
        <f t="shared" si="303"/>
        <v/>
      </c>
      <c r="AY557" s="467" t="str">
        <f t="shared" si="304"/>
        <v/>
      </c>
      <c r="AZ557" s="467" t="str">
        <f t="shared" si="305"/>
        <v/>
      </c>
      <c r="BA557" s="468" t="str">
        <f>IF(AS557="","",IF(OR(AU557="",AU557="-"),"－",IF(OR(AZ557=8,AZ557=9),"",IF(OR(AW557=3,AW557=4,AW557=5,AW557=6),VLOOKUP(AU557,INDEX((係数_バス貨物_ガソリン,係数_バス貨物_CNG,係数_バス貨物_軽油,係数_バス貨物_メタノール,係数_バス貨物_LPG),MATCH(AY557,【参考】排出係数!$AI$4:$AI$671,1),1,BE557):INDEX((係数_バス貨物_ガソリン,係数_バス貨物_CNG,係数_バス貨物_軽油,係数_バス貨物_メタノール,係数_バス貨物_LPG),MATCH(AY557+1,【参考】排出係数!$AI$4:$AI$671,1)-1,5,BE557),2,FALSE),IF(OR(AW557=1,AW557=2),VLOOKUP(AU557,INDEX((係数_乗用_ガソリン,係数_乗用_CNG,係数_乗用_軽油,係数_乗用_メタノール,係数_乗用_LPG),1,1,BE557):INDEX((係数_乗用_ガソリン,係数_乗用_CNG,係数_乗用_軽油,係数_乗用_メタノール,係数_乗用_LPG),125,5,BE557),2,FALSE))))))</f>
        <v/>
      </c>
      <c r="BB557" s="468" t="str">
        <f>IF(T557="","",IF(OR(AU557="",AU557="-"),"－",IF(OR(AZ557=8,AZ557=9),"",IF(OR(AW557=3,AW557=4,AW557=5,AW557=6),VLOOKUP(AU557,INDEX((係数_バス貨物_ガソリン,係数_バス貨物_CNG,係数_バス貨物_軽油,係数_バス貨物_メタノール,係数_バス貨物_LPG),MATCH(AY557,【参考】排出係数!$AI$4:$AI$671,1),1,BE557):INDEX((係数_バス貨物_ガソリン,係数_バス貨物_CNG,係数_バス貨物_軽油,係数_バス貨物_メタノール,係数_バス貨物_LPG),MATCH(AY557+1,【参考】排出係数!$AI$4:$AI$671,1)-1,5,BE557),3,FALSE),IF(OR(AW557=1,AW557=2),VLOOKUP(AU557,INDEX((係数_乗用_ガソリン,係数_乗用_CNG,係数_乗用_軽油,係数_乗用_メタノール,係数_乗用_LPG),1,1,BE557):INDEX((係数_乗用_ガソリン,係数_乗用_CNG,係数_乗用_軽油,係数_乗用_メタノール,係数_乗用_LPG),125,5,BE557),3,FALSE))))))</f>
        <v/>
      </c>
      <c r="BC557" s="467" t="str">
        <f t="shared" si="306"/>
        <v/>
      </c>
      <c r="BD557" s="567" t="str">
        <f t="shared" si="307"/>
        <v/>
      </c>
      <c r="BE557" s="467" t="str">
        <f t="shared" si="308"/>
        <v/>
      </c>
      <c r="BF557" s="469" t="str">
        <f t="shared" ca="1" si="309"/>
        <v/>
      </c>
      <c r="BG557" s="469" t="str">
        <f t="shared" ca="1" si="310"/>
        <v/>
      </c>
      <c r="BH557" s="467" t="str">
        <f t="shared" si="311"/>
        <v/>
      </c>
      <c r="BI557" s="467" t="str">
        <f t="shared" ca="1" si="312"/>
        <v/>
      </c>
      <c r="BJ557" s="469" t="str">
        <f t="shared" si="313"/>
        <v/>
      </c>
      <c r="BK557" s="470" t="str">
        <f t="shared" si="293"/>
        <v/>
      </c>
      <c r="BL557" s="775" t="str">
        <f t="shared" si="314"/>
        <v/>
      </c>
      <c r="BM557" s="775" t="str">
        <f t="shared" si="315"/>
        <v/>
      </c>
    </row>
    <row r="558" spans="1:65">
      <c r="A558" s="473">
        <v>502</v>
      </c>
      <c r="B558" s="132"/>
      <c r="C558" s="332"/>
      <c r="D558" s="333"/>
      <c r="E558" s="333"/>
      <c r="F558" s="334"/>
      <c r="G558" s="337"/>
      <c r="H558" s="131"/>
      <c r="I558" s="337"/>
      <c r="J558" s="131"/>
      <c r="K558" s="458" t="str">
        <f t="shared" si="320"/>
        <v/>
      </c>
      <c r="L558" s="458">
        <f t="shared" si="321"/>
        <v>0</v>
      </c>
      <c r="M558" s="458">
        <f t="shared" si="322"/>
        <v>0</v>
      </c>
      <c r="N558" s="459" t="str">
        <f t="shared" si="283"/>
        <v/>
      </c>
      <c r="O558" s="459" t="str">
        <f t="shared" si="284"/>
        <v/>
      </c>
      <c r="P558" s="459" t="str">
        <f t="shared" si="285"/>
        <v/>
      </c>
      <c r="Q558" s="459" t="str">
        <f t="shared" si="286"/>
        <v/>
      </c>
      <c r="R558" s="459" t="str">
        <f t="shared" si="287"/>
        <v/>
      </c>
      <c r="S558" s="459" t="str">
        <f t="shared" si="288"/>
        <v/>
      </c>
      <c r="T558" s="566" t="str">
        <f t="shared" si="323"/>
        <v/>
      </c>
      <c r="U558" s="702"/>
      <c r="V558" s="132"/>
      <c r="W558" s="133"/>
      <c r="X558" s="134"/>
      <c r="Y558" s="135"/>
      <c r="Z558" s="137"/>
      <c r="AA558" s="136"/>
      <c r="AB558" s="566" t="str">
        <f t="shared" si="324"/>
        <v/>
      </c>
      <c r="AC558" s="568" t="str">
        <f t="shared" si="325"/>
        <v/>
      </c>
      <c r="AD558" s="137"/>
      <c r="AE558" s="137"/>
      <c r="AF558" s="138"/>
      <c r="AG558" s="138"/>
      <c r="AH558" s="592" t="str">
        <f t="shared" si="326"/>
        <v/>
      </c>
      <c r="AI558" s="592" t="str">
        <f t="shared" si="327"/>
        <v/>
      </c>
      <c r="AJ558" s="592" t="str">
        <f t="shared" si="328"/>
        <v/>
      </c>
      <c r="AK558" s="460" t="str">
        <f>IF(AU558="","",IF(OR(AZ558=8,AZ558=9),0,IF(OR(AW558=3,AW558=4,AW558=5,AW558=6),IF(LEFT(BF558,1)="1",INDEX(係数_NOX・PM低減,MATCH(AY558,【参考】排出係数!$AI$801:$AI$804,1),1),VLOOKUP(AU558,INDEX((係数_バス貨物_ガソリン,係数_バス貨物_CNG,係数_バス貨物_軽油,係数_バス貨物_メタノール,係数_バス貨物_LPG),MATCH(AY558,【参考】排出係数!$AI$4:$AI$671,1),1,BE558):INDEX((係数_バス貨物_ガソリン,係数_バス貨物_CNG,係数_バス貨物_軽油,係数_バス貨物_メタノール,係数_バス貨物_LPG),MATCH(AY558+1,【参考】排出係数!$AI$4:$AI$671,1)-1,5,BE558),4,FALSE)),IF(AND(BE558=3,LEFT(BF558,1)="1"),0.48,VLOOKUP(AU558,INDEX((係数_乗用_ガソリン,係数_乗用_CNG,係数_乗用_軽油,係数_乗用_メタノール,係数_乗用_LPG),1,1,BE558):INDEX((係数_乗用_ガソリン,係数_乗用_CNG,係数_乗用_軽油,係数_乗用_メタノール,係数_乗用_LPG),125,5,BE558),4,FALSE)))))</f>
        <v/>
      </c>
      <c r="AL558" s="461" t="str">
        <f t="shared" si="329"/>
        <v/>
      </c>
      <c r="AM558" s="460" t="str">
        <f>IF(AU558="","",IF(OR(AZ558=8,AZ558=9),0,IF(OR(AW558=3,AW558=4,AW558=5,AW558=6),IF(LEFT(BH558,1)="1",INDEX(係数_PM低減,MATCH(AY558,【参考】排出係数!$AI$801:$AI$804,1),MATCH(BI558,【参考】排出係数!$AL$798:$AO$798,1)),VLOOKUP(AU558,INDEX((係数_バス貨物_ガソリン,係数_バス貨物_CNG,係数_バス貨物_軽油,係数_バス貨物_メタノール,係数_バス貨物_LPG),MATCH(AY558,【参考】排出係数!$AI$4:$AI$671,1),1,BE558):INDEX((係数_バス貨物_ガソリン,係数_バス貨物_CNG,係数_バス貨物_軽油,係数_バス貨物_メタノール,係数_バス貨物_LPG),MATCH(AY558+1,【参考】排出係数!$AI$4:$AI$671,1)-1,5,BE558),5,FALSE)),IF(AND(BE558=3,LEFT(BF558,1)="1"),0.055,VLOOKUP(AU558,INDEX((係数_乗用_ガソリン,係数_乗用_CNG,係数_乗用_軽油,係数_乗用_メタノール,係数_乗用_LPG),1,1,BE558):INDEX((係数_乗用_ガソリン,係数_乗用_CNG,係数_乗用_軽油,係数_乗用_メタノール,係数_乗用_LPG),125,5,BE558),5,FALSE)))))</f>
        <v/>
      </c>
      <c r="AN558" s="461" t="str">
        <f t="shared" si="330"/>
        <v/>
      </c>
      <c r="AO558" s="462" t="str">
        <f t="shared" si="331"/>
        <v/>
      </c>
      <c r="AP558" s="463" t="str">
        <f t="shared" si="332"/>
        <v/>
      </c>
      <c r="AQ558" s="464"/>
      <c r="AR558" s="619"/>
      <c r="AS558" s="465" t="str">
        <f t="shared" si="298"/>
        <v/>
      </c>
      <c r="AT558" s="465" t="str">
        <f t="shared" si="299"/>
        <v/>
      </c>
      <c r="AU558" s="466" t="str">
        <f t="shared" si="300"/>
        <v/>
      </c>
      <c r="AV558" s="467" t="str">
        <f t="shared" si="301"/>
        <v/>
      </c>
      <c r="AW558" s="467" t="str">
        <f t="shared" si="302"/>
        <v/>
      </c>
      <c r="AX558" s="467" t="str">
        <f t="shared" si="303"/>
        <v/>
      </c>
      <c r="AY558" s="467" t="str">
        <f t="shared" si="304"/>
        <v/>
      </c>
      <c r="AZ558" s="467" t="str">
        <f t="shared" si="305"/>
        <v/>
      </c>
      <c r="BA558" s="468" t="str">
        <f>IF(AS558="","",IF(OR(AU558="",AU558="-"),"－",IF(OR(AZ558=8,AZ558=9),"",IF(OR(AW558=3,AW558=4,AW558=5,AW558=6),VLOOKUP(AU558,INDEX((係数_バス貨物_ガソリン,係数_バス貨物_CNG,係数_バス貨物_軽油,係数_バス貨物_メタノール,係数_バス貨物_LPG),MATCH(AY558,【参考】排出係数!$AI$4:$AI$671,1),1,BE558):INDEX((係数_バス貨物_ガソリン,係数_バス貨物_CNG,係数_バス貨物_軽油,係数_バス貨物_メタノール,係数_バス貨物_LPG),MATCH(AY558+1,【参考】排出係数!$AI$4:$AI$671,1)-1,5,BE558),2,FALSE),IF(OR(AW558=1,AW558=2),VLOOKUP(AU558,INDEX((係数_乗用_ガソリン,係数_乗用_CNG,係数_乗用_軽油,係数_乗用_メタノール,係数_乗用_LPG),1,1,BE558):INDEX((係数_乗用_ガソリン,係数_乗用_CNG,係数_乗用_軽油,係数_乗用_メタノール,係数_乗用_LPG),125,5,BE558),2,FALSE))))))</f>
        <v/>
      </c>
      <c r="BB558" s="468" t="str">
        <f>IF(T558="","",IF(OR(AU558="",AU558="-"),"－",IF(OR(AZ558=8,AZ558=9),"",IF(OR(AW558=3,AW558=4,AW558=5,AW558=6),VLOOKUP(AU558,INDEX((係数_バス貨物_ガソリン,係数_バス貨物_CNG,係数_バス貨物_軽油,係数_バス貨物_メタノール,係数_バス貨物_LPG),MATCH(AY558,【参考】排出係数!$AI$4:$AI$671,1),1,BE558):INDEX((係数_バス貨物_ガソリン,係数_バス貨物_CNG,係数_バス貨物_軽油,係数_バス貨物_メタノール,係数_バス貨物_LPG),MATCH(AY558+1,【参考】排出係数!$AI$4:$AI$671,1)-1,5,BE558),3,FALSE),IF(OR(AW558=1,AW558=2),VLOOKUP(AU558,INDEX((係数_乗用_ガソリン,係数_乗用_CNG,係数_乗用_軽油,係数_乗用_メタノール,係数_乗用_LPG),1,1,BE558):INDEX((係数_乗用_ガソリン,係数_乗用_CNG,係数_乗用_軽油,係数_乗用_メタノール,係数_乗用_LPG),125,5,BE558),3,FALSE))))))</f>
        <v/>
      </c>
      <c r="BC558" s="467" t="str">
        <f t="shared" si="306"/>
        <v/>
      </c>
      <c r="BD558" s="567" t="str">
        <f t="shared" si="307"/>
        <v/>
      </c>
      <c r="BE558" s="467" t="str">
        <f t="shared" si="308"/>
        <v/>
      </c>
      <c r="BF558" s="469" t="str">
        <f t="shared" ca="1" si="309"/>
        <v/>
      </c>
      <c r="BG558" s="469" t="str">
        <f t="shared" ca="1" si="310"/>
        <v/>
      </c>
      <c r="BH558" s="467" t="str">
        <f t="shared" si="311"/>
        <v/>
      </c>
      <c r="BI558" s="467" t="str">
        <f t="shared" ca="1" si="312"/>
        <v/>
      </c>
      <c r="BJ558" s="469" t="str">
        <f t="shared" si="313"/>
        <v/>
      </c>
      <c r="BK558" s="470" t="str">
        <f t="shared" si="293"/>
        <v/>
      </c>
      <c r="BL558" s="775" t="str">
        <f t="shared" si="314"/>
        <v/>
      </c>
      <c r="BM558" s="775" t="str">
        <f t="shared" si="315"/>
        <v/>
      </c>
    </row>
    <row r="559" spans="1:65">
      <c r="A559" s="473">
        <v>503</v>
      </c>
      <c r="B559" s="132"/>
      <c r="C559" s="332"/>
      <c r="D559" s="333"/>
      <c r="E559" s="333"/>
      <c r="F559" s="334"/>
      <c r="G559" s="337"/>
      <c r="H559" s="131"/>
      <c r="I559" s="337"/>
      <c r="J559" s="131"/>
      <c r="K559" s="458" t="str">
        <f t="shared" si="320"/>
        <v/>
      </c>
      <c r="L559" s="458">
        <f t="shared" si="321"/>
        <v>0</v>
      </c>
      <c r="M559" s="458">
        <f t="shared" si="322"/>
        <v>0</v>
      </c>
      <c r="N559" s="459" t="str">
        <f t="shared" si="283"/>
        <v/>
      </c>
      <c r="O559" s="459" t="str">
        <f t="shared" si="284"/>
        <v/>
      </c>
      <c r="P559" s="459" t="str">
        <f t="shared" si="285"/>
        <v/>
      </c>
      <c r="Q559" s="459" t="str">
        <f t="shared" si="286"/>
        <v/>
      </c>
      <c r="R559" s="459" t="str">
        <f t="shared" si="287"/>
        <v/>
      </c>
      <c r="S559" s="459" t="str">
        <f t="shared" si="288"/>
        <v/>
      </c>
      <c r="T559" s="566" t="str">
        <f t="shared" si="323"/>
        <v/>
      </c>
      <c r="U559" s="702"/>
      <c r="V559" s="132"/>
      <c r="W559" s="133"/>
      <c r="X559" s="134"/>
      <c r="Y559" s="135"/>
      <c r="Z559" s="137"/>
      <c r="AA559" s="136"/>
      <c r="AB559" s="566" t="str">
        <f t="shared" si="324"/>
        <v/>
      </c>
      <c r="AC559" s="568" t="str">
        <f t="shared" si="325"/>
        <v/>
      </c>
      <c r="AD559" s="137"/>
      <c r="AE559" s="137"/>
      <c r="AF559" s="138"/>
      <c r="AG559" s="138"/>
      <c r="AH559" s="592" t="str">
        <f t="shared" si="326"/>
        <v/>
      </c>
      <c r="AI559" s="592" t="str">
        <f t="shared" si="327"/>
        <v/>
      </c>
      <c r="AJ559" s="592" t="str">
        <f t="shared" si="328"/>
        <v/>
      </c>
      <c r="AK559" s="460" t="str">
        <f>IF(AU559="","",IF(OR(AZ559=8,AZ559=9),0,IF(OR(AW559=3,AW559=4,AW559=5,AW559=6),IF(LEFT(BF559,1)="1",INDEX(係数_NOX・PM低減,MATCH(AY559,【参考】排出係数!$AI$801:$AI$804,1),1),VLOOKUP(AU559,INDEX((係数_バス貨物_ガソリン,係数_バス貨物_CNG,係数_バス貨物_軽油,係数_バス貨物_メタノール,係数_バス貨物_LPG),MATCH(AY559,【参考】排出係数!$AI$4:$AI$671,1),1,BE559):INDEX((係数_バス貨物_ガソリン,係数_バス貨物_CNG,係数_バス貨物_軽油,係数_バス貨物_メタノール,係数_バス貨物_LPG),MATCH(AY559+1,【参考】排出係数!$AI$4:$AI$671,1)-1,5,BE559),4,FALSE)),IF(AND(BE559=3,LEFT(BF559,1)="1"),0.48,VLOOKUP(AU559,INDEX((係数_乗用_ガソリン,係数_乗用_CNG,係数_乗用_軽油,係数_乗用_メタノール,係数_乗用_LPG),1,1,BE559):INDEX((係数_乗用_ガソリン,係数_乗用_CNG,係数_乗用_軽油,係数_乗用_メタノール,係数_乗用_LPG),125,5,BE559),4,FALSE)))))</f>
        <v/>
      </c>
      <c r="AL559" s="461" t="str">
        <f t="shared" si="329"/>
        <v/>
      </c>
      <c r="AM559" s="460" t="str">
        <f>IF(AU559="","",IF(OR(AZ559=8,AZ559=9),0,IF(OR(AW559=3,AW559=4,AW559=5,AW559=6),IF(LEFT(BH559,1)="1",INDEX(係数_PM低減,MATCH(AY559,【参考】排出係数!$AI$801:$AI$804,1),MATCH(BI559,【参考】排出係数!$AL$798:$AO$798,1)),VLOOKUP(AU559,INDEX((係数_バス貨物_ガソリン,係数_バス貨物_CNG,係数_バス貨物_軽油,係数_バス貨物_メタノール,係数_バス貨物_LPG),MATCH(AY559,【参考】排出係数!$AI$4:$AI$671,1),1,BE559):INDEX((係数_バス貨物_ガソリン,係数_バス貨物_CNG,係数_バス貨物_軽油,係数_バス貨物_メタノール,係数_バス貨物_LPG),MATCH(AY559+1,【参考】排出係数!$AI$4:$AI$671,1)-1,5,BE559),5,FALSE)),IF(AND(BE559=3,LEFT(BF559,1)="1"),0.055,VLOOKUP(AU559,INDEX((係数_乗用_ガソリン,係数_乗用_CNG,係数_乗用_軽油,係数_乗用_メタノール,係数_乗用_LPG),1,1,BE559):INDEX((係数_乗用_ガソリン,係数_乗用_CNG,係数_乗用_軽油,係数_乗用_メタノール,係数_乗用_LPG),125,5,BE559),5,FALSE)))))</f>
        <v/>
      </c>
      <c r="AN559" s="461" t="str">
        <f t="shared" si="330"/>
        <v/>
      </c>
      <c r="AO559" s="462" t="str">
        <f t="shared" si="331"/>
        <v/>
      </c>
      <c r="AP559" s="463" t="str">
        <f t="shared" si="332"/>
        <v/>
      </c>
      <c r="AQ559" s="464"/>
      <c r="AR559" s="619"/>
      <c r="AS559" s="465" t="str">
        <f t="shared" si="298"/>
        <v/>
      </c>
      <c r="AT559" s="465" t="str">
        <f t="shared" si="299"/>
        <v/>
      </c>
      <c r="AU559" s="466" t="str">
        <f t="shared" si="300"/>
        <v/>
      </c>
      <c r="AV559" s="467" t="str">
        <f t="shared" si="301"/>
        <v/>
      </c>
      <c r="AW559" s="467" t="str">
        <f t="shared" si="302"/>
        <v/>
      </c>
      <c r="AX559" s="467" t="str">
        <f t="shared" si="303"/>
        <v/>
      </c>
      <c r="AY559" s="467" t="str">
        <f t="shared" si="304"/>
        <v/>
      </c>
      <c r="AZ559" s="467" t="str">
        <f t="shared" si="305"/>
        <v/>
      </c>
      <c r="BA559" s="468" t="str">
        <f>IF(AS559="","",IF(OR(AU559="",AU559="-"),"－",IF(OR(AZ559=8,AZ559=9),"",IF(OR(AW559=3,AW559=4,AW559=5,AW559=6),VLOOKUP(AU559,INDEX((係数_バス貨物_ガソリン,係数_バス貨物_CNG,係数_バス貨物_軽油,係数_バス貨物_メタノール,係数_バス貨物_LPG),MATCH(AY559,【参考】排出係数!$AI$4:$AI$671,1),1,BE559):INDEX((係数_バス貨物_ガソリン,係数_バス貨物_CNG,係数_バス貨物_軽油,係数_バス貨物_メタノール,係数_バス貨物_LPG),MATCH(AY559+1,【参考】排出係数!$AI$4:$AI$671,1)-1,5,BE559),2,FALSE),IF(OR(AW559=1,AW559=2),VLOOKUP(AU559,INDEX((係数_乗用_ガソリン,係数_乗用_CNG,係数_乗用_軽油,係数_乗用_メタノール,係数_乗用_LPG),1,1,BE559):INDEX((係数_乗用_ガソリン,係数_乗用_CNG,係数_乗用_軽油,係数_乗用_メタノール,係数_乗用_LPG),125,5,BE559),2,FALSE))))))</f>
        <v/>
      </c>
      <c r="BB559" s="468" t="str">
        <f>IF(T559="","",IF(OR(AU559="",AU559="-"),"－",IF(OR(AZ559=8,AZ559=9),"",IF(OR(AW559=3,AW559=4,AW559=5,AW559=6),VLOOKUP(AU559,INDEX((係数_バス貨物_ガソリン,係数_バス貨物_CNG,係数_バス貨物_軽油,係数_バス貨物_メタノール,係数_バス貨物_LPG),MATCH(AY559,【参考】排出係数!$AI$4:$AI$671,1),1,BE559):INDEX((係数_バス貨物_ガソリン,係数_バス貨物_CNG,係数_バス貨物_軽油,係数_バス貨物_メタノール,係数_バス貨物_LPG),MATCH(AY559+1,【参考】排出係数!$AI$4:$AI$671,1)-1,5,BE559),3,FALSE),IF(OR(AW559=1,AW559=2),VLOOKUP(AU559,INDEX((係数_乗用_ガソリン,係数_乗用_CNG,係数_乗用_軽油,係数_乗用_メタノール,係数_乗用_LPG),1,1,BE559):INDEX((係数_乗用_ガソリン,係数_乗用_CNG,係数_乗用_軽油,係数_乗用_メタノール,係数_乗用_LPG),125,5,BE559),3,FALSE))))))</f>
        <v/>
      </c>
      <c r="BC559" s="467" t="str">
        <f t="shared" si="306"/>
        <v/>
      </c>
      <c r="BD559" s="567" t="str">
        <f t="shared" si="307"/>
        <v/>
      </c>
      <c r="BE559" s="467" t="str">
        <f t="shared" si="308"/>
        <v/>
      </c>
      <c r="BF559" s="469" t="str">
        <f t="shared" ca="1" si="309"/>
        <v/>
      </c>
      <c r="BG559" s="469" t="str">
        <f t="shared" ca="1" si="310"/>
        <v/>
      </c>
      <c r="BH559" s="467" t="str">
        <f t="shared" si="311"/>
        <v/>
      </c>
      <c r="BI559" s="467" t="str">
        <f t="shared" ca="1" si="312"/>
        <v/>
      </c>
      <c r="BJ559" s="469" t="str">
        <f t="shared" si="313"/>
        <v/>
      </c>
      <c r="BK559" s="470" t="str">
        <f t="shared" si="293"/>
        <v/>
      </c>
      <c r="BL559" s="775" t="str">
        <f t="shared" si="314"/>
        <v/>
      </c>
      <c r="BM559" s="775" t="str">
        <f t="shared" si="315"/>
        <v/>
      </c>
    </row>
    <row r="560" spans="1:65">
      <c r="A560" s="473">
        <v>504</v>
      </c>
      <c r="B560" s="132"/>
      <c r="C560" s="332"/>
      <c r="D560" s="333"/>
      <c r="E560" s="333"/>
      <c r="F560" s="334"/>
      <c r="G560" s="337"/>
      <c r="H560" s="131"/>
      <c r="I560" s="337"/>
      <c r="J560" s="131"/>
      <c r="K560" s="458" t="str">
        <f t="shared" si="320"/>
        <v/>
      </c>
      <c r="L560" s="458">
        <f t="shared" si="321"/>
        <v>0</v>
      </c>
      <c r="M560" s="458">
        <f t="shared" si="322"/>
        <v>0</v>
      </c>
      <c r="N560" s="459" t="str">
        <f t="shared" si="283"/>
        <v/>
      </c>
      <c r="O560" s="459" t="str">
        <f t="shared" si="284"/>
        <v/>
      </c>
      <c r="P560" s="459" t="str">
        <f t="shared" si="285"/>
        <v/>
      </c>
      <c r="Q560" s="459" t="str">
        <f t="shared" si="286"/>
        <v/>
      </c>
      <c r="R560" s="459" t="str">
        <f t="shared" si="287"/>
        <v/>
      </c>
      <c r="S560" s="459" t="str">
        <f t="shared" si="288"/>
        <v/>
      </c>
      <c r="T560" s="566" t="str">
        <f t="shared" si="323"/>
        <v/>
      </c>
      <c r="U560" s="702"/>
      <c r="V560" s="132"/>
      <c r="W560" s="133"/>
      <c r="X560" s="134"/>
      <c r="Y560" s="135"/>
      <c r="Z560" s="137"/>
      <c r="AA560" s="136"/>
      <c r="AB560" s="566" t="str">
        <f t="shared" si="324"/>
        <v/>
      </c>
      <c r="AC560" s="568" t="str">
        <f t="shared" si="325"/>
        <v/>
      </c>
      <c r="AD560" s="137"/>
      <c r="AE560" s="137"/>
      <c r="AF560" s="138"/>
      <c r="AG560" s="138"/>
      <c r="AH560" s="592" t="str">
        <f t="shared" si="326"/>
        <v/>
      </c>
      <c r="AI560" s="592" t="str">
        <f t="shared" si="327"/>
        <v/>
      </c>
      <c r="AJ560" s="592" t="str">
        <f t="shared" si="328"/>
        <v/>
      </c>
      <c r="AK560" s="460" t="str">
        <f>IF(AU560="","",IF(OR(AZ560=8,AZ560=9),0,IF(OR(AW560=3,AW560=4,AW560=5,AW560=6),IF(LEFT(BF560,1)="1",INDEX(係数_NOX・PM低減,MATCH(AY560,【参考】排出係数!$AI$801:$AI$804,1),1),VLOOKUP(AU560,INDEX((係数_バス貨物_ガソリン,係数_バス貨物_CNG,係数_バス貨物_軽油,係数_バス貨物_メタノール,係数_バス貨物_LPG),MATCH(AY560,【参考】排出係数!$AI$4:$AI$671,1),1,BE560):INDEX((係数_バス貨物_ガソリン,係数_バス貨物_CNG,係数_バス貨物_軽油,係数_バス貨物_メタノール,係数_バス貨物_LPG),MATCH(AY560+1,【参考】排出係数!$AI$4:$AI$671,1)-1,5,BE560),4,FALSE)),IF(AND(BE560=3,LEFT(BF560,1)="1"),0.48,VLOOKUP(AU560,INDEX((係数_乗用_ガソリン,係数_乗用_CNG,係数_乗用_軽油,係数_乗用_メタノール,係数_乗用_LPG),1,1,BE560):INDEX((係数_乗用_ガソリン,係数_乗用_CNG,係数_乗用_軽油,係数_乗用_メタノール,係数_乗用_LPG),125,5,BE560),4,FALSE)))))</f>
        <v/>
      </c>
      <c r="AL560" s="461" t="str">
        <f t="shared" si="329"/>
        <v/>
      </c>
      <c r="AM560" s="460" t="str">
        <f>IF(AU560="","",IF(OR(AZ560=8,AZ560=9),0,IF(OR(AW560=3,AW560=4,AW560=5,AW560=6),IF(LEFT(BH560,1)="1",INDEX(係数_PM低減,MATCH(AY560,【参考】排出係数!$AI$801:$AI$804,1),MATCH(BI560,【参考】排出係数!$AL$798:$AO$798,1)),VLOOKUP(AU560,INDEX((係数_バス貨物_ガソリン,係数_バス貨物_CNG,係数_バス貨物_軽油,係数_バス貨物_メタノール,係数_バス貨物_LPG),MATCH(AY560,【参考】排出係数!$AI$4:$AI$671,1),1,BE560):INDEX((係数_バス貨物_ガソリン,係数_バス貨物_CNG,係数_バス貨物_軽油,係数_バス貨物_メタノール,係数_バス貨物_LPG),MATCH(AY560+1,【参考】排出係数!$AI$4:$AI$671,1)-1,5,BE560),5,FALSE)),IF(AND(BE560=3,LEFT(BF560,1)="1"),0.055,VLOOKUP(AU560,INDEX((係数_乗用_ガソリン,係数_乗用_CNG,係数_乗用_軽油,係数_乗用_メタノール,係数_乗用_LPG),1,1,BE560):INDEX((係数_乗用_ガソリン,係数_乗用_CNG,係数_乗用_軽油,係数_乗用_メタノール,係数_乗用_LPG),125,5,BE560),5,FALSE)))))</f>
        <v/>
      </c>
      <c r="AN560" s="461" t="str">
        <f t="shared" si="330"/>
        <v/>
      </c>
      <c r="AO560" s="462" t="str">
        <f t="shared" si="331"/>
        <v/>
      </c>
      <c r="AP560" s="463" t="str">
        <f t="shared" si="332"/>
        <v/>
      </c>
      <c r="AQ560" s="464"/>
      <c r="AR560" s="619"/>
      <c r="AS560" s="465" t="str">
        <f t="shared" si="298"/>
        <v/>
      </c>
      <c r="AT560" s="465" t="str">
        <f t="shared" si="299"/>
        <v/>
      </c>
      <c r="AU560" s="466" t="str">
        <f t="shared" si="300"/>
        <v/>
      </c>
      <c r="AV560" s="467" t="str">
        <f t="shared" si="301"/>
        <v/>
      </c>
      <c r="AW560" s="467" t="str">
        <f t="shared" si="302"/>
        <v/>
      </c>
      <c r="AX560" s="467" t="str">
        <f t="shared" si="303"/>
        <v/>
      </c>
      <c r="AY560" s="467" t="str">
        <f t="shared" si="304"/>
        <v/>
      </c>
      <c r="AZ560" s="467" t="str">
        <f t="shared" si="305"/>
        <v/>
      </c>
      <c r="BA560" s="468" t="str">
        <f>IF(AS560="","",IF(OR(AU560="",AU560="-"),"－",IF(OR(AZ560=8,AZ560=9),"",IF(OR(AW560=3,AW560=4,AW560=5,AW560=6),VLOOKUP(AU560,INDEX((係数_バス貨物_ガソリン,係数_バス貨物_CNG,係数_バス貨物_軽油,係数_バス貨物_メタノール,係数_バス貨物_LPG),MATCH(AY560,【参考】排出係数!$AI$4:$AI$671,1),1,BE560):INDEX((係数_バス貨物_ガソリン,係数_バス貨物_CNG,係数_バス貨物_軽油,係数_バス貨物_メタノール,係数_バス貨物_LPG),MATCH(AY560+1,【参考】排出係数!$AI$4:$AI$671,1)-1,5,BE560),2,FALSE),IF(OR(AW560=1,AW560=2),VLOOKUP(AU560,INDEX((係数_乗用_ガソリン,係数_乗用_CNG,係数_乗用_軽油,係数_乗用_メタノール,係数_乗用_LPG),1,1,BE560):INDEX((係数_乗用_ガソリン,係数_乗用_CNG,係数_乗用_軽油,係数_乗用_メタノール,係数_乗用_LPG),125,5,BE560),2,FALSE))))))</f>
        <v/>
      </c>
      <c r="BB560" s="468" t="str">
        <f>IF(T560="","",IF(OR(AU560="",AU560="-"),"－",IF(OR(AZ560=8,AZ560=9),"",IF(OR(AW560=3,AW560=4,AW560=5,AW560=6),VLOOKUP(AU560,INDEX((係数_バス貨物_ガソリン,係数_バス貨物_CNG,係数_バス貨物_軽油,係数_バス貨物_メタノール,係数_バス貨物_LPG),MATCH(AY560,【参考】排出係数!$AI$4:$AI$671,1),1,BE560):INDEX((係数_バス貨物_ガソリン,係数_バス貨物_CNG,係数_バス貨物_軽油,係数_バス貨物_メタノール,係数_バス貨物_LPG),MATCH(AY560+1,【参考】排出係数!$AI$4:$AI$671,1)-1,5,BE560),3,FALSE),IF(OR(AW560=1,AW560=2),VLOOKUP(AU560,INDEX((係数_乗用_ガソリン,係数_乗用_CNG,係数_乗用_軽油,係数_乗用_メタノール,係数_乗用_LPG),1,1,BE560):INDEX((係数_乗用_ガソリン,係数_乗用_CNG,係数_乗用_軽油,係数_乗用_メタノール,係数_乗用_LPG),125,5,BE560),3,FALSE))))))</f>
        <v/>
      </c>
      <c r="BC560" s="467" t="str">
        <f t="shared" si="306"/>
        <v/>
      </c>
      <c r="BD560" s="567" t="str">
        <f t="shared" si="307"/>
        <v/>
      </c>
      <c r="BE560" s="467" t="str">
        <f t="shared" si="308"/>
        <v/>
      </c>
      <c r="BF560" s="469" t="str">
        <f t="shared" ca="1" si="309"/>
        <v/>
      </c>
      <c r="BG560" s="469" t="str">
        <f t="shared" ca="1" si="310"/>
        <v/>
      </c>
      <c r="BH560" s="467" t="str">
        <f t="shared" si="311"/>
        <v/>
      </c>
      <c r="BI560" s="467" t="str">
        <f t="shared" ca="1" si="312"/>
        <v/>
      </c>
      <c r="BJ560" s="469" t="str">
        <f t="shared" si="313"/>
        <v/>
      </c>
      <c r="BK560" s="470" t="str">
        <f t="shared" si="293"/>
        <v/>
      </c>
      <c r="BL560" s="775" t="str">
        <f t="shared" si="314"/>
        <v/>
      </c>
      <c r="BM560" s="775" t="str">
        <f t="shared" si="315"/>
        <v/>
      </c>
    </row>
    <row r="561" spans="1:65">
      <c r="A561" s="473">
        <v>505</v>
      </c>
      <c r="B561" s="132"/>
      <c r="C561" s="332"/>
      <c r="D561" s="333"/>
      <c r="E561" s="333"/>
      <c r="F561" s="334"/>
      <c r="G561" s="337"/>
      <c r="H561" s="131"/>
      <c r="I561" s="337"/>
      <c r="J561" s="131"/>
      <c r="K561" s="458" t="str">
        <f t="shared" si="320"/>
        <v/>
      </c>
      <c r="L561" s="458">
        <f t="shared" si="321"/>
        <v>0</v>
      </c>
      <c r="M561" s="458">
        <f t="shared" si="322"/>
        <v>0</v>
      </c>
      <c r="N561" s="459" t="str">
        <f t="shared" si="283"/>
        <v/>
      </c>
      <c r="O561" s="459" t="str">
        <f t="shared" si="284"/>
        <v/>
      </c>
      <c r="P561" s="459" t="str">
        <f t="shared" si="285"/>
        <v/>
      </c>
      <c r="Q561" s="459" t="str">
        <f t="shared" si="286"/>
        <v/>
      </c>
      <c r="R561" s="459" t="str">
        <f t="shared" si="287"/>
        <v/>
      </c>
      <c r="S561" s="459" t="str">
        <f t="shared" si="288"/>
        <v/>
      </c>
      <c r="T561" s="566" t="str">
        <f t="shared" si="323"/>
        <v/>
      </c>
      <c r="U561" s="702"/>
      <c r="V561" s="132"/>
      <c r="W561" s="133"/>
      <c r="X561" s="134"/>
      <c r="Y561" s="135"/>
      <c r="Z561" s="137"/>
      <c r="AA561" s="136"/>
      <c r="AB561" s="566" t="str">
        <f t="shared" si="324"/>
        <v/>
      </c>
      <c r="AC561" s="568" t="str">
        <f t="shared" si="325"/>
        <v/>
      </c>
      <c r="AD561" s="137"/>
      <c r="AE561" s="137"/>
      <c r="AF561" s="138"/>
      <c r="AG561" s="138"/>
      <c r="AH561" s="592" t="str">
        <f t="shared" si="326"/>
        <v/>
      </c>
      <c r="AI561" s="592" t="str">
        <f t="shared" si="327"/>
        <v/>
      </c>
      <c r="AJ561" s="592" t="str">
        <f t="shared" si="328"/>
        <v/>
      </c>
      <c r="AK561" s="460" t="str">
        <f>IF(AU561="","",IF(OR(AZ561=8,AZ561=9),0,IF(OR(AW561=3,AW561=4,AW561=5,AW561=6),IF(LEFT(BF561,1)="1",INDEX(係数_NOX・PM低減,MATCH(AY561,【参考】排出係数!$AI$801:$AI$804,1),1),VLOOKUP(AU561,INDEX((係数_バス貨物_ガソリン,係数_バス貨物_CNG,係数_バス貨物_軽油,係数_バス貨物_メタノール,係数_バス貨物_LPG),MATCH(AY561,【参考】排出係数!$AI$4:$AI$671,1),1,BE561):INDEX((係数_バス貨物_ガソリン,係数_バス貨物_CNG,係数_バス貨物_軽油,係数_バス貨物_メタノール,係数_バス貨物_LPG),MATCH(AY561+1,【参考】排出係数!$AI$4:$AI$671,1)-1,5,BE561),4,FALSE)),IF(AND(BE561=3,LEFT(BF561,1)="1"),0.48,VLOOKUP(AU561,INDEX((係数_乗用_ガソリン,係数_乗用_CNG,係数_乗用_軽油,係数_乗用_メタノール,係数_乗用_LPG),1,1,BE561):INDEX((係数_乗用_ガソリン,係数_乗用_CNG,係数_乗用_軽油,係数_乗用_メタノール,係数_乗用_LPG),125,5,BE561),4,FALSE)))))</f>
        <v/>
      </c>
      <c r="AL561" s="461" t="str">
        <f t="shared" si="329"/>
        <v/>
      </c>
      <c r="AM561" s="460" t="str">
        <f>IF(AU561="","",IF(OR(AZ561=8,AZ561=9),0,IF(OR(AW561=3,AW561=4,AW561=5,AW561=6),IF(LEFT(BH561,1)="1",INDEX(係数_PM低減,MATCH(AY561,【参考】排出係数!$AI$801:$AI$804,1),MATCH(BI561,【参考】排出係数!$AL$798:$AO$798,1)),VLOOKUP(AU561,INDEX((係数_バス貨物_ガソリン,係数_バス貨物_CNG,係数_バス貨物_軽油,係数_バス貨物_メタノール,係数_バス貨物_LPG),MATCH(AY561,【参考】排出係数!$AI$4:$AI$671,1),1,BE561):INDEX((係数_バス貨物_ガソリン,係数_バス貨物_CNG,係数_バス貨物_軽油,係数_バス貨物_メタノール,係数_バス貨物_LPG),MATCH(AY561+1,【参考】排出係数!$AI$4:$AI$671,1)-1,5,BE561),5,FALSE)),IF(AND(BE561=3,LEFT(BF561,1)="1"),0.055,VLOOKUP(AU561,INDEX((係数_乗用_ガソリン,係数_乗用_CNG,係数_乗用_軽油,係数_乗用_メタノール,係数_乗用_LPG),1,1,BE561):INDEX((係数_乗用_ガソリン,係数_乗用_CNG,係数_乗用_軽油,係数_乗用_メタノール,係数_乗用_LPG),125,5,BE561),5,FALSE)))))</f>
        <v/>
      </c>
      <c r="AN561" s="461" t="str">
        <f t="shared" si="330"/>
        <v/>
      </c>
      <c r="AO561" s="462" t="str">
        <f t="shared" si="331"/>
        <v/>
      </c>
      <c r="AP561" s="463" t="str">
        <f t="shared" si="332"/>
        <v/>
      </c>
      <c r="AQ561" s="464"/>
      <c r="AR561" s="619"/>
      <c r="AS561" s="465" t="str">
        <f t="shared" si="298"/>
        <v/>
      </c>
      <c r="AT561" s="465" t="str">
        <f t="shared" si="299"/>
        <v/>
      </c>
      <c r="AU561" s="466" t="str">
        <f t="shared" si="300"/>
        <v/>
      </c>
      <c r="AV561" s="467" t="str">
        <f t="shared" si="301"/>
        <v/>
      </c>
      <c r="AW561" s="467" t="str">
        <f t="shared" si="302"/>
        <v/>
      </c>
      <c r="AX561" s="467" t="str">
        <f t="shared" si="303"/>
        <v/>
      </c>
      <c r="AY561" s="467" t="str">
        <f t="shared" si="304"/>
        <v/>
      </c>
      <c r="AZ561" s="467" t="str">
        <f t="shared" si="305"/>
        <v/>
      </c>
      <c r="BA561" s="468" t="str">
        <f>IF(AS561="","",IF(OR(AU561="",AU561="-"),"－",IF(OR(AZ561=8,AZ561=9),"",IF(OR(AW561=3,AW561=4,AW561=5,AW561=6),VLOOKUP(AU561,INDEX((係数_バス貨物_ガソリン,係数_バス貨物_CNG,係数_バス貨物_軽油,係数_バス貨物_メタノール,係数_バス貨物_LPG),MATCH(AY561,【参考】排出係数!$AI$4:$AI$671,1),1,BE561):INDEX((係数_バス貨物_ガソリン,係数_バス貨物_CNG,係数_バス貨物_軽油,係数_バス貨物_メタノール,係数_バス貨物_LPG),MATCH(AY561+1,【参考】排出係数!$AI$4:$AI$671,1)-1,5,BE561),2,FALSE),IF(OR(AW561=1,AW561=2),VLOOKUP(AU561,INDEX((係数_乗用_ガソリン,係数_乗用_CNG,係数_乗用_軽油,係数_乗用_メタノール,係数_乗用_LPG),1,1,BE561):INDEX((係数_乗用_ガソリン,係数_乗用_CNG,係数_乗用_軽油,係数_乗用_メタノール,係数_乗用_LPG),125,5,BE561),2,FALSE))))))</f>
        <v/>
      </c>
      <c r="BB561" s="468" t="str">
        <f>IF(T561="","",IF(OR(AU561="",AU561="-"),"－",IF(OR(AZ561=8,AZ561=9),"",IF(OR(AW561=3,AW561=4,AW561=5,AW561=6),VLOOKUP(AU561,INDEX((係数_バス貨物_ガソリン,係数_バス貨物_CNG,係数_バス貨物_軽油,係数_バス貨物_メタノール,係数_バス貨物_LPG),MATCH(AY561,【参考】排出係数!$AI$4:$AI$671,1),1,BE561):INDEX((係数_バス貨物_ガソリン,係数_バス貨物_CNG,係数_バス貨物_軽油,係数_バス貨物_メタノール,係数_バス貨物_LPG),MATCH(AY561+1,【参考】排出係数!$AI$4:$AI$671,1)-1,5,BE561),3,FALSE),IF(OR(AW561=1,AW561=2),VLOOKUP(AU561,INDEX((係数_乗用_ガソリン,係数_乗用_CNG,係数_乗用_軽油,係数_乗用_メタノール,係数_乗用_LPG),1,1,BE561):INDEX((係数_乗用_ガソリン,係数_乗用_CNG,係数_乗用_軽油,係数_乗用_メタノール,係数_乗用_LPG),125,5,BE561),3,FALSE))))))</f>
        <v/>
      </c>
      <c r="BC561" s="467" t="str">
        <f t="shared" si="306"/>
        <v/>
      </c>
      <c r="BD561" s="567" t="str">
        <f t="shared" si="307"/>
        <v/>
      </c>
      <c r="BE561" s="467" t="str">
        <f t="shared" si="308"/>
        <v/>
      </c>
      <c r="BF561" s="469" t="str">
        <f t="shared" ca="1" si="309"/>
        <v/>
      </c>
      <c r="BG561" s="469" t="str">
        <f t="shared" ca="1" si="310"/>
        <v/>
      </c>
      <c r="BH561" s="467" t="str">
        <f t="shared" si="311"/>
        <v/>
      </c>
      <c r="BI561" s="467" t="str">
        <f t="shared" ca="1" si="312"/>
        <v/>
      </c>
      <c r="BJ561" s="469" t="str">
        <f t="shared" si="313"/>
        <v/>
      </c>
      <c r="BK561" s="470" t="str">
        <f t="shared" si="293"/>
        <v/>
      </c>
      <c r="BL561" s="775" t="str">
        <f t="shared" si="314"/>
        <v/>
      </c>
      <c r="BM561" s="775" t="str">
        <f t="shared" si="315"/>
        <v/>
      </c>
    </row>
    <row r="562" spans="1:65">
      <c r="A562" s="473">
        <v>506</v>
      </c>
      <c r="B562" s="132"/>
      <c r="C562" s="332"/>
      <c r="D562" s="333"/>
      <c r="E562" s="333"/>
      <c r="F562" s="334"/>
      <c r="G562" s="337"/>
      <c r="H562" s="131"/>
      <c r="I562" s="337"/>
      <c r="J562" s="131"/>
      <c r="K562" s="458" t="str">
        <f t="shared" si="320"/>
        <v/>
      </c>
      <c r="L562" s="458">
        <f t="shared" si="321"/>
        <v>0</v>
      </c>
      <c r="M562" s="458">
        <f t="shared" si="322"/>
        <v>0</v>
      </c>
      <c r="N562" s="459" t="str">
        <f t="shared" si="283"/>
        <v/>
      </c>
      <c r="O562" s="459" t="str">
        <f t="shared" si="284"/>
        <v/>
      </c>
      <c r="P562" s="459" t="str">
        <f t="shared" si="285"/>
        <v/>
      </c>
      <c r="Q562" s="459" t="str">
        <f t="shared" si="286"/>
        <v/>
      </c>
      <c r="R562" s="459" t="str">
        <f t="shared" si="287"/>
        <v/>
      </c>
      <c r="S562" s="459" t="str">
        <f t="shared" si="288"/>
        <v/>
      </c>
      <c r="T562" s="566" t="str">
        <f t="shared" si="323"/>
        <v/>
      </c>
      <c r="U562" s="702"/>
      <c r="V562" s="132"/>
      <c r="W562" s="133"/>
      <c r="X562" s="134"/>
      <c r="Y562" s="135"/>
      <c r="Z562" s="137"/>
      <c r="AA562" s="136"/>
      <c r="AB562" s="566" t="str">
        <f t="shared" si="324"/>
        <v/>
      </c>
      <c r="AC562" s="568" t="str">
        <f t="shared" si="325"/>
        <v/>
      </c>
      <c r="AD562" s="137"/>
      <c r="AE562" s="137"/>
      <c r="AF562" s="138"/>
      <c r="AG562" s="138"/>
      <c r="AH562" s="592" t="str">
        <f t="shared" si="326"/>
        <v/>
      </c>
      <c r="AI562" s="592" t="str">
        <f t="shared" si="327"/>
        <v/>
      </c>
      <c r="AJ562" s="592" t="str">
        <f t="shared" si="328"/>
        <v/>
      </c>
      <c r="AK562" s="460" t="str">
        <f>IF(AU562="","",IF(OR(AZ562=8,AZ562=9),0,IF(OR(AW562=3,AW562=4,AW562=5,AW562=6),IF(LEFT(BF562,1)="1",INDEX(係数_NOX・PM低減,MATCH(AY562,【参考】排出係数!$AI$801:$AI$804,1),1),VLOOKUP(AU562,INDEX((係数_バス貨物_ガソリン,係数_バス貨物_CNG,係数_バス貨物_軽油,係数_バス貨物_メタノール,係数_バス貨物_LPG),MATCH(AY562,【参考】排出係数!$AI$4:$AI$671,1),1,BE562):INDEX((係数_バス貨物_ガソリン,係数_バス貨物_CNG,係数_バス貨物_軽油,係数_バス貨物_メタノール,係数_バス貨物_LPG),MATCH(AY562+1,【参考】排出係数!$AI$4:$AI$671,1)-1,5,BE562),4,FALSE)),IF(AND(BE562=3,LEFT(BF562,1)="1"),0.48,VLOOKUP(AU562,INDEX((係数_乗用_ガソリン,係数_乗用_CNG,係数_乗用_軽油,係数_乗用_メタノール,係数_乗用_LPG),1,1,BE562):INDEX((係数_乗用_ガソリン,係数_乗用_CNG,係数_乗用_軽油,係数_乗用_メタノール,係数_乗用_LPG),125,5,BE562),4,FALSE)))))</f>
        <v/>
      </c>
      <c r="AL562" s="461" t="str">
        <f t="shared" si="329"/>
        <v/>
      </c>
      <c r="AM562" s="460" t="str">
        <f>IF(AU562="","",IF(OR(AZ562=8,AZ562=9),0,IF(OR(AW562=3,AW562=4,AW562=5,AW562=6),IF(LEFT(BH562,1)="1",INDEX(係数_PM低減,MATCH(AY562,【参考】排出係数!$AI$801:$AI$804,1),MATCH(BI562,【参考】排出係数!$AL$798:$AO$798,1)),VLOOKUP(AU562,INDEX((係数_バス貨物_ガソリン,係数_バス貨物_CNG,係数_バス貨物_軽油,係数_バス貨物_メタノール,係数_バス貨物_LPG),MATCH(AY562,【参考】排出係数!$AI$4:$AI$671,1),1,BE562):INDEX((係数_バス貨物_ガソリン,係数_バス貨物_CNG,係数_バス貨物_軽油,係数_バス貨物_メタノール,係数_バス貨物_LPG),MATCH(AY562+1,【参考】排出係数!$AI$4:$AI$671,1)-1,5,BE562),5,FALSE)),IF(AND(BE562=3,LEFT(BF562,1)="1"),0.055,VLOOKUP(AU562,INDEX((係数_乗用_ガソリン,係数_乗用_CNG,係数_乗用_軽油,係数_乗用_メタノール,係数_乗用_LPG),1,1,BE562):INDEX((係数_乗用_ガソリン,係数_乗用_CNG,係数_乗用_軽油,係数_乗用_メタノール,係数_乗用_LPG),125,5,BE562),5,FALSE)))))</f>
        <v/>
      </c>
      <c r="AN562" s="461" t="str">
        <f t="shared" si="330"/>
        <v/>
      </c>
      <c r="AO562" s="462" t="str">
        <f t="shared" si="331"/>
        <v/>
      </c>
      <c r="AP562" s="463" t="str">
        <f t="shared" si="332"/>
        <v/>
      </c>
      <c r="AQ562" s="464"/>
      <c r="AR562" s="619"/>
      <c r="AS562" s="465" t="str">
        <f t="shared" si="298"/>
        <v/>
      </c>
      <c r="AT562" s="465" t="str">
        <f t="shared" si="299"/>
        <v/>
      </c>
      <c r="AU562" s="466" t="str">
        <f t="shared" si="300"/>
        <v/>
      </c>
      <c r="AV562" s="467" t="str">
        <f t="shared" si="301"/>
        <v/>
      </c>
      <c r="AW562" s="467" t="str">
        <f t="shared" si="302"/>
        <v/>
      </c>
      <c r="AX562" s="467" t="str">
        <f t="shared" si="303"/>
        <v/>
      </c>
      <c r="AY562" s="467" t="str">
        <f t="shared" si="304"/>
        <v/>
      </c>
      <c r="AZ562" s="467" t="str">
        <f t="shared" si="305"/>
        <v/>
      </c>
      <c r="BA562" s="468" t="str">
        <f>IF(AS562="","",IF(OR(AU562="",AU562="-"),"－",IF(OR(AZ562=8,AZ562=9),"",IF(OR(AW562=3,AW562=4,AW562=5,AW562=6),VLOOKUP(AU562,INDEX((係数_バス貨物_ガソリン,係数_バス貨物_CNG,係数_バス貨物_軽油,係数_バス貨物_メタノール,係数_バス貨物_LPG),MATCH(AY562,【参考】排出係数!$AI$4:$AI$671,1),1,BE562):INDEX((係数_バス貨物_ガソリン,係数_バス貨物_CNG,係数_バス貨物_軽油,係数_バス貨物_メタノール,係数_バス貨物_LPG),MATCH(AY562+1,【参考】排出係数!$AI$4:$AI$671,1)-1,5,BE562),2,FALSE),IF(OR(AW562=1,AW562=2),VLOOKUP(AU562,INDEX((係数_乗用_ガソリン,係数_乗用_CNG,係数_乗用_軽油,係数_乗用_メタノール,係数_乗用_LPG),1,1,BE562):INDEX((係数_乗用_ガソリン,係数_乗用_CNG,係数_乗用_軽油,係数_乗用_メタノール,係数_乗用_LPG),125,5,BE562),2,FALSE))))))</f>
        <v/>
      </c>
      <c r="BB562" s="468" t="str">
        <f>IF(T562="","",IF(OR(AU562="",AU562="-"),"－",IF(OR(AZ562=8,AZ562=9),"",IF(OR(AW562=3,AW562=4,AW562=5,AW562=6),VLOOKUP(AU562,INDEX((係数_バス貨物_ガソリン,係数_バス貨物_CNG,係数_バス貨物_軽油,係数_バス貨物_メタノール,係数_バス貨物_LPG),MATCH(AY562,【参考】排出係数!$AI$4:$AI$671,1),1,BE562):INDEX((係数_バス貨物_ガソリン,係数_バス貨物_CNG,係数_バス貨物_軽油,係数_バス貨物_メタノール,係数_バス貨物_LPG),MATCH(AY562+1,【参考】排出係数!$AI$4:$AI$671,1)-1,5,BE562),3,FALSE),IF(OR(AW562=1,AW562=2),VLOOKUP(AU562,INDEX((係数_乗用_ガソリン,係数_乗用_CNG,係数_乗用_軽油,係数_乗用_メタノール,係数_乗用_LPG),1,1,BE562):INDEX((係数_乗用_ガソリン,係数_乗用_CNG,係数_乗用_軽油,係数_乗用_メタノール,係数_乗用_LPG),125,5,BE562),3,FALSE))))))</f>
        <v/>
      </c>
      <c r="BC562" s="467" t="str">
        <f t="shared" si="306"/>
        <v/>
      </c>
      <c r="BD562" s="567" t="str">
        <f t="shared" si="307"/>
        <v/>
      </c>
      <c r="BE562" s="467" t="str">
        <f t="shared" si="308"/>
        <v/>
      </c>
      <c r="BF562" s="469" t="str">
        <f t="shared" ca="1" si="309"/>
        <v/>
      </c>
      <c r="BG562" s="469" t="str">
        <f t="shared" ca="1" si="310"/>
        <v/>
      </c>
      <c r="BH562" s="467" t="str">
        <f t="shared" si="311"/>
        <v/>
      </c>
      <c r="BI562" s="467" t="str">
        <f t="shared" ca="1" si="312"/>
        <v/>
      </c>
      <c r="BJ562" s="469" t="str">
        <f t="shared" si="313"/>
        <v/>
      </c>
      <c r="BK562" s="470" t="str">
        <f t="shared" si="293"/>
        <v/>
      </c>
      <c r="BL562" s="775" t="str">
        <f t="shared" si="314"/>
        <v/>
      </c>
      <c r="BM562" s="775" t="str">
        <f t="shared" si="315"/>
        <v/>
      </c>
    </row>
    <row r="563" spans="1:65">
      <c r="A563" s="473">
        <v>507</v>
      </c>
      <c r="B563" s="132"/>
      <c r="C563" s="332"/>
      <c r="D563" s="333"/>
      <c r="E563" s="333"/>
      <c r="F563" s="334"/>
      <c r="G563" s="337"/>
      <c r="H563" s="131"/>
      <c r="I563" s="337"/>
      <c r="J563" s="131"/>
      <c r="K563" s="458" t="str">
        <f t="shared" si="320"/>
        <v/>
      </c>
      <c r="L563" s="458">
        <f t="shared" si="321"/>
        <v>0</v>
      </c>
      <c r="M563" s="458">
        <f t="shared" si="322"/>
        <v>0</v>
      </c>
      <c r="N563" s="459" t="str">
        <f t="shared" si="283"/>
        <v/>
      </c>
      <c r="O563" s="459" t="str">
        <f t="shared" si="284"/>
        <v/>
      </c>
      <c r="P563" s="459" t="str">
        <f t="shared" si="285"/>
        <v/>
      </c>
      <c r="Q563" s="459" t="str">
        <f t="shared" si="286"/>
        <v/>
      </c>
      <c r="R563" s="459" t="str">
        <f t="shared" si="287"/>
        <v/>
      </c>
      <c r="S563" s="459" t="str">
        <f t="shared" si="288"/>
        <v/>
      </c>
      <c r="T563" s="566" t="str">
        <f t="shared" si="323"/>
        <v/>
      </c>
      <c r="U563" s="702"/>
      <c r="V563" s="132"/>
      <c r="W563" s="133"/>
      <c r="X563" s="134"/>
      <c r="Y563" s="135"/>
      <c r="Z563" s="137"/>
      <c r="AA563" s="136"/>
      <c r="AB563" s="566" t="str">
        <f t="shared" si="324"/>
        <v/>
      </c>
      <c r="AC563" s="568" t="str">
        <f t="shared" si="325"/>
        <v/>
      </c>
      <c r="AD563" s="137"/>
      <c r="AE563" s="137"/>
      <c r="AF563" s="138"/>
      <c r="AG563" s="138"/>
      <c r="AH563" s="592" t="str">
        <f t="shared" si="326"/>
        <v/>
      </c>
      <c r="AI563" s="592" t="str">
        <f t="shared" si="327"/>
        <v/>
      </c>
      <c r="AJ563" s="592" t="str">
        <f t="shared" si="328"/>
        <v/>
      </c>
      <c r="AK563" s="460" t="str">
        <f>IF(AU563="","",IF(OR(AZ563=8,AZ563=9),0,IF(OR(AW563=3,AW563=4,AW563=5,AW563=6),IF(LEFT(BF563,1)="1",INDEX(係数_NOX・PM低減,MATCH(AY563,【参考】排出係数!$AI$801:$AI$804,1),1),VLOOKUP(AU563,INDEX((係数_バス貨物_ガソリン,係数_バス貨物_CNG,係数_バス貨物_軽油,係数_バス貨物_メタノール,係数_バス貨物_LPG),MATCH(AY563,【参考】排出係数!$AI$4:$AI$671,1),1,BE563):INDEX((係数_バス貨物_ガソリン,係数_バス貨物_CNG,係数_バス貨物_軽油,係数_バス貨物_メタノール,係数_バス貨物_LPG),MATCH(AY563+1,【参考】排出係数!$AI$4:$AI$671,1)-1,5,BE563),4,FALSE)),IF(AND(BE563=3,LEFT(BF563,1)="1"),0.48,VLOOKUP(AU563,INDEX((係数_乗用_ガソリン,係数_乗用_CNG,係数_乗用_軽油,係数_乗用_メタノール,係数_乗用_LPG),1,1,BE563):INDEX((係数_乗用_ガソリン,係数_乗用_CNG,係数_乗用_軽油,係数_乗用_メタノール,係数_乗用_LPG),125,5,BE563),4,FALSE)))))</f>
        <v/>
      </c>
      <c r="AL563" s="461" t="str">
        <f t="shared" si="329"/>
        <v/>
      </c>
      <c r="AM563" s="460" t="str">
        <f>IF(AU563="","",IF(OR(AZ563=8,AZ563=9),0,IF(OR(AW563=3,AW563=4,AW563=5,AW563=6),IF(LEFT(BH563,1)="1",INDEX(係数_PM低減,MATCH(AY563,【参考】排出係数!$AI$801:$AI$804,1),MATCH(BI563,【参考】排出係数!$AL$798:$AO$798,1)),VLOOKUP(AU563,INDEX((係数_バス貨物_ガソリン,係数_バス貨物_CNG,係数_バス貨物_軽油,係数_バス貨物_メタノール,係数_バス貨物_LPG),MATCH(AY563,【参考】排出係数!$AI$4:$AI$671,1),1,BE563):INDEX((係数_バス貨物_ガソリン,係数_バス貨物_CNG,係数_バス貨物_軽油,係数_バス貨物_メタノール,係数_バス貨物_LPG),MATCH(AY563+1,【参考】排出係数!$AI$4:$AI$671,1)-1,5,BE563),5,FALSE)),IF(AND(BE563=3,LEFT(BF563,1)="1"),0.055,VLOOKUP(AU563,INDEX((係数_乗用_ガソリン,係数_乗用_CNG,係数_乗用_軽油,係数_乗用_メタノール,係数_乗用_LPG),1,1,BE563):INDEX((係数_乗用_ガソリン,係数_乗用_CNG,係数_乗用_軽油,係数_乗用_メタノール,係数_乗用_LPG),125,5,BE563),5,FALSE)))))</f>
        <v/>
      </c>
      <c r="AN563" s="461" t="str">
        <f t="shared" si="330"/>
        <v/>
      </c>
      <c r="AO563" s="462" t="str">
        <f t="shared" si="331"/>
        <v/>
      </c>
      <c r="AP563" s="463" t="str">
        <f t="shared" si="332"/>
        <v/>
      </c>
      <c r="AQ563" s="464"/>
      <c r="AR563" s="619"/>
      <c r="AS563" s="465" t="str">
        <f t="shared" si="298"/>
        <v/>
      </c>
      <c r="AT563" s="465" t="str">
        <f t="shared" si="299"/>
        <v/>
      </c>
      <c r="AU563" s="466" t="str">
        <f t="shared" si="300"/>
        <v/>
      </c>
      <c r="AV563" s="467" t="str">
        <f t="shared" si="301"/>
        <v/>
      </c>
      <c r="AW563" s="467" t="str">
        <f t="shared" si="302"/>
        <v/>
      </c>
      <c r="AX563" s="467" t="str">
        <f t="shared" si="303"/>
        <v/>
      </c>
      <c r="AY563" s="467" t="str">
        <f t="shared" si="304"/>
        <v/>
      </c>
      <c r="AZ563" s="467" t="str">
        <f t="shared" si="305"/>
        <v/>
      </c>
      <c r="BA563" s="468" t="str">
        <f>IF(AS563="","",IF(OR(AU563="",AU563="-"),"－",IF(OR(AZ563=8,AZ563=9),"",IF(OR(AW563=3,AW563=4,AW563=5,AW563=6),VLOOKUP(AU563,INDEX((係数_バス貨物_ガソリン,係数_バス貨物_CNG,係数_バス貨物_軽油,係数_バス貨物_メタノール,係数_バス貨物_LPG),MATCH(AY563,【参考】排出係数!$AI$4:$AI$671,1),1,BE563):INDEX((係数_バス貨物_ガソリン,係数_バス貨物_CNG,係数_バス貨物_軽油,係数_バス貨物_メタノール,係数_バス貨物_LPG),MATCH(AY563+1,【参考】排出係数!$AI$4:$AI$671,1)-1,5,BE563),2,FALSE),IF(OR(AW563=1,AW563=2),VLOOKUP(AU563,INDEX((係数_乗用_ガソリン,係数_乗用_CNG,係数_乗用_軽油,係数_乗用_メタノール,係数_乗用_LPG),1,1,BE563):INDEX((係数_乗用_ガソリン,係数_乗用_CNG,係数_乗用_軽油,係数_乗用_メタノール,係数_乗用_LPG),125,5,BE563),2,FALSE))))))</f>
        <v/>
      </c>
      <c r="BB563" s="468" t="str">
        <f>IF(T563="","",IF(OR(AU563="",AU563="-"),"－",IF(OR(AZ563=8,AZ563=9),"",IF(OR(AW563=3,AW563=4,AW563=5,AW563=6),VLOOKUP(AU563,INDEX((係数_バス貨物_ガソリン,係数_バス貨物_CNG,係数_バス貨物_軽油,係数_バス貨物_メタノール,係数_バス貨物_LPG),MATCH(AY563,【参考】排出係数!$AI$4:$AI$671,1),1,BE563):INDEX((係数_バス貨物_ガソリン,係数_バス貨物_CNG,係数_バス貨物_軽油,係数_バス貨物_メタノール,係数_バス貨物_LPG),MATCH(AY563+1,【参考】排出係数!$AI$4:$AI$671,1)-1,5,BE563),3,FALSE),IF(OR(AW563=1,AW563=2),VLOOKUP(AU563,INDEX((係数_乗用_ガソリン,係数_乗用_CNG,係数_乗用_軽油,係数_乗用_メタノール,係数_乗用_LPG),1,1,BE563):INDEX((係数_乗用_ガソリン,係数_乗用_CNG,係数_乗用_軽油,係数_乗用_メタノール,係数_乗用_LPG),125,5,BE563),3,FALSE))))))</f>
        <v/>
      </c>
      <c r="BC563" s="467" t="str">
        <f t="shared" si="306"/>
        <v/>
      </c>
      <c r="BD563" s="567" t="str">
        <f t="shared" si="307"/>
        <v/>
      </c>
      <c r="BE563" s="467" t="str">
        <f t="shared" si="308"/>
        <v/>
      </c>
      <c r="BF563" s="469" t="str">
        <f t="shared" ca="1" si="309"/>
        <v/>
      </c>
      <c r="BG563" s="469" t="str">
        <f t="shared" ca="1" si="310"/>
        <v/>
      </c>
      <c r="BH563" s="467" t="str">
        <f t="shared" si="311"/>
        <v/>
      </c>
      <c r="BI563" s="467" t="str">
        <f t="shared" ca="1" si="312"/>
        <v/>
      </c>
      <c r="BJ563" s="469" t="str">
        <f t="shared" si="313"/>
        <v/>
      </c>
      <c r="BK563" s="470" t="str">
        <f t="shared" si="293"/>
        <v/>
      </c>
      <c r="BL563" s="775" t="str">
        <f t="shared" si="314"/>
        <v/>
      </c>
      <c r="BM563" s="775" t="str">
        <f t="shared" si="315"/>
        <v/>
      </c>
    </row>
    <row r="564" spans="1:65">
      <c r="A564" s="473">
        <v>508</v>
      </c>
      <c r="B564" s="132"/>
      <c r="C564" s="332"/>
      <c r="D564" s="333"/>
      <c r="E564" s="333"/>
      <c r="F564" s="334"/>
      <c r="G564" s="337"/>
      <c r="H564" s="131"/>
      <c r="I564" s="337"/>
      <c r="J564" s="131"/>
      <c r="K564" s="458" t="str">
        <f t="shared" si="320"/>
        <v/>
      </c>
      <c r="L564" s="458">
        <f t="shared" si="321"/>
        <v>0</v>
      </c>
      <c r="M564" s="458">
        <f t="shared" si="322"/>
        <v>0</v>
      </c>
      <c r="N564" s="459" t="str">
        <f t="shared" si="283"/>
        <v/>
      </c>
      <c r="O564" s="459" t="str">
        <f t="shared" si="284"/>
        <v/>
      </c>
      <c r="P564" s="459" t="str">
        <f t="shared" si="285"/>
        <v/>
      </c>
      <c r="Q564" s="459" t="str">
        <f t="shared" si="286"/>
        <v/>
      </c>
      <c r="R564" s="459" t="str">
        <f t="shared" si="287"/>
        <v/>
      </c>
      <c r="S564" s="459" t="str">
        <f t="shared" si="288"/>
        <v/>
      </c>
      <c r="T564" s="566" t="str">
        <f t="shared" si="323"/>
        <v/>
      </c>
      <c r="U564" s="702"/>
      <c r="V564" s="132"/>
      <c r="W564" s="133"/>
      <c r="X564" s="134"/>
      <c r="Y564" s="135"/>
      <c r="Z564" s="137"/>
      <c r="AA564" s="136"/>
      <c r="AB564" s="566" t="str">
        <f t="shared" si="324"/>
        <v/>
      </c>
      <c r="AC564" s="568" t="str">
        <f t="shared" si="325"/>
        <v/>
      </c>
      <c r="AD564" s="137"/>
      <c r="AE564" s="137"/>
      <c r="AF564" s="138"/>
      <c r="AG564" s="138"/>
      <c r="AH564" s="592" t="str">
        <f t="shared" si="326"/>
        <v/>
      </c>
      <c r="AI564" s="592" t="str">
        <f t="shared" si="327"/>
        <v/>
      </c>
      <c r="AJ564" s="592" t="str">
        <f t="shared" si="328"/>
        <v/>
      </c>
      <c r="AK564" s="460" t="str">
        <f>IF(AU564="","",IF(OR(AZ564=8,AZ564=9),0,IF(OR(AW564=3,AW564=4,AW564=5,AW564=6),IF(LEFT(BF564,1)="1",INDEX(係数_NOX・PM低減,MATCH(AY564,【参考】排出係数!$AI$801:$AI$804,1),1),VLOOKUP(AU564,INDEX((係数_バス貨物_ガソリン,係数_バス貨物_CNG,係数_バス貨物_軽油,係数_バス貨物_メタノール,係数_バス貨物_LPG),MATCH(AY564,【参考】排出係数!$AI$4:$AI$671,1),1,BE564):INDEX((係数_バス貨物_ガソリン,係数_バス貨物_CNG,係数_バス貨物_軽油,係数_バス貨物_メタノール,係数_バス貨物_LPG),MATCH(AY564+1,【参考】排出係数!$AI$4:$AI$671,1)-1,5,BE564),4,FALSE)),IF(AND(BE564=3,LEFT(BF564,1)="1"),0.48,VLOOKUP(AU564,INDEX((係数_乗用_ガソリン,係数_乗用_CNG,係数_乗用_軽油,係数_乗用_メタノール,係数_乗用_LPG),1,1,BE564):INDEX((係数_乗用_ガソリン,係数_乗用_CNG,係数_乗用_軽油,係数_乗用_メタノール,係数_乗用_LPG),125,5,BE564),4,FALSE)))))</f>
        <v/>
      </c>
      <c r="AL564" s="461" t="str">
        <f t="shared" si="329"/>
        <v/>
      </c>
      <c r="AM564" s="460" t="str">
        <f>IF(AU564="","",IF(OR(AZ564=8,AZ564=9),0,IF(OR(AW564=3,AW564=4,AW564=5,AW564=6),IF(LEFT(BH564,1)="1",INDEX(係数_PM低減,MATCH(AY564,【参考】排出係数!$AI$801:$AI$804,1),MATCH(BI564,【参考】排出係数!$AL$798:$AO$798,1)),VLOOKUP(AU564,INDEX((係数_バス貨物_ガソリン,係数_バス貨物_CNG,係数_バス貨物_軽油,係数_バス貨物_メタノール,係数_バス貨物_LPG),MATCH(AY564,【参考】排出係数!$AI$4:$AI$671,1),1,BE564):INDEX((係数_バス貨物_ガソリン,係数_バス貨物_CNG,係数_バス貨物_軽油,係数_バス貨物_メタノール,係数_バス貨物_LPG),MATCH(AY564+1,【参考】排出係数!$AI$4:$AI$671,1)-1,5,BE564),5,FALSE)),IF(AND(BE564=3,LEFT(BF564,1)="1"),0.055,VLOOKUP(AU564,INDEX((係数_乗用_ガソリン,係数_乗用_CNG,係数_乗用_軽油,係数_乗用_メタノール,係数_乗用_LPG),1,1,BE564):INDEX((係数_乗用_ガソリン,係数_乗用_CNG,係数_乗用_軽油,係数_乗用_メタノール,係数_乗用_LPG),125,5,BE564),5,FALSE)))))</f>
        <v/>
      </c>
      <c r="AN564" s="461" t="str">
        <f t="shared" si="330"/>
        <v/>
      </c>
      <c r="AO564" s="462" t="str">
        <f t="shared" si="331"/>
        <v/>
      </c>
      <c r="AP564" s="463" t="str">
        <f t="shared" si="332"/>
        <v/>
      </c>
      <c r="AQ564" s="464"/>
      <c r="AR564" s="619"/>
      <c r="AS564" s="465" t="str">
        <f t="shared" si="298"/>
        <v/>
      </c>
      <c r="AT564" s="465" t="str">
        <f t="shared" si="299"/>
        <v/>
      </c>
      <c r="AU564" s="466" t="str">
        <f t="shared" si="300"/>
        <v/>
      </c>
      <c r="AV564" s="467" t="str">
        <f t="shared" si="301"/>
        <v/>
      </c>
      <c r="AW564" s="467" t="str">
        <f t="shared" si="302"/>
        <v/>
      </c>
      <c r="AX564" s="467" t="str">
        <f t="shared" si="303"/>
        <v/>
      </c>
      <c r="AY564" s="467" t="str">
        <f t="shared" si="304"/>
        <v/>
      </c>
      <c r="AZ564" s="467" t="str">
        <f t="shared" si="305"/>
        <v/>
      </c>
      <c r="BA564" s="468" t="str">
        <f>IF(AS564="","",IF(OR(AU564="",AU564="-"),"－",IF(OR(AZ564=8,AZ564=9),"",IF(OR(AW564=3,AW564=4,AW564=5,AW564=6),VLOOKUP(AU564,INDEX((係数_バス貨物_ガソリン,係数_バス貨物_CNG,係数_バス貨物_軽油,係数_バス貨物_メタノール,係数_バス貨物_LPG),MATCH(AY564,【参考】排出係数!$AI$4:$AI$671,1),1,BE564):INDEX((係数_バス貨物_ガソリン,係数_バス貨物_CNG,係数_バス貨物_軽油,係数_バス貨物_メタノール,係数_バス貨物_LPG),MATCH(AY564+1,【参考】排出係数!$AI$4:$AI$671,1)-1,5,BE564),2,FALSE),IF(OR(AW564=1,AW564=2),VLOOKUP(AU564,INDEX((係数_乗用_ガソリン,係数_乗用_CNG,係数_乗用_軽油,係数_乗用_メタノール,係数_乗用_LPG),1,1,BE564):INDEX((係数_乗用_ガソリン,係数_乗用_CNG,係数_乗用_軽油,係数_乗用_メタノール,係数_乗用_LPG),125,5,BE564),2,FALSE))))))</f>
        <v/>
      </c>
      <c r="BB564" s="468" t="str">
        <f>IF(T564="","",IF(OR(AU564="",AU564="-"),"－",IF(OR(AZ564=8,AZ564=9),"",IF(OR(AW564=3,AW564=4,AW564=5,AW564=6),VLOOKUP(AU564,INDEX((係数_バス貨物_ガソリン,係数_バス貨物_CNG,係数_バス貨物_軽油,係数_バス貨物_メタノール,係数_バス貨物_LPG),MATCH(AY564,【参考】排出係数!$AI$4:$AI$671,1),1,BE564):INDEX((係数_バス貨物_ガソリン,係数_バス貨物_CNG,係数_バス貨物_軽油,係数_バス貨物_メタノール,係数_バス貨物_LPG),MATCH(AY564+1,【参考】排出係数!$AI$4:$AI$671,1)-1,5,BE564),3,FALSE),IF(OR(AW564=1,AW564=2),VLOOKUP(AU564,INDEX((係数_乗用_ガソリン,係数_乗用_CNG,係数_乗用_軽油,係数_乗用_メタノール,係数_乗用_LPG),1,1,BE564):INDEX((係数_乗用_ガソリン,係数_乗用_CNG,係数_乗用_軽油,係数_乗用_メタノール,係数_乗用_LPG),125,5,BE564),3,FALSE))))))</f>
        <v/>
      </c>
      <c r="BC564" s="467" t="str">
        <f t="shared" si="306"/>
        <v/>
      </c>
      <c r="BD564" s="567" t="str">
        <f t="shared" si="307"/>
        <v/>
      </c>
      <c r="BE564" s="467" t="str">
        <f t="shared" si="308"/>
        <v/>
      </c>
      <c r="BF564" s="469" t="str">
        <f t="shared" ca="1" si="309"/>
        <v/>
      </c>
      <c r="BG564" s="469" t="str">
        <f t="shared" ca="1" si="310"/>
        <v/>
      </c>
      <c r="BH564" s="467" t="str">
        <f t="shared" si="311"/>
        <v/>
      </c>
      <c r="BI564" s="467" t="str">
        <f t="shared" ca="1" si="312"/>
        <v/>
      </c>
      <c r="BJ564" s="469" t="str">
        <f t="shared" si="313"/>
        <v/>
      </c>
      <c r="BK564" s="470" t="str">
        <f t="shared" si="293"/>
        <v/>
      </c>
      <c r="BL564" s="775" t="str">
        <f t="shared" si="314"/>
        <v/>
      </c>
      <c r="BM564" s="775" t="str">
        <f t="shared" si="315"/>
        <v/>
      </c>
    </row>
    <row r="565" spans="1:65">
      <c r="A565" s="473">
        <v>509</v>
      </c>
      <c r="B565" s="132"/>
      <c r="C565" s="332"/>
      <c r="D565" s="333"/>
      <c r="E565" s="333"/>
      <c r="F565" s="334"/>
      <c r="G565" s="337"/>
      <c r="H565" s="131"/>
      <c r="I565" s="337"/>
      <c r="J565" s="131"/>
      <c r="K565" s="458" t="str">
        <f t="shared" si="320"/>
        <v/>
      </c>
      <c r="L565" s="458">
        <f t="shared" si="321"/>
        <v>0</v>
      </c>
      <c r="M565" s="458">
        <f t="shared" si="322"/>
        <v>0</v>
      </c>
      <c r="N565" s="459" t="str">
        <f t="shared" si="283"/>
        <v/>
      </c>
      <c r="O565" s="459" t="str">
        <f t="shared" si="284"/>
        <v/>
      </c>
      <c r="P565" s="459" t="str">
        <f t="shared" si="285"/>
        <v/>
      </c>
      <c r="Q565" s="459" t="str">
        <f t="shared" si="286"/>
        <v/>
      </c>
      <c r="R565" s="459" t="str">
        <f t="shared" si="287"/>
        <v/>
      </c>
      <c r="S565" s="459" t="str">
        <f t="shared" si="288"/>
        <v/>
      </c>
      <c r="T565" s="566" t="str">
        <f t="shared" si="323"/>
        <v/>
      </c>
      <c r="U565" s="702"/>
      <c r="V565" s="132"/>
      <c r="W565" s="133"/>
      <c r="X565" s="134"/>
      <c r="Y565" s="135"/>
      <c r="Z565" s="137"/>
      <c r="AA565" s="136"/>
      <c r="AB565" s="566" t="str">
        <f t="shared" si="324"/>
        <v/>
      </c>
      <c r="AC565" s="568" t="str">
        <f t="shared" si="325"/>
        <v/>
      </c>
      <c r="AD565" s="137"/>
      <c r="AE565" s="137"/>
      <c r="AF565" s="138"/>
      <c r="AG565" s="138"/>
      <c r="AH565" s="592" t="str">
        <f t="shared" si="326"/>
        <v/>
      </c>
      <c r="AI565" s="592" t="str">
        <f t="shared" si="327"/>
        <v/>
      </c>
      <c r="AJ565" s="592" t="str">
        <f t="shared" si="328"/>
        <v/>
      </c>
      <c r="AK565" s="460" t="str">
        <f>IF(AU565="","",IF(OR(AZ565=8,AZ565=9),0,IF(OR(AW565=3,AW565=4,AW565=5,AW565=6),IF(LEFT(BF565,1)="1",INDEX(係数_NOX・PM低減,MATCH(AY565,【参考】排出係数!$AI$801:$AI$804,1),1),VLOOKUP(AU565,INDEX((係数_バス貨物_ガソリン,係数_バス貨物_CNG,係数_バス貨物_軽油,係数_バス貨物_メタノール,係数_バス貨物_LPG),MATCH(AY565,【参考】排出係数!$AI$4:$AI$671,1),1,BE565):INDEX((係数_バス貨物_ガソリン,係数_バス貨物_CNG,係数_バス貨物_軽油,係数_バス貨物_メタノール,係数_バス貨物_LPG),MATCH(AY565+1,【参考】排出係数!$AI$4:$AI$671,1)-1,5,BE565),4,FALSE)),IF(AND(BE565=3,LEFT(BF565,1)="1"),0.48,VLOOKUP(AU565,INDEX((係数_乗用_ガソリン,係数_乗用_CNG,係数_乗用_軽油,係数_乗用_メタノール,係数_乗用_LPG),1,1,BE565):INDEX((係数_乗用_ガソリン,係数_乗用_CNG,係数_乗用_軽油,係数_乗用_メタノール,係数_乗用_LPG),125,5,BE565),4,FALSE)))))</f>
        <v/>
      </c>
      <c r="AL565" s="461" t="str">
        <f t="shared" si="329"/>
        <v/>
      </c>
      <c r="AM565" s="460" t="str">
        <f>IF(AU565="","",IF(OR(AZ565=8,AZ565=9),0,IF(OR(AW565=3,AW565=4,AW565=5,AW565=6),IF(LEFT(BH565,1)="1",INDEX(係数_PM低減,MATCH(AY565,【参考】排出係数!$AI$801:$AI$804,1),MATCH(BI565,【参考】排出係数!$AL$798:$AO$798,1)),VLOOKUP(AU565,INDEX((係数_バス貨物_ガソリン,係数_バス貨物_CNG,係数_バス貨物_軽油,係数_バス貨物_メタノール,係数_バス貨物_LPG),MATCH(AY565,【参考】排出係数!$AI$4:$AI$671,1),1,BE565):INDEX((係数_バス貨物_ガソリン,係数_バス貨物_CNG,係数_バス貨物_軽油,係数_バス貨物_メタノール,係数_バス貨物_LPG),MATCH(AY565+1,【参考】排出係数!$AI$4:$AI$671,1)-1,5,BE565),5,FALSE)),IF(AND(BE565=3,LEFT(BF565,1)="1"),0.055,VLOOKUP(AU565,INDEX((係数_乗用_ガソリン,係数_乗用_CNG,係数_乗用_軽油,係数_乗用_メタノール,係数_乗用_LPG),1,1,BE565):INDEX((係数_乗用_ガソリン,係数_乗用_CNG,係数_乗用_軽油,係数_乗用_メタノール,係数_乗用_LPG),125,5,BE565),5,FALSE)))))</f>
        <v/>
      </c>
      <c r="AN565" s="461" t="str">
        <f t="shared" si="330"/>
        <v/>
      </c>
      <c r="AO565" s="462" t="str">
        <f t="shared" si="331"/>
        <v/>
      </c>
      <c r="AP565" s="463" t="str">
        <f t="shared" si="332"/>
        <v/>
      </c>
      <c r="AQ565" s="464"/>
      <c r="AR565" s="619"/>
      <c r="AS565" s="465" t="str">
        <f t="shared" si="298"/>
        <v/>
      </c>
      <c r="AT565" s="465" t="str">
        <f t="shared" si="299"/>
        <v/>
      </c>
      <c r="AU565" s="466" t="str">
        <f t="shared" si="300"/>
        <v/>
      </c>
      <c r="AV565" s="467" t="str">
        <f t="shared" si="301"/>
        <v/>
      </c>
      <c r="AW565" s="467" t="str">
        <f t="shared" si="302"/>
        <v/>
      </c>
      <c r="AX565" s="467" t="str">
        <f t="shared" si="303"/>
        <v/>
      </c>
      <c r="AY565" s="467" t="str">
        <f t="shared" si="304"/>
        <v/>
      </c>
      <c r="AZ565" s="467" t="str">
        <f t="shared" si="305"/>
        <v/>
      </c>
      <c r="BA565" s="468" t="str">
        <f>IF(AS565="","",IF(OR(AU565="",AU565="-"),"－",IF(OR(AZ565=8,AZ565=9),"",IF(OR(AW565=3,AW565=4,AW565=5,AW565=6),VLOOKUP(AU565,INDEX((係数_バス貨物_ガソリン,係数_バス貨物_CNG,係数_バス貨物_軽油,係数_バス貨物_メタノール,係数_バス貨物_LPG),MATCH(AY565,【参考】排出係数!$AI$4:$AI$671,1),1,BE565):INDEX((係数_バス貨物_ガソリン,係数_バス貨物_CNG,係数_バス貨物_軽油,係数_バス貨物_メタノール,係数_バス貨物_LPG),MATCH(AY565+1,【参考】排出係数!$AI$4:$AI$671,1)-1,5,BE565),2,FALSE),IF(OR(AW565=1,AW565=2),VLOOKUP(AU565,INDEX((係数_乗用_ガソリン,係数_乗用_CNG,係数_乗用_軽油,係数_乗用_メタノール,係数_乗用_LPG),1,1,BE565):INDEX((係数_乗用_ガソリン,係数_乗用_CNG,係数_乗用_軽油,係数_乗用_メタノール,係数_乗用_LPG),125,5,BE565),2,FALSE))))))</f>
        <v/>
      </c>
      <c r="BB565" s="468" t="str">
        <f>IF(T565="","",IF(OR(AU565="",AU565="-"),"－",IF(OR(AZ565=8,AZ565=9),"",IF(OR(AW565=3,AW565=4,AW565=5,AW565=6),VLOOKUP(AU565,INDEX((係数_バス貨物_ガソリン,係数_バス貨物_CNG,係数_バス貨物_軽油,係数_バス貨物_メタノール,係数_バス貨物_LPG),MATCH(AY565,【参考】排出係数!$AI$4:$AI$671,1),1,BE565):INDEX((係数_バス貨物_ガソリン,係数_バス貨物_CNG,係数_バス貨物_軽油,係数_バス貨物_メタノール,係数_バス貨物_LPG),MATCH(AY565+1,【参考】排出係数!$AI$4:$AI$671,1)-1,5,BE565),3,FALSE),IF(OR(AW565=1,AW565=2),VLOOKUP(AU565,INDEX((係数_乗用_ガソリン,係数_乗用_CNG,係数_乗用_軽油,係数_乗用_メタノール,係数_乗用_LPG),1,1,BE565):INDEX((係数_乗用_ガソリン,係数_乗用_CNG,係数_乗用_軽油,係数_乗用_メタノール,係数_乗用_LPG),125,5,BE565),3,FALSE))))))</f>
        <v/>
      </c>
      <c r="BC565" s="467" t="str">
        <f t="shared" si="306"/>
        <v/>
      </c>
      <c r="BD565" s="567" t="str">
        <f t="shared" si="307"/>
        <v/>
      </c>
      <c r="BE565" s="467" t="str">
        <f t="shared" si="308"/>
        <v/>
      </c>
      <c r="BF565" s="469" t="str">
        <f t="shared" ca="1" si="309"/>
        <v/>
      </c>
      <c r="BG565" s="469" t="str">
        <f t="shared" ca="1" si="310"/>
        <v/>
      </c>
      <c r="BH565" s="467" t="str">
        <f t="shared" si="311"/>
        <v/>
      </c>
      <c r="BI565" s="467" t="str">
        <f t="shared" ca="1" si="312"/>
        <v/>
      </c>
      <c r="BJ565" s="469" t="str">
        <f t="shared" si="313"/>
        <v/>
      </c>
      <c r="BK565" s="470" t="str">
        <f t="shared" si="293"/>
        <v/>
      </c>
      <c r="BL565" s="775" t="str">
        <f t="shared" si="314"/>
        <v/>
      </c>
      <c r="BM565" s="775" t="str">
        <f t="shared" si="315"/>
        <v/>
      </c>
    </row>
    <row r="566" spans="1:65">
      <c r="A566" s="473">
        <v>510</v>
      </c>
      <c r="B566" s="132"/>
      <c r="C566" s="332"/>
      <c r="D566" s="333"/>
      <c r="E566" s="333"/>
      <c r="F566" s="334"/>
      <c r="G566" s="337"/>
      <c r="H566" s="131"/>
      <c r="I566" s="337"/>
      <c r="J566" s="131"/>
      <c r="K566" s="458" t="str">
        <f t="shared" si="320"/>
        <v/>
      </c>
      <c r="L566" s="458">
        <f t="shared" si="321"/>
        <v>0</v>
      </c>
      <c r="M566" s="458">
        <f t="shared" si="322"/>
        <v>0</v>
      </c>
      <c r="N566" s="459" t="str">
        <f t="shared" si="283"/>
        <v/>
      </c>
      <c r="O566" s="459" t="str">
        <f t="shared" si="284"/>
        <v/>
      </c>
      <c r="P566" s="459" t="str">
        <f t="shared" si="285"/>
        <v/>
      </c>
      <c r="Q566" s="459" t="str">
        <f t="shared" si="286"/>
        <v/>
      </c>
      <c r="R566" s="459" t="str">
        <f t="shared" si="287"/>
        <v/>
      </c>
      <c r="S566" s="459" t="str">
        <f t="shared" si="288"/>
        <v/>
      </c>
      <c r="T566" s="566" t="str">
        <f t="shared" si="323"/>
        <v/>
      </c>
      <c r="U566" s="702"/>
      <c r="V566" s="132"/>
      <c r="W566" s="133"/>
      <c r="X566" s="134"/>
      <c r="Y566" s="135"/>
      <c r="Z566" s="137"/>
      <c r="AA566" s="136"/>
      <c r="AB566" s="566" t="str">
        <f t="shared" si="324"/>
        <v/>
      </c>
      <c r="AC566" s="568" t="str">
        <f t="shared" si="325"/>
        <v/>
      </c>
      <c r="AD566" s="137"/>
      <c r="AE566" s="137"/>
      <c r="AF566" s="138"/>
      <c r="AG566" s="138"/>
      <c r="AH566" s="592" t="str">
        <f t="shared" si="326"/>
        <v/>
      </c>
      <c r="AI566" s="592" t="str">
        <f t="shared" si="327"/>
        <v/>
      </c>
      <c r="AJ566" s="592" t="str">
        <f t="shared" si="328"/>
        <v/>
      </c>
      <c r="AK566" s="460" t="str">
        <f>IF(AU566="","",IF(OR(AZ566=8,AZ566=9),0,IF(OR(AW566=3,AW566=4,AW566=5,AW566=6),IF(LEFT(BF566,1)="1",INDEX(係数_NOX・PM低減,MATCH(AY566,【参考】排出係数!$AI$801:$AI$804,1),1),VLOOKUP(AU566,INDEX((係数_バス貨物_ガソリン,係数_バス貨物_CNG,係数_バス貨物_軽油,係数_バス貨物_メタノール,係数_バス貨物_LPG),MATCH(AY566,【参考】排出係数!$AI$4:$AI$671,1),1,BE566):INDEX((係数_バス貨物_ガソリン,係数_バス貨物_CNG,係数_バス貨物_軽油,係数_バス貨物_メタノール,係数_バス貨物_LPG),MATCH(AY566+1,【参考】排出係数!$AI$4:$AI$671,1)-1,5,BE566),4,FALSE)),IF(AND(BE566=3,LEFT(BF566,1)="1"),0.48,VLOOKUP(AU566,INDEX((係数_乗用_ガソリン,係数_乗用_CNG,係数_乗用_軽油,係数_乗用_メタノール,係数_乗用_LPG),1,1,BE566):INDEX((係数_乗用_ガソリン,係数_乗用_CNG,係数_乗用_軽油,係数_乗用_メタノール,係数_乗用_LPG),125,5,BE566),4,FALSE)))))</f>
        <v/>
      </c>
      <c r="AL566" s="461" t="str">
        <f t="shared" si="329"/>
        <v/>
      </c>
      <c r="AM566" s="460" t="str">
        <f>IF(AU566="","",IF(OR(AZ566=8,AZ566=9),0,IF(OR(AW566=3,AW566=4,AW566=5,AW566=6),IF(LEFT(BH566,1)="1",INDEX(係数_PM低減,MATCH(AY566,【参考】排出係数!$AI$801:$AI$804,1),MATCH(BI566,【参考】排出係数!$AL$798:$AO$798,1)),VLOOKUP(AU566,INDEX((係数_バス貨物_ガソリン,係数_バス貨物_CNG,係数_バス貨物_軽油,係数_バス貨物_メタノール,係数_バス貨物_LPG),MATCH(AY566,【参考】排出係数!$AI$4:$AI$671,1),1,BE566):INDEX((係数_バス貨物_ガソリン,係数_バス貨物_CNG,係数_バス貨物_軽油,係数_バス貨物_メタノール,係数_バス貨物_LPG),MATCH(AY566+1,【参考】排出係数!$AI$4:$AI$671,1)-1,5,BE566),5,FALSE)),IF(AND(BE566=3,LEFT(BF566,1)="1"),0.055,VLOOKUP(AU566,INDEX((係数_乗用_ガソリン,係数_乗用_CNG,係数_乗用_軽油,係数_乗用_メタノール,係数_乗用_LPG),1,1,BE566):INDEX((係数_乗用_ガソリン,係数_乗用_CNG,係数_乗用_軽油,係数_乗用_メタノール,係数_乗用_LPG),125,5,BE566),5,FALSE)))))</f>
        <v/>
      </c>
      <c r="AN566" s="461" t="str">
        <f t="shared" si="330"/>
        <v/>
      </c>
      <c r="AO566" s="462" t="str">
        <f t="shared" si="331"/>
        <v/>
      </c>
      <c r="AP566" s="463" t="str">
        <f t="shared" si="332"/>
        <v/>
      </c>
      <c r="AQ566" s="464"/>
      <c r="AR566" s="619"/>
      <c r="AS566" s="465" t="str">
        <f t="shared" si="298"/>
        <v/>
      </c>
      <c r="AT566" s="465" t="str">
        <f t="shared" si="299"/>
        <v/>
      </c>
      <c r="AU566" s="466" t="str">
        <f t="shared" si="300"/>
        <v/>
      </c>
      <c r="AV566" s="467" t="str">
        <f t="shared" si="301"/>
        <v/>
      </c>
      <c r="AW566" s="467" t="str">
        <f t="shared" si="302"/>
        <v/>
      </c>
      <c r="AX566" s="467" t="str">
        <f t="shared" si="303"/>
        <v/>
      </c>
      <c r="AY566" s="467" t="str">
        <f t="shared" si="304"/>
        <v/>
      </c>
      <c r="AZ566" s="467" t="str">
        <f t="shared" si="305"/>
        <v/>
      </c>
      <c r="BA566" s="468" t="str">
        <f>IF(AS566="","",IF(OR(AU566="",AU566="-"),"－",IF(OR(AZ566=8,AZ566=9),"",IF(OR(AW566=3,AW566=4,AW566=5,AW566=6),VLOOKUP(AU566,INDEX((係数_バス貨物_ガソリン,係数_バス貨物_CNG,係数_バス貨物_軽油,係数_バス貨物_メタノール,係数_バス貨物_LPG),MATCH(AY566,【参考】排出係数!$AI$4:$AI$671,1),1,BE566):INDEX((係数_バス貨物_ガソリン,係数_バス貨物_CNG,係数_バス貨物_軽油,係数_バス貨物_メタノール,係数_バス貨物_LPG),MATCH(AY566+1,【参考】排出係数!$AI$4:$AI$671,1)-1,5,BE566),2,FALSE),IF(OR(AW566=1,AW566=2),VLOOKUP(AU566,INDEX((係数_乗用_ガソリン,係数_乗用_CNG,係数_乗用_軽油,係数_乗用_メタノール,係数_乗用_LPG),1,1,BE566):INDEX((係数_乗用_ガソリン,係数_乗用_CNG,係数_乗用_軽油,係数_乗用_メタノール,係数_乗用_LPG),125,5,BE566),2,FALSE))))))</f>
        <v/>
      </c>
      <c r="BB566" s="468" t="str">
        <f>IF(T566="","",IF(OR(AU566="",AU566="-"),"－",IF(OR(AZ566=8,AZ566=9),"",IF(OR(AW566=3,AW566=4,AW566=5,AW566=6),VLOOKUP(AU566,INDEX((係数_バス貨物_ガソリン,係数_バス貨物_CNG,係数_バス貨物_軽油,係数_バス貨物_メタノール,係数_バス貨物_LPG),MATCH(AY566,【参考】排出係数!$AI$4:$AI$671,1),1,BE566):INDEX((係数_バス貨物_ガソリン,係数_バス貨物_CNG,係数_バス貨物_軽油,係数_バス貨物_メタノール,係数_バス貨物_LPG),MATCH(AY566+1,【参考】排出係数!$AI$4:$AI$671,1)-1,5,BE566),3,FALSE),IF(OR(AW566=1,AW566=2),VLOOKUP(AU566,INDEX((係数_乗用_ガソリン,係数_乗用_CNG,係数_乗用_軽油,係数_乗用_メタノール,係数_乗用_LPG),1,1,BE566):INDEX((係数_乗用_ガソリン,係数_乗用_CNG,係数_乗用_軽油,係数_乗用_メタノール,係数_乗用_LPG),125,5,BE566),3,FALSE))))))</f>
        <v/>
      </c>
      <c r="BC566" s="467" t="str">
        <f t="shared" si="306"/>
        <v/>
      </c>
      <c r="BD566" s="567" t="str">
        <f t="shared" si="307"/>
        <v/>
      </c>
      <c r="BE566" s="467" t="str">
        <f t="shared" si="308"/>
        <v/>
      </c>
      <c r="BF566" s="469" t="str">
        <f t="shared" ca="1" si="309"/>
        <v/>
      </c>
      <c r="BG566" s="469" t="str">
        <f t="shared" ca="1" si="310"/>
        <v/>
      </c>
      <c r="BH566" s="467" t="str">
        <f t="shared" si="311"/>
        <v/>
      </c>
      <c r="BI566" s="467" t="str">
        <f t="shared" ca="1" si="312"/>
        <v/>
      </c>
      <c r="BJ566" s="469" t="str">
        <f t="shared" si="313"/>
        <v/>
      </c>
      <c r="BK566" s="470" t="str">
        <f t="shared" si="293"/>
        <v/>
      </c>
      <c r="BL566" s="775" t="str">
        <f t="shared" si="314"/>
        <v/>
      </c>
      <c r="BM566" s="775" t="str">
        <f t="shared" si="315"/>
        <v/>
      </c>
    </row>
    <row r="567" spans="1:65">
      <c r="A567" s="473">
        <v>511</v>
      </c>
      <c r="B567" s="132"/>
      <c r="C567" s="332"/>
      <c r="D567" s="333"/>
      <c r="E567" s="333"/>
      <c r="F567" s="334"/>
      <c r="G567" s="337"/>
      <c r="H567" s="131"/>
      <c r="I567" s="337"/>
      <c r="J567" s="131"/>
      <c r="K567" s="458" t="str">
        <f t="shared" si="320"/>
        <v/>
      </c>
      <c r="L567" s="458">
        <f t="shared" si="321"/>
        <v>0</v>
      </c>
      <c r="M567" s="458">
        <f t="shared" si="322"/>
        <v>0</v>
      </c>
      <c r="N567" s="459" t="str">
        <f t="shared" si="283"/>
        <v/>
      </c>
      <c r="O567" s="459" t="str">
        <f t="shared" si="284"/>
        <v/>
      </c>
      <c r="P567" s="459" t="str">
        <f t="shared" si="285"/>
        <v/>
      </c>
      <c r="Q567" s="459" t="str">
        <f t="shared" si="286"/>
        <v/>
      </c>
      <c r="R567" s="459" t="str">
        <f t="shared" si="287"/>
        <v/>
      </c>
      <c r="S567" s="459" t="str">
        <f t="shared" si="288"/>
        <v/>
      </c>
      <c r="T567" s="566" t="str">
        <f t="shared" si="323"/>
        <v/>
      </c>
      <c r="U567" s="702"/>
      <c r="V567" s="132"/>
      <c r="W567" s="133"/>
      <c r="X567" s="134"/>
      <c r="Y567" s="135"/>
      <c r="Z567" s="137"/>
      <c r="AA567" s="136"/>
      <c r="AB567" s="566" t="str">
        <f t="shared" si="324"/>
        <v/>
      </c>
      <c r="AC567" s="568" t="str">
        <f t="shared" si="325"/>
        <v/>
      </c>
      <c r="AD567" s="137"/>
      <c r="AE567" s="137"/>
      <c r="AF567" s="138"/>
      <c r="AG567" s="138"/>
      <c r="AH567" s="592" t="str">
        <f t="shared" si="326"/>
        <v/>
      </c>
      <c r="AI567" s="592" t="str">
        <f t="shared" si="327"/>
        <v/>
      </c>
      <c r="AJ567" s="592" t="str">
        <f t="shared" si="328"/>
        <v/>
      </c>
      <c r="AK567" s="460" t="str">
        <f>IF(AU567="","",IF(OR(AZ567=8,AZ567=9),0,IF(OR(AW567=3,AW567=4,AW567=5,AW567=6),IF(LEFT(BF567,1)="1",INDEX(係数_NOX・PM低減,MATCH(AY567,【参考】排出係数!$AI$801:$AI$804,1),1),VLOOKUP(AU567,INDEX((係数_バス貨物_ガソリン,係数_バス貨物_CNG,係数_バス貨物_軽油,係数_バス貨物_メタノール,係数_バス貨物_LPG),MATCH(AY567,【参考】排出係数!$AI$4:$AI$671,1),1,BE567):INDEX((係数_バス貨物_ガソリン,係数_バス貨物_CNG,係数_バス貨物_軽油,係数_バス貨物_メタノール,係数_バス貨物_LPG),MATCH(AY567+1,【参考】排出係数!$AI$4:$AI$671,1)-1,5,BE567),4,FALSE)),IF(AND(BE567=3,LEFT(BF567,1)="1"),0.48,VLOOKUP(AU567,INDEX((係数_乗用_ガソリン,係数_乗用_CNG,係数_乗用_軽油,係数_乗用_メタノール,係数_乗用_LPG),1,1,BE567):INDEX((係数_乗用_ガソリン,係数_乗用_CNG,係数_乗用_軽油,係数_乗用_メタノール,係数_乗用_LPG),125,5,BE567),4,FALSE)))))</f>
        <v/>
      </c>
      <c r="AL567" s="461" t="str">
        <f t="shared" si="329"/>
        <v/>
      </c>
      <c r="AM567" s="460" t="str">
        <f>IF(AU567="","",IF(OR(AZ567=8,AZ567=9),0,IF(OR(AW567=3,AW567=4,AW567=5,AW567=6),IF(LEFT(BH567,1)="1",INDEX(係数_PM低減,MATCH(AY567,【参考】排出係数!$AI$801:$AI$804,1),MATCH(BI567,【参考】排出係数!$AL$798:$AO$798,1)),VLOOKUP(AU567,INDEX((係数_バス貨物_ガソリン,係数_バス貨物_CNG,係数_バス貨物_軽油,係数_バス貨物_メタノール,係数_バス貨物_LPG),MATCH(AY567,【参考】排出係数!$AI$4:$AI$671,1),1,BE567):INDEX((係数_バス貨物_ガソリン,係数_バス貨物_CNG,係数_バス貨物_軽油,係数_バス貨物_メタノール,係数_バス貨物_LPG),MATCH(AY567+1,【参考】排出係数!$AI$4:$AI$671,1)-1,5,BE567),5,FALSE)),IF(AND(BE567=3,LEFT(BF567,1)="1"),0.055,VLOOKUP(AU567,INDEX((係数_乗用_ガソリン,係数_乗用_CNG,係数_乗用_軽油,係数_乗用_メタノール,係数_乗用_LPG),1,1,BE567):INDEX((係数_乗用_ガソリン,係数_乗用_CNG,係数_乗用_軽油,係数_乗用_メタノール,係数_乗用_LPG),125,5,BE567),5,FALSE)))))</f>
        <v/>
      </c>
      <c r="AN567" s="461" t="str">
        <f t="shared" si="330"/>
        <v/>
      </c>
      <c r="AO567" s="462" t="str">
        <f t="shared" si="331"/>
        <v/>
      </c>
      <c r="AP567" s="463" t="str">
        <f t="shared" si="332"/>
        <v/>
      </c>
      <c r="AQ567" s="464"/>
      <c r="AR567" s="619"/>
      <c r="AS567" s="465" t="str">
        <f t="shared" si="298"/>
        <v/>
      </c>
      <c r="AT567" s="465" t="str">
        <f t="shared" si="299"/>
        <v/>
      </c>
      <c r="AU567" s="466" t="str">
        <f t="shared" si="300"/>
        <v/>
      </c>
      <c r="AV567" s="467" t="str">
        <f t="shared" si="301"/>
        <v/>
      </c>
      <c r="AW567" s="467" t="str">
        <f t="shared" si="302"/>
        <v/>
      </c>
      <c r="AX567" s="467" t="str">
        <f t="shared" si="303"/>
        <v/>
      </c>
      <c r="AY567" s="467" t="str">
        <f t="shared" si="304"/>
        <v/>
      </c>
      <c r="AZ567" s="467" t="str">
        <f t="shared" si="305"/>
        <v/>
      </c>
      <c r="BA567" s="468" t="str">
        <f>IF(AS567="","",IF(OR(AU567="",AU567="-"),"－",IF(OR(AZ567=8,AZ567=9),"",IF(OR(AW567=3,AW567=4,AW567=5,AW567=6),VLOOKUP(AU567,INDEX((係数_バス貨物_ガソリン,係数_バス貨物_CNG,係数_バス貨物_軽油,係数_バス貨物_メタノール,係数_バス貨物_LPG),MATCH(AY567,【参考】排出係数!$AI$4:$AI$671,1),1,BE567):INDEX((係数_バス貨物_ガソリン,係数_バス貨物_CNG,係数_バス貨物_軽油,係数_バス貨物_メタノール,係数_バス貨物_LPG),MATCH(AY567+1,【参考】排出係数!$AI$4:$AI$671,1)-1,5,BE567),2,FALSE),IF(OR(AW567=1,AW567=2),VLOOKUP(AU567,INDEX((係数_乗用_ガソリン,係数_乗用_CNG,係数_乗用_軽油,係数_乗用_メタノール,係数_乗用_LPG),1,1,BE567):INDEX((係数_乗用_ガソリン,係数_乗用_CNG,係数_乗用_軽油,係数_乗用_メタノール,係数_乗用_LPG),125,5,BE567),2,FALSE))))))</f>
        <v/>
      </c>
      <c r="BB567" s="468" t="str">
        <f>IF(T567="","",IF(OR(AU567="",AU567="-"),"－",IF(OR(AZ567=8,AZ567=9),"",IF(OR(AW567=3,AW567=4,AW567=5,AW567=6),VLOOKUP(AU567,INDEX((係数_バス貨物_ガソリン,係数_バス貨物_CNG,係数_バス貨物_軽油,係数_バス貨物_メタノール,係数_バス貨物_LPG),MATCH(AY567,【参考】排出係数!$AI$4:$AI$671,1),1,BE567):INDEX((係数_バス貨物_ガソリン,係数_バス貨物_CNG,係数_バス貨物_軽油,係数_バス貨物_メタノール,係数_バス貨物_LPG),MATCH(AY567+1,【参考】排出係数!$AI$4:$AI$671,1)-1,5,BE567),3,FALSE),IF(OR(AW567=1,AW567=2),VLOOKUP(AU567,INDEX((係数_乗用_ガソリン,係数_乗用_CNG,係数_乗用_軽油,係数_乗用_メタノール,係数_乗用_LPG),1,1,BE567):INDEX((係数_乗用_ガソリン,係数_乗用_CNG,係数_乗用_軽油,係数_乗用_メタノール,係数_乗用_LPG),125,5,BE567),3,FALSE))))))</f>
        <v/>
      </c>
      <c r="BC567" s="467" t="str">
        <f t="shared" si="306"/>
        <v/>
      </c>
      <c r="BD567" s="567" t="str">
        <f t="shared" si="307"/>
        <v/>
      </c>
      <c r="BE567" s="467" t="str">
        <f t="shared" si="308"/>
        <v/>
      </c>
      <c r="BF567" s="469" t="str">
        <f t="shared" ca="1" si="309"/>
        <v/>
      </c>
      <c r="BG567" s="469" t="str">
        <f t="shared" ca="1" si="310"/>
        <v/>
      </c>
      <c r="BH567" s="467" t="str">
        <f t="shared" si="311"/>
        <v/>
      </c>
      <c r="BI567" s="467" t="str">
        <f t="shared" ca="1" si="312"/>
        <v/>
      </c>
      <c r="BJ567" s="469" t="str">
        <f t="shared" si="313"/>
        <v/>
      </c>
      <c r="BK567" s="470" t="str">
        <f t="shared" si="293"/>
        <v/>
      </c>
      <c r="BL567" s="775" t="str">
        <f t="shared" si="314"/>
        <v/>
      </c>
      <c r="BM567" s="775" t="str">
        <f t="shared" si="315"/>
        <v/>
      </c>
    </row>
    <row r="568" spans="1:65">
      <c r="A568" s="473">
        <v>512</v>
      </c>
      <c r="B568" s="132"/>
      <c r="C568" s="332"/>
      <c r="D568" s="333"/>
      <c r="E568" s="333"/>
      <c r="F568" s="334"/>
      <c r="G568" s="337"/>
      <c r="H568" s="131"/>
      <c r="I568" s="337"/>
      <c r="J568" s="131"/>
      <c r="K568" s="458" t="str">
        <f t="shared" si="320"/>
        <v/>
      </c>
      <c r="L568" s="458">
        <f t="shared" si="321"/>
        <v>0</v>
      </c>
      <c r="M568" s="458">
        <f t="shared" si="322"/>
        <v>0</v>
      </c>
      <c r="N568" s="459" t="str">
        <f t="shared" si="283"/>
        <v/>
      </c>
      <c r="O568" s="459" t="str">
        <f t="shared" si="284"/>
        <v/>
      </c>
      <c r="P568" s="459" t="str">
        <f t="shared" si="285"/>
        <v/>
      </c>
      <c r="Q568" s="459" t="str">
        <f t="shared" si="286"/>
        <v/>
      </c>
      <c r="R568" s="459" t="str">
        <f t="shared" si="287"/>
        <v/>
      </c>
      <c r="S568" s="459" t="str">
        <f t="shared" si="288"/>
        <v/>
      </c>
      <c r="T568" s="566" t="str">
        <f t="shared" si="323"/>
        <v/>
      </c>
      <c r="U568" s="702"/>
      <c r="V568" s="132"/>
      <c r="W568" s="133"/>
      <c r="X568" s="134"/>
      <c r="Y568" s="135"/>
      <c r="Z568" s="137"/>
      <c r="AA568" s="136"/>
      <c r="AB568" s="566" t="str">
        <f t="shared" si="324"/>
        <v/>
      </c>
      <c r="AC568" s="568" t="str">
        <f t="shared" si="325"/>
        <v/>
      </c>
      <c r="AD568" s="137"/>
      <c r="AE568" s="137"/>
      <c r="AF568" s="138"/>
      <c r="AG568" s="138"/>
      <c r="AH568" s="592" t="str">
        <f t="shared" si="326"/>
        <v/>
      </c>
      <c r="AI568" s="592" t="str">
        <f t="shared" si="327"/>
        <v/>
      </c>
      <c r="AJ568" s="592" t="str">
        <f t="shared" si="328"/>
        <v/>
      </c>
      <c r="AK568" s="460" t="str">
        <f>IF(AU568="","",IF(OR(AZ568=8,AZ568=9),0,IF(OR(AW568=3,AW568=4,AW568=5,AW568=6),IF(LEFT(BF568,1)="1",INDEX(係数_NOX・PM低減,MATCH(AY568,【参考】排出係数!$AI$801:$AI$804,1),1),VLOOKUP(AU568,INDEX((係数_バス貨物_ガソリン,係数_バス貨物_CNG,係数_バス貨物_軽油,係数_バス貨物_メタノール,係数_バス貨物_LPG),MATCH(AY568,【参考】排出係数!$AI$4:$AI$671,1),1,BE568):INDEX((係数_バス貨物_ガソリン,係数_バス貨物_CNG,係数_バス貨物_軽油,係数_バス貨物_メタノール,係数_バス貨物_LPG),MATCH(AY568+1,【参考】排出係数!$AI$4:$AI$671,1)-1,5,BE568),4,FALSE)),IF(AND(BE568=3,LEFT(BF568,1)="1"),0.48,VLOOKUP(AU568,INDEX((係数_乗用_ガソリン,係数_乗用_CNG,係数_乗用_軽油,係数_乗用_メタノール,係数_乗用_LPG),1,1,BE568):INDEX((係数_乗用_ガソリン,係数_乗用_CNG,係数_乗用_軽油,係数_乗用_メタノール,係数_乗用_LPG),125,5,BE568),4,FALSE)))))</f>
        <v/>
      </c>
      <c r="AL568" s="461" t="str">
        <f t="shared" si="329"/>
        <v/>
      </c>
      <c r="AM568" s="460" t="str">
        <f>IF(AU568="","",IF(OR(AZ568=8,AZ568=9),0,IF(OR(AW568=3,AW568=4,AW568=5,AW568=6),IF(LEFT(BH568,1)="1",INDEX(係数_PM低減,MATCH(AY568,【参考】排出係数!$AI$801:$AI$804,1),MATCH(BI568,【参考】排出係数!$AL$798:$AO$798,1)),VLOOKUP(AU568,INDEX((係数_バス貨物_ガソリン,係数_バス貨物_CNG,係数_バス貨物_軽油,係数_バス貨物_メタノール,係数_バス貨物_LPG),MATCH(AY568,【参考】排出係数!$AI$4:$AI$671,1),1,BE568):INDEX((係数_バス貨物_ガソリン,係数_バス貨物_CNG,係数_バス貨物_軽油,係数_バス貨物_メタノール,係数_バス貨物_LPG),MATCH(AY568+1,【参考】排出係数!$AI$4:$AI$671,1)-1,5,BE568),5,FALSE)),IF(AND(BE568=3,LEFT(BF568,1)="1"),0.055,VLOOKUP(AU568,INDEX((係数_乗用_ガソリン,係数_乗用_CNG,係数_乗用_軽油,係数_乗用_メタノール,係数_乗用_LPG),1,1,BE568):INDEX((係数_乗用_ガソリン,係数_乗用_CNG,係数_乗用_軽油,係数_乗用_メタノール,係数_乗用_LPG),125,5,BE568),5,FALSE)))))</f>
        <v/>
      </c>
      <c r="AN568" s="461" t="str">
        <f t="shared" si="330"/>
        <v/>
      </c>
      <c r="AO568" s="462" t="str">
        <f t="shared" si="331"/>
        <v/>
      </c>
      <c r="AP568" s="463" t="str">
        <f t="shared" si="332"/>
        <v/>
      </c>
      <c r="AQ568" s="464"/>
      <c r="AR568" s="619"/>
      <c r="AS568" s="465" t="str">
        <f t="shared" si="298"/>
        <v/>
      </c>
      <c r="AT568" s="465" t="str">
        <f t="shared" si="299"/>
        <v/>
      </c>
      <c r="AU568" s="466" t="str">
        <f t="shared" si="300"/>
        <v/>
      </c>
      <c r="AV568" s="467" t="str">
        <f t="shared" si="301"/>
        <v/>
      </c>
      <c r="AW568" s="467" t="str">
        <f t="shared" si="302"/>
        <v/>
      </c>
      <c r="AX568" s="467" t="str">
        <f t="shared" si="303"/>
        <v/>
      </c>
      <c r="AY568" s="467" t="str">
        <f t="shared" si="304"/>
        <v/>
      </c>
      <c r="AZ568" s="467" t="str">
        <f t="shared" si="305"/>
        <v/>
      </c>
      <c r="BA568" s="468" t="str">
        <f>IF(AS568="","",IF(OR(AU568="",AU568="-"),"－",IF(OR(AZ568=8,AZ568=9),"",IF(OR(AW568=3,AW568=4,AW568=5,AW568=6),VLOOKUP(AU568,INDEX((係数_バス貨物_ガソリン,係数_バス貨物_CNG,係数_バス貨物_軽油,係数_バス貨物_メタノール,係数_バス貨物_LPG),MATCH(AY568,【参考】排出係数!$AI$4:$AI$671,1),1,BE568):INDEX((係数_バス貨物_ガソリン,係数_バス貨物_CNG,係数_バス貨物_軽油,係数_バス貨物_メタノール,係数_バス貨物_LPG),MATCH(AY568+1,【参考】排出係数!$AI$4:$AI$671,1)-1,5,BE568),2,FALSE),IF(OR(AW568=1,AW568=2),VLOOKUP(AU568,INDEX((係数_乗用_ガソリン,係数_乗用_CNG,係数_乗用_軽油,係数_乗用_メタノール,係数_乗用_LPG),1,1,BE568):INDEX((係数_乗用_ガソリン,係数_乗用_CNG,係数_乗用_軽油,係数_乗用_メタノール,係数_乗用_LPG),125,5,BE568),2,FALSE))))))</f>
        <v/>
      </c>
      <c r="BB568" s="468" t="str">
        <f>IF(T568="","",IF(OR(AU568="",AU568="-"),"－",IF(OR(AZ568=8,AZ568=9),"",IF(OR(AW568=3,AW568=4,AW568=5,AW568=6),VLOOKUP(AU568,INDEX((係数_バス貨物_ガソリン,係数_バス貨物_CNG,係数_バス貨物_軽油,係数_バス貨物_メタノール,係数_バス貨物_LPG),MATCH(AY568,【参考】排出係数!$AI$4:$AI$671,1),1,BE568):INDEX((係数_バス貨物_ガソリン,係数_バス貨物_CNG,係数_バス貨物_軽油,係数_バス貨物_メタノール,係数_バス貨物_LPG),MATCH(AY568+1,【参考】排出係数!$AI$4:$AI$671,1)-1,5,BE568),3,FALSE),IF(OR(AW568=1,AW568=2),VLOOKUP(AU568,INDEX((係数_乗用_ガソリン,係数_乗用_CNG,係数_乗用_軽油,係数_乗用_メタノール,係数_乗用_LPG),1,1,BE568):INDEX((係数_乗用_ガソリン,係数_乗用_CNG,係数_乗用_軽油,係数_乗用_メタノール,係数_乗用_LPG),125,5,BE568),3,FALSE))))))</f>
        <v/>
      </c>
      <c r="BC568" s="467" t="str">
        <f t="shared" si="306"/>
        <v/>
      </c>
      <c r="BD568" s="567" t="str">
        <f t="shared" si="307"/>
        <v/>
      </c>
      <c r="BE568" s="467" t="str">
        <f t="shared" si="308"/>
        <v/>
      </c>
      <c r="BF568" s="469" t="str">
        <f t="shared" ca="1" si="309"/>
        <v/>
      </c>
      <c r="BG568" s="469" t="str">
        <f t="shared" ca="1" si="310"/>
        <v/>
      </c>
      <c r="BH568" s="467" t="str">
        <f t="shared" si="311"/>
        <v/>
      </c>
      <c r="BI568" s="467" t="str">
        <f t="shared" ca="1" si="312"/>
        <v/>
      </c>
      <c r="BJ568" s="469" t="str">
        <f t="shared" si="313"/>
        <v/>
      </c>
      <c r="BK568" s="470" t="str">
        <f t="shared" si="293"/>
        <v/>
      </c>
      <c r="BL568" s="775" t="str">
        <f t="shared" si="314"/>
        <v/>
      </c>
      <c r="BM568" s="775" t="str">
        <f t="shared" si="315"/>
        <v/>
      </c>
    </row>
    <row r="569" spans="1:65">
      <c r="A569" s="473">
        <v>513</v>
      </c>
      <c r="B569" s="132"/>
      <c r="C569" s="332"/>
      <c r="D569" s="333"/>
      <c r="E569" s="333"/>
      <c r="F569" s="334"/>
      <c r="G569" s="337"/>
      <c r="H569" s="131"/>
      <c r="I569" s="337"/>
      <c r="J569" s="131"/>
      <c r="K569" s="458" t="str">
        <f t="shared" si="320"/>
        <v/>
      </c>
      <c r="L569" s="458">
        <f t="shared" si="321"/>
        <v>0</v>
      </c>
      <c r="M569" s="458">
        <f t="shared" si="322"/>
        <v>0</v>
      </c>
      <c r="N569" s="459" t="str">
        <f t="shared" si="283"/>
        <v/>
      </c>
      <c r="O569" s="459" t="str">
        <f t="shared" si="284"/>
        <v/>
      </c>
      <c r="P569" s="459" t="str">
        <f t="shared" si="285"/>
        <v/>
      </c>
      <c r="Q569" s="459" t="str">
        <f t="shared" si="286"/>
        <v/>
      </c>
      <c r="R569" s="459" t="str">
        <f t="shared" si="287"/>
        <v/>
      </c>
      <c r="S569" s="459" t="str">
        <f t="shared" si="288"/>
        <v/>
      </c>
      <c r="T569" s="566" t="str">
        <f t="shared" si="323"/>
        <v/>
      </c>
      <c r="U569" s="702"/>
      <c r="V569" s="132"/>
      <c r="W569" s="133"/>
      <c r="X569" s="134"/>
      <c r="Y569" s="135"/>
      <c r="Z569" s="137"/>
      <c r="AA569" s="136"/>
      <c r="AB569" s="566" t="str">
        <f t="shared" si="324"/>
        <v/>
      </c>
      <c r="AC569" s="568" t="str">
        <f t="shared" si="325"/>
        <v/>
      </c>
      <c r="AD569" s="137"/>
      <c r="AE569" s="137"/>
      <c r="AF569" s="138"/>
      <c r="AG569" s="138"/>
      <c r="AH569" s="592" t="str">
        <f t="shared" si="326"/>
        <v/>
      </c>
      <c r="AI569" s="592" t="str">
        <f t="shared" si="327"/>
        <v/>
      </c>
      <c r="AJ569" s="592" t="str">
        <f t="shared" si="328"/>
        <v/>
      </c>
      <c r="AK569" s="460" t="str">
        <f>IF(AU569="","",IF(OR(AZ569=8,AZ569=9),0,IF(OR(AW569=3,AW569=4,AW569=5,AW569=6),IF(LEFT(BF569,1)="1",INDEX(係数_NOX・PM低減,MATCH(AY569,【参考】排出係数!$AI$801:$AI$804,1),1),VLOOKUP(AU569,INDEX((係数_バス貨物_ガソリン,係数_バス貨物_CNG,係数_バス貨物_軽油,係数_バス貨物_メタノール,係数_バス貨物_LPG),MATCH(AY569,【参考】排出係数!$AI$4:$AI$671,1),1,BE569):INDEX((係数_バス貨物_ガソリン,係数_バス貨物_CNG,係数_バス貨物_軽油,係数_バス貨物_メタノール,係数_バス貨物_LPG),MATCH(AY569+1,【参考】排出係数!$AI$4:$AI$671,1)-1,5,BE569),4,FALSE)),IF(AND(BE569=3,LEFT(BF569,1)="1"),0.48,VLOOKUP(AU569,INDEX((係数_乗用_ガソリン,係数_乗用_CNG,係数_乗用_軽油,係数_乗用_メタノール,係数_乗用_LPG),1,1,BE569):INDEX((係数_乗用_ガソリン,係数_乗用_CNG,係数_乗用_軽油,係数_乗用_メタノール,係数_乗用_LPG),125,5,BE569),4,FALSE)))))</f>
        <v/>
      </c>
      <c r="AL569" s="461" t="str">
        <f t="shared" si="329"/>
        <v/>
      </c>
      <c r="AM569" s="460" t="str">
        <f>IF(AU569="","",IF(OR(AZ569=8,AZ569=9),0,IF(OR(AW569=3,AW569=4,AW569=5,AW569=6),IF(LEFT(BH569,1)="1",INDEX(係数_PM低減,MATCH(AY569,【参考】排出係数!$AI$801:$AI$804,1),MATCH(BI569,【参考】排出係数!$AL$798:$AO$798,1)),VLOOKUP(AU569,INDEX((係数_バス貨物_ガソリン,係数_バス貨物_CNG,係数_バス貨物_軽油,係数_バス貨物_メタノール,係数_バス貨物_LPG),MATCH(AY569,【参考】排出係数!$AI$4:$AI$671,1),1,BE569):INDEX((係数_バス貨物_ガソリン,係数_バス貨物_CNG,係数_バス貨物_軽油,係数_バス貨物_メタノール,係数_バス貨物_LPG),MATCH(AY569+1,【参考】排出係数!$AI$4:$AI$671,1)-1,5,BE569),5,FALSE)),IF(AND(BE569=3,LEFT(BF569,1)="1"),0.055,VLOOKUP(AU569,INDEX((係数_乗用_ガソリン,係数_乗用_CNG,係数_乗用_軽油,係数_乗用_メタノール,係数_乗用_LPG),1,1,BE569):INDEX((係数_乗用_ガソリン,係数_乗用_CNG,係数_乗用_軽油,係数_乗用_メタノール,係数_乗用_LPG),125,5,BE569),5,FALSE)))))</f>
        <v/>
      </c>
      <c r="AN569" s="461" t="str">
        <f t="shared" si="330"/>
        <v/>
      </c>
      <c r="AO569" s="462" t="str">
        <f t="shared" si="331"/>
        <v/>
      </c>
      <c r="AP569" s="463" t="str">
        <f t="shared" si="332"/>
        <v/>
      </c>
      <c r="AQ569" s="464"/>
      <c r="AR569" s="619"/>
      <c r="AS569" s="465" t="str">
        <f t="shared" si="298"/>
        <v/>
      </c>
      <c r="AT569" s="465" t="str">
        <f t="shared" si="299"/>
        <v/>
      </c>
      <c r="AU569" s="466" t="str">
        <f t="shared" si="300"/>
        <v/>
      </c>
      <c r="AV569" s="467" t="str">
        <f t="shared" si="301"/>
        <v/>
      </c>
      <c r="AW569" s="467" t="str">
        <f t="shared" si="302"/>
        <v/>
      </c>
      <c r="AX569" s="467" t="str">
        <f t="shared" si="303"/>
        <v/>
      </c>
      <c r="AY569" s="467" t="str">
        <f t="shared" si="304"/>
        <v/>
      </c>
      <c r="AZ569" s="467" t="str">
        <f t="shared" si="305"/>
        <v/>
      </c>
      <c r="BA569" s="468" t="str">
        <f>IF(AS569="","",IF(OR(AU569="",AU569="-"),"－",IF(OR(AZ569=8,AZ569=9),"",IF(OR(AW569=3,AW569=4,AW569=5,AW569=6),VLOOKUP(AU569,INDEX((係数_バス貨物_ガソリン,係数_バス貨物_CNG,係数_バス貨物_軽油,係数_バス貨物_メタノール,係数_バス貨物_LPG),MATCH(AY569,【参考】排出係数!$AI$4:$AI$671,1),1,BE569):INDEX((係数_バス貨物_ガソリン,係数_バス貨物_CNG,係数_バス貨物_軽油,係数_バス貨物_メタノール,係数_バス貨物_LPG),MATCH(AY569+1,【参考】排出係数!$AI$4:$AI$671,1)-1,5,BE569),2,FALSE),IF(OR(AW569=1,AW569=2),VLOOKUP(AU569,INDEX((係数_乗用_ガソリン,係数_乗用_CNG,係数_乗用_軽油,係数_乗用_メタノール,係数_乗用_LPG),1,1,BE569):INDEX((係数_乗用_ガソリン,係数_乗用_CNG,係数_乗用_軽油,係数_乗用_メタノール,係数_乗用_LPG),125,5,BE569),2,FALSE))))))</f>
        <v/>
      </c>
      <c r="BB569" s="468" t="str">
        <f>IF(T569="","",IF(OR(AU569="",AU569="-"),"－",IF(OR(AZ569=8,AZ569=9),"",IF(OR(AW569=3,AW569=4,AW569=5,AW569=6),VLOOKUP(AU569,INDEX((係数_バス貨物_ガソリン,係数_バス貨物_CNG,係数_バス貨物_軽油,係数_バス貨物_メタノール,係数_バス貨物_LPG),MATCH(AY569,【参考】排出係数!$AI$4:$AI$671,1),1,BE569):INDEX((係数_バス貨物_ガソリン,係数_バス貨物_CNG,係数_バス貨物_軽油,係数_バス貨物_メタノール,係数_バス貨物_LPG),MATCH(AY569+1,【参考】排出係数!$AI$4:$AI$671,1)-1,5,BE569),3,FALSE),IF(OR(AW569=1,AW569=2),VLOOKUP(AU569,INDEX((係数_乗用_ガソリン,係数_乗用_CNG,係数_乗用_軽油,係数_乗用_メタノール,係数_乗用_LPG),1,1,BE569):INDEX((係数_乗用_ガソリン,係数_乗用_CNG,係数_乗用_軽油,係数_乗用_メタノール,係数_乗用_LPG),125,5,BE569),3,FALSE))))))</f>
        <v/>
      </c>
      <c r="BC569" s="467" t="str">
        <f t="shared" si="306"/>
        <v/>
      </c>
      <c r="BD569" s="567" t="str">
        <f t="shared" si="307"/>
        <v/>
      </c>
      <c r="BE569" s="467" t="str">
        <f t="shared" si="308"/>
        <v/>
      </c>
      <c r="BF569" s="469" t="str">
        <f t="shared" ca="1" si="309"/>
        <v/>
      </c>
      <c r="BG569" s="469" t="str">
        <f t="shared" ca="1" si="310"/>
        <v/>
      </c>
      <c r="BH569" s="467" t="str">
        <f t="shared" si="311"/>
        <v/>
      </c>
      <c r="BI569" s="467" t="str">
        <f t="shared" ca="1" si="312"/>
        <v/>
      </c>
      <c r="BJ569" s="469" t="str">
        <f t="shared" si="313"/>
        <v/>
      </c>
      <c r="BK569" s="470" t="str">
        <f t="shared" ref="BK569:BK632" si="333">IF(AS569="","",VLOOKUP(T569,車両の増減,2,FALSE))</f>
        <v/>
      </c>
      <c r="BL569" s="775" t="str">
        <f t="shared" si="314"/>
        <v/>
      </c>
      <c r="BM569" s="775" t="str">
        <f t="shared" si="315"/>
        <v/>
      </c>
    </row>
    <row r="570" spans="1:65">
      <c r="A570" s="473">
        <v>514</v>
      </c>
      <c r="B570" s="132"/>
      <c r="C570" s="332"/>
      <c r="D570" s="333"/>
      <c r="E570" s="333"/>
      <c r="F570" s="334"/>
      <c r="G570" s="337"/>
      <c r="H570" s="131"/>
      <c r="I570" s="337"/>
      <c r="J570" s="131"/>
      <c r="K570" s="458" t="str">
        <f t="shared" si="320"/>
        <v/>
      </c>
      <c r="L570" s="458">
        <f t="shared" si="321"/>
        <v>0</v>
      </c>
      <c r="M570" s="458">
        <f t="shared" si="322"/>
        <v>0</v>
      </c>
      <c r="N570" s="459" t="str">
        <f t="shared" si="283"/>
        <v/>
      </c>
      <c r="O570" s="459" t="str">
        <f t="shared" si="284"/>
        <v/>
      </c>
      <c r="P570" s="459" t="str">
        <f t="shared" si="285"/>
        <v/>
      </c>
      <c r="Q570" s="459" t="str">
        <f t="shared" si="286"/>
        <v/>
      </c>
      <c r="R570" s="459" t="str">
        <f t="shared" si="287"/>
        <v/>
      </c>
      <c r="S570" s="459" t="str">
        <f t="shared" si="288"/>
        <v/>
      </c>
      <c r="T570" s="566" t="str">
        <f t="shared" si="323"/>
        <v/>
      </c>
      <c r="U570" s="702"/>
      <c r="V570" s="132"/>
      <c r="W570" s="133"/>
      <c r="X570" s="134"/>
      <c r="Y570" s="135"/>
      <c r="Z570" s="137"/>
      <c r="AA570" s="136"/>
      <c r="AB570" s="566" t="str">
        <f t="shared" si="324"/>
        <v/>
      </c>
      <c r="AC570" s="568" t="str">
        <f t="shared" si="325"/>
        <v/>
      </c>
      <c r="AD570" s="137"/>
      <c r="AE570" s="137"/>
      <c r="AF570" s="138"/>
      <c r="AG570" s="138"/>
      <c r="AH570" s="592" t="str">
        <f t="shared" si="326"/>
        <v/>
      </c>
      <c r="AI570" s="592" t="str">
        <f t="shared" si="327"/>
        <v/>
      </c>
      <c r="AJ570" s="592" t="str">
        <f t="shared" si="328"/>
        <v/>
      </c>
      <c r="AK570" s="460" t="str">
        <f>IF(AU570="","",IF(OR(AZ570=8,AZ570=9),0,IF(OR(AW570=3,AW570=4,AW570=5,AW570=6),IF(LEFT(BF570,1)="1",INDEX(係数_NOX・PM低減,MATCH(AY570,【参考】排出係数!$AI$801:$AI$804,1),1),VLOOKUP(AU570,INDEX((係数_バス貨物_ガソリン,係数_バス貨物_CNG,係数_バス貨物_軽油,係数_バス貨物_メタノール,係数_バス貨物_LPG),MATCH(AY570,【参考】排出係数!$AI$4:$AI$671,1),1,BE570):INDEX((係数_バス貨物_ガソリン,係数_バス貨物_CNG,係数_バス貨物_軽油,係数_バス貨物_メタノール,係数_バス貨物_LPG),MATCH(AY570+1,【参考】排出係数!$AI$4:$AI$671,1)-1,5,BE570),4,FALSE)),IF(AND(BE570=3,LEFT(BF570,1)="1"),0.48,VLOOKUP(AU570,INDEX((係数_乗用_ガソリン,係数_乗用_CNG,係数_乗用_軽油,係数_乗用_メタノール,係数_乗用_LPG),1,1,BE570):INDEX((係数_乗用_ガソリン,係数_乗用_CNG,係数_乗用_軽油,係数_乗用_メタノール,係数_乗用_LPG),125,5,BE570),4,FALSE)))))</f>
        <v/>
      </c>
      <c r="AL570" s="461" t="str">
        <f t="shared" si="329"/>
        <v/>
      </c>
      <c r="AM570" s="460" t="str">
        <f>IF(AU570="","",IF(OR(AZ570=8,AZ570=9),0,IF(OR(AW570=3,AW570=4,AW570=5,AW570=6),IF(LEFT(BH570,1)="1",INDEX(係数_PM低減,MATCH(AY570,【参考】排出係数!$AI$801:$AI$804,1),MATCH(BI570,【参考】排出係数!$AL$798:$AO$798,1)),VLOOKUP(AU570,INDEX((係数_バス貨物_ガソリン,係数_バス貨物_CNG,係数_バス貨物_軽油,係数_バス貨物_メタノール,係数_バス貨物_LPG),MATCH(AY570,【参考】排出係数!$AI$4:$AI$671,1),1,BE570):INDEX((係数_バス貨物_ガソリン,係数_バス貨物_CNG,係数_バス貨物_軽油,係数_バス貨物_メタノール,係数_バス貨物_LPG),MATCH(AY570+1,【参考】排出係数!$AI$4:$AI$671,1)-1,5,BE570),5,FALSE)),IF(AND(BE570=3,LEFT(BF570,1)="1"),0.055,VLOOKUP(AU570,INDEX((係数_乗用_ガソリン,係数_乗用_CNG,係数_乗用_軽油,係数_乗用_メタノール,係数_乗用_LPG),1,1,BE570):INDEX((係数_乗用_ガソリン,係数_乗用_CNG,係数_乗用_軽油,係数_乗用_メタノール,係数_乗用_LPG),125,5,BE570),5,FALSE)))))</f>
        <v/>
      </c>
      <c r="AN570" s="461" t="str">
        <f t="shared" si="330"/>
        <v/>
      </c>
      <c r="AO570" s="462" t="str">
        <f t="shared" si="331"/>
        <v/>
      </c>
      <c r="AP570" s="463" t="str">
        <f t="shared" si="332"/>
        <v/>
      </c>
      <c r="AQ570" s="464"/>
      <c r="AR570" s="619"/>
      <c r="AS570" s="465" t="str">
        <f t="shared" ref="AS570:AS633" si="334">IF(OR(T570="(減車済)",T570=""),"",1)</f>
        <v/>
      </c>
      <c r="AT570" s="465" t="str">
        <f t="shared" ref="AT570:AT633" si="335">IF(OR(T570="継続",T570="新規"),1,"")</f>
        <v/>
      </c>
      <c r="AU570" s="466" t="str">
        <f t="shared" ref="AU570:AU633" si="336">IF(AS570="","",UPPER(ASC(X570)))</f>
        <v/>
      </c>
      <c r="AV570" s="467" t="str">
        <f t="shared" ref="AV570:AV633" si="337">IF(AS570="","",IF(V570="","",IF(V570="普通",1,IF(V570="小型",2,0))))</f>
        <v/>
      </c>
      <c r="AW570" s="467" t="str">
        <f t="shared" ref="AW570:AW633" si="338">IF(AS570="","",IF(W570="","",VLOOKUP(W570,用途,2,FALSE)))</f>
        <v/>
      </c>
      <c r="AX570" s="467" t="str">
        <f t="shared" ref="AX570:AX633" si="339">IF(AS570="","",IF(Y570="","",IF(Y570&lt;=10,1,IF(Y570&lt;30,2,IF(Y570&gt;=30,3,0)))))</f>
        <v/>
      </c>
      <c r="AY570" s="467" t="str">
        <f t="shared" ref="AY570:AY633" si="340">IF(AS570="","",IF(Z570="","",IF(Z570&lt;=1.7*1000,1,IF(Z570&lt;=2.5*1000,2,IF(Z570&lt;=3.5*1000,3,IF(Z570&lt;8*1000,4,IF(Z570&gt;=8*1000,5,"")))))))</f>
        <v/>
      </c>
      <c r="AZ570" s="467" t="str">
        <f t="shared" ref="AZ570:AZ633" si="341">IF(AS570="","",IF(AA570="","",VLOOKUP(AA570,燃料の種類,2,FALSE)))</f>
        <v/>
      </c>
      <c r="BA570" s="468" t="str">
        <f>IF(AS570="","",IF(OR(AU570="",AU570="-"),"－",IF(OR(AZ570=8,AZ570=9),"",IF(OR(AW570=3,AW570=4,AW570=5,AW570=6),VLOOKUP(AU570,INDEX((係数_バス貨物_ガソリン,係数_バス貨物_CNG,係数_バス貨物_軽油,係数_バス貨物_メタノール,係数_バス貨物_LPG),MATCH(AY570,【参考】排出係数!$AI$4:$AI$671,1),1,BE570):INDEX((係数_バス貨物_ガソリン,係数_バス貨物_CNG,係数_バス貨物_軽油,係数_バス貨物_メタノール,係数_バス貨物_LPG),MATCH(AY570+1,【参考】排出係数!$AI$4:$AI$671,1)-1,5,BE570),2,FALSE),IF(OR(AW570=1,AW570=2),VLOOKUP(AU570,INDEX((係数_乗用_ガソリン,係数_乗用_CNG,係数_乗用_軽油,係数_乗用_メタノール,係数_乗用_LPG),1,1,BE570):INDEX((係数_乗用_ガソリン,係数_乗用_CNG,係数_乗用_軽油,係数_乗用_メタノール,係数_乗用_LPG),125,5,BE570),2,FALSE))))))</f>
        <v/>
      </c>
      <c r="BB570" s="468" t="str">
        <f>IF(T570="","",IF(OR(AU570="",AU570="-"),"－",IF(OR(AZ570=8,AZ570=9),"",IF(OR(AW570=3,AW570=4,AW570=5,AW570=6),VLOOKUP(AU570,INDEX((係数_バス貨物_ガソリン,係数_バス貨物_CNG,係数_バス貨物_軽油,係数_バス貨物_メタノール,係数_バス貨物_LPG),MATCH(AY570,【参考】排出係数!$AI$4:$AI$671,1),1,BE570):INDEX((係数_バス貨物_ガソリン,係数_バス貨物_CNG,係数_バス貨物_軽油,係数_バス貨物_メタノール,係数_バス貨物_LPG),MATCH(AY570+1,【参考】排出係数!$AI$4:$AI$671,1)-1,5,BE570),3,FALSE),IF(OR(AW570=1,AW570=2),VLOOKUP(AU570,INDEX((係数_乗用_ガソリン,係数_乗用_CNG,係数_乗用_軽油,係数_乗用_メタノール,係数_乗用_LPG),1,1,BE570):INDEX((係数_乗用_ガソリン,係数_乗用_CNG,係数_乗用_軽油,係数_乗用_メタノール,係数_乗用_LPG),125,5,BE570),3,FALSE))))))</f>
        <v/>
      </c>
      <c r="BC570" s="467" t="str">
        <f t="shared" ref="BC570:BC633" si="342">IF((AS570="")+(AC570=""),"",IF(燃料区分1=4,VLOOKUP(BB570,排ガス低減レベル,2,FALSE),VLOOKUP(AC570,排ガス低減レベル,2,FALSE)))</f>
        <v/>
      </c>
      <c r="BD570" s="567" t="str">
        <f t="shared" ref="BD570:BD633" si="343">IF(AT570="","",IF(AW570=3,B570&amp;"-"&amp;SUM(AW570*100,AX570*10,AY570)&amp;"A",IF(OR(AW570=2,AW570=4,AW570=6),B570&amp;"-"&amp;AY570*10&amp;"A",IF(AW570=1,B570&amp;"-"&amp;AW570&amp;"A",IF(AW570=5,B570&amp;"-"&amp;SUM(AW570*100,AV570*10,AY570)&amp;"A","")))))</f>
        <v/>
      </c>
      <c r="BE570" s="467" t="str">
        <f t="shared" ref="BE570:BE633" si="344">IF(OR(AZ570=1,AZ570=2,AZ570=11),1,IF(AZ570=6,2,IF(OR(AZ570=4,AZ570=5,AZ570=10),3,IF(AZ570=7,4,IF(AZ570=3,5, IF(OR(AZ570=8,AZ570=9),6,""))))))</f>
        <v/>
      </c>
      <c r="BF570" s="469" t="str">
        <f t="shared" ref="BF570:BF633" ca="1" si="345">(IF(OR(AZ570=4,AZ570=5),OFFSET($CH$1,MATCH($AF570,$CG$2:$CG$4,0),0)&amp;BK570,""))</f>
        <v/>
      </c>
      <c r="BG570" s="469" t="str">
        <f t="shared" ref="BG570:BG633" ca="1" si="346">(IF(OR(AZ570=4,AZ570=5),OFFSET($CJ$1,MATCH($AG570,$CI$2:$CI$5,0),0)&amp;BK570,""))</f>
        <v/>
      </c>
      <c r="BH570" s="467" t="str">
        <f t="shared" ref="BH570:BH633" si="347">IF(OR(AZ570=4,AZ570=5),IF(OR(LEFT(BF570,1)="1",LEFT(BG570,1)="2",LEFT(BG570,1)="3"),1,2)&amp;BK570,"")</f>
        <v/>
      </c>
      <c r="BI570" s="467" t="str">
        <f t="shared" ref="BI570:BI633" ca="1" si="348">IF(LEFT(BF570)="1",1,IF(LEFT(BG570,1)="2",2,IF(LEFT(BG570,1)="3",3,"")))</f>
        <v/>
      </c>
      <c r="BJ570" s="469" t="str">
        <f t="shared" ref="BJ570:BJ633" si="349">IF(AT570="","",B570&amp;"-"&amp;AZ570)</f>
        <v/>
      </c>
      <c r="BK570" s="470" t="str">
        <f t="shared" si="333"/>
        <v/>
      </c>
      <c r="BL570" s="775" t="str">
        <f t="shared" ref="BL570:BL633" si="350">IF(AND(OR($T570="新規",$T570="継続"),ISBLANK($AD570)),1,"")</f>
        <v/>
      </c>
      <c r="BM570" s="775" t="str">
        <f t="shared" ref="BM570:BM633" si="351">IF(AND(OR($T570="新規",$T570="継続"),ISBLANK($AE570)),1,"")</f>
        <v/>
      </c>
    </row>
    <row r="571" spans="1:65">
      <c r="A571" s="473">
        <v>515</v>
      </c>
      <c r="B571" s="132"/>
      <c r="C571" s="332"/>
      <c r="D571" s="333"/>
      <c r="E571" s="333"/>
      <c r="F571" s="334"/>
      <c r="G571" s="337"/>
      <c r="H571" s="131"/>
      <c r="I571" s="337"/>
      <c r="J571" s="131"/>
      <c r="K571" s="458" t="str">
        <f t="shared" si="320"/>
        <v/>
      </c>
      <c r="L571" s="458">
        <f t="shared" si="321"/>
        <v>0</v>
      </c>
      <c r="M571" s="458">
        <f t="shared" si="322"/>
        <v>0</v>
      </c>
      <c r="N571" s="459" t="str">
        <f t="shared" si="283"/>
        <v/>
      </c>
      <c r="O571" s="459" t="str">
        <f t="shared" si="284"/>
        <v/>
      </c>
      <c r="P571" s="459" t="str">
        <f t="shared" si="285"/>
        <v/>
      </c>
      <c r="Q571" s="459" t="str">
        <f t="shared" si="286"/>
        <v/>
      </c>
      <c r="R571" s="459" t="str">
        <f t="shared" si="287"/>
        <v/>
      </c>
      <c r="S571" s="459" t="str">
        <f t="shared" si="288"/>
        <v/>
      </c>
      <c r="T571" s="566" t="str">
        <f t="shared" si="323"/>
        <v/>
      </c>
      <c r="U571" s="702"/>
      <c r="V571" s="132"/>
      <c r="W571" s="133"/>
      <c r="X571" s="134"/>
      <c r="Y571" s="135"/>
      <c r="Z571" s="137"/>
      <c r="AA571" s="136"/>
      <c r="AB571" s="566" t="str">
        <f t="shared" si="324"/>
        <v/>
      </c>
      <c r="AC571" s="568" t="str">
        <f t="shared" si="325"/>
        <v/>
      </c>
      <c r="AD571" s="137"/>
      <c r="AE571" s="137"/>
      <c r="AF571" s="138"/>
      <c r="AG571" s="138"/>
      <c r="AH571" s="592" t="str">
        <f t="shared" si="326"/>
        <v/>
      </c>
      <c r="AI571" s="592" t="str">
        <f t="shared" si="327"/>
        <v/>
      </c>
      <c r="AJ571" s="592" t="str">
        <f t="shared" si="328"/>
        <v/>
      </c>
      <c r="AK571" s="460" t="str">
        <f>IF(AU571="","",IF(OR(AZ571=8,AZ571=9),0,IF(OR(AW571=3,AW571=4,AW571=5,AW571=6),IF(LEFT(BF571,1)="1",INDEX(係数_NOX・PM低減,MATCH(AY571,【参考】排出係数!$AI$801:$AI$804,1),1),VLOOKUP(AU571,INDEX((係数_バス貨物_ガソリン,係数_バス貨物_CNG,係数_バス貨物_軽油,係数_バス貨物_メタノール,係数_バス貨物_LPG),MATCH(AY571,【参考】排出係数!$AI$4:$AI$671,1),1,BE571):INDEX((係数_バス貨物_ガソリン,係数_バス貨物_CNG,係数_バス貨物_軽油,係数_バス貨物_メタノール,係数_バス貨物_LPG),MATCH(AY571+1,【参考】排出係数!$AI$4:$AI$671,1)-1,5,BE571),4,FALSE)),IF(AND(BE571=3,LEFT(BF571,1)="1"),0.48,VLOOKUP(AU571,INDEX((係数_乗用_ガソリン,係数_乗用_CNG,係数_乗用_軽油,係数_乗用_メタノール,係数_乗用_LPG),1,1,BE571):INDEX((係数_乗用_ガソリン,係数_乗用_CNG,係数_乗用_軽油,係数_乗用_メタノール,係数_乗用_LPG),125,5,BE571),4,FALSE)))))</f>
        <v/>
      </c>
      <c r="AL571" s="461" t="str">
        <f t="shared" si="329"/>
        <v/>
      </c>
      <c r="AM571" s="460" t="str">
        <f>IF(AU571="","",IF(OR(AZ571=8,AZ571=9),0,IF(OR(AW571=3,AW571=4,AW571=5,AW571=6),IF(LEFT(BH571,1)="1",INDEX(係数_PM低減,MATCH(AY571,【参考】排出係数!$AI$801:$AI$804,1),MATCH(BI571,【参考】排出係数!$AL$798:$AO$798,1)),VLOOKUP(AU571,INDEX((係数_バス貨物_ガソリン,係数_バス貨物_CNG,係数_バス貨物_軽油,係数_バス貨物_メタノール,係数_バス貨物_LPG),MATCH(AY571,【参考】排出係数!$AI$4:$AI$671,1),1,BE571):INDEX((係数_バス貨物_ガソリン,係数_バス貨物_CNG,係数_バス貨物_軽油,係数_バス貨物_メタノール,係数_バス貨物_LPG),MATCH(AY571+1,【参考】排出係数!$AI$4:$AI$671,1)-1,5,BE571),5,FALSE)),IF(AND(BE571=3,LEFT(BF571,1)="1"),0.055,VLOOKUP(AU571,INDEX((係数_乗用_ガソリン,係数_乗用_CNG,係数_乗用_軽油,係数_乗用_メタノール,係数_乗用_LPG),1,1,BE571):INDEX((係数_乗用_ガソリン,係数_乗用_CNG,係数_乗用_軽油,係数_乗用_メタノール,係数_乗用_LPG),125,5,BE571),5,FALSE)))))</f>
        <v/>
      </c>
      <c r="AN571" s="461" t="str">
        <f t="shared" si="330"/>
        <v/>
      </c>
      <c r="AO571" s="462" t="str">
        <f t="shared" si="331"/>
        <v/>
      </c>
      <c r="AP571" s="463" t="str">
        <f t="shared" si="332"/>
        <v/>
      </c>
      <c r="AQ571" s="464"/>
      <c r="AR571" s="619"/>
      <c r="AS571" s="465" t="str">
        <f t="shared" si="334"/>
        <v/>
      </c>
      <c r="AT571" s="465" t="str">
        <f t="shared" si="335"/>
        <v/>
      </c>
      <c r="AU571" s="466" t="str">
        <f t="shared" si="336"/>
        <v/>
      </c>
      <c r="AV571" s="467" t="str">
        <f t="shared" si="337"/>
        <v/>
      </c>
      <c r="AW571" s="467" t="str">
        <f t="shared" si="338"/>
        <v/>
      </c>
      <c r="AX571" s="467" t="str">
        <f t="shared" si="339"/>
        <v/>
      </c>
      <c r="AY571" s="467" t="str">
        <f t="shared" si="340"/>
        <v/>
      </c>
      <c r="AZ571" s="467" t="str">
        <f t="shared" si="341"/>
        <v/>
      </c>
      <c r="BA571" s="468" t="str">
        <f>IF(AS571="","",IF(OR(AU571="",AU571="-"),"－",IF(OR(AZ571=8,AZ571=9),"",IF(OR(AW571=3,AW571=4,AW571=5,AW571=6),VLOOKUP(AU571,INDEX((係数_バス貨物_ガソリン,係数_バス貨物_CNG,係数_バス貨物_軽油,係数_バス貨物_メタノール,係数_バス貨物_LPG),MATCH(AY571,【参考】排出係数!$AI$4:$AI$671,1),1,BE571):INDEX((係数_バス貨物_ガソリン,係数_バス貨物_CNG,係数_バス貨物_軽油,係数_バス貨物_メタノール,係数_バス貨物_LPG),MATCH(AY571+1,【参考】排出係数!$AI$4:$AI$671,1)-1,5,BE571),2,FALSE),IF(OR(AW571=1,AW571=2),VLOOKUP(AU571,INDEX((係数_乗用_ガソリン,係数_乗用_CNG,係数_乗用_軽油,係数_乗用_メタノール,係数_乗用_LPG),1,1,BE571):INDEX((係数_乗用_ガソリン,係数_乗用_CNG,係数_乗用_軽油,係数_乗用_メタノール,係数_乗用_LPG),125,5,BE571),2,FALSE))))))</f>
        <v/>
      </c>
      <c r="BB571" s="468" t="str">
        <f>IF(T571="","",IF(OR(AU571="",AU571="-"),"－",IF(OR(AZ571=8,AZ571=9),"",IF(OR(AW571=3,AW571=4,AW571=5,AW571=6),VLOOKUP(AU571,INDEX((係数_バス貨物_ガソリン,係数_バス貨物_CNG,係数_バス貨物_軽油,係数_バス貨物_メタノール,係数_バス貨物_LPG),MATCH(AY571,【参考】排出係数!$AI$4:$AI$671,1),1,BE571):INDEX((係数_バス貨物_ガソリン,係数_バス貨物_CNG,係数_バス貨物_軽油,係数_バス貨物_メタノール,係数_バス貨物_LPG),MATCH(AY571+1,【参考】排出係数!$AI$4:$AI$671,1)-1,5,BE571),3,FALSE),IF(OR(AW571=1,AW571=2),VLOOKUP(AU571,INDEX((係数_乗用_ガソリン,係数_乗用_CNG,係数_乗用_軽油,係数_乗用_メタノール,係数_乗用_LPG),1,1,BE571):INDEX((係数_乗用_ガソリン,係数_乗用_CNG,係数_乗用_軽油,係数_乗用_メタノール,係数_乗用_LPG),125,5,BE571),3,FALSE))))))</f>
        <v/>
      </c>
      <c r="BC571" s="467" t="str">
        <f t="shared" si="342"/>
        <v/>
      </c>
      <c r="BD571" s="567" t="str">
        <f t="shared" si="343"/>
        <v/>
      </c>
      <c r="BE571" s="467" t="str">
        <f t="shared" si="344"/>
        <v/>
      </c>
      <c r="BF571" s="469" t="str">
        <f t="shared" ca="1" si="345"/>
        <v/>
      </c>
      <c r="BG571" s="469" t="str">
        <f t="shared" ca="1" si="346"/>
        <v/>
      </c>
      <c r="BH571" s="467" t="str">
        <f t="shared" si="347"/>
        <v/>
      </c>
      <c r="BI571" s="467" t="str">
        <f t="shared" ca="1" si="348"/>
        <v/>
      </c>
      <c r="BJ571" s="469" t="str">
        <f t="shared" si="349"/>
        <v/>
      </c>
      <c r="BK571" s="470" t="str">
        <f t="shared" si="333"/>
        <v/>
      </c>
      <c r="BL571" s="775" t="str">
        <f t="shared" si="350"/>
        <v/>
      </c>
      <c r="BM571" s="775" t="str">
        <f t="shared" si="351"/>
        <v/>
      </c>
    </row>
    <row r="572" spans="1:65">
      <c r="A572" s="473">
        <v>516</v>
      </c>
      <c r="B572" s="132"/>
      <c r="C572" s="332"/>
      <c r="D572" s="333"/>
      <c r="E572" s="333"/>
      <c r="F572" s="334"/>
      <c r="G572" s="337"/>
      <c r="H572" s="131"/>
      <c r="I572" s="337"/>
      <c r="J572" s="131"/>
      <c r="K572" s="458" t="str">
        <f t="shared" si="320"/>
        <v/>
      </c>
      <c r="L572" s="458">
        <f t="shared" si="321"/>
        <v>0</v>
      </c>
      <c r="M572" s="458">
        <f t="shared" si="322"/>
        <v>0</v>
      </c>
      <c r="N572" s="459" t="str">
        <f t="shared" si="283"/>
        <v/>
      </c>
      <c r="O572" s="459" t="str">
        <f t="shared" si="284"/>
        <v/>
      </c>
      <c r="P572" s="459" t="str">
        <f t="shared" si="285"/>
        <v/>
      </c>
      <c r="Q572" s="459" t="str">
        <f t="shared" si="286"/>
        <v/>
      </c>
      <c r="R572" s="459" t="str">
        <f t="shared" si="287"/>
        <v/>
      </c>
      <c r="S572" s="459" t="str">
        <f t="shared" si="288"/>
        <v/>
      </c>
      <c r="T572" s="566" t="str">
        <f t="shared" si="323"/>
        <v/>
      </c>
      <c r="U572" s="702"/>
      <c r="V572" s="132"/>
      <c r="W572" s="133"/>
      <c r="X572" s="134"/>
      <c r="Y572" s="135"/>
      <c r="Z572" s="137"/>
      <c r="AA572" s="136"/>
      <c r="AB572" s="566" t="str">
        <f t="shared" si="324"/>
        <v/>
      </c>
      <c r="AC572" s="568" t="str">
        <f t="shared" si="325"/>
        <v/>
      </c>
      <c r="AD572" s="137"/>
      <c r="AE572" s="137"/>
      <c r="AF572" s="138"/>
      <c r="AG572" s="138"/>
      <c r="AH572" s="592" t="str">
        <f t="shared" si="326"/>
        <v/>
      </c>
      <c r="AI572" s="592" t="str">
        <f t="shared" si="327"/>
        <v/>
      </c>
      <c r="AJ572" s="592" t="str">
        <f t="shared" si="328"/>
        <v/>
      </c>
      <c r="AK572" s="460" t="str">
        <f>IF(AU572="","",IF(OR(AZ572=8,AZ572=9),0,IF(OR(AW572=3,AW572=4,AW572=5,AW572=6),IF(LEFT(BF572,1)="1",INDEX(係数_NOX・PM低減,MATCH(AY572,【参考】排出係数!$AI$801:$AI$804,1),1),VLOOKUP(AU572,INDEX((係数_バス貨物_ガソリン,係数_バス貨物_CNG,係数_バス貨物_軽油,係数_バス貨物_メタノール,係数_バス貨物_LPG),MATCH(AY572,【参考】排出係数!$AI$4:$AI$671,1),1,BE572):INDEX((係数_バス貨物_ガソリン,係数_バス貨物_CNG,係数_バス貨物_軽油,係数_バス貨物_メタノール,係数_バス貨物_LPG),MATCH(AY572+1,【参考】排出係数!$AI$4:$AI$671,1)-1,5,BE572),4,FALSE)),IF(AND(BE572=3,LEFT(BF572,1)="1"),0.48,VLOOKUP(AU572,INDEX((係数_乗用_ガソリン,係数_乗用_CNG,係数_乗用_軽油,係数_乗用_メタノール,係数_乗用_LPG),1,1,BE572):INDEX((係数_乗用_ガソリン,係数_乗用_CNG,係数_乗用_軽油,係数_乗用_メタノール,係数_乗用_LPG),125,5,BE572),4,FALSE)))))</f>
        <v/>
      </c>
      <c r="AL572" s="461" t="str">
        <f t="shared" si="329"/>
        <v/>
      </c>
      <c r="AM572" s="460" t="str">
        <f>IF(AU572="","",IF(OR(AZ572=8,AZ572=9),0,IF(OR(AW572=3,AW572=4,AW572=5,AW572=6),IF(LEFT(BH572,1)="1",INDEX(係数_PM低減,MATCH(AY572,【参考】排出係数!$AI$801:$AI$804,1),MATCH(BI572,【参考】排出係数!$AL$798:$AO$798,1)),VLOOKUP(AU572,INDEX((係数_バス貨物_ガソリン,係数_バス貨物_CNG,係数_バス貨物_軽油,係数_バス貨物_メタノール,係数_バス貨物_LPG),MATCH(AY572,【参考】排出係数!$AI$4:$AI$671,1),1,BE572):INDEX((係数_バス貨物_ガソリン,係数_バス貨物_CNG,係数_バス貨物_軽油,係数_バス貨物_メタノール,係数_バス貨物_LPG),MATCH(AY572+1,【参考】排出係数!$AI$4:$AI$671,1)-1,5,BE572),5,FALSE)),IF(AND(BE572=3,LEFT(BF572,1)="1"),0.055,VLOOKUP(AU572,INDEX((係数_乗用_ガソリン,係数_乗用_CNG,係数_乗用_軽油,係数_乗用_メタノール,係数_乗用_LPG),1,1,BE572):INDEX((係数_乗用_ガソリン,係数_乗用_CNG,係数_乗用_軽油,係数_乗用_メタノール,係数_乗用_LPG),125,5,BE572),5,FALSE)))))</f>
        <v/>
      </c>
      <c r="AN572" s="461" t="str">
        <f t="shared" si="330"/>
        <v/>
      </c>
      <c r="AO572" s="462" t="str">
        <f t="shared" si="331"/>
        <v/>
      </c>
      <c r="AP572" s="463" t="str">
        <f t="shared" si="332"/>
        <v/>
      </c>
      <c r="AQ572" s="464"/>
      <c r="AR572" s="619"/>
      <c r="AS572" s="465" t="str">
        <f t="shared" si="334"/>
        <v/>
      </c>
      <c r="AT572" s="465" t="str">
        <f t="shared" si="335"/>
        <v/>
      </c>
      <c r="AU572" s="466" t="str">
        <f t="shared" si="336"/>
        <v/>
      </c>
      <c r="AV572" s="467" t="str">
        <f t="shared" si="337"/>
        <v/>
      </c>
      <c r="AW572" s="467" t="str">
        <f t="shared" si="338"/>
        <v/>
      </c>
      <c r="AX572" s="467" t="str">
        <f t="shared" si="339"/>
        <v/>
      </c>
      <c r="AY572" s="467" t="str">
        <f t="shared" si="340"/>
        <v/>
      </c>
      <c r="AZ572" s="467" t="str">
        <f t="shared" si="341"/>
        <v/>
      </c>
      <c r="BA572" s="468" t="str">
        <f>IF(AS572="","",IF(OR(AU572="",AU572="-"),"－",IF(OR(AZ572=8,AZ572=9),"",IF(OR(AW572=3,AW572=4,AW572=5,AW572=6),VLOOKUP(AU572,INDEX((係数_バス貨物_ガソリン,係数_バス貨物_CNG,係数_バス貨物_軽油,係数_バス貨物_メタノール,係数_バス貨物_LPG),MATCH(AY572,【参考】排出係数!$AI$4:$AI$671,1),1,BE572):INDEX((係数_バス貨物_ガソリン,係数_バス貨物_CNG,係数_バス貨物_軽油,係数_バス貨物_メタノール,係数_バス貨物_LPG),MATCH(AY572+1,【参考】排出係数!$AI$4:$AI$671,1)-1,5,BE572),2,FALSE),IF(OR(AW572=1,AW572=2),VLOOKUP(AU572,INDEX((係数_乗用_ガソリン,係数_乗用_CNG,係数_乗用_軽油,係数_乗用_メタノール,係数_乗用_LPG),1,1,BE572):INDEX((係数_乗用_ガソリン,係数_乗用_CNG,係数_乗用_軽油,係数_乗用_メタノール,係数_乗用_LPG),125,5,BE572),2,FALSE))))))</f>
        <v/>
      </c>
      <c r="BB572" s="468" t="str">
        <f>IF(T572="","",IF(OR(AU572="",AU572="-"),"－",IF(OR(AZ572=8,AZ572=9),"",IF(OR(AW572=3,AW572=4,AW572=5,AW572=6),VLOOKUP(AU572,INDEX((係数_バス貨物_ガソリン,係数_バス貨物_CNG,係数_バス貨物_軽油,係数_バス貨物_メタノール,係数_バス貨物_LPG),MATCH(AY572,【参考】排出係数!$AI$4:$AI$671,1),1,BE572):INDEX((係数_バス貨物_ガソリン,係数_バス貨物_CNG,係数_バス貨物_軽油,係数_バス貨物_メタノール,係数_バス貨物_LPG),MATCH(AY572+1,【参考】排出係数!$AI$4:$AI$671,1)-1,5,BE572),3,FALSE),IF(OR(AW572=1,AW572=2),VLOOKUP(AU572,INDEX((係数_乗用_ガソリン,係数_乗用_CNG,係数_乗用_軽油,係数_乗用_メタノール,係数_乗用_LPG),1,1,BE572):INDEX((係数_乗用_ガソリン,係数_乗用_CNG,係数_乗用_軽油,係数_乗用_メタノール,係数_乗用_LPG),125,5,BE572),3,FALSE))))))</f>
        <v/>
      </c>
      <c r="BC572" s="467" t="str">
        <f t="shared" si="342"/>
        <v/>
      </c>
      <c r="BD572" s="567" t="str">
        <f t="shared" si="343"/>
        <v/>
      </c>
      <c r="BE572" s="467" t="str">
        <f t="shared" si="344"/>
        <v/>
      </c>
      <c r="BF572" s="469" t="str">
        <f t="shared" ca="1" si="345"/>
        <v/>
      </c>
      <c r="BG572" s="469" t="str">
        <f t="shared" ca="1" si="346"/>
        <v/>
      </c>
      <c r="BH572" s="467" t="str">
        <f t="shared" si="347"/>
        <v/>
      </c>
      <c r="BI572" s="467" t="str">
        <f t="shared" ca="1" si="348"/>
        <v/>
      </c>
      <c r="BJ572" s="469" t="str">
        <f t="shared" si="349"/>
        <v/>
      </c>
      <c r="BK572" s="470" t="str">
        <f t="shared" si="333"/>
        <v/>
      </c>
      <c r="BL572" s="775" t="str">
        <f t="shared" si="350"/>
        <v/>
      </c>
      <c r="BM572" s="775" t="str">
        <f t="shared" si="351"/>
        <v/>
      </c>
    </row>
    <row r="573" spans="1:65">
      <c r="A573" s="473">
        <v>517</v>
      </c>
      <c r="B573" s="132"/>
      <c r="C573" s="332"/>
      <c r="D573" s="333"/>
      <c r="E573" s="333"/>
      <c r="F573" s="334"/>
      <c r="G573" s="337"/>
      <c r="H573" s="131"/>
      <c r="I573" s="337"/>
      <c r="J573" s="131"/>
      <c r="K573" s="458" t="str">
        <f t="shared" si="320"/>
        <v/>
      </c>
      <c r="L573" s="458">
        <f t="shared" si="321"/>
        <v>0</v>
      </c>
      <c r="M573" s="458">
        <f t="shared" si="322"/>
        <v>0</v>
      </c>
      <c r="N573" s="459" t="str">
        <f t="shared" si="283"/>
        <v/>
      </c>
      <c r="O573" s="459" t="str">
        <f t="shared" si="284"/>
        <v/>
      </c>
      <c r="P573" s="459" t="str">
        <f t="shared" si="285"/>
        <v/>
      </c>
      <c r="Q573" s="459" t="str">
        <f t="shared" si="286"/>
        <v/>
      </c>
      <c r="R573" s="459" t="str">
        <f t="shared" si="287"/>
        <v/>
      </c>
      <c r="S573" s="459" t="str">
        <f t="shared" si="288"/>
        <v/>
      </c>
      <c r="T573" s="566" t="str">
        <f t="shared" si="323"/>
        <v/>
      </c>
      <c r="U573" s="702"/>
      <c r="V573" s="132"/>
      <c r="W573" s="133"/>
      <c r="X573" s="134"/>
      <c r="Y573" s="135"/>
      <c r="Z573" s="137"/>
      <c r="AA573" s="136"/>
      <c r="AB573" s="566" t="str">
        <f t="shared" si="324"/>
        <v/>
      </c>
      <c r="AC573" s="568" t="str">
        <f t="shared" si="325"/>
        <v/>
      </c>
      <c r="AD573" s="137"/>
      <c r="AE573" s="137"/>
      <c r="AF573" s="138"/>
      <c r="AG573" s="138"/>
      <c r="AH573" s="592" t="str">
        <f t="shared" si="326"/>
        <v/>
      </c>
      <c r="AI573" s="592" t="str">
        <f t="shared" si="327"/>
        <v/>
      </c>
      <c r="AJ573" s="592" t="str">
        <f t="shared" si="328"/>
        <v/>
      </c>
      <c r="AK573" s="460" t="str">
        <f>IF(AU573="","",IF(OR(AZ573=8,AZ573=9),0,IF(OR(AW573=3,AW573=4,AW573=5,AW573=6),IF(LEFT(BF573,1)="1",INDEX(係数_NOX・PM低減,MATCH(AY573,【参考】排出係数!$AI$801:$AI$804,1),1),VLOOKUP(AU573,INDEX((係数_バス貨物_ガソリン,係数_バス貨物_CNG,係数_バス貨物_軽油,係数_バス貨物_メタノール,係数_バス貨物_LPG),MATCH(AY573,【参考】排出係数!$AI$4:$AI$671,1),1,BE573):INDEX((係数_バス貨物_ガソリン,係数_バス貨物_CNG,係数_バス貨物_軽油,係数_バス貨物_メタノール,係数_バス貨物_LPG),MATCH(AY573+1,【参考】排出係数!$AI$4:$AI$671,1)-1,5,BE573),4,FALSE)),IF(AND(BE573=3,LEFT(BF573,1)="1"),0.48,VLOOKUP(AU573,INDEX((係数_乗用_ガソリン,係数_乗用_CNG,係数_乗用_軽油,係数_乗用_メタノール,係数_乗用_LPG),1,1,BE573):INDEX((係数_乗用_ガソリン,係数_乗用_CNG,係数_乗用_軽油,係数_乗用_メタノール,係数_乗用_LPG),125,5,BE573),4,FALSE)))))</f>
        <v/>
      </c>
      <c r="AL573" s="461" t="str">
        <f t="shared" si="329"/>
        <v/>
      </c>
      <c r="AM573" s="460" t="str">
        <f>IF(AU573="","",IF(OR(AZ573=8,AZ573=9),0,IF(OR(AW573=3,AW573=4,AW573=5,AW573=6),IF(LEFT(BH573,1)="1",INDEX(係数_PM低減,MATCH(AY573,【参考】排出係数!$AI$801:$AI$804,1),MATCH(BI573,【参考】排出係数!$AL$798:$AO$798,1)),VLOOKUP(AU573,INDEX((係数_バス貨物_ガソリン,係数_バス貨物_CNG,係数_バス貨物_軽油,係数_バス貨物_メタノール,係数_バス貨物_LPG),MATCH(AY573,【参考】排出係数!$AI$4:$AI$671,1),1,BE573):INDEX((係数_バス貨物_ガソリン,係数_バス貨物_CNG,係数_バス貨物_軽油,係数_バス貨物_メタノール,係数_バス貨物_LPG),MATCH(AY573+1,【参考】排出係数!$AI$4:$AI$671,1)-1,5,BE573),5,FALSE)),IF(AND(BE573=3,LEFT(BF573,1)="1"),0.055,VLOOKUP(AU573,INDEX((係数_乗用_ガソリン,係数_乗用_CNG,係数_乗用_軽油,係数_乗用_メタノール,係数_乗用_LPG),1,1,BE573):INDEX((係数_乗用_ガソリン,係数_乗用_CNG,係数_乗用_軽油,係数_乗用_メタノール,係数_乗用_LPG),125,5,BE573),5,FALSE)))))</f>
        <v/>
      </c>
      <c r="AN573" s="461" t="str">
        <f t="shared" si="330"/>
        <v/>
      </c>
      <c r="AO573" s="462" t="str">
        <f t="shared" si="331"/>
        <v/>
      </c>
      <c r="AP573" s="463" t="str">
        <f t="shared" si="332"/>
        <v/>
      </c>
      <c r="AQ573" s="464"/>
      <c r="AR573" s="619"/>
      <c r="AS573" s="465" t="str">
        <f t="shared" si="334"/>
        <v/>
      </c>
      <c r="AT573" s="465" t="str">
        <f t="shared" si="335"/>
        <v/>
      </c>
      <c r="AU573" s="466" t="str">
        <f t="shared" si="336"/>
        <v/>
      </c>
      <c r="AV573" s="467" t="str">
        <f t="shared" si="337"/>
        <v/>
      </c>
      <c r="AW573" s="467" t="str">
        <f t="shared" si="338"/>
        <v/>
      </c>
      <c r="AX573" s="467" t="str">
        <f t="shared" si="339"/>
        <v/>
      </c>
      <c r="AY573" s="467" t="str">
        <f t="shared" si="340"/>
        <v/>
      </c>
      <c r="AZ573" s="467" t="str">
        <f t="shared" si="341"/>
        <v/>
      </c>
      <c r="BA573" s="468" t="str">
        <f>IF(AS573="","",IF(OR(AU573="",AU573="-"),"－",IF(OR(AZ573=8,AZ573=9),"",IF(OR(AW573=3,AW573=4,AW573=5,AW573=6),VLOOKUP(AU573,INDEX((係数_バス貨物_ガソリン,係数_バス貨物_CNG,係数_バス貨物_軽油,係数_バス貨物_メタノール,係数_バス貨物_LPG),MATCH(AY573,【参考】排出係数!$AI$4:$AI$671,1),1,BE573):INDEX((係数_バス貨物_ガソリン,係数_バス貨物_CNG,係数_バス貨物_軽油,係数_バス貨物_メタノール,係数_バス貨物_LPG),MATCH(AY573+1,【参考】排出係数!$AI$4:$AI$671,1)-1,5,BE573),2,FALSE),IF(OR(AW573=1,AW573=2),VLOOKUP(AU573,INDEX((係数_乗用_ガソリン,係数_乗用_CNG,係数_乗用_軽油,係数_乗用_メタノール,係数_乗用_LPG),1,1,BE573):INDEX((係数_乗用_ガソリン,係数_乗用_CNG,係数_乗用_軽油,係数_乗用_メタノール,係数_乗用_LPG),125,5,BE573),2,FALSE))))))</f>
        <v/>
      </c>
      <c r="BB573" s="468" t="str">
        <f>IF(T573="","",IF(OR(AU573="",AU573="-"),"－",IF(OR(AZ573=8,AZ573=9),"",IF(OR(AW573=3,AW573=4,AW573=5,AW573=6),VLOOKUP(AU573,INDEX((係数_バス貨物_ガソリン,係数_バス貨物_CNG,係数_バス貨物_軽油,係数_バス貨物_メタノール,係数_バス貨物_LPG),MATCH(AY573,【参考】排出係数!$AI$4:$AI$671,1),1,BE573):INDEX((係数_バス貨物_ガソリン,係数_バス貨物_CNG,係数_バス貨物_軽油,係数_バス貨物_メタノール,係数_バス貨物_LPG),MATCH(AY573+1,【参考】排出係数!$AI$4:$AI$671,1)-1,5,BE573),3,FALSE),IF(OR(AW573=1,AW573=2),VLOOKUP(AU573,INDEX((係数_乗用_ガソリン,係数_乗用_CNG,係数_乗用_軽油,係数_乗用_メタノール,係数_乗用_LPG),1,1,BE573):INDEX((係数_乗用_ガソリン,係数_乗用_CNG,係数_乗用_軽油,係数_乗用_メタノール,係数_乗用_LPG),125,5,BE573),3,FALSE))))))</f>
        <v/>
      </c>
      <c r="BC573" s="467" t="str">
        <f t="shared" si="342"/>
        <v/>
      </c>
      <c r="BD573" s="567" t="str">
        <f t="shared" si="343"/>
        <v/>
      </c>
      <c r="BE573" s="467" t="str">
        <f t="shared" si="344"/>
        <v/>
      </c>
      <c r="BF573" s="469" t="str">
        <f t="shared" ca="1" si="345"/>
        <v/>
      </c>
      <c r="BG573" s="469" t="str">
        <f t="shared" ca="1" si="346"/>
        <v/>
      </c>
      <c r="BH573" s="467" t="str">
        <f t="shared" si="347"/>
        <v/>
      </c>
      <c r="BI573" s="467" t="str">
        <f t="shared" ca="1" si="348"/>
        <v/>
      </c>
      <c r="BJ573" s="469" t="str">
        <f t="shared" si="349"/>
        <v/>
      </c>
      <c r="BK573" s="470" t="str">
        <f t="shared" si="333"/>
        <v/>
      </c>
      <c r="BL573" s="775" t="str">
        <f t="shared" si="350"/>
        <v/>
      </c>
      <c r="BM573" s="775" t="str">
        <f t="shared" si="351"/>
        <v/>
      </c>
    </row>
    <row r="574" spans="1:65">
      <c r="A574" s="473">
        <v>518</v>
      </c>
      <c r="B574" s="132"/>
      <c r="C574" s="332"/>
      <c r="D574" s="333"/>
      <c r="E574" s="333"/>
      <c r="F574" s="334"/>
      <c r="G574" s="337"/>
      <c r="H574" s="131"/>
      <c r="I574" s="337"/>
      <c r="J574" s="131"/>
      <c r="K574" s="458" t="str">
        <f t="shared" si="320"/>
        <v/>
      </c>
      <c r="L574" s="458">
        <f t="shared" si="321"/>
        <v>0</v>
      </c>
      <c r="M574" s="458">
        <f t="shared" si="322"/>
        <v>0</v>
      </c>
      <c r="N574" s="459" t="str">
        <f t="shared" si="283"/>
        <v/>
      </c>
      <c r="O574" s="459" t="str">
        <f t="shared" si="284"/>
        <v/>
      </c>
      <c r="P574" s="459" t="str">
        <f t="shared" si="285"/>
        <v/>
      </c>
      <c r="Q574" s="459" t="str">
        <f t="shared" si="286"/>
        <v/>
      </c>
      <c r="R574" s="459" t="str">
        <f t="shared" si="287"/>
        <v/>
      </c>
      <c r="S574" s="459" t="str">
        <f t="shared" si="288"/>
        <v/>
      </c>
      <c r="T574" s="566" t="str">
        <f t="shared" si="323"/>
        <v/>
      </c>
      <c r="U574" s="702"/>
      <c r="V574" s="132"/>
      <c r="W574" s="133"/>
      <c r="X574" s="134"/>
      <c r="Y574" s="135"/>
      <c r="Z574" s="137"/>
      <c r="AA574" s="136"/>
      <c r="AB574" s="566" t="str">
        <f t="shared" si="324"/>
        <v/>
      </c>
      <c r="AC574" s="568" t="str">
        <f t="shared" si="325"/>
        <v/>
      </c>
      <c r="AD574" s="137"/>
      <c r="AE574" s="137"/>
      <c r="AF574" s="138"/>
      <c r="AG574" s="138"/>
      <c r="AH574" s="592" t="str">
        <f t="shared" si="326"/>
        <v/>
      </c>
      <c r="AI574" s="592" t="str">
        <f t="shared" si="327"/>
        <v/>
      </c>
      <c r="AJ574" s="592" t="str">
        <f t="shared" si="328"/>
        <v/>
      </c>
      <c r="AK574" s="460" t="str">
        <f>IF(AU574="","",IF(OR(AZ574=8,AZ574=9),0,IF(OR(AW574=3,AW574=4,AW574=5,AW574=6),IF(LEFT(BF574,1)="1",INDEX(係数_NOX・PM低減,MATCH(AY574,【参考】排出係数!$AI$801:$AI$804,1),1),VLOOKUP(AU574,INDEX((係数_バス貨物_ガソリン,係数_バス貨物_CNG,係数_バス貨物_軽油,係数_バス貨物_メタノール,係数_バス貨物_LPG),MATCH(AY574,【参考】排出係数!$AI$4:$AI$671,1),1,BE574):INDEX((係数_バス貨物_ガソリン,係数_バス貨物_CNG,係数_バス貨物_軽油,係数_バス貨物_メタノール,係数_バス貨物_LPG),MATCH(AY574+1,【参考】排出係数!$AI$4:$AI$671,1)-1,5,BE574),4,FALSE)),IF(AND(BE574=3,LEFT(BF574,1)="1"),0.48,VLOOKUP(AU574,INDEX((係数_乗用_ガソリン,係数_乗用_CNG,係数_乗用_軽油,係数_乗用_メタノール,係数_乗用_LPG),1,1,BE574):INDEX((係数_乗用_ガソリン,係数_乗用_CNG,係数_乗用_軽油,係数_乗用_メタノール,係数_乗用_LPG),125,5,BE574),4,FALSE)))))</f>
        <v/>
      </c>
      <c r="AL574" s="461" t="str">
        <f t="shared" si="329"/>
        <v/>
      </c>
      <c r="AM574" s="460" t="str">
        <f>IF(AU574="","",IF(OR(AZ574=8,AZ574=9),0,IF(OR(AW574=3,AW574=4,AW574=5,AW574=6),IF(LEFT(BH574,1)="1",INDEX(係数_PM低減,MATCH(AY574,【参考】排出係数!$AI$801:$AI$804,1),MATCH(BI574,【参考】排出係数!$AL$798:$AO$798,1)),VLOOKUP(AU574,INDEX((係数_バス貨物_ガソリン,係数_バス貨物_CNG,係数_バス貨物_軽油,係数_バス貨物_メタノール,係数_バス貨物_LPG),MATCH(AY574,【参考】排出係数!$AI$4:$AI$671,1),1,BE574):INDEX((係数_バス貨物_ガソリン,係数_バス貨物_CNG,係数_バス貨物_軽油,係数_バス貨物_メタノール,係数_バス貨物_LPG),MATCH(AY574+1,【参考】排出係数!$AI$4:$AI$671,1)-1,5,BE574),5,FALSE)),IF(AND(BE574=3,LEFT(BF574,1)="1"),0.055,VLOOKUP(AU574,INDEX((係数_乗用_ガソリン,係数_乗用_CNG,係数_乗用_軽油,係数_乗用_メタノール,係数_乗用_LPG),1,1,BE574):INDEX((係数_乗用_ガソリン,係数_乗用_CNG,係数_乗用_軽油,係数_乗用_メタノール,係数_乗用_LPG),125,5,BE574),5,FALSE)))))</f>
        <v/>
      </c>
      <c r="AN574" s="461" t="str">
        <f t="shared" si="330"/>
        <v/>
      </c>
      <c r="AO574" s="462" t="str">
        <f t="shared" si="331"/>
        <v/>
      </c>
      <c r="AP574" s="463" t="str">
        <f t="shared" si="332"/>
        <v/>
      </c>
      <c r="AQ574" s="464"/>
      <c r="AR574" s="619"/>
      <c r="AS574" s="465" t="str">
        <f t="shared" si="334"/>
        <v/>
      </c>
      <c r="AT574" s="465" t="str">
        <f t="shared" si="335"/>
        <v/>
      </c>
      <c r="AU574" s="466" t="str">
        <f t="shared" si="336"/>
        <v/>
      </c>
      <c r="AV574" s="467" t="str">
        <f t="shared" si="337"/>
        <v/>
      </c>
      <c r="AW574" s="467" t="str">
        <f t="shared" si="338"/>
        <v/>
      </c>
      <c r="AX574" s="467" t="str">
        <f t="shared" si="339"/>
        <v/>
      </c>
      <c r="AY574" s="467" t="str">
        <f t="shared" si="340"/>
        <v/>
      </c>
      <c r="AZ574" s="467" t="str">
        <f t="shared" si="341"/>
        <v/>
      </c>
      <c r="BA574" s="468" t="str">
        <f>IF(AS574="","",IF(OR(AU574="",AU574="-"),"－",IF(OR(AZ574=8,AZ574=9),"",IF(OR(AW574=3,AW574=4,AW574=5,AW574=6),VLOOKUP(AU574,INDEX((係数_バス貨物_ガソリン,係数_バス貨物_CNG,係数_バス貨物_軽油,係数_バス貨物_メタノール,係数_バス貨物_LPG),MATCH(AY574,【参考】排出係数!$AI$4:$AI$671,1),1,BE574):INDEX((係数_バス貨物_ガソリン,係数_バス貨物_CNG,係数_バス貨物_軽油,係数_バス貨物_メタノール,係数_バス貨物_LPG),MATCH(AY574+1,【参考】排出係数!$AI$4:$AI$671,1)-1,5,BE574),2,FALSE),IF(OR(AW574=1,AW574=2),VLOOKUP(AU574,INDEX((係数_乗用_ガソリン,係数_乗用_CNG,係数_乗用_軽油,係数_乗用_メタノール,係数_乗用_LPG),1,1,BE574):INDEX((係数_乗用_ガソリン,係数_乗用_CNG,係数_乗用_軽油,係数_乗用_メタノール,係数_乗用_LPG),125,5,BE574),2,FALSE))))))</f>
        <v/>
      </c>
      <c r="BB574" s="468" t="str">
        <f>IF(T574="","",IF(OR(AU574="",AU574="-"),"－",IF(OR(AZ574=8,AZ574=9),"",IF(OR(AW574=3,AW574=4,AW574=5,AW574=6),VLOOKUP(AU574,INDEX((係数_バス貨物_ガソリン,係数_バス貨物_CNG,係数_バス貨物_軽油,係数_バス貨物_メタノール,係数_バス貨物_LPG),MATCH(AY574,【参考】排出係数!$AI$4:$AI$671,1),1,BE574):INDEX((係数_バス貨物_ガソリン,係数_バス貨物_CNG,係数_バス貨物_軽油,係数_バス貨物_メタノール,係数_バス貨物_LPG),MATCH(AY574+1,【参考】排出係数!$AI$4:$AI$671,1)-1,5,BE574),3,FALSE),IF(OR(AW574=1,AW574=2),VLOOKUP(AU574,INDEX((係数_乗用_ガソリン,係数_乗用_CNG,係数_乗用_軽油,係数_乗用_メタノール,係数_乗用_LPG),1,1,BE574):INDEX((係数_乗用_ガソリン,係数_乗用_CNG,係数_乗用_軽油,係数_乗用_メタノール,係数_乗用_LPG),125,5,BE574),3,FALSE))))))</f>
        <v/>
      </c>
      <c r="BC574" s="467" t="str">
        <f t="shared" si="342"/>
        <v/>
      </c>
      <c r="BD574" s="567" t="str">
        <f t="shared" si="343"/>
        <v/>
      </c>
      <c r="BE574" s="467" t="str">
        <f t="shared" si="344"/>
        <v/>
      </c>
      <c r="BF574" s="469" t="str">
        <f t="shared" ca="1" si="345"/>
        <v/>
      </c>
      <c r="BG574" s="469" t="str">
        <f t="shared" ca="1" si="346"/>
        <v/>
      </c>
      <c r="BH574" s="467" t="str">
        <f t="shared" si="347"/>
        <v/>
      </c>
      <c r="BI574" s="467" t="str">
        <f t="shared" ca="1" si="348"/>
        <v/>
      </c>
      <c r="BJ574" s="469" t="str">
        <f t="shared" si="349"/>
        <v/>
      </c>
      <c r="BK574" s="470" t="str">
        <f t="shared" si="333"/>
        <v/>
      </c>
      <c r="BL574" s="775" t="str">
        <f t="shared" si="350"/>
        <v/>
      </c>
      <c r="BM574" s="775" t="str">
        <f t="shared" si="351"/>
        <v/>
      </c>
    </row>
    <row r="575" spans="1:65">
      <c r="A575" s="473">
        <v>519</v>
      </c>
      <c r="B575" s="132"/>
      <c r="C575" s="332"/>
      <c r="D575" s="333"/>
      <c r="E575" s="333"/>
      <c r="F575" s="334"/>
      <c r="G575" s="337"/>
      <c r="H575" s="131"/>
      <c r="I575" s="337"/>
      <c r="J575" s="131"/>
      <c r="K575" s="458" t="str">
        <f t="shared" si="320"/>
        <v/>
      </c>
      <c r="L575" s="458">
        <f t="shared" si="321"/>
        <v>0</v>
      </c>
      <c r="M575" s="458">
        <f t="shared" si="322"/>
        <v>0</v>
      </c>
      <c r="N575" s="459" t="str">
        <f t="shared" si="283"/>
        <v/>
      </c>
      <c r="O575" s="459" t="str">
        <f t="shared" si="284"/>
        <v/>
      </c>
      <c r="P575" s="459" t="str">
        <f t="shared" si="285"/>
        <v/>
      </c>
      <c r="Q575" s="459" t="str">
        <f t="shared" si="286"/>
        <v/>
      </c>
      <c r="R575" s="459" t="str">
        <f t="shared" si="287"/>
        <v/>
      </c>
      <c r="S575" s="459" t="str">
        <f t="shared" si="288"/>
        <v/>
      </c>
      <c r="T575" s="566" t="str">
        <f t="shared" si="323"/>
        <v/>
      </c>
      <c r="U575" s="702"/>
      <c r="V575" s="132"/>
      <c r="W575" s="133"/>
      <c r="X575" s="134"/>
      <c r="Y575" s="135"/>
      <c r="Z575" s="137"/>
      <c r="AA575" s="136"/>
      <c r="AB575" s="566" t="str">
        <f t="shared" si="324"/>
        <v/>
      </c>
      <c r="AC575" s="568" t="str">
        <f t="shared" si="325"/>
        <v/>
      </c>
      <c r="AD575" s="137"/>
      <c r="AE575" s="137"/>
      <c r="AF575" s="138"/>
      <c r="AG575" s="138"/>
      <c r="AH575" s="592" t="str">
        <f t="shared" si="326"/>
        <v/>
      </c>
      <c r="AI575" s="592" t="str">
        <f t="shared" si="327"/>
        <v/>
      </c>
      <c r="AJ575" s="592" t="str">
        <f t="shared" si="328"/>
        <v/>
      </c>
      <c r="AK575" s="460" t="str">
        <f>IF(AU575="","",IF(OR(AZ575=8,AZ575=9),0,IF(OR(AW575=3,AW575=4,AW575=5,AW575=6),IF(LEFT(BF575,1)="1",INDEX(係数_NOX・PM低減,MATCH(AY575,【参考】排出係数!$AI$801:$AI$804,1),1),VLOOKUP(AU575,INDEX((係数_バス貨物_ガソリン,係数_バス貨物_CNG,係数_バス貨物_軽油,係数_バス貨物_メタノール,係数_バス貨物_LPG),MATCH(AY575,【参考】排出係数!$AI$4:$AI$671,1),1,BE575):INDEX((係数_バス貨物_ガソリン,係数_バス貨物_CNG,係数_バス貨物_軽油,係数_バス貨物_メタノール,係数_バス貨物_LPG),MATCH(AY575+1,【参考】排出係数!$AI$4:$AI$671,1)-1,5,BE575),4,FALSE)),IF(AND(BE575=3,LEFT(BF575,1)="1"),0.48,VLOOKUP(AU575,INDEX((係数_乗用_ガソリン,係数_乗用_CNG,係数_乗用_軽油,係数_乗用_メタノール,係数_乗用_LPG),1,1,BE575):INDEX((係数_乗用_ガソリン,係数_乗用_CNG,係数_乗用_軽油,係数_乗用_メタノール,係数_乗用_LPG),125,5,BE575),4,FALSE)))))</f>
        <v/>
      </c>
      <c r="AL575" s="461" t="str">
        <f t="shared" si="329"/>
        <v/>
      </c>
      <c r="AM575" s="460" t="str">
        <f>IF(AU575="","",IF(OR(AZ575=8,AZ575=9),0,IF(OR(AW575=3,AW575=4,AW575=5,AW575=6),IF(LEFT(BH575,1)="1",INDEX(係数_PM低減,MATCH(AY575,【参考】排出係数!$AI$801:$AI$804,1),MATCH(BI575,【参考】排出係数!$AL$798:$AO$798,1)),VLOOKUP(AU575,INDEX((係数_バス貨物_ガソリン,係数_バス貨物_CNG,係数_バス貨物_軽油,係数_バス貨物_メタノール,係数_バス貨物_LPG),MATCH(AY575,【参考】排出係数!$AI$4:$AI$671,1),1,BE575):INDEX((係数_バス貨物_ガソリン,係数_バス貨物_CNG,係数_バス貨物_軽油,係数_バス貨物_メタノール,係数_バス貨物_LPG),MATCH(AY575+1,【参考】排出係数!$AI$4:$AI$671,1)-1,5,BE575),5,FALSE)),IF(AND(BE575=3,LEFT(BF575,1)="1"),0.055,VLOOKUP(AU575,INDEX((係数_乗用_ガソリン,係数_乗用_CNG,係数_乗用_軽油,係数_乗用_メタノール,係数_乗用_LPG),1,1,BE575):INDEX((係数_乗用_ガソリン,係数_乗用_CNG,係数_乗用_軽油,係数_乗用_メタノール,係数_乗用_LPG),125,5,BE575),5,FALSE)))))</f>
        <v/>
      </c>
      <c r="AN575" s="461" t="str">
        <f t="shared" si="330"/>
        <v/>
      </c>
      <c r="AO575" s="462" t="str">
        <f t="shared" si="331"/>
        <v/>
      </c>
      <c r="AP575" s="463" t="str">
        <f t="shared" si="332"/>
        <v/>
      </c>
      <c r="AQ575" s="464"/>
      <c r="AR575" s="619"/>
      <c r="AS575" s="465" t="str">
        <f t="shared" si="334"/>
        <v/>
      </c>
      <c r="AT575" s="465" t="str">
        <f t="shared" si="335"/>
        <v/>
      </c>
      <c r="AU575" s="466" t="str">
        <f t="shared" si="336"/>
        <v/>
      </c>
      <c r="AV575" s="467" t="str">
        <f t="shared" si="337"/>
        <v/>
      </c>
      <c r="AW575" s="467" t="str">
        <f t="shared" si="338"/>
        <v/>
      </c>
      <c r="AX575" s="467" t="str">
        <f t="shared" si="339"/>
        <v/>
      </c>
      <c r="AY575" s="467" t="str">
        <f t="shared" si="340"/>
        <v/>
      </c>
      <c r="AZ575" s="467" t="str">
        <f t="shared" si="341"/>
        <v/>
      </c>
      <c r="BA575" s="468" t="str">
        <f>IF(AS575="","",IF(OR(AU575="",AU575="-"),"－",IF(OR(AZ575=8,AZ575=9),"",IF(OR(AW575=3,AW575=4,AW575=5,AW575=6),VLOOKUP(AU575,INDEX((係数_バス貨物_ガソリン,係数_バス貨物_CNG,係数_バス貨物_軽油,係数_バス貨物_メタノール,係数_バス貨物_LPG),MATCH(AY575,【参考】排出係数!$AI$4:$AI$671,1),1,BE575):INDEX((係数_バス貨物_ガソリン,係数_バス貨物_CNG,係数_バス貨物_軽油,係数_バス貨物_メタノール,係数_バス貨物_LPG),MATCH(AY575+1,【参考】排出係数!$AI$4:$AI$671,1)-1,5,BE575),2,FALSE),IF(OR(AW575=1,AW575=2),VLOOKUP(AU575,INDEX((係数_乗用_ガソリン,係数_乗用_CNG,係数_乗用_軽油,係数_乗用_メタノール,係数_乗用_LPG),1,1,BE575):INDEX((係数_乗用_ガソリン,係数_乗用_CNG,係数_乗用_軽油,係数_乗用_メタノール,係数_乗用_LPG),125,5,BE575),2,FALSE))))))</f>
        <v/>
      </c>
      <c r="BB575" s="468" t="str">
        <f>IF(T575="","",IF(OR(AU575="",AU575="-"),"－",IF(OR(AZ575=8,AZ575=9),"",IF(OR(AW575=3,AW575=4,AW575=5,AW575=6),VLOOKUP(AU575,INDEX((係数_バス貨物_ガソリン,係数_バス貨物_CNG,係数_バス貨物_軽油,係数_バス貨物_メタノール,係数_バス貨物_LPG),MATCH(AY575,【参考】排出係数!$AI$4:$AI$671,1),1,BE575):INDEX((係数_バス貨物_ガソリン,係数_バス貨物_CNG,係数_バス貨物_軽油,係数_バス貨物_メタノール,係数_バス貨物_LPG),MATCH(AY575+1,【参考】排出係数!$AI$4:$AI$671,1)-1,5,BE575),3,FALSE),IF(OR(AW575=1,AW575=2),VLOOKUP(AU575,INDEX((係数_乗用_ガソリン,係数_乗用_CNG,係数_乗用_軽油,係数_乗用_メタノール,係数_乗用_LPG),1,1,BE575):INDEX((係数_乗用_ガソリン,係数_乗用_CNG,係数_乗用_軽油,係数_乗用_メタノール,係数_乗用_LPG),125,5,BE575),3,FALSE))))))</f>
        <v/>
      </c>
      <c r="BC575" s="467" t="str">
        <f t="shared" si="342"/>
        <v/>
      </c>
      <c r="BD575" s="567" t="str">
        <f t="shared" si="343"/>
        <v/>
      </c>
      <c r="BE575" s="467" t="str">
        <f t="shared" si="344"/>
        <v/>
      </c>
      <c r="BF575" s="469" t="str">
        <f t="shared" ca="1" si="345"/>
        <v/>
      </c>
      <c r="BG575" s="469" t="str">
        <f t="shared" ca="1" si="346"/>
        <v/>
      </c>
      <c r="BH575" s="467" t="str">
        <f t="shared" si="347"/>
        <v/>
      </c>
      <c r="BI575" s="467" t="str">
        <f t="shared" ca="1" si="348"/>
        <v/>
      </c>
      <c r="BJ575" s="469" t="str">
        <f t="shared" si="349"/>
        <v/>
      </c>
      <c r="BK575" s="470" t="str">
        <f t="shared" si="333"/>
        <v/>
      </c>
      <c r="BL575" s="775" t="str">
        <f t="shared" si="350"/>
        <v/>
      </c>
      <c r="BM575" s="775" t="str">
        <f t="shared" si="351"/>
        <v/>
      </c>
    </row>
    <row r="576" spans="1:65">
      <c r="A576" s="473">
        <v>520</v>
      </c>
      <c r="B576" s="132"/>
      <c r="C576" s="332"/>
      <c r="D576" s="333"/>
      <c r="E576" s="333"/>
      <c r="F576" s="334"/>
      <c r="G576" s="337"/>
      <c r="H576" s="131"/>
      <c r="I576" s="337"/>
      <c r="J576" s="131"/>
      <c r="K576" s="458" t="str">
        <f t="shared" si="320"/>
        <v/>
      </c>
      <c r="L576" s="458">
        <f t="shared" si="321"/>
        <v>0</v>
      </c>
      <c r="M576" s="458">
        <f t="shared" si="322"/>
        <v>0</v>
      </c>
      <c r="N576" s="459" t="str">
        <f t="shared" si="283"/>
        <v/>
      </c>
      <c r="O576" s="459" t="str">
        <f t="shared" si="284"/>
        <v/>
      </c>
      <c r="P576" s="459" t="str">
        <f t="shared" si="285"/>
        <v/>
      </c>
      <c r="Q576" s="459" t="str">
        <f t="shared" si="286"/>
        <v/>
      </c>
      <c r="R576" s="459" t="str">
        <f t="shared" si="287"/>
        <v/>
      </c>
      <c r="S576" s="459" t="str">
        <f t="shared" si="288"/>
        <v/>
      </c>
      <c r="T576" s="566" t="str">
        <f t="shared" si="323"/>
        <v/>
      </c>
      <c r="U576" s="702"/>
      <c r="V576" s="132"/>
      <c r="W576" s="133"/>
      <c r="X576" s="134"/>
      <c r="Y576" s="135"/>
      <c r="Z576" s="137"/>
      <c r="AA576" s="136"/>
      <c r="AB576" s="566" t="str">
        <f t="shared" si="324"/>
        <v/>
      </c>
      <c r="AC576" s="568" t="str">
        <f t="shared" si="325"/>
        <v/>
      </c>
      <c r="AD576" s="137"/>
      <c r="AE576" s="137"/>
      <c r="AF576" s="138"/>
      <c r="AG576" s="138"/>
      <c r="AH576" s="592" t="str">
        <f t="shared" si="326"/>
        <v/>
      </c>
      <c r="AI576" s="592" t="str">
        <f t="shared" si="327"/>
        <v/>
      </c>
      <c r="AJ576" s="592" t="str">
        <f t="shared" si="328"/>
        <v/>
      </c>
      <c r="AK576" s="460" t="str">
        <f>IF(AU576="","",IF(OR(AZ576=8,AZ576=9),0,IF(OR(AW576=3,AW576=4,AW576=5,AW576=6),IF(LEFT(BF576,1)="1",INDEX(係数_NOX・PM低減,MATCH(AY576,【参考】排出係数!$AI$801:$AI$804,1),1),VLOOKUP(AU576,INDEX((係数_バス貨物_ガソリン,係数_バス貨物_CNG,係数_バス貨物_軽油,係数_バス貨物_メタノール,係数_バス貨物_LPG),MATCH(AY576,【参考】排出係数!$AI$4:$AI$671,1),1,BE576):INDEX((係数_バス貨物_ガソリン,係数_バス貨物_CNG,係数_バス貨物_軽油,係数_バス貨物_メタノール,係数_バス貨物_LPG),MATCH(AY576+1,【参考】排出係数!$AI$4:$AI$671,1)-1,5,BE576),4,FALSE)),IF(AND(BE576=3,LEFT(BF576,1)="1"),0.48,VLOOKUP(AU576,INDEX((係数_乗用_ガソリン,係数_乗用_CNG,係数_乗用_軽油,係数_乗用_メタノール,係数_乗用_LPG),1,1,BE576):INDEX((係数_乗用_ガソリン,係数_乗用_CNG,係数_乗用_軽油,係数_乗用_メタノール,係数_乗用_LPG),125,5,BE576),4,FALSE)))))</f>
        <v/>
      </c>
      <c r="AL576" s="461" t="str">
        <f t="shared" si="329"/>
        <v/>
      </c>
      <c r="AM576" s="460" t="str">
        <f>IF(AU576="","",IF(OR(AZ576=8,AZ576=9),0,IF(OR(AW576=3,AW576=4,AW576=5,AW576=6),IF(LEFT(BH576,1)="1",INDEX(係数_PM低減,MATCH(AY576,【参考】排出係数!$AI$801:$AI$804,1),MATCH(BI576,【参考】排出係数!$AL$798:$AO$798,1)),VLOOKUP(AU576,INDEX((係数_バス貨物_ガソリン,係数_バス貨物_CNG,係数_バス貨物_軽油,係数_バス貨物_メタノール,係数_バス貨物_LPG),MATCH(AY576,【参考】排出係数!$AI$4:$AI$671,1),1,BE576):INDEX((係数_バス貨物_ガソリン,係数_バス貨物_CNG,係数_バス貨物_軽油,係数_バス貨物_メタノール,係数_バス貨物_LPG),MATCH(AY576+1,【参考】排出係数!$AI$4:$AI$671,1)-1,5,BE576),5,FALSE)),IF(AND(BE576=3,LEFT(BF576,1)="1"),0.055,VLOOKUP(AU576,INDEX((係数_乗用_ガソリン,係数_乗用_CNG,係数_乗用_軽油,係数_乗用_メタノール,係数_乗用_LPG),1,1,BE576):INDEX((係数_乗用_ガソリン,係数_乗用_CNG,係数_乗用_軽油,係数_乗用_メタノール,係数_乗用_LPG),125,5,BE576),5,FALSE)))))</f>
        <v/>
      </c>
      <c r="AN576" s="461" t="str">
        <f t="shared" si="330"/>
        <v/>
      </c>
      <c r="AO576" s="462" t="str">
        <f t="shared" si="331"/>
        <v/>
      </c>
      <c r="AP576" s="463" t="str">
        <f t="shared" si="332"/>
        <v/>
      </c>
      <c r="AQ576" s="464"/>
      <c r="AR576" s="619"/>
      <c r="AS576" s="465" t="str">
        <f t="shared" si="334"/>
        <v/>
      </c>
      <c r="AT576" s="465" t="str">
        <f t="shared" si="335"/>
        <v/>
      </c>
      <c r="AU576" s="466" t="str">
        <f t="shared" si="336"/>
        <v/>
      </c>
      <c r="AV576" s="467" t="str">
        <f t="shared" si="337"/>
        <v/>
      </c>
      <c r="AW576" s="467" t="str">
        <f t="shared" si="338"/>
        <v/>
      </c>
      <c r="AX576" s="467" t="str">
        <f t="shared" si="339"/>
        <v/>
      </c>
      <c r="AY576" s="467" t="str">
        <f t="shared" si="340"/>
        <v/>
      </c>
      <c r="AZ576" s="467" t="str">
        <f t="shared" si="341"/>
        <v/>
      </c>
      <c r="BA576" s="468" t="str">
        <f>IF(AS576="","",IF(OR(AU576="",AU576="-"),"－",IF(OR(AZ576=8,AZ576=9),"",IF(OR(AW576=3,AW576=4,AW576=5,AW576=6),VLOOKUP(AU576,INDEX((係数_バス貨物_ガソリン,係数_バス貨物_CNG,係数_バス貨物_軽油,係数_バス貨物_メタノール,係数_バス貨物_LPG),MATCH(AY576,【参考】排出係数!$AI$4:$AI$671,1),1,BE576):INDEX((係数_バス貨物_ガソリン,係数_バス貨物_CNG,係数_バス貨物_軽油,係数_バス貨物_メタノール,係数_バス貨物_LPG),MATCH(AY576+1,【参考】排出係数!$AI$4:$AI$671,1)-1,5,BE576),2,FALSE),IF(OR(AW576=1,AW576=2),VLOOKUP(AU576,INDEX((係数_乗用_ガソリン,係数_乗用_CNG,係数_乗用_軽油,係数_乗用_メタノール,係数_乗用_LPG),1,1,BE576):INDEX((係数_乗用_ガソリン,係数_乗用_CNG,係数_乗用_軽油,係数_乗用_メタノール,係数_乗用_LPG),125,5,BE576),2,FALSE))))))</f>
        <v/>
      </c>
      <c r="BB576" s="468" t="str">
        <f>IF(T576="","",IF(OR(AU576="",AU576="-"),"－",IF(OR(AZ576=8,AZ576=9),"",IF(OR(AW576=3,AW576=4,AW576=5,AW576=6),VLOOKUP(AU576,INDEX((係数_バス貨物_ガソリン,係数_バス貨物_CNG,係数_バス貨物_軽油,係数_バス貨物_メタノール,係数_バス貨物_LPG),MATCH(AY576,【参考】排出係数!$AI$4:$AI$671,1),1,BE576):INDEX((係数_バス貨物_ガソリン,係数_バス貨物_CNG,係数_バス貨物_軽油,係数_バス貨物_メタノール,係数_バス貨物_LPG),MATCH(AY576+1,【参考】排出係数!$AI$4:$AI$671,1)-1,5,BE576),3,FALSE),IF(OR(AW576=1,AW576=2),VLOOKUP(AU576,INDEX((係数_乗用_ガソリン,係数_乗用_CNG,係数_乗用_軽油,係数_乗用_メタノール,係数_乗用_LPG),1,1,BE576):INDEX((係数_乗用_ガソリン,係数_乗用_CNG,係数_乗用_軽油,係数_乗用_メタノール,係数_乗用_LPG),125,5,BE576),3,FALSE))))))</f>
        <v/>
      </c>
      <c r="BC576" s="467" t="str">
        <f t="shared" si="342"/>
        <v/>
      </c>
      <c r="BD576" s="567" t="str">
        <f t="shared" si="343"/>
        <v/>
      </c>
      <c r="BE576" s="467" t="str">
        <f t="shared" si="344"/>
        <v/>
      </c>
      <c r="BF576" s="469" t="str">
        <f t="shared" ca="1" si="345"/>
        <v/>
      </c>
      <c r="BG576" s="469" t="str">
        <f t="shared" ca="1" si="346"/>
        <v/>
      </c>
      <c r="BH576" s="467" t="str">
        <f t="shared" si="347"/>
        <v/>
      </c>
      <c r="BI576" s="467" t="str">
        <f t="shared" ca="1" si="348"/>
        <v/>
      </c>
      <c r="BJ576" s="469" t="str">
        <f t="shared" si="349"/>
        <v/>
      </c>
      <c r="BK576" s="470" t="str">
        <f t="shared" si="333"/>
        <v/>
      </c>
      <c r="BL576" s="775" t="str">
        <f t="shared" si="350"/>
        <v/>
      </c>
      <c r="BM576" s="775" t="str">
        <f t="shared" si="351"/>
        <v/>
      </c>
    </row>
    <row r="577" spans="1:65">
      <c r="A577" s="473">
        <v>521</v>
      </c>
      <c r="B577" s="132"/>
      <c r="C577" s="332"/>
      <c r="D577" s="333"/>
      <c r="E577" s="333"/>
      <c r="F577" s="334"/>
      <c r="G577" s="337"/>
      <c r="H577" s="131"/>
      <c r="I577" s="337"/>
      <c r="J577" s="131"/>
      <c r="K577" s="458" t="str">
        <f t="shared" si="320"/>
        <v/>
      </c>
      <c r="L577" s="458">
        <f t="shared" si="321"/>
        <v>0</v>
      </c>
      <c r="M577" s="458">
        <f t="shared" si="322"/>
        <v>0</v>
      </c>
      <c r="N577" s="459" t="str">
        <f t="shared" si="283"/>
        <v/>
      </c>
      <c r="O577" s="459" t="str">
        <f t="shared" si="284"/>
        <v/>
      </c>
      <c r="P577" s="459" t="str">
        <f t="shared" si="285"/>
        <v/>
      </c>
      <c r="Q577" s="459" t="str">
        <f t="shared" si="286"/>
        <v/>
      </c>
      <c r="R577" s="459" t="str">
        <f t="shared" si="287"/>
        <v/>
      </c>
      <c r="S577" s="459" t="str">
        <f t="shared" si="288"/>
        <v/>
      </c>
      <c r="T577" s="566" t="str">
        <f t="shared" si="323"/>
        <v/>
      </c>
      <c r="U577" s="702"/>
      <c r="V577" s="132"/>
      <c r="W577" s="133"/>
      <c r="X577" s="134"/>
      <c r="Y577" s="135"/>
      <c r="Z577" s="137"/>
      <c r="AA577" s="136"/>
      <c r="AB577" s="566" t="str">
        <f t="shared" si="324"/>
        <v/>
      </c>
      <c r="AC577" s="568" t="str">
        <f t="shared" si="325"/>
        <v/>
      </c>
      <c r="AD577" s="137"/>
      <c r="AE577" s="137"/>
      <c r="AF577" s="138"/>
      <c r="AG577" s="138"/>
      <c r="AH577" s="592" t="str">
        <f t="shared" si="326"/>
        <v/>
      </c>
      <c r="AI577" s="592" t="str">
        <f t="shared" si="327"/>
        <v/>
      </c>
      <c r="AJ577" s="592" t="str">
        <f t="shared" si="328"/>
        <v/>
      </c>
      <c r="AK577" s="460" t="str">
        <f>IF(AU577="","",IF(OR(AZ577=8,AZ577=9),0,IF(OR(AW577=3,AW577=4,AW577=5,AW577=6),IF(LEFT(BF577,1)="1",INDEX(係数_NOX・PM低減,MATCH(AY577,【参考】排出係数!$AI$801:$AI$804,1),1),VLOOKUP(AU577,INDEX((係数_バス貨物_ガソリン,係数_バス貨物_CNG,係数_バス貨物_軽油,係数_バス貨物_メタノール,係数_バス貨物_LPG),MATCH(AY577,【参考】排出係数!$AI$4:$AI$671,1),1,BE577):INDEX((係数_バス貨物_ガソリン,係数_バス貨物_CNG,係数_バス貨物_軽油,係数_バス貨物_メタノール,係数_バス貨物_LPG),MATCH(AY577+1,【参考】排出係数!$AI$4:$AI$671,1)-1,5,BE577),4,FALSE)),IF(AND(BE577=3,LEFT(BF577,1)="1"),0.48,VLOOKUP(AU577,INDEX((係数_乗用_ガソリン,係数_乗用_CNG,係数_乗用_軽油,係数_乗用_メタノール,係数_乗用_LPG),1,1,BE577):INDEX((係数_乗用_ガソリン,係数_乗用_CNG,係数_乗用_軽油,係数_乗用_メタノール,係数_乗用_LPG),125,5,BE577),4,FALSE)))))</f>
        <v/>
      </c>
      <c r="AL577" s="461" t="str">
        <f t="shared" si="329"/>
        <v/>
      </c>
      <c r="AM577" s="460" t="str">
        <f>IF(AU577="","",IF(OR(AZ577=8,AZ577=9),0,IF(OR(AW577=3,AW577=4,AW577=5,AW577=6),IF(LEFT(BH577,1)="1",INDEX(係数_PM低減,MATCH(AY577,【参考】排出係数!$AI$801:$AI$804,1),MATCH(BI577,【参考】排出係数!$AL$798:$AO$798,1)),VLOOKUP(AU577,INDEX((係数_バス貨物_ガソリン,係数_バス貨物_CNG,係数_バス貨物_軽油,係数_バス貨物_メタノール,係数_バス貨物_LPG),MATCH(AY577,【参考】排出係数!$AI$4:$AI$671,1),1,BE577):INDEX((係数_バス貨物_ガソリン,係数_バス貨物_CNG,係数_バス貨物_軽油,係数_バス貨物_メタノール,係数_バス貨物_LPG),MATCH(AY577+1,【参考】排出係数!$AI$4:$AI$671,1)-1,5,BE577),5,FALSE)),IF(AND(BE577=3,LEFT(BF577,1)="1"),0.055,VLOOKUP(AU577,INDEX((係数_乗用_ガソリン,係数_乗用_CNG,係数_乗用_軽油,係数_乗用_メタノール,係数_乗用_LPG),1,1,BE577):INDEX((係数_乗用_ガソリン,係数_乗用_CNG,係数_乗用_軽油,係数_乗用_メタノール,係数_乗用_LPG),125,5,BE577),5,FALSE)))))</f>
        <v/>
      </c>
      <c r="AN577" s="461" t="str">
        <f t="shared" si="330"/>
        <v/>
      </c>
      <c r="AO577" s="462" t="str">
        <f t="shared" si="331"/>
        <v/>
      </c>
      <c r="AP577" s="463" t="str">
        <f t="shared" si="332"/>
        <v/>
      </c>
      <c r="AQ577" s="464"/>
      <c r="AR577" s="619"/>
      <c r="AS577" s="465" t="str">
        <f t="shared" si="334"/>
        <v/>
      </c>
      <c r="AT577" s="465" t="str">
        <f t="shared" si="335"/>
        <v/>
      </c>
      <c r="AU577" s="466" t="str">
        <f t="shared" si="336"/>
        <v/>
      </c>
      <c r="AV577" s="467" t="str">
        <f t="shared" si="337"/>
        <v/>
      </c>
      <c r="AW577" s="467" t="str">
        <f t="shared" si="338"/>
        <v/>
      </c>
      <c r="AX577" s="467" t="str">
        <f t="shared" si="339"/>
        <v/>
      </c>
      <c r="AY577" s="467" t="str">
        <f t="shared" si="340"/>
        <v/>
      </c>
      <c r="AZ577" s="467" t="str">
        <f t="shared" si="341"/>
        <v/>
      </c>
      <c r="BA577" s="468" t="str">
        <f>IF(AS577="","",IF(OR(AU577="",AU577="-"),"－",IF(OR(AZ577=8,AZ577=9),"",IF(OR(AW577=3,AW577=4,AW577=5,AW577=6),VLOOKUP(AU577,INDEX((係数_バス貨物_ガソリン,係数_バス貨物_CNG,係数_バス貨物_軽油,係数_バス貨物_メタノール,係数_バス貨物_LPG),MATCH(AY577,【参考】排出係数!$AI$4:$AI$671,1),1,BE577):INDEX((係数_バス貨物_ガソリン,係数_バス貨物_CNG,係数_バス貨物_軽油,係数_バス貨物_メタノール,係数_バス貨物_LPG),MATCH(AY577+1,【参考】排出係数!$AI$4:$AI$671,1)-1,5,BE577),2,FALSE),IF(OR(AW577=1,AW577=2),VLOOKUP(AU577,INDEX((係数_乗用_ガソリン,係数_乗用_CNG,係数_乗用_軽油,係数_乗用_メタノール,係数_乗用_LPG),1,1,BE577):INDEX((係数_乗用_ガソリン,係数_乗用_CNG,係数_乗用_軽油,係数_乗用_メタノール,係数_乗用_LPG),125,5,BE577),2,FALSE))))))</f>
        <v/>
      </c>
      <c r="BB577" s="468" t="str">
        <f>IF(T577="","",IF(OR(AU577="",AU577="-"),"－",IF(OR(AZ577=8,AZ577=9),"",IF(OR(AW577=3,AW577=4,AW577=5,AW577=6),VLOOKUP(AU577,INDEX((係数_バス貨物_ガソリン,係数_バス貨物_CNG,係数_バス貨物_軽油,係数_バス貨物_メタノール,係数_バス貨物_LPG),MATCH(AY577,【参考】排出係数!$AI$4:$AI$671,1),1,BE577):INDEX((係数_バス貨物_ガソリン,係数_バス貨物_CNG,係数_バス貨物_軽油,係数_バス貨物_メタノール,係数_バス貨物_LPG),MATCH(AY577+1,【参考】排出係数!$AI$4:$AI$671,1)-1,5,BE577),3,FALSE),IF(OR(AW577=1,AW577=2),VLOOKUP(AU577,INDEX((係数_乗用_ガソリン,係数_乗用_CNG,係数_乗用_軽油,係数_乗用_メタノール,係数_乗用_LPG),1,1,BE577):INDEX((係数_乗用_ガソリン,係数_乗用_CNG,係数_乗用_軽油,係数_乗用_メタノール,係数_乗用_LPG),125,5,BE577),3,FALSE))))))</f>
        <v/>
      </c>
      <c r="BC577" s="467" t="str">
        <f t="shared" si="342"/>
        <v/>
      </c>
      <c r="BD577" s="567" t="str">
        <f t="shared" si="343"/>
        <v/>
      </c>
      <c r="BE577" s="467" t="str">
        <f t="shared" si="344"/>
        <v/>
      </c>
      <c r="BF577" s="469" t="str">
        <f t="shared" ca="1" si="345"/>
        <v/>
      </c>
      <c r="BG577" s="469" t="str">
        <f t="shared" ca="1" si="346"/>
        <v/>
      </c>
      <c r="BH577" s="467" t="str">
        <f t="shared" si="347"/>
        <v/>
      </c>
      <c r="BI577" s="467" t="str">
        <f t="shared" ca="1" si="348"/>
        <v/>
      </c>
      <c r="BJ577" s="469" t="str">
        <f t="shared" si="349"/>
        <v/>
      </c>
      <c r="BK577" s="470" t="str">
        <f t="shared" si="333"/>
        <v/>
      </c>
      <c r="BL577" s="775" t="str">
        <f t="shared" si="350"/>
        <v/>
      </c>
      <c r="BM577" s="775" t="str">
        <f t="shared" si="351"/>
        <v/>
      </c>
    </row>
    <row r="578" spans="1:65">
      <c r="A578" s="473">
        <v>522</v>
      </c>
      <c r="B578" s="132"/>
      <c r="C578" s="332"/>
      <c r="D578" s="333"/>
      <c r="E578" s="333"/>
      <c r="F578" s="334"/>
      <c r="G578" s="337"/>
      <c r="H578" s="131"/>
      <c r="I578" s="337"/>
      <c r="J578" s="131"/>
      <c r="K578" s="458" t="str">
        <f t="shared" si="320"/>
        <v/>
      </c>
      <c r="L578" s="458">
        <f t="shared" si="321"/>
        <v>0</v>
      </c>
      <c r="M578" s="458">
        <f t="shared" si="322"/>
        <v>0</v>
      </c>
      <c r="N578" s="459" t="str">
        <f t="shared" si="283"/>
        <v/>
      </c>
      <c r="O578" s="459" t="str">
        <f t="shared" si="284"/>
        <v/>
      </c>
      <c r="P578" s="459" t="str">
        <f t="shared" si="285"/>
        <v/>
      </c>
      <c r="Q578" s="459" t="str">
        <f t="shared" si="286"/>
        <v/>
      </c>
      <c r="R578" s="459" t="str">
        <f t="shared" si="287"/>
        <v/>
      </c>
      <c r="S578" s="459" t="str">
        <f t="shared" si="288"/>
        <v/>
      </c>
      <c r="T578" s="566" t="str">
        <f t="shared" si="323"/>
        <v/>
      </c>
      <c r="U578" s="702"/>
      <c r="V578" s="132"/>
      <c r="W578" s="133"/>
      <c r="X578" s="134"/>
      <c r="Y578" s="135"/>
      <c r="Z578" s="137"/>
      <c r="AA578" s="136"/>
      <c r="AB578" s="566" t="str">
        <f t="shared" si="324"/>
        <v/>
      </c>
      <c r="AC578" s="568" t="str">
        <f t="shared" si="325"/>
        <v/>
      </c>
      <c r="AD578" s="137"/>
      <c r="AE578" s="137"/>
      <c r="AF578" s="138"/>
      <c r="AG578" s="138"/>
      <c r="AH578" s="592" t="str">
        <f t="shared" si="326"/>
        <v/>
      </c>
      <c r="AI578" s="592" t="str">
        <f t="shared" si="327"/>
        <v/>
      </c>
      <c r="AJ578" s="592" t="str">
        <f t="shared" si="328"/>
        <v/>
      </c>
      <c r="AK578" s="460" t="str">
        <f>IF(AU578="","",IF(OR(AZ578=8,AZ578=9),0,IF(OR(AW578=3,AW578=4,AW578=5,AW578=6),IF(LEFT(BF578,1)="1",INDEX(係数_NOX・PM低減,MATCH(AY578,【参考】排出係数!$AI$801:$AI$804,1),1),VLOOKUP(AU578,INDEX((係数_バス貨物_ガソリン,係数_バス貨物_CNG,係数_バス貨物_軽油,係数_バス貨物_メタノール,係数_バス貨物_LPG),MATCH(AY578,【参考】排出係数!$AI$4:$AI$671,1),1,BE578):INDEX((係数_バス貨物_ガソリン,係数_バス貨物_CNG,係数_バス貨物_軽油,係数_バス貨物_メタノール,係数_バス貨物_LPG),MATCH(AY578+1,【参考】排出係数!$AI$4:$AI$671,1)-1,5,BE578),4,FALSE)),IF(AND(BE578=3,LEFT(BF578,1)="1"),0.48,VLOOKUP(AU578,INDEX((係数_乗用_ガソリン,係数_乗用_CNG,係数_乗用_軽油,係数_乗用_メタノール,係数_乗用_LPG),1,1,BE578):INDEX((係数_乗用_ガソリン,係数_乗用_CNG,係数_乗用_軽油,係数_乗用_メタノール,係数_乗用_LPG),125,5,BE578),4,FALSE)))))</f>
        <v/>
      </c>
      <c r="AL578" s="461" t="str">
        <f t="shared" si="329"/>
        <v/>
      </c>
      <c r="AM578" s="460" t="str">
        <f>IF(AU578="","",IF(OR(AZ578=8,AZ578=9),0,IF(OR(AW578=3,AW578=4,AW578=5,AW578=6),IF(LEFT(BH578,1)="1",INDEX(係数_PM低減,MATCH(AY578,【参考】排出係数!$AI$801:$AI$804,1),MATCH(BI578,【参考】排出係数!$AL$798:$AO$798,1)),VLOOKUP(AU578,INDEX((係数_バス貨物_ガソリン,係数_バス貨物_CNG,係数_バス貨物_軽油,係数_バス貨物_メタノール,係数_バス貨物_LPG),MATCH(AY578,【参考】排出係数!$AI$4:$AI$671,1),1,BE578):INDEX((係数_バス貨物_ガソリン,係数_バス貨物_CNG,係数_バス貨物_軽油,係数_バス貨物_メタノール,係数_バス貨物_LPG),MATCH(AY578+1,【参考】排出係数!$AI$4:$AI$671,1)-1,5,BE578),5,FALSE)),IF(AND(BE578=3,LEFT(BF578,1)="1"),0.055,VLOOKUP(AU578,INDEX((係数_乗用_ガソリン,係数_乗用_CNG,係数_乗用_軽油,係数_乗用_メタノール,係数_乗用_LPG),1,1,BE578):INDEX((係数_乗用_ガソリン,係数_乗用_CNG,係数_乗用_軽油,係数_乗用_メタノール,係数_乗用_LPG),125,5,BE578),5,FALSE)))))</f>
        <v/>
      </c>
      <c r="AN578" s="461" t="str">
        <f t="shared" si="330"/>
        <v/>
      </c>
      <c r="AO578" s="462" t="str">
        <f t="shared" si="331"/>
        <v/>
      </c>
      <c r="AP578" s="463" t="str">
        <f t="shared" si="332"/>
        <v/>
      </c>
      <c r="AQ578" s="464"/>
      <c r="AR578" s="619"/>
      <c r="AS578" s="465" t="str">
        <f t="shared" si="334"/>
        <v/>
      </c>
      <c r="AT578" s="465" t="str">
        <f t="shared" si="335"/>
        <v/>
      </c>
      <c r="AU578" s="466" t="str">
        <f t="shared" si="336"/>
        <v/>
      </c>
      <c r="AV578" s="467" t="str">
        <f t="shared" si="337"/>
        <v/>
      </c>
      <c r="AW578" s="467" t="str">
        <f t="shared" si="338"/>
        <v/>
      </c>
      <c r="AX578" s="467" t="str">
        <f t="shared" si="339"/>
        <v/>
      </c>
      <c r="AY578" s="467" t="str">
        <f t="shared" si="340"/>
        <v/>
      </c>
      <c r="AZ578" s="467" t="str">
        <f t="shared" si="341"/>
        <v/>
      </c>
      <c r="BA578" s="468" t="str">
        <f>IF(AS578="","",IF(OR(AU578="",AU578="-"),"－",IF(OR(AZ578=8,AZ578=9),"",IF(OR(AW578=3,AW578=4,AW578=5,AW578=6),VLOOKUP(AU578,INDEX((係数_バス貨物_ガソリン,係数_バス貨物_CNG,係数_バス貨物_軽油,係数_バス貨物_メタノール,係数_バス貨物_LPG),MATCH(AY578,【参考】排出係数!$AI$4:$AI$671,1),1,BE578):INDEX((係数_バス貨物_ガソリン,係数_バス貨物_CNG,係数_バス貨物_軽油,係数_バス貨物_メタノール,係数_バス貨物_LPG),MATCH(AY578+1,【参考】排出係数!$AI$4:$AI$671,1)-1,5,BE578),2,FALSE),IF(OR(AW578=1,AW578=2),VLOOKUP(AU578,INDEX((係数_乗用_ガソリン,係数_乗用_CNG,係数_乗用_軽油,係数_乗用_メタノール,係数_乗用_LPG),1,1,BE578):INDEX((係数_乗用_ガソリン,係数_乗用_CNG,係数_乗用_軽油,係数_乗用_メタノール,係数_乗用_LPG),125,5,BE578),2,FALSE))))))</f>
        <v/>
      </c>
      <c r="BB578" s="468" t="str">
        <f>IF(T578="","",IF(OR(AU578="",AU578="-"),"－",IF(OR(AZ578=8,AZ578=9),"",IF(OR(AW578=3,AW578=4,AW578=5,AW578=6),VLOOKUP(AU578,INDEX((係数_バス貨物_ガソリン,係数_バス貨物_CNG,係数_バス貨物_軽油,係数_バス貨物_メタノール,係数_バス貨物_LPG),MATCH(AY578,【参考】排出係数!$AI$4:$AI$671,1),1,BE578):INDEX((係数_バス貨物_ガソリン,係数_バス貨物_CNG,係数_バス貨物_軽油,係数_バス貨物_メタノール,係数_バス貨物_LPG),MATCH(AY578+1,【参考】排出係数!$AI$4:$AI$671,1)-1,5,BE578),3,FALSE),IF(OR(AW578=1,AW578=2),VLOOKUP(AU578,INDEX((係数_乗用_ガソリン,係数_乗用_CNG,係数_乗用_軽油,係数_乗用_メタノール,係数_乗用_LPG),1,1,BE578):INDEX((係数_乗用_ガソリン,係数_乗用_CNG,係数_乗用_軽油,係数_乗用_メタノール,係数_乗用_LPG),125,5,BE578),3,FALSE))))))</f>
        <v/>
      </c>
      <c r="BC578" s="467" t="str">
        <f t="shared" si="342"/>
        <v/>
      </c>
      <c r="BD578" s="567" t="str">
        <f t="shared" si="343"/>
        <v/>
      </c>
      <c r="BE578" s="467" t="str">
        <f t="shared" si="344"/>
        <v/>
      </c>
      <c r="BF578" s="469" t="str">
        <f t="shared" ca="1" si="345"/>
        <v/>
      </c>
      <c r="BG578" s="469" t="str">
        <f t="shared" ca="1" si="346"/>
        <v/>
      </c>
      <c r="BH578" s="467" t="str">
        <f t="shared" si="347"/>
        <v/>
      </c>
      <c r="BI578" s="467" t="str">
        <f t="shared" ca="1" si="348"/>
        <v/>
      </c>
      <c r="BJ578" s="469" t="str">
        <f t="shared" si="349"/>
        <v/>
      </c>
      <c r="BK578" s="470" t="str">
        <f t="shared" si="333"/>
        <v/>
      </c>
      <c r="BL578" s="775" t="str">
        <f t="shared" si="350"/>
        <v/>
      </c>
      <c r="BM578" s="775" t="str">
        <f t="shared" si="351"/>
        <v/>
      </c>
    </row>
    <row r="579" spans="1:65">
      <c r="A579" s="473">
        <v>523</v>
      </c>
      <c r="B579" s="132"/>
      <c r="C579" s="332"/>
      <c r="D579" s="333"/>
      <c r="E579" s="333"/>
      <c r="F579" s="334"/>
      <c r="G579" s="337"/>
      <c r="H579" s="131"/>
      <c r="I579" s="337"/>
      <c r="J579" s="131"/>
      <c r="K579" s="458" t="str">
        <f t="shared" si="320"/>
        <v/>
      </c>
      <c r="L579" s="458">
        <f t="shared" si="321"/>
        <v>0</v>
      </c>
      <c r="M579" s="458">
        <f t="shared" si="322"/>
        <v>0</v>
      </c>
      <c r="N579" s="459" t="str">
        <f t="shared" si="283"/>
        <v/>
      </c>
      <c r="O579" s="459" t="str">
        <f t="shared" si="284"/>
        <v/>
      </c>
      <c r="P579" s="459" t="str">
        <f t="shared" si="285"/>
        <v/>
      </c>
      <c r="Q579" s="459" t="str">
        <f t="shared" si="286"/>
        <v/>
      </c>
      <c r="R579" s="459" t="str">
        <f t="shared" si="287"/>
        <v/>
      </c>
      <c r="S579" s="459" t="str">
        <f t="shared" si="288"/>
        <v/>
      </c>
      <c r="T579" s="566" t="str">
        <f t="shared" si="323"/>
        <v/>
      </c>
      <c r="U579" s="702"/>
      <c r="V579" s="132"/>
      <c r="W579" s="133"/>
      <c r="X579" s="134"/>
      <c r="Y579" s="135"/>
      <c r="Z579" s="137"/>
      <c r="AA579" s="136"/>
      <c r="AB579" s="566" t="str">
        <f t="shared" si="324"/>
        <v/>
      </c>
      <c r="AC579" s="568" t="str">
        <f t="shared" si="325"/>
        <v/>
      </c>
      <c r="AD579" s="137"/>
      <c r="AE579" s="137"/>
      <c r="AF579" s="138"/>
      <c r="AG579" s="138"/>
      <c r="AH579" s="592" t="str">
        <f t="shared" si="326"/>
        <v/>
      </c>
      <c r="AI579" s="592" t="str">
        <f t="shared" si="327"/>
        <v/>
      </c>
      <c r="AJ579" s="592" t="str">
        <f t="shared" si="328"/>
        <v/>
      </c>
      <c r="AK579" s="460" t="str">
        <f>IF(AU579="","",IF(OR(AZ579=8,AZ579=9),0,IF(OR(AW579=3,AW579=4,AW579=5,AW579=6),IF(LEFT(BF579,1)="1",INDEX(係数_NOX・PM低減,MATCH(AY579,【参考】排出係数!$AI$801:$AI$804,1),1),VLOOKUP(AU579,INDEX((係数_バス貨物_ガソリン,係数_バス貨物_CNG,係数_バス貨物_軽油,係数_バス貨物_メタノール,係数_バス貨物_LPG),MATCH(AY579,【参考】排出係数!$AI$4:$AI$671,1),1,BE579):INDEX((係数_バス貨物_ガソリン,係数_バス貨物_CNG,係数_バス貨物_軽油,係数_バス貨物_メタノール,係数_バス貨物_LPG),MATCH(AY579+1,【参考】排出係数!$AI$4:$AI$671,1)-1,5,BE579),4,FALSE)),IF(AND(BE579=3,LEFT(BF579,1)="1"),0.48,VLOOKUP(AU579,INDEX((係数_乗用_ガソリン,係数_乗用_CNG,係数_乗用_軽油,係数_乗用_メタノール,係数_乗用_LPG),1,1,BE579):INDEX((係数_乗用_ガソリン,係数_乗用_CNG,係数_乗用_軽油,係数_乗用_メタノール,係数_乗用_LPG),125,5,BE579),4,FALSE)))))</f>
        <v/>
      </c>
      <c r="AL579" s="461" t="str">
        <f t="shared" si="329"/>
        <v/>
      </c>
      <c r="AM579" s="460" t="str">
        <f>IF(AU579="","",IF(OR(AZ579=8,AZ579=9),0,IF(OR(AW579=3,AW579=4,AW579=5,AW579=6),IF(LEFT(BH579,1)="1",INDEX(係数_PM低減,MATCH(AY579,【参考】排出係数!$AI$801:$AI$804,1),MATCH(BI579,【参考】排出係数!$AL$798:$AO$798,1)),VLOOKUP(AU579,INDEX((係数_バス貨物_ガソリン,係数_バス貨物_CNG,係数_バス貨物_軽油,係数_バス貨物_メタノール,係数_バス貨物_LPG),MATCH(AY579,【参考】排出係数!$AI$4:$AI$671,1),1,BE579):INDEX((係数_バス貨物_ガソリン,係数_バス貨物_CNG,係数_バス貨物_軽油,係数_バス貨物_メタノール,係数_バス貨物_LPG),MATCH(AY579+1,【参考】排出係数!$AI$4:$AI$671,1)-1,5,BE579),5,FALSE)),IF(AND(BE579=3,LEFT(BF579,1)="1"),0.055,VLOOKUP(AU579,INDEX((係数_乗用_ガソリン,係数_乗用_CNG,係数_乗用_軽油,係数_乗用_メタノール,係数_乗用_LPG),1,1,BE579):INDEX((係数_乗用_ガソリン,係数_乗用_CNG,係数_乗用_軽油,係数_乗用_メタノール,係数_乗用_LPG),125,5,BE579),5,FALSE)))))</f>
        <v/>
      </c>
      <c r="AN579" s="461" t="str">
        <f t="shared" si="330"/>
        <v/>
      </c>
      <c r="AO579" s="462" t="str">
        <f t="shared" si="331"/>
        <v/>
      </c>
      <c r="AP579" s="463" t="str">
        <f t="shared" si="332"/>
        <v/>
      </c>
      <c r="AQ579" s="464"/>
      <c r="AR579" s="619"/>
      <c r="AS579" s="465" t="str">
        <f t="shared" si="334"/>
        <v/>
      </c>
      <c r="AT579" s="465" t="str">
        <f t="shared" si="335"/>
        <v/>
      </c>
      <c r="AU579" s="466" t="str">
        <f t="shared" si="336"/>
        <v/>
      </c>
      <c r="AV579" s="467" t="str">
        <f t="shared" si="337"/>
        <v/>
      </c>
      <c r="AW579" s="467" t="str">
        <f t="shared" si="338"/>
        <v/>
      </c>
      <c r="AX579" s="467" t="str">
        <f t="shared" si="339"/>
        <v/>
      </c>
      <c r="AY579" s="467" t="str">
        <f t="shared" si="340"/>
        <v/>
      </c>
      <c r="AZ579" s="467" t="str">
        <f t="shared" si="341"/>
        <v/>
      </c>
      <c r="BA579" s="468" t="str">
        <f>IF(AS579="","",IF(OR(AU579="",AU579="-"),"－",IF(OR(AZ579=8,AZ579=9),"",IF(OR(AW579=3,AW579=4,AW579=5,AW579=6),VLOOKUP(AU579,INDEX((係数_バス貨物_ガソリン,係数_バス貨物_CNG,係数_バス貨物_軽油,係数_バス貨物_メタノール,係数_バス貨物_LPG),MATCH(AY579,【参考】排出係数!$AI$4:$AI$671,1),1,BE579):INDEX((係数_バス貨物_ガソリン,係数_バス貨物_CNG,係数_バス貨物_軽油,係数_バス貨物_メタノール,係数_バス貨物_LPG),MATCH(AY579+1,【参考】排出係数!$AI$4:$AI$671,1)-1,5,BE579),2,FALSE),IF(OR(AW579=1,AW579=2),VLOOKUP(AU579,INDEX((係数_乗用_ガソリン,係数_乗用_CNG,係数_乗用_軽油,係数_乗用_メタノール,係数_乗用_LPG),1,1,BE579):INDEX((係数_乗用_ガソリン,係数_乗用_CNG,係数_乗用_軽油,係数_乗用_メタノール,係数_乗用_LPG),125,5,BE579),2,FALSE))))))</f>
        <v/>
      </c>
      <c r="BB579" s="468" t="str">
        <f>IF(T579="","",IF(OR(AU579="",AU579="-"),"－",IF(OR(AZ579=8,AZ579=9),"",IF(OR(AW579=3,AW579=4,AW579=5,AW579=6),VLOOKUP(AU579,INDEX((係数_バス貨物_ガソリン,係数_バス貨物_CNG,係数_バス貨物_軽油,係数_バス貨物_メタノール,係数_バス貨物_LPG),MATCH(AY579,【参考】排出係数!$AI$4:$AI$671,1),1,BE579):INDEX((係数_バス貨物_ガソリン,係数_バス貨物_CNG,係数_バス貨物_軽油,係数_バス貨物_メタノール,係数_バス貨物_LPG),MATCH(AY579+1,【参考】排出係数!$AI$4:$AI$671,1)-1,5,BE579),3,FALSE),IF(OR(AW579=1,AW579=2),VLOOKUP(AU579,INDEX((係数_乗用_ガソリン,係数_乗用_CNG,係数_乗用_軽油,係数_乗用_メタノール,係数_乗用_LPG),1,1,BE579):INDEX((係数_乗用_ガソリン,係数_乗用_CNG,係数_乗用_軽油,係数_乗用_メタノール,係数_乗用_LPG),125,5,BE579),3,FALSE))))))</f>
        <v/>
      </c>
      <c r="BC579" s="467" t="str">
        <f t="shared" si="342"/>
        <v/>
      </c>
      <c r="BD579" s="567" t="str">
        <f t="shared" si="343"/>
        <v/>
      </c>
      <c r="BE579" s="467" t="str">
        <f t="shared" si="344"/>
        <v/>
      </c>
      <c r="BF579" s="469" t="str">
        <f t="shared" ca="1" si="345"/>
        <v/>
      </c>
      <c r="BG579" s="469" t="str">
        <f t="shared" ca="1" si="346"/>
        <v/>
      </c>
      <c r="BH579" s="467" t="str">
        <f t="shared" si="347"/>
        <v/>
      </c>
      <c r="BI579" s="467" t="str">
        <f t="shared" ca="1" si="348"/>
        <v/>
      </c>
      <c r="BJ579" s="469" t="str">
        <f t="shared" si="349"/>
        <v/>
      </c>
      <c r="BK579" s="470" t="str">
        <f t="shared" si="333"/>
        <v/>
      </c>
      <c r="BL579" s="775" t="str">
        <f t="shared" si="350"/>
        <v/>
      </c>
      <c r="BM579" s="775" t="str">
        <f t="shared" si="351"/>
        <v/>
      </c>
    </row>
    <row r="580" spans="1:65">
      <c r="A580" s="473">
        <v>524</v>
      </c>
      <c r="B580" s="132"/>
      <c r="C580" s="332"/>
      <c r="D580" s="333"/>
      <c r="E580" s="333"/>
      <c r="F580" s="334"/>
      <c r="G580" s="337"/>
      <c r="H580" s="131"/>
      <c r="I580" s="337"/>
      <c r="J580" s="131"/>
      <c r="K580" s="458" t="str">
        <f t="shared" si="320"/>
        <v/>
      </c>
      <c r="L580" s="458">
        <f t="shared" si="321"/>
        <v>0</v>
      </c>
      <c r="M580" s="458">
        <f t="shared" si="322"/>
        <v>0</v>
      </c>
      <c r="N580" s="459" t="str">
        <f t="shared" si="283"/>
        <v/>
      </c>
      <c r="O580" s="459" t="str">
        <f t="shared" si="284"/>
        <v/>
      </c>
      <c r="P580" s="459" t="str">
        <f t="shared" si="285"/>
        <v/>
      </c>
      <c r="Q580" s="459" t="str">
        <f t="shared" si="286"/>
        <v/>
      </c>
      <c r="R580" s="459" t="str">
        <f t="shared" si="287"/>
        <v/>
      </c>
      <c r="S580" s="459" t="str">
        <f t="shared" si="288"/>
        <v/>
      </c>
      <c r="T580" s="566" t="str">
        <f t="shared" si="323"/>
        <v/>
      </c>
      <c r="U580" s="702"/>
      <c r="V580" s="132"/>
      <c r="W580" s="133"/>
      <c r="X580" s="134"/>
      <c r="Y580" s="135"/>
      <c r="Z580" s="137"/>
      <c r="AA580" s="136"/>
      <c r="AB580" s="566" t="str">
        <f t="shared" si="324"/>
        <v/>
      </c>
      <c r="AC580" s="568" t="str">
        <f t="shared" si="325"/>
        <v/>
      </c>
      <c r="AD580" s="137"/>
      <c r="AE580" s="137"/>
      <c r="AF580" s="138"/>
      <c r="AG580" s="138"/>
      <c r="AH580" s="592" t="str">
        <f t="shared" si="326"/>
        <v/>
      </c>
      <c r="AI580" s="592" t="str">
        <f t="shared" si="327"/>
        <v/>
      </c>
      <c r="AJ580" s="592" t="str">
        <f t="shared" si="328"/>
        <v/>
      </c>
      <c r="AK580" s="460" t="str">
        <f>IF(AU580="","",IF(OR(AZ580=8,AZ580=9),0,IF(OR(AW580=3,AW580=4,AW580=5,AW580=6),IF(LEFT(BF580,1)="1",INDEX(係数_NOX・PM低減,MATCH(AY580,【参考】排出係数!$AI$801:$AI$804,1),1),VLOOKUP(AU580,INDEX((係数_バス貨物_ガソリン,係数_バス貨物_CNG,係数_バス貨物_軽油,係数_バス貨物_メタノール,係数_バス貨物_LPG),MATCH(AY580,【参考】排出係数!$AI$4:$AI$671,1),1,BE580):INDEX((係数_バス貨物_ガソリン,係数_バス貨物_CNG,係数_バス貨物_軽油,係数_バス貨物_メタノール,係数_バス貨物_LPG),MATCH(AY580+1,【参考】排出係数!$AI$4:$AI$671,1)-1,5,BE580),4,FALSE)),IF(AND(BE580=3,LEFT(BF580,1)="1"),0.48,VLOOKUP(AU580,INDEX((係数_乗用_ガソリン,係数_乗用_CNG,係数_乗用_軽油,係数_乗用_メタノール,係数_乗用_LPG),1,1,BE580):INDEX((係数_乗用_ガソリン,係数_乗用_CNG,係数_乗用_軽油,係数_乗用_メタノール,係数_乗用_LPG),125,5,BE580),4,FALSE)))))</f>
        <v/>
      </c>
      <c r="AL580" s="461" t="str">
        <f t="shared" si="329"/>
        <v/>
      </c>
      <c r="AM580" s="460" t="str">
        <f>IF(AU580="","",IF(OR(AZ580=8,AZ580=9),0,IF(OR(AW580=3,AW580=4,AW580=5,AW580=6),IF(LEFT(BH580,1)="1",INDEX(係数_PM低減,MATCH(AY580,【参考】排出係数!$AI$801:$AI$804,1),MATCH(BI580,【参考】排出係数!$AL$798:$AO$798,1)),VLOOKUP(AU580,INDEX((係数_バス貨物_ガソリン,係数_バス貨物_CNG,係数_バス貨物_軽油,係数_バス貨物_メタノール,係数_バス貨物_LPG),MATCH(AY580,【参考】排出係数!$AI$4:$AI$671,1),1,BE580):INDEX((係数_バス貨物_ガソリン,係数_バス貨物_CNG,係数_バス貨物_軽油,係数_バス貨物_メタノール,係数_バス貨物_LPG),MATCH(AY580+1,【参考】排出係数!$AI$4:$AI$671,1)-1,5,BE580),5,FALSE)),IF(AND(BE580=3,LEFT(BF580,1)="1"),0.055,VLOOKUP(AU580,INDEX((係数_乗用_ガソリン,係数_乗用_CNG,係数_乗用_軽油,係数_乗用_メタノール,係数_乗用_LPG),1,1,BE580):INDEX((係数_乗用_ガソリン,係数_乗用_CNG,係数_乗用_軽油,係数_乗用_メタノール,係数_乗用_LPG),125,5,BE580),5,FALSE)))))</f>
        <v/>
      </c>
      <c r="AN580" s="461" t="str">
        <f t="shared" si="330"/>
        <v/>
      </c>
      <c r="AO580" s="462" t="str">
        <f t="shared" si="331"/>
        <v/>
      </c>
      <c r="AP580" s="463" t="str">
        <f t="shared" si="332"/>
        <v/>
      </c>
      <c r="AQ580" s="464"/>
      <c r="AR580" s="619"/>
      <c r="AS580" s="465" t="str">
        <f t="shared" si="334"/>
        <v/>
      </c>
      <c r="AT580" s="465" t="str">
        <f t="shared" si="335"/>
        <v/>
      </c>
      <c r="AU580" s="466" t="str">
        <f t="shared" si="336"/>
        <v/>
      </c>
      <c r="AV580" s="467" t="str">
        <f t="shared" si="337"/>
        <v/>
      </c>
      <c r="AW580" s="467" t="str">
        <f t="shared" si="338"/>
        <v/>
      </c>
      <c r="AX580" s="467" t="str">
        <f t="shared" si="339"/>
        <v/>
      </c>
      <c r="AY580" s="467" t="str">
        <f t="shared" si="340"/>
        <v/>
      </c>
      <c r="AZ580" s="467" t="str">
        <f t="shared" si="341"/>
        <v/>
      </c>
      <c r="BA580" s="468" t="str">
        <f>IF(AS580="","",IF(OR(AU580="",AU580="-"),"－",IF(OR(AZ580=8,AZ580=9),"",IF(OR(AW580=3,AW580=4,AW580=5,AW580=6),VLOOKUP(AU580,INDEX((係数_バス貨物_ガソリン,係数_バス貨物_CNG,係数_バス貨物_軽油,係数_バス貨物_メタノール,係数_バス貨物_LPG),MATCH(AY580,【参考】排出係数!$AI$4:$AI$671,1),1,BE580):INDEX((係数_バス貨物_ガソリン,係数_バス貨物_CNG,係数_バス貨物_軽油,係数_バス貨物_メタノール,係数_バス貨物_LPG),MATCH(AY580+1,【参考】排出係数!$AI$4:$AI$671,1)-1,5,BE580),2,FALSE),IF(OR(AW580=1,AW580=2),VLOOKUP(AU580,INDEX((係数_乗用_ガソリン,係数_乗用_CNG,係数_乗用_軽油,係数_乗用_メタノール,係数_乗用_LPG),1,1,BE580):INDEX((係数_乗用_ガソリン,係数_乗用_CNG,係数_乗用_軽油,係数_乗用_メタノール,係数_乗用_LPG),125,5,BE580),2,FALSE))))))</f>
        <v/>
      </c>
      <c r="BB580" s="468" t="str">
        <f>IF(T580="","",IF(OR(AU580="",AU580="-"),"－",IF(OR(AZ580=8,AZ580=9),"",IF(OR(AW580=3,AW580=4,AW580=5,AW580=6),VLOOKUP(AU580,INDEX((係数_バス貨物_ガソリン,係数_バス貨物_CNG,係数_バス貨物_軽油,係数_バス貨物_メタノール,係数_バス貨物_LPG),MATCH(AY580,【参考】排出係数!$AI$4:$AI$671,1),1,BE580):INDEX((係数_バス貨物_ガソリン,係数_バス貨物_CNG,係数_バス貨物_軽油,係数_バス貨物_メタノール,係数_バス貨物_LPG),MATCH(AY580+1,【参考】排出係数!$AI$4:$AI$671,1)-1,5,BE580),3,FALSE),IF(OR(AW580=1,AW580=2),VLOOKUP(AU580,INDEX((係数_乗用_ガソリン,係数_乗用_CNG,係数_乗用_軽油,係数_乗用_メタノール,係数_乗用_LPG),1,1,BE580):INDEX((係数_乗用_ガソリン,係数_乗用_CNG,係数_乗用_軽油,係数_乗用_メタノール,係数_乗用_LPG),125,5,BE580),3,FALSE))))))</f>
        <v/>
      </c>
      <c r="BC580" s="467" t="str">
        <f t="shared" si="342"/>
        <v/>
      </c>
      <c r="BD580" s="567" t="str">
        <f t="shared" si="343"/>
        <v/>
      </c>
      <c r="BE580" s="467" t="str">
        <f t="shared" si="344"/>
        <v/>
      </c>
      <c r="BF580" s="469" t="str">
        <f t="shared" ca="1" si="345"/>
        <v/>
      </c>
      <c r="BG580" s="469" t="str">
        <f t="shared" ca="1" si="346"/>
        <v/>
      </c>
      <c r="BH580" s="467" t="str">
        <f t="shared" si="347"/>
        <v/>
      </c>
      <c r="BI580" s="467" t="str">
        <f t="shared" ca="1" si="348"/>
        <v/>
      </c>
      <c r="BJ580" s="469" t="str">
        <f t="shared" si="349"/>
        <v/>
      </c>
      <c r="BK580" s="470" t="str">
        <f t="shared" si="333"/>
        <v/>
      </c>
      <c r="BL580" s="775" t="str">
        <f t="shared" si="350"/>
        <v/>
      </c>
      <c r="BM580" s="775" t="str">
        <f t="shared" si="351"/>
        <v/>
      </c>
    </row>
    <row r="581" spans="1:65">
      <c r="A581" s="473">
        <v>525</v>
      </c>
      <c r="B581" s="132"/>
      <c r="C581" s="332"/>
      <c r="D581" s="333"/>
      <c r="E581" s="333"/>
      <c r="F581" s="334"/>
      <c r="G581" s="337"/>
      <c r="H581" s="131"/>
      <c r="I581" s="337"/>
      <c r="J581" s="131"/>
      <c r="K581" s="458" t="str">
        <f t="shared" si="320"/>
        <v/>
      </c>
      <c r="L581" s="458">
        <f t="shared" si="321"/>
        <v>0</v>
      </c>
      <c r="M581" s="458">
        <f t="shared" si="322"/>
        <v>0</v>
      </c>
      <c r="N581" s="459" t="str">
        <f t="shared" si="283"/>
        <v/>
      </c>
      <c r="O581" s="459" t="str">
        <f t="shared" si="284"/>
        <v/>
      </c>
      <c r="P581" s="459" t="str">
        <f t="shared" si="285"/>
        <v/>
      </c>
      <c r="Q581" s="459" t="str">
        <f t="shared" si="286"/>
        <v/>
      </c>
      <c r="R581" s="459" t="str">
        <f t="shared" si="287"/>
        <v/>
      </c>
      <c r="S581" s="459" t="str">
        <f t="shared" si="288"/>
        <v/>
      </c>
      <c r="T581" s="566" t="str">
        <f t="shared" si="323"/>
        <v/>
      </c>
      <c r="U581" s="702"/>
      <c r="V581" s="132"/>
      <c r="W581" s="133"/>
      <c r="X581" s="134"/>
      <c r="Y581" s="135"/>
      <c r="Z581" s="137"/>
      <c r="AA581" s="136"/>
      <c r="AB581" s="566" t="str">
        <f t="shared" si="324"/>
        <v/>
      </c>
      <c r="AC581" s="568" t="str">
        <f t="shared" si="325"/>
        <v/>
      </c>
      <c r="AD581" s="137"/>
      <c r="AE581" s="137"/>
      <c r="AF581" s="138"/>
      <c r="AG581" s="138"/>
      <c r="AH581" s="592" t="str">
        <f t="shared" si="326"/>
        <v/>
      </c>
      <c r="AI581" s="592" t="str">
        <f t="shared" si="327"/>
        <v/>
      </c>
      <c r="AJ581" s="592" t="str">
        <f t="shared" si="328"/>
        <v/>
      </c>
      <c r="AK581" s="460" t="str">
        <f>IF(AU581="","",IF(OR(AZ581=8,AZ581=9),0,IF(OR(AW581=3,AW581=4,AW581=5,AW581=6),IF(LEFT(BF581,1)="1",INDEX(係数_NOX・PM低減,MATCH(AY581,【参考】排出係数!$AI$801:$AI$804,1),1),VLOOKUP(AU581,INDEX((係数_バス貨物_ガソリン,係数_バス貨物_CNG,係数_バス貨物_軽油,係数_バス貨物_メタノール,係数_バス貨物_LPG),MATCH(AY581,【参考】排出係数!$AI$4:$AI$671,1),1,BE581):INDEX((係数_バス貨物_ガソリン,係数_バス貨物_CNG,係数_バス貨物_軽油,係数_バス貨物_メタノール,係数_バス貨物_LPG),MATCH(AY581+1,【参考】排出係数!$AI$4:$AI$671,1)-1,5,BE581),4,FALSE)),IF(AND(BE581=3,LEFT(BF581,1)="1"),0.48,VLOOKUP(AU581,INDEX((係数_乗用_ガソリン,係数_乗用_CNG,係数_乗用_軽油,係数_乗用_メタノール,係数_乗用_LPG),1,1,BE581):INDEX((係数_乗用_ガソリン,係数_乗用_CNG,係数_乗用_軽油,係数_乗用_メタノール,係数_乗用_LPG),125,5,BE581),4,FALSE)))))</f>
        <v/>
      </c>
      <c r="AL581" s="461" t="str">
        <f t="shared" si="329"/>
        <v/>
      </c>
      <c r="AM581" s="460" t="str">
        <f>IF(AU581="","",IF(OR(AZ581=8,AZ581=9),0,IF(OR(AW581=3,AW581=4,AW581=5,AW581=6),IF(LEFT(BH581,1)="1",INDEX(係数_PM低減,MATCH(AY581,【参考】排出係数!$AI$801:$AI$804,1),MATCH(BI581,【参考】排出係数!$AL$798:$AO$798,1)),VLOOKUP(AU581,INDEX((係数_バス貨物_ガソリン,係数_バス貨物_CNG,係数_バス貨物_軽油,係数_バス貨物_メタノール,係数_バス貨物_LPG),MATCH(AY581,【参考】排出係数!$AI$4:$AI$671,1),1,BE581):INDEX((係数_バス貨物_ガソリン,係数_バス貨物_CNG,係数_バス貨物_軽油,係数_バス貨物_メタノール,係数_バス貨物_LPG),MATCH(AY581+1,【参考】排出係数!$AI$4:$AI$671,1)-1,5,BE581),5,FALSE)),IF(AND(BE581=3,LEFT(BF581,1)="1"),0.055,VLOOKUP(AU581,INDEX((係数_乗用_ガソリン,係数_乗用_CNG,係数_乗用_軽油,係数_乗用_メタノール,係数_乗用_LPG),1,1,BE581):INDEX((係数_乗用_ガソリン,係数_乗用_CNG,係数_乗用_軽油,係数_乗用_メタノール,係数_乗用_LPG),125,5,BE581),5,FALSE)))))</f>
        <v/>
      </c>
      <c r="AN581" s="461" t="str">
        <f t="shared" si="330"/>
        <v/>
      </c>
      <c r="AO581" s="462" t="str">
        <f t="shared" si="331"/>
        <v/>
      </c>
      <c r="AP581" s="463" t="str">
        <f t="shared" si="332"/>
        <v/>
      </c>
      <c r="AQ581" s="464"/>
      <c r="AR581" s="619"/>
      <c r="AS581" s="465" t="str">
        <f t="shared" si="334"/>
        <v/>
      </c>
      <c r="AT581" s="465" t="str">
        <f t="shared" si="335"/>
        <v/>
      </c>
      <c r="AU581" s="466" t="str">
        <f t="shared" si="336"/>
        <v/>
      </c>
      <c r="AV581" s="467" t="str">
        <f t="shared" si="337"/>
        <v/>
      </c>
      <c r="AW581" s="467" t="str">
        <f t="shared" si="338"/>
        <v/>
      </c>
      <c r="AX581" s="467" t="str">
        <f t="shared" si="339"/>
        <v/>
      </c>
      <c r="AY581" s="467" t="str">
        <f t="shared" si="340"/>
        <v/>
      </c>
      <c r="AZ581" s="467" t="str">
        <f t="shared" si="341"/>
        <v/>
      </c>
      <c r="BA581" s="468" t="str">
        <f>IF(AS581="","",IF(OR(AU581="",AU581="-"),"－",IF(OR(AZ581=8,AZ581=9),"",IF(OR(AW581=3,AW581=4,AW581=5,AW581=6),VLOOKUP(AU581,INDEX((係数_バス貨物_ガソリン,係数_バス貨物_CNG,係数_バス貨物_軽油,係数_バス貨物_メタノール,係数_バス貨物_LPG),MATCH(AY581,【参考】排出係数!$AI$4:$AI$671,1),1,BE581):INDEX((係数_バス貨物_ガソリン,係数_バス貨物_CNG,係数_バス貨物_軽油,係数_バス貨物_メタノール,係数_バス貨物_LPG),MATCH(AY581+1,【参考】排出係数!$AI$4:$AI$671,1)-1,5,BE581),2,FALSE),IF(OR(AW581=1,AW581=2),VLOOKUP(AU581,INDEX((係数_乗用_ガソリン,係数_乗用_CNG,係数_乗用_軽油,係数_乗用_メタノール,係数_乗用_LPG),1,1,BE581):INDEX((係数_乗用_ガソリン,係数_乗用_CNG,係数_乗用_軽油,係数_乗用_メタノール,係数_乗用_LPG),125,5,BE581),2,FALSE))))))</f>
        <v/>
      </c>
      <c r="BB581" s="468" t="str">
        <f>IF(T581="","",IF(OR(AU581="",AU581="-"),"－",IF(OR(AZ581=8,AZ581=9),"",IF(OR(AW581=3,AW581=4,AW581=5,AW581=6),VLOOKUP(AU581,INDEX((係数_バス貨物_ガソリン,係数_バス貨物_CNG,係数_バス貨物_軽油,係数_バス貨物_メタノール,係数_バス貨物_LPG),MATCH(AY581,【参考】排出係数!$AI$4:$AI$671,1),1,BE581):INDEX((係数_バス貨物_ガソリン,係数_バス貨物_CNG,係数_バス貨物_軽油,係数_バス貨物_メタノール,係数_バス貨物_LPG),MATCH(AY581+1,【参考】排出係数!$AI$4:$AI$671,1)-1,5,BE581),3,FALSE),IF(OR(AW581=1,AW581=2),VLOOKUP(AU581,INDEX((係数_乗用_ガソリン,係数_乗用_CNG,係数_乗用_軽油,係数_乗用_メタノール,係数_乗用_LPG),1,1,BE581):INDEX((係数_乗用_ガソリン,係数_乗用_CNG,係数_乗用_軽油,係数_乗用_メタノール,係数_乗用_LPG),125,5,BE581),3,FALSE))))))</f>
        <v/>
      </c>
      <c r="BC581" s="467" t="str">
        <f t="shared" si="342"/>
        <v/>
      </c>
      <c r="BD581" s="567" t="str">
        <f t="shared" si="343"/>
        <v/>
      </c>
      <c r="BE581" s="467" t="str">
        <f t="shared" si="344"/>
        <v/>
      </c>
      <c r="BF581" s="469" t="str">
        <f t="shared" ca="1" si="345"/>
        <v/>
      </c>
      <c r="BG581" s="469" t="str">
        <f t="shared" ca="1" si="346"/>
        <v/>
      </c>
      <c r="BH581" s="467" t="str">
        <f t="shared" si="347"/>
        <v/>
      </c>
      <c r="BI581" s="467" t="str">
        <f t="shared" ca="1" si="348"/>
        <v/>
      </c>
      <c r="BJ581" s="469" t="str">
        <f t="shared" si="349"/>
        <v/>
      </c>
      <c r="BK581" s="470" t="str">
        <f t="shared" si="333"/>
        <v/>
      </c>
      <c r="BL581" s="775" t="str">
        <f t="shared" si="350"/>
        <v/>
      </c>
      <c r="BM581" s="775" t="str">
        <f t="shared" si="351"/>
        <v/>
      </c>
    </row>
    <row r="582" spans="1:65">
      <c r="A582" s="473">
        <v>526</v>
      </c>
      <c r="B582" s="132"/>
      <c r="C582" s="332"/>
      <c r="D582" s="333"/>
      <c r="E582" s="333"/>
      <c r="F582" s="334"/>
      <c r="G582" s="337"/>
      <c r="H582" s="131"/>
      <c r="I582" s="337"/>
      <c r="J582" s="131"/>
      <c r="K582" s="458" t="str">
        <f t="shared" si="320"/>
        <v/>
      </c>
      <c r="L582" s="458">
        <f t="shared" si="321"/>
        <v>0</v>
      </c>
      <c r="M582" s="458">
        <f t="shared" si="322"/>
        <v>0</v>
      </c>
      <c r="N582" s="459" t="str">
        <f t="shared" si="283"/>
        <v/>
      </c>
      <c r="O582" s="459" t="str">
        <f t="shared" si="284"/>
        <v/>
      </c>
      <c r="P582" s="459" t="str">
        <f t="shared" si="285"/>
        <v/>
      </c>
      <c r="Q582" s="459" t="str">
        <f t="shared" si="286"/>
        <v/>
      </c>
      <c r="R582" s="459" t="str">
        <f t="shared" si="287"/>
        <v/>
      </c>
      <c r="S582" s="459" t="str">
        <f t="shared" si="288"/>
        <v/>
      </c>
      <c r="T582" s="566" t="str">
        <f t="shared" si="323"/>
        <v/>
      </c>
      <c r="U582" s="702"/>
      <c r="V582" s="132"/>
      <c r="W582" s="133"/>
      <c r="X582" s="134"/>
      <c r="Y582" s="135"/>
      <c r="Z582" s="137"/>
      <c r="AA582" s="136"/>
      <c r="AB582" s="566" t="str">
        <f t="shared" si="324"/>
        <v/>
      </c>
      <c r="AC582" s="568" t="str">
        <f t="shared" si="325"/>
        <v/>
      </c>
      <c r="AD582" s="137"/>
      <c r="AE582" s="137"/>
      <c r="AF582" s="138"/>
      <c r="AG582" s="138"/>
      <c r="AH582" s="592" t="str">
        <f t="shared" si="326"/>
        <v/>
      </c>
      <c r="AI582" s="592" t="str">
        <f t="shared" si="327"/>
        <v/>
      </c>
      <c r="AJ582" s="592" t="str">
        <f t="shared" si="328"/>
        <v/>
      </c>
      <c r="AK582" s="460" t="str">
        <f>IF(AU582="","",IF(OR(AZ582=8,AZ582=9),0,IF(OR(AW582=3,AW582=4,AW582=5,AW582=6),IF(LEFT(BF582,1)="1",INDEX(係数_NOX・PM低減,MATCH(AY582,【参考】排出係数!$AI$801:$AI$804,1),1),VLOOKUP(AU582,INDEX((係数_バス貨物_ガソリン,係数_バス貨物_CNG,係数_バス貨物_軽油,係数_バス貨物_メタノール,係数_バス貨物_LPG),MATCH(AY582,【参考】排出係数!$AI$4:$AI$671,1),1,BE582):INDEX((係数_バス貨物_ガソリン,係数_バス貨物_CNG,係数_バス貨物_軽油,係数_バス貨物_メタノール,係数_バス貨物_LPG),MATCH(AY582+1,【参考】排出係数!$AI$4:$AI$671,1)-1,5,BE582),4,FALSE)),IF(AND(BE582=3,LEFT(BF582,1)="1"),0.48,VLOOKUP(AU582,INDEX((係数_乗用_ガソリン,係数_乗用_CNG,係数_乗用_軽油,係数_乗用_メタノール,係数_乗用_LPG),1,1,BE582):INDEX((係数_乗用_ガソリン,係数_乗用_CNG,係数_乗用_軽油,係数_乗用_メタノール,係数_乗用_LPG),125,5,BE582),4,FALSE)))))</f>
        <v/>
      </c>
      <c r="AL582" s="461" t="str">
        <f t="shared" si="329"/>
        <v/>
      </c>
      <c r="AM582" s="460" t="str">
        <f>IF(AU582="","",IF(OR(AZ582=8,AZ582=9),0,IF(OR(AW582=3,AW582=4,AW582=5,AW582=6),IF(LEFT(BH582,1)="1",INDEX(係数_PM低減,MATCH(AY582,【参考】排出係数!$AI$801:$AI$804,1),MATCH(BI582,【参考】排出係数!$AL$798:$AO$798,1)),VLOOKUP(AU582,INDEX((係数_バス貨物_ガソリン,係数_バス貨物_CNG,係数_バス貨物_軽油,係数_バス貨物_メタノール,係数_バス貨物_LPG),MATCH(AY582,【参考】排出係数!$AI$4:$AI$671,1),1,BE582):INDEX((係数_バス貨物_ガソリン,係数_バス貨物_CNG,係数_バス貨物_軽油,係数_バス貨物_メタノール,係数_バス貨物_LPG),MATCH(AY582+1,【参考】排出係数!$AI$4:$AI$671,1)-1,5,BE582),5,FALSE)),IF(AND(BE582=3,LEFT(BF582,1)="1"),0.055,VLOOKUP(AU582,INDEX((係数_乗用_ガソリン,係数_乗用_CNG,係数_乗用_軽油,係数_乗用_メタノール,係数_乗用_LPG),1,1,BE582):INDEX((係数_乗用_ガソリン,係数_乗用_CNG,係数_乗用_軽油,係数_乗用_メタノール,係数_乗用_LPG),125,5,BE582),5,FALSE)))))</f>
        <v/>
      </c>
      <c r="AN582" s="461" t="str">
        <f t="shared" si="330"/>
        <v/>
      </c>
      <c r="AO582" s="462" t="str">
        <f t="shared" si="331"/>
        <v/>
      </c>
      <c r="AP582" s="463" t="str">
        <f t="shared" si="332"/>
        <v/>
      </c>
      <c r="AQ582" s="464"/>
      <c r="AR582" s="619"/>
      <c r="AS582" s="465" t="str">
        <f t="shared" si="334"/>
        <v/>
      </c>
      <c r="AT582" s="465" t="str">
        <f t="shared" si="335"/>
        <v/>
      </c>
      <c r="AU582" s="466" t="str">
        <f t="shared" si="336"/>
        <v/>
      </c>
      <c r="AV582" s="467" t="str">
        <f t="shared" si="337"/>
        <v/>
      </c>
      <c r="AW582" s="467" t="str">
        <f t="shared" si="338"/>
        <v/>
      </c>
      <c r="AX582" s="467" t="str">
        <f t="shared" si="339"/>
        <v/>
      </c>
      <c r="AY582" s="467" t="str">
        <f t="shared" si="340"/>
        <v/>
      </c>
      <c r="AZ582" s="467" t="str">
        <f t="shared" si="341"/>
        <v/>
      </c>
      <c r="BA582" s="468" t="str">
        <f>IF(AS582="","",IF(OR(AU582="",AU582="-"),"－",IF(OR(AZ582=8,AZ582=9),"",IF(OR(AW582=3,AW582=4,AW582=5,AW582=6),VLOOKUP(AU582,INDEX((係数_バス貨物_ガソリン,係数_バス貨物_CNG,係数_バス貨物_軽油,係数_バス貨物_メタノール,係数_バス貨物_LPG),MATCH(AY582,【参考】排出係数!$AI$4:$AI$671,1),1,BE582):INDEX((係数_バス貨物_ガソリン,係数_バス貨物_CNG,係数_バス貨物_軽油,係数_バス貨物_メタノール,係数_バス貨物_LPG),MATCH(AY582+1,【参考】排出係数!$AI$4:$AI$671,1)-1,5,BE582),2,FALSE),IF(OR(AW582=1,AW582=2),VLOOKUP(AU582,INDEX((係数_乗用_ガソリン,係数_乗用_CNG,係数_乗用_軽油,係数_乗用_メタノール,係数_乗用_LPG),1,1,BE582):INDEX((係数_乗用_ガソリン,係数_乗用_CNG,係数_乗用_軽油,係数_乗用_メタノール,係数_乗用_LPG),125,5,BE582),2,FALSE))))))</f>
        <v/>
      </c>
      <c r="BB582" s="468" t="str">
        <f>IF(T582="","",IF(OR(AU582="",AU582="-"),"－",IF(OR(AZ582=8,AZ582=9),"",IF(OR(AW582=3,AW582=4,AW582=5,AW582=6),VLOOKUP(AU582,INDEX((係数_バス貨物_ガソリン,係数_バス貨物_CNG,係数_バス貨物_軽油,係数_バス貨物_メタノール,係数_バス貨物_LPG),MATCH(AY582,【参考】排出係数!$AI$4:$AI$671,1),1,BE582):INDEX((係数_バス貨物_ガソリン,係数_バス貨物_CNG,係数_バス貨物_軽油,係数_バス貨物_メタノール,係数_バス貨物_LPG),MATCH(AY582+1,【参考】排出係数!$AI$4:$AI$671,1)-1,5,BE582),3,FALSE),IF(OR(AW582=1,AW582=2),VLOOKUP(AU582,INDEX((係数_乗用_ガソリン,係数_乗用_CNG,係数_乗用_軽油,係数_乗用_メタノール,係数_乗用_LPG),1,1,BE582):INDEX((係数_乗用_ガソリン,係数_乗用_CNG,係数_乗用_軽油,係数_乗用_メタノール,係数_乗用_LPG),125,5,BE582),3,FALSE))))))</f>
        <v/>
      </c>
      <c r="BC582" s="467" t="str">
        <f t="shared" si="342"/>
        <v/>
      </c>
      <c r="BD582" s="567" t="str">
        <f t="shared" si="343"/>
        <v/>
      </c>
      <c r="BE582" s="467" t="str">
        <f t="shared" si="344"/>
        <v/>
      </c>
      <c r="BF582" s="469" t="str">
        <f t="shared" ca="1" si="345"/>
        <v/>
      </c>
      <c r="BG582" s="469" t="str">
        <f t="shared" ca="1" si="346"/>
        <v/>
      </c>
      <c r="BH582" s="467" t="str">
        <f t="shared" si="347"/>
        <v/>
      </c>
      <c r="BI582" s="467" t="str">
        <f t="shared" ca="1" si="348"/>
        <v/>
      </c>
      <c r="BJ582" s="469" t="str">
        <f t="shared" si="349"/>
        <v/>
      </c>
      <c r="BK582" s="470" t="str">
        <f t="shared" si="333"/>
        <v/>
      </c>
      <c r="BL582" s="775" t="str">
        <f t="shared" si="350"/>
        <v/>
      </c>
      <c r="BM582" s="775" t="str">
        <f t="shared" si="351"/>
        <v/>
      </c>
    </row>
    <row r="583" spans="1:65">
      <c r="A583" s="473">
        <v>527</v>
      </c>
      <c r="B583" s="132"/>
      <c r="C583" s="332"/>
      <c r="D583" s="333"/>
      <c r="E583" s="333"/>
      <c r="F583" s="334"/>
      <c r="G583" s="337"/>
      <c r="H583" s="131"/>
      <c r="I583" s="337"/>
      <c r="J583" s="131"/>
      <c r="K583" s="458" t="str">
        <f t="shared" si="320"/>
        <v/>
      </c>
      <c r="L583" s="458">
        <f t="shared" si="321"/>
        <v>0</v>
      </c>
      <c r="M583" s="458">
        <f t="shared" si="322"/>
        <v>0</v>
      </c>
      <c r="N583" s="459" t="str">
        <f t="shared" si="283"/>
        <v/>
      </c>
      <c r="O583" s="459" t="str">
        <f t="shared" si="284"/>
        <v/>
      </c>
      <c r="P583" s="459" t="str">
        <f t="shared" si="285"/>
        <v/>
      </c>
      <c r="Q583" s="459" t="str">
        <f t="shared" si="286"/>
        <v/>
      </c>
      <c r="R583" s="459" t="str">
        <f t="shared" si="287"/>
        <v/>
      </c>
      <c r="S583" s="459" t="str">
        <f t="shared" si="288"/>
        <v/>
      </c>
      <c r="T583" s="566" t="str">
        <f t="shared" si="323"/>
        <v/>
      </c>
      <c r="U583" s="702"/>
      <c r="V583" s="132"/>
      <c r="W583" s="133"/>
      <c r="X583" s="134"/>
      <c r="Y583" s="135"/>
      <c r="Z583" s="137"/>
      <c r="AA583" s="136"/>
      <c r="AB583" s="566" t="str">
        <f t="shared" si="324"/>
        <v/>
      </c>
      <c r="AC583" s="568" t="str">
        <f t="shared" si="325"/>
        <v/>
      </c>
      <c r="AD583" s="137"/>
      <c r="AE583" s="137"/>
      <c r="AF583" s="138"/>
      <c r="AG583" s="138"/>
      <c r="AH583" s="592" t="str">
        <f t="shared" si="326"/>
        <v/>
      </c>
      <c r="AI583" s="592" t="str">
        <f t="shared" si="327"/>
        <v/>
      </c>
      <c r="AJ583" s="592" t="str">
        <f t="shared" si="328"/>
        <v/>
      </c>
      <c r="AK583" s="460" t="str">
        <f>IF(AU583="","",IF(OR(AZ583=8,AZ583=9),0,IF(OR(AW583=3,AW583=4,AW583=5,AW583=6),IF(LEFT(BF583,1)="1",INDEX(係数_NOX・PM低減,MATCH(AY583,【参考】排出係数!$AI$801:$AI$804,1),1),VLOOKUP(AU583,INDEX((係数_バス貨物_ガソリン,係数_バス貨物_CNG,係数_バス貨物_軽油,係数_バス貨物_メタノール,係数_バス貨物_LPG),MATCH(AY583,【参考】排出係数!$AI$4:$AI$671,1),1,BE583):INDEX((係数_バス貨物_ガソリン,係数_バス貨物_CNG,係数_バス貨物_軽油,係数_バス貨物_メタノール,係数_バス貨物_LPG),MATCH(AY583+1,【参考】排出係数!$AI$4:$AI$671,1)-1,5,BE583),4,FALSE)),IF(AND(BE583=3,LEFT(BF583,1)="1"),0.48,VLOOKUP(AU583,INDEX((係数_乗用_ガソリン,係数_乗用_CNG,係数_乗用_軽油,係数_乗用_メタノール,係数_乗用_LPG),1,1,BE583):INDEX((係数_乗用_ガソリン,係数_乗用_CNG,係数_乗用_軽油,係数_乗用_メタノール,係数_乗用_LPG),125,5,BE583),4,FALSE)))))</f>
        <v/>
      </c>
      <c r="AL583" s="461" t="str">
        <f t="shared" si="329"/>
        <v/>
      </c>
      <c r="AM583" s="460" t="str">
        <f>IF(AU583="","",IF(OR(AZ583=8,AZ583=9),0,IF(OR(AW583=3,AW583=4,AW583=5,AW583=6),IF(LEFT(BH583,1)="1",INDEX(係数_PM低減,MATCH(AY583,【参考】排出係数!$AI$801:$AI$804,1),MATCH(BI583,【参考】排出係数!$AL$798:$AO$798,1)),VLOOKUP(AU583,INDEX((係数_バス貨物_ガソリン,係数_バス貨物_CNG,係数_バス貨物_軽油,係数_バス貨物_メタノール,係数_バス貨物_LPG),MATCH(AY583,【参考】排出係数!$AI$4:$AI$671,1),1,BE583):INDEX((係数_バス貨物_ガソリン,係数_バス貨物_CNG,係数_バス貨物_軽油,係数_バス貨物_メタノール,係数_バス貨物_LPG),MATCH(AY583+1,【参考】排出係数!$AI$4:$AI$671,1)-1,5,BE583),5,FALSE)),IF(AND(BE583=3,LEFT(BF583,1)="1"),0.055,VLOOKUP(AU583,INDEX((係数_乗用_ガソリン,係数_乗用_CNG,係数_乗用_軽油,係数_乗用_メタノール,係数_乗用_LPG),1,1,BE583):INDEX((係数_乗用_ガソリン,係数_乗用_CNG,係数_乗用_軽油,係数_乗用_メタノール,係数_乗用_LPG),125,5,BE583),5,FALSE)))))</f>
        <v/>
      </c>
      <c r="AN583" s="461" t="str">
        <f t="shared" si="330"/>
        <v/>
      </c>
      <c r="AO583" s="462" t="str">
        <f t="shared" si="331"/>
        <v/>
      </c>
      <c r="AP583" s="463" t="str">
        <f t="shared" si="332"/>
        <v/>
      </c>
      <c r="AQ583" s="464"/>
      <c r="AR583" s="619"/>
      <c r="AS583" s="465" t="str">
        <f t="shared" si="334"/>
        <v/>
      </c>
      <c r="AT583" s="465" t="str">
        <f t="shared" si="335"/>
        <v/>
      </c>
      <c r="AU583" s="466" t="str">
        <f t="shared" si="336"/>
        <v/>
      </c>
      <c r="AV583" s="467" t="str">
        <f t="shared" si="337"/>
        <v/>
      </c>
      <c r="AW583" s="467" t="str">
        <f t="shared" si="338"/>
        <v/>
      </c>
      <c r="AX583" s="467" t="str">
        <f t="shared" si="339"/>
        <v/>
      </c>
      <c r="AY583" s="467" t="str">
        <f t="shared" si="340"/>
        <v/>
      </c>
      <c r="AZ583" s="467" t="str">
        <f t="shared" si="341"/>
        <v/>
      </c>
      <c r="BA583" s="468" t="str">
        <f>IF(AS583="","",IF(OR(AU583="",AU583="-"),"－",IF(OR(AZ583=8,AZ583=9),"",IF(OR(AW583=3,AW583=4,AW583=5,AW583=6),VLOOKUP(AU583,INDEX((係数_バス貨物_ガソリン,係数_バス貨物_CNG,係数_バス貨物_軽油,係数_バス貨物_メタノール,係数_バス貨物_LPG),MATCH(AY583,【参考】排出係数!$AI$4:$AI$671,1),1,BE583):INDEX((係数_バス貨物_ガソリン,係数_バス貨物_CNG,係数_バス貨物_軽油,係数_バス貨物_メタノール,係数_バス貨物_LPG),MATCH(AY583+1,【参考】排出係数!$AI$4:$AI$671,1)-1,5,BE583),2,FALSE),IF(OR(AW583=1,AW583=2),VLOOKUP(AU583,INDEX((係数_乗用_ガソリン,係数_乗用_CNG,係数_乗用_軽油,係数_乗用_メタノール,係数_乗用_LPG),1,1,BE583):INDEX((係数_乗用_ガソリン,係数_乗用_CNG,係数_乗用_軽油,係数_乗用_メタノール,係数_乗用_LPG),125,5,BE583),2,FALSE))))))</f>
        <v/>
      </c>
      <c r="BB583" s="468" t="str">
        <f>IF(T583="","",IF(OR(AU583="",AU583="-"),"－",IF(OR(AZ583=8,AZ583=9),"",IF(OR(AW583=3,AW583=4,AW583=5,AW583=6),VLOOKUP(AU583,INDEX((係数_バス貨物_ガソリン,係数_バス貨物_CNG,係数_バス貨物_軽油,係数_バス貨物_メタノール,係数_バス貨物_LPG),MATCH(AY583,【参考】排出係数!$AI$4:$AI$671,1),1,BE583):INDEX((係数_バス貨物_ガソリン,係数_バス貨物_CNG,係数_バス貨物_軽油,係数_バス貨物_メタノール,係数_バス貨物_LPG),MATCH(AY583+1,【参考】排出係数!$AI$4:$AI$671,1)-1,5,BE583),3,FALSE),IF(OR(AW583=1,AW583=2),VLOOKUP(AU583,INDEX((係数_乗用_ガソリン,係数_乗用_CNG,係数_乗用_軽油,係数_乗用_メタノール,係数_乗用_LPG),1,1,BE583):INDEX((係数_乗用_ガソリン,係数_乗用_CNG,係数_乗用_軽油,係数_乗用_メタノール,係数_乗用_LPG),125,5,BE583),3,FALSE))))))</f>
        <v/>
      </c>
      <c r="BC583" s="467" t="str">
        <f t="shared" si="342"/>
        <v/>
      </c>
      <c r="BD583" s="567" t="str">
        <f t="shared" si="343"/>
        <v/>
      </c>
      <c r="BE583" s="467" t="str">
        <f t="shared" si="344"/>
        <v/>
      </c>
      <c r="BF583" s="469" t="str">
        <f t="shared" ca="1" si="345"/>
        <v/>
      </c>
      <c r="BG583" s="469" t="str">
        <f t="shared" ca="1" si="346"/>
        <v/>
      </c>
      <c r="BH583" s="467" t="str">
        <f t="shared" si="347"/>
        <v/>
      </c>
      <c r="BI583" s="467" t="str">
        <f t="shared" ca="1" si="348"/>
        <v/>
      </c>
      <c r="BJ583" s="469" t="str">
        <f t="shared" si="349"/>
        <v/>
      </c>
      <c r="BK583" s="470" t="str">
        <f t="shared" si="333"/>
        <v/>
      </c>
      <c r="BL583" s="775" t="str">
        <f t="shared" si="350"/>
        <v/>
      </c>
      <c r="BM583" s="775" t="str">
        <f t="shared" si="351"/>
        <v/>
      </c>
    </row>
    <row r="584" spans="1:65">
      <c r="A584" s="473">
        <v>528</v>
      </c>
      <c r="B584" s="132"/>
      <c r="C584" s="332"/>
      <c r="D584" s="333"/>
      <c r="E584" s="333"/>
      <c r="F584" s="334"/>
      <c r="G584" s="337"/>
      <c r="H584" s="131"/>
      <c r="I584" s="337"/>
      <c r="J584" s="131"/>
      <c r="K584" s="458" t="str">
        <f t="shared" si="320"/>
        <v/>
      </c>
      <c r="L584" s="458">
        <f t="shared" si="321"/>
        <v>0</v>
      </c>
      <c r="M584" s="458">
        <f t="shared" si="322"/>
        <v>0</v>
      </c>
      <c r="N584" s="459" t="str">
        <f t="shared" si="283"/>
        <v/>
      </c>
      <c r="O584" s="459" t="str">
        <f t="shared" si="284"/>
        <v/>
      </c>
      <c r="P584" s="459" t="str">
        <f t="shared" si="285"/>
        <v/>
      </c>
      <c r="Q584" s="459" t="str">
        <f t="shared" si="286"/>
        <v/>
      </c>
      <c r="R584" s="459" t="str">
        <f t="shared" si="287"/>
        <v/>
      </c>
      <c r="S584" s="459" t="str">
        <f t="shared" si="288"/>
        <v/>
      </c>
      <c r="T584" s="566" t="str">
        <f t="shared" si="323"/>
        <v/>
      </c>
      <c r="U584" s="702"/>
      <c r="V584" s="132"/>
      <c r="W584" s="133"/>
      <c r="X584" s="134"/>
      <c r="Y584" s="135"/>
      <c r="Z584" s="137"/>
      <c r="AA584" s="136"/>
      <c r="AB584" s="566" t="str">
        <f t="shared" si="324"/>
        <v/>
      </c>
      <c r="AC584" s="568" t="str">
        <f t="shared" si="325"/>
        <v/>
      </c>
      <c r="AD584" s="137"/>
      <c r="AE584" s="137"/>
      <c r="AF584" s="138"/>
      <c r="AG584" s="138"/>
      <c r="AH584" s="592" t="str">
        <f t="shared" si="326"/>
        <v/>
      </c>
      <c r="AI584" s="592" t="str">
        <f t="shared" si="327"/>
        <v/>
      </c>
      <c r="AJ584" s="592" t="str">
        <f t="shared" si="328"/>
        <v/>
      </c>
      <c r="AK584" s="460" t="str">
        <f>IF(AU584="","",IF(OR(AZ584=8,AZ584=9),0,IF(OR(AW584=3,AW584=4,AW584=5,AW584=6),IF(LEFT(BF584,1)="1",INDEX(係数_NOX・PM低減,MATCH(AY584,【参考】排出係数!$AI$801:$AI$804,1),1),VLOOKUP(AU584,INDEX((係数_バス貨物_ガソリン,係数_バス貨物_CNG,係数_バス貨物_軽油,係数_バス貨物_メタノール,係数_バス貨物_LPG),MATCH(AY584,【参考】排出係数!$AI$4:$AI$671,1),1,BE584):INDEX((係数_バス貨物_ガソリン,係数_バス貨物_CNG,係数_バス貨物_軽油,係数_バス貨物_メタノール,係数_バス貨物_LPG),MATCH(AY584+1,【参考】排出係数!$AI$4:$AI$671,1)-1,5,BE584),4,FALSE)),IF(AND(BE584=3,LEFT(BF584,1)="1"),0.48,VLOOKUP(AU584,INDEX((係数_乗用_ガソリン,係数_乗用_CNG,係数_乗用_軽油,係数_乗用_メタノール,係数_乗用_LPG),1,1,BE584):INDEX((係数_乗用_ガソリン,係数_乗用_CNG,係数_乗用_軽油,係数_乗用_メタノール,係数_乗用_LPG),125,5,BE584),4,FALSE)))))</f>
        <v/>
      </c>
      <c r="AL584" s="461" t="str">
        <f t="shared" si="329"/>
        <v/>
      </c>
      <c r="AM584" s="460" t="str">
        <f>IF(AU584="","",IF(OR(AZ584=8,AZ584=9),0,IF(OR(AW584=3,AW584=4,AW584=5,AW584=6),IF(LEFT(BH584,1)="1",INDEX(係数_PM低減,MATCH(AY584,【参考】排出係数!$AI$801:$AI$804,1),MATCH(BI584,【参考】排出係数!$AL$798:$AO$798,1)),VLOOKUP(AU584,INDEX((係数_バス貨物_ガソリン,係数_バス貨物_CNG,係数_バス貨物_軽油,係数_バス貨物_メタノール,係数_バス貨物_LPG),MATCH(AY584,【参考】排出係数!$AI$4:$AI$671,1),1,BE584):INDEX((係数_バス貨物_ガソリン,係数_バス貨物_CNG,係数_バス貨物_軽油,係数_バス貨物_メタノール,係数_バス貨物_LPG),MATCH(AY584+1,【参考】排出係数!$AI$4:$AI$671,1)-1,5,BE584),5,FALSE)),IF(AND(BE584=3,LEFT(BF584,1)="1"),0.055,VLOOKUP(AU584,INDEX((係数_乗用_ガソリン,係数_乗用_CNG,係数_乗用_軽油,係数_乗用_メタノール,係数_乗用_LPG),1,1,BE584):INDEX((係数_乗用_ガソリン,係数_乗用_CNG,係数_乗用_軽油,係数_乗用_メタノール,係数_乗用_LPG),125,5,BE584),5,FALSE)))))</f>
        <v/>
      </c>
      <c r="AN584" s="461" t="str">
        <f t="shared" si="330"/>
        <v/>
      </c>
      <c r="AO584" s="462" t="str">
        <f t="shared" si="331"/>
        <v/>
      </c>
      <c r="AP584" s="463" t="str">
        <f t="shared" si="332"/>
        <v/>
      </c>
      <c r="AQ584" s="464"/>
      <c r="AR584" s="619"/>
      <c r="AS584" s="465" t="str">
        <f t="shared" si="334"/>
        <v/>
      </c>
      <c r="AT584" s="465" t="str">
        <f t="shared" si="335"/>
        <v/>
      </c>
      <c r="AU584" s="466" t="str">
        <f t="shared" si="336"/>
        <v/>
      </c>
      <c r="AV584" s="467" t="str">
        <f t="shared" si="337"/>
        <v/>
      </c>
      <c r="AW584" s="467" t="str">
        <f t="shared" si="338"/>
        <v/>
      </c>
      <c r="AX584" s="467" t="str">
        <f t="shared" si="339"/>
        <v/>
      </c>
      <c r="AY584" s="467" t="str">
        <f t="shared" si="340"/>
        <v/>
      </c>
      <c r="AZ584" s="467" t="str">
        <f t="shared" si="341"/>
        <v/>
      </c>
      <c r="BA584" s="468" t="str">
        <f>IF(AS584="","",IF(OR(AU584="",AU584="-"),"－",IF(OR(AZ584=8,AZ584=9),"",IF(OR(AW584=3,AW584=4,AW584=5,AW584=6),VLOOKUP(AU584,INDEX((係数_バス貨物_ガソリン,係数_バス貨物_CNG,係数_バス貨物_軽油,係数_バス貨物_メタノール,係数_バス貨物_LPG),MATCH(AY584,【参考】排出係数!$AI$4:$AI$671,1),1,BE584):INDEX((係数_バス貨物_ガソリン,係数_バス貨物_CNG,係数_バス貨物_軽油,係数_バス貨物_メタノール,係数_バス貨物_LPG),MATCH(AY584+1,【参考】排出係数!$AI$4:$AI$671,1)-1,5,BE584),2,FALSE),IF(OR(AW584=1,AW584=2),VLOOKUP(AU584,INDEX((係数_乗用_ガソリン,係数_乗用_CNG,係数_乗用_軽油,係数_乗用_メタノール,係数_乗用_LPG),1,1,BE584):INDEX((係数_乗用_ガソリン,係数_乗用_CNG,係数_乗用_軽油,係数_乗用_メタノール,係数_乗用_LPG),125,5,BE584),2,FALSE))))))</f>
        <v/>
      </c>
      <c r="BB584" s="468" t="str">
        <f>IF(T584="","",IF(OR(AU584="",AU584="-"),"－",IF(OR(AZ584=8,AZ584=9),"",IF(OR(AW584=3,AW584=4,AW584=5,AW584=6),VLOOKUP(AU584,INDEX((係数_バス貨物_ガソリン,係数_バス貨物_CNG,係数_バス貨物_軽油,係数_バス貨物_メタノール,係数_バス貨物_LPG),MATCH(AY584,【参考】排出係数!$AI$4:$AI$671,1),1,BE584):INDEX((係数_バス貨物_ガソリン,係数_バス貨物_CNG,係数_バス貨物_軽油,係数_バス貨物_メタノール,係数_バス貨物_LPG),MATCH(AY584+1,【参考】排出係数!$AI$4:$AI$671,1)-1,5,BE584),3,FALSE),IF(OR(AW584=1,AW584=2),VLOOKUP(AU584,INDEX((係数_乗用_ガソリン,係数_乗用_CNG,係数_乗用_軽油,係数_乗用_メタノール,係数_乗用_LPG),1,1,BE584):INDEX((係数_乗用_ガソリン,係数_乗用_CNG,係数_乗用_軽油,係数_乗用_メタノール,係数_乗用_LPG),125,5,BE584),3,FALSE))))))</f>
        <v/>
      </c>
      <c r="BC584" s="467" t="str">
        <f t="shared" si="342"/>
        <v/>
      </c>
      <c r="BD584" s="567" t="str">
        <f t="shared" si="343"/>
        <v/>
      </c>
      <c r="BE584" s="467" t="str">
        <f t="shared" si="344"/>
        <v/>
      </c>
      <c r="BF584" s="469" t="str">
        <f t="shared" ca="1" si="345"/>
        <v/>
      </c>
      <c r="BG584" s="469" t="str">
        <f t="shared" ca="1" si="346"/>
        <v/>
      </c>
      <c r="BH584" s="467" t="str">
        <f t="shared" si="347"/>
        <v/>
      </c>
      <c r="BI584" s="467" t="str">
        <f t="shared" ca="1" si="348"/>
        <v/>
      </c>
      <c r="BJ584" s="469" t="str">
        <f t="shared" si="349"/>
        <v/>
      </c>
      <c r="BK584" s="470" t="str">
        <f t="shared" si="333"/>
        <v/>
      </c>
      <c r="BL584" s="775" t="str">
        <f t="shared" si="350"/>
        <v/>
      </c>
      <c r="BM584" s="775" t="str">
        <f t="shared" si="351"/>
        <v/>
      </c>
    </row>
    <row r="585" spans="1:65">
      <c r="A585" s="473">
        <v>529</v>
      </c>
      <c r="B585" s="132"/>
      <c r="C585" s="332"/>
      <c r="D585" s="333"/>
      <c r="E585" s="333"/>
      <c r="F585" s="334"/>
      <c r="G585" s="337"/>
      <c r="H585" s="131"/>
      <c r="I585" s="337"/>
      <c r="J585" s="131"/>
      <c r="K585" s="458" t="str">
        <f t="shared" si="320"/>
        <v/>
      </c>
      <c r="L585" s="458">
        <f t="shared" si="321"/>
        <v>0</v>
      </c>
      <c r="M585" s="458">
        <f t="shared" si="322"/>
        <v>0</v>
      </c>
      <c r="N585" s="459" t="str">
        <f t="shared" si="283"/>
        <v/>
      </c>
      <c r="O585" s="459" t="str">
        <f t="shared" si="284"/>
        <v/>
      </c>
      <c r="P585" s="459" t="str">
        <f t="shared" si="285"/>
        <v/>
      </c>
      <c r="Q585" s="459" t="str">
        <f t="shared" si="286"/>
        <v/>
      </c>
      <c r="R585" s="459" t="str">
        <f t="shared" si="287"/>
        <v/>
      </c>
      <c r="S585" s="459" t="str">
        <f t="shared" si="288"/>
        <v/>
      </c>
      <c r="T585" s="566" t="str">
        <f t="shared" si="323"/>
        <v/>
      </c>
      <c r="U585" s="702"/>
      <c r="V585" s="132"/>
      <c r="W585" s="133"/>
      <c r="X585" s="134"/>
      <c r="Y585" s="135"/>
      <c r="Z585" s="137"/>
      <c r="AA585" s="136"/>
      <c r="AB585" s="566" t="str">
        <f t="shared" si="324"/>
        <v/>
      </c>
      <c r="AC585" s="568" t="str">
        <f t="shared" si="325"/>
        <v/>
      </c>
      <c r="AD585" s="137"/>
      <c r="AE585" s="137"/>
      <c r="AF585" s="138"/>
      <c r="AG585" s="138"/>
      <c r="AH585" s="592" t="str">
        <f t="shared" si="326"/>
        <v/>
      </c>
      <c r="AI585" s="592" t="str">
        <f t="shared" si="327"/>
        <v/>
      </c>
      <c r="AJ585" s="592" t="str">
        <f t="shared" si="328"/>
        <v/>
      </c>
      <c r="AK585" s="460" t="str">
        <f>IF(AU585="","",IF(OR(AZ585=8,AZ585=9),0,IF(OR(AW585=3,AW585=4,AW585=5,AW585=6),IF(LEFT(BF585,1)="1",INDEX(係数_NOX・PM低減,MATCH(AY585,【参考】排出係数!$AI$801:$AI$804,1),1),VLOOKUP(AU585,INDEX((係数_バス貨物_ガソリン,係数_バス貨物_CNG,係数_バス貨物_軽油,係数_バス貨物_メタノール,係数_バス貨物_LPG),MATCH(AY585,【参考】排出係数!$AI$4:$AI$671,1),1,BE585):INDEX((係数_バス貨物_ガソリン,係数_バス貨物_CNG,係数_バス貨物_軽油,係数_バス貨物_メタノール,係数_バス貨物_LPG),MATCH(AY585+1,【参考】排出係数!$AI$4:$AI$671,1)-1,5,BE585),4,FALSE)),IF(AND(BE585=3,LEFT(BF585,1)="1"),0.48,VLOOKUP(AU585,INDEX((係数_乗用_ガソリン,係数_乗用_CNG,係数_乗用_軽油,係数_乗用_メタノール,係数_乗用_LPG),1,1,BE585):INDEX((係数_乗用_ガソリン,係数_乗用_CNG,係数_乗用_軽油,係数_乗用_メタノール,係数_乗用_LPG),125,5,BE585),4,FALSE)))))</f>
        <v/>
      </c>
      <c r="AL585" s="461" t="str">
        <f t="shared" si="329"/>
        <v/>
      </c>
      <c r="AM585" s="460" t="str">
        <f>IF(AU585="","",IF(OR(AZ585=8,AZ585=9),0,IF(OR(AW585=3,AW585=4,AW585=5,AW585=6),IF(LEFT(BH585,1)="1",INDEX(係数_PM低減,MATCH(AY585,【参考】排出係数!$AI$801:$AI$804,1),MATCH(BI585,【参考】排出係数!$AL$798:$AO$798,1)),VLOOKUP(AU585,INDEX((係数_バス貨物_ガソリン,係数_バス貨物_CNG,係数_バス貨物_軽油,係数_バス貨物_メタノール,係数_バス貨物_LPG),MATCH(AY585,【参考】排出係数!$AI$4:$AI$671,1),1,BE585):INDEX((係数_バス貨物_ガソリン,係数_バス貨物_CNG,係数_バス貨物_軽油,係数_バス貨物_メタノール,係数_バス貨物_LPG),MATCH(AY585+1,【参考】排出係数!$AI$4:$AI$671,1)-1,5,BE585),5,FALSE)),IF(AND(BE585=3,LEFT(BF585,1)="1"),0.055,VLOOKUP(AU585,INDEX((係数_乗用_ガソリン,係数_乗用_CNG,係数_乗用_軽油,係数_乗用_メタノール,係数_乗用_LPG),1,1,BE585):INDEX((係数_乗用_ガソリン,係数_乗用_CNG,係数_乗用_軽油,係数_乗用_メタノール,係数_乗用_LPG),125,5,BE585),5,FALSE)))))</f>
        <v/>
      </c>
      <c r="AN585" s="461" t="str">
        <f t="shared" si="330"/>
        <v/>
      </c>
      <c r="AO585" s="462" t="str">
        <f t="shared" si="331"/>
        <v/>
      </c>
      <c r="AP585" s="463" t="str">
        <f t="shared" si="332"/>
        <v/>
      </c>
      <c r="AQ585" s="464"/>
      <c r="AR585" s="619"/>
      <c r="AS585" s="465" t="str">
        <f t="shared" si="334"/>
        <v/>
      </c>
      <c r="AT585" s="465" t="str">
        <f t="shared" si="335"/>
        <v/>
      </c>
      <c r="AU585" s="466" t="str">
        <f t="shared" si="336"/>
        <v/>
      </c>
      <c r="AV585" s="467" t="str">
        <f t="shared" si="337"/>
        <v/>
      </c>
      <c r="AW585" s="467" t="str">
        <f t="shared" si="338"/>
        <v/>
      </c>
      <c r="AX585" s="467" t="str">
        <f t="shared" si="339"/>
        <v/>
      </c>
      <c r="AY585" s="467" t="str">
        <f t="shared" si="340"/>
        <v/>
      </c>
      <c r="AZ585" s="467" t="str">
        <f t="shared" si="341"/>
        <v/>
      </c>
      <c r="BA585" s="468" t="str">
        <f>IF(AS585="","",IF(OR(AU585="",AU585="-"),"－",IF(OR(AZ585=8,AZ585=9),"",IF(OR(AW585=3,AW585=4,AW585=5,AW585=6),VLOOKUP(AU585,INDEX((係数_バス貨物_ガソリン,係数_バス貨物_CNG,係数_バス貨物_軽油,係数_バス貨物_メタノール,係数_バス貨物_LPG),MATCH(AY585,【参考】排出係数!$AI$4:$AI$671,1),1,BE585):INDEX((係数_バス貨物_ガソリン,係数_バス貨物_CNG,係数_バス貨物_軽油,係数_バス貨物_メタノール,係数_バス貨物_LPG),MATCH(AY585+1,【参考】排出係数!$AI$4:$AI$671,1)-1,5,BE585),2,FALSE),IF(OR(AW585=1,AW585=2),VLOOKUP(AU585,INDEX((係数_乗用_ガソリン,係数_乗用_CNG,係数_乗用_軽油,係数_乗用_メタノール,係数_乗用_LPG),1,1,BE585):INDEX((係数_乗用_ガソリン,係数_乗用_CNG,係数_乗用_軽油,係数_乗用_メタノール,係数_乗用_LPG),125,5,BE585),2,FALSE))))))</f>
        <v/>
      </c>
      <c r="BB585" s="468" t="str">
        <f>IF(T585="","",IF(OR(AU585="",AU585="-"),"－",IF(OR(AZ585=8,AZ585=9),"",IF(OR(AW585=3,AW585=4,AW585=5,AW585=6),VLOOKUP(AU585,INDEX((係数_バス貨物_ガソリン,係数_バス貨物_CNG,係数_バス貨物_軽油,係数_バス貨物_メタノール,係数_バス貨物_LPG),MATCH(AY585,【参考】排出係数!$AI$4:$AI$671,1),1,BE585):INDEX((係数_バス貨物_ガソリン,係数_バス貨物_CNG,係数_バス貨物_軽油,係数_バス貨物_メタノール,係数_バス貨物_LPG),MATCH(AY585+1,【参考】排出係数!$AI$4:$AI$671,1)-1,5,BE585),3,FALSE),IF(OR(AW585=1,AW585=2),VLOOKUP(AU585,INDEX((係数_乗用_ガソリン,係数_乗用_CNG,係数_乗用_軽油,係数_乗用_メタノール,係数_乗用_LPG),1,1,BE585):INDEX((係数_乗用_ガソリン,係数_乗用_CNG,係数_乗用_軽油,係数_乗用_メタノール,係数_乗用_LPG),125,5,BE585),3,FALSE))))))</f>
        <v/>
      </c>
      <c r="BC585" s="467" t="str">
        <f t="shared" si="342"/>
        <v/>
      </c>
      <c r="BD585" s="567" t="str">
        <f t="shared" si="343"/>
        <v/>
      </c>
      <c r="BE585" s="467" t="str">
        <f t="shared" si="344"/>
        <v/>
      </c>
      <c r="BF585" s="469" t="str">
        <f t="shared" ca="1" si="345"/>
        <v/>
      </c>
      <c r="BG585" s="469" t="str">
        <f t="shared" ca="1" si="346"/>
        <v/>
      </c>
      <c r="BH585" s="467" t="str">
        <f t="shared" si="347"/>
        <v/>
      </c>
      <c r="BI585" s="467" t="str">
        <f t="shared" ca="1" si="348"/>
        <v/>
      </c>
      <c r="BJ585" s="469" t="str">
        <f t="shared" si="349"/>
        <v/>
      </c>
      <c r="BK585" s="470" t="str">
        <f t="shared" si="333"/>
        <v/>
      </c>
      <c r="BL585" s="775" t="str">
        <f t="shared" si="350"/>
        <v/>
      </c>
      <c r="BM585" s="775" t="str">
        <f t="shared" si="351"/>
        <v/>
      </c>
    </row>
    <row r="586" spans="1:65">
      <c r="A586" s="473">
        <v>530</v>
      </c>
      <c r="B586" s="132"/>
      <c r="C586" s="332"/>
      <c r="D586" s="333"/>
      <c r="E586" s="333"/>
      <c r="F586" s="334"/>
      <c r="G586" s="337"/>
      <c r="H586" s="131"/>
      <c r="I586" s="337"/>
      <c r="J586" s="131"/>
      <c r="K586" s="458" t="str">
        <f t="shared" si="320"/>
        <v/>
      </c>
      <c r="L586" s="458">
        <f t="shared" si="321"/>
        <v>0</v>
      </c>
      <c r="M586" s="458">
        <f t="shared" si="322"/>
        <v>0</v>
      </c>
      <c r="N586" s="459" t="str">
        <f t="shared" si="283"/>
        <v/>
      </c>
      <c r="O586" s="459" t="str">
        <f t="shared" si="284"/>
        <v/>
      </c>
      <c r="P586" s="459" t="str">
        <f t="shared" si="285"/>
        <v/>
      </c>
      <c r="Q586" s="459" t="str">
        <f t="shared" si="286"/>
        <v/>
      </c>
      <c r="R586" s="459" t="str">
        <f t="shared" si="287"/>
        <v/>
      </c>
      <c r="S586" s="459" t="str">
        <f t="shared" si="288"/>
        <v/>
      </c>
      <c r="T586" s="566" t="str">
        <f t="shared" si="323"/>
        <v/>
      </c>
      <c r="U586" s="702"/>
      <c r="V586" s="132"/>
      <c r="W586" s="133"/>
      <c r="X586" s="134"/>
      <c r="Y586" s="135"/>
      <c r="Z586" s="137"/>
      <c r="AA586" s="136"/>
      <c r="AB586" s="566" t="str">
        <f t="shared" si="324"/>
        <v/>
      </c>
      <c r="AC586" s="568" t="str">
        <f t="shared" si="325"/>
        <v/>
      </c>
      <c r="AD586" s="137"/>
      <c r="AE586" s="137"/>
      <c r="AF586" s="138"/>
      <c r="AG586" s="138"/>
      <c r="AH586" s="592" t="str">
        <f t="shared" si="326"/>
        <v/>
      </c>
      <c r="AI586" s="592" t="str">
        <f t="shared" si="327"/>
        <v/>
      </c>
      <c r="AJ586" s="592" t="str">
        <f t="shared" si="328"/>
        <v/>
      </c>
      <c r="AK586" s="460" t="str">
        <f>IF(AU586="","",IF(OR(AZ586=8,AZ586=9),0,IF(OR(AW586=3,AW586=4,AW586=5,AW586=6),IF(LEFT(BF586,1)="1",INDEX(係数_NOX・PM低減,MATCH(AY586,【参考】排出係数!$AI$801:$AI$804,1),1),VLOOKUP(AU586,INDEX((係数_バス貨物_ガソリン,係数_バス貨物_CNG,係数_バス貨物_軽油,係数_バス貨物_メタノール,係数_バス貨物_LPG),MATCH(AY586,【参考】排出係数!$AI$4:$AI$671,1),1,BE586):INDEX((係数_バス貨物_ガソリン,係数_バス貨物_CNG,係数_バス貨物_軽油,係数_バス貨物_メタノール,係数_バス貨物_LPG),MATCH(AY586+1,【参考】排出係数!$AI$4:$AI$671,1)-1,5,BE586),4,FALSE)),IF(AND(BE586=3,LEFT(BF586,1)="1"),0.48,VLOOKUP(AU586,INDEX((係数_乗用_ガソリン,係数_乗用_CNG,係数_乗用_軽油,係数_乗用_メタノール,係数_乗用_LPG),1,1,BE586):INDEX((係数_乗用_ガソリン,係数_乗用_CNG,係数_乗用_軽油,係数_乗用_メタノール,係数_乗用_LPG),125,5,BE586),4,FALSE)))))</f>
        <v/>
      </c>
      <c r="AL586" s="461" t="str">
        <f t="shared" si="329"/>
        <v/>
      </c>
      <c r="AM586" s="460" t="str">
        <f>IF(AU586="","",IF(OR(AZ586=8,AZ586=9),0,IF(OR(AW586=3,AW586=4,AW586=5,AW586=6),IF(LEFT(BH586,1)="1",INDEX(係数_PM低減,MATCH(AY586,【参考】排出係数!$AI$801:$AI$804,1),MATCH(BI586,【参考】排出係数!$AL$798:$AO$798,1)),VLOOKUP(AU586,INDEX((係数_バス貨物_ガソリン,係数_バス貨物_CNG,係数_バス貨物_軽油,係数_バス貨物_メタノール,係数_バス貨物_LPG),MATCH(AY586,【参考】排出係数!$AI$4:$AI$671,1),1,BE586):INDEX((係数_バス貨物_ガソリン,係数_バス貨物_CNG,係数_バス貨物_軽油,係数_バス貨物_メタノール,係数_バス貨物_LPG),MATCH(AY586+1,【参考】排出係数!$AI$4:$AI$671,1)-1,5,BE586),5,FALSE)),IF(AND(BE586=3,LEFT(BF586,1)="1"),0.055,VLOOKUP(AU586,INDEX((係数_乗用_ガソリン,係数_乗用_CNG,係数_乗用_軽油,係数_乗用_メタノール,係数_乗用_LPG),1,1,BE586):INDEX((係数_乗用_ガソリン,係数_乗用_CNG,係数_乗用_軽油,係数_乗用_メタノール,係数_乗用_LPG),125,5,BE586),5,FALSE)))))</f>
        <v/>
      </c>
      <c r="AN586" s="461" t="str">
        <f t="shared" si="330"/>
        <v/>
      </c>
      <c r="AO586" s="462" t="str">
        <f t="shared" si="331"/>
        <v/>
      </c>
      <c r="AP586" s="463" t="str">
        <f t="shared" si="332"/>
        <v/>
      </c>
      <c r="AQ586" s="464"/>
      <c r="AR586" s="619"/>
      <c r="AS586" s="465" t="str">
        <f t="shared" si="334"/>
        <v/>
      </c>
      <c r="AT586" s="465" t="str">
        <f t="shared" si="335"/>
        <v/>
      </c>
      <c r="AU586" s="466" t="str">
        <f t="shared" si="336"/>
        <v/>
      </c>
      <c r="AV586" s="467" t="str">
        <f t="shared" si="337"/>
        <v/>
      </c>
      <c r="AW586" s="467" t="str">
        <f t="shared" si="338"/>
        <v/>
      </c>
      <c r="AX586" s="467" t="str">
        <f t="shared" si="339"/>
        <v/>
      </c>
      <c r="AY586" s="467" t="str">
        <f t="shared" si="340"/>
        <v/>
      </c>
      <c r="AZ586" s="467" t="str">
        <f t="shared" si="341"/>
        <v/>
      </c>
      <c r="BA586" s="468" t="str">
        <f>IF(AS586="","",IF(OR(AU586="",AU586="-"),"－",IF(OR(AZ586=8,AZ586=9),"",IF(OR(AW586=3,AW586=4,AW586=5,AW586=6),VLOOKUP(AU586,INDEX((係数_バス貨物_ガソリン,係数_バス貨物_CNG,係数_バス貨物_軽油,係数_バス貨物_メタノール,係数_バス貨物_LPG),MATCH(AY586,【参考】排出係数!$AI$4:$AI$671,1),1,BE586):INDEX((係数_バス貨物_ガソリン,係数_バス貨物_CNG,係数_バス貨物_軽油,係数_バス貨物_メタノール,係数_バス貨物_LPG),MATCH(AY586+1,【参考】排出係数!$AI$4:$AI$671,1)-1,5,BE586),2,FALSE),IF(OR(AW586=1,AW586=2),VLOOKUP(AU586,INDEX((係数_乗用_ガソリン,係数_乗用_CNG,係数_乗用_軽油,係数_乗用_メタノール,係数_乗用_LPG),1,1,BE586):INDEX((係数_乗用_ガソリン,係数_乗用_CNG,係数_乗用_軽油,係数_乗用_メタノール,係数_乗用_LPG),125,5,BE586),2,FALSE))))))</f>
        <v/>
      </c>
      <c r="BB586" s="468" t="str">
        <f>IF(T586="","",IF(OR(AU586="",AU586="-"),"－",IF(OR(AZ586=8,AZ586=9),"",IF(OR(AW586=3,AW586=4,AW586=5,AW586=6),VLOOKUP(AU586,INDEX((係数_バス貨物_ガソリン,係数_バス貨物_CNG,係数_バス貨物_軽油,係数_バス貨物_メタノール,係数_バス貨物_LPG),MATCH(AY586,【参考】排出係数!$AI$4:$AI$671,1),1,BE586):INDEX((係数_バス貨物_ガソリン,係数_バス貨物_CNG,係数_バス貨物_軽油,係数_バス貨物_メタノール,係数_バス貨物_LPG),MATCH(AY586+1,【参考】排出係数!$AI$4:$AI$671,1)-1,5,BE586),3,FALSE),IF(OR(AW586=1,AW586=2),VLOOKUP(AU586,INDEX((係数_乗用_ガソリン,係数_乗用_CNG,係数_乗用_軽油,係数_乗用_メタノール,係数_乗用_LPG),1,1,BE586):INDEX((係数_乗用_ガソリン,係数_乗用_CNG,係数_乗用_軽油,係数_乗用_メタノール,係数_乗用_LPG),125,5,BE586),3,FALSE))))))</f>
        <v/>
      </c>
      <c r="BC586" s="467" t="str">
        <f t="shared" si="342"/>
        <v/>
      </c>
      <c r="BD586" s="567" t="str">
        <f t="shared" si="343"/>
        <v/>
      </c>
      <c r="BE586" s="467" t="str">
        <f t="shared" si="344"/>
        <v/>
      </c>
      <c r="BF586" s="469" t="str">
        <f t="shared" ca="1" si="345"/>
        <v/>
      </c>
      <c r="BG586" s="469" t="str">
        <f t="shared" ca="1" si="346"/>
        <v/>
      </c>
      <c r="BH586" s="467" t="str">
        <f t="shared" si="347"/>
        <v/>
      </c>
      <c r="BI586" s="467" t="str">
        <f t="shared" ca="1" si="348"/>
        <v/>
      </c>
      <c r="BJ586" s="469" t="str">
        <f t="shared" si="349"/>
        <v/>
      </c>
      <c r="BK586" s="470" t="str">
        <f t="shared" si="333"/>
        <v/>
      </c>
      <c r="BL586" s="775" t="str">
        <f t="shared" si="350"/>
        <v/>
      </c>
      <c r="BM586" s="775" t="str">
        <f t="shared" si="351"/>
        <v/>
      </c>
    </row>
    <row r="587" spans="1:65">
      <c r="A587" s="473">
        <v>531</v>
      </c>
      <c r="B587" s="132"/>
      <c r="C587" s="332"/>
      <c r="D587" s="333"/>
      <c r="E587" s="333"/>
      <c r="F587" s="334"/>
      <c r="G587" s="337"/>
      <c r="H587" s="131"/>
      <c r="I587" s="337"/>
      <c r="J587" s="131"/>
      <c r="K587" s="458" t="str">
        <f t="shared" si="320"/>
        <v/>
      </c>
      <c r="L587" s="458">
        <f t="shared" si="321"/>
        <v>0</v>
      </c>
      <c r="M587" s="458">
        <f t="shared" si="322"/>
        <v>0</v>
      </c>
      <c r="N587" s="459" t="str">
        <f t="shared" si="283"/>
        <v/>
      </c>
      <c r="O587" s="459" t="str">
        <f t="shared" si="284"/>
        <v/>
      </c>
      <c r="P587" s="459" t="str">
        <f t="shared" si="285"/>
        <v/>
      </c>
      <c r="Q587" s="459" t="str">
        <f t="shared" si="286"/>
        <v/>
      </c>
      <c r="R587" s="459" t="str">
        <f t="shared" si="287"/>
        <v/>
      </c>
      <c r="S587" s="459" t="str">
        <f t="shared" si="288"/>
        <v/>
      </c>
      <c r="T587" s="566" t="str">
        <f t="shared" si="323"/>
        <v/>
      </c>
      <c r="U587" s="702"/>
      <c r="V587" s="132"/>
      <c r="W587" s="133"/>
      <c r="X587" s="134"/>
      <c r="Y587" s="135"/>
      <c r="Z587" s="137"/>
      <c r="AA587" s="136"/>
      <c r="AB587" s="566" t="str">
        <f t="shared" si="324"/>
        <v/>
      </c>
      <c r="AC587" s="568" t="str">
        <f t="shared" si="325"/>
        <v/>
      </c>
      <c r="AD587" s="137"/>
      <c r="AE587" s="137"/>
      <c r="AF587" s="138"/>
      <c r="AG587" s="138"/>
      <c r="AH587" s="592" t="str">
        <f t="shared" si="326"/>
        <v/>
      </c>
      <c r="AI587" s="592" t="str">
        <f t="shared" si="327"/>
        <v/>
      </c>
      <c r="AJ587" s="592" t="str">
        <f t="shared" si="328"/>
        <v/>
      </c>
      <c r="AK587" s="460" t="str">
        <f>IF(AU587="","",IF(OR(AZ587=8,AZ587=9),0,IF(OR(AW587=3,AW587=4,AW587=5,AW587=6),IF(LEFT(BF587,1)="1",INDEX(係数_NOX・PM低減,MATCH(AY587,【参考】排出係数!$AI$801:$AI$804,1),1),VLOOKUP(AU587,INDEX((係数_バス貨物_ガソリン,係数_バス貨物_CNG,係数_バス貨物_軽油,係数_バス貨物_メタノール,係数_バス貨物_LPG),MATCH(AY587,【参考】排出係数!$AI$4:$AI$671,1),1,BE587):INDEX((係数_バス貨物_ガソリン,係数_バス貨物_CNG,係数_バス貨物_軽油,係数_バス貨物_メタノール,係数_バス貨物_LPG),MATCH(AY587+1,【参考】排出係数!$AI$4:$AI$671,1)-1,5,BE587),4,FALSE)),IF(AND(BE587=3,LEFT(BF587,1)="1"),0.48,VLOOKUP(AU587,INDEX((係数_乗用_ガソリン,係数_乗用_CNG,係数_乗用_軽油,係数_乗用_メタノール,係数_乗用_LPG),1,1,BE587):INDEX((係数_乗用_ガソリン,係数_乗用_CNG,係数_乗用_軽油,係数_乗用_メタノール,係数_乗用_LPG),125,5,BE587),4,FALSE)))))</f>
        <v/>
      </c>
      <c r="AL587" s="461" t="str">
        <f t="shared" si="329"/>
        <v/>
      </c>
      <c r="AM587" s="460" t="str">
        <f>IF(AU587="","",IF(OR(AZ587=8,AZ587=9),0,IF(OR(AW587=3,AW587=4,AW587=5,AW587=6),IF(LEFT(BH587,1)="1",INDEX(係数_PM低減,MATCH(AY587,【参考】排出係数!$AI$801:$AI$804,1),MATCH(BI587,【参考】排出係数!$AL$798:$AO$798,1)),VLOOKUP(AU587,INDEX((係数_バス貨物_ガソリン,係数_バス貨物_CNG,係数_バス貨物_軽油,係数_バス貨物_メタノール,係数_バス貨物_LPG),MATCH(AY587,【参考】排出係数!$AI$4:$AI$671,1),1,BE587):INDEX((係数_バス貨物_ガソリン,係数_バス貨物_CNG,係数_バス貨物_軽油,係数_バス貨物_メタノール,係数_バス貨物_LPG),MATCH(AY587+1,【参考】排出係数!$AI$4:$AI$671,1)-1,5,BE587),5,FALSE)),IF(AND(BE587=3,LEFT(BF587,1)="1"),0.055,VLOOKUP(AU587,INDEX((係数_乗用_ガソリン,係数_乗用_CNG,係数_乗用_軽油,係数_乗用_メタノール,係数_乗用_LPG),1,1,BE587):INDEX((係数_乗用_ガソリン,係数_乗用_CNG,係数_乗用_軽油,係数_乗用_メタノール,係数_乗用_LPG),125,5,BE587),5,FALSE)))))</f>
        <v/>
      </c>
      <c r="AN587" s="461" t="str">
        <f t="shared" si="330"/>
        <v/>
      </c>
      <c r="AO587" s="462" t="str">
        <f t="shared" si="331"/>
        <v/>
      </c>
      <c r="AP587" s="463" t="str">
        <f t="shared" si="332"/>
        <v/>
      </c>
      <c r="AQ587" s="464"/>
      <c r="AR587" s="619"/>
      <c r="AS587" s="465" t="str">
        <f t="shared" si="334"/>
        <v/>
      </c>
      <c r="AT587" s="465" t="str">
        <f t="shared" si="335"/>
        <v/>
      </c>
      <c r="AU587" s="466" t="str">
        <f t="shared" si="336"/>
        <v/>
      </c>
      <c r="AV587" s="467" t="str">
        <f t="shared" si="337"/>
        <v/>
      </c>
      <c r="AW587" s="467" t="str">
        <f t="shared" si="338"/>
        <v/>
      </c>
      <c r="AX587" s="467" t="str">
        <f t="shared" si="339"/>
        <v/>
      </c>
      <c r="AY587" s="467" t="str">
        <f t="shared" si="340"/>
        <v/>
      </c>
      <c r="AZ587" s="467" t="str">
        <f t="shared" si="341"/>
        <v/>
      </c>
      <c r="BA587" s="468" t="str">
        <f>IF(AS587="","",IF(OR(AU587="",AU587="-"),"－",IF(OR(AZ587=8,AZ587=9),"",IF(OR(AW587=3,AW587=4,AW587=5,AW587=6),VLOOKUP(AU587,INDEX((係数_バス貨物_ガソリン,係数_バス貨物_CNG,係数_バス貨物_軽油,係数_バス貨物_メタノール,係数_バス貨物_LPG),MATCH(AY587,【参考】排出係数!$AI$4:$AI$671,1),1,BE587):INDEX((係数_バス貨物_ガソリン,係数_バス貨物_CNG,係数_バス貨物_軽油,係数_バス貨物_メタノール,係数_バス貨物_LPG),MATCH(AY587+1,【参考】排出係数!$AI$4:$AI$671,1)-1,5,BE587),2,FALSE),IF(OR(AW587=1,AW587=2),VLOOKUP(AU587,INDEX((係数_乗用_ガソリン,係数_乗用_CNG,係数_乗用_軽油,係数_乗用_メタノール,係数_乗用_LPG),1,1,BE587):INDEX((係数_乗用_ガソリン,係数_乗用_CNG,係数_乗用_軽油,係数_乗用_メタノール,係数_乗用_LPG),125,5,BE587),2,FALSE))))))</f>
        <v/>
      </c>
      <c r="BB587" s="468" t="str">
        <f>IF(T587="","",IF(OR(AU587="",AU587="-"),"－",IF(OR(AZ587=8,AZ587=9),"",IF(OR(AW587=3,AW587=4,AW587=5,AW587=6),VLOOKUP(AU587,INDEX((係数_バス貨物_ガソリン,係数_バス貨物_CNG,係数_バス貨物_軽油,係数_バス貨物_メタノール,係数_バス貨物_LPG),MATCH(AY587,【参考】排出係数!$AI$4:$AI$671,1),1,BE587):INDEX((係数_バス貨物_ガソリン,係数_バス貨物_CNG,係数_バス貨物_軽油,係数_バス貨物_メタノール,係数_バス貨物_LPG),MATCH(AY587+1,【参考】排出係数!$AI$4:$AI$671,1)-1,5,BE587),3,FALSE),IF(OR(AW587=1,AW587=2),VLOOKUP(AU587,INDEX((係数_乗用_ガソリン,係数_乗用_CNG,係数_乗用_軽油,係数_乗用_メタノール,係数_乗用_LPG),1,1,BE587):INDEX((係数_乗用_ガソリン,係数_乗用_CNG,係数_乗用_軽油,係数_乗用_メタノール,係数_乗用_LPG),125,5,BE587),3,FALSE))))))</f>
        <v/>
      </c>
      <c r="BC587" s="467" t="str">
        <f t="shared" si="342"/>
        <v/>
      </c>
      <c r="BD587" s="567" t="str">
        <f t="shared" si="343"/>
        <v/>
      </c>
      <c r="BE587" s="467" t="str">
        <f t="shared" si="344"/>
        <v/>
      </c>
      <c r="BF587" s="469" t="str">
        <f t="shared" ca="1" si="345"/>
        <v/>
      </c>
      <c r="BG587" s="469" t="str">
        <f t="shared" ca="1" si="346"/>
        <v/>
      </c>
      <c r="BH587" s="467" t="str">
        <f t="shared" si="347"/>
        <v/>
      </c>
      <c r="BI587" s="467" t="str">
        <f t="shared" ca="1" si="348"/>
        <v/>
      </c>
      <c r="BJ587" s="469" t="str">
        <f t="shared" si="349"/>
        <v/>
      </c>
      <c r="BK587" s="470" t="str">
        <f t="shared" si="333"/>
        <v/>
      </c>
      <c r="BL587" s="775" t="str">
        <f t="shared" si="350"/>
        <v/>
      </c>
      <c r="BM587" s="775" t="str">
        <f t="shared" si="351"/>
        <v/>
      </c>
    </row>
    <row r="588" spans="1:65">
      <c r="A588" s="473">
        <v>532</v>
      </c>
      <c r="B588" s="132"/>
      <c r="C588" s="332"/>
      <c r="D588" s="333"/>
      <c r="E588" s="333"/>
      <c r="F588" s="334"/>
      <c r="G588" s="337"/>
      <c r="H588" s="131"/>
      <c r="I588" s="337"/>
      <c r="J588" s="131"/>
      <c r="K588" s="458" t="str">
        <f t="shared" si="320"/>
        <v/>
      </c>
      <c r="L588" s="458">
        <f t="shared" si="321"/>
        <v>0</v>
      </c>
      <c r="M588" s="458">
        <f t="shared" si="322"/>
        <v>0</v>
      </c>
      <c r="N588" s="459" t="str">
        <f t="shared" si="283"/>
        <v/>
      </c>
      <c r="O588" s="459" t="str">
        <f t="shared" si="284"/>
        <v/>
      </c>
      <c r="P588" s="459" t="str">
        <f t="shared" si="285"/>
        <v/>
      </c>
      <c r="Q588" s="459" t="str">
        <f t="shared" si="286"/>
        <v/>
      </c>
      <c r="R588" s="459" t="str">
        <f t="shared" si="287"/>
        <v/>
      </c>
      <c r="S588" s="459" t="str">
        <f t="shared" si="288"/>
        <v/>
      </c>
      <c r="T588" s="566" t="str">
        <f t="shared" si="323"/>
        <v/>
      </c>
      <c r="U588" s="702"/>
      <c r="V588" s="132"/>
      <c r="W588" s="133"/>
      <c r="X588" s="134"/>
      <c r="Y588" s="135"/>
      <c r="Z588" s="137"/>
      <c r="AA588" s="136"/>
      <c r="AB588" s="566" t="str">
        <f t="shared" si="324"/>
        <v/>
      </c>
      <c r="AC588" s="568" t="str">
        <f t="shared" si="325"/>
        <v/>
      </c>
      <c r="AD588" s="137"/>
      <c r="AE588" s="137"/>
      <c r="AF588" s="138"/>
      <c r="AG588" s="138"/>
      <c r="AH588" s="592" t="str">
        <f t="shared" si="326"/>
        <v/>
      </c>
      <c r="AI588" s="592" t="str">
        <f t="shared" si="327"/>
        <v/>
      </c>
      <c r="AJ588" s="592" t="str">
        <f t="shared" si="328"/>
        <v/>
      </c>
      <c r="AK588" s="460" t="str">
        <f>IF(AU588="","",IF(OR(AZ588=8,AZ588=9),0,IF(OR(AW588=3,AW588=4,AW588=5,AW588=6),IF(LEFT(BF588,1)="1",INDEX(係数_NOX・PM低減,MATCH(AY588,【参考】排出係数!$AI$801:$AI$804,1),1),VLOOKUP(AU588,INDEX((係数_バス貨物_ガソリン,係数_バス貨物_CNG,係数_バス貨物_軽油,係数_バス貨物_メタノール,係数_バス貨物_LPG),MATCH(AY588,【参考】排出係数!$AI$4:$AI$671,1),1,BE588):INDEX((係数_バス貨物_ガソリン,係数_バス貨物_CNG,係数_バス貨物_軽油,係数_バス貨物_メタノール,係数_バス貨物_LPG),MATCH(AY588+1,【参考】排出係数!$AI$4:$AI$671,1)-1,5,BE588),4,FALSE)),IF(AND(BE588=3,LEFT(BF588,1)="1"),0.48,VLOOKUP(AU588,INDEX((係数_乗用_ガソリン,係数_乗用_CNG,係数_乗用_軽油,係数_乗用_メタノール,係数_乗用_LPG),1,1,BE588):INDEX((係数_乗用_ガソリン,係数_乗用_CNG,係数_乗用_軽油,係数_乗用_メタノール,係数_乗用_LPG),125,5,BE588),4,FALSE)))))</f>
        <v/>
      </c>
      <c r="AL588" s="461" t="str">
        <f t="shared" si="329"/>
        <v/>
      </c>
      <c r="AM588" s="460" t="str">
        <f>IF(AU588="","",IF(OR(AZ588=8,AZ588=9),0,IF(OR(AW588=3,AW588=4,AW588=5,AW588=6),IF(LEFT(BH588,1)="1",INDEX(係数_PM低減,MATCH(AY588,【参考】排出係数!$AI$801:$AI$804,1),MATCH(BI588,【参考】排出係数!$AL$798:$AO$798,1)),VLOOKUP(AU588,INDEX((係数_バス貨物_ガソリン,係数_バス貨物_CNG,係数_バス貨物_軽油,係数_バス貨物_メタノール,係数_バス貨物_LPG),MATCH(AY588,【参考】排出係数!$AI$4:$AI$671,1),1,BE588):INDEX((係数_バス貨物_ガソリン,係数_バス貨物_CNG,係数_バス貨物_軽油,係数_バス貨物_メタノール,係数_バス貨物_LPG),MATCH(AY588+1,【参考】排出係数!$AI$4:$AI$671,1)-1,5,BE588),5,FALSE)),IF(AND(BE588=3,LEFT(BF588,1)="1"),0.055,VLOOKUP(AU588,INDEX((係数_乗用_ガソリン,係数_乗用_CNG,係数_乗用_軽油,係数_乗用_メタノール,係数_乗用_LPG),1,1,BE588):INDEX((係数_乗用_ガソリン,係数_乗用_CNG,係数_乗用_軽油,係数_乗用_メタノール,係数_乗用_LPG),125,5,BE588),5,FALSE)))))</f>
        <v/>
      </c>
      <c r="AN588" s="461" t="str">
        <f t="shared" si="330"/>
        <v/>
      </c>
      <c r="AO588" s="462" t="str">
        <f t="shared" si="331"/>
        <v/>
      </c>
      <c r="AP588" s="463" t="str">
        <f t="shared" si="332"/>
        <v/>
      </c>
      <c r="AQ588" s="464"/>
      <c r="AR588" s="619"/>
      <c r="AS588" s="465" t="str">
        <f t="shared" si="334"/>
        <v/>
      </c>
      <c r="AT588" s="465" t="str">
        <f t="shared" si="335"/>
        <v/>
      </c>
      <c r="AU588" s="466" t="str">
        <f t="shared" si="336"/>
        <v/>
      </c>
      <c r="AV588" s="467" t="str">
        <f t="shared" si="337"/>
        <v/>
      </c>
      <c r="AW588" s="467" t="str">
        <f t="shared" si="338"/>
        <v/>
      </c>
      <c r="AX588" s="467" t="str">
        <f t="shared" si="339"/>
        <v/>
      </c>
      <c r="AY588" s="467" t="str">
        <f t="shared" si="340"/>
        <v/>
      </c>
      <c r="AZ588" s="467" t="str">
        <f t="shared" si="341"/>
        <v/>
      </c>
      <c r="BA588" s="468" t="str">
        <f>IF(AS588="","",IF(OR(AU588="",AU588="-"),"－",IF(OR(AZ588=8,AZ588=9),"",IF(OR(AW588=3,AW588=4,AW588=5,AW588=6),VLOOKUP(AU588,INDEX((係数_バス貨物_ガソリン,係数_バス貨物_CNG,係数_バス貨物_軽油,係数_バス貨物_メタノール,係数_バス貨物_LPG),MATCH(AY588,【参考】排出係数!$AI$4:$AI$671,1),1,BE588):INDEX((係数_バス貨物_ガソリン,係数_バス貨物_CNG,係数_バス貨物_軽油,係数_バス貨物_メタノール,係数_バス貨物_LPG),MATCH(AY588+1,【参考】排出係数!$AI$4:$AI$671,1)-1,5,BE588),2,FALSE),IF(OR(AW588=1,AW588=2),VLOOKUP(AU588,INDEX((係数_乗用_ガソリン,係数_乗用_CNG,係数_乗用_軽油,係数_乗用_メタノール,係数_乗用_LPG),1,1,BE588):INDEX((係数_乗用_ガソリン,係数_乗用_CNG,係数_乗用_軽油,係数_乗用_メタノール,係数_乗用_LPG),125,5,BE588),2,FALSE))))))</f>
        <v/>
      </c>
      <c r="BB588" s="468" t="str">
        <f>IF(T588="","",IF(OR(AU588="",AU588="-"),"－",IF(OR(AZ588=8,AZ588=9),"",IF(OR(AW588=3,AW588=4,AW588=5,AW588=6),VLOOKUP(AU588,INDEX((係数_バス貨物_ガソリン,係数_バス貨物_CNG,係数_バス貨物_軽油,係数_バス貨物_メタノール,係数_バス貨物_LPG),MATCH(AY588,【参考】排出係数!$AI$4:$AI$671,1),1,BE588):INDEX((係数_バス貨物_ガソリン,係数_バス貨物_CNG,係数_バス貨物_軽油,係数_バス貨物_メタノール,係数_バス貨物_LPG),MATCH(AY588+1,【参考】排出係数!$AI$4:$AI$671,1)-1,5,BE588),3,FALSE),IF(OR(AW588=1,AW588=2),VLOOKUP(AU588,INDEX((係数_乗用_ガソリン,係数_乗用_CNG,係数_乗用_軽油,係数_乗用_メタノール,係数_乗用_LPG),1,1,BE588):INDEX((係数_乗用_ガソリン,係数_乗用_CNG,係数_乗用_軽油,係数_乗用_メタノール,係数_乗用_LPG),125,5,BE588),3,FALSE))))))</f>
        <v/>
      </c>
      <c r="BC588" s="467" t="str">
        <f t="shared" si="342"/>
        <v/>
      </c>
      <c r="BD588" s="567" t="str">
        <f t="shared" si="343"/>
        <v/>
      </c>
      <c r="BE588" s="467" t="str">
        <f t="shared" si="344"/>
        <v/>
      </c>
      <c r="BF588" s="469" t="str">
        <f t="shared" ca="1" si="345"/>
        <v/>
      </c>
      <c r="BG588" s="469" t="str">
        <f t="shared" ca="1" si="346"/>
        <v/>
      </c>
      <c r="BH588" s="467" t="str">
        <f t="shared" si="347"/>
        <v/>
      </c>
      <c r="BI588" s="467" t="str">
        <f t="shared" ca="1" si="348"/>
        <v/>
      </c>
      <c r="BJ588" s="469" t="str">
        <f t="shared" si="349"/>
        <v/>
      </c>
      <c r="BK588" s="470" t="str">
        <f t="shared" si="333"/>
        <v/>
      </c>
      <c r="BL588" s="775" t="str">
        <f t="shared" si="350"/>
        <v/>
      </c>
      <c r="BM588" s="775" t="str">
        <f t="shared" si="351"/>
        <v/>
      </c>
    </row>
    <row r="589" spans="1:65">
      <c r="A589" s="473">
        <v>533</v>
      </c>
      <c r="B589" s="132"/>
      <c r="C589" s="332"/>
      <c r="D589" s="333"/>
      <c r="E589" s="333"/>
      <c r="F589" s="334"/>
      <c r="G589" s="337"/>
      <c r="H589" s="131"/>
      <c r="I589" s="337"/>
      <c r="J589" s="131"/>
      <c r="K589" s="458" t="str">
        <f t="shared" si="320"/>
        <v/>
      </c>
      <c r="L589" s="458">
        <f t="shared" si="321"/>
        <v>0</v>
      </c>
      <c r="M589" s="458">
        <f t="shared" si="322"/>
        <v>0</v>
      </c>
      <c r="N589" s="459" t="str">
        <f t="shared" si="283"/>
        <v/>
      </c>
      <c r="O589" s="459" t="str">
        <f t="shared" si="284"/>
        <v/>
      </c>
      <c r="P589" s="459" t="str">
        <f t="shared" si="285"/>
        <v/>
      </c>
      <c r="Q589" s="459" t="str">
        <f t="shared" si="286"/>
        <v/>
      </c>
      <c r="R589" s="459" t="str">
        <f t="shared" si="287"/>
        <v/>
      </c>
      <c r="S589" s="459" t="str">
        <f t="shared" si="288"/>
        <v/>
      </c>
      <c r="T589" s="566" t="str">
        <f t="shared" si="323"/>
        <v/>
      </c>
      <c r="U589" s="702"/>
      <c r="V589" s="132"/>
      <c r="W589" s="133"/>
      <c r="X589" s="134"/>
      <c r="Y589" s="135"/>
      <c r="Z589" s="137"/>
      <c r="AA589" s="136"/>
      <c r="AB589" s="566" t="str">
        <f t="shared" si="324"/>
        <v/>
      </c>
      <c r="AC589" s="568" t="str">
        <f t="shared" si="325"/>
        <v/>
      </c>
      <c r="AD589" s="137"/>
      <c r="AE589" s="137"/>
      <c r="AF589" s="138"/>
      <c r="AG589" s="138"/>
      <c r="AH589" s="592" t="str">
        <f t="shared" si="326"/>
        <v/>
      </c>
      <c r="AI589" s="592" t="str">
        <f t="shared" si="327"/>
        <v/>
      </c>
      <c r="AJ589" s="592" t="str">
        <f t="shared" si="328"/>
        <v/>
      </c>
      <c r="AK589" s="460" t="str">
        <f>IF(AU589="","",IF(OR(AZ589=8,AZ589=9),0,IF(OR(AW589=3,AW589=4,AW589=5,AW589=6),IF(LEFT(BF589,1)="1",INDEX(係数_NOX・PM低減,MATCH(AY589,【参考】排出係数!$AI$801:$AI$804,1),1),VLOOKUP(AU589,INDEX((係数_バス貨物_ガソリン,係数_バス貨物_CNG,係数_バス貨物_軽油,係数_バス貨物_メタノール,係数_バス貨物_LPG),MATCH(AY589,【参考】排出係数!$AI$4:$AI$671,1),1,BE589):INDEX((係数_バス貨物_ガソリン,係数_バス貨物_CNG,係数_バス貨物_軽油,係数_バス貨物_メタノール,係数_バス貨物_LPG),MATCH(AY589+1,【参考】排出係数!$AI$4:$AI$671,1)-1,5,BE589),4,FALSE)),IF(AND(BE589=3,LEFT(BF589,1)="1"),0.48,VLOOKUP(AU589,INDEX((係数_乗用_ガソリン,係数_乗用_CNG,係数_乗用_軽油,係数_乗用_メタノール,係数_乗用_LPG),1,1,BE589):INDEX((係数_乗用_ガソリン,係数_乗用_CNG,係数_乗用_軽油,係数_乗用_メタノール,係数_乗用_LPG),125,5,BE589),4,FALSE)))))</f>
        <v/>
      </c>
      <c r="AL589" s="461" t="str">
        <f t="shared" si="329"/>
        <v/>
      </c>
      <c r="AM589" s="460" t="str">
        <f>IF(AU589="","",IF(OR(AZ589=8,AZ589=9),0,IF(OR(AW589=3,AW589=4,AW589=5,AW589=6),IF(LEFT(BH589,1)="1",INDEX(係数_PM低減,MATCH(AY589,【参考】排出係数!$AI$801:$AI$804,1),MATCH(BI589,【参考】排出係数!$AL$798:$AO$798,1)),VLOOKUP(AU589,INDEX((係数_バス貨物_ガソリン,係数_バス貨物_CNG,係数_バス貨物_軽油,係数_バス貨物_メタノール,係数_バス貨物_LPG),MATCH(AY589,【参考】排出係数!$AI$4:$AI$671,1),1,BE589):INDEX((係数_バス貨物_ガソリン,係数_バス貨物_CNG,係数_バス貨物_軽油,係数_バス貨物_メタノール,係数_バス貨物_LPG),MATCH(AY589+1,【参考】排出係数!$AI$4:$AI$671,1)-1,5,BE589),5,FALSE)),IF(AND(BE589=3,LEFT(BF589,1)="1"),0.055,VLOOKUP(AU589,INDEX((係数_乗用_ガソリン,係数_乗用_CNG,係数_乗用_軽油,係数_乗用_メタノール,係数_乗用_LPG),1,1,BE589):INDEX((係数_乗用_ガソリン,係数_乗用_CNG,係数_乗用_軽油,係数_乗用_メタノール,係数_乗用_LPG),125,5,BE589),5,FALSE)))))</f>
        <v/>
      </c>
      <c r="AN589" s="461" t="str">
        <f t="shared" si="330"/>
        <v/>
      </c>
      <c r="AO589" s="462" t="str">
        <f t="shared" si="331"/>
        <v/>
      </c>
      <c r="AP589" s="463" t="str">
        <f t="shared" si="332"/>
        <v/>
      </c>
      <c r="AQ589" s="464"/>
      <c r="AR589" s="619"/>
      <c r="AS589" s="465" t="str">
        <f t="shared" si="334"/>
        <v/>
      </c>
      <c r="AT589" s="465" t="str">
        <f t="shared" si="335"/>
        <v/>
      </c>
      <c r="AU589" s="466" t="str">
        <f t="shared" si="336"/>
        <v/>
      </c>
      <c r="AV589" s="467" t="str">
        <f t="shared" si="337"/>
        <v/>
      </c>
      <c r="AW589" s="467" t="str">
        <f t="shared" si="338"/>
        <v/>
      </c>
      <c r="AX589" s="467" t="str">
        <f t="shared" si="339"/>
        <v/>
      </c>
      <c r="AY589" s="467" t="str">
        <f t="shared" si="340"/>
        <v/>
      </c>
      <c r="AZ589" s="467" t="str">
        <f t="shared" si="341"/>
        <v/>
      </c>
      <c r="BA589" s="468" t="str">
        <f>IF(AS589="","",IF(OR(AU589="",AU589="-"),"－",IF(OR(AZ589=8,AZ589=9),"",IF(OR(AW589=3,AW589=4,AW589=5,AW589=6),VLOOKUP(AU589,INDEX((係数_バス貨物_ガソリン,係数_バス貨物_CNG,係数_バス貨物_軽油,係数_バス貨物_メタノール,係数_バス貨物_LPG),MATCH(AY589,【参考】排出係数!$AI$4:$AI$671,1),1,BE589):INDEX((係数_バス貨物_ガソリン,係数_バス貨物_CNG,係数_バス貨物_軽油,係数_バス貨物_メタノール,係数_バス貨物_LPG),MATCH(AY589+1,【参考】排出係数!$AI$4:$AI$671,1)-1,5,BE589),2,FALSE),IF(OR(AW589=1,AW589=2),VLOOKUP(AU589,INDEX((係数_乗用_ガソリン,係数_乗用_CNG,係数_乗用_軽油,係数_乗用_メタノール,係数_乗用_LPG),1,1,BE589):INDEX((係数_乗用_ガソリン,係数_乗用_CNG,係数_乗用_軽油,係数_乗用_メタノール,係数_乗用_LPG),125,5,BE589),2,FALSE))))))</f>
        <v/>
      </c>
      <c r="BB589" s="468" t="str">
        <f>IF(T589="","",IF(OR(AU589="",AU589="-"),"－",IF(OR(AZ589=8,AZ589=9),"",IF(OR(AW589=3,AW589=4,AW589=5,AW589=6),VLOOKUP(AU589,INDEX((係数_バス貨物_ガソリン,係数_バス貨物_CNG,係数_バス貨物_軽油,係数_バス貨物_メタノール,係数_バス貨物_LPG),MATCH(AY589,【参考】排出係数!$AI$4:$AI$671,1),1,BE589):INDEX((係数_バス貨物_ガソリン,係数_バス貨物_CNG,係数_バス貨物_軽油,係数_バス貨物_メタノール,係数_バス貨物_LPG),MATCH(AY589+1,【参考】排出係数!$AI$4:$AI$671,1)-1,5,BE589),3,FALSE),IF(OR(AW589=1,AW589=2),VLOOKUP(AU589,INDEX((係数_乗用_ガソリン,係数_乗用_CNG,係数_乗用_軽油,係数_乗用_メタノール,係数_乗用_LPG),1,1,BE589):INDEX((係数_乗用_ガソリン,係数_乗用_CNG,係数_乗用_軽油,係数_乗用_メタノール,係数_乗用_LPG),125,5,BE589),3,FALSE))))))</f>
        <v/>
      </c>
      <c r="BC589" s="467" t="str">
        <f t="shared" si="342"/>
        <v/>
      </c>
      <c r="BD589" s="567" t="str">
        <f t="shared" si="343"/>
        <v/>
      </c>
      <c r="BE589" s="467" t="str">
        <f t="shared" si="344"/>
        <v/>
      </c>
      <c r="BF589" s="469" t="str">
        <f t="shared" ca="1" si="345"/>
        <v/>
      </c>
      <c r="BG589" s="469" t="str">
        <f t="shared" ca="1" si="346"/>
        <v/>
      </c>
      <c r="BH589" s="467" t="str">
        <f t="shared" si="347"/>
        <v/>
      </c>
      <c r="BI589" s="467" t="str">
        <f t="shared" ca="1" si="348"/>
        <v/>
      </c>
      <c r="BJ589" s="469" t="str">
        <f t="shared" si="349"/>
        <v/>
      </c>
      <c r="BK589" s="470" t="str">
        <f t="shared" si="333"/>
        <v/>
      </c>
      <c r="BL589" s="775" t="str">
        <f t="shared" si="350"/>
        <v/>
      </c>
      <c r="BM589" s="775" t="str">
        <f t="shared" si="351"/>
        <v/>
      </c>
    </row>
    <row r="590" spans="1:65">
      <c r="A590" s="473">
        <v>534</v>
      </c>
      <c r="B590" s="132"/>
      <c r="C590" s="332"/>
      <c r="D590" s="333"/>
      <c r="E590" s="333"/>
      <c r="F590" s="334"/>
      <c r="G590" s="337"/>
      <c r="H590" s="131"/>
      <c r="I590" s="337"/>
      <c r="J590" s="131"/>
      <c r="K590" s="458" t="str">
        <f t="shared" si="320"/>
        <v/>
      </c>
      <c r="L590" s="458">
        <f t="shared" si="321"/>
        <v>0</v>
      </c>
      <c r="M590" s="458">
        <f t="shared" si="322"/>
        <v>0</v>
      </c>
      <c r="N590" s="459" t="str">
        <f t="shared" si="283"/>
        <v/>
      </c>
      <c r="O590" s="459" t="str">
        <f t="shared" si="284"/>
        <v/>
      </c>
      <c r="P590" s="459" t="str">
        <f t="shared" si="285"/>
        <v/>
      </c>
      <c r="Q590" s="459" t="str">
        <f t="shared" si="286"/>
        <v/>
      </c>
      <c r="R590" s="459" t="str">
        <f t="shared" si="287"/>
        <v/>
      </c>
      <c r="S590" s="459" t="str">
        <f t="shared" si="288"/>
        <v/>
      </c>
      <c r="T590" s="566" t="str">
        <f t="shared" si="323"/>
        <v/>
      </c>
      <c r="U590" s="702"/>
      <c r="V590" s="132"/>
      <c r="W590" s="133"/>
      <c r="X590" s="134"/>
      <c r="Y590" s="135"/>
      <c r="Z590" s="137"/>
      <c r="AA590" s="136"/>
      <c r="AB590" s="566" t="str">
        <f t="shared" si="324"/>
        <v/>
      </c>
      <c r="AC590" s="568" t="str">
        <f t="shared" si="325"/>
        <v/>
      </c>
      <c r="AD590" s="137"/>
      <c r="AE590" s="137"/>
      <c r="AF590" s="138"/>
      <c r="AG590" s="138"/>
      <c r="AH590" s="592" t="str">
        <f t="shared" si="326"/>
        <v/>
      </c>
      <c r="AI590" s="592" t="str">
        <f t="shared" si="327"/>
        <v/>
      </c>
      <c r="AJ590" s="592" t="str">
        <f t="shared" si="328"/>
        <v/>
      </c>
      <c r="AK590" s="460" t="str">
        <f>IF(AU590="","",IF(OR(AZ590=8,AZ590=9),0,IF(OR(AW590=3,AW590=4,AW590=5,AW590=6),IF(LEFT(BF590,1)="1",INDEX(係数_NOX・PM低減,MATCH(AY590,【参考】排出係数!$AI$801:$AI$804,1),1),VLOOKUP(AU590,INDEX((係数_バス貨物_ガソリン,係数_バス貨物_CNG,係数_バス貨物_軽油,係数_バス貨物_メタノール,係数_バス貨物_LPG),MATCH(AY590,【参考】排出係数!$AI$4:$AI$671,1),1,BE590):INDEX((係数_バス貨物_ガソリン,係数_バス貨物_CNG,係数_バス貨物_軽油,係数_バス貨物_メタノール,係数_バス貨物_LPG),MATCH(AY590+1,【参考】排出係数!$AI$4:$AI$671,1)-1,5,BE590),4,FALSE)),IF(AND(BE590=3,LEFT(BF590,1)="1"),0.48,VLOOKUP(AU590,INDEX((係数_乗用_ガソリン,係数_乗用_CNG,係数_乗用_軽油,係数_乗用_メタノール,係数_乗用_LPG),1,1,BE590):INDEX((係数_乗用_ガソリン,係数_乗用_CNG,係数_乗用_軽油,係数_乗用_メタノール,係数_乗用_LPG),125,5,BE590),4,FALSE)))))</f>
        <v/>
      </c>
      <c r="AL590" s="461" t="str">
        <f t="shared" si="329"/>
        <v/>
      </c>
      <c r="AM590" s="460" t="str">
        <f>IF(AU590="","",IF(OR(AZ590=8,AZ590=9),0,IF(OR(AW590=3,AW590=4,AW590=5,AW590=6),IF(LEFT(BH590,1)="1",INDEX(係数_PM低減,MATCH(AY590,【参考】排出係数!$AI$801:$AI$804,1),MATCH(BI590,【参考】排出係数!$AL$798:$AO$798,1)),VLOOKUP(AU590,INDEX((係数_バス貨物_ガソリン,係数_バス貨物_CNG,係数_バス貨物_軽油,係数_バス貨物_メタノール,係数_バス貨物_LPG),MATCH(AY590,【参考】排出係数!$AI$4:$AI$671,1),1,BE590):INDEX((係数_バス貨物_ガソリン,係数_バス貨物_CNG,係数_バス貨物_軽油,係数_バス貨物_メタノール,係数_バス貨物_LPG),MATCH(AY590+1,【参考】排出係数!$AI$4:$AI$671,1)-1,5,BE590),5,FALSE)),IF(AND(BE590=3,LEFT(BF590,1)="1"),0.055,VLOOKUP(AU590,INDEX((係数_乗用_ガソリン,係数_乗用_CNG,係数_乗用_軽油,係数_乗用_メタノール,係数_乗用_LPG),1,1,BE590):INDEX((係数_乗用_ガソリン,係数_乗用_CNG,係数_乗用_軽油,係数_乗用_メタノール,係数_乗用_LPG),125,5,BE590),5,FALSE)))))</f>
        <v/>
      </c>
      <c r="AN590" s="461" t="str">
        <f t="shared" si="330"/>
        <v/>
      </c>
      <c r="AO590" s="462" t="str">
        <f t="shared" si="331"/>
        <v/>
      </c>
      <c r="AP590" s="463" t="str">
        <f t="shared" si="332"/>
        <v/>
      </c>
      <c r="AQ590" s="464"/>
      <c r="AR590" s="619"/>
      <c r="AS590" s="465" t="str">
        <f t="shared" si="334"/>
        <v/>
      </c>
      <c r="AT590" s="465" t="str">
        <f t="shared" si="335"/>
        <v/>
      </c>
      <c r="AU590" s="466" t="str">
        <f t="shared" si="336"/>
        <v/>
      </c>
      <c r="AV590" s="467" t="str">
        <f t="shared" si="337"/>
        <v/>
      </c>
      <c r="AW590" s="467" t="str">
        <f t="shared" si="338"/>
        <v/>
      </c>
      <c r="AX590" s="467" t="str">
        <f t="shared" si="339"/>
        <v/>
      </c>
      <c r="AY590" s="467" t="str">
        <f t="shared" si="340"/>
        <v/>
      </c>
      <c r="AZ590" s="467" t="str">
        <f t="shared" si="341"/>
        <v/>
      </c>
      <c r="BA590" s="468" t="str">
        <f>IF(AS590="","",IF(OR(AU590="",AU590="-"),"－",IF(OR(AZ590=8,AZ590=9),"",IF(OR(AW590=3,AW590=4,AW590=5,AW590=6),VLOOKUP(AU590,INDEX((係数_バス貨物_ガソリン,係数_バス貨物_CNG,係数_バス貨物_軽油,係数_バス貨物_メタノール,係数_バス貨物_LPG),MATCH(AY590,【参考】排出係数!$AI$4:$AI$671,1),1,BE590):INDEX((係数_バス貨物_ガソリン,係数_バス貨物_CNG,係数_バス貨物_軽油,係数_バス貨物_メタノール,係数_バス貨物_LPG),MATCH(AY590+1,【参考】排出係数!$AI$4:$AI$671,1)-1,5,BE590),2,FALSE),IF(OR(AW590=1,AW590=2),VLOOKUP(AU590,INDEX((係数_乗用_ガソリン,係数_乗用_CNG,係数_乗用_軽油,係数_乗用_メタノール,係数_乗用_LPG),1,1,BE590):INDEX((係数_乗用_ガソリン,係数_乗用_CNG,係数_乗用_軽油,係数_乗用_メタノール,係数_乗用_LPG),125,5,BE590),2,FALSE))))))</f>
        <v/>
      </c>
      <c r="BB590" s="468" t="str">
        <f>IF(T590="","",IF(OR(AU590="",AU590="-"),"－",IF(OR(AZ590=8,AZ590=9),"",IF(OR(AW590=3,AW590=4,AW590=5,AW590=6),VLOOKUP(AU590,INDEX((係数_バス貨物_ガソリン,係数_バス貨物_CNG,係数_バス貨物_軽油,係数_バス貨物_メタノール,係数_バス貨物_LPG),MATCH(AY590,【参考】排出係数!$AI$4:$AI$671,1),1,BE590):INDEX((係数_バス貨物_ガソリン,係数_バス貨物_CNG,係数_バス貨物_軽油,係数_バス貨物_メタノール,係数_バス貨物_LPG),MATCH(AY590+1,【参考】排出係数!$AI$4:$AI$671,1)-1,5,BE590),3,FALSE),IF(OR(AW590=1,AW590=2),VLOOKUP(AU590,INDEX((係数_乗用_ガソリン,係数_乗用_CNG,係数_乗用_軽油,係数_乗用_メタノール,係数_乗用_LPG),1,1,BE590):INDEX((係数_乗用_ガソリン,係数_乗用_CNG,係数_乗用_軽油,係数_乗用_メタノール,係数_乗用_LPG),125,5,BE590),3,FALSE))))))</f>
        <v/>
      </c>
      <c r="BC590" s="467" t="str">
        <f t="shared" si="342"/>
        <v/>
      </c>
      <c r="BD590" s="567" t="str">
        <f t="shared" si="343"/>
        <v/>
      </c>
      <c r="BE590" s="467" t="str">
        <f t="shared" si="344"/>
        <v/>
      </c>
      <c r="BF590" s="469" t="str">
        <f t="shared" ca="1" si="345"/>
        <v/>
      </c>
      <c r="BG590" s="469" t="str">
        <f t="shared" ca="1" si="346"/>
        <v/>
      </c>
      <c r="BH590" s="467" t="str">
        <f t="shared" si="347"/>
        <v/>
      </c>
      <c r="BI590" s="467" t="str">
        <f t="shared" ca="1" si="348"/>
        <v/>
      </c>
      <c r="BJ590" s="469" t="str">
        <f t="shared" si="349"/>
        <v/>
      </c>
      <c r="BK590" s="470" t="str">
        <f t="shared" si="333"/>
        <v/>
      </c>
      <c r="BL590" s="775" t="str">
        <f t="shared" si="350"/>
        <v/>
      </c>
      <c r="BM590" s="775" t="str">
        <f t="shared" si="351"/>
        <v/>
      </c>
    </row>
    <row r="591" spans="1:65">
      <c r="A591" s="473">
        <v>535</v>
      </c>
      <c r="B591" s="132"/>
      <c r="C591" s="332"/>
      <c r="D591" s="333"/>
      <c r="E591" s="333"/>
      <c r="F591" s="334"/>
      <c r="G591" s="337"/>
      <c r="H591" s="131"/>
      <c r="I591" s="337"/>
      <c r="J591" s="131"/>
      <c r="K591" s="458" t="str">
        <f t="shared" si="320"/>
        <v/>
      </c>
      <c r="L591" s="458">
        <f t="shared" si="321"/>
        <v>0</v>
      </c>
      <c r="M591" s="458">
        <f t="shared" si="322"/>
        <v>0</v>
      </c>
      <c r="N591" s="459" t="str">
        <f t="shared" si="283"/>
        <v/>
      </c>
      <c r="O591" s="459" t="str">
        <f t="shared" si="284"/>
        <v/>
      </c>
      <c r="P591" s="459" t="str">
        <f t="shared" si="285"/>
        <v/>
      </c>
      <c r="Q591" s="459" t="str">
        <f t="shared" si="286"/>
        <v/>
      </c>
      <c r="R591" s="459" t="str">
        <f t="shared" si="287"/>
        <v/>
      </c>
      <c r="S591" s="459" t="str">
        <f t="shared" si="288"/>
        <v/>
      </c>
      <c r="T591" s="566" t="str">
        <f t="shared" si="323"/>
        <v/>
      </c>
      <c r="U591" s="702"/>
      <c r="V591" s="132"/>
      <c r="W591" s="133"/>
      <c r="X591" s="134"/>
      <c r="Y591" s="135"/>
      <c r="Z591" s="137"/>
      <c r="AA591" s="136"/>
      <c r="AB591" s="566" t="str">
        <f t="shared" si="324"/>
        <v/>
      </c>
      <c r="AC591" s="568" t="str">
        <f t="shared" si="325"/>
        <v/>
      </c>
      <c r="AD591" s="137"/>
      <c r="AE591" s="137"/>
      <c r="AF591" s="138"/>
      <c r="AG591" s="138"/>
      <c r="AH591" s="592" t="str">
        <f t="shared" si="326"/>
        <v/>
      </c>
      <c r="AI591" s="592" t="str">
        <f t="shared" si="327"/>
        <v/>
      </c>
      <c r="AJ591" s="592" t="str">
        <f t="shared" si="328"/>
        <v/>
      </c>
      <c r="AK591" s="460" t="str">
        <f>IF(AU591="","",IF(OR(AZ591=8,AZ591=9),0,IF(OR(AW591=3,AW591=4,AW591=5,AW591=6),IF(LEFT(BF591,1)="1",INDEX(係数_NOX・PM低減,MATCH(AY591,【参考】排出係数!$AI$801:$AI$804,1),1),VLOOKUP(AU591,INDEX((係数_バス貨物_ガソリン,係数_バス貨物_CNG,係数_バス貨物_軽油,係数_バス貨物_メタノール,係数_バス貨物_LPG),MATCH(AY591,【参考】排出係数!$AI$4:$AI$671,1),1,BE591):INDEX((係数_バス貨物_ガソリン,係数_バス貨物_CNG,係数_バス貨物_軽油,係数_バス貨物_メタノール,係数_バス貨物_LPG),MATCH(AY591+1,【参考】排出係数!$AI$4:$AI$671,1)-1,5,BE591),4,FALSE)),IF(AND(BE591=3,LEFT(BF591,1)="1"),0.48,VLOOKUP(AU591,INDEX((係数_乗用_ガソリン,係数_乗用_CNG,係数_乗用_軽油,係数_乗用_メタノール,係数_乗用_LPG),1,1,BE591):INDEX((係数_乗用_ガソリン,係数_乗用_CNG,係数_乗用_軽油,係数_乗用_メタノール,係数_乗用_LPG),125,5,BE591),4,FALSE)))))</f>
        <v/>
      </c>
      <c r="AL591" s="461" t="str">
        <f t="shared" si="329"/>
        <v/>
      </c>
      <c r="AM591" s="460" t="str">
        <f>IF(AU591="","",IF(OR(AZ591=8,AZ591=9),0,IF(OR(AW591=3,AW591=4,AW591=5,AW591=6),IF(LEFT(BH591,1)="1",INDEX(係数_PM低減,MATCH(AY591,【参考】排出係数!$AI$801:$AI$804,1),MATCH(BI591,【参考】排出係数!$AL$798:$AO$798,1)),VLOOKUP(AU591,INDEX((係数_バス貨物_ガソリン,係数_バス貨物_CNG,係数_バス貨物_軽油,係数_バス貨物_メタノール,係数_バス貨物_LPG),MATCH(AY591,【参考】排出係数!$AI$4:$AI$671,1),1,BE591):INDEX((係数_バス貨物_ガソリン,係数_バス貨物_CNG,係数_バス貨物_軽油,係数_バス貨物_メタノール,係数_バス貨物_LPG),MATCH(AY591+1,【参考】排出係数!$AI$4:$AI$671,1)-1,5,BE591),5,FALSE)),IF(AND(BE591=3,LEFT(BF591,1)="1"),0.055,VLOOKUP(AU591,INDEX((係数_乗用_ガソリン,係数_乗用_CNG,係数_乗用_軽油,係数_乗用_メタノール,係数_乗用_LPG),1,1,BE591):INDEX((係数_乗用_ガソリン,係数_乗用_CNG,係数_乗用_軽油,係数_乗用_メタノール,係数_乗用_LPG),125,5,BE591),5,FALSE)))))</f>
        <v/>
      </c>
      <c r="AN591" s="461" t="str">
        <f t="shared" si="330"/>
        <v/>
      </c>
      <c r="AO591" s="462" t="str">
        <f t="shared" si="331"/>
        <v/>
      </c>
      <c r="AP591" s="463" t="str">
        <f t="shared" si="332"/>
        <v/>
      </c>
      <c r="AQ591" s="464"/>
      <c r="AR591" s="619"/>
      <c r="AS591" s="465" t="str">
        <f t="shared" si="334"/>
        <v/>
      </c>
      <c r="AT591" s="465" t="str">
        <f t="shared" si="335"/>
        <v/>
      </c>
      <c r="AU591" s="466" t="str">
        <f t="shared" si="336"/>
        <v/>
      </c>
      <c r="AV591" s="467" t="str">
        <f t="shared" si="337"/>
        <v/>
      </c>
      <c r="AW591" s="467" t="str">
        <f t="shared" si="338"/>
        <v/>
      </c>
      <c r="AX591" s="467" t="str">
        <f t="shared" si="339"/>
        <v/>
      </c>
      <c r="AY591" s="467" t="str">
        <f t="shared" si="340"/>
        <v/>
      </c>
      <c r="AZ591" s="467" t="str">
        <f t="shared" si="341"/>
        <v/>
      </c>
      <c r="BA591" s="468" t="str">
        <f>IF(AS591="","",IF(OR(AU591="",AU591="-"),"－",IF(OR(AZ591=8,AZ591=9),"",IF(OR(AW591=3,AW591=4,AW591=5,AW591=6),VLOOKUP(AU591,INDEX((係数_バス貨物_ガソリン,係数_バス貨物_CNG,係数_バス貨物_軽油,係数_バス貨物_メタノール,係数_バス貨物_LPG),MATCH(AY591,【参考】排出係数!$AI$4:$AI$671,1),1,BE591):INDEX((係数_バス貨物_ガソリン,係数_バス貨物_CNG,係数_バス貨物_軽油,係数_バス貨物_メタノール,係数_バス貨物_LPG),MATCH(AY591+1,【参考】排出係数!$AI$4:$AI$671,1)-1,5,BE591),2,FALSE),IF(OR(AW591=1,AW591=2),VLOOKUP(AU591,INDEX((係数_乗用_ガソリン,係数_乗用_CNG,係数_乗用_軽油,係数_乗用_メタノール,係数_乗用_LPG),1,1,BE591):INDEX((係数_乗用_ガソリン,係数_乗用_CNG,係数_乗用_軽油,係数_乗用_メタノール,係数_乗用_LPG),125,5,BE591),2,FALSE))))))</f>
        <v/>
      </c>
      <c r="BB591" s="468" t="str">
        <f>IF(T591="","",IF(OR(AU591="",AU591="-"),"－",IF(OR(AZ591=8,AZ591=9),"",IF(OR(AW591=3,AW591=4,AW591=5,AW591=6),VLOOKUP(AU591,INDEX((係数_バス貨物_ガソリン,係数_バス貨物_CNG,係数_バス貨物_軽油,係数_バス貨物_メタノール,係数_バス貨物_LPG),MATCH(AY591,【参考】排出係数!$AI$4:$AI$671,1),1,BE591):INDEX((係数_バス貨物_ガソリン,係数_バス貨物_CNG,係数_バス貨物_軽油,係数_バス貨物_メタノール,係数_バス貨物_LPG),MATCH(AY591+1,【参考】排出係数!$AI$4:$AI$671,1)-1,5,BE591),3,FALSE),IF(OR(AW591=1,AW591=2),VLOOKUP(AU591,INDEX((係数_乗用_ガソリン,係数_乗用_CNG,係数_乗用_軽油,係数_乗用_メタノール,係数_乗用_LPG),1,1,BE591):INDEX((係数_乗用_ガソリン,係数_乗用_CNG,係数_乗用_軽油,係数_乗用_メタノール,係数_乗用_LPG),125,5,BE591),3,FALSE))))))</f>
        <v/>
      </c>
      <c r="BC591" s="467" t="str">
        <f t="shared" si="342"/>
        <v/>
      </c>
      <c r="BD591" s="567" t="str">
        <f t="shared" si="343"/>
        <v/>
      </c>
      <c r="BE591" s="467" t="str">
        <f t="shared" si="344"/>
        <v/>
      </c>
      <c r="BF591" s="469" t="str">
        <f t="shared" ca="1" si="345"/>
        <v/>
      </c>
      <c r="BG591" s="469" t="str">
        <f t="shared" ca="1" si="346"/>
        <v/>
      </c>
      <c r="BH591" s="467" t="str">
        <f t="shared" si="347"/>
        <v/>
      </c>
      <c r="BI591" s="467" t="str">
        <f t="shared" ca="1" si="348"/>
        <v/>
      </c>
      <c r="BJ591" s="469" t="str">
        <f t="shared" si="349"/>
        <v/>
      </c>
      <c r="BK591" s="470" t="str">
        <f t="shared" si="333"/>
        <v/>
      </c>
      <c r="BL591" s="775" t="str">
        <f t="shared" si="350"/>
        <v/>
      </c>
      <c r="BM591" s="775" t="str">
        <f t="shared" si="351"/>
        <v/>
      </c>
    </row>
    <row r="592" spans="1:65">
      <c r="A592" s="473">
        <v>536</v>
      </c>
      <c r="B592" s="132"/>
      <c r="C592" s="332"/>
      <c r="D592" s="333"/>
      <c r="E592" s="333"/>
      <c r="F592" s="334"/>
      <c r="G592" s="337"/>
      <c r="H592" s="131"/>
      <c r="I592" s="337"/>
      <c r="J592" s="131"/>
      <c r="K592" s="458" t="str">
        <f t="shared" si="320"/>
        <v/>
      </c>
      <c r="L592" s="458">
        <f t="shared" si="321"/>
        <v>0</v>
      </c>
      <c r="M592" s="458">
        <f t="shared" si="322"/>
        <v>0</v>
      </c>
      <c r="N592" s="459" t="str">
        <f t="shared" si="283"/>
        <v/>
      </c>
      <c r="O592" s="459" t="str">
        <f t="shared" si="284"/>
        <v/>
      </c>
      <c r="P592" s="459" t="str">
        <f t="shared" si="285"/>
        <v/>
      </c>
      <c r="Q592" s="459" t="str">
        <f t="shared" si="286"/>
        <v/>
      </c>
      <c r="R592" s="459" t="str">
        <f t="shared" si="287"/>
        <v/>
      </c>
      <c r="S592" s="459" t="str">
        <f t="shared" si="288"/>
        <v/>
      </c>
      <c r="T592" s="566" t="str">
        <f t="shared" si="323"/>
        <v/>
      </c>
      <c r="U592" s="702"/>
      <c r="V592" s="132"/>
      <c r="W592" s="133"/>
      <c r="X592" s="134"/>
      <c r="Y592" s="135"/>
      <c r="Z592" s="137"/>
      <c r="AA592" s="136"/>
      <c r="AB592" s="566" t="str">
        <f t="shared" si="324"/>
        <v/>
      </c>
      <c r="AC592" s="568" t="str">
        <f t="shared" si="325"/>
        <v/>
      </c>
      <c r="AD592" s="137"/>
      <c r="AE592" s="137"/>
      <c r="AF592" s="138"/>
      <c r="AG592" s="138"/>
      <c r="AH592" s="592" t="str">
        <f t="shared" si="326"/>
        <v/>
      </c>
      <c r="AI592" s="592" t="str">
        <f t="shared" si="327"/>
        <v/>
      </c>
      <c r="AJ592" s="592" t="str">
        <f t="shared" si="328"/>
        <v/>
      </c>
      <c r="AK592" s="460" t="str">
        <f>IF(AU592="","",IF(OR(AZ592=8,AZ592=9),0,IF(OR(AW592=3,AW592=4,AW592=5,AW592=6),IF(LEFT(BF592,1)="1",INDEX(係数_NOX・PM低減,MATCH(AY592,【参考】排出係数!$AI$801:$AI$804,1),1),VLOOKUP(AU592,INDEX((係数_バス貨物_ガソリン,係数_バス貨物_CNG,係数_バス貨物_軽油,係数_バス貨物_メタノール,係数_バス貨物_LPG),MATCH(AY592,【参考】排出係数!$AI$4:$AI$671,1),1,BE592):INDEX((係数_バス貨物_ガソリン,係数_バス貨物_CNG,係数_バス貨物_軽油,係数_バス貨物_メタノール,係数_バス貨物_LPG),MATCH(AY592+1,【参考】排出係数!$AI$4:$AI$671,1)-1,5,BE592),4,FALSE)),IF(AND(BE592=3,LEFT(BF592,1)="1"),0.48,VLOOKUP(AU592,INDEX((係数_乗用_ガソリン,係数_乗用_CNG,係数_乗用_軽油,係数_乗用_メタノール,係数_乗用_LPG),1,1,BE592):INDEX((係数_乗用_ガソリン,係数_乗用_CNG,係数_乗用_軽油,係数_乗用_メタノール,係数_乗用_LPG),125,5,BE592),4,FALSE)))))</f>
        <v/>
      </c>
      <c r="AL592" s="461" t="str">
        <f t="shared" si="329"/>
        <v/>
      </c>
      <c r="AM592" s="460" t="str">
        <f>IF(AU592="","",IF(OR(AZ592=8,AZ592=9),0,IF(OR(AW592=3,AW592=4,AW592=5,AW592=6),IF(LEFT(BH592,1)="1",INDEX(係数_PM低減,MATCH(AY592,【参考】排出係数!$AI$801:$AI$804,1),MATCH(BI592,【参考】排出係数!$AL$798:$AO$798,1)),VLOOKUP(AU592,INDEX((係数_バス貨物_ガソリン,係数_バス貨物_CNG,係数_バス貨物_軽油,係数_バス貨物_メタノール,係数_バス貨物_LPG),MATCH(AY592,【参考】排出係数!$AI$4:$AI$671,1),1,BE592):INDEX((係数_バス貨物_ガソリン,係数_バス貨物_CNG,係数_バス貨物_軽油,係数_バス貨物_メタノール,係数_バス貨物_LPG),MATCH(AY592+1,【参考】排出係数!$AI$4:$AI$671,1)-1,5,BE592),5,FALSE)),IF(AND(BE592=3,LEFT(BF592,1)="1"),0.055,VLOOKUP(AU592,INDEX((係数_乗用_ガソリン,係数_乗用_CNG,係数_乗用_軽油,係数_乗用_メタノール,係数_乗用_LPG),1,1,BE592):INDEX((係数_乗用_ガソリン,係数_乗用_CNG,係数_乗用_軽油,係数_乗用_メタノール,係数_乗用_LPG),125,5,BE592),5,FALSE)))))</f>
        <v/>
      </c>
      <c r="AN592" s="461" t="str">
        <f t="shared" si="330"/>
        <v/>
      </c>
      <c r="AO592" s="462" t="str">
        <f t="shared" si="331"/>
        <v/>
      </c>
      <c r="AP592" s="463" t="str">
        <f t="shared" si="332"/>
        <v/>
      </c>
      <c r="AQ592" s="464"/>
      <c r="AR592" s="619"/>
      <c r="AS592" s="465" t="str">
        <f t="shared" si="334"/>
        <v/>
      </c>
      <c r="AT592" s="465" t="str">
        <f t="shared" si="335"/>
        <v/>
      </c>
      <c r="AU592" s="466" t="str">
        <f t="shared" si="336"/>
        <v/>
      </c>
      <c r="AV592" s="467" t="str">
        <f t="shared" si="337"/>
        <v/>
      </c>
      <c r="AW592" s="467" t="str">
        <f t="shared" si="338"/>
        <v/>
      </c>
      <c r="AX592" s="467" t="str">
        <f t="shared" si="339"/>
        <v/>
      </c>
      <c r="AY592" s="467" t="str">
        <f t="shared" si="340"/>
        <v/>
      </c>
      <c r="AZ592" s="467" t="str">
        <f t="shared" si="341"/>
        <v/>
      </c>
      <c r="BA592" s="468" t="str">
        <f>IF(AS592="","",IF(OR(AU592="",AU592="-"),"－",IF(OR(AZ592=8,AZ592=9),"",IF(OR(AW592=3,AW592=4,AW592=5,AW592=6),VLOOKUP(AU592,INDEX((係数_バス貨物_ガソリン,係数_バス貨物_CNG,係数_バス貨物_軽油,係数_バス貨物_メタノール,係数_バス貨物_LPG),MATCH(AY592,【参考】排出係数!$AI$4:$AI$671,1),1,BE592):INDEX((係数_バス貨物_ガソリン,係数_バス貨物_CNG,係数_バス貨物_軽油,係数_バス貨物_メタノール,係数_バス貨物_LPG),MATCH(AY592+1,【参考】排出係数!$AI$4:$AI$671,1)-1,5,BE592),2,FALSE),IF(OR(AW592=1,AW592=2),VLOOKUP(AU592,INDEX((係数_乗用_ガソリン,係数_乗用_CNG,係数_乗用_軽油,係数_乗用_メタノール,係数_乗用_LPG),1,1,BE592):INDEX((係数_乗用_ガソリン,係数_乗用_CNG,係数_乗用_軽油,係数_乗用_メタノール,係数_乗用_LPG),125,5,BE592),2,FALSE))))))</f>
        <v/>
      </c>
      <c r="BB592" s="468" t="str">
        <f>IF(T592="","",IF(OR(AU592="",AU592="-"),"－",IF(OR(AZ592=8,AZ592=9),"",IF(OR(AW592=3,AW592=4,AW592=5,AW592=6),VLOOKUP(AU592,INDEX((係数_バス貨物_ガソリン,係数_バス貨物_CNG,係数_バス貨物_軽油,係数_バス貨物_メタノール,係数_バス貨物_LPG),MATCH(AY592,【参考】排出係数!$AI$4:$AI$671,1),1,BE592):INDEX((係数_バス貨物_ガソリン,係数_バス貨物_CNG,係数_バス貨物_軽油,係数_バス貨物_メタノール,係数_バス貨物_LPG),MATCH(AY592+1,【参考】排出係数!$AI$4:$AI$671,1)-1,5,BE592),3,FALSE),IF(OR(AW592=1,AW592=2),VLOOKUP(AU592,INDEX((係数_乗用_ガソリン,係数_乗用_CNG,係数_乗用_軽油,係数_乗用_メタノール,係数_乗用_LPG),1,1,BE592):INDEX((係数_乗用_ガソリン,係数_乗用_CNG,係数_乗用_軽油,係数_乗用_メタノール,係数_乗用_LPG),125,5,BE592),3,FALSE))))))</f>
        <v/>
      </c>
      <c r="BC592" s="467" t="str">
        <f t="shared" si="342"/>
        <v/>
      </c>
      <c r="BD592" s="567" t="str">
        <f t="shared" si="343"/>
        <v/>
      </c>
      <c r="BE592" s="467" t="str">
        <f t="shared" si="344"/>
        <v/>
      </c>
      <c r="BF592" s="469" t="str">
        <f t="shared" ca="1" si="345"/>
        <v/>
      </c>
      <c r="BG592" s="469" t="str">
        <f t="shared" ca="1" si="346"/>
        <v/>
      </c>
      <c r="BH592" s="467" t="str">
        <f t="shared" si="347"/>
        <v/>
      </c>
      <c r="BI592" s="467" t="str">
        <f t="shared" ca="1" si="348"/>
        <v/>
      </c>
      <c r="BJ592" s="469" t="str">
        <f t="shared" si="349"/>
        <v/>
      </c>
      <c r="BK592" s="470" t="str">
        <f t="shared" si="333"/>
        <v/>
      </c>
      <c r="BL592" s="775" t="str">
        <f t="shared" si="350"/>
        <v/>
      </c>
      <c r="BM592" s="775" t="str">
        <f t="shared" si="351"/>
        <v/>
      </c>
    </row>
    <row r="593" spans="1:65">
      <c r="A593" s="473">
        <v>537</v>
      </c>
      <c r="B593" s="132"/>
      <c r="C593" s="332"/>
      <c r="D593" s="333"/>
      <c r="E593" s="333"/>
      <c r="F593" s="334"/>
      <c r="G593" s="337"/>
      <c r="H593" s="131"/>
      <c r="I593" s="337"/>
      <c r="J593" s="131"/>
      <c r="K593" s="458" t="str">
        <f t="shared" si="320"/>
        <v/>
      </c>
      <c r="L593" s="458">
        <f t="shared" si="321"/>
        <v>0</v>
      </c>
      <c r="M593" s="458">
        <f t="shared" si="322"/>
        <v>0</v>
      </c>
      <c r="N593" s="459" t="str">
        <f t="shared" si="283"/>
        <v/>
      </c>
      <c r="O593" s="459" t="str">
        <f t="shared" si="284"/>
        <v/>
      </c>
      <c r="P593" s="459" t="str">
        <f t="shared" si="285"/>
        <v/>
      </c>
      <c r="Q593" s="459" t="str">
        <f t="shared" si="286"/>
        <v/>
      </c>
      <c r="R593" s="459" t="str">
        <f t="shared" si="287"/>
        <v/>
      </c>
      <c r="S593" s="459" t="str">
        <f t="shared" si="288"/>
        <v/>
      </c>
      <c r="T593" s="566" t="str">
        <f t="shared" si="323"/>
        <v/>
      </c>
      <c r="U593" s="702"/>
      <c r="V593" s="132"/>
      <c r="W593" s="133"/>
      <c r="X593" s="134"/>
      <c r="Y593" s="135"/>
      <c r="Z593" s="137"/>
      <c r="AA593" s="136"/>
      <c r="AB593" s="566" t="str">
        <f t="shared" si="324"/>
        <v/>
      </c>
      <c r="AC593" s="568" t="str">
        <f t="shared" si="325"/>
        <v/>
      </c>
      <c r="AD593" s="137"/>
      <c r="AE593" s="137"/>
      <c r="AF593" s="138"/>
      <c r="AG593" s="138"/>
      <c r="AH593" s="592" t="str">
        <f t="shared" si="326"/>
        <v/>
      </c>
      <c r="AI593" s="592" t="str">
        <f t="shared" si="327"/>
        <v/>
      </c>
      <c r="AJ593" s="592" t="str">
        <f t="shared" si="328"/>
        <v/>
      </c>
      <c r="AK593" s="460" t="str">
        <f>IF(AU593="","",IF(OR(AZ593=8,AZ593=9),0,IF(OR(AW593=3,AW593=4,AW593=5,AW593=6),IF(LEFT(BF593,1)="1",INDEX(係数_NOX・PM低減,MATCH(AY593,【参考】排出係数!$AI$801:$AI$804,1),1),VLOOKUP(AU593,INDEX((係数_バス貨物_ガソリン,係数_バス貨物_CNG,係数_バス貨物_軽油,係数_バス貨物_メタノール,係数_バス貨物_LPG),MATCH(AY593,【参考】排出係数!$AI$4:$AI$671,1),1,BE593):INDEX((係数_バス貨物_ガソリン,係数_バス貨物_CNG,係数_バス貨物_軽油,係数_バス貨物_メタノール,係数_バス貨物_LPG),MATCH(AY593+1,【参考】排出係数!$AI$4:$AI$671,1)-1,5,BE593),4,FALSE)),IF(AND(BE593=3,LEFT(BF593,1)="1"),0.48,VLOOKUP(AU593,INDEX((係数_乗用_ガソリン,係数_乗用_CNG,係数_乗用_軽油,係数_乗用_メタノール,係数_乗用_LPG),1,1,BE593):INDEX((係数_乗用_ガソリン,係数_乗用_CNG,係数_乗用_軽油,係数_乗用_メタノール,係数_乗用_LPG),125,5,BE593),4,FALSE)))))</f>
        <v/>
      </c>
      <c r="AL593" s="461" t="str">
        <f t="shared" si="329"/>
        <v/>
      </c>
      <c r="AM593" s="460" t="str">
        <f>IF(AU593="","",IF(OR(AZ593=8,AZ593=9),0,IF(OR(AW593=3,AW593=4,AW593=5,AW593=6),IF(LEFT(BH593,1)="1",INDEX(係数_PM低減,MATCH(AY593,【参考】排出係数!$AI$801:$AI$804,1),MATCH(BI593,【参考】排出係数!$AL$798:$AO$798,1)),VLOOKUP(AU593,INDEX((係数_バス貨物_ガソリン,係数_バス貨物_CNG,係数_バス貨物_軽油,係数_バス貨物_メタノール,係数_バス貨物_LPG),MATCH(AY593,【参考】排出係数!$AI$4:$AI$671,1),1,BE593):INDEX((係数_バス貨物_ガソリン,係数_バス貨物_CNG,係数_バス貨物_軽油,係数_バス貨物_メタノール,係数_バス貨物_LPG),MATCH(AY593+1,【参考】排出係数!$AI$4:$AI$671,1)-1,5,BE593),5,FALSE)),IF(AND(BE593=3,LEFT(BF593,1)="1"),0.055,VLOOKUP(AU593,INDEX((係数_乗用_ガソリン,係数_乗用_CNG,係数_乗用_軽油,係数_乗用_メタノール,係数_乗用_LPG),1,1,BE593):INDEX((係数_乗用_ガソリン,係数_乗用_CNG,係数_乗用_軽油,係数_乗用_メタノール,係数_乗用_LPG),125,5,BE593),5,FALSE)))))</f>
        <v/>
      </c>
      <c r="AN593" s="461" t="str">
        <f t="shared" si="330"/>
        <v/>
      </c>
      <c r="AO593" s="462" t="str">
        <f t="shared" si="331"/>
        <v/>
      </c>
      <c r="AP593" s="463" t="str">
        <f t="shared" si="332"/>
        <v/>
      </c>
      <c r="AQ593" s="464"/>
      <c r="AR593" s="619"/>
      <c r="AS593" s="465" t="str">
        <f t="shared" si="334"/>
        <v/>
      </c>
      <c r="AT593" s="465" t="str">
        <f t="shared" si="335"/>
        <v/>
      </c>
      <c r="AU593" s="466" t="str">
        <f t="shared" si="336"/>
        <v/>
      </c>
      <c r="AV593" s="467" t="str">
        <f t="shared" si="337"/>
        <v/>
      </c>
      <c r="AW593" s="467" t="str">
        <f t="shared" si="338"/>
        <v/>
      </c>
      <c r="AX593" s="467" t="str">
        <f t="shared" si="339"/>
        <v/>
      </c>
      <c r="AY593" s="467" t="str">
        <f t="shared" si="340"/>
        <v/>
      </c>
      <c r="AZ593" s="467" t="str">
        <f t="shared" si="341"/>
        <v/>
      </c>
      <c r="BA593" s="468" t="str">
        <f>IF(AS593="","",IF(OR(AU593="",AU593="-"),"－",IF(OR(AZ593=8,AZ593=9),"",IF(OR(AW593=3,AW593=4,AW593=5,AW593=6),VLOOKUP(AU593,INDEX((係数_バス貨物_ガソリン,係数_バス貨物_CNG,係数_バス貨物_軽油,係数_バス貨物_メタノール,係数_バス貨物_LPG),MATCH(AY593,【参考】排出係数!$AI$4:$AI$671,1),1,BE593):INDEX((係数_バス貨物_ガソリン,係数_バス貨物_CNG,係数_バス貨物_軽油,係数_バス貨物_メタノール,係数_バス貨物_LPG),MATCH(AY593+1,【参考】排出係数!$AI$4:$AI$671,1)-1,5,BE593),2,FALSE),IF(OR(AW593=1,AW593=2),VLOOKUP(AU593,INDEX((係数_乗用_ガソリン,係数_乗用_CNG,係数_乗用_軽油,係数_乗用_メタノール,係数_乗用_LPG),1,1,BE593):INDEX((係数_乗用_ガソリン,係数_乗用_CNG,係数_乗用_軽油,係数_乗用_メタノール,係数_乗用_LPG),125,5,BE593),2,FALSE))))))</f>
        <v/>
      </c>
      <c r="BB593" s="468" t="str">
        <f>IF(T593="","",IF(OR(AU593="",AU593="-"),"－",IF(OR(AZ593=8,AZ593=9),"",IF(OR(AW593=3,AW593=4,AW593=5,AW593=6),VLOOKUP(AU593,INDEX((係数_バス貨物_ガソリン,係数_バス貨物_CNG,係数_バス貨物_軽油,係数_バス貨物_メタノール,係数_バス貨物_LPG),MATCH(AY593,【参考】排出係数!$AI$4:$AI$671,1),1,BE593):INDEX((係数_バス貨物_ガソリン,係数_バス貨物_CNG,係数_バス貨物_軽油,係数_バス貨物_メタノール,係数_バス貨物_LPG),MATCH(AY593+1,【参考】排出係数!$AI$4:$AI$671,1)-1,5,BE593),3,FALSE),IF(OR(AW593=1,AW593=2),VLOOKUP(AU593,INDEX((係数_乗用_ガソリン,係数_乗用_CNG,係数_乗用_軽油,係数_乗用_メタノール,係数_乗用_LPG),1,1,BE593):INDEX((係数_乗用_ガソリン,係数_乗用_CNG,係数_乗用_軽油,係数_乗用_メタノール,係数_乗用_LPG),125,5,BE593),3,FALSE))))))</f>
        <v/>
      </c>
      <c r="BC593" s="467" t="str">
        <f t="shared" si="342"/>
        <v/>
      </c>
      <c r="BD593" s="567" t="str">
        <f t="shared" si="343"/>
        <v/>
      </c>
      <c r="BE593" s="467" t="str">
        <f t="shared" si="344"/>
        <v/>
      </c>
      <c r="BF593" s="469" t="str">
        <f t="shared" ca="1" si="345"/>
        <v/>
      </c>
      <c r="BG593" s="469" t="str">
        <f t="shared" ca="1" si="346"/>
        <v/>
      </c>
      <c r="BH593" s="467" t="str">
        <f t="shared" si="347"/>
        <v/>
      </c>
      <c r="BI593" s="467" t="str">
        <f t="shared" ca="1" si="348"/>
        <v/>
      </c>
      <c r="BJ593" s="469" t="str">
        <f t="shared" si="349"/>
        <v/>
      </c>
      <c r="BK593" s="470" t="str">
        <f t="shared" si="333"/>
        <v/>
      </c>
      <c r="BL593" s="775" t="str">
        <f t="shared" si="350"/>
        <v/>
      </c>
      <c r="BM593" s="775" t="str">
        <f t="shared" si="351"/>
        <v/>
      </c>
    </row>
    <row r="594" spans="1:65">
      <c r="A594" s="473">
        <v>538</v>
      </c>
      <c r="B594" s="132"/>
      <c r="C594" s="332"/>
      <c r="D594" s="333"/>
      <c r="E594" s="333"/>
      <c r="F594" s="334"/>
      <c r="G594" s="337"/>
      <c r="H594" s="131"/>
      <c r="I594" s="337"/>
      <c r="J594" s="131"/>
      <c r="K594" s="458" t="str">
        <f t="shared" si="320"/>
        <v/>
      </c>
      <c r="L594" s="458">
        <f t="shared" si="321"/>
        <v>0</v>
      </c>
      <c r="M594" s="458">
        <f t="shared" si="322"/>
        <v>0</v>
      </c>
      <c r="N594" s="459" t="str">
        <f t="shared" si="283"/>
        <v/>
      </c>
      <c r="O594" s="459" t="str">
        <f t="shared" si="284"/>
        <v/>
      </c>
      <c r="P594" s="459" t="str">
        <f t="shared" si="285"/>
        <v/>
      </c>
      <c r="Q594" s="459" t="str">
        <f t="shared" si="286"/>
        <v/>
      </c>
      <c r="R594" s="459" t="str">
        <f t="shared" si="287"/>
        <v/>
      </c>
      <c r="S594" s="459" t="str">
        <f t="shared" si="288"/>
        <v/>
      </c>
      <c r="T594" s="566" t="str">
        <f t="shared" si="323"/>
        <v/>
      </c>
      <c r="U594" s="702"/>
      <c r="V594" s="132"/>
      <c r="W594" s="133"/>
      <c r="X594" s="134"/>
      <c r="Y594" s="135"/>
      <c r="Z594" s="137"/>
      <c r="AA594" s="136"/>
      <c r="AB594" s="566" t="str">
        <f t="shared" si="324"/>
        <v/>
      </c>
      <c r="AC594" s="568" t="str">
        <f t="shared" si="325"/>
        <v/>
      </c>
      <c r="AD594" s="137"/>
      <c r="AE594" s="137"/>
      <c r="AF594" s="138"/>
      <c r="AG594" s="138"/>
      <c r="AH594" s="592" t="str">
        <f t="shared" si="326"/>
        <v/>
      </c>
      <c r="AI594" s="592" t="str">
        <f t="shared" si="327"/>
        <v/>
      </c>
      <c r="AJ594" s="592" t="str">
        <f t="shared" si="328"/>
        <v/>
      </c>
      <c r="AK594" s="460" t="str">
        <f>IF(AU594="","",IF(OR(AZ594=8,AZ594=9),0,IF(OR(AW594=3,AW594=4,AW594=5,AW594=6),IF(LEFT(BF594,1)="1",INDEX(係数_NOX・PM低減,MATCH(AY594,【参考】排出係数!$AI$801:$AI$804,1),1),VLOOKUP(AU594,INDEX((係数_バス貨物_ガソリン,係数_バス貨物_CNG,係数_バス貨物_軽油,係数_バス貨物_メタノール,係数_バス貨物_LPG),MATCH(AY594,【参考】排出係数!$AI$4:$AI$671,1),1,BE594):INDEX((係数_バス貨物_ガソリン,係数_バス貨物_CNG,係数_バス貨物_軽油,係数_バス貨物_メタノール,係数_バス貨物_LPG),MATCH(AY594+1,【参考】排出係数!$AI$4:$AI$671,1)-1,5,BE594),4,FALSE)),IF(AND(BE594=3,LEFT(BF594,1)="1"),0.48,VLOOKUP(AU594,INDEX((係数_乗用_ガソリン,係数_乗用_CNG,係数_乗用_軽油,係数_乗用_メタノール,係数_乗用_LPG),1,1,BE594):INDEX((係数_乗用_ガソリン,係数_乗用_CNG,係数_乗用_軽油,係数_乗用_メタノール,係数_乗用_LPG),125,5,BE594),4,FALSE)))))</f>
        <v/>
      </c>
      <c r="AL594" s="461" t="str">
        <f t="shared" si="329"/>
        <v/>
      </c>
      <c r="AM594" s="460" t="str">
        <f>IF(AU594="","",IF(OR(AZ594=8,AZ594=9),0,IF(OR(AW594=3,AW594=4,AW594=5,AW594=6),IF(LEFT(BH594,1)="1",INDEX(係数_PM低減,MATCH(AY594,【参考】排出係数!$AI$801:$AI$804,1),MATCH(BI594,【参考】排出係数!$AL$798:$AO$798,1)),VLOOKUP(AU594,INDEX((係数_バス貨物_ガソリン,係数_バス貨物_CNG,係数_バス貨物_軽油,係数_バス貨物_メタノール,係数_バス貨物_LPG),MATCH(AY594,【参考】排出係数!$AI$4:$AI$671,1),1,BE594):INDEX((係数_バス貨物_ガソリン,係数_バス貨物_CNG,係数_バス貨物_軽油,係数_バス貨物_メタノール,係数_バス貨物_LPG),MATCH(AY594+1,【参考】排出係数!$AI$4:$AI$671,1)-1,5,BE594),5,FALSE)),IF(AND(BE594=3,LEFT(BF594,1)="1"),0.055,VLOOKUP(AU594,INDEX((係数_乗用_ガソリン,係数_乗用_CNG,係数_乗用_軽油,係数_乗用_メタノール,係数_乗用_LPG),1,1,BE594):INDEX((係数_乗用_ガソリン,係数_乗用_CNG,係数_乗用_軽油,係数_乗用_メタノール,係数_乗用_LPG),125,5,BE594),5,FALSE)))))</f>
        <v/>
      </c>
      <c r="AN594" s="461" t="str">
        <f t="shared" si="330"/>
        <v/>
      </c>
      <c r="AO594" s="462" t="str">
        <f t="shared" si="331"/>
        <v/>
      </c>
      <c r="AP594" s="463" t="str">
        <f t="shared" si="332"/>
        <v/>
      </c>
      <c r="AQ594" s="464"/>
      <c r="AR594" s="619"/>
      <c r="AS594" s="465" t="str">
        <f t="shared" si="334"/>
        <v/>
      </c>
      <c r="AT594" s="465" t="str">
        <f t="shared" si="335"/>
        <v/>
      </c>
      <c r="AU594" s="466" t="str">
        <f t="shared" si="336"/>
        <v/>
      </c>
      <c r="AV594" s="467" t="str">
        <f t="shared" si="337"/>
        <v/>
      </c>
      <c r="AW594" s="467" t="str">
        <f t="shared" si="338"/>
        <v/>
      </c>
      <c r="AX594" s="467" t="str">
        <f t="shared" si="339"/>
        <v/>
      </c>
      <c r="AY594" s="467" t="str">
        <f t="shared" si="340"/>
        <v/>
      </c>
      <c r="AZ594" s="467" t="str">
        <f t="shared" si="341"/>
        <v/>
      </c>
      <c r="BA594" s="468" t="str">
        <f>IF(AS594="","",IF(OR(AU594="",AU594="-"),"－",IF(OR(AZ594=8,AZ594=9),"",IF(OR(AW594=3,AW594=4,AW594=5,AW594=6),VLOOKUP(AU594,INDEX((係数_バス貨物_ガソリン,係数_バス貨物_CNG,係数_バス貨物_軽油,係数_バス貨物_メタノール,係数_バス貨物_LPG),MATCH(AY594,【参考】排出係数!$AI$4:$AI$671,1),1,BE594):INDEX((係数_バス貨物_ガソリン,係数_バス貨物_CNG,係数_バス貨物_軽油,係数_バス貨物_メタノール,係数_バス貨物_LPG),MATCH(AY594+1,【参考】排出係数!$AI$4:$AI$671,1)-1,5,BE594),2,FALSE),IF(OR(AW594=1,AW594=2),VLOOKUP(AU594,INDEX((係数_乗用_ガソリン,係数_乗用_CNG,係数_乗用_軽油,係数_乗用_メタノール,係数_乗用_LPG),1,1,BE594):INDEX((係数_乗用_ガソリン,係数_乗用_CNG,係数_乗用_軽油,係数_乗用_メタノール,係数_乗用_LPG),125,5,BE594),2,FALSE))))))</f>
        <v/>
      </c>
      <c r="BB594" s="468" t="str">
        <f>IF(T594="","",IF(OR(AU594="",AU594="-"),"－",IF(OR(AZ594=8,AZ594=9),"",IF(OR(AW594=3,AW594=4,AW594=5,AW594=6),VLOOKUP(AU594,INDEX((係数_バス貨物_ガソリン,係数_バス貨物_CNG,係数_バス貨物_軽油,係数_バス貨物_メタノール,係数_バス貨物_LPG),MATCH(AY594,【参考】排出係数!$AI$4:$AI$671,1),1,BE594):INDEX((係数_バス貨物_ガソリン,係数_バス貨物_CNG,係数_バス貨物_軽油,係数_バス貨物_メタノール,係数_バス貨物_LPG),MATCH(AY594+1,【参考】排出係数!$AI$4:$AI$671,1)-1,5,BE594),3,FALSE),IF(OR(AW594=1,AW594=2),VLOOKUP(AU594,INDEX((係数_乗用_ガソリン,係数_乗用_CNG,係数_乗用_軽油,係数_乗用_メタノール,係数_乗用_LPG),1,1,BE594):INDEX((係数_乗用_ガソリン,係数_乗用_CNG,係数_乗用_軽油,係数_乗用_メタノール,係数_乗用_LPG),125,5,BE594),3,FALSE))))))</f>
        <v/>
      </c>
      <c r="BC594" s="467" t="str">
        <f t="shared" si="342"/>
        <v/>
      </c>
      <c r="BD594" s="567" t="str">
        <f t="shared" si="343"/>
        <v/>
      </c>
      <c r="BE594" s="467" t="str">
        <f t="shared" si="344"/>
        <v/>
      </c>
      <c r="BF594" s="469" t="str">
        <f t="shared" ca="1" si="345"/>
        <v/>
      </c>
      <c r="BG594" s="469" t="str">
        <f t="shared" ca="1" si="346"/>
        <v/>
      </c>
      <c r="BH594" s="467" t="str">
        <f t="shared" si="347"/>
        <v/>
      </c>
      <c r="BI594" s="467" t="str">
        <f t="shared" ca="1" si="348"/>
        <v/>
      </c>
      <c r="BJ594" s="469" t="str">
        <f t="shared" si="349"/>
        <v/>
      </c>
      <c r="BK594" s="470" t="str">
        <f t="shared" si="333"/>
        <v/>
      </c>
      <c r="BL594" s="775" t="str">
        <f t="shared" si="350"/>
        <v/>
      </c>
      <c r="BM594" s="775" t="str">
        <f t="shared" si="351"/>
        <v/>
      </c>
    </row>
    <row r="595" spans="1:65">
      <c r="A595" s="473">
        <v>539</v>
      </c>
      <c r="B595" s="132"/>
      <c r="C595" s="332"/>
      <c r="D595" s="333"/>
      <c r="E595" s="333"/>
      <c r="F595" s="334"/>
      <c r="G595" s="337"/>
      <c r="H595" s="131"/>
      <c r="I595" s="337"/>
      <c r="J595" s="131"/>
      <c r="K595" s="458" t="str">
        <f t="shared" si="320"/>
        <v/>
      </c>
      <c r="L595" s="458">
        <f t="shared" si="321"/>
        <v>0</v>
      </c>
      <c r="M595" s="458">
        <f t="shared" si="322"/>
        <v>0</v>
      </c>
      <c r="N595" s="459" t="str">
        <f t="shared" si="283"/>
        <v/>
      </c>
      <c r="O595" s="459" t="str">
        <f t="shared" si="284"/>
        <v/>
      </c>
      <c r="P595" s="459" t="str">
        <f t="shared" si="285"/>
        <v/>
      </c>
      <c r="Q595" s="459" t="str">
        <f t="shared" si="286"/>
        <v/>
      </c>
      <c r="R595" s="459" t="str">
        <f t="shared" si="287"/>
        <v/>
      </c>
      <c r="S595" s="459" t="str">
        <f t="shared" si="288"/>
        <v/>
      </c>
      <c r="T595" s="566" t="str">
        <f t="shared" si="323"/>
        <v/>
      </c>
      <c r="U595" s="702"/>
      <c r="V595" s="132"/>
      <c r="W595" s="133"/>
      <c r="X595" s="134"/>
      <c r="Y595" s="135"/>
      <c r="Z595" s="137"/>
      <c r="AA595" s="136"/>
      <c r="AB595" s="566" t="str">
        <f t="shared" si="324"/>
        <v/>
      </c>
      <c r="AC595" s="568" t="str">
        <f t="shared" si="325"/>
        <v/>
      </c>
      <c r="AD595" s="137"/>
      <c r="AE595" s="137"/>
      <c r="AF595" s="138"/>
      <c r="AG595" s="138"/>
      <c r="AH595" s="592" t="str">
        <f t="shared" si="326"/>
        <v/>
      </c>
      <c r="AI595" s="592" t="str">
        <f t="shared" si="327"/>
        <v/>
      </c>
      <c r="AJ595" s="592" t="str">
        <f t="shared" si="328"/>
        <v/>
      </c>
      <c r="AK595" s="460" t="str">
        <f>IF(AU595="","",IF(OR(AZ595=8,AZ595=9),0,IF(OR(AW595=3,AW595=4,AW595=5,AW595=6),IF(LEFT(BF595,1)="1",INDEX(係数_NOX・PM低減,MATCH(AY595,【参考】排出係数!$AI$801:$AI$804,1),1),VLOOKUP(AU595,INDEX((係数_バス貨物_ガソリン,係数_バス貨物_CNG,係数_バス貨物_軽油,係数_バス貨物_メタノール,係数_バス貨物_LPG),MATCH(AY595,【参考】排出係数!$AI$4:$AI$671,1),1,BE595):INDEX((係数_バス貨物_ガソリン,係数_バス貨物_CNG,係数_バス貨物_軽油,係数_バス貨物_メタノール,係数_バス貨物_LPG),MATCH(AY595+1,【参考】排出係数!$AI$4:$AI$671,1)-1,5,BE595),4,FALSE)),IF(AND(BE595=3,LEFT(BF595,1)="1"),0.48,VLOOKUP(AU595,INDEX((係数_乗用_ガソリン,係数_乗用_CNG,係数_乗用_軽油,係数_乗用_メタノール,係数_乗用_LPG),1,1,BE595):INDEX((係数_乗用_ガソリン,係数_乗用_CNG,係数_乗用_軽油,係数_乗用_メタノール,係数_乗用_LPG),125,5,BE595),4,FALSE)))))</f>
        <v/>
      </c>
      <c r="AL595" s="461" t="str">
        <f t="shared" si="329"/>
        <v/>
      </c>
      <c r="AM595" s="460" t="str">
        <f>IF(AU595="","",IF(OR(AZ595=8,AZ595=9),0,IF(OR(AW595=3,AW595=4,AW595=5,AW595=6),IF(LEFT(BH595,1)="1",INDEX(係数_PM低減,MATCH(AY595,【参考】排出係数!$AI$801:$AI$804,1),MATCH(BI595,【参考】排出係数!$AL$798:$AO$798,1)),VLOOKUP(AU595,INDEX((係数_バス貨物_ガソリン,係数_バス貨物_CNG,係数_バス貨物_軽油,係数_バス貨物_メタノール,係数_バス貨物_LPG),MATCH(AY595,【参考】排出係数!$AI$4:$AI$671,1),1,BE595):INDEX((係数_バス貨物_ガソリン,係数_バス貨物_CNG,係数_バス貨物_軽油,係数_バス貨物_メタノール,係数_バス貨物_LPG),MATCH(AY595+1,【参考】排出係数!$AI$4:$AI$671,1)-1,5,BE595),5,FALSE)),IF(AND(BE595=3,LEFT(BF595,1)="1"),0.055,VLOOKUP(AU595,INDEX((係数_乗用_ガソリン,係数_乗用_CNG,係数_乗用_軽油,係数_乗用_メタノール,係数_乗用_LPG),1,1,BE595):INDEX((係数_乗用_ガソリン,係数_乗用_CNG,係数_乗用_軽油,係数_乗用_メタノール,係数_乗用_LPG),125,5,BE595),5,FALSE)))))</f>
        <v/>
      </c>
      <c r="AN595" s="461" t="str">
        <f t="shared" si="330"/>
        <v/>
      </c>
      <c r="AO595" s="462" t="str">
        <f t="shared" si="331"/>
        <v/>
      </c>
      <c r="AP595" s="463" t="str">
        <f t="shared" si="332"/>
        <v/>
      </c>
      <c r="AQ595" s="464"/>
      <c r="AR595" s="619"/>
      <c r="AS595" s="465" t="str">
        <f t="shared" si="334"/>
        <v/>
      </c>
      <c r="AT595" s="465" t="str">
        <f t="shared" si="335"/>
        <v/>
      </c>
      <c r="AU595" s="466" t="str">
        <f t="shared" si="336"/>
        <v/>
      </c>
      <c r="AV595" s="467" t="str">
        <f t="shared" si="337"/>
        <v/>
      </c>
      <c r="AW595" s="467" t="str">
        <f t="shared" si="338"/>
        <v/>
      </c>
      <c r="AX595" s="467" t="str">
        <f t="shared" si="339"/>
        <v/>
      </c>
      <c r="AY595" s="467" t="str">
        <f t="shared" si="340"/>
        <v/>
      </c>
      <c r="AZ595" s="467" t="str">
        <f t="shared" si="341"/>
        <v/>
      </c>
      <c r="BA595" s="468" t="str">
        <f>IF(AS595="","",IF(OR(AU595="",AU595="-"),"－",IF(OR(AZ595=8,AZ595=9),"",IF(OR(AW595=3,AW595=4,AW595=5,AW595=6),VLOOKUP(AU595,INDEX((係数_バス貨物_ガソリン,係数_バス貨物_CNG,係数_バス貨物_軽油,係数_バス貨物_メタノール,係数_バス貨物_LPG),MATCH(AY595,【参考】排出係数!$AI$4:$AI$671,1),1,BE595):INDEX((係数_バス貨物_ガソリン,係数_バス貨物_CNG,係数_バス貨物_軽油,係数_バス貨物_メタノール,係数_バス貨物_LPG),MATCH(AY595+1,【参考】排出係数!$AI$4:$AI$671,1)-1,5,BE595),2,FALSE),IF(OR(AW595=1,AW595=2),VLOOKUP(AU595,INDEX((係数_乗用_ガソリン,係数_乗用_CNG,係数_乗用_軽油,係数_乗用_メタノール,係数_乗用_LPG),1,1,BE595):INDEX((係数_乗用_ガソリン,係数_乗用_CNG,係数_乗用_軽油,係数_乗用_メタノール,係数_乗用_LPG),125,5,BE595),2,FALSE))))))</f>
        <v/>
      </c>
      <c r="BB595" s="468" t="str">
        <f>IF(T595="","",IF(OR(AU595="",AU595="-"),"－",IF(OR(AZ595=8,AZ595=9),"",IF(OR(AW595=3,AW595=4,AW595=5,AW595=6),VLOOKUP(AU595,INDEX((係数_バス貨物_ガソリン,係数_バス貨物_CNG,係数_バス貨物_軽油,係数_バス貨物_メタノール,係数_バス貨物_LPG),MATCH(AY595,【参考】排出係数!$AI$4:$AI$671,1),1,BE595):INDEX((係数_バス貨物_ガソリン,係数_バス貨物_CNG,係数_バス貨物_軽油,係数_バス貨物_メタノール,係数_バス貨物_LPG),MATCH(AY595+1,【参考】排出係数!$AI$4:$AI$671,1)-1,5,BE595),3,FALSE),IF(OR(AW595=1,AW595=2),VLOOKUP(AU595,INDEX((係数_乗用_ガソリン,係数_乗用_CNG,係数_乗用_軽油,係数_乗用_メタノール,係数_乗用_LPG),1,1,BE595):INDEX((係数_乗用_ガソリン,係数_乗用_CNG,係数_乗用_軽油,係数_乗用_メタノール,係数_乗用_LPG),125,5,BE595),3,FALSE))))))</f>
        <v/>
      </c>
      <c r="BC595" s="467" t="str">
        <f t="shared" si="342"/>
        <v/>
      </c>
      <c r="BD595" s="567" t="str">
        <f t="shared" si="343"/>
        <v/>
      </c>
      <c r="BE595" s="467" t="str">
        <f t="shared" si="344"/>
        <v/>
      </c>
      <c r="BF595" s="469" t="str">
        <f t="shared" ca="1" si="345"/>
        <v/>
      </c>
      <c r="BG595" s="469" t="str">
        <f t="shared" ca="1" si="346"/>
        <v/>
      </c>
      <c r="BH595" s="467" t="str">
        <f t="shared" si="347"/>
        <v/>
      </c>
      <c r="BI595" s="467" t="str">
        <f t="shared" ca="1" si="348"/>
        <v/>
      </c>
      <c r="BJ595" s="469" t="str">
        <f t="shared" si="349"/>
        <v/>
      </c>
      <c r="BK595" s="470" t="str">
        <f t="shared" si="333"/>
        <v/>
      </c>
      <c r="BL595" s="775" t="str">
        <f t="shared" si="350"/>
        <v/>
      </c>
      <c r="BM595" s="775" t="str">
        <f t="shared" si="351"/>
        <v/>
      </c>
    </row>
    <row r="596" spans="1:65">
      <c r="A596" s="473">
        <v>540</v>
      </c>
      <c r="B596" s="132"/>
      <c r="C596" s="332"/>
      <c r="D596" s="333"/>
      <c r="E596" s="333"/>
      <c r="F596" s="334"/>
      <c r="G596" s="337"/>
      <c r="H596" s="131"/>
      <c r="I596" s="337"/>
      <c r="J596" s="131"/>
      <c r="K596" s="458" t="str">
        <f t="shared" si="320"/>
        <v/>
      </c>
      <c r="L596" s="458">
        <f t="shared" si="321"/>
        <v>0</v>
      </c>
      <c r="M596" s="458">
        <f t="shared" si="322"/>
        <v>0</v>
      </c>
      <c r="N596" s="459" t="str">
        <f t="shared" si="283"/>
        <v/>
      </c>
      <c r="O596" s="459" t="str">
        <f t="shared" si="284"/>
        <v/>
      </c>
      <c r="P596" s="459" t="str">
        <f t="shared" si="285"/>
        <v/>
      </c>
      <c r="Q596" s="459" t="str">
        <f t="shared" si="286"/>
        <v/>
      </c>
      <c r="R596" s="459" t="str">
        <f t="shared" si="287"/>
        <v/>
      </c>
      <c r="S596" s="459" t="str">
        <f t="shared" si="288"/>
        <v/>
      </c>
      <c r="T596" s="566" t="str">
        <f t="shared" si="323"/>
        <v/>
      </c>
      <c r="U596" s="702"/>
      <c r="V596" s="132"/>
      <c r="W596" s="133"/>
      <c r="X596" s="134"/>
      <c r="Y596" s="135"/>
      <c r="Z596" s="137"/>
      <c r="AA596" s="136"/>
      <c r="AB596" s="566" t="str">
        <f t="shared" si="324"/>
        <v/>
      </c>
      <c r="AC596" s="568" t="str">
        <f t="shared" si="325"/>
        <v/>
      </c>
      <c r="AD596" s="137"/>
      <c r="AE596" s="137"/>
      <c r="AF596" s="138"/>
      <c r="AG596" s="138"/>
      <c r="AH596" s="592" t="str">
        <f t="shared" si="326"/>
        <v/>
      </c>
      <c r="AI596" s="592" t="str">
        <f t="shared" si="327"/>
        <v/>
      </c>
      <c r="AJ596" s="592" t="str">
        <f t="shared" si="328"/>
        <v/>
      </c>
      <c r="AK596" s="460" t="str">
        <f>IF(AU596="","",IF(OR(AZ596=8,AZ596=9),0,IF(OR(AW596=3,AW596=4,AW596=5,AW596=6),IF(LEFT(BF596,1)="1",INDEX(係数_NOX・PM低減,MATCH(AY596,【参考】排出係数!$AI$801:$AI$804,1),1),VLOOKUP(AU596,INDEX((係数_バス貨物_ガソリン,係数_バス貨物_CNG,係数_バス貨物_軽油,係数_バス貨物_メタノール,係数_バス貨物_LPG),MATCH(AY596,【参考】排出係数!$AI$4:$AI$671,1),1,BE596):INDEX((係数_バス貨物_ガソリン,係数_バス貨物_CNG,係数_バス貨物_軽油,係数_バス貨物_メタノール,係数_バス貨物_LPG),MATCH(AY596+1,【参考】排出係数!$AI$4:$AI$671,1)-1,5,BE596),4,FALSE)),IF(AND(BE596=3,LEFT(BF596,1)="1"),0.48,VLOOKUP(AU596,INDEX((係数_乗用_ガソリン,係数_乗用_CNG,係数_乗用_軽油,係数_乗用_メタノール,係数_乗用_LPG),1,1,BE596):INDEX((係数_乗用_ガソリン,係数_乗用_CNG,係数_乗用_軽油,係数_乗用_メタノール,係数_乗用_LPG),125,5,BE596),4,FALSE)))))</f>
        <v/>
      </c>
      <c r="AL596" s="461" t="str">
        <f t="shared" si="329"/>
        <v/>
      </c>
      <c r="AM596" s="460" t="str">
        <f>IF(AU596="","",IF(OR(AZ596=8,AZ596=9),0,IF(OR(AW596=3,AW596=4,AW596=5,AW596=6),IF(LEFT(BH596,1)="1",INDEX(係数_PM低減,MATCH(AY596,【参考】排出係数!$AI$801:$AI$804,1),MATCH(BI596,【参考】排出係数!$AL$798:$AO$798,1)),VLOOKUP(AU596,INDEX((係数_バス貨物_ガソリン,係数_バス貨物_CNG,係数_バス貨物_軽油,係数_バス貨物_メタノール,係数_バス貨物_LPG),MATCH(AY596,【参考】排出係数!$AI$4:$AI$671,1),1,BE596):INDEX((係数_バス貨物_ガソリン,係数_バス貨物_CNG,係数_バス貨物_軽油,係数_バス貨物_メタノール,係数_バス貨物_LPG),MATCH(AY596+1,【参考】排出係数!$AI$4:$AI$671,1)-1,5,BE596),5,FALSE)),IF(AND(BE596=3,LEFT(BF596,1)="1"),0.055,VLOOKUP(AU596,INDEX((係数_乗用_ガソリン,係数_乗用_CNG,係数_乗用_軽油,係数_乗用_メタノール,係数_乗用_LPG),1,1,BE596):INDEX((係数_乗用_ガソリン,係数_乗用_CNG,係数_乗用_軽油,係数_乗用_メタノール,係数_乗用_LPG),125,5,BE596),5,FALSE)))))</f>
        <v/>
      </c>
      <c r="AN596" s="461" t="str">
        <f t="shared" si="330"/>
        <v/>
      </c>
      <c r="AO596" s="462" t="str">
        <f t="shared" si="331"/>
        <v/>
      </c>
      <c r="AP596" s="463" t="str">
        <f t="shared" si="332"/>
        <v/>
      </c>
      <c r="AQ596" s="464"/>
      <c r="AR596" s="619"/>
      <c r="AS596" s="465" t="str">
        <f t="shared" si="334"/>
        <v/>
      </c>
      <c r="AT596" s="465" t="str">
        <f t="shared" si="335"/>
        <v/>
      </c>
      <c r="AU596" s="466" t="str">
        <f t="shared" si="336"/>
        <v/>
      </c>
      <c r="AV596" s="467" t="str">
        <f t="shared" si="337"/>
        <v/>
      </c>
      <c r="AW596" s="467" t="str">
        <f t="shared" si="338"/>
        <v/>
      </c>
      <c r="AX596" s="467" t="str">
        <f t="shared" si="339"/>
        <v/>
      </c>
      <c r="AY596" s="467" t="str">
        <f t="shared" si="340"/>
        <v/>
      </c>
      <c r="AZ596" s="467" t="str">
        <f t="shared" si="341"/>
        <v/>
      </c>
      <c r="BA596" s="468" t="str">
        <f>IF(AS596="","",IF(OR(AU596="",AU596="-"),"－",IF(OR(AZ596=8,AZ596=9),"",IF(OR(AW596=3,AW596=4,AW596=5,AW596=6),VLOOKUP(AU596,INDEX((係数_バス貨物_ガソリン,係数_バス貨物_CNG,係数_バス貨物_軽油,係数_バス貨物_メタノール,係数_バス貨物_LPG),MATCH(AY596,【参考】排出係数!$AI$4:$AI$671,1),1,BE596):INDEX((係数_バス貨物_ガソリン,係数_バス貨物_CNG,係数_バス貨物_軽油,係数_バス貨物_メタノール,係数_バス貨物_LPG),MATCH(AY596+1,【参考】排出係数!$AI$4:$AI$671,1)-1,5,BE596),2,FALSE),IF(OR(AW596=1,AW596=2),VLOOKUP(AU596,INDEX((係数_乗用_ガソリン,係数_乗用_CNG,係数_乗用_軽油,係数_乗用_メタノール,係数_乗用_LPG),1,1,BE596):INDEX((係数_乗用_ガソリン,係数_乗用_CNG,係数_乗用_軽油,係数_乗用_メタノール,係数_乗用_LPG),125,5,BE596),2,FALSE))))))</f>
        <v/>
      </c>
      <c r="BB596" s="468" t="str">
        <f>IF(T596="","",IF(OR(AU596="",AU596="-"),"－",IF(OR(AZ596=8,AZ596=9),"",IF(OR(AW596=3,AW596=4,AW596=5,AW596=6),VLOOKUP(AU596,INDEX((係数_バス貨物_ガソリン,係数_バス貨物_CNG,係数_バス貨物_軽油,係数_バス貨物_メタノール,係数_バス貨物_LPG),MATCH(AY596,【参考】排出係数!$AI$4:$AI$671,1),1,BE596):INDEX((係数_バス貨物_ガソリン,係数_バス貨物_CNG,係数_バス貨物_軽油,係数_バス貨物_メタノール,係数_バス貨物_LPG),MATCH(AY596+1,【参考】排出係数!$AI$4:$AI$671,1)-1,5,BE596),3,FALSE),IF(OR(AW596=1,AW596=2),VLOOKUP(AU596,INDEX((係数_乗用_ガソリン,係数_乗用_CNG,係数_乗用_軽油,係数_乗用_メタノール,係数_乗用_LPG),1,1,BE596):INDEX((係数_乗用_ガソリン,係数_乗用_CNG,係数_乗用_軽油,係数_乗用_メタノール,係数_乗用_LPG),125,5,BE596),3,FALSE))))))</f>
        <v/>
      </c>
      <c r="BC596" s="467" t="str">
        <f t="shared" si="342"/>
        <v/>
      </c>
      <c r="BD596" s="567" t="str">
        <f t="shared" si="343"/>
        <v/>
      </c>
      <c r="BE596" s="467" t="str">
        <f t="shared" si="344"/>
        <v/>
      </c>
      <c r="BF596" s="469" t="str">
        <f t="shared" ca="1" si="345"/>
        <v/>
      </c>
      <c r="BG596" s="469" t="str">
        <f t="shared" ca="1" si="346"/>
        <v/>
      </c>
      <c r="BH596" s="467" t="str">
        <f t="shared" si="347"/>
        <v/>
      </c>
      <c r="BI596" s="467" t="str">
        <f t="shared" ca="1" si="348"/>
        <v/>
      </c>
      <c r="BJ596" s="469" t="str">
        <f t="shared" si="349"/>
        <v/>
      </c>
      <c r="BK596" s="470" t="str">
        <f t="shared" si="333"/>
        <v/>
      </c>
      <c r="BL596" s="775" t="str">
        <f t="shared" si="350"/>
        <v/>
      </c>
      <c r="BM596" s="775" t="str">
        <f t="shared" si="351"/>
        <v/>
      </c>
    </row>
    <row r="597" spans="1:65">
      <c r="A597" s="473">
        <v>541</v>
      </c>
      <c r="B597" s="132"/>
      <c r="C597" s="332"/>
      <c r="D597" s="333"/>
      <c r="E597" s="333"/>
      <c r="F597" s="334"/>
      <c r="G597" s="337"/>
      <c r="H597" s="131"/>
      <c r="I597" s="337"/>
      <c r="J597" s="131"/>
      <c r="K597" s="458" t="str">
        <f t="shared" si="320"/>
        <v/>
      </c>
      <c r="L597" s="458">
        <f t="shared" si="321"/>
        <v>0</v>
      </c>
      <c r="M597" s="458">
        <f t="shared" si="322"/>
        <v>0</v>
      </c>
      <c r="N597" s="459" t="str">
        <f t="shared" si="283"/>
        <v/>
      </c>
      <c r="O597" s="459" t="str">
        <f t="shared" si="284"/>
        <v/>
      </c>
      <c r="P597" s="459" t="str">
        <f t="shared" si="285"/>
        <v/>
      </c>
      <c r="Q597" s="459" t="str">
        <f t="shared" si="286"/>
        <v/>
      </c>
      <c r="R597" s="459" t="str">
        <f t="shared" si="287"/>
        <v/>
      </c>
      <c r="S597" s="459" t="str">
        <f t="shared" si="288"/>
        <v/>
      </c>
      <c r="T597" s="566" t="str">
        <f t="shared" si="323"/>
        <v/>
      </c>
      <c r="U597" s="702"/>
      <c r="V597" s="132"/>
      <c r="W597" s="133"/>
      <c r="X597" s="134"/>
      <c r="Y597" s="135"/>
      <c r="Z597" s="137"/>
      <c r="AA597" s="136"/>
      <c r="AB597" s="566" t="str">
        <f t="shared" si="324"/>
        <v/>
      </c>
      <c r="AC597" s="568" t="str">
        <f t="shared" si="325"/>
        <v/>
      </c>
      <c r="AD597" s="137"/>
      <c r="AE597" s="137"/>
      <c r="AF597" s="138"/>
      <c r="AG597" s="138"/>
      <c r="AH597" s="592" t="str">
        <f t="shared" si="326"/>
        <v/>
      </c>
      <c r="AI597" s="592" t="str">
        <f t="shared" si="327"/>
        <v/>
      </c>
      <c r="AJ597" s="592" t="str">
        <f t="shared" si="328"/>
        <v/>
      </c>
      <c r="AK597" s="460" t="str">
        <f>IF(AU597="","",IF(OR(AZ597=8,AZ597=9),0,IF(OR(AW597=3,AW597=4,AW597=5,AW597=6),IF(LEFT(BF597,1)="1",INDEX(係数_NOX・PM低減,MATCH(AY597,【参考】排出係数!$AI$801:$AI$804,1),1),VLOOKUP(AU597,INDEX((係数_バス貨物_ガソリン,係数_バス貨物_CNG,係数_バス貨物_軽油,係数_バス貨物_メタノール,係数_バス貨物_LPG),MATCH(AY597,【参考】排出係数!$AI$4:$AI$671,1),1,BE597):INDEX((係数_バス貨物_ガソリン,係数_バス貨物_CNG,係数_バス貨物_軽油,係数_バス貨物_メタノール,係数_バス貨物_LPG),MATCH(AY597+1,【参考】排出係数!$AI$4:$AI$671,1)-1,5,BE597),4,FALSE)),IF(AND(BE597=3,LEFT(BF597,1)="1"),0.48,VLOOKUP(AU597,INDEX((係数_乗用_ガソリン,係数_乗用_CNG,係数_乗用_軽油,係数_乗用_メタノール,係数_乗用_LPG),1,1,BE597):INDEX((係数_乗用_ガソリン,係数_乗用_CNG,係数_乗用_軽油,係数_乗用_メタノール,係数_乗用_LPG),125,5,BE597),4,FALSE)))))</f>
        <v/>
      </c>
      <c r="AL597" s="461" t="str">
        <f t="shared" si="329"/>
        <v/>
      </c>
      <c r="AM597" s="460" t="str">
        <f>IF(AU597="","",IF(OR(AZ597=8,AZ597=9),0,IF(OR(AW597=3,AW597=4,AW597=5,AW597=6),IF(LEFT(BH597,1)="1",INDEX(係数_PM低減,MATCH(AY597,【参考】排出係数!$AI$801:$AI$804,1),MATCH(BI597,【参考】排出係数!$AL$798:$AO$798,1)),VLOOKUP(AU597,INDEX((係数_バス貨物_ガソリン,係数_バス貨物_CNG,係数_バス貨物_軽油,係数_バス貨物_メタノール,係数_バス貨物_LPG),MATCH(AY597,【参考】排出係数!$AI$4:$AI$671,1),1,BE597):INDEX((係数_バス貨物_ガソリン,係数_バス貨物_CNG,係数_バス貨物_軽油,係数_バス貨物_メタノール,係数_バス貨物_LPG),MATCH(AY597+1,【参考】排出係数!$AI$4:$AI$671,1)-1,5,BE597),5,FALSE)),IF(AND(BE597=3,LEFT(BF597,1)="1"),0.055,VLOOKUP(AU597,INDEX((係数_乗用_ガソリン,係数_乗用_CNG,係数_乗用_軽油,係数_乗用_メタノール,係数_乗用_LPG),1,1,BE597):INDEX((係数_乗用_ガソリン,係数_乗用_CNG,係数_乗用_軽油,係数_乗用_メタノール,係数_乗用_LPG),125,5,BE597),5,FALSE)))))</f>
        <v/>
      </c>
      <c r="AN597" s="461" t="str">
        <f t="shared" si="330"/>
        <v/>
      </c>
      <c r="AO597" s="462" t="str">
        <f t="shared" si="331"/>
        <v/>
      </c>
      <c r="AP597" s="463" t="str">
        <f t="shared" si="332"/>
        <v/>
      </c>
      <c r="AQ597" s="464"/>
      <c r="AR597" s="619"/>
      <c r="AS597" s="465" t="str">
        <f t="shared" si="334"/>
        <v/>
      </c>
      <c r="AT597" s="465" t="str">
        <f t="shared" si="335"/>
        <v/>
      </c>
      <c r="AU597" s="466" t="str">
        <f t="shared" si="336"/>
        <v/>
      </c>
      <c r="AV597" s="467" t="str">
        <f t="shared" si="337"/>
        <v/>
      </c>
      <c r="AW597" s="467" t="str">
        <f t="shared" si="338"/>
        <v/>
      </c>
      <c r="AX597" s="467" t="str">
        <f t="shared" si="339"/>
        <v/>
      </c>
      <c r="AY597" s="467" t="str">
        <f t="shared" si="340"/>
        <v/>
      </c>
      <c r="AZ597" s="467" t="str">
        <f t="shared" si="341"/>
        <v/>
      </c>
      <c r="BA597" s="468" t="str">
        <f>IF(AS597="","",IF(OR(AU597="",AU597="-"),"－",IF(OR(AZ597=8,AZ597=9),"",IF(OR(AW597=3,AW597=4,AW597=5,AW597=6),VLOOKUP(AU597,INDEX((係数_バス貨物_ガソリン,係数_バス貨物_CNG,係数_バス貨物_軽油,係数_バス貨物_メタノール,係数_バス貨物_LPG),MATCH(AY597,【参考】排出係数!$AI$4:$AI$671,1),1,BE597):INDEX((係数_バス貨物_ガソリン,係数_バス貨物_CNG,係数_バス貨物_軽油,係数_バス貨物_メタノール,係数_バス貨物_LPG),MATCH(AY597+1,【参考】排出係数!$AI$4:$AI$671,1)-1,5,BE597),2,FALSE),IF(OR(AW597=1,AW597=2),VLOOKUP(AU597,INDEX((係数_乗用_ガソリン,係数_乗用_CNG,係数_乗用_軽油,係数_乗用_メタノール,係数_乗用_LPG),1,1,BE597):INDEX((係数_乗用_ガソリン,係数_乗用_CNG,係数_乗用_軽油,係数_乗用_メタノール,係数_乗用_LPG),125,5,BE597),2,FALSE))))))</f>
        <v/>
      </c>
      <c r="BB597" s="468" t="str">
        <f>IF(T597="","",IF(OR(AU597="",AU597="-"),"－",IF(OR(AZ597=8,AZ597=9),"",IF(OR(AW597=3,AW597=4,AW597=5,AW597=6),VLOOKUP(AU597,INDEX((係数_バス貨物_ガソリン,係数_バス貨物_CNG,係数_バス貨物_軽油,係数_バス貨物_メタノール,係数_バス貨物_LPG),MATCH(AY597,【参考】排出係数!$AI$4:$AI$671,1),1,BE597):INDEX((係数_バス貨物_ガソリン,係数_バス貨物_CNG,係数_バス貨物_軽油,係数_バス貨物_メタノール,係数_バス貨物_LPG),MATCH(AY597+1,【参考】排出係数!$AI$4:$AI$671,1)-1,5,BE597),3,FALSE),IF(OR(AW597=1,AW597=2),VLOOKUP(AU597,INDEX((係数_乗用_ガソリン,係数_乗用_CNG,係数_乗用_軽油,係数_乗用_メタノール,係数_乗用_LPG),1,1,BE597):INDEX((係数_乗用_ガソリン,係数_乗用_CNG,係数_乗用_軽油,係数_乗用_メタノール,係数_乗用_LPG),125,5,BE597),3,FALSE))))))</f>
        <v/>
      </c>
      <c r="BC597" s="467" t="str">
        <f t="shared" si="342"/>
        <v/>
      </c>
      <c r="BD597" s="567" t="str">
        <f t="shared" si="343"/>
        <v/>
      </c>
      <c r="BE597" s="467" t="str">
        <f t="shared" si="344"/>
        <v/>
      </c>
      <c r="BF597" s="469" t="str">
        <f t="shared" ca="1" si="345"/>
        <v/>
      </c>
      <c r="BG597" s="469" t="str">
        <f t="shared" ca="1" si="346"/>
        <v/>
      </c>
      <c r="BH597" s="467" t="str">
        <f t="shared" si="347"/>
        <v/>
      </c>
      <c r="BI597" s="467" t="str">
        <f t="shared" ca="1" si="348"/>
        <v/>
      </c>
      <c r="BJ597" s="469" t="str">
        <f t="shared" si="349"/>
        <v/>
      </c>
      <c r="BK597" s="470" t="str">
        <f t="shared" si="333"/>
        <v/>
      </c>
      <c r="BL597" s="775" t="str">
        <f t="shared" si="350"/>
        <v/>
      </c>
      <c r="BM597" s="775" t="str">
        <f t="shared" si="351"/>
        <v/>
      </c>
    </row>
    <row r="598" spans="1:65">
      <c r="A598" s="473">
        <v>542</v>
      </c>
      <c r="B598" s="132"/>
      <c r="C598" s="332"/>
      <c r="D598" s="333"/>
      <c r="E598" s="333"/>
      <c r="F598" s="334"/>
      <c r="G598" s="337"/>
      <c r="H598" s="131"/>
      <c r="I598" s="337"/>
      <c r="J598" s="131"/>
      <c r="K598" s="458" t="str">
        <f t="shared" si="320"/>
        <v/>
      </c>
      <c r="L598" s="458">
        <f t="shared" si="321"/>
        <v>0</v>
      </c>
      <c r="M598" s="458">
        <f t="shared" si="322"/>
        <v>0</v>
      </c>
      <c r="N598" s="459" t="str">
        <f t="shared" si="283"/>
        <v/>
      </c>
      <c r="O598" s="459" t="str">
        <f t="shared" si="284"/>
        <v/>
      </c>
      <c r="P598" s="459" t="str">
        <f t="shared" si="285"/>
        <v/>
      </c>
      <c r="Q598" s="459" t="str">
        <f t="shared" si="286"/>
        <v/>
      </c>
      <c r="R598" s="459" t="str">
        <f t="shared" si="287"/>
        <v/>
      </c>
      <c r="S598" s="459" t="str">
        <f t="shared" si="288"/>
        <v/>
      </c>
      <c r="T598" s="566" t="str">
        <f t="shared" si="323"/>
        <v/>
      </c>
      <c r="U598" s="702"/>
      <c r="V598" s="132"/>
      <c r="W598" s="133"/>
      <c r="X598" s="134"/>
      <c r="Y598" s="135"/>
      <c r="Z598" s="137"/>
      <c r="AA598" s="136"/>
      <c r="AB598" s="566" t="str">
        <f t="shared" si="324"/>
        <v/>
      </c>
      <c r="AC598" s="568" t="str">
        <f t="shared" si="325"/>
        <v/>
      </c>
      <c r="AD598" s="137"/>
      <c r="AE598" s="137"/>
      <c r="AF598" s="138"/>
      <c r="AG598" s="138"/>
      <c r="AH598" s="592" t="str">
        <f t="shared" si="326"/>
        <v/>
      </c>
      <c r="AI598" s="592" t="str">
        <f t="shared" si="327"/>
        <v/>
      </c>
      <c r="AJ598" s="592" t="str">
        <f t="shared" si="328"/>
        <v/>
      </c>
      <c r="AK598" s="460" t="str">
        <f>IF(AU598="","",IF(OR(AZ598=8,AZ598=9),0,IF(OR(AW598=3,AW598=4,AW598=5,AW598=6),IF(LEFT(BF598,1)="1",INDEX(係数_NOX・PM低減,MATCH(AY598,【参考】排出係数!$AI$801:$AI$804,1),1),VLOOKUP(AU598,INDEX((係数_バス貨物_ガソリン,係数_バス貨物_CNG,係数_バス貨物_軽油,係数_バス貨物_メタノール,係数_バス貨物_LPG),MATCH(AY598,【参考】排出係数!$AI$4:$AI$671,1),1,BE598):INDEX((係数_バス貨物_ガソリン,係数_バス貨物_CNG,係数_バス貨物_軽油,係数_バス貨物_メタノール,係数_バス貨物_LPG),MATCH(AY598+1,【参考】排出係数!$AI$4:$AI$671,1)-1,5,BE598),4,FALSE)),IF(AND(BE598=3,LEFT(BF598,1)="1"),0.48,VLOOKUP(AU598,INDEX((係数_乗用_ガソリン,係数_乗用_CNG,係数_乗用_軽油,係数_乗用_メタノール,係数_乗用_LPG),1,1,BE598):INDEX((係数_乗用_ガソリン,係数_乗用_CNG,係数_乗用_軽油,係数_乗用_メタノール,係数_乗用_LPG),125,5,BE598),4,FALSE)))))</f>
        <v/>
      </c>
      <c r="AL598" s="461" t="str">
        <f t="shared" si="329"/>
        <v/>
      </c>
      <c r="AM598" s="460" t="str">
        <f>IF(AU598="","",IF(OR(AZ598=8,AZ598=9),0,IF(OR(AW598=3,AW598=4,AW598=5,AW598=6),IF(LEFT(BH598,1)="1",INDEX(係数_PM低減,MATCH(AY598,【参考】排出係数!$AI$801:$AI$804,1),MATCH(BI598,【参考】排出係数!$AL$798:$AO$798,1)),VLOOKUP(AU598,INDEX((係数_バス貨物_ガソリン,係数_バス貨物_CNG,係数_バス貨物_軽油,係数_バス貨物_メタノール,係数_バス貨物_LPG),MATCH(AY598,【参考】排出係数!$AI$4:$AI$671,1),1,BE598):INDEX((係数_バス貨物_ガソリン,係数_バス貨物_CNG,係数_バス貨物_軽油,係数_バス貨物_メタノール,係数_バス貨物_LPG),MATCH(AY598+1,【参考】排出係数!$AI$4:$AI$671,1)-1,5,BE598),5,FALSE)),IF(AND(BE598=3,LEFT(BF598,1)="1"),0.055,VLOOKUP(AU598,INDEX((係数_乗用_ガソリン,係数_乗用_CNG,係数_乗用_軽油,係数_乗用_メタノール,係数_乗用_LPG),1,1,BE598):INDEX((係数_乗用_ガソリン,係数_乗用_CNG,係数_乗用_軽油,係数_乗用_メタノール,係数_乗用_LPG),125,5,BE598),5,FALSE)))))</f>
        <v/>
      </c>
      <c r="AN598" s="461" t="str">
        <f t="shared" si="330"/>
        <v/>
      </c>
      <c r="AO598" s="462" t="str">
        <f t="shared" si="331"/>
        <v/>
      </c>
      <c r="AP598" s="463" t="str">
        <f t="shared" si="332"/>
        <v/>
      </c>
      <c r="AQ598" s="464"/>
      <c r="AR598" s="619"/>
      <c r="AS598" s="465" t="str">
        <f t="shared" si="334"/>
        <v/>
      </c>
      <c r="AT598" s="465" t="str">
        <f t="shared" si="335"/>
        <v/>
      </c>
      <c r="AU598" s="466" t="str">
        <f t="shared" si="336"/>
        <v/>
      </c>
      <c r="AV598" s="467" t="str">
        <f t="shared" si="337"/>
        <v/>
      </c>
      <c r="AW598" s="467" t="str">
        <f t="shared" si="338"/>
        <v/>
      </c>
      <c r="AX598" s="467" t="str">
        <f t="shared" si="339"/>
        <v/>
      </c>
      <c r="AY598" s="467" t="str">
        <f t="shared" si="340"/>
        <v/>
      </c>
      <c r="AZ598" s="467" t="str">
        <f t="shared" si="341"/>
        <v/>
      </c>
      <c r="BA598" s="468" t="str">
        <f>IF(AS598="","",IF(OR(AU598="",AU598="-"),"－",IF(OR(AZ598=8,AZ598=9),"",IF(OR(AW598=3,AW598=4,AW598=5,AW598=6),VLOOKUP(AU598,INDEX((係数_バス貨物_ガソリン,係数_バス貨物_CNG,係数_バス貨物_軽油,係数_バス貨物_メタノール,係数_バス貨物_LPG),MATCH(AY598,【参考】排出係数!$AI$4:$AI$671,1),1,BE598):INDEX((係数_バス貨物_ガソリン,係数_バス貨物_CNG,係数_バス貨物_軽油,係数_バス貨物_メタノール,係数_バス貨物_LPG),MATCH(AY598+1,【参考】排出係数!$AI$4:$AI$671,1)-1,5,BE598),2,FALSE),IF(OR(AW598=1,AW598=2),VLOOKUP(AU598,INDEX((係数_乗用_ガソリン,係数_乗用_CNG,係数_乗用_軽油,係数_乗用_メタノール,係数_乗用_LPG),1,1,BE598):INDEX((係数_乗用_ガソリン,係数_乗用_CNG,係数_乗用_軽油,係数_乗用_メタノール,係数_乗用_LPG),125,5,BE598),2,FALSE))))))</f>
        <v/>
      </c>
      <c r="BB598" s="468" t="str">
        <f>IF(T598="","",IF(OR(AU598="",AU598="-"),"－",IF(OR(AZ598=8,AZ598=9),"",IF(OR(AW598=3,AW598=4,AW598=5,AW598=6),VLOOKUP(AU598,INDEX((係数_バス貨物_ガソリン,係数_バス貨物_CNG,係数_バス貨物_軽油,係数_バス貨物_メタノール,係数_バス貨物_LPG),MATCH(AY598,【参考】排出係数!$AI$4:$AI$671,1),1,BE598):INDEX((係数_バス貨物_ガソリン,係数_バス貨物_CNG,係数_バス貨物_軽油,係数_バス貨物_メタノール,係数_バス貨物_LPG),MATCH(AY598+1,【参考】排出係数!$AI$4:$AI$671,1)-1,5,BE598),3,FALSE),IF(OR(AW598=1,AW598=2),VLOOKUP(AU598,INDEX((係数_乗用_ガソリン,係数_乗用_CNG,係数_乗用_軽油,係数_乗用_メタノール,係数_乗用_LPG),1,1,BE598):INDEX((係数_乗用_ガソリン,係数_乗用_CNG,係数_乗用_軽油,係数_乗用_メタノール,係数_乗用_LPG),125,5,BE598),3,FALSE))))))</f>
        <v/>
      </c>
      <c r="BC598" s="467" t="str">
        <f t="shared" si="342"/>
        <v/>
      </c>
      <c r="BD598" s="567" t="str">
        <f t="shared" si="343"/>
        <v/>
      </c>
      <c r="BE598" s="467" t="str">
        <f t="shared" si="344"/>
        <v/>
      </c>
      <c r="BF598" s="469" t="str">
        <f t="shared" ca="1" si="345"/>
        <v/>
      </c>
      <c r="BG598" s="469" t="str">
        <f t="shared" ca="1" si="346"/>
        <v/>
      </c>
      <c r="BH598" s="467" t="str">
        <f t="shared" si="347"/>
        <v/>
      </c>
      <c r="BI598" s="467" t="str">
        <f t="shared" ca="1" si="348"/>
        <v/>
      </c>
      <c r="BJ598" s="469" t="str">
        <f t="shared" si="349"/>
        <v/>
      </c>
      <c r="BK598" s="470" t="str">
        <f t="shared" si="333"/>
        <v/>
      </c>
      <c r="BL598" s="775" t="str">
        <f t="shared" si="350"/>
        <v/>
      </c>
      <c r="BM598" s="775" t="str">
        <f t="shared" si="351"/>
        <v/>
      </c>
    </row>
    <row r="599" spans="1:65">
      <c r="A599" s="473">
        <v>543</v>
      </c>
      <c r="B599" s="132"/>
      <c r="C599" s="332"/>
      <c r="D599" s="333"/>
      <c r="E599" s="333"/>
      <c r="F599" s="334"/>
      <c r="G599" s="337"/>
      <c r="H599" s="131"/>
      <c r="I599" s="337"/>
      <c r="J599" s="131"/>
      <c r="K599" s="458" t="str">
        <f t="shared" si="320"/>
        <v/>
      </c>
      <c r="L599" s="458">
        <f t="shared" si="321"/>
        <v>0</v>
      </c>
      <c r="M599" s="458">
        <f t="shared" si="322"/>
        <v>0</v>
      </c>
      <c r="N599" s="459" t="str">
        <f t="shared" si="283"/>
        <v/>
      </c>
      <c r="O599" s="459" t="str">
        <f t="shared" si="284"/>
        <v/>
      </c>
      <c r="P599" s="459" t="str">
        <f t="shared" si="285"/>
        <v/>
      </c>
      <c r="Q599" s="459" t="str">
        <f t="shared" si="286"/>
        <v/>
      </c>
      <c r="R599" s="459" t="str">
        <f t="shared" si="287"/>
        <v/>
      </c>
      <c r="S599" s="459" t="str">
        <f t="shared" si="288"/>
        <v/>
      </c>
      <c r="T599" s="566" t="str">
        <f t="shared" si="323"/>
        <v/>
      </c>
      <c r="U599" s="702"/>
      <c r="V599" s="132"/>
      <c r="W599" s="133"/>
      <c r="X599" s="134"/>
      <c r="Y599" s="135"/>
      <c r="Z599" s="137"/>
      <c r="AA599" s="136"/>
      <c r="AB599" s="566" t="str">
        <f t="shared" si="324"/>
        <v/>
      </c>
      <c r="AC599" s="568" t="str">
        <f t="shared" si="325"/>
        <v/>
      </c>
      <c r="AD599" s="137"/>
      <c r="AE599" s="137"/>
      <c r="AF599" s="138"/>
      <c r="AG599" s="138"/>
      <c r="AH599" s="592" t="str">
        <f t="shared" si="326"/>
        <v/>
      </c>
      <c r="AI599" s="592" t="str">
        <f t="shared" si="327"/>
        <v/>
      </c>
      <c r="AJ599" s="592" t="str">
        <f t="shared" si="328"/>
        <v/>
      </c>
      <c r="AK599" s="460" t="str">
        <f>IF(AU599="","",IF(OR(AZ599=8,AZ599=9),0,IF(OR(AW599=3,AW599=4,AW599=5,AW599=6),IF(LEFT(BF599,1)="1",INDEX(係数_NOX・PM低減,MATCH(AY599,【参考】排出係数!$AI$801:$AI$804,1),1),VLOOKUP(AU599,INDEX((係数_バス貨物_ガソリン,係数_バス貨物_CNG,係数_バス貨物_軽油,係数_バス貨物_メタノール,係数_バス貨物_LPG),MATCH(AY599,【参考】排出係数!$AI$4:$AI$671,1),1,BE599):INDEX((係数_バス貨物_ガソリン,係数_バス貨物_CNG,係数_バス貨物_軽油,係数_バス貨物_メタノール,係数_バス貨物_LPG),MATCH(AY599+1,【参考】排出係数!$AI$4:$AI$671,1)-1,5,BE599),4,FALSE)),IF(AND(BE599=3,LEFT(BF599,1)="1"),0.48,VLOOKUP(AU599,INDEX((係数_乗用_ガソリン,係数_乗用_CNG,係数_乗用_軽油,係数_乗用_メタノール,係数_乗用_LPG),1,1,BE599):INDEX((係数_乗用_ガソリン,係数_乗用_CNG,係数_乗用_軽油,係数_乗用_メタノール,係数_乗用_LPG),125,5,BE599),4,FALSE)))))</f>
        <v/>
      </c>
      <c r="AL599" s="461" t="str">
        <f t="shared" si="329"/>
        <v/>
      </c>
      <c r="AM599" s="460" t="str">
        <f>IF(AU599="","",IF(OR(AZ599=8,AZ599=9),0,IF(OR(AW599=3,AW599=4,AW599=5,AW599=6),IF(LEFT(BH599,1)="1",INDEX(係数_PM低減,MATCH(AY599,【参考】排出係数!$AI$801:$AI$804,1),MATCH(BI599,【参考】排出係数!$AL$798:$AO$798,1)),VLOOKUP(AU599,INDEX((係数_バス貨物_ガソリン,係数_バス貨物_CNG,係数_バス貨物_軽油,係数_バス貨物_メタノール,係数_バス貨物_LPG),MATCH(AY599,【参考】排出係数!$AI$4:$AI$671,1),1,BE599):INDEX((係数_バス貨物_ガソリン,係数_バス貨物_CNG,係数_バス貨物_軽油,係数_バス貨物_メタノール,係数_バス貨物_LPG),MATCH(AY599+1,【参考】排出係数!$AI$4:$AI$671,1)-1,5,BE599),5,FALSE)),IF(AND(BE599=3,LEFT(BF599,1)="1"),0.055,VLOOKUP(AU599,INDEX((係数_乗用_ガソリン,係数_乗用_CNG,係数_乗用_軽油,係数_乗用_メタノール,係数_乗用_LPG),1,1,BE599):INDEX((係数_乗用_ガソリン,係数_乗用_CNG,係数_乗用_軽油,係数_乗用_メタノール,係数_乗用_LPG),125,5,BE599),5,FALSE)))))</f>
        <v/>
      </c>
      <c r="AN599" s="461" t="str">
        <f t="shared" si="330"/>
        <v/>
      </c>
      <c r="AO599" s="462" t="str">
        <f t="shared" si="331"/>
        <v/>
      </c>
      <c r="AP599" s="463" t="str">
        <f t="shared" si="332"/>
        <v/>
      </c>
      <c r="AQ599" s="464"/>
      <c r="AR599" s="619"/>
      <c r="AS599" s="465" t="str">
        <f t="shared" si="334"/>
        <v/>
      </c>
      <c r="AT599" s="465" t="str">
        <f t="shared" si="335"/>
        <v/>
      </c>
      <c r="AU599" s="466" t="str">
        <f t="shared" si="336"/>
        <v/>
      </c>
      <c r="AV599" s="467" t="str">
        <f t="shared" si="337"/>
        <v/>
      </c>
      <c r="AW599" s="467" t="str">
        <f t="shared" si="338"/>
        <v/>
      </c>
      <c r="AX599" s="467" t="str">
        <f t="shared" si="339"/>
        <v/>
      </c>
      <c r="AY599" s="467" t="str">
        <f t="shared" si="340"/>
        <v/>
      </c>
      <c r="AZ599" s="467" t="str">
        <f t="shared" si="341"/>
        <v/>
      </c>
      <c r="BA599" s="468" t="str">
        <f>IF(AS599="","",IF(OR(AU599="",AU599="-"),"－",IF(OR(AZ599=8,AZ599=9),"",IF(OR(AW599=3,AW599=4,AW599=5,AW599=6),VLOOKUP(AU599,INDEX((係数_バス貨物_ガソリン,係数_バス貨物_CNG,係数_バス貨物_軽油,係数_バス貨物_メタノール,係数_バス貨物_LPG),MATCH(AY599,【参考】排出係数!$AI$4:$AI$671,1),1,BE599):INDEX((係数_バス貨物_ガソリン,係数_バス貨物_CNG,係数_バス貨物_軽油,係数_バス貨物_メタノール,係数_バス貨物_LPG),MATCH(AY599+1,【参考】排出係数!$AI$4:$AI$671,1)-1,5,BE599),2,FALSE),IF(OR(AW599=1,AW599=2),VLOOKUP(AU599,INDEX((係数_乗用_ガソリン,係数_乗用_CNG,係数_乗用_軽油,係数_乗用_メタノール,係数_乗用_LPG),1,1,BE599):INDEX((係数_乗用_ガソリン,係数_乗用_CNG,係数_乗用_軽油,係数_乗用_メタノール,係数_乗用_LPG),125,5,BE599),2,FALSE))))))</f>
        <v/>
      </c>
      <c r="BB599" s="468" t="str">
        <f>IF(T599="","",IF(OR(AU599="",AU599="-"),"－",IF(OR(AZ599=8,AZ599=9),"",IF(OR(AW599=3,AW599=4,AW599=5,AW599=6),VLOOKUP(AU599,INDEX((係数_バス貨物_ガソリン,係数_バス貨物_CNG,係数_バス貨物_軽油,係数_バス貨物_メタノール,係数_バス貨物_LPG),MATCH(AY599,【参考】排出係数!$AI$4:$AI$671,1),1,BE599):INDEX((係数_バス貨物_ガソリン,係数_バス貨物_CNG,係数_バス貨物_軽油,係数_バス貨物_メタノール,係数_バス貨物_LPG),MATCH(AY599+1,【参考】排出係数!$AI$4:$AI$671,1)-1,5,BE599),3,FALSE),IF(OR(AW599=1,AW599=2),VLOOKUP(AU599,INDEX((係数_乗用_ガソリン,係数_乗用_CNG,係数_乗用_軽油,係数_乗用_メタノール,係数_乗用_LPG),1,1,BE599):INDEX((係数_乗用_ガソリン,係数_乗用_CNG,係数_乗用_軽油,係数_乗用_メタノール,係数_乗用_LPG),125,5,BE599),3,FALSE))))))</f>
        <v/>
      </c>
      <c r="BC599" s="467" t="str">
        <f t="shared" si="342"/>
        <v/>
      </c>
      <c r="BD599" s="567" t="str">
        <f t="shared" si="343"/>
        <v/>
      </c>
      <c r="BE599" s="467" t="str">
        <f t="shared" si="344"/>
        <v/>
      </c>
      <c r="BF599" s="469" t="str">
        <f t="shared" ca="1" si="345"/>
        <v/>
      </c>
      <c r="BG599" s="469" t="str">
        <f t="shared" ca="1" si="346"/>
        <v/>
      </c>
      <c r="BH599" s="467" t="str">
        <f t="shared" si="347"/>
        <v/>
      </c>
      <c r="BI599" s="467" t="str">
        <f t="shared" ca="1" si="348"/>
        <v/>
      </c>
      <c r="BJ599" s="469" t="str">
        <f t="shared" si="349"/>
        <v/>
      </c>
      <c r="BK599" s="470" t="str">
        <f t="shared" si="333"/>
        <v/>
      </c>
      <c r="BL599" s="775" t="str">
        <f t="shared" si="350"/>
        <v/>
      </c>
      <c r="BM599" s="775" t="str">
        <f t="shared" si="351"/>
        <v/>
      </c>
    </row>
    <row r="600" spans="1:65">
      <c r="A600" s="473">
        <v>544</v>
      </c>
      <c r="B600" s="132"/>
      <c r="C600" s="332"/>
      <c r="D600" s="333"/>
      <c r="E600" s="333"/>
      <c r="F600" s="334"/>
      <c r="G600" s="337"/>
      <c r="H600" s="131"/>
      <c r="I600" s="337"/>
      <c r="J600" s="131"/>
      <c r="K600" s="458" t="str">
        <f t="shared" si="320"/>
        <v/>
      </c>
      <c r="L600" s="458">
        <f t="shared" si="321"/>
        <v>0</v>
      </c>
      <c r="M600" s="458">
        <f t="shared" si="322"/>
        <v>0</v>
      </c>
      <c r="N600" s="459" t="str">
        <f t="shared" si="283"/>
        <v/>
      </c>
      <c r="O600" s="459" t="str">
        <f t="shared" si="284"/>
        <v/>
      </c>
      <c r="P600" s="459" t="str">
        <f t="shared" si="285"/>
        <v/>
      </c>
      <c r="Q600" s="459" t="str">
        <f t="shared" si="286"/>
        <v/>
      </c>
      <c r="R600" s="459" t="str">
        <f t="shared" si="287"/>
        <v/>
      </c>
      <c r="S600" s="459" t="str">
        <f t="shared" si="288"/>
        <v/>
      </c>
      <c r="T600" s="566" t="str">
        <f t="shared" si="323"/>
        <v/>
      </c>
      <c r="U600" s="702"/>
      <c r="V600" s="132"/>
      <c r="W600" s="133"/>
      <c r="X600" s="134"/>
      <c r="Y600" s="135"/>
      <c r="Z600" s="137"/>
      <c r="AA600" s="136"/>
      <c r="AB600" s="566" t="str">
        <f t="shared" si="324"/>
        <v/>
      </c>
      <c r="AC600" s="568" t="str">
        <f t="shared" si="325"/>
        <v/>
      </c>
      <c r="AD600" s="137"/>
      <c r="AE600" s="137"/>
      <c r="AF600" s="138"/>
      <c r="AG600" s="138"/>
      <c r="AH600" s="592" t="str">
        <f t="shared" si="326"/>
        <v/>
      </c>
      <c r="AI600" s="592" t="str">
        <f t="shared" si="327"/>
        <v/>
      </c>
      <c r="AJ600" s="592" t="str">
        <f t="shared" si="328"/>
        <v/>
      </c>
      <c r="AK600" s="460" t="str">
        <f>IF(AU600="","",IF(OR(AZ600=8,AZ600=9),0,IF(OR(AW600=3,AW600=4,AW600=5,AW600=6),IF(LEFT(BF600,1)="1",INDEX(係数_NOX・PM低減,MATCH(AY600,【参考】排出係数!$AI$801:$AI$804,1),1),VLOOKUP(AU600,INDEX((係数_バス貨物_ガソリン,係数_バス貨物_CNG,係数_バス貨物_軽油,係数_バス貨物_メタノール,係数_バス貨物_LPG),MATCH(AY600,【参考】排出係数!$AI$4:$AI$671,1),1,BE600):INDEX((係数_バス貨物_ガソリン,係数_バス貨物_CNG,係数_バス貨物_軽油,係数_バス貨物_メタノール,係数_バス貨物_LPG),MATCH(AY600+1,【参考】排出係数!$AI$4:$AI$671,1)-1,5,BE600),4,FALSE)),IF(AND(BE600=3,LEFT(BF600,1)="1"),0.48,VLOOKUP(AU600,INDEX((係数_乗用_ガソリン,係数_乗用_CNG,係数_乗用_軽油,係数_乗用_メタノール,係数_乗用_LPG),1,1,BE600):INDEX((係数_乗用_ガソリン,係数_乗用_CNG,係数_乗用_軽油,係数_乗用_メタノール,係数_乗用_LPG),125,5,BE600),4,FALSE)))))</f>
        <v/>
      </c>
      <c r="AL600" s="461" t="str">
        <f t="shared" si="329"/>
        <v/>
      </c>
      <c r="AM600" s="460" t="str">
        <f>IF(AU600="","",IF(OR(AZ600=8,AZ600=9),0,IF(OR(AW600=3,AW600=4,AW600=5,AW600=6),IF(LEFT(BH600,1)="1",INDEX(係数_PM低減,MATCH(AY600,【参考】排出係数!$AI$801:$AI$804,1),MATCH(BI600,【参考】排出係数!$AL$798:$AO$798,1)),VLOOKUP(AU600,INDEX((係数_バス貨物_ガソリン,係数_バス貨物_CNG,係数_バス貨物_軽油,係数_バス貨物_メタノール,係数_バス貨物_LPG),MATCH(AY600,【参考】排出係数!$AI$4:$AI$671,1),1,BE600):INDEX((係数_バス貨物_ガソリン,係数_バス貨物_CNG,係数_バス貨物_軽油,係数_バス貨物_メタノール,係数_バス貨物_LPG),MATCH(AY600+1,【参考】排出係数!$AI$4:$AI$671,1)-1,5,BE600),5,FALSE)),IF(AND(BE600=3,LEFT(BF600,1)="1"),0.055,VLOOKUP(AU600,INDEX((係数_乗用_ガソリン,係数_乗用_CNG,係数_乗用_軽油,係数_乗用_メタノール,係数_乗用_LPG),1,1,BE600):INDEX((係数_乗用_ガソリン,係数_乗用_CNG,係数_乗用_軽油,係数_乗用_メタノール,係数_乗用_LPG),125,5,BE600),5,FALSE)))))</f>
        <v/>
      </c>
      <c r="AN600" s="461" t="str">
        <f t="shared" si="330"/>
        <v/>
      </c>
      <c r="AO600" s="462" t="str">
        <f t="shared" si="331"/>
        <v/>
      </c>
      <c r="AP600" s="463" t="str">
        <f t="shared" si="332"/>
        <v/>
      </c>
      <c r="AQ600" s="464"/>
      <c r="AR600" s="619"/>
      <c r="AS600" s="465" t="str">
        <f t="shared" si="334"/>
        <v/>
      </c>
      <c r="AT600" s="465" t="str">
        <f t="shared" si="335"/>
        <v/>
      </c>
      <c r="AU600" s="466" t="str">
        <f t="shared" si="336"/>
        <v/>
      </c>
      <c r="AV600" s="467" t="str">
        <f t="shared" si="337"/>
        <v/>
      </c>
      <c r="AW600" s="467" t="str">
        <f t="shared" si="338"/>
        <v/>
      </c>
      <c r="AX600" s="467" t="str">
        <f t="shared" si="339"/>
        <v/>
      </c>
      <c r="AY600" s="467" t="str">
        <f t="shared" si="340"/>
        <v/>
      </c>
      <c r="AZ600" s="467" t="str">
        <f t="shared" si="341"/>
        <v/>
      </c>
      <c r="BA600" s="468" t="str">
        <f>IF(AS600="","",IF(OR(AU600="",AU600="-"),"－",IF(OR(AZ600=8,AZ600=9),"",IF(OR(AW600=3,AW600=4,AW600=5,AW600=6),VLOOKUP(AU600,INDEX((係数_バス貨物_ガソリン,係数_バス貨物_CNG,係数_バス貨物_軽油,係数_バス貨物_メタノール,係数_バス貨物_LPG),MATCH(AY600,【参考】排出係数!$AI$4:$AI$671,1),1,BE600):INDEX((係数_バス貨物_ガソリン,係数_バス貨物_CNG,係数_バス貨物_軽油,係数_バス貨物_メタノール,係数_バス貨物_LPG),MATCH(AY600+1,【参考】排出係数!$AI$4:$AI$671,1)-1,5,BE600),2,FALSE),IF(OR(AW600=1,AW600=2),VLOOKUP(AU600,INDEX((係数_乗用_ガソリン,係数_乗用_CNG,係数_乗用_軽油,係数_乗用_メタノール,係数_乗用_LPG),1,1,BE600):INDEX((係数_乗用_ガソリン,係数_乗用_CNG,係数_乗用_軽油,係数_乗用_メタノール,係数_乗用_LPG),125,5,BE600),2,FALSE))))))</f>
        <v/>
      </c>
      <c r="BB600" s="468" t="str">
        <f>IF(T600="","",IF(OR(AU600="",AU600="-"),"－",IF(OR(AZ600=8,AZ600=9),"",IF(OR(AW600=3,AW600=4,AW600=5,AW600=6),VLOOKUP(AU600,INDEX((係数_バス貨物_ガソリン,係数_バス貨物_CNG,係数_バス貨物_軽油,係数_バス貨物_メタノール,係数_バス貨物_LPG),MATCH(AY600,【参考】排出係数!$AI$4:$AI$671,1),1,BE600):INDEX((係数_バス貨物_ガソリン,係数_バス貨物_CNG,係数_バス貨物_軽油,係数_バス貨物_メタノール,係数_バス貨物_LPG),MATCH(AY600+1,【参考】排出係数!$AI$4:$AI$671,1)-1,5,BE600),3,FALSE),IF(OR(AW600=1,AW600=2),VLOOKUP(AU600,INDEX((係数_乗用_ガソリン,係数_乗用_CNG,係数_乗用_軽油,係数_乗用_メタノール,係数_乗用_LPG),1,1,BE600):INDEX((係数_乗用_ガソリン,係数_乗用_CNG,係数_乗用_軽油,係数_乗用_メタノール,係数_乗用_LPG),125,5,BE600),3,FALSE))))))</f>
        <v/>
      </c>
      <c r="BC600" s="467" t="str">
        <f t="shared" si="342"/>
        <v/>
      </c>
      <c r="BD600" s="567" t="str">
        <f t="shared" si="343"/>
        <v/>
      </c>
      <c r="BE600" s="467" t="str">
        <f t="shared" si="344"/>
        <v/>
      </c>
      <c r="BF600" s="469" t="str">
        <f t="shared" ca="1" si="345"/>
        <v/>
      </c>
      <c r="BG600" s="469" t="str">
        <f t="shared" ca="1" si="346"/>
        <v/>
      </c>
      <c r="BH600" s="467" t="str">
        <f t="shared" si="347"/>
        <v/>
      </c>
      <c r="BI600" s="467" t="str">
        <f t="shared" ca="1" si="348"/>
        <v/>
      </c>
      <c r="BJ600" s="469" t="str">
        <f t="shared" si="349"/>
        <v/>
      </c>
      <c r="BK600" s="470" t="str">
        <f t="shared" si="333"/>
        <v/>
      </c>
      <c r="BL600" s="775" t="str">
        <f t="shared" si="350"/>
        <v/>
      </c>
      <c r="BM600" s="775" t="str">
        <f t="shared" si="351"/>
        <v/>
      </c>
    </row>
    <row r="601" spans="1:65">
      <c r="A601" s="473">
        <v>545</v>
      </c>
      <c r="B601" s="132"/>
      <c r="C601" s="332"/>
      <c r="D601" s="333"/>
      <c r="E601" s="333"/>
      <c r="F601" s="334"/>
      <c r="G601" s="337"/>
      <c r="H601" s="131"/>
      <c r="I601" s="337"/>
      <c r="J601" s="131"/>
      <c r="K601" s="458" t="str">
        <f t="shared" si="320"/>
        <v/>
      </c>
      <c r="L601" s="458">
        <f t="shared" si="321"/>
        <v>0</v>
      </c>
      <c r="M601" s="458">
        <f t="shared" si="322"/>
        <v>0</v>
      </c>
      <c r="N601" s="459" t="str">
        <f t="shared" si="283"/>
        <v/>
      </c>
      <c r="O601" s="459" t="str">
        <f t="shared" si="284"/>
        <v/>
      </c>
      <c r="P601" s="459" t="str">
        <f t="shared" si="285"/>
        <v/>
      </c>
      <c r="Q601" s="459" t="str">
        <f t="shared" si="286"/>
        <v/>
      </c>
      <c r="R601" s="459" t="str">
        <f t="shared" si="287"/>
        <v/>
      </c>
      <c r="S601" s="459" t="str">
        <f t="shared" si="288"/>
        <v/>
      </c>
      <c r="T601" s="566" t="str">
        <f t="shared" si="323"/>
        <v/>
      </c>
      <c r="U601" s="702"/>
      <c r="V601" s="132"/>
      <c r="W601" s="133"/>
      <c r="X601" s="134"/>
      <c r="Y601" s="135"/>
      <c r="Z601" s="137"/>
      <c r="AA601" s="136"/>
      <c r="AB601" s="566" t="str">
        <f t="shared" si="324"/>
        <v/>
      </c>
      <c r="AC601" s="568" t="str">
        <f t="shared" si="325"/>
        <v/>
      </c>
      <c r="AD601" s="137"/>
      <c r="AE601" s="137"/>
      <c r="AF601" s="138"/>
      <c r="AG601" s="138"/>
      <c r="AH601" s="592" t="str">
        <f t="shared" si="326"/>
        <v/>
      </c>
      <c r="AI601" s="592" t="str">
        <f t="shared" si="327"/>
        <v/>
      </c>
      <c r="AJ601" s="592" t="str">
        <f t="shared" si="328"/>
        <v/>
      </c>
      <c r="AK601" s="460" t="str">
        <f>IF(AU601="","",IF(OR(AZ601=8,AZ601=9),0,IF(OR(AW601=3,AW601=4,AW601=5,AW601=6),IF(LEFT(BF601,1)="1",INDEX(係数_NOX・PM低減,MATCH(AY601,【参考】排出係数!$AI$801:$AI$804,1),1),VLOOKUP(AU601,INDEX((係数_バス貨物_ガソリン,係数_バス貨物_CNG,係数_バス貨物_軽油,係数_バス貨物_メタノール,係数_バス貨物_LPG),MATCH(AY601,【参考】排出係数!$AI$4:$AI$671,1),1,BE601):INDEX((係数_バス貨物_ガソリン,係数_バス貨物_CNG,係数_バス貨物_軽油,係数_バス貨物_メタノール,係数_バス貨物_LPG),MATCH(AY601+1,【参考】排出係数!$AI$4:$AI$671,1)-1,5,BE601),4,FALSE)),IF(AND(BE601=3,LEFT(BF601,1)="1"),0.48,VLOOKUP(AU601,INDEX((係数_乗用_ガソリン,係数_乗用_CNG,係数_乗用_軽油,係数_乗用_メタノール,係数_乗用_LPG),1,1,BE601):INDEX((係数_乗用_ガソリン,係数_乗用_CNG,係数_乗用_軽油,係数_乗用_メタノール,係数_乗用_LPG),125,5,BE601),4,FALSE)))))</f>
        <v/>
      </c>
      <c r="AL601" s="461" t="str">
        <f t="shared" si="329"/>
        <v/>
      </c>
      <c r="AM601" s="460" t="str">
        <f>IF(AU601="","",IF(OR(AZ601=8,AZ601=9),0,IF(OR(AW601=3,AW601=4,AW601=5,AW601=6),IF(LEFT(BH601,1)="1",INDEX(係数_PM低減,MATCH(AY601,【参考】排出係数!$AI$801:$AI$804,1),MATCH(BI601,【参考】排出係数!$AL$798:$AO$798,1)),VLOOKUP(AU601,INDEX((係数_バス貨物_ガソリン,係数_バス貨物_CNG,係数_バス貨物_軽油,係数_バス貨物_メタノール,係数_バス貨物_LPG),MATCH(AY601,【参考】排出係数!$AI$4:$AI$671,1),1,BE601):INDEX((係数_バス貨物_ガソリン,係数_バス貨物_CNG,係数_バス貨物_軽油,係数_バス貨物_メタノール,係数_バス貨物_LPG),MATCH(AY601+1,【参考】排出係数!$AI$4:$AI$671,1)-1,5,BE601),5,FALSE)),IF(AND(BE601=3,LEFT(BF601,1)="1"),0.055,VLOOKUP(AU601,INDEX((係数_乗用_ガソリン,係数_乗用_CNG,係数_乗用_軽油,係数_乗用_メタノール,係数_乗用_LPG),1,1,BE601):INDEX((係数_乗用_ガソリン,係数_乗用_CNG,係数_乗用_軽油,係数_乗用_メタノール,係数_乗用_LPG),125,5,BE601),5,FALSE)))))</f>
        <v/>
      </c>
      <c r="AN601" s="461" t="str">
        <f t="shared" si="330"/>
        <v/>
      </c>
      <c r="AO601" s="462" t="str">
        <f t="shared" si="331"/>
        <v/>
      </c>
      <c r="AP601" s="463" t="str">
        <f t="shared" si="332"/>
        <v/>
      </c>
      <c r="AQ601" s="464"/>
      <c r="AR601" s="619"/>
      <c r="AS601" s="465" t="str">
        <f t="shared" si="334"/>
        <v/>
      </c>
      <c r="AT601" s="465" t="str">
        <f t="shared" si="335"/>
        <v/>
      </c>
      <c r="AU601" s="466" t="str">
        <f t="shared" si="336"/>
        <v/>
      </c>
      <c r="AV601" s="467" t="str">
        <f t="shared" si="337"/>
        <v/>
      </c>
      <c r="AW601" s="467" t="str">
        <f t="shared" si="338"/>
        <v/>
      </c>
      <c r="AX601" s="467" t="str">
        <f t="shared" si="339"/>
        <v/>
      </c>
      <c r="AY601" s="467" t="str">
        <f t="shared" si="340"/>
        <v/>
      </c>
      <c r="AZ601" s="467" t="str">
        <f t="shared" si="341"/>
        <v/>
      </c>
      <c r="BA601" s="468" t="str">
        <f>IF(AS601="","",IF(OR(AU601="",AU601="-"),"－",IF(OR(AZ601=8,AZ601=9),"",IF(OR(AW601=3,AW601=4,AW601=5,AW601=6),VLOOKUP(AU601,INDEX((係数_バス貨物_ガソリン,係数_バス貨物_CNG,係数_バス貨物_軽油,係数_バス貨物_メタノール,係数_バス貨物_LPG),MATCH(AY601,【参考】排出係数!$AI$4:$AI$671,1),1,BE601):INDEX((係数_バス貨物_ガソリン,係数_バス貨物_CNG,係数_バス貨物_軽油,係数_バス貨物_メタノール,係数_バス貨物_LPG),MATCH(AY601+1,【参考】排出係数!$AI$4:$AI$671,1)-1,5,BE601),2,FALSE),IF(OR(AW601=1,AW601=2),VLOOKUP(AU601,INDEX((係数_乗用_ガソリン,係数_乗用_CNG,係数_乗用_軽油,係数_乗用_メタノール,係数_乗用_LPG),1,1,BE601):INDEX((係数_乗用_ガソリン,係数_乗用_CNG,係数_乗用_軽油,係数_乗用_メタノール,係数_乗用_LPG),125,5,BE601),2,FALSE))))))</f>
        <v/>
      </c>
      <c r="BB601" s="468" t="str">
        <f>IF(T601="","",IF(OR(AU601="",AU601="-"),"－",IF(OR(AZ601=8,AZ601=9),"",IF(OR(AW601=3,AW601=4,AW601=5,AW601=6),VLOOKUP(AU601,INDEX((係数_バス貨物_ガソリン,係数_バス貨物_CNG,係数_バス貨物_軽油,係数_バス貨物_メタノール,係数_バス貨物_LPG),MATCH(AY601,【参考】排出係数!$AI$4:$AI$671,1),1,BE601):INDEX((係数_バス貨物_ガソリン,係数_バス貨物_CNG,係数_バス貨物_軽油,係数_バス貨物_メタノール,係数_バス貨物_LPG),MATCH(AY601+1,【参考】排出係数!$AI$4:$AI$671,1)-1,5,BE601),3,FALSE),IF(OR(AW601=1,AW601=2),VLOOKUP(AU601,INDEX((係数_乗用_ガソリン,係数_乗用_CNG,係数_乗用_軽油,係数_乗用_メタノール,係数_乗用_LPG),1,1,BE601):INDEX((係数_乗用_ガソリン,係数_乗用_CNG,係数_乗用_軽油,係数_乗用_メタノール,係数_乗用_LPG),125,5,BE601),3,FALSE))))))</f>
        <v/>
      </c>
      <c r="BC601" s="467" t="str">
        <f t="shared" si="342"/>
        <v/>
      </c>
      <c r="BD601" s="567" t="str">
        <f t="shared" si="343"/>
        <v/>
      </c>
      <c r="BE601" s="467" t="str">
        <f t="shared" si="344"/>
        <v/>
      </c>
      <c r="BF601" s="469" t="str">
        <f t="shared" ca="1" si="345"/>
        <v/>
      </c>
      <c r="BG601" s="469" t="str">
        <f t="shared" ca="1" si="346"/>
        <v/>
      </c>
      <c r="BH601" s="467" t="str">
        <f t="shared" si="347"/>
        <v/>
      </c>
      <c r="BI601" s="467" t="str">
        <f t="shared" ca="1" si="348"/>
        <v/>
      </c>
      <c r="BJ601" s="469" t="str">
        <f t="shared" si="349"/>
        <v/>
      </c>
      <c r="BK601" s="470" t="str">
        <f t="shared" si="333"/>
        <v/>
      </c>
      <c r="BL601" s="775" t="str">
        <f t="shared" si="350"/>
        <v/>
      </c>
      <c r="BM601" s="775" t="str">
        <f t="shared" si="351"/>
        <v/>
      </c>
    </row>
    <row r="602" spans="1:65">
      <c r="A602" s="473">
        <v>546</v>
      </c>
      <c r="B602" s="132"/>
      <c r="C602" s="332"/>
      <c r="D602" s="333"/>
      <c r="E602" s="333"/>
      <c r="F602" s="334"/>
      <c r="G602" s="337"/>
      <c r="H602" s="131"/>
      <c r="I602" s="337"/>
      <c r="J602" s="131"/>
      <c r="K602" s="458" t="str">
        <f t="shared" si="320"/>
        <v/>
      </c>
      <c r="L602" s="458">
        <f t="shared" si="321"/>
        <v>0</v>
      </c>
      <c r="M602" s="458">
        <f t="shared" si="322"/>
        <v>0</v>
      </c>
      <c r="N602" s="459" t="str">
        <f t="shared" si="283"/>
        <v/>
      </c>
      <c r="O602" s="459" t="str">
        <f t="shared" si="284"/>
        <v/>
      </c>
      <c r="P602" s="459" t="str">
        <f t="shared" si="285"/>
        <v/>
      </c>
      <c r="Q602" s="459" t="str">
        <f t="shared" si="286"/>
        <v/>
      </c>
      <c r="R602" s="459" t="str">
        <f t="shared" si="287"/>
        <v/>
      </c>
      <c r="S602" s="459" t="str">
        <f t="shared" si="288"/>
        <v/>
      </c>
      <c r="T602" s="566" t="str">
        <f t="shared" si="323"/>
        <v/>
      </c>
      <c r="U602" s="702"/>
      <c r="V602" s="132"/>
      <c r="W602" s="133"/>
      <c r="X602" s="134"/>
      <c r="Y602" s="135"/>
      <c r="Z602" s="137"/>
      <c r="AA602" s="136"/>
      <c r="AB602" s="566" t="str">
        <f t="shared" si="324"/>
        <v/>
      </c>
      <c r="AC602" s="568" t="str">
        <f t="shared" si="325"/>
        <v/>
      </c>
      <c r="AD602" s="137"/>
      <c r="AE602" s="137"/>
      <c r="AF602" s="138"/>
      <c r="AG602" s="138"/>
      <c r="AH602" s="592" t="str">
        <f t="shared" si="326"/>
        <v/>
      </c>
      <c r="AI602" s="592" t="str">
        <f t="shared" si="327"/>
        <v/>
      </c>
      <c r="AJ602" s="592" t="str">
        <f t="shared" si="328"/>
        <v/>
      </c>
      <c r="AK602" s="460" t="str">
        <f>IF(AU602="","",IF(OR(AZ602=8,AZ602=9),0,IF(OR(AW602=3,AW602=4,AW602=5,AW602=6),IF(LEFT(BF602,1)="1",INDEX(係数_NOX・PM低減,MATCH(AY602,【参考】排出係数!$AI$801:$AI$804,1),1),VLOOKUP(AU602,INDEX((係数_バス貨物_ガソリン,係数_バス貨物_CNG,係数_バス貨物_軽油,係数_バス貨物_メタノール,係数_バス貨物_LPG),MATCH(AY602,【参考】排出係数!$AI$4:$AI$671,1),1,BE602):INDEX((係数_バス貨物_ガソリン,係数_バス貨物_CNG,係数_バス貨物_軽油,係数_バス貨物_メタノール,係数_バス貨物_LPG),MATCH(AY602+1,【参考】排出係数!$AI$4:$AI$671,1)-1,5,BE602),4,FALSE)),IF(AND(BE602=3,LEFT(BF602,1)="1"),0.48,VLOOKUP(AU602,INDEX((係数_乗用_ガソリン,係数_乗用_CNG,係数_乗用_軽油,係数_乗用_メタノール,係数_乗用_LPG),1,1,BE602):INDEX((係数_乗用_ガソリン,係数_乗用_CNG,係数_乗用_軽油,係数_乗用_メタノール,係数_乗用_LPG),125,5,BE602),4,FALSE)))))</f>
        <v/>
      </c>
      <c r="AL602" s="461" t="str">
        <f t="shared" si="329"/>
        <v/>
      </c>
      <c r="AM602" s="460" t="str">
        <f>IF(AU602="","",IF(OR(AZ602=8,AZ602=9),0,IF(OR(AW602=3,AW602=4,AW602=5,AW602=6),IF(LEFT(BH602,1)="1",INDEX(係数_PM低減,MATCH(AY602,【参考】排出係数!$AI$801:$AI$804,1),MATCH(BI602,【参考】排出係数!$AL$798:$AO$798,1)),VLOOKUP(AU602,INDEX((係数_バス貨物_ガソリン,係数_バス貨物_CNG,係数_バス貨物_軽油,係数_バス貨物_メタノール,係数_バス貨物_LPG),MATCH(AY602,【参考】排出係数!$AI$4:$AI$671,1),1,BE602):INDEX((係数_バス貨物_ガソリン,係数_バス貨物_CNG,係数_バス貨物_軽油,係数_バス貨物_メタノール,係数_バス貨物_LPG),MATCH(AY602+1,【参考】排出係数!$AI$4:$AI$671,1)-1,5,BE602),5,FALSE)),IF(AND(BE602=3,LEFT(BF602,1)="1"),0.055,VLOOKUP(AU602,INDEX((係数_乗用_ガソリン,係数_乗用_CNG,係数_乗用_軽油,係数_乗用_メタノール,係数_乗用_LPG),1,1,BE602):INDEX((係数_乗用_ガソリン,係数_乗用_CNG,係数_乗用_軽油,係数_乗用_メタノール,係数_乗用_LPG),125,5,BE602),5,FALSE)))))</f>
        <v/>
      </c>
      <c r="AN602" s="461" t="str">
        <f t="shared" si="330"/>
        <v/>
      </c>
      <c r="AO602" s="462" t="str">
        <f t="shared" si="331"/>
        <v/>
      </c>
      <c r="AP602" s="463" t="str">
        <f t="shared" si="332"/>
        <v/>
      </c>
      <c r="AQ602" s="464"/>
      <c r="AR602" s="619"/>
      <c r="AS602" s="465" t="str">
        <f t="shared" si="334"/>
        <v/>
      </c>
      <c r="AT602" s="465" t="str">
        <f t="shared" si="335"/>
        <v/>
      </c>
      <c r="AU602" s="466" t="str">
        <f t="shared" si="336"/>
        <v/>
      </c>
      <c r="AV602" s="467" t="str">
        <f t="shared" si="337"/>
        <v/>
      </c>
      <c r="AW602" s="467" t="str">
        <f t="shared" si="338"/>
        <v/>
      </c>
      <c r="AX602" s="467" t="str">
        <f t="shared" si="339"/>
        <v/>
      </c>
      <c r="AY602" s="467" t="str">
        <f t="shared" si="340"/>
        <v/>
      </c>
      <c r="AZ602" s="467" t="str">
        <f t="shared" si="341"/>
        <v/>
      </c>
      <c r="BA602" s="468" t="str">
        <f>IF(AS602="","",IF(OR(AU602="",AU602="-"),"－",IF(OR(AZ602=8,AZ602=9),"",IF(OR(AW602=3,AW602=4,AW602=5,AW602=6),VLOOKUP(AU602,INDEX((係数_バス貨物_ガソリン,係数_バス貨物_CNG,係数_バス貨物_軽油,係数_バス貨物_メタノール,係数_バス貨物_LPG),MATCH(AY602,【参考】排出係数!$AI$4:$AI$671,1),1,BE602):INDEX((係数_バス貨物_ガソリン,係数_バス貨物_CNG,係数_バス貨物_軽油,係数_バス貨物_メタノール,係数_バス貨物_LPG),MATCH(AY602+1,【参考】排出係数!$AI$4:$AI$671,1)-1,5,BE602),2,FALSE),IF(OR(AW602=1,AW602=2),VLOOKUP(AU602,INDEX((係数_乗用_ガソリン,係数_乗用_CNG,係数_乗用_軽油,係数_乗用_メタノール,係数_乗用_LPG),1,1,BE602):INDEX((係数_乗用_ガソリン,係数_乗用_CNG,係数_乗用_軽油,係数_乗用_メタノール,係数_乗用_LPG),125,5,BE602),2,FALSE))))))</f>
        <v/>
      </c>
      <c r="BB602" s="468" t="str">
        <f>IF(T602="","",IF(OR(AU602="",AU602="-"),"－",IF(OR(AZ602=8,AZ602=9),"",IF(OR(AW602=3,AW602=4,AW602=5,AW602=6),VLOOKUP(AU602,INDEX((係数_バス貨物_ガソリン,係数_バス貨物_CNG,係数_バス貨物_軽油,係数_バス貨物_メタノール,係数_バス貨物_LPG),MATCH(AY602,【参考】排出係数!$AI$4:$AI$671,1),1,BE602):INDEX((係数_バス貨物_ガソリン,係数_バス貨物_CNG,係数_バス貨物_軽油,係数_バス貨物_メタノール,係数_バス貨物_LPG),MATCH(AY602+1,【参考】排出係数!$AI$4:$AI$671,1)-1,5,BE602),3,FALSE),IF(OR(AW602=1,AW602=2),VLOOKUP(AU602,INDEX((係数_乗用_ガソリン,係数_乗用_CNG,係数_乗用_軽油,係数_乗用_メタノール,係数_乗用_LPG),1,1,BE602):INDEX((係数_乗用_ガソリン,係数_乗用_CNG,係数_乗用_軽油,係数_乗用_メタノール,係数_乗用_LPG),125,5,BE602),3,FALSE))))))</f>
        <v/>
      </c>
      <c r="BC602" s="467" t="str">
        <f t="shared" si="342"/>
        <v/>
      </c>
      <c r="BD602" s="567" t="str">
        <f t="shared" si="343"/>
        <v/>
      </c>
      <c r="BE602" s="467" t="str">
        <f t="shared" si="344"/>
        <v/>
      </c>
      <c r="BF602" s="469" t="str">
        <f t="shared" ca="1" si="345"/>
        <v/>
      </c>
      <c r="BG602" s="469" t="str">
        <f t="shared" ca="1" si="346"/>
        <v/>
      </c>
      <c r="BH602" s="467" t="str">
        <f t="shared" si="347"/>
        <v/>
      </c>
      <c r="BI602" s="467" t="str">
        <f t="shared" ca="1" si="348"/>
        <v/>
      </c>
      <c r="BJ602" s="469" t="str">
        <f t="shared" si="349"/>
        <v/>
      </c>
      <c r="BK602" s="470" t="str">
        <f t="shared" si="333"/>
        <v/>
      </c>
      <c r="BL602" s="775" t="str">
        <f t="shared" si="350"/>
        <v/>
      </c>
      <c r="BM602" s="775" t="str">
        <f t="shared" si="351"/>
        <v/>
      </c>
    </row>
    <row r="603" spans="1:65">
      <c r="A603" s="473">
        <v>547</v>
      </c>
      <c r="B603" s="132"/>
      <c r="C603" s="332"/>
      <c r="D603" s="333"/>
      <c r="E603" s="333"/>
      <c r="F603" s="334"/>
      <c r="G603" s="337"/>
      <c r="H603" s="131"/>
      <c r="I603" s="337"/>
      <c r="J603" s="131"/>
      <c r="K603" s="458" t="str">
        <f t="shared" si="320"/>
        <v/>
      </c>
      <c r="L603" s="458">
        <f t="shared" si="321"/>
        <v>0</v>
      </c>
      <c r="M603" s="458">
        <f t="shared" si="322"/>
        <v>0</v>
      </c>
      <c r="N603" s="459" t="str">
        <f t="shared" si="283"/>
        <v/>
      </c>
      <c r="O603" s="459" t="str">
        <f t="shared" si="284"/>
        <v/>
      </c>
      <c r="P603" s="459" t="str">
        <f t="shared" si="285"/>
        <v/>
      </c>
      <c r="Q603" s="459" t="str">
        <f t="shared" si="286"/>
        <v/>
      </c>
      <c r="R603" s="459" t="str">
        <f t="shared" si="287"/>
        <v/>
      </c>
      <c r="S603" s="459" t="str">
        <f t="shared" si="288"/>
        <v/>
      </c>
      <c r="T603" s="566" t="str">
        <f t="shared" si="323"/>
        <v/>
      </c>
      <c r="U603" s="702"/>
      <c r="V603" s="132"/>
      <c r="W603" s="133"/>
      <c r="X603" s="134"/>
      <c r="Y603" s="135"/>
      <c r="Z603" s="137"/>
      <c r="AA603" s="136"/>
      <c r="AB603" s="566" t="str">
        <f t="shared" si="324"/>
        <v/>
      </c>
      <c r="AC603" s="568" t="str">
        <f t="shared" si="325"/>
        <v/>
      </c>
      <c r="AD603" s="137"/>
      <c r="AE603" s="137"/>
      <c r="AF603" s="138"/>
      <c r="AG603" s="138"/>
      <c r="AH603" s="592" t="str">
        <f t="shared" si="326"/>
        <v/>
      </c>
      <c r="AI603" s="592" t="str">
        <f t="shared" si="327"/>
        <v/>
      </c>
      <c r="AJ603" s="592" t="str">
        <f t="shared" si="328"/>
        <v/>
      </c>
      <c r="AK603" s="460" t="str">
        <f>IF(AU603="","",IF(OR(AZ603=8,AZ603=9),0,IF(OR(AW603=3,AW603=4,AW603=5,AW603=6),IF(LEFT(BF603,1)="1",INDEX(係数_NOX・PM低減,MATCH(AY603,【参考】排出係数!$AI$801:$AI$804,1),1),VLOOKUP(AU603,INDEX((係数_バス貨物_ガソリン,係数_バス貨物_CNG,係数_バス貨物_軽油,係数_バス貨物_メタノール,係数_バス貨物_LPG),MATCH(AY603,【参考】排出係数!$AI$4:$AI$671,1),1,BE603):INDEX((係数_バス貨物_ガソリン,係数_バス貨物_CNG,係数_バス貨物_軽油,係数_バス貨物_メタノール,係数_バス貨物_LPG),MATCH(AY603+1,【参考】排出係数!$AI$4:$AI$671,1)-1,5,BE603),4,FALSE)),IF(AND(BE603=3,LEFT(BF603,1)="1"),0.48,VLOOKUP(AU603,INDEX((係数_乗用_ガソリン,係数_乗用_CNG,係数_乗用_軽油,係数_乗用_メタノール,係数_乗用_LPG),1,1,BE603):INDEX((係数_乗用_ガソリン,係数_乗用_CNG,係数_乗用_軽油,係数_乗用_メタノール,係数_乗用_LPG),125,5,BE603),4,FALSE)))))</f>
        <v/>
      </c>
      <c r="AL603" s="461" t="str">
        <f t="shared" si="329"/>
        <v/>
      </c>
      <c r="AM603" s="460" t="str">
        <f>IF(AU603="","",IF(OR(AZ603=8,AZ603=9),0,IF(OR(AW603=3,AW603=4,AW603=5,AW603=6),IF(LEFT(BH603,1)="1",INDEX(係数_PM低減,MATCH(AY603,【参考】排出係数!$AI$801:$AI$804,1),MATCH(BI603,【参考】排出係数!$AL$798:$AO$798,1)),VLOOKUP(AU603,INDEX((係数_バス貨物_ガソリン,係数_バス貨物_CNG,係数_バス貨物_軽油,係数_バス貨物_メタノール,係数_バス貨物_LPG),MATCH(AY603,【参考】排出係数!$AI$4:$AI$671,1),1,BE603):INDEX((係数_バス貨物_ガソリン,係数_バス貨物_CNG,係数_バス貨物_軽油,係数_バス貨物_メタノール,係数_バス貨物_LPG),MATCH(AY603+1,【参考】排出係数!$AI$4:$AI$671,1)-1,5,BE603),5,FALSE)),IF(AND(BE603=3,LEFT(BF603,1)="1"),0.055,VLOOKUP(AU603,INDEX((係数_乗用_ガソリン,係数_乗用_CNG,係数_乗用_軽油,係数_乗用_メタノール,係数_乗用_LPG),1,1,BE603):INDEX((係数_乗用_ガソリン,係数_乗用_CNG,係数_乗用_軽油,係数_乗用_メタノール,係数_乗用_LPG),125,5,BE603),5,FALSE)))))</f>
        <v/>
      </c>
      <c r="AN603" s="461" t="str">
        <f t="shared" si="330"/>
        <v/>
      </c>
      <c r="AO603" s="462" t="str">
        <f t="shared" si="331"/>
        <v/>
      </c>
      <c r="AP603" s="463" t="str">
        <f t="shared" si="332"/>
        <v/>
      </c>
      <c r="AQ603" s="464"/>
      <c r="AR603" s="619"/>
      <c r="AS603" s="465" t="str">
        <f t="shared" si="334"/>
        <v/>
      </c>
      <c r="AT603" s="465" t="str">
        <f t="shared" si="335"/>
        <v/>
      </c>
      <c r="AU603" s="466" t="str">
        <f t="shared" si="336"/>
        <v/>
      </c>
      <c r="AV603" s="467" t="str">
        <f t="shared" si="337"/>
        <v/>
      </c>
      <c r="AW603" s="467" t="str">
        <f t="shared" si="338"/>
        <v/>
      </c>
      <c r="AX603" s="467" t="str">
        <f t="shared" si="339"/>
        <v/>
      </c>
      <c r="AY603" s="467" t="str">
        <f t="shared" si="340"/>
        <v/>
      </c>
      <c r="AZ603" s="467" t="str">
        <f t="shared" si="341"/>
        <v/>
      </c>
      <c r="BA603" s="468" t="str">
        <f>IF(AS603="","",IF(OR(AU603="",AU603="-"),"－",IF(OR(AZ603=8,AZ603=9),"",IF(OR(AW603=3,AW603=4,AW603=5,AW603=6),VLOOKUP(AU603,INDEX((係数_バス貨物_ガソリン,係数_バス貨物_CNG,係数_バス貨物_軽油,係数_バス貨物_メタノール,係数_バス貨物_LPG),MATCH(AY603,【参考】排出係数!$AI$4:$AI$671,1),1,BE603):INDEX((係数_バス貨物_ガソリン,係数_バス貨物_CNG,係数_バス貨物_軽油,係数_バス貨物_メタノール,係数_バス貨物_LPG),MATCH(AY603+1,【参考】排出係数!$AI$4:$AI$671,1)-1,5,BE603),2,FALSE),IF(OR(AW603=1,AW603=2),VLOOKUP(AU603,INDEX((係数_乗用_ガソリン,係数_乗用_CNG,係数_乗用_軽油,係数_乗用_メタノール,係数_乗用_LPG),1,1,BE603):INDEX((係数_乗用_ガソリン,係数_乗用_CNG,係数_乗用_軽油,係数_乗用_メタノール,係数_乗用_LPG),125,5,BE603),2,FALSE))))))</f>
        <v/>
      </c>
      <c r="BB603" s="468" t="str">
        <f>IF(T603="","",IF(OR(AU603="",AU603="-"),"－",IF(OR(AZ603=8,AZ603=9),"",IF(OR(AW603=3,AW603=4,AW603=5,AW603=6),VLOOKUP(AU603,INDEX((係数_バス貨物_ガソリン,係数_バス貨物_CNG,係数_バス貨物_軽油,係数_バス貨物_メタノール,係数_バス貨物_LPG),MATCH(AY603,【参考】排出係数!$AI$4:$AI$671,1),1,BE603):INDEX((係数_バス貨物_ガソリン,係数_バス貨物_CNG,係数_バス貨物_軽油,係数_バス貨物_メタノール,係数_バス貨物_LPG),MATCH(AY603+1,【参考】排出係数!$AI$4:$AI$671,1)-1,5,BE603),3,FALSE),IF(OR(AW603=1,AW603=2),VLOOKUP(AU603,INDEX((係数_乗用_ガソリン,係数_乗用_CNG,係数_乗用_軽油,係数_乗用_メタノール,係数_乗用_LPG),1,1,BE603):INDEX((係数_乗用_ガソリン,係数_乗用_CNG,係数_乗用_軽油,係数_乗用_メタノール,係数_乗用_LPG),125,5,BE603),3,FALSE))))))</f>
        <v/>
      </c>
      <c r="BC603" s="467" t="str">
        <f t="shared" si="342"/>
        <v/>
      </c>
      <c r="BD603" s="567" t="str">
        <f t="shared" si="343"/>
        <v/>
      </c>
      <c r="BE603" s="467" t="str">
        <f t="shared" si="344"/>
        <v/>
      </c>
      <c r="BF603" s="469" t="str">
        <f t="shared" ca="1" si="345"/>
        <v/>
      </c>
      <c r="BG603" s="469" t="str">
        <f t="shared" ca="1" si="346"/>
        <v/>
      </c>
      <c r="BH603" s="467" t="str">
        <f t="shared" si="347"/>
        <v/>
      </c>
      <c r="BI603" s="467" t="str">
        <f t="shared" ca="1" si="348"/>
        <v/>
      </c>
      <c r="BJ603" s="469" t="str">
        <f t="shared" si="349"/>
        <v/>
      </c>
      <c r="BK603" s="470" t="str">
        <f t="shared" si="333"/>
        <v/>
      </c>
      <c r="BL603" s="775" t="str">
        <f t="shared" si="350"/>
        <v/>
      </c>
      <c r="BM603" s="775" t="str">
        <f t="shared" si="351"/>
        <v/>
      </c>
    </row>
    <row r="604" spans="1:65">
      <c r="A604" s="473">
        <v>548</v>
      </c>
      <c r="B604" s="132"/>
      <c r="C604" s="332"/>
      <c r="D604" s="333"/>
      <c r="E604" s="333"/>
      <c r="F604" s="334"/>
      <c r="G604" s="337"/>
      <c r="H604" s="131"/>
      <c r="I604" s="337"/>
      <c r="J604" s="131"/>
      <c r="K604" s="458" t="str">
        <f t="shared" si="320"/>
        <v/>
      </c>
      <c r="L604" s="458">
        <f t="shared" si="321"/>
        <v>0</v>
      </c>
      <c r="M604" s="458">
        <f t="shared" si="322"/>
        <v>0</v>
      </c>
      <c r="N604" s="459" t="str">
        <f t="shared" si="283"/>
        <v/>
      </c>
      <c r="O604" s="459" t="str">
        <f t="shared" si="284"/>
        <v/>
      </c>
      <c r="P604" s="459" t="str">
        <f t="shared" si="285"/>
        <v/>
      </c>
      <c r="Q604" s="459" t="str">
        <f t="shared" si="286"/>
        <v/>
      </c>
      <c r="R604" s="459" t="str">
        <f t="shared" si="287"/>
        <v/>
      </c>
      <c r="S604" s="459" t="str">
        <f t="shared" si="288"/>
        <v/>
      </c>
      <c r="T604" s="566" t="str">
        <f t="shared" si="323"/>
        <v/>
      </c>
      <c r="U604" s="702"/>
      <c r="V604" s="132"/>
      <c r="W604" s="133"/>
      <c r="X604" s="134"/>
      <c r="Y604" s="135"/>
      <c r="Z604" s="137"/>
      <c r="AA604" s="136"/>
      <c r="AB604" s="566" t="str">
        <f t="shared" si="324"/>
        <v/>
      </c>
      <c r="AC604" s="568" t="str">
        <f t="shared" si="325"/>
        <v/>
      </c>
      <c r="AD604" s="137"/>
      <c r="AE604" s="137"/>
      <c r="AF604" s="138"/>
      <c r="AG604" s="138"/>
      <c r="AH604" s="592" t="str">
        <f t="shared" si="326"/>
        <v/>
      </c>
      <c r="AI604" s="592" t="str">
        <f t="shared" si="327"/>
        <v/>
      </c>
      <c r="AJ604" s="592" t="str">
        <f t="shared" si="328"/>
        <v/>
      </c>
      <c r="AK604" s="460" t="str">
        <f>IF(AU604="","",IF(OR(AZ604=8,AZ604=9),0,IF(OR(AW604=3,AW604=4,AW604=5,AW604=6),IF(LEFT(BF604,1)="1",INDEX(係数_NOX・PM低減,MATCH(AY604,【参考】排出係数!$AI$801:$AI$804,1),1),VLOOKUP(AU604,INDEX((係数_バス貨物_ガソリン,係数_バス貨物_CNG,係数_バス貨物_軽油,係数_バス貨物_メタノール,係数_バス貨物_LPG),MATCH(AY604,【参考】排出係数!$AI$4:$AI$671,1),1,BE604):INDEX((係数_バス貨物_ガソリン,係数_バス貨物_CNG,係数_バス貨物_軽油,係数_バス貨物_メタノール,係数_バス貨物_LPG),MATCH(AY604+1,【参考】排出係数!$AI$4:$AI$671,1)-1,5,BE604),4,FALSE)),IF(AND(BE604=3,LEFT(BF604,1)="1"),0.48,VLOOKUP(AU604,INDEX((係数_乗用_ガソリン,係数_乗用_CNG,係数_乗用_軽油,係数_乗用_メタノール,係数_乗用_LPG),1,1,BE604):INDEX((係数_乗用_ガソリン,係数_乗用_CNG,係数_乗用_軽油,係数_乗用_メタノール,係数_乗用_LPG),125,5,BE604),4,FALSE)))))</f>
        <v/>
      </c>
      <c r="AL604" s="461" t="str">
        <f t="shared" si="329"/>
        <v/>
      </c>
      <c r="AM604" s="460" t="str">
        <f>IF(AU604="","",IF(OR(AZ604=8,AZ604=9),0,IF(OR(AW604=3,AW604=4,AW604=5,AW604=6),IF(LEFT(BH604,1)="1",INDEX(係数_PM低減,MATCH(AY604,【参考】排出係数!$AI$801:$AI$804,1),MATCH(BI604,【参考】排出係数!$AL$798:$AO$798,1)),VLOOKUP(AU604,INDEX((係数_バス貨物_ガソリン,係数_バス貨物_CNG,係数_バス貨物_軽油,係数_バス貨物_メタノール,係数_バス貨物_LPG),MATCH(AY604,【参考】排出係数!$AI$4:$AI$671,1),1,BE604):INDEX((係数_バス貨物_ガソリン,係数_バス貨物_CNG,係数_バス貨物_軽油,係数_バス貨物_メタノール,係数_バス貨物_LPG),MATCH(AY604+1,【参考】排出係数!$AI$4:$AI$671,1)-1,5,BE604),5,FALSE)),IF(AND(BE604=3,LEFT(BF604,1)="1"),0.055,VLOOKUP(AU604,INDEX((係数_乗用_ガソリン,係数_乗用_CNG,係数_乗用_軽油,係数_乗用_メタノール,係数_乗用_LPG),1,1,BE604):INDEX((係数_乗用_ガソリン,係数_乗用_CNG,係数_乗用_軽油,係数_乗用_メタノール,係数_乗用_LPG),125,5,BE604),5,FALSE)))))</f>
        <v/>
      </c>
      <c r="AN604" s="461" t="str">
        <f t="shared" si="330"/>
        <v/>
      </c>
      <c r="AO604" s="462" t="str">
        <f t="shared" si="331"/>
        <v/>
      </c>
      <c r="AP604" s="463" t="str">
        <f t="shared" si="332"/>
        <v/>
      </c>
      <c r="AQ604" s="464"/>
      <c r="AR604" s="619"/>
      <c r="AS604" s="465" t="str">
        <f t="shared" si="334"/>
        <v/>
      </c>
      <c r="AT604" s="465" t="str">
        <f t="shared" si="335"/>
        <v/>
      </c>
      <c r="AU604" s="466" t="str">
        <f t="shared" si="336"/>
        <v/>
      </c>
      <c r="AV604" s="467" t="str">
        <f t="shared" si="337"/>
        <v/>
      </c>
      <c r="AW604" s="467" t="str">
        <f t="shared" si="338"/>
        <v/>
      </c>
      <c r="AX604" s="467" t="str">
        <f t="shared" si="339"/>
        <v/>
      </c>
      <c r="AY604" s="467" t="str">
        <f t="shared" si="340"/>
        <v/>
      </c>
      <c r="AZ604" s="467" t="str">
        <f t="shared" si="341"/>
        <v/>
      </c>
      <c r="BA604" s="468" t="str">
        <f>IF(AS604="","",IF(OR(AU604="",AU604="-"),"－",IF(OR(AZ604=8,AZ604=9),"",IF(OR(AW604=3,AW604=4,AW604=5,AW604=6),VLOOKUP(AU604,INDEX((係数_バス貨物_ガソリン,係数_バス貨物_CNG,係数_バス貨物_軽油,係数_バス貨物_メタノール,係数_バス貨物_LPG),MATCH(AY604,【参考】排出係数!$AI$4:$AI$671,1),1,BE604):INDEX((係数_バス貨物_ガソリン,係数_バス貨物_CNG,係数_バス貨物_軽油,係数_バス貨物_メタノール,係数_バス貨物_LPG),MATCH(AY604+1,【参考】排出係数!$AI$4:$AI$671,1)-1,5,BE604),2,FALSE),IF(OR(AW604=1,AW604=2),VLOOKUP(AU604,INDEX((係数_乗用_ガソリン,係数_乗用_CNG,係数_乗用_軽油,係数_乗用_メタノール,係数_乗用_LPG),1,1,BE604):INDEX((係数_乗用_ガソリン,係数_乗用_CNG,係数_乗用_軽油,係数_乗用_メタノール,係数_乗用_LPG),125,5,BE604),2,FALSE))))))</f>
        <v/>
      </c>
      <c r="BB604" s="468" t="str">
        <f>IF(T604="","",IF(OR(AU604="",AU604="-"),"－",IF(OR(AZ604=8,AZ604=9),"",IF(OR(AW604=3,AW604=4,AW604=5,AW604=6),VLOOKUP(AU604,INDEX((係数_バス貨物_ガソリン,係数_バス貨物_CNG,係数_バス貨物_軽油,係数_バス貨物_メタノール,係数_バス貨物_LPG),MATCH(AY604,【参考】排出係数!$AI$4:$AI$671,1),1,BE604):INDEX((係数_バス貨物_ガソリン,係数_バス貨物_CNG,係数_バス貨物_軽油,係数_バス貨物_メタノール,係数_バス貨物_LPG),MATCH(AY604+1,【参考】排出係数!$AI$4:$AI$671,1)-1,5,BE604),3,FALSE),IF(OR(AW604=1,AW604=2),VLOOKUP(AU604,INDEX((係数_乗用_ガソリン,係数_乗用_CNG,係数_乗用_軽油,係数_乗用_メタノール,係数_乗用_LPG),1,1,BE604):INDEX((係数_乗用_ガソリン,係数_乗用_CNG,係数_乗用_軽油,係数_乗用_メタノール,係数_乗用_LPG),125,5,BE604),3,FALSE))))))</f>
        <v/>
      </c>
      <c r="BC604" s="467" t="str">
        <f t="shared" si="342"/>
        <v/>
      </c>
      <c r="BD604" s="567" t="str">
        <f t="shared" si="343"/>
        <v/>
      </c>
      <c r="BE604" s="467" t="str">
        <f t="shared" si="344"/>
        <v/>
      </c>
      <c r="BF604" s="469" t="str">
        <f t="shared" ca="1" si="345"/>
        <v/>
      </c>
      <c r="BG604" s="469" t="str">
        <f t="shared" ca="1" si="346"/>
        <v/>
      </c>
      <c r="BH604" s="467" t="str">
        <f t="shared" si="347"/>
        <v/>
      </c>
      <c r="BI604" s="467" t="str">
        <f t="shared" ca="1" si="348"/>
        <v/>
      </c>
      <c r="BJ604" s="469" t="str">
        <f t="shared" si="349"/>
        <v/>
      </c>
      <c r="BK604" s="470" t="str">
        <f t="shared" si="333"/>
        <v/>
      </c>
      <c r="BL604" s="775" t="str">
        <f t="shared" si="350"/>
        <v/>
      </c>
      <c r="BM604" s="775" t="str">
        <f t="shared" si="351"/>
        <v/>
      </c>
    </row>
    <row r="605" spans="1:65">
      <c r="A605" s="473">
        <v>549</v>
      </c>
      <c r="B605" s="132"/>
      <c r="C605" s="332"/>
      <c r="D605" s="333"/>
      <c r="E605" s="333"/>
      <c r="F605" s="334"/>
      <c r="G605" s="337"/>
      <c r="H605" s="131"/>
      <c r="I605" s="337"/>
      <c r="J605" s="131"/>
      <c r="K605" s="458" t="str">
        <f t="shared" si="320"/>
        <v/>
      </c>
      <c r="L605" s="458">
        <f t="shared" si="321"/>
        <v>0</v>
      </c>
      <c r="M605" s="458">
        <f t="shared" si="322"/>
        <v>0</v>
      </c>
      <c r="N605" s="459" t="str">
        <f t="shared" si="283"/>
        <v/>
      </c>
      <c r="O605" s="459" t="str">
        <f t="shared" si="284"/>
        <v/>
      </c>
      <c r="P605" s="459" t="str">
        <f t="shared" si="285"/>
        <v/>
      </c>
      <c r="Q605" s="459" t="str">
        <f t="shared" si="286"/>
        <v/>
      </c>
      <c r="R605" s="459" t="str">
        <f t="shared" si="287"/>
        <v/>
      </c>
      <c r="S605" s="459" t="str">
        <f t="shared" si="288"/>
        <v/>
      </c>
      <c r="T605" s="566" t="str">
        <f t="shared" si="323"/>
        <v/>
      </c>
      <c r="U605" s="702"/>
      <c r="V605" s="132"/>
      <c r="W605" s="133"/>
      <c r="X605" s="134"/>
      <c r="Y605" s="135"/>
      <c r="Z605" s="137"/>
      <c r="AA605" s="136"/>
      <c r="AB605" s="566" t="str">
        <f t="shared" si="324"/>
        <v/>
      </c>
      <c r="AC605" s="568" t="str">
        <f t="shared" si="325"/>
        <v/>
      </c>
      <c r="AD605" s="137"/>
      <c r="AE605" s="137"/>
      <c r="AF605" s="138"/>
      <c r="AG605" s="138"/>
      <c r="AH605" s="592" t="str">
        <f t="shared" si="326"/>
        <v/>
      </c>
      <c r="AI605" s="592" t="str">
        <f t="shared" si="327"/>
        <v/>
      </c>
      <c r="AJ605" s="592" t="str">
        <f t="shared" si="328"/>
        <v/>
      </c>
      <c r="AK605" s="460" t="str">
        <f>IF(AU605="","",IF(OR(AZ605=8,AZ605=9),0,IF(OR(AW605=3,AW605=4,AW605=5,AW605=6),IF(LEFT(BF605,1)="1",INDEX(係数_NOX・PM低減,MATCH(AY605,【参考】排出係数!$AI$801:$AI$804,1),1),VLOOKUP(AU605,INDEX((係数_バス貨物_ガソリン,係数_バス貨物_CNG,係数_バス貨物_軽油,係数_バス貨物_メタノール,係数_バス貨物_LPG),MATCH(AY605,【参考】排出係数!$AI$4:$AI$671,1),1,BE605):INDEX((係数_バス貨物_ガソリン,係数_バス貨物_CNG,係数_バス貨物_軽油,係数_バス貨物_メタノール,係数_バス貨物_LPG),MATCH(AY605+1,【参考】排出係数!$AI$4:$AI$671,1)-1,5,BE605),4,FALSE)),IF(AND(BE605=3,LEFT(BF605,1)="1"),0.48,VLOOKUP(AU605,INDEX((係数_乗用_ガソリン,係数_乗用_CNG,係数_乗用_軽油,係数_乗用_メタノール,係数_乗用_LPG),1,1,BE605):INDEX((係数_乗用_ガソリン,係数_乗用_CNG,係数_乗用_軽油,係数_乗用_メタノール,係数_乗用_LPG),125,5,BE605),4,FALSE)))))</f>
        <v/>
      </c>
      <c r="AL605" s="461" t="str">
        <f t="shared" si="329"/>
        <v/>
      </c>
      <c r="AM605" s="460" t="str">
        <f>IF(AU605="","",IF(OR(AZ605=8,AZ605=9),0,IF(OR(AW605=3,AW605=4,AW605=5,AW605=6),IF(LEFT(BH605,1)="1",INDEX(係数_PM低減,MATCH(AY605,【参考】排出係数!$AI$801:$AI$804,1),MATCH(BI605,【参考】排出係数!$AL$798:$AO$798,1)),VLOOKUP(AU605,INDEX((係数_バス貨物_ガソリン,係数_バス貨物_CNG,係数_バス貨物_軽油,係数_バス貨物_メタノール,係数_バス貨物_LPG),MATCH(AY605,【参考】排出係数!$AI$4:$AI$671,1),1,BE605):INDEX((係数_バス貨物_ガソリン,係数_バス貨物_CNG,係数_バス貨物_軽油,係数_バス貨物_メタノール,係数_バス貨物_LPG),MATCH(AY605+1,【参考】排出係数!$AI$4:$AI$671,1)-1,5,BE605),5,FALSE)),IF(AND(BE605=3,LEFT(BF605,1)="1"),0.055,VLOOKUP(AU605,INDEX((係数_乗用_ガソリン,係数_乗用_CNG,係数_乗用_軽油,係数_乗用_メタノール,係数_乗用_LPG),1,1,BE605):INDEX((係数_乗用_ガソリン,係数_乗用_CNG,係数_乗用_軽油,係数_乗用_メタノール,係数_乗用_LPG),125,5,BE605),5,FALSE)))))</f>
        <v/>
      </c>
      <c r="AN605" s="461" t="str">
        <f t="shared" si="330"/>
        <v/>
      </c>
      <c r="AO605" s="462" t="str">
        <f t="shared" si="331"/>
        <v/>
      </c>
      <c r="AP605" s="463" t="str">
        <f t="shared" si="332"/>
        <v/>
      </c>
      <c r="AQ605" s="464"/>
      <c r="AR605" s="619"/>
      <c r="AS605" s="465" t="str">
        <f t="shared" si="334"/>
        <v/>
      </c>
      <c r="AT605" s="465" t="str">
        <f t="shared" si="335"/>
        <v/>
      </c>
      <c r="AU605" s="466" t="str">
        <f t="shared" si="336"/>
        <v/>
      </c>
      <c r="AV605" s="467" t="str">
        <f t="shared" si="337"/>
        <v/>
      </c>
      <c r="AW605" s="467" t="str">
        <f t="shared" si="338"/>
        <v/>
      </c>
      <c r="AX605" s="467" t="str">
        <f t="shared" si="339"/>
        <v/>
      </c>
      <c r="AY605" s="467" t="str">
        <f t="shared" si="340"/>
        <v/>
      </c>
      <c r="AZ605" s="467" t="str">
        <f t="shared" si="341"/>
        <v/>
      </c>
      <c r="BA605" s="468" t="str">
        <f>IF(AS605="","",IF(OR(AU605="",AU605="-"),"－",IF(OR(AZ605=8,AZ605=9),"",IF(OR(AW605=3,AW605=4,AW605=5,AW605=6),VLOOKUP(AU605,INDEX((係数_バス貨物_ガソリン,係数_バス貨物_CNG,係数_バス貨物_軽油,係数_バス貨物_メタノール,係数_バス貨物_LPG),MATCH(AY605,【参考】排出係数!$AI$4:$AI$671,1),1,BE605):INDEX((係数_バス貨物_ガソリン,係数_バス貨物_CNG,係数_バス貨物_軽油,係数_バス貨物_メタノール,係数_バス貨物_LPG),MATCH(AY605+1,【参考】排出係数!$AI$4:$AI$671,1)-1,5,BE605),2,FALSE),IF(OR(AW605=1,AW605=2),VLOOKUP(AU605,INDEX((係数_乗用_ガソリン,係数_乗用_CNG,係数_乗用_軽油,係数_乗用_メタノール,係数_乗用_LPG),1,1,BE605):INDEX((係数_乗用_ガソリン,係数_乗用_CNG,係数_乗用_軽油,係数_乗用_メタノール,係数_乗用_LPG),125,5,BE605),2,FALSE))))))</f>
        <v/>
      </c>
      <c r="BB605" s="468" t="str">
        <f>IF(T605="","",IF(OR(AU605="",AU605="-"),"－",IF(OR(AZ605=8,AZ605=9),"",IF(OR(AW605=3,AW605=4,AW605=5,AW605=6),VLOOKUP(AU605,INDEX((係数_バス貨物_ガソリン,係数_バス貨物_CNG,係数_バス貨物_軽油,係数_バス貨物_メタノール,係数_バス貨物_LPG),MATCH(AY605,【参考】排出係数!$AI$4:$AI$671,1),1,BE605):INDEX((係数_バス貨物_ガソリン,係数_バス貨物_CNG,係数_バス貨物_軽油,係数_バス貨物_メタノール,係数_バス貨物_LPG),MATCH(AY605+1,【参考】排出係数!$AI$4:$AI$671,1)-1,5,BE605),3,FALSE),IF(OR(AW605=1,AW605=2),VLOOKUP(AU605,INDEX((係数_乗用_ガソリン,係数_乗用_CNG,係数_乗用_軽油,係数_乗用_メタノール,係数_乗用_LPG),1,1,BE605):INDEX((係数_乗用_ガソリン,係数_乗用_CNG,係数_乗用_軽油,係数_乗用_メタノール,係数_乗用_LPG),125,5,BE605),3,FALSE))))))</f>
        <v/>
      </c>
      <c r="BC605" s="467" t="str">
        <f t="shared" si="342"/>
        <v/>
      </c>
      <c r="BD605" s="567" t="str">
        <f t="shared" si="343"/>
        <v/>
      </c>
      <c r="BE605" s="467" t="str">
        <f t="shared" si="344"/>
        <v/>
      </c>
      <c r="BF605" s="469" t="str">
        <f t="shared" ca="1" si="345"/>
        <v/>
      </c>
      <c r="BG605" s="469" t="str">
        <f t="shared" ca="1" si="346"/>
        <v/>
      </c>
      <c r="BH605" s="467" t="str">
        <f t="shared" si="347"/>
        <v/>
      </c>
      <c r="BI605" s="467" t="str">
        <f t="shared" ca="1" si="348"/>
        <v/>
      </c>
      <c r="BJ605" s="469" t="str">
        <f t="shared" si="349"/>
        <v/>
      </c>
      <c r="BK605" s="470" t="str">
        <f t="shared" si="333"/>
        <v/>
      </c>
      <c r="BL605" s="775" t="str">
        <f t="shared" si="350"/>
        <v/>
      </c>
      <c r="BM605" s="775" t="str">
        <f t="shared" si="351"/>
        <v/>
      </c>
    </row>
    <row r="606" spans="1:65">
      <c r="A606" s="473">
        <v>550</v>
      </c>
      <c r="B606" s="132"/>
      <c r="C606" s="332"/>
      <c r="D606" s="333"/>
      <c r="E606" s="333"/>
      <c r="F606" s="334"/>
      <c r="G606" s="337"/>
      <c r="H606" s="131"/>
      <c r="I606" s="337"/>
      <c r="J606" s="131"/>
      <c r="K606" s="458" t="str">
        <f t="shared" si="320"/>
        <v/>
      </c>
      <c r="L606" s="458">
        <f t="shared" si="321"/>
        <v>0</v>
      </c>
      <c r="M606" s="458">
        <f t="shared" si="322"/>
        <v>0</v>
      </c>
      <c r="N606" s="459" t="str">
        <f t="shared" si="283"/>
        <v/>
      </c>
      <c r="O606" s="459" t="str">
        <f t="shared" si="284"/>
        <v/>
      </c>
      <c r="P606" s="459" t="str">
        <f t="shared" si="285"/>
        <v/>
      </c>
      <c r="Q606" s="459" t="str">
        <f t="shared" si="286"/>
        <v/>
      </c>
      <c r="R606" s="459" t="str">
        <f t="shared" si="287"/>
        <v/>
      </c>
      <c r="S606" s="459" t="str">
        <f t="shared" si="288"/>
        <v/>
      </c>
      <c r="T606" s="566" t="str">
        <f t="shared" si="323"/>
        <v/>
      </c>
      <c r="U606" s="702"/>
      <c r="V606" s="132"/>
      <c r="W606" s="133"/>
      <c r="X606" s="134"/>
      <c r="Y606" s="135"/>
      <c r="Z606" s="137"/>
      <c r="AA606" s="136"/>
      <c r="AB606" s="566" t="str">
        <f t="shared" si="324"/>
        <v/>
      </c>
      <c r="AC606" s="568" t="str">
        <f t="shared" si="325"/>
        <v/>
      </c>
      <c r="AD606" s="137"/>
      <c r="AE606" s="137"/>
      <c r="AF606" s="138"/>
      <c r="AG606" s="138"/>
      <c r="AH606" s="592" t="str">
        <f t="shared" si="326"/>
        <v/>
      </c>
      <c r="AI606" s="592" t="str">
        <f t="shared" si="327"/>
        <v/>
      </c>
      <c r="AJ606" s="592" t="str">
        <f t="shared" si="328"/>
        <v/>
      </c>
      <c r="AK606" s="460" t="str">
        <f>IF(AU606="","",IF(OR(AZ606=8,AZ606=9),0,IF(OR(AW606=3,AW606=4,AW606=5,AW606=6),IF(LEFT(BF606,1)="1",INDEX(係数_NOX・PM低減,MATCH(AY606,【参考】排出係数!$AI$801:$AI$804,1),1),VLOOKUP(AU606,INDEX((係数_バス貨物_ガソリン,係数_バス貨物_CNG,係数_バス貨物_軽油,係数_バス貨物_メタノール,係数_バス貨物_LPG),MATCH(AY606,【参考】排出係数!$AI$4:$AI$671,1),1,BE606):INDEX((係数_バス貨物_ガソリン,係数_バス貨物_CNG,係数_バス貨物_軽油,係数_バス貨物_メタノール,係数_バス貨物_LPG),MATCH(AY606+1,【参考】排出係数!$AI$4:$AI$671,1)-1,5,BE606),4,FALSE)),IF(AND(BE606=3,LEFT(BF606,1)="1"),0.48,VLOOKUP(AU606,INDEX((係数_乗用_ガソリン,係数_乗用_CNG,係数_乗用_軽油,係数_乗用_メタノール,係数_乗用_LPG),1,1,BE606):INDEX((係数_乗用_ガソリン,係数_乗用_CNG,係数_乗用_軽油,係数_乗用_メタノール,係数_乗用_LPG),125,5,BE606),4,FALSE)))))</f>
        <v/>
      </c>
      <c r="AL606" s="461" t="str">
        <f t="shared" si="329"/>
        <v/>
      </c>
      <c r="AM606" s="460" t="str">
        <f>IF(AU606="","",IF(OR(AZ606=8,AZ606=9),0,IF(OR(AW606=3,AW606=4,AW606=5,AW606=6),IF(LEFT(BH606,1)="1",INDEX(係数_PM低減,MATCH(AY606,【参考】排出係数!$AI$801:$AI$804,1),MATCH(BI606,【参考】排出係数!$AL$798:$AO$798,1)),VLOOKUP(AU606,INDEX((係数_バス貨物_ガソリン,係数_バス貨物_CNG,係数_バス貨物_軽油,係数_バス貨物_メタノール,係数_バス貨物_LPG),MATCH(AY606,【参考】排出係数!$AI$4:$AI$671,1),1,BE606):INDEX((係数_バス貨物_ガソリン,係数_バス貨物_CNG,係数_バス貨物_軽油,係数_バス貨物_メタノール,係数_バス貨物_LPG),MATCH(AY606+1,【参考】排出係数!$AI$4:$AI$671,1)-1,5,BE606),5,FALSE)),IF(AND(BE606=3,LEFT(BF606,1)="1"),0.055,VLOOKUP(AU606,INDEX((係数_乗用_ガソリン,係数_乗用_CNG,係数_乗用_軽油,係数_乗用_メタノール,係数_乗用_LPG),1,1,BE606):INDEX((係数_乗用_ガソリン,係数_乗用_CNG,係数_乗用_軽油,係数_乗用_メタノール,係数_乗用_LPG),125,5,BE606),5,FALSE)))))</f>
        <v/>
      </c>
      <c r="AN606" s="461" t="str">
        <f t="shared" si="330"/>
        <v/>
      </c>
      <c r="AO606" s="462" t="str">
        <f t="shared" si="331"/>
        <v/>
      </c>
      <c r="AP606" s="463" t="str">
        <f t="shared" si="332"/>
        <v/>
      </c>
      <c r="AQ606" s="464"/>
      <c r="AR606" s="619"/>
      <c r="AS606" s="465" t="str">
        <f t="shared" si="334"/>
        <v/>
      </c>
      <c r="AT606" s="465" t="str">
        <f t="shared" si="335"/>
        <v/>
      </c>
      <c r="AU606" s="466" t="str">
        <f t="shared" si="336"/>
        <v/>
      </c>
      <c r="AV606" s="467" t="str">
        <f t="shared" si="337"/>
        <v/>
      </c>
      <c r="AW606" s="467" t="str">
        <f t="shared" si="338"/>
        <v/>
      </c>
      <c r="AX606" s="467" t="str">
        <f t="shared" si="339"/>
        <v/>
      </c>
      <c r="AY606" s="467" t="str">
        <f t="shared" si="340"/>
        <v/>
      </c>
      <c r="AZ606" s="467" t="str">
        <f t="shared" si="341"/>
        <v/>
      </c>
      <c r="BA606" s="468" t="str">
        <f>IF(AS606="","",IF(OR(AU606="",AU606="-"),"－",IF(OR(AZ606=8,AZ606=9),"",IF(OR(AW606=3,AW606=4,AW606=5,AW606=6),VLOOKUP(AU606,INDEX((係数_バス貨物_ガソリン,係数_バス貨物_CNG,係数_バス貨物_軽油,係数_バス貨物_メタノール,係数_バス貨物_LPG),MATCH(AY606,【参考】排出係数!$AI$4:$AI$671,1),1,BE606):INDEX((係数_バス貨物_ガソリン,係数_バス貨物_CNG,係数_バス貨物_軽油,係数_バス貨物_メタノール,係数_バス貨物_LPG),MATCH(AY606+1,【参考】排出係数!$AI$4:$AI$671,1)-1,5,BE606),2,FALSE),IF(OR(AW606=1,AW606=2),VLOOKUP(AU606,INDEX((係数_乗用_ガソリン,係数_乗用_CNG,係数_乗用_軽油,係数_乗用_メタノール,係数_乗用_LPG),1,1,BE606):INDEX((係数_乗用_ガソリン,係数_乗用_CNG,係数_乗用_軽油,係数_乗用_メタノール,係数_乗用_LPG),125,5,BE606),2,FALSE))))))</f>
        <v/>
      </c>
      <c r="BB606" s="468" t="str">
        <f>IF(T606="","",IF(OR(AU606="",AU606="-"),"－",IF(OR(AZ606=8,AZ606=9),"",IF(OR(AW606=3,AW606=4,AW606=5,AW606=6),VLOOKUP(AU606,INDEX((係数_バス貨物_ガソリン,係数_バス貨物_CNG,係数_バス貨物_軽油,係数_バス貨物_メタノール,係数_バス貨物_LPG),MATCH(AY606,【参考】排出係数!$AI$4:$AI$671,1),1,BE606):INDEX((係数_バス貨物_ガソリン,係数_バス貨物_CNG,係数_バス貨物_軽油,係数_バス貨物_メタノール,係数_バス貨物_LPG),MATCH(AY606+1,【参考】排出係数!$AI$4:$AI$671,1)-1,5,BE606),3,FALSE),IF(OR(AW606=1,AW606=2),VLOOKUP(AU606,INDEX((係数_乗用_ガソリン,係数_乗用_CNG,係数_乗用_軽油,係数_乗用_メタノール,係数_乗用_LPG),1,1,BE606):INDEX((係数_乗用_ガソリン,係数_乗用_CNG,係数_乗用_軽油,係数_乗用_メタノール,係数_乗用_LPG),125,5,BE606),3,FALSE))))))</f>
        <v/>
      </c>
      <c r="BC606" s="467" t="str">
        <f t="shared" si="342"/>
        <v/>
      </c>
      <c r="BD606" s="567" t="str">
        <f t="shared" si="343"/>
        <v/>
      </c>
      <c r="BE606" s="467" t="str">
        <f t="shared" si="344"/>
        <v/>
      </c>
      <c r="BF606" s="469" t="str">
        <f t="shared" ca="1" si="345"/>
        <v/>
      </c>
      <c r="BG606" s="469" t="str">
        <f t="shared" ca="1" si="346"/>
        <v/>
      </c>
      <c r="BH606" s="467" t="str">
        <f t="shared" si="347"/>
        <v/>
      </c>
      <c r="BI606" s="467" t="str">
        <f t="shared" ca="1" si="348"/>
        <v/>
      </c>
      <c r="BJ606" s="469" t="str">
        <f t="shared" si="349"/>
        <v/>
      </c>
      <c r="BK606" s="470" t="str">
        <f t="shared" si="333"/>
        <v/>
      </c>
      <c r="BL606" s="775" t="str">
        <f t="shared" si="350"/>
        <v/>
      </c>
      <c r="BM606" s="775" t="str">
        <f t="shared" si="351"/>
        <v/>
      </c>
    </row>
    <row r="607" spans="1:65">
      <c r="A607" s="473">
        <v>551</v>
      </c>
      <c r="B607" s="132"/>
      <c r="C607" s="332"/>
      <c r="D607" s="333"/>
      <c r="E607" s="333"/>
      <c r="F607" s="334"/>
      <c r="G607" s="337"/>
      <c r="H607" s="131"/>
      <c r="I607" s="337"/>
      <c r="J607" s="131"/>
      <c r="K607" s="458" t="str">
        <f t="shared" si="320"/>
        <v/>
      </c>
      <c r="L607" s="458">
        <f t="shared" si="321"/>
        <v>0</v>
      </c>
      <c r="M607" s="458">
        <f t="shared" si="322"/>
        <v>0</v>
      </c>
      <c r="N607" s="459" t="str">
        <f t="shared" si="283"/>
        <v/>
      </c>
      <c r="O607" s="459" t="str">
        <f t="shared" si="284"/>
        <v/>
      </c>
      <c r="P607" s="459" t="str">
        <f t="shared" si="285"/>
        <v/>
      </c>
      <c r="Q607" s="459" t="str">
        <f t="shared" si="286"/>
        <v/>
      </c>
      <c r="R607" s="459" t="str">
        <f t="shared" si="287"/>
        <v/>
      </c>
      <c r="S607" s="459" t="str">
        <f t="shared" si="288"/>
        <v/>
      </c>
      <c r="T607" s="566" t="str">
        <f t="shared" si="323"/>
        <v/>
      </c>
      <c r="U607" s="702"/>
      <c r="V607" s="132"/>
      <c r="W607" s="133"/>
      <c r="X607" s="134"/>
      <c r="Y607" s="135"/>
      <c r="Z607" s="137"/>
      <c r="AA607" s="136"/>
      <c r="AB607" s="566" t="str">
        <f t="shared" si="324"/>
        <v/>
      </c>
      <c r="AC607" s="568" t="str">
        <f t="shared" si="325"/>
        <v/>
      </c>
      <c r="AD607" s="137"/>
      <c r="AE607" s="137"/>
      <c r="AF607" s="138"/>
      <c r="AG607" s="138"/>
      <c r="AH607" s="592" t="str">
        <f t="shared" si="326"/>
        <v/>
      </c>
      <c r="AI607" s="592" t="str">
        <f t="shared" si="327"/>
        <v/>
      </c>
      <c r="AJ607" s="592" t="str">
        <f t="shared" si="328"/>
        <v/>
      </c>
      <c r="AK607" s="460" t="str">
        <f>IF(AU607="","",IF(OR(AZ607=8,AZ607=9),0,IF(OR(AW607=3,AW607=4,AW607=5,AW607=6),IF(LEFT(BF607,1)="1",INDEX(係数_NOX・PM低減,MATCH(AY607,【参考】排出係数!$AI$801:$AI$804,1),1),VLOOKUP(AU607,INDEX((係数_バス貨物_ガソリン,係数_バス貨物_CNG,係数_バス貨物_軽油,係数_バス貨物_メタノール,係数_バス貨物_LPG),MATCH(AY607,【参考】排出係数!$AI$4:$AI$671,1),1,BE607):INDEX((係数_バス貨物_ガソリン,係数_バス貨物_CNG,係数_バス貨物_軽油,係数_バス貨物_メタノール,係数_バス貨物_LPG),MATCH(AY607+1,【参考】排出係数!$AI$4:$AI$671,1)-1,5,BE607),4,FALSE)),IF(AND(BE607=3,LEFT(BF607,1)="1"),0.48,VLOOKUP(AU607,INDEX((係数_乗用_ガソリン,係数_乗用_CNG,係数_乗用_軽油,係数_乗用_メタノール,係数_乗用_LPG),1,1,BE607):INDEX((係数_乗用_ガソリン,係数_乗用_CNG,係数_乗用_軽油,係数_乗用_メタノール,係数_乗用_LPG),125,5,BE607),4,FALSE)))))</f>
        <v/>
      </c>
      <c r="AL607" s="461" t="str">
        <f t="shared" si="329"/>
        <v/>
      </c>
      <c r="AM607" s="460" t="str">
        <f>IF(AU607="","",IF(OR(AZ607=8,AZ607=9),0,IF(OR(AW607=3,AW607=4,AW607=5,AW607=6),IF(LEFT(BH607,1)="1",INDEX(係数_PM低減,MATCH(AY607,【参考】排出係数!$AI$801:$AI$804,1),MATCH(BI607,【参考】排出係数!$AL$798:$AO$798,1)),VLOOKUP(AU607,INDEX((係数_バス貨物_ガソリン,係数_バス貨物_CNG,係数_バス貨物_軽油,係数_バス貨物_メタノール,係数_バス貨物_LPG),MATCH(AY607,【参考】排出係数!$AI$4:$AI$671,1),1,BE607):INDEX((係数_バス貨物_ガソリン,係数_バス貨物_CNG,係数_バス貨物_軽油,係数_バス貨物_メタノール,係数_バス貨物_LPG),MATCH(AY607+1,【参考】排出係数!$AI$4:$AI$671,1)-1,5,BE607),5,FALSE)),IF(AND(BE607=3,LEFT(BF607,1)="1"),0.055,VLOOKUP(AU607,INDEX((係数_乗用_ガソリン,係数_乗用_CNG,係数_乗用_軽油,係数_乗用_メタノール,係数_乗用_LPG),1,1,BE607):INDEX((係数_乗用_ガソリン,係数_乗用_CNG,係数_乗用_軽油,係数_乗用_メタノール,係数_乗用_LPG),125,5,BE607),5,FALSE)))))</f>
        <v/>
      </c>
      <c r="AN607" s="461" t="str">
        <f t="shared" si="330"/>
        <v/>
      </c>
      <c r="AO607" s="462" t="str">
        <f t="shared" si="331"/>
        <v/>
      </c>
      <c r="AP607" s="463" t="str">
        <f t="shared" si="332"/>
        <v/>
      </c>
      <c r="AQ607" s="464"/>
      <c r="AR607" s="619"/>
      <c r="AS607" s="465" t="str">
        <f t="shared" si="334"/>
        <v/>
      </c>
      <c r="AT607" s="465" t="str">
        <f t="shared" si="335"/>
        <v/>
      </c>
      <c r="AU607" s="466" t="str">
        <f t="shared" si="336"/>
        <v/>
      </c>
      <c r="AV607" s="467" t="str">
        <f t="shared" si="337"/>
        <v/>
      </c>
      <c r="AW607" s="467" t="str">
        <f t="shared" si="338"/>
        <v/>
      </c>
      <c r="AX607" s="467" t="str">
        <f t="shared" si="339"/>
        <v/>
      </c>
      <c r="AY607" s="467" t="str">
        <f t="shared" si="340"/>
        <v/>
      </c>
      <c r="AZ607" s="467" t="str">
        <f t="shared" si="341"/>
        <v/>
      </c>
      <c r="BA607" s="468" t="str">
        <f>IF(AS607="","",IF(OR(AU607="",AU607="-"),"－",IF(OR(AZ607=8,AZ607=9),"",IF(OR(AW607=3,AW607=4,AW607=5,AW607=6),VLOOKUP(AU607,INDEX((係数_バス貨物_ガソリン,係数_バス貨物_CNG,係数_バス貨物_軽油,係数_バス貨物_メタノール,係数_バス貨物_LPG),MATCH(AY607,【参考】排出係数!$AI$4:$AI$671,1),1,BE607):INDEX((係数_バス貨物_ガソリン,係数_バス貨物_CNG,係数_バス貨物_軽油,係数_バス貨物_メタノール,係数_バス貨物_LPG),MATCH(AY607+1,【参考】排出係数!$AI$4:$AI$671,1)-1,5,BE607),2,FALSE),IF(OR(AW607=1,AW607=2),VLOOKUP(AU607,INDEX((係数_乗用_ガソリン,係数_乗用_CNG,係数_乗用_軽油,係数_乗用_メタノール,係数_乗用_LPG),1,1,BE607):INDEX((係数_乗用_ガソリン,係数_乗用_CNG,係数_乗用_軽油,係数_乗用_メタノール,係数_乗用_LPG),125,5,BE607),2,FALSE))))))</f>
        <v/>
      </c>
      <c r="BB607" s="468" t="str">
        <f>IF(T607="","",IF(OR(AU607="",AU607="-"),"－",IF(OR(AZ607=8,AZ607=9),"",IF(OR(AW607=3,AW607=4,AW607=5,AW607=6),VLOOKUP(AU607,INDEX((係数_バス貨物_ガソリン,係数_バス貨物_CNG,係数_バス貨物_軽油,係数_バス貨物_メタノール,係数_バス貨物_LPG),MATCH(AY607,【参考】排出係数!$AI$4:$AI$671,1),1,BE607):INDEX((係数_バス貨物_ガソリン,係数_バス貨物_CNG,係数_バス貨物_軽油,係数_バス貨物_メタノール,係数_バス貨物_LPG),MATCH(AY607+1,【参考】排出係数!$AI$4:$AI$671,1)-1,5,BE607),3,FALSE),IF(OR(AW607=1,AW607=2),VLOOKUP(AU607,INDEX((係数_乗用_ガソリン,係数_乗用_CNG,係数_乗用_軽油,係数_乗用_メタノール,係数_乗用_LPG),1,1,BE607):INDEX((係数_乗用_ガソリン,係数_乗用_CNG,係数_乗用_軽油,係数_乗用_メタノール,係数_乗用_LPG),125,5,BE607),3,FALSE))))))</f>
        <v/>
      </c>
      <c r="BC607" s="467" t="str">
        <f t="shared" si="342"/>
        <v/>
      </c>
      <c r="BD607" s="567" t="str">
        <f t="shared" si="343"/>
        <v/>
      </c>
      <c r="BE607" s="467" t="str">
        <f t="shared" si="344"/>
        <v/>
      </c>
      <c r="BF607" s="469" t="str">
        <f t="shared" ca="1" si="345"/>
        <v/>
      </c>
      <c r="BG607" s="469" t="str">
        <f t="shared" ca="1" si="346"/>
        <v/>
      </c>
      <c r="BH607" s="467" t="str">
        <f t="shared" si="347"/>
        <v/>
      </c>
      <c r="BI607" s="467" t="str">
        <f t="shared" ca="1" si="348"/>
        <v/>
      </c>
      <c r="BJ607" s="469" t="str">
        <f t="shared" si="349"/>
        <v/>
      </c>
      <c r="BK607" s="470" t="str">
        <f t="shared" si="333"/>
        <v/>
      </c>
      <c r="BL607" s="775" t="str">
        <f t="shared" si="350"/>
        <v/>
      </c>
      <c r="BM607" s="775" t="str">
        <f t="shared" si="351"/>
        <v/>
      </c>
    </row>
    <row r="608" spans="1:65">
      <c r="A608" s="473">
        <v>552</v>
      </c>
      <c r="B608" s="132"/>
      <c r="C608" s="332"/>
      <c r="D608" s="333"/>
      <c r="E608" s="333"/>
      <c r="F608" s="334"/>
      <c r="G608" s="337"/>
      <c r="H608" s="131"/>
      <c r="I608" s="337"/>
      <c r="J608" s="131"/>
      <c r="K608" s="458" t="str">
        <f t="shared" si="320"/>
        <v/>
      </c>
      <c r="L608" s="458">
        <f t="shared" si="321"/>
        <v>0</v>
      </c>
      <c r="M608" s="458">
        <f t="shared" si="322"/>
        <v>0</v>
      </c>
      <c r="N608" s="459" t="str">
        <f t="shared" si="283"/>
        <v/>
      </c>
      <c r="O608" s="459" t="str">
        <f t="shared" si="284"/>
        <v/>
      </c>
      <c r="P608" s="459" t="str">
        <f t="shared" si="285"/>
        <v/>
      </c>
      <c r="Q608" s="459" t="str">
        <f t="shared" si="286"/>
        <v/>
      </c>
      <c r="R608" s="459" t="str">
        <f t="shared" si="287"/>
        <v/>
      </c>
      <c r="S608" s="459" t="str">
        <f t="shared" si="288"/>
        <v/>
      </c>
      <c r="T608" s="566" t="str">
        <f t="shared" si="323"/>
        <v/>
      </c>
      <c r="U608" s="702"/>
      <c r="V608" s="132"/>
      <c r="W608" s="133"/>
      <c r="X608" s="134"/>
      <c r="Y608" s="135"/>
      <c r="Z608" s="137"/>
      <c r="AA608" s="136"/>
      <c r="AB608" s="566" t="str">
        <f t="shared" si="324"/>
        <v/>
      </c>
      <c r="AC608" s="568" t="str">
        <f t="shared" si="325"/>
        <v/>
      </c>
      <c r="AD608" s="137"/>
      <c r="AE608" s="137"/>
      <c r="AF608" s="138"/>
      <c r="AG608" s="138"/>
      <c r="AH608" s="592" t="str">
        <f t="shared" si="326"/>
        <v/>
      </c>
      <c r="AI608" s="592" t="str">
        <f t="shared" si="327"/>
        <v/>
      </c>
      <c r="AJ608" s="592" t="str">
        <f t="shared" si="328"/>
        <v/>
      </c>
      <c r="AK608" s="460" t="str">
        <f>IF(AU608="","",IF(OR(AZ608=8,AZ608=9),0,IF(OR(AW608=3,AW608=4,AW608=5,AW608=6),IF(LEFT(BF608,1)="1",INDEX(係数_NOX・PM低減,MATCH(AY608,【参考】排出係数!$AI$801:$AI$804,1),1),VLOOKUP(AU608,INDEX((係数_バス貨物_ガソリン,係数_バス貨物_CNG,係数_バス貨物_軽油,係数_バス貨物_メタノール,係数_バス貨物_LPG),MATCH(AY608,【参考】排出係数!$AI$4:$AI$671,1),1,BE608):INDEX((係数_バス貨物_ガソリン,係数_バス貨物_CNG,係数_バス貨物_軽油,係数_バス貨物_メタノール,係数_バス貨物_LPG),MATCH(AY608+1,【参考】排出係数!$AI$4:$AI$671,1)-1,5,BE608),4,FALSE)),IF(AND(BE608=3,LEFT(BF608,1)="1"),0.48,VLOOKUP(AU608,INDEX((係数_乗用_ガソリン,係数_乗用_CNG,係数_乗用_軽油,係数_乗用_メタノール,係数_乗用_LPG),1,1,BE608):INDEX((係数_乗用_ガソリン,係数_乗用_CNG,係数_乗用_軽油,係数_乗用_メタノール,係数_乗用_LPG),125,5,BE608),4,FALSE)))))</f>
        <v/>
      </c>
      <c r="AL608" s="461" t="str">
        <f t="shared" si="329"/>
        <v/>
      </c>
      <c r="AM608" s="460" t="str">
        <f>IF(AU608="","",IF(OR(AZ608=8,AZ608=9),0,IF(OR(AW608=3,AW608=4,AW608=5,AW608=6),IF(LEFT(BH608,1)="1",INDEX(係数_PM低減,MATCH(AY608,【参考】排出係数!$AI$801:$AI$804,1),MATCH(BI608,【参考】排出係数!$AL$798:$AO$798,1)),VLOOKUP(AU608,INDEX((係数_バス貨物_ガソリン,係数_バス貨物_CNG,係数_バス貨物_軽油,係数_バス貨物_メタノール,係数_バス貨物_LPG),MATCH(AY608,【参考】排出係数!$AI$4:$AI$671,1),1,BE608):INDEX((係数_バス貨物_ガソリン,係数_バス貨物_CNG,係数_バス貨物_軽油,係数_バス貨物_メタノール,係数_バス貨物_LPG),MATCH(AY608+1,【参考】排出係数!$AI$4:$AI$671,1)-1,5,BE608),5,FALSE)),IF(AND(BE608=3,LEFT(BF608,1)="1"),0.055,VLOOKUP(AU608,INDEX((係数_乗用_ガソリン,係数_乗用_CNG,係数_乗用_軽油,係数_乗用_メタノール,係数_乗用_LPG),1,1,BE608):INDEX((係数_乗用_ガソリン,係数_乗用_CNG,係数_乗用_軽油,係数_乗用_メタノール,係数_乗用_LPG),125,5,BE608),5,FALSE)))))</f>
        <v/>
      </c>
      <c r="AN608" s="461" t="str">
        <f t="shared" si="330"/>
        <v/>
      </c>
      <c r="AO608" s="462" t="str">
        <f t="shared" si="331"/>
        <v/>
      </c>
      <c r="AP608" s="463" t="str">
        <f t="shared" si="332"/>
        <v/>
      </c>
      <c r="AQ608" s="464"/>
      <c r="AR608" s="619"/>
      <c r="AS608" s="465" t="str">
        <f t="shared" si="334"/>
        <v/>
      </c>
      <c r="AT608" s="465" t="str">
        <f t="shared" si="335"/>
        <v/>
      </c>
      <c r="AU608" s="466" t="str">
        <f t="shared" si="336"/>
        <v/>
      </c>
      <c r="AV608" s="467" t="str">
        <f t="shared" si="337"/>
        <v/>
      </c>
      <c r="AW608" s="467" t="str">
        <f t="shared" si="338"/>
        <v/>
      </c>
      <c r="AX608" s="467" t="str">
        <f t="shared" si="339"/>
        <v/>
      </c>
      <c r="AY608" s="467" t="str">
        <f t="shared" si="340"/>
        <v/>
      </c>
      <c r="AZ608" s="467" t="str">
        <f t="shared" si="341"/>
        <v/>
      </c>
      <c r="BA608" s="468" t="str">
        <f>IF(AS608="","",IF(OR(AU608="",AU608="-"),"－",IF(OR(AZ608=8,AZ608=9),"",IF(OR(AW608=3,AW608=4,AW608=5,AW608=6),VLOOKUP(AU608,INDEX((係数_バス貨物_ガソリン,係数_バス貨物_CNG,係数_バス貨物_軽油,係数_バス貨物_メタノール,係数_バス貨物_LPG),MATCH(AY608,【参考】排出係数!$AI$4:$AI$671,1),1,BE608):INDEX((係数_バス貨物_ガソリン,係数_バス貨物_CNG,係数_バス貨物_軽油,係数_バス貨物_メタノール,係数_バス貨物_LPG),MATCH(AY608+1,【参考】排出係数!$AI$4:$AI$671,1)-1,5,BE608),2,FALSE),IF(OR(AW608=1,AW608=2),VLOOKUP(AU608,INDEX((係数_乗用_ガソリン,係数_乗用_CNG,係数_乗用_軽油,係数_乗用_メタノール,係数_乗用_LPG),1,1,BE608):INDEX((係数_乗用_ガソリン,係数_乗用_CNG,係数_乗用_軽油,係数_乗用_メタノール,係数_乗用_LPG),125,5,BE608),2,FALSE))))))</f>
        <v/>
      </c>
      <c r="BB608" s="468" t="str">
        <f>IF(T608="","",IF(OR(AU608="",AU608="-"),"－",IF(OR(AZ608=8,AZ608=9),"",IF(OR(AW608=3,AW608=4,AW608=5,AW608=6),VLOOKUP(AU608,INDEX((係数_バス貨物_ガソリン,係数_バス貨物_CNG,係数_バス貨物_軽油,係数_バス貨物_メタノール,係数_バス貨物_LPG),MATCH(AY608,【参考】排出係数!$AI$4:$AI$671,1),1,BE608):INDEX((係数_バス貨物_ガソリン,係数_バス貨物_CNG,係数_バス貨物_軽油,係数_バス貨物_メタノール,係数_バス貨物_LPG),MATCH(AY608+1,【参考】排出係数!$AI$4:$AI$671,1)-1,5,BE608),3,FALSE),IF(OR(AW608=1,AW608=2),VLOOKUP(AU608,INDEX((係数_乗用_ガソリン,係数_乗用_CNG,係数_乗用_軽油,係数_乗用_メタノール,係数_乗用_LPG),1,1,BE608):INDEX((係数_乗用_ガソリン,係数_乗用_CNG,係数_乗用_軽油,係数_乗用_メタノール,係数_乗用_LPG),125,5,BE608),3,FALSE))))))</f>
        <v/>
      </c>
      <c r="BC608" s="467" t="str">
        <f t="shared" si="342"/>
        <v/>
      </c>
      <c r="BD608" s="567" t="str">
        <f t="shared" si="343"/>
        <v/>
      </c>
      <c r="BE608" s="467" t="str">
        <f t="shared" si="344"/>
        <v/>
      </c>
      <c r="BF608" s="469" t="str">
        <f t="shared" ca="1" si="345"/>
        <v/>
      </c>
      <c r="BG608" s="469" t="str">
        <f t="shared" ca="1" si="346"/>
        <v/>
      </c>
      <c r="BH608" s="467" t="str">
        <f t="shared" si="347"/>
        <v/>
      </c>
      <c r="BI608" s="467" t="str">
        <f t="shared" ca="1" si="348"/>
        <v/>
      </c>
      <c r="BJ608" s="469" t="str">
        <f t="shared" si="349"/>
        <v/>
      </c>
      <c r="BK608" s="470" t="str">
        <f t="shared" si="333"/>
        <v/>
      </c>
      <c r="BL608" s="775" t="str">
        <f t="shared" si="350"/>
        <v/>
      </c>
      <c r="BM608" s="775" t="str">
        <f t="shared" si="351"/>
        <v/>
      </c>
    </row>
    <row r="609" spans="1:65">
      <c r="A609" s="473">
        <v>553</v>
      </c>
      <c r="B609" s="132"/>
      <c r="C609" s="332"/>
      <c r="D609" s="333"/>
      <c r="E609" s="333"/>
      <c r="F609" s="334"/>
      <c r="G609" s="337"/>
      <c r="H609" s="131"/>
      <c r="I609" s="337"/>
      <c r="J609" s="131"/>
      <c r="K609" s="458" t="str">
        <f t="shared" si="320"/>
        <v/>
      </c>
      <c r="L609" s="458">
        <f t="shared" si="321"/>
        <v>0</v>
      </c>
      <c r="M609" s="458">
        <f t="shared" si="322"/>
        <v>0</v>
      </c>
      <c r="N609" s="459" t="str">
        <f t="shared" si="283"/>
        <v/>
      </c>
      <c r="O609" s="459" t="str">
        <f t="shared" si="284"/>
        <v/>
      </c>
      <c r="P609" s="459" t="str">
        <f t="shared" si="285"/>
        <v/>
      </c>
      <c r="Q609" s="459" t="str">
        <f t="shared" si="286"/>
        <v/>
      </c>
      <c r="R609" s="459" t="str">
        <f t="shared" si="287"/>
        <v/>
      </c>
      <c r="S609" s="459" t="str">
        <f t="shared" si="288"/>
        <v/>
      </c>
      <c r="T609" s="566" t="str">
        <f t="shared" si="323"/>
        <v/>
      </c>
      <c r="U609" s="702"/>
      <c r="V609" s="132"/>
      <c r="W609" s="133"/>
      <c r="X609" s="134"/>
      <c r="Y609" s="135"/>
      <c r="Z609" s="137"/>
      <c r="AA609" s="136"/>
      <c r="AB609" s="566" t="str">
        <f t="shared" si="324"/>
        <v/>
      </c>
      <c r="AC609" s="568" t="str">
        <f t="shared" si="325"/>
        <v/>
      </c>
      <c r="AD609" s="137"/>
      <c r="AE609" s="137"/>
      <c r="AF609" s="138"/>
      <c r="AG609" s="138"/>
      <c r="AH609" s="592" t="str">
        <f t="shared" si="326"/>
        <v/>
      </c>
      <c r="AI609" s="592" t="str">
        <f t="shared" si="327"/>
        <v/>
      </c>
      <c r="AJ609" s="592" t="str">
        <f t="shared" si="328"/>
        <v/>
      </c>
      <c r="AK609" s="460" t="str">
        <f>IF(AU609="","",IF(OR(AZ609=8,AZ609=9),0,IF(OR(AW609=3,AW609=4,AW609=5,AW609=6),IF(LEFT(BF609,1)="1",INDEX(係数_NOX・PM低減,MATCH(AY609,【参考】排出係数!$AI$801:$AI$804,1),1),VLOOKUP(AU609,INDEX((係数_バス貨物_ガソリン,係数_バス貨物_CNG,係数_バス貨物_軽油,係数_バス貨物_メタノール,係数_バス貨物_LPG),MATCH(AY609,【参考】排出係数!$AI$4:$AI$671,1),1,BE609):INDEX((係数_バス貨物_ガソリン,係数_バス貨物_CNG,係数_バス貨物_軽油,係数_バス貨物_メタノール,係数_バス貨物_LPG),MATCH(AY609+1,【参考】排出係数!$AI$4:$AI$671,1)-1,5,BE609),4,FALSE)),IF(AND(BE609=3,LEFT(BF609,1)="1"),0.48,VLOOKUP(AU609,INDEX((係数_乗用_ガソリン,係数_乗用_CNG,係数_乗用_軽油,係数_乗用_メタノール,係数_乗用_LPG),1,1,BE609):INDEX((係数_乗用_ガソリン,係数_乗用_CNG,係数_乗用_軽油,係数_乗用_メタノール,係数_乗用_LPG),125,5,BE609),4,FALSE)))))</f>
        <v/>
      </c>
      <c r="AL609" s="461" t="str">
        <f t="shared" si="329"/>
        <v/>
      </c>
      <c r="AM609" s="460" t="str">
        <f>IF(AU609="","",IF(OR(AZ609=8,AZ609=9),0,IF(OR(AW609=3,AW609=4,AW609=5,AW609=6),IF(LEFT(BH609,1)="1",INDEX(係数_PM低減,MATCH(AY609,【参考】排出係数!$AI$801:$AI$804,1),MATCH(BI609,【参考】排出係数!$AL$798:$AO$798,1)),VLOOKUP(AU609,INDEX((係数_バス貨物_ガソリン,係数_バス貨物_CNG,係数_バス貨物_軽油,係数_バス貨物_メタノール,係数_バス貨物_LPG),MATCH(AY609,【参考】排出係数!$AI$4:$AI$671,1),1,BE609):INDEX((係数_バス貨物_ガソリン,係数_バス貨物_CNG,係数_バス貨物_軽油,係数_バス貨物_メタノール,係数_バス貨物_LPG),MATCH(AY609+1,【参考】排出係数!$AI$4:$AI$671,1)-1,5,BE609),5,FALSE)),IF(AND(BE609=3,LEFT(BF609,1)="1"),0.055,VLOOKUP(AU609,INDEX((係数_乗用_ガソリン,係数_乗用_CNG,係数_乗用_軽油,係数_乗用_メタノール,係数_乗用_LPG),1,1,BE609):INDEX((係数_乗用_ガソリン,係数_乗用_CNG,係数_乗用_軽油,係数_乗用_メタノール,係数_乗用_LPG),125,5,BE609),5,FALSE)))))</f>
        <v/>
      </c>
      <c r="AN609" s="461" t="str">
        <f t="shared" si="330"/>
        <v/>
      </c>
      <c r="AO609" s="462" t="str">
        <f t="shared" si="331"/>
        <v/>
      </c>
      <c r="AP609" s="463" t="str">
        <f t="shared" si="332"/>
        <v/>
      </c>
      <c r="AQ609" s="464"/>
      <c r="AR609" s="619"/>
      <c r="AS609" s="465" t="str">
        <f t="shared" si="334"/>
        <v/>
      </c>
      <c r="AT609" s="465" t="str">
        <f t="shared" si="335"/>
        <v/>
      </c>
      <c r="AU609" s="466" t="str">
        <f t="shared" si="336"/>
        <v/>
      </c>
      <c r="AV609" s="467" t="str">
        <f t="shared" si="337"/>
        <v/>
      </c>
      <c r="AW609" s="467" t="str">
        <f t="shared" si="338"/>
        <v/>
      </c>
      <c r="AX609" s="467" t="str">
        <f t="shared" si="339"/>
        <v/>
      </c>
      <c r="AY609" s="467" t="str">
        <f t="shared" si="340"/>
        <v/>
      </c>
      <c r="AZ609" s="467" t="str">
        <f t="shared" si="341"/>
        <v/>
      </c>
      <c r="BA609" s="468" t="str">
        <f>IF(AS609="","",IF(OR(AU609="",AU609="-"),"－",IF(OR(AZ609=8,AZ609=9),"",IF(OR(AW609=3,AW609=4,AW609=5,AW609=6),VLOOKUP(AU609,INDEX((係数_バス貨物_ガソリン,係数_バス貨物_CNG,係数_バス貨物_軽油,係数_バス貨物_メタノール,係数_バス貨物_LPG),MATCH(AY609,【参考】排出係数!$AI$4:$AI$671,1),1,BE609):INDEX((係数_バス貨物_ガソリン,係数_バス貨物_CNG,係数_バス貨物_軽油,係数_バス貨物_メタノール,係数_バス貨物_LPG),MATCH(AY609+1,【参考】排出係数!$AI$4:$AI$671,1)-1,5,BE609),2,FALSE),IF(OR(AW609=1,AW609=2),VLOOKUP(AU609,INDEX((係数_乗用_ガソリン,係数_乗用_CNG,係数_乗用_軽油,係数_乗用_メタノール,係数_乗用_LPG),1,1,BE609):INDEX((係数_乗用_ガソリン,係数_乗用_CNG,係数_乗用_軽油,係数_乗用_メタノール,係数_乗用_LPG),125,5,BE609),2,FALSE))))))</f>
        <v/>
      </c>
      <c r="BB609" s="468" t="str">
        <f>IF(T609="","",IF(OR(AU609="",AU609="-"),"－",IF(OR(AZ609=8,AZ609=9),"",IF(OR(AW609=3,AW609=4,AW609=5,AW609=6),VLOOKUP(AU609,INDEX((係数_バス貨物_ガソリン,係数_バス貨物_CNG,係数_バス貨物_軽油,係数_バス貨物_メタノール,係数_バス貨物_LPG),MATCH(AY609,【参考】排出係数!$AI$4:$AI$671,1),1,BE609):INDEX((係数_バス貨物_ガソリン,係数_バス貨物_CNG,係数_バス貨物_軽油,係数_バス貨物_メタノール,係数_バス貨物_LPG),MATCH(AY609+1,【参考】排出係数!$AI$4:$AI$671,1)-1,5,BE609),3,FALSE),IF(OR(AW609=1,AW609=2),VLOOKUP(AU609,INDEX((係数_乗用_ガソリン,係数_乗用_CNG,係数_乗用_軽油,係数_乗用_メタノール,係数_乗用_LPG),1,1,BE609):INDEX((係数_乗用_ガソリン,係数_乗用_CNG,係数_乗用_軽油,係数_乗用_メタノール,係数_乗用_LPG),125,5,BE609),3,FALSE))))))</f>
        <v/>
      </c>
      <c r="BC609" s="467" t="str">
        <f t="shared" si="342"/>
        <v/>
      </c>
      <c r="BD609" s="567" t="str">
        <f t="shared" si="343"/>
        <v/>
      </c>
      <c r="BE609" s="467" t="str">
        <f t="shared" si="344"/>
        <v/>
      </c>
      <c r="BF609" s="469" t="str">
        <f t="shared" ca="1" si="345"/>
        <v/>
      </c>
      <c r="BG609" s="469" t="str">
        <f t="shared" ca="1" si="346"/>
        <v/>
      </c>
      <c r="BH609" s="467" t="str">
        <f t="shared" si="347"/>
        <v/>
      </c>
      <c r="BI609" s="467" t="str">
        <f t="shared" ca="1" si="348"/>
        <v/>
      </c>
      <c r="BJ609" s="469" t="str">
        <f t="shared" si="349"/>
        <v/>
      </c>
      <c r="BK609" s="470" t="str">
        <f t="shared" si="333"/>
        <v/>
      </c>
      <c r="BL609" s="775" t="str">
        <f t="shared" si="350"/>
        <v/>
      </c>
      <c r="BM609" s="775" t="str">
        <f t="shared" si="351"/>
        <v/>
      </c>
    </row>
    <row r="610" spans="1:65">
      <c r="A610" s="473">
        <v>554</v>
      </c>
      <c r="B610" s="132"/>
      <c r="C610" s="332"/>
      <c r="D610" s="333"/>
      <c r="E610" s="333"/>
      <c r="F610" s="334"/>
      <c r="G610" s="337"/>
      <c r="H610" s="131"/>
      <c r="I610" s="337"/>
      <c r="J610" s="131"/>
      <c r="K610" s="458" t="str">
        <f t="shared" si="320"/>
        <v/>
      </c>
      <c r="L610" s="458">
        <f t="shared" si="321"/>
        <v>0</v>
      </c>
      <c r="M610" s="458">
        <f t="shared" si="322"/>
        <v>0</v>
      </c>
      <c r="N610" s="459" t="str">
        <f t="shared" si="283"/>
        <v/>
      </c>
      <c r="O610" s="459" t="str">
        <f t="shared" si="284"/>
        <v/>
      </c>
      <c r="P610" s="459" t="str">
        <f t="shared" si="285"/>
        <v/>
      </c>
      <c r="Q610" s="459" t="str">
        <f t="shared" si="286"/>
        <v/>
      </c>
      <c r="R610" s="459" t="str">
        <f t="shared" si="287"/>
        <v/>
      </c>
      <c r="S610" s="459" t="str">
        <f t="shared" si="288"/>
        <v/>
      </c>
      <c r="T610" s="566" t="str">
        <f t="shared" si="323"/>
        <v/>
      </c>
      <c r="U610" s="702"/>
      <c r="V610" s="132"/>
      <c r="W610" s="133"/>
      <c r="X610" s="134"/>
      <c r="Y610" s="135"/>
      <c r="Z610" s="137"/>
      <c r="AA610" s="136"/>
      <c r="AB610" s="566" t="str">
        <f t="shared" si="324"/>
        <v/>
      </c>
      <c r="AC610" s="568" t="str">
        <f t="shared" si="325"/>
        <v/>
      </c>
      <c r="AD610" s="137"/>
      <c r="AE610" s="137"/>
      <c r="AF610" s="138"/>
      <c r="AG610" s="138"/>
      <c r="AH610" s="592" t="str">
        <f t="shared" si="326"/>
        <v/>
      </c>
      <c r="AI610" s="592" t="str">
        <f t="shared" si="327"/>
        <v/>
      </c>
      <c r="AJ610" s="592" t="str">
        <f t="shared" si="328"/>
        <v/>
      </c>
      <c r="AK610" s="460" t="str">
        <f>IF(AU610="","",IF(OR(AZ610=8,AZ610=9),0,IF(OR(AW610=3,AW610=4,AW610=5,AW610=6),IF(LEFT(BF610,1)="1",INDEX(係数_NOX・PM低減,MATCH(AY610,【参考】排出係数!$AI$801:$AI$804,1),1),VLOOKUP(AU610,INDEX((係数_バス貨物_ガソリン,係数_バス貨物_CNG,係数_バス貨物_軽油,係数_バス貨物_メタノール,係数_バス貨物_LPG),MATCH(AY610,【参考】排出係数!$AI$4:$AI$671,1),1,BE610):INDEX((係数_バス貨物_ガソリン,係数_バス貨物_CNG,係数_バス貨物_軽油,係数_バス貨物_メタノール,係数_バス貨物_LPG),MATCH(AY610+1,【参考】排出係数!$AI$4:$AI$671,1)-1,5,BE610),4,FALSE)),IF(AND(BE610=3,LEFT(BF610,1)="1"),0.48,VLOOKUP(AU610,INDEX((係数_乗用_ガソリン,係数_乗用_CNG,係数_乗用_軽油,係数_乗用_メタノール,係数_乗用_LPG),1,1,BE610):INDEX((係数_乗用_ガソリン,係数_乗用_CNG,係数_乗用_軽油,係数_乗用_メタノール,係数_乗用_LPG),125,5,BE610),4,FALSE)))))</f>
        <v/>
      </c>
      <c r="AL610" s="461" t="str">
        <f t="shared" si="329"/>
        <v/>
      </c>
      <c r="AM610" s="460" t="str">
        <f>IF(AU610="","",IF(OR(AZ610=8,AZ610=9),0,IF(OR(AW610=3,AW610=4,AW610=5,AW610=6),IF(LEFT(BH610,1)="1",INDEX(係数_PM低減,MATCH(AY610,【参考】排出係数!$AI$801:$AI$804,1),MATCH(BI610,【参考】排出係数!$AL$798:$AO$798,1)),VLOOKUP(AU610,INDEX((係数_バス貨物_ガソリン,係数_バス貨物_CNG,係数_バス貨物_軽油,係数_バス貨物_メタノール,係数_バス貨物_LPG),MATCH(AY610,【参考】排出係数!$AI$4:$AI$671,1),1,BE610):INDEX((係数_バス貨物_ガソリン,係数_バス貨物_CNG,係数_バス貨物_軽油,係数_バス貨物_メタノール,係数_バス貨物_LPG),MATCH(AY610+1,【参考】排出係数!$AI$4:$AI$671,1)-1,5,BE610),5,FALSE)),IF(AND(BE610=3,LEFT(BF610,1)="1"),0.055,VLOOKUP(AU610,INDEX((係数_乗用_ガソリン,係数_乗用_CNG,係数_乗用_軽油,係数_乗用_メタノール,係数_乗用_LPG),1,1,BE610):INDEX((係数_乗用_ガソリン,係数_乗用_CNG,係数_乗用_軽油,係数_乗用_メタノール,係数_乗用_LPG),125,5,BE610),5,FALSE)))))</f>
        <v/>
      </c>
      <c r="AN610" s="461" t="str">
        <f t="shared" si="330"/>
        <v/>
      </c>
      <c r="AO610" s="462" t="str">
        <f t="shared" si="331"/>
        <v/>
      </c>
      <c r="AP610" s="463" t="str">
        <f t="shared" si="332"/>
        <v/>
      </c>
      <c r="AQ610" s="464"/>
      <c r="AR610" s="619"/>
      <c r="AS610" s="465" t="str">
        <f t="shared" si="334"/>
        <v/>
      </c>
      <c r="AT610" s="465" t="str">
        <f t="shared" si="335"/>
        <v/>
      </c>
      <c r="AU610" s="466" t="str">
        <f t="shared" si="336"/>
        <v/>
      </c>
      <c r="AV610" s="467" t="str">
        <f t="shared" si="337"/>
        <v/>
      </c>
      <c r="AW610" s="467" t="str">
        <f t="shared" si="338"/>
        <v/>
      </c>
      <c r="AX610" s="467" t="str">
        <f t="shared" si="339"/>
        <v/>
      </c>
      <c r="AY610" s="467" t="str">
        <f t="shared" si="340"/>
        <v/>
      </c>
      <c r="AZ610" s="467" t="str">
        <f t="shared" si="341"/>
        <v/>
      </c>
      <c r="BA610" s="468" t="str">
        <f>IF(AS610="","",IF(OR(AU610="",AU610="-"),"－",IF(OR(AZ610=8,AZ610=9),"",IF(OR(AW610=3,AW610=4,AW610=5,AW610=6),VLOOKUP(AU610,INDEX((係数_バス貨物_ガソリン,係数_バス貨物_CNG,係数_バス貨物_軽油,係数_バス貨物_メタノール,係数_バス貨物_LPG),MATCH(AY610,【参考】排出係数!$AI$4:$AI$671,1),1,BE610):INDEX((係数_バス貨物_ガソリン,係数_バス貨物_CNG,係数_バス貨物_軽油,係数_バス貨物_メタノール,係数_バス貨物_LPG),MATCH(AY610+1,【参考】排出係数!$AI$4:$AI$671,1)-1,5,BE610),2,FALSE),IF(OR(AW610=1,AW610=2),VLOOKUP(AU610,INDEX((係数_乗用_ガソリン,係数_乗用_CNG,係数_乗用_軽油,係数_乗用_メタノール,係数_乗用_LPG),1,1,BE610):INDEX((係数_乗用_ガソリン,係数_乗用_CNG,係数_乗用_軽油,係数_乗用_メタノール,係数_乗用_LPG),125,5,BE610),2,FALSE))))))</f>
        <v/>
      </c>
      <c r="BB610" s="468" t="str">
        <f>IF(T610="","",IF(OR(AU610="",AU610="-"),"－",IF(OR(AZ610=8,AZ610=9),"",IF(OR(AW610=3,AW610=4,AW610=5,AW610=6),VLOOKUP(AU610,INDEX((係数_バス貨物_ガソリン,係数_バス貨物_CNG,係数_バス貨物_軽油,係数_バス貨物_メタノール,係数_バス貨物_LPG),MATCH(AY610,【参考】排出係数!$AI$4:$AI$671,1),1,BE610):INDEX((係数_バス貨物_ガソリン,係数_バス貨物_CNG,係数_バス貨物_軽油,係数_バス貨物_メタノール,係数_バス貨物_LPG),MATCH(AY610+1,【参考】排出係数!$AI$4:$AI$671,1)-1,5,BE610),3,FALSE),IF(OR(AW610=1,AW610=2),VLOOKUP(AU610,INDEX((係数_乗用_ガソリン,係数_乗用_CNG,係数_乗用_軽油,係数_乗用_メタノール,係数_乗用_LPG),1,1,BE610):INDEX((係数_乗用_ガソリン,係数_乗用_CNG,係数_乗用_軽油,係数_乗用_メタノール,係数_乗用_LPG),125,5,BE610),3,FALSE))))))</f>
        <v/>
      </c>
      <c r="BC610" s="467" t="str">
        <f t="shared" si="342"/>
        <v/>
      </c>
      <c r="BD610" s="567" t="str">
        <f t="shared" si="343"/>
        <v/>
      </c>
      <c r="BE610" s="467" t="str">
        <f t="shared" si="344"/>
        <v/>
      </c>
      <c r="BF610" s="469" t="str">
        <f t="shared" ca="1" si="345"/>
        <v/>
      </c>
      <c r="BG610" s="469" t="str">
        <f t="shared" ca="1" si="346"/>
        <v/>
      </c>
      <c r="BH610" s="467" t="str">
        <f t="shared" si="347"/>
        <v/>
      </c>
      <c r="BI610" s="467" t="str">
        <f t="shared" ca="1" si="348"/>
        <v/>
      </c>
      <c r="BJ610" s="469" t="str">
        <f t="shared" si="349"/>
        <v/>
      </c>
      <c r="BK610" s="470" t="str">
        <f t="shared" si="333"/>
        <v/>
      </c>
      <c r="BL610" s="775" t="str">
        <f t="shared" si="350"/>
        <v/>
      </c>
      <c r="BM610" s="775" t="str">
        <f t="shared" si="351"/>
        <v/>
      </c>
    </row>
    <row r="611" spans="1:65">
      <c r="A611" s="473">
        <v>555</v>
      </c>
      <c r="B611" s="132"/>
      <c r="C611" s="332"/>
      <c r="D611" s="333"/>
      <c r="E611" s="333"/>
      <c r="F611" s="334"/>
      <c r="G611" s="337"/>
      <c r="H611" s="131"/>
      <c r="I611" s="337"/>
      <c r="J611" s="131"/>
      <c r="K611" s="458" t="str">
        <f t="shared" si="320"/>
        <v/>
      </c>
      <c r="L611" s="458">
        <f t="shared" si="321"/>
        <v>0</v>
      </c>
      <c r="M611" s="458">
        <f t="shared" si="322"/>
        <v>0</v>
      </c>
      <c r="N611" s="459" t="str">
        <f t="shared" si="283"/>
        <v/>
      </c>
      <c r="O611" s="459" t="str">
        <f t="shared" si="284"/>
        <v/>
      </c>
      <c r="P611" s="459" t="str">
        <f t="shared" si="285"/>
        <v/>
      </c>
      <c r="Q611" s="459" t="str">
        <f t="shared" si="286"/>
        <v/>
      </c>
      <c r="R611" s="459" t="str">
        <f t="shared" si="287"/>
        <v/>
      </c>
      <c r="S611" s="459" t="str">
        <f t="shared" si="288"/>
        <v/>
      </c>
      <c r="T611" s="566" t="str">
        <f t="shared" si="323"/>
        <v/>
      </c>
      <c r="U611" s="702"/>
      <c r="V611" s="132"/>
      <c r="W611" s="133"/>
      <c r="X611" s="134"/>
      <c r="Y611" s="135"/>
      <c r="Z611" s="137"/>
      <c r="AA611" s="136"/>
      <c r="AB611" s="566" t="str">
        <f t="shared" si="324"/>
        <v/>
      </c>
      <c r="AC611" s="568" t="str">
        <f t="shared" si="325"/>
        <v/>
      </c>
      <c r="AD611" s="137"/>
      <c r="AE611" s="137"/>
      <c r="AF611" s="138"/>
      <c r="AG611" s="138"/>
      <c r="AH611" s="592" t="str">
        <f t="shared" si="326"/>
        <v/>
      </c>
      <c r="AI611" s="592" t="str">
        <f t="shared" si="327"/>
        <v/>
      </c>
      <c r="AJ611" s="592" t="str">
        <f t="shared" si="328"/>
        <v/>
      </c>
      <c r="AK611" s="460" t="str">
        <f>IF(AU611="","",IF(OR(AZ611=8,AZ611=9),0,IF(OR(AW611=3,AW611=4,AW611=5,AW611=6),IF(LEFT(BF611,1)="1",INDEX(係数_NOX・PM低減,MATCH(AY611,【参考】排出係数!$AI$801:$AI$804,1),1),VLOOKUP(AU611,INDEX((係数_バス貨物_ガソリン,係数_バス貨物_CNG,係数_バス貨物_軽油,係数_バス貨物_メタノール,係数_バス貨物_LPG),MATCH(AY611,【参考】排出係数!$AI$4:$AI$671,1),1,BE611):INDEX((係数_バス貨物_ガソリン,係数_バス貨物_CNG,係数_バス貨物_軽油,係数_バス貨物_メタノール,係数_バス貨物_LPG),MATCH(AY611+1,【参考】排出係数!$AI$4:$AI$671,1)-1,5,BE611),4,FALSE)),IF(AND(BE611=3,LEFT(BF611,1)="1"),0.48,VLOOKUP(AU611,INDEX((係数_乗用_ガソリン,係数_乗用_CNG,係数_乗用_軽油,係数_乗用_メタノール,係数_乗用_LPG),1,1,BE611):INDEX((係数_乗用_ガソリン,係数_乗用_CNG,係数_乗用_軽油,係数_乗用_メタノール,係数_乗用_LPG),125,5,BE611),4,FALSE)))))</f>
        <v/>
      </c>
      <c r="AL611" s="461" t="str">
        <f t="shared" si="329"/>
        <v/>
      </c>
      <c r="AM611" s="460" t="str">
        <f>IF(AU611="","",IF(OR(AZ611=8,AZ611=9),0,IF(OR(AW611=3,AW611=4,AW611=5,AW611=6),IF(LEFT(BH611,1)="1",INDEX(係数_PM低減,MATCH(AY611,【参考】排出係数!$AI$801:$AI$804,1),MATCH(BI611,【参考】排出係数!$AL$798:$AO$798,1)),VLOOKUP(AU611,INDEX((係数_バス貨物_ガソリン,係数_バス貨物_CNG,係数_バス貨物_軽油,係数_バス貨物_メタノール,係数_バス貨物_LPG),MATCH(AY611,【参考】排出係数!$AI$4:$AI$671,1),1,BE611):INDEX((係数_バス貨物_ガソリン,係数_バス貨物_CNG,係数_バス貨物_軽油,係数_バス貨物_メタノール,係数_バス貨物_LPG),MATCH(AY611+1,【参考】排出係数!$AI$4:$AI$671,1)-1,5,BE611),5,FALSE)),IF(AND(BE611=3,LEFT(BF611,1)="1"),0.055,VLOOKUP(AU611,INDEX((係数_乗用_ガソリン,係数_乗用_CNG,係数_乗用_軽油,係数_乗用_メタノール,係数_乗用_LPG),1,1,BE611):INDEX((係数_乗用_ガソリン,係数_乗用_CNG,係数_乗用_軽油,係数_乗用_メタノール,係数_乗用_LPG),125,5,BE611),5,FALSE)))))</f>
        <v/>
      </c>
      <c r="AN611" s="461" t="str">
        <f t="shared" si="330"/>
        <v/>
      </c>
      <c r="AO611" s="462" t="str">
        <f t="shared" si="331"/>
        <v/>
      </c>
      <c r="AP611" s="463" t="str">
        <f t="shared" si="332"/>
        <v/>
      </c>
      <c r="AQ611" s="464"/>
      <c r="AR611" s="619"/>
      <c r="AS611" s="465" t="str">
        <f t="shared" si="334"/>
        <v/>
      </c>
      <c r="AT611" s="465" t="str">
        <f t="shared" si="335"/>
        <v/>
      </c>
      <c r="AU611" s="466" t="str">
        <f t="shared" si="336"/>
        <v/>
      </c>
      <c r="AV611" s="467" t="str">
        <f t="shared" si="337"/>
        <v/>
      </c>
      <c r="AW611" s="467" t="str">
        <f t="shared" si="338"/>
        <v/>
      </c>
      <c r="AX611" s="467" t="str">
        <f t="shared" si="339"/>
        <v/>
      </c>
      <c r="AY611" s="467" t="str">
        <f t="shared" si="340"/>
        <v/>
      </c>
      <c r="AZ611" s="467" t="str">
        <f t="shared" si="341"/>
        <v/>
      </c>
      <c r="BA611" s="468" t="str">
        <f>IF(AS611="","",IF(OR(AU611="",AU611="-"),"－",IF(OR(AZ611=8,AZ611=9),"",IF(OR(AW611=3,AW611=4,AW611=5,AW611=6),VLOOKUP(AU611,INDEX((係数_バス貨物_ガソリン,係数_バス貨物_CNG,係数_バス貨物_軽油,係数_バス貨物_メタノール,係数_バス貨物_LPG),MATCH(AY611,【参考】排出係数!$AI$4:$AI$671,1),1,BE611):INDEX((係数_バス貨物_ガソリン,係数_バス貨物_CNG,係数_バス貨物_軽油,係数_バス貨物_メタノール,係数_バス貨物_LPG),MATCH(AY611+1,【参考】排出係数!$AI$4:$AI$671,1)-1,5,BE611),2,FALSE),IF(OR(AW611=1,AW611=2),VLOOKUP(AU611,INDEX((係数_乗用_ガソリン,係数_乗用_CNG,係数_乗用_軽油,係数_乗用_メタノール,係数_乗用_LPG),1,1,BE611):INDEX((係数_乗用_ガソリン,係数_乗用_CNG,係数_乗用_軽油,係数_乗用_メタノール,係数_乗用_LPG),125,5,BE611),2,FALSE))))))</f>
        <v/>
      </c>
      <c r="BB611" s="468" t="str">
        <f>IF(T611="","",IF(OR(AU611="",AU611="-"),"－",IF(OR(AZ611=8,AZ611=9),"",IF(OR(AW611=3,AW611=4,AW611=5,AW611=6),VLOOKUP(AU611,INDEX((係数_バス貨物_ガソリン,係数_バス貨物_CNG,係数_バス貨物_軽油,係数_バス貨物_メタノール,係数_バス貨物_LPG),MATCH(AY611,【参考】排出係数!$AI$4:$AI$671,1),1,BE611):INDEX((係数_バス貨物_ガソリン,係数_バス貨物_CNG,係数_バス貨物_軽油,係数_バス貨物_メタノール,係数_バス貨物_LPG),MATCH(AY611+1,【参考】排出係数!$AI$4:$AI$671,1)-1,5,BE611),3,FALSE),IF(OR(AW611=1,AW611=2),VLOOKUP(AU611,INDEX((係数_乗用_ガソリン,係数_乗用_CNG,係数_乗用_軽油,係数_乗用_メタノール,係数_乗用_LPG),1,1,BE611):INDEX((係数_乗用_ガソリン,係数_乗用_CNG,係数_乗用_軽油,係数_乗用_メタノール,係数_乗用_LPG),125,5,BE611),3,FALSE))))))</f>
        <v/>
      </c>
      <c r="BC611" s="467" t="str">
        <f t="shared" si="342"/>
        <v/>
      </c>
      <c r="BD611" s="567" t="str">
        <f t="shared" si="343"/>
        <v/>
      </c>
      <c r="BE611" s="467" t="str">
        <f t="shared" si="344"/>
        <v/>
      </c>
      <c r="BF611" s="469" t="str">
        <f t="shared" ca="1" si="345"/>
        <v/>
      </c>
      <c r="BG611" s="469" t="str">
        <f t="shared" ca="1" si="346"/>
        <v/>
      </c>
      <c r="BH611" s="467" t="str">
        <f t="shared" si="347"/>
        <v/>
      </c>
      <c r="BI611" s="467" t="str">
        <f t="shared" ca="1" si="348"/>
        <v/>
      </c>
      <c r="BJ611" s="469" t="str">
        <f t="shared" si="349"/>
        <v/>
      </c>
      <c r="BK611" s="470" t="str">
        <f t="shared" si="333"/>
        <v/>
      </c>
      <c r="BL611" s="775" t="str">
        <f t="shared" si="350"/>
        <v/>
      </c>
      <c r="BM611" s="775" t="str">
        <f t="shared" si="351"/>
        <v/>
      </c>
    </row>
    <row r="612" spans="1:65">
      <c r="A612" s="473">
        <v>556</v>
      </c>
      <c r="B612" s="132"/>
      <c r="C612" s="332"/>
      <c r="D612" s="333"/>
      <c r="E612" s="333"/>
      <c r="F612" s="334"/>
      <c r="G612" s="337"/>
      <c r="H612" s="131"/>
      <c r="I612" s="337"/>
      <c r="J612" s="131"/>
      <c r="K612" s="458" t="str">
        <f t="shared" si="320"/>
        <v/>
      </c>
      <c r="L612" s="458">
        <f t="shared" si="321"/>
        <v>0</v>
      </c>
      <c r="M612" s="458">
        <f t="shared" si="322"/>
        <v>0</v>
      </c>
      <c r="N612" s="459" t="str">
        <f t="shared" si="283"/>
        <v/>
      </c>
      <c r="O612" s="459" t="str">
        <f t="shared" si="284"/>
        <v/>
      </c>
      <c r="P612" s="459" t="str">
        <f t="shared" si="285"/>
        <v/>
      </c>
      <c r="Q612" s="459" t="str">
        <f t="shared" si="286"/>
        <v/>
      </c>
      <c r="R612" s="459" t="str">
        <f t="shared" si="287"/>
        <v/>
      </c>
      <c r="S612" s="459" t="str">
        <f t="shared" si="288"/>
        <v/>
      </c>
      <c r="T612" s="566" t="str">
        <f t="shared" si="323"/>
        <v/>
      </c>
      <c r="U612" s="702"/>
      <c r="V612" s="132"/>
      <c r="W612" s="133"/>
      <c r="X612" s="134"/>
      <c r="Y612" s="135"/>
      <c r="Z612" s="137"/>
      <c r="AA612" s="136"/>
      <c r="AB612" s="566" t="str">
        <f t="shared" si="324"/>
        <v/>
      </c>
      <c r="AC612" s="568" t="str">
        <f t="shared" si="325"/>
        <v/>
      </c>
      <c r="AD612" s="137"/>
      <c r="AE612" s="137"/>
      <c r="AF612" s="138"/>
      <c r="AG612" s="138"/>
      <c r="AH612" s="592" t="str">
        <f t="shared" si="326"/>
        <v/>
      </c>
      <c r="AI612" s="592" t="str">
        <f t="shared" si="327"/>
        <v/>
      </c>
      <c r="AJ612" s="592" t="str">
        <f t="shared" si="328"/>
        <v/>
      </c>
      <c r="AK612" s="460" t="str">
        <f>IF(AU612="","",IF(OR(AZ612=8,AZ612=9),0,IF(OR(AW612=3,AW612=4,AW612=5,AW612=6),IF(LEFT(BF612,1)="1",INDEX(係数_NOX・PM低減,MATCH(AY612,【参考】排出係数!$AI$801:$AI$804,1),1),VLOOKUP(AU612,INDEX((係数_バス貨物_ガソリン,係数_バス貨物_CNG,係数_バス貨物_軽油,係数_バス貨物_メタノール,係数_バス貨物_LPG),MATCH(AY612,【参考】排出係数!$AI$4:$AI$671,1),1,BE612):INDEX((係数_バス貨物_ガソリン,係数_バス貨物_CNG,係数_バス貨物_軽油,係数_バス貨物_メタノール,係数_バス貨物_LPG),MATCH(AY612+1,【参考】排出係数!$AI$4:$AI$671,1)-1,5,BE612),4,FALSE)),IF(AND(BE612=3,LEFT(BF612,1)="1"),0.48,VLOOKUP(AU612,INDEX((係数_乗用_ガソリン,係数_乗用_CNG,係数_乗用_軽油,係数_乗用_メタノール,係数_乗用_LPG),1,1,BE612):INDEX((係数_乗用_ガソリン,係数_乗用_CNG,係数_乗用_軽油,係数_乗用_メタノール,係数_乗用_LPG),125,5,BE612),4,FALSE)))))</f>
        <v/>
      </c>
      <c r="AL612" s="461" t="str">
        <f t="shared" si="329"/>
        <v/>
      </c>
      <c r="AM612" s="460" t="str">
        <f>IF(AU612="","",IF(OR(AZ612=8,AZ612=9),0,IF(OR(AW612=3,AW612=4,AW612=5,AW612=6),IF(LEFT(BH612,1)="1",INDEX(係数_PM低減,MATCH(AY612,【参考】排出係数!$AI$801:$AI$804,1),MATCH(BI612,【参考】排出係数!$AL$798:$AO$798,1)),VLOOKUP(AU612,INDEX((係数_バス貨物_ガソリン,係数_バス貨物_CNG,係数_バス貨物_軽油,係数_バス貨物_メタノール,係数_バス貨物_LPG),MATCH(AY612,【参考】排出係数!$AI$4:$AI$671,1),1,BE612):INDEX((係数_バス貨物_ガソリン,係数_バス貨物_CNG,係数_バス貨物_軽油,係数_バス貨物_メタノール,係数_バス貨物_LPG),MATCH(AY612+1,【参考】排出係数!$AI$4:$AI$671,1)-1,5,BE612),5,FALSE)),IF(AND(BE612=3,LEFT(BF612,1)="1"),0.055,VLOOKUP(AU612,INDEX((係数_乗用_ガソリン,係数_乗用_CNG,係数_乗用_軽油,係数_乗用_メタノール,係数_乗用_LPG),1,1,BE612):INDEX((係数_乗用_ガソリン,係数_乗用_CNG,係数_乗用_軽油,係数_乗用_メタノール,係数_乗用_LPG),125,5,BE612),5,FALSE)))))</f>
        <v/>
      </c>
      <c r="AN612" s="461" t="str">
        <f t="shared" si="330"/>
        <v/>
      </c>
      <c r="AO612" s="462" t="str">
        <f t="shared" si="331"/>
        <v/>
      </c>
      <c r="AP612" s="463" t="str">
        <f t="shared" si="332"/>
        <v/>
      </c>
      <c r="AQ612" s="464"/>
      <c r="AR612" s="619"/>
      <c r="AS612" s="465" t="str">
        <f t="shared" si="334"/>
        <v/>
      </c>
      <c r="AT612" s="465" t="str">
        <f t="shared" si="335"/>
        <v/>
      </c>
      <c r="AU612" s="466" t="str">
        <f t="shared" si="336"/>
        <v/>
      </c>
      <c r="AV612" s="467" t="str">
        <f t="shared" si="337"/>
        <v/>
      </c>
      <c r="AW612" s="467" t="str">
        <f t="shared" si="338"/>
        <v/>
      </c>
      <c r="AX612" s="467" t="str">
        <f t="shared" si="339"/>
        <v/>
      </c>
      <c r="AY612" s="467" t="str">
        <f t="shared" si="340"/>
        <v/>
      </c>
      <c r="AZ612" s="467" t="str">
        <f t="shared" si="341"/>
        <v/>
      </c>
      <c r="BA612" s="468" t="str">
        <f>IF(AS612="","",IF(OR(AU612="",AU612="-"),"－",IF(OR(AZ612=8,AZ612=9),"",IF(OR(AW612=3,AW612=4,AW612=5,AW612=6),VLOOKUP(AU612,INDEX((係数_バス貨物_ガソリン,係数_バス貨物_CNG,係数_バス貨物_軽油,係数_バス貨物_メタノール,係数_バス貨物_LPG),MATCH(AY612,【参考】排出係数!$AI$4:$AI$671,1),1,BE612):INDEX((係数_バス貨物_ガソリン,係数_バス貨物_CNG,係数_バス貨物_軽油,係数_バス貨物_メタノール,係数_バス貨物_LPG),MATCH(AY612+1,【参考】排出係数!$AI$4:$AI$671,1)-1,5,BE612),2,FALSE),IF(OR(AW612=1,AW612=2),VLOOKUP(AU612,INDEX((係数_乗用_ガソリン,係数_乗用_CNG,係数_乗用_軽油,係数_乗用_メタノール,係数_乗用_LPG),1,1,BE612):INDEX((係数_乗用_ガソリン,係数_乗用_CNG,係数_乗用_軽油,係数_乗用_メタノール,係数_乗用_LPG),125,5,BE612),2,FALSE))))))</f>
        <v/>
      </c>
      <c r="BB612" s="468" t="str">
        <f>IF(T612="","",IF(OR(AU612="",AU612="-"),"－",IF(OR(AZ612=8,AZ612=9),"",IF(OR(AW612=3,AW612=4,AW612=5,AW612=6),VLOOKUP(AU612,INDEX((係数_バス貨物_ガソリン,係数_バス貨物_CNG,係数_バス貨物_軽油,係数_バス貨物_メタノール,係数_バス貨物_LPG),MATCH(AY612,【参考】排出係数!$AI$4:$AI$671,1),1,BE612):INDEX((係数_バス貨物_ガソリン,係数_バス貨物_CNG,係数_バス貨物_軽油,係数_バス貨物_メタノール,係数_バス貨物_LPG),MATCH(AY612+1,【参考】排出係数!$AI$4:$AI$671,1)-1,5,BE612),3,FALSE),IF(OR(AW612=1,AW612=2),VLOOKUP(AU612,INDEX((係数_乗用_ガソリン,係数_乗用_CNG,係数_乗用_軽油,係数_乗用_メタノール,係数_乗用_LPG),1,1,BE612):INDEX((係数_乗用_ガソリン,係数_乗用_CNG,係数_乗用_軽油,係数_乗用_メタノール,係数_乗用_LPG),125,5,BE612),3,FALSE))))))</f>
        <v/>
      </c>
      <c r="BC612" s="467" t="str">
        <f t="shared" si="342"/>
        <v/>
      </c>
      <c r="BD612" s="567" t="str">
        <f t="shared" si="343"/>
        <v/>
      </c>
      <c r="BE612" s="467" t="str">
        <f t="shared" si="344"/>
        <v/>
      </c>
      <c r="BF612" s="469" t="str">
        <f t="shared" ca="1" si="345"/>
        <v/>
      </c>
      <c r="BG612" s="469" t="str">
        <f t="shared" ca="1" si="346"/>
        <v/>
      </c>
      <c r="BH612" s="467" t="str">
        <f t="shared" si="347"/>
        <v/>
      </c>
      <c r="BI612" s="467" t="str">
        <f t="shared" ca="1" si="348"/>
        <v/>
      </c>
      <c r="BJ612" s="469" t="str">
        <f t="shared" si="349"/>
        <v/>
      </c>
      <c r="BK612" s="470" t="str">
        <f t="shared" si="333"/>
        <v/>
      </c>
      <c r="BL612" s="775" t="str">
        <f t="shared" si="350"/>
        <v/>
      </c>
      <c r="BM612" s="775" t="str">
        <f t="shared" si="351"/>
        <v/>
      </c>
    </row>
    <row r="613" spans="1:65">
      <c r="A613" s="473">
        <v>557</v>
      </c>
      <c r="B613" s="132"/>
      <c r="C613" s="332"/>
      <c r="D613" s="333"/>
      <c r="E613" s="333"/>
      <c r="F613" s="334"/>
      <c r="G613" s="337"/>
      <c r="H613" s="131"/>
      <c r="I613" s="337"/>
      <c r="J613" s="131"/>
      <c r="K613" s="458" t="str">
        <f t="shared" si="320"/>
        <v/>
      </c>
      <c r="L613" s="458">
        <f t="shared" si="321"/>
        <v>0</v>
      </c>
      <c r="M613" s="458">
        <f t="shared" si="322"/>
        <v>0</v>
      </c>
      <c r="N613" s="459" t="str">
        <f t="shared" si="283"/>
        <v/>
      </c>
      <c r="O613" s="459" t="str">
        <f t="shared" si="284"/>
        <v/>
      </c>
      <c r="P613" s="459" t="str">
        <f t="shared" si="285"/>
        <v/>
      </c>
      <c r="Q613" s="459" t="str">
        <f t="shared" si="286"/>
        <v/>
      </c>
      <c r="R613" s="459" t="str">
        <f t="shared" si="287"/>
        <v/>
      </c>
      <c r="S613" s="459" t="str">
        <f t="shared" si="288"/>
        <v/>
      </c>
      <c r="T613" s="566" t="str">
        <f t="shared" si="323"/>
        <v/>
      </c>
      <c r="U613" s="702"/>
      <c r="V613" s="132"/>
      <c r="W613" s="133"/>
      <c r="X613" s="134"/>
      <c r="Y613" s="135"/>
      <c r="Z613" s="137"/>
      <c r="AA613" s="136"/>
      <c r="AB613" s="566" t="str">
        <f t="shared" si="324"/>
        <v/>
      </c>
      <c r="AC613" s="568" t="str">
        <f t="shared" si="325"/>
        <v/>
      </c>
      <c r="AD613" s="137"/>
      <c r="AE613" s="137"/>
      <c r="AF613" s="138"/>
      <c r="AG613" s="138"/>
      <c r="AH613" s="592" t="str">
        <f t="shared" si="326"/>
        <v/>
      </c>
      <c r="AI613" s="592" t="str">
        <f t="shared" si="327"/>
        <v/>
      </c>
      <c r="AJ613" s="592" t="str">
        <f t="shared" si="328"/>
        <v/>
      </c>
      <c r="AK613" s="460" t="str">
        <f>IF(AU613="","",IF(OR(AZ613=8,AZ613=9),0,IF(OR(AW613=3,AW613=4,AW613=5,AW613=6),IF(LEFT(BF613,1)="1",INDEX(係数_NOX・PM低減,MATCH(AY613,【参考】排出係数!$AI$801:$AI$804,1),1),VLOOKUP(AU613,INDEX((係数_バス貨物_ガソリン,係数_バス貨物_CNG,係数_バス貨物_軽油,係数_バス貨物_メタノール,係数_バス貨物_LPG),MATCH(AY613,【参考】排出係数!$AI$4:$AI$671,1),1,BE613):INDEX((係数_バス貨物_ガソリン,係数_バス貨物_CNG,係数_バス貨物_軽油,係数_バス貨物_メタノール,係数_バス貨物_LPG),MATCH(AY613+1,【参考】排出係数!$AI$4:$AI$671,1)-1,5,BE613),4,FALSE)),IF(AND(BE613=3,LEFT(BF613,1)="1"),0.48,VLOOKUP(AU613,INDEX((係数_乗用_ガソリン,係数_乗用_CNG,係数_乗用_軽油,係数_乗用_メタノール,係数_乗用_LPG),1,1,BE613):INDEX((係数_乗用_ガソリン,係数_乗用_CNG,係数_乗用_軽油,係数_乗用_メタノール,係数_乗用_LPG),125,5,BE613),4,FALSE)))))</f>
        <v/>
      </c>
      <c r="AL613" s="461" t="str">
        <f t="shared" si="329"/>
        <v/>
      </c>
      <c r="AM613" s="460" t="str">
        <f>IF(AU613="","",IF(OR(AZ613=8,AZ613=9),0,IF(OR(AW613=3,AW613=4,AW613=5,AW613=6),IF(LEFT(BH613,1)="1",INDEX(係数_PM低減,MATCH(AY613,【参考】排出係数!$AI$801:$AI$804,1),MATCH(BI613,【参考】排出係数!$AL$798:$AO$798,1)),VLOOKUP(AU613,INDEX((係数_バス貨物_ガソリン,係数_バス貨物_CNG,係数_バス貨物_軽油,係数_バス貨物_メタノール,係数_バス貨物_LPG),MATCH(AY613,【参考】排出係数!$AI$4:$AI$671,1),1,BE613):INDEX((係数_バス貨物_ガソリン,係数_バス貨物_CNG,係数_バス貨物_軽油,係数_バス貨物_メタノール,係数_バス貨物_LPG),MATCH(AY613+1,【参考】排出係数!$AI$4:$AI$671,1)-1,5,BE613),5,FALSE)),IF(AND(BE613=3,LEFT(BF613,1)="1"),0.055,VLOOKUP(AU613,INDEX((係数_乗用_ガソリン,係数_乗用_CNG,係数_乗用_軽油,係数_乗用_メタノール,係数_乗用_LPG),1,1,BE613):INDEX((係数_乗用_ガソリン,係数_乗用_CNG,係数_乗用_軽油,係数_乗用_メタノール,係数_乗用_LPG),125,5,BE613),5,FALSE)))))</f>
        <v/>
      </c>
      <c r="AN613" s="461" t="str">
        <f t="shared" si="330"/>
        <v/>
      </c>
      <c r="AO613" s="462" t="str">
        <f t="shared" si="331"/>
        <v/>
      </c>
      <c r="AP613" s="463" t="str">
        <f t="shared" si="332"/>
        <v/>
      </c>
      <c r="AQ613" s="464"/>
      <c r="AR613" s="619"/>
      <c r="AS613" s="465" t="str">
        <f t="shared" si="334"/>
        <v/>
      </c>
      <c r="AT613" s="465" t="str">
        <f t="shared" si="335"/>
        <v/>
      </c>
      <c r="AU613" s="466" t="str">
        <f t="shared" si="336"/>
        <v/>
      </c>
      <c r="AV613" s="467" t="str">
        <f t="shared" si="337"/>
        <v/>
      </c>
      <c r="AW613" s="467" t="str">
        <f t="shared" si="338"/>
        <v/>
      </c>
      <c r="AX613" s="467" t="str">
        <f t="shared" si="339"/>
        <v/>
      </c>
      <c r="AY613" s="467" t="str">
        <f t="shared" si="340"/>
        <v/>
      </c>
      <c r="AZ613" s="467" t="str">
        <f t="shared" si="341"/>
        <v/>
      </c>
      <c r="BA613" s="468" t="str">
        <f>IF(AS613="","",IF(OR(AU613="",AU613="-"),"－",IF(OR(AZ613=8,AZ613=9),"",IF(OR(AW613=3,AW613=4,AW613=5,AW613=6),VLOOKUP(AU613,INDEX((係数_バス貨物_ガソリン,係数_バス貨物_CNG,係数_バス貨物_軽油,係数_バス貨物_メタノール,係数_バス貨物_LPG),MATCH(AY613,【参考】排出係数!$AI$4:$AI$671,1),1,BE613):INDEX((係数_バス貨物_ガソリン,係数_バス貨物_CNG,係数_バス貨物_軽油,係数_バス貨物_メタノール,係数_バス貨物_LPG),MATCH(AY613+1,【参考】排出係数!$AI$4:$AI$671,1)-1,5,BE613),2,FALSE),IF(OR(AW613=1,AW613=2),VLOOKUP(AU613,INDEX((係数_乗用_ガソリン,係数_乗用_CNG,係数_乗用_軽油,係数_乗用_メタノール,係数_乗用_LPG),1,1,BE613):INDEX((係数_乗用_ガソリン,係数_乗用_CNG,係数_乗用_軽油,係数_乗用_メタノール,係数_乗用_LPG),125,5,BE613),2,FALSE))))))</f>
        <v/>
      </c>
      <c r="BB613" s="468" t="str">
        <f>IF(T613="","",IF(OR(AU613="",AU613="-"),"－",IF(OR(AZ613=8,AZ613=9),"",IF(OR(AW613=3,AW613=4,AW613=5,AW613=6),VLOOKUP(AU613,INDEX((係数_バス貨物_ガソリン,係数_バス貨物_CNG,係数_バス貨物_軽油,係数_バス貨物_メタノール,係数_バス貨物_LPG),MATCH(AY613,【参考】排出係数!$AI$4:$AI$671,1),1,BE613):INDEX((係数_バス貨物_ガソリン,係数_バス貨物_CNG,係数_バス貨物_軽油,係数_バス貨物_メタノール,係数_バス貨物_LPG),MATCH(AY613+1,【参考】排出係数!$AI$4:$AI$671,1)-1,5,BE613),3,FALSE),IF(OR(AW613=1,AW613=2),VLOOKUP(AU613,INDEX((係数_乗用_ガソリン,係数_乗用_CNG,係数_乗用_軽油,係数_乗用_メタノール,係数_乗用_LPG),1,1,BE613):INDEX((係数_乗用_ガソリン,係数_乗用_CNG,係数_乗用_軽油,係数_乗用_メタノール,係数_乗用_LPG),125,5,BE613),3,FALSE))))))</f>
        <v/>
      </c>
      <c r="BC613" s="467" t="str">
        <f t="shared" si="342"/>
        <v/>
      </c>
      <c r="BD613" s="567" t="str">
        <f t="shared" si="343"/>
        <v/>
      </c>
      <c r="BE613" s="467" t="str">
        <f t="shared" si="344"/>
        <v/>
      </c>
      <c r="BF613" s="469" t="str">
        <f t="shared" ca="1" si="345"/>
        <v/>
      </c>
      <c r="BG613" s="469" t="str">
        <f t="shared" ca="1" si="346"/>
        <v/>
      </c>
      <c r="BH613" s="467" t="str">
        <f t="shared" si="347"/>
        <v/>
      </c>
      <c r="BI613" s="467" t="str">
        <f t="shared" ca="1" si="348"/>
        <v/>
      </c>
      <c r="BJ613" s="469" t="str">
        <f t="shared" si="349"/>
        <v/>
      </c>
      <c r="BK613" s="470" t="str">
        <f t="shared" si="333"/>
        <v/>
      </c>
      <c r="BL613" s="775" t="str">
        <f t="shared" si="350"/>
        <v/>
      </c>
      <c r="BM613" s="775" t="str">
        <f t="shared" si="351"/>
        <v/>
      </c>
    </row>
    <row r="614" spans="1:65">
      <c r="A614" s="473">
        <v>558</v>
      </c>
      <c r="B614" s="132"/>
      <c r="C614" s="332"/>
      <c r="D614" s="333"/>
      <c r="E614" s="333"/>
      <c r="F614" s="334"/>
      <c r="G614" s="337"/>
      <c r="H614" s="131"/>
      <c r="I614" s="337"/>
      <c r="J614" s="131"/>
      <c r="K614" s="458" t="str">
        <f t="shared" si="320"/>
        <v/>
      </c>
      <c r="L614" s="458">
        <f t="shared" si="321"/>
        <v>0</v>
      </c>
      <c r="M614" s="458">
        <f t="shared" si="322"/>
        <v>0</v>
      </c>
      <c r="N614" s="459" t="str">
        <f t="shared" si="283"/>
        <v/>
      </c>
      <c r="O614" s="459" t="str">
        <f t="shared" si="284"/>
        <v/>
      </c>
      <c r="P614" s="459" t="str">
        <f t="shared" si="285"/>
        <v/>
      </c>
      <c r="Q614" s="459" t="str">
        <f t="shared" si="286"/>
        <v/>
      </c>
      <c r="R614" s="459" t="str">
        <f t="shared" si="287"/>
        <v/>
      </c>
      <c r="S614" s="459" t="str">
        <f t="shared" si="288"/>
        <v/>
      </c>
      <c r="T614" s="566" t="str">
        <f t="shared" si="323"/>
        <v/>
      </c>
      <c r="U614" s="702"/>
      <c r="V614" s="132"/>
      <c r="W614" s="133"/>
      <c r="X614" s="134"/>
      <c r="Y614" s="135"/>
      <c r="Z614" s="137"/>
      <c r="AA614" s="136"/>
      <c r="AB614" s="566" t="str">
        <f t="shared" si="324"/>
        <v/>
      </c>
      <c r="AC614" s="568" t="str">
        <f t="shared" si="325"/>
        <v/>
      </c>
      <c r="AD614" s="137"/>
      <c r="AE614" s="137"/>
      <c r="AF614" s="138"/>
      <c r="AG614" s="138"/>
      <c r="AH614" s="592" t="str">
        <f t="shared" si="326"/>
        <v/>
      </c>
      <c r="AI614" s="592" t="str">
        <f t="shared" si="327"/>
        <v/>
      </c>
      <c r="AJ614" s="592" t="str">
        <f t="shared" si="328"/>
        <v/>
      </c>
      <c r="AK614" s="460" t="str">
        <f>IF(AU614="","",IF(OR(AZ614=8,AZ614=9),0,IF(OR(AW614=3,AW614=4,AW614=5,AW614=6),IF(LEFT(BF614,1)="1",INDEX(係数_NOX・PM低減,MATCH(AY614,【参考】排出係数!$AI$801:$AI$804,1),1),VLOOKUP(AU614,INDEX((係数_バス貨物_ガソリン,係数_バス貨物_CNG,係数_バス貨物_軽油,係数_バス貨物_メタノール,係数_バス貨物_LPG),MATCH(AY614,【参考】排出係数!$AI$4:$AI$671,1),1,BE614):INDEX((係数_バス貨物_ガソリン,係数_バス貨物_CNG,係数_バス貨物_軽油,係数_バス貨物_メタノール,係数_バス貨物_LPG),MATCH(AY614+1,【参考】排出係数!$AI$4:$AI$671,1)-1,5,BE614),4,FALSE)),IF(AND(BE614=3,LEFT(BF614,1)="1"),0.48,VLOOKUP(AU614,INDEX((係数_乗用_ガソリン,係数_乗用_CNG,係数_乗用_軽油,係数_乗用_メタノール,係数_乗用_LPG),1,1,BE614):INDEX((係数_乗用_ガソリン,係数_乗用_CNG,係数_乗用_軽油,係数_乗用_メタノール,係数_乗用_LPG),125,5,BE614),4,FALSE)))))</f>
        <v/>
      </c>
      <c r="AL614" s="461" t="str">
        <f t="shared" si="329"/>
        <v/>
      </c>
      <c r="AM614" s="460" t="str">
        <f>IF(AU614="","",IF(OR(AZ614=8,AZ614=9),0,IF(OR(AW614=3,AW614=4,AW614=5,AW614=6),IF(LEFT(BH614,1)="1",INDEX(係数_PM低減,MATCH(AY614,【参考】排出係数!$AI$801:$AI$804,1),MATCH(BI614,【参考】排出係数!$AL$798:$AO$798,1)),VLOOKUP(AU614,INDEX((係数_バス貨物_ガソリン,係数_バス貨物_CNG,係数_バス貨物_軽油,係数_バス貨物_メタノール,係数_バス貨物_LPG),MATCH(AY614,【参考】排出係数!$AI$4:$AI$671,1),1,BE614):INDEX((係数_バス貨物_ガソリン,係数_バス貨物_CNG,係数_バス貨物_軽油,係数_バス貨物_メタノール,係数_バス貨物_LPG),MATCH(AY614+1,【参考】排出係数!$AI$4:$AI$671,1)-1,5,BE614),5,FALSE)),IF(AND(BE614=3,LEFT(BF614,1)="1"),0.055,VLOOKUP(AU614,INDEX((係数_乗用_ガソリン,係数_乗用_CNG,係数_乗用_軽油,係数_乗用_メタノール,係数_乗用_LPG),1,1,BE614):INDEX((係数_乗用_ガソリン,係数_乗用_CNG,係数_乗用_軽油,係数_乗用_メタノール,係数_乗用_LPG),125,5,BE614),5,FALSE)))))</f>
        <v/>
      </c>
      <c r="AN614" s="461" t="str">
        <f t="shared" si="330"/>
        <v/>
      </c>
      <c r="AO614" s="462" t="str">
        <f t="shared" si="331"/>
        <v/>
      </c>
      <c r="AP614" s="463" t="str">
        <f t="shared" si="332"/>
        <v/>
      </c>
      <c r="AQ614" s="464"/>
      <c r="AR614" s="619"/>
      <c r="AS614" s="465" t="str">
        <f t="shared" si="334"/>
        <v/>
      </c>
      <c r="AT614" s="465" t="str">
        <f t="shared" si="335"/>
        <v/>
      </c>
      <c r="AU614" s="466" t="str">
        <f t="shared" si="336"/>
        <v/>
      </c>
      <c r="AV614" s="467" t="str">
        <f t="shared" si="337"/>
        <v/>
      </c>
      <c r="AW614" s="467" t="str">
        <f t="shared" si="338"/>
        <v/>
      </c>
      <c r="AX614" s="467" t="str">
        <f t="shared" si="339"/>
        <v/>
      </c>
      <c r="AY614" s="467" t="str">
        <f t="shared" si="340"/>
        <v/>
      </c>
      <c r="AZ614" s="467" t="str">
        <f t="shared" si="341"/>
        <v/>
      </c>
      <c r="BA614" s="468" t="str">
        <f>IF(AS614="","",IF(OR(AU614="",AU614="-"),"－",IF(OR(AZ614=8,AZ614=9),"",IF(OR(AW614=3,AW614=4,AW614=5,AW614=6),VLOOKUP(AU614,INDEX((係数_バス貨物_ガソリン,係数_バス貨物_CNG,係数_バス貨物_軽油,係数_バス貨物_メタノール,係数_バス貨物_LPG),MATCH(AY614,【参考】排出係数!$AI$4:$AI$671,1),1,BE614):INDEX((係数_バス貨物_ガソリン,係数_バス貨物_CNG,係数_バス貨物_軽油,係数_バス貨物_メタノール,係数_バス貨物_LPG),MATCH(AY614+1,【参考】排出係数!$AI$4:$AI$671,1)-1,5,BE614),2,FALSE),IF(OR(AW614=1,AW614=2),VLOOKUP(AU614,INDEX((係数_乗用_ガソリン,係数_乗用_CNG,係数_乗用_軽油,係数_乗用_メタノール,係数_乗用_LPG),1,1,BE614):INDEX((係数_乗用_ガソリン,係数_乗用_CNG,係数_乗用_軽油,係数_乗用_メタノール,係数_乗用_LPG),125,5,BE614),2,FALSE))))))</f>
        <v/>
      </c>
      <c r="BB614" s="468" t="str">
        <f>IF(T614="","",IF(OR(AU614="",AU614="-"),"－",IF(OR(AZ614=8,AZ614=9),"",IF(OR(AW614=3,AW614=4,AW614=5,AW614=6),VLOOKUP(AU614,INDEX((係数_バス貨物_ガソリン,係数_バス貨物_CNG,係数_バス貨物_軽油,係数_バス貨物_メタノール,係数_バス貨物_LPG),MATCH(AY614,【参考】排出係数!$AI$4:$AI$671,1),1,BE614):INDEX((係数_バス貨物_ガソリン,係数_バス貨物_CNG,係数_バス貨物_軽油,係数_バス貨物_メタノール,係数_バス貨物_LPG),MATCH(AY614+1,【参考】排出係数!$AI$4:$AI$671,1)-1,5,BE614),3,FALSE),IF(OR(AW614=1,AW614=2),VLOOKUP(AU614,INDEX((係数_乗用_ガソリン,係数_乗用_CNG,係数_乗用_軽油,係数_乗用_メタノール,係数_乗用_LPG),1,1,BE614):INDEX((係数_乗用_ガソリン,係数_乗用_CNG,係数_乗用_軽油,係数_乗用_メタノール,係数_乗用_LPG),125,5,BE614),3,FALSE))))))</f>
        <v/>
      </c>
      <c r="BC614" s="467" t="str">
        <f t="shared" si="342"/>
        <v/>
      </c>
      <c r="BD614" s="567" t="str">
        <f t="shared" si="343"/>
        <v/>
      </c>
      <c r="BE614" s="467" t="str">
        <f t="shared" si="344"/>
        <v/>
      </c>
      <c r="BF614" s="469" t="str">
        <f t="shared" ca="1" si="345"/>
        <v/>
      </c>
      <c r="BG614" s="469" t="str">
        <f t="shared" ca="1" si="346"/>
        <v/>
      </c>
      <c r="BH614" s="467" t="str">
        <f t="shared" si="347"/>
        <v/>
      </c>
      <c r="BI614" s="467" t="str">
        <f t="shared" ca="1" si="348"/>
        <v/>
      </c>
      <c r="BJ614" s="469" t="str">
        <f t="shared" si="349"/>
        <v/>
      </c>
      <c r="BK614" s="470" t="str">
        <f t="shared" si="333"/>
        <v/>
      </c>
      <c r="BL614" s="775" t="str">
        <f t="shared" si="350"/>
        <v/>
      </c>
      <c r="BM614" s="775" t="str">
        <f t="shared" si="351"/>
        <v/>
      </c>
    </row>
    <row r="615" spans="1:65">
      <c r="A615" s="473">
        <v>559</v>
      </c>
      <c r="B615" s="132"/>
      <c r="C615" s="332"/>
      <c r="D615" s="333"/>
      <c r="E615" s="333"/>
      <c r="F615" s="334"/>
      <c r="G615" s="337"/>
      <c r="H615" s="131"/>
      <c r="I615" s="337"/>
      <c r="J615" s="131"/>
      <c r="K615" s="458" t="str">
        <f t="shared" si="320"/>
        <v/>
      </c>
      <c r="L615" s="458">
        <f t="shared" si="321"/>
        <v>0</v>
      </c>
      <c r="M615" s="458">
        <f t="shared" si="322"/>
        <v>0</v>
      </c>
      <c r="N615" s="459" t="str">
        <f t="shared" si="283"/>
        <v/>
      </c>
      <c r="O615" s="459" t="str">
        <f t="shared" si="284"/>
        <v/>
      </c>
      <c r="P615" s="459" t="str">
        <f t="shared" si="285"/>
        <v/>
      </c>
      <c r="Q615" s="459" t="str">
        <f t="shared" si="286"/>
        <v/>
      </c>
      <c r="R615" s="459" t="str">
        <f t="shared" si="287"/>
        <v/>
      </c>
      <c r="S615" s="459" t="str">
        <f t="shared" si="288"/>
        <v/>
      </c>
      <c r="T615" s="566" t="str">
        <f t="shared" si="323"/>
        <v/>
      </c>
      <c r="U615" s="702"/>
      <c r="V615" s="132"/>
      <c r="W615" s="133"/>
      <c r="X615" s="134"/>
      <c r="Y615" s="135"/>
      <c r="Z615" s="137"/>
      <c r="AA615" s="136"/>
      <c r="AB615" s="566" t="str">
        <f t="shared" si="324"/>
        <v/>
      </c>
      <c r="AC615" s="568" t="str">
        <f t="shared" si="325"/>
        <v/>
      </c>
      <c r="AD615" s="137"/>
      <c r="AE615" s="137"/>
      <c r="AF615" s="138"/>
      <c r="AG615" s="138"/>
      <c r="AH615" s="592" t="str">
        <f t="shared" si="326"/>
        <v/>
      </c>
      <c r="AI615" s="592" t="str">
        <f t="shared" si="327"/>
        <v/>
      </c>
      <c r="AJ615" s="592" t="str">
        <f t="shared" si="328"/>
        <v/>
      </c>
      <c r="AK615" s="460" t="str">
        <f>IF(AU615="","",IF(OR(AZ615=8,AZ615=9),0,IF(OR(AW615=3,AW615=4,AW615=5,AW615=6),IF(LEFT(BF615,1)="1",INDEX(係数_NOX・PM低減,MATCH(AY615,【参考】排出係数!$AI$801:$AI$804,1),1),VLOOKUP(AU615,INDEX((係数_バス貨物_ガソリン,係数_バス貨物_CNG,係数_バス貨物_軽油,係数_バス貨物_メタノール,係数_バス貨物_LPG),MATCH(AY615,【参考】排出係数!$AI$4:$AI$671,1),1,BE615):INDEX((係数_バス貨物_ガソリン,係数_バス貨物_CNG,係数_バス貨物_軽油,係数_バス貨物_メタノール,係数_バス貨物_LPG),MATCH(AY615+1,【参考】排出係数!$AI$4:$AI$671,1)-1,5,BE615),4,FALSE)),IF(AND(BE615=3,LEFT(BF615,1)="1"),0.48,VLOOKUP(AU615,INDEX((係数_乗用_ガソリン,係数_乗用_CNG,係数_乗用_軽油,係数_乗用_メタノール,係数_乗用_LPG),1,1,BE615):INDEX((係数_乗用_ガソリン,係数_乗用_CNG,係数_乗用_軽油,係数_乗用_メタノール,係数_乗用_LPG),125,5,BE615),4,FALSE)))))</f>
        <v/>
      </c>
      <c r="AL615" s="461" t="str">
        <f t="shared" si="329"/>
        <v/>
      </c>
      <c r="AM615" s="460" t="str">
        <f>IF(AU615="","",IF(OR(AZ615=8,AZ615=9),0,IF(OR(AW615=3,AW615=4,AW615=5,AW615=6),IF(LEFT(BH615,1)="1",INDEX(係数_PM低減,MATCH(AY615,【参考】排出係数!$AI$801:$AI$804,1),MATCH(BI615,【参考】排出係数!$AL$798:$AO$798,1)),VLOOKUP(AU615,INDEX((係数_バス貨物_ガソリン,係数_バス貨物_CNG,係数_バス貨物_軽油,係数_バス貨物_メタノール,係数_バス貨物_LPG),MATCH(AY615,【参考】排出係数!$AI$4:$AI$671,1),1,BE615):INDEX((係数_バス貨物_ガソリン,係数_バス貨物_CNG,係数_バス貨物_軽油,係数_バス貨物_メタノール,係数_バス貨物_LPG),MATCH(AY615+1,【参考】排出係数!$AI$4:$AI$671,1)-1,5,BE615),5,FALSE)),IF(AND(BE615=3,LEFT(BF615,1)="1"),0.055,VLOOKUP(AU615,INDEX((係数_乗用_ガソリン,係数_乗用_CNG,係数_乗用_軽油,係数_乗用_メタノール,係数_乗用_LPG),1,1,BE615):INDEX((係数_乗用_ガソリン,係数_乗用_CNG,係数_乗用_軽油,係数_乗用_メタノール,係数_乗用_LPG),125,5,BE615),5,FALSE)))))</f>
        <v/>
      </c>
      <c r="AN615" s="461" t="str">
        <f t="shared" si="330"/>
        <v/>
      </c>
      <c r="AO615" s="462" t="str">
        <f t="shared" si="331"/>
        <v/>
      </c>
      <c r="AP615" s="463" t="str">
        <f t="shared" si="332"/>
        <v/>
      </c>
      <c r="AQ615" s="464"/>
      <c r="AR615" s="619"/>
      <c r="AS615" s="465" t="str">
        <f t="shared" si="334"/>
        <v/>
      </c>
      <c r="AT615" s="465" t="str">
        <f t="shared" si="335"/>
        <v/>
      </c>
      <c r="AU615" s="466" t="str">
        <f t="shared" si="336"/>
        <v/>
      </c>
      <c r="AV615" s="467" t="str">
        <f t="shared" si="337"/>
        <v/>
      </c>
      <c r="AW615" s="467" t="str">
        <f t="shared" si="338"/>
        <v/>
      </c>
      <c r="AX615" s="467" t="str">
        <f t="shared" si="339"/>
        <v/>
      </c>
      <c r="AY615" s="467" t="str">
        <f t="shared" si="340"/>
        <v/>
      </c>
      <c r="AZ615" s="467" t="str">
        <f t="shared" si="341"/>
        <v/>
      </c>
      <c r="BA615" s="468" t="str">
        <f>IF(AS615="","",IF(OR(AU615="",AU615="-"),"－",IF(OR(AZ615=8,AZ615=9),"",IF(OR(AW615=3,AW615=4,AW615=5,AW615=6),VLOOKUP(AU615,INDEX((係数_バス貨物_ガソリン,係数_バス貨物_CNG,係数_バス貨物_軽油,係数_バス貨物_メタノール,係数_バス貨物_LPG),MATCH(AY615,【参考】排出係数!$AI$4:$AI$671,1),1,BE615):INDEX((係数_バス貨物_ガソリン,係数_バス貨物_CNG,係数_バス貨物_軽油,係数_バス貨物_メタノール,係数_バス貨物_LPG),MATCH(AY615+1,【参考】排出係数!$AI$4:$AI$671,1)-1,5,BE615),2,FALSE),IF(OR(AW615=1,AW615=2),VLOOKUP(AU615,INDEX((係数_乗用_ガソリン,係数_乗用_CNG,係数_乗用_軽油,係数_乗用_メタノール,係数_乗用_LPG),1,1,BE615):INDEX((係数_乗用_ガソリン,係数_乗用_CNG,係数_乗用_軽油,係数_乗用_メタノール,係数_乗用_LPG),125,5,BE615),2,FALSE))))))</f>
        <v/>
      </c>
      <c r="BB615" s="468" t="str">
        <f>IF(T615="","",IF(OR(AU615="",AU615="-"),"－",IF(OR(AZ615=8,AZ615=9),"",IF(OR(AW615=3,AW615=4,AW615=5,AW615=6),VLOOKUP(AU615,INDEX((係数_バス貨物_ガソリン,係数_バス貨物_CNG,係数_バス貨物_軽油,係数_バス貨物_メタノール,係数_バス貨物_LPG),MATCH(AY615,【参考】排出係数!$AI$4:$AI$671,1),1,BE615):INDEX((係数_バス貨物_ガソリン,係数_バス貨物_CNG,係数_バス貨物_軽油,係数_バス貨物_メタノール,係数_バス貨物_LPG),MATCH(AY615+1,【参考】排出係数!$AI$4:$AI$671,1)-1,5,BE615),3,FALSE),IF(OR(AW615=1,AW615=2),VLOOKUP(AU615,INDEX((係数_乗用_ガソリン,係数_乗用_CNG,係数_乗用_軽油,係数_乗用_メタノール,係数_乗用_LPG),1,1,BE615):INDEX((係数_乗用_ガソリン,係数_乗用_CNG,係数_乗用_軽油,係数_乗用_メタノール,係数_乗用_LPG),125,5,BE615),3,FALSE))))))</f>
        <v/>
      </c>
      <c r="BC615" s="467" t="str">
        <f t="shared" si="342"/>
        <v/>
      </c>
      <c r="BD615" s="567" t="str">
        <f t="shared" si="343"/>
        <v/>
      </c>
      <c r="BE615" s="467" t="str">
        <f t="shared" si="344"/>
        <v/>
      </c>
      <c r="BF615" s="469" t="str">
        <f t="shared" ca="1" si="345"/>
        <v/>
      </c>
      <c r="BG615" s="469" t="str">
        <f t="shared" ca="1" si="346"/>
        <v/>
      </c>
      <c r="BH615" s="467" t="str">
        <f t="shared" si="347"/>
        <v/>
      </c>
      <c r="BI615" s="467" t="str">
        <f t="shared" ca="1" si="348"/>
        <v/>
      </c>
      <c r="BJ615" s="469" t="str">
        <f t="shared" si="349"/>
        <v/>
      </c>
      <c r="BK615" s="470" t="str">
        <f t="shared" si="333"/>
        <v/>
      </c>
      <c r="BL615" s="775" t="str">
        <f t="shared" si="350"/>
        <v/>
      </c>
      <c r="BM615" s="775" t="str">
        <f t="shared" si="351"/>
        <v/>
      </c>
    </row>
    <row r="616" spans="1:65">
      <c r="A616" s="473">
        <v>560</v>
      </c>
      <c r="B616" s="132"/>
      <c r="C616" s="332"/>
      <c r="D616" s="333"/>
      <c r="E616" s="333"/>
      <c r="F616" s="334"/>
      <c r="G616" s="337"/>
      <c r="H616" s="131"/>
      <c r="I616" s="337"/>
      <c r="J616" s="131"/>
      <c r="K616" s="458" t="str">
        <f t="shared" si="320"/>
        <v/>
      </c>
      <c r="L616" s="458">
        <f t="shared" si="321"/>
        <v>0</v>
      </c>
      <c r="M616" s="458">
        <f t="shared" si="322"/>
        <v>0</v>
      </c>
      <c r="N616" s="459" t="str">
        <f t="shared" si="283"/>
        <v/>
      </c>
      <c r="O616" s="459" t="str">
        <f t="shared" si="284"/>
        <v/>
      </c>
      <c r="P616" s="459" t="str">
        <f t="shared" si="285"/>
        <v/>
      </c>
      <c r="Q616" s="459" t="str">
        <f t="shared" si="286"/>
        <v/>
      </c>
      <c r="R616" s="459" t="str">
        <f t="shared" si="287"/>
        <v/>
      </c>
      <c r="S616" s="459" t="str">
        <f t="shared" si="288"/>
        <v/>
      </c>
      <c r="T616" s="566" t="str">
        <f t="shared" si="323"/>
        <v/>
      </c>
      <c r="U616" s="702"/>
      <c r="V616" s="132"/>
      <c r="W616" s="133"/>
      <c r="X616" s="134"/>
      <c r="Y616" s="135"/>
      <c r="Z616" s="137"/>
      <c r="AA616" s="136"/>
      <c r="AB616" s="566" t="str">
        <f t="shared" si="324"/>
        <v/>
      </c>
      <c r="AC616" s="568" t="str">
        <f t="shared" si="325"/>
        <v/>
      </c>
      <c r="AD616" s="137"/>
      <c r="AE616" s="137"/>
      <c r="AF616" s="138"/>
      <c r="AG616" s="138"/>
      <c r="AH616" s="592" t="str">
        <f t="shared" si="326"/>
        <v/>
      </c>
      <c r="AI616" s="592" t="str">
        <f t="shared" si="327"/>
        <v/>
      </c>
      <c r="AJ616" s="592" t="str">
        <f t="shared" si="328"/>
        <v/>
      </c>
      <c r="AK616" s="460" t="str">
        <f>IF(AU616="","",IF(OR(AZ616=8,AZ616=9),0,IF(OR(AW616=3,AW616=4,AW616=5,AW616=6),IF(LEFT(BF616,1)="1",INDEX(係数_NOX・PM低減,MATCH(AY616,【参考】排出係数!$AI$801:$AI$804,1),1),VLOOKUP(AU616,INDEX((係数_バス貨物_ガソリン,係数_バス貨物_CNG,係数_バス貨物_軽油,係数_バス貨物_メタノール,係数_バス貨物_LPG),MATCH(AY616,【参考】排出係数!$AI$4:$AI$671,1),1,BE616):INDEX((係数_バス貨物_ガソリン,係数_バス貨物_CNG,係数_バス貨物_軽油,係数_バス貨物_メタノール,係数_バス貨物_LPG),MATCH(AY616+1,【参考】排出係数!$AI$4:$AI$671,1)-1,5,BE616),4,FALSE)),IF(AND(BE616=3,LEFT(BF616,1)="1"),0.48,VLOOKUP(AU616,INDEX((係数_乗用_ガソリン,係数_乗用_CNG,係数_乗用_軽油,係数_乗用_メタノール,係数_乗用_LPG),1,1,BE616):INDEX((係数_乗用_ガソリン,係数_乗用_CNG,係数_乗用_軽油,係数_乗用_メタノール,係数_乗用_LPG),125,5,BE616),4,FALSE)))))</f>
        <v/>
      </c>
      <c r="AL616" s="461" t="str">
        <f t="shared" si="329"/>
        <v/>
      </c>
      <c r="AM616" s="460" t="str">
        <f>IF(AU616="","",IF(OR(AZ616=8,AZ616=9),0,IF(OR(AW616=3,AW616=4,AW616=5,AW616=6),IF(LEFT(BH616,1)="1",INDEX(係数_PM低減,MATCH(AY616,【参考】排出係数!$AI$801:$AI$804,1),MATCH(BI616,【参考】排出係数!$AL$798:$AO$798,1)),VLOOKUP(AU616,INDEX((係数_バス貨物_ガソリン,係数_バス貨物_CNG,係数_バス貨物_軽油,係数_バス貨物_メタノール,係数_バス貨物_LPG),MATCH(AY616,【参考】排出係数!$AI$4:$AI$671,1),1,BE616):INDEX((係数_バス貨物_ガソリン,係数_バス貨物_CNG,係数_バス貨物_軽油,係数_バス貨物_メタノール,係数_バス貨物_LPG),MATCH(AY616+1,【参考】排出係数!$AI$4:$AI$671,1)-1,5,BE616),5,FALSE)),IF(AND(BE616=3,LEFT(BF616,1)="1"),0.055,VLOOKUP(AU616,INDEX((係数_乗用_ガソリン,係数_乗用_CNG,係数_乗用_軽油,係数_乗用_メタノール,係数_乗用_LPG),1,1,BE616):INDEX((係数_乗用_ガソリン,係数_乗用_CNG,係数_乗用_軽油,係数_乗用_メタノール,係数_乗用_LPG),125,5,BE616),5,FALSE)))))</f>
        <v/>
      </c>
      <c r="AN616" s="461" t="str">
        <f t="shared" si="330"/>
        <v/>
      </c>
      <c r="AO616" s="462" t="str">
        <f t="shared" si="331"/>
        <v/>
      </c>
      <c r="AP616" s="463" t="str">
        <f t="shared" si="332"/>
        <v/>
      </c>
      <c r="AQ616" s="464"/>
      <c r="AR616" s="619"/>
      <c r="AS616" s="465" t="str">
        <f t="shared" si="334"/>
        <v/>
      </c>
      <c r="AT616" s="465" t="str">
        <f t="shared" si="335"/>
        <v/>
      </c>
      <c r="AU616" s="466" t="str">
        <f t="shared" si="336"/>
        <v/>
      </c>
      <c r="AV616" s="467" t="str">
        <f t="shared" si="337"/>
        <v/>
      </c>
      <c r="AW616" s="467" t="str">
        <f t="shared" si="338"/>
        <v/>
      </c>
      <c r="AX616" s="467" t="str">
        <f t="shared" si="339"/>
        <v/>
      </c>
      <c r="AY616" s="467" t="str">
        <f t="shared" si="340"/>
        <v/>
      </c>
      <c r="AZ616" s="467" t="str">
        <f t="shared" si="341"/>
        <v/>
      </c>
      <c r="BA616" s="468" t="str">
        <f>IF(AS616="","",IF(OR(AU616="",AU616="-"),"－",IF(OR(AZ616=8,AZ616=9),"",IF(OR(AW616=3,AW616=4,AW616=5,AW616=6),VLOOKUP(AU616,INDEX((係数_バス貨物_ガソリン,係数_バス貨物_CNG,係数_バス貨物_軽油,係数_バス貨物_メタノール,係数_バス貨物_LPG),MATCH(AY616,【参考】排出係数!$AI$4:$AI$671,1),1,BE616):INDEX((係数_バス貨物_ガソリン,係数_バス貨物_CNG,係数_バス貨物_軽油,係数_バス貨物_メタノール,係数_バス貨物_LPG),MATCH(AY616+1,【参考】排出係数!$AI$4:$AI$671,1)-1,5,BE616),2,FALSE),IF(OR(AW616=1,AW616=2),VLOOKUP(AU616,INDEX((係数_乗用_ガソリン,係数_乗用_CNG,係数_乗用_軽油,係数_乗用_メタノール,係数_乗用_LPG),1,1,BE616):INDEX((係数_乗用_ガソリン,係数_乗用_CNG,係数_乗用_軽油,係数_乗用_メタノール,係数_乗用_LPG),125,5,BE616),2,FALSE))))))</f>
        <v/>
      </c>
      <c r="BB616" s="468" t="str">
        <f>IF(T616="","",IF(OR(AU616="",AU616="-"),"－",IF(OR(AZ616=8,AZ616=9),"",IF(OR(AW616=3,AW616=4,AW616=5,AW616=6),VLOOKUP(AU616,INDEX((係数_バス貨物_ガソリン,係数_バス貨物_CNG,係数_バス貨物_軽油,係数_バス貨物_メタノール,係数_バス貨物_LPG),MATCH(AY616,【参考】排出係数!$AI$4:$AI$671,1),1,BE616):INDEX((係数_バス貨物_ガソリン,係数_バス貨物_CNG,係数_バス貨物_軽油,係数_バス貨物_メタノール,係数_バス貨物_LPG),MATCH(AY616+1,【参考】排出係数!$AI$4:$AI$671,1)-1,5,BE616),3,FALSE),IF(OR(AW616=1,AW616=2),VLOOKUP(AU616,INDEX((係数_乗用_ガソリン,係数_乗用_CNG,係数_乗用_軽油,係数_乗用_メタノール,係数_乗用_LPG),1,1,BE616):INDEX((係数_乗用_ガソリン,係数_乗用_CNG,係数_乗用_軽油,係数_乗用_メタノール,係数_乗用_LPG),125,5,BE616),3,FALSE))))))</f>
        <v/>
      </c>
      <c r="BC616" s="467" t="str">
        <f t="shared" si="342"/>
        <v/>
      </c>
      <c r="BD616" s="567" t="str">
        <f t="shared" si="343"/>
        <v/>
      </c>
      <c r="BE616" s="467" t="str">
        <f t="shared" si="344"/>
        <v/>
      </c>
      <c r="BF616" s="469" t="str">
        <f t="shared" ca="1" si="345"/>
        <v/>
      </c>
      <c r="BG616" s="469" t="str">
        <f t="shared" ca="1" si="346"/>
        <v/>
      </c>
      <c r="BH616" s="467" t="str">
        <f t="shared" si="347"/>
        <v/>
      </c>
      <c r="BI616" s="467" t="str">
        <f t="shared" ca="1" si="348"/>
        <v/>
      </c>
      <c r="BJ616" s="469" t="str">
        <f t="shared" si="349"/>
        <v/>
      </c>
      <c r="BK616" s="470" t="str">
        <f t="shared" si="333"/>
        <v/>
      </c>
      <c r="BL616" s="775" t="str">
        <f t="shared" si="350"/>
        <v/>
      </c>
      <c r="BM616" s="775" t="str">
        <f t="shared" si="351"/>
        <v/>
      </c>
    </row>
    <row r="617" spans="1:65">
      <c r="A617" s="473">
        <v>561</v>
      </c>
      <c r="B617" s="132"/>
      <c r="C617" s="332"/>
      <c r="D617" s="333"/>
      <c r="E617" s="333"/>
      <c r="F617" s="334"/>
      <c r="G617" s="337"/>
      <c r="H617" s="131"/>
      <c r="I617" s="337"/>
      <c r="J617" s="131"/>
      <c r="K617" s="458" t="str">
        <f t="shared" si="320"/>
        <v/>
      </c>
      <c r="L617" s="458">
        <f t="shared" si="321"/>
        <v>0</v>
      </c>
      <c r="M617" s="458">
        <f t="shared" si="322"/>
        <v>0</v>
      </c>
      <c r="N617" s="459" t="str">
        <f t="shared" si="283"/>
        <v/>
      </c>
      <c r="O617" s="459" t="str">
        <f t="shared" si="284"/>
        <v/>
      </c>
      <c r="P617" s="459" t="str">
        <f t="shared" si="285"/>
        <v/>
      </c>
      <c r="Q617" s="459" t="str">
        <f t="shared" si="286"/>
        <v/>
      </c>
      <c r="R617" s="459" t="str">
        <f t="shared" si="287"/>
        <v/>
      </c>
      <c r="S617" s="459" t="str">
        <f t="shared" si="288"/>
        <v/>
      </c>
      <c r="T617" s="566" t="str">
        <f t="shared" si="323"/>
        <v/>
      </c>
      <c r="U617" s="702"/>
      <c r="V617" s="132"/>
      <c r="W617" s="133"/>
      <c r="X617" s="134"/>
      <c r="Y617" s="135"/>
      <c r="Z617" s="137"/>
      <c r="AA617" s="136"/>
      <c r="AB617" s="566" t="str">
        <f t="shared" si="324"/>
        <v/>
      </c>
      <c r="AC617" s="568" t="str">
        <f t="shared" si="325"/>
        <v/>
      </c>
      <c r="AD617" s="137"/>
      <c r="AE617" s="137"/>
      <c r="AF617" s="138"/>
      <c r="AG617" s="138"/>
      <c r="AH617" s="592" t="str">
        <f t="shared" si="326"/>
        <v/>
      </c>
      <c r="AI617" s="592" t="str">
        <f t="shared" si="327"/>
        <v/>
      </c>
      <c r="AJ617" s="592" t="str">
        <f t="shared" si="328"/>
        <v/>
      </c>
      <c r="AK617" s="460" t="str">
        <f>IF(AU617="","",IF(OR(AZ617=8,AZ617=9),0,IF(OR(AW617=3,AW617=4,AW617=5,AW617=6),IF(LEFT(BF617,1)="1",INDEX(係数_NOX・PM低減,MATCH(AY617,【参考】排出係数!$AI$801:$AI$804,1),1),VLOOKUP(AU617,INDEX((係数_バス貨物_ガソリン,係数_バス貨物_CNG,係数_バス貨物_軽油,係数_バス貨物_メタノール,係数_バス貨物_LPG),MATCH(AY617,【参考】排出係数!$AI$4:$AI$671,1),1,BE617):INDEX((係数_バス貨物_ガソリン,係数_バス貨物_CNG,係数_バス貨物_軽油,係数_バス貨物_メタノール,係数_バス貨物_LPG),MATCH(AY617+1,【参考】排出係数!$AI$4:$AI$671,1)-1,5,BE617),4,FALSE)),IF(AND(BE617=3,LEFT(BF617,1)="1"),0.48,VLOOKUP(AU617,INDEX((係数_乗用_ガソリン,係数_乗用_CNG,係数_乗用_軽油,係数_乗用_メタノール,係数_乗用_LPG),1,1,BE617):INDEX((係数_乗用_ガソリン,係数_乗用_CNG,係数_乗用_軽油,係数_乗用_メタノール,係数_乗用_LPG),125,5,BE617),4,FALSE)))))</f>
        <v/>
      </c>
      <c r="AL617" s="461" t="str">
        <f t="shared" si="329"/>
        <v/>
      </c>
      <c r="AM617" s="460" t="str">
        <f>IF(AU617="","",IF(OR(AZ617=8,AZ617=9),0,IF(OR(AW617=3,AW617=4,AW617=5,AW617=6),IF(LEFT(BH617,1)="1",INDEX(係数_PM低減,MATCH(AY617,【参考】排出係数!$AI$801:$AI$804,1),MATCH(BI617,【参考】排出係数!$AL$798:$AO$798,1)),VLOOKUP(AU617,INDEX((係数_バス貨物_ガソリン,係数_バス貨物_CNG,係数_バス貨物_軽油,係数_バス貨物_メタノール,係数_バス貨物_LPG),MATCH(AY617,【参考】排出係数!$AI$4:$AI$671,1),1,BE617):INDEX((係数_バス貨物_ガソリン,係数_バス貨物_CNG,係数_バス貨物_軽油,係数_バス貨物_メタノール,係数_バス貨物_LPG),MATCH(AY617+1,【参考】排出係数!$AI$4:$AI$671,1)-1,5,BE617),5,FALSE)),IF(AND(BE617=3,LEFT(BF617,1)="1"),0.055,VLOOKUP(AU617,INDEX((係数_乗用_ガソリン,係数_乗用_CNG,係数_乗用_軽油,係数_乗用_メタノール,係数_乗用_LPG),1,1,BE617):INDEX((係数_乗用_ガソリン,係数_乗用_CNG,係数_乗用_軽油,係数_乗用_メタノール,係数_乗用_LPG),125,5,BE617),5,FALSE)))))</f>
        <v/>
      </c>
      <c r="AN617" s="461" t="str">
        <f t="shared" si="330"/>
        <v/>
      </c>
      <c r="AO617" s="462" t="str">
        <f t="shared" si="331"/>
        <v/>
      </c>
      <c r="AP617" s="463" t="str">
        <f t="shared" si="332"/>
        <v/>
      </c>
      <c r="AQ617" s="464"/>
      <c r="AR617" s="619"/>
      <c r="AS617" s="465" t="str">
        <f t="shared" si="334"/>
        <v/>
      </c>
      <c r="AT617" s="465" t="str">
        <f t="shared" si="335"/>
        <v/>
      </c>
      <c r="AU617" s="466" t="str">
        <f t="shared" si="336"/>
        <v/>
      </c>
      <c r="AV617" s="467" t="str">
        <f t="shared" si="337"/>
        <v/>
      </c>
      <c r="AW617" s="467" t="str">
        <f t="shared" si="338"/>
        <v/>
      </c>
      <c r="AX617" s="467" t="str">
        <f t="shared" si="339"/>
        <v/>
      </c>
      <c r="AY617" s="467" t="str">
        <f t="shared" si="340"/>
        <v/>
      </c>
      <c r="AZ617" s="467" t="str">
        <f t="shared" si="341"/>
        <v/>
      </c>
      <c r="BA617" s="468" t="str">
        <f>IF(AS617="","",IF(OR(AU617="",AU617="-"),"－",IF(OR(AZ617=8,AZ617=9),"",IF(OR(AW617=3,AW617=4,AW617=5,AW617=6),VLOOKUP(AU617,INDEX((係数_バス貨物_ガソリン,係数_バス貨物_CNG,係数_バス貨物_軽油,係数_バス貨物_メタノール,係数_バス貨物_LPG),MATCH(AY617,【参考】排出係数!$AI$4:$AI$671,1),1,BE617):INDEX((係数_バス貨物_ガソリン,係数_バス貨物_CNG,係数_バス貨物_軽油,係数_バス貨物_メタノール,係数_バス貨物_LPG),MATCH(AY617+1,【参考】排出係数!$AI$4:$AI$671,1)-1,5,BE617),2,FALSE),IF(OR(AW617=1,AW617=2),VLOOKUP(AU617,INDEX((係数_乗用_ガソリン,係数_乗用_CNG,係数_乗用_軽油,係数_乗用_メタノール,係数_乗用_LPG),1,1,BE617):INDEX((係数_乗用_ガソリン,係数_乗用_CNG,係数_乗用_軽油,係数_乗用_メタノール,係数_乗用_LPG),125,5,BE617),2,FALSE))))))</f>
        <v/>
      </c>
      <c r="BB617" s="468" t="str">
        <f>IF(T617="","",IF(OR(AU617="",AU617="-"),"－",IF(OR(AZ617=8,AZ617=9),"",IF(OR(AW617=3,AW617=4,AW617=5,AW617=6),VLOOKUP(AU617,INDEX((係数_バス貨物_ガソリン,係数_バス貨物_CNG,係数_バス貨物_軽油,係数_バス貨物_メタノール,係数_バス貨物_LPG),MATCH(AY617,【参考】排出係数!$AI$4:$AI$671,1),1,BE617):INDEX((係数_バス貨物_ガソリン,係数_バス貨物_CNG,係数_バス貨物_軽油,係数_バス貨物_メタノール,係数_バス貨物_LPG),MATCH(AY617+1,【参考】排出係数!$AI$4:$AI$671,1)-1,5,BE617),3,FALSE),IF(OR(AW617=1,AW617=2),VLOOKUP(AU617,INDEX((係数_乗用_ガソリン,係数_乗用_CNG,係数_乗用_軽油,係数_乗用_メタノール,係数_乗用_LPG),1,1,BE617):INDEX((係数_乗用_ガソリン,係数_乗用_CNG,係数_乗用_軽油,係数_乗用_メタノール,係数_乗用_LPG),125,5,BE617),3,FALSE))))))</f>
        <v/>
      </c>
      <c r="BC617" s="467" t="str">
        <f t="shared" si="342"/>
        <v/>
      </c>
      <c r="BD617" s="567" t="str">
        <f t="shared" si="343"/>
        <v/>
      </c>
      <c r="BE617" s="467" t="str">
        <f t="shared" si="344"/>
        <v/>
      </c>
      <c r="BF617" s="469" t="str">
        <f t="shared" ca="1" si="345"/>
        <v/>
      </c>
      <c r="BG617" s="469" t="str">
        <f t="shared" ca="1" si="346"/>
        <v/>
      </c>
      <c r="BH617" s="467" t="str">
        <f t="shared" si="347"/>
        <v/>
      </c>
      <c r="BI617" s="467" t="str">
        <f t="shared" ca="1" si="348"/>
        <v/>
      </c>
      <c r="BJ617" s="469" t="str">
        <f t="shared" si="349"/>
        <v/>
      </c>
      <c r="BK617" s="470" t="str">
        <f t="shared" si="333"/>
        <v/>
      </c>
      <c r="BL617" s="775" t="str">
        <f t="shared" si="350"/>
        <v/>
      </c>
      <c r="BM617" s="775" t="str">
        <f t="shared" si="351"/>
        <v/>
      </c>
    </row>
    <row r="618" spans="1:65">
      <c r="A618" s="473">
        <v>562</v>
      </c>
      <c r="B618" s="132"/>
      <c r="C618" s="332"/>
      <c r="D618" s="333"/>
      <c r="E618" s="333"/>
      <c r="F618" s="334"/>
      <c r="G618" s="337"/>
      <c r="H618" s="131"/>
      <c r="I618" s="337"/>
      <c r="J618" s="131"/>
      <c r="K618" s="458" t="str">
        <f t="shared" si="320"/>
        <v/>
      </c>
      <c r="L618" s="458">
        <f t="shared" si="321"/>
        <v>0</v>
      </c>
      <c r="M618" s="458">
        <f t="shared" si="322"/>
        <v>0</v>
      </c>
      <c r="N618" s="459" t="str">
        <f t="shared" si="283"/>
        <v/>
      </c>
      <c r="O618" s="459" t="str">
        <f t="shared" si="284"/>
        <v/>
      </c>
      <c r="P618" s="459" t="str">
        <f t="shared" si="285"/>
        <v/>
      </c>
      <c r="Q618" s="459" t="str">
        <f t="shared" si="286"/>
        <v/>
      </c>
      <c r="R618" s="459" t="str">
        <f t="shared" si="287"/>
        <v/>
      </c>
      <c r="S618" s="459" t="str">
        <f t="shared" si="288"/>
        <v/>
      </c>
      <c r="T618" s="566" t="str">
        <f t="shared" si="323"/>
        <v/>
      </c>
      <c r="U618" s="702"/>
      <c r="V618" s="132"/>
      <c r="W618" s="133"/>
      <c r="X618" s="134"/>
      <c r="Y618" s="135"/>
      <c r="Z618" s="137"/>
      <c r="AA618" s="136"/>
      <c r="AB618" s="566" t="str">
        <f t="shared" si="324"/>
        <v/>
      </c>
      <c r="AC618" s="568" t="str">
        <f t="shared" si="325"/>
        <v/>
      </c>
      <c r="AD618" s="137"/>
      <c r="AE618" s="137"/>
      <c r="AF618" s="138"/>
      <c r="AG618" s="138"/>
      <c r="AH618" s="592" t="str">
        <f t="shared" si="326"/>
        <v/>
      </c>
      <c r="AI618" s="592" t="str">
        <f t="shared" si="327"/>
        <v/>
      </c>
      <c r="AJ618" s="592" t="str">
        <f t="shared" si="328"/>
        <v/>
      </c>
      <c r="AK618" s="460" t="str">
        <f>IF(AU618="","",IF(OR(AZ618=8,AZ618=9),0,IF(OR(AW618=3,AW618=4,AW618=5,AW618=6),IF(LEFT(BF618,1)="1",INDEX(係数_NOX・PM低減,MATCH(AY618,【参考】排出係数!$AI$801:$AI$804,1),1),VLOOKUP(AU618,INDEX((係数_バス貨物_ガソリン,係数_バス貨物_CNG,係数_バス貨物_軽油,係数_バス貨物_メタノール,係数_バス貨物_LPG),MATCH(AY618,【参考】排出係数!$AI$4:$AI$671,1),1,BE618):INDEX((係数_バス貨物_ガソリン,係数_バス貨物_CNG,係数_バス貨物_軽油,係数_バス貨物_メタノール,係数_バス貨物_LPG),MATCH(AY618+1,【参考】排出係数!$AI$4:$AI$671,1)-1,5,BE618),4,FALSE)),IF(AND(BE618=3,LEFT(BF618,1)="1"),0.48,VLOOKUP(AU618,INDEX((係数_乗用_ガソリン,係数_乗用_CNG,係数_乗用_軽油,係数_乗用_メタノール,係数_乗用_LPG),1,1,BE618):INDEX((係数_乗用_ガソリン,係数_乗用_CNG,係数_乗用_軽油,係数_乗用_メタノール,係数_乗用_LPG),125,5,BE618),4,FALSE)))))</f>
        <v/>
      </c>
      <c r="AL618" s="461" t="str">
        <f t="shared" si="329"/>
        <v/>
      </c>
      <c r="AM618" s="460" t="str">
        <f>IF(AU618="","",IF(OR(AZ618=8,AZ618=9),0,IF(OR(AW618=3,AW618=4,AW618=5,AW618=6),IF(LEFT(BH618,1)="1",INDEX(係数_PM低減,MATCH(AY618,【参考】排出係数!$AI$801:$AI$804,1),MATCH(BI618,【参考】排出係数!$AL$798:$AO$798,1)),VLOOKUP(AU618,INDEX((係数_バス貨物_ガソリン,係数_バス貨物_CNG,係数_バス貨物_軽油,係数_バス貨物_メタノール,係数_バス貨物_LPG),MATCH(AY618,【参考】排出係数!$AI$4:$AI$671,1),1,BE618):INDEX((係数_バス貨物_ガソリン,係数_バス貨物_CNG,係数_バス貨物_軽油,係数_バス貨物_メタノール,係数_バス貨物_LPG),MATCH(AY618+1,【参考】排出係数!$AI$4:$AI$671,1)-1,5,BE618),5,FALSE)),IF(AND(BE618=3,LEFT(BF618,1)="1"),0.055,VLOOKUP(AU618,INDEX((係数_乗用_ガソリン,係数_乗用_CNG,係数_乗用_軽油,係数_乗用_メタノール,係数_乗用_LPG),1,1,BE618):INDEX((係数_乗用_ガソリン,係数_乗用_CNG,係数_乗用_軽油,係数_乗用_メタノール,係数_乗用_LPG),125,5,BE618),5,FALSE)))))</f>
        <v/>
      </c>
      <c r="AN618" s="461" t="str">
        <f t="shared" si="330"/>
        <v/>
      </c>
      <c r="AO618" s="462" t="str">
        <f t="shared" si="331"/>
        <v/>
      </c>
      <c r="AP618" s="463" t="str">
        <f t="shared" si="332"/>
        <v/>
      </c>
      <c r="AQ618" s="464"/>
      <c r="AR618" s="619"/>
      <c r="AS618" s="465" t="str">
        <f t="shared" si="334"/>
        <v/>
      </c>
      <c r="AT618" s="465" t="str">
        <f t="shared" si="335"/>
        <v/>
      </c>
      <c r="AU618" s="466" t="str">
        <f t="shared" si="336"/>
        <v/>
      </c>
      <c r="AV618" s="467" t="str">
        <f t="shared" si="337"/>
        <v/>
      </c>
      <c r="AW618" s="467" t="str">
        <f t="shared" si="338"/>
        <v/>
      </c>
      <c r="AX618" s="467" t="str">
        <f t="shared" si="339"/>
        <v/>
      </c>
      <c r="AY618" s="467" t="str">
        <f t="shared" si="340"/>
        <v/>
      </c>
      <c r="AZ618" s="467" t="str">
        <f t="shared" si="341"/>
        <v/>
      </c>
      <c r="BA618" s="468" t="str">
        <f>IF(AS618="","",IF(OR(AU618="",AU618="-"),"－",IF(OR(AZ618=8,AZ618=9),"",IF(OR(AW618=3,AW618=4,AW618=5,AW618=6),VLOOKUP(AU618,INDEX((係数_バス貨物_ガソリン,係数_バス貨物_CNG,係数_バス貨物_軽油,係数_バス貨物_メタノール,係数_バス貨物_LPG),MATCH(AY618,【参考】排出係数!$AI$4:$AI$671,1),1,BE618):INDEX((係数_バス貨物_ガソリン,係数_バス貨物_CNG,係数_バス貨物_軽油,係数_バス貨物_メタノール,係数_バス貨物_LPG),MATCH(AY618+1,【参考】排出係数!$AI$4:$AI$671,1)-1,5,BE618),2,FALSE),IF(OR(AW618=1,AW618=2),VLOOKUP(AU618,INDEX((係数_乗用_ガソリン,係数_乗用_CNG,係数_乗用_軽油,係数_乗用_メタノール,係数_乗用_LPG),1,1,BE618):INDEX((係数_乗用_ガソリン,係数_乗用_CNG,係数_乗用_軽油,係数_乗用_メタノール,係数_乗用_LPG),125,5,BE618),2,FALSE))))))</f>
        <v/>
      </c>
      <c r="BB618" s="468" t="str">
        <f>IF(T618="","",IF(OR(AU618="",AU618="-"),"－",IF(OR(AZ618=8,AZ618=9),"",IF(OR(AW618=3,AW618=4,AW618=5,AW618=6),VLOOKUP(AU618,INDEX((係数_バス貨物_ガソリン,係数_バス貨物_CNG,係数_バス貨物_軽油,係数_バス貨物_メタノール,係数_バス貨物_LPG),MATCH(AY618,【参考】排出係数!$AI$4:$AI$671,1),1,BE618):INDEX((係数_バス貨物_ガソリン,係数_バス貨物_CNG,係数_バス貨物_軽油,係数_バス貨物_メタノール,係数_バス貨物_LPG),MATCH(AY618+1,【参考】排出係数!$AI$4:$AI$671,1)-1,5,BE618),3,FALSE),IF(OR(AW618=1,AW618=2),VLOOKUP(AU618,INDEX((係数_乗用_ガソリン,係数_乗用_CNG,係数_乗用_軽油,係数_乗用_メタノール,係数_乗用_LPG),1,1,BE618):INDEX((係数_乗用_ガソリン,係数_乗用_CNG,係数_乗用_軽油,係数_乗用_メタノール,係数_乗用_LPG),125,5,BE618),3,FALSE))))))</f>
        <v/>
      </c>
      <c r="BC618" s="467" t="str">
        <f t="shared" si="342"/>
        <v/>
      </c>
      <c r="BD618" s="567" t="str">
        <f t="shared" si="343"/>
        <v/>
      </c>
      <c r="BE618" s="467" t="str">
        <f t="shared" si="344"/>
        <v/>
      </c>
      <c r="BF618" s="469" t="str">
        <f t="shared" ca="1" si="345"/>
        <v/>
      </c>
      <c r="BG618" s="469" t="str">
        <f t="shared" ca="1" si="346"/>
        <v/>
      </c>
      <c r="BH618" s="467" t="str">
        <f t="shared" si="347"/>
        <v/>
      </c>
      <c r="BI618" s="467" t="str">
        <f t="shared" ca="1" si="348"/>
        <v/>
      </c>
      <c r="BJ618" s="469" t="str">
        <f t="shared" si="349"/>
        <v/>
      </c>
      <c r="BK618" s="470" t="str">
        <f t="shared" si="333"/>
        <v/>
      </c>
      <c r="BL618" s="775" t="str">
        <f t="shared" si="350"/>
        <v/>
      </c>
      <c r="BM618" s="775" t="str">
        <f t="shared" si="351"/>
        <v/>
      </c>
    </row>
    <row r="619" spans="1:65">
      <c r="A619" s="473">
        <v>563</v>
      </c>
      <c r="B619" s="132"/>
      <c r="C619" s="332"/>
      <c r="D619" s="333"/>
      <c r="E619" s="333"/>
      <c r="F619" s="334"/>
      <c r="G619" s="337"/>
      <c r="H619" s="131"/>
      <c r="I619" s="337"/>
      <c r="J619" s="131"/>
      <c r="K619" s="458" t="str">
        <f t="shared" si="320"/>
        <v/>
      </c>
      <c r="L619" s="458">
        <f t="shared" si="321"/>
        <v>0</v>
      </c>
      <c r="M619" s="458">
        <f t="shared" si="322"/>
        <v>0</v>
      </c>
      <c r="N619" s="459" t="str">
        <f t="shared" si="283"/>
        <v/>
      </c>
      <c r="O619" s="459" t="str">
        <f t="shared" si="284"/>
        <v/>
      </c>
      <c r="P619" s="459" t="str">
        <f t="shared" si="285"/>
        <v/>
      </c>
      <c r="Q619" s="459" t="str">
        <f t="shared" si="286"/>
        <v/>
      </c>
      <c r="R619" s="459" t="str">
        <f t="shared" si="287"/>
        <v/>
      </c>
      <c r="S619" s="459" t="str">
        <f t="shared" si="288"/>
        <v/>
      </c>
      <c r="T619" s="566" t="str">
        <f t="shared" si="323"/>
        <v/>
      </c>
      <c r="U619" s="702"/>
      <c r="V619" s="132"/>
      <c r="W619" s="133"/>
      <c r="X619" s="134"/>
      <c r="Y619" s="135"/>
      <c r="Z619" s="137"/>
      <c r="AA619" s="136"/>
      <c r="AB619" s="566" t="str">
        <f t="shared" si="324"/>
        <v/>
      </c>
      <c r="AC619" s="568" t="str">
        <f t="shared" si="325"/>
        <v/>
      </c>
      <c r="AD619" s="137"/>
      <c r="AE619" s="137"/>
      <c r="AF619" s="138"/>
      <c r="AG619" s="138"/>
      <c r="AH619" s="592" t="str">
        <f t="shared" si="326"/>
        <v/>
      </c>
      <c r="AI619" s="592" t="str">
        <f t="shared" si="327"/>
        <v/>
      </c>
      <c r="AJ619" s="592" t="str">
        <f t="shared" si="328"/>
        <v/>
      </c>
      <c r="AK619" s="460" t="str">
        <f>IF(AU619="","",IF(OR(AZ619=8,AZ619=9),0,IF(OR(AW619=3,AW619=4,AW619=5,AW619=6),IF(LEFT(BF619,1)="1",INDEX(係数_NOX・PM低減,MATCH(AY619,【参考】排出係数!$AI$801:$AI$804,1),1),VLOOKUP(AU619,INDEX((係数_バス貨物_ガソリン,係数_バス貨物_CNG,係数_バス貨物_軽油,係数_バス貨物_メタノール,係数_バス貨物_LPG),MATCH(AY619,【参考】排出係数!$AI$4:$AI$671,1),1,BE619):INDEX((係数_バス貨物_ガソリン,係数_バス貨物_CNG,係数_バス貨物_軽油,係数_バス貨物_メタノール,係数_バス貨物_LPG),MATCH(AY619+1,【参考】排出係数!$AI$4:$AI$671,1)-1,5,BE619),4,FALSE)),IF(AND(BE619=3,LEFT(BF619,1)="1"),0.48,VLOOKUP(AU619,INDEX((係数_乗用_ガソリン,係数_乗用_CNG,係数_乗用_軽油,係数_乗用_メタノール,係数_乗用_LPG),1,1,BE619):INDEX((係数_乗用_ガソリン,係数_乗用_CNG,係数_乗用_軽油,係数_乗用_メタノール,係数_乗用_LPG),125,5,BE619),4,FALSE)))))</f>
        <v/>
      </c>
      <c r="AL619" s="461" t="str">
        <f t="shared" si="329"/>
        <v/>
      </c>
      <c r="AM619" s="460" t="str">
        <f>IF(AU619="","",IF(OR(AZ619=8,AZ619=9),0,IF(OR(AW619=3,AW619=4,AW619=5,AW619=6),IF(LEFT(BH619,1)="1",INDEX(係数_PM低減,MATCH(AY619,【参考】排出係数!$AI$801:$AI$804,1),MATCH(BI619,【参考】排出係数!$AL$798:$AO$798,1)),VLOOKUP(AU619,INDEX((係数_バス貨物_ガソリン,係数_バス貨物_CNG,係数_バス貨物_軽油,係数_バス貨物_メタノール,係数_バス貨物_LPG),MATCH(AY619,【参考】排出係数!$AI$4:$AI$671,1),1,BE619):INDEX((係数_バス貨物_ガソリン,係数_バス貨物_CNG,係数_バス貨物_軽油,係数_バス貨物_メタノール,係数_バス貨物_LPG),MATCH(AY619+1,【参考】排出係数!$AI$4:$AI$671,1)-1,5,BE619),5,FALSE)),IF(AND(BE619=3,LEFT(BF619,1)="1"),0.055,VLOOKUP(AU619,INDEX((係数_乗用_ガソリン,係数_乗用_CNG,係数_乗用_軽油,係数_乗用_メタノール,係数_乗用_LPG),1,1,BE619):INDEX((係数_乗用_ガソリン,係数_乗用_CNG,係数_乗用_軽油,係数_乗用_メタノール,係数_乗用_LPG),125,5,BE619),5,FALSE)))))</f>
        <v/>
      </c>
      <c r="AN619" s="461" t="str">
        <f t="shared" si="330"/>
        <v/>
      </c>
      <c r="AO619" s="462" t="str">
        <f t="shared" si="331"/>
        <v/>
      </c>
      <c r="AP619" s="463" t="str">
        <f t="shared" si="332"/>
        <v/>
      </c>
      <c r="AQ619" s="464"/>
      <c r="AR619" s="619"/>
      <c r="AS619" s="465" t="str">
        <f t="shared" si="334"/>
        <v/>
      </c>
      <c r="AT619" s="465" t="str">
        <f t="shared" si="335"/>
        <v/>
      </c>
      <c r="AU619" s="466" t="str">
        <f t="shared" si="336"/>
        <v/>
      </c>
      <c r="AV619" s="467" t="str">
        <f t="shared" si="337"/>
        <v/>
      </c>
      <c r="AW619" s="467" t="str">
        <f t="shared" si="338"/>
        <v/>
      </c>
      <c r="AX619" s="467" t="str">
        <f t="shared" si="339"/>
        <v/>
      </c>
      <c r="AY619" s="467" t="str">
        <f t="shared" si="340"/>
        <v/>
      </c>
      <c r="AZ619" s="467" t="str">
        <f t="shared" si="341"/>
        <v/>
      </c>
      <c r="BA619" s="468" t="str">
        <f>IF(AS619="","",IF(OR(AU619="",AU619="-"),"－",IF(OR(AZ619=8,AZ619=9),"",IF(OR(AW619=3,AW619=4,AW619=5,AW619=6),VLOOKUP(AU619,INDEX((係数_バス貨物_ガソリン,係数_バス貨物_CNG,係数_バス貨物_軽油,係数_バス貨物_メタノール,係数_バス貨物_LPG),MATCH(AY619,【参考】排出係数!$AI$4:$AI$671,1),1,BE619):INDEX((係数_バス貨物_ガソリン,係数_バス貨物_CNG,係数_バス貨物_軽油,係数_バス貨物_メタノール,係数_バス貨物_LPG),MATCH(AY619+1,【参考】排出係数!$AI$4:$AI$671,1)-1,5,BE619),2,FALSE),IF(OR(AW619=1,AW619=2),VLOOKUP(AU619,INDEX((係数_乗用_ガソリン,係数_乗用_CNG,係数_乗用_軽油,係数_乗用_メタノール,係数_乗用_LPG),1,1,BE619):INDEX((係数_乗用_ガソリン,係数_乗用_CNG,係数_乗用_軽油,係数_乗用_メタノール,係数_乗用_LPG),125,5,BE619),2,FALSE))))))</f>
        <v/>
      </c>
      <c r="BB619" s="468" t="str">
        <f>IF(T619="","",IF(OR(AU619="",AU619="-"),"－",IF(OR(AZ619=8,AZ619=9),"",IF(OR(AW619=3,AW619=4,AW619=5,AW619=6),VLOOKUP(AU619,INDEX((係数_バス貨物_ガソリン,係数_バス貨物_CNG,係数_バス貨物_軽油,係数_バス貨物_メタノール,係数_バス貨物_LPG),MATCH(AY619,【参考】排出係数!$AI$4:$AI$671,1),1,BE619):INDEX((係数_バス貨物_ガソリン,係数_バス貨物_CNG,係数_バス貨物_軽油,係数_バス貨物_メタノール,係数_バス貨物_LPG),MATCH(AY619+1,【参考】排出係数!$AI$4:$AI$671,1)-1,5,BE619),3,FALSE),IF(OR(AW619=1,AW619=2),VLOOKUP(AU619,INDEX((係数_乗用_ガソリン,係数_乗用_CNG,係数_乗用_軽油,係数_乗用_メタノール,係数_乗用_LPG),1,1,BE619):INDEX((係数_乗用_ガソリン,係数_乗用_CNG,係数_乗用_軽油,係数_乗用_メタノール,係数_乗用_LPG),125,5,BE619),3,FALSE))))))</f>
        <v/>
      </c>
      <c r="BC619" s="467" t="str">
        <f t="shared" si="342"/>
        <v/>
      </c>
      <c r="BD619" s="567" t="str">
        <f t="shared" si="343"/>
        <v/>
      </c>
      <c r="BE619" s="467" t="str">
        <f t="shared" si="344"/>
        <v/>
      </c>
      <c r="BF619" s="469" t="str">
        <f t="shared" ca="1" si="345"/>
        <v/>
      </c>
      <c r="BG619" s="469" t="str">
        <f t="shared" ca="1" si="346"/>
        <v/>
      </c>
      <c r="BH619" s="467" t="str">
        <f t="shared" si="347"/>
        <v/>
      </c>
      <c r="BI619" s="467" t="str">
        <f t="shared" ca="1" si="348"/>
        <v/>
      </c>
      <c r="BJ619" s="469" t="str">
        <f t="shared" si="349"/>
        <v/>
      </c>
      <c r="BK619" s="470" t="str">
        <f t="shared" si="333"/>
        <v/>
      </c>
      <c r="BL619" s="775" t="str">
        <f t="shared" si="350"/>
        <v/>
      </c>
      <c r="BM619" s="775" t="str">
        <f t="shared" si="351"/>
        <v/>
      </c>
    </row>
    <row r="620" spans="1:65">
      <c r="A620" s="473">
        <v>564</v>
      </c>
      <c r="B620" s="132"/>
      <c r="C620" s="332"/>
      <c r="D620" s="333"/>
      <c r="E620" s="333"/>
      <c r="F620" s="334"/>
      <c r="G620" s="337"/>
      <c r="H620" s="131"/>
      <c r="I620" s="337"/>
      <c r="J620" s="131"/>
      <c r="K620" s="458" t="str">
        <f t="shared" ref="K620:K683" si="352">C620&amp;D620&amp;E620&amp;F620</f>
        <v/>
      </c>
      <c r="L620" s="458">
        <f t="shared" ref="L620:L683" si="353">IF(G620&gt;0,DATE((G620),(H620+1),0),0)</f>
        <v>0</v>
      </c>
      <c r="M620" s="458">
        <f t="shared" ref="M620:M683" si="354">IF(I620&gt;0,DATE((I620),(J620+1),0),0)</f>
        <v>0</v>
      </c>
      <c r="N620" s="459" t="str">
        <f t="shared" si="283"/>
        <v/>
      </c>
      <c r="O620" s="459" t="str">
        <f t="shared" si="284"/>
        <v/>
      </c>
      <c r="P620" s="459" t="str">
        <f t="shared" si="285"/>
        <v/>
      </c>
      <c r="Q620" s="459" t="str">
        <f t="shared" si="286"/>
        <v/>
      </c>
      <c r="R620" s="459" t="str">
        <f t="shared" si="287"/>
        <v/>
      </c>
      <c r="S620" s="459" t="str">
        <f t="shared" si="288"/>
        <v/>
      </c>
      <c r="T620" s="566" t="str">
        <f t="shared" ref="T620:T683" si="355">N620&amp;O620&amp;P620&amp;Q620&amp;R620&amp;S620</f>
        <v/>
      </c>
      <c r="U620" s="702"/>
      <c r="V620" s="132"/>
      <c r="W620" s="133"/>
      <c r="X620" s="134"/>
      <c r="Y620" s="135"/>
      <c r="Z620" s="137"/>
      <c r="AA620" s="136"/>
      <c r="AB620" s="566" t="str">
        <f t="shared" ref="AB620:AB683" si="356">IF(AS620="","",IF(AZ620=1,VLOOKUP(BA620,低公害車判別,2,FALSE),IF(AZ620=3,VLOOKUP(BA620,低公害車判別,2,FALSE),IF(AZ620=4,VLOOKUP(BB620,低公害車判別,2,FALSE),"低公害車"))))</f>
        <v/>
      </c>
      <c r="AC620" s="568" t="str">
        <f t="shared" ref="AC620:AC683" si="357">IF(AS620="","",IF((BA620="")+(BA620="－"),IF((BB620="")+(BB620=0),"－",BB620),IF((BA620="PM☆☆☆")+(BA620="☆及びPM☆☆☆")+(BA620="☆☆及びPM☆☆☆")+(BA620="☆☆☆及びPM☆☆☆"),"PM☆☆☆",IF((BA620="PM☆☆☆☆")+(BA620="☆及びPM☆☆☆☆")+(BA620="☆☆及びPM☆☆☆☆")+(BA620="☆☆☆及びPM☆☆☆☆"),"PM☆☆☆☆",IF((BA620="新☆")+(BA620="新NOx☆")+(BA620="新PM☆"),"新☆（新長期）",BA620)))))</f>
        <v/>
      </c>
      <c r="AD620" s="137"/>
      <c r="AE620" s="137"/>
      <c r="AF620" s="138"/>
      <c r="AG620" s="138"/>
      <c r="AH620" s="592" t="str">
        <f t="shared" ref="AH620:AH683" si="358">IF(C620="","",IF(LEFT(C620,2)="横浜","○",""))</f>
        <v/>
      </c>
      <c r="AI620" s="592" t="str">
        <f t="shared" ref="AI620:AI683" si="359">IF(C620="","",IF(LEFT(C620,2)="川崎","○",""))</f>
        <v/>
      </c>
      <c r="AJ620" s="592" t="str">
        <f t="shared" ref="AJ620:AJ683" si="360">IF(C620="","",IF(OR(AH620="○",AI620="○"),"","○"))</f>
        <v/>
      </c>
      <c r="AK620" s="460" t="str">
        <f>IF(AU620="","",IF(OR(AZ620=8,AZ620=9),0,IF(OR(AW620=3,AW620=4,AW620=5,AW620=6),IF(LEFT(BF620,1)="1",INDEX(係数_NOX・PM低減,MATCH(AY620,【参考】排出係数!$AI$801:$AI$804,1),1),VLOOKUP(AU620,INDEX((係数_バス貨物_ガソリン,係数_バス貨物_CNG,係数_バス貨物_軽油,係数_バス貨物_メタノール,係数_バス貨物_LPG),MATCH(AY620,【参考】排出係数!$AI$4:$AI$671,1),1,BE620):INDEX((係数_バス貨物_ガソリン,係数_バス貨物_CNG,係数_バス貨物_軽油,係数_バス貨物_メタノール,係数_バス貨物_LPG),MATCH(AY620+1,【参考】排出係数!$AI$4:$AI$671,1)-1,5,BE620),4,FALSE)),IF(AND(BE620=3,LEFT(BF620,1)="1"),0.48,VLOOKUP(AU620,INDEX((係数_乗用_ガソリン,係数_乗用_CNG,係数_乗用_軽油,係数_乗用_メタノール,係数_乗用_LPG),1,1,BE620):INDEX((係数_乗用_ガソリン,係数_乗用_CNG,係数_乗用_軽油,係数_乗用_メタノール,係数_乗用_LPG),125,5,BE620),4,FALSE)))))</f>
        <v/>
      </c>
      <c r="AL620" s="461" t="str">
        <f t="shared" ref="AL620:AL683" si="361">IF(AU620="","",IF(Z620&lt;=3.5*1000,AD620*AK620/1000,IF(Z620&gt;3.5*1000,AD620*Z620*AK620/1000/1000)))</f>
        <v/>
      </c>
      <c r="AM620" s="460" t="str">
        <f>IF(AU620="","",IF(OR(AZ620=8,AZ620=9),0,IF(OR(AW620=3,AW620=4,AW620=5,AW620=6),IF(LEFT(BH620,1)="1",INDEX(係数_PM低減,MATCH(AY620,【参考】排出係数!$AI$801:$AI$804,1),MATCH(BI620,【参考】排出係数!$AL$798:$AO$798,1)),VLOOKUP(AU620,INDEX((係数_バス貨物_ガソリン,係数_バス貨物_CNG,係数_バス貨物_軽油,係数_バス貨物_メタノール,係数_バス貨物_LPG),MATCH(AY620,【参考】排出係数!$AI$4:$AI$671,1),1,BE620):INDEX((係数_バス貨物_ガソリン,係数_バス貨物_CNG,係数_バス貨物_軽油,係数_バス貨物_メタノール,係数_バス貨物_LPG),MATCH(AY620+1,【参考】排出係数!$AI$4:$AI$671,1)-1,5,BE620),5,FALSE)),IF(AND(BE620=3,LEFT(BF620,1)="1"),0.055,VLOOKUP(AU620,INDEX((係数_乗用_ガソリン,係数_乗用_CNG,係数_乗用_軽油,係数_乗用_メタノール,係数_乗用_LPG),1,1,BE620):INDEX((係数_乗用_ガソリン,係数_乗用_CNG,係数_乗用_軽油,係数_乗用_メタノール,係数_乗用_LPG),125,5,BE620),5,FALSE)))))</f>
        <v/>
      </c>
      <c r="AN620" s="461" t="str">
        <f t="shared" ref="AN620:AN683" si="362">IF(AU620="","",IF(Z620&lt;=3.5*1000,AD620*AM620/1000,IF(Z620&gt;3.5*1000,AD620*Z620*AM620/1000/1000)))</f>
        <v/>
      </c>
      <c r="AO620" s="462" t="str">
        <f t="shared" ref="AO620:AO683" si="363">IF(AU620="","",IF(Z620&lt;500,"車両重量",IF(OR(AZ620=8,AZ620=9),0,IF(OR(AZ620=1,AZ620=2,AZ620=11),2.32,IF(OR(AZ620=4,AZ620=5,AZ620=11),2.58,IF(AZ620=3,3,IF(AZ620=6,2.23,IF(AZ620=7,1.37,0))))))))</f>
        <v/>
      </c>
      <c r="AP620" s="463" t="str">
        <f t="shared" ref="AP620:AP683" si="364">IF(AU620="","",AE620*AO620/1000)</f>
        <v/>
      </c>
      <c r="AQ620" s="464"/>
      <c r="AR620" s="619"/>
      <c r="AS620" s="465" t="str">
        <f t="shared" si="334"/>
        <v/>
      </c>
      <c r="AT620" s="465" t="str">
        <f t="shared" si="335"/>
        <v/>
      </c>
      <c r="AU620" s="466" t="str">
        <f t="shared" si="336"/>
        <v/>
      </c>
      <c r="AV620" s="467" t="str">
        <f t="shared" si="337"/>
        <v/>
      </c>
      <c r="AW620" s="467" t="str">
        <f t="shared" si="338"/>
        <v/>
      </c>
      <c r="AX620" s="467" t="str">
        <f t="shared" si="339"/>
        <v/>
      </c>
      <c r="AY620" s="467" t="str">
        <f t="shared" si="340"/>
        <v/>
      </c>
      <c r="AZ620" s="467" t="str">
        <f t="shared" si="341"/>
        <v/>
      </c>
      <c r="BA620" s="468" t="str">
        <f>IF(AS620="","",IF(OR(AU620="",AU620="-"),"－",IF(OR(AZ620=8,AZ620=9),"",IF(OR(AW620=3,AW620=4,AW620=5,AW620=6),VLOOKUP(AU620,INDEX((係数_バス貨物_ガソリン,係数_バス貨物_CNG,係数_バス貨物_軽油,係数_バス貨物_メタノール,係数_バス貨物_LPG),MATCH(AY620,【参考】排出係数!$AI$4:$AI$671,1),1,BE620):INDEX((係数_バス貨物_ガソリン,係数_バス貨物_CNG,係数_バス貨物_軽油,係数_バス貨物_メタノール,係数_バス貨物_LPG),MATCH(AY620+1,【参考】排出係数!$AI$4:$AI$671,1)-1,5,BE620),2,FALSE),IF(OR(AW620=1,AW620=2),VLOOKUP(AU620,INDEX((係数_乗用_ガソリン,係数_乗用_CNG,係数_乗用_軽油,係数_乗用_メタノール,係数_乗用_LPG),1,1,BE620):INDEX((係数_乗用_ガソリン,係数_乗用_CNG,係数_乗用_軽油,係数_乗用_メタノール,係数_乗用_LPG),125,5,BE620),2,FALSE))))))</f>
        <v/>
      </c>
      <c r="BB620" s="468" t="str">
        <f>IF(T620="","",IF(OR(AU620="",AU620="-"),"－",IF(OR(AZ620=8,AZ620=9),"",IF(OR(AW620=3,AW620=4,AW620=5,AW620=6),VLOOKUP(AU620,INDEX((係数_バス貨物_ガソリン,係数_バス貨物_CNG,係数_バス貨物_軽油,係数_バス貨物_メタノール,係数_バス貨物_LPG),MATCH(AY620,【参考】排出係数!$AI$4:$AI$671,1),1,BE620):INDEX((係数_バス貨物_ガソリン,係数_バス貨物_CNG,係数_バス貨物_軽油,係数_バス貨物_メタノール,係数_バス貨物_LPG),MATCH(AY620+1,【参考】排出係数!$AI$4:$AI$671,1)-1,5,BE620),3,FALSE),IF(OR(AW620=1,AW620=2),VLOOKUP(AU620,INDEX((係数_乗用_ガソリン,係数_乗用_CNG,係数_乗用_軽油,係数_乗用_メタノール,係数_乗用_LPG),1,1,BE620):INDEX((係数_乗用_ガソリン,係数_乗用_CNG,係数_乗用_軽油,係数_乗用_メタノール,係数_乗用_LPG),125,5,BE620),3,FALSE))))))</f>
        <v/>
      </c>
      <c r="BC620" s="467" t="str">
        <f t="shared" si="342"/>
        <v/>
      </c>
      <c r="BD620" s="567" t="str">
        <f t="shared" si="343"/>
        <v/>
      </c>
      <c r="BE620" s="467" t="str">
        <f t="shared" si="344"/>
        <v/>
      </c>
      <c r="BF620" s="469" t="str">
        <f t="shared" ca="1" si="345"/>
        <v/>
      </c>
      <c r="BG620" s="469" t="str">
        <f t="shared" ca="1" si="346"/>
        <v/>
      </c>
      <c r="BH620" s="467" t="str">
        <f t="shared" si="347"/>
        <v/>
      </c>
      <c r="BI620" s="467" t="str">
        <f t="shared" ca="1" si="348"/>
        <v/>
      </c>
      <c r="BJ620" s="469" t="str">
        <f t="shared" si="349"/>
        <v/>
      </c>
      <c r="BK620" s="470" t="str">
        <f t="shared" si="333"/>
        <v/>
      </c>
      <c r="BL620" s="775" t="str">
        <f t="shared" si="350"/>
        <v/>
      </c>
      <c r="BM620" s="775" t="str">
        <f t="shared" si="351"/>
        <v/>
      </c>
    </row>
    <row r="621" spans="1:65">
      <c r="A621" s="473">
        <v>565</v>
      </c>
      <c r="B621" s="132"/>
      <c r="C621" s="332"/>
      <c r="D621" s="333"/>
      <c r="E621" s="333"/>
      <c r="F621" s="334"/>
      <c r="G621" s="337"/>
      <c r="H621" s="131"/>
      <c r="I621" s="337"/>
      <c r="J621" s="131"/>
      <c r="K621" s="458" t="str">
        <f t="shared" si="352"/>
        <v/>
      </c>
      <c r="L621" s="458">
        <f t="shared" si="353"/>
        <v>0</v>
      </c>
      <c r="M621" s="458">
        <f t="shared" si="354"/>
        <v>0</v>
      </c>
      <c r="N621" s="459" t="str">
        <f t="shared" si="283"/>
        <v/>
      </c>
      <c r="O621" s="459" t="str">
        <f t="shared" si="284"/>
        <v/>
      </c>
      <c r="P621" s="459" t="str">
        <f t="shared" si="285"/>
        <v/>
      </c>
      <c r="Q621" s="459" t="str">
        <f t="shared" si="286"/>
        <v/>
      </c>
      <c r="R621" s="459" t="str">
        <f t="shared" si="287"/>
        <v/>
      </c>
      <c r="S621" s="459" t="str">
        <f t="shared" si="288"/>
        <v/>
      </c>
      <c r="T621" s="566" t="str">
        <f t="shared" si="355"/>
        <v/>
      </c>
      <c r="U621" s="702"/>
      <c r="V621" s="132"/>
      <c r="W621" s="133"/>
      <c r="X621" s="134"/>
      <c r="Y621" s="135"/>
      <c r="Z621" s="137"/>
      <c r="AA621" s="136"/>
      <c r="AB621" s="566" t="str">
        <f t="shared" si="356"/>
        <v/>
      </c>
      <c r="AC621" s="568" t="str">
        <f t="shared" si="357"/>
        <v/>
      </c>
      <c r="AD621" s="137"/>
      <c r="AE621" s="137"/>
      <c r="AF621" s="138"/>
      <c r="AG621" s="138"/>
      <c r="AH621" s="592" t="str">
        <f t="shared" si="358"/>
        <v/>
      </c>
      <c r="AI621" s="592" t="str">
        <f t="shared" si="359"/>
        <v/>
      </c>
      <c r="AJ621" s="592" t="str">
        <f t="shared" si="360"/>
        <v/>
      </c>
      <c r="AK621" s="460" t="str">
        <f>IF(AU621="","",IF(OR(AZ621=8,AZ621=9),0,IF(OR(AW621=3,AW621=4,AW621=5,AW621=6),IF(LEFT(BF621,1)="1",INDEX(係数_NOX・PM低減,MATCH(AY621,【参考】排出係数!$AI$801:$AI$804,1),1),VLOOKUP(AU621,INDEX((係数_バス貨物_ガソリン,係数_バス貨物_CNG,係数_バス貨物_軽油,係数_バス貨物_メタノール,係数_バス貨物_LPG),MATCH(AY621,【参考】排出係数!$AI$4:$AI$671,1),1,BE621):INDEX((係数_バス貨物_ガソリン,係数_バス貨物_CNG,係数_バス貨物_軽油,係数_バス貨物_メタノール,係数_バス貨物_LPG),MATCH(AY621+1,【参考】排出係数!$AI$4:$AI$671,1)-1,5,BE621),4,FALSE)),IF(AND(BE621=3,LEFT(BF621,1)="1"),0.48,VLOOKUP(AU621,INDEX((係数_乗用_ガソリン,係数_乗用_CNG,係数_乗用_軽油,係数_乗用_メタノール,係数_乗用_LPG),1,1,BE621):INDEX((係数_乗用_ガソリン,係数_乗用_CNG,係数_乗用_軽油,係数_乗用_メタノール,係数_乗用_LPG),125,5,BE621),4,FALSE)))))</f>
        <v/>
      </c>
      <c r="AL621" s="461" t="str">
        <f t="shared" si="361"/>
        <v/>
      </c>
      <c r="AM621" s="460" t="str">
        <f>IF(AU621="","",IF(OR(AZ621=8,AZ621=9),0,IF(OR(AW621=3,AW621=4,AW621=5,AW621=6),IF(LEFT(BH621,1)="1",INDEX(係数_PM低減,MATCH(AY621,【参考】排出係数!$AI$801:$AI$804,1),MATCH(BI621,【参考】排出係数!$AL$798:$AO$798,1)),VLOOKUP(AU621,INDEX((係数_バス貨物_ガソリン,係数_バス貨物_CNG,係数_バス貨物_軽油,係数_バス貨物_メタノール,係数_バス貨物_LPG),MATCH(AY621,【参考】排出係数!$AI$4:$AI$671,1),1,BE621):INDEX((係数_バス貨物_ガソリン,係数_バス貨物_CNG,係数_バス貨物_軽油,係数_バス貨物_メタノール,係数_バス貨物_LPG),MATCH(AY621+1,【参考】排出係数!$AI$4:$AI$671,1)-1,5,BE621),5,FALSE)),IF(AND(BE621=3,LEFT(BF621,1)="1"),0.055,VLOOKUP(AU621,INDEX((係数_乗用_ガソリン,係数_乗用_CNG,係数_乗用_軽油,係数_乗用_メタノール,係数_乗用_LPG),1,1,BE621):INDEX((係数_乗用_ガソリン,係数_乗用_CNG,係数_乗用_軽油,係数_乗用_メタノール,係数_乗用_LPG),125,5,BE621),5,FALSE)))))</f>
        <v/>
      </c>
      <c r="AN621" s="461" t="str">
        <f t="shared" si="362"/>
        <v/>
      </c>
      <c r="AO621" s="462" t="str">
        <f t="shared" si="363"/>
        <v/>
      </c>
      <c r="AP621" s="463" t="str">
        <f t="shared" si="364"/>
        <v/>
      </c>
      <c r="AQ621" s="464"/>
      <c r="AR621" s="619"/>
      <c r="AS621" s="465" t="str">
        <f t="shared" si="334"/>
        <v/>
      </c>
      <c r="AT621" s="465" t="str">
        <f t="shared" si="335"/>
        <v/>
      </c>
      <c r="AU621" s="466" t="str">
        <f t="shared" si="336"/>
        <v/>
      </c>
      <c r="AV621" s="467" t="str">
        <f t="shared" si="337"/>
        <v/>
      </c>
      <c r="AW621" s="467" t="str">
        <f t="shared" si="338"/>
        <v/>
      </c>
      <c r="AX621" s="467" t="str">
        <f t="shared" si="339"/>
        <v/>
      </c>
      <c r="AY621" s="467" t="str">
        <f t="shared" si="340"/>
        <v/>
      </c>
      <c r="AZ621" s="467" t="str">
        <f t="shared" si="341"/>
        <v/>
      </c>
      <c r="BA621" s="468" t="str">
        <f>IF(AS621="","",IF(OR(AU621="",AU621="-"),"－",IF(OR(AZ621=8,AZ621=9),"",IF(OR(AW621=3,AW621=4,AW621=5,AW621=6),VLOOKUP(AU621,INDEX((係数_バス貨物_ガソリン,係数_バス貨物_CNG,係数_バス貨物_軽油,係数_バス貨物_メタノール,係数_バス貨物_LPG),MATCH(AY621,【参考】排出係数!$AI$4:$AI$671,1),1,BE621):INDEX((係数_バス貨物_ガソリン,係数_バス貨物_CNG,係数_バス貨物_軽油,係数_バス貨物_メタノール,係数_バス貨物_LPG),MATCH(AY621+1,【参考】排出係数!$AI$4:$AI$671,1)-1,5,BE621),2,FALSE),IF(OR(AW621=1,AW621=2),VLOOKUP(AU621,INDEX((係数_乗用_ガソリン,係数_乗用_CNG,係数_乗用_軽油,係数_乗用_メタノール,係数_乗用_LPG),1,1,BE621):INDEX((係数_乗用_ガソリン,係数_乗用_CNG,係数_乗用_軽油,係数_乗用_メタノール,係数_乗用_LPG),125,5,BE621),2,FALSE))))))</f>
        <v/>
      </c>
      <c r="BB621" s="468" t="str">
        <f>IF(T621="","",IF(OR(AU621="",AU621="-"),"－",IF(OR(AZ621=8,AZ621=9),"",IF(OR(AW621=3,AW621=4,AW621=5,AW621=6),VLOOKUP(AU621,INDEX((係数_バス貨物_ガソリン,係数_バス貨物_CNG,係数_バス貨物_軽油,係数_バス貨物_メタノール,係数_バス貨物_LPG),MATCH(AY621,【参考】排出係数!$AI$4:$AI$671,1),1,BE621):INDEX((係数_バス貨物_ガソリン,係数_バス貨物_CNG,係数_バス貨物_軽油,係数_バス貨物_メタノール,係数_バス貨物_LPG),MATCH(AY621+1,【参考】排出係数!$AI$4:$AI$671,1)-1,5,BE621),3,FALSE),IF(OR(AW621=1,AW621=2),VLOOKUP(AU621,INDEX((係数_乗用_ガソリン,係数_乗用_CNG,係数_乗用_軽油,係数_乗用_メタノール,係数_乗用_LPG),1,1,BE621):INDEX((係数_乗用_ガソリン,係数_乗用_CNG,係数_乗用_軽油,係数_乗用_メタノール,係数_乗用_LPG),125,5,BE621),3,FALSE))))))</f>
        <v/>
      </c>
      <c r="BC621" s="467" t="str">
        <f t="shared" si="342"/>
        <v/>
      </c>
      <c r="BD621" s="567" t="str">
        <f t="shared" si="343"/>
        <v/>
      </c>
      <c r="BE621" s="467" t="str">
        <f t="shared" si="344"/>
        <v/>
      </c>
      <c r="BF621" s="469" t="str">
        <f t="shared" ca="1" si="345"/>
        <v/>
      </c>
      <c r="BG621" s="469" t="str">
        <f t="shared" ca="1" si="346"/>
        <v/>
      </c>
      <c r="BH621" s="467" t="str">
        <f t="shared" si="347"/>
        <v/>
      </c>
      <c r="BI621" s="467" t="str">
        <f t="shared" ca="1" si="348"/>
        <v/>
      </c>
      <c r="BJ621" s="469" t="str">
        <f t="shared" si="349"/>
        <v/>
      </c>
      <c r="BK621" s="470" t="str">
        <f t="shared" si="333"/>
        <v/>
      </c>
      <c r="BL621" s="775" t="str">
        <f t="shared" si="350"/>
        <v/>
      </c>
      <c r="BM621" s="775" t="str">
        <f t="shared" si="351"/>
        <v/>
      </c>
    </row>
    <row r="622" spans="1:65">
      <c r="A622" s="473">
        <v>566</v>
      </c>
      <c r="B622" s="132"/>
      <c r="C622" s="332"/>
      <c r="D622" s="333"/>
      <c r="E622" s="333"/>
      <c r="F622" s="334"/>
      <c r="G622" s="337"/>
      <c r="H622" s="131"/>
      <c r="I622" s="337"/>
      <c r="J622" s="131"/>
      <c r="K622" s="458" t="str">
        <f t="shared" si="352"/>
        <v/>
      </c>
      <c r="L622" s="458">
        <f t="shared" si="353"/>
        <v>0</v>
      </c>
      <c r="M622" s="458">
        <f t="shared" si="354"/>
        <v>0</v>
      </c>
      <c r="N622" s="459" t="str">
        <f t="shared" si="283"/>
        <v/>
      </c>
      <c r="O622" s="459" t="str">
        <f t="shared" si="284"/>
        <v/>
      </c>
      <c r="P622" s="459" t="str">
        <f t="shared" si="285"/>
        <v/>
      </c>
      <c r="Q622" s="459" t="str">
        <f t="shared" si="286"/>
        <v/>
      </c>
      <c r="R622" s="459" t="str">
        <f t="shared" si="287"/>
        <v/>
      </c>
      <c r="S622" s="459" t="str">
        <f t="shared" si="288"/>
        <v/>
      </c>
      <c r="T622" s="566" t="str">
        <f t="shared" si="355"/>
        <v/>
      </c>
      <c r="U622" s="702"/>
      <c r="V622" s="132"/>
      <c r="W622" s="133"/>
      <c r="X622" s="134"/>
      <c r="Y622" s="135"/>
      <c r="Z622" s="137"/>
      <c r="AA622" s="136"/>
      <c r="AB622" s="566" t="str">
        <f t="shared" si="356"/>
        <v/>
      </c>
      <c r="AC622" s="568" t="str">
        <f t="shared" si="357"/>
        <v/>
      </c>
      <c r="AD622" s="137"/>
      <c r="AE622" s="137"/>
      <c r="AF622" s="138"/>
      <c r="AG622" s="138"/>
      <c r="AH622" s="592" t="str">
        <f t="shared" si="358"/>
        <v/>
      </c>
      <c r="AI622" s="592" t="str">
        <f t="shared" si="359"/>
        <v/>
      </c>
      <c r="AJ622" s="592" t="str">
        <f t="shared" si="360"/>
        <v/>
      </c>
      <c r="AK622" s="460" t="str">
        <f>IF(AU622="","",IF(OR(AZ622=8,AZ622=9),0,IF(OR(AW622=3,AW622=4,AW622=5,AW622=6),IF(LEFT(BF622,1)="1",INDEX(係数_NOX・PM低減,MATCH(AY622,【参考】排出係数!$AI$801:$AI$804,1),1),VLOOKUP(AU622,INDEX((係数_バス貨物_ガソリン,係数_バス貨物_CNG,係数_バス貨物_軽油,係数_バス貨物_メタノール,係数_バス貨物_LPG),MATCH(AY622,【参考】排出係数!$AI$4:$AI$671,1),1,BE622):INDEX((係数_バス貨物_ガソリン,係数_バス貨物_CNG,係数_バス貨物_軽油,係数_バス貨物_メタノール,係数_バス貨物_LPG),MATCH(AY622+1,【参考】排出係数!$AI$4:$AI$671,1)-1,5,BE622),4,FALSE)),IF(AND(BE622=3,LEFT(BF622,1)="1"),0.48,VLOOKUP(AU622,INDEX((係数_乗用_ガソリン,係数_乗用_CNG,係数_乗用_軽油,係数_乗用_メタノール,係数_乗用_LPG),1,1,BE622):INDEX((係数_乗用_ガソリン,係数_乗用_CNG,係数_乗用_軽油,係数_乗用_メタノール,係数_乗用_LPG),125,5,BE622),4,FALSE)))))</f>
        <v/>
      </c>
      <c r="AL622" s="461" t="str">
        <f t="shared" si="361"/>
        <v/>
      </c>
      <c r="AM622" s="460" t="str">
        <f>IF(AU622="","",IF(OR(AZ622=8,AZ622=9),0,IF(OR(AW622=3,AW622=4,AW622=5,AW622=6),IF(LEFT(BH622,1)="1",INDEX(係数_PM低減,MATCH(AY622,【参考】排出係数!$AI$801:$AI$804,1),MATCH(BI622,【参考】排出係数!$AL$798:$AO$798,1)),VLOOKUP(AU622,INDEX((係数_バス貨物_ガソリン,係数_バス貨物_CNG,係数_バス貨物_軽油,係数_バス貨物_メタノール,係数_バス貨物_LPG),MATCH(AY622,【参考】排出係数!$AI$4:$AI$671,1),1,BE622):INDEX((係数_バス貨物_ガソリン,係数_バス貨物_CNG,係数_バス貨物_軽油,係数_バス貨物_メタノール,係数_バス貨物_LPG),MATCH(AY622+1,【参考】排出係数!$AI$4:$AI$671,1)-1,5,BE622),5,FALSE)),IF(AND(BE622=3,LEFT(BF622,1)="1"),0.055,VLOOKUP(AU622,INDEX((係数_乗用_ガソリン,係数_乗用_CNG,係数_乗用_軽油,係数_乗用_メタノール,係数_乗用_LPG),1,1,BE622):INDEX((係数_乗用_ガソリン,係数_乗用_CNG,係数_乗用_軽油,係数_乗用_メタノール,係数_乗用_LPG),125,5,BE622),5,FALSE)))))</f>
        <v/>
      </c>
      <c r="AN622" s="461" t="str">
        <f t="shared" si="362"/>
        <v/>
      </c>
      <c r="AO622" s="462" t="str">
        <f t="shared" si="363"/>
        <v/>
      </c>
      <c r="AP622" s="463" t="str">
        <f t="shared" si="364"/>
        <v/>
      </c>
      <c r="AQ622" s="464"/>
      <c r="AR622" s="619"/>
      <c r="AS622" s="465" t="str">
        <f t="shared" si="334"/>
        <v/>
      </c>
      <c r="AT622" s="465" t="str">
        <f t="shared" si="335"/>
        <v/>
      </c>
      <c r="AU622" s="466" t="str">
        <f t="shared" si="336"/>
        <v/>
      </c>
      <c r="AV622" s="467" t="str">
        <f t="shared" si="337"/>
        <v/>
      </c>
      <c r="AW622" s="467" t="str">
        <f t="shared" si="338"/>
        <v/>
      </c>
      <c r="AX622" s="467" t="str">
        <f t="shared" si="339"/>
        <v/>
      </c>
      <c r="AY622" s="467" t="str">
        <f t="shared" si="340"/>
        <v/>
      </c>
      <c r="AZ622" s="467" t="str">
        <f t="shared" si="341"/>
        <v/>
      </c>
      <c r="BA622" s="468" t="str">
        <f>IF(AS622="","",IF(OR(AU622="",AU622="-"),"－",IF(OR(AZ622=8,AZ622=9),"",IF(OR(AW622=3,AW622=4,AW622=5,AW622=6),VLOOKUP(AU622,INDEX((係数_バス貨物_ガソリン,係数_バス貨物_CNG,係数_バス貨物_軽油,係数_バス貨物_メタノール,係数_バス貨物_LPG),MATCH(AY622,【参考】排出係数!$AI$4:$AI$671,1),1,BE622):INDEX((係数_バス貨物_ガソリン,係数_バス貨物_CNG,係数_バス貨物_軽油,係数_バス貨物_メタノール,係数_バス貨物_LPG),MATCH(AY622+1,【参考】排出係数!$AI$4:$AI$671,1)-1,5,BE622),2,FALSE),IF(OR(AW622=1,AW622=2),VLOOKUP(AU622,INDEX((係数_乗用_ガソリン,係数_乗用_CNG,係数_乗用_軽油,係数_乗用_メタノール,係数_乗用_LPG),1,1,BE622):INDEX((係数_乗用_ガソリン,係数_乗用_CNG,係数_乗用_軽油,係数_乗用_メタノール,係数_乗用_LPG),125,5,BE622),2,FALSE))))))</f>
        <v/>
      </c>
      <c r="BB622" s="468" t="str">
        <f>IF(T622="","",IF(OR(AU622="",AU622="-"),"－",IF(OR(AZ622=8,AZ622=9),"",IF(OR(AW622=3,AW622=4,AW622=5,AW622=6),VLOOKUP(AU622,INDEX((係数_バス貨物_ガソリン,係数_バス貨物_CNG,係数_バス貨物_軽油,係数_バス貨物_メタノール,係数_バス貨物_LPG),MATCH(AY622,【参考】排出係数!$AI$4:$AI$671,1),1,BE622):INDEX((係数_バス貨物_ガソリン,係数_バス貨物_CNG,係数_バス貨物_軽油,係数_バス貨物_メタノール,係数_バス貨物_LPG),MATCH(AY622+1,【参考】排出係数!$AI$4:$AI$671,1)-1,5,BE622),3,FALSE),IF(OR(AW622=1,AW622=2),VLOOKUP(AU622,INDEX((係数_乗用_ガソリン,係数_乗用_CNG,係数_乗用_軽油,係数_乗用_メタノール,係数_乗用_LPG),1,1,BE622):INDEX((係数_乗用_ガソリン,係数_乗用_CNG,係数_乗用_軽油,係数_乗用_メタノール,係数_乗用_LPG),125,5,BE622),3,FALSE))))))</f>
        <v/>
      </c>
      <c r="BC622" s="467" t="str">
        <f t="shared" si="342"/>
        <v/>
      </c>
      <c r="BD622" s="567" t="str">
        <f t="shared" si="343"/>
        <v/>
      </c>
      <c r="BE622" s="467" t="str">
        <f t="shared" si="344"/>
        <v/>
      </c>
      <c r="BF622" s="469" t="str">
        <f t="shared" ca="1" si="345"/>
        <v/>
      </c>
      <c r="BG622" s="469" t="str">
        <f t="shared" ca="1" si="346"/>
        <v/>
      </c>
      <c r="BH622" s="467" t="str">
        <f t="shared" si="347"/>
        <v/>
      </c>
      <c r="BI622" s="467" t="str">
        <f t="shared" ca="1" si="348"/>
        <v/>
      </c>
      <c r="BJ622" s="469" t="str">
        <f t="shared" si="349"/>
        <v/>
      </c>
      <c r="BK622" s="470" t="str">
        <f t="shared" si="333"/>
        <v/>
      </c>
      <c r="BL622" s="775" t="str">
        <f t="shared" si="350"/>
        <v/>
      </c>
      <c r="BM622" s="775" t="str">
        <f t="shared" si="351"/>
        <v/>
      </c>
    </row>
    <row r="623" spans="1:65">
      <c r="A623" s="473">
        <v>567</v>
      </c>
      <c r="B623" s="132"/>
      <c r="C623" s="332"/>
      <c r="D623" s="333"/>
      <c r="E623" s="333"/>
      <c r="F623" s="334"/>
      <c r="G623" s="337"/>
      <c r="H623" s="131"/>
      <c r="I623" s="337"/>
      <c r="J623" s="131"/>
      <c r="K623" s="458" t="str">
        <f t="shared" si="352"/>
        <v/>
      </c>
      <c r="L623" s="458">
        <f t="shared" si="353"/>
        <v>0</v>
      </c>
      <c r="M623" s="458">
        <f t="shared" si="354"/>
        <v>0</v>
      </c>
      <c r="N623" s="459" t="str">
        <f t="shared" si="283"/>
        <v/>
      </c>
      <c r="O623" s="459" t="str">
        <f t="shared" si="284"/>
        <v/>
      </c>
      <c r="P623" s="459" t="str">
        <f t="shared" si="285"/>
        <v/>
      </c>
      <c r="Q623" s="459" t="str">
        <f t="shared" si="286"/>
        <v/>
      </c>
      <c r="R623" s="459" t="str">
        <f t="shared" si="287"/>
        <v/>
      </c>
      <c r="S623" s="459" t="str">
        <f t="shared" si="288"/>
        <v/>
      </c>
      <c r="T623" s="566" t="str">
        <f t="shared" si="355"/>
        <v/>
      </c>
      <c r="U623" s="702"/>
      <c r="V623" s="132"/>
      <c r="W623" s="133"/>
      <c r="X623" s="134"/>
      <c r="Y623" s="135"/>
      <c r="Z623" s="137"/>
      <c r="AA623" s="136"/>
      <c r="AB623" s="566" t="str">
        <f t="shared" si="356"/>
        <v/>
      </c>
      <c r="AC623" s="568" t="str">
        <f t="shared" si="357"/>
        <v/>
      </c>
      <c r="AD623" s="137"/>
      <c r="AE623" s="137"/>
      <c r="AF623" s="138"/>
      <c r="AG623" s="138"/>
      <c r="AH623" s="592" t="str">
        <f t="shared" si="358"/>
        <v/>
      </c>
      <c r="AI623" s="592" t="str">
        <f t="shared" si="359"/>
        <v/>
      </c>
      <c r="AJ623" s="592" t="str">
        <f t="shared" si="360"/>
        <v/>
      </c>
      <c r="AK623" s="460" t="str">
        <f>IF(AU623="","",IF(OR(AZ623=8,AZ623=9),0,IF(OR(AW623=3,AW623=4,AW623=5,AW623=6),IF(LEFT(BF623,1)="1",INDEX(係数_NOX・PM低減,MATCH(AY623,【参考】排出係数!$AI$801:$AI$804,1),1),VLOOKUP(AU623,INDEX((係数_バス貨物_ガソリン,係数_バス貨物_CNG,係数_バス貨物_軽油,係数_バス貨物_メタノール,係数_バス貨物_LPG),MATCH(AY623,【参考】排出係数!$AI$4:$AI$671,1),1,BE623):INDEX((係数_バス貨物_ガソリン,係数_バス貨物_CNG,係数_バス貨物_軽油,係数_バス貨物_メタノール,係数_バス貨物_LPG),MATCH(AY623+1,【参考】排出係数!$AI$4:$AI$671,1)-1,5,BE623),4,FALSE)),IF(AND(BE623=3,LEFT(BF623,1)="1"),0.48,VLOOKUP(AU623,INDEX((係数_乗用_ガソリン,係数_乗用_CNG,係数_乗用_軽油,係数_乗用_メタノール,係数_乗用_LPG),1,1,BE623):INDEX((係数_乗用_ガソリン,係数_乗用_CNG,係数_乗用_軽油,係数_乗用_メタノール,係数_乗用_LPG),125,5,BE623),4,FALSE)))))</f>
        <v/>
      </c>
      <c r="AL623" s="461" t="str">
        <f t="shared" si="361"/>
        <v/>
      </c>
      <c r="AM623" s="460" t="str">
        <f>IF(AU623="","",IF(OR(AZ623=8,AZ623=9),0,IF(OR(AW623=3,AW623=4,AW623=5,AW623=6),IF(LEFT(BH623,1)="1",INDEX(係数_PM低減,MATCH(AY623,【参考】排出係数!$AI$801:$AI$804,1),MATCH(BI623,【参考】排出係数!$AL$798:$AO$798,1)),VLOOKUP(AU623,INDEX((係数_バス貨物_ガソリン,係数_バス貨物_CNG,係数_バス貨物_軽油,係数_バス貨物_メタノール,係数_バス貨物_LPG),MATCH(AY623,【参考】排出係数!$AI$4:$AI$671,1),1,BE623):INDEX((係数_バス貨物_ガソリン,係数_バス貨物_CNG,係数_バス貨物_軽油,係数_バス貨物_メタノール,係数_バス貨物_LPG),MATCH(AY623+1,【参考】排出係数!$AI$4:$AI$671,1)-1,5,BE623),5,FALSE)),IF(AND(BE623=3,LEFT(BF623,1)="1"),0.055,VLOOKUP(AU623,INDEX((係数_乗用_ガソリン,係数_乗用_CNG,係数_乗用_軽油,係数_乗用_メタノール,係数_乗用_LPG),1,1,BE623):INDEX((係数_乗用_ガソリン,係数_乗用_CNG,係数_乗用_軽油,係数_乗用_メタノール,係数_乗用_LPG),125,5,BE623),5,FALSE)))))</f>
        <v/>
      </c>
      <c r="AN623" s="461" t="str">
        <f t="shared" si="362"/>
        <v/>
      </c>
      <c r="AO623" s="462" t="str">
        <f t="shared" si="363"/>
        <v/>
      </c>
      <c r="AP623" s="463" t="str">
        <f t="shared" si="364"/>
        <v/>
      </c>
      <c r="AQ623" s="464"/>
      <c r="AR623" s="619"/>
      <c r="AS623" s="465" t="str">
        <f t="shared" si="334"/>
        <v/>
      </c>
      <c r="AT623" s="465" t="str">
        <f t="shared" si="335"/>
        <v/>
      </c>
      <c r="AU623" s="466" t="str">
        <f t="shared" si="336"/>
        <v/>
      </c>
      <c r="AV623" s="467" t="str">
        <f t="shared" si="337"/>
        <v/>
      </c>
      <c r="AW623" s="467" t="str">
        <f t="shared" si="338"/>
        <v/>
      </c>
      <c r="AX623" s="467" t="str">
        <f t="shared" si="339"/>
        <v/>
      </c>
      <c r="AY623" s="467" t="str">
        <f t="shared" si="340"/>
        <v/>
      </c>
      <c r="AZ623" s="467" t="str">
        <f t="shared" si="341"/>
        <v/>
      </c>
      <c r="BA623" s="468" t="str">
        <f>IF(AS623="","",IF(OR(AU623="",AU623="-"),"－",IF(OR(AZ623=8,AZ623=9),"",IF(OR(AW623=3,AW623=4,AW623=5,AW623=6),VLOOKUP(AU623,INDEX((係数_バス貨物_ガソリン,係数_バス貨物_CNG,係数_バス貨物_軽油,係数_バス貨物_メタノール,係数_バス貨物_LPG),MATCH(AY623,【参考】排出係数!$AI$4:$AI$671,1),1,BE623):INDEX((係数_バス貨物_ガソリン,係数_バス貨物_CNG,係数_バス貨物_軽油,係数_バス貨物_メタノール,係数_バス貨物_LPG),MATCH(AY623+1,【参考】排出係数!$AI$4:$AI$671,1)-1,5,BE623),2,FALSE),IF(OR(AW623=1,AW623=2),VLOOKUP(AU623,INDEX((係数_乗用_ガソリン,係数_乗用_CNG,係数_乗用_軽油,係数_乗用_メタノール,係数_乗用_LPG),1,1,BE623):INDEX((係数_乗用_ガソリン,係数_乗用_CNG,係数_乗用_軽油,係数_乗用_メタノール,係数_乗用_LPG),125,5,BE623),2,FALSE))))))</f>
        <v/>
      </c>
      <c r="BB623" s="468" t="str">
        <f>IF(T623="","",IF(OR(AU623="",AU623="-"),"－",IF(OR(AZ623=8,AZ623=9),"",IF(OR(AW623=3,AW623=4,AW623=5,AW623=6),VLOOKUP(AU623,INDEX((係数_バス貨物_ガソリン,係数_バス貨物_CNG,係数_バス貨物_軽油,係数_バス貨物_メタノール,係数_バス貨物_LPG),MATCH(AY623,【参考】排出係数!$AI$4:$AI$671,1),1,BE623):INDEX((係数_バス貨物_ガソリン,係数_バス貨物_CNG,係数_バス貨物_軽油,係数_バス貨物_メタノール,係数_バス貨物_LPG),MATCH(AY623+1,【参考】排出係数!$AI$4:$AI$671,1)-1,5,BE623),3,FALSE),IF(OR(AW623=1,AW623=2),VLOOKUP(AU623,INDEX((係数_乗用_ガソリン,係数_乗用_CNG,係数_乗用_軽油,係数_乗用_メタノール,係数_乗用_LPG),1,1,BE623):INDEX((係数_乗用_ガソリン,係数_乗用_CNG,係数_乗用_軽油,係数_乗用_メタノール,係数_乗用_LPG),125,5,BE623),3,FALSE))))))</f>
        <v/>
      </c>
      <c r="BC623" s="467" t="str">
        <f t="shared" si="342"/>
        <v/>
      </c>
      <c r="BD623" s="567" t="str">
        <f t="shared" si="343"/>
        <v/>
      </c>
      <c r="BE623" s="467" t="str">
        <f t="shared" si="344"/>
        <v/>
      </c>
      <c r="BF623" s="469" t="str">
        <f t="shared" ca="1" si="345"/>
        <v/>
      </c>
      <c r="BG623" s="469" t="str">
        <f t="shared" ca="1" si="346"/>
        <v/>
      </c>
      <c r="BH623" s="467" t="str">
        <f t="shared" si="347"/>
        <v/>
      </c>
      <c r="BI623" s="467" t="str">
        <f t="shared" ca="1" si="348"/>
        <v/>
      </c>
      <c r="BJ623" s="469" t="str">
        <f t="shared" si="349"/>
        <v/>
      </c>
      <c r="BK623" s="470" t="str">
        <f t="shared" si="333"/>
        <v/>
      </c>
      <c r="BL623" s="775" t="str">
        <f t="shared" si="350"/>
        <v/>
      </c>
      <c r="BM623" s="775" t="str">
        <f t="shared" si="351"/>
        <v/>
      </c>
    </row>
    <row r="624" spans="1:65">
      <c r="A624" s="473">
        <v>568</v>
      </c>
      <c r="B624" s="132"/>
      <c r="C624" s="332"/>
      <c r="D624" s="333"/>
      <c r="E624" s="333"/>
      <c r="F624" s="334"/>
      <c r="G624" s="337"/>
      <c r="H624" s="131"/>
      <c r="I624" s="337"/>
      <c r="J624" s="131"/>
      <c r="K624" s="458" t="str">
        <f t="shared" si="352"/>
        <v/>
      </c>
      <c r="L624" s="458">
        <f t="shared" si="353"/>
        <v>0</v>
      </c>
      <c r="M624" s="458">
        <f t="shared" si="354"/>
        <v>0</v>
      </c>
      <c r="N624" s="459" t="str">
        <f t="shared" si="283"/>
        <v/>
      </c>
      <c r="O624" s="459" t="str">
        <f t="shared" si="284"/>
        <v/>
      </c>
      <c r="P624" s="459" t="str">
        <f t="shared" si="285"/>
        <v/>
      </c>
      <c r="Q624" s="459" t="str">
        <f t="shared" si="286"/>
        <v/>
      </c>
      <c r="R624" s="459" t="str">
        <f t="shared" si="287"/>
        <v/>
      </c>
      <c r="S624" s="459" t="str">
        <f t="shared" si="288"/>
        <v/>
      </c>
      <c r="T624" s="566" t="str">
        <f t="shared" si="355"/>
        <v/>
      </c>
      <c r="U624" s="702"/>
      <c r="V624" s="132"/>
      <c r="W624" s="133"/>
      <c r="X624" s="134"/>
      <c r="Y624" s="135"/>
      <c r="Z624" s="137"/>
      <c r="AA624" s="136"/>
      <c r="AB624" s="566" t="str">
        <f t="shared" si="356"/>
        <v/>
      </c>
      <c r="AC624" s="568" t="str">
        <f t="shared" si="357"/>
        <v/>
      </c>
      <c r="AD624" s="137"/>
      <c r="AE624" s="137"/>
      <c r="AF624" s="138"/>
      <c r="AG624" s="138"/>
      <c r="AH624" s="592" t="str">
        <f t="shared" si="358"/>
        <v/>
      </c>
      <c r="AI624" s="592" t="str">
        <f t="shared" si="359"/>
        <v/>
      </c>
      <c r="AJ624" s="592" t="str">
        <f t="shared" si="360"/>
        <v/>
      </c>
      <c r="AK624" s="460" t="str">
        <f>IF(AU624="","",IF(OR(AZ624=8,AZ624=9),0,IF(OR(AW624=3,AW624=4,AW624=5,AW624=6),IF(LEFT(BF624,1)="1",INDEX(係数_NOX・PM低減,MATCH(AY624,【参考】排出係数!$AI$801:$AI$804,1),1),VLOOKUP(AU624,INDEX((係数_バス貨物_ガソリン,係数_バス貨物_CNG,係数_バス貨物_軽油,係数_バス貨物_メタノール,係数_バス貨物_LPG),MATCH(AY624,【参考】排出係数!$AI$4:$AI$671,1),1,BE624):INDEX((係数_バス貨物_ガソリン,係数_バス貨物_CNG,係数_バス貨物_軽油,係数_バス貨物_メタノール,係数_バス貨物_LPG),MATCH(AY624+1,【参考】排出係数!$AI$4:$AI$671,1)-1,5,BE624),4,FALSE)),IF(AND(BE624=3,LEFT(BF624,1)="1"),0.48,VLOOKUP(AU624,INDEX((係数_乗用_ガソリン,係数_乗用_CNG,係数_乗用_軽油,係数_乗用_メタノール,係数_乗用_LPG),1,1,BE624):INDEX((係数_乗用_ガソリン,係数_乗用_CNG,係数_乗用_軽油,係数_乗用_メタノール,係数_乗用_LPG),125,5,BE624),4,FALSE)))))</f>
        <v/>
      </c>
      <c r="AL624" s="461" t="str">
        <f t="shared" si="361"/>
        <v/>
      </c>
      <c r="AM624" s="460" t="str">
        <f>IF(AU624="","",IF(OR(AZ624=8,AZ624=9),0,IF(OR(AW624=3,AW624=4,AW624=5,AW624=6),IF(LEFT(BH624,1)="1",INDEX(係数_PM低減,MATCH(AY624,【参考】排出係数!$AI$801:$AI$804,1),MATCH(BI624,【参考】排出係数!$AL$798:$AO$798,1)),VLOOKUP(AU624,INDEX((係数_バス貨物_ガソリン,係数_バス貨物_CNG,係数_バス貨物_軽油,係数_バス貨物_メタノール,係数_バス貨物_LPG),MATCH(AY624,【参考】排出係数!$AI$4:$AI$671,1),1,BE624):INDEX((係数_バス貨物_ガソリン,係数_バス貨物_CNG,係数_バス貨物_軽油,係数_バス貨物_メタノール,係数_バス貨物_LPG),MATCH(AY624+1,【参考】排出係数!$AI$4:$AI$671,1)-1,5,BE624),5,FALSE)),IF(AND(BE624=3,LEFT(BF624,1)="1"),0.055,VLOOKUP(AU624,INDEX((係数_乗用_ガソリン,係数_乗用_CNG,係数_乗用_軽油,係数_乗用_メタノール,係数_乗用_LPG),1,1,BE624):INDEX((係数_乗用_ガソリン,係数_乗用_CNG,係数_乗用_軽油,係数_乗用_メタノール,係数_乗用_LPG),125,5,BE624),5,FALSE)))))</f>
        <v/>
      </c>
      <c r="AN624" s="461" t="str">
        <f t="shared" si="362"/>
        <v/>
      </c>
      <c r="AO624" s="462" t="str">
        <f t="shared" si="363"/>
        <v/>
      </c>
      <c r="AP624" s="463" t="str">
        <f t="shared" si="364"/>
        <v/>
      </c>
      <c r="AQ624" s="464"/>
      <c r="AR624" s="619"/>
      <c r="AS624" s="465" t="str">
        <f t="shared" si="334"/>
        <v/>
      </c>
      <c r="AT624" s="465" t="str">
        <f t="shared" si="335"/>
        <v/>
      </c>
      <c r="AU624" s="466" t="str">
        <f t="shared" si="336"/>
        <v/>
      </c>
      <c r="AV624" s="467" t="str">
        <f t="shared" si="337"/>
        <v/>
      </c>
      <c r="AW624" s="467" t="str">
        <f t="shared" si="338"/>
        <v/>
      </c>
      <c r="AX624" s="467" t="str">
        <f t="shared" si="339"/>
        <v/>
      </c>
      <c r="AY624" s="467" t="str">
        <f t="shared" si="340"/>
        <v/>
      </c>
      <c r="AZ624" s="467" t="str">
        <f t="shared" si="341"/>
        <v/>
      </c>
      <c r="BA624" s="468" t="str">
        <f>IF(AS624="","",IF(OR(AU624="",AU624="-"),"－",IF(OR(AZ624=8,AZ624=9),"",IF(OR(AW624=3,AW624=4,AW624=5,AW624=6),VLOOKUP(AU624,INDEX((係数_バス貨物_ガソリン,係数_バス貨物_CNG,係数_バス貨物_軽油,係数_バス貨物_メタノール,係数_バス貨物_LPG),MATCH(AY624,【参考】排出係数!$AI$4:$AI$671,1),1,BE624):INDEX((係数_バス貨物_ガソリン,係数_バス貨物_CNG,係数_バス貨物_軽油,係数_バス貨物_メタノール,係数_バス貨物_LPG),MATCH(AY624+1,【参考】排出係数!$AI$4:$AI$671,1)-1,5,BE624),2,FALSE),IF(OR(AW624=1,AW624=2),VLOOKUP(AU624,INDEX((係数_乗用_ガソリン,係数_乗用_CNG,係数_乗用_軽油,係数_乗用_メタノール,係数_乗用_LPG),1,1,BE624):INDEX((係数_乗用_ガソリン,係数_乗用_CNG,係数_乗用_軽油,係数_乗用_メタノール,係数_乗用_LPG),125,5,BE624),2,FALSE))))))</f>
        <v/>
      </c>
      <c r="BB624" s="468" t="str">
        <f>IF(T624="","",IF(OR(AU624="",AU624="-"),"－",IF(OR(AZ624=8,AZ624=9),"",IF(OR(AW624=3,AW624=4,AW624=5,AW624=6),VLOOKUP(AU624,INDEX((係数_バス貨物_ガソリン,係数_バス貨物_CNG,係数_バス貨物_軽油,係数_バス貨物_メタノール,係数_バス貨物_LPG),MATCH(AY624,【参考】排出係数!$AI$4:$AI$671,1),1,BE624):INDEX((係数_バス貨物_ガソリン,係数_バス貨物_CNG,係数_バス貨物_軽油,係数_バス貨物_メタノール,係数_バス貨物_LPG),MATCH(AY624+1,【参考】排出係数!$AI$4:$AI$671,1)-1,5,BE624),3,FALSE),IF(OR(AW624=1,AW624=2),VLOOKUP(AU624,INDEX((係数_乗用_ガソリン,係数_乗用_CNG,係数_乗用_軽油,係数_乗用_メタノール,係数_乗用_LPG),1,1,BE624):INDEX((係数_乗用_ガソリン,係数_乗用_CNG,係数_乗用_軽油,係数_乗用_メタノール,係数_乗用_LPG),125,5,BE624),3,FALSE))))))</f>
        <v/>
      </c>
      <c r="BC624" s="467" t="str">
        <f t="shared" si="342"/>
        <v/>
      </c>
      <c r="BD624" s="567" t="str">
        <f t="shared" si="343"/>
        <v/>
      </c>
      <c r="BE624" s="467" t="str">
        <f t="shared" si="344"/>
        <v/>
      </c>
      <c r="BF624" s="469" t="str">
        <f t="shared" ca="1" si="345"/>
        <v/>
      </c>
      <c r="BG624" s="469" t="str">
        <f t="shared" ca="1" si="346"/>
        <v/>
      </c>
      <c r="BH624" s="467" t="str">
        <f t="shared" si="347"/>
        <v/>
      </c>
      <c r="BI624" s="467" t="str">
        <f t="shared" ca="1" si="348"/>
        <v/>
      </c>
      <c r="BJ624" s="469" t="str">
        <f t="shared" si="349"/>
        <v/>
      </c>
      <c r="BK624" s="470" t="str">
        <f t="shared" si="333"/>
        <v/>
      </c>
      <c r="BL624" s="775" t="str">
        <f t="shared" si="350"/>
        <v/>
      </c>
      <c r="BM624" s="775" t="str">
        <f t="shared" si="351"/>
        <v/>
      </c>
    </row>
    <row r="625" spans="1:65">
      <c r="A625" s="473">
        <v>569</v>
      </c>
      <c r="B625" s="132"/>
      <c r="C625" s="332"/>
      <c r="D625" s="333"/>
      <c r="E625" s="333"/>
      <c r="F625" s="334"/>
      <c r="G625" s="337"/>
      <c r="H625" s="131"/>
      <c r="I625" s="337"/>
      <c r="J625" s="131"/>
      <c r="K625" s="458" t="str">
        <f t="shared" si="352"/>
        <v/>
      </c>
      <c r="L625" s="458">
        <f t="shared" si="353"/>
        <v>0</v>
      </c>
      <c r="M625" s="458">
        <f t="shared" si="354"/>
        <v>0</v>
      </c>
      <c r="N625" s="459" t="str">
        <f t="shared" si="283"/>
        <v/>
      </c>
      <c r="O625" s="459" t="str">
        <f t="shared" si="284"/>
        <v/>
      </c>
      <c r="P625" s="459" t="str">
        <f t="shared" si="285"/>
        <v/>
      </c>
      <c r="Q625" s="459" t="str">
        <f t="shared" si="286"/>
        <v/>
      </c>
      <c r="R625" s="459" t="str">
        <f t="shared" si="287"/>
        <v/>
      </c>
      <c r="S625" s="459" t="str">
        <f t="shared" si="288"/>
        <v/>
      </c>
      <c r="T625" s="566" t="str">
        <f t="shared" si="355"/>
        <v/>
      </c>
      <c r="U625" s="702"/>
      <c r="V625" s="132"/>
      <c r="W625" s="133"/>
      <c r="X625" s="134"/>
      <c r="Y625" s="135"/>
      <c r="Z625" s="137"/>
      <c r="AA625" s="136"/>
      <c r="AB625" s="566" t="str">
        <f t="shared" si="356"/>
        <v/>
      </c>
      <c r="AC625" s="568" t="str">
        <f t="shared" si="357"/>
        <v/>
      </c>
      <c r="AD625" s="137"/>
      <c r="AE625" s="137"/>
      <c r="AF625" s="138"/>
      <c r="AG625" s="138"/>
      <c r="AH625" s="592" t="str">
        <f t="shared" si="358"/>
        <v/>
      </c>
      <c r="AI625" s="592" t="str">
        <f t="shared" si="359"/>
        <v/>
      </c>
      <c r="AJ625" s="592" t="str">
        <f t="shared" si="360"/>
        <v/>
      </c>
      <c r="AK625" s="460" t="str">
        <f>IF(AU625="","",IF(OR(AZ625=8,AZ625=9),0,IF(OR(AW625=3,AW625=4,AW625=5,AW625=6),IF(LEFT(BF625,1)="1",INDEX(係数_NOX・PM低減,MATCH(AY625,【参考】排出係数!$AI$801:$AI$804,1),1),VLOOKUP(AU625,INDEX((係数_バス貨物_ガソリン,係数_バス貨物_CNG,係数_バス貨物_軽油,係数_バス貨物_メタノール,係数_バス貨物_LPG),MATCH(AY625,【参考】排出係数!$AI$4:$AI$671,1),1,BE625):INDEX((係数_バス貨物_ガソリン,係数_バス貨物_CNG,係数_バス貨物_軽油,係数_バス貨物_メタノール,係数_バス貨物_LPG),MATCH(AY625+1,【参考】排出係数!$AI$4:$AI$671,1)-1,5,BE625),4,FALSE)),IF(AND(BE625=3,LEFT(BF625,1)="1"),0.48,VLOOKUP(AU625,INDEX((係数_乗用_ガソリン,係数_乗用_CNG,係数_乗用_軽油,係数_乗用_メタノール,係数_乗用_LPG),1,1,BE625):INDEX((係数_乗用_ガソリン,係数_乗用_CNG,係数_乗用_軽油,係数_乗用_メタノール,係数_乗用_LPG),125,5,BE625),4,FALSE)))))</f>
        <v/>
      </c>
      <c r="AL625" s="461" t="str">
        <f t="shared" si="361"/>
        <v/>
      </c>
      <c r="AM625" s="460" t="str">
        <f>IF(AU625="","",IF(OR(AZ625=8,AZ625=9),0,IF(OR(AW625=3,AW625=4,AW625=5,AW625=6),IF(LEFT(BH625,1)="1",INDEX(係数_PM低減,MATCH(AY625,【参考】排出係数!$AI$801:$AI$804,1),MATCH(BI625,【参考】排出係数!$AL$798:$AO$798,1)),VLOOKUP(AU625,INDEX((係数_バス貨物_ガソリン,係数_バス貨物_CNG,係数_バス貨物_軽油,係数_バス貨物_メタノール,係数_バス貨物_LPG),MATCH(AY625,【参考】排出係数!$AI$4:$AI$671,1),1,BE625):INDEX((係数_バス貨物_ガソリン,係数_バス貨物_CNG,係数_バス貨物_軽油,係数_バス貨物_メタノール,係数_バス貨物_LPG),MATCH(AY625+1,【参考】排出係数!$AI$4:$AI$671,1)-1,5,BE625),5,FALSE)),IF(AND(BE625=3,LEFT(BF625,1)="1"),0.055,VLOOKUP(AU625,INDEX((係数_乗用_ガソリン,係数_乗用_CNG,係数_乗用_軽油,係数_乗用_メタノール,係数_乗用_LPG),1,1,BE625):INDEX((係数_乗用_ガソリン,係数_乗用_CNG,係数_乗用_軽油,係数_乗用_メタノール,係数_乗用_LPG),125,5,BE625),5,FALSE)))))</f>
        <v/>
      </c>
      <c r="AN625" s="461" t="str">
        <f t="shared" si="362"/>
        <v/>
      </c>
      <c r="AO625" s="462" t="str">
        <f t="shared" si="363"/>
        <v/>
      </c>
      <c r="AP625" s="463" t="str">
        <f t="shared" si="364"/>
        <v/>
      </c>
      <c r="AQ625" s="464"/>
      <c r="AR625" s="619"/>
      <c r="AS625" s="465" t="str">
        <f t="shared" si="334"/>
        <v/>
      </c>
      <c r="AT625" s="465" t="str">
        <f t="shared" si="335"/>
        <v/>
      </c>
      <c r="AU625" s="466" t="str">
        <f t="shared" si="336"/>
        <v/>
      </c>
      <c r="AV625" s="467" t="str">
        <f t="shared" si="337"/>
        <v/>
      </c>
      <c r="AW625" s="467" t="str">
        <f t="shared" si="338"/>
        <v/>
      </c>
      <c r="AX625" s="467" t="str">
        <f t="shared" si="339"/>
        <v/>
      </c>
      <c r="AY625" s="467" t="str">
        <f t="shared" si="340"/>
        <v/>
      </c>
      <c r="AZ625" s="467" t="str">
        <f t="shared" si="341"/>
        <v/>
      </c>
      <c r="BA625" s="468" t="str">
        <f>IF(AS625="","",IF(OR(AU625="",AU625="-"),"－",IF(OR(AZ625=8,AZ625=9),"",IF(OR(AW625=3,AW625=4,AW625=5,AW625=6),VLOOKUP(AU625,INDEX((係数_バス貨物_ガソリン,係数_バス貨物_CNG,係数_バス貨物_軽油,係数_バス貨物_メタノール,係数_バス貨物_LPG),MATCH(AY625,【参考】排出係数!$AI$4:$AI$671,1),1,BE625):INDEX((係数_バス貨物_ガソリン,係数_バス貨物_CNG,係数_バス貨物_軽油,係数_バス貨物_メタノール,係数_バス貨物_LPG),MATCH(AY625+1,【参考】排出係数!$AI$4:$AI$671,1)-1,5,BE625),2,FALSE),IF(OR(AW625=1,AW625=2),VLOOKUP(AU625,INDEX((係数_乗用_ガソリン,係数_乗用_CNG,係数_乗用_軽油,係数_乗用_メタノール,係数_乗用_LPG),1,1,BE625):INDEX((係数_乗用_ガソリン,係数_乗用_CNG,係数_乗用_軽油,係数_乗用_メタノール,係数_乗用_LPG),125,5,BE625),2,FALSE))))))</f>
        <v/>
      </c>
      <c r="BB625" s="468" t="str">
        <f>IF(T625="","",IF(OR(AU625="",AU625="-"),"－",IF(OR(AZ625=8,AZ625=9),"",IF(OR(AW625=3,AW625=4,AW625=5,AW625=6),VLOOKUP(AU625,INDEX((係数_バス貨物_ガソリン,係数_バス貨物_CNG,係数_バス貨物_軽油,係数_バス貨物_メタノール,係数_バス貨物_LPG),MATCH(AY625,【参考】排出係数!$AI$4:$AI$671,1),1,BE625):INDEX((係数_バス貨物_ガソリン,係数_バス貨物_CNG,係数_バス貨物_軽油,係数_バス貨物_メタノール,係数_バス貨物_LPG),MATCH(AY625+1,【参考】排出係数!$AI$4:$AI$671,1)-1,5,BE625),3,FALSE),IF(OR(AW625=1,AW625=2),VLOOKUP(AU625,INDEX((係数_乗用_ガソリン,係数_乗用_CNG,係数_乗用_軽油,係数_乗用_メタノール,係数_乗用_LPG),1,1,BE625):INDEX((係数_乗用_ガソリン,係数_乗用_CNG,係数_乗用_軽油,係数_乗用_メタノール,係数_乗用_LPG),125,5,BE625),3,FALSE))))))</f>
        <v/>
      </c>
      <c r="BC625" s="467" t="str">
        <f t="shared" si="342"/>
        <v/>
      </c>
      <c r="BD625" s="567" t="str">
        <f t="shared" si="343"/>
        <v/>
      </c>
      <c r="BE625" s="467" t="str">
        <f t="shared" si="344"/>
        <v/>
      </c>
      <c r="BF625" s="469" t="str">
        <f t="shared" ca="1" si="345"/>
        <v/>
      </c>
      <c r="BG625" s="469" t="str">
        <f t="shared" ca="1" si="346"/>
        <v/>
      </c>
      <c r="BH625" s="467" t="str">
        <f t="shared" si="347"/>
        <v/>
      </c>
      <c r="BI625" s="467" t="str">
        <f t="shared" ca="1" si="348"/>
        <v/>
      </c>
      <c r="BJ625" s="469" t="str">
        <f t="shared" si="349"/>
        <v/>
      </c>
      <c r="BK625" s="470" t="str">
        <f t="shared" si="333"/>
        <v/>
      </c>
      <c r="BL625" s="775" t="str">
        <f t="shared" si="350"/>
        <v/>
      </c>
      <c r="BM625" s="775" t="str">
        <f t="shared" si="351"/>
        <v/>
      </c>
    </row>
    <row r="626" spans="1:65">
      <c r="A626" s="473">
        <v>570</v>
      </c>
      <c r="B626" s="132"/>
      <c r="C626" s="332"/>
      <c r="D626" s="333"/>
      <c r="E626" s="333"/>
      <c r="F626" s="334"/>
      <c r="G626" s="337"/>
      <c r="H626" s="131"/>
      <c r="I626" s="337"/>
      <c r="J626" s="131"/>
      <c r="K626" s="458" t="str">
        <f t="shared" si="352"/>
        <v/>
      </c>
      <c r="L626" s="458">
        <f t="shared" si="353"/>
        <v>0</v>
      </c>
      <c r="M626" s="458">
        <f t="shared" si="354"/>
        <v>0</v>
      </c>
      <c r="N626" s="459" t="str">
        <f t="shared" si="283"/>
        <v/>
      </c>
      <c r="O626" s="459" t="str">
        <f t="shared" si="284"/>
        <v/>
      </c>
      <c r="P626" s="459" t="str">
        <f t="shared" si="285"/>
        <v/>
      </c>
      <c r="Q626" s="459" t="str">
        <f t="shared" si="286"/>
        <v/>
      </c>
      <c r="R626" s="459" t="str">
        <f t="shared" si="287"/>
        <v/>
      </c>
      <c r="S626" s="459" t="str">
        <f t="shared" si="288"/>
        <v/>
      </c>
      <c r="T626" s="566" t="str">
        <f t="shared" si="355"/>
        <v/>
      </c>
      <c r="U626" s="702"/>
      <c r="V626" s="132"/>
      <c r="W626" s="133"/>
      <c r="X626" s="134"/>
      <c r="Y626" s="135"/>
      <c r="Z626" s="137"/>
      <c r="AA626" s="136"/>
      <c r="AB626" s="566" t="str">
        <f t="shared" si="356"/>
        <v/>
      </c>
      <c r="AC626" s="568" t="str">
        <f t="shared" si="357"/>
        <v/>
      </c>
      <c r="AD626" s="137"/>
      <c r="AE626" s="137"/>
      <c r="AF626" s="138"/>
      <c r="AG626" s="138"/>
      <c r="AH626" s="592" t="str">
        <f t="shared" si="358"/>
        <v/>
      </c>
      <c r="AI626" s="592" t="str">
        <f t="shared" si="359"/>
        <v/>
      </c>
      <c r="AJ626" s="592" t="str">
        <f t="shared" si="360"/>
        <v/>
      </c>
      <c r="AK626" s="460" t="str">
        <f>IF(AU626="","",IF(OR(AZ626=8,AZ626=9),0,IF(OR(AW626=3,AW626=4,AW626=5,AW626=6),IF(LEFT(BF626,1)="1",INDEX(係数_NOX・PM低減,MATCH(AY626,【参考】排出係数!$AI$801:$AI$804,1),1),VLOOKUP(AU626,INDEX((係数_バス貨物_ガソリン,係数_バス貨物_CNG,係数_バス貨物_軽油,係数_バス貨物_メタノール,係数_バス貨物_LPG),MATCH(AY626,【参考】排出係数!$AI$4:$AI$671,1),1,BE626):INDEX((係数_バス貨物_ガソリン,係数_バス貨物_CNG,係数_バス貨物_軽油,係数_バス貨物_メタノール,係数_バス貨物_LPG),MATCH(AY626+1,【参考】排出係数!$AI$4:$AI$671,1)-1,5,BE626),4,FALSE)),IF(AND(BE626=3,LEFT(BF626,1)="1"),0.48,VLOOKUP(AU626,INDEX((係数_乗用_ガソリン,係数_乗用_CNG,係数_乗用_軽油,係数_乗用_メタノール,係数_乗用_LPG),1,1,BE626):INDEX((係数_乗用_ガソリン,係数_乗用_CNG,係数_乗用_軽油,係数_乗用_メタノール,係数_乗用_LPG),125,5,BE626),4,FALSE)))))</f>
        <v/>
      </c>
      <c r="AL626" s="461" t="str">
        <f t="shared" si="361"/>
        <v/>
      </c>
      <c r="AM626" s="460" t="str">
        <f>IF(AU626="","",IF(OR(AZ626=8,AZ626=9),0,IF(OR(AW626=3,AW626=4,AW626=5,AW626=6),IF(LEFT(BH626,1)="1",INDEX(係数_PM低減,MATCH(AY626,【参考】排出係数!$AI$801:$AI$804,1),MATCH(BI626,【参考】排出係数!$AL$798:$AO$798,1)),VLOOKUP(AU626,INDEX((係数_バス貨物_ガソリン,係数_バス貨物_CNG,係数_バス貨物_軽油,係数_バス貨物_メタノール,係数_バス貨物_LPG),MATCH(AY626,【参考】排出係数!$AI$4:$AI$671,1),1,BE626):INDEX((係数_バス貨物_ガソリン,係数_バス貨物_CNG,係数_バス貨物_軽油,係数_バス貨物_メタノール,係数_バス貨物_LPG),MATCH(AY626+1,【参考】排出係数!$AI$4:$AI$671,1)-1,5,BE626),5,FALSE)),IF(AND(BE626=3,LEFT(BF626,1)="1"),0.055,VLOOKUP(AU626,INDEX((係数_乗用_ガソリン,係数_乗用_CNG,係数_乗用_軽油,係数_乗用_メタノール,係数_乗用_LPG),1,1,BE626):INDEX((係数_乗用_ガソリン,係数_乗用_CNG,係数_乗用_軽油,係数_乗用_メタノール,係数_乗用_LPG),125,5,BE626),5,FALSE)))))</f>
        <v/>
      </c>
      <c r="AN626" s="461" t="str">
        <f t="shared" si="362"/>
        <v/>
      </c>
      <c r="AO626" s="462" t="str">
        <f t="shared" si="363"/>
        <v/>
      </c>
      <c r="AP626" s="463" t="str">
        <f t="shared" si="364"/>
        <v/>
      </c>
      <c r="AQ626" s="464"/>
      <c r="AR626" s="619"/>
      <c r="AS626" s="465" t="str">
        <f t="shared" si="334"/>
        <v/>
      </c>
      <c r="AT626" s="465" t="str">
        <f t="shared" si="335"/>
        <v/>
      </c>
      <c r="AU626" s="466" t="str">
        <f t="shared" si="336"/>
        <v/>
      </c>
      <c r="AV626" s="467" t="str">
        <f t="shared" si="337"/>
        <v/>
      </c>
      <c r="AW626" s="467" t="str">
        <f t="shared" si="338"/>
        <v/>
      </c>
      <c r="AX626" s="467" t="str">
        <f t="shared" si="339"/>
        <v/>
      </c>
      <c r="AY626" s="467" t="str">
        <f t="shared" si="340"/>
        <v/>
      </c>
      <c r="AZ626" s="467" t="str">
        <f t="shared" si="341"/>
        <v/>
      </c>
      <c r="BA626" s="468" t="str">
        <f>IF(AS626="","",IF(OR(AU626="",AU626="-"),"－",IF(OR(AZ626=8,AZ626=9),"",IF(OR(AW626=3,AW626=4,AW626=5,AW626=6),VLOOKUP(AU626,INDEX((係数_バス貨物_ガソリン,係数_バス貨物_CNG,係数_バス貨物_軽油,係数_バス貨物_メタノール,係数_バス貨物_LPG),MATCH(AY626,【参考】排出係数!$AI$4:$AI$671,1),1,BE626):INDEX((係数_バス貨物_ガソリン,係数_バス貨物_CNG,係数_バス貨物_軽油,係数_バス貨物_メタノール,係数_バス貨物_LPG),MATCH(AY626+1,【参考】排出係数!$AI$4:$AI$671,1)-1,5,BE626),2,FALSE),IF(OR(AW626=1,AW626=2),VLOOKUP(AU626,INDEX((係数_乗用_ガソリン,係数_乗用_CNG,係数_乗用_軽油,係数_乗用_メタノール,係数_乗用_LPG),1,1,BE626):INDEX((係数_乗用_ガソリン,係数_乗用_CNG,係数_乗用_軽油,係数_乗用_メタノール,係数_乗用_LPG),125,5,BE626),2,FALSE))))))</f>
        <v/>
      </c>
      <c r="BB626" s="468" t="str">
        <f>IF(T626="","",IF(OR(AU626="",AU626="-"),"－",IF(OR(AZ626=8,AZ626=9),"",IF(OR(AW626=3,AW626=4,AW626=5,AW626=6),VLOOKUP(AU626,INDEX((係数_バス貨物_ガソリン,係数_バス貨物_CNG,係数_バス貨物_軽油,係数_バス貨物_メタノール,係数_バス貨物_LPG),MATCH(AY626,【参考】排出係数!$AI$4:$AI$671,1),1,BE626):INDEX((係数_バス貨物_ガソリン,係数_バス貨物_CNG,係数_バス貨物_軽油,係数_バス貨物_メタノール,係数_バス貨物_LPG),MATCH(AY626+1,【参考】排出係数!$AI$4:$AI$671,1)-1,5,BE626),3,FALSE),IF(OR(AW626=1,AW626=2),VLOOKUP(AU626,INDEX((係数_乗用_ガソリン,係数_乗用_CNG,係数_乗用_軽油,係数_乗用_メタノール,係数_乗用_LPG),1,1,BE626):INDEX((係数_乗用_ガソリン,係数_乗用_CNG,係数_乗用_軽油,係数_乗用_メタノール,係数_乗用_LPG),125,5,BE626),3,FALSE))))))</f>
        <v/>
      </c>
      <c r="BC626" s="467" t="str">
        <f t="shared" si="342"/>
        <v/>
      </c>
      <c r="BD626" s="567" t="str">
        <f t="shared" si="343"/>
        <v/>
      </c>
      <c r="BE626" s="467" t="str">
        <f t="shared" si="344"/>
        <v/>
      </c>
      <c r="BF626" s="469" t="str">
        <f t="shared" ca="1" si="345"/>
        <v/>
      </c>
      <c r="BG626" s="469" t="str">
        <f t="shared" ca="1" si="346"/>
        <v/>
      </c>
      <c r="BH626" s="467" t="str">
        <f t="shared" si="347"/>
        <v/>
      </c>
      <c r="BI626" s="467" t="str">
        <f t="shared" ca="1" si="348"/>
        <v/>
      </c>
      <c r="BJ626" s="469" t="str">
        <f t="shared" si="349"/>
        <v/>
      </c>
      <c r="BK626" s="470" t="str">
        <f t="shared" si="333"/>
        <v/>
      </c>
      <c r="BL626" s="775" t="str">
        <f t="shared" si="350"/>
        <v/>
      </c>
      <c r="BM626" s="775" t="str">
        <f t="shared" si="351"/>
        <v/>
      </c>
    </row>
    <row r="627" spans="1:65">
      <c r="A627" s="473">
        <v>571</v>
      </c>
      <c r="B627" s="132"/>
      <c r="C627" s="332"/>
      <c r="D627" s="333"/>
      <c r="E627" s="333"/>
      <c r="F627" s="334"/>
      <c r="G627" s="337"/>
      <c r="H627" s="131"/>
      <c r="I627" s="337"/>
      <c r="J627" s="131"/>
      <c r="K627" s="458" t="str">
        <f t="shared" si="352"/>
        <v/>
      </c>
      <c r="L627" s="458">
        <f t="shared" si="353"/>
        <v>0</v>
      </c>
      <c r="M627" s="458">
        <f t="shared" si="354"/>
        <v>0</v>
      </c>
      <c r="N627" s="459" t="str">
        <f t="shared" si="283"/>
        <v/>
      </c>
      <c r="O627" s="459" t="str">
        <f t="shared" si="284"/>
        <v/>
      </c>
      <c r="P627" s="459" t="str">
        <f t="shared" si="285"/>
        <v/>
      </c>
      <c r="Q627" s="459" t="str">
        <f t="shared" si="286"/>
        <v/>
      </c>
      <c r="R627" s="459" t="str">
        <f t="shared" si="287"/>
        <v/>
      </c>
      <c r="S627" s="459" t="str">
        <f t="shared" si="288"/>
        <v/>
      </c>
      <c r="T627" s="566" t="str">
        <f t="shared" si="355"/>
        <v/>
      </c>
      <c r="U627" s="702"/>
      <c r="V627" s="132"/>
      <c r="W627" s="133"/>
      <c r="X627" s="134"/>
      <c r="Y627" s="135"/>
      <c r="Z627" s="137"/>
      <c r="AA627" s="136"/>
      <c r="AB627" s="566" t="str">
        <f t="shared" si="356"/>
        <v/>
      </c>
      <c r="AC627" s="568" t="str">
        <f t="shared" si="357"/>
        <v/>
      </c>
      <c r="AD627" s="137"/>
      <c r="AE627" s="137"/>
      <c r="AF627" s="138"/>
      <c r="AG627" s="138"/>
      <c r="AH627" s="592" t="str">
        <f t="shared" si="358"/>
        <v/>
      </c>
      <c r="AI627" s="592" t="str">
        <f t="shared" si="359"/>
        <v/>
      </c>
      <c r="AJ627" s="592" t="str">
        <f t="shared" si="360"/>
        <v/>
      </c>
      <c r="AK627" s="460" t="str">
        <f>IF(AU627="","",IF(OR(AZ627=8,AZ627=9),0,IF(OR(AW627=3,AW627=4,AW627=5,AW627=6),IF(LEFT(BF627,1)="1",INDEX(係数_NOX・PM低減,MATCH(AY627,【参考】排出係数!$AI$801:$AI$804,1),1),VLOOKUP(AU627,INDEX((係数_バス貨物_ガソリン,係数_バス貨物_CNG,係数_バス貨物_軽油,係数_バス貨物_メタノール,係数_バス貨物_LPG),MATCH(AY627,【参考】排出係数!$AI$4:$AI$671,1),1,BE627):INDEX((係数_バス貨物_ガソリン,係数_バス貨物_CNG,係数_バス貨物_軽油,係数_バス貨物_メタノール,係数_バス貨物_LPG),MATCH(AY627+1,【参考】排出係数!$AI$4:$AI$671,1)-1,5,BE627),4,FALSE)),IF(AND(BE627=3,LEFT(BF627,1)="1"),0.48,VLOOKUP(AU627,INDEX((係数_乗用_ガソリン,係数_乗用_CNG,係数_乗用_軽油,係数_乗用_メタノール,係数_乗用_LPG),1,1,BE627):INDEX((係数_乗用_ガソリン,係数_乗用_CNG,係数_乗用_軽油,係数_乗用_メタノール,係数_乗用_LPG),125,5,BE627),4,FALSE)))))</f>
        <v/>
      </c>
      <c r="AL627" s="461" t="str">
        <f t="shared" si="361"/>
        <v/>
      </c>
      <c r="AM627" s="460" t="str">
        <f>IF(AU627="","",IF(OR(AZ627=8,AZ627=9),0,IF(OR(AW627=3,AW627=4,AW627=5,AW627=6),IF(LEFT(BH627,1)="1",INDEX(係数_PM低減,MATCH(AY627,【参考】排出係数!$AI$801:$AI$804,1),MATCH(BI627,【参考】排出係数!$AL$798:$AO$798,1)),VLOOKUP(AU627,INDEX((係数_バス貨物_ガソリン,係数_バス貨物_CNG,係数_バス貨物_軽油,係数_バス貨物_メタノール,係数_バス貨物_LPG),MATCH(AY627,【参考】排出係数!$AI$4:$AI$671,1),1,BE627):INDEX((係数_バス貨物_ガソリン,係数_バス貨物_CNG,係数_バス貨物_軽油,係数_バス貨物_メタノール,係数_バス貨物_LPG),MATCH(AY627+1,【参考】排出係数!$AI$4:$AI$671,1)-1,5,BE627),5,FALSE)),IF(AND(BE627=3,LEFT(BF627,1)="1"),0.055,VLOOKUP(AU627,INDEX((係数_乗用_ガソリン,係数_乗用_CNG,係数_乗用_軽油,係数_乗用_メタノール,係数_乗用_LPG),1,1,BE627):INDEX((係数_乗用_ガソリン,係数_乗用_CNG,係数_乗用_軽油,係数_乗用_メタノール,係数_乗用_LPG),125,5,BE627),5,FALSE)))))</f>
        <v/>
      </c>
      <c r="AN627" s="461" t="str">
        <f t="shared" si="362"/>
        <v/>
      </c>
      <c r="AO627" s="462" t="str">
        <f t="shared" si="363"/>
        <v/>
      </c>
      <c r="AP627" s="463" t="str">
        <f t="shared" si="364"/>
        <v/>
      </c>
      <c r="AQ627" s="464"/>
      <c r="AR627" s="619"/>
      <c r="AS627" s="465" t="str">
        <f t="shared" si="334"/>
        <v/>
      </c>
      <c r="AT627" s="465" t="str">
        <f t="shared" si="335"/>
        <v/>
      </c>
      <c r="AU627" s="466" t="str">
        <f t="shared" si="336"/>
        <v/>
      </c>
      <c r="AV627" s="467" t="str">
        <f t="shared" si="337"/>
        <v/>
      </c>
      <c r="AW627" s="467" t="str">
        <f t="shared" si="338"/>
        <v/>
      </c>
      <c r="AX627" s="467" t="str">
        <f t="shared" si="339"/>
        <v/>
      </c>
      <c r="AY627" s="467" t="str">
        <f t="shared" si="340"/>
        <v/>
      </c>
      <c r="AZ627" s="467" t="str">
        <f t="shared" si="341"/>
        <v/>
      </c>
      <c r="BA627" s="468" t="str">
        <f>IF(AS627="","",IF(OR(AU627="",AU627="-"),"－",IF(OR(AZ627=8,AZ627=9),"",IF(OR(AW627=3,AW627=4,AW627=5,AW627=6),VLOOKUP(AU627,INDEX((係数_バス貨物_ガソリン,係数_バス貨物_CNG,係数_バス貨物_軽油,係数_バス貨物_メタノール,係数_バス貨物_LPG),MATCH(AY627,【参考】排出係数!$AI$4:$AI$671,1),1,BE627):INDEX((係数_バス貨物_ガソリン,係数_バス貨物_CNG,係数_バス貨物_軽油,係数_バス貨物_メタノール,係数_バス貨物_LPG),MATCH(AY627+1,【参考】排出係数!$AI$4:$AI$671,1)-1,5,BE627),2,FALSE),IF(OR(AW627=1,AW627=2),VLOOKUP(AU627,INDEX((係数_乗用_ガソリン,係数_乗用_CNG,係数_乗用_軽油,係数_乗用_メタノール,係数_乗用_LPG),1,1,BE627):INDEX((係数_乗用_ガソリン,係数_乗用_CNG,係数_乗用_軽油,係数_乗用_メタノール,係数_乗用_LPG),125,5,BE627),2,FALSE))))))</f>
        <v/>
      </c>
      <c r="BB627" s="468" t="str">
        <f>IF(T627="","",IF(OR(AU627="",AU627="-"),"－",IF(OR(AZ627=8,AZ627=9),"",IF(OR(AW627=3,AW627=4,AW627=5,AW627=6),VLOOKUP(AU627,INDEX((係数_バス貨物_ガソリン,係数_バス貨物_CNG,係数_バス貨物_軽油,係数_バス貨物_メタノール,係数_バス貨物_LPG),MATCH(AY627,【参考】排出係数!$AI$4:$AI$671,1),1,BE627):INDEX((係数_バス貨物_ガソリン,係数_バス貨物_CNG,係数_バス貨物_軽油,係数_バス貨物_メタノール,係数_バス貨物_LPG),MATCH(AY627+1,【参考】排出係数!$AI$4:$AI$671,1)-1,5,BE627),3,FALSE),IF(OR(AW627=1,AW627=2),VLOOKUP(AU627,INDEX((係数_乗用_ガソリン,係数_乗用_CNG,係数_乗用_軽油,係数_乗用_メタノール,係数_乗用_LPG),1,1,BE627):INDEX((係数_乗用_ガソリン,係数_乗用_CNG,係数_乗用_軽油,係数_乗用_メタノール,係数_乗用_LPG),125,5,BE627),3,FALSE))))))</f>
        <v/>
      </c>
      <c r="BC627" s="467" t="str">
        <f t="shared" si="342"/>
        <v/>
      </c>
      <c r="BD627" s="567" t="str">
        <f t="shared" si="343"/>
        <v/>
      </c>
      <c r="BE627" s="467" t="str">
        <f t="shared" si="344"/>
        <v/>
      </c>
      <c r="BF627" s="469" t="str">
        <f t="shared" ca="1" si="345"/>
        <v/>
      </c>
      <c r="BG627" s="469" t="str">
        <f t="shared" ca="1" si="346"/>
        <v/>
      </c>
      <c r="BH627" s="467" t="str">
        <f t="shared" si="347"/>
        <v/>
      </c>
      <c r="BI627" s="467" t="str">
        <f t="shared" ca="1" si="348"/>
        <v/>
      </c>
      <c r="BJ627" s="469" t="str">
        <f t="shared" si="349"/>
        <v/>
      </c>
      <c r="BK627" s="470" t="str">
        <f t="shared" si="333"/>
        <v/>
      </c>
      <c r="BL627" s="775" t="str">
        <f t="shared" si="350"/>
        <v/>
      </c>
      <c r="BM627" s="775" t="str">
        <f t="shared" si="351"/>
        <v/>
      </c>
    </row>
    <row r="628" spans="1:65">
      <c r="A628" s="473">
        <v>572</v>
      </c>
      <c r="B628" s="132"/>
      <c r="C628" s="332"/>
      <c r="D628" s="333"/>
      <c r="E628" s="333"/>
      <c r="F628" s="334"/>
      <c r="G628" s="337"/>
      <c r="H628" s="131"/>
      <c r="I628" s="337"/>
      <c r="J628" s="131"/>
      <c r="K628" s="458" t="str">
        <f t="shared" si="352"/>
        <v/>
      </c>
      <c r="L628" s="458">
        <f t="shared" si="353"/>
        <v>0</v>
      </c>
      <c r="M628" s="458">
        <f t="shared" si="354"/>
        <v>0</v>
      </c>
      <c r="N628" s="459" t="str">
        <f t="shared" si="283"/>
        <v/>
      </c>
      <c r="O628" s="459" t="str">
        <f t="shared" si="284"/>
        <v/>
      </c>
      <c r="P628" s="459" t="str">
        <f t="shared" si="285"/>
        <v/>
      </c>
      <c r="Q628" s="459" t="str">
        <f t="shared" si="286"/>
        <v/>
      </c>
      <c r="R628" s="459" t="str">
        <f t="shared" si="287"/>
        <v/>
      </c>
      <c r="S628" s="459" t="str">
        <f t="shared" si="288"/>
        <v/>
      </c>
      <c r="T628" s="566" t="str">
        <f t="shared" si="355"/>
        <v/>
      </c>
      <c r="U628" s="702"/>
      <c r="V628" s="132"/>
      <c r="W628" s="133"/>
      <c r="X628" s="134"/>
      <c r="Y628" s="135"/>
      <c r="Z628" s="137"/>
      <c r="AA628" s="136"/>
      <c r="AB628" s="566" t="str">
        <f t="shared" si="356"/>
        <v/>
      </c>
      <c r="AC628" s="568" t="str">
        <f t="shared" si="357"/>
        <v/>
      </c>
      <c r="AD628" s="137"/>
      <c r="AE628" s="137"/>
      <c r="AF628" s="138"/>
      <c r="AG628" s="138"/>
      <c r="AH628" s="592" t="str">
        <f t="shared" si="358"/>
        <v/>
      </c>
      <c r="AI628" s="592" t="str">
        <f t="shared" si="359"/>
        <v/>
      </c>
      <c r="AJ628" s="592" t="str">
        <f t="shared" si="360"/>
        <v/>
      </c>
      <c r="AK628" s="460" t="str">
        <f>IF(AU628="","",IF(OR(AZ628=8,AZ628=9),0,IF(OR(AW628=3,AW628=4,AW628=5,AW628=6),IF(LEFT(BF628,1)="1",INDEX(係数_NOX・PM低減,MATCH(AY628,【参考】排出係数!$AI$801:$AI$804,1),1),VLOOKUP(AU628,INDEX((係数_バス貨物_ガソリン,係数_バス貨物_CNG,係数_バス貨物_軽油,係数_バス貨物_メタノール,係数_バス貨物_LPG),MATCH(AY628,【参考】排出係数!$AI$4:$AI$671,1),1,BE628):INDEX((係数_バス貨物_ガソリン,係数_バス貨物_CNG,係数_バス貨物_軽油,係数_バス貨物_メタノール,係数_バス貨物_LPG),MATCH(AY628+1,【参考】排出係数!$AI$4:$AI$671,1)-1,5,BE628),4,FALSE)),IF(AND(BE628=3,LEFT(BF628,1)="1"),0.48,VLOOKUP(AU628,INDEX((係数_乗用_ガソリン,係数_乗用_CNG,係数_乗用_軽油,係数_乗用_メタノール,係数_乗用_LPG),1,1,BE628):INDEX((係数_乗用_ガソリン,係数_乗用_CNG,係数_乗用_軽油,係数_乗用_メタノール,係数_乗用_LPG),125,5,BE628),4,FALSE)))))</f>
        <v/>
      </c>
      <c r="AL628" s="461" t="str">
        <f t="shared" si="361"/>
        <v/>
      </c>
      <c r="AM628" s="460" t="str">
        <f>IF(AU628="","",IF(OR(AZ628=8,AZ628=9),0,IF(OR(AW628=3,AW628=4,AW628=5,AW628=6),IF(LEFT(BH628,1)="1",INDEX(係数_PM低減,MATCH(AY628,【参考】排出係数!$AI$801:$AI$804,1),MATCH(BI628,【参考】排出係数!$AL$798:$AO$798,1)),VLOOKUP(AU628,INDEX((係数_バス貨物_ガソリン,係数_バス貨物_CNG,係数_バス貨物_軽油,係数_バス貨物_メタノール,係数_バス貨物_LPG),MATCH(AY628,【参考】排出係数!$AI$4:$AI$671,1),1,BE628):INDEX((係数_バス貨物_ガソリン,係数_バス貨物_CNG,係数_バス貨物_軽油,係数_バス貨物_メタノール,係数_バス貨物_LPG),MATCH(AY628+1,【参考】排出係数!$AI$4:$AI$671,1)-1,5,BE628),5,FALSE)),IF(AND(BE628=3,LEFT(BF628,1)="1"),0.055,VLOOKUP(AU628,INDEX((係数_乗用_ガソリン,係数_乗用_CNG,係数_乗用_軽油,係数_乗用_メタノール,係数_乗用_LPG),1,1,BE628):INDEX((係数_乗用_ガソリン,係数_乗用_CNG,係数_乗用_軽油,係数_乗用_メタノール,係数_乗用_LPG),125,5,BE628),5,FALSE)))))</f>
        <v/>
      </c>
      <c r="AN628" s="461" t="str">
        <f t="shared" si="362"/>
        <v/>
      </c>
      <c r="AO628" s="462" t="str">
        <f t="shared" si="363"/>
        <v/>
      </c>
      <c r="AP628" s="463" t="str">
        <f t="shared" si="364"/>
        <v/>
      </c>
      <c r="AQ628" s="464"/>
      <c r="AR628" s="619"/>
      <c r="AS628" s="465" t="str">
        <f t="shared" si="334"/>
        <v/>
      </c>
      <c r="AT628" s="465" t="str">
        <f t="shared" si="335"/>
        <v/>
      </c>
      <c r="AU628" s="466" t="str">
        <f t="shared" si="336"/>
        <v/>
      </c>
      <c r="AV628" s="467" t="str">
        <f t="shared" si="337"/>
        <v/>
      </c>
      <c r="AW628" s="467" t="str">
        <f t="shared" si="338"/>
        <v/>
      </c>
      <c r="AX628" s="467" t="str">
        <f t="shared" si="339"/>
        <v/>
      </c>
      <c r="AY628" s="467" t="str">
        <f t="shared" si="340"/>
        <v/>
      </c>
      <c r="AZ628" s="467" t="str">
        <f t="shared" si="341"/>
        <v/>
      </c>
      <c r="BA628" s="468" t="str">
        <f>IF(AS628="","",IF(OR(AU628="",AU628="-"),"－",IF(OR(AZ628=8,AZ628=9),"",IF(OR(AW628=3,AW628=4,AW628=5,AW628=6),VLOOKUP(AU628,INDEX((係数_バス貨物_ガソリン,係数_バス貨物_CNG,係数_バス貨物_軽油,係数_バス貨物_メタノール,係数_バス貨物_LPG),MATCH(AY628,【参考】排出係数!$AI$4:$AI$671,1),1,BE628):INDEX((係数_バス貨物_ガソリン,係数_バス貨物_CNG,係数_バス貨物_軽油,係数_バス貨物_メタノール,係数_バス貨物_LPG),MATCH(AY628+1,【参考】排出係数!$AI$4:$AI$671,1)-1,5,BE628),2,FALSE),IF(OR(AW628=1,AW628=2),VLOOKUP(AU628,INDEX((係数_乗用_ガソリン,係数_乗用_CNG,係数_乗用_軽油,係数_乗用_メタノール,係数_乗用_LPG),1,1,BE628):INDEX((係数_乗用_ガソリン,係数_乗用_CNG,係数_乗用_軽油,係数_乗用_メタノール,係数_乗用_LPG),125,5,BE628),2,FALSE))))))</f>
        <v/>
      </c>
      <c r="BB628" s="468" t="str">
        <f>IF(T628="","",IF(OR(AU628="",AU628="-"),"－",IF(OR(AZ628=8,AZ628=9),"",IF(OR(AW628=3,AW628=4,AW628=5,AW628=6),VLOOKUP(AU628,INDEX((係数_バス貨物_ガソリン,係数_バス貨物_CNG,係数_バス貨物_軽油,係数_バス貨物_メタノール,係数_バス貨物_LPG),MATCH(AY628,【参考】排出係数!$AI$4:$AI$671,1),1,BE628):INDEX((係数_バス貨物_ガソリン,係数_バス貨物_CNG,係数_バス貨物_軽油,係数_バス貨物_メタノール,係数_バス貨物_LPG),MATCH(AY628+1,【参考】排出係数!$AI$4:$AI$671,1)-1,5,BE628),3,FALSE),IF(OR(AW628=1,AW628=2),VLOOKUP(AU628,INDEX((係数_乗用_ガソリン,係数_乗用_CNG,係数_乗用_軽油,係数_乗用_メタノール,係数_乗用_LPG),1,1,BE628):INDEX((係数_乗用_ガソリン,係数_乗用_CNG,係数_乗用_軽油,係数_乗用_メタノール,係数_乗用_LPG),125,5,BE628),3,FALSE))))))</f>
        <v/>
      </c>
      <c r="BC628" s="467" t="str">
        <f t="shared" si="342"/>
        <v/>
      </c>
      <c r="BD628" s="567" t="str">
        <f t="shared" si="343"/>
        <v/>
      </c>
      <c r="BE628" s="467" t="str">
        <f t="shared" si="344"/>
        <v/>
      </c>
      <c r="BF628" s="469" t="str">
        <f t="shared" ca="1" si="345"/>
        <v/>
      </c>
      <c r="BG628" s="469" t="str">
        <f t="shared" ca="1" si="346"/>
        <v/>
      </c>
      <c r="BH628" s="467" t="str">
        <f t="shared" si="347"/>
        <v/>
      </c>
      <c r="BI628" s="467" t="str">
        <f t="shared" ca="1" si="348"/>
        <v/>
      </c>
      <c r="BJ628" s="469" t="str">
        <f t="shared" si="349"/>
        <v/>
      </c>
      <c r="BK628" s="470" t="str">
        <f t="shared" si="333"/>
        <v/>
      </c>
      <c r="BL628" s="775" t="str">
        <f t="shared" si="350"/>
        <v/>
      </c>
      <c r="BM628" s="775" t="str">
        <f t="shared" si="351"/>
        <v/>
      </c>
    </row>
    <row r="629" spans="1:65">
      <c r="A629" s="473">
        <v>573</v>
      </c>
      <c r="B629" s="132"/>
      <c r="C629" s="332"/>
      <c r="D629" s="333"/>
      <c r="E629" s="333"/>
      <c r="F629" s="334"/>
      <c r="G629" s="337"/>
      <c r="H629" s="131"/>
      <c r="I629" s="337"/>
      <c r="J629" s="131"/>
      <c r="K629" s="458" t="str">
        <f t="shared" si="352"/>
        <v/>
      </c>
      <c r="L629" s="458">
        <f t="shared" si="353"/>
        <v>0</v>
      </c>
      <c r="M629" s="458">
        <f t="shared" si="354"/>
        <v>0</v>
      </c>
      <c r="N629" s="459" t="str">
        <f t="shared" si="283"/>
        <v/>
      </c>
      <c r="O629" s="459" t="str">
        <f t="shared" si="284"/>
        <v/>
      </c>
      <c r="P629" s="459" t="str">
        <f t="shared" si="285"/>
        <v/>
      </c>
      <c r="Q629" s="459" t="str">
        <f t="shared" si="286"/>
        <v/>
      </c>
      <c r="R629" s="459" t="str">
        <f t="shared" si="287"/>
        <v/>
      </c>
      <c r="S629" s="459" t="str">
        <f t="shared" si="288"/>
        <v/>
      </c>
      <c r="T629" s="566" t="str">
        <f t="shared" si="355"/>
        <v/>
      </c>
      <c r="U629" s="702"/>
      <c r="V629" s="132"/>
      <c r="W629" s="133"/>
      <c r="X629" s="134"/>
      <c r="Y629" s="135"/>
      <c r="Z629" s="137"/>
      <c r="AA629" s="136"/>
      <c r="AB629" s="566" t="str">
        <f t="shared" si="356"/>
        <v/>
      </c>
      <c r="AC629" s="568" t="str">
        <f t="shared" si="357"/>
        <v/>
      </c>
      <c r="AD629" s="137"/>
      <c r="AE629" s="137"/>
      <c r="AF629" s="138"/>
      <c r="AG629" s="138"/>
      <c r="AH629" s="592" t="str">
        <f t="shared" si="358"/>
        <v/>
      </c>
      <c r="AI629" s="592" t="str">
        <f t="shared" si="359"/>
        <v/>
      </c>
      <c r="AJ629" s="592" t="str">
        <f t="shared" si="360"/>
        <v/>
      </c>
      <c r="AK629" s="460" t="str">
        <f>IF(AU629="","",IF(OR(AZ629=8,AZ629=9),0,IF(OR(AW629=3,AW629=4,AW629=5,AW629=6),IF(LEFT(BF629,1)="1",INDEX(係数_NOX・PM低減,MATCH(AY629,【参考】排出係数!$AI$801:$AI$804,1),1),VLOOKUP(AU629,INDEX((係数_バス貨物_ガソリン,係数_バス貨物_CNG,係数_バス貨物_軽油,係数_バス貨物_メタノール,係数_バス貨物_LPG),MATCH(AY629,【参考】排出係数!$AI$4:$AI$671,1),1,BE629):INDEX((係数_バス貨物_ガソリン,係数_バス貨物_CNG,係数_バス貨物_軽油,係数_バス貨物_メタノール,係数_バス貨物_LPG),MATCH(AY629+1,【参考】排出係数!$AI$4:$AI$671,1)-1,5,BE629),4,FALSE)),IF(AND(BE629=3,LEFT(BF629,1)="1"),0.48,VLOOKUP(AU629,INDEX((係数_乗用_ガソリン,係数_乗用_CNG,係数_乗用_軽油,係数_乗用_メタノール,係数_乗用_LPG),1,1,BE629):INDEX((係数_乗用_ガソリン,係数_乗用_CNG,係数_乗用_軽油,係数_乗用_メタノール,係数_乗用_LPG),125,5,BE629),4,FALSE)))))</f>
        <v/>
      </c>
      <c r="AL629" s="461" t="str">
        <f t="shared" si="361"/>
        <v/>
      </c>
      <c r="AM629" s="460" t="str">
        <f>IF(AU629="","",IF(OR(AZ629=8,AZ629=9),0,IF(OR(AW629=3,AW629=4,AW629=5,AW629=6),IF(LEFT(BH629,1)="1",INDEX(係数_PM低減,MATCH(AY629,【参考】排出係数!$AI$801:$AI$804,1),MATCH(BI629,【参考】排出係数!$AL$798:$AO$798,1)),VLOOKUP(AU629,INDEX((係数_バス貨物_ガソリン,係数_バス貨物_CNG,係数_バス貨物_軽油,係数_バス貨物_メタノール,係数_バス貨物_LPG),MATCH(AY629,【参考】排出係数!$AI$4:$AI$671,1),1,BE629):INDEX((係数_バス貨物_ガソリン,係数_バス貨物_CNG,係数_バス貨物_軽油,係数_バス貨物_メタノール,係数_バス貨物_LPG),MATCH(AY629+1,【参考】排出係数!$AI$4:$AI$671,1)-1,5,BE629),5,FALSE)),IF(AND(BE629=3,LEFT(BF629,1)="1"),0.055,VLOOKUP(AU629,INDEX((係数_乗用_ガソリン,係数_乗用_CNG,係数_乗用_軽油,係数_乗用_メタノール,係数_乗用_LPG),1,1,BE629):INDEX((係数_乗用_ガソリン,係数_乗用_CNG,係数_乗用_軽油,係数_乗用_メタノール,係数_乗用_LPG),125,5,BE629),5,FALSE)))))</f>
        <v/>
      </c>
      <c r="AN629" s="461" t="str">
        <f t="shared" si="362"/>
        <v/>
      </c>
      <c r="AO629" s="462" t="str">
        <f t="shared" si="363"/>
        <v/>
      </c>
      <c r="AP629" s="463" t="str">
        <f t="shared" si="364"/>
        <v/>
      </c>
      <c r="AQ629" s="464"/>
      <c r="AR629" s="619"/>
      <c r="AS629" s="465" t="str">
        <f t="shared" si="334"/>
        <v/>
      </c>
      <c r="AT629" s="465" t="str">
        <f t="shared" si="335"/>
        <v/>
      </c>
      <c r="AU629" s="466" t="str">
        <f t="shared" si="336"/>
        <v/>
      </c>
      <c r="AV629" s="467" t="str">
        <f t="shared" si="337"/>
        <v/>
      </c>
      <c r="AW629" s="467" t="str">
        <f t="shared" si="338"/>
        <v/>
      </c>
      <c r="AX629" s="467" t="str">
        <f t="shared" si="339"/>
        <v/>
      </c>
      <c r="AY629" s="467" t="str">
        <f t="shared" si="340"/>
        <v/>
      </c>
      <c r="AZ629" s="467" t="str">
        <f t="shared" si="341"/>
        <v/>
      </c>
      <c r="BA629" s="468" t="str">
        <f>IF(AS629="","",IF(OR(AU629="",AU629="-"),"－",IF(OR(AZ629=8,AZ629=9),"",IF(OR(AW629=3,AW629=4,AW629=5,AW629=6),VLOOKUP(AU629,INDEX((係数_バス貨物_ガソリン,係数_バス貨物_CNG,係数_バス貨物_軽油,係数_バス貨物_メタノール,係数_バス貨物_LPG),MATCH(AY629,【参考】排出係数!$AI$4:$AI$671,1),1,BE629):INDEX((係数_バス貨物_ガソリン,係数_バス貨物_CNG,係数_バス貨物_軽油,係数_バス貨物_メタノール,係数_バス貨物_LPG),MATCH(AY629+1,【参考】排出係数!$AI$4:$AI$671,1)-1,5,BE629),2,FALSE),IF(OR(AW629=1,AW629=2),VLOOKUP(AU629,INDEX((係数_乗用_ガソリン,係数_乗用_CNG,係数_乗用_軽油,係数_乗用_メタノール,係数_乗用_LPG),1,1,BE629):INDEX((係数_乗用_ガソリン,係数_乗用_CNG,係数_乗用_軽油,係数_乗用_メタノール,係数_乗用_LPG),125,5,BE629),2,FALSE))))))</f>
        <v/>
      </c>
      <c r="BB629" s="468" t="str">
        <f>IF(T629="","",IF(OR(AU629="",AU629="-"),"－",IF(OR(AZ629=8,AZ629=9),"",IF(OR(AW629=3,AW629=4,AW629=5,AW629=6),VLOOKUP(AU629,INDEX((係数_バス貨物_ガソリン,係数_バス貨物_CNG,係数_バス貨物_軽油,係数_バス貨物_メタノール,係数_バス貨物_LPG),MATCH(AY629,【参考】排出係数!$AI$4:$AI$671,1),1,BE629):INDEX((係数_バス貨物_ガソリン,係数_バス貨物_CNG,係数_バス貨物_軽油,係数_バス貨物_メタノール,係数_バス貨物_LPG),MATCH(AY629+1,【参考】排出係数!$AI$4:$AI$671,1)-1,5,BE629),3,FALSE),IF(OR(AW629=1,AW629=2),VLOOKUP(AU629,INDEX((係数_乗用_ガソリン,係数_乗用_CNG,係数_乗用_軽油,係数_乗用_メタノール,係数_乗用_LPG),1,1,BE629):INDEX((係数_乗用_ガソリン,係数_乗用_CNG,係数_乗用_軽油,係数_乗用_メタノール,係数_乗用_LPG),125,5,BE629),3,FALSE))))))</f>
        <v/>
      </c>
      <c r="BC629" s="467" t="str">
        <f t="shared" si="342"/>
        <v/>
      </c>
      <c r="BD629" s="567" t="str">
        <f t="shared" si="343"/>
        <v/>
      </c>
      <c r="BE629" s="467" t="str">
        <f t="shared" si="344"/>
        <v/>
      </c>
      <c r="BF629" s="469" t="str">
        <f t="shared" ca="1" si="345"/>
        <v/>
      </c>
      <c r="BG629" s="469" t="str">
        <f t="shared" ca="1" si="346"/>
        <v/>
      </c>
      <c r="BH629" s="467" t="str">
        <f t="shared" si="347"/>
        <v/>
      </c>
      <c r="BI629" s="467" t="str">
        <f t="shared" ca="1" si="348"/>
        <v/>
      </c>
      <c r="BJ629" s="469" t="str">
        <f t="shared" si="349"/>
        <v/>
      </c>
      <c r="BK629" s="470" t="str">
        <f t="shared" si="333"/>
        <v/>
      </c>
      <c r="BL629" s="775" t="str">
        <f t="shared" si="350"/>
        <v/>
      </c>
      <c r="BM629" s="775" t="str">
        <f t="shared" si="351"/>
        <v/>
      </c>
    </row>
    <row r="630" spans="1:65">
      <c r="A630" s="473">
        <v>574</v>
      </c>
      <c r="B630" s="132"/>
      <c r="C630" s="332"/>
      <c r="D630" s="333"/>
      <c r="E630" s="333"/>
      <c r="F630" s="334"/>
      <c r="G630" s="337"/>
      <c r="H630" s="131"/>
      <c r="I630" s="337"/>
      <c r="J630" s="131"/>
      <c r="K630" s="458" t="str">
        <f t="shared" si="352"/>
        <v/>
      </c>
      <c r="L630" s="458">
        <f t="shared" si="353"/>
        <v>0</v>
      </c>
      <c r="M630" s="458">
        <f t="shared" si="354"/>
        <v>0</v>
      </c>
      <c r="N630" s="459" t="str">
        <f t="shared" si="283"/>
        <v/>
      </c>
      <c r="O630" s="459" t="str">
        <f t="shared" si="284"/>
        <v/>
      </c>
      <c r="P630" s="459" t="str">
        <f t="shared" si="285"/>
        <v/>
      </c>
      <c r="Q630" s="459" t="str">
        <f t="shared" si="286"/>
        <v/>
      </c>
      <c r="R630" s="459" t="str">
        <f t="shared" si="287"/>
        <v/>
      </c>
      <c r="S630" s="459" t="str">
        <f t="shared" si="288"/>
        <v/>
      </c>
      <c r="T630" s="566" t="str">
        <f t="shared" si="355"/>
        <v/>
      </c>
      <c r="U630" s="702"/>
      <c r="V630" s="132"/>
      <c r="W630" s="133"/>
      <c r="X630" s="134"/>
      <c r="Y630" s="135"/>
      <c r="Z630" s="137"/>
      <c r="AA630" s="136"/>
      <c r="AB630" s="566" t="str">
        <f t="shared" si="356"/>
        <v/>
      </c>
      <c r="AC630" s="568" t="str">
        <f t="shared" si="357"/>
        <v/>
      </c>
      <c r="AD630" s="137"/>
      <c r="AE630" s="137"/>
      <c r="AF630" s="138"/>
      <c r="AG630" s="138"/>
      <c r="AH630" s="592" t="str">
        <f t="shared" si="358"/>
        <v/>
      </c>
      <c r="AI630" s="592" t="str">
        <f t="shared" si="359"/>
        <v/>
      </c>
      <c r="AJ630" s="592" t="str">
        <f t="shared" si="360"/>
        <v/>
      </c>
      <c r="AK630" s="460" t="str">
        <f>IF(AU630="","",IF(OR(AZ630=8,AZ630=9),0,IF(OR(AW630=3,AW630=4,AW630=5,AW630=6),IF(LEFT(BF630,1)="1",INDEX(係数_NOX・PM低減,MATCH(AY630,【参考】排出係数!$AI$801:$AI$804,1),1),VLOOKUP(AU630,INDEX((係数_バス貨物_ガソリン,係数_バス貨物_CNG,係数_バス貨物_軽油,係数_バス貨物_メタノール,係数_バス貨物_LPG),MATCH(AY630,【参考】排出係数!$AI$4:$AI$671,1),1,BE630):INDEX((係数_バス貨物_ガソリン,係数_バス貨物_CNG,係数_バス貨物_軽油,係数_バス貨物_メタノール,係数_バス貨物_LPG),MATCH(AY630+1,【参考】排出係数!$AI$4:$AI$671,1)-1,5,BE630),4,FALSE)),IF(AND(BE630=3,LEFT(BF630,1)="1"),0.48,VLOOKUP(AU630,INDEX((係数_乗用_ガソリン,係数_乗用_CNG,係数_乗用_軽油,係数_乗用_メタノール,係数_乗用_LPG),1,1,BE630):INDEX((係数_乗用_ガソリン,係数_乗用_CNG,係数_乗用_軽油,係数_乗用_メタノール,係数_乗用_LPG),125,5,BE630),4,FALSE)))))</f>
        <v/>
      </c>
      <c r="AL630" s="461" t="str">
        <f t="shared" si="361"/>
        <v/>
      </c>
      <c r="AM630" s="460" t="str">
        <f>IF(AU630="","",IF(OR(AZ630=8,AZ630=9),0,IF(OR(AW630=3,AW630=4,AW630=5,AW630=6),IF(LEFT(BH630,1)="1",INDEX(係数_PM低減,MATCH(AY630,【参考】排出係数!$AI$801:$AI$804,1),MATCH(BI630,【参考】排出係数!$AL$798:$AO$798,1)),VLOOKUP(AU630,INDEX((係数_バス貨物_ガソリン,係数_バス貨物_CNG,係数_バス貨物_軽油,係数_バス貨物_メタノール,係数_バス貨物_LPG),MATCH(AY630,【参考】排出係数!$AI$4:$AI$671,1),1,BE630):INDEX((係数_バス貨物_ガソリン,係数_バス貨物_CNG,係数_バス貨物_軽油,係数_バス貨物_メタノール,係数_バス貨物_LPG),MATCH(AY630+1,【参考】排出係数!$AI$4:$AI$671,1)-1,5,BE630),5,FALSE)),IF(AND(BE630=3,LEFT(BF630,1)="1"),0.055,VLOOKUP(AU630,INDEX((係数_乗用_ガソリン,係数_乗用_CNG,係数_乗用_軽油,係数_乗用_メタノール,係数_乗用_LPG),1,1,BE630):INDEX((係数_乗用_ガソリン,係数_乗用_CNG,係数_乗用_軽油,係数_乗用_メタノール,係数_乗用_LPG),125,5,BE630),5,FALSE)))))</f>
        <v/>
      </c>
      <c r="AN630" s="461" t="str">
        <f t="shared" si="362"/>
        <v/>
      </c>
      <c r="AO630" s="462" t="str">
        <f t="shared" si="363"/>
        <v/>
      </c>
      <c r="AP630" s="463" t="str">
        <f t="shared" si="364"/>
        <v/>
      </c>
      <c r="AQ630" s="464"/>
      <c r="AR630" s="619"/>
      <c r="AS630" s="465" t="str">
        <f t="shared" si="334"/>
        <v/>
      </c>
      <c r="AT630" s="465" t="str">
        <f t="shared" si="335"/>
        <v/>
      </c>
      <c r="AU630" s="466" t="str">
        <f t="shared" si="336"/>
        <v/>
      </c>
      <c r="AV630" s="467" t="str">
        <f t="shared" si="337"/>
        <v/>
      </c>
      <c r="AW630" s="467" t="str">
        <f t="shared" si="338"/>
        <v/>
      </c>
      <c r="AX630" s="467" t="str">
        <f t="shared" si="339"/>
        <v/>
      </c>
      <c r="AY630" s="467" t="str">
        <f t="shared" si="340"/>
        <v/>
      </c>
      <c r="AZ630" s="467" t="str">
        <f t="shared" si="341"/>
        <v/>
      </c>
      <c r="BA630" s="468" t="str">
        <f>IF(AS630="","",IF(OR(AU630="",AU630="-"),"－",IF(OR(AZ630=8,AZ630=9),"",IF(OR(AW630=3,AW630=4,AW630=5,AW630=6),VLOOKUP(AU630,INDEX((係数_バス貨物_ガソリン,係数_バス貨物_CNG,係数_バス貨物_軽油,係数_バス貨物_メタノール,係数_バス貨物_LPG),MATCH(AY630,【参考】排出係数!$AI$4:$AI$671,1),1,BE630):INDEX((係数_バス貨物_ガソリン,係数_バス貨物_CNG,係数_バス貨物_軽油,係数_バス貨物_メタノール,係数_バス貨物_LPG),MATCH(AY630+1,【参考】排出係数!$AI$4:$AI$671,1)-1,5,BE630),2,FALSE),IF(OR(AW630=1,AW630=2),VLOOKUP(AU630,INDEX((係数_乗用_ガソリン,係数_乗用_CNG,係数_乗用_軽油,係数_乗用_メタノール,係数_乗用_LPG),1,1,BE630):INDEX((係数_乗用_ガソリン,係数_乗用_CNG,係数_乗用_軽油,係数_乗用_メタノール,係数_乗用_LPG),125,5,BE630),2,FALSE))))))</f>
        <v/>
      </c>
      <c r="BB630" s="468" t="str">
        <f>IF(T630="","",IF(OR(AU630="",AU630="-"),"－",IF(OR(AZ630=8,AZ630=9),"",IF(OR(AW630=3,AW630=4,AW630=5,AW630=6),VLOOKUP(AU630,INDEX((係数_バス貨物_ガソリン,係数_バス貨物_CNG,係数_バス貨物_軽油,係数_バス貨物_メタノール,係数_バス貨物_LPG),MATCH(AY630,【参考】排出係数!$AI$4:$AI$671,1),1,BE630):INDEX((係数_バス貨物_ガソリン,係数_バス貨物_CNG,係数_バス貨物_軽油,係数_バス貨物_メタノール,係数_バス貨物_LPG),MATCH(AY630+1,【参考】排出係数!$AI$4:$AI$671,1)-1,5,BE630),3,FALSE),IF(OR(AW630=1,AW630=2),VLOOKUP(AU630,INDEX((係数_乗用_ガソリン,係数_乗用_CNG,係数_乗用_軽油,係数_乗用_メタノール,係数_乗用_LPG),1,1,BE630):INDEX((係数_乗用_ガソリン,係数_乗用_CNG,係数_乗用_軽油,係数_乗用_メタノール,係数_乗用_LPG),125,5,BE630),3,FALSE))))))</f>
        <v/>
      </c>
      <c r="BC630" s="467" t="str">
        <f t="shared" si="342"/>
        <v/>
      </c>
      <c r="BD630" s="567" t="str">
        <f t="shared" si="343"/>
        <v/>
      </c>
      <c r="BE630" s="467" t="str">
        <f t="shared" si="344"/>
        <v/>
      </c>
      <c r="BF630" s="469" t="str">
        <f t="shared" ca="1" si="345"/>
        <v/>
      </c>
      <c r="BG630" s="469" t="str">
        <f t="shared" ca="1" si="346"/>
        <v/>
      </c>
      <c r="BH630" s="467" t="str">
        <f t="shared" si="347"/>
        <v/>
      </c>
      <c r="BI630" s="467" t="str">
        <f t="shared" ca="1" si="348"/>
        <v/>
      </c>
      <c r="BJ630" s="469" t="str">
        <f t="shared" si="349"/>
        <v/>
      </c>
      <c r="BK630" s="470" t="str">
        <f t="shared" si="333"/>
        <v/>
      </c>
      <c r="BL630" s="775" t="str">
        <f t="shared" si="350"/>
        <v/>
      </c>
      <c r="BM630" s="775" t="str">
        <f t="shared" si="351"/>
        <v/>
      </c>
    </row>
    <row r="631" spans="1:65">
      <c r="A631" s="473">
        <v>575</v>
      </c>
      <c r="B631" s="132"/>
      <c r="C631" s="332"/>
      <c r="D631" s="333"/>
      <c r="E631" s="333"/>
      <c r="F631" s="334"/>
      <c r="G631" s="337"/>
      <c r="H631" s="131"/>
      <c r="I631" s="337"/>
      <c r="J631" s="131"/>
      <c r="K631" s="458" t="str">
        <f t="shared" si="352"/>
        <v/>
      </c>
      <c r="L631" s="458">
        <f t="shared" si="353"/>
        <v>0</v>
      </c>
      <c r="M631" s="458">
        <f t="shared" si="354"/>
        <v>0</v>
      </c>
      <c r="N631" s="459" t="str">
        <f t="shared" si="283"/>
        <v/>
      </c>
      <c r="O631" s="459" t="str">
        <f t="shared" si="284"/>
        <v/>
      </c>
      <c r="P631" s="459" t="str">
        <f t="shared" si="285"/>
        <v/>
      </c>
      <c r="Q631" s="459" t="str">
        <f t="shared" si="286"/>
        <v/>
      </c>
      <c r="R631" s="459" t="str">
        <f t="shared" si="287"/>
        <v/>
      </c>
      <c r="S631" s="459" t="str">
        <f t="shared" si="288"/>
        <v/>
      </c>
      <c r="T631" s="566" t="str">
        <f t="shared" si="355"/>
        <v/>
      </c>
      <c r="U631" s="702"/>
      <c r="V631" s="132"/>
      <c r="W631" s="133"/>
      <c r="X631" s="134"/>
      <c r="Y631" s="135"/>
      <c r="Z631" s="137"/>
      <c r="AA631" s="136"/>
      <c r="AB631" s="566" t="str">
        <f t="shared" si="356"/>
        <v/>
      </c>
      <c r="AC631" s="568" t="str">
        <f t="shared" si="357"/>
        <v/>
      </c>
      <c r="AD631" s="137"/>
      <c r="AE631" s="137"/>
      <c r="AF631" s="138"/>
      <c r="AG631" s="138"/>
      <c r="AH631" s="592" t="str">
        <f t="shared" si="358"/>
        <v/>
      </c>
      <c r="AI631" s="592" t="str">
        <f t="shared" si="359"/>
        <v/>
      </c>
      <c r="AJ631" s="592" t="str">
        <f t="shared" si="360"/>
        <v/>
      </c>
      <c r="AK631" s="460" t="str">
        <f>IF(AU631="","",IF(OR(AZ631=8,AZ631=9),0,IF(OR(AW631=3,AW631=4,AW631=5,AW631=6),IF(LEFT(BF631,1)="1",INDEX(係数_NOX・PM低減,MATCH(AY631,【参考】排出係数!$AI$801:$AI$804,1),1),VLOOKUP(AU631,INDEX((係数_バス貨物_ガソリン,係数_バス貨物_CNG,係数_バス貨物_軽油,係数_バス貨物_メタノール,係数_バス貨物_LPG),MATCH(AY631,【参考】排出係数!$AI$4:$AI$671,1),1,BE631):INDEX((係数_バス貨物_ガソリン,係数_バス貨物_CNG,係数_バス貨物_軽油,係数_バス貨物_メタノール,係数_バス貨物_LPG),MATCH(AY631+1,【参考】排出係数!$AI$4:$AI$671,1)-1,5,BE631),4,FALSE)),IF(AND(BE631=3,LEFT(BF631,1)="1"),0.48,VLOOKUP(AU631,INDEX((係数_乗用_ガソリン,係数_乗用_CNG,係数_乗用_軽油,係数_乗用_メタノール,係数_乗用_LPG),1,1,BE631):INDEX((係数_乗用_ガソリン,係数_乗用_CNG,係数_乗用_軽油,係数_乗用_メタノール,係数_乗用_LPG),125,5,BE631),4,FALSE)))))</f>
        <v/>
      </c>
      <c r="AL631" s="461" t="str">
        <f t="shared" si="361"/>
        <v/>
      </c>
      <c r="AM631" s="460" t="str">
        <f>IF(AU631="","",IF(OR(AZ631=8,AZ631=9),0,IF(OR(AW631=3,AW631=4,AW631=5,AW631=6),IF(LEFT(BH631,1)="1",INDEX(係数_PM低減,MATCH(AY631,【参考】排出係数!$AI$801:$AI$804,1),MATCH(BI631,【参考】排出係数!$AL$798:$AO$798,1)),VLOOKUP(AU631,INDEX((係数_バス貨物_ガソリン,係数_バス貨物_CNG,係数_バス貨物_軽油,係数_バス貨物_メタノール,係数_バス貨物_LPG),MATCH(AY631,【参考】排出係数!$AI$4:$AI$671,1),1,BE631):INDEX((係数_バス貨物_ガソリン,係数_バス貨物_CNG,係数_バス貨物_軽油,係数_バス貨物_メタノール,係数_バス貨物_LPG),MATCH(AY631+1,【参考】排出係数!$AI$4:$AI$671,1)-1,5,BE631),5,FALSE)),IF(AND(BE631=3,LEFT(BF631,1)="1"),0.055,VLOOKUP(AU631,INDEX((係数_乗用_ガソリン,係数_乗用_CNG,係数_乗用_軽油,係数_乗用_メタノール,係数_乗用_LPG),1,1,BE631):INDEX((係数_乗用_ガソリン,係数_乗用_CNG,係数_乗用_軽油,係数_乗用_メタノール,係数_乗用_LPG),125,5,BE631),5,FALSE)))))</f>
        <v/>
      </c>
      <c r="AN631" s="461" t="str">
        <f t="shared" si="362"/>
        <v/>
      </c>
      <c r="AO631" s="462" t="str">
        <f t="shared" si="363"/>
        <v/>
      </c>
      <c r="AP631" s="463" t="str">
        <f t="shared" si="364"/>
        <v/>
      </c>
      <c r="AQ631" s="464"/>
      <c r="AR631" s="619"/>
      <c r="AS631" s="465" t="str">
        <f t="shared" si="334"/>
        <v/>
      </c>
      <c r="AT631" s="465" t="str">
        <f t="shared" si="335"/>
        <v/>
      </c>
      <c r="AU631" s="466" t="str">
        <f t="shared" si="336"/>
        <v/>
      </c>
      <c r="AV631" s="467" t="str">
        <f t="shared" si="337"/>
        <v/>
      </c>
      <c r="AW631" s="467" t="str">
        <f t="shared" si="338"/>
        <v/>
      </c>
      <c r="AX631" s="467" t="str">
        <f t="shared" si="339"/>
        <v/>
      </c>
      <c r="AY631" s="467" t="str">
        <f t="shared" si="340"/>
        <v/>
      </c>
      <c r="AZ631" s="467" t="str">
        <f t="shared" si="341"/>
        <v/>
      </c>
      <c r="BA631" s="468" t="str">
        <f>IF(AS631="","",IF(OR(AU631="",AU631="-"),"－",IF(OR(AZ631=8,AZ631=9),"",IF(OR(AW631=3,AW631=4,AW631=5,AW631=6),VLOOKUP(AU631,INDEX((係数_バス貨物_ガソリン,係数_バス貨物_CNG,係数_バス貨物_軽油,係数_バス貨物_メタノール,係数_バス貨物_LPG),MATCH(AY631,【参考】排出係数!$AI$4:$AI$671,1),1,BE631):INDEX((係数_バス貨物_ガソリン,係数_バス貨物_CNG,係数_バス貨物_軽油,係数_バス貨物_メタノール,係数_バス貨物_LPG),MATCH(AY631+1,【参考】排出係数!$AI$4:$AI$671,1)-1,5,BE631),2,FALSE),IF(OR(AW631=1,AW631=2),VLOOKUP(AU631,INDEX((係数_乗用_ガソリン,係数_乗用_CNG,係数_乗用_軽油,係数_乗用_メタノール,係数_乗用_LPG),1,1,BE631):INDEX((係数_乗用_ガソリン,係数_乗用_CNG,係数_乗用_軽油,係数_乗用_メタノール,係数_乗用_LPG),125,5,BE631),2,FALSE))))))</f>
        <v/>
      </c>
      <c r="BB631" s="468" t="str">
        <f>IF(T631="","",IF(OR(AU631="",AU631="-"),"－",IF(OR(AZ631=8,AZ631=9),"",IF(OR(AW631=3,AW631=4,AW631=5,AW631=6),VLOOKUP(AU631,INDEX((係数_バス貨物_ガソリン,係数_バス貨物_CNG,係数_バス貨物_軽油,係数_バス貨物_メタノール,係数_バス貨物_LPG),MATCH(AY631,【参考】排出係数!$AI$4:$AI$671,1),1,BE631):INDEX((係数_バス貨物_ガソリン,係数_バス貨物_CNG,係数_バス貨物_軽油,係数_バス貨物_メタノール,係数_バス貨物_LPG),MATCH(AY631+1,【参考】排出係数!$AI$4:$AI$671,1)-1,5,BE631),3,FALSE),IF(OR(AW631=1,AW631=2),VLOOKUP(AU631,INDEX((係数_乗用_ガソリン,係数_乗用_CNG,係数_乗用_軽油,係数_乗用_メタノール,係数_乗用_LPG),1,1,BE631):INDEX((係数_乗用_ガソリン,係数_乗用_CNG,係数_乗用_軽油,係数_乗用_メタノール,係数_乗用_LPG),125,5,BE631),3,FALSE))))))</f>
        <v/>
      </c>
      <c r="BC631" s="467" t="str">
        <f t="shared" si="342"/>
        <v/>
      </c>
      <c r="BD631" s="567" t="str">
        <f t="shared" si="343"/>
        <v/>
      </c>
      <c r="BE631" s="467" t="str">
        <f t="shared" si="344"/>
        <v/>
      </c>
      <c r="BF631" s="469" t="str">
        <f t="shared" ca="1" si="345"/>
        <v/>
      </c>
      <c r="BG631" s="469" t="str">
        <f t="shared" ca="1" si="346"/>
        <v/>
      </c>
      <c r="BH631" s="467" t="str">
        <f t="shared" si="347"/>
        <v/>
      </c>
      <c r="BI631" s="467" t="str">
        <f t="shared" ca="1" si="348"/>
        <v/>
      </c>
      <c r="BJ631" s="469" t="str">
        <f t="shared" si="349"/>
        <v/>
      </c>
      <c r="BK631" s="470" t="str">
        <f t="shared" si="333"/>
        <v/>
      </c>
      <c r="BL631" s="775" t="str">
        <f t="shared" si="350"/>
        <v/>
      </c>
      <c r="BM631" s="775" t="str">
        <f t="shared" si="351"/>
        <v/>
      </c>
    </row>
    <row r="632" spans="1:65">
      <c r="A632" s="473">
        <v>576</v>
      </c>
      <c r="B632" s="132"/>
      <c r="C632" s="332"/>
      <c r="D632" s="333"/>
      <c r="E632" s="333"/>
      <c r="F632" s="334"/>
      <c r="G632" s="337"/>
      <c r="H632" s="131"/>
      <c r="I632" s="337"/>
      <c r="J632" s="131"/>
      <c r="K632" s="458" t="str">
        <f t="shared" si="352"/>
        <v/>
      </c>
      <c r="L632" s="458">
        <f t="shared" si="353"/>
        <v>0</v>
      </c>
      <c r="M632" s="458">
        <f t="shared" si="354"/>
        <v>0</v>
      </c>
      <c r="N632" s="459" t="str">
        <f t="shared" si="283"/>
        <v/>
      </c>
      <c r="O632" s="459" t="str">
        <f t="shared" si="284"/>
        <v/>
      </c>
      <c r="P632" s="459" t="str">
        <f t="shared" si="285"/>
        <v/>
      </c>
      <c r="Q632" s="459" t="str">
        <f t="shared" si="286"/>
        <v/>
      </c>
      <c r="R632" s="459" t="str">
        <f t="shared" si="287"/>
        <v/>
      </c>
      <c r="S632" s="459" t="str">
        <f t="shared" si="288"/>
        <v/>
      </c>
      <c r="T632" s="566" t="str">
        <f t="shared" si="355"/>
        <v/>
      </c>
      <c r="U632" s="702"/>
      <c r="V632" s="132"/>
      <c r="W632" s="133"/>
      <c r="X632" s="134"/>
      <c r="Y632" s="135"/>
      <c r="Z632" s="137"/>
      <c r="AA632" s="136"/>
      <c r="AB632" s="566" t="str">
        <f t="shared" si="356"/>
        <v/>
      </c>
      <c r="AC632" s="568" t="str">
        <f t="shared" si="357"/>
        <v/>
      </c>
      <c r="AD632" s="137"/>
      <c r="AE632" s="137"/>
      <c r="AF632" s="138"/>
      <c r="AG632" s="138"/>
      <c r="AH632" s="592" t="str">
        <f t="shared" si="358"/>
        <v/>
      </c>
      <c r="AI632" s="592" t="str">
        <f t="shared" si="359"/>
        <v/>
      </c>
      <c r="AJ632" s="592" t="str">
        <f t="shared" si="360"/>
        <v/>
      </c>
      <c r="AK632" s="460" t="str">
        <f>IF(AU632="","",IF(OR(AZ632=8,AZ632=9),0,IF(OR(AW632=3,AW632=4,AW632=5,AW632=6),IF(LEFT(BF632,1)="1",INDEX(係数_NOX・PM低減,MATCH(AY632,【参考】排出係数!$AI$801:$AI$804,1),1),VLOOKUP(AU632,INDEX((係数_バス貨物_ガソリン,係数_バス貨物_CNG,係数_バス貨物_軽油,係数_バス貨物_メタノール,係数_バス貨物_LPG),MATCH(AY632,【参考】排出係数!$AI$4:$AI$671,1),1,BE632):INDEX((係数_バス貨物_ガソリン,係数_バス貨物_CNG,係数_バス貨物_軽油,係数_バス貨物_メタノール,係数_バス貨物_LPG),MATCH(AY632+1,【参考】排出係数!$AI$4:$AI$671,1)-1,5,BE632),4,FALSE)),IF(AND(BE632=3,LEFT(BF632,1)="1"),0.48,VLOOKUP(AU632,INDEX((係数_乗用_ガソリン,係数_乗用_CNG,係数_乗用_軽油,係数_乗用_メタノール,係数_乗用_LPG),1,1,BE632):INDEX((係数_乗用_ガソリン,係数_乗用_CNG,係数_乗用_軽油,係数_乗用_メタノール,係数_乗用_LPG),125,5,BE632),4,FALSE)))))</f>
        <v/>
      </c>
      <c r="AL632" s="461" t="str">
        <f t="shared" si="361"/>
        <v/>
      </c>
      <c r="AM632" s="460" t="str">
        <f>IF(AU632="","",IF(OR(AZ632=8,AZ632=9),0,IF(OR(AW632=3,AW632=4,AW632=5,AW632=6),IF(LEFT(BH632,1)="1",INDEX(係数_PM低減,MATCH(AY632,【参考】排出係数!$AI$801:$AI$804,1),MATCH(BI632,【参考】排出係数!$AL$798:$AO$798,1)),VLOOKUP(AU632,INDEX((係数_バス貨物_ガソリン,係数_バス貨物_CNG,係数_バス貨物_軽油,係数_バス貨物_メタノール,係数_バス貨物_LPG),MATCH(AY632,【参考】排出係数!$AI$4:$AI$671,1),1,BE632):INDEX((係数_バス貨物_ガソリン,係数_バス貨物_CNG,係数_バス貨物_軽油,係数_バス貨物_メタノール,係数_バス貨物_LPG),MATCH(AY632+1,【参考】排出係数!$AI$4:$AI$671,1)-1,5,BE632),5,FALSE)),IF(AND(BE632=3,LEFT(BF632,1)="1"),0.055,VLOOKUP(AU632,INDEX((係数_乗用_ガソリン,係数_乗用_CNG,係数_乗用_軽油,係数_乗用_メタノール,係数_乗用_LPG),1,1,BE632):INDEX((係数_乗用_ガソリン,係数_乗用_CNG,係数_乗用_軽油,係数_乗用_メタノール,係数_乗用_LPG),125,5,BE632),5,FALSE)))))</f>
        <v/>
      </c>
      <c r="AN632" s="461" t="str">
        <f t="shared" si="362"/>
        <v/>
      </c>
      <c r="AO632" s="462" t="str">
        <f t="shared" si="363"/>
        <v/>
      </c>
      <c r="AP632" s="463" t="str">
        <f t="shared" si="364"/>
        <v/>
      </c>
      <c r="AQ632" s="464"/>
      <c r="AR632" s="619"/>
      <c r="AS632" s="465" t="str">
        <f t="shared" si="334"/>
        <v/>
      </c>
      <c r="AT632" s="465" t="str">
        <f t="shared" si="335"/>
        <v/>
      </c>
      <c r="AU632" s="466" t="str">
        <f t="shared" si="336"/>
        <v/>
      </c>
      <c r="AV632" s="467" t="str">
        <f t="shared" si="337"/>
        <v/>
      </c>
      <c r="AW632" s="467" t="str">
        <f t="shared" si="338"/>
        <v/>
      </c>
      <c r="AX632" s="467" t="str">
        <f t="shared" si="339"/>
        <v/>
      </c>
      <c r="AY632" s="467" t="str">
        <f t="shared" si="340"/>
        <v/>
      </c>
      <c r="AZ632" s="467" t="str">
        <f t="shared" si="341"/>
        <v/>
      </c>
      <c r="BA632" s="468" t="str">
        <f>IF(AS632="","",IF(OR(AU632="",AU632="-"),"－",IF(OR(AZ632=8,AZ632=9),"",IF(OR(AW632=3,AW632=4,AW632=5,AW632=6),VLOOKUP(AU632,INDEX((係数_バス貨物_ガソリン,係数_バス貨物_CNG,係数_バス貨物_軽油,係数_バス貨物_メタノール,係数_バス貨物_LPG),MATCH(AY632,【参考】排出係数!$AI$4:$AI$671,1),1,BE632):INDEX((係数_バス貨物_ガソリン,係数_バス貨物_CNG,係数_バス貨物_軽油,係数_バス貨物_メタノール,係数_バス貨物_LPG),MATCH(AY632+1,【参考】排出係数!$AI$4:$AI$671,1)-1,5,BE632),2,FALSE),IF(OR(AW632=1,AW632=2),VLOOKUP(AU632,INDEX((係数_乗用_ガソリン,係数_乗用_CNG,係数_乗用_軽油,係数_乗用_メタノール,係数_乗用_LPG),1,1,BE632):INDEX((係数_乗用_ガソリン,係数_乗用_CNG,係数_乗用_軽油,係数_乗用_メタノール,係数_乗用_LPG),125,5,BE632),2,FALSE))))))</f>
        <v/>
      </c>
      <c r="BB632" s="468" t="str">
        <f>IF(T632="","",IF(OR(AU632="",AU632="-"),"－",IF(OR(AZ632=8,AZ632=9),"",IF(OR(AW632=3,AW632=4,AW632=5,AW632=6),VLOOKUP(AU632,INDEX((係数_バス貨物_ガソリン,係数_バス貨物_CNG,係数_バス貨物_軽油,係数_バス貨物_メタノール,係数_バス貨物_LPG),MATCH(AY632,【参考】排出係数!$AI$4:$AI$671,1),1,BE632):INDEX((係数_バス貨物_ガソリン,係数_バス貨物_CNG,係数_バス貨物_軽油,係数_バス貨物_メタノール,係数_バス貨物_LPG),MATCH(AY632+1,【参考】排出係数!$AI$4:$AI$671,1)-1,5,BE632),3,FALSE),IF(OR(AW632=1,AW632=2),VLOOKUP(AU632,INDEX((係数_乗用_ガソリン,係数_乗用_CNG,係数_乗用_軽油,係数_乗用_メタノール,係数_乗用_LPG),1,1,BE632):INDEX((係数_乗用_ガソリン,係数_乗用_CNG,係数_乗用_軽油,係数_乗用_メタノール,係数_乗用_LPG),125,5,BE632),3,FALSE))))))</f>
        <v/>
      </c>
      <c r="BC632" s="467" t="str">
        <f t="shared" si="342"/>
        <v/>
      </c>
      <c r="BD632" s="567" t="str">
        <f t="shared" si="343"/>
        <v/>
      </c>
      <c r="BE632" s="467" t="str">
        <f t="shared" si="344"/>
        <v/>
      </c>
      <c r="BF632" s="469" t="str">
        <f t="shared" ca="1" si="345"/>
        <v/>
      </c>
      <c r="BG632" s="469" t="str">
        <f t="shared" ca="1" si="346"/>
        <v/>
      </c>
      <c r="BH632" s="467" t="str">
        <f t="shared" si="347"/>
        <v/>
      </c>
      <c r="BI632" s="467" t="str">
        <f t="shared" ca="1" si="348"/>
        <v/>
      </c>
      <c r="BJ632" s="469" t="str">
        <f t="shared" si="349"/>
        <v/>
      </c>
      <c r="BK632" s="470" t="str">
        <f t="shared" si="333"/>
        <v/>
      </c>
      <c r="BL632" s="775" t="str">
        <f t="shared" si="350"/>
        <v/>
      </c>
      <c r="BM632" s="775" t="str">
        <f t="shared" si="351"/>
        <v/>
      </c>
    </row>
    <row r="633" spans="1:65">
      <c r="A633" s="473">
        <v>577</v>
      </c>
      <c r="B633" s="132"/>
      <c r="C633" s="332"/>
      <c r="D633" s="333"/>
      <c r="E633" s="333"/>
      <c r="F633" s="334"/>
      <c r="G633" s="337"/>
      <c r="H633" s="131"/>
      <c r="I633" s="337"/>
      <c r="J633" s="131"/>
      <c r="K633" s="458" t="str">
        <f t="shared" si="352"/>
        <v/>
      </c>
      <c r="L633" s="458">
        <f t="shared" si="353"/>
        <v>0</v>
      </c>
      <c r="M633" s="458">
        <f t="shared" si="354"/>
        <v>0</v>
      </c>
      <c r="N633" s="459" t="str">
        <f t="shared" si="283"/>
        <v/>
      </c>
      <c r="O633" s="459" t="str">
        <f t="shared" si="284"/>
        <v/>
      </c>
      <c r="P633" s="459" t="str">
        <f t="shared" si="285"/>
        <v/>
      </c>
      <c r="Q633" s="459" t="str">
        <f t="shared" si="286"/>
        <v/>
      </c>
      <c r="R633" s="459" t="str">
        <f t="shared" si="287"/>
        <v/>
      </c>
      <c r="S633" s="459" t="str">
        <f t="shared" si="288"/>
        <v/>
      </c>
      <c r="T633" s="566" t="str">
        <f t="shared" si="355"/>
        <v/>
      </c>
      <c r="U633" s="702"/>
      <c r="V633" s="132"/>
      <c r="W633" s="133"/>
      <c r="X633" s="134"/>
      <c r="Y633" s="135"/>
      <c r="Z633" s="137"/>
      <c r="AA633" s="136"/>
      <c r="AB633" s="566" t="str">
        <f t="shared" si="356"/>
        <v/>
      </c>
      <c r="AC633" s="568" t="str">
        <f t="shared" si="357"/>
        <v/>
      </c>
      <c r="AD633" s="137"/>
      <c r="AE633" s="137"/>
      <c r="AF633" s="138"/>
      <c r="AG633" s="138"/>
      <c r="AH633" s="592" t="str">
        <f t="shared" si="358"/>
        <v/>
      </c>
      <c r="AI633" s="592" t="str">
        <f t="shared" si="359"/>
        <v/>
      </c>
      <c r="AJ633" s="592" t="str">
        <f t="shared" si="360"/>
        <v/>
      </c>
      <c r="AK633" s="460" t="str">
        <f>IF(AU633="","",IF(OR(AZ633=8,AZ633=9),0,IF(OR(AW633=3,AW633=4,AW633=5,AW633=6),IF(LEFT(BF633,1)="1",INDEX(係数_NOX・PM低減,MATCH(AY633,【参考】排出係数!$AI$801:$AI$804,1),1),VLOOKUP(AU633,INDEX((係数_バス貨物_ガソリン,係数_バス貨物_CNG,係数_バス貨物_軽油,係数_バス貨物_メタノール,係数_バス貨物_LPG),MATCH(AY633,【参考】排出係数!$AI$4:$AI$671,1),1,BE633):INDEX((係数_バス貨物_ガソリン,係数_バス貨物_CNG,係数_バス貨物_軽油,係数_バス貨物_メタノール,係数_バス貨物_LPG),MATCH(AY633+1,【参考】排出係数!$AI$4:$AI$671,1)-1,5,BE633),4,FALSE)),IF(AND(BE633=3,LEFT(BF633,1)="1"),0.48,VLOOKUP(AU633,INDEX((係数_乗用_ガソリン,係数_乗用_CNG,係数_乗用_軽油,係数_乗用_メタノール,係数_乗用_LPG),1,1,BE633):INDEX((係数_乗用_ガソリン,係数_乗用_CNG,係数_乗用_軽油,係数_乗用_メタノール,係数_乗用_LPG),125,5,BE633),4,FALSE)))))</f>
        <v/>
      </c>
      <c r="AL633" s="461" t="str">
        <f t="shared" si="361"/>
        <v/>
      </c>
      <c r="AM633" s="460" t="str">
        <f>IF(AU633="","",IF(OR(AZ633=8,AZ633=9),0,IF(OR(AW633=3,AW633=4,AW633=5,AW633=6),IF(LEFT(BH633,1)="1",INDEX(係数_PM低減,MATCH(AY633,【参考】排出係数!$AI$801:$AI$804,1),MATCH(BI633,【参考】排出係数!$AL$798:$AO$798,1)),VLOOKUP(AU633,INDEX((係数_バス貨物_ガソリン,係数_バス貨物_CNG,係数_バス貨物_軽油,係数_バス貨物_メタノール,係数_バス貨物_LPG),MATCH(AY633,【参考】排出係数!$AI$4:$AI$671,1),1,BE633):INDEX((係数_バス貨物_ガソリン,係数_バス貨物_CNG,係数_バス貨物_軽油,係数_バス貨物_メタノール,係数_バス貨物_LPG),MATCH(AY633+1,【参考】排出係数!$AI$4:$AI$671,1)-1,5,BE633),5,FALSE)),IF(AND(BE633=3,LEFT(BF633,1)="1"),0.055,VLOOKUP(AU633,INDEX((係数_乗用_ガソリン,係数_乗用_CNG,係数_乗用_軽油,係数_乗用_メタノール,係数_乗用_LPG),1,1,BE633):INDEX((係数_乗用_ガソリン,係数_乗用_CNG,係数_乗用_軽油,係数_乗用_メタノール,係数_乗用_LPG),125,5,BE633),5,FALSE)))))</f>
        <v/>
      </c>
      <c r="AN633" s="461" t="str">
        <f t="shared" si="362"/>
        <v/>
      </c>
      <c r="AO633" s="462" t="str">
        <f t="shared" si="363"/>
        <v/>
      </c>
      <c r="AP633" s="463" t="str">
        <f t="shared" si="364"/>
        <v/>
      </c>
      <c r="AQ633" s="464"/>
      <c r="AR633" s="619"/>
      <c r="AS633" s="465" t="str">
        <f t="shared" si="334"/>
        <v/>
      </c>
      <c r="AT633" s="465" t="str">
        <f t="shared" si="335"/>
        <v/>
      </c>
      <c r="AU633" s="466" t="str">
        <f t="shared" si="336"/>
        <v/>
      </c>
      <c r="AV633" s="467" t="str">
        <f t="shared" si="337"/>
        <v/>
      </c>
      <c r="AW633" s="467" t="str">
        <f t="shared" si="338"/>
        <v/>
      </c>
      <c r="AX633" s="467" t="str">
        <f t="shared" si="339"/>
        <v/>
      </c>
      <c r="AY633" s="467" t="str">
        <f t="shared" si="340"/>
        <v/>
      </c>
      <c r="AZ633" s="467" t="str">
        <f t="shared" si="341"/>
        <v/>
      </c>
      <c r="BA633" s="468" t="str">
        <f>IF(AS633="","",IF(OR(AU633="",AU633="-"),"－",IF(OR(AZ633=8,AZ633=9),"",IF(OR(AW633=3,AW633=4,AW633=5,AW633=6),VLOOKUP(AU633,INDEX((係数_バス貨物_ガソリン,係数_バス貨物_CNG,係数_バス貨物_軽油,係数_バス貨物_メタノール,係数_バス貨物_LPG),MATCH(AY633,【参考】排出係数!$AI$4:$AI$671,1),1,BE633):INDEX((係数_バス貨物_ガソリン,係数_バス貨物_CNG,係数_バス貨物_軽油,係数_バス貨物_メタノール,係数_バス貨物_LPG),MATCH(AY633+1,【参考】排出係数!$AI$4:$AI$671,1)-1,5,BE633),2,FALSE),IF(OR(AW633=1,AW633=2),VLOOKUP(AU633,INDEX((係数_乗用_ガソリン,係数_乗用_CNG,係数_乗用_軽油,係数_乗用_メタノール,係数_乗用_LPG),1,1,BE633):INDEX((係数_乗用_ガソリン,係数_乗用_CNG,係数_乗用_軽油,係数_乗用_メタノール,係数_乗用_LPG),125,5,BE633),2,FALSE))))))</f>
        <v/>
      </c>
      <c r="BB633" s="468" t="str">
        <f>IF(T633="","",IF(OR(AU633="",AU633="-"),"－",IF(OR(AZ633=8,AZ633=9),"",IF(OR(AW633=3,AW633=4,AW633=5,AW633=6),VLOOKUP(AU633,INDEX((係数_バス貨物_ガソリン,係数_バス貨物_CNG,係数_バス貨物_軽油,係数_バス貨物_メタノール,係数_バス貨物_LPG),MATCH(AY633,【参考】排出係数!$AI$4:$AI$671,1),1,BE633):INDEX((係数_バス貨物_ガソリン,係数_バス貨物_CNG,係数_バス貨物_軽油,係数_バス貨物_メタノール,係数_バス貨物_LPG),MATCH(AY633+1,【参考】排出係数!$AI$4:$AI$671,1)-1,5,BE633),3,FALSE),IF(OR(AW633=1,AW633=2),VLOOKUP(AU633,INDEX((係数_乗用_ガソリン,係数_乗用_CNG,係数_乗用_軽油,係数_乗用_メタノール,係数_乗用_LPG),1,1,BE633):INDEX((係数_乗用_ガソリン,係数_乗用_CNG,係数_乗用_軽油,係数_乗用_メタノール,係数_乗用_LPG),125,5,BE633),3,FALSE))))))</f>
        <v/>
      </c>
      <c r="BC633" s="467" t="str">
        <f t="shared" si="342"/>
        <v/>
      </c>
      <c r="BD633" s="567" t="str">
        <f t="shared" si="343"/>
        <v/>
      </c>
      <c r="BE633" s="467" t="str">
        <f t="shared" si="344"/>
        <v/>
      </c>
      <c r="BF633" s="469" t="str">
        <f t="shared" ca="1" si="345"/>
        <v/>
      </c>
      <c r="BG633" s="469" t="str">
        <f t="shared" ca="1" si="346"/>
        <v/>
      </c>
      <c r="BH633" s="467" t="str">
        <f t="shared" si="347"/>
        <v/>
      </c>
      <c r="BI633" s="467" t="str">
        <f t="shared" ca="1" si="348"/>
        <v/>
      </c>
      <c r="BJ633" s="469" t="str">
        <f t="shared" si="349"/>
        <v/>
      </c>
      <c r="BK633" s="470" t="str">
        <f t="shared" ref="BK633:BK696" si="365">IF(AS633="","",VLOOKUP(T633,車両の増減,2,FALSE))</f>
        <v/>
      </c>
      <c r="BL633" s="775" t="str">
        <f t="shared" si="350"/>
        <v/>
      </c>
      <c r="BM633" s="775" t="str">
        <f t="shared" si="351"/>
        <v/>
      </c>
    </row>
    <row r="634" spans="1:65">
      <c r="A634" s="473">
        <v>578</v>
      </c>
      <c r="B634" s="132"/>
      <c r="C634" s="332"/>
      <c r="D634" s="333"/>
      <c r="E634" s="333"/>
      <c r="F634" s="334"/>
      <c r="G634" s="337"/>
      <c r="H634" s="131"/>
      <c r="I634" s="337"/>
      <c r="J634" s="131"/>
      <c r="K634" s="458" t="str">
        <f t="shared" si="352"/>
        <v/>
      </c>
      <c r="L634" s="458">
        <f t="shared" si="353"/>
        <v>0</v>
      </c>
      <c r="M634" s="458">
        <f t="shared" si="354"/>
        <v>0</v>
      </c>
      <c r="N634" s="459" t="str">
        <f t="shared" si="283"/>
        <v/>
      </c>
      <c r="O634" s="459" t="str">
        <f t="shared" si="284"/>
        <v/>
      </c>
      <c r="P634" s="459" t="str">
        <f t="shared" si="285"/>
        <v/>
      </c>
      <c r="Q634" s="459" t="str">
        <f t="shared" si="286"/>
        <v/>
      </c>
      <c r="R634" s="459" t="str">
        <f t="shared" si="287"/>
        <v/>
      </c>
      <c r="S634" s="459" t="str">
        <f t="shared" si="288"/>
        <v/>
      </c>
      <c r="T634" s="566" t="str">
        <f t="shared" si="355"/>
        <v/>
      </c>
      <c r="U634" s="702"/>
      <c r="V634" s="132"/>
      <c r="W634" s="133"/>
      <c r="X634" s="134"/>
      <c r="Y634" s="135"/>
      <c r="Z634" s="137"/>
      <c r="AA634" s="136"/>
      <c r="AB634" s="566" t="str">
        <f t="shared" si="356"/>
        <v/>
      </c>
      <c r="AC634" s="568" t="str">
        <f t="shared" si="357"/>
        <v/>
      </c>
      <c r="AD634" s="137"/>
      <c r="AE634" s="137"/>
      <c r="AF634" s="138"/>
      <c r="AG634" s="138"/>
      <c r="AH634" s="592" t="str">
        <f t="shared" si="358"/>
        <v/>
      </c>
      <c r="AI634" s="592" t="str">
        <f t="shared" si="359"/>
        <v/>
      </c>
      <c r="AJ634" s="592" t="str">
        <f t="shared" si="360"/>
        <v/>
      </c>
      <c r="AK634" s="460" t="str">
        <f>IF(AU634="","",IF(OR(AZ634=8,AZ634=9),0,IF(OR(AW634=3,AW634=4,AW634=5,AW634=6),IF(LEFT(BF634,1)="1",INDEX(係数_NOX・PM低減,MATCH(AY634,【参考】排出係数!$AI$801:$AI$804,1),1),VLOOKUP(AU634,INDEX((係数_バス貨物_ガソリン,係数_バス貨物_CNG,係数_バス貨物_軽油,係数_バス貨物_メタノール,係数_バス貨物_LPG),MATCH(AY634,【参考】排出係数!$AI$4:$AI$671,1),1,BE634):INDEX((係数_バス貨物_ガソリン,係数_バス貨物_CNG,係数_バス貨物_軽油,係数_バス貨物_メタノール,係数_バス貨物_LPG),MATCH(AY634+1,【参考】排出係数!$AI$4:$AI$671,1)-1,5,BE634),4,FALSE)),IF(AND(BE634=3,LEFT(BF634,1)="1"),0.48,VLOOKUP(AU634,INDEX((係数_乗用_ガソリン,係数_乗用_CNG,係数_乗用_軽油,係数_乗用_メタノール,係数_乗用_LPG),1,1,BE634):INDEX((係数_乗用_ガソリン,係数_乗用_CNG,係数_乗用_軽油,係数_乗用_メタノール,係数_乗用_LPG),125,5,BE634),4,FALSE)))))</f>
        <v/>
      </c>
      <c r="AL634" s="461" t="str">
        <f t="shared" si="361"/>
        <v/>
      </c>
      <c r="AM634" s="460" t="str">
        <f>IF(AU634="","",IF(OR(AZ634=8,AZ634=9),0,IF(OR(AW634=3,AW634=4,AW634=5,AW634=6),IF(LEFT(BH634,1)="1",INDEX(係数_PM低減,MATCH(AY634,【参考】排出係数!$AI$801:$AI$804,1),MATCH(BI634,【参考】排出係数!$AL$798:$AO$798,1)),VLOOKUP(AU634,INDEX((係数_バス貨物_ガソリン,係数_バス貨物_CNG,係数_バス貨物_軽油,係数_バス貨物_メタノール,係数_バス貨物_LPG),MATCH(AY634,【参考】排出係数!$AI$4:$AI$671,1),1,BE634):INDEX((係数_バス貨物_ガソリン,係数_バス貨物_CNG,係数_バス貨物_軽油,係数_バス貨物_メタノール,係数_バス貨物_LPG),MATCH(AY634+1,【参考】排出係数!$AI$4:$AI$671,1)-1,5,BE634),5,FALSE)),IF(AND(BE634=3,LEFT(BF634,1)="1"),0.055,VLOOKUP(AU634,INDEX((係数_乗用_ガソリン,係数_乗用_CNG,係数_乗用_軽油,係数_乗用_メタノール,係数_乗用_LPG),1,1,BE634):INDEX((係数_乗用_ガソリン,係数_乗用_CNG,係数_乗用_軽油,係数_乗用_メタノール,係数_乗用_LPG),125,5,BE634),5,FALSE)))))</f>
        <v/>
      </c>
      <c r="AN634" s="461" t="str">
        <f t="shared" si="362"/>
        <v/>
      </c>
      <c r="AO634" s="462" t="str">
        <f t="shared" si="363"/>
        <v/>
      </c>
      <c r="AP634" s="463" t="str">
        <f t="shared" si="364"/>
        <v/>
      </c>
      <c r="AQ634" s="464"/>
      <c r="AR634" s="619"/>
      <c r="AS634" s="465" t="str">
        <f t="shared" ref="AS634:AS697" si="366">IF(OR(T634="(減車済)",T634=""),"",1)</f>
        <v/>
      </c>
      <c r="AT634" s="465" t="str">
        <f t="shared" ref="AT634:AT697" si="367">IF(OR(T634="継続",T634="新規"),1,"")</f>
        <v/>
      </c>
      <c r="AU634" s="466" t="str">
        <f t="shared" ref="AU634:AU697" si="368">IF(AS634="","",UPPER(ASC(X634)))</f>
        <v/>
      </c>
      <c r="AV634" s="467" t="str">
        <f t="shared" ref="AV634:AV697" si="369">IF(AS634="","",IF(V634="","",IF(V634="普通",1,IF(V634="小型",2,0))))</f>
        <v/>
      </c>
      <c r="AW634" s="467" t="str">
        <f t="shared" ref="AW634:AW697" si="370">IF(AS634="","",IF(W634="","",VLOOKUP(W634,用途,2,FALSE)))</f>
        <v/>
      </c>
      <c r="AX634" s="467" t="str">
        <f t="shared" ref="AX634:AX697" si="371">IF(AS634="","",IF(Y634="","",IF(Y634&lt;=10,1,IF(Y634&lt;30,2,IF(Y634&gt;=30,3,0)))))</f>
        <v/>
      </c>
      <c r="AY634" s="467" t="str">
        <f t="shared" ref="AY634:AY697" si="372">IF(AS634="","",IF(Z634="","",IF(Z634&lt;=1.7*1000,1,IF(Z634&lt;=2.5*1000,2,IF(Z634&lt;=3.5*1000,3,IF(Z634&lt;8*1000,4,IF(Z634&gt;=8*1000,5,"")))))))</f>
        <v/>
      </c>
      <c r="AZ634" s="467" t="str">
        <f t="shared" ref="AZ634:AZ697" si="373">IF(AS634="","",IF(AA634="","",VLOOKUP(AA634,燃料の種類,2,FALSE)))</f>
        <v/>
      </c>
      <c r="BA634" s="468" t="str">
        <f>IF(AS634="","",IF(OR(AU634="",AU634="-"),"－",IF(OR(AZ634=8,AZ634=9),"",IF(OR(AW634=3,AW634=4,AW634=5,AW634=6),VLOOKUP(AU634,INDEX((係数_バス貨物_ガソリン,係数_バス貨物_CNG,係数_バス貨物_軽油,係数_バス貨物_メタノール,係数_バス貨物_LPG),MATCH(AY634,【参考】排出係数!$AI$4:$AI$671,1),1,BE634):INDEX((係数_バス貨物_ガソリン,係数_バス貨物_CNG,係数_バス貨物_軽油,係数_バス貨物_メタノール,係数_バス貨物_LPG),MATCH(AY634+1,【参考】排出係数!$AI$4:$AI$671,1)-1,5,BE634),2,FALSE),IF(OR(AW634=1,AW634=2),VLOOKUP(AU634,INDEX((係数_乗用_ガソリン,係数_乗用_CNG,係数_乗用_軽油,係数_乗用_メタノール,係数_乗用_LPG),1,1,BE634):INDEX((係数_乗用_ガソリン,係数_乗用_CNG,係数_乗用_軽油,係数_乗用_メタノール,係数_乗用_LPG),125,5,BE634),2,FALSE))))))</f>
        <v/>
      </c>
      <c r="BB634" s="468" t="str">
        <f>IF(T634="","",IF(OR(AU634="",AU634="-"),"－",IF(OR(AZ634=8,AZ634=9),"",IF(OR(AW634=3,AW634=4,AW634=5,AW634=6),VLOOKUP(AU634,INDEX((係数_バス貨物_ガソリン,係数_バス貨物_CNG,係数_バス貨物_軽油,係数_バス貨物_メタノール,係数_バス貨物_LPG),MATCH(AY634,【参考】排出係数!$AI$4:$AI$671,1),1,BE634):INDEX((係数_バス貨物_ガソリン,係数_バス貨物_CNG,係数_バス貨物_軽油,係数_バス貨物_メタノール,係数_バス貨物_LPG),MATCH(AY634+1,【参考】排出係数!$AI$4:$AI$671,1)-1,5,BE634),3,FALSE),IF(OR(AW634=1,AW634=2),VLOOKUP(AU634,INDEX((係数_乗用_ガソリン,係数_乗用_CNG,係数_乗用_軽油,係数_乗用_メタノール,係数_乗用_LPG),1,1,BE634):INDEX((係数_乗用_ガソリン,係数_乗用_CNG,係数_乗用_軽油,係数_乗用_メタノール,係数_乗用_LPG),125,5,BE634),3,FALSE))))))</f>
        <v/>
      </c>
      <c r="BC634" s="467" t="str">
        <f t="shared" ref="BC634:BC697" si="374">IF((AS634="")+(AC634=""),"",IF(燃料区分1=4,VLOOKUP(BB634,排ガス低減レベル,2,FALSE),VLOOKUP(AC634,排ガス低減レベル,2,FALSE)))</f>
        <v/>
      </c>
      <c r="BD634" s="567" t="str">
        <f t="shared" ref="BD634:BD697" si="375">IF(AT634="","",IF(AW634=3,B634&amp;"-"&amp;SUM(AW634*100,AX634*10,AY634)&amp;"A",IF(OR(AW634=2,AW634=4,AW634=6),B634&amp;"-"&amp;AY634*10&amp;"A",IF(AW634=1,B634&amp;"-"&amp;AW634&amp;"A",IF(AW634=5,B634&amp;"-"&amp;SUM(AW634*100,AV634*10,AY634)&amp;"A","")))))</f>
        <v/>
      </c>
      <c r="BE634" s="467" t="str">
        <f t="shared" ref="BE634:BE697" si="376">IF(OR(AZ634=1,AZ634=2,AZ634=11),1,IF(AZ634=6,2,IF(OR(AZ634=4,AZ634=5,AZ634=10),3,IF(AZ634=7,4,IF(AZ634=3,5, IF(OR(AZ634=8,AZ634=9),6,""))))))</f>
        <v/>
      </c>
      <c r="BF634" s="469" t="str">
        <f t="shared" ref="BF634:BF697" ca="1" si="377">(IF(OR(AZ634=4,AZ634=5),OFFSET($CH$1,MATCH($AF634,$CG$2:$CG$4,0),0)&amp;BK634,""))</f>
        <v/>
      </c>
      <c r="BG634" s="469" t="str">
        <f t="shared" ref="BG634:BG697" ca="1" si="378">(IF(OR(AZ634=4,AZ634=5),OFFSET($CJ$1,MATCH($AG634,$CI$2:$CI$5,0),0)&amp;BK634,""))</f>
        <v/>
      </c>
      <c r="BH634" s="467" t="str">
        <f t="shared" ref="BH634:BH697" si="379">IF(OR(AZ634=4,AZ634=5),IF(OR(LEFT(BF634,1)="1",LEFT(BG634,1)="2",LEFT(BG634,1)="3"),1,2)&amp;BK634,"")</f>
        <v/>
      </c>
      <c r="BI634" s="467" t="str">
        <f t="shared" ref="BI634:BI697" ca="1" si="380">IF(LEFT(BF634)="1",1,IF(LEFT(BG634,1)="2",2,IF(LEFT(BG634,1)="3",3,"")))</f>
        <v/>
      </c>
      <c r="BJ634" s="469" t="str">
        <f t="shared" ref="BJ634:BJ697" si="381">IF(AT634="","",B634&amp;"-"&amp;AZ634)</f>
        <v/>
      </c>
      <c r="BK634" s="470" t="str">
        <f t="shared" si="365"/>
        <v/>
      </c>
      <c r="BL634" s="775" t="str">
        <f t="shared" ref="BL634:BL697" si="382">IF(AND(OR($T634="新規",$T634="継続"),ISBLANK($AD634)),1,"")</f>
        <v/>
      </c>
      <c r="BM634" s="775" t="str">
        <f t="shared" ref="BM634:BM697" si="383">IF(AND(OR($T634="新規",$T634="継続"),ISBLANK($AE634)),1,"")</f>
        <v/>
      </c>
    </row>
    <row r="635" spans="1:65">
      <c r="A635" s="473">
        <v>579</v>
      </c>
      <c r="B635" s="132"/>
      <c r="C635" s="332"/>
      <c r="D635" s="333"/>
      <c r="E635" s="333"/>
      <c r="F635" s="334"/>
      <c r="G635" s="337"/>
      <c r="H635" s="131"/>
      <c r="I635" s="337"/>
      <c r="J635" s="131"/>
      <c r="K635" s="458" t="str">
        <f t="shared" si="352"/>
        <v/>
      </c>
      <c r="L635" s="458">
        <f t="shared" si="353"/>
        <v>0</v>
      </c>
      <c r="M635" s="458">
        <f t="shared" si="354"/>
        <v>0</v>
      </c>
      <c r="N635" s="459" t="str">
        <f t="shared" si="283"/>
        <v/>
      </c>
      <c r="O635" s="459" t="str">
        <f t="shared" si="284"/>
        <v/>
      </c>
      <c r="P635" s="459" t="str">
        <f t="shared" si="285"/>
        <v/>
      </c>
      <c r="Q635" s="459" t="str">
        <f t="shared" si="286"/>
        <v/>
      </c>
      <c r="R635" s="459" t="str">
        <f t="shared" si="287"/>
        <v/>
      </c>
      <c r="S635" s="459" t="str">
        <f t="shared" si="288"/>
        <v/>
      </c>
      <c r="T635" s="566" t="str">
        <f t="shared" si="355"/>
        <v/>
      </c>
      <c r="U635" s="702"/>
      <c r="V635" s="132"/>
      <c r="W635" s="133"/>
      <c r="X635" s="134"/>
      <c r="Y635" s="135"/>
      <c r="Z635" s="137"/>
      <c r="AA635" s="136"/>
      <c r="AB635" s="566" t="str">
        <f t="shared" si="356"/>
        <v/>
      </c>
      <c r="AC635" s="568" t="str">
        <f t="shared" si="357"/>
        <v/>
      </c>
      <c r="AD635" s="137"/>
      <c r="AE635" s="137"/>
      <c r="AF635" s="138"/>
      <c r="AG635" s="138"/>
      <c r="AH635" s="592" t="str">
        <f t="shared" si="358"/>
        <v/>
      </c>
      <c r="AI635" s="592" t="str">
        <f t="shared" si="359"/>
        <v/>
      </c>
      <c r="AJ635" s="592" t="str">
        <f t="shared" si="360"/>
        <v/>
      </c>
      <c r="AK635" s="460" t="str">
        <f>IF(AU635="","",IF(OR(AZ635=8,AZ635=9),0,IF(OR(AW635=3,AW635=4,AW635=5,AW635=6),IF(LEFT(BF635,1)="1",INDEX(係数_NOX・PM低減,MATCH(AY635,【参考】排出係数!$AI$801:$AI$804,1),1),VLOOKUP(AU635,INDEX((係数_バス貨物_ガソリン,係数_バス貨物_CNG,係数_バス貨物_軽油,係数_バス貨物_メタノール,係数_バス貨物_LPG),MATCH(AY635,【参考】排出係数!$AI$4:$AI$671,1),1,BE635):INDEX((係数_バス貨物_ガソリン,係数_バス貨物_CNG,係数_バス貨物_軽油,係数_バス貨物_メタノール,係数_バス貨物_LPG),MATCH(AY635+1,【参考】排出係数!$AI$4:$AI$671,1)-1,5,BE635),4,FALSE)),IF(AND(BE635=3,LEFT(BF635,1)="1"),0.48,VLOOKUP(AU635,INDEX((係数_乗用_ガソリン,係数_乗用_CNG,係数_乗用_軽油,係数_乗用_メタノール,係数_乗用_LPG),1,1,BE635):INDEX((係数_乗用_ガソリン,係数_乗用_CNG,係数_乗用_軽油,係数_乗用_メタノール,係数_乗用_LPG),125,5,BE635),4,FALSE)))))</f>
        <v/>
      </c>
      <c r="AL635" s="461" t="str">
        <f t="shared" si="361"/>
        <v/>
      </c>
      <c r="AM635" s="460" t="str">
        <f>IF(AU635="","",IF(OR(AZ635=8,AZ635=9),0,IF(OR(AW635=3,AW635=4,AW635=5,AW635=6),IF(LEFT(BH635,1)="1",INDEX(係数_PM低減,MATCH(AY635,【参考】排出係数!$AI$801:$AI$804,1),MATCH(BI635,【参考】排出係数!$AL$798:$AO$798,1)),VLOOKUP(AU635,INDEX((係数_バス貨物_ガソリン,係数_バス貨物_CNG,係数_バス貨物_軽油,係数_バス貨物_メタノール,係数_バス貨物_LPG),MATCH(AY635,【参考】排出係数!$AI$4:$AI$671,1),1,BE635):INDEX((係数_バス貨物_ガソリン,係数_バス貨物_CNG,係数_バス貨物_軽油,係数_バス貨物_メタノール,係数_バス貨物_LPG),MATCH(AY635+1,【参考】排出係数!$AI$4:$AI$671,1)-1,5,BE635),5,FALSE)),IF(AND(BE635=3,LEFT(BF635,1)="1"),0.055,VLOOKUP(AU635,INDEX((係数_乗用_ガソリン,係数_乗用_CNG,係数_乗用_軽油,係数_乗用_メタノール,係数_乗用_LPG),1,1,BE635):INDEX((係数_乗用_ガソリン,係数_乗用_CNG,係数_乗用_軽油,係数_乗用_メタノール,係数_乗用_LPG),125,5,BE635),5,FALSE)))))</f>
        <v/>
      </c>
      <c r="AN635" s="461" t="str">
        <f t="shared" si="362"/>
        <v/>
      </c>
      <c r="AO635" s="462" t="str">
        <f t="shared" si="363"/>
        <v/>
      </c>
      <c r="AP635" s="463" t="str">
        <f t="shared" si="364"/>
        <v/>
      </c>
      <c r="AQ635" s="464"/>
      <c r="AR635" s="619"/>
      <c r="AS635" s="465" t="str">
        <f t="shared" si="366"/>
        <v/>
      </c>
      <c r="AT635" s="465" t="str">
        <f t="shared" si="367"/>
        <v/>
      </c>
      <c r="AU635" s="466" t="str">
        <f t="shared" si="368"/>
        <v/>
      </c>
      <c r="AV635" s="467" t="str">
        <f t="shared" si="369"/>
        <v/>
      </c>
      <c r="AW635" s="467" t="str">
        <f t="shared" si="370"/>
        <v/>
      </c>
      <c r="AX635" s="467" t="str">
        <f t="shared" si="371"/>
        <v/>
      </c>
      <c r="AY635" s="467" t="str">
        <f t="shared" si="372"/>
        <v/>
      </c>
      <c r="AZ635" s="467" t="str">
        <f t="shared" si="373"/>
        <v/>
      </c>
      <c r="BA635" s="468" t="str">
        <f>IF(AS635="","",IF(OR(AU635="",AU635="-"),"－",IF(OR(AZ635=8,AZ635=9),"",IF(OR(AW635=3,AW635=4,AW635=5,AW635=6),VLOOKUP(AU635,INDEX((係数_バス貨物_ガソリン,係数_バス貨物_CNG,係数_バス貨物_軽油,係数_バス貨物_メタノール,係数_バス貨物_LPG),MATCH(AY635,【参考】排出係数!$AI$4:$AI$671,1),1,BE635):INDEX((係数_バス貨物_ガソリン,係数_バス貨物_CNG,係数_バス貨物_軽油,係数_バス貨物_メタノール,係数_バス貨物_LPG),MATCH(AY635+1,【参考】排出係数!$AI$4:$AI$671,1)-1,5,BE635),2,FALSE),IF(OR(AW635=1,AW635=2),VLOOKUP(AU635,INDEX((係数_乗用_ガソリン,係数_乗用_CNG,係数_乗用_軽油,係数_乗用_メタノール,係数_乗用_LPG),1,1,BE635):INDEX((係数_乗用_ガソリン,係数_乗用_CNG,係数_乗用_軽油,係数_乗用_メタノール,係数_乗用_LPG),125,5,BE635),2,FALSE))))))</f>
        <v/>
      </c>
      <c r="BB635" s="468" t="str">
        <f>IF(T635="","",IF(OR(AU635="",AU635="-"),"－",IF(OR(AZ635=8,AZ635=9),"",IF(OR(AW635=3,AW635=4,AW635=5,AW635=6),VLOOKUP(AU635,INDEX((係数_バス貨物_ガソリン,係数_バス貨物_CNG,係数_バス貨物_軽油,係数_バス貨物_メタノール,係数_バス貨物_LPG),MATCH(AY635,【参考】排出係数!$AI$4:$AI$671,1),1,BE635):INDEX((係数_バス貨物_ガソリン,係数_バス貨物_CNG,係数_バス貨物_軽油,係数_バス貨物_メタノール,係数_バス貨物_LPG),MATCH(AY635+1,【参考】排出係数!$AI$4:$AI$671,1)-1,5,BE635),3,FALSE),IF(OR(AW635=1,AW635=2),VLOOKUP(AU635,INDEX((係数_乗用_ガソリン,係数_乗用_CNG,係数_乗用_軽油,係数_乗用_メタノール,係数_乗用_LPG),1,1,BE635):INDEX((係数_乗用_ガソリン,係数_乗用_CNG,係数_乗用_軽油,係数_乗用_メタノール,係数_乗用_LPG),125,5,BE635),3,FALSE))))))</f>
        <v/>
      </c>
      <c r="BC635" s="467" t="str">
        <f t="shared" si="374"/>
        <v/>
      </c>
      <c r="BD635" s="567" t="str">
        <f t="shared" si="375"/>
        <v/>
      </c>
      <c r="BE635" s="467" t="str">
        <f t="shared" si="376"/>
        <v/>
      </c>
      <c r="BF635" s="469" t="str">
        <f t="shared" ca="1" si="377"/>
        <v/>
      </c>
      <c r="BG635" s="469" t="str">
        <f t="shared" ca="1" si="378"/>
        <v/>
      </c>
      <c r="BH635" s="467" t="str">
        <f t="shared" si="379"/>
        <v/>
      </c>
      <c r="BI635" s="467" t="str">
        <f t="shared" ca="1" si="380"/>
        <v/>
      </c>
      <c r="BJ635" s="469" t="str">
        <f t="shared" si="381"/>
        <v/>
      </c>
      <c r="BK635" s="470" t="str">
        <f t="shared" si="365"/>
        <v/>
      </c>
      <c r="BL635" s="775" t="str">
        <f t="shared" si="382"/>
        <v/>
      </c>
      <c r="BM635" s="775" t="str">
        <f t="shared" si="383"/>
        <v/>
      </c>
    </row>
    <row r="636" spans="1:65">
      <c r="A636" s="473">
        <v>580</v>
      </c>
      <c r="B636" s="132"/>
      <c r="C636" s="332"/>
      <c r="D636" s="333"/>
      <c r="E636" s="333"/>
      <c r="F636" s="334"/>
      <c r="G636" s="337"/>
      <c r="H636" s="131"/>
      <c r="I636" s="337"/>
      <c r="J636" s="131"/>
      <c r="K636" s="458" t="str">
        <f t="shared" si="352"/>
        <v/>
      </c>
      <c r="L636" s="458">
        <f t="shared" si="353"/>
        <v>0</v>
      </c>
      <c r="M636" s="458">
        <f t="shared" si="354"/>
        <v>0</v>
      </c>
      <c r="N636" s="459" t="str">
        <f t="shared" si="283"/>
        <v/>
      </c>
      <c r="O636" s="459" t="str">
        <f t="shared" si="284"/>
        <v/>
      </c>
      <c r="P636" s="459" t="str">
        <f t="shared" si="285"/>
        <v/>
      </c>
      <c r="Q636" s="459" t="str">
        <f t="shared" si="286"/>
        <v/>
      </c>
      <c r="R636" s="459" t="str">
        <f t="shared" si="287"/>
        <v/>
      </c>
      <c r="S636" s="459" t="str">
        <f t="shared" si="288"/>
        <v/>
      </c>
      <c r="T636" s="566" t="str">
        <f t="shared" si="355"/>
        <v/>
      </c>
      <c r="U636" s="702"/>
      <c r="V636" s="132"/>
      <c r="W636" s="133"/>
      <c r="X636" s="134"/>
      <c r="Y636" s="135"/>
      <c r="Z636" s="137"/>
      <c r="AA636" s="136"/>
      <c r="AB636" s="566" t="str">
        <f t="shared" si="356"/>
        <v/>
      </c>
      <c r="AC636" s="568" t="str">
        <f t="shared" si="357"/>
        <v/>
      </c>
      <c r="AD636" s="137"/>
      <c r="AE636" s="137"/>
      <c r="AF636" s="138"/>
      <c r="AG636" s="138"/>
      <c r="AH636" s="592" t="str">
        <f t="shared" si="358"/>
        <v/>
      </c>
      <c r="AI636" s="592" t="str">
        <f t="shared" si="359"/>
        <v/>
      </c>
      <c r="AJ636" s="592" t="str">
        <f t="shared" si="360"/>
        <v/>
      </c>
      <c r="AK636" s="460" t="str">
        <f>IF(AU636="","",IF(OR(AZ636=8,AZ636=9),0,IF(OR(AW636=3,AW636=4,AW636=5,AW636=6),IF(LEFT(BF636,1)="1",INDEX(係数_NOX・PM低減,MATCH(AY636,【参考】排出係数!$AI$801:$AI$804,1),1),VLOOKUP(AU636,INDEX((係数_バス貨物_ガソリン,係数_バス貨物_CNG,係数_バス貨物_軽油,係数_バス貨物_メタノール,係数_バス貨物_LPG),MATCH(AY636,【参考】排出係数!$AI$4:$AI$671,1),1,BE636):INDEX((係数_バス貨物_ガソリン,係数_バス貨物_CNG,係数_バス貨物_軽油,係数_バス貨物_メタノール,係数_バス貨物_LPG),MATCH(AY636+1,【参考】排出係数!$AI$4:$AI$671,1)-1,5,BE636),4,FALSE)),IF(AND(BE636=3,LEFT(BF636,1)="1"),0.48,VLOOKUP(AU636,INDEX((係数_乗用_ガソリン,係数_乗用_CNG,係数_乗用_軽油,係数_乗用_メタノール,係数_乗用_LPG),1,1,BE636):INDEX((係数_乗用_ガソリン,係数_乗用_CNG,係数_乗用_軽油,係数_乗用_メタノール,係数_乗用_LPG),125,5,BE636),4,FALSE)))))</f>
        <v/>
      </c>
      <c r="AL636" s="461" t="str">
        <f t="shared" si="361"/>
        <v/>
      </c>
      <c r="AM636" s="460" t="str">
        <f>IF(AU636="","",IF(OR(AZ636=8,AZ636=9),0,IF(OR(AW636=3,AW636=4,AW636=5,AW636=6),IF(LEFT(BH636,1)="1",INDEX(係数_PM低減,MATCH(AY636,【参考】排出係数!$AI$801:$AI$804,1),MATCH(BI636,【参考】排出係数!$AL$798:$AO$798,1)),VLOOKUP(AU636,INDEX((係数_バス貨物_ガソリン,係数_バス貨物_CNG,係数_バス貨物_軽油,係数_バス貨物_メタノール,係数_バス貨物_LPG),MATCH(AY636,【参考】排出係数!$AI$4:$AI$671,1),1,BE636):INDEX((係数_バス貨物_ガソリン,係数_バス貨物_CNG,係数_バス貨物_軽油,係数_バス貨物_メタノール,係数_バス貨物_LPG),MATCH(AY636+1,【参考】排出係数!$AI$4:$AI$671,1)-1,5,BE636),5,FALSE)),IF(AND(BE636=3,LEFT(BF636,1)="1"),0.055,VLOOKUP(AU636,INDEX((係数_乗用_ガソリン,係数_乗用_CNG,係数_乗用_軽油,係数_乗用_メタノール,係数_乗用_LPG),1,1,BE636):INDEX((係数_乗用_ガソリン,係数_乗用_CNG,係数_乗用_軽油,係数_乗用_メタノール,係数_乗用_LPG),125,5,BE636),5,FALSE)))))</f>
        <v/>
      </c>
      <c r="AN636" s="461" t="str">
        <f t="shared" si="362"/>
        <v/>
      </c>
      <c r="AO636" s="462" t="str">
        <f t="shared" si="363"/>
        <v/>
      </c>
      <c r="AP636" s="463" t="str">
        <f t="shared" si="364"/>
        <v/>
      </c>
      <c r="AQ636" s="464"/>
      <c r="AR636" s="619"/>
      <c r="AS636" s="465" t="str">
        <f t="shared" si="366"/>
        <v/>
      </c>
      <c r="AT636" s="465" t="str">
        <f t="shared" si="367"/>
        <v/>
      </c>
      <c r="AU636" s="466" t="str">
        <f t="shared" si="368"/>
        <v/>
      </c>
      <c r="AV636" s="467" t="str">
        <f t="shared" si="369"/>
        <v/>
      </c>
      <c r="AW636" s="467" t="str">
        <f t="shared" si="370"/>
        <v/>
      </c>
      <c r="AX636" s="467" t="str">
        <f t="shared" si="371"/>
        <v/>
      </c>
      <c r="AY636" s="467" t="str">
        <f t="shared" si="372"/>
        <v/>
      </c>
      <c r="AZ636" s="467" t="str">
        <f t="shared" si="373"/>
        <v/>
      </c>
      <c r="BA636" s="468" t="str">
        <f>IF(AS636="","",IF(OR(AU636="",AU636="-"),"－",IF(OR(AZ636=8,AZ636=9),"",IF(OR(AW636=3,AW636=4,AW636=5,AW636=6),VLOOKUP(AU636,INDEX((係数_バス貨物_ガソリン,係数_バス貨物_CNG,係数_バス貨物_軽油,係数_バス貨物_メタノール,係数_バス貨物_LPG),MATCH(AY636,【参考】排出係数!$AI$4:$AI$671,1),1,BE636):INDEX((係数_バス貨物_ガソリン,係数_バス貨物_CNG,係数_バス貨物_軽油,係数_バス貨物_メタノール,係数_バス貨物_LPG),MATCH(AY636+1,【参考】排出係数!$AI$4:$AI$671,1)-1,5,BE636),2,FALSE),IF(OR(AW636=1,AW636=2),VLOOKUP(AU636,INDEX((係数_乗用_ガソリン,係数_乗用_CNG,係数_乗用_軽油,係数_乗用_メタノール,係数_乗用_LPG),1,1,BE636):INDEX((係数_乗用_ガソリン,係数_乗用_CNG,係数_乗用_軽油,係数_乗用_メタノール,係数_乗用_LPG),125,5,BE636),2,FALSE))))))</f>
        <v/>
      </c>
      <c r="BB636" s="468" t="str">
        <f>IF(T636="","",IF(OR(AU636="",AU636="-"),"－",IF(OR(AZ636=8,AZ636=9),"",IF(OR(AW636=3,AW636=4,AW636=5,AW636=6),VLOOKUP(AU636,INDEX((係数_バス貨物_ガソリン,係数_バス貨物_CNG,係数_バス貨物_軽油,係数_バス貨物_メタノール,係数_バス貨物_LPG),MATCH(AY636,【参考】排出係数!$AI$4:$AI$671,1),1,BE636):INDEX((係数_バス貨物_ガソリン,係数_バス貨物_CNG,係数_バス貨物_軽油,係数_バス貨物_メタノール,係数_バス貨物_LPG),MATCH(AY636+1,【参考】排出係数!$AI$4:$AI$671,1)-1,5,BE636),3,FALSE),IF(OR(AW636=1,AW636=2),VLOOKUP(AU636,INDEX((係数_乗用_ガソリン,係数_乗用_CNG,係数_乗用_軽油,係数_乗用_メタノール,係数_乗用_LPG),1,1,BE636):INDEX((係数_乗用_ガソリン,係数_乗用_CNG,係数_乗用_軽油,係数_乗用_メタノール,係数_乗用_LPG),125,5,BE636),3,FALSE))))))</f>
        <v/>
      </c>
      <c r="BC636" s="467" t="str">
        <f t="shared" si="374"/>
        <v/>
      </c>
      <c r="BD636" s="567" t="str">
        <f t="shared" si="375"/>
        <v/>
      </c>
      <c r="BE636" s="467" t="str">
        <f t="shared" si="376"/>
        <v/>
      </c>
      <c r="BF636" s="469" t="str">
        <f t="shared" ca="1" si="377"/>
        <v/>
      </c>
      <c r="BG636" s="469" t="str">
        <f t="shared" ca="1" si="378"/>
        <v/>
      </c>
      <c r="BH636" s="467" t="str">
        <f t="shared" si="379"/>
        <v/>
      </c>
      <c r="BI636" s="467" t="str">
        <f t="shared" ca="1" si="380"/>
        <v/>
      </c>
      <c r="BJ636" s="469" t="str">
        <f t="shared" si="381"/>
        <v/>
      </c>
      <c r="BK636" s="470" t="str">
        <f t="shared" si="365"/>
        <v/>
      </c>
      <c r="BL636" s="775" t="str">
        <f t="shared" si="382"/>
        <v/>
      </c>
      <c r="BM636" s="775" t="str">
        <f t="shared" si="383"/>
        <v/>
      </c>
    </row>
    <row r="637" spans="1:65">
      <c r="A637" s="473">
        <v>581</v>
      </c>
      <c r="B637" s="132"/>
      <c r="C637" s="332"/>
      <c r="D637" s="333"/>
      <c r="E637" s="333"/>
      <c r="F637" s="334"/>
      <c r="G637" s="337"/>
      <c r="H637" s="131"/>
      <c r="I637" s="337"/>
      <c r="J637" s="131"/>
      <c r="K637" s="458" t="str">
        <f t="shared" si="352"/>
        <v/>
      </c>
      <c r="L637" s="458">
        <f t="shared" si="353"/>
        <v>0</v>
      </c>
      <c r="M637" s="458">
        <f t="shared" si="354"/>
        <v>0</v>
      </c>
      <c r="N637" s="459" t="str">
        <f t="shared" si="283"/>
        <v/>
      </c>
      <c r="O637" s="459" t="str">
        <f t="shared" si="284"/>
        <v/>
      </c>
      <c r="P637" s="459" t="str">
        <f t="shared" si="285"/>
        <v/>
      </c>
      <c r="Q637" s="459" t="str">
        <f t="shared" si="286"/>
        <v/>
      </c>
      <c r="R637" s="459" t="str">
        <f t="shared" si="287"/>
        <v/>
      </c>
      <c r="S637" s="459" t="str">
        <f t="shared" si="288"/>
        <v/>
      </c>
      <c r="T637" s="566" t="str">
        <f t="shared" si="355"/>
        <v/>
      </c>
      <c r="U637" s="702"/>
      <c r="V637" s="132"/>
      <c r="W637" s="133"/>
      <c r="X637" s="134"/>
      <c r="Y637" s="135"/>
      <c r="Z637" s="137"/>
      <c r="AA637" s="136"/>
      <c r="AB637" s="566" t="str">
        <f t="shared" si="356"/>
        <v/>
      </c>
      <c r="AC637" s="568" t="str">
        <f t="shared" si="357"/>
        <v/>
      </c>
      <c r="AD637" s="137"/>
      <c r="AE637" s="137"/>
      <c r="AF637" s="138"/>
      <c r="AG637" s="138"/>
      <c r="AH637" s="592" t="str">
        <f t="shared" si="358"/>
        <v/>
      </c>
      <c r="AI637" s="592" t="str">
        <f t="shared" si="359"/>
        <v/>
      </c>
      <c r="AJ637" s="592" t="str">
        <f t="shared" si="360"/>
        <v/>
      </c>
      <c r="AK637" s="460" t="str">
        <f>IF(AU637="","",IF(OR(AZ637=8,AZ637=9),0,IF(OR(AW637=3,AW637=4,AW637=5,AW637=6),IF(LEFT(BF637,1)="1",INDEX(係数_NOX・PM低減,MATCH(AY637,【参考】排出係数!$AI$801:$AI$804,1),1),VLOOKUP(AU637,INDEX((係数_バス貨物_ガソリン,係数_バス貨物_CNG,係数_バス貨物_軽油,係数_バス貨物_メタノール,係数_バス貨物_LPG),MATCH(AY637,【参考】排出係数!$AI$4:$AI$671,1),1,BE637):INDEX((係数_バス貨物_ガソリン,係数_バス貨物_CNG,係数_バス貨物_軽油,係数_バス貨物_メタノール,係数_バス貨物_LPG),MATCH(AY637+1,【参考】排出係数!$AI$4:$AI$671,1)-1,5,BE637),4,FALSE)),IF(AND(BE637=3,LEFT(BF637,1)="1"),0.48,VLOOKUP(AU637,INDEX((係数_乗用_ガソリン,係数_乗用_CNG,係数_乗用_軽油,係数_乗用_メタノール,係数_乗用_LPG),1,1,BE637):INDEX((係数_乗用_ガソリン,係数_乗用_CNG,係数_乗用_軽油,係数_乗用_メタノール,係数_乗用_LPG),125,5,BE637),4,FALSE)))))</f>
        <v/>
      </c>
      <c r="AL637" s="461" t="str">
        <f t="shared" si="361"/>
        <v/>
      </c>
      <c r="AM637" s="460" t="str">
        <f>IF(AU637="","",IF(OR(AZ637=8,AZ637=9),0,IF(OR(AW637=3,AW637=4,AW637=5,AW637=6),IF(LEFT(BH637,1)="1",INDEX(係数_PM低減,MATCH(AY637,【参考】排出係数!$AI$801:$AI$804,1),MATCH(BI637,【参考】排出係数!$AL$798:$AO$798,1)),VLOOKUP(AU637,INDEX((係数_バス貨物_ガソリン,係数_バス貨物_CNG,係数_バス貨物_軽油,係数_バス貨物_メタノール,係数_バス貨物_LPG),MATCH(AY637,【参考】排出係数!$AI$4:$AI$671,1),1,BE637):INDEX((係数_バス貨物_ガソリン,係数_バス貨物_CNG,係数_バス貨物_軽油,係数_バス貨物_メタノール,係数_バス貨物_LPG),MATCH(AY637+1,【参考】排出係数!$AI$4:$AI$671,1)-1,5,BE637),5,FALSE)),IF(AND(BE637=3,LEFT(BF637,1)="1"),0.055,VLOOKUP(AU637,INDEX((係数_乗用_ガソリン,係数_乗用_CNG,係数_乗用_軽油,係数_乗用_メタノール,係数_乗用_LPG),1,1,BE637):INDEX((係数_乗用_ガソリン,係数_乗用_CNG,係数_乗用_軽油,係数_乗用_メタノール,係数_乗用_LPG),125,5,BE637),5,FALSE)))))</f>
        <v/>
      </c>
      <c r="AN637" s="461" t="str">
        <f t="shared" si="362"/>
        <v/>
      </c>
      <c r="AO637" s="462" t="str">
        <f t="shared" si="363"/>
        <v/>
      </c>
      <c r="AP637" s="463" t="str">
        <f t="shared" si="364"/>
        <v/>
      </c>
      <c r="AQ637" s="464"/>
      <c r="AR637" s="619"/>
      <c r="AS637" s="465" t="str">
        <f t="shared" si="366"/>
        <v/>
      </c>
      <c r="AT637" s="465" t="str">
        <f t="shared" si="367"/>
        <v/>
      </c>
      <c r="AU637" s="466" t="str">
        <f t="shared" si="368"/>
        <v/>
      </c>
      <c r="AV637" s="467" t="str">
        <f t="shared" si="369"/>
        <v/>
      </c>
      <c r="AW637" s="467" t="str">
        <f t="shared" si="370"/>
        <v/>
      </c>
      <c r="AX637" s="467" t="str">
        <f t="shared" si="371"/>
        <v/>
      </c>
      <c r="AY637" s="467" t="str">
        <f t="shared" si="372"/>
        <v/>
      </c>
      <c r="AZ637" s="467" t="str">
        <f t="shared" si="373"/>
        <v/>
      </c>
      <c r="BA637" s="468" t="str">
        <f>IF(AS637="","",IF(OR(AU637="",AU637="-"),"－",IF(OR(AZ637=8,AZ637=9),"",IF(OR(AW637=3,AW637=4,AW637=5,AW637=6),VLOOKUP(AU637,INDEX((係数_バス貨物_ガソリン,係数_バス貨物_CNG,係数_バス貨物_軽油,係数_バス貨物_メタノール,係数_バス貨物_LPG),MATCH(AY637,【参考】排出係数!$AI$4:$AI$671,1),1,BE637):INDEX((係数_バス貨物_ガソリン,係数_バス貨物_CNG,係数_バス貨物_軽油,係数_バス貨物_メタノール,係数_バス貨物_LPG),MATCH(AY637+1,【参考】排出係数!$AI$4:$AI$671,1)-1,5,BE637),2,FALSE),IF(OR(AW637=1,AW637=2),VLOOKUP(AU637,INDEX((係数_乗用_ガソリン,係数_乗用_CNG,係数_乗用_軽油,係数_乗用_メタノール,係数_乗用_LPG),1,1,BE637):INDEX((係数_乗用_ガソリン,係数_乗用_CNG,係数_乗用_軽油,係数_乗用_メタノール,係数_乗用_LPG),125,5,BE637),2,FALSE))))))</f>
        <v/>
      </c>
      <c r="BB637" s="468" t="str">
        <f>IF(T637="","",IF(OR(AU637="",AU637="-"),"－",IF(OR(AZ637=8,AZ637=9),"",IF(OR(AW637=3,AW637=4,AW637=5,AW637=6),VLOOKUP(AU637,INDEX((係数_バス貨物_ガソリン,係数_バス貨物_CNG,係数_バス貨物_軽油,係数_バス貨物_メタノール,係数_バス貨物_LPG),MATCH(AY637,【参考】排出係数!$AI$4:$AI$671,1),1,BE637):INDEX((係数_バス貨物_ガソリン,係数_バス貨物_CNG,係数_バス貨物_軽油,係数_バス貨物_メタノール,係数_バス貨物_LPG),MATCH(AY637+1,【参考】排出係数!$AI$4:$AI$671,1)-1,5,BE637),3,FALSE),IF(OR(AW637=1,AW637=2),VLOOKUP(AU637,INDEX((係数_乗用_ガソリン,係数_乗用_CNG,係数_乗用_軽油,係数_乗用_メタノール,係数_乗用_LPG),1,1,BE637):INDEX((係数_乗用_ガソリン,係数_乗用_CNG,係数_乗用_軽油,係数_乗用_メタノール,係数_乗用_LPG),125,5,BE637),3,FALSE))))))</f>
        <v/>
      </c>
      <c r="BC637" s="467" t="str">
        <f t="shared" si="374"/>
        <v/>
      </c>
      <c r="BD637" s="567" t="str">
        <f t="shared" si="375"/>
        <v/>
      </c>
      <c r="BE637" s="467" t="str">
        <f t="shared" si="376"/>
        <v/>
      </c>
      <c r="BF637" s="469" t="str">
        <f t="shared" ca="1" si="377"/>
        <v/>
      </c>
      <c r="BG637" s="469" t="str">
        <f t="shared" ca="1" si="378"/>
        <v/>
      </c>
      <c r="BH637" s="467" t="str">
        <f t="shared" si="379"/>
        <v/>
      </c>
      <c r="BI637" s="467" t="str">
        <f t="shared" ca="1" si="380"/>
        <v/>
      </c>
      <c r="BJ637" s="469" t="str">
        <f t="shared" si="381"/>
        <v/>
      </c>
      <c r="BK637" s="470" t="str">
        <f t="shared" si="365"/>
        <v/>
      </c>
      <c r="BL637" s="775" t="str">
        <f t="shared" si="382"/>
        <v/>
      </c>
      <c r="BM637" s="775" t="str">
        <f t="shared" si="383"/>
        <v/>
      </c>
    </row>
    <row r="638" spans="1:65">
      <c r="A638" s="473">
        <v>582</v>
      </c>
      <c r="B638" s="132"/>
      <c r="C638" s="332"/>
      <c r="D638" s="333"/>
      <c r="E638" s="333"/>
      <c r="F638" s="334"/>
      <c r="G638" s="337"/>
      <c r="H638" s="131"/>
      <c r="I638" s="337"/>
      <c r="J638" s="131"/>
      <c r="K638" s="458" t="str">
        <f t="shared" si="352"/>
        <v/>
      </c>
      <c r="L638" s="458">
        <f t="shared" si="353"/>
        <v>0</v>
      </c>
      <c r="M638" s="458">
        <f t="shared" si="354"/>
        <v>0</v>
      </c>
      <c r="N638" s="459" t="str">
        <f t="shared" si="283"/>
        <v/>
      </c>
      <c r="O638" s="459" t="str">
        <f t="shared" si="284"/>
        <v/>
      </c>
      <c r="P638" s="459" t="str">
        <f t="shared" si="285"/>
        <v/>
      </c>
      <c r="Q638" s="459" t="str">
        <f t="shared" si="286"/>
        <v/>
      </c>
      <c r="R638" s="459" t="str">
        <f t="shared" si="287"/>
        <v/>
      </c>
      <c r="S638" s="459" t="str">
        <f t="shared" si="288"/>
        <v/>
      </c>
      <c r="T638" s="566" t="str">
        <f t="shared" si="355"/>
        <v/>
      </c>
      <c r="U638" s="702"/>
      <c r="V638" s="132"/>
      <c r="W638" s="133"/>
      <c r="X638" s="134"/>
      <c r="Y638" s="135"/>
      <c r="Z638" s="137"/>
      <c r="AA638" s="136"/>
      <c r="AB638" s="566" t="str">
        <f t="shared" si="356"/>
        <v/>
      </c>
      <c r="AC638" s="568" t="str">
        <f t="shared" si="357"/>
        <v/>
      </c>
      <c r="AD638" s="137"/>
      <c r="AE638" s="137"/>
      <c r="AF638" s="138"/>
      <c r="AG638" s="138"/>
      <c r="AH638" s="592" t="str">
        <f t="shared" si="358"/>
        <v/>
      </c>
      <c r="AI638" s="592" t="str">
        <f t="shared" si="359"/>
        <v/>
      </c>
      <c r="AJ638" s="592" t="str">
        <f t="shared" si="360"/>
        <v/>
      </c>
      <c r="AK638" s="460" t="str">
        <f>IF(AU638="","",IF(OR(AZ638=8,AZ638=9),0,IF(OR(AW638=3,AW638=4,AW638=5,AW638=6),IF(LEFT(BF638,1)="1",INDEX(係数_NOX・PM低減,MATCH(AY638,【参考】排出係数!$AI$801:$AI$804,1),1),VLOOKUP(AU638,INDEX((係数_バス貨物_ガソリン,係数_バス貨物_CNG,係数_バス貨物_軽油,係数_バス貨物_メタノール,係数_バス貨物_LPG),MATCH(AY638,【参考】排出係数!$AI$4:$AI$671,1),1,BE638):INDEX((係数_バス貨物_ガソリン,係数_バス貨物_CNG,係数_バス貨物_軽油,係数_バス貨物_メタノール,係数_バス貨物_LPG),MATCH(AY638+1,【参考】排出係数!$AI$4:$AI$671,1)-1,5,BE638),4,FALSE)),IF(AND(BE638=3,LEFT(BF638,1)="1"),0.48,VLOOKUP(AU638,INDEX((係数_乗用_ガソリン,係数_乗用_CNG,係数_乗用_軽油,係数_乗用_メタノール,係数_乗用_LPG),1,1,BE638):INDEX((係数_乗用_ガソリン,係数_乗用_CNG,係数_乗用_軽油,係数_乗用_メタノール,係数_乗用_LPG),125,5,BE638),4,FALSE)))))</f>
        <v/>
      </c>
      <c r="AL638" s="461" t="str">
        <f t="shared" si="361"/>
        <v/>
      </c>
      <c r="AM638" s="460" t="str">
        <f>IF(AU638="","",IF(OR(AZ638=8,AZ638=9),0,IF(OR(AW638=3,AW638=4,AW638=5,AW638=6),IF(LEFT(BH638,1)="1",INDEX(係数_PM低減,MATCH(AY638,【参考】排出係数!$AI$801:$AI$804,1),MATCH(BI638,【参考】排出係数!$AL$798:$AO$798,1)),VLOOKUP(AU638,INDEX((係数_バス貨物_ガソリン,係数_バス貨物_CNG,係数_バス貨物_軽油,係数_バス貨物_メタノール,係数_バス貨物_LPG),MATCH(AY638,【参考】排出係数!$AI$4:$AI$671,1),1,BE638):INDEX((係数_バス貨物_ガソリン,係数_バス貨物_CNG,係数_バス貨物_軽油,係数_バス貨物_メタノール,係数_バス貨物_LPG),MATCH(AY638+1,【参考】排出係数!$AI$4:$AI$671,1)-1,5,BE638),5,FALSE)),IF(AND(BE638=3,LEFT(BF638,1)="1"),0.055,VLOOKUP(AU638,INDEX((係数_乗用_ガソリン,係数_乗用_CNG,係数_乗用_軽油,係数_乗用_メタノール,係数_乗用_LPG),1,1,BE638):INDEX((係数_乗用_ガソリン,係数_乗用_CNG,係数_乗用_軽油,係数_乗用_メタノール,係数_乗用_LPG),125,5,BE638),5,FALSE)))))</f>
        <v/>
      </c>
      <c r="AN638" s="461" t="str">
        <f t="shared" si="362"/>
        <v/>
      </c>
      <c r="AO638" s="462" t="str">
        <f t="shared" si="363"/>
        <v/>
      </c>
      <c r="AP638" s="463" t="str">
        <f t="shared" si="364"/>
        <v/>
      </c>
      <c r="AQ638" s="464"/>
      <c r="AR638" s="619"/>
      <c r="AS638" s="465" t="str">
        <f t="shared" si="366"/>
        <v/>
      </c>
      <c r="AT638" s="465" t="str">
        <f t="shared" si="367"/>
        <v/>
      </c>
      <c r="AU638" s="466" t="str">
        <f t="shared" si="368"/>
        <v/>
      </c>
      <c r="AV638" s="467" t="str">
        <f t="shared" si="369"/>
        <v/>
      </c>
      <c r="AW638" s="467" t="str">
        <f t="shared" si="370"/>
        <v/>
      </c>
      <c r="AX638" s="467" t="str">
        <f t="shared" si="371"/>
        <v/>
      </c>
      <c r="AY638" s="467" t="str">
        <f t="shared" si="372"/>
        <v/>
      </c>
      <c r="AZ638" s="467" t="str">
        <f t="shared" si="373"/>
        <v/>
      </c>
      <c r="BA638" s="468" t="str">
        <f>IF(AS638="","",IF(OR(AU638="",AU638="-"),"－",IF(OR(AZ638=8,AZ638=9),"",IF(OR(AW638=3,AW638=4,AW638=5,AW638=6),VLOOKUP(AU638,INDEX((係数_バス貨物_ガソリン,係数_バス貨物_CNG,係数_バス貨物_軽油,係数_バス貨物_メタノール,係数_バス貨物_LPG),MATCH(AY638,【参考】排出係数!$AI$4:$AI$671,1),1,BE638):INDEX((係数_バス貨物_ガソリン,係数_バス貨物_CNG,係数_バス貨物_軽油,係数_バス貨物_メタノール,係数_バス貨物_LPG),MATCH(AY638+1,【参考】排出係数!$AI$4:$AI$671,1)-1,5,BE638),2,FALSE),IF(OR(AW638=1,AW638=2),VLOOKUP(AU638,INDEX((係数_乗用_ガソリン,係数_乗用_CNG,係数_乗用_軽油,係数_乗用_メタノール,係数_乗用_LPG),1,1,BE638):INDEX((係数_乗用_ガソリン,係数_乗用_CNG,係数_乗用_軽油,係数_乗用_メタノール,係数_乗用_LPG),125,5,BE638),2,FALSE))))))</f>
        <v/>
      </c>
      <c r="BB638" s="468" t="str">
        <f>IF(T638="","",IF(OR(AU638="",AU638="-"),"－",IF(OR(AZ638=8,AZ638=9),"",IF(OR(AW638=3,AW638=4,AW638=5,AW638=6),VLOOKUP(AU638,INDEX((係数_バス貨物_ガソリン,係数_バス貨物_CNG,係数_バス貨物_軽油,係数_バス貨物_メタノール,係数_バス貨物_LPG),MATCH(AY638,【参考】排出係数!$AI$4:$AI$671,1),1,BE638):INDEX((係数_バス貨物_ガソリン,係数_バス貨物_CNG,係数_バス貨物_軽油,係数_バス貨物_メタノール,係数_バス貨物_LPG),MATCH(AY638+1,【参考】排出係数!$AI$4:$AI$671,1)-1,5,BE638),3,FALSE),IF(OR(AW638=1,AW638=2),VLOOKUP(AU638,INDEX((係数_乗用_ガソリン,係数_乗用_CNG,係数_乗用_軽油,係数_乗用_メタノール,係数_乗用_LPG),1,1,BE638):INDEX((係数_乗用_ガソリン,係数_乗用_CNG,係数_乗用_軽油,係数_乗用_メタノール,係数_乗用_LPG),125,5,BE638),3,FALSE))))))</f>
        <v/>
      </c>
      <c r="BC638" s="467" t="str">
        <f t="shared" si="374"/>
        <v/>
      </c>
      <c r="BD638" s="567" t="str">
        <f t="shared" si="375"/>
        <v/>
      </c>
      <c r="BE638" s="467" t="str">
        <f t="shared" si="376"/>
        <v/>
      </c>
      <c r="BF638" s="469" t="str">
        <f t="shared" ca="1" si="377"/>
        <v/>
      </c>
      <c r="BG638" s="469" t="str">
        <f t="shared" ca="1" si="378"/>
        <v/>
      </c>
      <c r="BH638" s="467" t="str">
        <f t="shared" si="379"/>
        <v/>
      </c>
      <c r="BI638" s="467" t="str">
        <f t="shared" ca="1" si="380"/>
        <v/>
      </c>
      <c r="BJ638" s="469" t="str">
        <f t="shared" si="381"/>
        <v/>
      </c>
      <c r="BK638" s="470" t="str">
        <f t="shared" si="365"/>
        <v/>
      </c>
      <c r="BL638" s="775" t="str">
        <f t="shared" si="382"/>
        <v/>
      </c>
      <c r="BM638" s="775" t="str">
        <f t="shared" si="383"/>
        <v/>
      </c>
    </row>
    <row r="639" spans="1:65">
      <c r="A639" s="473">
        <v>583</v>
      </c>
      <c r="B639" s="132"/>
      <c r="C639" s="332"/>
      <c r="D639" s="333"/>
      <c r="E639" s="333"/>
      <c r="F639" s="334"/>
      <c r="G639" s="337"/>
      <c r="H639" s="131"/>
      <c r="I639" s="337"/>
      <c r="J639" s="131"/>
      <c r="K639" s="458" t="str">
        <f t="shared" si="352"/>
        <v/>
      </c>
      <c r="L639" s="458">
        <f t="shared" si="353"/>
        <v>0</v>
      </c>
      <c r="M639" s="458">
        <f t="shared" si="354"/>
        <v>0</v>
      </c>
      <c r="N639" s="459" t="str">
        <f t="shared" si="283"/>
        <v/>
      </c>
      <c r="O639" s="459" t="str">
        <f t="shared" si="284"/>
        <v/>
      </c>
      <c r="P639" s="459" t="str">
        <f t="shared" si="285"/>
        <v/>
      </c>
      <c r="Q639" s="459" t="str">
        <f t="shared" si="286"/>
        <v/>
      </c>
      <c r="R639" s="459" t="str">
        <f t="shared" si="287"/>
        <v/>
      </c>
      <c r="S639" s="459" t="str">
        <f t="shared" si="288"/>
        <v/>
      </c>
      <c r="T639" s="566" t="str">
        <f t="shared" si="355"/>
        <v/>
      </c>
      <c r="U639" s="702"/>
      <c r="V639" s="132"/>
      <c r="W639" s="133"/>
      <c r="X639" s="134"/>
      <c r="Y639" s="135"/>
      <c r="Z639" s="137"/>
      <c r="AA639" s="136"/>
      <c r="AB639" s="566" t="str">
        <f t="shared" si="356"/>
        <v/>
      </c>
      <c r="AC639" s="568" t="str">
        <f t="shared" si="357"/>
        <v/>
      </c>
      <c r="AD639" s="137"/>
      <c r="AE639" s="137"/>
      <c r="AF639" s="138"/>
      <c r="AG639" s="138"/>
      <c r="AH639" s="592" t="str">
        <f t="shared" si="358"/>
        <v/>
      </c>
      <c r="AI639" s="592" t="str">
        <f t="shared" si="359"/>
        <v/>
      </c>
      <c r="AJ639" s="592" t="str">
        <f t="shared" si="360"/>
        <v/>
      </c>
      <c r="AK639" s="460" t="str">
        <f>IF(AU639="","",IF(OR(AZ639=8,AZ639=9),0,IF(OR(AW639=3,AW639=4,AW639=5,AW639=6),IF(LEFT(BF639,1)="1",INDEX(係数_NOX・PM低減,MATCH(AY639,【参考】排出係数!$AI$801:$AI$804,1),1),VLOOKUP(AU639,INDEX((係数_バス貨物_ガソリン,係数_バス貨物_CNG,係数_バス貨物_軽油,係数_バス貨物_メタノール,係数_バス貨物_LPG),MATCH(AY639,【参考】排出係数!$AI$4:$AI$671,1),1,BE639):INDEX((係数_バス貨物_ガソリン,係数_バス貨物_CNG,係数_バス貨物_軽油,係数_バス貨物_メタノール,係数_バス貨物_LPG),MATCH(AY639+1,【参考】排出係数!$AI$4:$AI$671,1)-1,5,BE639),4,FALSE)),IF(AND(BE639=3,LEFT(BF639,1)="1"),0.48,VLOOKUP(AU639,INDEX((係数_乗用_ガソリン,係数_乗用_CNG,係数_乗用_軽油,係数_乗用_メタノール,係数_乗用_LPG),1,1,BE639):INDEX((係数_乗用_ガソリン,係数_乗用_CNG,係数_乗用_軽油,係数_乗用_メタノール,係数_乗用_LPG),125,5,BE639),4,FALSE)))))</f>
        <v/>
      </c>
      <c r="AL639" s="461" t="str">
        <f t="shared" si="361"/>
        <v/>
      </c>
      <c r="AM639" s="460" t="str">
        <f>IF(AU639="","",IF(OR(AZ639=8,AZ639=9),0,IF(OR(AW639=3,AW639=4,AW639=5,AW639=6),IF(LEFT(BH639,1)="1",INDEX(係数_PM低減,MATCH(AY639,【参考】排出係数!$AI$801:$AI$804,1),MATCH(BI639,【参考】排出係数!$AL$798:$AO$798,1)),VLOOKUP(AU639,INDEX((係数_バス貨物_ガソリン,係数_バス貨物_CNG,係数_バス貨物_軽油,係数_バス貨物_メタノール,係数_バス貨物_LPG),MATCH(AY639,【参考】排出係数!$AI$4:$AI$671,1),1,BE639):INDEX((係数_バス貨物_ガソリン,係数_バス貨物_CNG,係数_バス貨物_軽油,係数_バス貨物_メタノール,係数_バス貨物_LPG),MATCH(AY639+1,【参考】排出係数!$AI$4:$AI$671,1)-1,5,BE639),5,FALSE)),IF(AND(BE639=3,LEFT(BF639,1)="1"),0.055,VLOOKUP(AU639,INDEX((係数_乗用_ガソリン,係数_乗用_CNG,係数_乗用_軽油,係数_乗用_メタノール,係数_乗用_LPG),1,1,BE639):INDEX((係数_乗用_ガソリン,係数_乗用_CNG,係数_乗用_軽油,係数_乗用_メタノール,係数_乗用_LPG),125,5,BE639),5,FALSE)))))</f>
        <v/>
      </c>
      <c r="AN639" s="461" t="str">
        <f t="shared" si="362"/>
        <v/>
      </c>
      <c r="AO639" s="462" t="str">
        <f t="shared" si="363"/>
        <v/>
      </c>
      <c r="AP639" s="463" t="str">
        <f t="shared" si="364"/>
        <v/>
      </c>
      <c r="AQ639" s="464"/>
      <c r="AR639" s="619"/>
      <c r="AS639" s="465" t="str">
        <f t="shared" si="366"/>
        <v/>
      </c>
      <c r="AT639" s="465" t="str">
        <f t="shared" si="367"/>
        <v/>
      </c>
      <c r="AU639" s="466" t="str">
        <f t="shared" si="368"/>
        <v/>
      </c>
      <c r="AV639" s="467" t="str">
        <f t="shared" si="369"/>
        <v/>
      </c>
      <c r="AW639" s="467" t="str">
        <f t="shared" si="370"/>
        <v/>
      </c>
      <c r="AX639" s="467" t="str">
        <f t="shared" si="371"/>
        <v/>
      </c>
      <c r="AY639" s="467" t="str">
        <f t="shared" si="372"/>
        <v/>
      </c>
      <c r="AZ639" s="467" t="str">
        <f t="shared" si="373"/>
        <v/>
      </c>
      <c r="BA639" s="468" t="str">
        <f>IF(AS639="","",IF(OR(AU639="",AU639="-"),"－",IF(OR(AZ639=8,AZ639=9),"",IF(OR(AW639=3,AW639=4,AW639=5,AW639=6),VLOOKUP(AU639,INDEX((係数_バス貨物_ガソリン,係数_バス貨物_CNG,係数_バス貨物_軽油,係数_バス貨物_メタノール,係数_バス貨物_LPG),MATCH(AY639,【参考】排出係数!$AI$4:$AI$671,1),1,BE639):INDEX((係数_バス貨物_ガソリン,係数_バス貨物_CNG,係数_バス貨物_軽油,係数_バス貨物_メタノール,係数_バス貨物_LPG),MATCH(AY639+1,【参考】排出係数!$AI$4:$AI$671,1)-1,5,BE639),2,FALSE),IF(OR(AW639=1,AW639=2),VLOOKUP(AU639,INDEX((係数_乗用_ガソリン,係数_乗用_CNG,係数_乗用_軽油,係数_乗用_メタノール,係数_乗用_LPG),1,1,BE639):INDEX((係数_乗用_ガソリン,係数_乗用_CNG,係数_乗用_軽油,係数_乗用_メタノール,係数_乗用_LPG),125,5,BE639),2,FALSE))))))</f>
        <v/>
      </c>
      <c r="BB639" s="468" t="str">
        <f>IF(T639="","",IF(OR(AU639="",AU639="-"),"－",IF(OR(AZ639=8,AZ639=9),"",IF(OR(AW639=3,AW639=4,AW639=5,AW639=6),VLOOKUP(AU639,INDEX((係数_バス貨物_ガソリン,係数_バス貨物_CNG,係数_バス貨物_軽油,係数_バス貨物_メタノール,係数_バス貨物_LPG),MATCH(AY639,【参考】排出係数!$AI$4:$AI$671,1),1,BE639):INDEX((係数_バス貨物_ガソリン,係数_バス貨物_CNG,係数_バス貨物_軽油,係数_バス貨物_メタノール,係数_バス貨物_LPG),MATCH(AY639+1,【参考】排出係数!$AI$4:$AI$671,1)-1,5,BE639),3,FALSE),IF(OR(AW639=1,AW639=2),VLOOKUP(AU639,INDEX((係数_乗用_ガソリン,係数_乗用_CNG,係数_乗用_軽油,係数_乗用_メタノール,係数_乗用_LPG),1,1,BE639):INDEX((係数_乗用_ガソリン,係数_乗用_CNG,係数_乗用_軽油,係数_乗用_メタノール,係数_乗用_LPG),125,5,BE639),3,FALSE))))))</f>
        <v/>
      </c>
      <c r="BC639" s="467" t="str">
        <f t="shared" si="374"/>
        <v/>
      </c>
      <c r="BD639" s="567" t="str">
        <f t="shared" si="375"/>
        <v/>
      </c>
      <c r="BE639" s="467" t="str">
        <f t="shared" si="376"/>
        <v/>
      </c>
      <c r="BF639" s="469" t="str">
        <f t="shared" ca="1" si="377"/>
        <v/>
      </c>
      <c r="BG639" s="469" t="str">
        <f t="shared" ca="1" si="378"/>
        <v/>
      </c>
      <c r="BH639" s="467" t="str">
        <f t="shared" si="379"/>
        <v/>
      </c>
      <c r="BI639" s="467" t="str">
        <f t="shared" ca="1" si="380"/>
        <v/>
      </c>
      <c r="BJ639" s="469" t="str">
        <f t="shared" si="381"/>
        <v/>
      </c>
      <c r="BK639" s="470" t="str">
        <f t="shared" si="365"/>
        <v/>
      </c>
      <c r="BL639" s="775" t="str">
        <f t="shared" si="382"/>
        <v/>
      </c>
      <c r="BM639" s="775" t="str">
        <f t="shared" si="383"/>
        <v/>
      </c>
    </row>
    <row r="640" spans="1:65">
      <c r="A640" s="473">
        <v>584</v>
      </c>
      <c r="B640" s="132"/>
      <c r="C640" s="332"/>
      <c r="D640" s="333"/>
      <c r="E640" s="333"/>
      <c r="F640" s="334"/>
      <c r="G640" s="337"/>
      <c r="H640" s="131"/>
      <c r="I640" s="337"/>
      <c r="J640" s="131"/>
      <c r="K640" s="458" t="str">
        <f t="shared" si="352"/>
        <v/>
      </c>
      <c r="L640" s="458">
        <f t="shared" si="353"/>
        <v>0</v>
      </c>
      <c r="M640" s="458">
        <f t="shared" si="354"/>
        <v>0</v>
      </c>
      <c r="N640" s="459" t="str">
        <f t="shared" si="283"/>
        <v/>
      </c>
      <c r="O640" s="459" t="str">
        <f t="shared" si="284"/>
        <v/>
      </c>
      <c r="P640" s="459" t="str">
        <f t="shared" si="285"/>
        <v/>
      </c>
      <c r="Q640" s="459" t="str">
        <f t="shared" si="286"/>
        <v/>
      </c>
      <c r="R640" s="459" t="str">
        <f t="shared" si="287"/>
        <v/>
      </c>
      <c r="S640" s="459" t="str">
        <f t="shared" si="288"/>
        <v/>
      </c>
      <c r="T640" s="566" t="str">
        <f t="shared" si="355"/>
        <v/>
      </c>
      <c r="U640" s="702"/>
      <c r="V640" s="132"/>
      <c r="W640" s="133"/>
      <c r="X640" s="134"/>
      <c r="Y640" s="135"/>
      <c r="Z640" s="137"/>
      <c r="AA640" s="136"/>
      <c r="AB640" s="566" t="str">
        <f t="shared" si="356"/>
        <v/>
      </c>
      <c r="AC640" s="568" t="str">
        <f t="shared" si="357"/>
        <v/>
      </c>
      <c r="AD640" s="137"/>
      <c r="AE640" s="137"/>
      <c r="AF640" s="138"/>
      <c r="AG640" s="138"/>
      <c r="AH640" s="592" t="str">
        <f t="shared" si="358"/>
        <v/>
      </c>
      <c r="AI640" s="592" t="str">
        <f t="shared" si="359"/>
        <v/>
      </c>
      <c r="AJ640" s="592" t="str">
        <f t="shared" si="360"/>
        <v/>
      </c>
      <c r="AK640" s="460" t="str">
        <f>IF(AU640="","",IF(OR(AZ640=8,AZ640=9),0,IF(OR(AW640=3,AW640=4,AW640=5,AW640=6),IF(LEFT(BF640,1)="1",INDEX(係数_NOX・PM低減,MATCH(AY640,【参考】排出係数!$AI$801:$AI$804,1),1),VLOOKUP(AU640,INDEX((係数_バス貨物_ガソリン,係数_バス貨物_CNG,係数_バス貨物_軽油,係数_バス貨物_メタノール,係数_バス貨物_LPG),MATCH(AY640,【参考】排出係数!$AI$4:$AI$671,1),1,BE640):INDEX((係数_バス貨物_ガソリン,係数_バス貨物_CNG,係数_バス貨物_軽油,係数_バス貨物_メタノール,係数_バス貨物_LPG),MATCH(AY640+1,【参考】排出係数!$AI$4:$AI$671,1)-1,5,BE640),4,FALSE)),IF(AND(BE640=3,LEFT(BF640,1)="1"),0.48,VLOOKUP(AU640,INDEX((係数_乗用_ガソリン,係数_乗用_CNG,係数_乗用_軽油,係数_乗用_メタノール,係数_乗用_LPG),1,1,BE640):INDEX((係数_乗用_ガソリン,係数_乗用_CNG,係数_乗用_軽油,係数_乗用_メタノール,係数_乗用_LPG),125,5,BE640),4,FALSE)))))</f>
        <v/>
      </c>
      <c r="AL640" s="461" t="str">
        <f t="shared" si="361"/>
        <v/>
      </c>
      <c r="AM640" s="460" t="str">
        <f>IF(AU640="","",IF(OR(AZ640=8,AZ640=9),0,IF(OR(AW640=3,AW640=4,AW640=5,AW640=6),IF(LEFT(BH640,1)="1",INDEX(係数_PM低減,MATCH(AY640,【参考】排出係数!$AI$801:$AI$804,1),MATCH(BI640,【参考】排出係数!$AL$798:$AO$798,1)),VLOOKUP(AU640,INDEX((係数_バス貨物_ガソリン,係数_バス貨物_CNG,係数_バス貨物_軽油,係数_バス貨物_メタノール,係数_バス貨物_LPG),MATCH(AY640,【参考】排出係数!$AI$4:$AI$671,1),1,BE640):INDEX((係数_バス貨物_ガソリン,係数_バス貨物_CNG,係数_バス貨物_軽油,係数_バス貨物_メタノール,係数_バス貨物_LPG),MATCH(AY640+1,【参考】排出係数!$AI$4:$AI$671,1)-1,5,BE640),5,FALSE)),IF(AND(BE640=3,LEFT(BF640,1)="1"),0.055,VLOOKUP(AU640,INDEX((係数_乗用_ガソリン,係数_乗用_CNG,係数_乗用_軽油,係数_乗用_メタノール,係数_乗用_LPG),1,1,BE640):INDEX((係数_乗用_ガソリン,係数_乗用_CNG,係数_乗用_軽油,係数_乗用_メタノール,係数_乗用_LPG),125,5,BE640),5,FALSE)))))</f>
        <v/>
      </c>
      <c r="AN640" s="461" t="str">
        <f t="shared" si="362"/>
        <v/>
      </c>
      <c r="AO640" s="462" t="str">
        <f t="shared" si="363"/>
        <v/>
      </c>
      <c r="AP640" s="463" t="str">
        <f t="shared" si="364"/>
        <v/>
      </c>
      <c r="AQ640" s="464"/>
      <c r="AR640" s="619"/>
      <c r="AS640" s="465" t="str">
        <f t="shared" si="366"/>
        <v/>
      </c>
      <c r="AT640" s="465" t="str">
        <f t="shared" si="367"/>
        <v/>
      </c>
      <c r="AU640" s="466" t="str">
        <f t="shared" si="368"/>
        <v/>
      </c>
      <c r="AV640" s="467" t="str">
        <f t="shared" si="369"/>
        <v/>
      </c>
      <c r="AW640" s="467" t="str">
        <f t="shared" si="370"/>
        <v/>
      </c>
      <c r="AX640" s="467" t="str">
        <f t="shared" si="371"/>
        <v/>
      </c>
      <c r="AY640" s="467" t="str">
        <f t="shared" si="372"/>
        <v/>
      </c>
      <c r="AZ640" s="467" t="str">
        <f t="shared" si="373"/>
        <v/>
      </c>
      <c r="BA640" s="468" t="str">
        <f>IF(AS640="","",IF(OR(AU640="",AU640="-"),"－",IF(OR(AZ640=8,AZ640=9),"",IF(OR(AW640=3,AW640=4,AW640=5,AW640=6),VLOOKUP(AU640,INDEX((係数_バス貨物_ガソリン,係数_バス貨物_CNG,係数_バス貨物_軽油,係数_バス貨物_メタノール,係数_バス貨物_LPG),MATCH(AY640,【参考】排出係数!$AI$4:$AI$671,1),1,BE640):INDEX((係数_バス貨物_ガソリン,係数_バス貨物_CNG,係数_バス貨物_軽油,係数_バス貨物_メタノール,係数_バス貨物_LPG),MATCH(AY640+1,【参考】排出係数!$AI$4:$AI$671,1)-1,5,BE640),2,FALSE),IF(OR(AW640=1,AW640=2),VLOOKUP(AU640,INDEX((係数_乗用_ガソリン,係数_乗用_CNG,係数_乗用_軽油,係数_乗用_メタノール,係数_乗用_LPG),1,1,BE640):INDEX((係数_乗用_ガソリン,係数_乗用_CNG,係数_乗用_軽油,係数_乗用_メタノール,係数_乗用_LPG),125,5,BE640),2,FALSE))))))</f>
        <v/>
      </c>
      <c r="BB640" s="468" t="str">
        <f>IF(T640="","",IF(OR(AU640="",AU640="-"),"－",IF(OR(AZ640=8,AZ640=9),"",IF(OR(AW640=3,AW640=4,AW640=5,AW640=6),VLOOKUP(AU640,INDEX((係数_バス貨物_ガソリン,係数_バス貨物_CNG,係数_バス貨物_軽油,係数_バス貨物_メタノール,係数_バス貨物_LPG),MATCH(AY640,【参考】排出係数!$AI$4:$AI$671,1),1,BE640):INDEX((係数_バス貨物_ガソリン,係数_バス貨物_CNG,係数_バス貨物_軽油,係数_バス貨物_メタノール,係数_バス貨物_LPG),MATCH(AY640+1,【参考】排出係数!$AI$4:$AI$671,1)-1,5,BE640),3,FALSE),IF(OR(AW640=1,AW640=2),VLOOKUP(AU640,INDEX((係数_乗用_ガソリン,係数_乗用_CNG,係数_乗用_軽油,係数_乗用_メタノール,係数_乗用_LPG),1,1,BE640):INDEX((係数_乗用_ガソリン,係数_乗用_CNG,係数_乗用_軽油,係数_乗用_メタノール,係数_乗用_LPG),125,5,BE640),3,FALSE))))))</f>
        <v/>
      </c>
      <c r="BC640" s="467" t="str">
        <f t="shared" si="374"/>
        <v/>
      </c>
      <c r="BD640" s="567" t="str">
        <f t="shared" si="375"/>
        <v/>
      </c>
      <c r="BE640" s="467" t="str">
        <f t="shared" si="376"/>
        <v/>
      </c>
      <c r="BF640" s="469" t="str">
        <f t="shared" ca="1" si="377"/>
        <v/>
      </c>
      <c r="BG640" s="469" t="str">
        <f t="shared" ca="1" si="378"/>
        <v/>
      </c>
      <c r="BH640" s="467" t="str">
        <f t="shared" si="379"/>
        <v/>
      </c>
      <c r="BI640" s="467" t="str">
        <f t="shared" ca="1" si="380"/>
        <v/>
      </c>
      <c r="BJ640" s="469" t="str">
        <f t="shared" si="381"/>
        <v/>
      </c>
      <c r="BK640" s="470" t="str">
        <f t="shared" si="365"/>
        <v/>
      </c>
      <c r="BL640" s="775" t="str">
        <f t="shared" si="382"/>
        <v/>
      </c>
      <c r="BM640" s="775" t="str">
        <f t="shared" si="383"/>
        <v/>
      </c>
    </row>
    <row r="641" spans="1:65">
      <c r="A641" s="473">
        <v>585</v>
      </c>
      <c r="B641" s="132"/>
      <c r="C641" s="332"/>
      <c r="D641" s="333"/>
      <c r="E641" s="333"/>
      <c r="F641" s="334"/>
      <c r="G641" s="337"/>
      <c r="H641" s="131"/>
      <c r="I641" s="337"/>
      <c r="J641" s="131"/>
      <c r="K641" s="458" t="str">
        <f t="shared" si="352"/>
        <v/>
      </c>
      <c r="L641" s="458">
        <f t="shared" si="353"/>
        <v>0</v>
      </c>
      <c r="M641" s="458">
        <f t="shared" si="354"/>
        <v>0</v>
      </c>
      <c r="N641" s="459" t="str">
        <f t="shared" si="283"/>
        <v/>
      </c>
      <c r="O641" s="459" t="str">
        <f t="shared" si="284"/>
        <v/>
      </c>
      <c r="P641" s="459" t="str">
        <f t="shared" si="285"/>
        <v/>
      </c>
      <c r="Q641" s="459" t="str">
        <f t="shared" si="286"/>
        <v/>
      </c>
      <c r="R641" s="459" t="str">
        <f t="shared" si="287"/>
        <v/>
      </c>
      <c r="S641" s="459" t="str">
        <f t="shared" si="288"/>
        <v/>
      </c>
      <c r="T641" s="566" t="str">
        <f t="shared" si="355"/>
        <v/>
      </c>
      <c r="U641" s="702"/>
      <c r="V641" s="132"/>
      <c r="W641" s="133"/>
      <c r="X641" s="134"/>
      <c r="Y641" s="135"/>
      <c r="Z641" s="137"/>
      <c r="AA641" s="136"/>
      <c r="AB641" s="566" t="str">
        <f t="shared" si="356"/>
        <v/>
      </c>
      <c r="AC641" s="568" t="str">
        <f t="shared" si="357"/>
        <v/>
      </c>
      <c r="AD641" s="137"/>
      <c r="AE641" s="137"/>
      <c r="AF641" s="138"/>
      <c r="AG641" s="138"/>
      <c r="AH641" s="592" t="str">
        <f t="shared" si="358"/>
        <v/>
      </c>
      <c r="AI641" s="592" t="str">
        <f t="shared" si="359"/>
        <v/>
      </c>
      <c r="AJ641" s="592" t="str">
        <f t="shared" si="360"/>
        <v/>
      </c>
      <c r="AK641" s="460" t="str">
        <f>IF(AU641="","",IF(OR(AZ641=8,AZ641=9),0,IF(OR(AW641=3,AW641=4,AW641=5,AW641=6),IF(LEFT(BF641,1)="1",INDEX(係数_NOX・PM低減,MATCH(AY641,【参考】排出係数!$AI$801:$AI$804,1),1),VLOOKUP(AU641,INDEX((係数_バス貨物_ガソリン,係数_バス貨物_CNG,係数_バス貨物_軽油,係数_バス貨物_メタノール,係数_バス貨物_LPG),MATCH(AY641,【参考】排出係数!$AI$4:$AI$671,1),1,BE641):INDEX((係数_バス貨物_ガソリン,係数_バス貨物_CNG,係数_バス貨物_軽油,係数_バス貨物_メタノール,係数_バス貨物_LPG),MATCH(AY641+1,【参考】排出係数!$AI$4:$AI$671,1)-1,5,BE641),4,FALSE)),IF(AND(BE641=3,LEFT(BF641,1)="1"),0.48,VLOOKUP(AU641,INDEX((係数_乗用_ガソリン,係数_乗用_CNG,係数_乗用_軽油,係数_乗用_メタノール,係数_乗用_LPG),1,1,BE641):INDEX((係数_乗用_ガソリン,係数_乗用_CNG,係数_乗用_軽油,係数_乗用_メタノール,係数_乗用_LPG),125,5,BE641),4,FALSE)))))</f>
        <v/>
      </c>
      <c r="AL641" s="461" t="str">
        <f t="shared" si="361"/>
        <v/>
      </c>
      <c r="AM641" s="460" t="str">
        <f>IF(AU641="","",IF(OR(AZ641=8,AZ641=9),0,IF(OR(AW641=3,AW641=4,AW641=5,AW641=6),IF(LEFT(BH641,1)="1",INDEX(係数_PM低減,MATCH(AY641,【参考】排出係数!$AI$801:$AI$804,1),MATCH(BI641,【参考】排出係数!$AL$798:$AO$798,1)),VLOOKUP(AU641,INDEX((係数_バス貨物_ガソリン,係数_バス貨物_CNG,係数_バス貨物_軽油,係数_バス貨物_メタノール,係数_バス貨物_LPG),MATCH(AY641,【参考】排出係数!$AI$4:$AI$671,1),1,BE641):INDEX((係数_バス貨物_ガソリン,係数_バス貨物_CNG,係数_バス貨物_軽油,係数_バス貨物_メタノール,係数_バス貨物_LPG),MATCH(AY641+1,【参考】排出係数!$AI$4:$AI$671,1)-1,5,BE641),5,FALSE)),IF(AND(BE641=3,LEFT(BF641,1)="1"),0.055,VLOOKUP(AU641,INDEX((係数_乗用_ガソリン,係数_乗用_CNG,係数_乗用_軽油,係数_乗用_メタノール,係数_乗用_LPG),1,1,BE641):INDEX((係数_乗用_ガソリン,係数_乗用_CNG,係数_乗用_軽油,係数_乗用_メタノール,係数_乗用_LPG),125,5,BE641),5,FALSE)))))</f>
        <v/>
      </c>
      <c r="AN641" s="461" t="str">
        <f t="shared" si="362"/>
        <v/>
      </c>
      <c r="AO641" s="462" t="str">
        <f t="shared" si="363"/>
        <v/>
      </c>
      <c r="AP641" s="463" t="str">
        <f t="shared" si="364"/>
        <v/>
      </c>
      <c r="AQ641" s="464"/>
      <c r="AR641" s="619"/>
      <c r="AS641" s="465" t="str">
        <f t="shared" si="366"/>
        <v/>
      </c>
      <c r="AT641" s="465" t="str">
        <f t="shared" si="367"/>
        <v/>
      </c>
      <c r="AU641" s="466" t="str">
        <f t="shared" si="368"/>
        <v/>
      </c>
      <c r="AV641" s="467" t="str">
        <f t="shared" si="369"/>
        <v/>
      </c>
      <c r="AW641" s="467" t="str">
        <f t="shared" si="370"/>
        <v/>
      </c>
      <c r="AX641" s="467" t="str">
        <f t="shared" si="371"/>
        <v/>
      </c>
      <c r="AY641" s="467" t="str">
        <f t="shared" si="372"/>
        <v/>
      </c>
      <c r="AZ641" s="467" t="str">
        <f t="shared" si="373"/>
        <v/>
      </c>
      <c r="BA641" s="468" t="str">
        <f>IF(AS641="","",IF(OR(AU641="",AU641="-"),"－",IF(OR(AZ641=8,AZ641=9),"",IF(OR(AW641=3,AW641=4,AW641=5,AW641=6),VLOOKUP(AU641,INDEX((係数_バス貨物_ガソリン,係数_バス貨物_CNG,係数_バス貨物_軽油,係数_バス貨物_メタノール,係数_バス貨物_LPG),MATCH(AY641,【参考】排出係数!$AI$4:$AI$671,1),1,BE641):INDEX((係数_バス貨物_ガソリン,係数_バス貨物_CNG,係数_バス貨物_軽油,係数_バス貨物_メタノール,係数_バス貨物_LPG),MATCH(AY641+1,【参考】排出係数!$AI$4:$AI$671,1)-1,5,BE641),2,FALSE),IF(OR(AW641=1,AW641=2),VLOOKUP(AU641,INDEX((係数_乗用_ガソリン,係数_乗用_CNG,係数_乗用_軽油,係数_乗用_メタノール,係数_乗用_LPG),1,1,BE641):INDEX((係数_乗用_ガソリン,係数_乗用_CNG,係数_乗用_軽油,係数_乗用_メタノール,係数_乗用_LPG),125,5,BE641),2,FALSE))))))</f>
        <v/>
      </c>
      <c r="BB641" s="468" t="str">
        <f>IF(T641="","",IF(OR(AU641="",AU641="-"),"－",IF(OR(AZ641=8,AZ641=9),"",IF(OR(AW641=3,AW641=4,AW641=5,AW641=6),VLOOKUP(AU641,INDEX((係数_バス貨物_ガソリン,係数_バス貨物_CNG,係数_バス貨物_軽油,係数_バス貨物_メタノール,係数_バス貨物_LPG),MATCH(AY641,【参考】排出係数!$AI$4:$AI$671,1),1,BE641):INDEX((係数_バス貨物_ガソリン,係数_バス貨物_CNG,係数_バス貨物_軽油,係数_バス貨物_メタノール,係数_バス貨物_LPG),MATCH(AY641+1,【参考】排出係数!$AI$4:$AI$671,1)-1,5,BE641),3,FALSE),IF(OR(AW641=1,AW641=2),VLOOKUP(AU641,INDEX((係数_乗用_ガソリン,係数_乗用_CNG,係数_乗用_軽油,係数_乗用_メタノール,係数_乗用_LPG),1,1,BE641):INDEX((係数_乗用_ガソリン,係数_乗用_CNG,係数_乗用_軽油,係数_乗用_メタノール,係数_乗用_LPG),125,5,BE641),3,FALSE))))))</f>
        <v/>
      </c>
      <c r="BC641" s="467" t="str">
        <f t="shared" si="374"/>
        <v/>
      </c>
      <c r="BD641" s="567" t="str">
        <f t="shared" si="375"/>
        <v/>
      </c>
      <c r="BE641" s="467" t="str">
        <f t="shared" si="376"/>
        <v/>
      </c>
      <c r="BF641" s="469" t="str">
        <f t="shared" ca="1" si="377"/>
        <v/>
      </c>
      <c r="BG641" s="469" t="str">
        <f t="shared" ca="1" si="378"/>
        <v/>
      </c>
      <c r="BH641" s="467" t="str">
        <f t="shared" si="379"/>
        <v/>
      </c>
      <c r="BI641" s="467" t="str">
        <f t="shared" ca="1" si="380"/>
        <v/>
      </c>
      <c r="BJ641" s="469" t="str">
        <f t="shared" si="381"/>
        <v/>
      </c>
      <c r="BK641" s="470" t="str">
        <f t="shared" si="365"/>
        <v/>
      </c>
      <c r="BL641" s="775" t="str">
        <f t="shared" si="382"/>
        <v/>
      </c>
      <c r="BM641" s="775" t="str">
        <f t="shared" si="383"/>
        <v/>
      </c>
    </row>
    <row r="642" spans="1:65">
      <c r="A642" s="473">
        <v>586</v>
      </c>
      <c r="B642" s="132"/>
      <c r="C642" s="332"/>
      <c r="D642" s="333"/>
      <c r="E642" s="333"/>
      <c r="F642" s="334"/>
      <c r="G642" s="337"/>
      <c r="H642" s="131"/>
      <c r="I642" s="337"/>
      <c r="J642" s="131"/>
      <c r="K642" s="458" t="str">
        <f t="shared" si="352"/>
        <v/>
      </c>
      <c r="L642" s="458">
        <f t="shared" si="353"/>
        <v>0</v>
      </c>
      <c r="M642" s="458">
        <f t="shared" si="354"/>
        <v>0</v>
      </c>
      <c r="N642" s="459" t="str">
        <f t="shared" si="283"/>
        <v/>
      </c>
      <c r="O642" s="459" t="str">
        <f t="shared" si="284"/>
        <v/>
      </c>
      <c r="P642" s="459" t="str">
        <f t="shared" si="285"/>
        <v/>
      </c>
      <c r="Q642" s="459" t="str">
        <f t="shared" si="286"/>
        <v/>
      </c>
      <c r="R642" s="459" t="str">
        <f t="shared" si="287"/>
        <v/>
      </c>
      <c r="S642" s="459" t="str">
        <f t="shared" si="288"/>
        <v/>
      </c>
      <c r="T642" s="566" t="str">
        <f t="shared" si="355"/>
        <v/>
      </c>
      <c r="U642" s="702"/>
      <c r="V642" s="132"/>
      <c r="W642" s="133"/>
      <c r="X642" s="134"/>
      <c r="Y642" s="135"/>
      <c r="Z642" s="137"/>
      <c r="AA642" s="136"/>
      <c r="AB642" s="566" t="str">
        <f t="shared" si="356"/>
        <v/>
      </c>
      <c r="AC642" s="568" t="str">
        <f t="shared" si="357"/>
        <v/>
      </c>
      <c r="AD642" s="137"/>
      <c r="AE642" s="137"/>
      <c r="AF642" s="138"/>
      <c r="AG642" s="138"/>
      <c r="AH642" s="592" t="str">
        <f t="shared" si="358"/>
        <v/>
      </c>
      <c r="AI642" s="592" t="str">
        <f t="shared" si="359"/>
        <v/>
      </c>
      <c r="AJ642" s="592" t="str">
        <f t="shared" si="360"/>
        <v/>
      </c>
      <c r="AK642" s="460" t="str">
        <f>IF(AU642="","",IF(OR(AZ642=8,AZ642=9),0,IF(OR(AW642=3,AW642=4,AW642=5,AW642=6),IF(LEFT(BF642,1)="1",INDEX(係数_NOX・PM低減,MATCH(AY642,【参考】排出係数!$AI$801:$AI$804,1),1),VLOOKUP(AU642,INDEX((係数_バス貨物_ガソリン,係数_バス貨物_CNG,係数_バス貨物_軽油,係数_バス貨物_メタノール,係数_バス貨物_LPG),MATCH(AY642,【参考】排出係数!$AI$4:$AI$671,1),1,BE642):INDEX((係数_バス貨物_ガソリン,係数_バス貨物_CNG,係数_バス貨物_軽油,係数_バス貨物_メタノール,係数_バス貨物_LPG),MATCH(AY642+1,【参考】排出係数!$AI$4:$AI$671,1)-1,5,BE642),4,FALSE)),IF(AND(BE642=3,LEFT(BF642,1)="1"),0.48,VLOOKUP(AU642,INDEX((係数_乗用_ガソリン,係数_乗用_CNG,係数_乗用_軽油,係数_乗用_メタノール,係数_乗用_LPG),1,1,BE642):INDEX((係数_乗用_ガソリン,係数_乗用_CNG,係数_乗用_軽油,係数_乗用_メタノール,係数_乗用_LPG),125,5,BE642),4,FALSE)))))</f>
        <v/>
      </c>
      <c r="AL642" s="461" t="str">
        <f t="shared" si="361"/>
        <v/>
      </c>
      <c r="AM642" s="460" t="str">
        <f>IF(AU642="","",IF(OR(AZ642=8,AZ642=9),0,IF(OR(AW642=3,AW642=4,AW642=5,AW642=6),IF(LEFT(BH642,1)="1",INDEX(係数_PM低減,MATCH(AY642,【参考】排出係数!$AI$801:$AI$804,1),MATCH(BI642,【参考】排出係数!$AL$798:$AO$798,1)),VLOOKUP(AU642,INDEX((係数_バス貨物_ガソリン,係数_バス貨物_CNG,係数_バス貨物_軽油,係数_バス貨物_メタノール,係数_バス貨物_LPG),MATCH(AY642,【参考】排出係数!$AI$4:$AI$671,1),1,BE642):INDEX((係数_バス貨物_ガソリン,係数_バス貨物_CNG,係数_バス貨物_軽油,係数_バス貨物_メタノール,係数_バス貨物_LPG),MATCH(AY642+1,【参考】排出係数!$AI$4:$AI$671,1)-1,5,BE642),5,FALSE)),IF(AND(BE642=3,LEFT(BF642,1)="1"),0.055,VLOOKUP(AU642,INDEX((係数_乗用_ガソリン,係数_乗用_CNG,係数_乗用_軽油,係数_乗用_メタノール,係数_乗用_LPG),1,1,BE642):INDEX((係数_乗用_ガソリン,係数_乗用_CNG,係数_乗用_軽油,係数_乗用_メタノール,係数_乗用_LPG),125,5,BE642),5,FALSE)))))</f>
        <v/>
      </c>
      <c r="AN642" s="461" t="str">
        <f t="shared" si="362"/>
        <v/>
      </c>
      <c r="AO642" s="462" t="str">
        <f t="shared" si="363"/>
        <v/>
      </c>
      <c r="AP642" s="463" t="str">
        <f t="shared" si="364"/>
        <v/>
      </c>
      <c r="AQ642" s="464"/>
      <c r="AR642" s="619"/>
      <c r="AS642" s="465" t="str">
        <f t="shared" si="366"/>
        <v/>
      </c>
      <c r="AT642" s="465" t="str">
        <f t="shared" si="367"/>
        <v/>
      </c>
      <c r="AU642" s="466" t="str">
        <f t="shared" si="368"/>
        <v/>
      </c>
      <c r="AV642" s="467" t="str">
        <f t="shared" si="369"/>
        <v/>
      </c>
      <c r="AW642" s="467" t="str">
        <f t="shared" si="370"/>
        <v/>
      </c>
      <c r="AX642" s="467" t="str">
        <f t="shared" si="371"/>
        <v/>
      </c>
      <c r="AY642" s="467" t="str">
        <f t="shared" si="372"/>
        <v/>
      </c>
      <c r="AZ642" s="467" t="str">
        <f t="shared" si="373"/>
        <v/>
      </c>
      <c r="BA642" s="468" t="str">
        <f>IF(AS642="","",IF(OR(AU642="",AU642="-"),"－",IF(OR(AZ642=8,AZ642=9),"",IF(OR(AW642=3,AW642=4,AW642=5,AW642=6),VLOOKUP(AU642,INDEX((係数_バス貨物_ガソリン,係数_バス貨物_CNG,係数_バス貨物_軽油,係数_バス貨物_メタノール,係数_バス貨物_LPG),MATCH(AY642,【参考】排出係数!$AI$4:$AI$671,1),1,BE642):INDEX((係数_バス貨物_ガソリン,係数_バス貨物_CNG,係数_バス貨物_軽油,係数_バス貨物_メタノール,係数_バス貨物_LPG),MATCH(AY642+1,【参考】排出係数!$AI$4:$AI$671,1)-1,5,BE642),2,FALSE),IF(OR(AW642=1,AW642=2),VLOOKUP(AU642,INDEX((係数_乗用_ガソリン,係数_乗用_CNG,係数_乗用_軽油,係数_乗用_メタノール,係数_乗用_LPG),1,1,BE642):INDEX((係数_乗用_ガソリン,係数_乗用_CNG,係数_乗用_軽油,係数_乗用_メタノール,係数_乗用_LPG),125,5,BE642),2,FALSE))))))</f>
        <v/>
      </c>
      <c r="BB642" s="468" t="str">
        <f>IF(T642="","",IF(OR(AU642="",AU642="-"),"－",IF(OR(AZ642=8,AZ642=9),"",IF(OR(AW642=3,AW642=4,AW642=5,AW642=6),VLOOKUP(AU642,INDEX((係数_バス貨物_ガソリン,係数_バス貨物_CNG,係数_バス貨物_軽油,係数_バス貨物_メタノール,係数_バス貨物_LPG),MATCH(AY642,【参考】排出係数!$AI$4:$AI$671,1),1,BE642):INDEX((係数_バス貨物_ガソリン,係数_バス貨物_CNG,係数_バス貨物_軽油,係数_バス貨物_メタノール,係数_バス貨物_LPG),MATCH(AY642+1,【参考】排出係数!$AI$4:$AI$671,1)-1,5,BE642),3,FALSE),IF(OR(AW642=1,AW642=2),VLOOKUP(AU642,INDEX((係数_乗用_ガソリン,係数_乗用_CNG,係数_乗用_軽油,係数_乗用_メタノール,係数_乗用_LPG),1,1,BE642):INDEX((係数_乗用_ガソリン,係数_乗用_CNG,係数_乗用_軽油,係数_乗用_メタノール,係数_乗用_LPG),125,5,BE642),3,FALSE))))))</f>
        <v/>
      </c>
      <c r="BC642" s="467" t="str">
        <f t="shared" si="374"/>
        <v/>
      </c>
      <c r="BD642" s="567" t="str">
        <f t="shared" si="375"/>
        <v/>
      </c>
      <c r="BE642" s="467" t="str">
        <f t="shared" si="376"/>
        <v/>
      </c>
      <c r="BF642" s="469" t="str">
        <f t="shared" ca="1" si="377"/>
        <v/>
      </c>
      <c r="BG642" s="469" t="str">
        <f t="shared" ca="1" si="378"/>
        <v/>
      </c>
      <c r="BH642" s="467" t="str">
        <f t="shared" si="379"/>
        <v/>
      </c>
      <c r="BI642" s="467" t="str">
        <f t="shared" ca="1" si="380"/>
        <v/>
      </c>
      <c r="BJ642" s="469" t="str">
        <f t="shared" si="381"/>
        <v/>
      </c>
      <c r="BK642" s="470" t="str">
        <f t="shared" si="365"/>
        <v/>
      </c>
      <c r="BL642" s="775" t="str">
        <f t="shared" si="382"/>
        <v/>
      </c>
      <c r="BM642" s="775" t="str">
        <f t="shared" si="383"/>
        <v/>
      </c>
    </row>
    <row r="643" spans="1:65">
      <c r="A643" s="473">
        <v>587</v>
      </c>
      <c r="B643" s="132"/>
      <c r="C643" s="332"/>
      <c r="D643" s="333"/>
      <c r="E643" s="333"/>
      <c r="F643" s="334"/>
      <c r="G643" s="337"/>
      <c r="H643" s="131"/>
      <c r="I643" s="337"/>
      <c r="J643" s="131"/>
      <c r="K643" s="458" t="str">
        <f t="shared" si="352"/>
        <v/>
      </c>
      <c r="L643" s="458">
        <f t="shared" si="353"/>
        <v>0</v>
      </c>
      <c r="M643" s="458">
        <f t="shared" si="354"/>
        <v>0</v>
      </c>
      <c r="N643" s="459" t="str">
        <f t="shared" si="283"/>
        <v/>
      </c>
      <c r="O643" s="459" t="str">
        <f t="shared" si="284"/>
        <v/>
      </c>
      <c r="P643" s="459" t="str">
        <f t="shared" si="285"/>
        <v/>
      </c>
      <c r="Q643" s="459" t="str">
        <f t="shared" si="286"/>
        <v/>
      </c>
      <c r="R643" s="459" t="str">
        <f t="shared" si="287"/>
        <v/>
      </c>
      <c r="S643" s="459" t="str">
        <f t="shared" si="288"/>
        <v/>
      </c>
      <c r="T643" s="566" t="str">
        <f t="shared" si="355"/>
        <v/>
      </c>
      <c r="U643" s="702"/>
      <c r="V643" s="132"/>
      <c r="W643" s="133"/>
      <c r="X643" s="134"/>
      <c r="Y643" s="135"/>
      <c r="Z643" s="137"/>
      <c r="AA643" s="136"/>
      <c r="AB643" s="566" t="str">
        <f t="shared" si="356"/>
        <v/>
      </c>
      <c r="AC643" s="568" t="str">
        <f t="shared" si="357"/>
        <v/>
      </c>
      <c r="AD643" s="137"/>
      <c r="AE643" s="137"/>
      <c r="AF643" s="138"/>
      <c r="AG643" s="138"/>
      <c r="AH643" s="592" t="str">
        <f t="shared" si="358"/>
        <v/>
      </c>
      <c r="AI643" s="592" t="str">
        <f t="shared" si="359"/>
        <v/>
      </c>
      <c r="AJ643" s="592" t="str">
        <f t="shared" si="360"/>
        <v/>
      </c>
      <c r="AK643" s="460" t="str">
        <f>IF(AU643="","",IF(OR(AZ643=8,AZ643=9),0,IF(OR(AW643=3,AW643=4,AW643=5,AW643=6),IF(LEFT(BF643,1)="1",INDEX(係数_NOX・PM低減,MATCH(AY643,【参考】排出係数!$AI$801:$AI$804,1),1),VLOOKUP(AU643,INDEX((係数_バス貨物_ガソリン,係数_バス貨物_CNG,係数_バス貨物_軽油,係数_バス貨物_メタノール,係数_バス貨物_LPG),MATCH(AY643,【参考】排出係数!$AI$4:$AI$671,1),1,BE643):INDEX((係数_バス貨物_ガソリン,係数_バス貨物_CNG,係数_バス貨物_軽油,係数_バス貨物_メタノール,係数_バス貨物_LPG),MATCH(AY643+1,【参考】排出係数!$AI$4:$AI$671,1)-1,5,BE643),4,FALSE)),IF(AND(BE643=3,LEFT(BF643,1)="1"),0.48,VLOOKUP(AU643,INDEX((係数_乗用_ガソリン,係数_乗用_CNG,係数_乗用_軽油,係数_乗用_メタノール,係数_乗用_LPG),1,1,BE643):INDEX((係数_乗用_ガソリン,係数_乗用_CNG,係数_乗用_軽油,係数_乗用_メタノール,係数_乗用_LPG),125,5,BE643),4,FALSE)))))</f>
        <v/>
      </c>
      <c r="AL643" s="461" t="str">
        <f t="shared" si="361"/>
        <v/>
      </c>
      <c r="AM643" s="460" t="str">
        <f>IF(AU643="","",IF(OR(AZ643=8,AZ643=9),0,IF(OR(AW643=3,AW643=4,AW643=5,AW643=6),IF(LEFT(BH643,1)="1",INDEX(係数_PM低減,MATCH(AY643,【参考】排出係数!$AI$801:$AI$804,1),MATCH(BI643,【参考】排出係数!$AL$798:$AO$798,1)),VLOOKUP(AU643,INDEX((係数_バス貨物_ガソリン,係数_バス貨物_CNG,係数_バス貨物_軽油,係数_バス貨物_メタノール,係数_バス貨物_LPG),MATCH(AY643,【参考】排出係数!$AI$4:$AI$671,1),1,BE643):INDEX((係数_バス貨物_ガソリン,係数_バス貨物_CNG,係数_バス貨物_軽油,係数_バス貨物_メタノール,係数_バス貨物_LPG),MATCH(AY643+1,【参考】排出係数!$AI$4:$AI$671,1)-1,5,BE643),5,FALSE)),IF(AND(BE643=3,LEFT(BF643,1)="1"),0.055,VLOOKUP(AU643,INDEX((係数_乗用_ガソリン,係数_乗用_CNG,係数_乗用_軽油,係数_乗用_メタノール,係数_乗用_LPG),1,1,BE643):INDEX((係数_乗用_ガソリン,係数_乗用_CNG,係数_乗用_軽油,係数_乗用_メタノール,係数_乗用_LPG),125,5,BE643),5,FALSE)))))</f>
        <v/>
      </c>
      <c r="AN643" s="461" t="str">
        <f t="shared" si="362"/>
        <v/>
      </c>
      <c r="AO643" s="462" t="str">
        <f t="shared" si="363"/>
        <v/>
      </c>
      <c r="AP643" s="463" t="str">
        <f t="shared" si="364"/>
        <v/>
      </c>
      <c r="AQ643" s="464"/>
      <c r="AR643" s="619"/>
      <c r="AS643" s="465" t="str">
        <f t="shared" si="366"/>
        <v/>
      </c>
      <c r="AT643" s="465" t="str">
        <f t="shared" si="367"/>
        <v/>
      </c>
      <c r="AU643" s="466" t="str">
        <f t="shared" si="368"/>
        <v/>
      </c>
      <c r="AV643" s="467" t="str">
        <f t="shared" si="369"/>
        <v/>
      </c>
      <c r="AW643" s="467" t="str">
        <f t="shared" si="370"/>
        <v/>
      </c>
      <c r="AX643" s="467" t="str">
        <f t="shared" si="371"/>
        <v/>
      </c>
      <c r="AY643" s="467" t="str">
        <f t="shared" si="372"/>
        <v/>
      </c>
      <c r="AZ643" s="467" t="str">
        <f t="shared" si="373"/>
        <v/>
      </c>
      <c r="BA643" s="468" t="str">
        <f>IF(AS643="","",IF(OR(AU643="",AU643="-"),"－",IF(OR(AZ643=8,AZ643=9),"",IF(OR(AW643=3,AW643=4,AW643=5,AW643=6),VLOOKUP(AU643,INDEX((係数_バス貨物_ガソリン,係数_バス貨物_CNG,係数_バス貨物_軽油,係数_バス貨物_メタノール,係数_バス貨物_LPG),MATCH(AY643,【参考】排出係数!$AI$4:$AI$671,1),1,BE643):INDEX((係数_バス貨物_ガソリン,係数_バス貨物_CNG,係数_バス貨物_軽油,係数_バス貨物_メタノール,係数_バス貨物_LPG),MATCH(AY643+1,【参考】排出係数!$AI$4:$AI$671,1)-1,5,BE643),2,FALSE),IF(OR(AW643=1,AW643=2),VLOOKUP(AU643,INDEX((係数_乗用_ガソリン,係数_乗用_CNG,係数_乗用_軽油,係数_乗用_メタノール,係数_乗用_LPG),1,1,BE643):INDEX((係数_乗用_ガソリン,係数_乗用_CNG,係数_乗用_軽油,係数_乗用_メタノール,係数_乗用_LPG),125,5,BE643),2,FALSE))))))</f>
        <v/>
      </c>
      <c r="BB643" s="468" t="str">
        <f>IF(T643="","",IF(OR(AU643="",AU643="-"),"－",IF(OR(AZ643=8,AZ643=9),"",IF(OR(AW643=3,AW643=4,AW643=5,AW643=6),VLOOKUP(AU643,INDEX((係数_バス貨物_ガソリン,係数_バス貨物_CNG,係数_バス貨物_軽油,係数_バス貨物_メタノール,係数_バス貨物_LPG),MATCH(AY643,【参考】排出係数!$AI$4:$AI$671,1),1,BE643):INDEX((係数_バス貨物_ガソリン,係数_バス貨物_CNG,係数_バス貨物_軽油,係数_バス貨物_メタノール,係数_バス貨物_LPG),MATCH(AY643+1,【参考】排出係数!$AI$4:$AI$671,1)-1,5,BE643),3,FALSE),IF(OR(AW643=1,AW643=2),VLOOKUP(AU643,INDEX((係数_乗用_ガソリン,係数_乗用_CNG,係数_乗用_軽油,係数_乗用_メタノール,係数_乗用_LPG),1,1,BE643):INDEX((係数_乗用_ガソリン,係数_乗用_CNG,係数_乗用_軽油,係数_乗用_メタノール,係数_乗用_LPG),125,5,BE643),3,FALSE))))))</f>
        <v/>
      </c>
      <c r="BC643" s="467" t="str">
        <f t="shared" si="374"/>
        <v/>
      </c>
      <c r="BD643" s="567" t="str">
        <f t="shared" si="375"/>
        <v/>
      </c>
      <c r="BE643" s="467" t="str">
        <f t="shared" si="376"/>
        <v/>
      </c>
      <c r="BF643" s="469" t="str">
        <f t="shared" ca="1" si="377"/>
        <v/>
      </c>
      <c r="BG643" s="469" t="str">
        <f t="shared" ca="1" si="378"/>
        <v/>
      </c>
      <c r="BH643" s="467" t="str">
        <f t="shared" si="379"/>
        <v/>
      </c>
      <c r="BI643" s="467" t="str">
        <f t="shared" ca="1" si="380"/>
        <v/>
      </c>
      <c r="BJ643" s="469" t="str">
        <f t="shared" si="381"/>
        <v/>
      </c>
      <c r="BK643" s="470" t="str">
        <f t="shared" si="365"/>
        <v/>
      </c>
      <c r="BL643" s="775" t="str">
        <f t="shared" si="382"/>
        <v/>
      </c>
      <c r="BM643" s="775" t="str">
        <f t="shared" si="383"/>
        <v/>
      </c>
    </row>
    <row r="644" spans="1:65">
      <c r="A644" s="473">
        <v>588</v>
      </c>
      <c r="B644" s="132"/>
      <c r="C644" s="332"/>
      <c r="D644" s="333"/>
      <c r="E644" s="333"/>
      <c r="F644" s="334"/>
      <c r="G644" s="337"/>
      <c r="H644" s="131"/>
      <c r="I644" s="337"/>
      <c r="J644" s="131"/>
      <c r="K644" s="458" t="str">
        <f t="shared" si="352"/>
        <v/>
      </c>
      <c r="L644" s="458">
        <f t="shared" si="353"/>
        <v>0</v>
      </c>
      <c r="M644" s="458">
        <f t="shared" si="354"/>
        <v>0</v>
      </c>
      <c r="N644" s="459" t="str">
        <f t="shared" si="283"/>
        <v/>
      </c>
      <c r="O644" s="459" t="str">
        <f t="shared" si="284"/>
        <v/>
      </c>
      <c r="P644" s="459" t="str">
        <f t="shared" si="285"/>
        <v/>
      </c>
      <c r="Q644" s="459" t="str">
        <f t="shared" si="286"/>
        <v/>
      </c>
      <c r="R644" s="459" t="str">
        <f t="shared" si="287"/>
        <v/>
      </c>
      <c r="S644" s="459" t="str">
        <f t="shared" si="288"/>
        <v/>
      </c>
      <c r="T644" s="566" t="str">
        <f t="shared" si="355"/>
        <v/>
      </c>
      <c r="U644" s="702"/>
      <c r="V644" s="132"/>
      <c r="W644" s="133"/>
      <c r="X644" s="134"/>
      <c r="Y644" s="135"/>
      <c r="Z644" s="137"/>
      <c r="AA644" s="136"/>
      <c r="AB644" s="566" t="str">
        <f t="shared" si="356"/>
        <v/>
      </c>
      <c r="AC644" s="568" t="str">
        <f t="shared" si="357"/>
        <v/>
      </c>
      <c r="AD644" s="137"/>
      <c r="AE644" s="137"/>
      <c r="AF644" s="138"/>
      <c r="AG644" s="138"/>
      <c r="AH644" s="592" t="str">
        <f t="shared" si="358"/>
        <v/>
      </c>
      <c r="AI644" s="592" t="str">
        <f t="shared" si="359"/>
        <v/>
      </c>
      <c r="AJ644" s="592" t="str">
        <f t="shared" si="360"/>
        <v/>
      </c>
      <c r="AK644" s="460" t="str">
        <f>IF(AU644="","",IF(OR(AZ644=8,AZ644=9),0,IF(OR(AW644=3,AW644=4,AW644=5,AW644=6),IF(LEFT(BF644,1)="1",INDEX(係数_NOX・PM低減,MATCH(AY644,【参考】排出係数!$AI$801:$AI$804,1),1),VLOOKUP(AU644,INDEX((係数_バス貨物_ガソリン,係数_バス貨物_CNG,係数_バス貨物_軽油,係数_バス貨物_メタノール,係数_バス貨物_LPG),MATCH(AY644,【参考】排出係数!$AI$4:$AI$671,1),1,BE644):INDEX((係数_バス貨物_ガソリン,係数_バス貨物_CNG,係数_バス貨物_軽油,係数_バス貨物_メタノール,係数_バス貨物_LPG),MATCH(AY644+1,【参考】排出係数!$AI$4:$AI$671,1)-1,5,BE644),4,FALSE)),IF(AND(BE644=3,LEFT(BF644,1)="1"),0.48,VLOOKUP(AU644,INDEX((係数_乗用_ガソリン,係数_乗用_CNG,係数_乗用_軽油,係数_乗用_メタノール,係数_乗用_LPG),1,1,BE644):INDEX((係数_乗用_ガソリン,係数_乗用_CNG,係数_乗用_軽油,係数_乗用_メタノール,係数_乗用_LPG),125,5,BE644),4,FALSE)))))</f>
        <v/>
      </c>
      <c r="AL644" s="461" t="str">
        <f t="shared" si="361"/>
        <v/>
      </c>
      <c r="AM644" s="460" t="str">
        <f>IF(AU644="","",IF(OR(AZ644=8,AZ644=9),0,IF(OR(AW644=3,AW644=4,AW644=5,AW644=6),IF(LEFT(BH644,1)="1",INDEX(係数_PM低減,MATCH(AY644,【参考】排出係数!$AI$801:$AI$804,1),MATCH(BI644,【参考】排出係数!$AL$798:$AO$798,1)),VLOOKUP(AU644,INDEX((係数_バス貨物_ガソリン,係数_バス貨物_CNG,係数_バス貨物_軽油,係数_バス貨物_メタノール,係数_バス貨物_LPG),MATCH(AY644,【参考】排出係数!$AI$4:$AI$671,1),1,BE644):INDEX((係数_バス貨物_ガソリン,係数_バス貨物_CNG,係数_バス貨物_軽油,係数_バス貨物_メタノール,係数_バス貨物_LPG),MATCH(AY644+1,【参考】排出係数!$AI$4:$AI$671,1)-1,5,BE644),5,FALSE)),IF(AND(BE644=3,LEFT(BF644,1)="1"),0.055,VLOOKUP(AU644,INDEX((係数_乗用_ガソリン,係数_乗用_CNG,係数_乗用_軽油,係数_乗用_メタノール,係数_乗用_LPG),1,1,BE644):INDEX((係数_乗用_ガソリン,係数_乗用_CNG,係数_乗用_軽油,係数_乗用_メタノール,係数_乗用_LPG),125,5,BE644),5,FALSE)))))</f>
        <v/>
      </c>
      <c r="AN644" s="461" t="str">
        <f t="shared" si="362"/>
        <v/>
      </c>
      <c r="AO644" s="462" t="str">
        <f t="shared" si="363"/>
        <v/>
      </c>
      <c r="AP644" s="463" t="str">
        <f t="shared" si="364"/>
        <v/>
      </c>
      <c r="AQ644" s="464"/>
      <c r="AR644" s="619"/>
      <c r="AS644" s="465" t="str">
        <f t="shared" si="366"/>
        <v/>
      </c>
      <c r="AT644" s="465" t="str">
        <f t="shared" si="367"/>
        <v/>
      </c>
      <c r="AU644" s="466" t="str">
        <f t="shared" si="368"/>
        <v/>
      </c>
      <c r="AV644" s="467" t="str">
        <f t="shared" si="369"/>
        <v/>
      </c>
      <c r="AW644" s="467" t="str">
        <f t="shared" si="370"/>
        <v/>
      </c>
      <c r="AX644" s="467" t="str">
        <f t="shared" si="371"/>
        <v/>
      </c>
      <c r="AY644" s="467" t="str">
        <f t="shared" si="372"/>
        <v/>
      </c>
      <c r="AZ644" s="467" t="str">
        <f t="shared" si="373"/>
        <v/>
      </c>
      <c r="BA644" s="468" t="str">
        <f>IF(AS644="","",IF(OR(AU644="",AU644="-"),"－",IF(OR(AZ644=8,AZ644=9),"",IF(OR(AW644=3,AW644=4,AW644=5,AW644=6),VLOOKUP(AU644,INDEX((係数_バス貨物_ガソリン,係数_バス貨物_CNG,係数_バス貨物_軽油,係数_バス貨物_メタノール,係数_バス貨物_LPG),MATCH(AY644,【参考】排出係数!$AI$4:$AI$671,1),1,BE644):INDEX((係数_バス貨物_ガソリン,係数_バス貨物_CNG,係数_バス貨物_軽油,係数_バス貨物_メタノール,係数_バス貨物_LPG),MATCH(AY644+1,【参考】排出係数!$AI$4:$AI$671,1)-1,5,BE644),2,FALSE),IF(OR(AW644=1,AW644=2),VLOOKUP(AU644,INDEX((係数_乗用_ガソリン,係数_乗用_CNG,係数_乗用_軽油,係数_乗用_メタノール,係数_乗用_LPG),1,1,BE644):INDEX((係数_乗用_ガソリン,係数_乗用_CNG,係数_乗用_軽油,係数_乗用_メタノール,係数_乗用_LPG),125,5,BE644),2,FALSE))))))</f>
        <v/>
      </c>
      <c r="BB644" s="468" t="str">
        <f>IF(T644="","",IF(OR(AU644="",AU644="-"),"－",IF(OR(AZ644=8,AZ644=9),"",IF(OR(AW644=3,AW644=4,AW644=5,AW644=6),VLOOKUP(AU644,INDEX((係数_バス貨物_ガソリン,係数_バス貨物_CNG,係数_バス貨物_軽油,係数_バス貨物_メタノール,係数_バス貨物_LPG),MATCH(AY644,【参考】排出係数!$AI$4:$AI$671,1),1,BE644):INDEX((係数_バス貨物_ガソリン,係数_バス貨物_CNG,係数_バス貨物_軽油,係数_バス貨物_メタノール,係数_バス貨物_LPG),MATCH(AY644+1,【参考】排出係数!$AI$4:$AI$671,1)-1,5,BE644),3,FALSE),IF(OR(AW644=1,AW644=2),VLOOKUP(AU644,INDEX((係数_乗用_ガソリン,係数_乗用_CNG,係数_乗用_軽油,係数_乗用_メタノール,係数_乗用_LPG),1,1,BE644):INDEX((係数_乗用_ガソリン,係数_乗用_CNG,係数_乗用_軽油,係数_乗用_メタノール,係数_乗用_LPG),125,5,BE644),3,FALSE))))))</f>
        <v/>
      </c>
      <c r="BC644" s="467" t="str">
        <f t="shared" si="374"/>
        <v/>
      </c>
      <c r="BD644" s="567" t="str">
        <f t="shared" si="375"/>
        <v/>
      </c>
      <c r="BE644" s="467" t="str">
        <f t="shared" si="376"/>
        <v/>
      </c>
      <c r="BF644" s="469" t="str">
        <f t="shared" ca="1" si="377"/>
        <v/>
      </c>
      <c r="BG644" s="469" t="str">
        <f t="shared" ca="1" si="378"/>
        <v/>
      </c>
      <c r="BH644" s="467" t="str">
        <f t="shared" si="379"/>
        <v/>
      </c>
      <c r="BI644" s="467" t="str">
        <f t="shared" ca="1" si="380"/>
        <v/>
      </c>
      <c r="BJ644" s="469" t="str">
        <f t="shared" si="381"/>
        <v/>
      </c>
      <c r="BK644" s="470" t="str">
        <f t="shared" si="365"/>
        <v/>
      </c>
      <c r="BL644" s="775" t="str">
        <f t="shared" si="382"/>
        <v/>
      </c>
      <c r="BM644" s="775" t="str">
        <f t="shared" si="383"/>
        <v/>
      </c>
    </row>
    <row r="645" spans="1:65">
      <c r="A645" s="473">
        <v>589</v>
      </c>
      <c r="B645" s="132"/>
      <c r="C645" s="332"/>
      <c r="D645" s="333"/>
      <c r="E645" s="333"/>
      <c r="F645" s="334"/>
      <c r="G645" s="337"/>
      <c r="H645" s="131"/>
      <c r="I645" s="337"/>
      <c r="J645" s="131"/>
      <c r="K645" s="458" t="str">
        <f t="shared" si="352"/>
        <v/>
      </c>
      <c r="L645" s="458">
        <f t="shared" si="353"/>
        <v>0</v>
      </c>
      <c r="M645" s="458">
        <f t="shared" si="354"/>
        <v>0</v>
      </c>
      <c r="N645" s="459" t="str">
        <f t="shared" si="283"/>
        <v/>
      </c>
      <c r="O645" s="459" t="str">
        <f t="shared" si="284"/>
        <v/>
      </c>
      <c r="P645" s="459" t="str">
        <f t="shared" si="285"/>
        <v/>
      </c>
      <c r="Q645" s="459" t="str">
        <f t="shared" si="286"/>
        <v/>
      </c>
      <c r="R645" s="459" t="str">
        <f t="shared" si="287"/>
        <v/>
      </c>
      <c r="S645" s="459" t="str">
        <f t="shared" si="288"/>
        <v/>
      </c>
      <c r="T645" s="566" t="str">
        <f t="shared" si="355"/>
        <v/>
      </c>
      <c r="U645" s="702"/>
      <c r="V645" s="132"/>
      <c r="W645" s="133"/>
      <c r="X645" s="134"/>
      <c r="Y645" s="135"/>
      <c r="Z645" s="137"/>
      <c r="AA645" s="136"/>
      <c r="AB645" s="566" t="str">
        <f t="shared" si="356"/>
        <v/>
      </c>
      <c r="AC645" s="568" t="str">
        <f t="shared" si="357"/>
        <v/>
      </c>
      <c r="AD645" s="137"/>
      <c r="AE645" s="137"/>
      <c r="AF645" s="138"/>
      <c r="AG645" s="138"/>
      <c r="AH645" s="592" t="str">
        <f t="shared" si="358"/>
        <v/>
      </c>
      <c r="AI645" s="592" t="str">
        <f t="shared" si="359"/>
        <v/>
      </c>
      <c r="AJ645" s="592" t="str">
        <f t="shared" si="360"/>
        <v/>
      </c>
      <c r="AK645" s="460" t="str">
        <f>IF(AU645="","",IF(OR(AZ645=8,AZ645=9),0,IF(OR(AW645=3,AW645=4,AW645=5,AW645=6),IF(LEFT(BF645,1)="1",INDEX(係数_NOX・PM低減,MATCH(AY645,【参考】排出係数!$AI$801:$AI$804,1),1),VLOOKUP(AU645,INDEX((係数_バス貨物_ガソリン,係数_バス貨物_CNG,係数_バス貨物_軽油,係数_バス貨物_メタノール,係数_バス貨物_LPG),MATCH(AY645,【参考】排出係数!$AI$4:$AI$671,1),1,BE645):INDEX((係数_バス貨物_ガソリン,係数_バス貨物_CNG,係数_バス貨物_軽油,係数_バス貨物_メタノール,係数_バス貨物_LPG),MATCH(AY645+1,【参考】排出係数!$AI$4:$AI$671,1)-1,5,BE645),4,FALSE)),IF(AND(BE645=3,LEFT(BF645,1)="1"),0.48,VLOOKUP(AU645,INDEX((係数_乗用_ガソリン,係数_乗用_CNG,係数_乗用_軽油,係数_乗用_メタノール,係数_乗用_LPG),1,1,BE645):INDEX((係数_乗用_ガソリン,係数_乗用_CNG,係数_乗用_軽油,係数_乗用_メタノール,係数_乗用_LPG),125,5,BE645),4,FALSE)))))</f>
        <v/>
      </c>
      <c r="AL645" s="461" t="str">
        <f t="shared" si="361"/>
        <v/>
      </c>
      <c r="AM645" s="460" t="str">
        <f>IF(AU645="","",IF(OR(AZ645=8,AZ645=9),0,IF(OR(AW645=3,AW645=4,AW645=5,AW645=6),IF(LEFT(BH645,1)="1",INDEX(係数_PM低減,MATCH(AY645,【参考】排出係数!$AI$801:$AI$804,1),MATCH(BI645,【参考】排出係数!$AL$798:$AO$798,1)),VLOOKUP(AU645,INDEX((係数_バス貨物_ガソリン,係数_バス貨物_CNG,係数_バス貨物_軽油,係数_バス貨物_メタノール,係数_バス貨物_LPG),MATCH(AY645,【参考】排出係数!$AI$4:$AI$671,1),1,BE645):INDEX((係数_バス貨物_ガソリン,係数_バス貨物_CNG,係数_バス貨物_軽油,係数_バス貨物_メタノール,係数_バス貨物_LPG),MATCH(AY645+1,【参考】排出係数!$AI$4:$AI$671,1)-1,5,BE645),5,FALSE)),IF(AND(BE645=3,LEFT(BF645,1)="1"),0.055,VLOOKUP(AU645,INDEX((係数_乗用_ガソリン,係数_乗用_CNG,係数_乗用_軽油,係数_乗用_メタノール,係数_乗用_LPG),1,1,BE645):INDEX((係数_乗用_ガソリン,係数_乗用_CNG,係数_乗用_軽油,係数_乗用_メタノール,係数_乗用_LPG),125,5,BE645),5,FALSE)))))</f>
        <v/>
      </c>
      <c r="AN645" s="461" t="str">
        <f t="shared" si="362"/>
        <v/>
      </c>
      <c r="AO645" s="462" t="str">
        <f t="shared" si="363"/>
        <v/>
      </c>
      <c r="AP645" s="463" t="str">
        <f t="shared" si="364"/>
        <v/>
      </c>
      <c r="AQ645" s="464"/>
      <c r="AR645" s="619"/>
      <c r="AS645" s="465" t="str">
        <f t="shared" si="366"/>
        <v/>
      </c>
      <c r="AT645" s="465" t="str">
        <f t="shared" si="367"/>
        <v/>
      </c>
      <c r="AU645" s="466" t="str">
        <f t="shared" si="368"/>
        <v/>
      </c>
      <c r="AV645" s="467" t="str">
        <f t="shared" si="369"/>
        <v/>
      </c>
      <c r="AW645" s="467" t="str">
        <f t="shared" si="370"/>
        <v/>
      </c>
      <c r="AX645" s="467" t="str">
        <f t="shared" si="371"/>
        <v/>
      </c>
      <c r="AY645" s="467" t="str">
        <f t="shared" si="372"/>
        <v/>
      </c>
      <c r="AZ645" s="467" t="str">
        <f t="shared" si="373"/>
        <v/>
      </c>
      <c r="BA645" s="468" t="str">
        <f>IF(AS645="","",IF(OR(AU645="",AU645="-"),"－",IF(OR(AZ645=8,AZ645=9),"",IF(OR(AW645=3,AW645=4,AW645=5,AW645=6),VLOOKUP(AU645,INDEX((係数_バス貨物_ガソリン,係数_バス貨物_CNG,係数_バス貨物_軽油,係数_バス貨物_メタノール,係数_バス貨物_LPG),MATCH(AY645,【参考】排出係数!$AI$4:$AI$671,1),1,BE645):INDEX((係数_バス貨物_ガソリン,係数_バス貨物_CNG,係数_バス貨物_軽油,係数_バス貨物_メタノール,係数_バス貨物_LPG),MATCH(AY645+1,【参考】排出係数!$AI$4:$AI$671,1)-1,5,BE645),2,FALSE),IF(OR(AW645=1,AW645=2),VLOOKUP(AU645,INDEX((係数_乗用_ガソリン,係数_乗用_CNG,係数_乗用_軽油,係数_乗用_メタノール,係数_乗用_LPG),1,1,BE645):INDEX((係数_乗用_ガソリン,係数_乗用_CNG,係数_乗用_軽油,係数_乗用_メタノール,係数_乗用_LPG),125,5,BE645),2,FALSE))))))</f>
        <v/>
      </c>
      <c r="BB645" s="468" t="str">
        <f>IF(T645="","",IF(OR(AU645="",AU645="-"),"－",IF(OR(AZ645=8,AZ645=9),"",IF(OR(AW645=3,AW645=4,AW645=5,AW645=6),VLOOKUP(AU645,INDEX((係数_バス貨物_ガソリン,係数_バス貨物_CNG,係数_バス貨物_軽油,係数_バス貨物_メタノール,係数_バス貨物_LPG),MATCH(AY645,【参考】排出係数!$AI$4:$AI$671,1),1,BE645):INDEX((係数_バス貨物_ガソリン,係数_バス貨物_CNG,係数_バス貨物_軽油,係数_バス貨物_メタノール,係数_バス貨物_LPG),MATCH(AY645+1,【参考】排出係数!$AI$4:$AI$671,1)-1,5,BE645),3,FALSE),IF(OR(AW645=1,AW645=2),VLOOKUP(AU645,INDEX((係数_乗用_ガソリン,係数_乗用_CNG,係数_乗用_軽油,係数_乗用_メタノール,係数_乗用_LPG),1,1,BE645):INDEX((係数_乗用_ガソリン,係数_乗用_CNG,係数_乗用_軽油,係数_乗用_メタノール,係数_乗用_LPG),125,5,BE645),3,FALSE))))))</f>
        <v/>
      </c>
      <c r="BC645" s="467" t="str">
        <f t="shared" si="374"/>
        <v/>
      </c>
      <c r="BD645" s="567" t="str">
        <f t="shared" si="375"/>
        <v/>
      </c>
      <c r="BE645" s="467" t="str">
        <f t="shared" si="376"/>
        <v/>
      </c>
      <c r="BF645" s="469" t="str">
        <f t="shared" ca="1" si="377"/>
        <v/>
      </c>
      <c r="BG645" s="469" t="str">
        <f t="shared" ca="1" si="378"/>
        <v/>
      </c>
      <c r="BH645" s="467" t="str">
        <f t="shared" si="379"/>
        <v/>
      </c>
      <c r="BI645" s="467" t="str">
        <f t="shared" ca="1" si="380"/>
        <v/>
      </c>
      <c r="BJ645" s="469" t="str">
        <f t="shared" si="381"/>
        <v/>
      </c>
      <c r="BK645" s="470" t="str">
        <f t="shared" si="365"/>
        <v/>
      </c>
      <c r="BL645" s="775" t="str">
        <f t="shared" si="382"/>
        <v/>
      </c>
      <c r="BM645" s="775" t="str">
        <f t="shared" si="383"/>
        <v/>
      </c>
    </row>
    <row r="646" spans="1:65">
      <c r="A646" s="473">
        <v>590</v>
      </c>
      <c r="B646" s="132"/>
      <c r="C646" s="332"/>
      <c r="D646" s="333"/>
      <c r="E646" s="333"/>
      <c r="F646" s="334"/>
      <c r="G646" s="337"/>
      <c r="H646" s="131"/>
      <c r="I646" s="337"/>
      <c r="J646" s="131"/>
      <c r="K646" s="458" t="str">
        <f t="shared" si="352"/>
        <v/>
      </c>
      <c r="L646" s="458">
        <f t="shared" si="353"/>
        <v>0</v>
      </c>
      <c r="M646" s="458">
        <f t="shared" si="354"/>
        <v>0</v>
      </c>
      <c r="N646" s="459" t="str">
        <f t="shared" si="283"/>
        <v/>
      </c>
      <c r="O646" s="459" t="str">
        <f t="shared" si="284"/>
        <v/>
      </c>
      <c r="P646" s="459" t="str">
        <f t="shared" si="285"/>
        <v/>
      </c>
      <c r="Q646" s="459" t="str">
        <f t="shared" si="286"/>
        <v/>
      </c>
      <c r="R646" s="459" t="str">
        <f t="shared" si="287"/>
        <v/>
      </c>
      <c r="S646" s="459" t="str">
        <f t="shared" si="288"/>
        <v/>
      </c>
      <c r="T646" s="566" t="str">
        <f t="shared" si="355"/>
        <v/>
      </c>
      <c r="U646" s="702"/>
      <c r="V646" s="132"/>
      <c r="W646" s="133"/>
      <c r="X646" s="134"/>
      <c r="Y646" s="135"/>
      <c r="Z646" s="137"/>
      <c r="AA646" s="136"/>
      <c r="AB646" s="566" t="str">
        <f t="shared" si="356"/>
        <v/>
      </c>
      <c r="AC646" s="568" t="str">
        <f t="shared" si="357"/>
        <v/>
      </c>
      <c r="AD646" s="137"/>
      <c r="AE646" s="137"/>
      <c r="AF646" s="138"/>
      <c r="AG646" s="138"/>
      <c r="AH646" s="592" t="str">
        <f t="shared" si="358"/>
        <v/>
      </c>
      <c r="AI646" s="592" t="str">
        <f t="shared" si="359"/>
        <v/>
      </c>
      <c r="AJ646" s="592" t="str">
        <f t="shared" si="360"/>
        <v/>
      </c>
      <c r="AK646" s="460" t="str">
        <f>IF(AU646="","",IF(OR(AZ646=8,AZ646=9),0,IF(OR(AW646=3,AW646=4,AW646=5,AW646=6),IF(LEFT(BF646,1)="1",INDEX(係数_NOX・PM低減,MATCH(AY646,【参考】排出係数!$AI$801:$AI$804,1),1),VLOOKUP(AU646,INDEX((係数_バス貨物_ガソリン,係数_バス貨物_CNG,係数_バス貨物_軽油,係数_バス貨物_メタノール,係数_バス貨物_LPG),MATCH(AY646,【参考】排出係数!$AI$4:$AI$671,1),1,BE646):INDEX((係数_バス貨物_ガソリン,係数_バス貨物_CNG,係数_バス貨物_軽油,係数_バス貨物_メタノール,係数_バス貨物_LPG),MATCH(AY646+1,【参考】排出係数!$AI$4:$AI$671,1)-1,5,BE646),4,FALSE)),IF(AND(BE646=3,LEFT(BF646,1)="1"),0.48,VLOOKUP(AU646,INDEX((係数_乗用_ガソリン,係数_乗用_CNG,係数_乗用_軽油,係数_乗用_メタノール,係数_乗用_LPG),1,1,BE646):INDEX((係数_乗用_ガソリン,係数_乗用_CNG,係数_乗用_軽油,係数_乗用_メタノール,係数_乗用_LPG),125,5,BE646),4,FALSE)))))</f>
        <v/>
      </c>
      <c r="AL646" s="461" t="str">
        <f t="shared" si="361"/>
        <v/>
      </c>
      <c r="AM646" s="460" t="str">
        <f>IF(AU646="","",IF(OR(AZ646=8,AZ646=9),0,IF(OR(AW646=3,AW646=4,AW646=5,AW646=6),IF(LEFT(BH646,1)="1",INDEX(係数_PM低減,MATCH(AY646,【参考】排出係数!$AI$801:$AI$804,1),MATCH(BI646,【参考】排出係数!$AL$798:$AO$798,1)),VLOOKUP(AU646,INDEX((係数_バス貨物_ガソリン,係数_バス貨物_CNG,係数_バス貨物_軽油,係数_バス貨物_メタノール,係数_バス貨物_LPG),MATCH(AY646,【参考】排出係数!$AI$4:$AI$671,1),1,BE646):INDEX((係数_バス貨物_ガソリン,係数_バス貨物_CNG,係数_バス貨物_軽油,係数_バス貨物_メタノール,係数_バス貨物_LPG),MATCH(AY646+1,【参考】排出係数!$AI$4:$AI$671,1)-1,5,BE646),5,FALSE)),IF(AND(BE646=3,LEFT(BF646,1)="1"),0.055,VLOOKUP(AU646,INDEX((係数_乗用_ガソリン,係数_乗用_CNG,係数_乗用_軽油,係数_乗用_メタノール,係数_乗用_LPG),1,1,BE646):INDEX((係数_乗用_ガソリン,係数_乗用_CNG,係数_乗用_軽油,係数_乗用_メタノール,係数_乗用_LPG),125,5,BE646),5,FALSE)))))</f>
        <v/>
      </c>
      <c r="AN646" s="461" t="str">
        <f t="shared" si="362"/>
        <v/>
      </c>
      <c r="AO646" s="462" t="str">
        <f t="shared" si="363"/>
        <v/>
      </c>
      <c r="AP646" s="463" t="str">
        <f t="shared" si="364"/>
        <v/>
      </c>
      <c r="AQ646" s="464"/>
      <c r="AR646" s="619"/>
      <c r="AS646" s="465" t="str">
        <f t="shared" si="366"/>
        <v/>
      </c>
      <c r="AT646" s="465" t="str">
        <f t="shared" si="367"/>
        <v/>
      </c>
      <c r="AU646" s="466" t="str">
        <f t="shared" si="368"/>
        <v/>
      </c>
      <c r="AV646" s="467" t="str">
        <f t="shared" si="369"/>
        <v/>
      </c>
      <c r="AW646" s="467" t="str">
        <f t="shared" si="370"/>
        <v/>
      </c>
      <c r="AX646" s="467" t="str">
        <f t="shared" si="371"/>
        <v/>
      </c>
      <c r="AY646" s="467" t="str">
        <f t="shared" si="372"/>
        <v/>
      </c>
      <c r="AZ646" s="467" t="str">
        <f t="shared" si="373"/>
        <v/>
      </c>
      <c r="BA646" s="468" t="str">
        <f>IF(AS646="","",IF(OR(AU646="",AU646="-"),"－",IF(OR(AZ646=8,AZ646=9),"",IF(OR(AW646=3,AW646=4,AW646=5,AW646=6),VLOOKUP(AU646,INDEX((係数_バス貨物_ガソリン,係数_バス貨物_CNG,係数_バス貨物_軽油,係数_バス貨物_メタノール,係数_バス貨物_LPG),MATCH(AY646,【参考】排出係数!$AI$4:$AI$671,1),1,BE646):INDEX((係数_バス貨物_ガソリン,係数_バス貨物_CNG,係数_バス貨物_軽油,係数_バス貨物_メタノール,係数_バス貨物_LPG),MATCH(AY646+1,【参考】排出係数!$AI$4:$AI$671,1)-1,5,BE646),2,FALSE),IF(OR(AW646=1,AW646=2),VLOOKUP(AU646,INDEX((係数_乗用_ガソリン,係数_乗用_CNG,係数_乗用_軽油,係数_乗用_メタノール,係数_乗用_LPG),1,1,BE646):INDEX((係数_乗用_ガソリン,係数_乗用_CNG,係数_乗用_軽油,係数_乗用_メタノール,係数_乗用_LPG),125,5,BE646),2,FALSE))))))</f>
        <v/>
      </c>
      <c r="BB646" s="468" t="str">
        <f>IF(T646="","",IF(OR(AU646="",AU646="-"),"－",IF(OR(AZ646=8,AZ646=9),"",IF(OR(AW646=3,AW646=4,AW646=5,AW646=6),VLOOKUP(AU646,INDEX((係数_バス貨物_ガソリン,係数_バス貨物_CNG,係数_バス貨物_軽油,係数_バス貨物_メタノール,係数_バス貨物_LPG),MATCH(AY646,【参考】排出係数!$AI$4:$AI$671,1),1,BE646):INDEX((係数_バス貨物_ガソリン,係数_バス貨物_CNG,係数_バス貨物_軽油,係数_バス貨物_メタノール,係数_バス貨物_LPG),MATCH(AY646+1,【参考】排出係数!$AI$4:$AI$671,1)-1,5,BE646),3,FALSE),IF(OR(AW646=1,AW646=2),VLOOKUP(AU646,INDEX((係数_乗用_ガソリン,係数_乗用_CNG,係数_乗用_軽油,係数_乗用_メタノール,係数_乗用_LPG),1,1,BE646):INDEX((係数_乗用_ガソリン,係数_乗用_CNG,係数_乗用_軽油,係数_乗用_メタノール,係数_乗用_LPG),125,5,BE646),3,FALSE))))))</f>
        <v/>
      </c>
      <c r="BC646" s="467" t="str">
        <f t="shared" si="374"/>
        <v/>
      </c>
      <c r="BD646" s="567" t="str">
        <f t="shared" si="375"/>
        <v/>
      </c>
      <c r="BE646" s="467" t="str">
        <f t="shared" si="376"/>
        <v/>
      </c>
      <c r="BF646" s="469" t="str">
        <f t="shared" ca="1" si="377"/>
        <v/>
      </c>
      <c r="BG646" s="469" t="str">
        <f t="shared" ca="1" si="378"/>
        <v/>
      </c>
      <c r="BH646" s="467" t="str">
        <f t="shared" si="379"/>
        <v/>
      </c>
      <c r="BI646" s="467" t="str">
        <f t="shared" ca="1" si="380"/>
        <v/>
      </c>
      <c r="BJ646" s="469" t="str">
        <f t="shared" si="381"/>
        <v/>
      </c>
      <c r="BK646" s="470" t="str">
        <f t="shared" si="365"/>
        <v/>
      </c>
      <c r="BL646" s="775" t="str">
        <f t="shared" si="382"/>
        <v/>
      </c>
      <c r="BM646" s="775" t="str">
        <f t="shared" si="383"/>
        <v/>
      </c>
    </row>
    <row r="647" spans="1:65">
      <c r="A647" s="473">
        <v>591</v>
      </c>
      <c r="B647" s="132"/>
      <c r="C647" s="332"/>
      <c r="D647" s="333"/>
      <c r="E647" s="333"/>
      <c r="F647" s="334"/>
      <c r="G647" s="337"/>
      <c r="H647" s="131"/>
      <c r="I647" s="337"/>
      <c r="J647" s="131"/>
      <c r="K647" s="458" t="str">
        <f t="shared" si="352"/>
        <v/>
      </c>
      <c r="L647" s="458">
        <f t="shared" si="353"/>
        <v>0</v>
      </c>
      <c r="M647" s="458">
        <f t="shared" si="354"/>
        <v>0</v>
      </c>
      <c r="N647" s="459" t="str">
        <f t="shared" si="283"/>
        <v/>
      </c>
      <c r="O647" s="459" t="str">
        <f t="shared" si="284"/>
        <v/>
      </c>
      <c r="P647" s="459" t="str">
        <f t="shared" si="285"/>
        <v/>
      </c>
      <c r="Q647" s="459" t="str">
        <f t="shared" si="286"/>
        <v/>
      </c>
      <c r="R647" s="459" t="str">
        <f t="shared" si="287"/>
        <v/>
      </c>
      <c r="S647" s="459" t="str">
        <f t="shared" si="288"/>
        <v/>
      </c>
      <c r="T647" s="566" t="str">
        <f t="shared" si="355"/>
        <v/>
      </c>
      <c r="U647" s="702"/>
      <c r="V647" s="132"/>
      <c r="W647" s="133"/>
      <c r="X647" s="134"/>
      <c r="Y647" s="135"/>
      <c r="Z647" s="137"/>
      <c r="AA647" s="136"/>
      <c r="AB647" s="566" t="str">
        <f t="shared" si="356"/>
        <v/>
      </c>
      <c r="AC647" s="568" t="str">
        <f t="shared" si="357"/>
        <v/>
      </c>
      <c r="AD647" s="137"/>
      <c r="AE647" s="137"/>
      <c r="AF647" s="138"/>
      <c r="AG647" s="138"/>
      <c r="AH647" s="592" t="str">
        <f t="shared" si="358"/>
        <v/>
      </c>
      <c r="AI647" s="592" t="str">
        <f t="shared" si="359"/>
        <v/>
      </c>
      <c r="AJ647" s="592" t="str">
        <f t="shared" si="360"/>
        <v/>
      </c>
      <c r="AK647" s="460" t="str">
        <f>IF(AU647="","",IF(OR(AZ647=8,AZ647=9),0,IF(OR(AW647=3,AW647=4,AW647=5,AW647=6),IF(LEFT(BF647,1)="1",INDEX(係数_NOX・PM低減,MATCH(AY647,【参考】排出係数!$AI$801:$AI$804,1),1),VLOOKUP(AU647,INDEX((係数_バス貨物_ガソリン,係数_バス貨物_CNG,係数_バス貨物_軽油,係数_バス貨物_メタノール,係数_バス貨物_LPG),MATCH(AY647,【参考】排出係数!$AI$4:$AI$671,1),1,BE647):INDEX((係数_バス貨物_ガソリン,係数_バス貨物_CNG,係数_バス貨物_軽油,係数_バス貨物_メタノール,係数_バス貨物_LPG),MATCH(AY647+1,【参考】排出係数!$AI$4:$AI$671,1)-1,5,BE647),4,FALSE)),IF(AND(BE647=3,LEFT(BF647,1)="1"),0.48,VLOOKUP(AU647,INDEX((係数_乗用_ガソリン,係数_乗用_CNG,係数_乗用_軽油,係数_乗用_メタノール,係数_乗用_LPG),1,1,BE647):INDEX((係数_乗用_ガソリン,係数_乗用_CNG,係数_乗用_軽油,係数_乗用_メタノール,係数_乗用_LPG),125,5,BE647),4,FALSE)))))</f>
        <v/>
      </c>
      <c r="AL647" s="461" t="str">
        <f t="shared" si="361"/>
        <v/>
      </c>
      <c r="AM647" s="460" t="str">
        <f>IF(AU647="","",IF(OR(AZ647=8,AZ647=9),0,IF(OR(AW647=3,AW647=4,AW647=5,AW647=6),IF(LEFT(BH647,1)="1",INDEX(係数_PM低減,MATCH(AY647,【参考】排出係数!$AI$801:$AI$804,1),MATCH(BI647,【参考】排出係数!$AL$798:$AO$798,1)),VLOOKUP(AU647,INDEX((係数_バス貨物_ガソリン,係数_バス貨物_CNG,係数_バス貨物_軽油,係数_バス貨物_メタノール,係数_バス貨物_LPG),MATCH(AY647,【参考】排出係数!$AI$4:$AI$671,1),1,BE647):INDEX((係数_バス貨物_ガソリン,係数_バス貨物_CNG,係数_バス貨物_軽油,係数_バス貨物_メタノール,係数_バス貨物_LPG),MATCH(AY647+1,【参考】排出係数!$AI$4:$AI$671,1)-1,5,BE647),5,FALSE)),IF(AND(BE647=3,LEFT(BF647,1)="1"),0.055,VLOOKUP(AU647,INDEX((係数_乗用_ガソリン,係数_乗用_CNG,係数_乗用_軽油,係数_乗用_メタノール,係数_乗用_LPG),1,1,BE647):INDEX((係数_乗用_ガソリン,係数_乗用_CNG,係数_乗用_軽油,係数_乗用_メタノール,係数_乗用_LPG),125,5,BE647),5,FALSE)))))</f>
        <v/>
      </c>
      <c r="AN647" s="461" t="str">
        <f t="shared" si="362"/>
        <v/>
      </c>
      <c r="AO647" s="462" t="str">
        <f t="shared" si="363"/>
        <v/>
      </c>
      <c r="AP647" s="463" t="str">
        <f t="shared" si="364"/>
        <v/>
      </c>
      <c r="AQ647" s="464"/>
      <c r="AR647" s="619"/>
      <c r="AS647" s="465" t="str">
        <f t="shared" si="366"/>
        <v/>
      </c>
      <c r="AT647" s="465" t="str">
        <f t="shared" si="367"/>
        <v/>
      </c>
      <c r="AU647" s="466" t="str">
        <f t="shared" si="368"/>
        <v/>
      </c>
      <c r="AV647" s="467" t="str">
        <f t="shared" si="369"/>
        <v/>
      </c>
      <c r="AW647" s="467" t="str">
        <f t="shared" si="370"/>
        <v/>
      </c>
      <c r="AX647" s="467" t="str">
        <f t="shared" si="371"/>
        <v/>
      </c>
      <c r="AY647" s="467" t="str">
        <f t="shared" si="372"/>
        <v/>
      </c>
      <c r="AZ647" s="467" t="str">
        <f t="shared" si="373"/>
        <v/>
      </c>
      <c r="BA647" s="468" t="str">
        <f>IF(AS647="","",IF(OR(AU647="",AU647="-"),"－",IF(OR(AZ647=8,AZ647=9),"",IF(OR(AW647=3,AW647=4,AW647=5,AW647=6),VLOOKUP(AU647,INDEX((係数_バス貨物_ガソリン,係数_バス貨物_CNG,係数_バス貨物_軽油,係数_バス貨物_メタノール,係数_バス貨物_LPG),MATCH(AY647,【参考】排出係数!$AI$4:$AI$671,1),1,BE647):INDEX((係数_バス貨物_ガソリン,係数_バス貨物_CNG,係数_バス貨物_軽油,係数_バス貨物_メタノール,係数_バス貨物_LPG),MATCH(AY647+1,【参考】排出係数!$AI$4:$AI$671,1)-1,5,BE647),2,FALSE),IF(OR(AW647=1,AW647=2),VLOOKUP(AU647,INDEX((係数_乗用_ガソリン,係数_乗用_CNG,係数_乗用_軽油,係数_乗用_メタノール,係数_乗用_LPG),1,1,BE647):INDEX((係数_乗用_ガソリン,係数_乗用_CNG,係数_乗用_軽油,係数_乗用_メタノール,係数_乗用_LPG),125,5,BE647),2,FALSE))))))</f>
        <v/>
      </c>
      <c r="BB647" s="468" t="str">
        <f>IF(T647="","",IF(OR(AU647="",AU647="-"),"－",IF(OR(AZ647=8,AZ647=9),"",IF(OR(AW647=3,AW647=4,AW647=5,AW647=6),VLOOKUP(AU647,INDEX((係数_バス貨物_ガソリン,係数_バス貨物_CNG,係数_バス貨物_軽油,係数_バス貨物_メタノール,係数_バス貨物_LPG),MATCH(AY647,【参考】排出係数!$AI$4:$AI$671,1),1,BE647):INDEX((係数_バス貨物_ガソリン,係数_バス貨物_CNG,係数_バス貨物_軽油,係数_バス貨物_メタノール,係数_バス貨物_LPG),MATCH(AY647+1,【参考】排出係数!$AI$4:$AI$671,1)-1,5,BE647),3,FALSE),IF(OR(AW647=1,AW647=2),VLOOKUP(AU647,INDEX((係数_乗用_ガソリン,係数_乗用_CNG,係数_乗用_軽油,係数_乗用_メタノール,係数_乗用_LPG),1,1,BE647):INDEX((係数_乗用_ガソリン,係数_乗用_CNG,係数_乗用_軽油,係数_乗用_メタノール,係数_乗用_LPG),125,5,BE647),3,FALSE))))))</f>
        <v/>
      </c>
      <c r="BC647" s="467" t="str">
        <f t="shared" si="374"/>
        <v/>
      </c>
      <c r="BD647" s="567" t="str">
        <f t="shared" si="375"/>
        <v/>
      </c>
      <c r="BE647" s="467" t="str">
        <f t="shared" si="376"/>
        <v/>
      </c>
      <c r="BF647" s="469" t="str">
        <f t="shared" ca="1" si="377"/>
        <v/>
      </c>
      <c r="BG647" s="469" t="str">
        <f t="shared" ca="1" si="378"/>
        <v/>
      </c>
      <c r="BH647" s="467" t="str">
        <f t="shared" si="379"/>
        <v/>
      </c>
      <c r="BI647" s="467" t="str">
        <f t="shared" ca="1" si="380"/>
        <v/>
      </c>
      <c r="BJ647" s="469" t="str">
        <f t="shared" si="381"/>
        <v/>
      </c>
      <c r="BK647" s="470" t="str">
        <f t="shared" si="365"/>
        <v/>
      </c>
      <c r="BL647" s="775" t="str">
        <f t="shared" si="382"/>
        <v/>
      </c>
      <c r="BM647" s="775" t="str">
        <f t="shared" si="383"/>
        <v/>
      </c>
    </row>
    <row r="648" spans="1:65">
      <c r="A648" s="473">
        <v>592</v>
      </c>
      <c r="B648" s="132"/>
      <c r="C648" s="332"/>
      <c r="D648" s="333"/>
      <c r="E648" s="333"/>
      <c r="F648" s="334"/>
      <c r="G648" s="337"/>
      <c r="H648" s="131"/>
      <c r="I648" s="337"/>
      <c r="J648" s="131"/>
      <c r="K648" s="458" t="str">
        <f t="shared" si="352"/>
        <v/>
      </c>
      <c r="L648" s="458">
        <f t="shared" si="353"/>
        <v>0</v>
      </c>
      <c r="M648" s="458">
        <f t="shared" si="354"/>
        <v>0</v>
      </c>
      <c r="N648" s="459" t="str">
        <f t="shared" si="283"/>
        <v/>
      </c>
      <c r="O648" s="459" t="str">
        <f t="shared" si="284"/>
        <v/>
      </c>
      <c r="P648" s="459" t="str">
        <f t="shared" si="285"/>
        <v/>
      </c>
      <c r="Q648" s="459" t="str">
        <f t="shared" si="286"/>
        <v/>
      </c>
      <c r="R648" s="459" t="str">
        <f t="shared" si="287"/>
        <v/>
      </c>
      <c r="S648" s="459" t="str">
        <f t="shared" si="288"/>
        <v/>
      </c>
      <c r="T648" s="566" t="str">
        <f t="shared" si="355"/>
        <v/>
      </c>
      <c r="U648" s="702"/>
      <c r="V648" s="132"/>
      <c r="W648" s="133"/>
      <c r="X648" s="134"/>
      <c r="Y648" s="135"/>
      <c r="Z648" s="137"/>
      <c r="AA648" s="136"/>
      <c r="AB648" s="566" t="str">
        <f t="shared" si="356"/>
        <v/>
      </c>
      <c r="AC648" s="568" t="str">
        <f t="shared" si="357"/>
        <v/>
      </c>
      <c r="AD648" s="137"/>
      <c r="AE648" s="137"/>
      <c r="AF648" s="138"/>
      <c r="AG648" s="138"/>
      <c r="AH648" s="592" t="str">
        <f t="shared" si="358"/>
        <v/>
      </c>
      <c r="AI648" s="592" t="str">
        <f t="shared" si="359"/>
        <v/>
      </c>
      <c r="AJ648" s="592" t="str">
        <f t="shared" si="360"/>
        <v/>
      </c>
      <c r="AK648" s="460" t="str">
        <f>IF(AU648="","",IF(OR(AZ648=8,AZ648=9),0,IF(OR(AW648=3,AW648=4,AW648=5,AW648=6),IF(LEFT(BF648,1)="1",INDEX(係数_NOX・PM低減,MATCH(AY648,【参考】排出係数!$AI$801:$AI$804,1),1),VLOOKUP(AU648,INDEX((係数_バス貨物_ガソリン,係数_バス貨物_CNG,係数_バス貨物_軽油,係数_バス貨物_メタノール,係数_バス貨物_LPG),MATCH(AY648,【参考】排出係数!$AI$4:$AI$671,1),1,BE648):INDEX((係数_バス貨物_ガソリン,係数_バス貨物_CNG,係数_バス貨物_軽油,係数_バス貨物_メタノール,係数_バス貨物_LPG),MATCH(AY648+1,【参考】排出係数!$AI$4:$AI$671,1)-1,5,BE648),4,FALSE)),IF(AND(BE648=3,LEFT(BF648,1)="1"),0.48,VLOOKUP(AU648,INDEX((係数_乗用_ガソリン,係数_乗用_CNG,係数_乗用_軽油,係数_乗用_メタノール,係数_乗用_LPG),1,1,BE648):INDEX((係数_乗用_ガソリン,係数_乗用_CNG,係数_乗用_軽油,係数_乗用_メタノール,係数_乗用_LPG),125,5,BE648),4,FALSE)))))</f>
        <v/>
      </c>
      <c r="AL648" s="461" t="str">
        <f t="shared" si="361"/>
        <v/>
      </c>
      <c r="AM648" s="460" t="str">
        <f>IF(AU648="","",IF(OR(AZ648=8,AZ648=9),0,IF(OR(AW648=3,AW648=4,AW648=5,AW648=6),IF(LEFT(BH648,1)="1",INDEX(係数_PM低減,MATCH(AY648,【参考】排出係数!$AI$801:$AI$804,1),MATCH(BI648,【参考】排出係数!$AL$798:$AO$798,1)),VLOOKUP(AU648,INDEX((係数_バス貨物_ガソリン,係数_バス貨物_CNG,係数_バス貨物_軽油,係数_バス貨物_メタノール,係数_バス貨物_LPG),MATCH(AY648,【参考】排出係数!$AI$4:$AI$671,1),1,BE648):INDEX((係数_バス貨物_ガソリン,係数_バス貨物_CNG,係数_バス貨物_軽油,係数_バス貨物_メタノール,係数_バス貨物_LPG),MATCH(AY648+1,【参考】排出係数!$AI$4:$AI$671,1)-1,5,BE648),5,FALSE)),IF(AND(BE648=3,LEFT(BF648,1)="1"),0.055,VLOOKUP(AU648,INDEX((係数_乗用_ガソリン,係数_乗用_CNG,係数_乗用_軽油,係数_乗用_メタノール,係数_乗用_LPG),1,1,BE648):INDEX((係数_乗用_ガソリン,係数_乗用_CNG,係数_乗用_軽油,係数_乗用_メタノール,係数_乗用_LPG),125,5,BE648),5,FALSE)))))</f>
        <v/>
      </c>
      <c r="AN648" s="461" t="str">
        <f t="shared" si="362"/>
        <v/>
      </c>
      <c r="AO648" s="462" t="str">
        <f t="shared" si="363"/>
        <v/>
      </c>
      <c r="AP648" s="463" t="str">
        <f t="shared" si="364"/>
        <v/>
      </c>
      <c r="AQ648" s="464"/>
      <c r="AR648" s="619"/>
      <c r="AS648" s="465" t="str">
        <f t="shared" si="366"/>
        <v/>
      </c>
      <c r="AT648" s="465" t="str">
        <f t="shared" si="367"/>
        <v/>
      </c>
      <c r="AU648" s="466" t="str">
        <f t="shared" si="368"/>
        <v/>
      </c>
      <c r="AV648" s="467" t="str">
        <f t="shared" si="369"/>
        <v/>
      </c>
      <c r="AW648" s="467" t="str">
        <f t="shared" si="370"/>
        <v/>
      </c>
      <c r="AX648" s="467" t="str">
        <f t="shared" si="371"/>
        <v/>
      </c>
      <c r="AY648" s="467" t="str">
        <f t="shared" si="372"/>
        <v/>
      </c>
      <c r="AZ648" s="467" t="str">
        <f t="shared" si="373"/>
        <v/>
      </c>
      <c r="BA648" s="468" t="str">
        <f>IF(AS648="","",IF(OR(AU648="",AU648="-"),"－",IF(OR(AZ648=8,AZ648=9),"",IF(OR(AW648=3,AW648=4,AW648=5,AW648=6),VLOOKUP(AU648,INDEX((係数_バス貨物_ガソリン,係数_バス貨物_CNG,係数_バス貨物_軽油,係数_バス貨物_メタノール,係数_バス貨物_LPG),MATCH(AY648,【参考】排出係数!$AI$4:$AI$671,1),1,BE648):INDEX((係数_バス貨物_ガソリン,係数_バス貨物_CNG,係数_バス貨物_軽油,係数_バス貨物_メタノール,係数_バス貨物_LPG),MATCH(AY648+1,【参考】排出係数!$AI$4:$AI$671,1)-1,5,BE648),2,FALSE),IF(OR(AW648=1,AW648=2),VLOOKUP(AU648,INDEX((係数_乗用_ガソリン,係数_乗用_CNG,係数_乗用_軽油,係数_乗用_メタノール,係数_乗用_LPG),1,1,BE648):INDEX((係数_乗用_ガソリン,係数_乗用_CNG,係数_乗用_軽油,係数_乗用_メタノール,係数_乗用_LPG),125,5,BE648),2,FALSE))))))</f>
        <v/>
      </c>
      <c r="BB648" s="468" t="str">
        <f>IF(T648="","",IF(OR(AU648="",AU648="-"),"－",IF(OR(AZ648=8,AZ648=9),"",IF(OR(AW648=3,AW648=4,AW648=5,AW648=6),VLOOKUP(AU648,INDEX((係数_バス貨物_ガソリン,係数_バス貨物_CNG,係数_バス貨物_軽油,係数_バス貨物_メタノール,係数_バス貨物_LPG),MATCH(AY648,【参考】排出係数!$AI$4:$AI$671,1),1,BE648):INDEX((係数_バス貨物_ガソリン,係数_バス貨物_CNG,係数_バス貨物_軽油,係数_バス貨物_メタノール,係数_バス貨物_LPG),MATCH(AY648+1,【参考】排出係数!$AI$4:$AI$671,1)-1,5,BE648),3,FALSE),IF(OR(AW648=1,AW648=2),VLOOKUP(AU648,INDEX((係数_乗用_ガソリン,係数_乗用_CNG,係数_乗用_軽油,係数_乗用_メタノール,係数_乗用_LPG),1,1,BE648):INDEX((係数_乗用_ガソリン,係数_乗用_CNG,係数_乗用_軽油,係数_乗用_メタノール,係数_乗用_LPG),125,5,BE648),3,FALSE))))))</f>
        <v/>
      </c>
      <c r="BC648" s="467" t="str">
        <f t="shared" si="374"/>
        <v/>
      </c>
      <c r="BD648" s="567" t="str">
        <f t="shared" si="375"/>
        <v/>
      </c>
      <c r="BE648" s="467" t="str">
        <f t="shared" si="376"/>
        <v/>
      </c>
      <c r="BF648" s="469" t="str">
        <f t="shared" ca="1" si="377"/>
        <v/>
      </c>
      <c r="BG648" s="469" t="str">
        <f t="shared" ca="1" si="378"/>
        <v/>
      </c>
      <c r="BH648" s="467" t="str">
        <f t="shared" si="379"/>
        <v/>
      </c>
      <c r="BI648" s="467" t="str">
        <f t="shared" ca="1" si="380"/>
        <v/>
      </c>
      <c r="BJ648" s="469" t="str">
        <f t="shared" si="381"/>
        <v/>
      </c>
      <c r="BK648" s="470" t="str">
        <f t="shared" si="365"/>
        <v/>
      </c>
      <c r="BL648" s="775" t="str">
        <f t="shared" si="382"/>
        <v/>
      </c>
      <c r="BM648" s="775" t="str">
        <f t="shared" si="383"/>
        <v/>
      </c>
    </row>
    <row r="649" spans="1:65">
      <c r="A649" s="473">
        <v>593</v>
      </c>
      <c r="B649" s="132"/>
      <c r="C649" s="332"/>
      <c r="D649" s="333"/>
      <c r="E649" s="333"/>
      <c r="F649" s="334"/>
      <c r="G649" s="337"/>
      <c r="H649" s="131"/>
      <c r="I649" s="337"/>
      <c r="J649" s="131"/>
      <c r="K649" s="458" t="str">
        <f t="shared" si="352"/>
        <v/>
      </c>
      <c r="L649" s="458">
        <f t="shared" si="353"/>
        <v>0</v>
      </c>
      <c r="M649" s="458">
        <f t="shared" si="354"/>
        <v>0</v>
      </c>
      <c r="N649" s="459" t="str">
        <f t="shared" si="283"/>
        <v/>
      </c>
      <c r="O649" s="459" t="str">
        <f t="shared" si="284"/>
        <v/>
      </c>
      <c r="P649" s="459" t="str">
        <f t="shared" si="285"/>
        <v/>
      </c>
      <c r="Q649" s="459" t="str">
        <f t="shared" si="286"/>
        <v/>
      </c>
      <c r="R649" s="459" t="str">
        <f t="shared" si="287"/>
        <v/>
      </c>
      <c r="S649" s="459" t="str">
        <f t="shared" si="288"/>
        <v/>
      </c>
      <c r="T649" s="566" t="str">
        <f t="shared" si="355"/>
        <v/>
      </c>
      <c r="U649" s="702"/>
      <c r="V649" s="132"/>
      <c r="W649" s="133"/>
      <c r="X649" s="134"/>
      <c r="Y649" s="135"/>
      <c r="Z649" s="137"/>
      <c r="AA649" s="136"/>
      <c r="AB649" s="566" t="str">
        <f t="shared" si="356"/>
        <v/>
      </c>
      <c r="AC649" s="568" t="str">
        <f t="shared" si="357"/>
        <v/>
      </c>
      <c r="AD649" s="137"/>
      <c r="AE649" s="137"/>
      <c r="AF649" s="138"/>
      <c r="AG649" s="138"/>
      <c r="AH649" s="592" t="str">
        <f t="shared" si="358"/>
        <v/>
      </c>
      <c r="AI649" s="592" t="str">
        <f t="shared" si="359"/>
        <v/>
      </c>
      <c r="AJ649" s="592" t="str">
        <f t="shared" si="360"/>
        <v/>
      </c>
      <c r="AK649" s="460" t="str">
        <f>IF(AU649="","",IF(OR(AZ649=8,AZ649=9),0,IF(OR(AW649=3,AW649=4,AW649=5,AW649=6),IF(LEFT(BF649,1)="1",INDEX(係数_NOX・PM低減,MATCH(AY649,【参考】排出係数!$AI$801:$AI$804,1),1),VLOOKUP(AU649,INDEX((係数_バス貨物_ガソリン,係数_バス貨物_CNG,係数_バス貨物_軽油,係数_バス貨物_メタノール,係数_バス貨物_LPG),MATCH(AY649,【参考】排出係数!$AI$4:$AI$671,1),1,BE649):INDEX((係数_バス貨物_ガソリン,係数_バス貨物_CNG,係数_バス貨物_軽油,係数_バス貨物_メタノール,係数_バス貨物_LPG),MATCH(AY649+1,【参考】排出係数!$AI$4:$AI$671,1)-1,5,BE649),4,FALSE)),IF(AND(BE649=3,LEFT(BF649,1)="1"),0.48,VLOOKUP(AU649,INDEX((係数_乗用_ガソリン,係数_乗用_CNG,係数_乗用_軽油,係数_乗用_メタノール,係数_乗用_LPG),1,1,BE649):INDEX((係数_乗用_ガソリン,係数_乗用_CNG,係数_乗用_軽油,係数_乗用_メタノール,係数_乗用_LPG),125,5,BE649),4,FALSE)))))</f>
        <v/>
      </c>
      <c r="AL649" s="461" t="str">
        <f t="shared" si="361"/>
        <v/>
      </c>
      <c r="AM649" s="460" t="str">
        <f>IF(AU649="","",IF(OR(AZ649=8,AZ649=9),0,IF(OR(AW649=3,AW649=4,AW649=5,AW649=6),IF(LEFT(BH649,1)="1",INDEX(係数_PM低減,MATCH(AY649,【参考】排出係数!$AI$801:$AI$804,1),MATCH(BI649,【参考】排出係数!$AL$798:$AO$798,1)),VLOOKUP(AU649,INDEX((係数_バス貨物_ガソリン,係数_バス貨物_CNG,係数_バス貨物_軽油,係数_バス貨物_メタノール,係数_バス貨物_LPG),MATCH(AY649,【参考】排出係数!$AI$4:$AI$671,1),1,BE649):INDEX((係数_バス貨物_ガソリン,係数_バス貨物_CNG,係数_バス貨物_軽油,係数_バス貨物_メタノール,係数_バス貨物_LPG),MATCH(AY649+1,【参考】排出係数!$AI$4:$AI$671,1)-1,5,BE649),5,FALSE)),IF(AND(BE649=3,LEFT(BF649,1)="1"),0.055,VLOOKUP(AU649,INDEX((係数_乗用_ガソリン,係数_乗用_CNG,係数_乗用_軽油,係数_乗用_メタノール,係数_乗用_LPG),1,1,BE649):INDEX((係数_乗用_ガソリン,係数_乗用_CNG,係数_乗用_軽油,係数_乗用_メタノール,係数_乗用_LPG),125,5,BE649),5,FALSE)))))</f>
        <v/>
      </c>
      <c r="AN649" s="461" t="str">
        <f t="shared" si="362"/>
        <v/>
      </c>
      <c r="AO649" s="462" t="str">
        <f t="shared" si="363"/>
        <v/>
      </c>
      <c r="AP649" s="463" t="str">
        <f t="shared" si="364"/>
        <v/>
      </c>
      <c r="AQ649" s="464"/>
      <c r="AR649" s="619"/>
      <c r="AS649" s="465" t="str">
        <f t="shared" si="366"/>
        <v/>
      </c>
      <c r="AT649" s="465" t="str">
        <f t="shared" si="367"/>
        <v/>
      </c>
      <c r="AU649" s="466" t="str">
        <f t="shared" si="368"/>
        <v/>
      </c>
      <c r="AV649" s="467" t="str">
        <f t="shared" si="369"/>
        <v/>
      </c>
      <c r="AW649" s="467" t="str">
        <f t="shared" si="370"/>
        <v/>
      </c>
      <c r="AX649" s="467" t="str">
        <f t="shared" si="371"/>
        <v/>
      </c>
      <c r="AY649" s="467" t="str">
        <f t="shared" si="372"/>
        <v/>
      </c>
      <c r="AZ649" s="467" t="str">
        <f t="shared" si="373"/>
        <v/>
      </c>
      <c r="BA649" s="468" t="str">
        <f>IF(AS649="","",IF(OR(AU649="",AU649="-"),"－",IF(OR(AZ649=8,AZ649=9),"",IF(OR(AW649=3,AW649=4,AW649=5,AW649=6),VLOOKUP(AU649,INDEX((係数_バス貨物_ガソリン,係数_バス貨物_CNG,係数_バス貨物_軽油,係数_バス貨物_メタノール,係数_バス貨物_LPG),MATCH(AY649,【参考】排出係数!$AI$4:$AI$671,1),1,BE649):INDEX((係数_バス貨物_ガソリン,係数_バス貨物_CNG,係数_バス貨物_軽油,係数_バス貨物_メタノール,係数_バス貨物_LPG),MATCH(AY649+1,【参考】排出係数!$AI$4:$AI$671,1)-1,5,BE649),2,FALSE),IF(OR(AW649=1,AW649=2),VLOOKUP(AU649,INDEX((係数_乗用_ガソリン,係数_乗用_CNG,係数_乗用_軽油,係数_乗用_メタノール,係数_乗用_LPG),1,1,BE649):INDEX((係数_乗用_ガソリン,係数_乗用_CNG,係数_乗用_軽油,係数_乗用_メタノール,係数_乗用_LPG),125,5,BE649),2,FALSE))))))</f>
        <v/>
      </c>
      <c r="BB649" s="468" t="str">
        <f>IF(T649="","",IF(OR(AU649="",AU649="-"),"－",IF(OR(AZ649=8,AZ649=9),"",IF(OR(AW649=3,AW649=4,AW649=5,AW649=6),VLOOKUP(AU649,INDEX((係数_バス貨物_ガソリン,係数_バス貨物_CNG,係数_バス貨物_軽油,係数_バス貨物_メタノール,係数_バス貨物_LPG),MATCH(AY649,【参考】排出係数!$AI$4:$AI$671,1),1,BE649):INDEX((係数_バス貨物_ガソリン,係数_バス貨物_CNG,係数_バス貨物_軽油,係数_バス貨物_メタノール,係数_バス貨物_LPG),MATCH(AY649+1,【参考】排出係数!$AI$4:$AI$671,1)-1,5,BE649),3,FALSE),IF(OR(AW649=1,AW649=2),VLOOKUP(AU649,INDEX((係数_乗用_ガソリン,係数_乗用_CNG,係数_乗用_軽油,係数_乗用_メタノール,係数_乗用_LPG),1,1,BE649):INDEX((係数_乗用_ガソリン,係数_乗用_CNG,係数_乗用_軽油,係数_乗用_メタノール,係数_乗用_LPG),125,5,BE649),3,FALSE))))))</f>
        <v/>
      </c>
      <c r="BC649" s="467" t="str">
        <f t="shared" si="374"/>
        <v/>
      </c>
      <c r="BD649" s="567" t="str">
        <f t="shared" si="375"/>
        <v/>
      </c>
      <c r="BE649" s="467" t="str">
        <f t="shared" si="376"/>
        <v/>
      </c>
      <c r="BF649" s="469" t="str">
        <f t="shared" ca="1" si="377"/>
        <v/>
      </c>
      <c r="BG649" s="469" t="str">
        <f t="shared" ca="1" si="378"/>
        <v/>
      </c>
      <c r="BH649" s="467" t="str">
        <f t="shared" si="379"/>
        <v/>
      </c>
      <c r="BI649" s="467" t="str">
        <f t="shared" ca="1" si="380"/>
        <v/>
      </c>
      <c r="BJ649" s="469" t="str">
        <f t="shared" si="381"/>
        <v/>
      </c>
      <c r="BK649" s="470" t="str">
        <f t="shared" si="365"/>
        <v/>
      </c>
      <c r="BL649" s="775" t="str">
        <f t="shared" si="382"/>
        <v/>
      </c>
      <c r="BM649" s="775" t="str">
        <f t="shared" si="383"/>
        <v/>
      </c>
    </row>
    <row r="650" spans="1:65">
      <c r="A650" s="473">
        <v>594</v>
      </c>
      <c r="B650" s="132"/>
      <c r="C650" s="332"/>
      <c r="D650" s="333"/>
      <c r="E650" s="333"/>
      <c r="F650" s="334"/>
      <c r="G650" s="337"/>
      <c r="H650" s="131"/>
      <c r="I650" s="337"/>
      <c r="J650" s="131"/>
      <c r="K650" s="458" t="str">
        <f t="shared" si="352"/>
        <v/>
      </c>
      <c r="L650" s="458">
        <f t="shared" si="353"/>
        <v>0</v>
      </c>
      <c r="M650" s="458">
        <f t="shared" si="354"/>
        <v>0</v>
      </c>
      <c r="N650" s="459" t="str">
        <f t="shared" si="283"/>
        <v/>
      </c>
      <c r="O650" s="459" t="str">
        <f t="shared" si="284"/>
        <v/>
      </c>
      <c r="P650" s="459" t="str">
        <f t="shared" si="285"/>
        <v/>
      </c>
      <c r="Q650" s="459" t="str">
        <f t="shared" si="286"/>
        <v/>
      </c>
      <c r="R650" s="459" t="str">
        <f t="shared" si="287"/>
        <v/>
      </c>
      <c r="S650" s="459" t="str">
        <f t="shared" si="288"/>
        <v/>
      </c>
      <c r="T650" s="566" t="str">
        <f t="shared" si="355"/>
        <v/>
      </c>
      <c r="U650" s="702"/>
      <c r="V650" s="132"/>
      <c r="W650" s="133"/>
      <c r="X650" s="134"/>
      <c r="Y650" s="135"/>
      <c r="Z650" s="137"/>
      <c r="AA650" s="136"/>
      <c r="AB650" s="566" t="str">
        <f t="shared" si="356"/>
        <v/>
      </c>
      <c r="AC650" s="568" t="str">
        <f t="shared" si="357"/>
        <v/>
      </c>
      <c r="AD650" s="137"/>
      <c r="AE650" s="137"/>
      <c r="AF650" s="138"/>
      <c r="AG650" s="138"/>
      <c r="AH650" s="592" t="str">
        <f t="shared" si="358"/>
        <v/>
      </c>
      <c r="AI650" s="592" t="str">
        <f t="shared" si="359"/>
        <v/>
      </c>
      <c r="AJ650" s="592" t="str">
        <f t="shared" si="360"/>
        <v/>
      </c>
      <c r="AK650" s="460" t="str">
        <f>IF(AU650="","",IF(OR(AZ650=8,AZ650=9),0,IF(OR(AW650=3,AW650=4,AW650=5,AW650=6),IF(LEFT(BF650,1)="1",INDEX(係数_NOX・PM低減,MATCH(AY650,【参考】排出係数!$AI$801:$AI$804,1),1),VLOOKUP(AU650,INDEX((係数_バス貨物_ガソリン,係数_バス貨物_CNG,係数_バス貨物_軽油,係数_バス貨物_メタノール,係数_バス貨物_LPG),MATCH(AY650,【参考】排出係数!$AI$4:$AI$671,1),1,BE650):INDEX((係数_バス貨物_ガソリン,係数_バス貨物_CNG,係数_バス貨物_軽油,係数_バス貨物_メタノール,係数_バス貨物_LPG),MATCH(AY650+1,【参考】排出係数!$AI$4:$AI$671,1)-1,5,BE650),4,FALSE)),IF(AND(BE650=3,LEFT(BF650,1)="1"),0.48,VLOOKUP(AU650,INDEX((係数_乗用_ガソリン,係数_乗用_CNG,係数_乗用_軽油,係数_乗用_メタノール,係数_乗用_LPG),1,1,BE650):INDEX((係数_乗用_ガソリン,係数_乗用_CNG,係数_乗用_軽油,係数_乗用_メタノール,係数_乗用_LPG),125,5,BE650),4,FALSE)))))</f>
        <v/>
      </c>
      <c r="AL650" s="461" t="str">
        <f t="shared" si="361"/>
        <v/>
      </c>
      <c r="AM650" s="460" t="str">
        <f>IF(AU650="","",IF(OR(AZ650=8,AZ650=9),0,IF(OR(AW650=3,AW650=4,AW650=5,AW650=6),IF(LEFT(BH650,1)="1",INDEX(係数_PM低減,MATCH(AY650,【参考】排出係数!$AI$801:$AI$804,1),MATCH(BI650,【参考】排出係数!$AL$798:$AO$798,1)),VLOOKUP(AU650,INDEX((係数_バス貨物_ガソリン,係数_バス貨物_CNG,係数_バス貨物_軽油,係数_バス貨物_メタノール,係数_バス貨物_LPG),MATCH(AY650,【参考】排出係数!$AI$4:$AI$671,1),1,BE650):INDEX((係数_バス貨物_ガソリン,係数_バス貨物_CNG,係数_バス貨物_軽油,係数_バス貨物_メタノール,係数_バス貨物_LPG),MATCH(AY650+1,【参考】排出係数!$AI$4:$AI$671,1)-1,5,BE650),5,FALSE)),IF(AND(BE650=3,LEFT(BF650,1)="1"),0.055,VLOOKUP(AU650,INDEX((係数_乗用_ガソリン,係数_乗用_CNG,係数_乗用_軽油,係数_乗用_メタノール,係数_乗用_LPG),1,1,BE650):INDEX((係数_乗用_ガソリン,係数_乗用_CNG,係数_乗用_軽油,係数_乗用_メタノール,係数_乗用_LPG),125,5,BE650),5,FALSE)))))</f>
        <v/>
      </c>
      <c r="AN650" s="461" t="str">
        <f t="shared" si="362"/>
        <v/>
      </c>
      <c r="AO650" s="462" t="str">
        <f t="shared" si="363"/>
        <v/>
      </c>
      <c r="AP650" s="463" t="str">
        <f t="shared" si="364"/>
        <v/>
      </c>
      <c r="AQ650" s="464"/>
      <c r="AR650" s="619"/>
      <c r="AS650" s="465" t="str">
        <f t="shared" si="366"/>
        <v/>
      </c>
      <c r="AT650" s="465" t="str">
        <f t="shared" si="367"/>
        <v/>
      </c>
      <c r="AU650" s="466" t="str">
        <f t="shared" si="368"/>
        <v/>
      </c>
      <c r="AV650" s="467" t="str">
        <f t="shared" si="369"/>
        <v/>
      </c>
      <c r="AW650" s="467" t="str">
        <f t="shared" si="370"/>
        <v/>
      </c>
      <c r="AX650" s="467" t="str">
        <f t="shared" si="371"/>
        <v/>
      </c>
      <c r="AY650" s="467" t="str">
        <f t="shared" si="372"/>
        <v/>
      </c>
      <c r="AZ650" s="467" t="str">
        <f t="shared" si="373"/>
        <v/>
      </c>
      <c r="BA650" s="468" t="str">
        <f>IF(AS650="","",IF(OR(AU650="",AU650="-"),"－",IF(OR(AZ650=8,AZ650=9),"",IF(OR(AW650=3,AW650=4,AW650=5,AW650=6),VLOOKUP(AU650,INDEX((係数_バス貨物_ガソリン,係数_バス貨物_CNG,係数_バス貨物_軽油,係数_バス貨物_メタノール,係数_バス貨物_LPG),MATCH(AY650,【参考】排出係数!$AI$4:$AI$671,1),1,BE650):INDEX((係数_バス貨物_ガソリン,係数_バス貨物_CNG,係数_バス貨物_軽油,係数_バス貨物_メタノール,係数_バス貨物_LPG),MATCH(AY650+1,【参考】排出係数!$AI$4:$AI$671,1)-1,5,BE650),2,FALSE),IF(OR(AW650=1,AW650=2),VLOOKUP(AU650,INDEX((係数_乗用_ガソリン,係数_乗用_CNG,係数_乗用_軽油,係数_乗用_メタノール,係数_乗用_LPG),1,1,BE650):INDEX((係数_乗用_ガソリン,係数_乗用_CNG,係数_乗用_軽油,係数_乗用_メタノール,係数_乗用_LPG),125,5,BE650),2,FALSE))))))</f>
        <v/>
      </c>
      <c r="BB650" s="468" t="str">
        <f>IF(T650="","",IF(OR(AU650="",AU650="-"),"－",IF(OR(AZ650=8,AZ650=9),"",IF(OR(AW650=3,AW650=4,AW650=5,AW650=6),VLOOKUP(AU650,INDEX((係数_バス貨物_ガソリン,係数_バス貨物_CNG,係数_バス貨物_軽油,係数_バス貨物_メタノール,係数_バス貨物_LPG),MATCH(AY650,【参考】排出係数!$AI$4:$AI$671,1),1,BE650):INDEX((係数_バス貨物_ガソリン,係数_バス貨物_CNG,係数_バス貨物_軽油,係数_バス貨物_メタノール,係数_バス貨物_LPG),MATCH(AY650+1,【参考】排出係数!$AI$4:$AI$671,1)-1,5,BE650),3,FALSE),IF(OR(AW650=1,AW650=2),VLOOKUP(AU650,INDEX((係数_乗用_ガソリン,係数_乗用_CNG,係数_乗用_軽油,係数_乗用_メタノール,係数_乗用_LPG),1,1,BE650):INDEX((係数_乗用_ガソリン,係数_乗用_CNG,係数_乗用_軽油,係数_乗用_メタノール,係数_乗用_LPG),125,5,BE650),3,FALSE))))))</f>
        <v/>
      </c>
      <c r="BC650" s="467" t="str">
        <f t="shared" si="374"/>
        <v/>
      </c>
      <c r="BD650" s="567" t="str">
        <f t="shared" si="375"/>
        <v/>
      </c>
      <c r="BE650" s="467" t="str">
        <f t="shared" si="376"/>
        <v/>
      </c>
      <c r="BF650" s="469" t="str">
        <f t="shared" ca="1" si="377"/>
        <v/>
      </c>
      <c r="BG650" s="469" t="str">
        <f t="shared" ca="1" si="378"/>
        <v/>
      </c>
      <c r="BH650" s="467" t="str">
        <f t="shared" si="379"/>
        <v/>
      </c>
      <c r="BI650" s="467" t="str">
        <f t="shared" ca="1" si="380"/>
        <v/>
      </c>
      <c r="BJ650" s="469" t="str">
        <f t="shared" si="381"/>
        <v/>
      </c>
      <c r="BK650" s="470" t="str">
        <f t="shared" si="365"/>
        <v/>
      </c>
      <c r="BL650" s="775" t="str">
        <f t="shared" si="382"/>
        <v/>
      </c>
      <c r="BM650" s="775" t="str">
        <f t="shared" si="383"/>
        <v/>
      </c>
    </row>
    <row r="651" spans="1:65">
      <c r="A651" s="473">
        <v>595</v>
      </c>
      <c r="B651" s="132"/>
      <c r="C651" s="332"/>
      <c r="D651" s="333"/>
      <c r="E651" s="333"/>
      <c r="F651" s="334"/>
      <c r="G651" s="337"/>
      <c r="H651" s="131"/>
      <c r="I651" s="337"/>
      <c r="J651" s="131"/>
      <c r="K651" s="458" t="str">
        <f t="shared" si="352"/>
        <v/>
      </c>
      <c r="L651" s="458">
        <f t="shared" si="353"/>
        <v>0</v>
      </c>
      <c r="M651" s="458">
        <f t="shared" si="354"/>
        <v>0</v>
      </c>
      <c r="N651" s="459" t="str">
        <f t="shared" si="283"/>
        <v/>
      </c>
      <c r="O651" s="459" t="str">
        <f t="shared" si="284"/>
        <v/>
      </c>
      <c r="P651" s="459" t="str">
        <f t="shared" si="285"/>
        <v/>
      </c>
      <c r="Q651" s="459" t="str">
        <f t="shared" si="286"/>
        <v/>
      </c>
      <c r="R651" s="459" t="str">
        <f t="shared" si="287"/>
        <v/>
      </c>
      <c r="S651" s="459" t="str">
        <f t="shared" si="288"/>
        <v/>
      </c>
      <c r="T651" s="566" t="str">
        <f t="shared" si="355"/>
        <v/>
      </c>
      <c r="U651" s="702"/>
      <c r="V651" s="132"/>
      <c r="W651" s="133"/>
      <c r="X651" s="134"/>
      <c r="Y651" s="135"/>
      <c r="Z651" s="137"/>
      <c r="AA651" s="136"/>
      <c r="AB651" s="566" t="str">
        <f t="shared" si="356"/>
        <v/>
      </c>
      <c r="AC651" s="568" t="str">
        <f t="shared" si="357"/>
        <v/>
      </c>
      <c r="AD651" s="137"/>
      <c r="AE651" s="137"/>
      <c r="AF651" s="138"/>
      <c r="AG651" s="138"/>
      <c r="AH651" s="592" t="str">
        <f t="shared" si="358"/>
        <v/>
      </c>
      <c r="AI651" s="592" t="str">
        <f t="shared" si="359"/>
        <v/>
      </c>
      <c r="AJ651" s="592" t="str">
        <f t="shared" si="360"/>
        <v/>
      </c>
      <c r="AK651" s="460" t="str">
        <f>IF(AU651="","",IF(OR(AZ651=8,AZ651=9),0,IF(OR(AW651=3,AW651=4,AW651=5,AW651=6),IF(LEFT(BF651,1)="1",INDEX(係数_NOX・PM低減,MATCH(AY651,【参考】排出係数!$AI$801:$AI$804,1),1),VLOOKUP(AU651,INDEX((係数_バス貨物_ガソリン,係数_バス貨物_CNG,係数_バス貨物_軽油,係数_バス貨物_メタノール,係数_バス貨物_LPG),MATCH(AY651,【参考】排出係数!$AI$4:$AI$671,1),1,BE651):INDEX((係数_バス貨物_ガソリン,係数_バス貨物_CNG,係数_バス貨物_軽油,係数_バス貨物_メタノール,係数_バス貨物_LPG),MATCH(AY651+1,【参考】排出係数!$AI$4:$AI$671,1)-1,5,BE651),4,FALSE)),IF(AND(BE651=3,LEFT(BF651,1)="1"),0.48,VLOOKUP(AU651,INDEX((係数_乗用_ガソリン,係数_乗用_CNG,係数_乗用_軽油,係数_乗用_メタノール,係数_乗用_LPG),1,1,BE651):INDEX((係数_乗用_ガソリン,係数_乗用_CNG,係数_乗用_軽油,係数_乗用_メタノール,係数_乗用_LPG),125,5,BE651),4,FALSE)))))</f>
        <v/>
      </c>
      <c r="AL651" s="461" t="str">
        <f t="shared" si="361"/>
        <v/>
      </c>
      <c r="AM651" s="460" t="str">
        <f>IF(AU651="","",IF(OR(AZ651=8,AZ651=9),0,IF(OR(AW651=3,AW651=4,AW651=5,AW651=6),IF(LEFT(BH651,1)="1",INDEX(係数_PM低減,MATCH(AY651,【参考】排出係数!$AI$801:$AI$804,1),MATCH(BI651,【参考】排出係数!$AL$798:$AO$798,1)),VLOOKUP(AU651,INDEX((係数_バス貨物_ガソリン,係数_バス貨物_CNG,係数_バス貨物_軽油,係数_バス貨物_メタノール,係数_バス貨物_LPG),MATCH(AY651,【参考】排出係数!$AI$4:$AI$671,1),1,BE651):INDEX((係数_バス貨物_ガソリン,係数_バス貨物_CNG,係数_バス貨物_軽油,係数_バス貨物_メタノール,係数_バス貨物_LPG),MATCH(AY651+1,【参考】排出係数!$AI$4:$AI$671,1)-1,5,BE651),5,FALSE)),IF(AND(BE651=3,LEFT(BF651,1)="1"),0.055,VLOOKUP(AU651,INDEX((係数_乗用_ガソリン,係数_乗用_CNG,係数_乗用_軽油,係数_乗用_メタノール,係数_乗用_LPG),1,1,BE651):INDEX((係数_乗用_ガソリン,係数_乗用_CNG,係数_乗用_軽油,係数_乗用_メタノール,係数_乗用_LPG),125,5,BE651),5,FALSE)))))</f>
        <v/>
      </c>
      <c r="AN651" s="461" t="str">
        <f t="shared" si="362"/>
        <v/>
      </c>
      <c r="AO651" s="462" t="str">
        <f t="shared" si="363"/>
        <v/>
      </c>
      <c r="AP651" s="463" t="str">
        <f t="shared" si="364"/>
        <v/>
      </c>
      <c r="AQ651" s="464"/>
      <c r="AR651" s="619"/>
      <c r="AS651" s="465" t="str">
        <f t="shared" si="366"/>
        <v/>
      </c>
      <c r="AT651" s="465" t="str">
        <f t="shared" si="367"/>
        <v/>
      </c>
      <c r="AU651" s="466" t="str">
        <f t="shared" si="368"/>
        <v/>
      </c>
      <c r="AV651" s="467" t="str">
        <f t="shared" si="369"/>
        <v/>
      </c>
      <c r="AW651" s="467" t="str">
        <f t="shared" si="370"/>
        <v/>
      </c>
      <c r="AX651" s="467" t="str">
        <f t="shared" si="371"/>
        <v/>
      </c>
      <c r="AY651" s="467" t="str">
        <f t="shared" si="372"/>
        <v/>
      </c>
      <c r="AZ651" s="467" t="str">
        <f t="shared" si="373"/>
        <v/>
      </c>
      <c r="BA651" s="468" t="str">
        <f>IF(AS651="","",IF(OR(AU651="",AU651="-"),"－",IF(OR(AZ651=8,AZ651=9),"",IF(OR(AW651=3,AW651=4,AW651=5,AW651=6),VLOOKUP(AU651,INDEX((係数_バス貨物_ガソリン,係数_バス貨物_CNG,係数_バス貨物_軽油,係数_バス貨物_メタノール,係数_バス貨物_LPG),MATCH(AY651,【参考】排出係数!$AI$4:$AI$671,1),1,BE651):INDEX((係数_バス貨物_ガソリン,係数_バス貨物_CNG,係数_バス貨物_軽油,係数_バス貨物_メタノール,係数_バス貨物_LPG),MATCH(AY651+1,【参考】排出係数!$AI$4:$AI$671,1)-1,5,BE651),2,FALSE),IF(OR(AW651=1,AW651=2),VLOOKUP(AU651,INDEX((係数_乗用_ガソリン,係数_乗用_CNG,係数_乗用_軽油,係数_乗用_メタノール,係数_乗用_LPG),1,1,BE651):INDEX((係数_乗用_ガソリン,係数_乗用_CNG,係数_乗用_軽油,係数_乗用_メタノール,係数_乗用_LPG),125,5,BE651),2,FALSE))))))</f>
        <v/>
      </c>
      <c r="BB651" s="468" t="str">
        <f>IF(T651="","",IF(OR(AU651="",AU651="-"),"－",IF(OR(AZ651=8,AZ651=9),"",IF(OR(AW651=3,AW651=4,AW651=5,AW651=6),VLOOKUP(AU651,INDEX((係数_バス貨物_ガソリン,係数_バス貨物_CNG,係数_バス貨物_軽油,係数_バス貨物_メタノール,係数_バス貨物_LPG),MATCH(AY651,【参考】排出係数!$AI$4:$AI$671,1),1,BE651):INDEX((係数_バス貨物_ガソリン,係数_バス貨物_CNG,係数_バス貨物_軽油,係数_バス貨物_メタノール,係数_バス貨物_LPG),MATCH(AY651+1,【参考】排出係数!$AI$4:$AI$671,1)-1,5,BE651),3,FALSE),IF(OR(AW651=1,AW651=2),VLOOKUP(AU651,INDEX((係数_乗用_ガソリン,係数_乗用_CNG,係数_乗用_軽油,係数_乗用_メタノール,係数_乗用_LPG),1,1,BE651):INDEX((係数_乗用_ガソリン,係数_乗用_CNG,係数_乗用_軽油,係数_乗用_メタノール,係数_乗用_LPG),125,5,BE651),3,FALSE))))))</f>
        <v/>
      </c>
      <c r="BC651" s="467" t="str">
        <f t="shared" si="374"/>
        <v/>
      </c>
      <c r="BD651" s="567" t="str">
        <f t="shared" si="375"/>
        <v/>
      </c>
      <c r="BE651" s="467" t="str">
        <f t="shared" si="376"/>
        <v/>
      </c>
      <c r="BF651" s="469" t="str">
        <f t="shared" ca="1" si="377"/>
        <v/>
      </c>
      <c r="BG651" s="469" t="str">
        <f t="shared" ca="1" si="378"/>
        <v/>
      </c>
      <c r="BH651" s="467" t="str">
        <f t="shared" si="379"/>
        <v/>
      </c>
      <c r="BI651" s="467" t="str">
        <f t="shared" ca="1" si="380"/>
        <v/>
      </c>
      <c r="BJ651" s="469" t="str">
        <f t="shared" si="381"/>
        <v/>
      </c>
      <c r="BK651" s="470" t="str">
        <f t="shared" si="365"/>
        <v/>
      </c>
      <c r="BL651" s="775" t="str">
        <f t="shared" si="382"/>
        <v/>
      </c>
      <c r="BM651" s="775" t="str">
        <f t="shared" si="383"/>
        <v/>
      </c>
    </row>
    <row r="652" spans="1:65">
      <c r="A652" s="473">
        <v>596</v>
      </c>
      <c r="B652" s="132"/>
      <c r="C652" s="332"/>
      <c r="D652" s="333"/>
      <c r="E652" s="333"/>
      <c r="F652" s="334"/>
      <c r="G652" s="337"/>
      <c r="H652" s="131"/>
      <c r="I652" s="337"/>
      <c r="J652" s="131"/>
      <c r="K652" s="458" t="str">
        <f t="shared" si="352"/>
        <v/>
      </c>
      <c r="L652" s="458">
        <f t="shared" si="353"/>
        <v>0</v>
      </c>
      <c r="M652" s="458">
        <f t="shared" si="354"/>
        <v>0</v>
      </c>
      <c r="N652" s="459" t="str">
        <f t="shared" si="283"/>
        <v/>
      </c>
      <c r="O652" s="459" t="str">
        <f t="shared" si="284"/>
        <v/>
      </c>
      <c r="P652" s="459" t="str">
        <f t="shared" si="285"/>
        <v/>
      </c>
      <c r="Q652" s="459" t="str">
        <f t="shared" si="286"/>
        <v/>
      </c>
      <c r="R652" s="459" t="str">
        <f t="shared" si="287"/>
        <v/>
      </c>
      <c r="S652" s="459" t="str">
        <f t="shared" si="288"/>
        <v/>
      </c>
      <c r="T652" s="566" t="str">
        <f t="shared" si="355"/>
        <v/>
      </c>
      <c r="U652" s="702"/>
      <c r="V652" s="132"/>
      <c r="W652" s="133"/>
      <c r="X652" s="134"/>
      <c r="Y652" s="135"/>
      <c r="Z652" s="137"/>
      <c r="AA652" s="136"/>
      <c r="AB652" s="566" t="str">
        <f t="shared" si="356"/>
        <v/>
      </c>
      <c r="AC652" s="568" t="str">
        <f t="shared" si="357"/>
        <v/>
      </c>
      <c r="AD652" s="137"/>
      <c r="AE652" s="137"/>
      <c r="AF652" s="138"/>
      <c r="AG652" s="138"/>
      <c r="AH652" s="592" t="str">
        <f t="shared" si="358"/>
        <v/>
      </c>
      <c r="AI652" s="592" t="str">
        <f t="shared" si="359"/>
        <v/>
      </c>
      <c r="AJ652" s="592" t="str">
        <f t="shared" si="360"/>
        <v/>
      </c>
      <c r="AK652" s="460" t="str">
        <f>IF(AU652="","",IF(OR(AZ652=8,AZ652=9),0,IF(OR(AW652=3,AW652=4,AW652=5,AW652=6),IF(LEFT(BF652,1)="1",INDEX(係数_NOX・PM低減,MATCH(AY652,【参考】排出係数!$AI$801:$AI$804,1),1),VLOOKUP(AU652,INDEX((係数_バス貨物_ガソリン,係数_バス貨物_CNG,係数_バス貨物_軽油,係数_バス貨物_メタノール,係数_バス貨物_LPG),MATCH(AY652,【参考】排出係数!$AI$4:$AI$671,1),1,BE652):INDEX((係数_バス貨物_ガソリン,係数_バス貨物_CNG,係数_バス貨物_軽油,係数_バス貨物_メタノール,係数_バス貨物_LPG),MATCH(AY652+1,【参考】排出係数!$AI$4:$AI$671,1)-1,5,BE652),4,FALSE)),IF(AND(BE652=3,LEFT(BF652,1)="1"),0.48,VLOOKUP(AU652,INDEX((係数_乗用_ガソリン,係数_乗用_CNG,係数_乗用_軽油,係数_乗用_メタノール,係数_乗用_LPG),1,1,BE652):INDEX((係数_乗用_ガソリン,係数_乗用_CNG,係数_乗用_軽油,係数_乗用_メタノール,係数_乗用_LPG),125,5,BE652),4,FALSE)))))</f>
        <v/>
      </c>
      <c r="AL652" s="461" t="str">
        <f t="shared" si="361"/>
        <v/>
      </c>
      <c r="AM652" s="460" t="str">
        <f>IF(AU652="","",IF(OR(AZ652=8,AZ652=9),0,IF(OR(AW652=3,AW652=4,AW652=5,AW652=6),IF(LEFT(BH652,1)="1",INDEX(係数_PM低減,MATCH(AY652,【参考】排出係数!$AI$801:$AI$804,1),MATCH(BI652,【参考】排出係数!$AL$798:$AO$798,1)),VLOOKUP(AU652,INDEX((係数_バス貨物_ガソリン,係数_バス貨物_CNG,係数_バス貨物_軽油,係数_バス貨物_メタノール,係数_バス貨物_LPG),MATCH(AY652,【参考】排出係数!$AI$4:$AI$671,1),1,BE652):INDEX((係数_バス貨物_ガソリン,係数_バス貨物_CNG,係数_バス貨物_軽油,係数_バス貨物_メタノール,係数_バス貨物_LPG),MATCH(AY652+1,【参考】排出係数!$AI$4:$AI$671,1)-1,5,BE652),5,FALSE)),IF(AND(BE652=3,LEFT(BF652,1)="1"),0.055,VLOOKUP(AU652,INDEX((係数_乗用_ガソリン,係数_乗用_CNG,係数_乗用_軽油,係数_乗用_メタノール,係数_乗用_LPG),1,1,BE652):INDEX((係数_乗用_ガソリン,係数_乗用_CNG,係数_乗用_軽油,係数_乗用_メタノール,係数_乗用_LPG),125,5,BE652),5,FALSE)))))</f>
        <v/>
      </c>
      <c r="AN652" s="461" t="str">
        <f t="shared" si="362"/>
        <v/>
      </c>
      <c r="AO652" s="462" t="str">
        <f t="shared" si="363"/>
        <v/>
      </c>
      <c r="AP652" s="463" t="str">
        <f t="shared" si="364"/>
        <v/>
      </c>
      <c r="AQ652" s="464"/>
      <c r="AR652" s="619"/>
      <c r="AS652" s="465" t="str">
        <f t="shared" si="366"/>
        <v/>
      </c>
      <c r="AT652" s="465" t="str">
        <f t="shared" si="367"/>
        <v/>
      </c>
      <c r="AU652" s="466" t="str">
        <f t="shared" si="368"/>
        <v/>
      </c>
      <c r="AV652" s="467" t="str">
        <f t="shared" si="369"/>
        <v/>
      </c>
      <c r="AW652" s="467" t="str">
        <f t="shared" si="370"/>
        <v/>
      </c>
      <c r="AX652" s="467" t="str">
        <f t="shared" si="371"/>
        <v/>
      </c>
      <c r="AY652" s="467" t="str">
        <f t="shared" si="372"/>
        <v/>
      </c>
      <c r="AZ652" s="467" t="str">
        <f t="shared" si="373"/>
        <v/>
      </c>
      <c r="BA652" s="468" t="str">
        <f>IF(AS652="","",IF(OR(AU652="",AU652="-"),"－",IF(OR(AZ652=8,AZ652=9),"",IF(OR(AW652=3,AW652=4,AW652=5,AW652=6),VLOOKUP(AU652,INDEX((係数_バス貨物_ガソリン,係数_バス貨物_CNG,係数_バス貨物_軽油,係数_バス貨物_メタノール,係数_バス貨物_LPG),MATCH(AY652,【参考】排出係数!$AI$4:$AI$671,1),1,BE652):INDEX((係数_バス貨物_ガソリン,係数_バス貨物_CNG,係数_バス貨物_軽油,係数_バス貨物_メタノール,係数_バス貨物_LPG),MATCH(AY652+1,【参考】排出係数!$AI$4:$AI$671,1)-1,5,BE652),2,FALSE),IF(OR(AW652=1,AW652=2),VLOOKUP(AU652,INDEX((係数_乗用_ガソリン,係数_乗用_CNG,係数_乗用_軽油,係数_乗用_メタノール,係数_乗用_LPG),1,1,BE652):INDEX((係数_乗用_ガソリン,係数_乗用_CNG,係数_乗用_軽油,係数_乗用_メタノール,係数_乗用_LPG),125,5,BE652),2,FALSE))))))</f>
        <v/>
      </c>
      <c r="BB652" s="468" t="str">
        <f>IF(T652="","",IF(OR(AU652="",AU652="-"),"－",IF(OR(AZ652=8,AZ652=9),"",IF(OR(AW652=3,AW652=4,AW652=5,AW652=6),VLOOKUP(AU652,INDEX((係数_バス貨物_ガソリン,係数_バス貨物_CNG,係数_バス貨物_軽油,係数_バス貨物_メタノール,係数_バス貨物_LPG),MATCH(AY652,【参考】排出係数!$AI$4:$AI$671,1),1,BE652):INDEX((係数_バス貨物_ガソリン,係数_バス貨物_CNG,係数_バス貨物_軽油,係数_バス貨物_メタノール,係数_バス貨物_LPG),MATCH(AY652+1,【参考】排出係数!$AI$4:$AI$671,1)-1,5,BE652),3,FALSE),IF(OR(AW652=1,AW652=2),VLOOKUP(AU652,INDEX((係数_乗用_ガソリン,係数_乗用_CNG,係数_乗用_軽油,係数_乗用_メタノール,係数_乗用_LPG),1,1,BE652):INDEX((係数_乗用_ガソリン,係数_乗用_CNG,係数_乗用_軽油,係数_乗用_メタノール,係数_乗用_LPG),125,5,BE652),3,FALSE))))))</f>
        <v/>
      </c>
      <c r="BC652" s="467" t="str">
        <f t="shared" si="374"/>
        <v/>
      </c>
      <c r="BD652" s="567" t="str">
        <f t="shared" si="375"/>
        <v/>
      </c>
      <c r="BE652" s="467" t="str">
        <f t="shared" si="376"/>
        <v/>
      </c>
      <c r="BF652" s="469" t="str">
        <f t="shared" ca="1" si="377"/>
        <v/>
      </c>
      <c r="BG652" s="469" t="str">
        <f t="shared" ca="1" si="378"/>
        <v/>
      </c>
      <c r="BH652" s="467" t="str">
        <f t="shared" si="379"/>
        <v/>
      </c>
      <c r="BI652" s="467" t="str">
        <f t="shared" ca="1" si="380"/>
        <v/>
      </c>
      <c r="BJ652" s="469" t="str">
        <f t="shared" si="381"/>
        <v/>
      </c>
      <c r="BK652" s="470" t="str">
        <f t="shared" si="365"/>
        <v/>
      </c>
      <c r="BL652" s="775" t="str">
        <f t="shared" si="382"/>
        <v/>
      </c>
      <c r="BM652" s="775" t="str">
        <f t="shared" si="383"/>
        <v/>
      </c>
    </row>
    <row r="653" spans="1:65">
      <c r="A653" s="473">
        <v>597</v>
      </c>
      <c r="B653" s="132"/>
      <c r="C653" s="332"/>
      <c r="D653" s="333"/>
      <c r="E653" s="333"/>
      <c r="F653" s="334"/>
      <c r="G653" s="337"/>
      <c r="H653" s="131"/>
      <c r="I653" s="337"/>
      <c r="J653" s="131"/>
      <c r="K653" s="458" t="str">
        <f t="shared" si="352"/>
        <v/>
      </c>
      <c r="L653" s="458">
        <f t="shared" si="353"/>
        <v>0</v>
      </c>
      <c r="M653" s="458">
        <f t="shared" si="354"/>
        <v>0</v>
      </c>
      <c r="N653" s="459" t="str">
        <f t="shared" si="283"/>
        <v/>
      </c>
      <c r="O653" s="459" t="str">
        <f t="shared" si="284"/>
        <v/>
      </c>
      <c r="P653" s="459" t="str">
        <f t="shared" si="285"/>
        <v/>
      </c>
      <c r="Q653" s="459" t="str">
        <f t="shared" si="286"/>
        <v/>
      </c>
      <c r="R653" s="459" t="str">
        <f t="shared" si="287"/>
        <v/>
      </c>
      <c r="S653" s="459" t="str">
        <f t="shared" si="288"/>
        <v/>
      </c>
      <c r="T653" s="566" t="str">
        <f t="shared" si="355"/>
        <v/>
      </c>
      <c r="U653" s="702"/>
      <c r="V653" s="132"/>
      <c r="W653" s="133"/>
      <c r="X653" s="134"/>
      <c r="Y653" s="135"/>
      <c r="Z653" s="137"/>
      <c r="AA653" s="136"/>
      <c r="AB653" s="566" t="str">
        <f t="shared" si="356"/>
        <v/>
      </c>
      <c r="AC653" s="568" t="str">
        <f t="shared" si="357"/>
        <v/>
      </c>
      <c r="AD653" s="137"/>
      <c r="AE653" s="137"/>
      <c r="AF653" s="138"/>
      <c r="AG653" s="138"/>
      <c r="AH653" s="592" t="str">
        <f t="shared" si="358"/>
        <v/>
      </c>
      <c r="AI653" s="592" t="str">
        <f t="shared" si="359"/>
        <v/>
      </c>
      <c r="AJ653" s="592" t="str">
        <f t="shared" si="360"/>
        <v/>
      </c>
      <c r="AK653" s="460" t="str">
        <f>IF(AU653="","",IF(OR(AZ653=8,AZ653=9),0,IF(OR(AW653=3,AW653=4,AW653=5,AW653=6),IF(LEFT(BF653,1)="1",INDEX(係数_NOX・PM低減,MATCH(AY653,【参考】排出係数!$AI$801:$AI$804,1),1),VLOOKUP(AU653,INDEX((係数_バス貨物_ガソリン,係数_バス貨物_CNG,係数_バス貨物_軽油,係数_バス貨物_メタノール,係数_バス貨物_LPG),MATCH(AY653,【参考】排出係数!$AI$4:$AI$671,1),1,BE653):INDEX((係数_バス貨物_ガソリン,係数_バス貨物_CNG,係数_バス貨物_軽油,係数_バス貨物_メタノール,係数_バス貨物_LPG),MATCH(AY653+1,【参考】排出係数!$AI$4:$AI$671,1)-1,5,BE653),4,FALSE)),IF(AND(BE653=3,LEFT(BF653,1)="1"),0.48,VLOOKUP(AU653,INDEX((係数_乗用_ガソリン,係数_乗用_CNG,係数_乗用_軽油,係数_乗用_メタノール,係数_乗用_LPG),1,1,BE653):INDEX((係数_乗用_ガソリン,係数_乗用_CNG,係数_乗用_軽油,係数_乗用_メタノール,係数_乗用_LPG),125,5,BE653),4,FALSE)))))</f>
        <v/>
      </c>
      <c r="AL653" s="461" t="str">
        <f t="shared" si="361"/>
        <v/>
      </c>
      <c r="AM653" s="460" t="str">
        <f>IF(AU653="","",IF(OR(AZ653=8,AZ653=9),0,IF(OR(AW653=3,AW653=4,AW653=5,AW653=6),IF(LEFT(BH653,1)="1",INDEX(係数_PM低減,MATCH(AY653,【参考】排出係数!$AI$801:$AI$804,1),MATCH(BI653,【参考】排出係数!$AL$798:$AO$798,1)),VLOOKUP(AU653,INDEX((係数_バス貨物_ガソリン,係数_バス貨物_CNG,係数_バス貨物_軽油,係数_バス貨物_メタノール,係数_バス貨物_LPG),MATCH(AY653,【参考】排出係数!$AI$4:$AI$671,1),1,BE653):INDEX((係数_バス貨物_ガソリン,係数_バス貨物_CNG,係数_バス貨物_軽油,係数_バス貨物_メタノール,係数_バス貨物_LPG),MATCH(AY653+1,【参考】排出係数!$AI$4:$AI$671,1)-1,5,BE653),5,FALSE)),IF(AND(BE653=3,LEFT(BF653,1)="1"),0.055,VLOOKUP(AU653,INDEX((係数_乗用_ガソリン,係数_乗用_CNG,係数_乗用_軽油,係数_乗用_メタノール,係数_乗用_LPG),1,1,BE653):INDEX((係数_乗用_ガソリン,係数_乗用_CNG,係数_乗用_軽油,係数_乗用_メタノール,係数_乗用_LPG),125,5,BE653),5,FALSE)))))</f>
        <v/>
      </c>
      <c r="AN653" s="461" t="str">
        <f t="shared" si="362"/>
        <v/>
      </c>
      <c r="AO653" s="462" t="str">
        <f t="shared" si="363"/>
        <v/>
      </c>
      <c r="AP653" s="463" t="str">
        <f t="shared" si="364"/>
        <v/>
      </c>
      <c r="AQ653" s="464"/>
      <c r="AR653" s="619"/>
      <c r="AS653" s="465" t="str">
        <f t="shared" si="366"/>
        <v/>
      </c>
      <c r="AT653" s="465" t="str">
        <f t="shared" si="367"/>
        <v/>
      </c>
      <c r="AU653" s="466" t="str">
        <f t="shared" si="368"/>
        <v/>
      </c>
      <c r="AV653" s="467" t="str">
        <f t="shared" si="369"/>
        <v/>
      </c>
      <c r="AW653" s="467" t="str">
        <f t="shared" si="370"/>
        <v/>
      </c>
      <c r="AX653" s="467" t="str">
        <f t="shared" si="371"/>
        <v/>
      </c>
      <c r="AY653" s="467" t="str">
        <f t="shared" si="372"/>
        <v/>
      </c>
      <c r="AZ653" s="467" t="str">
        <f t="shared" si="373"/>
        <v/>
      </c>
      <c r="BA653" s="468" t="str">
        <f>IF(AS653="","",IF(OR(AU653="",AU653="-"),"－",IF(OR(AZ653=8,AZ653=9),"",IF(OR(AW653=3,AW653=4,AW653=5,AW653=6),VLOOKUP(AU653,INDEX((係数_バス貨物_ガソリン,係数_バス貨物_CNG,係数_バス貨物_軽油,係数_バス貨物_メタノール,係数_バス貨物_LPG),MATCH(AY653,【参考】排出係数!$AI$4:$AI$671,1),1,BE653):INDEX((係数_バス貨物_ガソリン,係数_バス貨物_CNG,係数_バス貨物_軽油,係数_バス貨物_メタノール,係数_バス貨物_LPG),MATCH(AY653+1,【参考】排出係数!$AI$4:$AI$671,1)-1,5,BE653),2,FALSE),IF(OR(AW653=1,AW653=2),VLOOKUP(AU653,INDEX((係数_乗用_ガソリン,係数_乗用_CNG,係数_乗用_軽油,係数_乗用_メタノール,係数_乗用_LPG),1,1,BE653):INDEX((係数_乗用_ガソリン,係数_乗用_CNG,係数_乗用_軽油,係数_乗用_メタノール,係数_乗用_LPG),125,5,BE653),2,FALSE))))))</f>
        <v/>
      </c>
      <c r="BB653" s="468" t="str">
        <f>IF(T653="","",IF(OR(AU653="",AU653="-"),"－",IF(OR(AZ653=8,AZ653=9),"",IF(OR(AW653=3,AW653=4,AW653=5,AW653=6),VLOOKUP(AU653,INDEX((係数_バス貨物_ガソリン,係数_バス貨物_CNG,係数_バス貨物_軽油,係数_バス貨物_メタノール,係数_バス貨物_LPG),MATCH(AY653,【参考】排出係数!$AI$4:$AI$671,1),1,BE653):INDEX((係数_バス貨物_ガソリン,係数_バス貨物_CNG,係数_バス貨物_軽油,係数_バス貨物_メタノール,係数_バス貨物_LPG),MATCH(AY653+1,【参考】排出係数!$AI$4:$AI$671,1)-1,5,BE653),3,FALSE),IF(OR(AW653=1,AW653=2),VLOOKUP(AU653,INDEX((係数_乗用_ガソリン,係数_乗用_CNG,係数_乗用_軽油,係数_乗用_メタノール,係数_乗用_LPG),1,1,BE653):INDEX((係数_乗用_ガソリン,係数_乗用_CNG,係数_乗用_軽油,係数_乗用_メタノール,係数_乗用_LPG),125,5,BE653),3,FALSE))))))</f>
        <v/>
      </c>
      <c r="BC653" s="467" t="str">
        <f t="shared" si="374"/>
        <v/>
      </c>
      <c r="BD653" s="567" t="str">
        <f t="shared" si="375"/>
        <v/>
      </c>
      <c r="BE653" s="467" t="str">
        <f t="shared" si="376"/>
        <v/>
      </c>
      <c r="BF653" s="469" t="str">
        <f t="shared" ca="1" si="377"/>
        <v/>
      </c>
      <c r="BG653" s="469" t="str">
        <f t="shared" ca="1" si="378"/>
        <v/>
      </c>
      <c r="BH653" s="467" t="str">
        <f t="shared" si="379"/>
        <v/>
      </c>
      <c r="BI653" s="467" t="str">
        <f t="shared" ca="1" si="380"/>
        <v/>
      </c>
      <c r="BJ653" s="469" t="str">
        <f t="shared" si="381"/>
        <v/>
      </c>
      <c r="BK653" s="470" t="str">
        <f t="shared" si="365"/>
        <v/>
      </c>
      <c r="BL653" s="775" t="str">
        <f t="shared" si="382"/>
        <v/>
      </c>
      <c r="BM653" s="775" t="str">
        <f t="shared" si="383"/>
        <v/>
      </c>
    </row>
    <row r="654" spans="1:65">
      <c r="A654" s="473">
        <v>598</v>
      </c>
      <c r="B654" s="132"/>
      <c r="C654" s="332"/>
      <c r="D654" s="333"/>
      <c r="E654" s="333"/>
      <c r="F654" s="334"/>
      <c r="G654" s="337"/>
      <c r="H654" s="131"/>
      <c r="I654" s="337"/>
      <c r="J654" s="131"/>
      <c r="K654" s="458" t="str">
        <f t="shared" si="352"/>
        <v/>
      </c>
      <c r="L654" s="458">
        <f t="shared" si="353"/>
        <v>0</v>
      </c>
      <c r="M654" s="458">
        <f t="shared" si="354"/>
        <v>0</v>
      </c>
      <c r="N654" s="459" t="str">
        <f t="shared" si="283"/>
        <v/>
      </c>
      <c r="O654" s="459" t="str">
        <f t="shared" si="284"/>
        <v/>
      </c>
      <c r="P654" s="459" t="str">
        <f t="shared" si="285"/>
        <v/>
      </c>
      <c r="Q654" s="459" t="str">
        <f t="shared" si="286"/>
        <v/>
      </c>
      <c r="R654" s="459" t="str">
        <f t="shared" si="287"/>
        <v/>
      </c>
      <c r="S654" s="459" t="str">
        <f t="shared" si="288"/>
        <v/>
      </c>
      <c r="T654" s="566" t="str">
        <f t="shared" si="355"/>
        <v/>
      </c>
      <c r="U654" s="702"/>
      <c r="V654" s="132"/>
      <c r="W654" s="133"/>
      <c r="X654" s="134"/>
      <c r="Y654" s="135"/>
      <c r="Z654" s="137"/>
      <c r="AA654" s="136"/>
      <c r="AB654" s="566" t="str">
        <f t="shared" si="356"/>
        <v/>
      </c>
      <c r="AC654" s="568" t="str">
        <f t="shared" si="357"/>
        <v/>
      </c>
      <c r="AD654" s="137"/>
      <c r="AE654" s="137"/>
      <c r="AF654" s="138"/>
      <c r="AG654" s="138"/>
      <c r="AH654" s="592" t="str">
        <f t="shared" si="358"/>
        <v/>
      </c>
      <c r="AI654" s="592" t="str">
        <f t="shared" si="359"/>
        <v/>
      </c>
      <c r="AJ654" s="592" t="str">
        <f t="shared" si="360"/>
        <v/>
      </c>
      <c r="AK654" s="460" t="str">
        <f>IF(AU654="","",IF(OR(AZ654=8,AZ654=9),0,IF(OR(AW654=3,AW654=4,AW654=5,AW654=6),IF(LEFT(BF654,1)="1",INDEX(係数_NOX・PM低減,MATCH(AY654,【参考】排出係数!$AI$801:$AI$804,1),1),VLOOKUP(AU654,INDEX((係数_バス貨物_ガソリン,係数_バス貨物_CNG,係数_バス貨物_軽油,係数_バス貨物_メタノール,係数_バス貨物_LPG),MATCH(AY654,【参考】排出係数!$AI$4:$AI$671,1),1,BE654):INDEX((係数_バス貨物_ガソリン,係数_バス貨物_CNG,係数_バス貨物_軽油,係数_バス貨物_メタノール,係数_バス貨物_LPG),MATCH(AY654+1,【参考】排出係数!$AI$4:$AI$671,1)-1,5,BE654),4,FALSE)),IF(AND(BE654=3,LEFT(BF654,1)="1"),0.48,VLOOKUP(AU654,INDEX((係数_乗用_ガソリン,係数_乗用_CNG,係数_乗用_軽油,係数_乗用_メタノール,係数_乗用_LPG),1,1,BE654):INDEX((係数_乗用_ガソリン,係数_乗用_CNG,係数_乗用_軽油,係数_乗用_メタノール,係数_乗用_LPG),125,5,BE654),4,FALSE)))))</f>
        <v/>
      </c>
      <c r="AL654" s="461" t="str">
        <f t="shared" si="361"/>
        <v/>
      </c>
      <c r="AM654" s="460" t="str">
        <f>IF(AU654="","",IF(OR(AZ654=8,AZ654=9),0,IF(OR(AW654=3,AW654=4,AW654=5,AW654=6),IF(LEFT(BH654,1)="1",INDEX(係数_PM低減,MATCH(AY654,【参考】排出係数!$AI$801:$AI$804,1),MATCH(BI654,【参考】排出係数!$AL$798:$AO$798,1)),VLOOKUP(AU654,INDEX((係数_バス貨物_ガソリン,係数_バス貨物_CNG,係数_バス貨物_軽油,係数_バス貨物_メタノール,係数_バス貨物_LPG),MATCH(AY654,【参考】排出係数!$AI$4:$AI$671,1),1,BE654):INDEX((係数_バス貨物_ガソリン,係数_バス貨物_CNG,係数_バス貨物_軽油,係数_バス貨物_メタノール,係数_バス貨物_LPG),MATCH(AY654+1,【参考】排出係数!$AI$4:$AI$671,1)-1,5,BE654),5,FALSE)),IF(AND(BE654=3,LEFT(BF654,1)="1"),0.055,VLOOKUP(AU654,INDEX((係数_乗用_ガソリン,係数_乗用_CNG,係数_乗用_軽油,係数_乗用_メタノール,係数_乗用_LPG),1,1,BE654):INDEX((係数_乗用_ガソリン,係数_乗用_CNG,係数_乗用_軽油,係数_乗用_メタノール,係数_乗用_LPG),125,5,BE654),5,FALSE)))))</f>
        <v/>
      </c>
      <c r="AN654" s="461" t="str">
        <f t="shared" si="362"/>
        <v/>
      </c>
      <c r="AO654" s="462" t="str">
        <f t="shared" si="363"/>
        <v/>
      </c>
      <c r="AP654" s="463" t="str">
        <f t="shared" si="364"/>
        <v/>
      </c>
      <c r="AQ654" s="464"/>
      <c r="AR654" s="619"/>
      <c r="AS654" s="465" t="str">
        <f t="shared" si="366"/>
        <v/>
      </c>
      <c r="AT654" s="465" t="str">
        <f t="shared" si="367"/>
        <v/>
      </c>
      <c r="AU654" s="466" t="str">
        <f t="shared" si="368"/>
        <v/>
      </c>
      <c r="AV654" s="467" t="str">
        <f t="shared" si="369"/>
        <v/>
      </c>
      <c r="AW654" s="467" t="str">
        <f t="shared" si="370"/>
        <v/>
      </c>
      <c r="AX654" s="467" t="str">
        <f t="shared" si="371"/>
        <v/>
      </c>
      <c r="AY654" s="467" t="str">
        <f t="shared" si="372"/>
        <v/>
      </c>
      <c r="AZ654" s="467" t="str">
        <f t="shared" si="373"/>
        <v/>
      </c>
      <c r="BA654" s="468" t="str">
        <f>IF(AS654="","",IF(OR(AU654="",AU654="-"),"－",IF(OR(AZ654=8,AZ654=9),"",IF(OR(AW654=3,AW654=4,AW654=5,AW654=6),VLOOKUP(AU654,INDEX((係数_バス貨物_ガソリン,係数_バス貨物_CNG,係数_バス貨物_軽油,係数_バス貨物_メタノール,係数_バス貨物_LPG),MATCH(AY654,【参考】排出係数!$AI$4:$AI$671,1),1,BE654):INDEX((係数_バス貨物_ガソリン,係数_バス貨物_CNG,係数_バス貨物_軽油,係数_バス貨物_メタノール,係数_バス貨物_LPG),MATCH(AY654+1,【参考】排出係数!$AI$4:$AI$671,1)-1,5,BE654),2,FALSE),IF(OR(AW654=1,AW654=2),VLOOKUP(AU654,INDEX((係数_乗用_ガソリン,係数_乗用_CNG,係数_乗用_軽油,係数_乗用_メタノール,係数_乗用_LPG),1,1,BE654):INDEX((係数_乗用_ガソリン,係数_乗用_CNG,係数_乗用_軽油,係数_乗用_メタノール,係数_乗用_LPG),125,5,BE654),2,FALSE))))))</f>
        <v/>
      </c>
      <c r="BB654" s="468" t="str">
        <f>IF(T654="","",IF(OR(AU654="",AU654="-"),"－",IF(OR(AZ654=8,AZ654=9),"",IF(OR(AW654=3,AW654=4,AW654=5,AW654=6),VLOOKUP(AU654,INDEX((係数_バス貨物_ガソリン,係数_バス貨物_CNG,係数_バス貨物_軽油,係数_バス貨物_メタノール,係数_バス貨物_LPG),MATCH(AY654,【参考】排出係数!$AI$4:$AI$671,1),1,BE654):INDEX((係数_バス貨物_ガソリン,係数_バス貨物_CNG,係数_バス貨物_軽油,係数_バス貨物_メタノール,係数_バス貨物_LPG),MATCH(AY654+1,【参考】排出係数!$AI$4:$AI$671,1)-1,5,BE654),3,FALSE),IF(OR(AW654=1,AW654=2),VLOOKUP(AU654,INDEX((係数_乗用_ガソリン,係数_乗用_CNG,係数_乗用_軽油,係数_乗用_メタノール,係数_乗用_LPG),1,1,BE654):INDEX((係数_乗用_ガソリン,係数_乗用_CNG,係数_乗用_軽油,係数_乗用_メタノール,係数_乗用_LPG),125,5,BE654),3,FALSE))))))</f>
        <v/>
      </c>
      <c r="BC654" s="467" t="str">
        <f t="shared" si="374"/>
        <v/>
      </c>
      <c r="BD654" s="567" t="str">
        <f t="shared" si="375"/>
        <v/>
      </c>
      <c r="BE654" s="467" t="str">
        <f t="shared" si="376"/>
        <v/>
      </c>
      <c r="BF654" s="469" t="str">
        <f t="shared" ca="1" si="377"/>
        <v/>
      </c>
      <c r="BG654" s="469" t="str">
        <f t="shared" ca="1" si="378"/>
        <v/>
      </c>
      <c r="BH654" s="467" t="str">
        <f t="shared" si="379"/>
        <v/>
      </c>
      <c r="BI654" s="467" t="str">
        <f t="shared" ca="1" si="380"/>
        <v/>
      </c>
      <c r="BJ654" s="469" t="str">
        <f t="shared" si="381"/>
        <v/>
      </c>
      <c r="BK654" s="470" t="str">
        <f t="shared" si="365"/>
        <v/>
      </c>
      <c r="BL654" s="775" t="str">
        <f t="shared" si="382"/>
        <v/>
      </c>
      <c r="BM654" s="775" t="str">
        <f t="shared" si="383"/>
        <v/>
      </c>
    </row>
    <row r="655" spans="1:65">
      <c r="A655" s="473">
        <v>599</v>
      </c>
      <c r="B655" s="132"/>
      <c r="C655" s="332"/>
      <c r="D655" s="333"/>
      <c r="E655" s="333"/>
      <c r="F655" s="334"/>
      <c r="G655" s="337"/>
      <c r="H655" s="131"/>
      <c r="I655" s="337"/>
      <c r="J655" s="131"/>
      <c r="K655" s="458" t="str">
        <f t="shared" si="352"/>
        <v/>
      </c>
      <c r="L655" s="458">
        <f t="shared" si="353"/>
        <v>0</v>
      </c>
      <c r="M655" s="458">
        <f t="shared" si="354"/>
        <v>0</v>
      </c>
      <c r="N655" s="459" t="str">
        <f t="shared" si="283"/>
        <v/>
      </c>
      <c r="O655" s="459" t="str">
        <f t="shared" si="284"/>
        <v/>
      </c>
      <c r="P655" s="459" t="str">
        <f t="shared" si="285"/>
        <v/>
      </c>
      <c r="Q655" s="459" t="str">
        <f t="shared" si="286"/>
        <v/>
      </c>
      <c r="R655" s="459" t="str">
        <f t="shared" si="287"/>
        <v/>
      </c>
      <c r="S655" s="459" t="str">
        <f t="shared" si="288"/>
        <v/>
      </c>
      <c r="T655" s="566" t="str">
        <f t="shared" si="355"/>
        <v/>
      </c>
      <c r="U655" s="702"/>
      <c r="V655" s="132"/>
      <c r="W655" s="133"/>
      <c r="X655" s="134"/>
      <c r="Y655" s="135"/>
      <c r="Z655" s="137"/>
      <c r="AA655" s="136"/>
      <c r="AB655" s="566" t="str">
        <f t="shared" si="356"/>
        <v/>
      </c>
      <c r="AC655" s="568" t="str">
        <f t="shared" si="357"/>
        <v/>
      </c>
      <c r="AD655" s="137"/>
      <c r="AE655" s="137"/>
      <c r="AF655" s="138"/>
      <c r="AG655" s="138"/>
      <c r="AH655" s="592" t="str">
        <f t="shared" si="358"/>
        <v/>
      </c>
      <c r="AI655" s="592" t="str">
        <f t="shared" si="359"/>
        <v/>
      </c>
      <c r="AJ655" s="592" t="str">
        <f t="shared" si="360"/>
        <v/>
      </c>
      <c r="AK655" s="460" t="str">
        <f>IF(AU655="","",IF(OR(AZ655=8,AZ655=9),0,IF(OR(AW655=3,AW655=4,AW655=5,AW655=6),IF(LEFT(BF655,1)="1",INDEX(係数_NOX・PM低減,MATCH(AY655,【参考】排出係数!$AI$801:$AI$804,1),1),VLOOKUP(AU655,INDEX((係数_バス貨物_ガソリン,係数_バス貨物_CNG,係数_バス貨物_軽油,係数_バス貨物_メタノール,係数_バス貨物_LPG),MATCH(AY655,【参考】排出係数!$AI$4:$AI$671,1),1,BE655):INDEX((係数_バス貨物_ガソリン,係数_バス貨物_CNG,係数_バス貨物_軽油,係数_バス貨物_メタノール,係数_バス貨物_LPG),MATCH(AY655+1,【参考】排出係数!$AI$4:$AI$671,1)-1,5,BE655),4,FALSE)),IF(AND(BE655=3,LEFT(BF655,1)="1"),0.48,VLOOKUP(AU655,INDEX((係数_乗用_ガソリン,係数_乗用_CNG,係数_乗用_軽油,係数_乗用_メタノール,係数_乗用_LPG),1,1,BE655):INDEX((係数_乗用_ガソリン,係数_乗用_CNG,係数_乗用_軽油,係数_乗用_メタノール,係数_乗用_LPG),125,5,BE655),4,FALSE)))))</f>
        <v/>
      </c>
      <c r="AL655" s="461" t="str">
        <f t="shared" si="361"/>
        <v/>
      </c>
      <c r="AM655" s="460" t="str">
        <f>IF(AU655="","",IF(OR(AZ655=8,AZ655=9),0,IF(OR(AW655=3,AW655=4,AW655=5,AW655=6),IF(LEFT(BH655,1)="1",INDEX(係数_PM低減,MATCH(AY655,【参考】排出係数!$AI$801:$AI$804,1),MATCH(BI655,【参考】排出係数!$AL$798:$AO$798,1)),VLOOKUP(AU655,INDEX((係数_バス貨物_ガソリン,係数_バス貨物_CNG,係数_バス貨物_軽油,係数_バス貨物_メタノール,係数_バス貨物_LPG),MATCH(AY655,【参考】排出係数!$AI$4:$AI$671,1),1,BE655):INDEX((係数_バス貨物_ガソリン,係数_バス貨物_CNG,係数_バス貨物_軽油,係数_バス貨物_メタノール,係数_バス貨物_LPG),MATCH(AY655+1,【参考】排出係数!$AI$4:$AI$671,1)-1,5,BE655),5,FALSE)),IF(AND(BE655=3,LEFT(BF655,1)="1"),0.055,VLOOKUP(AU655,INDEX((係数_乗用_ガソリン,係数_乗用_CNG,係数_乗用_軽油,係数_乗用_メタノール,係数_乗用_LPG),1,1,BE655):INDEX((係数_乗用_ガソリン,係数_乗用_CNG,係数_乗用_軽油,係数_乗用_メタノール,係数_乗用_LPG),125,5,BE655),5,FALSE)))))</f>
        <v/>
      </c>
      <c r="AN655" s="461" t="str">
        <f t="shared" si="362"/>
        <v/>
      </c>
      <c r="AO655" s="462" t="str">
        <f t="shared" si="363"/>
        <v/>
      </c>
      <c r="AP655" s="463" t="str">
        <f t="shared" si="364"/>
        <v/>
      </c>
      <c r="AQ655" s="464"/>
      <c r="AR655" s="619"/>
      <c r="AS655" s="465" t="str">
        <f t="shared" si="366"/>
        <v/>
      </c>
      <c r="AT655" s="465" t="str">
        <f t="shared" si="367"/>
        <v/>
      </c>
      <c r="AU655" s="466" t="str">
        <f t="shared" si="368"/>
        <v/>
      </c>
      <c r="AV655" s="467" t="str">
        <f t="shared" si="369"/>
        <v/>
      </c>
      <c r="AW655" s="467" t="str">
        <f t="shared" si="370"/>
        <v/>
      </c>
      <c r="AX655" s="467" t="str">
        <f t="shared" si="371"/>
        <v/>
      </c>
      <c r="AY655" s="467" t="str">
        <f t="shared" si="372"/>
        <v/>
      </c>
      <c r="AZ655" s="467" t="str">
        <f t="shared" si="373"/>
        <v/>
      </c>
      <c r="BA655" s="468" t="str">
        <f>IF(AS655="","",IF(OR(AU655="",AU655="-"),"－",IF(OR(AZ655=8,AZ655=9),"",IF(OR(AW655=3,AW655=4,AW655=5,AW655=6),VLOOKUP(AU655,INDEX((係数_バス貨物_ガソリン,係数_バス貨物_CNG,係数_バス貨物_軽油,係数_バス貨物_メタノール,係数_バス貨物_LPG),MATCH(AY655,【参考】排出係数!$AI$4:$AI$671,1),1,BE655):INDEX((係数_バス貨物_ガソリン,係数_バス貨物_CNG,係数_バス貨物_軽油,係数_バス貨物_メタノール,係数_バス貨物_LPG),MATCH(AY655+1,【参考】排出係数!$AI$4:$AI$671,1)-1,5,BE655),2,FALSE),IF(OR(AW655=1,AW655=2),VLOOKUP(AU655,INDEX((係数_乗用_ガソリン,係数_乗用_CNG,係数_乗用_軽油,係数_乗用_メタノール,係数_乗用_LPG),1,1,BE655):INDEX((係数_乗用_ガソリン,係数_乗用_CNG,係数_乗用_軽油,係数_乗用_メタノール,係数_乗用_LPG),125,5,BE655),2,FALSE))))))</f>
        <v/>
      </c>
      <c r="BB655" s="468" t="str">
        <f>IF(T655="","",IF(OR(AU655="",AU655="-"),"－",IF(OR(AZ655=8,AZ655=9),"",IF(OR(AW655=3,AW655=4,AW655=5,AW655=6),VLOOKUP(AU655,INDEX((係数_バス貨物_ガソリン,係数_バス貨物_CNG,係数_バス貨物_軽油,係数_バス貨物_メタノール,係数_バス貨物_LPG),MATCH(AY655,【参考】排出係数!$AI$4:$AI$671,1),1,BE655):INDEX((係数_バス貨物_ガソリン,係数_バス貨物_CNG,係数_バス貨物_軽油,係数_バス貨物_メタノール,係数_バス貨物_LPG),MATCH(AY655+1,【参考】排出係数!$AI$4:$AI$671,1)-1,5,BE655),3,FALSE),IF(OR(AW655=1,AW655=2),VLOOKUP(AU655,INDEX((係数_乗用_ガソリン,係数_乗用_CNG,係数_乗用_軽油,係数_乗用_メタノール,係数_乗用_LPG),1,1,BE655):INDEX((係数_乗用_ガソリン,係数_乗用_CNG,係数_乗用_軽油,係数_乗用_メタノール,係数_乗用_LPG),125,5,BE655),3,FALSE))))))</f>
        <v/>
      </c>
      <c r="BC655" s="467" t="str">
        <f t="shared" si="374"/>
        <v/>
      </c>
      <c r="BD655" s="567" t="str">
        <f t="shared" si="375"/>
        <v/>
      </c>
      <c r="BE655" s="467" t="str">
        <f t="shared" si="376"/>
        <v/>
      </c>
      <c r="BF655" s="469" t="str">
        <f t="shared" ca="1" si="377"/>
        <v/>
      </c>
      <c r="BG655" s="469" t="str">
        <f t="shared" ca="1" si="378"/>
        <v/>
      </c>
      <c r="BH655" s="467" t="str">
        <f t="shared" si="379"/>
        <v/>
      </c>
      <c r="BI655" s="467" t="str">
        <f t="shared" ca="1" si="380"/>
        <v/>
      </c>
      <c r="BJ655" s="469" t="str">
        <f t="shared" si="381"/>
        <v/>
      </c>
      <c r="BK655" s="470" t="str">
        <f t="shared" si="365"/>
        <v/>
      </c>
      <c r="BL655" s="775" t="str">
        <f t="shared" si="382"/>
        <v/>
      </c>
      <c r="BM655" s="775" t="str">
        <f t="shared" si="383"/>
        <v/>
      </c>
    </row>
    <row r="656" spans="1:65">
      <c r="A656" s="473">
        <v>600</v>
      </c>
      <c r="B656" s="132"/>
      <c r="C656" s="332"/>
      <c r="D656" s="333"/>
      <c r="E656" s="333"/>
      <c r="F656" s="334"/>
      <c r="G656" s="337"/>
      <c r="H656" s="131"/>
      <c r="I656" s="337"/>
      <c r="J656" s="131"/>
      <c r="K656" s="458" t="str">
        <f t="shared" si="352"/>
        <v/>
      </c>
      <c r="L656" s="458">
        <f t="shared" si="353"/>
        <v>0</v>
      </c>
      <c r="M656" s="458">
        <f t="shared" si="354"/>
        <v>0</v>
      </c>
      <c r="N656" s="459" t="str">
        <f t="shared" si="283"/>
        <v/>
      </c>
      <c r="O656" s="459" t="str">
        <f t="shared" si="284"/>
        <v/>
      </c>
      <c r="P656" s="459" t="str">
        <f t="shared" si="285"/>
        <v/>
      </c>
      <c r="Q656" s="459" t="str">
        <f t="shared" si="286"/>
        <v/>
      </c>
      <c r="R656" s="459" t="str">
        <f t="shared" si="287"/>
        <v/>
      </c>
      <c r="S656" s="459" t="str">
        <f t="shared" si="288"/>
        <v/>
      </c>
      <c r="T656" s="566" t="str">
        <f t="shared" si="355"/>
        <v/>
      </c>
      <c r="U656" s="702"/>
      <c r="V656" s="132"/>
      <c r="W656" s="133"/>
      <c r="X656" s="134"/>
      <c r="Y656" s="135"/>
      <c r="Z656" s="137"/>
      <c r="AA656" s="136"/>
      <c r="AB656" s="566" t="str">
        <f t="shared" si="356"/>
        <v/>
      </c>
      <c r="AC656" s="568" t="str">
        <f t="shared" si="357"/>
        <v/>
      </c>
      <c r="AD656" s="137"/>
      <c r="AE656" s="137"/>
      <c r="AF656" s="138"/>
      <c r="AG656" s="138"/>
      <c r="AH656" s="592" t="str">
        <f t="shared" si="358"/>
        <v/>
      </c>
      <c r="AI656" s="592" t="str">
        <f t="shared" si="359"/>
        <v/>
      </c>
      <c r="AJ656" s="592" t="str">
        <f t="shared" si="360"/>
        <v/>
      </c>
      <c r="AK656" s="460" t="str">
        <f>IF(AU656="","",IF(OR(AZ656=8,AZ656=9),0,IF(OR(AW656=3,AW656=4,AW656=5,AW656=6),IF(LEFT(BF656,1)="1",INDEX(係数_NOX・PM低減,MATCH(AY656,【参考】排出係数!$AI$801:$AI$804,1),1),VLOOKUP(AU656,INDEX((係数_バス貨物_ガソリン,係数_バス貨物_CNG,係数_バス貨物_軽油,係数_バス貨物_メタノール,係数_バス貨物_LPG),MATCH(AY656,【参考】排出係数!$AI$4:$AI$671,1),1,BE656):INDEX((係数_バス貨物_ガソリン,係数_バス貨物_CNG,係数_バス貨物_軽油,係数_バス貨物_メタノール,係数_バス貨物_LPG),MATCH(AY656+1,【参考】排出係数!$AI$4:$AI$671,1)-1,5,BE656),4,FALSE)),IF(AND(BE656=3,LEFT(BF656,1)="1"),0.48,VLOOKUP(AU656,INDEX((係数_乗用_ガソリン,係数_乗用_CNG,係数_乗用_軽油,係数_乗用_メタノール,係数_乗用_LPG),1,1,BE656):INDEX((係数_乗用_ガソリン,係数_乗用_CNG,係数_乗用_軽油,係数_乗用_メタノール,係数_乗用_LPG),125,5,BE656),4,FALSE)))))</f>
        <v/>
      </c>
      <c r="AL656" s="461" t="str">
        <f t="shared" si="361"/>
        <v/>
      </c>
      <c r="AM656" s="460" t="str">
        <f>IF(AU656="","",IF(OR(AZ656=8,AZ656=9),0,IF(OR(AW656=3,AW656=4,AW656=5,AW656=6),IF(LEFT(BH656,1)="1",INDEX(係数_PM低減,MATCH(AY656,【参考】排出係数!$AI$801:$AI$804,1),MATCH(BI656,【参考】排出係数!$AL$798:$AO$798,1)),VLOOKUP(AU656,INDEX((係数_バス貨物_ガソリン,係数_バス貨物_CNG,係数_バス貨物_軽油,係数_バス貨物_メタノール,係数_バス貨物_LPG),MATCH(AY656,【参考】排出係数!$AI$4:$AI$671,1),1,BE656):INDEX((係数_バス貨物_ガソリン,係数_バス貨物_CNG,係数_バス貨物_軽油,係数_バス貨物_メタノール,係数_バス貨物_LPG),MATCH(AY656+1,【参考】排出係数!$AI$4:$AI$671,1)-1,5,BE656),5,FALSE)),IF(AND(BE656=3,LEFT(BF656,1)="1"),0.055,VLOOKUP(AU656,INDEX((係数_乗用_ガソリン,係数_乗用_CNG,係数_乗用_軽油,係数_乗用_メタノール,係数_乗用_LPG),1,1,BE656):INDEX((係数_乗用_ガソリン,係数_乗用_CNG,係数_乗用_軽油,係数_乗用_メタノール,係数_乗用_LPG),125,5,BE656),5,FALSE)))))</f>
        <v/>
      </c>
      <c r="AN656" s="461" t="str">
        <f t="shared" si="362"/>
        <v/>
      </c>
      <c r="AO656" s="462" t="str">
        <f t="shared" si="363"/>
        <v/>
      </c>
      <c r="AP656" s="463" t="str">
        <f t="shared" si="364"/>
        <v/>
      </c>
      <c r="AQ656" s="464"/>
      <c r="AR656" s="619"/>
      <c r="AS656" s="465" t="str">
        <f t="shared" si="366"/>
        <v/>
      </c>
      <c r="AT656" s="465" t="str">
        <f t="shared" si="367"/>
        <v/>
      </c>
      <c r="AU656" s="466" t="str">
        <f t="shared" si="368"/>
        <v/>
      </c>
      <c r="AV656" s="467" t="str">
        <f t="shared" si="369"/>
        <v/>
      </c>
      <c r="AW656" s="467" t="str">
        <f t="shared" si="370"/>
        <v/>
      </c>
      <c r="AX656" s="467" t="str">
        <f t="shared" si="371"/>
        <v/>
      </c>
      <c r="AY656" s="467" t="str">
        <f t="shared" si="372"/>
        <v/>
      </c>
      <c r="AZ656" s="467" t="str">
        <f t="shared" si="373"/>
        <v/>
      </c>
      <c r="BA656" s="468" t="str">
        <f>IF(AS656="","",IF(OR(AU656="",AU656="-"),"－",IF(OR(AZ656=8,AZ656=9),"",IF(OR(AW656=3,AW656=4,AW656=5,AW656=6),VLOOKUP(AU656,INDEX((係数_バス貨物_ガソリン,係数_バス貨物_CNG,係数_バス貨物_軽油,係数_バス貨物_メタノール,係数_バス貨物_LPG),MATCH(AY656,【参考】排出係数!$AI$4:$AI$671,1),1,BE656):INDEX((係数_バス貨物_ガソリン,係数_バス貨物_CNG,係数_バス貨物_軽油,係数_バス貨物_メタノール,係数_バス貨物_LPG),MATCH(AY656+1,【参考】排出係数!$AI$4:$AI$671,1)-1,5,BE656),2,FALSE),IF(OR(AW656=1,AW656=2),VLOOKUP(AU656,INDEX((係数_乗用_ガソリン,係数_乗用_CNG,係数_乗用_軽油,係数_乗用_メタノール,係数_乗用_LPG),1,1,BE656):INDEX((係数_乗用_ガソリン,係数_乗用_CNG,係数_乗用_軽油,係数_乗用_メタノール,係数_乗用_LPG),125,5,BE656),2,FALSE))))))</f>
        <v/>
      </c>
      <c r="BB656" s="468" t="str">
        <f>IF(T656="","",IF(OR(AU656="",AU656="-"),"－",IF(OR(AZ656=8,AZ656=9),"",IF(OR(AW656=3,AW656=4,AW656=5,AW656=6),VLOOKUP(AU656,INDEX((係数_バス貨物_ガソリン,係数_バス貨物_CNG,係数_バス貨物_軽油,係数_バス貨物_メタノール,係数_バス貨物_LPG),MATCH(AY656,【参考】排出係数!$AI$4:$AI$671,1),1,BE656):INDEX((係数_バス貨物_ガソリン,係数_バス貨物_CNG,係数_バス貨物_軽油,係数_バス貨物_メタノール,係数_バス貨物_LPG),MATCH(AY656+1,【参考】排出係数!$AI$4:$AI$671,1)-1,5,BE656),3,FALSE),IF(OR(AW656=1,AW656=2),VLOOKUP(AU656,INDEX((係数_乗用_ガソリン,係数_乗用_CNG,係数_乗用_軽油,係数_乗用_メタノール,係数_乗用_LPG),1,1,BE656):INDEX((係数_乗用_ガソリン,係数_乗用_CNG,係数_乗用_軽油,係数_乗用_メタノール,係数_乗用_LPG),125,5,BE656),3,FALSE))))))</f>
        <v/>
      </c>
      <c r="BC656" s="467" t="str">
        <f t="shared" si="374"/>
        <v/>
      </c>
      <c r="BD656" s="567" t="str">
        <f t="shared" si="375"/>
        <v/>
      </c>
      <c r="BE656" s="467" t="str">
        <f t="shared" si="376"/>
        <v/>
      </c>
      <c r="BF656" s="469" t="str">
        <f t="shared" ca="1" si="377"/>
        <v/>
      </c>
      <c r="BG656" s="469" t="str">
        <f t="shared" ca="1" si="378"/>
        <v/>
      </c>
      <c r="BH656" s="467" t="str">
        <f t="shared" si="379"/>
        <v/>
      </c>
      <c r="BI656" s="467" t="str">
        <f t="shared" ca="1" si="380"/>
        <v/>
      </c>
      <c r="BJ656" s="469" t="str">
        <f t="shared" si="381"/>
        <v/>
      </c>
      <c r="BK656" s="470" t="str">
        <f t="shared" si="365"/>
        <v/>
      </c>
      <c r="BL656" s="775" t="str">
        <f t="shared" si="382"/>
        <v/>
      </c>
      <c r="BM656" s="775" t="str">
        <f t="shared" si="383"/>
        <v/>
      </c>
    </row>
    <row r="657" spans="1:65">
      <c r="A657" s="473">
        <v>601</v>
      </c>
      <c r="B657" s="132"/>
      <c r="C657" s="332"/>
      <c r="D657" s="333"/>
      <c r="E657" s="333"/>
      <c r="F657" s="334"/>
      <c r="G657" s="337"/>
      <c r="H657" s="131"/>
      <c r="I657" s="337"/>
      <c r="J657" s="131"/>
      <c r="K657" s="458" t="str">
        <f t="shared" si="352"/>
        <v/>
      </c>
      <c r="L657" s="458">
        <f t="shared" si="353"/>
        <v>0</v>
      </c>
      <c r="M657" s="458">
        <f t="shared" si="354"/>
        <v>0</v>
      </c>
      <c r="N657" s="459" t="str">
        <f t="shared" si="283"/>
        <v/>
      </c>
      <c r="O657" s="459" t="str">
        <f t="shared" si="284"/>
        <v/>
      </c>
      <c r="P657" s="459" t="str">
        <f t="shared" si="285"/>
        <v/>
      </c>
      <c r="Q657" s="459" t="str">
        <f t="shared" si="286"/>
        <v/>
      </c>
      <c r="R657" s="459" t="str">
        <f t="shared" si="287"/>
        <v/>
      </c>
      <c r="S657" s="459" t="str">
        <f t="shared" si="288"/>
        <v/>
      </c>
      <c r="T657" s="566" t="str">
        <f t="shared" si="355"/>
        <v/>
      </c>
      <c r="U657" s="702"/>
      <c r="V657" s="132"/>
      <c r="W657" s="133"/>
      <c r="X657" s="134"/>
      <c r="Y657" s="135"/>
      <c r="Z657" s="137"/>
      <c r="AA657" s="136"/>
      <c r="AB657" s="566" t="str">
        <f t="shared" si="356"/>
        <v/>
      </c>
      <c r="AC657" s="568" t="str">
        <f t="shared" si="357"/>
        <v/>
      </c>
      <c r="AD657" s="137"/>
      <c r="AE657" s="137"/>
      <c r="AF657" s="138"/>
      <c r="AG657" s="138"/>
      <c r="AH657" s="592" t="str">
        <f t="shared" si="358"/>
        <v/>
      </c>
      <c r="AI657" s="592" t="str">
        <f t="shared" si="359"/>
        <v/>
      </c>
      <c r="AJ657" s="592" t="str">
        <f t="shared" si="360"/>
        <v/>
      </c>
      <c r="AK657" s="460" t="str">
        <f>IF(AU657="","",IF(OR(AZ657=8,AZ657=9),0,IF(OR(AW657=3,AW657=4,AW657=5,AW657=6),IF(LEFT(BF657,1)="1",INDEX(係数_NOX・PM低減,MATCH(AY657,【参考】排出係数!$AI$801:$AI$804,1),1),VLOOKUP(AU657,INDEX((係数_バス貨物_ガソリン,係数_バス貨物_CNG,係数_バス貨物_軽油,係数_バス貨物_メタノール,係数_バス貨物_LPG),MATCH(AY657,【参考】排出係数!$AI$4:$AI$671,1),1,BE657):INDEX((係数_バス貨物_ガソリン,係数_バス貨物_CNG,係数_バス貨物_軽油,係数_バス貨物_メタノール,係数_バス貨物_LPG),MATCH(AY657+1,【参考】排出係数!$AI$4:$AI$671,1)-1,5,BE657),4,FALSE)),IF(AND(BE657=3,LEFT(BF657,1)="1"),0.48,VLOOKUP(AU657,INDEX((係数_乗用_ガソリン,係数_乗用_CNG,係数_乗用_軽油,係数_乗用_メタノール,係数_乗用_LPG),1,1,BE657):INDEX((係数_乗用_ガソリン,係数_乗用_CNG,係数_乗用_軽油,係数_乗用_メタノール,係数_乗用_LPG),125,5,BE657),4,FALSE)))))</f>
        <v/>
      </c>
      <c r="AL657" s="461" t="str">
        <f t="shared" si="361"/>
        <v/>
      </c>
      <c r="AM657" s="460" t="str">
        <f>IF(AU657="","",IF(OR(AZ657=8,AZ657=9),0,IF(OR(AW657=3,AW657=4,AW657=5,AW657=6),IF(LEFT(BH657,1)="1",INDEX(係数_PM低減,MATCH(AY657,【参考】排出係数!$AI$801:$AI$804,1),MATCH(BI657,【参考】排出係数!$AL$798:$AO$798,1)),VLOOKUP(AU657,INDEX((係数_バス貨物_ガソリン,係数_バス貨物_CNG,係数_バス貨物_軽油,係数_バス貨物_メタノール,係数_バス貨物_LPG),MATCH(AY657,【参考】排出係数!$AI$4:$AI$671,1),1,BE657):INDEX((係数_バス貨物_ガソリン,係数_バス貨物_CNG,係数_バス貨物_軽油,係数_バス貨物_メタノール,係数_バス貨物_LPG),MATCH(AY657+1,【参考】排出係数!$AI$4:$AI$671,1)-1,5,BE657),5,FALSE)),IF(AND(BE657=3,LEFT(BF657,1)="1"),0.055,VLOOKUP(AU657,INDEX((係数_乗用_ガソリン,係数_乗用_CNG,係数_乗用_軽油,係数_乗用_メタノール,係数_乗用_LPG),1,1,BE657):INDEX((係数_乗用_ガソリン,係数_乗用_CNG,係数_乗用_軽油,係数_乗用_メタノール,係数_乗用_LPG),125,5,BE657),5,FALSE)))))</f>
        <v/>
      </c>
      <c r="AN657" s="461" t="str">
        <f t="shared" si="362"/>
        <v/>
      </c>
      <c r="AO657" s="462" t="str">
        <f t="shared" si="363"/>
        <v/>
      </c>
      <c r="AP657" s="463" t="str">
        <f t="shared" si="364"/>
        <v/>
      </c>
      <c r="AQ657" s="464"/>
      <c r="AR657" s="619"/>
      <c r="AS657" s="465" t="str">
        <f t="shared" si="366"/>
        <v/>
      </c>
      <c r="AT657" s="465" t="str">
        <f t="shared" si="367"/>
        <v/>
      </c>
      <c r="AU657" s="466" t="str">
        <f t="shared" si="368"/>
        <v/>
      </c>
      <c r="AV657" s="467" t="str">
        <f t="shared" si="369"/>
        <v/>
      </c>
      <c r="AW657" s="467" t="str">
        <f t="shared" si="370"/>
        <v/>
      </c>
      <c r="AX657" s="467" t="str">
        <f t="shared" si="371"/>
        <v/>
      </c>
      <c r="AY657" s="467" t="str">
        <f t="shared" si="372"/>
        <v/>
      </c>
      <c r="AZ657" s="467" t="str">
        <f t="shared" si="373"/>
        <v/>
      </c>
      <c r="BA657" s="468" t="str">
        <f>IF(AS657="","",IF(OR(AU657="",AU657="-"),"－",IF(OR(AZ657=8,AZ657=9),"",IF(OR(AW657=3,AW657=4,AW657=5,AW657=6),VLOOKUP(AU657,INDEX((係数_バス貨物_ガソリン,係数_バス貨物_CNG,係数_バス貨物_軽油,係数_バス貨物_メタノール,係数_バス貨物_LPG),MATCH(AY657,【参考】排出係数!$AI$4:$AI$671,1),1,BE657):INDEX((係数_バス貨物_ガソリン,係数_バス貨物_CNG,係数_バス貨物_軽油,係数_バス貨物_メタノール,係数_バス貨物_LPG),MATCH(AY657+1,【参考】排出係数!$AI$4:$AI$671,1)-1,5,BE657),2,FALSE),IF(OR(AW657=1,AW657=2),VLOOKUP(AU657,INDEX((係数_乗用_ガソリン,係数_乗用_CNG,係数_乗用_軽油,係数_乗用_メタノール,係数_乗用_LPG),1,1,BE657):INDEX((係数_乗用_ガソリン,係数_乗用_CNG,係数_乗用_軽油,係数_乗用_メタノール,係数_乗用_LPG),125,5,BE657),2,FALSE))))))</f>
        <v/>
      </c>
      <c r="BB657" s="468" t="str">
        <f>IF(T657="","",IF(OR(AU657="",AU657="-"),"－",IF(OR(AZ657=8,AZ657=9),"",IF(OR(AW657=3,AW657=4,AW657=5,AW657=6),VLOOKUP(AU657,INDEX((係数_バス貨物_ガソリン,係数_バス貨物_CNG,係数_バス貨物_軽油,係数_バス貨物_メタノール,係数_バス貨物_LPG),MATCH(AY657,【参考】排出係数!$AI$4:$AI$671,1),1,BE657):INDEX((係数_バス貨物_ガソリン,係数_バス貨物_CNG,係数_バス貨物_軽油,係数_バス貨物_メタノール,係数_バス貨物_LPG),MATCH(AY657+1,【参考】排出係数!$AI$4:$AI$671,1)-1,5,BE657),3,FALSE),IF(OR(AW657=1,AW657=2),VLOOKUP(AU657,INDEX((係数_乗用_ガソリン,係数_乗用_CNG,係数_乗用_軽油,係数_乗用_メタノール,係数_乗用_LPG),1,1,BE657):INDEX((係数_乗用_ガソリン,係数_乗用_CNG,係数_乗用_軽油,係数_乗用_メタノール,係数_乗用_LPG),125,5,BE657),3,FALSE))))))</f>
        <v/>
      </c>
      <c r="BC657" s="467" t="str">
        <f t="shared" si="374"/>
        <v/>
      </c>
      <c r="BD657" s="567" t="str">
        <f t="shared" si="375"/>
        <v/>
      </c>
      <c r="BE657" s="467" t="str">
        <f t="shared" si="376"/>
        <v/>
      </c>
      <c r="BF657" s="469" t="str">
        <f t="shared" ca="1" si="377"/>
        <v/>
      </c>
      <c r="BG657" s="469" t="str">
        <f t="shared" ca="1" si="378"/>
        <v/>
      </c>
      <c r="BH657" s="467" t="str">
        <f t="shared" si="379"/>
        <v/>
      </c>
      <c r="BI657" s="467" t="str">
        <f t="shared" ca="1" si="380"/>
        <v/>
      </c>
      <c r="BJ657" s="469" t="str">
        <f t="shared" si="381"/>
        <v/>
      </c>
      <c r="BK657" s="470" t="str">
        <f t="shared" si="365"/>
        <v/>
      </c>
      <c r="BL657" s="775" t="str">
        <f t="shared" si="382"/>
        <v/>
      </c>
      <c r="BM657" s="775" t="str">
        <f t="shared" si="383"/>
        <v/>
      </c>
    </row>
    <row r="658" spans="1:65">
      <c r="A658" s="473">
        <v>602</v>
      </c>
      <c r="B658" s="132"/>
      <c r="C658" s="332"/>
      <c r="D658" s="333"/>
      <c r="E658" s="333"/>
      <c r="F658" s="334"/>
      <c r="G658" s="337"/>
      <c r="H658" s="131"/>
      <c r="I658" s="337"/>
      <c r="J658" s="131"/>
      <c r="K658" s="458" t="str">
        <f t="shared" si="352"/>
        <v/>
      </c>
      <c r="L658" s="458">
        <f t="shared" si="353"/>
        <v>0</v>
      </c>
      <c r="M658" s="458">
        <f t="shared" si="354"/>
        <v>0</v>
      </c>
      <c r="N658" s="459" t="str">
        <f t="shared" si="283"/>
        <v/>
      </c>
      <c r="O658" s="459" t="str">
        <f t="shared" si="284"/>
        <v/>
      </c>
      <c r="P658" s="459" t="str">
        <f t="shared" si="285"/>
        <v/>
      </c>
      <c r="Q658" s="459" t="str">
        <f t="shared" si="286"/>
        <v/>
      </c>
      <c r="R658" s="459" t="str">
        <f t="shared" si="287"/>
        <v/>
      </c>
      <c r="S658" s="459" t="str">
        <f t="shared" si="288"/>
        <v/>
      </c>
      <c r="T658" s="566" t="str">
        <f t="shared" si="355"/>
        <v/>
      </c>
      <c r="U658" s="702"/>
      <c r="V658" s="132"/>
      <c r="W658" s="133"/>
      <c r="X658" s="134"/>
      <c r="Y658" s="135"/>
      <c r="Z658" s="137"/>
      <c r="AA658" s="136"/>
      <c r="AB658" s="566" t="str">
        <f t="shared" si="356"/>
        <v/>
      </c>
      <c r="AC658" s="568" t="str">
        <f t="shared" si="357"/>
        <v/>
      </c>
      <c r="AD658" s="137"/>
      <c r="AE658" s="137"/>
      <c r="AF658" s="138"/>
      <c r="AG658" s="138"/>
      <c r="AH658" s="592" t="str">
        <f t="shared" si="358"/>
        <v/>
      </c>
      <c r="AI658" s="592" t="str">
        <f t="shared" si="359"/>
        <v/>
      </c>
      <c r="AJ658" s="592" t="str">
        <f t="shared" si="360"/>
        <v/>
      </c>
      <c r="AK658" s="460" t="str">
        <f>IF(AU658="","",IF(OR(AZ658=8,AZ658=9),0,IF(OR(AW658=3,AW658=4,AW658=5,AW658=6),IF(LEFT(BF658,1)="1",INDEX(係数_NOX・PM低減,MATCH(AY658,【参考】排出係数!$AI$801:$AI$804,1),1),VLOOKUP(AU658,INDEX((係数_バス貨物_ガソリン,係数_バス貨物_CNG,係数_バス貨物_軽油,係数_バス貨物_メタノール,係数_バス貨物_LPG),MATCH(AY658,【参考】排出係数!$AI$4:$AI$671,1),1,BE658):INDEX((係数_バス貨物_ガソリン,係数_バス貨物_CNG,係数_バス貨物_軽油,係数_バス貨物_メタノール,係数_バス貨物_LPG),MATCH(AY658+1,【参考】排出係数!$AI$4:$AI$671,1)-1,5,BE658),4,FALSE)),IF(AND(BE658=3,LEFT(BF658,1)="1"),0.48,VLOOKUP(AU658,INDEX((係数_乗用_ガソリン,係数_乗用_CNG,係数_乗用_軽油,係数_乗用_メタノール,係数_乗用_LPG),1,1,BE658):INDEX((係数_乗用_ガソリン,係数_乗用_CNG,係数_乗用_軽油,係数_乗用_メタノール,係数_乗用_LPG),125,5,BE658),4,FALSE)))))</f>
        <v/>
      </c>
      <c r="AL658" s="461" t="str">
        <f t="shared" si="361"/>
        <v/>
      </c>
      <c r="AM658" s="460" t="str">
        <f>IF(AU658="","",IF(OR(AZ658=8,AZ658=9),0,IF(OR(AW658=3,AW658=4,AW658=5,AW658=6),IF(LEFT(BH658,1)="1",INDEX(係数_PM低減,MATCH(AY658,【参考】排出係数!$AI$801:$AI$804,1),MATCH(BI658,【参考】排出係数!$AL$798:$AO$798,1)),VLOOKUP(AU658,INDEX((係数_バス貨物_ガソリン,係数_バス貨物_CNG,係数_バス貨物_軽油,係数_バス貨物_メタノール,係数_バス貨物_LPG),MATCH(AY658,【参考】排出係数!$AI$4:$AI$671,1),1,BE658):INDEX((係数_バス貨物_ガソリン,係数_バス貨物_CNG,係数_バス貨物_軽油,係数_バス貨物_メタノール,係数_バス貨物_LPG),MATCH(AY658+1,【参考】排出係数!$AI$4:$AI$671,1)-1,5,BE658),5,FALSE)),IF(AND(BE658=3,LEFT(BF658,1)="1"),0.055,VLOOKUP(AU658,INDEX((係数_乗用_ガソリン,係数_乗用_CNG,係数_乗用_軽油,係数_乗用_メタノール,係数_乗用_LPG),1,1,BE658):INDEX((係数_乗用_ガソリン,係数_乗用_CNG,係数_乗用_軽油,係数_乗用_メタノール,係数_乗用_LPG),125,5,BE658),5,FALSE)))))</f>
        <v/>
      </c>
      <c r="AN658" s="461" t="str">
        <f t="shared" si="362"/>
        <v/>
      </c>
      <c r="AO658" s="462" t="str">
        <f t="shared" si="363"/>
        <v/>
      </c>
      <c r="AP658" s="463" t="str">
        <f t="shared" si="364"/>
        <v/>
      </c>
      <c r="AQ658" s="464"/>
      <c r="AR658" s="619"/>
      <c r="AS658" s="465" t="str">
        <f t="shared" si="366"/>
        <v/>
      </c>
      <c r="AT658" s="465" t="str">
        <f t="shared" si="367"/>
        <v/>
      </c>
      <c r="AU658" s="466" t="str">
        <f t="shared" si="368"/>
        <v/>
      </c>
      <c r="AV658" s="467" t="str">
        <f t="shared" si="369"/>
        <v/>
      </c>
      <c r="AW658" s="467" t="str">
        <f t="shared" si="370"/>
        <v/>
      </c>
      <c r="AX658" s="467" t="str">
        <f t="shared" si="371"/>
        <v/>
      </c>
      <c r="AY658" s="467" t="str">
        <f t="shared" si="372"/>
        <v/>
      </c>
      <c r="AZ658" s="467" t="str">
        <f t="shared" si="373"/>
        <v/>
      </c>
      <c r="BA658" s="468" t="str">
        <f>IF(AS658="","",IF(OR(AU658="",AU658="-"),"－",IF(OR(AZ658=8,AZ658=9),"",IF(OR(AW658=3,AW658=4,AW658=5,AW658=6),VLOOKUP(AU658,INDEX((係数_バス貨物_ガソリン,係数_バス貨物_CNG,係数_バス貨物_軽油,係数_バス貨物_メタノール,係数_バス貨物_LPG),MATCH(AY658,【参考】排出係数!$AI$4:$AI$671,1),1,BE658):INDEX((係数_バス貨物_ガソリン,係数_バス貨物_CNG,係数_バス貨物_軽油,係数_バス貨物_メタノール,係数_バス貨物_LPG),MATCH(AY658+1,【参考】排出係数!$AI$4:$AI$671,1)-1,5,BE658),2,FALSE),IF(OR(AW658=1,AW658=2),VLOOKUP(AU658,INDEX((係数_乗用_ガソリン,係数_乗用_CNG,係数_乗用_軽油,係数_乗用_メタノール,係数_乗用_LPG),1,1,BE658):INDEX((係数_乗用_ガソリン,係数_乗用_CNG,係数_乗用_軽油,係数_乗用_メタノール,係数_乗用_LPG),125,5,BE658),2,FALSE))))))</f>
        <v/>
      </c>
      <c r="BB658" s="468" t="str">
        <f>IF(T658="","",IF(OR(AU658="",AU658="-"),"－",IF(OR(AZ658=8,AZ658=9),"",IF(OR(AW658=3,AW658=4,AW658=5,AW658=6),VLOOKUP(AU658,INDEX((係数_バス貨物_ガソリン,係数_バス貨物_CNG,係数_バス貨物_軽油,係数_バス貨物_メタノール,係数_バス貨物_LPG),MATCH(AY658,【参考】排出係数!$AI$4:$AI$671,1),1,BE658):INDEX((係数_バス貨物_ガソリン,係数_バス貨物_CNG,係数_バス貨物_軽油,係数_バス貨物_メタノール,係数_バス貨物_LPG),MATCH(AY658+1,【参考】排出係数!$AI$4:$AI$671,1)-1,5,BE658),3,FALSE),IF(OR(AW658=1,AW658=2),VLOOKUP(AU658,INDEX((係数_乗用_ガソリン,係数_乗用_CNG,係数_乗用_軽油,係数_乗用_メタノール,係数_乗用_LPG),1,1,BE658):INDEX((係数_乗用_ガソリン,係数_乗用_CNG,係数_乗用_軽油,係数_乗用_メタノール,係数_乗用_LPG),125,5,BE658),3,FALSE))))))</f>
        <v/>
      </c>
      <c r="BC658" s="467" t="str">
        <f t="shared" si="374"/>
        <v/>
      </c>
      <c r="BD658" s="567" t="str">
        <f t="shared" si="375"/>
        <v/>
      </c>
      <c r="BE658" s="467" t="str">
        <f t="shared" si="376"/>
        <v/>
      </c>
      <c r="BF658" s="469" t="str">
        <f t="shared" ca="1" si="377"/>
        <v/>
      </c>
      <c r="BG658" s="469" t="str">
        <f t="shared" ca="1" si="378"/>
        <v/>
      </c>
      <c r="BH658" s="467" t="str">
        <f t="shared" si="379"/>
        <v/>
      </c>
      <c r="BI658" s="467" t="str">
        <f t="shared" ca="1" si="380"/>
        <v/>
      </c>
      <c r="BJ658" s="469" t="str">
        <f t="shared" si="381"/>
        <v/>
      </c>
      <c r="BK658" s="470" t="str">
        <f t="shared" si="365"/>
        <v/>
      </c>
      <c r="BL658" s="775" t="str">
        <f t="shared" si="382"/>
        <v/>
      </c>
      <c r="BM658" s="775" t="str">
        <f t="shared" si="383"/>
        <v/>
      </c>
    </row>
    <row r="659" spans="1:65">
      <c r="A659" s="473">
        <v>603</v>
      </c>
      <c r="B659" s="132"/>
      <c r="C659" s="332"/>
      <c r="D659" s="333"/>
      <c r="E659" s="333"/>
      <c r="F659" s="334"/>
      <c r="G659" s="337"/>
      <c r="H659" s="131"/>
      <c r="I659" s="337"/>
      <c r="J659" s="131"/>
      <c r="K659" s="458" t="str">
        <f t="shared" si="352"/>
        <v/>
      </c>
      <c r="L659" s="458">
        <f t="shared" si="353"/>
        <v>0</v>
      </c>
      <c r="M659" s="458">
        <f t="shared" si="354"/>
        <v>0</v>
      </c>
      <c r="N659" s="459" t="str">
        <f t="shared" si="283"/>
        <v/>
      </c>
      <c r="O659" s="459" t="str">
        <f t="shared" si="284"/>
        <v/>
      </c>
      <c r="P659" s="459" t="str">
        <f t="shared" si="285"/>
        <v/>
      </c>
      <c r="Q659" s="459" t="str">
        <f t="shared" si="286"/>
        <v/>
      </c>
      <c r="R659" s="459" t="str">
        <f t="shared" si="287"/>
        <v/>
      </c>
      <c r="S659" s="459" t="str">
        <f t="shared" si="288"/>
        <v/>
      </c>
      <c r="T659" s="566" t="str">
        <f t="shared" si="355"/>
        <v/>
      </c>
      <c r="U659" s="702"/>
      <c r="V659" s="132"/>
      <c r="W659" s="133"/>
      <c r="X659" s="134"/>
      <c r="Y659" s="135"/>
      <c r="Z659" s="137"/>
      <c r="AA659" s="136"/>
      <c r="AB659" s="566" t="str">
        <f t="shared" si="356"/>
        <v/>
      </c>
      <c r="AC659" s="568" t="str">
        <f t="shared" si="357"/>
        <v/>
      </c>
      <c r="AD659" s="137"/>
      <c r="AE659" s="137"/>
      <c r="AF659" s="138"/>
      <c r="AG659" s="138"/>
      <c r="AH659" s="592" t="str">
        <f t="shared" si="358"/>
        <v/>
      </c>
      <c r="AI659" s="592" t="str">
        <f t="shared" si="359"/>
        <v/>
      </c>
      <c r="AJ659" s="592" t="str">
        <f t="shared" si="360"/>
        <v/>
      </c>
      <c r="AK659" s="460" t="str">
        <f>IF(AU659="","",IF(OR(AZ659=8,AZ659=9),0,IF(OR(AW659=3,AW659=4,AW659=5,AW659=6),IF(LEFT(BF659,1)="1",INDEX(係数_NOX・PM低減,MATCH(AY659,【参考】排出係数!$AI$801:$AI$804,1),1),VLOOKUP(AU659,INDEX((係数_バス貨物_ガソリン,係数_バス貨物_CNG,係数_バス貨物_軽油,係数_バス貨物_メタノール,係数_バス貨物_LPG),MATCH(AY659,【参考】排出係数!$AI$4:$AI$671,1),1,BE659):INDEX((係数_バス貨物_ガソリン,係数_バス貨物_CNG,係数_バス貨物_軽油,係数_バス貨物_メタノール,係数_バス貨物_LPG),MATCH(AY659+1,【参考】排出係数!$AI$4:$AI$671,1)-1,5,BE659),4,FALSE)),IF(AND(BE659=3,LEFT(BF659,1)="1"),0.48,VLOOKUP(AU659,INDEX((係数_乗用_ガソリン,係数_乗用_CNG,係数_乗用_軽油,係数_乗用_メタノール,係数_乗用_LPG),1,1,BE659):INDEX((係数_乗用_ガソリン,係数_乗用_CNG,係数_乗用_軽油,係数_乗用_メタノール,係数_乗用_LPG),125,5,BE659),4,FALSE)))))</f>
        <v/>
      </c>
      <c r="AL659" s="461" t="str">
        <f t="shared" si="361"/>
        <v/>
      </c>
      <c r="AM659" s="460" t="str">
        <f>IF(AU659="","",IF(OR(AZ659=8,AZ659=9),0,IF(OR(AW659=3,AW659=4,AW659=5,AW659=6),IF(LEFT(BH659,1)="1",INDEX(係数_PM低減,MATCH(AY659,【参考】排出係数!$AI$801:$AI$804,1),MATCH(BI659,【参考】排出係数!$AL$798:$AO$798,1)),VLOOKUP(AU659,INDEX((係数_バス貨物_ガソリン,係数_バス貨物_CNG,係数_バス貨物_軽油,係数_バス貨物_メタノール,係数_バス貨物_LPG),MATCH(AY659,【参考】排出係数!$AI$4:$AI$671,1),1,BE659):INDEX((係数_バス貨物_ガソリン,係数_バス貨物_CNG,係数_バス貨物_軽油,係数_バス貨物_メタノール,係数_バス貨物_LPG),MATCH(AY659+1,【参考】排出係数!$AI$4:$AI$671,1)-1,5,BE659),5,FALSE)),IF(AND(BE659=3,LEFT(BF659,1)="1"),0.055,VLOOKUP(AU659,INDEX((係数_乗用_ガソリン,係数_乗用_CNG,係数_乗用_軽油,係数_乗用_メタノール,係数_乗用_LPG),1,1,BE659):INDEX((係数_乗用_ガソリン,係数_乗用_CNG,係数_乗用_軽油,係数_乗用_メタノール,係数_乗用_LPG),125,5,BE659),5,FALSE)))))</f>
        <v/>
      </c>
      <c r="AN659" s="461" t="str">
        <f t="shared" si="362"/>
        <v/>
      </c>
      <c r="AO659" s="462" t="str">
        <f t="shared" si="363"/>
        <v/>
      </c>
      <c r="AP659" s="463" t="str">
        <f t="shared" si="364"/>
        <v/>
      </c>
      <c r="AQ659" s="464"/>
      <c r="AR659" s="619"/>
      <c r="AS659" s="465" t="str">
        <f t="shared" si="366"/>
        <v/>
      </c>
      <c r="AT659" s="465" t="str">
        <f t="shared" si="367"/>
        <v/>
      </c>
      <c r="AU659" s="466" t="str">
        <f t="shared" si="368"/>
        <v/>
      </c>
      <c r="AV659" s="467" t="str">
        <f t="shared" si="369"/>
        <v/>
      </c>
      <c r="AW659" s="467" t="str">
        <f t="shared" si="370"/>
        <v/>
      </c>
      <c r="AX659" s="467" t="str">
        <f t="shared" si="371"/>
        <v/>
      </c>
      <c r="AY659" s="467" t="str">
        <f t="shared" si="372"/>
        <v/>
      </c>
      <c r="AZ659" s="467" t="str">
        <f t="shared" si="373"/>
        <v/>
      </c>
      <c r="BA659" s="468" t="str">
        <f>IF(AS659="","",IF(OR(AU659="",AU659="-"),"－",IF(OR(AZ659=8,AZ659=9),"",IF(OR(AW659=3,AW659=4,AW659=5,AW659=6),VLOOKUP(AU659,INDEX((係数_バス貨物_ガソリン,係数_バス貨物_CNG,係数_バス貨物_軽油,係数_バス貨物_メタノール,係数_バス貨物_LPG),MATCH(AY659,【参考】排出係数!$AI$4:$AI$671,1),1,BE659):INDEX((係数_バス貨物_ガソリン,係数_バス貨物_CNG,係数_バス貨物_軽油,係数_バス貨物_メタノール,係数_バス貨物_LPG),MATCH(AY659+1,【参考】排出係数!$AI$4:$AI$671,1)-1,5,BE659),2,FALSE),IF(OR(AW659=1,AW659=2),VLOOKUP(AU659,INDEX((係数_乗用_ガソリン,係数_乗用_CNG,係数_乗用_軽油,係数_乗用_メタノール,係数_乗用_LPG),1,1,BE659):INDEX((係数_乗用_ガソリン,係数_乗用_CNG,係数_乗用_軽油,係数_乗用_メタノール,係数_乗用_LPG),125,5,BE659),2,FALSE))))))</f>
        <v/>
      </c>
      <c r="BB659" s="468" t="str">
        <f>IF(T659="","",IF(OR(AU659="",AU659="-"),"－",IF(OR(AZ659=8,AZ659=9),"",IF(OR(AW659=3,AW659=4,AW659=5,AW659=6),VLOOKUP(AU659,INDEX((係数_バス貨物_ガソリン,係数_バス貨物_CNG,係数_バス貨物_軽油,係数_バス貨物_メタノール,係数_バス貨物_LPG),MATCH(AY659,【参考】排出係数!$AI$4:$AI$671,1),1,BE659):INDEX((係数_バス貨物_ガソリン,係数_バス貨物_CNG,係数_バス貨物_軽油,係数_バス貨物_メタノール,係数_バス貨物_LPG),MATCH(AY659+1,【参考】排出係数!$AI$4:$AI$671,1)-1,5,BE659),3,FALSE),IF(OR(AW659=1,AW659=2),VLOOKUP(AU659,INDEX((係数_乗用_ガソリン,係数_乗用_CNG,係数_乗用_軽油,係数_乗用_メタノール,係数_乗用_LPG),1,1,BE659):INDEX((係数_乗用_ガソリン,係数_乗用_CNG,係数_乗用_軽油,係数_乗用_メタノール,係数_乗用_LPG),125,5,BE659),3,FALSE))))))</f>
        <v/>
      </c>
      <c r="BC659" s="467" t="str">
        <f t="shared" si="374"/>
        <v/>
      </c>
      <c r="BD659" s="567" t="str">
        <f t="shared" si="375"/>
        <v/>
      </c>
      <c r="BE659" s="467" t="str">
        <f t="shared" si="376"/>
        <v/>
      </c>
      <c r="BF659" s="469" t="str">
        <f t="shared" ca="1" si="377"/>
        <v/>
      </c>
      <c r="BG659" s="469" t="str">
        <f t="shared" ca="1" si="378"/>
        <v/>
      </c>
      <c r="BH659" s="467" t="str">
        <f t="shared" si="379"/>
        <v/>
      </c>
      <c r="BI659" s="467" t="str">
        <f t="shared" ca="1" si="380"/>
        <v/>
      </c>
      <c r="BJ659" s="469" t="str">
        <f t="shared" si="381"/>
        <v/>
      </c>
      <c r="BK659" s="470" t="str">
        <f t="shared" si="365"/>
        <v/>
      </c>
      <c r="BL659" s="775" t="str">
        <f t="shared" si="382"/>
        <v/>
      </c>
      <c r="BM659" s="775" t="str">
        <f t="shared" si="383"/>
        <v/>
      </c>
    </row>
    <row r="660" spans="1:65">
      <c r="A660" s="473">
        <v>604</v>
      </c>
      <c r="B660" s="132"/>
      <c r="C660" s="332"/>
      <c r="D660" s="333"/>
      <c r="E660" s="333"/>
      <c r="F660" s="334"/>
      <c r="G660" s="337"/>
      <c r="H660" s="131"/>
      <c r="I660" s="337"/>
      <c r="J660" s="131"/>
      <c r="K660" s="458" t="str">
        <f t="shared" si="352"/>
        <v/>
      </c>
      <c r="L660" s="458">
        <f t="shared" si="353"/>
        <v>0</v>
      </c>
      <c r="M660" s="458">
        <f t="shared" si="354"/>
        <v>0</v>
      </c>
      <c r="N660" s="459" t="str">
        <f t="shared" si="283"/>
        <v/>
      </c>
      <c r="O660" s="459" t="str">
        <f t="shared" si="284"/>
        <v/>
      </c>
      <c r="P660" s="459" t="str">
        <f t="shared" si="285"/>
        <v/>
      </c>
      <c r="Q660" s="459" t="str">
        <f t="shared" si="286"/>
        <v/>
      </c>
      <c r="R660" s="459" t="str">
        <f t="shared" si="287"/>
        <v/>
      </c>
      <c r="S660" s="459" t="str">
        <f t="shared" si="288"/>
        <v/>
      </c>
      <c r="T660" s="566" t="str">
        <f t="shared" si="355"/>
        <v/>
      </c>
      <c r="U660" s="702"/>
      <c r="V660" s="132"/>
      <c r="W660" s="133"/>
      <c r="X660" s="134"/>
      <c r="Y660" s="135"/>
      <c r="Z660" s="137"/>
      <c r="AA660" s="136"/>
      <c r="AB660" s="566" t="str">
        <f t="shared" si="356"/>
        <v/>
      </c>
      <c r="AC660" s="568" t="str">
        <f t="shared" si="357"/>
        <v/>
      </c>
      <c r="AD660" s="137"/>
      <c r="AE660" s="137"/>
      <c r="AF660" s="138"/>
      <c r="AG660" s="138"/>
      <c r="AH660" s="592" t="str">
        <f t="shared" si="358"/>
        <v/>
      </c>
      <c r="AI660" s="592" t="str">
        <f t="shared" si="359"/>
        <v/>
      </c>
      <c r="AJ660" s="592" t="str">
        <f t="shared" si="360"/>
        <v/>
      </c>
      <c r="AK660" s="460" t="str">
        <f>IF(AU660="","",IF(OR(AZ660=8,AZ660=9),0,IF(OR(AW660=3,AW660=4,AW660=5,AW660=6),IF(LEFT(BF660,1)="1",INDEX(係数_NOX・PM低減,MATCH(AY660,【参考】排出係数!$AI$801:$AI$804,1),1),VLOOKUP(AU660,INDEX((係数_バス貨物_ガソリン,係数_バス貨物_CNG,係数_バス貨物_軽油,係数_バス貨物_メタノール,係数_バス貨物_LPG),MATCH(AY660,【参考】排出係数!$AI$4:$AI$671,1),1,BE660):INDEX((係数_バス貨物_ガソリン,係数_バス貨物_CNG,係数_バス貨物_軽油,係数_バス貨物_メタノール,係数_バス貨物_LPG),MATCH(AY660+1,【参考】排出係数!$AI$4:$AI$671,1)-1,5,BE660),4,FALSE)),IF(AND(BE660=3,LEFT(BF660,1)="1"),0.48,VLOOKUP(AU660,INDEX((係数_乗用_ガソリン,係数_乗用_CNG,係数_乗用_軽油,係数_乗用_メタノール,係数_乗用_LPG),1,1,BE660):INDEX((係数_乗用_ガソリン,係数_乗用_CNG,係数_乗用_軽油,係数_乗用_メタノール,係数_乗用_LPG),125,5,BE660),4,FALSE)))))</f>
        <v/>
      </c>
      <c r="AL660" s="461" t="str">
        <f t="shared" si="361"/>
        <v/>
      </c>
      <c r="AM660" s="460" t="str">
        <f>IF(AU660="","",IF(OR(AZ660=8,AZ660=9),0,IF(OR(AW660=3,AW660=4,AW660=5,AW660=6),IF(LEFT(BH660,1)="1",INDEX(係数_PM低減,MATCH(AY660,【参考】排出係数!$AI$801:$AI$804,1),MATCH(BI660,【参考】排出係数!$AL$798:$AO$798,1)),VLOOKUP(AU660,INDEX((係数_バス貨物_ガソリン,係数_バス貨物_CNG,係数_バス貨物_軽油,係数_バス貨物_メタノール,係数_バス貨物_LPG),MATCH(AY660,【参考】排出係数!$AI$4:$AI$671,1),1,BE660):INDEX((係数_バス貨物_ガソリン,係数_バス貨物_CNG,係数_バス貨物_軽油,係数_バス貨物_メタノール,係数_バス貨物_LPG),MATCH(AY660+1,【参考】排出係数!$AI$4:$AI$671,1)-1,5,BE660),5,FALSE)),IF(AND(BE660=3,LEFT(BF660,1)="1"),0.055,VLOOKUP(AU660,INDEX((係数_乗用_ガソリン,係数_乗用_CNG,係数_乗用_軽油,係数_乗用_メタノール,係数_乗用_LPG),1,1,BE660):INDEX((係数_乗用_ガソリン,係数_乗用_CNG,係数_乗用_軽油,係数_乗用_メタノール,係数_乗用_LPG),125,5,BE660),5,FALSE)))))</f>
        <v/>
      </c>
      <c r="AN660" s="461" t="str">
        <f t="shared" si="362"/>
        <v/>
      </c>
      <c r="AO660" s="462" t="str">
        <f t="shared" si="363"/>
        <v/>
      </c>
      <c r="AP660" s="463" t="str">
        <f t="shared" si="364"/>
        <v/>
      </c>
      <c r="AQ660" s="464"/>
      <c r="AR660" s="619"/>
      <c r="AS660" s="465" t="str">
        <f t="shared" si="366"/>
        <v/>
      </c>
      <c r="AT660" s="465" t="str">
        <f t="shared" si="367"/>
        <v/>
      </c>
      <c r="AU660" s="466" t="str">
        <f t="shared" si="368"/>
        <v/>
      </c>
      <c r="AV660" s="467" t="str">
        <f t="shared" si="369"/>
        <v/>
      </c>
      <c r="AW660" s="467" t="str">
        <f t="shared" si="370"/>
        <v/>
      </c>
      <c r="AX660" s="467" t="str">
        <f t="shared" si="371"/>
        <v/>
      </c>
      <c r="AY660" s="467" t="str">
        <f t="shared" si="372"/>
        <v/>
      </c>
      <c r="AZ660" s="467" t="str">
        <f t="shared" si="373"/>
        <v/>
      </c>
      <c r="BA660" s="468" t="str">
        <f>IF(AS660="","",IF(OR(AU660="",AU660="-"),"－",IF(OR(AZ660=8,AZ660=9),"",IF(OR(AW660=3,AW660=4,AW660=5,AW660=6),VLOOKUP(AU660,INDEX((係数_バス貨物_ガソリン,係数_バス貨物_CNG,係数_バス貨物_軽油,係数_バス貨物_メタノール,係数_バス貨物_LPG),MATCH(AY660,【参考】排出係数!$AI$4:$AI$671,1),1,BE660):INDEX((係数_バス貨物_ガソリン,係数_バス貨物_CNG,係数_バス貨物_軽油,係数_バス貨物_メタノール,係数_バス貨物_LPG),MATCH(AY660+1,【参考】排出係数!$AI$4:$AI$671,1)-1,5,BE660),2,FALSE),IF(OR(AW660=1,AW660=2),VLOOKUP(AU660,INDEX((係数_乗用_ガソリン,係数_乗用_CNG,係数_乗用_軽油,係数_乗用_メタノール,係数_乗用_LPG),1,1,BE660):INDEX((係数_乗用_ガソリン,係数_乗用_CNG,係数_乗用_軽油,係数_乗用_メタノール,係数_乗用_LPG),125,5,BE660),2,FALSE))))))</f>
        <v/>
      </c>
      <c r="BB660" s="468" t="str">
        <f>IF(T660="","",IF(OR(AU660="",AU660="-"),"－",IF(OR(AZ660=8,AZ660=9),"",IF(OR(AW660=3,AW660=4,AW660=5,AW660=6),VLOOKUP(AU660,INDEX((係数_バス貨物_ガソリン,係数_バス貨物_CNG,係数_バス貨物_軽油,係数_バス貨物_メタノール,係数_バス貨物_LPG),MATCH(AY660,【参考】排出係数!$AI$4:$AI$671,1),1,BE660):INDEX((係数_バス貨物_ガソリン,係数_バス貨物_CNG,係数_バス貨物_軽油,係数_バス貨物_メタノール,係数_バス貨物_LPG),MATCH(AY660+1,【参考】排出係数!$AI$4:$AI$671,1)-1,5,BE660),3,FALSE),IF(OR(AW660=1,AW660=2),VLOOKUP(AU660,INDEX((係数_乗用_ガソリン,係数_乗用_CNG,係数_乗用_軽油,係数_乗用_メタノール,係数_乗用_LPG),1,1,BE660):INDEX((係数_乗用_ガソリン,係数_乗用_CNG,係数_乗用_軽油,係数_乗用_メタノール,係数_乗用_LPG),125,5,BE660),3,FALSE))))))</f>
        <v/>
      </c>
      <c r="BC660" s="467" t="str">
        <f t="shared" si="374"/>
        <v/>
      </c>
      <c r="BD660" s="567" t="str">
        <f t="shared" si="375"/>
        <v/>
      </c>
      <c r="BE660" s="467" t="str">
        <f t="shared" si="376"/>
        <v/>
      </c>
      <c r="BF660" s="469" t="str">
        <f t="shared" ca="1" si="377"/>
        <v/>
      </c>
      <c r="BG660" s="469" t="str">
        <f t="shared" ca="1" si="378"/>
        <v/>
      </c>
      <c r="BH660" s="467" t="str">
        <f t="shared" si="379"/>
        <v/>
      </c>
      <c r="BI660" s="467" t="str">
        <f t="shared" ca="1" si="380"/>
        <v/>
      </c>
      <c r="BJ660" s="469" t="str">
        <f t="shared" si="381"/>
        <v/>
      </c>
      <c r="BK660" s="470" t="str">
        <f t="shared" si="365"/>
        <v/>
      </c>
      <c r="BL660" s="775" t="str">
        <f t="shared" si="382"/>
        <v/>
      </c>
      <c r="BM660" s="775" t="str">
        <f t="shared" si="383"/>
        <v/>
      </c>
    </row>
    <row r="661" spans="1:65">
      <c r="A661" s="473">
        <v>605</v>
      </c>
      <c r="B661" s="132"/>
      <c r="C661" s="332"/>
      <c r="D661" s="333"/>
      <c r="E661" s="333"/>
      <c r="F661" s="334"/>
      <c r="G661" s="337"/>
      <c r="H661" s="131"/>
      <c r="I661" s="337"/>
      <c r="J661" s="131"/>
      <c r="K661" s="458" t="str">
        <f t="shared" si="352"/>
        <v/>
      </c>
      <c r="L661" s="458">
        <f t="shared" si="353"/>
        <v>0</v>
      </c>
      <c r="M661" s="458">
        <f t="shared" si="354"/>
        <v>0</v>
      </c>
      <c r="N661" s="459" t="str">
        <f t="shared" si="283"/>
        <v/>
      </c>
      <c r="O661" s="459" t="str">
        <f t="shared" si="284"/>
        <v/>
      </c>
      <c r="P661" s="459" t="str">
        <f t="shared" si="285"/>
        <v/>
      </c>
      <c r="Q661" s="459" t="str">
        <f t="shared" si="286"/>
        <v/>
      </c>
      <c r="R661" s="459" t="str">
        <f t="shared" si="287"/>
        <v/>
      </c>
      <c r="S661" s="459" t="str">
        <f t="shared" si="288"/>
        <v/>
      </c>
      <c r="T661" s="566" t="str">
        <f t="shared" si="355"/>
        <v/>
      </c>
      <c r="U661" s="702"/>
      <c r="V661" s="132"/>
      <c r="W661" s="133"/>
      <c r="X661" s="134"/>
      <c r="Y661" s="135"/>
      <c r="Z661" s="137"/>
      <c r="AA661" s="136"/>
      <c r="AB661" s="566" t="str">
        <f t="shared" si="356"/>
        <v/>
      </c>
      <c r="AC661" s="568" t="str">
        <f t="shared" si="357"/>
        <v/>
      </c>
      <c r="AD661" s="137"/>
      <c r="AE661" s="137"/>
      <c r="AF661" s="138"/>
      <c r="AG661" s="138"/>
      <c r="AH661" s="592" t="str">
        <f t="shared" si="358"/>
        <v/>
      </c>
      <c r="AI661" s="592" t="str">
        <f t="shared" si="359"/>
        <v/>
      </c>
      <c r="AJ661" s="592" t="str">
        <f t="shared" si="360"/>
        <v/>
      </c>
      <c r="AK661" s="460" t="str">
        <f>IF(AU661="","",IF(OR(AZ661=8,AZ661=9),0,IF(OR(AW661=3,AW661=4,AW661=5,AW661=6),IF(LEFT(BF661,1)="1",INDEX(係数_NOX・PM低減,MATCH(AY661,【参考】排出係数!$AI$801:$AI$804,1),1),VLOOKUP(AU661,INDEX((係数_バス貨物_ガソリン,係数_バス貨物_CNG,係数_バス貨物_軽油,係数_バス貨物_メタノール,係数_バス貨物_LPG),MATCH(AY661,【参考】排出係数!$AI$4:$AI$671,1),1,BE661):INDEX((係数_バス貨物_ガソリン,係数_バス貨物_CNG,係数_バス貨物_軽油,係数_バス貨物_メタノール,係数_バス貨物_LPG),MATCH(AY661+1,【参考】排出係数!$AI$4:$AI$671,1)-1,5,BE661),4,FALSE)),IF(AND(BE661=3,LEFT(BF661,1)="1"),0.48,VLOOKUP(AU661,INDEX((係数_乗用_ガソリン,係数_乗用_CNG,係数_乗用_軽油,係数_乗用_メタノール,係数_乗用_LPG),1,1,BE661):INDEX((係数_乗用_ガソリン,係数_乗用_CNG,係数_乗用_軽油,係数_乗用_メタノール,係数_乗用_LPG),125,5,BE661),4,FALSE)))))</f>
        <v/>
      </c>
      <c r="AL661" s="461" t="str">
        <f t="shared" si="361"/>
        <v/>
      </c>
      <c r="AM661" s="460" t="str">
        <f>IF(AU661="","",IF(OR(AZ661=8,AZ661=9),0,IF(OR(AW661=3,AW661=4,AW661=5,AW661=6),IF(LEFT(BH661,1)="1",INDEX(係数_PM低減,MATCH(AY661,【参考】排出係数!$AI$801:$AI$804,1),MATCH(BI661,【参考】排出係数!$AL$798:$AO$798,1)),VLOOKUP(AU661,INDEX((係数_バス貨物_ガソリン,係数_バス貨物_CNG,係数_バス貨物_軽油,係数_バス貨物_メタノール,係数_バス貨物_LPG),MATCH(AY661,【参考】排出係数!$AI$4:$AI$671,1),1,BE661):INDEX((係数_バス貨物_ガソリン,係数_バス貨物_CNG,係数_バス貨物_軽油,係数_バス貨物_メタノール,係数_バス貨物_LPG),MATCH(AY661+1,【参考】排出係数!$AI$4:$AI$671,1)-1,5,BE661),5,FALSE)),IF(AND(BE661=3,LEFT(BF661,1)="1"),0.055,VLOOKUP(AU661,INDEX((係数_乗用_ガソリン,係数_乗用_CNG,係数_乗用_軽油,係数_乗用_メタノール,係数_乗用_LPG),1,1,BE661):INDEX((係数_乗用_ガソリン,係数_乗用_CNG,係数_乗用_軽油,係数_乗用_メタノール,係数_乗用_LPG),125,5,BE661),5,FALSE)))))</f>
        <v/>
      </c>
      <c r="AN661" s="461" t="str">
        <f t="shared" si="362"/>
        <v/>
      </c>
      <c r="AO661" s="462" t="str">
        <f t="shared" si="363"/>
        <v/>
      </c>
      <c r="AP661" s="463" t="str">
        <f t="shared" si="364"/>
        <v/>
      </c>
      <c r="AQ661" s="464"/>
      <c r="AR661" s="619"/>
      <c r="AS661" s="465" t="str">
        <f t="shared" si="366"/>
        <v/>
      </c>
      <c r="AT661" s="465" t="str">
        <f t="shared" si="367"/>
        <v/>
      </c>
      <c r="AU661" s="466" t="str">
        <f t="shared" si="368"/>
        <v/>
      </c>
      <c r="AV661" s="467" t="str">
        <f t="shared" si="369"/>
        <v/>
      </c>
      <c r="AW661" s="467" t="str">
        <f t="shared" si="370"/>
        <v/>
      </c>
      <c r="AX661" s="467" t="str">
        <f t="shared" si="371"/>
        <v/>
      </c>
      <c r="AY661" s="467" t="str">
        <f t="shared" si="372"/>
        <v/>
      </c>
      <c r="AZ661" s="467" t="str">
        <f t="shared" si="373"/>
        <v/>
      </c>
      <c r="BA661" s="468" t="str">
        <f>IF(AS661="","",IF(OR(AU661="",AU661="-"),"－",IF(OR(AZ661=8,AZ661=9),"",IF(OR(AW661=3,AW661=4,AW661=5,AW661=6),VLOOKUP(AU661,INDEX((係数_バス貨物_ガソリン,係数_バス貨物_CNG,係数_バス貨物_軽油,係数_バス貨物_メタノール,係数_バス貨物_LPG),MATCH(AY661,【参考】排出係数!$AI$4:$AI$671,1),1,BE661):INDEX((係数_バス貨物_ガソリン,係数_バス貨物_CNG,係数_バス貨物_軽油,係数_バス貨物_メタノール,係数_バス貨物_LPG),MATCH(AY661+1,【参考】排出係数!$AI$4:$AI$671,1)-1,5,BE661),2,FALSE),IF(OR(AW661=1,AW661=2),VLOOKUP(AU661,INDEX((係数_乗用_ガソリン,係数_乗用_CNG,係数_乗用_軽油,係数_乗用_メタノール,係数_乗用_LPG),1,1,BE661):INDEX((係数_乗用_ガソリン,係数_乗用_CNG,係数_乗用_軽油,係数_乗用_メタノール,係数_乗用_LPG),125,5,BE661),2,FALSE))))))</f>
        <v/>
      </c>
      <c r="BB661" s="468" t="str">
        <f>IF(T661="","",IF(OR(AU661="",AU661="-"),"－",IF(OR(AZ661=8,AZ661=9),"",IF(OR(AW661=3,AW661=4,AW661=5,AW661=6),VLOOKUP(AU661,INDEX((係数_バス貨物_ガソリン,係数_バス貨物_CNG,係数_バス貨物_軽油,係数_バス貨物_メタノール,係数_バス貨物_LPG),MATCH(AY661,【参考】排出係数!$AI$4:$AI$671,1),1,BE661):INDEX((係数_バス貨物_ガソリン,係数_バス貨物_CNG,係数_バス貨物_軽油,係数_バス貨物_メタノール,係数_バス貨物_LPG),MATCH(AY661+1,【参考】排出係数!$AI$4:$AI$671,1)-1,5,BE661),3,FALSE),IF(OR(AW661=1,AW661=2),VLOOKUP(AU661,INDEX((係数_乗用_ガソリン,係数_乗用_CNG,係数_乗用_軽油,係数_乗用_メタノール,係数_乗用_LPG),1,1,BE661):INDEX((係数_乗用_ガソリン,係数_乗用_CNG,係数_乗用_軽油,係数_乗用_メタノール,係数_乗用_LPG),125,5,BE661),3,FALSE))))))</f>
        <v/>
      </c>
      <c r="BC661" s="467" t="str">
        <f t="shared" si="374"/>
        <v/>
      </c>
      <c r="BD661" s="567" t="str">
        <f t="shared" si="375"/>
        <v/>
      </c>
      <c r="BE661" s="467" t="str">
        <f t="shared" si="376"/>
        <v/>
      </c>
      <c r="BF661" s="469" t="str">
        <f t="shared" ca="1" si="377"/>
        <v/>
      </c>
      <c r="BG661" s="469" t="str">
        <f t="shared" ca="1" si="378"/>
        <v/>
      </c>
      <c r="BH661" s="467" t="str">
        <f t="shared" si="379"/>
        <v/>
      </c>
      <c r="BI661" s="467" t="str">
        <f t="shared" ca="1" si="380"/>
        <v/>
      </c>
      <c r="BJ661" s="469" t="str">
        <f t="shared" si="381"/>
        <v/>
      </c>
      <c r="BK661" s="470" t="str">
        <f t="shared" si="365"/>
        <v/>
      </c>
      <c r="BL661" s="775" t="str">
        <f t="shared" si="382"/>
        <v/>
      </c>
      <c r="BM661" s="775" t="str">
        <f t="shared" si="383"/>
        <v/>
      </c>
    </row>
    <row r="662" spans="1:65">
      <c r="A662" s="473">
        <v>606</v>
      </c>
      <c r="B662" s="132"/>
      <c r="C662" s="332"/>
      <c r="D662" s="333"/>
      <c r="E662" s="333"/>
      <c r="F662" s="334"/>
      <c r="G662" s="337"/>
      <c r="H662" s="131"/>
      <c r="I662" s="337"/>
      <c r="J662" s="131"/>
      <c r="K662" s="458" t="str">
        <f t="shared" si="352"/>
        <v/>
      </c>
      <c r="L662" s="458">
        <f t="shared" si="353"/>
        <v>0</v>
      </c>
      <c r="M662" s="458">
        <f t="shared" si="354"/>
        <v>0</v>
      </c>
      <c r="N662" s="459" t="str">
        <f t="shared" si="283"/>
        <v/>
      </c>
      <c r="O662" s="459" t="str">
        <f t="shared" si="284"/>
        <v/>
      </c>
      <c r="P662" s="459" t="str">
        <f t="shared" si="285"/>
        <v/>
      </c>
      <c r="Q662" s="459" t="str">
        <f t="shared" si="286"/>
        <v/>
      </c>
      <c r="R662" s="459" t="str">
        <f t="shared" si="287"/>
        <v/>
      </c>
      <c r="S662" s="459" t="str">
        <f t="shared" si="288"/>
        <v/>
      </c>
      <c r="T662" s="566" t="str">
        <f t="shared" si="355"/>
        <v/>
      </c>
      <c r="U662" s="702"/>
      <c r="V662" s="132"/>
      <c r="W662" s="133"/>
      <c r="X662" s="134"/>
      <c r="Y662" s="135"/>
      <c r="Z662" s="137"/>
      <c r="AA662" s="136"/>
      <c r="AB662" s="566" t="str">
        <f t="shared" si="356"/>
        <v/>
      </c>
      <c r="AC662" s="568" t="str">
        <f t="shared" si="357"/>
        <v/>
      </c>
      <c r="AD662" s="137"/>
      <c r="AE662" s="137"/>
      <c r="AF662" s="138"/>
      <c r="AG662" s="138"/>
      <c r="AH662" s="592" t="str">
        <f t="shared" si="358"/>
        <v/>
      </c>
      <c r="AI662" s="592" t="str">
        <f t="shared" si="359"/>
        <v/>
      </c>
      <c r="AJ662" s="592" t="str">
        <f t="shared" si="360"/>
        <v/>
      </c>
      <c r="AK662" s="460" t="str">
        <f>IF(AU662="","",IF(OR(AZ662=8,AZ662=9),0,IF(OR(AW662=3,AW662=4,AW662=5,AW662=6),IF(LEFT(BF662,1)="1",INDEX(係数_NOX・PM低減,MATCH(AY662,【参考】排出係数!$AI$801:$AI$804,1),1),VLOOKUP(AU662,INDEX((係数_バス貨物_ガソリン,係数_バス貨物_CNG,係数_バス貨物_軽油,係数_バス貨物_メタノール,係数_バス貨物_LPG),MATCH(AY662,【参考】排出係数!$AI$4:$AI$671,1),1,BE662):INDEX((係数_バス貨物_ガソリン,係数_バス貨物_CNG,係数_バス貨物_軽油,係数_バス貨物_メタノール,係数_バス貨物_LPG),MATCH(AY662+1,【参考】排出係数!$AI$4:$AI$671,1)-1,5,BE662),4,FALSE)),IF(AND(BE662=3,LEFT(BF662,1)="1"),0.48,VLOOKUP(AU662,INDEX((係数_乗用_ガソリン,係数_乗用_CNG,係数_乗用_軽油,係数_乗用_メタノール,係数_乗用_LPG),1,1,BE662):INDEX((係数_乗用_ガソリン,係数_乗用_CNG,係数_乗用_軽油,係数_乗用_メタノール,係数_乗用_LPG),125,5,BE662),4,FALSE)))))</f>
        <v/>
      </c>
      <c r="AL662" s="461" t="str">
        <f t="shared" si="361"/>
        <v/>
      </c>
      <c r="AM662" s="460" t="str">
        <f>IF(AU662="","",IF(OR(AZ662=8,AZ662=9),0,IF(OR(AW662=3,AW662=4,AW662=5,AW662=6),IF(LEFT(BH662,1)="1",INDEX(係数_PM低減,MATCH(AY662,【参考】排出係数!$AI$801:$AI$804,1),MATCH(BI662,【参考】排出係数!$AL$798:$AO$798,1)),VLOOKUP(AU662,INDEX((係数_バス貨物_ガソリン,係数_バス貨物_CNG,係数_バス貨物_軽油,係数_バス貨物_メタノール,係数_バス貨物_LPG),MATCH(AY662,【参考】排出係数!$AI$4:$AI$671,1),1,BE662):INDEX((係数_バス貨物_ガソリン,係数_バス貨物_CNG,係数_バス貨物_軽油,係数_バス貨物_メタノール,係数_バス貨物_LPG),MATCH(AY662+1,【参考】排出係数!$AI$4:$AI$671,1)-1,5,BE662),5,FALSE)),IF(AND(BE662=3,LEFT(BF662,1)="1"),0.055,VLOOKUP(AU662,INDEX((係数_乗用_ガソリン,係数_乗用_CNG,係数_乗用_軽油,係数_乗用_メタノール,係数_乗用_LPG),1,1,BE662):INDEX((係数_乗用_ガソリン,係数_乗用_CNG,係数_乗用_軽油,係数_乗用_メタノール,係数_乗用_LPG),125,5,BE662),5,FALSE)))))</f>
        <v/>
      </c>
      <c r="AN662" s="461" t="str">
        <f t="shared" si="362"/>
        <v/>
      </c>
      <c r="AO662" s="462" t="str">
        <f t="shared" si="363"/>
        <v/>
      </c>
      <c r="AP662" s="463" t="str">
        <f t="shared" si="364"/>
        <v/>
      </c>
      <c r="AQ662" s="464"/>
      <c r="AR662" s="619"/>
      <c r="AS662" s="465" t="str">
        <f t="shared" si="366"/>
        <v/>
      </c>
      <c r="AT662" s="465" t="str">
        <f t="shared" si="367"/>
        <v/>
      </c>
      <c r="AU662" s="466" t="str">
        <f t="shared" si="368"/>
        <v/>
      </c>
      <c r="AV662" s="467" t="str">
        <f t="shared" si="369"/>
        <v/>
      </c>
      <c r="AW662" s="467" t="str">
        <f t="shared" si="370"/>
        <v/>
      </c>
      <c r="AX662" s="467" t="str">
        <f t="shared" si="371"/>
        <v/>
      </c>
      <c r="AY662" s="467" t="str">
        <f t="shared" si="372"/>
        <v/>
      </c>
      <c r="AZ662" s="467" t="str">
        <f t="shared" si="373"/>
        <v/>
      </c>
      <c r="BA662" s="468" t="str">
        <f>IF(AS662="","",IF(OR(AU662="",AU662="-"),"－",IF(OR(AZ662=8,AZ662=9),"",IF(OR(AW662=3,AW662=4,AW662=5,AW662=6),VLOOKUP(AU662,INDEX((係数_バス貨物_ガソリン,係数_バス貨物_CNG,係数_バス貨物_軽油,係数_バス貨物_メタノール,係数_バス貨物_LPG),MATCH(AY662,【参考】排出係数!$AI$4:$AI$671,1),1,BE662):INDEX((係数_バス貨物_ガソリン,係数_バス貨物_CNG,係数_バス貨物_軽油,係数_バス貨物_メタノール,係数_バス貨物_LPG),MATCH(AY662+1,【参考】排出係数!$AI$4:$AI$671,1)-1,5,BE662),2,FALSE),IF(OR(AW662=1,AW662=2),VLOOKUP(AU662,INDEX((係数_乗用_ガソリン,係数_乗用_CNG,係数_乗用_軽油,係数_乗用_メタノール,係数_乗用_LPG),1,1,BE662):INDEX((係数_乗用_ガソリン,係数_乗用_CNG,係数_乗用_軽油,係数_乗用_メタノール,係数_乗用_LPG),125,5,BE662),2,FALSE))))))</f>
        <v/>
      </c>
      <c r="BB662" s="468" t="str">
        <f>IF(T662="","",IF(OR(AU662="",AU662="-"),"－",IF(OR(AZ662=8,AZ662=9),"",IF(OR(AW662=3,AW662=4,AW662=5,AW662=6),VLOOKUP(AU662,INDEX((係数_バス貨物_ガソリン,係数_バス貨物_CNG,係数_バス貨物_軽油,係数_バス貨物_メタノール,係数_バス貨物_LPG),MATCH(AY662,【参考】排出係数!$AI$4:$AI$671,1),1,BE662):INDEX((係数_バス貨物_ガソリン,係数_バス貨物_CNG,係数_バス貨物_軽油,係数_バス貨物_メタノール,係数_バス貨物_LPG),MATCH(AY662+1,【参考】排出係数!$AI$4:$AI$671,1)-1,5,BE662),3,FALSE),IF(OR(AW662=1,AW662=2),VLOOKUP(AU662,INDEX((係数_乗用_ガソリン,係数_乗用_CNG,係数_乗用_軽油,係数_乗用_メタノール,係数_乗用_LPG),1,1,BE662):INDEX((係数_乗用_ガソリン,係数_乗用_CNG,係数_乗用_軽油,係数_乗用_メタノール,係数_乗用_LPG),125,5,BE662),3,FALSE))))))</f>
        <v/>
      </c>
      <c r="BC662" s="467" t="str">
        <f t="shared" si="374"/>
        <v/>
      </c>
      <c r="BD662" s="567" t="str">
        <f t="shared" si="375"/>
        <v/>
      </c>
      <c r="BE662" s="467" t="str">
        <f t="shared" si="376"/>
        <v/>
      </c>
      <c r="BF662" s="469" t="str">
        <f t="shared" ca="1" si="377"/>
        <v/>
      </c>
      <c r="BG662" s="469" t="str">
        <f t="shared" ca="1" si="378"/>
        <v/>
      </c>
      <c r="BH662" s="467" t="str">
        <f t="shared" si="379"/>
        <v/>
      </c>
      <c r="BI662" s="467" t="str">
        <f t="shared" ca="1" si="380"/>
        <v/>
      </c>
      <c r="BJ662" s="469" t="str">
        <f t="shared" si="381"/>
        <v/>
      </c>
      <c r="BK662" s="470" t="str">
        <f t="shared" si="365"/>
        <v/>
      </c>
      <c r="BL662" s="775" t="str">
        <f t="shared" si="382"/>
        <v/>
      </c>
      <c r="BM662" s="775" t="str">
        <f t="shared" si="383"/>
        <v/>
      </c>
    </row>
    <row r="663" spans="1:65">
      <c r="A663" s="473">
        <v>607</v>
      </c>
      <c r="B663" s="132"/>
      <c r="C663" s="332"/>
      <c r="D663" s="333"/>
      <c r="E663" s="333"/>
      <c r="F663" s="334"/>
      <c r="G663" s="337"/>
      <c r="H663" s="131"/>
      <c r="I663" s="337"/>
      <c r="J663" s="131"/>
      <c r="K663" s="458" t="str">
        <f t="shared" si="352"/>
        <v/>
      </c>
      <c r="L663" s="458">
        <f t="shared" si="353"/>
        <v>0</v>
      </c>
      <c r="M663" s="458">
        <f t="shared" si="354"/>
        <v>0</v>
      </c>
      <c r="N663" s="459" t="str">
        <f t="shared" si="283"/>
        <v/>
      </c>
      <c r="O663" s="459" t="str">
        <f t="shared" si="284"/>
        <v/>
      </c>
      <c r="P663" s="459" t="str">
        <f t="shared" si="285"/>
        <v/>
      </c>
      <c r="Q663" s="459" t="str">
        <f t="shared" si="286"/>
        <v/>
      </c>
      <c r="R663" s="459" t="str">
        <f t="shared" si="287"/>
        <v/>
      </c>
      <c r="S663" s="459" t="str">
        <f t="shared" si="288"/>
        <v/>
      </c>
      <c r="T663" s="566" t="str">
        <f t="shared" si="355"/>
        <v/>
      </c>
      <c r="U663" s="702"/>
      <c r="V663" s="132"/>
      <c r="W663" s="133"/>
      <c r="X663" s="134"/>
      <c r="Y663" s="135"/>
      <c r="Z663" s="137"/>
      <c r="AA663" s="136"/>
      <c r="AB663" s="566" t="str">
        <f t="shared" si="356"/>
        <v/>
      </c>
      <c r="AC663" s="568" t="str">
        <f t="shared" si="357"/>
        <v/>
      </c>
      <c r="AD663" s="137"/>
      <c r="AE663" s="137"/>
      <c r="AF663" s="138"/>
      <c r="AG663" s="138"/>
      <c r="AH663" s="592" t="str">
        <f t="shared" si="358"/>
        <v/>
      </c>
      <c r="AI663" s="592" t="str">
        <f t="shared" si="359"/>
        <v/>
      </c>
      <c r="AJ663" s="592" t="str">
        <f t="shared" si="360"/>
        <v/>
      </c>
      <c r="AK663" s="460" t="str">
        <f>IF(AU663="","",IF(OR(AZ663=8,AZ663=9),0,IF(OR(AW663=3,AW663=4,AW663=5,AW663=6),IF(LEFT(BF663,1)="1",INDEX(係数_NOX・PM低減,MATCH(AY663,【参考】排出係数!$AI$801:$AI$804,1),1),VLOOKUP(AU663,INDEX((係数_バス貨物_ガソリン,係数_バス貨物_CNG,係数_バス貨物_軽油,係数_バス貨物_メタノール,係数_バス貨物_LPG),MATCH(AY663,【参考】排出係数!$AI$4:$AI$671,1),1,BE663):INDEX((係数_バス貨物_ガソリン,係数_バス貨物_CNG,係数_バス貨物_軽油,係数_バス貨物_メタノール,係数_バス貨物_LPG),MATCH(AY663+1,【参考】排出係数!$AI$4:$AI$671,1)-1,5,BE663),4,FALSE)),IF(AND(BE663=3,LEFT(BF663,1)="1"),0.48,VLOOKUP(AU663,INDEX((係数_乗用_ガソリン,係数_乗用_CNG,係数_乗用_軽油,係数_乗用_メタノール,係数_乗用_LPG),1,1,BE663):INDEX((係数_乗用_ガソリン,係数_乗用_CNG,係数_乗用_軽油,係数_乗用_メタノール,係数_乗用_LPG),125,5,BE663),4,FALSE)))))</f>
        <v/>
      </c>
      <c r="AL663" s="461" t="str">
        <f t="shared" si="361"/>
        <v/>
      </c>
      <c r="AM663" s="460" t="str">
        <f>IF(AU663="","",IF(OR(AZ663=8,AZ663=9),0,IF(OR(AW663=3,AW663=4,AW663=5,AW663=6),IF(LEFT(BH663,1)="1",INDEX(係数_PM低減,MATCH(AY663,【参考】排出係数!$AI$801:$AI$804,1),MATCH(BI663,【参考】排出係数!$AL$798:$AO$798,1)),VLOOKUP(AU663,INDEX((係数_バス貨物_ガソリン,係数_バス貨物_CNG,係数_バス貨物_軽油,係数_バス貨物_メタノール,係数_バス貨物_LPG),MATCH(AY663,【参考】排出係数!$AI$4:$AI$671,1),1,BE663):INDEX((係数_バス貨物_ガソリン,係数_バス貨物_CNG,係数_バス貨物_軽油,係数_バス貨物_メタノール,係数_バス貨物_LPG),MATCH(AY663+1,【参考】排出係数!$AI$4:$AI$671,1)-1,5,BE663),5,FALSE)),IF(AND(BE663=3,LEFT(BF663,1)="1"),0.055,VLOOKUP(AU663,INDEX((係数_乗用_ガソリン,係数_乗用_CNG,係数_乗用_軽油,係数_乗用_メタノール,係数_乗用_LPG),1,1,BE663):INDEX((係数_乗用_ガソリン,係数_乗用_CNG,係数_乗用_軽油,係数_乗用_メタノール,係数_乗用_LPG),125,5,BE663),5,FALSE)))))</f>
        <v/>
      </c>
      <c r="AN663" s="461" t="str">
        <f t="shared" si="362"/>
        <v/>
      </c>
      <c r="AO663" s="462" t="str">
        <f t="shared" si="363"/>
        <v/>
      </c>
      <c r="AP663" s="463" t="str">
        <f t="shared" si="364"/>
        <v/>
      </c>
      <c r="AQ663" s="464"/>
      <c r="AR663" s="619"/>
      <c r="AS663" s="465" t="str">
        <f t="shared" si="366"/>
        <v/>
      </c>
      <c r="AT663" s="465" t="str">
        <f t="shared" si="367"/>
        <v/>
      </c>
      <c r="AU663" s="466" t="str">
        <f t="shared" si="368"/>
        <v/>
      </c>
      <c r="AV663" s="467" t="str">
        <f t="shared" si="369"/>
        <v/>
      </c>
      <c r="AW663" s="467" t="str">
        <f t="shared" si="370"/>
        <v/>
      </c>
      <c r="AX663" s="467" t="str">
        <f t="shared" si="371"/>
        <v/>
      </c>
      <c r="AY663" s="467" t="str">
        <f t="shared" si="372"/>
        <v/>
      </c>
      <c r="AZ663" s="467" t="str">
        <f t="shared" si="373"/>
        <v/>
      </c>
      <c r="BA663" s="468" t="str">
        <f>IF(AS663="","",IF(OR(AU663="",AU663="-"),"－",IF(OR(AZ663=8,AZ663=9),"",IF(OR(AW663=3,AW663=4,AW663=5,AW663=6),VLOOKUP(AU663,INDEX((係数_バス貨物_ガソリン,係数_バス貨物_CNG,係数_バス貨物_軽油,係数_バス貨物_メタノール,係数_バス貨物_LPG),MATCH(AY663,【参考】排出係数!$AI$4:$AI$671,1),1,BE663):INDEX((係数_バス貨物_ガソリン,係数_バス貨物_CNG,係数_バス貨物_軽油,係数_バス貨物_メタノール,係数_バス貨物_LPG),MATCH(AY663+1,【参考】排出係数!$AI$4:$AI$671,1)-1,5,BE663),2,FALSE),IF(OR(AW663=1,AW663=2),VLOOKUP(AU663,INDEX((係数_乗用_ガソリン,係数_乗用_CNG,係数_乗用_軽油,係数_乗用_メタノール,係数_乗用_LPG),1,1,BE663):INDEX((係数_乗用_ガソリン,係数_乗用_CNG,係数_乗用_軽油,係数_乗用_メタノール,係数_乗用_LPG),125,5,BE663),2,FALSE))))))</f>
        <v/>
      </c>
      <c r="BB663" s="468" t="str">
        <f>IF(T663="","",IF(OR(AU663="",AU663="-"),"－",IF(OR(AZ663=8,AZ663=9),"",IF(OR(AW663=3,AW663=4,AW663=5,AW663=6),VLOOKUP(AU663,INDEX((係数_バス貨物_ガソリン,係数_バス貨物_CNG,係数_バス貨物_軽油,係数_バス貨物_メタノール,係数_バス貨物_LPG),MATCH(AY663,【参考】排出係数!$AI$4:$AI$671,1),1,BE663):INDEX((係数_バス貨物_ガソリン,係数_バス貨物_CNG,係数_バス貨物_軽油,係数_バス貨物_メタノール,係数_バス貨物_LPG),MATCH(AY663+1,【参考】排出係数!$AI$4:$AI$671,1)-1,5,BE663),3,FALSE),IF(OR(AW663=1,AW663=2),VLOOKUP(AU663,INDEX((係数_乗用_ガソリン,係数_乗用_CNG,係数_乗用_軽油,係数_乗用_メタノール,係数_乗用_LPG),1,1,BE663):INDEX((係数_乗用_ガソリン,係数_乗用_CNG,係数_乗用_軽油,係数_乗用_メタノール,係数_乗用_LPG),125,5,BE663),3,FALSE))))))</f>
        <v/>
      </c>
      <c r="BC663" s="467" t="str">
        <f t="shared" si="374"/>
        <v/>
      </c>
      <c r="BD663" s="567" t="str">
        <f t="shared" si="375"/>
        <v/>
      </c>
      <c r="BE663" s="467" t="str">
        <f t="shared" si="376"/>
        <v/>
      </c>
      <c r="BF663" s="469" t="str">
        <f t="shared" ca="1" si="377"/>
        <v/>
      </c>
      <c r="BG663" s="469" t="str">
        <f t="shared" ca="1" si="378"/>
        <v/>
      </c>
      <c r="BH663" s="467" t="str">
        <f t="shared" si="379"/>
        <v/>
      </c>
      <c r="BI663" s="467" t="str">
        <f t="shared" ca="1" si="380"/>
        <v/>
      </c>
      <c r="BJ663" s="469" t="str">
        <f t="shared" si="381"/>
        <v/>
      </c>
      <c r="BK663" s="470" t="str">
        <f t="shared" si="365"/>
        <v/>
      </c>
      <c r="BL663" s="775" t="str">
        <f t="shared" si="382"/>
        <v/>
      </c>
      <c r="BM663" s="775" t="str">
        <f t="shared" si="383"/>
        <v/>
      </c>
    </row>
    <row r="664" spans="1:65">
      <c r="A664" s="473">
        <v>608</v>
      </c>
      <c r="B664" s="132"/>
      <c r="C664" s="332"/>
      <c r="D664" s="333"/>
      <c r="E664" s="333"/>
      <c r="F664" s="334"/>
      <c r="G664" s="337"/>
      <c r="H664" s="131"/>
      <c r="I664" s="337"/>
      <c r="J664" s="131"/>
      <c r="K664" s="458" t="str">
        <f t="shared" si="352"/>
        <v/>
      </c>
      <c r="L664" s="458">
        <f t="shared" si="353"/>
        <v>0</v>
      </c>
      <c r="M664" s="458">
        <f t="shared" si="354"/>
        <v>0</v>
      </c>
      <c r="N664" s="459" t="str">
        <f t="shared" si="283"/>
        <v/>
      </c>
      <c r="O664" s="459" t="str">
        <f t="shared" si="284"/>
        <v/>
      </c>
      <c r="P664" s="459" t="str">
        <f t="shared" si="285"/>
        <v/>
      </c>
      <c r="Q664" s="459" t="str">
        <f t="shared" si="286"/>
        <v/>
      </c>
      <c r="R664" s="459" t="str">
        <f t="shared" si="287"/>
        <v/>
      </c>
      <c r="S664" s="459" t="str">
        <f t="shared" si="288"/>
        <v/>
      </c>
      <c r="T664" s="566" t="str">
        <f t="shared" si="355"/>
        <v/>
      </c>
      <c r="U664" s="702"/>
      <c r="V664" s="132"/>
      <c r="W664" s="133"/>
      <c r="X664" s="134"/>
      <c r="Y664" s="135"/>
      <c r="Z664" s="137"/>
      <c r="AA664" s="136"/>
      <c r="AB664" s="566" t="str">
        <f t="shared" si="356"/>
        <v/>
      </c>
      <c r="AC664" s="568" t="str">
        <f t="shared" si="357"/>
        <v/>
      </c>
      <c r="AD664" s="137"/>
      <c r="AE664" s="137"/>
      <c r="AF664" s="138"/>
      <c r="AG664" s="138"/>
      <c r="AH664" s="592" t="str">
        <f t="shared" si="358"/>
        <v/>
      </c>
      <c r="AI664" s="592" t="str">
        <f t="shared" si="359"/>
        <v/>
      </c>
      <c r="AJ664" s="592" t="str">
        <f t="shared" si="360"/>
        <v/>
      </c>
      <c r="AK664" s="460" t="str">
        <f>IF(AU664="","",IF(OR(AZ664=8,AZ664=9),0,IF(OR(AW664=3,AW664=4,AW664=5,AW664=6),IF(LEFT(BF664,1)="1",INDEX(係数_NOX・PM低減,MATCH(AY664,【参考】排出係数!$AI$801:$AI$804,1),1),VLOOKUP(AU664,INDEX((係数_バス貨物_ガソリン,係数_バス貨物_CNG,係数_バス貨物_軽油,係数_バス貨物_メタノール,係数_バス貨物_LPG),MATCH(AY664,【参考】排出係数!$AI$4:$AI$671,1),1,BE664):INDEX((係数_バス貨物_ガソリン,係数_バス貨物_CNG,係数_バス貨物_軽油,係数_バス貨物_メタノール,係数_バス貨物_LPG),MATCH(AY664+1,【参考】排出係数!$AI$4:$AI$671,1)-1,5,BE664),4,FALSE)),IF(AND(BE664=3,LEFT(BF664,1)="1"),0.48,VLOOKUP(AU664,INDEX((係数_乗用_ガソリン,係数_乗用_CNG,係数_乗用_軽油,係数_乗用_メタノール,係数_乗用_LPG),1,1,BE664):INDEX((係数_乗用_ガソリン,係数_乗用_CNG,係数_乗用_軽油,係数_乗用_メタノール,係数_乗用_LPG),125,5,BE664),4,FALSE)))))</f>
        <v/>
      </c>
      <c r="AL664" s="461" t="str">
        <f t="shared" si="361"/>
        <v/>
      </c>
      <c r="AM664" s="460" t="str">
        <f>IF(AU664="","",IF(OR(AZ664=8,AZ664=9),0,IF(OR(AW664=3,AW664=4,AW664=5,AW664=6),IF(LEFT(BH664,1)="1",INDEX(係数_PM低減,MATCH(AY664,【参考】排出係数!$AI$801:$AI$804,1),MATCH(BI664,【参考】排出係数!$AL$798:$AO$798,1)),VLOOKUP(AU664,INDEX((係数_バス貨物_ガソリン,係数_バス貨物_CNG,係数_バス貨物_軽油,係数_バス貨物_メタノール,係数_バス貨物_LPG),MATCH(AY664,【参考】排出係数!$AI$4:$AI$671,1),1,BE664):INDEX((係数_バス貨物_ガソリン,係数_バス貨物_CNG,係数_バス貨物_軽油,係数_バス貨物_メタノール,係数_バス貨物_LPG),MATCH(AY664+1,【参考】排出係数!$AI$4:$AI$671,1)-1,5,BE664),5,FALSE)),IF(AND(BE664=3,LEFT(BF664,1)="1"),0.055,VLOOKUP(AU664,INDEX((係数_乗用_ガソリン,係数_乗用_CNG,係数_乗用_軽油,係数_乗用_メタノール,係数_乗用_LPG),1,1,BE664):INDEX((係数_乗用_ガソリン,係数_乗用_CNG,係数_乗用_軽油,係数_乗用_メタノール,係数_乗用_LPG),125,5,BE664),5,FALSE)))))</f>
        <v/>
      </c>
      <c r="AN664" s="461" t="str">
        <f t="shared" si="362"/>
        <v/>
      </c>
      <c r="AO664" s="462" t="str">
        <f t="shared" si="363"/>
        <v/>
      </c>
      <c r="AP664" s="463" t="str">
        <f t="shared" si="364"/>
        <v/>
      </c>
      <c r="AQ664" s="464"/>
      <c r="AR664" s="619"/>
      <c r="AS664" s="465" t="str">
        <f t="shared" si="366"/>
        <v/>
      </c>
      <c r="AT664" s="465" t="str">
        <f t="shared" si="367"/>
        <v/>
      </c>
      <c r="AU664" s="466" t="str">
        <f t="shared" si="368"/>
        <v/>
      </c>
      <c r="AV664" s="467" t="str">
        <f t="shared" si="369"/>
        <v/>
      </c>
      <c r="AW664" s="467" t="str">
        <f t="shared" si="370"/>
        <v/>
      </c>
      <c r="AX664" s="467" t="str">
        <f t="shared" si="371"/>
        <v/>
      </c>
      <c r="AY664" s="467" t="str">
        <f t="shared" si="372"/>
        <v/>
      </c>
      <c r="AZ664" s="467" t="str">
        <f t="shared" si="373"/>
        <v/>
      </c>
      <c r="BA664" s="468" t="str">
        <f>IF(AS664="","",IF(OR(AU664="",AU664="-"),"－",IF(OR(AZ664=8,AZ664=9),"",IF(OR(AW664=3,AW664=4,AW664=5,AW664=6),VLOOKUP(AU664,INDEX((係数_バス貨物_ガソリン,係数_バス貨物_CNG,係数_バス貨物_軽油,係数_バス貨物_メタノール,係数_バス貨物_LPG),MATCH(AY664,【参考】排出係数!$AI$4:$AI$671,1),1,BE664):INDEX((係数_バス貨物_ガソリン,係数_バス貨物_CNG,係数_バス貨物_軽油,係数_バス貨物_メタノール,係数_バス貨物_LPG),MATCH(AY664+1,【参考】排出係数!$AI$4:$AI$671,1)-1,5,BE664),2,FALSE),IF(OR(AW664=1,AW664=2),VLOOKUP(AU664,INDEX((係数_乗用_ガソリン,係数_乗用_CNG,係数_乗用_軽油,係数_乗用_メタノール,係数_乗用_LPG),1,1,BE664):INDEX((係数_乗用_ガソリン,係数_乗用_CNG,係数_乗用_軽油,係数_乗用_メタノール,係数_乗用_LPG),125,5,BE664),2,FALSE))))))</f>
        <v/>
      </c>
      <c r="BB664" s="468" t="str">
        <f>IF(T664="","",IF(OR(AU664="",AU664="-"),"－",IF(OR(AZ664=8,AZ664=9),"",IF(OR(AW664=3,AW664=4,AW664=5,AW664=6),VLOOKUP(AU664,INDEX((係数_バス貨物_ガソリン,係数_バス貨物_CNG,係数_バス貨物_軽油,係数_バス貨物_メタノール,係数_バス貨物_LPG),MATCH(AY664,【参考】排出係数!$AI$4:$AI$671,1),1,BE664):INDEX((係数_バス貨物_ガソリン,係数_バス貨物_CNG,係数_バス貨物_軽油,係数_バス貨物_メタノール,係数_バス貨物_LPG),MATCH(AY664+1,【参考】排出係数!$AI$4:$AI$671,1)-1,5,BE664),3,FALSE),IF(OR(AW664=1,AW664=2),VLOOKUP(AU664,INDEX((係数_乗用_ガソリン,係数_乗用_CNG,係数_乗用_軽油,係数_乗用_メタノール,係数_乗用_LPG),1,1,BE664):INDEX((係数_乗用_ガソリン,係数_乗用_CNG,係数_乗用_軽油,係数_乗用_メタノール,係数_乗用_LPG),125,5,BE664),3,FALSE))))))</f>
        <v/>
      </c>
      <c r="BC664" s="467" t="str">
        <f t="shared" si="374"/>
        <v/>
      </c>
      <c r="BD664" s="567" t="str">
        <f t="shared" si="375"/>
        <v/>
      </c>
      <c r="BE664" s="467" t="str">
        <f t="shared" si="376"/>
        <v/>
      </c>
      <c r="BF664" s="469" t="str">
        <f t="shared" ca="1" si="377"/>
        <v/>
      </c>
      <c r="BG664" s="469" t="str">
        <f t="shared" ca="1" si="378"/>
        <v/>
      </c>
      <c r="BH664" s="467" t="str">
        <f t="shared" si="379"/>
        <v/>
      </c>
      <c r="BI664" s="467" t="str">
        <f t="shared" ca="1" si="380"/>
        <v/>
      </c>
      <c r="BJ664" s="469" t="str">
        <f t="shared" si="381"/>
        <v/>
      </c>
      <c r="BK664" s="470" t="str">
        <f t="shared" si="365"/>
        <v/>
      </c>
      <c r="BL664" s="775" t="str">
        <f t="shared" si="382"/>
        <v/>
      </c>
      <c r="BM664" s="775" t="str">
        <f t="shared" si="383"/>
        <v/>
      </c>
    </row>
    <row r="665" spans="1:65">
      <c r="A665" s="473">
        <v>609</v>
      </c>
      <c r="B665" s="132"/>
      <c r="C665" s="332"/>
      <c r="D665" s="333"/>
      <c r="E665" s="333"/>
      <c r="F665" s="334"/>
      <c r="G665" s="337"/>
      <c r="H665" s="131"/>
      <c r="I665" s="337"/>
      <c r="J665" s="131"/>
      <c r="K665" s="458" t="str">
        <f t="shared" si="352"/>
        <v/>
      </c>
      <c r="L665" s="458">
        <f t="shared" si="353"/>
        <v>0</v>
      </c>
      <c r="M665" s="458">
        <f t="shared" si="354"/>
        <v>0</v>
      </c>
      <c r="N665" s="459" t="str">
        <f t="shared" si="283"/>
        <v/>
      </c>
      <c r="O665" s="459" t="str">
        <f t="shared" si="284"/>
        <v/>
      </c>
      <c r="P665" s="459" t="str">
        <f t="shared" si="285"/>
        <v/>
      </c>
      <c r="Q665" s="459" t="str">
        <f t="shared" si="286"/>
        <v/>
      </c>
      <c r="R665" s="459" t="str">
        <f t="shared" si="287"/>
        <v/>
      </c>
      <c r="S665" s="459" t="str">
        <f t="shared" si="288"/>
        <v/>
      </c>
      <c r="T665" s="566" t="str">
        <f t="shared" si="355"/>
        <v/>
      </c>
      <c r="U665" s="702"/>
      <c r="V665" s="132"/>
      <c r="W665" s="133"/>
      <c r="X665" s="134"/>
      <c r="Y665" s="135"/>
      <c r="Z665" s="137"/>
      <c r="AA665" s="136"/>
      <c r="AB665" s="566" t="str">
        <f t="shared" si="356"/>
        <v/>
      </c>
      <c r="AC665" s="568" t="str">
        <f t="shared" si="357"/>
        <v/>
      </c>
      <c r="AD665" s="137"/>
      <c r="AE665" s="137"/>
      <c r="AF665" s="138"/>
      <c r="AG665" s="138"/>
      <c r="AH665" s="592" t="str">
        <f t="shared" si="358"/>
        <v/>
      </c>
      <c r="AI665" s="592" t="str">
        <f t="shared" si="359"/>
        <v/>
      </c>
      <c r="AJ665" s="592" t="str">
        <f t="shared" si="360"/>
        <v/>
      </c>
      <c r="AK665" s="460" t="str">
        <f>IF(AU665="","",IF(OR(AZ665=8,AZ665=9),0,IF(OR(AW665=3,AW665=4,AW665=5,AW665=6),IF(LEFT(BF665,1)="1",INDEX(係数_NOX・PM低減,MATCH(AY665,【参考】排出係数!$AI$801:$AI$804,1),1),VLOOKUP(AU665,INDEX((係数_バス貨物_ガソリン,係数_バス貨物_CNG,係数_バス貨物_軽油,係数_バス貨物_メタノール,係数_バス貨物_LPG),MATCH(AY665,【参考】排出係数!$AI$4:$AI$671,1),1,BE665):INDEX((係数_バス貨物_ガソリン,係数_バス貨物_CNG,係数_バス貨物_軽油,係数_バス貨物_メタノール,係数_バス貨物_LPG),MATCH(AY665+1,【参考】排出係数!$AI$4:$AI$671,1)-1,5,BE665),4,FALSE)),IF(AND(BE665=3,LEFT(BF665,1)="1"),0.48,VLOOKUP(AU665,INDEX((係数_乗用_ガソリン,係数_乗用_CNG,係数_乗用_軽油,係数_乗用_メタノール,係数_乗用_LPG),1,1,BE665):INDEX((係数_乗用_ガソリン,係数_乗用_CNG,係数_乗用_軽油,係数_乗用_メタノール,係数_乗用_LPG),125,5,BE665),4,FALSE)))))</f>
        <v/>
      </c>
      <c r="AL665" s="461" t="str">
        <f t="shared" si="361"/>
        <v/>
      </c>
      <c r="AM665" s="460" t="str">
        <f>IF(AU665="","",IF(OR(AZ665=8,AZ665=9),0,IF(OR(AW665=3,AW665=4,AW665=5,AW665=6),IF(LEFT(BH665,1)="1",INDEX(係数_PM低減,MATCH(AY665,【参考】排出係数!$AI$801:$AI$804,1),MATCH(BI665,【参考】排出係数!$AL$798:$AO$798,1)),VLOOKUP(AU665,INDEX((係数_バス貨物_ガソリン,係数_バス貨物_CNG,係数_バス貨物_軽油,係数_バス貨物_メタノール,係数_バス貨物_LPG),MATCH(AY665,【参考】排出係数!$AI$4:$AI$671,1),1,BE665):INDEX((係数_バス貨物_ガソリン,係数_バス貨物_CNG,係数_バス貨物_軽油,係数_バス貨物_メタノール,係数_バス貨物_LPG),MATCH(AY665+1,【参考】排出係数!$AI$4:$AI$671,1)-1,5,BE665),5,FALSE)),IF(AND(BE665=3,LEFT(BF665,1)="1"),0.055,VLOOKUP(AU665,INDEX((係数_乗用_ガソリン,係数_乗用_CNG,係数_乗用_軽油,係数_乗用_メタノール,係数_乗用_LPG),1,1,BE665):INDEX((係数_乗用_ガソリン,係数_乗用_CNG,係数_乗用_軽油,係数_乗用_メタノール,係数_乗用_LPG),125,5,BE665),5,FALSE)))))</f>
        <v/>
      </c>
      <c r="AN665" s="461" t="str">
        <f t="shared" si="362"/>
        <v/>
      </c>
      <c r="AO665" s="462" t="str">
        <f t="shared" si="363"/>
        <v/>
      </c>
      <c r="AP665" s="463" t="str">
        <f t="shared" si="364"/>
        <v/>
      </c>
      <c r="AQ665" s="464"/>
      <c r="AR665" s="619"/>
      <c r="AS665" s="465" t="str">
        <f t="shared" si="366"/>
        <v/>
      </c>
      <c r="AT665" s="465" t="str">
        <f t="shared" si="367"/>
        <v/>
      </c>
      <c r="AU665" s="466" t="str">
        <f t="shared" si="368"/>
        <v/>
      </c>
      <c r="AV665" s="467" t="str">
        <f t="shared" si="369"/>
        <v/>
      </c>
      <c r="AW665" s="467" t="str">
        <f t="shared" si="370"/>
        <v/>
      </c>
      <c r="AX665" s="467" t="str">
        <f t="shared" si="371"/>
        <v/>
      </c>
      <c r="AY665" s="467" t="str">
        <f t="shared" si="372"/>
        <v/>
      </c>
      <c r="AZ665" s="467" t="str">
        <f t="shared" si="373"/>
        <v/>
      </c>
      <c r="BA665" s="468" t="str">
        <f>IF(AS665="","",IF(OR(AU665="",AU665="-"),"－",IF(OR(AZ665=8,AZ665=9),"",IF(OR(AW665=3,AW665=4,AW665=5,AW665=6),VLOOKUP(AU665,INDEX((係数_バス貨物_ガソリン,係数_バス貨物_CNG,係数_バス貨物_軽油,係数_バス貨物_メタノール,係数_バス貨物_LPG),MATCH(AY665,【参考】排出係数!$AI$4:$AI$671,1),1,BE665):INDEX((係数_バス貨物_ガソリン,係数_バス貨物_CNG,係数_バス貨物_軽油,係数_バス貨物_メタノール,係数_バス貨物_LPG),MATCH(AY665+1,【参考】排出係数!$AI$4:$AI$671,1)-1,5,BE665),2,FALSE),IF(OR(AW665=1,AW665=2),VLOOKUP(AU665,INDEX((係数_乗用_ガソリン,係数_乗用_CNG,係数_乗用_軽油,係数_乗用_メタノール,係数_乗用_LPG),1,1,BE665):INDEX((係数_乗用_ガソリン,係数_乗用_CNG,係数_乗用_軽油,係数_乗用_メタノール,係数_乗用_LPG),125,5,BE665),2,FALSE))))))</f>
        <v/>
      </c>
      <c r="BB665" s="468" t="str">
        <f>IF(T665="","",IF(OR(AU665="",AU665="-"),"－",IF(OR(AZ665=8,AZ665=9),"",IF(OR(AW665=3,AW665=4,AW665=5,AW665=6),VLOOKUP(AU665,INDEX((係数_バス貨物_ガソリン,係数_バス貨物_CNG,係数_バス貨物_軽油,係数_バス貨物_メタノール,係数_バス貨物_LPG),MATCH(AY665,【参考】排出係数!$AI$4:$AI$671,1),1,BE665):INDEX((係数_バス貨物_ガソリン,係数_バス貨物_CNG,係数_バス貨物_軽油,係数_バス貨物_メタノール,係数_バス貨物_LPG),MATCH(AY665+1,【参考】排出係数!$AI$4:$AI$671,1)-1,5,BE665),3,FALSE),IF(OR(AW665=1,AW665=2),VLOOKUP(AU665,INDEX((係数_乗用_ガソリン,係数_乗用_CNG,係数_乗用_軽油,係数_乗用_メタノール,係数_乗用_LPG),1,1,BE665):INDEX((係数_乗用_ガソリン,係数_乗用_CNG,係数_乗用_軽油,係数_乗用_メタノール,係数_乗用_LPG),125,5,BE665),3,FALSE))))))</f>
        <v/>
      </c>
      <c r="BC665" s="467" t="str">
        <f t="shared" si="374"/>
        <v/>
      </c>
      <c r="BD665" s="567" t="str">
        <f t="shared" si="375"/>
        <v/>
      </c>
      <c r="BE665" s="467" t="str">
        <f t="shared" si="376"/>
        <v/>
      </c>
      <c r="BF665" s="469" t="str">
        <f t="shared" ca="1" si="377"/>
        <v/>
      </c>
      <c r="BG665" s="469" t="str">
        <f t="shared" ca="1" si="378"/>
        <v/>
      </c>
      <c r="BH665" s="467" t="str">
        <f t="shared" si="379"/>
        <v/>
      </c>
      <c r="BI665" s="467" t="str">
        <f t="shared" ca="1" si="380"/>
        <v/>
      </c>
      <c r="BJ665" s="469" t="str">
        <f t="shared" si="381"/>
        <v/>
      </c>
      <c r="BK665" s="470" t="str">
        <f t="shared" si="365"/>
        <v/>
      </c>
      <c r="BL665" s="775" t="str">
        <f t="shared" si="382"/>
        <v/>
      </c>
      <c r="BM665" s="775" t="str">
        <f t="shared" si="383"/>
        <v/>
      </c>
    </row>
    <row r="666" spans="1:65">
      <c r="A666" s="473">
        <v>610</v>
      </c>
      <c r="B666" s="132"/>
      <c r="C666" s="332"/>
      <c r="D666" s="333"/>
      <c r="E666" s="333"/>
      <c r="F666" s="334"/>
      <c r="G666" s="337"/>
      <c r="H666" s="131"/>
      <c r="I666" s="337"/>
      <c r="J666" s="131"/>
      <c r="K666" s="458" t="str">
        <f t="shared" si="352"/>
        <v/>
      </c>
      <c r="L666" s="458">
        <f t="shared" si="353"/>
        <v>0</v>
      </c>
      <c r="M666" s="458">
        <f t="shared" si="354"/>
        <v>0</v>
      </c>
      <c r="N666" s="459" t="str">
        <f t="shared" si="283"/>
        <v/>
      </c>
      <c r="O666" s="459" t="str">
        <f t="shared" si="284"/>
        <v/>
      </c>
      <c r="P666" s="459" t="str">
        <f t="shared" si="285"/>
        <v/>
      </c>
      <c r="Q666" s="459" t="str">
        <f t="shared" si="286"/>
        <v/>
      </c>
      <c r="R666" s="459" t="str">
        <f t="shared" si="287"/>
        <v/>
      </c>
      <c r="S666" s="459" t="str">
        <f t="shared" si="288"/>
        <v/>
      </c>
      <c r="T666" s="566" t="str">
        <f t="shared" si="355"/>
        <v/>
      </c>
      <c r="U666" s="702"/>
      <c r="V666" s="132"/>
      <c r="W666" s="133"/>
      <c r="X666" s="134"/>
      <c r="Y666" s="135"/>
      <c r="Z666" s="137"/>
      <c r="AA666" s="136"/>
      <c r="AB666" s="566" t="str">
        <f t="shared" si="356"/>
        <v/>
      </c>
      <c r="AC666" s="568" t="str">
        <f t="shared" si="357"/>
        <v/>
      </c>
      <c r="AD666" s="137"/>
      <c r="AE666" s="137"/>
      <c r="AF666" s="138"/>
      <c r="AG666" s="138"/>
      <c r="AH666" s="592" t="str">
        <f t="shared" si="358"/>
        <v/>
      </c>
      <c r="AI666" s="592" t="str">
        <f t="shared" si="359"/>
        <v/>
      </c>
      <c r="AJ666" s="592" t="str">
        <f t="shared" si="360"/>
        <v/>
      </c>
      <c r="AK666" s="460" t="str">
        <f>IF(AU666="","",IF(OR(AZ666=8,AZ666=9),0,IF(OR(AW666=3,AW666=4,AW666=5,AW666=6),IF(LEFT(BF666,1)="1",INDEX(係数_NOX・PM低減,MATCH(AY666,【参考】排出係数!$AI$801:$AI$804,1),1),VLOOKUP(AU666,INDEX((係数_バス貨物_ガソリン,係数_バス貨物_CNG,係数_バス貨物_軽油,係数_バス貨物_メタノール,係数_バス貨物_LPG),MATCH(AY666,【参考】排出係数!$AI$4:$AI$671,1),1,BE666):INDEX((係数_バス貨物_ガソリン,係数_バス貨物_CNG,係数_バス貨物_軽油,係数_バス貨物_メタノール,係数_バス貨物_LPG),MATCH(AY666+1,【参考】排出係数!$AI$4:$AI$671,1)-1,5,BE666),4,FALSE)),IF(AND(BE666=3,LEFT(BF666,1)="1"),0.48,VLOOKUP(AU666,INDEX((係数_乗用_ガソリン,係数_乗用_CNG,係数_乗用_軽油,係数_乗用_メタノール,係数_乗用_LPG),1,1,BE666):INDEX((係数_乗用_ガソリン,係数_乗用_CNG,係数_乗用_軽油,係数_乗用_メタノール,係数_乗用_LPG),125,5,BE666),4,FALSE)))))</f>
        <v/>
      </c>
      <c r="AL666" s="461" t="str">
        <f t="shared" si="361"/>
        <v/>
      </c>
      <c r="AM666" s="460" t="str">
        <f>IF(AU666="","",IF(OR(AZ666=8,AZ666=9),0,IF(OR(AW666=3,AW666=4,AW666=5,AW666=6),IF(LEFT(BH666,1)="1",INDEX(係数_PM低減,MATCH(AY666,【参考】排出係数!$AI$801:$AI$804,1),MATCH(BI666,【参考】排出係数!$AL$798:$AO$798,1)),VLOOKUP(AU666,INDEX((係数_バス貨物_ガソリン,係数_バス貨物_CNG,係数_バス貨物_軽油,係数_バス貨物_メタノール,係数_バス貨物_LPG),MATCH(AY666,【参考】排出係数!$AI$4:$AI$671,1),1,BE666):INDEX((係数_バス貨物_ガソリン,係数_バス貨物_CNG,係数_バス貨物_軽油,係数_バス貨物_メタノール,係数_バス貨物_LPG),MATCH(AY666+1,【参考】排出係数!$AI$4:$AI$671,1)-1,5,BE666),5,FALSE)),IF(AND(BE666=3,LEFT(BF666,1)="1"),0.055,VLOOKUP(AU666,INDEX((係数_乗用_ガソリン,係数_乗用_CNG,係数_乗用_軽油,係数_乗用_メタノール,係数_乗用_LPG),1,1,BE666):INDEX((係数_乗用_ガソリン,係数_乗用_CNG,係数_乗用_軽油,係数_乗用_メタノール,係数_乗用_LPG),125,5,BE666),5,FALSE)))))</f>
        <v/>
      </c>
      <c r="AN666" s="461" t="str">
        <f t="shared" si="362"/>
        <v/>
      </c>
      <c r="AO666" s="462" t="str">
        <f t="shared" si="363"/>
        <v/>
      </c>
      <c r="AP666" s="463" t="str">
        <f t="shared" si="364"/>
        <v/>
      </c>
      <c r="AQ666" s="464"/>
      <c r="AR666" s="619"/>
      <c r="AS666" s="465" t="str">
        <f t="shared" si="366"/>
        <v/>
      </c>
      <c r="AT666" s="465" t="str">
        <f t="shared" si="367"/>
        <v/>
      </c>
      <c r="AU666" s="466" t="str">
        <f t="shared" si="368"/>
        <v/>
      </c>
      <c r="AV666" s="467" t="str">
        <f t="shared" si="369"/>
        <v/>
      </c>
      <c r="AW666" s="467" t="str">
        <f t="shared" si="370"/>
        <v/>
      </c>
      <c r="AX666" s="467" t="str">
        <f t="shared" si="371"/>
        <v/>
      </c>
      <c r="AY666" s="467" t="str">
        <f t="shared" si="372"/>
        <v/>
      </c>
      <c r="AZ666" s="467" t="str">
        <f t="shared" si="373"/>
        <v/>
      </c>
      <c r="BA666" s="468" t="str">
        <f>IF(AS666="","",IF(OR(AU666="",AU666="-"),"－",IF(OR(AZ666=8,AZ666=9),"",IF(OR(AW666=3,AW666=4,AW666=5,AW666=6),VLOOKUP(AU666,INDEX((係数_バス貨物_ガソリン,係数_バス貨物_CNG,係数_バス貨物_軽油,係数_バス貨物_メタノール,係数_バス貨物_LPG),MATCH(AY666,【参考】排出係数!$AI$4:$AI$671,1),1,BE666):INDEX((係数_バス貨物_ガソリン,係数_バス貨物_CNG,係数_バス貨物_軽油,係数_バス貨物_メタノール,係数_バス貨物_LPG),MATCH(AY666+1,【参考】排出係数!$AI$4:$AI$671,1)-1,5,BE666),2,FALSE),IF(OR(AW666=1,AW666=2),VLOOKUP(AU666,INDEX((係数_乗用_ガソリン,係数_乗用_CNG,係数_乗用_軽油,係数_乗用_メタノール,係数_乗用_LPG),1,1,BE666):INDEX((係数_乗用_ガソリン,係数_乗用_CNG,係数_乗用_軽油,係数_乗用_メタノール,係数_乗用_LPG),125,5,BE666),2,FALSE))))))</f>
        <v/>
      </c>
      <c r="BB666" s="468" t="str">
        <f>IF(T666="","",IF(OR(AU666="",AU666="-"),"－",IF(OR(AZ666=8,AZ666=9),"",IF(OR(AW666=3,AW666=4,AW666=5,AW666=6),VLOOKUP(AU666,INDEX((係数_バス貨物_ガソリン,係数_バス貨物_CNG,係数_バス貨物_軽油,係数_バス貨物_メタノール,係数_バス貨物_LPG),MATCH(AY666,【参考】排出係数!$AI$4:$AI$671,1),1,BE666):INDEX((係数_バス貨物_ガソリン,係数_バス貨物_CNG,係数_バス貨物_軽油,係数_バス貨物_メタノール,係数_バス貨物_LPG),MATCH(AY666+1,【参考】排出係数!$AI$4:$AI$671,1)-1,5,BE666),3,FALSE),IF(OR(AW666=1,AW666=2),VLOOKUP(AU666,INDEX((係数_乗用_ガソリン,係数_乗用_CNG,係数_乗用_軽油,係数_乗用_メタノール,係数_乗用_LPG),1,1,BE666):INDEX((係数_乗用_ガソリン,係数_乗用_CNG,係数_乗用_軽油,係数_乗用_メタノール,係数_乗用_LPG),125,5,BE666),3,FALSE))))))</f>
        <v/>
      </c>
      <c r="BC666" s="467" t="str">
        <f t="shared" si="374"/>
        <v/>
      </c>
      <c r="BD666" s="567" t="str">
        <f t="shared" si="375"/>
        <v/>
      </c>
      <c r="BE666" s="467" t="str">
        <f t="shared" si="376"/>
        <v/>
      </c>
      <c r="BF666" s="469" t="str">
        <f t="shared" ca="1" si="377"/>
        <v/>
      </c>
      <c r="BG666" s="469" t="str">
        <f t="shared" ca="1" si="378"/>
        <v/>
      </c>
      <c r="BH666" s="467" t="str">
        <f t="shared" si="379"/>
        <v/>
      </c>
      <c r="BI666" s="467" t="str">
        <f t="shared" ca="1" si="380"/>
        <v/>
      </c>
      <c r="BJ666" s="469" t="str">
        <f t="shared" si="381"/>
        <v/>
      </c>
      <c r="BK666" s="470" t="str">
        <f t="shared" si="365"/>
        <v/>
      </c>
      <c r="BL666" s="775" t="str">
        <f t="shared" si="382"/>
        <v/>
      </c>
      <c r="BM666" s="775" t="str">
        <f t="shared" si="383"/>
        <v/>
      </c>
    </row>
    <row r="667" spans="1:65">
      <c r="A667" s="473">
        <v>611</v>
      </c>
      <c r="B667" s="132"/>
      <c r="C667" s="332"/>
      <c r="D667" s="333"/>
      <c r="E667" s="333"/>
      <c r="F667" s="334"/>
      <c r="G667" s="337"/>
      <c r="H667" s="131"/>
      <c r="I667" s="337"/>
      <c r="J667" s="131"/>
      <c r="K667" s="458" t="str">
        <f t="shared" si="352"/>
        <v/>
      </c>
      <c r="L667" s="458">
        <f t="shared" si="353"/>
        <v>0</v>
      </c>
      <c r="M667" s="458">
        <f t="shared" si="354"/>
        <v>0</v>
      </c>
      <c r="N667" s="459" t="str">
        <f t="shared" si="283"/>
        <v/>
      </c>
      <c r="O667" s="459" t="str">
        <f t="shared" si="284"/>
        <v/>
      </c>
      <c r="P667" s="459" t="str">
        <f t="shared" si="285"/>
        <v/>
      </c>
      <c r="Q667" s="459" t="str">
        <f t="shared" si="286"/>
        <v/>
      </c>
      <c r="R667" s="459" t="str">
        <f t="shared" si="287"/>
        <v/>
      </c>
      <c r="S667" s="459" t="str">
        <f t="shared" si="288"/>
        <v/>
      </c>
      <c r="T667" s="566" t="str">
        <f t="shared" si="355"/>
        <v/>
      </c>
      <c r="U667" s="702"/>
      <c r="V667" s="132"/>
      <c r="W667" s="133"/>
      <c r="X667" s="134"/>
      <c r="Y667" s="135"/>
      <c r="Z667" s="137"/>
      <c r="AA667" s="136"/>
      <c r="AB667" s="566" t="str">
        <f t="shared" si="356"/>
        <v/>
      </c>
      <c r="AC667" s="568" t="str">
        <f t="shared" si="357"/>
        <v/>
      </c>
      <c r="AD667" s="137"/>
      <c r="AE667" s="137"/>
      <c r="AF667" s="138"/>
      <c r="AG667" s="138"/>
      <c r="AH667" s="592" t="str">
        <f t="shared" si="358"/>
        <v/>
      </c>
      <c r="AI667" s="592" t="str">
        <f t="shared" si="359"/>
        <v/>
      </c>
      <c r="AJ667" s="592" t="str">
        <f t="shared" si="360"/>
        <v/>
      </c>
      <c r="AK667" s="460" t="str">
        <f>IF(AU667="","",IF(OR(AZ667=8,AZ667=9),0,IF(OR(AW667=3,AW667=4,AW667=5,AW667=6),IF(LEFT(BF667,1)="1",INDEX(係数_NOX・PM低減,MATCH(AY667,【参考】排出係数!$AI$801:$AI$804,1),1),VLOOKUP(AU667,INDEX((係数_バス貨物_ガソリン,係数_バス貨物_CNG,係数_バス貨物_軽油,係数_バス貨物_メタノール,係数_バス貨物_LPG),MATCH(AY667,【参考】排出係数!$AI$4:$AI$671,1),1,BE667):INDEX((係数_バス貨物_ガソリン,係数_バス貨物_CNG,係数_バス貨物_軽油,係数_バス貨物_メタノール,係数_バス貨物_LPG),MATCH(AY667+1,【参考】排出係数!$AI$4:$AI$671,1)-1,5,BE667),4,FALSE)),IF(AND(BE667=3,LEFT(BF667,1)="1"),0.48,VLOOKUP(AU667,INDEX((係数_乗用_ガソリン,係数_乗用_CNG,係数_乗用_軽油,係数_乗用_メタノール,係数_乗用_LPG),1,1,BE667):INDEX((係数_乗用_ガソリン,係数_乗用_CNG,係数_乗用_軽油,係数_乗用_メタノール,係数_乗用_LPG),125,5,BE667),4,FALSE)))))</f>
        <v/>
      </c>
      <c r="AL667" s="461" t="str">
        <f t="shared" si="361"/>
        <v/>
      </c>
      <c r="AM667" s="460" t="str">
        <f>IF(AU667="","",IF(OR(AZ667=8,AZ667=9),0,IF(OR(AW667=3,AW667=4,AW667=5,AW667=6),IF(LEFT(BH667,1)="1",INDEX(係数_PM低減,MATCH(AY667,【参考】排出係数!$AI$801:$AI$804,1),MATCH(BI667,【参考】排出係数!$AL$798:$AO$798,1)),VLOOKUP(AU667,INDEX((係数_バス貨物_ガソリン,係数_バス貨物_CNG,係数_バス貨物_軽油,係数_バス貨物_メタノール,係数_バス貨物_LPG),MATCH(AY667,【参考】排出係数!$AI$4:$AI$671,1),1,BE667):INDEX((係数_バス貨物_ガソリン,係数_バス貨物_CNG,係数_バス貨物_軽油,係数_バス貨物_メタノール,係数_バス貨物_LPG),MATCH(AY667+1,【参考】排出係数!$AI$4:$AI$671,1)-1,5,BE667),5,FALSE)),IF(AND(BE667=3,LEFT(BF667,1)="1"),0.055,VLOOKUP(AU667,INDEX((係数_乗用_ガソリン,係数_乗用_CNG,係数_乗用_軽油,係数_乗用_メタノール,係数_乗用_LPG),1,1,BE667):INDEX((係数_乗用_ガソリン,係数_乗用_CNG,係数_乗用_軽油,係数_乗用_メタノール,係数_乗用_LPG),125,5,BE667),5,FALSE)))))</f>
        <v/>
      </c>
      <c r="AN667" s="461" t="str">
        <f t="shared" si="362"/>
        <v/>
      </c>
      <c r="AO667" s="462" t="str">
        <f t="shared" si="363"/>
        <v/>
      </c>
      <c r="AP667" s="463" t="str">
        <f t="shared" si="364"/>
        <v/>
      </c>
      <c r="AQ667" s="464"/>
      <c r="AR667" s="619"/>
      <c r="AS667" s="465" t="str">
        <f t="shared" si="366"/>
        <v/>
      </c>
      <c r="AT667" s="465" t="str">
        <f t="shared" si="367"/>
        <v/>
      </c>
      <c r="AU667" s="466" t="str">
        <f t="shared" si="368"/>
        <v/>
      </c>
      <c r="AV667" s="467" t="str">
        <f t="shared" si="369"/>
        <v/>
      </c>
      <c r="AW667" s="467" t="str">
        <f t="shared" si="370"/>
        <v/>
      </c>
      <c r="AX667" s="467" t="str">
        <f t="shared" si="371"/>
        <v/>
      </c>
      <c r="AY667" s="467" t="str">
        <f t="shared" si="372"/>
        <v/>
      </c>
      <c r="AZ667" s="467" t="str">
        <f t="shared" si="373"/>
        <v/>
      </c>
      <c r="BA667" s="468" t="str">
        <f>IF(AS667="","",IF(OR(AU667="",AU667="-"),"－",IF(OR(AZ667=8,AZ667=9),"",IF(OR(AW667=3,AW667=4,AW667=5,AW667=6),VLOOKUP(AU667,INDEX((係数_バス貨物_ガソリン,係数_バス貨物_CNG,係数_バス貨物_軽油,係数_バス貨物_メタノール,係数_バス貨物_LPG),MATCH(AY667,【参考】排出係数!$AI$4:$AI$671,1),1,BE667):INDEX((係数_バス貨物_ガソリン,係数_バス貨物_CNG,係数_バス貨物_軽油,係数_バス貨物_メタノール,係数_バス貨物_LPG),MATCH(AY667+1,【参考】排出係数!$AI$4:$AI$671,1)-1,5,BE667),2,FALSE),IF(OR(AW667=1,AW667=2),VLOOKUP(AU667,INDEX((係数_乗用_ガソリン,係数_乗用_CNG,係数_乗用_軽油,係数_乗用_メタノール,係数_乗用_LPG),1,1,BE667):INDEX((係数_乗用_ガソリン,係数_乗用_CNG,係数_乗用_軽油,係数_乗用_メタノール,係数_乗用_LPG),125,5,BE667),2,FALSE))))))</f>
        <v/>
      </c>
      <c r="BB667" s="468" t="str">
        <f>IF(T667="","",IF(OR(AU667="",AU667="-"),"－",IF(OR(AZ667=8,AZ667=9),"",IF(OR(AW667=3,AW667=4,AW667=5,AW667=6),VLOOKUP(AU667,INDEX((係数_バス貨物_ガソリン,係数_バス貨物_CNG,係数_バス貨物_軽油,係数_バス貨物_メタノール,係数_バス貨物_LPG),MATCH(AY667,【参考】排出係数!$AI$4:$AI$671,1),1,BE667):INDEX((係数_バス貨物_ガソリン,係数_バス貨物_CNG,係数_バス貨物_軽油,係数_バス貨物_メタノール,係数_バス貨物_LPG),MATCH(AY667+1,【参考】排出係数!$AI$4:$AI$671,1)-1,5,BE667),3,FALSE),IF(OR(AW667=1,AW667=2),VLOOKUP(AU667,INDEX((係数_乗用_ガソリン,係数_乗用_CNG,係数_乗用_軽油,係数_乗用_メタノール,係数_乗用_LPG),1,1,BE667):INDEX((係数_乗用_ガソリン,係数_乗用_CNG,係数_乗用_軽油,係数_乗用_メタノール,係数_乗用_LPG),125,5,BE667),3,FALSE))))))</f>
        <v/>
      </c>
      <c r="BC667" s="467" t="str">
        <f t="shared" si="374"/>
        <v/>
      </c>
      <c r="BD667" s="567" t="str">
        <f t="shared" si="375"/>
        <v/>
      </c>
      <c r="BE667" s="467" t="str">
        <f t="shared" si="376"/>
        <v/>
      </c>
      <c r="BF667" s="469" t="str">
        <f t="shared" ca="1" si="377"/>
        <v/>
      </c>
      <c r="BG667" s="469" t="str">
        <f t="shared" ca="1" si="378"/>
        <v/>
      </c>
      <c r="BH667" s="467" t="str">
        <f t="shared" si="379"/>
        <v/>
      </c>
      <c r="BI667" s="467" t="str">
        <f t="shared" ca="1" si="380"/>
        <v/>
      </c>
      <c r="BJ667" s="469" t="str">
        <f t="shared" si="381"/>
        <v/>
      </c>
      <c r="BK667" s="470" t="str">
        <f t="shared" si="365"/>
        <v/>
      </c>
      <c r="BL667" s="775" t="str">
        <f t="shared" si="382"/>
        <v/>
      </c>
      <c r="BM667" s="775" t="str">
        <f t="shared" si="383"/>
        <v/>
      </c>
    </row>
    <row r="668" spans="1:65">
      <c r="A668" s="473">
        <v>612</v>
      </c>
      <c r="B668" s="132"/>
      <c r="C668" s="332"/>
      <c r="D668" s="333"/>
      <c r="E668" s="333"/>
      <c r="F668" s="334"/>
      <c r="G668" s="337"/>
      <c r="H668" s="131"/>
      <c r="I668" s="337"/>
      <c r="J668" s="131"/>
      <c r="K668" s="458" t="str">
        <f t="shared" si="352"/>
        <v/>
      </c>
      <c r="L668" s="458">
        <f t="shared" si="353"/>
        <v>0</v>
      </c>
      <c r="M668" s="458">
        <f t="shared" si="354"/>
        <v>0</v>
      </c>
      <c r="N668" s="459" t="str">
        <f t="shared" si="283"/>
        <v/>
      </c>
      <c r="O668" s="459" t="str">
        <f t="shared" si="284"/>
        <v/>
      </c>
      <c r="P668" s="459" t="str">
        <f t="shared" si="285"/>
        <v/>
      </c>
      <c r="Q668" s="459" t="str">
        <f t="shared" si="286"/>
        <v/>
      </c>
      <c r="R668" s="459" t="str">
        <f t="shared" si="287"/>
        <v/>
      </c>
      <c r="S668" s="459" t="str">
        <f t="shared" si="288"/>
        <v/>
      </c>
      <c r="T668" s="566" t="str">
        <f t="shared" si="355"/>
        <v/>
      </c>
      <c r="U668" s="702"/>
      <c r="V668" s="132"/>
      <c r="W668" s="133"/>
      <c r="X668" s="134"/>
      <c r="Y668" s="135"/>
      <c r="Z668" s="137"/>
      <c r="AA668" s="136"/>
      <c r="AB668" s="566" t="str">
        <f t="shared" si="356"/>
        <v/>
      </c>
      <c r="AC668" s="568" t="str">
        <f t="shared" si="357"/>
        <v/>
      </c>
      <c r="AD668" s="137"/>
      <c r="AE668" s="137"/>
      <c r="AF668" s="138"/>
      <c r="AG668" s="138"/>
      <c r="AH668" s="592" t="str">
        <f t="shared" si="358"/>
        <v/>
      </c>
      <c r="AI668" s="592" t="str">
        <f t="shared" si="359"/>
        <v/>
      </c>
      <c r="AJ668" s="592" t="str">
        <f t="shared" si="360"/>
        <v/>
      </c>
      <c r="AK668" s="460" t="str">
        <f>IF(AU668="","",IF(OR(AZ668=8,AZ668=9),0,IF(OR(AW668=3,AW668=4,AW668=5,AW668=6),IF(LEFT(BF668,1)="1",INDEX(係数_NOX・PM低減,MATCH(AY668,【参考】排出係数!$AI$801:$AI$804,1),1),VLOOKUP(AU668,INDEX((係数_バス貨物_ガソリン,係数_バス貨物_CNG,係数_バス貨物_軽油,係数_バス貨物_メタノール,係数_バス貨物_LPG),MATCH(AY668,【参考】排出係数!$AI$4:$AI$671,1),1,BE668):INDEX((係数_バス貨物_ガソリン,係数_バス貨物_CNG,係数_バス貨物_軽油,係数_バス貨物_メタノール,係数_バス貨物_LPG),MATCH(AY668+1,【参考】排出係数!$AI$4:$AI$671,1)-1,5,BE668),4,FALSE)),IF(AND(BE668=3,LEFT(BF668,1)="1"),0.48,VLOOKUP(AU668,INDEX((係数_乗用_ガソリン,係数_乗用_CNG,係数_乗用_軽油,係数_乗用_メタノール,係数_乗用_LPG),1,1,BE668):INDEX((係数_乗用_ガソリン,係数_乗用_CNG,係数_乗用_軽油,係数_乗用_メタノール,係数_乗用_LPG),125,5,BE668),4,FALSE)))))</f>
        <v/>
      </c>
      <c r="AL668" s="461" t="str">
        <f t="shared" si="361"/>
        <v/>
      </c>
      <c r="AM668" s="460" t="str">
        <f>IF(AU668="","",IF(OR(AZ668=8,AZ668=9),0,IF(OR(AW668=3,AW668=4,AW668=5,AW668=6),IF(LEFT(BH668,1)="1",INDEX(係数_PM低減,MATCH(AY668,【参考】排出係数!$AI$801:$AI$804,1),MATCH(BI668,【参考】排出係数!$AL$798:$AO$798,1)),VLOOKUP(AU668,INDEX((係数_バス貨物_ガソリン,係数_バス貨物_CNG,係数_バス貨物_軽油,係数_バス貨物_メタノール,係数_バス貨物_LPG),MATCH(AY668,【参考】排出係数!$AI$4:$AI$671,1),1,BE668):INDEX((係数_バス貨物_ガソリン,係数_バス貨物_CNG,係数_バス貨物_軽油,係数_バス貨物_メタノール,係数_バス貨物_LPG),MATCH(AY668+1,【参考】排出係数!$AI$4:$AI$671,1)-1,5,BE668),5,FALSE)),IF(AND(BE668=3,LEFT(BF668,1)="1"),0.055,VLOOKUP(AU668,INDEX((係数_乗用_ガソリン,係数_乗用_CNG,係数_乗用_軽油,係数_乗用_メタノール,係数_乗用_LPG),1,1,BE668):INDEX((係数_乗用_ガソリン,係数_乗用_CNG,係数_乗用_軽油,係数_乗用_メタノール,係数_乗用_LPG),125,5,BE668),5,FALSE)))))</f>
        <v/>
      </c>
      <c r="AN668" s="461" t="str">
        <f t="shared" si="362"/>
        <v/>
      </c>
      <c r="AO668" s="462" t="str">
        <f t="shared" si="363"/>
        <v/>
      </c>
      <c r="AP668" s="463" t="str">
        <f t="shared" si="364"/>
        <v/>
      </c>
      <c r="AQ668" s="464"/>
      <c r="AR668" s="619"/>
      <c r="AS668" s="465" t="str">
        <f t="shared" si="366"/>
        <v/>
      </c>
      <c r="AT668" s="465" t="str">
        <f t="shared" si="367"/>
        <v/>
      </c>
      <c r="AU668" s="466" t="str">
        <f t="shared" si="368"/>
        <v/>
      </c>
      <c r="AV668" s="467" t="str">
        <f t="shared" si="369"/>
        <v/>
      </c>
      <c r="AW668" s="467" t="str">
        <f t="shared" si="370"/>
        <v/>
      </c>
      <c r="AX668" s="467" t="str">
        <f t="shared" si="371"/>
        <v/>
      </c>
      <c r="AY668" s="467" t="str">
        <f t="shared" si="372"/>
        <v/>
      </c>
      <c r="AZ668" s="467" t="str">
        <f t="shared" si="373"/>
        <v/>
      </c>
      <c r="BA668" s="468" t="str">
        <f>IF(AS668="","",IF(OR(AU668="",AU668="-"),"－",IF(OR(AZ668=8,AZ668=9),"",IF(OR(AW668=3,AW668=4,AW668=5,AW668=6),VLOOKUP(AU668,INDEX((係数_バス貨物_ガソリン,係数_バス貨物_CNG,係数_バス貨物_軽油,係数_バス貨物_メタノール,係数_バス貨物_LPG),MATCH(AY668,【参考】排出係数!$AI$4:$AI$671,1),1,BE668):INDEX((係数_バス貨物_ガソリン,係数_バス貨物_CNG,係数_バス貨物_軽油,係数_バス貨物_メタノール,係数_バス貨物_LPG),MATCH(AY668+1,【参考】排出係数!$AI$4:$AI$671,1)-1,5,BE668),2,FALSE),IF(OR(AW668=1,AW668=2),VLOOKUP(AU668,INDEX((係数_乗用_ガソリン,係数_乗用_CNG,係数_乗用_軽油,係数_乗用_メタノール,係数_乗用_LPG),1,1,BE668):INDEX((係数_乗用_ガソリン,係数_乗用_CNG,係数_乗用_軽油,係数_乗用_メタノール,係数_乗用_LPG),125,5,BE668),2,FALSE))))))</f>
        <v/>
      </c>
      <c r="BB668" s="468" t="str">
        <f>IF(T668="","",IF(OR(AU668="",AU668="-"),"－",IF(OR(AZ668=8,AZ668=9),"",IF(OR(AW668=3,AW668=4,AW668=5,AW668=6),VLOOKUP(AU668,INDEX((係数_バス貨物_ガソリン,係数_バス貨物_CNG,係数_バス貨物_軽油,係数_バス貨物_メタノール,係数_バス貨物_LPG),MATCH(AY668,【参考】排出係数!$AI$4:$AI$671,1),1,BE668):INDEX((係数_バス貨物_ガソリン,係数_バス貨物_CNG,係数_バス貨物_軽油,係数_バス貨物_メタノール,係数_バス貨物_LPG),MATCH(AY668+1,【参考】排出係数!$AI$4:$AI$671,1)-1,5,BE668),3,FALSE),IF(OR(AW668=1,AW668=2),VLOOKUP(AU668,INDEX((係数_乗用_ガソリン,係数_乗用_CNG,係数_乗用_軽油,係数_乗用_メタノール,係数_乗用_LPG),1,1,BE668):INDEX((係数_乗用_ガソリン,係数_乗用_CNG,係数_乗用_軽油,係数_乗用_メタノール,係数_乗用_LPG),125,5,BE668),3,FALSE))))))</f>
        <v/>
      </c>
      <c r="BC668" s="467" t="str">
        <f t="shared" si="374"/>
        <v/>
      </c>
      <c r="BD668" s="567" t="str">
        <f t="shared" si="375"/>
        <v/>
      </c>
      <c r="BE668" s="467" t="str">
        <f t="shared" si="376"/>
        <v/>
      </c>
      <c r="BF668" s="469" t="str">
        <f t="shared" ca="1" si="377"/>
        <v/>
      </c>
      <c r="BG668" s="469" t="str">
        <f t="shared" ca="1" si="378"/>
        <v/>
      </c>
      <c r="BH668" s="467" t="str">
        <f t="shared" si="379"/>
        <v/>
      </c>
      <c r="BI668" s="467" t="str">
        <f t="shared" ca="1" si="380"/>
        <v/>
      </c>
      <c r="BJ668" s="469" t="str">
        <f t="shared" si="381"/>
        <v/>
      </c>
      <c r="BK668" s="470" t="str">
        <f t="shared" si="365"/>
        <v/>
      </c>
      <c r="BL668" s="775" t="str">
        <f t="shared" si="382"/>
        <v/>
      </c>
      <c r="BM668" s="775" t="str">
        <f t="shared" si="383"/>
        <v/>
      </c>
    </row>
    <row r="669" spans="1:65">
      <c r="A669" s="473">
        <v>613</v>
      </c>
      <c r="B669" s="132"/>
      <c r="C669" s="332"/>
      <c r="D669" s="333"/>
      <c r="E669" s="333"/>
      <c r="F669" s="334"/>
      <c r="G669" s="337"/>
      <c r="H669" s="131"/>
      <c r="I669" s="337"/>
      <c r="J669" s="131"/>
      <c r="K669" s="458" t="str">
        <f t="shared" si="352"/>
        <v/>
      </c>
      <c r="L669" s="458">
        <f t="shared" si="353"/>
        <v>0</v>
      </c>
      <c r="M669" s="458">
        <f t="shared" si="354"/>
        <v>0</v>
      </c>
      <c r="N669" s="459" t="str">
        <f t="shared" si="283"/>
        <v/>
      </c>
      <c r="O669" s="459" t="str">
        <f t="shared" si="284"/>
        <v/>
      </c>
      <c r="P669" s="459" t="str">
        <f t="shared" si="285"/>
        <v/>
      </c>
      <c r="Q669" s="459" t="str">
        <f t="shared" si="286"/>
        <v/>
      </c>
      <c r="R669" s="459" t="str">
        <f t="shared" si="287"/>
        <v/>
      </c>
      <c r="S669" s="459" t="str">
        <f t="shared" si="288"/>
        <v/>
      </c>
      <c r="T669" s="566" t="str">
        <f t="shared" si="355"/>
        <v/>
      </c>
      <c r="U669" s="702"/>
      <c r="V669" s="132"/>
      <c r="W669" s="133"/>
      <c r="X669" s="134"/>
      <c r="Y669" s="135"/>
      <c r="Z669" s="137"/>
      <c r="AA669" s="136"/>
      <c r="AB669" s="566" t="str">
        <f t="shared" si="356"/>
        <v/>
      </c>
      <c r="AC669" s="568" t="str">
        <f t="shared" si="357"/>
        <v/>
      </c>
      <c r="AD669" s="137"/>
      <c r="AE669" s="137"/>
      <c r="AF669" s="138"/>
      <c r="AG669" s="138"/>
      <c r="AH669" s="592" t="str">
        <f t="shared" si="358"/>
        <v/>
      </c>
      <c r="AI669" s="592" t="str">
        <f t="shared" si="359"/>
        <v/>
      </c>
      <c r="AJ669" s="592" t="str">
        <f t="shared" si="360"/>
        <v/>
      </c>
      <c r="AK669" s="460" t="str">
        <f>IF(AU669="","",IF(OR(AZ669=8,AZ669=9),0,IF(OR(AW669=3,AW669=4,AW669=5,AW669=6),IF(LEFT(BF669,1)="1",INDEX(係数_NOX・PM低減,MATCH(AY669,【参考】排出係数!$AI$801:$AI$804,1),1),VLOOKUP(AU669,INDEX((係数_バス貨物_ガソリン,係数_バス貨物_CNG,係数_バス貨物_軽油,係数_バス貨物_メタノール,係数_バス貨物_LPG),MATCH(AY669,【参考】排出係数!$AI$4:$AI$671,1),1,BE669):INDEX((係数_バス貨物_ガソリン,係数_バス貨物_CNG,係数_バス貨物_軽油,係数_バス貨物_メタノール,係数_バス貨物_LPG),MATCH(AY669+1,【参考】排出係数!$AI$4:$AI$671,1)-1,5,BE669),4,FALSE)),IF(AND(BE669=3,LEFT(BF669,1)="1"),0.48,VLOOKUP(AU669,INDEX((係数_乗用_ガソリン,係数_乗用_CNG,係数_乗用_軽油,係数_乗用_メタノール,係数_乗用_LPG),1,1,BE669):INDEX((係数_乗用_ガソリン,係数_乗用_CNG,係数_乗用_軽油,係数_乗用_メタノール,係数_乗用_LPG),125,5,BE669),4,FALSE)))))</f>
        <v/>
      </c>
      <c r="AL669" s="461" t="str">
        <f t="shared" si="361"/>
        <v/>
      </c>
      <c r="AM669" s="460" t="str">
        <f>IF(AU669="","",IF(OR(AZ669=8,AZ669=9),0,IF(OR(AW669=3,AW669=4,AW669=5,AW669=6),IF(LEFT(BH669,1)="1",INDEX(係数_PM低減,MATCH(AY669,【参考】排出係数!$AI$801:$AI$804,1),MATCH(BI669,【参考】排出係数!$AL$798:$AO$798,1)),VLOOKUP(AU669,INDEX((係数_バス貨物_ガソリン,係数_バス貨物_CNG,係数_バス貨物_軽油,係数_バス貨物_メタノール,係数_バス貨物_LPG),MATCH(AY669,【参考】排出係数!$AI$4:$AI$671,1),1,BE669):INDEX((係数_バス貨物_ガソリン,係数_バス貨物_CNG,係数_バス貨物_軽油,係数_バス貨物_メタノール,係数_バス貨物_LPG),MATCH(AY669+1,【参考】排出係数!$AI$4:$AI$671,1)-1,5,BE669),5,FALSE)),IF(AND(BE669=3,LEFT(BF669,1)="1"),0.055,VLOOKUP(AU669,INDEX((係数_乗用_ガソリン,係数_乗用_CNG,係数_乗用_軽油,係数_乗用_メタノール,係数_乗用_LPG),1,1,BE669):INDEX((係数_乗用_ガソリン,係数_乗用_CNG,係数_乗用_軽油,係数_乗用_メタノール,係数_乗用_LPG),125,5,BE669),5,FALSE)))))</f>
        <v/>
      </c>
      <c r="AN669" s="461" t="str">
        <f t="shared" si="362"/>
        <v/>
      </c>
      <c r="AO669" s="462" t="str">
        <f t="shared" si="363"/>
        <v/>
      </c>
      <c r="AP669" s="463" t="str">
        <f t="shared" si="364"/>
        <v/>
      </c>
      <c r="AQ669" s="464"/>
      <c r="AR669" s="619"/>
      <c r="AS669" s="465" t="str">
        <f t="shared" si="366"/>
        <v/>
      </c>
      <c r="AT669" s="465" t="str">
        <f t="shared" si="367"/>
        <v/>
      </c>
      <c r="AU669" s="466" t="str">
        <f t="shared" si="368"/>
        <v/>
      </c>
      <c r="AV669" s="467" t="str">
        <f t="shared" si="369"/>
        <v/>
      </c>
      <c r="AW669" s="467" t="str">
        <f t="shared" si="370"/>
        <v/>
      </c>
      <c r="AX669" s="467" t="str">
        <f t="shared" si="371"/>
        <v/>
      </c>
      <c r="AY669" s="467" t="str">
        <f t="shared" si="372"/>
        <v/>
      </c>
      <c r="AZ669" s="467" t="str">
        <f t="shared" si="373"/>
        <v/>
      </c>
      <c r="BA669" s="468" t="str">
        <f>IF(AS669="","",IF(OR(AU669="",AU669="-"),"－",IF(OR(AZ669=8,AZ669=9),"",IF(OR(AW669=3,AW669=4,AW669=5,AW669=6),VLOOKUP(AU669,INDEX((係数_バス貨物_ガソリン,係数_バス貨物_CNG,係数_バス貨物_軽油,係数_バス貨物_メタノール,係数_バス貨物_LPG),MATCH(AY669,【参考】排出係数!$AI$4:$AI$671,1),1,BE669):INDEX((係数_バス貨物_ガソリン,係数_バス貨物_CNG,係数_バス貨物_軽油,係数_バス貨物_メタノール,係数_バス貨物_LPG),MATCH(AY669+1,【参考】排出係数!$AI$4:$AI$671,1)-1,5,BE669),2,FALSE),IF(OR(AW669=1,AW669=2),VLOOKUP(AU669,INDEX((係数_乗用_ガソリン,係数_乗用_CNG,係数_乗用_軽油,係数_乗用_メタノール,係数_乗用_LPG),1,1,BE669):INDEX((係数_乗用_ガソリン,係数_乗用_CNG,係数_乗用_軽油,係数_乗用_メタノール,係数_乗用_LPG),125,5,BE669),2,FALSE))))))</f>
        <v/>
      </c>
      <c r="BB669" s="468" t="str">
        <f>IF(T669="","",IF(OR(AU669="",AU669="-"),"－",IF(OR(AZ669=8,AZ669=9),"",IF(OR(AW669=3,AW669=4,AW669=5,AW669=6),VLOOKUP(AU669,INDEX((係数_バス貨物_ガソリン,係数_バス貨物_CNG,係数_バス貨物_軽油,係数_バス貨物_メタノール,係数_バス貨物_LPG),MATCH(AY669,【参考】排出係数!$AI$4:$AI$671,1),1,BE669):INDEX((係数_バス貨物_ガソリン,係数_バス貨物_CNG,係数_バス貨物_軽油,係数_バス貨物_メタノール,係数_バス貨物_LPG),MATCH(AY669+1,【参考】排出係数!$AI$4:$AI$671,1)-1,5,BE669),3,FALSE),IF(OR(AW669=1,AW669=2),VLOOKUP(AU669,INDEX((係数_乗用_ガソリン,係数_乗用_CNG,係数_乗用_軽油,係数_乗用_メタノール,係数_乗用_LPG),1,1,BE669):INDEX((係数_乗用_ガソリン,係数_乗用_CNG,係数_乗用_軽油,係数_乗用_メタノール,係数_乗用_LPG),125,5,BE669),3,FALSE))))))</f>
        <v/>
      </c>
      <c r="BC669" s="467" t="str">
        <f t="shared" si="374"/>
        <v/>
      </c>
      <c r="BD669" s="567" t="str">
        <f t="shared" si="375"/>
        <v/>
      </c>
      <c r="BE669" s="467" t="str">
        <f t="shared" si="376"/>
        <v/>
      </c>
      <c r="BF669" s="469" t="str">
        <f t="shared" ca="1" si="377"/>
        <v/>
      </c>
      <c r="BG669" s="469" t="str">
        <f t="shared" ca="1" si="378"/>
        <v/>
      </c>
      <c r="BH669" s="467" t="str">
        <f t="shared" si="379"/>
        <v/>
      </c>
      <c r="BI669" s="467" t="str">
        <f t="shared" ca="1" si="380"/>
        <v/>
      </c>
      <c r="BJ669" s="469" t="str">
        <f t="shared" si="381"/>
        <v/>
      </c>
      <c r="BK669" s="470" t="str">
        <f t="shared" si="365"/>
        <v/>
      </c>
      <c r="BL669" s="775" t="str">
        <f t="shared" si="382"/>
        <v/>
      </c>
      <c r="BM669" s="775" t="str">
        <f t="shared" si="383"/>
        <v/>
      </c>
    </row>
    <row r="670" spans="1:65">
      <c r="A670" s="473">
        <v>614</v>
      </c>
      <c r="B670" s="132"/>
      <c r="C670" s="332"/>
      <c r="D670" s="333"/>
      <c r="E670" s="333"/>
      <c r="F670" s="334"/>
      <c r="G670" s="337"/>
      <c r="H670" s="131"/>
      <c r="I670" s="337"/>
      <c r="J670" s="131"/>
      <c r="K670" s="458" t="str">
        <f t="shared" si="352"/>
        <v/>
      </c>
      <c r="L670" s="458">
        <f t="shared" si="353"/>
        <v>0</v>
      </c>
      <c r="M670" s="458">
        <f t="shared" si="354"/>
        <v>0</v>
      </c>
      <c r="N670" s="459" t="str">
        <f t="shared" si="283"/>
        <v/>
      </c>
      <c r="O670" s="459" t="str">
        <f t="shared" si="284"/>
        <v/>
      </c>
      <c r="P670" s="459" t="str">
        <f t="shared" si="285"/>
        <v/>
      </c>
      <c r="Q670" s="459" t="str">
        <f t="shared" si="286"/>
        <v/>
      </c>
      <c r="R670" s="459" t="str">
        <f t="shared" si="287"/>
        <v/>
      </c>
      <c r="S670" s="459" t="str">
        <f t="shared" si="288"/>
        <v/>
      </c>
      <c r="T670" s="566" t="str">
        <f t="shared" si="355"/>
        <v/>
      </c>
      <c r="U670" s="702"/>
      <c r="V670" s="132"/>
      <c r="W670" s="133"/>
      <c r="X670" s="134"/>
      <c r="Y670" s="135"/>
      <c r="Z670" s="137"/>
      <c r="AA670" s="136"/>
      <c r="AB670" s="566" t="str">
        <f t="shared" si="356"/>
        <v/>
      </c>
      <c r="AC670" s="568" t="str">
        <f t="shared" si="357"/>
        <v/>
      </c>
      <c r="AD670" s="137"/>
      <c r="AE670" s="137"/>
      <c r="AF670" s="138"/>
      <c r="AG670" s="138"/>
      <c r="AH670" s="592" t="str">
        <f t="shared" si="358"/>
        <v/>
      </c>
      <c r="AI670" s="592" t="str">
        <f t="shared" si="359"/>
        <v/>
      </c>
      <c r="AJ670" s="592" t="str">
        <f t="shared" si="360"/>
        <v/>
      </c>
      <c r="AK670" s="460" t="str">
        <f>IF(AU670="","",IF(OR(AZ670=8,AZ670=9),0,IF(OR(AW670=3,AW670=4,AW670=5,AW670=6),IF(LEFT(BF670,1)="1",INDEX(係数_NOX・PM低減,MATCH(AY670,【参考】排出係数!$AI$801:$AI$804,1),1),VLOOKUP(AU670,INDEX((係数_バス貨物_ガソリン,係数_バス貨物_CNG,係数_バス貨物_軽油,係数_バス貨物_メタノール,係数_バス貨物_LPG),MATCH(AY670,【参考】排出係数!$AI$4:$AI$671,1),1,BE670):INDEX((係数_バス貨物_ガソリン,係数_バス貨物_CNG,係数_バス貨物_軽油,係数_バス貨物_メタノール,係数_バス貨物_LPG),MATCH(AY670+1,【参考】排出係数!$AI$4:$AI$671,1)-1,5,BE670),4,FALSE)),IF(AND(BE670=3,LEFT(BF670,1)="1"),0.48,VLOOKUP(AU670,INDEX((係数_乗用_ガソリン,係数_乗用_CNG,係数_乗用_軽油,係数_乗用_メタノール,係数_乗用_LPG),1,1,BE670):INDEX((係数_乗用_ガソリン,係数_乗用_CNG,係数_乗用_軽油,係数_乗用_メタノール,係数_乗用_LPG),125,5,BE670),4,FALSE)))))</f>
        <v/>
      </c>
      <c r="AL670" s="461" t="str">
        <f t="shared" si="361"/>
        <v/>
      </c>
      <c r="AM670" s="460" t="str">
        <f>IF(AU670="","",IF(OR(AZ670=8,AZ670=9),0,IF(OR(AW670=3,AW670=4,AW670=5,AW670=6),IF(LEFT(BH670,1)="1",INDEX(係数_PM低減,MATCH(AY670,【参考】排出係数!$AI$801:$AI$804,1),MATCH(BI670,【参考】排出係数!$AL$798:$AO$798,1)),VLOOKUP(AU670,INDEX((係数_バス貨物_ガソリン,係数_バス貨物_CNG,係数_バス貨物_軽油,係数_バス貨物_メタノール,係数_バス貨物_LPG),MATCH(AY670,【参考】排出係数!$AI$4:$AI$671,1),1,BE670):INDEX((係数_バス貨物_ガソリン,係数_バス貨物_CNG,係数_バス貨物_軽油,係数_バス貨物_メタノール,係数_バス貨物_LPG),MATCH(AY670+1,【参考】排出係数!$AI$4:$AI$671,1)-1,5,BE670),5,FALSE)),IF(AND(BE670=3,LEFT(BF670,1)="1"),0.055,VLOOKUP(AU670,INDEX((係数_乗用_ガソリン,係数_乗用_CNG,係数_乗用_軽油,係数_乗用_メタノール,係数_乗用_LPG),1,1,BE670):INDEX((係数_乗用_ガソリン,係数_乗用_CNG,係数_乗用_軽油,係数_乗用_メタノール,係数_乗用_LPG),125,5,BE670),5,FALSE)))))</f>
        <v/>
      </c>
      <c r="AN670" s="461" t="str">
        <f t="shared" si="362"/>
        <v/>
      </c>
      <c r="AO670" s="462" t="str">
        <f t="shared" si="363"/>
        <v/>
      </c>
      <c r="AP670" s="463" t="str">
        <f t="shared" si="364"/>
        <v/>
      </c>
      <c r="AQ670" s="464"/>
      <c r="AR670" s="619"/>
      <c r="AS670" s="465" t="str">
        <f t="shared" si="366"/>
        <v/>
      </c>
      <c r="AT670" s="465" t="str">
        <f t="shared" si="367"/>
        <v/>
      </c>
      <c r="AU670" s="466" t="str">
        <f t="shared" si="368"/>
        <v/>
      </c>
      <c r="AV670" s="467" t="str">
        <f t="shared" si="369"/>
        <v/>
      </c>
      <c r="AW670" s="467" t="str">
        <f t="shared" si="370"/>
        <v/>
      </c>
      <c r="AX670" s="467" t="str">
        <f t="shared" si="371"/>
        <v/>
      </c>
      <c r="AY670" s="467" t="str">
        <f t="shared" si="372"/>
        <v/>
      </c>
      <c r="AZ670" s="467" t="str">
        <f t="shared" si="373"/>
        <v/>
      </c>
      <c r="BA670" s="468" t="str">
        <f>IF(AS670="","",IF(OR(AU670="",AU670="-"),"－",IF(OR(AZ670=8,AZ670=9),"",IF(OR(AW670=3,AW670=4,AW670=5,AW670=6),VLOOKUP(AU670,INDEX((係数_バス貨物_ガソリン,係数_バス貨物_CNG,係数_バス貨物_軽油,係数_バス貨物_メタノール,係数_バス貨物_LPG),MATCH(AY670,【参考】排出係数!$AI$4:$AI$671,1),1,BE670):INDEX((係数_バス貨物_ガソリン,係数_バス貨物_CNG,係数_バス貨物_軽油,係数_バス貨物_メタノール,係数_バス貨物_LPG),MATCH(AY670+1,【参考】排出係数!$AI$4:$AI$671,1)-1,5,BE670),2,FALSE),IF(OR(AW670=1,AW670=2),VLOOKUP(AU670,INDEX((係数_乗用_ガソリン,係数_乗用_CNG,係数_乗用_軽油,係数_乗用_メタノール,係数_乗用_LPG),1,1,BE670):INDEX((係数_乗用_ガソリン,係数_乗用_CNG,係数_乗用_軽油,係数_乗用_メタノール,係数_乗用_LPG),125,5,BE670),2,FALSE))))))</f>
        <v/>
      </c>
      <c r="BB670" s="468" t="str">
        <f>IF(T670="","",IF(OR(AU670="",AU670="-"),"－",IF(OR(AZ670=8,AZ670=9),"",IF(OR(AW670=3,AW670=4,AW670=5,AW670=6),VLOOKUP(AU670,INDEX((係数_バス貨物_ガソリン,係数_バス貨物_CNG,係数_バス貨物_軽油,係数_バス貨物_メタノール,係数_バス貨物_LPG),MATCH(AY670,【参考】排出係数!$AI$4:$AI$671,1),1,BE670):INDEX((係数_バス貨物_ガソリン,係数_バス貨物_CNG,係数_バス貨物_軽油,係数_バス貨物_メタノール,係数_バス貨物_LPG),MATCH(AY670+1,【参考】排出係数!$AI$4:$AI$671,1)-1,5,BE670),3,FALSE),IF(OR(AW670=1,AW670=2),VLOOKUP(AU670,INDEX((係数_乗用_ガソリン,係数_乗用_CNG,係数_乗用_軽油,係数_乗用_メタノール,係数_乗用_LPG),1,1,BE670):INDEX((係数_乗用_ガソリン,係数_乗用_CNG,係数_乗用_軽油,係数_乗用_メタノール,係数_乗用_LPG),125,5,BE670),3,FALSE))))))</f>
        <v/>
      </c>
      <c r="BC670" s="467" t="str">
        <f t="shared" si="374"/>
        <v/>
      </c>
      <c r="BD670" s="567" t="str">
        <f t="shared" si="375"/>
        <v/>
      </c>
      <c r="BE670" s="467" t="str">
        <f t="shared" si="376"/>
        <v/>
      </c>
      <c r="BF670" s="469" t="str">
        <f t="shared" ca="1" si="377"/>
        <v/>
      </c>
      <c r="BG670" s="469" t="str">
        <f t="shared" ca="1" si="378"/>
        <v/>
      </c>
      <c r="BH670" s="467" t="str">
        <f t="shared" si="379"/>
        <v/>
      </c>
      <c r="BI670" s="467" t="str">
        <f t="shared" ca="1" si="380"/>
        <v/>
      </c>
      <c r="BJ670" s="469" t="str">
        <f t="shared" si="381"/>
        <v/>
      </c>
      <c r="BK670" s="470" t="str">
        <f t="shared" si="365"/>
        <v/>
      </c>
      <c r="BL670" s="775" t="str">
        <f t="shared" si="382"/>
        <v/>
      </c>
      <c r="BM670" s="775" t="str">
        <f t="shared" si="383"/>
        <v/>
      </c>
    </row>
    <row r="671" spans="1:65">
      <c r="A671" s="473">
        <v>615</v>
      </c>
      <c r="B671" s="132"/>
      <c r="C671" s="332"/>
      <c r="D671" s="333"/>
      <c r="E671" s="333"/>
      <c r="F671" s="334"/>
      <c r="G671" s="337"/>
      <c r="H671" s="131"/>
      <c r="I671" s="337"/>
      <c r="J671" s="131"/>
      <c r="K671" s="458" t="str">
        <f t="shared" si="352"/>
        <v/>
      </c>
      <c r="L671" s="458">
        <f t="shared" si="353"/>
        <v>0</v>
      </c>
      <c r="M671" s="458">
        <f t="shared" si="354"/>
        <v>0</v>
      </c>
      <c r="N671" s="459" t="str">
        <f t="shared" si="283"/>
        <v/>
      </c>
      <c r="O671" s="459" t="str">
        <f t="shared" si="284"/>
        <v/>
      </c>
      <c r="P671" s="459" t="str">
        <f t="shared" si="285"/>
        <v/>
      </c>
      <c r="Q671" s="459" t="str">
        <f t="shared" si="286"/>
        <v/>
      </c>
      <c r="R671" s="459" t="str">
        <f t="shared" si="287"/>
        <v/>
      </c>
      <c r="S671" s="459" t="str">
        <f t="shared" si="288"/>
        <v/>
      </c>
      <c r="T671" s="566" t="str">
        <f t="shared" si="355"/>
        <v/>
      </c>
      <c r="U671" s="702"/>
      <c r="V671" s="132"/>
      <c r="W671" s="133"/>
      <c r="X671" s="134"/>
      <c r="Y671" s="135"/>
      <c r="Z671" s="137"/>
      <c r="AA671" s="136"/>
      <c r="AB671" s="566" t="str">
        <f t="shared" si="356"/>
        <v/>
      </c>
      <c r="AC671" s="568" t="str">
        <f t="shared" si="357"/>
        <v/>
      </c>
      <c r="AD671" s="137"/>
      <c r="AE671" s="137"/>
      <c r="AF671" s="138"/>
      <c r="AG671" s="138"/>
      <c r="AH671" s="592" t="str">
        <f t="shared" si="358"/>
        <v/>
      </c>
      <c r="AI671" s="592" t="str">
        <f t="shared" si="359"/>
        <v/>
      </c>
      <c r="AJ671" s="592" t="str">
        <f t="shared" si="360"/>
        <v/>
      </c>
      <c r="AK671" s="460" t="str">
        <f>IF(AU671="","",IF(OR(AZ671=8,AZ671=9),0,IF(OR(AW671=3,AW671=4,AW671=5,AW671=6),IF(LEFT(BF671,1)="1",INDEX(係数_NOX・PM低減,MATCH(AY671,【参考】排出係数!$AI$801:$AI$804,1),1),VLOOKUP(AU671,INDEX((係数_バス貨物_ガソリン,係数_バス貨物_CNG,係数_バス貨物_軽油,係数_バス貨物_メタノール,係数_バス貨物_LPG),MATCH(AY671,【参考】排出係数!$AI$4:$AI$671,1),1,BE671):INDEX((係数_バス貨物_ガソリン,係数_バス貨物_CNG,係数_バス貨物_軽油,係数_バス貨物_メタノール,係数_バス貨物_LPG),MATCH(AY671+1,【参考】排出係数!$AI$4:$AI$671,1)-1,5,BE671),4,FALSE)),IF(AND(BE671=3,LEFT(BF671,1)="1"),0.48,VLOOKUP(AU671,INDEX((係数_乗用_ガソリン,係数_乗用_CNG,係数_乗用_軽油,係数_乗用_メタノール,係数_乗用_LPG),1,1,BE671):INDEX((係数_乗用_ガソリン,係数_乗用_CNG,係数_乗用_軽油,係数_乗用_メタノール,係数_乗用_LPG),125,5,BE671),4,FALSE)))))</f>
        <v/>
      </c>
      <c r="AL671" s="461" t="str">
        <f t="shared" si="361"/>
        <v/>
      </c>
      <c r="AM671" s="460" t="str">
        <f>IF(AU671="","",IF(OR(AZ671=8,AZ671=9),0,IF(OR(AW671=3,AW671=4,AW671=5,AW671=6),IF(LEFT(BH671,1)="1",INDEX(係数_PM低減,MATCH(AY671,【参考】排出係数!$AI$801:$AI$804,1),MATCH(BI671,【参考】排出係数!$AL$798:$AO$798,1)),VLOOKUP(AU671,INDEX((係数_バス貨物_ガソリン,係数_バス貨物_CNG,係数_バス貨物_軽油,係数_バス貨物_メタノール,係数_バス貨物_LPG),MATCH(AY671,【参考】排出係数!$AI$4:$AI$671,1),1,BE671):INDEX((係数_バス貨物_ガソリン,係数_バス貨物_CNG,係数_バス貨物_軽油,係数_バス貨物_メタノール,係数_バス貨物_LPG),MATCH(AY671+1,【参考】排出係数!$AI$4:$AI$671,1)-1,5,BE671),5,FALSE)),IF(AND(BE671=3,LEFT(BF671,1)="1"),0.055,VLOOKUP(AU671,INDEX((係数_乗用_ガソリン,係数_乗用_CNG,係数_乗用_軽油,係数_乗用_メタノール,係数_乗用_LPG),1,1,BE671):INDEX((係数_乗用_ガソリン,係数_乗用_CNG,係数_乗用_軽油,係数_乗用_メタノール,係数_乗用_LPG),125,5,BE671),5,FALSE)))))</f>
        <v/>
      </c>
      <c r="AN671" s="461" t="str">
        <f t="shared" si="362"/>
        <v/>
      </c>
      <c r="AO671" s="462" t="str">
        <f t="shared" si="363"/>
        <v/>
      </c>
      <c r="AP671" s="463" t="str">
        <f t="shared" si="364"/>
        <v/>
      </c>
      <c r="AQ671" s="464"/>
      <c r="AR671" s="619"/>
      <c r="AS671" s="465" t="str">
        <f t="shared" si="366"/>
        <v/>
      </c>
      <c r="AT671" s="465" t="str">
        <f t="shared" si="367"/>
        <v/>
      </c>
      <c r="AU671" s="466" t="str">
        <f t="shared" si="368"/>
        <v/>
      </c>
      <c r="AV671" s="467" t="str">
        <f t="shared" si="369"/>
        <v/>
      </c>
      <c r="AW671" s="467" t="str">
        <f t="shared" si="370"/>
        <v/>
      </c>
      <c r="AX671" s="467" t="str">
        <f t="shared" si="371"/>
        <v/>
      </c>
      <c r="AY671" s="467" t="str">
        <f t="shared" si="372"/>
        <v/>
      </c>
      <c r="AZ671" s="467" t="str">
        <f t="shared" si="373"/>
        <v/>
      </c>
      <c r="BA671" s="468" t="str">
        <f>IF(AS671="","",IF(OR(AU671="",AU671="-"),"－",IF(OR(AZ671=8,AZ671=9),"",IF(OR(AW671=3,AW671=4,AW671=5,AW671=6),VLOOKUP(AU671,INDEX((係数_バス貨物_ガソリン,係数_バス貨物_CNG,係数_バス貨物_軽油,係数_バス貨物_メタノール,係数_バス貨物_LPG),MATCH(AY671,【参考】排出係数!$AI$4:$AI$671,1),1,BE671):INDEX((係数_バス貨物_ガソリン,係数_バス貨物_CNG,係数_バス貨物_軽油,係数_バス貨物_メタノール,係数_バス貨物_LPG),MATCH(AY671+1,【参考】排出係数!$AI$4:$AI$671,1)-1,5,BE671),2,FALSE),IF(OR(AW671=1,AW671=2),VLOOKUP(AU671,INDEX((係数_乗用_ガソリン,係数_乗用_CNG,係数_乗用_軽油,係数_乗用_メタノール,係数_乗用_LPG),1,1,BE671):INDEX((係数_乗用_ガソリン,係数_乗用_CNG,係数_乗用_軽油,係数_乗用_メタノール,係数_乗用_LPG),125,5,BE671),2,FALSE))))))</f>
        <v/>
      </c>
      <c r="BB671" s="468" t="str">
        <f>IF(T671="","",IF(OR(AU671="",AU671="-"),"－",IF(OR(AZ671=8,AZ671=9),"",IF(OR(AW671=3,AW671=4,AW671=5,AW671=6),VLOOKUP(AU671,INDEX((係数_バス貨物_ガソリン,係数_バス貨物_CNG,係数_バス貨物_軽油,係数_バス貨物_メタノール,係数_バス貨物_LPG),MATCH(AY671,【参考】排出係数!$AI$4:$AI$671,1),1,BE671):INDEX((係数_バス貨物_ガソリン,係数_バス貨物_CNG,係数_バス貨物_軽油,係数_バス貨物_メタノール,係数_バス貨物_LPG),MATCH(AY671+1,【参考】排出係数!$AI$4:$AI$671,1)-1,5,BE671),3,FALSE),IF(OR(AW671=1,AW671=2),VLOOKUP(AU671,INDEX((係数_乗用_ガソリン,係数_乗用_CNG,係数_乗用_軽油,係数_乗用_メタノール,係数_乗用_LPG),1,1,BE671):INDEX((係数_乗用_ガソリン,係数_乗用_CNG,係数_乗用_軽油,係数_乗用_メタノール,係数_乗用_LPG),125,5,BE671),3,FALSE))))))</f>
        <v/>
      </c>
      <c r="BC671" s="467" t="str">
        <f t="shared" si="374"/>
        <v/>
      </c>
      <c r="BD671" s="567" t="str">
        <f t="shared" si="375"/>
        <v/>
      </c>
      <c r="BE671" s="467" t="str">
        <f t="shared" si="376"/>
        <v/>
      </c>
      <c r="BF671" s="469" t="str">
        <f t="shared" ca="1" si="377"/>
        <v/>
      </c>
      <c r="BG671" s="469" t="str">
        <f t="shared" ca="1" si="378"/>
        <v/>
      </c>
      <c r="BH671" s="467" t="str">
        <f t="shared" si="379"/>
        <v/>
      </c>
      <c r="BI671" s="467" t="str">
        <f t="shared" ca="1" si="380"/>
        <v/>
      </c>
      <c r="BJ671" s="469" t="str">
        <f t="shared" si="381"/>
        <v/>
      </c>
      <c r="BK671" s="470" t="str">
        <f t="shared" si="365"/>
        <v/>
      </c>
      <c r="BL671" s="775" t="str">
        <f t="shared" si="382"/>
        <v/>
      </c>
      <c r="BM671" s="775" t="str">
        <f t="shared" si="383"/>
        <v/>
      </c>
    </row>
    <row r="672" spans="1:65">
      <c r="A672" s="473">
        <v>616</v>
      </c>
      <c r="B672" s="132"/>
      <c r="C672" s="332"/>
      <c r="D672" s="333"/>
      <c r="E672" s="333"/>
      <c r="F672" s="334"/>
      <c r="G672" s="337"/>
      <c r="H672" s="131"/>
      <c r="I672" s="337"/>
      <c r="J672" s="131"/>
      <c r="K672" s="458" t="str">
        <f t="shared" si="352"/>
        <v/>
      </c>
      <c r="L672" s="458">
        <f t="shared" si="353"/>
        <v>0</v>
      </c>
      <c r="M672" s="458">
        <f t="shared" si="354"/>
        <v>0</v>
      </c>
      <c r="N672" s="459" t="str">
        <f t="shared" si="283"/>
        <v/>
      </c>
      <c r="O672" s="459" t="str">
        <f t="shared" si="284"/>
        <v/>
      </c>
      <c r="P672" s="459" t="str">
        <f t="shared" si="285"/>
        <v/>
      </c>
      <c r="Q672" s="459" t="str">
        <f t="shared" si="286"/>
        <v/>
      </c>
      <c r="R672" s="459" t="str">
        <f t="shared" si="287"/>
        <v/>
      </c>
      <c r="S672" s="459" t="str">
        <f t="shared" si="288"/>
        <v/>
      </c>
      <c r="T672" s="566" t="str">
        <f t="shared" si="355"/>
        <v/>
      </c>
      <c r="U672" s="702"/>
      <c r="V672" s="132"/>
      <c r="W672" s="133"/>
      <c r="X672" s="134"/>
      <c r="Y672" s="135"/>
      <c r="Z672" s="137"/>
      <c r="AA672" s="136"/>
      <c r="AB672" s="566" t="str">
        <f t="shared" si="356"/>
        <v/>
      </c>
      <c r="AC672" s="568" t="str">
        <f t="shared" si="357"/>
        <v/>
      </c>
      <c r="AD672" s="137"/>
      <c r="AE672" s="137"/>
      <c r="AF672" s="138"/>
      <c r="AG672" s="138"/>
      <c r="AH672" s="592" t="str">
        <f t="shared" si="358"/>
        <v/>
      </c>
      <c r="AI672" s="592" t="str">
        <f t="shared" si="359"/>
        <v/>
      </c>
      <c r="AJ672" s="592" t="str">
        <f t="shared" si="360"/>
        <v/>
      </c>
      <c r="AK672" s="460" t="str">
        <f>IF(AU672="","",IF(OR(AZ672=8,AZ672=9),0,IF(OR(AW672=3,AW672=4,AW672=5,AW672=6),IF(LEFT(BF672,1)="1",INDEX(係数_NOX・PM低減,MATCH(AY672,【参考】排出係数!$AI$801:$AI$804,1),1),VLOOKUP(AU672,INDEX((係数_バス貨物_ガソリン,係数_バス貨物_CNG,係数_バス貨物_軽油,係数_バス貨物_メタノール,係数_バス貨物_LPG),MATCH(AY672,【参考】排出係数!$AI$4:$AI$671,1),1,BE672):INDEX((係数_バス貨物_ガソリン,係数_バス貨物_CNG,係数_バス貨物_軽油,係数_バス貨物_メタノール,係数_バス貨物_LPG),MATCH(AY672+1,【参考】排出係数!$AI$4:$AI$671,1)-1,5,BE672),4,FALSE)),IF(AND(BE672=3,LEFT(BF672,1)="1"),0.48,VLOOKUP(AU672,INDEX((係数_乗用_ガソリン,係数_乗用_CNG,係数_乗用_軽油,係数_乗用_メタノール,係数_乗用_LPG),1,1,BE672):INDEX((係数_乗用_ガソリン,係数_乗用_CNG,係数_乗用_軽油,係数_乗用_メタノール,係数_乗用_LPG),125,5,BE672),4,FALSE)))))</f>
        <v/>
      </c>
      <c r="AL672" s="461" t="str">
        <f t="shared" si="361"/>
        <v/>
      </c>
      <c r="AM672" s="460" t="str">
        <f>IF(AU672="","",IF(OR(AZ672=8,AZ672=9),0,IF(OR(AW672=3,AW672=4,AW672=5,AW672=6),IF(LEFT(BH672,1)="1",INDEX(係数_PM低減,MATCH(AY672,【参考】排出係数!$AI$801:$AI$804,1),MATCH(BI672,【参考】排出係数!$AL$798:$AO$798,1)),VLOOKUP(AU672,INDEX((係数_バス貨物_ガソリン,係数_バス貨物_CNG,係数_バス貨物_軽油,係数_バス貨物_メタノール,係数_バス貨物_LPG),MATCH(AY672,【参考】排出係数!$AI$4:$AI$671,1),1,BE672):INDEX((係数_バス貨物_ガソリン,係数_バス貨物_CNG,係数_バス貨物_軽油,係数_バス貨物_メタノール,係数_バス貨物_LPG),MATCH(AY672+1,【参考】排出係数!$AI$4:$AI$671,1)-1,5,BE672),5,FALSE)),IF(AND(BE672=3,LEFT(BF672,1)="1"),0.055,VLOOKUP(AU672,INDEX((係数_乗用_ガソリン,係数_乗用_CNG,係数_乗用_軽油,係数_乗用_メタノール,係数_乗用_LPG),1,1,BE672):INDEX((係数_乗用_ガソリン,係数_乗用_CNG,係数_乗用_軽油,係数_乗用_メタノール,係数_乗用_LPG),125,5,BE672),5,FALSE)))))</f>
        <v/>
      </c>
      <c r="AN672" s="461" t="str">
        <f t="shared" si="362"/>
        <v/>
      </c>
      <c r="AO672" s="462" t="str">
        <f t="shared" si="363"/>
        <v/>
      </c>
      <c r="AP672" s="463" t="str">
        <f t="shared" si="364"/>
        <v/>
      </c>
      <c r="AQ672" s="464"/>
      <c r="AR672" s="619"/>
      <c r="AS672" s="465" t="str">
        <f t="shared" si="366"/>
        <v/>
      </c>
      <c r="AT672" s="465" t="str">
        <f t="shared" si="367"/>
        <v/>
      </c>
      <c r="AU672" s="466" t="str">
        <f t="shared" si="368"/>
        <v/>
      </c>
      <c r="AV672" s="467" t="str">
        <f t="shared" si="369"/>
        <v/>
      </c>
      <c r="AW672" s="467" t="str">
        <f t="shared" si="370"/>
        <v/>
      </c>
      <c r="AX672" s="467" t="str">
        <f t="shared" si="371"/>
        <v/>
      </c>
      <c r="AY672" s="467" t="str">
        <f t="shared" si="372"/>
        <v/>
      </c>
      <c r="AZ672" s="467" t="str">
        <f t="shared" si="373"/>
        <v/>
      </c>
      <c r="BA672" s="468" t="str">
        <f>IF(AS672="","",IF(OR(AU672="",AU672="-"),"－",IF(OR(AZ672=8,AZ672=9),"",IF(OR(AW672=3,AW672=4,AW672=5,AW672=6),VLOOKUP(AU672,INDEX((係数_バス貨物_ガソリン,係数_バス貨物_CNG,係数_バス貨物_軽油,係数_バス貨物_メタノール,係数_バス貨物_LPG),MATCH(AY672,【参考】排出係数!$AI$4:$AI$671,1),1,BE672):INDEX((係数_バス貨物_ガソリン,係数_バス貨物_CNG,係数_バス貨物_軽油,係数_バス貨物_メタノール,係数_バス貨物_LPG),MATCH(AY672+1,【参考】排出係数!$AI$4:$AI$671,1)-1,5,BE672),2,FALSE),IF(OR(AW672=1,AW672=2),VLOOKUP(AU672,INDEX((係数_乗用_ガソリン,係数_乗用_CNG,係数_乗用_軽油,係数_乗用_メタノール,係数_乗用_LPG),1,1,BE672):INDEX((係数_乗用_ガソリン,係数_乗用_CNG,係数_乗用_軽油,係数_乗用_メタノール,係数_乗用_LPG),125,5,BE672),2,FALSE))))))</f>
        <v/>
      </c>
      <c r="BB672" s="468" t="str">
        <f>IF(T672="","",IF(OR(AU672="",AU672="-"),"－",IF(OR(AZ672=8,AZ672=9),"",IF(OR(AW672=3,AW672=4,AW672=5,AW672=6),VLOOKUP(AU672,INDEX((係数_バス貨物_ガソリン,係数_バス貨物_CNG,係数_バス貨物_軽油,係数_バス貨物_メタノール,係数_バス貨物_LPG),MATCH(AY672,【参考】排出係数!$AI$4:$AI$671,1),1,BE672):INDEX((係数_バス貨物_ガソリン,係数_バス貨物_CNG,係数_バス貨物_軽油,係数_バス貨物_メタノール,係数_バス貨物_LPG),MATCH(AY672+1,【参考】排出係数!$AI$4:$AI$671,1)-1,5,BE672),3,FALSE),IF(OR(AW672=1,AW672=2),VLOOKUP(AU672,INDEX((係数_乗用_ガソリン,係数_乗用_CNG,係数_乗用_軽油,係数_乗用_メタノール,係数_乗用_LPG),1,1,BE672):INDEX((係数_乗用_ガソリン,係数_乗用_CNG,係数_乗用_軽油,係数_乗用_メタノール,係数_乗用_LPG),125,5,BE672),3,FALSE))))))</f>
        <v/>
      </c>
      <c r="BC672" s="467" t="str">
        <f t="shared" si="374"/>
        <v/>
      </c>
      <c r="BD672" s="567" t="str">
        <f t="shared" si="375"/>
        <v/>
      </c>
      <c r="BE672" s="467" t="str">
        <f t="shared" si="376"/>
        <v/>
      </c>
      <c r="BF672" s="469" t="str">
        <f t="shared" ca="1" si="377"/>
        <v/>
      </c>
      <c r="BG672" s="469" t="str">
        <f t="shared" ca="1" si="378"/>
        <v/>
      </c>
      <c r="BH672" s="467" t="str">
        <f t="shared" si="379"/>
        <v/>
      </c>
      <c r="BI672" s="467" t="str">
        <f t="shared" ca="1" si="380"/>
        <v/>
      </c>
      <c r="BJ672" s="469" t="str">
        <f t="shared" si="381"/>
        <v/>
      </c>
      <c r="BK672" s="470" t="str">
        <f t="shared" si="365"/>
        <v/>
      </c>
      <c r="BL672" s="775" t="str">
        <f t="shared" si="382"/>
        <v/>
      </c>
      <c r="BM672" s="775" t="str">
        <f t="shared" si="383"/>
        <v/>
      </c>
    </row>
    <row r="673" spans="1:65">
      <c r="A673" s="473">
        <v>617</v>
      </c>
      <c r="B673" s="132"/>
      <c r="C673" s="332"/>
      <c r="D673" s="333"/>
      <c r="E673" s="333"/>
      <c r="F673" s="334"/>
      <c r="G673" s="337"/>
      <c r="H673" s="131"/>
      <c r="I673" s="337"/>
      <c r="J673" s="131"/>
      <c r="K673" s="458" t="str">
        <f t="shared" si="352"/>
        <v/>
      </c>
      <c r="L673" s="458">
        <f t="shared" si="353"/>
        <v>0</v>
      </c>
      <c r="M673" s="458">
        <f t="shared" si="354"/>
        <v>0</v>
      </c>
      <c r="N673" s="459" t="str">
        <f t="shared" si="283"/>
        <v/>
      </c>
      <c r="O673" s="459" t="str">
        <f t="shared" si="284"/>
        <v/>
      </c>
      <c r="P673" s="459" t="str">
        <f t="shared" si="285"/>
        <v/>
      </c>
      <c r="Q673" s="459" t="str">
        <f t="shared" si="286"/>
        <v/>
      </c>
      <c r="R673" s="459" t="str">
        <f t="shared" si="287"/>
        <v/>
      </c>
      <c r="S673" s="459" t="str">
        <f t="shared" si="288"/>
        <v/>
      </c>
      <c r="T673" s="566" t="str">
        <f t="shared" si="355"/>
        <v/>
      </c>
      <c r="U673" s="702"/>
      <c r="V673" s="132"/>
      <c r="W673" s="133"/>
      <c r="X673" s="134"/>
      <c r="Y673" s="135"/>
      <c r="Z673" s="137"/>
      <c r="AA673" s="136"/>
      <c r="AB673" s="566" t="str">
        <f t="shared" si="356"/>
        <v/>
      </c>
      <c r="AC673" s="568" t="str">
        <f t="shared" si="357"/>
        <v/>
      </c>
      <c r="AD673" s="137"/>
      <c r="AE673" s="137"/>
      <c r="AF673" s="138"/>
      <c r="AG673" s="138"/>
      <c r="AH673" s="592" t="str">
        <f t="shared" si="358"/>
        <v/>
      </c>
      <c r="AI673" s="592" t="str">
        <f t="shared" si="359"/>
        <v/>
      </c>
      <c r="AJ673" s="592" t="str">
        <f t="shared" si="360"/>
        <v/>
      </c>
      <c r="AK673" s="460" t="str">
        <f>IF(AU673="","",IF(OR(AZ673=8,AZ673=9),0,IF(OR(AW673=3,AW673=4,AW673=5,AW673=6),IF(LEFT(BF673,1)="1",INDEX(係数_NOX・PM低減,MATCH(AY673,【参考】排出係数!$AI$801:$AI$804,1),1),VLOOKUP(AU673,INDEX((係数_バス貨物_ガソリン,係数_バス貨物_CNG,係数_バス貨物_軽油,係数_バス貨物_メタノール,係数_バス貨物_LPG),MATCH(AY673,【参考】排出係数!$AI$4:$AI$671,1),1,BE673):INDEX((係数_バス貨物_ガソリン,係数_バス貨物_CNG,係数_バス貨物_軽油,係数_バス貨物_メタノール,係数_バス貨物_LPG),MATCH(AY673+1,【参考】排出係数!$AI$4:$AI$671,1)-1,5,BE673),4,FALSE)),IF(AND(BE673=3,LEFT(BF673,1)="1"),0.48,VLOOKUP(AU673,INDEX((係数_乗用_ガソリン,係数_乗用_CNG,係数_乗用_軽油,係数_乗用_メタノール,係数_乗用_LPG),1,1,BE673):INDEX((係数_乗用_ガソリン,係数_乗用_CNG,係数_乗用_軽油,係数_乗用_メタノール,係数_乗用_LPG),125,5,BE673),4,FALSE)))))</f>
        <v/>
      </c>
      <c r="AL673" s="461" t="str">
        <f t="shared" si="361"/>
        <v/>
      </c>
      <c r="AM673" s="460" t="str">
        <f>IF(AU673="","",IF(OR(AZ673=8,AZ673=9),0,IF(OR(AW673=3,AW673=4,AW673=5,AW673=6),IF(LEFT(BH673,1)="1",INDEX(係数_PM低減,MATCH(AY673,【参考】排出係数!$AI$801:$AI$804,1),MATCH(BI673,【参考】排出係数!$AL$798:$AO$798,1)),VLOOKUP(AU673,INDEX((係数_バス貨物_ガソリン,係数_バス貨物_CNG,係数_バス貨物_軽油,係数_バス貨物_メタノール,係数_バス貨物_LPG),MATCH(AY673,【参考】排出係数!$AI$4:$AI$671,1),1,BE673):INDEX((係数_バス貨物_ガソリン,係数_バス貨物_CNG,係数_バス貨物_軽油,係数_バス貨物_メタノール,係数_バス貨物_LPG),MATCH(AY673+1,【参考】排出係数!$AI$4:$AI$671,1)-1,5,BE673),5,FALSE)),IF(AND(BE673=3,LEFT(BF673,1)="1"),0.055,VLOOKUP(AU673,INDEX((係数_乗用_ガソリン,係数_乗用_CNG,係数_乗用_軽油,係数_乗用_メタノール,係数_乗用_LPG),1,1,BE673):INDEX((係数_乗用_ガソリン,係数_乗用_CNG,係数_乗用_軽油,係数_乗用_メタノール,係数_乗用_LPG),125,5,BE673),5,FALSE)))))</f>
        <v/>
      </c>
      <c r="AN673" s="461" t="str">
        <f t="shared" si="362"/>
        <v/>
      </c>
      <c r="AO673" s="462" t="str">
        <f t="shared" si="363"/>
        <v/>
      </c>
      <c r="AP673" s="463" t="str">
        <f t="shared" si="364"/>
        <v/>
      </c>
      <c r="AQ673" s="464"/>
      <c r="AR673" s="619"/>
      <c r="AS673" s="465" t="str">
        <f t="shared" si="366"/>
        <v/>
      </c>
      <c r="AT673" s="465" t="str">
        <f t="shared" si="367"/>
        <v/>
      </c>
      <c r="AU673" s="466" t="str">
        <f t="shared" si="368"/>
        <v/>
      </c>
      <c r="AV673" s="467" t="str">
        <f t="shared" si="369"/>
        <v/>
      </c>
      <c r="AW673" s="467" t="str">
        <f t="shared" si="370"/>
        <v/>
      </c>
      <c r="AX673" s="467" t="str">
        <f t="shared" si="371"/>
        <v/>
      </c>
      <c r="AY673" s="467" t="str">
        <f t="shared" si="372"/>
        <v/>
      </c>
      <c r="AZ673" s="467" t="str">
        <f t="shared" si="373"/>
        <v/>
      </c>
      <c r="BA673" s="468" t="str">
        <f>IF(AS673="","",IF(OR(AU673="",AU673="-"),"－",IF(OR(AZ673=8,AZ673=9),"",IF(OR(AW673=3,AW673=4,AW673=5,AW673=6),VLOOKUP(AU673,INDEX((係数_バス貨物_ガソリン,係数_バス貨物_CNG,係数_バス貨物_軽油,係数_バス貨物_メタノール,係数_バス貨物_LPG),MATCH(AY673,【参考】排出係数!$AI$4:$AI$671,1),1,BE673):INDEX((係数_バス貨物_ガソリン,係数_バス貨物_CNG,係数_バス貨物_軽油,係数_バス貨物_メタノール,係数_バス貨物_LPG),MATCH(AY673+1,【参考】排出係数!$AI$4:$AI$671,1)-1,5,BE673),2,FALSE),IF(OR(AW673=1,AW673=2),VLOOKUP(AU673,INDEX((係数_乗用_ガソリン,係数_乗用_CNG,係数_乗用_軽油,係数_乗用_メタノール,係数_乗用_LPG),1,1,BE673):INDEX((係数_乗用_ガソリン,係数_乗用_CNG,係数_乗用_軽油,係数_乗用_メタノール,係数_乗用_LPG),125,5,BE673),2,FALSE))))))</f>
        <v/>
      </c>
      <c r="BB673" s="468" t="str">
        <f>IF(T673="","",IF(OR(AU673="",AU673="-"),"－",IF(OR(AZ673=8,AZ673=9),"",IF(OR(AW673=3,AW673=4,AW673=5,AW673=6),VLOOKUP(AU673,INDEX((係数_バス貨物_ガソリン,係数_バス貨物_CNG,係数_バス貨物_軽油,係数_バス貨物_メタノール,係数_バス貨物_LPG),MATCH(AY673,【参考】排出係数!$AI$4:$AI$671,1),1,BE673):INDEX((係数_バス貨物_ガソリン,係数_バス貨物_CNG,係数_バス貨物_軽油,係数_バス貨物_メタノール,係数_バス貨物_LPG),MATCH(AY673+1,【参考】排出係数!$AI$4:$AI$671,1)-1,5,BE673),3,FALSE),IF(OR(AW673=1,AW673=2),VLOOKUP(AU673,INDEX((係数_乗用_ガソリン,係数_乗用_CNG,係数_乗用_軽油,係数_乗用_メタノール,係数_乗用_LPG),1,1,BE673):INDEX((係数_乗用_ガソリン,係数_乗用_CNG,係数_乗用_軽油,係数_乗用_メタノール,係数_乗用_LPG),125,5,BE673),3,FALSE))))))</f>
        <v/>
      </c>
      <c r="BC673" s="467" t="str">
        <f t="shared" si="374"/>
        <v/>
      </c>
      <c r="BD673" s="567" t="str">
        <f t="shared" si="375"/>
        <v/>
      </c>
      <c r="BE673" s="467" t="str">
        <f t="shared" si="376"/>
        <v/>
      </c>
      <c r="BF673" s="469" t="str">
        <f t="shared" ca="1" si="377"/>
        <v/>
      </c>
      <c r="BG673" s="469" t="str">
        <f t="shared" ca="1" si="378"/>
        <v/>
      </c>
      <c r="BH673" s="467" t="str">
        <f t="shared" si="379"/>
        <v/>
      </c>
      <c r="BI673" s="467" t="str">
        <f t="shared" ca="1" si="380"/>
        <v/>
      </c>
      <c r="BJ673" s="469" t="str">
        <f t="shared" si="381"/>
        <v/>
      </c>
      <c r="BK673" s="470" t="str">
        <f t="shared" si="365"/>
        <v/>
      </c>
      <c r="BL673" s="775" t="str">
        <f t="shared" si="382"/>
        <v/>
      </c>
      <c r="BM673" s="775" t="str">
        <f t="shared" si="383"/>
        <v/>
      </c>
    </row>
    <row r="674" spans="1:65">
      <c r="A674" s="473">
        <v>618</v>
      </c>
      <c r="B674" s="132"/>
      <c r="C674" s="332"/>
      <c r="D674" s="333"/>
      <c r="E674" s="333"/>
      <c r="F674" s="334"/>
      <c r="G674" s="337"/>
      <c r="H674" s="131"/>
      <c r="I674" s="337"/>
      <c r="J674" s="131"/>
      <c r="K674" s="458" t="str">
        <f t="shared" si="352"/>
        <v/>
      </c>
      <c r="L674" s="458">
        <f t="shared" si="353"/>
        <v>0</v>
      </c>
      <c r="M674" s="458">
        <f t="shared" si="354"/>
        <v>0</v>
      </c>
      <c r="N674" s="459" t="str">
        <f t="shared" si="283"/>
        <v/>
      </c>
      <c r="O674" s="459" t="str">
        <f t="shared" si="284"/>
        <v/>
      </c>
      <c r="P674" s="459" t="str">
        <f t="shared" si="285"/>
        <v/>
      </c>
      <c r="Q674" s="459" t="str">
        <f t="shared" si="286"/>
        <v/>
      </c>
      <c r="R674" s="459" t="str">
        <f t="shared" si="287"/>
        <v/>
      </c>
      <c r="S674" s="459" t="str">
        <f t="shared" si="288"/>
        <v/>
      </c>
      <c r="T674" s="566" t="str">
        <f t="shared" si="355"/>
        <v/>
      </c>
      <c r="U674" s="702"/>
      <c r="V674" s="132"/>
      <c r="W674" s="133"/>
      <c r="X674" s="134"/>
      <c r="Y674" s="135"/>
      <c r="Z674" s="137"/>
      <c r="AA674" s="136"/>
      <c r="AB674" s="566" t="str">
        <f t="shared" si="356"/>
        <v/>
      </c>
      <c r="AC674" s="568" t="str">
        <f t="shared" si="357"/>
        <v/>
      </c>
      <c r="AD674" s="137"/>
      <c r="AE674" s="137"/>
      <c r="AF674" s="138"/>
      <c r="AG674" s="138"/>
      <c r="AH674" s="592" t="str">
        <f t="shared" si="358"/>
        <v/>
      </c>
      <c r="AI674" s="592" t="str">
        <f t="shared" si="359"/>
        <v/>
      </c>
      <c r="AJ674" s="592" t="str">
        <f t="shared" si="360"/>
        <v/>
      </c>
      <c r="AK674" s="460" t="str">
        <f>IF(AU674="","",IF(OR(AZ674=8,AZ674=9),0,IF(OR(AW674=3,AW674=4,AW674=5,AW674=6),IF(LEFT(BF674,1)="1",INDEX(係数_NOX・PM低減,MATCH(AY674,【参考】排出係数!$AI$801:$AI$804,1),1),VLOOKUP(AU674,INDEX((係数_バス貨物_ガソリン,係数_バス貨物_CNG,係数_バス貨物_軽油,係数_バス貨物_メタノール,係数_バス貨物_LPG),MATCH(AY674,【参考】排出係数!$AI$4:$AI$671,1),1,BE674):INDEX((係数_バス貨物_ガソリン,係数_バス貨物_CNG,係数_バス貨物_軽油,係数_バス貨物_メタノール,係数_バス貨物_LPG),MATCH(AY674+1,【参考】排出係数!$AI$4:$AI$671,1)-1,5,BE674),4,FALSE)),IF(AND(BE674=3,LEFT(BF674,1)="1"),0.48,VLOOKUP(AU674,INDEX((係数_乗用_ガソリン,係数_乗用_CNG,係数_乗用_軽油,係数_乗用_メタノール,係数_乗用_LPG),1,1,BE674):INDEX((係数_乗用_ガソリン,係数_乗用_CNG,係数_乗用_軽油,係数_乗用_メタノール,係数_乗用_LPG),125,5,BE674),4,FALSE)))))</f>
        <v/>
      </c>
      <c r="AL674" s="461" t="str">
        <f t="shared" si="361"/>
        <v/>
      </c>
      <c r="AM674" s="460" t="str">
        <f>IF(AU674="","",IF(OR(AZ674=8,AZ674=9),0,IF(OR(AW674=3,AW674=4,AW674=5,AW674=6),IF(LEFT(BH674,1)="1",INDEX(係数_PM低減,MATCH(AY674,【参考】排出係数!$AI$801:$AI$804,1),MATCH(BI674,【参考】排出係数!$AL$798:$AO$798,1)),VLOOKUP(AU674,INDEX((係数_バス貨物_ガソリン,係数_バス貨物_CNG,係数_バス貨物_軽油,係数_バス貨物_メタノール,係数_バス貨物_LPG),MATCH(AY674,【参考】排出係数!$AI$4:$AI$671,1),1,BE674):INDEX((係数_バス貨物_ガソリン,係数_バス貨物_CNG,係数_バス貨物_軽油,係数_バス貨物_メタノール,係数_バス貨物_LPG),MATCH(AY674+1,【参考】排出係数!$AI$4:$AI$671,1)-1,5,BE674),5,FALSE)),IF(AND(BE674=3,LEFT(BF674,1)="1"),0.055,VLOOKUP(AU674,INDEX((係数_乗用_ガソリン,係数_乗用_CNG,係数_乗用_軽油,係数_乗用_メタノール,係数_乗用_LPG),1,1,BE674):INDEX((係数_乗用_ガソリン,係数_乗用_CNG,係数_乗用_軽油,係数_乗用_メタノール,係数_乗用_LPG),125,5,BE674),5,FALSE)))))</f>
        <v/>
      </c>
      <c r="AN674" s="461" t="str">
        <f t="shared" si="362"/>
        <v/>
      </c>
      <c r="AO674" s="462" t="str">
        <f t="shared" si="363"/>
        <v/>
      </c>
      <c r="AP674" s="463" t="str">
        <f t="shared" si="364"/>
        <v/>
      </c>
      <c r="AQ674" s="464"/>
      <c r="AR674" s="619"/>
      <c r="AS674" s="465" t="str">
        <f t="shared" si="366"/>
        <v/>
      </c>
      <c r="AT674" s="465" t="str">
        <f t="shared" si="367"/>
        <v/>
      </c>
      <c r="AU674" s="466" t="str">
        <f t="shared" si="368"/>
        <v/>
      </c>
      <c r="AV674" s="467" t="str">
        <f t="shared" si="369"/>
        <v/>
      </c>
      <c r="AW674" s="467" t="str">
        <f t="shared" si="370"/>
        <v/>
      </c>
      <c r="AX674" s="467" t="str">
        <f t="shared" si="371"/>
        <v/>
      </c>
      <c r="AY674" s="467" t="str">
        <f t="shared" si="372"/>
        <v/>
      </c>
      <c r="AZ674" s="467" t="str">
        <f t="shared" si="373"/>
        <v/>
      </c>
      <c r="BA674" s="468" t="str">
        <f>IF(AS674="","",IF(OR(AU674="",AU674="-"),"－",IF(OR(AZ674=8,AZ674=9),"",IF(OR(AW674=3,AW674=4,AW674=5,AW674=6),VLOOKUP(AU674,INDEX((係数_バス貨物_ガソリン,係数_バス貨物_CNG,係数_バス貨物_軽油,係数_バス貨物_メタノール,係数_バス貨物_LPG),MATCH(AY674,【参考】排出係数!$AI$4:$AI$671,1),1,BE674):INDEX((係数_バス貨物_ガソリン,係数_バス貨物_CNG,係数_バス貨物_軽油,係数_バス貨物_メタノール,係数_バス貨物_LPG),MATCH(AY674+1,【参考】排出係数!$AI$4:$AI$671,1)-1,5,BE674),2,FALSE),IF(OR(AW674=1,AW674=2),VLOOKUP(AU674,INDEX((係数_乗用_ガソリン,係数_乗用_CNG,係数_乗用_軽油,係数_乗用_メタノール,係数_乗用_LPG),1,1,BE674):INDEX((係数_乗用_ガソリン,係数_乗用_CNG,係数_乗用_軽油,係数_乗用_メタノール,係数_乗用_LPG),125,5,BE674),2,FALSE))))))</f>
        <v/>
      </c>
      <c r="BB674" s="468" t="str">
        <f>IF(T674="","",IF(OR(AU674="",AU674="-"),"－",IF(OR(AZ674=8,AZ674=9),"",IF(OR(AW674=3,AW674=4,AW674=5,AW674=6),VLOOKUP(AU674,INDEX((係数_バス貨物_ガソリン,係数_バス貨物_CNG,係数_バス貨物_軽油,係数_バス貨物_メタノール,係数_バス貨物_LPG),MATCH(AY674,【参考】排出係数!$AI$4:$AI$671,1),1,BE674):INDEX((係数_バス貨物_ガソリン,係数_バス貨物_CNG,係数_バス貨物_軽油,係数_バス貨物_メタノール,係数_バス貨物_LPG),MATCH(AY674+1,【参考】排出係数!$AI$4:$AI$671,1)-1,5,BE674),3,FALSE),IF(OR(AW674=1,AW674=2),VLOOKUP(AU674,INDEX((係数_乗用_ガソリン,係数_乗用_CNG,係数_乗用_軽油,係数_乗用_メタノール,係数_乗用_LPG),1,1,BE674):INDEX((係数_乗用_ガソリン,係数_乗用_CNG,係数_乗用_軽油,係数_乗用_メタノール,係数_乗用_LPG),125,5,BE674),3,FALSE))))))</f>
        <v/>
      </c>
      <c r="BC674" s="467" t="str">
        <f t="shared" si="374"/>
        <v/>
      </c>
      <c r="BD674" s="567" t="str">
        <f t="shared" si="375"/>
        <v/>
      </c>
      <c r="BE674" s="467" t="str">
        <f t="shared" si="376"/>
        <v/>
      </c>
      <c r="BF674" s="469" t="str">
        <f t="shared" ca="1" si="377"/>
        <v/>
      </c>
      <c r="BG674" s="469" t="str">
        <f t="shared" ca="1" si="378"/>
        <v/>
      </c>
      <c r="BH674" s="467" t="str">
        <f t="shared" si="379"/>
        <v/>
      </c>
      <c r="BI674" s="467" t="str">
        <f t="shared" ca="1" si="380"/>
        <v/>
      </c>
      <c r="BJ674" s="469" t="str">
        <f t="shared" si="381"/>
        <v/>
      </c>
      <c r="BK674" s="470" t="str">
        <f t="shared" si="365"/>
        <v/>
      </c>
      <c r="BL674" s="775" t="str">
        <f t="shared" si="382"/>
        <v/>
      </c>
      <c r="BM674" s="775" t="str">
        <f t="shared" si="383"/>
        <v/>
      </c>
    </row>
    <row r="675" spans="1:65">
      <c r="A675" s="473">
        <v>619</v>
      </c>
      <c r="B675" s="132"/>
      <c r="C675" s="332"/>
      <c r="D675" s="333"/>
      <c r="E675" s="333"/>
      <c r="F675" s="334"/>
      <c r="G675" s="337"/>
      <c r="H675" s="131"/>
      <c r="I675" s="337"/>
      <c r="J675" s="131"/>
      <c r="K675" s="458" t="str">
        <f t="shared" si="352"/>
        <v/>
      </c>
      <c r="L675" s="458">
        <f t="shared" si="353"/>
        <v>0</v>
      </c>
      <c r="M675" s="458">
        <f t="shared" si="354"/>
        <v>0</v>
      </c>
      <c r="N675" s="459" t="str">
        <f t="shared" si="283"/>
        <v/>
      </c>
      <c r="O675" s="459" t="str">
        <f t="shared" si="284"/>
        <v/>
      </c>
      <c r="P675" s="459" t="str">
        <f t="shared" si="285"/>
        <v/>
      </c>
      <c r="Q675" s="459" t="str">
        <f t="shared" si="286"/>
        <v/>
      </c>
      <c r="R675" s="459" t="str">
        <f t="shared" si="287"/>
        <v/>
      </c>
      <c r="S675" s="459" t="str">
        <f t="shared" si="288"/>
        <v/>
      </c>
      <c r="T675" s="566" t="str">
        <f t="shared" si="355"/>
        <v/>
      </c>
      <c r="U675" s="702"/>
      <c r="V675" s="132"/>
      <c r="W675" s="133"/>
      <c r="X675" s="134"/>
      <c r="Y675" s="135"/>
      <c r="Z675" s="137"/>
      <c r="AA675" s="136"/>
      <c r="AB675" s="566" t="str">
        <f t="shared" si="356"/>
        <v/>
      </c>
      <c r="AC675" s="568" t="str">
        <f t="shared" si="357"/>
        <v/>
      </c>
      <c r="AD675" s="137"/>
      <c r="AE675" s="137"/>
      <c r="AF675" s="138"/>
      <c r="AG675" s="138"/>
      <c r="AH675" s="592" t="str">
        <f t="shared" si="358"/>
        <v/>
      </c>
      <c r="AI675" s="592" t="str">
        <f t="shared" si="359"/>
        <v/>
      </c>
      <c r="AJ675" s="592" t="str">
        <f t="shared" si="360"/>
        <v/>
      </c>
      <c r="AK675" s="460" t="str">
        <f>IF(AU675="","",IF(OR(AZ675=8,AZ675=9),0,IF(OR(AW675=3,AW675=4,AW675=5,AW675=6),IF(LEFT(BF675,1)="1",INDEX(係数_NOX・PM低減,MATCH(AY675,【参考】排出係数!$AI$801:$AI$804,1),1),VLOOKUP(AU675,INDEX((係数_バス貨物_ガソリン,係数_バス貨物_CNG,係数_バス貨物_軽油,係数_バス貨物_メタノール,係数_バス貨物_LPG),MATCH(AY675,【参考】排出係数!$AI$4:$AI$671,1),1,BE675):INDEX((係数_バス貨物_ガソリン,係数_バス貨物_CNG,係数_バス貨物_軽油,係数_バス貨物_メタノール,係数_バス貨物_LPG),MATCH(AY675+1,【参考】排出係数!$AI$4:$AI$671,1)-1,5,BE675),4,FALSE)),IF(AND(BE675=3,LEFT(BF675,1)="1"),0.48,VLOOKUP(AU675,INDEX((係数_乗用_ガソリン,係数_乗用_CNG,係数_乗用_軽油,係数_乗用_メタノール,係数_乗用_LPG),1,1,BE675):INDEX((係数_乗用_ガソリン,係数_乗用_CNG,係数_乗用_軽油,係数_乗用_メタノール,係数_乗用_LPG),125,5,BE675),4,FALSE)))))</f>
        <v/>
      </c>
      <c r="AL675" s="461" t="str">
        <f t="shared" si="361"/>
        <v/>
      </c>
      <c r="AM675" s="460" t="str">
        <f>IF(AU675="","",IF(OR(AZ675=8,AZ675=9),0,IF(OR(AW675=3,AW675=4,AW675=5,AW675=6),IF(LEFT(BH675,1)="1",INDEX(係数_PM低減,MATCH(AY675,【参考】排出係数!$AI$801:$AI$804,1),MATCH(BI675,【参考】排出係数!$AL$798:$AO$798,1)),VLOOKUP(AU675,INDEX((係数_バス貨物_ガソリン,係数_バス貨物_CNG,係数_バス貨物_軽油,係数_バス貨物_メタノール,係数_バス貨物_LPG),MATCH(AY675,【参考】排出係数!$AI$4:$AI$671,1),1,BE675):INDEX((係数_バス貨物_ガソリン,係数_バス貨物_CNG,係数_バス貨物_軽油,係数_バス貨物_メタノール,係数_バス貨物_LPG),MATCH(AY675+1,【参考】排出係数!$AI$4:$AI$671,1)-1,5,BE675),5,FALSE)),IF(AND(BE675=3,LEFT(BF675,1)="1"),0.055,VLOOKUP(AU675,INDEX((係数_乗用_ガソリン,係数_乗用_CNG,係数_乗用_軽油,係数_乗用_メタノール,係数_乗用_LPG),1,1,BE675):INDEX((係数_乗用_ガソリン,係数_乗用_CNG,係数_乗用_軽油,係数_乗用_メタノール,係数_乗用_LPG),125,5,BE675),5,FALSE)))))</f>
        <v/>
      </c>
      <c r="AN675" s="461" t="str">
        <f t="shared" si="362"/>
        <v/>
      </c>
      <c r="AO675" s="462" t="str">
        <f t="shared" si="363"/>
        <v/>
      </c>
      <c r="AP675" s="463" t="str">
        <f t="shared" si="364"/>
        <v/>
      </c>
      <c r="AQ675" s="464"/>
      <c r="AR675" s="619"/>
      <c r="AS675" s="465" t="str">
        <f t="shared" si="366"/>
        <v/>
      </c>
      <c r="AT675" s="465" t="str">
        <f t="shared" si="367"/>
        <v/>
      </c>
      <c r="AU675" s="466" t="str">
        <f t="shared" si="368"/>
        <v/>
      </c>
      <c r="AV675" s="467" t="str">
        <f t="shared" si="369"/>
        <v/>
      </c>
      <c r="AW675" s="467" t="str">
        <f t="shared" si="370"/>
        <v/>
      </c>
      <c r="AX675" s="467" t="str">
        <f t="shared" si="371"/>
        <v/>
      </c>
      <c r="AY675" s="467" t="str">
        <f t="shared" si="372"/>
        <v/>
      </c>
      <c r="AZ675" s="467" t="str">
        <f t="shared" si="373"/>
        <v/>
      </c>
      <c r="BA675" s="468" t="str">
        <f>IF(AS675="","",IF(OR(AU675="",AU675="-"),"－",IF(OR(AZ675=8,AZ675=9),"",IF(OR(AW675=3,AW675=4,AW675=5,AW675=6),VLOOKUP(AU675,INDEX((係数_バス貨物_ガソリン,係数_バス貨物_CNG,係数_バス貨物_軽油,係数_バス貨物_メタノール,係数_バス貨物_LPG),MATCH(AY675,【参考】排出係数!$AI$4:$AI$671,1),1,BE675):INDEX((係数_バス貨物_ガソリン,係数_バス貨物_CNG,係数_バス貨物_軽油,係数_バス貨物_メタノール,係数_バス貨物_LPG),MATCH(AY675+1,【参考】排出係数!$AI$4:$AI$671,1)-1,5,BE675),2,FALSE),IF(OR(AW675=1,AW675=2),VLOOKUP(AU675,INDEX((係数_乗用_ガソリン,係数_乗用_CNG,係数_乗用_軽油,係数_乗用_メタノール,係数_乗用_LPG),1,1,BE675):INDEX((係数_乗用_ガソリン,係数_乗用_CNG,係数_乗用_軽油,係数_乗用_メタノール,係数_乗用_LPG),125,5,BE675),2,FALSE))))))</f>
        <v/>
      </c>
      <c r="BB675" s="468" t="str">
        <f>IF(T675="","",IF(OR(AU675="",AU675="-"),"－",IF(OR(AZ675=8,AZ675=9),"",IF(OR(AW675=3,AW675=4,AW675=5,AW675=6),VLOOKUP(AU675,INDEX((係数_バス貨物_ガソリン,係数_バス貨物_CNG,係数_バス貨物_軽油,係数_バス貨物_メタノール,係数_バス貨物_LPG),MATCH(AY675,【参考】排出係数!$AI$4:$AI$671,1),1,BE675):INDEX((係数_バス貨物_ガソリン,係数_バス貨物_CNG,係数_バス貨物_軽油,係数_バス貨物_メタノール,係数_バス貨物_LPG),MATCH(AY675+1,【参考】排出係数!$AI$4:$AI$671,1)-1,5,BE675),3,FALSE),IF(OR(AW675=1,AW675=2),VLOOKUP(AU675,INDEX((係数_乗用_ガソリン,係数_乗用_CNG,係数_乗用_軽油,係数_乗用_メタノール,係数_乗用_LPG),1,1,BE675):INDEX((係数_乗用_ガソリン,係数_乗用_CNG,係数_乗用_軽油,係数_乗用_メタノール,係数_乗用_LPG),125,5,BE675),3,FALSE))))))</f>
        <v/>
      </c>
      <c r="BC675" s="467" t="str">
        <f t="shared" si="374"/>
        <v/>
      </c>
      <c r="BD675" s="567" t="str">
        <f t="shared" si="375"/>
        <v/>
      </c>
      <c r="BE675" s="467" t="str">
        <f t="shared" si="376"/>
        <v/>
      </c>
      <c r="BF675" s="469" t="str">
        <f t="shared" ca="1" si="377"/>
        <v/>
      </c>
      <c r="BG675" s="469" t="str">
        <f t="shared" ca="1" si="378"/>
        <v/>
      </c>
      <c r="BH675" s="467" t="str">
        <f t="shared" si="379"/>
        <v/>
      </c>
      <c r="BI675" s="467" t="str">
        <f t="shared" ca="1" si="380"/>
        <v/>
      </c>
      <c r="BJ675" s="469" t="str">
        <f t="shared" si="381"/>
        <v/>
      </c>
      <c r="BK675" s="470" t="str">
        <f t="shared" si="365"/>
        <v/>
      </c>
      <c r="BL675" s="775" t="str">
        <f t="shared" si="382"/>
        <v/>
      </c>
      <c r="BM675" s="775" t="str">
        <f t="shared" si="383"/>
        <v/>
      </c>
    </row>
    <row r="676" spans="1:65">
      <c r="A676" s="473">
        <v>620</v>
      </c>
      <c r="B676" s="132"/>
      <c r="C676" s="332"/>
      <c r="D676" s="333"/>
      <c r="E676" s="333"/>
      <c r="F676" s="334"/>
      <c r="G676" s="337"/>
      <c r="H676" s="131"/>
      <c r="I676" s="337"/>
      <c r="J676" s="131"/>
      <c r="K676" s="458" t="str">
        <f t="shared" si="352"/>
        <v/>
      </c>
      <c r="L676" s="458">
        <f t="shared" si="353"/>
        <v>0</v>
      </c>
      <c r="M676" s="458">
        <f t="shared" si="354"/>
        <v>0</v>
      </c>
      <c r="N676" s="459" t="str">
        <f t="shared" si="283"/>
        <v/>
      </c>
      <c r="O676" s="459" t="str">
        <f t="shared" si="284"/>
        <v/>
      </c>
      <c r="P676" s="459" t="str">
        <f t="shared" si="285"/>
        <v/>
      </c>
      <c r="Q676" s="459" t="str">
        <f t="shared" si="286"/>
        <v/>
      </c>
      <c r="R676" s="459" t="str">
        <f t="shared" si="287"/>
        <v/>
      </c>
      <c r="S676" s="459" t="str">
        <f t="shared" si="288"/>
        <v/>
      </c>
      <c r="T676" s="566" t="str">
        <f t="shared" si="355"/>
        <v/>
      </c>
      <c r="U676" s="702"/>
      <c r="V676" s="132"/>
      <c r="W676" s="133"/>
      <c r="X676" s="134"/>
      <c r="Y676" s="135"/>
      <c r="Z676" s="137"/>
      <c r="AA676" s="136"/>
      <c r="AB676" s="566" t="str">
        <f t="shared" si="356"/>
        <v/>
      </c>
      <c r="AC676" s="568" t="str">
        <f t="shared" si="357"/>
        <v/>
      </c>
      <c r="AD676" s="137"/>
      <c r="AE676" s="137"/>
      <c r="AF676" s="138"/>
      <c r="AG676" s="138"/>
      <c r="AH676" s="592" t="str">
        <f t="shared" si="358"/>
        <v/>
      </c>
      <c r="AI676" s="592" t="str">
        <f t="shared" si="359"/>
        <v/>
      </c>
      <c r="AJ676" s="592" t="str">
        <f t="shared" si="360"/>
        <v/>
      </c>
      <c r="AK676" s="460" t="str">
        <f>IF(AU676="","",IF(OR(AZ676=8,AZ676=9),0,IF(OR(AW676=3,AW676=4,AW676=5,AW676=6),IF(LEFT(BF676,1)="1",INDEX(係数_NOX・PM低減,MATCH(AY676,【参考】排出係数!$AI$801:$AI$804,1),1),VLOOKUP(AU676,INDEX((係数_バス貨物_ガソリン,係数_バス貨物_CNG,係数_バス貨物_軽油,係数_バス貨物_メタノール,係数_バス貨物_LPG),MATCH(AY676,【参考】排出係数!$AI$4:$AI$671,1),1,BE676):INDEX((係数_バス貨物_ガソリン,係数_バス貨物_CNG,係数_バス貨物_軽油,係数_バス貨物_メタノール,係数_バス貨物_LPG),MATCH(AY676+1,【参考】排出係数!$AI$4:$AI$671,1)-1,5,BE676),4,FALSE)),IF(AND(BE676=3,LEFT(BF676,1)="1"),0.48,VLOOKUP(AU676,INDEX((係数_乗用_ガソリン,係数_乗用_CNG,係数_乗用_軽油,係数_乗用_メタノール,係数_乗用_LPG),1,1,BE676):INDEX((係数_乗用_ガソリン,係数_乗用_CNG,係数_乗用_軽油,係数_乗用_メタノール,係数_乗用_LPG),125,5,BE676),4,FALSE)))))</f>
        <v/>
      </c>
      <c r="AL676" s="461" t="str">
        <f t="shared" si="361"/>
        <v/>
      </c>
      <c r="AM676" s="460" t="str">
        <f>IF(AU676="","",IF(OR(AZ676=8,AZ676=9),0,IF(OR(AW676=3,AW676=4,AW676=5,AW676=6),IF(LEFT(BH676,1)="1",INDEX(係数_PM低減,MATCH(AY676,【参考】排出係数!$AI$801:$AI$804,1),MATCH(BI676,【参考】排出係数!$AL$798:$AO$798,1)),VLOOKUP(AU676,INDEX((係数_バス貨物_ガソリン,係数_バス貨物_CNG,係数_バス貨物_軽油,係数_バス貨物_メタノール,係数_バス貨物_LPG),MATCH(AY676,【参考】排出係数!$AI$4:$AI$671,1),1,BE676):INDEX((係数_バス貨物_ガソリン,係数_バス貨物_CNG,係数_バス貨物_軽油,係数_バス貨物_メタノール,係数_バス貨物_LPG),MATCH(AY676+1,【参考】排出係数!$AI$4:$AI$671,1)-1,5,BE676),5,FALSE)),IF(AND(BE676=3,LEFT(BF676,1)="1"),0.055,VLOOKUP(AU676,INDEX((係数_乗用_ガソリン,係数_乗用_CNG,係数_乗用_軽油,係数_乗用_メタノール,係数_乗用_LPG),1,1,BE676):INDEX((係数_乗用_ガソリン,係数_乗用_CNG,係数_乗用_軽油,係数_乗用_メタノール,係数_乗用_LPG),125,5,BE676),5,FALSE)))))</f>
        <v/>
      </c>
      <c r="AN676" s="461" t="str">
        <f t="shared" si="362"/>
        <v/>
      </c>
      <c r="AO676" s="462" t="str">
        <f t="shared" si="363"/>
        <v/>
      </c>
      <c r="AP676" s="463" t="str">
        <f t="shared" si="364"/>
        <v/>
      </c>
      <c r="AQ676" s="464"/>
      <c r="AR676" s="619"/>
      <c r="AS676" s="465" t="str">
        <f t="shared" si="366"/>
        <v/>
      </c>
      <c r="AT676" s="465" t="str">
        <f t="shared" si="367"/>
        <v/>
      </c>
      <c r="AU676" s="466" t="str">
        <f t="shared" si="368"/>
        <v/>
      </c>
      <c r="AV676" s="467" t="str">
        <f t="shared" si="369"/>
        <v/>
      </c>
      <c r="AW676" s="467" t="str">
        <f t="shared" si="370"/>
        <v/>
      </c>
      <c r="AX676" s="467" t="str">
        <f t="shared" si="371"/>
        <v/>
      </c>
      <c r="AY676" s="467" t="str">
        <f t="shared" si="372"/>
        <v/>
      </c>
      <c r="AZ676" s="467" t="str">
        <f t="shared" si="373"/>
        <v/>
      </c>
      <c r="BA676" s="468" t="str">
        <f>IF(AS676="","",IF(OR(AU676="",AU676="-"),"－",IF(OR(AZ676=8,AZ676=9),"",IF(OR(AW676=3,AW676=4,AW676=5,AW676=6),VLOOKUP(AU676,INDEX((係数_バス貨物_ガソリン,係数_バス貨物_CNG,係数_バス貨物_軽油,係数_バス貨物_メタノール,係数_バス貨物_LPG),MATCH(AY676,【参考】排出係数!$AI$4:$AI$671,1),1,BE676):INDEX((係数_バス貨物_ガソリン,係数_バス貨物_CNG,係数_バス貨物_軽油,係数_バス貨物_メタノール,係数_バス貨物_LPG),MATCH(AY676+1,【参考】排出係数!$AI$4:$AI$671,1)-1,5,BE676),2,FALSE),IF(OR(AW676=1,AW676=2),VLOOKUP(AU676,INDEX((係数_乗用_ガソリン,係数_乗用_CNG,係数_乗用_軽油,係数_乗用_メタノール,係数_乗用_LPG),1,1,BE676):INDEX((係数_乗用_ガソリン,係数_乗用_CNG,係数_乗用_軽油,係数_乗用_メタノール,係数_乗用_LPG),125,5,BE676),2,FALSE))))))</f>
        <v/>
      </c>
      <c r="BB676" s="468" t="str">
        <f>IF(T676="","",IF(OR(AU676="",AU676="-"),"－",IF(OR(AZ676=8,AZ676=9),"",IF(OR(AW676=3,AW676=4,AW676=5,AW676=6),VLOOKUP(AU676,INDEX((係数_バス貨物_ガソリン,係数_バス貨物_CNG,係数_バス貨物_軽油,係数_バス貨物_メタノール,係数_バス貨物_LPG),MATCH(AY676,【参考】排出係数!$AI$4:$AI$671,1),1,BE676):INDEX((係数_バス貨物_ガソリン,係数_バス貨物_CNG,係数_バス貨物_軽油,係数_バス貨物_メタノール,係数_バス貨物_LPG),MATCH(AY676+1,【参考】排出係数!$AI$4:$AI$671,1)-1,5,BE676),3,FALSE),IF(OR(AW676=1,AW676=2),VLOOKUP(AU676,INDEX((係数_乗用_ガソリン,係数_乗用_CNG,係数_乗用_軽油,係数_乗用_メタノール,係数_乗用_LPG),1,1,BE676):INDEX((係数_乗用_ガソリン,係数_乗用_CNG,係数_乗用_軽油,係数_乗用_メタノール,係数_乗用_LPG),125,5,BE676),3,FALSE))))))</f>
        <v/>
      </c>
      <c r="BC676" s="467" t="str">
        <f t="shared" si="374"/>
        <v/>
      </c>
      <c r="BD676" s="567" t="str">
        <f t="shared" si="375"/>
        <v/>
      </c>
      <c r="BE676" s="467" t="str">
        <f t="shared" si="376"/>
        <v/>
      </c>
      <c r="BF676" s="469" t="str">
        <f t="shared" ca="1" si="377"/>
        <v/>
      </c>
      <c r="BG676" s="469" t="str">
        <f t="shared" ca="1" si="378"/>
        <v/>
      </c>
      <c r="BH676" s="467" t="str">
        <f t="shared" si="379"/>
        <v/>
      </c>
      <c r="BI676" s="467" t="str">
        <f t="shared" ca="1" si="380"/>
        <v/>
      </c>
      <c r="BJ676" s="469" t="str">
        <f t="shared" si="381"/>
        <v/>
      </c>
      <c r="BK676" s="470" t="str">
        <f t="shared" si="365"/>
        <v/>
      </c>
      <c r="BL676" s="775" t="str">
        <f t="shared" si="382"/>
        <v/>
      </c>
      <c r="BM676" s="775" t="str">
        <f t="shared" si="383"/>
        <v/>
      </c>
    </row>
    <row r="677" spans="1:65">
      <c r="A677" s="473">
        <v>621</v>
      </c>
      <c r="B677" s="132"/>
      <c r="C677" s="332"/>
      <c r="D677" s="333"/>
      <c r="E677" s="333"/>
      <c r="F677" s="334"/>
      <c r="G677" s="337"/>
      <c r="H677" s="131"/>
      <c r="I677" s="337"/>
      <c r="J677" s="131"/>
      <c r="K677" s="458" t="str">
        <f t="shared" si="352"/>
        <v/>
      </c>
      <c r="L677" s="458">
        <f t="shared" si="353"/>
        <v>0</v>
      </c>
      <c r="M677" s="458">
        <f t="shared" si="354"/>
        <v>0</v>
      </c>
      <c r="N677" s="459" t="str">
        <f t="shared" si="283"/>
        <v/>
      </c>
      <c r="O677" s="459" t="str">
        <f t="shared" si="284"/>
        <v/>
      </c>
      <c r="P677" s="459" t="str">
        <f t="shared" si="285"/>
        <v/>
      </c>
      <c r="Q677" s="459" t="str">
        <f t="shared" si="286"/>
        <v/>
      </c>
      <c r="R677" s="459" t="str">
        <f t="shared" si="287"/>
        <v/>
      </c>
      <c r="S677" s="459" t="str">
        <f t="shared" si="288"/>
        <v/>
      </c>
      <c r="T677" s="566" t="str">
        <f t="shared" si="355"/>
        <v/>
      </c>
      <c r="U677" s="702"/>
      <c r="V677" s="132"/>
      <c r="W677" s="133"/>
      <c r="X677" s="134"/>
      <c r="Y677" s="135"/>
      <c r="Z677" s="137"/>
      <c r="AA677" s="136"/>
      <c r="AB677" s="566" t="str">
        <f t="shared" si="356"/>
        <v/>
      </c>
      <c r="AC677" s="568" t="str">
        <f t="shared" si="357"/>
        <v/>
      </c>
      <c r="AD677" s="137"/>
      <c r="AE677" s="137"/>
      <c r="AF677" s="138"/>
      <c r="AG677" s="138"/>
      <c r="AH677" s="592" t="str">
        <f t="shared" si="358"/>
        <v/>
      </c>
      <c r="AI677" s="592" t="str">
        <f t="shared" si="359"/>
        <v/>
      </c>
      <c r="AJ677" s="592" t="str">
        <f t="shared" si="360"/>
        <v/>
      </c>
      <c r="AK677" s="460" t="str">
        <f>IF(AU677="","",IF(OR(AZ677=8,AZ677=9),0,IF(OR(AW677=3,AW677=4,AW677=5,AW677=6),IF(LEFT(BF677,1)="1",INDEX(係数_NOX・PM低減,MATCH(AY677,【参考】排出係数!$AI$801:$AI$804,1),1),VLOOKUP(AU677,INDEX((係数_バス貨物_ガソリン,係数_バス貨物_CNG,係数_バス貨物_軽油,係数_バス貨物_メタノール,係数_バス貨物_LPG),MATCH(AY677,【参考】排出係数!$AI$4:$AI$671,1),1,BE677):INDEX((係数_バス貨物_ガソリン,係数_バス貨物_CNG,係数_バス貨物_軽油,係数_バス貨物_メタノール,係数_バス貨物_LPG),MATCH(AY677+1,【参考】排出係数!$AI$4:$AI$671,1)-1,5,BE677),4,FALSE)),IF(AND(BE677=3,LEFT(BF677,1)="1"),0.48,VLOOKUP(AU677,INDEX((係数_乗用_ガソリン,係数_乗用_CNG,係数_乗用_軽油,係数_乗用_メタノール,係数_乗用_LPG),1,1,BE677):INDEX((係数_乗用_ガソリン,係数_乗用_CNG,係数_乗用_軽油,係数_乗用_メタノール,係数_乗用_LPG),125,5,BE677),4,FALSE)))))</f>
        <v/>
      </c>
      <c r="AL677" s="461" t="str">
        <f t="shared" si="361"/>
        <v/>
      </c>
      <c r="AM677" s="460" t="str">
        <f>IF(AU677="","",IF(OR(AZ677=8,AZ677=9),0,IF(OR(AW677=3,AW677=4,AW677=5,AW677=6),IF(LEFT(BH677,1)="1",INDEX(係数_PM低減,MATCH(AY677,【参考】排出係数!$AI$801:$AI$804,1),MATCH(BI677,【参考】排出係数!$AL$798:$AO$798,1)),VLOOKUP(AU677,INDEX((係数_バス貨物_ガソリン,係数_バス貨物_CNG,係数_バス貨物_軽油,係数_バス貨物_メタノール,係数_バス貨物_LPG),MATCH(AY677,【参考】排出係数!$AI$4:$AI$671,1),1,BE677):INDEX((係数_バス貨物_ガソリン,係数_バス貨物_CNG,係数_バス貨物_軽油,係数_バス貨物_メタノール,係数_バス貨物_LPG),MATCH(AY677+1,【参考】排出係数!$AI$4:$AI$671,1)-1,5,BE677),5,FALSE)),IF(AND(BE677=3,LEFT(BF677,1)="1"),0.055,VLOOKUP(AU677,INDEX((係数_乗用_ガソリン,係数_乗用_CNG,係数_乗用_軽油,係数_乗用_メタノール,係数_乗用_LPG),1,1,BE677):INDEX((係数_乗用_ガソリン,係数_乗用_CNG,係数_乗用_軽油,係数_乗用_メタノール,係数_乗用_LPG),125,5,BE677),5,FALSE)))))</f>
        <v/>
      </c>
      <c r="AN677" s="461" t="str">
        <f t="shared" si="362"/>
        <v/>
      </c>
      <c r="AO677" s="462" t="str">
        <f t="shared" si="363"/>
        <v/>
      </c>
      <c r="AP677" s="463" t="str">
        <f t="shared" si="364"/>
        <v/>
      </c>
      <c r="AQ677" s="464"/>
      <c r="AR677" s="619"/>
      <c r="AS677" s="465" t="str">
        <f t="shared" si="366"/>
        <v/>
      </c>
      <c r="AT677" s="465" t="str">
        <f t="shared" si="367"/>
        <v/>
      </c>
      <c r="AU677" s="466" t="str">
        <f t="shared" si="368"/>
        <v/>
      </c>
      <c r="AV677" s="467" t="str">
        <f t="shared" si="369"/>
        <v/>
      </c>
      <c r="AW677" s="467" t="str">
        <f t="shared" si="370"/>
        <v/>
      </c>
      <c r="AX677" s="467" t="str">
        <f t="shared" si="371"/>
        <v/>
      </c>
      <c r="AY677" s="467" t="str">
        <f t="shared" si="372"/>
        <v/>
      </c>
      <c r="AZ677" s="467" t="str">
        <f t="shared" si="373"/>
        <v/>
      </c>
      <c r="BA677" s="468" t="str">
        <f>IF(AS677="","",IF(OR(AU677="",AU677="-"),"－",IF(OR(AZ677=8,AZ677=9),"",IF(OR(AW677=3,AW677=4,AW677=5,AW677=6),VLOOKUP(AU677,INDEX((係数_バス貨物_ガソリン,係数_バス貨物_CNG,係数_バス貨物_軽油,係数_バス貨物_メタノール,係数_バス貨物_LPG),MATCH(AY677,【参考】排出係数!$AI$4:$AI$671,1),1,BE677):INDEX((係数_バス貨物_ガソリン,係数_バス貨物_CNG,係数_バス貨物_軽油,係数_バス貨物_メタノール,係数_バス貨物_LPG),MATCH(AY677+1,【参考】排出係数!$AI$4:$AI$671,1)-1,5,BE677),2,FALSE),IF(OR(AW677=1,AW677=2),VLOOKUP(AU677,INDEX((係数_乗用_ガソリン,係数_乗用_CNG,係数_乗用_軽油,係数_乗用_メタノール,係数_乗用_LPG),1,1,BE677):INDEX((係数_乗用_ガソリン,係数_乗用_CNG,係数_乗用_軽油,係数_乗用_メタノール,係数_乗用_LPG),125,5,BE677),2,FALSE))))))</f>
        <v/>
      </c>
      <c r="BB677" s="468" t="str">
        <f>IF(T677="","",IF(OR(AU677="",AU677="-"),"－",IF(OR(AZ677=8,AZ677=9),"",IF(OR(AW677=3,AW677=4,AW677=5,AW677=6),VLOOKUP(AU677,INDEX((係数_バス貨物_ガソリン,係数_バス貨物_CNG,係数_バス貨物_軽油,係数_バス貨物_メタノール,係数_バス貨物_LPG),MATCH(AY677,【参考】排出係数!$AI$4:$AI$671,1),1,BE677):INDEX((係数_バス貨物_ガソリン,係数_バス貨物_CNG,係数_バス貨物_軽油,係数_バス貨物_メタノール,係数_バス貨物_LPG),MATCH(AY677+1,【参考】排出係数!$AI$4:$AI$671,1)-1,5,BE677),3,FALSE),IF(OR(AW677=1,AW677=2),VLOOKUP(AU677,INDEX((係数_乗用_ガソリン,係数_乗用_CNG,係数_乗用_軽油,係数_乗用_メタノール,係数_乗用_LPG),1,1,BE677):INDEX((係数_乗用_ガソリン,係数_乗用_CNG,係数_乗用_軽油,係数_乗用_メタノール,係数_乗用_LPG),125,5,BE677),3,FALSE))))))</f>
        <v/>
      </c>
      <c r="BC677" s="467" t="str">
        <f t="shared" si="374"/>
        <v/>
      </c>
      <c r="BD677" s="567" t="str">
        <f t="shared" si="375"/>
        <v/>
      </c>
      <c r="BE677" s="467" t="str">
        <f t="shared" si="376"/>
        <v/>
      </c>
      <c r="BF677" s="469" t="str">
        <f t="shared" ca="1" si="377"/>
        <v/>
      </c>
      <c r="BG677" s="469" t="str">
        <f t="shared" ca="1" si="378"/>
        <v/>
      </c>
      <c r="BH677" s="467" t="str">
        <f t="shared" si="379"/>
        <v/>
      </c>
      <c r="BI677" s="467" t="str">
        <f t="shared" ca="1" si="380"/>
        <v/>
      </c>
      <c r="BJ677" s="469" t="str">
        <f t="shared" si="381"/>
        <v/>
      </c>
      <c r="BK677" s="470" t="str">
        <f t="shared" si="365"/>
        <v/>
      </c>
      <c r="BL677" s="775" t="str">
        <f t="shared" si="382"/>
        <v/>
      </c>
      <c r="BM677" s="775" t="str">
        <f t="shared" si="383"/>
        <v/>
      </c>
    </row>
    <row r="678" spans="1:65">
      <c r="A678" s="473">
        <v>622</v>
      </c>
      <c r="B678" s="132"/>
      <c r="C678" s="332"/>
      <c r="D678" s="333"/>
      <c r="E678" s="333"/>
      <c r="F678" s="334"/>
      <c r="G678" s="337"/>
      <c r="H678" s="131"/>
      <c r="I678" s="337"/>
      <c r="J678" s="131"/>
      <c r="K678" s="458" t="str">
        <f t="shared" si="352"/>
        <v/>
      </c>
      <c r="L678" s="458">
        <f t="shared" si="353"/>
        <v>0</v>
      </c>
      <c r="M678" s="458">
        <f t="shared" si="354"/>
        <v>0</v>
      </c>
      <c r="N678" s="459" t="str">
        <f t="shared" si="283"/>
        <v/>
      </c>
      <c r="O678" s="459" t="str">
        <f t="shared" si="284"/>
        <v/>
      </c>
      <c r="P678" s="459" t="str">
        <f t="shared" si="285"/>
        <v/>
      </c>
      <c r="Q678" s="459" t="str">
        <f t="shared" si="286"/>
        <v/>
      </c>
      <c r="R678" s="459" t="str">
        <f t="shared" si="287"/>
        <v/>
      </c>
      <c r="S678" s="459" t="str">
        <f t="shared" si="288"/>
        <v/>
      </c>
      <c r="T678" s="566" t="str">
        <f t="shared" si="355"/>
        <v/>
      </c>
      <c r="U678" s="702"/>
      <c r="V678" s="132"/>
      <c r="W678" s="133"/>
      <c r="X678" s="134"/>
      <c r="Y678" s="135"/>
      <c r="Z678" s="137"/>
      <c r="AA678" s="136"/>
      <c r="AB678" s="566" t="str">
        <f t="shared" si="356"/>
        <v/>
      </c>
      <c r="AC678" s="568" t="str">
        <f t="shared" si="357"/>
        <v/>
      </c>
      <c r="AD678" s="137"/>
      <c r="AE678" s="137"/>
      <c r="AF678" s="138"/>
      <c r="AG678" s="138"/>
      <c r="AH678" s="592" t="str">
        <f t="shared" si="358"/>
        <v/>
      </c>
      <c r="AI678" s="592" t="str">
        <f t="shared" si="359"/>
        <v/>
      </c>
      <c r="AJ678" s="592" t="str">
        <f t="shared" si="360"/>
        <v/>
      </c>
      <c r="AK678" s="460" t="str">
        <f>IF(AU678="","",IF(OR(AZ678=8,AZ678=9),0,IF(OR(AW678=3,AW678=4,AW678=5,AW678=6),IF(LEFT(BF678,1)="1",INDEX(係数_NOX・PM低減,MATCH(AY678,【参考】排出係数!$AI$801:$AI$804,1),1),VLOOKUP(AU678,INDEX((係数_バス貨物_ガソリン,係数_バス貨物_CNG,係数_バス貨物_軽油,係数_バス貨物_メタノール,係数_バス貨物_LPG),MATCH(AY678,【参考】排出係数!$AI$4:$AI$671,1),1,BE678):INDEX((係数_バス貨物_ガソリン,係数_バス貨物_CNG,係数_バス貨物_軽油,係数_バス貨物_メタノール,係数_バス貨物_LPG),MATCH(AY678+1,【参考】排出係数!$AI$4:$AI$671,1)-1,5,BE678),4,FALSE)),IF(AND(BE678=3,LEFT(BF678,1)="1"),0.48,VLOOKUP(AU678,INDEX((係数_乗用_ガソリン,係数_乗用_CNG,係数_乗用_軽油,係数_乗用_メタノール,係数_乗用_LPG),1,1,BE678):INDEX((係数_乗用_ガソリン,係数_乗用_CNG,係数_乗用_軽油,係数_乗用_メタノール,係数_乗用_LPG),125,5,BE678),4,FALSE)))))</f>
        <v/>
      </c>
      <c r="AL678" s="461" t="str">
        <f t="shared" si="361"/>
        <v/>
      </c>
      <c r="AM678" s="460" t="str">
        <f>IF(AU678="","",IF(OR(AZ678=8,AZ678=9),0,IF(OR(AW678=3,AW678=4,AW678=5,AW678=6),IF(LEFT(BH678,1)="1",INDEX(係数_PM低減,MATCH(AY678,【参考】排出係数!$AI$801:$AI$804,1),MATCH(BI678,【参考】排出係数!$AL$798:$AO$798,1)),VLOOKUP(AU678,INDEX((係数_バス貨物_ガソリン,係数_バス貨物_CNG,係数_バス貨物_軽油,係数_バス貨物_メタノール,係数_バス貨物_LPG),MATCH(AY678,【参考】排出係数!$AI$4:$AI$671,1),1,BE678):INDEX((係数_バス貨物_ガソリン,係数_バス貨物_CNG,係数_バス貨物_軽油,係数_バス貨物_メタノール,係数_バス貨物_LPG),MATCH(AY678+1,【参考】排出係数!$AI$4:$AI$671,1)-1,5,BE678),5,FALSE)),IF(AND(BE678=3,LEFT(BF678,1)="1"),0.055,VLOOKUP(AU678,INDEX((係数_乗用_ガソリン,係数_乗用_CNG,係数_乗用_軽油,係数_乗用_メタノール,係数_乗用_LPG),1,1,BE678):INDEX((係数_乗用_ガソリン,係数_乗用_CNG,係数_乗用_軽油,係数_乗用_メタノール,係数_乗用_LPG),125,5,BE678),5,FALSE)))))</f>
        <v/>
      </c>
      <c r="AN678" s="461" t="str">
        <f t="shared" si="362"/>
        <v/>
      </c>
      <c r="AO678" s="462" t="str">
        <f t="shared" si="363"/>
        <v/>
      </c>
      <c r="AP678" s="463" t="str">
        <f t="shared" si="364"/>
        <v/>
      </c>
      <c r="AQ678" s="464"/>
      <c r="AR678" s="619"/>
      <c r="AS678" s="465" t="str">
        <f t="shared" si="366"/>
        <v/>
      </c>
      <c r="AT678" s="465" t="str">
        <f t="shared" si="367"/>
        <v/>
      </c>
      <c r="AU678" s="466" t="str">
        <f t="shared" si="368"/>
        <v/>
      </c>
      <c r="AV678" s="467" t="str">
        <f t="shared" si="369"/>
        <v/>
      </c>
      <c r="AW678" s="467" t="str">
        <f t="shared" si="370"/>
        <v/>
      </c>
      <c r="AX678" s="467" t="str">
        <f t="shared" si="371"/>
        <v/>
      </c>
      <c r="AY678" s="467" t="str">
        <f t="shared" si="372"/>
        <v/>
      </c>
      <c r="AZ678" s="467" t="str">
        <f t="shared" si="373"/>
        <v/>
      </c>
      <c r="BA678" s="468" t="str">
        <f>IF(AS678="","",IF(OR(AU678="",AU678="-"),"－",IF(OR(AZ678=8,AZ678=9),"",IF(OR(AW678=3,AW678=4,AW678=5,AW678=6),VLOOKUP(AU678,INDEX((係数_バス貨物_ガソリン,係数_バス貨物_CNG,係数_バス貨物_軽油,係数_バス貨物_メタノール,係数_バス貨物_LPG),MATCH(AY678,【参考】排出係数!$AI$4:$AI$671,1),1,BE678):INDEX((係数_バス貨物_ガソリン,係数_バス貨物_CNG,係数_バス貨物_軽油,係数_バス貨物_メタノール,係数_バス貨物_LPG),MATCH(AY678+1,【参考】排出係数!$AI$4:$AI$671,1)-1,5,BE678),2,FALSE),IF(OR(AW678=1,AW678=2),VLOOKUP(AU678,INDEX((係数_乗用_ガソリン,係数_乗用_CNG,係数_乗用_軽油,係数_乗用_メタノール,係数_乗用_LPG),1,1,BE678):INDEX((係数_乗用_ガソリン,係数_乗用_CNG,係数_乗用_軽油,係数_乗用_メタノール,係数_乗用_LPG),125,5,BE678),2,FALSE))))))</f>
        <v/>
      </c>
      <c r="BB678" s="468" t="str">
        <f>IF(T678="","",IF(OR(AU678="",AU678="-"),"－",IF(OR(AZ678=8,AZ678=9),"",IF(OR(AW678=3,AW678=4,AW678=5,AW678=6),VLOOKUP(AU678,INDEX((係数_バス貨物_ガソリン,係数_バス貨物_CNG,係数_バス貨物_軽油,係数_バス貨物_メタノール,係数_バス貨物_LPG),MATCH(AY678,【参考】排出係数!$AI$4:$AI$671,1),1,BE678):INDEX((係数_バス貨物_ガソリン,係数_バス貨物_CNG,係数_バス貨物_軽油,係数_バス貨物_メタノール,係数_バス貨物_LPG),MATCH(AY678+1,【参考】排出係数!$AI$4:$AI$671,1)-1,5,BE678),3,FALSE),IF(OR(AW678=1,AW678=2),VLOOKUP(AU678,INDEX((係数_乗用_ガソリン,係数_乗用_CNG,係数_乗用_軽油,係数_乗用_メタノール,係数_乗用_LPG),1,1,BE678):INDEX((係数_乗用_ガソリン,係数_乗用_CNG,係数_乗用_軽油,係数_乗用_メタノール,係数_乗用_LPG),125,5,BE678),3,FALSE))))))</f>
        <v/>
      </c>
      <c r="BC678" s="467" t="str">
        <f t="shared" si="374"/>
        <v/>
      </c>
      <c r="BD678" s="567" t="str">
        <f t="shared" si="375"/>
        <v/>
      </c>
      <c r="BE678" s="467" t="str">
        <f t="shared" si="376"/>
        <v/>
      </c>
      <c r="BF678" s="469" t="str">
        <f t="shared" ca="1" si="377"/>
        <v/>
      </c>
      <c r="BG678" s="469" t="str">
        <f t="shared" ca="1" si="378"/>
        <v/>
      </c>
      <c r="BH678" s="467" t="str">
        <f t="shared" si="379"/>
        <v/>
      </c>
      <c r="BI678" s="467" t="str">
        <f t="shared" ca="1" si="380"/>
        <v/>
      </c>
      <c r="BJ678" s="469" t="str">
        <f t="shared" si="381"/>
        <v/>
      </c>
      <c r="BK678" s="470" t="str">
        <f t="shared" si="365"/>
        <v/>
      </c>
      <c r="BL678" s="775" t="str">
        <f t="shared" si="382"/>
        <v/>
      </c>
      <c r="BM678" s="775" t="str">
        <f t="shared" si="383"/>
        <v/>
      </c>
    </row>
    <row r="679" spans="1:65">
      <c r="A679" s="473">
        <v>623</v>
      </c>
      <c r="B679" s="132"/>
      <c r="C679" s="332"/>
      <c r="D679" s="333"/>
      <c r="E679" s="333"/>
      <c r="F679" s="334"/>
      <c r="G679" s="337"/>
      <c r="H679" s="131"/>
      <c r="I679" s="337"/>
      <c r="J679" s="131"/>
      <c r="K679" s="458" t="str">
        <f t="shared" si="352"/>
        <v/>
      </c>
      <c r="L679" s="458">
        <f t="shared" si="353"/>
        <v>0</v>
      </c>
      <c r="M679" s="458">
        <f t="shared" si="354"/>
        <v>0</v>
      </c>
      <c r="N679" s="459" t="str">
        <f t="shared" si="283"/>
        <v/>
      </c>
      <c r="O679" s="459" t="str">
        <f t="shared" si="284"/>
        <v/>
      </c>
      <c r="P679" s="459" t="str">
        <f t="shared" si="285"/>
        <v/>
      </c>
      <c r="Q679" s="459" t="str">
        <f t="shared" si="286"/>
        <v/>
      </c>
      <c r="R679" s="459" t="str">
        <f t="shared" si="287"/>
        <v/>
      </c>
      <c r="S679" s="459" t="str">
        <f t="shared" si="288"/>
        <v/>
      </c>
      <c r="T679" s="566" t="str">
        <f t="shared" si="355"/>
        <v/>
      </c>
      <c r="U679" s="702"/>
      <c r="V679" s="132"/>
      <c r="W679" s="133"/>
      <c r="X679" s="134"/>
      <c r="Y679" s="135"/>
      <c r="Z679" s="137"/>
      <c r="AA679" s="136"/>
      <c r="AB679" s="566" t="str">
        <f t="shared" si="356"/>
        <v/>
      </c>
      <c r="AC679" s="568" t="str">
        <f t="shared" si="357"/>
        <v/>
      </c>
      <c r="AD679" s="137"/>
      <c r="AE679" s="137"/>
      <c r="AF679" s="138"/>
      <c r="AG679" s="138"/>
      <c r="AH679" s="592" t="str">
        <f t="shared" si="358"/>
        <v/>
      </c>
      <c r="AI679" s="592" t="str">
        <f t="shared" si="359"/>
        <v/>
      </c>
      <c r="AJ679" s="592" t="str">
        <f t="shared" si="360"/>
        <v/>
      </c>
      <c r="AK679" s="460" t="str">
        <f>IF(AU679="","",IF(OR(AZ679=8,AZ679=9),0,IF(OR(AW679=3,AW679=4,AW679=5,AW679=6),IF(LEFT(BF679,1)="1",INDEX(係数_NOX・PM低減,MATCH(AY679,【参考】排出係数!$AI$801:$AI$804,1),1),VLOOKUP(AU679,INDEX((係数_バス貨物_ガソリン,係数_バス貨物_CNG,係数_バス貨物_軽油,係数_バス貨物_メタノール,係数_バス貨物_LPG),MATCH(AY679,【参考】排出係数!$AI$4:$AI$671,1),1,BE679):INDEX((係数_バス貨物_ガソリン,係数_バス貨物_CNG,係数_バス貨物_軽油,係数_バス貨物_メタノール,係数_バス貨物_LPG),MATCH(AY679+1,【参考】排出係数!$AI$4:$AI$671,1)-1,5,BE679),4,FALSE)),IF(AND(BE679=3,LEFT(BF679,1)="1"),0.48,VLOOKUP(AU679,INDEX((係数_乗用_ガソリン,係数_乗用_CNG,係数_乗用_軽油,係数_乗用_メタノール,係数_乗用_LPG),1,1,BE679):INDEX((係数_乗用_ガソリン,係数_乗用_CNG,係数_乗用_軽油,係数_乗用_メタノール,係数_乗用_LPG),125,5,BE679),4,FALSE)))))</f>
        <v/>
      </c>
      <c r="AL679" s="461" t="str">
        <f t="shared" si="361"/>
        <v/>
      </c>
      <c r="AM679" s="460" t="str">
        <f>IF(AU679="","",IF(OR(AZ679=8,AZ679=9),0,IF(OR(AW679=3,AW679=4,AW679=5,AW679=6),IF(LEFT(BH679,1)="1",INDEX(係数_PM低減,MATCH(AY679,【参考】排出係数!$AI$801:$AI$804,1),MATCH(BI679,【参考】排出係数!$AL$798:$AO$798,1)),VLOOKUP(AU679,INDEX((係数_バス貨物_ガソリン,係数_バス貨物_CNG,係数_バス貨物_軽油,係数_バス貨物_メタノール,係数_バス貨物_LPG),MATCH(AY679,【参考】排出係数!$AI$4:$AI$671,1),1,BE679):INDEX((係数_バス貨物_ガソリン,係数_バス貨物_CNG,係数_バス貨物_軽油,係数_バス貨物_メタノール,係数_バス貨物_LPG),MATCH(AY679+1,【参考】排出係数!$AI$4:$AI$671,1)-1,5,BE679),5,FALSE)),IF(AND(BE679=3,LEFT(BF679,1)="1"),0.055,VLOOKUP(AU679,INDEX((係数_乗用_ガソリン,係数_乗用_CNG,係数_乗用_軽油,係数_乗用_メタノール,係数_乗用_LPG),1,1,BE679):INDEX((係数_乗用_ガソリン,係数_乗用_CNG,係数_乗用_軽油,係数_乗用_メタノール,係数_乗用_LPG),125,5,BE679),5,FALSE)))))</f>
        <v/>
      </c>
      <c r="AN679" s="461" t="str">
        <f t="shared" si="362"/>
        <v/>
      </c>
      <c r="AO679" s="462" t="str">
        <f t="shared" si="363"/>
        <v/>
      </c>
      <c r="AP679" s="463" t="str">
        <f t="shared" si="364"/>
        <v/>
      </c>
      <c r="AQ679" s="464"/>
      <c r="AR679" s="619"/>
      <c r="AS679" s="465" t="str">
        <f t="shared" si="366"/>
        <v/>
      </c>
      <c r="AT679" s="465" t="str">
        <f t="shared" si="367"/>
        <v/>
      </c>
      <c r="AU679" s="466" t="str">
        <f t="shared" si="368"/>
        <v/>
      </c>
      <c r="AV679" s="467" t="str">
        <f t="shared" si="369"/>
        <v/>
      </c>
      <c r="AW679" s="467" t="str">
        <f t="shared" si="370"/>
        <v/>
      </c>
      <c r="AX679" s="467" t="str">
        <f t="shared" si="371"/>
        <v/>
      </c>
      <c r="AY679" s="467" t="str">
        <f t="shared" si="372"/>
        <v/>
      </c>
      <c r="AZ679" s="467" t="str">
        <f t="shared" si="373"/>
        <v/>
      </c>
      <c r="BA679" s="468" t="str">
        <f>IF(AS679="","",IF(OR(AU679="",AU679="-"),"－",IF(OR(AZ679=8,AZ679=9),"",IF(OR(AW679=3,AW679=4,AW679=5,AW679=6),VLOOKUP(AU679,INDEX((係数_バス貨物_ガソリン,係数_バス貨物_CNG,係数_バス貨物_軽油,係数_バス貨物_メタノール,係数_バス貨物_LPG),MATCH(AY679,【参考】排出係数!$AI$4:$AI$671,1),1,BE679):INDEX((係数_バス貨物_ガソリン,係数_バス貨物_CNG,係数_バス貨物_軽油,係数_バス貨物_メタノール,係数_バス貨物_LPG),MATCH(AY679+1,【参考】排出係数!$AI$4:$AI$671,1)-1,5,BE679),2,FALSE),IF(OR(AW679=1,AW679=2),VLOOKUP(AU679,INDEX((係数_乗用_ガソリン,係数_乗用_CNG,係数_乗用_軽油,係数_乗用_メタノール,係数_乗用_LPG),1,1,BE679):INDEX((係数_乗用_ガソリン,係数_乗用_CNG,係数_乗用_軽油,係数_乗用_メタノール,係数_乗用_LPG),125,5,BE679),2,FALSE))))))</f>
        <v/>
      </c>
      <c r="BB679" s="468" t="str">
        <f>IF(T679="","",IF(OR(AU679="",AU679="-"),"－",IF(OR(AZ679=8,AZ679=9),"",IF(OR(AW679=3,AW679=4,AW679=5,AW679=6),VLOOKUP(AU679,INDEX((係数_バス貨物_ガソリン,係数_バス貨物_CNG,係数_バス貨物_軽油,係数_バス貨物_メタノール,係数_バス貨物_LPG),MATCH(AY679,【参考】排出係数!$AI$4:$AI$671,1),1,BE679):INDEX((係数_バス貨物_ガソリン,係数_バス貨物_CNG,係数_バス貨物_軽油,係数_バス貨物_メタノール,係数_バス貨物_LPG),MATCH(AY679+1,【参考】排出係数!$AI$4:$AI$671,1)-1,5,BE679),3,FALSE),IF(OR(AW679=1,AW679=2),VLOOKUP(AU679,INDEX((係数_乗用_ガソリン,係数_乗用_CNG,係数_乗用_軽油,係数_乗用_メタノール,係数_乗用_LPG),1,1,BE679):INDEX((係数_乗用_ガソリン,係数_乗用_CNG,係数_乗用_軽油,係数_乗用_メタノール,係数_乗用_LPG),125,5,BE679),3,FALSE))))))</f>
        <v/>
      </c>
      <c r="BC679" s="467" t="str">
        <f t="shared" si="374"/>
        <v/>
      </c>
      <c r="BD679" s="567" t="str">
        <f t="shared" si="375"/>
        <v/>
      </c>
      <c r="BE679" s="467" t="str">
        <f t="shared" si="376"/>
        <v/>
      </c>
      <c r="BF679" s="469" t="str">
        <f t="shared" ca="1" si="377"/>
        <v/>
      </c>
      <c r="BG679" s="469" t="str">
        <f t="shared" ca="1" si="378"/>
        <v/>
      </c>
      <c r="BH679" s="467" t="str">
        <f t="shared" si="379"/>
        <v/>
      </c>
      <c r="BI679" s="467" t="str">
        <f t="shared" ca="1" si="380"/>
        <v/>
      </c>
      <c r="BJ679" s="469" t="str">
        <f t="shared" si="381"/>
        <v/>
      </c>
      <c r="BK679" s="470" t="str">
        <f t="shared" si="365"/>
        <v/>
      </c>
      <c r="BL679" s="775" t="str">
        <f t="shared" si="382"/>
        <v/>
      </c>
      <c r="BM679" s="775" t="str">
        <f t="shared" si="383"/>
        <v/>
      </c>
    </row>
    <row r="680" spans="1:65">
      <c r="A680" s="473">
        <v>624</v>
      </c>
      <c r="B680" s="132"/>
      <c r="C680" s="332"/>
      <c r="D680" s="333"/>
      <c r="E680" s="333"/>
      <c r="F680" s="334"/>
      <c r="G680" s="337"/>
      <c r="H680" s="131"/>
      <c r="I680" s="337"/>
      <c r="J680" s="131"/>
      <c r="K680" s="458" t="str">
        <f t="shared" si="352"/>
        <v/>
      </c>
      <c r="L680" s="458">
        <f t="shared" si="353"/>
        <v>0</v>
      </c>
      <c r="M680" s="458">
        <f t="shared" si="354"/>
        <v>0</v>
      </c>
      <c r="N680" s="459" t="str">
        <f t="shared" si="283"/>
        <v/>
      </c>
      <c r="O680" s="459" t="str">
        <f t="shared" si="284"/>
        <v/>
      </c>
      <c r="P680" s="459" t="str">
        <f t="shared" si="285"/>
        <v/>
      </c>
      <c r="Q680" s="459" t="str">
        <f t="shared" si="286"/>
        <v/>
      </c>
      <c r="R680" s="459" t="str">
        <f t="shared" si="287"/>
        <v/>
      </c>
      <c r="S680" s="459" t="str">
        <f t="shared" si="288"/>
        <v/>
      </c>
      <c r="T680" s="566" t="str">
        <f t="shared" si="355"/>
        <v/>
      </c>
      <c r="U680" s="702"/>
      <c r="V680" s="132"/>
      <c r="W680" s="133"/>
      <c r="X680" s="134"/>
      <c r="Y680" s="135"/>
      <c r="Z680" s="137"/>
      <c r="AA680" s="136"/>
      <c r="AB680" s="566" t="str">
        <f t="shared" si="356"/>
        <v/>
      </c>
      <c r="AC680" s="568" t="str">
        <f t="shared" si="357"/>
        <v/>
      </c>
      <c r="AD680" s="137"/>
      <c r="AE680" s="137"/>
      <c r="AF680" s="138"/>
      <c r="AG680" s="138"/>
      <c r="AH680" s="592" t="str">
        <f t="shared" si="358"/>
        <v/>
      </c>
      <c r="AI680" s="592" t="str">
        <f t="shared" si="359"/>
        <v/>
      </c>
      <c r="AJ680" s="592" t="str">
        <f t="shared" si="360"/>
        <v/>
      </c>
      <c r="AK680" s="460" t="str">
        <f>IF(AU680="","",IF(OR(AZ680=8,AZ680=9),0,IF(OR(AW680=3,AW680=4,AW680=5,AW680=6),IF(LEFT(BF680,1)="1",INDEX(係数_NOX・PM低減,MATCH(AY680,【参考】排出係数!$AI$801:$AI$804,1),1),VLOOKUP(AU680,INDEX((係数_バス貨物_ガソリン,係数_バス貨物_CNG,係数_バス貨物_軽油,係数_バス貨物_メタノール,係数_バス貨物_LPG),MATCH(AY680,【参考】排出係数!$AI$4:$AI$671,1),1,BE680):INDEX((係数_バス貨物_ガソリン,係数_バス貨物_CNG,係数_バス貨物_軽油,係数_バス貨物_メタノール,係数_バス貨物_LPG),MATCH(AY680+1,【参考】排出係数!$AI$4:$AI$671,1)-1,5,BE680),4,FALSE)),IF(AND(BE680=3,LEFT(BF680,1)="1"),0.48,VLOOKUP(AU680,INDEX((係数_乗用_ガソリン,係数_乗用_CNG,係数_乗用_軽油,係数_乗用_メタノール,係数_乗用_LPG),1,1,BE680):INDEX((係数_乗用_ガソリン,係数_乗用_CNG,係数_乗用_軽油,係数_乗用_メタノール,係数_乗用_LPG),125,5,BE680),4,FALSE)))))</f>
        <v/>
      </c>
      <c r="AL680" s="461" t="str">
        <f t="shared" si="361"/>
        <v/>
      </c>
      <c r="AM680" s="460" t="str">
        <f>IF(AU680="","",IF(OR(AZ680=8,AZ680=9),0,IF(OR(AW680=3,AW680=4,AW680=5,AW680=6),IF(LEFT(BH680,1)="1",INDEX(係数_PM低減,MATCH(AY680,【参考】排出係数!$AI$801:$AI$804,1),MATCH(BI680,【参考】排出係数!$AL$798:$AO$798,1)),VLOOKUP(AU680,INDEX((係数_バス貨物_ガソリン,係数_バス貨物_CNG,係数_バス貨物_軽油,係数_バス貨物_メタノール,係数_バス貨物_LPG),MATCH(AY680,【参考】排出係数!$AI$4:$AI$671,1),1,BE680):INDEX((係数_バス貨物_ガソリン,係数_バス貨物_CNG,係数_バス貨物_軽油,係数_バス貨物_メタノール,係数_バス貨物_LPG),MATCH(AY680+1,【参考】排出係数!$AI$4:$AI$671,1)-1,5,BE680),5,FALSE)),IF(AND(BE680=3,LEFT(BF680,1)="1"),0.055,VLOOKUP(AU680,INDEX((係数_乗用_ガソリン,係数_乗用_CNG,係数_乗用_軽油,係数_乗用_メタノール,係数_乗用_LPG),1,1,BE680):INDEX((係数_乗用_ガソリン,係数_乗用_CNG,係数_乗用_軽油,係数_乗用_メタノール,係数_乗用_LPG),125,5,BE680),5,FALSE)))))</f>
        <v/>
      </c>
      <c r="AN680" s="461" t="str">
        <f t="shared" si="362"/>
        <v/>
      </c>
      <c r="AO680" s="462" t="str">
        <f t="shared" si="363"/>
        <v/>
      </c>
      <c r="AP680" s="463" t="str">
        <f t="shared" si="364"/>
        <v/>
      </c>
      <c r="AQ680" s="464"/>
      <c r="AR680" s="619"/>
      <c r="AS680" s="465" t="str">
        <f t="shared" si="366"/>
        <v/>
      </c>
      <c r="AT680" s="465" t="str">
        <f t="shared" si="367"/>
        <v/>
      </c>
      <c r="AU680" s="466" t="str">
        <f t="shared" si="368"/>
        <v/>
      </c>
      <c r="AV680" s="467" t="str">
        <f t="shared" si="369"/>
        <v/>
      </c>
      <c r="AW680" s="467" t="str">
        <f t="shared" si="370"/>
        <v/>
      </c>
      <c r="AX680" s="467" t="str">
        <f t="shared" si="371"/>
        <v/>
      </c>
      <c r="AY680" s="467" t="str">
        <f t="shared" si="372"/>
        <v/>
      </c>
      <c r="AZ680" s="467" t="str">
        <f t="shared" si="373"/>
        <v/>
      </c>
      <c r="BA680" s="468" t="str">
        <f>IF(AS680="","",IF(OR(AU680="",AU680="-"),"－",IF(OR(AZ680=8,AZ680=9),"",IF(OR(AW680=3,AW680=4,AW680=5,AW680=6),VLOOKUP(AU680,INDEX((係数_バス貨物_ガソリン,係数_バス貨物_CNG,係数_バス貨物_軽油,係数_バス貨物_メタノール,係数_バス貨物_LPG),MATCH(AY680,【参考】排出係数!$AI$4:$AI$671,1),1,BE680):INDEX((係数_バス貨物_ガソリン,係数_バス貨物_CNG,係数_バス貨物_軽油,係数_バス貨物_メタノール,係数_バス貨物_LPG),MATCH(AY680+1,【参考】排出係数!$AI$4:$AI$671,1)-1,5,BE680),2,FALSE),IF(OR(AW680=1,AW680=2),VLOOKUP(AU680,INDEX((係数_乗用_ガソリン,係数_乗用_CNG,係数_乗用_軽油,係数_乗用_メタノール,係数_乗用_LPG),1,1,BE680):INDEX((係数_乗用_ガソリン,係数_乗用_CNG,係数_乗用_軽油,係数_乗用_メタノール,係数_乗用_LPG),125,5,BE680),2,FALSE))))))</f>
        <v/>
      </c>
      <c r="BB680" s="468" t="str">
        <f>IF(T680="","",IF(OR(AU680="",AU680="-"),"－",IF(OR(AZ680=8,AZ680=9),"",IF(OR(AW680=3,AW680=4,AW680=5,AW680=6),VLOOKUP(AU680,INDEX((係数_バス貨物_ガソリン,係数_バス貨物_CNG,係数_バス貨物_軽油,係数_バス貨物_メタノール,係数_バス貨物_LPG),MATCH(AY680,【参考】排出係数!$AI$4:$AI$671,1),1,BE680):INDEX((係数_バス貨物_ガソリン,係数_バス貨物_CNG,係数_バス貨物_軽油,係数_バス貨物_メタノール,係数_バス貨物_LPG),MATCH(AY680+1,【参考】排出係数!$AI$4:$AI$671,1)-1,5,BE680),3,FALSE),IF(OR(AW680=1,AW680=2),VLOOKUP(AU680,INDEX((係数_乗用_ガソリン,係数_乗用_CNG,係数_乗用_軽油,係数_乗用_メタノール,係数_乗用_LPG),1,1,BE680):INDEX((係数_乗用_ガソリン,係数_乗用_CNG,係数_乗用_軽油,係数_乗用_メタノール,係数_乗用_LPG),125,5,BE680),3,FALSE))))))</f>
        <v/>
      </c>
      <c r="BC680" s="467" t="str">
        <f t="shared" si="374"/>
        <v/>
      </c>
      <c r="BD680" s="567" t="str">
        <f t="shared" si="375"/>
        <v/>
      </c>
      <c r="BE680" s="467" t="str">
        <f t="shared" si="376"/>
        <v/>
      </c>
      <c r="BF680" s="469" t="str">
        <f t="shared" ca="1" si="377"/>
        <v/>
      </c>
      <c r="BG680" s="469" t="str">
        <f t="shared" ca="1" si="378"/>
        <v/>
      </c>
      <c r="BH680" s="467" t="str">
        <f t="shared" si="379"/>
        <v/>
      </c>
      <c r="BI680" s="467" t="str">
        <f t="shared" ca="1" si="380"/>
        <v/>
      </c>
      <c r="BJ680" s="469" t="str">
        <f t="shared" si="381"/>
        <v/>
      </c>
      <c r="BK680" s="470" t="str">
        <f t="shared" si="365"/>
        <v/>
      </c>
      <c r="BL680" s="775" t="str">
        <f t="shared" si="382"/>
        <v/>
      </c>
      <c r="BM680" s="775" t="str">
        <f t="shared" si="383"/>
        <v/>
      </c>
    </row>
    <row r="681" spans="1:65">
      <c r="A681" s="473">
        <v>625</v>
      </c>
      <c r="B681" s="132"/>
      <c r="C681" s="332"/>
      <c r="D681" s="333"/>
      <c r="E681" s="333"/>
      <c r="F681" s="334"/>
      <c r="G681" s="337"/>
      <c r="H681" s="131"/>
      <c r="I681" s="337"/>
      <c r="J681" s="131"/>
      <c r="K681" s="458" t="str">
        <f t="shared" si="352"/>
        <v/>
      </c>
      <c r="L681" s="458">
        <f t="shared" si="353"/>
        <v>0</v>
      </c>
      <c r="M681" s="458">
        <f t="shared" si="354"/>
        <v>0</v>
      </c>
      <c r="N681" s="459" t="str">
        <f t="shared" si="283"/>
        <v/>
      </c>
      <c r="O681" s="459" t="str">
        <f t="shared" si="284"/>
        <v/>
      </c>
      <c r="P681" s="459" t="str">
        <f t="shared" si="285"/>
        <v/>
      </c>
      <c r="Q681" s="459" t="str">
        <f t="shared" si="286"/>
        <v/>
      </c>
      <c r="R681" s="459" t="str">
        <f t="shared" si="287"/>
        <v/>
      </c>
      <c r="S681" s="459" t="str">
        <f t="shared" si="288"/>
        <v/>
      </c>
      <c r="T681" s="566" t="str">
        <f t="shared" si="355"/>
        <v/>
      </c>
      <c r="U681" s="702"/>
      <c r="V681" s="132"/>
      <c r="W681" s="133"/>
      <c r="X681" s="134"/>
      <c r="Y681" s="135"/>
      <c r="Z681" s="137"/>
      <c r="AA681" s="136"/>
      <c r="AB681" s="566" t="str">
        <f t="shared" si="356"/>
        <v/>
      </c>
      <c r="AC681" s="568" t="str">
        <f t="shared" si="357"/>
        <v/>
      </c>
      <c r="AD681" s="137"/>
      <c r="AE681" s="137"/>
      <c r="AF681" s="138"/>
      <c r="AG681" s="138"/>
      <c r="AH681" s="592" t="str">
        <f t="shared" si="358"/>
        <v/>
      </c>
      <c r="AI681" s="592" t="str">
        <f t="shared" si="359"/>
        <v/>
      </c>
      <c r="AJ681" s="592" t="str">
        <f t="shared" si="360"/>
        <v/>
      </c>
      <c r="AK681" s="460" t="str">
        <f>IF(AU681="","",IF(OR(AZ681=8,AZ681=9),0,IF(OR(AW681=3,AW681=4,AW681=5,AW681=6),IF(LEFT(BF681,1)="1",INDEX(係数_NOX・PM低減,MATCH(AY681,【参考】排出係数!$AI$801:$AI$804,1),1),VLOOKUP(AU681,INDEX((係数_バス貨物_ガソリン,係数_バス貨物_CNG,係数_バス貨物_軽油,係数_バス貨物_メタノール,係数_バス貨物_LPG),MATCH(AY681,【参考】排出係数!$AI$4:$AI$671,1),1,BE681):INDEX((係数_バス貨物_ガソリン,係数_バス貨物_CNG,係数_バス貨物_軽油,係数_バス貨物_メタノール,係数_バス貨物_LPG),MATCH(AY681+1,【参考】排出係数!$AI$4:$AI$671,1)-1,5,BE681),4,FALSE)),IF(AND(BE681=3,LEFT(BF681,1)="1"),0.48,VLOOKUP(AU681,INDEX((係数_乗用_ガソリン,係数_乗用_CNG,係数_乗用_軽油,係数_乗用_メタノール,係数_乗用_LPG),1,1,BE681):INDEX((係数_乗用_ガソリン,係数_乗用_CNG,係数_乗用_軽油,係数_乗用_メタノール,係数_乗用_LPG),125,5,BE681),4,FALSE)))))</f>
        <v/>
      </c>
      <c r="AL681" s="461" t="str">
        <f t="shared" si="361"/>
        <v/>
      </c>
      <c r="AM681" s="460" t="str">
        <f>IF(AU681="","",IF(OR(AZ681=8,AZ681=9),0,IF(OR(AW681=3,AW681=4,AW681=5,AW681=6),IF(LEFT(BH681,1)="1",INDEX(係数_PM低減,MATCH(AY681,【参考】排出係数!$AI$801:$AI$804,1),MATCH(BI681,【参考】排出係数!$AL$798:$AO$798,1)),VLOOKUP(AU681,INDEX((係数_バス貨物_ガソリン,係数_バス貨物_CNG,係数_バス貨物_軽油,係数_バス貨物_メタノール,係数_バス貨物_LPG),MATCH(AY681,【参考】排出係数!$AI$4:$AI$671,1),1,BE681):INDEX((係数_バス貨物_ガソリン,係数_バス貨物_CNG,係数_バス貨物_軽油,係数_バス貨物_メタノール,係数_バス貨物_LPG),MATCH(AY681+1,【参考】排出係数!$AI$4:$AI$671,1)-1,5,BE681),5,FALSE)),IF(AND(BE681=3,LEFT(BF681,1)="1"),0.055,VLOOKUP(AU681,INDEX((係数_乗用_ガソリン,係数_乗用_CNG,係数_乗用_軽油,係数_乗用_メタノール,係数_乗用_LPG),1,1,BE681):INDEX((係数_乗用_ガソリン,係数_乗用_CNG,係数_乗用_軽油,係数_乗用_メタノール,係数_乗用_LPG),125,5,BE681),5,FALSE)))))</f>
        <v/>
      </c>
      <c r="AN681" s="461" t="str">
        <f t="shared" si="362"/>
        <v/>
      </c>
      <c r="AO681" s="462" t="str">
        <f t="shared" si="363"/>
        <v/>
      </c>
      <c r="AP681" s="463" t="str">
        <f t="shared" si="364"/>
        <v/>
      </c>
      <c r="AQ681" s="464"/>
      <c r="AR681" s="619"/>
      <c r="AS681" s="465" t="str">
        <f t="shared" si="366"/>
        <v/>
      </c>
      <c r="AT681" s="465" t="str">
        <f t="shared" si="367"/>
        <v/>
      </c>
      <c r="AU681" s="466" t="str">
        <f t="shared" si="368"/>
        <v/>
      </c>
      <c r="AV681" s="467" t="str">
        <f t="shared" si="369"/>
        <v/>
      </c>
      <c r="AW681" s="467" t="str">
        <f t="shared" si="370"/>
        <v/>
      </c>
      <c r="AX681" s="467" t="str">
        <f t="shared" si="371"/>
        <v/>
      </c>
      <c r="AY681" s="467" t="str">
        <f t="shared" si="372"/>
        <v/>
      </c>
      <c r="AZ681" s="467" t="str">
        <f t="shared" si="373"/>
        <v/>
      </c>
      <c r="BA681" s="468" t="str">
        <f>IF(AS681="","",IF(OR(AU681="",AU681="-"),"－",IF(OR(AZ681=8,AZ681=9),"",IF(OR(AW681=3,AW681=4,AW681=5,AW681=6),VLOOKUP(AU681,INDEX((係数_バス貨物_ガソリン,係数_バス貨物_CNG,係数_バス貨物_軽油,係数_バス貨物_メタノール,係数_バス貨物_LPG),MATCH(AY681,【参考】排出係数!$AI$4:$AI$671,1),1,BE681):INDEX((係数_バス貨物_ガソリン,係数_バス貨物_CNG,係数_バス貨物_軽油,係数_バス貨物_メタノール,係数_バス貨物_LPG),MATCH(AY681+1,【参考】排出係数!$AI$4:$AI$671,1)-1,5,BE681),2,FALSE),IF(OR(AW681=1,AW681=2),VLOOKUP(AU681,INDEX((係数_乗用_ガソリン,係数_乗用_CNG,係数_乗用_軽油,係数_乗用_メタノール,係数_乗用_LPG),1,1,BE681):INDEX((係数_乗用_ガソリン,係数_乗用_CNG,係数_乗用_軽油,係数_乗用_メタノール,係数_乗用_LPG),125,5,BE681),2,FALSE))))))</f>
        <v/>
      </c>
      <c r="BB681" s="468" t="str">
        <f>IF(T681="","",IF(OR(AU681="",AU681="-"),"－",IF(OR(AZ681=8,AZ681=9),"",IF(OR(AW681=3,AW681=4,AW681=5,AW681=6),VLOOKUP(AU681,INDEX((係数_バス貨物_ガソリン,係数_バス貨物_CNG,係数_バス貨物_軽油,係数_バス貨物_メタノール,係数_バス貨物_LPG),MATCH(AY681,【参考】排出係数!$AI$4:$AI$671,1),1,BE681):INDEX((係数_バス貨物_ガソリン,係数_バス貨物_CNG,係数_バス貨物_軽油,係数_バス貨物_メタノール,係数_バス貨物_LPG),MATCH(AY681+1,【参考】排出係数!$AI$4:$AI$671,1)-1,5,BE681),3,FALSE),IF(OR(AW681=1,AW681=2),VLOOKUP(AU681,INDEX((係数_乗用_ガソリン,係数_乗用_CNG,係数_乗用_軽油,係数_乗用_メタノール,係数_乗用_LPG),1,1,BE681):INDEX((係数_乗用_ガソリン,係数_乗用_CNG,係数_乗用_軽油,係数_乗用_メタノール,係数_乗用_LPG),125,5,BE681),3,FALSE))))))</f>
        <v/>
      </c>
      <c r="BC681" s="467" t="str">
        <f t="shared" si="374"/>
        <v/>
      </c>
      <c r="BD681" s="567" t="str">
        <f t="shared" si="375"/>
        <v/>
      </c>
      <c r="BE681" s="467" t="str">
        <f t="shared" si="376"/>
        <v/>
      </c>
      <c r="BF681" s="469" t="str">
        <f t="shared" ca="1" si="377"/>
        <v/>
      </c>
      <c r="BG681" s="469" t="str">
        <f t="shared" ca="1" si="378"/>
        <v/>
      </c>
      <c r="BH681" s="467" t="str">
        <f t="shared" si="379"/>
        <v/>
      </c>
      <c r="BI681" s="467" t="str">
        <f t="shared" ca="1" si="380"/>
        <v/>
      </c>
      <c r="BJ681" s="469" t="str">
        <f t="shared" si="381"/>
        <v/>
      </c>
      <c r="BK681" s="470" t="str">
        <f t="shared" si="365"/>
        <v/>
      </c>
      <c r="BL681" s="775" t="str">
        <f t="shared" si="382"/>
        <v/>
      </c>
      <c r="BM681" s="775" t="str">
        <f t="shared" si="383"/>
        <v/>
      </c>
    </row>
    <row r="682" spans="1:65">
      <c r="A682" s="473">
        <v>626</v>
      </c>
      <c r="B682" s="132"/>
      <c r="C682" s="332"/>
      <c r="D682" s="333"/>
      <c r="E682" s="333"/>
      <c r="F682" s="334"/>
      <c r="G682" s="337"/>
      <c r="H682" s="131"/>
      <c r="I682" s="337"/>
      <c r="J682" s="131"/>
      <c r="K682" s="458" t="str">
        <f t="shared" si="352"/>
        <v/>
      </c>
      <c r="L682" s="458">
        <f t="shared" si="353"/>
        <v>0</v>
      </c>
      <c r="M682" s="458">
        <f t="shared" si="354"/>
        <v>0</v>
      </c>
      <c r="N682" s="459" t="str">
        <f t="shared" si="283"/>
        <v/>
      </c>
      <c r="O682" s="459" t="str">
        <f t="shared" si="284"/>
        <v/>
      </c>
      <c r="P682" s="459" t="str">
        <f t="shared" si="285"/>
        <v/>
      </c>
      <c r="Q682" s="459" t="str">
        <f t="shared" si="286"/>
        <v/>
      </c>
      <c r="R682" s="459" t="str">
        <f t="shared" si="287"/>
        <v/>
      </c>
      <c r="S682" s="459" t="str">
        <f t="shared" si="288"/>
        <v/>
      </c>
      <c r="T682" s="566" t="str">
        <f t="shared" si="355"/>
        <v/>
      </c>
      <c r="U682" s="702"/>
      <c r="V682" s="132"/>
      <c r="W682" s="133"/>
      <c r="X682" s="134"/>
      <c r="Y682" s="135"/>
      <c r="Z682" s="137"/>
      <c r="AA682" s="136"/>
      <c r="AB682" s="566" t="str">
        <f t="shared" si="356"/>
        <v/>
      </c>
      <c r="AC682" s="568" t="str">
        <f t="shared" si="357"/>
        <v/>
      </c>
      <c r="AD682" s="137"/>
      <c r="AE682" s="137"/>
      <c r="AF682" s="138"/>
      <c r="AG682" s="138"/>
      <c r="AH682" s="592" t="str">
        <f t="shared" si="358"/>
        <v/>
      </c>
      <c r="AI682" s="592" t="str">
        <f t="shared" si="359"/>
        <v/>
      </c>
      <c r="AJ682" s="592" t="str">
        <f t="shared" si="360"/>
        <v/>
      </c>
      <c r="AK682" s="460" t="str">
        <f>IF(AU682="","",IF(OR(AZ682=8,AZ682=9),0,IF(OR(AW682=3,AW682=4,AW682=5,AW682=6),IF(LEFT(BF682,1)="1",INDEX(係数_NOX・PM低減,MATCH(AY682,【参考】排出係数!$AI$801:$AI$804,1),1),VLOOKUP(AU682,INDEX((係数_バス貨物_ガソリン,係数_バス貨物_CNG,係数_バス貨物_軽油,係数_バス貨物_メタノール,係数_バス貨物_LPG),MATCH(AY682,【参考】排出係数!$AI$4:$AI$671,1),1,BE682):INDEX((係数_バス貨物_ガソリン,係数_バス貨物_CNG,係数_バス貨物_軽油,係数_バス貨物_メタノール,係数_バス貨物_LPG),MATCH(AY682+1,【参考】排出係数!$AI$4:$AI$671,1)-1,5,BE682),4,FALSE)),IF(AND(BE682=3,LEFT(BF682,1)="1"),0.48,VLOOKUP(AU682,INDEX((係数_乗用_ガソリン,係数_乗用_CNG,係数_乗用_軽油,係数_乗用_メタノール,係数_乗用_LPG),1,1,BE682):INDEX((係数_乗用_ガソリン,係数_乗用_CNG,係数_乗用_軽油,係数_乗用_メタノール,係数_乗用_LPG),125,5,BE682),4,FALSE)))))</f>
        <v/>
      </c>
      <c r="AL682" s="461" t="str">
        <f t="shared" si="361"/>
        <v/>
      </c>
      <c r="AM682" s="460" t="str">
        <f>IF(AU682="","",IF(OR(AZ682=8,AZ682=9),0,IF(OR(AW682=3,AW682=4,AW682=5,AW682=6),IF(LEFT(BH682,1)="1",INDEX(係数_PM低減,MATCH(AY682,【参考】排出係数!$AI$801:$AI$804,1),MATCH(BI682,【参考】排出係数!$AL$798:$AO$798,1)),VLOOKUP(AU682,INDEX((係数_バス貨物_ガソリン,係数_バス貨物_CNG,係数_バス貨物_軽油,係数_バス貨物_メタノール,係数_バス貨物_LPG),MATCH(AY682,【参考】排出係数!$AI$4:$AI$671,1),1,BE682):INDEX((係数_バス貨物_ガソリン,係数_バス貨物_CNG,係数_バス貨物_軽油,係数_バス貨物_メタノール,係数_バス貨物_LPG),MATCH(AY682+1,【参考】排出係数!$AI$4:$AI$671,1)-1,5,BE682),5,FALSE)),IF(AND(BE682=3,LEFT(BF682,1)="1"),0.055,VLOOKUP(AU682,INDEX((係数_乗用_ガソリン,係数_乗用_CNG,係数_乗用_軽油,係数_乗用_メタノール,係数_乗用_LPG),1,1,BE682):INDEX((係数_乗用_ガソリン,係数_乗用_CNG,係数_乗用_軽油,係数_乗用_メタノール,係数_乗用_LPG),125,5,BE682),5,FALSE)))))</f>
        <v/>
      </c>
      <c r="AN682" s="461" t="str">
        <f t="shared" si="362"/>
        <v/>
      </c>
      <c r="AO682" s="462" t="str">
        <f t="shared" si="363"/>
        <v/>
      </c>
      <c r="AP682" s="463" t="str">
        <f t="shared" si="364"/>
        <v/>
      </c>
      <c r="AQ682" s="464"/>
      <c r="AR682" s="619"/>
      <c r="AS682" s="465" t="str">
        <f t="shared" si="366"/>
        <v/>
      </c>
      <c r="AT682" s="465" t="str">
        <f t="shared" si="367"/>
        <v/>
      </c>
      <c r="AU682" s="466" t="str">
        <f t="shared" si="368"/>
        <v/>
      </c>
      <c r="AV682" s="467" t="str">
        <f t="shared" si="369"/>
        <v/>
      </c>
      <c r="AW682" s="467" t="str">
        <f t="shared" si="370"/>
        <v/>
      </c>
      <c r="AX682" s="467" t="str">
        <f t="shared" si="371"/>
        <v/>
      </c>
      <c r="AY682" s="467" t="str">
        <f t="shared" si="372"/>
        <v/>
      </c>
      <c r="AZ682" s="467" t="str">
        <f t="shared" si="373"/>
        <v/>
      </c>
      <c r="BA682" s="468" t="str">
        <f>IF(AS682="","",IF(OR(AU682="",AU682="-"),"－",IF(OR(AZ682=8,AZ682=9),"",IF(OR(AW682=3,AW682=4,AW682=5,AW682=6),VLOOKUP(AU682,INDEX((係数_バス貨物_ガソリン,係数_バス貨物_CNG,係数_バス貨物_軽油,係数_バス貨物_メタノール,係数_バス貨物_LPG),MATCH(AY682,【参考】排出係数!$AI$4:$AI$671,1),1,BE682):INDEX((係数_バス貨物_ガソリン,係数_バス貨物_CNG,係数_バス貨物_軽油,係数_バス貨物_メタノール,係数_バス貨物_LPG),MATCH(AY682+1,【参考】排出係数!$AI$4:$AI$671,1)-1,5,BE682),2,FALSE),IF(OR(AW682=1,AW682=2),VLOOKUP(AU682,INDEX((係数_乗用_ガソリン,係数_乗用_CNG,係数_乗用_軽油,係数_乗用_メタノール,係数_乗用_LPG),1,1,BE682):INDEX((係数_乗用_ガソリン,係数_乗用_CNG,係数_乗用_軽油,係数_乗用_メタノール,係数_乗用_LPG),125,5,BE682),2,FALSE))))))</f>
        <v/>
      </c>
      <c r="BB682" s="468" t="str">
        <f>IF(T682="","",IF(OR(AU682="",AU682="-"),"－",IF(OR(AZ682=8,AZ682=9),"",IF(OR(AW682=3,AW682=4,AW682=5,AW682=6),VLOOKUP(AU682,INDEX((係数_バス貨物_ガソリン,係数_バス貨物_CNG,係数_バス貨物_軽油,係数_バス貨物_メタノール,係数_バス貨物_LPG),MATCH(AY682,【参考】排出係数!$AI$4:$AI$671,1),1,BE682):INDEX((係数_バス貨物_ガソリン,係数_バス貨物_CNG,係数_バス貨物_軽油,係数_バス貨物_メタノール,係数_バス貨物_LPG),MATCH(AY682+1,【参考】排出係数!$AI$4:$AI$671,1)-1,5,BE682),3,FALSE),IF(OR(AW682=1,AW682=2),VLOOKUP(AU682,INDEX((係数_乗用_ガソリン,係数_乗用_CNG,係数_乗用_軽油,係数_乗用_メタノール,係数_乗用_LPG),1,1,BE682):INDEX((係数_乗用_ガソリン,係数_乗用_CNG,係数_乗用_軽油,係数_乗用_メタノール,係数_乗用_LPG),125,5,BE682),3,FALSE))))))</f>
        <v/>
      </c>
      <c r="BC682" s="467" t="str">
        <f t="shared" si="374"/>
        <v/>
      </c>
      <c r="BD682" s="567" t="str">
        <f t="shared" si="375"/>
        <v/>
      </c>
      <c r="BE682" s="467" t="str">
        <f t="shared" si="376"/>
        <v/>
      </c>
      <c r="BF682" s="469" t="str">
        <f t="shared" ca="1" si="377"/>
        <v/>
      </c>
      <c r="BG682" s="469" t="str">
        <f t="shared" ca="1" si="378"/>
        <v/>
      </c>
      <c r="BH682" s="467" t="str">
        <f t="shared" si="379"/>
        <v/>
      </c>
      <c r="BI682" s="467" t="str">
        <f t="shared" ca="1" si="380"/>
        <v/>
      </c>
      <c r="BJ682" s="469" t="str">
        <f t="shared" si="381"/>
        <v/>
      </c>
      <c r="BK682" s="470" t="str">
        <f t="shared" si="365"/>
        <v/>
      </c>
      <c r="BL682" s="775" t="str">
        <f t="shared" si="382"/>
        <v/>
      </c>
      <c r="BM682" s="775" t="str">
        <f t="shared" si="383"/>
        <v/>
      </c>
    </row>
    <row r="683" spans="1:65">
      <c r="A683" s="473">
        <v>627</v>
      </c>
      <c r="B683" s="132"/>
      <c r="C683" s="332"/>
      <c r="D683" s="333"/>
      <c r="E683" s="333"/>
      <c r="F683" s="334"/>
      <c r="G683" s="337"/>
      <c r="H683" s="131"/>
      <c r="I683" s="337"/>
      <c r="J683" s="131"/>
      <c r="K683" s="458" t="str">
        <f t="shared" si="352"/>
        <v/>
      </c>
      <c r="L683" s="458">
        <f t="shared" si="353"/>
        <v>0</v>
      </c>
      <c r="M683" s="458">
        <f t="shared" si="354"/>
        <v>0</v>
      </c>
      <c r="N683" s="459" t="str">
        <f t="shared" si="283"/>
        <v/>
      </c>
      <c r="O683" s="459" t="str">
        <f t="shared" si="284"/>
        <v/>
      </c>
      <c r="P683" s="459" t="str">
        <f t="shared" si="285"/>
        <v/>
      </c>
      <c r="Q683" s="459" t="str">
        <f t="shared" si="286"/>
        <v/>
      </c>
      <c r="R683" s="459" t="str">
        <f t="shared" si="287"/>
        <v/>
      </c>
      <c r="S683" s="459" t="str">
        <f t="shared" si="288"/>
        <v/>
      </c>
      <c r="T683" s="566" t="str">
        <f t="shared" si="355"/>
        <v/>
      </c>
      <c r="U683" s="702"/>
      <c r="V683" s="132"/>
      <c r="W683" s="133"/>
      <c r="X683" s="134"/>
      <c r="Y683" s="135"/>
      <c r="Z683" s="137"/>
      <c r="AA683" s="136"/>
      <c r="AB683" s="566" t="str">
        <f t="shared" si="356"/>
        <v/>
      </c>
      <c r="AC683" s="568" t="str">
        <f t="shared" si="357"/>
        <v/>
      </c>
      <c r="AD683" s="137"/>
      <c r="AE683" s="137"/>
      <c r="AF683" s="138"/>
      <c r="AG683" s="138"/>
      <c r="AH683" s="592" t="str">
        <f t="shared" si="358"/>
        <v/>
      </c>
      <c r="AI683" s="592" t="str">
        <f t="shared" si="359"/>
        <v/>
      </c>
      <c r="AJ683" s="592" t="str">
        <f t="shared" si="360"/>
        <v/>
      </c>
      <c r="AK683" s="460" t="str">
        <f>IF(AU683="","",IF(OR(AZ683=8,AZ683=9),0,IF(OR(AW683=3,AW683=4,AW683=5,AW683=6),IF(LEFT(BF683,1)="1",INDEX(係数_NOX・PM低減,MATCH(AY683,【参考】排出係数!$AI$801:$AI$804,1),1),VLOOKUP(AU683,INDEX((係数_バス貨物_ガソリン,係数_バス貨物_CNG,係数_バス貨物_軽油,係数_バス貨物_メタノール,係数_バス貨物_LPG),MATCH(AY683,【参考】排出係数!$AI$4:$AI$671,1),1,BE683):INDEX((係数_バス貨物_ガソリン,係数_バス貨物_CNG,係数_バス貨物_軽油,係数_バス貨物_メタノール,係数_バス貨物_LPG),MATCH(AY683+1,【参考】排出係数!$AI$4:$AI$671,1)-1,5,BE683),4,FALSE)),IF(AND(BE683=3,LEFT(BF683,1)="1"),0.48,VLOOKUP(AU683,INDEX((係数_乗用_ガソリン,係数_乗用_CNG,係数_乗用_軽油,係数_乗用_メタノール,係数_乗用_LPG),1,1,BE683):INDEX((係数_乗用_ガソリン,係数_乗用_CNG,係数_乗用_軽油,係数_乗用_メタノール,係数_乗用_LPG),125,5,BE683),4,FALSE)))))</f>
        <v/>
      </c>
      <c r="AL683" s="461" t="str">
        <f t="shared" si="361"/>
        <v/>
      </c>
      <c r="AM683" s="460" t="str">
        <f>IF(AU683="","",IF(OR(AZ683=8,AZ683=9),0,IF(OR(AW683=3,AW683=4,AW683=5,AW683=6),IF(LEFT(BH683,1)="1",INDEX(係数_PM低減,MATCH(AY683,【参考】排出係数!$AI$801:$AI$804,1),MATCH(BI683,【参考】排出係数!$AL$798:$AO$798,1)),VLOOKUP(AU683,INDEX((係数_バス貨物_ガソリン,係数_バス貨物_CNG,係数_バス貨物_軽油,係数_バス貨物_メタノール,係数_バス貨物_LPG),MATCH(AY683,【参考】排出係数!$AI$4:$AI$671,1),1,BE683):INDEX((係数_バス貨物_ガソリン,係数_バス貨物_CNG,係数_バス貨物_軽油,係数_バス貨物_メタノール,係数_バス貨物_LPG),MATCH(AY683+1,【参考】排出係数!$AI$4:$AI$671,1)-1,5,BE683),5,FALSE)),IF(AND(BE683=3,LEFT(BF683,1)="1"),0.055,VLOOKUP(AU683,INDEX((係数_乗用_ガソリン,係数_乗用_CNG,係数_乗用_軽油,係数_乗用_メタノール,係数_乗用_LPG),1,1,BE683):INDEX((係数_乗用_ガソリン,係数_乗用_CNG,係数_乗用_軽油,係数_乗用_メタノール,係数_乗用_LPG),125,5,BE683),5,FALSE)))))</f>
        <v/>
      </c>
      <c r="AN683" s="461" t="str">
        <f t="shared" si="362"/>
        <v/>
      </c>
      <c r="AO683" s="462" t="str">
        <f t="shared" si="363"/>
        <v/>
      </c>
      <c r="AP683" s="463" t="str">
        <f t="shared" si="364"/>
        <v/>
      </c>
      <c r="AQ683" s="464"/>
      <c r="AR683" s="619"/>
      <c r="AS683" s="465" t="str">
        <f t="shared" si="366"/>
        <v/>
      </c>
      <c r="AT683" s="465" t="str">
        <f t="shared" si="367"/>
        <v/>
      </c>
      <c r="AU683" s="466" t="str">
        <f t="shared" si="368"/>
        <v/>
      </c>
      <c r="AV683" s="467" t="str">
        <f t="shared" si="369"/>
        <v/>
      </c>
      <c r="AW683" s="467" t="str">
        <f t="shared" si="370"/>
        <v/>
      </c>
      <c r="AX683" s="467" t="str">
        <f t="shared" si="371"/>
        <v/>
      </c>
      <c r="AY683" s="467" t="str">
        <f t="shared" si="372"/>
        <v/>
      </c>
      <c r="AZ683" s="467" t="str">
        <f t="shared" si="373"/>
        <v/>
      </c>
      <c r="BA683" s="468" t="str">
        <f>IF(AS683="","",IF(OR(AU683="",AU683="-"),"－",IF(OR(AZ683=8,AZ683=9),"",IF(OR(AW683=3,AW683=4,AW683=5,AW683=6),VLOOKUP(AU683,INDEX((係数_バス貨物_ガソリン,係数_バス貨物_CNG,係数_バス貨物_軽油,係数_バス貨物_メタノール,係数_バス貨物_LPG),MATCH(AY683,【参考】排出係数!$AI$4:$AI$671,1),1,BE683):INDEX((係数_バス貨物_ガソリン,係数_バス貨物_CNG,係数_バス貨物_軽油,係数_バス貨物_メタノール,係数_バス貨物_LPG),MATCH(AY683+1,【参考】排出係数!$AI$4:$AI$671,1)-1,5,BE683),2,FALSE),IF(OR(AW683=1,AW683=2),VLOOKUP(AU683,INDEX((係数_乗用_ガソリン,係数_乗用_CNG,係数_乗用_軽油,係数_乗用_メタノール,係数_乗用_LPG),1,1,BE683):INDEX((係数_乗用_ガソリン,係数_乗用_CNG,係数_乗用_軽油,係数_乗用_メタノール,係数_乗用_LPG),125,5,BE683),2,FALSE))))))</f>
        <v/>
      </c>
      <c r="BB683" s="468" t="str">
        <f>IF(T683="","",IF(OR(AU683="",AU683="-"),"－",IF(OR(AZ683=8,AZ683=9),"",IF(OR(AW683=3,AW683=4,AW683=5,AW683=6),VLOOKUP(AU683,INDEX((係数_バス貨物_ガソリン,係数_バス貨物_CNG,係数_バス貨物_軽油,係数_バス貨物_メタノール,係数_バス貨物_LPG),MATCH(AY683,【参考】排出係数!$AI$4:$AI$671,1),1,BE683):INDEX((係数_バス貨物_ガソリン,係数_バス貨物_CNG,係数_バス貨物_軽油,係数_バス貨物_メタノール,係数_バス貨物_LPG),MATCH(AY683+1,【参考】排出係数!$AI$4:$AI$671,1)-1,5,BE683),3,FALSE),IF(OR(AW683=1,AW683=2),VLOOKUP(AU683,INDEX((係数_乗用_ガソリン,係数_乗用_CNG,係数_乗用_軽油,係数_乗用_メタノール,係数_乗用_LPG),1,1,BE683):INDEX((係数_乗用_ガソリン,係数_乗用_CNG,係数_乗用_軽油,係数_乗用_メタノール,係数_乗用_LPG),125,5,BE683),3,FALSE))))))</f>
        <v/>
      </c>
      <c r="BC683" s="467" t="str">
        <f t="shared" si="374"/>
        <v/>
      </c>
      <c r="BD683" s="567" t="str">
        <f t="shared" si="375"/>
        <v/>
      </c>
      <c r="BE683" s="467" t="str">
        <f t="shared" si="376"/>
        <v/>
      </c>
      <c r="BF683" s="469" t="str">
        <f t="shared" ca="1" si="377"/>
        <v/>
      </c>
      <c r="BG683" s="469" t="str">
        <f t="shared" ca="1" si="378"/>
        <v/>
      </c>
      <c r="BH683" s="467" t="str">
        <f t="shared" si="379"/>
        <v/>
      </c>
      <c r="BI683" s="467" t="str">
        <f t="shared" ca="1" si="380"/>
        <v/>
      </c>
      <c r="BJ683" s="469" t="str">
        <f t="shared" si="381"/>
        <v/>
      </c>
      <c r="BK683" s="470" t="str">
        <f t="shared" si="365"/>
        <v/>
      </c>
      <c r="BL683" s="775" t="str">
        <f t="shared" si="382"/>
        <v/>
      </c>
      <c r="BM683" s="775" t="str">
        <f t="shared" si="383"/>
        <v/>
      </c>
    </row>
    <row r="684" spans="1:65">
      <c r="A684" s="473">
        <v>628</v>
      </c>
      <c r="B684" s="132"/>
      <c r="C684" s="332"/>
      <c r="D684" s="333"/>
      <c r="E684" s="333"/>
      <c r="F684" s="334"/>
      <c r="G684" s="337"/>
      <c r="H684" s="131"/>
      <c r="I684" s="337"/>
      <c r="J684" s="131"/>
      <c r="K684" s="458" t="str">
        <f t="shared" ref="K684:K747" si="384">C684&amp;D684&amp;E684&amp;F684</f>
        <v/>
      </c>
      <c r="L684" s="458">
        <f t="shared" ref="L684:L747" si="385">IF(G684&gt;0,DATE((G684),(H684+1),0),0)</f>
        <v>0</v>
      </c>
      <c r="M684" s="458">
        <f t="shared" ref="M684:M747" si="386">IF(I684&gt;0,DATE((I684),(J684+1),0),0)</f>
        <v>0</v>
      </c>
      <c r="N684" s="459" t="str">
        <f t="shared" si="283"/>
        <v/>
      </c>
      <c r="O684" s="459" t="str">
        <f t="shared" si="284"/>
        <v/>
      </c>
      <c r="P684" s="459" t="str">
        <f t="shared" si="285"/>
        <v/>
      </c>
      <c r="Q684" s="459" t="str">
        <f t="shared" si="286"/>
        <v/>
      </c>
      <c r="R684" s="459" t="str">
        <f t="shared" si="287"/>
        <v/>
      </c>
      <c r="S684" s="459" t="str">
        <f t="shared" si="288"/>
        <v/>
      </c>
      <c r="T684" s="566" t="str">
        <f t="shared" ref="T684:T747" si="387">N684&amp;O684&amp;P684&amp;Q684&amp;R684&amp;S684</f>
        <v/>
      </c>
      <c r="U684" s="702"/>
      <c r="V684" s="132"/>
      <c r="W684" s="133"/>
      <c r="X684" s="134"/>
      <c r="Y684" s="135"/>
      <c r="Z684" s="137"/>
      <c r="AA684" s="136"/>
      <c r="AB684" s="566" t="str">
        <f t="shared" ref="AB684:AB747" si="388">IF(AS684="","",IF(AZ684=1,VLOOKUP(BA684,低公害車判別,2,FALSE),IF(AZ684=3,VLOOKUP(BA684,低公害車判別,2,FALSE),IF(AZ684=4,VLOOKUP(BB684,低公害車判別,2,FALSE),"低公害車"))))</f>
        <v/>
      </c>
      <c r="AC684" s="568" t="str">
        <f t="shared" ref="AC684:AC747" si="389">IF(AS684="","",IF((BA684="")+(BA684="－"),IF((BB684="")+(BB684=0),"－",BB684),IF((BA684="PM☆☆☆")+(BA684="☆及びPM☆☆☆")+(BA684="☆☆及びPM☆☆☆")+(BA684="☆☆☆及びPM☆☆☆"),"PM☆☆☆",IF((BA684="PM☆☆☆☆")+(BA684="☆及びPM☆☆☆☆")+(BA684="☆☆及びPM☆☆☆☆")+(BA684="☆☆☆及びPM☆☆☆☆"),"PM☆☆☆☆",IF((BA684="新☆")+(BA684="新NOx☆")+(BA684="新PM☆"),"新☆（新長期）",BA684)))))</f>
        <v/>
      </c>
      <c r="AD684" s="137"/>
      <c r="AE684" s="137"/>
      <c r="AF684" s="138"/>
      <c r="AG684" s="138"/>
      <c r="AH684" s="592" t="str">
        <f t="shared" ref="AH684:AH747" si="390">IF(C684="","",IF(LEFT(C684,2)="横浜","○",""))</f>
        <v/>
      </c>
      <c r="AI684" s="592" t="str">
        <f t="shared" ref="AI684:AI747" si="391">IF(C684="","",IF(LEFT(C684,2)="川崎","○",""))</f>
        <v/>
      </c>
      <c r="AJ684" s="592" t="str">
        <f t="shared" ref="AJ684:AJ747" si="392">IF(C684="","",IF(OR(AH684="○",AI684="○"),"","○"))</f>
        <v/>
      </c>
      <c r="AK684" s="460" t="str">
        <f>IF(AU684="","",IF(OR(AZ684=8,AZ684=9),0,IF(OR(AW684=3,AW684=4,AW684=5,AW684=6),IF(LEFT(BF684,1)="1",INDEX(係数_NOX・PM低減,MATCH(AY684,【参考】排出係数!$AI$801:$AI$804,1),1),VLOOKUP(AU684,INDEX((係数_バス貨物_ガソリン,係数_バス貨物_CNG,係数_バス貨物_軽油,係数_バス貨物_メタノール,係数_バス貨物_LPG),MATCH(AY684,【参考】排出係数!$AI$4:$AI$671,1),1,BE684):INDEX((係数_バス貨物_ガソリン,係数_バス貨物_CNG,係数_バス貨物_軽油,係数_バス貨物_メタノール,係数_バス貨物_LPG),MATCH(AY684+1,【参考】排出係数!$AI$4:$AI$671,1)-1,5,BE684),4,FALSE)),IF(AND(BE684=3,LEFT(BF684,1)="1"),0.48,VLOOKUP(AU684,INDEX((係数_乗用_ガソリン,係数_乗用_CNG,係数_乗用_軽油,係数_乗用_メタノール,係数_乗用_LPG),1,1,BE684):INDEX((係数_乗用_ガソリン,係数_乗用_CNG,係数_乗用_軽油,係数_乗用_メタノール,係数_乗用_LPG),125,5,BE684),4,FALSE)))))</f>
        <v/>
      </c>
      <c r="AL684" s="461" t="str">
        <f t="shared" ref="AL684:AL747" si="393">IF(AU684="","",IF(Z684&lt;=3.5*1000,AD684*AK684/1000,IF(Z684&gt;3.5*1000,AD684*Z684*AK684/1000/1000)))</f>
        <v/>
      </c>
      <c r="AM684" s="460" t="str">
        <f>IF(AU684="","",IF(OR(AZ684=8,AZ684=9),0,IF(OR(AW684=3,AW684=4,AW684=5,AW684=6),IF(LEFT(BH684,1)="1",INDEX(係数_PM低減,MATCH(AY684,【参考】排出係数!$AI$801:$AI$804,1),MATCH(BI684,【参考】排出係数!$AL$798:$AO$798,1)),VLOOKUP(AU684,INDEX((係数_バス貨物_ガソリン,係数_バス貨物_CNG,係数_バス貨物_軽油,係数_バス貨物_メタノール,係数_バス貨物_LPG),MATCH(AY684,【参考】排出係数!$AI$4:$AI$671,1),1,BE684):INDEX((係数_バス貨物_ガソリン,係数_バス貨物_CNG,係数_バス貨物_軽油,係数_バス貨物_メタノール,係数_バス貨物_LPG),MATCH(AY684+1,【参考】排出係数!$AI$4:$AI$671,1)-1,5,BE684),5,FALSE)),IF(AND(BE684=3,LEFT(BF684,1)="1"),0.055,VLOOKUP(AU684,INDEX((係数_乗用_ガソリン,係数_乗用_CNG,係数_乗用_軽油,係数_乗用_メタノール,係数_乗用_LPG),1,1,BE684):INDEX((係数_乗用_ガソリン,係数_乗用_CNG,係数_乗用_軽油,係数_乗用_メタノール,係数_乗用_LPG),125,5,BE684),5,FALSE)))))</f>
        <v/>
      </c>
      <c r="AN684" s="461" t="str">
        <f t="shared" ref="AN684:AN747" si="394">IF(AU684="","",IF(Z684&lt;=3.5*1000,AD684*AM684/1000,IF(Z684&gt;3.5*1000,AD684*Z684*AM684/1000/1000)))</f>
        <v/>
      </c>
      <c r="AO684" s="462" t="str">
        <f t="shared" ref="AO684:AO747" si="395">IF(AU684="","",IF(Z684&lt;500,"車両重量",IF(OR(AZ684=8,AZ684=9),0,IF(OR(AZ684=1,AZ684=2,AZ684=11),2.32,IF(OR(AZ684=4,AZ684=5,AZ684=11),2.58,IF(AZ684=3,3,IF(AZ684=6,2.23,IF(AZ684=7,1.37,0))))))))</f>
        <v/>
      </c>
      <c r="AP684" s="463" t="str">
        <f t="shared" ref="AP684:AP747" si="396">IF(AU684="","",AE684*AO684/1000)</f>
        <v/>
      </c>
      <c r="AQ684" s="464"/>
      <c r="AR684" s="619"/>
      <c r="AS684" s="465" t="str">
        <f t="shared" si="366"/>
        <v/>
      </c>
      <c r="AT684" s="465" t="str">
        <f t="shared" si="367"/>
        <v/>
      </c>
      <c r="AU684" s="466" t="str">
        <f t="shared" si="368"/>
        <v/>
      </c>
      <c r="AV684" s="467" t="str">
        <f t="shared" si="369"/>
        <v/>
      </c>
      <c r="AW684" s="467" t="str">
        <f t="shared" si="370"/>
        <v/>
      </c>
      <c r="AX684" s="467" t="str">
        <f t="shared" si="371"/>
        <v/>
      </c>
      <c r="AY684" s="467" t="str">
        <f t="shared" si="372"/>
        <v/>
      </c>
      <c r="AZ684" s="467" t="str">
        <f t="shared" si="373"/>
        <v/>
      </c>
      <c r="BA684" s="468" t="str">
        <f>IF(AS684="","",IF(OR(AU684="",AU684="-"),"－",IF(OR(AZ684=8,AZ684=9),"",IF(OR(AW684=3,AW684=4,AW684=5,AW684=6),VLOOKUP(AU684,INDEX((係数_バス貨物_ガソリン,係数_バス貨物_CNG,係数_バス貨物_軽油,係数_バス貨物_メタノール,係数_バス貨物_LPG),MATCH(AY684,【参考】排出係数!$AI$4:$AI$671,1),1,BE684):INDEX((係数_バス貨物_ガソリン,係数_バス貨物_CNG,係数_バス貨物_軽油,係数_バス貨物_メタノール,係数_バス貨物_LPG),MATCH(AY684+1,【参考】排出係数!$AI$4:$AI$671,1)-1,5,BE684),2,FALSE),IF(OR(AW684=1,AW684=2),VLOOKUP(AU684,INDEX((係数_乗用_ガソリン,係数_乗用_CNG,係数_乗用_軽油,係数_乗用_メタノール,係数_乗用_LPG),1,1,BE684):INDEX((係数_乗用_ガソリン,係数_乗用_CNG,係数_乗用_軽油,係数_乗用_メタノール,係数_乗用_LPG),125,5,BE684),2,FALSE))))))</f>
        <v/>
      </c>
      <c r="BB684" s="468" t="str">
        <f>IF(T684="","",IF(OR(AU684="",AU684="-"),"－",IF(OR(AZ684=8,AZ684=9),"",IF(OR(AW684=3,AW684=4,AW684=5,AW684=6),VLOOKUP(AU684,INDEX((係数_バス貨物_ガソリン,係数_バス貨物_CNG,係数_バス貨物_軽油,係数_バス貨物_メタノール,係数_バス貨物_LPG),MATCH(AY684,【参考】排出係数!$AI$4:$AI$671,1),1,BE684):INDEX((係数_バス貨物_ガソリン,係数_バス貨物_CNG,係数_バス貨物_軽油,係数_バス貨物_メタノール,係数_バス貨物_LPG),MATCH(AY684+1,【参考】排出係数!$AI$4:$AI$671,1)-1,5,BE684),3,FALSE),IF(OR(AW684=1,AW684=2),VLOOKUP(AU684,INDEX((係数_乗用_ガソリン,係数_乗用_CNG,係数_乗用_軽油,係数_乗用_メタノール,係数_乗用_LPG),1,1,BE684):INDEX((係数_乗用_ガソリン,係数_乗用_CNG,係数_乗用_軽油,係数_乗用_メタノール,係数_乗用_LPG),125,5,BE684),3,FALSE))))))</f>
        <v/>
      </c>
      <c r="BC684" s="467" t="str">
        <f t="shared" si="374"/>
        <v/>
      </c>
      <c r="BD684" s="567" t="str">
        <f t="shared" si="375"/>
        <v/>
      </c>
      <c r="BE684" s="467" t="str">
        <f t="shared" si="376"/>
        <v/>
      </c>
      <c r="BF684" s="469" t="str">
        <f t="shared" ca="1" si="377"/>
        <v/>
      </c>
      <c r="BG684" s="469" t="str">
        <f t="shared" ca="1" si="378"/>
        <v/>
      </c>
      <c r="BH684" s="467" t="str">
        <f t="shared" si="379"/>
        <v/>
      </c>
      <c r="BI684" s="467" t="str">
        <f t="shared" ca="1" si="380"/>
        <v/>
      </c>
      <c r="BJ684" s="469" t="str">
        <f t="shared" si="381"/>
        <v/>
      </c>
      <c r="BK684" s="470" t="str">
        <f t="shared" si="365"/>
        <v/>
      </c>
      <c r="BL684" s="775" t="str">
        <f t="shared" si="382"/>
        <v/>
      </c>
      <c r="BM684" s="775" t="str">
        <f t="shared" si="383"/>
        <v/>
      </c>
    </row>
    <row r="685" spans="1:65">
      <c r="A685" s="473">
        <v>629</v>
      </c>
      <c r="B685" s="132"/>
      <c r="C685" s="332"/>
      <c r="D685" s="333"/>
      <c r="E685" s="333"/>
      <c r="F685" s="334"/>
      <c r="G685" s="337"/>
      <c r="H685" s="131"/>
      <c r="I685" s="337"/>
      <c r="J685" s="131"/>
      <c r="K685" s="458" t="str">
        <f t="shared" si="384"/>
        <v/>
      </c>
      <c r="L685" s="458">
        <f t="shared" si="385"/>
        <v>0</v>
      </c>
      <c r="M685" s="458">
        <f t="shared" si="386"/>
        <v>0</v>
      </c>
      <c r="N685" s="459" t="str">
        <f t="shared" si="283"/>
        <v/>
      </c>
      <c r="O685" s="459" t="str">
        <f t="shared" si="284"/>
        <v/>
      </c>
      <c r="P685" s="459" t="str">
        <f t="shared" si="285"/>
        <v/>
      </c>
      <c r="Q685" s="459" t="str">
        <f t="shared" si="286"/>
        <v/>
      </c>
      <c r="R685" s="459" t="str">
        <f t="shared" si="287"/>
        <v/>
      </c>
      <c r="S685" s="459" t="str">
        <f t="shared" si="288"/>
        <v/>
      </c>
      <c r="T685" s="566" t="str">
        <f t="shared" si="387"/>
        <v/>
      </c>
      <c r="U685" s="702"/>
      <c r="V685" s="132"/>
      <c r="W685" s="133"/>
      <c r="X685" s="134"/>
      <c r="Y685" s="135"/>
      <c r="Z685" s="137"/>
      <c r="AA685" s="136"/>
      <c r="AB685" s="566" t="str">
        <f t="shared" si="388"/>
        <v/>
      </c>
      <c r="AC685" s="568" t="str">
        <f t="shared" si="389"/>
        <v/>
      </c>
      <c r="AD685" s="137"/>
      <c r="AE685" s="137"/>
      <c r="AF685" s="138"/>
      <c r="AG685" s="138"/>
      <c r="AH685" s="592" t="str">
        <f t="shared" si="390"/>
        <v/>
      </c>
      <c r="AI685" s="592" t="str">
        <f t="shared" si="391"/>
        <v/>
      </c>
      <c r="AJ685" s="592" t="str">
        <f t="shared" si="392"/>
        <v/>
      </c>
      <c r="AK685" s="460" t="str">
        <f>IF(AU685="","",IF(OR(AZ685=8,AZ685=9),0,IF(OR(AW685=3,AW685=4,AW685=5,AW685=6),IF(LEFT(BF685,1)="1",INDEX(係数_NOX・PM低減,MATCH(AY685,【参考】排出係数!$AI$801:$AI$804,1),1),VLOOKUP(AU685,INDEX((係数_バス貨物_ガソリン,係数_バス貨物_CNG,係数_バス貨物_軽油,係数_バス貨物_メタノール,係数_バス貨物_LPG),MATCH(AY685,【参考】排出係数!$AI$4:$AI$671,1),1,BE685):INDEX((係数_バス貨物_ガソリン,係数_バス貨物_CNG,係数_バス貨物_軽油,係数_バス貨物_メタノール,係数_バス貨物_LPG),MATCH(AY685+1,【参考】排出係数!$AI$4:$AI$671,1)-1,5,BE685),4,FALSE)),IF(AND(BE685=3,LEFT(BF685,1)="1"),0.48,VLOOKUP(AU685,INDEX((係数_乗用_ガソリン,係数_乗用_CNG,係数_乗用_軽油,係数_乗用_メタノール,係数_乗用_LPG),1,1,BE685):INDEX((係数_乗用_ガソリン,係数_乗用_CNG,係数_乗用_軽油,係数_乗用_メタノール,係数_乗用_LPG),125,5,BE685),4,FALSE)))))</f>
        <v/>
      </c>
      <c r="AL685" s="461" t="str">
        <f t="shared" si="393"/>
        <v/>
      </c>
      <c r="AM685" s="460" t="str">
        <f>IF(AU685="","",IF(OR(AZ685=8,AZ685=9),0,IF(OR(AW685=3,AW685=4,AW685=5,AW685=6),IF(LEFT(BH685,1)="1",INDEX(係数_PM低減,MATCH(AY685,【参考】排出係数!$AI$801:$AI$804,1),MATCH(BI685,【参考】排出係数!$AL$798:$AO$798,1)),VLOOKUP(AU685,INDEX((係数_バス貨物_ガソリン,係数_バス貨物_CNG,係数_バス貨物_軽油,係数_バス貨物_メタノール,係数_バス貨物_LPG),MATCH(AY685,【参考】排出係数!$AI$4:$AI$671,1),1,BE685):INDEX((係数_バス貨物_ガソリン,係数_バス貨物_CNG,係数_バス貨物_軽油,係数_バス貨物_メタノール,係数_バス貨物_LPG),MATCH(AY685+1,【参考】排出係数!$AI$4:$AI$671,1)-1,5,BE685),5,FALSE)),IF(AND(BE685=3,LEFT(BF685,1)="1"),0.055,VLOOKUP(AU685,INDEX((係数_乗用_ガソリン,係数_乗用_CNG,係数_乗用_軽油,係数_乗用_メタノール,係数_乗用_LPG),1,1,BE685):INDEX((係数_乗用_ガソリン,係数_乗用_CNG,係数_乗用_軽油,係数_乗用_メタノール,係数_乗用_LPG),125,5,BE685),5,FALSE)))))</f>
        <v/>
      </c>
      <c r="AN685" s="461" t="str">
        <f t="shared" si="394"/>
        <v/>
      </c>
      <c r="AO685" s="462" t="str">
        <f t="shared" si="395"/>
        <v/>
      </c>
      <c r="AP685" s="463" t="str">
        <f t="shared" si="396"/>
        <v/>
      </c>
      <c r="AQ685" s="464"/>
      <c r="AR685" s="619"/>
      <c r="AS685" s="465" t="str">
        <f t="shared" si="366"/>
        <v/>
      </c>
      <c r="AT685" s="465" t="str">
        <f t="shared" si="367"/>
        <v/>
      </c>
      <c r="AU685" s="466" t="str">
        <f t="shared" si="368"/>
        <v/>
      </c>
      <c r="AV685" s="467" t="str">
        <f t="shared" si="369"/>
        <v/>
      </c>
      <c r="AW685" s="467" t="str">
        <f t="shared" si="370"/>
        <v/>
      </c>
      <c r="AX685" s="467" t="str">
        <f t="shared" si="371"/>
        <v/>
      </c>
      <c r="AY685" s="467" t="str">
        <f t="shared" si="372"/>
        <v/>
      </c>
      <c r="AZ685" s="467" t="str">
        <f t="shared" si="373"/>
        <v/>
      </c>
      <c r="BA685" s="468" t="str">
        <f>IF(AS685="","",IF(OR(AU685="",AU685="-"),"－",IF(OR(AZ685=8,AZ685=9),"",IF(OR(AW685=3,AW685=4,AW685=5,AW685=6),VLOOKUP(AU685,INDEX((係数_バス貨物_ガソリン,係数_バス貨物_CNG,係数_バス貨物_軽油,係数_バス貨物_メタノール,係数_バス貨物_LPG),MATCH(AY685,【参考】排出係数!$AI$4:$AI$671,1),1,BE685):INDEX((係数_バス貨物_ガソリン,係数_バス貨物_CNG,係数_バス貨物_軽油,係数_バス貨物_メタノール,係数_バス貨物_LPG),MATCH(AY685+1,【参考】排出係数!$AI$4:$AI$671,1)-1,5,BE685),2,FALSE),IF(OR(AW685=1,AW685=2),VLOOKUP(AU685,INDEX((係数_乗用_ガソリン,係数_乗用_CNG,係数_乗用_軽油,係数_乗用_メタノール,係数_乗用_LPG),1,1,BE685):INDEX((係数_乗用_ガソリン,係数_乗用_CNG,係数_乗用_軽油,係数_乗用_メタノール,係数_乗用_LPG),125,5,BE685),2,FALSE))))))</f>
        <v/>
      </c>
      <c r="BB685" s="468" t="str">
        <f>IF(T685="","",IF(OR(AU685="",AU685="-"),"－",IF(OR(AZ685=8,AZ685=9),"",IF(OR(AW685=3,AW685=4,AW685=5,AW685=6),VLOOKUP(AU685,INDEX((係数_バス貨物_ガソリン,係数_バス貨物_CNG,係数_バス貨物_軽油,係数_バス貨物_メタノール,係数_バス貨物_LPG),MATCH(AY685,【参考】排出係数!$AI$4:$AI$671,1),1,BE685):INDEX((係数_バス貨物_ガソリン,係数_バス貨物_CNG,係数_バス貨物_軽油,係数_バス貨物_メタノール,係数_バス貨物_LPG),MATCH(AY685+1,【参考】排出係数!$AI$4:$AI$671,1)-1,5,BE685),3,FALSE),IF(OR(AW685=1,AW685=2),VLOOKUP(AU685,INDEX((係数_乗用_ガソリン,係数_乗用_CNG,係数_乗用_軽油,係数_乗用_メタノール,係数_乗用_LPG),1,1,BE685):INDEX((係数_乗用_ガソリン,係数_乗用_CNG,係数_乗用_軽油,係数_乗用_メタノール,係数_乗用_LPG),125,5,BE685),3,FALSE))))))</f>
        <v/>
      </c>
      <c r="BC685" s="467" t="str">
        <f t="shared" si="374"/>
        <v/>
      </c>
      <c r="BD685" s="567" t="str">
        <f t="shared" si="375"/>
        <v/>
      </c>
      <c r="BE685" s="467" t="str">
        <f t="shared" si="376"/>
        <v/>
      </c>
      <c r="BF685" s="469" t="str">
        <f t="shared" ca="1" si="377"/>
        <v/>
      </c>
      <c r="BG685" s="469" t="str">
        <f t="shared" ca="1" si="378"/>
        <v/>
      </c>
      <c r="BH685" s="467" t="str">
        <f t="shared" si="379"/>
        <v/>
      </c>
      <c r="BI685" s="467" t="str">
        <f t="shared" ca="1" si="380"/>
        <v/>
      </c>
      <c r="BJ685" s="469" t="str">
        <f t="shared" si="381"/>
        <v/>
      </c>
      <c r="BK685" s="470" t="str">
        <f t="shared" si="365"/>
        <v/>
      </c>
      <c r="BL685" s="775" t="str">
        <f t="shared" si="382"/>
        <v/>
      </c>
      <c r="BM685" s="775" t="str">
        <f t="shared" si="383"/>
        <v/>
      </c>
    </row>
    <row r="686" spans="1:65">
      <c r="A686" s="473">
        <v>630</v>
      </c>
      <c r="B686" s="132"/>
      <c r="C686" s="332"/>
      <c r="D686" s="333"/>
      <c r="E686" s="333"/>
      <c r="F686" s="334"/>
      <c r="G686" s="337"/>
      <c r="H686" s="131"/>
      <c r="I686" s="337"/>
      <c r="J686" s="131"/>
      <c r="K686" s="458" t="str">
        <f t="shared" si="384"/>
        <v/>
      </c>
      <c r="L686" s="458">
        <f t="shared" si="385"/>
        <v>0</v>
      </c>
      <c r="M686" s="458">
        <f t="shared" si="386"/>
        <v>0</v>
      </c>
      <c r="N686" s="459" t="str">
        <f t="shared" si="283"/>
        <v/>
      </c>
      <c r="O686" s="459" t="str">
        <f t="shared" si="284"/>
        <v/>
      </c>
      <c r="P686" s="459" t="str">
        <f t="shared" si="285"/>
        <v/>
      </c>
      <c r="Q686" s="459" t="str">
        <f t="shared" si="286"/>
        <v/>
      </c>
      <c r="R686" s="459" t="str">
        <f t="shared" si="287"/>
        <v/>
      </c>
      <c r="S686" s="459" t="str">
        <f t="shared" si="288"/>
        <v/>
      </c>
      <c r="T686" s="566" t="str">
        <f t="shared" si="387"/>
        <v/>
      </c>
      <c r="U686" s="702"/>
      <c r="V686" s="132"/>
      <c r="W686" s="133"/>
      <c r="X686" s="134"/>
      <c r="Y686" s="135"/>
      <c r="Z686" s="137"/>
      <c r="AA686" s="136"/>
      <c r="AB686" s="566" t="str">
        <f t="shared" si="388"/>
        <v/>
      </c>
      <c r="AC686" s="568" t="str">
        <f t="shared" si="389"/>
        <v/>
      </c>
      <c r="AD686" s="137"/>
      <c r="AE686" s="137"/>
      <c r="AF686" s="138"/>
      <c r="AG686" s="138"/>
      <c r="AH686" s="592" t="str">
        <f t="shared" si="390"/>
        <v/>
      </c>
      <c r="AI686" s="592" t="str">
        <f t="shared" si="391"/>
        <v/>
      </c>
      <c r="AJ686" s="592" t="str">
        <f t="shared" si="392"/>
        <v/>
      </c>
      <c r="AK686" s="460" t="str">
        <f>IF(AU686="","",IF(OR(AZ686=8,AZ686=9),0,IF(OR(AW686=3,AW686=4,AW686=5,AW686=6),IF(LEFT(BF686,1)="1",INDEX(係数_NOX・PM低減,MATCH(AY686,【参考】排出係数!$AI$801:$AI$804,1),1),VLOOKUP(AU686,INDEX((係数_バス貨物_ガソリン,係数_バス貨物_CNG,係数_バス貨物_軽油,係数_バス貨物_メタノール,係数_バス貨物_LPG),MATCH(AY686,【参考】排出係数!$AI$4:$AI$671,1),1,BE686):INDEX((係数_バス貨物_ガソリン,係数_バス貨物_CNG,係数_バス貨物_軽油,係数_バス貨物_メタノール,係数_バス貨物_LPG),MATCH(AY686+1,【参考】排出係数!$AI$4:$AI$671,1)-1,5,BE686),4,FALSE)),IF(AND(BE686=3,LEFT(BF686,1)="1"),0.48,VLOOKUP(AU686,INDEX((係数_乗用_ガソリン,係数_乗用_CNG,係数_乗用_軽油,係数_乗用_メタノール,係数_乗用_LPG),1,1,BE686):INDEX((係数_乗用_ガソリン,係数_乗用_CNG,係数_乗用_軽油,係数_乗用_メタノール,係数_乗用_LPG),125,5,BE686),4,FALSE)))))</f>
        <v/>
      </c>
      <c r="AL686" s="461" t="str">
        <f t="shared" si="393"/>
        <v/>
      </c>
      <c r="AM686" s="460" t="str">
        <f>IF(AU686="","",IF(OR(AZ686=8,AZ686=9),0,IF(OR(AW686=3,AW686=4,AW686=5,AW686=6),IF(LEFT(BH686,1)="1",INDEX(係数_PM低減,MATCH(AY686,【参考】排出係数!$AI$801:$AI$804,1),MATCH(BI686,【参考】排出係数!$AL$798:$AO$798,1)),VLOOKUP(AU686,INDEX((係数_バス貨物_ガソリン,係数_バス貨物_CNG,係数_バス貨物_軽油,係数_バス貨物_メタノール,係数_バス貨物_LPG),MATCH(AY686,【参考】排出係数!$AI$4:$AI$671,1),1,BE686):INDEX((係数_バス貨物_ガソリン,係数_バス貨物_CNG,係数_バス貨物_軽油,係数_バス貨物_メタノール,係数_バス貨物_LPG),MATCH(AY686+1,【参考】排出係数!$AI$4:$AI$671,1)-1,5,BE686),5,FALSE)),IF(AND(BE686=3,LEFT(BF686,1)="1"),0.055,VLOOKUP(AU686,INDEX((係数_乗用_ガソリン,係数_乗用_CNG,係数_乗用_軽油,係数_乗用_メタノール,係数_乗用_LPG),1,1,BE686):INDEX((係数_乗用_ガソリン,係数_乗用_CNG,係数_乗用_軽油,係数_乗用_メタノール,係数_乗用_LPG),125,5,BE686),5,FALSE)))))</f>
        <v/>
      </c>
      <c r="AN686" s="461" t="str">
        <f t="shared" si="394"/>
        <v/>
      </c>
      <c r="AO686" s="462" t="str">
        <f t="shared" si="395"/>
        <v/>
      </c>
      <c r="AP686" s="463" t="str">
        <f t="shared" si="396"/>
        <v/>
      </c>
      <c r="AQ686" s="464"/>
      <c r="AR686" s="619"/>
      <c r="AS686" s="465" t="str">
        <f t="shared" si="366"/>
        <v/>
      </c>
      <c r="AT686" s="465" t="str">
        <f t="shared" si="367"/>
        <v/>
      </c>
      <c r="AU686" s="466" t="str">
        <f t="shared" si="368"/>
        <v/>
      </c>
      <c r="AV686" s="467" t="str">
        <f t="shared" si="369"/>
        <v/>
      </c>
      <c r="AW686" s="467" t="str">
        <f t="shared" si="370"/>
        <v/>
      </c>
      <c r="AX686" s="467" t="str">
        <f t="shared" si="371"/>
        <v/>
      </c>
      <c r="AY686" s="467" t="str">
        <f t="shared" si="372"/>
        <v/>
      </c>
      <c r="AZ686" s="467" t="str">
        <f t="shared" si="373"/>
        <v/>
      </c>
      <c r="BA686" s="468" t="str">
        <f>IF(AS686="","",IF(OR(AU686="",AU686="-"),"－",IF(OR(AZ686=8,AZ686=9),"",IF(OR(AW686=3,AW686=4,AW686=5,AW686=6),VLOOKUP(AU686,INDEX((係数_バス貨物_ガソリン,係数_バス貨物_CNG,係数_バス貨物_軽油,係数_バス貨物_メタノール,係数_バス貨物_LPG),MATCH(AY686,【参考】排出係数!$AI$4:$AI$671,1),1,BE686):INDEX((係数_バス貨物_ガソリン,係数_バス貨物_CNG,係数_バス貨物_軽油,係数_バス貨物_メタノール,係数_バス貨物_LPG),MATCH(AY686+1,【参考】排出係数!$AI$4:$AI$671,1)-1,5,BE686),2,FALSE),IF(OR(AW686=1,AW686=2),VLOOKUP(AU686,INDEX((係数_乗用_ガソリン,係数_乗用_CNG,係数_乗用_軽油,係数_乗用_メタノール,係数_乗用_LPG),1,1,BE686):INDEX((係数_乗用_ガソリン,係数_乗用_CNG,係数_乗用_軽油,係数_乗用_メタノール,係数_乗用_LPG),125,5,BE686),2,FALSE))))))</f>
        <v/>
      </c>
      <c r="BB686" s="468" t="str">
        <f>IF(T686="","",IF(OR(AU686="",AU686="-"),"－",IF(OR(AZ686=8,AZ686=9),"",IF(OR(AW686=3,AW686=4,AW686=5,AW686=6),VLOOKUP(AU686,INDEX((係数_バス貨物_ガソリン,係数_バス貨物_CNG,係数_バス貨物_軽油,係数_バス貨物_メタノール,係数_バス貨物_LPG),MATCH(AY686,【参考】排出係数!$AI$4:$AI$671,1),1,BE686):INDEX((係数_バス貨物_ガソリン,係数_バス貨物_CNG,係数_バス貨物_軽油,係数_バス貨物_メタノール,係数_バス貨物_LPG),MATCH(AY686+1,【参考】排出係数!$AI$4:$AI$671,1)-1,5,BE686),3,FALSE),IF(OR(AW686=1,AW686=2),VLOOKUP(AU686,INDEX((係数_乗用_ガソリン,係数_乗用_CNG,係数_乗用_軽油,係数_乗用_メタノール,係数_乗用_LPG),1,1,BE686):INDEX((係数_乗用_ガソリン,係数_乗用_CNG,係数_乗用_軽油,係数_乗用_メタノール,係数_乗用_LPG),125,5,BE686),3,FALSE))))))</f>
        <v/>
      </c>
      <c r="BC686" s="467" t="str">
        <f t="shared" si="374"/>
        <v/>
      </c>
      <c r="BD686" s="567" t="str">
        <f t="shared" si="375"/>
        <v/>
      </c>
      <c r="BE686" s="467" t="str">
        <f t="shared" si="376"/>
        <v/>
      </c>
      <c r="BF686" s="469" t="str">
        <f t="shared" ca="1" si="377"/>
        <v/>
      </c>
      <c r="BG686" s="469" t="str">
        <f t="shared" ca="1" si="378"/>
        <v/>
      </c>
      <c r="BH686" s="467" t="str">
        <f t="shared" si="379"/>
        <v/>
      </c>
      <c r="BI686" s="467" t="str">
        <f t="shared" ca="1" si="380"/>
        <v/>
      </c>
      <c r="BJ686" s="469" t="str">
        <f t="shared" si="381"/>
        <v/>
      </c>
      <c r="BK686" s="470" t="str">
        <f t="shared" si="365"/>
        <v/>
      </c>
      <c r="BL686" s="775" t="str">
        <f t="shared" si="382"/>
        <v/>
      </c>
      <c r="BM686" s="775" t="str">
        <f t="shared" si="383"/>
        <v/>
      </c>
    </row>
    <row r="687" spans="1:65">
      <c r="A687" s="473">
        <v>631</v>
      </c>
      <c r="B687" s="132"/>
      <c r="C687" s="332"/>
      <c r="D687" s="333"/>
      <c r="E687" s="333"/>
      <c r="F687" s="334"/>
      <c r="G687" s="337"/>
      <c r="H687" s="131"/>
      <c r="I687" s="337"/>
      <c r="J687" s="131"/>
      <c r="K687" s="458" t="str">
        <f t="shared" si="384"/>
        <v/>
      </c>
      <c r="L687" s="458">
        <f t="shared" si="385"/>
        <v>0</v>
      </c>
      <c r="M687" s="458">
        <f t="shared" si="386"/>
        <v>0</v>
      </c>
      <c r="N687" s="459" t="str">
        <f t="shared" si="283"/>
        <v/>
      </c>
      <c r="O687" s="459" t="str">
        <f t="shared" si="284"/>
        <v/>
      </c>
      <c r="P687" s="459" t="str">
        <f t="shared" si="285"/>
        <v/>
      </c>
      <c r="Q687" s="459" t="str">
        <f t="shared" si="286"/>
        <v/>
      </c>
      <c r="R687" s="459" t="str">
        <f t="shared" si="287"/>
        <v/>
      </c>
      <c r="S687" s="459" t="str">
        <f t="shared" si="288"/>
        <v/>
      </c>
      <c r="T687" s="566" t="str">
        <f t="shared" si="387"/>
        <v/>
      </c>
      <c r="U687" s="702"/>
      <c r="V687" s="132"/>
      <c r="W687" s="133"/>
      <c r="X687" s="134"/>
      <c r="Y687" s="135"/>
      <c r="Z687" s="137"/>
      <c r="AA687" s="136"/>
      <c r="AB687" s="566" t="str">
        <f t="shared" si="388"/>
        <v/>
      </c>
      <c r="AC687" s="568" t="str">
        <f t="shared" si="389"/>
        <v/>
      </c>
      <c r="AD687" s="137"/>
      <c r="AE687" s="137"/>
      <c r="AF687" s="138"/>
      <c r="AG687" s="138"/>
      <c r="AH687" s="592" t="str">
        <f t="shared" si="390"/>
        <v/>
      </c>
      <c r="AI687" s="592" t="str">
        <f t="shared" si="391"/>
        <v/>
      </c>
      <c r="AJ687" s="592" t="str">
        <f t="shared" si="392"/>
        <v/>
      </c>
      <c r="AK687" s="460" t="str">
        <f>IF(AU687="","",IF(OR(AZ687=8,AZ687=9),0,IF(OR(AW687=3,AW687=4,AW687=5,AW687=6),IF(LEFT(BF687,1)="1",INDEX(係数_NOX・PM低減,MATCH(AY687,【参考】排出係数!$AI$801:$AI$804,1),1),VLOOKUP(AU687,INDEX((係数_バス貨物_ガソリン,係数_バス貨物_CNG,係数_バス貨物_軽油,係数_バス貨物_メタノール,係数_バス貨物_LPG),MATCH(AY687,【参考】排出係数!$AI$4:$AI$671,1),1,BE687):INDEX((係数_バス貨物_ガソリン,係数_バス貨物_CNG,係数_バス貨物_軽油,係数_バス貨物_メタノール,係数_バス貨物_LPG),MATCH(AY687+1,【参考】排出係数!$AI$4:$AI$671,1)-1,5,BE687),4,FALSE)),IF(AND(BE687=3,LEFT(BF687,1)="1"),0.48,VLOOKUP(AU687,INDEX((係数_乗用_ガソリン,係数_乗用_CNG,係数_乗用_軽油,係数_乗用_メタノール,係数_乗用_LPG),1,1,BE687):INDEX((係数_乗用_ガソリン,係数_乗用_CNG,係数_乗用_軽油,係数_乗用_メタノール,係数_乗用_LPG),125,5,BE687),4,FALSE)))))</f>
        <v/>
      </c>
      <c r="AL687" s="461" t="str">
        <f t="shared" si="393"/>
        <v/>
      </c>
      <c r="AM687" s="460" t="str">
        <f>IF(AU687="","",IF(OR(AZ687=8,AZ687=9),0,IF(OR(AW687=3,AW687=4,AW687=5,AW687=6),IF(LEFT(BH687,1)="1",INDEX(係数_PM低減,MATCH(AY687,【参考】排出係数!$AI$801:$AI$804,1),MATCH(BI687,【参考】排出係数!$AL$798:$AO$798,1)),VLOOKUP(AU687,INDEX((係数_バス貨物_ガソリン,係数_バス貨物_CNG,係数_バス貨物_軽油,係数_バス貨物_メタノール,係数_バス貨物_LPG),MATCH(AY687,【参考】排出係数!$AI$4:$AI$671,1),1,BE687):INDEX((係数_バス貨物_ガソリン,係数_バス貨物_CNG,係数_バス貨物_軽油,係数_バス貨物_メタノール,係数_バス貨物_LPG),MATCH(AY687+1,【参考】排出係数!$AI$4:$AI$671,1)-1,5,BE687),5,FALSE)),IF(AND(BE687=3,LEFT(BF687,1)="1"),0.055,VLOOKUP(AU687,INDEX((係数_乗用_ガソリン,係数_乗用_CNG,係数_乗用_軽油,係数_乗用_メタノール,係数_乗用_LPG),1,1,BE687):INDEX((係数_乗用_ガソリン,係数_乗用_CNG,係数_乗用_軽油,係数_乗用_メタノール,係数_乗用_LPG),125,5,BE687),5,FALSE)))))</f>
        <v/>
      </c>
      <c r="AN687" s="461" t="str">
        <f t="shared" si="394"/>
        <v/>
      </c>
      <c r="AO687" s="462" t="str">
        <f t="shared" si="395"/>
        <v/>
      </c>
      <c r="AP687" s="463" t="str">
        <f t="shared" si="396"/>
        <v/>
      </c>
      <c r="AQ687" s="464"/>
      <c r="AR687" s="619"/>
      <c r="AS687" s="465" t="str">
        <f t="shared" si="366"/>
        <v/>
      </c>
      <c r="AT687" s="465" t="str">
        <f t="shared" si="367"/>
        <v/>
      </c>
      <c r="AU687" s="466" t="str">
        <f t="shared" si="368"/>
        <v/>
      </c>
      <c r="AV687" s="467" t="str">
        <f t="shared" si="369"/>
        <v/>
      </c>
      <c r="AW687" s="467" t="str">
        <f t="shared" si="370"/>
        <v/>
      </c>
      <c r="AX687" s="467" t="str">
        <f t="shared" si="371"/>
        <v/>
      </c>
      <c r="AY687" s="467" t="str">
        <f t="shared" si="372"/>
        <v/>
      </c>
      <c r="AZ687" s="467" t="str">
        <f t="shared" si="373"/>
        <v/>
      </c>
      <c r="BA687" s="468" t="str">
        <f>IF(AS687="","",IF(OR(AU687="",AU687="-"),"－",IF(OR(AZ687=8,AZ687=9),"",IF(OR(AW687=3,AW687=4,AW687=5,AW687=6),VLOOKUP(AU687,INDEX((係数_バス貨物_ガソリン,係数_バス貨物_CNG,係数_バス貨物_軽油,係数_バス貨物_メタノール,係数_バス貨物_LPG),MATCH(AY687,【参考】排出係数!$AI$4:$AI$671,1),1,BE687):INDEX((係数_バス貨物_ガソリン,係数_バス貨物_CNG,係数_バス貨物_軽油,係数_バス貨物_メタノール,係数_バス貨物_LPG),MATCH(AY687+1,【参考】排出係数!$AI$4:$AI$671,1)-1,5,BE687),2,FALSE),IF(OR(AW687=1,AW687=2),VLOOKUP(AU687,INDEX((係数_乗用_ガソリン,係数_乗用_CNG,係数_乗用_軽油,係数_乗用_メタノール,係数_乗用_LPG),1,1,BE687):INDEX((係数_乗用_ガソリン,係数_乗用_CNG,係数_乗用_軽油,係数_乗用_メタノール,係数_乗用_LPG),125,5,BE687),2,FALSE))))))</f>
        <v/>
      </c>
      <c r="BB687" s="468" t="str">
        <f>IF(T687="","",IF(OR(AU687="",AU687="-"),"－",IF(OR(AZ687=8,AZ687=9),"",IF(OR(AW687=3,AW687=4,AW687=5,AW687=6),VLOOKUP(AU687,INDEX((係数_バス貨物_ガソリン,係数_バス貨物_CNG,係数_バス貨物_軽油,係数_バス貨物_メタノール,係数_バス貨物_LPG),MATCH(AY687,【参考】排出係数!$AI$4:$AI$671,1),1,BE687):INDEX((係数_バス貨物_ガソリン,係数_バス貨物_CNG,係数_バス貨物_軽油,係数_バス貨物_メタノール,係数_バス貨物_LPG),MATCH(AY687+1,【参考】排出係数!$AI$4:$AI$671,1)-1,5,BE687),3,FALSE),IF(OR(AW687=1,AW687=2),VLOOKUP(AU687,INDEX((係数_乗用_ガソリン,係数_乗用_CNG,係数_乗用_軽油,係数_乗用_メタノール,係数_乗用_LPG),1,1,BE687):INDEX((係数_乗用_ガソリン,係数_乗用_CNG,係数_乗用_軽油,係数_乗用_メタノール,係数_乗用_LPG),125,5,BE687),3,FALSE))))))</f>
        <v/>
      </c>
      <c r="BC687" s="467" t="str">
        <f t="shared" si="374"/>
        <v/>
      </c>
      <c r="BD687" s="567" t="str">
        <f t="shared" si="375"/>
        <v/>
      </c>
      <c r="BE687" s="467" t="str">
        <f t="shared" si="376"/>
        <v/>
      </c>
      <c r="BF687" s="469" t="str">
        <f t="shared" ca="1" si="377"/>
        <v/>
      </c>
      <c r="BG687" s="469" t="str">
        <f t="shared" ca="1" si="378"/>
        <v/>
      </c>
      <c r="BH687" s="467" t="str">
        <f t="shared" si="379"/>
        <v/>
      </c>
      <c r="BI687" s="467" t="str">
        <f t="shared" ca="1" si="380"/>
        <v/>
      </c>
      <c r="BJ687" s="469" t="str">
        <f t="shared" si="381"/>
        <v/>
      </c>
      <c r="BK687" s="470" t="str">
        <f t="shared" si="365"/>
        <v/>
      </c>
      <c r="BL687" s="775" t="str">
        <f t="shared" si="382"/>
        <v/>
      </c>
      <c r="BM687" s="775" t="str">
        <f t="shared" si="383"/>
        <v/>
      </c>
    </row>
    <row r="688" spans="1:65">
      <c r="A688" s="473">
        <v>632</v>
      </c>
      <c r="B688" s="132"/>
      <c r="C688" s="332"/>
      <c r="D688" s="333"/>
      <c r="E688" s="333"/>
      <c r="F688" s="334"/>
      <c r="G688" s="337"/>
      <c r="H688" s="131"/>
      <c r="I688" s="337"/>
      <c r="J688" s="131"/>
      <c r="K688" s="458" t="str">
        <f t="shared" si="384"/>
        <v/>
      </c>
      <c r="L688" s="458">
        <f t="shared" si="385"/>
        <v>0</v>
      </c>
      <c r="M688" s="458">
        <f t="shared" si="386"/>
        <v>0</v>
      </c>
      <c r="N688" s="459" t="str">
        <f t="shared" si="283"/>
        <v/>
      </c>
      <c r="O688" s="459" t="str">
        <f t="shared" si="284"/>
        <v/>
      </c>
      <c r="P688" s="459" t="str">
        <f t="shared" si="285"/>
        <v/>
      </c>
      <c r="Q688" s="459" t="str">
        <f t="shared" si="286"/>
        <v/>
      </c>
      <c r="R688" s="459" t="str">
        <f t="shared" si="287"/>
        <v/>
      </c>
      <c r="S688" s="459" t="str">
        <f t="shared" si="288"/>
        <v/>
      </c>
      <c r="T688" s="566" t="str">
        <f t="shared" si="387"/>
        <v/>
      </c>
      <c r="U688" s="702"/>
      <c r="V688" s="132"/>
      <c r="W688" s="133"/>
      <c r="X688" s="134"/>
      <c r="Y688" s="135"/>
      <c r="Z688" s="137"/>
      <c r="AA688" s="136"/>
      <c r="AB688" s="566" t="str">
        <f t="shared" si="388"/>
        <v/>
      </c>
      <c r="AC688" s="568" t="str">
        <f t="shared" si="389"/>
        <v/>
      </c>
      <c r="AD688" s="137"/>
      <c r="AE688" s="137"/>
      <c r="AF688" s="138"/>
      <c r="AG688" s="138"/>
      <c r="AH688" s="592" t="str">
        <f t="shared" si="390"/>
        <v/>
      </c>
      <c r="AI688" s="592" t="str">
        <f t="shared" si="391"/>
        <v/>
      </c>
      <c r="AJ688" s="592" t="str">
        <f t="shared" si="392"/>
        <v/>
      </c>
      <c r="AK688" s="460" t="str">
        <f>IF(AU688="","",IF(OR(AZ688=8,AZ688=9),0,IF(OR(AW688=3,AW688=4,AW688=5,AW688=6),IF(LEFT(BF688,1)="1",INDEX(係数_NOX・PM低減,MATCH(AY688,【参考】排出係数!$AI$801:$AI$804,1),1),VLOOKUP(AU688,INDEX((係数_バス貨物_ガソリン,係数_バス貨物_CNG,係数_バス貨物_軽油,係数_バス貨物_メタノール,係数_バス貨物_LPG),MATCH(AY688,【参考】排出係数!$AI$4:$AI$671,1),1,BE688):INDEX((係数_バス貨物_ガソリン,係数_バス貨物_CNG,係数_バス貨物_軽油,係数_バス貨物_メタノール,係数_バス貨物_LPG),MATCH(AY688+1,【参考】排出係数!$AI$4:$AI$671,1)-1,5,BE688),4,FALSE)),IF(AND(BE688=3,LEFT(BF688,1)="1"),0.48,VLOOKUP(AU688,INDEX((係数_乗用_ガソリン,係数_乗用_CNG,係数_乗用_軽油,係数_乗用_メタノール,係数_乗用_LPG),1,1,BE688):INDEX((係数_乗用_ガソリン,係数_乗用_CNG,係数_乗用_軽油,係数_乗用_メタノール,係数_乗用_LPG),125,5,BE688),4,FALSE)))))</f>
        <v/>
      </c>
      <c r="AL688" s="461" t="str">
        <f t="shared" si="393"/>
        <v/>
      </c>
      <c r="AM688" s="460" t="str">
        <f>IF(AU688="","",IF(OR(AZ688=8,AZ688=9),0,IF(OR(AW688=3,AW688=4,AW688=5,AW688=6),IF(LEFT(BH688,1)="1",INDEX(係数_PM低減,MATCH(AY688,【参考】排出係数!$AI$801:$AI$804,1),MATCH(BI688,【参考】排出係数!$AL$798:$AO$798,1)),VLOOKUP(AU688,INDEX((係数_バス貨物_ガソリン,係数_バス貨物_CNG,係数_バス貨物_軽油,係数_バス貨物_メタノール,係数_バス貨物_LPG),MATCH(AY688,【参考】排出係数!$AI$4:$AI$671,1),1,BE688):INDEX((係数_バス貨物_ガソリン,係数_バス貨物_CNG,係数_バス貨物_軽油,係数_バス貨物_メタノール,係数_バス貨物_LPG),MATCH(AY688+1,【参考】排出係数!$AI$4:$AI$671,1)-1,5,BE688),5,FALSE)),IF(AND(BE688=3,LEFT(BF688,1)="1"),0.055,VLOOKUP(AU688,INDEX((係数_乗用_ガソリン,係数_乗用_CNG,係数_乗用_軽油,係数_乗用_メタノール,係数_乗用_LPG),1,1,BE688):INDEX((係数_乗用_ガソリン,係数_乗用_CNG,係数_乗用_軽油,係数_乗用_メタノール,係数_乗用_LPG),125,5,BE688),5,FALSE)))))</f>
        <v/>
      </c>
      <c r="AN688" s="461" t="str">
        <f t="shared" si="394"/>
        <v/>
      </c>
      <c r="AO688" s="462" t="str">
        <f t="shared" si="395"/>
        <v/>
      </c>
      <c r="AP688" s="463" t="str">
        <f t="shared" si="396"/>
        <v/>
      </c>
      <c r="AQ688" s="464"/>
      <c r="AR688" s="619"/>
      <c r="AS688" s="465" t="str">
        <f t="shared" si="366"/>
        <v/>
      </c>
      <c r="AT688" s="465" t="str">
        <f t="shared" si="367"/>
        <v/>
      </c>
      <c r="AU688" s="466" t="str">
        <f t="shared" si="368"/>
        <v/>
      </c>
      <c r="AV688" s="467" t="str">
        <f t="shared" si="369"/>
        <v/>
      </c>
      <c r="AW688" s="467" t="str">
        <f t="shared" si="370"/>
        <v/>
      </c>
      <c r="AX688" s="467" t="str">
        <f t="shared" si="371"/>
        <v/>
      </c>
      <c r="AY688" s="467" t="str">
        <f t="shared" si="372"/>
        <v/>
      </c>
      <c r="AZ688" s="467" t="str">
        <f t="shared" si="373"/>
        <v/>
      </c>
      <c r="BA688" s="468" t="str">
        <f>IF(AS688="","",IF(OR(AU688="",AU688="-"),"－",IF(OR(AZ688=8,AZ688=9),"",IF(OR(AW688=3,AW688=4,AW688=5,AW688=6),VLOOKUP(AU688,INDEX((係数_バス貨物_ガソリン,係数_バス貨物_CNG,係数_バス貨物_軽油,係数_バス貨物_メタノール,係数_バス貨物_LPG),MATCH(AY688,【参考】排出係数!$AI$4:$AI$671,1),1,BE688):INDEX((係数_バス貨物_ガソリン,係数_バス貨物_CNG,係数_バス貨物_軽油,係数_バス貨物_メタノール,係数_バス貨物_LPG),MATCH(AY688+1,【参考】排出係数!$AI$4:$AI$671,1)-1,5,BE688),2,FALSE),IF(OR(AW688=1,AW688=2),VLOOKUP(AU688,INDEX((係数_乗用_ガソリン,係数_乗用_CNG,係数_乗用_軽油,係数_乗用_メタノール,係数_乗用_LPG),1,1,BE688):INDEX((係数_乗用_ガソリン,係数_乗用_CNG,係数_乗用_軽油,係数_乗用_メタノール,係数_乗用_LPG),125,5,BE688),2,FALSE))))))</f>
        <v/>
      </c>
      <c r="BB688" s="468" t="str">
        <f>IF(T688="","",IF(OR(AU688="",AU688="-"),"－",IF(OR(AZ688=8,AZ688=9),"",IF(OR(AW688=3,AW688=4,AW688=5,AW688=6),VLOOKUP(AU688,INDEX((係数_バス貨物_ガソリン,係数_バス貨物_CNG,係数_バス貨物_軽油,係数_バス貨物_メタノール,係数_バス貨物_LPG),MATCH(AY688,【参考】排出係数!$AI$4:$AI$671,1),1,BE688):INDEX((係数_バス貨物_ガソリン,係数_バス貨物_CNG,係数_バス貨物_軽油,係数_バス貨物_メタノール,係数_バス貨物_LPG),MATCH(AY688+1,【参考】排出係数!$AI$4:$AI$671,1)-1,5,BE688),3,FALSE),IF(OR(AW688=1,AW688=2),VLOOKUP(AU688,INDEX((係数_乗用_ガソリン,係数_乗用_CNG,係数_乗用_軽油,係数_乗用_メタノール,係数_乗用_LPG),1,1,BE688):INDEX((係数_乗用_ガソリン,係数_乗用_CNG,係数_乗用_軽油,係数_乗用_メタノール,係数_乗用_LPG),125,5,BE688),3,FALSE))))))</f>
        <v/>
      </c>
      <c r="BC688" s="467" t="str">
        <f t="shared" si="374"/>
        <v/>
      </c>
      <c r="BD688" s="567" t="str">
        <f t="shared" si="375"/>
        <v/>
      </c>
      <c r="BE688" s="467" t="str">
        <f t="shared" si="376"/>
        <v/>
      </c>
      <c r="BF688" s="469" t="str">
        <f t="shared" ca="1" si="377"/>
        <v/>
      </c>
      <c r="BG688" s="469" t="str">
        <f t="shared" ca="1" si="378"/>
        <v/>
      </c>
      <c r="BH688" s="467" t="str">
        <f t="shared" si="379"/>
        <v/>
      </c>
      <c r="BI688" s="467" t="str">
        <f t="shared" ca="1" si="380"/>
        <v/>
      </c>
      <c r="BJ688" s="469" t="str">
        <f t="shared" si="381"/>
        <v/>
      </c>
      <c r="BK688" s="470" t="str">
        <f t="shared" si="365"/>
        <v/>
      </c>
      <c r="BL688" s="775" t="str">
        <f t="shared" si="382"/>
        <v/>
      </c>
      <c r="BM688" s="775" t="str">
        <f t="shared" si="383"/>
        <v/>
      </c>
    </row>
    <row r="689" spans="1:65">
      <c r="A689" s="473">
        <v>633</v>
      </c>
      <c r="B689" s="132"/>
      <c r="C689" s="332"/>
      <c r="D689" s="333"/>
      <c r="E689" s="333"/>
      <c r="F689" s="334"/>
      <c r="G689" s="337"/>
      <c r="H689" s="131"/>
      <c r="I689" s="337"/>
      <c r="J689" s="131"/>
      <c r="K689" s="458" t="str">
        <f t="shared" si="384"/>
        <v/>
      </c>
      <c r="L689" s="458">
        <f t="shared" si="385"/>
        <v>0</v>
      </c>
      <c r="M689" s="458">
        <f t="shared" si="386"/>
        <v>0</v>
      </c>
      <c r="N689" s="459" t="str">
        <f t="shared" si="283"/>
        <v/>
      </c>
      <c r="O689" s="459" t="str">
        <f t="shared" si="284"/>
        <v/>
      </c>
      <c r="P689" s="459" t="str">
        <f t="shared" si="285"/>
        <v/>
      </c>
      <c r="Q689" s="459" t="str">
        <f t="shared" si="286"/>
        <v/>
      </c>
      <c r="R689" s="459" t="str">
        <f t="shared" si="287"/>
        <v/>
      </c>
      <c r="S689" s="459" t="str">
        <f t="shared" si="288"/>
        <v/>
      </c>
      <c r="T689" s="566" t="str">
        <f t="shared" si="387"/>
        <v/>
      </c>
      <c r="U689" s="702"/>
      <c r="V689" s="132"/>
      <c r="W689" s="133"/>
      <c r="X689" s="134"/>
      <c r="Y689" s="135"/>
      <c r="Z689" s="137"/>
      <c r="AA689" s="136"/>
      <c r="AB689" s="566" t="str">
        <f t="shared" si="388"/>
        <v/>
      </c>
      <c r="AC689" s="568" t="str">
        <f t="shared" si="389"/>
        <v/>
      </c>
      <c r="AD689" s="137"/>
      <c r="AE689" s="137"/>
      <c r="AF689" s="138"/>
      <c r="AG689" s="138"/>
      <c r="AH689" s="592" t="str">
        <f t="shared" si="390"/>
        <v/>
      </c>
      <c r="AI689" s="592" t="str">
        <f t="shared" si="391"/>
        <v/>
      </c>
      <c r="AJ689" s="592" t="str">
        <f t="shared" si="392"/>
        <v/>
      </c>
      <c r="AK689" s="460" t="str">
        <f>IF(AU689="","",IF(OR(AZ689=8,AZ689=9),0,IF(OR(AW689=3,AW689=4,AW689=5,AW689=6),IF(LEFT(BF689,1)="1",INDEX(係数_NOX・PM低減,MATCH(AY689,【参考】排出係数!$AI$801:$AI$804,1),1),VLOOKUP(AU689,INDEX((係数_バス貨物_ガソリン,係数_バス貨物_CNG,係数_バス貨物_軽油,係数_バス貨物_メタノール,係数_バス貨物_LPG),MATCH(AY689,【参考】排出係数!$AI$4:$AI$671,1),1,BE689):INDEX((係数_バス貨物_ガソリン,係数_バス貨物_CNG,係数_バス貨物_軽油,係数_バス貨物_メタノール,係数_バス貨物_LPG),MATCH(AY689+1,【参考】排出係数!$AI$4:$AI$671,1)-1,5,BE689),4,FALSE)),IF(AND(BE689=3,LEFT(BF689,1)="1"),0.48,VLOOKUP(AU689,INDEX((係数_乗用_ガソリン,係数_乗用_CNG,係数_乗用_軽油,係数_乗用_メタノール,係数_乗用_LPG),1,1,BE689):INDEX((係数_乗用_ガソリン,係数_乗用_CNG,係数_乗用_軽油,係数_乗用_メタノール,係数_乗用_LPG),125,5,BE689),4,FALSE)))))</f>
        <v/>
      </c>
      <c r="AL689" s="461" t="str">
        <f t="shared" si="393"/>
        <v/>
      </c>
      <c r="AM689" s="460" t="str">
        <f>IF(AU689="","",IF(OR(AZ689=8,AZ689=9),0,IF(OR(AW689=3,AW689=4,AW689=5,AW689=6),IF(LEFT(BH689,1)="1",INDEX(係数_PM低減,MATCH(AY689,【参考】排出係数!$AI$801:$AI$804,1),MATCH(BI689,【参考】排出係数!$AL$798:$AO$798,1)),VLOOKUP(AU689,INDEX((係数_バス貨物_ガソリン,係数_バス貨物_CNG,係数_バス貨物_軽油,係数_バス貨物_メタノール,係数_バス貨物_LPG),MATCH(AY689,【参考】排出係数!$AI$4:$AI$671,1),1,BE689):INDEX((係数_バス貨物_ガソリン,係数_バス貨物_CNG,係数_バス貨物_軽油,係数_バス貨物_メタノール,係数_バス貨物_LPG),MATCH(AY689+1,【参考】排出係数!$AI$4:$AI$671,1)-1,5,BE689),5,FALSE)),IF(AND(BE689=3,LEFT(BF689,1)="1"),0.055,VLOOKUP(AU689,INDEX((係数_乗用_ガソリン,係数_乗用_CNG,係数_乗用_軽油,係数_乗用_メタノール,係数_乗用_LPG),1,1,BE689):INDEX((係数_乗用_ガソリン,係数_乗用_CNG,係数_乗用_軽油,係数_乗用_メタノール,係数_乗用_LPG),125,5,BE689),5,FALSE)))))</f>
        <v/>
      </c>
      <c r="AN689" s="461" t="str">
        <f t="shared" si="394"/>
        <v/>
      </c>
      <c r="AO689" s="462" t="str">
        <f t="shared" si="395"/>
        <v/>
      </c>
      <c r="AP689" s="463" t="str">
        <f t="shared" si="396"/>
        <v/>
      </c>
      <c r="AQ689" s="464"/>
      <c r="AR689" s="619"/>
      <c r="AS689" s="465" t="str">
        <f t="shared" si="366"/>
        <v/>
      </c>
      <c r="AT689" s="465" t="str">
        <f t="shared" si="367"/>
        <v/>
      </c>
      <c r="AU689" s="466" t="str">
        <f t="shared" si="368"/>
        <v/>
      </c>
      <c r="AV689" s="467" t="str">
        <f t="shared" si="369"/>
        <v/>
      </c>
      <c r="AW689" s="467" t="str">
        <f t="shared" si="370"/>
        <v/>
      </c>
      <c r="AX689" s="467" t="str">
        <f t="shared" si="371"/>
        <v/>
      </c>
      <c r="AY689" s="467" t="str">
        <f t="shared" si="372"/>
        <v/>
      </c>
      <c r="AZ689" s="467" t="str">
        <f t="shared" si="373"/>
        <v/>
      </c>
      <c r="BA689" s="468" t="str">
        <f>IF(AS689="","",IF(OR(AU689="",AU689="-"),"－",IF(OR(AZ689=8,AZ689=9),"",IF(OR(AW689=3,AW689=4,AW689=5,AW689=6),VLOOKUP(AU689,INDEX((係数_バス貨物_ガソリン,係数_バス貨物_CNG,係数_バス貨物_軽油,係数_バス貨物_メタノール,係数_バス貨物_LPG),MATCH(AY689,【参考】排出係数!$AI$4:$AI$671,1),1,BE689):INDEX((係数_バス貨物_ガソリン,係数_バス貨物_CNG,係数_バス貨物_軽油,係数_バス貨物_メタノール,係数_バス貨物_LPG),MATCH(AY689+1,【参考】排出係数!$AI$4:$AI$671,1)-1,5,BE689),2,FALSE),IF(OR(AW689=1,AW689=2),VLOOKUP(AU689,INDEX((係数_乗用_ガソリン,係数_乗用_CNG,係数_乗用_軽油,係数_乗用_メタノール,係数_乗用_LPG),1,1,BE689):INDEX((係数_乗用_ガソリン,係数_乗用_CNG,係数_乗用_軽油,係数_乗用_メタノール,係数_乗用_LPG),125,5,BE689),2,FALSE))))))</f>
        <v/>
      </c>
      <c r="BB689" s="468" t="str">
        <f>IF(T689="","",IF(OR(AU689="",AU689="-"),"－",IF(OR(AZ689=8,AZ689=9),"",IF(OR(AW689=3,AW689=4,AW689=5,AW689=6),VLOOKUP(AU689,INDEX((係数_バス貨物_ガソリン,係数_バス貨物_CNG,係数_バス貨物_軽油,係数_バス貨物_メタノール,係数_バス貨物_LPG),MATCH(AY689,【参考】排出係数!$AI$4:$AI$671,1),1,BE689):INDEX((係数_バス貨物_ガソリン,係数_バス貨物_CNG,係数_バス貨物_軽油,係数_バス貨物_メタノール,係数_バス貨物_LPG),MATCH(AY689+1,【参考】排出係数!$AI$4:$AI$671,1)-1,5,BE689),3,FALSE),IF(OR(AW689=1,AW689=2),VLOOKUP(AU689,INDEX((係数_乗用_ガソリン,係数_乗用_CNG,係数_乗用_軽油,係数_乗用_メタノール,係数_乗用_LPG),1,1,BE689):INDEX((係数_乗用_ガソリン,係数_乗用_CNG,係数_乗用_軽油,係数_乗用_メタノール,係数_乗用_LPG),125,5,BE689),3,FALSE))))))</f>
        <v/>
      </c>
      <c r="BC689" s="467" t="str">
        <f t="shared" si="374"/>
        <v/>
      </c>
      <c r="BD689" s="567" t="str">
        <f t="shared" si="375"/>
        <v/>
      </c>
      <c r="BE689" s="467" t="str">
        <f t="shared" si="376"/>
        <v/>
      </c>
      <c r="BF689" s="469" t="str">
        <f t="shared" ca="1" si="377"/>
        <v/>
      </c>
      <c r="BG689" s="469" t="str">
        <f t="shared" ca="1" si="378"/>
        <v/>
      </c>
      <c r="BH689" s="467" t="str">
        <f t="shared" si="379"/>
        <v/>
      </c>
      <c r="BI689" s="467" t="str">
        <f t="shared" ca="1" si="380"/>
        <v/>
      </c>
      <c r="BJ689" s="469" t="str">
        <f t="shared" si="381"/>
        <v/>
      </c>
      <c r="BK689" s="470" t="str">
        <f t="shared" si="365"/>
        <v/>
      </c>
      <c r="BL689" s="775" t="str">
        <f t="shared" si="382"/>
        <v/>
      </c>
      <c r="BM689" s="775" t="str">
        <f t="shared" si="383"/>
        <v/>
      </c>
    </row>
    <row r="690" spans="1:65">
      <c r="A690" s="473">
        <v>634</v>
      </c>
      <c r="B690" s="132"/>
      <c r="C690" s="332"/>
      <c r="D690" s="333"/>
      <c r="E690" s="333"/>
      <c r="F690" s="334"/>
      <c r="G690" s="337"/>
      <c r="H690" s="131"/>
      <c r="I690" s="337"/>
      <c r="J690" s="131"/>
      <c r="K690" s="458" t="str">
        <f t="shared" si="384"/>
        <v/>
      </c>
      <c r="L690" s="458">
        <f t="shared" si="385"/>
        <v>0</v>
      </c>
      <c r="M690" s="458">
        <f t="shared" si="386"/>
        <v>0</v>
      </c>
      <c r="N690" s="459" t="str">
        <f t="shared" si="283"/>
        <v/>
      </c>
      <c r="O690" s="459" t="str">
        <f t="shared" si="284"/>
        <v/>
      </c>
      <c r="P690" s="459" t="str">
        <f t="shared" si="285"/>
        <v/>
      </c>
      <c r="Q690" s="459" t="str">
        <f t="shared" si="286"/>
        <v/>
      </c>
      <c r="R690" s="459" t="str">
        <f t="shared" si="287"/>
        <v/>
      </c>
      <c r="S690" s="459" t="str">
        <f t="shared" si="288"/>
        <v/>
      </c>
      <c r="T690" s="566" t="str">
        <f t="shared" si="387"/>
        <v/>
      </c>
      <c r="U690" s="702"/>
      <c r="V690" s="132"/>
      <c r="W690" s="133"/>
      <c r="X690" s="134"/>
      <c r="Y690" s="135"/>
      <c r="Z690" s="137"/>
      <c r="AA690" s="136"/>
      <c r="AB690" s="566" t="str">
        <f t="shared" si="388"/>
        <v/>
      </c>
      <c r="AC690" s="568" t="str">
        <f t="shared" si="389"/>
        <v/>
      </c>
      <c r="AD690" s="137"/>
      <c r="AE690" s="137"/>
      <c r="AF690" s="138"/>
      <c r="AG690" s="138"/>
      <c r="AH690" s="592" t="str">
        <f t="shared" si="390"/>
        <v/>
      </c>
      <c r="AI690" s="592" t="str">
        <f t="shared" si="391"/>
        <v/>
      </c>
      <c r="AJ690" s="592" t="str">
        <f t="shared" si="392"/>
        <v/>
      </c>
      <c r="AK690" s="460" t="str">
        <f>IF(AU690="","",IF(OR(AZ690=8,AZ690=9),0,IF(OR(AW690=3,AW690=4,AW690=5,AW690=6),IF(LEFT(BF690,1)="1",INDEX(係数_NOX・PM低減,MATCH(AY690,【参考】排出係数!$AI$801:$AI$804,1),1),VLOOKUP(AU690,INDEX((係数_バス貨物_ガソリン,係数_バス貨物_CNG,係数_バス貨物_軽油,係数_バス貨物_メタノール,係数_バス貨物_LPG),MATCH(AY690,【参考】排出係数!$AI$4:$AI$671,1),1,BE690):INDEX((係数_バス貨物_ガソリン,係数_バス貨物_CNG,係数_バス貨物_軽油,係数_バス貨物_メタノール,係数_バス貨物_LPG),MATCH(AY690+1,【参考】排出係数!$AI$4:$AI$671,1)-1,5,BE690),4,FALSE)),IF(AND(BE690=3,LEFT(BF690,1)="1"),0.48,VLOOKUP(AU690,INDEX((係数_乗用_ガソリン,係数_乗用_CNG,係数_乗用_軽油,係数_乗用_メタノール,係数_乗用_LPG),1,1,BE690):INDEX((係数_乗用_ガソリン,係数_乗用_CNG,係数_乗用_軽油,係数_乗用_メタノール,係数_乗用_LPG),125,5,BE690),4,FALSE)))))</f>
        <v/>
      </c>
      <c r="AL690" s="461" t="str">
        <f t="shared" si="393"/>
        <v/>
      </c>
      <c r="AM690" s="460" t="str">
        <f>IF(AU690="","",IF(OR(AZ690=8,AZ690=9),0,IF(OR(AW690=3,AW690=4,AW690=5,AW690=6),IF(LEFT(BH690,1)="1",INDEX(係数_PM低減,MATCH(AY690,【参考】排出係数!$AI$801:$AI$804,1),MATCH(BI690,【参考】排出係数!$AL$798:$AO$798,1)),VLOOKUP(AU690,INDEX((係数_バス貨物_ガソリン,係数_バス貨物_CNG,係数_バス貨物_軽油,係数_バス貨物_メタノール,係数_バス貨物_LPG),MATCH(AY690,【参考】排出係数!$AI$4:$AI$671,1),1,BE690):INDEX((係数_バス貨物_ガソリン,係数_バス貨物_CNG,係数_バス貨物_軽油,係数_バス貨物_メタノール,係数_バス貨物_LPG),MATCH(AY690+1,【参考】排出係数!$AI$4:$AI$671,1)-1,5,BE690),5,FALSE)),IF(AND(BE690=3,LEFT(BF690,1)="1"),0.055,VLOOKUP(AU690,INDEX((係数_乗用_ガソリン,係数_乗用_CNG,係数_乗用_軽油,係数_乗用_メタノール,係数_乗用_LPG),1,1,BE690):INDEX((係数_乗用_ガソリン,係数_乗用_CNG,係数_乗用_軽油,係数_乗用_メタノール,係数_乗用_LPG),125,5,BE690),5,FALSE)))))</f>
        <v/>
      </c>
      <c r="AN690" s="461" t="str">
        <f t="shared" si="394"/>
        <v/>
      </c>
      <c r="AO690" s="462" t="str">
        <f t="shared" si="395"/>
        <v/>
      </c>
      <c r="AP690" s="463" t="str">
        <f t="shared" si="396"/>
        <v/>
      </c>
      <c r="AQ690" s="464"/>
      <c r="AR690" s="619"/>
      <c r="AS690" s="465" t="str">
        <f t="shared" si="366"/>
        <v/>
      </c>
      <c r="AT690" s="465" t="str">
        <f t="shared" si="367"/>
        <v/>
      </c>
      <c r="AU690" s="466" t="str">
        <f t="shared" si="368"/>
        <v/>
      </c>
      <c r="AV690" s="467" t="str">
        <f t="shared" si="369"/>
        <v/>
      </c>
      <c r="AW690" s="467" t="str">
        <f t="shared" si="370"/>
        <v/>
      </c>
      <c r="AX690" s="467" t="str">
        <f t="shared" si="371"/>
        <v/>
      </c>
      <c r="AY690" s="467" t="str">
        <f t="shared" si="372"/>
        <v/>
      </c>
      <c r="AZ690" s="467" t="str">
        <f t="shared" si="373"/>
        <v/>
      </c>
      <c r="BA690" s="468" t="str">
        <f>IF(AS690="","",IF(OR(AU690="",AU690="-"),"－",IF(OR(AZ690=8,AZ690=9),"",IF(OR(AW690=3,AW690=4,AW690=5,AW690=6),VLOOKUP(AU690,INDEX((係数_バス貨物_ガソリン,係数_バス貨物_CNG,係数_バス貨物_軽油,係数_バス貨物_メタノール,係数_バス貨物_LPG),MATCH(AY690,【参考】排出係数!$AI$4:$AI$671,1),1,BE690):INDEX((係数_バス貨物_ガソリン,係数_バス貨物_CNG,係数_バス貨物_軽油,係数_バス貨物_メタノール,係数_バス貨物_LPG),MATCH(AY690+1,【参考】排出係数!$AI$4:$AI$671,1)-1,5,BE690),2,FALSE),IF(OR(AW690=1,AW690=2),VLOOKUP(AU690,INDEX((係数_乗用_ガソリン,係数_乗用_CNG,係数_乗用_軽油,係数_乗用_メタノール,係数_乗用_LPG),1,1,BE690):INDEX((係数_乗用_ガソリン,係数_乗用_CNG,係数_乗用_軽油,係数_乗用_メタノール,係数_乗用_LPG),125,5,BE690),2,FALSE))))))</f>
        <v/>
      </c>
      <c r="BB690" s="468" t="str">
        <f>IF(T690="","",IF(OR(AU690="",AU690="-"),"－",IF(OR(AZ690=8,AZ690=9),"",IF(OR(AW690=3,AW690=4,AW690=5,AW690=6),VLOOKUP(AU690,INDEX((係数_バス貨物_ガソリン,係数_バス貨物_CNG,係数_バス貨物_軽油,係数_バス貨物_メタノール,係数_バス貨物_LPG),MATCH(AY690,【参考】排出係数!$AI$4:$AI$671,1),1,BE690):INDEX((係数_バス貨物_ガソリン,係数_バス貨物_CNG,係数_バス貨物_軽油,係数_バス貨物_メタノール,係数_バス貨物_LPG),MATCH(AY690+1,【参考】排出係数!$AI$4:$AI$671,1)-1,5,BE690),3,FALSE),IF(OR(AW690=1,AW690=2),VLOOKUP(AU690,INDEX((係数_乗用_ガソリン,係数_乗用_CNG,係数_乗用_軽油,係数_乗用_メタノール,係数_乗用_LPG),1,1,BE690):INDEX((係数_乗用_ガソリン,係数_乗用_CNG,係数_乗用_軽油,係数_乗用_メタノール,係数_乗用_LPG),125,5,BE690),3,FALSE))))))</f>
        <v/>
      </c>
      <c r="BC690" s="467" t="str">
        <f t="shared" si="374"/>
        <v/>
      </c>
      <c r="BD690" s="567" t="str">
        <f t="shared" si="375"/>
        <v/>
      </c>
      <c r="BE690" s="467" t="str">
        <f t="shared" si="376"/>
        <v/>
      </c>
      <c r="BF690" s="469" t="str">
        <f t="shared" ca="1" si="377"/>
        <v/>
      </c>
      <c r="BG690" s="469" t="str">
        <f t="shared" ca="1" si="378"/>
        <v/>
      </c>
      <c r="BH690" s="467" t="str">
        <f t="shared" si="379"/>
        <v/>
      </c>
      <c r="BI690" s="467" t="str">
        <f t="shared" ca="1" si="380"/>
        <v/>
      </c>
      <c r="BJ690" s="469" t="str">
        <f t="shared" si="381"/>
        <v/>
      </c>
      <c r="BK690" s="470" t="str">
        <f t="shared" si="365"/>
        <v/>
      </c>
      <c r="BL690" s="775" t="str">
        <f t="shared" si="382"/>
        <v/>
      </c>
      <c r="BM690" s="775" t="str">
        <f t="shared" si="383"/>
        <v/>
      </c>
    </row>
    <row r="691" spans="1:65">
      <c r="A691" s="473">
        <v>635</v>
      </c>
      <c r="B691" s="132"/>
      <c r="C691" s="332"/>
      <c r="D691" s="333"/>
      <c r="E691" s="333"/>
      <c r="F691" s="334"/>
      <c r="G691" s="337"/>
      <c r="H691" s="131"/>
      <c r="I691" s="337"/>
      <c r="J691" s="131"/>
      <c r="K691" s="458" t="str">
        <f t="shared" si="384"/>
        <v/>
      </c>
      <c r="L691" s="458">
        <f t="shared" si="385"/>
        <v>0</v>
      </c>
      <c r="M691" s="458">
        <f t="shared" si="386"/>
        <v>0</v>
      </c>
      <c r="N691" s="459" t="str">
        <f t="shared" si="283"/>
        <v/>
      </c>
      <c r="O691" s="459" t="str">
        <f t="shared" si="284"/>
        <v/>
      </c>
      <c r="P691" s="459" t="str">
        <f t="shared" si="285"/>
        <v/>
      </c>
      <c r="Q691" s="459" t="str">
        <f t="shared" si="286"/>
        <v/>
      </c>
      <c r="R691" s="459" t="str">
        <f t="shared" si="287"/>
        <v/>
      </c>
      <c r="S691" s="459" t="str">
        <f t="shared" si="288"/>
        <v/>
      </c>
      <c r="T691" s="566" t="str">
        <f t="shared" si="387"/>
        <v/>
      </c>
      <c r="U691" s="702"/>
      <c r="V691" s="132"/>
      <c r="W691" s="133"/>
      <c r="X691" s="134"/>
      <c r="Y691" s="135"/>
      <c r="Z691" s="137"/>
      <c r="AA691" s="136"/>
      <c r="AB691" s="566" t="str">
        <f t="shared" si="388"/>
        <v/>
      </c>
      <c r="AC691" s="568" t="str">
        <f t="shared" si="389"/>
        <v/>
      </c>
      <c r="AD691" s="137"/>
      <c r="AE691" s="137"/>
      <c r="AF691" s="138"/>
      <c r="AG691" s="138"/>
      <c r="AH691" s="592" t="str">
        <f t="shared" si="390"/>
        <v/>
      </c>
      <c r="AI691" s="592" t="str">
        <f t="shared" si="391"/>
        <v/>
      </c>
      <c r="AJ691" s="592" t="str">
        <f t="shared" si="392"/>
        <v/>
      </c>
      <c r="AK691" s="460" t="str">
        <f>IF(AU691="","",IF(OR(AZ691=8,AZ691=9),0,IF(OR(AW691=3,AW691=4,AW691=5,AW691=6),IF(LEFT(BF691,1)="1",INDEX(係数_NOX・PM低減,MATCH(AY691,【参考】排出係数!$AI$801:$AI$804,1),1),VLOOKUP(AU691,INDEX((係数_バス貨物_ガソリン,係数_バス貨物_CNG,係数_バス貨物_軽油,係数_バス貨物_メタノール,係数_バス貨物_LPG),MATCH(AY691,【参考】排出係数!$AI$4:$AI$671,1),1,BE691):INDEX((係数_バス貨物_ガソリン,係数_バス貨物_CNG,係数_バス貨物_軽油,係数_バス貨物_メタノール,係数_バス貨物_LPG),MATCH(AY691+1,【参考】排出係数!$AI$4:$AI$671,1)-1,5,BE691),4,FALSE)),IF(AND(BE691=3,LEFT(BF691,1)="1"),0.48,VLOOKUP(AU691,INDEX((係数_乗用_ガソリン,係数_乗用_CNG,係数_乗用_軽油,係数_乗用_メタノール,係数_乗用_LPG),1,1,BE691):INDEX((係数_乗用_ガソリン,係数_乗用_CNG,係数_乗用_軽油,係数_乗用_メタノール,係数_乗用_LPG),125,5,BE691),4,FALSE)))))</f>
        <v/>
      </c>
      <c r="AL691" s="461" t="str">
        <f t="shared" si="393"/>
        <v/>
      </c>
      <c r="AM691" s="460" t="str">
        <f>IF(AU691="","",IF(OR(AZ691=8,AZ691=9),0,IF(OR(AW691=3,AW691=4,AW691=5,AW691=6),IF(LEFT(BH691,1)="1",INDEX(係数_PM低減,MATCH(AY691,【参考】排出係数!$AI$801:$AI$804,1),MATCH(BI691,【参考】排出係数!$AL$798:$AO$798,1)),VLOOKUP(AU691,INDEX((係数_バス貨物_ガソリン,係数_バス貨物_CNG,係数_バス貨物_軽油,係数_バス貨物_メタノール,係数_バス貨物_LPG),MATCH(AY691,【参考】排出係数!$AI$4:$AI$671,1),1,BE691):INDEX((係数_バス貨物_ガソリン,係数_バス貨物_CNG,係数_バス貨物_軽油,係数_バス貨物_メタノール,係数_バス貨物_LPG),MATCH(AY691+1,【参考】排出係数!$AI$4:$AI$671,1)-1,5,BE691),5,FALSE)),IF(AND(BE691=3,LEFT(BF691,1)="1"),0.055,VLOOKUP(AU691,INDEX((係数_乗用_ガソリン,係数_乗用_CNG,係数_乗用_軽油,係数_乗用_メタノール,係数_乗用_LPG),1,1,BE691):INDEX((係数_乗用_ガソリン,係数_乗用_CNG,係数_乗用_軽油,係数_乗用_メタノール,係数_乗用_LPG),125,5,BE691),5,FALSE)))))</f>
        <v/>
      </c>
      <c r="AN691" s="461" t="str">
        <f t="shared" si="394"/>
        <v/>
      </c>
      <c r="AO691" s="462" t="str">
        <f t="shared" si="395"/>
        <v/>
      </c>
      <c r="AP691" s="463" t="str">
        <f t="shared" si="396"/>
        <v/>
      </c>
      <c r="AQ691" s="464"/>
      <c r="AR691" s="619"/>
      <c r="AS691" s="465" t="str">
        <f t="shared" si="366"/>
        <v/>
      </c>
      <c r="AT691" s="465" t="str">
        <f t="shared" si="367"/>
        <v/>
      </c>
      <c r="AU691" s="466" t="str">
        <f t="shared" si="368"/>
        <v/>
      </c>
      <c r="AV691" s="467" t="str">
        <f t="shared" si="369"/>
        <v/>
      </c>
      <c r="AW691" s="467" t="str">
        <f t="shared" si="370"/>
        <v/>
      </c>
      <c r="AX691" s="467" t="str">
        <f t="shared" si="371"/>
        <v/>
      </c>
      <c r="AY691" s="467" t="str">
        <f t="shared" si="372"/>
        <v/>
      </c>
      <c r="AZ691" s="467" t="str">
        <f t="shared" si="373"/>
        <v/>
      </c>
      <c r="BA691" s="468" t="str">
        <f>IF(AS691="","",IF(OR(AU691="",AU691="-"),"－",IF(OR(AZ691=8,AZ691=9),"",IF(OR(AW691=3,AW691=4,AW691=5,AW691=6),VLOOKUP(AU691,INDEX((係数_バス貨物_ガソリン,係数_バス貨物_CNG,係数_バス貨物_軽油,係数_バス貨物_メタノール,係数_バス貨物_LPG),MATCH(AY691,【参考】排出係数!$AI$4:$AI$671,1),1,BE691):INDEX((係数_バス貨物_ガソリン,係数_バス貨物_CNG,係数_バス貨物_軽油,係数_バス貨物_メタノール,係数_バス貨物_LPG),MATCH(AY691+1,【参考】排出係数!$AI$4:$AI$671,1)-1,5,BE691),2,FALSE),IF(OR(AW691=1,AW691=2),VLOOKUP(AU691,INDEX((係数_乗用_ガソリン,係数_乗用_CNG,係数_乗用_軽油,係数_乗用_メタノール,係数_乗用_LPG),1,1,BE691):INDEX((係数_乗用_ガソリン,係数_乗用_CNG,係数_乗用_軽油,係数_乗用_メタノール,係数_乗用_LPG),125,5,BE691),2,FALSE))))))</f>
        <v/>
      </c>
      <c r="BB691" s="468" t="str">
        <f>IF(T691="","",IF(OR(AU691="",AU691="-"),"－",IF(OR(AZ691=8,AZ691=9),"",IF(OR(AW691=3,AW691=4,AW691=5,AW691=6),VLOOKUP(AU691,INDEX((係数_バス貨物_ガソリン,係数_バス貨物_CNG,係数_バス貨物_軽油,係数_バス貨物_メタノール,係数_バス貨物_LPG),MATCH(AY691,【参考】排出係数!$AI$4:$AI$671,1),1,BE691):INDEX((係数_バス貨物_ガソリン,係数_バス貨物_CNG,係数_バス貨物_軽油,係数_バス貨物_メタノール,係数_バス貨物_LPG),MATCH(AY691+1,【参考】排出係数!$AI$4:$AI$671,1)-1,5,BE691),3,FALSE),IF(OR(AW691=1,AW691=2),VLOOKUP(AU691,INDEX((係数_乗用_ガソリン,係数_乗用_CNG,係数_乗用_軽油,係数_乗用_メタノール,係数_乗用_LPG),1,1,BE691):INDEX((係数_乗用_ガソリン,係数_乗用_CNG,係数_乗用_軽油,係数_乗用_メタノール,係数_乗用_LPG),125,5,BE691),3,FALSE))))))</f>
        <v/>
      </c>
      <c r="BC691" s="467" t="str">
        <f t="shared" si="374"/>
        <v/>
      </c>
      <c r="BD691" s="567" t="str">
        <f t="shared" si="375"/>
        <v/>
      </c>
      <c r="BE691" s="467" t="str">
        <f t="shared" si="376"/>
        <v/>
      </c>
      <c r="BF691" s="469" t="str">
        <f t="shared" ca="1" si="377"/>
        <v/>
      </c>
      <c r="BG691" s="469" t="str">
        <f t="shared" ca="1" si="378"/>
        <v/>
      </c>
      <c r="BH691" s="467" t="str">
        <f t="shared" si="379"/>
        <v/>
      </c>
      <c r="BI691" s="467" t="str">
        <f t="shared" ca="1" si="380"/>
        <v/>
      </c>
      <c r="BJ691" s="469" t="str">
        <f t="shared" si="381"/>
        <v/>
      </c>
      <c r="BK691" s="470" t="str">
        <f t="shared" si="365"/>
        <v/>
      </c>
      <c r="BL691" s="775" t="str">
        <f t="shared" si="382"/>
        <v/>
      </c>
      <c r="BM691" s="775" t="str">
        <f t="shared" si="383"/>
        <v/>
      </c>
    </row>
    <row r="692" spans="1:65">
      <c r="A692" s="473">
        <v>636</v>
      </c>
      <c r="B692" s="132"/>
      <c r="C692" s="332"/>
      <c r="D692" s="333"/>
      <c r="E692" s="333"/>
      <c r="F692" s="334"/>
      <c r="G692" s="337"/>
      <c r="H692" s="131"/>
      <c r="I692" s="337"/>
      <c r="J692" s="131"/>
      <c r="K692" s="458" t="str">
        <f t="shared" si="384"/>
        <v/>
      </c>
      <c r="L692" s="458">
        <f t="shared" si="385"/>
        <v>0</v>
      </c>
      <c r="M692" s="458">
        <f t="shared" si="386"/>
        <v>0</v>
      </c>
      <c r="N692" s="459" t="str">
        <f t="shared" si="283"/>
        <v/>
      </c>
      <c r="O692" s="459" t="str">
        <f t="shared" si="284"/>
        <v/>
      </c>
      <c r="P692" s="459" t="str">
        <f t="shared" si="285"/>
        <v/>
      </c>
      <c r="Q692" s="459" t="str">
        <f t="shared" si="286"/>
        <v/>
      </c>
      <c r="R692" s="459" t="str">
        <f t="shared" si="287"/>
        <v/>
      </c>
      <c r="S692" s="459" t="str">
        <f t="shared" si="288"/>
        <v/>
      </c>
      <c r="T692" s="566" t="str">
        <f t="shared" si="387"/>
        <v/>
      </c>
      <c r="U692" s="702"/>
      <c r="V692" s="132"/>
      <c r="W692" s="133"/>
      <c r="X692" s="134"/>
      <c r="Y692" s="135"/>
      <c r="Z692" s="137"/>
      <c r="AA692" s="136"/>
      <c r="AB692" s="566" t="str">
        <f t="shared" si="388"/>
        <v/>
      </c>
      <c r="AC692" s="568" t="str">
        <f t="shared" si="389"/>
        <v/>
      </c>
      <c r="AD692" s="137"/>
      <c r="AE692" s="137"/>
      <c r="AF692" s="138"/>
      <c r="AG692" s="138"/>
      <c r="AH692" s="592" t="str">
        <f t="shared" si="390"/>
        <v/>
      </c>
      <c r="AI692" s="592" t="str">
        <f t="shared" si="391"/>
        <v/>
      </c>
      <c r="AJ692" s="592" t="str">
        <f t="shared" si="392"/>
        <v/>
      </c>
      <c r="AK692" s="460" t="str">
        <f>IF(AU692="","",IF(OR(AZ692=8,AZ692=9),0,IF(OR(AW692=3,AW692=4,AW692=5,AW692=6),IF(LEFT(BF692,1)="1",INDEX(係数_NOX・PM低減,MATCH(AY692,【参考】排出係数!$AI$801:$AI$804,1),1),VLOOKUP(AU692,INDEX((係数_バス貨物_ガソリン,係数_バス貨物_CNG,係数_バス貨物_軽油,係数_バス貨物_メタノール,係数_バス貨物_LPG),MATCH(AY692,【参考】排出係数!$AI$4:$AI$671,1),1,BE692):INDEX((係数_バス貨物_ガソリン,係数_バス貨物_CNG,係数_バス貨物_軽油,係数_バス貨物_メタノール,係数_バス貨物_LPG),MATCH(AY692+1,【参考】排出係数!$AI$4:$AI$671,1)-1,5,BE692),4,FALSE)),IF(AND(BE692=3,LEFT(BF692,1)="1"),0.48,VLOOKUP(AU692,INDEX((係数_乗用_ガソリン,係数_乗用_CNG,係数_乗用_軽油,係数_乗用_メタノール,係数_乗用_LPG),1,1,BE692):INDEX((係数_乗用_ガソリン,係数_乗用_CNG,係数_乗用_軽油,係数_乗用_メタノール,係数_乗用_LPG),125,5,BE692),4,FALSE)))))</f>
        <v/>
      </c>
      <c r="AL692" s="461" t="str">
        <f t="shared" si="393"/>
        <v/>
      </c>
      <c r="AM692" s="460" t="str">
        <f>IF(AU692="","",IF(OR(AZ692=8,AZ692=9),0,IF(OR(AW692=3,AW692=4,AW692=5,AW692=6),IF(LEFT(BH692,1)="1",INDEX(係数_PM低減,MATCH(AY692,【参考】排出係数!$AI$801:$AI$804,1),MATCH(BI692,【参考】排出係数!$AL$798:$AO$798,1)),VLOOKUP(AU692,INDEX((係数_バス貨物_ガソリン,係数_バス貨物_CNG,係数_バス貨物_軽油,係数_バス貨物_メタノール,係数_バス貨物_LPG),MATCH(AY692,【参考】排出係数!$AI$4:$AI$671,1),1,BE692):INDEX((係数_バス貨物_ガソリン,係数_バス貨物_CNG,係数_バス貨物_軽油,係数_バス貨物_メタノール,係数_バス貨物_LPG),MATCH(AY692+1,【参考】排出係数!$AI$4:$AI$671,1)-1,5,BE692),5,FALSE)),IF(AND(BE692=3,LEFT(BF692,1)="1"),0.055,VLOOKUP(AU692,INDEX((係数_乗用_ガソリン,係数_乗用_CNG,係数_乗用_軽油,係数_乗用_メタノール,係数_乗用_LPG),1,1,BE692):INDEX((係数_乗用_ガソリン,係数_乗用_CNG,係数_乗用_軽油,係数_乗用_メタノール,係数_乗用_LPG),125,5,BE692),5,FALSE)))))</f>
        <v/>
      </c>
      <c r="AN692" s="461" t="str">
        <f t="shared" si="394"/>
        <v/>
      </c>
      <c r="AO692" s="462" t="str">
        <f t="shared" si="395"/>
        <v/>
      </c>
      <c r="AP692" s="463" t="str">
        <f t="shared" si="396"/>
        <v/>
      </c>
      <c r="AQ692" s="464"/>
      <c r="AR692" s="619"/>
      <c r="AS692" s="465" t="str">
        <f t="shared" si="366"/>
        <v/>
      </c>
      <c r="AT692" s="465" t="str">
        <f t="shared" si="367"/>
        <v/>
      </c>
      <c r="AU692" s="466" t="str">
        <f t="shared" si="368"/>
        <v/>
      </c>
      <c r="AV692" s="467" t="str">
        <f t="shared" si="369"/>
        <v/>
      </c>
      <c r="AW692" s="467" t="str">
        <f t="shared" si="370"/>
        <v/>
      </c>
      <c r="AX692" s="467" t="str">
        <f t="shared" si="371"/>
        <v/>
      </c>
      <c r="AY692" s="467" t="str">
        <f t="shared" si="372"/>
        <v/>
      </c>
      <c r="AZ692" s="467" t="str">
        <f t="shared" si="373"/>
        <v/>
      </c>
      <c r="BA692" s="468" t="str">
        <f>IF(AS692="","",IF(OR(AU692="",AU692="-"),"－",IF(OR(AZ692=8,AZ692=9),"",IF(OR(AW692=3,AW692=4,AW692=5,AW692=6),VLOOKUP(AU692,INDEX((係数_バス貨物_ガソリン,係数_バス貨物_CNG,係数_バス貨物_軽油,係数_バス貨物_メタノール,係数_バス貨物_LPG),MATCH(AY692,【参考】排出係数!$AI$4:$AI$671,1),1,BE692):INDEX((係数_バス貨物_ガソリン,係数_バス貨物_CNG,係数_バス貨物_軽油,係数_バス貨物_メタノール,係数_バス貨物_LPG),MATCH(AY692+1,【参考】排出係数!$AI$4:$AI$671,1)-1,5,BE692),2,FALSE),IF(OR(AW692=1,AW692=2),VLOOKUP(AU692,INDEX((係数_乗用_ガソリン,係数_乗用_CNG,係数_乗用_軽油,係数_乗用_メタノール,係数_乗用_LPG),1,1,BE692):INDEX((係数_乗用_ガソリン,係数_乗用_CNG,係数_乗用_軽油,係数_乗用_メタノール,係数_乗用_LPG),125,5,BE692),2,FALSE))))))</f>
        <v/>
      </c>
      <c r="BB692" s="468" t="str">
        <f>IF(T692="","",IF(OR(AU692="",AU692="-"),"－",IF(OR(AZ692=8,AZ692=9),"",IF(OR(AW692=3,AW692=4,AW692=5,AW692=6),VLOOKUP(AU692,INDEX((係数_バス貨物_ガソリン,係数_バス貨物_CNG,係数_バス貨物_軽油,係数_バス貨物_メタノール,係数_バス貨物_LPG),MATCH(AY692,【参考】排出係数!$AI$4:$AI$671,1),1,BE692):INDEX((係数_バス貨物_ガソリン,係数_バス貨物_CNG,係数_バス貨物_軽油,係数_バス貨物_メタノール,係数_バス貨物_LPG),MATCH(AY692+1,【参考】排出係数!$AI$4:$AI$671,1)-1,5,BE692),3,FALSE),IF(OR(AW692=1,AW692=2),VLOOKUP(AU692,INDEX((係数_乗用_ガソリン,係数_乗用_CNG,係数_乗用_軽油,係数_乗用_メタノール,係数_乗用_LPG),1,1,BE692):INDEX((係数_乗用_ガソリン,係数_乗用_CNG,係数_乗用_軽油,係数_乗用_メタノール,係数_乗用_LPG),125,5,BE692),3,FALSE))))))</f>
        <v/>
      </c>
      <c r="BC692" s="467" t="str">
        <f t="shared" si="374"/>
        <v/>
      </c>
      <c r="BD692" s="567" t="str">
        <f t="shared" si="375"/>
        <v/>
      </c>
      <c r="BE692" s="467" t="str">
        <f t="shared" si="376"/>
        <v/>
      </c>
      <c r="BF692" s="469" t="str">
        <f t="shared" ca="1" si="377"/>
        <v/>
      </c>
      <c r="BG692" s="469" t="str">
        <f t="shared" ca="1" si="378"/>
        <v/>
      </c>
      <c r="BH692" s="467" t="str">
        <f t="shared" si="379"/>
        <v/>
      </c>
      <c r="BI692" s="467" t="str">
        <f t="shared" ca="1" si="380"/>
        <v/>
      </c>
      <c r="BJ692" s="469" t="str">
        <f t="shared" si="381"/>
        <v/>
      </c>
      <c r="BK692" s="470" t="str">
        <f t="shared" si="365"/>
        <v/>
      </c>
      <c r="BL692" s="775" t="str">
        <f t="shared" si="382"/>
        <v/>
      </c>
      <c r="BM692" s="775" t="str">
        <f t="shared" si="383"/>
        <v/>
      </c>
    </row>
    <row r="693" spans="1:65">
      <c r="A693" s="473">
        <v>637</v>
      </c>
      <c r="B693" s="132"/>
      <c r="C693" s="332"/>
      <c r="D693" s="333"/>
      <c r="E693" s="333"/>
      <c r="F693" s="334"/>
      <c r="G693" s="337"/>
      <c r="H693" s="131"/>
      <c r="I693" s="337"/>
      <c r="J693" s="131"/>
      <c r="K693" s="458" t="str">
        <f t="shared" si="384"/>
        <v/>
      </c>
      <c r="L693" s="458">
        <f t="shared" si="385"/>
        <v>0</v>
      </c>
      <c r="M693" s="458">
        <f t="shared" si="386"/>
        <v>0</v>
      </c>
      <c r="N693" s="459" t="str">
        <f t="shared" si="283"/>
        <v/>
      </c>
      <c r="O693" s="459" t="str">
        <f t="shared" si="284"/>
        <v/>
      </c>
      <c r="P693" s="459" t="str">
        <f t="shared" si="285"/>
        <v/>
      </c>
      <c r="Q693" s="459" t="str">
        <f t="shared" si="286"/>
        <v/>
      </c>
      <c r="R693" s="459" t="str">
        <f t="shared" si="287"/>
        <v/>
      </c>
      <c r="S693" s="459" t="str">
        <f t="shared" si="288"/>
        <v/>
      </c>
      <c r="T693" s="566" t="str">
        <f t="shared" si="387"/>
        <v/>
      </c>
      <c r="U693" s="702"/>
      <c r="V693" s="132"/>
      <c r="W693" s="133"/>
      <c r="X693" s="134"/>
      <c r="Y693" s="135"/>
      <c r="Z693" s="137"/>
      <c r="AA693" s="136"/>
      <c r="AB693" s="566" t="str">
        <f t="shared" si="388"/>
        <v/>
      </c>
      <c r="AC693" s="568" t="str">
        <f t="shared" si="389"/>
        <v/>
      </c>
      <c r="AD693" s="137"/>
      <c r="AE693" s="137"/>
      <c r="AF693" s="138"/>
      <c r="AG693" s="138"/>
      <c r="AH693" s="592" t="str">
        <f t="shared" si="390"/>
        <v/>
      </c>
      <c r="AI693" s="592" t="str">
        <f t="shared" si="391"/>
        <v/>
      </c>
      <c r="AJ693" s="592" t="str">
        <f t="shared" si="392"/>
        <v/>
      </c>
      <c r="AK693" s="460" t="str">
        <f>IF(AU693="","",IF(OR(AZ693=8,AZ693=9),0,IF(OR(AW693=3,AW693=4,AW693=5,AW693=6),IF(LEFT(BF693,1)="1",INDEX(係数_NOX・PM低減,MATCH(AY693,【参考】排出係数!$AI$801:$AI$804,1),1),VLOOKUP(AU693,INDEX((係数_バス貨物_ガソリン,係数_バス貨物_CNG,係数_バス貨物_軽油,係数_バス貨物_メタノール,係数_バス貨物_LPG),MATCH(AY693,【参考】排出係数!$AI$4:$AI$671,1),1,BE693):INDEX((係数_バス貨物_ガソリン,係数_バス貨物_CNG,係数_バス貨物_軽油,係数_バス貨物_メタノール,係数_バス貨物_LPG),MATCH(AY693+1,【参考】排出係数!$AI$4:$AI$671,1)-1,5,BE693),4,FALSE)),IF(AND(BE693=3,LEFT(BF693,1)="1"),0.48,VLOOKUP(AU693,INDEX((係数_乗用_ガソリン,係数_乗用_CNG,係数_乗用_軽油,係数_乗用_メタノール,係数_乗用_LPG),1,1,BE693):INDEX((係数_乗用_ガソリン,係数_乗用_CNG,係数_乗用_軽油,係数_乗用_メタノール,係数_乗用_LPG),125,5,BE693),4,FALSE)))))</f>
        <v/>
      </c>
      <c r="AL693" s="461" t="str">
        <f t="shared" si="393"/>
        <v/>
      </c>
      <c r="AM693" s="460" t="str">
        <f>IF(AU693="","",IF(OR(AZ693=8,AZ693=9),0,IF(OR(AW693=3,AW693=4,AW693=5,AW693=6),IF(LEFT(BH693,1)="1",INDEX(係数_PM低減,MATCH(AY693,【参考】排出係数!$AI$801:$AI$804,1),MATCH(BI693,【参考】排出係数!$AL$798:$AO$798,1)),VLOOKUP(AU693,INDEX((係数_バス貨物_ガソリン,係数_バス貨物_CNG,係数_バス貨物_軽油,係数_バス貨物_メタノール,係数_バス貨物_LPG),MATCH(AY693,【参考】排出係数!$AI$4:$AI$671,1),1,BE693):INDEX((係数_バス貨物_ガソリン,係数_バス貨物_CNG,係数_バス貨物_軽油,係数_バス貨物_メタノール,係数_バス貨物_LPG),MATCH(AY693+1,【参考】排出係数!$AI$4:$AI$671,1)-1,5,BE693),5,FALSE)),IF(AND(BE693=3,LEFT(BF693,1)="1"),0.055,VLOOKUP(AU693,INDEX((係数_乗用_ガソリン,係数_乗用_CNG,係数_乗用_軽油,係数_乗用_メタノール,係数_乗用_LPG),1,1,BE693):INDEX((係数_乗用_ガソリン,係数_乗用_CNG,係数_乗用_軽油,係数_乗用_メタノール,係数_乗用_LPG),125,5,BE693),5,FALSE)))))</f>
        <v/>
      </c>
      <c r="AN693" s="461" t="str">
        <f t="shared" si="394"/>
        <v/>
      </c>
      <c r="AO693" s="462" t="str">
        <f t="shared" si="395"/>
        <v/>
      </c>
      <c r="AP693" s="463" t="str">
        <f t="shared" si="396"/>
        <v/>
      </c>
      <c r="AQ693" s="464"/>
      <c r="AR693" s="619"/>
      <c r="AS693" s="465" t="str">
        <f t="shared" si="366"/>
        <v/>
      </c>
      <c r="AT693" s="465" t="str">
        <f t="shared" si="367"/>
        <v/>
      </c>
      <c r="AU693" s="466" t="str">
        <f t="shared" si="368"/>
        <v/>
      </c>
      <c r="AV693" s="467" t="str">
        <f t="shared" si="369"/>
        <v/>
      </c>
      <c r="AW693" s="467" t="str">
        <f t="shared" si="370"/>
        <v/>
      </c>
      <c r="AX693" s="467" t="str">
        <f t="shared" si="371"/>
        <v/>
      </c>
      <c r="AY693" s="467" t="str">
        <f t="shared" si="372"/>
        <v/>
      </c>
      <c r="AZ693" s="467" t="str">
        <f t="shared" si="373"/>
        <v/>
      </c>
      <c r="BA693" s="468" t="str">
        <f>IF(AS693="","",IF(OR(AU693="",AU693="-"),"－",IF(OR(AZ693=8,AZ693=9),"",IF(OR(AW693=3,AW693=4,AW693=5,AW693=6),VLOOKUP(AU693,INDEX((係数_バス貨物_ガソリン,係数_バス貨物_CNG,係数_バス貨物_軽油,係数_バス貨物_メタノール,係数_バス貨物_LPG),MATCH(AY693,【参考】排出係数!$AI$4:$AI$671,1),1,BE693):INDEX((係数_バス貨物_ガソリン,係数_バス貨物_CNG,係数_バス貨物_軽油,係数_バス貨物_メタノール,係数_バス貨物_LPG),MATCH(AY693+1,【参考】排出係数!$AI$4:$AI$671,1)-1,5,BE693),2,FALSE),IF(OR(AW693=1,AW693=2),VLOOKUP(AU693,INDEX((係数_乗用_ガソリン,係数_乗用_CNG,係数_乗用_軽油,係数_乗用_メタノール,係数_乗用_LPG),1,1,BE693):INDEX((係数_乗用_ガソリン,係数_乗用_CNG,係数_乗用_軽油,係数_乗用_メタノール,係数_乗用_LPG),125,5,BE693),2,FALSE))))))</f>
        <v/>
      </c>
      <c r="BB693" s="468" t="str">
        <f>IF(T693="","",IF(OR(AU693="",AU693="-"),"－",IF(OR(AZ693=8,AZ693=9),"",IF(OR(AW693=3,AW693=4,AW693=5,AW693=6),VLOOKUP(AU693,INDEX((係数_バス貨物_ガソリン,係数_バス貨物_CNG,係数_バス貨物_軽油,係数_バス貨物_メタノール,係数_バス貨物_LPG),MATCH(AY693,【参考】排出係数!$AI$4:$AI$671,1),1,BE693):INDEX((係数_バス貨物_ガソリン,係数_バス貨物_CNG,係数_バス貨物_軽油,係数_バス貨物_メタノール,係数_バス貨物_LPG),MATCH(AY693+1,【参考】排出係数!$AI$4:$AI$671,1)-1,5,BE693),3,FALSE),IF(OR(AW693=1,AW693=2),VLOOKUP(AU693,INDEX((係数_乗用_ガソリン,係数_乗用_CNG,係数_乗用_軽油,係数_乗用_メタノール,係数_乗用_LPG),1,1,BE693):INDEX((係数_乗用_ガソリン,係数_乗用_CNG,係数_乗用_軽油,係数_乗用_メタノール,係数_乗用_LPG),125,5,BE693),3,FALSE))))))</f>
        <v/>
      </c>
      <c r="BC693" s="467" t="str">
        <f t="shared" si="374"/>
        <v/>
      </c>
      <c r="BD693" s="567" t="str">
        <f t="shared" si="375"/>
        <v/>
      </c>
      <c r="BE693" s="467" t="str">
        <f t="shared" si="376"/>
        <v/>
      </c>
      <c r="BF693" s="469" t="str">
        <f t="shared" ca="1" si="377"/>
        <v/>
      </c>
      <c r="BG693" s="469" t="str">
        <f t="shared" ca="1" si="378"/>
        <v/>
      </c>
      <c r="BH693" s="467" t="str">
        <f t="shared" si="379"/>
        <v/>
      </c>
      <c r="BI693" s="467" t="str">
        <f t="shared" ca="1" si="380"/>
        <v/>
      </c>
      <c r="BJ693" s="469" t="str">
        <f t="shared" si="381"/>
        <v/>
      </c>
      <c r="BK693" s="470" t="str">
        <f t="shared" si="365"/>
        <v/>
      </c>
      <c r="BL693" s="775" t="str">
        <f t="shared" si="382"/>
        <v/>
      </c>
      <c r="BM693" s="775" t="str">
        <f t="shared" si="383"/>
        <v/>
      </c>
    </row>
    <row r="694" spans="1:65">
      <c r="A694" s="473">
        <v>638</v>
      </c>
      <c r="B694" s="132"/>
      <c r="C694" s="332"/>
      <c r="D694" s="333"/>
      <c r="E694" s="333"/>
      <c r="F694" s="334"/>
      <c r="G694" s="337"/>
      <c r="H694" s="131"/>
      <c r="I694" s="337"/>
      <c r="J694" s="131"/>
      <c r="K694" s="458" t="str">
        <f t="shared" si="384"/>
        <v/>
      </c>
      <c r="L694" s="458">
        <f t="shared" si="385"/>
        <v>0</v>
      </c>
      <c r="M694" s="458">
        <f t="shared" si="386"/>
        <v>0</v>
      </c>
      <c r="N694" s="459" t="str">
        <f t="shared" si="283"/>
        <v/>
      </c>
      <c r="O694" s="459" t="str">
        <f t="shared" si="284"/>
        <v/>
      </c>
      <c r="P694" s="459" t="str">
        <f t="shared" si="285"/>
        <v/>
      </c>
      <c r="Q694" s="459" t="str">
        <f t="shared" si="286"/>
        <v/>
      </c>
      <c r="R694" s="459" t="str">
        <f t="shared" si="287"/>
        <v/>
      </c>
      <c r="S694" s="459" t="str">
        <f t="shared" si="288"/>
        <v/>
      </c>
      <c r="T694" s="566" t="str">
        <f t="shared" si="387"/>
        <v/>
      </c>
      <c r="U694" s="702"/>
      <c r="V694" s="132"/>
      <c r="W694" s="133"/>
      <c r="X694" s="134"/>
      <c r="Y694" s="135"/>
      <c r="Z694" s="137"/>
      <c r="AA694" s="136"/>
      <c r="AB694" s="566" t="str">
        <f t="shared" si="388"/>
        <v/>
      </c>
      <c r="AC694" s="568" t="str">
        <f t="shared" si="389"/>
        <v/>
      </c>
      <c r="AD694" s="137"/>
      <c r="AE694" s="137"/>
      <c r="AF694" s="138"/>
      <c r="AG694" s="138"/>
      <c r="AH694" s="592" t="str">
        <f t="shared" si="390"/>
        <v/>
      </c>
      <c r="AI694" s="592" t="str">
        <f t="shared" si="391"/>
        <v/>
      </c>
      <c r="AJ694" s="592" t="str">
        <f t="shared" si="392"/>
        <v/>
      </c>
      <c r="AK694" s="460" t="str">
        <f>IF(AU694="","",IF(OR(AZ694=8,AZ694=9),0,IF(OR(AW694=3,AW694=4,AW694=5,AW694=6),IF(LEFT(BF694,1)="1",INDEX(係数_NOX・PM低減,MATCH(AY694,【参考】排出係数!$AI$801:$AI$804,1),1),VLOOKUP(AU694,INDEX((係数_バス貨物_ガソリン,係数_バス貨物_CNG,係数_バス貨物_軽油,係数_バス貨物_メタノール,係数_バス貨物_LPG),MATCH(AY694,【参考】排出係数!$AI$4:$AI$671,1),1,BE694):INDEX((係数_バス貨物_ガソリン,係数_バス貨物_CNG,係数_バス貨物_軽油,係数_バス貨物_メタノール,係数_バス貨物_LPG),MATCH(AY694+1,【参考】排出係数!$AI$4:$AI$671,1)-1,5,BE694),4,FALSE)),IF(AND(BE694=3,LEFT(BF694,1)="1"),0.48,VLOOKUP(AU694,INDEX((係数_乗用_ガソリン,係数_乗用_CNG,係数_乗用_軽油,係数_乗用_メタノール,係数_乗用_LPG),1,1,BE694):INDEX((係数_乗用_ガソリン,係数_乗用_CNG,係数_乗用_軽油,係数_乗用_メタノール,係数_乗用_LPG),125,5,BE694),4,FALSE)))))</f>
        <v/>
      </c>
      <c r="AL694" s="461" t="str">
        <f t="shared" si="393"/>
        <v/>
      </c>
      <c r="AM694" s="460" t="str">
        <f>IF(AU694="","",IF(OR(AZ694=8,AZ694=9),0,IF(OR(AW694=3,AW694=4,AW694=5,AW694=6),IF(LEFT(BH694,1)="1",INDEX(係数_PM低減,MATCH(AY694,【参考】排出係数!$AI$801:$AI$804,1),MATCH(BI694,【参考】排出係数!$AL$798:$AO$798,1)),VLOOKUP(AU694,INDEX((係数_バス貨物_ガソリン,係数_バス貨物_CNG,係数_バス貨物_軽油,係数_バス貨物_メタノール,係数_バス貨物_LPG),MATCH(AY694,【参考】排出係数!$AI$4:$AI$671,1),1,BE694):INDEX((係数_バス貨物_ガソリン,係数_バス貨物_CNG,係数_バス貨物_軽油,係数_バス貨物_メタノール,係数_バス貨物_LPG),MATCH(AY694+1,【参考】排出係数!$AI$4:$AI$671,1)-1,5,BE694),5,FALSE)),IF(AND(BE694=3,LEFT(BF694,1)="1"),0.055,VLOOKUP(AU694,INDEX((係数_乗用_ガソリン,係数_乗用_CNG,係数_乗用_軽油,係数_乗用_メタノール,係数_乗用_LPG),1,1,BE694):INDEX((係数_乗用_ガソリン,係数_乗用_CNG,係数_乗用_軽油,係数_乗用_メタノール,係数_乗用_LPG),125,5,BE694),5,FALSE)))))</f>
        <v/>
      </c>
      <c r="AN694" s="461" t="str">
        <f t="shared" si="394"/>
        <v/>
      </c>
      <c r="AO694" s="462" t="str">
        <f t="shared" si="395"/>
        <v/>
      </c>
      <c r="AP694" s="463" t="str">
        <f t="shared" si="396"/>
        <v/>
      </c>
      <c r="AQ694" s="464"/>
      <c r="AR694" s="619"/>
      <c r="AS694" s="465" t="str">
        <f t="shared" si="366"/>
        <v/>
      </c>
      <c r="AT694" s="465" t="str">
        <f t="shared" si="367"/>
        <v/>
      </c>
      <c r="AU694" s="466" t="str">
        <f t="shared" si="368"/>
        <v/>
      </c>
      <c r="AV694" s="467" t="str">
        <f t="shared" si="369"/>
        <v/>
      </c>
      <c r="AW694" s="467" t="str">
        <f t="shared" si="370"/>
        <v/>
      </c>
      <c r="AX694" s="467" t="str">
        <f t="shared" si="371"/>
        <v/>
      </c>
      <c r="AY694" s="467" t="str">
        <f t="shared" si="372"/>
        <v/>
      </c>
      <c r="AZ694" s="467" t="str">
        <f t="shared" si="373"/>
        <v/>
      </c>
      <c r="BA694" s="468" t="str">
        <f>IF(AS694="","",IF(OR(AU694="",AU694="-"),"－",IF(OR(AZ694=8,AZ694=9),"",IF(OR(AW694=3,AW694=4,AW694=5,AW694=6),VLOOKUP(AU694,INDEX((係数_バス貨物_ガソリン,係数_バス貨物_CNG,係数_バス貨物_軽油,係数_バス貨物_メタノール,係数_バス貨物_LPG),MATCH(AY694,【参考】排出係数!$AI$4:$AI$671,1),1,BE694):INDEX((係数_バス貨物_ガソリン,係数_バス貨物_CNG,係数_バス貨物_軽油,係数_バス貨物_メタノール,係数_バス貨物_LPG),MATCH(AY694+1,【参考】排出係数!$AI$4:$AI$671,1)-1,5,BE694),2,FALSE),IF(OR(AW694=1,AW694=2),VLOOKUP(AU694,INDEX((係数_乗用_ガソリン,係数_乗用_CNG,係数_乗用_軽油,係数_乗用_メタノール,係数_乗用_LPG),1,1,BE694):INDEX((係数_乗用_ガソリン,係数_乗用_CNG,係数_乗用_軽油,係数_乗用_メタノール,係数_乗用_LPG),125,5,BE694),2,FALSE))))))</f>
        <v/>
      </c>
      <c r="BB694" s="468" t="str">
        <f>IF(T694="","",IF(OR(AU694="",AU694="-"),"－",IF(OR(AZ694=8,AZ694=9),"",IF(OR(AW694=3,AW694=4,AW694=5,AW694=6),VLOOKUP(AU694,INDEX((係数_バス貨物_ガソリン,係数_バス貨物_CNG,係数_バス貨物_軽油,係数_バス貨物_メタノール,係数_バス貨物_LPG),MATCH(AY694,【参考】排出係数!$AI$4:$AI$671,1),1,BE694):INDEX((係数_バス貨物_ガソリン,係数_バス貨物_CNG,係数_バス貨物_軽油,係数_バス貨物_メタノール,係数_バス貨物_LPG),MATCH(AY694+1,【参考】排出係数!$AI$4:$AI$671,1)-1,5,BE694),3,FALSE),IF(OR(AW694=1,AW694=2),VLOOKUP(AU694,INDEX((係数_乗用_ガソリン,係数_乗用_CNG,係数_乗用_軽油,係数_乗用_メタノール,係数_乗用_LPG),1,1,BE694):INDEX((係数_乗用_ガソリン,係数_乗用_CNG,係数_乗用_軽油,係数_乗用_メタノール,係数_乗用_LPG),125,5,BE694),3,FALSE))))))</f>
        <v/>
      </c>
      <c r="BC694" s="467" t="str">
        <f t="shared" si="374"/>
        <v/>
      </c>
      <c r="BD694" s="567" t="str">
        <f t="shared" si="375"/>
        <v/>
      </c>
      <c r="BE694" s="467" t="str">
        <f t="shared" si="376"/>
        <v/>
      </c>
      <c r="BF694" s="469" t="str">
        <f t="shared" ca="1" si="377"/>
        <v/>
      </c>
      <c r="BG694" s="469" t="str">
        <f t="shared" ca="1" si="378"/>
        <v/>
      </c>
      <c r="BH694" s="467" t="str">
        <f t="shared" si="379"/>
        <v/>
      </c>
      <c r="BI694" s="467" t="str">
        <f t="shared" ca="1" si="380"/>
        <v/>
      </c>
      <c r="BJ694" s="469" t="str">
        <f t="shared" si="381"/>
        <v/>
      </c>
      <c r="BK694" s="470" t="str">
        <f t="shared" si="365"/>
        <v/>
      </c>
      <c r="BL694" s="775" t="str">
        <f t="shared" si="382"/>
        <v/>
      </c>
      <c r="BM694" s="775" t="str">
        <f t="shared" si="383"/>
        <v/>
      </c>
    </row>
    <row r="695" spans="1:65">
      <c r="A695" s="473">
        <v>639</v>
      </c>
      <c r="B695" s="132"/>
      <c r="C695" s="332"/>
      <c r="D695" s="333"/>
      <c r="E695" s="333"/>
      <c r="F695" s="334"/>
      <c r="G695" s="337"/>
      <c r="H695" s="131"/>
      <c r="I695" s="337"/>
      <c r="J695" s="131"/>
      <c r="K695" s="458" t="str">
        <f t="shared" si="384"/>
        <v/>
      </c>
      <c r="L695" s="458">
        <f t="shared" si="385"/>
        <v>0</v>
      </c>
      <c r="M695" s="458">
        <f t="shared" si="386"/>
        <v>0</v>
      </c>
      <c r="N695" s="459" t="str">
        <f t="shared" si="283"/>
        <v/>
      </c>
      <c r="O695" s="459" t="str">
        <f t="shared" si="284"/>
        <v/>
      </c>
      <c r="P695" s="459" t="str">
        <f t="shared" si="285"/>
        <v/>
      </c>
      <c r="Q695" s="459" t="str">
        <f t="shared" si="286"/>
        <v/>
      </c>
      <c r="R695" s="459" t="str">
        <f t="shared" si="287"/>
        <v/>
      </c>
      <c r="S695" s="459" t="str">
        <f t="shared" si="288"/>
        <v/>
      </c>
      <c r="T695" s="566" t="str">
        <f t="shared" si="387"/>
        <v/>
      </c>
      <c r="U695" s="702"/>
      <c r="V695" s="132"/>
      <c r="W695" s="133"/>
      <c r="X695" s="134"/>
      <c r="Y695" s="135"/>
      <c r="Z695" s="137"/>
      <c r="AA695" s="136"/>
      <c r="AB695" s="566" t="str">
        <f t="shared" si="388"/>
        <v/>
      </c>
      <c r="AC695" s="568" t="str">
        <f t="shared" si="389"/>
        <v/>
      </c>
      <c r="AD695" s="137"/>
      <c r="AE695" s="137"/>
      <c r="AF695" s="138"/>
      <c r="AG695" s="138"/>
      <c r="AH695" s="592" t="str">
        <f t="shared" si="390"/>
        <v/>
      </c>
      <c r="AI695" s="592" t="str">
        <f t="shared" si="391"/>
        <v/>
      </c>
      <c r="AJ695" s="592" t="str">
        <f t="shared" si="392"/>
        <v/>
      </c>
      <c r="AK695" s="460" t="str">
        <f>IF(AU695="","",IF(OR(AZ695=8,AZ695=9),0,IF(OR(AW695=3,AW695=4,AW695=5,AW695=6),IF(LEFT(BF695,1)="1",INDEX(係数_NOX・PM低減,MATCH(AY695,【参考】排出係数!$AI$801:$AI$804,1),1),VLOOKUP(AU695,INDEX((係数_バス貨物_ガソリン,係数_バス貨物_CNG,係数_バス貨物_軽油,係数_バス貨物_メタノール,係数_バス貨物_LPG),MATCH(AY695,【参考】排出係数!$AI$4:$AI$671,1),1,BE695):INDEX((係数_バス貨物_ガソリン,係数_バス貨物_CNG,係数_バス貨物_軽油,係数_バス貨物_メタノール,係数_バス貨物_LPG),MATCH(AY695+1,【参考】排出係数!$AI$4:$AI$671,1)-1,5,BE695),4,FALSE)),IF(AND(BE695=3,LEFT(BF695,1)="1"),0.48,VLOOKUP(AU695,INDEX((係数_乗用_ガソリン,係数_乗用_CNG,係数_乗用_軽油,係数_乗用_メタノール,係数_乗用_LPG),1,1,BE695):INDEX((係数_乗用_ガソリン,係数_乗用_CNG,係数_乗用_軽油,係数_乗用_メタノール,係数_乗用_LPG),125,5,BE695),4,FALSE)))))</f>
        <v/>
      </c>
      <c r="AL695" s="461" t="str">
        <f t="shared" si="393"/>
        <v/>
      </c>
      <c r="AM695" s="460" t="str">
        <f>IF(AU695="","",IF(OR(AZ695=8,AZ695=9),0,IF(OR(AW695=3,AW695=4,AW695=5,AW695=6),IF(LEFT(BH695,1)="1",INDEX(係数_PM低減,MATCH(AY695,【参考】排出係数!$AI$801:$AI$804,1),MATCH(BI695,【参考】排出係数!$AL$798:$AO$798,1)),VLOOKUP(AU695,INDEX((係数_バス貨物_ガソリン,係数_バス貨物_CNG,係数_バス貨物_軽油,係数_バス貨物_メタノール,係数_バス貨物_LPG),MATCH(AY695,【参考】排出係数!$AI$4:$AI$671,1),1,BE695):INDEX((係数_バス貨物_ガソリン,係数_バス貨物_CNG,係数_バス貨物_軽油,係数_バス貨物_メタノール,係数_バス貨物_LPG),MATCH(AY695+1,【参考】排出係数!$AI$4:$AI$671,1)-1,5,BE695),5,FALSE)),IF(AND(BE695=3,LEFT(BF695,1)="1"),0.055,VLOOKUP(AU695,INDEX((係数_乗用_ガソリン,係数_乗用_CNG,係数_乗用_軽油,係数_乗用_メタノール,係数_乗用_LPG),1,1,BE695):INDEX((係数_乗用_ガソリン,係数_乗用_CNG,係数_乗用_軽油,係数_乗用_メタノール,係数_乗用_LPG),125,5,BE695),5,FALSE)))))</f>
        <v/>
      </c>
      <c r="AN695" s="461" t="str">
        <f t="shared" si="394"/>
        <v/>
      </c>
      <c r="AO695" s="462" t="str">
        <f t="shared" si="395"/>
        <v/>
      </c>
      <c r="AP695" s="463" t="str">
        <f t="shared" si="396"/>
        <v/>
      </c>
      <c r="AQ695" s="464"/>
      <c r="AR695" s="619"/>
      <c r="AS695" s="465" t="str">
        <f t="shared" si="366"/>
        <v/>
      </c>
      <c r="AT695" s="465" t="str">
        <f t="shared" si="367"/>
        <v/>
      </c>
      <c r="AU695" s="466" t="str">
        <f t="shared" si="368"/>
        <v/>
      </c>
      <c r="AV695" s="467" t="str">
        <f t="shared" si="369"/>
        <v/>
      </c>
      <c r="AW695" s="467" t="str">
        <f t="shared" si="370"/>
        <v/>
      </c>
      <c r="AX695" s="467" t="str">
        <f t="shared" si="371"/>
        <v/>
      </c>
      <c r="AY695" s="467" t="str">
        <f t="shared" si="372"/>
        <v/>
      </c>
      <c r="AZ695" s="467" t="str">
        <f t="shared" si="373"/>
        <v/>
      </c>
      <c r="BA695" s="468" t="str">
        <f>IF(AS695="","",IF(OR(AU695="",AU695="-"),"－",IF(OR(AZ695=8,AZ695=9),"",IF(OR(AW695=3,AW695=4,AW695=5,AW695=6),VLOOKUP(AU695,INDEX((係数_バス貨物_ガソリン,係数_バス貨物_CNG,係数_バス貨物_軽油,係数_バス貨物_メタノール,係数_バス貨物_LPG),MATCH(AY695,【参考】排出係数!$AI$4:$AI$671,1),1,BE695):INDEX((係数_バス貨物_ガソリン,係数_バス貨物_CNG,係数_バス貨物_軽油,係数_バス貨物_メタノール,係数_バス貨物_LPG),MATCH(AY695+1,【参考】排出係数!$AI$4:$AI$671,1)-1,5,BE695),2,FALSE),IF(OR(AW695=1,AW695=2),VLOOKUP(AU695,INDEX((係数_乗用_ガソリン,係数_乗用_CNG,係数_乗用_軽油,係数_乗用_メタノール,係数_乗用_LPG),1,1,BE695):INDEX((係数_乗用_ガソリン,係数_乗用_CNG,係数_乗用_軽油,係数_乗用_メタノール,係数_乗用_LPG),125,5,BE695),2,FALSE))))))</f>
        <v/>
      </c>
      <c r="BB695" s="468" t="str">
        <f>IF(T695="","",IF(OR(AU695="",AU695="-"),"－",IF(OR(AZ695=8,AZ695=9),"",IF(OR(AW695=3,AW695=4,AW695=5,AW695=6),VLOOKUP(AU695,INDEX((係数_バス貨物_ガソリン,係数_バス貨物_CNG,係数_バス貨物_軽油,係数_バス貨物_メタノール,係数_バス貨物_LPG),MATCH(AY695,【参考】排出係数!$AI$4:$AI$671,1),1,BE695):INDEX((係数_バス貨物_ガソリン,係数_バス貨物_CNG,係数_バス貨物_軽油,係数_バス貨物_メタノール,係数_バス貨物_LPG),MATCH(AY695+1,【参考】排出係数!$AI$4:$AI$671,1)-1,5,BE695),3,FALSE),IF(OR(AW695=1,AW695=2),VLOOKUP(AU695,INDEX((係数_乗用_ガソリン,係数_乗用_CNG,係数_乗用_軽油,係数_乗用_メタノール,係数_乗用_LPG),1,1,BE695):INDEX((係数_乗用_ガソリン,係数_乗用_CNG,係数_乗用_軽油,係数_乗用_メタノール,係数_乗用_LPG),125,5,BE695),3,FALSE))))))</f>
        <v/>
      </c>
      <c r="BC695" s="467" t="str">
        <f t="shared" si="374"/>
        <v/>
      </c>
      <c r="BD695" s="567" t="str">
        <f t="shared" si="375"/>
        <v/>
      </c>
      <c r="BE695" s="467" t="str">
        <f t="shared" si="376"/>
        <v/>
      </c>
      <c r="BF695" s="469" t="str">
        <f t="shared" ca="1" si="377"/>
        <v/>
      </c>
      <c r="BG695" s="469" t="str">
        <f t="shared" ca="1" si="378"/>
        <v/>
      </c>
      <c r="BH695" s="467" t="str">
        <f t="shared" si="379"/>
        <v/>
      </c>
      <c r="BI695" s="467" t="str">
        <f t="shared" ca="1" si="380"/>
        <v/>
      </c>
      <c r="BJ695" s="469" t="str">
        <f t="shared" si="381"/>
        <v/>
      </c>
      <c r="BK695" s="470" t="str">
        <f t="shared" si="365"/>
        <v/>
      </c>
      <c r="BL695" s="775" t="str">
        <f t="shared" si="382"/>
        <v/>
      </c>
      <c r="BM695" s="775" t="str">
        <f t="shared" si="383"/>
        <v/>
      </c>
    </row>
    <row r="696" spans="1:65">
      <c r="A696" s="473">
        <v>640</v>
      </c>
      <c r="B696" s="132"/>
      <c r="C696" s="332"/>
      <c r="D696" s="333"/>
      <c r="E696" s="333"/>
      <c r="F696" s="334"/>
      <c r="G696" s="337"/>
      <c r="H696" s="131"/>
      <c r="I696" s="337"/>
      <c r="J696" s="131"/>
      <c r="K696" s="458" t="str">
        <f t="shared" si="384"/>
        <v/>
      </c>
      <c r="L696" s="458">
        <f t="shared" si="385"/>
        <v>0</v>
      </c>
      <c r="M696" s="458">
        <f t="shared" si="386"/>
        <v>0</v>
      </c>
      <c r="N696" s="459" t="str">
        <f t="shared" si="283"/>
        <v/>
      </c>
      <c r="O696" s="459" t="str">
        <f t="shared" si="284"/>
        <v/>
      </c>
      <c r="P696" s="459" t="str">
        <f t="shared" si="285"/>
        <v/>
      </c>
      <c r="Q696" s="459" t="str">
        <f t="shared" si="286"/>
        <v/>
      </c>
      <c r="R696" s="459" t="str">
        <f t="shared" si="287"/>
        <v/>
      </c>
      <c r="S696" s="459" t="str">
        <f t="shared" si="288"/>
        <v/>
      </c>
      <c r="T696" s="566" t="str">
        <f t="shared" si="387"/>
        <v/>
      </c>
      <c r="U696" s="702"/>
      <c r="V696" s="132"/>
      <c r="W696" s="133"/>
      <c r="X696" s="134"/>
      <c r="Y696" s="135"/>
      <c r="Z696" s="137"/>
      <c r="AA696" s="136"/>
      <c r="AB696" s="566" t="str">
        <f t="shared" si="388"/>
        <v/>
      </c>
      <c r="AC696" s="568" t="str">
        <f t="shared" si="389"/>
        <v/>
      </c>
      <c r="AD696" s="137"/>
      <c r="AE696" s="137"/>
      <c r="AF696" s="138"/>
      <c r="AG696" s="138"/>
      <c r="AH696" s="592" t="str">
        <f t="shared" si="390"/>
        <v/>
      </c>
      <c r="AI696" s="592" t="str">
        <f t="shared" si="391"/>
        <v/>
      </c>
      <c r="AJ696" s="592" t="str">
        <f t="shared" si="392"/>
        <v/>
      </c>
      <c r="AK696" s="460" t="str">
        <f>IF(AU696="","",IF(OR(AZ696=8,AZ696=9),0,IF(OR(AW696=3,AW696=4,AW696=5,AW696=6),IF(LEFT(BF696,1)="1",INDEX(係数_NOX・PM低減,MATCH(AY696,【参考】排出係数!$AI$801:$AI$804,1),1),VLOOKUP(AU696,INDEX((係数_バス貨物_ガソリン,係数_バス貨物_CNG,係数_バス貨物_軽油,係数_バス貨物_メタノール,係数_バス貨物_LPG),MATCH(AY696,【参考】排出係数!$AI$4:$AI$671,1),1,BE696):INDEX((係数_バス貨物_ガソリン,係数_バス貨物_CNG,係数_バス貨物_軽油,係数_バス貨物_メタノール,係数_バス貨物_LPG),MATCH(AY696+1,【参考】排出係数!$AI$4:$AI$671,1)-1,5,BE696),4,FALSE)),IF(AND(BE696=3,LEFT(BF696,1)="1"),0.48,VLOOKUP(AU696,INDEX((係数_乗用_ガソリン,係数_乗用_CNG,係数_乗用_軽油,係数_乗用_メタノール,係数_乗用_LPG),1,1,BE696):INDEX((係数_乗用_ガソリン,係数_乗用_CNG,係数_乗用_軽油,係数_乗用_メタノール,係数_乗用_LPG),125,5,BE696),4,FALSE)))))</f>
        <v/>
      </c>
      <c r="AL696" s="461" t="str">
        <f t="shared" si="393"/>
        <v/>
      </c>
      <c r="AM696" s="460" t="str">
        <f>IF(AU696="","",IF(OR(AZ696=8,AZ696=9),0,IF(OR(AW696=3,AW696=4,AW696=5,AW696=6),IF(LEFT(BH696,1)="1",INDEX(係数_PM低減,MATCH(AY696,【参考】排出係数!$AI$801:$AI$804,1),MATCH(BI696,【参考】排出係数!$AL$798:$AO$798,1)),VLOOKUP(AU696,INDEX((係数_バス貨物_ガソリン,係数_バス貨物_CNG,係数_バス貨物_軽油,係数_バス貨物_メタノール,係数_バス貨物_LPG),MATCH(AY696,【参考】排出係数!$AI$4:$AI$671,1),1,BE696):INDEX((係数_バス貨物_ガソリン,係数_バス貨物_CNG,係数_バス貨物_軽油,係数_バス貨物_メタノール,係数_バス貨物_LPG),MATCH(AY696+1,【参考】排出係数!$AI$4:$AI$671,1)-1,5,BE696),5,FALSE)),IF(AND(BE696=3,LEFT(BF696,1)="1"),0.055,VLOOKUP(AU696,INDEX((係数_乗用_ガソリン,係数_乗用_CNG,係数_乗用_軽油,係数_乗用_メタノール,係数_乗用_LPG),1,1,BE696):INDEX((係数_乗用_ガソリン,係数_乗用_CNG,係数_乗用_軽油,係数_乗用_メタノール,係数_乗用_LPG),125,5,BE696),5,FALSE)))))</f>
        <v/>
      </c>
      <c r="AN696" s="461" t="str">
        <f t="shared" si="394"/>
        <v/>
      </c>
      <c r="AO696" s="462" t="str">
        <f t="shared" si="395"/>
        <v/>
      </c>
      <c r="AP696" s="463" t="str">
        <f t="shared" si="396"/>
        <v/>
      </c>
      <c r="AQ696" s="464"/>
      <c r="AR696" s="619"/>
      <c r="AS696" s="465" t="str">
        <f t="shared" si="366"/>
        <v/>
      </c>
      <c r="AT696" s="465" t="str">
        <f t="shared" si="367"/>
        <v/>
      </c>
      <c r="AU696" s="466" t="str">
        <f t="shared" si="368"/>
        <v/>
      </c>
      <c r="AV696" s="467" t="str">
        <f t="shared" si="369"/>
        <v/>
      </c>
      <c r="AW696" s="467" t="str">
        <f t="shared" si="370"/>
        <v/>
      </c>
      <c r="AX696" s="467" t="str">
        <f t="shared" si="371"/>
        <v/>
      </c>
      <c r="AY696" s="467" t="str">
        <f t="shared" si="372"/>
        <v/>
      </c>
      <c r="AZ696" s="467" t="str">
        <f t="shared" si="373"/>
        <v/>
      </c>
      <c r="BA696" s="468" t="str">
        <f>IF(AS696="","",IF(OR(AU696="",AU696="-"),"－",IF(OR(AZ696=8,AZ696=9),"",IF(OR(AW696=3,AW696=4,AW696=5,AW696=6),VLOOKUP(AU696,INDEX((係数_バス貨物_ガソリン,係数_バス貨物_CNG,係数_バス貨物_軽油,係数_バス貨物_メタノール,係数_バス貨物_LPG),MATCH(AY696,【参考】排出係数!$AI$4:$AI$671,1),1,BE696):INDEX((係数_バス貨物_ガソリン,係数_バス貨物_CNG,係数_バス貨物_軽油,係数_バス貨物_メタノール,係数_バス貨物_LPG),MATCH(AY696+1,【参考】排出係数!$AI$4:$AI$671,1)-1,5,BE696),2,FALSE),IF(OR(AW696=1,AW696=2),VLOOKUP(AU696,INDEX((係数_乗用_ガソリン,係数_乗用_CNG,係数_乗用_軽油,係数_乗用_メタノール,係数_乗用_LPG),1,1,BE696):INDEX((係数_乗用_ガソリン,係数_乗用_CNG,係数_乗用_軽油,係数_乗用_メタノール,係数_乗用_LPG),125,5,BE696),2,FALSE))))))</f>
        <v/>
      </c>
      <c r="BB696" s="468" t="str">
        <f>IF(T696="","",IF(OR(AU696="",AU696="-"),"－",IF(OR(AZ696=8,AZ696=9),"",IF(OR(AW696=3,AW696=4,AW696=5,AW696=6),VLOOKUP(AU696,INDEX((係数_バス貨物_ガソリン,係数_バス貨物_CNG,係数_バス貨物_軽油,係数_バス貨物_メタノール,係数_バス貨物_LPG),MATCH(AY696,【参考】排出係数!$AI$4:$AI$671,1),1,BE696):INDEX((係数_バス貨物_ガソリン,係数_バス貨物_CNG,係数_バス貨物_軽油,係数_バス貨物_メタノール,係数_バス貨物_LPG),MATCH(AY696+1,【参考】排出係数!$AI$4:$AI$671,1)-1,5,BE696),3,FALSE),IF(OR(AW696=1,AW696=2),VLOOKUP(AU696,INDEX((係数_乗用_ガソリン,係数_乗用_CNG,係数_乗用_軽油,係数_乗用_メタノール,係数_乗用_LPG),1,1,BE696):INDEX((係数_乗用_ガソリン,係数_乗用_CNG,係数_乗用_軽油,係数_乗用_メタノール,係数_乗用_LPG),125,5,BE696),3,FALSE))))))</f>
        <v/>
      </c>
      <c r="BC696" s="467" t="str">
        <f t="shared" si="374"/>
        <v/>
      </c>
      <c r="BD696" s="567" t="str">
        <f t="shared" si="375"/>
        <v/>
      </c>
      <c r="BE696" s="467" t="str">
        <f t="shared" si="376"/>
        <v/>
      </c>
      <c r="BF696" s="469" t="str">
        <f t="shared" ca="1" si="377"/>
        <v/>
      </c>
      <c r="BG696" s="469" t="str">
        <f t="shared" ca="1" si="378"/>
        <v/>
      </c>
      <c r="BH696" s="467" t="str">
        <f t="shared" si="379"/>
        <v/>
      </c>
      <c r="BI696" s="467" t="str">
        <f t="shared" ca="1" si="380"/>
        <v/>
      </c>
      <c r="BJ696" s="469" t="str">
        <f t="shared" si="381"/>
        <v/>
      </c>
      <c r="BK696" s="470" t="str">
        <f t="shared" si="365"/>
        <v/>
      </c>
      <c r="BL696" s="775" t="str">
        <f t="shared" si="382"/>
        <v/>
      </c>
      <c r="BM696" s="775" t="str">
        <f t="shared" si="383"/>
        <v/>
      </c>
    </row>
    <row r="697" spans="1:65">
      <c r="A697" s="473">
        <v>641</v>
      </c>
      <c r="B697" s="132"/>
      <c r="C697" s="332"/>
      <c r="D697" s="333"/>
      <c r="E697" s="333"/>
      <c r="F697" s="334"/>
      <c r="G697" s="337"/>
      <c r="H697" s="131"/>
      <c r="I697" s="337"/>
      <c r="J697" s="131"/>
      <c r="K697" s="458" t="str">
        <f t="shared" si="384"/>
        <v/>
      </c>
      <c r="L697" s="458">
        <f t="shared" si="385"/>
        <v>0</v>
      </c>
      <c r="M697" s="458">
        <f t="shared" si="386"/>
        <v>0</v>
      </c>
      <c r="N697" s="459" t="str">
        <f t="shared" si="283"/>
        <v/>
      </c>
      <c r="O697" s="459" t="str">
        <f t="shared" si="284"/>
        <v/>
      </c>
      <c r="P697" s="459" t="str">
        <f t="shared" si="285"/>
        <v/>
      </c>
      <c r="Q697" s="459" t="str">
        <f t="shared" si="286"/>
        <v/>
      </c>
      <c r="R697" s="459" t="str">
        <f t="shared" si="287"/>
        <v/>
      </c>
      <c r="S697" s="459" t="str">
        <f t="shared" si="288"/>
        <v/>
      </c>
      <c r="T697" s="566" t="str">
        <f t="shared" si="387"/>
        <v/>
      </c>
      <c r="U697" s="702"/>
      <c r="V697" s="132"/>
      <c r="W697" s="133"/>
      <c r="X697" s="134"/>
      <c r="Y697" s="135"/>
      <c r="Z697" s="137"/>
      <c r="AA697" s="136"/>
      <c r="AB697" s="566" t="str">
        <f t="shared" si="388"/>
        <v/>
      </c>
      <c r="AC697" s="568" t="str">
        <f t="shared" si="389"/>
        <v/>
      </c>
      <c r="AD697" s="137"/>
      <c r="AE697" s="137"/>
      <c r="AF697" s="138"/>
      <c r="AG697" s="138"/>
      <c r="AH697" s="592" t="str">
        <f t="shared" si="390"/>
        <v/>
      </c>
      <c r="AI697" s="592" t="str">
        <f t="shared" si="391"/>
        <v/>
      </c>
      <c r="AJ697" s="592" t="str">
        <f t="shared" si="392"/>
        <v/>
      </c>
      <c r="AK697" s="460" t="str">
        <f>IF(AU697="","",IF(OR(AZ697=8,AZ697=9),0,IF(OR(AW697=3,AW697=4,AW697=5,AW697=6),IF(LEFT(BF697,1)="1",INDEX(係数_NOX・PM低減,MATCH(AY697,【参考】排出係数!$AI$801:$AI$804,1),1),VLOOKUP(AU697,INDEX((係数_バス貨物_ガソリン,係数_バス貨物_CNG,係数_バス貨物_軽油,係数_バス貨物_メタノール,係数_バス貨物_LPG),MATCH(AY697,【参考】排出係数!$AI$4:$AI$671,1),1,BE697):INDEX((係数_バス貨物_ガソリン,係数_バス貨物_CNG,係数_バス貨物_軽油,係数_バス貨物_メタノール,係数_バス貨物_LPG),MATCH(AY697+1,【参考】排出係数!$AI$4:$AI$671,1)-1,5,BE697),4,FALSE)),IF(AND(BE697=3,LEFT(BF697,1)="1"),0.48,VLOOKUP(AU697,INDEX((係数_乗用_ガソリン,係数_乗用_CNG,係数_乗用_軽油,係数_乗用_メタノール,係数_乗用_LPG),1,1,BE697):INDEX((係数_乗用_ガソリン,係数_乗用_CNG,係数_乗用_軽油,係数_乗用_メタノール,係数_乗用_LPG),125,5,BE697),4,FALSE)))))</f>
        <v/>
      </c>
      <c r="AL697" s="461" t="str">
        <f t="shared" si="393"/>
        <v/>
      </c>
      <c r="AM697" s="460" t="str">
        <f>IF(AU697="","",IF(OR(AZ697=8,AZ697=9),0,IF(OR(AW697=3,AW697=4,AW697=5,AW697=6),IF(LEFT(BH697,1)="1",INDEX(係数_PM低減,MATCH(AY697,【参考】排出係数!$AI$801:$AI$804,1),MATCH(BI697,【参考】排出係数!$AL$798:$AO$798,1)),VLOOKUP(AU697,INDEX((係数_バス貨物_ガソリン,係数_バス貨物_CNG,係数_バス貨物_軽油,係数_バス貨物_メタノール,係数_バス貨物_LPG),MATCH(AY697,【参考】排出係数!$AI$4:$AI$671,1),1,BE697):INDEX((係数_バス貨物_ガソリン,係数_バス貨物_CNG,係数_バス貨物_軽油,係数_バス貨物_メタノール,係数_バス貨物_LPG),MATCH(AY697+1,【参考】排出係数!$AI$4:$AI$671,1)-1,5,BE697),5,FALSE)),IF(AND(BE697=3,LEFT(BF697,1)="1"),0.055,VLOOKUP(AU697,INDEX((係数_乗用_ガソリン,係数_乗用_CNG,係数_乗用_軽油,係数_乗用_メタノール,係数_乗用_LPG),1,1,BE697):INDEX((係数_乗用_ガソリン,係数_乗用_CNG,係数_乗用_軽油,係数_乗用_メタノール,係数_乗用_LPG),125,5,BE697),5,FALSE)))))</f>
        <v/>
      </c>
      <c r="AN697" s="461" t="str">
        <f t="shared" si="394"/>
        <v/>
      </c>
      <c r="AO697" s="462" t="str">
        <f t="shared" si="395"/>
        <v/>
      </c>
      <c r="AP697" s="463" t="str">
        <f t="shared" si="396"/>
        <v/>
      </c>
      <c r="AQ697" s="464"/>
      <c r="AR697" s="619"/>
      <c r="AS697" s="465" t="str">
        <f t="shared" si="366"/>
        <v/>
      </c>
      <c r="AT697" s="465" t="str">
        <f t="shared" si="367"/>
        <v/>
      </c>
      <c r="AU697" s="466" t="str">
        <f t="shared" si="368"/>
        <v/>
      </c>
      <c r="AV697" s="467" t="str">
        <f t="shared" si="369"/>
        <v/>
      </c>
      <c r="AW697" s="467" t="str">
        <f t="shared" si="370"/>
        <v/>
      </c>
      <c r="AX697" s="467" t="str">
        <f t="shared" si="371"/>
        <v/>
      </c>
      <c r="AY697" s="467" t="str">
        <f t="shared" si="372"/>
        <v/>
      </c>
      <c r="AZ697" s="467" t="str">
        <f t="shared" si="373"/>
        <v/>
      </c>
      <c r="BA697" s="468" t="str">
        <f>IF(AS697="","",IF(OR(AU697="",AU697="-"),"－",IF(OR(AZ697=8,AZ697=9),"",IF(OR(AW697=3,AW697=4,AW697=5,AW697=6),VLOOKUP(AU697,INDEX((係数_バス貨物_ガソリン,係数_バス貨物_CNG,係数_バス貨物_軽油,係数_バス貨物_メタノール,係数_バス貨物_LPG),MATCH(AY697,【参考】排出係数!$AI$4:$AI$671,1),1,BE697):INDEX((係数_バス貨物_ガソリン,係数_バス貨物_CNG,係数_バス貨物_軽油,係数_バス貨物_メタノール,係数_バス貨物_LPG),MATCH(AY697+1,【参考】排出係数!$AI$4:$AI$671,1)-1,5,BE697),2,FALSE),IF(OR(AW697=1,AW697=2),VLOOKUP(AU697,INDEX((係数_乗用_ガソリン,係数_乗用_CNG,係数_乗用_軽油,係数_乗用_メタノール,係数_乗用_LPG),1,1,BE697):INDEX((係数_乗用_ガソリン,係数_乗用_CNG,係数_乗用_軽油,係数_乗用_メタノール,係数_乗用_LPG),125,5,BE697),2,FALSE))))))</f>
        <v/>
      </c>
      <c r="BB697" s="468" t="str">
        <f>IF(T697="","",IF(OR(AU697="",AU697="-"),"－",IF(OR(AZ697=8,AZ697=9),"",IF(OR(AW697=3,AW697=4,AW697=5,AW697=6),VLOOKUP(AU697,INDEX((係数_バス貨物_ガソリン,係数_バス貨物_CNG,係数_バス貨物_軽油,係数_バス貨物_メタノール,係数_バス貨物_LPG),MATCH(AY697,【参考】排出係数!$AI$4:$AI$671,1),1,BE697):INDEX((係数_バス貨物_ガソリン,係数_バス貨物_CNG,係数_バス貨物_軽油,係数_バス貨物_メタノール,係数_バス貨物_LPG),MATCH(AY697+1,【参考】排出係数!$AI$4:$AI$671,1)-1,5,BE697),3,FALSE),IF(OR(AW697=1,AW697=2),VLOOKUP(AU697,INDEX((係数_乗用_ガソリン,係数_乗用_CNG,係数_乗用_軽油,係数_乗用_メタノール,係数_乗用_LPG),1,1,BE697):INDEX((係数_乗用_ガソリン,係数_乗用_CNG,係数_乗用_軽油,係数_乗用_メタノール,係数_乗用_LPG),125,5,BE697),3,FALSE))))))</f>
        <v/>
      </c>
      <c r="BC697" s="467" t="str">
        <f t="shared" si="374"/>
        <v/>
      </c>
      <c r="BD697" s="567" t="str">
        <f t="shared" si="375"/>
        <v/>
      </c>
      <c r="BE697" s="467" t="str">
        <f t="shared" si="376"/>
        <v/>
      </c>
      <c r="BF697" s="469" t="str">
        <f t="shared" ca="1" si="377"/>
        <v/>
      </c>
      <c r="BG697" s="469" t="str">
        <f t="shared" ca="1" si="378"/>
        <v/>
      </c>
      <c r="BH697" s="467" t="str">
        <f t="shared" si="379"/>
        <v/>
      </c>
      <c r="BI697" s="467" t="str">
        <f t="shared" ca="1" si="380"/>
        <v/>
      </c>
      <c r="BJ697" s="469" t="str">
        <f t="shared" si="381"/>
        <v/>
      </c>
      <c r="BK697" s="470" t="str">
        <f t="shared" ref="BK697:BK760" si="397">IF(AS697="","",VLOOKUP(T697,車両の増減,2,FALSE))</f>
        <v/>
      </c>
      <c r="BL697" s="775" t="str">
        <f t="shared" si="382"/>
        <v/>
      </c>
      <c r="BM697" s="775" t="str">
        <f t="shared" si="383"/>
        <v/>
      </c>
    </row>
    <row r="698" spans="1:65">
      <c r="A698" s="473">
        <v>642</v>
      </c>
      <c r="B698" s="132"/>
      <c r="C698" s="332"/>
      <c r="D698" s="333"/>
      <c r="E698" s="333"/>
      <c r="F698" s="334"/>
      <c r="G698" s="337"/>
      <c r="H698" s="131"/>
      <c r="I698" s="337"/>
      <c r="J698" s="131"/>
      <c r="K698" s="458" t="str">
        <f t="shared" si="384"/>
        <v/>
      </c>
      <c r="L698" s="458">
        <f t="shared" si="385"/>
        <v>0</v>
      </c>
      <c r="M698" s="458">
        <f t="shared" si="386"/>
        <v>0</v>
      </c>
      <c r="N698" s="459" t="str">
        <f t="shared" si="283"/>
        <v/>
      </c>
      <c r="O698" s="459" t="str">
        <f t="shared" si="284"/>
        <v/>
      </c>
      <c r="P698" s="459" t="str">
        <f t="shared" si="285"/>
        <v/>
      </c>
      <c r="Q698" s="459" t="str">
        <f t="shared" si="286"/>
        <v/>
      </c>
      <c r="R698" s="459" t="str">
        <f t="shared" si="287"/>
        <v/>
      </c>
      <c r="S698" s="459" t="str">
        <f t="shared" si="288"/>
        <v/>
      </c>
      <c r="T698" s="566" t="str">
        <f t="shared" si="387"/>
        <v/>
      </c>
      <c r="U698" s="702"/>
      <c r="V698" s="132"/>
      <c r="W698" s="133"/>
      <c r="X698" s="134"/>
      <c r="Y698" s="135"/>
      <c r="Z698" s="137"/>
      <c r="AA698" s="136"/>
      <c r="AB698" s="566" t="str">
        <f t="shared" si="388"/>
        <v/>
      </c>
      <c r="AC698" s="568" t="str">
        <f t="shared" si="389"/>
        <v/>
      </c>
      <c r="AD698" s="137"/>
      <c r="AE698" s="137"/>
      <c r="AF698" s="138"/>
      <c r="AG698" s="138"/>
      <c r="AH698" s="592" t="str">
        <f t="shared" si="390"/>
        <v/>
      </c>
      <c r="AI698" s="592" t="str">
        <f t="shared" si="391"/>
        <v/>
      </c>
      <c r="AJ698" s="592" t="str">
        <f t="shared" si="392"/>
        <v/>
      </c>
      <c r="AK698" s="460" t="str">
        <f>IF(AU698="","",IF(OR(AZ698=8,AZ698=9),0,IF(OR(AW698=3,AW698=4,AW698=5,AW698=6),IF(LEFT(BF698,1)="1",INDEX(係数_NOX・PM低減,MATCH(AY698,【参考】排出係数!$AI$801:$AI$804,1),1),VLOOKUP(AU698,INDEX((係数_バス貨物_ガソリン,係数_バス貨物_CNG,係数_バス貨物_軽油,係数_バス貨物_メタノール,係数_バス貨物_LPG),MATCH(AY698,【参考】排出係数!$AI$4:$AI$671,1),1,BE698):INDEX((係数_バス貨物_ガソリン,係数_バス貨物_CNG,係数_バス貨物_軽油,係数_バス貨物_メタノール,係数_バス貨物_LPG),MATCH(AY698+1,【参考】排出係数!$AI$4:$AI$671,1)-1,5,BE698),4,FALSE)),IF(AND(BE698=3,LEFT(BF698,1)="1"),0.48,VLOOKUP(AU698,INDEX((係数_乗用_ガソリン,係数_乗用_CNG,係数_乗用_軽油,係数_乗用_メタノール,係数_乗用_LPG),1,1,BE698):INDEX((係数_乗用_ガソリン,係数_乗用_CNG,係数_乗用_軽油,係数_乗用_メタノール,係数_乗用_LPG),125,5,BE698),4,FALSE)))))</f>
        <v/>
      </c>
      <c r="AL698" s="461" t="str">
        <f t="shared" si="393"/>
        <v/>
      </c>
      <c r="AM698" s="460" t="str">
        <f>IF(AU698="","",IF(OR(AZ698=8,AZ698=9),0,IF(OR(AW698=3,AW698=4,AW698=5,AW698=6),IF(LEFT(BH698,1)="1",INDEX(係数_PM低減,MATCH(AY698,【参考】排出係数!$AI$801:$AI$804,1),MATCH(BI698,【参考】排出係数!$AL$798:$AO$798,1)),VLOOKUP(AU698,INDEX((係数_バス貨物_ガソリン,係数_バス貨物_CNG,係数_バス貨物_軽油,係数_バス貨物_メタノール,係数_バス貨物_LPG),MATCH(AY698,【参考】排出係数!$AI$4:$AI$671,1),1,BE698):INDEX((係数_バス貨物_ガソリン,係数_バス貨物_CNG,係数_バス貨物_軽油,係数_バス貨物_メタノール,係数_バス貨物_LPG),MATCH(AY698+1,【参考】排出係数!$AI$4:$AI$671,1)-1,5,BE698),5,FALSE)),IF(AND(BE698=3,LEFT(BF698,1)="1"),0.055,VLOOKUP(AU698,INDEX((係数_乗用_ガソリン,係数_乗用_CNG,係数_乗用_軽油,係数_乗用_メタノール,係数_乗用_LPG),1,1,BE698):INDEX((係数_乗用_ガソリン,係数_乗用_CNG,係数_乗用_軽油,係数_乗用_メタノール,係数_乗用_LPG),125,5,BE698),5,FALSE)))))</f>
        <v/>
      </c>
      <c r="AN698" s="461" t="str">
        <f t="shared" si="394"/>
        <v/>
      </c>
      <c r="AO698" s="462" t="str">
        <f t="shared" si="395"/>
        <v/>
      </c>
      <c r="AP698" s="463" t="str">
        <f t="shared" si="396"/>
        <v/>
      </c>
      <c r="AQ698" s="464"/>
      <c r="AR698" s="619"/>
      <c r="AS698" s="465" t="str">
        <f t="shared" ref="AS698:AS761" si="398">IF(OR(T698="(減車済)",T698=""),"",1)</f>
        <v/>
      </c>
      <c r="AT698" s="465" t="str">
        <f t="shared" ref="AT698:AT761" si="399">IF(OR(T698="継続",T698="新規"),1,"")</f>
        <v/>
      </c>
      <c r="AU698" s="466" t="str">
        <f t="shared" ref="AU698:AU761" si="400">IF(AS698="","",UPPER(ASC(X698)))</f>
        <v/>
      </c>
      <c r="AV698" s="467" t="str">
        <f t="shared" ref="AV698:AV761" si="401">IF(AS698="","",IF(V698="","",IF(V698="普通",1,IF(V698="小型",2,0))))</f>
        <v/>
      </c>
      <c r="AW698" s="467" t="str">
        <f t="shared" ref="AW698:AW761" si="402">IF(AS698="","",IF(W698="","",VLOOKUP(W698,用途,2,FALSE)))</f>
        <v/>
      </c>
      <c r="AX698" s="467" t="str">
        <f t="shared" ref="AX698:AX761" si="403">IF(AS698="","",IF(Y698="","",IF(Y698&lt;=10,1,IF(Y698&lt;30,2,IF(Y698&gt;=30,3,0)))))</f>
        <v/>
      </c>
      <c r="AY698" s="467" t="str">
        <f t="shared" ref="AY698:AY761" si="404">IF(AS698="","",IF(Z698="","",IF(Z698&lt;=1.7*1000,1,IF(Z698&lt;=2.5*1000,2,IF(Z698&lt;=3.5*1000,3,IF(Z698&lt;8*1000,4,IF(Z698&gt;=8*1000,5,"")))))))</f>
        <v/>
      </c>
      <c r="AZ698" s="467" t="str">
        <f t="shared" ref="AZ698:AZ761" si="405">IF(AS698="","",IF(AA698="","",VLOOKUP(AA698,燃料の種類,2,FALSE)))</f>
        <v/>
      </c>
      <c r="BA698" s="468" t="str">
        <f>IF(AS698="","",IF(OR(AU698="",AU698="-"),"－",IF(OR(AZ698=8,AZ698=9),"",IF(OR(AW698=3,AW698=4,AW698=5,AW698=6),VLOOKUP(AU698,INDEX((係数_バス貨物_ガソリン,係数_バス貨物_CNG,係数_バス貨物_軽油,係数_バス貨物_メタノール,係数_バス貨物_LPG),MATCH(AY698,【参考】排出係数!$AI$4:$AI$671,1),1,BE698):INDEX((係数_バス貨物_ガソリン,係数_バス貨物_CNG,係数_バス貨物_軽油,係数_バス貨物_メタノール,係数_バス貨物_LPG),MATCH(AY698+1,【参考】排出係数!$AI$4:$AI$671,1)-1,5,BE698),2,FALSE),IF(OR(AW698=1,AW698=2),VLOOKUP(AU698,INDEX((係数_乗用_ガソリン,係数_乗用_CNG,係数_乗用_軽油,係数_乗用_メタノール,係数_乗用_LPG),1,1,BE698):INDEX((係数_乗用_ガソリン,係数_乗用_CNG,係数_乗用_軽油,係数_乗用_メタノール,係数_乗用_LPG),125,5,BE698),2,FALSE))))))</f>
        <v/>
      </c>
      <c r="BB698" s="468" t="str">
        <f>IF(T698="","",IF(OR(AU698="",AU698="-"),"－",IF(OR(AZ698=8,AZ698=9),"",IF(OR(AW698=3,AW698=4,AW698=5,AW698=6),VLOOKUP(AU698,INDEX((係数_バス貨物_ガソリン,係数_バス貨物_CNG,係数_バス貨物_軽油,係数_バス貨物_メタノール,係数_バス貨物_LPG),MATCH(AY698,【参考】排出係数!$AI$4:$AI$671,1),1,BE698):INDEX((係数_バス貨物_ガソリン,係数_バス貨物_CNG,係数_バス貨物_軽油,係数_バス貨物_メタノール,係数_バス貨物_LPG),MATCH(AY698+1,【参考】排出係数!$AI$4:$AI$671,1)-1,5,BE698),3,FALSE),IF(OR(AW698=1,AW698=2),VLOOKUP(AU698,INDEX((係数_乗用_ガソリン,係数_乗用_CNG,係数_乗用_軽油,係数_乗用_メタノール,係数_乗用_LPG),1,1,BE698):INDEX((係数_乗用_ガソリン,係数_乗用_CNG,係数_乗用_軽油,係数_乗用_メタノール,係数_乗用_LPG),125,5,BE698),3,FALSE))))))</f>
        <v/>
      </c>
      <c r="BC698" s="467" t="str">
        <f t="shared" ref="BC698:BC761" si="406">IF((AS698="")+(AC698=""),"",IF(燃料区分1=4,VLOOKUP(BB698,排ガス低減レベル,2,FALSE),VLOOKUP(AC698,排ガス低減レベル,2,FALSE)))</f>
        <v/>
      </c>
      <c r="BD698" s="567" t="str">
        <f t="shared" ref="BD698:BD761" si="407">IF(AT698="","",IF(AW698=3,B698&amp;"-"&amp;SUM(AW698*100,AX698*10,AY698)&amp;"A",IF(OR(AW698=2,AW698=4,AW698=6),B698&amp;"-"&amp;AY698*10&amp;"A",IF(AW698=1,B698&amp;"-"&amp;AW698&amp;"A",IF(AW698=5,B698&amp;"-"&amp;SUM(AW698*100,AV698*10,AY698)&amp;"A","")))))</f>
        <v/>
      </c>
      <c r="BE698" s="467" t="str">
        <f t="shared" ref="BE698:BE761" si="408">IF(OR(AZ698=1,AZ698=2,AZ698=11),1,IF(AZ698=6,2,IF(OR(AZ698=4,AZ698=5,AZ698=10),3,IF(AZ698=7,4,IF(AZ698=3,5, IF(OR(AZ698=8,AZ698=9),6,""))))))</f>
        <v/>
      </c>
      <c r="BF698" s="469" t="str">
        <f t="shared" ref="BF698:BF761" ca="1" si="409">(IF(OR(AZ698=4,AZ698=5),OFFSET($CH$1,MATCH($AF698,$CG$2:$CG$4,0),0)&amp;BK698,""))</f>
        <v/>
      </c>
      <c r="BG698" s="469" t="str">
        <f t="shared" ref="BG698:BG761" ca="1" si="410">(IF(OR(AZ698=4,AZ698=5),OFFSET($CJ$1,MATCH($AG698,$CI$2:$CI$5,0),0)&amp;BK698,""))</f>
        <v/>
      </c>
      <c r="BH698" s="467" t="str">
        <f t="shared" ref="BH698:BH761" si="411">IF(OR(AZ698=4,AZ698=5),IF(OR(LEFT(BF698,1)="1",LEFT(BG698,1)="2",LEFT(BG698,1)="3"),1,2)&amp;BK698,"")</f>
        <v/>
      </c>
      <c r="BI698" s="467" t="str">
        <f t="shared" ref="BI698:BI761" ca="1" si="412">IF(LEFT(BF698)="1",1,IF(LEFT(BG698,1)="2",2,IF(LEFT(BG698,1)="3",3,"")))</f>
        <v/>
      </c>
      <c r="BJ698" s="469" t="str">
        <f t="shared" ref="BJ698:BJ761" si="413">IF(AT698="","",B698&amp;"-"&amp;AZ698)</f>
        <v/>
      </c>
      <c r="BK698" s="470" t="str">
        <f t="shared" si="397"/>
        <v/>
      </c>
      <c r="BL698" s="775" t="str">
        <f t="shared" ref="BL698:BL761" si="414">IF(AND(OR($T698="新規",$T698="継続"),ISBLANK($AD698)),1,"")</f>
        <v/>
      </c>
      <c r="BM698" s="775" t="str">
        <f t="shared" ref="BM698:BM761" si="415">IF(AND(OR($T698="新規",$T698="継続"),ISBLANK($AE698)),1,"")</f>
        <v/>
      </c>
    </row>
    <row r="699" spans="1:65">
      <c r="A699" s="473">
        <v>643</v>
      </c>
      <c r="B699" s="132"/>
      <c r="C699" s="332"/>
      <c r="D699" s="333"/>
      <c r="E699" s="333"/>
      <c r="F699" s="334"/>
      <c r="G699" s="337"/>
      <c r="H699" s="131"/>
      <c r="I699" s="337"/>
      <c r="J699" s="131"/>
      <c r="K699" s="458" t="str">
        <f t="shared" si="384"/>
        <v/>
      </c>
      <c r="L699" s="458">
        <f t="shared" si="385"/>
        <v>0</v>
      </c>
      <c r="M699" s="458">
        <f t="shared" si="386"/>
        <v>0</v>
      </c>
      <c r="N699" s="459" t="str">
        <f t="shared" si="283"/>
        <v/>
      </c>
      <c r="O699" s="459" t="str">
        <f t="shared" si="284"/>
        <v/>
      </c>
      <c r="P699" s="459" t="str">
        <f t="shared" si="285"/>
        <v/>
      </c>
      <c r="Q699" s="459" t="str">
        <f t="shared" si="286"/>
        <v/>
      </c>
      <c r="R699" s="459" t="str">
        <f t="shared" si="287"/>
        <v/>
      </c>
      <c r="S699" s="459" t="str">
        <f t="shared" si="288"/>
        <v/>
      </c>
      <c r="T699" s="566" t="str">
        <f t="shared" si="387"/>
        <v/>
      </c>
      <c r="U699" s="702"/>
      <c r="V699" s="132"/>
      <c r="W699" s="133"/>
      <c r="X699" s="134"/>
      <c r="Y699" s="135"/>
      <c r="Z699" s="137"/>
      <c r="AA699" s="136"/>
      <c r="AB699" s="566" t="str">
        <f t="shared" si="388"/>
        <v/>
      </c>
      <c r="AC699" s="568" t="str">
        <f t="shared" si="389"/>
        <v/>
      </c>
      <c r="AD699" s="137"/>
      <c r="AE699" s="137"/>
      <c r="AF699" s="138"/>
      <c r="AG699" s="138"/>
      <c r="AH699" s="592" t="str">
        <f t="shared" si="390"/>
        <v/>
      </c>
      <c r="AI699" s="592" t="str">
        <f t="shared" si="391"/>
        <v/>
      </c>
      <c r="AJ699" s="592" t="str">
        <f t="shared" si="392"/>
        <v/>
      </c>
      <c r="AK699" s="460" t="str">
        <f>IF(AU699="","",IF(OR(AZ699=8,AZ699=9),0,IF(OR(AW699=3,AW699=4,AW699=5,AW699=6),IF(LEFT(BF699,1)="1",INDEX(係数_NOX・PM低減,MATCH(AY699,【参考】排出係数!$AI$801:$AI$804,1),1),VLOOKUP(AU699,INDEX((係数_バス貨物_ガソリン,係数_バス貨物_CNG,係数_バス貨物_軽油,係数_バス貨物_メタノール,係数_バス貨物_LPG),MATCH(AY699,【参考】排出係数!$AI$4:$AI$671,1),1,BE699):INDEX((係数_バス貨物_ガソリン,係数_バス貨物_CNG,係数_バス貨物_軽油,係数_バス貨物_メタノール,係数_バス貨物_LPG),MATCH(AY699+1,【参考】排出係数!$AI$4:$AI$671,1)-1,5,BE699),4,FALSE)),IF(AND(BE699=3,LEFT(BF699,1)="1"),0.48,VLOOKUP(AU699,INDEX((係数_乗用_ガソリン,係数_乗用_CNG,係数_乗用_軽油,係数_乗用_メタノール,係数_乗用_LPG),1,1,BE699):INDEX((係数_乗用_ガソリン,係数_乗用_CNG,係数_乗用_軽油,係数_乗用_メタノール,係数_乗用_LPG),125,5,BE699),4,FALSE)))))</f>
        <v/>
      </c>
      <c r="AL699" s="461" t="str">
        <f t="shared" si="393"/>
        <v/>
      </c>
      <c r="AM699" s="460" t="str">
        <f>IF(AU699="","",IF(OR(AZ699=8,AZ699=9),0,IF(OR(AW699=3,AW699=4,AW699=5,AW699=6),IF(LEFT(BH699,1)="1",INDEX(係数_PM低減,MATCH(AY699,【参考】排出係数!$AI$801:$AI$804,1),MATCH(BI699,【参考】排出係数!$AL$798:$AO$798,1)),VLOOKUP(AU699,INDEX((係数_バス貨物_ガソリン,係数_バス貨物_CNG,係数_バス貨物_軽油,係数_バス貨物_メタノール,係数_バス貨物_LPG),MATCH(AY699,【参考】排出係数!$AI$4:$AI$671,1),1,BE699):INDEX((係数_バス貨物_ガソリン,係数_バス貨物_CNG,係数_バス貨物_軽油,係数_バス貨物_メタノール,係数_バス貨物_LPG),MATCH(AY699+1,【参考】排出係数!$AI$4:$AI$671,1)-1,5,BE699),5,FALSE)),IF(AND(BE699=3,LEFT(BF699,1)="1"),0.055,VLOOKUP(AU699,INDEX((係数_乗用_ガソリン,係数_乗用_CNG,係数_乗用_軽油,係数_乗用_メタノール,係数_乗用_LPG),1,1,BE699):INDEX((係数_乗用_ガソリン,係数_乗用_CNG,係数_乗用_軽油,係数_乗用_メタノール,係数_乗用_LPG),125,5,BE699),5,FALSE)))))</f>
        <v/>
      </c>
      <c r="AN699" s="461" t="str">
        <f t="shared" si="394"/>
        <v/>
      </c>
      <c r="AO699" s="462" t="str">
        <f t="shared" si="395"/>
        <v/>
      </c>
      <c r="AP699" s="463" t="str">
        <f t="shared" si="396"/>
        <v/>
      </c>
      <c r="AQ699" s="464"/>
      <c r="AR699" s="619"/>
      <c r="AS699" s="465" t="str">
        <f t="shared" si="398"/>
        <v/>
      </c>
      <c r="AT699" s="465" t="str">
        <f t="shared" si="399"/>
        <v/>
      </c>
      <c r="AU699" s="466" t="str">
        <f t="shared" si="400"/>
        <v/>
      </c>
      <c r="AV699" s="467" t="str">
        <f t="shared" si="401"/>
        <v/>
      </c>
      <c r="AW699" s="467" t="str">
        <f t="shared" si="402"/>
        <v/>
      </c>
      <c r="AX699" s="467" t="str">
        <f t="shared" si="403"/>
        <v/>
      </c>
      <c r="AY699" s="467" t="str">
        <f t="shared" si="404"/>
        <v/>
      </c>
      <c r="AZ699" s="467" t="str">
        <f t="shared" si="405"/>
        <v/>
      </c>
      <c r="BA699" s="468" t="str">
        <f>IF(AS699="","",IF(OR(AU699="",AU699="-"),"－",IF(OR(AZ699=8,AZ699=9),"",IF(OR(AW699=3,AW699=4,AW699=5,AW699=6),VLOOKUP(AU699,INDEX((係数_バス貨物_ガソリン,係数_バス貨物_CNG,係数_バス貨物_軽油,係数_バス貨物_メタノール,係数_バス貨物_LPG),MATCH(AY699,【参考】排出係数!$AI$4:$AI$671,1),1,BE699):INDEX((係数_バス貨物_ガソリン,係数_バス貨物_CNG,係数_バス貨物_軽油,係数_バス貨物_メタノール,係数_バス貨物_LPG),MATCH(AY699+1,【参考】排出係数!$AI$4:$AI$671,1)-1,5,BE699),2,FALSE),IF(OR(AW699=1,AW699=2),VLOOKUP(AU699,INDEX((係数_乗用_ガソリン,係数_乗用_CNG,係数_乗用_軽油,係数_乗用_メタノール,係数_乗用_LPG),1,1,BE699):INDEX((係数_乗用_ガソリン,係数_乗用_CNG,係数_乗用_軽油,係数_乗用_メタノール,係数_乗用_LPG),125,5,BE699),2,FALSE))))))</f>
        <v/>
      </c>
      <c r="BB699" s="468" t="str">
        <f>IF(T699="","",IF(OR(AU699="",AU699="-"),"－",IF(OR(AZ699=8,AZ699=9),"",IF(OR(AW699=3,AW699=4,AW699=5,AW699=6),VLOOKUP(AU699,INDEX((係数_バス貨物_ガソリン,係数_バス貨物_CNG,係数_バス貨物_軽油,係数_バス貨物_メタノール,係数_バス貨物_LPG),MATCH(AY699,【参考】排出係数!$AI$4:$AI$671,1),1,BE699):INDEX((係数_バス貨物_ガソリン,係数_バス貨物_CNG,係数_バス貨物_軽油,係数_バス貨物_メタノール,係数_バス貨物_LPG),MATCH(AY699+1,【参考】排出係数!$AI$4:$AI$671,1)-1,5,BE699),3,FALSE),IF(OR(AW699=1,AW699=2),VLOOKUP(AU699,INDEX((係数_乗用_ガソリン,係数_乗用_CNG,係数_乗用_軽油,係数_乗用_メタノール,係数_乗用_LPG),1,1,BE699):INDEX((係数_乗用_ガソリン,係数_乗用_CNG,係数_乗用_軽油,係数_乗用_メタノール,係数_乗用_LPG),125,5,BE699),3,FALSE))))))</f>
        <v/>
      </c>
      <c r="BC699" s="467" t="str">
        <f t="shared" si="406"/>
        <v/>
      </c>
      <c r="BD699" s="567" t="str">
        <f t="shared" si="407"/>
        <v/>
      </c>
      <c r="BE699" s="467" t="str">
        <f t="shared" si="408"/>
        <v/>
      </c>
      <c r="BF699" s="469" t="str">
        <f t="shared" ca="1" si="409"/>
        <v/>
      </c>
      <c r="BG699" s="469" t="str">
        <f t="shared" ca="1" si="410"/>
        <v/>
      </c>
      <c r="BH699" s="467" t="str">
        <f t="shared" si="411"/>
        <v/>
      </c>
      <c r="BI699" s="467" t="str">
        <f t="shared" ca="1" si="412"/>
        <v/>
      </c>
      <c r="BJ699" s="469" t="str">
        <f t="shared" si="413"/>
        <v/>
      </c>
      <c r="BK699" s="470" t="str">
        <f t="shared" si="397"/>
        <v/>
      </c>
      <c r="BL699" s="775" t="str">
        <f t="shared" si="414"/>
        <v/>
      </c>
      <c r="BM699" s="775" t="str">
        <f t="shared" si="415"/>
        <v/>
      </c>
    </row>
    <row r="700" spans="1:65">
      <c r="A700" s="473">
        <v>644</v>
      </c>
      <c r="B700" s="132"/>
      <c r="C700" s="332"/>
      <c r="D700" s="333"/>
      <c r="E700" s="333"/>
      <c r="F700" s="334"/>
      <c r="G700" s="337"/>
      <c r="H700" s="131"/>
      <c r="I700" s="337"/>
      <c r="J700" s="131"/>
      <c r="K700" s="458" t="str">
        <f t="shared" si="384"/>
        <v/>
      </c>
      <c r="L700" s="458">
        <f t="shared" si="385"/>
        <v>0</v>
      </c>
      <c r="M700" s="458">
        <f t="shared" si="386"/>
        <v>0</v>
      </c>
      <c r="N700" s="459" t="str">
        <f t="shared" si="283"/>
        <v/>
      </c>
      <c r="O700" s="459" t="str">
        <f t="shared" si="284"/>
        <v/>
      </c>
      <c r="P700" s="459" t="str">
        <f t="shared" si="285"/>
        <v/>
      </c>
      <c r="Q700" s="459" t="str">
        <f t="shared" si="286"/>
        <v/>
      </c>
      <c r="R700" s="459" t="str">
        <f t="shared" si="287"/>
        <v/>
      </c>
      <c r="S700" s="459" t="str">
        <f t="shared" si="288"/>
        <v/>
      </c>
      <c r="T700" s="566" t="str">
        <f t="shared" si="387"/>
        <v/>
      </c>
      <c r="U700" s="702"/>
      <c r="V700" s="132"/>
      <c r="W700" s="133"/>
      <c r="X700" s="134"/>
      <c r="Y700" s="135"/>
      <c r="Z700" s="137"/>
      <c r="AA700" s="136"/>
      <c r="AB700" s="566" t="str">
        <f t="shared" si="388"/>
        <v/>
      </c>
      <c r="AC700" s="568" t="str">
        <f t="shared" si="389"/>
        <v/>
      </c>
      <c r="AD700" s="137"/>
      <c r="AE700" s="137"/>
      <c r="AF700" s="138"/>
      <c r="AG700" s="138"/>
      <c r="AH700" s="592" t="str">
        <f t="shared" si="390"/>
        <v/>
      </c>
      <c r="AI700" s="592" t="str">
        <f t="shared" si="391"/>
        <v/>
      </c>
      <c r="AJ700" s="592" t="str">
        <f t="shared" si="392"/>
        <v/>
      </c>
      <c r="AK700" s="460" t="str">
        <f>IF(AU700="","",IF(OR(AZ700=8,AZ700=9),0,IF(OR(AW700=3,AW700=4,AW700=5,AW700=6),IF(LEFT(BF700,1)="1",INDEX(係数_NOX・PM低減,MATCH(AY700,【参考】排出係数!$AI$801:$AI$804,1),1),VLOOKUP(AU700,INDEX((係数_バス貨物_ガソリン,係数_バス貨物_CNG,係数_バス貨物_軽油,係数_バス貨物_メタノール,係数_バス貨物_LPG),MATCH(AY700,【参考】排出係数!$AI$4:$AI$671,1),1,BE700):INDEX((係数_バス貨物_ガソリン,係数_バス貨物_CNG,係数_バス貨物_軽油,係数_バス貨物_メタノール,係数_バス貨物_LPG),MATCH(AY700+1,【参考】排出係数!$AI$4:$AI$671,1)-1,5,BE700),4,FALSE)),IF(AND(BE700=3,LEFT(BF700,1)="1"),0.48,VLOOKUP(AU700,INDEX((係数_乗用_ガソリン,係数_乗用_CNG,係数_乗用_軽油,係数_乗用_メタノール,係数_乗用_LPG),1,1,BE700):INDEX((係数_乗用_ガソリン,係数_乗用_CNG,係数_乗用_軽油,係数_乗用_メタノール,係数_乗用_LPG),125,5,BE700),4,FALSE)))))</f>
        <v/>
      </c>
      <c r="AL700" s="461" t="str">
        <f t="shared" si="393"/>
        <v/>
      </c>
      <c r="AM700" s="460" t="str">
        <f>IF(AU700="","",IF(OR(AZ700=8,AZ700=9),0,IF(OR(AW700=3,AW700=4,AW700=5,AW700=6),IF(LEFT(BH700,1)="1",INDEX(係数_PM低減,MATCH(AY700,【参考】排出係数!$AI$801:$AI$804,1),MATCH(BI700,【参考】排出係数!$AL$798:$AO$798,1)),VLOOKUP(AU700,INDEX((係数_バス貨物_ガソリン,係数_バス貨物_CNG,係数_バス貨物_軽油,係数_バス貨物_メタノール,係数_バス貨物_LPG),MATCH(AY700,【参考】排出係数!$AI$4:$AI$671,1),1,BE700):INDEX((係数_バス貨物_ガソリン,係数_バス貨物_CNG,係数_バス貨物_軽油,係数_バス貨物_メタノール,係数_バス貨物_LPG),MATCH(AY700+1,【参考】排出係数!$AI$4:$AI$671,1)-1,5,BE700),5,FALSE)),IF(AND(BE700=3,LEFT(BF700,1)="1"),0.055,VLOOKUP(AU700,INDEX((係数_乗用_ガソリン,係数_乗用_CNG,係数_乗用_軽油,係数_乗用_メタノール,係数_乗用_LPG),1,1,BE700):INDEX((係数_乗用_ガソリン,係数_乗用_CNG,係数_乗用_軽油,係数_乗用_メタノール,係数_乗用_LPG),125,5,BE700),5,FALSE)))))</f>
        <v/>
      </c>
      <c r="AN700" s="461" t="str">
        <f t="shared" si="394"/>
        <v/>
      </c>
      <c r="AO700" s="462" t="str">
        <f t="shared" si="395"/>
        <v/>
      </c>
      <c r="AP700" s="463" t="str">
        <f t="shared" si="396"/>
        <v/>
      </c>
      <c r="AQ700" s="464"/>
      <c r="AR700" s="619"/>
      <c r="AS700" s="465" t="str">
        <f t="shared" si="398"/>
        <v/>
      </c>
      <c r="AT700" s="465" t="str">
        <f t="shared" si="399"/>
        <v/>
      </c>
      <c r="AU700" s="466" t="str">
        <f t="shared" si="400"/>
        <v/>
      </c>
      <c r="AV700" s="467" t="str">
        <f t="shared" si="401"/>
        <v/>
      </c>
      <c r="AW700" s="467" t="str">
        <f t="shared" si="402"/>
        <v/>
      </c>
      <c r="AX700" s="467" t="str">
        <f t="shared" si="403"/>
        <v/>
      </c>
      <c r="AY700" s="467" t="str">
        <f t="shared" si="404"/>
        <v/>
      </c>
      <c r="AZ700" s="467" t="str">
        <f t="shared" si="405"/>
        <v/>
      </c>
      <c r="BA700" s="468" t="str">
        <f>IF(AS700="","",IF(OR(AU700="",AU700="-"),"－",IF(OR(AZ700=8,AZ700=9),"",IF(OR(AW700=3,AW700=4,AW700=5,AW700=6),VLOOKUP(AU700,INDEX((係数_バス貨物_ガソリン,係数_バス貨物_CNG,係数_バス貨物_軽油,係数_バス貨物_メタノール,係数_バス貨物_LPG),MATCH(AY700,【参考】排出係数!$AI$4:$AI$671,1),1,BE700):INDEX((係数_バス貨物_ガソリン,係数_バス貨物_CNG,係数_バス貨物_軽油,係数_バス貨物_メタノール,係数_バス貨物_LPG),MATCH(AY700+1,【参考】排出係数!$AI$4:$AI$671,1)-1,5,BE700),2,FALSE),IF(OR(AW700=1,AW700=2),VLOOKUP(AU700,INDEX((係数_乗用_ガソリン,係数_乗用_CNG,係数_乗用_軽油,係数_乗用_メタノール,係数_乗用_LPG),1,1,BE700):INDEX((係数_乗用_ガソリン,係数_乗用_CNG,係数_乗用_軽油,係数_乗用_メタノール,係数_乗用_LPG),125,5,BE700),2,FALSE))))))</f>
        <v/>
      </c>
      <c r="BB700" s="468" t="str">
        <f>IF(T700="","",IF(OR(AU700="",AU700="-"),"－",IF(OR(AZ700=8,AZ700=9),"",IF(OR(AW700=3,AW700=4,AW700=5,AW700=6),VLOOKUP(AU700,INDEX((係数_バス貨物_ガソリン,係数_バス貨物_CNG,係数_バス貨物_軽油,係数_バス貨物_メタノール,係数_バス貨物_LPG),MATCH(AY700,【参考】排出係数!$AI$4:$AI$671,1),1,BE700):INDEX((係数_バス貨物_ガソリン,係数_バス貨物_CNG,係数_バス貨物_軽油,係数_バス貨物_メタノール,係数_バス貨物_LPG),MATCH(AY700+1,【参考】排出係数!$AI$4:$AI$671,1)-1,5,BE700),3,FALSE),IF(OR(AW700=1,AW700=2),VLOOKUP(AU700,INDEX((係数_乗用_ガソリン,係数_乗用_CNG,係数_乗用_軽油,係数_乗用_メタノール,係数_乗用_LPG),1,1,BE700):INDEX((係数_乗用_ガソリン,係数_乗用_CNG,係数_乗用_軽油,係数_乗用_メタノール,係数_乗用_LPG),125,5,BE700),3,FALSE))))))</f>
        <v/>
      </c>
      <c r="BC700" s="467" t="str">
        <f t="shared" si="406"/>
        <v/>
      </c>
      <c r="BD700" s="567" t="str">
        <f t="shared" si="407"/>
        <v/>
      </c>
      <c r="BE700" s="467" t="str">
        <f t="shared" si="408"/>
        <v/>
      </c>
      <c r="BF700" s="469" t="str">
        <f t="shared" ca="1" si="409"/>
        <v/>
      </c>
      <c r="BG700" s="469" t="str">
        <f t="shared" ca="1" si="410"/>
        <v/>
      </c>
      <c r="BH700" s="467" t="str">
        <f t="shared" si="411"/>
        <v/>
      </c>
      <c r="BI700" s="467" t="str">
        <f t="shared" ca="1" si="412"/>
        <v/>
      </c>
      <c r="BJ700" s="469" t="str">
        <f t="shared" si="413"/>
        <v/>
      </c>
      <c r="BK700" s="470" t="str">
        <f t="shared" si="397"/>
        <v/>
      </c>
      <c r="BL700" s="775" t="str">
        <f t="shared" si="414"/>
        <v/>
      </c>
      <c r="BM700" s="775" t="str">
        <f t="shared" si="415"/>
        <v/>
      </c>
    </row>
    <row r="701" spans="1:65">
      <c r="A701" s="473">
        <v>645</v>
      </c>
      <c r="B701" s="132"/>
      <c r="C701" s="332"/>
      <c r="D701" s="333"/>
      <c r="E701" s="333"/>
      <c r="F701" s="334"/>
      <c r="G701" s="337"/>
      <c r="H701" s="131"/>
      <c r="I701" s="337"/>
      <c r="J701" s="131"/>
      <c r="K701" s="458" t="str">
        <f t="shared" si="384"/>
        <v/>
      </c>
      <c r="L701" s="458">
        <f t="shared" si="385"/>
        <v>0</v>
      </c>
      <c r="M701" s="458">
        <f t="shared" si="386"/>
        <v>0</v>
      </c>
      <c r="N701" s="459" t="str">
        <f t="shared" si="283"/>
        <v/>
      </c>
      <c r="O701" s="459" t="str">
        <f t="shared" si="284"/>
        <v/>
      </c>
      <c r="P701" s="459" t="str">
        <f t="shared" si="285"/>
        <v/>
      </c>
      <c r="Q701" s="459" t="str">
        <f t="shared" si="286"/>
        <v/>
      </c>
      <c r="R701" s="459" t="str">
        <f t="shared" si="287"/>
        <v/>
      </c>
      <c r="S701" s="459" t="str">
        <f t="shared" si="288"/>
        <v/>
      </c>
      <c r="T701" s="566" t="str">
        <f t="shared" si="387"/>
        <v/>
      </c>
      <c r="U701" s="702"/>
      <c r="V701" s="132"/>
      <c r="W701" s="133"/>
      <c r="X701" s="134"/>
      <c r="Y701" s="135"/>
      <c r="Z701" s="137"/>
      <c r="AA701" s="136"/>
      <c r="AB701" s="566" t="str">
        <f t="shared" si="388"/>
        <v/>
      </c>
      <c r="AC701" s="568" t="str">
        <f t="shared" si="389"/>
        <v/>
      </c>
      <c r="AD701" s="137"/>
      <c r="AE701" s="137"/>
      <c r="AF701" s="138"/>
      <c r="AG701" s="138"/>
      <c r="AH701" s="592" t="str">
        <f t="shared" si="390"/>
        <v/>
      </c>
      <c r="AI701" s="592" t="str">
        <f t="shared" si="391"/>
        <v/>
      </c>
      <c r="AJ701" s="592" t="str">
        <f t="shared" si="392"/>
        <v/>
      </c>
      <c r="AK701" s="460" t="str">
        <f>IF(AU701="","",IF(OR(AZ701=8,AZ701=9),0,IF(OR(AW701=3,AW701=4,AW701=5,AW701=6),IF(LEFT(BF701,1)="1",INDEX(係数_NOX・PM低減,MATCH(AY701,【参考】排出係数!$AI$801:$AI$804,1),1),VLOOKUP(AU701,INDEX((係数_バス貨物_ガソリン,係数_バス貨物_CNG,係数_バス貨物_軽油,係数_バス貨物_メタノール,係数_バス貨物_LPG),MATCH(AY701,【参考】排出係数!$AI$4:$AI$671,1),1,BE701):INDEX((係数_バス貨物_ガソリン,係数_バス貨物_CNG,係数_バス貨物_軽油,係数_バス貨物_メタノール,係数_バス貨物_LPG),MATCH(AY701+1,【参考】排出係数!$AI$4:$AI$671,1)-1,5,BE701),4,FALSE)),IF(AND(BE701=3,LEFT(BF701,1)="1"),0.48,VLOOKUP(AU701,INDEX((係数_乗用_ガソリン,係数_乗用_CNG,係数_乗用_軽油,係数_乗用_メタノール,係数_乗用_LPG),1,1,BE701):INDEX((係数_乗用_ガソリン,係数_乗用_CNG,係数_乗用_軽油,係数_乗用_メタノール,係数_乗用_LPG),125,5,BE701),4,FALSE)))))</f>
        <v/>
      </c>
      <c r="AL701" s="461" t="str">
        <f t="shared" si="393"/>
        <v/>
      </c>
      <c r="AM701" s="460" t="str">
        <f>IF(AU701="","",IF(OR(AZ701=8,AZ701=9),0,IF(OR(AW701=3,AW701=4,AW701=5,AW701=6),IF(LEFT(BH701,1)="1",INDEX(係数_PM低減,MATCH(AY701,【参考】排出係数!$AI$801:$AI$804,1),MATCH(BI701,【参考】排出係数!$AL$798:$AO$798,1)),VLOOKUP(AU701,INDEX((係数_バス貨物_ガソリン,係数_バス貨物_CNG,係数_バス貨物_軽油,係数_バス貨物_メタノール,係数_バス貨物_LPG),MATCH(AY701,【参考】排出係数!$AI$4:$AI$671,1),1,BE701):INDEX((係数_バス貨物_ガソリン,係数_バス貨物_CNG,係数_バス貨物_軽油,係数_バス貨物_メタノール,係数_バス貨物_LPG),MATCH(AY701+1,【参考】排出係数!$AI$4:$AI$671,1)-1,5,BE701),5,FALSE)),IF(AND(BE701=3,LEFT(BF701,1)="1"),0.055,VLOOKUP(AU701,INDEX((係数_乗用_ガソリン,係数_乗用_CNG,係数_乗用_軽油,係数_乗用_メタノール,係数_乗用_LPG),1,1,BE701):INDEX((係数_乗用_ガソリン,係数_乗用_CNG,係数_乗用_軽油,係数_乗用_メタノール,係数_乗用_LPG),125,5,BE701),5,FALSE)))))</f>
        <v/>
      </c>
      <c r="AN701" s="461" t="str">
        <f t="shared" si="394"/>
        <v/>
      </c>
      <c r="AO701" s="462" t="str">
        <f t="shared" si="395"/>
        <v/>
      </c>
      <c r="AP701" s="463" t="str">
        <f t="shared" si="396"/>
        <v/>
      </c>
      <c r="AQ701" s="464"/>
      <c r="AR701" s="619"/>
      <c r="AS701" s="465" t="str">
        <f t="shared" si="398"/>
        <v/>
      </c>
      <c r="AT701" s="465" t="str">
        <f t="shared" si="399"/>
        <v/>
      </c>
      <c r="AU701" s="466" t="str">
        <f t="shared" si="400"/>
        <v/>
      </c>
      <c r="AV701" s="467" t="str">
        <f t="shared" si="401"/>
        <v/>
      </c>
      <c r="AW701" s="467" t="str">
        <f t="shared" si="402"/>
        <v/>
      </c>
      <c r="AX701" s="467" t="str">
        <f t="shared" si="403"/>
        <v/>
      </c>
      <c r="AY701" s="467" t="str">
        <f t="shared" si="404"/>
        <v/>
      </c>
      <c r="AZ701" s="467" t="str">
        <f t="shared" si="405"/>
        <v/>
      </c>
      <c r="BA701" s="468" t="str">
        <f>IF(AS701="","",IF(OR(AU701="",AU701="-"),"－",IF(OR(AZ701=8,AZ701=9),"",IF(OR(AW701=3,AW701=4,AW701=5,AW701=6),VLOOKUP(AU701,INDEX((係数_バス貨物_ガソリン,係数_バス貨物_CNG,係数_バス貨物_軽油,係数_バス貨物_メタノール,係数_バス貨物_LPG),MATCH(AY701,【参考】排出係数!$AI$4:$AI$671,1),1,BE701):INDEX((係数_バス貨物_ガソリン,係数_バス貨物_CNG,係数_バス貨物_軽油,係数_バス貨物_メタノール,係数_バス貨物_LPG),MATCH(AY701+1,【参考】排出係数!$AI$4:$AI$671,1)-1,5,BE701),2,FALSE),IF(OR(AW701=1,AW701=2),VLOOKUP(AU701,INDEX((係数_乗用_ガソリン,係数_乗用_CNG,係数_乗用_軽油,係数_乗用_メタノール,係数_乗用_LPG),1,1,BE701):INDEX((係数_乗用_ガソリン,係数_乗用_CNG,係数_乗用_軽油,係数_乗用_メタノール,係数_乗用_LPG),125,5,BE701),2,FALSE))))))</f>
        <v/>
      </c>
      <c r="BB701" s="468" t="str">
        <f>IF(T701="","",IF(OR(AU701="",AU701="-"),"－",IF(OR(AZ701=8,AZ701=9),"",IF(OR(AW701=3,AW701=4,AW701=5,AW701=6),VLOOKUP(AU701,INDEX((係数_バス貨物_ガソリン,係数_バス貨物_CNG,係数_バス貨物_軽油,係数_バス貨物_メタノール,係数_バス貨物_LPG),MATCH(AY701,【参考】排出係数!$AI$4:$AI$671,1),1,BE701):INDEX((係数_バス貨物_ガソリン,係数_バス貨物_CNG,係数_バス貨物_軽油,係数_バス貨物_メタノール,係数_バス貨物_LPG),MATCH(AY701+1,【参考】排出係数!$AI$4:$AI$671,1)-1,5,BE701),3,FALSE),IF(OR(AW701=1,AW701=2),VLOOKUP(AU701,INDEX((係数_乗用_ガソリン,係数_乗用_CNG,係数_乗用_軽油,係数_乗用_メタノール,係数_乗用_LPG),1,1,BE701):INDEX((係数_乗用_ガソリン,係数_乗用_CNG,係数_乗用_軽油,係数_乗用_メタノール,係数_乗用_LPG),125,5,BE701),3,FALSE))))))</f>
        <v/>
      </c>
      <c r="BC701" s="467" t="str">
        <f t="shared" si="406"/>
        <v/>
      </c>
      <c r="BD701" s="567" t="str">
        <f t="shared" si="407"/>
        <v/>
      </c>
      <c r="BE701" s="467" t="str">
        <f t="shared" si="408"/>
        <v/>
      </c>
      <c r="BF701" s="469" t="str">
        <f t="shared" ca="1" si="409"/>
        <v/>
      </c>
      <c r="BG701" s="469" t="str">
        <f t="shared" ca="1" si="410"/>
        <v/>
      </c>
      <c r="BH701" s="467" t="str">
        <f t="shared" si="411"/>
        <v/>
      </c>
      <c r="BI701" s="467" t="str">
        <f t="shared" ca="1" si="412"/>
        <v/>
      </c>
      <c r="BJ701" s="469" t="str">
        <f t="shared" si="413"/>
        <v/>
      </c>
      <c r="BK701" s="470" t="str">
        <f t="shared" si="397"/>
        <v/>
      </c>
      <c r="BL701" s="775" t="str">
        <f t="shared" si="414"/>
        <v/>
      </c>
      <c r="BM701" s="775" t="str">
        <f t="shared" si="415"/>
        <v/>
      </c>
    </row>
    <row r="702" spans="1:65">
      <c r="A702" s="473">
        <v>646</v>
      </c>
      <c r="B702" s="132"/>
      <c r="C702" s="332"/>
      <c r="D702" s="333"/>
      <c r="E702" s="333"/>
      <c r="F702" s="334"/>
      <c r="G702" s="337"/>
      <c r="H702" s="131"/>
      <c r="I702" s="337"/>
      <c r="J702" s="131"/>
      <c r="K702" s="458" t="str">
        <f t="shared" si="384"/>
        <v/>
      </c>
      <c r="L702" s="458">
        <f t="shared" si="385"/>
        <v>0</v>
      </c>
      <c r="M702" s="458">
        <f t="shared" si="386"/>
        <v>0</v>
      </c>
      <c r="N702" s="459" t="str">
        <f t="shared" si="283"/>
        <v/>
      </c>
      <c r="O702" s="459" t="str">
        <f t="shared" si="284"/>
        <v/>
      </c>
      <c r="P702" s="459" t="str">
        <f t="shared" si="285"/>
        <v/>
      </c>
      <c r="Q702" s="459" t="str">
        <f t="shared" si="286"/>
        <v/>
      </c>
      <c r="R702" s="459" t="str">
        <f t="shared" si="287"/>
        <v/>
      </c>
      <c r="S702" s="459" t="str">
        <f t="shared" si="288"/>
        <v/>
      </c>
      <c r="T702" s="566" t="str">
        <f t="shared" si="387"/>
        <v/>
      </c>
      <c r="U702" s="702"/>
      <c r="V702" s="132"/>
      <c r="W702" s="133"/>
      <c r="X702" s="134"/>
      <c r="Y702" s="135"/>
      <c r="Z702" s="137"/>
      <c r="AA702" s="136"/>
      <c r="AB702" s="566" t="str">
        <f t="shared" si="388"/>
        <v/>
      </c>
      <c r="AC702" s="568" t="str">
        <f t="shared" si="389"/>
        <v/>
      </c>
      <c r="AD702" s="137"/>
      <c r="AE702" s="137"/>
      <c r="AF702" s="138"/>
      <c r="AG702" s="138"/>
      <c r="AH702" s="592" t="str">
        <f t="shared" si="390"/>
        <v/>
      </c>
      <c r="AI702" s="592" t="str">
        <f t="shared" si="391"/>
        <v/>
      </c>
      <c r="AJ702" s="592" t="str">
        <f t="shared" si="392"/>
        <v/>
      </c>
      <c r="AK702" s="460" t="str">
        <f>IF(AU702="","",IF(OR(AZ702=8,AZ702=9),0,IF(OR(AW702=3,AW702=4,AW702=5,AW702=6),IF(LEFT(BF702,1)="1",INDEX(係数_NOX・PM低減,MATCH(AY702,【参考】排出係数!$AI$801:$AI$804,1),1),VLOOKUP(AU702,INDEX((係数_バス貨物_ガソリン,係数_バス貨物_CNG,係数_バス貨物_軽油,係数_バス貨物_メタノール,係数_バス貨物_LPG),MATCH(AY702,【参考】排出係数!$AI$4:$AI$671,1),1,BE702):INDEX((係数_バス貨物_ガソリン,係数_バス貨物_CNG,係数_バス貨物_軽油,係数_バス貨物_メタノール,係数_バス貨物_LPG),MATCH(AY702+1,【参考】排出係数!$AI$4:$AI$671,1)-1,5,BE702),4,FALSE)),IF(AND(BE702=3,LEFT(BF702,1)="1"),0.48,VLOOKUP(AU702,INDEX((係数_乗用_ガソリン,係数_乗用_CNG,係数_乗用_軽油,係数_乗用_メタノール,係数_乗用_LPG),1,1,BE702):INDEX((係数_乗用_ガソリン,係数_乗用_CNG,係数_乗用_軽油,係数_乗用_メタノール,係数_乗用_LPG),125,5,BE702),4,FALSE)))))</f>
        <v/>
      </c>
      <c r="AL702" s="461" t="str">
        <f t="shared" si="393"/>
        <v/>
      </c>
      <c r="AM702" s="460" t="str">
        <f>IF(AU702="","",IF(OR(AZ702=8,AZ702=9),0,IF(OR(AW702=3,AW702=4,AW702=5,AW702=6),IF(LEFT(BH702,1)="1",INDEX(係数_PM低減,MATCH(AY702,【参考】排出係数!$AI$801:$AI$804,1),MATCH(BI702,【参考】排出係数!$AL$798:$AO$798,1)),VLOOKUP(AU702,INDEX((係数_バス貨物_ガソリン,係数_バス貨物_CNG,係数_バス貨物_軽油,係数_バス貨物_メタノール,係数_バス貨物_LPG),MATCH(AY702,【参考】排出係数!$AI$4:$AI$671,1),1,BE702):INDEX((係数_バス貨物_ガソリン,係数_バス貨物_CNG,係数_バス貨物_軽油,係数_バス貨物_メタノール,係数_バス貨物_LPG),MATCH(AY702+1,【参考】排出係数!$AI$4:$AI$671,1)-1,5,BE702),5,FALSE)),IF(AND(BE702=3,LEFT(BF702,1)="1"),0.055,VLOOKUP(AU702,INDEX((係数_乗用_ガソリン,係数_乗用_CNG,係数_乗用_軽油,係数_乗用_メタノール,係数_乗用_LPG),1,1,BE702):INDEX((係数_乗用_ガソリン,係数_乗用_CNG,係数_乗用_軽油,係数_乗用_メタノール,係数_乗用_LPG),125,5,BE702),5,FALSE)))))</f>
        <v/>
      </c>
      <c r="AN702" s="461" t="str">
        <f t="shared" si="394"/>
        <v/>
      </c>
      <c r="AO702" s="462" t="str">
        <f t="shared" si="395"/>
        <v/>
      </c>
      <c r="AP702" s="463" t="str">
        <f t="shared" si="396"/>
        <v/>
      </c>
      <c r="AQ702" s="464"/>
      <c r="AR702" s="619"/>
      <c r="AS702" s="465" t="str">
        <f t="shared" si="398"/>
        <v/>
      </c>
      <c r="AT702" s="465" t="str">
        <f t="shared" si="399"/>
        <v/>
      </c>
      <c r="AU702" s="466" t="str">
        <f t="shared" si="400"/>
        <v/>
      </c>
      <c r="AV702" s="467" t="str">
        <f t="shared" si="401"/>
        <v/>
      </c>
      <c r="AW702" s="467" t="str">
        <f t="shared" si="402"/>
        <v/>
      </c>
      <c r="AX702" s="467" t="str">
        <f t="shared" si="403"/>
        <v/>
      </c>
      <c r="AY702" s="467" t="str">
        <f t="shared" si="404"/>
        <v/>
      </c>
      <c r="AZ702" s="467" t="str">
        <f t="shared" si="405"/>
        <v/>
      </c>
      <c r="BA702" s="468" t="str">
        <f>IF(AS702="","",IF(OR(AU702="",AU702="-"),"－",IF(OR(AZ702=8,AZ702=9),"",IF(OR(AW702=3,AW702=4,AW702=5,AW702=6),VLOOKUP(AU702,INDEX((係数_バス貨物_ガソリン,係数_バス貨物_CNG,係数_バス貨物_軽油,係数_バス貨物_メタノール,係数_バス貨物_LPG),MATCH(AY702,【参考】排出係数!$AI$4:$AI$671,1),1,BE702):INDEX((係数_バス貨物_ガソリン,係数_バス貨物_CNG,係数_バス貨物_軽油,係数_バス貨物_メタノール,係数_バス貨物_LPG),MATCH(AY702+1,【参考】排出係数!$AI$4:$AI$671,1)-1,5,BE702),2,FALSE),IF(OR(AW702=1,AW702=2),VLOOKUP(AU702,INDEX((係数_乗用_ガソリン,係数_乗用_CNG,係数_乗用_軽油,係数_乗用_メタノール,係数_乗用_LPG),1,1,BE702):INDEX((係数_乗用_ガソリン,係数_乗用_CNG,係数_乗用_軽油,係数_乗用_メタノール,係数_乗用_LPG),125,5,BE702),2,FALSE))))))</f>
        <v/>
      </c>
      <c r="BB702" s="468" t="str">
        <f>IF(T702="","",IF(OR(AU702="",AU702="-"),"－",IF(OR(AZ702=8,AZ702=9),"",IF(OR(AW702=3,AW702=4,AW702=5,AW702=6),VLOOKUP(AU702,INDEX((係数_バス貨物_ガソリン,係数_バス貨物_CNG,係数_バス貨物_軽油,係数_バス貨物_メタノール,係数_バス貨物_LPG),MATCH(AY702,【参考】排出係数!$AI$4:$AI$671,1),1,BE702):INDEX((係数_バス貨物_ガソリン,係数_バス貨物_CNG,係数_バス貨物_軽油,係数_バス貨物_メタノール,係数_バス貨物_LPG),MATCH(AY702+1,【参考】排出係数!$AI$4:$AI$671,1)-1,5,BE702),3,FALSE),IF(OR(AW702=1,AW702=2),VLOOKUP(AU702,INDEX((係数_乗用_ガソリン,係数_乗用_CNG,係数_乗用_軽油,係数_乗用_メタノール,係数_乗用_LPG),1,1,BE702):INDEX((係数_乗用_ガソリン,係数_乗用_CNG,係数_乗用_軽油,係数_乗用_メタノール,係数_乗用_LPG),125,5,BE702),3,FALSE))))))</f>
        <v/>
      </c>
      <c r="BC702" s="467" t="str">
        <f t="shared" si="406"/>
        <v/>
      </c>
      <c r="BD702" s="567" t="str">
        <f t="shared" si="407"/>
        <v/>
      </c>
      <c r="BE702" s="467" t="str">
        <f t="shared" si="408"/>
        <v/>
      </c>
      <c r="BF702" s="469" t="str">
        <f t="shared" ca="1" si="409"/>
        <v/>
      </c>
      <c r="BG702" s="469" t="str">
        <f t="shared" ca="1" si="410"/>
        <v/>
      </c>
      <c r="BH702" s="467" t="str">
        <f t="shared" si="411"/>
        <v/>
      </c>
      <c r="BI702" s="467" t="str">
        <f t="shared" ca="1" si="412"/>
        <v/>
      </c>
      <c r="BJ702" s="469" t="str">
        <f t="shared" si="413"/>
        <v/>
      </c>
      <c r="BK702" s="470" t="str">
        <f t="shared" si="397"/>
        <v/>
      </c>
      <c r="BL702" s="775" t="str">
        <f t="shared" si="414"/>
        <v/>
      </c>
      <c r="BM702" s="775" t="str">
        <f t="shared" si="415"/>
        <v/>
      </c>
    </row>
    <row r="703" spans="1:65">
      <c r="A703" s="473">
        <v>647</v>
      </c>
      <c r="B703" s="132"/>
      <c r="C703" s="332"/>
      <c r="D703" s="333"/>
      <c r="E703" s="333"/>
      <c r="F703" s="334"/>
      <c r="G703" s="337"/>
      <c r="H703" s="131"/>
      <c r="I703" s="337"/>
      <c r="J703" s="131"/>
      <c r="K703" s="458" t="str">
        <f t="shared" si="384"/>
        <v/>
      </c>
      <c r="L703" s="458">
        <f t="shared" si="385"/>
        <v>0</v>
      </c>
      <c r="M703" s="458">
        <f t="shared" si="386"/>
        <v>0</v>
      </c>
      <c r="N703" s="459" t="str">
        <f t="shared" si="283"/>
        <v/>
      </c>
      <c r="O703" s="459" t="str">
        <f t="shared" si="284"/>
        <v/>
      </c>
      <c r="P703" s="459" t="str">
        <f t="shared" si="285"/>
        <v/>
      </c>
      <c r="Q703" s="459" t="str">
        <f t="shared" si="286"/>
        <v/>
      </c>
      <c r="R703" s="459" t="str">
        <f t="shared" si="287"/>
        <v/>
      </c>
      <c r="S703" s="459" t="str">
        <f t="shared" si="288"/>
        <v/>
      </c>
      <c r="T703" s="566" t="str">
        <f t="shared" si="387"/>
        <v/>
      </c>
      <c r="U703" s="702"/>
      <c r="V703" s="132"/>
      <c r="W703" s="133"/>
      <c r="X703" s="134"/>
      <c r="Y703" s="135"/>
      <c r="Z703" s="137"/>
      <c r="AA703" s="136"/>
      <c r="AB703" s="566" t="str">
        <f t="shared" si="388"/>
        <v/>
      </c>
      <c r="AC703" s="568" t="str">
        <f t="shared" si="389"/>
        <v/>
      </c>
      <c r="AD703" s="137"/>
      <c r="AE703" s="137"/>
      <c r="AF703" s="138"/>
      <c r="AG703" s="138"/>
      <c r="AH703" s="592" t="str">
        <f t="shared" si="390"/>
        <v/>
      </c>
      <c r="AI703" s="592" t="str">
        <f t="shared" si="391"/>
        <v/>
      </c>
      <c r="AJ703" s="592" t="str">
        <f t="shared" si="392"/>
        <v/>
      </c>
      <c r="AK703" s="460" t="str">
        <f>IF(AU703="","",IF(OR(AZ703=8,AZ703=9),0,IF(OR(AW703=3,AW703=4,AW703=5,AW703=6),IF(LEFT(BF703,1)="1",INDEX(係数_NOX・PM低減,MATCH(AY703,【参考】排出係数!$AI$801:$AI$804,1),1),VLOOKUP(AU703,INDEX((係数_バス貨物_ガソリン,係数_バス貨物_CNG,係数_バス貨物_軽油,係数_バス貨物_メタノール,係数_バス貨物_LPG),MATCH(AY703,【参考】排出係数!$AI$4:$AI$671,1),1,BE703):INDEX((係数_バス貨物_ガソリン,係数_バス貨物_CNG,係数_バス貨物_軽油,係数_バス貨物_メタノール,係数_バス貨物_LPG),MATCH(AY703+1,【参考】排出係数!$AI$4:$AI$671,1)-1,5,BE703),4,FALSE)),IF(AND(BE703=3,LEFT(BF703,1)="1"),0.48,VLOOKUP(AU703,INDEX((係数_乗用_ガソリン,係数_乗用_CNG,係数_乗用_軽油,係数_乗用_メタノール,係数_乗用_LPG),1,1,BE703):INDEX((係数_乗用_ガソリン,係数_乗用_CNG,係数_乗用_軽油,係数_乗用_メタノール,係数_乗用_LPG),125,5,BE703),4,FALSE)))))</f>
        <v/>
      </c>
      <c r="AL703" s="461" t="str">
        <f t="shared" si="393"/>
        <v/>
      </c>
      <c r="AM703" s="460" t="str">
        <f>IF(AU703="","",IF(OR(AZ703=8,AZ703=9),0,IF(OR(AW703=3,AW703=4,AW703=5,AW703=6),IF(LEFT(BH703,1)="1",INDEX(係数_PM低減,MATCH(AY703,【参考】排出係数!$AI$801:$AI$804,1),MATCH(BI703,【参考】排出係数!$AL$798:$AO$798,1)),VLOOKUP(AU703,INDEX((係数_バス貨物_ガソリン,係数_バス貨物_CNG,係数_バス貨物_軽油,係数_バス貨物_メタノール,係数_バス貨物_LPG),MATCH(AY703,【参考】排出係数!$AI$4:$AI$671,1),1,BE703):INDEX((係数_バス貨物_ガソリン,係数_バス貨物_CNG,係数_バス貨物_軽油,係数_バス貨物_メタノール,係数_バス貨物_LPG),MATCH(AY703+1,【参考】排出係数!$AI$4:$AI$671,1)-1,5,BE703),5,FALSE)),IF(AND(BE703=3,LEFT(BF703,1)="1"),0.055,VLOOKUP(AU703,INDEX((係数_乗用_ガソリン,係数_乗用_CNG,係数_乗用_軽油,係数_乗用_メタノール,係数_乗用_LPG),1,1,BE703):INDEX((係数_乗用_ガソリン,係数_乗用_CNG,係数_乗用_軽油,係数_乗用_メタノール,係数_乗用_LPG),125,5,BE703),5,FALSE)))))</f>
        <v/>
      </c>
      <c r="AN703" s="461" t="str">
        <f t="shared" si="394"/>
        <v/>
      </c>
      <c r="AO703" s="462" t="str">
        <f t="shared" si="395"/>
        <v/>
      </c>
      <c r="AP703" s="463" t="str">
        <f t="shared" si="396"/>
        <v/>
      </c>
      <c r="AQ703" s="464"/>
      <c r="AR703" s="619"/>
      <c r="AS703" s="465" t="str">
        <f t="shared" si="398"/>
        <v/>
      </c>
      <c r="AT703" s="465" t="str">
        <f t="shared" si="399"/>
        <v/>
      </c>
      <c r="AU703" s="466" t="str">
        <f t="shared" si="400"/>
        <v/>
      </c>
      <c r="AV703" s="467" t="str">
        <f t="shared" si="401"/>
        <v/>
      </c>
      <c r="AW703" s="467" t="str">
        <f t="shared" si="402"/>
        <v/>
      </c>
      <c r="AX703" s="467" t="str">
        <f t="shared" si="403"/>
        <v/>
      </c>
      <c r="AY703" s="467" t="str">
        <f t="shared" si="404"/>
        <v/>
      </c>
      <c r="AZ703" s="467" t="str">
        <f t="shared" si="405"/>
        <v/>
      </c>
      <c r="BA703" s="468" t="str">
        <f>IF(AS703="","",IF(OR(AU703="",AU703="-"),"－",IF(OR(AZ703=8,AZ703=9),"",IF(OR(AW703=3,AW703=4,AW703=5,AW703=6),VLOOKUP(AU703,INDEX((係数_バス貨物_ガソリン,係数_バス貨物_CNG,係数_バス貨物_軽油,係数_バス貨物_メタノール,係数_バス貨物_LPG),MATCH(AY703,【参考】排出係数!$AI$4:$AI$671,1),1,BE703):INDEX((係数_バス貨物_ガソリン,係数_バス貨物_CNG,係数_バス貨物_軽油,係数_バス貨物_メタノール,係数_バス貨物_LPG),MATCH(AY703+1,【参考】排出係数!$AI$4:$AI$671,1)-1,5,BE703),2,FALSE),IF(OR(AW703=1,AW703=2),VLOOKUP(AU703,INDEX((係数_乗用_ガソリン,係数_乗用_CNG,係数_乗用_軽油,係数_乗用_メタノール,係数_乗用_LPG),1,1,BE703):INDEX((係数_乗用_ガソリン,係数_乗用_CNG,係数_乗用_軽油,係数_乗用_メタノール,係数_乗用_LPG),125,5,BE703),2,FALSE))))))</f>
        <v/>
      </c>
      <c r="BB703" s="468" t="str">
        <f>IF(T703="","",IF(OR(AU703="",AU703="-"),"－",IF(OR(AZ703=8,AZ703=9),"",IF(OR(AW703=3,AW703=4,AW703=5,AW703=6),VLOOKUP(AU703,INDEX((係数_バス貨物_ガソリン,係数_バス貨物_CNG,係数_バス貨物_軽油,係数_バス貨物_メタノール,係数_バス貨物_LPG),MATCH(AY703,【参考】排出係数!$AI$4:$AI$671,1),1,BE703):INDEX((係数_バス貨物_ガソリン,係数_バス貨物_CNG,係数_バス貨物_軽油,係数_バス貨物_メタノール,係数_バス貨物_LPG),MATCH(AY703+1,【参考】排出係数!$AI$4:$AI$671,1)-1,5,BE703),3,FALSE),IF(OR(AW703=1,AW703=2),VLOOKUP(AU703,INDEX((係数_乗用_ガソリン,係数_乗用_CNG,係数_乗用_軽油,係数_乗用_メタノール,係数_乗用_LPG),1,1,BE703):INDEX((係数_乗用_ガソリン,係数_乗用_CNG,係数_乗用_軽油,係数_乗用_メタノール,係数_乗用_LPG),125,5,BE703),3,FALSE))))))</f>
        <v/>
      </c>
      <c r="BC703" s="467" t="str">
        <f t="shared" si="406"/>
        <v/>
      </c>
      <c r="BD703" s="567" t="str">
        <f t="shared" si="407"/>
        <v/>
      </c>
      <c r="BE703" s="467" t="str">
        <f t="shared" si="408"/>
        <v/>
      </c>
      <c r="BF703" s="469" t="str">
        <f t="shared" ca="1" si="409"/>
        <v/>
      </c>
      <c r="BG703" s="469" t="str">
        <f t="shared" ca="1" si="410"/>
        <v/>
      </c>
      <c r="BH703" s="467" t="str">
        <f t="shared" si="411"/>
        <v/>
      </c>
      <c r="BI703" s="467" t="str">
        <f t="shared" ca="1" si="412"/>
        <v/>
      </c>
      <c r="BJ703" s="469" t="str">
        <f t="shared" si="413"/>
        <v/>
      </c>
      <c r="BK703" s="470" t="str">
        <f t="shared" si="397"/>
        <v/>
      </c>
      <c r="BL703" s="775" t="str">
        <f t="shared" si="414"/>
        <v/>
      </c>
      <c r="BM703" s="775" t="str">
        <f t="shared" si="415"/>
        <v/>
      </c>
    </row>
    <row r="704" spans="1:65">
      <c r="A704" s="473">
        <v>648</v>
      </c>
      <c r="B704" s="132"/>
      <c r="C704" s="332"/>
      <c r="D704" s="333"/>
      <c r="E704" s="333"/>
      <c r="F704" s="334"/>
      <c r="G704" s="337"/>
      <c r="H704" s="131"/>
      <c r="I704" s="337"/>
      <c r="J704" s="131"/>
      <c r="K704" s="458" t="str">
        <f t="shared" si="384"/>
        <v/>
      </c>
      <c r="L704" s="458">
        <f t="shared" si="385"/>
        <v>0</v>
      </c>
      <c r="M704" s="458">
        <f t="shared" si="386"/>
        <v>0</v>
      </c>
      <c r="N704" s="459" t="str">
        <f t="shared" si="283"/>
        <v/>
      </c>
      <c r="O704" s="459" t="str">
        <f t="shared" si="284"/>
        <v/>
      </c>
      <c r="P704" s="459" t="str">
        <f t="shared" si="285"/>
        <v/>
      </c>
      <c r="Q704" s="459" t="str">
        <f t="shared" si="286"/>
        <v/>
      </c>
      <c r="R704" s="459" t="str">
        <f t="shared" si="287"/>
        <v/>
      </c>
      <c r="S704" s="459" t="str">
        <f t="shared" si="288"/>
        <v/>
      </c>
      <c r="T704" s="566" t="str">
        <f t="shared" si="387"/>
        <v/>
      </c>
      <c r="U704" s="702"/>
      <c r="V704" s="132"/>
      <c r="W704" s="133"/>
      <c r="X704" s="134"/>
      <c r="Y704" s="135"/>
      <c r="Z704" s="137"/>
      <c r="AA704" s="136"/>
      <c r="AB704" s="566" t="str">
        <f t="shared" si="388"/>
        <v/>
      </c>
      <c r="AC704" s="568" t="str">
        <f t="shared" si="389"/>
        <v/>
      </c>
      <c r="AD704" s="137"/>
      <c r="AE704" s="137"/>
      <c r="AF704" s="138"/>
      <c r="AG704" s="138"/>
      <c r="AH704" s="592" t="str">
        <f t="shared" si="390"/>
        <v/>
      </c>
      <c r="AI704" s="592" t="str">
        <f t="shared" si="391"/>
        <v/>
      </c>
      <c r="AJ704" s="592" t="str">
        <f t="shared" si="392"/>
        <v/>
      </c>
      <c r="AK704" s="460" t="str">
        <f>IF(AU704="","",IF(OR(AZ704=8,AZ704=9),0,IF(OR(AW704=3,AW704=4,AW704=5,AW704=6),IF(LEFT(BF704,1)="1",INDEX(係数_NOX・PM低減,MATCH(AY704,【参考】排出係数!$AI$801:$AI$804,1),1),VLOOKUP(AU704,INDEX((係数_バス貨物_ガソリン,係数_バス貨物_CNG,係数_バス貨物_軽油,係数_バス貨物_メタノール,係数_バス貨物_LPG),MATCH(AY704,【参考】排出係数!$AI$4:$AI$671,1),1,BE704):INDEX((係数_バス貨物_ガソリン,係数_バス貨物_CNG,係数_バス貨物_軽油,係数_バス貨物_メタノール,係数_バス貨物_LPG),MATCH(AY704+1,【参考】排出係数!$AI$4:$AI$671,1)-1,5,BE704),4,FALSE)),IF(AND(BE704=3,LEFT(BF704,1)="1"),0.48,VLOOKUP(AU704,INDEX((係数_乗用_ガソリン,係数_乗用_CNG,係数_乗用_軽油,係数_乗用_メタノール,係数_乗用_LPG),1,1,BE704):INDEX((係数_乗用_ガソリン,係数_乗用_CNG,係数_乗用_軽油,係数_乗用_メタノール,係数_乗用_LPG),125,5,BE704),4,FALSE)))))</f>
        <v/>
      </c>
      <c r="AL704" s="461" t="str">
        <f t="shared" si="393"/>
        <v/>
      </c>
      <c r="AM704" s="460" t="str">
        <f>IF(AU704="","",IF(OR(AZ704=8,AZ704=9),0,IF(OR(AW704=3,AW704=4,AW704=5,AW704=6),IF(LEFT(BH704,1)="1",INDEX(係数_PM低減,MATCH(AY704,【参考】排出係数!$AI$801:$AI$804,1),MATCH(BI704,【参考】排出係数!$AL$798:$AO$798,1)),VLOOKUP(AU704,INDEX((係数_バス貨物_ガソリン,係数_バス貨物_CNG,係数_バス貨物_軽油,係数_バス貨物_メタノール,係数_バス貨物_LPG),MATCH(AY704,【参考】排出係数!$AI$4:$AI$671,1),1,BE704):INDEX((係数_バス貨物_ガソリン,係数_バス貨物_CNG,係数_バス貨物_軽油,係数_バス貨物_メタノール,係数_バス貨物_LPG),MATCH(AY704+1,【参考】排出係数!$AI$4:$AI$671,1)-1,5,BE704),5,FALSE)),IF(AND(BE704=3,LEFT(BF704,1)="1"),0.055,VLOOKUP(AU704,INDEX((係数_乗用_ガソリン,係数_乗用_CNG,係数_乗用_軽油,係数_乗用_メタノール,係数_乗用_LPG),1,1,BE704):INDEX((係数_乗用_ガソリン,係数_乗用_CNG,係数_乗用_軽油,係数_乗用_メタノール,係数_乗用_LPG),125,5,BE704),5,FALSE)))))</f>
        <v/>
      </c>
      <c r="AN704" s="461" t="str">
        <f t="shared" si="394"/>
        <v/>
      </c>
      <c r="AO704" s="462" t="str">
        <f t="shared" si="395"/>
        <v/>
      </c>
      <c r="AP704" s="463" t="str">
        <f t="shared" si="396"/>
        <v/>
      </c>
      <c r="AQ704" s="464"/>
      <c r="AR704" s="619"/>
      <c r="AS704" s="465" t="str">
        <f t="shared" si="398"/>
        <v/>
      </c>
      <c r="AT704" s="465" t="str">
        <f t="shared" si="399"/>
        <v/>
      </c>
      <c r="AU704" s="466" t="str">
        <f t="shared" si="400"/>
        <v/>
      </c>
      <c r="AV704" s="467" t="str">
        <f t="shared" si="401"/>
        <v/>
      </c>
      <c r="AW704" s="467" t="str">
        <f t="shared" si="402"/>
        <v/>
      </c>
      <c r="AX704" s="467" t="str">
        <f t="shared" si="403"/>
        <v/>
      </c>
      <c r="AY704" s="467" t="str">
        <f t="shared" si="404"/>
        <v/>
      </c>
      <c r="AZ704" s="467" t="str">
        <f t="shared" si="405"/>
        <v/>
      </c>
      <c r="BA704" s="468" t="str">
        <f>IF(AS704="","",IF(OR(AU704="",AU704="-"),"－",IF(OR(AZ704=8,AZ704=9),"",IF(OR(AW704=3,AW704=4,AW704=5,AW704=6),VLOOKUP(AU704,INDEX((係数_バス貨物_ガソリン,係数_バス貨物_CNG,係数_バス貨物_軽油,係数_バス貨物_メタノール,係数_バス貨物_LPG),MATCH(AY704,【参考】排出係数!$AI$4:$AI$671,1),1,BE704):INDEX((係数_バス貨物_ガソリン,係数_バス貨物_CNG,係数_バス貨物_軽油,係数_バス貨物_メタノール,係数_バス貨物_LPG),MATCH(AY704+1,【参考】排出係数!$AI$4:$AI$671,1)-1,5,BE704),2,FALSE),IF(OR(AW704=1,AW704=2),VLOOKUP(AU704,INDEX((係数_乗用_ガソリン,係数_乗用_CNG,係数_乗用_軽油,係数_乗用_メタノール,係数_乗用_LPG),1,1,BE704):INDEX((係数_乗用_ガソリン,係数_乗用_CNG,係数_乗用_軽油,係数_乗用_メタノール,係数_乗用_LPG),125,5,BE704),2,FALSE))))))</f>
        <v/>
      </c>
      <c r="BB704" s="468" t="str">
        <f>IF(T704="","",IF(OR(AU704="",AU704="-"),"－",IF(OR(AZ704=8,AZ704=9),"",IF(OR(AW704=3,AW704=4,AW704=5,AW704=6),VLOOKUP(AU704,INDEX((係数_バス貨物_ガソリン,係数_バス貨物_CNG,係数_バス貨物_軽油,係数_バス貨物_メタノール,係数_バス貨物_LPG),MATCH(AY704,【参考】排出係数!$AI$4:$AI$671,1),1,BE704):INDEX((係数_バス貨物_ガソリン,係数_バス貨物_CNG,係数_バス貨物_軽油,係数_バス貨物_メタノール,係数_バス貨物_LPG),MATCH(AY704+1,【参考】排出係数!$AI$4:$AI$671,1)-1,5,BE704),3,FALSE),IF(OR(AW704=1,AW704=2),VLOOKUP(AU704,INDEX((係数_乗用_ガソリン,係数_乗用_CNG,係数_乗用_軽油,係数_乗用_メタノール,係数_乗用_LPG),1,1,BE704):INDEX((係数_乗用_ガソリン,係数_乗用_CNG,係数_乗用_軽油,係数_乗用_メタノール,係数_乗用_LPG),125,5,BE704),3,FALSE))))))</f>
        <v/>
      </c>
      <c r="BC704" s="467" t="str">
        <f t="shared" si="406"/>
        <v/>
      </c>
      <c r="BD704" s="567" t="str">
        <f t="shared" si="407"/>
        <v/>
      </c>
      <c r="BE704" s="467" t="str">
        <f t="shared" si="408"/>
        <v/>
      </c>
      <c r="BF704" s="469" t="str">
        <f t="shared" ca="1" si="409"/>
        <v/>
      </c>
      <c r="BG704" s="469" t="str">
        <f t="shared" ca="1" si="410"/>
        <v/>
      </c>
      <c r="BH704" s="467" t="str">
        <f t="shared" si="411"/>
        <v/>
      </c>
      <c r="BI704" s="467" t="str">
        <f t="shared" ca="1" si="412"/>
        <v/>
      </c>
      <c r="BJ704" s="469" t="str">
        <f t="shared" si="413"/>
        <v/>
      </c>
      <c r="BK704" s="470" t="str">
        <f t="shared" si="397"/>
        <v/>
      </c>
      <c r="BL704" s="775" t="str">
        <f t="shared" si="414"/>
        <v/>
      </c>
      <c r="BM704" s="775" t="str">
        <f t="shared" si="415"/>
        <v/>
      </c>
    </row>
    <row r="705" spans="1:65">
      <c r="A705" s="473">
        <v>649</v>
      </c>
      <c r="B705" s="132"/>
      <c r="C705" s="332"/>
      <c r="D705" s="333"/>
      <c r="E705" s="333"/>
      <c r="F705" s="334"/>
      <c r="G705" s="337"/>
      <c r="H705" s="131"/>
      <c r="I705" s="337"/>
      <c r="J705" s="131"/>
      <c r="K705" s="458" t="str">
        <f t="shared" si="384"/>
        <v/>
      </c>
      <c r="L705" s="458">
        <f t="shared" si="385"/>
        <v>0</v>
      </c>
      <c r="M705" s="458">
        <f t="shared" si="386"/>
        <v>0</v>
      </c>
      <c r="N705" s="459" t="str">
        <f t="shared" si="283"/>
        <v/>
      </c>
      <c r="O705" s="459" t="str">
        <f t="shared" si="284"/>
        <v/>
      </c>
      <c r="P705" s="459" t="str">
        <f t="shared" si="285"/>
        <v/>
      </c>
      <c r="Q705" s="459" t="str">
        <f t="shared" si="286"/>
        <v/>
      </c>
      <c r="R705" s="459" t="str">
        <f t="shared" si="287"/>
        <v/>
      </c>
      <c r="S705" s="459" t="str">
        <f t="shared" si="288"/>
        <v/>
      </c>
      <c r="T705" s="566" t="str">
        <f t="shared" si="387"/>
        <v/>
      </c>
      <c r="U705" s="702"/>
      <c r="V705" s="132"/>
      <c r="W705" s="133"/>
      <c r="X705" s="134"/>
      <c r="Y705" s="135"/>
      <c r="Z705" s="137"/>
      <c r="AA705" s="136"/>
      <c r="AB705" s="566" t="str">
        <f t="shared" si="388"/>
        <v/>
      </c>
      <c r="AC705" s="568" t="str">
        <f t="shared" si="389"/>
        <v/>
      </c>
      <c r="AD705" s="137"/>
      <c r="AE705" s="137"/>
      <c r="AF705" s="138"/>
      <c r="AG705" s="138"/>
      <c r="AH705" s="592" t="str">
        <f t="shared" si="390"/>
        <v/>
      </c>
      <c r="AI705" s="592" t="str">
        <f t="shared" si="391"/>
        <v/>
      </c>
      <c r="AJ705" s="592" t="str">
        <f t="shared" si="392"/>
        <v/>
      </c>
      <c r="AK705" s="460" t="str">
        <f>IF(AU705="","",IF(OR(AZ705=8,AZ705=9),0,IF(OR(AW705=3,AW705=4,AW705=5,AW705=6),IF(LEFT(BF705,1)="1",INDEX(係数_NOX・PM低減,MATCH(AY705,【参考】排出係数!$AI$801:$AI$804,1),1),VLOOKUP(AU705,INDEX((係数_バス貨物_ガソリン,係数_バス貨物_CNG,係数_バス貨物_軽油,係数_バス貨物_メタノール,係数_バス貨物_LPG),MATCH(AY705,【参考】排出係数!$AI$4:$AI$671,1),1,BE705):INDEX((係数_バス貨物_ガソリン,係数_バス貨物_CNG,係数_バス貨物_軽油,係数_バス貨物_メタノール,係数_バス貨物_LPG),MATCH(AY705+1,【参考】排出係数!$AI$4:$AI$671,1)-1,5,BE705),4,FALSE)),IF(AND(BE705=3,LEFT(BF705,1)="1"),0.48,VLOOKUP(AU705,INDEX((係数_乗用_ガソリン,係数_乗用_CNG,係数_乗用_軽油,係数_乗用_メタノール,係数_乗用_LPG),1,1,BE705):INDEX((係数_乗用_ガソリン,係数_乗用_CNG,係数_乗用_軽油,係数_乗用_メタノール,係数_乗用_LPG),125,5,BE705),4,FALSE)))))</f>
        <v/>
      </c>
      <c r="AL705" s="461" t="str">
        <f t="shared" si="393"/>
        <v/>
      </c>
      <c r="AM705" s="460" t="str">
        <f>IF(AU705="","",IF(OR(AZ705=8,AZ705=9),0,IF(OR(AW705=3,AW705=4,AW705=5,AW705=6),IF(LEFT(BH705,1)="1",INDEX(係数_PM低減,MATCH(AY705,【参考】排出係数!$AI$801:$AI$804,1),MATCH(BI705,【参考】排出係数!$AL$798:$AO$798,1)),VLOOKUP(AU705,INDEX((係数_バス貨物_ガソリン,係数_バス貨物_CNG,係数_バス貨物_軽油,係数_バス貨物_メタノール,係数_バス貨物_LPG),MATCH(AY705,【参考】排出係数!$AI$4:$AI$671,1),1,BE705):INDEX((係数_バス貨物_ガソリン,係数_バス貨物_CNG,係数_バス貨物_軽油,係数_バス貨物_メタノール,係数_バス貨物_LPG),MATCH(AY705+1,【参考】排出係数!$AI$4:$AI$671,1)-1,5,BE705),5,FALSE)),IF(AND(BE705=3,LEFT(BF705,1)="1"),0.055,VLOOKUP(AU705,INDEX((係数_乗用_ガソリン,係数_乗用_CNG,係数_乗用_軽油,係数_乗用_メタノール,係数_乗用_LPG),1,1,BE705):INDEX((係数_乗用_ガソリン,係数_乗用_CNG,係数_乗用_軽油,係数_乗用_メタノール,係数_乗用_LPG),125,5,BE705),5,FALSE)))))</f>
        <v/>
      </c>
      <c r="AN705" s="461" t="str">
        <f t="shared" si="394"/>
        <v/>
      </c>
      <c r="AO705" s="462" t="str">
        <f t="shared" si="395"/>
        <v/>
      </c>
      <c r="AP705" s="463" t="str">
        <f t="shared" si="396"/>
        <v/>
      </c>
      <c r="AQ705" s="464"/>
      <c r="AR705" s="619"/>
      <c r="AS705" s="465" t="str">
        <f t="shared" si="398"/>
        <v/>
      </c>
      <c r="AT705" s="465" t="str">
        <f t="shared" si="399"/>
        <v/>
      </c>
      <c r="AU705" s="466" t="str">
        <f t="shared" si="400"/>
        <v/>
      </c>
      <c r="AV705" s="467" t="str">
        <f t="shared" si="401"/>
        <v/>
      </c>
      <c r="AW705" s="467" t="str">
        <f t="shared" si="402"/>
        <v/>
      </c>
      <c r="AX705" s="467" t="str">
        <f t="shared" si="403"/>
        <v/>
      </c>
      <c r="AY705" s="467" t="str">
        <f t="shared" si="404"/>
        <v/>
      </c>
      <c r="AZ705" s="467" t="str">
        <f t="shared" si="405"/>
        <v/>
      </c>
      <c r="BA705" s="468" t="str">
        <f>IF(AS705="","",IF(OR(AU705="",AU705="-"),"－",IF(OR(AZ705=8,AZ705=9),"",IF(OR(AW705=3,AW705=4,AW705=5,AW705=6),VLOOKUP(AU705,INDEX((係数_バス貨物_ガソリン,係数_バス貨物_CNG,係数_バス貨物_軽油,係数_バス貨物_メタノール,係数_バス貨物_LPG),MATCH(AY705,【参考】排出係数!$AI$4:$AI$671,1),1,BE705):INDEX((係数_バス貨物_ガソリン,係数_バス貨物_CNG,係数_バス貨物_軽油,係数_バス貨物_メタノール,係数_バス貨物_LPG),MATCH(AY705+1,【参考】排出係数!$AI$4:$AI$671,1)-1,5,BE705),2,FALSE),IF(OR(AW705=1,AW705=2),VLOOKUP(AU705,INDEX((係数_乗用_ガソリン,係数_乗用_CNG,係数_乗用_軽油,係数_乗用_メタノール,係数_乗用_LPG),1,1,BE705):INDEX((係数_乗用_ガソリン,係数_乗用_CNG,係数_乗用_軽油,係数_乗用_メタノール,係数_乗用_LPG),125,5,BE705),2,FALSE))))))</f>
        <v/>
      </c>
      <c r="BB705" s="468" t="str">
        <f>IF(T705="","",IF(OR(AU705="",AU705="-"),"－",IF(OR(AZ705=8,AZ705=9),"",IF(OR(AW705=3,AW705=4,AW705=5,AW705=6),VLOOKUP(AU705,INDEX((係数_バス貨物_ガソリン,係数_バス貨物_CNG,係数_バス貨物_軽油,係数_バス貨物_メタノール,係数_バス貨物_LPG),MATCH(AY705,【参考】排出係数!$AI$4:$AI$671,1),1,BE705):INDEX((係数_バス貨物_ガソリン,係数_バス貨物_CNG,係数_バス貨物_軽油,係数_バス貨物_メタノール,係数_バス貨物_LPG),MATCH(AY705+1,【参考】排出係数!$AI$4:$AI$671,1)-1,5,BE705),3,FALSE),IF(OR(AW705=1,AW705=2),VLOOKUP(AU705,INDEX((係数_乗用_ガソリン,係数_乗用_CNG,係数_乗用_軽油,係数_乗用_メタノール,係数_乗用_LPG),1,1,BE705):INDEX((係数_乗用_ガソリン,係数_乗用_CNG,係数_乗用_軽油,係数_乗用_メタノール,係数_乗用_LPG),125,5,BE705),3,FALSE))))))</f>
        <v/>
      </c>
      <c r="BC705" s="467" t="str">
        <f t="shared" si="406"/>
        <v/>
      </c>
      <c r="BD705" s="567" t="str">
        <f t="shared" si="407"/>
        <v/>
      </c>
      <c r="BE705" s="467" t="str">
        <f t="shared" si="408"/>
        <v/>
      </c>
      <c r="BF705" s="469" t="str">
        <f t="shared" ca="1" si="409"/>
        <v/>
      </c>
      <c r="BG705" s="469" t="str">
        <f t="shared" ca="1" si="410"/>
        <v/>
      </c>
      <c r="BH705" s="467" t="str">
        <f t="shared" si="411"/>
        <v/>
      </c>
      <c r="BI705" s="467" t="str">
        <f t="shared" ca="1" si="412"/>
        <v/>
      </c>
      <c r="BJ705" s="469" t="str">
        <f t="shared" si="413"/>
        <v/>
      </c>
      <c r="BK705" s="470" t="str">
        <f t="shared" si="397"/>
        <v/>
      </c>
      <c r="BL705" s="775" t="str">
        <f t="shared" si="414"/>
        <v/>
      </c>
      <c r="BM705" s="775" t="str">
        <f t="shared" si="415"/>
        <v/>
      </c>
    </row>
    <row r="706" spans="1:65">
      <c r="A706" s="473">
        <v>650</v>
      </c>
      <c r="B706" s="132"/>
      <c r="C706" s="332"/>
      <c r="D706" s="333"/>
      <c r="E706" s="333"/>
      <c r="F706" s="334"/>
      <c r="G706" s="337"/>
      <c r="H706" s="131"/>
      <c r="I706" s="337"/>
      <c r="J706" s="131"/>
      <c r="K706" s="458" t="str">
        <f t="shared" si="384"/>
        <v/>
      </c>
      <c r="L706" s="458">
        <f t="shared" si="385"/>
        <v>0</v>
      </c>
      <c r="M706" s="458">
        <f t="shared" si="386"/>
        <v>0</v>
      </c>
      <c r="N706" s="459" t="str">
        <f t="shared" si="283"/>
        <v/>
      </c>
      <c r="O706" s="459" t="str">
        <f t="shared" si="284"/>
        <v/>
      </c>
      <c r="P706" s="459" t="str">
        <f t="shared" si="285"/>
        <v/>
      </c>
      <c r="Q706" s="459" t="str">
        <f t="shared" si="286"/>
        <v/>
      </c>
      <c r="R706" s="459" t="str">
        <f t="shared" si="287"/>
        <v/>
      </c>
      <c r="S706" s="459" t="str">
        <f t="shared" si="288"/>
        <v/>
      </c>
      <c r="T706" s="566" t="str">
        <f t="shared" si="387"/>
        <v/>
      </c>
      <c r="U706" s="702"/>
      <c r="V706" s="132"/>
      <c r="W706" s="133"/>
      <c r="X706" s="134"/>
      <c r="Y706" s="135"/>
      <c r="Z706" s="137"/>
      <c r="AA706" s="136"/>
      <c r="AB706" s="566" t="str">
        <f t="shared" si="388"/>
        <v/>
      </c>
      <c r="AC706" s="568" t="str">
        <f t="shared" si="389"/>
        <v/>
      </c>
      <c r="AD706" s="137"/>
      <c r="AE706" s="137"/>
      <c r="AF706" s="138"/>
      <c r="AG706" s="138"/>
      <c r="AH706" s="592" t="str">
        <f t="shared" si="390"/>
        <v/>
      </c>
      <c r="AI706" s="592" t="str">
        <f t="shared" si="391"/>
        <v/>
      </c>
      <c r="AJ706" s="592" t="str">
        <f t="shared" si="392"/>
        <v/>
      </c>
      <c r="AK706" s="460" t="str">
        <f>IF(AU706="","",IF(OR(AZ706=8,AZ706=9),0,IF(OR(AW706=3,AW706=4,AW706=5,AW706=6),IF(LEFT(BF706,1)="1",INDEX(係数_NOX・PM低減,MATCH(AY706,【参考】排出係数!$AI$801:$AI$804,1),1),VLOOKUP(AU706,INDEX((係数_バス貨物_ガソリン,係数_バス貨物_CNG,係数_バス貨物_軽油,係数_バス貨物_メタノール,係数_バス貨物_LPG),MATCH(AY706,【参考】排出係数!$AI$4:$AI$671,1),1,BE706):INDEX((係数_バス貨物_ガソリン,係数_バス貨物_CNG,係数_バス貨物_軽油,係数_バス貨物_メタノール,係数_バス貨物_LPG),MATCH(AY706+1,【参考】排出係数!$AI$4:$AI$671,1)-1,5,BE706),4,FALSE)),IF(AND(BE706=3,LEFT(BF706,1)="1"),0.48,VLOOKUP(AU706,INDEX((係数_乗用_ガソリン,係数_乗用_CNG,係数_乗用_軽油,係数_乗用_メタノール,係数_乗用_LPG),1,1,BE706):INDEX((係数_乗用_ガソリン,係数_乗用_CNG,係数_乗用_軽油,係数_乗用_メタノール,係数_乗用_LPG),125,5,BE706),4,FALSE)))))</f>
        <v/>
      </c>
      <c r="AL706" s="461" t="str">
        <f t="shared" si="393"/>
        <v/>
      </c>
      <c r="AM706" s="460" t="str">
        <f>IF(AU706="","",IF(OR(AZ706=8,AZ706=9),0,IF(OR(AW706=3,AW706=4,AW706=5,AW706=6),IF(LEFT(BH706,1)="1",INDEX(係数_PM低減,MATCH(AY706,【参考】排出係数!$AI$801:$AI$804,1),MATCH(BI706,【参考】排出係数!$AL$798:$AO$798,1)),VLOOKUP(AU706,INDEX((係数_バス貨物_ガソリン,係数_バス貨物_CNG,係数_バス貨物_軽油,係数_バス貨物_メタノール,係数_バス貨物_LPG),MATCH(AY706,【参考】排出係数!$AI$4:$AI$671,1),1,BE706):INDEX((係数_バス貨物_ガソリン,係数_バス貨物_CNG,係数_バス貨物_軽油,係数_バス貨物_メタノール,係数_バス貨物_LPG),MATCH(AY706+1,【参考】排出係数!$AI$4:$AI$671,1)-1,5,BE706),5,FALSE)),IF(AND(BE706=3,LEFT(BF706,1)="1"),0.055,VLOOKUP(AU706,INDEX((係数_乗用_ガソリン,係数_乗用_CNG,係数_乗用_軽油,係数_乗用_メタノール,係数_乗用_LPG),1,1,BE706):INDEX((係数_乗用_ガソリン,係数_乗用_CNG,係数_乗用_軽油,係数_乗用_メタノール,係数_乗用_LPG),125,5,BE706),5,FALSE)))))</f>
        <v/>
      </c>
      <c r="AN706" s="461" t="str">
        <f t="shared" si="394"/>
        <v/>
      </c>
      <c r="AO706" s="462" t="str">
        <f t="shared" si="395"/>
        <v/>
      </c>
      <c r="AP706" s="463" t="str">
        <f t="shared" si="396"/>
        <v/>
      </c>
      <c r="AQ706" s="464"/>
      <c r="AR706" s="619"/>
      <c r="AS706" s="465" t="str">
        <f t="shared" si="398"/>
        <v/>
      </c>
      <c r="AT706" s="465" t="str">
        <f t="shared" si="399"/>
        <v/>
      </c>
      <c r="AU706" s="466" t="str">
        <f t="shared" si="400"/>
        <v/>
      </c>
      <c r="AV706" s="467" t="str">
        <f t="shared" si="401"/>
        <v/>
      </c>
      <c r="AW706" s="467" t="str">
        <f t="shared" si="402"/>
        <v/>
      </c>
      <c r="AX706" s="467" t="str">
        <f t="shared" si="403"/>
        <v/>
      </c>
      <c r="AY706" s="467" t="str">
        <f t="shared" si="404"/>
        <v/>
      </c>
      <c r="AZ706" s="467" t="str">
        <f t="shared" si="405"/>
        <v/>
      </c>
      <c r="BA706" s="468" t="str">
        <f>IF(AS706="","",IF(OR(AU706="",AU706="-"),"－",IF(OR(AZ706=8,AZ706=9),"",IF(OR(AW706=3,AW706=4,AW706=5,AW706=6),VLOOKUP(AU706,INDEX((係数_バス貨物_ガソリン,係数_バス貨物_CNG,係数_バス貨物_軽油,係数_バス貨物_メタノール,係数_バス貨物_LPG),MATCH(AY706,【参考】排出係数!$AI$4:$AI$671,1),1,BE706):INDEX((係数_バス貨物_ガソリン,係数_バス貨物_CNG,係数_バス貨物_軽油,係数_バス貨物_メタノール,係数_バス貨物_LPG),MATCH(AY706+1,【参考】排出係数!$AI$4:$AI$671,1)-1,5,BE706),2,FALSE),IF(OR(AW706=1,AW706=2),VLOOKUP(AU706,INDEX((係数_乗用_ガソリン,係数_乗用_CNG,係数_乗用_軽油,係数_乗用_メタノール,係数_乗用_LPG),1,1,BE706):INDEX((係数_乗用_ガソリン,係数_乗用_CNG,係数_乗用_軽油,係数_乗用_メタノール,係数_乗用_LPG),125,5,BE706),2,FALSE))))))</f>
        <v/>
      </c>
      <c r="BB706" s="468" t="str">
        <f>IF(T706="","",IF(OR(AU706="",AU706="-"),"－",IF(OR(AZ706=8,AZ706=9),"",IF(OR(AW706=3,AW706=4,AW706=5,AW706=6),VLOOKUP(AU706,INDEX((係数_バス貨物_ガソリン,係数_バス貨物_CNG,係数_バス貨物_軽油,係数_バス貨物_メタノール,係数_バス貨物_LPG),MATCH(AY706,【参考】排出係数!$AI$4:$AI$671,1),1,BE706):INDEX((係数_バス貨物_ガソリン,係数_バス貨物_CNG,係数_バス貨物_軽油,係数_バス貨物_メタノール,係数_バス貨物_LPG),MATCH(AY706+1,【参考】排出係数!$AI$4:$AI$671,1)-1,5,BE706),3,FALSE),IF(OR(AW706=1,AW706=2),VLOOKUP(AU706,INDEX((係数_乗用_ガソリン,係数_乗用_CNG,係数_乗用_軽油,係数_乗用_メタノール,係数_乗用_LPG),1,1,BE706):INDEX((係数_乗用_ガソリン,係数_乗用_CNG,係数_乗用_軽油,係数_乗用_メタノール,係数_乗用_LPG),125,5,BE706),3,FALSE))))))</f>
        <v/>
      </c>
      <c r="BC706" s="467" t="str">
        <f t="shared" si="406"/>
        <v/>
      </c>
      <c r="BD706" s="567" t="str">
        <f t="shared" si="407"/>
        <v/>
      </c>
      <c r="BE706" s="467" t="str">
        <f t="shared" si="408"/>
        <v/>
      </c>
      <c r="BF706" s="469" t="str">
        <f t="shared" ca="1" si="409"/>
        <v/>
      </c>
      <c r="BG706" s="469" t="str">
        <f t="shared" ca="1" si="410"/>
        <v/>
      </c>
      <c r="BH706" s="467" t="str">
        <f t="shared" si="411"/>
        <v/>
      </c>
      <c r="BI706" s="467" t="str">
        <f t="shared" ca="1" si="412"/>
        <v/>
      </c>
      <c r="BJ706" s="469" t="str">
        <f t="shared" si="413"/>
        <v/>
      </c>
      <c r="BK706" s="470" t="str">
        <f t="shared" si="397"/>
        <v/>
      </c>
      <c r="BL706" s="775" t="str">
        <f t="shared" si="414"/>
        <v/>
      </c>
      <c r="BM706" s="775" t="str">
        <f t="shared" si="415"/>
        <v/>
      </c>
    </row>
    <row r="707" spans="1:65">
      <c r="A707" s="473">
        <v>651</v>
      </c>
      <c r="B707" s="132"/>
      <c r="C707" s="332"/>
      <c r="D707" s="333"/>
      <c r="E707" s="333"/>
      <c r="F707" s="334"/>
      <c r="G707" s="337"/>
      <c r="H707" s="131"/>
      <c r="I707" s="337"/>
      <c r="J707" s="131"/>
      <c r="K707" s="458" t="str">
        <f t="shared" si="384"/>
        <v/>
      </c>
      <c r="L707" s="458">
        <f t="shared" si="385"/>
        <v>0</v>
      </c>
      <c r="M707" s="458">
        <f t="shared" si="386"/>
        <v>0</v>
      </c>
      <c r="N707" s="459" t="str">
        <f t="shared" si="283"/>
        <v/>
      </c>
      <c r="O707" s="459" t="str">
        <f t="shared" si="284"/>
        <v/>
      </c>
      <c r="P707" s="459" t="str">
        <f t="shared" si="285"/>
        <v/>
      </c>
      <c r="Q707" s="459" t="str">
        <f t="shared" si="286"/>
        <v/>
      </c>
      <c r="R707" s="459" t="str">
        <f t="shared" si="287"/>
        <v/>
      </c>
      <c r="S707" s="459" t="str">
        <f t="shared" si="288"/>
        <v/>
      </c>
      <c r="T707" s="566" t="str">
        <f t="shared" si="387"/>
        <v/>
      </c>
      <c r="U707" s="702"/>
      <c r="V707" s="132"/>
      <c r="W707" s="133"/>
      <c r="X707" s="134"/>
      <c r="Y707" s="135"/>
      <c r="Z707" s="137"/>
      <c r="AA707" s="136"/>
      <c r="AB707" s="566" t="str">
        <f t="shared" si="388"/>
        <v/>
      </c>
      <c r="AC707" s="568" t="str">
        <f t="shared" si="389"/>
        <v/>
      </c>
      <c r="AD707" s="137"/>
      <c r="AE707" s="137"/>
      <c r="AF707" s="138"/>
      <c r="AG707" s="138"/>
      <c r="AH707" s="592" t="str">
        <f t="shared" si="390"/>
        <v/>
      </c>
      <c r="AI707" s="592" t="str">
        <f t="shared" si="391"/>
        <v/>
      </c>
      <c r="AJ707" s="592" t="str">
        <f t="shared" si="392"/>
        <v/>
      </c>
      <c r="AK707" s="460" t="str">
        <f>IF(AU707="","",IF(OR(AZ707=8,AZ707=9),0,IF(OR(AW707=3,AW707=4,AW707=5,AW707=6),IF(LEFT(BF707,1)="1",INDEX(係数_NOX・PM低減,MATCH(AY707,【参考】排出係数!$AI$801:$AI$804,1),1),VLOOKUP(AU707,INDEX((係数_バス貨物_ガソリン,係数_バス貨物_CNG,係数_バス貨物_軽油,係数_バス貨物_メタノール,係数_バス貨物_LPG),MATCH(AY707,【参考】排出係数!$AI$4:$AI$671,1),1,BE707):INDEX((係数_バス貨物_ガソリン,係数_バス貨物_CNG,係数_バス貨物_軽油,係数_バス貨物_メタノール,係数_バス貨物_LPG),MATCH(AY707+1,【参考】排出係数!$AI$4:$AI$671,1)-1,5,BE707),4,FALSE)),IF(AND(BE707=3,LEFT(BF707,1)="1"),0.48,VLOOKUP(AU707,INDEX((係数_乗用_ガソリン,係数_乗用_CNG,係数_乗用_軽油,係数_乗用_メタノール,係数_乗用_LPG),1,1,BE707):INDEX((係数_乗用_ガソリン,係数_乗用_CNG,係数_乗用_軽油,係数_乗用_メタノール,係数_乗用_LPG),125,5,BE707),4,FALSE)))))</f>
        <v/>
      </c>
      <c r="AL707" s="461" t="str">
        <f t="shared" si="393"/>
        <v/>
      </c>
      <c r="AM707" s="460" t="str">
        <f>IF(AU707="","",IF(OR(AZ707=8,AZ707=9),0,IF(OR(AW707=3,AW707=4,AW707=5,AW707=6),IF(LEFT(BH707,1)="1",INDEX(係数_PM低減,MATCH(AY707,【参考】排出係数!$AI$801:$AI$804,1),MATCH(BI707,【参考】排出係数!$AL$798:$AO$798,1)),VLOOKUP(AU707,INDEX((係数_バス貨物_ガソリン,係数_バス貨物_CNG,係数_バス貨物_軽油,係数_バス貨物_メタノール,係数_バス貨物_LPG),MATCH(AY707,【参考】排出係数!$AI$4:$AI$671,1),1,BE707):INDEX((係数_バス貨物_ガソリン,係数_バス貨物_CNG,係数_バス貨物_軽油,係数_バス貨物_メタノール,係数_バス貨物_LPG),MATCH(AY707+1,【参考】排出係数!$AI$4:$AI$671,1)-1,5,BE707),5,FALSE)),IF(AND(BE707=3,LEFT(BF707,1)="1"),0.055,VLOOKUP(AU707,INDEX((係数_乗用_ガソリン,係数_乗用_CNG,係数_乗用_軽油,係数_乗用_メタノール,係数_乗用_LPG),1,1,BE707):INDEX((係数_乗用_ガソリン,係数_乗用_CNG,係数_乗用_軽油,係数_乗用_メタノール,係数_乗用_LPG),125,5,BE707),5,FALSE)))))</f>
        <v/>
      </c>
      <c r="AN707" s="461" t="str">
        <f t="shared" si="394"/>
        <v/>
      </c>
      <c r="AO707" s="462" t="str">
        <f t="shared" si="395"/>
        <v/>
      </c>
      <c r="AP707" s="463" t="str">
        <f t="shared" si="396"/>
        <v/>
      </c>
      <c r="AQ707" s="464"/>
      <c r="AR707" s="619"/>
      <c r="AS707" s="465" t="str">
        <f t="shared" si="398"/>
        <v/>
      </c>
      <c r="AT707" s="465" t="str">
        <f t="shared" si="399"/>
        <v/>
      </c>
      <c r="AU707" s="466" t="str">
        <f t="shared" si="400"/>
        <v/>
      </c>
      <c r="AV707" s="467" t="str">
        <f t="shared" si="401"/>
        <v/>
      </c>
      <c r="AW707" s="467" t="str">
        <f t="shared" si="402"/>
        <v/>
      </c>
      <c r="AX707" s="467" t="str">
        <f t="shared" si="403"/>
        <v/>
      </c>
      <c r="AY707" s="467" t="str">
        <f t="shared" si="404"/>
        <v/>
      </c>
      <c r="AZ707" s="467" t="str">
        <f t="shared" si="405"/>
        <v/>
      </c>
      <c r="BA707" s="468" t="str">
        <f>IF(AS707="","",IF(OR(AU707="",AU707="-"),"－",IF(OR(AZ707=8,AZ707=9),"",IF(OR(AW707=3,AW707=4,AW707=5,AW707=6),VLOOKUP(AU707,INDEX((係数_バス貨物_ガソリン,係数_バス貨物_CNG,係数_バス貨物_軽油,係数_バス貨物_メタノール,係数_バス貨物_LPG),MATCH(AY707,【参考】排出係数!$AI$4:$AI$671,1),1,BE707):INDEX((係数_バス貨物_ガソリン,係数_バス貨物_CNG,係数_バス貨物_軽油,係数_バス貨物_メタノール,係数_バス貨物_LPG),MATCH(AY707+1,【参考】排出係数!$AI$4:$AI$671,1)-1,5,BE707),2,FALSE),IF(OR(AW707=1,AW707=2),VLOOKUP(AU707,INDEX((係数_乗用_ガソリン,係数_乗用_CNG,係数_乗用_軽油,係数_乗用_メタノール,係数_乗用_LPG),1,1,BE707):INDEX((係数_乗用_ガソリン,係数_乗用_CNG,係数_乗用_軽油,係数_乗用_メタノール,係数_乗用_LPG),125,5,BE707),2,FALSE))))))</f>
        <v/>
      </c>
      <c r="BB707" s="468" t="str">
        <f>IF(T707="","",IF(OR(AU707="",AU707="-"),"－",IF(OR(AZ707=8,AZ707=9),"",IF(OR(AW707=3,AW707=4,AW707=5,AW707=6),VLOOKUP(AU707,INDEX((係数_バス貨物_ガソリン,係数_バス貨物_CNG,係数_バス貨物_軽油,係数_バス貨物_メタノール,係数_バス貨物_LPG),MATCH(AY707,【参考】排出係数!$AI$4:$AI$671,1),1,BE707):INDEX((係数_バス貨物_ガソリン,係数_バス貨物_CNG,係数_バス貨物_軽油,係数_バス貨物_メタノール,係数_バス貨物_LPG),MATCH(AY707+1,【参考】排出係数!$AI$4:$AI$671,1)-1,5,BE707),3,FALSE),IF(OR(AW707=1,AW707=2),VLOOKUP(AU707,INDEX((係数_乗用_ガソリン,係数_乗用_CNG,係数_乗用_軽油,係数_乗用_メタノール,係数_乗用_LPG),1,1,BE707):INDEX((係数_乗用_ガソリン,係数_乗用_CNG,係数_乗用_軽油,係数_乗用_メタノール,係数_乗用_LPG),125,5,BE707),3,FALSE))))))</f>
        <v/>
      </c>
      <c r="BC707" s="467" t="str">
        <f t="shared" si="406"/>
        <v/>
      </c>
      <c r="BD707" s="567" t="str">
        <f t="shared" si="407"/>
        <v/>
      </c>
      <c r="BE707" s="467" t="str">
        <f t="shared" si="408"/>
        <v/>
      </c>
      <c r="BF707" s="469" t="str">
        <f t="shared" ca="1" si="409"/>
        <v/>
      </c>
      <c r="BG707" s="469" t="str">
        <f t="shared" ca="1" si="410"/>
        <v/>
      </c>
      <c r="BH707" s="467" t="str">
        <f t="shared" si="411"/>
        <v/>
      </c>
      <c r="BI707" s="467" t="str">
        <f t="shared" ca="1" si="412"/>
        <v/>
      </c>
      <c r="BJ707" s="469" t="str">
        <f t="shared" si="413"/>
        <v/>
      </c>
      <c r="BK707" s="470" t="str">
        <f t="shared" si="397"/>
        <v/>
      </c>
      <c r="BL707" s="775" t="str">
        <f t="shared" si="414"/>
        <v/>
      </c>
      <c r="BM707" s="775" t="str">
        <f t="shared" si="415"/>
        <v/>
      </c>
    </row>
    <row r="708" spans="1:65">
      <c r="A708" s="473">
        <v>652</v>
      </c>
      <c r="B708" s="132"/>
      <c r="C708" s="332"/>
      <c r="D708" s="333"/>
      <c r="E708" s="333"/>
      <c r="F708" s="334"/>
      <c r="G708" s="337"/>
      <c r="H708" s="131"/>
      <c r="I708" s="337"/>
      <c r="J708" s="131"/>
      <c r="K708" s="458" t="str">
        <f t="shared" si="384"/>
        <v/>
      </c>
      <c r="L708" s="458">
        <f t="shared" si="385"/>
        <v>0</v>
      </c>
      <c r="M708" s="458">
        <f t="shared" si="386"/>
        <v>0</v>
      </c>
      <c r="N708" s="459" t="str">
        <f t="shared" si="283"/>
        <v/>
      </c>
      <c r="O708" s="459" t="str">
        <f t="shared" si="284"/>
        <v/>
      </c>
      <c r="P708" s="459" t="str">
        <f t="shared" si="285"/>
        <v/>
      </c>
      <c r="Q708" s="459" t="str">
        <f t="shared" si="286"/>
        <v/>
      </c>
      <c r="R708" s="459" t="str">
        <f t="shared" si="287"/>
        <v/>
      </c>
      <c r="S708" s="459" t="str">
        <f t="shared" si="288"/>
        <v/>
      </c>
      <c r="T708" s="566" t="str">
        <f t="shared" si="387"/>
        <v/>
      </c>
      <c r="U708" s="702"/>
      <c r="V708" s="132"/>
      <c r="W708" s="133"/>
      <c r="X708" s="134"/>
      <c r="Y708" s="135"/>
      <c r="Z708" s="137"/>
      <c r="AA708" s="136"/>
      <c r="AB708" s="566" t="str">
        <f t="shared" si="388"/>
        <v/>
      </c>
      <c r="AC708" s="568" t="str">
        <f t="shared" si="389"/>
        <v/>
      </c>
      <c r="AD708" s="137"/>
      <c r="AE708" s="137"/>
      <c r="AF708" s="138"/>
      <c r="AG708" s="138"/>
      <c r="AH708" s="592" t="str">
        <f t="shared" si="390"/>
        <v/>
      </c>
      <c r="AI708" s="592" t="str">
        <f t="shared" si="391"/>
        <v/>
      </c>
      <c r="AJ708" s="592" t="str">
        <f t="shared" si="392"/>
        <v/>
      </c>
      <c r="AK708" s="460" t="str">
        <f>IF(AU708="","",IF(OR(AZ708=8,AZ708=9),0,IF(OR(AW708=3,AW708=4,AW708=5,AW708=6),IF(LEFT(BF708,1)="1",INDEX(係数_NOX・PM低減,MATCH(AY708,【参考】排出係数!$AI$801:$AI$804,1),1),VLOOKUP(AU708,INDEX((係数_バス貨物_ガソリン,係数_バス貨物_CNG,係数_バス貨物_軽油,係数_バス貨物_メタノール,係数_バス貨物_LPG),MATCH(AY708,【参考】排出係数!$AI$4:$AI$671,1),1,BE708):INDEX((係数_バス貨物_ガソリン,係数_バス貨物_CNG,係数_バス貨物_軽油,係数_バス貨物_メタノール,係数_バス貨物_LPG),MATCH(AY708+1,【参考】排出係数!$AI$4:$AI$671,1)-1,5,BE708),4,FALSE)),IF(AND(BE708=3,LEFT(BF708,1)="1"),0.48,VLOOKUP(AU708,INDEX((係数_乗用_ガソリン,係数_乗用_CNG,係数_乗用_軽油,係数_乗用_メタノール,係数_乗用_LPG),1,1,BE708):INDEX((係数_乗用_ガソリン,係数_乗用_CNG,係数_乗用_軽油,係数_乗用_メタノール,係数_乗用_LPG),125,5,BE708),4,FALSE)))))</f>
        <v/>
      </c>
      <c r="AL708" s="461" t="str">
        <f t="shared" si="393"/>
        <v/>
      </c>
      <c r="AM708" s="460" t="str">
        <f>IF(AU708="","",IF(OR(AZ708=8,AZ708=9),0,IF(OR(AW708=3,AW708=4,AW708=5,AW708=6),IF(LEFT(BH708,1)="1",INDEX(係数_PM低減,MATCH(AY708,【参考】排出係数!$AI$801:$AI$804,1),MATCH(BI708,【参考】排出係数!$AL$798:$AO$798,1)),VLOOKUP(AU708,INDEX((係数_バス貨物_ガソリン,係数_バス貨物_CNG,係数_バス貨物_軽油,係数_バス貨物_メタノール,係数_バス貨物_LPG),MATCH(AY708,【参考】排出係数!$AI$4:$AI$671,1),1,BE708):INDEX((係数_バス貨物_ガソリン,係数_バス貨物_CNG,係数_バス貨物_軽油,係数_バス貨物_メタノール,係数_バス貨物_LPG),MATCH(AY708+1,【参考】排出係数!$AI$4:$AI$671,1)-1,5,BE708),5,FALSE)),IF(AND(BE708=3,LEFT(BF708,1)="1"),0.055,VLOOKUP(AU708,INDEX((係数_乗用_ガソリン,係数_乗用_CNG,係数_乗用_軽油,係数_乗用_メタノール,係数_乗用_LPG),1,1,BE708):INDEX((係数_乗用_ガソリン,係数_乗用_CNG,係数_乗用_軽油,係数_乗用_メタノール,係数_乗用_LPG),125,5,BE708),5,FALSE)))))</f>
        <v/>
      </c>
      <c r="AN708" s="461" t="str">
        <f t="shared" si="394"/>
        <v/>
      </c>
      <c r="AO708" s="462" t="str">
        <f t="shared" si="395"/>
        <v/>
      </c>
      <c r="AP708" s="463" t="str">
        <f t="shared" si="396"/>
        <v/>
      </c>
      <c r="AQ708" s="464"/>
      <c r="AR708" s="619"/>
      <c r="AS708" s="465" t="str">
        <f t="shared" si="398"/>
        <v/>
      </c>
      <c r="AT708" s="465" t="str">
        <f t="shared" si="399"/>
        <v/>
      </c>
      <c r="AU708" s="466" t="str">
        <f t="shared" si="400"/>
        <v/>
      </c>
      <c r="AV708" s="467" t="str">
        <f t="shared" si="401"/>
        <v/>
      </c>
      <c r="AW708" s="467" t="str">
        <f t="shared" si="402"/>
        <v/>
      </c>
      <c r="AX708" s="467" t="str">
        <f t="shared" si="403"/>
        <v/>
      </c>
      <c r="AY708" s="467" t="str">
        <f t="shared" si="404"/>
        <v/>
      </c>
      <c r="AZ708" s="467" t="str">
        <f t="shared" si="405"/>
        <v/>
      </c>
      <c r="BA708" s="468" t="str">
        <f>IF(AS708="","",IF(OR(AU708="",AU708="-"),"－",IF(OR(AZ708=8,AZ708=9),"",IF(OR(AW708=3,AW708=4,AW708=5,AW708=6),VLOOKUP(AU708,INDEX((係数_バス貨物_ガソリン,係数_バス貨物_CNG,係数_バス貨物_軽油,係数_バス貨物_メタノール,係数_バス貨物_LPG),MATCH(AY708,【参考】排出係数!$AI$4:$AI$671,1),1,BE708):INDEX((係数_バス貨物_ガソリン,係数_バス貨物_CNG,係数_バス貨物_軽油,係数_バス貨物_メタノール,係数_バス貨物_LPG),MATCH(AY708+1,【参考】排出係数!$AI$4:$AI$671,1)-1,5,BE708),2,FALSE),IF(OR(AW708=1,AW708=2),VLOOKUP(AU708,INDEX((係数_乗用_ガソリン,係数_乗用_CNG,係数_乗用_軽油,係数_乗用_メタノール,係数_乗用_LPG),1,1,BE708):INDEX((係数_乗用_ガソリン,係数_乗用_CNG,係数_乗用_軽油,係数_乗用_メタノール,係数_乗用_LPG),125,5,BE708),2,FALSE))))))</f>
        <v/>
      </c>
      <c r="BB708" s="468" t="str">
        <f>IF(T708="","",IF(OR(AU708="",AU708="-"),"－",IF(OR(AZ708=8,AZ708=9),"",IF(OR(AW708=3,AW708=4,AW708=5,AW708=6),VLOOKUP(AU708,INDEX((係数_バス貨物_ガソリン,係数_バス貨物_CNG,係数_バス貨物_軽油,係数_バス貨物_メタノール,係数_バス貨物_LPG),MATCH(AY708,【参考】排出係数!$AI$4:$AI$671,1),1,BE708):INDEX((係数_バス貨物_ガソリン,係数_バス貨物_CNG,係数_バス貨物_軽油,係数_バス貨物_メタノール,係数_バス貨物_LPG),MATCH(AY708+1,【参考】排出係数!$AI$4:$AI$671,1)-1,5,BE708),3,FALSE),IF(OR(AW708=1,AW708=2),VLOOKUP(AU708,INDEX((係数_乗用_ガソリン,係数_乗用_CNG,係数_乗用_軽油,係数_乗用_メタノール,係数_乗用_LPG),1,1,BE708):INDEX((係数_乗用_ガソリン,係数_乗用_CNG,係数_乗用_軽油,係数_乗用_メタノール,係数_乗用_LPG),125,5,BE708),3,FALSE))))))</f>
        <v/>
      </c>
      <c r="BC708" s="467" t="str">
        <f t="shared" si="406"/>
        <v/>
      </c>
      <c r="BD708" s="567" t="str">
        <f t="shared" si="407"/>
        <v/>
      </c>
      <c r="BE708" s="467" t="str">
        <f t="shared" si="408"/>
        <v/>
      </c>
      <c r="BF708" s="469" t="str">
        <f t="shared" ca="1" si="409"/>
        <v/>
      </c>
      <c r="BG708" s="469" t="str">
        <f t="shared" ca="1" si="410"/>
        <v/>
      </c>
      <c r="BH708" s="467" t="str">
        <f t="shared" si="411"/>
        <v/>
      </c>
      <c r="BI708" s="467" t="str">
        <f t="shared" ca="1" si="412"/>
        <v/>
      </c>
      <c r="BJ708" s="469" t="str">
        <f t="shared" si="413"/>
        <v/>
      </c>
      <c r="BK708" s="470" t="str">
        <f t="shared" si="397"/>
        <v/>
      </c>
      <c r="BL708" s="775" t="str">
        <f t="shared" si="414"/>
        <v/>
      </c>
      <c r="BM708" s="775" t="str">
        <f t="shared" si="415"/>
        <v/>
      </c>
    </row>
    <row r="709" spans="1:65">
      <c r="A709" s="473">
        <v>653</v>
      </c>
      <c r="B709" s="132"/>
      <c r="C709" s="332"/>
      <c r="D709" s="333"/>
      <c r="E709" s="333"/>
      <c r="F709" s="334"/>
      <c r="G709" s="337"/>
      <c r="H709" s="131"/>
      <c r="I709" s="337"/>
      <c r="J709" s="131"/>
      <c r="K709" s="458" t="str">
        <f t="shared" si="384"/>
        <v/>
      </c>
      <c r="L709" s="458">
        <f t="shared" si="385"/>
        <v>0</v>
      </c>
      <c r="M709" s="458">
        <f t="shared" si="386"/>
        <v>0</v>
      </c>
      <c r="N709" s="459" t="str">
        <f t="shared" si="283"/>
        <v/>
      </c>
      <c r="O709" s="459" t="str">
        <f t="shared" si="284"/>
        <v/>
      </c>
      <c r="P709" s="459" t="str">
        <f t="shared" si="285"/>
        <v/>
      </c>
      <c r="Q709" s="459" t="str">
        <f t="shared" si="286"/>
        <v/>
      </c>
      <c r="R709" s="459" t="str">
        <f t="shared" si="287"/>
        <v/>
      </c>
      <c r="S709" s="459" t="str">
        <f t="shared" si="288"/>
        <v/>
      </c>
      <c r="T709" s="566" t="str">
        <f t="shared" si="387"/>
        <v/>
      </c>
      <c r="U709" s="702"/>
      <c r="V709" s="132"/>
      <c r="W709" s="133"/>
      <c r="X709" s="134"/>
      <c r="Y709" s="135"/>
      <c r="Z709" s="137"/>
      <c r="AA709" s="136"/>
      <c r="AB709" s="566" t="str">
        <f t="shared" si="388"/>
        <v/>
      </c>
      <c r="AC709" s="568" t="str">
        <f t="shared" si="389"/>
        <v/>
      </c>
      <c r="AD709" s="137"/>
      <c r="AE709" s="137"/>
      <c r="AF709" s="138"/>
      <c r="AG709" s="138"/>
      <c r="AH709" s="592" t="str">
        <f t="shared" si="390"/>
        <v/>
      </c>
      <c r="AI709" s="592" t="str">
        <f t="shared" si="391"/>
        <v/>
      </c>
      <c r="AJ709" s="592" t="str">
        <f t="shared" si="392"/>
        <v/>
      </c>
      <c r="AK709" s="460" t="str">
        <f>IF(AU709="","",IF(OR(AZ709=8,AZ709=9),0,IF(OR(AW709=3,AW709=4,AW709=5,AW709=6),IF(LEFT(BF709,1)="1",INDEX(係数_NOX・PM低減,MATCH(AY709,【参考】排出係数!$AI$801:$AI$804,1),1),VLOOKUP(AU709,INDEX((係数_バス貨物_ガソリン,係数_バス貨物_CNG,係数_バス貨物_軽油,係数_バス貨物_メタノール,係数_バス貨物_LPG),MATCH(AY709,【参考】排出係数!$AI$4:$AI$671,1),1,BE709):INDEX((係数_バス貨物_ガソリン,係数_バス貨物_CNG,係数_バス貨物_軽油,係数_バス貨物_メタノール,係数_バス貨物_LPG),MATCH(AY709+1,【参考】排出係数!$AI$4:$AI$671,1)-1,5,BE709),4,FALSE)),IF(AND(BE709=3,LEFT(BF709,1)="1"),0.48,VLOOKUP(AU709,INDEX((係数_乗用_ガソリン,係数_乗用_CNG,係数_乗用_軽油,係数_乗用_メタノール,係数_乗用_LPG),1,1,BE709):INDEX((係数_乗用_ガソリン,係数_乗用_CNG,係数_乗用_軽油,係数_乗用_メタノール,係数_乗用_LPG),125,5,BE709),4,FALSE)))))</f>
        <v/>
      </c>
      <c r="AL709" s="461" t="str">
        <f t="shared" si="393"/>
        <v/>
      </c>
      <c r="AM709" s="460" t="str">
        <f>IF(AU709="","",IF(OR(AZ709=8,AZ709=9),0,IF(OR(AW709=3,AW709=4,AW709=5,AW709=6),IF(LEFT(BH709,1)="1",INDEX(係数_PM低減,MATCH(AY709,【参考】排出係数!$AI$801:$AI$804,1),MATCH(BI709,【参考】排出係数!$AL$798:$AO$798,1)),VLOOKUP(AU709,INDEX((係数_バス貨物_ガソリン,係数_バス貨物_CNG,係数_バス貨物_軽油,係数_バス貨物_メタノール,係数_バス貨物_LPG),MATCH(AY709,【参考】排出係数!$AI$4:$AI$671,1),1,BE709):INDEX((係数_バス貨物_ガソリン,係数_バス貨物_CNG,係数_バス貨物_軽油,係数_バス貨物_メタノール,係数_バス貨物_LPG),MATCH(AY709+1,【参考】排出係数!$AI$4:$AI$671,1)-1,5,BE709),5,FALSE)),IF(AND(BE709=3,LEFT(BF709,1)="1"),0.055,VLOOKUP(AU709,INDEX((係数_乗用_ガソリン,係数_乗用_CNG,係数_乗用_軽油,係数_乗用_メタノール,係数_乗用_LPG),1,1,BE709):INDEX((係数_乗用_ガソリン,係数_乗用_CNG,係数_乗用_軽油,係数_乗用_メタノール,係数_乗用_LPG),125,5,BE709),5,FALSE)))))</f>
        <v/>
      </c>
      <c r="AN709" s="461" t="str">
        <f t="shared" si="394"/>
        <v/>
      </c>
      <c r="AO709" s="462" t="str">
        <f t="shared" si="395"/>
        <v/>
      </c>
      <c r="AP709" s="463" t="str">
        <f t="shared" si="396"/>
        <v/>
      </c>
      <c r="AQ709" s="464"/>
      <c r="AR709" s="619"/>
      <c r="AS709" s="465" t="str">
        <f t="shared" si="398"/>
        <v/>
      </c>
      <c r="AT709" s="465" t="str">
        <f t="shared" si="399"/>
        <v/>
      </c>
      <c r="AU709" s="466" t="str">
        <f t="shared" si="400"/>
        <v/>
      </c>
      <c r="AV709" s="467" t="str">
        <f t="shared" si="401"/>
        <v/>
      </c>
      <c r="AW709" s="467" t="str">
        <f t="shared" si="402"/>
        <v/>
      </c>
      <c r="AX709" s="467" t="str">
        <f t="shared" si="403"/>
        <v/>
      </c>
      <c r="AY709" s="467" t="str">
        <f t="shared" si="404"/>
        <v/>
      </c>
      <c r="AZ709" s="467" t="str">
        <f t="shared" si="405"/>
        <v/>
      </c>
      <c r="BA709" s="468" t="str">
        <f>IF(AS709="","",IF(OR(AU709="",AU709="-"),"－",IF(OR(AZ709=8,AZ709=9),"",IF(OR(AW709=3,AW709=4,AW709=5,AW709=6),VLOOKUP(AU709,INDEX((係数_バス貨物_ガソリン,係数_バス貨物_CNG,係数_バス貨物_軽油,係数_バス貨物_メタノール,係数_バス貨物_LPG),MATCH(AY709,【参考】排出係数!$AI$4:$AI$671,1),1,BE709):INDEX((係数_バス貨物_ガソリン,係数_バス貨物_CNG,係数_バス貨物_軽油,係数_バス貨物_メタノール,係数_バス貨物_LPG),MATCH(AY709+1,【参考】排出係数!$AI$4:$AI$671,1)-1,5,BE709),2,FALSE),IF(OR(AW709=1,AW709=2),VLOOKUP(AU709,INDEX((係数_乗用_ガソリン,係数_乗用_CNG,係数_乗用_軽油,係数_乗用_メタノール,係数_乗用_LPG),1,1,BE709):INDEX((係数_乗用_ガソリン,係数_乗用_CNG,係数_乗用_軽油,係数_乗用_メタノール,係数_乗用_LPG),125,5,BE709),2,FALSE))))))</f>
        <v/>
      </c>
      <c r="BB709" s="468" t="str">
        <f>IF(T709="","",IF(OR(AU709="",AU709="-"),"－",IF(OR(AZ709=8,AZ709=9),"",IF(OR(AW709=3,AW709=4,AW709=5,AW709=6),VLOOKUP(AU709,INDEX((係数_バス貨物_ガソリン,係数_バス貨物_CNG,係数_バス貨物_軽油,係数_バス貨物_メタノール,係数_バス貨物_LPG),MATCH(AY709,【参考】排出係数!$AI$4:$AI$671,1),1,BE709):INDEX((係数_バス貨物_ガソリン,係数_バス貨物_CNG,係数_バス貨物_軽油,係数_バス貨物_メタノール,係数_バス貨物_LPG),MATCH(AY709+1,【参考】排出係数!$AI$4:$AI$671,1)-1,5,BE709),3,FALSE),IF(OR(AW709=1,AW709=2),VLOOKUP(AU709,INDEX((係数_乗用_ガソリン,係数_乗用_CNG,係数_乗用_軽油,係数_乗用_メタノール,係数_乗用_LPG),1,1,BE709):INDEX((係数_乗用_ガソリン,係数_乗用_CNG,係数_乗用_軽油,係数_乗用_メタノール,係数_乗用_LPG),125,5,BE709),3,FALSE))))))</f>
        <v/>
      </c>
      <c r="BC709" s="467" t="str">
        <f t="shared" si="406"/>
        <v/>
      </c>
      <c r="BD709" s="567" t="str">
        <f t="shared" si="407"/>
        <v/>
      </c>
      <c r="BE709" s="467" t="str">
        <f t="shared" si="408"/>
        <v/>
      </c>
      <c r="BF709" s="469" t="str">
        <f t="shared" ca="1" si="409"/>
        <v/>
      </c>
      <c r="BG709" s="469" t="str">
        <f t="shared" ca="1" si="410"/>
        <v/>
      </c>
      <c r="BH709" s="467" t="str">
        <f t="shared" si="411"/>
        <v/>
      </c>
      <c r="BI709" s="467" t="str">
        <f t="shared" ca="1" si="412"/>
        <v/>
      </c>
      <c r="BJ709" s="469" t="str">
        <f t="shared" si="413"/>
        <v/>
      </c>
      <c r="BK709" s="470" t="str">
        <f t="shared" si="397"/>
        <v/>
      </c>
      <c r="BL709" s="775" t="str">
        <f t="shared" si="414"/>
        <v/>
      </c>
      <c r="BM709" s="775" t="str">
        <f t="shared" si="415"/>
        <v/>
      </c>
    </row>
    <row r="710" spans="1:65">
      <c r="A710" s="473">
        <v>654</v>
      </c>
      <c r="B710" s="132"/>
      <c r="C710" s="332"/>
      <c r="D710" s="333"/>
      <c r="E710" s="333"/>
      <c r="F710" s="334"/>
      <c r="G710" s="337"/>
      <c r="H710" s="131"/>
      <c r="I710" s="337"/>
      <c r="J710" s="131"/>
      <c r="K710" s="458" t="str">
        <f t="shared" si="384"/>
        <v/>
      </c>
      <c r="L710" s="458">
        <f t="shared" si="385"/>
        <v>0</v>
      </c>
      <c r="M710" s="458">
        <f t="shared" si="386"/>
        <v>0</v>
      </c>
      <c r="N710" s="459" t="str">
        <f t="shared" si="283"/>
        <v/>
      </c>
      <c r="O710" s="459" t="str">
        <f t="shared" si="284"/>
        <v/>
      </c>
      <c r="P710" s="459" t="str">
        <f t="shared" si="285"/>
        <v/>
      </c>
      <c r="Q710" s="459" t="str">
        <f t="shared" si="286"/>
        <v/>
      </c>
      <c r="R710" s="459" t="str">
        <f t="shared" si="287"/>
        <v/>
      </c>
      <c r="S710" s="459" t="str">
        <f t="shared" si="288"/>
        <v/>
      </c>
      <c r="T710" s="566" t="str">
        <f t="shared" si="387"/>
        <v/>
      </c>
      <c r="U710" s="702"/>
      <c r="V710" s="132"/>
      <c r="W710" s="133"/>
      <c r="X710" s="134"/>
      <c r="Y710" s="135"/>
      <c r="Z710" s="137"/>
      <c r="AA710" s="136"/>
      <c r="AB710" s="566" t="str">
        <f t="shared" si="388"/>
        <v/>
      </c>
      <c r="AC710" s="568" t="str">
        <f t="shared" si="389"/>
        <v/>
      </c>
      <c r="AD710" s="137"/>
      <c r="AE710" s="137"/>
      <c r="AF710" s="138"/>
      <c r="AG710" s="138"/>
      <c r="AH710" s="592" t="str">
        <f t="shared" si="390"/>
        <v/>
      </c>
      <c r="AI710" s="592" t="str">
        <f t="shared" si="391"/>
        <v/>
      </c>
      <c r="AJ710" s="592" t="str">
        <f t="shared" si="392"/>
        <v/>
      </c>
      <c r="AK710" s="460" t="str">
        <f>IF(AU710="","",IF(OR(AZ710=8,AZ710=9),0,IF(OR(AW710=3,AW710=4,AW710=5,AW710=6),IF(LEFT(BF710,1)="1",INDEX(係数_NOX・PM低減,MATCH(AY710,【参考】排出係数!$AI$801:$AI$804,1),1),VLOOKUP(AU710,INDEX((係数_バス貨物_ガソリン,係数_バス貨物_CNG,係数_バス貨物_軽油,係数_バス貨物_メタノール,係数_バス貨物_LPG),MATCH(AY710,【参考】排出係数!$AI$4:$AI$671,1),1,BE710):INDEX((係数_バス貨物_ガソリン,係数_バス貨物_CNG,係数_バス貨物_軽油,係数_バス貨物_メタノール,係数_バス貨物_LPG),MATCH(AY710+1,【参考】排出係数!$AI$4:$AI$671,1)-1,5,BE710),4,FALSE)),IF(AND(BE710=3,LEFT(BF710,1)="1"),0.48,VLOOKUP(AU710,INDEX((係数_乗用_ガソリン,係数_乗用_CNG,係数_乗用_軽油,係数_乗用_メタノール,係数_乗用_LPG),1,1,BE710):INDEX((係数_乗用_ガソリン,係数_乗用_CNG,係数_乗用_軽油,係数_乗用_メタノール,係数_乗用_LPG),125,5,BE710),4,FALSE)))))</f>
        <v/>
      </c>
      <c r="AL710" s="461" t="str">
        <f t="shared" si="393"/>
        <v/>
      </c>
      <c r="AM710" s="460" t="str">
        <f>IF(AU710="","",IF(OR(AZ710=8,AZ710=9),0,IF(OR(AW710=3,AW710=4,AW710=5,AW710=6),IF(LEFT(BH710,1)="1",INDEX(係数_PM低減,MATCH(AY710,【参考】排出係数!$AI$801:$AI$804,1),MATCH(BI710,【参考】排出係数!$AL$798:$AO$798,1)),VLOOKUP(AU710,INDEX((係数_バス貨物_ガソリン,係数_バス貨物_CNG,係数_バス貨物_軽油,係数_バス貨物_メタノール,係数_バス貨物_LPG),MATCH(AY710,【参考】排出係数!$AI$4:$AI$671,1),1,BE710):INDEX((係数_バス貨物_ガソリン,係数_バス貨物_CNG,係数_バス貨物_軽油,係数_バス貨物_メタノール,係数_バス貨物_LPG),MATCH(AY710+1,【参考】排出係数!$AI$4:$AI$671,1)-1,5,BE710),5,FALSE)),IF(AND(BE710=3,LEFT(BF710,1)="1"),0.055,VLOOKUP(AU710,INDEX((係数_乗用_ガソリン,係数_乗用_CNG,係数_乗用_軽油,係数_乗用_メタノール,係数_乗用_LPG),1,1,BE710):INDEX((係数_乗用_ガソリン,係数_乗用_CNG,係数_乗用_軽油,係数_乗用_メタノール,係数_乗用_LPG),125,5,BE710),5,FALSE)))))</f>
        <v/>
      </c>
      <c r="AN710" s="461" t="str">
        <f t="shared" si="394"/>
        <v/>
      </c>
      <c r="AO710" s="462" t="str">
        <f t="shared" si="395"/>
        <v/>
      </c>
      <c r="AP710" s="463" t="str">
        <f t="shared" si="396"/>
        <v/>
      </c>
      <c r="AQ710" s="464"/>
      <c r="AR710" s="619"/>
      <c r="AS710" s="465" t="str">
        <f t="shared" si="398"/>
        <v/>
      </c>
      <c r="AT710" s="465" t="str">
        <f t="shared" si="399"/>
        <v/>
      </c>
      <c r="AU710" s="466" t="str">
        <f t="shared" si="400"/>
        <v/>
      </c>
      <c r="AV710" s="467" t="str">
        <f t="shared" si="401"/>
        <v/>
      </c>
      <c r="AW710" s="467" t="str">
        <f t="shared" si="402"/>
        <v/>
      </c>
      <c r="AX710" s="467" t="str">
        <f t="shared" si="403"/>
        <v/>
      </c>
      <c r="AY710" s="467" t="str">
        <f t="shared" si="404"/>
        <v/>
      </c>
      <c r="AZ710" s="467" t="str">
        <f t="shared" si="405"/>
        <v/>
      </c>
      <c r="BA710" s="468" t="str">
        <f>IF(AS710="","",IF(OR(AU710="",AU710="-"),"－",IF(OR(AZ710=8,AZ710=9),"",IF(OR(AW710=3,AW710=4,AW710=5,AW710=6),VLOOKUP(AU710,INDEX((係数_バス貨物_ガソリン,係数_バス貨物_CNG,係数_バス貨物_軽油,係数_バス貨物_メタノール,係数_バス貨物_LPG),MATCH(AY710,【参考】排出係数!$AI$4:$AI$671,1),1,BE710):INDEX((係数_バス貨物_ガソリン,係数_バス貨物_CNG,係数_バス貨物_軽油,係数_バス貨物_メタノール,係数_バス貨物_LPG),MATCH(AY710+1,【参考】排出係数!$AI$4:$AI$671,1)-1,5,BE710),2,FALSE),IF(OR(AW710=1,AW710=2),VLOOKUP(AU710,INDEX((係数_乗用_ガソリン,係数_乗用_CNG,係数_乗用_軽油,係数_乗用_メタノール,係数_乗用_LPG),1,1,BE710):INDEX((係数_乗用_ガソリン,係数_乗用_CNG,係数_乗用_軽油,係数_乗用_メタノール,係数_乗用_LPG),125,5,BE710),2,FALSE))))))</f>
        <v/>
      </c>
      <c r="BB710" s="468" t="str">
        <f>IF(T710="","",IF(OR(AU710="",AU710="-"),"－",IF(OR(AZ710=8,AZ710=9),"",IF(OR(AW710=3,AW710=4,AW710=5,AW710=6),VLOOKUP(AU710,INDEX((係数_バス貨物_ガソリン,係数_バス貨物_CNG,係数_バス貨物_軽油,係数_バス貨物_メタノール,係数_バス貨物_LPG),MATCH(AY710,【参考】排出係数!$AI$4:$AI$671,1),1,BE710):INDEX((係数_バス貨物_ガソリン,係数_バス貨物_CNG,係数_バス貨物_軽油,係数_バス貨物_メタノール,係数_バス貨物_LPG),MATCH(AY710+1,【参考】排出係数!$AI$4:$AI$671,1)-1,5,BE710),3,FALSE),IF(OR(AW710=1,AW710=2),VLOOKUP(AU710,INDEX((係数_乗用_ガソリン,係数_乗用_CNG,係数_乗用_軽油,係数_乗用_メタノール,係数_乗用_LPG),1,1,BE710):INDEX((係数_乗用_ガソリン,係数_乗用_CNG,係数_乗用_軽油,係数_乗用_メタノール,係数_乗用_LPG),125,5,BE710),3,FALSE))))))</f>
        <v/>
      </c>
      <c r="BC710" s="467" t="str">
        <f t="shared" si="406"/>
        <v/>
      </c>
      <c r="BD710" s="567" t="str">
        <f t="shared" si="407"/>
        <v/>
      </c>
      <c r="BE710" s="467" t="str">
        <f t="shared" si="408"/>
        <v/>
      </c>
      <c r="BF710" s="469" t="str">
        <f t="shared" ca="1" si="409"/>
        <v/>
      </c>
      <c r="BG710" s="469" t="str">
        <f t="shared" ca="1" si="410"/>
        <v/>
      </c>
      <c r="BH710" s="467" t="str">
        <f t="shared" si="411"/>
        <v/>
      </c>
      <c r="BI710" s="467" t="str">
        <f t="shared" ca="1" si="412"/>
        <v/>
      </c>
      <c r="BJ710" s="469" t="str">
        <f t="shared" si="413"/>
        <v/>
      </c>
      <c r="BK710" s="470" t="str">
        <f t="shared" si="397"/>
        <v/>
      </c>
      <c r="BL710" s="775" t="str">
        <f t="shared" si="414"/>
        <v/>
      </c>
      <c r="BM710" s="775" t="str">
        <f t="shared" si="415"/>
        <v/>
      </c>
    </row>
    <row r="711" spans="1:65">
      <c r="A711" s="473">
        <v>655</v>
      </c>
      <c r="B711" s="132"/>
      <c r="C711" s="332"/>
      <c r="D711" s="333"/>
      <c r="E711" s="333"/>
      <c r="F711" s="334"/>
      <c r="G711" s="337"/>
      <c r="H711" s="131"/>
      <c r="I711" s="337"/>
      <c r="J711" s="131"/>
      <c r="K711" s="458" t="str">
        <f t="shared" si="384"/>
        <v/>
      </c>
      <c r="L711" s="458">
        <f t="shared" si="385"/>
        <v>0</v>
      </c>
      <c r="M711" s="458">
        <f t="shared" si="386"/>
        <v>0</v>
      </c>
      <c r="N711" s="459" t="str">
        <f t="shared" si="283"/>
        <v/>
      </c>
      <c r="O711" s="459" t="str">
        <f t="shared" si="284"/>
        <v/>
      </c>
      <c r="P711" s="459" t="str">
        <f t="shared" si="285"/>
        <v/>
      </c>
      <c r="Q711" s="459" t="str">
        <f t="shared" si="286"/>
        <v/>
      </c>
      <c r="R711" s="459" t="str">
        <f t="shared" si="287"/>
        <v/>
      </c>
      <c r="S711" s="459" t="str">
        <f t="shared" si="288"/>
        <v/>
      </c>
      <c r="T711" s="566" t="str">
        <f t="shared" si="387"/>
        <v/>
      </c>
      <c r="U711" s="702"/>
      <c r="V711" s="132"/>
      <c r="W711" s="133"/>
      <c r="X711" s="134"/>
      <c r="Y711" s="135"/>
      <c r="Z711" s="137"/>
      <c r="AA711" s="136"/>
      <c r="AB711" s="566" t="str">
        <f t="shared" si="388"/>
        <v/>
      </c>
      <c r="AC711" s="568" t="str">
        <f t="shared" si="389"/>
        <v/>
      </c>
      <c r="AD711" s="137"/>
      <c r="AE711" s="137"/>
      <c r="AF711" s="138"/>
      <c r="AG711" s="138"/>
      <c r="AH711" s="592" t="str">
        <f t="shared" si="390"/>
        <v/>
      </c>
      <c r="AI711" s="592" t="str">
        <f t="shared" si="391"/>
        <v/>
      </c>
      <c r="AJ711" s="592" t="str">
        <f t="shared" si="392"/>
        <v/>
      </c>
      <c r="AK711" s="460" t="str">
        <f>IF(AU711="","",IF(OR(AZ711=8,AZ711=9),0,IF(OR(AW711=3,AW711=4,AW711=5,AW711=6),IF(LEFT(BF711,1)="1",INDEX(係数_NOX・PM低減,MATCH(AY711,【参考】排出係数!$AI$801:$AI$804,1),1),VLOOKUP(AU711,INDEX((係数_バス貨物_ガソリン,係数_バス貨物_CNG,係数_バス貨物_軽油,係数_バス貨物_メタノール,係数_バス貨物_LPG),MATCH(AY711,【参考】排出係数!$AI$4:$AI$671,1),1,BE711):INDEX((係数_バス貨物_ガソリン,係数_バス貨物_CNG,係数_バス貨物_軽油,係数_バス貨物_メタノール,係数_バス貨物_LPG),MATCH(AY711+1,【参考】排出係数!$AI$4:$AI$671,1)-1,5,BE711),4,FALSE)),IF(AND(BE711=3,LEFT(BF711,1)="1"),0.48,VLOOKUP(AU711,INDEX((係数_乗用_ガソリン,係数_乗用_CNG,係数_乗用_軽油,係数_乗用_メタノール,係数_乗用_LPG),1,1,BE711):INDEX((係数_乗用_ガソリン,係数_乗用_CNG,係数_乗用_軽油,係数_乗用_メタノール,係数_乗用_LPG),125,5,BE711),4,FALSE)))))</f>
        <v/>
      </c>
      <c r="AL711" s="461" t="str">
        <f t="shared" si="393"/>
        <v/>
      </c>
      <c r="AM711" s="460" t="str">
        <f>IF(AU711="","",IF(OR(AZ711=8,AZ711=9),0,IF(OR(AW711=3,AW711=4,AW711=5,AW711=6),IF(LEFT(BH711,1)="1",INDEX(係数_PM低減,MATCH(AY711,【参考】排出係数!$AI$801:$AI$804,1),MATCH(BI711,【参考】排出係数!$AL$798:$AO$798,1)),VLOOKUP(AU711,INDEX((係数_バス貨物_ガソリン,係数_バス貨物_CNG,係数_バス貨物_軽油,係数_バス貨物_メタノール,係数_バス貨物_LPG),MATCH(AY711,【参考】排出係数!$AI$4:$AI$671,1),1,BE711):INDEX((係数_バス貨物_ガソリン,係数_バス貨物_CNG,係数_バス貨物_軽油,係数_バス貨物_メタノール,係数_バス貨物_LPG),MATCH(AY711+1,【参考】排出係数!$AI$4:$AI$671,1)-1,5,BE711),5,FALSE)),IF(AND(BE711=3,LEFT(BF711,1)="1"),0.055,VLOOKUP(AU711,INDEX((係数_乗用_ガソリン,係数_乗用_CNG,係数_乗用_軽油,係数_乗用_メタノール,係数_乗用_LPG),1,1,BE711):INDEX((係数_乗用_ガソリン,係数_乗用_CNG,係数_乗用_軽油,係数_乗用_メタノール,係数_乗用_LPG),125,5,BE711),5,FALSE)))))</f>
        <v/>
      </c>
      <c r="AN711" s="461" t="str">
        <f t="shared" si="394"/>
        <v/>
      </c>
      <c r="AO711" s="462" t="str">
        <f t="shared" si="395"/>
        <v/>
      </c>
      <c r="AP711" s="463" t="str">
        <f t="shared" si="396"/>
        <v/>
      </c>
      <c r="AQ711" s="464"/>
      <c r="AR711" s="619"/>
      <c r="AS711" s="465" t="str">
        <f t="shared" si="398"/>
        <v/>
      </c>
      <c r="AT711" s="465" t="str">
        <f t="shared" si="399"/>
        <v/>
      </c>
      <c r="AU711" s="466" t="str">
        <f t="shared" si="400"/>
        <v/>
      </c>
      <c r="AV711" s="467" t="str">
        <f t="shared" si="401"/>
        <v/>
      </c>
      <c r="AW711" s="467" t="str">
        <f t="shared" si="402"/>
        <v/>
      </c>
      <c r="AX711" s="467" t="str">
        <f t="shared" si="403"/>
        <v/>
      </c>
      <c r="AY711" s="467" t="str">
        <f t="shared" si="404"/>
        <v/>
      </c>
      <c r="AZ711" s="467" t="str">
        <f t="shared" si="405"/>
        <v/>
      </c>
      <c r="BA711" s="468" t="str">
        <f>IF(AS711="","",IF(OR(AU711="",AU711="-"),"－",IF(OR(AZ711=8,AZ711=9),"",IF(OR(AW711=3,AW711=4,AW711=5,AW711=6),VLOOKUP(AU711,INDEX((係数_バス貨物_ガソリン,係数_バス貨物_CNG,係数_バス貨物_軽油,係数_バス貨物_メタノール,係数_バス貨物_LPG),MATCH(AY711,【参考】排出係数!$AI$4:$AI$671,1),1,BE711):INDEX((係数_バス貨物_ガソリン,係数_バス貨物_CNG,係数_バス貨物_軽油,係数_バス貨物_メタノール,係数_バス貨物_LPG),MATCH(AY711+1,【参考】排出係数!$AI$4:$AI$671,1)-1,5,BE711),2,FALSE),IF(OR(AW711=1,AW711=2),VLOOKUP(AU711,INDEX((係数_乗用_ガソリン,係数_乗用_CNG,係数_乗用_軽油,係数_乗用_メタノール,係数_乗用_LPG),1,1,BE711):INDEX((係数_乗用_ガソリン,係数_乗用_CNG,係数_乗用_軽油,係数_乗用_メタノール,係数_乗用_LPG),125,5,BE711),2,FALSE))))))</f>
        <v/>
      </c>
      <c r="BB711" s="468" t="str">
        <f>IF(T711="","",IF(OR(AU711="",AU711="-"),"－",IF(OR(AZ711=8,AZ711=9),"",IF(OR(AW711=3,AW711=4,AW711=5,AW711=6),VLOOKUP(AU711,INDEX((係数_バス貨物_ガソリン,係数_バス貨物_CNG,係数_バス貨物_軽油,係数_バス貨物_メタノール,係数_バス貨物_LPG),MATCH(AY711,【参考】排出係数!$AI$4:$AI$671,1),1,BE711):INDEX((係数_バス貨物_ガソリン,係数_バス貨物_CNG,係数_バス貨物_軽油,係数_バス貨物_メタノール,係数_バス貨物_LPG),MATCH(AY711+1,【参考】排出係数!$AI$4:$AI$671,1)-1,5,BE711),3,FALSE),IF(OR(AW711=1,AW711=2),VLOOKUP(AU711,INDEX((係数_乗用_ガソリン,係数_乗用_CNG,係数_乗用_軽油,係数_乗用_メタノール,係数_乗用_LPG),1,1,BE711):INDEX((係数_乗用_ガソリン,係数_乗用_CNG,係数_乗用_軽油,係数_乗用_メタノール,係数_乗用_LPG),125,5,BE711),3,FALSE))))))</f>
        <v/>
      </c>
      <c r="BC711" s="467" t="str">
        <f t="shared" si="406"/>
        <v/>
      </c>
      <c r="BD711" s="567" t="str">
        <f t="shared" si="407"/>
        <v/>
      </c>
      <c r="BE711" s="467" t="str">
        <f t="shared" si="408"/>
        <v/>
      </c>
      <c r="BF711" s="469" t="str">
        <f t="shared" ca="1" si="409"/>
        <v/>
      </c>
      <c r="BG711" s="469" t="str">
        <f t="shared" ca="1" si="410"/>
        <v/>
      </c>
      <c r="BH711" s="467" t="str">
        <f t="shared" si="411"/>
        <v/>
      </c>
      <c r="BI711" s="467" t="str">
        <f t="shared" ca="1" si="412"/>
        <v/>
      </c>
      <c r="BJ711" s="469" t="str">
        <f t="shared" si="413"/>
        <v/>
      </c>
      <c r="BK711" s="470" t="str">
        <f t="shared" si="397"/>
        <v/>
      </c>
      <c r="BL711" s="775" t="str">
        <f t="shared" si="414"/>
        <v/>
      </c>
      <c r="BM711" s="775" t="str">
        <f t="shared" si="415"/>
        <v/>
      </c>
    </row>
    <row r="712" spans="1:65">
      <c r="A712" s="473">
        <v>656</v>
      </c>
      <c r="B712" s="132"/>
      <c r="C712" s="332"/>
      <c r="D712" s="333"/>
      <c r="E712" s="333"/>
      <c r="F712" s="334"/>
      <c r="G712" s="337"/>
      <c r="H712" s="131"/>
      <c r="I712" s="337"/>
      <c r="J712" s="131"/>
      <c r="K712" s="458" t="str">
        <f t="shared" si="384"/>
        <v/>
      </c>
      <c r="L712" s="458">
        <f t="shared" si="385"/>
        <v>0</v>
      </c>
      <c r="M712" s="458">
        <f t="shared" si="386"/>
        <v>0</v>
      </c>
      <c r="N712" s="459" t="str">
        <f t="shared" si="283"/>
        <v/>
      </c>
      <c r="O712" s="459" t="str">
        <f t="shared" si="284"/>
        <v/>
      </c>
      <c r="P712" s="459" t="str">
        <f t="shared" si="285"/>
        <v/>
      </c>
      <c r="Q712" s="459" t="str">
        <f t="shared" si="286"/>
        <v/>
      </c>
      <c r="R712" s="459" t="str">
        <f t="shared" si="287"/>
        <v/>
      </c>
      <c r="S712" s="459" t="str">
        <f t="shared" si="288"/>
        <v/>
      </c>
      <c r="T712" s="566" t="str">
        <f t="shared" si="387"/>
        <v/>
      </c>
      <c r="U712" s="702"/>
      <c r="V712" s="132"/>
      <c r="W712" s="133"/>
      <c r="X712" s="134"/>
      <c r="Y712" s="135"/>
      <c r="Z712" s="137"/>
      <c r="AA712" s="136"/>
      <c r="AB712" s="566" t="str">
        <f t="shared" si="388"/>
        <v/>
      </c>
      <c r="AC712" s="568" t="str">
        <f t="shared" si="389"/>
        <v/>
      </c>
      <c r="AD712" s="137"/>
      <c r="AE712" s="137"/>
      <c r="AF712" s="138"/>
      <c r="AG712" s="138"/>
      <c r="AH712" s="592" t="str">
        <f t="shared" si="390"/>
        <v/>
      </c>
      <c r="AI712" s="592" t="str">
        <f t="shared" si="391"/>
        <v/>
      </c>
      <c r="AJ712" s="592" t="str">
        <f t="shared" si="392"/>
        <v/>
      </c>
      <c r="AK712" s="460" t="str">
        <f>IF(AU712="","",IF(OR(AZ712=8,AZ712=9),0,IF(OR(AW712=3,AW712=4,AW712=5,AW712=6),IF(LEFT(BF712,1)="1",INDEX(係数_NOX・PM低減,MATCH(AY712,【参考】排出係数!$AI$801:$AI$804,1),1),VLOOKUP(AU712,INDEX((係数_バス貨物_ガソリン,係数_バス貨物_CNG,係数_バス貨物_軽油,係数_バス貨物_メタノール,係数_バス貨物_LPG),MATCH(AY712,【参考】排出係数!$AI$4:$AI$671,1),1,BE712):INDEX((係数_バス貨物_ガソリン,係数_バス貨物_CNG,係数_バス貨物_軽油,係数_バス貨物_メタノール,係数_バス貨物_LPG),MATCH(AY712+1,【参考】排出係数!$AI$4:$AI$671,1)-1,5,BE712),4,FALSE)),IF(AND(BE712=3,LEFT(BF712,1)="1"),0.48,VLOOKUP(AU712,INDEX((係数_乗用_ガソリン,係数_乗用_CNG,係数_乗用_軽油,係数_乗用_メタノール,係数_乗用_LPG),1,1,BE712):INDEX((係数_乗用_ガソリン,係数_乗用_CNG,係数_乗用_軽油,係数_乗用_メタノール,係数_乗用_LPG),125,5,BE712),4,FALSE)))))</f>
        <v/>
      </c>
      <c r="AL712" s="461" t="str">
        <f t="shared" si="393"/>
        <v/>
      </c>
      <c r="AM712" s="460" t="str">
        <f>IF(AU712="","",IF(OR(AZ712=8,AZ712=9),0,IF(OR(AW712=3,AW712=4,AW712=5,AW712=6),IF(LEFT(BH712,1)="1",INDEX(係数_PM低減,MATCH(AY712,【参考】排出係数!$AI$801:$AI$804,1),MATCH(BI712,【参考】排出係数!$AL$798:$AO$798,1)),VLOOKUP(AU712,INDEX((係数_バス貨物_ガソリン,係数_バス貨物_CNG,係数_バス貨物_軽油,係数_バス貨物_メタノール,係数_バス貨物_LPG),MATCH(AY712,【参考】排出係数!$AI$4:$AI$671,1),1,BE712):INDEX((係数_バス貨物_ガソリン,係数_バス貨物_CNG,係数_バス貨物_軽油,係数_バス貨物_メタノール,係数_バス貨物_LPG),MATCH(AY712+1,【参考】排出係数!$AI$4:$AI$671,1)-1,5,BE712),5,FALSE)),IF(AND(BE712=3,LEFT(BF712,1)="1"),0.055,VLOOKUP(AU712,INDEX((係数_乗用_ガソリン,係数_乗用_CNG,係数_乗用_軽油,係数_乗用_メタノール,係数_乗用_LPG),1,1,BE712):INDEX((係数_乗用_ガソリン,係数_乗用_CNG,係数_乗用_軽油,係数_乗用_メタノール,係数_乗用_LPG),125,5,BE712),5,FALSE)))))</f>
        <v/>
      </c>
      <c r="AN712" s="461" t="str">
        <f t="shared" si="394"/>
        <v/>
      </c>
      <c r="AO712" s="462" t="str">
        <f t="shared" si="395"/>
        <v/>
      </c>
      <c r="AP712" s="463" t="str">
        <f t="shared" si="396"/>
        <v/>
      </c>
      <c r="AQ712" s="464"/>
      <c r="AR712" s="619"/>
      <c r="AS712" s="465" t="str">
        <f t="shared" si="398"/>
        <v/>
      </c>
      <c r="AT712" s="465" t="str">
        <f t="shared" si="399"/>
        <v/>
      </c>
      <c r="AU712" s="466" t="str">
        <f t="shared" si="400"/>
        <v/>
      </c>
      <c r="AV712" s="467" t="str">
        <f t="shared" si="401"/>
        <v/>
      </c>
      <c r="AW712" s="467" t="str">
        <f t="shared" si="402"/>
        <v/>
      </c>
      <c r="AX712" s="467" t="str">
        <f t="shared" si="403"/>
        <v/>
      </c>
      <c r="AY712" s="467" t="str">
        <f t="shared" si="404"/>
        <v/>
      </c>
      <c r="AZ712" s="467" t="str">
        <f t="shared" si="405"/>
        <v/>
      </c>
      <c r="BA712" s="468" t="str">
        <f>IF(AS712="","",IF(OR(AU712="",AU712="-"),"－",IF(OR(AZ712=8,AZ712=9),"",IF(OR(AW712=3,AW712=4,AW712=5,AW712=6),VLOOKUP(AU712,INDEX((係数_バス貨物_ガソリン,係数_バス貨物_CNG,係数_バス貨物_軽油,係数_バス貨物_メタノール,係数_バス貨物_LPG),MATCH(AY712,【参考】排出係数!$AI$4:$AI$671,1),1,BE712):INDEX((係数_バス貨物_ガソリン,係数_バス貨物_CNG,係数_バス貨物_軽油,係数_バス貨物_メタノール,係数_バス貨物_LPG),MATCH(AY712+1,【参考】排出係数!$AI$4:$AI$671,1)-1,5,BE712),2,FALSE),IF(OR(AW712=1,AW712=2),VLOOKUP(AU712,INDEX((係数_乗用_ガソリン,係数_乗用_CNG,係数_乗用_軽油,係数_乗用_メタノール,係数_乗用_LPG),1,1,BE712):INDEX((係数_乗用_ガソリン,係数_乗用_CNG,係数_乗用_軽油,係数_乗用_メタノール,係数_乗用_LPG),125,5,BE712),2,FALSE))))))</f>
        <v/>
      </c>
      <c r="BB712" s="468" t="str">
        <f>IF(T712="","",IF(OR(AU712="",AU712="-"),"－",IF(OR(AZ712=8,AZ712=9),"",IF(OR(AW712=3,AW712=4,AW712=5,AW712=6),VLOOKUP(AU712,INDEX((係数_バス貨物_ガソリン,係数_バス貨物_CNG,係数_バス貨物_軽油,係数_バス貨物_メタノール,係数_バス貨物_LPG),MATCH(AY712,【参考】排出係数!$AI$4:$AI$671,1),1,BE712):INDEX((係数_バス貨物_ガソリン,係数_バス貨物_CNG,係数_バス貨物_軽油,係数_バス貨物_メタノール,係数_バス貨物_LPG),MATCH(AY712+1,【参考】排出係数!$AI$4:$AI$671,1)-1,5,BE712),3,FALSE),IF(OR(AW712=1,AW712=2),VLOOKUP(AU712,INDEX((係数_乗用_ガソリン,係数_乗用_CNG,係数_乗用_軽油,係数_乗用_メタノール,係数_乗用_LPG),1,1,BE712):INDEX((係数_乗用_ガソリン,係数_乗用_CNG,係数_乗用_軽油,係数_乗用_メタノール,係数_乗用_LPG),125,5,BE712),3,FALSE))))))</f>
        <v/>
      </c>
      <c r="BC712" s="467" t="str">
        <f t="shared" si="406"/>
        <v/>
      </c>
      <c r="BD712" s="567" t="str">
        <f t="shared" si="407"/>
        <v/>
      </c>
      <c r="BE712" s="467" t="str">
        <f t="shared" si="408"/>
        <v/>
      </c>
      <c r="BF712" s="469" t="str">
        <f t="shared" ca="1" si="409"/>
        <v/>
      </c>
      <c r="BG712" s="469" t="str">
        <f t="shared" ca="1" si="410"/>
        <v/>
      </c>
      <c r="BH712" s="467" t="str">
        <f t="shared" si="411"/>
        <v/>
      </c>
      <c r="BI712" s="467" t="str">
        <f t="shared" ca="1" si="412"/>
        <v/>
      </c>
      <c r="BJ712" s="469" t="str">
        <f t="shared" si="413"/>
        <v/>
      </c>
      <c r="BK712" s="470" t="str">
        <f t="shared" si="397"/>
        <v/>
      </c>
      <c r="BL712" s="775" t="str">
        <f t="shared" si="414"/>
        <v/>
      </c>
      <c r="BM712" s="775" t="str">
        <f t="shared" si="415"/>
        <v/>
      </c>
    </row>
    <row r="713" spans="1:65">
      <c r="A713" s="473">
        <v>657</v>
      </c>
      <c r="B713" s="132"/>
      <c r="C713" s="332"/>
      <c r="D713" s="333"/>
      <c r="E713" s="333"/>
      <c r="F713" s="334"/>
      <c r="G713" s="337"/>
      <c r="H713" s="131"/>
      <c r="I713" s="337"/>
      <c r="J713" s="131"/>
      <c r="K713" s="458" t="str">
        <f t="shared" si="384"/>
        <v/>
      </c>
      <c r="L713" s="458">
        <f t="shared" si="385"/>
        <v>0</v>
      </c>
      <c r="M713" s="458">
        <f t="shared" si="386"/>
        <v>0</v>
      </c>
      <c r="N713" s="459" t="str">
        <f t="shared" si="283"/>
        <v/>
      </c>
      <c r="O713" s="459" t="str">
        <f t="shared" si="284"/>
        <v/>
      </c>
      <c r="P713" s="459" t="str">
        <f t="shared" si="285"/>
        <v/>
      </c>
      <c r="Q713" s="459" t="str">
        <f t="shared" si="286"/>
        <v/>
      </c>
      <c r="R713" s="459" t="str">
        <f t="shared" si="287"/>
        <v/>
      </c>
      <c r="S713" s="459" t="str">
        <f t="shared" si="288"/>
        <v/>
      </c>
      <c r="T713" s="566" t="str">
        <f t="shared" si="387"/>
        <v/>
      </c>
      <c r="U713" s="702"/>
      <c r="V713" s="132"/>
      <c r="W713" s="133"/>
      <c r="X713" s="134"/>
      <c r="Y713" s="135"/>
      <c r="Z713" s="137"/>
      <c r="AA713" s="136"/>
      <c r="AB713" s="566" t="str">
        <f t="shared" si="388"/>
        <v/>
      </c>
      <c r="AC713" s="568" t="str">
        <f t="shared" si="389"/>
        <v/>
      </c>
      <c r="AD713" s="137"/>
      <c r="AE713" s="137"/>
      <c r="AF713" s="138"/>
      <c r="AG713" s="138"/>
      <c r="AH713" s="592" t="str">
        <f t="shared" si="390"/>
        <v/>
      </c>
      <c r="AI713" s="592" t="str">
        <f t="shared" si="391"/>
        <v/>
      </c>
      <c r="AJ713" s="592" t="str">
        <f t="shared" si="392"/>
        <v/>
      </c>
      <c r="AK713" s="460" t="str">
        <f>IF(AU713="","",IF(OR(AZ713=8,AZ713=9),0,IF(OR(AW713=3,AW713=4,AW713=5,AW713=6),IF(LEFT(BF713,1)="1",INDEX(係数_NOX・PM低減,MATCH(AY713,【参考】排出係数!$AI$801:$AI$804,1),1),VLOOKUP(AU713,INDEX((係数_バス貨物_ガソリン,係数_バス貨物_CNG,係数_バス貨物_軽油,係数_バス貨物_メタノール,係数_バス貨物_LPG),MATCH(AY713,【参考】排出係数!$AI$4:$AI$671,1),1,BE713):INDEX((係数_バス貨物_ガソリン,係数_バス貨物_CNG,係数_バス貨物_軽油,係数_バス貨物_メタノール,係数_バス貨物_LPG),MATCH(AY713+1,【参考】排出係数!$AI$4:$AI$671,1)-1,5,BE713),4,FALSE)),IF(AND(BE713=3,LEFT(BF713,1)="1"),0.48,VLOOKUP(AU713,INDEX((係数_乗用_ガソリン,係数_乗用_CNG,係数_乗用_軽油,係数_乗用_メタノール,係数_乗用_LPG),1,1,BE713):INDEX((係数_乗用_ガソリン,係数_乗用_CNG,係数_乗用_軽油,係数_乗用_メタノール,係数_乗用_LPG),125,5,BE713),4,FALSE)))))</f>
        <v/>
      </c>
      <c r="AL713" s="461" t="str">
        <f t="shared" si="393"/>
        <v/>
      </c>
      <c r="AM713" s="460" t="str">
        <f>IF(AU713="","",IF(OR(AZ713=8,AZ713=9),0,IF(OR(AW713=3,AW713=4,AW713=5,AW713=6),IF(LEFT(BH713,1)="1",INDEX(係数_PM低減,MATCH(AY713,【参考】排出係数!$AI$801:$AI$804,1),MATCH(BI713,【参考】排出係数!$AL$798:$AO$798,1)),VLOOKUP(AU713,INDEX((係数_バス貨物_ガソリン,係数_バス貨物_CNG,係数_バス貨物_軽油,係数_バス貨物_メタノール,係数_バス貨物_LPG),MATCH(AY713,【参考】排出係数!$AI$4:$AI$671,1),1,BE713):INDEX((係数_バス貨物_ガソリン,係数_バス貨物_CNG,係数_バス貨物_軽油,係数_バス貨物_メタノール,係数_バス貨物_LPG),MATCH(AY713+1,【参考】排出係数!$AI$4:$AI$671,1)-1,5,BE713),5,FALSE)),IF(AND(BE713=3,LEFT(BF713,1)="1"),0.055,VLOOKUP(AU713,INDEX((係数_乗用_ガソリン,係数_乗用_CNG,係数_乗用_軽油,係数_乗用_メタノール,係数_乗用_LPG),1,1,BE713):INDEX((係数_乗用_ガソリン,係数_乗用_CNG,係数_乗用_軽油,係数_乗用_メタノール,係数_乗用_LPG),125,5,BE713),5,FALSE)))))</f>
        <v/>
      </c>
      <c r="AN713" s="461" t="str">
        <f t="shared" si="394"/>
        <v/>
      </c>
      <c r="AO713" s="462" t="str">
        <f t="shared" si="395"/>
        <v/>
      </c>
      <c r="AP713" s="463" t="str">
        <f t="shared" si="396"/>
        <v/>
      </c>
      <c r="AQ713" s="464"/>
      <c r="AR713" s="619"/>
      <c r="AS713" s="465" t="str">
        <f t="shared" si="398"/>
        <v/>
      </c>
      <c r="AT713" s="465" t="str">
        <f t="shared" si="399"/>
        <v/>
      </c>
      <c r="AU713" s="466" t="str">
        <f t="shared" si="400"/>
        <v/>
      </c>
      <c r="AV713" s="467" t="str">
        <f t="shared" si="401"/>
        <v/>
      </c>
      <c r="AW713" s="467" t="str">
        <f t="shared" si="402"/>
        <v/>
      </c>
      <c r="AX713" s="467" t="str">
        <f t="shared" si="403"/>
        <v/>
      </c>
      <c r="AY713" s="467" t="str">
        <f t="shared" si="404"/>
        <v/>
      </c>
      <c r="AZ713" s="467" t="str">
        <f t="shared" si="405"/>
        <v/>
      </c>
      <c r="BA713" s="468" t="str">
        <f>IF(AS713="","",IF(OR(AU713="",AU713="-"),"－",IF(OR(AZ713=8,AZ713=9),"",IF(OR(AW713=3,AW713=4,AW713=5,AW713=6),VLOOKUP(AU713,INDEX((係数_バス貨物_ガソリン,係数_バス貨物_CNG,係数_バス貨物_軽油,係数_バス貨物_メタノール,係数_バス貨物_LPG),MATCH(AY713,【参考】排出係数!$AI$4:$AI$671,1),1,BE713):INDEX((係数_バス貨物_ガソリン,係数_バス貨物_CNG,係数_バス貨物_軽油,係数_バス貨物_メタノール,係数_バス貨物_LPG),MATCH(AY713+1,【参考】排出係数!$AI$4:$AI$671,1)-1,5,BE713),2,FALSE),IF(OR(AW713=1,AW713=2),VLOOKUP(AU713,INDEX((係数_乗用_ガソリン,係数_乗用_CNG,係数_乗用_軽油,係数_乗用_メタノール,係数_乗用_LPG),1,1,BE713):INDEX((係数_乗用_ガソリン,係数_乗用_CNG,係数_乗用_軽油,係数_乗用_メタノール,係数_乗用_LPG),125,5,BE713),2,FALSE))))))</f>
        <v/>
      </c>
      <c r="BB713" s="468" t="str">
        <f>IF(T713="","",IF(OR(AU713="",AU713="-"),"－",IF(OR(AZ713=8,AZ713=9),"",IF(OR(AW713=3,AW713=4,AW713=5,AW713=6),VLOOKUP(AU713,INDEX((係数_バス貨物_ガソリン,係数_バス貨物_CNG,係数_バス貨物_軽油,係数_バス貨物_メタノール,係数_バス貨物_LPG),MATCH(AY713,【参考】排出係数!$AI$4:$AI$671,1),1,BE713):INDEX((係数_バス貨物_ガソリン,係数_バス貨物_CNG,係数_バス貨物_軽油,係数_バス貨物_メタノール,係数_バス貨物_LPG),MATCH(AY713+1,【参考】排出係数!$AI$4:$AI$671,1)-1,5,BE713),3,FALSE),IF(OR(AW713=1,AW713=2),VLOOKUP(AU713,INDEX((係数_乗用_ガソリン,係数_乗用_CNG,係数_乗用_軽油,係数_乗用_メタノール,係数_乗用_LPG),1,1,BE713):INDEX((係数_乗用_ガソリン,係数_乗用_CNG,係数_乗用_軽油,係数_乗用_メタノール,係数_乗用_LPG),125,5,BE713),3,FALSE))))))</f>
        <v/>
      </c>
      <c r="BC713" s="467" t="str">
        <f t="shared" si="406"/>
        <v/>
      </c>
      <c r="BD713" s="567" t="str">
        <f t="shared" si="407"/>
        <v/>
      </c>
      <c r="BE713" s="467" t="str">
        <f t="shared" si="408"/>
        <v/>
      </c>
      <c r="BF713" s="469" t="str">
        <f t="shared" ca="1" si="409"/>
        <v/>
      </c>
      <c r="BG713" s="469" t="str">
        <f t="shared" ca="1" si="410"/>
        <v/>
      </c>
      <c r="BH713" s="467" t="str">
        <f t="shared" si="411"/>
        <v/>
      </c>
      <c r="BI713" s="467" t="str">
        <f t="shared" ca="1" si="412"/>
        <v/>
      </c>
      <c r="BJ713" s="469" t="str">
        <f t="shared" si="413"/>
        <v/>
      </c>
      <c r="BK713" s="470" t="str">
        <f t="shared" si="397"/>
        <v/>
      </c>
      <c r="BL713" s="775" t="str">
        <f t="shared" si="414"/>
        <v/>
      </c>
      <c r="BM713" s="775" t="str">
        <f t="shared" si="415"/>
        <v/>
      </c>
    </row>
    <row r="714" spans="1:65">
      <c r="A714" s="473">
        <v>658</v>
      </c>
      <c r="B714" s="132"/>
      <c r="C714" s="332"/>
      <c r="D714" s="333"/>
      <c r="E714" s="333"/>
      <c r="F714" s="334"/>
      <c r="G714" s="337"/>
      <c r="H714" s="131"/>
      <c r="I714" s="337"/>
      <c r="J714" s="131"/>
      <c r="K714" s="458" t="str">
        <f t="shared" si="384"/>
        <v/>
      </c>
      <c r="L714" s="458">
        <f t="shared" si="385"/>
        <v>0</v>
      </c>
      <c r="M714" s="458">
        <f t="shared" si="386"/>
        <v>0</v>
      </c>
      <c r="N714" s="459" t="str">
        <f t="shared" si="283"/>
        <v/>
      </c>
      <c r="O714" s="459" t="str">
        <f t="shared" si="284"/>
        <v/>
      </c>
      <c r="P714" s="459" t="str">
        <f t="shared" si="285"/>
        <v/>
      </c>
      <c r="Q714" s="459" t="str">
        <f t="shared" si="286"/>
        <v/>
      </c>
      <c r="R714" s="459" t="str">
        <f t="shared" si="287"/>
        <v/>
      </c>
      <c r="S714" s="459" t="str">
        <f t="shared" si="288"/>
        <v/>
      </c>
      <c r="T714" s="566" t="str">
        <f t="shared" si="387"/>
        <v/>
      </c>
      <c r="U714" s="702"/>
      <c r="V714" s="132"/>
      <c r="W714" s="133"/>
      <c r="X714" s="134"/>
      <c r="Y714" s="135"/>
      <c r="Z714" s="137"/>
      <c r="AA714" s="136"/>
      <c r="AB714" s="566" t="str">
        <f t="shared" si="388"/>
        <v/>
      </c>
      <c r="AC714" s="568" t="str">
        <f t="shared" si="389"/>
        <v/>
      </c>
      <c r="AD714" s="137"/>
      <c r="AE714" s="137"/>
      <c r="AF714" s="138"/>
      <c r="AG714" s="138"/>
      <c r="AH714" s="592" t="str">
        <f t="shared" si="390"/>
        <v/>
      </c>
      <c r="AI714" s="592" t="str">
        <f t="shared" si="391"/>
        <v/>
      </c>
      <c r="AJ714" s="592" t="str">
        <f t="shared" si="392"/>
        <v/>
      </c>
      <c r="AK714" s="460" t="str">
        <f>IF(AU714="","",IF(OR(AZ714=8,AZ714=9),0,IF(OR(AW714=3,AW714=4,AW714=5,AW714=6),IF(LEFT(BF714,1)="1",INDEX(係数_NOX・PM低減,MATCH(AY714,【参考】排出係数!$AI$801:$AI$804,1),1),VLOOKUP(AU714,INDEX((係数_バス貨物_ガソリン,係数_バス貨物_CNG,係数_バス貨物_軽油,係数_バス貨物_メタノール,係数_バス貨物_LPG),MATCH(AY714,【参考】排出係数!$AI$4:$AI$671,1),1,BE714):INDEX((係数_バス貨物_ガソリン,係数_バス貨物_CNG,係数_バス貨物_軽油,係数_バス貨物_メタノール,係数_バス貨物_LPG),MATCH(AY714+1,【参考】排出係数!$AI$4:$AI$671,1)-1,5,BE714),4,FALSE)),IF(AND(BE714=3,LEFT(BF714,1)="1"),0.48,VLOOKUP(AU714,INDEX((係数_乗用_ガソリン,係数_乗用_CNG,係数_乗用_軽油,係数_乗用_メタノール,係数_乗用_LPG),1,1,BE714):INDEX((係数_乗用_ガソリン,係数_乗用_CNG,係数_乗用_軽油,係数_乗用_メタノール,係数_乗用_LPG),125,5,BE714),4,FALSE)))))</f>
        <v/>
      </c>
      <c r="AL714" s="461" t="str">
        <f t="shared" si="393"/>
        <v/>
      </c>
      <c r="AM714" s="460" t="str">
        <f>IF(AU714="","",IF(OR(AZ714=8,AZ714=9),0,IF(OR(AW714=3,AW714=4,AW714=5,AW714=6),IF(LEFT(BH714,1)="1",INDEX(係数_PM低減,MATCH(AY714,【参考】排出係数!$AI$801:$AI$804,1),MATCH(BI714,【参考】排出係数!$AL$798:$AO$798,1)),VLOOKUP(AU714,INDEX((係数_バス貨物_ガソリン,係数_バス貨物_CNG,係数_バス貨物_軽油,係数_バス貨物_メタノール,係数_バス貨物_LPG),MATCH(AY714,【参考】排出係数!$AI$4:$AI$671,1),1,BE714):INDEX((係数_バス貨物_ガソリン,係数_バス貨物_CNG,係数_バス貨物_軽油,係数_バス貨物_メタノール,係数_バス貨物_LPG),MATCH(AY714+1,【参考】排出係数!$AI$4:$AI$671,1)-1,5,BE714),5,FALSE)),IF(AND(BE714=3,LEFT(BF714,1)="1"),0.055,VLOOKUP(AU714,INDEX((係数_乗用_ガソリン,係数_乗用_CNG,係数_乗用_軽油,係数_乗用_メタノール,係数_乗用_LPG),1,1,BE714):INDEX((係数_乗用_ガソリン,係数_乗用_CNG,係数_乗用_軽油,係数_乗用_メタノール,係数_乗用_LPG),125,5,BE714),5,FALSE)))))</f>
        <v/>
      </c>
      <c r="AN714" s="461" t="str">
        <f t="shared" si="394"/>
        <v/>
      </c>
      <c r="AO714" s="462" t="str">
        <f t="shared" si="395"/>
        <v/>
      </c>
      <c r="AP714" s="463" t="str">
        <f t="shared" si="396"/>
        <v/>
      </c>
      <c r="AQ714" s="464"/>
      <c r="AR714" s="619"/>
      <c r="AS714" s="465" t="str">
        <f t="shared" si="398"/>
        <v/>
      </c>
      <c r="AT714" s="465" t="str">
        <f t="shared" si="399"/>
        <v/>
      </c>
      <c r="AU714" s="466" t="str">
        <f t="shared" si="400"/>
        <v/>
      </c>
      <c r="AV714" s="467" t="str">
        <f t="shared" si="401"/>
        <v/>
      </c>
      <c r="AW714" s="467" t="str">
        <f t="shared" si="402"/>
        <v/>
      </c>
      <c r="AX714" s="467" t="str">
        <f t="shared" si="403"/>
        <v/>
      </c>
      <c r="AY714" s="467" t="str">
        <f t="shared" si="404"/>
        <v/>
      </c>
      <c r="AZ714" s="467" t="str">
        <f t="shared" si="405"/>
        <v/>
      </c>
      <c r="BA714" s="468" t="str">
        <f>IF(AS714="","",IF(OR(AU714="",AU714="-"),"－",IF(OR(AZ714=8,AZ714=9),"",IF(OR(AW714=3,AW714=4,AW714=5,AW714=6),VLOOKUP(AU714,INDEX((係数_バス貨物_ガソリン,係数_バス貨物_CNG,係数_バス貨物_軽油,係数_バス貨物_メタノール,係数_バス貨物_LPG),MATCH(AY714,【参考】排出係数!$AI$4:$AI$671,1),1,BE714):INDEX((係数_バス貨物_ガソリン,係数_バス貨物_CNG,係数_バス貨物_軽油,係数_バス貨物_メタノール,係数_バス貨物_LPG),MATCH(AY714+1,【参考】排出係数!$AI$4:$AI$671,1)-1,5,BE714),2,FALSE),IF(OR(AW714=1,AW714=2),VLOOKUP(AU714,INDEX((係数_乗用_ガソリン,係数_乗用_CNG,係数_乗用_軽油,係数_乗用_メタノール,係数_乗用_LPG),1,1,BE714):INDEX((係数_乗用_ガソリン,係数_乗用_CNG,係数_乗用_軽油,係数_乗用_メタノール,係数_乗用_LPG),125,5,BE714),2,FALSE))))))</f>
        <v/>
      </c>
      <c r="BB714" s="468" t="str">
        <f>IF(T714="","",IF(OR(AU714="",AU714="-"),"－",IF(OR(AZ714=8,AZ714=9),"",IF(OR(AW714=3,AW714=4,AW714=5,AW714=6),VLOOKUP(AU714,INDEX((係数_バス貨物_ガソリン,係数_バス貨物_CNG,係数_バス貨物_軽油,係数_バス貨物_メタノール,係数_バス貨物_LPG),MATCH(AY714,【参考】排出係数!$AI$4:$AI$671,1),1,BE714):INDEX((係数_バス貨物_ガソリン,係数_バス貨物_CNG,係数_バス貨物_軽油,係数_バス貨物_メタノール,係数_バス貨物_LPG),MATCH(AY714+1,【参考】排出係数!$AI$4:$AI$671,1)-1,5,BE714),3,FALSE),IF(OR(AW714=1,AW714=2),VLOOKUP(AU714,INDEX((係数_乗用_ガソリン,係数_乗用_CNG,係数_乗用_軽油,係数_乗用_メタノール,係数_乗用_LPG),1,1,BE714):INDEX((係数_乗用_ガソリン,係数_乗用_CNG,係数_乗用_軽油,係数_乗用_メタノール,係数_乗用_LPG),125,5,BE714),3,FALSE))))))</f>
        <v/>
      </c>
      <c r="BC714" s="467" t="str">
        <f t="shared" si="406"/>
        <v/>
      </c>
      <c r="BD714" s="567" t="str">
        <f t="shared" si="407"/>
        <v/>
      </c>
      <c r="BE714" s="467" t="str">
        <f t="shared" si="408"/>
        <v/>
      </c>
      <c r="BF714" s="469" t="str">
        <f t="shared" ca="1" si="409"/>
        <v/>
      </c>
      <c r="BG714" s="469" t="str">
        <f t="shared" ca="1" si="410"/>
        <v/>
      </c>
      <c r="BH714" s="467" t="str">
        <f t="shared" si="411"/>
        <v/>
      </c>
      <c r="BI714" s="467" t="str">
        <f t="shared" ca="1" si="412"/>
        <v/>
      </c>
      <c r="BJ714" s="469" t="str">
        <f t="shared" si="413"/>
        <v/>
      </c>
      <c r="BK714" s="470" t="str">
        <f t="shared" si="397"/>
        <v/>
      </c>
      <c r="BL714" s="775" t="str">
        <f t="shared" si="414"/>
        <v/>
      </c>
      <c r="BM714" s="775" t="str">
        <f t="shared" si="415"/>
        <v/>
      </c>
    </row>
    <row r="715" spans="1:65">
      <c r="A715" s="473">
        <v>659</v>
      </c>
      <c r="B715" s="132"/>
      <c r="C715" s="332"/>
      <c r="D715" s="333"/>
      <c r="E715" s="333"/>
      <c r="F715" s="334"/>
      <c r="G715" s="337"/>
      <c r="H715" s="131"/>
      <c r="I715" s="337"/>
      <c r="J715" s="131"/>
      <c r="K715" s="458" t="str">
        <f t="shared" si="384"/>
        <v/>
      </c>
      <c r="L715" s="458">
        <f t="shared" si="385"/>
        <v>0</v>
      </c>
      <c r="M715" s="458">
        <f t="shared" si="386"/>
        <v>0</v>
      </c>
      <c r="N715" s="459" t="str">
        <f t="shared" si="283"/>
        <v/>
      </c>
      <c r="O715" s="459" t="str">
        <f t="shared" si="284"/>
        <v/>
      </c>
      <c r="P715" s="459" t="str">
        <f t="shared" si="285"/>
        <v/>
      </c>
      <c r="Q715" s="459" t="str">
        <f t="shared" si="286"/>
        <v/>
      </c>
      <c r="R715" s="459" t="str">
        <f t="shared" si="287"/>
        <v/>
      </c>
      <c r="S715" s="459" t="str">
        <f t="shared" si="288"/>
        <v/>
      </c>
      <c r="T715" s="566" t="str">
        <f t="shared" si="387"/>
        <v/>
      </c>
      <c r="U715" s="702"/>
      <c r="V715" s="132"/>
      <c r="W715" s="133"/>
      <c r="X715" s="134"/>
      <c r="Y715" s="135"/>
      <c r="Z715" s="137"/>
      <c r="AA715" s="136"/>
      <c r="AB715" s="566" t="str">
        <f t="shared" si="388"/>
        <v/>
      </c>
      <c r="AC715" s="568" t="str">
        <f t="shared" si="389"/>
        <v/>
      </c>
      <c r="AD715" s="137"/>
      <c r="AE715" s="137"/>
      <c r="AF715" s="138"/>
      <c r="AG715" s="138"/>
      <c r="AH715" s="592" t="str">
        <f t="shared" si="390"/>
        <v/>
      </c>
      <c r="AI715" s="592" t="str">
        <f t="shared" si="391"/>
        <v/>
      </c>
      <c r="AJ715" s="592" t="str">
        <f t="shared" si="392"/>
        <v/>
      </c>
      <c r="AK715" s="460" t="str">
        <f>IF(AU715="","",IF(OR(AZ715=8,AZ715=9),0,IF(OR(AW715=3,AW715=4,AW715=5,AW715=6),IF(LEFT(BF715,1)="1",INDEX(係数_NOX・PM低減,MATCH(AY715,【参考】排出係数!$AI$801:$AI$804,1),1),VLOOKUP(AU715,INDEX((係数_バス貨物_ガソリン,係数_バス貨物_CNG,係数_バス貨物_軽油,係数_バス貨物_メタノール,係数_バス貨物_LPG),MATCH(AY715,【参考】排出係数!$AI$4:$AI$671,1),1,BE715):INDEX((係数_バス貨物_ガソリン,係数_バス貨物_CNG,係数_バス貨物_軽油,係数_バス貨物_メタノール,係数_バス貨物_LPG),MATCH(AY715+1,【参考】排出係数!$AI$4:$AI$671,1)-1,5,BE715),4,FALSE)),IF(AND(BE715=3,LEFT(BF715,1)="1"),0.48,VLOOKUP(AU715,INDEX((係数_乗用_ガソリン,係数_乗用_CNG,係数_乗用_軽油,係数_乗用_メタノール,係数_乗用_LPG),1,1,BE715):INDEX((係数_乗用_ガソリン,係数_乗用_CNG,係数_乗用_軽油,係数_乗用_メタノール,係数_乗用_LPG),125,5,BE715),4,FALSE)))))</f>
        <v/>
      </c>
      <c r="AL715" s="461" t="str">
        <f t="shared" si="393"/>
        <v/>
      </c>
      <c r="AM715" s="460" t="str">
        <f>IF(AU715="","",IF(OR(AZ715=8,AZ715=9),0,IF(OR(AW715=3,AW715=4,AW715=5,AW715=6),IF(LEFT(BH715,1)="1",INDEX(係数_PM低減,MATCH(AY715,【参考】排出係数!$AI$801:$AI$804,1),MATCH(BI715,【参考】排出係数!$AL$798:$AO$798,1)),VLOOKUP(AU715,INDEX((係数_バス貨物_ガソリン,係数_バス貨物_CNG,係数_バス貨物_軽油,係数_バス貨物_メタノール,係数_バス貨物_LPG),MATCH(AY715,【参考】排出係数!$AI$4:$AI$671,1),1,BE715):INDEX((係数_バス貨物_ガソリン,係数_バス貨物_CNG,係数_バス貨物_軽油,係数_バス貨物_メタノール,係数_バス貨物_LPG),MATCH(AY715+1,【参考】排出係数!$AI$4:$AI$671,1)-1,5,BE715),5,FALSE)),IF(AND(BE715=3,LEFT(BF715,1)="1"),0.055,VLOOKUP(AU715,INDEX((係数_乗用_ガソリン,係数_乗用_CNG,係数_乗用_軽油,係数_乗用_メタノール,係数_乗用_LPG),1,1,BE715):INDEX((係数_乗用_ガソリン,係数_乗用_CNG,係数_乗用_軽油,係数_乗用_メタノール,係数_乗用_LPG),125,5,BE715),5,FALSE)))))</f>
        <v/>
      </c>
      <c r="AN715" s="461" t="str">
        <f t="shared" si="394"/>
        <v/>
      </c>
      <c r="AO715" s="462" t="str">
        <f t="shared" si="395"/>
        <v/>
      </c>
      <c r="AP715" s="463" t="str">
        <f t="shared" si="396"/>
        <v/>
      </c>
      <c r="AQ715" s="464"/>
      <c r="AR715" s="619"/>
      <c r="AS715" s="465" t="str">
        <f t="shared" si="398"/>
        <v/>
      </c>
      <c r="AT715" s="465" t="str">
        <f t="shared" si="399"/>
        <v/>
      </c>
      <c r="AU715" s="466" t="str">
        <f t="shared" si="400"/>
        <v/>
      </c>
      <c r="AV715" s="467" t="str">
        <f t="shared" si="401"/>
        <v/>
      </c>
      <c r="AW715" s="467" t="str">
        <f t="shared" si="402"/>
        <v/>
      </c>
      <c r="AX715" s="467" t="str">
        <f t="shared" si="403"/>
        <v/>
      </c>
      <c r="AY715" s="467" t="str">
        <f t="shared" si="404"/>
        <v/>
      </c>
      <c r="AZ715" s="467" t="str">
        <f t="shared" si="405"/>
        <v/>
      </c>
      <c r="BA715" s="468" t="str">
        <f>IF(AS715="","",IF(OR(AU715="",AU715="-"),"－",IF(OR(AZ715=8,AZ715=9),"",IF(OR(AW715=3,AW715=4,AW715=5,AW715=6),VLOOKUP(AU715,INDEX((係数_バス貨物_ガソリン,係数_バス貨物_CNG,係数_バス貨物_軽油,係数_バス貨物_メタノール,係数_バス貨物_LPG),MATCH(AY715,【参考】排出係数!$AI$4:$AI$671,1),1,BE715):INDEX((係数_バス貨物_ガソリン,係数_バス貨物_CNG,係数_バス貨物_軽油,係数_バス貨物_メタノール,係数_バス貨物_LPG),MATCH(AY715+1,【参考】排出係数!$AI$4:$AI$671,1)-1,5,BE715),2,FALSE),IF(OR(AW715=1,AW715=2),VLOOKUP(AU715,INDEX((係数_乗用_ガソリン,係数_乗用_CNG,係数_乗用_軽油,係数_乗用_メタノール,係数_乗用_LPG),1,1,BE715):INDEX((係数_乗用_ガソリン,係数_乗用_CNG,係数_乗用_軽油,係数_乗用_メタノール,係数_乗用_LPG),125,5,BE715),2,FALSE))))))</f>
        <v/>
      </c>
      <c r="BB715" s="468" t="str">
        <f>IF(T715="","",IF(OR(AU715="",AU715="-"),"－",IF(OR(AZ715=8,AZ715=9),"",IF(OR(AW715=3,AW715=4,AW715=5,AW715=6),VLOOKUP(AU715,INDEX((係数_バス貨物_ガソリン,係数_バス貨物_CNG,係数_バス貨物_軽油,係数_バス貨物_メタノール,係数_バス貨物_LPG),MATCH(AY715,【参考】排出係数!$AI$4:$AI$671,1),1,BE715):INDEX((係数_バス貨物_ガソリン,係数_バス貨物_CNG,係数_バス貨物_軽油,係数_バス貨物_メタノール,係数_バス貨物_LPG),MATCH(AY715+1,【参考】排出係数!$AI$4:$AI$671,1)-1,5,BE715),3,FALSE),IF(OR(AW715=1,AW715=2),VLOOKUP(AU715,INDEX((係数_乗用_ガソリン,係数_乗用_CNG,係数_乗用_軽油,係数_乗用_メタノール,係数_乗用_LPG),1,1,BE715):INDEX((係数_乗用_ガソリン,係数_乗用_CNG,係数_乗用_軽油,係数_乗用_メタノール,係数_乗用_LPG),125,5,BE715),3,FALSE))))))</f>
        <v/>
      </c>
      <c r="BC715" s="467" t="str">
        <f t="shared" si="406"/>
        <v/>
      </c>
      <c r="BD715" s="567" t="str">
        <f t="shared" si="407"/>
        <v/>
      </c>
      <c r="BE715" s="467" t="str">
        <f t="shared" si="408"/>
        <v/>
      </c>
      <c r="BF715" s="469" t="str">
        <f t="shared" ca="1" si="409"/>
        <v/>
      </c>
      <c r="BG715" s="469" t="str">
        <f t="shared" ca="1" si="410"/>
        <v/>
      </c>
      <c r="BH715" s="467" t="str">
        <f t="shared" si="411"/>
        <v/>
      </c>
      <c r="BI715" s="467" t="str">
        <f t="shared" ca="1" si="412"/>
        <v/>
      </c>
      <c r="BJ715" s="469" t="str">
        <f t="shared" si="413"/>
        <v/>
      </c>
      <c r="BK715" s="470" t="str">
        <f t="shared" si="397"/>
        <v/>
      </c>
      <c r="BL715" s="775" t="str">
        <f t="shared" si="414"/>
        <v/>
      </c>
      <c r="BM715" s="775" t="str">
        <f t="shared" si="415"/>
        <v/>
      </c>
    </row>
    <row r="716" spans="1:65">
      <c r="A716" s="473">
        <v>660</v>
      </c>
      <c r="B716" s="132"/>
      <c r="C716" s="332"/>
      <c r="D716" s="333"/>
      <c r="E716" s="333"/>
      <c r="F716" s="334"/>
      <c r="G716" s="337"/>
      <c r="H716" s="131"/>
      <c r="I716" s="337"/>
      <c r="J716" s="131"/>
      <c r="K716" s="458" t="str">
        <f t="shared" si="384"/>
        <v/>
      </c>
      <c r="L716" s="458">
        <f t="shared" si="385"/>
        <v>0</v>
      </c>
      <c r="M716" s="458">
        <f t="shared" si="386"/>
        <v>0</v>
      </c>
      <c r="N716" s="459" t="str">
        <f t="shared" si="283"/>
        <v/>
      </c>
      <c r="O716" s="459" t="str">
        <f t="shared" si="284"/>
        <v/>
      </c>
      <c r="P716" s="459" t="str">
        <f t="shared" si="285"/>
        <v/>
      </c>
      <c r="Q716" s="459" t="str">
        <f t="shared" si="286"/>
        <v/>
      </c>
      <c r="R716" s="459" t="str">
        <f t="shared" si="287"/>
        <v/>
      </c>
      <c r="S716" s="459" t="str">
        <f t="shared" si="288"/>
        <v/>
      </c>
      <c r="T716" s="566" t="str">
        <f t="shared" si="387"/>
        <v/>
      </c>
      <c r="U716" s="702"/>
      <c r="V716" s="132"/>
      <c r="W716" s="133"/>
      <c r="X716" s="134"/>
      <c r="Y716" s="135"/>
      <c r="Z716" s="137"/>
      <c r="AA716" s="136"/>
      <c r="AB716" s="566" t="str">
        <f t="shared" si="388"/>
        <v/>
      </c>
      <c r="AC716" s="568" t="str">
        <f t="shared" si="389"/>
        <v/>
      </c>
      <c r="AD716" s="137"/>
      <c r="AE716" s="137"/>
      <c r="AF716" s="138"/>
      <c r="AG716" s="138"/>
      <c r="AH716" s="592" t="str">
        <f t="shared" si="390"/>
        <v/>
      </c>
      <c r="AI716" s="592" t="str">
        <f t="shared" si="391"/>
        <v/>
      </c>
      <c r="AJ716" s="592" t="str">
        <f t="shared" si="392"/>
        <v/>
      </c>
      <c r="AK716" s="460" t="str">
        <f>IF(AU716="","",IF(OR(AZ716=8,AZ716=9),0,IF(OR(AW716=3,AW716=4,AW716=5,AW716=6),IF(LEFT(BF716,1)="1",INDEX(係数_NOX・PM低減,MATCH(AY716,【参考】排出係数!$AI$801:$AI$804,1),1),VLOOKUP(AU716,INDEX((係数_バス貨物_ガソリン,係数_バス貨物_CNG,係数_バス貨物_軽油,係数_バス貨物_メタノール,係数_バス貨物_LPG),MATCH(AY716,【参考】排出係数!$AI$4:$AI$671,1),1,BE716):INDEX((係数_バス貨物_ガソリン,係数_バス貨物_CNG,係数_バス貨物_軽油,係数_バス貨物_メタノール,係数_バス貨物_LPG),MATCH(AY716+1,【参考】排出係数!$AI$4:$AI$671,1)-1,5,BE716),4,FALSE)),IF(AND(BE716=3,LEFT(BF716,1)="1"),0.48,VLOOKUP(AU716,INDEX((係数_乗用_ガソリン,係数_乗用_CNG,係数_乗用_軽油,係数_乗用_メタノール,係数_乗用_LPG),1,1,BE716):INDEX((係数_乗用_ガソリン,係数_乗用_CNG,係数_乗用_軽油,係数_乗用_メタノール,係数_乗用_LPG),125,5,BE716),4,FALSE)))))</f>
        <v/>
      </c>
      <c r="AL716" s="461" t="str">
        <f t="shared" si="393"/>
        <v/>
      </c>
      <c r="AM716" s="460" t="str">
        <f>IF(AU716="","",IF(OR(AZ716=8,AZ716=9),0,IF(OR(AW716=3,AW716=4,AW716=5,AW716=6),IF(LEFT(BH716,1)="1",INDEX(係数_PM低減,MATCH(AY716,【参考】排出係数!$AI$801:$AI$804,1),MATCH(BI716,【参考】排出係数!$AL$798:$AO$798,1)),VLOOKUP(AU716,INDEX((係数_バス貨物_ガソリン,係数_バス貨物_CNG,係数_バス貨物_軽油,係数_バス貨物_メタノール,係数_バス貨物_LPG),MATCH(AY716,【参考】排出係数!$AI$4:$AI$671,1),1,BE716):INDEX((係数_バス貨物_ガソリン,係数_バス貨物_CNG,係数_バス貨物_軽油,係数_バス貨物_メタノール,係数_バス貨物_LPG),MATCH(AY716+1,【参考】排出係数!$AI$4:$AI$671,1)-1,5,BE716),5,FALSE)),IF(AND(BE716=3,LEFT(BF716,1)="1"),0.055,VLOOKUP(AU716,INDEX((係数_乗用_ガソリン,係数_乗用_CNG,係数_乗用_軽油,係数_乗用_メタノール,係数_乗用_LPG),1,1,BE716):INDEX((係数_乗用_ガソリン,係数_乗用_CNG,係数_乗用_軽油,係数_乗用_メタノール,係数_乗用_LPG),125,5,BE716),5,FALSE)))))</f>
        <v/>
      </c>
      <c r="AN716" s="461" t="str">
        <f t="shared" si="394"/>
        <v/>
      </c>
      <c r="AO716" s="462" t="str">
        <f t="shared" si="395"/>
        <v/>
      </c>
      <c r="AP716" s="463" t="str">
        <f t="shared" si="396"/>
        <v/>
      </c>
      <c r="AQ716" s="464"/>
      <c r="AR716" s="619"/>
      <c r="AS716" s="465" t="str">
        <f t="shared" si="398"/>
        <v/>
      </c>
      <c r="AT716" s="465" t="str">
        <f t="shared" si="399"/>
        <v/>
      </c>
      <c r="AU716" s="466" t="str">
        <f t="shared" si="400"/>
        <v/>
      </c>
      <c r="AV716" s="467" t="str">
        <f t="shared" si="401"/>
        <v/>
      </c>
      <c r="AW716" s="467" t="str">
        <f t="shared" si="402"/>
        <v/>
      </c>
      <c r="AX716" s="467" t="str">
        <f t="shared" si="403"/>
        <v/>
      </c>
      <c r="AY716" s="467" t="str">
        <f t="shared" si="404"/>
        <v/>
      </c>
      <c r="AZ716" s="467" t="str">
        <f t="shared" si="405"/>
        <v/>
      </c>
      <c r="BA716" s="468" t="str">
        <f>IF(AS716="","",IF(OR(AU716="",AU716="-"),"－",IF(OR(AZ716=8,AZ716=9),"",IF(OR(AW716=3,AW716=4,AW716=5,AW716=6),VLOOKUP(AU716,INDEX((係数_バス貨物_ガソリン,係数_バス貨物_CNG,係数_バス貨物_軽油,係数_バス貨物_メタノール,係数_バス貨物_LPG),MATCH(AY716,【参考】排出係数!$AI$4:$AI$671,1),1,BE716):INDEX((係数_バス貨物_ガソリン,係数_バス貨物_CNG,係数_バス貨物_軽油,係数_バス貨物_メタノール,係数_バス貨物_LPG),MATCH(AY716+1,【参考】排出係数!$AI$4:$AI$671,1)-1,5,BE716),2,FALSE),IF(OR(AW716=1,AW716=2),VLOOKUP(AU716,INDEX((係数_乗用_ガソリン,係数_乗用_CNG,係数_乗用_軽油,係数_乗用_メタノール,係数_乗用_LPG),1,1,BE716):INDEX((係数_乗用_ガソリン,係数_乗用_CNG,係数_乗用_軽油,係数_乗用_メタノール,係数_乗用_LPG),125,5,BE716),2,FALSE))))))</f>
        <v/>
      </c>
      <c r="BB716" s="468" t="str">
        <f>IF(T716="","",IF(OR(AU716="",AU716="-"),"－",IF(OR(AZ716=8,AZ716=9),"",IF(OR(AW716=3,AW716=4,AW716=5,AW716=6),VLOOKUP(AU716,INDEX((係数_バス貨物_ガソリン,係数_バス貨物_CNG,係数_バス貨物_軽油,係数_バス貨物_メタノール,係数_バス貨物_LPG),MATCH(AY716,【参考】排出係数!$AI$4:$AI$671,1),1,BE716):INDEX((係数_バス貨物_ガソリン,係数_バス貨物_CNG,係数_バス貨物_軽油,係数_バス貨物_メタノール,係数_バス貨物_LPG),MATCH(AY716+1,【参考】排出係数!$AI$4:$AI$671,1)-1,5,BE716),3,FALSE),IF(OR(AW716=1,AW716=2),VLOOKUP(AU716,INDEX((係数_乗用_ガソリン,係数_乗用_CNG,係数_乗用_軽油,係数_乗用_メタノール,係数_乗用_LPG),1,1,BE716):INDEX((係数_乗用_ガソリン,係数_乗用_CNG,係数_乗用_軽油,係数_乗用_メタノール,係数_乗用_LPG),125,5,BE716),3,FALSE))))))</f>
        <v/>
      </c>
      <c r="BC716" s="467" t="str">
        <f t="shared" si="406"/>
        <v/>
      </c>
      <c r="BD716" s="567" t="str">
        <f t="shared" si="407"/>
        <v/>
      </c>
      <c r="BE716" s="467" t="str">
        <f t="shared" si="408"/>
        <v/>
      </c>
      <c r="BF716" s="469" t="str">
        <f t="shared" ca="1" si="409"/>
        <v/>
      </c>
      <c r="BG716" s="469" t="str">
        <f t="shared" ca="1" si="410"/>
        <v/>
      </c>
      <c r="BH716" s="467" t="str">
        <f t="shared" si="411"/>
        <v/>
      </c>
      <c r="BI716" s="467" t="str">
        <f t="shared" ca="1" si="412"/>
        <v/>
      </c>
      <c r="BJ716" s="469" t="str">
        <f t="shared" si="413"/>
        <v/>
      </c>
      <c r="BK716" s="470" t="str">
        <f t="shared" si="397"/>
        <v/>
      </c>
      <c r="BL716" s="775" t="str">
        <f t="shared" si="414"/>
        <v/>
      </c>
      <c r="BM716" s="775" t="str">
        <f t="shared" si="415"/>
        <v/>
      </c>
    </row>
    <row r="717" spans="1:65">
      <c r="A717" s="473">
        <v>661</v>
      </c>
      <c r="B717" s="132"/>
      <c r="C717" s="332"/>
      <c r="D717" s="333"/>
      <c r="E717" s="333"/>
      <c r="F717" s="334"/>
      <c r="G717" s="337"/>
      <c r="H717" s="131"/>
      <c r="I717" s="337"/>
      <c r="J717" s="131"/>
      <c r="K717" s="458" t="str">
        <f t="shared" si="384"/>
        <v/>
      </c>
      <c r="L717" s="458">
        <f t="shared" si="385"/>
        <v>0</v>
      </c>
      <c r="M717" s="458">
        <f t="shared" si="386"/>
        <v>0</v>
      </c>
      <c r="N717" s="459" t="str">
        <f t="shared" si="283"/>
        <v/>
      </c>
      <c r="O717" s="459" t="str">
        <f t="shared" si="284"/>
        <v/>
      </c>
      <c r="P717" s="459" t="str">
        <f t="shared" si="285"/>
        <v/>
      </c>
      <c r="Q717" s="459" t="str">
        <f t="shared" si="286"/>
        <v/>
      </c>
      <c r="R717" s="459" t="str">
        <f t="shared" si="287"/>
        <v/>
      </c>
      <c r="S717" s="459" t="str">
        <f t="shared" si="288"/>
        <v/>
      </c>
      <c r="T717" s="566" t="str">
        <f t="shared" si="387"/>
        <v/>
      </c>
      <c r="U717" s="702"/>
      <c r="V717" s="132"/>
      <c r="W717" s="133"/>
      <c r="X717" s="134"/>
      <c r="Y717" s="135"/>
      <c r="Z717" s="137"/>
      <c r="AA717" s="136"/>
      <c r="AB717" s="566" t="str">
        <f t="shared" si="388"/>
        <v/>
      </c>
      <c r="AC717" s="568" t="str">
        <f t="shared" si="389"/>
        <v/>
      </c>
      <c r="AD717" s="137"/>
      <c r="AE717" s="137"/>
      <c r="AF717" s="138"/>
      <c r="AG717" s="138"/>
      <c r="AH717" s="592" t="str">
        <f t="shared" si="390"/>
        <v/>
      </c>
      <c r="AI717" s="592" t="str">
        <f t="shared" si="391"/>
        <v/>
      </c>
      <c r="AJ717" s="592" t="str">
        <f t="shared" si="392"/>
        <v/>
      </c>
      <c r="AK717" s="460" t="str">
        <f>IF(AU717="","",IF(OR(AZ717=8,AZ717=9),0,IF(OR(AW717=3,AW717=4,AW717=5,AW717=6),IF(LEFT(BF717,1)="1",INDEX(係数_NOX・PM低減,MATCH(AY717,【参考】排出係数!$AI$801:$AI$804,1),1),VLOOKUP(AU717,INDEX((係数_バス貨物_ガソリン,係数_バス貨物_CNG,係数_バス貨物_軽油,係数_バス貨物_メタノール,係数_バス貨物_LPG),MATCH(AY717,【参考】排出係数!$AI$4:$AI$671,1),1,BE717):INDEX((係数_バス貨物_ガソリン,係数_バス貨物_CNG,係数_バス貨物_軽油,係数_バス貨物_メタノール,係数_バス貨物_LPG),MATCH(AY717+1,【参考】排出係数!$AI$4:$AI$671,1)-1,5,BE717),4,FALSE)),IF(AND(BE717=3,LEFT(BF717,1)="1"),0.48,VLOOKUP(AU717,INDEX((係数_乗用_ガソリン,係数_乗用_CNG,係数_乗用_軽油,係数_乗用_メタノール,係数_乗用_LPG),1,1,BE717):INDEX((係数_乗用_ガソリン,係数_乗用_CNG,係数_乗用_軽油,係数_乗用_メタノール,係数_乗用_LPG),125,5,BE717),4,FALSE)))))</f>
        <v/>
      </c>
      <c r="AL717" s="461" t="str">
        <f t="shared" si="393"/>
        <v/>
      </c>
      <c r="AM717" s="460" t="str">
        <f>IF(AU717="","",IF(OR(AZ717=8,AZ717=9),0,IF(OR(AW717=3,AW717=4,AW717=5,AW717=6),IF(LEFT(BH717,1)="1",INDEX(係数_PM低減,MATCH(AY717,【参考】排出係数!$AI$801:$AI$804,1),MATCH(BI717,【参考】排出係数!$AL$798:$AO$798,1)),VLOOKUP(AU717,INDEX((係数_バス貨物_ガソリン,係数_バス貨物_CNG,係数_バス貨物_軽油,係数_バス貨物_メタノール,係数_バス貨物_LPG),MATCH(AY717,【参考】排出係数!$AI$4:$AI$671,1),1,BE717):INDEX((係数_バス貨物_ガソリン,係数_バス貨物_CNG,係数_バス貨物_軽油,係数_バス貨物_メタノール,係数_バス貨物_LPG),MATCH(AY717+1,【参考】排出係数!$AI$4:$AI$671,1)-1,5,BE717),5,FALSE)),IF(AND(BE717=3,LEFT(BF717,1)="1"),0.055,VLOOKUP(AU717,INDEX((係数_乗用_ガソリン,係数_乗用_CNG,係数_乗用_軽油,係数_乗用_メタノール,係数_乗用_LPG),1,1,BE717):INDEX((係数_乗用_ガソリン,係数_乗用_CNG,係数_乗用_軽油,係数_乗用_メタノール,係数_乗用_LPG),125,5,BE717),5,FALSE)))))</f>
        <v/>
      </c>
      <c r="AN717" s="461" t="str">
        <f t="shared" si="394"/>
        <v/>
      </c>
      <c r="AO717" s="462" t="str">
        <f t="shared" si="395"/>
        <v/>
      </c>
      <c r="AP717" s="463" t="str">
        <f t="shared" si="396"/>
        <v/>
      </c>
      <c r="AQ717" s="464"/>
      <c r="AR717" s="619"/>
      <c r="AS717" s="465" t="str">
        <f t="shared" si="398"/>
        <v/>
      </c>
      <c r="AT717" s="465" t="str">
        <f t="shared" si="399"/>
        <v/>
      </c>
      <c r="AU717" s="466" t="str">
        <f t="shared" si="400"/>
        <v/>
      </c>
      <c r="AV717" s="467" t="str">
        <f t="shared" si="401"/>
        <v/>
      </c>
      <c r="AW717" s="467" t="str">
        <f t="shared" si="402"/>
        <v/>
      </c>
      <c r="AX717" s="467" t="str">
        <f t="shared" si="403"/>
        <v/>
      </c>
      <c r="AY717" s="467" t="str">
        <f t="shared" si="404"/>
        <v/>
      </c>
      <c r="AZ717" s="467" t="str">
        <f t="shared" si="405"/>
        <v/>
      </c>
      <c r="BA717" s="468" t="str">
        <f>IF(AS717="","",IF(OR(AU717="",AU717="-"),"－",IF(OR(AZ717=8,AZ717=9),"",IF(OR(AW717=3,AW717=4,AW717=5,AW717=6),VLOOKUP(AU717,INDEX((係数_バス貨物_ガソリン,係数_バス貨物_CNG,係数_バス貨物_軽油,係数_バス貨物_メタノール,係数_バス貨物_LPG),MATCH(AY717,【参考】排出係数!$AI$4:$AI$671,1),1,BE717):INDEX((係数_バス貨物_ガソリン,係数_バス貨物_CNG,係数_バス貨物_軽油,係数_バス貨物_メタノール,係数_バス貨物_LPG),MATCH(AY717+1,【参考】排出係数!$AI$4:$AI$671,1)-1,5,BE717),2,FALSE),IF(OR(AW717=1,AW717=2),VLOOKUP(AU717,INDEX((係数_乗用_ガソリン,係数_乗用_CNG,係数_乗用_軽油,係数_乗用_メタノール,係数_乗用_LPG),1,1,BE717):INDEX((係数_乗用_ガソリン,係数_乗用_CNG,係数_乗用_軽油,係数_乗用_メタノール,係数_乗用_LPG),125,5,BE717),2,FALSE))))))</f>
        <v/>
      </c>
      <c r="BB717" s="468" t="str">
        <f>IF(T717="","",IF(OR(AU717="",AU717="-"),"－",IF(OR(AZ717=8,AZ717=9),"",IF(OR(AW717=3,AW717=4,AW717=5,AW717=6),VLOOKUP(AU717,INDEX((係数_バス貨物_ガソリン,係数_バス貨物_CNG,係数_バス貨物_軽油,係数_バス貨物_メタノール,係数_バス貨物_LPG),MATCH(AY717,【参考】排出係数!$AI$4:$AI$671,1),1,BE717):INDEX((係数_バス貨物_ガソリン,係数_バス貨物_CNG,係数_バス貨物_軽油,係数_バス貨物_メタノール,係数_バス貨物_LPG),MATCH(AY717+1,【参考】排出係数!$AI$4:$AI$671,1)-1,5,BE717),3,FALSE),IF(OR(AW717=1,AW717=2),VLOOKUP(AU717,INDEX((係数_乗用_ガソリン,係数_乗用_CNG,係数_乗用_軽油,係数_乗用_メタノール,係数_乗用_LPG),1,1,BE717):INDEX((係数_乗用_ガソリン,係数_乗用_CNG,係数_乗用_軽油,係数_乗用_メタノール,係数_乗用_LPG),125,5,BE717),3,FALSE))))))</f>
        <v/>
      </c>
      <c r="BC717" s="467" t="str">
        <f t="shared" si="406"/>
        <v/>
      </c>
      <c r="BD717" s="567" t="str">
        <f t="shared" si="407"/>
        <v/>
      </c>
      <c r="BE717" s="467" t="str">
        <f t="shared" si="408"/>
        <v/>
      </c>
      <c r="BF717" s="469" t="str">
        <f t="shared" ca="1" si="409"/>
        <v/>
      </c>
      <c r="BG717" s="469" t="str">
        <f t="shared" ca="1" si="410"/>
        <v/>
      </c>
      <c r="BH717" s="467" t="str">
        <f t="shared" si="411"/>
        <v/>
      </c>
      <c r="BI717" s="467" t="str">
        <f t="shared" ca="1" si="412"/>
        <v/>
      </c>
      <c r="BJ717" s="469" t="str">
        <f t="shared" si="413"/>
        <v/>
      </c>
      <c r="BK717" s="470" t="str">
        <f t="shared" si="397"/>
        <v/>
      </c>
      <c r="BL717" s="775" t="str">
        <f t="shared" si="414"/>
        <v/>
      </c>
      <c r="BM717" s="775" t="str">
        <f t="shared" si="415"/>
        <v/>
      </c>
    </row>
    <row r="718" spans="1:65">
      <c r="A718" s="473">
        <v>662</v>
      </c>
      <c r="B718" s="132"/>
      <c r="C718" s="332"/>
      <c r="D718" s="333"/>
      <c r="E718" s="333"/>
      <c r="F718" s="334"/>
      <c r="G718" s="337"/>
      <c r="H718" s="131"/>
      <c r="I718" s="337"/>
      <c r="J718" s="131"/>
      <c r="K718" s="458" t="str">
        <f t="shared" si="384"/>
        <v/>
      </c>
      <c r="L718" s="458">
        <f t="shared" si="385"/>
        <v>0</v>
      </c>
      <c r="M718" s="458">
        <f t="shared" si="386"/>
        <v>0</v>
      </c>
      <c r="N718" s="459" t="str">
        <f t="shared" si="283"/>
        <v/>
      </c>
      <c r="O718" s="459" t="str">
        <f t="shared" si="284"/>
        <v/>
      </c>
      <c r="P718" s="459" t="str">
        <f t="shared" si="285"/>
        <v/>
      </c>
      <c r="Q718" s="459" t="str">
        <f t="shared" si="286"/>
        <v/>
      </c>
      <c r="R718" s="459" t="str">
        <f t="shared" si="287"/>
        <v/>
      </c>
      <c r="S718" s="459" t="str">
        <f t="shared" si="288"/>
        <v/>
      </c>
      <c r="T718" s="566" t="str">
        <f t="shared" si="387"/>
        <v/>
      </c>
      <c r="U718" s="702"/>
      <c r="V718" s="132"/>
      <c r="W718" s="133"/>
      <c r="X718" s="134"/>
      <c r="Y718" s="135"/>
      <c r="Z718" s="137"/>
      <c r="AA718" s="136"/>
      <c r="AB718" s="566" t="str">
        <f t="shared" si="388"/>
        <v/>
      </c>
      <c r="AC718" s="568" t="str">
        <f t="shared" si="389"/>
        <v/>
      </c>
      <c r="AD718" s="137"/>
      <c r="AE718" s="137"/>
      <c r="AF718" s="138"/>
      <c r="AG718" s="138"/>
      <c r="AH718" s="592" t="str">
        <f t="shared" si="390"/>
        <v/>
      </c>
      <c r="AI718" s="592" t="str">
        <f t="shared" si="391"/>
        <v/>
      </c>
      <c r="AJ718" s="592" t="str">
        <f t="shared" si="392"/>
        <v/>
      </c>
      <c r="AK718" s="460" t="str">
        <f>IF(AU718="","",IF(OR(AZ718=8,AZ718=9),0,IF(OR(AW718=3,AW718=4,AW718=5,AW718=6),IF(LEFT(BF718,1)="1",INDEX(係数_NOX・PM低減,MATCH(AY718,【参考】排出係数!$AI$801:$AI$804,1),1),VLOOKUP(AU718,INDEX((係数_バス貨物_ガソリン,係数_バス貨物_CNG,係数_バス貨物_軽油,係数_バス貨物_メタノール,係数_バス貨物_LPG),MATCH(AY718,【参考】排出係数!$AI$4:$AI$671,1),1,BE718):INDEX((係数_バス貨物_ガソリン,係数_バス貨物_CNG,係数_バス貨物_軽油,係数_バス貨物_メタノール,係数_バス貨物_LPG),MATCH(AY718+1,【参考】排出係数!$AI$4:$AI$671,1)-1,5,BE718),4,FALSE)),IF(AND(BE718=3,LEFT(BF718,1)="1"),0.48,VLOOKUP(AU718,INDEX((係数_乗用_ガソリン,係数_乗用_CNG,係数_乗用_軽油,係数_乗用_メタノール,係数_乗用_LPG),1,1,BE718):INDEX((係数_乗用_ガソリン,係数_乗用_CNG,係数_乗用_軽油,係数_乗用_メタノール,係数_乗用_LPG),125,5,BE718),4,FALSE)))))</f>
        <v/>
      </c>
      <c r="AL718" s="461" t="str">
        <f t="shared" si="393"/>
        <v/>
      </c>
      <c r="AM718" s="460" t="str">
        <f>IF(AU718="","",IF(OR(AZ718=8,AZ718=9),0,IF(OR(AW718=3,AW718=4,AW718=5,AW718=6),IF(LEFT(BH718,1)="1",INDEX(係数_PM低減,MATCH(AY718,【参考】排出係数!$AI$801:$AI$804,1),MATCH(BI718,【参考】排出係数!$AL$798:$AO$798,1)),VLOOKUP(AU718,INDEX((係数_バス貨物_ガソリン,係数_バス貨物_CNG,係数_バス貨物_軽油,係数_バス貨物_メタノール,係数_バス貨物_LPG),MATCH(AY718,【参考】排出係数!$AI$4:$AI$671,1),1,BE718):INDEX((係数_バス貨物_ガソリン,係数_バス貨物_CNG,係数_バス貨物_軽油,係数_バス貨物_メタノール,係数_バス貨物_LPG),MATCH(AY718+1,【参考】排出係数!$AI$4:$AI$671,1)-1,5,BE718),5,FALSE)),IF(AND(BE718=3,LEFT(BF718,1)="1"),0.055,VLOOKUP(AU718,INDEX((係数_乗用_ガソリン,係数_乗用_CNG,係数_乗用_軽油,係数_乗用_メタノール,係数_乗用_LPG),1,1,BE718):INDEX((係数_乗用_ガソリン,係数_乗用_CNG,係数_乗用_軽油,係数_乗用_メタノール,係数_乗用_LPG),125,5,BE718),5,FALSE)))))</f>
        <v/>
      </c>
      <c r="AN718" s="461" t="str">
        <f t="shared" si="394"/>
        <v/>
      </c>
      <c r="AO718" s="462" t="str">
        <f t="shared" si="395"/>
        <v/>
      </c>
      <c r="AP718" s="463" t="str">
        <f t="shared" si="396"/>
        <v/>
      </c>
      <c r="AQ718" s="464"/>
      <c r="AR718" s="619"/>
      <c r="AS718" s="465" t="str">
        <f t="shared" si="398"/>
        <v/>
      </c>
      <c r="AT718" s="465" t="str">
        <f t="shared" si="399"/>
        <v/>
      </c>
      <c r="AU718" s="466" t="str">
        <f t="shared" si="400"/>
        <v/>
      </c>
      <c r="AV718" s="467" t="str">
        <f t="shared" si="401"/>
        <v/>
      </c>
      <c r="AW718" s="467" t="str">
        <f t="shared" si="402"/>
        <v/>
      </c>
      <c r="AX718" s="467" t="str">
        <f t="shared" si="403"/>
        <v/>
      </c>
      <c r="AY718" s="467" t="str">
        <f t="shared" si="404"/>
        <v/>
      </c>
      <c r="AZ718" s="467" t="str">
        <f t="shared" si="405"/>
        <v/>
      </c>
      <c r="BA718" s="468" t="str">
        <f>IF(AS718="","",IF(OR(AU718="",AU718="-"),"－",IF(OR(AZ718=8,AZ718=9),"",IF(OR(AW718=3,AW718=4,AW718=5,AW718=6),VLOOKUP(AU718,INDEX((係数_バス貨物_ガソリン,係数_バス貨物_CNG,係数_バス貨物_軽油,係数_バス貨物_メタノール,係数_バス貨物_LPG),MATCH(AY718,【参考】排出係数!$AI$4:$AI$671,1),1,BE718):INDEX((係数_バス貨物_ガソリン,係数_バス貨物_CNG,係数_バス貨物_軽油,係数_バス貨物_メタノール,係数_バス貨物_LPG),MATCH(AY718+1,【参考】排出係数!$AI$4:$AI$671,1)-1,5,BE718),2,FALSE),IF(OR(AW718=1,AW718=2),VLOOKUP(AU718,INDEX((係数_乗用_ガソリン,係数_乗用_CNG,係数_乗用_軽油,係数_乗用_メタノール,係数_乗用_LPG),1,1,BE718):INDEX((係数_乗用_ガソリン,係数_乗用_CNG,係数_乗用_軽油,係数_乗用_メタノール,係数_乗用_LPG),125,5,BE718),2,FALSE))))))</f>
        <v/>
      </c>
      <c r="BB718" s="468" t="str">
        <f>IF(T718="","",IF(OR(AU718="",AU718="-"),"－",IF(OR(AZ718=8,AZ718=9),"",IF(OR(AW718=3,AW718=4,AW718=5,AW718=6),VLOOKUP(AU718,INDEX((係数_バス貨物_ガソリン,係数_バス貨物_CNG,係数_バス貨物_軽油,係数_バス貨物_メタノール,係数_バス貨物_LPG),MATCH(AY718,【参考】排出係数!$AI$4:$AI$671,1),1,BE718):INDEX((係数_バス貨物_ガソリン,係数_バス貨物_CNG,係数_バス貨物_軽油,係数_バス貨物_メタノール,係数_バス貨物_LPG),MATCH(AY718+1,【参考】排出係数!$AI$4:$AI$671,1)-1,5,BE718),3,FALSE),IF(OR(AW718=1,AW718=2),VLOOKUP(AU718,INDEX((係数_乗用_ガソリン,係数_乗用_CNG,係数_乗用_軽油,係数_乗用_メタノール,係数_乗用_LPG),1,1,BE718):INDEX((係数_乗用_ガソリン,係数_乗用_CNG,係数_乗用_軽油,係数_乗用_メタノール,係数_乗用_LPG),125,5,BE718),3,FALSE))))))</f>
        <v/>
      </c>
      <c r="BC718" s="467" t="str">
        <f t="shared" si="406"/>
        <v/>
      </c>
      <c r="BD718" s="567" t="str">
        <f t="shared" si="407"/>
        <v/>
      </c>
      <c r="BE718" s="467" t="str">
        <f t="shared" si="408"/>
        <v/>
      </c>
      <c r="BF718" s="469" t="str">
        <f t="shared" ca="1" si="409"/>
        <v/>
      </c>
      <c r="BG718" s="469" t="str">
        <f t="shared" ca="1" si="410"/>
        <v/>
      </c>
      <c r="BH718" s="467" t="str">
        <f t="shared" si="411"/>
        <v/>
      </c>
      <c r="BI718" s="467" t="str">
        <f t="shared" ca="1" si="412"/>
        <v/>
      </c>
      <c r="BJ718" s="469" t="str">
        <f t="shared" si="413"/>
        <v/>
      </c>
      <c r="BK718" s="470" t="str">
        <f t="shared" si="397"/>
        <v/>
      </c>
      <c r="BL718" s="775" t="str">
        <f t="shared" si="414"/>
        <v/>
      </c>
      <c r="BM718" s="775" t="str">
        <f t="shared" si="415"/>
        <v/>
      </c>
    </row>
    <row r="719" spans="1:65">
      <c r="A719" s="473">
        <v>663</v>
      </c>
      <c r="B719" s="132"/>
      <c r="C719" s="332"/>
      <c r="D719" s="333"/>
      <c r="E719" s="333"/>
      <c r="F719" s="334"/>
      <c r="G719" s="337"/>
      <c r="H719" s="131"/>
      <c r="I719" s="337"/>
      <c r="J719" s="131"/>
      <c r="K719" s="458" t="str">
        <f t="shared" si="384"/>
        <v/>
      </c>
      <c r="L719" s="458">
        <f t="shared" si="385"/>
        <v>0</v>
      </c>
      <c r="M719" s="458">
        <f t="shared" si="386"/>
        <v>0</v>
      </c>
      <c r="N719" s="459" t="str">
        <f t="shared" si="283"/>
        <v/>
      </c>
      <c r="O719" s="459" t="str">
        <f t="shared" si="284"/>
        <v/>
      </c>
      <c r="P719" s="459" t="str">
        <f t="shared" si="285"/>
        <v/>
      </c>
      <c r="Q719" s="459" t="str">
        <f t="shared" si="286"/>
        <v/>
      </c>
      <c r="R719" s="459" t="str">
        <f t="shared" si="287"/>
        <v/>
      </c>
      <c r="S719" s="459" t="str">
        <f t="shared" si="288"/>
        <v/>
      </c>
      <c r="T719" s="566" t="str">
        <f t="shared" si="387"/>
        <v/>
      </c>
      <c r="U719" s="702"/>
      <c r="V719" s="132"/>
      <c r="W719" s="133"/>
      <c r="X719" s="134"/>
      <c r="Y719" s="135"/>
      <c r="Z719" s="137"/>
      <c r="AA719" s="136"/>
      <c r="AB719" s="566" t="str">
        <f t="shared" si="388"/>
        <v/>
      </c>
      <c r="AC719" s="568" t="str">
        <f t="shared" si="389"/>
        <v/>
      </c>
      <c r="AD719" s="137"/>
      <c r="AE719" s="137"/>
      <c r="AF719" s="138"/>
      <c r="AG719" s="138"/>
      <c r="AH719" s="592" t="str">
        <f t="shared" si="390"/>
        <v/>
      </c>
      <c r="AI719" s="592" t="str">
        <f t="shared" si="391"/>
        <v/>
      </c>
      <c r="AJ719" s="592" t="str">
        <f t="shared" si="392"/>
        <v/>
      </c>
      <c r="AK719" s="460" t="str">
        <f>IF(AU719="","",IF(OR(AZ719=8,AZ719=9),0,IF(OR(AW719=3,AW719=4,AW719=5,AW719=6),IF(LEFT(BF719,1)="1",INDEX(係数_NOX・PM低減,MATCH(AY719,【参考】排出係数!$AI$801:$AI$804,1),1),VLOOKUP(AU719,INDEX((係数_バス貨物_ガソリン,係数_バス貨物_CNG,係数_バス貨物_軽油,係数_バス貨物_メタノール,係数_バス貨物_LPG),MATCH(AY719,【参考】排出係数!$AI$4:$AI$671,1),1,BE719):INDEX((係数_バス貨物_ガソリン,係数_バス貨物_CNG,係数_バス貨物_軽油,係数_バス貨物_メタノール,係数_バス貨物_LPG),MATCH(AY719+1,【参考】排出係数!$AI$4:$AI$671,1)-1,5,BE719),4,FALSE)),IF(AND(BE719=3,LEFT(BF719,1)="1"),0.48,VLOOKUP(AU719,INDEX((係数_乗用_ガソリン,係数_乗用_CNG,係数_乗用_軽油,係数_乗用_メタノール,係数_乗用_LPG),1,1,BE719):INDEX((係数_乗用_ガソリン,係数_乗用_CNG,係数_乗用_軽油,係数_乗用_メタノール,係数_乗用_LPG),125,5,BE719),4,FALSE)))))</f>
        <v/>
      </c>
      <c r="AL719" s="461" t="str">
        <f t="shared" si="393"/>
        <v/>
      </c>
      <c r="AM719" s="460" t="str">
        <f>IF(AU719="","",IF(OR(AZ719=8,AZ719=9),0,IF(OR(AW719=3,AW719=4,AW719=5,AW719=6),IF(LEFT(BH719,1)="1",INDEX(係数_PM低減,MATCH(AY719,【参考】排出係数!$AI$801:$AI$804,1),MATCH(BI719,【参考】排出係数!$AL$798:$AO$798,1)),VLOOKUP(AU719,INDEX((係数_バス貨物_ガソリン,係数_バス貨物_CNG,係数_バス貨物_軽油,係数_バス貨物_メタノール,係数_バス貨物_LPG),MATCH(AY719,【参考】排出係数!$AI$4:$AI$671,1),1,BE719):INDEX((係数_バス貨物_ガソリン,係数_バス貨物_CNG,係数_バス貨物_軽油,係数_バス貨物_メタノール,係数_バス貨物_LPG),MATCH(AY719+1,【参考】排出係数!$AI$4:$AI$671,1)-1,5,BE719),5,FALSE)),IF(AND(BE719=3,LEFT(BF719,1)="1"),0.055,VLOOKUP(AU719,INDEX((係数_乗用_ガソリン,係数_乗用_CNG,係数_乗用_軽油,係数_乗用_メタノール,係数_乗用_LPG),1,1,BE719):INDEX((係数_乗用_ガソリン,係数_乗用_CNG,係数_乗用_軽油,係数_乗用_メタノール,係数_乗用_LPG),125,5,BE719),5,FALSE)))))</f>
        <v/>
      </c>
      <c r="AN719" s="461" t="str">
        <f t="shared" si="394"/>
        <v/>
      </c>
      <c r="AO719" s="462" t="str">
        <f t="shared" si="395"/>
        <v/>
      </c>
      <c r="AP719" s="463" t="str">
        <f t="shared" si="396"/>
        <v/>
      </c>
      <c r="AQ719" s="464"/>
      <c r="AR719" s="619"/>
      <c r="AS719" s="465" t="str">
        <f t="shared" si="398"/>
        <v/>
      </c>
      <c r="AT719" s="465" t="str">
        <f t="shared" si="399"/>
        <v/>
      </c>
      <c r="AU719" s="466" t="str">
        <f t="shared" si="400"/>
        <v/>
      </c>
      <c r="AV719" s="467" t="str">
        <f t="shared" si="401"/>
        <v/>
      </c>
      <c r="AW719" s="467" t="str">
        <f t="shared" si="402"/>
        <v/>
      </c>
      <c r="AX719" s="467" t="str">
        <f t="shared" si="403"/>
        <v/>
      </c>
      <c r="AY719" s="467" t="str">
        <f t="shared" si="404"/>
        <v/>
      </c>
      <c r="AZ719" s="467" t="str">
        <f t="shared" si="405"/>
        <v/>
      </c>
      <c r="BA719" s="468" t="str">
        <f>IF(AS719="","",IF(OR(AU719="",AU719="-"),"－",IF(OR(AZ719=8,AZ719=9),"",IF(OR(AW719=3,AW719=4,AW719=5,AW719=6),VLOOKUP(AU719,INDEX((係数_バス貨物_ガソリン,係数_バス貨物_CNG,係数_バス貨物_軽油,係数_バス貨物_メタノール,係数_バス貨物_LPG),MATCH(AY719,【参考】排出係数!$AI$4:$AI$671,1),1,BE719):INDEX((係数_バス貨物_ガソリン,係数_バス貨物_CNG,係数_バス貨物_軽油,係数_バス貨物_メタノール,係数_バス貨物_LPG),MATCH(AY719+1,【参考】排出係数!$AI$4:$AI$671,1)-1,5,BE719),2,FALSE),IF(OR(AW719=1,AW719=2),VLOOKUP(AU719,INDEX((係数_乗用_ガソリン,係数_乗用_CNG,係数_乗用_軽油,係数_乗用_メタノール,係数_乗用_LPG),1,1,BE719):INDEX((係数_乗用_ガソリン,係数_乗用_CNG,係数_乗用_軽油,係数_乗用_メタノール,係数_乗用_LPG),125,5,BE719),2,FALSE))))))</f>
        <v/>
      </c>
      <c r="BB719" s="468" t="str">
        <f>IF(T719="","",IF(OR(AU719="",AU719="-"),"－",IF(OR(AZ719=8,AZ719=9),"",IF(OR(AW719=3,AW719=4,AW719=5,AW719=6),VLOOKUP(AU719,INDEX((係数_バス貨物_ガソリン,係数_バス貨物_CNG,係数_バス貨物_軽油,係数_バス貨物_メタノール,係数_バス貨物_LPG),MATCH(AY719,【参考】排出係数!$AI$4:$AI$671,1),1,BE719):INDEX((係数_バス貨物_ガソリン,係数_バス貨物_CNG,係数_バス貨物_軽油,係数_バス貨物_メタノール,係数_バス貨物_LPG),MATCH(AY719+1,【参考】排出係数!$AI$4:$AI$671,1)-1,5,BE719),3,FALSE),IF(OR(AW719=1,AW719=2),VLOOKUP(AU719,INDEX((係数_乗用_ガソリン,係数_乗用_CNG,係数_乗用_軽油,係数_乗用_メタノール,係数_乗用_LPG),1,1,BE719):INDEX((係数_乗用_ガソリン,係数_乗用_CNG,係数_乗用_軽油,係数_乗用_メタノール,係数_乗用_LPG),125,5,BE719),3,FALSE))))))</f>
        <v/>
      </c>
      <c r="BC719" s="467" t="str">
        <f t="shared" si="406"/>
        <v/>
      </c>
      <c r="BD719" s="567" t="str">
        <f t="shared" si="407"/>
        <v/>
      </c>
      <c r="BE719" s="467" t="str">
        <f t="shared" si="408"/>
        <v/>
      </c>
      <c r="BF719" s="469" t="str">
        <f t="shared" ca="1" si="409"/>
        <v/>
      </c>
      <c r="BG719" s="469" t="str">
        <f t="shared" ca="1" si="410"/>
        <v/>
      </c>
      <c r="BH719" s="467" t="str">
        <f t="shared" si="411"/>
        <v/>
      </c>
      <c r="BI719" s="467" t="str">
        <f t="shared" ca="1" si="412"/>
        <v/>
      </c>
      <c r="BJ719" s="469" t="str">
        <f t="shared" si="413"/>
        <v/>
      </c>
      <c r="BK719" s="470" t="str">
        <f t="shared" si="397"/>
        <v/>
      </c>
      <c r="BL719" s="775" t="str">
        <f t="shared" si="414"/>
        <v/>
      </c>
      <c r="BM719" s="775" t="str">
        <f t="shared" si="415"/>
        <v/>
      </c>
    </row>
    <row r="720" spans="1:65">
      <c r="A720" s="473">
        <v>664</v>
      </c>
      <c r="B720" s="132"/>
      <c r="C720" s="332"/>
      <c r="D720" s="333"/>
      <c r="E720" s="333"/>
      <c r="F720" s="334"/>
      <c r="G720" s="337"/>
      <c r="H720" s="131"/>
      <c r="I720" s="337"/>
      <c r="J720" s="131"/>
      <c r="K720" s="458" t="str">
        <f t="shared" si="384"/>
        <v/>
      </c>
      <c r="L720" s="458">
        <f t="shared" si="385"/>
        <v>0</v>
      </c>
      <c r="M720" s="458">
        <f t="shared" si="386"/>
        <v>0</v>
      </c>
      <c r="N720" s="459" t="str">
        <f t="shared" si="283"/>
        <v/>
      </c>
      <c r="O720" s="459" t="str">
        <f t="shared" si="284"/>
        <v/>
      </c>
      <c r="P720" s="459" t="str">
        <f t="shared" si="285"/>
        <v/>
      </c>
      <c r="Q720" s="459" t="str">
        <f t="shared" si="286"/>
        <v/>
      </c>
      <c r="R720" s="459" t="str">
        <f t="shared" si="287"/>
        <v/>
      </c>
      <c r="S720" s="459" t="str">
        <f t="shared" si="288"/>
        <v/>
      </c>
      <c r="T720" s="566" t="str">
        <f t="shared" si="387"/>
        <v/>
      </c>
      <c r="U720" s="702"/>
      <c r="V720" s="132"/>
      <c r="W720" s="133"/>
      <c r="X720" s="134"/>
      <c r="Y720" s="135"/>
      <c r="Z720" s="137"/>
      <c r="AA720" s="136"/>
      <c r="AB720" s="566" t="str">
        <f t="shared" si="388"/>
        <v/>
      </c>
      <c r="AC720" s="568" t="str">
        <f t="shared" si="389"/>
        <v/>
      </c>
      <c r="AD720" s="137"/>
      <c r="AE720" s="137"/>
      <c r="AF720" s="138"/>
      <c r="AG720" s="138"/>
      <c r="AH720" s="592" t="str">
        <f t="shared" si="390"/>
        <v/>
      </c>
      <c r="AI720" s="592" t="str">
        <f t="shared" si="391"/>
        <v/>
      </c>
      <c r="AJ720" s="592" t="str">
        <f t="shared" si="392"/>
        <v/>
      </c>
      <c r="AK720" s="460" t="str">
        <f>IF(AU720="","",IF(OR(AZ720=8,AZ720=9),0,IF(OR(AW720=3,AW720=4,AW720=5,AW720=6),IF(LEFT(BF720,1)="1",INDEX(係数_NOX・PM低減,MATCH(AY720,【参考】排出係数!$AI$801:$AI$804,1),1),VLOOKUP(AU720,INDEX((係数_バス貨物_ガソリン,係数_バス貨物_CNG,係数_バス貨物_軽油,係数_バス貨物_メタノール,係数_バス貨物_LPG),MATCH(AY720,【参考】排出係数!$AI$4:$AI$671,1),1,BE720):INDEX((係数_バス貨物_ガソリン,係数_バス貨物_CNG,係数_バス貨物_軽油,係数_バス貨物_メタノール,係数_バス貨物_LPG),MATCH(AY720+1,【参考】排出係数!$AI$4:$AI$671,1)-1,5,BE720),4,FALSE)),IF(AND(BE720=3,LEFT(BF720,1)="1"),0.48,VLOOKUP(AU720,INDEX((係数_乗用_ガソリン,係数_乗用_CNG,係数_乗用_軽油,係数_乗用_メタノール,係数_乗用_LPG),1,1,BE720):INDEX((係数_乗用_ガソリン,係数_乗用_CNG,係数_乗用_軽油,係数_乗用_メタノール,係数_乗用_LPG),125,5,BE720),4,FALSE)))))</f>
        <v/>
      </c>
      <c r="AL720" s="461" t="str">
        <f t="shared" si="393"/>
        <v/>
      </c>
      <c r="AM720" s="460" t="str">
        <f>IF(AU720="","",IF(OR(AZ720=8,AZ720=9),0,IF(OR(AW720=3,AW720=4,AW720=5,AW720=6),IF(LEFT(BH720,1)="1",INDEX(係数_PM低減,MATCH(AY720,【参考】排出係数!$AI$801:$AI$804,1),MATCH(BI720,【参考】排出係数!$AL$798:$AO$798,1)),VLOOKUP(AU720,INDEX((係数_バス貨物_ガソリン,係数_バス貨物_CNG,係数_バス貨物_軽油,係数_バス貨物_メタノール,係数_バス貨物_LPG),MATCH(AY720,【参考】排出係数!$AI$4:$AI$671,1),1,BE720):INDEX((係数_バス貨物_ガソリン,係数_バス貨物_CNG,係数_バス貨物_軽油,係数_バス貨物_メタノール,係数_バス貨物_LPG),MATCH(AY720+1,【参考】排出係数!$AI$4:$AI$671,1)-1,5,BE720),5,FALSE)),IF(AND(BE720=3,LEFT(BF720,1)="1"),0.055,VLOOKUP(AU720,INDEX((係数_乗用_ガソリン,係数_乗用_CNG,係数_乗用_軽油,係数_乗用_メタノール,係数_乗用_LPG),1,1,BE720):INDEX((係数_乗用_ガソリン,係数_乗用_CNG,係数_乗用_軽油,係数_乗用_メタノール,係数_乗用_LPG),125,5,BE720),5,FALSE)))))</f>
        <v/>
      </c>
      <c r="AN720" s="461" t="str">
        <f t="shared" si="394"/>
        <v/>
      </c>
      <c r="AO720" s="462" t="str">
        <f t="shared" si="395"/>
        <v/>
      </c>
      <c r="AP720" s="463" t="str">
        <f t="shared" si="396"/>
        <v/>
      </c>
      <c r="AQ720" s="464"/>
      <c r="AR720" s="619"/>
      <c r="AS720" s="465" t="str">
        <f t="shared" si="398"/>
        <v/>
      </c>
      <c r="AT720" s="465" t="str">
        <f t="shared" si="399"/>
        <v/>
      </c>
      <c r="AU720" s="466" t="str">
        <f t="shared" si="400"/>
        <v/>
      </c>
      <c r="AV720" s="467" t="str">
        <f t="shared" si="401"/>
        <v/>
      </c>
      <c r="AW720" s="467" t="str">
        <f t="shared" si="402"/>
        <v/>
      </c>
      <c r="AX720" s="467" t="str">
        <f t="shared" si="403"/>
        <v/>
      </c>
      <c r="AY720" s="467" t="str">
        <f t="shared" si="404"/>
        <v/>
      </c>
      <c r="AZ720" s="467" t="str">
        <f t="shared" si="405"/>
        <v/>
      </c>
      <c r="BA720" s="468" t="str">
        <f>IF(AS720="","",IF(OR(AU720="",AU720="-"),"－",IF(OR(AZ720=8,AZ720=9),"",IF(OR(AW720=3,AW720=4,AW720=5,AW720=6),VLOOKUP(AU720,INDEX((係数_バス貨物_ガソリン,係数_バス貨物_CNG,係数_バス貨物_軽油,係数_バス貨物_メタノール,係数_バス貨物_LPG),MATCH(AY720,【参考】排出係数!$AI$4:$AI$671,1),1,BE720):INDEX((係数_バス貨物_ガソリン,係数_バス貨物_CNG,係数_バス貨物_軽油,係数_バス貨物_メタノール,係数_バス貨物_LPG),MATCH(AY720+1,【参考】排出係数!$AI$4:$AI$671,1)-1,5,BE720),2,FALSE),IF(OR(AW720=1,AW720=2),VLOOKUP(AU720,INDEX((係数_乗用_ガソリン,係数_乗用_CNG,係数_乗用_軽油,係数_乗用_メタノール,係数_乗用_LPG),1,1,BE720):INDEX((係数_乗用_ガソリン,係数_乗用_CNG,係数_乗用_軽油,係数_乗用_メタノール,係数_乗用_LPG),125,5,BE720),2,FALSE))))))</f>
        <v/>
      </c>
      <c r="BB720" s="468" t="str">
        <f>IF(T720="","",IF(OR(AU720="",AU720="-"),"－",IF(OR(AZ720=8,AZ720=9),"",IF(OR(AW720=3,AW720=4,AW720=5,AW720=6),VLOOKUP(AU720,INDEX((係数_バス貨物_ガソリン,係数_バス貨物_CNG,係数_バス貨物_軽油,係数_バス貨物_メタノール,係数_バス貨物_LPG),MATCH(AY720,【参考】排出係数!$AI$4:$AI$671,1),1,BE720):INDEX((係数_バス貨物_ガソリン,係数_バス貨物_CNG,係数_バス貨物_軽油,係数_バス貨物_メタノール,係数_バス貨物_LPG),MATCH(AY720+1,【参考】排出係数!$AI$4:$AI$671,1)-1,5,BE720),3,FALSE),IF(OR(AW720=1,AW720=2),VLOOKUP(AU720,INDEX((係数_乗用_ガソリン,係数_乗用_CNG,係数_乗用_軽油,係数_乗用_メタノール,係数_乗用_LPG),1,1,BE720):INDEX((係数_乗用_ガソリン,係数_乗用_CNG,係数_乗用_軽油,係数_乗用_メタノール,係数_乗用_LPG),125,5,BE720),3,FALSE))))))</f>
        <v/>
      </c>
      <c r="BC720" s="467" t="str">
        <f t="shared" si="406"/>
        <v/>
      </c>
      <c r="BD720" s="567" t="str">
        <f t="shared" si="407"/>
        <v/>
      </c>
      <c r="BE720" s="467" t="str">
        <f t="shared" si="408"/>
        <v/>
      </c>
      <c r="BF720" s="469" t="str">
        <f t="shared" ca="1" si="409"/>
        <v/>
      </c>
      <c r="BG720" s="469" t="str">
        <f t="shared" ca="1" si="410"/>
        <v/>
      </c>
      <c r="BH720" s="467" t="str">
        <f t="shared" si="411"/>
        <v/>
      </c>
      <c r="BI720" s="467" t="str">
        <f t="shared" ca="1" si="412"/>
        <v/>
      </c>
      <c r="BJ720" s="469" t="str">
        <f t="shared" si="413"/>
        <v/>
      </c>
      <c r="BK720" s="470" t="str">
        <f t="shared" si="397"/>
        <v/>
      </c>
      <c r="BL720" s="775" t="str">
        <f t="shared" si="414"/>
        <v/>
      </c>
      <c r="BM720" s="775" t="str">
        <f t="shared" si="415"/>
        <v/>
      </c>
    </row>
    <row r="721" spans="1:65">
      <c r="A721" s="473">
        <v>665</v>
      </c>
      <c r="B721" s="132"/>
      <c r="C721" s="332"/>
      <c r="D721" s="333"/>
      <c r="E721" s="333"/>
      <c r="F721" s="334"/>
      <c r="G721" s="337"/>
      <c r="H721" s="131"/>
      <c r="I721" s="337"/>
      <c r="J721" s="131"/>
      <c r="K721" s="458" t="str">
        <f t="shared" si="384"/>
        <v/>
      </c>
      <c r="L721" s="458">
        <f t="shared" si="385"/>
        <v>0</v>
      </c>
      <c r="M721" s="458">
        <f t="shared" si="386"/>
        <v>0</v>
      </c>
      <c r="N721" s="459" t="str">
        <f t="shared" si="283"/>
        <v/>
      </c>
      <c r="O721" s="459" t="str">
        <f t="shared" si="284"/>
        <v/>
      </c>
      <c r="P721" s="459" t="str">
        <f t="shared" si="285"/>
        <v/>
      </c>
      <c r="Q721" s="459" t="str">
        <f t="shared" si="286"/>
        <v/>
      </c>
      <c r="R721" s="459" t="str">
        <f t="shared" si="287"/>
        <v/>
      </c>
      <c r="S721" s="459" t="str">
        <f t="shared" si="288"/>
        <v/>
      </c>
      <c r="T721" s="566" t="str">
        <f t="shared" si="387"/>
        <v/>
      </c>
      <c r="U721" s="702"/>
      <c r="V721" s="132"/>
      <c r="W721" s="133"/>
      <c r="X721" s="134"/>
      <c r="Y721" s="135"/>
      <c r="Z721" s="137"/>
      <c r="AA721" s="136"/>
      <c r="AB721" s="566" t="str">
        <f t="shared" si="388"/>
        <v/>
      </c>
      <c r="AC721" s="568" t="str">
        <f t="shared" si="389"/>
        <v/>
      </c>
      <c r="AD721" s="137"/>
      <c r="AE721" s="137"/>
      <c r="AF721" s="138"/>
      <c r="AG721" s="138"/>
      <c r="AH721" s="592" t="str">
        <f t="shared" si="390"/>
        <v/>
      </c>
      <c r="AI721" s="592" t="str">
        <f t="shared" si="391"/>
        <v/>
      </c>
      <c r="AJ721" s="592" t="str">
        <f t="shared" si="392"/>
        <v/>
      </c>
      <c r="AK721" s="460" t="str">
        <f>IF(AU721="","",IF(OR(AZ721=8,AZ721=9),0,IF(OR(AW721=3,AW721=4,AW721=5,AW721=6),IF(LEFT(BF721,1)="1",INDEX(係数_NOX・PM低減,MATCH(AY721,【参考】排出係数!$AI$801:$AI$804,1),1),VLOOKUP(AU721,INDEX((係数_バス貨物_ガソリン,係数_バス貨物_CNG,係数_バス貨物_軽油,係数_バス貨物_メタノール,係数_バス貨物_LPG),MATCH(AY721,【参考】排出係数!$AI$4:$AI$671,1),1,BE721):INDEX((係数_バス貨物_ガソリン,係数_バス貨物_CNG,係数_バス貨物_軽油,係数_バス貨物_メタノール,係数_バス貨物_LPG),MATCH(AY721+1,【参考】排出係数!$AI$4:$AI$671,1)-1,5,BE721),4,FALSE)),IF(AND(BE721=3,LEFT(BF721,1)="1"),0.48,VLOOKUP(AU721,INDEX((係数_乗用_ガソリン,係数_乗用_CNG,係数_乗用_軽油,係数_乗用_メタノール,係数_乗用_LPG),1,1,BE721):INDEX((係数_乗用_ガソリン,係数_乗用_CNG,係数_乗用_軽油,係数_乗用_メタノール,係数_乗用_LPG),125,5,BE721),4,FALSE)))))</f>
        <v/>
      </c>
      <c r="AL721" s="461" t="str">
        <f t="shared" si="393"/>
        <v/>
      </c>
      <c r="AM721" s="460" t="str">
        <f>IF(AU721="","",IF(OR(AZ721=8,AZ721=9),0,IF(OR(AW721=3,AW721=4,AW721=5,AW721=6),IF(LEFT(BH721,1)="1",INDEX(係数_PM低減,MATCH(AY721,【参考】排出係数!$AI$801:$AI$804,1),MATCH(BI721,【参考】排出係数!$AL$798:$AO$798,1)),VLOOKUP(AU721,INDEX((係数_バス貨物_ガソリン,係数_バス貨物_CNG,係数_バス貨物_軽油,係数_バス貨物_メタノール,係数_バス貨物_LPG),MATCH(AY721,【参考】排出係数!$AI$4:$AI$671,1),1,BE721):INDEX((係数_バス貨物_ガソリン,係数_バス貨物_CNG,係数_バス貨物_軽油,係数_バス貨物_メタノール,係数_バス貨物_LPG),MATCH(AY721+1,【参考】排出係数!$AI$4:$AI$671,1)-1,5,BE721),5,FALSE)),IF(AND(BE721=3,LEFT(BF721,1)="1"),0.055,VLOOKUP(AU721,INDEX((係数_乗用_ガソリン,係数_乗用_CNG,係数_乗用_軽油,係数_乗用_メタノール,係数_乗用_LPG),1,1,BE721):INDEX((係数_乗用_ガソリン,係数_乗用_CNG,係数_乗用_軽油,係数_乗用_メタノール,係数_乗用_LPG),125,5,BE721),5,FALSE)))))</f>
        <v/>
      </c>
      <c r="AN721" s="461" t="str">
        <f t="shared" si="394"/>
        <v/>
      </c>
      <c r="AO721" s="462" t="str">
        <f t="shared" si="395"/>
        <v/>
      </c>
      <c r="AP721" s="463" t="str">
        <f t="shared" si="396"/>
        <v/>
      </c>
      <c r="AQ721" s="464"/>
      <c r="AR721" s="619"/>
      <c r="AS721" s="465" t="str">
        <f t="shared" si="398"/>
        <v/>
      </c>
      <c r="AT721" s="465" t="str">
        <f t="shared" si="399"/>
        <v/>
      </c>
      <c r="AU721" s="466" t="str">
        <f t="shared" si="400"/>
        <v/>
      </c>
      <c r="AV721" s="467" t="str">
        <f t="shared" si="401"/>
        <v/>
      </c>
      <c r="AW721" s="467" t="str">
        <f t="shared" si="402"/>
        <v/>
      </c>
      <c r="AX721" s="467" t="str">
        <f t="shared" si="403"/>
        <v/>
      </c>
      <c r="AY721" s="467" t="str">
        <f t="shared" si="404"/>
        <v/>
      </c>
      <c r="AZ721" s="467" t="str">
        <f t="shared" si="405"/>
        <v/>
      </c>
      <c r="BA721" s="468" t="str">
        <f>IF(AS721="","",IF(OR(AU721="",AU721="-"),"－",IF(OR(AZ721=8,AZ721=9),"",IF(OR(AW721=3,AW721=4,AW721=5,AW721=6),VLOOKUP(AU721,INDEX((係数_バス貨物_ガソリン,係数_バス貨物_CNG,係数_バス貨物_軽油,係数_バス貨物_メタノール,係数_バス貨物_LPG),MATCH(AY721,【参考】排出係数!$AI$4:$AI$671,1),1,BE721):INDEX((係数_バス貨物_ガソリン,係数_バス貨物_CNG,係数_バス貨物_軽油,係数_バス貨物_メタノール,係数_バス貨物_LPG),MATCH(AY721+1,【参考】排出係数!$AI$4:$AI$671,1)-1,5,BE721),2,FALSE),IF(OR(AW721=1,AW721=2),VLOOKUP(AU721,INDEX((係数_乗用_ガソリン,係数_乗用_CNG,係数_乗用_軽油,係数_乗用_メタノール,係数_乗用_LPG),1,1,BE721):INDEX((係数_乗用_ガソリン,係数_乗用_CNG,係数_乗用_軽油,係数_乗用_メタノール,係数_乗用_LPG),125,5,BE721),2,FALSE))))))</f>
        <v/>
      </c>
      <c r="BB721" s="468" t="str">
        <f>IF(T721="","",IF(OR(AU721="",AU721="-"),"－",IF(OR(AZ721=8,AZ721=9),"",IF(OR(AW721=3,AW721=4,AW721=5,AW721=6),VLOOKUP(AU721,INDEX((係数_バス貨物_ガソリン,係数_バス貨物_CNG,係数_バス貨物_軽油,係数_バス貨物_メタノール,係数_バス貨物_LPG),MATCH(AY721,【参考】排出係数!$AI$4:$AI$671,1),1,BE721):INDEX((係数_バス貨物_ガソリン,係数_バス貨物_CNG,係数_バス貨物_軽油,係数_バス貨物_メタノール,係数_バス貨物_LPG),MATCH(AY721+1,【参考】排出係数!$AI$4:$AI$671,1)-1,5,BE721),3,FALSE),IF(OR(AW721=1,AW721=2),VLOOKUP(AU721,INDEX((係数_乗用_ガソリン,係数_乗用_CNG,係数_乗用_軽油,係数_乗用_メタノール,係数_乗用_LPG),1,1,BE721):INDEX((係数_乗用_ガソリン,係数_乗用_CNG,係数_乗用_軽油,係数_乗用_メタノール,係数_乗用_LPG),125,5,BE721),3,FALSE))))))</f>
        <v/>
      </c>
      <c r="BC721" s="467" t="str">
        <f t="shared" si="406"/>
        <v/>
      </c>
      <c r="BD721" s="567" t="str">
        <f t="shared" si="407"/>
        <v/>
      </c>
      <c r="BE721" s="467" t="str">
        <f t="shared" si="408"/>
        <v/>
      </c>
      <c r="BF721" s="469" t="str">
        <f t="shared" ca="1" si="409"/>
        <v/>
      </c>
      <c r="BG721" s="469" t="str">
        <f t="shared" ca="1" si="410"/>
        <v/>
      </c>
      <c r="BH721" s="467" t="str">
        <f t="shared" si="411"/>
        <v/>
      </c>
      <c r="BI721" s="467" t="str">
        <f t="shared" ca="1" si="412"/>
        <v/>
      </c>
      <c r="BJ721" s="469" t="str">
        <f t="shared" si="413"/>
        <v/>
      </c>
      <c r="BK721" s="470" t="str">
        <f t="shared" si="397"/>
        <v/>
      </c>
      <c r="BL721" s="775" t="str">
        <f t="shared" si="414"/>
        <v/>
      </c>
      <c r="BM721" s="775" t="str">
        <f t="shared" si="415"/>
        <v/>
      </c>
    </row>
    <row r="722" spans="1:65">
      <c r="A722" s="473">
        <v>666</v>
      </c>
      <c r="B722" s="132"/>
      <c r="C722" s="332"/>
      <c r="D722" s="333"/>
      <c r="E722" s="333"/>
      <c r="F722" s="334"/>
      <c r="G722" s="337"/>
      <c r="H722" s="131"/>
      <c r="I722" s="337"/>
      <c r="J722" s="131"/>
      <c r="K722" s="458" t="str">
        <f t="shared" si="384"/>
        <v/>
      </c>
      <c r="L722" s="458">
        <f t="shared" si="385"/>
        <v>0</v>
      </c>
      <c r="M722" s="458">
        <f t="shared" si="386"/>
        <v>0</v>
      </c>
      <c r="N722" s="459" t="str">
        <f t="shared" si="283"/>
        <v/>
      </c>
      <c r="O722" s="459" t="str">
        <f t="shared" si="284"/>
        <v/>
      </c>
      <c r="P722" s="459" t="str">
        <f t="shared" si="285"/>
        <v/>
      </c>
      <c r="Q722" s="459" t="str">
        <f t="shared" si="286"/>
        <v/>
      </c>
      <c r="R722" s="459" t="str">
        <f t="shared" si="287"/>
        <v/>
      </c>
      <c r="S722" s="459" t="str">
        <f t="shared" si="288"/>
        <v/>
      </c>
      <c r="T722" s="566" t="str">
        <f t="shared" si="387"/>
        <v/>
      </c>
      <c r="U722" s="702"/>
      <c r="V722" s="132"/>
      <c r="W722" s="133"/>
      <c r="X722" s="134"/>
      <c r="Y722" s="135"/>
      <c r="Z722" s="137"/>
      <c r="AA722" s="136"/>
      <c r="AB722" s="566" t="str">
        <f t="shared" si="388"/>
        <v/>
      </c>
      <c r="AC722" s="568" t="str">
        <f t="shared" si="389"/>
        <v/>
      </c>
      <c r="AD722" s="137"/>
      <c r="AE722" s="137"/>
      <c r="AF722" s="138"/>
      <c r="AG722" s="138"/>
      <c r="AH722" s="592" t="str">
        <f t="shared" si="390"/>
        <v/>
      </c>
      <c r="AI722" s="592" t="str">
        <f t="shared" si="391"/>
        <v/>
      </c>
      <c r="AJ722" s="592" t="str">
        <f t="shared" si="392"/>
        <v/>
      </c>
      <c r="AK722" s="460" t="str">
        <f>IF(AU722="","",IF(OR(AZ722=8,AZ722=9),0,IF(OR(AW722=3,AW722=4,AW722=5,AW722=6),IF(LEFT(BF722,1)="1",INDEX(係数_NOX・PM低減,MATCH(AY722,【参考】排出係数!$AI$801:$AI$804,1),1),VLOOKUP(AU722,INDEX((係数_バス貨物_ガソリン,係数_バス貨物_CNG,係数_バス貨物_軽油,係数_バス貨物_メタノール,係数_バス貨物_LPG),MATCH(AY722,【参考】排出係数!$AI$4:$AI$671,1),1,BE722):INDEX((係数_バス貨物_ガソリン,係数_バス貨物_CNG,係数_バス貨物_軽油,係数_バス貨物_メタノール,係数_バス貨物_LPG),MATCH(AY722+1,【参考】排出係数!$AI$4:$AI$671,1)-1,5,BE722),4,FALSE)),IF(AND(BE722=3,LEFT(BF722,1)="1"),0.48,VLOOKUP(AU722,INDEX((係数_乗用_ガソリン,係数_乗用_CNG,係数_乗用_軽油,係数_乗用_メタノール,係数_乗用_LPG),1,1,BE722):INDEX((係数_乗用_ガソリン,係数_乗用_CNG,係数_乗用_軽油,係数_乗用_メタノール,係数_乗用_LPG),125,5,BE722),4,FALSE)))))</f>
        <v/>
      </c>
      <c r="AL722" s="461" t="str">
        <f t="shared" si="393"/>
        <v/>
      </c>
      <c r="AM722" s="460" t="str">
        <f>IF(AU722="","",IF(OR(AZ722=8,AZ722=9),0,IF(OR(AW722=3,AW722=4,AW722=5,AW722=6),IF(LEFT(BH722,1)="1",INDEX(係数_PM低減,MATCH(AY722,【参考】排出係数!$AI$801:$AI$804,1),MATCH(BI722,【参考】排出係数!$AL$798:$AO$798,1)),VLOOKUP(AU722,INDEX((係数_バス貨物_ガソリン,係数_バス貨物_CNG,係数_バス貨物_軽油,係数_バス貨物_メタノール,係数_バス貨物_LPG),MATCH(AY722,【参考】排出係数!$AI$4:$AI$671,1),1,BE722):INDEX((係数_バス貨物_ガソリン,係数_バス貨物_CNG,係数_バス貨物_軽油,係数_バス貨物_メタノール,係数_バス貨物_LPG),MATCH(AY722+1,【参考】排出係数!$AI$4:$AI$671,1)-1,5,BE722),5,FALSE)),IF(AND(BE722=3,LEFT(BF722,1)="1"),0.055,VLOOKUP(AU722,INDEX((係数_乗用_ガソリン,係数_乗用_CNG,係数_乗用_軽油,係数_乗用_メタノール,係数_乗用_LPG),1,1,BE722):INDEX((係数_乗用_ガソリン,係数_乗用_CNG,係数_乗用_軽油,係数_乗用_メタノール,係数_乗用_LPG),125,5,BE722),5,FALSE)))))</f>
        <v/>
      </c>
      <c r="AN722" s="461" t="str">
        <f t="shared" si="394"/>
        <v/>
      </c>
      <c r="AO722" s="462" t="str">
        <f t="shared" si="395"/>
        <v/>
      </c>
      <c r="AP722" s="463" t="str">
        <f t="shared" si="396"/>
        <v/>
      </c>
      <c r="AQ722" s="464"/>
      <c r="AR722" s="619"/>
      <c r="AS722" s="465" t="str">
        <f t="shared" si="398"/>
        <v/>
      </c>
      <c r="AT722" s="465" t="str">
        <f t="shared" si="399"/>
        <v/>
      </c>
      <c r="AU722" s="466" t="str">
        <f t="shared" si="400"/>
        <v/>
      </c>
      <c r="AV722" s="467" t="str">
        <f t="shared" si="401"/>
        <v/>
      </c>
      <c r="AW722" s="467" t="str">
        <f t="shared" si="402"/>
        <v/>
      </c>
      <c r="AX722" s="467" t="str">
        <f t="shared" si="403"/>
        <v/>
      </c>
      <c r="AY722" s="467" t="str">
        <f t="shared" si="404"/>
        <v/>
      </c>
      <c r="AZ722" s="467" t="str">
        <f t="shared" si="405"/>
        <v/>
      </c>
      <c r="BA722" s="468" t="str">
        <f>IF(AS722="","",IF(OR(AU722="",AU722="-"),"－",IF(OR(AZ722=8,AZ722=9),"",IF(OR(AW722=3,AW722=4,AW722=5,AW722=6),VLOOKUP(AU722,INDEX((係数_バス貨物_ガソリン,係数_バス貨物_CNG,係数_バス貨物_軽油,係数_バス貨物_メタノール,係数_バス貨物_LPG),MATCH(AY722,【参考】排出係数!$AI$4:$AI$671,1),1,BE722):INDEX((係数_バス貨物_ガソリン,係数_バス貨物_CNG,係数_バス貨物_軽油,係数_バス貨物_メタノール,係数_バス貨物_LPG),MATCH(AY722+1,【参考】排出係数!$AI$4:$AI$671,1)-1,5,BE722),2,FALSE),IF(OR(AW722=1,AW722=2),VLOOKUP(AU722,INDEX((係数_乗用_ガソリン,係数_乗用_CNG,係数_乗用_軽油,係数_乗用_メタノール,係数_乗用_LPG),1,1,BE722):INDEX((係数_乗用_ガソリン,係数_乗用_CNG,係数_乗用_軽油,係数_乗用_メタノール,係数_乗用_LPG),125,5,BE722),2,FALSE))))))</f>
        <v/>
      </c>
      <c r="BB722" s="468" t="str">
        <f>IF(T722="","",IF(OR(AU722="",AU722="-"),"－",IF(OR(AZ722=8,AZ722=9),"",IF(OR(AW722=3,AW722=4,AW722=5,AW722=6),VLOOKUP(AU722,INDEX((係数_バス貨物_ガソリン,係数_バス貨物_CNG,係数_バス貨物_軽油,係数_バス貨物_メタノール,係数_バス貨物_LPG),MATCH(AY722,【参考】排出係数!$AI$4:$AI$671,1),1,BE722):INDEX((係数_バス貨物_ガソリン,係数_バス貨物_CNG,係数_バス貨物_軽油,係数_バス貨物_メタノール,係数_バス貨物_LPG),MATCH(AY722+1,【参考】排出係数!$AI$4:$AI$671,1)-1,5,BE722),3,FALSE),IF(OR(AW722=1,AW722=2),VLOOKUP(AU722,INDEX((係数_乗用_ガソリン,係数_乗用_CNG,係数_乗用_軽油,係数_乗用_メタノール,係数_乗用_LPG),1,1,BE722):INDEX((係数_乗用_ガソリン,係数_乗用_CNG,係数_乗用_軽油,係数_乗用_メタノール,係数_乗用_LPG),125,5,BE722),3,FALSE))))))</f>
        <v/>
      </c>
      <c r="BC722" s="467" t="str">
        <f t="shared" si="406"/>
        <v/>
      </c>
      <c r="BD722" s="567" t="str">
        <f t="shared" si="407"/>
        <v/>
      </c>
      <c r="BE722" s="467" t="str">
        <f t="shared" si="408"/>
        <v/>
      </c>
      <c r="BF722" s="469" t="str">
        <f t="shared" ca="1" si="409"/>
        <v/>
      </c>
      <c r="BG722" s="469" t="str">
        <f t="shared" ca="1" si="410"/>
        <v/>
      </c>
      <c r="BH722" s="467" t="str">
        <f t="shared" si="411"/>
        <v/>
      </c>
      <c r="BI722" s="467" t="str">
        <f t="shared" ca="1" si="412"/>
        <v/>
      </c>
      <c r="BJ722" s="469" t="str">
        <f t="shared" si="413"/>
        <v/>
      </c>
      <c r="BK722" s="470" t="str">
        <f t="shared" si="397"/>
        <v/>
      </c>
      <c r="BL722" s="775" t="str">
        <f t="shared" si="414"/>
        <v/>
      </c>
      <c r="BM722" s="775" t="str">
        <f t="shared" si="415"/>
        <v/>
      </c>
    </row>
    <row r="723" spans="1:65">
      <c r="A723" s="473">
        <v>667</v>
      </c>
      <c r="B723" s="132"/>
      <c r="C723" s="332"/>
      <c r="D723" s="333"/>
      <c r="E723" s="333"/>
      <c r="F723" s="334"/>
      <c r="G723" s="337"/>
      <c r="H723" s="131"/>
      <c r="I723" s="337"/>
      <c r="J723" s="131"/>
      <c r="K723" s="458" t="str">
        <f t="shared" si="384"/>
        <v/>
      </c>
      <c r="L723" s="458">
        <f t="shared" si="385"/>
        <v>0</v>
      </c>
      <c r="M723" s="458">
        <f t="shared" si="386"/>
        <v>0</v>
      </c>
      <c r="N723" s="459" t="str">
        <f t="shared" si="283"/>
        <v/>
      </c>
      <c r="O723" s="459" t="str">
        <f t="shared" si="284"/>
        <v/>
      </c>
      <c r="P723" s="459" t="str">
        <f t="shared" si="285"/>
        <v/>
      </c>
      <c r="Q723" s="459" t="str">
        <f t="shared" si="286"/>
        <v/>
      </c>
      <c r="R723" s="459" t="str">
        <f t="shared" si="287"/>
        <v/>
      </c>
      <c r="S723" s="459" t="str">
        <f t="shared" si="288"/>
        <v/>
      </c>
      <c r="T723" s="566" t="str">
        <f t="shared" si="387"/>
        <v/>
      </c>
      <c r="U723" s="702"/>
      <c r="V723" s="132"/>
      <c r="W723" s="133"/>
      <c r="X723" s="134"/>
      <c r="Y723" s="135"/>
      <c r="Z723" s="137"/>
      <c r="AA723" s="136"/>
      <c r="AB723" s="566" t="str">
        <f t="shared" si="388"/>
        <v/>
      </c>
      <c r="AC723" s="568" t="str">
        <f t="shared" si="389"/>
        <v/>
      </c>
      <c r="AD723" s="137"/>
      <c r="AE723" s="137"/>
      <c r="AF723" s="138"/>
      <c r="AG723" s="138"/>
      <c r="AH723" s="592" t="str">
        <f t="shared" si="390"/>
        <v/>
      </c>
      <c r="AI723" s="592" t="str">
        <f t="shared" si="391"/>
        <v/>
      </c>
      <c r="AJ723" s="592" t="str">
        <f t="shared" si="392"/>
        <v/>
      </c>
      <c r="AK723" s="460" t="str">
        <f>IF(AU723="","",IF(OR(AZ723=8,AZ723=9),0,IF(OR(AW723=3,AW723=4,AW723=5,AW723=6),IF(LEFT(BF723,1)="1",INDEX(係数_NOX・PM低減,MATCH(AY723,【参考】排出係数!$AI$801:$AI$804,1),1),VLOOKUP(AU723,INDEX((係数_バス貨物_ガソリン,係数_バス貨物_CNG,係数_バス貨物_軽油,係数_バス貨物_メタノール,係数_バス貨物_LPG),MATCH(AY723,【参考】排出係数!$AI$4:$AI$671,1),1,BE723):INDEX((係数_バス貨物_ガソリン,係数_バス貨物_CNG,係数_バス貨物_軽油,係数_バス貨物_メタノール,係数_バス貨物_LPG),MATCH(AY723+1,【参考】排出係数!$AI$4:$AI$671,1)-1,5,BE723),4,FALSE)),IF(AND(BE723=3,LEFT(BF723,1)="1"),0.48,VLOOKUP(AU723,INDEX((係数_乗用_ガソリン,係数_乗用_CNG,係数_乗用_軽油,係数_乗用_メタノール,係数_乗用_LPG),1,1,BE723):INDEX((係数_乗用_ガソリン,係数_乗用_CNG,係数_乗用_軽油,係数_乗用_メタノール,係数_乗用_LPG),125,5,BE723),4,FALSE)))))</f>
        <v/>
      </c>
      <c r="AL723" s="461" t="str">
        <f t="shared" si="393"/>
        <v/>
      </c>
      <c r="AM723" s="460" t="str">
        <f>IF(AU723="","",IF(OR(AZ723=8,AZ723=9),0,IF(OR(AW723=3,AW723=4,AW723=5,AW723=6),IF(LEFT(BH723,1)="1",INDEX(係数_PM低減,MATCH(AY723,【参考】排出係数!$AI$801:$AI$804,1),MATCH(BI723,【参考】排出係数!$AL$798:$AO$798,1)),VLOOKUP(AU723,INDEX((係数_バス貨物_ガソリン,係数_バス貨物_CNG,係数_バス貨物_軽油,係数_バス貨物_メタノール,係数_バス貨物_LPG),MATCH(AY723,【参考】排出係数!$AI$4:$AI$671,1),1,BE723):INDEX((係数_バス貨物_ガソリン,係数_バス貨物_CNG,係数_バス貨物_軽油,係数_バス貨物_メタノール,係数_バス貨物_LPG),MATCH(AY723+1,【参考】排出係数!$AI$4:$AI$671,1)-1,5,BE723),5,FALSE)),IF(AND(BE723=3,LEFT(BF723,1)="1"),0.055,VLOOKUP(AU723,INDEX((係数_乗用_ガソリン,係数_乗用_CNG,係数_乗用_軽油,係数_乗用_メタノール,係数_乗用_LPG),1,1,BE723):INDEX((係数_乗用_ガソリン,係数_乗用_CNG,係数_乗用_軽油,係数_乗用_メタノール,係数_乗用_LPG),125,5,BE723),5,FALSE)))))</f>
        <v/>
      </c>
      <c r="AN723" s="461" t="str">
        <f t="shared" si="394"/>
        <v/>
      </c>
      <c r="AO723" s="462" t="str">
        <f t="shared" si="395"/>
        <v/>
      </c>
      <c r="AP723" s="463" t="str">
        <f t="shared" si="396"/>
        <v/>
      </c>
      <c r="AQ723" s="464"/>
      <c r="AR723" s="619"/>
      <c r="AS723" s="465" t="str">
        <f t="shared" si="398"/>
        <v/>
      </c>
      <c r="AT723" s="465" t="str">
        <f t="shared" si="399"/>
        <v/>
      </c>
      <c r="AU723" s="466" t="str">
        <f t="shared" si="400"/>
        <v/>
      </c>
      <c r="AV723" s="467" t="str">
        <f t="shared" si="401"/>
        <v/>
      </c>
      <c r="AW723" s="467" t="str">
        <f t="shared" si="402"/>
        <v/>
      </c>
      <c r="AX723" s="467" t="str">
        <f t="shared" si="403"/>
        <v/>
      </c>
      <c r="AY723" s="467" t="str">
        <f t="shared" si="404"/>
        <v/>
      </c>
      <c r="AZ723" s="467" t="str">
        <f t="shared" si="405"/>
        <v/>
      </c>
      <c r="BA723" s="468" t="str">
        <f>IF(AS723="","",IF(OR(AU723="",AU723="-"),"－",IF(OR(AZ723=8,AZ723=9),"",IF(OR(AW723=3,AW723=4,AW723=5,AW723=6),VLOOKUP(AU723,INDEX((係数_バス貨物_ガソリン,係数_バス貨物_CNG,係数_バス貨物_軽油,係数_バス貨物_メタノール,係数_バス貨物_LPG),MATCH(AY723,【参考】排出係数!$AI$4:$AI$671,1),1,BE723):INDEX((係数_バス貨物_ガソリン,係数_バス貨物_CNG,係数_バス貨物_軽油,係数_バス貨物_メタノール,係数_バス貨物_LPG),MATCH(AY723+1,【参考】排出係数!$AI$4:$AI$671,1)-1,5,BE723),2,FALSE),IF(OR(AW723=1,AW723=2),VLOOKUP(AU723,INDEX((係数_乗用_ガソリン,係数_乗用_CNG,係数_乗用_軽油,係数_乗用_メタノール,係数_乗用_LPG),1,1,BE723):INDEX((係数_乗用_ガソリン,係数_乗用_CNG,係数_乗用_軽油,係数_乗用_メタノール,係数_乗用_LPG),125,5,BE723),2,FALSE))))))</f>
        <v/>
      </c>
      <c r="BB723" s="468" t="str">
        <f>IF(T723="","",IF(OR(AU723="",AU723="-"),"－",IF(OR(AZ723=8,AZ723=9),"",IF(OR(AW723=3,AW723=4,AW723=5,AW723=6),VLOOKUP(AU723,INDEX((係数_バス貨物_ガソリン,係数_バス貨物_CNG,係数_バス貨物_軽油,係数_バス貨物_メタノール,係数_バス貨物_LPG),MATCH(AY723,【参考】排出係数!$AI$4:$AI$671,1),1,BE723):INDEX((係数_バス貨物_ガソリン,係数_バス貨物_CNG,係数_バス貨物_軽油,係数_バス貨物_メタノール,係数_バス貨物_LPG),MATCH(AY723+1,【参考】排出係数!$AI$4:$AI$671,1)-1,5,BE723),3,FALSE),IF(OR(AW723=1,AW723=2),VLOOKUP(AU723,INDEX((係数_乗用_ガソリン,係数_乗用_CNG,係数_乗用_軽油,係数_乗用_メタノール,係数_乗用_LPG),1,1,BE723):INDEX((係数_乗用_ガソリン,係数_乗用_CNG,係数_乗用_軽油,係数_乗用_メタノール,係数_乗用_LPG),125,5,BE723),3,FALSE))))))</f>
        <v/>
      </c>
      <c r="BC723" s="467" t="str">
        <f t="shared" si="406"/>
        <v/>
      </c>
      <c r="BD723" s="567" t="str">
        <f t="shared" si="407"/>
        <v/>
      </c>
      <c r="BE723" s="467" t="str">
        <f t="shared" si="408"/>
        <v/>
      </c>
      <c r="BF723" s="469" t="str">
        <f t="shared" ca="1" si="409"/>
        <v/>
      </c>
      <c r="BG723" s="469" t="str">
        <f t="shared" ca="1" si="410"/>
        <v/>
      </c>
      <c r="BH723" s="467" t="str">
        <f t="shared" si="411"/>
        <v/>
      </c>
      <c r="BI723" s="467" t="str">
        <f t="shared" ca="1" si="412"/>
        <v/>
      </c>
      <c r="BJ723" s="469" t="str">
        <f t="shared" si="413"/>
        <v/>
      </c>
      <c r="BK723" s="470" t="str">
        <f t="shared" si="397"/>
        <v/>
      </c>
      <c r="BL723" s="775" t="str">
        <f t="shared" si="414"/>
        <v/>
      </c>
      <c r="BM723" s="775" t="str">
        <f t="shared" si="415"/>
        <v/>
      </c>
    </row>
    <row r="724" spans="1:65">
      <c r="A724" s="473">
        <v>668</v>
      </c>
      <c r="B724" s="132"/>
      <c r="C724" s="332"/>
      <c r="D724" s="333"/>
      <c r="E724" s="333"/>
      <c r="F724" s="334"/>
      <c r="G724" s="337"/>
      <c r="H724" s="131"/>
      <c r="I724" s="337"/>
      <c r="J724" s="131"/>
      <c r="K724" s="458" t="str">
        <f t="shared" si="384"/>
        <v/>
      </c>
      <c r="L724" s="458">
        <f t="shared" si="385"/>
        <v>0</v>
      </c>
      <c r="M724" s="458">
        <f t="shared" si="386"/>
        <v>0</v>
      </c>
      <c r="N724" s="459" t="str">
        <f t="shared" si="283"/>
        <v/>
      </c>
      <c r="O724" s="459" t="str">
        <f t="shared" si="284"/>
        <v/>
      </c>
      <c r="P724" s="459" t="str">
        <f t="shared" si="285"/>
        <v/>
      </c>
      <c r="Q724" s="459" t="str">
        <f t="shared" si="286"/>
        <v/>
      </c>
      <c r="R724" s="459" t="str">
        <f t="shared" si="287"/>
        <v/>
      </c>
      <c r="S724" s="459" t="str">
        <f t="shared" si="288"/>
        <v/>
      </c>
      <c r="T724" s="566" t="str">
        <f t="shared" si="387"/>
        <v/>
      </c>
      <c r="U724" s="702"/>
      <c r="V724" s="132"/>
      <c r="W724" s="133"/>
      <c r="X724" s="134"/>
      <c r="Y724" s="135"/>
      <c r="Z724" s="137"/>
      <c r="AA724" s="136"/>
      <c r="AB724" s="566" t="str">
        <f t="shared" si="388"/>
        <v/>
      </c>
      <c r="AC724" s="568" t="str">
        <f t="shared" si="389"/>
        <v/>
      </c>
      <c r="AD724" s="137"/>
      <c r="AE724" s="137"/>
      <c r="AF724" s="138"/>
      <c r="AG724" s="138"/>
      <c r="AH724" s="592" t="str">
        <f t="shared" si="390"/>
        <v/>
      </c>
      <c r="AI724" s="592" t="str">
        <f t="shared" si="391"/>
        <v/>
      </c>
      <c r="AJ724" s="592" t="str">
        <f t="shared" si="392"/>
        <v/>
      </c>
      <c r="AK724" s="460" t="str">
        <f>IF(AU724="","",IF(OR(AZ724=8,AZ724=9),0,IF(OR(AW724=3,AW724=4,AW724=5,AW724=6),IF(LEFT(BF724,1)="1",INDEX(係数_NOX・PM低減,MATCH(AY724,【参考】排出係数!$AI$801:$AI$804,1),1),VLOOKUP(AU724,INDEX((係数_バス貨物_ガソリン,係数_バス貨物_CNG,係数_バス貨物_軽油,係数_バス貨物_メタノール,係数_バス貨物_LPG),MATCH(AY724,【参考】排出係数!$AI$4:$AI$671,1),1,BE724):INDEX((係数_バス貨物_ガソリン,係数_バス貨物_CNG,係数_バス貨物_軽油,係数_バス貨物_メタノール,係数_バス貨物_LPG),MATCH(AY724+1,【参考】排出係数!$AI$4:$AI$671,1)-1,5,BE724),4,FALSE)),IF(AND(BE724=3,LEFT(BF724,1)="1"),0.48,VLOOKUP(AU724,INDEX((係数_乗用_ガソリン,係数_乗用_CNG,係数_乗用_軽油,係数_乗用_メタノール,係数_乗用_LPG),1,1,BE724):INDEX((係数_乗用_ガソリン,係数_乗用_CNG,係数_乗用_軽油,係数_乗用_メタノール,係数_乗用_LPG),125,5,BE724),4,FALSE)))))</f>
        <v/>
      </c>
      <c r="AL724" s="461" t="str">
        <f t="shared" si="393"/>
        <v/>
      </c>
      <c r="AM724" s="460" t="str">
        <f>IF(AU724="","",IF(OR(AZ724=8,AZ724=9),0,IF(OR(AW724=3,AW724=4,AW724=5,AW724=6),IF(LEFT(BH724,1)="1",INDEX(係数_PM低減,MATCH(AY724,【参考】排出係数!$AI$801:$AI$804,1),MATCH(BI724,【参考】排出係数!$AL$798:$AO$798,1)),VLOOKUP(AU724,INDEX((係数_バス貨物_ガソリン,係数_バス貨物_CNG,係数_バス貨物_軽油,係数_バス貨物_メタノール,係数_バス貨物_LPG),MATCH(AY724,【参考】排出係数!$AI$4:$AI$671,1),1,BE724):INDEX((係数_バス貨物_ガソリン,係数_バス貨物_CNG,係数_バス貨物_軽油,係数_バス貨物_メタノール,係数_バス貨物_LPG),MATCH(AY724+1,【参考】排出係数!$AI$4:$AI$671,1)-1,5,BE724),5,FALSE)),IF(AND(BE724=3,LEFT(BF724,1)="1"),0.055,VLOOKUP(AU724,INDEX((係数_乗用_ガソリン,係数_乗用_CNG,係数_乗用_軽油,係数_乗用_メタノール,係数_乗用_LPG),1,1,BE724):INDEX((係数_乗用_ガソリン,係数_乗用_CNG,係数_乗用_軽油,係数_乗用_メタノール,係数_乗用_LPG),125,5,BE724),5,FALSE)))))</f>
        <v/>
      </c>
      <c r="AN724" s="461" t="str">
        <f t="shared" si="394"/>
        <v/>
      </c>
      <c r="AO724" s="462" t="str">
        <f t="shared" si="395"/>
        <v/>
      </c>
      <c r="AP724" s="463" t="str">
        <f t="shared" si="396"/>
        <v/>
      </c>
      <c r="AQ724" s="464"/>
      <c r="AR724" s="619"/>
      <c r="AS724" s="465" t="str">
        <f t="shared" si="398"/>
        <v/>
      </c>
      <c r="AT724" s="465" t="str">
        <f t="shared" si="399"/>
        <v/>
      </c>
      <c r="AU724" s="466" t="str">
        <f t="shared" si="400"/>
        <v/>
      </c>
      <c r="AV724" s="467" t="str">
        <f t="shared" si="401"/>
        <v/>
      </c>
      <c r="AW724" s="467" t="str">
        <f t="shared" si="402"/>
        <v/>
      </c>
      <c r="AX724" s="467" t="str">
        <f t="shared" si="403"/>
        <v/>
      </c>
      <c r="AY724" s="467" t="str">
        <f t="shared" si="404"/>
        <v/>
      </c>
      <c r="AZ724" s="467" t="str">
        <f t="shared" si="405"/>
        <v/>
      </c>
      <c r="BA724" s="468" t="str">
        <f>IF(AS724="","",IF(OR(AU724="",AU724="-"),"－",IF(OR(AZ724=8,AZ724=9),"",IF(OR(AW724=3,AW724=4,AW724=5,AW724=6),VLOOKUP(AU724,INDEX((係数_バス貨物_ガソリン,係数_バス貨物_CNG,係数_バス貨物_軽油,係数_バス貨物_メタノール,係数_バス貨物_LPG),MATCH(AY724,【参考】排出係数!$AI$4:$AI$671,1),1,BE724):INDEX((係数_バス貨物_ガソリン,係数_バス貨物_CNG,係数_バス貨物_軽油,係数_バス貨物_メタノール,係数_バス貨物_LPG),MATCH(AY724+1,【参考】排出係数!$AI$4:$AI$671,1)-1,5,BE724),2,FALSE),IF(OR(AW724=1,AW724=2),VLOOKUP(AU724,INDEX((係数_乗用_ガソリン,係数_乗用_CNG,係数_乗用_軽油,係数_乗用_メタノール,係数_乗用_LPG),1,1,BE724):INDEX((係数_乗用_ガソリン,係数_乗用_CNG,係数_乗用_軽油,係数_乗用_メタノール,係数_乗用_LPG),125,5,BE724),2,FALSE))))))</f>
        <v/>
      </c>
      <c r="BB724" s="468" t="str">
        <f>IF(T724="","",IF(OR(AU724="",AU724="-"),"－",IF(OR(AZ724=8,AZ724=9),"",IF(OR(AW724=3,AW724=4,AW724=5,AW724=6),VLOOKUP(AU724,INDEX((係数_バス貨物_ガソリン,係数_バス貨物_CNG,係数_バス貨物_軽油,係数_バス貨物_メタノール,係数_バス貨物_LPG),MATCH(AY724,【参考】排出係数!$AI$4:$AI$671,1),1,BE724):INDEX((係数_バス貨物_ガソリン,係数_バス貨物_CNG,係数_バス貨物_軽油,係数_バス貨物_メタノール,係数_バス貨物_LPG),MATCH(AY724+1,【参考】排出係数!$AI$4:$AI$671,1)-1,5,BE724),3,FALSE),IF(OR(AW724=1,AW724=2),VLOOKUP(AU724,INDEX((係数_乗用_ガソリン,係数_乗用_CNG,係数_乗用_軽油,係数_乗用_メタノール,係数_乗用_LPG),1,1,BE724):INDEX((係数_乗用_ガソリン,係数_乗用_CNG,係数_乗用_軽油,係数_乗用_メタノール,係数_乗用_LPG),125,5,BE724),3,FALSE))))))</f>
        <v/>
      </c>
      <c r="BC724" s="467" t="str">
        <f t="shared" si="406"/>
        <v/>
      </c>
      <c r="BD724" s="567" t="str">
        <f t="shared" si="407"/>
        <v/>
      </c>
      <c r="BE724" s="467" t="str">
        <f t="shared" si="408"/>
        <v/>
      </c>
      <c r="BF724" s="469" t="str">
        <f t="shared" ca="1" si="409"/>
        <v/>
      </c>
      <c r="BG724" s="469" t="str">
        <f t="shared" ca="1" si="410"/>
        <v/>
      </c>
      <c r="BH724" s="467" t="str">
        <f t="shared" si="411"/>
        <v/>
      </c>
      <c r="BI724" s="467" t="str">
        <f t="shared" ca="1" si="412"/>
        <v/>
      </c>
      <c r="BJ724" s="469" t="str">
        <f t="shared" si="413"/>
        <v/>
      </c>
      <c r="BK724" s="470" t="str">
        <f t="shared" si="397"/>
        <v/>
      </c>
      <c r="BL724" s="775" t="str">
        <f t="shared" si="414"/>
        <v/>
      </c>
      <c r="BM724" s="775" t="str">
        <f t="shared" si="415"/>
        <v/>
      </c>
    </row>
    <row r="725" spans="1:65">
      <c r="A725" s="473">
        <v>669</v>
      </c>
      <c r="B725" s="132"/>
      <c r="C725" s="332"/>
      <c r="D725" s="333"/>
      <c r="E725" s="333"/>
      <c r="F725" s="334"/>
      <c r="G725" s="337"/>
      <c r="H725" s="131"/>
      <c r="I725" s="337"/>
      <c r="J725" s="131"/>
      <c r="K725" s="458" t="str">
        <f t="shared" si="384"/>
        <v/>
      </c>
      <c r="L725" s="458">
        <f t="shared" si="385"/>
        <v>0</v>
      </c>
      <c r="M725" s="458">
        <f t="shared" si="386"/>
        <v>0</v>
      </c>
      <c r="N725" s="459" t="str">
        <f t="shared" si="283"/>
        <v/>
      </c>
      <c r="O725" s="459" t="str">
        <f t="shared" si="284"/>
        <v/>
      </c>
      <c r="P725" s="459" t="str">
        <f t="shared" si="285"/>
        <v/>
      </c>
      <c r="Q725" s="459" t="str">
        <f t="shared" si="286"/>
        <v/>
      </c>
      <c r="R725" s="459" t="str">
        <f t="shared" si="287"/>
        <v/>
      </c>
      <c r="S725" s="459" t="str">
        <f t="shared" si="288"/>
        <v/>
      </c>
      <c r="T725" s="566" t="str">
        <f t="shared" si="387"/>
        <v/>
      </c>
      <c r="U725" s="702"/>
      <c r="V725" s="132"/>
      <c r="W725" s="133"/>
      <c r="X725" s="134"/>
      <c r="Y725" s="135"/>
      <c r="Z725" s="137"/>
      <c r="AA725" s="136"/>
      <c r="AB725" s="566" t="str">
        <f t="shared" si="388"/>
        <v/>
      </c>
      <c r="AC725" s="568" t="str">
        <f t="shared" si="389"/>
        <v/>
      </c>
      <c r="AD725" s="137"/>
      <c r="AE725" s="137"/>
      <c r="AF725" s="138"/>
      <c r="AG725" s="138"/>
      <c r="AH725" s="592" t="str">
        <f t="shared" si="390"/>
        <v/>
      </c>
      <c r="AI725" s="592" t="str">
        <f t="shared" si="391"/>
        <v/>
      </c>
      <c r="AJ725" s="592" t="str">
        <f t="shared" si="392"/>
        <v/>
      </c>
      <c r="AK725" s="460" t="str">
        <f>IF(AU725="","",IF(OR(AZ725=8,AZ725=9),0,IF(OR(AW725=3,AW725=4,AW725=5,AW725=6),IF(LEFT(BF725,1)="1",INDEX(係数_NOX・PM低減,MATCH(AY725,【参考】排出係数!$AI$801:$AI$804,1),1),VLOOKUP(AU725,INDEX((係数_バス貨物_ガソリン,係数_バス貨物_CNG,係数_バス貨物_軽油,係数_バス貨物_メタノール,係数_バス貨物_LPG),MATCH(AY725,【参考】排出係数!$AI$4:$AI$671,1),1,BE725):INDEX((係数_バス貨物_ガソリン,係数_バス貨物_CNG,係数_バス貨物_軽油,係数_バス貨物_メタノール,係数_バス貨物_LPG),MATCH(AY725+1,【参考】排出係数!$AI$4:$AI$671,1)-1,5,BE725),4,FALSE)),IF(AND(BE725=3,LEFT(BF725,1)="1"),0.48,VLOOKUP(AU725,INDEX((係数_乗用_ガソリン,係数_乗用_CNG,係数_乗用_軽油,係数_乗用_メタノール,係数_乗用_LPG),1,1,BE725):INDEX((係数_乗用_ガソリン,係数_乗用_CNG,係数_乗用_軽油,係数_乗用_メタノール,係数_乗用_LPG),125,5,BE725),4,FALSE)))))</f>
        <v/>
      </c>
      <c r="AL725" s="461" t="str">
        <f t="shared" si="393"/>
        <v/>
      </c>
      <c r="AM725" s="460" t="str">
        <f>IF(AU725="","",IF(OR(AZ725=8,AZ725=9),0,IF(OR(AW725=3,AW725=4,AW725=5,AW725=6),IF(LEFT(BH725,1)="1",INDEX(係数_PM低減,MATCH(AY725,【参考】排出係数!$AI$801:$AI$804,1),MATCH(BI725,【参考】排出係数!$AL$798:$AO$798,1)),VLOOKUP(AU725,INDEX((係数_バス貨物_ガソリン,係数_バス貨物_CNG,係数_バス貨物_軽油,係数_バス貨物_メタノール,係数_バス貨物_LPG),MATCH(AY725,【参考】排出係数!$AI$4:$AI$671,1),1,BE725):INDEX((係数_バス貨物_ガソリン,係数_バス貨物_CNG,係数_バス貨物_軽油,係数_バス貨物_メタノール,係数_バス貨物_LPG),MATCH(AY725+1,【参考】排出係数!$AI$4:$AI$671,1)-1,5,BE725),5,FALSE)),IF(AND(BE725=3,LEFT(BF725,1)="1"),0.055,VLOOKUP(AU725,INDEX((係数_乗用_ガソリン,係数_乗用_CNG,係数_乗用_軽油,係数_乗用_メタノール,係数_乗用_LPG),1,1,BE725):INDEX((係数_乗用_ガソリン,係数_乗用_CNG,係数_乗用_軽油,係数_乗用_メタノール,係数_乗用_LPG),125,5,BE725),5,FALSE)))))</f>
        <v/>
      </c>
      <c r="AN725" s="461" t="str">
        <f t="shared" si="394"/>
        <v/>
      </c>
      <c r="AO725" s="462" t="str">
        <f t="shared" si="395"/>
        <v/>
      </c>
      <c r="AP725" s="463" t="str">
        <f t="shared" si="396"/>
        <v/>
      </c>
      <c r="AQ725" s="464"/>
      <c r="AR725" s="619"/>
      <c r="AS725" s="465" t="str">
        <f t="shared" si="398"/>
        <v/>
      </c>
      <c r="AT725" s="465" t="str">
        <f t="shared" si="399"/>
        <v/>
      </c>
      <c r="AU725" s="466" t="str">
        <f t="shared" si="400"/>
        <v/>
      </c>
      <c r="AV725" s="467" t="str">
        <f t="shared" si="401"/>
        <v/>
      </c>
      <c r="AW725" s="467" t="str">
        <f t="shared" si="402"/>
        <v/>
      </c>
      <c r="AX725" s="467" t="str">
        <f t="shared" si="403"/>
        <v/>
      </c>
      <c r="AY725" s="467" t="str">
        <f t="shared" si="404"/>
        <v/>
      </c>
      <c r="AZ725" s="467" t="str">
        <f t="shared" si="405"/>
        <v/>
      </c>
      <c r="BA725" s="468" t="str">
        <f>IF(AS725="","",IF(OR(AU725="",AU725="-"),"－",IF(OR(AZ725=8,AZ725=9),"",IF(OR(AW725=3,AW725=4,AW725=5,AW725=6),VLOOKUP(AU725,INDEX((係数_バス貨物_ガソリン,係数_バス貨物_CNG,係数_バス貨物_軽油,係数_バス貨物_メタノール,係数_バス貨物_LPG),MATCH(AY725,【参考】排出係数!$AI$4:$AI$671,1),1,BE725):INDEX((係数_バス貨物_ガソリン,係数_バス貨物_CNG,係数_バス貨物_軽油,係数_バス貨物_メタノール,係数_バス貨物_LPG),MATCH(AY725+1,【参考】排出係数!$AI$4:$AI$671,1)-1,5,BE725),2,FALSE),IF(OR(AW725=1,AW725=2),VLOOKUP(AU725,INDEX((係数_乗用_ガソリン,係数_乗用_CNG,係数_乗用_軽油,係数_乗用_メタノール,係数_乗用_LPG),1,1,BE725):INDEX((係数_乗用_ガソリン,係数_乗用_CNG,係数_乗用_軽油,係数_乗用_メタノール,係数_乗用_LPG),125,5,BE725),2,FALSE))))))</f>
        <v/>
      </c>
      <c r="BB725" s="468" t="str">
        <f>IF(T725="","",IF(OR(AU725="",AU725="-"),"－",IF(OR(AZ725=8,AZ725=9),"",IF(OR(AW725=3,AW725=4,AW725=5,AW725=6),VLOOKUP(AU725,INDEX((係数_バス貨物_ガソリン,係数_バス貨物_CNG,係数_バス貨物_軽油,係数_バス貨物_メタノール,係数_バス貨物_LPG),MATCH(AY725,【参考】排出係数!$AI$4:$AI$671,1),1,BE725):INDEX((係数_バス貨物_ガソリン,係数_バス貨物_CNG,係数_バス貨物_軽油,係数_バス貨物_メタノール,係数_バス貨物_LPG),MATCH(AY725+1,【参考】排出係数!$AI$4:$AI$671,1)-1,5,BE725),3,FALSE),IF(OR(AW725=1,AW725=2),VLOOKUP(AU725,INDEX((係数_乗用_ガソリン,係数_乗用_CNG,係数_乗用_軽油,係数_乗用_メタノール,係数_乗用_LPG),1,1,BE725):INDEX((係数_乗用_ガソリン,係数_乗用_CNG,係数_乗用_軽油,係数_乗用_メタノール,係数_乗用_LPG),125,5,BE725),3,FALSE))))))</f>
        <v/>
      </c>
      <c r="BC725" s="467" t="str">
        <f t="shared" si="406"/>
        <v/>
      </c>
      <c r="BD725" s="567" t="str">
        <f t="shared" si="407"/>
        <v/>
      </c>
      <c r="BE725" s="467" t="str">
        <f t="shared" si="408"/>
        <v/>
      </c>
      <c r="BF725" s="469" t="str">
        <f t="shared" ca="1" si="409"/>
        <v/>
      </c>
      <c r="BG725" s="469" t="str">
        <f t="shared" ca="1" si="410"/>
        <v/>
      </c>
      <c r="BH725" s="467" t="str">
        <f t="shared" si="411"/>
        <v/>
      </c>
      <c r="BI725" s="467" t="str">
        <f t="shared" ca="1" si="412"/>
        <v/>
      </c>
      <c r="BJ725" s="469" t="str">
        <f t="shared" si="413"/>
        <v/>
      </c>
      <c r="BK725" s="470" t="str">
        <f t="shared" si="397"/>
        <v/>
      </c>
      <c r="BL725" s="775" t="str">
        <f t="shared" si="414"/>
        <v/>
      </c>
      <c r="BM725" s="775" t="str">
        <f t="shared" si="415"/>
        <v/>
      </c>
    </row>
    <row r="726" spans="1:65">
      <c r="A726" s="473">
        <v>670</v>
      </c>
      <c r="B726" s="132"/>
      <c r="C726" s="332"/>
      <c r="D726" s="333"/>
      <c r="E726" s="333"/>
      <c r="F726" s="334"/>
      <c r="G726" s="337"/>
      <c r="H726" s="131"/>
      <c r="I726" s="337"/>
      <c r="J726" s="131"/>
      <c r="K726" s="458" t="str">
        <f t="shared" si="384"/>
        <v/>
      </c>
      <c r="L726" s="458">
        <f t="shared" si="385"/>
        <v>0</v>
      </c>
      <c r="M726" s="458">
        <f t="shared" si="386"/>
        <v>0</v>
      </c>
      <c r="N726" s="459" t="str">
        <f t="shared" si="283"/>
        <v/>
      </c>
      <c r="O726" s="459" t="str">
        <f t="shared" si="284"/>
        <v/>
      </c>
      <c r="P726" s="459" t="str">
        <f t="shared" si="285"/>
        <v/>
      </c>
      <c r="Q726" s="459" t="str">
        <f t="shared" si="286"/>
        <v/>
      </c>
      <c r="R726" s="459" t="str">
        <f t="shared" si="287"/>
        <v/>
      </c>
      <c r="S726" s="459" t="str">
        <f t="shared" si="288"/>
        <v/>
      </c>
      <c r="T726" s="566" t="str">
        <f t="shared" si="387"/>
        <v/>
      </c>
      <c r="U726" s="702"/>
      <c r="V726" s="132"/>
      <c r="W726" s="133"/>
      <c r="X726" s="134"/>
      <c r="Y726" s="135"/>
      <c r="Z726" s="137"/>
      <c r="AA726" s="136"/>
      <c r="AB726" s="566" t="str">
        <f t="shared" si="388"/>
        <v/>
      </c>
      <c r="AC726" s="568" t="str">
        <f t="shared" si="389"/>
        <v/>
      </c>
      <c r="AD726" s="137"/>
      <c r="AE726" s="137"/>
      <c r="AF726" s="138"/>
      <c r="AG726" s="138"/>
      <c r="AH726" s="592" t="str">
        <f t="shared" si="390"/>
        <v/>
      </c>
      <c r="AI726" s="592" t="str">
        <f t="shared" si="391"/>
        <v/>
      </c>
      <c r="AJ726" s="592" t="str">
        <f t="shared" si="392"/>
        <v/>
      </c>
      <c r="AK726" s="460" t="str">
        <f>IF(AU726="","",IF(OR(AZ726=8,AZ726=9),0,IF(OR(AW726=3,AW726=4,AW726=5,AW726=6),IF(LEFT(BF726,1)="1",INDEX(係数_NOX・PM低減,MATCH(AY726,【参考】排出係数!$AI$801:$AI$804,1),1),VLOOKUP(AU726,INDEX((係数_バス貨物_ガソリン,係数_バス貨物_CNG,係数_バス貨物_軽油,係数_バス貨物_メタノール,係数_バス貨物_LPG),MATCH(AY726,【参考】排出係数!$AI$4:$AI$671,1),1,BE726):INDEX((係数_バス貨物_ガソリン,係数_バス貨物_CNG,係数_バス貨物_軽油,係数_バス貨物_メタノール,係数_バス貨物_LPG),MATCH(AY726+1,【参考】排出係数!$AI$4:$AI$671,1)-1,5,BE726),4,FALSE)),IF(AND(BE726=3,LEFT(BF726,1)="1"),0.48,VLOOKUP(AU726,INDEX((係数_乗用_ガソリン,係数_乗用_CNG,係数_乗用_軽油,係数_乗用_メタノール,係数_乗用_LPG),1,1,BE726):INDEX((係数_乗用_ガソリン,係数_乗用_CNG,係数_乗用_軽油,係数_乗用_メタノール,係数_乗用_LPG),125,5,BE726),4,FALSE)))))</f>
        <v/>
      </c>
      <c r="AL726" s="461" t="str">
        <f t="shared" si="393"/>
        <v/>
      </c>
      <c r="AM726" s="460" t="str">
        <f>IF(AU726="","",IF(OR(AZ726=8,AZ726=9),0,IF(OR(AW726=3,AW726=4,AW726=5,AW726=6),IF(LEFT(BH726,1)="1",INDEX(係数_PM低減,MATCH(AY726,【参考】排出係数!$AI$801:$AI$804,1),MATCH(BI726,【参考】排出係数!$AL$798:$AO$798,1)),VLOOKUP(AU726,INDEX((係数_バス貨物_ガソリン,係数_バス貨物_CNG,係数_バス貨物_軽油,係数_バス貨物_メタノール,係数_バス貨物_LPG),MATCH(AY726,【参考】排出係数!$AI$4:$AI$671,1),1,BE726):INDEX((係数_バス貨物_ガソリン,係数_バス貨物_CNG,係数_バス貨物_軽油,係数_バス貨物_メタノール,係数_バス貨物_LPG),MATCH(AY726+1,【参考】排出係数!$AI$4:$AI$671,1)-1,5,BE726),5,FALSE)),IF(AND(BE726=3,LEFT(BF726,1)="1"),0.055,VLOOKUP(AU726,INDEX((係数_乗用_ガソリン,係数_乗用_CNG,係数_乗用_軽油,係数_乗用_メタノール,係数_乗用_LPG),1,1,BE726):INDEX((係数_乗用_ガソリン,係数_乗用_CNG,係数_乗用_軽油,係数_乗用_メタノール,係数_乗用_LPG),125,5,BE726),5,FALSE)))))</f>
        <v/>
      </c>
      <c r="AN726" s="461" t="str">
        <f t="shared" si="394"/>
        <v/>
      </c>
      <c r="AO726" s="462" t="str">
        <f t="shared" si="395"/>
        <v/>
      </c>
      <c r="AP726" s="463" t="str">
        <f t="shared" si="396"/>
        <v/>
      </c>
      <c r="AQ726" s="464"/>
      <c r="AR726" s="619"/>
      <c r="AS726" s="465" t="str">
        <f t="shared" si="398"/>
        <v/>
      </c>
      <c r="AT726" s="465" t="str">
        <f t="shared" si="399"/>
        <v/>
      </c>
      <c r="AU726" s="466" t="str">
        <f t="shared" si="400"/>
        <v/>
      </c>
      <c r="AV726" s="467" t="str">
        <f t="shared" si="401"/>
        <v/>
      </c>
      <c r="AW726" s="467" t="str">
        <f t="shared" si="402"/>
        <v/>
      </c>
      <c r="AX726" s="467" t="str">
        <f t="shared" si="403"/>
        <v/>
      </c>
      <c r="AY726" s="467" t="str">
        <f t="shared" si="404"/>
        <v/>
      </c>
      <c r="AZ726" s="467" t="str">
        <f t="shared" si="405"/>
        <v/>
      </c>
      <c r="BA726" s="468" t="str">
        <f>IF(AS726="","",IF(OR(AU726="",AU726="-"),"－",IF(OR(AZ726=8,AZ726=9),"",IF(OR(AW726=3,AW726=4,AW726=5,AW726=6),VLOOKUP(AU726,INDEX((係数_バス貨物_ガソリン,係数_バス貨物_CNG,係数_バス貨物_軽油,係数_バス貨物_メタノール,係数_バス貨物_LPG),MATCH(AY726,【参考】排出係数!$AI$4:$AI$671,1),1,BE726):INDEX((係数_バス貨物_ガソリン,係数_バス貨物_CNG,係数_バス貨物_軽油,係数_バス貨物_メタノール,係数_バス貨物_LPG),MATCH(AY726+1,【参考】排出係数!$AI$4:$AI$671,1)-1,5,BE726),2,FALSE),IF(OR(AW726=1,AW726=2),VLOOKUP(AU726,INDEX((係数_乗用_ガソリン,係数_乗用_CNG,係数_乗用_軽油,係数_乗用_メタノール,係数_乗用_LPG),1,1,BE726):INDEX((係数_乗用_ガソリン,係数_乗用_CNG,係数_乗用_軽油,係数_乗用_メタノール,係数_乗用_LPG),125,5,BE726),2,FALSE))))))</f>
        <v/>
      </c>
      <c r="BB726" s="468" t="str">
        <f>IF(T726="","",IF(OR(AU726="",AU726="-"),"－",IF(OR(AZ726=8,AZ726=9),"",IF(OR(AW726=3,AW726=4,AW726=5,AW726=6),VLOOKUP(AU726,INDEX((係数_バス貨物_ガソリン,係数_バス貨物_CNG,係数_バス貨物_軽油,係数_バス貨物_メタノール,係数_バス貨物_LPG),MATCH(AY726,【参考】排出係数!$AI$4:$AI$671,1),1,BE726):INDEX((係数_バス貨物_ガソリン,係数_バス貨物_CNG,係数_バス貨物_軽油,係数_バス貨物_メタノール,係数_バス貨物_LPG),MATCH(AY726+1,【参考】排出係数!$AI$4:$AI$671,1)-1,5,BE726),3,FALSE),IF(OR(AW726=1,AW726=2),VLOOKUP(AU726,INDEX((係数_乗用_ガソリン,係数_乗用_CNG,係数_乗用_軽油,係数_乗用_メタノール,係数_乗用_LPG),1,1,BE726):INDEX((係数_乗用_ガソリン,係数_乗用_CNG,係数_乗用_軽油,係数_乗用_メタノール,係数_乗用_LPG),125,5,BE726),3,FALSE))))))</f>
        <v/>
      </c>
      <c r="BC726" s="467" t="str">
        <f t="shared" si="406"/>
        <v/>
      </c>
      <c r="BD726" s="567" t="str">
        <f t="shared" si="407"/>
        <v/>
      </c>
      <c r="BE726" s="467" t="str">
        <f t="shared" si="408"/>
        <v/>
      </c>
      <c r="BF726" s="469" t="str">
        <f t="shared" ca="1" si="409"/>
        <v/>
      </c>
      <c r="BG726" s="469" t="str">
        <f t="shared" ca="1" si="410"/>
        <v/>
      </c>
      <c r="BH726" s="467" t="str">
        <f t="shared" si="411"/>
        <v/>
      </c>
      <c r="BI726" s="467" t="str">
        <f t="shared" ca="1" si="412"/>
        <v/>
      </c>
      <c r="BJ726" s="469" t="str">
        <f t="shared" si="413"/>
        <v/>
      </c>
      <c r="BK726" s="470" t="str">
        <f t="shared" si="397"/>
        <v/>
      </c>
      <c r="BL726" s="775" t="str">
        <f t="shared" si="414"/>
        <v/>
      </c>
      <c r="BM726" s="775" t="str">
        <f t="shared" si="415"/>
        <v/>
      </c>
    </row>
    <row r="727" spans="1:65">
      <c r="A727" s="473">
        <v>671</v>
      </c>
      <c r="B727" s="132"/>
      <c r="C727" s="332"/>
      <c r="D727" s="333"/>
      <c r="E727" s="333"/>
      <c r="F727" s="334"/>
      <c r="G727" s="337"/>
      <c r="H727" s="131"/>
      <c r="I727" s="337"/>
      <c r="J727" s="131"/>
      <c r="K727" s="458" t="str">
        <f t="shared" si="384"/>
        <v/>
      </c>
      <c r="L727" s="458">
        <f t="shared" si="385"/>
        <v>0</v>
      </c>
      <c r="M727" s="458">
        <f t="shared" si="386"/>
        <v>0</v>
      </c>
      <c r="N727" s="459" t="str">
        <f t="shared" si="283"/>
        <v/>
      </c>
      <c r="O727" s="459" t="str">
        <f t="shared" si="284"/>
        <v/>
      </c>
      <c r="P727" s="459" t="str">
        <f t="shared" si="285"/>
        <v/>
      </c>
      <c r="Q727" s="459" t="str">
        <f t="shared" si="286"/>
        <v/>
      </c>
      <c r="R727" s="459" t="str">
        <f t="shared" si="287"/>
        <v/>
      </c>
      <c r="S727" s="459" t="str">
        <f t="shared" si="288"/>
        <v/>
      </c>
      <c r="T727" s="566" t="str">
        <f t="shared" si="387"/>
        <v/>
      </c>
      <c r="U727" s="702"/>
      <c r="V727" s="132"/>
      <c r="W727" s="133"/>
      <c r="X727" s="134"/>
      <c r="Y727" s="135"/>
      <c r="Z727" s="137"/>
      <c r="AA727" s="136"/>
      <c r="AB727" s="566" t="str">
        <f t="shared" si="388"/>
        <v/>
      </c>
      <c r="AC727" s="568" t="str">
        <f t="shared" si="389"/>
        <v/>
      </c>
      <c r="AD727" s="137"/>
      <c r="AE727" s="137"/>
      <c r="AF727" s="138"/>
      <c r="AG727" s="138"/>
      <c r="AH727" s="592" t="str">
        <f t="shared" si="390"/>
        <v/>
      </c>
      <c r="AI727" s="592" t="str">
        <f t="shared" si="391"/>
        <v/>
      </c>
      <c r="AJ727" s="592" t="str">
        <f t="shared" si="392"/>
        <v/>
      </c>
      <c r="AK727" s="460" t="str">
        <f>IF(AU727="","",IF(OR(AZ727=8,AZ727=9),0,IF(OR(AW727=3,AW727=4,AW727=5,AW727=6),IF(LEFT(BF727,1)="1",INDEX(係数_NOX・PM低減,MATCH(AY727,【参考】排出係数!$AI$801:$AI$804,1),1),VLOOKUP(AU727,INDEX((係数_バス貨物_ガソリン,係数_バス貨物_CNG,係数_バス貨物_軽油,係数_バス貨物_メタノール,係数_バス貨物_LPG),MATCH(AY727,【参考】排出係数!$AI$4:$AI$671,1),1,BE727):INDEX((係数_バス貨物_ガソリン,係数_バス貨物_CNG,係数_バス貨物_軽油,係数_バス貨物_メタノール,係数_バス貨物_LPG),MATCH(AY727+1,【参考】排出係数!$AI$4:$AI$671,1)-1,5,BE727),4,FALSE)),IF(AND(BE727=3,LEFT(BF727,1)="1"),0.48,VLOOKUP(AU727,INDEX((係数_乗用_ガソリン,係数_乗用_CNG,係数_乗用_軽油,係数_乗用_メタノール,係数_乗用_LPG),1,1,BE727):INDEX((係数_乗用_ガソリン,係数_乗用_CNG,係数_乗用_軽油,係数_乗用_メタノール,係数_乗用_LPG),125,5,BE727),4,FALSE)))))</f>
        <v/>
      </c>
      <c r="AL727" s="461" t="str">
        <f t="shared" si="393"/>
        <v/>
      </c>
      <c r="AM727" s="460" t="str">
        <f>IF(AU727="","",IF(OR(AZ727=8,AZ727=9),0,IF(OR(AW727=3,AW727=4,AW727=5,AW727=6),IF(LEFT(BH727,1)="1",INDEX(係数_PM低減,MATCH(AY727,【参考】排出係数!$AI$801:$AI$804,1),MATCH(BI727,【参考】排出係数!$AL$798:$AO$798,1)),VLOOKUP(AU727,INDEX((係数_バス貨物_ガソリン,係数_バス貨物_CNG,係数_バス貨物_軽油,係数_バス貨物_メタノール,係数_バス貨物_LPG),MATCH(AY727,【参考】排出係数!$AI$4:$AI$671,1),1,BE727):INDEX((係数_バス貨物_ガソリン,係数_バス貨物_CNG,係数_バス貨物_軽油,係数_バス貨物_メタノール,係数_バス貨物_LPG),MATCH(AY727+1,【参考】排出係数!$AI$4:$AI$671,1)-1,5,BE727),5,FALSE)),IF(AND(BE727=3,LEFT(BF727,1)="1"),0.055,VLOOKUP(AU727,INDEX((係数_乗用_ガソリン,係数_乗用_CNG,係数_乗用_軽油,係数_乗用_メタノール,係数_乗用_LPG),1,1,BE727):INDEX((係数_乗用_ガソリン,係数_乗用_CNG,係数_乗用_軽油,係数_乗用_メタノール,係数_乗用_LPG),125,5,BE727),5,FALSE)))))</f>
        <v/>
      </c>
      <c r="AN727" s="461" t="str">
        <f t="shared" si="394"/>
        <v/>
      </c>
      <c r="AO727" s="462" t="str">
        <f t="shared" si="395"/>
        <v/>
      </c>
      <c r="AP727" s="463" t="str">
        <f t="shared" si="396"/>
        <v/>
      </c>
      <c r="AQ727" s="464"/>
      <c r="AR727" s="619"/>
      <c r="AS727" s="465" t="str">
        <f t="shared" si="398"/>
        <v/>
      </c>
      <c r="AT727" s="465" t="str">
        <f t="shared" si="399"/>
        <v/>
      </c>
      <c r="AU727" s="466" t="str">
        <f t="shared" si="400"/>
        <v/>
      </c>
      <c r="AV727" s="467" t="str">
        <f t="shared" si="401"/>
        <v/>
      </c>
      <c r="AW727" s="467" t="str">
        <f t="shared" si="402"/>
        <v/>
      </c>
      <c r="AX727" s="467" t="str">
        <f t="shared" si="403"/>
        <v/>
      </c>
      <c r="AY727" s="467" t="str">
        <f t="shared" si="404"/>
        <v/>
      </c>
      <c r="AZ727" s="467" t="str">
        <f t="shared" si="405"/>
        <v/>
      </c>
      <c r="BA727" s="468" t="str">
        <f>IF(AS727="","",IF(OR(AU727="",AU727="-"),"－",IF(OR(AZ727=8,AZ727=9),"",IF(OR(AW727=3,AW727=4,AW727=5,AW727=6),VLOOKUP(AU727,INDEX((係数_バス貨物_ガソリン,係数_バス貨物_CNG,係数_バス貨物_軽油,係数_バス貨物_メタノール,係数_バス貨物_LPG),MATCH(AY727,【参考】排出係数!$AI$4:$AI$671,1),1,BE727):INDEX((係数_バス貨物_ガソリン,係数_バス貨物_CNG,係数_バス貨物_軽油,係数_バス貨物_メタノール,係数_バス貨物_LPG),MATCH(AY727+1,【参考】排出係数!$AI$4:$AI$671,1)-1,5,BE727),2,FALSE),IF(OR(AW727=1,AW727=2),VLOOKUP(AU727,INDEX((係数_乗用_ガソリン,係数_乗用_CNG,係数_乗用_軽油,係数_乗用_メタノール,係数_乗用_LPG),1,1,BE727):INDEX((係数_乗用_ガソリン,係数_乗用_CNG,係数_乗用_軽油,係数_乗用_メタノール,係数_乗用_LPG),125,5,BE727),2,FALSE))))))</f>
        <v/>
      </c>
      <c r="BB727" s="468" t="str">
        <f>IF(T727="","",IF(OR(AU727="",AU727="-"),"－",IF(OR(AZ727=8,AZ727=9),"",IF(OR(AW727=3,AW727=4,AW727=5,AW727=6),VLOOKUP(AU727,INDEX((係数_バス貨物_ガソリン,係数_バス貨物_CNG,係数_バス貨物_軽油,係数_バス貨物_メタノール,係数_バス貨物_LPG),MATCH(AY727,【参考】排出係数!$AI$4:$AI$671,1),1,BE727):INDEX((係数_バス貨物_ガソリン,係数_バス貨物_CNG,係数_バス貨物_軽油,係数_バス貨物_メタノール,係数_バス貨物_LPG),MATCH(AY727+1,【参考】排出係数!$AI$4:$AI$671,1)-1,5,BE727),3,FALSE),IF(OR(AW727=1,AW727=2),VLOOKUP(AU727,INDEX((係数_乗用_ガソリン,係数_乗用_CNG,係数_乗用_軽油,係数_乗用_メタノール,係数_乗用_LPG),1,1,BE727):INDEX((係数_乗用_ガソリン,係数_乗用_CNG,係数_乗用_軽油,係数_乗用_メタノール,係数_乗用_LPG),125,5,BE727),3,FALSE))))))</f>
        <v/>
      </c>
      <c r="BC727" s="467" t="str">
        <f t="shared" si="406"/>
        <v/>
      </c>
      <c r="BD727" s="567" t="str">
        <f t="shared" si="407"/>
        <v/>
      </c>
      <c r="BE727" s="467" t="str">
        <f t="shared" si="408"/>
        <v/>
      </c>
      <c r="BF727" s="469" t="str">
        <f t="shared" ca="1" si="409"/>
        <v/>
      </c>
      <c r="BG727" s="469" t="str">
        <f t="shared" ca="1" si="410"/>
        <v/>
      </c>
      <c r="BH727" s="467" t="str">
        <f t="shared" si="411"/>
        <v/>
      </c>
      <c r="BI727" s="467" t="str">
        <f t="shared" ca="1" si="412"/>
        <v/>
      </c>
      <c r="BJ727" s="469" t="str">
        <f t="shared" si="413"/>
        <v/>
      </c>
      <c r="BK727" s="470" t="str">
        <f t="shared" si="397"/>
        <v/>
      </c>
      <c r="BL727" s="775" t="str">
        <f t="shared" si="414"/>
        <v/>
      </c>
      <c r="BM727" s="775" t="str">
        <f t="shared" si="415"/>
        <v/>
      </c>
    </row>
    <row r="728" spans="1:65">
      <c r="A728" s="473">
        <v>672</v>
      </c>
      <c r="B728" s="132"/>
      <c r="C728" s="332"/>
      <c r="D728" s="333"/>
      <c r="E728" s="333"/>
      <c r="F728" s="334"/>
      <c r="G728" s="337"/>
      <c r="H728" s="131"/>
      <c r="I728" s="337"/>
      <c r="J728" s="131"/>
      <c r="K728" s="458" t="str">
        <f t="shared" si="384"/>
        <v/>
      </c>
      <c r="L728" s="458">
        <f t="shared" si="385"/>
        <v>0</v>
      </c>
      <c r="M728" s="458">
        <f t="shared" si="386"/>
        <v>0</v>
      </c>
      <c r="N728" s="459" t="str">
        <f t="shared" si="283"/>
        <v/>
      </c>
      <c r="O728" s="459" t="str">
        <f t="shared" si="284"/>
        <v/>
      </c>
      <c r="P728" s="459" t="str">
        <f t="shared" si="285"/>
        <v/>
      </c>
      <c r="Q728" s="459" t="str">
        <f t="shared" si="286"/>
        <v/>
      </c>
      <c r="R728" s="459" t="str">
        <f t="shared" si="287"/>
        <v/>
      </c>
      <c r="S728" s="459" t="str">
        <f t="shared" si="288"/>
        <v/>
      </c>
      <c r="T728" s="566" t="str">
        <f t="shared" si="387"/>
        <v/>
      </c>
      <c r="U728" s="702"/>
      <c r="V728" s="132"/>
      <c r="W728" s="133"/>
      <c r="X728" s="134"/>
      <c r="Y728" s="135"/>
      <c r="Z728" s="137"/>
      <c r="AA728" s="136"/>
      <c r="AB728" s="566" t="str">
        <f t="shared" si="388"/>
        <v/>
      </c>
      <c r="AC728" s="568" t="str">
        <f t="shared" si="389"/>
        <v/>
      </c>
      <c r="AD728" s="137"/>
      <c r="AE728" s="137"/>
      <c r="AF728" s="138"/>
      <c r="AG728" s="138"/>
      <c r="AH728" s="592" t="str">
        <f t="shared" si="390"/>
        <v/>
      </c>
      <c r="AI728" s="592" t="str">
        <f t="shared" si="391"/>
        <v/>
      </c>
      <c r="AJ728" s="592" t="str">
        <f t="shared" si="392"/>
        <v/>
      </c>
      <c r="AK728" s="460" t="str">
        <f>IF(AU728="","",IF(OR(AZ728=8,AZ728=9),0,IF(OR(AW728=3,AW728=4,AW728=5,AW728=6),IF(LEFT(BF728,1)="1",INDEX(係数_NOX・PM低減,MATCH(AY728,【参考】排出係数!$AI$801:$AI$804,1),1),VLOOKUP(AU728,INDEX((係数_バス貨物_ガソリン,係数_バス貨物_CNG,係数_バス貨物_軽油,係数_バス貨物_メタノール,係数_バス貨物_LPG),MATCH(AY728,【参考】排出係数!$AI$4:$AI$671,1),1,BE728):INDEX((係数_バス貨物_ガソリン,係数_バス貨物_CNG,係数_バス貨物_軽油,係数_バス貨物_メタノール,係数_バス貨物_LPG),MATCH(AY728+1,【参考】排出係数!$AI$4:$AI$671,1)-1,5,BE728),4,FALSE)),IF(AND(BE728=3,LEFT(BF728,1)="1"),0.48,VLOOKUP(AU728,INDEX((係数_乗用_ガソリン,係数_乗用_CNG,係数_乗用_軽油,係数_乗用_メタノール,係数_乗用_LPG),1,1,BE728):INDEX((係数_乗用_ガソリン,係数_乗用_CNG,係数_乗用_軽油,係数_乗用_メタノール,係数_乗用_LPG),125,5,BE728),4,FALSE)))))</f>
        <v/>
      </c>
      <c r="AL728" s="461" t="str">
        <f t="shared" si="393"/>
        <v/>
      </c>
      <c r="AM728" s="460" t="str">
        <f>IF(AU728="","",IF(OR(AZ728=8,AZ728=9),0,IF(OR(AW728=3,AW728=4,AW728=5,AW728=6),IF(LEFT(BH728,1)="1",INDEX(係数_PM低減,MATCH(AY728,【参考】排出係数!$AI$801:$AI$804,1),MATCH(BI728,【参考】排出係数!$AL$798:$AO$798,1)),VLOOKUP(AU728,INDEX((係数_バス貨物_ガソリン,係数_バス貨物_CNG,係数_バス貨物_軽油,係数_バス貨物_メタノール,係数_バス貨物_LPG),MATCH(AY728,【参考】排出係数!$AI$4:$AI$671,1),1,BE728):INDEX((係数_バス貨物_ガソリン,係数_バス貨物_CNG,係数_バス貨物_軽油,係数_バス貨物_メタノール,係数_バス貨物_LPG),MATCH(AY728+1,【参考】排出係数!$AI$4:$AI$671,1)-1,5,BE728),5,FALSE)),IF(AND(BE728=3,LEFT(BF728,1)="1"),0.055,VLOOKUP(AU728,INDEX((係数_乗用_ガソリン,係数_乗用_CNG,係数_乗用_軽油,係数_乗用_メタノール,係数_乗用_LPG),1,1,BE728):INDEX((係数_乗用_ガソリン,係数_乗用_CNG,係数_乗用_軽油,係数_乗用_メタノール,係数_乗用_LPG),125,5,BE728),5,FALSE)))))</f>
        <v/>
      </c>
      <c r="AN728" s="461" t="str">
        <f t="shared" si="394"/>
        <v/>
      </c>
      <c r="AO728" s="462" t="str">
        <f t="shared" si="395"/>
        <v/>
      </c>
      <c r="AP728" s="463" t="str">
        <f t="shared" si="396"/>
        <v/>
      </c>
      <c r="AQ728" s="464"/>
      <c r="AR728" s="619"/>
      <c r="AS728" s="465" t="str">
        <f t="shared" si="398"/>
        <v/>
      </c>
      <c r="AT728" s="465" t="str">
        <f t="shared" si="399"/>
        <v/>
      </c>
      <c r="AU728" s="466" t="str">
        <f t="shared" si="400"/>
        <v/>
      </c>
      <c r="AV728" s="467" t="str">
        <f t="shared" si="401"/>
        <v/>
      </c>
      <c r="AW728" s="467" t="str">
        <f t="shared" si="402"/>
        <v/>
      </c>
      <c r="AX728" s="467" t="str">
        <f t="shared" si="403"/>
        <v/>
      </c>
      <c r="AY728" s="467" t="str">
        <f t="shared" si="404"/>
        <v/>
      </c>
      <c r="AZ728" s="467" t="str">
        <f t="shared" si="405"/>
        <v/>
      </c>
      <c r="BA728" s="468" t="str">
        <f>IF(AS728="","",IF(OR(AU728="",AU728="-"),"－",IF(OR(AZ728=8,AZ728=9),"",IF(OR(AW728=3,AW728=4,AW728=5,AW728=6),VLOOKUP(AU728,INDEX((係数_バス貨物_ガソリン,係数_バス貨物_CNG,係数_バス貨物_軽油,係数_バス貨物_メタノール,係数_バス貨物_LPG),MATCH(AY728,【参考】排出係数!$AI$4:$AI$671,1),1,BE728):INDEX((係数_バス貨物_ガソリン,係数_バス貨物_CNG,係数_バス貨物_軽油,係数_バス貨物_メタノール,係数_バス貨物_LPG),MATCH(AY728+1,【参考】排出係数!$AI$4:$AI$671,1)-1,5,BE728),2,FALSE),IF(OR(AW728=1,AW728=2),VLOOKUP(AU728,INDEX((係数_乗用_ガソリン,係数_乗用_CNG,係数_乗用_軽油,係数_乗用_メタノール,係数_乗用_LPG),1,1,BE728):INDEX((係数_乗用_ガソリン,係数_乗用_CNG,係数_乗用_軽油,係数_乗用_メタノール,係数_乗用_LPG),125,5,BE728),2,FALSE))))))</f>
        <v/>
      </c>
      <c r="BB728" s="468" t="str">
        <f>IF(T728="","",IF(OR(AU728="",AU728="-"),"－",IF(OR(AZ728=8,AZ728=9),"",IF(OR(AW728=3,AW728=4,AW728=5,AW728=6),VLOOKUP(AU728,INDEX((係数_バス貨物_ガソリン,係数_バス貨物_CNG,係数_バス貨物_軽油,係数_バス貨物_メタノール,係数_バス貨物_LPG),MATCH(AY728,【参考】排出係数!$AI$4:$AI$671,1),1,BE728):INDEX((係数_バス貨物_ガソリン,係数_バス貨物_CNG,係数_バス貨物_軽油,係数_バス貨物_メタノール,係数_バス貨物_LPG),MATCH(AY728+1,【参考】排出係数!$AI$4:$AI$671,1)-1,5,BE728),3,FALSE),IF(OR(AW728=1,AW728=2),VLOOKUP(AU728,INDEX((係数_乗用_ガソリン,係数_乗用_CNG,係数_乗用_軽油,係数_乗用_メタノール,係数_乗用_LPG),1,1,BE728):INDEX((係数_乗用_ガソリン,係数_乗用_CNG,係数_乗用_軽油,係数_乗用_メタノール,係数_乗用_LPG),125,5,BE728),3,FALSE))))))</f>
        <v/>
      </c>
      <c r="BC728" s="467" t="str">
        <f t="shared" si="406"/>
        <v/>
      </c>
      <c r="BD728" s="567" t="str">
        <f t="shared" si="407"/>
        <v/>
      </c>
      <c r="BE728" s="467" t="str">
        <f t="shared" si="408"/>
        <v/>
      </c>
      <c r="BF728" s="469" t="str">
        <f t="shared" ca="1" si="409"/>
        <v/>
      </c>
      <c r="BG728" s="469" t="str">
        <f t="shared" ca="1" si="410"/>
        <v/>
      </c>
      <c r="BH728" s="467" t="str">
        <f t="shared" si="411"/>
        <v/>
      </c>
      <c r="BI728" s="467" t="str">
        <f t="shared" ca="1" si="412"/>
        <v/>
      </c>
      <c r="BJ728" s="469" t="str">
        <f t="shared" si="413"/>
        <v/>
      </c>
      <c r="BK728" s="470" t="str">
        <f t="shared" si="397"/>
        <v/>
      </c>
      <c r="BL728" s="775" t="str">
        <f t="shared" si="414"/>
        <v/>
      </c>
      <c r="BM728" s="775" t="str">
        <f t="shared" si="415"/>
        <v/>
      </c>
    </row>
    <row r="729" spans="1:65">
      <c r="A729" s="473">
        <v>673</v>
      </c>
      <c r="B729" s="132"/>
      <c r="C729" s="332"/>
      <c r="D729" s="333"/>
      <c r="E729" s="333"/>
      <c r="F729" s="334"/>
      <c r="G729" s="337"/>
      <c r="H729" s="131"/>
      <c r="I729" s="337"/>
      <c r="J729" s="131"/>
      <c r="K729" s="458" t="str">
        <f t="shared" si="384"/>
        <v/>
      </c>
      <c r="L729" s="458">
        <f t="shared" si="385"/>
        <v>0</v>
      </c>
      <c r="M729" s="458">
        <f t="shared" si="386"/>
        <v>0</v>
      </c>
      <c r="N729" s="459" t="str">
        <f t="shared" si="283"/>
        <v/>
      </c>
      <c r="O729" s="459" t="str">
        <f t="shared" si="284"/>
        <v/>
      </c>
      <c r="P729" s="459" t="str">
        <f t="shared" si="285"/>
        <v/>
      </c>
      <c r="Q729" s="459" t="str">
        <f t="shared" si="286"/>
        <v/>
      </c>
      <c r="R729" s="459" t="str">
        <f t="shared" si="287"/>
        <v/>
      </c>
      <c r="S729" s="459" t="str">
        <f t="shared" si="288"/>
        <v/>
      </c>
      <c r="T729" s="566" t="str">
        <f t="shared" si="387"/>
        <v/>
      </c>
      <c r="U729" s="702"/>
      <c r="V729" s="132"/>
      <c r="W729" s="133"/>
      <c r="X729" s="134"/>
      <c r="Y729" s="135"/>
      <c r="Z729" s="137"/>
      <c r="AA729" s="136"/>
      <c r="AB729" s="566" t="str">
        <f t="shared" si="388"/>
        <v/>
      </c>
      <c r="AC729" s="568" t="str">
        <f t="shared" si="389"/>
        <v/>
      </c>
      <c r="AD729" s="137"/>
      <c r="AE729" s="137"/>
      <c r="AF729" s="138"/>
      <c r="AG729" s="138"/>
      <c r="AH729" s="592" t="str">
        <f t="shared" si="390"/>
        <v/>
      </c>
      <c r="AI729" s="592" t="str">
        <f t="shared" si="391"/>
        <v/>
      </c>
      <c r="AJ729" s="592" t="str">
        <f t="shared" si="392"/>
        <v/>
      </c>
      <c r="AK729" s="460" t="str">
        <f>IF(AU729="","",IF(OR(AZ729=8,AZ729=9),0,IF(OR(AW729=3,AW729=4,AW729=5,AW729=6),IF(LEFT(BF729,1)="1",INDEX(係数_NOX・PM低減,MATCH(AY729,【参考】排出係数!$AI$801:$AI$804,1),1),VLOOKUP(AU729,INDEX((係数_バス貨物_ガソリン,係数_バス貨物_CNG,係数_バス貨物_軽油,係数_バス貨物_メタノール,係数_バス貨物_LPG),MATCH(AY729,【参考】排出係数!$AI$4:$AI$671,1),1,BE729):INDEX((係数_バス貨物_ガソリン,係数_バス貨物_CNG,係数_バス貨物_軽油,係数_バス貨物_メタノール,係数_バス貨物_LPG),MATCH(AY729+1,【参考】排出係数!$AI$4:$AI$671,1)-1,5,BE729),4,FALSE)),IF(AND(BE729=3,LEFT(BF729,1)="1"),0.48,VLOOKUP(AU729,INDEX((係数_乗用_ガソリン,係数_乗用_CNG,係数_乗用_軽油,係数_乗用_メタノール,係数_乗用_LPG),1,1,BE729):INDEX((係数_乗用_ガソリン,係数_乗用_CNG,係数_乗用_軽油,係数_乗用_メタノール,係数_乗用_LPG),125,5,BE729),4,FALSE)))))</f>
        <v/>
      </c>
      <c r="AL729" s="461" t="str">
        <f t="shared" si="393"/>
        <v/>
      </c>
      <c r="AM729" s="460" t="str">
        <f>IF(AU729="","",IF(OR(AZ729=8,AZ729=9),0,IF(OR(AW729=3,AW729=4,AW729=5,AW729=6),IF(LEFT(BH729,1)="1",INDEX(係数_PM低減,MATCH(AY729,【参考】排出係数!$AI$801:$AI$804,1),MATCH(BI729,【参考】排出係数!$AL$798:$AO$798,1)),VLOOKUP(AU729,INDEX((係数_バス貨物_ガソリン,係数_バス貨物_CNG,係数_バス貨物_軽油,係数_バス貨物_メタノール,係数_バス貨物_LPG),MATCH(AY729,【参考】排出係数!$AI$4:$AI$671,1),1,BE729):INDEX((係数_バス貨物_ガソリン,係数_バス貨物_CNG,係数_バス貨物_軽油,係数_バス貨物_メタノール,係数_バス貨物_LPG),MATCH(AY729+1,【参考】排出係数!$AI$4:$AI$671,1)-1,5,BE729),5,FALSE)),IF(AND(BE729=3,LEFT(BF729,1)="1"),0.055,VLOOKUP(AU729,INDEX((係数_乗用_ガソリン,係数_乗用_CNG,係数_乗用_軽油,係数_乗用_メタノール,係数_乗用_LPG),1,1,BE729):INDEX((係数_乗用_ガソリン,係数_乗用_CNG,係数_乗用_軽油,係数_乗用_メタノール,係数_乗用_LPG),125,5,BE729),5,FALSE)))))</f>
        <v/>
      </c>
      <c r="AN729" s="461" t="str">
        <f t="shared" si="394"/>
        <v/>
      </c>
      <c r="AO729" s="462" t="str">
        <f t="shared" si="395"/>
        <v/>
      </c>
      <c r="AP729" s="463" t="str">
        <f t="shared" si="396"/>
        <v/>
      </c>
      <c r="AQ729" s="464"/>
      <c r="AR729" s="619"/>
      <c r="AS729" s="465" t="str">
        <f t="shared" si="398"/>
        <v/>
      </c>
      <c r="AT729" s="465" t="str">
        <f t="shared" si="399"/>
        <v/>
      </c>
      <c r="AU729" s="466" t="str">
        <f t="shared" si="400"/>
        <v/>
      </c>
      <c r="AV729" s="467" t="str">
        <f t="shared" si="401"/>
        <v/>
      </c>
      <c r="AW729" s="467" t="str">
        <f t="shared" si="402"/>
        <v/>
      </c>
      <c r="AX729" s="467" t="str">
        <f t="shared" si="403"/>
        <v/>
      </c>
      <c r="AY729" s="467" t="str">
        <f t="shared" si="404"/>
        <v/>
      </c>
      <c r="AZ729" s="467" t="str">
        <f t="shared" si="405"/>
        <v/>
      </c>
      <c r="BA729" s="468" t="str">
        <f>IF(AS729="","",IF(OR(AU729="",AU729="-"),"－",IF(OR(AZ729=8,AZ729=9),"",IF(OR(AW729=3,AW729=4,AW729=5,AW729=6),VLOOKUP(AU729,INDEX((係数_バス貨物_ガソリン,係数_バス貨物_CNG,係数_バス貨物_軽油,係数_バス貨物_メタノール,係数_バス貨物_LPG),MATCH(AY729,【参考】排出係数!$AI$4:$AI$671,1),1,BE729):INDEX((係数_バス貨物_ガソリン,係数_バス貨物_CNG,係数_バス貨物_軽油,係数_バス貨物_メタノール,係数_バス貨物_LPG),MATCH(AY729+1,【参考】排出係数!$AI$4:$AI$671,1)-1,5,BE729),2,FALSE),IF(OR(AW729=1,AW729=2),VLOOKUP(AU729,INDEX((係数_乗用_ガソリン,係数_乗用_CNG,係数_乗用_軽油,係数_乗用_メタノール,係数_乗用_LPG),1,1,BE729):INDEX((係数_乗用_ガソリン,係数_乗用_CNG,係数_乗用_軽油,係数_乗用_メタノール,係数_乗用_LPG),125,5,BE729),2,FALSE))))))</f>
        <v/>
      </c>
      <c r="BB729" s="468" t="str">
        <f>IF(T729="","",IF(OR(AU729="",AU729="-"),"－",IF(OR(AZ729=8,AZ729=9),"",IF(OR(AW729=3,AW729=4,AW729=5,AW729=6),VLOOKUP(AU729,INDEX((係数_バス貨物_ガソリン,係数_バス貨物_CNG,係数_バス貨物_軽油,係数_バス貨物_メタノール,係数_バス貨物_LPG),MATCH(AY729,【参考】排出係数!$AI$4:$AI$671,1),1,BE729):INDEX((係数_バス貨物_ガソリン,係数_バス貨物_CNG,係数_バス貨物_軽油,係数_バス貨物_メタノール,係数_バス貨物_LPG),MATCH(AY729+1,【参考】排出係数!$AI$4:$AI$671,1)-1,5,BE729),3,FALSE),IF(OR(AW729=1,AW729=2),VLOOKUP(AU729,INDEX((係数_乗用_ガソリン,係数_乗用_CNG,係数_乗用_軽油,係数_乗用_メタノール,係数_乗用_LPG),1,1,BE729):INDEX((係数_乗用_ガソリン,係数_乗用_CNG,係数_乗用_軽油,係数_乗用_メタノール,係数_乗用_LPG),125,5,BE729),3,FALSE))))))</f>
        <v/>
      </c>
      <c r="BC729" s="467" t="str">
        <f t="shared" si="406"/>
        <v/>
      </c>
      <c r="BD729" s="567" t="str">
        <f t="shared" si="407"/>
        <v/>
      </c>
      <c r="BE729" s="467" t="str">
        <f t="shared" si="408"/>
        <v/>
      </c>
      <c r="BF729" s="469" t="str">
        <f t="shared" ca="1" si="409"/>
        <v/>
      </c>
      <c r="BG729" s="469" t="str">
        <f t="shared" ca="1" si="410"/>
        <v/>
      </c>
      <c r="BH729" s="467" t="str">
        <f t="shared" si="411"/>
        <v/>
      </c>
      <c r="BI729" s="467" t="str">
        <f t="shared" ca="1" si="412"/>
        <v/>
      </c>
      <c r="BJ729" s="469" t="str">
        <f t="shared" si="413"/>
        <v/>
      </c>
      <c r="BK729" s="470" t="str">
        <f t="shared" si="397"/>
        <v/>
      </c>
      <c r="BL729" s="775" t="str">
        <f t="shared" si="414"/>
        <v/>
      </c>
      <c r="BM729" s="775" t="str">
        <f t="shared" si="415"/>
        <v/>
      </c>
    </row>
    <row r="730" spans="1:65">
      <c r="A730" s="473">
        <v>674</v>
      </c>
      <c r="B730" s="132"/>
      <c r="C730" s="332"/>
      <c r="D730" s="333"/>
      <c r="E730" s="333"/>
      <c r="F730" s="334"/>
      <c r="G730" s="337"/>
      <c r="H730" s="131"/>
      <c r="I730" s="337"/>
      <c r="J730" s="131"/>
      <c r="K730" s="458" t="str">
        <f t="shared" si="384"/>
        <v/>
      </c>
      <c r="L730" s="458">
        <f t="shared" si="385"/>
        <v>0</v>
      </c>
      <c r="M730" s="458">
        <f t="shared" si="386"/>
        <v>0</v>
      </c>
      <c r="N730" s="459" t="str">
        <f t="shared" si="283"/>
        <v/>
      </c>
      <c r="O730" s="459" t="str">
        <f t="shared" si="284"/>
        <v/>
      </c>
      <c r="P730" s="459" t="str">
        <f t="shared" si="285"/>
        <v/>
      </c>
      <c r="Q730" s="459" t="str">
        <f t="shared" si="286"/>
        <v/>
      </c>
      <c r="R730" s="459" t="str">
        <f t="shared" si="287"/>
        <v/>
      </c>
      <c r="S730" s="459" t="str">
        <f t="shared" si="288"/>
        <v/>
      </c>
      <c r="T730" s="566" t="str">
        <f t="shared" si="387"/>
        <v/>
      </c>
      <c r="U730" s="702"/>
      <c r="V730" s="132"/>
      <c r="W730" s="133"/>
      <c r="X730" s="134"/>
      <c r="Y730" s="135"/>
      <c r="Z730" s="137"/>
      <c r="AA730" s="136"/>
      <c r="AB730" s="566" t="str">
        <f t="shared" si="388"/>
        <v/>
      </c>
      <c r="AC730" s="568" t="str">
        <f t="shared" si="389"/>
        <v/>
      </c>
      <c r="AD730" s="137"/>
      <c r="AE730" s="137"/>
      <c r="AF730" s="138"/>
      <c r="AG730" s="138"/>
      <c r="AH730" s="592" t="str">
        <f t="shared" si="390"/>
        <v/>
      </c>
      <c r="AI730" s="592" t="str">
        <f t="shared" si="391"/>
        <v/>
      </c>
      <c r="AJ730" s="592" t="str">
        <f t="shared" si="392"/>
        <v/>
      </c>
      <c r="AK730" s="460" t="str">
        <f>IF(AU730="","",IF(OR(AZ730=8,AZ730=9),0,IF(OR(AW730=3,AW730=4,AW730=5,AW730=6),IF(LEFT(BF730,1)="1",INDEX(係数_NOX・PM低減,MATCH(AY730,【参考】排出係数!$AI$801:$AI$804,1),1),VLOOKUP(AU730,INDEX((係数_バス貨物_ガソリン,係数_バス貨物_CNG,係数_バス貨物_軽油,係数_バス貨物_メタノール,係数_バス貨物_LPG),MATCH(AY730,【参考】排出係数!$AI$4:$AI$671,1),1,BE730):INDEX((係数_バス貨物_ガソリン,係数_バス貨物_CNG,係数_バス貨物_軽油,係数_バス貨物_メタノール,係数_バス貨物_LPG),MATCH(AY730+1,【参考】排出係数!$AI$4:$AI$671,1)-1,5,BE730),4,FALSE)),IF(AND(BE730=3,LEFT(BF730,1)="1"),0.48,VLOOKUP(AU730,INDEX((係数_乗用_ガソリン,係数_乗用_CNG,係数_乗用_軽油,係数_乗用_メタノール,係数_乗用_LPG),1,1,BE730):INDEX((係数_乗用_ガソリン,係数_乗用_CNG,係数_乗用_軽油,係数_乗用_メタノール,係数_乗用_LPG),125,5,BE730),4,FALSE)))))</f>
        <v/>
      </c>
      <c r="AL730" s="461" t="str">
        <f t="shared" si="393"/>
        <v/>
      </c>
      <c r="AM730" s="460" t="str">
        <f>IF(AU730="","",IF(OR(AZ730=8,AZ730=9),0,IF(OR(AW730=3,AW730=4,AW730=5,AW730=6),IF(LEFT(BH730,1)="1",INDEX(係数_PM低減,MATCH(AY730,【参考】排出係数!$AI$801:$AI$804,1),MATCH(BI730,【参考】排出係数!$AL$798:$AO$798,1)),VLOOKUP(AU730,INDEX((係数_バス貨物_ガソリン,係数_バス貨物_CNG,係数_バス貨物_軽油,係数_バス貨物_メタノール,係数_バス貨物_LPG),MATCH(AY730,【参考】排出係数!$AI$4:$AI$671,1),1,BE730):INDEX((係数_バス貨物_ガソリン,係数_バス貨物_CNG,係数_バス貨物_軽油,係数_バス貨物_メタノール,係数_バス貨物_LPG),MATCH(AY730+1,【参考】排出係数!$AI$4:$AI$671,1)-1,5,BE730),5,FALSE)),IF(AND(BE730=3,LEFT(BF730,1)="1"),0.055,VLOOKUP(AU730,INDEX((係数_乗用_ガソリン,係数_乗用_CNG,係数_乗用_軽油,係数_乗用_メタノール,係数_乗用_LPG),1,1,BE730):INDEX((係数_乗用_ガソリン,係数_乗用_CNG,係数_乗用_軽油,係数_乗用_メタノール,係数_乗用_LPG),125,5,BE730),5,FALSE)))))</f>
        <v/>
      </c>
      <c r="AN730" s="461" t="str">
        <f t="shared" si="394"/>
        <v/>
      </c>
      <c r="AO730" s="462" t="str">
        <f t="shared" si="395"/>
        <v/>
      </c>
      <c r="AP730" s="463" t="str">
        <f t="shared" si="396"/>
        <v/>
      </c>
      <c r="AQ730" s="464"/>
      <c r="AR730" s="619"/>
      <c r="AS730" s="465" t="str">
        <f t="shared" si="398"/>
        <v/>
      </c>
      <c r="AT730" s="465" t="str">
        <f t="shared" si="399"/>
        <v/>
      </c>
      <c r="AU730" s="466" t="str">
        <f t="shared" si="400"/>
        <v/>
      </c>
      <c r="AV730" s="467" t="str">
        <f t="shared" si="401"/>
        <v/>
      </c>
      <c r="AW730" s="467" t="str">
        <f t="shared" si="402"/>
        <v/>
      </c>
      <c r="AX730" s="467" t="str">
        <f t="shared" si="403"/>
        <v/>
      </c>
      <c r="AY730" s="467" t="str">
        <f t="shared" si="404"/>
        <v/>
      </c>
      <c r="AZ730" s="467" t="str">
        <f t="shared" si="405"/>
        <v/>
      </c>
      <c r="BA730" s="468" t="str">
        <f>IF(AS730="","",IF(OR(AU730="",AU730="-"),"－",IF(OR(AZ730=8,AZ730=9),"",IF(OR(AW730=3,AW730=4,AW730=5,AW730=6),VLOOKUP(AU730,INDEX((係数_バス貨物_ガソリン,係数_バス貨物_CNG,係数_バス貨物_軽油,係数_バス貨物_メタノール,係数_バス貨物_LPG),MATCH(AY730,【参考】排出係数!$AI$4:$AI$671,1),1,BE730):INDEX((係数_バス貨物_ガソリン,係数_バス貨物_CNG,係数_バス貨物_軽油,係数_バス貨物_メタノール,係数_バス貨物_LPG),MATCH(AY730+1,【参考】排出係数!$AI$4:$AI$671,1)-1,5,BE730),2,FALSE),IF(OR(AW730=1,AW730=2),VLOOKUP(AU730,INDEX((係数_乗用_ガソリン,係数_乗用_CNG,係数_乗用_軽油,係数_乗用_メタノール,係数_乗用_LPG),1,1,BE730):INDEX((係数_乗用_ガソリン,係数_乗用_CNG,係数_乗用_軽油,係数_乗用_メタノール,係数_乗用_LPG),125,5,BE730),2,FALSE))))))</f>
        <v/>
      </c>
      <c r="BB730" s="468" t="str">
        <f>IF(T730="","",IF(OR(AU730="",AU730="-"),"－",IF(OR(AZ730=8,AZ730=9),"",IF(OR(AW730=3,AW730=4,AW730=5,AW730=6),VLOOKUP(AU730,INDEX((係数_バス貨物_ガソリン,係数_バス貨物_CNG,係数_バス貨物_軽油,係数_バス貨物_メタノール,係数_バス貨物_LPG),MATCH(AY730,【参考】排出係数!$AI$4:$AI$671,1),1,BE730):INDEX((係数_バス貨物_ガソリン,係数_バス貨物_CNG,係数_バス貨物_軽油,係数_バス貨物_メタノール,係数_バス貨物_LPG),MATCH(AY730+1,【参考】排出係数!$AI$4:$AI$671,1)-1,5,BE730),3,FALSE),IF(OR(AW730=1,AW730=2),VLOOKUP(AU730,INDEX((係数_乗用_ガソリン,係数_乗用_CNG,係数_乗用_軽油,係数_乗用_メタノール,係数_乗用_LPG),1,1,BE730):INDEX((係数_乗用_ガソリン,係数_乗用_CNG,係数_乗用_軽油,係数_乗用_メタノール,係数_乗用_LPG),125,5,BE730),3,FALSE))))))</f>
        <v/>
      </c>
      <c r="BC730" s="467" t="str">
        <f t="shared" si="406"/>
        <v/>
      </c>
      <c r="BD730" s="567" t="str">
        <f t="shared" si="407"/>
        <v/>
      </c>
      <c r="BE730" s="467" t="str">
        <f t="shared" si="408"/>
        <v/>
      </c>
      <c r="BF730" s="469" t="str">
        <f t="shared" ca="1" si="409"/>
        <v/>
      </c>
      <c r="BG730" s="469" t="str">
        <f t="shared" ca="1" si="410"/>
        <v/>
      </c>
      <c r="BH730" s="467" t="str">
        <f t="shared" si="411"/>
        <v/>
      </c>
      <c r="BI730" s="467" t="str">
        <f t="shared" ca="1" si="412"/>
        <v/>
      </c>
      <c r="BJ730" s="469" t="str">
        <f t="shared" si="413"/>
        <v/>
      </c>
      <c r="BK730" s="470" t="str">
        <f t="shared" si="397"/>
        <v/>
      </c>
      <c r="BL730" s="775" t="str">
        <f t="shared" si="414"/>
        <v/>
      </c>
      <c r="BM730" s="775" t="str">
        <f t="shared" si="415"/>
        <v/>
      </c>
    </row>
    <row r="731" spans="1:65">
      <c r="A731" s="473">
        <v>675</v>
      </c>
      <c r="B731" s="132"/>
      <c r="C731" s="332"/>
      <c r="D731" s="333"/>
      <c r="E731" s="333"/>
      <c r="F731" s="334"/>
      <c r="G731" s="337"/>
      <c r="H731" s="131"/>
      <c r="I731" s="337"/>
      <c r="J731" s="131"/>
      <c r="K731" s="458" t="str">
        <f t="shared" si="384"/>
        <v/>
      </c>
      <c r="L731" s="458">
        <f t="shared" si="385"/>
        <v>0</v>
      </c>
      <c r="M731" s="458">
        <f t="shared" si="386"/>
        <v>0</v>
      </c>
      <c r="N731" s="459" t="str">
        <f t="shared" si="283"/>
        <v/>
      </c>
      <c r="O731" s="459" t="str">
        <f t="shared" si="284"/>
        <v/>
      </c>
      <c r="P731" s="459" t="str">
        <f t="shared" si="285"/>
        <v/>
      </c>
      <c r="Q731" s="459" t="str">
        <f t="shared" si="286"/>
        <v/>
      </c>
      <c r="R731" s="459" t="str">
        <f t="shared" si="287"/>
        <v/>
      </c>
      <c r="S731" s="459" t="str">
        <f t="shared" si="288"/>
        <v/>
      </c>
      <c r="T731" s="566" t="str">
        <f t="shared" si="387"/>
        <v/>
      </c>
      <c r="U731" s="702"/>
      <c r="V731" s="132"/>
      <c r="W731" s="133"/>
      <c r="X731" s="134"/>
      <c r="Y731" s="135"/>
      <c r="Z731" s="137"/>
      <c r="AA731" s="136"/>
      <c r="AB731" s="566" t="str">
        <f t="shared" si="388"/>
        <v/>
      </c>
      <c r="AC731" s="568" t="str">
        <f t="shared" si="389"/>
        <v/>
      </c>
      <c r="AD731" s="137"/>
      <c r="AE731" s="137"/>
      <c r="AF731" s="138"/>
      <c r="AG731" s="138"/>
      <c r="AH731" s="592" t="str">
        <f t="shared" si="390"/>
        <v/>
      </c>
      <c r="AI731" s="592" t="str">
        <f t="shared" si="391"/>
        <v/>
      </c>
      <c r="AJ731" s="592" t="str">
        <f t="shared" si="392"/>
        <v/>
      </c>
      <c r="AK731" s="460" t="str">
        <f>IF(AU731="","",IF(OR(AZ731=8,AZ731=9),0,IF(OR(AW731=3,AW731=4,AW731=5,AW731=6),IF(LEFT(BF731,1)="1",INDEX(係数_NOX・PM低減,MATCH(AY731,【参考】排出係数!$AI$801:$AI$804,1),1),VLOOKUP(AU731,INDEX((係数_バス貨物_ガソリン,係数_バス貨物_CNG,係数_バス貨物_軽油,係数_バス貨物_メタノール,係数_バス貨物_LPG),MATCH(AY731,【参考】排出係数!$AI$4:$AI$671,1),1,BE731):INDEX((係数_バス貨物_ガソリン,係数_バス貨物_CNG,係数_バス貨物_軽油,係数_バス貨物_メタノール,係数_バス貨物_LPG),MATCH(AY731+1,【参考】排出係数!$AI$4:$AI$671,1)-1,5,BE731),4,FALSE)),IF(AND(BE731=3,LEFT(BF731,1)="1"),0.48,VLOOKUP(AU731,INDEX((係数_乗用_ガソリン,係数_乗用_CNG,係数_乗用_軽油,係数_乗用_メタノール,係数_乗用_LPG),1,1,BE731):INDEX((係数_乗用_ガソリン,係数_乗用_CNG,係数_乗用_軽油,係数_乗用_メタノール,係数_乗用_LPG),125,5,BE731),4,FALSE)))))</f>
        <v/>
      </c>
      <c r="AL731" s="461" t="str">
        <f t="shared" si="393"/>
        <v/>
      </c>
      <c r="AM731" s="460" t="str">
        <f>IF(AU731="","",IF(OR(AZ731=8,AZ731=9),0,IF(OR(AW731=3,AW731=4,AW731=5,AW731=6),IF(LEFT(BH731,1)="1",INDEX(係数_PM低減,MATCH(AY731,【参考】排出係数!$AI$801:$AI$804,1),MATCH(BI731,【参考】排出係数!$AL$798:$AO$798,1)),VLOOKUP(AU731,INDEX((係数_バス貨物_ガソリン,係数_バス貨物_CNG,係数_バス貨物_軽油,係数_バス貨物_メタノール,係数_バス貨物_LPG),MATCH(AY731,【参考】排出係数!$AI$4:$AI$671,1),1,BE731):INDEX((係数_バス貨物_ガソリン,係数_バス貨物_CNG,係数_バス貨物_軽油,係数_バス貨物_メタノール,係数_バス貨物_LPG),MATCH(AY731+1,【参考】排出係数!$AI$4:$AI$671,1)-1,5,BE731),5,FALSE)),IF(AND(BE731=3,LEFT(BF731,1)="1"),0.055,VLOOKUP(AU731,INDEX((係数_乗用_ガソリン,係数_乗用_CNG,係数_乗用_軽油,係数_乗用_メタノール,係数_乗用_LPG),1,1,BE731):INDEX((係数_乗用_ガソリン,係数_乗用_CNG,係数_乗用_軽油,係数_乗用_メタノール,係数_乗用_LPG),125,5,BE731),5,FALSE)))))</f>
        <v/>
      </c>
      <c r="AN731" s="461" t="str">
        <f t="shared" si="394"/>
        <v/>
      </c>
      <c r="AO731" s="462" t="str">
        <f t="shared" si="395"/>
        <v/>
      </c>
      <c r="AP731" s="463" t="str">
        <f t="shared" si="396"/>
        <v/>
      </c>
      <c r="AQ731" s="464"/>
      <c r="AR731" s="619"/>
      <c r="AS731" s="465" t="str">
        <f t="shared" si="398"/>
        <v/>
      </c>
      <c r="AT731" s="465" t="str">
        <f t="shared" si="399"/>
        <v/>
      </c>
      <c r="AU731" s="466" t="str">
        <f t="shared" si="400"/>
        <v/>
      </c>
      <c r="AV731" s="467" t="str">
        <f t="shared" si="401"/>
        <v/>
      </c>
      <c r="AW731" s="467" t="str">
        <f t="shared" si="402"/>
        <v/>
      </c>
      <c r="AX731" s="467" t="str">
        <f t="shared" si="403"/>
        <v/>
      </c>
      <c r="AY731" s="467" t="str">
        <f t="shared" si="404"/>
        <v/>
      </c>
      <c r="AZ731" s="467" t="str">
        <f t="shared" si="405"/>
        <v/>
      </c>
      <c r="BA731" s="468" t="str">
        <f>IF(AS731="","",IF(OR(AU731="",AU731="-"),"－",IF(OR(AZ731=8,AZ731=9),"",IF(OR(AW731=3,AW731=4,AW731=5,AW731=6),VLOOKUP(AU731,INDEX((係数_バス貨物_ガソリン,係数_バス貨物_CNG,係数_バス貨物_軽油,係数_バス貨物_メタノール,係数_バス貨物_LPG),MATCH(AY731,【参考】排出係数!$AI$4:$AI$671,1),1,BE731):INDEX((係数_バス貨物_ガソリン,係数_バス貨物_CNG,係数_バス貨物_軽油,係数_バス貨物_メタノール,係数_バス貨物_LPG),MATCH(AY731+1,【参考】排出係数!$AI$4:$AI$671,1)-1,5,BE731),2,FALSE),IF(OR(AW731=1,AW731=2),VLOOKUP(AU731,INDEX((係数_乗用_ガソリン,係数_乗用_CNG,係数_乗用_軽油,係数_乗用_メタノール,係数_乗用_LPG),1,1,BE731):INDEX((係数_乗用_ガソリン,係数_乗用_CNG,係数_乗用_軽油,係数_乗用_メタノール,係数_乗用_LPG),125,5,BE731),2,FALSE))))))</f>
        <v/>
      </c>
      <c r="BB731" s="468" t="str">
        <f>IF(T731="","",IF(OR(AU731="",AU731="-"),"－",IF(OR(AZ731=8,AZ731=9),"",IF(OR(AW731=3,AW731=4,AW731=5,AW731=6),VLOOKUP(AU731,INDEX((係数_バス貨物_ガソリン,係数_バス貨物_CNG,係数_バス貨物_軽油,係数_バス貨物_メタノール,係数_バス貨物_LPG),MATCH(AY731,【参考】排出係数!$AI$4:$AI$671,1),1,BE731):INDEX((係数_バス貨物_ガソリン,係数_バス貨物_CNG,係数_バス貨物_軽油,係数_バス貨物_メタノール,係数_バス貨物_LPG),MATCH(AY731+1,【参考】排出係数!$AI$4:$AI$671,1)-1,5,BE731),3,FALSE),IF(OR(AW731=1,AW731=2),VLOOKUP(AU731,INDEX((係数_乗用_ガソリン,係数_乗用_CNG,係数_乗用_軽油,係数_乗用_メタノール,係数_乗用_LPG),1,1,BE731):INDEX((係数_乗用_ガソリン,係数_乗用_CNG,係数_乗用_軽油,係数_乗用_メタノール,係数_乗用_LPG),125,5,BE731),3,FALSE))))))</f>
        <v/>
      </c>
      <c r="BC731" s="467" t="str">
        <f t="shared" si="406"/>
        <v/>
      </c>
      <c r="BD731" s="567" t="str">
        <f t="shared" si="407"/>
        <v/>
      </c>
      <c r="BE731" s="467" t="str">
        <f t="shared" si="408"/>
        <v/>
      </c>
      <c r="BF731" s="469" t="str">
        <f t="shared" ca="1" si="409"/>
        <v/>
      </c>
      <c r="BG731" s="469" t="str">
        <f t="shared" ca="1" si="410"/>
        <v/>
      </c>
      <c r="BH731" s="467" t="str">
        <f t="shared" si="411"/>
        <v/>
      </c>
      <c r="BI731" s="467" t="str">
        <f t="shared" ca="1" si="412"/>
        <v/>
      </c>
      <c r="BJ731" s="469" t="str">
        <f t="shared" si="413"/>
        <v/>
      </c>
      <c r="BK731" s="470" t="str">
        <f t="shared" si="397"/>
        <v/>
      </c>
      <c r="BL731" s="775" t="str">
        <f t="shared" si="414"/>
        <v/>
      </c>
      <c r="BM731" s="775" t="str">
        <f t="shared" si="415"/>
        <v/>
      </c>
    </row>
    <row r="732" spans="1:65">
      <c r="A732" s="473">
        <v>676</v>
      </c>
      <c r="B732" s="132"/>
      <c r="C732" s="332"/>
      <c r="D732" s="333"/>
      <c r="E732" s="333"/>
      <c r="F732" s="334"/>
      <c r="G732" s="337"/>
      <c r="H732" s="131"/>
      <c r="I732" s="337"/>
      <c r="J732" s="131"/>
      <c r="K732" s="458" t="str">
        <f t="shared" si="384"/>
        <v/>
      </c>
      <c r="L732" s="458">
        <f t="shared" si="385"/>
        <v>0</v>
      </c>
      <c r="M732" s="458">
        <f t="shared" si="386"/>
        <v>0</v>
      </c>
      <c r="N732" s="459" t="str">
        <f t="shared" si="283"/>
        <v/>
      </c>
      <c r="O732" s="459" t="str">
        <f t="shared" si="284"/>
        <v/>
      </c>
      <c r="P732" s="459" t="str">
        <f t="shared" si="285"/>
        <v/>
      </c>
      <c r="Q732" s="459" t="str">
        <f t="shared" si="286"/>
        <v/>
      </c>
      <c r="R732" s="459" t="str">
        <f t="shared" si="287"/>
        <v/>
      </c>
      <c r="S732" s="459" t="str">
        <f t="shared" si="288"/>
        <v/>
      </c>
      <c r="T732" s="566" t="str">
        <f t="shared" si="387"/>
        <v/>
      </c>
      <c r="U732" s="702"/>
      <c r="V732" s="132"/>
      <c r="W732" s="133"/>
      <c r="X732" s="134"/>
      <c r="Y732" s="135"/>
      <c r="Z732" s="137"/>
      <c r="AA732" s="136"/>
      <c r="AB732" s="566" t="str">
        <f t="shared" si="388"/>
        <v/>
      </c>
      <c r="AC732" s="568" t="str">
        <f t="shared" si="389"/>
        <v/>
      </c>
      <c r="AD732" s="137"/>
      <c r="AE732" s="137"/>
      <c r="AF732" s="138"/>
      <c r="AG732" s="138"/>
      <c r="AH732" s="592" t="str">
        <f t="shared" si="390"/>
        <v/>
      </c>
      <c r="AI732" s="592" t="str">
        <f t="shared" si="391"/>
        <v/>
      </c>
      <c r="AJ732" s="592" t="str">
        <f t="shared" si="392"/>
        <v/>
      </c>
      <c r="AK732" s="460" t="str">
        <f>IF(AU732="","",IF(OR(AZ732=8,AZ732=9),0,IF(OR(AW732=3,AW732=4,AW732=5,AW732=6),IF(LEFT(BF732,1)="1",INDEX(係数_NOX・PM低減,MATCH(AY732,【参考】排出係数!$AI$801:$AI$804,1),1),VLOOKUP(AU732,INDEX((係数_バス貨物_ガソリン,係数_バス貨物_CNG,係数_バス貨物_軽油,係数_バス貨物_メタノール,係数_バス貨物_LPG),MATCH(AY732,【参考】排出係数!$AI$4:$AI$671,1),1,BE732):INDEX((係数_バス貨物_ガソリン,係数_バス貨物_CNG,係数_バス貨物_軽油,係数_バス貨物_メタノール,係数_バス貨物_LPG),MATCH(AY732+1,【参考】排出係数!$AI$4:$AI$671,1)-1,5,BE732),4,FALSE)),IF(AND(BE732=3,LEFT(BF732,1)="1"),0.48,VLOOKUP(AU732,INDEX((係数_乗用_ガソリン,係数_乗用_CNG,係数_乗用_軽油,係数_乗用_メタノール,係数_乗用_LPG),1,1,BE732):INDEX((係数_乗用_ガソリン,係数_乗用_CNG,係数_乗用_軽油,係数_乗用_メタノール,係数_乗用_LPG),125,5,BE732),4,FALSE)))))</f>
        <v/>
      </c>
      <c r="AL732" s="461" t="str">
        <f t="shared" si="393"/>
        <v/>
      </c>
      <c r="AM732" s="460" t="str">
        <f>IF(AU732="","",IF(OR(AZ732=8,AZ732=9),0,IF(OR(AW732=3,AW732=4,AW732=5,AW732=6),IF(LEFT(BH732,1)="1",INDEX(係数_PM低減,MATCH(AY732,【参考】排出係数!$AI$801:$AI$804,1),MATCH(BI732,【参考】排出係数!$AL$798:$AO$798,1)),VLOOKUP(AU732,INDEX((係数_バス貨物_ガソリン,係数_バス貨物_CNG,係数_バス貨物_軽油,係数_バス貨物_メタノール,係数_バス貨物_LPG),MATCH(AY732,【参考】排出係数!$AI$4:$AI$671,1),1,BE732):INDEX((係数_バス貨物_ガソリン,係数_バス貨物_CNG,係数_バス貨物_軽油,係数_バス貨物_メタノール,係数_バス貨物_LPG),MATCH(AY732+1,【参考】排出係数!$AI$4:$AI$671,1)-1,5,BE732),5,FALSE)),IF(AND(BE732=3,LEFT(BF732,1)="1"),0.055,VLOOKUP(AU732,INDEX((係数_乗用_ガソリン,係数_乗用_CNG,係数_乗用_軽油,係数_乗用_メタノール,係数_乗用_LPG),1,1,BE732):INDEX((係数_乗用_ガソリン,係数_乗用_CNG,係数_乗用_軽油,係数_乗用_メタノール,係数_乗用_LPG),125,5,BE732),5,FALSE)))))</f>
        <v/>
      </c>
      <c r="AN732" s="461" t="str">
        <f t="shared" si="394"/>
        <v/>
      </c>
      <c r="AO732" s="462" t="str">
        <f t="shared" si="395"/>
        <v/>
      </c>
      <c r="AP732" s="463" t="str">
        <f t="shared" si="396"/>
        <v/>
      </c>
      <c r="AQ732" s="464"/>
      <c r="AR732" s="619"/>
      <c r="AS732" s="465" t="str">
        <f t="shared" si="398"/>
        <v/>
      </c>
      <c r="AT732" s="465" t="str">
        <f t="shared" si="399"/>
        <v/>
      </c>
      <c r="AU732" s="466" t="str">
        <f t="shared" si="400"/>
        <v/>
      </c>
      <c r="AV732" s="467" t="str">
        <f t="shared" si="401"/>
        <v/>
      </c>
      <c r="AW732" s="467" t="str">
        <f t="shared" si="402"/>
        <v/>
      </c>
      <c r="AX732" s="467" t="str">
        <f t="shared" si="403"/>
        <v/>
      </c>
      <c r="AY732" s="467" t="str">
        <f t="shared" si="404"/>
        <v/>
      </c>
      <c r="AZ732" s="467" t="str">
        <f t="shared" si="405"/>
        <v/>
      </c>
      <c r="BA732" s="468" t="str">
        <f>IF(AS732="","",IF(OR(AU732="",AU732="-"),"－",IF(OR(AZ732=8,AZ732=9),"",IF(OR(AW732=3,AW732=4,AW732=5,AW732=6),VLOOKUP(AU732,INDEX((係数_バス貨物_ガソリン,係数_バス貨物_CNG,係数_バス貨物_軽油,係数_バス貨物_メタノール,係数_バス貨物_LPG),MATCH(AY732,【参考】排出係数!$AI$4:$AI$671,1),1,BE732):INDEX((係数_バス貨物_ガソリン,係数_バス貨物_CNG,係数_バス貨物_軽油,係数_バス貨物_メタノール,係数_バス貨物_LPG),MATCH(AY732+1,【参考】排出係数!$AI$4:$AI$671,1)-1,5,BE732),2,FALSE),IF(OR(AW732=1,AW732=2),VLOOKUP(AU732,INDEX((係数_乗用_ガソリン,係数_乗用_CNG,係数_乗用_軽油,係数_乗用_メタノール,係数_乗用_LPG),1,1,BE732):INDEX((係数_乗用_ガソリン,係数_乗用_CNG,係数_乗用_軽油,係数_乗用_メタノール,係数_乗用_LPG),125,5,BE732),2,FALSE))))))</f>
        <v/>
      </c>
      <c r="BB732" s="468" t="str">
        <f>IF(T732="","",IF(OR(AU732="",AU732="-"),"－",IF(OR(AZ732=8,AZ732=9),"",IF(OR(AW732=3,AW732=4,AW732=5,AW732=6),VLOOKUP(AU732,INDEX((係数_バス貨物_ガソリン,係数_バス貨物_CNG,係数_バス貨物_軽油,係数_バス貨物_メタノール,係数_バス貨物_LPG),MATCH(AY732,【参考】排出係数!$AI$4:$AI$671,1),1,BE732):INDEX((係数_バス貨物_ガソリン,係数_バス貨物_CNG,係数_バス貨物_軽油,係数_バス貨物_メタノール,係数_バス貨物_LPG),MATCH(AY732+1,【参考】排出係数!$AI$4:$AI$671,1)-1,5,BE732),3,FALSE),IF(OR(AW732=1,AW732=2),VLOOKUP(AU732,INDEX((係数_乗用_ガソリン,係数_乗用_CNG,係数_乗用_軽油,係数_乗用_メタノール,係数_乗用_LPG),1,1,BE732):INDEX((係数_乗用_ガソリン,係数_乗用_CNG,係数_乗用_軽油,係数_乗用_メタノール,係数_乗用_LPG),125,5,BE732),3,FALSE))))))</f>
        <v/>
      </c>
      <c r="BC732" s="467" t="str">
        <f t="shared" si="406"/>
        <v/>
      </c>
      <c r="BD732" s="567" t="str">
        <f t="shared" si="407"/>
        <v/>
      </c>
      <c r="BE732" s="467" t="str">
        <f t="shared" si="408"/>
        <v/>
      </c>
      <c r="BF732" s="469" t="str">
        <f t="shared" ca="1" si="409"/>
        <v/>
      </c>
      <c r="BG732" s="469" t="str">
        <f t="shared" ca="1" si="410"/>
        <v/>
      </c>
      <c r="BH732" s="467" t="str">
        <f t="shared" si="411"/>
        <v/>
      </c>
      <c r="BI732" s="467" t="str">
        <f t="shared" ca="1" si="412"/>
        <v/>
      </c>
      <c r="BJ732" s="469" t="str">
        <f t="shared" si="413"/>
        <v/>
      </c>
      <c r="BK732" s="470" t="str">
        <f t="shared" si="397"/>
        <v/>
      </c>
      <c r="BL732" s="775" t="str">
        <f t="shared" si="414"/>
        <v/>
      </c>
      <c r="BM732" s="775" t="str">
        <f t="shared" si="415"/>
        <v/>
      </c>
    </row>
    <row r="733" spans="1:65">
      <c r="A733" s="473">
        <v>677</v>
      </c>
      <c r="B733" s="132"/>
      <c r="C733" s="332"/>
      <c r="D733" s="333"/>
      <c r="E733" s="333"/>
      <c r="F733" s="334"/>
      <c r="G733" s="337"/>
      <c r="H733" s="131"/>
      <c r="I733" s="337"/>
      <c r="J733" s="131"/>
      <c r="K733" s="458" t="str">
        <f t="shared" si="384"/>
        <v/>
      </c>
      <c r="L733" s="458">
        <f t="shared" si="385"/>
        <v>0</v>
      </c>
      <c r="M733" s="458">
        <f t="shared" si="386"/>
        <v>0</v>
      </c>
      <c r="N733" s="459" t="str">
        <f t="shared" si="283"/>
        <v/>
      </c>
      <c r="O733" s="459" t="str">
        <f t="shared" si="284"/>
        <v/>
      </c>
      <c r="P733" s="459" t="str">
        <f t="shared" si="285"/>
        <v/>
      </c>
      <c r="Q733" s="459" t="str">
        <f t="shared" si="286"/>
        <v/>
      </c>
      <c r="R733" s="459" t="str">
        <f t="shared" si="287"/>
        <v/>
      </c>
      <c r="S733" s="459" t="str">
        <f t="shared" si="288"/>
        <v/>
      </c>
      <c r="T733" s="566" t="str">
        <f t="shared" si="387"/>
        <v/>
      </c>
      <c r="U733" s="702"/>
      <c r="V733" s="132"/>
      <c r="W733" s="133"/>
      <c r="X733" s="134"/>
      <c r="Y733" s="135"/>
      <c r="Z733" s="137"/>
      <c r="AA733" s="136"/>
      <c r="AB733" s="566" t="str">
        <f t="shared" si="388"/>
        <v/>
      </c>
      <c r="AC733" s="568" t="str">
        <f t="shared" si="389"/>
        <v/>
      </c>
      <c r="AD733" s="137"/>
      <c r="AE733" s="137"/>
      <c r="AF733" s="138"/>
      <c r="AG733" s="138"/>
      <c r="AH733" s="592" t="str">
        <f t="shared" si="390"/>
        <v/>
      </c>
      <c r="AI733" s="592" t="str">
        <f t="shared" si="391"/>
        <v/>
      </c>
      <c r="AJ733" s="592" t="str">
        <f t="shared" si="392"/>
        <v/>
      </c>
      <c r="AK733" s="460" t="str">
        <f>IF(AU733="","",IF(OR(AZ733=8,AZ733=9),0,IF(OR(AW733=3,AW733=4,AW733=5,AW733=6),IF(LEFT(BF733,1)="1",INDEX(係数_NOX・PM低減,MATCH(AY733,【参考】排出係数!$AI$801:$AI$804,1),1),VLOOKUP(AU733,INDEX((係数_バス貨物_ガソリン,係数_バス貨物_CNG,係数_バス貨物_軽油,係数_バス貨物_メタノール,係数_バス貨物_LPG),MATCH(AY733,【参考】排出係数!$AI$4:$AI$671,1),1,BE733):INDEX((係数_バス貨物_ガソリン,係数_バス貨物_CNG,係数_バス貨物_軽油,係数_バス貨物_メタノール,係数_バス貨物_LPG),MATCH(AY733+1,【参考】排出係数!$AI$4:$AI$671,1)-1,5,BE733),4,FALSE)),IF(AND(BE733=3,LEFT(BF733,1)="1"),0.48,VLOOKUP(AU733,INDEX((係数_乗用_ガソリン,係数_乗用_CNG,係数_乗用_軽油,係数_乗用_メタノール,係数_乗用_LPG),1,1,BE733):INDEX((係数_乗用_ガソリン,係数_乗用_CNG,係数_乗用_軽油,係数_乗用_メタノール,係数_乗用_LPG),125,5,BE733),4,FALSE)))))</f>
        <v/>
      </c>
      <c r="AL733" s="461" t="str">
        <f t="shared" si="393"/>
        <v/>
      </c>
      <c r="AM733" s="460" t="str">
        <f>IF(AU733="","",IF(OR(AZ733=8,AZ733=9),0,IF(OR(AW733=3,AW733=4,AW733=5,AW733=6),IF(LEFT(BH733,1)="1",INDEX(係数_PM低減,MATCH(AY733,【参考】排出係数!$AI$801:$AI$804,1),MATCH(BI733,【参考】排出係数!$AL$798:$AO$798,1)),VLOOKUP(AU733,INDEX((係数_バス貨物_ガソリン,係数_バス貨物_CNG,係数_バス貨物_軽油,係数_バス貨物_メタノール,係数_バス貨物_LPG),MATCH(AY733,【参考】排出係数!$AI$4:$AI$671,1),1,BE733):INDEX((係数_バス貨物_ガソリン,係数_バス貨物_CNG,係数_バス貨物_軽油,係数_バス貨物_メタノール,係数_バス貨物_LPG),MATCH(AY733+1,【参考】排出係数!$AI$4:$AI$671,1)-1,5,BE733),5,FALSE)),IF(AND(BE733=3,LEFT(BF733,1)="1"),0.055,VLOOKUP(AU733,INDEX((係数_乗用_ガソリン,係数_乗用_CNG,係数_乗用_軽油,係数_乗用_メタノール,係数_乗用_LPG),1,1,BE733):INDEX((係数_乗用_ガソリン,係数_乗用_CNG,係数_乗用_軽油,係数_乗用_メタノール,係数_乗用_LPG),125,5,BE733),5,FALSE)))))</f>
        <v/>
      </c>
      <c r="AN733" s="461" t="str">
        <f t="shared" si="394"/>
        <v/>
      </c>
      <c r="AO733" s="462" t="str">
        <f t="shared" si="395"/>
        <v/>
      </c>
      <c r="AP733" s="463" t="str">
        <f t="shared" si="396"/>
        <v/>
      </c>
      <c r="AQ733" s="464"/>
      <c r="AR733" s="619"/>
      <c r="AS733" s="465" t="str">
        <f t="shared" si="398"/>
        <v/>
      </c>
      <c r="AT733" s="465" t="str">
        <f t="shared" si="399"/>
        <v/>
      </c>
      <c r="AU733" s="466" t="str">
        <f t="shared" si="400"/>
        <v/>
      </c>
      <c r="AV733" s="467" t="str">
        <f t="shared" si="401"/>
        <v/>
      </c>
      <c r="AW733" s="467" t="str">
        <f t="shared" si="402"/>
        <v/>
      </c>
      <c r="AX733" s="467" t="str">
        <f t="shared" si="403"/>
        <v/>
      </c>
      <c r="AY733" s="467" t="str">
        <f t="shared" si="404"/>
        <v/>
      </c>
      <c r="AZ733" s="467" t="str">
        <f t="shared" si="405"/>
        <v/>
      </c>
      <c r="BA733" s="468" t="str">
        <f>IF(AS733="","",IF(OR(AU733="",AU733="-"),"－",IF(OR(AZ733=8,AZ733=9),"",IF(OR(AW733=3,AW733=4,AW733=5,AW733=6),VLOOKUP(AU733,INDEX((係数_バス貨物_ガソリン,係数_バス貨物_CNG,係数_バス貨物_軽油,係数_バス貨物_メタノール,係数_バス貨物_LPG),MATCH(AY733,【参考】排出係数!$AI$4:$AI$671,1),1,BE733):INDEX((係数_バス貨物_ガソリン,係数_バス貨物_CNG,係数_バス貨物_軽油,係数_バス貨物_メタノール,係数_バス貨物_LPG),MATCH(AY733+1,【参考】排出係数!$AI$4:$AI$671,1)-1,5,BE733),2,FALSE),IF(OR(AW733=1,AW733=2),VLOOKUP(AU733,INDEX((係数_乗用_ガソリン,係数_乗用_CNG,係数_乗用_軽油,係数_乗用_メタノール,係数_乗用_LPG),1,1,BE733):INDEX((係数_乗用_ガソリン,係数_乗用_CNG,係数_乗用_軽油,係数_乗用_メタノール,係数_乗用_LPG),125,5,BE733),2,FALSE))))))</f>
        <v/>
      </c>
      <c r="BB733" s="468" t="str">
        <f>IF(T733="","",IF(OR(AU733="",AU733="-"),"－",IF(OR(AZ733=8,AZ733=9),"",IF(OR(AW733=3,AW733=4,AW733=5,AW733=6),VLOOKUP(AU733,INDEX((係数_バス貨物_ガソリン,係数_バス貨物_CNG,係数_バス貨物_軽油,係数_バス貨物_メタノール,係数_バス貨物_LPG),MATCH(AY733,【参考】排出係数!$AI$4:$AI$671,1),1,BE733):INDEX((係数_バス貨物_ガソリン,係数_バス貨物_CNG,係数_バス貨物_軽油,係数_バス貨物_メタノール,係数_バス貨物_LPG),MATCH(AY733+1,【参考】排出係数!$AI$4:$AI$671,1)-1,5,BE733),3,FALSE),IF(OR(AW733=1,AW733=2),VLOOKUP(AU733,INDEX((係数_乗用_ガソリン,係数_乗用_CNG,係数_乗用_軽油,係数_乗用_メタノール,係数_乗用_LPG),1,1,BE733):INDEX((係数_乗用_ガソリン,係数_乗用_CNG,係数_乗用_軽油,係数_乗用_メタノール,係数_乗用_LPG),125,5,BE733),3,FALSE))))))</f>
        <v/>
      </c>
      <c r="BC733" s="467" t="str">
        <f t="shared" si="406"/>
        <v/>
      </c>
      <c r="BD733" s="567" t="str">
        <f t="shared" si="407"/>
        <v/>
      </c>
      <c r="BE733" s="467" t="str">
        <f t="shared" si="408"/>
        <v/>
      </c>
      <c r="BF733" s="469" t="str">
        <f t="shared" ca="1" si="409"/>
        <v/>
      </c>
      <c r="BG733" s="469" t="str">
        <f t="shared" ca="1" si="410"/>
        <v/>
      </c>
      <c r="BH733" s="467" t="str">
        <f t="shared" si="411"/>
        <v/>
      </c>
      <c r="BI733" s="467" t="str">
        <f t="shared" ca="1" si="412"/>
        <v/>
      </c>
      <c r="BJ733" s="469" t="str">
        <f t="shared" si="413"/>
        <v/>
      </c>
      <c r="BK733" s="470" t="str">
        <f t="shared" si="397"/>
        <v/>
      </c>
      <c r="BL733" s="775" t="str">
        <f t="shared" si="414"/>
        <v/>
      </c>
      <c r="BM733" s="775" t="str">
        <f t="shared" si="415"/>
        <v/>
      </c>
    </row>
    <row r="734" spans="1:65">
      <c r="A734" s="473">
        <v>678</v>
      </c>
      <c r="B734" s="132"/>
      <c r="C734" s="332"/>
      <c r="D734" s="333"/>
      <c r="E734" s="333"/>
      <c r="F734" s="334"/>
      <c r="G734" s="337"/>
      <c r="H734" s="131"/>
      <c r="I734" s="337"/>
      <c r="J734" s="131"/>
      <c r="K734" s="458" t="str">
        <f t="shared" si="384"/>
        <v/>
      </c>
      <c r="L734" s="458">
        <f t="shared" si="385"/>
        <v>0</v>
      </c>
      <c r="M734" s="458">
        <f t="shared" si="386"/>
        <v>0</v>
      </c>
      <c r="N734" s="459" t="str">
        <f t="shared" si="283"/>
        <v/>
      </c>
      <c r="O734" s="459" t="str">
        <f t="shared" si="284"/>
        <v/>
      </c>
      <c r="P734" s="459" t="str">
        <f t="shared" si="285"/>
        <v/>
      </c>
      <c r="Q734" s="459" t="str">
        <f t="shared" si="286"/>
        <v/>
      </c>
      <c r="R734" s="459" t="str">
        <f t="shared" si="287"/>
        <v/>
      </c>
      <c r="S734" s="459" t="str">
        <f t="shared" si="288"/>
        <v/>
      </c>
      <c r="T734" s="566" t="str">
        <f t="shared" si="387"/>
        <v/>
      </c>
      <c r="U734" s="702"/>
      <c r="V734" s="132"/>
      <c r="W734" s="133"/>
      <c r="X734" s="134"/>
      <c r="Y734" s="135"/>
      <c r="Z734" s="137"/>
      <c r="AA734" s="136"/>
      <c r="AB734" s="566" t="str">
        <f t="shared" si="388"/>
        <v/>
      </c>
      <c r="AC734" s="568" t="str">
        <f t="shared" si="389"/>
        <v/>
      </c>
      <c r="AD734" s="137"/>
      <c r="AE734" s="137"/>
      <c r="AF734" s="138"/>
      <c r="AG734" s="138"/>
      <c r="AH734" s="592" t="str">
        <f t="shared" si="390"/>
        <v/>
      </c>
      <c r="AI734" s="592" t="str">
        <f t="shared" si="391"/>
        <v/>
      </c>
      <c r="AJ734" s="592" t="str">
        <f t="shared" si="392"/>
        <v/>
      </c>
      <c r="AK734" s="460" t="str">
        <f>IF(AU734="","",IF(OR(AZ734=8,AZ734=9),0,IF(OR(AW734=3,AW734=4,AW734=5,AW734=6),IF(LEFT(BF734,1)="1",INDEX(係数_NOX・PM低減,MATCH(AY734,【参考】排出係数!$AI$801:$AI$804,1),1),VLOOKUP(AU734,INDEX((係数_バス貨物_ガソリン,係数_バス貨物_CNG,係数_バス貨物_軽油,係数_バス貨物_メタノール,係数_バス貨物_LPG),MATCH(AY734,【参考】排出係数!$AI$4:$AI$671,1),1,BE734):INDEX((係数_バス貨物_ガソリン,係数_バス貨物_CNG,係数_バス貨物_軽油,係数_バス貨物_メタノール,係数_バス貨物_LPG),MATCH(AY734+1,【参考】排出係数!$AI$4:$AI$671,1)-1,5,BE734),4,FALSE)),IF(AND(BE734=3,LEFT(BF734,1)="1"),0.48,VLOOKUP(AU734,INDEX((係数_乗用_ガソリン,係数_乗用_CNG,係数_乗用_軽油,係数_乗用_メタノール,係数_乗用_LPG),1,1,BE734):INDEX((係数_乗用_ガソリン,係数_乗用_CNG,係数_乗用_軽油,係数_乗用_メタノール,係数_乗用_LPG),125,5,BE734),4,FALSE)))))</f>
        <v/>
      </c>
      <c r="AL734" s="461" t="str">
        <f t="shared" si="393"/>
        <v/>
      </c>
      <c r="AM734" s="460" t="str">
        <f>IF(AU734="","",IF(OR(AZ734=8,AZ734=9),0,IF(OR(AW734=3,AW734=4,AW734=5,AW734=6),IF(LEFT(BH734,1)="1",INDEX(係数_PM低減,MATCH(AY734,【参考】排出係数!$AI$801:$AI$804,1),MATCH(BI734,【参考】排出係数!$AL$798:$AO$798,1)),VLOOKUP(AU734,INDEX((係数_バス貨物_ガソリン,係数_バス貨物_CNG,係数_バス貨物_軽油,係数_バス貨物_メタノール,係数_バス貨物_LPG),MATCH(AY734,【参考】排出係数!$AI$4:$AI$671,1),1,BE734):INDEX((係数_バス貨物_ガソリン,係数_バス貨物_CNG,係数_バス貨物_軽油,係数_バス貨物_メタノール,係数_バス貨物_LPG),MATCH(AY734+1,【参考】排出係数!$AI$4:$AI$671,1)-1,5,BE734),5,FALSE)),IF(AND(BE734=3,LEFT(BF734,1)="1"),0.055,VLOOKUP(AU734,INDEX((係数_乗用_ガソリン,係数_乗用_CNG,係数_乗用_軽油,係数_乗用_メタノール,係数_乗用_LPG),1,1,BE734):INDEX((係数_乗用_ガソリン,係数_乗用_CNG,係数_乗用_軽油,係数_乗用_メタノール,係数_乗用_LPG),125,5,BE734),5,FALSE)))))</f>
        <v/>
      </c>
      <c r="AN734" s="461" t="str">
        <f t="shared" si="394"/>
        <v/>
      </c>
      <c r="AO734" s="462" t="str">
        <f t="shared" si="395"/>
        <v/>
      </c>
      <c r="AP734" s="463" t="str">
        <f t="shared" si="396"/>
        <v/>
      </c>
      <c r="AQ734" s="464"/>
      <c r="AR734" s="619"/>
      <c r="AS734" s="465" t="str">
        <f t="shared" si="398"/>
        <v/>
      </c>
      <c r="AT734" s="465" t="str">
        <f t="shared" si="399"/>
        <v/>
      </c>
      <c r="AU734" s="466" t="str">
        <f t="shared" si="400"/>
        <v/>
      </c>
      <c r="AV734" s="467" t="str">
        <f t="shared" si="401"/>
        <v/>
      </c>
      <c r="AW734" s="467" t="str">
        <f t="shared" si="402"/>
        <v/>
      </c>
      <c r="AX734" s="467" t="str">
        <f t="shared" si="403"/>
        <v/>
      </c>
      <c r="AY734" s="467" t="str">
        <f t="shared" si="404"/>
        <v/>
      </c>
      <c r="AZ734" s="467" t="str">
        <f t="shared" si="405"/>
        <v/>
      </c>
      <c r="BA734" s="468" t="str">
        <f>IF(AS734="","",IF(OR(AU734="",AU734="-"),"－",IF(OR(AZ734=8,AZ734=9),"",IF(OR(AW734=3,AW734=4,AW734=5,AW734=6),VLOOKUP(AU734,INDEX((係数_バス貨物_ガソリン,係数_バス貨物_CNG,係数_バス貨物_軽油,係数_バス貨物_メタノール,係数_バス貨物_LPG),MATCH(AY734,【参考】排出係数!$AI$4:$AI$671,1),1,BE734):INDEX((係数_バス貨物_ガソリン,係数_バス貨物_CNG,係数_バス貨物_軽油,係数_バス貨物_メタノール,係数_バス貨物_LPG),MATCH(AY734+1,【参考】排出係数!$AI$4:$AI$671,1)-1,5,BE734),2,FALSE),IF(OR(AW734=1,AW734=2),VLOOKUP(AU734,INDEX((係数_乗用_ガソリン,係数_乗用_CNG,係数_乗用_軽油,係数_乗用_メタノール,係数_乗用_LPG),1,1,BE734):INDEX((係数_乗用_ガソリン,係数_乗用_CNG,係数_乗用_軽油,係数_乗用_メタノール,係数_乗用_LPG),125,5,BE734),2,FALSE))))))</f>
        <v/>
      </c>
      <c r="BB734" s="468" t="str">
        <f>IF(T734="","",IF(OR(AU734="",AU734="-"),"－",IF(OR(AZ734=8,AZ734=9),"",IF(OR(AW734=3,AW734=4,AW734=5,AW734=6),VLOOKUP(AU734,INDEX((係数_バス貨物_ガソリン,係数_バス貨物_CNG,係数_バス貨物_軽油,係数_バス貨物_メタノール,係数_バス貨物_LPG),MATCH(AY734,【参考】排出係数!$AI$4:$AI$671,1),1,BE734):INDEX((係数_バス貨物_ガソリン,係数_バス貨物_CNG,係数_バス貨物_軽油,係数_バス貨物_メタノール,係数_バス貨物_LPG),MATCH(AY734+1,【参考】排出係数!$AI$4:$AI$671,1)-1,5,BE734),3,FALSE),IF(OR(AW734=1,AW734=2),VLOOKUP(AU734,INDEX((係数_乗用_ガソリン,係数_乗用_CNG,係数_乗用_軽油,係数_乗用_メタノール,係数_乗用_LPG),1,1,BE734):INDEX((係数_乗用_ガソリン,係数_乗用_CNG,係数_乗用_軽油,係数_乗用_メタノール,係数_乗用_LPG),125,5,BE734),3,FALSE))))))</f>
        <v/>
      </c>
      <c r="BC734" s="467" t="str">
        <f t="shared" si="406"/>
        <v/>
      </c>
      <c r="BD734" s="567" t="str">
        <f t="shared" si="407"/>
        <v/>
      </c>
      <c r="BE734" s="467" t="str">
        <f t="shared" si="408"/>
        <v/>
      </c>
      <c r="BF734" s="469" t="str">
        <f t="shared" ca="1" si="409"/>
        <v/>
      </c>
      <c r="BG734" s="469" t="str">
        <f t="shared" ca="1" si="410"/>
        <v/>
      </c>
      <c r="BH734" s="467" t="str">
        <f t="shared" si="411"/>
        <v/>
      </c>
      <c r="BI734" s="467" t="str">
        <f t="shared" ca="1" si="412"/>
        <v/>
      </c>
      <c r="BJ734" s="469" t="str">
        <f t="shared" si="413"/>
        <v/>
      </c>
      <c r="BK734" s="470" t="str">
        <f t="shared" si="397"/>
        <v/>
      </c>
      <c r="BL734" s="775" t="str">
        <f t="shared" si="414"/>
        <v/>
      </c>
      <c r="BM734" s="775" t="str">
        <f t="shared" si="415"/>
        <v/>
      </c>
    </row>
    <row r="735" spans="1:65">
      <c r="A735" s="473">
        <v>679</v>
      </c>
      <c r="B735" s="132"/>
      <c r="C735" s="332"/>
      <c r="D735" s="333"/>
      <c r="E735" s="333"/>
      <c r="F735" s="334"/>
      <c r="G735" s="337"/>
      <c r="H735" s="131"/>
      <c r="I735" s="337"/>
      <c r="J735" s="131"/>
      <c r="K735" s="458" t="str">
        <f t="shared" si="384"/>
        <v/>
      </c>
      <c r="L735" s="458">
        <f t="shared" si="385"/>
        <v>0</v>
      </c>
      <c r="M735" s="458">
        <f t="shared" si="386"/>
        <v>0</v>
      </c>
      <c r="N735" s="459" t="str">
        <f t="shared" si="283"/>
        <v/>
      </c>
      <c r="O735" s="459" t="str">
        <f t="shared" si="284"/>
        <v/>
      </c>
      <c r="P735" s="459" t="str">
        <f t="shared" si="285"/>
        <v/>
      </c>
      <c r="Q735" s="459" t="str">
        <f t="shared" si="286"/>
        <v/>
      </c>
      <c r="R735" s="459" t="str">
        <f t="shared" si="287"/>
        <v/>
      </c>
      <c r="S735" s="459" t="str">
        <f t="shared" si="288"/>
        <v/>
      </c>
      <c r="T735" s="566" t="str">
        <f t="shared" si="387"/>
        <v/>
      </c>
      <c r="U735" s="702"/>
      <c r="V735" s="132"/>
      <c r="W735" s="133"/>
      <c r="X735" s="134"/>
      <c r="Y735" s="135"/>
      <c r="Z735" s="137"/>
      <c r="AA735" s="136"/>
      <c r="AB735" s="566" t="str">
        <f t="shared" si="388"/>
        <v/>
      </c>
      <c r="AC735" s="568" t="str">
        <f t="shared" si="389"/>
        <v/>
      </c>
      <c r="AD735" s="137"/>
      <c r="AE735" s="137"/>
      <c r="AF735" s="138"/>
      <c r="AG735" s="138"/>
      <c r="AH735" s="592" t="str">
        <f t="shared" si="390"/>
        <v/>
      </c>
      <c r="AI735" s="592" t="str">
        <f t="shared" si="391"/>
        <v/>
      </c>
      <c r="AJ735" s="592" t="str">
        <f t="shared" si="392"/>
        <v/>
      </c>
      <c r="AK735" s="460" t="str">
        <f>IF(AU735="","",IF(OR(AZ735=8,AZ735=9),0,IF(OR(AW735=3,AW735=4,AW735=5,AW735=6),IF(LEFT(BF735,1)="1",INDEX(係数_NOX・PM低減,MATCH(AY735,【参考】排出係数!$AI$801:$AI$804,1),1),VLOOKUP(AU735,INDEX((係数_バス貨物_ガソリン,係数_バス貨物_CNG,係数_バス貨物_軽油,係数_バス貨物_メタノール,係数_バス貨物_LPG),MATCH(AY735,【参考】排出係数!$AI$4:$AI$671,1),1,BE735):INDEX((係数_バス貨物_ガソリン,係数_バス貨物_CNG,係数_バス貨物_軽油,係数_バス貨物_メタノール,係数_バス貨物_LPG),MATCH(AY735+1,【参考】排出係数!$AI$4:$AI$671,1)-1,5,BE735),4,FALSE)),IF(AND(BE735=3,LEFT(BF735,1)="1"),0.48,VLOOKUP(AU735,INDEX((係数_乗用_ガソリン,係数_乗用_CNG,係数_乗用_軽油,係数_乗用_メタノール,係数_乗用_LPG),1,1,BE735):INDEX((係数_乗用_ガソリン,係数_乗用_CNG,係数_乗用_軽油,係数_乗用_メタノール,係数_乗用_LPG),125,5,BE735),4,FALSE)))))</f>
        <v/>
      </c>
      <c r="AL735" s="461" t="str">
        <f t="shared" si="393"/>
        <v/>
      </c>
      <c r="AM735" s="460" t="str">
        <f>IF(AU735="","",IF(OR(AZ735=8,AZ735=9),0,IF(OR(AW735=3,AW735=4,AW735=5,AW735=6),IF(LEFT(BH735,1)="1",INDEX(係数_PM低減,MATCH(AY735,【参考】排出係数!$AI$801:$AI$804,1),MATCH(BI735,【参考】排出係数!$AL$798:$AO$798,1)),VLOOKUP(AU735,INDEX((係数_バス貨物_ガソリン,係数_バス貨物_CNG,係数_バス貨物_軽油,係数_バス貨物_メタノール,係数_バス貨物_LPG),MATCH(AY735,【参考】排出係数!$AI$4:$AI$671,1),1,BE735):INDEX((係数_バス貨物_ガソリン,係数_バス貨物_CNG,係数_バス貨物_軽油,係数_バス貨物_メタノール,係数_バス貨物_LPG),MATCH(AY735+1,【参考】排出係数!$AI$4:$AI$671,1)-1,5,BE735),5,FALSE)),IF(AND(BE735=3,LEFT(BF735,1)="1"),0.055,VLOOKUP(AU735,INDEX((係数_乗用_ガソリン,係数_乗用_CNG,係数_乗用_軽油,係数_乗用_メタノール,係数_乗用_LPG),1,1,BE735):INDEX((係数_乗用_ガソリン,係数_乗用_CNG,係数_乗用_軽油,係数_乗用_メタノール,係数_乗用_LPG),125,5,BE735),5,FALSE)))))</f>
        <v/>
      </c>
      <c r="AN735" s="461" t="str">
        <f t="shared" si="394"/>
        <v/>
      </c>
      <c r="AO735" s="462" t="str">
        <f t="shared" si="395"/>
        <v/>
      </c>
      <c r="AP735" s="463" t="str">
        <f t="shared" si="396"/>
        <v/>
      </c>
      <c r="AQ735" s="464"/>
      <c r="AR735" s="619"/>
      <c r="AS735" s="465" t="str">
        <f t="shared" si="398"/>
        <v/>
      </c>
      <c r="AT735" s="465" t="str">
        <f t="shared" si="399"/>
        <v/>
      </c>
      <c r="AU735" s="466" t="str">
        <f t="shared" si="400"/>
        <v/>
      </c>
      <c r="AV735" s="467" t="str">
        <f t="shared" si="401"/>
        <v/>
      </c>
      <c r="AW735" s="467" t="str">
        <f t="shared" si="402"/>
        <v/>
      </c>
      <c r="AX735" s="467" t="str">
        <f t="shared" si="403"/>
        <v/>
      </c>
      <c r="AY735" s="467" t="str">
        <f t="shared" si="404"/>
        <v/>
      </c>
      <c r="AZ735" s="467" t="str">
        <f t="shared" si="405"/>
        <v/>
      </c>
      <c r="BA735" s="468" t="str">
        <f>IF(AS735="","",IF(OR(AU735="",AU735="-"),"－",IF(OR(AZ735=8,AZ735=9),"",IF(OR(AW735=3,AW735=4,AW735=5,AW735=6),VLOOKUP(AU735,INDEX((係数_バス貨物_ガソリン,係数_バス貨物_CNG,係数_バス貨物_軽油,係数_バス貨物_メタノール,係数_バス貨物_LPG),MATCH(AY735,【参考】排出係数!$AI$4:$AI$671,1),1,BE735):INDEX((係数_バス貨物_ガソリン,係数_バス貨物_CNG,係数_バス貨物_軽油,係数_バス貨物_メタノール,係数_バス貨物_LPG),MATCH(AY735+1,【参考】排出係数!$AI$4:$AI$671,1)-1,5,BE735),2,FALSE),IF(OR(AW735=1,AW735=2),VLOOKUP(AU735,INDEX((係数_乗用_ガソリン,係数_乗用_CNG,係数_乗用_軽油,係数_乗用_メタノール,係数_乗用_LPG),1,1,BE735):INDEX((係数_乗用_ガソリン,係数_乗用_CNG,係数_乗用_軽油,係数_乗用_メタノール,係数_乗用_LPG),125,5,BE735),2,FALSE))))))</f>
        <v/>
      </c>
      <c r="BB735" s="468" t="str">
        <f>IF(T735="","",IF(OR(AU735="",AU735="-"),"－",IF(OR(AZ735=8,AZ735=9),"",IF(OR(AW735=3,AW735=4,AW735=5,AW735=6),VLOOKUP(AU735,INDEX((係数_バス貨物_ガソリン,係数_バス貨物_CNG,係数_バス貨物_軽油,係数_バス貨物_メタノール,係数_バス貨物_LPG),MATCH(AY735,【参考】排出係数!$AI$4:$AI$671,1),1,BE735):INDEX((係数_バス貨物_ガソリン,係数_バス貨物_CNG,係数_バス貨物_軽油,係数_バス貨物_メタノール,係数_バス貨物_LPG),MATCH(AY735+1,【参考】排出係数!$AI$4:$AI$671,1)-1,5,BE735),3,FALSE),IF(OR(AW735=1,AW735=2),VLOOKUP(AU735,INDEX((係数_乗用_ガソリン,係数_乗用_CNG,係数_乗用_軽油,係数_乗用_メタノール,係数_乗用_LPG),1,1,BE735):INDEX((係数_乗用_ガソリン,係数_乗用_CNG,係数_乗用_軽油,係数_乗用_メタノール,係数_乗用_LPG),125,5,BE735),3,FALSE))))))</f>
        <v/>
      </c>
      <c r="BC735" s="467" t="str">
        <f t="shared" si="406"/>
        <v/>
      </c>
      <c r="BD735" s="567" t="str">
        <f t="shared" si="407"/>
        <v/>
      </c>
      <c r="BE735" s="467" t="str">
        <f t="shared" si="408"/>
        <v/>
      </c>
      <c r="BF735" s="469" t="str">
        <f t="shared" ca="1" si="409"/>
        <v/>
      </c>
      <c r="BG735" s="469" t="str">
        <f t="shared" ca="1" si="410"/>
        <v/>
      </c>
      <c r="BH735" s="467" t="str">
        <f t="shared" si="411"/>
        <v/>
      </c>
      <c r="BI735" s="467" t="str">
        <f t="shared" ca="1" si="412"/>
        <v/>
      </c>
      <c r="BJ735" s="469" t="str">
        <f t="shared" si="413"/>
        <v/>
      </c>
      <c r="BK735" s="470" t="str">
        <f t="shared" si="397"/>
        <v/>
      </c>
      <c r="BL735" s="775" t="str">
        <f t="shared" si="414"/>
        <v/>
      </c>
      <c r="BM735" s="775" t="str">
        <f t="shared" si="415"/>
        <v/>
      </c>
    </row>
    <row r="736" spans="1:65">
      <c r="A736" s="473">
        <v>680</v>
      </c>
      <c r="B736" s="132"/>
      <c r="C736" s="332"/>
      <c r="D736" s="333"/>
      <c r="E736" s="333"/>
      <c r="F736" s="334"/>
      <c r="G736" s="337"/>
      <c r="H736" s="131"/>
      <c r="I736" s="337"/>
      <c r="J736" s="131"/>
      <c r="K736" s="458" t="str">
        <f t="shared" si="384"/>
        <v/>
      </c>
      <c r="L736" s="458">
        <f t="shared" si="385"/>
        <v>0</v>
      </c>
      <c r="M736" s="458">
        <f t="shared" si="386"/>
        <v>0</v>
      </c>
      <c r="N736" s="459" t="str">
        <f t="shared" si="283"/>
        <v/>
      </c>
      <c r="O736" s="459" t="str">
        <f t="shared" si="284"/>
        <v/>
      </c>
      <c r="P736" s="459" t="str">
        <f t="shared" si="285"/>
        <v/>
      </c>
      <c r="Q736" s="459" t="str">
        <f t="shared" si="286"/>
        <v/>
      </c>
      <c r="R736" s="459" t="str">
        <f t="shared" si="287"/>
        <v/>
      </c>
      <c r="S736" s="459" t="str">
        <f t="shared" si="288"/>
        <v/>
      </c>
      <c r="T736" s="566" t="str">
        <f t="shared" si="387"/>
        <v/>
      </c>
      <c r="U736" s="702"/>
      <c r="V736" s="132"/>
      <c r="W736" s="133"/>
      <c r="X736" s="134"/>
      <c r="Y736" s="135"/>
      <c r="Z736" s="137"/>
      <c r="AA736" s="136"/>
      <c r="AB736" s="566" t="str">
        <f t="shared" si="388"/>
        <v/>
      </c>
      <c r="AC736" s="568" t="str">
        <f t="shared" si="389"/>
        <v/>
      </c>
      <c r="AD736" s="137"/>
      <c r="AE736" s="137"/>
      <c r="AF736" s="138"/>
      <c r="AG736" s="138"/>
      <c r="AH736" s="592" t="str">
        <f t="shared" si="390"/>
        <v/>
      </c>
      <c r="AI736" s="592" t="str">
        <f t="shared" si="391"/>
        <v/>
      </c>
      <c r="AJ736" s="592" t="str">
        <f t="shared" si="392"/>
        <v/>
      </c>
      <c r="AK736" s="460" t="str">
        <f>IF(AU736="","",IF(OR(AZ736=8,AZ736=9),0,IF(OR(AW736=3,AW736=4,AW736=5,AW736=6),IF(LEFT(BF736,1)="1",INDEX(係数_NOX・PM低減,MATCH(AY736,【参考】排出係数!$AI$801:$AI$804,1),1),VLOOKUP(AU736,INDEX((係数_バス貨物_ガソリン,係数_バス貨物_CNG,係数_バス貨物_軽油,係数_バス貨物_メタノール,係数_バス貨物_LPG),MATCH(AY736,【参考】排出係数!$AI$4:$AI$671,1),1,BE736):INDEX((係数_バス貨物_ガソリン,係数_バス貨物_CNG,係数_バス貨物_軽油,係数_バス貨物_メタノール,係数_バス貨物_LPG),MATCH(AY736+1,【参考】排出係数!$AI$4:$AI$671,1)-1,5,BE736),4,FALSE)),IF(AND(BE736=3,LEFT(BF736,1)="1"),0.48,VLOOKUP(AU736,INDEX((係数_乗用_ガソリン,係数_乗用_CNG,係数_乗用_軽油,係数_乗用_メタノール,係数_乗用_LPG),1,1,BE736):INDEX((係数_乗用_ガソリン,係数_乗用_CNG,係数_乗用_軽油,係数_乗用_メタノール,係数_乗用_LPG),125,5,BE736),4,FALSE)))))</f>
        <v/>
      </c>
      <c r="AL736" s="461" t="str">
        <f t="shared" si="393"/>
        <v/>
      </c>
      <c r="AM736" s="460" t="str">
        <f>IF(AU736="","",IF(OR(AZ736=8,AZ736=9),0,IF(OR(AW736=3,AW736=4,AW736=5,AW736=6),IF(LEFT(BH736,1)="1",INDEX(係数_PM低減,MATCH(AY736,【参考】排出係数!$AI$801:$AI$804,1),MATCH(BI736,【参考】排出係数!$AL$798:$AO$798,1)),VLOOKUP(AU736,INDEX((係数_バス貨物_ガソリン,係数_バス貨物_CNG,係数_バス貨物_軽油,係数_バス貨物_メタノール,係数_バス貨物_LPG),MATCH(AY736,【参考】排出係数!$AI$4:$AI$671,1),1,BE736):INDEX((係数_バス貨物_ガソリン,係数_バス貨物_CNG,係数_バス貨物_軽油,係数_バス貨物_メタノール,係数_バス貨物_LPG),MATCH(AY736+1,【参考】排出係数!$AI$4:$AI$671,1)-1,5,BE736),5,FALSE)),IF(AND(BE736=3,LEFT(BF736,1)="1"),0.055,VLOOKUP(AU736,INDEX((係数_乗用_ガソリン,係数_乗用_CNG,係数_乗用_軽油,係数_乗用_メタノール,係数_乗用_LPG),1,1,BE736):INDEX((係数_乗用_ガソリン,係数_乗用_CNG,係数_乗用_軽油,係数_乗用_メタノール,係数_乗用_LPG),125,5,BE736),5,FALSE)))))</f>
        <v/>
      </c>
      <c r="AN736" s="461" t="str">
        <f t="shared" si="394"/>
        <v/>
      </c>
      <c r="AO736" s="462" t="str">
        <f t="shared" si="395"/>
        <v/>
      </c>
      <c r="AP736" s="463" t="str">
        <f t="shared" si="396"/>
        <v/>
      </c>
      <c r="AQ736" s="464"/>
      <c r="AR736" s="619"/>
      <c r="AS736" s="465" t="str">
        <f t="shared" si="398"/>
        <v/>
      </c>
      <c r="AT736" s="465" t="str">
        <f t="shared" si="399"/>
        <v/>
      </c>
      <c r="AU736" s="466" t="str">
        <f t="shared" si="400"/>
        <v/>
      </c>
      <c r="AV736" s="467" t="str">
        <f t="shared" si="401"/>
        <v/>
      </c>
      <c r="AW736" s="467" t="str">
        <f t="shared" si="402"/>
        <v/>
      </c>
      <c r="AX736" s="467" t="str">
        <f t="shared" si="403"/>
        <v/>
      </c>
      <c r="AY736" s="467" t="str">
        <f t="shared" si="404"/>
        <v/>
      </c>
      <c r="AZ736" s="467" t="str">
        <f t="shared" si="405"/>
        <v/>
      </c>
      <c r="BA736" s="468" t="str">
        <f>IF(AS736="","",IF(OR(AU736="",AU736="-"),"－",IF(OR(AZ736=8,AZ736=9),"",IF(OR(AW736=3,AW736=4,AW736=5,AW736=6),VLOOKUP(AU736,INDEX((係数_バス貨物_ガソリン,係数_バス貨物_CNG,係数_バス貨物_軽油,係数_バス貨物_メタノール,係数_バス貨物_LPG),MATCH(AY736,【参考】排出係数!$AI$4:$AI$671,1),1,BE736):INDEX((係数_バス貨物_ガソリン,係数_バス貨物_CNG,係数_バス貨物_軽油,係数_バス貨物_メタノール,係数_バス貨物_LPG),MATCH(AY736+1,【参考】排出係数!$AI$4:$AI$671,1)-1,5,BE736),2,FALSE),IF(OR(AW736=1,AW736=2),VLOOKUP(AU736,INDEX((係数_乗用_ガソリン,係数_乗用_CNG,係数_乗用_軽油,係数_乗用_メタノール,係数_乗用_LPG),1,1,BE736):INDEX((係数_乗用_ガソリン,係数_乗用_CNG,係数_乗用_軽油,係数_乗用_メタノール,係数_乗用_LPG),125,5,BE736),2,FALSE))))))</f>
        <v/>
      </c>
      <c r="BB736" s="468" t="str">
        <f>IF(T736="","",IF(OR(AU736="",AU736="-"),"－",IF(OR(AZ736=8,AZ736=9),"",IF(OR(AW736=3,AW736=4,AW736=5,AW736=6),VLOOKUP(AU736,INDEX((係数_バス貨物_ガソリン,係数_バス貨物_CNG,係数_バス貨物_軽油,係数_バス貨物_メタノール,係数_バス貨物_LPG),MATCH(AY736,【参考】排出係数!$AI$4:$AI$671,1),1,BE736):INDEX((係数_バス貨物_ガソリン,係数_バス貨物_CNG,係数_バス貨物_軽油,係数_バス貨物_メタノール,係数_バス貨物_LPG),MATCH(AY736+1,【参考】排出係数!$AI$4:$AI$671,1)-1,5,BE736),3,FALSE),IF(OR(AW736=1,AW736=2),VLOOKUP(AU736,INDEX((係数_乗用_ガソリン,係数_乗用_CNG,係数_乗用_軽油,係数_乗用_メタノール,係数_乗用_LPG),1,1,BE736):INDEX((係数_乗用_ガソリン,係数_乗用_CNG,係数_乗用_軽油,係数_乗用_メタノール,係数_乗用_LPG),125,5,BE736),3,FALSE))))))</f>
        <v/>
      </c>
      <c r="BC736" s="467" t="str">
        <f t="shared" si="406"/>
        <v/>
      </c>
      <c r="BD736" s="567" t="str">
        <f t="shared" si="407"/>
        <v/>
      </c>
      <c r="BE736" s="467" t="str">
        <f t="shared" si="408"/>
        <v/>
      </c>
      <c r="BF736" s="469" t="str">
        <f t="shared" ca="1" si="409"/>
        <v/>
      </c>
      <c r="BG736" s="469" t="str">
        <f t="shared" ca="1" si="410"/>
        <v/>
      </c>
      <c r="BH736" s="467" t="str">
        <f t="shared" si="411"/>
        <v/>
      </c>
      <c r="BI736" s="467" t="str">
        <f t="shared" ca="1" si="412"/>
        <v/>
      </c>
      <c r="BJ736" s="469" t="str">
        <f t="shared" si="413"/>
        <v/>
      </c>
      <c r="BK736" s="470" t="str">
        <f t="shared" si="397"/>
        <v/>
      </c>
      <c r="BL736" s="775" t="str">
        <f t="shared" si="414"/>
        <v/>
      </c>
      <c r="BM736" s="775" t="str">
        <f t="shared" si="415"/>
        <v/>
      </c>
    </row>
    <row r="737" spans="1:65">
      <c r="A737" s="473">
        <v>681</v>
      </c>
      <c r="B737" s="132"/>
      <c r="C737" s="332"/>
      <c r="D737" s="333"/>
      <c r="E737" s="333"/>
      <c r="F737" s="334"/>
      <c r="G737" s="337"/>
      <c r="H737" s="131"/>
      <c r="I737" s="337"/>
      <c r="J737" s="131"/>
      <c r="K737" s="458" t="str">
        <f t="shared" si="384"/>
        <v/>
      </c>
      <c r="L737" s="458">
        <f t="shared" si="385"/>
        <v>0</v>
      </c>
      <c r="M737" s="458">
        <f t="shared" si="386"/>
        <v>0</v>
      </c>
      <c r="N737" s="459" t="str">
        <f t="shared" si="283"/>
        <v/>
      </c>
      <c r="O737" s="459" t="str">
        <f t="shared" si="284"/>
        <v/>
      </c>
      <c r="P737" s="459" t="str">
        <f t="shared" si="285"/>
        <v/>
      </c>
      <c r="Q737" s="459" t="str">
        <f t="shared" si="286"/>
        <v/>
      </c>
      <c r="R737" s="459" t="str">
        <f t="shared" si="287"/>
        <v/>
      </c>
      <c r="S737" s="459" t="str">
        <f t="shared" si="288"/>
        <v/>
      </c>
      <c r="T737" s="566" t="str">
        <f t="shared" si="387"/>
        <v/>
      </c>
      <c r="U737" s="702"/>
      <c r="V737" s="132"/>
      <c r="W737" s="133"/>
      <c r="X737" s="134"/>
      <c r="Y737" s="135"/>
      <c r="Z737" s="137"/>
      <c r="AA737" s="136"/>
      <c r="AB737" s="566" t="str">
        <f t="shared" si="388"/>
        <v/>
      </c>
      <c r="AC737" s="568" t="str">
        <f t="shared" si="389"/>
        <v/>
      </c>
      <c r="AD737" s="137"/>
      <c r="AE737" s="137"/>
      <c r="AF737" s="138"/>
      <c r="AG737" s="138"/>
      <c r="AH737" s="592" t="str">
        <f t="shared" si="390"/>
        <v/>
      </c>
      <c r="AI737" s="592" t="str">
        <f t="shared" si="391"/>
        <v/>
      </c>
      <c r="AJ737" s="592" t="str">
        <f t="shared" si="392"/>
        <v/>
      </c>
      <c r="AK737" s="460" t="str">
        <f>IF(AU737="","",IF(OR(AZ737=8,AZ737=9),0,IF(OR(AW737=3,AW737=4,AW737=5,AW737=6),IF(LEFT(BF737,1)="1",INDEX(係数_NOX・PM低減,MATCH(AY737,【参考】排出係数!$AI$801:$AI$804,1),1),VLOOKUP(AU737,INDEX((係数_バス貨物_ガソリン,係数_バス貨物_CNG,係数_バス貨物_軽油,係数_バス貨物_メタノール,係数_バス貨物_LPG),MATCH(AY737,【参考】排出係数!$AI$4:$AI$671,1),1,BE737):INDEX((係数_バス貨物_ガソリン,係数_バス貨物_CNG,係数_バス貨物_軽油,係数_バス貨物_メタノール,係数_バス貨物_LPG),MATCH(AY737+1,【参考】排出係数!$AI$4:$AI$671,1)-1,5,BE737),4,FALSE)),IF(AND(BE737=3,LEFT(BF737,1)="1"),0.48,VLOOKUP(AU737,INDEX((係数_乗用_ガソリン,係数_乗用_CNG,係数_乗用_軽油,係数_乗用_メタノール,係数_乗用_LPG),1,1,BE737):INDEX((係数_乗用_ガソリン,係数_乗用_CNG,係数_乗用_軽油,係数_乗用_メタノール,係数_乗用_LPG),125,5,BE737),4,FALSE)))))</f>
        <v/>
      </c>
      <c r="AL737" s="461" t="str">
        <f t="shared" si="393"/>
        <v/>
      </c>
      <c r="AM737" s="460" t="str">
        <f>IF(AU737="","",IF(OR(AZ737=8,AZ737=9),0,IF(OR(AW737=3,AW737=4,AW737=5,AW737=6),IF(LEFT(BH737,1)="1",INDEX(係数_PM低減,MATCH(AY737,【参考】排出係数!$AI$801:$AI$804,1),MATCH(BI737,【参考】排出係数!$AL$798:$AO$798,1)),VLOOKUP(AU737,INDEX((係数_バス貨物_ガソリン,係数_バス貨物_CNG,係数_バス貨物_軽油,係数_バス貨物_メタノール,係数_バス貨物_LPG),MATCH(AY737,【参考】排出係数!$AI$4:$AI$671,1),1,BE737):INDEX((係数_バス貨物_ガソリン,係数_バス貨物_CNG,係数_バス貨物_軽油,係数_バス貨物_メタノール,係数_バス貨物_LPG),MATCH(AY737+1,【参考】排出係数!$AI$4:$AI$671,1)-1,5,BE737),5,FALSE)),IF(AND(BE737=3,LEFT(BF737,1)="1"),0.055,VLOOKUP(AU737,INDEX((係数_乗用_ガソリン,係数_乗用_CNG,係数_乗用_軽油,係数_乗用_メタノール,係数_乗用_LPG),1,1,BE737):INDEX((係数_乗用_ガソリン,係数_乗用_CNG,係数_乗用_軽油,係数_乗用_メタノール,係数_乗用_LPG),125,5,BE737),5,FALSE)))))</f>
        <v/>
      </c>
      <c r="AN737" s="461" t="str">
        <f t="shared" si="394"/>
        <v/>
      </c>
      <c r="AO737" s="462" t="str">
        <f t="shared" si="395"/>
        <v/>
      </c>
      <c r="AP737" s="463" t="str">
        <f t="shared" si="396"/>
        <v/>
      </c>
      <c r="AQ737" s="464"/>
      <c r="AR737" s="619"/>
      <c r="AS737" s="465" t="str">
        <f t="shared" si="398"/>
        <v/>
      </c>
      <c r="AT737" s="465" t="str">
        <f t="shared" si="399"/>
        <v/>
      </c>
      <c r="AU737" s="466" t="str">
        <f t="shared" si="400"/>
        <v/>
      </c>
      <c r="AV737" s="467" t="str">
        <f t="shared" si="401"/>
        <v/>
      </c>
      <c r="AW737" s="467" t="str">
        <f t="shared" si="402"/>
        <v/>
      </c>
      <c r="AX737" s="467" t="str">
        <f t="shared" si="403"/>
        <v/>
      </c>
      <c r="AY737" s="467" t="str">
        <f t="shared" si="404"/>
        <v/>
      </c>
      <c r="AZ737" s="467" t="str">
        <f t="shared" si="405"/>
        <v/>
      </c>
      <c r="BA737" s="468" t="str">
        <f>IF(AS737="","",IF(OR(AU737="",AU737="-"),"－",IF(OR(AZ737=8,AZ737=9),"",IF(OR(AW737=3,AW737=4,AW737=5,AW737=6),VLOOKUP(AU737,INDEX((係数_バス貨物_ガソリン,係数_バス貨物_CNG,係数_バス貨物_軽油,係数_バス貨物_メタノール,係数_バス貨物_LPG),MATCH(AY737,【参考】排出係数!$AI$4:$AI$671,1),1,BE737):INDEX((係数_バス貨物_ガソリン,係数_バス貨物_CNG,係数_バス貨物_軽油,係数_バス貨物_メタノール,係数_バス貨物_LPG),MATCH(AY737+1,【参考】排出係数!$AI$4:$AI$671,1)-1,5,BE737),2,FALSE),IF(OR(AW737=1,AW737=2),VLOOKUP(AU737,INDEX((係数_乗用_ガソリン,係数_乗用_CNG,係数_乗用_軽油,係数_乗用_メタノール,係数_乗用_LPG),1,1,BE737):INDEX((係数_乗用_ガソリン,係数_乗用_CNG,係数_乗用_軽油,係数_乗用_メタノール,係数_乗用_LPG),125,5,BE737),2,FALSE))))))</f>
        <v/>
      </c>
      <c r="BB737" s="468" t="str">
        <f>IF(T737="","",IF(OR(AU737="",AU737="-"),"－",IF(OR(AZ737=8,AZ737=9),"",IF(OR(AW737=3,AW737=4,AW737=5,AW737=6),VLOOKUP(AU737,INDEX((係数_バス貨物_ガソリン,係数_バス貨物_CNG,係数_バス貨物_軽油,係数_バス貨物_メタノール,係数_バス貨物_LPG),MATCH(AY737,【参考】排出係数!$AI$4:$AI$671,1),1,BE737):INDEX((係数_バス貨物_ガソリン,係数_バス貨物_CNG,係数_バス貨物_軽油,係数_バス貨物_メタノール,係数_バス貨物_LPG),MATCH(AY737+1,【参考】排出係数!$AI$4:$AI$671,1)-1,5,BE737),3,FALSE),IF(OR(AW737=1,AW737=2),VLOOKUP(AU737,INDEX((係数_乗用_ガソリン,係数_乗用_CNG,係数_乗用_軽油,係数_乗用_メタノール,係数_乗用_LPG),1,1,BE737):INDEX((係数_乗用_ガソリン,係数_乗用_CNG,係数_乗用_軽油,係数_乗用_メタノール,係数_乗用_LPG),125,5,BE737),3,FALSE))))))</f>
        <v/>
      </c>
      <c r="BC737" s="467" t="str">
        <f t="shared" si="406"/>
        <v/>
      </c>
      <c r="BD737" s="567" t="str">
        <f t="shared" si="407"/>
        <v/>
      </c>
      <c r="BE737" s="467" t="str">
        <f t="shared" si="408"/>
        <v/>
      </c>
      <c r="BF737" s="469" t="str">
        <f t="shared" ca="1" si="409"/>
        <v/>
      </c>
      <c r="BG737" s="469" t="str">
        <f t="shared" ca="1" si="410"/>
        <v/>
      </c>
      <c r="BH737" s="467" t="str">
        <f t="shared" si="411"/>
        <v/>
      </c>
      <c r="BI737" s="467" t="str">
        <f t="shared" ca="1" si="412"/>
        <v/>
      </c>
      <c r="BJ737" s="469" t="str">
        <f t="shared" si="413"/>
        <v/>
      </c>
      <c r="BK737" s="470" t="str">
        <f t="shared" si="397"/>
        <v/>
      </c>
      <c r="BL737" s="775" t="str">
        <f t="shared" si="414"/>
        <v/>
      </c>
      <c r="BM737" s="775" t="str">
        <f t="shared" si="415"/>
        <v/>
      </c>
    </row>
    <row r="738" spans="1:65">
      <c r="A738" s="473">
        <v>682</v>
      </c>
      <c r="B738" s="132"/>
      <c r="C738" s="332"/>
      <c r="D738" s="333"/>
      <c r="E738" s="333"/>
      <c r="F738" s="334"/>
      <c r="G738" s="337"/>
      <c r="H738" s="131"/>
      <c r="I738" s="337"/>
      <c r="J738" s="131"/>
      <c r="K738" s="458" t="str">
        <f t="shared" si="384"/>
        <v/>
      </c>
      <c r="L738" s="458">
        <f t="shared" si="385"/>
        <v>0</v>
      </c>
      <c r="M738" s="458">
        <f t="shared" si="386"/>
        <v>0</v>
      </c>
      <c r="N738" s="459" t="str">
        <f t="shared" si="283"/>
        <v/>
      </c>
      <c r="O738" s="459" t="str">
        <f t="shared" si="284"/>
        <v/>
      </c>
      <c r="P738" s="459" t="str">
        <f t="shared" si="285"/>
        <v/>
      </c>
      <c r="Q738" s="459" t="str">
        <f t="shared" si="286"/>
        <v/>
      </c>
      <c r="R738" s="459" t="str">
        <f t="shared" si="287"/>
        <v/>
      </c>
      <c r="S738" s="459" t="str">
        <f t="shared" si="288"/>
        <v/>
      </c>
      <c r="T738" s="566" t="str">
        <f t="shared" si="387"/>
        <v/>
      </c>
      <c r="U738" s="702"/>
      <c r="V738" s="132"/>
      <c r="W738" s="133"/>
      <c r="X738" s="134"/>
      <c r="Y738" s="135"/>
      <c r="Z738" s="137"/>
      <c r="AA738" s="136"/>
      <c r="AB738" s="566" t="str">
        <f t="shared" si="388"/>
        <v/>
      </c>
      <c r="AC738" s="568" t="str">
        <f t="shared" si="389"/>
        <v/>
      </c>
      <c r="AD738" s="137"/>
      <c r="AE738" s="137"/>
      <c r="AF738" s="138"/>
      <c r="AG738" s="138"/>
      <c r="AH738" s="592" t="str">
        <f t="shared" si="390"/>
        <v/>
      </c>
      <c r="AI738" s="592" t="str">
        <f t="shared" si="391"/>
        <v/>
      </c>
      <c r="AJ738" s="592" t="str">
        <f t="shared" si="392"/>
        <v/>
      </c>
      <c r="AK738" s="460" t="str">
        <f>IF(AU738="","",IF(OR(AZ738=8,AZ738=9),0,IF(OR(AW738=3,AW738=4,AW738=5,AW738=6),IF(LEFT(BF738,1)="1",INDEX(係数_NOX・PM低減,MATCH(AY738,【参考】排出係数!$AI$801:$AI$804,1),1),VLOOKUP(AU738,INDEX((係数_バス貨物_ガソリン,係数_バス貨物_CNG,係数_バス貨物_軽油,係数_バス貨物_メタノール,係数_バス貨物_LPG),MATCH(AY738,【参考】排出係数!$AI$4:$AI$671,1),1,BE738):INDEX((係数_バス貨物_ガソリン,係数_バス貨物_CNG,係数_バス貨物_軽油,係数_バス貨物_メタノール,係数_バス貨物_LPG),MATCH(AY738+1,【参考】排出係数!$AI$4:$AI$671,1)-1,5,BE738),4,FALSE)),IF(AND(BE738=3,LEFT(BF738,1)="1"),0.48,VLOOKUP(AU738,INDEX((係数_乗用_ガソリン,係数_乗用_CNG,係数_乗用_軽油,係数_乗用_メタノール,係数_乗用_LPG),1,1,BE738):INDEX((係数_乗用_ガソリン,係数_乗用_CNG,係数_乗用_軽油,係数_乗用_メタノール,係数_乗用_LPG),125,5,BE738),4,FALSE)))))</f>
        <v/>
      </c>
      <c r="AL738" s="461" t="str">
        <f t="shared" si="393"/>
        <v/>
      </c>
      <c r="AM738" s="460" t="str">
        <f>IF(AU738="","",IF(OR(AZ738=8,AZ738=9),0,IF(OR(AW738=3,AW738=4,AW738=5,AW738=6),IF(LEFT(BH738,1)="1",INDEX(係数_PM低減,MATCH(AY738,【参考】排出係数!$AI$801:$AI$804,1),MATCH(BI738,【参考】排出係数!$AL$798:$AO$798,1)),VLOOKUP(AU738,INDEX((係数_バス貨物_ガソリン,係数_バス貨物_CNG,係数_バス貨物_軽油,係数_バス貨物_メタノール,係数_バス貨物_LPG),MATCH(AY738,【参考】排出係数!$AI$4:$AI$671,1),1,BE738):INDEX((係数_バス貨物_ガソリン,係数_バス貨物_CNG,係数_バス貨物_軽油,係数_バス貨物_メタノール,係数_バス貨物_LPG),MATCH(AY738+1,【参考】排出係数!$AI$4:$AI$671,1)-1,5,BE738),5,FALSE)),IF(AND(BE738=3,LEFT(BF738,1)="1"),0.055,VLOOKUP(AU738,INDEX((係数_乗用_ガソリン,係数_乗用_CNG,係数_乗用_軽油,係数_乗用_メタノール,係数_乗用_LPG),1,1,BE738):INDEX((係数_乗用_ガソリン,係数_乗用_CNG,係数_乗用_軽油,係数_乗用_メタノール,係数_乗用_LPG),125,5,BE738),5,FALSE)))))</f>
        <v/>
      </c>
      <c r="AN738" s="461" t="str">
        <f t="shared" si="394"/>
        <v/>
      </c>
      <c r="AO738" s="462" t="str">
        <f t="shared" si="395"/>
        <v/>
      </c>
      <c r="AP738" s="463" t="str">
        <f t="shared" si="396"/>
        <v/>
      </c>
      <c r="AQ738" s="464"/>
      <c r="AR738" s="619"/>
      <c r="AS738" s="465" t="str">
        <f t="shared" si="398"/>
        <v/>
      </c>
      <c r="AT738" s="465" t="str">
        <f t="shared" si="399"/>
        <v/>
      </c>
      <c r="AU738" s="466" t="str">
        <f t="shared" si="400"/>
        <v/>
      </c>
      <c r="AV738" s="467" t="str">
        <f t="shared" si="401"/>
        <v/>
      </c>
      <c r="AW738" s="467" t="str">
        <f t="shared" si="402"/>
        <v/>
      </c>
      <c r="AX738" s="467" t="str">
        <f t="shared" si="403"/>
        <v/>
      </c>
      <c r="AY738" s="467" t="str">
        <f t="shared" si="404"/>
        <v/>
      </c>
      <c r="AZ738" s="467" t="str">
        <f t="shared" si="405"/>
        <v/>
      </c>
      <c r="BA738" s="468" t="str">
        <f>IF(AS738="","",IF(OR(AU738="",AU738="-"),"－",IF(OR(AZ738=8,AZ738=9),"",IF(OR(AW738=3,AW738=4,AW738=5,AW738=6),VLOOKUP(AU738,INDEX((係数_バス貨物_ガソリン,係数_バス貨物_CNG,係数_バス貨物_軽油,係数_バス貨物_メタノール,係数_バス貨物_LPG),MATCH(AY738,【参考】排出係数!$AI$4:$AI$671,1),1,BE738):INDEX((係数_バス貨物_ガソリン,係数_バス貨物_CNG,係数_バス貨物_軽油,係数_バス貨物_メタノール,係数_バス貨物_LPG),MATCH(AY738+1,【参考】排出係数!$AI$4:$AI$671,1)-1,5,BE738),2,FALSE),IF(OR(AW738=1,AW738=2),VLOOKUP(AU738,INDEX((係数_乗用_ガソリン,係数_乗用_CNG,係数_乗用_軽油,係数_乗用_メタノール,係数_乗用_LPG),1,1,BE738):INDEX((係数_乗用_ガソリン,係数_乗用_CNG,係数_乗用_軽油,係数_乗用_メタノール,係数_乗用_LPG),125,5,BE738),2,FALSE))))))</f>
        <v/>
      </c>
      <c r="BB738" s="468" t="str">
        <f>IF(T738="","",IF(OR(AU738="",AU738="-"),"－",IF(OR(AZ738=8,AZ738=9),"",IF(OR(AW738=3,AW738=4,AW738=5,AW738=6),VLOOKUP(AU738,INDEX((係数_バス貨物_ガソリン,係数_バス貨物_CNG,係数_バス貨物_軽油,係数_バス貨物_メタノール,係数_バス貨物_LPG),MATCH(AY738,【参考】排出係数!$AI$4:$AI$671,1),1,BE738):INDEX((係数_バス貨物_ガソリン,係数_バス貨物_CNG,係数_バス貨物_軽油,係数_バス貨物_メタノール,係数_バス貨物_LPG),MATCH(AY738+1,【参考】排出係数!$AI$4:$AI$671,1)-1,5,BE738),3,FALSE),IF(OR(AW738=1,AW738=2),VLOOKUP(AU738,INDEX((係数_乗用_ガソリン,係数_乗用_CNG,係数_乗用_軽油,係数_乗用_メタノール,係数_乗用_LPG),1,1,BE738):INDEX((係数_乗用_ガソリン,係数_乗用_CNG,係数_乗用_軽油,係数_乗用_メタノール,係数_乗用_LPG),125,5,BE738),3,FALSE))))))</f>
        <v/>
      </c>
      <c r="BC738" s="467" t="str">
        <f t="shared" si="406"/>
        <v/>
      </c>
      <c r="BD738" s="567" t="str">
        <f t="shared" si="407"/>
        <v/>
      </c>
      <c r="BE738" s="467" t="str">
        <f t="shared" si="408"/>
        <v/>
      </c>
      <c r="BF738" s="469" t="str">
        <f t="shared" ca="1" si="409"/>
        <v/>
      </c>
      <c r="BG738" s="469" t="str">
        <f t="shared" ca="1" si="410"/>
        <v/>
      </c>
      <c r="BH738" s="467" t="str">
        <f t="shared" si="411"/>
        <v/>
      </c>
      <c r="BI738" s="467" t="str">
        <f t="shared" ca="1" si="412"/>
        <v/>
      </c>
      <c r="BJ738" s="469" t="str">
        <f t="shared" si="413"/>
        <v/>
      </c>
      <c r="BK738" s="470" t="str">
        <f t="shared" si="397"/>
        <v/>
      </c>
      <c r="BL738" s="775" t="str">
        <f t="shared" si="414"/>
        <v/>
      </c>
      <c r="BM738" s="775" t="str">
        <f t="shared" si="415"/>
        <v/>
      </c>
    </row>
    <row r="739" spans="1:65">
      <c r="A739" s="473">
        <v>683</v>
      </c>
      <c r="B739" s="132"/>
      <c r="C739" s="332"/>
      <c r="D739" s="333"/>
      <c r="E739" s="333"/>
      <c r="F739" s="334"/>
      <c r="G739" s="337"/>
      <c r="H739" s="131"/>
      <c r="I739" s="337"/>
      <c r="J739" s="131"/>
      <c r="K739" s="458" t="str">
        <f t="shared" si="384"/>
        <v/>
      </c>
      <c r="L739" s="458">
        <f t="shared" si="385"/>
        <v>0</v>
      </c>
      <c r="M739" s="458">
        <f t="shared" si="386"/>
        <v>0</v>
      </c>
      <c r="N739" s="459" t="str">
        <f t="shared" si="283"/>
        <v/>
      </c>
      <c r="O739" s="459" t="str">
        <f t="shared" si="284"/>
        <v/>
      </c>
      <c r="P739" s="459" t="str">
        <f t="shared" si="285"/>
        <v/>
      </c>
      <c r="Q739" s="459" t="str">
        <f t="shared" si="286"/>
        <v/>
      </c>
      <c r="R739" s="459" t="str">
        <f t="shared" si="287"/>
        <v/>
      </c>
      <c r="S739" s="459" t="str">
        <f t="shared" si="288"/>
        <v/>
      </c>
      <c r="T739" s="566" t="str">
        <f t="shared" si="387"/>
        <v/>
      </c>
      <c r="U739" s="702"/>
      <c r="V739" s="132"/>
      <c r="W739" s="133"/>
      <c r="X739" s="134"/>
      <c r="Y739" s="135"/>
      <c r="Z739" s="137"/>
      <c r="AA739" s="136"/>
      <c r="AB739" s="566" t="str">
        <f t="shared" si="388"/>
        <v/>
      </c>
      <c r="AC739" s="568" t="str">
        <f t="shared" si="389"/>
        <v/>
      </c>
      <c r="AD739" s="137"/>
      <c r="AE739" s="137"/>
      <c r="AF739" s="138"/>
      <c r="AG739" s="138"/>
      <c r="AH739" s="592" t="str">
        <f t="shared" si="390"/>
        <v/>
      </c>
      <c r="AI739" s="592" t="str">
        <f t="shared" si="391"/>
        <v/>
      </c>
      <c r="AJ739" s="592" t="str">
        <f t="shared" si="392"/>
        <v/>
      </c>
      <c r="AK739" s="460" t="str">
        <f>IF(AU739="","",IF(OR(AZ739=8,AZ739=9),0,IF(OR(AW739=3,AW739=4,AW739=5,AW739=6),IF(LEFT(BF739,1)="1",INDEX(係数_NOX・PM低減,MATCH(AY739,【参考】排出係数!$AI$801:$AI$804,1),1),VLOOKUP(AU739,INDEX((係数_バス貨物_ガソリン,係数_バス貨物_CNG,係数_バス貨物_軽油,係数_バス貨物_メタノール,係数_バス貨物_LPG),MATCH(AY739,【参考】排出係数!$AI$4:$AI$671,1),1,BE739):INDEX((係数_バス貨物_ガソリン,係数_バス貨物_CNG,係数_バス貨物_軽油,係数_バス貨物_メタノール,係数_バス貨物_LPG),MATCH(AY739+1,【参考】排出係数!$AI$4:$AI$671,1)-1,5,BE739),4,FALSE)),IF(AND(BE739=3,LEFT(BF739,1)="1"),0.48,VLOOKUP(AU739,INDEX((係数_乗用_ガソリン,係数_乗用_CNG,係数_乗用_軽油,係数_乗用_メタノール,係数_乗用_LPG),1,1,BE739):INDEX((係数_乗用_ガソリン,係数_乗用_CNG,係数_乗用_軽油,係数_乗用_メタノール,係数_乗用_LPG),125,5,BE739),4,FALSE)))))</f>
        <v/>
      </c>
      <c r="AL739" s="461" t="str">
        <f t="shared" si="393"/>
        <v/>
      </c>
      <c r="AM739" s="460" t="str">
        <f>IF(AU739="","",IF(OR(AZ739=8,AZ739=9),0,IF(OR(AW739=3,AW739=4,AW739=5,AW739=6),IF(LEFT(BH739,1)="1",INDEX(係数_PM低減,MATCH(AY739,【参考】排出係数!$AI$801:$AI$804,1),MATCH(BI739,【参考】排出係数!$AL$798:$AO$798,1)),VLOOKUP(AU739,INDEX((係数_バス貨物_ガソリン,係数_バス貨物_CNG,係数_バス貨物_軽油,係数_バス貨物_メタノール,係数_バス貨物_LPG),MATCH(AY739,【参考】排出係数!$AI$4:$AI$671,1),1,BE739):INDEX((係数_バス貨物_ガソリン,係数_バス貨物_CNG,係数_バス貨物_軽油,係数_バス貨物_メタノール,係数_バス貨物_LPG),MATCH(AY739+1,【参考】排出係数!$AI$4:$AI$671,1)-1,5,BE739),5,FALSE)),IF(AND(BE739=3,LEFT(BF739,1)="1"),0.055,VLOOKUP(AU739,INDEX((係数_乗用_ガソリン,係数_乗用_CNG,係数_乗用_軽油,係数_乗用_メタノール,係数_乗用_LPG),1,1,BE739):INDEX((係数_乗用_ガソリン,係数_乗用_CNG,係数_乗用_軽油,係数_乗用_メタノール,係数_乗用_LPG),125,5,BE739),5,FALSE)))))</f>
        <v/>
      </c>
      <c r="AN739" s="461" t="str">
        <f t="shared" si="394"/>
        <v/>
      </c>
      <c r="AO739" s="462" t="str">
        <f t="shared" si="395"/>
        <v/>
      </c>
      <c r="AP739" s="463" t="str">
        <f t="shared" si="396"/>
        <v/>
      </c>
      <c r="AQ739" s="464"/>
      <c r="AR739" s="619"/>
      <c r="AS739" s="465" t="str">
        <f t="shared" si="398"/>
        <v/>
      </c>
      <c r="AT739" s="465" t="str">
        <f t="shared" si="399"/>
        <v/>
      </c>
      <c r="AU739" s="466" t="str">
        <f t="shared" si="400"/>
        <v/>
      </c>
      <c r="AV739" s="467" t="str">
        <f t="shared" si="401"/>
        <v/>
      </c>
      <c r="AW739" s="467" t="str">
        <f t="shared" si="402"/>
        <v/>
      </c>
      <c r="AX739" s="467" t="str">
        <f t="shared" si="403"/>
        <v/>
      </c>
      <c r="AY739" s="467" t="str">
        <f t="shared" si="404"/>
        <v/>
      </c>
      <c r="AZ739" s="467" t="str">
        <f t="shared" si="405"/>
        <v/>
      </c>
      <c r="BA739" s="468" t="str">
        <f>IF(AS739="","",IF(OR(AU739="",AU739="-"),"－",IF(OR(AZ739=8,AZ739=9),"",IF(OR(AW739=3,AW739=4,AW739=5,AW739=6),VLOOKUP(AU739,INDEX((係数_バス貨物_ガソリン,係数_バス貨物_CNG,係数_バス貨物_軽油,係数_バス貨物_メタノール,係数_バス貨物_LPG),MATCH(AY739,【参考】排出係数!$AI$4:$AI$671,1),1,BE739):INDEX((係数_バス貨物_ガソリン,係数_バス貨物_CNG,係数_バス貨物_軽油,係数_バス貨物_メタノール,係数_バス貨物_LPG),MATCH(AY739+1,【参考】排出係数!$AI$4:$AI$671,1)-1,5,BE739),2,FALSE),IF(OR(AW739=1,AW739=2),VLOOKUP(AU739,INDEX((係数_乗用_ガソリン,係数_乗用_CNG,係数_乗用_軽油,係数_乗用_メタノール,係数_乗用_LPG),1,1,BE739):INDEX((係数_乗用_ガソリン,係数_乗用_CNG,係数_乗用_軽油,係数_乗用_メタノール,係数_乗用_LPG),125,5,BE739),2,FALSE))))))</f>
        <v/>
      </c>
      <c r="BB739" s="468" t="str">
        <f>IF(T739="","",IF(OR(AU739="",AU739="-"),"－",IF(OR(AZ739=8,AZ739=9),"",IF(OR(AW739=3,AW739=4,AW739=5,AW739=6),VLOOKUP(AU739,INDEX((係数_バス貨物_ガソリン,係数_バス貨物_CNG,係数_バス貨物_軽油,係数_バス貨物_メタノール,係数_バス貨物_LPG),MATCH(AY739,【参考】排出係数!$AI$4:$AI$671,1),1,BE739):INDEX((係数_バス貨物_ガソリン,係数_バス貨物_CNG,係数_バス貨物_軽油,係数_バス貨物_メタノール,係数_バス貨物_LPG),MATCH(AY739+1,【参考】排出係数!$AI$4:$AI$671,1)-1,5,BE739),3,FALSE),IF(OR(AW739=1,AW739=2),VLOOKUP(AU739,INDEX((係数_乗用_ガソリン,係数_乗用_CNG,係数_乗用_軽油,係数_乗用_メタノール,係数_乗用_LPG),1,1,BE739):INDEX((係数_乗用_ガソリン,係数_乗用_CNG,係数_乗用_軽油,係数_乗用_メタノール,係数_乗用_LPG),125,5,BE739),3,FALSE))))))</f>
        <v/>
      </c>
      <c r="BC739" s="467" t="str">
        <f t="shared" si="406"/>
        <v/>
      </c>
      <c r="BD739" s="567" t="str">
        <f t="shared" si="407"/>
        <v/>
      </c>
      <c r="BE739" s="467" t="str">
        <f t="shared" si="408"/>
        <v/>
      </c>
      <c r="BF739" s="469" t="str">
        <f t="shared" ca="1" si="409"/>
        <v/>
      </c>
      <c r="BG739" s="469" t="str">
        <f t="shared" ca="1" si="410"/>
        <v/>
      </c>
      <c r="BH739" s="467" t="str">
        <f t="shared" si="411"/>
        <v/>
      </c>
      <c r="BI739" s="467" t="str">
        <f t="shared" ca="1" si="412"/>
        <v/>
      </c>
      <c r="BJ739" s="469" t="str">
        <f t="shared" si="413"/>
        <v/>
      </c>
      <c r="BK739" s="470" t="str">
        <f t="shared" si="397"/>
        <v/>
      </c>
      <c r="BL739" s="775" t="str">
        <f t="shared" si="414"/>
        <v/>
      </c>
      <c r="BM739" s="775" t="str">
        <f t="shared" si="415"/>
        <v/>
      </c>
    </row>
    <row r="740" spans="1:65">
      <c r="A740" s="473">
        <v>684</v>
      </c>
      <c r="B740" s="132"/>
      <c r="C740" s="332"/>
      <c r="D740" s="333"/>
      <c r="E740" s="333"/>
      <c r="F740" s="334"/>
      <c r="G740" s="337"/>
      <c r="H740" s="131"/>
      <c r="I740" s="337"/>
      <c r="J740" s="131"/>
      <c r="K740" s="458" t="str">
        <f t="shared" si="384"/>
        <v/>
      </c>
      <c r="L740" s="458">
        <f t="shared" si="385"/>
        <v>0</v>
      </c>
      <c r="M740" s="458">
        <f t="shared" si="386"/>
        <v>0</v>
      </c>
      <c r="N740" s="459" t="str">
        <f t="shared" si="283"/>
        <v/>
      </c>
      <c r="O740" s="459" t="str">
        <f t="shared" si="284"/>
        <v/>
      </c>
      <c r="P740" s="459" t="str">
        <f t="shared" si="285"/>
        <v/>
      </c>
      <c r="Q740" s="459" t="str">
        <f t="shared" si="286"/>
        <v/>
      </c>
      <c r="R740" s="459" t="str">
        <f t="shared" si="287"/>
        <v/>
      </c>
      <c r="S740" s="459" t="str">
        <f t="shared" si="288"/>
        <v/>
      </c>
      <c r="T740" s="566" t="str">
        <f t="shared" si="387"/>
        <v/>
      </c>
      <c r="U740" s="702"/>
      <c r="V740" s="132"/>
      <c r="W740" s="133"/>
      <c r="X740" s="134"/>
      <c r="Y740" s="135"/>
      <c r="Z740" s="137"/>
      <c r="AA740" s="136"/>
      <c r="AB740" s="566" t="str">
        <f t="shared" si="388"/>
        <v/>
      </c>
      <c r="AC740" s="568" t="str">
        <f t="shared" si="389"/>
        <v/>
      </c>
      <c r="AD740" s="137"/>
      <c r="AE740" s="137"/>
      <c r="AF740" s="138"/>
      <c r="AG740" s="138"/>
      <c r="AH740" s="592" t="str">
        <f t="shared" si="390"/>
        <v/>
      </c>
      <c r="AI740" s="592" t="str">
        <f t="shared" si="391"/>
        <v/>
      </c>
      <c r="AJ740" s="592" t="str">
        <f t="shared" si="392"/>
        <v/>
      </c>
      <c r="AK740" s="460" t="str">
        <f>IF(AU740="","",IF(OR(AZ740=8,AZ740=9),0,IF(OR(AW740=3,AW740=4,AW740=5,AW740=6),IF(LEFT(BF740,1)="1",INDEX(係数_NOX・PM低減,MATCH(AY740,【参考】排出係数!$AI$801:$AI$804,1),1),VLOOKUP(AU740,INDEX((係数_バス貨物_ガソリン,係数_バス貨物_CNG,係数_バス貨物_軽油,係数_バス貨物_メタノール,係数_バス貨物_LPG),MATCH(AY740,【参考】排出係数!$AI$4:$AI$671,1),1,BE740):INDEX((係数_バス貨物_ガソリン,係数_バス貨物_CNG,係数_バス貨物_軽油,係数_バス貨物_メタノール,係数_バス貨物_LPG),MATCH(AY740+1,【参考】排出係数!$AI$4:$AI$671,1)-1,5,BE740),4,FALSE)),IF(AND(BE740=3,LEFT(BF740,1)="1"),0.48,VLOOKUP(AU740,INDEX((係数_乗用_ガソリン,係数_乗用_CNG,係数_乗用_軽油,係数_乗用_メタノール,係数_乗用_LPG),1,1,BE740):INDEX((係数_乗用_ガソリン,係数_乗用_CNG,係数_乗用_軽油,係数_乗用_メタノール,係数_乗用_LPG),125,5,BE740),4,FALSE)))))</f>
        <v/>
      </c>
      <c r="AL740" s="461" t="str">
        <f t="shared" si="393"/>
        <v/>
      </c>
      <c r="AM740" s="460" t="str">
        <f>IF(AU740="","",IF(OR(AZ740=8,AZ740=9),0,IF(OR(AW740=3,AW740=4,AW740=5,AW740=6),IF(LEFT(BH740,1)="1",INDEX(係数_PM低減,MATCH(AY740,【参考】排出係数!$AI$801:$AI$804,1),MATCH(BI740,【参考】排出係数!$AL$798:$AO$798,1)),VLOOKUP(AU740,INDEX((係数_バス貨物_ガソリン,係数_バス貨物_CNG,係数_バス貨物_軽油,係数_バス貨物_メタノール,係数_バス貨物_LPG),MATCH(AY740,【参考】排出係数!$AI$4:$AI$671,1),1,BE740):INDEX((係数_バス貨物_ガソリン,係数_バス貨物_CNG,係数_バス貨物_軽油,係数_バス貨物_メタノール,係数_バス貨物_LPG),MATCH(AY740+1,【参考】排出係数!$AI$4:$AI$671,1)-1,5,BE740),5,FALSE)),IF(AND(BE740=3,LEFT(BF740,1)="1"),0.055,VLOOKUP(AU740,INDEX((係数_乗用_ガソリン,係数_乗用_CNG,係数_乗用_軽油,係数_乗用_メタノール,係数_乗用_LPG),1,1,BE740):INDEX((係数_乗用_ガソリン,係数_乗用_CNG,係数_乗用_軽油,係数_乗用_メタノール,係数_乗用_LPG),125,5,BE740),5,FALSE)))))</f>
        <v/>
      </c>
      <c r="AN740" s="461" t="str">
        <f t="shared" si="394"/>
        <v/>
      </c>
      <c r="AO740" s="462" t="str">
        <f t="shared" si="395"/>
        <v/>
      </c>
      <c r="AP740" s="463" t="str">
        <f t="shared" si="396"/>
        <v/>
      </c>
      <c r="AQ740" s="464"/>
      <c r="AR740" s="619"/>
      <c r="AS740" s="465" t="str">
        <f t="shared" si="398"/>
        <v/>
      </c>
      <c r="AT740" s="465" t="str">
        <f t="shared" si="399"/>
        <v/>
      </c>
      <c r="AU740" s="466" t="str">
        <f t="shared" si="400"/>
        <v/>
      </c>
      <c r="AV740" s="467" t="str">
        <f t="shared" si="401"/>
        <v/>
      </c>
      <c r="AW740" s="467" t="str">
        <f t="shared" si="402"/>
        <v/>
      </c>
      <c r="AX740" s="467" t="str">
        <f t="shared" si="403"/>
        <v/>
      </c>
      <c r="AY740" s="467" t="str">
        <f t="shared" si="404"/>
        <v/>
      </c>
      <c r="AZ740" s="467" t="str">
        <f t="shared" si="405"/>
        <v/>
      </c>
      <c r="BA740" s="468" t="str">
        <f>IF(AS740="","",IF(OR(AU740="",AU740="-"),"－",IF(OR(AZ740=8,AZ740=9),"",IF(OR(AW740=3,AW740=4,AW740=5,AW740=6),VLOOKUP(AU740,INDEX((係数_バス貨物_ガソリン,係数_バス貨物_CNG,係数_バス貨物_軽油,係数_バス貨物_メタノール,係数_バス貨物_LPG),MATCH(AY740,【参考】排出係数!$AI$4:$AI$671,1),1,BE740):INDEX((係数_バス貨物_ガソリン,係数_バス貨物_CNG,係数_バス貨物_軽油,係数_バス貨物_メタノール,係数_バス貨物_LPG),MATCH(AY740+1,【参考】排出係数!$AI$4:$AI$671,1)-1,5,BE740),2,FALSE),IF(OR(AW740=1,AW740=2),VLOOKUP(AU740,INDEX((係数_乗用_ガソリン,係数_乗用_CNG,係数_乗用_軽油,係数_乗用_メタノール,係数_乗用_LPG),1,1,BE740):INDEX((係数_乗用_ガソリン,係数_乗用_CNG,係数_乗用_軽油,係数_乗用_メタノール,係数_乗用_LPG),125,5,BE740),2,FALSE))))))</f>
        <v/>
      </c>
      <c r="BB740" s="468" t="str">
        <f>IF(T740="","",IF(OR(AU740="",AU740="-"),"－",IF(OR(AZ740=8,AZ740=9),"",IF(OR(AW740=3,AW740=4,AW740=5,AW740=6),VLOOKUP(AU740,INDEX((係数_バス貨物_ガソリン,係数_バス貨物_CNG,係数_バス貨物_軽油,係数_バス貨物_メタノール,係数_バス貨物_LPG),MATCH(AY740,【参考】排出係数!$AI$4:$AI$671,1),1,BE740):INDEX((係数_バス貨物_ガソリン,係数_バス貨物_CNG,係数_バス貨物_軽油,係数_バス貨物_メタノール,係数_バス貨物_LPG),MATCH(AY740+1,【参考】排出係数!$AI$4:$AI$671,1)-1,5,BE740),3,FALSE),IF(OR(AW740=1,AW740=2),VLOOKUP(AU740,INDEX((係数_乗用_ガソリン,係数_乗用_CNG,係数_乗用_軽油,係数_乗用_メタノール,係数_乗用_LPG),1,1,BE740):INDEX((係数_乗用_ガソリン,係数_乗用_CNG,係数_乗用_軽油,係数_乗用_メタノール,係数_乗用_LPG),125,5,BE740),3,FALSE))))))</f>
        <v/>
      </c>
      <c r="BC740" s="467" t="str">
        <f t="shared" si="406"/>
        <v/>
      </c>
      <c r="BD740" s="567" t="str">
        <f t="shared" si="407"/>
        <v/>
      </c>
      <c r="BE740" s="467" t="str">
        <f t="shared" si="408"/>
        <v/>
      </c>
      <c r="BF740" s="469" t="str">
        <f t="shared" ca="1" si="409"/>
        <v/>
      </c>
      <c r="BG740" s="469" t="str">
        <f t="shared" ca="1" si="410"/>
        <v/>
      </c>
      <c r="BH740" s="467" t="str">
        <f t="shared" si="411"/>
        <v/>
      </c>
      <c r="BI740" s="467" t="str">
        <f t="shared" ca="1" si="412"/>
        <v/>
      </c>
      <c r="BJ740" s="469" t="str">
        <f t="shared" si="413"/>
        <v/>
      </c>
      <c r="BK740" s="470" t="str">
        <f t="shared" si="397"/>
        <v/>
      </c>
      <c r="BL740" s="775" t="str">
        <f t="shared" si="414"/>
        <v/>
      </c>
      <c r="BM740" s="775" t="str">
        <f t="shared" si="415"/>
        <v/>
      </c>
    </row>
    <row r="741" spans="1:65">
      <c r="A741" s="473">
        <v>685</v>
      </c>
      <c r="B741" s="132"/>
      <c r="C741" s="332"/>
      <c r="D741" s="333"/>
      <c r="E741" s="333"/>
      <c r="F741" s="334"/>
      <c r="G741" s="337"/>
      <c r="H741" s="131"/>
      <c r="I741" s="337"/>
      <c r="J741" s="131"/>
      <c r="K741" s="458" t="str">
        <f t="shared" si="384"/>
        <v/>
      </c>
      <c r="L741" s="458">
        <f t="shared" si="385"/>
        <v>0</v>
      </c>
      <c r="M741" s="458">
        <f t="shared" si="386"/>
        <v>0</v>
      </c>
      <c r="N741" s="459" t="str">
        <f t="shared" si="283"/>
        <v/>
      </c>
      <c r="O741" s="459" t="str">
        <f t="shared" si="284"/>
        <v/>
      </c>
      <c r="P741" s="459" t="str">
        <f t="shared" si="285"/>
        <v/>
      </c>
      <c r="Q741" s="459" t="str">
        <f t="shared" si="286"/>
        <v/>
      </c>
      <c r="R741" s="459" t="str">
        <f t="shared" si="287"/>
        <v/>
      </c>
      <c r="S741" s="459" t="str">
        <f t="shared" si="288"/>
        <v/>
      </c>
      <c r="T741" s="566" t="str">
        <f t="shared" si="387"/>
        <v/>
      </c>
      <c r="U741" s="702"/>
      <c r="V741" s="132"/>
      <c r="W741" s="133"/>
      <c r="X741" s="134"/>
      <c r="Y741" s="135"/>
      <c r="Z741" s="137"/>
      <c r="AA741" s="136"/>
      <c r="AB741" s="566" t="str">
        <f t="shared" si="388"/>
        <v/>
      </c>
      <c r="AC741" s="568" t="str">
        <f t="shared" si="389"/>
        <v/>
      </c>
      <c r="AD741" s="137"/>
      <c r="AE741" s="137"/>
      <c r="AF741" s="138"/>
      <c r="AG741" s="138"/>
      <c r="AH741" s="592" t="str">
        <f t="shared" si="390"/>
        <v/>
      </c>
      <c r="AI741" s="592" t="str">
        <f t="shared" si="391"/>
        <v/>
      </c>
      <c r="AJ741" s="592" t="str">
        <f t="shared" si="392"/>
        <v/>
      </c>
      <c r="AK741" s="460" t="str">
        <f>IF(AU741="","",IF(OR(AZ741=8,AZ741=9),0,IF(OR(AW741=3,AW741=4,AW741=5,AW741=6),IF(LEFT(BF741,1)="1",INDEX(係数_NOX・PM低減,MATCH(AY741,【参考】排出係数!$AI$801:$AI$804,1),1),VLOOKUP(AU741,INDEX((係数_バス貨物_ガソリン,係数_バス貨物_CNG,係数_バス貨物_軽油,係数_バス貨物_メタノール,係数_バス貨物_LPG),MATCH(AY741,【参考】排出係数!$AI$4:$AI$671,1),1,BE741):INDEX((係数_バス貨物_ガソリン,係数_バス貨物_CNG,係数_バス貨物_軽油,係数_バス貨物_メタノール,係数_バス貨物_LPG),MATCH(AY741+1,【参考】排出係数!$AI$4:$AI$671,1)-1,5,BE741),4,FALSE)),IF(AND(BE741=3,LEFT(BF741,1)="1"),0.48,VLOOKUP(AU741,INDEX((係数_乗用_ガソリン,係数_乗用_CNG,係数_乗用_軽油,係数_乗用_メタノール,係数_乗用_LPG),1,1,BE741):INDEX((係数_乗用_ガソリン,係数_乗用_CNG,係数_乗用_軽油,係数_乗用_メタノール,係数_乗用_LPG),125,5,BE741),4,FALSE)))))</f>
        <v/>
      </c>
      <c r="AL741" s="461" t="str">
        <f t="shared" si="393"/>
        <v/>
      </c>
      <c r="AM741" s="460" t="str">
        <f>IF(AU741="","",IF(OR(AZ741=8,AZ741=9),0,IF(OR(AW741=3,AW741=4,AW741=5,AW741=6),IF(LEFT(BH741,1)="1",INDEX(係数_PM低減,MATCH(AY741,【参考】排出係数!$AI$801:$AI$804,1),MATCH(BI741,【参考】排出係数!$AL$798:$AO$798,1)),VLOOKUP(AU741,INDEX((係数_バス貨物_ガソリン,係数_バス貨物_CNG,係数_バス貨物_軽油,係数_バス貨物_メタノール,係数_バス貨物_LPG),MATCH(AY741,【参考】排出係数!$AI$4:$AI$671,1),1,BE741):INDEX((係数_バス貨物_ガソリン,係数_バス貨物_CNG,係数_バス貨物_軽油,係数_バス貨物_メタノール,係数_バス貨物_LPG),MATCH(AY741+1,【参考】排出係数!$AI$4:$AI$671,1)-1,5,BE741),5,FALSE)),IF(AND(BE741=3,LEFT(BF741,1)="1"),0.055,VLOOKUP(AU741,INDEX((係数_乗用_ガソリン,係数_乗用_CNG,係数_乗用_軽油,係数_乗用_メタノール,係数_乗用_LPG),1,1,BE741):INDEX((係数_乗用_ガソリン,係数_乗用_CNG,係数_乗用_軽油,係数_乗用_メタノール,係数_乗用_LPG),125,5,BE741),5,FALSE)))))</f>
        <v/>
      </c>
      <c r="AN741" s="461" t="str">
        <f t="shared" si="394"/>
        <v/>
      </c>
      <c r="AO741" s="462" t="str">
        <f t="shared" si="395"/>
        <v/>
      </c>
      <c r="AP741" s="463" t="str">
        <f t="shared" si="396"/>
        <v/>
      </c>
      <c r="AQ741" s="464"/>
      <c r="AR741" s="619"/>
      <c r="AS741" s="465" t="str">
        <f t="shared" si="398"/>
        <v/>
      </c>
      <c r="AT741" s="465" t="str">
        <f t="shared" si="399"/>
        <v/>
      </c>
      <c r="AU741" s="466" t="str">
        <f t="shared" si="400"/>
        <v/>
      </c>
      <c r="AV741" s="467" t="str">
        <f t="shared" si="401"/>
        <v/>
      </c>
      <c r="AW741" s="467" t="str">
        <f t="shared" si="402"/>
        <v/>
      </c>
      <c r="AX741" s="467" t="str">
        <f t="shared" si="403"/>
        <v/>
      </c>
      <c r="AY741" s="467" t="str">
        <f t="shared" si="404"/>
        <v/>
      </c>
      <c r="AZ741" s="467" t="str">
        <f t="shared" si="405"/>
        <v/>
      </c>
      <c r="BA741" s="468" t="str">
        <f>IF(AS741="","",IF(OR(AU741="",AU741="-"),"－",IF(OR(AZ741=8,AZ741=9),"",IF(OR(AW741=3,AW741=4,AW741=5,AW741=6),VLOOKUP(AU741,INDEX((係数_バス貨物_ガソリン,係数_バス貨物_CNG,係数_バス貨物_軽油,係数_バス貨物_メタノール,係数_バス貨物_LPG),MATCH(AY741,【参考】排出係数!$AI$4:$AI$671,1),1,BE741):INDEX((係数_バス貨物_ガソリン,係数_バス貨物_CNG,係数_バス貨物_軽油,係数_バス貨物_メタノール,係数_バス貨物_LPG),MATCH(AY741+1,【参考】排出係数!$AI$4:$AI$671,1)-1,5,BE741),2,FALSE),IF(OR(AW741=1,AW741=2),VLOOKUP(AU741,INDEX((係数_乗用_ガソリン,係数_乗用_CNG,係数_乗用_軽油,係数_乗用_メタノール,係数_乗用_LPG),1,1,BE741):INDEX((係数_乗用_ガソリン,係数_乗用_CNG,係数_乗用_軽油,係数_乗用_メタノール,係数_乗用_LPG),125,5,BE741),2,FALSE))))))</f>
        <v/>
      </c>
      <c r="BB741" s="468" t="str">
        <f>IF(T741="","",IF(OR(AU741="",AU741="-"),"－",IF(OR(AZ741=8,AZ741=9),"",IF(OR(AW741=3,AW741=4,AW741=5,AW741=6),VLOOKUP(AU741,INDEX((係数_バス貨物_ガソリン,係数_バス貨物_CNG,係数_バス貨物_軽油,係数_バス貨物_メタノール,係数_バス貨物_LPG),MATCH(AY741,【参考】排出係数!$AI$4:$AI$671,1),1,BE741):INDEX((係数_バス貨物_ガソリン,係数_バス貨物_CNG,係数_バス貨物_軽油,係数_バス貨物_メタノール,係数_バス貨物_LPG),MATCH(AY741+1,【参考】排出係数!$AI$4:$AI$671,1)-1,5,BE741),3,FALSE),IF(OR(AW741=1,AW741=2),VLOOKUP(AU741,INDEX((係数_乗用_ガソリン,係数_乗用_CNG,係数_乗用_軽油,係数_乗用_メタノール,係数_乗用_LPG),1,1,BE741):INDEX((係数_乗用_ガソリン,係数_乗用_CNG,係数_乗用_軽油,係数_乗用_メタノール,係数_乗用_LPG),125,5,BE741),3,FALSE))))))</f>
        <v/>
      </c>
      <c r="BC741" s="467" t="str">
        <f t="shared" si="406"/>
        <v/>
      </c>
      <c r="BD741" s="567" t="str">
        <f t="shared" si="407"/>
        <v/>
      </c>
      <c r="BE741" s="467" t="str">
        <f t="shared" si="408"/>
        <v/>
      </c>
      <c r="BF741" s="469" t="str">
        <f t="shared" ca="1" si="409"/>
        <v/>
      </c>
      <c r="BG741" s="469" t="str">
        <f t="shared" ca="1" si="410"/>
        <v/>
      </c>
      <c r="BH741" s="467" t="str">
        <f t="shared" si="411"/>
        <v/>
      </c>
      <c r="BI741" s="467" t="str">
        <f t="shared" ca="1" si="412"/>
        <v/>
      </c>
      <c r="BJ741" s="469" t="str">
        <f t="shared" si="413"/>
        <v/>
      </c>
      <c r="BK741" s="470" t="str">
        <f t="shared" si="397"/>
        <v/>
      </c>
      <c r="BL741" s="775" t="str">
        <f t="shared" si="414"/>
        <v/>
      </c>
      <c r="BM741" s="775" t="str">
        <f t="shared" si="415"/>
        <v/>
      </c>
    </row>
    <row r="742" spans="1:65">
      <c r="A742" s="473">
        <v>686</v>
      </c>
      <c r="B742" s="132"/>
      <c r="C742" s="332"/>
      <c r="D742" s="333"/>
      <c r="E742" s="333"/>
      <c r="F742" s="334"/>
      <c r="G742" s="337"/>
      <c r="H742" s="131"/>
      <c r="I742" s="337"/>
      <c r="J742" s="131"/>
      <c r="K742" s="458" t="str">
        <f t="shared" si="384"/>
        <v/>
      </c>
      <c r="L742" s="458">
        <f t="shared" si="385"/>
        <v>0</v>
      </c>
      <c r="M742" s="458">
        <f t="shared" si="386"/>
        <v>0</v>
      </c>
      <c r="N742" s="459" t="str">
        <f t="shared" si="283"/>
        <v/>
      </c>
      <c r="O742" s="459" t="str">
        <f t="shared" si="284"/>
        <v/>
      </c>
      <c r="P742" s="459" t="str">
        <f t="shared" si="285"/>
        <v/>
      </c>
      <c r="Q742" s="459" t="str">
        <f t="shared" si="286"/>
        <v/>
      </c>
      <c r="R742" s="459" t="str">
        <f t="shared" si="287"/>
        <v/>
      </c>
      <c r="S742" s="459" t="str">
        <f t="shared" si="288"/>
        <v/>
      </c>
      <c r="T742" s="566" t="str">
        <f t="shared" si="387"/>
        <v/>
      </c>
      <c r="U742" s="702"/>
      <c r="V742" s="132"/>
      <c r="W742" s="133"/>
      <c r="X742" s="134"/>
      <c r="Y742" s="135"/>
      <c r="Z742" s="137"/>
      <c r="AA742" s="136"/>
      <c r="AB742" s="566" t="str">
        <f t="shared" si="388"/>
        <v/>
      </c>
      <c r="AC742" s="568" t="str">
        <f t="shared" si="389"/>
        <v/>
      </c>
      <c r="AD742" s="137"/>
      <c r="AE742" s="137"/>
      <c r="AF742" s="138"/>
      <c r="AG742" s="138"/>
      <c r="AH742" s="592" t="str">
        <f t="shared" si="390"/>
        <v/>
      </c>
      <c r="AI742" s="592" t="str">
        <f t="shared" si="391"/>
        <v/>
      </c>
      <c r="AJ742" s="592" t="str">
        <f t="shared" si="392"/>
        <v/>
      </c>
      <c r="AK742" s="460" t="str">
        <f>IF(AU742="","",IF(OR(AZ742=8,AZ742=9),0,IF(OR(AW742=3,AW742=4,AW742=5,AW742=6),IF(LEFT(BF742,1)="1",INDEX(係数_NOX・PM低減,MATCH(AY742,【参考】排出係数!$AI$801:$AI$804,1),1),VLOOKUP(AU742,INDEX((係数_バス貨物_ガソリン,係数_バス貨物_CNG,係数_バス貨物_軽油,係数_バス貨物_メタノール,係数_バス貨物_LPG),MATCH(AY742,【参考】排出係数!$AI$4:$AI$671,1),1,BE742):INDEX((係数_バス貨物_ガソリン,係数_バス貨物_CNG,係数_バス貨物_軽油,係数_バス貨物_メタノール,係数_バス貨物_LPG),MATCH(AY742+1,【参考】排出係数!$AI$4:$AI$671,1)-1,5,BE742),4,FALSE)),IF(AND(BE742=3,LEFT(BF742,1)="1"),0.48,VLOOKUP(AU742,INDEX((係数_乗用_ガソリン,係数_乗用_CNG,係数_乗用_軽油,係数_乗用_メタノール,係数_乗用_LPG),1,1,BE742):INDEX((係数_乗用_ガソリン,係数_乗用_CNG,係数_乗用_軽油,係数_乗用_メタノール,係数_乗用_LPG),125,5,BE742),4,FALSE)))))</f>
        <v/>
      </c>
      <c r="AL742" s="461" t="str">
        <f t="shared" si="393"/>
        <v/>
      </c>
      <c r="AM742" s="460" t="str">
        <f>IF(AU742="","",IF(OR(AZ742=8,AZ742=9),0,IF(OR(AW742=3,AW742=4,AW742=5,AW742=6),IF(LEFT(BH742,1)="1",INDEX(係数_PM低減,MATCH(AY742,【参考】排出係数!$AI$801:$AI$804,1),MATCH(BI742,【参考】排出係数!$AL$798:$AO$798,1)),VLOOKUP(AU742,INDEX((係数_バス貨物_ガソリン,係数_バス貨物_CNG,係数_バス貨物_軽油,係数_バス貨物_メタノール,係数_バス貨物_LPG),MATCH(AY742,【参考】排出係数!$AI$4:$AI$671,1),1,BE742):INDEX((係数_バス貨物_ガソリン,係数_バス貨物_CNG,係数_バス貨物_軽油,係数_バス貨物_メタノール,係数_バス貨物_LPG),MATCH(AY742+1,【参考】排出係数!$AI$4:$AI$671,1)-1,5,BE742),5,FALSE)),IF(AND(BE742=3,LEFT(BF742,1)="1"),0.055,VLOOKUP(AU742,INDEX((係数_乗用_ガソリン,係数_乗用_CNG,係数_乗用_軽油,係数_乗用_メタノール,係数_乗用_LPG),1,1,BE742):INDEX((係数_乗用_ガソリン,係数_乗用_CNG,係数_乗用_軽油,係数_乗用_メタノール,係数_乗用_LPG),125,5,BE742),5,FALSE)))))</f>
        <v/>
      </c>
      <c r="AN742" s="461" t="str">
        <f t="shared" si="394"/>
        <v/>
      </c>
      <c r="AO742" s="462" t="str">
        <f t="shared" si="395"/>
        <v/>
      </c>
      <c r="AP742" s="463" t="str">
        <f t="shared" si="396"/>
        <v/>
      </c>
      <c r="AQ742" s="464"/>
      <c r="AR742" s="619"/>
      <c r="AS742" s="465" t="str">
        <f t="shared" si="398"/>
        <v/>
      </c>
      <c r="AT742" s="465" t="str">
        <f t="shared" si="399"/>
        <v/>
      </c>
      <c r="AU742" s="466" t="str">
        <f t="shared" si="400"/>
        <v/>
      </c>
      <c r="AV742" s="467" t="str">
        <f t="shared" si="401"/>
        <v/>
      </c>
      <c r="AW742" s="467" t="str">
        <f t="shared" si="402"/>
        <v/>
      </c>
      <c r="AX742" s="467" t="str">
        <f t="shared" si="403"/>
        <v/>
      </c>
      <c r="AY742" s="467" t="str">
        <f t="shared" si="404"/>
        <v/>
      </c>
      <c r="AZ742" s="467" t="str">
        <f t="shared" si="405"/>
        <v/>
      </c>
      <c r="BA742" s="468" t="str">
        <f>IF(AS742="","",IF(OR(AU742="",AU742="-"),"－",IF(OR(AZ742=8,AZ742=9),"",IF(OR(AW742=3,AW742=4,AW742=5,AW742=6),VLOOKUP(AU742,INDEX((係数_バス貨物_ガソリン,係数_バス貨物_CNG,係数_バス貨物_軽油,係数_バス貨物_メタノール,係数_バス貨物_LPG),MATCH(AY742,【参考】排出係数!$AI$4:$AI$671,1),1,BE742):INDEX((係数_バス貨物_ガソリン,係数_バス貨物_CNG,係数_バス貨物_軽油,係数_バス貨物_メタノール,係数_バス貨物_LPG),MATCH(AY742+1,【参考】排出係数!$AI$4:$AI$671,1)-1,5,BE742),2,FALSE),IF(OR(AW742=1,AW742=2),VLOOKUP(AU742,INDEX((係数_乗用_ガソリン,係数_乗用_CNG,係数_乗用_軽油,係数_乗用_メタノール,係数_乗用_LPG),1,1,BE742):INDEX((係数_乗用_ガソリン,係数_乗用_CNG,係数_乗用_軽油,係数_乗用_メタノール,係数_乗用_LPG),125,5,BE742),2,FALSE))))))</f>
        <v/>
      </c>
      <c r="BB742" s="468" t="str">
        <f>IF(T742="","",IF(OR(AU742="",AU742="-"),"－",IF(OR(AZ742=8,AZ742=9),"",IF(OR(AW742=3,AW742=4,AW742=5,AW742=6),VLOOKUP(AU742,INDEX((係数_バス貨物_ガソリン,係数_バス貨物_CNG,係数_バス貨物_軽油,係数_バス貨物_メタノール,係数_バス貨物_LPG),MATCH(AY742,【参考】排出係数!$AI$4:$AI$671,1),1,BE742):INDEX((係数_バス貨物_ガソリン,係数_バス貨物_CNG,係数_バス貨物_軽油,係数_バス貨物_メタノール,係数_バス貨物_LPG),MATCH(AY742+1,【参考】排出係数!$AI$4:$AI$671,1)-1,5,BE742),3,FALSE),IF(OR(AW742=1,AW742=2),VLOOKUP(AU742,INDEX((係数_乗用_ガソリン,係数_乗用_CNG,係数_乗用_軽油,係数_乗用_メタノール,係数_乗用_LPG),1,1,BE742):INDEX((係数_乗用_ガソリン,係数_乗用_CNG,係数_乗用_軽油,係数_乗用_メタノール,係数_乗用_LPG),125,5,BE742),3,FALSE))))))</f>
        <v/>
      </c>
      <c r="BC742" s="467" t="str">
        <f t="shared" si="406"/>
        <v/>
      </c>
      <c r="BD742" s="567" t="str">
        <f t="shared" si="407"/>
        <v/>
      </c>
      <c r="BE742" s="467" t="str">
        <f t="shared" si="408"/>
        <v/>
      </c>
      <c r="BF742" s="469" t="str">
        <f t="shared" ca="1" si="409"/>
        <v/>
      </c>
      <c r="BG742" s="469" t="str">
        <f t="shared" ca="1" si="410"/>
        <v/>
      </c>
      <c r="BH742" s="467" t="str">
        <f t="shared" si="411"/>
        <v/>
      </c>
      <c r="BI742" s="467" t="str">
        <f t="shared" ca="1" si="412"/>
        <v/>
      </c>
      <c r="BJ742" s="469" t="str">
        <f t="shared" si="413"/>
        <v/>
      </c>
      <c r="BK742" s="470" t="str">
        <f t="shared" si="397"/>
        <v/>
      </c>
      <c r="BL742" s="775" t="str">
        <f t="shared" si="414"/>
        <v/>
      </c>
      <c r="BM742" s="775" t="str">
        <f t="shared" si="415"/>
        <v/>
      </c>
    </row>
    <row r="743" spans="1:65">
      <c r="A743" s="473">
        <v>687</v>
      </c>
      <c r="B743" s="132"/>
      <c r="C743" s="332"/>
      <c r="D743" s="333"/>
      <c r="E743" s="333"/>
      <c r="F743" s="334"/>
      <c r="G743" s="337"/>
      <c r="H743" s="131"/>
      <c r="I743" s="337"/>
      <c r="J743" s="131"/>
      <c r="K743" s="458" t="str">
        <f t="shared" si="384"/>
        <v/>
      </c>
      <c r="L743" s="458">
        <f t="shared" si="385"/>
        <v>0</v>
      </c>
      <c r="M743" s="458">
        <f t="shared" si="386"/>
        <v>0</v>
      </c>
      <c r="N743" s="459" t="str">
        <f t="shared" si="283"/>
        <v/>
      </c>
      <c r="O743" s="459" t="str">
        <f t="shared" si="284"/>
        <v/>
      </c>
      <c r="P743" s="459" t="str">
        <f t="shared" si="285"/>
        <v/>
      </c>
      <c r="Q743" s="459" t="str">
        <f t="shared" si="286"/>
        <v/>
      </c>
      <c r="R743" s="459" t="str">
        <f t="shared" si="287"/>
        <v/>
      </c>
      <c r="S743" s="459" t="str">
        <f t="shared" si="288"/>
        <v/>
      </c>
      <c r="T743" s="566" t="str">
        <f t="shared" si="387"/>
        <v/>
      </c>
      <c r="U743" s="702"/>
      <c r="V743" s="132"/>
      <c r="W743" s="133"/>
      <c r="X743" s="134"/>
      <c r="Y743" s="135"/>
      <c r="Z743" s="137"/>
      <c r="AA743" s="136"/>
      <c r="AB743" s="566" t="str">
        <f t="shared" si="388"/>
        <v/>
      </c>
      <c r="AC743" s="568" t="str">
        <f t="shared" si="389"/>
        <v/>
      </c>
      <c r="AD743" s="137"/>
      <c r="AE743" s="137"/>
      <c r="AF743" s="138"/>
      <c r="AG743" s="138"/>
      <c r="AH743" s="592" t="str">
        <f t="shared" si="390"/>
        <v/>
      </c>
      <c r="AI743" s="592" t="str">
        <f t="shared" si="391"/>
        <v/>
      </c>
      <c r="AJ743" s="592" t="str">
        <f t="shared" si="392"/>
        <v/>
      </c>
      <c r="AK743" s="460" t="str">
        <f>IF(AU743="","",IF(OR(AZ743=8,AZ743=9),0,IF(OR(AW743=3,AW743=4,AW743=5,AW743=6),IF(LEFT(BF743,1)="1",INDEX(係数_NOX・PM低減,MATCH(AY743,【参考】排出係数!$AI$801:$AI$804,1),1),VLOOKUP(AU743,INDEX((係数_バス貨物_ガソリン,係数_バス貨物_CNG,係数_バス貨物_軽油,係数_バス貨物_メタノール,係数_バス貨物_LPG),MATCH(AY743,【参考】排出係数!$AI$4:$AI$671,1),1,BE743):INDEX((係数_バス貨物_ガソリン,係数_バス貨物_CNG,係数_バス貨物_軽油,係数_バス貨物_メタノール,係数_バス貨物_LPG),MATCH(AY743+1,【参考】排出係数!$AI$4:$AI$671,1)-1,5,BE743),4,FALSE)),IF(AND(BE743=3,LEFT(BF743,1)="1"),0.48,VLOOKUP(AU743,INDEX((係数_乗用_ガソリン,係数_乗用_CNG,係数_乗用_軽油,係数_乗用_メタノール,係数_乗用_LPG),1,1,BE743):INDEX((係数_乗用_ガソリン,係数_乗用_CNG,係数_乗用_軽油,係数_乗用_メタノール,係数_乗用_LPG),125,5,BE743),4,FALSE)))))</f>
        <v/>
      </c>
      <c r="AL743" s="461" t="str">
        <f t="shared" si="393"/>
        <v/>
      </c>
      <c r="AM743" s="460" t="str">
        <f>IF(AU743="","",IF(OR(AZ743=8,AZ743=9),0,IF(OR(AW743=3,AW743=4,AW743=5,AW743=6),IF(LEFT(BH743,1)="1",INDEX(係数_PM低減,MATCH(AY743,【参考】排出係数!$AI$801:$AI$804,1),MATCH(BI743,【参考】排出係数!$AL$798:$AO$798,1)),VLOOKUP(AU743,INDEX((係数_バス貨物_ガソリン,係数_バス貨物_CNG,係数_バス貨物_軽油,係数_バス貨物_メタノール,係数_バス貨物_LPG),MATCH(AY743,【参考】排出係数!$AI$4:$AI$671,1),1,BE743):INDEX((係数_バス貨物_ガソリン,係数_バス貨物_CNG,係数_バス貨物_軽油,係数_バス貨物_メタノール,係数_バス貨物_LPG),MATCH(AY743+1,【参考】排出係数!$AI$4:$AI$671,1)-1,5,BE743),5,FALSE)),IF(AND(BE743=3,LEFT(BF743,1)="1"),0.055,VLOOKUP(AU743,INDEX((係数_乗用_ガソリン,係数_乗用_CNG,係数_乗用_軽油,係数_乗用_メタノール,係数_乗用_LPG),1,1,BE743):INDEX((係数_乗用_ガソリン,係数_乗用_CNG,係数_乗用_軽油,係数_乗用_メタノール,係数_乗用_LPG),125,5,BE743),5,FALSE)))))</f>
        <v/>
      </c>
      <c r="AN743" s="461" t="str">
        <f t="shared" si="394"/>
        <v/>
      </c>
      <c r="AO743" s="462" t="str">
        <f t="shared" si="395"/>
        <v/>
      </c>
      <c r="AP743" s="463" t="str">
        <f t="shared" si="396"/>
        <v/>
      </c>
      <c r="AQ743" s="464"/>
      <c r="AR743" s="619"/>
      <c r="AS743" s="465" t="str">
        <f t="shared" si="398"/>
        <v/>
      </c>
      <c r="AT743" s="465" t="str">
        <f t="shared" si="399"/>
        <v/>
      </c>
      <c r="AU743" s="466" t="str">
        <f t="shared" si="400"/>
        <v/>
      </c>
      <c r="AV743" s="467" t="str">
        <f t="shared" si="401"/>
        <v/>
      </c>
      <c r="AW743" s="467" t="str">
        <f t="shared" si="402"/>
        <v/>
      </c>
      <c r="AX743" s="467" t="str">
        <f t="shared" si="403"/>
        <v/>
      </c>
      <c r="AY743" s="467" t="str">
        <f t="shared" si="404"/>
        <v/>
      </c>
      <c r="AZ743" s="467" t="str">
        <f t="shared" si="405"/>
        <v/>
      </c>
      <c r="BA743" s="468" t="str">
        <f>IF(AS743="","",IF(OR(AU743="",AU743="-"),"－",IF(OR(AZ743=8,AZ743=9),"",IF(OR(AW743=3,AW743=4,AW743=5,AW743=6),VLOOKUP(AU743,INDEX((係数_バス貨物_ガソリン,係数_バス貨物_CNG,係数_バス貨物_軽油,係数_バス貨物_メタノール,係数_バス貨物_LPG),MATCH(AY743,【参考】排出係数!$AI$4:$AI$671,1),1,BE743):INDEX((係数_バス貨物_ガソリン,係数_バス貨物_CNG,係数_バス貨物_軽油,係数_バス貨物_メタノール,係数_バス貨物_LPG),MATCH(AY743+1,【参考】排出係数!$AI$4:$AI$671,1)-1,5,BE743),2,FALSE),IF(OR(AW743=1,AW743=2),VLOOKUP(AU743,INDEX((係数_乗用_ガソリン,係数_乗用_CNG,係数_乗用_軽油,係数_乗用_メタノール,係数_乗用_LPG),1,1,BE743):INDEX((係数_乗用_ガソリン,係数_乗用_CNG,係数_乗用_軽油,係数_乗用_メタノール,係数_乗用_LPG),125,5,BE743),2,FALSE))))))</f>
        <v/>
      </c>
      <c r="BB743" s="468" t="str">
        <f>IF(T743="","",IF(OR(AU743="",AU743="-"),"－",IF(OR(AZ743=8,AZ743=9),"",IF(OR(AW743=3,AW743=4,AW743=5,AW743=6),VLOOKUP(AU743,INDEX((係数_バス貨物_ガソリン,係数_バス貨物_CNG,係数_バス貨物_軽油,係数_バス貨物_メタノール,係数_バス貨物_LPG),MATCH(AY743,【参考】排出係数!$AI$4:$AI$671,1),1,BE743):INDEX((係数_バス貨物_ガソリン,係数_バス貨物_CNG,係数_バス貨物_軽油,係数_バス貨物_メタノール,係数_バス貨物_LPG),MATCH(AY743+1,【参考】排出係数!$AI$4:$AI$671,1)-1,5,BE743),3,FALSE),IF(OR(AW743=1,AW743=2),VLOOKUP(AU743,INDEX((係数_乗用_ガソリン,係数_乗用_CNG,係数_乗用_軽油,係数_乗用_メタノール,係数_乗用_LPG),1,1,BE743):INDEX((係数_乗用_ガソリン,係数_乗用_CNG,係数_乗用_軽油,係数_乗用_メタノール,係数_乗用_LPG),125,5,BE743),3,FALSE))))))</f>
        <v/>
      </c>
      <c r="BC743" s="467" t="str">
        <f t="shared" si="406"/>
        <v/>
      </c>
      <c r="BD743" s="567" t="str">
        <f t="shared" si="407"/>
        <v/>
      </c>
      <c r="BE743" s="467" t="str">
        <f t="shared" si="408"/>
        <v/>
      </c>
      <c r="BF743" s="469" t="str">
        <f t="shared" ca="1" si="409"/>
        <v/>
      </c>
      <c r="BG743" s="469" t="str">
        <f t="shared" ca="1" si="410"/>
        <v/>
      </c>
      <c r="BH743" s="467" t="str">
        <f t="shared" si="411"/>
        <v/>
      </c>
      <c r="BI743" s="467" t="str">
        <f t="shared" ca="1" si="412"/>
        <v/>
      </c>
      <c r="BJ743" s="469" t="str">
        <f t="shared" si="413"/>
        <v/>
      </c>
      <c r="BK743" s="470" t="str">
        <f t="shared" si="397"/>
        <v/>
      </c>
      <c r="BL743" s="775" t="str">
        <f t="shared" si="414"/>
        <v/>
      </c>
      <c r="BM743" s="775" t="str">
        <f t="shared" si="415"/>
        <v/>
      </c>
    </row>
    <row r="744" spans="1:65">
      <c r="A744" s="473">
        <v>688</v>
      </c>
      <c r="B744" s="132"/>
      <c r="C744" s="332"/>
      <c r="D744" s="333"/>
      <c r="E744" s="333"/>
      <c r="F744" s="334"/>
      <c r="G744" s="337"/>
      <c r="H744" s="131"/>
      <c r="I744" s="337"/>
      <c r="J744" s="131"/>
      <c r="K744" s="458" t="str">
        <f t="shared" si="384"/>
        <v/>
      </c>
      <c r="L744" s="458">
        <f t="shared" si="385"/>
        <v>0</v>
      </c>
      <c r="M744" s="458">
        <f t="shared" si="386"/>
        <v>0</v>
      </c>
      <c r="N744" s="459" t="str">
        <f t="shared" si="283"/>
        <v/>
      </c>
      <c r="O744" s="459" t="str">
        <f t="shared" si="284"/>
        <v/>
      </c>
      <c r="P744" s="459" t="str">
        <f t="shared" si="285"/>
        <v/>
      </c>
      <c r="Q744" s="459" t="str">
        <f t="shared" si="286"/>
        <v/>
      </c>
      <c r="R744" s="459" t="str">
        <f t="shared" si="287"/>
        <v/>
      </c>
      <c r="S744" s="459" t="str">
        <f t="shared" si="288"/>
        <v/>
      </c>
      <c r="T744" s="566" t="str">
        <f t="shared" si="387"/>
        <v/>
      </c>
      <c r="U744" s="702"/>
      <c r="V744" s="132"/>
      <c r="W744" s="133"/>
      <c r="X744" s="134"/>
      <c r="Y744" s="135"/>
      <c r="Z744" s="137"/>
      <c r="AA744" s="136"/>
      <c r="AB744" s="566" t="str">
        <f t="shared" si="388"/>
        <v/>
      </c>
      <c r="AC744" s="568" t="str">
        <f t="shared" si="389"/>
        <v/>
      </c>
      <c r="AD744" s="137"/>
      <c r="AE744" s="137"/>
      <c r="AF744" s="138"/>
      <c r="AG744" s="138"/>
      <c r="AH744" s="592" t="str">
        <f t="shared" si="390"/>
        <v/>
      </c>
      <c r="AI744" s="592" t="str">
        <f t="shared" si="391"/>
        <v/>
      </c>
      <c r="AJ744" s="592" t="str">
        <f t="shared" si="392"/>
        <v/>
      </c>
      <c r="AK744" s="460" t="str">
        <f>IF(AU744="","",IF(OR(AZ744=8,AZ744=9),0,IF(OR(AW744=3,AW744=4,AW744=5,AW744=6),IF(LEFT(BF744,1)="1",INDEX(係数_NOX・PM低減,MATCH(AY744,【参考】排出係数!$AI$801:$AI$804,1),1),VLOOKUP(AU744,INDEX((係数_バス貨物_ガソリン,係数_バス貨物_CNG,係数_バス貨物_軽油,係数_バス貨物_メタノール,係数_バス貨物_LPG),MATCH(AY744,【参考】排出係数!$AI$4:$AI$671,1),1,BE744):INDEX((係数_バス貨物_ガソリン,係数_バス貨物_CNG,係数_バス貨物_軽油,係数_バス貨物_メタノール,係数_バス貨物_LPG),MATCH(AY744+1,【参考】排出係数!$AI$4:$AI$671,1)-1,5,BE744),4,FALSE)),IF(AND(BE744=3,LEFT(BF744,1)="1"),0.48,VLOOKUP(AU744,INDEX((係数_乗用_ガソリン,係数_乗用_CNG,係数_乗用_軽油,係数_乗用_メタノール,係数_乗用_LPG),1,1,BE744):INDEX((係数_乗用_ガソリン,係数_乗用_CNG,係数_乗用_軽油,係数_乗用_メタノール,係数_乗用_LPG),125,5,BE744),4,FALSE)))))</f>
        <v/>
      </c>
      <c r="AL744" s="461" t="str">
        <f t="shared" si="393"/>
        <v/>
      </c>
      <c r="AM744" s="460" t="str">
        <f>IF(AU744="","",IF(OR(AZ744=8,AZ744=9),0,IF(OR(AW744=3,AW744=4,AW744=5,AW744=6),IF(LEFT(BH744,1)="1",INDEX(係数_PM低減,MATCH(AY744,【参考】排出係数!$AI$801:$AI$804,1),MATCH(BI744,【参考】排出係数!$AL$798:$AO$798,1)),VLOOKUP(AU744,INDEX((係数_バス貨物_ガソリン,係数_バス貨物_CNG,係数_バス貨物_軽油,係数_バス貨物_メタノール,係数_バス貨物_LPG),MATCH(AY744,【参考】排出係数!$AI$4:$AI$671,1),1,BE744):INDEX((係数_バス貨物_ガソリン,係数_バス貨物_CNG,係数_バス貨物_軽油,係数_バス貨物_メタノール,係数_バス貨物_LPG),MATCH(AY744+1,【参考】排出係数!$AI$4:$AI$671,1)-1,5,BE744),5,FALSE)),IF(AND(BE744=3,LEFT(BF744,1)="1"),0.055,VLOOKUP(AU744,INDEX((係数_乗用_ガソリン,係数_乗用_CNG,係数_乗用_軽油,係数_乗用_メタノール,係数_乗用_LPG),1,1,BE744):INDEX((係数_乗用_ガソリン,係数_乗用_CNG,係数_乗用_軽油,係数_乗用_メタノール,係数_乗用_LPG),125,5,BE744),5,FALSE)))))</f>
        <v/>
      </c>
      <c r="AN744" s="461" t="str">
        <f t="shared" si="394"/>
        <v/>
      </c>
      <c r="AO744" s="462" t="str">
        <f t="shared" si="395"/>
        <v/>
      </c>
      <c r="AP744" s="463" t="str">
        <f t="shared" si="396"/>
        <v/>
      </c>
      <c r="AQ744" s="464"/>
      <c r="AR744" s="619"/>
      <c r="AS744" s="465" t="str">
        <f t="shared" si="398"/>
        <v/>
      </c>
      <c r="AT744" s="465" t="str">
        <f t="shared" si="399"/>
        <v/>
      </c>
      <c r="AU744" s="466" t="str">
        <f t="shared" si="400"/>
        <v/>
      </c>
      <c r="AV744" s="467" t="str">
        <f t="shared" si="401"/>
        <v/>
      </c>
      <c r="AW744" s="467" t="str">
        <f t="shared" si="402"/>
        <v/>
      </c>
      <c r="AX744" s="467" t="str">
        <f t="shared" si="403"/>
        <v/>
      </c>
      <c r="AY744" s="467" t="str">
        <f t="shared" si="404"/>
        <v/>
      </c>
      <c r="AZ744" s="467" t="str">
        <f t="shared" si="405"/>
        <v/>
      </c>
      <c r="BA744" s="468" t="str">
        <f>IF(AS744="","",IF(OR(AU744="",AU744="-"),"－",IF(OR(AZ744=8,AZ744=9),"",IF(OR(AW744=3,AW744=4,AW744=5,AW744=6),VLOOKUP(AU744,INDEX((係数_バス貨物_ガソリン,係数_バス貨物_CNG,係数_バス貨物_軽油,係数_バス貨物_メタノール,係数_バス貨物_LPG),MATCH(AY744,【参考】排出係数!$AI$4:$AI$671,1),1,BE744):INDEX((係数_バス貨物_ガソリン,係数_バス貨物_CNG,係数_バス貨物_軽油,係数_バス貨物_メタノール,係数_バス貨物_LPG),MATCH(AY744+1,【参考】排出係数!$AI$4:$AI$671,1)-1,5,BE744),2,FALSE),IF(OR(AW744=1,AW744=2),VLOOKUP(AU744,INDEX((係数_乗用_ガソリン,係数_乗用_CNG,係数_乗用_軽油,係数_乗用_メタノール,係数_乗用_LPG),1,1,BE744):INDEX((係数_乗用_ガソリン,係数_乗用_CNG,係数_乗用_軽油,係数_乗用_メタノール,係数_乗用_LPG),125,5,BE744),2,FALSE))))))</f>
        <v/>
      </c>
      <c r="BB744" s="468" t="str">
        <f>IF(T744="","",IF(OR(AU744="",AU744="-"),"－",IF(OR(AZ744=8,AZ744=9),"",IF(OR(AW744=3,AW744=4,AW744=5,AW744=6),VLOOKUP(AU744,INDEX((係数_バス貨物_ガソリン,係数_バス貨物_CNG,係数_バス貨物_軽油,係数_バス貨物_メタノール,係数_バス貨物_LPG),MATCH(AY744,【参考】排出係数!$AI$4:$AI$671,1),1,BE744):INDEX((係数_バス貨物_ガソリン,係数_バス貨物_CNG,係数_バス貨物_軽油,係数_バス貨物_メタノール,係数_バス貨物_LPG),MATCH(AY744+1,【参考】排出係数!$AI$4:$AI$671,1)-1,5,BE744),3,FALSE),IF(OR(AW744=1,AW744=2),VLOOKUP(AU744,INDEX((係数_乗用_ガソリン,係数_乗用_CNG,係数_乗用_軽油,係数_乗用_メタノール,係数_乗用_LPG),1,1,BE744):INDEX((係数_乗用_ガソリン,係数_乗用_CNG,係数_乗用_軽油,係数_乗用_メタノール,係数_乗用_LPG),125,5,BE744),3,FALSE))))))</f>
        <v/>
      </c>
      <c r="BC744" s="467" t="str">
        <f t="shared" si="406"/>
        <v/>
      </c>
      <c r="BD744" s="567" t="str">
        <f t="shared" si="407"/>
        <v/>
      </c>
      <c r="BE744" s="467" t="str">
        <f t="shared" si="408"/>
        <v/>
      </c>
      <c r="BF744" s="469" t="str">
        <f t="shared" ca="1" si="409"/>
        <v/>
      </c>
      <c r="BG744" s="469" t="str">
        <f t="shared" ca="1" si="410"/>
        <v/>
      </c>
      <c r="BH744" s="467" t="str">
        <f t="shared" si="411"/>
        <v/>
      </c>
      <c r="BI744" s="467" t="str">
        <f t="shared" ca="1" si="412"/>
        <v/>
      </c>
      <c r="BJ744" s="469" t="str">
        <f t="shared" si="413"/>
        <v/>
      </c>
      <c r="BK744" s="470" t="str">
        <f t="shared" si="397"/>
        <v/>
      </c>
      <c r="BL744" s="775" t="str">
        <f t="shared" si="414"/>
        <v/>
      </c>
      <c r="BM744" s="775" t="str">
        <f t="shared" si="415"/>
        <v/>
      </c>
    </row>
    <row r="745" spans="1:65">
      <c r="A745" s="473">
        <v>689</v>
      </c>
      <c r="B745" s="132"/>
      <c r="C745" s="332"/>
      <c r="D745" s="333"/>
      <c r="E745" s="333"/>
      <c r="F745" s="334"/>
      <c r="G745" s="337"/>
      <c r="H745" s="131"/>
      <c r="I745" s="337"/>
      <c r="J745" s="131"/>
      <c r="K745" s="458" t="str">
        <f t="shared" si="384"/>
        <v/>
      </c>
      <c r="L745" s="458">
        <f t="shared" si="385"/>
        <v>0</v>
      </c>
      <c r="M745" s="458">
        <f t="shared" si="386"/>
        <v>0</v>
      </c>
      <c r="N745" s="459" t="str">
        <f t="shared" si="283"/>
        <v/>
      </c>
      <c r="O745" s="459" t="str">
        <f t="shared" si="284"/>
        <v/>
      </c>
      <c r="P745" s="459" t="str">
        <f t="shared" si="285"/>
        <v/>
      </c>
      <c r="Q745" s="459" t="str">
        <f t="shared" si="286"/>
        <v/>
      </c>
      <c r="R745" s="459" t="str">
        <f t="shared" si="287"/>
        <v/>
      </c>
      <c r="S745" s="459" t="str">
        <f t="shared" si="288"/>
        <v/>
      </c>
      <c r="T745" s="566" t="str">
        <f t="shared" si="387"/>
        <v/>
      </c>
      <c r="U745" s="702"/>
      <c r="V745" s="132"/>
      <c r="W745" s="133"/>
      <c r="X745" s="134"/>
      <c r="Y745" s="135"/>
      <c r="Z745" s="137"/>
      <c r="AA745" s="136"/>
      <c r="AB745" s="566" t="str">
        <f t="shared" si="388"/>
        <v/>
      </c>
      <c r="AC745" s="568" t="str">
        <f t="shared" si="389"/>
        <v/>
      </c>
      <c r="AD745" s="137"/>
      <c r="AE745" s="137"/>
      <c r="AF745" s="138"/>
      <c r="AG745" s="138"/>
      <c r="AH745" s="592" t="str">
        <f t="shared" si="390"/>
        <v/>
      </c>
      <c r="AI745" s="592" t="str">
        <f t="shared" si="391"/>
        <v/>
      </c>
      <c r="AJ745" s="592" t="str">
        <f t="shared" si="392"/>
        <v/>
      </c>
      <c r="AK745" s="460" t="str">
        <f>IF(AU745="","",IF(OR(AZ745=8,AZ745=9),0,IF(OR(AW745=3,AW745=4,AW745=5,AW745=6),IF(LEFT(BF745,1)="1",INDEX(係数_NOX・PM低減,MATCH(AY745,【参考】排出係数!$AI$801:$AI$804,1),1),VLOOKUP(AU745,INDEX((係数_バス貨物_ガソリン,係数_バス貨物_CNG,係数_バス貨物_軽油,係数_バス貨物_メタノール,係数_バス貨物_LPG),MATCH(AY745,【参考】排出係数!$AI$4:$AI$671,1),1,BE745):INDEX((係数_バス貨物_ガソリン,係数_バス貨物_CNG,係数_バス貨物_軽油,係数_バス貨物_メタノール,係数_バス貨物_LPG),MATCH(AY745+1,【参考】排出係数!$AI$4:$AI$671,1)-1,5,BE745),4,FALSE)),IF(AND(BE745=3,LEFT(BF745,1)="1"),0.48,VLOOKUP(AU745,INDEX((係数_乗用_ガソリン,係数_乗用_CNG,係数_乗用_軽油,係数_乗用_メタノール,係数_乗用_LPG),1,1,BE745):INDEX((係数_乗用_ガソリン,係数_乗用_CNG,係数_乗用_軽油,係数_乗用_メタノール,係数_乗用_LPG),125,5,BE745),4,FALSE)))))</f>
        <v/>
      </c>
      <c r="AL745" s="461" t="str">
        <f t="shared" si="393"/>
        <v/>
      </c>
      <c r="AM745" s="460" t="str">
        <f>IF(AU745="","",IF(OR(AZ745=8,AZ745=9),0,IF(OR(AW745=3,AW745=4,AW745=5,AW745=6),IF(LEFT(BH745,1)="1",INDEX(係数_PM低減,MATCH(AY745,【参考】排出係数!$AI$801:$AI$804,1),MATCH(BI745,【参考】排出係数!$AL$798:$AO$798,1)),VLOOKUP(AU745,INDEX((係数_バス貨物_ガソリン,係数_バス貨物_CNG,係数_バス貨物_軽油,係数_バス貨物_メタノール,係数_バス貨物_LPG),MATCH(AY745,【参考】排出係数!$AI$4:$AI$671,1),1,BE745):INDEX((係数_バス貨物_ガソリン,係数_バス貨物_CNG,係数_バス貨物_軽油,係数_バス貨物_メタノール,係数_バス貨物_LPG),MATCH(AY745+1,【参考】排出係数!$AI$4:$AI$671,1)-1,5,BE745),5,FALSE)),IF(AND(BE745=3,LEFT(BF745,1)="1"),0.055,VLOOKUP(AU745,INDEX((係数_乗用_ガソリン,係数_乗用_CNG,係数_乗用_軽油,係数_乗用_メタノール,係数_乗用_LPG),1,1,BE745):INDEX((係数_乗用_ガソリン,係数_乗用_CNG,係数_乗用_軽油,係数_乗用_メタノール,係数_乗用_LPG),125,5,BE745),5,FALSE)))))</f>
        <v/>
      </c>
      <c r="AN745" s="461" t="str">
        <f t="shared" si="394"/>
        <v/>
      </c>
      <c r="AO745" s="462" t="str">
        <f t="shared" si="395"/>
        <v/>
      </c>
      <c r="AP745" s="463" t="str">
        <f t="shared" si="396"/>
        <v/>
      </c>
      <c r="AQ745" s="464"/>
      <c r="AR745" s="619"/>
      <c r="AS745" s="465" t="str">
        <f t="shared" si="398"/>
        <v/>
      </c>
      <c r="AT745" s="465" t="str">
        <f t="shared" si="399"/>
        <v/>
      </c>
      <c r="AU745" s="466" t="str">
        <f t="shared" si="400"/>
        <v/>
      </c>
      <c r="AV745" s="467" t="str">
        <f t="shared" si="401"/>
        <v/>
      </c>
      <c r="AW745" s="467" t="str">
        <f t="shared" si="402"/>
        <v/>
      </c>
      <c r="AX745" s="467" t="str">
        <f t="shared" si="403"/>
        <v/>
      </c>
      <c r="AY745" s="467" t="str">
        <f t="shared" si="404"/>
        <v/>
      </c>
      <c r="AZ745" s="467" t="str">
        <f t="shared" si="405"/>
        <v/>
      </c>
      <c r="BA745" s="468" t="str">
        <f>IF(AS745="","",IF(OR(AU745="",AU745="-"),"－",IF(OR(AZ745=8,AZ745=9),"",IF(OR(AW745=3,AW745=4,AW745=5,AW745=6),VLOOKUP(AU745,INDEX((係数_バス貨物_ガソリン,係数_バス貨物_CNG,係数_バス貨物_軽油,係数_バス貨物_メタノール,係数_バス貨物_LPG),MATCH(AY745,【参考】排出係数!$AI$4:$AI$671,1),1,BE745):INDEX((係数_バス貨物_ガソリン,係数_バス貨物_CNG,係数_バス貨物_軽油,係数_バス貨物_メタノール,係数_バス貨物_LPG),MATCH(AY745+1,【参考】排出係数!$AI$4:$AI$671,1)-1,5,BE745),2,FALSE),IF(OR(AW745=1,AW745=2),VLOOKUP(AU745,INDEX((係数_乗用_ガソリン,係数_乗用_CNG,係数_乗用_軽油,係数_乗用_メタノール,係数_乗用_LPG),1,1,BE745):INDEX((係数_乗用_ガソリン,係数_乗用_CNG,係数_乗用_軽油,係数_乗用_メタノール,係数_乗用_LPG),125,5,BE745),2,FALSE))))))</f>
        <v/>
      </c>
      <c r="BB745" s="468" t="str">
        <f>IF(T745="","",IF(OR(AU745="",AU745="-"),"－",IF(OR(AZ745=8,AZ745=9),"",IF(OR(AW745=3,AW745=4,AW745=5,AW745=6),VLOOKUP(AU745,INDEX((係数_バス貨物_ガソリン,係数_バス貨物_CNG,係数_バス貨物_軽油,係数_バス貨物_メタノール,係数_バス貨物_LPG),MATCH(AY745,【参考】排出係数!$AI$4:$AI$671,1),1,BE745):INDEX((係数_バス貨物_ガソリン,係数_バス貨物_CNG,係数_バス貨物_軽油,係数_バス貨物_メタノール,係数_バス貨物_LPG),MATCH(AY745+1,【参考】排出係数!$AI$4:$AI$671,1)-1,5,BE745),3,FALSE),IF(OR(AW745=1,AW745=2),VLOOKUP(AU745,INDEX((係数_乗用_ガソリン,係数_乗用_CNG,係数_乗用_軽油,係数_乗用_メタノール,係数_乗用_LPG),1,1,BE745):INDEX((係数_乗用_ガソリン,係数_乗用_CNG,係数_乗用_軽油,係数_乗用_メタノール,係数_乗用_LPG),125,5,BE745),3,FALSE))))))</f>
        <v/>
      </c>
      <c r="BC745" s="467" t="str">
        <f t="shared" si="406"/>
        <v/>
      </c>
      <c r="BD745" s="567" t="str">
        <f t="shared" si="407"/>
        <v/>
      </c>
      <c r="BE745" s="467" t="str">
        <f t="shared" si="408"/>
        <v/>
      </c>
      <c r="BF745" s="469" t="str">
        <f t="shared" ca="1" si="409"/>
        <v/>
      </c>
      <c r="BG745" s="469" t="str">
        <f t="shared" ca="1" si="410"/>
        <v/>
      </c>
      <c r="BH745" s="467" t="str">
        <f t="shared" si="411"/>
        <v/>
      </c>
      <c r="BI745" s="467" t="str">
        <f t="shared" ca="1" si="412"/>
        <v/>
      </c>
      <c r="BJ745" s="469" t="str">
        <f t="shared" si="413"/>
        <v/>
      </c>
      <c r="BK745" s="470" t="str">
        <f t="shared" si="397"/>
        <v/>
      </c>
      <c r="BL745" s="775" t="str">
        <f t="shared" si="414"/>
        <v/>
      </c>
      <c r="BM745" s="775" t="str">
        <f t="shared" si="415"/>
        <v/>
      </c>
    </row>
    <row r="746" spans="1:65">
      <c r="A746" s="473">
        <v>690</v>
      </c>
      <c r="B746" s="132"/>
      <c r="C746" s="332"/>
      <c r="D746" s="333"/>
      <c r="E746" s="333"/>
      <c r="F746" s="334"/>
      <c r="G746" s="337"/>
      <c r="H746" s="131"/>
      <c r="I746" s="337"/>
      <c r="J746" s="131"/>
      <c r="K746" s="458" t="str">
        <f t="shared" si="384"/>
        <v/>
      </c>
      <c r="L746" s="458">
        <f t="shared" si="385"/>
        <v>0</v>
      </c>
      <c r="M746" s="458">
        <f t="shared" si="386"/>
        <v>0</v>
      </c>
      <c r="N746" s="459" t="str">
        <f t="shared" si="283"/>
        <v/>
      </c>
      <c r="O746" s="459" t="str">
        <f t="shared" si="284"/>
        <v/>
      </c>
      <c r="P746" s="459" t="str">
        <f t="shared" si="285"/>
        <v/>
      </c>
      <c r="Q746" s="459" t="str">
        <f t="shared" si="286"/>
        <v/>
      </c>
      <c r="R746" s="459" t="str">
        <f t="shared" si="287"/>
        <v/>
      </c>
      <c r="S746" s="459" t="str">
        <f t="shared" si="288"/>
        <v/>
      </c>
      <c r="T746" s="566" t="str">
        <f t="shared" si="387"/>
        <v/>
      </c>
      <c r="U746" s="702"/>
      <c r="V746" s="132"/>
      <c r="W746" s="133"/>
      <c r="X746" s="134"/>
      <c r="Y746" s="135"/>
      <c r="Z746" s="137"/>
      <c r="AA746" s="136"/>
      <c r="AB746" s="566" t="str">
        <f t="shared" si="388"/>
        <v/>
      </c>
      <c r="AC746" s="568" t="str">
        <f t="shared" si="389"/>
        <v/>
      </c>
      <c r="AD746" s="137"/>
      <c r="AE746" s="137"/>
      <c r="AF746" s="138"/>
      <c r="AG746" s="138"/>
      <c r="AH746" s="592" t="str">
        <f t="shared" si="390"/>
        <v/>
      </c>
      <c r="AI746" s="592" t="str">
        <f t="shared" si="391"/>
        <v/>
      </c>
      <c r="AJ746" s="592" t="str">
        <f t="shared" si="392"/>
        <v/>
      </c>
      <c r="AK746" s="460" t="str">
        <f>IF(AU746="","",IF(OR(AZ746=8,AZ746=9),0,IF(OR(AW746=3,AW746=4,AW746=5,AW746=6),IF(LEFT(BF746,1)="1",INDEX(係数_NOX・PM低減,MATCH(AY746,【参考】排出係数!$AI$801:$AI$804,1),1),VLOOKUP(AU746,INDEX((係数_バス貨物_ガソリン,係数_バス貨物_CNG,係数_バス貨物_軽油,係数_バス貨物_メタノール,係数_バス貨物_LPG),MATCH(AY746,【参考】排出係数!$AI$4:$AI$671,1),1,BE746):INDEX((係数_バス貨物_ガソリン,係数_バス貨物_CNG,係数_バス貨物_軽油,係数_バス貨物_メタノール,係数_バス貨物_LPG),MATCH(AY746+1,【参考】排出係数!$AI$4:$AI$671,1)-1,5,BE746),4,FALSE)),IF(AND(BE746=3,LEFT(BF746,1)="1"),0.48,VLOOKUP(AU746,INDEX((係数_乗用_ガソリン,係数_乗用_CNG,係数_乗用_軽油,係数_乗用_メタノール,係数_乗用_LPG),1,1,BE746):INDEX((係数_乗用_ガソリン,係数_乗用_CNG,係数_乗用_軽油,係数_乗用_メタノール,係数_乗用_LPG),125,5,BE746),4,FALSE)))))</f>
        <v/>
      </c>
      <c r="AL746" s="461" t="str">
        <f t="shared" si="393"/>
        <v/>
      </c>
      <c r="AM746" s="460" t="str">
        <f>IF(AU746="","",IF(OR(AZ746=8,AZ746=9),0,IF(OR(AW746=3,AW746=4,AW746=5,AW746=6),IF(LEFT(BH746,1)="1",INDEX(係数_PM低減,MATCH(AY746,【参考】排出係数!$AI$801:$AI$804,1),MATCH(BI746,【参考】排出係数!$AL$798:$AO$798,1)),VLOOKUP(AU746,INDEX((係数_バス貨物_ガソリン,係数_バス貨物_CNG,係数_バス貨物_軽油,係数_バス貨物_メタノール,係数_バス貨物_LPG),MATCH(AY746,【参考】排出係数!$AI$4:$AI$671,1),1,BE746):INDEX((係数_バス貨物_ガソリン,係数_バス貨物_CNG,係数_バス貨物_軽油,係数_バス貨物_メタノール,係数_バス貨物_LPG),MATCH(AY746+1,【参考】排出係数!$AI$4:$AI$671,1)-1,5,BE746),5,FALSE)),IF(AND(BE746=3,LEFT(BF746,1)="1"),0.055,VLOOKUP(AU746,INDEX((係数_乗用_ガソリン,係数_乗用_CNG,係数_乗用_軽油,係数_乗用_メタノール,係数_乗用_LPG),1,1,BE746):INDEX((係数_乗用_ガソリン,係数_乗用_CNG,係数_乗用_軽油,係数_乗用_メタノール,係数_乗用_LPG),125,5,BE746),5,FALSE)))))</f>
        <v/>
      </c>
      <c r="AN746" s="461" t="str">
        <f t="shared" si="394"/>
        <v/>
      </c>
      <c r="AO746" s="462" t="str">
        <f t="shared" si="395"/>
        <v/>
      </c>
      <c r="AP746" s="463" t="str">
        <f t="shared" si="396"/>
        <v/>
      </c>
      <c r="AQ746" s="464"/>
      <c r="AR746" s="619"/>
      <c r="AS746" s="465" t="str">
        <f t="shared" si="398"/>
        <v/>
      </c>
      <c r="AT746" s="465" t="str">
        <f t="shared" si="399"/>
        <v/>
      </c>
      <c r="AU746" s="466" t="str">
        <f t="shared" si="400"/>
        <v/>
      </c>
      <c r="AV746" s="467" t="str">
        <f t="shared" si="401"/>
        <v/>
      </c>
      <c r="AW746" s="467" t="str">
        <f t="shared" si="402"/>
        <v/>
      </c>
      <c r="AX746" s="467" t="str">
        <f t="shared" si="403"/>
        <v/>
      </c>
      <c r="AY746" s="467" t="str">
        <f t="shared" si="404"/>
        <v/>
      </c>
      <c r="AZ746" s="467" t="str">
        <f t="shared" si="405"/>
        <v/>
      </c>
      <c r="BA746" s="468" t="str">
        <f>IF(AS746="","",IF(OR(AU746="",AU746="-"),"－",IF(OR(AZ746=8,AZ746=9),"",IF(OR(AW746=3,AW746=4,AW746=5,AW746=6),VLOOKUP(AU746,INDEX((係数_バス貨物_ガソリン,係数_バス貨物_CNG,係数_バス貨物_軽油,係数_バス貨物_メタノール,係数_バス貨物_LPG),MATCH(AY746,【参考】排出係数!$AI$4:$AI$671,1),1,BE746):INDEX((係数_バス貨物_ガソリン,係数_バス貨物_CNG,係数_バス貨物_軽油,係数_バス貨物_メタノール,係数_バス貨物_LPG),MATCH(AY746+1,【参考】排出係数!$AI$4:$AI$671,1)-1,5,BE746),2,FALSE),IF(OR(AW746=1,AW746=2),VLOOKUP(AU746,INDEX((係数_乗用_ガソリン,係数_乗用_CNG,係数_乗用_軽油,係数_乗用_メタノール,係数_乗用_LPG),1,1,BE746):INDEX((係数_乗用_ガソリン,係数_乗用_CNG,係数_乗用_軽油,係数_乗用_メタノール,係数_乗用_LPG),125,5,BE746),2,FALSE))))))</f>
        <v/>
      </c>
      <c r="BB746" s="468" t="str">
        <f>IF(T746="","",IF(OR(AU746="",AU746="-"),"－",IF(OR(AZ746=8,AZ746=9),"",IF(OR(AW746=3,AW746=4,AW746=5,AW746=6),VLOOKUP(AU746,INDEX((係数_バス貨物_ガソリン,係数_バス貨物_CNG,係数_バス貨物_軽油,係数_バス貨物_メタノール,係数_バス貨物_LPG),MATCH(AY746,【参考】排出係数!$AI$4:$AI$671,1),1,BE746):INDEX((係数_バス貨物_ガソリン,係数_バス貨物_CNG,係数_バス貨物_軽油,係数_バス貨物_メタノール,係数_バス貨物_LPG),MATCH(AY746+1,【参考】排出係数!$AI$4:$AI$671,1)-1,5,BE746),3,FALSE),IF(OR(AW746=1,AW746=2),VLOOKUP(AU746,INDEX((係数_乗用_ガソリン,係数_乗用_CNG,係数_乗用_軽油,係数_乗用_メタノール,係数_乗用_LPG),1,1,BE746):INDEX((係数_乗用_ガソリン,係数_乗用_CNG,係数_乗用_軽油,係数_乗用_メタノール,係数_乗用_LPG),125,5,BE746),3,FALSE))))))</f>
        <v/>
      </c>
      <c r="BC746" s="467" t="str">
        <f t="shared" si="406"/>
        <v/>
      </c>
      <c r="BD746" s="567" t="str">
        <f t="shared" si="407"/>
        <v/>
      </c>
      <c r="BE746" s="467" t="str">
        <f t="shared" si="408"/>
        <v/>
      </c>
      <c r="BF746" s="469" t="str">
        <f t="shared" ca="1" si="409"/>
        <v/>
      </c>
      <c r="BG746" s="469" t="str">
        <f t="shared" ca="1" si="410"/>
        <v/>
      </c>
      <c r="BH746" s="467" t="str">
        <f t="shared" si="411"/>
        <v/>
      </c>
      <c r="BI746" s="467" t="str">
        <f t="shared" ca="1" si="412"/>
        <v/>
      </c>
      <c r="BJ746" s="469" t="str">
        <f t="shared" si="413"/>
        <v/>
      </c>
      <c r="BK746" s="470" t="str">
        <f t="shared" si="397"/>
        <v/>
      </c>
      <c r="BL746" s="775" t="str">
        <f t="shared" si="414"/>
        <v/>
      </c>
      <c r="BM746" s="775" t="str">
        <f t="shared" si="415"/>
        <v/>
      </c>
    </row>
    <row r="747" spans="1:65">
      <c r="A747" s="473">
        <v>691</v>
      </c>
      <c r="B747" s="132"/>
      <c r="C747" s="332"/>
      <c r="D747" s="333"/>
      <c r="E747" s="333"/>
      <c r="F747" s="334"/>
      <c r="G747" s="337"/>
      <c r="H747" s="131"/>
      <c r="I747" s="337"/>
      <c r="J747" s="131"/>
      <c r="K747" s="458" t="str">
        <f t="shared" si="384"/>
        <v/>
      </c>
      <c r="L747" s="458">
        <f t="shared" si="385"/>
        <v>0</v>
      </c>
      <c r="M747" s="458">
        <f t="shared" si="386"/>
        <v>0</v>
      </c>
      <c r="N747" s="459" t="str">
        <f t="shared" si="283"/>
        <v/>
      </c>
      <c r="O747" s="459" t="str">
        <f t="shared" si="284"/>
        <v/>
      </c>
      <c r="P747" s="459" t="str">
        <f t="shared" si="285"/>
        <v/>
      </c>
      <c r="Q747" s="459" t="str">
        <f t="shared" si="286"/>
        <v/>
      </c>
      <c r="R747" s="459" t="str">
        <f t="shared" si="287"/>
        <v/>
      </c>
      <c r="S747" s="459" t="str">
        <f t="shared" si="288"/>
        <v/>
      </c>
      <c r="T747" s="566" t="str">
        <f t="shared" si="387"/>
        <v/>
      </c>
      <c r="U747" s="702"/>
      <c r="V747" s="132"/>
      <c r="W747" s="133"/>
      <c r="X747" s="134"/>
      <c r="Y747" s="135"/>
      <c r="Z747" s="137"/>
      <c r="AA747" s="136"/>
      <c r="AB747" s="566" t="str">
        <f t="shared" si="388"/>
        <v/>
      </c>
      <c r="AC747" s="568" t="str">
        <f t="shared" si="389"/>
        <v/>
      </c>
      <c r="AD747" s="137"/>
      <c r="AE747" s="137"/>
      <c r="AF747" s="138"/>
      <c r="AG747" s="138"/>
      <c r="AH747" s="592" t="str">
        <f t="shared" si="390"/>
        <v/>
      </c>
      <c r="AI747" s="592" t="str">
        <f t="shared" si="391"/>
        <v/>
      </c>
      <c r="AJ747" s="592" t="str">
        <f t="shared" si="392"/>
        <v/>
      </c>
      <c r="AK747" s="460" t="str">
        <f>IF(AU747="","",IF(OR(AZ747=8,AZ747=9),0,IF(OR(AW747=3,AW747=4,AW747=5,AW747=6),IF(LEFT(BF747,1)="1",INDEX(係数_NOX・PM低減,MATCH(AY747,【参考】排出係数!$AI$801:$AI$804,1),1),VLOOKUP(AU747,INDEX((係数_バス貨物_ガソリン,係数_バス貨物_CNG,係数_バス貨物_軽油,係数_バス貨物_メタノール,係数_バス貨物_LPG),MATCH(AY747,【参考】排出係数!$AI$4:$AI$671,1),1,BE747):INDEX((係数_バス貨物_ガソリン,係数_バス貨物_CNG,係数_バス貨物_軽油,係数_バス貨物_メタノール,係数_バス貨物_LPG),MATCH(AY747+1,【参考】排出係数!$AI$4:$AI$671,1)-1,5,BE747),4,FALSE)),IF(AND(BE747=3,LEFT(BF747,1)="1"),0.48,VLOOKUP(AU747,INDEX((係数_乗用_ガソリン,係数_乗用_CNG,係数_乗用_軽油,係数_乗用_メタノール,係数_乗用_LPG),1,1,BE747):INDEX((係数_乗用_ガソリン,係数_乗用_CNG,係数_乗用_軽油,係数_乗用_メタノール,係数_乗用_LPG),125,5,BE747),4,FALSE)))))</f>
        <v/>
      </c>
      <c r="AL747" s="461" t="str">
        <f t="shared" si="393"/>
        <v/>
      </c>
      <c r="AM747" s="460" t="str">
        <f>IF(AU747="","",IF(OR(AZ747=8,AZ747=9),0,IF(OR(AW747=3,AW747=4,AW747=5,AW747=6),IF(LEFT(BH747,1)="1",INDEX(係数_PM低減,MATCH(AY747,【参考】排出係数!$AI$801:$AI$804,1),MATCH(BI747,【参考】排出係数!$AL$798:$AO$798,1)),VLOOKUP(AU747,INDEX((係数_バス貨物_ガソリン,係数_バス貨物_CNG,係数_バス貨物_軽油,係数_バス貨物_メタノール,係数_バス貨物_LPG),MATCH(AY747,【参考】排出係数!$AI$4:$AI$671,1),1,BE747):INDEX((係数_バス貨物_ガソリン,係数_バス貨物_CNG,係数_バス貨物_軽油,係数_バス貨物_メタノール,係数_バス貨物_LPG),MATCH(AY747+1,【参考】排出係数!$AI$4:$AI$671,1)-1,5,BE747),5,FALSE)),IF(AND(BE747=3,LEFT(BF747,1)="1"),0.055,VLOOKUP(AU747,INDEX((係数_乗用_ガソリン,係数_乗用_CNG,係数_乗用_軽油,係数_乗用_メタノール,係数_乗用_LPG),1,1,BE747):INDEX((係数_乗用_ガソリン,係数_乗用_CNG,係数_乗用_軽油,係数_乗用_メタノール,係数_乗用_LPG),125,5,BE747),5,FALSE)))))</f>
        <v/>
      </c>
      <c r="AN747" s="461" t="str">
        <f t="shared" si="394"/>
        <v/>
      </c>
      <c r="AO747" s="462" t="str">
        <f t="shared" si="395"/>
        <v/>
      </c>
      <c r="AP747" s="463" t="str">
        <f t="shared" si="396"/>
        <v/>
      </c>
      <c r="AQ747" s="464"/>
      <c r="AR747" s="619"/>
      <c r="AS747" s="465" t="str">
        <f t="shared" si="398"/>
        <v/>
      </c>
      <c r="AT747" s="465" t="str">
        <f t="shared" si="399"/>
        <v/>
      </c>
      <c r="AU747" s="466" t="str">
        <f t="shared" si="400"/>
        <v/>
      </c>
      <c r="AV747" s="467" t="str">
        <f t="shared" si="401"/>
        <v/>
      </c>
      <c r="AW747" s="467" t="str">
        <f t="shared" si="402"/>
        <v/>
      </c>
      <c r="AX747" s="467" t="str">
        <f t="shared" si="403"/>
        <v/>
      </c>
      <c r="AY747" s="467" t="str">
        <f t="shared" si="404"/>
        <v/>
      </c>
      <c r="AZ747" s="467" t="str">
        <f t="shared" si="405"/>
        <v/>
      </c>
      <c r="BA747" s="468" t="str">
        <f>IF(AS747="","",IF(OR(AU747="",AU747="-"),"－",IF(OR(AZ747=8,AZ747=9),"",IF(OR(AW747=3,AW747=4,AW747=5,AW747=6),VLOOKUP(AU747,INDEX((係数_バス貨物_ガソリン,係数_バス貨物_CNG,係数_バス貨物_軽油,係数_バス貨物_メタノール,係数_バス貨物_LPG),MATCH(AY747,【参考】排出係数!$AI$4:$AI$671,1),1,BE747):INDEX((係数_バス貨物_ガソリン,係数_バス貨物_CNG,係数_バス貨物_軽油,係数_バス貨物_メタノール,係数_バス貨物_LPG),MATCH(AY747+1,【参考】排出係数!$AI$4:$AI$671,1)-1,5,BE747),2,FALSE),IF(OR(AW747=1,AW747=2),VLOOKUP(AU747,INDEX((係数_乗用_ガソリン,係数_乗用_CNG,係数_乗用_軽油,係数_乗用_メタノール,係数_乗用_LPG),1,1,BE747):INDEX((係数_乗用_ガソリン,係数_乗用_CNG,係数_乗用_軽油,係数_乗用_メタノール,係数_乗用_LPG),125,5,BE747),2,FALSE))))))</f>
        <v/>
      </c>
      <c r="BB747" s="468" t="str">
        <f>IF(T747="","",IF(OR(AU747="",AU747="-"),"－",IF(OR(AZ747=8,AZ747=9),"",IF(OR(AW747=3,AW747=4,AW747=5,AW747=6),VLOOKUP(AU747,INDEX((係数_バス貨物_ガソリン,係数_バス貨物_CNG,係数_バス貨物_軽油,係数_バス貨物_メタノール,係数_バス貨物_LPG),MATCH(AY747,【参考】排出係数!$AI$4:$AI$671,1),1,BE747):INDEX((係数_バス貨物_ガソリン,係数_バス貨物_CNG,係数_バス貨物_軽油,係数_バス貨物_メタノール,係数_バス貨物_LPG),MATCH(AY747+1,【参考】排出係数!$AI$4:$AI$671,1)-1,5,BE747),3,FALSE),IF(OR(AW747=1,AW747=2),VLOOKUP(AU747,INDEX((係数_乗用_ガソリン,係数_乗用_CNG,係数_乗用_軽油,係数_乗用_メタノール,係数_乗用_LPG),1,1,BE747):INDEX((係数_乗用_ガソリン,係数_乗用_CNG,係数_乗用_軽油,係数_乗用_メタノール,係数_乗用_LPG),125,5,BE747),3,FALSE))))))</f>
        <v/>
      </c>
      <c r="BC747" s="467" t="str">
        <f t="shared" si="406"/>
        <v/>
      </c>
      <c r="BD747" s="567" t="str">
        <f t="shared" si="407"/>
        <v/>
      </c>
      <c r="BE747" s="467" t="str">
        <f t="shared" si="408"/>
        <v/>
      </c>
      <c r="BF747" s="469" t="str">
        <f t="shared" ca="1" si="409"/>
        <v/>
      </c>
      <c r="BG747" s="469" t="str">
        <f t="shared" ca="1" si="410"/>
        <v/>
      </c>
      <c r="BH747" s="467" t="str">
        <f t="shared" si="411"/>
        <v/>
      </c>
      <c r="BI747" s="467" t="str">
        <f t="shared" ca="1" si="412"/>
        <v/>
      </c>
      <c r="BJ747" s="469" t="str">
        <f t="shared" si="413"/>
        <v/>
      </c>
      <c r="BK747" s="470" t="str">
        <f t="shared" si="397"/>
        <v/>
      </c>
      <c r="BL747" s="775" t="str">
        <f t="shared" si="414"/>
        <v/>
      </c>
      <c r="BM747" s="775" t="str">
        <f t="shared" si="415"/>
        <v/>
      </c>
    </row>
    <row r="748" spans="1:65">
      <c r="A748" s="473">
        <v>692</v>
      </c>
      <c r="B748" s="132"/>
      <c r="C748" s="332"/>
      <c r="D748" s="333"/>
      <c r="E748" s="333"/>
      <c r="F748" s="334"/>
      <c r="G748" s="337"/>
      <c r="H748" s="131"/>
      <c r="I748" s="337"/>
      <c r="J748" s="131"/>
      <c r="K748" s="458" t="str">
        <f t="shared" ref="K748:K811" si="416">C748&amp;D748&amp;E748&amp;F748</f>
        <v/>
      </c>
      <c r="L748" s="458">
        <f t="shared" ref="L748:L811" si="417">IF(G748&gt;0,DATE((G748),(H748+1),0),0)</f>
        <v>0</v>
      </c>
      <c r="M748" s="458">
        <f t="shared" ref="M748:M811" si="418">IF(I748&gt;0,DATE((I748),(J748+1),0),0)</f>
        <v>0</v>
      </c>
      <c r="N748" s="459" t="str">
        <f t="shared" si="283"/>
        <v/>
      </c>
      <c r="O748" s="459" t="str">
        <f t="shared" si="284"/>
        <v/>
      </c>
      <c r="P748" s="459" t="str">
        <f t="shared" si="285"/>
        <v/>
      </c>
      <c r="Q748" s="459" t="str">
        <f t="shared" si="286"/>
        <v/>
      </c>
      <c r="R748" s="459" t="str">
        <f t="shared" si="287"/>
        <v/>
      </c>
      <c r="S748" s="459" t="str">
        <f t="shared" si="288"/>
        <v/>
      </c>
      <c r="T748" s="566" t="str">
        <f t="shared" ref="T748:T811" si="419">N748&amp;O748&amp;P748&amp;Q748&amp;R748&amp;S748</f>
        <v/>
      </c>
      <c r="U748" s="702"/>
      <c r="V748" s="132"/>
      <c r="W748" s="133"/>
      <c r="X748" s="134"/>
      <c r="Y748" s="135"/>
      <c r="Z748" s="137"/>
      <c r="AA748" s="136"/>
      <c r="AB748" s="566" t="str">
        <f t="shared" ref="AB748:AB811" si="420">IF(AS748="","",IF(AZ748=1,VLOOKUP(BA748,低公害車判別,2,FALSE),IF(AZ748=3,VLOOKUP(BA748,低公害車判別,2,FALSE),IF(AZ748=4,VLOOKUP(BB748,低公害車判別,2,FALSE),"低公害車"))))</f>
        <v/>
      </c>
      <c r="AC748" s="568" t="str">
        <f t="shared" ref="AC748:AC811" si="421">IF(AS748="","",IF((BA748="")+(BA748="－"),IF((BB748="")+(BB748=0),"－",BB748),IF((BA748="PM☆☆☆")+(BA748="☆及びPM☆☆☆")+(BA748="☆☆及びPM☆☆☆")+(BA748="☆☆☆及びPM☆☆☆"),"PM☆☆☆",IF((BA748="PM☆☆☆☆")+(BA748="☆及びPM☆☆☆☆")+(BA748="☆☆及びPM☆☆☆☆")+(BA748="☆☆☆及びPM☆☆☆☆"),"PM☆☆☆☆",IF((BA748="新☆")+(BA748="新NOx☆")+(BA748="新PM☆"),"新☆（新長期）",BA748)))))</f>
        <v/>
      </c>
      <c r="AD748" s="137"/>
      <c r="AE748" s="137"/>
      <c r="AF748" s="138"/>
      <c r="AG748" s="138"/>
      <c r="AH748" s="592" t="str">
        <f t="shared" ref="AH748:AH811" si="422">IF(C748="","",IF(LEFT(C748,2)="横浜","○",""))</f>
        <v/>
      </c>
      <c r="AI748" s="592" t="str">
        <f t="shared" ref="AI748:AI811" si="423">IF(C748="","",IF(LEFT(C748,2)="川崎","○",""))</f>
        <v/>
      </c>
      <c r="AJ748" s="592" t="str">
        <f t="shared" ref="AJ748:AJ811" si="424">IF(C748="","",IF(OR(AH748="○",AI748="○"),"","○"))</f>
        <v/>
      </c>
      <c r="AK748" s="460" t="str">
        <f>IF(AU748="","",IF(OR(AZ748=8,AZ748=9),0,IF(OR(AW748=3,AW748=4,AW748=5,AW748=6),IF(LEFT(BF748,1)="1",INDEX(係数_NOX・PM低減,MATCH(AY748,【参考】排出係数!$AI$801:$AI$804,1),1),VLOOKUP(AU748,INDEX((係数_バス貨物_ガソリン,係数_バス貨物_CNG,係数_バス貨物_軽油,係数_バス貨物_メタノール,係数_バス貨物_LPG),MATCH(AY748,【参考】排出係数!$AI$4:$AI$671,1),1,BE748):INDEX((係数_バス貨物_ガソリン,係数_バス貨物_CNG,係数_バス貨物_軽油,係数_バス貨物_メタノール,係数_バス貨物_LPG),MATCH(AY748+1,【参考】排出係数!$AI$4:$AI$671,1)-1,5,BE748),4,FALSE)),IF(AND(BE748=3,LEFT(BF748,1)="1"),0.48,VLOOKUP(AU748,INDEX((係数_乗用_ガソリン,係数_乗用_CNG,係数_乗用_軽油,係数_乗用_メタノール,係数_乗用_LPG),1,1,BE748):INDEX((係数_乗用_ガソリン,係数_乗用_CNG,係数_乗用_軽油,係数_乗用_メタノール,係数_乗用_LPG),125,5,BE748),4,FALSE)))))</f>
        <v/>
      </c>
      <c r="AL748" s="461" t="str">
        <f t="shared" ref="AL748:AL811" si="425">IF(AU748="","",IF(Z748&lt;=3.5*1000,AD748*AK748/1000,IF(Z748&gt;3.5*1000,AD748*Z748*AK748/1000/1000)))</f>
        <v/>
      </c>
      <c r="AM748" s="460" t="str">
        <f>IF(AU748="","",IF(OR(AZ748=8,AZ748=9),0,IF(OR(AW748=3,AW748=4,AW748=5,AW748=6),IF(LEFT(BH748,1)="1",INDEX(係数_PM低減,MATCH(AY748,【参考】排出係数!$AI$801:$AI$804,1),MATCH(BI748,【参考】排出係数!$AL$798:$AO$798,1)),VLOOKUP(AU748,INDEX((係数_バス貨物_ガソリン,係数_バス貨物_CNG,係数_バス貨物_軽油,係数_バス貨物_メタノール,係数_バス貨物_LPG),MATCH(AY748,【参考】排出係数!$AI$4:$AI$671,1),1,BE748):INDEX((係数_バス貨物_ガソリン,係数_バス貨物_CNG,係数_バス貨物_軽油,係数_バス貨物_メタノール,係数_バス貨物_LPG),MATCH(AY748+1,【参考】排出係数!$AI$4:$AI$671,1)-1,5,BE748),5,FALSE)),IF(AND(BE748=3,LEFT(BF748,1)="1"),0.055,VLOOKUP(AU748,INDEX((係数_乗用_ガソリン,係数_乗用_CNG,係数_乗用_軽油,係数_乗用_メタノール,係数_乗用_LPG),1,1,BE748):INDEX((係数_乗用_ガソリン,係数_乗用_CNG,係数_乗用_軽油,係数_乗用_メタノール,係数_乗用_LPG),125,5,BE748),5,FALSE)))))</f>
        <v/>
      </c>
      <c r="AN748" s="461" t="str">
        <f t="shared" ref="AN748:AN811" si="426">IF(AU748="","",IF(Z748&lt;=3.5*1000,AD748*AM748/1000,IF(Z748&gt;3.5*1000,AD748*Z748*AM748/1000/1000)))</f>
        <v/>
      </c>
      <c r="AO748" s="462" t="str">
        <f t="shared" ref="AO748:AO811" si="427">IF(AU748="","",IF(Z748&lt;500,"車両重量",IF(OR(AZ748=8,AZ748=9),0,IF(OR(AZ748=1,AZ748=2,AZ748=11),2.32,IF(OR(AZ748=4,AZ748=5,AZ748=11),2.58,IF(AZ748=3,3,IF(AZ748=6,2.23,IF(AZ748=7,1.37,0))))))))</f>
        <v/>
      </c>
      <c r="AP748" s="463" t="str">
        <f t="shared" ref="AP748:AP811" si="428">IF(AU748="","",AE748*AO748/1000)</f>
        <v/>
      </c>
      <c r="AQ748" s="464"/>
      <c r="AR748" s="619"/>
      <c r="AS748" s="465" t="str">
        <f t="shared" si="398"/>
        <v/>
      </c>
      <c r="AT748" s="465" t="str">
        <f t="shared" si="399"/>
        <v/>
      </c>
      <c r="AU748" s="466" t="str">
        <f t="shared" si="400"/>
        <v/>
      </c>
      <c r="AV748" s="467" t="str">
        <f t="shared" si="401"/>
        <v/>
      </c>
      <c r="AW748" s="467" t="str">
        <f t="shared" si="402"/>
        <v/>
      </c>
      <c r="AX748" s="467" t="str">
        <f t="shared" si="403"/>
        <v/>
      </c>
      <c r="AY748" s="467" t="str">
        <f t="shared" si="404"/>
        <v/>
      </c>
      <c r="AZ748" s="467" t="str">
        <f t="shared" si="405"/>
        <v/>
      </c>
      <c r="BA748" s="468" t="str">
        <f>IF(AS748="","",IF(OR(AU748="",AU748="-"),"－",IF(OR(AZ748=8,AZ748=9),"",IF(OR(AW748=3,AW748=4,AW748=5,AW748=6),VLOOKUP(AU748,INDEX((係数_バス貨物_ガソリン,係数_バス貨物_CNG,係数_バス貨物_軽油,係数_バス貨物_メタノール,係数_バス貨物_LPG),MATCH(AY748,【参考】排出係数!$AI$4:$AI$671,1),1,BE748):INDEX((係数_バス貨物_ガソリン,係数_バス貨物_CNG,係数_バス貨物_軽油,係数_バス貨物_メタノール,係数_バス貨物_LPG),MATCH(AY748+1,【参考】排出係数!$AI$4:$AI$671,1)-1,5,BE748),2,FALSE),IF(OR(AW748=1,AW748=2),VLOOKUP(AU748,INDEX((係数_乗用_ガソリン,係数_乗用_CNG,係数_乗用_軽油,係数_乗用_メタノール,係数_乗用_LPG),1,1,BE748):INDEX((係数_乗用_ガソリン,係数_乗用_CNG,係数_乗用_軽油,係数_乗用_メタノール,係数_乗用_LPG),125,5,BE748),2,FALSE))))))</f>
        <v/>
      </c>
      <c r="BB748" s="468" t="str">
        <f>IF(T748="","",IF(OR(AU748="",AU748="-"),"－",IF(OR(AZ748=8,AZ748=9),"",IF(OR(AW748=3,AW748=4,AW748=5,AW748=6),VLOOKUP(AU748,INDEX((係数_バス貨物_ガソリン,係数_バス貨物_CNG,係数_バス貨物_軽油,係数_バス貨物_メタノール,係数_バス貨物_LPG),MATCH(AY748,【参考】排出係数!$AI$4:$AI$671,1),1,BE748):INDEX((係数_バス貨物_ガソリン,係数_バス貨物_CNG,係数_バス貨物_軽油,係数_バス貨物_メタノール,係数_バス貨物_LPG),MATCH(AY748+1,【参考】排出係数!$AI$4:$AI$671,1)-1,5,BE748),3,FALSE),IF(OR(AW748=1,AW748=2),VLOOKUP(AU748,INDEX((係数_乗用_ガソリン,係数_乗用_CNG,係数_乗用_軽油,係数_乗用_メタノール,係数_乗用_LPG),1,1,BE748):INDEX((係数_乗用_ガソリン,係数_乗用_CNG,係数_乗用_軽油,係数_乗用_メタノール,係数_乗用_LPG),125,5,BE748),3,FALSE))))))</f>
        <v/>
      </c>
      <c r="BC748" s="467" t="str">
        <f t="shared" si="406"/>
        <v/>
      </c>
      <c r="BD748" s="567" t="str">
        <f t="shared" si="407"/>
        <v/>
      </c>
      <c r="BE748" s="467" t="str">
        <f t="shared" si="408"/>
        <v/>
      </c>
      <c r="BF748" s="469" t="str">
        <f t="shared" ca="1" si="409"/>
        <v/>
      </c>
      <c r="BG748" s="469" t="str">
        <f t="shared" ca="1" si="410"/>
        <v/>
      </c>
      <c r="BH748" s="467" t="str">
        <f t="shared" si="411"/>
        <v/>
      </c>
      <c r="BI748" s="467" t="str">
        <f t="shared" ca="1" si="412"/>
        <v/>
      </c>
      <c r="BJ748" s="469" t="str">
        <f t="shared" si="413"/>
        <v/>
      </c>
      <c r="BK748" s="470" t="str">
        <f t="shared" si="397"/>
        <v/>
      </c>
      <c r="BL748" s="775" t="str">
        <f t="shared" si="414"/>
        <v/>
      </c>
      <c r="BM748" s="775" t="str">
        <f t="shared" si="415"/>
        <v/>
      </c>
    </row>
    <row r="749" spans="1:65">
      <c r="A749" s="473">
        <v>693</v>
      </c>
      <c r="B749" s="132"/>
      <c r="C749" s="332"/>
      <c r="D749" s="333"/>
      <c r="E749" s="333"/>
      <c r="F749" s="334"/>
      <c r="G749" s="337"/>
      <c r="H749" s="131"/>
      <c r="I749" s="337"/>
      <c r="J749" s="131"/>
      <c r="K749" s="458" t="str">
        <f t="shared" si="416"/>
        <v/>
      </c>
      <c r="L749" s="458">
        <f t="shared" si="417"/>
        <v>0</v>
      </c>
      <c r="M749" s="458">
        <f t="shared" si="418"/>
        <v>0</v>
      </c>
      <c r="N749" s="459" t="str">
        <f t="shared" si="283"/>
        <v/>
      </c>
      <c r="O749" s="459" t="str">
        <f t="shared" si="284"/>
        <v/>
      </c>
      <c r="P749" s="459" t="str">
        <f t="shared" si="285"/>
        <v/>
      </c>
      <c r="Q749" s="459" t="str">
        <f t="shared" si="286"/>
        <v/>
      </c>
      <c r="R749" s="459" t="str">
        <f t="shared" si="287"/>
        <v/>
      </c>
      <c r="S749" s="459" t="str">
        <f t="shared" si="288"/>
        <v/>
      </c>
      <c r="T749" s="566" t="str">
        <f t="shared" si="419"/>
        <v/>
      </c>
      <c r="U749" s="702"/>
      <c r="V749" s="132"/>
      <c r="W749" s="133"/>
      <c r="X749" s="134"/>
      <c r="Y749" s="135"/>
      <c r="Z749" s="137"/>
      <c r="AA749" s="136"/>
      <c r="AB749" s="566" t="str">
        <f t="shared" si="420"/>
        <v/>
      </c>
      <c r="AC749" s="568" t="str">
        <f t="shared" si="421"/>
        <v/>
      </c>
      <c r="AD749" s="137"/>
      <c r="AE749" s="137"/>
      <c r="AF749" s="138"/>
      <c r="AG749" s="138"/>
      <c r="AH749" s="592" t="str">
        <f t="shared" si="422"/>
        <v/>
      </c>
      <c r="AI749" s="592" t="str">
        <f t="shared" si="423"/>
        <v/>
      </c>
      <c r="AJ749" s="592" t="str">
        <f t="shared" si="424"/>
        <v/>
      </c>
      <c r="AK749" s="460" t="str">
        <f>IF(AU749="","",IF(OR(AZ749=8,AZ749=9),0,IF(OR(AW749=3,AW749=4,AW749=5,AW749=6),IF(LEFT(BF749,1)="1",INDEX(係数_NOX・PM低減,MATCH(AY749,【参考】排出係数!$AI$801:$AI$804,1),1),VLOOKUP(AU749,INDEX((係数_バス貨物_ガソリン,係数_バス貨物_CNG,係数_バス貨物_軽油,係数_バス貨物_メタノール,係数_バス貨物_LPG),MATCH(AY749,【参考】排出係数!$AI$4:$AI$671,1),1,BE749):INDEX((係数_バス貨物_ガソリン,係数_バス貨物_CNG,係数_バス貨物_軽油,係数_バス貨物_メタノール,係数_バス貨物_LPG),MATCH(AY749+1,【参考】排出係数!$AI$4:$AI$671,1)-1,5,BE749),4,FALSE)),IF(AND(BE749=3,LEFT(BF749,1)="1"),0.48,VLOOKUP(AU749,INDEX((係数_乗用_ガソリン,係数_乗用_CNG,係数_乗用_軽油,係数_乗用_メタノール,係数_乗用_LPG),1,1,BE749):INDEX((係数_乗用_ガソリン,係数_乗用_CNG,係数_乗用_軽油,係数_乗用_メタノール,係数_乗用_LPG),125,5,BE749),4,FALSE)))))</f>
        <v/>
      </c>
      <c r="AL749" s="461" t="str">
        <f t="shared" si="425"/>
        <v/>
      </c>
      <c r="AM749" s="460" t="str">
        <f>IF(AU749="","",IF(OR(AZ749=8,AZ749=9),0,IF(OR(AW749=3,AW749=4,AW749=5,AW749=6),IF(LEFT(BH749,1)="1",INDEX(係数_PM低減,MATCH(AY749,【参考】排出係数!$AI$801:$AI$804,1),MATCH(BI749,【参考】排出係数!$AL$798:$AO$798,1)),VLOOKUP(AU749,INDEX((係数_バス貨物_ガソリン,係数_バス貨物_CNG,係数_バス貨物_軽油,係数_バス貨物_メタノール,係数_バス貨物_LPG),MATCH(AY749,【参考】排出係数!$AI$4:$AI$671,1),1,BE749):INDEX((係数_バス貨物_ガソリン,係数_バス貨物_CNG,係数_バス貨物_軽油,係数_バス貨物_メタノール,係数_バス貨物_LPG),MATCH(AY749+1,【参考】排出係数!$AI$4:$AI$671,1)-1,5,BE749),5,FALSE)),IF(AND(BE749=3,LEFT(BF749,1)="1"),0.055,VLOOKUP(AU749,INDEX((係数_乗用_ガソリン,係数_乗用_CNG,係数_乗用_軽油,係数_乗用_メタノール,係数_乗用_LPG),1,1,BE749):INDEX((係数_乗用_ガソリン,係数_乗用_CNG,係数_乗用_軽油,係数_乗用_メタノール,係数_乗用_LPG),125,5,BE749),5,FALSE)))))</f>
        <v/>
      </c>
      <c r="AN749" s="461" t="str">
        <f t="shared" si="426"/>
        <v/>
      </c>
      <c r="AO749" s="462" t="str">
        <f t="shared" si="427"/>
        <v/>
      </c>
      <c r="AP749" s="463" t="str">
        <f t="shared" si="428"/>
        <v/>
      </c>
      <c r="AQ749" s="464"/>
      <c r="AR749" s="619"/>
      <c r="AS749" s="465" t="str">
        <f t="shared" si="398"/>
        <v/>
      </c>
      <c r="AT749" s="465" t="str">
        <f t="shared" si="399"/>
        <v/>
      </c>
      <c r="AU749" s="466" t="str">
        <f t="shared" si="400"/>
        <v/>
      </c>
      <c r="AV749" s="467" t="str">
        <f t="shared" si="401"/>
        <v/>
      </c>
      <c r="AW749" s="467" t="str">
        <f t="shared" si="402"/>
        <v/>
      </c>
      <c r="AX749" s="467" t="str">
        <f t="shared" si="403"/>
        <v/>
      </c>
      <c r="AY749" s="467" t="str">
        <f t="shared" si="404"/>
        <v/>
      </c>
      <c r="AZ749" s="467" t="str">
        <f t="shared" si="405"/>
        <v/>
      </c>
      <c r="BA749" s="468" t="str">
        <f>IF(AS749="","",IF(OR(AU749="",AU749="-"),"－",IF(OR(AZ749=8,AZ749=9),"",IF(OR(AW749=3,AW749=4,AW749=5,AW749=6),VLOOKUP(AU749,INDEX((係数_バス貨物_ガソリン,係数_バス貨物_CNG,係数_バス貨物_軽油,係数_バス貨物_メタノール,係数_バス貨物_LPG),MATCH(AY749,【参考】排出係数!$AI$4:$AI$671,1),1,BE749):INDEX((係数_バス貨物_ガソリン,係数_バス貨物_CNG,係数_バス貨物_軽油,係数_バス貨物_メタノール,係数_バス貨物_LPG),MATCH(AY749+1,【参考】排出係数!$AI$4:$AI$671,1)-1,5,BE749),2,FALSE),IF(OR(AW749=1,AW749=2),VLOOKUP(AU749,INDEX((係数_乗用_ガソリン,係数_乗用_CNG,係数_乗用_軽油,係数_乗用_メタノール,係数_乗用_LPG),1,1,BE749):INDEX((係数_乗用_ガソリン,係数_乗用_CNG,係数_乗用_軽油,係数_乗用_メタノール,係数_乗用_LPG),125,5,BE749),2,FALSE))))))</f>
        <v/>
      </c>
      <c r="BB749" s="468" t="str">
        <f>IF(T749="","",IF(OR(AU749="",AU749="-"),"－",IF(OR(AZ749=8,AZ749=9),"",IF(OR(AW749=3,AW749=4,AW749=5,AW749=6),VLOOKUP(AU749,INDEX((係数_バス貨物_ガソリン,係数_バス貨物_CNG,係数_バス貨物_軽油,係数_バス貨物_メタノール,係数_バス貨物_LPG),MATCH(AY749,【参考】排出係数!$AI$4:$AI$671,1),1,BE749):INDEX((係数_バス貨物_ガソリン,係数_バス貨物_CNG,係数_バス貨物_軽油,係数_バス貨物_メタノール,係数_バス貨物_LPG),MATCH(AY749+1,【参考】排出係数!$AI$4:$AI$671,1)-1,5,BE749),3,FALSE),IF(OR(AW749=1,AW749=2),VLOOKUP(AU749,INDEX((係数_乗用_ガソリン,係数_乗用_CNG,係数_乗用_軽油,係数_乗用_メタノール,係数_乗用_LPG),1,1,BE749):INDEX((係数_乗用_ガソリン,係数_乗用_CNG,係数_乗用_軽油,係数_乗用_メタノール,係数_乗用_LPG),125,5,BE749),3,FALSE))))))</f>
        <v/>
      </c>
      <c r="BC749" s="467" t="str">
        <f t="shared" si="406"/>
        <v/>
      </c>
      <c r="BD749" s="567" t="str">
        <f t="shared" si="407"/>
        <v/>
      </c>
      <c r="BE749" s="467" t="str">
        <f t="shared" si="408"/>
        <v/>
      </c>
      <c r="BF749" s="469" t="str">
        <f t="shared" ca="1" si="409"/>
        <v/>
      </c>
      <c r="BG749" s="469" t="str">
        <f t="shared" ca="1" si="410"/>
        <v/>
      </c>
      <c r="BH749" s="467" t="str">
        <f t="shared" si="411"/>
        <v/>
      </c>
      <c r="BI749" s="467" t="str">
        <f t="shared" ca="1" si="412"/>
        <v/>
      </c>
      <c r="BJ749" s="469" t="str">
        <f t="shared" si="413"/>
        <v/>
      </c>
      <c r="BK749" s="470" t="str">
        <f t="shared" si="397"/>
        <v/>
      </c>
      <c r="BL749" s="775" t="str">
        <f t="shared" si="414"/>
        <v/>
      </c>
      <c r="BM749" s="775" t="str">
        <f t="shared" si="415"/>
        <v/>
      </c>
    </row>
    <row r="750" spans="1:65">
      <c r="A750" s="473">
        <v>694</v>
      </c>
      <c r="B750" s="132"/>
      <c r="C750" s="332"/>
      <c r="D750" s="333"/>
      <c r="E750" s="333"/>
      <c r="F750" s="334"/>
      <c r="G750" s="337"/>
      <c r="H750" s="131"/>
      <c r="I750" s="337"/>
      <c r="J750" s="131"/>
      <c r="K750" s="458" t="str">
        <f t="shared" si="416"/>
        <v/>
      </c>
      <c r="L750" s="458">
        <f t="shared" si="417"/>
        <v>0</v>
      </c>
      <c r="M750" s="458">
        <f t="shared" si="418"/>
        <v>0</v>
      </c>
      <c r="N750" s="459" t="str">
        <f t="shared" si="283"/>
        <v/>
      </c>
      <c r="O750" s="459" t="str">
        <f t="shared" si="284"/>
        <v/>
      </c>
      <c r="P750" s="459" t="str">
        <f t="shared" si="285"/>
        <v/>
      </c>
      <c r="Q750" s="459" t="str">
        <f t="shared" si="286"/>
        <v/>
      </c>
      <c r="R750" s="459" t="str">
        <f t="shared" si="287"/>
        <v/>
      </c>
      <c r="S750" s="459" t="str">
        <f t="shared" si="288"/>
        <v/>
      </c>
      <c r="T750" s="566" t="str">
        <f t="shared" si="419"/>
        <v/>
      </c>
      <c r="U750" s="702"/>
      <c r="V750" s="132"/>
      <c r="W750" s="133"/>
      <c r="X750" s="134"/>
      <c r="Y750" s="135"/>
      <c r="Z750" s="137"/>
      <c r="AA750" s="136"/>
      <c r="AB750" s="566" t="str">
        <f t="shared" si="420"/>
        <v/>
      </c>
      <c r="AC750" s="568" t="str">
        <f t="shared" si="421"/>
        <v/>
      </c>
      <c r="AD750" s="137"/>
      <c r="AE750" s="137"/>
      <c r="AF750" s="138"/>
      <c r="AG750" s="138"/>
      <c r="AH750" s="592" t="str">
        <f t="shared" si="422"/>
        <v/>
      </c>
      <c r="AI750" s="592" t="str">
        <f t="shared" si="423"/>
        <v/>
      </c>
      <c r="AJ750" s="592" t="str">
        <f t="shared" si="424"/>
        <v/>
      </c>
      <c r="AK750" s="460" t="str">
        <f>IF(AU750="","",IF(OR(AZ750=8,AZ750=9),0,IF(OR(AW750=3,AW750=4,AW750=5,AW750=6),IF(LEFT(BF750,1)="1",INDEX(係数_NOX・PM低減,MATCH(AY750,【参考】排出係数!$AI$801:$AI$804,1),1),VLOOKUP(AU750,INDEX((係数_バス貨物_ガソリン,係数_バス貨物_CNG,係数_バス貨物_軽油,係数_バス貨物_メタノール,係数_バス貨物_LPG),MATCH(AY750,【参考】排出係数!$AI$4:$AI$671,1),1,BE750):INDEX((係数_バス貨物_ガソリン,係数_バス貨物_CNG,係数_バス貨物_軽油,係数_バス貨物_メタノール,係数_バス貨物_LPG),MATCH(AY750+1,【参考】排出係数!$AI$4:$AI$671,1)-1,5,BE750),4,FALSE)),IF(AND(BE750=3,LEFT(BF750,1)="1"),0.48,VLOOKUP(AU750,INDEX((係数_乗用_ガソリン,係数_乗用_CNG,係数_乗用_軽油,係数_乗用_メタノール,係数_乗用_LPG),1,1,BE750):INDEX((係数_乗用_ガソリン,係数_乗用_CNG,係数_乗用_軽油,係数_乗用_メタノール,係数_乗用_LPG),125,5,BE750),4,FALSE)))))</f>
        <v/>
      </c>
      <c r="AL750" s="461" t="str">
        <f t="shared" si="425"/>
        <v/>
      </c>
      <c r="AM750" s="460" t="str">
        <f>IF(AU750="","",IF(OR(AZ750=8,AZ750=9),0,IF(OR(AW750=3,AW750=4,AW750=5,AW750=6),IF(LEFT(BH750,1)="1",INDEX(係数_PM低減,MATCH(AY750,【参考】排出係数!$AI$801:$AI$804,1),MATCH(BI750,【参考】排出係数!$AL$798:$AO$798,1)),VLOOKUP(AU750,INDEX((係数_バス貨物_ガソリン,係数_バス貨物_CNG,係数_バス貨物_軽油,係数_バス貨物_メタノール,係数_バス貨物_LPG),MATCH(AY750,【参考】排出係数!$AI$4:$AI$671,1),1,BE750):INDEX((係数_バス貨物_ガソリン,係数_バス貨物_CNG,係数_バス貨物_軽油,係数_バス貨物_メタノール,係数_バス貨物_LPG),MATCH(AY750+1,【参考】排出係数!$AI$4:$AI$671,1)-1,5,BE750),5,FALSE)),IF(AND(BE750=3,LEFT(BF750,1)="1"),0.055,VLOOKUP(AU750,INDEX((係数_乗用_ガソリン,係数_乗用_CNG,係数_乗用_軽油,係数_乗用_メタノール,係数_乗用_LPG),1,1,BE750):INDEX((係数_乗用_ガソリン,係数_乗用_CNG,係数_乗用_軽油,係数_乗用_メタノール,係数_乗用_LPG),125,5,BE750),5,FALSE)))))</f>
        <v/>
      </c>
      <c r="AN750" s="461" t="str">
        <f t="shared" si="426"/>
        <v/>
      </c>
      <c r="AO750" s="462" t="str">
        <f t="shared" si="427"/>
        <v/>
      </c>
      <c r="AP750" s="463" t="str">
        <f t="shared" si="428"/>
        <v/>
      </c>
      <c r="AQ750" s="464"/>
      <c r="AR750" s="619"/>
      <c r="AS750" s="465" t="str">
        <f t="shared" si="398"/>
        <v/>
      </c>
      <c r="AT750" s="465" t="str">
        <f t="shared" si="399"/>
        <v/>
      </c>
      <c r="AU750" s="466" t="str">
        <f t="shared" si="400"/>
        <v/>
      </c>
      <c r="AV750" s="467" t="str">
        <f t="shared" si="401"/>
        <v/>
      </c>
      <c r="AW750" s="467" t="str">
        <f t="shared" si="402"/>
        <v/>
      </c>
      <c r="AX750" s="467" t="str">
        <f t="shared" si="403"/>
        <v/>
      </c>
      <c r="AY750" s="467" t="str">
        <f t="shared" si="404"/>
        <v/>
      </c>
      <c r="AZ750" s="467" t="str">
        <f t="shared" si="405"/>
        <v/>
      </c>
      <c r="BA750" s="468" t="str">
        <f>IF(AS750="","",IF(OR(AU750="",AU750="-"),"－",IF(OR(AZ750=8,AZ750=9),"",IF(OR(AW750=3,AW750=4,AW750=5,AW750=6),VLOOKUP(AU750,INDEX((係数_バス貨物_ガソリン,係数_バス貨物_CNG,係数_バス貨物_軽油,係数_バス貨物_メタノール,係数_バス貨物_LPG),MATCH(AY750,【参考】排出係数!$AI$4:$AI$671,1),1,BE750):INDEX((係数_バス貨物_ガソリン,係数_バス貨物_CNG,係数_バス貨物_軽油,係数_バス貨物_メタノール,係数_バス貨物_LPG),MATCH(AY750+1,【参考】排出係数!$AI$4:$AI$671,1)-1,5,BE750),2,FALSE),IF(OR(AW750=1,AW750=2),VLOOKUP(AU750,INDEX((係数_乗用_ガソリン,係数_乗用_CNG,係数_乗用_軽油,係数_乗用_メタノール,係数_乗用_LPG),1,1,BE750):INDEX((係数_乗用_ガソリン,係数_乗用_CNG,係数_乗用_軽油,係数_乗用_メタノール,係数_乗用_LPG),125,5,BE750),2,FALSE))))))</f>
        <v/>
      </c>
      <c r="BB750" s="468" t="str">
        <f>IF(T750="","",IF(OR(AU750="",AU750="-"),"－",IF(OR(AZ750=8,AZ750=9),"",IF(OR(AW750=3,AW750=4,AW750=5,AW750=6),VLOOKUP(AU750,INDEX((係数_バス貨物_ガソリン,係数_バス貨物_CNG,係数_バス貨物_軽油,係数_バス貨物_メタノール,係数_バス貨物_LPG),MATCH(AY750,【参考】排出係数!$AI$4:$AI$671,1),1,BE750):INDEX((係数_バス貨物_ガソリン,係数_バス貨物_CNG,係数_バス貨物_軽油,係数_バス貨物_メタノール,係数_バス貨物_LPG),MATCH(AY750+1,【参考】排出係数!$AI$4:$AI$671,1)-1,5,BE750),3,FALSE),IF(OR(AW750=1,AW750=2),VLOOKUP(AU750,INDEX((係数_乗用_ガソリン,係数_乗用_CNG,係数_乗用_軽油,係数_乗用_メタノール,係数_乗用_LPG),1,1,BE750):INDEX((係数_乗用_ガソリン,係数_乗用_CNG,係数_乗用_軽油,係数_乗用_メタノール,係数_乗用_LPG),125,5,BE750),3,FALSE))))))</f>
        <v/>
      </c>
      <c r="BC750" s="467" t="str">
        <f t="shared" si="406"/>
        <v/>
      </c>
      <c r="BD750" s="567" t="str">
        <f t="shared" si="407"/>
        <v/>
      </c>
      <c r="BE750" s="467" t="str">
        <f t="shared" si="408"/>
        <v/>
      </c>
      <c r="BF750" s="469" t="str">
        <f t="shared" ca="1" si="409"/>
        <v/>
      </c>
      <c r="BG750" s="469" t="str">
        <f t="shared" ca="1" si="410"/>
        <v/>
      </c>
      <c r="BH750" s="467" t="str">
        <f t="shared" si="411"/>
        <v/>
      </c>
      <c r="BI750" s="467" t="str">
        <f t="shared" ca="1" si="412"/>
        <v/>
      </c>
      <c r="BJ750" s="469" t="str">
        <f t="shared" si="413"/>
        <v/>
      </c>
      <c r="BK750" s="470" t="str">
        <f t="shared" si="397"/>
        <v/>
      </c>
      <c r="BL750" s="775" t="str">
        <f t="shared" si="414"/>
        <v/>
      </c>
      <c r="BM750" s="775" t="str">
        <f t="shared" si="415"/>
        <v/>
      </c>
    </row>
    <row r="751" spans="1:65">
      <c r="A751" s="473">
        <v>695</v>
      </c>
      <c r="B751" s="132"/>
      <c r="C751" s="332"/>
      <c r="D751" s="333"/>
      <c r="E751" s="333"/>
      <c r="F751" s="334"/>
      <c r="G751" s="337"/>
      <c r="H751" s="131"/>
      <c r="I751" s="337"/>
      <c r="J751" s="131"/>
      <c r="K751" s="458" t="str">
        <f t="shared" si="416"/>
        <v/>
      </c>
      <c r="L751" s="458">
        <f t="shared" si="417"/>
        <v>0</v>
      </c>
      <c r="M751" s="458">
        <f t="shared" si="418"/>
        <v>0</v>
      </c>
      <c r="N751" s="459" t="str">
        <f t="shared" si="283"/>
        <v/>
      </c>
      <c r="O751" s="459" t="str">
        <f t="shared" si="284"/>
        <v/>
      </c>
      <c r="P751" s="459" t="str">
        <f t="shared" si="285"/>
        <v/>
      </c>
      <c r="Q751" s="459" t="str">
        <f t="shared" si="286"/>
        <v/>
      </c>
      <c r="R751" s="459" t="str">
        <f t="shared" si="287"/>
        <v/>
      </c>
      <c r="S751" s="459" t="str">
        <f t="shared" si="288"/>
        <v/>
      </c>
      <c r="T751" s="566" t="str">
        <f t="shared" si="419"/>
        <v/>
      </c>
      <c r="U751" s="702"/>
      <c r="V751" s="132"/>
      <c r="W751" s="133"/>
      <c r="X751" s="134"/>
      <c r="Y751" s="135"/>
      <c r="Z751" s="137"/>
      <c r="AA751" s="136"/>
      <c r="AB751" s="566" t="str">
        <f t="shared" si="420"/>
        <v/>
      </c>
      <c r="AC751" s="568" t="str">
        <f t="shared" si="421"/>
        <v/>
      </c>
      <c r="AD751" s="137"/>
      <c r="AE751" s="137"/>
      <c r="AF751" s="138"/>
      <c r="AG751" s="138"/>
      <c r="AH751" s="592" t="str">
        <f t="shared" si="422"/>
        <v/>
      </c>
      <c r="AI751" s="592" t="str">
        <f t="shared" si="423"/>
        <v/>
      </c>
      <c r="AJ751" s="592" t="str">
        <f t="shared" si="424"/>
        <v/>
      </c>
      <c r="AK751" s="460" t="str">
        <f>IF(AU751="","",IF(OR(AZ751=8,AZ751=9),0,IF(OR(AW751=3,AW751=4,AW751=5,AW751=6),IF(LEFT(BF751,1)="1",INDEX(係数_NOX・PM低減,MATCH(AY751,【参考】排出係数!$AI$801:$AI$804,1),1),VLOOKUP(AU751,INDEX((係数_バス貨物_ガソリン,係数_バス貨物_CNG,係数_バス貨物_軽油,係数_バス貨物_メタノール,係数_バス貨物_LPG),MATCH(AY751,【参考】排出係数!$AI$4:$AI$671,1),1,BE751):INDEX((係数_バス貨物_ガソリン,係数_バス貨物_CNG,係数_バス貨物_軽油,係数_バス貨物_メタノール,係数_バス貨物_LPG),MATCH(AY751+1,【参考】排出係数!$AI$4:$AI$671,1)-1,5,BE751),4,FALSE)),IF(AND(BE751=3,LEFT(BF751,1)="1"),0.48,VLOOKUP(AU751,INDEX((係数_乗用_ガソリン,係数_乗用_CNG,係数_乗用_軽油,係数_乗用_メタノール,係数_乗用_LPG),1,1,BE751):INDEX((係数_乗用_ガソリン,係数_乗用_CNG,係数_乗用_軽油,係数_乗用_メタノール,係数_乗用_LPG),125,5,BE751),4,FALSE)))))</f>
        <v/>
      </c>
      <c r="AL751" s="461" t="str">
        <f t="shared" si="425"/>
        <v/>
      </c>
      <c r="AM751" s="460" t="str">
        <f>IF(AU751="","",IF(OR(AZ751=8,AZ751=9),0,IF(OR(AW751=3,AW751=4,AW751=5,AW751=6),IF(LEFT(BH751,1)="1",INDEX(係数_PM低減,MATCH(AY751,【参考】排出係数!$AI$801:$AI$804,1),MATCH(BI751,【参考】排出係数!$AL$798:$AO$798,1)),VLOOKUP(AU751,INDEX((係数_バス貨物_ガソリン,係数_バス貨物_CNG,係数_バス貨物_軽油,係数_バス貨物_メタノール,係数_バス貨物_LPG),MATCH(AY751,【参考】排出係数!$AI$4:$AI$671,1),1,BE751):INDEX((係数_バス貨物_ガソリン,係数_バス貨物_CNG,係数_バス貨物_軽油,係数_バス貨物_メタノール,係数_バス貨物_LPG),MATCH(AY751+1,【参考】排出係数!$AI$4:$AI$671,1)-1,5,BE751),5,FALSE)),IF(AND(BE751=3,LEFT(BF751,1)="1"),0.055,VLOOKUP(AU751,INDEX((係数_乗用_ガソリン,係数_乗用_CNG,係数_乗用_軽油,係数_乗用_メタノール,係数_乗用_LPG),1,1,BE751):INDEX((係数_乗用_ガソリン,係数_乗用_CNG,係数_乗用_軽油,係数_乗用_メタノール,係数_乗用_LPG),125,5,BE751),5,FALSE)))))</f>
        <v/>
      </c>
      <c r="AN751" s="461" t="str">
        <f t="shared" si="426"/>
        <v/>
      </c>
      <c r="AO751" s="462" t="str">
        <f t="shared" si="427"/>
        <v/>
      </c>
      <c r="AP751" s="463" t="str">
        <f t="shared" si="428"/>
        <v/>
      </c>
      <c r="AQ751" s="464"/>
      <c r="AR751" s="619"/>
      <c r="AS751" s="465" t="str">
        <f t="shared" si="398"/>
        <v/>
      </c>
      <c r="AT751" s="465" t="str">
        <f t="shared" si="399"/>
        <v/>
      </c>
      <c r="AU751" s="466" t="str">
        <f t="shared" si="400"/>
        <v/>
      </c>
      <c r="AV751" s="467" t="str">
        <f t="shared" si="401"/>
        <v/>
      </c>
      <c r="AW751" s="467" t="str">
        <f t="shared" si="402"/>
        <v/>
      </c>
      <c r="AX751" s="467" t="str">
        <f t="shared" si="403"/>
        <v/>
      </c>
      <c r="AY751" s="467" t="str">
        <f t="shared" si="404"/>
        <v/>
      </c>
      <c r="AZ751" s="467" t="str">
        <f t="shared" si="405"/>
        <v/>
      </c>
      <c r="BA751" s="468" t="str">
        <f>IF(AS751="","",IF(OR(AU751="",AU751="-"),"－",IF(OR(AZ751=8,AZ751=9),"",IF(OR(AW751=3,AW751=4,AW751=5,AW751=6),VLOOKUP(AU751,INDEX((係数_バス貨物_ガソリン,係数_バス貨物_CNG,係数_バス貨物_軽油,係数_バス貨物_メタノール,係数_バス貨物_LPG),MATCH(AY751,【参考】排出係数!$AI$4:$AI$671,1),1,BE751):INDEX((係数_バス貨物_ガソリン,係数_バス貨物_CNG,係数_バス貨物_軽油,係数_バス貨物_メタノール,係数_バス貨物_LPG),MATCH(AY751+1,【参考】排出係数!$AI$4:$AI$671,1)-1,5,BE751),2,FALSE),IF(OR(AW751=1,AW751=2),VLOOKUP(AU751,INDEX((係数_乗用_ガソリン,係数_乗用_CNG,係数_乗用_軽油,係数_乗用_メタノール,係数_乗用_LPG),1,1,BE751):INDEX((係数_乗用_ガソリン,係数_乗用_CNG,係数_乗用_軽油,係数_乗用_メタノール,係数_乗用_LPG),125,5,BE751),2,FALSE))))))</f>
        <v/>
      </c>
      <c r="BB751" s="468" t="str">
        <f>IF(T751="","",IF(OR(AU751="",AU751="-"),"－",IF(OR(AZ751=8,AZ751=9),"",IF(OR(AW751=3,AW751=4,AW751=5,AW751=6),VLOOKUP(AU751,INDEX((係数_バス貨物_ガソリン,係数_バス貨物_CNG,係数_バス貨物_軽油,係数_バス貨物_メタノール,係数_バス貨物_LPG),MATCH(AY751,【参考】排出係数!$AI$4:$AI$671,1),1,BE751):INDEX((係数_バス貨物_ガソリン,係数_バス貨物_CNG,係数_バス貨物_軽油,係数_バス貨物_メタノール,係数_バス貨物_LPG),MATCH(AY751+1,【参考】排出係数!$AI$4:$AI$671,1)-1,5,BE751),3,FALSE),IF(OR(AW751=1,AW751=2),VLOOKUP(AU751,INDEX((係数_乗用_ガソリン,係数_乗用_CNG,係数_乗用_軽油,係数_乗用_メタノール,係数_乗用_LPG),1,1,BE751):INDEX((係数_乗用_ガソリン,係数_乗用_CNG,係数_乗用_軽油,係数_乗用_メタノール,係数_乗用_LPG),125,5,BE751),3,FALSE))))))</f>
        <v/>
      </c>
      <c r="BC751" s="467" t="str">
        <f t="shared" si="406"/>
        <v/>
      </c>
      <c r="BD751" s="567" t="str">
        <f t="shared" si="407"/>
        <v/>
      </c>
      <c r="BE751" s="467" t="str">
        <f t="shared" si="408"/>
        <v/>
      </c>
      <c r="BF751" s="469" t="str">
        <f t="shared" ca="1" si="409"/>
        <v/>
      </c>
      <c r="BG751" s="469" t="str">
        <f t="shared" ca="1" si="410"/>
        <v/>
      </c>
      <c r="BH751" s="467" t="str">
        <f t="shared" si="411"/>
        <v/>
      </c>
      <c r="BI751" s="467" t="str">
        <f t="shared" ca="1" si="412"/>
        <v/>
      </c>
      <c r="BJ751" s="469" t="str">
        <f t="shared" si="413"/>
        <v/>
      </c>
      <c r="BK751" s="470" t="str">
        <f t="shared" si="397"/>
        <v/>
      </c>
      <c r="BL751" s="775" t="str">
        <f t="shared" si="414"/>
        <v/>
      </c>
      <c r="BM751" s="775" t="str">
        <f t="shared" si="415"/>
        <v/>
      </c>
    </row>
    <row r="752" spans="1:65">
      <c r="A752" s="473">
        <v>696</v>
      </c>
      <c r="B752" s="132"/>
      <c r="C752" s="332"/>
      <c r="D752" s="333"/>
      <c r="E752" s="333"/>
      <c r="F752" s="334"/>
      <c r="G752" s="337"/>
      <c r="H752" s="131"/>
      <c r="I752" s="337"/>
      <c r="J752" s="131"/>
      <c r="K752" s="458" t="str">
        <f t="shared" si="416"/>
        <v/>
      </c>
      <c r="L752" s="458">
        <f t="shared" si="417"/>
        <v>0</v>
      </c>
      <c r="M752" s="458">
        <f t="shared" si="418"/>
        <v>0</v>
      </c>
      <c r="N752" s="459" t="str">
        <f t="shared" si="283"/>
        <v/>
      </c>
      <c r="O752" s="459" t="str">
        <f t="shared" si="284"/>
        <v/>
      </c>
      <c r="P752" s="459" t="str">
        <f t="shared" si="285"/>
        <v/>
      </c>
      <c r="Q752" s="459" t="str">
        <f t="shared" si="286"/>
        <v/>
      </c>
      <c r="R752" s="459" t="str">
        <f t="shared" si="287"/>
        <v/>
      </c>
      <c r="S752" s="459" t="str">
        <f t="shared" si="288"/>
        <v/>
      </c>
      <c r="T752" s="566" t="str">
        <f t="shared" si="419"/>
        <v/>
      </c>
      <c r="U752" s="702"/>
      <c r="V752" s="132"/>
      <c r="W752" s="133"/>
      <c r="X752" s="134"/>
      <c r="Y752" s="135"/>
      <c r="Z752" s="137"/>
      <c r="AA752" s="136"/>
      <c r="AB752" s="566" t="str">
        <f t="shared" si="420"/>
        <v/>
      </c>
      <c r="AC752" s="568" t="str">
        <f t="shared" si="421"/>
        <v/>
      </c>
      <c r="AD752" s="137"/>
      <c r="AE752" s="137"/>
      <c r="AF752" s="138"/>
      <c r="AG752" s="138"/>
      <c r="AH752" s="592" t="str">
        <f t="shared" si="422"/>
        <v/>
      </c>
      <c r="AI752" s="592" t="str">
        <f t="shared" si="423"/>
        <v/>
      </c>
      <c r="AJ752" s="592" t="str">
        <f t="shared" si="424"/>
        <v/>
      </c>
      <c r="AK752" s="460" t="str">
        <f>IF(AU752="","",IF(OR(AZ752=8,AZ752=9),0,IF(OR(AW752=3,AW752=4,AW752=5,AW752=6),IF(LEFT(BF752,1)="1",INDEX(係数_NOX・PM低減,MATCH(AY752,【参考】排出係数!$AI$801:$AI$804,1),1),VLOOKUP(AU752,INDEX((係数_バス貨物_ガソリン,係数_バス貨物_CNG,係数_バス貨物_軽油,係数_バス貨物_メタノール,係数_バス貨物_LPG),MATCH(AY752,【参考】排出係数!$AI$4:$AI$671,1),1,BE752):INDEX((係数_バス貨物_ガソリン,係数_バス貨物_CNG,係数_バス貨物_軽油,係数_バス貨物_メタノール,係数_バス貨物_LPG),MATCH(AY752+1,【参考】排出係数!$AI$4:$AI$671,1)-1,5,BE752),4,FALSE)),IF(AND(BE752=3,LEFT(BF752,1)="1"),0.48,VLOOKUP(AU752,INDEX((係数_乗用_ガソリン,係数_乗用_CNG,係数_乗用_軽油,係数_乗用_メタノール,係数_乗用_LPG),1,1,BE752):INDEX((係数_乗用_ガソリン,係数_乗用_CNG,係数_乗用_軽油,係数_乗用_メタノール,係数_乗用_LPG),125,5,BE752),4,FALSE)))))</f>
        <v/>
      </c>
      <c r="AL752" s="461" t="str">
        <f t="shared" si="425"/>
        <v/>
      </c>
      <c r="AM752" s="460" t="str">
        <f>IF(AU752="","",IF(OR(AZ752=8,AZ752=9),0,IF(OR(AW752=3,AW752=4,AW752=5,AW752=6),IF(LEFT(BH752,1)="1",INDEX(係数_PM低減,MATCH(AY752,【参考】排出係数!$AI$801:$AI$804,1),MATCH(BI752,【参考】排出係数!$AL$798:$AO$798,1)),VLOOKUP(AU752,INDEX((係数_バス貨物_ガソリン,係数_バス貨物_CNG,係数_バス貨物_軽油,係数_バス貨物_メタノール,係数_バス貨物_LPG),MATCH(AY752,【参考】排出係数!$AI$4:$AI$671,1),1,BE752):INDEX((係数_バス貨物_ガソリン,係数_バス貨物_CNG,係数_バス貨物_軽油,係数_バス貨物_メタノール,係数_バス貨物_LPG),MATCH(AY752+1,【参考】排出係数!$AI$4:$AI$671,1)-1,5,BE752),5,FALSE)),IF(AND(BE752=3,LEFT(BF752,1)="1"),0.055,VLOOKUP(AU752,INDEX((係数_乗用_ガソリン,係数_乗用_CNG,係数_乗用_軽油,係数_乗用_メタノール,係数_乗用_LPG),1,1,BE752):INDEX((係数_乗用_ガソリン,係数_乗用_CNG,係数_乗用_軽油,係数_乗用_メタノール,係数_乗用_LPG),125,5,BE752),5,FALSE)))))</f>
        <v/>
      </c>
      <c r="AN752" s="461" t="str">
        <f t="shared" si="426"/>
        <v/>
      </c>
      <c r="AO752" s="462" t="str">
        <f t="shared" si="427"/>
        <v/>
      </c>
      <c r="AP752" s="463" t="str">
        <f t="shared" si="428"/>
        <v/>
      </c>
      <c r="AQ752" s="464"/>
      <c r="AR752" s="619"/>
      <c r="AS752" s="465" t="str">
        <f t="shared" si="398"/>
        <v/>
      </c>
      <c r="AT752" s="465" t="str">
        <f t="shared" si="399"/>
        <v/>
      </c>
      <c r="AU752" s="466" t="str">
        <f t="shared" si="400"/>
        <v/>
      </c>
      <c r="AV752" s="467" t="str">
        <f t="shared" si="401"/>
        <v/>
      </c>
      <c r="AW752" s="467" t="str">
        <f t="shared" si="402"/>
        <v/>
      </c>
      <c r="AX752" s="467" t="str">
        <f t="shared" si="403"/>
        <v/>
      </c>
      <c r="AY752" s="467" t="str">
        <f t="shared" si="404"/>
        <v/>
      </c>
      <c r="AZ752" s="467" t="str">
        <f t="shared" si="405"/>
        <v/>
      </c>
      <c r="BA752" s="468" t="str">
        <f>IF(AS752="","",IF(OR(AU752="",AU752="-"),"－",IF(OR(AZ752=8,AZ752=9),"",IF(OR(AW752=3,AW752=4,AW752=5,AW752=6),VLOOKUP(AU752,INDEX((係数_バス貨物_ガソリン,係数_バス貨物_CNG,係数_バス貨物_軽油,係数_バス貨物_メタノール,係数_バス貨物_LPG),MATCH(AY752,【参考】排出係数!$AI$4:$AI$671,1),1,BE752):INDEX((係数_バス貨物_ガソリン,係数_バス貨物_CNG,係数_バス貨物_軽油,係数_バス貨物_メタノール,係数_バス貨物_LPG),MATCH(AY752+1,【参考】排出係数!$AI$4:$AI$671,1)-1,5,BE752),2,FALSE),IF(OR(AW752=1,AW752=2),VLOOKUP(AU752,INDEX((係数_乗用_ガソリン,係数_乗用_CNG,係数_乗用_軽油,係数_乗用_メタノール,係数_乗用_LPG),1,1,BE752):INDEX((係数_乗用_ガソリン,係数_乗用_CNG,係数_乗用_軽油,係数_乗用_メタノール,係数_乗用_LPG),125,5,BE752),2,FALSE))))))</f>
        <v/>
      </c>
      <c r="BB752" s="468" t="str">
        <f>IF(T752="","",IF(OR(AU752="",AU752="-"),"－",IF(OR(AZ752=8,AZ752=9),"",IF(OR(AW752=3,AW752=4,AW752=5,AW752=6),VLOOKUP(AU752,INDEX((係数_バス貨物_ガソリン,係数_バス貨物_CNG,係数_バス貨物_軽油,係数_バス貨物_メタノール,係数_バス貨物_LPG),MATCH(AY752,【参考】排出係数!$AI$4:$AI$671,1),1,BE752):INDEX((係数_バス貨物_ガソリン,係数_バス貨物_CNG,係数_バス貨物_軽油,係数_バス貨物_メタノール,係数_バス貨物_LPG),MATCH(AY752+1,【参考】排出係数!$AI$4:$AI$671,1)-1,5,BE752),3,FALSE),IF(OR(AW752=1,AW752=2),VLOOKUP(AU752,INDEX((係数_乗用_ガソリン,係数_乗用_CNG,係数_乗用_軽油,係数_乗用_メタノール,係数_乗用_LPG),1,1,BE752):INDEX((係数_乗用_ガソリン,係数_乗用_CNG,係数_乗用_軽油,係数_乗用_メタノール,係数_乗用_LPG),125,5,BE752),3,FALSE))))))</f>
        <v/>
      </c>
      <c r="BC752" s="467" t="str">
        <f t="shared" si="406"/>
        <v/>
      </c>
      <c r="BD752" s="567" t="str">
        <f t="shared" si="407"/>
        <v/>
      </c>
      <c r="BE752" s="467" t="str">
        <f t="shared" si="408"/>
        <v/>
      </c>
      <c r="BF752" s="469" t="str">
        <f t="shared" ca="1" si="409"/>
        <v/>
      </c>
      <c r="BG752" s="469" t="str">
        <f t="shared" ca="1" si="410"/>
        <v/>
      </c>
      <c r="BH752" s="467" t="str">
        <f t="shared" si="411"/>
        <v/>
      </c>
      <c r="BI752" s="467" t="str">
        <f t="shared" ca="1" si="412"/>
        <v/>
      </c>
      <c r="BJ752" s="469" t="str">
        <f t="shared" si="413"/>
        <v/>
      </c>
      <c r="BK752" s="470" t="str">
        <f t="shared" si="397"/>
        <v/>
      </c>
      <c r="BL752" s="775" t="str">
        <f t="shared" si="414"/>
        <v/>
      </c>
      <c r="BM752" s="775" t="str">
        <f t="shared" si="415"/>
        <v/>
      </c>
    </row>
    <row r="753" spans="1:65">
      <c r="A753" s="473">
        <v>697</v>
      </c>
      <c r="B753" s="132"/>
      <c r="C753" s="332"/>
      <c r="D753" s="333"/>
      <c r="E753" s="333"/>
      <c r="F753" s="334"/>
      <c r="G753" s="337"/>
      <c r="H753" s="131"/>
      <c r="I753" s="337"/>
      <c r="J753" s="131"/>
      <c r="K753" s="458" t="str">
        <f t="shared" si="416"/>
        <v/>
      </c>
      <c r="L753" s="458">
        <f t="shared" si="417"/>
        <v>0</v>
      </c>
      <c r="M753" s="458">
        <f t="shared" si="418"/>
        <v>0</v>
      </c>
      <c r="N753" s="459" t="str">
        <f t="shared" si="283"/>
        <v/>
      </c>
      <c r="O753" s="459" t="str">
        <f t="shared" si="284"/>
        <v/>
      </c>
      <c r="P753" s="459" t="str">
        <f t="shared" si="285"/>
        <v/>
      </c>
      <c r="Q753" s="459" t="str">
        <f t="shared" si="286"/>
        <v/>
      </c>
      <c r="R753" s="459" t="str">
        <f t="shared" si="287"/>
        <v/>
      </c>
      <c r="S753" s="459" t="str">
        <f t="shared" si="288"/>
        <v/>
      </c>
      <c r="T753" s="566" t="str">
        <f t="shared" si="419"/>
        <v/>
      </c>
      <c r="U753" s="702"/>
      <c r="V753" s="132"/>
      <c r="W753" s="133"/>
      <c r="X753" s="134"/>
      <c r="Y753" s="135"/>
      <c r="Z753" s="137"/>
      <c r="AA753" s="136"/>
      <c r="AB753" s="566" t="str">
        <f t="shared" si="420"/>
        <v/>
      </c>
      <c r="AC753" s="568" t="str">
        <f t="shared" si="421"/>
        <v/>
      </c>
      <c r="AD753" s="137"/>
      <c r="AE753" s="137"/>
      <c r="AF753" s="138"/>
      <c r="AG753" s="138"/>
      <c r="AH753" s="592" t="str">
        <f t="shared" si="422"/>
        <v/>
      </c>
      <c r="AI753" s="592" t="str">
        <f t="shared" si="423"/>
        <v/>
      </c>
      <c r="AJ753" s="592" t="str">
        <f t="shared" si="424"/>
        <v/>
      </c>
      <c r="AK753" s="460" t="str">
        <f>IF(AU753="","",IF(OR(AZ753=8,AZ753=9),0,IF(OR(AW753=3,AW753=4,AW753=5,AW753=6),IF(LEFT(BF753,1)="1",INDEX(係数_NOX・PM低減,MATCH(AY753,【参考】排出係数!$AI$801:$AI$804,1),1),VLOOKUP(AU753,INDEX((係数_バス貨物_ガソリン,係数_バス貨物_CNG,係数_バス貨物_軽油,係数_バス貨物_メタノール,係数_バス貨物_LPG),MATCH(AY753,【参考】排出係数!$AI$4:$AI$671,1),1,BE753):INDEX((係数_バス貨物_ガソリン,係数_バス貨物_CNG,係数_バス貨物_軽油,係数_バス貨物_メタノール,係数_バス貨物_LPG),MATCH(AY753+1,【参考】排出係数!$AI$4:$AI$671,1)-1,5,BE753),4,FALSE)),IF(AND(BE753=3,LEFT(BF753,1)="1"),0.48,VLOOKUP(AU753,INDEX((係数_乗用_ガソリン,係数_乗用_CNG,係数_乗用_軽油,係数_乗用_メタノール,係数_乗用_LPG),1,1,BE753):INDEX((係数_乗用_ガソリン,係数_乗用_CNG,係数_乗用_軽油,係数_乗用_メタノール,係数_乗用_LPG),125,5,BE753),4,FALSE)))))</f>
        <v/>
      </c>
      <c r="AL753" s="461" t="str">
        <f t="shared" si="425"/>
        <v/>
      </c>
      <c r="AM753" s="460" t="str">
        <f>IF(AU753="","",IF(OR(AZ753=8,AZ753=9),0,IF(OR(AW753=3,AW753=4,AW753=5,AW753=6),IF(LEFT(BH753,1)="1",INDEX(係数_PM低減,MATCH(AY753,【参考】排出係数!$AI$801:$AI$804,1),MATCH(BI753,【参考】排出係数!$AL$798:$AO$798,1)),VLOOKUP(AU753,INDEX((係数_バス貨物_ガソリン,係数_バス貨物_CNG,係数_バス貨物_軽油,係数_バス貨物_メタノール,係数_バス貨物_LPG),MATCH(AY753,【参考】排出係数!$AI$4:$AI$671,1),1,BE753):INDEX((係数_バス貨物_ガソリン,係数_バス貨物_CNG,係数_バス貨物_軽油,係数_バス貨物_メタノール,係数_バス貨物_LPG),MATCH(AY753+1,【参考】排出係数!$AI$4:$AI$671,1)-1,5,BE753),5,FALSE)),IF(AND(BE753=3,LEFT(BF753,1)="1"),0.055,VLOOKUP(AU753,INDEX((係数_乗用_ガソリン,係数_乗用_CNG,係数_乗用_軽油,係数_乗用_メタノール,係数_乗用_LPG),1,1,BE753):INDEX((係数_乗用_ガソリン,係数_乗用_CNG,係数_乗用_軽油,係数_乗用_メタノール,係数_乗用_LPG),125,5,BE753),5,FALSE)))))</f>
        <v/>
      </c>
      <c r="AN753" s="461" t="str">
        <f t="shared" si="426"/>
        <v/>
      </c>
      <c r="AO753" s="462" t="str">
        <f t="shared" si="427"/>
        <v/>
      </c>
      <c r="AP753" s="463" t="str">
        <f t="shared" si="428"/>
        <v/>
      </c>
      <c r="AQ753" s="464"/>
      <c r="AR753" s="619"/>
      <c r="AS753" s="465" t="str">
        <f t="shared" si="398"/>
        <v/>
      </c>
      <c r="AT753" s="465" t="str">
        <f t="shared" si="399"/>
        <v/>
      </c>
      <c r="AU753" s="466" t="str">
        <f t="shared" si="400"/>
        <v/>
      </c>
      <c r="AV753" s="467" t="str">
        <f t="shared" si="401"/>
        <v/>
      </c>
      <c r="AW753" s="467" t="str">
        <f t="shared" si="402"/>
        <v/>
      </c>
      <c r="AX753" s="467" t="str">
        <f t="shared" si="403"/>
        <v/>
      </c>
      <c r="AY753" s="467" t="str">
        <f t="shared" si="404"/>
        <v/>
      </c>
      <c r="AZ753" s="467" t="str">
        <f t="shared" si="405"/>
        <v/>
      </c>
      <c r="BA753" s="468" t="str">
        <f>IF(AS753="","",IF(OR(AU753="",AU753="-"),"－",IF(OR(AZ753=8,AZ753=9),"",IF(OR(AW753=3,AW753=4,AW753=5,AW753=6),VLOOKUP(AU753,INDEX((係数_バス貨物_ガソリン,係数_バス貨物_CNG,係数_バス貨物_軽油,係数_バス貨物_メタノール,係数_バス貨物_LPG),MATCH(AY753,【参考】排出係数!$AI$4:$AI$671,1),1,BE753):INDEX((係数_バス貨物_ガソリン,係数_バス貨物_CNG,係数_バス貨物_軽油,係数_バス貨物_メタノール,係数_バス貨物_LPG),MATCH(AY753+1,【参考】排出係数!$AI$4:$AI$671,1)-1,5,BE753),2,FALSE),IF(OR(AW753=1,AW753=2),VLOOKUP(AU753,INDEX((係数_乗用_ガソリン,係数_乗用_CNG,係数_乗用_軽油,係数_乗用_メタノール,係数_乗用_LPG),1,1,BE753):INDEX((係数_乗用_ガソリン,係数_乗用_CNG,係数_乗用_軽油,係数_乗用_メタノール,係数_乗用_LPG),125,5,BE753),2,FALSE))))))</f>
        <v/>
      </c>
      <c r="BB753" s="468" t="str">
        <f>IF(T753="","",IF(OR(AU753="",AU753="-"),"－",IF(OR(AZ753=8,AZ753=9),"",IF(OR(AW753=3,AW753=4,AW753=5,AW753=6),VLOOKUP(AU753,INDEX((係数_バス貨物_ガソリン,係数_バス貨物_CNG,係数_バス貨物_軽油,係数_バス貨物_メタノール,係数_バス貨物_LPG),MATCH(AY753,【参考】排出係数!$AI$4:$AI$671,1),1,BE753):INDEX((係数_バス貨物_ガソリン,係数_バス貨物_CNG,係数_バス貨物_軽油,係数_バス貨物_メタノール,係数_バス貨物_LPG),MATCH(AY753+1,【参考】排出係数!$AI$4:$AI$671,1)-1,5,BE753),3,FALSE),IF(OR(AW753=1,AW753=2),VLOOKUP(AU753,INDEX((係数_乗用_ガソリン,係数_乗用_CNG,係数_乗用_軽油,係数_乗用_メタノール,係数_乗用_LPG),1,1,BE753):INDEX((係数_乗用_ガソリン,係数_乗用_CNG,係数_乗用_軽油,係数_乗用_メタノール,係数_乗用_LPG),125,5,BE753),3,FALSE))))))</f>
        <v/>
      </c>
      <c r="BC753" s="467" t="str">
        <f t="shared" si="406"/>
        <v/>
      </c>
      <c r="BD753" s="567" t="str">
        <f t="shared" si="407"/>
        <v/>
      </c>
      <c r="BE753" s="467" t="str">
        <f t="shared" si="408"/>
        <v/>
      </c>
      <c r="BF753" s="469" t="str">
        <f t="shared" ca="1" si="409"/>
        <v/>
      </c>
      <c r="BG753" s="469" t="str">
        <f t="shared" ca="1" si="410"/>
        <v/>
      </c>
      <c r="BH753" s="467" t="str">
        <f t="shared" si="411"/>
        <v/>
      </c>
      <c r="BI753" s="467" t="str">
        <f t="shared" ca="1" si="412"/>
        <v/>
      </c>
      <c r="BJ753" s="469" t="str">
        <f t="shared" si="413"/>
        <v/>
      </c>
      <c r="BK753" s="470" t="str">
        <f t="shared" si="397"/>
        <v/>
      </c>
      <c r="BL753" s="775" t="str">
        <f t="shared" si="414"/>
        <v/>
      </c>
      <c r="BM753" s="775" t="str">
        <f t="shared" si="415"/>
        <v/>
      </c>
    </row>
    <row r="754" spans="1:65">
      <c r="A754" s="473">
        <v>698</v>
      </c>
      <c r="B754" s="132"/>
      <c r="C754" s="332"/>
      <c r="D754" s="333"/>
      <c r="E754" s="333"/>
      <c r="F754" s="334"/>
      <c r="G754" s="337"/>
      <c r="H754" s="131"/>
      <c r="I754" s="337"/>
      <c r="J754" s="131"/>
      <c r="K754" s="458" t="str">
        <f t="shared" si="416"/>
        <v/>
      </c>
      <c r="L754" s="458">
        <f t="shared" si="417"/>
        <v>0</v>
      </c>
      <c r="M754" s="458">
        <f t="shared" si="418"/>
        <v>0</v>
      </c>
      <c r="N754" s="459" t="str">
        <f t="shared" si="283"/>
        <v/>
      </c>
      <c r="O754" s="459" t="str">
        <f t="shared" si="284"/>
        <v/>
      </c>
      <c r="P754" s="459" t="str">
        <f t="shared" si="285"/>
        <v/>
      </c>
      <c r="Q754" s="459" t="str">
        <f t="shared" si="286"/>
        <v/>
      </c>
      <c r="R754" s="459" t="str">
        <f t="shared" si="287"/>
        <v/>
      </c>
      <c r="S754" s="459" t="str">
        <f t="shared" si="288"/>
        <v/>
      </c>
      <c r="T754" s="566" t="str">
        <f t="shared" si="419"/>
        <v/>
      </c>
      <c r="U754" s="702"/>
      <c r="V754" s="132"/>
      <c r="W754" s="133"/>
      <c r="X754" s="134"/>
      <c r="Y754" s="135"/>
      <c r="Z754" s="137"/>
      <c r="AA754" s="136"/>
      <c r="AB754" s="566" t="str">
        <f t="shared" si="420"/>
        <v/>
      </c>
      <c r="AC754" s="568" t="str">
        <f t="shared" si="421"/>
        <v/>
      </c>
      <c r="AD754" s="137"/>
      <c r="AE754" s="137"/>
      <c r="AF754" s="138"/>
      <c r="AG754" s="138"/>
      <c r="AH754" s="592" t="str">
        <f t="shared" si="422"/>
        <v/>
      </c>
      <c r="AI754" s="592" t="str">
        <f t="shared" si="423"/>
        <v/>
      </c>
      <c r="AJ754" s="592" t="str">
        <f t="shared" si="424"/>
        <v/>
      </c>
      <c r="AK754" s="460" t="str">
        <f>IF(AU754="","",IF(OR(AZ754=8,AZ754=9),0,IF(OR(AW754=3,AW754=4,AW754=5,AW754=6),IF(LEFT(BF754,1)="1",INDEX(係数_NOX・PM低減,MATCH(AY754,【参考】排出係数!$AI$801:$AI$804,1),1),VLOOKUP(AU754,INDEX((係数_バス貨物_ガソリン,係数_バス貨物_CNG,係数_バス貨物_軽油,係数_バス貨物_メタノール,係数_バス貨物_LPG),MATCH(AY754,【参考】排出係数!$AI$4:$AI$671,1),1,BE754):INDEX((係数_バス貨物_ガソリン,係数_バス貨物_CNG,係数_バス貨物_軽油,係数_バス貨物_メタノール,係数_バス貨物_LPG),MATCH(AY754+1,【参考】排出係数!$AI$4:$AI$671,1)-1,5,BE754),4,FALSE)),IF(AND(BE754=3,LEFT(BF754,1)="1"),0.48,VLOOKUP(AU754,INDEX((係数_乗用_ガソリン,係数_乗用_CNG,係数_乗用_軽油,係数_乗用_メタノール,係数_乗用_LPG),1,1,BE754):INDEX((係数_乗用_ガソリン,係数_乗用_CNG,係数_乗用_軽油,係数_乗用_メタノール,係数_乗用_LPG),125,5,BE754),4,FALSE)))))</f>
        <v/>
      </c>
      <c r="AL754" s="461" t="str">
        <f t="shared" si="425"/>
        <v/>
      </c>
      <c r="AM754" s="460" t="str">
        <f>IF(AU754="","",IF(OR(AZ754=8,AZ754=9),0,IF(OR(AW754=3,AW754=4,AW754=5,AW754=6),IF(LEFT(BH754,1)="1",INDEX(係数_PM低減,MATCH(AY754,【参考】排出係数!$AI$801:$AI$804,1),MATCH(BI754,【参考】排出係数!$AL$798:$AO$798,1)),VLOOKUP(AU754,INDEX((係数_バス貨物_ガソリン,係数_バス貨物_CNG,係数_バス貨物_軽油,係数_バス貨物_メタノール,係数_バス貨物_LPG),MATCH(AY754,【参考】排出係数!$AI$4:$AI$671,1),1,BE754):INDEX((係数_バス貨物_ガソリン,係数_バス貨物_CNG,係数_バス貨物_軽油,係数_バス貨物_メタノール,係数_バス貨物_LPG),MATCH(AY754+1,【参考】排出係数!$AI$4:$AI$671,1)-1,5,BE754),5,FALSE)),IF(AND(BE754=3,LEFT(BF754,1)="1"),0.055,VLOOKUP(AU754,INDEX((係数_乗用_ガソリン,係数_乗用_CNG,係数_乗用_軽油,係数_乗用_メタノール,係数_乗用_LPG),1,1,BE754):INDEX((係数_乗用_ガソリン,係数_乗用_CNG,係数_乗用_軽油,係数_乗用_メタノール,係数_乗用_LPG),125,5,BE754),5,FALSE)))))</f>
        <v/>
      </c>
      <c r="AN754" s="461" t="str">
        <f t="shared" si="426"/>
        <v/>
      </c>
      <c r="AO754" s="462" t="str">
        <f t="shared" si="427"/>
        <v/>
      </c>
      <c r="AP754" s="463" t="str">
        <f t="shared" si="428"/>
        <v/>
      </c>
      <c r="AQ754" s="464"/>
      <c r="AR754" s="619"/>
      <c r="AS754" s="465" t="str">
        <f t="shared" si="398"/>
        <v/>
      </c>
      <c r="AT754" s="465" t="str">
        <f t="shared" si="399"/>
        <v/>
      </c>
      <c r="AU754" s="466" t="str">
        <f t="shared" si="400"/>
        <v/>
      </c>
      <c r="AV754" s="467" t="str">
        <f t="shared" si="401"/>
        <v/>
      </c>
      <c r="AW754" s="467" t="str">
        <f t="shared" si="402"/>
        <v/>
      </c>
      <c r="AX754" s="467" t="str">
        <f t="shared" si="403"/>
        <v/>
      </c>
      <c r="AY754" s="467" t="str">
        <f t="shared" si="404"/>
        <v/>
      </c>
      <c r="AZ754" s="467" t="str">
        <f t="shared" si="405"/>
        <v/>
      </c>
      <c r="BA754" s="468" t="str">
        <f>IF(AS754="","",IF(OR(AU754="",AU754="-"),"－",IF(OR(AZ754=8,AZ754=9),"",IF(OR(AW754=3,AW754=4,AW754=5,AW754=6),VLOOKUP(AU754,INDEX((係数_バス貨物_ガソリン,係数_バス貨物_CNG,係数_バス貨物_軽油,係数_バス貨物_メタノール,係数_バス貨物_LPG),MATCH(AY754,【参考】排出係数!$AI$4:$AI$671,1),1,BE754):INDEX((係数_バス貨物_ガソリン,係数_バス貨物_CNG,係数_バス貨物_軽油,係数_バス貨物_メタノール,係数_バス貨物_LPG),MATCH(AY754+1,【参考】排出係数!$AI$4:$AI$671,1)-1,5,BE754),2,FALSE),IF(OR(AW754=1,AW754=2),VLOOKUP(AU754,INDEX((係数_乗用_ガソリン,係数_乗用_CNG,係数_乗用_軽油,係数_乗用_メタノール,係数_乗用_LPG),1,1,BE754):INDEX((係数_乗用_ガソリン,係数_乗用_CNG,係数_乗用_軽油,係数_乗用_メタノール,係数_乗用_LPG),125,5,BE754),2,FALSE))))))</f>
        <v/>
      </c>
      <c r="BB754" s="468" t="str">
        <f>IF(T754="","",IF(OR(AU754="",AU754="-"),"－",IF(OR(AZ754=8,AZ754=9),"",IF(OR(AW754=3,AW754=4,AW754=5,AW754=6),VLOOKUP(AU754,INDEX((係数_バス貨物_ガソリン,係数_バス貨物_CNG,係数_バス貨物_軽油,係数_バス貨物_メタノール,係数_バス貨物_LPG),MATCH(AY754,【参考】排出係数!$AI$4:$AI$671,1),1,BE754):INDEX((係数_バス貨物_ガソリン,係数_バス貨物_CNG,係数_バス貨物_軽油,係数_バス貨物_メタノール,係数_バス貨物_LPG),MATCH(AY754+1,【参考】排出係数!$AI$4:$AI$671,1)-1,5,BE754),3,FALSE),IF(OR(AW754=1,AW754=2),VLOOKUP(AU754,INDEX((係数_乗用_ガソリン,係数_乗用_CNG,係数_乗用_軽油,係数_乗用_メタノール,係数_乗用_LPG),1,1,BE754):INDEX((係数_乗用_ガソリン,係数_乗用_CNG,係数_乗用_軽油,係数_乗用_メタノール,係数_乗用_LPG),125,5,BE754),3,FALSE))))))</f>
        <v/>
      </c>
      <c r="BC754" s="467" t="str">
        <f t="shared" si="406"/>
        <v/>
      </c>
      <c r="BD754" s="567" t="str">
        <f t="shared" si="407"/>
        <v/>
      </c>
      <c r="BE754" s="467" t="str">
        <f t="shared" si="408"/>
        <v/>
      </c>
      <c r="BF754" s="469" t="str">
        <f t="shared" ca="1" si="409"/>
        <v/>
      </c>
      <c r="BG754" s="469" t="str">
        <f t="shared" ca="1" si="410"/>
        <v/>
      </c>
      <c r="BH754" s="467" t="str">
        <f t="shared" si="411"/>
        <v/>
      </c>
      <c r="BI754" s="467" t="str">
        <f t="shared" ca="1" si="412"/>
        <v/>
      </c>
      <c r="BJ754" s="469" t="str">
        <f t="shared" si="413"/>
        <v/>
      </c>
      <c r="BK754" s="470" t="str">
        <f t="shared" si="397"/>
        <v/>
      </c>
      <c r="BL754" s="775" t="str">
        <f t="shared" si="414"/>
        <v/>
      </c>
      <c r="BM754" s="775" t="str">
        <f t="shared" si="415"/>
        <v/>
      </c>
    </row>
    <row r="755" spans="1:65">
      <c r="A755" s="473">
        <v>699</v>
      </c>
      <c r="B755" s="132"/>
      <c r="C755" s="332"/>
      <c r="D755" s="333"/>
      <c r="E755" s="333"/>
      <c r="F755" s="334"/>
      <c r="G755" s="337"/>
      <c r="H755" s="131"/>
      <c r="I755" s="337"/>
      <c r="J755" s="131"/>
      <c r="K755" s="458" t="str">
        <f t="shared" si="416"/>
        <v/>
      </c>
      <c r="L755" s="458">
        <f t="shared" si="417"/>
        <v>0</v>
      </c>
      <c r="M755" s="458">
        <f t="shared" si="418"/>
        <v>0</v>
      </c>
      <c r="N755" s="459" t="str">
        <f t="shared" si="283"/>
        <v/>
      </c>
      <c r="O755" s="459" t="str">
        <f t="shared" si="284"/>
        <v/>
      </c>
      <c r="P755" s="459" t="str">
        <f t="shared" si="285"/>
        <v/>
      </c>
      <c r="Q755" s="459" t="str">
        <f t="shared" si="286"/>
        <v/>
      </c>
      <c r="R755" s="459" t="str">
        <f t="shared" si="287"/>
        <v/>
      </c>
      <c r="S755" s="459" t="str">
        <f t="shared" si="288"/>
        <v/>
      </c>
      <c r="T755" s="566" t="str">
        <f t="shared" si="419"/>
        <v/>
      </c>
      <c r="U755" s="702"/>
      <c r="V755" s="132"/>
      <c r="W755" s="133"/>
      <c r="X755" s="134"/>
      <c r="Y755" s="135"/>
      <c r="Z755" s="137"/>
      <c r="AA755" s="136"/>
      <c r="AB755" s="566" t="str">
        <f t="shared" si="420"/>
        <v/>
      </c>
      <c r="AC755" s="568" t="str">
        <f t="shared" si="421"/>
        <v/>
      </c>
      <c r="AD755" s="137"/>
      <c r="AE755" s="137"/>
      <c r="AF755" s="138"/>
      <c r="AG755" s="138"/>
      <c r="AH755" s="592" t="str">
        <f t="shared" si="422"/>
        <v/>
      </c>
      <c r="AI755" s="592" t="str">
        <f t="shared" si="423"/>
        <v/>
      </c>
      <c r="AJ755" s="592" t="str">
        <f t="shared" si="424"/>
        <v/>
      </c>
      <c r="AK755" s="460" t="str">
        <f>IF(AU755="","",IF(OR(AZ755=8,AZ755=9),0,IF(OR(AW755=3,AW755=4,AW755=5,AW755=6),IF(LEFT(BF755,1)="1",INDEX(係数_NOX・PM低減,MATCH(AY755,【参考】排出係数!$AI$801:$AI$804,1),1),VLOOKUP(AU755,INDEX((係数_バス貨物_ガソリン,係数_バス貨物_CNG,係数_バス貨物_軽油,係数_バス貨物_メタノール,係数_バス貨物_LPG),MATCH(AY755,【参考】排出係数!$AI$4:$AI$671,1),1,BE755):INDEX((係数_バス貨物_ガソリン,係数_バス貨物_CNG,係数_バス貨物_軽油,係数_バス貨物_メタノール,係数_バス貨物_LPG),MATCH(AY755+1,【参考】排出係数!$AI$4:$AI$671,1)-1,5,BE755),4,FALSE)),IF(AND(BE755=3,LEFT(BF755,1)="1"),0.48,VLOOKUP(AU755,INDEX((係数_乗用_ガソリン,係数_乗用_CNG,係数_乗用_軽油,係数_乗用_メタノール,係数_乗用_LPG),1,1,BE755):INDEX((係数_乗用_ガソリン,係数_乗用_CNG,係数_乗用_軽油,係数_乗用_メタノール,係数_乗用_LPG),125,5,BE755),4,FALSE)))))</f>
        <v/>
      </c>
      <c r="AL755" s="461" t="str">
        <f t="shared" si="425"/>
        <v/>
      </c>
      <c r="AM755" s="460" t="str">
        <f>IF(AU755="","",IF(OR(AZ755=8,AZ755=9),0,IF(OR(AW755=3,AW755=4,AW755=5,AW755=6),IF(LEFT(BH755,1)="1",INDEX(係数_PM低減,MATCH(AY755,【参考】排出係数!$AI$801:$AI$804,1),MATCH(BI755,【参考】排出係数!$AL$798:$AO$798,1)),VLOOKUP(AU755,INDEX((係数_バス貨物_ガソリン,係数_バス貨物_CNG,係数_バス貨物_軽油,係数_バス貨物_メタノール,係数_バス貨物_LPG),MATCH(AY755,【参考】排出係数!$AI$4:$AI$671,1),1,BE755):INDEX((係数_バス貨物_ガソリン,係数_バス貨物_CNG,係数_バス貨物_軽油,係数_バス貨物_メタノール,係数_バス貨物_LPG),MATCH(AY755+1,【参考】排出係数!$AI$4:$AI$671,1)-1,5,BE755),5,FALSE)),IF(AND(BE755=3,LEFT(BF755,1)="1"),0.055,VLOOKUP(AU755,INDEX((係数_乗用_ガソリン,係数_乗用_CNG,係数_乗用_軽油,係数_乗用_メタノール,係数_乗用_LPG),1,1,BE755):INDEX((係数_乗用_ガソリン,係数_乗用_CNG,係数_乗用_軽油,係数_乗用_メタノール,係数_乗用_LPG),125,5,BE755),5,FALSE)))))</f>
        <v/>
      </c>
      <c r="AN755" s="461" t="str">
        <f t="shared" si="426"/>
        <v/>
      </c>
      <c r="AO755" s="462" t="str">
        <f t="shared" si="427"/>
        <v/>
      </c>
      <c r="AP755" s="463" t="str">
        <f t="shared" si="428"/>
        <v/>
      </c>
      <c r="AQ755" s="464"/>
      <c r="AR755" s="619"/>
      <c r="AS755" s="465" t="str">
        <f t="shared" si="398"/>
        <v/>
      </c>
      <c r="AT755" s="465" t="str">
        <f t="shared" si="399"/>
        <v/>
      </c>
      <c r="AU755" s="466" t="str">
        <f t="shared" si="400"/>
        <v/>
      </c>
      <c r="AV755" s="467" t="str">
        <f t="shared" si="401"/>
        <v/>
      </c>
      <c r="AW755" s="467" t="str">
        <f t="shared" si="402"/>
        <v/>
      </c>
      <c r="AX755" s="467" t="str">
        <f t="shared" si="403"/>
        <v/>
      </c>
      <c r="AY755" s="467" t="str">
        <f t="shared" si="404"/>
        <v/>
      </c>
      <c r="AZ755" s="467" t="str">
        <f t="shared" si="405"/>
        <v/>
      </c>
      <c r="BA755" s="468" t="str">
        <f>IF(AS755="","",IF(OR(AU755="",AU755="-"),"－",IF(OR(AZ755=8,AZ755=9),"",IF(OR(AW755=3,AW755=4,AW755=5,AW755=6),VLOOKUP(AU755,INDEX((係数_バス貨物_ガソリン,係数_バス貨物_CNG,係数_バス貨物_軽油,係数_バス貨物_メタノール,係数_バス貨物_LPG),MATCH(AY755,【参考】排出係数!$AI$4:$AI$671,1),1,BE755):INDEX((係数_バス貨物_ガソリン,係数_バス貨物_CNG,係数_バス貨物_軽油,係数_バス貨物_メタノール,係数_バス貨物_LPG),MATCH(AY755+1,【参考】排出係数!$AI$4:$AI$671,1)-1,5,BE755),2,FALSE),IF(OR(AW755=1,AW755=2),VLOOKUP(AU755,INDEX((係数_乗用_ガソリン,係数_乗用_CNG,係数_乗用_軽油,係数_乗用_メタノール,係数_乗用_LPG),1,1,BE755):INDEX((係数_乗用_ガソリン,係数_乗用_CNG,係数_乗用_軽油,係数_乗用_メタノール,係数_乗用_LPG),125,5,BE755),2,FALSE))))))</f>
        <v/>
      </c>
      <c r="BB755" s="468" t="str">
        <f>IF(T755="","",IF(OR(AU755="",AU755="-"),"－",IF(OR(AZ755=8,AZ755=9),"",IF(OR(AW755=3,AW755=4,AW755=5,AW755=6),VLOOKUP(AU755,INDEX((係数_バス貨物_ガソリン,係数_バス貨物_CNG,係数_バス貨物_軽油,係数_バス貨物_メタノール,係数_バス貨物_LPG),MATCH(AY755,【参考】排出係数!$AI$4:$AI$671,1),1,BE755):INDEX((係数_バス貨物_ガソリン,係数_バス貨物_CNG,係数_バス貨物_軽油,係数_バス貨物_メタノール,係数_バス貨物_LPG),MATCH(AY755+1,【参考】排出係数!$AI$4:$AI$671,1)-1,5,BE755),3,FALSE),IF(OR(AW755=1,AW755=2),VLOOKUP(AU755,INDEX((係数_乗用_ガソリン,係数_乗用_CNG,係数_乗用_軽油,係数_乗用_メタノール,係数_乗用_LPG),1,1,BE755):INDEX((係数_乗用_ガソリン,係数_乗用_CNG,係数_乗用_軽油,係数_乗用_メタノール,係数_乗用_LPG),125,5,BE755),3,FALSE))))))</f>
        <v/>
      </c>
      <c r="BC755" s="467" t="str">
        <f t="shared" si="406"/>
        <v/>
      </c>
      <c r="BD755" s="567" t="str">
        <f t="shared" si="407"/>
        <v/>
      </c>
      <c r="BE755" s="467" t="str">
        <f t="shared" si="408"/>
        <v/>
      </c>
      <c r="BF755" s="469" t="str">
        <f t="shared" ca="1" si="409"/>
        <v/>
      </c>
      <c r="BG755" s="469" t="str">
        <f t="shared" ca="1" si="410"/>
        <v/>
      </c>
      <c r="BH755" s="467" t="str">
        <f t="shared" si="411"/>
        <v/>
      </c>
      <c r="BI755" s="467" t="str">
        <f t="shared" ca="1" si="412"/>
        <v/>
      </c>
      <c r="BJ755" s="469" t="str">
        <f t="shared" si="413"/>
        <v/>
      </c>
      <c r="BK755" s="470" t="str">
        <f t="shared" si="397"/>
        <v/>
      </c>
      <c r="BL755" s="775" t="str">
        <f t="shared" si="414"/>
        <v/>
      </c>
      <c r="BM755" s="775" t="str">
        <f t="shared" si="415"/>
        <v/>
      </c>
    </row>
    <row r="756" spans="1:65">
      <c r="A756" s="473">
        <v>700</v>
      </c>
      <c r="B756" s="132"/>
      <c r="C756" s="332"/>
      <c r="D756" s="333"/>
      <c r="E756" s="333"/>
      <c r="F756" s="334"/>
      <c r="G756" s="337"/>
      <c r="H756" s="131"/>
      <c r="I756" s="337"/>
      <c r="J756" s="131"/>
      <c r="K756" s="458" t="str">
        <f t="shared" si="416"/>
        <v/>
      </c>
      <c r="L756" s="458">
        <f t="shared" si="417"/>
        <v>0</v>
      </c>
      <c r="M756" s="458">
        <f t="shared" si="418"/>
        <v>0</v>
      </c>
      <c r="N756" s="459" t="str">
        <f t="shared" si="283"/>
        <v/>
      </c>
      <c r="O756" s="459" t="str">
        <f t="shared" si="284"/>
        <v/>
      </c>
      <c r="P756" s="459" t="str">
        <f t="shared" si="285"/>
        <v/>
      </c>
      <c r="Q756" s="459" t="str">
        <f t="shared" si="286"/>
        <v/>
      </c>
      <c r="R756" s="459" t="str">
        <f t="shared" si="287"/>
        <v/>
      </c>
      <c r="S756" s="459" t="str">
        <f t="shared" si="288"/>
        <v/>
      </c>
      <c r="T756" s="566" t="str">
        <f t="shared" si="419"/>
        <v/>
      </c>
      <c r="U756" s="702"/>
      <c r="V756" s="132"/>
      <c r="W756" s="133"/>
      <c r="X756" s="134"/>
      <c r="Y756" s="135"/>
      <c r="Z756" s="137"/>
      <c r="AA756" s="136"/>
      <c r="AB756" s="566" t="str">
        <f t="shared" si="420"/>
        <v/>
      </c>
      <c r="AC756" s="568" t="str">
        <f t="shared" si="421"/>
        <v/>
      </c>
      <c r="AD756" s="137"/>
      <c r="AE756" s="137"/>
      <c r="AF756" s="138"/>
      <c r="AG756" s="138"/>
      <c r="AH756" s="592" t="str">
        <f t="shared" si="422"/>
        <v/>
      </c>
      <c r="AI756" s="592" t="str">
        <f t="shared" si="423"/>
        <v/>
      </c>
      <c r="AJ756" s="592" t="str">
        <f t="shared" si="424"/>
        <v/>
      </c>
      <c r="AK756" s="460" t="str">
        <f>IF(AU756="","",IF(OR(AZ756=8,AZ756=9),0,IF(OR(AW756=3,AW756=4,AW756=5,AW756=6),IF(LEFT(BF756,1)="1",INDEX(係数_NOX・PM低減,MATCH(AY756,【参考】排出係数!$AI$801:$AI$804,1),1),VLOOKUP(AU756,INDEX((係数_バス貨物_ガソリン,係数_バス貨物_CNG,係数_バス貨物_軽油,係数_バス貨物_メタノール,係数_バス貨物_LPG),MATCH(AY756,【参考】排出係数!$AI$4:$AI$671,1),1,BE756):INDEX((係数_バス貨物_ガソリン,係数_バス貨物_CNG,係数_バス貨物_軽油,係数_バス貨物_メタノール,係数_バス貨物_LPG),MATCH(AY756+1,【参考】排出係数!$AI$4:$AI$671,1)-1,5,BE756),4,FALSE)),IF(AND(BE756=3,LEFT(BF756,1)="1"),0.48,VLOOKUP(AU756,INDEX((係数_乗用_ガソリン,係数_乗用_CNG,係数_乗用_軽油,係数_乗用_メタノール,係数_乗用_LPG),1,1,BE756):INDEX((係数_乗用_ガソリン,係数_乗用_CNG,係数_乗用_軽油,係数_乗用_メタノール,係数_乗用_LPG),125,5,BE756),4,FALSE)))))</f>
        <v/>
      </c>
      <c r="AL756" s="461" t="str">
        <f t="shared" si="425"/>
        <v/>
      </c>
      <c r="AM756" s="460" t="str">
        <f>IF(AU756="","",IF(OR(AZ756=8,AZ756=9),0,IF(OR(AW756=3,AW756=4,AW756=5,AW756=6),IF(LEFT(BH756,1)="1",INDEX(係数_PM低減,MATCH(AY756,【参考】排出係数!$AI$801:$AI$804,1),MATCH(BI756,【参考】排出係数!$AL$798:$AO$798,1)),VLOOKUP(AU756,INDEX((係数_バス貨物_ガソリン,係数_バス貨物_CNG,係数_バス貨物_軽油,係数_バス貨物_メタノール,係数_バス貨物_LPG),MATCH(AY756,【参考】排出係数!$AI$4:$AI$671,1),1,BE756):INDEX((係数_バス貨物_ガソリン,係数_バス貨物_CNG,係数_バス貨物_軽油,係数_バス貨物_メタノール,係数_バス貨物_LPG),MATCH(AY756+1,【参考】排出係数!$AI$4:$AI$671,1)-1,5,BE756),5,FALSE)),IF(AND(BE756=3,LEFT(BF756,1)="1"),0.055,VLOOKUP(AU756,INDEX((係数_乗用_ガソリン,係数_乗用_CNG,係数_乗用_軽油,係数_乗用_メタノール,係数_乗用_LPG),1,1,BE756):INDEX((係数_乗用_ガソリン,係数_乗用_CNG,係数_乗用_軽油,係数_乗用_メタノール,係数_乗用_LPG),125,5,BE756),5,FALSE)))))</f>
        <v/>
      </c>
      <c r="AN756" s="461" t="str">
        <f t="shared" si="426"/>
        <v/>
      </c>
      <c r="AO756" s="462" t="str">
        <f t="shared" si="427"/>
        <v/>
      </c>
      <c r="AP756" s="463" t="str">
        <f t="shared" si="428"/>
        <v/>
      </c>
      <c r="AQ756" s="464"/>
      <c r="AR756" s="619"/>
      <c r="AS756" s="465" t="str">
        <f t="shared" si="398"/>
        <v/>
      </c>
      <c r="AT756" s="465" t="str">
        <f t="shared" si="399"/>
        <v/>
      </c>
      <c r="AU756" s="466" t="str">
        <f t="shared" si="400"/>
        <v/>
      </c>
      <c r="AV756" s="467" t="str">
        <f t="shared" si="401"/>
        <v/>
      </c>
      <c r="AW756" s="467" t="str">
        <f t="shared" si="402"/>
        <v/>
      </c>
      <c r="AX756" s="467" t="str">
        <f t="shared" si="403"/>
        <v/>
      </c>
      <c r="AY756" s="467" t="str">
        <f t="shared" si="404"/>
        <v/>
      </c>
      <c r="AZ756" s="467" t="str">
        <f t="shared" si="405"/>
        <v/>
      </c>
      <c r="BA756" s="468" t="str">
        <f>IF(AS756="","",IF(OR(AU756="",AU756="-"),"－",IF(OR(AZ756=8,AZ756=9),"",IF(OR(AW756=3,AW756=4,AW756=5,AW756=6),VLOOKUP(AU756,INDEX((係数_バス貨物_ガソリン,係数_バス貨物_CNG,係数_バス貨物_軽油,係数_バス貨物_メタノール,係数_バス貨物_LPG),MATCH(AY756,【参考】排出係数!$AI$4:$AI$671,1),1,BE756):INDEX((係数_バス貨物_ガソリン,係数_バス貨物_CNG,係数_バス貨物_軽油,係数_バス貨物_メタノール,係数_バス貨物_LPG),MATCH(AY756+1,【参考】排出係数!$AI$4:$AI$671,1)-1,5,BE756),2,FALSE),IF(OR(AW756=1,AW756=2),VLOOKUP(AU756,INDEX((係数_乗用_ガソリン,係数_乗用_CNG,係数_乗用_軽油,係数_乗用_メタノール,係数_乗用_LPG),1,1,BE756):INDEX((係数_乗用_ガソリン,係数_乗用_CNG,係数_乗用_軽油,係数_乗用_メタノール,係数_乗用_LPG),125,5,BE756),2,FALSE))))))</f>
        <v/>
      </c>
      <c r="BB756" s="468" t="str">
        <f>IF(T756="","",IF(OR(AU756="",AU756="-"),"－",IF(OR(AZ756=8,AZ756=9),"",IF(OR(AW756=3,AW756=4,AW756=5,AW756=6),VLOOKUP(AU756,INDEX((係数_バス貨物_ガソリン,係数_バス貨物_CNG,係数_バス貨物_軽油,係数_バス貨物_メタノール,係数_バス貨物_LPG),MATCH(AY756,【参考】排出係数!$AI$4:$AI$671,1),1,BE756):INDEX((係数_バス貨物_ガソリン,係数_バス貨物_CNG,係数_バス貨物_軽油,係数_バス貨物_メタノール,係数_バス貨物_LPG),MATCH(AY756+1,【参考】排出係数!$AI$4:$AI$671,1)-1,5,BE756),3,FALSE),IF(OR(AW756=1,AW756=2),VLOOKUP(AU756,INDEX((係数_乗用_ガソリン,係数_乗用_CNG,係数_乗用_軽油,係数_乗用_メタノール,係数_乗用_LPG),1,1,BE756):INDEX((係数_乗用_ガソリン,係数_乗用_CNG,係数_乗用_軽油,係数_乗用_メタノール,係数_乗用_LPG),125,5,BE756),3,FALSE))))))</f>
        <v/>
      </c>
      <c r="BC756" s="467" t="str">
        <f t="shared" si="406"/>
        <v/>
      </c>
      <c r="BD756" s="567" t="str">
        <f t="shared" si="407"/>
        <v/>
      </c>
      <c r="BE756" s="467" t="str">
        <f t="shared" si="408"/>
        <v/>
      </c>
      <c r="BF756" s="469" t="str">
        <f t="shared" ca="1" si="409"/>
        <v/>
      </c>
      <c r="BG756" s="469" t="str">
        <f t="shared" ca="1" si="410"/>
        <v/>
      </c>
      <c r="BH756" s="467" t="str">
        <f t="shared" si="411"/>
        <v/>
      </c>
      <c r="BI756" s="467" t="str">
        <f t="shared" ca="1" si="412"/>
        <v/>
      </c>
      <c r="BJ756" s="469" t="str">
        <f t="shared" si="413"/>
        <v/>
      </c>
      <c r="BK756" s="470" t="str">
        <f t="shared" si="397"/>
        <v/>
      </c>
      <c r="BL756" s="775" t="str">
        <f t="shared" si="414"/>
        <v/>
      </c>
      <c r="BM756" s="775" t="str">
        <f t="shared" si="415"/>
        <v/>
      </c>
    </row>
    <row r="757" spans="1:65">
      <c r="A757" s="473">
        <v>701</v>
      </c>
      <c r="B757" s="132"/>
      <c r="C757" s="332"/>
      <c r="D757" s="333"/>
      <c r="E757" s="333"/>
      <c r="F757" s="334"/>
      <c r="G757" s="337"/>
      <c r="H757" s="131"/>
      <c r="I757" s="337"/>
      <c r="J757" s="131"/>
      <c r="K757" s="458" t="str">
        <f t="shared" si="416"/>
        <v/>
      </c>
      <c r="L757" s="458">
        <f t="shared" si="417"/>
        <v>0</v>
      </c>
      <c r="M757" s="458">
        <f t="shared" si="418"/>
        <v>0</v>
      </c>
      <c r="N757" s="459" t="str">
        <f t="shared" si="283"/>
        <v/>
      </c>
      <c r="O757" s="459" t="str">
        <f t="shared" si="284"/>
        <v/>
      </c>
      <c r="P757" s="459" t="str">
        <f t="shared" si="285"/>
        <v/>
      </c>
      <c r="Q757" s="459" t="str">
        <f t="shared" si="286"/>
        <v/>
      </c>
      <c r="R757" s="459" t="str">
        <f t="shared" si="287"/>
        <v/>
      </c>
      <c r="S757" s="459" t="str">
        <f t="shared" si="288"/>
        <v/>
      </c>
      <c r="T757" s="566" t="str">
        <f t="shared" si="419"/>
        <v/>
      </c>
      <c r="U757" s="702"/>
      <c r="V757" s="132"/>
      <c r="W757" s="133"/>
      <c r="X757" s="134"/>
      <c r="Y757" s="135"/>
      <c r="Z757" s="137"/>
      <c r="AA757" s="136"/>
      <c r="AB757" s="566" t="str">
        <f t="shared" si="420"/>
        <v/>
      </c>
      <c r="AC757" s="568" t="str">
        <f t="shared" si="421"/>
        <v/>
      </c>
      <c r="AD757" s="137"/>
      <c r="AE757" s="137"/>
      <c r="AF757" s="138"/>
      <c r="AG757" s="138"/>
      <c r="AH757" s="592" t="str">
        <f t="shared" si="422"/>
        <v/>
      </c>
      <c r="AI757" s="592" t="str">
        <f t="shared" si="423"/>
        <v/>
      </c>
      <c r="AJ757" s="592" t="str">
        <f t="shared" si="424"/>
        <v/>
      </c>
      <c r="AK757" s="460" t="str">
        <f>IF(AU757="","",IF(OR(AZ757=8,AZ757=9),0,IF(OR(AW757=3,AW757=4,AW757=5,AW757=6),IF(LEFT(BF757,1)="1",INDEX(係数_NOX・PM低減,MATCH(AY757,【参考】排出係数!$AI$801:$AI$804,1),1),VLOOKUP(AU757,INDEX((係数_バス貨物_ガソリン,係数_バス貨物_CNG,係数_バス貨物_軽油,係数_バス貨物_メタノール,係数_バス貨物_LPG),MATCH(AY757,【参考】排出係数!$AI$4:$AI$671,1),1,BE757):INDEX((係数_バス貨物_ガソリン,係数_バス貨物_CNG,係数_バス貨物_軽油,係数_バス貨物_メタノール,係数_バス貨物_LPG),MATCH(AY757+1,【参考】排出係数!$AI$4:$AI$671,1)-1,5,BE757),4,FALSE)),IF(AND(BE757=3,LEFT(BF757,1)="1"),0.48,VLOOKUP(AU757,INDEX((係数_乗用_ガソリン,係数_乗用_CNG,係数_乗用_軽油,係数_乗用_メタノール,係数_乗用_LPG),1,1,BE757):INDEX((係数_乗用_ガソリン,係数_乗用_CNG,係数_乗用_軽油,係数_乗用_メタノール,係数_乗用_LPG),125,5,BE757),4,FALSE)))))</f>
        <v/>
      </c>
      <c r="AL757" s="461" t="str">
        <f t="shared" si="425"/>
        <v/>
      </c>
      <c r="AM757" s="460" t="str">
        <f>IF(AU757="","",IF(OR(AZ757=8,AZ757=9),0,IF(OR(AW757=3,AW757=4,AW757=5,AW757=6),IF(LEFT(BH757,1)="1",INDEX(係数_PM低減,MATCH(AY757,【参考】排出係数!$AI$801:$AI$804,1),MATCH(BI757,【参考】排出係数!$AL$798:$AO$798,1)),VLOOKUP(AU757,INDEX((係数_バス貨物_ガソリン,係数_バス貨物_CNG,係数_バス貨物_軽油,係数_バス貨物_メタノール,係数_バス貨物_LPG),MATCH(AY757,【参考】排出係数!$AI$4:$AI$671,1),1,BE757):INDEX((係数_バス貨物_ガソリン,係数_バス貨物_CNG,係数_バス貨物_軽油,係数_バス貨物_メタノール,係数_バス貨物_LPG),MATCH(AY757+1,【参考】排出係数!$AI$4:$AI$671,1)-1,5,BE757),5,FALSE)),IF(AND(BE757=3,LEFT(BF757,1)="1"),0.055,VLOOKUP(AU757,INDEX((係数_乗用_ガソリン,係数_乗用_CNG,係数_乗用_軽油,係数_乗用_メタノール,係数_乗用_LPG),1,1,BE757):INDEX((係数_乗用_ガソリン,係数_乗用_CNG,係数_乗用_軽油,係数_乗用_メタノール,係数_乗用_LPG),125,5,BE757),5,FALSE)))))</f>
        <v/>
      </c>
      <c r="AN757" s="461" t="str">
        <f t="shared" si="426"/>
        <v/>
      </c>
      <c r="AO757" s="462" t="str">
        <f t="shared" si="427"/>
        <v/>
      </c>
      <c r="AP757" s="463" t="str">
        <f t="shared" si="428"/>
        <v/>
      </c>
      <c r="AQ757" s="464"/>
      <c r="AR757" s="619"/>
      <c r="AS757" s="465" t="str">
        <f t="shared" si="398"/>
        <v/>
      </c>
      <c r="AT757" s="465" t="str">
        <f t="shared" si="399"/>
        <v/>
      </c>
      <c r="AU757" s="466" t="str">
        <f t="shared" si="400"/>
        <v/>
      </c>
      <c r="AV757" s="467" t="str">
        <f t="shared" si="401"/>
        <v/>
      </c>
      <c r="AW757" s="467" t="str">
        <f t="shared" si="402"/>
        <v/>
      </c>
      <c r="AX757" s="467" t="str">
        <f t="shared" si="403"/>
        <v/>
      </c>
      <c r="AY757" s="467" t="str">
        <f t="shared" si="404"/>
        <v/>
      </c>
      <c r="AZ757" s="467" t="str">
        <f t="shared" si="405"/>
        <v/>
      </c>
      <c r="BA757" s="468" t="str">
        <f>IF(AS757="","",IF(OR(AU757="",AU757="-"),"－",IF(OR(AZ757=8,AZ757=9),"",IF(OR(AW757=3,AW757=4,AW757=5,AW757=6),VLOOKUP(AU757,INDEX((係数_バス貨物_ガソリン,係数_バス貨物_CNG,係数_バス貨物_軽油,係数_バス貨物_メタノール,係数_バス貨物_LPG),MATCH(AY757,【参考】排出係数!$AI$4:$AI$671,1),1,BE757):INDEX((係数_バス貨物_ガソリン,係数_バス貨物_CNG,係数_バス貨物_軽油,係数_バス貨物_メタノール,係数_バス貨物_LPG),MATCH(AY757+1,【参考】排出係数!$AI$4:$AI$671,1)-1,5,BE757),2,FALSE),IF(OR(AW757=1,AW757=2),VLOOKUP(AU757,INDEX((係数_乗用_ガソリン,係数_乗用_CNG,係数_乗用_軽油,係数_乗用_メタノール,係数_乗用_LPG),1,1,BE757):INDEX((係数_乗用_ガソリン,係数_乗用_CNG,係数_乗用_軽油,係数_乗用_メタノール,係数_乗用_LPG),125,5,BE757),2,FALSE))))))</f>
        <v/>
      </c>
      <c r="BB757" s="468" t="str">
        <f>IF(T757="","",IF(OR(AU757="",AU757="-"),"－",IF(OR(AZ757=8,AZ757=9),"",IF(OR(AW757=3,AW757=4,AW757=5,AW757=6),VLOOKUP(AU757,INDEX((係数_バス貨物_ガソリン,係数_バス貨物_CNG,係数_バス貨物_軽油,係数_バス貨物_メタノール,係数_バス貨物_LPG),MATCH(AY757,【参考】排出係数!$AI$4:$AI$671,1),1,BE757):INDEX((係数_バス貨物_ガソリン,係数_バス貨物_CNG,係数_バス貨物_軽油,係数_バス貨物_メタノール,係数_バス貨物_LPG),MATCH(AY757+1,【参考】排出係数!$AI$4:$AI$671,1)-1,5,BE757),3,FALSE),IF(OR(AW757=1,AW757=2),VLOOKUP(AU757,INDEX((係数_乗用_ガソリン,係数_乗用_CNG,係数_乗用_軽油,係数_乗用_メタノール,係数_乗用_LPG),1,1,BE757):INDEX((係数_乗用_ガソリン,係数_乗用_CNG,係数_乗用_軽油,係数_乗用_メタノール,係数_乗用_LPG),125,5,BE757),3,FALSE))))))</f>
        <v/>
      </c>
      <c r="BC757" s="467" t="str">
        <f t="shared" si="406"/>
        <v/>
      </c>
      <c r="BD757" s="567" t="str">
        <f t="shared" si="407"/>
        <v/>
      </c>
      <c r="BE757" s="467" t="str">
        <f t="shared" si="408"/>
        <v/>
      </c>
      <c r="BF757" s="469" t="str">
        <f t="shared" ca="1" si="409"/>
        <v/>
      </c>
      <c r="BG757" s="469" t="str">
        <f t="shared" ca="1" si="410"/>
        <v/>
      </c>
      <c r="BH757" s="467" t="str">
        <f t="shared" si="411"/>
        <v/>
      </c>
      <c r="BI757" s="467" t="str">
        <f t="shared" ca="1" si="412"/>
        <v/>
      </c>
      <c r="BJ757" s="469" t="str">
        <f t="shared" si="413"/>
        <v/>
      </c>
      <c r="BK757" s="470" t="str">
        <f t="shared" si="397"/>
        <v/>
      </c>
      <c r="BL757" s="775" t="str">
        <f t="shared" si="414"/>
        <v/>
      </c>
      <c r="BM757" s="775" t="str">
        <f t="shared" si="415"/>
        <v/>
      </c>
    </row>
    <row r="758" spans="1:65">
      <c r="A758" s="473">
        <v>702</v>
      </c>
      <c r="B758" s="132"/>
      <c r="C758" s="332"/>
      <c r="D758" s="333"/>
      <c r="E758" s="333"/>
      <c r="F758" s="334"/>
      <c r="G758" s="337"/>
      <c r="H758" s="131"/>
      <c r="I758" s="337"/>
      <c r="J758" s="131"/>
      <c r="K758" s="458" t="str">
        <f t="shared" si="416"/>
        <v/>
      </c>
      <c r="L758" s="458">
        <f t="shared" si="417"/>
        <v>0</v>
      </c>
      <c r="M758" s="458">
        <f t="shared" si="418"/>
        <v>0</v>
      </c>
      <c r="N758" s="459" t="str">
        <f t="shared" si="283"/>
        <v/>
      </c>
      <c r="O758" s="459" t="str">
        <f t="shared" si="284"/>
        <v/>
      </c>
      <c r="P758" s="459" t="str">
        <f t="shared" si="285"/>
        <v/>
      </c>
      <c r="Q758" s="459" t="str">
        <f t="shared" si="286"/>
        <v/>
      </c>
      <c r="R758" s="459" t="str">
        <f t="shared" si="287"/>
        <v/>
      </c>
      <c r="S758" s="459" t="str">
        <f t="shared" si="288"/>
        <v/>
      </c>
      <c r="T758" s="566" t="str">
        <f t="shared" si="419"/>
        <v/>
      </c>
      <c r="U758" s="702"/>
      <c r="V758" s="132"/>
      <c r="W758" s="133"/>
      <c r="X758" s="134"/>
      <c r="Y758" s="135"/>
      <c r="Z758" s="137"/>
      <c r="AA758" s="136"/>
      <c r="AB758" s="566" t="str">
        <f t="shared" si="420"/>
        <v/>
      </c>
      <c r="AC758" s="568" t="str">
        <f t="shared" si="421"/>
        <v/>
      </c>
      <c r="AD758" s="137"/>
      <c r="AE758" s="137"/>
      <c r="AF758" s="138"/>
      <c r="AG758" s="138"/>
      <c r="AH758" s="592" t="str">
        <f t="shared" si="422"/>
        <v/>
      </c>
      <c r="AI758" s="592" t="str">
        <f t="shared" si="423"/>
        <v/>
      </c>
      <c r="AJ758" s="592" t="str">
        <f t="shared" si="424"/>
        <v/>
      </c>
      <c r="AK758" s="460" t="str">
        <f>IF(AU758="","",IF(OR(AZ758=8,AZ758=9),0,IF(OR(AW758=3,AW758=4,AW758=5,AW758=6),IF(LEFT(BF758,1)="1",INDEX(係数_NOX・PM低減,MATCH(AY758,【参考】排出係数!$AI$801:$AI$804,1),1),VLOOKUP(AU758,INDEX((係数_バス貨物_ガソリン,係数_バス貨物_CNG,係数_バス貨物_軽油,係数_バス貨物_メタノール,係数_バス貨物_LPG),MATCH(AY758,【参考】排出係数!$AI$4:$AI$671,1),1,BE758):INDEX((係数_バス貨物_ガソリン,係数_バス貨物_CNG,係数_バス貨物_軽油,係数_バス貨物_メタノール,係数_バス貨物_LPG),MATCH(AY758+1,【参考】排出係数!$AI$4:$AI$671,1)-1,5,BE758),4,FALSE)),IF(AND(BE758=3,LEFT(BF758,1)="1"),0.48,VLOOKUP(AU758,INDEX((係数_乗用_ガソリン,係数_乗用_CNG,係数_乗用_軽油,係数_乗用_メタノール,係数_乗用_LPG),1,1,BE758):INDEX((係数_乗用_ガソリン,係数_乗用_CNG,係数_乗用_軽油,係数_乗用_メタノール,係数_乗用_LPG),125,5,BE758),4,FALSE)))))</f>
        <v/>
      </c>
      <c r="AL758" s="461" t="str">
        <f t="shared" si="425"/>
        <v/>
      </c>
      <c r="AM758" s="460" t="str">
        <f>IF(AU758="","",IF(OR(AZ758=8,AZ758=9),0,IF(OR(AW758=3,AW758=4,AW758=5,AW758=6),IF(LEFT(BH758,1)="1",INDEX(係数_PM低減,MATCH(AY758,【参考】排出係数!$AI$801:$AI$804,1),MATCH(BI758,【参考】排出係数!$AL$798:$AO$798,1)),VLOOKUP(AU758,INDEX((係数_バス貨物_ガソリン,係数_バス貨物_CNG,係数_バス貨物_軽油,係数_バス貨物_メタノール,係数_バス貨物_LPG),MATCH(AY758,【参考】排出係数!$AI$4:$AI$671,1),1,BE758):INDEX((係数_バス貨物_ガソリン,係数_バス貨物_CNG,係数_バス貨物_軽油,係数_バス貨物_メタノール,係数_バス貨物_LPG),MATCH(AY758+1,【参考】排出係数!$AI$4:$AI$671,1)-1,5,BE758),5,FALSE)),IF(AND(BE758=3,LEFT(BF758,1)="1"),0.055,VLOOKUP(AU758,INDEX((係数_乗用_ガソリン,係数_乗用_CNG,係数_乗用_軽油,係数_乗用_メタノール,係数_乗用_LPG),1,1,BE758):INDEX((係数_乗用_ガソリン,係数_乗用_CNG,係数_乗用_軽油,係数_乗用_メタノール,係数_乗用_LPG),125,5,BE758),5,FALSE)))))</f>
        <v/>
      </c>
      <c r="AN758" s="461" t="str">
        <f t="shared" si="426"/>
        <v/>
      </c>
      <c r="AO758" s="462" t="str">
        <f t="shared" si="427"/>
        <v/>
      </c>
      <c r="AP758" s="463" t="str">
        <f t="shared" si="428"/>
        <v/>
      </c>
      <c r="AQ758" s="464"/>
      <c r="AR758" s="619"/>
      <c r="AS758" s="465" t="str">
        <f t="shared" si="398"/>
        <v/>
      </c>
      <c r="AT758" s="465" t="str">
        <f t="shared" si="399"/>
        <v/>
      </c>
      <c r="AU758" s="466" t="str">
        <f t="shared" si="400"/>
        <v/>
      </c>
      <c r="AV758" s="467" t="str">
        <f t="shared" si="401"/>
        <v/>
      </c>
      <c r="AW758" s="467" t="str">
        <f t="shared" si="402"/>
        <v/>
      </c>
      <c r="AX758" s="467" t="str">
        <f t="shared" si="403"/>
        <v/>
      </c>
      <c r="AY758" s="467" t="str">
        <f t="shared" si="404"/>
        <v/>
      </c>
      <c r="AZ758" s="467" t="str">
        <f t="shared" si="405"/>
        <v/>
      </c>
      <c r="BA758" s="468" t="str">
        <f>IF(AS758="","",IF(OR(AU758="",AU758="-"),"－",IF(OR(AZ758=8,AZ758=9),"",IF(OR(AW758=3,AW758=4,AW758=5,AW758=6),VLOOKUP(AU758,INDEX((係数_バス貨物_ガソリン,係数_バス貨物_CNG,係数_バス貨物_軽油,係数_バス貨物_メタノール,係数_バス貨物_LPG),MATCH(AY758,【参考】排出係数!$AI$4:$AI$671,1),1,BE758):INDEX((係数_バス貨物_ガソリン,係数_バス貨物_CNG,係数_バス貨物_軽油,係数_バス貨物_メタノール,係数_バス貨物_LPG),MATCH(AY758+1,【参考】排出係数!$AI$4:$AI$671,1)-1,5,BE758),2,FALSE),IF(OR(AW758=1,AW758=2),VLOOKUP(AU758,INDEX((係数_乗用_ガソリン,係数_乗用_CNG,係数_乗用_軽油,係数_乗用_メタノール,係数_乗用_LPG),1,1,BE758):INDEX((係数_乗用_ガソリン,係数_乗用_CNG,係数_乗用_軽油,係数_乗用_メタノール,係数_乗用_LPG),125,5,BE758),2,FALSE))))))</f>
        <v/>
      </c>
      <c r="BB758" s="468" t="str">
        <f>IF(T758="","",IF(OR(AU758="",AU758="-"),"－",IF(OR(AZ758=8,AZ758=9),"",IF(OR(AW758=3,AW758=4,AW758=5,AW758=6),VLOOKUP(AU758,INDEX((係数_バス貨物_ガソリン,係数_バス貨物_CNG,係数_バス貨物_軽油,係数_バス貨物_メタノール,係数_バス貨物_LPG),MATCH(AY758,【参考】排出係数!$AI$4:$AI$671,1),1,BE758):INDEX((係数_バス貨物_ガソリン,係数_バス貨物_CNG,係数_バス貨物_軽油,係数_バス貨物_メタノール,係数_バス貨物_LPG),MATCH(AY758+1,【参考】排出係数!$AI$4:$AI$671,1)-1,5,BE758),3,FALSE),IF(OR(AW758=1,AW758=2),VLOOKUP(AU758,INDEX((係数_乗用_ガソリン,係数_乗用_CNG,係数_乗用_軽油,係数_乗用_メタノール,係数_乗用_LPG),1,1,BE758):INDEX((係数_乗用_ガソリン,係数_乗用_CNG,係数_乗用_軽油,係数_乗用_メタノール,係数_乗用_LPG),125,5,BE758),3,FALSE))))))</f>
        <v/>
      </c>
      <c r="BC758" s="467" t="str">
        <f t="shared" si="406"/>
        <v/>
      </c>
      <c r="BD758" s="567" t="str">
        <f t="shared" si="407"/>
        <v/>
      </c>
      <c r="BE758" s="467" t="str">
        <f t="shared" si="408"/>
        <v/>
      </c>
      <c r="BF758" s="469" t="str">
        <f t="shared" ca="1" si="409"/>
        <v/>
      </c>
      <c r="BG758" s="469" t="str">
        <f t="shared" ca="1" si="410"/>
        <v/>
      </c>
      <c r="BH758" s="467" t="str">
        <f t="shared" si="411"/>
        <v/>
      </c>
      <c r="BI758" s="467" t="str">
        <f t="shared" ca="1" si="412"/>
        <v/>
      </c>
      <c r="BJ758" s="469" t="str">
        <f t="shared" si="413"/>
        <v/>
      </c>
      <c r="BK758" s="470" t="str">
        <f t="shared" si="397"/>
        <v/>
      </c>
      <c r="BL758" s="775" t="str">
        <f t="shared" si="414"/>
        <v/>
      </c>
      <c r="BM758" s="775" t="str">
        <f t="shared" si="415"/>
        <v/>
      </c>
    </row>
    <row r="759" spans="1:65">
      <c r="A759" s="473">
        <v>703</v>
      </c>
      <c r="B759" s="132"/>
      <c r="C759" s="332"/>
      <c r="D759" s="333"/>
      <c r="E759" s="333"/>
      <c r="F759" s="334"/>
      <c r="G759" s="337"/>
      <c r="H759" s="131"/>
      <c r="I759" s="337"/>
      <c r="J759" s="131"/>
      <c r="K759" s="458" t="str">
        <f t="shared" si="416"/>
        <v/>
      </c>
      <c r="L759" s="458">
        <f t="shared" si="417"/>
        <v>0</v>
      </c>
      <c r="M759" s="458">
        <f t="shared" si="418"/>
        <v>0</v>
      </c>
      <c r="N759" s="459" t="str">
        <f t="shared" ref="N759:N822" si="429">IF(OR($L759&gt;$U$48,$M759&gt;$U$48,AND($L759&gt;$M759,$M759&lt;&gt;0),AND($L759=0,$M759&lt;&gt;0)),"ERROR","")</f>
        <v/>
      </c>
      <c r="O759" s="459" t="str">
        <f t="shared" ref="O759:O822" si="430">IF(AND($N759&lt;&gt;"ERROR",$L759&lt;=$U$49,$M759&lt;=$U$49,$M759&lt;&gt;0),"(減車済)","")</f>
        <v/>
      </c>
      <c r="P759" s="459" t="str">
        <f t="shared" ref="P759:P822" si="431">IF(AND($N759&lt;&gt;"ERROR",$L759&lt;$U$49,AND($M759&gt;$U$49,$M759&lt;=$W$49),$M759&lt;&gt;0),"減車","")</f>
        <v/>
      </c>
      <c r="Q759" s="459" t="str">
        <f t="shared" ref="Q759:Q822" si="432">IF(AND($N759&lt;&gt;"ERROR",$L759&gt;$U$49,$M759&lt;=$W$49,$M759&lt;&gt;0),"一時使用","")</f>
        <v/>
      </c>
      <c r="R759" s="459" t="str">
        <f t="shared" ref="R759:R822" si="433">IF(AND($N759&lt;&gt;"ERROR",AND($L759&gt;0,$L759&lt;=$U$49),$M759=0),"継続","")</f>
        <v/>
      </c>
      <c r="S759" s="459" t="str">
        <f t="shared" ref="S759:S822" si="434">IF(AND($N759&lt;&gt;"ERROR",AND($L759&gt;$U$49),$M759=0),"新規","")</f>
        <v/>
      </c>
      <c r="T759" s="566" t="str">
        <f t="shared" si="419"/>
        <v/>
      </c>
      <c r="U759" s="702"/>
      <c r="V759" s="132"/>
      <c r="W759" s="133"/>
      <c r="X759" s="134"/>
      <c r="Y759" s="135"/>
      <c r="Z759" s="137"/>
      <c r="AA759" s="136"/>
      <c r="AB759" s="566" t="str">
        <f t="shared" si="420"/>
        <v/>
      </c>
      <c r="AC759" s="568" t="str">
        <f t="shared" si="421"/>
        <v/>
      </c>
      <c r="AD759" s="137"/>
      <c r="AE759" s="137"/>
      <c r="AF759" s="138"/>
      <c r="AG759" s="138"/>
      <c r="AH759" s="592" t="str">
        <f t="shared" si="422"/>
        <v/>
      </c>
      <c r="AI759" s="592" t="str">
        <f t="shared" si="423"/>
        <v/>
      </c>
      <c r="AJ759" s="592" t="str">
        <f t="shared" si="424"/>
        <v/>
      </c>
      <c r="AK759" s="460" t="str">
        <f>IF(AU759="","",IF(OR(AZ759=8,AZ759=9),0,IF(OR(AW759=3,AW759=4,AW759=5,AW759=6),IF(LEFT(BF759,1)="1",INDEX(係数_NOX・PM低減,MATCH(AY759,【参考】排出係数!$AI$801:$AI$804,1),1),VLOOKUP(AU759,INDEX((係数_バス貨物_ガソリン,係数_バス貨物_CNG,係数_バス貨物_軽油,係数_バス貨物_メタノール,係数_バス貨物_LPG),MATCH(AY759,【参考】排出係数!$AI$4:$AI$671,1),1,BE759):INDEX((係数_バス貨物_ガソリン,係数_バス貨物_CNG,係数_バス貨物_軽油,係数_バス貨物_メタノール,係数_バス貨物_LPG),MATCH(AY759+1,【参考】排出係数!$AI$4:$AI$671,1)-1,5,BE759),4,FALSE)),IF(AND(BE759=3,LEFT(BF759,1)="1"),0.48,VLOOKUP(AU759,INDEX((係数_乗用_ガソリン,係数_乗用_CNG,係数_乗用_軽油,係数_乗用_メタノール,係数_乗用_LPG),1,1,BE759):INDEX((係数_乗用_ガソリン,係数_乗用_CNG,係数_乗用_軽油,係数_乗用_メタノール,係数_乗用_LPG),125,5,BE759),4,FALSE)))))</f>
        <v/>
      </c>
      <c r="AL759" s="461" t="str">
        <f t="shared" si="425"/>
        <v/>
      </c>
      <c r="AM759" s="460" t="str">
        <f>IF(AU759="","",IF(OR(AZ759=8,AZ759=9),0,IF(OR(AW759=3,AW759=4,AW759=5,AW759=6),IF(LEFT(BH759,1)="1",INDEX(係数_PM低減,MATCH(AY759,【参考】排出係数!$AI$801:$AI$804,1),MATCH(BI759,【参考】排出係数!$AL$798:$AO$798,1)),VLOOKUP(AU759,INDEX((係数_バス貨物_ガソリン,係数_バス貨物_CNG,係数_バス貨物_軽油,係数_バス貨物_メタノール,係数_バス貨物_LPG),MATCH(AY759,【参考】排出係数!$AI$4:$AI$671,1),1,BE759):INDEX((係数_バス貨物_ガソリン,係数_バス貨物_CNG,係数_バス貨物_軽油,係数_バス貨物_メタノール,係数_バス貨物_LPG),MATCH(AY759+1,【参考】排出係数!$AI$4:$AI$671,1)-1,5,BE759),5,FALSE)),IF(AND(BE759=3,LEFT(BF759,1)="1"),0.055,VLOOKUP(AU759,INDEX((係数_乗用_ガソリン,係数_乗用_CNG,係数_乗用_軽油,係数_乗用_メタノール,係数_乗用_LPG),1,1,BE759):INDEX((係数_乗用_ガソリン,係数_乗用_CNG,係数_乗用_軽油,係数_乗用_メタノール,係数_乗用_LPG),125,5,BE759),5,FALSE)))))</f>
        <v/>
      </c>
      <c r="AN759" s="461" t="str">
        <f t="shared" si="426"/>
        <v/>
      </c>
      <c r="AO759" s="462" t="str">
        <f t="shared" si="427"/>
        <v/>
      </c>
      <c r="AP759" s="463" t="str">
        <f t="shared" si="428"/>
        <v/>
      </c>
      <c r="AQ759" s="464"/>
      <c r="AR759" s="619"/>
      <c r="AS759" s="465" t="str">
        <f t="shared" si="398"/>
        <v/>
      </c>
      <c r="AT759" s="465" t="str">
        <f t="shared" si="399"/>
        <v/>
      </c>
      <c r="AU759" s="466" t="str">
        <f t="shared" si="400"/>
        <v/>
      </c>
      <c r="AV759" s="467" t="str">
        <f t="shared" si="401"/>
        <v/>
      </c>
      <c r="AW759" s="467" t="str">
        <f t="shared" si="402"/>
        <v/>
      </c>
      <c r="AX759" s="467" t="str">
        <f t="shared" si="403"/>
        <v/>
      </c>
      <c r="AY759" s="467" t="str">
        <f t="shared" si="404"/>
        <v/>
      </c>
      <c r="AZ759" s="467" t="str">
        <f t="shared" si="405"/>
        <v/>
      </c>
      <c r="BA759" s="468" t="str">
        <f>IF(AS759="","",IF(OR(AU759="",AU759="-"),"－",IF(OR(AZ759=8,AZ759=9),"",IF(OR(AW759=3,AW759=4,AW759=5,AW759=6),VLOOKUP(AU759,INDEX((係数_バス貨物_ガソリン,係数_バス貨物_CNG,係数_バス貨物_軽油,係数_バス貨物_メタノール,係数_バス貨物_LPG),MATCH(AY759,【参考】排出係数!$AI$4:$AI$671,1),1,BE759):INDEX((係数_バス貨物_ガソリン,係数_バス貨物_CNG,係数_バス貨物_軽油,係数_バス貨物_メタノール,係数_バス貨物_LPG),MATCH(AY759+1,【参考】排出係数!$AI$4:$AI$671,1)-1,5,BE759),2,FALSE),IF(OR(AW759=1,AW759=2),VLOOKUP(AU759,INDEX((係数_乗用_ガソリン,係数_乗用_CNG,係数_乗用_軽油,係数_乗用_メタノール,係数_乗用_LPG),1,1,BE759):INDEX((係数_乗用_ガソリン,係数_乗用_CNG,係数_乗用_軽油,係数_乗用_メタノール,係数_乗用_LPG),125,5,BE759),2,FALSE))))))</f>
        <v/>
      </c>
      <c r="BB759" s="468" t="str">
        <f>IF(T759="","",IF(OR(AU759="",AU759="-"),"－",IF(OR(AZ759=8,AZ759=9),"",IF(OR(AW759=3,AW759=4,AW759=5,AW759=6),VLOOKUP(AU759,INDEX((係数_バス貨物_ガソリン,係数_バス貨物_CNG,係数_バス貨物_軽油,係数_バス貨物_メタノール,係数_バス貨物_LPG),MATCH(AY759,【参考】排出係数!$AI$4:$AI$671,1),1,BE759):INDEX((係数_バス貨物_ガソリン,係数_バス貨物_CNG,係数_バス貨物_軽油,係数_バス貨物_メタノール,係数_バス貨物_LPG),MATCH(AY759+1,【参考】排出係数!$AI$4:$AI$671,1)-1,5,BE759),3,FALSE),IF(OR(AW759=1,AW759=2),VLOOKUP(AU759,INDEX((係数_乗用_ガソリン,係数_乗用_CNG,係数_乗用_軽油,係数_乗用_メタノール,係数_乗用_LPG),1,1,BE759):INDEX((係数_乗用_ガソリン,係数_乗用_CNG,係数_乗用_軽油,係数_乗用_メタノール,係数_乗用_LPG),125,5,BE759),3,FALSE))))))</f>
        <v/>
      </c>
      <c r="BC759" s="467" t="str">
        <f t="shared" si="406"/>
        <v/>
      </c>
      <c r="BD759" s="567" t="str">
        <f t="shared" si="407"/>
        <v/>
      </c>
      <c r="BE759" s="467" t="str">
        <f t="shared" si="408"/>
        <v/>
      </c>
      <c r="BF759" s="469" t="str">
        <f t="shared" ca="1" si="409"/>
        <v/>
      </c>
      <c r="BG759" s="469" t="str">
        <f t="shared" ca="1" si="410"/>
        <v/>
      </c>
      <c r="BH759" s="467" t="str">
        <f t="shared" si="411"/>
        <v/>
      </c>
      <c r="BI759" s="467" t="str">
        <f t="shared" ca="1" si="412"/>
        <v/>
      </c>
      <c r="BJ759" s="469" t="str">
        <f t="shared" si="413"/>
        <v/>
      </c>
      <c r="BK759" s="470" t="str">
        <f t="shared" si="397"/>
        <v/>
      </c>
      <c r="BL759" s="775" t="str">
        <f t="shared" si="414"/>
        <v/>
      </c>
      <c r="BM759" s="775" t="str">
        <f t="shared" si="415"/>
        <v/>
      </c>
    </row>
    <row r="760" spans="1:65">
      <c r="A760" s="473">
        <v>704</v>
      </c>
      <c r="B760" s="132"/>
      <c r="C760" s="332"/>
      <c r="D760" s="333"/>
      <c r="E760" s="333"/>
      <c r="F760" s="334"/>
      <c r="G760" s="337"/>
      <c r="H760" s="131"/>
      <c r="I760" s="337"/>
      <c r="J760" s="131"/>
      <c r="K760" s="458" t="str">
        <f t="shared" si="416"/>
        <v/>
      </c>
      <c r="L760" s="458">
        <f t="shared" si="417"/>
        <v>0</v>
      </c>
      <c r="M760" s="458">
        <f t="shared" si="418"/>
        <v>0</v>
      </c>
      <c r="N760" s="459" t="str">
        <f t="shared" si="429"/>
        <v/>
      </c>
      <c r="O760" s="459" t="str">
        <f t="shared" si="430"/>
        <v/>
      </c>
      <c r="P760" s="459" t="str">
        <f t="shared" si="431"/>
        <v/>
      </c>
      <c r="Q760" s="459" t="str">
        <f t="shared" si="432"/>
        <v/>
      </c>
      <c r="R760" s="459" t="str">
        <f t="shared" si="433"/>
        <v/>
      </c>
      <c r="S760" s="459" t="str">
        <f t="shared" si="434"/>
        <v/>
      </c>
      <c r="T760" s="566" t="str">
        <f t="shared" si="419"/>
        <v/>
      </c>
      <c r="U760" s="702"/>
      <c r="V760" s="132"/>
      <c r="W760" s="133"/>
      <c r="X760" s="134"/>
      <c r="Y760" s="135"/>
      <c r="Z760" s="137"/>
      <c r="AA760" s="136"/>
      <c r="AB760" s="566" t="str">
        <f t="shared" si="420"/>
        <v/>
      </c>
      <c r="AC760" s="568" t="str">
        <f t="shared" si="421"/>
        <v/>
      </c>
      <c r="AD760" s="137"/>
      <c r="AE760" s="137"/>
      <c r="AF760" s="138"/>
      <c r="AG760" s="138"/>
      <c r="AH760" s="592" t="str">
        <f t="shared" si="422"/>
        <v/>
      </c>
      <c r="AI760" s="592" t="str">
        <f t="shared" si="423"/>
        <v/>
      </c>
      <c r="AJ760" s="592" t="str">
        <f t="shared" si="424"/>
        <v/>
      </c>
      <c r="AK760" s="460" t="str">
        <f>IF(AU760="","",IF(OR(AZ760=8,AZ760=9),0,IF(OR(AW760=3,AW760=4,AW760=5,AW760=6),IF(LEFT(BF760,1)="1",INDEX(係数_NOX・PM低減,MATCH(AY760,【参考】排出係数!$AI$801:$AI$804,1),1),VLOOKUP(AU760,INDEX((係数_バス貨物_ガソリン,係数_バス貨物_CNG,係数_バス貨物_軽油,係数_バス貨物_メタノール,係数_バス貨物_LPG),MATCH(AY760,【参考】排出係数!$AI$4:$AI$671,1),1,BE760):INDEX((係数_バス貨物_ガソリン,係数_バス貨物_CNG,係数_バス貨物_軽油,係数_バス貨物_メタノール,係数_バス貨物_LPG),MATCH(AY760+1,【参考】排出係数!$AI$4:$AI$671,1)-1,5,BE760),4,FALSE)),IF(AND(BE760=3,LEFT(BF760,1)="1"),0.48,VLOOKUP(AU760,INDEX((係数_乗用_ガソリン,係数_乗用_CNG,係数_乗用_軽油,係数_乗用_メタノール,係数_乗用_LPG),1,1,BE760):INDEX((係数_乗用_ガソリン,係数_乗用_CNG,係数_乗用_軽油,係数_乗用_メタノール,係数_乗用_LPG),125,5,BE760),4,FALSE)))))</f>
        <v/>
      </c>
      <c r="AL760" s="461" t="str">
        <f t="shared" si="425"/>
        <v/>
      </c>
      <c r="AM760" s="460" t="str">
        <f>IF(AU760="","",IF(OR(AZ760=8,AZ760=9),0,IF(OR(AW760=3,AW760=4,AW760=5,AW760=6),IF(LEFT(BH760,1)="1",INDEX(係数_PM低減,MATCH(AY760,【参考】排出係数!$AI$801:$AI$804,1),MATCH(BI760,【参考】排出係数!$AL$798:$AO$798,1)),VLOOKUP(AU760,INDEX((係数_バス貨物_ガソリン,係数_バス貨物_CNG,係数_バス貨物_軽油,係数_バス貨物_メタノール,係数_バス貨物_LPG),MATCH(AY760,【参考】排出係数!$AI$4:$AI$671,1),1,BE760):INDEX((係数_バス貨物_ガソリン,係数_バス貨物_CNG,係数_バス貨物_軽油,係数_バス貨物_メタノール,係数_バス貨物_LPG),MATCH(AY760+1,【参考】排出係数!$AI$4:$AI$671,1)-1,5,BE760),5,FALSE)),IF(AND(BE760=3,LEFT(BF760,1)="1"),0.055,VLOOKUP(AU760,INDEX((係数_乗用_ガソリン,係数_乗用_CNG,係数_乗用_軽油,係数_乗用_メタノール,係数_乗用_LPG),1,1,BE760):INDEX((係数_乗用_ガソリン,係数_乗用_CNG,係数_乗用_軽油,係数_乗用_メタノール,係数_乗用_LPG),125,5,BE760),5,FALSE)))))</f>
        <v/>
      </c>
      <c r="AN760" s="461" t="str">
        <f t="shared" si="426"/>
        <v/>
      </c>
      <c r="AO760" s="462" t="str">
        <f t="shared" si="427"/>
        <v/>
      </c>
      <c r="AP760" s="463" t="str">
        <f t="shared" si="428"/>
        <v/>
      </c>
      <c r="AQ760" s="464"/>
      <c r="AR760" s="619"/>
      <c r="AS760" s="465" t="str">
        <f t="shared" si="398"/>
        <v/>
      </c>
      <c r="AT760" s="465" t="str">
        <f t="shared" si="399"/>
        <v/>
      </c>
      <c r="AU760" s="466" t="str">
        <f t="shared" si="400"/>
        <v/>
      </c>
      <c r="AV760" s="467" t="str">
        <f t="shared" si="401"/>
        <v/>
      </c>
      <c r="AW760" s="467" t="str">
        <f t="shared" si="402"/>
        <v/>
      </c>
      <c r="AX760" s="467" t="str">
        <f t="shared" si="403"/>
        <v/>
      </c>
      <c r="AY760" s="467" t="str">
        <f t="shared" si="404"/>
        <v/>
      </c>
      <c r="AZ760" s="467" t="str">
        <f t="shared" si="405"/>
        <v/>
      </c>
      <c r="BA760" s="468" t="str">
        <f>IF(AS760="","",IF(OR(AU760="",AU760="-"),"－",IF(OR(AZ760=8,AZ760=9),"",IF(OR(AW760=3,AW760=4,AW760=5,AW760=6),VLOOKUP(AU760,INDEX((係数_バス貨物_ガソリン,係数_バス貨物_CNG,係数_バス貨物_軽油,係数_バス貨物_メタノール,係数_バス貨物_LPG),MATCH(AY760,【参考】排出係数!$AI$4:$AI$671,1),1,BE760):INDEX((係数_バス貨物_ガソリン,係数_バス貨物_CNG,係数_バス貨物_軽油,係数_バス貨物_メタノール,係数_バス貨物_LPG),MATCH(AY760+1,【参考】排出係数!$AI$4:$AI$671,1)-1,5,BE760),2,FALSE),IF(OR(AW760=1,AW760=2),VLOOKUP(AU760,INDEX((係数_乗用_ガソリン,係数_乗用_CNG,係数_乗用_軽油,係数_乗用_メタノール,係数_乗用_LPG),1,1,BE760):INDEX((係数_乗用_ガソリン,係数_乗用_CNG,係数_乗用_軽油,係数_乗用_メタノール,係数_乗用_LPG),125,5,BE760),2,FALSE))))))</f>
        <v/>
      </c>
      <c r="BB760" s="468" t="str">
        <f>IF(T760="","",IF(OR(AU760="",AU760="-"),"－",IF(OR(AZ760=8,AZ760=9),"",IF(OR(AW760=3,AW760=4,AW760=5,AW760=6),VLOOKUP(AU760,INDEX((係数_バス貨物_ガソリン,係数_バス貨物_CNG,係数_バス貨物_軽油,係数_バス貨物_メタノール,係数_バス貨物_LPG),MATCH(AY760,【参考】排出係数!$AI$4:$AI$671,1),1,BE760):INDEX((係数_バス貨物_ガソリン,係数_バス貨物_CNG,係数_バス貨物_軽油,係数_バス貨物_メタノール,係数_バス貨物_LPG),MATCH(AY760+1,【参考】排出係数!$AI$4:$AI$671,1)-1,5,BE760),3,FALSE),IF(OR(AW760=1,AW760=2),VLOOKUP(AU760,INDEX((係数_乗用_ガソリン,係数_乗用_CNG,係数_乗用_軽油,係数_乗用_メタノール,係数_乗用_LPG),1,1,BE760):INDEX((係数_乗用_ガソリン,係数_乗用_CNG,係数_乗用_軽油,係数_乗用_メタノール,係数_乗用_LPG),125,5,BE760),3,FALSE))))))</f>
        <v/>
      </c>
      <c r="BC760" s="467" t="str">
        <f t="shared" si="406"/>
        <v/>
      </c>
      <c r="BD760" s="567" t="str">
        <f t="shared" si="407"/>
        <v/>
      </c>
      <c r="BE760" s="467" t="str">
        <f t="shared" si="408"/>
        <v/>
      </c>
      <c r="BF760" s="469" t="str">
        <f t="shared" ca="1" si="409"/>
        <v/>
      </c>
      <c r="BG760" s="469" t="str">
        <f t="shared" ca="1" si="410"/>
        <v/>
      </c>
      <c r="BH760" s="467" t="str">
        <f t="shared" si="411"/>
        <v/>
      </c>
      <c r="BI760" s="467" t="str">
        <f t="shared" ca="1" si="412"/>
        <v/>
      </c>
      <c r="BJ760" s="469" t="str">
        <f t="shared" si="413"/>
        <v/>
      </c>
      <c r="BK760" s="470" t="str">
        <f t="shared" si="397"/>
        <v/>
      </c>
      <c r="BL760" s="775" t="str">
        <f t="shared" si="414"/>
        <v/>
      </c>
      <c r="BM760" s="775" t="str">
        <f t="shared" si="415"/>
        <v/>
      </c>
    </row>
    <row r="761" spans="1:65">
      <c r="A761" s="473">
        <v>705</v>
      </c>
      <c r="B761" s="132"/>
      <c r="C761" s="332"/>
      <c r="D761" s="333"/>
      <c r="E761" s="333"/>
      <c r="F761" s="334"/>
      <c r="G761" s="337"/>
      <c r="H761" s="131"/>
      <c r="I761" s="337"/>
      <c r="J761" s="131"/>
      <c r="K761" s="458" t="str">
        <f t="shared" si="416"/>
        <v/>
      </c>
      <c r="L761" s="458">
        <f t="shared" si="417"/>
        <v>0</v>
      </c>
      <c r="M761" s="458">
        <f t="shared" si="418"/>
        <v>0</v>
      </c>
      <c r="N761" s="459" t="str">
        <f t="shared" si="429"/>
        <v/>
      </c>
      <c r="O761" s="459" t="str">
        <f t="shared" si="430"/>
        <v/>
      </c>
      <c r="P761" s="459" t="str">
        <f t="shared" si="431"/>
        <v/>
      </c>
      <c r="Q761" s="459" t="str">
        <f t="shared" si="432"/>
        <v/>
      </c>
      <c r="R761" s="459" t="str">
        <f t="shared" si="433"/>
        <v/>
      </c>
      <c r="S761" s="459" t="str">
        <f t="shared" si="434"/>
        <v/>
      </c>
      <c r="T761" s="566" t="str">
        <f t="shared" si="419"/>
        <v/>
      </c>
      <c r="U761" s="702"/>
      <c r="V761" s="132"/>
      <c r="W761" s="133"/>
      <c r="X761" s="134"/>
      <c r="Y761" s="135"/>
      <c r="Z761" s="137"/>
      <c r="AA761" s="136"/>
      <c r="AB761" s="566" t="str">
        <f t="shared" si="420"/>
        <v/>
      </c>
      <c r="AC761" s="568" t="str">
        <f t="shared" si="421"/>
        <v/>
      </c>
      <c r="AD761" s="137"/>
      <c r="AE761" s="137"/>
      <c r="AF761" s="138"/>
      <c r="AG761" s="138"/>
      <c r="AH761" s="592" t="str">
        <f t="shared" si="422"/>
        <v/>
      </c>
      <c r="AI761" s="592" t="str">
        <f t="shared" si="423"/>
        <v/>
      </c>
      <c r="AJ761" s="592" t="str">
        <f t="shared" si="424"/>
        <v/>
      </c>
      <c r="AK761" s="460" t="str">
        <f>IF(AU761="","",IF(OR(AZ761=8,AZ761=9),0,IF(OR(AW761=3,AW761=4,AW761=5,AW761=6),IF(LEFT(BF761,1)="1",INDEX(係数_NOX・PM低減,MATCH(AY761,【参考】排出係数!$AI$801:$AI$804,1),1),VLOOKUP(AU761,INDEX((係数_バス貨物_ガソリン,係数_バス貨物_CNG,係数_バス貨物_軽油,係数_バス貨物_メタノール,係数_バス貨物_LPG),MATCH(AY761,【参考】排出係数!$AI$4:$AI$671,1),1,BE761):INDEX((係数_バス貨物_ガソリン,係数_バス貨物_CNG,係数_バス貨物_軽油,係数_バス貨物_メタノール,係数_バス貨物_LPG),MATCH(AY761+1,【参考】排出係数!$AI$4:$AI$671,1)-1,5,BE761),4,FALSE)),IF(AND(BE761=3,LEFT(BF761,1)="1"),0.48,VLOOKUP(AU761,INDEX((係数_乗用_ガソリン,係数_乗用_CNG,係数_乗用_軽油,係数_乗用_メタノール,係数_乗用_LPG),1,1,BE761):INDEX((係数_乗用_ガソリン,係数_乗用_CNG,係数_乗用_軽油,係数_乗用_メタノール,係数_乗用_LPG),125,5,BE761),4,FALSE)))))</f>
        <v/>
      </c>
      <c r="AL761" s="461" t="str">
        <f t="shared" si="425"/>
        <v/>
      </c>
      <c r="AM761" s="460" t="str">
        <f>IF(AU761="","",IF(OR(AZ761=8,AZ761=9),0,IF(OR(AW761=3,AW761=4,AW761=5,AW761=6),IF(LEFT(BH761,1)="1",INDEX(係数_PM低減,MATCH(AY761,【参考】排出係数!$AI$801:$AI$804,1),MATCH(BI761,【参考】排出係数!$AL$798:$AO$798,1)),VLOOKUP(AU761,INDEX((係数_バス貨物_ガソリン,係数_バス貨物_CNG,係数_バス貨物_軽油,係数_バス貨物_メタノール,係数_バス貨物_LPG),MATCH(AY761,【参考】排出係数!$AI$4:$AI$671,1),1,BE761):INDEX((係数_バス貨物_ガソリン,係数_バス貨物_CNG,係数_バス貨物_軽油,係数_バス貨物_メタノール,係数_バス貨物_LPG),MATCH(AY761+1,【参考】排出係数!$AI$4:$AI$671,1)-1,5,BE761),5,FALSE)),IF(AND(BE761=3,LEFT(BF761,1)="1"),0.055,VLOOKUP(AU761,INDEX((係数_乗用_ガソリン,係数_乗用_CNG,係数_乗用_軽油,係数_乗用_メタノール,係数_乗用_LPG),1,1,BE761):INDEX((係数_乗用_ガソリン,係数_乗用_CNG,係数_乗用_軽油,係数_乗用_メタノール,係数_乗用_LPG),125,5,BE761),5,FALSE)))))</f>
        <v/>
      </c>
      <c r="AN761" s="461" t="str">
        <f t="shared" si="426"/>
        <v/>
      </c>
      <c r="AO761" s="462" t="str">
        <f t="shared" si="427"/>
        <v/>
      </c>
      <c r="AP761" s="463" t="str">
        <f t="shared" si="428"/>
        <v/>
      </c>
      <c r="AQ761" s="464"/>
      <c r="AR761" s="619"/>
      <c r="AS761" s="465" t="str">
        <f t="shared" si="398"/>
        <v/>
      </c>
      <c r="AT761" s="465" t="str">
        <f t="shared" si="399"/>
        <v/>
      </c>
      <c r="AU761" s="466" t="str">
        <f t="shared" si="400"/>
        <v/>
      </c>
      <c r="AV761" s="467" t="str">
        <f t="shared" si="401"/>
        <v/>
      </c>
      <c r="AW761" s="467" t="str">
        <f t="shared" si="402"/>
        <v/>
      </c>
      <c r="AX761" s="467" t="str">
        <f t="shared" si="403"/>
        <v/>
      </c>
      <c r="AY761" s="467" t="str">
        <f t="shared" si="404"/>
        <v/>
      </c>
      <c r="AZ761" s="467" t="str">
        <f t="shared" si="405"/>
        <v/>
      </c>
      <c r="BA761" s="468" t="str">
        <f>IF(AS761="","",IF(OR(AU761="",AU761="-"),"－",IF(OR(AZ761=8,AZ761=9),"",IF(OR(AW761=3,AW761=4,AW761=5,AW761=6),VLOOKUP(AU761,INDEX((係数_バス貨物_ガソリン,係数_バス貨物_CNG,係数_バス貨物_軽油,係数_バス貨物_メタノール,係数_バス貨物_LPG),MATCH(AY761,【参考】排出係数!$AI$4:$AI$671,1),1,BE761):INDEX((係数_バス貨物_ガソリン,係数_バス貨物_CNG,係数_バス貨物_軽油,係数_バス貨物_メタノール,係数_バス貨物_LPG),MATCH(AY761+1,【参考】排出係数!$AI$4:$AI$671,1)-1,5,BE761),2,FALSE),IF(OR(AW761=1,AW761=2),VLOOKUP(AU761,INDEX((係数_乗用_ガソリン,係数_乗用_CNG,係数_乗用_軽油,係数_乗用_メタノール,係数_乗用_LPG),1,1,BE761):INDEX((係数_乗用_ガソリン,係数_乗用_CNG,係数_乗用_軽油,係数_乗用_メタノール,係数_乗用_LPG),125,5,BE761),2,FALSE))))))</f>
        <v/>
      </c>
      <c r="BB761" s="468" t="str">
        <f>IF(T761="","",IF(OR(AU761="",AU761="-"),"－",IF(OR(AZ761=8,AZ761=9),"",IF(OR(AW761=3,AW761=4,AW761=5,AW761=6),VLOOKUP(AU761,INDEX((係数_バス貨物_ガソリン,係数_バス貨物_CNG,係数_バス貨物_軽油,係数_バス貨物_メタノール,係数_バス貨物_LPG),MATCH(AY761,【参考】排出係数!$AI$4:$AI$671,1),1,BE761):INDEX((係数_バス貨物_ガソリン,係数_バス貨物_CNG,係数_バス貨物_軽油,係数_バス貨物_メタノール,係数_バス貨物_LPG),MATCH(AY761+1,【参考】排出係数!$AI$4:$AI$671,1)-1,5,BE761),3,FALSE),IF(OR(AW761=1,AW761=2),VLOOKUP(AU761,INDEX((係数_乗用_ガソリン,係数_乗用_CNG,係数_乗用_軽油,係数_乗用_メタノール,係数_乗用_LPG),1,1,BE761):INDEX((係数_乗用_ガソリン,係数_乗用_CNG,係数_乗用_軽油,係数_乗用_メタノール,係数_乗用_LPG),125,5,BE761),3,FALSE))))))</f>
        <v/>
      </c>
      <c r="BC761" s="467" t="str">
        <f t="shared" si="406"/>
        <v/>
      </c>
      <c r="BD761" s="567" t="str">
        <f t="shared" si="407"/>
        <v/>
      </c>
      <c r="BE761" s="467" t="str">
        <f t="shared" si="408"/>
        <v/>
      </c>
      <c r="BF761" s="469" t="str">
        <f t="shared" ca="1" si="409"/>
        <v/>
      </c>
      <c r="BG761" s="469" t="str">
        <f t="shared" ca="1" si="410"/>
        <v/>
      </c>
      <c r="BH761" s="467" t="str">
        <f t="shared" si="411"/>
        <v/>
      </c>
      <c r="BI761" s="467" t="str">
        <f t="shared" ca="1" si="412"/>
        <v/>
      </c>
      <c r="BJ761" s="469" t="str">
        <f t="shared" si="413"/>
        <v/>
      </c>
      <c r="BK761" s="470" t="str">
        <f t="shared" ref="BK761:BK824" si="435">IF(AS761="","",VLOOKUP(T761,車両の増減,2,FALSE))</f>
        <v/>
      </c>
      <c r="BL761" s="775" t="str">
        <f t="shared" si="414"/>
        <v/>
      </c>
      <c r="BM761" s="775" t="str">
        <f t="shared" si="415"/>
        <v/>
      </c>
    </row>
    <row r="762" spans="1:65">
      <c r="A762" s="473">
        <v>706</v>
      </c>
      <c r="B762" s="132"/>
      <c r="C762" s="332"/>
      <c r="D762" s="333"/>
      <c r="E762" s="333"/>
      <c r="F762" s="334"/>
      <c r="G762" s="337"/>
      <c r="H762" s="131"/>
      <c r="I762" s="337"/>
      <c r="J762" s="131"/>
      <c r="K762" s="458" t="str">
        <f t="shared" si="416"/>
        <v/>
      </c>
      <c r="L762" s="458">
        <f t="shared" si="417"/>
        <v>0</v>
      </c>
      <c r="M762" s="458">
        <f t="shared" si="418"/>
        <v>0</v>
      </c>
      <c r="N762" s="459" t="str">
        <f t="shared" si="429"/>
        <v/>
      </c>
      <c r="O762" s="459" t="str">
        <f t="shared" si="430"/>
        <v/>
      </c>
      <c r="P762" s="459" t="str">
        <f t="shared" si="431"/>
        <v/>
      </c>
      <c r="Q762" s="459" t="str">
        <f t="shared" si="432"/>
        <v/>
      </c>
      <c r="R762" s="459" t="str">
        <f t="shared" si="433"/>
        <v/>
      </c>
      <c r="S762" s="459" t="str">
        <f t="shared" si="434"/>
        <v/>
      </c>
      <c r="T762" s="566" t="str">
        <f t="shared" si="419"/>
        <v/>
      </c>
      <c r="U762" s="702"/>
      <c r="V762" s="132"/>
      <c r="W762" s="133"/>
      <c r="X762" s="134"/>
      <c r="Y762" s="135"/>
      <c r="Z762" s="137"/>
      <c r="AA762" s="136"/>
      <c r="AB762" s="566" t="str">
        <f t="shared" si="420"/>
        <v/>
      </c>
      <c r="AC762" s="568" t="str">
        <f t="shared" si="421"/>
        <v/>
      </c>
      <c r="AD762" s="137"/>
      <c r="AE762" s="137"/>
      <c r="AF762" s="138"/>
      <c r="AG762" s="138"/>
      <c r="AH762" s="592" t="str">
        <f t="shared" si="422"/>
        <v/>
      </c>
      <c r="AI762" s="592" t="str">
        <f t="shared" si="423"/>
        <v/>
      </c>
      <c r="AJ762" s="592" t="str">
        <f t="shared" si="424"/>
        <v/>
      </c>
      <c r="AK762" s="460" t="str">
        <f>IF(AU762="","",IF(OR(AZ762=8,AZ762=9),0,IF(OR(AW762=3,AW762=4,AW762=5,AW762=6),IF(LEFT(BF762,1)="1",INDEX(係数_NOX・PM低減,MATCH(AY762,【参考】排出係数!$AI$801:$AI$804,1),1),VLOOKUP(AU762,INDEX((係数_バス貨物_ガソリン,係数_バス貨物_CNG,係数_バス貨物_軽油,係数_バス貨物_メタノール,係数_バス貨物_LPG),MATCH(AY762,【参考】排出係数!$AI$4:$AI$671,1),1,BE762):INDEX((係数_バス貨物_ガソリン,係数_バス貨物_CNG,係数_バス貨物_軽油,係数_バス貨物_メタノール,係数_バス貨物_LPG),MATCH(AY762+1,【参考】排出係数!$AI$4:$AI$671,1)-1,5,BE762),4,FALSE)),IF(AND(BE762=3,LEFT(BF762,1)="1"),0.48,VLOOKUP(AU762,INDEX((係数_乗用_ガソリン,係数_乗用_CNG,係数_乗用_軽油,係数_乗用_メタノール,係数_乗用_LPG),1,1,BE762):INDEX((係数_乗用_ガソリン,係数_乗用_CNG,係数_乗用_軽油,係数_乗用_メタノール,係数_乗用_LPG),125,5,BE762),4,FALSE)))))</f>
        <v/>
      </c>
      <c r="AL762" s="461" t="str">
        <f t="shared" si="425"/>
        <v/>
      </c>
      <c r="AM762" s="460" t="str">
        <f>IF(AU762="","",IF(OR(AZ762=8,AZ762=9),0,IF(OR(AW762=3,AW762=4,AW762=5,AW762=6),IF(LEFT(BH762,1)="1",INDEX(係数_PM低減,MATCH(AY762,【参考】排出係数!$AI$801:$AI$804,1),MATCH(BI762,【参考】排出係数!$AL$798:$AO$798,1)),VLOOKUP(AU762,INDEX((係数_バス貨物_ガソリン,係数_バス貨物_CNG,係数_バス貨物_軽油,係数_バス貨物_メタノール,係数_バス貨物_LPG),MATCH(AY762,【参考】排出係数!$AI$4:$AI$671,1),1,BE762):INDEX((係数_バス貨物_ガソリン,係数_バス貨物_CNG,係数_バス貨物_軽油,係数_バス貨物_メタノール,係数_バス貨物_LPG),MATCH(AY762+1,【参考】排出係数!$AI$4:$AI$671,1)-1,5,BE762),5,FALSE)),IF(AND(BE762=3,LEFT(BF762,1)="1"),0.055,VLOOKUP(AU762,INDEX((係数_乗用_ガソリン,係数_乗用_CNG,係数_乗用_軽油,係数_乗用_メタノール,係数_乗用_LPG),1,1,BE762):INDEX((係数_乗用_ガソリン,係数_乗用_CNG,係数_乗用_軽油,係数_乗用_メタノール,係数_乗用_LPG),125,5,BE762),5,FALSE)))))</f>
        <v/>
      </c>
      <c r="AN762" s="461" t="str">
        <f t="shared" si="426"/>
        <v/>
      </c>
      <c r="AO762" s="462" t="str">
        <f t="shared" si="427"/>
        <v/>
      </c>
      <c r="AP762" s="463" t="str">
        <f t="shared" si="428"/>
        <v/>
      </c>
      <c r="AQ762" s="464"/>
      <c r="AR762" s="619"/>
      <c r="AS762" s="465" t="str">
        <f t="shared" ref="AS762:AS825" si="436">IF(OR(T762="(減車済)",T762=""),"",1)</f>
        <v/>
      </c>
      <c r="AT762" s="465" t="str">
        <f t="shared" ref="AT762:AT825" si="437">IF(OR(T762="継続",T762="新規"),1,"")</f>
        <v/>
      </c>
      <c r="AU762" s="466" t="str">
        <f t="shared" ref="AU762:AU825" si="438">IF(AS762="","",UPPER(ASC(X762)))</f>
        <v/>
      </c>
      <c r="AV762" s="467" t="str">
        <f t="shared" ref="AV762:AV825" si="439">IF(AS762="","",IF(V762="","",IF(V762="普通",1,IF(V762="小型",2,0))))</f>
        <v/>
      </c>
      <c r="AW762" s="467" t="str">
        <f t="shared" ref="AW762:AW825" si="440">IF(AS762="","",IF(W762="","",VLOOKUP(W762,用途,2,FALSE)))</f>
        <v/>
      </c>
      <c r="AX762" s="467" t="str">
        <f t="shared" ref="AX762:AX825" si="441">IF(AS762="","",IF(Y762="","",IF(Y762&lt;=10,1,IF(Y762&lt;30,2,IF(Y762&gt;=30,3,0)))))</f>
        <v/>
      </c>
      <c r="AY762" s="467" t="str">
        <f t="shared" ref="AY762:AY825" si="442">IF(AS762="","",IF(Z762="","",IF(Z762&lt;=1.7*1000,1,IF(Z762&lt;=2.5*1000,2,IF(Z762&lt;=3.5*1000,3,IF(Z762&lt;8*1000,4,IF(Z762&gt;=8*1000,5,"")))))))</f>
        <v/>
      </c>
      <c r="AZ762" s="467" t="str">
        <f t="shared" ref="AZ762:AZ825" si="443">IF(AS762="","",IF(AA762="","",VLOOKUP(AA762,燃料の種類,2,FALSE)))</f>
        <v/>
      </c>
      <c r="BA762" s="468" t="str">
        <f>IF(AS762="","",IF(OR(AU762="",AU762="-"),"－",IF(OR(AZ762=8,AZ762=9),"",IF(OR(AW762=3,AW762=4,AW762=5,AW762=6),VLOOKUP(AU762,INDEX((係数_バス貨物_ガソリン,係数_バス貨物_CNG,係数_バス貨物_軽油,係数_バス貨物_メタノール,係数_バス貨物_LPG),MATCH(AY762,【参考】排出係数!$AI$4:$AI$671,1),1,BE762):INDEX((係数_バス貨物_ガソリン,係数_バス貨物_CNG,係数_バス貨物_軽油,係数_バス貨物_メタノール,係数_バス貨物_LPG),MATCH(AY762+1,【参考】排出係数!$AI$4:$AI$671,1)-1,5,BE762),2,FALSE),IF(OR(AW762=1,AW762=2),VLOOKUP(AU762,INDEX((係数_乗用_ガソリン,係数_乗用_CNG,係数_乗用_軽油,係数_乗用_メタノール,係数_乗用_LPG),1,1,BE762):INDEX((係数_乗用_ガソリン,係数_乗用_CNG,係数_乗用_軽油,係数_乗用_メタノール,係数_乗用_LPG),125,5,BE762),2,FALSE))))))</f>
        <v/>
      </c>
      <c r="BB762" s="468" t="str">
        <f>IF(T762="","",IF(OR(AU762="",AU762="-"),"－",IF(OR(AZ762=8,AZ762=9),"",IF(OR(AW762=3,AW762=4,AW762=5,AW762=6),VLOOKUP(AU762,INDEX((係数_バス貨物_ガソリン,係数_バス貨物_CNG,係数_バス貨物_軽油,係数_バス貨物_メタノール,係数_バス貨物_LPG),MATCH(AY762,【参考】排出係数!$AI$4:$AI$671,1),1,BE762):INDEX((係数_バス貨物_ガソリン,係数_バス貨物_CNG,係数_バス貨物_軽油,係数_バス貨物_メタノール,係数_バス貨物_LPG),MATCH(AY762+1,【参考】排出係数!$AI$4:$AI$671,1)-1,5,BE762),3,FALSE),IF(OR(AW762=1,AW762=2),VLOOKUP(AU762,INDEX((係数_乗用_ガソリン,係数_乗用_CNG,係数_乗用_軽油,係数_乗用_メタノール,係数_乗用_LPG),1,1,BE762):INDEX((係数_乗用_ガソリン,係数_乗用_CNG,係数_乗用_軽油,係数_乗用_メタノール,係数_乗用_LPG),125,5,BE762),3,FALSE))))))</f>
        <v/>
      </c>
      <c r="BC762" s="467" t="str">
        <f t="shared" ref="BC762:BC825" si="444">IF((AS762="")+(AC762=""),"",IF(燃料区分1=4,VLOOKUP(BB762,排ガス低減レベル,2,FALSE),VLOOKUP(AC762,排ガス低減レベル,2,FALSE)))</f>
        <v/>
      </c>
      <c r="BD762" s="567" t="str">
        <f t="shared" ref="BD762:BD825" si="445">IF(AT762="","",IF(AW762=3,B762&amp;"-"&amp;SUM(AW762*100,AX762*10,AY762)&amp;"A",IF(OR(AW762=2,AW762=4,AW762=6),B762&amp;"-"&amp;AY762*10&amp;"A",IF(AW762=1,B762&amp;"-"&amp;AW762&amp;"A",IF(AW762=5,B762&amp;"-"&amp;SUM(AW762*100,AV762*10,AY762)&amp;"A","")))))</f>
        <v/>
      </c>
      <c r="BE762" s="467" t="str">
        <f t="shared" ref="BE762:BE825" si="446">IF(OR(AZ762=1,AZ762=2,AZ762=11),1,IF(AZ762=6,2,IF(OR(AZ762=4,AZ762=5,AZ762=10),3,IF(AZ762=7,4,IF(AZ762=3,5, IF(OR(AZ762=8,AZ762=9),6,""))))))</f>
        <v/>
      </c>
      <c r="BF762" s="469" t="str">
        <f t="shared" ref="BF762:BF825" ca="1" si="447">(IF(OR(AZ762=4,AZ762=5),OFFSET($CH$1,MATCH($AF762,$CG$2:$CG$4,0),0)&amp;BK762,""))</f>
        <v/>
      </c>
      <c r="BG762" s="469" t="str">
        <f t="shared" ref="BG762:BG825" ca="1" si="448">(IF(OR(AZ762=4,AZ762=5),OFFSET($CJ$1,MATCH($AG762,$CI$2:$CI$5,0),0)&amp;BK762,""))</f>
        <v/>
      </c>
      <c r="BH762" s="467" t="str">
        <f t="shared" ref="BH762:BH825" si="449">IF(OR(AZ762=4,AZ762=5),IF(OR(LEFT(BF762,1)="1",LEFT(BG762,1)="2",LEFT(BG762,1)="3"),1,2)&amp;BK762,"")</f>
        <v/>
      </c>
      <c r="BI762" s="467" t="str">
        <f t="shared" ref="BI762:BI825" ca="1" si="450">IF(LEFT(BF762)="1",1,IF(LEFT(BG762,1)="2",2,IF(LEFT(BG762,1)="3",3,"")))</f>
        <v/>
      </c>
      <c r="BJ762" s="469" t="str">
        <f t="shared" ref="BJ762:BJ825" si="451">IF(AT762="","",B762&amp;"-"&amp;AZ762)</f>
        <v/>
      </c>
      <c r="BK762" s="470" t="str">
        <f t="shared" si="435"/>
        <v/>
      </c>
      <c r="BL762" s="775" t="str">
        <f t="shared" ref="BL762:BL825" si="452">IF(AND(OR($T762="新規",$T762="継続"),ISBLANK($AD762)),1,"")</f>
        <v/>
      </c>
      <c r="BM762" s="775" t="str">
        <f t="shared" ref="BM762:BM825" si="453">IF(AND(OR($T762="新規",$T762="継続"),ISBLANK($AE762)),1,"")</f>
        <v/>
      </c>
    </row>
    <row r="763" spans="1:65">
      <c r="A763" s="473">
        <v>707</v>
      </c>
      <c r="B763" s="132"/>
      <c r="C763" s="332"/>
      <c r="D763" s="333"/>
      <c r="E763" s="333"/>
      <c r="F763" s="334"/>
      <c r="G763" s="337"/>
      <c r="H763" s="131"/>
      <c r="I763" s="337"/>
      <c r="J763" s="131"/>
      <c r="K763" s="458" t="str">
        <f t="shared" si="416"/>
        <v/>
      </c>
      <c r="L763" s="458">
        <f t="shared" si="417"/>
        <v>0</v>
      </c>
      <c r="M763" s="458">
        <f t="shared" si="418"/>
        <v>0</v>
      </c>
      <c r="N763" s="459" t="str">
        <f t="shared" si="429"/>
        <v/>
      </c>
      <c r="O763" s="459" t="str">
        <f t="shared" si="430"/>
        <v/>
      </c>
      <c r="P763" s="459" t="str">
        <f t="shared" si="431"/>
        <v/>
      </c>
      <c r="Q763" s="459" t="str">
        <f t="shared" si="432"/>
        <v/>
      </c>
      <c r="R763" s="459" t="str">
        <f t="shared" si="433"/>
        <v/>
      </c>
      <c r="S763" s="459" t="str">
        <f t="shared" si="434"/>
        <v/>
      </c>
      <c r="T763" s="566" t="str">
        <f t="shared" si="419"/>
        <v/>
      </c>
      <c r="U763" s="702"/>
      <c r="V763" s="132"/>
      <c r="W763" s="133"/>
      <c r="X763" s="134"/>
      <c r="Y763" s="135"/>
      <c r="Z763" s="137"/>
      <c r="AA763" s="136"/>
      <c r="AB763" s="566" t="str">
        <f t="shared" si="420"/>
        <v/>
      </c>
      <c r="AC763" s="568" t="str">
        <f t="shared" si="421"/>
        <v/>
      </c>
      <c r="AD763" s="137"/>
      <c r="AE763" s="137"/>
      <c r="AF763" s="138"/>
      <c r="AG763" s="138"/>
      <c r="AH763" s="592" t="str">
        <f t="shared" si="422"/>
        <v/>
      </c>
      <c r="AI763" s="592" t="str">
        <f t="shared" si="423"/>
        <v/>
      </c>
      <c r="AJ763" s="592" t="str">
        <f t="shared" si="424"/>
        <v/>
      </c>
      <c r="AK763" s="460" t="str">
        <f>IF(AU763="","",IF(OR(AZ763=8,AZ763=9),0,IF(OR(AW763=3,AW763=4,AW763=5,AW763=6),IF(LEFT(BF763,1)="1",INDEX(係数_NOX・PM低減,MATCH(AY763,【参考】排出係数!$AI$801:$AI$804,1),1),VLOOKUP(AU763,INDEX((係数_バス貨物_ガソリン,係数_バス貨物_CNG,係数_バス貨物_軽油,係数_バス貨物_メタノール,係数_バス貨物_LPG),MATCH(AY763,【参考】排出係数!$AI$4:$AI$671,1),1,BE763):INDEX((係数_バス貨物_ガソリン,係数_バス貨物_CNG,係数_バス貨物_軽油,係数_バス貨物_メタノール,係数_バス貨物_LPG),MATCH(AY763+1,【参考】排出係数!$AI$4:$AI$671,1)-1,5,BE763),4,FALSE)),IF(AND(BE763=3,LEFT(BF763,1)="1"),0.48,VLOOKUP(AU763,INDEX((係数_乗用_ガソリン,係数_乗用_CNG,係数_乗用_軽油,係数_乗用_メタノール,係数_乗用_LPG),1,1,BE763):INDEX((係数_乗用_ガソリン,係数_乗用_CNG,係数_乗用_軽油,係数_乗用_メタノール,係数_乗用_LPG),125,5,BE763),4,FALSE)))))</f>
        <v/>
      </c>
      <c r="AL763" s="461" t="str">
        <f t="shared" si="425"/>
        <v/>
      </c>
      <c r="AM763" s="460" t="str">
        <f>IF(AU763="","",IF(OR(AZ763=8,AZ763=9),0,IF(OR(AW763=3,AW763=4,AW763=5,AW763=6),IF(LEFT(BH763,1)="1",INDEX(係数_PM低減,MATCH(AY763,【参考】排出係数!$AI$801:$AI$804,1),MATCH(BI763,【参考】排出係数!$AL$798:$AO$798,1)),VLOOKUP(AU763,INDEX((係数_バス貨物_ガソリン,係数_バス貨物_CNG,係数_バス貨物_軽油,係数_バス貨物_メタノール,係数_バス貨物_LPG),MATCH(AY763,【参考】排出係数!$AI$4:$AI$671,1),1,BE763):INDEX((係数_バス貨物_ガソリン,係数_バス貨物_CNG,係数_バス貨物_軽油,係数_バス貨物_メタノール,係数_バス貨物_LPG),MATCH(AY763+1,【参考】排出係数!$AI$4:$AI$671,1)-1,5,BE763),5,FALSE)),IF(AND(BE763=3,LEFT(BF763,1)="1"),0.055,VLOOKUP(AU763,INDEX((係数_乗用_ガソリン,係数_乗用_CNG,係数_乗用_軽油,係数_乗用_メタノール,係数_乗用_LPG),1,1,BE763):INDEX((係数_乗用_ガソリン,係数_乗用_CNG,係数_乗用_軽油,係数_乗用_メタノール,係数_乗用_LPG),125,5,BE763),5,FALSE)))))</f>
        <v/>
      </c>
      <c r="AN763" s="461" t="str">
        <f t="shared" si="426"/>
        <v/>
      </c>
      <c r="AO763" s="462" t="str">
        <f t="shared" si="427"/>
        <v/>
      </c>
      <c r="AP763" s="463" t="str">
        <f t="shared" si="428"/>
        <v/>
      </c>
      <c r="AQ763" s="464"/>
      <c r="AR763" s="619"/>
      <c r="AS763" s="465" t="str">
        <f t="shared" si="436"/>
        <v/>
      </c>
      <c r="AT763" s="465" t="str">
        <f t="shared" si="437"/>
        <v/>
      </c>
      <c r="AU763" s="466" t="str">
        <f t="shared" si="438"/>
        <v/>
      </c>
      <c r="AV763" s="467" t="str">
        <f t="shared" si="439"/>
        <v/>
      </c>
      <c r="AW763" s="467" t="str">
        <f t="shared" si="440"/>
        <v/>
      </c>
      <c r="AX763" s="467" t="str">
        <f t="shared" si="441"/>
        <v/>
      </c>
      <c r="AY763" s="467" t="str">
        <f t="shared" si="442"/>
        <v/>
      </c>
      <c r="AZ763" s="467" t="str">
        <f t="shared" si="443"/>
        <v/>
      </c>
      <c r="BA763" s="468" t="str">
        <f>IF(AS763="","",IF(OR(AU763="",AU763="-"),"－",IF(OR(AZ763=8,AZ763=9),"",IF(OR(AW763=3,AW763=4,AW763=5,AW763=6),VLOOKUP(AU763,INDEX((係数_バス貨物_ガソリン,係数_バス貨物_CNG,係数_バス貨物_軽油,係数_バス貨物_メタノール,係数_バス貨物_LPG),MATCH(AY763,【参考】排出係数!$AI$4:$AI$671,1),1,BE763):INDEX((係数_バス貨物_ガソリン,係数_バス貨物_CNG,係数_バス貨物_軽油,係数_バス貨物_メタノール,係数_バス貨物_LPG),MATCH(AY763+1,【参考】排出係数!$AI$4:$AI$671,1)-1,5,BE763),2,FALSE),IF(OR(AW763=1,AW763=2),VLOOKUP(AU763,INDEX((係数_乗用_ガソリン,係数_乗用_CNG,係数_乗用_軽油,係数_乗用_メタノール,係数_乗用_LPG),1,1,BE763):INDEX((係数_乗用_ガソリン,係数_乗用_CNG,係数_乗用_軽油,係数_乗用_メタノール,係数_乗用_LPG),125,5,BE763),2,FALSE))))))</f>
        <v/>
      </c>
      <c r="BB763" s="468" t="str">
        <f>IF(T763="","",IF(OR(AU763="",AU763="-"),"－",IF(OR(AZ763=8,AZ763=9),"",IF(OR(AW763=3,AW763=4,AW763=5,AW763=6),VLOOKUP(AU763,INDEX((係数_バス貨物_ガソリン,係数_バス貨物_CNG,係数_バス貨物_軽油,係数_バス貨物_メタノール,係数_バス貨物_LPG),MATCH(AY763,【参考】排出係数!$AI$4:$AI$671,1),1,BE763):INDEX((係数_バス貨物_ガソリン,係数_バス貨物_CNG,係数_バス貨物_軽油,係数_バス貨物_メタノール,係数_バス貨物_LPG),MATCH(AY763+1,【参考】排出係数!$AI$4:$AI$671,1)-1,5,BE763),3,FALSE),IF(OR(AW763=1,AW763=2),VLOOKUP(AU763,INDEX((係数_乗用_ガソリン,係数_乗用_CNG,係数_乗用_軽油,係数_乗用_メタノール,係数_乗用_LPG),1,1,BE763):INDEX((係数_乗用_ガソリン,係数_乗用_CNG,係数_乗用_軽油,係数_乗用_メタノール,係数_乗用_LPG),125,5,BE763),3,FALSE))))))</f>
        <v/>
      </c>
      <c r="BC763" s="467" t="str">
        <f t="shared" si="444"/>
        <v/>
      </c>
      <c r="BD763" s="567" t="str">
        <f t="shared" si="445"/>
        <v/>
      </c>
      <c r="BE763" s="467" t="str">
        <f t="shared" si="446"/>
        <v/>
      </c>
      <c r="BF763" s="469" t="str">
        <f t="shared" ca="1" si="447"/>
        <v/>
      </c>
      <c r="BG763" s="469" t="str">
        <f t="shared" ca="1" si="448"/>
        <v/>
      </c>
      <c r="BH763" s="467" t="str">
        <f t="shared" si="449"/>
        <v/>
      </c>
      <c r="BI763" s="467" t="str">
        <f t="shared" ca="1" si="450"/>
        <v/>
      </c>
      <c r="BJ763" s="469" t="str">
        <f t="shared" si="451"/>
        <v/>
      </c>
      <c r="BK763" s="470" t="str">
        <f t="shared" si="435"/>
        <v/>
      </c>
      <c r="BL763" s="775" t="str">
        <f t="shared" si="452"/>
        <v/>
      </c>
      <c r="BM763" s="775" t="str">
        <f t="shared" si="453"/>
        <v/>
      </c>
    </row>
    <row r="764" spans="1:65">
      <c r="A764" s="473">
        <v>708</v>
      </c>
      <c r="B764" s="132"/>
      <c r="C764" s="332"/>
      <c r="D764" s="333"/>
      <c r="E764" s="333"/>
      <c r="F764" s="334"/>
      <c r="G764" s="337"/>
      <c r="H764" s="131"/>
      <c r="I764" s="337"/>
      <c r="J764" s="131"/>
      <c r="K764" s="458" t="str">
        <f t="shared" si="416"/>
        <v/>
      </c>
      <c r="L764" s="458">
        <f t="shared" si="417"/>
        <v>0</v>
      </c>
      <c r="M764" s="458">
        <f t="shared" si="418"/>
        <v>0</v>
      </c>
      <c r="N764" s="459" t="str">
        <f t="shared" si="429"/>
        <v/>
      </c>
      <c r="O764" s="459" t="str">
        <f t="shared" si="430"/>
        <v/>
      </c>
      <c r="P764" s="459" t="str">
        <f t="shared" si="431"/>
        <v/>
      </c>
      <c r="Q764" s="459" t="str">
        <f t="shared" si="432"/>
        <v/>
      </c>
      <c r="R764" s="459" t="str">
        <f t="shared" si="433"/>
        <v/>
      </c>
      <c r="S764" s="459" t="str">
        <f t="shared" si="434"/>
        <v/>
      </c>
      <c r="T764" s="566" t="str">
        <f t="shared" si="419"/>
        <v/>
      </c>
      <c r="U764" s="702"/>
      <c r="V764" s="132"/>
      <c r="W764" s="133"/>
      <c r="X764" s="134"/>
      <c r="Y764" s="135"/>
      <c r="Z764" s="137"/>
      <c r="AA764" s="136"/>
      <c r="AB764" s="566" t="str">
        <f t="shared" si="420"/>
        <v/>
      </c>
      <c r="AC764" s="568" t="str">
        <f t="shared" si="421"/>
        <v/>
      </c>
      <c r="AD764" s="137"/>
      <c r="AE764" s="137"/>
      <c r="AF764" s="138"/>
      <c r="AG764" s="138"/>
      <c r="AH764" s="592" t="str">
        <f t="shared" si="422"/>
        <v/>
      </c>
      <c r="AI764" s="592" t="str">
        <f t="shared" si="423"/>
        <v/>
      </c>
      <c r="AJ764" s="592" t="str">
        <f t="shared" si="424"/>
        <v/>
      </c>
      <c r="AK764" s="460" t="str">
        <f>IF(AU764="","",IF(OR(AZ764=8,AZ764=9),0,IF(OR(AW764=3,AW764=4,AW764=5,AW764=6),IF(LEFT(BF764,1)="1",INDEX(係数_NOX・PM低減,MATCH(AY764,【参考】排出係数!$AI$801:$AI$804,1),1),VLOOKUP(AU764,INDEX((係数_バス貨物_ガソリン,係数_バス貨物_CNG,係数_バス貨物_軽油,係数_バス貨物_メタノール,係数_バス貨物_LPG),MATCH(AY764,【参考】排出係数!$AI$4:$AI$671,1),1,BE764):INDEX((係数_バス貨物_ガソリン,係数_バス貨物_CNG,係数_バス貨物_軽油,係数_バス貨物_メタノール,係数_バス貨物_LPG),MATCH(AY764+1,【参考】排出係数!$AI$4:$AI$671,1)-1,5,BE764),4,FALSE)),IF(AND(BE764=3,LEFT(BF764,1)="1"),0.48,VLOOKUP(AU764,INDEX((係数_乗用_ガソリン,係数_乗用_CNG,係数_乗用_軽油,係数_乗用_メタノール,係数_乗用_LPG),1,1,BE764):INDEX((係数_乗用_ガソリン,係数_乗用_CNG,係数_乗用_軽油,係数_乗用_メタノール,係数_乗用_LPG),125,5,BE764),4,FALSE)))))</f>
        <v/>
      </c>
      <c r="AL764" s="461" t="str">
        <f t="shared" si="425"/>
        <v/>
      </c>
      <c r="AM764" s="460" t="str">
        <f>IF(AU764="","",IF(OR(AZ764=8,AZ764=9),0,IF(OR(AW764=3,AW764=4,AW764=5,AW764=6),IF(LEFT(BH764,1)="1",INDEX(係数_PM低減,MATCH(AY764,【参考】排出係数!$AI$801:$AI$804,1),MATCH(BI764,【参考】排出係数!$AL$798:$AO$798,1)),VLOOKUP(AU764,INDEX((係数_バス貨物_ガソリン,係数_バス貨物_CNG,係数_バス貨物_軽油,係数_バス貨物_メタノール,係数_バス貨物_LPG),MATCH(AY764,【参考】排出係数!$AI$4:$AI$671,1),1,BE764):INDEX((係数_バス貨物_ガソリン,係数_バス貨物_CNG,係数_バス貨物_軽油,係数_バス貨物_メタノール,係数_バス貨物_LPG),MATCH(AY764+1,【参考】排出係数!$AI$4:$AI$671,1)-1,5,BE764),5,FALSE)),IF(AND(BE764=3,LEFT(BF764,1)="1"),0.055,VLOOKUP(AU764,INDEX((係数_乗用_ガソリン,係数_乗用_CNG,係数_乗用_軽油,係数_乗用_メタノール,係数_乗用_LPG),1,1,BE764):INDEX((係数_乗用_ガソリン,係数_乗用_CNG,係数_乗用_軽油,係数_乗用_メタノール,係数_乗用_LPG),125,5,BE764),5,FALSE)))))</f>
        <v/>
      </c>
      <c r="AN764" s="461" t="str">
        <f t="shared" si="426"/>
        <v/>
      </c>
      <c r="AO764" s="462" t="str">
        <f t="shared" si="427"/>
        <v/>
      </c>
      <c r="AP764" s="463" t="str">
        <f t="shared" si="428"/>
        <v/>
      </c>
      <c r="AQ764" s="464"/>
      <c r="AR764" s="619"/>
      <c r="AS764" s="465" t="str">
        <f t="shared" si="436"/>
        <v/>
      </c>
      <c r="AT764" s="465" t="str">
        <f t="shared" si="437"/>
        <v/>
      </c>
      <c r="AU764" s="466" t="str">
        <f t="shared" si="438"/>
        <v/>
      </c>
      <c r="AV764" s="467" t="str">
        <f t="shared" si="439"/>
        <v/>
      </c>
      <c r="AW764" s="467" t="str">
        <f t="shared" si="440"/>
        <v/>
      </c>
      <c r="AX764" s="467" t="str">
        <f t="shared" si="441"/>
        <v/>
      </c>
      <c r="AY764" s="467" t="str">
        <f t="shared" si="442"/>
        <v/>
      </c>
      <c r="AZ764" s="467" t="str">
        <f t="shared" si="443"/>
        <v/>
      </c>
      <c r="BA764" s="468" t="str">
        <f>IF(AS764="","",IF(OR(AU764="",AU764="-"),"－",IF(OR(AZ764=8,AZ764=9),"",IF(OR(AW764=3,AW764=4,AW764=5,AW764=6),VLOOKUP(AU764,INDEX((係数_バス貨物_ガソリン,係数_バス貨物_CNG,係数_バス貨物_軽油,係数_バス貨物_メタノール,係数_バス貨物_LPG),MATCH(AY764,【参考】排出係数!$AI$4:$AI$671,1),1,BE764):INDEX((係数_バス貨物_ガソリン,係数_バス貨物_CNG,係数_バス貨物_軽油,係数_バス貨物_メタノール,係数_バス貨物_LPG),MATCH(AY764+1,【参考】排出係数!$AI$4:$AI$671,1)-1,5,BE764),2,FALSE),IF(OR(AW764=1,AW764=2),VLOOKUP(AU764,INDEX((係数_乗用_ガソリン,係数_乗用_CNG,係数_乗用_軽油,係数_乗用_メタノール,係数_乗用_LPG),1,1,BE764):INDEX((係数_乗用_ガソリン,係数_乗用_CNG,係数_乗用_軽油,係数_乗用_メタノール,係数_乗用_LPG),125,5,BE764),2,FALSE))))))</f>
        <v/>
      </c>
      <c r="BB764" s="468" t="str">
        <f>IF(T764="","",IF(OR(AU764="",AU764="-"),"－",IF(OR(AZ764=8,AZ764=9),"",IF(OR(AW764=3,AW764=4,AW764=5,AW764=6),VLOOKUP(AU764,INDEX((係数_バス貨物_ガソリン,係数_バス貨物_CNG,係数_バス貨物_軽油,係数_バス貨物_メタノール,係数_バス貨物_LPG),MATCH(AY764,【参考】排出係数!$AI$4:$AI$671,1),1,BE764):INDEX((係数_バス貨物_ガソリン,係数_バス貨物_CNG,係数_バス貨物_軽油,係数_バス貨物_メタノール,係数_バス貨物_LPG),MATCH(AY764+1,【参考】排出係数!$AI$4:$AI$671,1)-1,5,BE764),3,FALSE),IF(OR(AW764=1,AW764=2),VLOOKUP(AU764,INDEX((係数_乗用_ガソリン,係数_乗用_CNG,係数_乗用_軽油,係数_乗用_メタノール,係数_乗用_LPG),1,1,BE764):INDEX((係数_乗用_ガソリン,係数_乗用_CNG,係数_乗用_軽油,係数_乗用_メタノール,係数_乗用_LPG),125,5,BE764),3,FALSE))))))</f>
        <v/>
      </c>
      <c r="BC764" s="467" t="str">
        <f t="shared" si="444"/>
        <v/>
      </c>
      <c r="BD764" s="567" t="str">
        <f t="shared" si="445"/>
        <v/>
      </c>
      <c r="BE764" s="467" t="str">
        <f t="shared" si="446"/>
        <v/>
      </c>
      <c r="BF764" s="469" t="str">
        <f t="shared" ca="1" si="447"/>
        <v/>
      </c>
      <c r="BG764" s="469" t="str">
        <f t="shared" ca="1" si="448"/>
        <v/>
      </c>
      <c r="BH764" s="467" t="str">
        <f t="shared" si="449"/>
        <v/>
      </c>
      <c r="BI764" s="467" t="str">
        <f t="shared" ca="1" si="450"/>
        <v/>
      </c>
      <c r="BJ764" s="469" t="str">
        <f t="shared" si="451"/>
        <v/>
      </c>
      <c r="BK764" s="470" t="str">
        <f t="shared" si="435"/>
        <v/>
      </c>
      <c r="BL764" s="775" t="str">
        <f t="shared" si="452"/>
        <v/>
      </c>
      <c r="BM764" s="775" t="str">
        <f t="shared" si="453"/>
        <v/>
      </c>
    </row>
    <row r="765" spans="1:65">
      <c r="A765" s="473">
        <v>709</v>
      </c>
      <c r="B765" s="132"/>
      <c r="C765" s="332"/>
      <c r="D765" s="333"/>
      <c r="E765" s="333"/>
      <c r="F765" s="334"/>
      <c r="G765" s="337"/>
      <c r="H765" s="131"/>
      <c r="I765" s="337"/>
      <c r="J765" s="131"/>
      <c r="K765" s="458" t="str">
        <f t="shared" si="416"/>
        <v/>
      </c>
      <c r="L765" s="458">
        <f t="shared" si="417"/>
        <v>0</v>
      </c>
      <c r="M765" s="458">
        <f t="shared" si="418"/>
        <v>0</v>
      </c>
      <c r="N765" s="459" t="str">
        <f t="shared" si="429"/>
        <v/>
      </c>
      <c r="O765" s="459" t="str">
        <f t="shared" si="430"/>
        <v/>
      </c>
      <c r="P765" s="459" t="str">
        <f t="shared" si="431"/>
        <v/>
      </c>
      <c r="Q765" s="459" t="str">
        <f t="shared" si="432"/>
        <v/>
      </c>
      <c r="R765" s="459" t="str">
        <f t="shared" si="433"/>
        <v/>
      </c>
      <c r="S765" s="459" t="str">
        <f t="shared" si="434"/>
        <v/>
      </c>
      <c r="T765" s="566" t="str">
        <f t="shared" si="419"/>
        <v/>
      </c>
      <c r="U765" s="702"/>
      <c r="V765" s="132"/>
      <c r="W765" s="133"/>
      <c r="X765" s="134"/>
      <c r="Y765" s="135"/>
      <c r="Z765" s="137"/>
      <c r="AA765" s="136"/>
      <c r="AB765" s="566" t="str">
        <f t="shared" si="420"/>
        <v/>
      </c>
      <c r="AC765" s="568" t="str">
        <f t="shared" si="421"/>
        <v/>
      </c>
      <c r="AD765" s="137"/>
      <c r="AE765" s="137"/>
      <c r="AF765" s="138"/>
      <c r="AG765" s="138"/>
      <c r="AH765" s="592" t="str">
        <f t="shared" si="422"/>
        <v/>
      </c>
      <c r="AI765" s="592" t="str">
        <f t="shared" si="423"/>
        <v/>
      </c>
      <c r="AJ765" s="592" t="str">
        <f t="shared" si="424"/>
        <v/>
      </c>
      <c r="AK765" s="460" t="str">
        <f>IF(AU765="","",IF(OR(AZ765=8,AZ765=9),0,IF(OR(AW765=3,AW765=4,AW765=5,AW765=6),IF(LEFT(BF765,1)="1",INDEX(係数_NOX・PM低減,MATCH(AY765,【参考】排出係数!$AI$801:$AI$804,1),1),VLOOKUP(AU765,INDEX((係数_バス貨物_ガソリン,係数_バス貨物_CNG,係数_バス貨物_軽油,係数_バス貨物_メタノール,係数_バス貨物_LPG),MATCH(AY765,【参考】排出係数!$AI$4:$AI$671,1),1,BE765):INDEX((係数_バス貨物_ガソリン,係数_バス貨物_CNG,係数_バス貨物_軽油,係数_バス貨物_メタノール,係数_バス貨物_LPG),MATCH(AY765+1,【参考】排出係数!$AI$4:$AI$671,1)-1,5,BE765),4,FALSE)),IF(AND(BE765=3,LEFT(BF765,1)="1"),0.48,VLOOKUP(AU765,INDEX((係数_乗用_ガソリン,係数_乗用_CNG,係数_乗用_軽油,係数_乗用_メタノール,係数_乗用_LPG),1,1,BE765):INDEX((係数_乗用_ガソリン,係数_乗用_CNG,係数_乗用_軽油,係数_乗用_メタノール,係数_乗用_LPG),125,5,BE765),4,FALSE)))))</f>
        <v/>
      </c>
      <c r="AL765" s="461" t="str">
        <f t="shared" si="425"/>
        <v/>
      </c>
      <c r="AM765" s="460" t="str">
        <f>IF(AU765="","",IF(OR(AZ765=8,AZ765=9),0,IF(OR(AW765=3,AW765=4,AW765=5,AW765=6),IF(LEFT(BH765,1)="1",INDEX(係数_PM低減,MATCH(AY765,【参考】排出係数!$AI$801:$AI$804,1),MATCH(BI765,【参考】排出係数!$AL$798:$AO$798,1)),VLOOKUP(AU765,INDEX((係数_バス貨物_ガソリン,係数_バス貨物_CNG,係数_バス貨物_軽油,係数_バス貨物_メタノール,係数_バス貨物_LPG),MATCH(AY765,【参考】排出係数!$AI$4:$AI$671,1),1,BE765):INDEX((係数_バス貨物_ガソリン,係数_バス貨物_CNG,係数_バス貨物_軽油,係数_バス貨物_メタノール,係数_バス貨物_LPG),MATCH(AY765+1,【参考】排出係数!$AI$4:$AI$671,1)-1,5,BE765),5,FALSE)),IF(AND(BE765=3,LEFT(BF765,1)="1"),0.055,VLOOKUP(AU765,INDEX((係数_乗用_ガソリン,係数_乗用_CNG,係数_乗用_軽油,係数_乗用_メタノール,係数_乗用_LPG),1,1,BE765):INDEX((係数_乗用_ガソリン,係数_乗用_CNG,係数_乗用_軽油,係数_乗用_メタノール,係数_乗用_LPG),125,5,BE765),5,FALSE)))))</f>
        <v/>
      </c>
      <c r="AN765" s="461" t="str">
        <f t="shared" si="426"/>
        <v/>
      </c>
      <c r="AO765" s="462" t="str">
        <f t="shared" si="427"/>
        <v/>
      </c>
      <c r="AP765" s="463" t="str">
        <f t="shared" si="428"/>
        <v/>
      </c>
      <c r="AQ765" s="464"/>
      <c r="AR765" s="619"/>
      <c r="AS765" s="465" t="str">
        <f t="shared" si="436"/>
        <v/>
      </c>
      <c r="AT765" s="465" t="str">
        <f t="shared" si="437"/>
        <v/>
      </c>
      <c r="AU765" s="466" t="str">
        <f t="shared" si="438"/>
        <v/>
      </c>
      <c r="AV765" s="467" t="str">
        <f t="shared" si="439"/>
        <v/>
      </c>
      <c r="AW765" s="467" t="str">
        <f t="shared" si="440"/>
        <v/>
      </c>
      <c r="AX765" s="467" t="str">
        <f t="shared" si="441"/>
        <v/>
      </c>
      <c r="AY765" s="467" t="str">
        <f t="shared" si="442"/>
        <v/>
      </c>
      <c r="AZ765" s="467" t="str">
        <f t="shared" si="443"/>
        <v/>
      </c>
      <c r="BA765" s="468" t="str">
        <f>IF(AS765="","",IF(OR(AU765="",AU765="-"),"－",IF(OR(AZ765=8,AZ765=9),"",IF(OR(AW765=3,AW765=4,AW765=5,AW765=6),VLOOKUP(AU765,INDEX((係数_バス貨物_ガソリン,係数_バス貨物_CNG,係数_バス貨物_軽油,係数_バス貨物_メタノール,係数_バス貨物_LPG),MATCH(AY765,【参考】排出係数!$AI$4:$AI$671,1),1,BE765):INDEX((係数_バス貨物_ガソリン,係数_バス貨物_CNG,係数_バス貨物_軽油,係数_バス貨物_メタノール,係数_バス貨物_LPG),MATCH(AY765+1,【参考】排出係数!$AI$4:$AI$671,1)-1,5,BE765),2,FALSE),IF(OR(AW765=1,AW765=2),VLOOKUP(AU765,INDEX((係数_乗用_ガソリン,係数_乗用_CNG,係数_乗用_軽油,係数_乗用_メタノール,係数_乗用_LPG),1,1,BE765):INDEX((係数_乗用_ガソリン,係数_乗用_CNG,係数_乗用_軽油,係数_乗用_メタノール,係数_乗用_LPG),125,5,BE765),2,FALSE))))))</f>
        <v/>
      </c>
      <c r="BB765" s="468" t="str">
        <f>IF(T765="","",IF(OR(AU765="",AU765="-"),"－",IF(OR(AZ765=8,AZ765=9),"",IF(OR(AW765=3,AW765=4,AW765=5,AW765=6),VLOOKUP(AU765,INDEX((係数_バス貨物_ガソリン,係数_バス貨物_CNG,係数_バス貨物_軽油,係数_バス貨物_メタノール,係数_バス貨物_LPG),MATCH(AY765,【参考】排出係数!$AI$4:$AI$671,1),1,BE765):INDEX((係数_バス貨物_ガソリン,係数_バス貨物_CNG,係数_バス貨物_軽油,係数_バス貨物_メタノール,係数_バス貨物_LPG),MATCH(AY765+1,【参考】排出係数!$AI$4:$AI$671,1)-1,5,BE765),3,FALSE),IF(OR(AW765=1,AW765=2),VLOOKUP(AU765,INDEX((係数_乗用_ガソリン,係数_乗用_CNG,係数_乗用_軽油,係数_乗用_メタノール,係数_乗用_LPG),1,1,BE765):INDEX((係数_乗用_ガソリン,係数_乗用_CNG,係数_乗用_軽油,係数_乗用_メタノール,係数_乗用_LPG),125,5,BE765),3,FALSE))))))</f>
        <v/>
      </c>
      <c r="BC765" s="467" t="str">
        <f t="shared" si="444"/>
        <v/>
      </c>
      <c r="BD765" s="567" t="str">
        <f t="shared" si="445"/>
        <v/>
      </c>
      <c r="BE765" s="467" t="str">
        <f t="shared" si="446"/>
        <v/>
      </c>
      <c r="BF765" s="469" t="str">
        <f t="shared" ca="1" si="447"/>
        <v/>
      </c>
      <c r="BG765" s="469" t="str">
        <f t="shared" ca="1" si="448"/>
        <v/>
      </c>
      <c r="BH765" s="467" t="str">
        <f t="shared" si="449"/>
        <v/>
      </c>
      <c r="BI765" s="467" t="str">
        <f t="shared" ca="1" si="450"/>
        <v/>
      </c>
      <c r="BJ765" s="469" t="str">
        <f t="shared" si="451"/>
        <v/>
      </c>
      <c r="BK765" s="470" t="str">
        <f t="shared" si="435"/>
        <v/>
      </c>
      <c r="BL765" s="775" t="str">
        <f t="shared" si="452"/>
        <v/>
      </c>
      <c r="BM765" s="775" t="str">
        <f t="shared" si="453"/>
        <v/>
      </c>
    </row>
    <row r="766" spans="1:65">
      <c r="A766" s="473">
        <v>710</v>
      </c>
      <c r="B766" s="132"/>
      <c r="C766" s="332"/>
      <c r="D766" s="333"/>
      <c r="E766" s="333"/>
      <c r="F766" s="334"/>
      <c r="G766" s="337"/>
      <c r="H766" s="131"/>
      <c r="I766" s="337"/>
      <c r="J766" s="131"/>
      <c r="K766" s="458" t="str">
        <f t="shared" si="416"/>
        <v/>
      </c>
      <c r="L766" s="458">
        <f t="shared" si="417"/>
        <v>0</v>
      </c>
      <c r="M766" s="458">
        <f t="shared" si="418"/>
        <v>0</v>
      </c>
      <c r="N766" s="459" t="str">
        <f t="shared" si="429"/>
        <v/>
      </c>
      <c r="O766" s="459" t="str">
        <f t="shared" si="430"/>
        <v/>
      </c>
      <c r="P766" s="459" t="str">
        <f t="shared" si="431"/>
        <v/>
      </c>
      <c r="Q766" s="459" t="str">
        <f t="shared" si="432"/>
        <v/>
      </c>
      <c r="R766" s="459" t="str">
        <f t="shared" si="433"/>
        <v/>
      </c>
      <c r="S766" s="459" t="str">
        <f t="shared" si="434"/>
        <v/>
      </c>
      <c r="T766" s="566" t="str">
        <f t="shared" si="419"/>
        <v/>
      </c>
      <c r="U766" s="702"/>
      <c r="V766" s="132"/>
      <c r="W766" s="133"/>
      <c r="X766" s="134"/>
      <c r="Y766" s="135"/>
      <c r="Z766" s="137"/>
      <c r="AA766" s="136"/>
      <c r="AB766" s="566" t="str">
        <f t="shared" si="420"/>
        <v/>
      </c>
      <c r="AC766" s="568" t="str">
        <f t="shared" si="421"/>
        <v/>
      </c>
      <c r="AD766" s="137"/>
      <c r="AE766" s="137"/>
      <c r="AF766" s="138"/>
      <c r="AG766" s="138"/>
      <c r="AH766" s="592" t="str">
        <f t="shared" si="422"/>
        <v/>
      </c>
      <c r="AI766" s="592" t="str">
        <f t="shared" si="423"/>
        <v/>
      </c>
      <c r="AJ766" s="592" t="str">
        <f t="shared" si="424"/>
        <v/>
      </c>
      <c r="AK766" s="460" t="str">
        <f>IF(AU766="","",IF(OR(AZ766=8,AZ766=9),0,IF(OR(AW766=3,AW766=4,AW766=5,AW766=6),IF(LEFT(BF766,1)="1",INDEX(係数_NOX・PM低減,MATCH(AY766,【参考】排出係数!$AI$801:$AI$804,1),1),VLOOKUP(AU766,INDEX((係数_バス貨物_ガソリン,係数_バス貨物_CNG,係数_バス貨物_軽油,係数_バス貨物_メタノール,係数_バス貨物_LPG),MATCH(AY766,【参考】排出係数!$AI$4:$AI$671,1),1,BE766):INDEX((係数_バス貨物_ガソリン,係数_バス貨物_CNG,係数_バス貨物_軽油,係数_バス貨物_メタノール,係数_バス貨物_LPG),MATCH(AY766+1,【参考】排出係数!$AI$4:$AI$671,1)-1,5,BE766),4,FALSE)),IF(AND(BE766=3,LEFT(BF766,1)="1"),0.48,VLOOKUP(AU766,INDEX((係数_乗用_ガソリン,係数_乗用_CNG,係数_乗用_軽油,係数_乗用_メタノール,係数_乗用_LPG),1,1,BE766):INDEX((係数_乗用_ガソリン,係数_乗用_CNG,係数_乗用_軽油,係数_乗用_メタノール,係数_乗用_LPG),125,5,BE766),4,FALSE)))))</f>
        <v/>
      </c>
      <c r="AL766" s="461" t="str">
        <f t="shared" si="425"/>
        <v/>
      </c>
      <c r="AM766" s="460" t="str">
        <f>IF(AU766="","",IF(OR(AZ766=8,AZ766=9),0,IF(OR(AW766=3,AW766=4,AW766=5,AW766=6),IF(LEFT(BH766,1)="1",INDEX(係数_PM低減,MATCH(AY766,【参考】排出係数!$AI$801:$AI$804,1),MATCH(BI766,【参考】排出係数!$AL$798:$AO$798,1)),VLOOKUP(AU766,INDEX((係数_バス貨物_ガソリン,係数_バス貨物_CNG,係数_バス貨物_軽油,係数_バス貨物_メタノール,係数_バス貨物_LPG),MATCH(AY766,【参考】排出係数!$AI$4:$AI$671,1),1,BE766):INDEX((係数_バス貨物_ガソリン,係数_バス貨物_CNG,係数_バス貨物_軽油,係数_バス貨物_メタノール,係数_バス貨物_LPG),MATCH(AY766+1,【参考】排出係数!$AI$4:$AI$671,1)-1,5,BE766),5,FALSE)),IF(AND(BE766=3,LEFT(BF766,1)="1"),0.055,VLOOKUP(AU766,INDEX((係数_乗用_ガソリン,係数_乗用_CNG,係数_乗用_軽油,係数_乗用_メタノール,係数_乗用_LPG),1,1,BE766):INDEX((係数_乗用_ガソリン,係数_乗用_CNG,係数_乗用_軽油,係数_乗用_メタノール,係数_乗用_LPG),125,5,BE766),5,FALSE)))))</f>
        <v/>
      </c>
      <c r="AN766" s="461" t="str">
        <f t="shared" si="426"/>
        <v/>
      </c>
      <c r="AO766" s="462" t="str">
        <f t="shared" si="427"/>
        <v/>
      </c>
      <c r="AP766" s="463" t="str">
        <f t="shared" si="428"/>
        <v/>
      </c>
      <c r="AQ766" s="464"/>
      <c r="AR766" s="619"/>
      <c r="AS766" s="465" t="str">
        <f t="shared" si="436"/>
        <v/>
      </c>
      <c r="AT766" s="465" t="str">
        <f t="shared" si="437"/>
        <v/>
      </c>
      <c r="AU766" s="466" t="str">
        <f t="shared" si="438"/>
        <v/>
      </c>
      <c r="AV766" s="467" t="str">
        <f t="shared" si="439"/>
        <v/>
      </c>
      <c r="AW766" s="467" t="str">
        <f t="shared" si="440"/>
        <v/>
      </c>
      <c r="AX766" s="467" t="str">
        <f t="shared" si="441"/>
        <v/>
      </c>
      <c r="AY766" s="467" t="str">
        <f t="shared" si="442"/>
        <v/>
      </c>
      <c r="AZ766" s="467" t="str">
        <f t="shared" si="443"/>
        <v/>
      </c>
      <c r="BA766" s="468" t="str">
        <f>IF(AS766="","",IF(OR(AU766="",AU766="-"),"－",IF(OR(AZ766=8,AZ766=9),"",IF(OR(AW766=3,AW766=4,AW766=5,AW766=6),VLOOKUP(AU766,INDEX((係数_バス貨物_ガソリン,係数_バス貨物_CNG,係数_バス貨物_軽油,係数_バス貨物_メタノール,係数_バス貨物_LPG),MATCH(AY766,【参考】排出係数!$AI$4:$AI$671,1),1,BE766):INDEX((係数_バス貨物_ガソリン,係数_バス貨物_CNG,係数_バス貨物_軽油,係数_バス貨物_メタノール,係数_バス貨物_LPG),MATCH(AY766+1,【参考】排出係数!$AI$4:$AI$671,1)-1,5,BE766),2,FALSE),IF(OR(AW766=1,AW766=2),VLOOKUP(AU766,INDEX((係数_乗用_ガソリン,係数_乗用_CNG,係数_乗用_軽油,係数_乗用_メタノール,係数_乗用_LPG),1,1,BE766):INDEX((係数_乗用_ガソリン,係数_乗用_CNG,係数_乗用_軽油,係数_乗用_メタノール,係数_乗用_LPG),125,5,BE766),2,FALSE))))))</f>
        <v/>
      </c>
      <c r="BB766" s="468" t="str">
        <f>IF(T766="","",IF(OR(AU766="",AU766="-"),"－",IF(OR(AZ766=8,AZ766=9),"",IF(OR(AW766=3,AW766=4,AW766=5,AW766=6),VLOOKUP(AU766,INDEX((係数_バス貨物_ガソリン,係数_バス貨物_CNG,係数_バス貨物_軽油,係数_バス貨物_メタノール,係数_バス貨物_LPG),MATCH(AY766,【参考】排出係数!$AI$4:$AI$671,1),1,BE766):INDEX((係数_バス貨物_ガソリン,係数_バス貨物_CNG,係数_バス貨物_軽油,係数_バス貨物_メタノール,係数_バス貨物_LPG),MATCH(AY766+1,【参考】排出係数!$AI$4:$AI$671,1)-1,5,BE766),3,FALSE),IF(OR(AW766=1,AW766=2),VLOOKUP(AU766,INDEX((係数_乗用_ガソリン,係数_乗用_CNG,係数_乗用_軽油,係数_乗用_メタノール,係数_乗用_LPG),1,1,BE766):INDEX((係数_乗用_ガソリン,係数_乗用_CNG,係数_乗用_軽油,係数_乗用_メタノール,係数_乗用_LPG),125,5,BE766),3,FALSE))))))</f>
        <v/>
      </c>
      <c r="BC766" s="467" t="str">
        <f t="shared" si="444"/>
        <v/>
      </c>
      <c r="BD766" s="567" t="str">
        <f t="shared" si="445"/>
        <v/>
      </c>
      <c r="BE766" s="467" t="str">
        <f t="shared" si="446"/>
        <v/>
      </c>
      <c r="BF766" s="469" t="str">
        <f t="shared" ca="1" si="447"/>
        <v/>
      </c>
      <c r="BG766" s="469" t="str">
        <f t="shared" ca="1" si="448"/>
        <v/>
      </c>
      <c r="BH766" s="467" t="str">
        <f t="shared" si="449"/>
        <v/>
      </c>
      <c r="BI766" s="467" t="str">
        <f t="shared" ca="1" si="450"/>
        <v/>
      </c>
      <c r="BJ766" s="469" t="str">
        <f t="shared" si="451"/>
        <v/>
      </c>
      <c r="BK766" s="470" t="str">
        <f t="shared" si="435"/>
        <v/>
      </c>
      <c r="BL766" s="775" t="str">
        <f t="shared" si="452"/>
        <v/>
      </c>
      <c r="BM766" s="775" t="str">
        <f t="shared" si="453"/>
        <v/>
      </c>
    </row>
    <row r="767" spans="1:65">
      <c r="A767" s="473">
        <v>711</v>
      </c>
      <c r="B767" s="132"/>
      <c r="C767" s="332"/>
      <c r="D767" s="333"/>
      <c r="E767" s="333"/>
      <c r="F767" s="334"/>
      <c r="G767" s="337"/>
      <c r="H767" s="131"/>
      <c r="I767" s="337"/>
      <c r="J767" s="131"/>
      <c r="K767" s="458" t="str">
        <f t="shared" si="416"/>
        <v/>
      </c>
      <c r="L767" s="458">
        <f t="shared" si="417"/>
        <v>0</v>
      </c>
      <c r="M767" s="458">
        <f t="shared" si="418"/>
        <v>0</v>
      </c>
      <c r="N767" s="459" t="str">
        <f t="shared" si="429"/>
        <v/>
      </c>
      <c r="O767" s="459" t="str">
        <f t="shared" si="430"/>
        <v/>
      </c>
      <c r="P767" s="459" t="str">
        <f t="shared" si="431"/>
        <v/>
      </c>
      <c r="Q767" s="459" t="str">
        <f t="shared" si="432"/>
        <v/>
      </c>
      <c r="R767" s="459" t="str">
        <f t="shared" si="433"/>
        <v/>
      </c>
      <c r="S767" s="459" t="str">
        <f t="shared" si="434"/>
        <v/>
      </c>
      <c r="T767" s="566" t="str">
        <f t="shared" si="419"/>
        <v/>
      </c>
      <c r="U767" s="702"/>
      <c r="V767" s="132"/>
      <c r="W767" s="133"/>
      <c r="X767" s="134"/>
      <c r="Y767" s="135"/>
      <c r="Z767" s="137"/>
      <c r="AA767" s="136"/>
      <c r="AB767" s="566" t="str">
        <f t="shared" si="420"/>
        <v/>
      </c>
      <c r="AC767" s="568" t="str">
        <f t="shared" si="421"/>
        <v/>
      </c>
      <c r="AD767" s="137"/>
      <c r="AE767" s="137"/>
      <c r="AF767" s="138"/>
      <c r="AG767" s="138"/>
      <c r="AH767" s="592" t="str">
        <f t="shared" si="422"/>
        <v/>
      </c>
      <c r="AI767" s="592" t="str">
        <f t="shared" si="423"/>
        <v/>
      </c>
      <c r="AJ767" s="592" t="str">
        <f t="shared" si="424"/>
        <v/>
      </c>
      <c r="AK767" s="460" t="str">
        <f>IF(AU767="","",IF(OR(AZ767=8,AZ767=9),0,IF(OR(AW767=3,AW767=4,AW767=5,AW767=6),IF(LEFT(BF767,1)="1",INDEX(係数_NOX・PM低減,MATCH(AY767,【参考】排出係数!$AI$801:$AI$804,1),1),VLOOKUP(AU767,INDEX((係数_バス貨物_ガソリン,係数_バス貨物_CNG,係数_バス貨物_軽油,係数_バス貨物_メタノール,係数_バス貨物_LPG),MATCH(AY767,【参考】排出係数!$AI$4:$AI$671,1),1,BE767):INDEX((係数_バス貨物_ガソリン,係数_バス貨物_CNG,係数_バス貨物_軽油,係数_バス貨物_メタノール,係数_バス貨物_LPG),MATCH(AY767+1,【参考】排出係数!$AI$4:$AI$671,1)-1,5,BE767),4,FALSE)),IF(AND(BE767=3,LEFT(BF767,1)="1"),0.48,VLOOKUP(AU767,INDEX((係数_乗用_ガソリン,係数_乗用_CNG,係数_乗用_軽油,係数_乗用_メタノール,係数_乗用_LPG),1,1,BE767):INDEX((係数_乗用_ガソリン,係数_乗用_CNG,係数_乗用_軽油,係数_乗用_メタノール,係数_乗用_LPG),125,5,BE767),4,FALSE)))))</f>
        <v/>
      </c>
      <c r="AL767" s="461" t="str">
        <f t="shared" si="425"/>
        <v/>
      </c>
      <c r="AM767" s="460" t="str">
        <f>IF(AU767="","",IF(OR(AZ767=8,AZ767=9),0,IF(OR(AW767=3,AW767=4,AW767=5,AW767=6),IF(LEFT(BH767,1)="1",INDEX(係数_PM低減,MATCH(AY767,【参考】排出係数!$AI$801:$AI$804,1),MATCH(BI767,【参考】排出係数!$AL$798:$AO$798,1)),VLOOKUP(AU767,INDEX((係数_バス貨物_ガソリン,係数_バス貨物_CNG,係数_バス貨物_軽油,係数_バス貨物_メタノール,係数_バス貨物_LPG),MATCH(AY767,【参考】排出係数!$AI$4:$AI$671,1),1,BE767):INDEX((係数_バス貨物_ガソリン,係数_バス貨物_CNG,係数_バス貨物_軽油,係数_バス貨物_メタノール,係数_バス貨物_LPG),MATCH(AY767+1,【参考】排出係数!$AI$4:$AI$671,1)-1,5,BE767),5,FALSE)),IF(AND(BE767=3,LEFT(BF767,1)="1"),0.055,VLOOKUP(AU767,INDEX((係数_乗用_ガソリン,係数_乗用_CNG,係数_乗用_軽油,係数_乗用_メタノール,係数_乗用_LPG),1,1,BE767):INDEX((係数_乗用_ガソリン,係数_乗用_CNG,係数_乗用_軽油,係数_乗用_メタノール,係数_乗用_LPG),125,5,BE767),5,FALSE)))))</f>
        <v/>
      </c>
      <c r="AN767" s="461" t="str">
        <f t="shared" si="426"/>
        <v/>
      </c>
      <c r="AO767" s="462" t="str">
        <f t="shared" si="427"/>
        <v/>
      </c>
      <c r="AP767" s="463" t="str">
        <f t="shared" si="428"/>
        <v/>
      </c>
      <c r="AQ767" s="464"/>
      <c r="AR767" s="619"/>
      <c r="AS767" s="465" t="str">
        <f t="shared" si="436"/>
        <v/>
      </c>
      <c r="AT767" s="465" t="str">
        <f t="shared" si="437"/>
        <v/>
      </c>
      <c r="AU767" s="466" t="str">
        <f t="shared" si="438"/>
        <v/>
      </c>
      <c r="AV767" s="467" t="str">
        <f t="shared" si="439"/>
        <v/>
      </c>
      <c r="AW767" s="467" t="str">
        <f t="shared" si="440"/>
        <v/>
      </c>
      <c r="AX767" s="467" t="str">
        <f t="shared" si="441"/>
        <v/>
      </c>
      <c r="AY767" s="467" t="str">
        <f t="shared" si="442"/>
        <v/>
      </c>
      <c r="AZ767" s="467" t="str">
        <f t="shared" si="443"/>
        <v/>
      </c>
      <c r="BA767" s="468" t="str">
        <f>IF(AS767="","",IF(OR(AU767="",AU767="-"),"－",IF(OR(AZ767=8,AZ767=9),"",IF(OR(AW767=3,AW767=4,AW767=5,AW767=6),VLOOKUP(AU767,INDEX((係数_バス貨物_ガソリン,係数_バス貨物_CNG,係数_バス貨物_軽油,係数_バス貨物_メタノール,係数_バス貨物_LPG),MATCH(AY767,【参考】排出係数!$AI$4:$AI$671,1),1,BE767):INDEX((係数_バス貨物_ガソリン,係数_バス貨物_CNG,係数_バス貨物_軽油,係数_バス貨物_メタノール,係数_バス貨物_LPG),MATCH(AY767+1,【参考】排出係数!$AI$4:$AI$671,1)-1,5,BE767),2,FALSE),IF(OR(AW767=1,AW767=2),VLOOKUP(AU767,INDEX((係数_乗用_ガソリン,係数_乗用_CNG,係数_乗用_軽油,係数_乗用_メタノール,係数_乗用_LPG),1,1,BE767):INDEX((係数_乗用_ガソリン,係数_乗用_CNG,係数_乗用_軽油,係数_乗用_メタノール,係数_乗用_LPG),125,5,BE767),2,FALSE))))))</f>
        <v/>
      </c>
      <c r="BB767" s="468" t="str">
        <f>IF(T767="","",IF(OR(AU767="",AU767="-"),"－",IF(OR(AZ767=8,AZ767=9),"",IF(OR(AW767=3,AW767=4,AW767=5,AW767=6),VLOOKUP(AU767,INDEX((係数_バス貨物_ガソリン,係数_バス貨物_CNG,係数_バス貨物_軽油,係数_バス貨物_メタノール,係数_バス貨物_LPG),MATCH(AY767,【参考】排出係数!$AI$4:$AI$671,1),1,BE767):INDEX((係数_バス貨物_ガソリン,係数_バス貨物_CNG,係数_バス貨物_軽油,係数_バス貨物_メタノール,係数_バス貨物_LPG),MATCH(AY767+1,【参考】排出係数!$AI$4:$AI$671,1)-1,5,BE767),3,FALSE),IF(OR(AW767=1,AW767=2),VLOOKUP(AU767,INDEX((係数_乗用_ガソリン,係数_乗用_CNG,係数_乗用_軽油,係数_乗用_メタノール,係数_乗用_LPG),1,1,BE767):INDEX((係数_乗用_ガソリン,係数_乗用_CNG,係数_乗用_軽油,係数_乗用_メタノール,係数_乗用_LPG),125,5,BE767),3,FALSE))))))</f>
        <v/>
      </c>
      <c r="BC767" s="467" t="str">
        <f t="shared" si="444"/>
        <v/>
      </c>
      <c r="BD767" s="567" t="str">
        <f t="shared" si="445"/>
        <v/>
      </c>
      <c r="BE767" s="467" t="str">
        <f t="shared" si="446"/>
        <v/>
      </c>
      <c r="BF767" s="469" t="str">
        <f t="shared" ca="1" si="447"/>
        <v/>
      </c>
      <c r="BG767" s="469" t="str">
        <f t="shared" ca="1" si="448"/>
        <v/>
      </c>
      <c r="BH767" s="467" t="str">
        <f t="shared" si="449"/>
        <v/>
      </c>
      <c r="BI767" s="467" t="str">
        <f t="shared" ca="1" si="450"/>
        <v/>
      </c>
      <c r="BJ767" s="469" t="str">
        <f t="shared" si="451"/>
        <v/>
      </c>
      <c r="BK767" s="470" t="str">
        <f t="shared" si="435"/>
        <v/>
      </c>
      <c r="BL767" s="775" t="str">
        <f t="shared" si="452"/>
        <v/>
      </c>
      <c r="BM767" s="775" t="str">
        <f t="shared" si="453"/>
        <v/>
      </c>
    </row>
    <row r="768" spans="1:65">
      <c r="A768" s="473">
        <v>712</v>
      </c>
      <c r="B768" s="132"/>
      <c r="C768" s="332"/>
      <c r="D768" s="333"/>
      <c r="E768" s="333"/>
      <c r="F768" s="334"/>
      <c r="G768" s="337"/>
      <c r="H768" s="131"/>
      <c r="I768" s="337"/>
      <c r="J768" s="131"/>
      <c r="K768" s="458" t="str">
        <f t="shared" si="416"/>
        <v/>
      </c>
      <c r="L768" s="458">
        <f t="shared" si="417"/>
        <v>0</v>
      </c>
      <c r="M768" s="458">
        <f t="shared" si="418"/>
        <v>0</v>
      </c>
      <c r="N768" s="459" t="str">
        <f t="shared" si="429"/>
        <v/>
      </c>
      <c r="O768" s="459" t="str">
        <f t="shared" si="430"/>
        <v/>
      </c>
      <c r="P768" s="459" t="str">
        <f t="shared" si="431"/>
        <v/>
      </c>
      <c r="Q768" s="459" t="str">
        <f t="shared" si="432"/>
        <v/>
      </c>
      <c r="R768" s="459" t="str">
        <f t="shared" si="433"/>
        <v/>
      </c>
      <c r="S768" s="459" t="str">
        <f t="shared" si="434"/>
        <v/>
      </c>
      <c r="T768" s="566" t="str">
        <f t="shared" si="419"/>
        <v/>
      </c>
      <c r="U768" s="702"/>
      <c r="V768" s="132"/>
      <c r="W768" s="133"/>
      <c r="X768" s="134"/>
      <c r="Y768" s="135"/>
      <c r="Z768" s="137"/>
      <c r="AA768" s="136"/>
      <c r="AB768" s="566" t="str">
        <f t="shared" si="420"/>
        <v/>
      </c>
      <c r="AC768" s="568" t="str">
        <f t="shared" si="421"/>
        <v/>
      </c>
      <c r="AD768" s="137"/>
      <c r="AE768" s="137"/>
      <c r="AF768" s="138"/>
      <c r="AG768" s="138"/>
      <c r="AH768" s="592" t="str">
        <f t="shared" si="422"/>
        <v/>
      </c>
      <c r="AI768" s="592" t="str">
        <f t="shared" si="423"/>
        <v/>
      </c>
      <c r="AJ768" s="592" t="str">
        <f t="shared" si="424"/>
        <v/>
      </c>
      <c r="AK768" s="460" t="str">
        <f>IF(AU768="","",IF(OR(AZ768=8,AZ768=9),0,IF(OR(AW768=3,AW768=4,AW768=5,AW768=6),IF(LEFT(BF768,1)="1",INDEX(係数_NOX・PM低減,MATCH(AY768,【参考】排出係数!$AI$801:$AI$804,1),1),VLOOKUP(AU768,INDEX((係数_バス貨物_ガソリン,係数_バス貨物_CNG,係数_バス貨物_軽油,係数_バス貨物_メタノール,係数_バス貨物_LPG),MATCH(AY768,【参考】排出係数!$AI$4:$AI$671,1),1,BE768):INDEX((係数_バス貨物_ガソリン,係数_バス貨物_CNG,係数_バス貨物_軽油,係数_バス貨物_メタノール,係数_バス貨物_LPG),MATCH(AY768+1,【参考】排出係数!$AI$4:$AI$671,1)-1,5,BE768),4,FALSE)),IF(AND(BE768=3,LEFT(BF768,1)="1"),0.48,VLOOKUP(AU768,INDEX((係数_乗用_ガソリン,係数_乗用_CNG,係数_乗用_軽油,係数_乗用_メタノール,係数_乗用_LPG),1,1,BE768):INDEX((係数_乗用_ガソリン,係数_乗用_CNG,係数_乗用_軽油,係数_乗用_メタノール,係数_乗用_LPG),125,5,BE768),4,FALSE)))))</f>
        <v/>
      </c>
      <c r="AL768" s="461" t="str">
        <f t="shared" si="425"/>
        <v/>
      </c>
      <c r="AM768" s="460" t="str">
        <f>IF(AU768="","",IF(OR(AZ768=8,AZ768=9),0,IF(OR(AW768=3,AW768=4,AW768=5,AW768=6),IF(LEFT(BH768,1)="1",INDEX(係数_PM低減,MATCH(AY768,【参考】排出係数!$AI$801:$AI$804,1),MATCH(BI768,【参考】排出係数!$AL$798:$AO$798,1)),VLOOKUP(AU768,INDEX((係数_バス貨物_ガソリン,係数_バス貨物_CNG,係数_バス貨物_軽油,係数_バス貨物_メタノール,係数_バス貨物_LPG),MATCH(AY768,【参考】排出係数!$AI$4:$AI$671,1),1,BE768):INDEX((係数_バス貨物_ガソリン,係数_バス貨物_CNG,係数_バス貨物_軽油,係数_バス貨物_メタノール,係数_バス貨物_LPG),MATCH(AY768+1,【参考】排出係数!$AI$4:$AI$671,1)-1,5,BE768),5,FALSE)),IF(AND(BE768=3,LEFT(BF768,1)="1"),0.055,VLOOKUP(AU768,INDEX((係数_乗用_ガソリン,係数_乗用_CNG,係数_乗用_軽油,係数_乗用_メタノール,係数_乗用_LPG),1,1,BE768):INDEX((係数_乗用_ガソリン,係数_乗用_CNG,係数_乗用_軽油,係数_乗用_メタノール,係数_乗用_LPG),125,5,BE768),5,FALSE)))))</f>
        <v/>
      </c>
      <c r="AN768" s="461" t="str">
        <f t="shared" si="426"/>
        <v/>
      </c>
      <c r="AO768" s="462" t="str">
        <f t="shared" si="427"/>
        <v/>
      </c>
      <c r="AP768" s="463" t="str">
        <f t="shared" si="428"/>
        <v/>
      </c>
      <c r="AQ768" s="464"/>
      <c r="AR768" s="619"/>
      <c r="AS768" s="465" t="str">
        <f t="shared" si="436"/>
        <v/>
      </c>
      <c r="AT768" s="465" t="str">
        <f t="shared" si="437"/>
        <v/>
      </c>
      <c r="AU768" s="466" t="str">
        <f t="shared" si="438"/>
        <v/>
      </c>
      <c r="AV768" s="467" t="str">
        <f t="shared" si="439"/>
        <v/>
      </c>
      <c r="AW768" s="467" t="str">
        <f t="shared" si="440"/>
        <v/>
      </c>
      <c r="AX768" s="467" t="str">
        <f t="shared" si="441"/>
        <v/>
      </c>
      <c r="AY768" s="467" t="str">
        <f t="shared" si="442"/>
        <v/>
      </c>
      <c r="AZ768" s="467" t="str">
        <f t="shared" si="443"/>
        <v/>
      </c>
      <c r="BA768" s="468" t="str">
        <f>IF(AS768="","",IF(OR(AU768="",AU768="-"),"－",IF(OR(AZ768=8,AZ768=9),"",IF(OR(AW768=3,AW768=4,AW768=5,AW768=6),VLOOKUP(AU768,INDEX((係数_バス貨物_ガソリン,係数_バス貨物_CNG,係数_バス貨物_軽油,係数_バス貨物_メタノール,係数_バス貨物_LPG),MATCH(AY768,【参考】排出係数!$AI$4:$AI$671,1),1,BE768):INDEX((係数_バス貨物_ガソリン,係数_バス貨物_CNG,係数_バス貨物_軽油,係数_バス貨物_メタノール,係数_バス貨物_LPG),MATCH(AY768+1,【参考】排出係数!$AI$4:$AI$671,1)-1,5,BE768),2,FALSE),IF(OR(AW768=1,AW768=2),VLOOKUP(AU768,INDEX((係数_乗用_ガソリン,係数_乗用_CNG,係数_乗用_軽油,係数_乗用_メタノール,係数_乗用_LPG),1,1,BE768):INDEX((係数_乗用_ガソリン,係数_乗用_CNG,係数_乗用_軽油,係数_乗用_メタノール,係数_乗用_LPG),125,5,BE768),2,FALSE))))))</f>
        <v/>
      </c>
      <c r="BB768" s="468" t="str">
        <f>IF(T768="","",IF(OR(AU768="",AU768="-"),"－",IF(OR(AZ768=8,AZ768=9),"",IF(OR(AW768=3,AW768=4,AW768=5,AW768=6),VLOOKUP(AU768,INDEX((係数_バス貨物_ガソリン,係数_バス貨物_CNG,係数_バス貨物_軽油,係数_バス貨物_メタノール,係数_バス貨物_LPG),MATCH(AY768,【参考】排出係数!$AI$4:$AI$671,1),1,BE768):INDEX((係数_バス貨物_ガソリン,係数_バス貨物_CNG,係数_バス貨物_軽油,係数_バス貨物_メタノール,係数_バス貨物_LPG),MATCH(AY768+1,【参考】排出係数!$AI$4:$AI$671,1)-1,5,BE768),3,FALSE),IF(OR(AW768=1,AW768=2),VLOOKUP(AU768,INDEX((係数_乗用_ガソリン,係数_乗用_CNG,係数_乗用_軽油,係数_乗用_メタノール,係数_乗用_LPG),1,1,BE768):INDEX((係数_乗用_ガソリン,係数_乗用_CNG,係数_乗用_軽油,係数_乗用_メタノール,係数_乗用_LPG),125,5,BE768),3,FALSE))))))</f>
        <v/>
      </c>
      <c r="BC768" s="467" t="str">
        <f t="shared" si="444"/>
        <v/>
      </c>
      <c r="BD768" s="567" t="str">
        <f t="shared" si="445"/>
        <v/>
      </c>
      <c r="BE768" s="467" t="str">
        <f t="shared" si="446"/>
        <v/>
      </c>
      <c r="BF768" s="469" t="str">
        <f t="shared" ca="1" si="447"/>
        <v/>
      </c>
      <c r="BG768" s="469" t="str">
        <f t="shared" ca="1" si="448"/>
        <v/>
      </c>
      <c r="BH768" s="467" t="str">
        <f t="shared" si="449"/>
        <v/>
      </c>
      <c r="BI768" s="467" t="str">
        <f t="shared" ca="1" si="450"/>
        <v/>
      </c>
      <c r="BJ768" s="469" t="str">
        <f t="shared" si="451"/>
        <v/>
      </c>
      <c r="BK768" s="470" t="str">
        <f t="shared" si="435"/>
        <v/>
      </c>
      <c r="BL768" s="775" t="str">
        <f t="shared" si="452"/>
        <v/>
      </c>
      <c r="BM768" s="775" t="str">
        <f t="shared" si="453"/>
        <v/>
      </c>
    </row>
    <row r="769" spans="1:65">
      <c r="A769" s="473">
        <v>713</v>
      </c>
      <c r="B769" s="132"/>
      <c r="C769" s="332"/>
      <c r="D769" s="333"/>
      <c r="E769" s="333"/>
      <c r="F769" s="334"/>
      <c r="G769" s="337"/>
      <c r="H769" s="131"/>
      <c r="I769" s="337"/>
      <c r="J769" s="131"/>
      <c r="K769" s="458" t="str">
        <f t="shared" si="416"/>
        <v/>
      </c>
      <c r="L769" s="458">
        <f t="shared" si="417"/>
        <v>0</v>
      </c>
      <c r="M769" s="458">
        <f t="shared" si="418"/>
        <v>0</v>
      </c>
      <c r="N769" s="459" t="str">
        <f t="shared" si="429"/>
        <v/>
      </c>
      <c r="O769" s="459" t="str">
        <f t="shared" si="430"/>
        <v/>
      </c>
      <c r="P769" s="459" t="str">
        <f t="shared" si="431"/>
        <v/>
      </c>
      <c r="Q769" s="459" t="str">
        <f t="shared" si="432"/>
        <v/>
      </c>
      <c r="R769" s="459" t="str">
        <f t="shared" si="433"/>
        <v/>
      </c>
      <c r="S769" s="459" t="str">
        <f t="shared" si="434"/>
        <v/>
      </c>
      <c r="T769" s="566" t="str">
        <f t="shared" si="419"/>
        <v/>
      </c>
      <c r="U769" s="702"/>
      <c r="V769" s="132"/>
      <c r="W769" s="133"/>
      <c r="X769" s="134"/>
      <c r="Y769" s="135"/>
      <c r="Z769" s="137"/>
      <c r="AA769" s="136"/>
      <c r="AB769" s="566" t="str">
        <f t="shared" si="420"/>
        <v/>
      </c>
      <c r="AC769" s="568" t="str">
        <f t="shared" si="421"/>
        <v/>
      </c>
      <c r="AD769" s="137"/>
      <c r="AE769" s="137"/>
      <c r="AF769" s="138"/>
      <c r="AG769" s="138"/>
      <c r="AH769" s="592" t="str">
        <f t="shared" si="422"/>
        <v/>
      </c>
      <c r="AI769" s="592" t="str">
        <f t="shared" si="423"/>
        <v/>
      </c>
      <c r="AJ769" s="592" t="str">
        <f t="shared" si="424"/>
        <v/>
      </c>
      <c r="AK769" s="460" t="str">
        <f>IF(AU769="","",IF(OR(AZ769=8,AZ769=9),0,IF(OR(AW769=3,AW769=4,AW769=5,AW769=6),IF(LEFT(BF769,1)="1",INDEX(係数_NOX・PM低減,MATCH(AY769,【参考】排出係数!$AI$801:$AI$804,1),1),VLOOKUP(AU769,INDEX((係数_バス貨物_ガソリン,係数_バス貨物_CNG,係数_バス貨物_軽油,係数_バス貨物_メタノール,係数_バス貨物_LPG),MATCH(AY769,【参考】排出係数!$AI$4:$AI$671,1),1,BE769):INDEX((係数_バス貨物_ガソリン,係数_バス貨物_CNG,係数_バス貨物_軽油,係数_バス貨物_メタノール,係数_バス貨物_LPG),MATCH(AY769+1,【参考】排出係数!$AI$4:$AI$671,1)-1,5,BE769),4,FALSE)),IF(AND(BE769=3,LEFT(BF769,1)="1"),0.48,VLOOKUP(AU769,INDEX((係数_乗用_ガソリン,係数_乗用_CNG,係数_乗用_軽油,係数_乗用_メタノール,係数_乗用_LPG),1,1,BE769):INDEX((係数_乗用_ガソリン,係数_乗用_CNG,係数_乗用_軽油,係数_乗用_メタノール,係数_乗用_LPG),125,5,BE769),4,FALSE)))))</f>
        <v/>
      </c>
      <c r="AL769" s="461" t="str">
        <f t="shared" si="425"/>
        <v/>
      </c>
      <c r="AM769" s="460" t="str">
        <f>IF(AU769="","",IF(OR(AZ769=8,AZ769=9),0,IF(OR(AW769=3,AW769=4,AW769=5,AW769=6),IF(LEFT(BH769,1)="1",INDEX(係数_PM低減,MATCH(AY769,【参考】排出係数!$AI$801:$AI$804,1),MATCH(BI769,【参考】排出係数!$AL$798:$AO$798,1)),VLOOKUP(AU769,INDEX((係数_バス貨物_ガソリン,係数_バス貨物_CNG,係数_バス貨物_軽油,係数_バス貨物_メタノール,係数_バス貨物_LPG),MATCH(AY769,【参考】排出係数!$AI$4:$AI$671,1),1,BE769):INDEX((係数_バス貨物_ガソリン,係数_バス貨物_CNG,係数_バス貨物_軽油,係数_バス貨物_メタノール,係数_バス貨物_LPG),MATCH(AY769+1,【参考】排出係数!$AI$4:$AI$671,1)-1,5,BE769),5,FALSE)),IF(AND(BE769=3,LEFT(BF769,1)="1"),0.055,VLOOKUP(AU769,INDEX((係数_乗用_ガソリン,係数_乗用_CNG,係数_乗用_軽油,係数_乗用_メタノール,係数_乗用_LPG),1,1,BE769):INDEX((係数_乗用_ガソリン,係数_乗用_CNG,係数_乗用_軽油,係数_乗用_メタノール,係数_乗用_LPG),125,5,BE769),5,FALSE)))))</f>
        <v/>
      </c>
      <c r="AN769" s="461" t="str">
        <f t="shared" si="426"/>
        <v/>
      </c>
      <c r="AO769" s="462" t="str">
        <f t="shared" si="427"/>
        <v/>
      </c>
      <c r="AP769" s="463" t="str">
        <f t="shared" si="428"/>
        <v/>
      </c>
      <c r="AQ769" s="464"/>
      <c r="AR769" s="619"/>
      <c r="AS769" s="465" t="str">
        <f t="shared" si="436"/>
        <v/>
      </c>
      <c r="AT769" s="465" t="str">
        <f t="shared" si="437"/>
        <v/>
      </c>
      <c r="AU769" s="466" t="str">
        <f t="shared" si="438"/>
        <v/>
      </c>
      <c r="AV769" s="467" t="str">
        <f t="shared" si="439"/>
        <v/>
      </c>
      <c r="AW769" s="467" t="str">
        <f t="shared" si="440"/>
        <v/>
      </c>
      <c r="AX769" s="467" t="str">
        <f t="shared" si="441"/>
        <v/>
      </c>
      <c r="AY769" s="467" t="str">
        <f t="shared" si="442"/>
        <v/>
      </c>
      <c r="AZ769" s="467" t="str">
        <f t="shared" si="443"/>
        <v/>
      </c>
      <c r="BA769" s="468" t="str">
        <f>IF(AS769="","",IF(OR(AU769="",AU769="-"),"－",IF(OR(AZ769=8,AZ769=9),"",IF(OR(AW769=3,AW769=4,AW769=5,AW769=6),VLOOKUP(AU769,INDEX((係数_バス貨物_ガソリン,係数_バス貨物_CNG,係数_バス貨物_軽油,係数_バス貨物_メタノール,係数_バス貨物_LPG),MATCH(AY769,【参考】排出係数!$AI$4:$AI$671,1),1,BE769):INDEX((係数_バス貨物_ガソリン,係数_バス貨物_CNG,係数_バス貨物_軽油,係数_バス貨物_メタノール,係数_バス貨物_LPG),MATCH(AY769+1,【参考】排出係数!$AI$4:$AI$671,1)-1,5,BE769),2,FALSE),IF(OR(AW769=1,AW769=2),VLOOKUP(AU769,INDEX((係数_乗用_ガソリン,係数_乗用_CNG,係数_乗用_軽油,係数_乗用_メタノール,係数_乗用_LPG),1,1,BE769):INDEX((係数_乗用_ガソリン,係数_乗用_CNG,係数_乗用_軽油,係数_乗用_メタノール,係数_乗用_LPG),125,5,BE769),2,FALSE))))))</f>
        <v/>
      </c>
      <c r="BB769" s="468" t="str">
        <f>IF(T769="","",IF(OR(AU769="",AU769="-"),"－",IF(OR(AZ769=8,AZ769=9),"",IF(OR(AW769=3,AW769=4,AW769=5,AW769=6),VLOOKUP(AU769,INDEX((係数_バス貨物_ガソリン,係数_バス貨物_CNG,係数_バス貨物_軽油,係数_バス貨物_メタノール,係数_バス貨物_LPG),MATCH(AY769,【参考】排出係数!$AI$4:$AI$671,1),1,BE769):INDEX((係数_バス貨物_ガソリン,係数_バス貨物_CNG,係数_バス貨物_軽油,係数_バス貨物_メタノール,係数_バス貨物_LPG),MATCH(AY769+1,【参考】排出係数!$AI$4:$AI$671,1)-1,5,BE769),3,FALSE),IF(OR(AW769=1,AW769=2),VLOOKUP(AU769,INDEX((係数_乗用_ガソリン,係数_乗用_CNG,係数_乗用_軽油,係数_乗用_メタノール,係数_乗用_LPG),1,1,BE769):INDEX((係数_乗用_ガソリン,係数_乗用_CNG,係数_乗用_軽油,係数_乗用_メタノール,係数_乗用_LPG),125,5,BE769),3,FALSE))))))</f>
        <v/>
      </c>
      <c r="BC769" s="467" t="str">
        <f t="shared" si="444"/>
        <v/>
      </c>
      <c r="BD769" s="567" t="str">
        <f t="shared" si="445"/>
        <v/>
      </c>
      <c r="BE769" s="467" t="str">
        <f t="shared" si="446"/>
        <v/>
      </c>
      <c r="BF769" s="469" t="str">
        <f t="shared" ca="1" si="447"/>
        <v/>
      </c>
      <c r="BG769" s="469" t="str">
        <f t="shared" ca="1" si="448"/>
        <v/>
      </c>
      <c r="BH769" s="467" t="str">
        <f t="shared" si="449"/>
        <v/>
      </c>
      <c r="BI769" s="467" t="str">
        <f t="shared" ca="1" si="450"/>
        <v/>
      </c>
      <c r="BJ769" s="469" t="str">
        <f t="shared" si="451"/>
        <v/>
      </c>
      <c r="BK769" s="470" t="str">
        <f t="shared" si="435"/>
        <v/>
      </c>
      <c r="BL769" s="775" t="str">
        <f t="shared" si="452"/>
        <v/>
      </c>
      <c r="BM769" s="775" t="str">
        <f t="shared" si="453"/>
        <v/>
      </c>
    </row>
    <row r="770" spans="1:65">
      <c r="A770" s="473">
        <v>714</v>
      </c>
      <c r="B770" s="132"/>
      <c r="C770" s="332"/>
      <c r="D770" s="333"/>
      <c r="E770" s="333"/>
      <c r="F770" s="334"/>
      <c r="G770" s="337"/>
      <c r="H770" s="131"/>
      <c r="I770" s="337"/>
      <c r="J770" s="131"/>
      <c r="K770" s="458" t="str">
        <f t="shared" si="416"/>
        <v/>
      </c>
      <c r="L770" s="458">
        <f t="shared" si="417"/>
        <v>0</v>
      </c>
      <c r="M770" s="458">
        <f t="shared" si="418"/>
        <v>0</v>
      </c>
      <c r="N770" s="459" t="str">
        <f t="shared" si="429"/>
        <v/>
      </c>
      <c r="O770" s="459" t="str">
        <f t="shared" si="430"/>
        <v/>
      </c>
      <c r="P770" s="459" t="str">
        <f t="shared" si="431"/>
        <v/>
      </c>
      <c r="Q770" s="459" t="str">
        <f t="shared" si="432"/>
        <v/>
      </c>
      <c r="R770" s="459" t="str">
        <f t="shared" si="433"/>
        <v/>
      </c>
      <c r="S770" s="459" t="str">
        <f t="shared" si="434"/>
        <v/>
      </c>
      <c r="T770" s="566" t="str">
        <f t="shared" si="419"/>
        <v/>
      </c>
      <c r="U770" s="702"/>
      <c r="V770" s="132"/>
      <c r="W770" s="133"/>
      <c r="X770" s="134"/>
      <c r="Y770" s="135"/>
      <c r="Z770" s="137"/>
      <c r="AA770" s="136"/>
      <c r="AB770" s="566" t="str">
        <f t="shared" si="420"/>
        <v/>
      </c>
      <c r="AC770" s="568" t="str">
        <f t="shared" si="421"/>
        <v/>
      </c>
      <c r="AD770" s="137"/>
      <c r="AE770" s="137"/>
      <c r="AF770" s="138"/>
      <c r="AG770" s="138"/>
      <c r="AH770" s="592" t="str">
        <f t="shared" si="422"/>
        <v/>
      </c>
      <c r="AI770" s="592" t="str">
        <f t="shared" si="423"/>
        <v/>
      </c>
      <c r="AJ770" s="592" t="str">
        <f t="shared" si="424"/>
        <v/>
      </c>
      <c r="AK770" s="460" t="str">
        <f>IF(AU770="","",IF(OR(AZ770=8,AZ770=9),0,IF(OR(AW770=3,AW770=4,AW770=5,AW770=6),IF(LEFT(BF770,1)="1",INDEX(係数_NOX・PM低減,MATCH(AY770,【参考】排出係数!$AI$801:$AI$804,1),1),VLOOKUP(AU770,INDEX((係数_バス貨物_ガソリン,係数_バス貨物_CNG,係数_バス貨物_軽油,係数_バス貨物_メタノール,係数_バス貨物_LPG),MATCH(AY770,【参考】排出係数!$AI$4:$AI$671,1),1,BE770):INDEX((係数_バス貨物_ガソリン,係数_バス貨物_CNG,係数_バス貨物_軽油,係数_バス貨物_メタノール,係数_バス貨物_LPG),MATCH(AY770+1,【参考】排出係数!$AI$4:$AI$671,1)-1,5,BE770),4,FALSE)),IF(AND(BE770=3,LEFT(BF770,1)="1"),0.48,VLOOKUP(AU770,INDEX((係数_乗用_ガソリン,係数_乗用_CNG,係数_乗用_軽油,係数_乗用_メタノール,係数_乗用_LPG),1,1,BE770):INDEX((係数_乗用_ガソリン,係数_乗用_CNG,係数_乗用_軽油,係数_乗用_メタノール,係数_乗用_LPG),125,5,BE770),4,FALSE)))))</f>
        <v/>
      </c>
      <c r="AL770" s="461" t="str">
        <f t="shared" si="425"/>
        <v/>
      </c>
      <c r="AM770" s="460" t="str">
        <f>IF(AU770="","",IF(OR(AZ770=8,AZ770=9),0,IF(OR(AW770=3,AW770=4,AW770=5,AW770=6),IF(LEFT(BH770,1)="1",INDEX(係数_PM低減,MATCH(AY770,【参考】排出係数!$AI$801:$AI$804,1),MATCH(BI770,【参考】排出係数!$AL$798:$AO$798,1)),VLOOKUP(AU770,INDEX((係数_バス貨物_ガソリン,係数_バス貨物_CNG,係数_バス貨物_軽油,係数_バス貨物_メタノール,係数_バス貨物_LPG),MATCH(AY770,【参考】排出係数!$AI$4:$AI$671,1),1,BE770):INDEX((係数_バス貨物_ガソリン,係数_バス貨物_CNG,係数_バス貨物_軽油,係数_バス貨物_メタノール,係数_バス貨物_LPG),MATCH(AY770+1,【参考】排出係数!$AI$4:$AI$671,1)-1,5,BE770),5,FALSE)),IF(AND(BE770=3,LEFT(BF770,1)="1"),0.055,VLOOKUP(AU770,INDEX((係数_乗用_ガソリン,係数_乗用_CNG,係数_乗用_軽油,係数_乗用_メタノール,係数_乗用_LPG),1,1,BE770):INDEX((係数_乗用_ガソリン,係数_乗用_CNG,係数_乗用_軽油,係数_乗用_メタノール,係数_乗用_LPG),125,5,BE770),5,FALSE)))))</f>
        <v/>
      </c>
      <c r="AN770" s="461" t="str">
        <f t="shared" si="426"/>
        <v/>
      </c>
      <c r="AO770" s="462" t="str">
        <f t="shared" si="427"/>
        <v/>
      </c>
      <c r="AP770" s="463" t="str">
        <f t="shared" si="428"/>
        <v/>
      </c>
      <c r="AQ770" s="464"/>
      <c r="AR770" s="619"/>
      <c r="AS770" s="465" t="str">
        <f t="shared" si="436"/>
        <v/>
      </c>
      <c r="AT770" s="465" t="str">
        <f t="shared" si="437"/>
        <v/>
      </c>
      <c r="AU770" s="466" t="str">
        <f t="shared" si="438"/>
        <v/>
      </c>
      <c r="AV770" s="467" t="str">
        <f t="shared" si="439"/>
        <v/>
      </c>
      <c r="AW770" s="467" t="str">
        <f t="shared" si="440"/>
        <v/>
      </c>
      <c r="AX770" s="467" t="str">
        <f t="shared" si="441"/>
        <v/>
      </c>
      <c r="AY770" s="467" t="str">
        <f t="shared" si="442"/>
        <v/>
      </c>
      <c r="AZ770" s="467" t="str">
        <f t="shared" si="443"/>
        <v/>
      </c>
      <c r="BA770" s="468" t="str">
        <f>IF(AS770="","",IF(OR(AU770="",AU770="-"),"－",IF(OR(AZ770=8,AZ770=9),"",IF(OR(AW770=3,AW770=4,AW770=5,AW770=6),VLOOKUP(AU770,INDEX((係数_バス貨物_ガソリン,係数_バス貨物_CNG,係数_バス貨物_軽油,係数_バス貨物_メタノール,係数_バス貨物_LPG),MATCH(AY770,【参考】排出係数!$AI$4:$AI$671,1),1,BE770):INDEX((係数_バス貨物_ガソリン,係数_バス貨物_CNG,係数_バス貨物_軽油,係数_バス貨物_メタノール,係数_バス貨物_LPG),MATCH(AY770+1,【参考】排出係数!$AI$4:$AI$671,1)-1,5,BE770),2,FALSE),IF(OR(AW770=1,AW770=2),VLOOKUP(AU770,INDEX((係数_乗用_ガソリン,係数_乗用_CNG,係数_乗用_軽油,係数_乗用_メタノール,係数_乗用_LPG),1,1,BE770):INDEX((係数_乗用_ガソリン,係数_乗用_CNG,係数_乗用_軽油,係数_乗用_メタノール,係数_乗用_LPG),125,5,BE770),2,FALSE))))))</f>
        <v/>
      </c>
      <c r="BB770" s="468" t="str">
        <f>IF(T770="","",IF(OR(AU770="",AU770="-"),"－",IF(OR(AZ770=8,AZ770=9),"",IF(OR(AW770=3,AW770=4,AW770=5,AW770=6),VLOOKUP(AU770,INDEX((係数_バス貨物_ガソリン,係数_バス貨物_CNG,係数_バス貨物_軽油,係数_バス貨物_メタノール,係数_バス貨物_LPG),MATCH(AY770,【参考】排出係数!$AI$4:$AI$671,1),1,BE770):INDEX((係数_バス貨物_ガソリン,係数_バス貨物_CNG,係数_バス貨物_軽油,係数_バス貨物_メタノール,係数_バス貨物_LPG),MATCH(AY770+1,【参考】排出係数!$AI$4:$AI$671,1)-1,5,BE770),3,FALSE),IF(OR(AW770=1,AW770=2),VLOOKUP(AU770,INDEX((係数_乗用_ガソリン,係数_乗用_CNG,係数_乗用_軽油,係数_乗用_メタノール,係数_乗用_LPG),1,1,BE770):INDEX((係数_乗用_ガソリン,係数_乗用_CNG,係数_乗用_軽油,係数_乗用_メタノール,係数_乗用_LPG),125,5,BE770),3,FALSE))))))</f>
        <v/>
      </c>
      <c r="BC770" s="467" t="str">
        <f t="shared" si="444"/>
        <v/>
      </c>
      <c r="BD770" s="567" t="str">
        <f t="shared" si="445"/>
        <v/>
      </c>
      <c r="BE770" s="467" t="str">
        <f t="shared" si="446"/>
        <v/>
      </c>
      <c r="BF770" s="469" t="str">
        <f t="shared" ca="1" si="447"/>
        <v/>
      </c>
      <c r="BG770" s="469" t="str">
        <f t="shared" ca="1" si="448"/>
        <v/>
      </c>
      <c r="BH770" s="467" t="str">
        <f t="shared" si="449"/>
        <v/>
      </c>
      <c r="BI770" s="467" t="str">
        <f t="shared" ca="1" si="450"/>
        <v/>
      </c>
      <c r="BJ770" s="469" t="str">
        <f t="shared" si="451"/>
        <v/>
      </c>
      <c r="BK770" s="470" t="str">
        <f t="shared" si="435"/>
        <v/>
      </c>
      <c r="BL770" s="775" t="str">
        <f t="shared" si="452"/>
        <v/>
      </c>
      <c r="BM770" s="775" t="str">
        <f t="shared" si="453"/>
        <v/>
      </c>
    </row>
    <row r="771" spans="1:65">
      <c r="A771" s="473">
        <v>715</v>
      </c>
      <c r="B771" s="132"/>
      <c r="C771" s="332"/>
      <c r="D771" s="333"/>
      <c r="E771" s="333"/>
      <c r="F771" s="334"/>
      <c r="G771" s="337"/>
      <c r="H771" s="131"/>
      <c r="I771" s="337"/>
      <c r="J771" s="131"/>
      <c r="K771" s="458" t="str">
        <f t="shared" si="416"/>
        <v/>
      </c>
      <c r="L771" s="458">
        <f t="shared" si="417"/>
        <v>0</v>
      </c>
      <c r="M771" s="458">
        <f t="shared" si="418"/>
        <v>0</v>
      </c>
      <c r="N771" s="459" t="str">
        <f t="shared" si="429"/>
        <v/>
      </c>
      <c r="O771" s="459" t="str">
        <f t="shared" si="430"/>
        <v/>
      </c>
      <c r="P771" s="459" t="str">
        <f t="shared" si="431"/>
        <v/>
      </c>
      <c r="Q771" s="459" t="str">
        <f t="shared" si="432"/>
        <v/>
      </c>
      <c r="R771" s="459" t="str">
        <f t="shared" si="433"/>
        <v/>
      </c>
      <c r="S771" s="459" t="str">
        <f t="shared" si="434"/>
        <v/>
      </c>
      <c r="T771" s="566" t="str">
        <f t="shared" si="419"/>
        <v/>
      </c>
      <c r="U771" s="702"/>
      <c r="V771" s="132"/>
      <c r="W771" s="133"/>
      <c r="X771" s="134"/>
      <c r="Y771" s="135"/>
      <c r="Z771" s="137"/>
      <c r="AA771" s="136"/>
      <c r="AB771" s="566" t="str">
        <f t="shared" si="420"/>
        <v/>
      </c>
      <c r="AC771" s="568" t="str">
        <f t="shared" si="421"/>
        <v/>
      </c>
      <c r="AD771" s="137"/>
      <c r="AE771" s="137"/>
      <c r="AF771" s="138"/>
      <c r="AG771" s="138"/>
      <c r="AH771" s="592" t="str">
        <f t="shared" si="422"/>
        <v/>
      </c>
      <c r="AI771" s="592" t="str">
        <f t="shared" si="423"/>
        <v/>
      </c>
      <c r="AJ771" s="592" t="str">
        <f t="shared" si="424"/>
        <v/>
      </c>
      <c r="AK771" s="460" t="str">
        <f>IF(AU771="","",IF(OR(AZ771=8,AZ771=9),0,IF(OR(AW771=3,AW771=4,AW771=5,AW771=6),IF(LEFT(BF771,1)="1",INDEX(係数_NOX・PM低減,MATCH(AY771,【参考】排出係数!$AI$801:$AI$804,1),1),VLOOKUP(AU771,INDEX((係数_バス貨物_ガソリン,係数_バス貨物_CNG,係数_バス貨物_軽油,係数_バス貨物_メタノール,係数_バス貨物_LPG),MATCH(AY771,【参考】排出係数!$AI$4:$AI$671,1),1,BE771):INDEX((係数_バス貨物_ガソリン,係数_バス貨物_CNG,係数_バス貨物_軽油,係数_バス貨物_メタノール,係数_バス貨物_LPG),MATCH(AY771+1,【参考】排出係数!$AI$4:$AI$671,1)-1,5,BE771),4,FALSE)),IF(AND(BE771=3,LEFT(BF771,1)="1"),0.48,VLOOKUP(AU771,INDEX((係数_乗用_ガソリン,係数_乗用_CNG,係数_乗用_軽油,係数_乗用_メタノール,係数_乗用_LPG),1,1,BE771):INDEX((係数_乗用_ガソリン,係数_乗用_CNG,係数_乗用_軽油,係数_乗用_メタノール,係数_乗用_LPG),125,5,BE771),4,FALSE)))))</f>
        <v/>
      </c>
      <c r="AL771" s="461" t="str">
        <f t="shared" si="425"/>
        <v/>
      </c>
      <c r="AM771" s="460" t="str">
        <f>IF(AU771="","",IF(OR(AZ771=8,AZ771=9),0,IF(OR(AW771=3,AW771=4,AW771=5,AW771=6),IF(LEFT(BH771,1)="1",INDEX(係数_PM低減,MATCH(AY771,【参考】排出係数!$AI$801:$AI$804,1),MATCH(BI771,【参考】排出係数!$AL$798:$AO$798,1)),VLOOKUP(AU771,INDEX((係数_バス貨物_ガソリン,係数_バス貨物_CNG,係数_バス貨物_軽油,係数_バス貨物_メタノール,係数_バス貨物_LPG),MATCH(AY771,【参考】排出係数!$AI$4:$AI$671,1),1,BE771):INDEX((係数_バス貨物_ガソリン,係数_バス貨物_CNG,係数_バス貨物_軽油,係数_バス貨物_メタノール,係数_バス貨物_LPG),MATCH(AY771+1,【参考】排出係数!$AI$4:$AI$671,1)-1,5,BE771),5,FALSE)),IF(AND(BE771=3,LEFT(BF771,1)="1"),0.055,VLOOKUP(AU771,INDEX((係数_乗用_ガソリン,係数_乗用_CNG,係数_乗用_軽油,係数_乗用_メタノール,係数_乗用_LPG),1,1,BE771):INDEX((係数_乗用_ガソリン,係数_乗用_CNG,係数_乗用_軽油,係数_乗用_メタノール,係数_乗用_LPG),125,5,BE771),5,FALSE)))))</f>
        <v/>
      </c>
      <c r="AN771" s="461" t="str">
        <f t="shared" si="426"/>
        <v/>
      </c>
      <c r="AO771" s="462" t="str">
        <f t="shared" si="427"/>
        <v/>
      </c>
      <c r="AP771" s="463" t="str">
        <f t="shared" si="428"/>
        <v/>
      </c>
      <c r="AQ771" s="464"/>
      <c r="AR771" s="619"/>
      <c r="AS771" s="465" t="str">
        <f t="shared" si="436"/>
        <v/>
      </c>
      <c r="AT771" s="465" t="str">
        <f t="shared" si="437"/>
        <v/>
      </c>
      <c r="AU771" s="466" t="str">
        <f t="shared" si="438"/>
        <v/>
      </c>
      <c r="AV771" s="467" t="str">
        <f t="shared" si="439"/>
        <v/>
      </c>
      <c r="AW771" s="467" t="str">
        <f t="shared" si="440"/>
        <v/>
      </c>
      <c r="AX771" s="467" t="str">
        <f t="shared" si="441"/>
        <v/>
      </c>
      <c r="AY771" s="467" t="str">
        <f t="shared" si="442"/>
        <v/>
      </c>
      <c r="AZ771" s="467" t="str">
        <f t="shared" si="443"/>
        <v/>
      </c>
      <c r="BA771" s="468" t="str">
        <f>IF(AS771="","",IF(OR(AU771="",AU771="-"),"－",IF(OR(AZ771=8,AZ771=9),"",IF(OR(AW771=3,AW771=4,AW771=5,AW771=6),VLOOKUP(AU771,INDEX((係数_バス貨物_ガソリン,係数_バス貨物_CNG,係数_バス貨物_軽油,係数_バス貨物_メタノール,係数_バス貨物_LPG),MATCH(AY771,【参考】排出係数!$AI$4:$AI$671,1),1,BE771):INDEX((係数_バス貨物_ガソリン,係数_バス貨物_CNG,係数_バス貨物_軽油,係数_バス貨物_メタノール,係数_バス貨物_LPG),MATCH(AY771+1,【参考】排出係数!$AI$4:$AI$671,1)-1,5,BE771),2,FALSE),IF(OR(AW771=1,AW771=2),VLOOKUP(AU771,INDEX((係数_乗用_ガソリン,係数_乗用_CNG,係数_乗用_軽油,係数_乗用_メタノール,係数_乗用_LPG),1,1,BE771):INDEX((係数_乗用_ガソリン,係数_乗用_CNG,係数_乗用_軽油,係数_乗用_メタノール,係数_乗用_LPG),125,5,BE771),2,FALSE))))))</f>
        <v/>
      </c>
      <c r="BB771" s="468" t="str">
        <f>IF(T771="","",IF(OR(AU771="",AU771="-"),"－",IF(OR(AZ771=8,AZ771=9),"",IF(OR(AW771=3,AW771=4,AW771=5,AW771=6),VLOOKUP(AU771,INDEX((係数_バス貨物_ガソリン,係数_バス貨物_CNG,係数_バス貨物_軽油,係数_バス貨物_メタノール,係数_バス貨物_LPG),MATCH(AY771,【参考】排出係数!$AI$4:$AI$671,1),1,BE771):INDEX((係数_バス貨物_ガソリン,係数_バス貨物_CNG,係数_バス貨物_軽油,係数_バス貨物_メタノール,係数_バス貨物_LPG),MATCH(AY771+1,【参考】排出係数!$AI$4:$AI$671,1)-1,5,BE771),3,FALSE),IF(OR(AW771=1,AW771=2),VLOOKUP(AU771,INDEX((係数_乗用_ガソリン,係数_乗用_CNG,係数_乗用_軽油,係数_乗用_メタノール,係数_乗用_LPG),1,1,BE771):INDEX((係数_乗用_ガソリン,係数_乗用_CNG,係数_乗用_軽油,係数_乗用_メタノール,係数_乗用_LPG),125,5,BE771),3,FALSE))))))</f>
        <v/>
      </c>
      <c r="BC771" s="467" t="str">
        <f t="shared" si="444"/>
        <v/>
      </c>
      <c r="BD771" s="567" t="str">
        <f t="shared" si="445"/>
        <v/>
      </c>
      <c r="BE771" s="467" t="str">
        <f t="shared" si="446"/>
        <v/>
      </c>
      <c r="BF771" s="469" t="str">
        <f t="shared" ca="1" si="447"/>
        <v/>
      </c>
      <c r="BG771" s="469" t="str">
        <f t="shared" ca="1" si="448"/>
        <v/>
      </c>
      <c r="BH771" s="467" t="str">
        <f t="shared" si="449"/>
        <v/>
      </c>
      <c r="BI771" s="467" t="str">
        <f t="shared" ca="1" si="450"/>
        <v/>
      </c>
      <c r="BJ771" s="469" t="str">
        <f t="shared" si="451"/>
        <v/>
      </c>
      <c r="BK771" s="470" t="str">
        <f t="shared" si="435"/>
        <v/>
      </c>
      <c r="BL771" s="775" t="str">
        <f t="shared" si="452"/>
        <v/>
      </c>
      <c r="BM771" s="775" t="str">
        <f t="shared" si="453"/>
        <v/>
      </c>
    </row>
    <row r="772" spans="1:65">
      <c r="A772" s="473">
        <v>716</v>
      </c>
      <c r="B772" s="132"/>
      <c r="C772" s="332"/>
      <c r="D772" s="333"/>
      <c r="E772" s="333"/>
      <c r="F772" s="334"/>
      <c r="G772" s="337"/>
      <c r="H772" s="131"/>
      <c r="I772" s="337"/>
      <c r="J772" s="131"/>
      <c r="K772" s="458" t="str">
        <f t="shared" si="416"/>
        <v/>
      </c>
      <c r="L772" s="458">
        <f t="shared" si="417"/>
        <v>0</v>
      </c>
      <c r="M772" s="458">
        <f t="shared" si="418"/>
        <v>0</v>
      </c>
      <c r="N772" s="459" t="str">
        <f t="shared" si="429"/>
        <v/>
      </c>
      <c r="O772" s="459" t="str">
        <f t="shared" si="430"/>
        <v/>
      </c>
      <c r="P772" s="459" t="str">
        <f t="shared" si="431"/>
        <v/>
      </c>
      <c r="Q772" s="459" t="str">
        <f t="shared" si="432"/>
        <v/>
      </c>
      <c r="R772" s="459" t="str">
        <f t="shared" si="433"/>
        <v/>
      </c>
      <c r="S772" s="459" t="str">
        <f t="shared" si="434"/>
        <v/>
      </c>
      <c r="T772" s="566" t="str">
        <f t="shared" si="419"/>
        <v/>
      </c>
      <c r="U772" s="702"/>
      <c r="V772" s="132"/>
      <c r="W772" s="133"/>
      <c r="X772" s="134"/>
      <c r="Y772" s="135"/>
      <c r="Z772" s="137"/>
      <c r="AA772" s="136"/>
      <c r="AB772" s="566" t="str">
        <f t="shared" si="420"/>
        <v/>
      </c>
      <c r="AC772" s="568" t="str">
        <f t="shared" si="421"/>
        <v/>
      </c>
      <c r="AD772" s="137"/>
      <c r="AE772" s="137"/>
      <c r="AF772" s="138"/>
      <c r="AG772" s="138"/>
      <c r="AH772" s="592" t="str">
        <f t="shared" si="422"/>
        <v/>
      </c>
      <c r="AI772" s="592" t="str">
        <f t="shared" si="423"/>
        <v/>
      </c>
      <c r="AJ772" s="592" t="str">
        <f t="shared" si="424"/>
        <v/>
      </c>
      <c r="AK772" s="460" t="str">
        <f>IF(AU772="","",IF(OR(AZ772=8,AZ772=9),0,IF(OR(AW772=3,AW772=4,AW772=5,AW772=6),IF(LEFT(BF772,1)="1",INDEX(係数_NOX・PM低減,MATCH(AY772,【参考】排出係数!$AI$801:$AI$804,1),1),VLOOKUP(AU772,INDEX((係数_バス貨物_ガソリン,係数_バス貨物_CNG,係数_バス貨物_軽油,係数_バス貨物_メタノール,係数_バス貨物_LPG),MATCH(AY772,【参考】排出係数!$AI$4:$AI$671,1),1,BE772):INDEX((係数_バス貨物_ガソリン,係数_バス貨物_CNG,係数_バス貨物_軽油,係数_バス貨物_メタノール,係数_バス貨物_LPG),MATCH(AY772+1,【参考】排出係数!$AI$4:$AI$671,1)-1,5,BE772),4,FALSE)),IF(AND(BE772=3,LEFT(BF772,1)="1"),0.48,VLOOKUP(AU772,INDEX((係数_乗用_ガソリン,係数_乗用_CNG,係数_乗用_軽油,係数_乗用_メタノール,係数_乗用_LPG),1,1,BE772):INDEX((係数_乗用_ガソリン,係数_乗用_CNG,係数_乗用_軽油,係数_乗用_メタノール,係数_乗用_LPG),125,5,BE772),4,FALSE)))))</f>
        <v/>
      </c>
      <c r="AL772" s="461" t="str">
        <f t="shared" si="425"/>
        <v/>
      </c>
      <c r="AM772" s="460" t="str">
        <f>IF(AU772="","",IF(OR(AZ772=8,AZ772=9),0,IF(OR(AW772=3,AW772=4,AW772=5,AW772=6),IF(LEFT(BH772,1)="1",INDEX(係数_PM低減,MATCH(AY772,【参考】排出係数!$AI$801:$AI$804,1),MATCH(BI772,【参考】排出係数!$AL$798:$AO$798,1)),VLOOKUP(AU772,INDEX((係数_バス貨物_ガソリン,係数_バス貨物_CNG,係数_バス貨物_軽油,係数_バス貨物_メタノール,係数_バス貨物_LPG),MATCH(AY772,【参考】排出係数!$AI$4:$AI$671,1),1,BE772):INDEX((係数_バス貨物_ガソリン,係数_バス貨物_CNG,係数_バス貨物_軽油,係数_バス貨物_メタノール,係数_バス貨物_LPG),MATCH(AY772+1,【参考】排出係数!$AI$4:$AI$671,1)-1,5,BE772),5,FALSE)),IF(AND(BE772=3,LEFT(BF772,1)="1"),0.055,VLOOKUP(AU772,INDEX((係数_乗用_ガソリン,係数_乗用_CNG,係数_乗用_軽油,係数_乗用_メタノール,係数_乗用_LPG),1,1,BE772):INDEX((係数_乗用_ガソリン,係数_乗用_CNG,係数_乗用_軽油,係数_乗用_メタノール,係数_乗用_LPG),125,5,BE772),5,FALSE)))))</f>
        <v/>
      </c>
      <c r="AN772" s="461" t="str">
        <f t="shared" si="426"/>
        <v/>
      </c>
      <c r="AO772" s="462" t="str">
        <f t="shared" si="427"/>
        <v/>
      </c>
      <c r="AP772" s="463" t="str">
        <f t="shared" si="428"/>
        <v/>
      </c>
      <c r="AQ772" s="464"/>
      <c r="AR772" s="619"/>
      <c r="AS772" s="465" t="str">
        <f t="shared" si="436"/>
        <v/>
      </c>
      <c r="AT772" s="465" t="str">
        <f t="shared" si="437"/>
        <v/>
      </c>
      <c r="AU772" s="466" t="str">
        <f t="shared" si="438"/>
        <v/>
      </c>
      <c r="AV772" s="467" t="str">
        <f t="shared" si="439"/>
        <v/>
      </c>
      <c r="AW772" s="467" t="str">
        <f t="shared" si="440"/>
        <v/>
      </c>
      <c r="AX772" s="467" t="str">
        <f t="shared" si="441"/>
        <v/>
      </c>
      <c r="AY772" s="467" t="str">
        <f t="shared" si="442"/>
        <v/>
      </c>
      <c r="AZ772" s="467" t="str">
        <f t="shared" si="443"/>
        <v/>
      </c>
      <c r="BA772" s="468" t="str">
        <f>IF(AS772="","",IF(OR(AU772="",AU772="-"),"－",IF(OR(AZ772=8,AZ772=9),"",IF(OR(AW772=3,AW772=4,AW772=5,AW772=6),VLOOKUP(AU772,INDEX((係数_バス貨物_ガソリン,係数_バス貨物_CNG,係数_バス貨物_軽油,係数_バス貨物_メタノール,係数_バス貨物_LPG),MATCH(AY772,【参考】排出係数!$AI$4:$AI$671,1),1,BE772):INDEX((係数_バス貨物_ガソリン,係数_バス貨物_CNG,係数_バス貨物_軽油,係数_バス貨物_メタノール,係数_バス貨物_LPG),MATCH(AY772+1,【参考】排出係数!$AI$4:$AI$671,1)-1,5,BE772),2,FALSE),IF(OR(AW772=1,AW772=2),VLOOKUP(AU772,INDEX((係数_乗用_ガソリン,係数_乗用_CNG,係数_乗用_軽油,係数_乗用_メタノール,係数_乗用_LPG),1,1,BE772):INDEX((係数_乗用_ガソリン,係数_乗用_CNG,係数_乗用_軽油,係数_乗用_メタノール,係数_乗用_LPG),125,5,BE772),2,FALSE))))))</f>
        <v/>
      </c>
      <c r="BB772" s="468" t="str">
        <f>IF(T772="","",IF(OR(AU772="",AU772="-"),"－",IF(OR(AZ772=8,AZ772=9),"",IF(OR(AW772=3,AW772=4,AW772=5,AW772=6),VLOOKUP(AU772,INDEX((係数_バス貨物_ガソリン,係数_バス貨物_CNG,係数_バス貨物_軽油,係数_バス貨物_メタノール,係数_バス貨物_LPG),MATCH(AY772,【参考】排出係数!$AI$4:$AI$671,1),1,BE772):INDEX((係数_バス貨物_ガソリン,係数_バス貨物_CNG,係数_バス貨物_軽油,係数_バス貨物_メタノール,係数_バス貨物_LPG),MATCH(AY772+1,【参考】排出係数!$AI$4:$AI$671,1)-1,5,BE772),3,FALSE),IF(OR(AW772=1,AW772=2),VLOOKUP(AU772,INDEX((係数_乗用_ガソリン,係数_乗用_CNG,係数_乗用_軽油,係数_乗用_メタノール,係数_乗用_LPG),1,1,BE772):INDEX((係数_乗用_ガソリン,係数_乗用_CNG,係数_乗用_軽油,係数_乗用_メタノール,係数_乗用_LPG),125,5,BE772),3,FALSE))))))</f>
        <v/>
      </c>
      <c r="BC772" s="467" t="str">
        <f t="shared" si="444"/>
        <v/>
      </c>
      <c r="BD772" s="567" t="str">
        <f t="shared" si="445"/>
        <v/>
      </c>
      <c r="BE772" s="467" t="str">
        <f t="shared" si="446"/>
        <v/>
      </c>
      <c r="BF772" s="469" t="str">
        <f t="shared" ca="1" si="447"/>
        <v/>
      </c>
      <c r="BG772" s="469" t="str">
        <f t="shared" ca="1" si="448"/>
        <v/>
      </c>
      <c r="BH772" s="467" t="str">
        <f t="shared" si="449"/>
        <v/>
      </c>
      <c r="BI772" s="467" t="str">
        <f t="shared" ca="1" si="450"/>
        <v/>
      </c>
      <c r="BJ772" s="469" t="str">
        <f t="shared" si="451"/>
        <v/>
      </c>
      <c r="BK772" s="470" t="str">
        <f t="shared" si="435"/>
        <v/>
      </c>
      <c r="BL772" s="775" t="str">
        <f t="shared" si="452"/>
        <v/>
      </c>
      <c r="BM772" s="775" t="str">
        <f t="shared" si="453"/>
        <v/>
      </c>
    </row>
    <row r="773" spans="1:65">
      <c r="A773" s="473">
        <v>717</v>
      </c>
      <c r="B773" s="132"/>
      <c r="C773" s="332"/>
      <c r="D773" s="333"/>
      <c r="E773" s="333"/>
      <c r="F773" s="334"/>
      <c r="G773" s="337"/>
      <c r="H773" s="131"/>
      <c r="I773" s="337"/>
      <c r="J773" s="131"/>
      <c r="K773" s="458" t="str">
        <f t="shared" si="416"/>
        <v/>
      </c>
      <c r="L773" s="458">
        <f t="shared" si="417"/>
        <v>0</v>
      </c>
      <c r="M773" s="458">
        <f t="shared" si="418"/>
        <v>0</v>
      </c>
      <c r="N773" s="459" t="str">
        <f t="shared" si="429"/>
        <v/>
      </c>
      <c r="O773" s="459" t="str">
        <f t="shared" si="430"/>
        <v/>
      </c>
      <c r="P773" s="459" t="str">
        <f t="shared" si="431"/>
        <v/>
      </c>
      <c r="Q773" s="459" t="str">
        <f t="shared" si="432"/>
        <v/>
      </c>
      <c r="R773" s="459" t="str">
        <f t="shared" si="433"/>
        <v/>
      </c>
      <c r="S773" s="459" t="str">
        <f t="shared" si="434"/>
        <v/>
      </c>
      <c r="T773" s="566" t="str">
        <f t="shared" si="419"/>
        <v/>
      </c>
      <c r="U773" s="702"/>
      <c r="V773" s="132"/>
      <c r="W773" s="133"/>
      <c r="X773" s="134"/>
      <c r="Y773" s="135"/>
      <c r="Z773" s="137"/>
      <c r="AA773" s="136"/>
      <c r="AB773" s="566" t="str">
        <f t="shared" si="420"/>
        <v/>
      </c>
      <c r="AC773" s="568" t="str">
        <f t="shared" si="421"/>
        <v/>
      </c>
      <c r="AD773" s="137"/>
      <c r="AE773" s="137"/>
      <c r="AF773" s="138"/>
      <c r="AG773" s="138"/>
      <c r="AH773" s="592" t="str">
        <f t="shared" si="422"/>
        <v/>
      </c>
      <c r="AI773" s="592" t="str">
        <f t="shared" si="423"/>
        <v/>
      </c>
      <c r="AJ773" s="592" t="str">
        <f t="shared" si="424"/>
        <v/>
      </c>
      <c r="AK773" s="460" t="str">
        <f>IF(AU773="","",IF(OR(AZ773=8,AZ773=9),0,IF(OR(AW773=3,AW773=4,AW773=5,AW773=6),IF(LEFT(BF773,1)="1",INDEX(係数_NOX・PM低減,MATCH(AY773,【参考】排出係数!$AI$801:$AI$804,1),1),VLOOKUP(AU773,INDEX((係数_バス貨物_ガソリン,係数_バス貨物_CNG,係数_バス貨物_軽油,係数_バス貨物_メタノール,係数_バス貨物_LPG),MATCH(AY773,【参考】排出係数!$AI$4:$AI$671,1),1,BE773):INDEX((係数_バス貨物_ガソリン,係数_バス貨物_CNG,係数_バス貨物_軽油,係数_バス貨物_メタノール,係数_バス貨物_LPG),MATCH(AY773+1,【参考】排出係数!$AI$4:$AI$671,1)-1,5,BE773),4,FALSE)),IF(AND(BE773=3,LEFT(BF773,1)="1"),0.48,VLOOKUP(AU773,INDEX((係数_乗用_ガソリン,係数_乗用_CNG,係数_乗用_軽油,係数_乗用_メタノール,係数_乗用_LPG),1,1,BE773):INDEX((係数_乗用_ガソリン,係数_乗用_CNG,係数_乗用_軽油,係数_乗用_メタノール,係数_乗用_LPG),125,5,BE773),4,FALSE)))))</f>
        <v/>
      </c>
      <c r="AL773" s="461" t="str">
        <f t="shared" si="425"/>
        <v/>
      </c>
      <c r="AM773" s="460" t="str">
        <f>IF(AU773="","",IF(OR(AZ773=8,AZ773=9),0,IF(OR(AW773=3,AW773=4,AW773=5,AW773=6),IF(LEFT(BH773,1)="1",INDEX(係数_PM低減,MATCH(AY773,【参考】排出係数!$AI$801:$AI$804,1),MATCH(BI773,【参考】排出係数!$AL$798:$AO$798,1)),VLOOKUP(AU773,INDEX((係数_バス貨物_ガソリン,係数_バス貨物_CNG,係数_バス貨物_軽油,係数_バス貨物_メタノール,係数_バス貨物_LPG),MATCH(AY773,【参考】排出係数!$AI$4:$AI$671,1),1,BE773):INDEX((係数_バス貨物_ガソリン,係数_バス貨物_CNG,係数_バス貨物_軽油,係数_バス貨物_メタノール,係数_バス貨物_LPG),MATCH(AY773+1,【参考】排出係数!$AI$4:$AI$671,1)-1,5,BE773),5,FALSE)),IF(AND(BE773=3,LEFT(BF773,1)="1"),0.055,VLOOKUP(AU773,INDEX((係数_乗用_ガソリン,係数_乗用_CNG,係数_乗用_軽油,係数_乗用_メタノール,係数_乗用_LPG),1,1,BE773):INDEX((係数_乗用_ガソリン,係数_乗用_CNG,係数_乗用_軽油,係数_乗用_メタノール,係数_乗用_LPG),125,5,BE773),5,FALSE)))))</f>
        <v/>
      </c>
      <c r="AN773" s="461" t="str">
        <f t="shared" si="426"/>
        <v/>
      </c>
      <c r="AO773" s="462" t="str">
        <f t="shared" si="427"/>
        <v/>
      </c>
      <c r="AP773" s="463" t="str">
        <f t="shared" si="428"/>
        <v/>
      </c>
      <c r="AQ773" s="464"/>
      <c r="AR773" s="619"/>
      <c r="AS773" s="465" t="str">
        <f t="shared" si="436"/>
        <v/>
      </c>
      <c r="AT773" s="465" t="str">
        <f t="shared" si="437"/>
        <v/>
      </c>
      <c r="AU773" s="466" t="str">
        <f t="shared" si="438"/>
        <v/>
      </c>
      <c r="AV773" s="467" t="str">
        <f t="shared" si="439"/>
        <v/>
      </c>
      <c r="AW773" s="467" t="str">
        <f t="shared" si="440"/>
        <v/>
      </c>
      <c r="AX773" s="467" t="str">
        <f t="shared" si="441"/>
        <v/>
      </c>
      <c r="AY773" s="467" t="str">
        <f t="shared" si="442"/>
        <v/>
      </c>
      <c r="AZ773" s="467" t="str">
        <f t="shared" si="443"/>
        <v/>
      </c>
      <c r="BA773" s="468" t="str">
        <f>IF(AS773="","",IF(OR(AU773="",AU773="-"),"－",IF(OR(AZ773=8,AZ773=9),"",IF(OR(AW773=3,AW773=4,AW773=5,AW773=6),VLOOKUP(AU773,INDEX((係数_バス貨物_ガソリン,係数_バス貨物_CNG,係数_バス貨物_軽油,係数_バス貨物_メタノール,係数_バス貨物_LPG),MATCH(AY773,【参考】排出係数!$AI$4:$AI$671,1),1,BE773):INDEX((係数_バス貨物_ガソリン,係数_バス貨物_CNG,係数_バス貨物_軽油,係数_バス貨物_メタノール,係数_バス貨物_LPG),MATCH(AY773+1,【参考】排出係数!$AI$4:$AI$671,1)-1,5,BE773),2,FALSE),IF(OR(AW773=1,AW773=2),VLOOKUP(AU773,INDEX((係数_乗用_ガソリン,係数_乗用_CNG,係数_乗用_軽油,係数_乗用_メタノール,係数_乗用_LPG),1,1,BE773):INDEX((係数_乗用_ガソリン,係数_乗用_CNG,係数_乗用_軽油,係数_乗用_メタノール,係数_乗用_LPG),125,5,BE773),2,FALSE))))))</f>
        <v/>
      </c>
      <c r="BB773" s="468" t="str">
        <f>IF(T773="","",IF(OR(AU773="",AU773="-"),"－",IF(OR(AZ773=8,AZ773=9),"",IF(OR(AW773=3,AW773=4,AW773=5,AW773=6),VLOOKUP(AU773,INDEX((係数_バス貨物_ガソリン,係数_バス貨物_CNG,係数_バス貨物_軽油,係数_バス貨物_メタノール,係数_バス貨物_LPG),MATCH(AY773,【参考】排出係数!$AI$4:$AI$671,1),1,BE773):INDEX((係数_バス貨物_ガソリン,係数_バス貨物_CNG,係数_バス貨物_軽油,係数_バス貨物_メタノール,係数_バス貨物_LPG),MATCH(AY773+1,【参考】排出係数!$AI$4:$AI$671,1)-1,5,BE773),3,FALSE),IF(OR(AW773=1,AW773=2),VLOOKUP(AU773,INDEX((係数_乗用_ガソリン,係数_乗用_CNG,係数_乗用_軽油,係数_乗用_メタノール,係数_乗用_LPG),1,1,BE773):INDEX((係数_乗用_ガソリン,係数_乗用_CNG,係数_乗用_軽油,係数_乗用_メタノール,係数_乗用_LPG),125,5,BE773),3,FALSE))))))</f>
        <v/>
      </c>
      <c r="BC773" s="467" t="str">
        <f t="shared" si="444"/>
        <v/>
      </c>
      <c r="BD773" s="567" t="str">
        <f t="shared" si="445"/>
        <v/>
      </c>
      <c r="BE773" s="467" t="str">
        <f t="shared" si="446"/>
        <v/>
      </c>
      <c r="BF773" s="469" t="str">
        <f t="shared" ca="1" si="447"/>
        <v/>
      </c>
      <c r="BG773" s="469" t="str">
        <f t="shared" ca="1" si="448"/>
        <v/>
      </c>
      <c r="BH773" s="467" t="str">
        <f t="shared" si="449"/>
        <v/>
      </c>
      <c r="BI773" s="467" t="str">
        <f t="shared" ca="1" si="450"/>
        <v/>
      </c>
      <c r="BJ773" s="469" t="str">
        <f t="shared" si="451"/>
        <v/>
      </c>
      <c r="BK773" s="470" t="str">
        <f t="shared" si="435"/>
        <v/>
      </c>
      <c r="BL773" s="775" t="str">
        <f t="shared" si="452"/>
        <v/>
      </c>
      <c r="BM773" s="775" t="str">
        <f t="shared" si="453"/>
        <v/>
      </c>
    </row>
    <row r="774" spans="1:65">
      <c r="A774" s="473">
        <v>718</v>
      </c>
      <c r="B774" s="132"/>
      <c r="C774" s="332"/>
      <c r="D774" s="333"/>
      <c r="E774" s="333"/>
      <c r="F774" s="334"/>
      <c r="G774" s="337"/>
      <c r="H774" s="131"/>
      <c r="I774" s="337"/>
      <c r="J774" s="131"/>
      <c r="K774" s="458" t="str">
        <f t="shared" si="416"/>
        <v/>
      </c>
      <c r="L774" s="458">
        <f t="shared" si="417"/>
        <v>0</v>
      </c>
      <c r="M774" s="458">
        <f t="shared" si="418"/>
        <v>0</v>
      </c>
      <c r="N774" s="459" t="str">
        <f t="shared" si="429"/>
        <v/>
      </c>
      <c r="O774" s="459" t="str">
        <f t="shared" si="430"/>
        <v/>
      </c>
      <c r="P774" s="459" t="str">
        <f t="shared" si="431"/>
        <v/>
      </c>
      <c r="Q774" s="459" t="str">
        <f t="shared" si="432"/>
        <v/>
      </c>
      <c r="R774" s="459" t="str">
        <f t="shared" si="433"/>
        <v/>
      </c>
      <c r="S774" s="459" t="str">
        <f t="shared" si="434"/>
        <v/>
      </c>
      <c r="T774" s="566" t="str">
        <f t="shared" si="419"/>
        <v/>
      </c>
      <c r="U774" s="702"/>
      <c r="V774" s="132"/>
      <c r="W774" s="133"/>
      <c r="X774" s="134"/>
      <c r="Y774" s="135"/>
      <c r="Z774" s="137"/>
      <c r="AA774" s="136"/>
      <c r="AB774" s="566" t="str">
        <f t="shared" si="420"/>
        <v/>
      </c>
      <c r="AC774" s="568" t="str">
        <f t="shared" si="421"/>
        <v/>
      </c>
      <c r="AD774" s="137"/>
      <c r="AE774" s="137"/>
      <c r="AF774" s="138"/>
      <c r="AG774" s="138"/>
      <c r="AH774" s="592" t="str">
        <f t="shared" si="422"/>
        <v/>
      </c>
      <c r="AI774" s="592" t="str">
        <f t="shared" si="423"/>
        <v/>
      </c>
      <c r="AJ774" s="592" t="str">
        <f t="shared" si="424"/>
        <v/>
      </c>
      <c r="AK774" s="460" t="str">
        <f>IF(AU774="","",IF(OR(AZ774=8,AZ774=9),0,IF(OR(AW774=3,AW774=4,AW774=5,AW774=6),IF(LEFT(BF774,1)="1",INDEX(係数_NOX・PM低減,MATCH(AY774,【参考】排出係数!$AI$801:$AI$804,1),1),VLOOKUP(AU774,INDEX((係数_バス貨物_ガソリン,係数_バス貨物_CNG,係数_バス貨物_軽油,係数_バス貨物_メタノール,係数_バス貨物_LPG),MATCH(AY774,【参考】排出係数!$AI$4:$AI$671,1),1,BE774):INDEX((係数_バス貨物_ガソリン,係数_バス貨物_CNG,係数_バス貨物_軽油,係数_バス貨物_メタノール,係数_バス貨物_LPG),MATCH(AY774+1,【参考】排出係数!$AI$4:$AI$671,1)-1,5,BE774),4,FALSE)),IF(AND(BE774=3,LEFT(BF774,1)="1"),0.48,VLOOKUP(AU774,INDEX((係数_乗用_ガソリン,係数_乗用_CNG,係数_乗用_軽油,係数_乗用_メタノール,係数_乗用_LPG),1,1,BE774):INDEX((係数_乗用_ガソリン,係数_乗用_CNG,係数_乗用_軽油,係数_乗用_メタノール,係数_乗用_LPG),125,5,BE774),4,FALSE)))))</f>
        <v/>
      </c>
      <c r="AL774" s="461" t="str">
        <f t="shared" si="425"/>
        <v/>
      </c>
      <c r="AM774" s="460" t="str">
        <f>IF(AU774="","",IF(OR(AZ774=8,AZ774=9),0,IF(OR(AW774=3,AW774=4,AW774=5,AW774=6),IF(LEFT(BH774,1)="1",INDEX(係数_PM低減,MATCH(AY774,【参考】排出係数!$AI$801:$AI$804,1),MATCH(BI774,【参考】排出係数!$AL$798:$AO$798,1)),VLOOKUP(AU774,INDEX((係数_バス貨物_ガソリン,係数_バス貨物_CNG,係数_バス貨物_軽油,係数_バス貨物_メタノール,係数_バス貨物_LPG),MATCH(AY774,【参考】排出係数!$AI$4:$AI$671,1),1,BE774):INDEX((係数_バス貨物_ガソリン,係数_バス貨物_CNG,係数_バス貨物_軽油,係数_バス貨物_メタノール,係数_バス貨物_LPG),MATCH(AY774+1,【参考】排出係数!$AI$4:$AI$671,1)-1,5,BE774),5,FALSE)),IF(AND(BE774=3,LEFT(BF774,1)="1"),0.055,VLOOKUP(AU774,INDEX((係数_乗用_ガソリン,係数_乗用_CNG,係数_乗用_軽油,係数_乗用_メタノール,係数_乗用_LPG),1,1,BE774):INDEX((係数_乗用_ガソリン,係数_乗用_CNG,係数_乗用_軽油,係数_乗用_メタノール,係数_乗用_LPG),125,5,BE774),5,FALSE)))))</f>
        <v/>
      </c>
      <c r="AN774" s="461" t="str">
        <f t="shared" si="426"/>
        <v/>
      </c>
      <c r="AO774" s="462" t="str">
        <f t="shared" si="427"/>
        <v/>
      </c>
      <c r="AP774" s="463" t="str">
        <f t="shared" si="428"/>
        <v/>
      </c>
      <c r="AQ774" s="464"/>
      <c r="AR774" s="619"/>
      <c r="AS774" s="465" t="str">
        <f t="shared" si="436"/>
        <v/>
      </c>
      <c r="AT774" s="465" t="str">
        <f t="shared" si="437"/>
        <v/>
      </c>
      <c r="AU774" s="466" t="str">
        <f t="shared" si="438"/>
        <v/>
      </c>
      <c r="AV774" s="467" t="str">
        <f t="shared" si="439"/>
        <v/>
      </c>
      <c r="AW774" s="467" t="str">
        <f t="shared" si="440"/>
        <v/>
      </c>
      <c r="AX774" s="467" t="str">
        <f t="shared" si="441"/>
        <v/>
      </c>
      <c r="AY774" s="467" t="str">
        <f t="shared" si="442"/>
        <v/>
      </c>
      <c r="AZ774" s="467" t="str">
        <f t="shared" si="443"/>
        <v/>
      </c>
      <c r="BA774" s="468" t="str">
        <f>IF(AS774="","",IF(OR(AU774="",AU774="-"),"－",IF(OR(AZ774=8,AZ774=9),"",IF(OR(AW774=3,AW774=4,AW774=5,AW774=6),VLOOKUP(AU774,INDEX((係数_バス貨物_ガソリン,係数_バス貨物_CNG,係数_バス貨物_軽油,係数_バス貨物_メタノール,係数_バス貨物_LPG),MATCH(AY774,【参考】排出係数!$AI$4:$AI$671,1),1,BE774):INDEX((係数_バス貨物_ガソリン,係数_バス貨物_CNG,係数_バス貨物_軽油,係数_バス貨物_メタノール,係数_バス貨物_LPG),MATCH(AY774+1,【参考】排出係数!$AI$4:$AI$671,1)-1,5,BE774),2,FALSE),IF(OR(AW774=1,AW774=2),VLOOKUP(AU774,INDEX((係数_乗用_ガソリン,係数_乗用_CNG,係数_乗用_軽油,係数_乗用_メタノール,係数_乗用_LPG),1,1,BE774):INDEX((係数_乗用_ガソリン,係数_乗用_CNG,係数_乗用_軽油,係数_乗用_メタノール,係数_乗用_LPG),125,5,BE774),2,FALSE))))))</f>
        <v/>
      </c>
      <c r="BB774" s="468" t="str">
        <f>IF(T774="","",IF(OR(AU774="",AU774="-"),"－",IF(OR(AZ774=8,AZ774=9),"",IF(OR(AW774=3,AW774=4,AW774=5,AW774=6),VLOOKUP(AU774,INDEX((係数_バス貨物_ガソリン,係数_バス貨物_CNG,係数_バス貨物_軽油,係数_バス貨物_メタノール,係数_バス貨物_LPG),MATCH(AY774,【参考】排出係数!$AI$4:$AI$671,1),1,BE774):INDEX((係数_バス貨物_ガソリン,係数_バス貨物_CNG,係数_バス貨物_軽油,係数_バス貨物_メタノール,係数_バス貨物_LPG),MATCH(AY774+1,【参考】排出係数!$AI$4:$AI$671,1)-1,5,BE774),3,FALSE),IF(OR(AW774=1,AW774=2),VLOOKUP(AU774,INDEX((係数_乗用_ガソリン,係数_乗用_CNG,係数_乗用_軽油,係数_乗用_メタノール,係数_乗用_LPG),1,1,BE774):INDEX((係数_乗用_ガソリン,係数_乗用_CNG,係数_乗用_軽油,係数_乗用_メタノール,係数_乗用_LPG),125,5,BE774),3,FALSE))))))</f>
        <v/>
      </c>
      <c r="BC774" s="467" t="str">
        <f t="shared" si="444"/>
        <v/>
      </c>
      <c r="BD774" s="567" t="str">
        <f t="shared" si="445"/>
        <v/>
      </c>
      <c r="BE774" s="467" t="str">
        <f t="shared" si="446"/>
        <v/>
      </c>
      <c r="BF774" s="469" t="str">
        <f t="shared" ca="1" si="447"/>
        <v/>
      </c>
      <c r="BG774" s="469" t="str">
        <f t="shared" ca="1" si="448"/>
        <v/>
      </c>
      <c r="BH774" s="467" t="str">
        <f t="shared" si="449"/>
        <v/>
      </c>
      <c r="BI774" s="467" t="str">
        <f t="shared" ca="1" si="450"/>
        <v/>
      </c>
      <c r="BJ774" s="469" t="str">
        <f t="shared" si="451"/>
        <v/>
      </c>
      <c r="BK774" s="470" t="str">
        <f t="shared" si="435"/>
        <v/>
      </c>
      <c r="BL774" s="775" t="str">
        <f t="shared" si="452"/>
        <v/>
      </c>
      <c r="BM774" s="775" t="str">
        <f t="shared" si="453"/>
        <v/>
      </c>
    </row>
    <row r="775" spans="1:65">
      <c r="A775" s="473">
        <v>719</v>
      </c>
      <c r="B775" s="132"/>
      <c r="C775" s="332"/>
      <c r="D775" s="333"/>
      <c r="E775" s="333"/>
      <c r="F775" s="334"/>
      <c r="G775" s="337"/>
      <c r="H775" s="131"/>
      <c r="I775" s="337"/>
      <c r="J775" s="131"/>
      <c r="K775" s="458" t="str">
        <f t="shared" si="416"/>
        <v/>
      </c>
      <c r="L775" s="458">
        <f t="shared" si="417"/>
        <v>0</v>
      </c>
      <c r="M775" s="458">
        <f t="shared" si="418"/>
        <v>0</v>
      </c>
      <c r="N775" s="459" t="str">
        <f t="shared" si="429"/>
        <v/>
      </c>
      <c r="O775" s="459" t="str">
        <f t="shared" si="430"/>
        <v/>
      </c>
      <c r="P775" s="459" t="str">
        <f t="shared" si="431"/>
        <v/>
      </c>
      <c r="Q775" s="459" t="str">
        <f t="shared" si="432"/>
        <v/>
      </c>
      <c r="R775" s="459" t="str">
        <f t="shared" si="433"/>
        <v/>
      </c>
      <c r="S775" s="459" t="str">
        <f t="shared" si="434"/>
        <v/>
      </c>
      <c r="T775" s="566" t="str">
        <f t="shared" si="419"/>
        <v/>
      </c>
      <c r="U775" s="702"/>
      <c r="V775" s="132"/>
      <c r="W775" s="133"/>
      <c r="X775" s="134"/>
      <c r="Y775" s="135"/>
      <c r="Z775" s="137"/>
      <c r="AA775" s="136"/>
      <c r="AB775" s="566" t="str">
        <f t="shared" si="420"/>
        <v/>
      </c>
      <c r="AC775" s="568" t="str">
        <f t="shared" si="421"/>
        <v/>
      </c>
      <c r="AD775" s="137"/>
      <c r="AE775" s="137"/>
      <c r="AF775" s="138"/>
      <c r="AG775" s="138"/>
      <c r="AH775" s="592" t="str">
        <f t="shared" si="422"/>
        <v/>
      </c>
      <c r="AI775" s="592" t="str">
        <f t="shared" si="423"/>
        <v/>
      </c>
      <c r="AJ775" s="592" t="str">
        <f t="shared" si="424"/>
        <v/>
      </c>
      <c r="AK775" s="460" t="str">
        <f>IF(AU775="","",IF(OR(AZ775=8,AZ775=9),0,IF(OR(AW775=3,AW775=4,AW775=5,AW775=6),IF(LEFT(BF775,1)="1",INDEX(係数_NOX・PM低減,MATCH(AY775,【参考】排出係数!$AI$801:$AI$804,1),1),VLOOKUP(AU775,INDEX((係数_バス貨物_ガソリン,係数_バス貨物_CNG,係数_バス貨物_軽油,係数_バス貨物_メタノール,係数_バス貨物_LPG),MATCH(AY775,【参考】排出係数!$AI$4:$AI$671,1),1,BE775):INDEX((係数_バス貨物_ガソリン,係数_バス貨物_CNG,係数_バス貨物_軽油,係数_バス貨物_メタノール,係数_バス貨物_LPG),MATCH(AY775+1,【参考】排出係数!$AI$4:$AI$671,1)-1,5,BE775),4,FALSE)),IF(AND(BE775=3,LEFT(BF775,1)="1"),0.48,VLOOKUP(AU775,INDEX((係数_乗用_ガソリン,係数_乗用_CNG,係数_乗用_軽油,係数_乗用_メタノール,係数_乗用_LPG),1,1,BE775):INDEX((係数_乗用_ガソリン,係数_乗用_CNG,係数_乗用_軽油,係数_乗用_メタノール,係数_乗用_LPG),125,5,BE775),4,FALSE)))))</f>
        <v/>
      </c>
      <c r="AL775" s="461" t="str">
        <f t="shared" si="425"/>
        <v/>
      </c>
      <c r="AM775" s="460" t="str">
        <f>IF(AU775="","",IF(OR(AZ775=8,AZ775=9),0,IF(OR(AW775=3,AW775=4,AW775=5,AW775=6),IF(LEFT(BH775,1)="1",INDEX(係数_PM低減,MATCH(AY775,【参考】排出係数!$AI$801:$AI$804,1),MATCH(BI775,【参考】排出係数!$AL$798:$AO$798,1)),VLOOKUP(AU775,INDEX((係数_バス貨物_ガソリン,係数_バス貨物_CNG,係数_バス貨物_軽油,係数_バス貨物_メタノール,係数_バス貨物_LPG),MATCH(AY775,【参考】排出係数!$AI$4:$AI$671,1),1,BE775):INDEX((係数_バス貨物_ガソリン,係数_バス貨物_CNG,係数_バス貨物_軽油,係数_バス貨物_メタノール,係数_バス貨物_LPG),MATCH(AY775+1,【参考】排出係数!$AI$4:$AI$671,1)-1,5,BE775),5,FALSE)),IF(AND(BE775=3,LEFT(BF775,1)="1"),0.055,VLOOKUP(AU775,INDEX((係数_乗用_ガソリン,係数_乗用_CNG,係数_乗用_軽油,係数_乗用_メタノール,係数_乗用_LPG),1,1,BE775):INDEX((係数_乗用_ガソリン,係数_乗用_CNG,係数_乗用_軽油,係数_乗用_メタノール,係数_乗用_LPG),125,5,BE775),5,FALSE)))))</f>
        <v/>
      </c>
      <c r="AN775" s="461" t="str">
        <f t="shared" si="426"/>
        <v/>
      </c>
      <c r="AO775" s="462" t="str">
        <f t="shared" si="427"/>
        <v/>
      </c>
      <c r="AP775" s="463" t="str">
        <f t="shared" si="428"/>
        <v/>
      </c>
      <c r="AQ775" s="464"/>
      <c r="AR775" s="619"/>
      <c r="AS775" s="465" t="str">
        <f t="shared" si="436"/>
        <v/>
      </c>
      <c r="AT775" s="465" t="str">
        <f t="shared" si="437"/>
        <v/>
      </c>
      <c r="AU775" s="466" t="str">
        <f t="shared" si="438"/>
        <v/>
      </c>
      <c r="AV775" s="467" t="str">
        <f t="shared" si="439"/>
        <v/>
      </c>
      <c r="AW775" s="467" t="str">
        <f t="shared" si="440"/>
        <v/>
      </c>
      <c r="AX775" s="467" t="str">
        <f t="shared" si="441"/>
        <v/>
      </c>
      <c r="AY775" s="467" t="str">
        <f t="shared" si="442"/>
        <v/>
      </c>
      <c r="AZ775" s="467" t="str">
        <f t="shared" si="443"/>
        <v/>
      </c>
      <c r="BA775" s="468" t="str">
        <f>IF(AS775="","",IF(OR(AU775="",AU775="-"),"－",IF(OR(AZ775=8,AZ775=9),"",IF(OR(AW775=3,AW775=4,AW775=5,AW775=6),VLOOKUP(AU775,INDEX((係数_バス貨物_ガソリン,係数_バス貨物_CNG,係数_バス貨物_軽油,係数_バス貨物_メタノール,係数_バス貨物_LPG),MATCH(AY775,【参考】排出係数!$AI$4:$AI$671,1),1,BE775):INDEX((係数_バス貨物_ガソリン,係数_バス貨物_CNG,係数_バス貨物_軽油,係数_バス貨物_メタノール,係数_バス貨物_LPG),MATCH(AY775+1,【参考】排出係数!$AI$4:$AI$671,1)-1,5,BE775),2,FALSE),IF(OR(AW775=1,AW775=2),VLOOKUP(AU775,INDEX((係数_乗用_ガソリン,係数_乗用_CNG,係数_乗用_軽油,係数_乗用_メタノール,係数_乗用_LPG),1,1,BE775):INDEX((係数_乗用_ガソリン,係数_乗用_CNG,係数_乗用_軽油,係数_乗用_メタノール,係数_乗用_LPG),125,5,BE775),2,FALSE))))))</f>
        <v/>
      </c>
      <c r="BB775" s="468" t="str">
        <f>IF(T775="","",IF(OR(AU775="",AU775="-"),"－",IF(OR(AZ775=8,AZ775=9),"",IF(OR(AW775=3,AW775=4,AW775=5,AW775=6),VLOOKUP(AU775,INDEX((係数_バス貨物_ガソリン,係数_バス貨物_CNG,係数_バス貨物_軽油,係数_バス貨物_メタノール,係数_バス貨物_LPG),MATCH(AY775,【参考】排出係数!$AI$4:$AI$671,1),1,BE775):INDEX((係数_バス貨物_ガソリン,係数_バス貨物_CNG,係数_バス貨物_軽油,係数_バス貨物_メタノール,係数_バス貨物_LPG),MATCH(AY775+1,【参考】排出係数!$AI$4:$AI$671,1)-1,5,BE775),3,FALSE),IF(OR(AW775=1,AW775=2),VLOOKUP(AU775,INDEX((係数_乗用_ガソリン,係数_乗用_CNG,係数_乗用_軽油,係数_乗用_メタノール,係数_乗用_LPG),1,1,BE775):INDEX((係数_乗用_ガソリン,係数_乗用_CNG,係数_乗用_軽油,係数_乗用_メタノール,係数_乗用_LPG),125,5,BE775),3,FALSE))))))</f>
        <v/>
      </c>
      <c r="BC775" s="467" t="str">
        <f t="shared" si="444"/>
        <v/>
      </c>
      <c r="BD775" s="567" t="str">
        <f t="shared" si="445"/>
        <v/>
      </c>
      <c r="BE775" s="467" t="str">
        <f t="shared" si="446"/>
        <v/>
      </c>
      <c r="BF775" s="469" t="str">
        <f t="shared" ca="1" si="447"/>
        <v/>
      </c>
      <c r="BG775" s="469" t="str">
        <f t="shared" ca="1" si="448"/>
        <v/>
      </c>
      <c r="BH775" s="467" t="str">
        <f t="shared" si="449"/>
        <v/>
      </c>
      <c r="BI775" s="467" t="str">
        <f t="shared" ca="1" si="450"/>
        <v/>
      </c>
      <c r="BJ775" s="469" t="str">
        <f t="shared" si="451"/>
        <v/>
      </c>
      <c r="BK775" s="470" t="str">
        <f t="shared" si="435"/>
        <v/>
      </c>
      <c r="BL775" s="775" t="str">
        <f t="shared" si="452"/>
        <v/>
      </c>
      <c r="BM775" s="775" t="str">
        <f t="shared" si="453"/>
        <v/>
      </c>
    </row>
    <row r="776" spans="1:65">
      <c r="A776" s="473">
        <v>720</v>
      </c>
      <c r="B776" s="132"/>
      <c r="C776" s="332"/>
      <c r="D776" s="333"/>
      <c r="E776" s="333"/>
      <c r="F776" s="334"/>
      <c r="G776" s="337"/>
      <c r="H776" s="131"/>
      <c r="I776" s="337"/>
      <c r="J776" s="131"/>
      <c r="K776" s="458" t="str">
        <f t="shared" si="416"/>
        <v/>
      </c>
      <c r="L776" s="458">
        <f t="shared" si="417"/>
        <v>0</v>
      </c>
      <c r="M776" s="458">
        <f t="shared" si="418"/>
        <v>0</v>
      </c>
      <c r="N776" s="459" t="str">
        <f t="shared" si="429"/>
        <v/>
      </c>
      <c r="O776" s="459" t="str">
        <f t="shared" si="430"/>
        <v/>
      </c>
      <c r="P776" s="459" t="str">
        <f t="shared" si="431"/>
        <v/>
      </c>
      <c r="Q776" s="459" t="str">
        <f t="shared" si="432"/>
        <v/>
      </c>
      <c r="R776" s="459" t="str">
        <f t="shared" si="433"/>
        <v/>
      </c>
      <c r="S776" s="459" t="str">
        <f t="shared" si="434"/>
        <v/>
      </c>
      <c r="T776" s="566" t="str">
        <f t="shared" si="419"/>
        <v/>
      </c>
      <c r="U776" s="702"/>
      <c r="V776" s="132"/>
      <c r="W776" s="133"/>
      <c r="X776" s="134"/>
      <c r="Y776" s="135"/>
      <c r="Z776" s="137"/>
      <c r="AA776" s="136"/>
      <c r="AB776" s="566" t="str">
        <f t="shared" si="420"/>
        <v/>
      </c>
      <c r="AC776" s="568" t="str">
        <f t="shared" si="421"/>
        <v/>
      </c>
      <c r="AD776" s="137"/>
      <c r="AE776" s="137"/>
      <c r="AF776" s="138"/>
      <c r="AG776" s="138"/>
      <c r="AH776" s="592" t="str">
        <f t="shared" si="422"/>
        <v/>
      </c>
      <c r="AI776" s="592" t="str">
        <f t="shared" si="423"/>
        <v/>
      </c>
      <c r="AJ776" s="592" t="str">
        <f t="shared" si="424"/>
        <v/>
      </c>
      <c r="AK776" s="460" t="str">
        <f>IF(AU776="","",IF(OR(AZ776=8,AZ776=9),0,IF(OR(AW776=3,AW776=4,AW776=5,AW776=6),IF(LEFT(BF776,1)="1",INDEX(係数_NOX・PM低減,MATCH(AY776,【参考】排出係数!$AI$801:$AI$804,1),1),VLOOKUP(AU776,INDEX((係数_バス貨物_ガソリン,係数_バス貨物_CNG,係数_バス貨物_軽油,係数_バス貨物_メタノール,係数_バス貨物_LPG),MATCH(AY776,【参考】排出係数!$AI$4:$AI$671,1),1,BE776):INDEX((係数_バス貨物_ガソリン,係数_バス貨物_CNG,係数_バス貨物_軽油,係数_バス貨物_メタノール,係数_バス貨物_LPG),MATCH(AY776+1,【参考】排出係数!$AI$4:$AI$671,1)-1,5,BE776),4,FALSE)),IF(AND(BE776=3,LEFT(BF776,1)="1"),0.48,VLOOKUP(AU776,INDEX((係数_乗用_ガソリン,係数_乗用_CNG,係数_乗用_軽油,係数_乗用_メタノール,係数_乗用_LPG),1,1,BE776):INDEX((係数_乗用_ガソリン,係数_乗用_CNG,係数_乗用_軽油,係数_乗用_メタノール,係数_乗用_LPG),125,5,BE776),4,FALSE)))))</f>
        <v/>
      </c>
      <c r="AL776" s="461" t="str">
        <f t="shared" si="425"/>
        <v/>
      </c>
      <c r="AM776" s="460" t="str">
        <f>IF(AU776="","",IF(OR(AZ776=8,AZ776=9),0,IF(OR(AW776=3,AW776=4,AW776=5,AW776=6),IF(LEFT(BH776,1)="1",INDEX(係数_PM低減,MATCH(AY776,【参考】排出係数!$AI$801:$AI$804,1),MATCH(BI776,【参考】排出係数!$AL$798:$AO$798,1)),VLOOKUP(AU776,INDEX((係数_バス貨物_ガソリン,係数_バス貨物_CNG,係数_バス貨物_軽油,係数_バス貨物_メタノール,係数_バス貨物_LPG),MATCH(AY776,【参考】排出係数!$AI$4:$AI$671,1),1,BE776):INDEX((係数_バス貨物_ガソリン,係数_バス貨物_CNG,係数_バス貨物_軽油,係数_バス貨物_メタノール,係数_バス貨物_LPG),MATCH(AY776+1,【参考】排出係数!$AI$4:$AI$671,1)-1,5,BE776),5,FALSE)),IF(AND(BE776=3,LEFT(BF776,1)="1"),0.055,VLOOKUP(AU776,INDEX((係数_乗用_ガソリン,係数_乗用_CNG,係数_乗用_軽油,係数_乗用_メタノール,係数_乗用_LPG),1,1,BE776):INDEX((係数_乗用_ガソリン,係数_乗用_CNG,係数_乗用_軽油,係数_乗用_メタノール,係数_乗用_LPG),125,5,BE776),5,FALSE)))))</f>
        <v/>
      </c>
      <c r="AN776" s="461" t="str">
        <f t="shared" si="426"/>
        <v/>
      </c>
      <c r="AO776" s="462" t="str">
        <f t="shared" si="427"/>
        <v/>
      </c>
      <c r="AP776" s="463" t="str">
        <f t="shared" si="428"/>
        <v/>
      </c>
      <c r="AQ776" s="464"/>
      <c r="AR776" s="619"/>
      <c r="AS776" s="465" t="str">
        <f t="shared" si="436"/>
        <v/>
      </c>
      <c r="AT776" s="465" t="str">
        <f t="shared" si="437"/>
        <v/>
      </c>
      <c r="AU776" s="466" t="str">
        <f t="shared" si="438"/>
        <v/>
      </c>
      <c r="AV776" s="467" t="str">
        <f t="shared" si="439"/>
        <v/>
      </c>
      <c r="AW776" s="467" t="str">
        <f t="shared" si="440"/>
        <v/>
      </c>
      <c r="AX776" s="467" t="str">
        <f t="shared" si="441"/>
        <v/>
      </c>
      <c r="AY776" s="467" t="str">
        <f t="shared" si="442"/>
        <v/>
      </c>
      <c r="AZ776" s="467" t="str">
        <f t="shared" si="443"/>
        <v/>
      </c>
      <c r="BA776" s="468" t="str">
        <f>IF(AS776="","",IF(OR(AU776="",AU776="-"),"－",IF(OR(AZ776=8,AZ776=9),"",IF(OR(AW776=3,AW776=4,AW776=5,AW776=6),VLOOKUP(AU776,INDEX((係数_バス貨物_ガソリン,係数_バス貨物_CNG,係数_バス貨物_軽油,係数_バス貨物_メタノール,係数_バス貨物_LPG),MATCH(AY776,【参考】排出係数!$AI$4:$AI$671,1),1,BE776):INDEX((係数_バス貨物_ガソリン,係数_バス貨物_CNG,係数_バス貨物_軽油,係数_バス貨物_メタノール,係数_バス貨物_LPG),MATCH(AY776+1,【参考】排出係数!$AI$4:$AI$671,1)-1,5,BE776),2,FALSE),IF(OR(AW776=1,AW776=2),VLOOKUP(AU776,INDEX((係数_乗用_ガソリン,係数_乗用_CNG,係数_乗用_軽油,係数_乗用_メタノール,係数_乗用_LPG),1,1,BE776):INDEX((係数_乗用_ガソリン,係数_乗用_CNG,係数_乗用_軽油,係数_乗用_メタノール,係数_乗用_LPG),125,5,BE776),2,FALSE))))))</f>
        <v/>
      </c>
      <c r="BB776" s="468" t="str">
        <f>IF(T776="","",IF(OR(AU776="",AU776="-"),"－",IF(OR(AZ776=8,AZ776=9),"",IF(OR(AW776=3,AW776=4,AW776=5,AW776=6),VLOOKUP(AU776,INDEX((係数_バス貨物_ガソリン,係数_バス貨物_CNG,係数_バス貨物_軽油,係数_バス貨物_メタノール,係数_バス貨物_LPG),MATCH(AY776,【参考】排出係数!$AI$4:$AI$671,1),1,BE776):INDEX((係数_バス貨物_ガソリン,係数_バス貨物_CNG,係数_バス貨物_軽油,係数_バス貨物_メタノール,係数_バス貨物_LPG),MATCH(AY776+1,【参考】排出係数!$AI$4:$AI$671,1)-1,5,BE776),3,FALSE),IF(OR(AW776=1,AW776=2),VLOOKUP(AU776,INDEX((係数_乗用_ガソリン,係数_乗用_CNG,係数_乗用_軽油,係数_乗用_メタノール,係数_乗用_LPG),1,1,BE776):INDEX((係数_乗用_ガソリン,係数_乗用_CNG,係数_乗用_軽油,係数_乗用_メタノール,係数_乗用_LPG),125,5,BE776),3,FALSE))))))</f>
        <v/>
      </c>
      <c r="BC776" s="467" t="str">
        <f t="shared" si="444"/>
        <v/>
      </c>
      <c r="BD776" s="567" t="str">
        <f t="shared" si="445"/>
        <v/>
      </c>
      <c r="BE776" s="467" t="str">
        <f t="shared" si="446"/>
        <v/>
      </c>
      <c r="BF776" s="469" t="str">
        <f t="shared" ca="1" si="447"/>
        <v/>
      </c>
      <c r="BG776" s="469" t="str">
        <f t="shared" ca="1" si="448"/>
        <v/>
      </c>
      <c r="BH776" s="467" t="str">
        <f t="shared" si="449"/>
        <v/>
      </c>
      <c r="BI776" s="467" t="str">
        <f t="shared" ca="1" si="450"/>
        <v/>
      </c>
      <c r="BJ776" s="469" t="str">
        <f t="shared" si="451"/>
        <v/>
      </c>
      <c r="BK776" s="470" t="str">
        <f t="shared" si="435"/>
        <v/>
      </c>
      <c r="BL776" s="775" t="str">
        <f t="shared" si="452"/>
        <v/>
      </c>
      <c r="BM776" s="775" t="str">
        <f t="shared" si="453"/>
        <v/>
      </c>
    </row>
    <row r="777" spans="1:65">
      <c r="A777" s="473">
        <v>721</v>
      </c>
      <c r="B777" s="132"/>
      <c r="C777" s="332"/>
      <c r="D777" s="333"/>
      <c r="E777" s="333"/>
      <c r="F777" s="334"/>
      <c r="G777" s="337"/>
      <c r="H777" s="131"/>
      <c r="I777" s="337"/>
      <c r="J777" s="131"/>
      <c r="K777" s="458" t="str">
        <f t="shared" si="416"/>
        <v/>
      </c>
      <c r="L777" s="458">
        <f t="shared" si="417"/>
        <v>0</v>
      </c>
      <c r="M777" s="458">
        <f t="shared" si="418"/>
        <v>0</v>
      </c>
      <c r="N777" s="459" t="str">
        <f t="shared" si="429"/>
        <v/>
      </c>
      <c r="O777" s="459" t="str">
        <f t="shared" si="430"/>
        <v/>
      </c>
      <c r="P777" s="459" t="str">
        <f t="shared" si="431"/>
        <v/>
      </c>
      <c r="Q777" s="459" t="str">
        <f t="shared" si="432"/>
        <v/>
      </c>
      <c r="R777" s="459" t="str">
        <f t="shared" si="433"/>
        <v/>
      </c>
      <c r="S777" s="459" t="str">
        <f t="shared" si="434"/>
        <v/>
      </c>
      <c r="T777" s="566" t="str">
        <f t="shared" si="419"/>
        <v/>
      </c>
      <c r="U777" s="702"/>
      <c r="V777" s="132"/>
      <c r="W777" s="133"/>
      <c r="X777" s="134"/>
      <c r="Y777" s="135"/>
      <c r="Z777" s="137"/>
      <c r="AA777" s="136"/>
      <c r="AB777" s="566" t="str">
        <f t="shared" si="420"/>
        <v/>
      </c>
      <c r="AC777" s="568" t="str">
        <f t="shared" si="421"/>
        <v/>
      </c>
      <c r="AD777" s="137"/>
      <c r="AE777" s="137"/>
      <c r="AF777" s="138"/>
      <c r="AG777" s="138"/>
      <c r="AH777" s="592" t="str">
        <f t="shared" si="422"/>
        <v/>
      </c>
      <c r="AI777" s="592" t="str">
        <f t="shared" si="423"/>
        <v/>
      </c>
      <c r="AJ777" s="592" t="str">
        <f t="shared" si="424"/>
        <v/>
      </c>
      <c r="AK777" s="460" t="str">
        <f>IF(AU777="","",IF(OR(AZ777=8,AZ777=9),0,IF(OR(AW777=3,AW777=4,AW777=5,AW777=6),IF(LEFT(BF777,1)="1",INDEX(係数_NOX・PM低減,MATCH(AY777,【参考】排出係数!$AI$801:$AI$804,1),1),VLOOKUP(AU777,INDEX((係数_バス貨物_ガソリン,係数_バス貨物_CNG,係数_バス貨物_軽油,係数_バス貨物_メタノール,係数_バス貨物_LPG),MATCH(AY777,【参考】排出係数!$AI$4:$AI$671,1),1,BE777):INDEX((係数_バス貨物_ガソリン,係数_バス貨物_CNG,係数_バス貨物_軽油,係数_バス貨物_メタノール,係数_バス貨物_LPG),MATCH(AY777+1,【参考】排出係数!$AI$4:$AI$671,1)-1,5,BE777),4,FALSE)),IF(AND(BE777=3,LEFT(BF777,1)="1"),0.48,VLOOKUP(AU777,INDEX((係数_乗用_ガソリン,係数_乗用_CNG,係数_乗用_軽油,係数_乗用_メタノール,係数_乗用_LPG),1,1,BE777):INDEX((係数_乗用_ガソリン,係数_乗用_CNG,係数_乗用_軽油,係数_乗用_メタノール,係数_乗用_LPG),125,5,BE777),4,FALSE)))))</f>
        <v/>
      </c>
      <c r="AL777" s="461" t="str">
        <f t="shared" si="425"/>
        <v/>
      </c>
      <c r="AM777" s="460" t="str">
        <f>IF(AU777="","",IF(OR(AZ777=8,AZ777=9),0,IF(OR(AW777=3,AW777=4,AW777=5,AW777=6),IF(LEFT(BH777,1)="1",INDEX(係数_PM低減,MATCH(AY777,【参考】排出係数!$AI$801:$AI$804,1),MATCH(BI777,【参考】排出係数!$AL$798:$AO$798,1)),VLOOKUP(AU777,INDEX((係数_バス貨物_ガソリン,係数_バス貨物_CNG,係数_バス貨物_軽油,係数_バス貨物_メタノール,係数_バス貨物_LPG),MATCH(AY777,【参考】排出係数!$AI$4:$AI$671,1),1,BE777):INDEX((係数_バス貨物_ガソリン,係数_バス貨物_CNG,係数_バス貨物_軽油,係数_バス貨物_メタノール,係数_バス貨物_LPG),MATCH(AY777+1,【参考】排出係数!$AI$4:$AI$671,1)-1,5,BE777),5,FALSE)),IF(AND(BE777=3,LEFT(BF777,1)="1"),0.055,VLOOKUP(AU777,INDEX((係数_乗用_ガソリン,係数_乗用_CNG,係数_乗用_軽油,係数_乗用_メタノール,係数_乗用_LPG),1,1,BE777):INDEX((係数_乗用_ガソリン,係数_乗用_CNG,係数_乗用_軽油,係数_乗用_メタノール,係数_乗用_LPG),125,5,BE777),5,FALSE)))))</f>
        <v/>
      </c>
      <c r="AN777" s="461" t="str">
        <f t="shared" si="426"/>
        <v/>
      </c>
      <c r="AO777" s="462" t="str">
        <f t="shared" si="427"/>
        <v/>
      </c>
      <c r="AP777" s="463" t="str">
        <f t="shared" si="428"/>
        <v/>
      </c>
      <c r="AQ777" s="464"/>
      <c r="AR777" s="619"/>
      <c r="AS777" s="465" t="str">
        <f t="shared" si="436"/>
        <v/>
      </c>
      <c r="AT777" s="465" t="str">
        <f t="shared" si="437"/>
        <v/>
      </c>
      <c r="AU777" s="466" t="str">
        <f t="shared" si="438"/>
        <v/>
      </c>
      <c r="AV777" s="467" t="str">
        <f t="shared" si="439"/>
        <v/>
      </c>
      <c r="AW777" s="467" t="str">
        <f t="shared" si="440"/>
        <v/>
      </c>
      <c r="AX777" s="467" t="str">
        <f t="shared" si="441"/>
        <v/>
      </c>
      <c r="AY777" s="467" t="str">
        <f t="shared" si="442"/>
        <v/>
      </c>
      <c r="AZ777" s="467" t="str">
        <f t="shared" si="443"/>
        <v/>
      </c>
      <c r="BA777" s="468" t="str">
        <f>IF(AS777="","",IF(OR(AU777="",AU777="-"),"－",IF(OR(AZ777=8,AZ777=9),"",IF(OR(AW777=3,AW777=4,AW777=5,AW777=6),VLOOKUP(AU777,INDEX((係数_バス貨物_ガソリン,係数_バス貨物_CNG,係数_バス貨物_軽油,係数_バス貨物_メタノール,係数_バス貨物_LPG),MATCH(AY777,【参考】排出係数!$AI$4:$AI$671,1),1,BE777):INDEX((係数_バス貨物_ガソリン,係数_バス貨物_CNG,係数_バス貨物_軽油,係数_バス貨物_メタノール,係数_バス貨物_LPG),MATCH(AY777+1,【参考】排出係数!$AI$4:$AI$671,1)-1,5,BE777),2,FALSE),IF(OR(AW777=1,AW777=2),VLOOKUP(AU777,INDEX((係数_乗用_ガソリン,係数_乗用_CNG,係数_乗用_軽油,係数_乗用_メタノール,係数_乗用_LPG),1,1,BE777):INDEX((係数_乗用_ガソリン,係数_乗用_CNG,係数_乗用_軽油,係数_乗用_メタノール,係数_乗用_LPG),125,5,BE777),2,FALSE))))))</f>
        <v/>
      </c>
      <c r="BB777" s="468" t="str">
        <f>IF(T777="","",IF(OR(AU777="",AU777="-"),"－",IF(OR(AZ777=8,AZ777=9),"",IF(OR(AW777=3,AW777=4,AW777=5,AW777=6),VLOOKUP(AU777,INDEX((係数_バス貨物_ガソリン,係数_バス貨物_CNG,係数_バス貨物_軽油,係数_バス貨物_メタノール,係数_バス貨物_LPG),MATCH(AY777,【参考】排出係数!$AI$4:$AI$671,1),1,BE777):INDEX((係数_バス貨物_ガソリン,係数_バス貨物_CNG,係数_バス貨物_軽油,係数_バス貨物_メタノール,係数_バス貨物_LPG),MATCH(AY777+1,【参考】排出係数!$AI$4:$AI$671,1)-1,5,BE777),3,FALSE),IF(OR(AW777=1,AW777=2),VLOOKUP(AU777,INDEX((係数_乗用_ガソリン,係数_乗用_CNG,係数_乗用_軽油,係数_乗用_メタノール,係数_乗用_LPG),1,1,BE777):INDEX((係数_乗用_ガソリン,係数_乗用_CNG,係数_乗用_軽油,係数_乗用_メタノール,係数_乗用_LPG),125,5,BE777),3,FALSE))))))</f>
        <v/>
      </c>
      <c r="BC777" s="467" t="str">
        <f t="shared" si="444"/>
        <v/>
      </c>
      <c r="BD777" s="567" t="str">
        <f t="shared" si="445"/>
        <v/>
      </c>
      <c r="BE777" s="467" t="str">
        <f t="shared" si="446"/>
        <v/>
      </c>
      <c r="BF777" s="469" t="str">
        <f t="shared" ca="1" si="447"/>
        <v/>
      </c>
      <c r="BG777" s="469" t="str">
        <f t="shared" ca="1" si="448"/>
        <v/>
      </c>
      <c r="BH777" s="467" t="str">
        <f t="shared" si="449"/>
        <v/>
      </c>
      <c r="BI777" s="467" t="str">
        <f t="shared" ca="1" si="450"/>
        <v/>
      </c>
      <c r="BJ777" s="469" t="str">
        <f t="shared" si="451"/>
        <v/>
      </c>
      <c r="BK777" s="470" t="str">
        <f t="shared" si="435"/>
        <v/>
      </c>
      <c r="BL777" s="775" t="str">
        <f t="shared" si="452"/>
        <v/>
      </c>
      <c r="BM777" s="775" t="str">
        <f t="shared" si="453"/>
        <v/>
      </c>
    </row>
    <row r="778" spans="1:65">
      <c r="A778" s="473">
        <v>722</v>
      </c>
      <c r="B778" s="132"/>
      <c r="C778" s="332"/>
      <c r="D778" s="333"/>
      <c r="E778" s="333"/>
      <c r="F778" s="334"/>
      <c r="G778" s="337"/>
      <c r="H778" s="131"/>
      <c r="I778" s="337"/>
      <c r="J778" s="131"/>
      <c r="K778" s="458" t="str">
        <f t="shared" si="416"/>
        <v/>
      </c>
      <c r="L778" s="458">
        <f t="shared" si="417"/>
        <v>0</v>
      </c>
      <c r="M778" s="458">
        <f t="shared" si="418"/>
        <v>0</v>
      </c>
      <c r="N778" s="459" t="str">
        <f t="shared" si="429"/>
        <v/>
      </c>
      <c r="O778" s="459" t="str">
        <f t="shared" si="430"/>
        <v/>
      </c>
      <c r="P778" s="459" t="str">
        <f t="shared" si="431"/>
        <v/>
      </c>
      <c r="Q778" s="459" t="str">
        <f t="shared" si="432"/>
        <v/>
      </c>
      <c r="R778" s="459" t="str">
        <f t="shared" si="433"/>
        <v/>
      </c>
      <c r="S778" s="459" t="str">
        <f t="shared" si="434"/>
        <v/>
      </c>
      <c r="T778" s="566" t="str">
        <f t="shared" si="419"/>
        <v/>
      </c>
      <c r="U778" s="702"/>
      <c r="V778" s="132"/>
      <c r="W778" s="133"/>
      <c r="X778" s="134"/>
      <c r="Y778" s="135"/>
      <c r="Z778" s="137"/>
      <c r="AA778" s="136"/>
      <c r="AB778" s="566" t="str">
        <f t="shared" si="420"/>
        <v/>
      </c>
      <c r="AC778" s="568" t="str">
        <f t="shared" si="421"/>
        <v/>
      </c>
      <c r="AD778" s="137"/>
      <c r="AE778" s="137"/>
      <c r="AF778" s="138"/>
      <c r="AG778" s="138"/>
      <c r="AH778" s="592" t="str">
        <f t="shared" si="422"/>
        <v/>
      </c>
      <c r="AI778" s="592" t="str">
        <f t="shared" si="423"/>
        <v/>
      </c>
      <c r="AJ778" s="592" t="str">
        <f t="shared" si="424"/>
        <v/>
      </c>
      <c r="AK778" s="460" t="str">
        <f>IF(AU778="","",IF(OR(AZ778=8,AZ778=9),0,IF(OR(AW778=3,AW778=4,AW778=5,AW778=6),IF(LEFT(BF778,1)="1",INDEX(係数_NOX・PM低減,MATCH(AY778,【参考】排出係数!$AI$801:$AI$804,1),1),VLOOKUP(AU778,INDEX((係数_バス貨物_ガソリン,係数_バス貨物_CNG,係数_バス貨物_軽油,係数_バス貨物_メタノール,係数_バス貨物_LPG),MATCH(AY778,【参考】排出係数!$AI$4:$AI$671,1),1,BE778):INDEX((係数_バス貨物_ガソリン,係数_バス貨物_CNG,係数_バス貨物_軽油,係数_バス貨物_メタノール,係数_バス貨物_LPG),MATCH(AY778+1,【参考】排出係数!$AI$4:$AI$671,1)-1,5,BE778),4,FALSE)),IF(AND(BE778=3,LEFT(BF778,1)="1"),0.48,VLOOKUP(AU778,INDEX((係数_乗用_ガソリン,係数_乗用_CNG,係数_乗用_軽油,係数_乗用_メタノール,係数_乗用_LPG),1,1,BE778):INDEX((係数_乗用_ガソリン,係数_乗用_CNG,係数_乗用_軽油,係数_乗用_メタノール,係数_乗用_LPG),125,5,BE778),4,FALSE)))))</f>
        <v/>
      </c>
      <c r="AL778" s="461" t="str">
        <f t="shared" si="425"/>
        <v/>
      </c>
      <c r="AM778" s="460" t="str">
        <f>IF(AU778="","",IF(OR(AZ778=8,AZ778=9),0,IF(OR(AW778=3,AW778=4,AW778=5,AW778=6),IF(LEFT(BH778,1)="1",INDEX(係数_PM低減,MATCH(AY778,【参考】排出係数!$AI$801:$AI$804,1),MATCH(BI778,【参考】排出係数!$AL$798:$AO$798,1)),VLOOKUP(AU778,INDEX((係数_バス貨物_ガソリン,係数_バス貨物_CNG,係数_バス貨物_軽油,係数_バス貨物_メタノール,係数_バス貨物_LPG),MATCH(AY778,【参考】排出係数!$AI$4:$AI$671,1),1,BE778):INDEX((係数_バス貨物_ガソリン,係数_バス貨物_CNG,係数_バス貨物_軽油,係数_バス貨物_メタノール,係数_バス貨物_LPG),MATCH(AY778+1,【参考】排出係数!$AI$4:$AI$671,1)-1,5,BE778),5,FALSE)),IF(AND(BE778=3,LEFT(BF778,1)="1"),0.055,VLOOKUP(AU778,INDEX((係数_乗用_ガソリン,係数_乗用_CNG,係数_乗用_軽油,係数_乗用_メタノール,係数_乗用_LPG),1,1,BE778):INDEX((係数_乗用_ガソリン,係数_乗用_CNG,係数_乗用_軽油,係数_乗用_メタノール,係数_乗用_LPG),125,5,BE778),5,FALSE)))))</f>
        <v/>
      </c>
      <c r="AN778" s="461" t="str">
        <f t="shared" si="426"/>
        <v/>
      </c>
      <c r="AO778" s="462" t="str">
        <f t="shared" si="427"/>
        <v/>
      </c>
      <c r="AP778" s="463" t="str">
        <f t="shared" si="428"/>
        <v/>
      </c>
      <c r="AQ778" s="464"/>
      <c r="AR778" s="619"/>
      <c r="AS778" s="465" t="str">
        <f t="shared" si="436"/>
        <v/>
      </c>
      <c r="AT778" s="465" t="str">
        <f t="shared" si="437"/>
        <v/>
      </c>
      <c r="AU778" s="466" t="str">
        <f t="shared" si="438"/>
        <v/>
      </c>
      <c r="AV778" s="467" t="str">
        <f t="shared" si="439"/>
        <v/>
      </c>
      <c r="AW778" s="467" t="str">
        <f t="shared" si="440"/>
        <v/>
      </c>
      <c r="AX778" s="467" t="str">
        <f t="shared" si="441"/>
        <v/>
      </c>
      <c r="AY778" s="467" t="str">
        <f t="shared" si="442"/>
        <v/>
      </c>
      <c r="AZ778" s="467" t="str">
        <f t="shared" si="443"/>
        <v/>
      </c>
      <c r="BA778" s="468" t="str">
        <f>IF(AS778="","",IF(OR(AU778="",AU778="-"),"－",IF(OR(AZ778=8,AZ778=9),"",IF(OR(AW778=3,AW778=4,AW778=5,AW778=6),VLOOKUP(AU778,INDEX((係数_バス貨物_ガソリン,係数_バス貨物_CNG,係数_バス貨物_軽油,係数_バス貨物_メタノール,係数_バス貨物_LPG),MATCH(AY778,【参考】排出係数!$AI$4:$AI$671,1),1,BE778):INDEX((係数_バス貨物_ガソリン,係数_バス貨物_CNG,係数_バス貨物_軽油,係数_バス貨物_メタノール,係数_バス貨物_LPG),MATCH(AY778+1,【参考】排出係数!$AI$4:$AI$671,1)-1,5,BE778),2,FALSE),IF(OR(AW778=1,AW778=2),VLOOKUP(AU778,INDEX((係数_乗用_ガソリン,係数_乗用_CNG,係数_乗用_軽油,係数_乗用_メタノール,係数_乗用_LPG),1,1,BE778):INDEX((係数_乗用_ガソリン,係数_乗用_CNG,係数_乗用_軽油,係数_乗用_メタノール,係数_乗用_LPG),125,5,BE778),2,FALSE))))))</f>
        <v/>
      </c>
      <c r="BB778" s="468" t="str">
        <f>IF(T778="","",IF(OR(AU778="",AU778="-"),"－",IF(OR(AZ778=8,AZ778=9),"",IF(OR(AW778=3,AW778=4,AW778=5,AW778=6),VLOOKUP(AU778,INDEX((係数_バス貨物_ガソリン,係数_バス貨物_CNG,係数_バス貨物_軽油,係数_バス貨物_メタノール,係数_バス貨物_LPG),MATCH(AY778,【参考】排出係数!$AI$4:$AI$671,1),1,BE778):INDEX((係数_バス貨物_ガソリン,係数_バス貨物_CNG,係数_バス貨物_軽油,係数_バス貨物_メタノール,係数_バス貨物_LPG),MATCH(AY778+1,【参考】排出係数!$AI$4:$AI$671,1)-1,5,BE778),3,FALSE),IF(OR(AW778=1,AW778=2),VLOOKUP(AU778,INDEX((係数_乗用_ガソリン,係数_乗用_CNG,係数_乗用_軽油,係数_乗用_メタノール,係数_乗用_LPG),1,1,BE778):INDEX((係数_乗用_ガソリン,係数_乗用_CNG,係数_乗用_軽油,係数_乗用_メタノール,係数_乗用_LPG),125,5,BE778),3,FALSE))))))</f>
        <v/>
      </c>
      <c r="BC778" s="467" t="str">
        <f t="shared" si="444"/>
        <v/>
      </c>
      <c r="BD778" s="567" t="str">
        <f t="shared" si="445"/>
        <v/>
      </c>
      <c r="BE778" s="467" t="str">
        <f t="shared" si="446"/>
        <v/>
      </c>
      <c r="BF778" s="469" t="str">
        <f t="shared" ca="1" si="447"/>
        <v/>
      </c>
      <c r="BG778" s="469" t="str">
        <f t="shared" ca="1" si="448"/>
        <v/>
      </c>
      <c r="BH778" s="467" t="str">
        <f t="shared" si="449"/>
        <v/>
      </c>
      <c r="BI778" s="467" t="str">
        <f t="shared" ca="1" si="450"/>
        <v/>
      </c>
      <c r="BJ778" s="469" t="str">
        <f t="shared" si="451"/>
        <v/>
      </c>
      <c r="BK778" s="470" t="str">
        <f t="shared" si="435"/>
        <v/>
      </c>
      <c r="BL778" s="775" t="str">
        <f t="shared" si="452"/>
        <v/>
      </c>
      <c r="BM778" s="775" t="str">
        <f t="shared" si="453"/>
        <v/>
      </c>
    </row>
    <row r="779" spans="1:65">
      <c r="A779" s="473">
        <v>723</v>
      </c>
      <c r="B779" s="132"/>
      <c r="C779" s="332"/>
      <c r="D779" s="333"/>
      <c r="E779" s="333"/>
      <c r="F779" s="334"/>
      <c r="G779" s="337"/>
      <c r="H779" s="131"/>
      <c r="I779" s="337"/>
      <c r="J779" s="131"/>
      <c r="K779" s="458" t="str">
        <f t="shared" si="416"/>
        <v/>
      </c>
      <c r="L779" s="458">
        <f t="shared" si="417"/>
        <v>0</v>
      </c>
      <c r="M779" s="458">
        <f t="shared" si="418"/>
        <v>0</v>
      </c>
      <c r="N779" s="459" t="str">
        <f t="shared" si="429"/>
        <v/>
      </c>
      <c r="O779" s="459" t="str">
        <f t="shared" si="430"/>
        <v/>
      </c>
      <c r="P779" s="459" t="str">
        <f t="shared" si="431"/>
        <v/>
      </c>
      <c r="Q779" s="459" t="str">
        <f t="shared" si="432"/>
        <v/>
      </c>
      <c r="R779" s="459" t="str">
        <f t="shared" si="433"/>
        <v/>
      </c>
      <c r="S779" s="459" t="str">
        <f t="shared" si="434"/>
        <v/>
      </c>
      <c r="T779" s="566" t="str">
        <f t="shared" si="419"/>
        <v/>
      </c>
      <c r="U779" s="702"/>
      <c r="V779" s="132"/>
      <c r="W779" s="133"/>
      <c r="X779" s="134"/>
      <c r="Y779" s="135"/>
      <c r="Z779" s="137"/>
      <c r="AA779" s="136"/>
      <c r="AB779" s="566" t="str">
        <f t="shared" si="420"/>
        <v/>
      </c>
      <c r="AC779" s="568" t="str">
        <f t="shared" si="421"/>
        <v/>
      </c>
      <c r="AD779" s="137"/>
      <c r="AE779" s="137"/>
      <c r="AF779" s="138"/>
      <c r="AG779" s="138"/>
      <c r="AH779" s="592" t="str">
        <f t="shared" si="422"/>
        <v/>
      </c>
      <c r="AI779" s="592" t="str">
        <f t="shared" si="423"/>
        <v/>
      </c>
      <c r="AJ779" s="592" t="str">
        <f t="shared" si="424"/>
        <v/>
      </c>
      <c r="AK779" s="460" t="str">
        <f>IF(AU779="","",IF(OR(AZ779=8,AZ779=9),0,IF(OR(AW779=3,AW779=4,AW779=5,AW779=6),IF(LEFT(BF779,1)="1",INDEX(係数_NOX・PM低減,MATCH(AY779,【参考】排出係数!$AI$801:$AI$804,1),1),VLOOKUP(AU779,INDEX((係数_バス貨物_ガソリン,係数_バス貨物_CNG,係数_バス貨物_軽油,係数_バス貨物_メタノール,係数_バス貨物_LPG),MATCH(AY779,【参考】排出係数!$AI$4:$AI$671,1),1,BE779):INDEX((係数_バス貨物_ガソリン,係数_バス貨物_CNG,係数_バス貨物_軽油,係数_バス貨物_メタノール,係数_バス貨物_LPG),MATCH(AY779+1,【参考】排出係数!$AI$4:$AI$671,1)-1,5,BE779),4,FALSE)),IF(AND(BE779=3,LEFT(BF779,1)="1"),0.48,VLOOKUP(AU779,INDEX((係数_乗用_ガソリン,係数_乗用_CNG,係数_乗用_軽油,係数_乗用_メタノール,係数_乗用_LPG),1,1,BE779):INDEX((係数_乗用_ガソリン,係数_乗用_CNG,係数_乗用_軽油,係数_乗用_メタノール,係数_乗用_LPG),125,5,BE779),4,FALSE)))))</f>
        <v/>
      </c>
      <c r="AL779" s="461" t="str">
        <f t="shared" si="425"/>
        <v/>
      </c>
      <c r="AM779" s="460" t="str">
        <f>IF(AU779="","",IF(OR(AZ779=8,AZ779=9),0,IF(OR(AW779=3,AW779=4,AW779=5,AW779=6),IF(LEFT(BH779,1)="1",INDEX(係数_PM低減,MATCH(AY779,【参考】排出係数!$AI$801:$AI$804,1),MATCH(BI779,【参考】排出係数!$AL$798:$AO$798,1)),VLOOKUP(AU779,INDEX((係数_バス貨物_ガソリン,係数_バス貨物_CNG,係数_バス貨物_軽油,係数_バス貨物_メタノール,係数_バス貨物_LPG),MATCH(AY779,【参考】排出係数!$AI$4:$AI$671,1),1,BE779):INDEX((係数_バス貨物_ガソリン,係数_バス貨物_CNG,係数_バス貨物_軽油,係数_バス貨物_メタノール,係数_バス貨物_LPG),MATCH(AY779+1,【参考】排出係数!$AI$4:$AI$671,1)-1,5,BE779),5,FALSE)),IF(AND(BE779=3,LEFT(BF779,1)="1"),0.055,VLOOKUP(AU779,INDEX((係数_乗用_ガソリン,係数_乗用_CNG,係数_乗用_軽油,係数_乗用_メタノール,係数_乗用_LPG),1,1,BE779):INDEX((係数_乗用_ガソリン,係数_乗用_CNG,係数_乗用_軽油,係数_乗用_メタノール,係数_乗用_LPG),125,5,BE779),5,FALSE)))))</f>
        <v/>
      </c>
      <c r="AN779" s="461" t="str">
        <f t="shared" si="426"/>
        <v/>
      </c>
      <c r="AO779" s="462" t="str">
        <f t="shared" si="427"/>
        <v/>
      </c>
      <c r="AP779" s="463" t="str">
        <f t="shared" si="428"/>
        <v/>
      </c>
      <c r="AQ779" s="464"/>
      <c r="AR779" s="619"/>
      <c r="AS779" s="465" t="str">
        <f t="shared" si="436"/>
        <v/>
      </c>
      <c r="AT779" s="465" t="str">
        <f t="shared" si="437"/>
        <v/>
      </c>
      <c r="AU779" s="466" t="str">
        <f t="shared" si="438"/>
        <v/>
      </c>
      <c r="AV779" s="467" t="str">
        <f t="shared" si="439"/>
        <v/>
      </c>
      <c r="AW779" s="467" t="str">
        <f t="shared" si="440"/>
        <v/>
      </c>
      <c r="AX779" s="467" t="str">
        <f t="shared" si="441"/>
        <v/>
      </c>
      <c r="AY779" s="467" t="str">
        <f t="shared" si="442"/>
        <v/>
      </c>
      <c r="AZ779" s="467" t="str">
        <f t="shared" si="443"/>
        <v/>
      </c>
      <c r="BA779" s="468" t="str">
        <f>IF(AS779="","",IF(OR(AU779="",AU779="-"),"－",IF(OR(AZ779=8,AZ779=9),"",IF(OR(AW779=3,AW779=4,AW779=5,AW779=6),VLOOKUP(AU779,INDEX((係数_バス貨物_ガソリン,係数_バス貨物_CNG,係数_バス貨物_軽油,係数_バス貨物_メタノール,係数_バス貨物_LPG),MATCH(AY779,【参考】排出係数!$AI$4:$AI$671,1),1,BE779):INDEX((係数_バス貨物_ガソリン,係数_バス貨物_CNG,係数_バス貨物_軽油,係数_バス貨物_メタノール,係数_バス貨物_LPG),MATCH(AY779+1,【参考】排出係数!$AI$4:$AI$671,1)-1,5,BE779),2,FALSE),IF(OR(AW779=1,AW779=2),VLOOKUP(AU779,INDEX((係数_乗用_ガソリン,係数_乗用_CNG,係数_乗用_軽油,係数_乗用_メタノール,係数_乗用_LPG),1,1,BE779):INDEX((係数_乗用_ガソリン,係数_乗用_CNG,係数_乗用_軽油,係数_乗用_メタノール,係数_乗用_LPG),125,5,BE779),2,FALSE))))))</f>
        <v/>
      </c>
      <c r="BB779" s="468" t="str">
        <f>IF(T779="","",IF(OR(AU779="",AU779="-"),"－",IF(OR(AZ779=8,AZ779=9),"",IF(OR(AW779=3,AW779=4,AW779=5,AW779=6),VLOOKUP(AU779,INDEX((係数_バス貨物_ガソリン,係数_バス貨物_CNG,係数_バス貨物_軽油,係数_バス貨物_メタノール,係数_バス貨物_LPG),MATCH(AY779,【参考】排出係数!$AI$4:$AI$671,1),1,BE779):INDEX((係数_バス貨物_ガソリン,係数_バス貨物_CNG,係数_バス貨物_軽油,係数_バス貨物_メタノール,係数_バス貨物_LPG),MATCH(AY779+1,【参考】排出係数!$AI$4:$AI$671,1)-1,5,BE779),3,FALSE),IF(OR(AW779=1,AW779=2),VLOOKUP(AU779,INDEX((係数_乗用_ガソリン,係数_乗用_CNG,係数_乗用_軽油,係数_乗用_メタノール,係数_乗用_LPG),1,1,BE779):INDEX((係数_乗用_ガソリン,係数_乗用_CNG,係数_乗用_軽油,係数_乗用_メタノール,係数_乗用_LPG),125,5,BE779),3,FALSE))))))</f>
        <v/>
      </c>
      <c r="BC779" s="467" t="str">
        <f t="shared" si="444"/>
        <v/>
      </c>
      <c r="BD779" s="567" t="str">
        <f t="shared" si="445"/>
        <v/>
      </c>
      <c r="BE779" s="467" t="str">
        <f t="shared" si="446"/>
        <v/>
      </c>
      <c r="BF779" s="469" t="str">
        <f t="shared" ca="1" si="447"/>
        <v/>
      </c>
      <c r="BG779" s="469" t="str">
        <f t="shared" ca="1" si="448"/>
        <v/>
      </c>
      <c r="BH779" s="467" t="str">
        <f t="shared" si="449"/>
        <v/>
      </c>
      <c r="BI779" s="467" t="str">
        <f t="shared" ca="1" si="450"/>
        <v/>
      </c>
      <c r="BJ779" s="469" t="str">
        <f t="shared" si="451"/>
        <v/>
      </c>
      <c r="BK779" s="470" t="str">
        <f t="shared" si="435"/>
        <v/>
      </c>
      <c r="BL779" s="775" t="str">
        <f t="shared" si="452"/>
        <v/>
      </c>
      <c r="BM779" s="775" t="str">
        <f t="shared" si="453"/>
        <v/>
      </c>
    </row>
    <row r="780" spans="1:65">
      <c r="A780" s="473">
        <v>724</v>
      </c>
      <c r="B780" s="132"/>
      <c r="C780" s="332"/>
      <c r="D780" s="333"/>
      <c r="E780" s="333"/>
      <c r="F780" s="334"/>
      <c r="G780" s="337"/>
      <c r="H780" s="131"/>
      <c r="I780" s="337"/>
      <c r="J780" s="131"/>
      <c r="K780" s="458" t="str">
        <f t="shared" si="416"/>
        <v/>
      </c>
      <c r="L780" s="458">
        <f t="shared" si="417"/>
        <v>0</v>
      </c>
      <c r="M780" s="458">
        <f t="shared" si="418"/>
        <v>0</v>
      </c>
      <c r="N780" s="459" t="str">
        <f t="shared" si="429"/>
        <v/>
      </c>
      <c r="O780" s="459" t="str">
        <f t="shared" si="430"/>
        <v/>
      </c>
      <c r="P780" s="459" t="str">
        <f t="shared" si="431"/>
        <v/>
      </c>
      <c r="Q780" s="459" t="str">
        <f t="shared" si="432"/>
        <v/>
      </c>
      <c r="R780" s="459" t="str">
        <f t="shared" si="433"/>
        <v/>
      </c>
      <c r="S780" s="459" t="str">
        <f t="shared" si="434"/>
        <v/>
      </c>
      <c r="T780" s="566" t="str">
        <f t="shared" si="419"/>
        <v/>
      </c>
      <c r="U780" s="702"/>
      <c r="V780" s="132"/>
      <c r="W780" s="133"/>
      <c r="X780" s="134"/>
      <c r="Y780" s="135"/>
      <c r="Z780" s="137"/>
      <c r="AA780" s="136"/>
      <c r="AB780" s="566" t="str">
        <f t="shared" si="420"/>
        <v/>
      </c>
      <c r="AC780" s="568" t="str">
        <f t="shared" si="421"/>
        <v/>
      </c>
      <c r="AD780" s="137"/>
      <c r="AE780" s="137"/>
      <c r="AF780" s="138"/>
      <c r="AG780" s="138"/>
      <c r="AH780" s="592" t="str">
        <f t="shared" si="422"/>
        <v/>
      </c>
      <c r="AI780" s="592" t="str">
        <f t="shared" si="423"/>
        <v/>
      </c>
      <c r="AJ780" s="592" t="str">
        <f t="shared" si="424"/>
        <v/>
      </c>
      <c r="AK780" s="460" t="str">
        <f>IF(AU780="","",IF(OR(AZ780=8,AZ780=9),0,IF(OR(AW780=3,AW780=4,AW780=5,AW780=6),IF(LEFT(BF780,1)="1",INDEX(係数_NOX・PM低減,MATCH(AY780,【参考】排出係数!$AI$801:$AI$804,1),1),VLOOKUP(AU780,INDEX((係数_バス貨物_ガソリン,係数_バス貨物_CNG,係数_バス貨物_軽油,係数_バス貨物_メタノール,係数_バス貨物_LPG),MATCH(AY780,【参考】排出係数!$AI$4:$AI$671,1),1,BE780):INDEX((係数_バス貨物_ガソリン,係数_バス貨物_CNG,係数_バス貨物_軽油,係数_バス貨物_メタノール,係数_バス貨物_LPG),MATCH(AY780+1,【参考】排出係数!$AI$4:$AI$671,1)-1,5,BE780),4,FALSE)),IF(AND(BE780=3,LEFT(BF780,1)="1"),0.48,VLOOKUP(AU780,INDEX((係数_乗用_ガソリン,係数_乗用_CNG,係数_乗用_軽油,係数_乗用_メタノール,係数_乗用_LPG),1,1,BE780):INDEX((係数_乗用_ガソリン,係数_乗用_CNG,係数_乗用_軽油,係数_乗用_メタノール,係数_乗用_LPG),125,5,BE780),4,FALSE)))))</f>
        <v/>
      </c>
      <c r="AL780" s="461" t="str">
        <f t="shared" si="425"/>
        <v/>
      </c>
      <c r="AM780" s="460" t="str">
        <f>IF(AU780="","",IF(OR(AZ780=8,AZ780=9),0,IF(OR(AW780=3,AW780=4,AW780=5,AW780=6),IF(LEFT(BH780,1)="1",INDEX(係数_PM低減,MATCH(AY780,【参考】排出係数!$AI$801:$AI$804,1),MATCH(BI780,【参考】排出係数!$AL$798:$AO$798,1)),VLOOKUP(AU780,INDEX((係数_バス貨物_ガソリン,係数_バス貨物_CNG,係数_バス貨物_軽油,係数_バス貨物_メタノール,係数_バス貨物_LPG),MATCH(AY780,【参考】排出係数!$AI$4:$AI$671,1),1,BE780):INDEX((係数_バス貨物_ガソリン,係数_バス貨物_CNG,係数_バス貨物_軽油,係数_バス貨物_メタノール,係数_バス貨物_LPG),MATCH(AY780+1,【参考】排出係数!$AI$4:$AI$671,1)-1,5,BE780),5,FALSE)),IF(AND(BE780=3,LEFT(BF780,1)="1"),0.055,VLOOKUP(AU780,INDEX((係数_乗用_ガソリン,係数_乗用_CNG,係数_乗用_軽油,係数_乗用_メタノール,係数_乗用_LPG),1,1,BE780):INDEX((係数_乗用_ガソリン,係数_乗用_CNG,係数_乗用_軽油,係数_乗用_メタノール,係数_乗用_LPG),125,5,BE780),5,FALSE)))))</f>
        <v/>
      </c>
      <c r="AN780" s="461" t="str">
        <f t="shared" si="426"/>
        <v/>
      </c>
      <c r="AO780" s="462" t="str">
        <f t="shared" si="427"/>
        <v/>
      </c>
      <c r="AP780" s="463" t="str">
        <f t="shared" si="428"/>
        <v/>
      </c>
      <c r="AQ780" s="464"/>
      <c r="AR780" s="619"/>
      <c r="AS780" s="465" t="str">
        <f t="shared" si="436"/>
        <v/>
      </c>
      <c r="AT780" s="465" t="str">
        <f t="shared" si="437"/>
        <v/>
      </c>
      <c r="AU780" s="466" t="str">
        <f t="shared" si="438"/>
        <v/>
      </c>
      <c r="AV780" s="467" t="str">
        <f t="shared" si="439"/>
        <v/>
      </c>
      <c r="AW780" s="467" t="str">
        <f t="shared" si="440"/>
        <v/>
      </c>
      <c r="AX780" s="467" t="str">
        <f t="shared" si="441"/>
        <v/>
      </c>
      <c r="AY780" s="467" t="str">
        <f t="shared" si="442"/>
        <v/>
      </c>
      <c r="AZ780" s="467" t="str">
        <f t="shared" si="443"/>
        <v/>
      </c>
      <c r="BA780" s="468" t="str">
        <f>IF(AS780="","",IF(OR(AU780="",AU780="-"),"－",IF(OR(AZ780=8,AZ780=9),"",IF(OR(AW780=3,AW780=4,AW780=5,AW780=6),VLOOKUP(AU780,INDEX((係数_バス貨物_ガソリン,係数_バス貨物_CNG,係数_バス貨物_軽油,係数_バス貨物_メタノール,係数_バス貨物_LPG),MATCH(AY780,【参考】排出係数!$AI$4:$AI$671,1),1,BE780):INDEX((係数_バス貨物_ガソリン,係数_バス貨物_CNG,係数_バス貨物_軽油,係数_バス貨物_メタノール,係数_バス貨物_LPG),MATCH(AY780+1,【参考】排出係数!$AI$4:$AI$671,1)-1,5,BE780),2,FALSE),IF(OR(AW780=1,AW780=2),VLOOKUP(AU780,INDEX((係数_乗用_ガソリン,係数_乗用_CNG,係数_乗用_軽油,係数_乗用_メタノール,係数_乗用_LPG),1,1,BE780):INDEX((係数_乗用_ガソリン,係数_乗用_CNG,係数_乗用_軽油,係数_乗用_メタノール,係数_乗用_LPG),125,5,BE780),2,FALSE))))))</f>
        <v/>
      </c>
      <c r="BB780" s="468" t="str">
        <f>IF(T780="","",IF(OR(AU780="",AU780="-"),"－",IF(OR(AZ780=8,AZ780=9),"",IF(OR(AW780=3,AW780=4,AW780=5,AW780=6),VLOOKUP(AU780,INDEX((係数_バス貨物_ガソリン,係数_バス貨物_CNG,係数_バス貨物_軽油,係数_バス貨物_メタノール,係数_バス貨物_LPG),MATCH(AY780,【参考】排出係数!$AI$4:$AI$671,1),1,BE780):INDEX((係数_バス貨物_ガソリン,係数_バス貨物_CNG,係数_バス貨物_軽油,係数_バス貨物_メタノール,係数_バス貨物_LPG),MATCH(AY780+1,【参考】排出係数!$AI$4:$AI$671,1)-1,5,BE780),3,FALSE),IF(OR(AW780=1,AW780=2),VLOOKUP(AU780,INDEX((係数_乗用_ガソリン,係数_乗用_CNG,係数_乗用_軽油,係数_乗用_メタノール,係数_乗用_LPG),1,1,BE780):INDEX((係数_乗用_ガソリン,係数_乗用_CNG,係数_乗用_軽油,係数_乗用_メタノール,係数_乗用_LPG),125,5,BE780),3,FALSE))))))</f>
        <v/>
      </c>
      <c r="BC780" s="467" t="str">
        <f t="shared" si="444"/>
        <v/>
      </c>
      <c r="BD780" s="567" t="str">
        <f t="shared" si="445"/>
        <v/>
      </c>
      <c r="BE780" s="467" t="str">
        <f t="shared" si="446"/>
        <v/>
      </c>
      <c r="BF780" s="469" t="str">
        <f t="shared" ca="1" si="447"/>
        <v/>
      </c>
      <c r="BG780" s="469" t="str">
        <f t="shared" ca="1" si="448"/>
        <v/>
      </c>
      <c r="BH780" s="467" t="str">
        <f t="shared" si="449"/>
        <v/>
      </c>
      <c r="BI780" s="467" t="str">
        <f t="shared" ca="1" si="450"/>
        <v/>
      </c>
      <c r="BJ780" s="469" t="str">
        <f t="shared" si="451"/>
        <v/>
      </c>
      <c r="BK780" s="470" t="str">
        <f t="shared" si="435"/>
        <v/>
      </c>
      <c r="BL780" s="775" t="str">
        <f t="shared" si="452"/>
        <v/>
      </c>
      <c r="BM780" s="775" t="str">
        <f t="shared" si="453"/>
        <v/>
      </c>
    </row>
    <row r="781" spans="1:65">
      <c r="A781" s="473">
        <v>725</v>
      </c>
      <c r="B781" s="132"/>
      <c r="C781" s="332"/>
      <c r="D781" s="333"/>
      <c r="E781" s="333"/>
      <c r="F781" s="334"/>
      <c r="G781" s="337"/>
      <c r="H781" s="131"/>
      <c r="I781" s="337"/>
      <c r="J781" s="131"/>
      <c r="K781" s="458" t="str">
        <f t="shared" si="416"/>
        <v/>
      </c>
      <c r="L781" s="458">
        <f t="shared" si="417"/>
        <v>0</v>
      </c>
      <c r="M781" s="458">
        <f t="shared" si="418"/>
        <v>0</v>
      </c>
      <c r="N781" s="459" t="str">
        <f t="shared" si="429"/>
        <v/>
      </c>
      <c r="O781" s="459" t="str">
        <f t="shared" si="430"/>
        <v/>
      </c>
      <c r="P781" s="459" t="str">
        <f t="shared" si="431"/>
        <v/>
      </c>
      <c r="Q781" s="459" t="str">
        <f t="shared" si="432"/>
        <v/>
      </c>
      <c r="R781" s="459" t="str">
        <f t="shared" si="433"/>
        <v/>
      </c>
      <c r="S781" s="459" t="str">
        <f t="shared" si="434"/>
        <v/>
      </c>
      <c r="T781" s="566" t="str">
        <f t="shared" si="419"/>
        <v/>
      </c>
      <c r="U781" s="702"/>
      <c r="V781" s="132"/>
      <c r="W781" s="133"/>
      <c r="X781" s="134"/>
      <c r="Y781" s="135"/>
      <c r="Z781" s="137"/>
      <c r="AA781" s="136"/>
      <c r="AB781" s="566" t="str">
        <f t="shared" si="420"/>
        <v/>
      </c>
      <c r="AC781" s="568" t="str">
        <f t="shared" si="421"/>
        <v/>
      </c>
      <c r="AD781" s="137"/>
      <c r="AE781" s="137"/>
      <c r="AF781" s="138"/>
      <c r="AG781" s="138"/>
      <c r="AH781" s="592" t="str">
        <f t="shared" si="422"/>
        <v/>
      </c>
      <c r="AI781" s="592" t="str">
        <f t="shared" si="423"/>
        <v/>
      </c>
      <c r="AJ781" s="592" t="str">
        <f t="shared" si="424"/>
        <v/>
      </c>
      <c r="AK781" s="460" t="str">
        <f>IF(AU781="","",IF(OR(AZ781=8,AZ781=9),0,IF(OR(AW781=3,AW781=4,AW781=5,AW781=6),IF(LEFT(BF781,1)="1",INDEX(係数_NOX・PM低減,MATCH(AY781,【参考】排出係数!$AI$801:$AI$804,1),1),VLOOKUP(AU781,INDEX((係数_バス貨物_ガソリン,係数_バス貨物_CNG,係数_バス貨物_軽油,係数_バス貨物_メタノール,係数_バス貨物_LPG),MATCH(AY781,【参考】排出係数!$AI$4:$AI$671,1),1,BE781):INDEX((係数_バス貨物_ガソリン,係数_バス貨物_CNG,係数_バス貨物_軽油,係数_バス貨物_メタノール,係数_バス貨物_LPG),MATCH(AY781+1,【参考】排出係数!$AI$4:$AI$671,1)-1,5,BE781),4,FALSE)),IF(AND(BE781=3,LEFT(BF781,1)="1"),0.48,VLOOKUP(AU781,INDEX((係数_乗用_ガソリン,係数_乗用_CNG,係数_乗用_軽油,係数_乗用_メタノール,係数_乗用_LPG),1,1,BE781):INDEX((係数_乗用_ガソリン,係数_乗用_CNG,係数_乗用_軽油,係数_乗用_メタノール,係数_乗用_LPG),125,5,BE781),4,FALSE)))))</f>
        <v/>
      </c>
      <c r="AL781" s="461" t="str">
        <f t="shared" si="425"/>
        <v/>
      </c>
      <c r="AM781" s="460" t="str">
        <f>IF(AU781="","",IF(OR(AZ781=8,AZ781=9),0,IF(OR(AW781=3,AW781=4,AW781=5,AW781=6),IF(LEFT(BH781,1)="1",INDEX(係数_PM低減,MATCH(AY781,【参考】排出係数!$AI$801:$AI$804,1),MATCH(BI781,【参考】排出係数!$AL$798:$AO$798,1)),VLOOKUP(AU781,INDEX((係数_バス貨物_ガソリン,係数_バス貨物_CNG,係数_バス貨物_軽油,係数_バス貨物_メタノール,係数_バス貨物_LPG),MATCH(AY781,【参考】排出係数!$AI$4:$AI$671,1),1,BE781):INDEX((係数_バス貨物_ガソリン,係数_バス貨物_CNG,係数_バス貨物_軽油,係数_バス貨物_メタノール,係数_バス貨物_LPG),MATCH(AY781+1,【参考】排出係数!$AI$4:$AI$671,1)-1,5,BE781),5,FALSE)),IF(AND(BE781=3,LEFT(BF781,1)="1"),0.055,VLOOKUP(AU781,INDEX((係数_乗用_ガソリン,係数_乗用_CNG,係数_乗用_軽油,係数_乗用_メタノール,係数_乗用_LPG),1,1,BE781):INDEX((係数_乗用_ガソリン,係数_乗用_CNG,係数_乗用_軽油,係数_乗用_メタノール,係数_乗用_LPG),125,5,BE781),5,FALSE)))))</f>
        <v/>
      </c>
      <c r="AN781" s="461" t="str">
        <f t="shared" si="426"/>
        <v/>
      </c>
      <c r="AO781" s="462" t="str">
        <f t="shared" si="427"/>
        <v/>
      </c>
      <c r="AP781" s="463" t="str">
        <f t="shared" si="428"/>
        <v/>
      </c>
      <c r="AQ781" s="464"/>
      <c r="AR781" s="619"/>
      <c r="AS781" s="465" t="str">
        <f t="shared" si="436"/>
        <v/>
      </c>
      <c r="AT781" s="465" t="str">
        <f t="shared" si="437"/>
        <v/>
      </c>
      <c r="AU781" s="466" t="str">
        <f t="shared" si="438"/>
        <v/>
      </c>
      <c r="AV781" s="467" t="str">
        <f t="shared" si="439"/>
        <v/>
      </c>
      <c r="AW781" s="467" t="str">
        <f t="shared" si="440"/>
        <v/>
      </c>
      <c r="AX781" s="467" t="str">
        <f t="shared" si="441"/>
        <v/>
      </c>
      <c r="AY781" s="467" t="str">
        <f t="shared" si="442"/>
        <v/>
      </c>
      <c r="AZ781" s="467" t="str">
        <f t="shared" si="443"/>
        <v/>
      </c>
      <c r="BA781" s="468" t="str">
        <f>IF(AS781="","",IF(OR(AU781="",AU781="-"),"－",IF(OR(AZ781=8,AZ781=9),"",IF(OR(AW781=3,AW781=4,AW781=5,AW781=6),VLOOKUP(AU781,INDEX((係数_バス貨物_ガソリン,係数_バス貨物_CNG,係数_バス貨物_軽油,係数_バス貨物_メタノール,係数_バス貨物_LPG),MATCH(AY781,【参考】排出係数!$AI$4:$AI$671,1),1,BE781):INDEX((係数_バス貨物_ガソリン,係数_バス貨物_CNG,係数_バス貨物_軽油,係数_バス貨物_メタノール,係数_バス貨物_LPG),MATCH(AY781+1,【参考】排出係数!$AI$4:$AI$671,1)-1,5,BE781),2,FALSE),IF(OR(AW781=1,AW781=2),VLOOKUP(AU781,INDEX((係数_乗用_ガソリン,係数_乗用_CNG,係数_乗用_軽油,係数_乗用_メタノール,係数_乗用_LPG),1,1,BE781):INDEX((係数_乗用_ガソリン,係数_乗用_CNG,係数_乗用_軽油,係数_乗用_メタノール,係数_乗用_LPG),125,5,BE781),2,FALSE))))))</f>
        <v/>
      </c>
      <c r="BB781" s="468" t="str">
        <f>IF(T781="","",IF(OR(AU781="",AU781="-"),"－",IF(OR(AZ781=8,AZ781=9),"",IF(OR(AW781=3,AW781=4,AW781=5,AW781=6),VLOOKUP(AU781,INDEX((係数_バス貨物_ガソリン,係数_バス貨物_CNG,係数_バス貨物_軽油,係数_バス貨物_メタノール,係数_バス貨物_LPG),MATCH(AY781,【参考】排出係数!$AI$4:$AI$671,1),1,BE781):INDEX((係数_バス貨物_ガソリン,係数_バス貨物_CNG,係数_バス貨物_軽油,係数_バス貨物_メタノール,係数_バス貨物_LPG),MATCH(AY781+1,【参考】排出係数!$AI$4:$AI$671,1)-1,5,BE781),3,FALSE),IF(OR(AW781=1,AW781=2),VLOOKUP(AU781,INDEX((係数_乗用_ガソリン,係数_乗用_CNG,係数_乗用_軽油,係数_乗用_メタノール,係数_乗用_LPG),1,1,BE781):INDEX((係数_乗用_ガソリン,係数_乗用_CNG,係数_乗用_軽油,係数_乗用_メタノール,係数_乗用_LPG),125,5,BE781),3,FALSE))))))</f>
        <v/>
      </c>
      <c r="BC781" s="467" t="str">
        <f t="shared" si="444"/>
        <v/>
      </c>
      <c r="BD781" s="567" t="str">
        <f t="shared" si="445"/>
        <v/>
      </c>
      <c r="BE781" s="467" t="str">
        <f t="shared" si="446"/>
        <v/>
      </c>
      <c r="BF781" s="469" t="str">
        <f t="shared" ca="1" si="447"/>
        <v/>
      </c>
      <c r="BG781" s="469" t="str">
        <f t="shared" ca="1" si="448"/>
        <v/>
      </c>
      <c r="BH781" s="467" t="str">
        <f t="shared" si="449"/>
        <v/>
      </c>
      <c r="BI781" s="467" t="str">
        <f t="shared" ca="1" si="450"/>
        <v/>
      </c>
      <c r="BJ781" s="469" t="str">
        <f t="shared" si="451"/>
        <v/>
      </c>
      <c r="BK781" s="470" t="str">
        <f t="shared" si="435"/>
        <v/>
      </c>
      <c r="BL781" s="775" t="str">
        <f t="shared" si="452"/>
        <v/>
      </c>
      <c r="BM781" s="775" t="str">
        <f t="shared" si="453"/>
        <v/>
      </c>
    </row>
    <row r="782" spans="1:65">
      <c r="A782" s="473">
        <v>726</v>
      </c>
      <c r="B782" s="132"/>
      <c r="C782" s="332"/>
      <c r="D782" s="333"/>
      <c r="E782" s="333"/>
      <c r="F782" s="334"/>
      <c r="G782" s="337"/>
      <c r="H782" s="131"/>
      <c r="I782" s="337"/>
      <c r="J782" s="131"/>
      <c r="K782" s="458" t="str">
        <f t="shared" si="416"/>
        <v/>
      </c>
      <c r="L782" s="458">
        <f t="shared" si="417"/>
        <v>0</v>
      </c>
      <c r="M782" s="458">
        <f t="shared" si="418"/>
        <v>0</v>
      </c>
      <c r="N782" s="459" t="str">
        <f t="shared" si="429"/>
        <v/>
      </c>
      <c r="O782" s="459" t="str">
        <f t="shared" si="430"/>
        <v/>
      </c>
      <c r="P782" s="459" t="str">
        <f t="shared" si="431"/>
        <v/>
      </c>
      <c r="Q782" s="459" t="str">
        <f t="shared" si="432"/>
        <v/>
      </c>
      <c r="R782" s="459" t="str">
        <f t="shared" si="433"/>
        <v/>
      </c>
      <c r="S782" s="459" t="str">
        <f t="shared" si="434"/>
        <v/>
      </c>
      <c r="T782" s="566" t="str">
        <f t="shared" si="419"/>
        <v/>
      </c>
      <c r="U782" s="702"/>
      <c r="V782" s="132"/>
      <c r="W782" s="133"/>
      <c r="X782" s="134"/>
      <c r="Y782" s="135"/>
      <c r="Z782" s="137"/>
      <c r="AA782" s="136"/>
      <c r="AB782" s="566" t="str">
        <f t="shared" si="420"/>
        <v/>
      </c>
      <c r="AC782" s="568" t="str">
        <f t="shared" si="421"/>
        <v/>
      </c>
      <c r="AD782" s="137"/>
      <c r="AE782" s="137"/>
      <c r="AF782" s="138"/>
      <c r="AG782" s="138"/>
      <c r="AH782" s="592" t="str">
        <f t="shared" si="422"/>
        <v/>
      </c>
      <c r="AI782" s="592" t="str">
        <f t="shared" si="423"/>
        <v/>
      </c>
      <c r="AJ782" s="592" t="str">
        <f t="shared" si="424"/>
        <v/>
      </c>
      <c r="AK782" s="460" t="str">
        <f>IF(AU782="","",IF(OR(AZ782=8,AZ782=9),0,IF(OR(AW782=3,AW782=4,AW782=5,AW782=6),IF(LEFT(BF782,1)="1",INDEX(係数_NOX・PM低減,MATCH(AY782,【参考】排出係数!$AI$801:$AI$804,1),1),VLOOKUP(AU782,INDEX((係数_バス貨物_ガソリン,係数_バス貨物_CNG,係数_バス貨物_軽油,係数_バス貨物_メタノール,係数_バス貨物_LPG),MATCH(AY782,【参考】排出係数!$AI$4:$AI$671,1),1,BE782):INDEX((係数_バス貨物_ガソリン,係数_バス貨物_CNG,係数_バス貨物_軽油,係数_バス貨物_メタノール,係数_バス貨物_LPG),MATCH(AY782+1,【参考】排出係数!$AI$4:$AI$671,1)-1,5,BE782),4,FALSE)),IF(AND(BE782=3,LEFT(BF782,1)="1"),0.48,VLOOKUP(AU782,INDEX((係数_乗用_ガソリン,係数_乗用_CNG,係数_乗用_軽油,係数_乗用_メタノール,係数_乗用_LPG),1,1,BE782):INDEX((係数_乗用_ガソリン,係数_乗用_CNG,係数_乗用_軽油,係数_乗用_メタノール,係数_乗用_LPG),125,5,BE782),4,FALSE)))))</f>
        <v/>
      </c>
      <c r="AL782" s="461" t="str">
        <f t="shared" si="425"/>
        <v/>
      </c>
      <c r="AM782" s="460" t="str">
        <f>IF(AU782="","",IF(OR(AZ782=8,AZ782=9),0,IF(OR(AW782=3,AW782=4,AW782=5,AW782=6),IF(LEFT(BH782,1)="1",INDEX(係数_PM低減,MATCH(AY782,【参考】排出係数!$AI$801:$AI$804,1),MATCH(BI782,【参考】排出係数!$AL$798:$AO$798,1)),VLOOKUP(AU782,INDEX((係数_バス貨物_ガソリン,係数_バス貨物_CNG,係数_バス貨物_軽油,係数_バス貨物_メタノール,係数_バス貨物_LPG),MATCH(AY782,【参考】排出係数!$AI$4:$AI$671,1),1,BE782):INDEX((係数_バス貨物_ガソリン,係数_バス貨物_CNG,係数_バス貨物_軽油,係数_バス貨物_メタノール,係数_バス貨物_LPG),MATCH(AY782+1,【参考】排出係数!$AI$4:$AI$671,1)-1,5,BE782),5,FALSE)),IF(AND(BE782=3,LEFT(BF782,1)="1"),0.055,VLOOKUP(AU782,INDEX((係数_乗用_ガソリン,係数_乗用_CNG,係数_乗用_軽油,係数_乗用_メタノール,係数_乗用_LPG),1,1,BE782):INDEX((係数_乗用_ガソリン,係数_乗用_CNG,係数_乗用_軽油,係数_乗用_メタノール,係数_乗用_LPG),125,5,BE782),5,FALSE)))))</f>
        <v/>
      </c>
      <c r="AN782" s="461" t="str">
        <f t="shared" si="426"/>
        <v/>
      </c>
      <c r="AO782" s="462" t="str">
        <f t="shared" si="427"/>
        <v/>
      </c>
      <c r="AP782" s="463" t="str">
        <f t="shared" si="428"/>
        <v/>
      </c>
      <c r="AQ782" s="464"/>
      <c r="AR782" s="619"/>
      <c r="AS782" s="465" t="str">
        <f t="shared" si="436"/>
        <v/>
      </c>
      <c r="AT782" s="465" t="str">
        <f t="shared" si="437"/>
        <v/>
      </c>
      <c r="AU782" s="466" t="str">
        <f t="shared" si="438"/>
        <v/>
      </c>
      <c r="AV782" s="467" t="str">
        <f t="shared" si="439"/>
        <v/>
      </c>
      <c r="AW782" s="467" t="str">
        <f t="shared" si="440"/>
        <v/>
      </c>
      <c r="AX782" s="467" t="str">
        <f t="shared" si="441"/>
        <v/>
      </c>
      <c r="AY782" s="467" t="str">
        <f t="shared" si="442"/>
        <v/>
      </c>
      <c r="AZ782" s="467" t="str">
        <f t="shared" si="443"/>
        <v/>
      </c>
      <c r="BA782" s="468" t="str">
        <f>IF(AS782="","",IF(OR(AU782="",AU782="-"),"－",IF(OR(AZ782=8,AZ782=9),"",IF(OR(AW782=3,AW782=4,AW782=5,AW782=6),VLOOKUP(AU782,INDEX((係数_バス貨物_ガソリン,係数_バス貨物_CNG,係数_バス貨物_軽油,係数_バス貨物_メタノール,係数_バス貨物_LPG),MATCH(AY782,【参考】排出係数!$AI$4:$AI$671,1),1,BE782):INDEX((係数_バス貨物_ガソリン,係数_バス貨物_CNG,係数_バス貨物_軽油,係数_バス貨物_メタノール,係数_バス貨物_LPG),MATCH(AY782+1,【参考】排出係数!$AI$4:$AI$671,1)-1,5,BE782),2,FALSE),IF(OR(AW782=1,AW782=2),VLOOKUP(AU782,INDEX((係数_乗用_ガソリン,係数_乗用_CNG,係数_乗用_軽油,係数_乗用_メタノール,係数_乗用_LPG),1,1,BE782):INDEX((係数_乗用_ガソリン,係数_乗用_CNG,係数_乗用_軽油,係数_乗用_メタノール,係数_乗用_LPG),125,5,BE782),2,FALSE))))))</f>
        <v/>
      </c>
      <c r="BB782" s="468" t="str">
        <f>IF(T782="","",IF(OR(AU782="",AU782="-"),"－",IF(OR(AZ782=8,AZ782=9),"",IF(OR(AW782=3,AW782=4,AW782=5,AW782=6),VLOOKUP(AU782,INDEX((係数_バス貨物_ガソリン,係数_バス貨物_CNG,係数_バス貨物_軽油,係数_バス貨物_メタノール,係数_バス貨物_LPG),MATCH(AY782,【参考】排出係数!$AI$4:$AI$671,1),1,BE782):INDEX((係数_バス貨物_ガソリン,係数_バス貨物_CNG,係数_バス貨物_軽油,係数_バス貨物_メタノール,係数_バス貨物_LPG),MATCH(AY782+1,【参考】排出係数!$AI$4:$AI$671,1)-1,5,BE782),3,FALSE),IF(OR(AW782=1,AW782=2),VLOOKUP(AU782,INDEX((係数_乗用_ガソリン,係数_乗用_CNG,係数_乗用_軽油,係数_乗用_メタノール,係数_乗用_LPG),1,1,BE782):INDEX((係数_乗用_ガソリン,係数_乗用_CNG,係数_乗用_軽油,係数_乗用_メタノール,係数_乗用_LPG),125,5,BE782),3,FALSE))))))</f>
        <v/>
      </c>
      <c r="BC782" s="467" t="str">
        <f t="shared" si="444"/>
        <v/>
      </c>
      <c r="BD782" s="567" t="str">
        <f t="shared" si="445"/>
        <v/>
      </c>
      <c r="BE782" s="467" t="str">
        <f t="shared" si="446"/>
        <v/>
      </c>
      <c r="BF782" s="469" t="str">
        <f t="shared" ca="1" si="447"/>
        <v/>
      </c>
      <c r="BG782" s="469" t="str">
        <f t="shared" ca="1" si="448"/>
        <v/>
      </c>
      <c r="BH782" s="467" t="str">
        <f t="shared" si="449"/>
        <v/>
      </c>
      <c r="BI782" s="467" t="str">
        <f t="shared" ca="1" si="450"/>
        <v/>
      </c>
      <c r="BJ782" s="469" t="str">
        <f t="shared" si="451"/>
        <v/>
      </c>
      <c r="BK782" s="470" t="str">
        <f t="shared" si="435"/>
        <v/>
      </c>
      <c r="BL782" s="775" t="str">
        <f t="shared" si="452"/>
        <v/>
      </c>
      <c r="BM782" s="775" t="str">
        <f t="shared" si="453"/>
        <v/>
      </c>
    </row>
    <row r="783" spans="1:65">
      <c r="A783" s="473">
        <v>727</v>
      </c>
      <c r="B783" s="132"/>
      <c r="C783" s="332"/>
      <c r="D783" s="333"/>
      <c r="E783" s="333"/>
      <c r="F783" s="334"/>
      <c r="G783" s="337"/>
      <c r="H783" s="131"/>
      <c r="I783" s="337"/>
      <c r="J783" s="131"/>
      <c r="K783" s="458" t="str">
        <f t="shared" si="416"/>
        <v/>
      </c>
      <c r="L783" s="458">
        <f t="shared" si="417"/>
        <v>0</v>
      </c>
      <c r="M783" s="458">
        <f t="shared" si="418"/>
        <v>0</v>
      </c>
      <c r="N783" s="459" t="str">
        <f t="shared" si="429"/>
        <v/>
      </c>
      <c r="O783" s="459" t="str">
        <f t="shared" si="430"/>
        <v/>
      </c>
      <c r="P783" s="459" t="str">
        <f t="shared" si="431"/>
        <v/>
      </c>
      <c r="Q783" s="459" t="str">
        <f t="shared" si="432"/>
        <v/>
      </c>
      <c r="R783" s="459" t="str">
        <f t="shared" si="433"/>
        <v/>
      </c>
      <c r="S783" s="459" t="str">
        <f t="shared" si="434"/>
        <v/>
      </c>
      <c r="T783" s="566" t="str">
        <f t="shared" si="419"/>
        <v/>
      </c>
      <c r="U783" s="702"/>
      <c r="V783" s="132"/>
      <c r="W783" s="133"/>
      <c r="X783" s="134"/>
      <c r="Y783" s="135"/>
      <c r="Z783" s="137"/>
      <c r="AA783" s="136"/>
      <c r="AB783" s="566" t="str">
        <f t="shared" si="420"/>
        <v/>
      </c>
      <c r="AC783" s="568" t="str">
        <f t="shared" si="421"/>
        <v/>
      </c>
      <c r="AD783" s="137"/>
      <c r="AE783" s="137"/>
      <c r="AF783" s="138"/>
      <c r="AG783" s="138"/>
      <c r="AH783" s="592" t="str">
        <f t="shared" si="422"/>
        <v/>
      </c>
      <c r="AI783" s="592" t="str">
        <f t="shared" si="423"/>
        <v/>
      </c>
      <c r="AJ783" s="592" t="str">
        <f t="shared" si="424"/>
        <v/>
      </c>
      <c r="AK783" s="460" t="str">
        <f>IF(AU783="","",IF(OR(AZ783=8,AZ783=9),0,IF(OR(AW783=3,AW783=4,AW783=5,AW783=6),IF(LEFT(BF783,1)="1",INDEX(係数_NOX・PM低減,MATCH(AY783,【参考】排出係数!$AI$801:$AI$804,1),1),VLOOKUP(AU783,INDEX((係数_バス貨物_ガソリン,係数_バス貨物_CNG,係数_バス貨物_軽油,係数_バス貨物_メタノール,係数_バス貨物_LPG),MATCH(AY783,【参考】排出係数!$AI$4:$AI$671,1),1,BE783):INDEX((係数_バス貨物_ガソリン,係数_バス貨物_CNG,係数_バス貨物_軽油,係数_バス貨物_メタノール,係数_バス貨物_LPG),MATCH(AY783+1,【参考】排出係数!$AI$4:$AI$671,1)-1,5,BE783),4,FALSE)),IF(AND(BE783=3,LEFT(BF783,1)="1"),0.48,VLOOKUP(AU783,INDEX((係数_乗用_ガソリン,係数_乗用_CNG,係数_乗用_軽油,係数_乗用_メタノール,係数_乗用_LPG),1,1,BE783):INDEX((係数_乗用_ガソリン,係数_乗用_CNG,係数_乗用_軽油,係数_乗用_メタノール,係数_乗用_LPG),125,5,BE783),4,FALSE)))))</f>
        <v/>
      </c>
      <c r="AL783" s="461" t="str">
        <f t="shared" si="425"/>
        <v/>
      </c>
      <c r="AM783" s="460" t="str">
        <f>IF(AU783="","",IF(OR(AZ783=8,AZ783=9),0,IF(OR(AW783=3,AW783=4,AW783=5,AW783=6),IF(LEFT(BH783,1)="1",INDEX(係数_PM低減,MATCH(AY783,【参考】排出係数!$AI$801:$AI$804,1),MATCH(BI783,【参考】排出係数!$AL$798:$AO$798,1)),VLOOKUP(AU783,INDEX((係数_バス貨物_ガソリン,係数_バス貨物_CNG,係数_バス貨物_軽油,係数_バス貨物_メタノール,係数_バス貨物_LPG),MATCH(AY783,【参考】排出係数!$AI$4:$AI$671,1),1,BE783):INDEX((係数_バス貨物_ガソリン,係数_バス貨物_CNG,係数_バス貨物_軽油,係数_バス貨物_メタノール,係数_バス貨物_LPG),MATCH(AY783+1,【参考】排出係数!$AI$4:$AI$671,1)-1,5,BE783),5,FALSE)),IF(AND(BE783=3,LEFT(BF783,1)="1"),0.055,VLOOKUP(AU783,INDEX((係数_乗用_ガソリン,係数_乗用_CNG,係数_乗用_軽油,係数_乗用_メタノール,係数_乗用_LPG),1,1,BE783):INDEX((係数_乗用_ガソリン,係数_乗用_CNG,係数_乗用_軽油,係数_乗用_メタノール,係数_乗用_LPG),125,5,BE783),5,FALSE)))))</f>
        <v/>
      </c>
      <c r="AN783" s="461" t="str">
        <f t="shared" si="426"/>
        <v/>
      </c>
      <c r="AO783" s="462" t="str">
        <f t="shared" si="427"/>
        <v/>
      </c>
      <c r="AP783" s="463" t="str">
        <f t="shared" si="428"/>
        <v/>
      </c>
      <c r="AQ783" s="464"/>
      <c r="AR783" s="619"/>
      <c r="AS783" s="465" t="str">
        <f t="shared" si="436"/>
        <v/>
      </c>
      <c r="AT783" s="465" t="str">
        <f t="shared" si="437"/>
        <v/>
      </c>
      <c r="AU783" s="466" t="str">
        <f t="shared" si="438"/>
        <v/>
      </c>
      <c r="AV783" s="467" t="str">
        <f t="shared" si="439"/>
        <v/>
      </c>
      <c r="AW783" s="467" t="str">
        <f t="shared" si="440"/>
        <v/>
      </c>
      <c r="AX783" s="467" t="str">
        <f t="shared" si="441"/>
        <v/>
      </c>
      <c r="AY783" s="467" t="str">
        <f t="shared" si="442"/>
        <v/>
      </c>
      <c r="AZ783" s="467" t="str">
        <f t="shared" si="443"/>
        <v/>
      </c>
      <c r="BA783" s="468" t="str">
        <f>IF(AS783="","",IF(OR(AU783="",AU783="-"),"－",IF(OR(AZ783=8,AZ783=9),"",IF(OR(AW783=3,AW783=4,AW783=5,AW783=6),VLOOKUP(AU783,INDEX((係数_バス貨物_ガソリン,係数_バス貨物_CNG,係数_バス貨物_軽油,係数_バス貨物_メタノール,係数_バス貨物_LPG),MATCH(AY783,【参考】排出係数!$AI$4:$AI$671,1),1,BE783):INDEX((係数_バス貨物_ガソリン,係数_バス貨物_CNG,係数_バス貨物_軽油,係数_バス貨物_メタノール,係数_バス貨物_LPG),MATCH(AY783+1,【参考】排出係数!$AI$4:$AI$671,1)-1,5,BE783),2,FALSE),IF(OR(AW783=1,AW783=2),VLOOKUP(AU783,INDEX((係数_乗用_ガソリン,係数_乗用_CNG,係数_乗用_軽油,係数_乗用_メタノール,係数_乗用_LPG),1,1,BE783):INDEX((係数_乗用_ガソリン,係数_乗用_CNG,係数_乗用_軽油,係数_乗用_メタノール,係数_乗用_LPG),125,5,BE783),2,FALSE))))))</f>
        <v/>
      </c>
      <c r="BB783" s="468" t="str">
        <f>IF(T783="","",IF(OR(AU783="",AU783="-"),"－",IF(OR(AZ783=8,AZ783=9),"",IF(OR(AW783=3,AW783=4,AW783=5,AW783=6),VLOOKUP(AU783,INDEX((係数_バス貨物_ガソリン,係数_バス貨物_CNG,係数_バス貨物_軽油,係数_バス貨物_メタノール,係数_バス貨物_LPG),MATCH(AY783,【参考】排出係数!$AI$4:$AI$671,1),1,BE783):INDEX((係数_バス貨物_ガソリン,係数_バス貨物_CNG,係数_バス貨物_軽油,係数_バス貨物_メタノール,係数_バス貨物_LPG),MATCH(AY783+1,【参考】排出係数!$AI$4:$AI$671,1)-1,5,BE783),3,FALSE),IF(OR(AW783=1,AW783=2),VLOOKUP(AU783,INDEX((係数_乗用_ガソリン,係数_乗用_CNG,係数_乗用_軽油,係数_乗用_メタノール,係数_乗用_LPG),1,1,BE783):INDEX((係数_乗用_ガソリン,係数_乗用_CNG,係数_乗用_軽油,係数_乗用_メタノール,係数_乗用_LPG),125,5,BE783),3,FALSE))))))</f>
        <v/>
      </c>
      <c r="BC783" s="467" t="str">
        <f t="shared" si="444"/>
        <v/>
      </c>
      <c r="BD783" s="567" t="str">
        <f t="shared" si="445"/>
        <v/>
      </c>
      <c r="BE783" s="467" t="str">
        <f t="shared" si="446"/>
        <v/>
      </c>
      <c r="BF783" s="469" t="str">
        <f t="shared" ca="1" si="447"/>
        <v/>
      </c>
      <c r="BG783" s="469" t="str">
        <f t="shared" ca="1" si="448"/>
        <v/>
      </c>
      <c r="BH783" s="467" t="str">
        <f t="shared" si="449"/>
        <v/>
      </c>
      <c r="BI783" s="467" t="str">
        <f t="shared" ca="1" si="450"/>
        <v/>
      </c>
      <c r="BJ783" s="469" t="str">
        <f t="shared" si="451"/>
        <v/>
      </c>
      <c r="BK783" s="470" t="str">
        <f t="shared" si="435"/>
        <v/>
      </c>
      <c r="BL783" s="775" t="str">
        <f t="shared" si="452"/>
        <v/>
      </c>
      <c r="BM783" s="775" t="str">
        <f t="shared" si="453"/>
        <v/>
      </c>
    </row>
    <row r="784" spans="1:65">
      <c r="A784" s="473">
        <v>728</v>
      </c>
      <c r="B784" s="132"/>
      <c r="C784" s="332"/>
      <c r="D784" s="333"/>
      <c r="E784" s="333"/>
      <c r="F784" s="334"/>
      <c r="G784" s="337"/>
      <c r="H784" s="131"/>
      <c r="I784" s="337"/>
      <c r="J784" s="131"/>
      <c r="K784" s="458" t="str">
        <f t="shared" si="416"/>
        <v/>
      </c>
      <c r="L784" s="458">
        <f t="shared" si="417"/>
        <v>0</v>
      </c>
      <c r="M784" s="458">
        <f t="shared" si="418"/>
        <v>0</v>
      </c>
      <c r="N784" s="459" t="str">
        <f t="shared" si="429"/>
        <v/>
      </c>
      <c r="O784" s="459" t="str">
        <f t="shared" si="430"/>
        <v/>
      </c>
      <c r="P784" s="459" t="str">
        <f t="shared" si="431"/>
        <v/>
      </c>
      <c r="Q784" s="459" t="str">
        <f t="shared" si="432"/>
        <v/>
      </c>
      <c r="R784" s="459" t="str">
        <f t="shared" si="433"/>
        <v/>
      </c>
      <c r="S784" s="459" t="str">
        <f t="shared" si="434"/>
        <v/>
      </c>
      <c r="T784" s="566" t="str">
        <f t="shared" si="419"/>
        <v/>
      </c>
      <c r="U784" s="702"/>
      <c r="V784" s="132"/>
      <c r="W784" s="133"/>
      <c r="X784" s="134"/>
      <c r="Y784" s="135"/>
      <c r="Z784" s="137"/>
      <c r="AA784" s="136"/>
      <c r="AB784" s="566" t="str">
        <f t="shared" si="420"/>
        <v/>
      </c>
      <c r="AC784" s="568" t="str">
        <f t="shared" si="421"/>
        <v/>
      </c>
      <c r="AD784" s="137"/>
      <c r="AE784" s="137"/>
      <c r="AF784" s="138"/>
      <c r="AG784" s="138"/>
      <c r="AH784" s="592" t="str">
        <f t="shared" si="422"/>
        <v/>
      </c>
      <c r="AI784" s="592" t="str">
        <f t="shared" si="423"/>
        <v/>
      </c>
      <c r="AJ784" s="592" t="str">
        <f t="shared" si="424"/>
        <v/>
      </c>
      <c r="AK784" s="460" t="str">
        <f>IF(AU784="","",IF(OR(AZ784=8,AZ784=9),0,IF(OR(AW784=3,AW784=4,AW784=5,AW784=6),IF(LEFT(BF784,1)="1",INDEX(係数_NOX・PM低減,MATCH(AY784,【参考】排出係数!$AI$801:$AI$804,1),1),VLOOKUP(AU784,INDEX((係数_バス貨物_ガソリン,係数_バス貨物_CNG,係数_バス貨物_軽油,係数_バス貨物_メタノール,係数_バス貨物_LPG),MATCH(AY784,【参考】排出係数!$AI$4:$AI$671,1),1,BE784):INDEX((係数_バス貨物_ガソリン,係数_バス貨物_CNG,係数_バス貨物_軽油,係数_バス貨物_メタノール,係数_バス貨物_LPG),MATCH(AY784+1,【参考】排出係数!$AI$4:$AI$671,1)-1,5,BE784),4,FALSE)),IF(AND(BE784=3,LEFT(BF784,1)="1"),0.48,VLOOKUP(AU784,INDEX((係数_乗用_ガソリン,係数_乗用_CNG,係数_乗用_軽油,係数_乗用_メタノール,係数_乗用_LPG),1,1,BE784):INDEX((係数_乗用_ガソリン,係数_乗用_CNG,係数_乗用_軽油,係数_乗用_メタノール,係数_乗用_LPG),125,5,BE784),4,FALSE)))))</f>
        <v/>
      </c>
      <c r="AL784" s="461" t="str">
        <f t="shared" si="425"/>
        <v/>
      </c>
      <c r="AM784" s="460" t="str">
        <f>IF(AU784="","",IF(OR(AZ784=8,AZ784=9),0,IF(OR(AW784=3,AW784=4,AW784=5,AW784=6),IF(LEFT(BH784,1)="1",INDEX(係数_PM低減,MATCH(AY784,【参考】排出係数!$AI$801:$AI$804,1),MATCH(BI784,【参考】排出係数!$AL$798:$AO$798,1)),VLOOKUP(AU784,INDEX((係数_バス貨物_ガソリン,係数_バス貨物_CNG,係数_バス貨物_軽油,係数_バス貨物_メタノール,係数_バス貨物_LPG),MATCH(AY784,【参考】排出係数!$AI$4:$AI$671,1),1,BE784):INDEX((係数_バス貨物_ガソリン,係数_バス貨物_CNG,係数_バス貨物_軽油,係数_バス貨物_メタノール,係数_バス貨物_LPG),MATCH(AY784+1,【参考】排出係数!$AI$4:$AI$671,1)-1,5,BE784),5,FALSE)),IF(AND(BE784=3,LEFT(BF784,1)="1"),0.055,VLOOKUP(AU784,INDEX((係数_乗用_ガソリン,係数_乗用_CNG,係数_乗用_軽油,係数_乗用_メタノール,係数_乗用_LPG),1,1,BE784):INDEX((係数_乗用_ガソリン,係数_乗用_CNG,係数_乗用_軽油,係数_乗用_メタノール,係数_乗用_LPG),125,5,BE784),5,FALSE)))))</f>
        <v/>
      </c>
      <c r="AN784" s="461" t="str">
        <f t="shared" si="426"/>
        <v/>
      </c>
      <c r="AO784" s="462" t="str">
        <f t="shared" si="427"/>
        <v/>
      </c>
      <c r="AP784" s="463" t="str">
        <f t="shared" si="428"/>
        <v/>
      </c>
      <c r="AQ784" s="464"/>
      <c r="AR784" s="619"/>
      <c r="AS784" s="465" t="str">
        <f t="shared" si="436"/>
        <v/>
      </c>
      <c r="AT784" s="465" t="str">
        <f t="shared" si="437"/>
        <v/>
      </c>
      <c r="AU784" s="466" t="str">
        <f t="shared" si="438"/>
        <v/>
      </c>
      <c r="AV784" s="467" t="str">
        <f t="shared" si="439"/>
        <v/>
      </c>
      <c r="AW784" s="467" t="str">
        <f t="shared" si="440"/>
        <v/>
      </c>
      <c r="AX784" s="467" t="str">
        <f t="shared" si="441"/>
        <v/>
      </c>
      <c r="AY784" s="467" t="str">
        <f t="shared" si="442"/>
        <v/>
      </c>
      <c r="AZ784" s="467" t="str">
        <f t="shared" si="443"/>
        <v/>
      </c>
      <c r="BA784" s="468" t="str">
        <f>IF(AS784="","",IF(OR(AU784="",AU784="-"),"－",IF(OR(AZ784=8,AZ784=9),"",IF(OR(AW784=3,AW784=4,AW784=5,AW784=6),VLOOKUP(AU784,INDEX((係数_バス貨物_ガソリン,係数_バス貨物_CNG,係数_バス貨物_軽油,係数_バス貨物_メタノール,係数_バス貨物_LPG),MATCH(AY784,【参考】排出係数!$AI$4:$AI$671,1),1,BE784):INDEX((係数_バス貨物_ガソリン,係数_バス貨物_CNG,係数_バス貨物_軽油,係数_バス貨物_メタノール,係数_バス貨物_LPG),MATCH(AY784+1,【参考】排出係数!$AI$4:$AI$671,1)-1,5,BE784),2,FALSE),IF(OR(AW784=1,AW784=2),VLOOKUP(AU784,INDEX((係数_乗用_ガソリン,係数_乗用_CNG,係数_乗用_軽油,係数_乗用_メタノール,係数_乗用_LPG),1,1,BE784):INDEX((係数_乗用_ガソリン,係数_乗用_CNG,係数_乗用_軽油,係数_乗用_メタノール,係数_乗用_LPG),125,5,BE784),2,FALSE))))))</f>
        <v/>
      </c>
      <c r="BB784" s="468" t="str">
        <f>IF(T784="","",IF(OR(AU784="",AU784="-"),"－",IF(OR(AZ784=8,AZ784=9),"",IF(OR(AW784=3,AW784=4,AW784=5,AW784=6),VLOOKUP(AU784,INDEX((係数_バス貨物_ガソリン,係数_バス貨物_CNG,係数_バス貨物_軽油,係数_バス貨物_メタノール,係数_バス貨物_LPG),MATCH(AY784,【参考】排出係数!$AI$4:$AI$671,1),1,BE784):INDEX((係数_バス貨物_ガソリン,係数_バス貨物_CNG,係数_バス貨物_軽油,係数_バス貨物_メタノール,係数_バス貨物_LPG),MATCH(AY784+1,【参考】排出係数!$AI$4:$AI$671,1)-1,5,BE784),3,FALSE),IF(OR(AW784=1,AW784=2),VLOOKUP(AU784,INDEX((係数_乗用_ガソリン,係数_乗用_CNG,係数_乗用_軽油,係数_乗用_メタノール,係数_乗用_LPG),1,1,BE784):INDEX((係数_乗用_ガソリン,係数_乗用_CNG,係数_乗用_軽油,係数_乗用_メタノール,係数_乗用_LPG),125,5,BE784),3,FALSE))))))</f>
        <v/>
      </c>
      <c r="BC784" s="467" t="str">
        <f t="shared" si="444"/>
        <v/>
      </c>
      <c r="BD784" s="567" t="str">
        <f t="shared" si="445"/>
        <v/>
      </c>
      <c r="BE784" s="467" t="str">
        <f t="shared" si="446"/>
        <v/>
      </c>
      <c r="BF784" s="469" t="str">
        <f t="shared" ca="1" si="447"/>
        <v/>
      </c>
      <c r="BG784" s="469" t="str">
        <f t="shared" ca="1" si="448"/>
        <v/>
      </c>
      <c r="BH784" s="467" t="str">
        <f t="shared" si="449"/>
        <v/>
      </c>
      <c r="BI784" s="467" t="str">
        <f t="shared" ca="1" si="450"/>
        <v/>
      </c>
      <c r="BJ784" s="469" t="str">
        <f t="shared" si="451"/>
        <v/>
      </c>
      <c r="BK784" s="470" t="str">
        <f t="shared" si="435"/>
        <v/>
      </c>
      <c r="BL784" s="775" t="str">
        <f t="shared" si="452"/>
        <v/>
      </c>
      <c r="BM784" s="775" t="str">
        <f t="shared" si="453"/>
        <v/>
      </c>
    </row>
    <row r="785" spans="1:65">
      <c r="A785" s="473">
        <v>729</v>
      </c>
      <c r="B785" s="132"/>
      <c r="C785" s="332"/>
      <c r="D785" s="333"/>
      <c r="E785" s="333"/>
      <c r="F785" s="334"/>
      <c r="G785" s="337"/>
      <c r="H785" s="131"/>
      <c r="I785" s="337"/>
      <c r="J785" s="131"/>
      <c r="K785" s="458" t="str">
        <f t="shared" si="416"/>
        <v/>
      </c>
      <c r="L785" s="458">
        <f t="shared" si="417"/>
        <v>0</v>
      </c>
      <c r="M785" s="458">
        <f t="shared" si="418"/>
        <v>0</v>
      </c>
      <c r="N785" s="459" t="str">
        <f t="shared" si="429"/>
        <v/>
      </c>
      <c r="O785" s="459" t="str">
        <f t="shared" si="430"/>
        <v/>
      </c>
      <c r="P785" s="459" t="str">
        <f t="shared" si="431"/>
        <v/>
      </c>
      <c r="Q785" s="459" t="str">
        <f t="shared" si="432"/>
        <v/>
      </c>
      <c r="R785" s="459" t="str">
        <f t="shared" si="433"/>
        <v/>
      </c>
      <c r="S785" s="459" t="str">
        <f t="shared" si="434"/>
        <v/>
      </c>
      <c r="T785" s="566" t="str">
        <f t="shared" si="419"/>
        <v/>
      </c>
      <c r="U785" s="702"/>
      <c r="V785" s="132"/>
      <c r="W785" s="133"/>
      <c r="X785" s="134"/>
      <c r="Y785" s="135"/>
      <c r="Z785" s="137"/>
      <c r="AA785" s="136"/>
      <c r="AB785" s="566" t="str">
        <f t="shared" si="420"/>
        <v/>
      </c>
      <c r="AC785" s="568" t="str">
        <f t="shared" si="421"/>
        <v/>
      </c>
      <c r="AD785" s="137"/>
      <c r="AE785" s="137"/>
      <c r="AF785" s="138"/>
      <c r="AG785" s="138"/>
      <c r="AH785" s="592" t="str">
        <f t="shared" si="422"/>
        <v/>
      </c>
      <c r="AI785" s="592" t="str">
        <f t="shared" si="423"/>
        <v/>
      </c>
      <c r="AJ785" s="592" t="str">
        <f t="shared" si="424"/>
        <v/>
      </c>
      <c r="AK785" s="460" t="str">
        <f>IF(AU785="","",IF(OR(AZ785=8,AZ785=9),0,IF(OR(AW785=3,AW785=4,AW785=5,AW785=6),IF(LEFT(BF785,1)="1",INDEX(係数_NOX・PM低減,MATCH(AY785,【参考】排出係数!$AI$801:$AI$804,1),1),VLOOKUP(AU785,INDEX((係数_バス貨物_ガソリン,係数_バス貨物_CNG,係数_バス貨物_軽油,係数_バス貨物_メタノール,係数_バス貨物_LPG),MATCH(AY785,【参考】排出係数!$AI$4:$AI$671,1),1,BE785):INDEX((係数_バス貨物_ガソリン,係数_バス貨物_CNG,係数_バス貨物_軽油,係数_バス貨物_メタノール,係数_バス貨物_LPG),MATCH(AY785+1,【参考】排出係数!$AI$4:$AI$671,1)-1,5,BE785),4,FALSE)),IF(AND(BE785=3,LEFT(BF785,1)="1"),0.48,VLOOKUP(AU785,INDEX((係数_乗用_ガソリン,係数_乗用_CNG,係数_乗用_軽油,係数_乗用_メタノール,係数_乗用_LPG),1,1,BE785):INDEX((係数_乗用_ガソリン,係数_乗用_CNG,係数_乗用_軽油,係数_乗用_メタノール,係数_乗用_LPG),125,5,BE785),4,FALSE)))))</f>
        <v/>
      </c>
      <c r="AL785" s="461" t="str">
        <f t="shared" si="425"/>
        <v/>
      </c>
      <c r="AM785" s="460" t="str">
        <f>IF(AU785="","",IF(OR(AZ785=8,AZ785=9),0,IF(OR(AW785=3,AW785=4,AW785=5,AW785=6),IF(LEFT(BH785,1)="1",INDEX(係数_PM低減,MATCH(AY785,【参考】排出係数!$AI$801:$AI$804,1),MATCH(BI785,【参考】排出係数!$AL$798:$AO$798,1)),VLOOKUP(AU785,INDEX((係数_バス貨物_ガソリン,係数_バス貨物_CNG,係数_バス貨物_軽油,係数_バス貨物_メタノール,係数_バス貨物_LPG),MATCH(AY785,【参考】排出係数!$AI$4:$AI$671,1),1,BE785):INDEX((係数_バス貨物_ガソリン,係数_バス貨物_CNG,係数_バス貨物_軽油,係数_バス貨物_メタノール,係数_バス貨物_LPG),MATCH(AY785+1,【参考】排出係数!$AI$4:$AI$671,1)-1,5,BE785),5,FALSE)),IF(AND(BE785=3,LEFT(BF785,1)="1"),0.055,VLOOKUP(AU785,INDEX((係数_乗用_ガソリン,係数_乗用_CNG,係数_乗用_軽油,係数_乗用_メタノール,係数_乗用_LPG),1,1,BE785):INDEX((係数_乗用_ガソリン,係数_乗用_CNG,係数_乗用_軽油,係数_乗用_メタノール,係数_乗用_LPG),125,5,BE785),5,FALSE)))))</f>
        <v/>
      </c>
      <c r="AN785" s="461" t="str">
        <f t="shared" si="426"/>
        <v/>
      </c>
      <c r="AO785" s="462" t="str">
        <f t="shared" si="427"/>
        <v/>
      </c>
      <c r="AP785" s="463" t="str">
        <f t="shared" si="428"/>
        <v/>
      </c>
      <c r="AQ785" s="464"/>
      <c r="AR785" s="619"/>
      <c r="AS785" s="465" t="str">
        <f t="shared" si="436"/>
        <v/>
      </c>
      <c r="AT785" s="465" t="str">
        <f t="shared" si="437"/>
        <v/>
      </c>
      <c r="AU785" s="466" t="str">
        <f t="shared" si="438"/>
        <v/>
      </c>
      <c r="AV785" s="467" t="str">
        <f t="shared" si="439"/>
        <v/>
      </c>
      <c r="AW785" s="467" t="str">
        <f t="shared" si="440"/>
        <v/>
      </c>
      <c r="AX785" s="467" t="str">
        <f t="shared" si="441"/>
        <v/>
      </c>
      <c r="AY785" s="467" t="str">
        <f t="shared" si="442"/>
        <v/>
      </c>
      <c r="AZ785" s="467" t="str">
        <f t="shared" si="443"/>
        <v/>
      </c>
      <c r="BA785" s="468" t="str">
        <f>IF(AS785="","",IF(OR(AU785="",AU785="-"),"－",IF(OR(AZ785=8,AZ785=9),"",IF(OR(AW785=3,AW785=4,AW785=5,AW785=6),VLOOKUP(AU785,INDEX((係数_バス貨物_ガソリン,係数_バス貨物_CNG,係数_バス貨物_軽油,係数_バス貨物_メタノール,係数_バス貨物_LPG),MATCH(AY785,【参考】排出係数!$AI$4:$AI$671,1),1,BE785):INDEX((係数_バス貨物_ガソリン,係数_バス貨物_CNG,係数_バス貨物_軽油,係数_バス貨物_メタノール,係数_バス貨物_LPG),MATCH(AY785+1,【参考】排出係数!$AI$4:$AI$671,1)-1,5,BE785),2,FALSE),IF(OR(AW785=1,AW785=2),VLOOKUP(AU785,INDEX((係数_乗用_ガソリン,係数_乗用_CNG,係数_乗用_軽油,係数_乗用_メタノール,係数_乗用_LPG),1,1,BE785):INDEX((係数_乗用_ガソリン,係数_乗用_CNG,係数_乗用_軽油,係数_乗用_メタノール,係数_乗用_LPG),125,5,BE785),2,FALSE))))))</f>
        <v/>
      </c>
      <c r="BB785" s="468" t="str">
        <f>IF(T785="","",IF(OR(AU785="",AU785="-"),"－",IF(OR(AZ785=8,AZ785=9),"",IF(OR(AW785=3,AW785=4,AW785=5,AW785=6),VLOOKUP(AU785,INDEX((係数_バス貨物_ガソリン,係数_バス貨物_CNG,係数_バス貨物_軽油,係数_バス貨物_メタノール,係数_バス貨物_LPG),MATCH(AY785,【参考】排出係数!$AI$4:$AI$671,1),1,BE785):INDEX((係数_バス貨物_ガソリン,係数_バス貨物_CNG,係数_バス貨物_軽油,係数_バス貨物_メタノール,係数_バス貨物_LPG),MATCH(AY785+1,【参考】排出係数!$AI$4:$AI$671,1)-1,5,BE785),3,FALSE),IF(OR(AW785=1,AW785=2),VLOOKUP(AU785,INDEX((係数_乗用_ガソリン,係数_乗用_CNG,係数_乗用_軽油,係数_乗用_メタノール,係数_乗用_LPG),1,1,BE785):INDEX((係数_乗用_ガソリン,係数_乗用_CNG,係数_乗用_軽油,係数_乗用_メタノール,係数_乗用_LPG),125,5,BE785),3,FALSE))))))</f>
        <v/>
      </c>
      <c r="BC785" s="467" t="str">
        <f t="shared" si="444"/>
        <v/>
      </c>
      <c r="BD785" s="567" t="str">
        <f t="shared" si="445"/>
        <v/>
      </c>
      <c r="BE785" s="467" t="str">
        <f t="shared" si="446"/>
        <v/>
      </c>
      <c r="BF785" s="469" t="str">
        <f t="shared" ca="1" si="447"/>
        <v/>
      </c>
      <c r="BG785" s="469" t="str">
        <f t="shared" ca="1" si="448"/>
        <v/>
      </c>
      <c r="BH785" s="467" t="str">
        <f t="shared" si="449"/>
        <v/>
      </c>
      <c r="BI785" s="467" t="str">
        <f t="shared" ca="1" si="450"/>
        <v/>
      </c>
      <c r="BJ785" s="469" t="str">
        <f t="shared" si="451"/>
        <v/>
      </c>
      <c r="BK785" s="470" t="str">
        <f t="shared" si="435"/>
        <v/>
      </c>
      <c r="BL785" s="775" t="str">
        <f t="shared" si="452"/>
        <v/>
      </c>
      <c r="BM785" s="775" t="str">
        <f t="shared" si="453"/>
        <v/>
      </c>
    </row>
    <row r="786" spans="1:65">
      <c r="A786" s="473">
        <v>730</v>
      </c>
      <c r="B786" s="132"/>
      <c r="C786" s="332"/>
      <c r="D786" s="333"/>
      <c r="E786" s="333"/>
      <c r="F786" s="334"/>
      <c r="G786" s="337"/>
      <c r="H786" s="131"/>
      <c r="I786" s="337"/>
      <c r="J786" s="131"/>
      <c r="K786" s="458" t="str">
        <f t="shared" si="416"/>
        <v/>
      </c>
      <c r="L786" s="458">
        <f t="shared" si="417"/>
        <v>0</v>
      </c>
      <c r="M786" s="458">
        <f t="shared" si="418"/>
        <v>0</v>
      </c>
      <c r="N786" s="459" t="str">
        <f t="shared" si="429"/>
        <v/>
      </c>
      <c r="O786" s="459" t="str">
        <f t="shared" si="430"/>
        <v/>
      </c>
      <c r="P786" s="459" t="str">
        <f t="shared" si="431"/>
        <v/>
      </c>
      <c r="Q786" s="459" t="str">
        <f t="shared" si="432"/>
        <v/>
      </c>
      <c r="R786" s="459" t="str">
        <f t="shared" si="433"/>
        <v/>
      </c>
      <c r="S786" s="459" t="str">
        <f t="shared" si="434"/>
        <v/>
      </c>
      <c r="T786" s="566" t="str">
        <f t="shared" si="419"/>
        <v/>
      </c>
      <c r="U786" s="702"/>
      <c r="V786" s="132"/>
      <c r="W786" s="133"/>
      <c r="X786" s="134"/>
      <c r="Y786" s="135"/>
      <c r="Z786" s="137"/>
      <c r="AA786" s="136"/>
      <c r="AB786" s="566" t="str">
        <f t="shared" si="420"/>
        <v/>
      </c>
      <c r="AC786" s="568" t="str">
        <f t="shared" si="421"/>
        <v/>
      </c>
      <c r="AD786" s="137"/>
      <c r="AE786" s="137"/>
      <c r="AF786" s="138"/>
      <c r="AG786" s="138"/>
      <c r="AH786" s="592" t="str">
        <f t="shared" si="422"/>
        <v/>
      </c>
      <c r="AI786" s="592" t="str">
        <f t="shared" si="423"/>
        <v/>
      </c>
      <c r="AJ786" s="592" t="str">
        <f t="shared" si="424"/>
        <v/>
      </c>
      <c r="AK786" s="460" t="str">
        <f>IF(AU786="","",IF(OR(AZ786=8,AZ786=9),0,IF(OR(AW786=3,AW786=4,AW786=5,AW786=6),IF(LEFT(BF786,1)="1",INDEX(係数_NOX・PM低減,MATCH(AY786,【参考】排出係数!$AI$801:$AI$804,1),1),VLOOKUP(AU786,INDEX((係数_バス貨物_ガソリン,係数_バス貨物_CNG,係数_バス貨物_軽油,係数_バス貨物_メタノール,係数_バス貨物_LPG),MATCH(AY786,【参考】排出係数!$AI$4:$AI$671,1),1,BE786):INDEX((係数_バス貨物_ガソリン,係数_バス貨物_CNG,係数_バス貨物_軽油,係数_バス貨物_メタノール,係数_バス貨物_LPG),MATCH(AY786+1,【参考】排出係数!$AI$4:$AI$671,1)-1,5,BE786),4,FALSE)),IF(AND(BE786=3,LEFT(BF786,1)="1"),0.48,VLOOKUP(AU786,INDEX((係数_乗用_ガソリン,係数_乗用_CNG,係数_乗用_軽油,係数_乗用_メタノール,係数_乗用_LPG),1,1,BE786):INDEX((係数_乗用_ガソリン,係数_乗用_CNG,係数_乗用_軽油,係数_乗用_メタノール,係数_乗用_LPG),125,5,BE786),4,FALSE)))))</f>
        <v/>
      </c>
      <c r="AL786" s="461" t="str">
        <f t="shared" si="425"/>
        <v/>
      </c>
      <c r="AM786" s="460" t="str">
        <f>IF(AU786="","",IF(OR(AZ786=8,AZ786=9),0,IF(OR(AW786=3,AW786=4,AW786=5,AW786=6),IF(LEFT(BH786,1)="1",INDEX(係数_PM低減,MATCH(AY786,【参考】排出係数!$AI$801:$AI$804,1),MATCH(BI786,【参考】排出係数!$AL$798:$AO$798,1)),VLOOKUP(AU786,INDEX((係数_バス貨物_ガソリン,係数_バス貨物_CNG,係数_バス貨物_軽油,係数_バス貨物_メタノール,係数_バス貨物_LPG),MATCH(AY786,【参考】排出係数!$AI$4:$AI$671,1),1,BE786):INDEX((係数_バス貨物_ガソリン,係数_バス貨物_CNG,係数_バス貨物_軽油,係数_バス貨物_メタノール,係数_バス貨物_LPG),MATCH(AY786+1,【参考】排出係数!$AI$4:$AI$671,1)-1,5,BE786),5,FALSE)),IF(AND(BE786=3,LEFT(BF786,1)="1"),0.055,VLOOKUP(AU786,INDEX((係数_乗用_ガソリン,係数_乗用_CNG,係数_乗用_軽油,係数_乗用_メタノール,係数_乗用_LPG),1,1,BE786):INDEX((係数_乗用_ガソリン,係数_乗用_CNG,係数_乗用_軽油,係数_乗用_メタノール,係数_乗用_LPG),125,5,BE786),5,FALSE)))))</f>
        <v/>
      </c>
      <c r="AN786" s="461" t="str">
        <f t="shared" si="426"/>
        <v/>
      </c>
      <c r="AO786" s="462" t="str">
        <f t="shared" si="427"/>
        <v/>
      </c>
      <c r="AP786" s="463" t="str">
        <f t="shared" si="428"/>
        <v/>
      </c>
      <c r="AQ786" s="464"/>
      <c r="AR786" s="619"/>
      <c r="AS786" s="465" t="str">
        <f t="shared" si="436"/>
        <v/>
      </c>
      <c r="AT786" s="465" t="str">
        <f t="shared" si="437"/>
        <v/>
      </c>
      <c r="AU786" s="466" t="str">
        <f t="shared" si="438"/>
        <v/>
      </c>
      <c r="AV786" s="467" t="str">
        <f t="shared" si="439"/>
        <v/>
      </c>
      <c r="AW786" s="467" t="str">
        <f t="shared" si="440"/>
        <v/>
      </c>
      <c r="AX786" s="467" t="str">
        <f t="shared" si="441"/>
        <v/>
      </c>
      <c r="AY786" s="467" t="str">
        <f t="shared" si="442"/>
        <v/>
      </c>
      <c r="AZ786" s="467" t="str">
        <f t="shared" si="443"/>
        <v/>
      </c>
      <c r="BA786" s="468" t="str">
        <f>IF(AS786="","",IF(OR(AU786="",AU786="-"),"－",IF(OR(AZ786=8,AZ786=9),"",IF(OR(AW786=3,AW786=4,AW786=5,AW786=6),VLOOKUP(AU786,INDEX((係数_バス貨物_ガソリン,係数_バス貨物_CNG,係数_バス貨物_軽油,係数_バス貨物_メタノール,係数_バス貨物_LPG),MATCH(AY786,【参考】排出係数!$AI$4:$AI$671,1),1,BE786):INDEX((係数_バス貨物_ガソリン,係数_バス貨物_CNG,係数_バス貨物_軽油,係数_バス貨物_メタノール,係数_バス貨物_LPG),MATCH(AY786+1,【参考】排出係数!$AI$4:$AI$671,1)-1,5,BE786),2,FALSE),IF(OR(AW786=1,AW786=2),VLOOKUP(AU786,INDEX((係数_乗用_ガソリン,係数_乗用_CNG,係数_乗用_軽油,係数_乗用_メタノール,係数_乗用_LPG),1,1,BE786):INDEX((係数_乗用_ガソリン,係数_乗用_CNG,係数_乗用_軽油,係数_乗用_メタノール,係数_乗用_LPG),125,5,BE786),2,FALSE))))))</f>
        <v/>
      </c>
      <c r="BB786" s="468" t="str">
        <f>IF(T786="","",IF(OR(AU786="",AU786="-"),"－",IF(OR(AZ786=8,AZ786=9),"",IF(OR(AW786=3,AW786=4,AW786=5,AW786=6),VLOOKUP(AU786,INDEX((係数_バス貨物_ガソリン,係数_バス貨物_CNG,係数_バス貨物_軽油,係数_バス貨物_メタノール,係数_バス貨物_LPG),MATCH(AY786,【参考】排出係数!$AI$4:$AI$671,1),1,BE786):INDEX((係数_バス貨物_ガソリン,係数_バス貨物_CNG,係数_バス貨物_軽油,係数_バス貨物_メタノール,係数_バス貨物_LPG),MATCH(AY786+1,【参考】排出係数!$AI$4:$AI$671,1)-1,5,BE786),3,FALSE),IF(OR(AW786=1,AW786=2),VLOOKUP(AU786,INDEX((係数_乗用_ガソリン,係数_乗用_CNG,係数_乗用_軽油,係数_乗用_メタノール,係数_乗用_LPG),1,1,BE786):INDEX((係数_乗用_ガソリン,係数_乗用_CNG,係数_乗用_軽油,係数_乗用_メタノール,係数_乗用_LPG),125,5,BE786),3,FALSE))))))</f>
        <v/>
      </c>
      <c r="BC786" s="467" t="str">
        <f t="shared" si="444"/>
        <v/>
      </c>
      <c r="BD786" s="567" t="str">
        <f t="shared" si="445"/>
        <v/>
      </c>
      <c r="BE786" s="467" t="str">
        <f t="shared" si="446"/>
        <v/>
      </c>
      <c r="BF786" s="469" t="str">
        <f t="shared" ca="1" si="447"/>
        <v/>
      </c>
      <c r="BG786" s="469" t="str">
        <f t="shared" ca="1" si="448"/>
        <v/>
      </c>
      <c r="BH786" s="467" t="str">
        <f t="shared" si="449"/>
        <v/>
      </c>
      <c r="BI786" s="467" t="str">
        <f t="shared" ca="1" si="450"/>
        <v/>
      </c>
      <c r="BJ786" s="469" t="str">
        <f t="shared" si="451"/>
        <v/>
      </c>
      <c r="BK786" s="470" t="str">
        <f t="shared" si="435"/>
        <v/>
      </c>
      <c r="BL786" s="775" t="str">
        <f t="shared" si="452"/>
        <v/>
      </c>
      <c r="BM786" s="775" t="str">
        <f t="shared" si="453"/>
        <v/>
      </c>
    </row>
    <row r="787" spans="1:65">
      <c r="A787" s="473">
        <v>731</v>
      </c>
      <c r="B787" s="132"/>
      <c r="C787" s="332"/>
      <c r="D787" s="333"/>
      <c r="E787" s="333"/>
      <c r="F787" s="334"/>
      <c r="G787" s="337"/>
      <c r="H787" s="131"/>
      <c r="I787" s="337"/>
      <c r="J787" s="131"/>
      <c r="K787" s="458" t="str">
        <f t="shared" si="416"/>
        <v/>
      </c>
      <c r="L787" s="458">
        <f t="shared" si="417"/>
        <v>0</v>
      </c>
      <c r="M787" s="458">
        <f t="shared" si="418"/>
        <v>0</v>
      </c>
      <c r="N787" s="459" t="str">
        <f t="shared" si="429"/>
        <v/>
      </c>
      <c r="O787" s="459" t="str">
        <f t="shared" si="430"/>
        <v/>
      </c>
      <c r="P787" s="459" t="str">
        <f t="shared" si="431"/>
        <v/>
      </c>
      <c r="Q787" s="459" t="str">
        <f t="shared" si="432"/>
        <v/>
      </c>
      <c r="R787" s="459" t="str">
        <f t="shared" si="433"/>
        <v/>
      </c>
      <c r="S787" s="459" t="str">
        <f t="shared" si="434"/>
        <v/>
      </c>
      <c r="T787" s="566" t="str">
        <f t="shared" si="419"/>
        <v/>
      </c>
      <c r="U787" s="702"/>
      <c r="V787" s="132"/>
      <c r="W787" s="133"/>
      <c r="X787" s="134"/>
      <c r="Y787" s="135"/>
      <c r="Z787" s="137"/>
      <c r="AA787" s="136"/>
      <c r="AB787" s="566" t="str">
        <f t="shared" si="420"/>
        <v/>
      </c>
      <c r="AC787" s="568" t="str">
        <f t="shared" si="421"/>
        <v/>
      </c>
      <c r="AD787" s="137"/>
      <c r="AE787" s="137"/>
      <c r="AF787" s="138"/>
      <c r="AG787" s="138"/>
      <c r="AH787" s="592" t="str">
        <f t="shared" si="422"/>
        <v/>
      </c>
      <c r="AI787" s="592" t="str">
        <f t="shared" si="423"/>
        <v/>
      </c>
      <c r="AJ787" s="592" t="str">
        <f t="shared" si="424"/>
        <v/>
      </c>
      <c r="AK787" s="460" t="str">
        <f>IF(AU787="","",IF(OR(AZ787=8,AZ787=9),0,IF(OR(AW787=3,AW787=4,AW787=5,AW787=6),IF(LEFT(BF787,1)="1",INDEX(係数_NOX・PM低減,MATCH(AY787,【参考】排出係数!$AI$801:$AI$804,1),1),VLOOKUP(AU787,INDEX((係数_バス貨物_ガソリン,係数_バス貨物_CNG,係数_バス貨物_軽油,係数_バス貨物_メタノール,係数_バス貨物_LPG),MATCH(AY787,【参考】排出係数!$AI$4:$AI$671,1),1,BE787):INDEX((係数_バス貨物_ガソリン,係数_バス貨物_CNG,係数_バス貨物_軽油,係数_バス貨物_メタノール,係数_バス貨物_LPG),MATCH(AY787+1,【参考】排出係数!$AI$4:$AI$671,1)-1,5,BE787),4,FALSE)),IF(AND(BE787=3,LEFT(BF787,1)="1"),0.48,VLOOKUP(AU787,INDEX((係数_乗用_ガソリン,係数_乗用_CNG,係数_乗用_軽油,係数_乗用_メタノール,係数_乗用_LPG),1,1,BE787):INDEX((係数_乗用_ガソリン,係数_乗用_CNG,係数_乗用_軽油,係数_乗用_メタノール,係数_乗用_LPG),125,5,BE787),4,FALSE)))))</f>
        <v/>
      </c>
      <c r="AL787" s="461" t="str">
        <f t="shared" si="425"/>
        <v/>
      </c>
      <c r="AM787" s="460" t="str">
        <f>IF(AU787="","",IF(OR(AZ787=8,AZ787=9),0,IF(OR(AW787=3,AW787=4,AW787=5,AW787=6),IF(LEFT(BH787,1)="1",INDEX(係数_PM低減,MATCH(AY787,【参考】排出係数!$AI$801:$AI$804,1),MATCH(BI787,【参考】排出係数!$AL$798:$AO$798,1)),VLOOKUP(AU787,INDEX((係数_バス貨物_ガソリン,係数_バス貨物_CNG,係数_バス貨物_軽油,係数_バス貨物_メタノール,係数_バス貨物_LPG),MATCH(AY787,【参考】排出係数!$AI$4:$AI$671,1),1,BE787):INDEX((係数_バス貨物_ガソリン,係数_バス貨物_CNG,係数_バス貨物_軽油,係数_バス貨物_メタノール,係数_バス貨物_LPG),MATCH(AY787+1,【参考】排出係数!$AI$4:$AI$671,1)-1,5,BE787),5,FALSE)),IF(AND(BE787=3,LEFT(BF787,1)="1"),0.055,VLOOKUP(AU787,INDEX((係数_乗用_ガソリン,係数_乗用_CNG,係数_乗用_軽油,係数_乗用_メタノール,係数_乗用_LPG),1,1,BE787):INDEX((係数_乗用_ガソリン,係数_乗用_CNG,係数_乗用_軽油,係数_乗用_メタノール,係数_乗用_LPG),125,5,BE787),5,FALSE)))))</f>
        <v/>
      </c>
      <c r="AN787" s="461" t="str">
        <f t="shared" si="426"/>
        <v/>
      </c>
      <c r="AO787" s="462" t="str">
        <f t="shared" si="427"/>
        <v/>
      </c>
      <c r="AP787" s="463" t="str">
        <f t="shared" si="428"/>
        <v/>
      </c>
      <c r="AQ787" s="464"/>
      <c r="AR787" s="619"/>
      <c r="AS787" s="465" t="str">
        <f t="shared" si="436"/>
        <v/>
      </c>
      <c r="AT787" s="465" t="str">
        <f t="shared" si="437"/>
        <v/>
      </c>
      <c r="AU787" s="466" t="str">
        <f t="shared" si="438"/>
        <v/>
      </c>
      <c r="AV787" s="467" t="str">
        <f t="shared" si="439"/>
        <v/>
      </c>
      <c r="AW787" s="467" t="str">
        <f t="shared" si="440"/>
        <v/>
      </c>
      <c r="AX787" s="467" t="str">
        <f t="shared" si="441"/>
        <v/>
      </c>
      <c r="AY787" s="467" t="str">
        <f t="shared" si="442"/>
        <v/>
      </c>
      <c r="AZ787" s="467" t="str">
        <f t="shared" si="443"/>
        <v/>
      </c>
      <c r="BA787" s="468" t="str">
        <f>IF(AS787="","",IF(OR(AU787="",AU787="-"),"－",IF(OR(AZ787=8,AZ787=9),"",IF(OR(AW787=3,AW787=4,AW787=5,AW787=6),VLOOKUP(AU787,INDEX((係数_バス貨物_ガソリン,係数_バス貨物_CNG,係数_バス貨物_軽油,係数_バス貨物_メタノール,係数_バス貨物_LPG),MATCH(AY787,【参考】排出係数!$AI$4:$AI$671,1),1,BE787):INDEX((係数_バス貨物_ガソリン,係数_バス貨物_CNG,係数_バス貨物_軽油,係数_バス貨物_メタノール,係数_バス貨物_LPG),MATCH(AY787+1,【参考】排出係数!$AI$4:$AI$671,1)-1,5,BE787),2,FALSE),IF(OR(AW787=1,AW787=2),VLOOKUP(AU787,INDEX((係数_乗用_ガソリン,係数_乗用_CNG,係数_乗用_軽油,係数_乗用_メタノール,係数_乗用_LPG),1,1,BE787):INDEX((係数_乗用_ガソリン,係数_乗用_CNG,係数_乗用_軽油,係数_乗用_メタノール,係数_乗用_LPG),125,5,BE787),2,FALSE))))))</f>
        <v/>
      </c>
      <c r="BB787" s="468" t="str">
        <f>IF(T787="","",IF(OR(AU787="",AU787="-"),"－",IF(OR(AZ787=8,AZ787=9),"",IF(OR(AW787=3,AW787=4,AW787=5,AW787=6),VLOOKUP(AU787,INDEX((係数_バス貨物_ガソリン,係数_バス貨物_CNG,係数_バス貨物_軽油,係数_バス貨物_メタノール,係数_バス貨物_LPG),MATCH(AY787,【参考】排出係数!$AI$4:$AI$671,1),1,BE787):INDEX((係数_バス貨物_ガソリン,係数_バス貨物_CNG,係数_バス貨物_軽油,係数_バス貨物_メタノール,係数_バス貨物_LPG),MATCH(AY787+1,【参考】排出係数!$AI$4:$AI$671,1)-1,5,BE787),3,FALSE),IF(OR(AW787=1,AW787=2),VLOOKUP(AU787,INDEX((係数_乗用_ガソリン,係数_乗用_CNG,係数_乗用_軽油,係数_乗用_メタノール,係数_乗用_LPG),1,1,BE787):INDEX((係数_乗用_ガソリン,係数_乗用_CNG,係数_乗用_軽油,係数_乗用_メタノール,係数_乗用_LPG),125,5,BE787),3,FALSE))))))</f>
        <v/>
      </c>
      <c r="BC787" s="467" t="str">
        <f t="shared" si="444"/>
        <v/>
      </c>
      <c r="BD787" s="567" t="str">
        <f t="shared" si="445"/>
        <v/>
      </c>
      <c r="BE787" s="467" t="str">
        <f t="shared" si="446"/>
        <v/>
      </c>
      <c r="BF787" s="469" t="str">
        <f t="shared" ca="1" si="447"/>
        <v/>
      </c>
      <c r="BG787" s="469" t="str">
        <f t="shared" ca="1" si="448"/>
        <v/>
      </c>
      <c r="BH787" s="467" t="str">
        <f t="shared" si="449"/>
        <v/>
      </c>
      <c r="BI787" s="467" t="str">
        <f t="shared" ca="1" si="450"/>
        <v/>
      </c>
      <c r="BJ787" s="469" t="str">
        <f t="shared" si="451"/>
        <v/>
      </c>
      <c r="BK787" s="470" t="str">
        <f t="shared" si="435"/>
        <v/>
      </c>
      <c r="BL787" s="775" t="str">
        <f t="shared" si="452"/>
        <v/>
      </c>
      <c r="BM787" s="775" t="str">
        <f t="shared" si="453"/>
        <v/>
      </c>
    </row>
    <row r="788" spans="1:65">
      <c r="A788" s="473">
        <v>732</v>
      </c>
      <c r="B788" s="132"/>
      <c r="C788" s="332"/>
      <c r="D788" s="333"/>
      <c r="E788" s="333"/>
      <c r="F788" s="334"/>
      <c r="G788" s="337"/>
      <c r="H788" s="131"/>
      <c r="I788" s="337"/>
      <c r="J788" s="131"/>
      <c r="K788" s="458" t="str">
        <f t="shared" si="416"/>
        <v/>
      </c>
      <c r="L788" s="458">
        <f t="shared" si="417"/>
        <v>0</v>
      </c>
      <c r="M788" s="458">
        <f t="shared" si="418"/>
        <v>0</v>
      </c>
      <c r="N788" s="459" t="str">
        <f t="shared" si="429"/>
        <v/>
      </c>
      <c r="O788" s="459" t="str">
        <f t="shared" si="430"/>
        <v/>
      </c>
      <c r="P788" s="459" t="str">
        <f t="shared" si="431"/>
        <v/>
      </c>
      <c r="Q788" s="459" t="str">
        <f t="shared" si="432"/>
        <v/>
      </c>
      <c r="R788" s="459" t="str">
        <f t="shared" si="433"/>
        <v/>
      </c>
      <c r="S788" s="459" t="str">
        <f t="shared" si="434"/>
        <v/>
      </c>
      <c r="T788" s="566" t="str">
        <f t="shared" si="419"/>
        <v/>
      </c>
      <c r="U788" s="702"/>
      <c r="V788" s="132"/>
      <c r="W788" s="133"/>
      <c r="X788" s="134"/>
      <c r="Y788" s="135"/>
      <c r="Z788" s="137"/>
      <c r="AA788" s="136"/>
      <c r="AB788" s="566" t="str">
        <f t="shared" si="420"/>
        <v/>
      </c>
      <c r="AC788" s="568" t="str">
        <f t="shared" si="421"/>
        <v/>
      </c>
      <c r="AD788" s="137"/>
      <c r="AE788" s="137"/>
      <c r="AF788" s="138"/>
      <c r="AG788" s="138"/>
      <c r="AH788" s="592" t="str">
        <f t="shared" si="422"/>
        <v/>
      </c>
      <c r="AI788" s="592" t="str">
        <f t="shared" si="423"/>
        <v/>
      </c>
      <c r="AJ788" s="592" t="str">
        <f t="shared" si="424"/>
        <v/>
      </c>
      <c r="AK788" s="460" t="str">
        <f>IF(AU788="","",IF(OR(AZ788=8,AZ788=9),0,IF(OR(AW788=3,AW788=4,AW788=5,AW788=6),IF(LEFT(BF788,1)="1",INDEX(係数_NOX・PM低減,MATCH(AY788,【参考】排出係数!$AI$801:$AI$804,1),1),VLOOKUP(AU788,INDEX((係数_バス貨物_ガソリン,係数_バス貨物_CNG,係数_バス貨物_軽油,係数_バス貨物_メタノール,係数_バス貨物_LPG),MATCH(AY788,【参考】排出係数!$AI$4:$AI$671,1),1,BE788):INDEX((係数_バス貨物_ガソリン,係数_バス貨物_CNG,係数_バス貨物_軽油,係数_バス貨物_メタノール,係数_バス貨物_LPG),MATCH(AY788+1,【参考】排出係数!$AI$4:$AI$671,1)-1,5,BE788),4,FALSE)),IF(AND(BE788=3,LEFT(BF788,1)="1"),0.48,VLOOKUP(AU788,INDEX((係数_乗用_ガソリン,係数_乗用_CNG,係数_乗用_軽油,係数_乗用_メタノール,係数_乗用_LPG),1,1,BE788):INDEX((係数_乗用_ガソリン,係数_乗用_CNG,係数_乗用_軽油,係数_乗用_メタノール,係数_乗用_LPG),125,5,BE788),4,FALSE)))))</f>
        <v/>
      </c>
      <c r="AL788" s="461" t="str">
        <f t="shared" si="425"/>
        <v/>
      </c>
      <c r="AM788" s="460" t="str">
        <f>IF(AU788="","",IF(OR(AZ788=8,AZ788=9),0,IF(OR(AW788=3,AW788=4,AW788=5,AW788=6),IF(LEFT(BH788,1)="1",INDEX(係数_PM低減,MATCH(AY788,【参考】排出係数!$AI$801:$AI$804,1),MATCH(BI788,【参考】排出係数!$AL$798:$AO$798,1)),VLOOKUP(AU788,INDEX((係数_バス貨物_ガソリン,係数_バス貨物_CNG,係数_バス貨物_軽油,係数_バス貨物_メタノール,係数_バス貨物_LPG),MATCH(AY788,【参考】排出係数!$AI$4:$AI$671,1),1,BE788):INDEX((係数_バス貨物_ガソリン,係数_バス貨物_CNG,係数_バス貨物_軽油,係数_バス貨物_メタノール,係数_バス貨物_LPG),MATCH(AY788+1,【参考】排出係数!$AI$4:$AI$671,1)-1,5,BE788),5,FALSE)),IF(AND(BE788=3,LEFT(BF788,1)="1"),0.055,VLOOKUP(AU788,INDEX((係数_乗用_ガソリン,係数_乗用_CNG,係数_乗用_軽油,係数_乗用_メタノール,係数_乗用_LPG),1,1,BE788):INDEX((係数_乗用_ガソリン,係数_乗用_CNG,係数_乗用_軽油,係数_乗用_メタノール,係数_乗用_LPG),125,5,BE788),5,FALSE)))))</f>
        <v/>
      </c>
      <c r="AN788" s="461" t="str">
        <f t="shared" si="426"/>
        <v/>
      </c>
      <c r="AO788" s="462" t="str">
        <f t="shared" si="427"/>
        <v/>
      </c>
      <c r="AP788" s="463" t="str">
        <f t="shared" si="428"/>
        <v/>
      </c>
      <c r="AQ788" s="464"/>
      <c r="AR788" s="619"/>
      <c r="AS788" s="465" t="str">
        <f t="shared" si="436"/>
        <v/>
      </c>
      <c r="AT788" s="465" t="str">
        <f t="shared" si="437"/>
        <v/>
      </c>
      <c r="AU788" s="466" t="str">
        <f t="shared" si="438"/>
        <v/>
      </c>
      <c r="AV788" s="467" t="str">
        <f t="shared" si="439"/>
        <v/>
      </c>
      <c r="AW788" s="467" t="str">
        <f t="shared" si="440"/>
        <v/>
      </c>
      <c r="AX788" s="467" t="str">
        <f t="shared" si="441"/>
        <v/>
      </c>
      <c r="AY788" s="467" t="str">
        <f t="shared" si="442"/>
        <v/>
      </c>
      <c r="AZ788" s="467" t="str">
        <f t="shared" si="443"/>
        <v/>
      </c>
      <c r="BA788" s="468" t="str">
        <f>IF(AS788="","",IF(OR(AU788="",AU788="-"),"－",IF(OR(AZ788=8,AZ788=9),"",IF(OR(AW788=3,AW788=4,AW788=5,AW788=6),VLOOKUP(AU788,INDEX((係数_バス貨物_ガソリン,係数_バス貨物_CNG,係数_バス貨物_軽油,係数_バス貨物_メタノール,係数_バス貨物_LPG),MATCH(AY788,【参考】排出係数!$AI$4:$AI$671,1),1,BE788):INDEX((係数_バス貨物_ガソリン,係数_バス貨物_CNG,係数_バス貨物_軽油,係数_バス貨物_メタノール,係数_バス貨物_LPG),MATCH(AY788+1,【参考】排出係数!$AI$4:$AI$671,1)-1,5,BE788),2,FALSE),IF(OR(AW788=1,AW788=2),VLOOKUP(AU788,INDEX((係数_乗用_ガソリン,係数_乗用_CNG,係数_乗用_軽油,係数_乗用_メタノール,係数_乗用_LPG),1,1,BE788):INDEX((係数_乗用_ガソリン,係数_乗用_CNG,係数_乗用_軽油,係数_乗用_メタノール,係数_乗用_LPG),125,5,BE788),2,FALSE))))))</f>
        <v/>
      </c>
      <c r="BB788" s="468" t="str">
        <f>IF(T788="","",IF(OR(AU788="",AU788="-"),"－",IF(OR(AZ788=8,AZ788=9),"",IF(OR(AW788=3,AW788=4,AW788=5,AW788=6),VLOOKUP(AU788,INDEX((係数_バス貨物_ガソリン,係数_バス貨物_CNG,係数_バス貨物_軽油,係数_バス貨物_メタノール,係数_バス貨物_LPG),MATCH(AY788,【参考】排出係数!$AI$4:$AI$671,1),1,BE788):INDEX((係数_バス貨物_ガソリン,係数_バス貨物_CNG,係数_バス貨物_軽油,係数_バス貨物_メタノール,係数_バス貨物_LPG),MATCH(AY788+1,【参考】排出係数!$AI$4:$AI$671,1)-1,5,BE788),3,FALSE),IF(OR(AW788=1,AW788=2),VLOOKUP(AU788,INDEX((係数_乗用_ガソリン,係数_乗用_CNG,係数_乗用_軽油,係数_乗用_メタノール,係数_乗用_LPG),1,1,BE788):INDEX((係数_乗用_ガソリン,係数_乗用_CNG,係数_乗用_軽油,係数_乗用_メタノール,係数_乗用_LPG),125,5,BE788),3,FALSE))))))</f>
        <v/>
      </c>
      <c r="BC788" s="467" t="str">
        <f t="shared" si="444"/>
        <v/>
      </c>
      <c r="BD788" s="567" t="str">
        <f t="shared" si="445"/>
        <v/>
      </c>
      <c r="BE788" s="467" t="str">
        <f t="shared" si="446"/>
        <v/>
      </c>
      <c r="BF788" s="469" t="str">
        <f t="shared" ca="1" si="447"/>
        <v/>
      </c>
      <c r="BG788" s="469" t="str">
        <f t="shared" ca="1" si="448"/>
        <v/>
      </c>
      <c r="BH788" s="467" t="str">
        <f t="shared" si="449"/>
        <v/>
      </c>
      <c r="BI788" s="467" t="str">
        <f t="shared" ca="1" si="450"/>
        <v/>
      </c>
      <c r="BJ788" s="469" t="str">
        <f t="shared" si="451"/>
        <v/>
      </c>
      <c r="BK788" s="470" t="str">
        <f t="shared" si="435"/>
        <v/>
      </c>
      <c r="BL788" s="775" t="str">
        <f t="shared" si="452"/>
        <v/>
      </c>
      <c r="BM788" s="775" t="str">
        <f t="shared" si="453"/>
        <v/>
      </c>
    </row>
    <row r="789" spans="1:65">
      <c r="A789" s="473">
        <v>733</v>
      </c>
      <c r="B789" s="132"/>
      <c r="C789" s="332"/>
      <c r="D789" s="333"/>
      <c r="E789" s="333"/>
      <c r="F789" s="334"/>
      <c r="G789" s="337"/>
      <c r="H789" s="131"/>
      <c r="I789" s="337"/>
      <c r="J789" s="131"/>
      <c r="K789" s="458" t="str">
        <f t="shared" si="416"/>
        <v/>
      </c>
      <c r="L789" s="458">
        <f t="shared" si="417"/>
        <v>0</v>
      </c>
      <c r="M789" s="458">
        <f t="shared" si="418"/>
        <v>0</v>
      </c>
      <c r="N789" s="459" t="str">
        <f t="shared" si="429"/>
        <v/>
      </c>
      <c r="O789" s="459" t="str">
        <f t="shared" si="430"/>
        <v/>
      </c>
      <c r="P789" s="459" t="str">
        <f t="shared" si="431"/>
        <v/>
      </c>
      <c r="Q789" s="459" t="str">
        <f t="shared" si="432"/>
        <v/>
      </c>
      <c r="R789" s="459" t="str">
        <f t="shared" si="433"/>
        <v/>
      </c>
      <c r="S789" s="459" t="str">
        <f t="shared" si="434"/>
        <v/>
      </c>
      <c r="T789" s="566" t="str">
        <f t="shared" si="419"/>
        <v/>
      </c>
      <c r="U789" s="702"/>
      <c r="V789" s="132"/>
      <c r="W789" s="133"/>
      <c r="X789" s="134"/>
      <c r="Y789" s="135"/>
      <c r="Z789" s="137"/>
      <c r="AA789" s="136"/>
      <c r="AB789" s="566" t="str">
        <f t="shared" si="420"/>
        <v/>
      </c>
      <c r="AC789" s="568" t="str">
        <f t="shared" si="421"/>
        <v/>
      </c>
      <c r="AD789" s="137"/>
      <c r="AE789" s="137"/>
      <c r="AF789" s="138"/>
      <c r="AG789" s="138"/>
      <c r="AH789" s="592" t="str">
        <f t="shared" si="422"/>
        <v/>
      </c>
      <c r="AI789" s="592" t="str">
        <f t="shared" si="423"/>
        <v/>
      </c>
      <c r="AJ789" s="592" t="str">
        <f t="shared" si="424"/>
        <v/>
      </c>
      <c r="AK789" s="460" t="str">
        <f>IF(AU789="","",IF(OR(AZ789=8,AZ789=9),0,IF(OR(AW789=3,AW789=4,AW789=5,AW789=6),IF(LEFT(BF789,1)="1",INDEX(係数_NOX・PM低減,MATCH(AY789,【参考】排出係数!$AI$801:$AI$804,1),1),VLOOKUP(AU789,INDEX((係数_バス貨物_ガソリン,係数_バス貨物_CNG,係数_バス貨物_軽油,係数_バス貨物_メタノール,係数_バス貨物_LPG),MATCH(AY789,【参考】排出係数!$AI$4:$AI$671,1),1,BE789):INDEX((係数_バス貨物_ガソリン,係数_バス貨物_CNG,係数_バス貨物_軽油,係数_バス貨物_メタノール,係数_バス貨物_LPG),MATCH(AY789+1,【参考】排出係数!$AI$4:$AI$671,1)-1,5,BE789),4,FALSE)),IF(AND(BE789=3,LEFT(BF789,1)="1"),0.48,VLOOKUP(AU789,INDEX((係数_乗用_ガソリン,係数_乗用_CNG,係数_乗用_軽油,係数_乗用_メタノール,係数_乗用_LPG),1,1,BE789):INDEX((係数_乗用_ガソリン,係数_乗用_CNG,係数_乗用_軽油,係数_乗用_メタノール,係数_乗用_LPG),125,5,BE789),4,FALSE)))))</f>
        <v/>
      </c>
      <c r="AL789" s="461" t="str">
        <f t="shared" si="425"/>
        <v/>
      </c>
      <c r="AM789" s="460" t="str">
        <f>IF(AU789="","",IF(OR(AZ789=8,AZ789=9),0,IF(OR(AW789=3,AW789=4,AW789=5,AW789=6),IF(LEFT(BH789,1)="1",INDEX(係数_PM低減,MATCH(AY789,【参考】排出係数!$AI$801:$AI$804,1),MATCH(BI789,【参考】排出係数!$AL$798:$AO$798,1)),VLOOKUP(AU789,INDEX((係数_バス貨物_ガソリン,係数_バス貨物_CNG,係数_バス貨物_軽油,係数_バス貨物_メタノール,係数_バス貨物_LPG),MATCH(AY789,【参考】排出係数!$AI$4:$AI$671,1),1,BE789):INDEX((係数_バス貨物_ガソリン,係数_バス貨物_CNG,係数_バス貨物_軽油,係数_バス貨物_メタノール,係数_バス貨物_LPG),MATCH(AY789+1,【参考】排出係数!$AI$4:$AI$671,1)-1,5,BE789),5,FALSE)),IF(AND(BE789=3,LEFT(BF789,1)="1"),0.055,VLOOKUP(AU789,INDEX((係数_乗用_ガソリン,係数_乗用_CNG,係数_乗用_軽油,係数_乗用_メタノール,係数_乗用_LPG),1,1,BE789):INDEX((係数_乗用_ガソリン,係数_乗用_CNG,係数_乗用_軽油,係数_乗用_メタノール,係数_乗用_LPG),125,5,BE789),5,FALSE)))))</f>
        <v/>
      </c>
      <c r="AN789" s="461" t="str">
        <f t="shared" si="426"/>
        <v/>
      </c>
      <c r="AO789" s="462" t="str">
        <f t="shared" si="427"/>
        <v/>
      </c>
      <c r="AP789" s="463" t="str">
        <f t="shared" si="428"/>
        <v/>
      </c>
      <c r="AQ789" s="464"/>
      <c r="AR789" s="619"/>
      <c r="AS789" s="465" t="str">
        <f t="shared" si="436"/>
        <v/>
      </c>
      <c r="AT789" s="465" t="str">
        <f t="shared" si="437"/>
        <v/>
      </c>
      <c r="AU789" s="466" t="str">
        <f t="shared" si="438"/>
        <v/>
      </c>
      <c r="AV789" s="467" t="str">
        <f t="shared" si="439"/>
        <v/>
      </c>
      <c r="AW789" s="467" t="str">
        <f t="shared" si="440"/>
        <v/>
      </c>
      <c r="AX789" s="467" t="str">
        <f t="shared" si="441"/>
        <v/>
      </c>
      <c r="AY789" s="467" t="str">
        <f t="shared" si="442"/>
        <v/>
      </c>
      <c r="AZ789" s="467" t="str">
        <f t="shared" si="443"/>
        <v/>
      </c>
      <c r="BA789" s="468" t="str">
        <f>IF(AS789="","",IF(OR(AU789="",AU789="-"),"－",IF(OR(AZ789=8,AZ789=9),"",IF(OR(AW789=3,AW789=4,AW789=5,AW789=6),VLOOKUP(AU789,INDEX((係数_バス貨物_ガソリン,係数_バス貨物_CNG,係数_バス貨物_軽油,係数_バス貨物_メタノール,係数_バス貨物_LPG),MATCH(AY789,【参考】排出係数!$AI$4:$AI$671,1),1,BE789):INDEX((係数_バス貨物_ガソリン,係数_バス貨物_CNG,係数_バス貨物_軽油,係数_バス貨物_メタノール,係数_バス貨物_LPG),MATCH(AY789+1,【参考】排出係数!$AI$4:$AI$671,1)-1,5,BE789),2,FALSE),IF(OR(AW789=1,AW789=2),VLOOKUP(AU789,INDEX((係数_乗用_ガソリン,係数_乗用_CNG,係数_乗用_軽油,係数_乗用_メタノール,係数_乗用_LPG),1,1,BE789):INDEX((係数_乗用_ガソリン,係数_乗用_CNG,係数_乗用_軽油,係数_乗用_メタノール,係数_乗用_LPG),125,5,BE789),2,FALSE))))))</f>
        <v/>
      </c>
      <c r="BB789" s="468" t="str">
        <f>IF(T789="","",IF(OR(AU789="",AU789="-"),"－",IF(OR(AZ789=8,AZ789=9),"",IF(OR(AW789=3,AW789=4,AW789=5,AW789=6),VLOOKUP(AU789,INDEX((係数_バス貨物_ガソリン,係数_バス貨物_CNG,係数_バス貨物_軽油,係数_バス貨物_メタノール,係数_バス貨物_LPG),MATCH(AY789,【参考】排出係数!$AI$4:$AI$671,1),1,BE789):INDEX((係数_バス貨物_ガソリン,係数_バス貨物_CNG,係数_バス貨物_軽油,係数_バス貨物_メタノール,係数_バス貨物_LPG),MATCH(AY789+1,【参考】排出係数!$AI$4:$AI$671,1)-1,5,BE789),3,FALSE),IF(OR(AW789=1,AW789=2),VLOOKUP(AU789,INDEX((係数_乗用_ガソリン,係数_乗用_CNG,係数_乗用_軽油,係数_乗用_メタノール,係数_乗用_LPG),1,1,BE789):INDEX((係数_乗用_ガソリン,係数_乗用_CNG,係数_乗用_軽油,係数_乗用_メタノール,係数_乗用_LPG),125,5,BE789),3,FALSE))))))</f>
        <v/>
      </c>
      <c r="BC789" s="467" t="str">
        <f t="shared" si="444"/>
        <v/>
      </c>
      <c r="BD789" s="567" t="str">
        <f t="shared" si="445"/>
        <v/>
      </c>
      <c r="BE789" s="467" t="str">
        <f t="shared" si="446"/>
        <v/>
      </c>
      <c r="BF789" s="469" t="str">
        <f t="shared" ca="1" si="447"/>
        <v/>
      </c>
      <c r="BG789" s="469" t="str">
        <f t="shared" ca="1" si="448"/>
        <v/>
      </c>
      <c r="BH789" s="467" t="str">
        <f t="shared" si="449"/>
        <v/>
      </c>
      <c r="BI789" s="467" t="str">
        <f t="shared" ca="1" si="450"/>
        <v/>
      </c>
      <c r="BJ789" s="469" t="str">
        <f t="shared" si="451"/>
        <v/>
      </c>
      <c r="BK789" s="470" t="str">
        <f t="shared" si="435"/>
        <v/>
      </c>
      <c r="BL789" s="775" t="str">
        <f t="shared" si="452"/>
        <v/>
      </c>
      <c r="BM789" s="775" t="str">
        <f t="shared" si="453"/>
        <v/>
      </c>
    </row>
    <row r="790" spans="1:65">
      <c r="A790" s="473">
        <v>734</v>
      </c>
      <c r="B790" s="132"/>
      <c r="C790" s="332"/>
      <c r="D790" s="333"/>
      <c r="E790" s="333"/>
      <c r="F790" s="334"/>
      <c r="G790" s="337"/>
      <c r="H790" s="131"/>
      <c r="I790" s="337"/>
      <c r="J790" s="131"/>
      <c r="K790" s="458" t="str">
        <f t="shared" si="416"/>
        <v/>
      </c>
      <c r="L790" s="458">
        <f t="shared" si="417"/>
        <v>0</v>
      </c>
      <c r="M790" s="458">
        <f t="shared" si="418"/>
        <v>0</v>
      </c>
      <c r="N790" s="459" t="str">
        <f t="shared" si="429"/>
        <v/>
      </c>
      <c r="O790" s="459" t="str">
        <f t="shared" si="430"/>
        <v/>
      </c>
      <c r="P790" s="459" t="str">
        <f t="shared" si="431"/>
        <v/>
      </c>
      <c r="Q790" s="459" t="str">
        <f t="shared" si="432"/>
        <v/>
      </c>
      <c r="R790" s="459" t="str">
        <f t="shared" si="433"/>
        <v/>
      </c>
      <c r="S790" s="459" t="str">
        <f t="shared" si="434"/>
        <v/>
      </c>
      <c r="T790" s="566" t="str">
        <f t="shared" si="419"/>
        <v/>
      </c>
      <c r="U790" s="702"/>
      <c r="V790" s="132"/>
      <c r="W790" s="133"/>
      <c r="X790" s="134"/>
      <c r="Y790" s="135"/>
      <c r="Z790" s="137"/>
      <c r="AA790" s="136"/>
      <c r="AB790" s="566" t="str">
        <f t="shared" si="420"/>
        <v/>
      </c>
      <c r="AC790" s="568" t="str">
        <f t="shared" si="421"/>
        <v/>
      </c>
      <c r="AD790" s="137"/>
      <c r="AE790" s="137"/>
      <c r="AF790" s="138"/>
      <c r="AG790" s="138"/>
      <c r="AH790" s="592" t="str">
        <f t="shared" si="422"/>
        <v/>
      </c>
      <c r="AI790" s="592" t="str">
        <f t="shared" si="423"/>
        <v/>
      </c>
      <c r="AJ790" s="592" t="str">
        <f t="shared" si="424"/>
        <v/>
      </c>
      <c r="AK790" s="460" t="str">
        <f>IF(AU790="","",IF(OR(AZ790=8,AZ790=9),0,IF(OR(AW790=3,AW790=4,AW790=5,AW790=6),IF(LEFT(BF790,1)="1",INDEX(係数_NOX・PM低減,MATCH(AY790,【参考】排出係数!$AI$801:$AI$804,1),1),VLOOKUP(AU790,INDEX((係数_バス貨物_ガソリン,係数_バス貨物_CNG,係数_バス貨物_軽油,係数_バス貨物_メタノール,係数_バス貨物_LPG),MATCH(AY790,【参考】排出係数!$AI$4:$AI$671,1),1,BE790):INDEX((係数_バス貨物_ガソリン,係数_バス貨物_CNG,係数_バス貨物_軽油,係数_バス貨物_メタノール,係数_バス貨物_LPG),MATCH(AY790+1,【参考】排出係数!$AI$4:$AI$671,1)-1,5,BE790),4,FALSE)),IF(AND(BE790=3,LEFT(BF790,1)="1"),0.48,VLOOKUP(AU790,INDEX((係数_乗用_ガソリン,係数_乗用_CNG,係数_乗用_軽油,係数_乗用_メタノール,係数_乗用_LPG),1,1,BE790):INDEX((係数_乗用_ガソリン,係数_乗用_CNG,係数_乗用_軽油,係数_乗用_メタノール,係数_乗用_LPG),125,5,BE790),4,FALSE)))))</f>
        <v/>
      </c>
      <c r="AL790" s="461" t="str">
        <f t="shared" si="425"/>
        <v/>
      </c>
      <c r="AM790" s="460" t="str">
        <f>IF(AU790="","",IF(OR(AZ790=8,AZ790=9),0,IF(OR(AW790=3,AW790=4,AW790=5,AW790=6),IF(LEFT(BH790,1)="1",INDEX(係数_PM低減,MATCH(AY790,【参考】排出係数!$AI$801:$AI$804,1),MATCH(BI790,【参考】排出係数!$AL$798:$AO$798,1)),VLOOKUP(AU790,INDEX((係数_バス貨物_ガソリン,係数_バス貨物_CNG,係数_バス貨物_軽油,係数_バス貨物_メタノール,係数_バス貨物_LPG),MATCH(AY790,【参考】排出係数!$AI$4:$AI$671,1),1,BE790):INDEX((係数_バス貨物_ガソリン,係数_バス貨物_CNG,係数_バス貨物_軽油,係数_バス貨物_メタノール,係数_バス貨物_LPG),MATCH(AY790+1,【参考】排出係数!$AI$4:$AI$671,1)-1,5,BE790),5,FALSE)),IF(AND(BE790=3,LEFT(BF790,1)="1"),0.055,VLOOKUP(AU790,INDEX((係数_乗用_ガソリン,係数_乗用_CNG,係数_乗用_軽油,係数_乗用_メタノール,係数_乗用_LPG),1,1,BE790):INDEX((係数_乗用_ガソリン,係数_乗用_CNG,係数_乗用_軽油,係数_乗用_メタノール,係数_乗用_LPG),125,5,BE790),5,FALSE)))))</f>
        <v/>
      </c>
      <c r="AN790" s="461" t="str">
        <f t="shared" si="426"/>
        <v/>
      </c>
      <c r="AO790" s="462" t="str">
        <f t="shared" si="427"/>
        <v/>
      </c>
      <c r="AP790" s="463" t="str">
        <f t="shared" si="428"/>
        <v/>
      </c>
      <c r="AQ790" s="464"/>
      <c r="AR790" s="619"/>
      <c r="AS790" s="465" t="str">
        <f t="shared" si="436"/>
        <v/>
      </c>
      <c r="AT790" s="465" t="str">
        <f t="shared" si="437"/>
        <v/>
      </c>
      <c r="AU790" s="466" t="str">
        <f t="shared" si="438"/>
        <v/>
      </c>
      <c r="AV790" s="467" t="str">
        <f t="shared" si="439"/>
        <v/>
      </c>
      <c r="AW790" s="467" t="str">
        <f t="shared" si="440"/>
        <v/>
      </c>
      <c r="AX790" s="467" t="str">
        <f t="shared" si="441"/>
        <v/>
      </c>
      <c r="AY790" s="467" t="str">
        <f t="shared" si="442"/>
        <v/>
      </c>
      <c r="AZ790" s="467" t="str">
        <f t="shared" si="443"/>
        <v/>
      </c>
      <c r="BA790" s="468" t="str">
        <f>IF(AS790="","",IF(OR(AU790="",AU790="-"),"－",IF(OR(AZ790=8,AZ790=9),"",IF(OR(AW790=3,AW790=4,AW790=5,AW790=6),VLOOKUP(AU790,INDEX((係数_バス貨物_ガソリン,係数_バス貨物_CNG,係数_バス貨物_軽油,係数_バス貨物_メタノール,係数_バス貨物_LPG),MATCH(AY790,【参考】排出係数!$AI$4:$AI$671,1),1,BE790):INDEX((係数_バス貨物_ガソリン,係数_バス貨物_CNG,係数_バス貨物_軽油,係数_バス貨物_メタノール,係数_バス貨物_LPG),MATCH(AY790+1,【参考】排出係数!$AI$4:$AI$671,1)-1,5,BE790),2,FALSE),IF(OR(AW790=1,AW790=2),VLOOKUP(AU790,INDEX((係数_乗用_ガソリン,係数_乗用_CNG,係数_乗用_軽油,係数_乗用_メタノール,係数_乗用_LPG),1,1,BE790):INDEX((係数_乗用_ガソリン,係数_乗用_CNG,係数_乗用_軽油,係数_乗用_メタノール,係数_乗用_LPG),125,5,BE790),2,FALSE))))))</f>
        <v/>
      </c>
      <c r="BB790" s="468" t="str">
        <f>IF(T790="","",IF(OR(AU790="",AU790="-"),"－",IF(OR(AZ790=8,AZ790=9),"",IF(OR(AW790=3,AW790=4,AW790=5,AW790=6),VLOOKUP(AU790,INDEX((係数_バス貨物_ガソリン,係数_バス貨物_CNG,係数_バス貨物_軽油,係数_バス貨物_メタノール,係数_バス貨物_LPG),MATCH(AY790,【参考】排出係数!$AI$4:$AI$671,1),1,BE790):INDEX((係数_バス貨物_ガソリン,係数_バス貨物_CNG,係数_バス貨物_軽油,係数_バス貨物_メタノール,係数_バス貨物_LPG),MATCH(AY790+1,【参考】排出係数!$AI$4:$AI$671,1)-1,5,BE790),3,FALSE),IF(OR(AW790=1,AW790=2),VLOOKUP(AU790,INDEX((係数_乗用_ガソリン,係数_乗用_CNG,係数_乗用_軽油,係数_乗用_メタノール,係数_乗用_LPG),1,1,BE790):INDEX((係数_乗用_ガソリン,係数_乗用_CNG,係数_乗用_軽油,係数_乗用_メタノール,係数_乗用_LPG),125,5,BE790),3,FALSE))))))</f>
        <v/>
      </c>
      <c r="BC790" s="467" t="str">
        <f t="shared" si="444"/>
        <v/>
      </c>
      <c r="BD790" s="567" t="str">
        <f t="shared" si="445"/>
        <v/>
      </c>
      <c r="BE790" s="467" t="str">
        <f t="shared" si="446"/>
        <v/>
      </c>
      <c r="BF790" s="469" t="str">
        <f t="shared" ca="1" si="447"/>
        <v/>
      </c>
      <c r="BG790" s="469" t="str">
        <f t="shared" ca="1" si="448"/>
        <v/>
      </c>
      <c r="BH790" s="467" t="str">
        <f t="shared" si="449"/>
        <v/>
      </c>
      <c r="BI790" s="467" t="str">
        <f t="shared" ca="1" si="450"/>
        <v/>
      </c>
      <c r="BJ790" s="469" t="str">
        <f t="shared" si="451"/>
        <v/>
      </c>
      <c r="BK790" s="470" t="str">
        <f t="shared" si="435"/>
        <v/>
      </c>
      <c r="BL790" s="775" t="str">
        <f t="shared" si="452"/>
        <v/>
      </c>
      <c r="BM790" s="775" t="str">
        <f t="shared" si="453"/>
        <v/>
      </c>
    </row>
    <row r="791" spans="1:65">
      <c r="A791" s="473">
        <v>735</v>
      </c>
      <c r="B791" s="132"/>
      <c r="C791" s="332"/>
      <c r="D791" s="333"/>
      <c r="E791" s="333"/>
      <c r="F791" s="334"/>
      <c r="G791" s="337"/>
      <c r="H791" s="131"/>
      <c r="I791" s="337"/>
      <c r="J791" s="131"/>
      <c r="K791" s="458" t="str">
        <f t="shared" si="416"/>
        <v/>
      </c>
      <c r="L791" s="458">
        <f t="shared" si="417"/>
        <v>0</v>
      </c>
      <c r="M791" s="458">
        <f t="shared" si="418"/>
        <v>0</v>
      </c>
      <c r="N791" s="459" t="str">
        <f t="shared" si="429"/>
        <v/>
      </c>
      <c r="O791" s="459" t="str">
        <f t="shared" si="430"/>
        <v/>
      </c>
      <c r="P791" s="459" t="str">
        <f t="shared" si="431"/>
        <v/>
      </c>
      <c r="Q791" s="459" t="str">
        <f t="shared" si="432"/>
        <v/>
      </c>
      <c r="R791" s="459" t="str">
        <f t="shared" si="433"/>
        <v/>
      </c>
      <c r="S791" s="459" t="str">
        <f t="shared" si="434"/>
        <v/>
      </c>
      <c r="T791" s="566" t="str">
        <f t="shared" si="419"/>
        <v/>
      </c>
      <c r="U791" s="702"/>
      <c r="V791" s="132"/>
      <c r="W791" s="133"/>
      <c r="X791" s="134"/>
      <c r="Y791" s="135"/>
      <c r="Z791" s="137"/>
      <c r="AA791" s="136"/>
      <c r="AB791" s="566" t="str">
        <f t="shared" si="420"/>
        <v/>
      </c>
      <c r="AC791" s="568" t="str">
        <f t="shared" si="421"/>
        <v/>
      </c>
      <c r="AD791" s="137"/>
      <c r="AE791" s="137"/>
      <c r="AF791" s="138"/>
      <c r="AG791" s="138"/>
      <c r="AH791" s="592" t="str">
        <f t="shared" si="422"/>
        <v/>
      </c>
      <c r="AI791" s="592" t="str">
        <f t="shared" si="423"/>
        <v/>
      </c>
      <c r="AJ791" s="592" t="str">
        <f t="shared" si="424"/>
        <v/>
      </c>
      <c r="AK791" s="460" t="str">
        <f>IF(AU791="","",IF(OR(AZ791=8,AZ791=9),0,IF(OR(AW791=3,AW791=4,AW791=5,AW791=6),IF(LEFT(BF791,1)="1",INDEX(係数_NOX・PM低減,MATCH(AY791,【参考】排出係数!$AI$801:$AI$804,1),1),VLOOKUP(AU791,INDEX((係数_バス貨物_ガソリン,係数_バス貨物_CNG,係数_バス貨物_軽油,係数_バス貨物_メタノール,係数_バス貨物_LPG),MATCH(AY791,【参考】排出係数!$AI$4:$AI$671,1),1,BE791):INDEX((係数_バス貨物_ガソリン,係数_バス貨物_CNG,係数_バス貨物_軽油,係数_バス貨物_メタノール,係数_バス貨物_LPG),MATCH(AY791+1,【参考】排出係数!$AI$4:$AI$671,1)-1,5,BE791),4,FALSE)),IF(AND(BE791=3,LEFT(BF791,1)="1"),0.48,VLOOKUP(AU791,INDEX((係数_乗用_ガソリン,係数_乗用_CNG,係数_乗用_軽油,係数_乗用_メタノール,係数_乗用_LPG),1,1,BE791):INDEX((係数_乗用_ガソリン,係数_乗用_CNG,係数_乗用_軽油,係数_乗用_メタノール,係数_乗用_LPG),125,5,BE791),4,FALSE)))))</f>
        <v/>
      </c>
      <c r="AL791" s="461" t="str">
        <f t="shared" si="425"/>
        <v/>
      </c>
      <c r="AM791" s="460" t="str">
        <f>IF(AU791="","",IF(OR(AZ791=8,AZ791=9),0,IF(OR(AW791=3,AW791=4,AW791=5,AW791=6),IF(LEFT(BH791,1)="1",INDEX(係数_PM低減,MATCH(AY791,【参考】排出係数!$AI$801:$AI$804,1),MATCH(BI791,【参考】排出係数!$AL$798:$AO$798,1)),VLOOKUP(AU791,INDEX((係数_バス貨物_ガソリン,係数_バス貨物_CNG,係数_バス貨物_軽油,係数_バス貨物_メタノール,係数_バス貨物_LPG),MATCH(AY791,【参考】排出係数!$AI$4:$AI$671,1),1,BE791):INDEX((係数_バス貨物_ガソリン,係数_バス貨物_CNG,係数_バス貨物_軽油,係数_バス貨物_メタノール,係数_バス貨物_LPG),MATCH(AY791+1,【参考】排出係数!$AI$4:$AI$671,1)-1,5,BE791),5,FALSE)),IF(AND(BE791=3,LEFT(BF791,1)="1"),0.055,VLOOKUP(AU791,INDEX((係数_乗用_ガソリン,係数_乗用_CNG,係数_乗用_軽油,係数_乗用_メタノール,係数_乗用_LPG),1,1,BE791):INDEX((係数_乗用_ガソリン,係数_乗用_CNG,係数_乗用_軽油,係数_乗用_メタノール,係数_乗用_LPG),125,5,BE791),5,FALSE)))))</f>
        <v/>
      </c>
      <c r="AN791" s="461" t="str">
        <f t="shared" si="426"/>
        <v/>
      </c>
      <c r="AO791" s="462" t="str">
        <f t="shared" si="427"/>
        <v/>
      </c>
      <c r="AP791" s="463" t="str">
        <f t="shared" si="428"/>
        <v/>
      </c>
      <c r="AQ791" s="464"/>
      <c r="AR791" s="619"/>
      <c r="AS791" s="465" t="str">
        <f t="shared" si="436"/>
        <v/>
      </c>
      <c r="AT791" s="465" t="str">
        <f t="shared" si="437"/>
        <v/>
      </c>
      <c r="AU791" s="466" t="str">
        <f t="shared" si="438"/>
        <v/>
      </c>
      <c r="AV791" s="467" t="str">
        <f t="shared" si="439"/>
        <v/>
      </c>
      <c r="AW791" s="467" t="str">
        <f t="shared" si="440"/>
        <v/>
      </c>
      <c r="AX791" s="467" t="str">
        <f t="shared" si="441"/>
        <v/>
      </c>
      <c r="AY791" s="467" t="str">
        <f t="shared" si="442"/>
        <v/>
      </c>
      <c r="AZ791" s="467" t="str">
        <f t="shared" si="443"/>
        <v/>
      </c>
      <c r="BA791" s="468" t="str">
        <f>IF(AS791="","",IF(OR(AU791="",AU791="-"),"－",IF(OR(AZ791=8,AZ791=9),"",IF(OR(AW791=3,AW791=4,AW791=5,AW791=6),VLOOKUP(AU791,INDEX((係数_バス貨物_ガソリン,係数_バス貨物_CNG,係数_バス貨物_軽油,係数_バス貨物_メタノール,係数_バス貨物_LPG),MATCH(AY791,【参考】排出係数!$AI$4:$AI$671,1),1,BE791):INDEX((係数_バス貨物_ガソリン,係数_バス貨物_CNG,係数_バス貨物_軽油,係数_バス貨物_メタノール,係数_バス貨物_LPG),MATCH(AY791+1,【参考】排出係数!$AI$4:$AI$671,1)-1,5,BE791),2,FALSE),IF(OR(AW791=1,AW791=2),VLOOKUP(AU791,INDEX((係数_乗用_ガソリン,係数_乗用_CNG,係数_乗用_軽油,係数_乗用_メタノール,係数_乗用_LPG),1,1,BE791):INDEX((係数_乗用_ガソリン,係数_乗用_CNG,係数_乗用_軽油,係数_乗用_メタノール,係数_乗用_LPG),125,5,BE791),2,FALSE))))))</f>
        <v/>
      </c>
      <c r="BB791" s="468" t="str">
        <f>IF(T791="","",IF(OR(AU791="",AU791="-"),"－",IF(OR(AZ791=8,AZ791=9),"",IF(OR(AW791=3,AW791=4,AW791=5,AW791=6),VLOOKUP(AU791,INDEX((係数_バス貨物_ガソリン,係数_バス貨物_CNG,係数_バス貨物_軽油,係数_バス貨物_メタノール,係数_バス貨物_LPG),MATCH(AY791,【参考】排出係数!$AI$4:$AI$671,1),1,BE791):INDEX((係数_バス貨物_ガソリン,係数_バス貨物_CNG,係数_バス貨物_軽油,係数_バス貨物_メタノール,係数_バス貨物_LPG),MATCH(AY791+1,【参考】排出係数!$AI$4:$AI$671,1)-1,5,BE791),3,FALSE),IF(OR(AW791=1,AW791=2),VLOOKUP(AU791,INDEX((係数_乗用_ガソリン,係数_乗用_CNG,係数_乗用_軽油,係数_乗用_メタノール,係数_乗用_LPG),1,1,BE791):INDEX((係数_乗用_ガソリン,係数_乗用_CNG,係数_乗用_軽油,係数_乗用_メタノール,係数_乗用_LPG),125,5,BE791),3,FALSE))))))</f>
        <v/>
      </c>
      <c r="BC791" s="467" t="str">
        <f t="shared" si="444"/>
        <v/>
      </c>
      <c r="BD791" s="567" t="str">
        <f t="shared" si="445"/>
        <v/>
      </c>
      <c r="BE791" s="467" t="str">
        <f t="shared" si="446"/>
        <v/>
      </c>
      <c r="BF791" s="469" t="str">
        <f t="shared" ca="1" si="447"/>
        <v/>
      </c>
      <c r="BG791" s="469" t="str">
        <f t="shared" ca="1" si="448"/>
        <v/>
      </c>
      <c r="BH791" s="467" t="str">
        <f t="shared" si="449"/>
        <v/>
      </c>
      <c r="BI791" s="467" t="str">
        <f t="shared" ca="1" si="450"/>
        <v/>
      </c>
      <c r="BJ791" s="469" t="str">
        <f t="shared" si="451"/>
        <v/>
      </c>
      <c r="BK791" s="470" t="str">
        <f t="shared" si="435"/>
        <v/>
      </c>
      <c r="BL791" s="775" t="str">
        <f t="shared" si="452"/>
        <v/>
      </c>
      <c r="BM791" s="775" t="str">
        <f t="shared" si="453"/>
        <v/>
      </c>
    </row>
    <row r="792" spans="1:65">
      <c r="A792" s="473">
        <v>736</v>
      </c>
      <c r="B792" s="132"/>
      <c r="C792" s="332"/>
      <c r="D792" s="333"/>
      <c r="E792" s="333"/>
      <c r="F792" s="334"/>
      <c r="G792" s="337"/>
      <c r="H792" s="131"/>
      <c r="I792" s="337"/>
      <c r="J792" s="131"/>
      <c r="K792" s="458" t="str">
        <f t="shared" si="416"/>
        <v/>
      </c>
      <c r="L792" s="458">
        <f t="shared" si="417"/>
        <v>0</v>
      </c>
      <c r="M792" s="458">
        <f t="shared" si="418"/>
        <v>0</v>
      </c>
      <c r="N792" s="459" t="str">
        <f t="shared" si="429"/>
        <v/>
      </c>
      <c r="O792" s="459" t="str">
        <f t="shared" si="430"/>
        <v/>
      </c>
      <c r="P792" s="459" t="str">
        <f t="shared" si="431"/>
        <v/>
      </c>
      <c r="Q792" s="459" t="str">
        <f t="shared" si="432"/>
        <v/>
      </c>
      <c r="R792" s="459" t="str">
        <f t="shared" si="433"/>
        <v/>
      </c>
      <c r="S792" s="459" t="str">
        <f t="shared" si="434"/>
        <v/>
      </c>
      <c r="T792" s="566" t="str">
        <f t="shared" si="419"/>
        <v/>
      </c>
      <c r="U792" s="702"/>
      <c r="V792" s="132"/>
      <c r="W792" s="133"/>
      <c r="X792" s="134"/>
      <c r="Y792" s="135"/>
      <c r="Z792" s="137"/>
      <c r="AA792" s="136"/>
      <c r="AB792" s="566" t="str">
        <f t="shared" si="420"/>
        <v/>
      </c>
      <c r="AC792" s="568" t="str">
        <f t="shared" si="421"/>
        <v/>
      </c>
      <c r="AD792" s="137"/>
      <c r="AE792" s="137"/>
      <c r="AF792" s="138"/>
      <c r="AG792" s="138"/>
      <c r="AH792" s="592" t="str">
        <f t="shared" si="422"/>
        <v/>
      </c>
      <c r="AI792" s="592" t="str">
        <f t="shared" si="423"/>
        <v/>
      </c>
      <c r="AJ792" s="592" t="str">
        <f t="shared" si="424"/>
        <v/>
      </c>
      <c r="AK792" s="460" t="str">
        <f>IF(AU792="","",IF(OR(AZ792=8,AZ792=9),0,IF(OR(AW792=3,AW792=4,AW792=5,AW792=6),IF(LEFT(BF792,1)="1",INDEX(係数_NOX・PM低減,MATCH(AY792,【参考】排出係数!$AI$801:$AI$804,1),1),VLOOKUP(AU792,INDEX((係数_バス貨物_ガソリン,係数_バス貨物_CNG,係数_バス貨物_軽油,係数_バス貨物_メタノール,係数_バス貨物_LPG),MATCH(AY792,【参考】排出係数!$AI$4:$AI$671,1),1,BE792):INDEX((係数_バス貨物_ガソリン,係数_バス貨物_CNG,係数_バス貨物_軽油,係数_バス貨物_メタノール,係数_バス貨物_LPG),MATCH(AY792+1,【参考】排出係数!$AI$4:$AI$671,1)-1,5,BE792),4,FALSE)),IF(AND(BE792=3,LEFT(BF792,1)="1"),0.48,VLOOKUP(AU792,INDEX((係数_乗用_ガソリン,係数_乗用_CNG,係数_乗用_軽油,係数_乗用_メタノール,係数_乗用_LPG),1,1,BE792):INDEX((係数_乗用_ガソリン,係数_乗用_CNG,係数_乗用_軽油,係数_乗用_メタノール,係数_乗用_LPG),125,5,BE792),4,FALSE)))))</f>
        <v/>
      </c>
      <c r="AL792" s="461" t="str">
        <f t="shared" si="425"/>
        <v/>
      </c>
      <c r="AM792" s="460" t="str">
        <f>IF(AU792="","",IF(OR(AZ792=8,AZ792=9),0,IF(OR(AW792=3,AW792=4,AW792=5,AW792=6),IF(LEFT(BH792,1)="1",INDEX(係数_PM低減,MATCH(AY792,【参考】排出係数!$AI$801:$AI$804,1),MATCH(BI792,【参考】排出係数!$AL$798:$AO$798,1)),VLOOKUP(AU792,INDEX((係数_バス貨物_ガソリン,係数_バス貨物_CNG,係数_バス貨物_軽油,係数_バス貨物_メタノール,係数_バス貨物_LPG),MATCH(AY792,【参考】排出係数!$AI$4:$AI$671,1),1,BE792):INDEX((係数_バス貨物_ガソリン,係数_バス貨物_CNG,係数_バス貨物_軽油,係数_バス貨物_メタノール,係数_バス貨物_LPG),MATCH(AY792+1,【参考】排出係数!$AI$4:$AI$671,1)-1,5,BE792),5,FALSE)),IF(AND(BE792=3,LEFT(BF792,1)="1"),0.055,VLOOKUP(AU792,INDEX((係数_乗用_ガソリン,係数_乗用_CNG,係数_乗用_軽油,係数_乗用_メタノール,係数_乗用_LPG),1,1,BE792):INDEX((係数_乗用_ガソリン,係数_乗用_CNG,係数_乗用_軽油,係数_乗用_メタノール,係数_乗用_LPG),125,5,BE792),5,FALSE)))))</f>
        <v/>
      </c>
      <c r="AN792" s="461" t="str">
        <f t="shared" si="426"/>
        <v/>
      </c>
      <c r="AO792" s="462" t="str">
        <f t="shared" si="427"/>
        <v/>
      </c>
      <c r="AP792" s="463" t="str">
        <f t="shared" si="428"/>
        <v/>
      </c>
      <c r="AQ792" s="464"/>
      <c r="AR792" s="619"/>
      <c r="AS792" s="465" t="str">
        <f t="shared" si="436"/>
        <v/>
      </c>
      <c r="AT792" s="465" t="str">
        <f t="shared" si="437"/>
        <v/>
      </c>
      <c r="AU792" s="466" t="str">
        <f t="shared" si="438"/>
        <v/>
      </c>
      <c r="AV792" s="467" t="str">
        <f t="shared" si="439"/>
        <v/>
      </c>
      <c r="AW792" s="467" t="str">
        <f t="shared" si="440"/>
        <v/>
      </c>
      <c r="AX792" s="467" t="str">
        <f t="shared" si="441"/>
        <v/>
      </c>
      <c r="AY792" s="467" t="str">
        <f t="shared" si="442"/>
        <v/>
      </c>
      <c r="AZ792" s="467" t="str">
        <f t="shared" si="443"/>
        <v/>
      </c>
      <c r="BA792" s="468" t="str">
        <f>IF(AS792="","",IF(OR(AU792="",AU792="-"),"－",IF(OR(AZ792=8,AZ792=9),"",IF(OR(AW792=3,AW792=4,AW792=5,AW792=6),VLOOKUP(AU792,INDEX((係数_バス貨物_ガソリン,係数_バス貨物_CNG,係数_バス貨物_軽油,係数_バス貨物_メタノール,係数_バス貨物_LPG),MATCH(AY792,【参考】排出係数!$AI$4:$AI$671,1),1,BE792):INDEX((係数_バス貨物_ガソリン,係数_バス貨物_CNG,係数_バス貨物_軽油,係数_バス貨物_メタノール,係数_バス貨物_LPG),MATCH(AY792+1,【参考】排出係数!$AI$4:$AI$671,1)-1,5,BE792),2,FALSE),IF(OR(AW792=1,AW792=2),VLOOKUP(AU792,INDEX((係数_乗用_ガソリン,係数_乗用_CNG,係数_乗用_軽油,係数_乗用_メタノール,係数_乗用_LPG),1,1,BE792):INDEX((係数_乗用_ガソリン,係数_乗用_CNG,係数_乗用_軽油,係数_乗用_メタノール,係数_乗用_LPG),125,5,BE792),2,FALSE))))))</f>
        <v/>
      </c>
      <c r="BB792" s="468" t="str">
        <f>IF(T792="","",IF(OR(AU792="",AU792="-"),"－",IF(OR(AZ792=8,AZ792=9),"",IF(OR(AW792=3,AW792=4,AW792=5,AW792=6),VLOOKUP(AU792,INDEX((係数_バス貨物_ガソリン,係数_バス貨物_CNG,係数_バス貨物_軽油,係数_バス貨物_メタノール,係数_バス貨物_LPG),MATCH(AY792,【参考】排出係数!$AI$4:$AI$671,1),1,BE792):INDEX((係数_バス貨物_ガソリン,係数_バス貨物_CNG,係数_バス貨物_軽油,係数_バス貨物_メタノール,係数_バス貨物_LPG),MATCH(AY792+1,【参考】排出係数!$AI$4:$AI$671,1)-1,5,BE792),3,FALSE),IF(OR(AW792=1,AW792=2),VLOOKUP(AU792,INDEX((係数_乗用_ガソリン,係数_乗用_CNG,係数_乗用_軽油,係数_乗用_メタノール,係数_乗用_LPG),1,1,BE792):INDEX((係数_乗用_ガソリン,係数_乗用_CNG,係数_乗用_軽油,係数_乗用_メタノール,係数_乗用_LPG),125,5,BE792),3,FALSE))))))</f>
        <v/>
      </c>
      <c r="BC792" s="467" t="str">
        <f t="shared" si="444"/>
        <v/>
      </c>
      <c r="BD792" s="567" t="str">
        <f t="shared" si="445"/>
        <v/>
      </c>
      <c r="BE792" s="467" t="str">
        <f t="shared" si="446"/>
        <v/>
      </c>
      <c r="BF792" s="469" t="str">
        <f t="shared" ca="1" si="447"/>
        <v/>
      </c>
      <c r="BG792" s="469" t="str">
        <f t="shared" ca="1" si="448"/>
        <v/>
      </c>
      <c r="BH792" s="467" t="str">
        <f t="shared" si="449"/>
        <v/>
      </c>
      <c r="BI792" s="467" t="str">
        <f t="shared" ca="1" si="450"/>
        <v/>
      </c>
      <c r="BJ792" s="469" t="str">
        <f t="shared" si="451"/>
        <v/>
      </c>
      <c r="BK792" s="470" t="str">
        <f t="shared" si="435"/>
        <v/>
      </c>
      <c r="BL792" s="775" t="str">
        <f t="shared" si="452"/>
        <v/>
      </c>
      <c r="BM792" s="775" t="str">
        <f t="shared" si="453"/>
        <v/>
      </c>
    </row>
    <row r="793" spans="1:65">
      <c r="A793" s="473">
        <v>737</v>
      </c>
      <c r="B793" s="132"/>
      <c r="C793" s="332"/>
      <c r="D793" s="333"/>
      <c r="E793" s="333"/>
      <c r="F793" s="334"/>
      <c r="G793" s="337"/>
      <c r="H793" s="131"/>
      <c r="I793" s="337"/>
      <c r="J793" s="131"/>
      <c r="K793" s="458" t="str">
        <f t="shared" si="416"/>
        <v/>
      </c>
      <c r="L793" s="458">
        <f t="shared" si="417"/>
        <v>0</v>
      </c>
      <c r="M793" s="458">
        <f t="shared" si="418"/>
        <v>0</v>
      </c>
      <c r="N793" s="459" t="str">
        <f t="shared" si="429"/>
        <v/>
      </c>
      <c r="O793" s="459" t="str">
        <f t="shared" si="430"/>
        <v/>
      </c>
      <c r="P793" s="459" t="str">
        <f t="shared" si="431"/>
        <v/>
      </c>
      <c r="Q793" s="459" t="str">
        <f t="shared" si="432"/>
        <v/>
      </c>
      <c r="R793" s="459" t="str">
        <f t="shared" si="433"/>
        <v/>
      </c>
      <c r="S793" s="459" t="str">
        <f t="shared" si="434"/>
        <v/>
      </c>
      <c r="T793" s="566" t="str">
        <f t="shared" si="419"/>
        <v/>
      </c>
      <c r="U793" s="702"/>
      <c r="V793" s="132"/>
      <c r="W793" s="133"/>
      <c r="X793" s="134"/>
      <c r="Y793" s="135"/>
      <c r="Z793" s="137"/>
      <c r="AA793" s="136"/>
      <c r="AB793" s="566" t="str">
        <f t="shared" si="420"/>
        <v/>
      </c>
      <c r="AC793" s="568" t="str">
        <f t="shared" si="421"/>
        <v/>
      </c>
      <c r="AD793" s="137"/>
      <c r="AE793" s="137"/>
      <c r="AF793" s="138"/>
      <c r="AG793" s="138"/>
      <c r="AH793" s="592" t="str">
        <f t="shared" si="422"/>
        <v/>
      </c>
      <c r="AI793" s="592" t="str">
        <f t="shared" si="423"/>
        <v/>
      </c>
      <c r="AJ793" s="592" t="str">
        <f t="shared" si="424"/>
        <v/>
      </c>
      <c r="AK793" s="460" t="str">
        <f>IF(AU793="","",IF(OR(AZ793=8,AZ793=9),0,IF(OR(AW793=3,AW793=4,AW793=5,AW793=6),IF(LEFT(BF793,1)="1",INDEX(係数_NOX・PM低減,MATCH(AY793,【参考】排出係数!$AI$801:$AI$804,1),1),VLOOKUP(AU793,INDEX((係数_バス貨物_ガソリン,係数_バス貨物_CNG,係数_バス貨物_軽油,係数_バス貨物_メタノール,係数_バス貨物_LPG),MATCH(AY793,【参考】排出係数!$AI$4:$AI$671,1),1,BE793):INDEX((係数_バス貨物_ガソリン,係数_バス貨物_CNG,係数_バス貨物_軽油,係数_バス貨物_メタノール,係数_バス貨物_LPG),MATCH(AY793+1,【参考】排出係数!$AI$4:$AI$671,1)-1,5,BE793),4,FALSE)),IF(AND(BE793=3,LEFT(BF793,1)="1"),0.48,VLOOKUP(AU793,INDEX((係数_乗用_ガソリン,係数_乗用_CNG,係数_乗用_軽油,係数_乗用_メタノール,係数_乗用_LPG),1,1,BE793):INDEX((係数_乗用_ガソリン,係数_乗用_CNG,係数_乗用_軽油,係数_乗用_メタノール,係数_乗用_LPG),125,5,BE793),4,FALSE)))))</f>
        <v/>
      </c>
      <c r="AL793" s="461" t="str">
        <f t="shared" si="425"/>
        <v/>
      </c>
      <c r="AM793" s="460" t="str">
        <f>IF(AU793="","",IF(OR(AZ793=8,AZ793=9),0,IF(OR(AW793=3,AW793=4,AW793=5,AW793=6),IF(LEFT(BH793,1)="1",INDEX(係数_PM低減,MATCH(AY793,【参考】排出係数!$AI$801:$AI$804,1),MATCH(BI793,【参考】排出係数!$AL$798:$AO$798,1)),VLOOKUP(AU793,INDEX((係数_バス貨物_ガソリン,係数_バス貨物_CNG,係数_バス貨物_軽油,係数_バス貨物_メタノール,係数_バス貨物_LPG),MATCH(AY793,【参考】排出係数!$AI$4:$AI$671,1),1,BE793):INDEX((係数_バス貨物_ガソリン,係数_バス貨物_CNG,係数_バス貨物_軽油,係数_バス貨物_メタノール,係数_バス貨物_LPG),MATCH(AY793+1,【参考】排出係数!$AI$4:$AI$671,1)-1,5,BE793),5,FALSE)),IF(AND(BE793=3,LEFT(BF793,1)="1"),0.055,VLOOKUP(AU793,INDEX((係数_乗用_ガソリン,係数_乗用_CNG,係数_乗用_軽油,係数_乗用_メタノール,係数_乗用_LPG),1,1,BE793):INDEX((係数_乗用_ガソリン,係数_乗用_CNG,係数_乗用_軽油,係数_乗用_メタノール,係数_乗用_LPG),125,5,BE793),5,FALSE)))))</f>
        <v/>
      </c>
      <c r="AN793" s="461" t="str">
        <f t="shared" si="426"/>
        <v/>
      </c>
      <c r="AO793" s="462" t="str">
        <f t="shared" si="427"/>
        <v/>
      </c>
      <c r="AP793" s="463" t="str">
        <f t="shared" si="428"/>
        <v/>
      </c>
      <c r="AQ793" s="464"/>
      <c r="AR793" s="619"/>
      <c r="AS793" s="465" t="str">
        <f t="shared" si="436"/>
        <v/>
      </c>
      <c r="AT793" s="465" t="str">
        <f t="shared" si="437"/>
        <v/>
      </c>
      <c r="AU793" s="466" t="str">
        <f t="shared" si="438"/>
        <v/>
      </c>
      <c r="AV793" s="467" t="str">
        <f t="shared" si="439"/>
        <v/>
      </c>
      <c r="AW793" s="467" t="str">
        <f t="shared" si="440"/>
        <v/>
      </c>
      <c r="AX793" s="467" t="str">
        <f t="shared" si="441"/>
        <v/>
      </c>
      <c r="AY793" s="467" t="str">
        <f t="shared" si="442"/>
        <v/>
      </c>
      <c r="AZ793" s="467" t="str">
        <f t="shared" si="443"/>
        <v/>
      </c>
      <c r="BA793" s="468" t="str">
        <f>IF(AS793="","",IF(OR(AU793="",AU793="-"),"－",IF(OR(AZ793=8,AZ793=9),"",IF(OR(AW793=3,AW793=4,AW793=5,AW793=6),VLOOKUP(AU793,INDEX((係数_バス貨物_ガソリン,係数_バス貨物_CNG,係数_バス貨物_軽油,係数_バス貨物_メタノール,係数_バス貨物_LPG),MATCH(AY793,【参考】排出係数!$AI$4:$AI$671,1),1,BE793):INDEX((係数_バス貨物_ガソリン,係数_バス貨物_CNG,係数_バス貨物_軽油,係数_バス貨物_メタノール,係数_バス貨物_LPG),MATCH(AY793+1,【参考】排出係数!$AI$4:$AI$671,1)-1,5,BE793),2,FALSE),IF(OR(AW793=1,AW793=2),VLOOKUP(AU793,INDEX((係数_乗用_ガソリン,係数_乗用_CNG,係数_乗用_軽油,係数_乗用_メタノール,係数_乗用_LPG),1,1,BE793):INDEX((係数_乗用_ガソリン,係数_乗用_CNG,係数_乗用_軽油,係数_乗用_メタノール,係数_乗用_LPG),125,5,BE793),2,FALSE))))))</f>
        <v/>
      </c>
      <c r="BB793" s="468" t="str">
        <f>IF(T793="","",IF(OR(AU793="",AU793="-"),"－",IF(OR(AZ793=8,AZ793=9),"",IF(OR(AW793=3,AW793=4,AW793=5,AW793=6),VLOOKUP(AU793,INDEX((係数_バス貨物_ガソリン,係数_バス貨物_CNG,係数_バス貨物_軽油,係数_バス貨物_メタノール,係数_バス貨物_LPG),MATCH(AY793,【参考】排出係数!$AI$4:$AI$671,1),1,BE793):INDEX((係数_バス貨物_ガソリン,係数_バス貨物_CNG,係数_バス貨物_軽油,係数_バス貨物_メタノール,係数_バス貨物_LPG),MATCH(AY793+1,【参考】排出係数!$AI$4:$AI$671,1)-1,5,BE793),3,FALSE),IF(OR(AW793=1,AW793=2),VLOOKUP(AU793,INDEX((係数_乗用_ガソリン,係数_乗用_CNG,係数_乗用_軽油,係数_乗用_メタノール,係数_乗用_LPG),1,1,BE793):INDEX((係数_乗用_ガソリン,係数_乗用_CNG,係数_乗用_軽油,係数_乗用_メタノール,係数_乗用_LPG),125,5,BE793),3,FALSE))))))</f>
        <v/>
      </c>
      <c r="BC793" s="467" t="str">
        <f t="shared" si="444"/>
        <v/>
      </c>
      <c r="BD793" s="567" t="str">
        <f t="shared" si="445"/>
        <v/>
      </c>
      <c r="BE793" s="467" t="str">
        <f t="shared" si="446"/>
        <v/>
      </c>
      <c r="BF793" s="469" t="str">
        <f t="shared" ca="1" si="447"/>
        <v/>
      </c>
      <c r="BG793" s="469" t="str">
        <f t="shared" ca="1" si="448"/>
        <v/>
      </c>
      <c r="BH793" s="467" t="str">
        <f t="shared" si="449"/>
        <v/>
      </c>
      <c r="BI793" s="467" t="str">
        <f t="shared" ca="1" si="450"/>
        <v/>
      </c>
      <c r="BJ793" s="469" t="str">
        <f t="shared" si="451"/>
        <v/>
      </c>
      <c r="BK793" s="470" t="str">
        <f t="shared" si="435"/>
        <v/>
      </c>
      <c r="BL793" s="775" t="str">
        <f t="shared" si="452"/>
        <v/>
      </c>
      <c r="BM793" s="775" t="str">
        <f t="shared" si="453"/>
        <v/>
      </c>
    </row>
    <row r="794" spans="1:65">
      <c r="A794" s="473">
        <v>738</v>
      </c>
      <c r="B794" s="132"/>
      <c r="C794" s="332"/>
      <c r="D794" s="333"/>
      <c r="E794" s="333"/>
      <c r="F794" s="334"/>
      <c r="G794" s="337"/>
      <c r="H794" s="131"/>
      <c r="I794" s="337"/>
      <c r="J794" s="131"/>
      <c r="K794" s="458" t="str">
        <f t="shared" si="416"/>
        <v/>
      </c>
      <c r="L794" s="458">
        <f t="shared" si="417"/>
        <v>0</v>
      </c>
      <c r="M794" s="458">
        <f t="shared" si="418"/>
        <v>0</v>
      </c>
      <c r="N794" s="459" t="str">
        <f t="shared" si="429"/>
        <v/>
      </c>
      <c r="O794" s="459" t="str">
        <f t="shared" si="430"/>
        <v/>
      </c>
      <c r="P794" s="459" t="str">
        <f t="shared" si="431"/>
        <v/>
      </c>
      <c r="Q794" s="459" t="str">
        <f t="shared" si="432"/>
        <v/>
      </c>
      <c r="R794" s="459" t="str">
        <f t="shared" si="433"/>
        <v/>
      </c>
      <c r="S794" s="459" t="str">
        <f t="shared" si="434"/>
        <v/>
      </c>
      <c r="T794" s="566" t="str">
        <f t="shared" si="419"/>
        <v/>
      </c>
      <c r="U794" s="702"/>
      <c r="V794" s="132"/>
      <c r="W794" s="133"/>
      <c r="X794" s="134"/>
      <c r="Y794" s="135"/>
      <c r="Z794" s="137"/>
      <c r="AA794" s="136"/>
      <c r="AB794" s="566" t="str">
        <f t="shared" si="420"/>
        <v/>
      </c>
      <c r="AC794" s="568" t="str">
        <f t="shared" si="421"/>
        <v/>
      </c>
      <c r="AD794" s="137"/>
      <c r="AE794" s="137"/>
      <c r="AF794" s="138"/>
      <c r="AG794" s="138"/>
      <c r="AH794" s="592" t="str">
        <f t="shared" si="422"/>
        <v/>
      </c>
      <c r="AI794" s="592" t="str">
        <f t="shared" si="423"/>
        <v/>
      </c>
      <c r="AJ794" s="592" t="str">
        <f t="shared" si="424"/>
        <v/>
      </c>
      <c r="AK794" s="460" t="str">
        <f>IF(AU794="","",IF(OR(AZ794=8,AZ794=9),0,IF(OR(AW794=3,AW794=4,AW794=5,AW794=6),IF(LEFT(BF794,1)="1",INDEX(係数_NOX・PM低減,MATCH(AY794,【参考】排出係数!$AI$801:$AI$804,1),1),VLOOKUP(AU794,INDEX((係数_バス貨物_ガソリン,係数_バス貨物_CNG,係数_バス貨物_軽油,係数_バス貨物_メタノール,係数_バス貨物_LPG),MATCH(AY794,【参考】排出係数!$AI$4:$AI$671,1),1,BE794):INDEX((係数_バス貨物_ガソリン,係数_バス貨物_CNG,係数_バス貨物_軽油,係数_バス貨物_メタノール,係数_バス貨物_LPG),MATCH(AY794+1,【参考】排出係数!$AI$4:$AI$671,1)-1,5,BE794),4,FALSE)),IF(AND(BE794=3,LEFT(BF794,1)="1"),0.48,VLOOKUP(AU794,INDEX((係数_乗用_ガソリン,係数_乗用_CNG,係数_乗用_軽油,係数_乗用_メタノール,係数_乗用_LPG),1,1,BE794):INDEX((係数_乗用_ガソリン,係数_乗用_CNG,係数_乗用_軽油,係数_乗用_メタノール,係数_乗用_LPG),125,5,BE794),4,FALSE)))))</f>
        <v/>
      </c>
      <c r="AL794" s="461" t="str">
        <f t="shared" si="425"/>
        <v/>
      </c>
      <c r="AM794" s="460" t="str">
        <f>IF(AU794="","",IF(OR(AZ794=8,AZ794=9),0,IF(OR(AW794=3,AW794=4,AW794=5,AW794=6),IF(LEFT(BH794,1)="1",INDEX(係数_PM低減,MATCH(AY794,【参考】排出係数!$AI$801:$AI$804,1),MATCH(BI794,【参考】排出係数!$AL$798:$AO$798,1)),VLOOKUP(AU794,INDEX((係数_バス貨物_ガソリン,係数_バス貨物_CNG,係数_バス貨物_軽油,係数_バス貨物_メタノール,係数_バス貨物_LPG),MATCH(AY794,【参考】排出係数!$AI$4:$AI$671,1),1,BE794):INDEX((係数_バス貨物_ガソリン,係数_バス貨物_CNG,係数_バス貨物_軽油,係数_バス貨物_メタノール,係数_バス貨物_LPG),MATCH(AY794+1,【参考】排出係数!$AI$4:$AI$671,1)-1,5,BE794),5,FALSE)),IF(AND(BE794=3,LEFT(BF794,1)="1"),0.055,VLOOKUP(AU794,INDEX((係数_乗用_ガソリン,係数_乗用_CNG,係数_乗用_軽油,係数_乗用_メタノール,係数_乗用_LPG),1,1,BE794):INDEX((係数_乗用_ガソリン,係数_乗用_CNG,係数_乗用_軽油,係数_乗用_メタノール,係数_乗用_LPG),125,5,BE794),5,FALSE)))))</f>
        <v/>
      </c>
      <c r="AN794" s="461" t="str">
        <f t="shared" si="426"/>
        <v/>
      </c>
      <c r="AO794" s="462" t="str">
        <f t="shared" si="427"/>
        <v/>
      </c>
      <c r="AP794" s="463" t="str">
        <f t="shared" si="428"/>
        <v/>
      </c>
      <c r="AQ794" s="464"/>
      <c r="AR794" s="619"/>
      <c r="AS794" s="465" t="str">
        <f t="shared" si="436"/>
        <v/>
      </c>
      <c r="AT794" s="465" t="str">
        <f t="shared" si="437"/>
        <v/>
      </c>
      <c r="AU794" s="466" t="str">
        <f t="shared" si="438"/>
        <v/>
      </c>
      <c r="AV794" s="467" t="str">
        <f t="shared" si="439"/>
        <v/>
      </c>
      <c r="AW794" s="467" t="str">
        <f t="shared" si="440"/>
        <v/>
      </c>
      <c r="AX794" s="467" t="str">
        <f t="shared" si="441"/>
        <v/>
      </c>
      <c r="AY794" s="467" t="str">
        <f t="shared" si="442"/>
        <v/>
      </c>
      <c r="AZ794" s="467" t="str">
        <f t="shared" si="443"/>
        <v/>
      </c>
      <c r="BA794" s="468" t="str">
        <f>IF(AS794="","",IF(OR(AU794="",AU794="-"),"－",IF(OR(AZ794=8,AZ794=9),"",IF(OR(AW794=3,AW794=4,AW794=5,AW794=6),VLOOKUP(AU794,INDEX((係数_バス貨物_ガソリン,係数_バス貨物_CNG,係数_バス貨物_軽油,係数_バス貨物_メタノール,係数_バス貨物_LPG),MATCH(AY794,【参考】排出係数!$AI$4:$AI$671,1),1,BE794):INDEX((係数_バス貨物_ガソリン,係数_バス貨物_CNG,係数_バス貨物_軽油,係数_バス貨物_メタノール,係数_バス貨物_LPG),MATCH(AY794+1,【参考】排出係数!$AI$4:$AI$671,1)-1,5,BE794),2,FALSE),IF(OR(AW794=1,AW794=2),VLOOKUP(AU794,INDEX((係数_乗用_ガソリン,係数_乗用_CNG,係数_乗用_軽油,係数_乗用_メタノール,係数_乗用_LPG),1,1,BE794):INDEX((係数_乗用_ガソリン,係数_乗用_CNG,係数_乗用_軽油,係数_乗用_メタノール,係数_乗用_LPG),125,5,BE794),2,FALSE))))))</f>
        <v/>
      </c>
      <c r="BB794" s="468" t="str">
        <f>IF(T794="","",IF(OR(AU794="",AU794="-"),"－",IF(OR(AZ794=8,AZ794=9),"",IF(OR(AW794=3,AW794=4,AW794=5,AW794=6),VLOOKUP(AU794,INDEX((係数_バス貨物_ガソリン,係数_バス貨物_CNG,係数_バス貨物_軽油,係数_バス貨物_メタノール,係数_バス貨物_LPG),MATCH(AY794,【参考】排出係数!$AI$4:$AI$671,1),1,BE794):INDEX((係数_バス貨物_ガソリン,係数_バス貨物_CNG,係数_バス貨物_軽油,係数_バス貨物_メタノール,係数_バス貨物_LPG),MATCH(AY794+1,【参考】排出係数!$AI$4:$AI$671,1)-1,5,BE794),3,FALSE),IF(OR(AW794=1,AW794=2),VLOOKUP(AU794,INDEX((係数_乗用_ガソリン,係数_乗用_CNG,係数_乗用_軽油,係数_乗用_メタノール,係数_乗用_LPG),1,1,BE794):INDEX((係数_乗用_ガソリン,係数_乗用_CNG,係数_乗用_軽油,係数_乗用_メタノール,係数_乗用_LPG),125,5,BE794),3,FALSE))))))</f>
        <v/>
      </c>
      <c r="BC794" s="467" t="str">
        <f t="shared" si="444"/>
        <v/>
      </c>
      <c r="BD794" s="567" t="str">
        <f t="shared" si="445"/>
        <v/>
      </c>
      <c r="BE794" s="467" t="str">
        <f t="shared" si="446"/>
        <v/>
      </c>
      <c r="BF794" s="469" t="str">
        <f t="shared" ca="1" si="447"/>
        <v/>
      </c>
      <c r="BG794" s="469" t="str">
        <f t="shared" ca="1" si="448"/>
        <v/>
      </c>
      <c r="BH794" s="467" t="str">
        <f t="shared" si="449"/>
        <v/>
      </c>
      <c r="BI794" s="467" t="str">
        <f t="shared" ca="1" si="450"/>
        <v/>
      </c>
      <c r="BJ794" s="469" t="str">
        <f t="shared" si="451"/>
        <v/>
      </c>
      <c r="BK794" s="470" t="str">
        <f t="shared" si="435"/>
        <v/>
      </c>
      <c r="BL794" s="775" t="str">
        <f t="shared" si="452"/>
        <v/>
      </c>
      <c r="BM794" s="775" t="str">
        <f t="shared" si="453"/>
        <v/>
      </c>
    </row>
    <row r="795" spans="1:65">
      <c r="A795" s="473">
        <v>739</v>
      </c>
      <c r="B795" s="132"/>
      <c r="C795" s="332"/>
      <c r="D795" s="333"/>
      <c r="E795" s="333"/>
      <c r="F795" s="334"/>
      <c r="G795" s="337"/>
      <c r="H795" s="131"/>
      <c r="I795" s="337"/>
      <c r="J795" s="131"/>
      <c r="K795" s="458" t="str">
        <f t="shared" si="416"/>
        <v/>
      </c>
      <c r="L795" s="458">
        <f t="shared" si="417"/>
        <v>0</v>
      </c>
      <c r="M795" s="458">
        <f t="shared" si="418"/>
        <v>0</v>
      </c>
      <c r="N795" s="459" t="str">
        <f t="shared" si="429"/>
        <v/>
      </c>
      <c r="O795" s="459" t="str">
        <f t="shared" si="430"/>
        <v/>
      </c>
      <c r="P795" s="459" t="str">
        <f t="shared" si="431"/>
        <v/>
      </c>
      <c r="Q795" s="459" t="str">
        <f t="shared" si="432"/>
        <v/>
      </c>
      <c r="R795" s="459" t="str">
        <f t="shared" si="433"/>
        <v/>
      </c>
      <c r="S795" s="459" t="str">
        <f t="shared" si="434"/>
        <v/>
      </c>
      <c r="T795" s="566" t="str">
        <f t="shared" si="419"/>
        <v/>
      </c>
      <c r="U795" s="702"/>
      <c r="V795" s="132"/>
      <c r="W795" s="133"/>
      <c r="X795" s="134"/>
      <c r="Y795" s="135"/>
      <c r="Z795" s="137"/>
      <c r="AA795" s="136"/>
      <c r="AB795" s="566" t="str">
        <f t="shared" si="420"/>
        <v/>
      </c>
      <c r="AC795" s="568" t="str">
        <f t="shared" si="421"/>
        <v/>
      </c>
      <c r="AD795" s="137"/>
      <c r="AE795" s="137"/>
      <c r="AF795" s="138"/>
      <c r="AG795" s="138"/>
      <c r="AH795" s="592" t="str">
        <f t="shared" si="422"/>
        <v/>
      </c>
      <c r="AI795" s="592" t="str">
        <f t="shared" si="423"/>
        <v/>
      </c>
      <c r="AJ795" s="592" t="str">
        <f t="shared" si="424"/>
        <v/>
      </c>
      <c r="AK795" s="460" t="str">
        <f>IF(AU795="","",IF(OR(AZ795=8,AZ795=9),0,IF(OR(AW795=3,AW795=4,AW795=5,AW795=6),IF(LEFT(BF795,1)="1",INDEX(係数_NOX・PM低減,MATCH(AY795,【参考】排出係数!$AI$801:$AI$804,1),1),VLOOKUP(AU795,INDEX((係数_バス貨物_ガソリン,係数_バス貨物_CNG,係数_バス貨物_軽油,係数_バス貨物_メタノール,係数_バス貨物_LPG),MATCH(AY795,【参考】排出係数!$AI$4:$AI$671,1),1,BE795):INDEX((係数_バス貨物_ガソリン,係数_バス貨物_CNG,係数_バス貨物_軽油,係数_バス貨物_メタノール,係数_バス貨物_LPG),MATCH(AY795+1,【参考】排出係数!$AI$4:$AI$671,1)-1,5,BE795),4,FALSE)),IF(AND(BE795=3,LEFT(BF795,1)="1"),0.48,VLOOKUP(AU795,INDEX((係数_乗用_ガソリン,係数_乗用_CNG,係数_乗用_軽油,係数_乗用_メタノール,係数_乗用_LPG),1,1,BE795):INDEX((係数_乗用_ガソリン,係数_乗用_CNG,係数_乗用_軽油,係数_乗用_メタノール,係数_乗用_LPG),125,5,BE795),4,FALSE)))))</f>
        <v/>
      </c>
      <c r="AL795" s="461" t="str">
        <f t="shared" si="425"/>
        <v/>
      </c>
      <c r="AM795" s="460" t="str">
        <f>IF(AU795="","",IF(OR(AZ795=8,AZ795=9),0,IF(OR(AW795=3,AW795=4,AW795=5,AW795=6),IF(LEFT(BH795,1)="1",INDEX(係数_PM低減,MATCH(AY795,【参考】排出係数!$AI$801:$AI$804,1),MATCH(BI795,【参考】排出係数!$AL$798:$AO$798,1)),VLOOKUP(AU795,INDEX((係数_バス貨物_ガソリン,係数_バス貨物_CNG,係数_バス貨物_軽油,係数_バス貨物_メタノール,係数_バス貨物_LPG),MATCH(AY795,【参考】排出係数!$AI$4:$AI$671,1),1,BE795):INDEX((係数_バス貨物_ガソリン,係数_バス貨物_CNG,係数_バス貨物_軽油,係数_バス貨物_メタノール,係数_バス貨物_LPG),MATCH(AY795+1,【参考】排出係数!$AI$4:$AI$671,1)-1,5,BE795),5,FALSE)),IF(AND(BE795=3,LEFT(BF795,1)="1"),0.055,VLOOKUP(AU795,INDEX((係数_乗用_ガソリン,係数_乗用_CNG,係数_乗用_軽油,係数_乗用_メタノール,係数_乗用_LPG),1,1,BE795):INDEX((係数_乗用_ガソリン,係数_乗用_CNG,係数_乗用_軽油,係数_乗用_メタノール,係数_乗用_LPG),125,5,BE795),5,FALSE)))))</f>
        <v/>
      </c>
      <c r="AN795" s="461" t="str">
        <f t="shared" si="426"/>
        <v/>
      </c>
      <c r="AO795" s="462" t="str">
        <f t="shared" si="427"/>
        <v/>
      </c>
      <c r="AP795" s="463" t="str">
        <f t="shared" si="428"/>
        <v/>
      </c>
      <c r="AQ795" s="464"/>
      <c r="AR795" s="619"/>
      <c r="AS795" s="465" t="str">
        <f t="shared" si="436"/>
        <v/>
      </c>
      <c r="AT795" s="465" t="str">
        <f t="shared" si="437"/>
        <v/>
      </c>
      <c r="AU795" s="466" t="str">
        <f t="shared" si="438"/>
        <v/>
      </c>
      <c r="AV795" s="467" t="str">
        <f t="shared" si="439"/>
        <v/>
      </c>
      <c r="AW795" s="467" t="str">
        <f t="shared" si="440"/>
        <v/>
      </c>
      <c r="AX795" s="467" t="str">
        <f t="shared" si="441"/>
        <v/>
      </c>
      <c r="AY795" s="467" t="str">
        <f t="shared" si="442"/>
        <v/>
      </c>
      <c r="AZ795" s="467" t="str">
        <f t="shared" si="443"/>
        <v/>
      </c>
      <c r="BA795" s="468" t="str">
        <f>IF(AS795="","",IF(OR(AU795="",AU795="-"),"－",IF(OR(AZ795=8,AZ795=9),"",IF(OR(AW795=3,AW795=4,AW795=5,AW795=6),VLOOKUP(AU795,INDEX((係数_バス貨物_ガソリン,係数_バス貨物_CNG,係数_バス貨物_軽油,係数_バス貨物_メタノール,係数_バス貨物_LPG),MATCH(AY795,【参考】排出係数!$AI$4:$AI$671,1),1,BE795):INDEX((係数_バス貨物_ガソリン,係数_バス貨物_CNG,係数_バス貨物_軽油,係数_バス貨物_メタノール,係数_バス貨物_LPG),MATCH(AY795+1,【参考】排出係数!$AI$4:$AI$671,1)-1,5,BE795),2,FALSE),IF(OR(AW795=1,AW795=2),VLOOKUP(AU795,INDEX((係数_乗用_ガソリン,係数_乗用_CNG,係数_乗用_軽油,係数_乗用_メタノール,係数_乗用_LPG),1,1,BE795):INDEX((係数_乗用_ガソリン,係数_乗用_CNG,係数_乗用_軽油,係数_乗用_メタノール,係数_乗用_LPG),125,5,BE795),2,FALSE))))))</f>
        <v/>
      </c>
      <c r="BB795" s="468" t="str">
        <f>IF(T795="","",IF(OR(AU795="",AU795="-"),"－",IF(OR(AZ795=8,AZ795=9),"",IF(OR(AW795=3,AW795=4,AW795=5,AW795=6),VLOOKUP(AU795,INDEX((係数_バス貨物_ガソリン,係数_バス貨物_CNG,係数_バス貨物_軽油,係数_バス貨物_メタノール,係数_バス貨物_LPG),MATCH(AY795,【参考】排出係数!$AI$4:$AI$671,1),1,BE795):INDEX((係数_バス貨物_ガソリン,係数_バス貨物_CNG,係数_バス貨物_軽油,係数_バス貨物_メタノール,係数_バス貨物_LPG),MATCH(AY795+1,【参考】排出係数!$AI$4:$AI$671,1)-1,5,BE795),3,FALSE),IF(OR(AW795=1,AW795=2),VLOOKUP(AU795,INDEX((係数_乗用_ガソリン,係数_乗用_CNG,係数_乗用_軽油,係数_乗用_メタノール,係数_乗用_LPG),1,1,BE795):INDEX((係数_乗用_ガソリン,係数_乗用_CNG,係数_乗用_軽油,係数_乗用_メタノール,係数_乗用_LPG),125,5,BE795),3,FALSE))))))</f>
        <v/>
      </c>
      <c r="BC795" s="467" t="str">
        <f t="shared" si="444"/>
        <v/>
      </c>
      <c r="BD795" s="567" t="str">
        <f t="shared" si="445"/>
        <v/>
      </c>
      <c r="BE795" s="467" t="str">
        <f t="shared" si="446"/>
        <v/>
      </c>
      <c r="BF795" s="469" t="str">
        <f t="shared" ca="1" si="447"/>
        <v/>
      </c>
      <c r="BG795" s="469" t="str">
        <f t="shared" ca="1" si="448"/>
        <v/>
      </c>
      <c r="BH795" s="467" t="str">
        <f t="shared" si="449"/>
        <v/>
      </c>
      <c r="BI795" s="467" t="str">
        <f t="shared" ca="1" si="450"/>
        <v/>
      </c>
      <c r="BJ795" s="469" t="str">
        <f t="shared" si="451"/>
        <v/>
      </c>
      <c r="BK795" s="470" t="str">
        <f t="shared" si="435"/>
        <v/>
      </c>
      <c r="BL795" s="775" t="str">
        <f t="shared" si="452"/>
        <v/>
      </c>
      <c r="BM795" s="775" t="str">
        <f t="shared" si="453"/>
        <v/>
      </c>
    </row>
    <row r="796" spans="1:65">
      <c r="A796" s="473">
        <v>740</v>
      </c>
      <c r="B796" s="132"/>
      <c r="C796" s="332"/>
      <c r="D796" s="333"/>
      <c r="E796" s="333"/>
      <c r="F796" s="334"/>
      <c r="G796" s="337"/>
      <c r="H796" s="131"/>
      <c r="I796" s="337"/>
      <c r="J796" s="131"/>
      <c r="K796" s="458" t="str">
        <f t="shared" si="416"/>
        <v/>
      </c>
      <c r="L796" s="458">
        <f t="shared" si="417"/>
        <v>0</v>
      </c>
      <c r="M796" s="458">
        <f t="shared" si="418"/>
        <v>0</v>
      </c>
      <c r="N796" s="459" t="str">
        <f t="shared" si="429"/>
        <v/>
      </c>
      <c r="O796" s="459" t="str">
        <f t="shared" si="430"/>
        <v/>
      </c>
      <c r="P796" s="459" t="str">
        <f t="shared" si="431"/>
        <v/>
      </c>
      <c r="Q796" s="459" t="str">
        <f t="shared" si="432"/>
        <v/>
      </c>
      <c r="R796" s="459" t="str">
        <f t="shared" si="433"/>
        <v/>
      </c>
      <c r="S796" s="459" t="str">
        <f t="shared" si="434"/>
        <v/>
      </c>
      <c r="T796" s="566" t="str">
        <f t="shared" si="419"/>
        <v/>
      </c>
      <c r="U796" s="702"/>
      <c r="V796" s="132"/>
      <c r="W796" s="133"/>
      <c r="X796" s="134"/>
      <c r="Y796" s="135"/>
      <c r="Z796" s="137"/>
      <c r="AA796" s="136"/>
      <c r="AB796" s="566" t="str">
        <f t="shared" si="420"/>
        <v/>
      </c>
      <c r="AC796" s="568" t="str">
        <f t="shared" si="421"/>
        <v/>
      </c>
      <c r="AD796" s="137"/>
      <c r="AE796" s="137"/>
      <c r="AF796" s="138"/>
      <c r="AG796" s="138"/>
      <c r="AH796" s="592" t="str">
        <f t="shared" si="422"/>
        <v/>
      </c>
      <c r="AI796" s="592" t="str">
        <f t="shared" si="423"/>
        <v/>
      </c>
      <c r="AJ796" s="592" t="str">
        <f t="shared" si="424"/>
        <v/>
      </c>
      <c r="AK796" s="460" t="str">
        <f>IF(AU796="","",IF(OR(AZ796=8,AZ796=9),0,IF(OR(AW796=3,AW796=4,AW796=5,AW796=6),IF(LEFT(BF796,1)="1",INDEX(係数_NOX・PM低減,MATCH(AY796,【参考】排出係数!$AI$801:$AI$804,1),1),VLOOKUP(AU796,INDEX((係数_バス貨物_ガソリン,係数_バス貨物_CNG,係数_バス貨物_軽油,係数_バス貨物_メタノール,係数_バス貨物_LPG),MATCH(AY796,【参考】排出係数!$AI$4:$AI$671,1),1,BE796):INDEX((係数_バス貨物_ガソリン,係数_バス貨物_CNG,係数_バス貨物_軽油,係数_バス貨物_メタノール,係数_バス貨物_LPG),MATCH(AY796+1,【参考】排出係数!$AI$4:$AI$671,1)-1,5,BE796),4,FALSE)),IF(AND(BE796=3,LEFT(BF796,1)="1"),0.48,VLOOKUP(AU796,INDEX((係数_乗用_ガソリン,係数_乗用_CNG,係数_乗用_軽油,係数_乗用_メタノール,係数_乗用_LPG),1,1,BE796):INDEX((係数_乗用_ガソリン,係数_乗用_CNG,係数_乗用_軽油,係数_乗用_メタノール,係数_乗用_LPG),125,5,BE796),4,FALSE)))))</f>
        <v/>
      </c>
      <c r="AL796" s="461" t="str">
        <f t="shared" si="425"/>
        <v/>
      </c>
      <c r="AM796" s="460" t="str">
        <f>IF(AU796="","",IF(OR(AZ796=8,AZ796=9),0,IF(OR(AW796=3,AW796=4,AW796=5,AW796=6),IF(LEFT(BH796,1)="1",INDEX(係数_PM低減,MATCH(AY796,【参考】排出係数!$AI$801:$AI$804,1),MATCH(BI796,【参考】排出係数!$AL$798:$AO$798,1)),VLOOKUP(AU796,INDEX((係数_バス貨物_ガソリン,係数_バス貨物_CNG,係数_バス貨物_軽油,係数_バス貨物_メタノール,係数_バス貨物_LPG),MATCH(AY796,【参考】排出係数!$AI$4:$AI$671,1),1,BE796):INDEX((係数_バス貨物_ガソリン,係数_バス貨物_CNG,係数_バス貨物_軽油,係数_バス貨物_メタノール,係数_バス貨物_LPG),MATCH(AY796+1,【参考】排出係数!$AI$4:$AI$671,1)-1,5,BE796),5,FALSE)),IF(AND(BE796=3,LEFT(BF796,1)="1"),0.055,VLOOKUP(AU796,INDEX((係数_乗用_ガソリン,係数_乗用_CNG,係数_乗用_軽油,係数_乗用_メタノール,係数_乗用_LPG),1,1,BE796):INDEX((係数_乗用_ガソリン,係数_乗用_CNG,係数_乗用_軽油,係数_乗用_メタノール,係数_乗用_LPG),125,5,BE796),5,FALSE)))))</f>
        <v/>
      </c>
      <c r="AN796" s="461" t="str">
        <f t="shared" si="426"/>
        <v/>
      </c>
      <c r="AO796" s="462" t="str">
        <f t="shared" si="427"/>
        <v/>
      </c>
      <c r="AP796" s="463" t="str">
        <f t="shared" si="428"/>
        <v/>
      </c>
      <c r="AQ796" s="464"/>
      <c r="AR796" s="619"/>
      <c r="AS796" s="465" t="str">
        <f t="shared" si="436"/>
        <v/>
      </c>
      <c r="AT796" s="465" t="str">
        <f t="shared" si="437"/>
        <v/>
      </c>
      <c r="AU796" s="466" t="str">
        <f t="shared" si="438"/>
        <v/>
      </c>
      <c r="AV796" s="467" t="str">
        <f t="shared" si="439"/>
        <v/>
      </c>
      <c r="AW796" s="467" t="str">
        <f t="shared" si="440"/>
        <v/>
      </c>
      <c r="AX796" s="467" t="str">
        <f t="shared" si="441"/>
        <v/>
      </c>
      <c r="AY796" s="467" t="str">
        <f t="shared" si="442"/>
        <v/>
      </c>
      <c r="AZ796" s="467" t="str">
        <f t="shared" si="443"/>
        <v/>
      </c>
      <c r="BA796" s="468" t="str">
        <f>IF(AS796="","",IF(OR(AU796="",AU796="-"),"－",IF(OR(AZ796=8,AZ796=9),"",IF(OR(AW796=3,AW796=4,AW796=5,AW796=6),VLOOKUP(AU796,INDEX((係数_バス貨物_ガソリン,係数_バス貨物_CNG,係数_バス貨物_軽油,係数_バス貨物_メタノール,係数_バス貨物_LPG),MATCH(AY796,【参考】排出係数!$AI$4:$AI$671,1),1,BE796):INDEX((係数_バス貨物_ガソリン,係数_バス貨物_CNG,係数_バス貨物_軽油,係数_バス貨物_メタノール,係数_バス貨物_LPG),MATCH(AY796+1,【参考】排出係数!$AI$4:$AI$671,1)-1,5,BE796),2,FALSE),IF(OR(AW796=1,AW796=2),VLOOKUP(AU796,INDEX((係数_乗用_ガソリン,係数_乗用_CNG,係数_乗用_軽油,係数_乗用_メタノール,係数_乗用_LPG),1,1,BE796):INDEX((係数_乗用_ガソリン,係数_乗用_CNG,係数_乗用_軽油,係数_乗用_メタノール,係数_乗用_LPG),125,5,BE796),2,FALSE))))))</f>
        <v/>
      </c>
      <c r="BB796" s="468" t="str">
        <f>IF(T796="","",IF(OR(AU796="",AU796="-"),"－",IF(OR(AZ796=8,AZ796=9),"",IF(OR(AW796=3,AW796=4,AW796=5,AW796=6),VLOOKUP(AU796,INDEX((係数_バス貨物_ガソリン,係数_バス貨物_CNG,係数_バス貨物_軽油,係数_バス貨物_メタノール,係数_バス貨物_LPG),MATCH(AY796,【参考】排出係数!$AI$4:$AI$671,1),1,BE796):INDEX((係数_バス貨物_ガソリン,係数_バス貨物_CNG,係数_バス貨物_軽油,係数_バス貨物_メタノール,係数_バス貨物_LPG),MATCH(AY796+1,【参考】排出係数!$AI$4:$AI$671,1)-1,5,BE796),3,FALSE),IF(OR(AW796=1,AW796=2),VLOOKUP(AU796,INDEX((係数_乗用_ガソリン,係数_乗用_CNG,係数_乗用_軽油,係数_乗用_メタノール,係数_乗用_LPG),1,1,BE796):INDEX((係数_乗用_ガソリン,係数_乗用_CNG,係数_乗用_軽油,係数_乗用_メタノール,係数_乗用_LPG),125,5,BE796),3,FALSE))))))</f>
        <v/>
      </c>
      <c r="BC796" s="467" t="str">
        <f t="shared" si="444"/>
        <v/>
      </c>
      <c r="BD796" s="567" t="str">
        <f t="shared" si="445"/>
        <v/>
      </c>
      <c r="BE796" s="467" t="str">
        <f t="shared" si="446"/>
        <v/>
      </c>
      <c r="BF796" s="469" t="str">
        <f t="shared" ca="1" si="447"/>
        <v/>
      </c>
      <c r="BG796" s="469" t="str">
        <f t="shared" ca="1" si="448"/>
        <v/>
      </c>
      <c r="BH796" s="467" t="str">
        <f t="shared" si="449"/>
        <v/>
      </c>
      <c r="BI796" s="467" t="str">
        <f t="shared" ca="1" si="450"/>
        <v/>
      </c>
      <c r="BJ796" s="469" t="str">
        <f t="shared" si="451"/>
        <v/>
      </c>
      <c r="BK796" s="470" t="str">
        <f t="shared" si="435"/>
        <v/>
      </c>
      <c r="BL796" s="775" t="str">
        <f t="shared" si="452"/>
        <v/>
      </c>
      <c r="BM796" s="775" t="str">
        <f t="shared" si="453"/>
        <v/>
      </c>
    </row>
    <row r="797" spans="1:65">
      <c r="A797" s="473">
        <v>741</v>
      </c>
      <c r="B797" s="132"/>
      <c r="C797" s="332"/>
      <c r="D797" s="333"/>
      <c r="E797" s="333"/>
      <c r="F797" s="334"/>
      <c r="G797" s="337"/>
      <c r="H797" s="131"/>
      <c r="I797" s="337"/>
      <c r="J797" s="131"/>
      <c r="K797" s="458" t="str">
        <f t="shared" si="416"/>
        <v/>
      </c>
      <c r="L797" s="458">
        <f t="shared" si="417"/>
        <v>0</v>
      </c>
      <c r="M797" s="458">
        <f t="shared" si="418"/>
        <v>0</v>
      </c>
      <c r="N797" s="459" t="str">
        <f t="shared" si="429"/>
        <v/>
      </c>
      <c r="O797" s="459" t="str">
        <f t="shared" si="430"/>
        <v/>
      </c>
      <c r="P797" s="459" t="str">
        <f t="shared" si="431"/>
        <v/>
      </c>
      <c r="Q797" s="459" t="str">
        <f t="shared" si="432"/>
        <v/>
      </c>
      <c r="R797" s="459" t="str">
        <f t="shared" si="433"/>
        <v/>
      </c>
      <c r="S797" s="459" t="str">
        <f t="shared" si="434"/>
        <v/>
      </c>
      <c r="T797" s="566" t="str">
        <f t="shared" si="419"/>
        <v/>
      </c>
      <c r="U797" s="702"/>
      <c r="V797" s="132"/>
      <c r="W797" s="133"/>
      <c r="X797" s="134"/>
      <c r="Y797" s="135"/>
      <c r="Z797" s="137"/>
      <c r="AA797" s="136"/>
      <c r="AB797" s="566" t="str">
        <f t="shared" si="420"/>
        <v/>
      </c>
      <c r="AC797" s="568" t="str">
        <f t="shared" si="421"/>
        <v/>
      </c>
      <c r="AD797" s="137"/>
      <c r="AE797" s="137"/>
      <c r="AF797" s="138"/>
      <c r="AG797" s="138"/>
      <c r="AH797" s="592" t="str">
        <f t="shared" si="422"/>
        <v/>
      </c>
      <c r="AI797" s="592" t="str">
        <f t="shared" si="423"/>
        <v/>
      </c>
      <c r="AJ797" s="592" t="str">
        <f t="shared" si="424"/>
        <v/>
      </c>
      <c r="AK797" s="460" t="str">
        <f>IF(AU797="","",IF(OR(AZ797=8,AZ797=9),0,IF(OR(AW797=3,AW797=4,AW797=5,AW797=6),IF(LEFT(BF797,1)="1",INDEX(係数_NOX・PM低減,MATCH(AY797,【参考】排出係数!$AI$801:$AI$804,1),1),VLOOKUP(AU797,INDEX((係数_バス貨物_ガソリン,係数_バス貨物_CNG,係数_バス貨物_軽油,係数_バス貨物_メタノール,係数_バス貨物_LPG),MATCH(AY797,【参考】排出係数!$AI$4:$AI$671,1),1,BE797):INDEX((係数_バス貨物_ガソリン,係数_バス貨物_CNG,係数_バス貨物_軽油,係数_バス貨物_メタノール,係数_バス貨物_LPG),MATCH(AY797+1,【参考】排出係数!$AI$4:$AI$671,1)-1,5,BE797),4,FALSE)),IF(AND(BE797=3,LEFT(BF797,1)="1"),0.48,VLOOKUP(AU797,INDEX((係数_乗用_ガソリン,係数_乗用_CNG,係数_乗用_軽油,係数_乗用_メタノール,係数_乗用_LPG),1,1,BE797):INDEX((係数_乗用_ガソリン,係数_乗用_CNG,係数_乗用_軽油,係数_乗用_メタノール,係数_乗用_LPG),125,5,BE797),4,FALSE)))))</f>
        <v/>
      </c>
      <c r="AL797" s="461" t="str">
        <f t="shared" si="425"/>
        <v/>
      </c>
      <c r="AM797" s="460" t="str">
        <f>IF(AU797="","",IF(OR(AZ797=8,AZ797=9),0,IF(OR(AW797=3,AW797=4,AW797=5,AW797=6),IF(LEFT(BH797,1)="1",INDEX(係数_PM低減,MATCH(AY797,【参考】排出係数!$AI$801:$AI$804,1),MATCH(BI797,【参考】排出係数!$AL$798:$AO$798,1)),VLOOKUP(AU797,INDEX((係数_バス貨物_ガソリン,係数_バス貨物_CNG,係数_バス貨物_軽油,係数_バス貨物_メタノール,係数_バス貨物_LPG),MATCH(AY797,【参考】排出係数!$AI$4:$AI$671,1),1,BE797):INDEX((係数_バス貨物_ガソリン,係数_バス貨物_CNG,係数_バス貨物_軽油,係数_バス貨物_メタノール,係数_バス貨物_LPG),MATCH(AY797+1,【参考】排出係数!$AI$4:$AI$671,1)-1,5,BE797),5,FALSE)),IF(AND(BE797=3,LEFT(BF797,1)="1"),0.055,VLOOKUP(AU797,INDEX((係数_乗用_ガソリン,係数_乗用_CNG,係数_乗用_軽油,係数_乗用_メタノール,係数_乗用_LPG),1,1,BE797):INDEX((係数_乗用_ガソリン,係数_乗用_CNG,係数_乗用_軽油,係数_乗用_メタノール,係数_乗用_LPG),125,5,BE797),5,FALSE)))))</f>
        <v/>
      </c>
      <c r="AN797" s="461" t="str">
        <f t="shared" si="426"/>
        <v/>
      </c>
      <c r="AO797" s="462" t="str">
        <f t="shared" si="427"/>
        <v/>
      </c>
      <c r="AP797" s="463" t="str">
        <f t="shared" si="428"/>
        <v/>
      </c>
      <c r="AQ797" s="464"/>
      <c r="AR797" s="619"/>
      <c r="AS797" s="465" t="str">
        <f t="shared" si="436"/>
        <v/>
      </c>
      <c r="AT797" s="465" t="str">
        <f t="shared" si="437"/>
        <v/>
      </c>
      <c r="AU797" s="466" t="str">
        <f t="shared" si="438"/>
        <v/>
      </c>
      <c r="AV797" s="467" t="str">
        <f t="shared" si="439"/>
        <v/>
      </c>
      <c r="AW797" s="467" t="str">
        <f t="shared" si="440"/>
        <v/>
      </c>
      <c r="AX797" s="467" t="str">
        <f t="shared" si="441"/>
        <v/>
      </c>
      <c r="AY797" s="467" t="str">
        <f t="shared" si="442"/>
        <v/>
      </c>
      <c r="AZ797" s="467" t="str">
        <f t="shared" si="443"/>
        <v/>
      </c>
      <c r="BA797" s="468" t="str">
        <f>IF(AS797="","",IF(OR(AU797="",AU797="-"),"－",IF(OR(AZ797=8,AZ797=9),"",IF(OR(AW797=3,AW797=4,AW797=5,AW797=6),VLOOKUP(AU797,INDEX((係数_バス貨物_ガソリン,係数_バス貨物_CNG,係数_バス貨物_軽油,係数_バス貨物_メタノール,係数_バス貨物_LPG),MATCH(AY797,【参考】排出係数!$AI$4:$AI$671,1),1,BE797):INDEX((係数_バス貨物_ガソリン,係数_バス貨物_CNG,係数_バス貨物_軽油,係数_バス貨物_メタノール,係数_バス貨物_LPG),MATCH(AY797+1,【参考】排出係数!$AI$4:$AI$671,1)-1,5,BE797),2,FALSE),IF(OR(AW797=1,AW797=2),VLOOKUP(AU797,INDEX((係数_乗用_ガソリン,係数_乗用_CNG,係数_乗用_軽油,係数_乗用_メタノール,係数_乗用_LPG),1,1,BE797):INDEX((係数_乗用_ガソリン,係数_乗用_CNG,係数_乗用_軽油,係数_乗用_メタノール,係数_乗用_LPG),125,5,BE797),2,FALSE))))))</f>
        <v/>
      </c>
      <c r="BB797" s="468" t="str">
        <f>IF(T797="","",IF(OR(AU797="",AU797="-"),"－",IF(OR(AZ797=8,AZ797=9),"",IF(OR(AW797=3,AW797=4,AW797=5,AW797=6),VLOOKUP(AU797,INDEX((係数_バス貨物_ガソリン,係数_バス貨物_CNG,係数_バス貨物_軽油,係数_バス貨物_メタノール,係数_バス貨物_LPG),MATCH(AY797,【参考】排出係数!$AI$4:$AI$671,1),1,BE797):INDEX((係数_バス貨物_ガソリン,係数_バス貨物_CNG,係数_バス貨物_軽油,係数_バス貨物_メタノール,係数_バス貨物_LPG),MATCH(AY797+1,【参考】排出係数!$AI$4:$AI$671,1)-1,5,BE797),3,FALSE),IF(OR(AW797=1,AW797=2),VLOOKUP(AU797,INDEX((係数_乗用_ガソリン,係数_乗用_CNG,係数_乗用_軽油,係数_乗用_メタノール,係数_乗用_LPG),1,1,BE797):INDEX((係数_乗用_ガソリン,係数_乗用_CNG,係数_乗用_軽油,係数_乗用_メタノール,係数_乗用_LPG),125,5,BE797),3,FALSE))))))</f>
        <v/>
      </c>
      <c r="BC797" s="467" t="str">
        <f t="shared" si="444"/>
        <v/>
      </c>
      <c r="BD797" s="567" t="str">
        <f t="shared" si="445"/>
        <v/>
      </c>
      <c r="BE797" s="467" t="str">
        <f t="shared" si="446"/>
        <v/>
      </c>
      <c r="BF797" s="469" t="str">
        <f t="shared" ca="1" si="447"/>
        <v/>
      </c>
      <c r="BG797" s="469" t="str">
        <f t="shared" ca="1" si="448"/>
        <v/>
      </c>
      <c r="BH797" s="467" t="str">
        <f t="shared" si="449"/>
        <v/>
      </c>
      <c r="BI797" s="467" t="str">
        <f t="shared" ca="1" si="450"/>
        <v/>
      </c>
      <c r="BJ797" s="469" t="str">
        <f t="shared" si="451"/>
        <v/>
      </c>
      <c r="BK797" s="470" t="str">
        <f t="shared" si="435"/>
        <v/>
      </c>
      <c r="BL797" s="775" t="str">
        <f t="shared" si="452"/>
        <v/>
      </c>
      <c r="BM797" s="775" t="str">
        <f t="shared" si="453"/>
        <v/>
      </c>
    </row>
    <row r="798" spans="1:65">
      <c r="A798" s="473">
        <v>742</v>
      </c>
      <c r="B798" s="132"/>
      <c r="C798" s="332"/>
      <c r="D798" s="333"/>
      <c r="E798" s="333"/>
      <c r="F798" s="334"/>
      <c r="G798" s="337"/>
      <c r="H798" s="131"/>
      <c r="I798" s="337"/>
      <c r="J798" s="131"/>
      <c r="K798" s="458" t="str">
        <f t="shared" si="416"/>
        <v/>
      </c>
      <c r="L798" s="458">
        <f t="shared" si="417"/>
        <v>0</v>
      </c>
      <c r="M798" s="458">
        <f t="shared" si="418"/>
        <v>0</v>
      </c>
      <c r="N798" s="459" t="str">
        <f t="shared" si="429"/>
        <v/>
      </c>
      <c r="O798" s="459" t="str">
        <f t="shared" si="430"/>
        <v/>
      </c>
      <c r="P798" s="459" t="str">
        <f t="shared" si="431"/>
        <v/>
      </c>
      <c r="Q798" s="459" t="str">
        <f t="shared" si="432"/>
        <v/>
      </c>
      <c r="R798" s="459" t="str">
        <f t="shared" si="433"/>
        <v/>
      </c>
      <c r="S798" s="459" t="str">
        <f t="shared" si="434"/>
        <v/>
      </c>
      <c r="T798" s="566" t="str">
        <f t="shared" si="419"/>
        <v/>
      </c>
      <c r="U798" s="702"/>
      <c r="V798" s="132"/>
      <c r="W798" s="133"/>
      <c r="X798" s="134"/>
      <c r="Y798" s="135"/>
      <c r="Z798" s="137"/>
      <c r="AA798" s="136"/>
      <c r="AB798" s="566" t="str">
        <f t="shared" si="420"/>
        <v/>
      </c>
      <c r="AC798" s="568" t="str">
        <f t="shared" si="421"/>
        <v/>
      </c>
      <c r="AD798" s="137"/>
      <c r="AE798" s="137"/>
      <c r="AF798" s="138"/>
      <c r="AG798" s="138"/>
      <c r="AH798" s="592" t="str">
        <f t="shared" si="422"/>
        <v/>
      </c>
      <c r="AI798" s="592" t="str">
        <f t="shared" si="423"/>
        <v/>
      </c>
      <c r="AJ798" s="592" t="str">
        <f t="shared" si="424"/>
        <v/>
      </c>
      <c r="AK798" s="460" t="str">
        <f>IF(AU798="","",IF(OR(AZ798=8,AZ798=9),0,IF(OR(AW798=3,AW798=4,AW798=5,AW798=6),IF(LEFT(BF798,1)="1",INDEX(係数_NOX・PM低減,MATCH(AY798,【参考】排出係数!$AI$801:$AI$804,1),1),VLOOKUP(AU798,INDEX((係数_バス貨物_ガソリン,係数_バス貨物_CNG,係数_バス貨物_軽油,係数_バス貨物_メタノール,係数_バス貨物_LPG),MATCH(AY798,【参考】排出係数!$AI$4:$AI$671,1),1,BE798):INDEX((係数_バス貨物_ガソリン,係数_バス貨物_CNG,係数_バス貨物_軽油,係数_バス貨物_メタノール,係数_バス貨物_LPG),MATCH(AY798+1,【参考】排出係数!$AI$4:$AI$671,1)-1,5,BE798),4,FALSE)),IF(AND(BE798=3,LEFT(BF798,1)="1"),0.48,VLOOKUP(AU798,INDEX((係数_乗用_ガソリン,係数_乗用_CNG,係数_乗用_軽油,係数_乗用_メタノール,係数_乗用_LPG),1,1,BE798):INDEX((係数_乗用_ガソリン,係数_乗用_CNG,係数_乗用_軽油,係数_乗用_メタノール,係数_乗用_LPG),125,5,BE798),4,FALSE)))))</f>
        <v/>
      </c>
      <c r="AL798" s="461" t="str">
        <f t="shared" si="425"/>
        <v/>
      </c>
      <c r="AM798" s="460" t="str">
        <f>IF(AU798="","",IF(OR(AZ798=8,AZ798=9),0,IF(OR(AW798=3,AW798=4,AW798=5,AW798=6),IF(LEFT(BH798,1)="1",INDEX(係数_PM低減,MATCH(AY798,【参考】排出係数!$AI$801:$AI$804,1),MATCH(BI798,【参考】排出係数!$AL$798:$AO$798,1)),VLOOKUP(AU798,INDEX((係数_バス貨物_ガソリン,係数_バス貨物_CNG,係数_バス貨物_軽油,係数_バス貨物_メタノール,係数_バス貨物_LPG),MATCH(AY798,【参考】排出係数!$AI$4:$AI$671,1),1,BE798):INDEX((係数_バス貨物_ガソリン,係数_バス貨物_CNG,係数_バス貨物_軽油,係数_バス貨物_メタノール,係数_バス貨物_LPG),MATCH(AY798+1,【参考】排出係数!$AI$4:$AI$671,1)-1,5,BE798),5,FALSE)),IF(AND(BE798=3,LEFT(BF798,1)="1"),0.055,VLOOKUP(AU798,INDEX((係数_乗用_ガソリン,係数_乗用_CNG,係数_乗用_軽油,係数_乗用_メタノール,係数_乗用_LPG),1,1,BE798):INDEX((係数_乗用_ガソリン,係数_乗用_CNG,係数_乗用_軽油,係数_乗用_メタノール,係数_乗用_LPG),125,5,BE798),5,FALSE)))))</f>
        <v/>
      </c>
      <c r="AN798" s="461" t="str">
        <f t="shared" si="426"/>
        <v/>
      </c>
      <c r="AO798" s="462" t="str">
        <f t="shared" si="427"/>
        <v/>
      </c>
      <c r="AP798" s="463" t="str">
        <f t="shared" si="428"/>
        <v/>
      </c>
      <c r="AQ798" s="464"/>
      <c r="AR798" s="619"/>
      <c r="AS798" s="465" t="str">
        <f t="shared" si="436"/>
        <v/>
      </c>
      <c r="AT798" s="465" t="str">
        <f t="shared" si="437"/>
        <v/>
      </c>
      <c r="AU798" s="466" t="str">
        <f t="shared" si="438"/>
        <v/>
      </c>
      <c r="AV798" s="467" t="str">
        <f t="shared" si="439"/>
        <v/>
      </c>
      <c r="AW798" s="467" t="str">
        <f t="shared" si="440"/>
        <v/>
      </c>
      <c r="AX798" s="467" t="str">
        <f t="shared" si="441"/>
        <v/>
      </c>
      <c r="AY798" s="467" t="str">
        <f t="shared" si="442"/>
        <v/>
      </c>
      <c r="AZ798" s="467" t="str">
        <f t="shared" si="443"/>
        <v/>
      </c>
      <c r="BA798" s="468" t="str">
        <f>IF(AS798="","",IF(OR(AU798="",AU798="-"),"－",IF(OR(AZ798=8,AZ798=9),"",IF(OR(AW798=3,AW798=4,AW798=5,AW798=6),VLOOKUP(AU798,INDEX((係数_バス貨物_ガソリン,係数_バス貨物_CNG,係数_バス貨物_軽油,係数_バス貨物_メタノール,係数_バス貨物_LPG),MATCH(AY798,【参考】排出係数!$AI$4:$AI$671,1),1,BE798):INDEX((係数_バス貨物_ガソリン,係数_バス貨物_CNG,係数_バス貨物_軽油,係数_バス貨物_メタノール,係数_バス貨物_LPG),MATCH(AY798+1,【参考】排出係数!$AI$4:$AI$671,1)-1,5,BE798),2,FALSE),IF(OR(AW798=1,AW798=2),VLOOKUP(AU798,INDEX((係数_乗用_ガソリン,係数_乗用_CNG,係数_乗用_軽油,係数_乗用_メタノール,係数_乗用_LPG),1,1,BE798):INDEX((係数_乗用_ガソリン,係数_乗用_CNG,係数_乗用_軽油,係数_乗用_メタノール,係数_乗用_LPG),125,5,BE798),2,FALSE))))))</f>
        <v/>
      </c>
      <c r="BB798" s="468" t="str">
        <f>IF(T798="","",IF(OR(AU798="",AU798="-"),"－",IF(OR(AZ798=8,AZ798=9),"",IF(OR(AW798=3,AW798=4,AW798=5,AW798=6),VLOOKUP(AU798,INDEX((係数_バス貨物_ガソリン,係数_バス貨物_CNG,係数_バス貨物_軽油,係数_バス貨物_メタノール,係数_バス貨物_LPG),MATCH(AY798,【参考】排出係数!$AI$4:$AI$671,1),1,BE798):INDEX((係数_バス貨物_ガソリン,係数_バス貨物_CNG,係数_バス貨物_軽油,係数_バス貨物_メタノール,係数_バス貨物_LPG),MATCH(AY798+1,【参考】排出係数!$AI$4:$AI$671,1)-1,5,BE798),3,FALSE),IF(OR(AW798=1,AW798=2),VLOOKUP(AU798,INDEX((係数_乗用_ガソリン,係数_乗用_CNG,係数_乗用_軽油,係数_乗用_メタノール,係数_乗用_LPG),1,1,BE798):INDEX((係数_乗用_ガソリン,係数_乗用_CNG,係数_乗用_軽油,係数_乗用_メタノール,係数_乗用_LPG),125,5,BE798),3,FALSE))))))</f>
        <v/>
      </c>
      <c r="BC798" s="467" t="str">
        <f t="shared" si="444"/>
        <v/>
      </c>
      <c r="BD798" s="567" t="str">
        <f t="shared" si="445"/>
        <v/>
      </c>
      <c r="BE798" s="467" t="str">
        <f t="shared" si="446"/>
        <v/>
      </c>
      <c r="BF798" s="469" t="str">
        <f t="shared" ca="1" si="447"/>
        <v/>
      </c>
      <c r="BG798" s="469" t="str">
        <f t="shared" ca="1" si="448"/>
        <v/>
      </c>
      <c r="BH798" s="467" t="str">
        <f t="shared" si="449"/>
        <v/>
      </c>
      <c r="BI798" s="467" t="str">
        <f t="shared" ca="1" si="450"/>
        <v/>
      </c>
      <c r="BJ798" s="469" t="str">
        <f t="shared" si="451"/>
        <v/>
      </c>
      <c r="BK798" s="470" t="str">
        <f t="shared" si="435"/>
        <v/>
      </c>
      <c r="BL798" s="775" t="str">
        <f t="shared" si="452"/>
        <v/>
      </c>
      <c r="BM798" s="775" t="str">
        <f t="shared" si="453"/>
        <v/>
      </c>
    </row>
    <row r="799" spans="1:65">
      <c r="A799" s="473">
        <v>743</v>
      </c>
      <c r="B799" s="132"/>
      <c r="C799" s="332"/>
      <c r="D799" s="333"/>
      <c r="E799" s="333"/>
      <c r="F799" s="334"/>
      <c r="G799" s="337"/>
      <c r="H799" s="131"/>
      <c r="I799" s="337"/>
      <c r="J799" s="131"/>
      <c r="K799" s="458" t="str">
        <f t="shared" si="416"/>
        <v/>
      </c>
      <c r="L799" s="458">
        <f t="shared" si="417"/>
        <v>0</v>
      </c>
      <c r="M799" s="458">
        <f t="shared" si="418"/>
        <v>0</v>
      </c>
      <c r="N799" s="459" t="str">
        <f t="shared" si="429"/>
        <v/>
      </c>
      <c r="O799" s="459" t="str">
        <f t="shared" si="430"/>
        <v/>
      </c>
      <c r="P799" s="459" t="str">
        <f t="shared" si="431"/>
        <v/>
      </c>
      <c r="Q799" s="459" t="str">
        <f t="shared" si="432"/>
        <v/>
      </c>
      <c r="R799" s="459" t="str">
        <f t="shared" si="433"/>
        <v/>
      </c>
      <c r="S799" s="459" t="str">
        <f t="shared" si="434"/>
        <v/>
      </c>
      <c r="T799" s="566" t="str">
        <f t="shared" si="419"/>
        <v/>
      </c>
      <c r="U799" s="702"/>
      <c r="V799" s="132"/>
      <c r="W799" s="133"/>
      <c r="X799" s="134"/>
      <c r="Y799" s="135"/>
      <c r="Z799" s="137"/>
      <c r="AA799" s="136"/>
      <c r="AB799" s="566" t="str">
        <f t="shared" si="420"/>
        <v/>
      </c>
      <c r="AC799" s="568" t="str">
        <f t="shared" si="421"/>
        <v/>
      </c>
      <c r="AD799" s="137"/>
      <c r="AE799" s="137"/>
      <c r="AF799" s="138"/>
      <c r="AG799" s="138"/>
      <c r="AH799" s="592" t="str">
        <f t="shared" si="422"/>
        <v/>
      </c>
      <c r="AI799" s="592" t="str">
        <f t="shared" si="423"/>
        <v/>
      </c>
      <c r="AJ799" s="592" t="str">
        <f t="shared" si="424"/>
        <v/>
      </c>
      <c r="AK799" s="460" t="str">
        <f>IF(AU799="","",IF(OR(AZ799=8,AZ799=9),0,IF(OR(AW799=3,AW799=4,AW799=5,AW799=6),IF(LEFT(BF799,1)="1",INDEX(係数_NOX・PM低減,MATCH(AY799,【参考】排出係数!$AI$801:$AI$804,1),1),VLOOKUP(AU799,INDEX((係数_バス貨物_ガソリン,係数_バス貨物_CNG,係数_バス貨物_軽油,係数_バス貨物_メタノール,係数_バス貨物_LPG),MATCH(AY799,【参考】排出係数!$AI$4:$AI$671,1),1,BE799):INDEX((係数_バス貨物_ガソリン,係数_バス貨物_CNG,係数_バス貨物_軽油,係数_バス貨物_メタノール,係数_バス貨物_LPG),MATCH(AY799+1,【参考】排出係数!$AI$4:$AI$671,1)-1,5,BE799),4,FALSE)),IF(AND(BE799=3,LEFT(BF799,1)="1"),0.48,VLOOKUP(AU799,INDEX((係数_乗用_ガソリン,係数_乗用_CNG,係数_乗用_軽油,係数_乗用_メタノール,係数_乗用_LPG),1,1,BE799):INDEX((係数_乗用_ガソリン,係数_乗用_CNG,係数_乗用_軽油,係数_乗用_メタノール,係数_乗用_LPG),125,5,BE799),4,FALSE)))))</f>
        <v/>
      </c>
      <c r="AL799" s="461" t="str">
        <f t="shared" si="425"/>
        <v/>
      </c>
      <c r="AM799" s="460" t="str">
        <f>IF(AU799="","",IF(OR(AZ799=8,AZ799=9),0,IF(OR(AW799=3,AW799=4,AW799=5,AW799=6),IF(LEFT(BH799,1)="1",INDEX(係数_PM低減,MATCH(AY799,【参考】排出係数!$AI$801:$AI$804,1),MATCH(BI799,【参考】排出係数!$AL$798:$AO$798,1)),VLOOKUP(AU799,INDEX((係数_バス貨物_ガソリン,係数_バス貨物_CNG,係数_バス貨物_軽油,係数_バス貨物_メタノール,係数_バス貨物_LPG),MATCH(AY799,【参考】排出係数!$AI$4:$AI$671,1),1,BE799):INDEX((係数_バス貨物_ガソリン,係数_バス貨物_CNG,係数_バス貨物_軽油,係数_バス貨物_メタノール,係数_バス貨物_LPG),MATCH(AY799+1,【参考】排出係数!$AI$4:$AI$671,1)-1,5,BE799),5,FALSE)),IF(AND(BE799=3,LEFT(BF799,1)="1"),0.055,VLOOKUP(AU799,INDEX((係数_乗用_ガソリン,係数_乗用_CNG,係数_乗用_軽油,係数_乗用_メタノール,係数_乗用_LPG),1,1,BE799):INDEX((係数_乗用_ガソリン,係数_乗用_CNG,係数_乗用_軽油,係数_乗用_メタノール,係数_乗用_LPG),125,5,BE799),5,FALSE)))))</f>
        <v/>
      </c>
      <c r="AN799" s="461" t="str">
        <f t="shared" si="426"/>
        <v/>
      </c>
      <c r="AO799" s="462" t="str">
        <f t="shared" si="427"/>
        <v/>
      </c>
      <c r="AP799" s="463" t="str">
        <f t="shared" si="428"/>
        <v/>
      </c>
      <c r="AQ799" s="464"/>
      <c r="AR799" s="619"/>
      <c r="AS799" s="465" t="str">
        <f t="shared" si="436"/>
        <v/>
      </c>
      <c r="AT799" s="465" t="str">
        <f t="shared" si="437"/>
        <v/>
      </c>
      <c r="AU799" s="466" t="str">
        <f t="shared" si="438"/>
        <v/>
      </c>
      <c r="AV799" s="467" t="str">
        <f t="shared" si="439"/>
        <v/>
      </c>
      <c r="AW799" s="467" t="str">
        <f t="shared" si="440"/>
        <v/>
      </c>
      <c r="AX799" s="467" t="str">
        <f t="shared" si="441"/>
        <v/>
      </c>
      <c r="AY799" s="467" t="str">
        <f t="shared" si="442"/>
        <v/>
      </c>
      <c r="AZ799" s="467" t="str">
        <f t="shared" si="443"/>
        <v/>
      </c>
      <c r="BA799" s="468" t="str">
        <f>IF(AS799="","",IF(OR(AU799="",AU799="-"),"－",IF(OR(AZ799=8,AZ799=9),"",IF(OR(AW799=3,AW799=4,AW799=5,AW799=6),VLOOKUP(AU799,INDEX((係数_バス貨物_ガソリン,係数_バス貨物_CNG,係数_バス貨物_軽油,係数_バス貨物_メタノール,係数_バス貨物_LPG),MATCH(AY799,【参考】排出係数!$AI$4:$AI$671,1),1,BE799):INDEX((係数_バス貨物_ガソリン,係数_バス貨物_CNG,係数_バス貨物_軽油,係数_バス貨物_メタノール,係数_バス貨物_LPG),MATCH(AY799+1,【参考】排出係数!$AI$4:$AI$671,1)-1,5,BE799),2,FALSE),IF(OR(AW799=1,AW799=2),VLOOKUP(AU799,INDEX((係数_乗用_ガソリン,係数_乗用_CNG,係数_乗用_軽油,係数_乗用_メタノール,係数_乗用_LPG),1,1,BE799):INDEX((係数_乗用_ガソリン,係数_乗用_CNG,係数_乗用_軽油,係数_乗用_メタノール,係数_乗用_LPG),125,5,BE799),2,FALSE))))))</f>
        <v/>
      </c>
      <c r="BB799" s="468" t="str">
        <f>IF(T799="","",IF(OR(AU799="",AU799="-"),"－",IF(OR(AZ799=8,AZ799=9),"",IF(OR(AW799=3,AW799=4,AW799=5,AW799=6),VLOOKUP(AU799,INDEX((係数_バス貨物_ガソリン,係数_バス貨物_CNG,係数_バス貨物_軽油,係数_バス貨物_メタノール,係数_バス貨物_LPG),MATCH(AY799,【参考】排出係数!$AI$4:$AI$671,1),1,BE799):INDEX((係数_バス貨物_ガソリン,係数_バス貨物_CNG,係数_バス貨物_軽油,係数_バス貨物_メタノール,係数_バス貨物_LPG),MATCH(AY799+1,【参考】排出係数!$AI$4:$AI$671,1)-1,5,BE799),3,FALSE),IF(OR(AW799=1,AW799=2),VLOOKUP(AU799,INDEX((係数_乗用_ガソリン,係数_乗用_CNG,係数_乗用_軽油,係数_乗用_メタノール,係数_乗用_LPG),1,1,BE799):INDEX((係数_乗用_ガソリン,係数_乗用_CNG,係数_乗用_軽油,係数_乗用_メタノール,係数_乗用_LPG),125,5,BE799),3,FALSE))))))</f>
        <v/>
      </c>
      <c r="BC799" s="467" t="str">
        <f t="shared" si="444"/>
        <v/>
      </c>
      <c r="BD799" s="567" t="str">
        <f t="shared" si="445"/>
        <v/>
      </c>
      <c r="BE799" s="467" t="str">
        <f t="shared" si="446"/>
        <v/>
      </c>
      <c r="BF799" s="469" t="str">
        <f t="shared" ca="1" si="447"/>
        <v/>
      </c>
      <c r="BG799" s="469" t="str">
        <f t="shared" ca="1" si="448"/>
        <v/>
      </c>
      <c r="BH799" s="467" t="str">
        <f t="shared" si="449"/>
        <v/>
      </c>
      <c r="BI799" s="467" t="str">
        <f t="shared" ca="1" si="450"/>
        <v/>
      </c>
      <c r="BJ799" s="469" t="str">
        <f t="shared" si="451"/>
        <v/>
      </c>
      <c r="BK799" s="470" t="str">
        <f t="shared" si="435"/>
        <v/>
      </c>
      <c r="BL799" s="775" t="str">
        <f t="shared" si="452"/>
        <v/>
      </c>
      <c r="BM799" s="775" t="str">
        <f t="shared" si="453"/>
        <v/>
      </c>
    </row>
    <row r="800" spans="1:65">
      <c r="A800" s="473">
        <v>744</v>
      </c>
      <c r="B800" s="132"/>
      <c r="C800" s="332"/>
      <c r="D800" s="333"/>
      <c r="E800" s="333"/>
      <c r="F800" s="334"/>
      <c r="G800" s="337"/>
      <c r="H800" s="131"/>
      <c r="I800" s="337"/>
      <c r="J800" s="131"/>
      <c r="K800" s="458" t="str">
        <f t="shared" si="416"/>
        <v/>
      </c>
      <c r="L800" s="458">
        <f t="shared" si="417"/>
        <v>0</v>
      </c>
      <c r="M800" s="458">
        <f t="shared" si="418"/>
        <v>0</v>
      </c>
      <c r="N800" s="459" t="str">
        <f t="shared" si="429"/>
        <v/>
      </c>
      <c r="O800" s="459" t="str">
        <f t="shared" si="430"/>
        <v/>
      </c>
      <c r="P800" s="459" t="str">
        <f t="shared" si="431"/>
        <v/>
      </c>
      <c r="Q800" s="459" t="str">
        <f t="shared" si="432"/>
        <v/>
      </c>
      <c r="R800" s="459" t="str">
        <f t="shared" si="433"/>
        <v/>
      </c>
      <c r="S800" s="459" t="str">
        <f t="shared" si="434"/>
        <v/>
      </c>
      <c r="T800" s="566" t="str">
        <f t="shared" si="419"/>
        <v/>
      </c>
      <c r="U800" s="702"/>
      <c r="V800" s="132"/>
      <c r="W800" s="133"/>
      <c r="X800" s="134"/>
      <c r="Y800" s="135"/>
      <c r="Z800" s="137"/>
      <c r="AA800" s="136"/>
      <c r="AB800" s="566" t="str">
        <f t="shared" si="420"/>
        <v/>
      </c>
      <c r="AC800" s="568" t="str">
        <f t="shared" si="421"/>
        <v/>
      </c>
      <c r="AD800" s="137"/>
      <c r="AE800" s="137"/>
      <c r="AF800" s="138"/>
      <c r="AG800" s="138"/>
      <c r="AH800" s="592" t="str">
        <f t="shared" si="422"/>
        <v/>
      </c>
      <c r="AI800" s="592" t="str">
        <f t="shared" si="423"/>
        <v/>
      </c>
      <c r="AJ800" s="592" t="str">
        <f t="shared" si="424"/>
        <v/>
      </c>
      <c r="AK800" s="460" t="str">
        <f>IF(AU800="","",IF(OR(AZ800=8,AZ800=9),0,IF(OR(AW800=3,AW800=4,AW800=5,AW800=6),IF(LEFT(BF800,1)="1",INDEX(係数_NOX・PM低減,MATCH(AY800,【参考】排出係数!$AI$801:$AI$804,1),1),VLOOKUP(AU800,INDEX((係数_バス貨物_ガソリン,係数_バス貨物_CNG,係数_バス貨物_軽油,係数_バス貨物_メタノール,係数_バス貨物_LPG),MATCH(AY800,【参考】排出係数!$AI$4:$AI$671,1),1,BE800):INDEX((係数_バス貨物_ガソリン,係数_バス貨物_CNG,係数_バス貨物_軽油,係数_バス貨物_メタノール,係数_バス貨物_LPG),MATCH(AY800+1,【参考】排出係数!$AI$4:$AI$671,1)-1,5,BE800),4,FALSE)),IF(AND(BE800=3,LEFT(BF800,1)="1"),0.48,VLOOKUP(AU800,INDEX((係数_乗用_ガソリン,係数_乗用_CNG,係数_乗用_軽油,係数_乗用_メタノール,係数_乗用_LPG),1,1,BE800):INDEX((係数_乗用_ガソリン,係数_乗用_CNG,係数_乗用_軽油,係数_乗用_メタノール,係数_乗用_LPG),125,5,BE800),4,FALSE)))))</f>
        <v/>
      </c>
      <c r="AL800" s="461" t="str">
        <f t="shared" si="425"/>
        <v/>
      </c>
      <c r="AM800" s="460" t="str">
        <f>IF(AU800="","",IF(OR(AZ800=8,AZ800=9),0,IF(OR(AW800=3,AW800=4,AW800=5,AW800=6),IF(LEFT(BH800,1)="1",INDEX(係数_PM低減,MATCH(AY800,【参考】排出係数!$AI$801:$AI$804,1),MATCH(BI800,【参考】排出係数!$AL$798:$AO$798,1)),VLOOKUP(AU800,INDEX((係数_バス貨物_ガソリン,係数_バス貨物_CNG,係数_バス貨物_軽油,係数_バス貨物_メタノール,係数_バス貨物_LPG),MATCH(AY800,【参考】排出係数!$AI$4:$AI$671,1),1,BE800):INDEX((係数_バス貨物_ガソリン,係数_バス貨物_CNG,係数_バス貨物_軽油,係数_バス貨物_メタノール,係数_バス貨物_LPG),MATCH(AY800+1,【参考】排出係数!$AI$4:$AI$671,1)-1,5,BE800),5,FALSE)),IF(AND(BE800=3,LEFT(BF800,1)="1"),0.055,VLOOKUP(AU800,INDEX((係数_乗用_ガソリン,係数_乗用_CNG,係数_乗用_軽油,係数_乗用_メタノール,係数_乗用_LPG),1,1,BE800):INDEX((係数_乗用_ガソリン,係数_乗用_CNG,係数_乗用_軽油,係数_乗用_メタノール,係数_乗用_LPG),125,5,BE800),5,FALSE)))))</f>
        <v/>
      </c>
      <c r="AN800" s="461" t="str">
        <f t="shared" si="426"/>
        <v/>
      </c>
      <c r="AO800" s="462" t="str">
        <f t="shared" si="427"/>
        <v/>
      </c>
      <c r="AP800" s="463" t="str">
        <f t="shared" si="428"/>
        <v/>
      </c>
      <c r="AQ800" s="464"/>
      <c r="AR800" s="619"/>
      <c r="AS800" s="465" t="str">
        <f t="shared" si="436"/>
        <v/>
      </c>
      <c r="AT800" s="465" t="str">
        <f t="shared" si="437"/>
        <v/>
      </c>
      <c r="AU800" s="466" t="str">
        <f t="shared" si="438"/>
        <v/>
      </c>
      <c r="AV800" s="467" t="str">
        <f t="shared" si="439"/>
        <v/>
      </c>
      <c r="AW800" s="467" t="str">
        <f t="shared" si="440"/>
        <v/>
      </c>
      <c r="AX800" s="467" t="str">
        <f t="shared" si="441"/>
        <v/>
      </c>
      <c r="AY800" s="467" t="str">
        <f t="shared" si="442"/>
        <v/>
      </c>
      <c r="AZ800" s="467" t="str">
        <f t="shared" si="443"/>
        <v/>
      </c>
      <c r="BA800" s="468" t="str">
        <f>IF(AS800="","",IF(OR(AU800="",AU800="-"),"－",IF(OR(AZ800=8,AZ800=9),"",IF(OR(AW800=3,AW800=4,AW800=5,AW800=6),VLOOKUP(AU800,INDEX((係数_バス貨物_ガソリン,係数_バス貨物_CNG,係数_バス貨物_軽油,係数_バス貨物_メタノール,係数_バス貨物_LPG),MATCH(AY800,【参考】排出係数!$AI$4:$AI$671,1),1,BE800):INDEX((係数_バス貨物_ガソリン,係数_バス貨物_CNG,係数_バス貨物_軽油,係数_バス貨物_メタノール,係数_バス貨物_LPG),MATCH(AY800+1,【参考】排出係数!$AI$4:$AI$671,1)-1,5,BE800),2,FALSE),IF(OR(AW800=1,AW800=2),VLOOKUP(AU800,INDEX((係数_乗用_ガソリン,係数_乗用_CNG,係数_乗用_軽油,係数_乗用_メタノール,係数_乗用_LPG),1,1,BE800):INDEX((係数_乗用_ガソリン,係数_乗用_CNG,係数_乗用_軽油,係数_乗用_メタノール,係数_乗用_LPG),125,5,BE800),2,FALSE))))))</f>
        <v/>
      </c>
      <c r="BB800" s="468" t="str">
        <f>IF(T800="","",IF(OR(AU800="",AU800="-"),"－",IF(OR(AZ800=8,AZ800=9),"",IF(OR(AW800=3,AW800=4,AW800=5,AW800=6),VLOOKUP(AU800,INDEX((係数_バス貨物_ガソリン,係数_バス貨物_CNG,係数_バス貨物_軽油,係数_バス貨物_メタノール,係数_バス貨物_LPG),MATCH(AY800,【参考】排出係数!$AI$4:$AI$671,1),1,BE800):INDEX((係数_バス貨物_ガソリン,係数_バス貨物_CNG,係数_バス貨物_軽油,係数_バス貨物_メタノール,係数_バス貨物_LPG),MATCH(AY800+1,【参考】排出係数!$AI$4:$AI$671,1)-1,5,BE800),3,FALSE),IF(OR(AW800=1,AW800=2),VLOOKUP(AU800,INDEX((係数_乗用_ガソリン,係数_乗用_CNG,係数_乗用_軽油,係数_乗用_メタノール,係数_乗用_LPG),1,1,BE800):INDEX((係数_乗用_ガソリン,係数_乗用_CNG,係数_乗用_軽油,係数_乗用_メタノール,係数_乗用_LPG),125,5,BE800),3,FALSE))))))</f>
        <v/>
      </c>
      <c r="BC800" s="467" t="str">
        <f t="shared" si="444"/>
        <v/>
      </c>
      <c r="BD800" s="567" t="str">
        <f t="shared" si="445"/>
        <v/>
      </c>
      <c r="BE800" s="467" t="str">
        <f t="shared" si="446"/>
        <v/>
      </c>
      <c r="BF800" s="469" t="str">
        <f t="shared" ca="1" si="447"/>
        <v/>
      </c>
      <c r="BG800" s="469" t="str">
        <f t="shared" ca="1" si="448"/>
        <v/>
      </c>
      <c r="BH800" s="467" t="str">
        <f t="shared" si="449"/>
        <v/>
      </c>
      <c r="BI800" s="467" t="str">
        <f t="shared" ca="1" si="450"/>
        <v/>
      </c>
      <c r="BJ800" s="469" t="str">
        <f t="shared" si="451"/>
        <v/>
      </c>
      <c r="BK800" s="470" t="str">
        <f t="shared" si="435"/>
        <v/>
      </c>
      <c r="BL800" s="775" t="str">
        <f t="shared" si="452"/>
        <v/>
      </c>
      <c r="BM800" s="775" t="str">
        <f t="shared" si="453"/>
        <v/>
      </c>
    </row>
    <row r="801" spans="1:65">
      <c r="A801" s="473">
        <v>745</v>
      </c>
      <c r="B801" s="132"/>
      <c r="C801" s="332"/>
      <c r="D801" s="333"/>
      <c r="E801" s="333"/>
      <c r="F801" s="334"/>
      <c r="G801" s="337"/>
      <c r="H801" s="131"/>
      <c r="I801" s="337"/>
      <c r="J801" s="131"/>
      <c r="K801" s="458" t="str">
        <f t="shared" si="416"/>
        <v/>
      </c>
      <c r="L801" s="458">
        <f t="shared" si="417"/>
        <v>0</v>
      </c>
      <c r="M801" s="458">
        <f t="shared" si="418"/>
        <v>0</v>
      </c>
      <c r="N801" s="459" t="str">
        <f t="shared" si="429"/>
        <v/>
      </c>
      <c r="O801" s="459" t="str">
        <f t="shared" si="430"/>
        <v/>
      </c>
      <c r="P801" s="459" t="str">
        <f t="shared" si="431"/>
        <v/>
      </c>
      <c r="Q801" s="459" t="str">
        <f t="shared" si="432"/>
        <v/>
      </c>
      <c r="R801" s="459" t="str">
        <f t="shared" si="433"/>
        <v/>
      </c>
      <c r="S801" s="459" t="str">
        <f t="shared" si="434"/>
        <v/>
      </c>
      <c r="T801" s="566" t="str">
        <f t="shared" si="419"/>
        <v/>
      </c>
      <c r="U801" s="702"/>
      <c r="V801" s="132"/>
      <c r="W801" s="133"/>
      <c r="X801" s="134"/>
      <c r="Y801" s="135"/>
      <c r="Z801" s="137"/>
      <c r="AA801" s="136"/>
      <c r="AB801" s="566" t="str">
        <f t="shared" si="420"/>
        <v/>
      </c>
      <c r="AC801" s="568" t="str">
        <f t="shared" si="421"/>
        <v/>
      </c>
      <c r="AD801" s="137"/>
      <c r="AE801" s="137"/>
      <c r="AF801" s="138"/>
      <c r="AG801" s="138"/>
      <c r="AH801" s="592" t="str">
        <f t="shared" si="422"/>
        <v/>
      </c>
      <c r="AI801" s="592" t="str">
        <f t="shared" si="423"/>
        <v/>
      </c>
      <c r="AJ801" s="592" t="str">
        <f t="shared" si="424"/>
        <v/>
      </c>
      <c r="AK801" s="460" t="str">
        <f>IF(AU801="","",IF(OR(AZ801=8,AZ801=9),0,IF(OR(AW801=3,AW801=4,AW801=5,AW801=6),IF(LEFT(BF801,1)="1",INDEX(係数_NOX・PM低減,MATCH(AY801,【参考】排出係数!$AI$801:$AI$804,1),1),VLOOKUP(AU801,INDEX((係数_バス貨物_ガソリン,係数_バス貨物_CNG,係数_バス貨物_軽油,係数_バス貨物_メタノール,係数_バス貨物_LPG),MATCH(AY801,【参考】排出係数!$AI$4:$AI$671,1),1,BE801):INDEX((係数_バス貨物_ガソリン,係数_バス貨物_CNG,係数_バス貨物_軽油,係数_バス貨物_メタノール,係数_バス貨物_LPG),MATCH(AY801+1,【参考】排出係数!$AI$4:$AI$671,1)-1,5,BE801),4,FALSE)),IF(AND(BE801=3,LEFT(BF801,1)="1"),0.48,VLOOKUP(AU801,INDEX((係数_乗用_ガソリン,係数_乗用_CNG,係数_乗用_軽油,係数_乗用_メタノール,係数_乗用_LPG),1,1,BE801):INDEX((係数_乗用_ガソリン,係数_乗用_CNG,係数_乗用_軽油,係数_乗用_メタノール,係数_乗用_LPG),125,5,BE801),4,FALSE)))))</f>
        <v/>
      </c>
      <c r="AL801" s="461" t="str">
        <f t="shared" si="425"/>
        <v/>
      </c>
      <c r="AM801" s="460" t="str">
        <f>IF(AU801="","",IF(OR(AZ801=8,AZ801=9),0,IF(OR(AW801=3,AW801=4,AW801=5,AW801=6),IF(LEFT(BH801,1)="1",INDEX(係数_PM低減,MATCH(AY801,【参考】排出係数!$AI$801:$AI$804,1),MATCH(BI801,【参考】排出係数!$AL$798:$AO$798,1)),VLOOKUP(AU801,INDEX((係数_バス貨物_ガソリン,係数_バス貨物_CNG,係数_バス貨物_軽油,係数_バス貨物_メタノール,係数_バス貨物_LPG),MATCH(AY801,【参考】排出係数!$AI$4:$AI$671,1),1,BE801):INDEX((係数_バス貨物_ガソリン,係数_バス貨物_CNG,係数_バス貨物_軽油,係数_バス貨物_メタノール,係数_バス貨物_LPG),MATCH(AY801+1,【参考】排出係数!$AI$4:$AI$671,1)-1,5,BE801),5,FALSE)),IF(AND(BE801=3,LEFT(BF801,1)="1"),0.055,VLOOKUP(AU801,INDEX((係数_乗用_ガソリン,係数_乗用_CNG,係数_乗用_軽油,係数_乗用_メタノール,係数_乗用_LPG),1,1,BE801):INDEX((係数_乗用_ガソリン,係数_乗用_CNG,係数_乗用_軽油,係数_乗用_メタノール,係数_乗用_LPG),125,5,BE801),5,FALSE)))))</f>
        <v/>
      </c>
      <c r="AN801" s="461" t="str">
        <f t="shared" si="426"/>
        <v/>
      </c>
      <c r="AO801" s="462" t="str">
        <f t="shared" si="427"/>
        <v/>
      </c>
      <c r="AP801" s="463" t="str">
        <f t="shared" si="428"/>
        <v/>
      </c>
      <c r="AQ801" s="464"/>
      <c r="AR801" s="619"/>
      <c r="AS801" s="465" t="str">
        <f t="shared" si="436"/>
        <v/>
      </c>
      <c r="AT801" s="465" t="str">
        <f t="shared" si="437"/>
        <v/>
      </c>
      <c r="AU801" s="466" t="str">
        <f t="shared" si="438"/>
        <v/>
      </c>
      <c r="AV801" s="467" t="str">
        <f t="shared" si="439"/>
        <v/>
      </c>
      <c r="AW801" s="467" t="str">
        <f t="shared" si="440"/>
        <v/>
      </c>
      <c r="AX801" s="467" t="str">
        <f t="shared" si="441"/>
        <v/>
      </c>
      <c r="AY801" s="467" t="str">
        <f t="shared" si="442"/>
        <v/>
      </c>
      <c r="AZ801" s="467" t="str">
        <f t="shared" si="443"/>
        <v/>
      </c>
      <c r="BA801" s="468" t="str">
        <f>IF(AS801="","",IF(OR(AU801="",AU801="-"),"－",IF(OR(AZ801=8,AZ801=9),"",IF(OR(AW801=3,AW801=4,AW801=5,AW801=6),VLOOKUP(AU801,INDEX((係数_バス貨物_ガソリン,係数_バス貨物_CNG,係数_バス貨物_軽油,係数_バス貨物_メタノール,係数_バス貨物_LPG),MATCH(AY801,【参考】排出係数!$AI$4:$AI$671,1),1,BE801):INDEX((係数_バス貨物_ガソリン,係数_バス貨物_CNG,係数_バス貨物_軽油,係数_バス貨物_メタノール,係数_バス貨物_LPG),MATCH(AY801+1,【参考】排出係数!$AI$4:$AI$671,1)-1,5,BE801),2,FALSE),IF(OR(AW801=1,AW801=2),VLOOKUP(AU801,INDEX((係数_乗用_ガソリン,係数_乗用_CNG,係数_乗用_軽油,係数_乗用_メタノール,係数_乗用_LPG),1,1,BE801):INDEX((係数_乗用_ガソリン,係数_乗用_CNG,係数_乗用_軽油,係数_乗用_メタノール,係数_乗用_LPG),125,5,BE801),2,FALSE))))))</f>
        <v/>
      </c>
      <c r="BB801" s="468" t="str">
        <f>IF(T801="","",IF(OR(AU801="",AU801="-"),"－",IF(OR(AZ801=8,AZ801=9),"",IF(OR(AW801=3,AW801=4,AW801=5,AW801=6),VLOOKUP(AU801,INDEX((係数_バス貨物_ガソリン,係数_バス貨物_CNG,係数_バス貨物_軽油,係数_バス貨物_メタノール,係数_バス貨物_LPG),MATCH(AY801,【参考】排出係数!$AI$4:$AI$671,1),1,BE801):INDEX((係数_バス貨物_ガソリン,係数_バス貨物_CNG,係数_バス貨物_軽油,係数_バス貨物_メタノール,係数_バス貨物_LPG),MATCH(AY801+1,【参考】排出係数!$AI$4:$AI$671,1)-1,5,BE801),3,FALSE),IF(OR(AW801=1,AW801=2),VLOOKUP(AU801,INDEX((係数_乗用_ガソリン,係数_乗用_CNG,係数_乗用_軽油,係数_乗用_メタノール,係数_乗用_LPG),1,1,BE801):INDEX((係数_乗用_ガソリン,係数_乗用_CNG,係数_乗用_軽油,係数_乗用_メタノール,係数_乗用_LPG),125,5,BE801),3,FALSE))))))</f>
        <v/>
      </c>
      <c r="BC801" s="467" t="str">
        <f t="shared" si="444"/>
        <v/>
      </c>
      <c r="BD801" s="567" t="str">
        <f t="shared" si="445"/>
        <v/>
      </c>
      <c r="BE801" s="467" t="str">
        <f t="shared" si="446"/>
        <v/>
      </c>
      <c r="BF801" s="469" t="str">
        <f t="shared" ca="1" si="447"/>
        <v/>
      </c>
      <c r="BG801" s="469" t="str">
        <f t="shared" ca="1" si="448"/>
        <v/>
      </c>
      <c r="BH801" s="467" t="str">
        <f t="shared" si="449"/>
        <v/>
      </c>
      <c r="BI801" s="467" t="str">
        <f t="shared" ca="1" si="450"/>
        <v/>
      </c>
      <c r="BJ801" s="469" t="str">
        <f t="shared" si="451"/>
        <v/>
      </c>
      <c r="BK801" s="470" t="str">
        <f t="shared" si="435"/>
        <v/>
      </c>
      <c r="BL801" s="775" t="str">
        <f t="shared" si="452"/>
        <v/>
      </c>
      <c r="BM801" s="775" t="str">
        <f t="shared" si="453"/>
        <v/>
      </c>
    </row>
    <row r="802" spans="1:65">
      <c r="A802" s="473">
        <v>746</v>
      </c>
      <c r="B802" s="132"/>
      <c r="C802" s="332"/>
      <c r="D802" s="333"/>
      <c r="E802" s="333"/>
      <c r="F802" s="334"/>
      <c r="G802" s="337"/>
      <c r="H802" s="131"/>
      <c r="I802" s="337"/>
      <c r="J802" s="131"/>
      <c r="K802" s="458" t="str">
        <f t="shared" si="416"/>
        <v/>
      </c>
      <c r="L802" s="458">
        <f t="shared" si="417"/>
        <v>0</v>
      </c>
      <c r="M802" s="458">
        <f t="shared" si="418"/>
        <v>0</v>
      </c>
      <c r="N802" s="459" t="str">
        <f t="shared" si="429"/>
        <v/>
      </c>
      <c r="O802" s="459" t="str">
        <f t="shared" si="430"/>
        <v/>
      </c>
      <c r="P802" s="459" t="str">
        <f t="shared" si="431"/>
        <v/>
      </c>
      <c r="Q802" s="459" t="str">
        <f t="shared" si="432"/>
        <v/>
      </c>
      <c r="R802" s="459" t="str">
        <f t="shared" si="433"/>
        <v/>
      </c>
      <c r="S802" s="459" t="str">
        <f t="shared" si="434"/>
        <v/>
      </c>
      <c r="T802" s="566" t="str">
        <f t="shared" si="419"/>
        <v/>
      </c>
      <c r="U802" s="702"/>
      <c r="V802" s="132"/>
      <c r="W802" s="133"/>
      <c r="X802" s="134"/>
      <c r="Y802" s="135"/>
      <c r="Z802" s="137"/>
      <c r="AA802" s="136"/>
      <c r="AB802" s="566" t="str">
        <f t="shared" si="420"/>
        <v/>
      </c>
      <c r="AC802" s="568" t="str">
        <f t="shared" si="421"/>
        <v/>
      </c>
      <c r="AD802" s="137"/>
      <c r="AE802" s="137"/>
      <c r="AF802" s="138"/>
      <c r="AG802" s="138"/>
      <c r="AH802" s="592" t="str">
        <f t="shared" si="422"/>
        <v/>
      </c>
      <c r="AI802" s="592" t="str">
        <f t="shared" si="423"/>
        <v/>
      </c>
      <c r="AJ802" s="592" t="str">
        <f t="shared" si="424"/>
        <v/>
      </c>
      <c r="AK802" s="460" t="str">
        <f>IF(AU802="","",IF(OR(AZ802=8,AZ802=9),0,IF(OR(AW802=3,AW802=4,AW802=5,AW802=6),IF(LEFT(BF802,1)="1",INDEX(係数_NOX・PM低減,MATCH(AY802,【参考】排出係数!$AI$801:$AI$804,1),1),VLOOKUP(AU802,INDEX((係数_バス貨物_ガソリン,係数_バス貨物_CNG,係数_バス貨物_軽油,係数_バス貨物_メタノール,係数_バス貨物_LPG),MATCH(AY802,【参考】排出係数!$AI$4:$AI$671,1),1,BE802):INDEX((係数_バス貨物_ガソリン,係数_バス貨物_CNG,係数_バス貨物_軽油,係数_バス貨物_メタノール,係数_バス貨物_LPG),MATCH(AY802+1,【参考】排出係数!$AI$4:$AI$671,1)-1,5,BE802),4,FALSE)),IF(AND(BE802=3,LEFT(BF802,1)="1"),0.48,VLOOKUP(AU802,INDEX((係数_乗用_ガソリン,係数_乗用_CNG,係数_乗用_軽油,係数_乗用_メタノール,係数_乗用_LPG),1,1,BE802):INDEX((係数_乗用_ガソリン,係数_乗用_CNG,係数_乗用_軽油,係数_乗用_メタノール,係数_乗用_LPG),125,5,BE802),4,FALSE)))))</f>
        <v/>
      </c>
      <c r="AL802" s="461" t="str">
        <f t="shared" si="425"/>
        <v/>
      </c>
      <c r="AM802" s="460" t="str">
        <f>IF(AU802="","",IF(OR(AZ802=8,AZ802=9),0,IF(OR(AW802=3,AW802=4,AW802=5,AW802=6),IF(LEFT(BH802,1)="1",INDEX(係数_PM低減,MATCH(AY802,【参考】排出係数!$AI$801:$AI$804,1),MATCH(BI802,【参考】排出係数!$AL$798:$AO$798,1)),VLOOKUP(AU802,INDEX((係数_バス貨物_ガソリン,係数_バス貨物_CNG,係数_バス貨物_軽油,係数_バス貨物_メタノール,係数_バス貨物_LPG),MATCH(AY802,【参考】排出係数!$AI$4:$AI$671,1),1,BE802):INDEX((係数_バス貨物_ガソリン,係数_バス貨物_CNG,係数_バス貨物_軽油,係数_バス貨物_メタノール,係数_バス貨物_LPG),MATCH(AY802+1,【参考】排出係数!$AI$4:$AI$671,1)-1,5,BE802),5,FALSE)),IF(AND(BE802=3,LEFT(BF802,1)="1"),0.055,VLOOKUP(AU802,INDEX((係数_乗用_ガソリン,係数_乗用_CNG,係数_乗用_軽油,係数_乗用_メタノール,係数_乗用_LPG),1,1,BE802):INDEX((係数_乗用_ガソリン,係数_乗用_CNG,係数_乗用_軽油,係数_乗用_メタノール,係数_乗用_LPG),125,5,BE802),5,FALSE)))))</f>
        <v/>
      </c>
      <c r="AN802" s="461" t="str">
        <f t="shared" si="426"/>
        <v/>
      </c>
      <c r="AO802" s="462" t="str">
        <f t="shared" si="427"/>
        <v/>
      </c>
      <c r="AP802" s="463" t="str">
        <f t="shared" si="428"/>
        <v/>
      </c>
      <c r="AQ802" s="464"/>
      <c r="AR802" s="619"/>
      <c r="AS802" s="465" t="str">
        <f t="shared" si="436"/>
        <v/>
      </c>
      <c r="AT802" s="465" t="str">
        <f t="shared" si="437"/>
        <v/>
      </c>
      <c r="AU802" s="466" t="str">
        <f t="shared" si="438"/>
        <v/>
      </c>
      <c r="AV802" s="467" t="str">
        <f t="shared" si="439"/>
        <v/>
      </c>
      <c r="AW802" s="467" t="str">
        <f t="shared" si="440"/>
        <v/>
      </c>
      <c r="AX802" s="467" t="str">
        <f t="shared" si="441"/>
        <v/>
      </c>
      <c r="AY802" s="467" t="str">
        <f t="shared" si="442"/>
        <v/>
      </c>
      <c r="AZ802" s="467" t="str">
        <f t="shared" si="443"/>
        <v/>
      </c>
      <c r="BA802" s="468" t="str">
        <f>IF(AS802="","",IF(OR(AU802="",AU802="-"),"－",IF(OR(AZ802=8,AZ802=9),"",IF(OR(AW802=3,AW802=4,AW802=5,AW802=6),VLOOKUP(AU802,INDEX((係数_バス貨物_ガソリン,係数_バス貨物_CNG,係数_バス貨物_軽油,係数_バス貨物_メタノール,係数_バス貨物_LPG),MATCH(AY802,【参考】排出係数!$AI$4:$AI$671,1),1,BE802):INDEX((係数_バス貨物_ガソリン,係数_バス貨物_CNG,係数_バス貨物_軽油,係数_バス貨物_メタノール,係数_バス貨物_LPG),MATCH(AY802+1,【参考】排出係数!$AI$4:$AI$671,1)-1,5,BE802),2,FALSE),IF(OR(AW802=1,AW802=2),VLOOKUP(AU802,INDEX((係数_乗用_ガソリン,係数_乗用_CNG,係数_乗用_軽油,係数_乗用_メタノール,係数_乗用_LPG),1,1,BE802):INDEX((係数_乗用_ガソリン,係数_乗用_CNG,係数_乗用_軽油,係数_乗用_メタノール,係数_乗用_LPG),125,5,BE802),2,FALSE))))))</f>
        <v/>
      </c>
      <c r="BB802" s="468" t="str">
        <f>IF(T802="","",IF(OR(AU802="",AU802="-"),"－",IF(OR(AZ802=8,AZ802=9),"",IF(OR(AW802=3,AW802=4,AW802=5,AW802=6),VLOOKUP(AU802,INDEX((係数_バス貨物_ガソリン,係数_バス貨物_CNG,係数_バス貨物_軽油,係数_バス貨物_メタノール,係数_バス貨物_LPG),MATCH(AY802,【参考】排出係数!$AI$4:$AI$671,1),1,BE802):INDEX((係数_バス貨物_ガソリン,係数_バス貨物_CNG,係数_バス貨物_軽油,係数_バス貨物_メタノール,係数_バス貨物_LPG),MATCH(AY802+1,【参考】排出係数!$AI$4:$AI$671,1)-1,5,BE802),3,FALSE),IF(OR(AW802=1,AW802=2),VLOOKUP(AU802,INDEX((係数_乗用_ガソリン,係数_乗用_CNG,係数_乗用_軽油,係数_乗用_メタノール,係数_乗用_LPG),1,1,BE802):INDEX((係数_乗用_ガソリン,係数_乗用_CNG,係数_乗用_軽油,係数_乗用_メタノール,係数_乗用_LPG),125,5,BE802),3,FALSE))))))</f>
        <v/>
      </c>
      <c r="BC802" s="467" t="str">
        <f t="shared" si="444"/>
        <v/>
      </c>
      <c r="BD802" s="567" t="str">
        <f t="shared" si="445"/>
        <v/>
      </c>
      <c r="BE802" s="467" t="str">
        <f t="shared" si="446"/>
        <v/>
      </c>
      <c r="BF802" s="469" t="str">
        <f t="shared" ca="1" si="447"/>
        <v/>
      </c>
      <c r="BG802" s="469" t="str">
        <f t="shared" ca="1" si="448"/>
        <v/>
      </c>
      <c r="BH802" s="467" t="str">
        <f t="shared" si="449"/>
        <v/>
      </c>
      <c r="BI802" s="467" t="str">
        <f t="shared" ca="1" si="450"/>
        <v/>
      </c>
      <c r="BJ802" s="469" t="str">
        <f t="shared" si="451"/>
        <v/>
      </c>
      <c r="BK802" s="470" t="str">
        <f t="shared" si="435"/>
        <v/>
      </c>
      <c r="BL802" s="775" t="str">
        <f t="shared" si="452"/>
        <v/>
      </c>
      <c r="BM802" s="775" t="str">
        <f t="shared" si="453"/>
        <v/>
      </c>
    </row>
    <row r="803" spans="1:65">
      <c r="A803" s="473">
        <v>747</v>
      </c>
      <c r="B803" s="132"/>
      <c r="C803" s="332"/>
      <c r="D803" s="333"/>
      <c r="E803" s="333"/>
      <c r="F803" s="334"/>
      <c r="G803" s="337"/>
      <c r="H803" s="131"/>
      <c r="I803" s="337"/>
      <c r="J803" s="131"/>
      <c r="K803" s="458" t="str">
        <f t="shared" si="416"/>
        <v/>
      </c>
      <c r="L803" s="458">
        <f t="shared" si="417"/>
        <v>0</v>
      </c>
      <c r="M803" s="458">
        <f t="shared" si="418"/>
        <v>0</v>
      </c>
      <c r="N803" s="459" t="str">
        <f t="shared" si="429"/>
        <v/>
      </c>
      <c r="O803" s="459" t="str">
        <f t="shared" si="430"/>
        <v/>
      </c>
      <c r="P803" s="459" t="str">
        <f t="shared" si="431"/>
        <v/>
      </c>
      <c r="Q803" s="459" t="str">
        <f t="shared" si="432"/>
        <v/>
      </c>
      <c r="R803" s="459" t="str">
        <f t="shared" si="433"/>
        <v/>
      </c>
      <c r="S803" s="459" t="str">
        <f t="shared" si="434"/>
        <v/>
      </c>
      <c r="T803" s="566" t="str">
        <f t="shared" si="419"/>
        <v/>
      </c>
      <c r="U803" s="702"/>
      <c r="V803" s="132"/>
      <c r="W803" s="133"/>
      <c r="X803" s="134"/>
      <c r="Y803" s="135"/>
      <c r="Z803" s="137"/>
      <c r="AA803" s="136"/>
      <c r="AB803" s="566" t="str">
        <f t="shared" si="420"/>
        <v/>
      </c>
      <c r="AC803" s="568" t="str">
        <f t="shared" si="421"/>
        <v/>
      </c>
      <c r="AD803" s="137"/>
      <c r="AE803" s="137"/>
      <c r="AF803" s="138"/>
      <c r="AG803" s="138"/>
      <c r="AH803" s="592" t="str">
        <f t="shared" si="422"/>
        <v/>
      </c>
      <c r="AI803" s="592" t="str">
        <f t="shared" si="423"/>
        <v/>
      </c>
      <c r="AJ803" s="592" t="str">
        <f t="shared" si="424"/>
        <v/>
      </c>
      <c r="AK803" s="460" t="str">
        <f>IF(AU803="","",IF(OR(AZ803=8,AZ803=9),0,IF(OR(AW803=3,AW803=4,AW803=5,AW803=6),IF(LEFT(BF803,1)="1",INDEX(係数_NOX・PM低減,MATCH(AY803,【参考】排出係数!$AI$801:$AI$804,1),1),VLOOKUP(AU803,INDEX((係数_バス貨物_ガソリン,係数_バス貨物_CNG,係数_バス貨物_軽油,係数_バス貨物_メタノール,係数_バス貨物_LPG),MATCH(AY803,【参考】排出係数!$AI$4:$AI$671,1),1,BE803):INDEX((係数_バス貨物_ガソリン,係数_バス貨物_CNG,係数_バス貨物_軽油,係数_バス貨物_メタノール,係数_バス貨物_LPG),MATCH(AY803+1,【参考】排出係数!$AI$4:$AI$671,1)-1,5,BE803),4,FALSE)),IF(AND(BE803=3,LEFT(BF803,1)="1"),0.48,VLOOKUP(AU803,INDEX((係数_乗用_ガソリン,係数_乗用_CNG,係数_乗用_軽油,係数_乗用_メタノール,係数_乗用_LPG),1,1,BE803):INDEX((係数_乗用_ガソリン,係数_乗用_CNG,係数_乗用_軽油,係数_乗用_メタノール,係数_乗用_LPG),125,5,BE803),4,FALSE)))))</f>
        <v/>
      </c>
      <c r="AL803" s="461" t="str">
        <f t="shared" si="425"/>
        <v/>
      </c>
      <c r="AM803" s="460" t="str">
        <f>IF(AU803="","",IF(OR(AZ803=8,AZ803=9),0,IF(OR(AW803=3,AW803=4,AW803=5,AW803=6),IF(LEFT(BH803,1)="1",INDEX(係数_PM低減,MATCH(AY803,【参考】排出係数!$AI$801:$AI$804,1),MATCH(BI803,【参考】排出係数!$AL$798:$AO$798,1)),VLOOKUP(AU803,INDEX((係数_バス貨物_ガソリン,係数_バス貨物_CNG,係数_バス貨物_軽油,係数_バス貨物_メタノール,係数_バス貨物_LPG),MATCH(AY803,【参考】排出係数!$AI$4:$AI$671,1),1,BE803):INDEX((係数_バス貨物_ガソリン,係数_バス貨物_CNG,係数_バス貨物_軽油,係数_バス貨物_メタノール,係数_バス貨物_LPG),MATCH(AY803+1,【参考】排出係数!$AI$4:$AI$671,1)-1,5,BE803),5,FALSE)),IF(AND(BE803=3,LEFT(BF803,1)="1"),0.055,VLOOKUP(AU803,INDEX((係数_乗用_ガソリン,係数_乗用_CNG,係数_乗用_軽油,係数_乗用_メタノール,係数_乗用_LPG),1,1,BE803):INDEX((係数_乗用_ガソリン,係数_乗用_CNG,係数_乗用_軽油,係数_乗用_メタノール,係数_乗用_LPG),125,5,BE803),5,FALSE)))))</f>
        <v/>
      </c>
      <c r="AN803" s="461" t="str">
        <f t="shared" si="426"/>
        <v/>
      </c>
      <c r="AO803" s="462" t="str">
        <f t="shared" si="427"/>
        <v/>
      </c>
      <c r="AP803" s="463" t="str">
        <f t="shared" si="428"/>
        <v/>
      </c>
      <c r="AQ803" s="464"/>
      <c r="AR803" s="619"/>
      <c r="AS803" s="465" t="str">
        <f t="shared" si="436"/>
        <v/>
      </c>
      <c r="AT803" s="465" t="str">
        <f t="shared" si="437"/>
        <v/>
      </c>
      <c r="AU803" s="466" t="str">
        <f t="shared" si="438"/>
        <v/>
      </c>
      <c r="AV803" s="467" t="str">
        <f t="shared" si="439"/>
        <v/>
      </c>
      <c r="AW803" s="467" t="str">
        <f t="shared" si="440"/>
        <v/>
      </c>
      <c r="AX803" s="467" t="str">
        <f t="shared" si="441"/>
        <v/>
      </c>
      <c r="AY803" s="467" t="str">
        <f t="shared" si="442"/>
        <v/>
      </c>
      <c r="AZ803" s="467" t="str">
        <f t="shared" si="443"/>
        <v/>
      </c>
      <c r="BA803" s="468" t="str">
        <f>IF(AS803="","",IF(OR(AU803="",AU803="-"),"－",IF(OR(AZ803=8,AZ803=9),"",IF(OR(AW803=3,AW803=4,AW803=5,AW803=6),VLOOKUP(AU803,INDEX((係数_バス貨物_ガソリン,係数_バス貨物_CNG,係数_バス貨物_軽油,係数_バス貨物_メタノール,係数_バス貨物_LPG),MATCH(AY803,【参考】排出係数!$AI$4:$AI$671,1),1,BE803):INDEX((係数_バス貨物_ガソリン,係数_バス貨物_CNG,係数_バス貨物_軽油,係数_バス貨物_メタノール,係数_バス貨物_LPG),MATCH(AY803+1,【参考】排出係数!$AI$4:$AI$671,1)-1,5,BE803),2,FALSE),IF(OR(AW803=1,AW803=2),VLOOKUP(AU803,INDEX((係数_乗用_ガソリン,係数_乗用_CNG,係数_乗用_軽油,係数_乗用_メタノール,係数_乗用_LPG),1,1,BE803):INDEX((係数_乗用_ガソリン,係数_乗用_CNG,係数_乗用_軽油,係数_乗用_メタノール,係数_乗用_LPG),125,5,BE803),2,FALSE))))))</f>
        <v/>
      </c>
      <c r="BB803" s="468" t="str">
        <f>IF(T803="","",IF(OR(AU803="",AU803="-"),"－",IF(OR(AZ803=8,AZ803=9),"",IF(OR(AW803=3,AW803=4,AW803=5,AW803=6),VLOOKUP(AU803,INDEX((係数_バス貨物_ガソリン,係数_バス貨物_CNG,係数_バス貨物_軽油,係数_バス貨物_メタノール,係数_バス貨物_LPG),MATCH(AY803,【参考】排出係数!$AI$4:$AI$671,1),1,BE803):INDEX((係数_バス貨物_ガソリン,係数_バス貨物_CNG,係数_バス貨物_軽油,係数_バス貨物_メタノール,係数_バス貨物_LPG),MATCH(AY803+1,【参考】排出係数!$AI$4:$AI$671,1)-1,5,BE803),3,FALSE),IF(OR(AW803=1,AW803=2),VLOOKUP(AU803,INDEX((係数_乗用_ガソリン,係数_乗用_CNG,係数_乗用_軽油,係数_乗用_メタノール,係数_乗用_LPG),1,1,BE803):INDEX((係数_乗用_ガソリン,係数_乗用_CNG,係数_乗用_軽油,係数_乗用_メタノール,係数_乗用_LPG),125,5,BE803),3,FALSE))))))</f>
        <v/>
      </c>
      <c r="BC803" s="467" t="str">
        <f t="shared" si="444"/>
        <v/>
      </c>
      <c r="BD803" s="567" t="str">
        <f t="shared" si="445"/>
        <v/>
      </c>
      <c r="BE803" s="467" t="str">
        <f t="shared" si="446"/>
        <v/>
      </c>
      <c r="BF803" s="469" t="str">
        <f t="shared" ca="1" si="447"/>
        <v/>
      </c>
      <c r="BG803" s="469" t="str">
        <f t="shared" ca="1" si="448"/>
        <v/>
      </c>
      <c r="BH803" s="467" t="str">
        <f t="shared" si="449"/>
        <v/>
      </c>
      <c r="BI803" s="467" t="str">
        <f t="shared" ca="1" si="450"/>
        <v/>
      </c>
      <c r="BJ803" s="469" t="str">
        <f t="shared" si="451"/>
        <v/>
      </c>
      <c r="BK803" s="470" t="str">
        <f t="shared" si="435"/>
        <v/>
      </c>
      <c r="BL803" s="775" t="str">
        <f t="shared" si="452"/>
        <v/>
      </c>
      <c r="BM803" s="775" t="str">
        <f t="shared" si="453"/>
        <v/>
      </c>
    </row>
    <row r="804" spans="1:65">
      <c r="A804" s="473">
        <v>748</v>
      </c>
      <c r="B804" s="132"/>
      <c r="C804" s="332"/>
      <c r="D804" s="333"/>
      <c r="E804" s="333"/>
      <c r="F804" s="334"/>
      <c r="G804" s="337"/>
      <c r="H804" s="131"/>
      <c r="I804" s="337"/>
      <c r="J804" s="131"/>
      <c r="K804" s="458" t="str">
        <f t="shared" si="416"/>
        <v/>
      </c>
      <c r="L804" s="458">
        <f t="shared" si="417"/>
        <v>0</v>
      </c>
      <c r="M804" s="458">
        <f t="shared" si="418"/>
        <v>0</v>
      </c>
      <c r="N804" s="459" t="str">
        <f t="shared" si="429"/>
        <v/>
      </c>
      <c r="O804" s="459" t="str">
        <f t="shared" si="430"/>
        <v/>
      </c>
      <c r="P804" s="459" t="str">
        <f t="shared" si="431"/>
        <v/>
      </c>
      <c r="Q804" s="459" t="str">
        <f t="shared" si="432"/>
        <v/>
      </c>
      <c r="R804" s="459" t="str">
        <f t="shared" si="433"/>
        <v/>
      </c>
      <c r="S804" s="459" t="str">
        <f t="shared" si="434"/>
        <v/>
      </c>
      <c r="T804" s="566" t="str">
        <f t="shared" si="419"/>
        <v/>
      </c>
      <c r="U804" s="702"/>
      <c r="V804" s="132"/>
      <c r="W804" s="133"/>
      <c r="X804" s="134"/>
      <c r="Y804" s="135"/>
      <c r="Z804" s="137"/>
      <c r="AA804" s="136"/>
      <c r="AB804" s="566" t="str">
        <f t="shared" si="420"/>
        <v/>
      </c>
      <c r="AC804" s="568" t="str">
        <f t="shared" si="421"/>
        <v/>
      </c>
      <c r="AD804" s="137"/>
      <c r="AE804" s="137"/>
      <c r="AF804" s="138"/>
      <c r="AG804" s="138"/>
      <c r="AH804" s="592" t="str">
        <f t="shared" si="422"/>
        <v/>
      </c>
      <c r="AI804" s="592" t="str">
        <f t="shared" si="423"/>
        <v/>
      </c>
      <c r="AJ804" s="592" t="str">
        <f t="shared" si="424"/>
        <v/>
      </c>
      <c r="AK804" s="460" t="str">
        <f>IF(AU804="","",IF(OR(AZ804=8,AZ804=9),0,IF(OR(AW804=3,AW804=4,AW804=5,AW804=6),IF(LEFT(BF804,1)="1",INDEX(係数_NOX・PM低減,MATCH(AY804,【参考】排出係数!$AI$801:$AI$804,1),1),VLOOKUP(AU804,INDEX((係数_バス貨物_ガソリン,係数_バス貨物_CNG,係数_バス貨物_軽油,係数_バス貨物_メタノール,係数_バス貨物_LPG),MATCH(AY804,【参考】排出係数!$AI$4:$AI$671,1),1,BE804):INDEX((係数_バス貨物_ガソリン,係数_バス貨物_CNG,係数_バス貨物_軽油,係数_バス貨物_メタノール,係数_バス貨物_LPG),MATCH(AY804+1,【参考】排出係数!$AI$4:$AI$671,1)-1,5,BE804),4,FALSE)),IF(AND(BE804=3,LEFT(BF804,1)="1"),0.48,VLOOKUP(AU804,INDEX((係数_乗用_ガソリン,係数_乗用_CNG,係数_乗用_軽油,係数_乗用_メタノール,係数_乗用_LPG),1,1,BE804):INDEX((係数_乗用_ガソリン,係数_乗用_CNG,係数_乗用_軽油,係数_乗用_メタノール,係数_乗用_LPG),125,5,BE804),4,FALSE)))))</f>
        <v/>
      </c>
      <c r="AL804" s="461" t="str">
        <f t="shared" si="425"/>
        <v/>
      </c>
      <c r="AM804" s="460" t="str">
        <f>IF(AU804="","",IF(OR(AZ804=8,AZ804=9),0,IF(OR(AW804=3,AW804=4,AW804=5,AW804=6),IF(LEFT(BH804,1)="1",INDEX(係数_PM低減,MATCH(AY804,【参考】排出係数!$AI$801:$AI$804,1),MATCH(BI804,【参考】排出係数!$AL$798:$AO$798,1)),VLOOKUP(AU804,INDEX((係数_バス貨物_ガソリン,係数_バス貨物_CNG,係数_バス貨物_軽油,係数_バス貨物_メタノール,係数_バス貨物_LPG),MATCH(AY804,【参考】排出係数!$AI$4:$AI$671,1),1,BE804):INDEX((係数_バス貨物_ガソリン,係数_バス貨物_CNG,係数_バス貨物_軽油,係数_バス貨物_メタノール,係数_バス貨物_LPG),MATCH(AY804+1,【参考】排出係数!$AI$4:$AI$671,1)-1,5,BE804),5,FALSE)),IF(AND(BE804=3,LEFT(BF804,1)="1"),0.055,VLOOKUP(AU804,INDEX((係数_乗用_ガソリン,係数_乗用_CNG,係数_乗用_軽油,係数_乗用_メタノール,係数_乗用_LPG),1,1,BE804):INDEX((係数_乗用_ガソリン,係数_乗用_CNG,係数_乗用_軽油,係数_乗用_メタノール,係数_乗用_LPG),125,5,BE804),5,FALSE)))))</f>
        <v/>
      </c>
      <c r="AN804" s="461" t="str">
        <f t="shared" si="426"/>
        <v/>
      </c>
      <c r="AO804" s="462" t="str">
        <f t="shared" si="427"/>
        <v/>
      </c>
      <c r="AP804" s="463" t="str">
        <f t="shared" si="428"/>
        <v/>
      </c>
      <c r="AQ804" s="464"/>
      <c r="AR804" s="619"/>
      <c r="AS804" s="465" t="str">
        <f t="shared" si="436"/>
        <v/>
      </c>
      <c r="AT804" s="465" t="str">
        <f t="shared" si="437"/>
        <v/>
      </c>
      <c r="AU804" s="466" t="str">
        <f t="shared" si="438"/>
        <v/>
      </c>
      <c r="AV804" s="467" t="str">
        <f t="shared" si="439"/>
        <v/>
      </c>
      <c r="AW804" s="467" t="str">
        <f t="shared" si="440"/>
        <v/>
      </c>
      <c r="AX804" s="467" t="str">
        <f t="shared" si="441"/>
        <v/>
      </c>
      <c r="AY804" s="467" t="str">
        <f t="shared" si="442"/>
        <v/>
      </c>
      <c r="AZ804" s="467" t="str">
        <f t="shared" si="443"/>
        <v/>
      </c>
      <c r="BA804" s="468" t="str">
        <f>IF(AS804="","",IF(OR(AU804="",AU804="-"),"－",IF(OR(AZ804=8,AZ804=9),"",IF(OR(AW804=3,AW804=4,AW804=5,AW804=6),VLOOKUP(AU804,INDEX((係数_バス貨物_ガソリン,係数_バス貨物_CNG,係数_バス貨物_軽油,係数_バス貨物_メタノール,係数_バス貨物_LPG),MATCH(AY804,【参考】排出係数!$AI$4:$AI$671,1),1,BE804):INDEX((係数_バス貨物_ガソリン,係数_バス貨物_CNG,係数_バス貨物_軽油,係数_バス貨物_メタノール,係数_バス貨物_LPG),MATCH(AY804+1,【参考】排出係数!$AI$4:$AI$671,1)-1,5,BE804),2,FALSE),IF(OR(AW804=1,AW804=2),VLOOKUP(AU804,INDEX((係数_乗用_ガソリン,係数_乗用_CNG,係数_乗用_軽油,係数_乗用_メタノール,係数_乗用_LPG),1,1,BE804):INDEX((係数_乗用_ガソリン,係数_乗用_CNG,係数_乗用_軽油,係数_乗用_メタノール,係数_乗用_LPG),125,5,BE804),2,FALSE))))))</f>
        <v/>
      </c>
      <c r="BB804" s="468" t="str">
        <f>IF(T804="","",IF(OR(AU804="",AU804="-"),"－",IF(OR(AZ804=8,AZ804=9),"",IF(OR(AW804=3,AW804=4,AW804=5,AW804=6),VLOOKUP(AU804,INDEX((係数_バス貨物_ガソリン,係数_バス貨物_CNG,係数_バス貨物_軽油,係数_バス貨物_メタノール,係数_バス貨物_LPG),MATCH(AY804,【参考】排出係数!$AI$4:$AI$671,1),1,BE804):INDEX((係数_バス貨物_ガソリン,係数_バス貨物_CNG,係数_バス貨物_軽油,係数_バス貨物_メタノール,係数_バス貨物_LPG),MATCH(AY804+1,【参考】排出係数!$AI$4:$AI$671,1)-1,5,BE804),3,FALSE),IF(OR(AW804=1,AW804=2),VLOOKUP(AU804,INDEX((係数_乗用_ガソリン,係数_乗用_CNG,係数_乗用_軽油,係数_乗用_メタノール,係数_乗用_LPG),1,1,BE804):INDEX((係数_乗用_ガソリン,係数_乗用_CNG,係数_乗用_軽油,係数_乗用_メタノール,係数_乗用_LPG),125,5,BE804),3,FALSE))))))</f>
        <v/>
      </c>
      <c r="BC804" s="467" t="str">
        <f t="shared" si="444"/>
        <v/>
      </c>
      <c r="BD804" s="567" t="str">
        <f t="shared" si="445"/>
        <v/>
      </c>
      <c r="BE804" s="467" t="str">
        <f t="shared" si="446"/>
        <v/>
      </c>
      <c r="BF804" s="469" t="str">
        <f t="shared" ca="1" si="447"/>
        <v/>
      </c>
      <c r="BG804" s="469" t="str">
        <f t="shared" ca="1" si="448"/>
        <v/>
      </c>
      <c r="BH804" s="467" t="str">
        <f t="shared" si="449"/>
        <v/>
      </c>
      <c r="BI804" s="467" t="str">
        <f t="shared" ca="1" si="450"/>
        <v/>
      </c>
      <c r="BJ804" s="469" t="str">
        <f t="shared" si="451"/>
        <v/>
      </c>
      <c r="BK804" s="470" t="str">
        <f t="shared" si="435"/>
        <v/>
      </c>
      <c r="BL804" s="775" t="str">
        <f t="shared" si="452"/>
        <v/>
      </c>
      <c r="BM804" s="775" t="str">
        <f t="shared" si="453"/>
        <v/>
      </c>
    </row>
    <row r="805" spans="1:65">
      <c r="A805" s="473">
        <v>749</v>
      </c>
      <c r="B805" s="132"/>
      <c r="C805" s="332"/>
      <c r="D805" s="333"/>
      <c r="E805" s="333"/>
      <c r="F805" s="334"/>
      <c r="G805" s="337"/>
      <c r="H805" s="131"/>
      <c r="I805" s="337"/>
      <c r="J805" s="131"/>
      <c r="K805" s="458" t="str">
        <f t="shared" si="416"/>
        <v/>
      </c>
      <c r="L805" s="458">
        <f t="shared" si="417"/>
        <v>0</v>
      </c>
      <c r="M805" s="458">
        <f t="shared" si="418"/>
        <v>0</v>
      </c>
      <c r="N805" s="459" t="str">
        <f t="shared" si="429"/>
        <v/>
      </c>
      <c r="O805" s="459" t="str">
        <f t="shared" si="430"/>
        <v/>
      </c>
      <c r="P805" s="459" t="str">
        <f t="shared" si="431"/>
        <v/>
      </c>
      <c r="Q805" s="459" t="str">
        <f t="shared" si="432"/>
        <v/>
      </c>
      <c r="R805" s="459" t="str">
        <f t="shared" si="433"/>
        <v/>
      </c>
      <c r="S805" s="459" t="str">
        <f t="shared" si="434"/>
        <v/>
      </c>
      <c r="T805" s="566" t="str">
        <f t="shared" si="419"/>
        <v/>
      </c>
      <c r="U805" s="702"/>
      <c r="V805" s="132"/>
      <c r="W805" s="133"/>
      <c r="X805" s="134"/>
      <c r="Y805" s="135"/>
      <c r="Z805" s="137"/>
      <c r="AA805" s="136"/>
      <c r="AB805" s="566" t="str">
        <f t="shared" si="420"/>
        <v/>
      </c>
      <c r="AC805" s="568" t="str">
        <f t="shared" si="421"/>
        <v/>
      </c>
      <c r="AD805" s="137"/>
      <c r="AE805" s="137"/>
      <c r="AF805" s="138"/>
      <c r="AG805" s="138"/>
      <c r="AH805" s="592" t="str">
        <f t="shared" si="422"/>
        <v/>
      </c>
      <c r="AI805" s="592" t="str">
        <f t="shared" si="423"/>
        <v/>
      </c>
      <c r="AJ805" s="592" t="str">
        <f t="shared" si="424"/>
        <v/>
      </c>
      <c r="AK805" s="460" t="str">
        <f>IF(AU805="","",IF(OR(AZ805=8,AZ805=9),0,IF(OR(AW805=3,AW805=4,AW805=5,AW805=6),IF(LEFT(BF805,1)="1",INDEX(係数_NOX・PM低減,MATCH(AY805,【参考】排出係数!$AI$801:$AI$804,1),1),VLOOKUP(AU805,INDEX((係数_バス貨物_ガソリン,係数_バス貨物_CNG,係数_バス貨物_軽油,係数_バス貨物_メタノール,係数_バス貨物_LPG),MATCH(AY805,【参考】排出係数!$AI$4:$AI$671,1),1,BE805):INDEX((係数_バス貨物_ガソリン,係数_バス貨物_CNG,係数_バス貨物_軽油,係数_バス貨物_メタノール,係数_バス貨物_LPG),MATCH(AY805+1,【参考】排出係数!$AI$4:$AI$671,1)-1,5,BE805),4,FALSE)),IF(AND(BE805=3,LEFT(BF805,1)="1"),0.48,VLOOKUP(AU805,INDEX((係数_乗用_ガソリン,係数_乗用_CNG,係数_乗用_軽油,係数_乗用_メタノール,係数_乗用_LPG),1,1,BE805):INDEX((係数_乗用_ガソリン,係数_乗用_CNG,係数_乗用_軽油,係数_乗用_メタノール,係数_乗用_LPG),125,5,BE805),4,FALSE)))))</f>
        <v/>
      </c>
      <c r="AL805" s="461" t="str">
        <f t="shared" si="425"/>
        <v/>
      </c>
      <c r="AM805" s="460" t="str">
        <f>IF(AU805="","",IF(OR(AZ805=8,AZ805=9),0,IF(OR(AW805=3,AW805=4,AW805=5,AW805=6),IF(LEFT(BH805,1)="1",INDEX(係数_PM低減,MATCH(AY805,【参考】排出係数!$AI$801:$AI$804,1),MATCH(BI805,【参考】排出係数!$AL$798:$AO$798,1)),VLOOKUP(AU805,INDEX((係数_バス貨物_ガソリン,係数_バス貨物_CNG,係数_バス貨物_軽油,係数_バス貨物_メタノール,係数_バス貨物_LPG),MATCH(AY805,【参考】排出係数!$AI$4:$AI$671,1),1,BE805):INDEX((係数_バス貨物_ガソリン,係数_バス貨物_CNG,係数_バス貨物_軽油,係数_バス貨物_メタノール,係数_バス貨物_LPG),MATCH(AY805+1,【参考】排出係数!$AI$4:$AI$671,1)-1,5,BE805),5,FALSE)),IF(AND(BE805=3,LEFT(BF805,1)="1"),0.055,VLOOKUP(AU805,INDEX((係数_乗用_ガソリン,係数_乗用_CNG,係数_乗用_軽油,係数_乗用_メタノール,係数_乗用_LPG),1,1,BE805):INDEX((係数_乗用_ガソリン,係数_乗用_CNG,係数_乗用_軽油,係数_乗用_メタノール,係数_乗用_LPG),125,5,BE805),5,FALSE)))))</f>
        <v/>
      </c>
      <c r="AN805" s="461" t="str">
        <f t="shared" si="426"/>
        <v/>
      </c>
      <c r="AO805" s="462" t="str">
        <f t="shared" si="427"/>
        <v/>
      </c>
      <c r="AP805" s="463" t="str">
        <f t="shared" si="428"/>
        <v/>
      </c>
      <c r="AQ805" s="464"/>
      <c r="AR805" s="619"/>
      <c r="AS805" s="465" t="str">
        <f t="shared" si="436"/>
        <v/>
      </c>
      <c r="AT805" s="465" t="str">
        <f t="shared" si="437"/>
        <v/>
      </c>
      <c r="AU805" s="466" t="str">
        <f t="shared" si="438"/>
        <v/>
      </c>
      <c r="AV805" s="467" t="str">
        <f t="shared" si="439"/>
        <v/>
      </c>
      <c r="AW805" s="467" t="str">
        <f t="shared" si="440"/>
        <v/>
      </c>
      <c r="AX805" s="467" t="str">
        <f t="shared" si="441"/>
        <v/>
      </c>
      <c r="AY805" s="467" t="str">
        <f t="shared" si="442"/>
        <v/>
      </c>
      <c r="AZ805" s="467" t="str">
        <f t="shared" si="443"/>
        <v/>
      </c>
      <c r="BA805" s="468" t="str">
        <f>IF(AS805="","",IF(OR(AU805="",AU805="-"),"－",IF(OR(AZ805=8,AZ805=9),"",IF(OR(AW805=3,AW805=4,AW805=5,AW805=6),VLOOKUP(AU805,INDEX((係数_バス貨物_ガソリン,係数_バス貨物_CNG,係数_バス貨物_軽油,係数_バス貨物_メタノール,係数_バス貨物_LPG),MATCH(AY805,【参考】排出係数!$AI$4:$AI$671,1),1,BE805):INDEX((係数_バス貨物_ガソリン,係数_バス貨物_CNG,係数_バス貨物_軽油,係数_バス貨物_メタノール,係数_バス貨物_LPG),MATCH(AY805+1,【参考】排出係数!$AI$4:$AI$671,1)-1,5,BE805),2,FALSE),IF(OR(AW805=1,AW805=2),VLOOKUP(AU805,INDEX((係数_乗用_ガソリン,係数_乗用_CNG,係数_乗用_軽油,係数_乗用_メタノール,係数_乗用_LPG),1,1,BE805):INDEX((係数_乗用_ガソリン,係数_乗用_CNG,係数_乗用_軽油,係数_乗用_メタノール,係数_乗用_LPG),125,5,BE805),2,FALSE))))))</f>
        <v/>
      </c>
      <c r="BB805" s="468" t="str">
        <f>IF(T805="","",IF(OR(AU805="",AU805="-"),"－",IF(OR(AZ805=8,AZ805=9),"",IF(OR(AW805=3,AW805=4,AW805=5,AW805=6),VLOOKUP(AU805,INDEX((係数_バス貨物_ガソリン,係数_バス貨物_CNG,係数_バス貨物_軽油,係数_バス貨物_メタノール,係数_バス貨物_LPG),MATCH(AY805,【参考】排出係数!$AI$4:$AI$671,1),1,BE805):INDEX((係数_バス貨物_ガソリン,係数_バス貨物_CNG,係数_バス貨物_軽油,係数_バス貨物_メタノール,係数_バス貨物_LPG),MATCH(AY805+1,【参考】排出係数!$AI$4:$AI$671,1)-1,5,BE805),3,FALSE),IF(OR(AW805=1,AW805=2),VLOOKUP(AU805,INDEX((係数_乗用_ガソリン,係数_乗用_CNG,係数_乗用_軽油,係数_乗用_メタノール,係数_乗用_LPG),1,1,BE805):INDEX((係数_乗用_ガソリン,係数_乗用_CNG,係数_乗用_軽油,係数_乗用_メタノール,係数_乗用_LPG),125,5,BE805),3,FALSE))))))</f>
        <v/>
      </c>
      <c r="BC805" s="467" t="str">
        <f t="shared" si="444"/>
        <v/>
      </c>
      <c r="BD805" s="567" t="str">
        <f t="shared" si="445"/>
        <v/>
      </c>
      <c r="BE805" s="467" t="str">
        <f t="shared" si="446"/>
        <v/>
      </c>
      <c r="BF805" s="469" t="str">
        <f t="shared" ca="1" si="447"/>
        <v/>
      </c>
      <c r="BG805" s="469" t="str">
        <f t="shared" ca="1" si="448"/>
        <v/>
      </c>
      <c r="BH805" s="467" t="str">
        <f t="shared" si="449"/>
        <v/>
      </c>
      <c r="BI805" s="467" t="str">
        <f t="shared" ca="1" si="450"/>
        <v/>
      </c>
      <c r="BJ805" s="469" t="str">
        <f t="shared" si="451"/>
        <v/>
      </c>
      <c r="BK805" s="470" t="str">
        <f t="shared" si="435"/>
        <v/>
      </c>
      <c r="BL805" s="775" t="str">
        <f t="shared" si="452"/>
        <v/>
      </c>
      <c r="BM805" s="775" t="str">
        <f t="shared" si="453"/>
        <v/>
      </c>
    </row>
    <row r="806" spans="1:65">
      <c r="A806" s="473">
        <v>750</v>
      </c>
      <c r="B806" s="132"/>
      <c r="C806" s="332"/>
      <c r="D806" s="333"/>
      <c r="E806" s="333"/>
      <c r="F806" s="334"/>
      <c r="G806" s="337"/>
      <c r="H806" s="131"/>
      <c r="I806" s="337"/>
      <c r="J806" s="131"/>
      <c r="K806" s="458" t="str">
        <f t="shared" si="416"/>
        <v/>
      </c>
      <c r="L806" s="458">
        <f t="shared" si="417"/>
        <v>0</v>
      </c>
      <c r="M806" s="458">
        <f t="shared" si="418"/>
        <v>0</v>
      </c>
      <c r="N806" s="459" t="str">
        <f t="shared" si="429"/>
        <v/>
      </c>
      <c r="O806" s="459" t="str">
        <f t="shared" si="430"/>
        <v/>
      </c>
      <c r="P806" s="459" t="str">
        <f t="shared" si="431"/>
        <v/>
      </c>
      <c r="Q806" s="459" t="str">
        <f t="shared" si="432"/>
        <v/>
      </c>
      <c r="R806" s="459" t="str">
        <f t="shared" si="433"/>
        <v/>
      </c>
      <c r="S806" s="459" t="str">
        <f t="shared" si="434"/>
        <v/>
      </c>
      <c r="T806" s="566" t="str">
        <f t="shared" si="419"/>
        <v/>
      </c>
      <c r="U806" s="702"/>
      <c r="V806" s="132"/>
      <c r="W806" s="133"/>
      <c r="X806" s="134"/>
      <c r="Y806" s="135"/>
      <c r="Z806" s="137"/>
      <c r="AA806" s="136"/>
      <c r="AB806" s="566" t="str">
        <f t="shared" si="420"/>
        <v/>
      </c>
      <c r="AC806" s="568" t="str">
        <f t="shared" si="421"/>
        <v/>
      </c>
      <c r="AD806" s="137"/>
      <c r="AE806" s="137"/>
      <c r="AF806" s="138"/>
      <c r="AG806" s="138"/>
      <c r="AH806" s="592" t="str">
        <f t="shared" si="422"/>
        <v/>
      </c>
      <c r="AI806" s="592" t="str">
        <f t="shared" si="423"/>
        <v/>
      </c>
      <c r="AJ806" s="592" t="str">
        <f t="shared" si="424"/>
        <v/>
      </c>
      <c r="AK806" s="460" t="str">
        <f>IF(AU806="","",IF(OR(AZ806=8,AZ806=9),0,IF(OR(AW806=3,AW806=4,AW806=5,AW806=6),IF(LEFT(BF806,1)="1",INDEX(係数_NOX・PM低減,MATCH(AY806,【参考】排出係数!$AI$801:$AI$804,1),1),VLOOKUP(AU806,INDEX((係数_バス貨物_ガソリン,係数_バス貨物_CNG,係数_バス貨物_軽油,係数_バス貨物_メタノール,係数_バス貨物_LPG),MATCH(AY806,【参考】排出係数!$AI$4:$AI$671,1),1,BE806):INDEX((係数_バス貨物_ガソリン,係数_バス貨物_CNG,係数_バス貨物_軽油,係数_バス貨物_メタノール,係数_バス貨物_LPG),MATCH(AY806+1,【参考】排出係数!$AI$4:$AI$671,1)-1,5,BE806),4,FALSE)),IF(AND(BE806=3,LEFT(BF806,1)="1"),0.48,VLOOKUP(AU806,INDEX((係数_乗用_ガソリン,係数_乗用_CNG,係数_乗用_軽油,係数_乗用_メタノール,係数_乗用_LPG),1,1,BE806):INDEX((係数_乗用_ガソリン,係数_乗用_CNG,係数_乗用_軽油,係数_乗用_メタノール,係数_乗用_LPG),125,5,BE806),4,FALSE)))))</f>
        <v/>
      </c>
      <c r="AL806" s="461" t="str">
        <f t="shared" si="425"/>
        <v/>
      </c>
      <c r="AM806" s="460" t="str">
        <f>IF(AU806="","",IF(OR(AZ806=8,AZ806=9),0,IF(OR(AW806=3,AW806=4,AW806=5,AW806=6),IF(LEFT(BH806,1)="1",INDEX(係数_PM低減,MATCH(AY806,【参考】排出係数!$AI$801:$AI$804,1),MATCH(BI806,【参考】排出係数!$AL$798:$AO$798,1)),VLOOKUP(AU806,INDEX((係数_バス貨物_ガソリン,係数_バス貨物_CNG,係数_バス貨物_軽油,係数_バス貨物_メタノール,係数_バス貨物_LPG),MATCH(AY806,【参考】排出係数!$AI$4:$AI$671,1),1,BE806):INDEX((係数_バス貨物_ガソリン,係数_バス貨物_CNG,係数_バス貨物_軽油,係数_バス貨物_メタノール,係数_バス貨物_LPG),MATCH(AY806+1,【参考】排出係数!$AI$4:$AI$671,1)-1,5,BE806),5,FALSE)),IF(AND(BE806=3,LEFT(BF806,1)="1"),0.055,VLOOKUP(AU806,INDEX((係数_乗用_ガソリン,係数_乗用_CNG,係数_乗用_軽油,係数_乗用_メタノール,係数_乗用_LPG),1,1,BE806):INDEX((係数_乗用_ガソリン,係数_乗用_CNG,係数_乗用_軽油,係数_乗用_メタノール,係数_乗用_LPG),125,5,BE806),5,FALSE)))))</f>
        <v/>
      </c>
      <c r="AN806" s="461" t="str">
        <f t="shared" si="426"/>
        <v/>
      </c>
      <c r="AO806" s="462" t="str">
        <f t="shared" si="427"/>
        <v/>
      </c>
      <c r="AP806" s="463" t="str">
        <f t="shared" si="428"/>
        <v/>
      </c>
      <c r="AQ806" s="464"/>
      <c r="AR806" s="619"/>
      <c r="AS806" s="465" t="str">
        <f t="shared" si="436"/>
        <v/>
      </c>
      <c r="AT806" s="465" t="str">
        <f t="shared" si="437"/>
        <v/>
      </c>
      <c r="AU806" s="466" t="str">
        <f t="shared" si="438"/>
        <v/>
      </c>
      <c r="AV806" s="467" t="str">
        <f t="shared" si="439"/>
        <v/>
      </c>
      <c r="AW806" s="467" t="str">
        <f t="shared" si="440"/>
        <v/>
      </c>
      <c r="AX806" s="467" t="str">
        <f t="shared" si="441"/>
        <v/>
      </c>
      <c r="AY806" s="467" t="str">
        <f t="shared" si="442"/>
        <v/>
      </c>
      <c r="AZ806" s="467" t="str">
        <f t="shared" si="443"/>
        <v/>
      </c>
      <c r="BA806" s="468" t="str">
        <f>IF(AS806="","",IF(OR(AU806="",AU806="-"),"－",IF(OR(AZ806=8,AZ806=9),"",IF(OR(AW806=3,AW806=4,AW806=5,AW806=6),VLOOKUP(AU806,INDEX((係数_バス貨物_ガソリン,係数_バス貨物_CNG,係数_バス貨物_軽油,係数_バス貨物_メタノール,係数_バス貨物_LPG),MATCH(AY806,【参考】排出係数!$AI$4:$AI$671,1),1,BE806):INDEX((係数_バス貨物_ガソリン,係数_バス貨物_CNG,係数_バス貨物_軽油,係数_バス貨物_メタノール,係数_バス貨物_LPG),MATCH(AY806+1,【参考】排出係数!$AI$4:$AI$671,1)-1,5,BE806),2,FALSE),IF(OR(AW806=1,AW806=2),VLOOKUP(AU806,INDEX((係数_乗用_ガソリン,係数_乗用_CNG,係数_乗用_軽油,係数_乗用_メタノール,係数_乗用_LPG),1,1,BE806):INDEX((係数_乗用_ガソリン,係数_乗用_CNG,係数_乗用_軽油,係数_乗用_メタノール,係数_乗用_LPG),125,5,BE806),2,FALSE))))))</f>
        <v/>
      </c>
      <c r="BB806" s="468" t="str">
        <f>IF(T806="","",IF(OR(AU806="",AU806="-"),"－",IF(OR(AZ806=8,AZ806=9),"",IF(OR(AW806=3,AW806=4,AW806=5,AW806=6),VLOOKUP(AU806,INDEX((係数_バス貨物_ガソリン,係数_バス貨物_CNG,係数_バス貨物_軽油,係数_バス貨物_メタノール,係数_バス貨物_LPG),MATCH(AY806,【参考】排出係数!$AI$4:$AI$671,1),1,BE806):INDEX((係数_バス貨物_ガソリン,係数_バス貨物_CNG,係数_バス貨物_軽油,係数_バス貨物_メタノール,係数_バス貨物_LPG),MATCH(AY806+1,【参考】排出係数!$AI$4:$AI$671,1)-1,5,BE806),3,FALSE),IF(OR(AW806=1,AW806=2),VLOOKUP(AU806,INDEX((係数_乗用_ガソリン,係数_乗用_CNG,係数_乗用_軽油,係数_乗用_メタノール,係数_乗用_LPG),1,1,BE806):INDEX((係数_乗用_ガソリン,係数_乗用_CNG,係数_乗用_軽油,係数_乗用_メタノール,係数_乗用_LPG),125,5,BE806),3,FALSE))))))</f>
        <v/>
      </c>
      <c r="BC806" s="467" t="str">
        <f t="shared" si="444"/>
        <v/>
      </c>
      <c r="BD806" s="567" t="str">
        <f t="shared" si="445"/>
        <v/>
      </c>
      <c r="BE806" s="467" t="str">
        <f t="shared" si="446"/>
        <v/>
      </c>
      <c r="BF806" s="469" t="str">
        <f t="shared" ca="1" si="447"/>
        <v/>
      </c>
      <c r="BG806" s="469" t="str">
        <f t="shared" ca="1" si="448"/>
        <v/>
      </c>
      <c r="BH806" s="467" t="str">
        <f t="shared" si="449"/>
        <v/>
      </c>
      <c r="BI806" s="467" t="str">
        <f t="shared" ca="1" si="450"/>
        <v/>
      </c>
      <c r="BJ806" s="469" t="str">
        <f t="shared" si="451"/>
        <v/>
      </c>
      <c r="BK806" s="470" t="str">
        <f t="shared" si="435"/>
        <v/>
      </c>
      <c r="BL806" s="775" t="str">
        <f t="shared" si="452"/>
        <v/>
      </c>
      <c r="BM806" s="775" t="str">
        <f t="shared" si="453"/>
        <v/>
      </c>
    </row>
    <row r="807" spans="1:65">
      <c r="A807" s="473">
        <v>751</v>
      </c>
      <c r="B807" s="132"/>
      <c r="C807" s="332"/>
      <c r="D807" s="333"/>
      <c r="E807" s="333"/>
      <c r="F807" s="334"/>
      <c r="G807" s="337"/>
      <c r="H807" s="131"/>
      <c r="I807" s="337"/>
      <c r="J807" s="131"/>
      <c r="K807" s="458" t="str">
        <f t="shared" si="416"/>
        <v/>
      </c>
      <c r="L807" s="458">
        <f t="shared" si="417"/>
        <v>0</v>
      </c>
      <c r="M807" s="458">
        <f t="shared" si="418"/>
        <v>0</v>
      </c>
      <c r="N807" s="459" t="str">
        <f t="shared" si="429"/>
        <v/>
      </c>
      <c r="O807" s="459" t="str">
        <f t="shared" si="430"/>
        <v/>
      </c>
      <c r="P807" s="459" t="str">
        <f t="shared" si="431"/>
        <v/>
      </c>
      <c r="Q807" s="459" t="str">
        <f t="shared" si="432"/>
        <v/>
      </c>
      <c r="R807" s="459" t="str">
        <f t="shared" si="433"/>
        <v/>
      </c>
      <c r="S807" s="459" t="str">
        <f t="shared" si="434"/>
        <v/>
      </c>
      <c r="T807" s="566" t="str">
        <f t="shared" si="419"/>
        <v/>
      </c>
      <c r="U807" s="702"/>
      <c r="V807" s="132"/>
      <c r="W807" s="133"/>
      <c r="X807" s="134"/>
      <c r="Y807" s="135"/>
      <c r="Z807" s="137"/>
      <c r="AA807" s="136"/>
      <c r="AB807" s="566" t="str">
        <f t="shared" si="420"/>
        <v/>
      </c>
      <c r="AC807" s="568" t="str">
        <f t="shared" si="421"/>
        <v/>
      </c>
      <c r="AD807" s="137"/>
      <c r="AE807" s="137"/>
      <c r="AF807" s="138"/>
      <c r="AG807" s="138"/>
      <c r="AH807" s="592" t="str">
        <f t="shared" si="422"/>
        <v/>
      </c>
      <c r="AI807" s="592" t="str">
        <f t="shared" si="423"/>
        <v/>
      </c>
      <c r="AJ807" s="592" t="str">
        <f t="shared" si="424"/>
        <v/>
      </c>
      <c r="AK807" s="460" t="str">
        <f>IF(AU807="","",IF(OR(AZ807=8,AZ807=9),0,IF(OR(AW807=3,AW807=4,AW807=5,AW807=6),IF(LEFT(BF807,1)="1",INDEX(係数_NOX・PM低減,MATCH(AY807,【参考】排出係数!$AI$801:$AI$804,1),1),VLOOKUP(AU807,INDEX((係数_バス貨物_ガソリン,係数_バス貨物_CNG,係数_バス貨物_軽油,係数_バス貨物_メタノール,係数_バス貨物_LPG),MATCH(AY807,【参考】排出係数!$AI$4:$AI$671,1),1,BE807):INDEX((係数_バス貨物_ガソリン,係数_バス貨物_CNG,係数_バス貨物_軽油,係数_バス貨物_メタノール,係数_バス貨物_LPG),MATCH(AY807+1,【参考】排出係数!$AI$4:$AI$671,1)-1,5,BE807),4,FALSE)),IF(AND(BE807=3,LEFT(BF807,1)="1"),0.48,VLOOKUP(AU807,INDEX((係数_乗用_ガソリン,係数_乗用_CNG,係数_乗用_軽油,係数_乗用_メタノール,係数_乗用_LPG),1,1,BE807):INDEX((係数_乗用_ガソリン,係数_乗用_CNG,係数_乗用_軽油,係数_乗用_メタノール,係数_乗用_LPG),125,5,BE807),4,FALSE)))))</f>
        <v/>
      </c>
      <c r="AL807" s="461" t="str">
        <f t="shared" si="425"/>
        <v/>
      </c>
      <c r="AM807" s="460" t="str">
        <f>IF(AU807="","",IF(OR(AZ807=8,AZ807=9),0,IF(OR(AW807=3,AW807=4,AW807=5,AW807=6),IF(LEFT(BH807,1)="1",INDEX(係数_PM低減,MATCH(AY807,【参考】排出係数!$AI$801:$AI$804,1),MATCH(BI807,【参考】排出係数!$AL$798:$AO$798,1)),VLOOKUP(AU807,INDEX((係数_バス貨物_ガソリン,係数_バス貨物_CNG,係数_バス貨物_軽油,係数_バス貨物_メタノール,係数_バス貨物_LPG),MATCH(AY807,【参考】排出係数!$AI$4:$AI$671,1),1,BE807):INDEX((係数_バス貨物_ガソリン,係数_バス貨物_CNG,係数_バス貨物_軽油,係数_バス貨物_メタノール,係数_バス貨物_LPG),MATCH(AY807+1,【参考】排出係数!$AI$4:$AI$671,1)-1,5,BE807),5,FALSE)),IF(AND(BE807=3,LEFT(BF807,1)="1"),0.055,VLOOKUP(AU807,INDEX((係数_乗用_ガソリン,係数_乗用_CNG,係数_乗用_軽油,係数_乗用_メタノール,係数_乗用_LPG),1,1,BE807):INDEX((係数_乗用_ガソリン,係数_乗用_CNG,係数_乗用_軽油,係数_乗用_メタノール,係数_乗用_LPG),125,5,BE807),5,FALSE)))))</f>
        <v/>
      </c>
      <c r="AN807" s="461" t="str">
        <f t="shared" si="426"/>
        <v/>
      </c>
      <c r="AO807" s="462" t="str">
        <f t="shared" si="427"/>
        <v/>
      </c>
      <c r="AP807" s="463" t="str">
        <f t="shared" si="428"/>
        <v/>
      </c>
      <c r="AQ807" s="464"/>
      <c r="AR807" s="619"/>
      <c r="AS807" s="465" t="str">
        <f t="shared" si="436"/>
        <v/>
      </c>
      <c r="AT807" s="465" t="str">
        <f t="shared" si="437"/>
        <v/>
      </c>
      <c r="AU807" s="466" t="str">
        <f t="shared" si="438"/>
        <v/>
      </c>
      <c r="AV807" s="467" t="str">
        <f t="shared" si="439"/>
        <v/>
      </c>
      <c r="AW807" s="467" t="str">
        <f t="shared" si="440"/>
        <v/>
      </c>
      <c r="AX807" s="467" t="str">
        <f t="shared" si="441"/>
        <v/>
      </c>
      <c r="AY807" s="467" t="str">
        <f t="shared" si="442"/>
        <v/>
      </c>
      <c r="AZ807" s="467" t="str">
        <f t="shared" si="443"/>
        <v/>
      </c>
      <c r="BA807" s="468" t="str">
        <f>IF(AS807="","",IF(OR(AU807="",AU807="-"),"－",IF(OR(AZ807=8,AZ807=9),"",IF(OR(AW807=3,AW807=4,AW807=5,AW807=6),VLOOKUP(AU807,INDEX((係数_バス貨物_ガソリン,係数_バス貨物_CNG,係数_バス貨物_軽油,係数_バス貨物_メタノール,係数_バス貨物_LPG),MATCH(AY807,【参考】排出係数!$AI$4:$AI$671,1),1,BE807):INDEX((係数_バス貨物_ガソリン,係数_バス貨物_CNG,係数_バス貨物_軽油,係数_バス貨物_メタノール,係数_バス貨物_LPG),MATCH(AY807+1,【参考】排出係数!$AI$4:$AI$671,1)-1,5,BE807),2,FALSE),IF(OR(AW807=1,AW807=2),VLOOKUP(AU807,INDEX((係数_乗用_ガソリン,係数_乗用_CNG,係数_乗用_軽油,係数_乗用_メタノール,係数_乗用_LPG),1,1,BE807):INDEX((係数_乗用_ガソリン,係数_乗用_CNG,係数_乗用_軽油,係数_乗用_メタノール,係数_乗用_LPG),125,5,BE807),2,FALSE))))))</f>
        <v/>
      </c>
      <c r="BB807" s="468" t="str">
        <f>IF(T807="","",IF(OR(AU807="",AU807="-"),"－",IF(OR(AZ807=8,AZ807=9),"",IF(OR(AW807=3,AW807=4,AW807=5,AW807=6),VLOOKUP(AU807,INDEX((係数_バス貨物_ガソリン,係数_バス貨物_CNG,係数_バス貨物_軽油,係数_バス貨物_メタノール,係数_バス貨物_LPG),MATCH(AY807,【参考】排出係数!$AI$4:$AI$671,1),1,BE807):INDEX((係数_バス貨物_ガソリン,係数_バス貨物_CNG,係数_バス貨物_軽油,係数_バス貨物_メタノール,係数_バス貨物_LPG),MATCH(AY807+1,【参考】排出係数!$AI$4:$AI$671,1)-1,5,BE807),3,FALSE),IF(OR(AW807=1,AW807=2),VLOOKUP(AU807,INDEX((係数_乗用_ガソリン,係数_乗用_CNG,係数_乗用_軽油,係数_乗用_メタノール,係数_乗用_LPG),1,1,BE807):INDEX((係数_乗用_ガソリン,係数_乗用_CNG,係数_乗用_軽油,係数_乗用_メタノール,係数_乗用_LPG),125,5,BE807),3,FALSE))))))</f>
        <v/>
      </c>
      <c r="BC807" s="467" t="str">
        <f t="shared" si="444"/>
        <v/>
      </c>
      <c r="BD807" s="567" t="str">
        <f t="shared" si="445"/>
        <v/>
      </c>
      <c r="BE807" s="467" t="str">
        <f t="shared" si="446"/>
        <v/>
      </c>
      <c r="BF807" s="469" t="str">
        <f t="shared" ca="1" si="447"/>
        <v/>
      </c>
      <c r="BG807" s="469" t="str">
        <f t="shared" ca="1" si="448"/>
        <v/>
      </c>
      <c r="BH807" s="467" t="str">
        <f t="shared" si="449"/>
        <v/>
      </c>
      <c r="BI807" s="467" t="str">
        <f t="shared" ca="1" si="450"/>
        <v/>
      </c>
      <c r="BJ807" s="469" t="str">
        <f t="shared" si="451"/>
        <v/>
      </c>
      <c r="BK807" s="470" t="str">
        <f t="shared" si="435"/>
        <v/>
      </c>
      <c r="BL807" s="775" t="str">
        <f t="shared" si="452"/>
        <v/>
      </c>
      <c r="BM807" s="775" t="str">
        <f t="shared" si="453"/>
        <v/>
      </c>
    </row>
    <row r="808" spans="1:65">
      <c r="A808" s="473">
        <v>752</v>
      </c>
      <c r="B808" s="132"/>
      <c r="C808" s="332"/>
      <c r="D808" s="333"/>
      <c r="E808" s="333"/>
      <c r="F808" s="334"/>
      <c r="G808" s="337"/>
      <c r="H808" s="131"/>
      <c r="I808" s="337"/>
      <c r="J808" s="131"/>
      <c r="K808" s="458" t="str">
        <f t="shared" si="416"/>
        <v/>
      </c>
      <c r="L808" s="458">
        <f t="shared" si="417"/>
        <v>0</v>
      </c>
      <c r="M808" s="458">
        <f t="shared" si="418"/>
        <v>0</v>
      </c>
      <c r="N808" s="459" t="str">
        <f t="shared" si="429"/>
        <v/>
      </c>
      <c r="O808" s="459" t="str">
        <f t="shared" si="430"/>
        <v/>
      </c>
      <c r="P808" s="459" t="str">
        <f t="shared" si="431"/>
        <v/>
      </c>
      <c r="Q808" s="459" t="str">
        <f t="shared" si="432"/>
        <v/>
      </c>
      <c r="R808" s="459" t="str">
        <f t="shared" si="433"/>
        <v/>
      </c>
      <c r="S808" s="459" t="str">
        <f t="shared" si="434"/>
        <v/>
      </c>
      <c r="T808" s="566" t="str">
        <f t="shared" si="419"/>
        <v/>
      </c>
      <c r="U808" s="702"/>
      <c r="V808" s="132"/>
      <c r="W808" s="133"/>
      <c r="X808" s="134"/>
      <c r="Y808" s="135"/>
      <c r="Z808" s="137"/>
      <c r="AA808" s="136"/>
      <c r="AB808" s="566" t="str">
        <f t="shared" si="420"/>
        <v/>
      </c>
      <c r="AC808" s="568" t="str">
        <f t="shared" si="421"/>
        <v/>
      </c>
      <c r="AD808" s="137"/>
      <c r="AE808" s="137"/>
      <c r="AF808" s="138"/>
      <c r="AG808" s="138"/>
      <c r="AH808" s="592" t="str">
        <f t="shared" si="422"/>
        <v/>
      </c>
      <c r="AI808" s="592" t="str">
        <f t="shared" si="423"/>
        <v/>
      </c>
      <c r="AJ808" s="592" t="str">
        <f t="shared" si="424"/>
        <v/>
      </c>
      <c r="AK808" s="460" t="str">
        <f>IF(AU808="","",IF(OR(AZ808=8,AZ808=9),0,IF(OR(AW808=3,AW808=4,AW808=5,AW808=6),IF(LEFT(BF808,1)="1",INDEX(係数_NOX・PM低減,MATCH(AY808,【参考】排出係数!$AI$801:$AI$804,1),1),VLOOKUP(AU808,INDEX((係数_バス貨物_ガソリン,係数_バス貨物_CNG,係数_バス貨物_軽油,係数_バス貨物_メタノール,係数_バス貨物_LPG),MATCH(AY808,【参考】排出係数!$AI$4:$AI$671,1),1,BE808):INDEX((係数_バス貨物_ガソリン,係数_バス貨物_CNG,係数_バス貨物_軽油,係数_バス貨物_メタノール,係数_バス貨物_LPG),MATCH(AY808+1,【参考】排出係数!$AI$4:$AI$671,1)-1,5,BE808),4,FALSE)),IF(AND(BE808=3,LEFT(BF808,1)="1"),0.48,VLOOKUP(AU808,INDEX((係数_乗用_ガソリン,係数_乗用_CNG,係数_乗用_軽油,係数_乗用_メタノール,係数_乗用_LPG),1,1,BE808):INDEX((係数_乗用_ガソリン,係数_乗用_CNG,係数_乗用_軽油,係数_乗用_メタノール,係数_乗用_LPG),125,5,BE808),4,FALSE)))))</f>
        <v/>
      </c>
      <c r="AL808" s="461" t="str">
        <f t="shared" si="425"/>
        <v/>
      </c>
      <c r="AM808" s="460" t="str">
        <f>IF(AU808="","",IF(OR(AZ808=8,AZ808=9),0,IF(OR(AW808=3,AW808=4,AW808=5,AW808=6),IF(LEFT(BH808,1)="1",INDEX(係数_PM低減,MATCH(AY808,【参考】排出係数!$AI$801:$AI$804,1),MATCH(BI808,【参考】排出係数!$AL$798:$AO$798,1)),VLOOKUP(AU808,INDEX((係数_バス貨物_ガソリン,係数_バス貨物_CNG,係数_バス貨物_軽油,係数_バス貨物_メタノール,係数_バス貨物_LPG),MATCH(AY808,【参考】排出係数!$AI$4:$AI$671,1),1,BE808):INDEX((係数_バス貨物_ガソリン,係数_バス貨物_CNG,係数_バス貨物_軽油,係数_バス貨物_メタノール,係数_バス貨物_LPG),MATCH(AY808+1,【参考】排出係数!$AI$4:$AI$671,1)-1,5,BE808),5,FALSE)),IF(AND(BE808=3,LEFT(BF808,1)="1"),0.055,VLOOKUP(AU808,INDEX((係数_乗用_ガソリン,係数_乗用_CNG,係数_乗用_軽油,係数_乗用_メタノール,係数_乗用_LPG),1,1,BE808):INDEX((係数_乗用_ガソリン,係数_乗用_CNG,係数_乗用_軽油,係数_乗用_メタノール,係数_乗用_LPG),125,5,BE808),5,FALSE)))))</f>
        <v/>
      </c>
      <c r="AN808" s="461" t="str">
        <f t="shared" si="426"/>
        <v/>
      </c>
      <c r="AO808" s="462" t="str">
        <f t="shared" si="427"/>
        <v/>
      </c>
      <c r="AP808" s="463" t="str">
        <f t="shared" si="428"/>
        <v/>
      </c>
      <c r="AQ808" s="464"/>
      <c r="AR808" s="619"/>
      <c r="AS808" s="465" t="str">
        <f t="shared" si="436"/>
        <v/>
      </c>
      <c r="AT808" s="465" t="str">
        <f t="shared" si="437"/>
        <v/>
      </c>
      <c r="AU808" s="466" t="str">
        <f t="shared" si="438"/>
        <v/>
      </c>
      <c r="AV808" s="467" t="str">
        <f t="shared" si="439"/>
        <v/>
      </c>
      <c r="AW808" s="467" t="str">
        <f t="shared" si="440"/>
        <v/>
      </c>
      <c r="AX808" s="467" t="str">
        <f t="shared" si="441"/>
        <v/>
      </c>
      <c r="AY808" s="467" t="str">
        <f t="shared" si="442"/>
        <v/>
      </c>
      <c r="AZ808" s="467" t="str">
        <f t="shared" si="443"/>
        <v/>
      </c>
      <c r="BA808" s="468" t="str">
        <f>IF(AS808="","",IF(OR(AU808="",AU808="-"),"－",IF(OR(AZ808=8,AZ808=9),"",IF(OR(AW808=3,AW808=4,AW808=5,AW808=6),VLOOKUP(AU808,INDEX((係数_バス貨物_ガソリン,係数_バス貨物_CNG,係数_バス貨物_軽油,係数_バス貨物_メタノール,係数_バス貨物_LPG),MATCH(AY808,【参考】排出係数!$AI$4:$AI$671,1),1,BE808):INDEX((係数_バス貨物_ガソリン,係数_バス貨物_CNG,係数_バス貨物_軽油,係数_バス貨物_メタノール,係数_バス貨物_LPG),MATCH(AY808+1,【参考】排出係数!$AI$4:$AI$671,1)-1,5,BE808),2,FALSE),IF(OR(AW808=1,AW808=2),VLOOKUP(AU808,INDEX((係数_乗用_ガソリン,係数_乗用_CNG,係数_乗用_軽油,係数_乗用_メタノール,係数_乗用_LPG),1,1,BE808):INDEX((係数_乗用_ガソリン,係数_乗用_CNG,係数_乗用_軽油,係数_乗用_メタノール,係数_乗用_LPG),125,5,BE808),2,FALSE))))))</f>
        <v/>
      </c>
      <c r="BB808" s="468" t="str">
        <f>IF(T808="","",IF(OR(AU808="",AU808="-"),"－",IF(OR(AZ808=8,AZ808=9),"",IF(OR(AW808=3,AW808=4,AW808=5,AW808=6),VLOOKUP(AU808,INDEX((係数_バス貨物_ガソリン,係数_バス貨物_CNG,係数_バス貨物_軽油,係数_バス貨物_メタノール,係数_バス貨物_LPG),MATCH(AY808,【参考】排出係数!$AI$4:$AI$671,1),1,BE808):INDEX((係数_バス貨物_ガソリン,係数_バス貨物_CNG,係数_バス貨物_軽油,係数_バス貨物_メタノール,係数_バス貨物_LPG),MATCH(AY808+1,【参考】排出係数!$AI$4:$AI$671,1)-1,5,BE808),3,FALSE),IF(OR(AW808=1,AW808=2),VLOOKUP(AU808,INDEX((係数_乗用_ガソリン,係数_乗用_CNG,係数_乗用_軽油,係数_乗用_メタノール,係数_乗用_LPG),1,1,BE808):INDEX((係数_乗用_ガソリン,係数_乗用_CNG,係数_乗用_軽油,係数_乗用_メタノール,係数_乗用_LPG),125,5,BE808),3,FALSE))))))</f>
        <v/>
      </c>
      <c r="BC808" s="467" t="str">
        <f t="shared" si="444"/>
        <v/>
      </c>
      <c r="BD808" s="567" t="str">
        <f t="shared" si="445"/>
        <v/>
      </c>
      <c r="BE808" s="467" t="str">
        <f t="shared" si="446"/>
        <v/>
      </c>
      <c r="BF808" s="469" t="str">
        <f t="shared" ca="1" si="447"/>
        <v/>
      </c>
      <c r="BG808" s="469" t="str">
        <f t="shared" ca="1" si="448"/>
        <v/>
      </c>
      <c r="BH808" s="467" t="str">
        <f t="shared" si="449"/>
        <v/>
      </c>
      <c r="BI808" s="467" t="str">
        <f t="shared" ca="1" si="450"/>
        <v/>
      </c>
      <c r="BJ808" s="469" t="str">
        <f t="shared" si="451"/>
        <v/>
      </c>
      <c r="BK808" s="470" t="str">
        <f t="shared" si="435"/>
        <v/>
      </c>
      <c r="BL808" s="775" t="str">
        <f t="shared" si="452"/>
        <v/>
      </c>
      <c r="BM808" s="775" t="str">
        <f t="shared" si="453"/>
        <v/>
      </c>
    </row>
    <row r="809" spans="1:65">
      <c r="A809" s="473">
        <v>753</v>
      </c>
      <c r="B809" s="132"/>
      <c r="C809" s="332"/>
      <c r="D809" s="333"/>
      <c r="E809" s="333"/>
      <c r="F809" s="334"/>
      <c r="G809" s="337"/>
      <c r="H809" s="131"/>
      <c r="I809" s="337"/>
      <c r="J809" s="131"/>
      <c r="K809" s="458" t="str">
        <f t="shared" si="416"/>
        <v/>
      </c>
      <c r="L809" s="458">
        <f t="shared" si="417"/>
        <v>0</v>
      </c>
      <c r="M809" s="458">
        <f t="shared" si="418"/>
        <v>0</v>
      </c>
      <c r="N809" s="459" t="str">
        <f t="shared" si="429"/>
        <v/>
      </c>
      <c r="O809" s="459" t="str">
        <f t="shared" si="430"/>
        <v/>
      </c>
      <c r="P809" s="459" t="str">
        <f t="shared" si="431"/>
        <v/>
      </c>
      <c r="Q809" s="459" t="str">
        <f t="shared" si="432"/>
        <v/>
      </c>
      <c r="R809" s="459" t="str">
        <f t="shared" si="433"/>
        <v/>
      </c>
      <c r="S809" s="459" t="str">
        <f t="shared" si="434"/>
        <v/>
      </c>
      <c r="T809" s="566" t="str">
        <f t="shared" si="419"/>
        <v/>
      </c>
      <c r="U809" s="702"/>
      <c r="V809" s="132"/>
      <c r="W809" s="133"/>
      <c r="X809" s="134"/>
      <c r="Y809" s="135"/>
      <c r="Z809" s="137"/>
      <c r="AA809" s="136"/>
      <c r="AB809" s="566" t="str">
        <f t="shared" si="420"/>
        <v/>
      </c>
      <c r="AC809" s="568" t="str">
        <f t="shared" si="421"/>
        <v/>
      </c>
      <c r="AD809" s="137"/>
      <c r="AE809" s="137"/>
      <c r="AF809" s="138"/>
      <c r="AG809" s="138"/>
      <c r="AH809" s="592" t="str">
        <f t="shared" si="422"/>
        <v/>
      </c>
      <c r="AI809" s="592" t="str">
        <f t="shared" si="423"/>
        <v/>
      </c>
      <c r="AJ809" s="592" t="str">
        <f t="shared" si="424"/>
        <v/>
      </c>
      <c r="AK809" s="460" t="str">
        <f>IF(AU809="","",IF(OR(AZ809=8,AZ809=9),0,IF(OR(AW809=3,AW809=4,AW809=5,AW809=6),IF(LEFT(BF809,1)="1",INDEX(係数_NOX・PM低減,MATCH(AY809,【参考】排出係数!$AI$801:$AI$804,1),1),VLOOKUP(AU809,INDEX((係数_バス貨物_ガソリン,係数_バス貨物_CNG,係数_バス貨物_軽油,係数_バス貨物_メタノール,係数_バス貨物_LPG),MATCH(AY809,【参考】排出係数!$AI$4:$AI$671,1),1,BE809):INDEX((係数_バス貨物_ガソリン,係数_バス貨物_CNG,係数_バス貨物_軽油,係数_バス貨物_メタノール,係数_バス貨物_LPG),MATCH(AY809+1,【参考】排出係数!$AI$4:$AI$671,1)-1,5,BE809),4,FALSE)),IF(AND(BE809=3,LEFT(BF809,1)="1"),0.48,VLOOKUP(AU809,INDEX((係数_乗用_ガソリン,係数_乗用_CNG,係数_乗用_軽油,係数_乗用_メタノール,係数_乗用_LPG),1,1,BE809):INDEX((係数_乗用_ガソリン,係数_乗用_CNG,係数_乗用_軽油,係数_乗用_メタノール,係数_乗用_LPG),125,5,BE809),4,FALSE)))))</f>
        <v/>
      </c>
      <c r="AL809" s="461" t="str">
        <f t="shared" si="425"/>
        <v/>
      </c>
      <c r="AM809" s="460" t="str">
        <f>IF(AU809="","",IF(OR(AZ809=8,AZ809=9),0,IF(OR(AW809=3,AW809=4,AW809=5,AW809=6),IF(LEFT(BH809,1)="1",INDEX(係数_PM低減,MATCH(AY809,【参考】排出係数!$AI$801:$AI$804,1),MATCH(BI809,【参考】排出係数!$AL$798:$AO$798,1)),VLOOKUP(AU809,INDEX((係数_バス貨物_ガソリン,係数_バス貨物_CNG,係数_バス貨物_軽油,係数_バス貨物_メタノール,係数_バス貨物_LPG),MATCH(AY809,【参考】排出係数!$AI$4:$AI$671,1),1,BE809):INDEX((係数_バス貨物_ガソリン,係数_バス貨物_CNG,係数_バス貨物_軽油,係数_バス貨物_メタノール,係数_バス貨物_LPG),MATCH(AY809+1,【参考】排出係数!$AI$4:$AI$671,1)-1,5,BE809),5,FALSE)),IF(AND(BE809=3,LEFT(BF809,1)="1"),0.055,VLOOKUP(AU809,INDEX((係数_乗用_ガソリン,係数_乗用_CNG,係数_乗用_軽油,係数_乗用_メタノール,係数_乗用_LPG),1,1,BE809):INDEX((係数_乗用_ガソリン,係数_乗用_CNG,係数_乗用_軽油,係数_乗用_メタノール,係数_乗用_LPG),125,5,BE809),5,FALSE)))))</f>
        <v/>
      </c>
      <c r="AN809" s="461" t="str">
        <f t="shared" si="426"/>
        <v/>
      </c>
      <c r="AO809" s="462" t="str">
        <f t="shared" si="427"/>
        <v/>
      </c>
      <c r="AP809" s="463" t="str">
        <f t="shared" si="428"/>
        <v/>
      </c>
      <c r="AQ809" s="464"/>
      <c r="AR809" s="619"/>
      <c r="AS809" s="465" t="str">
        <f t="shared" si="436"/>
        <v/>
      </c>
      <c r="AT809" s="465" t="str">
        <f t="shared" si="437"/>
        <v/>
      </c>
      <c r="AU809" s="466" t="str">
        <f t="shared" si="438"/>
        <v/>
      </c>
      <c r="AV809" s="467" t="str">
        <f t="shared" si="439"/>
        <v/>
      </c>
      <c r="AW809" s="467" t="str">
        <f t="shared" si="440"/>
        <v/>
      </c>
      <c r="AX809" s="467" t="str">
        <f t="shared" si="441"/>
        <v/>
      </c>
      <c r="AY809" s="467" t="str">
        <f t="shared" si="442"/>
        <v/>
      </c>
      <c r="AZ809" s="467" t="str">
        <f t="shared" si="443"/>
        <v/>
      </c>
      <c r="BA809" s="468" t="str">
        <f>IF(AS809="","",IF(OR(AU809="",AU809="-"),"－",IF(OR(AZ809=8,AZ809=9),"",IF(OR(AW809=3,AW809=4,AW809=5,AW809=6),VLOOKUP(AU809,INDEX((係数_バス貨物_ガソリン,係数_バス貨物_CNG,係数_バス貨物_軽油,係数_バス貨物_メタノール,係数_バス貨物_LPG),MATCH(AY809,【参考】排出係数!$AI$4:$AI$671,1),1,BE809):INDEX((係数_バス貨物_ガソリン,係数_バス貨物_CNG,係数_バス貨物_軽油,係数_バス貨物_メタノール,係数_バス貨物_LPG),MATCH(AY809+1,【参考】排出係数!$AI$4:$AI$671,1)-1,5,BE809),2,FALSE),IF(OR(AW809=1,AW809=2),VLOOKUP(AU809,INDEX((係数_乗用_ガソリン,係数_乗用_CNG,係数_乗用_軽油,係数_乗用_メタノール,係数_乗用_LPG),1,1,BE809):INDEX((係数_乗用_ガソリン,係数_乗用_CNG,係数_乗用_軽油,係数_乗用_メタノール,係数_乗用_LPG),125,5,BE809),2,FALSE))))))</f>
        <v/>
      </c>
      <c r="BB809" s="468" t="str">
        <f>IF(T809="","",IF(OR(AU809="",AU809="-"),"－",IF(OR(AZ809=8,AZ809=9),"",IF(OR(AW809=3,AW809=4,AW809=5,AW809=6),VLOOKUP(AU809,INDEX((係数_バス貨物_ガソリン,係数_バス貨物_CNG,係数_バス貨物_軽油,係数_バス貨物_メタノール,係数_バス貨物_LPG),MATCH(AY809,【参考】排出係数!$AI$4:$AI$671,1),1,BE809):INDEX((係数_バス貨物_ガソリン,係数_バス貨物_CNG,係数_バス貨物_軽油,係数_バス貨物_メタノール,係数_バス貨物_LPG),MATCH(AY809+1,【参考】排出係数!$AI$4:$AI$671,1)-1,5,BE809),3,FALSE),IF(OR(AW809=1,AW809=2),VLOOKUP(AU809,INDEX((係数_乗用_ガソリン,係数_乗用_CNG,係数_乗用_軽油,係数_乗用_メタノール,係数_乗用_LPG),1,1,BE809):INDEX((係数_乗用_ガソリン,係数_乗用_CNG,係数_乗用_軽油,係数_乗用_メタノール,係数_乗用_LPG),125,5,BE809),3,FALSE))))))</f>
        <v/>
      </c>
      <c r="BC809" s="467" t="str">
        <f t="shared" si="444"/>
        <v/>
      </c>
      <c r="BD809" s="567" t="str">
        <f t="shared" si="445"/>
        <v/>
      </c>
      <c r="BE809" s="467" t="str">
        <f t="shared" si="446"/>
        <v/>
      </c>
      <c r="BF809" s="469" t="str">
        <f t="shared" ca="1" si="447"/>
        <v/>
      </c>
      <c r="BG809" s="469" t="str">
        <f t="shared" ca="1" si="448"/>
        <v/>
      </c>
      <c r="BH809" s="467" t="str">
        <f t="shared" si="449"/>
        <v/>
      </c>
      <c r="BI809" s="467" t="str">
        <f t="shared" ca="1" si="450"/>
        <v/>
      </c>
      <c r="BJ809" s="469" t="str">
        <f t="shared" si="451"/>
        <v/>
      </c>
      <c r="BK809" s="470" t="str">
        <f t="shared" si="435"/>
        <v/>
      </c>
      <c r="BL809" s="775" t="str">
        <f t="shared" si="452"/>
        <v/>
      </c>
      <c r="BM809" s="775" t="str">
        <f t="shared" si="453"/>
        <v/>
      </c>
    </row>
    <row r="810" spans="1:65">
      <c r="A810" s="473">
        <v>754</v>
      </c>
      <c r="B810" s="132"/>
      <c r="C810" s="332"/>
      <c r="D810" s="333"/>
      <c r="E810" s="333"/>
      <c r="F810" s="334"/>
      <c r="G810" s="337"/>
      <c r="H810" s="131"/>
      <c r="I810" s="337"/>
      <c r="J810" s="131"/>
      <c r="K810" s="458" t="str">
        <f t="shared" si="416"/>
        <v/>
      </c>
      <c r="L810" s="458">
        <f t="shared" si="417"/>
        <v>0</v>
      </c>
      <c r="M810" s="458">
        <f t="shared" si="418"/>
        <v>0</v>
      </c>
      <c r="N810" s="459" t="str">
        <f t="shared" si="429"/>
        <v/>
      </c>
      <c r="O810" s="459" t="str">
        <f t="shared" si="430"/>
        <v/>
      </c>
      <c r="P810" s="459" t="str">
        <f t="shared" si="431"/>
        <v/>
      </c>
      <c r="Q810" s="459" t="str">
        <f t="shared" si="432"/>
        <v/>
      </c>
      <c r="R810" s="459" t="str">
        <f t="shared" si="433"/>
        <v/>
      </c>
      <c r="S810" s="459" t="str">
        <f t="shared" si="434"/>
        <v/>
      </c>
      <c r="T810" s="566" t="str">
        <f t="shared" si="419"/>
        <v/>
      </c>
      <c r="U810" s="702"/>
      <c r="V810" s="132"/>
      <c r="W810" s="133"/>
      <c r="X810" s="134"/>
      <c r="Y810" s="135"/>
      <c r="Z810" s="137"/>
      <c r="AA810" s="136"/>
      <c r="AB810" s="566" t="str">
        <f t="shared" si="420"/>
        <v/>
      </c>
      <c r="AC810" s="568" t="str">
        <f t="shared" si="421"/>
        <v/>
      </c>
      <c r="AD810" s="137"/>
      <c r="AE810" s="137"/>
      <c r="AF810" s="138"/>
      <c r="AG810" s="138"/>
      <c r="AH810" s="592" t="str">
        <f t="shared" si="422"/>
        <v/>
      </c>
      <c r="AI810" s="592" t="str">
        <f t="shared" si="423"/>
        <v/>
      </c>
      <c r="AJ810" s="592" t="str">
        <f t="shared" si="424"/>
        <v/>
      </c>
      <c r="AK810" s="460" t="str">
        <f>IF(AU810="","",IF(OR(AZ810=8,AZ810=9),0,IF(OR(AW810=3,AW810=4,AW810=5,AW810=6),IF(LEFT(BF810,1)="1",INDEX(係数_NOX・PM低減,MATCH(AY810,【参考】排出係数!$AI$801:$AI$804,1),1),VLOOKUP(AU810,INDEX((係数_バス貨物_ガソリン,係数_バス貨物_CNG,係数_バス貨物_軽油,係数_バス貨物_メタノール,係数_バス貨物_LPG),MATCH(AY810,【参考】排出係数!$AI$4:$AI$671,1),1,BE810):INDEX((係数_バス貨物_ガソリン,係数_バス貨物_CNG,係数_バス貨物_軽油,係数_バス貨物_メタノール,係数_バス貨物_LPG),MATCH(AY810+1,【参考】排出係数!$AI$4:$AI$671,1)-1,5,BE810),4,FALSE)),IF(AND(BE810=3,LEFT(BF810,1)="1"),0.48,VLOOKUP(AU810,INDEX((係数_乗用_ガソリン,係数_乗用_CNG,係数_乗用_軽油,係数_乗用_メタノール,係数_乗用_LPG),1,1,BE810):INDEX((係数_乗用_ガソリン,係数_乗用_CNG,係数_乗用_軽油,係数_乗用_メタノール,係数_乗用_LPG),125,5,BE810),4,FALSE)))))</f>
        <v/>
      </c>
      <c r="AL810" s="461" t="str">
        <f t="shared" si="425"/>
        <v/>
      </c>
      <c r="AM810" s="460" t="str">
        <f>IF(AU810="","",IF(OR(AZ810=8,AZ810=9),0,IF(OR(AW810=3,AW810=4,AW810=5,AW810=6),IF(LEFT(BH810,1)="1",INDEX(係数_PM低減,MATCH(AY810,【参考】排出係数!$AI$801:$AI$804,1),MATCH(BI810,【参考】排出係数!$AL$798:$AO$798,1)),VLOOKUP(AU810,INDEX((係数_バス貨物_ガソリン,係数_バス貨物_CNG,係数_バス貨物_軽油,係数_バス貨物_メタノール,係数_バス貨物_LPG),MATCH(AY810,【参考】排出係数!$AI$4:$AI$671,1),1,BE810):INDEX((係数_バス貨物_ガソリン,係数_バス貨物_CNG,係数_バス貨物_軽油,係数_バス貨物_メタノール,係数_バス貨物_LPG),MATCH(AY810+1,【参考】排出係数!$AI$4:$AI$671,1)-1,5,BE810),5,FALSE)),IF(AND(BE810=3,LEFT(BF810,1)="1"),0.055,VLOOKUP(AU810,INDEX((係数_乗用_ガソリン,係数_乗用_CNG,係数_乗用_軽油,係数_乗用_メタノール,係数_乗用_LPG),1,1,BE810):INDEX((係数_乗用_ガソリン,係数_乗用_CNG,係数_乗用_軽油,係数_乗用_メタノール,係数_乗用_LPG),125,5,BE810),5,FALSE)))))</f>
        <v/>
      </c>
      <c r="AN810" s="461" t="str">
        <f t="shared" si="426"/>
        <v/>
      </c>
      <c r="AO810" s="462" t="str">
        <f t="shared" si="427"/>
        <v/>
      </c>
      <c r="AP810" s="463" t="str">
        <f t="shared" si="428"/>
        <v/>
      </c>
      <c r="AQ810" s="464"/>
      <c r="AR810" s="619"/>
      <c r="AS810" s="465" t="str">
        <f t="shared" si="436"/>
        <v/>
      </c>
      <c r="AT810" s="465" t="str">
        <f t="shared" si="437"/>
        <v/>
      </c>
      <c r="AU810" s="466" t="str">
        <f t="shared" si="438"/>
        <v/>
      </c>
      <c r="AV810" s="467" t="str">
        <f t="shared" si="439"/>
        <v/>
      </c>
      <c r="AW810" s="467" t="str">
        <f t="shared" si="440"/>
        <v/>
      </c>
      <c r="AX810" s="467" t="str">
        <f t="shared" si="441"/>
        <v/>
      </c>
      <c r="AY810" s="467" t="str">
        <f t="shared" si="442"/>
        <v/>
      </c>
      <c r="AZ810" s="467" t="str">
        <f t="shared" si="443"/>
        <v/>
      </c>
      <c r="BA810" s="468" t="str">
        <f>IF(AS810="","",IF(OR(AU810="",AU810="-"),"－",IF(OR(AZ810=8,AZ810=9),"",IF(OR(AW810=3,AW810=4,AW810=5,AW810=6),VLOOKUP(AU810,INDEX((係数_バス貨物_ガソリン,係数_バス貨物_CNG,係数_バス貨物_軽油,係数_バス貨物_メタノール,係数_バス貨物_LPG),MATCH(AY810,【参考】排出係数!$AI$4:$AI$671,1),1,BE810):INDEX((係数_バス貨物_ガソリン,係数_バス貨物_CNG,係数_バス貨物_軽油,係数_バス貨物_メタノール,係数_バス貨物_LPG),MATCH(AY810+1,【参考】排出係数!$AI$4:$AI$671,1)-1,5,BE810),2,FALSE),IF(OR(AW810=1,AW810=2),VLOOKUP(AU810,INDEX((係数_乗用_ガソリン,係数_乗用_CNG,係数_乗用_軽油,係数_乗用_メタノール,係数_乗用_LPG),1,1,BE810):INDEX((係数_乗用_ガソリン,係数_乗用_CNG,係数_乗用_軽油,係数_乗用_メタノール,係数_乗用_LPG),125,5,BE810),2,FALSE))))))</f>
        <v/>
      </c>
      <c r="BB810" s="468" t="str">
        <f>IF(T810="","",IF(OR(AU810="",AU810="-"),"－",IF(OR(AZ810=8,AZ810=9),"",IF(OR(AW810=3,AW810=4,AW810=5,AW810=6),VLOOKUP(AU810,INDEX((係数_バス貨物_ガソリン,係数_バス貨物_CNG,係数_バス貨物_軽油,係数_バス貨物_メタノール,係数_バス貨物_LPG),MATCH(AY810,【参考】排出係数!$AI$4:$AI$671,1),1,BE810):INDEX((係数_バス貨物_ガソリン,係数_バス貨物_CNG,係数_バス貨物_軽油,係数_バス貨物_メタノール,係数_バス貨物_LPG),MATCH(AY810+1,【参考】排出係数!$AI$4:$AI$671,1)-1,5,BE810),3,FALSE),IF(OR(AW810=1,AW810=2),VLOOKUP(AU810,INDEX((係数_乗用_ガソリン,係数_乗用_CNG,係数_乗用_軽油,係数_乗用_メタノール,係数_乗用_LPG),1,1,BE810):INDEX((係数_乗用_ガソリン,係数_乗用_CNG,係数_乗用_軽油,係数_乗用_メタノール,係数_乗用_LPG),125,5,BE810),3,FALSE))))))</f>
        <v/>
      </c>
      <c r="BC810" s="467" t="str">
        <f t="shared" si="444"/>
        <v/>
      </c>
      <c r="BD810" s="567" t="str">
        <f t="shared" si="445"/>
        <v/>
      </c>
      <c r="BE810" s="467" t="str">
        <f t="shared" si="446"/>
        <v/>
      </c>
      <c r="BF810" s="469" t="str">
        <f t="shared" ca="1" si="447"/>
        <v/>
      </c>
      <c r="BG810" s="469" t="str">
        <f t="shared" ca="1" si="448"/>
        <v/>
      </c>
      <c r="BH810" s="467" t="str">
        <f t="shared" si="449"/>
        <v/>
      </c>
      <c r="BI810" s="467" t="str">
        <f t="shared" ca="1" si="450"/>
        <v/>
      </c>
      <c r="BJ810" s="469" t="str">
        <f t="shared" si="451"/>
        <v/>
      </c>
      <c r="BK810" s="470" t="str">
        <f t="shared" si="435"/>
        <v/>
      </c>
      <c r="BL810" s="775" t="str">
        <f t="shared" si="452"/>
        <v/>
      </c>
      <c r="BM810" s="775" t="str">
        <f t="shared" si="453"/>
        <v/>
      </c>
    </row>
    <row r="811" spans="1:65">
      <c r="A811" s="473">
        <v>755</v>
      </c>
      <c r="B811" s="132"/>
      <c r="C811" s="332"/>
      <c r="D811" s="333"/>
      <c r="E811" s="333"/>
      <c r="F811" s="334"/>
      <c r="G811" s="337"/>
      <c r="H811" s="131"/>
      <c r="I811" s="337"/>
      <c r="J811" s="131"/>
      <c r="K811" s="458" t="str">
        <f t="shared" si="416"/>
        <v/>
      </c>
      <c r="L811" s="458">
        <f t="shared" si="417"/>
        <v>0</v>
      </c>
      <c r="M811" s="458">
        <f t="shared" si="418"/>
        <v>0</v>
      </c>
      <c r="N811" s="459" t="str">
        <f t="shared" si="429"/>
        <v/>
      </c>
      <c r="O811" s="459" t="str">
        <f t="shared" si="430"/>
        <v/>
      </c>
      <c r="P811" s="459" t="str">
        <f t="shared" si="431"/>
        <v/>
      </c>
      <c r="Q811" s="459" t="str">
        <f t="shared" si="432"/>
        <v/>
      </c>
      <c r="R811" s="459" t="str">
        <f t="shared" si="433"/>
        <v/>
      </c>
      <c r="S811" s="459" t="str">
        <f t="shared" si="434"/>
        <v/>
      </c>
      <c r="T811" s="566" t="str">
        <f t="shared" si="419"/>
        <v/>
      </c>
      <c r="U811" s="702"/>
      <c r="V811" s="132"/>
      <c r="W811" s="133"/>
      <c r="X811" s="134"/>
      <c r="Y811" s="135"/>
      <c r="Z811" s="137"/>
      <c r="AA811" s="136"/>
      <c r="AB811" s="566" t="str">
        <f t="shared" si="420"/>
        <v/>
      </c>
      <c r="AC811" s="568" t="str">
        <f t="shared" si="421"/>
        <v/>
      </c>
      <c r="AD811" s="137"/>
      <c r="AE811" s="137"/>
      <c r="AF811" s="138"/>
      <c r="AG811" s="138"/>
      <c r="AH811" s="592" t="str">
        <f t="shared" si="422"/>
        <v/>
      </c>
      <c r="AI811" s="592" t="str">
        <f t="shared" si="423"/>
        <v/>
      </c>
      <c r="AJ811" s="592" t="str">
        <f t="shared" si="424"/>
        <v/>
      </c>
      <c r="AK811" s="460" t="str">
        <f>IF(AU811="","",IF(OR(AZ811=8,AZ811=9),0,IF(OR(AW811=3,AW811=4,AW811=5,AW811=6),IF(LEFT(BF811,1)="1",INDEX(係数_NOX・PM低減,MATCH(AY811,【参考】排出係数!$AI$801:$AI$804,1),1),VLOOKUP(AU811,INDEX((係数_バス貨物_ガソリン,係数_バス貨物_CNG,係数_バス貨物_軽油,係数_バス貨物_メタノール,係数_バス貨物_LPG),MATCH(AY811,【参考】排出係数!$AI$4:$AI$671,1),1,BE811):INDEX((係数_バス貨物_ガソリン,係数_バス貨物_CNG,係数_バス貨物_軽油,係数_バス貨物_メタノール,係数_バス貨物_LPG),MATCH(AY811+1,【参考】排出係数!$AI$4:$AI$671,1)-1,5,BE811),4,FALSE)),IF(AND(BE811=3,LEFT(BF811,1)="1"),0.48,VLOOKUP(AU811,INDEX((係数_乗用_ガソリン,係数_乗用_CNG,係数_乗用_軽油,係数_乗用_メタノール,係数_乗用_LPG),1,1,BE811):INDEX((係数_乗用_ガソリン,係数_乗用_CNG,係数_乗用_軽油,係数_乗用_メタノール,係数_乗用_LPG),125,5,BE811),4,FALSE)))))</f>
        <v/>
      </c>
      <c r="AL811" s="461" t="str">
        <f t="shared" si="425"/>
        <v/>
      </c>
      <c r="AM811" s="460" t="str">
        <f>IF(AU811="","",IF(OR(AZ811=8,AZ811=9),0,IF(OR(AW811=3,AW811=4,AW811=5,AW811=6),IF(LEFT(BH811,1)="1",INDEX(係数_PM低減,MATCH(AY811,【参考】排出係数!$AI$801:$AI$804,1),MATCH(BI811,【参考】排出係数!$AL$798:$AO$798,1)),VLOOKUP(AU811,INDEX((係数_バス貨物_ガソリン,係数_バス貨物_CNG,係数_バス貨物_軽油,係数_バス貨物_メタノール,係数_バス貨物_LPG),MATCH(AY811,【参考】排出係数!$AI$4:$AI$671,1),1,BE811):INDEX((係数_バス貨物_ガソリン,係数_バス貨物_CNG,係数_バス貨物_軽油,係数_バス貨物_メタノール,係数_バス貨物_LPG),MATCH(AY811+1,【参考】排出係数!$AI$4:$AI$671,1)-1,5,BE811),5,FALSE)),IF(AND(BE811=3,LEFT(BF811,1)="1"),0.055,VLOOKUP(AU811,INDEX((係数_乗用_ガソリン,係数_乗用_CNG,係数_乗用_軽油,係数_乗用_メタノール,係数_乗用_LPG),1,1,BE811):INDEX((係数_乗用_ガソリン,係数_乗用_CNG,係数_乗用_軽油,係数_乗用_メタノール,係数_乗用_LPG),125,5,BE811),5,FALSE)))))</f>
        <v/>
      </c>
      <c r="AN811" s="461" t="str">
        <f t="shared" si="426"/>
        <v/>
      </c>
      <c r="AO811" s="462" t="str">
        <f t="shared" si="427"/>
        <v/>
      </c>
      <c r="AP811" s="463" t="str">
        <f t="shared" si="428"/>
        <v/>
      </c>
      <c r="AQ811" s="464"/>
      <c r="AR811" s="619"/>
      <c r="AS811" s="465" t="str">
        <f t="shared" si="436"/>
        <v/>
      </c>
      <c r="AT811" s="465" t="str">
        <f t="shared" si="437"/>
        <v/>
      </c>
      <c r="AU811" s="466" t="str">
        <f t="shared" si="438"/>
        <v/>
      </c>
      <c r="AV811" s="467" t="str">
        <f t="shared" si="439"/>
        <v/>
      </c>
      <c r="AW811" s="467" t="str">
        <f t="shared" si="440"/>
        <v/>
      </c>
      <c r="AX811" s="467" t="str">
        <f t="shared" si="441"/>
        <v/>
      </c>
      <c r="AY811" s="467" t="str">
        <f t="shared" si="442"/>
        <v/>
      </c>
      <c r="AZ811" s="467" t="str">
        <f t="shared" si="443"/>
        <v/>
      </c>
      <c r="BA811" s="468" t="str">
        <f>IF(AS811="","",IF(OR(AU811="",AU811="-"),"－",IF(OR(AZ811=8,AZ811=9),"",IF(OR(AW811=3,AW811=4,AW811=5,AW811=6),VLOOKUP(AU811,INDEX((係数_バス貨物_ガソリン,係数_バス貨物_CNG,係数_バス貨物_軽油,係数_バス貨物_メタノール,係数_バス貨物_LPG),MATCH(AY811,【参考】排出係数!$AI$4:$AI$671,1),1,BE811):INDEX((係数_バス貨物_ガソリン,係数_バス貨物_CNG,係数_バス貨物_軽油,係数_バス貨物_メタノール,係数_バス貨物_LPG),MATCH(AY811+1,【参考】排出係数!$AI$4:$AI$671,1)-1,5,BE811),2,FALSE),IF(OR(AW811=1,AW811=2),VLOOKUP(AU811,INDEX((係数_乗用_ガソリン,係数_乗用_CNG,係数_乗用_軽油,係数_乗用_メタノール,係数_乗用_LPG),1,1,BE811):INDEX((係数_乗用_ガソリン,係数_乗用_CNG,係数_乗用_軽油,係数_乗用_メタノール,係数_乗用_LPG),125,5,BE811),2,FALSE))))))</f>
        <v/>
      </c>
      <c r="BB811" s="468" t="str">
        <f>IF(T811="","",IF(OR(AU811="",AU811="-"),"－",IF(OR(AZ811=8,AZ811=9),"",IF(OR(AW811=3,AW811=4,AW811=5,AW811=6),VLOOKUP(AU811,INDEX((係数_バス貨物_ガソリン,係数_バス貨物_CNG,係数_バス貨物_軽油,係数_バス貨物_メタノール,係数_バス貨物_LPG),MATCH(AY811,【参考】排出係数!$AI$4:$AI$671,1),1,BE811):INDEX((係数_バス貨物_ガソリン,係数_バス貨物_CNG,係数_バス貨物_軽油,係数_バス貨物_メタノール,係数_バス貨物_LPG),MATCH(AY811+1,【参考】排出係数!$AI$4:$AI$671,1)-1,5,BE811),3,FALSE),IF(OR(AW811=1,AW811=2),VLOOKUP(AU811,INDEX((係数_乗用_ガソリン,係数_乗用_CNG,係数_乗用_軽油,係数_乗用_メタノール,係数_乗用_LPG),1,1,BE811):INDEX((係数_乗用_ガソリン,係数_乗用_CNG,係数_乗用_軽油,係数_乗用_メタノール,係数_乗用_LPG),125,5,BE811),3,FALSE))))))</f>
        <v/>
      </c>
      <c r="BC811" s="467" t="str">
        <f t="shared" si="444"/>
        <v/>
      </c>
      <c r="BD811" s="567" t="str">
        <f t="shared" si="445"/>
        <v/>
      </c>
      <c r="BE811" s="467" t="str">
        <f t="shared" si="446"/>
        <v/>
      </c>
      <c r="BF811" s="469" t="str">
        <f t="shared" ca="1" si="447"/>
        <v/>
      </c>
      <c r="BG811" s="469" t="str">
        <f t="shared" ca="1" si="448"/>
        <v/>
      </c>
      <c r="BH811" s="467" t="str">
        <f t="shared" si="449"/>
        <v/>
      </c>
      <c r="BI811" s="467" t="str">
        <f t="shared" ca="1" si="450"/>
        <v/>
      </c>
      <c r="BJ811" s="469" t="str">
        <f t="shared" si="451"/>
        <v/>
      </c>
      <c r="BK811" s="470" t="str">
        <f t="shared" si="435"/>
        <v/>
      </c>
      <c r="BL811" s="775" t="str">
        <f t="shared" si="452"/>
        <v/>
      </c>
      <c r="BM811" s="775" t="str">
        <f t="shared" si="453"/>
        <v/>
      </c>
    </row>
    <row r="812" spans="1:65">
      <c r="A812" s="473">
        <v>756</v>
      </c>
      <c r="B812" s="132"/>
      <c r="C812" s="332"/>
      <c r="D812" s="333"/>
      <c r="E812" s="333"/>
      <c r="F812" s="334"/>
      <c r="G812" s="337"/>
      <c r="H812" s="131"/>
      <c r="I812" s="337"/>
      <c r="J812" s="131"/>
      <c r="K812" s="458" t="str">
        <f t="shared" ref="K812:K875" si="454">C812&amp;D812&amp;E812&amp;F812</f>
        <v/>
      </c>
      <c r="L812" s="458">
        <f t="shared" ref="L812:L875" si="455">IF(G812&gt;0,DATE((G812),(H812+1),0),0)</f>
        <v>0</v>
      </c>
      <c r="M812" s="458">
        <f t="shared" ref="M812:M875" si="456">IF(I812&gt;0,DATE((I812),(J812+1),0),0)</f>
        <v>0</v>
      </c>
      <c r="N812" s="459" t="str">
        <f t="shared" si="429"/>
        <v/>
      </c>
      <c r="O812" s="459" t="str">
        <f t="shared" si="430"/>
        <v/>
      </c>
      <c r="P812" s="459" t="str">
        <f t="shared" si="431"/>
        <v/>
      </c>
      <c r="Q812" s="459" t="str">
        <f t="shared" si="432"/>
        <v/>
      </c>
      <c r="R812" s="459" t="str">
        <f t="shared" si="433"/>
        <v/>
      </c>
      <c r="S812" s="459" t="str">
        <f t="shared" si="434"/>
        <v/>
      </c>
      <c r="T812" s="566" t="str">
        <f t="shared" ref="T812:T875" si="457">N812&amp;O812&amp;P812&amp;Q812&amp;R812&amp;S812</f>
        <v/>
      </c>
      <c r="U812" s="702"/>
      <c r="V812" s="132"/>
      <c r="W812" s="133"/>
      <c r="X812" s="134"/>
      <c r="Y812" s="135"/>
      <c r="Z812" s="137"/>
      <c r="AA812" s="136"/>
      <c r="AB812" s="566" t="str">
        <f t="shared" ref="AB812:AB875" si="458">IF(AS812="","",IF(AZ812=1,VLOOKUP(BA812,低公害車判別,2,FALSE),IF(AZ812=3,VLOOKUP(BA812,低公害車判別,2,FALSE),IF(AZ812=4,VLOOKUP(BB812,低公害車判別,2,FALSE),"低公害車"))))</f>
        <v/>
      </c>
      <c r="AC812" s="568" t="str">
        <f t="shared" ref="AC812:AC875" si="459">IF(AS812="","",IF((BA812="")+(BA812="－"),IF((BB812="")+(BB812=0),"－",BB812),IF((BA812="PM☆☆☆")+(BA812="☆及びPM☆☆☆")+(BA812="☆☆及びPM☆☆☆")+(BA812="☆☆☆及びPM☆☆☆"),"PM☆☆☆",IF((BA812="PM☆☆☆☆")+(BA812="☆及びPM☆☆☆☆")+(BA812="☆☆及びPM☆☆☆☆")+(BA812="☆☆☆及びPM☆☆☆☆"),"PM☆☆☆☆",IF((BA812="新☆")+(BA812="新NOx☆")+(BA812="新PM☆"),"新☆（新長期）",BA812)))))</f>
        <v/>
      </c>
      <c r="AD812" s="137"/>
      <c r="AE812" s="137"/>
      <c r="AF812" s="138"/>
      <c r="AG812" s="138"/>
      <c r="AH812" s="592" t="str">
        <f t="shared" ref="AH812:AH875" si="460">IF(C812="","",IF(LEFT(C812,2)="横浜","○",""))</f>
        <v/>
      </c>
      <c r="AI812" s="592" t="str">
        <f t="shared" ref="AI812:AI875" si="461">IF(C812="","",IF(LEFT(C812,2)="川崎","○",""))</f>
        <v/>
      </c>
      <c r="AJ812" s="592" t="str">
        <f t="shared" ref="AJ812:AJ875" si="462">IF(C812="","",IF(OR(AH812="○",AI812="○"),"","○"))</f>
        <v/>
      </c>
      <c r="AK812" s="460" t="str">
        <f>IF(AU812="","",IF(OR(AZ812=8,AZ812=9),0,IF(OR(AW812=3,AW812=4,AW812=5,AW812=6),IF(LEFT(BF812,1)="1",INDEX(係数_NOX・PM低減,MATCH(AY812,【参考】排出係数!$AI$801:$AI$804,1),1),VLOOKUP(AU812,INDEX((係数_バス貨物_ガソリン,係数_バス貨物_CNG,係数_バス貨物_軽油,係数_バス貨物_メタノール,係数_バス貨物_LPG),MATCH(AY812,【参考】排出係数!$AI$4:$AI$671,1),1,BE812):INDEX((係数_バス貨物_ガソリン,係数_バス貨物_CNG,係数_バス貨物_軽油,係数_バス貨物_メタノール,係数_バス貨物_LPG),MATCH(AY812+1,【参考】排出係数!$AI$4:$AI$671,1)-1,5,BE812),4,FALSE)),IF(AND(BE812=3,LEFT(BF812,1)="1"),0.48,VLOOKUP(AU812,INDEX((係数_乗用_ガソリン,係数_乗用_CNG,係数_乗用_軽油,係数_乗用_メタノール,係数_乗用_LPG),1,1,BE812):INDEX((係数_乗用_ガソリン,係数_乗用_CNG,係数_乗用_軽油,係数_乗用_メタノール,係数_乗用_LPG),125,5,BE812),4,FALSE)))))</f>
        <v/>
      </c>
      <c r="AL812" s="461" t="str">
        <f t="shared" ref="AL812:AL875" si="463">IF(AU812="","",IF(Z812&lt;=3.5*1000,AD812*AK812/1000,IF(Z812&gt;3.5*1000,AD812*Z812*AK812/1000/1000)))</f>
        <v/>
      </c>
      <c r="AM812" s="460" t="str">
        <f>IF(AU812="","",IF(OR(AZ812=8,AZ812=9),0,IF(OR(AW812=3,AW812=4,AW812=5,AW812=6),IF(LEFT(BH812,1)="1",INDEX(係数_PM低減,MATCH(AY812,【参考】排出係数!$AI$801:$AI$804,1),MATCH(BI812,【参考】排出係数!$AL$798:$AO$798,1)),VLOOKUP(AU812,INDEX((係数_バス貨物_ガソリン,係数_バス貨物_CNG,係数_バス貨物_軽油,係数_バス貨物_メタノール,係数_バス貨物_LPG),MATCH(AY812,【参考】排出係数!$AI$4:$AI$671,1),1,BE812):INDEX((係数_バス貨物_ガソリン,係数_バス貨物_CNG,係数_バス貨物_軽油,係数_バス貨物_メタノール,係数_バス貨物_LPG),MATCH(AY812+1,【参考】排出係数!$AI$4:$AI$671,1)-1,5,BE812),5,FALSE)),IF(AND(BE812=3,LEFT(BF812,1)="1"),0.055,VLOOKUP(AU812,INDEX((係数_乗用_ガソリン,係数_乗用_CNG,係数_乗用_軽油,係数_乗用_メタノール,係数_乗用_LPG),1,1,BE812):INDEX((係数_乗用_ガソリン,係数_乗用_CNG,係数_乗用_軽油,係数_乗用_メタノール,係数_乗用_LPG),125,5,BE812),5,FALSE)))))</f>
        <v/>
      </c>
      <c r="AN812" s="461" t="str">
        <f t="shared" ref="AN812:AN875" si="464">IF(AU812="","",IF(Z812&lt;=3.5*1000,AD812*AM812/1000,IF(Z812&gt;3.5*1000,AD812*Z812*AM812/1000/1000)))</f>
        <v/>
      </c>
      <c r="AO812" s="462" t="str">
        <f t="shared" ref="AO812:AO875" si="465">IF(AU812="","",IF(Z812&lt;500,"車両重量",IF(OR(AZ812=8,AZ812=9),0,IF(OR(AZ812=1,AZ812=2,AZ812=11),2.32,IF(OR(AZ812=4,AZ812=5,AZ812=11),2.58,IF(AZ812=3,3,IF(AZ812=6,2.23,IF(AZ812=7,1.37,0))))))))</f>
        <v/>
      </c>
      <c r="AP812" s="463" t="str">
        <f t="shared" ref="AP812:AP875" si="466">IF(AU812="","",AE812*AO812/1000)</f>
        <v/>
      </c>
      <c r="AQ812" s="464"/>
      <c r="AR812" s="619"/>
      <c r="AS812" s="465" t="str">
        <f t="shared" si="436"/>
        <v/>
      </c>
      <c r="AT812" s="465" t="str">
        <f t="shared" si="437"/>
        <v/>
      </c>
      <c r="AU812" s="466" t="str">
        <f t="shared" si="438"/>
        <v/>
      </c>
      <c r="AV812" s="467" t="str">
        <f t="shared" si="439"/>
        <v/>
      </c>
      <c r="AW812" s="467" t="str">
        <f t="shared" si="440"/>
        <v/>
      </c>
      <c r="AX812" s="467" t="str">
        <f t="shared" si="441"/>
        <v/>
      </c>
      <c r="AY812" s="467" t="str">
        <f t="shared" si="442"/>
        <v/>
      </c>
      <c r="AZ812" s="467" t="str">
        <f t="shared" si="443"/>
        <v/>
      </c>
      <c r="BA812" s="468" t="str">
        <f>IF(AS812="","",IF(OR(AU812="",AU812="-"),"－",IF(OR(AZ812=8,AZ812=9),"",IF(OR(AW812=3,AW812=4,AW812=5,AW812=6),VLOOKUP(AU812,INDEX((係数_バス貨物_ガソリン,係数_バス貨物_CNG,係数_バス貨物_軽油,係数_バス貨物_メタノール,係数_バス貨物_LPG),MATCH(AY812,【参考】排出係数!$AI$4:$AI$671,1),1,BE812):INDEX((係数_バス貨物_ガソリン,係数_バス貨物_CNG,係数_バス貨物_軽油,係数_バス貨物_メタノール,係数_バス貨物_LPG),MATCH(AY812+1,【参考】排出係数!$AI$4:$AI$671,1)-1,5,BE812),2,FALSE),IF(OR(AW812=1,AW812=2),VLOOKUP(AU812,INDEX((係数_乗用_ガソリン,係数_乗用_CNG,係数_乗用_軽油,係数_乗用_メタノール,係数_乗用_LPG),1,1,BE812):INDEX((係数_乗用_ガソリン,係数_乗用_CNG,係数_乗用_軽油,係数_乗用_メタノール,係数_乗用_LPG),125,5,BE812),2,FALSE))))))</f>
        <v/>
      </c>
      <c r="BB812" s="468" t="str">
        <f>IF(T812="","",IF(OR(AU812="",AU812="-"),"－",IF(OR(AZ812=8,AZ812=9),"",IF(OR(AW812=3,AW812=4,AW812=5,AW812=6),VLOOKUP(AU812,INDEX((係数_バス貨物_ガソリン,係数_バス貨物_CNG,係数_バス貨物_軽油,係数_バス貨物_メタノール,係数_バス貨物_LPG),MATCH(AY812,【参考】排出係数!$AI$4:$AI$671,1),1,BE812):INDEX((係数_バス貨物_ガソリン,係数_バス貨物_CNG,係数_バス貨物_軽油,係数_バス貨物_メタノール,係数_バス貨物_LPG),MATCH(AY812+1,【参考】排出係数!$AI$4:$AI$671,1)-1,5,BE812),3,FALSE),IF(OR(AW812=1,AW812=2),VLOOKUP(AU812,INDEX((係数_乗用_ガソリン,係数_乗用_CNG,係数_乗用_軽油,係数_乗用_メタノール,係数_乗用_LPG),1,1,BE812):INDEX((係数_乗用_ガソリン,係数_乗用_CNG,係数_乗用_軽油,係数_乗用_メタノール,係数_乗用_LPG),125,5,BE812),3,FALSE))))))</f>
        <v/>
      </c>
      <c r="BC812" s="467" t="str">
        <f t="shared" si="444"/>
        <v/>
      </c>
      <c r="BD812" s="567" t="str">
        <f t="shared" si="445"/>
        <v/>
      </c>
      <c r="BE812" s="467" t="str">
        <f t="shared" si="446"/>
        <v/>
      </c>
      <c r="BF812" s="469" t="str">
        <f t="shared" ca="1" si="447"/>
        <v/>
      </c>
      <c r="BG812" s="469" t="str">
        <f t="shared" ca="1" si="448"/>
        <v/>
      </c>
      <c r="BH812" s="467" t="str">
        <f t="shared" si="449"/>
        <v/>
      </c>
      <c r="BI812" s="467" t="str">
        <f t="shared" ca="1" si="450"/>
        <v/>
      </c>
      <c r="BJ812" s="469" t="str">
        <f t="shared" si="451"/>
        <v/>
      </c>
      <c r="BK812" s="470" t="str">
        <f t="shared" si="435"/>
        <v/>
      </c>
      <c r="BL812" s="775" t="str">
        <f t="shared" si="452"/>
        <v/>
      </c>
      <c r="BM812" s="775" t="str">
        <f t="shared" si="453"/>
        <v/>
      </c>
    </row>
    <row r="813" spans="1:65">
      <c r="A813" s="473">
        <v>757</v>
      </c>
      <c r="B813" s="132"/>
      <c r="C813" s="332"/>
      <c r="D813" s="333"/>
      <c r="E813" s="333"/>
      <c r="F813" s="334"/>
      <c r="G813" s="337"/>
      <c r="H813" s="131"/>
      <c r="I813" s="337"/>
      <c r="J813" s="131"/>
      <c r="K813" s="458" t="str">
        <f t="shared" si="454"/>
        <v/>
      </c>
      <c r="L813" s="458">
        <f t="shared" si="455"/>
        <v>0</v>
      </c>
      <c r="M813" s="458">
        <f t="shared" si="456"/>
        <v>0</v>
      </c>
      <c r="N813" s="459" t="str">
        <f t="shared" si="429"/>
        <v/>
      </c>
      <c r="O813" s="459" t="str">
        <f t="shared" si="430"/>
        <v/>
      </c>
      <c r="P813" s="459" t="str">
        <f t="shared" si="431"/>
        <v/>
      </c>
      <c r="Q813" s="459" t="str">
        <f t="shared" si="432"/>
        <v/>
      </c>
      <c r="R813" s="459" t="str">
        <f t="shared" si="433"/>
        <v/>
      </c>
      <c r="S813" s="459" t="str">
        <f t="shared" si="434"/>
        <v/>
      </c>
      <c r="T813" s="566" t="str">
        <f t="shared" si="457"/>
        <v/>
      </c>
      <c r="U813" s="702"/>
      <c r="V813" s="132"/>
      <c r="W813" s="133"/>
      <c r="X813" s="134"/>
      <c r="Y813" s="135"/>
      <c r="Z813" s="137"/>
      <c r="AA813" s="136"/>
      <c r="AB813" s="566" t="str">
        <f t="shared" si="458"/>
        <v/>
      </c>
      <c r="AC813" s="568" t="str">
        <f t="shared" si="459"/>
        <v/>
      </c>
      <c r="AD813" s="137"/>
      <c r="AE813" s="137"/>
      <c r="AF813" s="138"/>
      <c r="AG813" s="138"/>
      <c r="AH813" s="592" t="str">
        <f t="shared" si="460"/>
        <v/>
      </c>
      <c r="AI813" s="592" t="str">
        <f t="shared" si="461"/>
        <v/>
      </c>
      <c r="AJ813" s="592" t="str">
        <f t="shared" si="462"/>
        <v/>
      </c>
      <c r="AK813" s="460" t="str">
        <f>IF(AU813="","",IF(OR(AZ813=8,AZ813=9),0,IF(OR(AW813=3,AW813=4,AW813=5,AW813=6),IF(LEFT(BF813,1)="1",INDEX(係数_NOX・PM低減,MATCH(AY813,【参考】排出係数!$AI$801:$AI$804,1),1),VLOOKUP(AU813,INDEX((係数_バス貨物_ガソリン,係数_バス貨物_CNG,係数_バス貨物_軽油,係数_バス貨物_メタノール,係数_バス貨物_LPG),MATCH(AY813,【参考】排出係数!$AI$4:$AI$671,1),1,BE813):INDEX((係数_バス貨物_ガソリン,係数_バス貨物_CNG,係数_バス貨物_軽油,係数_バス貨物_メタノール,係数_バス貨物_LPG),MATCH(AY813+1,【参考】排出係数!$AI$4:$AI$671,1)-1,5,BE813),4,FALSE)),IF(AND(BE813=3,LEFT(BF813,1)="1"),0.48,VLOOKUP(AU813,INDEX((係数_乗用_ガソリン,係数_乗用_CNG,係数_乗用_軽油,係数_乗用_メタノール,係数_乗用_LPG),1,1,BE813):INDEX((係数_乗用_ガソリン,係数_乗用_CNG,係数_乗用_軽油,係数_乗用_メタノール,係数_乗用_LPG),125,5,BE813),4,FALSE)))))</f>
        <v/>
      </c>
      <c r="AL813" s="461" t="str">
        <f t="shared" si="463"/>
        <v/>
      </c>
      <c r="AM813" s="460" t="str">
        <f>IF(AU813="","",IF(OR(AZ813=8,AZ813=9),0,IF(OR(AW813=3,AW813=4,AW813=5,AW813=6),IF(LEFT(BH813,1)="1",INDEX(係数_PM低減,MATCH(AY813,【参考】排出係数!$AI$801:$AI$804,1),MATCH(BI813,【参考】排出係数!$AL$798:$AO$798,1)),VLOOKUP(AU813,INDEX((係数_バス貨物_ガソリン,係数_バス貨物_CNG,係数_バス貨物_軽油,係数_バス貨物_メタノール,係数_バス貨物_LPG),MATCH(AY813,【参考】排出係数!$AI$4:$AI$671,1),1,BE813):INDEX((係数_バス貨物_ガソリン,係数_バス貨物_CNG,係数_バス貨物_軽油,係数_バス貨物_メタノール,係数_バス貨物_LPG),MATCH(AY813+1,【参考】排出係数!$AI$4:$AI$671,1)-1,5,BE813),5,FALSE)),IF(AND(BE813=3,LEFT(BF813,1)="1"),0.055,VLOOKUP(AU813,INDEX((係数_乗用_ガソリン,係数_乗用_CNG,係数_乗用_軽油,係数_乗用_メタノール,係数_乗用_LPG),1,1,BE813):INDEX((係数_乗用_ガソリン,係数_乗用_CNG,係数_乗用_軽油,係数_乗用_メタノール,係数_乗用_LPG),125,5,BE813),5,FALSE)))))</f>
        <v/>
      </c>
      <c r="AN813" s="461" t="str">
        <f t="shared" si="464"/>
        <v/>
      </c>
      <c r="AO813" s="462" t="str">
        <f t="shared" si="465"/>
        <v/>
      </c>
      <c r="AP813" s="463" t="str">
        <f t="shared" si="466"/>
        <v/>
      </c>
      <c r="AQ813" s="464"/>
      <c r="AR813" s="619"/>
      <c r="AS813" s="465" t="str">
        <f t="shared" si="436"/>
        <v/>
      </c>
      <c r="AT813" s="465" t="str">
        <f t="shared" si="437"/>
        <v/>
      </c>
      <c r="AU813" s="466" t="str">
        <f t="shared" si="438"/>
        <v/>
      </c>
      <c r="AV813" s="467" t="str">
        <f t="shared" si="439"/>
        <v/>
      </c>
      <c r="AW813" s="467" t="str">
        <f t="shared" si="440"/>
        <v/>
      </c>
      <c r="AX813" s="467" t="str">
        <f t="shared" si="441"/>
        <v/>
      </c>
      <c r="AY813" s="467" t="str">
        <f t="shared" si="442"/>
        <v/>
      </c>
      <c r="AZ813" s="467" t="str">
        <f t="shared" si="443"/>
        <v/>
      </c>
      <c r="BA813" s="468" t="str">
        <f>IF(AS813="","",IF(OR(AU813="",AU813="-"),"－",IF(OR(AZ813=8,AZ813=9),"",IF(OR(AW813=3,AW813=4,AW813=5,AW813=6),VLOOKUP(AU813,INDEX((係数_バス貨物_ガソリン,係数_バス貨物_CNG,係数_バス貨物_軽油,係数_バス貨物_メタノール,係数_バス貨物_LPG),MATCH(AY813,【参考】排出係数!$AI$4:$AI$671,1),1,BE813):INDEX((係数_バス貨物_ガソリン,係数_バス貨物_CNG,係数_バス貨物_軽油,係数_バス貨物_メタノール,係数_バス貨物_LPG),MATCH(AY813+1,【参考】排出係数!$AI$4:$AI$671,1)-1,5,BE813),2,FALSE),IF(OR(AW813=1,AW813=2),VLOOKUP(AU813,INDEX((係数_乗用_ガソリン,係数_乗用_CNG,係数_乗用_軽油,係数_乗用_メタノール,係数_乗用_LPG),1,1,BE813):INDEX((係数_乗用_ガソリン,係数_乗用_CNG,係数_乗用_軽油,係数_乗用_メタノール,係数_乗用_LPG),125,5,BE813),2,FALSE))))))</f>
        <v/>
      </c>
      <c r="BB813" s="468" t="str">
        <f>IF(T813="","",IF(OR(AU813="",AU813="-"),"－",IF(OR(AZ813=8,AZ813=9),"",IF(OR(AW813=3,AW813=4,AW813=5,AW813=6),VLOOKUP(AU813,INDEX((係数_バス貨物_ガソリン,係数_バス貨物_CNG,係数_バス貨物_軽油,係数_バス貨物_メタノール,係数_バス貨物_LPG),MATCH(AY813,【参考】排出係数!$AI$4:$AI$671,1),1,BE813):INDEX((係数_バス貨物_ガソリン,係数_バス貨物_CNG,係数_バス貨物_軽油,係数_バス貨物_メタノール,係数_バス貨物_LPG),MATCH(AY813+1,【参考】排出係数!$AI$4:$AI$671,1)-1,5,BE813),3,FALSE),IF(OR(AW813=1,AW813=2),VLOOKUP(AU813,INDEX((係数_乗用_ガソリン,係数_乗用_CNG,係数_乗用_軽油,係数_乗用_メタノール,係数_乗用_LPG),1,1,BE813):INDEX((係数_乗用_ガソリン,係数_乗用_CNG,係数_乗用_軽油,係数_乗用_メタノール,係数_乗用_LPG),125,5,BE813),3,FALSE))))))</f>
        <v/>
      </c>
      <c r="BC813" s="467" t="str">
        <f t="shared" si="444"/>
        <v/>
      </c>
      <c r="BD813" s="567" t="str">
        <f t="shared" si="445"/>
        <v/>
      </c>
      <c r="BE813" s="467" t="str">
        <f t="shared" si="446"/>
        <v/>
      </c>
      <c r="BF813" s="469" t="str">
        <f t="shared" ca="1" si="447"/>
        <v/>
      </c>
      <c r="BG813" s="469" t="str">
        <f t="shared" ca="1" si="448"/>
        <v/>
      </c>
      <c r="BH813" s="467" t="str">
        <f t="shared" si="449"/>
        <v/>
      </c>
      <c r="BI813" s="467" t="str">
        <f t="shared" ca="1" si="450"/>
        <v/>
      </c>
      <c r="BJ813" s="469" t="str">
        <f t="shared" si="451"/>
        <v/>
      </c>
      <c r="BK813" s="470" t="str">
        <f t="shared" si="435"/>
        <v/>
      </c>
      <c r="BL813" s="775" t="str">
        <f t="shared" si="452"/>
        <v/>
      </c>
      <c r="BM813" s="775" t="str">
        <f t="shared" si="453"/>
        <v/>
      </c>
    </row>
    <row r="814" spans="1:65">
      <c r="A814" s="473">
        <v>758</v>
      </c>
      <c r="B814" s="132"/>
      <c r="C814" s="332"/>
      <c r="D814" s="333"/>
      <c r="E814" s="333"/>
      <c r="F814" s="334"/>
      <c r="G814" s="337"/>
      <c r="H814" s="131"/>
      <c r="I814" s="337"/>
      <c r="J814" s="131"/>
      <c r="K814" s="458" t="str">
        <f t="shared" si="454"/>
        <v/>
      </c>
      <c r="L814" s="458">
        <f t="shared" si="455"/>
        <v>0</v>
      </c>
      <c r="M814" s="458">
        <f t="shared" si="456"/>
        <v>0</v>
      </c>
      <c r="N814" s="459" t="str">
        <f t="shared" si="429"/>
        <v/>
      </c>
      <c r="O814" s="459" t="str">
        <f t="shared" si="430"/>
        <v/>
      </c>
      <c r="P814" s="459" t="str">
        <f t="shared" si="431"/>
        <v/>
      </c>
      <c r="Q814" s="459" t="str">
        <f t="shared" si="432"/>
        <v/>
      </c>
      <c r="R814" s="459" t="str">
        <f t="shared" si="433"/>
        <v/>
      </c>
      <c r="S814" s="459" t="str">
        <f t="shared" si="434"/>
        <v/>
      </c>
      <c r="T814" s="566" t="str">
        <f t="shared" si="457"/>
        <v/>
      </c>
      <c r="U814" s="702"/>
      <c r="V814" s="132"/>
      <c r="W814" s="133"/>
      <c r="X814" s="134"/>
      <c r="Y814" s="135"/>
      <c r="Z814" s="137"/>
      <c r="AA814" s="136"/>
      <c r="AB814" s="566" t="str">
        <f t="shared" si="458"/>
        <v/>
      </c>
      <c r="AC814" s="568" t="str">
        <f t="shared" si="459"/>
        <v/>
      </c>
      <c r="AD814" s="137"/>
      <c r="AE814" s="137"/>
      <c r="AF814" s="138"/>
      <c r="AG814" s="138"/>
      <c r="AH814" s="592" t="str">
        <f t="shared" si="460"/>
        <v/>
      </c>
      <c r="AI814" s="592" t="str">
        <f t="shared" si="461"/>
        <v/>
      </c>
      <c r="AJ814" s="592" t="str">
        <f t="shared" si="462"/>
        <v/>
      </c>
      <c r="AK814" s="460" t="str">
        <f>IF(AU814="","",IF(OR(AZ814=8,AZ814=9),0,IF(OR(AW814=3,AW814=4,AW814=5,AW814=6),IF(LEFT(BF814,1)="1",INDEX(係数_NOX・PM低減,MATCH(AY814,【参考】排出係数!$AI$801:$AI$804,1),1),VLOOKUP(AU814,INDEX((係数_バス貨物_ガソリン,係数_バス貨物_CNG,係数_バス貨物_軽油,係数_バス貨物_メタノール,係数_バス貨物_LPG),MATCH(AY814,【参考】排出係数!$AI$4:$AI$671,1),1,BE814):INDEX((係数_バス貨物_ガソリン,係数_バス貨物_CNG,係数_バス貨物_軽油,係数_バス貨物_メタノール,係数_バス貨物_LPG),MATCH(AY814+1,【参考】排出係数!$AI$4:$AI$671,1)-1,5,BE814),4,FALSE)),IF(AND(BE814=3,LEFT(BF814,1)="1"),0.48,VLOOKUP(AU814,INDEX((係数_乗用_ガソリン,係数_乗用_CNG,係数_乗用_軽油,係数_乗用_メタノール,係数_乗用_LPG),1,1,BE814):INDEX((係数_乗用_ガソリン,係数_乗用_CNG,係数_乗用_軽油,係数_乗用_メタノール,係数_乗用_LPG),125,5,BE814),4,FALSE)))))</f>
        <v/>
      </c>
      <c r="AL814" s="461" t="str">
        <f t="shared" si="463"/>
        <v/>
      </c>
      <c r="AM814" s="460" t="str">
        <f>IF(AU814="","",IF(OR(AZ814=8,AZ814=9),0,IF(OR(AW814=3,AW814=4,AW814=5,AW814=6),IF(LEFT(BH814,1)="1",INDEX(係数_PM低減,MATCH(AY814,【参考】排出係数!$AI$801:$AI$804,1),MATCH(BI814,【参考】排出係数!$AL$798:$AO$798,1)),VLOOKUP(AU814,INDEX((係数_バス貨物_ガソリン,係数_バス貨物_CNG,係数_バス貨物_軽油,係数_バス貨物_メタノール,係数_バス貨物_LPG),MATCH(AY814,【参考】排出係数!$AI$4:$AI$671,1),1,BE814):INDEX((係数_バス貨物_ガソリン,係数_バス貨物_CNG,係数_バス貨物_軽油,係数_バス貨物_メタノール,係数_バス貨物_LPG),MATCH(AY814+1,【参考】排出係数!$AI$4:$AI$671,1)-1,5,BE814),5,FALSE)),IF(AND(BE814=3,LEFT(BF814,1)="1"),0.055,VLOOKUP(AU814,INDEX((係数_乗用_ガソリン,係数_乗用_CNG,係数_乗用_軽油,係数_乗用_メタノール,係数_乗用_LPG),1,1,BE814):INDEX((係数_乗用_ガソリン,係数_乗用_CNG,係数_乗用_軽油,係数_乗用_メタノール,係数_乗用_LPG),125,5,BE814),5,FALSE)))))</f>
        <v/>
      </c>
      <c r="AN814" s="461" t="str">
        <f t="shared" si="464"/>
        <v/>
      </c>
      <c r="AO814" s="462" t="str">
        <f t="shared" si="465"/>
        <v/>
      </c>
      <c r="AP814" s="463" t="str">
        <f t="shared" si="466"/>
        <v/>
      </c>
      <c r="AQ814" s="464"/>
      <c r="AR814" s="619"/>
      <c r="AS814" s="465" t="str">
        <f t="shared" si="436"/>
        <v/>
      </c>
      <c r="AT814" s="465" t="str">
        <f t="shared" si="437"/>
        <v/>
      </c>
      <c r="AU814" s="466" t="str">
        <f t="shared" si="438"/>
        <v/>
      </c>
      <c r="AV814" s="467" t="str">
        <f t="shared" si="439"/>
        <v/>
      </c>
      <c r="AW814" s="467" t="str">
        <f t="shared" si="440"/>
        <v/>
      </c>
      <c r="AX814" s="467" t="str">
        <f t="shared" si="441"/>
        <v/>
      </c>
      <c r="AY814" s="467" t="str">
        <f t="shared" si="442"/>
        <v/>
      </c>
      <c r="AZ814" s="467" t="str">
        <f t="shared" si="443"/>
        <v/>
      </c>
      <c r="BA814" s="468" t="str">
        <f>IF(AS814="","",IF(OR(AU814="",AU814="-"),"－",IF(OR(AZ814=8,AZ814=9),"",IF(OR(AW814=3,AW814=4,AW814=5,AW814=6),VLOOKUP(AU814,INDEX((係数_バス貨物_ガソリン,係数_バス貨物_CNG,係数_バス貨物_軽油,係数_バス貨物_メタノール,係数_バス貨物_LPG),MATCH(AY814,【参考】排出係数!$AI$4:$AI$671,1),1,BE814):INDEX((係数_バス貨物_ガソリン,係数_バス貨物_CNG,係数_バス貨物_軽油,係数_バス貨物_メタノール,係数_バス貨物_LPG),MATCH(AY814+1,【参考】排出係数!$AI$4:$AI$671,1)-1,5,BE814),2,FALSE),IF(OR(AW814=1,AW814=2),VLOOKUP(AU814,INDEX((係数_乗用_ガソリン,係数_乗用_CNG,係数_乗用_軽油,係数_乗用_メタノール,係数_乗用_LPG),1,1,BE814):INDEX((係数_乗用_ガソリン,係数_乗用_CNG,係数_乗用_軽油,係数_乗用_メタノール,係数_乗用_LPG),125,5,BE814),2,FALSE))))))</f>
        <v/>
      </c>
      <c r="BB814" s="468" t="str">
        <f>IF(T814="","",IF(OR(AU814="",AU814="-"),"－",IF(OR(AZ814=8,AZ814=9),"",IF(OR(AW814=3,AW814=4,AW814=5,AW814=6),VLOOKUP(AU814,INDEX((係数_バス貨物_ガソリン,係数_バス貨物_CNG,係数_バス貨物_軽油,係数_バス貨物_メタノール,係数_バス貨物_LPG),MATCH(AY814,【参考】排出係数!$AI$4:$AI$671,1),1,BE814):INDEX((係数_バス貨物_ガソリン,係数_バス貨物_CNG,係数_バス貨物_軽油,係数_バス貨物_メタノール,係数_バス貨物_LPG),MATCH(AY814+1,【参考】排出係数!$AI$4:$AI$671,1)-1,5,BE814),3,FALSE),IF(OR(AW814=1,AW814=2),VLOOKUP(AU814,INDEX((係数_乗用_ガソリン,係数_乗用_CNG,係数_乗用_軽油,係数_乗用_メタノール,係数_乗用_LPG),1,1,BE814):INDEX((係数_乗用_ガソリン,係数_乗用_CNG,係数_乗用_軽油,係数_乗用_メタノール,係数_乗用_LPG),125,5,BE814),3,FALSE))))))</f>
        <v/>
      </c>
      <c r="BC814" s="467" t="str">
        <f t="shared" si="444"/>
        <v/>
      </c>
      <c r="BD814" s="567" t="str">
        <f t="shared" si="445"/>
        <v/>
      </c>
      <c r="BE814" s="467" t="str">
        <f t="shared" si="446"/>
        <v/>
      </c>
      <c r="BF814" s="469" t="str">
        <f t="shared" ca="1" si="447"/>
        <v/>
      </c>
      <c r="BG814" s="469" t="str">
        <f t="shared" ca="1" si="448"/>
        <v/>
      </c>
      <c r="BH814" s="467" t="str">
        <f t="shared" si="449"/>
        <v/>
      </c>
      <c r="BI814" s="467" t="str">
        <f t="shared" ca="1" si="450"/>
        <v/>
      </c>
      <c r="BJ814" s="469" t="str">
        <f t="shared" si="451"/>
        <v/>
      </c>
      <c r="BK814" s="470" t="str">
        <f t="shared" si="435"/>
        <v/>
      </c>
      <c r="BL814" s="775" t="str">
        <f t="shared" si="452"/>
        <v/>
      </c>
      <c r="BM814" s="775" t="str">
        <f t="shared" si="453"/>
        <v/>
      </c>
    </row>
    <row r="815" spans="1:65">
      <c r="A815" s="473">
        <v>759</v>
      </c>
      <c r="B815" s="132"/>
      <c r="C815" s="332"/>
      <c r="D815" s="333"/>
      <c r="E815" s="333"/>
      <c r="F815" s="334"/>
      <c r="G815" s="337"/>
      <c r="H815" s="131"/>
      <c r="I815" s="337"/>
      <c r="J815" s="131"/>
      <c r="K815" s="458" t="str">
        <f t="shared" si="454"/>
        <v/>
      </c>
      <c r="L815" s="458">
        <f t="shared" si="455"/>
        <v>0</v>
      </c>
      <c r="M815" s="458">
        <f t="shared" si="456"/>
        <v>0</v>
      </c>
      <c r="N815" s="459" t="str">
        <f t="shared" si="429"/>
        <v/>
      </c>
      <c r="O815" s="459" t="str">
        <f t="shared" si="430"/>
        <v/>
      </c>
      <c r="P815" s="459" t="str">
        <f t="shared" si="431"/>
        <v/>
      </c>
      <c r="Q815" s="459" t="str">
        <f t="shared" si="432"/>
        <v/>
      </c>
      <c r="R815" s="459" t="str">
        <f t="shared" si="433"/>
        <v/>
      </c>
      <c r="S815" s="459" t="str">
        <f t="shared" si="434"/>
        <v/>
      </c>
      <c r="T815" s="566" t="str">
        <f t="shared" si="457"/>
        <v/>
      </c>
      <c r="U815" s="702"/>
      <c r="V815" s="132"/>
      <c r="W815" s="133"/>
      <c r="X815" s="134"/>
      <c r="Y815" s="135"/>
      <c r="Z815" s="137"/>
      <c r="AA815" s="136"/>
      <c r="AB815" s="566" t="str">
        <f t="shared" si="458"/>
        <v/>
      </c>
      <c r="AC815" s="568" t="str">
        <f t="shared" si="459"/>
        <v/>
      </c>
      <c r="AD815" s="137"/>
      <c r="AE815" s="137"/>
      <c r="AF815" s="138"/>
      <c r="AG815" s="138"/>
      <c r="AH815" s="592" t="str">
        <f t="shared" si="460"/>
        <v/>
      </c>
      <c r="AI815" s="592" t="str">
        <f t="shared" si="461"/>
        <v/>
      </c>
      <c r="AJ815" s="592" t="str">
        <f t="shared" si="462"/>
        <v/>
      </c>
      <c r="AK815" s="460" t="str">
        <f>IF(AU815="","",IF(OR(AZ815=8,AZ815=9),0,IF(OR(AW815=3,AW815=4,AW815=5,AW815=6),IF(LEFT(BF815,1)="1",INDEX(係数_NOX・PM低減,MATCH(AY815,【参考】排出係数!$AI$801:$AI$804,1),1),VLOOKUP(AU815,INDEX((係数_バス貨物_ガソリン,係数_バス貨物_CNG,係数_バス貨物_軽油,係数_バス貨物_メタノール,係数_バス貨物_LPG),MATCH(AY815,【参考】排出係数!$AI$4:$AI$671,1),1,BE815):INDEX((係数_バス貨物_ガソリン,係数_バス貨物_CNG,係数_バス貨物_軽油,係数_バス貨物_メタノール,係数_バス貨物_LPG),MATCH(AY815+1,【参考】排出係数!$AI$4:$AI$671,1)-1,5,BE815),4,FALSE)),IF(AND(BE815=3,LEFT(BF815,1)="1"),0.48,VLOOKUP(AU815,INDEX((係数_乗用_ガソリン,係数_乗用_CNG,係数_乗用_軽油,係数_乗用_メタノール,係数_乗用_LPG),1,1,BE815):INDEX((係数_乗用_ガソリン,係数_乗用_CNG,係数_乗用_軽油,係数_乗用_メタノール,係数_乗用_LPG),125,5,BE815),4,FALSE)))))</f>
        <v/>
      </c>
      <c r="AL815" s="461" t="str">
        <f t="shared" si="463"/>
        <v/>
      </c>
      <c r="AM815" s="460" t="str">
        <f>IF(AU815="","",IF(OR(AZ815=8,AZ815=9),0,IF(OR(AW815=3,AW815=4,AW815=5,AW815=6),IF(LEFT(BH815,1)="1",INDEX(係数_PM低減,MATCH(AY815,【参考】排出係数!$AI$801:$AI$804,1),MATCH(BI815,【参考】排出係数!$AL$798:$AO$798,1)),VLOOKUP(AU815,INDEX((係数_バス貨物_ガソリン,係数_バス貨物_CNG,係数_バス貨物_軽油,係数_バス貨物_メタノール,係数_バス貨物_LPG),MATCH(AY815,【参考】排出係数!$AI$4:$AI$671,1),1,BE815):INDEX((係数_バス貨物_ガソリン,係数_バス貨物_CNG,係数_バス貨物_軽油,係数_バス貨物_メタノール,係数_バス貨物_LPG),MATCH(AY815+1,【参考】排出係数!$AI$4:$AI$671,1)-1,5,BE815),5,FALSE)),IF(AND(BE815=3,LEFT(BF815,1)="1"),0.055,VLOOKUP(AU815,INDEX((係数_乗用_ガソリン,係数_乗用_CNG,係数_乗用_軽油,係数_乗用_メタノール,係数_乗用_LPG),1,1,BE815):INDEX((係数_乗用_ガソリン,係数_乗用_CNG,係数_乗用_軽油,係数_乗用_メタノール,係数_乗用_LPG),125,5,BE815),5,FALSE)))))</f>
        <v/>
      </c>
      <c r="AN815" s="461" t="str">
        <f t="shared" si="464"/>
        <v/>
      </c>
      <c r="AO815" s="462" t="str">
        <f t="shared" si="465"/>
        <v/>
      </c>
      <c r="AP815" s="463" t="str">
        <f t="shared" si="466"/>
        <v/>
      </c>
      <c r="AQ815" s="464"/>
      <c r="AR815" s="619"/>
      <c r="AS815" s="465" t="str">
        <f t="shared" si="436"/>
        <v/>
      </c>
      <c r="AT815" s="465" t="str">
        <f t="shared" si="437"/>
        <v/>
      </c>
      <c r="AU815" s="466" t="str">
        <f t="shared" si="438"/>
        <v/>
      </c>
      <c r="AV815" s="467" t="str">
        <f t="shared" si="439"/>
        <v/>
      </c>
      <c r="AW815" s="467" t="str">
        <f t="shared" si="440"/>
        <v/>
      </c>
      <c r="AX815" s="467" t="str">
        <f t="shared" si="441"/>
        <v/>
      </c>
      <c r="AY815" s="467" t="str">
        <f t="shared" si="442"/>
        <v/>
      </c>
      <c r="AZ815" s="467" t="str">
        <f t="shared" si="443"/>
        <v/>
      </c>
      <c r="BA815" s="468" t="str">
        <f>IF(AS815="","",IF(OR(AU815="",AU815="-"),"－",IF(OR(AZ815=8,AZ815=9),"",IF(OR(AW815=3,AW815=4,AW815=5,AW815=6),VLOOKUP(AU815,INDEX((係数_バス貨物_ガソリン,係数_バス貨物_CNG,係数_バス貨物_軽油,係数_バス貨物_メタノール,係数_バス貨物_LPG),MATCH(AY815,【参考】排出係数!$AI$4:$AI$671,1),1,BE815):INDEX((係数_バス貨物_ガソリン,係数_バス貨物_CNG,係数_バス貨物_軽油,係数_バス貨物_メタノール,係数_バス貨物_LPG),MATCH(AY815+1,【参考】排出係数!$AI$4:$AI$671,1)-1,5,BE815),2,FALSE),IF(OR(AW815=1,AW815=2),VLOOKUP(AU815,INDEX((係数_乗用_ガソリン,係数_乗用_CNG,係数_乗用_軽油,係数_乗用_メタノール,係数_乗用_LPG),1,1,BE815):INDEX((係数_乗用_ガソリン,係数_乗用_CNG,係数_乗用_軽油,係数_乗用_メタノール,係数_乗用_LPG),125,5,BE815),2,FALSE))))))</f>
        <v/>
      </c>
      <c r="BB815" s="468" t="str">
        <f>IF(T815="","",IF(OR(AU815="",AU815="-"),"－",IF(OR(AZ815=8,AZ815=9),"",IF(OR(AW815=3,AW815=4,AW815=5,AW815=6),VLOOKUP(AU815,INDEX((係数_バス貨物_ガソリン,係数_バス貨物_CNG,係数_バス貨物_軽油,係数_バス貨物_メタノール,係数_バス貨物_LPG),MATCH(AY815,【参考】排出係数!$AI$4:$AI$671,1),1,BE815):INDEX((係数_バス貨物_ガソリン,係数_バス貨物_CNG,係数_バス貨物_軽油,係数_バス貨物_メタノール,係数_バス貨物_LPG),MATCH(AY815+1,【参考】排出係数!$AI$4:$AI$671,1)-1,5,BE815),3,FALSE),IF(OR(AW815=1,AW815=2),VLOOKUP(AU815,INDEX((係数_乗用_ガソリン,係数_乗用_CNG,係数_乗用_軽油,係数_乗用_メタノール,係数_乗用_LPG),1,1,BE815):INDEX((係数_乗用_ガソリン,係数_乗用_CNG,係数_乗用_軽油,係数_乗用_メタノール,係数_乗用_LPG),125,5,BE815),3,FALSE))))))</f>
        <v/>
      </c>
      <c r="BC815" s="467" t="str">
        <f t="shared" si="444"/>
        <v/>
      </c>
      <c r="BD815" s="567" t="str">
        <f t="shared" si="445"/>
        <v/>
      </c>
      <c r="BE815" s="467" t="str">
        <f t="shared" si="446"/>
        <v/>
      </c>
      <c r="BF815" s="469" t="str">
        <f t="shared" ca="1" si="447"/>
        <v/>
      </c>
      <c r="BG815" s="469" t="str">
        <f t="shared" ca="1" si="448"/>
        <v/>
      </c>
      <c r="BH815" s="467" t="str">
        <f t="shared" si="449"/>
        <v/>
      </c>
      <c r="BI815" s="467" t="str">
        <f t="shared" ca="1" si="450"/>
        <v/>
      </c>
      <c r="BJ815" s="469" t="str">
        <f t="shared" si="451"/>
        <v/>
      </c>
      <c r="BK815" s="470" t="str">
        <f t="shared" si="435"/>
        <v/>
      </c>
      <c r="BL815" s="775" t="str">
        <f t="shared" si="452"/>
        <v/>
      </c>
      <c r="BM815" s="775" t="str">
        <f t="shared" si="453"/>
        <v/>
      </c>
    </row>
    <row r="816" spans="1:65">
      <c r="A816" s="473">
        <v>760</v>
      </c>
      <c r="B816" s="132"/>
      <c r="C816" s="332"/>
      <c r="D816" s="333"/>
      <c r="E816" s="333"/>
      <c r="F816" s="334"/>
      <c r="G816" s="337"/>
      <c r="H816" s="131"/>
      <c r="I816" s="337"/>
      <c r="J816" s="131"/>
      <c r="K816" s="458" t="str">
        <f t="shared" si="454"/>
        <v/>
      </c>
      <c r="L816" s="458">
        <f t="shared" si="455"/>
        <v>0</v>
      </c>
      <c r="M816" s="458">
        <f t="shared" si="456"/>
        <v>0</v>
      </c>
      <c r="N816" s="459" t="str">
        <f t="shared" si="429"/>
        <v/>
      </c>
      <c r="O816" s="459" t="str">
        <f t="shared" si="430"/>
        <v/>
      </c>
      <c r="P816" s="459" t="str">
        <f t="shared" si="431"/>
        <v/>
      </c>
      <c r="Q816" s="459" t="str">
        <f t="shared" si="432"/>
        <v/>
      </c>
      <c r="R816" s="459" t="str">
        <f t="shared" si="433"/>
        <v/>
      </c>
      <c r="S816" s="459" t="str">
        <f t="shared" si="434"/>
        <v/>
      </c>
      <c r="T816" s="566" t="str">
        <f t="shared" si="457"/>
        <v/>
      </c>
      <c r="U816" s="702"/>
      <c r="V816" s="132"/>
      <c r="W816" s="133"/>
      <c r="X816" s="134"/>
      <c r="Y816" s="135"/>
      <c r="Z816" s="137"/>
      <c r="AA816" s="136"/>
      <c r="AB816" s="566" t="str">
        <f t="shared" si="458"/>
        <v/>
      </c>
      <c r="AC816" s="568" t="str">
        <f t="shared" si="459"/>
        <v/>
      </c>
      <c r="AD816" s="137"/>
      <c r="AE816" s="137"/>
      <c r="AF816" s="138"/>
      <c r="AG816" s="138"/>
      <c r="AH816" s="592" t="str">
        <f t="shared" si="460"/>
        <v/>
      </c>
      <c r="AI816" s="592" t="str">
        <f t="shared" si="461"/>
        <v/>
      </c>
      <c r="AJ816" s="592" t="str">
        <f t="shared" si="462"/>
        <v/>
      </c>
      <c r="AK816" s="460" t="str">
        <f>IF(AU816="","",IF(OR(AZ816=8,AZ816=9),0,IF(OR(AW816=3,AW816=4,AW816=5,AW816=6),IF(LEFT(BF816,1)="1",INDEX(係数_NOX・PM低減,MATCH(AY816,【参考】排出係数!$AI$801:$AI$804,1),1),VLOOKUP(AU816,INDEX((係数_バス貨物_ガソリン,係数_バス貨物_CNG,係数_バス貨物_軽油,係数_バス貨物_メタノール,係数_バス貨物_LPG),MATCH(AY816,【参考】排出係数!$AI$4:$AI$671,1),1,BE816):INDEX((係数_バス貨物_ガソリン,係数_バス貨物_CNG,係数_バス貨物_軽油,係数_バス貨物_メタノール,係数_バス貨物_LPG),MATCH(AY816+1,【参考】排出係数!$AI$4:$AI$671,1)-1,5,BE816),4,FALSE)),IF(AND(BE816=3,LEFT(BF816,1)="1"),0.48,VLOOKUP(AU816,INDEX((係数_乗用_ガソリン,係数_乗用_CNG,係数_乗用_軽油,係数_乗用_メタノール,係数_乗用_LPG),1,1,BE816):INDEX((係数_乗用_ガソリン,係数_乗用_CNG,係数_乗用_軽油,係数_乗用_メタノール,係数_乗用_LPG),125,5,BE816),4,FALSE)))))</f>
        <v/>
      </c>
      <c r="AL816" s="461" t="str">
        <f t="shared" si="463"/>
        <v/>
      </c>
      <c r="AM816" s="460" t="str">
        <f>IF(AU816="","",IF(OR(AZ816=8,AZ816=9),0,IF(OR(AW816=3,AW816=4,AW816=5,AW816=6),IF(LEFT(BH816,1)="1",INDEX(係数_PM低減,MATCH(AY816,【参考】排出係数!$AI$801:$AI$804,1),MATCH(BI816,【参考】排出係数!$AL$798:$AO$798,1)),VLOOKUP(AU816,INDEX((係数_バス貨物_ガソリン,係数_バス貨物_CNG,係数_バス貨物_軽油,係数_バス貨物_メタノール,係数_バス貨物_LPG),MATCH(AY816,【参考】排出係数!$AI$4:$AI$671,1),1,BE816):INDEX((係数_バス貨物_ガソリン,係数_バス貨物_CNG,係数_バス貨物_軽油,係数_バス貨物_メタノール,係数_バス貨物_LPG),MATCH(AY816+1,【参考】排出係数!$AI$4:$AI$671,1)-1,5,BE816),5,FALSE)),IF(AND(BE816=3,LEFT(BF816,1)="1"),0.055,VLOOKUP(AU816,INDEX((係数_乗用_ガソリン,係数_乗用_CNG,係数_乗用_軽油,係数_乗用_メタノール,係数_乗用_LPG),1,1,BE816):INDEX((係数_乗用_ガソリン,係数_乗用_CNG,係数_乗用_軽油,係数_乗用_メタノール,係数_乗用_LPG),125,5,BE816),5,FALSE)))))</f>
        <v/>
      </c>
      <c r="AN816" s="461" t="str">
        <f t="shared" si="464"/>
        <v/>
      </c>
      <c r="AO816" s="462" t="str">
        <f t="shared" si="465"/>
        <v/>
      </c>
      <c r="AP816" s="463" t="str">
        <f t="shared" si="466"/>
        <v/>
      </c>
      <c r="AQ816" s="464"/>
      <c r="AR816" s="619"/>
      <c r="AS816" s="465" t="str">
        <f t="shared" si="436"/>
        <v/>
      </c>
      <c r="AT816" s="465" t="str">
        <f t="shared" si="437"/>
        <v/>
      </c>
      <c r="AU816" s="466" t="str">
        <f t="shared" si="438"/>
        <v/>
      </c>
      <c r="AV816" s="467" t="str">
        <f t="shared" si="439"/>
        <v/>
      </c>
      <c r="AW816" s="467" t="str">
        <f t="shared" si="440"/>
        <v/>
      </c>
      <c r="AX816" s="467" t="str">
        <f t="shared" si="441"/>
        <v/>
      </c>
      <c r="AY816" s="467" t="str">
        <f t="shared" si="442"/>
        <v/>
      </c>
      <c r="AZ816" s="467" t="str">
        <f t="shared" si="443"/>
        <v/>
      </c>
      <c r="BA816" s="468" t="str">
        <f>IF(AS816="","",IF(OR(AU816="",AU816="-"),"－",IF(OR(AZ816=8,AZ816=9),"",IF(OR(AW816=3,AW816=4,AW816=5,AW816=6),VLOOKUP(AU816,INDEX((係数_バス貨物_ガソリン,係数_バス貨物_CNG,係数_バス貨物_軽油,係数_バス貨物_メタノール,係数_バス貨物_LPG),MATCH(AY816,【参考】排出係数!$AI$4:$AI$671,1),1,BE816):INDEX((係数_バス貨物_ガソリン,係数_バス貨物_CNG,係数_バス貨物_軽油,係数_バス貨物_メタノール,係数_バス貨物_LPG),MATCH(AY816+1,【参考】排出係数!$AI$4:$AI$671,1)-1,5,BE816),2,FALSE),IF(OR(AW816=1,AW816=2),VLOOKUP(AU816,INDEX((係数_乗用_ガソリン,係数_乗用_CNG,係数_乗用_軽油,係数_乗用_メタノール,係数_乗用_LPG),1,1,BE816):INDEX((係数_乗用_ガソリン,係数_乗用_CNG,係数_乗用_軽油,係数_乗用_メタノール,係数_乗用_LPG),125,5,BE816),2,FALSE))))))</f>
        <v/>
      </c>
      <c r="BB816" s="468" t="str">
        <f>IF(T816="","",IF(OR(AU816="",AU816="-"),"－",IF(OR(AZ816=8,AZ816=9),"",IF(OR(AW816=3,AW816=4,AW816=5,AW816=6),VLOOKUP(AU816,INDEX((係数_バス貨物_ガソリン,係数_バス貨物_CNG,係数_バス貨物_軽油,係数_バス貨物_メタノール,係数_バス貨物_LPG),MATCH(AY816,【参考】排出係数!$AI$4:$AI$671,1),1,BE816):INDEX((係数_バス貨物_ガソリン,係数_バス貨物_CNG,係数_バス貨物_軽油,係数_バス貨物_メタノール,係数_バス貨物_LPG),MATCH(AY816+1,【参考】排出係数!$AI$4:$AI$671,1)-1,5,BE816),3,FALSE),IF(OR(AW816=1,AW816=2),VLOOKUP(AU816,INDEX((係数_乗用_ガソリン,係数_乗用_CNG,係数_乗用_軽油,係数_乗用_メタノール,係数_乗用_LPG),1,1,BE816):INDEX((係数_乗用_ガソリン,係数_乗用_CNG,係数_乗用_軽油,係数_乗用_メタノール,係数_乗用_LPG),125,5,BE816),3,FALSE))))))</f>
        <v/>
      </c>
      <c r="BC816" s="467" t="str">
        <f t="shared" si="444"/>
        <v/>
      </c>
      <c r="BD816" s="567" t="str">
        <f t="shared" si="445"/>
        <v/>
      </c>
      <c r="BE816" s="467" t="str">
        <f t="shared" si="446"/>
        <v/>
      </c>
      <c r="BF816" s="469" t="str">
        <f t="shared" ca="1" si="447"/>
        <v/>
      </c>
      <c r="BG816" s="469" t="str">
        <f t="shared" ca="1" si="448"/>
        <v/>
      </c>
      <c r="BH816" s="467" t="str">
        <f t="shared" si="449"/>
        <v/>
      </c>
      <c r="BI816" s="467" t="str">
        <f t="shared" ca="1" si="450"/>
        <v/>
      </c>
      <c r="BJ816" s="469" t="str">
        <f t="shared" si="451"/>
        <v/>
      </c>
      <c r="BK816" s="470" t="str">
        <f t="shared" si="435"/>
        <v/>
      </c>
      <c r="BL816" s="775" t="str">
        <f t="shared" si="452"/>
        <v/>
      </c>
      <c r="BM816" s="775" t="str">
        <f t="shared" si="453"/>
        <v/>
      </c>
    </row>
    <row r="817" spans="1:65">
      <c r="A817" s="473">
        <v>761</v>
      </c>
      <c r="B817" s="132"/>
      <c r="C817" s="332"/>
      <c r="D817" s="333"/>
      <c r="E817" s="333"/>
      <c r="F817" s="334"/>
      <c r="G817" s="337"/>
      <c r="H817" s="131"/>
      <c r="I817" s="337"/>
      <c r="J817" s="131"/>
      <c r="K817" s="458" t="str">
        <f t="shared" si="454"/>
        <v/>
      </c>
      <c r="L817" s="458">
        <f t="shared" si="455"/>
        <v>0</v>
      </c>
      <c r="M817" s="458">
        <f t="shared" si="456"/>
        <v>0</v>
      </c>
      <c r="N817" s="459" t="str">
        <f t="shared" si="429"/>
        <v/>
      </c>
      <c r="O817" s="459" t="str">
        <f t="shared" si="430"/>
        <v/>
      </c>
      <c r="P817" s="459" t="str">
        <f t="shared" si="431"/>
        <v/>
      </c>
      <c r="Q817" s="459" t="str">
        <f t="shared" si="432"/>
        <v/>
      </c>
      <c r="R817" s="459" t="str">
        <f t="shared" si="433"/>
        <v/>
      </c>
      <c r="S817" s="459" t="str">
        <f t="shared" si="434"/>
        <v/>
      </c>
      <c r="T817" s="566" t="str">
        <f t="shared" si="457"/>
        <v/>
      </c>
      <c r="U817" s="702"/>
      <c r="V817" s="132"/>
      <c r="W817" s="133"/>
      <c r="X817" s="134"/>
      <c r="Y817" s="135"/>
      <c r="Z817" s="137"/>
      <c r="AA817" s="136"/>
      <c r="AB817" s="566" t="str">
        <f t="shared" si="458"/>
        <v/>
      </c>
      <c r="AC817" s="568" t="str">
        <f t="shared" si="459"/>
        <v/>
      </c>
      <c r="AD817" s="137"/>
      <c r="AE817" s="137"/>
      <c r="AF817" s="138"/>
      <c r="AG817" s="138"/>
      <c r="AH817" s="592" t="str">
        <f t="shared" si="460"/>
        <v/>
      </c>
      <c r="AI817" s="592" t="str">
        <f t="shared" si="461"/>
        <v/>
      </c>
      <c r="AJ817" s="592" t="str">
        <f t="shared" si="462"/>
        <v/>
      </c>
      <c r="AK817" s="460" t="str">
        <f>IF(AU817="","",IF(OR(AZ817=8,AZ817=9),0,IF(OR(AW817=3,AW817=4,AW817=5,AW817=6),IF(LEFT(BF817,1)="1",INDEX(係数_NOX・PM低減,MATCH(AY817,【参考】排出係数!$AI$801:$AI$804,1),1),VLOOKUP(AU817,INDEX((係数_バス貨物_ガソリン,係数_バス貨物_CNG,係数_バス貨物_軽油,係数_バス貨物_メタノール,係数_バス貨物_LPG),MATCH(AY817,【参考】排出係数!$AI$4:$AI$671,1),1,BE817):INDEX((係数_バス貨物_ガソリン,係数_バス貨物_CNG,係数_バス貨物_軽油,係数_バス貨物_メタノール,係数_バス貨物_LPG),MATCH(AY817+1,【参考】排出係数!$AI$4:$AI$671,1)-1,5,BE817),4,FALSE)),IF(AND(BE817=3,LEFT(BF817,1)="1"),0.48,VLOOKUP(AU817,INDEX((係数_乗用_ガソリン,係数_乗用_CNG,係数_乗用_軽油,係数_乗用_メタノール,係数_乗用_LPG),1,1,BE817):INDEX((係数_乗用_ガソリン,係数_乗用_CNG,係数_乗用_軽油,係数_乗用_メタノール,係数_乗用_LPG),125,5,BE817),4,FALSE)))))</f>
        <v/>
      </c>
      <c r="AL817" s="461" t="str">
        <f t="shared" si="463"/>
        <v/>
      </c>
      <c r="AM817" s="460" t="str">
        <f>IF(AU817="","",IF(OR(AZ817=8,AZ817=9),0,IF(OR(AW817=3,AW817=4,AW817=5,AW817=6),IF(LEFT(BH817,1)="1",INDEX(係数_PM低減,MATCH(AY817,【参考】排出係数!$AI$801:$AI$804,1),MATCH(BI817,【参考】排出係数!$AL$798:$AO$798,1)),VLOOKUP(AU817,INDEX((係数_バス貨物_ガソリン,係数_バス貨物_CNG,係数_バス貨物_軽油,係数_バス貨物_メタノール,係数_バス貨物_LPG),MATCH(AY817,【参考】排出係数!$AI$4:$AI$671,1),1,BE817):INDEX((係数_バス貨物_ガソリン,係数_バス貨物_CNG,係数_バス貨物_軽油,係数_バス貨物_メタノール,係数_バス貨物_LPG),MATCH(AY817+1,【参考】排出係数!$AI$4:$AI$671,1)-1,5,BE817),5,FALSE)),IF(AND(BE817=3,LEFT(BF817,1)="1"),0.055,VLOOKUP(AU817,INDEX((係数_乗用_ガソリン,係数_乗用_CNG,係数_乗用_軽油,係数_乗用_メタノール,係数_乗用_LPG),1,1,BE817):INDEX((係数_乗用_ガソリン,係数_乗用_CNG,係数_乗用_軽油,係数_乗用_メタノール,係数_乗用_LPG),125,5,BE817),5,FALSE)))))</f>
        <v/>
      </c>
      <c r="AN817" s="461" t="str">
        <f t="shared" si="464"/>
        <v/>
      </c>
      <c r="AO817" s="462" t="str">
        <f t="shared" si="465"/>
        <v/>
      </c>
      <c r="AP817" s="463" t="str">
        <f t="shared" si="466"/>
        <v/>
      </c>
      <c r="AQ817" s="464"/>
      <c r="AR817" s="619"/>
      <c r="AS817" s="465" t="str">
        <f t="shared" si="436"/>
        <v/>
      </c>
      <c r="AT817" s="465" t="str">
        <f t="shared" si="437"/>
        <v/>
      </c>
      <c r="AU817" s="466" t="str">
        <f t="shared" si="438"/>
        <v/>
      </c>
      <c r="AV817" s="467" t="str">
        <f t="shared" si="439"/>
        <v/>
      </c>
      <c r="AW817" s="467" t="str">
        <f t="shared" si="440"/>
        <v/>
      </c>
      <c r="AX817" s="467" t="str">
        <f t="shared" si="441"/>
        <v/>
      </c>
      <c r="AY817" s="467" t="str">
        <f t="shared" si="442"/>
        <v/>
      </c>
      <c r="AZ817" s="467" t="str">
        <f t="shared" si="443"/>
        <v/>
      </c>
      <c r="BA817" s="468" t="str">
        <f>IF(AS817="","",IF(OR(AU817="",AU817="-"),"－",IF(OR(AZ817=8,AZ817=9),"",IF(OR(AW817=3,AW817=4,AW817=5,AW817=6),VLOOKUP(AU817,INDEX((係数_バス貨物_ガソリン,係数_バス貨物_CNG,係数_バス貨物_軽油,係数_バス貨物_メタノール,係数_バス貨物_LPG),MATCH(AY817,【参考】排出係数!$AI$4:$AI$671,1),1,BE817):INDEX((係数_バス貨物_ガソリン,係数_バス貨物_CNG,係数_バス貨物_軽油,係数_バス貨物_メタノール,係数_バス貨物_LPG),MATCH(AY817+1,【参考】排出係数!$AI$4:$AI$671,1)-1,5,BE817),2,FALSE),IF(OR(AW817=1,AW817=2),VLOOKUP(AU817,INDEX((係数_乗用_ガソリン,係数_乗用_CNG,係数_乗用_軽油,係数_乗用_メタノール,係数_乗用_LPG),1,1,BE817):INDEX((係数_乗用_ガソリン,係数_乗用_CNG,係数_乗用_軽油,係数_乗用_メタノール,係数_乗用_LPG),125,5,BE817),2,FALSE))))))</f>
        <v/>
      </c>
      <c r="BB817" s="468" t="str">
        <f>IF(T817="","",IF(OR(AU817="",AU817="-"),"－",IF(OR(AZ817=8,AZ817=9),"",IF(OR(AW817=3,AW817=4,AW817=5,AW817=6),VLOOKUP(AU817,INDEX((係数_バス貨物_ガソリン,係数_バス貨物_CNG,係数_バス貨物_軽油,係数_バス貨物_メタノール,係数_バス貨物_LPG),MATCH(AY817,【参考】排出係数!$AI$4:$AI$671,1),1,BE817):INDEX((係数_バス貨物_ガソリン,係数_バス貨物_CNG,係数_バス貨物_軽油,係数_バス貨物_メタノール,係数_バス貨物_LPG),MATCH(AY817+1,【参考】排出係数!$AI$4:$AI$671,1)-1,5,BE817),3,FALSE),IF(OR(AW817=1,AW817=2),VLOOKUP(AU817,INDEX((係数_乗用_ガソリン,係数_乗用_CNG,係数_乗用_軽油,係数_乗用_メタノール,係数_乗用_LPG),1,1,BE817):INDEX((係数_乗用_ガソリン,係数_乗用_CNG,係数_乗用_軽油,係数_乗用_メタノール,係数_乗用_LPG),125,5,BE817),3,FALSE))))))</f>
        <v/>
      </c>
      <c r="BC817" s="467" t="str">
        <f t="shared" si="444"/>
        <v/>
      </c>
      <c r="BD817" s="567" t="str">
        <f t="shared" si="445"/>
        <v/>
      </c>
      <c r="BE817" s="467" t="str">
        <f t="shared" si="446"/>
        <v/>
      </c>
      <c r="BF817" s="469" t="str">
        <f t="shared" ca="1" si="447"/>
        <v/>
      </c>
      <c r="BG817" s="469" t="str">
        <f t="shared" ca="1" si="448"/>
        <v/>
      </c>
      <c r="BH817" s="467" t="str">
        <f t="shared" si="449"/>
        <v/>
      </c>
      <c r="BI817" s="467" t="str">
        <f t="shared" ca="1" si="450"/>
        <v/>
      </c>
      <c r="BJ817" s="469" t="str">
        <f t="shared" si="451"/>
        <v/>
      </c>
      <c r="BK817" s="470" t="str">
        <f t="shared" si="435"/>
        <v/>
      </c>
      <c r="BL817" s="775" t="str">
        <f t="shared" si="452"/>
        <v/>
      </c>
      <c r="BM817" s="775" t="str">
        <f t="shared" si="453"/>
        <v/>
      </c>
    </row>
    <row r="818" spans="1:65">
      <c r="A818" s="473">
        <v>762</v>
      </c>
      <c r="B818" s="132"/>
      <c r="C818" s="332"/>
      <c r="D818" s="333"/>
      <c r="E818" s="333"/>
      <c r="F818" s="334"/>
      <c r="G818" s="337"/>
      <c r="H818" s="131"/>
      <c r="I818" s="337"/>
      <c r="J818" s="131"/>
      <c r="K818" s="458" t="str">
        <f t="shared" si="454"/>
        <v/>
      </c>
      <c r="L818" s="458">
        <f t="shared" si="455"/>
        <v>0</v>
      </c>
      <c r="M818" s="458">
        <f t="shared" si="456"/>
        <v>0</v>
      </c>
      <c r="N818" s="459" t="str">
        <f t="shared" si="429"/>
        <v/>
      </c>
      <c r="O818" s="459" t="str">
        <f t="shared" si="430"/>
        <v/>
      </c>
      <c r="P818" s="459" t="str">
        <f t="shared" si="431"/>
        <v/>
      </c>
      <c r="Q818" s="459" t="str">
        <f t="shared" si="432"/>
        <v/>
      </c>
      <c r="R818" s="459" t="str">
        <f t="shared" si="433"/>
        <v/>
      </c>
      <c r="S818" s="459" t="str">
        <f t="shared" si="434"/>
        <v/>
      </c>
      <c r="T818" s="566" t="str">
        <f t="shared" si="457"/>
        <v/>
      </c>
      <c r="U818" s="702"/>
      <c r="V818" s="132"/>
      <c r="W818" s="133"/>
      <c r="X818" s="134"/>
      <c r="Y818" s="135"/>
      <c r="Z818" s="137"/>
      <c r="AA818" s="136"/>
      <c r="AB818" s="566" t="str">
        <f t="shared" si="458"/>
        <v/>
      </c>
      <c r="AC818" s="568" t="str">
        <f t="shared" si="459"/>
        <v/>
      </c>
      <c r="AD818" s="137"/>
      <c r="AE818" s="137"/>
      <c r="AF818" s="138"/>
      <c r="AG818" s="138"/>
      <c r="AH818" s="592" t="str">
        <f t="shared" si="460"/>
        <v/>
      </c>
      <c r="AI818" s="592" t="str">
        <f t="shared" si="461"/>
        <v/>
      </c>
      <c r="AJ818" s="592" t="str">
        <f t="shared" si="462"/>
        <v/>
      </c>
      <c r="AK818" s="460" t="str">
        <f>IF(AU818="","",IF(OR(AZ818=8,AZ818=9),0,IF(OR(AW818=3,AW818=4,AW818=5,AW818=6),IF(LEFT(BF818,1)="1",INDEX(係数_NOX・PM低減,MATCH(AY818,【参考】排出係数!$AI$801:$AI$804,1),1),VLOOKUP(AU818,INDEX((係数_バス貨物_ガソリン,係数_バス貨物_CNG,係数_バス貨物_軽油,係数_バス貨物_メタノール,係数_バス貨物_LPG),MATCH(AY818,【参考】排出係数!$AI$4:$AI$671,1),1,BE818):INDEX((係数_バス貨物_ガソリン,係数_バス貨物_CNG,係数_バス貨物_軽油,係数_バス貨物_メタノール,係数_バス貨物_LPG),MATCH(AY818+1,【参考】排出係数!$AI$4:$AI$671,1)-1,5,BE818),4,FALSE)),IF(AND(BE818=3,LEFT(BF818,1)="1"),0.48,VLOOKUP(AU818,INDEX((係数_乗用_ガソリン,係数_乗用_CNG,係数_乗用_軽油,係数_乗用_メタノール,係数_乗用_LPG),1,1,BE818):INDEX((係数_乗用_ガソリン,係数_乗用_CNG,係数_乗用_軽油,係数_乗用_メタノール,係数_乗用_LPG),125,5,BE818),4,FALSE)))))</f>
        <v/>
      </c>
      <c r="AL818" s="461" t="str">
        <f t="shared" si="463"/>
        <v/>
      </c>
      <c r="AM818" s="460" t="str">
        <f>IF(AU818="","",IF(OR(AZ818=8,AZ818=9),0,IF(OR(AW818=3,AW818=4,AW818=5,AW818=6),IF(LEFT(BH818,1)="1",INDEX(係数_PM低減,MATCH(AY818,【参考】排出係数!$AI$801:$AI$804,1),MATCH(BI818,【参考】排出係数!$AL$798:$AO$798,1)),VLOOKUP(AU818,INDEX((係数_バス貨物_ガソリン,係数_バス貨物_CNG,係数_バス貨物_軽油,係数_バス貨物_メタノール,係数_バス貨物_LPG),MATCH(AY818,【参考】排出係数!$AI$4:$AI$671,1),1,BE818):INDEX((係数_バス貨物_ガソリン,係数_バス貨物_CNG,係数_バス貨物_軽油,係数_バス貨物_メタノール,係数_バス貨物_LPG),MATCH(AY818+1,【参考】排出係数!$AI$4:$AI$671,1)-1,5,BE818),5,FALSE)),IF(AND(BE818=3,LEFT(BF818,1)="1"),0.055,VLOOKUP(AU818,INDEX((係数_乗用_ガソリン,係数_乗用_CNG,係数_乗用_軽油,係数_乗用_メタノール,係数_乗用_LPG),1,1,BE818):INDEX((係数_乗用_ガソリン,係数_乗用_CNG,係数_乗用_軽油,係数_乗用_メタノール,係数_乗用_LPG),125,5,BE818),5,FALSE)))))</f>
        <v/>
      </c>
      <c r="AN818" s="461" t="str">
        <f t="shared" si="464"/>
        <v/>
      </c>
      <c r="AO818" s="462" t="str">
        <f t="shared" si="465"/>
        <v/>
      </c>
      <c r="AP818" s="463" t="str">
        <f t="shared" si="466"/>
        <v/>
      </c>
      <c r="AQ818" s="464"/>
      <c r="AR818" s="619"/>
      <c r="AS818" s="465" t="str">
        <f t="shared" si="436"/>
        <v/>
      </c>
      <c r="AT818" s="465" t="str">
        <f t="shared" si="437"/>
        <v/>
      </c>
      <c r="AU818" s="466" t="str">
        <f t="shared" si="438"/>
        <v/>
      </c>
      <c r="AV818" s="467" t="str">
        <f t="shared" si="439"/>
        <v/>
      </c>
      <c r="AW818" s="467" t="str">
        <f t="shared" si="440"/>
        <v/>
      </c>
      <c r="AX818" s="467" t="str">
        <f t="shared" si="441"/>
        <v/>
      </c>
      <c r="AY818" s="467" t="str">
        <f t="shared" si="442"/>
        <v/>
      </c>
      <c r="AZ818" s="467" t="str">
        <f t="shared" si="443"/>
        <v/>
      </c>
      <c r="BA818" s="468" t="str">
        <f>IF(AS818="","",IF(OR(AU818="",AU818="-"),"－",IF(OR(AZ818=8,AZ818=9),"",IF(OR(AW818=3,AW818=4,AW818=5,AW818=6),VLOOKUP(AU818,INDEX((係数_バス貨物_ガソリン,係数_バス貨物_CNG,係数_バス貨物_軽油,係数_バス貨物_メタノール,係数_バス貨物_LPG),MATCH(AY818,【参考】排出係数!$AI$4:$AI$671,1),1,BE818):INDEX((係数_バス貨物_ガソリン,係数_バス貨物_CNG,係数_バス貨物_軽油,係数_バス貨物_メタノール,係数_バス貨物_LPG),MATCH(AY818+1,【参考】排出係数!$AI$4:$AI$671,1)-1,5,BE818),2,FALSE),IF(OR(AW818=1,AW818=2),VLOOKUP(AU818,INDEX((係数_乗用_ガソリン,係数_乗用_CNG,係数_乗用_軽油,係数_乗用_メタノール,係数_乗用_LPG),1,1,BE818):INDEX((係数_乗用_ガソリン,係数_乗用_CNG,係数_乗用_軽油,係数_乗用_メタノール,係数_乗用_LPG),125,5,BE818),2,FALSE))))))</f>
        <v/>
      </c>
      <c r="BB818" s="468" t="str">
        <f>IF(T818="","",IF(OR(AU818="",AU818="-"),"－",IF(OR(AZ818=8,AZ818=9),"",IF(OR(AW818=3,AW818=4,AW818=5,AW818=6),VLOOKUP(AU818,INDEX((係数_バス貨物_ガソリン,係数_バス貨物_CNG,係数_バス貨物_軽油,係数_バス貨物_メタノール,係数_バス貨物_LPG),MATCH(AY818,【参考】排出係数!$AI$4:$AI$671,1),1,BE818):INDEX((係数_バス貨物_ガソリン,係数_バス貨物_CNG,係数_バス貨物_軽油,係数_バス貨物_メタノール,係数_バス貨物_LPG),MATCH(AY818+1,【参考】排出係数!$AI$4:$AI$671,1)-1,5,BE818),3,FALSE),IF(OR(AW818=1,AW818=2),VLOOKUP(AU818,INDEX((係数_乗用_ガソリン,係数_乗用_CNG,係数_乗用_軽油,係数_乗用_メタノール,係数_乗用_LPG),1,1,BE818):INDEX((係数_乗用_ガソリン,係数_乗用_CNG,係数_乗用_軽油,係数_乗用_メタノール,係数_乗用_LPG),125,5,BE818),3,FALSE))))))</f>
        <v/>
      </c>
      <c r="BC818" s="467" t="str">
        <f t="shared" si="444"/>
        <v/>
      </c>
      <c r="BD818" s="567" t="str">
        <f t="shared" si="445"/>
        <v/>
      </c>
      <c r="BE818" s="467" t="str">
        <f t="shared" si="446"/>
        <v/>
      </c>
      <c r="BF818" s="469" t="str">
        <f t="shared" ca="1" si="447"/>
        <v/>
      </c>
      <c r="BG818" s="469" t="str">
        <f t="shared" ca="1" si="448"/>
        <v/>
      </c>
      <c r="BH818" s="467" t="str">
        <f t="shared" si="449"/>
        <v/>
      </c>
      <c r="BI818" s="467" t="str">
        <f t="shared" ca="1" si="450"/>
        <v/>
      </c>
      <c r="BJ818" s="469" t="str">
        <f t="shared" si="451"/>
        <v/>
      </c>
      <c r="BK818" s="470" t="str">
        <f t="shared" si="435"/>
        <v/>
      </c>
      <c r="BL818" s="775" t="str">
        <f t="shared" si="452"/>
        <v/>
      </c>
      <c r="BM818" s="775" t="str">
        <f t="shared" si="453"/>
        <v/>
      </c>
    </row>
    <row r="819" spans="1:65">
      <c r="A819" s="473">
        <v>763</v>
      </c>
      <c r="B819" s="132"/>
      <c r="C819" s="332"/>
      <c r="D819" s="333"/>
      <c r="E819" s="333"/>
      <c r="F819" s="334"/>
      <c r="G819" s="337"/>
      <c r="H819" s="131"/>
      <c r="I819" s="337"/>
      <c r="J819" s="131"/>
      <c r="K819" s="458" t="str">
        <f t="shared" si="454"/>
        <v/>
      </c>
      <c r="L819" s="458">
        <f t="shared" si="455"/>
        <v>0</v>
      </c>
      <c r="M819" s="458">
        <f t="shared" si="456"/>
        <v>0</v>
      </c>
      <c r="N819" s="459" t="str">
        <f t="shared" si="429"/>
        <v/>
      </c>
      <c r="O819" s="459" t="str">
        <f t="shared" si="430"/>
        <v/>
      </c>
      <c r="P819" s="459" t="str">
        <f t="shared" si="431"/>
        <v/>
      </c>
      <c r="Q819" s="459" t="str">
        <f t="shared" si="432"/>
        <v/>
      </c>
      <c r="R819" s="459" t="str">
        <f t="shared" si="433"/>
        <v/>
      </c>
      <c r="S819" s="459" t="str">
        <f t="shared" si="434"/>
        <v/>
      </c>
      <c r="T819" s="566" t="str">
        <f t="shared" si="457"/>
        <v/>
      </c>
      <c r="U819" s="702"/>
      <c r="V819" s="132"/>
      <c r="W819" s="133"/>
      <c r="X819" s="134"/>
      <c r="Y819" s="135"/>
      <c r="Z819" s="137"/>
      <c r="AA819" s="136"/>
      <c r="AB819" s="566" t="str">
        <f t="shared" si="458"/>
        <v/>
      </c>
      <c r="AC819" s="568" t="str">
        <f t="shared" si="459"/>
        <v/>
      </c>
      <c r="AD819" s="137"/>
      <c r="AE819" s="137"/>
      <c r="AF819" s="138"/>
      <c r="AG819" s="138"/>
      <c r="AH819" s="592" t="str">
        <f t="shared" si="460"/>
        <v/>
      </c>
      <c r="AI819" s="592" t="str">
        <f t="shared" si="461"/>
        <v/>
      </c>
      <c r="AJ819" s="592" t="str">
        <f t="shared" si="462"/>
        <v/>
      </c>
      <c r="AK819" s="460" t="str">
        <f>IF(AU819="","",IF(OR(AZ819=8,AZ819=9),0,IF(OR(AW819=3,AW819=4,AW819=5,AW819=6),IF(LEFT(BF819,1)="1",INDEX(係数_NOX・PM低減,MATCH(AY819,【参考】排出係数!$AI$801:$AI$804,1),1),VLOOKUP(AU819,INDEX((係数_バス貨物_ガソリン,係数_バス貨物_CNG,係数_バス貨物_軽油,係数_バス貨物_メタノール,係数_バス貨物_LPG),MATCH(AY819,【参考】排出係数!$AI$4:$AI$671,1),1,BE819):INDEX((係数_バス貨物_ガソリン,係数_バス貨物_CNG,係数_バス貨物_軽油,係数_バス貨物_メタノール,係数_バス貨物_LPG),MATCH(AY819+1,【参考】排出係数!$AI$4:$AI$671,1)-1,5,BE819),4,FALSE)),IF(AND(BE819=3,LEFT(BF819,1)="1"),0.48,VLOOKUP(AU819,INDEX((係数_乗用_ガソリン,係数_乗用_CNG,係数_乗用_軽油,係数_乗用_メタノール,係数_乗用_LPG),1,1,BE819):INDEX((係数_乗用_ガソリン,係数_乗用_CNG,係数_乗用_軽油,係数_乗用_メタノール,係数_乗用_LPG),125,5,BE819),4,FALSE)))))</f>
        <v/>
      </c>
      <c r="AL819" s="461" t="str">
        <f t="shared" si="463"/>
        <v/>
      </c>
      <c r="AM819" s="460" t="str">
        <f>IF(AU819="","",IF(OR(AZ819=8,AZ819=9),0,IF(OR(AW819=3,AW819=4,AW819=5,AW819=6),IF(LEFT(BH819,1)="1",INDEX(係数_PM低減,MATCH(AY819,【参考】排出係数!$AI$801:$AI$804,1),MATCH(BI819,【参考】排出係数!$AL$798:$AO$798,1)),VLOOKUP(AU819,INDEX((係数_バス貨物_ガソリン,係数_バス貨物_CNG,係数_バス貨物_軽油,係数_バス貨物_メタノール,係数_バス貨物_LPG),MATCH(AY819,【参考】排出係数!$AI$4:$AI$671,1),1,BE819):INDEX((係数_バス貨物_ガソリン,係数_バス貨物_CNG,係数_バス貨物_軽油,係数_バス貨物_メタノール,係数_バス貨物_LPG),MATCH(AY819+1,【参考】排出係数!$AI$4:$AI$671,1)-1,5,BE819),5,FALSE)),IF(AND(BE819=3,LEFT(BF819,1)="1"),0.055,VLOOKUP(AU819,INDEX((係数_乗用_ガソリン,係数_乗用_CNG,係数_乗用_軽油,係数_乗用_メタノール,係数_乗用_LPG),1,1,BE819):INDEX((係数_乗用_ガソリン,係数_乗用_CNG,係数_乗用_軽油,係数_乗用_メタノール,係数_乗用_LPG),125,5,BE819),5,FALSE)))))</f>
        <v/>
      </c>
      <c r="AN819" s="461" t="str">
        <f t="shared" si="464"/>
        <v/>
      </c>
      <c r="AO819" s="462" t="str">
        <f t="shared" si="465"/>
        <v/>
      </c>
      <c r="AP819" s="463" t="str">
        <f t="shared" si="466"/>
        <v/>
      </c>
      <c r="AQ819" s="464"/>
      <c r="AR819" s="619"/>
      <c r="AS819" s="465" t="str">
        <f t="shared" si="436"/>
        <v/>
      </c>
      <c r="AT819" s="465" t="str">
        <f t="shared" si="437"/>
        <v/>
      </c>
      <c r="AU819" s="466" t="str">
        <f t="shared" si="438"/>
        <v/>
      </c>
      <c r="AV819" s="467" t="str">
        <f t="shared" si="439"/>
        <v/>
      </c>
      <c r="AW819" s="467" t="str">
        <f t="shared" si="440"/>
        <v/>
      </c>
      <c r="AX819" s="467" t="str">
        <f t="shared" si="441"/>
        <v/>
      </c>
      <c r="AY819" s="467" t="str">
        <f t="shared" si="442"/>
        <v/>
      </c>
      <c r="AZ819" s="467" t="str">
        <f t="shared" si="443"/>
        <v/>
      </c>
      <c r="BA819" s="468" t="str">
        <f>IF(AS819="","",IF(OR(AU819="",AU819="-"),"－",IF(OR(AZ819=8,AZ819=9),"",IF(OR(AW819=3,AW819=4,AW819=5,AW819=6),VLOOKUP(AU819,INDEX((係数_バス貨物_ガソリン,係数_バス貨物_CNG,係数_バス貨物_軽油,係数_バス貨物_メタノール,係数_バス貨物_LPG),MATCH(AY819,【参考】排出係数!$AI$4:$AI$671,1),1,BE819):INDEX((係数_バス貨物_ガソリン,係数_バス貨物_CNG,係数_バス貨物_軽油,係数_バス貨物_メタノール,係数_バス貨物_LPG),MATCH(AY819+1,【参考】排出係数!$AI$4:$AI$671,1)-1,5,BE819),2,FALSE),IF(OR(AW819=1,AW819=2),VLOOKUP(AU819,INDEX((係数_乗用_ガソリン,係数_乗用_CNG,係数_乗用_軽油,係数_乗用_メタノール,係数_乗用_LPG),1,1,BE819):INDEX((係数_乗用_ガソリン,係数_乗用_CNG,係数_乗用_軽油,係数_乗用_メタノール,係数_乗用_LPG),125,5,BE819),2,FALSE))))))</f>
        <v/>
      </c>
      <c r="BB819" s="468" t="str">
        <f>IF(T819="","",IF(OR(AU819="",AU819="-"),"－",IF(OR(AZ819=8,AZ819=9),"",IF(OR(AW819=3,AW819=4,AW819=5,AW819=6),VLOOKUP(AU819,INDEX((係数_バス貨物_ガソリン,係数_バス貨物_CNG,係数_バス貨物_軽油,係数_バス貨物_メタノール,係数_バス貨物_LPG),MATCH(AY819,【参考】排出係数!$AI$4:$AI$671,1),1,BE819):INDEX((係数_バス貨物_ガソリン,係数_バス貨物_CNG,係数_バス貨物_軽油,係数_バス貨物_メタノール,係数_バス貨物_LPG),MATCH(AY819+1,【参考】排出係数!$AI$4:$AI$671,1)-1,5,BE819),3,FALSE),IF(OR(AW819=1,AW819=2),VLOOKUP(AU819,INDEX((係数_乗用_ガソリン,係数_乗用_CNG,係数_乗用_軽油,係数_乗用_メタノール,係数_乗用_LPG),1,1,BE819):INDEX((係数_乗用_ガソリン,係数_乗用_CNG,係数_乗用_軽油,係数_乗用_メタノール,係数_乗用_LPG),125,5,BE819),3,FALSE))))))</f>
        <v/>
      </c>
      <c r="BC819" s="467" t="str">
        <f t="shared" si="444"/>
        <v/>
      </c>
      <c r="BD819" s="567" t="str">
        <f t="shared" si="445"/>
        <v/>
      </c>
      <c r="BE819" s="467" t="str">
        <f t="shared" si="446"/>
        <v/>
      </c>
      <c r="BF819" s="469" t="str">
        <f t="shared" ca="1" si="447"/>
        <v/>
      </c>
      <c r="BG819" s="469" t="str">
        <f t="shared" ca="1" si="448"/>
        <v/>
      </c>
      <c r="BH819" s="467" t="str">
        <f t="shared" si="449"/>
        <v/>
      </c>
      <c r="BI819" s="467" t="str">
        <f t="shared" ca="1" si="450"/>
        <v/>
      </c>
      <c r="BJ819" s="469" t="str">
        <f t="shared" si="451"/>
        <v/>
      </c>
      <c r="BK819" s="470" t="str">
        <f t="shared" si="435"/>
        <v/>
      </c>
      <c r="BL819" s="775" t="str">
        <f t="shared" si="452"/>
        <v/>
      </c>
      <c r="BM819" s="775" t="str">
        <f t="shared" si="453"/>
        <v/>
      </c>
    </row>
    <row r="820" spans="1:65">
      <c r="A820" s="473">
        <v>764</v>
      </c>
      <c r="B820" s="132"/>
      <c r="C820" s="332"/>
      <c r="D820" s="333"/>
      <c r="E820" s="333"/>
      <c r="F820" s="334"/>
      <c r="G820" s="337"/>
      <c r="H820" s="131"/>
      <c r="I820" s="337"/>
      <c r="J820" s="131"/>
      <c r="K820" s="458" t="str">
        <f t="shared" si="454"/>
        <v/>
      </c>
      <c r="L820" s="458">
        <f t="shared" si="455"/>
        <v>0</v>
      </c>
      <c r="M820" s="458">
        <f t="shared" si="456"/>
        <v>0</v>
      </c>
      <c r="N820" s="459" t="str">
        <f t="shared" si="429"/>
        <v/>
      </c>
      <c r="O820" s="459" t="str">
        <f t="shared" si="430"/>
        <v/>
      </c>
      <c r="P820" s="459" t="str">
        <f t="shared" si="431"/>
        <v/>
      </c>
      <c r="Q820" s="459" t="str">
        <f t="shared" si="432"/>
        <v/>
      </c>
      <c r="R820" s="459" t="str">
        <f t="shared" si="433"/>
        <v/>
      </c>
      <c r="S820" s="459" t="str">
        <f t="shared" si="434"/>
        <v/>
      </c>
      <c r="T820" s="566" t="str">
        <f t="shared" si="457"/>
        <v/>
      </c>
      <c r="U820" s="702"/>
      <c r="V820" s="132"/>
      <c r="W820" s="133"/>
      <c r="X820" s="134"/>
      <c r="Y820" s="135"/>
      <c r="Z820" s="137"/>
      <c r="AA820" s="136"/>
      <c r="AB820" s="566" t="str">
        <f t="shared" si="458"/>
        <v/>
      </c>
      <c r="AC820" s="568" t="str">
        <f t="shared" si="459"/>
        <v/>
      </c>
      <c r="AD820" s="137"/>
      <c r="AE820" s="137"/>
      <c r="AF820" s="138"/>
      <c r="AG820" s="138"/>
      <c r="AH820" s="592" t="str">
        <f t="shared" si="460"/>
        <v/>
      </c>
      <c r="AI820" s="592" t="str">
        <f t="shared" si="461"/>
        <v/>
      </c>
      <c r="AJ820" s="592" t="str">
        <f t="shared" si="462"/>
        <v/>
      </c>
      <c r="AK820" s="460" t="str">
        <f>IF(AU820="","",IF(OR(AZ820=8,AZ820=9),0,IF(OR(AW820=3,AW820=4,AW820=5,AW820=6),IF(LEFT(BF820,1)="1",INDEX(係数_NOX・PM低減,MATCH(AY820,【参考】排出係数!$AI$801:$AI$804,1),1),VLOOKUP(AU820,INDEX((係数_バス貨物_ガソリン,係数_バス貨物_CNG,係数_バス貨物_軽油,係数_バス貨物_メタノール,係数_バス貨物_LPG),MATCH(AY820,【参考】排出係数!$AI$4:$AI$671,1),1,BE820):INDEX((係数_バス貨物_ガソリン,係数_バス貨物_CNG,係数_バス貨物_軽油,係数_バス貨物_メタノール,係数_バス貨物_LPG),MATCH(AY820+1,【参考】排出係数!$AI$4:$AI$671,1)-1,5,BE820),4,FALSE)),IF(AND(BE820=3,LEFT(BF820,1)="1"),0.48,VLOOKUP(AU820,INDEX((係数_乗用_ガソリン,係数_乗用_CNG,係数_乗用_軽油,係数_乗用_メタノール,係数_乗用_LPG),1,1,BE820):INDEX((係数_乗用_ガソリン,係数_乗用_CNG,係数_乗用_軽油,係数_乗用_メタノール,係数_乗用_LPG),125,5,BE820),4,FALSE)))))</f>
        <v/>
      </c>
      <c r="AL820" s="461" t="str">
        <f t="shared" si="463"/>
        <v/>
      </c>
      <c r="AM820" s="460" t="str">
        <f>IF(AU820="","",IF(OR(AZ820=8,AZ820=9),0,IF(OR(AW820=3,AW820=4,AW820=5,AW820=6),IF(LEFT(BH820,1)="1",INDEX(係数_PM低減,MATCH(AY820,【参考】排出係数!$AI$801:$AI$804,1),MATCH(BI820,【参考】排出係数!$AL$798:$AO$798,1)),VLOOKUP(AU820,INDEX((係数_バス貨物_ガソリン,係数_バス貨物_CNG,係数_バス貨物_軽油,係数_バス貨物_メタノール,係数_バス貨物_LPG),MATCH(AY820,【参考】排出係数!$AI$4:$AI$671,1),1,BE820):INDEX((係数_バス貨物_ガソリン,係数_バス貨物_CNG,係数_バス貨物_軽油,係数_バス貨物_メタノール,係数_バス貨物_LPG),MATCH(AY820+1,【参考】排出係数!$AI$4:$AI$671,1)-1,5,BE820),5,FALSE)),IF(AND(BE820=3,LEFT(BF820,1)="1"),0.055,VLOOKUP(AU820,INDEX((係数_乗用_ガソリン,係数_乗用_CNG,係数_乗用_軽油,係数_乗用_メタノール,係数_乗用_LPG),1,1,BE820):INDEX((係数_乗用_ガソリン,係数_乗用_CNG,係数_乗用_軽油,係数_乗用_メタノール,係数_乗用_LPG),125,5,BE820),5,FALSE)))))</f>
        <v/>
      </c>
      <c r="AN820" s="461" t="str">
        <f t="shared" si="464"/>
        <v/>
      </c>
      <c r="AO820" s="462" t="str">
        <f t="shared" si="465"/>
        <v/>
      </c>
      <c r="AP820" s="463" t="str">
        <f t="shared" si="466"/>
        <v/>
      </c>
      <c r="AQ820" s="464"/>
      <c r="AR820" s="619"/>
      <c r="AS820" s="465" t="str">
        <f t="shared" si="436"/>
        <v/>
      </c>
      <c r="AT820" s="465" t="str">
        <f t="shared" si="437"/>
        <v/>
      </c>
      <c r="AU820" s="466" t="str">
        <f t="shared" si="438"/>
        <v/>
      </c>
      <c r="AV820" s="467" t="str">
        <f t="shared" si="439"/>
        <v/>
      </c>
      <c r="AW820" s="467" t="str">
        <f t="shared" si="440"/>
        <v/>
      </c>
      <c r="AX820" s="467" t="str">
        <f t="shared" si="441"/>
        <v/>
      </c>
      <c r="AY820" s="467" t="str">
        <f t="shared" si="442"/>
        <v/>
      </c>
      <c r="AZ820" s="467" t="str">
        <f t="shared" si="443"/>
        <v/>
      </c>
      <c r="BA820" s="468" t="str">
        <f>IF(AS820="","",IF(OR(AU820="",AU820="-"),"－",IF(OR(AZ820=8,AZ820=9),"",IF(OR(AW820=3,AW820=4,AW820=5,AW820=6),VLOOKUP(AU820,INDEX((係数_バス貨物_ガソリン,係数_バス貨物_CNG,係数_バス貨物_軽油,係数_バス貨物_メタノール,係数_バス貨物_LPG),MATCH(AY820,【参考】排出係数!$AI$4:$AI$671,1),1,BE820):INDEX((係数_バス貨物_ガソリン,係数_バス貨物_CNG,係数_バス貨物_軽油,係数_バス貨物_メタノール,係数_バス貨物_LPG),MATCH(AY820+1,【参考】排出係数!$AI$4:$AI$671,1)-1,5,BE820),2,FALSE),IF(OR(AW820=1,AW820=2),VLOOKUP(AU820,INDEX((係数_乗用_ガソリン,係数_乗用_CNG,係数_乗用_軽油,係数_乗用_メタノール,係数_乗用_LPG),1,1,BE820):INDEX((係数_乗用_ガソリン,係数_乗用_CNG,係数_乗用_軽油,係数_乗用_メタノール,係数_乗用_LPG),125,5,BE820),2,FALSE))))))</f>
        <v/>
      </c>
      <c r="BB820" s="468" t="str">
        <f>IF(T820="","",IF(OR(AU820="",AU820="-"),"－",IF(OR(AZ820=8,AZ820=9),"",IF(OR(AW820=3,AW820=4,AW820=5,AW820=6),VLOOKUP(AU820,INDEX((係数_バス貨物_ガソリン,係数_バス貨物_CNG,係数_バス貨物_軽油,係数_バス貨物_メタノール,係数_バス貨物_LPG),MATCH(AY820,【参考】排出係数!$AI$4:$AI$671,1),1,BE820):INDEX((係数_バス貨物_ガソリン,係数_バス貨物_CNG,係数_バス貨物_軽油,係数_バス貨物_メタノール,係数_バス貨物_LPG),MATCH(AY820+1,【参考】排出係数!$AI$4:$AI$671,1)-1,5,BE820),3,FALSE),IF(OR(AW820=1,AW820=2),VLOOKUP(AU820,INDEX((係数_乗用_ガソリン,係数_乗用_CNG,係数_乗用_軽油,係数_乗用_メタノール,係数_乗用_LPG),1,1,BE820):INDEX((係数_乗用_ガソリン,係数_乗用_CNG,係数_乗用_軽油,係数_乗用_メタノール,係数_乗用_LPG),125,5,BE820),3,FALSE))))))</f>
        <v/>
      </c>
      <c r="BC820" s="467" t="str">
        <f t="shared" si="444"/>
        <v/>
      </c>
      <c r="BD820" s="567" t="str">
        <f t="shared" si="445"/>
        <v/>
      </c>
      <c r="BE820" s="467" t="str">
        <f t="shared" si="446"/>
        <v/>
      </c>
      <c r="BF820" s="469" t="str">
        <f t="shared" ca="1" si="447"/>
        <v/>
      </c>
      <c r="BG820" s="469" t="str">
        <f t="shared" ca="1" si="448"/>
        <v/>
      </c>
      <c r="BH820" s="467" t="str">
        <f t="shared" si="449"/>
        <v/>
      </c>
      <c r="BI820" s="467" t="str">
        <f t="shared" ca="1" si="450"/>
        <v/>
      </c>
      <c r="BJ820" s="469" t="str">
        <f t="shared" si="451"/>
        <v/>
      </c>
      <c r="BK820" s="470" t="str">
        <f t="shared" si="435"/>
        <v/>
      </c>
      <c r="BL820" s="775" t="str">
        <f t="shared" si="452"/>
        <v/>
      </c>
      <c r="BM820" s="775" t="str">
        <f t="shared" si="453"/>
        <v/>
      </c>
    </row>
    <row r="821" spans="1:65">
      <c r="A821" s="473">
        <v>765</v>
      </c>
      <c r="B821" s="132"/>
      <c r="C821" s="332"/>
      <c r="D821" s="333"/>
      <c r="E821" s="333"/>
      <c r="F821" s="334"/>
      <c r="G821" s="337"/>
      <c r="H821" s="131"/>
      <c r="I821" s="337"/>
      <c r="J821" s="131"/>
      <c r="K821" s="458" t="str">
        <f t="shared" si="454"/>
        <v/>
      </c>
      <c r="L821" s="458">
        <f t="shared" si="455"/>
        <v>0</v>
      </c>
      <c r="M821" s="458">
        <f t="shared" si="456"/>
        <v>0</v>
      </c>
      <c r="N821" s="459" t="str">
        <f t="shared" si="429"/>
        <v/>
      </c>
      <c r="O821" s="459" t="str">
        <f t="shared" si="430"/>
        <v/>
      </c>
      <c r="P821" s="459" t="str">
        <f t="shared" si="431"/>
        <v/>
      </c>
      <c r="Q821" s="459" t="str">
        <f t="shared" si="432"/>
        <v/>
      </c>
      <c r="R821" s="459" t="str">
        <f t="shared" si="433"/>
        <v/>
      </c>
      <c r="S821" s="459" t="str">
        <f t="shared" si="434"/>
        <v/>
      </c>
      <c r="T821" s="566" t="str">
        <f t="shared" si="457"/>
        <v/>
      </c>
      <c r="U821" s="702"/>
      <c r="V821" s="132"/>
      <c r="W821" s="133"/>
      <c r="X821" s="134"/>
      <c r="Y821" s="135"/>
      <c r="Z821" s="137"/>
      <c r="AA821" s="136"/>
      <c r="AB821" s="566" t="str">
        <f t="shared" si="458"/>
        <v/>
      </c>
      <c r="AC821" s="568" t="str">
        <f t="shared" si="459"/>
        <v/>
      </c>
      <c r="AD821" s="137"/>
      <c r="AE821" s="137"/>
      <c r="AF821" s="138"/>
      <c r="AG821" s="138"/>
      <c r="AH821" s="592" t="str">
        <f t="shared" si="460"/>
        <v/>
      </c>
      <c r="AI821" s="592" t="str">
        <f t="shared" si="461"/>
        <v/>
      </c>
      <c r="AJ821" s="592" t="str">
        <f t="shared" si="462"/>
        <v/>
      </c>
      <c r="AK821" s="460" t="str">
        <f>IF(AU821="","",IF(OR(AZ821=8,AZ821=9),0,IF(OR(AW821=3,AW821=4,AW821=5,AW821=6),IF(LEFT(BF821,1)="1",INDEX(係数_NOX・PM低減,MATCH(AY821,【参考】排出係数!$AI$801:$AI$804,1),1),VLOOKUP(AU821,INDEX((係数_バス貨物_ガソリン,係数_バス貨物_CNG,係数_バス貨物_軽油,係数_バス貨物_メタノール,係数_バス貨物_LPG),MATCH(AY821,【参考】排出係数!$AI$4:$AI$671,1),1,BE821):INDEX((係数_バス貨物_ガソリン,係数_バス貨物_CNG,係数_バス貨物_軽油,係数_バス貨物_メタノール,係数_バス貨物_LPG),MATCH(AY821+1,【参考】排出係数!$AI$4:$AI$671,1)-1,5,BE821),4,FALSE)),IF(AND(BE821=3,LEFT(BF821,1)="1"),0.48,VLOOKUP(AU821,INDEX((係数_乗用_ガソリン,係数_乗用_CNG,係数_乗用_軽油,係数_乗用_メタノール,係数_乗用_LPG),1,1,BE821):INDEX((係数_乗用_ガソリン,係数_乗用_CNG,係数_乗用_軽油,係数_乗用_メタノール,係数_乗用_LPG),125,5,BE821),4,FALSE)))))</f>
        <v/>
      </c>
      <c r="AL821" s="461" t="str">
        <f t="shared" si="463"/>
        <v/>
      </c>
      <c r="AM821" s="460" t="str">
        <f>IF(AU821="","",IF(OR(AZ821=8,AZ821=9),0,IF(OR(AW821=3,AW821=4,AW821=5,AW821=6),IF(LEFT(BH821,1)="1",INDEX(係数_PM低減,MATCH(AY821,【参考】排出係数!$AI$801:$AI$804,1),MATCH(BI821,【参考】排出係数!$AL$798:$AO$798,1)),VLOOKUP(AU821,INDEX((係数_バス貨物_ガソリン,係数_バス貨物_CNG,係数_バス貨物_軽油,係数_バス貨物_メタノール,係数_バス貨物_LPG),MATCH(AY821,【参考】排出係数!$AI$4:$AI$671,1),1,BE821):INDEX((係数_バス貨物_ガソリン,係数_バス貨物_CNG,係数_バス貨物_軽油,係数_バス貨物_メタノール,係数_バス貨物_LPG),MATCH(AY821+1,【参考】排出係数!$AI$4:$AI$671,1)-1,5,BE821),5,FALSE)),IF(AND(BE821=3,LEFT(BF821,1)="1"),0.055,VLOOKUP(AU821,INDEX((係数_乗用_ガソリン,係数_乗用_CNG,係数_乗用_軽油,係数_乗用_メタノール,係数_乗用_LPG),1,1,BE821):INDEX((係数_乗用_ガソリン,係数_乗用_CNG,係数_乗用_軽油,係数_乗用_メタノール,係数_乗用_LPG),125,5,BE821),5,FALSE)))))</f>
        <v/>
      </c>
      <c r="AN821" s="461" t="str">
        <f t="shared" si="464"/>
        <v/>
      </c>
      <c r="AO821" s="462" t="str">
        <f t="shared" si="465"/>
        <v/>
      </c>
      <c r="AP821" s="463" t="str">
        <f t="shared" si="466"/>
        <v/>
      </c>
      <c r="AQ821" s="464"/>
      <c r="AR821" s="619"/>
      <c r="AS821" s="465" t="str">
        <f t="shared" si="436"/>
        <v/>
      </c>
      <c r="AT821" s="465" t="str">
        <f t="shared" si="437"/>
        <v/>
      </c>
      <c r="AU821" s="466" t="str">
        <f t="shared" si="438"/>
        <v/>
      </c>
      <c r="AV821" s="467" t="str">
        <f t="shared" si="439"/>
        <v/>
      </c>
      <c r="AW821" s="467" t="str">
        <f t="shared" si="440"/>
        <v/>
      </c>
      <c r="AX821" s="467" t="str">
        <f t="shared" si="441"/>
        <v/>
      </c>
      <c r="AY821" s="467" t="str">
        <f t="shared" si="442"/>
        <v/>
      </c>
      <c r="AZ821" s="467" t="str">
        <f t="shared" si="443"/>
        <v/>
      </c>
      <c r="BA821" s="468" t="str">
        <f>IF(AS821="","",IF(OR(AU821="",AU821="-"),"－",IF(OR(AZ821=8,AZ821=9),"",IF(OR(AW821=3,AW821=4,AW821=5,AW821=6),VLOOKUP(AU821,INDEX((係数_バス貨物_ガソリン,係数_バス貨物_CNG,係数_バス貨物_軽油,係数_バス貨物_メタノール,係数_バス貨物_LPG),MATCH(AY821,【参考】排出係数!$AI$4:$AI$671,1),1,BE821):INDEX((係数_バス貨物_ガソリン,係数_バス貨物_CNG,係数_バス貨物_軽油,係数_バス貨物_メタノール,係数_バス貨物_LPG),MATCH(AY821+1,【参考】排出係数!$AI$4:$AI$671,1)-1,5,BE821),2,FALSE),IF(OR(AW821=1,AW821=2),VLOOKUP(AU821,INDEX((係数_乗用_ガソリン,係数_乗用_CNG,係数_乗用_軽油,係数_乗用_メタノール,係数_乗用_LPG),1,1,BE821):INDEX((係数_乗用_ガソリン,係数_乗用_CNG,係数_乗用_軽油,係数_乗用_メタノール,係数_乗用_LPG),125,5,BE821),2,FALSE))))))</f>
        <v/>
      </c>
      <c r="BB821" s="468" t="str">
        <f>IF(T821="","",IF(OR(AU821="",AU821="-"),"－",IF(OR(AZ821=8,AZ821=9),"",IF(OR(AW821=3,AW821=4,AW821=5,AW821=6),VLOOKUP(AU821,INDEX((係数_バス貨物_ガソリン,係数_バス貨物_CNG,係数_バス貨物_軽油,係数_バス貨物_メタノール,係数_バス貨物_LPG),MATCH(AY821,【参考】排出係数!$AI$4:$AI$671,1),1,BE821):INDEX((係数_バス貨物_ガソリン,係数_バス貨物_CNG,係数_バス貨物_軽油,係数_バス貨物_メタノール,係数_バス貨物_LPG),MATCH(AY821+1,【参考】排出係数!$AI$4:$AI$671,1)-1,5,BE821),3,FALSE),IF(OR(AW821=1,AW821=2),VLOOKUP(AU821,INDEX((係数_乗用_ガソリン,係数_乗用_CNG,係数_乗用_軽油,係数_乗用_メタノール,係数_乗用_LPG),1,1,BE821):INDEX((係数_乗用_ガソリン,係数_乗用_CNG,係数_乗用_軽油,係数_乗用_メタノール,係数_乗用_LPG),125,5,BE821),3,FALSE))))))</f>
        <v/>
      </c>
      <c r="BC821" s="467" t="str">
        <f t="shared" si="444"/>
        <v/>
      </c>
      <c r="BD821" s="567" t="str">
        <f t="shared" si="445"/>
        <v/>
      </c>
      <c r="BE821" s="467" t="str">
        <f t="shared" si="446"/>
        <v/>
      </c>
      <c r="BF821" s="469" t="str">
        <f t="shared" ca="1" si="447"/>
        <v/>
      </c>
      <c r="BG821" s="469" t="str">
        <f t="shared" ca="1" si="448"/>
        <v/>
      </c>
      <c r="BH821" s="467" t="str">
        <f t="shared" si="449"/>
        <v/>
      </c>
      <c r="BI821" s="467" t="str">
        <f t="shared" ca="1" si="450"/>
        <v/>
      </c>
      <c r="BJ821" s="469" t="str">
        <f t="shared" si="451"/>
        <v/>
      </c>
      <c r="BK821" s="470" t="str">
        <f t="shared" si="435"/>
        <v/>
      </c>
      <c r="BL821" s="775" t="str">
        <f t="shared" si="452"/>
        <v/>
      </c>
      <c r="BM821" s="775" t="str">
        <f t="shared" si="453"/>
        <v/>
      </c>
    </row>
    <row r="822" spans="1:65">
      <c r="A822" s="473">
        <v>766</v>
      </c>
      <c r="B822" s="132"/>
      <c r="C822" s="332"/>
      <c r="D822" s="333"/>
      <c r="E822" s="333"/>
      <c r="F822" s="334"/>
      <c r="G822" s="337"/>
      <c r="H822" s="131"/>
      <c r="I822" s="337"/>
      <c r="J822" s="131"/>
      <c r="K822" s="458" t="str">
        <f t="shared" si="454"/>
        <v/>
      </c>
      <c r="L822" s="458">
        <f t="shared" si="455"/>
        <v>0</v>
      </c>
      <c r="M822" s="458">
        <f t="shared" si="456"/>
        <v>0</v>
      </c>
      <c r="N822" s="459" t="str">
        <f t="shared" si="429"/>
        <v/>
      </c>
      <c r="O822" s="459" t="str">
        <f t="shared" si="430"/>
        <v/>
      </c>
      <c r="P822" s="459" t="str">
        <f t="shared" si="431"/>
        <v/>
      </c>
      <c r="Q822" s="459" t="str">
        <f t="shared" si="432"/>
        <v/>
      </c>
      <c r="R822" s="459" t="str">
        <f t="shared" si="433"/>
        <v/>
      </c>
      <c r="S822" s="459" t="str">
        <f t="shared" si="434"/>
        <v/>
      </c>
      <c r="T822" s="566" t="str">
        <f t="shared" si="457"/>
        <v/>
      </c>
      <c r="U822" s="702"/>
      <c r="V822" s="132"/>
      <c r="W822" s="133"/>
      <c r="X822" s="134"/>
      <c r="Y822" s="135"/>
      <c r="Z822" s="137"/>
      <c r="AA822" s="136"/>
      <c r="AB822" s="566" t="str">
        <f t="shared" si="458"/>
        <v/>
      </c>
      <c r="AC822" s="568" t="str">
        <f t="shared" si="459"/>
        <v/>
      </c>
      <c r="AD822" s="137"/>
      <c r="AE822" s="137"/>
      <c r="AF822" s="138"/>
      <c r="AG822" s="138"/>
      <c r="AH822" s="592" t="str">
        <f t="shared" si="460"/>
        <v/>
      </c>
      <c r="AI822" s="592" t="str">
        <f t="shared" si="461"/>
        <v/>
      </c>
      <c r="AJ822" s="592" t="str">
        <f t="shared" si="462"/>
        <v/>
      </c>
      <c r="AK822" s="460" t="str">
        <f>IF(AU822="","",IF(OR(AZ822=8,AZ822=9),0,IF(OR(AW822=3,AW822=4,AW822=5,AW822=6),IF(LEFT(BF822,1)="1",INDEX(係数_NOX・PM低減,MATCH(AY822,【参考】排出係数!$AI$801:$AI$804,1),1),VLOOKUP(AU822,INDEX((係数_バス貨物_ガソリン,係数_バス貨物_CNG,係数_バス貨物_軽油,係数_バス貨物_メタノール,係数_バス貨物_LPG),MATCH(AY822,【参考】排出係数!$AI$4:$AI$671,1),1,BE822):INDEX((係数_バス貨物_ガソリン,係数_バス貨物_CNG,係数_バス貨物_軽油,係数_バス貨物_メタノール,係数_バス貨物_LPG),MATCH(AY822+1,【参考】排出係数!$AI$4:$AI$671,1)-1,5,BE822),4,FALSE)),IF(AND(BE822=3,LEFT(BF822,1)="1"),0.48,VLOOKUP(AU822,INDEX((係数_乗用_ガソリン,係数_乗用_CNG,係数_乗用_軽油,係数_乗用_メタノール,係数_乗用_LPG),1,1,BE822):INDEX((係数_乗用_ガソリン,係数_乗用_CNG,係数_乗用_軽油,係数_乗用_メタノール,係数_乗用_LPG),125,5,BE822),4,FALSE)))))</f>
        <v/>
      </c>
      <c r="AL822" s="461" t="str">
        <f t="shared" si="463"/>
        <v/>
      </c>
      <c r="AM822" s="460" t="str">
        <f>IF(AU822="","",IF(OR(AZ822=8,AZ822=9),0,IF(OR(AW822=3,AW822=4,AW822=5,AW822=6),IF(LEFT(BH822,1)="1",INDEX(係数_PM低減,MATCH(AY822,【参考】排出係数!$AI$801:$AI$804,1),MATCH(BI822,【参考】排出係数!$AL$798:$AO$798,1)),VLOOKUP(AU822,INDEX((係数_バス貨物_ガソリン,係数_バス貨物_CNG,係数_バス貨物_軽油,係数_バス貨物_メタノール,係数_バス貨物_LPG),MATCH(AY822,【参考】排出係数!$AI$4:$AI$671,1),1,BE822):INDEX((係数_バス貨物_ガソリン,係数_バス貨物_CNG,係数_バス貨物_軽油,係数_バス貨物_メタノール,係数_バス貨物_LPG),MATCH(AY822+1,【参考】排出係数!$AI$4:$AI$671,1)-1,5,BE822),5,FALSE)),IF(AND(BE822=3,LEFT(BF822,1)="1"),0.055,VLOOKUP(AU822,INDEX((係数_乗用_ガソリン,係数_乗用_CNG,係数_乗用_軽油,係数_乗用_メタノール,係数_乗用_LPG),1,1,BE822):INDEX((係数_乗用_ガソリン,係数_乗用_CNG,係数_乗用_軽油,係数_乗用_メタノール,係数_乗用_LPG),125,5,BE822),5,FALSE)))))</f>
        <v/>
      </c>
      <c r="AN822" s="461" t="str">
        <f t="shared" si="464"/>
        <v/>
      </c>
      <c r="AO822" s="462" t="str">
        <f t="shared" si="465"/>
        <v/>
      </c>
      <c r="AP822" s="463" t="str">
        <f t="shared" si="466"/>
        <v/>
      </c>
      <c r="AQ822" s="464"/>
      <c r="AR822" s="619"/>
      <c r="AS822" s="465" t="str">
        <f t="shared" si="436"/>
        <v/>
      </c>
      <c r="AT822" s="465" t="str">
        <f t="shared" si="437"/>
        <v/>
      </c>
      <c r="AU822" s="466" t="str">
        <f t="shared" si="438"/>
        <v/>
      </c>
      <c r="AV822" s="467" t="str">
        <f t="shared" si="439"/>
        <v/>
      </c>
      <c r="AW822" s="467" t="str">
        <f t="shared" si="440"/>
        <v/>
      </c>
      <c r="AX822" s="467" t="str">
        <f t="shared" si="441"/>
        <v/>
      </c>
      <c r="AY822" s="467" t="str">
        <f t="shared" si="442"/>
        <v/>
      </c>
      <c r="AZ822" s="467" t="str">
        <f t="shared" si="443"/>
        <v/>
      </c>
      <c r="BA822" s="468" t="str">
        <f>IF(AS822="","",IF(OR(AU822="",AU822="-"),"－",IF(OR(AZ822=8,AZ822=9),"",IF(OR(AW822=3,AW822=4,AW822=5,AW822=6),VLOOKUP(AU822,INDEX((係数_バス貨物_ガソリン,係数_バス貨物_CNG,係数_バス貨物_軽油,係数_バス貨物_メタノール,係数_バス貨物_LPG),MATCH(AY822,【参考】排出係数!$AI$4:$AI$671,1),1,BE822):INDEX((係数_バス貨物_ガソリン,係数_バス貨物_CNG,係数_バス貨物_軽油,係数_バス貨物_メタノール,係数_バス貨物_LPG),MATCH(AY822+1,【参考】排出係数!$AI$4:$AI$671,1)-1,5,BE822),2,FALSE),IF(OR(AW822=1,AW822=2),VLOOKUP(AU822,INDEX((係数_乗用_ガソリン,係数_乗用_CNG,係数_乗用_軽油,係数_乗用_メタノール,係数_乗用_LPG),1,1,BE822):INDEX((係数_乗用_ガソリン,係数_乗用_CNG,係数_乗用_軽油,係数_乗用_メタノール,係数_乗用_LPG),125,5,BE822),2,FALSE))))))</f>
        <v/>
      </c>
      <c r="BB822" s="468" t="str">
        <f>IF(T822="","",IF(OR(AU822="",AU822="-"),"－",IF(OR(AZ822=8,AZ822=9),"",IF(OR(AW822=3,AW822=4,AW822=5,AW822=6),VLOOKUP(AU822,INDEX((係数_バス貨物_ガソリン,係数_バス貨物_CNG,係数_バス貨物_軽油,係数_バス貨物_メタノール,係数_バス貨物_LPG),MATCH(AY822,【参考】排出係数!$AI$4:$AI$671,1),1,BE822):INDEX((係数_バス貨物_ガソリン,係数_バス貨物_CNG,係数_バス貨物_軽油,係数_バス貨物_メタノール,係数_バス貨物_LPG),MATCH(AY822+1,【参考】排出係数!$AI$4:$AI$671,1)-1,5,BE822),3,FALSE),IF(OR(AW822=1,AW822=2),VLOOKUP(AU822,INDEX((係数_乗用_ガソリン,係数_乗用_CNG,係数_乗用_軽油,係数_乗用_メタノール,係数_乗用_LPG),1,1,BE822):INDEX((係数_乗用_ガソリン,係数_乗用_CNG,係数_乗用_軽油,係数_乗用_メタノール,係数_乗用_LPG),125,5,BE822),3,FALSE))))))</f>
        <v/>
      </c>
      <c r="BC822" s="467" t="str">
        <f t="shared" si="444"/>
        <v/>
      </c>
      <c r="BD822" s="567" t="str">
        <f t="shared" si="445"/>
        <v/>
      </c>
      <c r="BE822" s="467" t="str">
        <f t="shared" si="446"/>
        <v/>
      </c>
      <c r="BF822" s="469" t="str">
        <f t="shared" ca="1" si="447"/>
        <v/>
      </c>
      <c r="BG822" s="469" t="str">
        <f t="shared" ca="1" si="448"/>
        <v/>
      </c>
      <c r="BH822" s="467" t="str">
        <f t="shared" si="449"/>
        <v/>
      </c>
      <c r="BI822" s="467" t="str">
        <f t="shared" ca="1" si="450"/>
        <v/>
      </c>
      <c r="BJ822" s="469" t="str">
        <f t="shared" si="451"/>
        <v/>
      </c>
      <c r="BK822" s="470" t="str">
        <f t="shared" si="435"/>
        <v/>
      </c>
      <c r="BL822" s="775" t="str">
        <f t="shared" si="452"/>
        <v/>
      </c>
      <c r="BM822" s="775" t="str">
        <f t="shared" si="453"/>
        <v/>
      </c>
    </row>
    <row r="823" spans="1:65">
      <c r="A823" s="473">
        <v>767</v>
      </c>
      <c r="B823" s="132"/>
      <c r="C823" s="332"/>
      <c r="D823" s="333"/>
      <c r="E823" s="333"/>
      <c r="F823" s="334"/>
      <c r="G823" s="337"/>
      <c r="H823" s="131"/>
      <c r="I823" s="337"/>
      <c r="J823" s="131"/>
      <c r="K823" s="458" t="str">
        <f t="shared" si="454"/>
        <v/>
      </c>
      <c r="L823" s="458">
        <f t="shared" si="455"/>
        <v>0</v>
      </c>
      <c r="M823" s="458">
        <f t="shared" si="456"/>
        <v>0</v>
      </c>
      <c r="N823" s="459" t="str">
        <f t="shared" ref="N823:N886" si="467">IF(OR($L823&gt;$U$48,$M823&gt;$U$48,AND($L823&gt;$M823,$M823&lt;&gt;0),AND($L823=0,$M823&lt;&gt;0)),"ERROR","")</f>
        <v/>
      </c>
      <c r="O823" s="459" t="str">
        <f t="shared" ref="O823:O886" si="468">IF(AND($N823&lt;&gt;"ERROR",$L823&lt;=$U$49,$M823&lt;=$U$49,$M823&lt;&gt;0),"(減車済)","")</f>
        <v/>
      </c>
      <c r="P823" s="459" t="str">
        <f t="shared" ref="P823:P886" si="469">IF(AND($N823&lt;&gt;"ERROR",$L823&lt;$U$49,AND($M823&gt;$U$49,$M823&lt;=$W$49),$M823&lt;&gt;0),"減車","")</f>
        <v/>
      </c>
      <c r="Q823" s="459" t="str">
        <f t="shared" ref="Q823:Q886" si="470">IF(AND($N823&lt;&gt;"ERROR",$L823&gt;$U$49,$M823&lt;=$W$49,$M823&lt;&gt;0),"一時使用","")</f>
        <v/>
      </c>
      <c r="R823" s="459" t="str">
        <f t="shared" ref="R823:R886" si="471">IF(AND($N823&lt;&gt;"ERROR",AND($L823&gt;0,$L823&lt;=$U$49),$M823=0),"継続","")</f>
        <v/>
      </c>
      <c r="S823" s="459" t="str">
        <f t="shared" ref="S823:S886" si="472">IF(AND($N823&lt;&gt;"ERROR",AND($L823&gt;$U$49),$M823=0),"新規","")</f>
        <v/>
      </c>
      <c r="T823" s="566" t="str">
        <f t="shared" si="457"/>
        <v/>
      </c>
      <c r="U823" s="702"/>
      <c r="V823" s="132"/>
      <c r="W823" s="133"/>
      <c r="X823" s="134"/>
      <c r="Y823" s="135"/>
      <c r="Z823" s="137"/>
      <c r="AA823" s="136"/>
      <c r="AB823" s="566" t="str">
        <f t="shared" si="458"/>
        <v/>
      </c>
      <c r="AC823" s="568" t="str">
        <f t="shared" si="459"/>
        <v/>
      </c>
      <c r="AD823" s="137"/>
      <c r="AE823" s="137"/>
      <c r="AF823" s="138"/>
      <c r="AG823" s="138"/>
      <c r="AH823" s="592" t="str">
        <f t="shared" si="460"/>
        <v/>
      </c>
      <c r="AI823" s="592" t="str">
        <f t="shared" si="461"/>
        <v/>
      </c>
      <c r="AJ823" s="592" t="str">
        <f t="shared" si="462"/>
        <v/>
      </c>
      <c r="AK823" s="460" t="str">
        <f>IF(AU823="","",IF(OR(AZ823=8,AZ823=9),0,IF(OR(AW823=3,AW823=4,AW823=5,AW823=6),IF(LEFT(BF823,1)="1",INDEX(係数_NOX・PM低減,MATCH(AY823,【参考】排出係数!$AI$801:$AI$804,1),1),VLOOKUP(AU823,INDEX((係数_バス貨物_ガソリン,係数_バス貨物_CNG,係数_バス貨物_軽油,係数_バス貨物_メタノール,係数_バス貨物_LPG),MATCH(AY823,【参考】排出係数!$AI$4:$AI$671,1),1,BE823):INDEX((係数_バス貨物_ガソリン,係数_バス貨物_CNG,係数_バス貨物_軽油,係数_バス貨物_メタノール,係数_バス貨物_LPG),MATCH(AY823+1,【参考】排出係数!$AI$4:$AI$671,1)-1,5,BE823),4,FALSE)),IF(AND(BE823=3,LEFT(BF823,1)="1"),0.48,VLOOKUP(AU823,INDEX((係数_乗用_ガソリン,係数_乗用_CNG,係数_乗用_軽油,係数_乗用_メタノール,係数_乗用_LPG),1,1,BE823):INDEX((係数_乗用_ガソリン,係数_乗用_CNG,係数_乗用_軽油,係数_乗用_メタノール,係数_乗用_LPG),125,5,BE823),4,FALSE)))))</f>
        <v/>
      </c>
      <c r="AL823" s="461" t="str">
        <f t="shared" si="463"/>
        <v/>
      </c>
      <c r="AM823" s="460" t="str">
        <f>IF(AU823="","",IF(OR(AZ823=8,AZ823=9),0,IF(OR(AW823=3,AW823=4,AW823=5,AW823=6),IF(LEFT(BH823,1)="1",INDEX(係数_PM低減,MATCH(AY823,【参考】排出係数!$AI$801:$AI$804,1),MATCH(BI823,【参考】排出係数!$AL$798:$AO$798,1)),VLOOKUP(AU823,INDEX((係数_バス貨物_ガソリン,係数_バス貨物_CNG,係数_バス貨物_軽油,係数_バス貨物_メタノール,係数_バス貨物_LPG),MATCH(AY823,【参考】排出係数!$AI$4:$AI$671,1),1,BE823):INDEX((係数_バス貨物_ガソリン,係数_バス貨物_CNG,係数_バス貨物_軽油,係数_バス貨物_メタノール,係数_バス貨物_LPG),MATCH(AY823+1,【参考】排出係数!$AI$4:$AI$671,1)-1,5,BE823),5,FALSE)),IF(AND(BE823=3,LEFT(BF823,1)="1"),0.055,VLOOKUP(AU823,INDEX((係数_乗用_ガソリン,係数_乗用_CNG,係数_乗用_軽油,係数_乗用_メタノール,係数_乗用_LPG),1,1,BE823):INDEX((係数_乗用_ガソリン,係数_乗用_CNG,係数_乗用_軽油,係数_乗用_メタノール,係数_乗用_LPG),125,5,BE823),5,FALSE)))))</f>
        <v/>
      </c>
      <c r="AN823" s="461" t="str">
        <f t="shared" si="464"/>
        <v/>
      </c>
      <c r="AO823" s="462" t="str">
        <f t="shared" si="465"/>
        <v/>
      </c>
      <c r="AP823" s="463" t="str">
        <f t="shared" si="466"/>
        <v/>
      </c>
      <c r="AQ823" s="464"/>
      <c r="AR823" s="619"/>
      <c r="AS823" s="465" t="str">
        <f t="shared" si="436"/>
        <v/>
      </c>
      <c r="AT823" s="465" t="str">
        <f t="shared" si="437"/>
        <v/>
      </c>
      <c r="AU823" s="466" t="str">
        <f t="shared" si="438"/>
        <v/>
      </c>
      <c r="AV823" s="467" t="str">
        <f t="shared" si="439"/>
        <v/>
      </c>
      <c r="AW823" s="467" t="str">
        <f t="shared" si="440"/>
        <v/>
      </c>
      <c r="AX823" s="467" t="str">
        <f t="shared" si="441"/>
        <v/>
      </c>
      <c r="AY823" s="467" t="str">
        <f t="shared" si="442"/>
        <v/>
      </c>
      <c r="AZ823" s="467" t="str">
        <f t="shared" si="443"/>
        <v/>
      </c>
      <c r="BA823" s="468" t="str">
        <f>IF(AS823="","",IF(OR(AU823="",AU823="-"),"－",IF(OR(AZ823=8,AZ823=9),"",IF(OR(AW823=3,AW823=4,AW823=5,AW823=6),VLOOKUP(AU823,INDEX((係数_バス貨物_ガソリン,係数_バス貨物_CNG,係数_バス貨物_軽油,係数_バス貨物_メタノール,係数_バス貨物_LPG),MATCH(AY823,【参考】排出係数!$AI$4:$AI$671,1),1,BE823):INDEX((係数_バス貨物_ガソリン,係数_バス貨物_CNG,係数_バス貨物_軽油,係数_バス貨物_メタノール,係数_バス貨物_LPG),MATCH(AY823+1,【参考】排出係数!$AI$4:$AI$671,1)-1,5,BE823),2,FALSE),IF(OR(AW823=1,AW823=2),VLOOKUP(AU823,INDEX((係数_乗用_ガソリン,係数_乗用_CNG,係数_乗用_軽油,係数_乗用_メタノール,係数_乗用_LPG),1,1,BE823):INDEX((係数_乗用_ガソリン,係数_乗用_CNG,係数_乗用_軽油,係数_乗用_メタノール,係数_乗用_LPG),125,5,BE823),2,FALSE))))))</f>
        <v/>
      </c>
      <c r="BB823" s="468" t="str">
        <f>IF(T823="","",IF(OR(AU823="",AU823="-"),"－",IF(OR(AZ823=8,AZ823=9),"",IF(OR(AW823=3,AW823=4,AW823=5,AW823=6),VLOOKUP(AU823,INDEX((係数_バス貨物_ガソリン,係数_バス貨物_CNG,係数_バス貨物_軽油,係数_バス貨物_メタノール,係数_バス貨物_LPG),MATCH(AY823,【参考】排出係数!$AI$4:$AI$671,1),1,BE823):INDEX((係数_バス貨物_ガソリン,係数_バス貨物_CNG,係数_バス貨物_軽油,係数_バス貨物_メタノール,係数_バス貨物_LPG),MATCH(AY823+1,【参考】排出係数!$AI$4:$AI$671,1)-1,5,BE823),3,FALSE),IF(OR(AW823=1,AW823=2),VLOOKUP(AU823,INDEX((係数_乗用_ガソリン,係数_乗用_CNG,係数_乗用_軽油,係数_乗用_メタノール,係数_乗用_LPG),1,1,BE823):INDEX((係数_乗用_ガソリン,係数_乗用_CNG,係数_乗用_軽油,係数_乗用_メタノール,係数_乗用_LPG),125,5,BE823),3,FALSE))))))</f>
        <v/>
      </c>
      <c r="BC823" s="467" t="str">
        <f t="shared" si="444"/>
        <v/>
      </c>
      <c r="BD823" s="567" t="str">
        <f t="shared" si="445"/>
        <v/>
      </c>
      <c r="BE823" s="467" t="str">
        <f t="shared" si="446"/>
        <v/>
      </c>
      <c r="BF823" s="469" t="str">
        <f t="shared" ca="1" si="447"/>
        <v/>
      </c>
      <c r="BG823" s="469" t="str">
        <f t="shared" ca="1" si="448"/>
        <v/>
      </c>
      <c r="BH823" s="467" t="str">
        <f t="shared" si="449"/>
        <v/>
      </c>
      <c r="BI823" s="467" t="str">
        <f t="shared" ca="1" si="450"/>
        <v/>
      </c>
      <c r="BJ823" s="469" t="str">
        <f t="shared" si="451"/>
        <v/>
      </c>
      <c r="BK823" s="470" t="str">
        <f t="shared" si="435"/>
        <v/>
      </c>
      <c r="BL823" s="775" t="str">
        <f t="shared" si="452"/>
        <v/>
      </c>
      <c r="BM823" s="775" t="str">
        <f t="shared" si="453"/>
        <v/>
      </c>
    </row>
    <row r="824" spans="1:65">
      <c r="A824" s="473">
        <v>768</v>
      </c>
      <c r="B824" s="132"/>
      <c r="C824" s="332"/>
      <c r="D824" s="333"/>
      <c r="E824" s="333"/>
      <c r="F824" s="334"/>
      <c r="G824" s="337"/>
      <c r="H824" s="131"/>
      <c r="I824" s="337"/>
      <c r="J824" s="131"/>
      <c r="K824" s="458" t="str">
        <f t="shared" si="454"/>
        <v/>
      </c>
      <c r="L824" s="458">
        <f t="shared" si="455"/>
        <v>0</v>
      </c>
      <c r="M824" s="458">
        <f t="shared" si="456"/>
        <v>0</v>
      </c>
      <c r="N824" s="459" t="str">
        <f t="shared" si="467"/>
        <v/>
      </c>
      <c r="O824" s="459" t="str">
        <f t="shared" si="468"/>
        <v/>
      </c>
      <c r="P824" s="459" t="str">
        <f t="shared" si="469"/>
        <v/>
      </c>
      <c r="Q824" s="459" t="str">
        <f t="shared" si="470"/>
        <v/>
      </c>
      <c r="R824" s="459" t="str">
        <f t="shared" si="471"/>
        <v/>
      </c>
      <c r="S824" s="459" t="str">
        <f t="shared" si="472"/>
        <v/>
      </c>
      <c r="T824" s="566" t="str">
        <f t="shared" si="457"/>
        <v/>
      </c>
      <c r="U824" s="702"/>
      <c r="V824" s="132"/>
      <c r="W824" s="133"/>
      <c r="X824" s="134"/>
      <c r="Y824" s="135"/>
      <c r="Z824" s="137"/>
      <c r="AA824" s="136"/>
      <c r="AB824" s="566" t="str">
        <f t="shared" si="458"/>
        <v/>
      </c>
      <c r="AC824" s="568" t="str">
        <f t="shared" si="459"/>
        <v/>
      </c>
      <c r="AD824" s="137"/>
      <c r="AE824" s="137"/>
      <c r="AF824" s="138"/>
      <c r="AG824" s="138"/>
      <c r="AH824" s="592" t="str">
        <f t="shared" si="460"/>
        <v/>
      </c>
      <c r="AI824" s="592" t="str">
        <f t="shared" si="461"/>
        <v/>
      </c>
      <c r="AJ824" s="592" t="str">
        <f t="shared" si="462"/>
        <v/>
      </c>
      <c r="AK824" s="460" t="str">
        <f>IF(AU824="","",IF(OR(AZ824=8,AZ824=9),0,IF(OR(AW824=3,AW824=4,AW824=5,AW824=6),IF(LEFT(BF824,1)="1",INDEX(係数_NOX・PM低減,MATCH(AY824,【参考】排出係数!$AI$801:$AI$804,1),1),VLOOKUP(AU824,INDEX((係数_バス貨物_ガソリン,係数_バス貨物_CNG,係数_バス貨物_軽油,係数_バス貨物_メタノール,係数_バス貨物_LPG),MATCH(AY824,【参考】排出係数!$AI$4:$AI$671,1),1,BE824):INDEX((係数_バス貨物_ガソリン,係数_バス貨物_CNG,係数_バス貨物_軽油,係数_バス貨物_メタノール,係数_バス貨物_LPG),MATCH(AY824+1,【参考】排出係数!$AI$4:$AI$671,1)-1,5,BE824),4,FALSE)),IF(AND(BE824=3,LEFT(BF824,1)="1"),0.48,VLOOKUP(AU824,INDEX((係数_乗用_ガソリン,係数_乗用_CNG,係数_乗用_軽油,係数_乗用_メタノール,係数_乗用_LPG),1,1,BE824):INDEX((係数_乗用_ガソリン,係数_乗用_CNG,係数_乗用_軽油,係数_乗用_メタノール,係数_乗用_LPG),125,5,BE824),4,FALSE)))))</f>
        <v/>
      </c>
      <c r="AL824" s="461" t="str">
        <f t="shared" si="463"/>
        <v/>
      </c>
      <c r="AM824" s="460" t="str">
        <f>IF(AU824="","",IF(OR(AZ824=8,AZ824=9),0,IF(OR(AW824=3,AW824=4,AW824=5,AW824=6),IF(LEFT(BH824,1)="1",INDEX(係数_PM低減,MATCH(AY824,【参考】排出係数!$AI$801:$AI$804,1),MATCH(BI824,【参考】排出係数!$AL$798:$AO$798,1)),VLOOKUP(AU824,INDEX((係数_バス貨物_ガソリン,係数_バス貨物_CNG,係数_バス貨物_軽油,係数_バス貨物_メタノール,係数_バス貨物_LPG),MATCH(AY824,【参考】排出係数!$AI$4:$AI$671,1),1,BE824):INDEX((係数_バス貨物_ガソリン,係数_バス貨物_CNG,係数_バス貨物_軽油,係数_バス貨物_メタノール,係数_バス貨物_LPG),MATCH(AY824+1,【参考】排出係数!$AI$4:$AI$671,1)-1,5,BE824),5,FALSE)),IF(AND(BE824=3,LEFT(BF824,1)="1"),0.055,VLOOKUP(AU824,INDEX((係数_乗用_ガソリン,係数_乗用_CNG,係数_乗用_軽油,係数_乗用_メタノール,係数_乗用_LPG),1,1,BE824):INDEX((係数_乗用_ガソリン,係数_乗用_CNG,係数_乗用_軽油,係数_乗用_メタノール,係数_乗用_LPG),125,5,BE824),5,FALSE)))))</f>
        <v/>
      </c>
      <c r="AN824" s="461" t="str">
        <f t="shared" si="464"/>
        <v/>
      </c>
      <c r="AO824" s="462" t="str">
        <f t="shared" si="465"/>
        <v/>
      </c>
      <c r="AP824" s="463" t="str">
        <f t="shared" si="466"/>
        <v/>
      </c>
      <c r="AQ824" s="464"/>
      <c r="AR824" s="619"/>
      <c r="AS824" s="465" t="str">
        <f t="shared" si="436"/>
        <v/>
      </c>
      <c r="AT824" s="465" t="str">
        <f t="shared" si="437"/>
        <v/>
      </c>
      <c r="AU824" s="466" t="str">
        <f t="shared" si="438"/>
        <v/>
      </c>
      <c r="AV824" s="467" t="str">
        <f t="shared" si="439"/>
        <v/>
      </c>
      <c r="AW824" s="467" t="str">
        <f t="shared" si="440"/>
        <v/>
      </c>
      <c r="AX824" s="467" t="str">
        <f t="shared" si="441"/>
        <v/>
      </c>
      <c r="AY824" s="467" t="str">
        <f t="shared" si="442"/>
        <v/>
      </c>
      <c r="AZ824" s="467" t="str">
        <f t="shared" si="443"/>
        <v/>
      </c>
      <c r="BA824" s="468" t="str">
        <f>IF(AS824="","",IF(OR(AU824="",AU824="-"),"－",IF(OR(AZ824=8,AZ824=9),"",IF(OR(AW824=3,AW824=4,AW824=5,AW824=6),VLOOKUP(AU824,INDEX((係数_バス貨物_ガソリン,係数_バス貨物_CNG,係数_バス貨物_軽油,係数_バス貨物_メタノール,係数_バス貨物_LPG),MATCH(AY824,【参考】排出係数!$AI$4:$AI$671,1),1,BE824):INDEX((係数_バス貨物_ガソリン,係数_バス貨物_CNG,係数_バス貨物_軽油,係数_バス貨物_メタノール,係数_バス貨物_LPG),MATCH(AY824+1,【参考】排出係数!$AI$4:$AI$671,1)-1,5,BE824),2,FALSE),IF(OR(AW824=1,AW824=2),VLOOKUP(AU824,INDEX((係数_乗用_ガソリン,係数_乗用_CNG,係数_乗用_軽油,係数_乗用_メタノール,係数_乗用_LPG),1,1,BE824):INDEX((係数_乗用_ガソリン,係数_乗用_CNG,係数_乗用_軽油,係数_乗用_メタノール,係数_乗用_LPG),125,5,BE824),2,FALSE))))))</f>
        <v/>
      </c>
      <c r="BB824" s="468" t="str">
        <f>IF(T824="","",IF(OR(AU824="",AU824="-"),"－",IF(OR(AZ824=8,AZ824=9),"",IF(OR(AW824=3,AW824=4,AW824=5,AW824=6),VLOOKUP(AU824,INDEX((係数_バス貨物_ガソリン,係数_バス貨物_CNG,係数_バス貨物_軽油,係数_バス貨物_メタノール,係数_バス貨物_LPG),MATCH(AY824,【参考】排出係数!$AI$4:$AI$671,1),1,BE824):INDEX((係数_バス貨物_ガソリン,係数_バス貨物_CNG,係数_バス貨物_軽油,係数_バス貨物_メタノール,係数_バス貨物_LPG),MATCH(AY824+1,【参考】排出係数!$AI$4:$AI$671,1)-1,5,BE824),3,FALSE),IF(OR(AW824=1,AW824=2),VLOOKUP(AU824,INDEX((係数_乗用_ガソリン,係数_乗用_CNG,係数_乗用_軽油,係数_乗用_メタノール,係数_乗用_LPG),1,1,BE824):INDEX((係数_乗用_ガソリン,係数_乗用_CNG,係数_乗用_軽油,係数_乗用_メタノール,係数_乗用_LPG),125,5,BE824),3,FALSE))))))</f>
        <v/>
      </c>
      <c r="BC824" s="467" t="str">
        <f t="shared" si="444"/>
        <v/>
      </c>
      <c r="BD824" s="567" t="str">
        <f t="shared" si="445"/>
        <v/>
      </c>
      <c r="BE824" s="467" t="str">
        <f t="shared" si="446"/>
        <v/>
      </c>
      <c r="BF824" s="469" t="str">
        <f t="shared" ca="1" si="447"/>
        <v/>
      </c>
      <c r="BG824" s="469" t="str">
        <f t="shared" ca="1" si="448"/>
        <v/>
      </c>
      <c r="BH824" s="467" t="str">
        <f t="shared" si="449"/>
        <v/>
      </c>
      <c r="BI824" s="467" t="str">
        <f t="shared" ca="1" si="450"/>
        <v/>
      </c>
      <c r="BJ824" s="469" t="str">
        <f t="shared" si="451"/>
        <v/>
      </c>
      <c r="BK824" s="470" t="str">
        <f t="shared" si="435"/>
        <v/>
      </c>
      <c r="BL824" s="775" t="str">
        <f t="shared" si="452"/>
        <v/>
      </c>
      <c r="BM824" s="775" t="str">
        <f t="shared" si="453"/>
        <v/>
      </c>
    </row>
    <row r="825" spans="1:65">
      <c r="A825" s="473">
        <v>769</v>
      </c>
      <c r="B825" s="132"/>
      <c r="C825" s="332"/>
      <c r="D825" s="333"/>
      <c r="E825" s="333"/>
      <c r="F825" s="334"/>
      <c r="G825" s="337"/>
      <c r="H825" s="131"/>
      <c r="I825" s="337"/>
      <c r="J825" s="131"/>
      <c r="K825" s="458" t="str">
        <f t="shared" si="454"/>
        <v/>
      </c>
      <c r="L825" s="458">
        <f t="shared" si="455"/>
        <v>0</v>
      </c>
      <c r="M825" s="458">
        <f t="shared" si="456"/>
        <v>0</v>
      </c>
      <c r="N825" s="459" t="str">
        <f t="shared" si="467"/>
        <v/>
      </c>
      <c r="O825" s="459" t="str">
        <f t="shared" si="468"/>
        <v/>
      </c>
      <c r="P825" s="459" t="str">
        <f t="shared" si="469"/>
        <v/>
      </c>
      <c r="Q825" s="459" t="str">
        <f t="shared" si="470"/>
        <v/>
      </c>
      <c r="R825" s="459" t="str">
        <f t="shared" si="471"/>
        <v/>
      </c>
      <c r="S825" s="459" t="str">
        <f t="shared" si="472"/>
        <v/>
      </c>
      <c r="T825" s="566" t="str">
        <f t="shared" si="457"/>
        <v/>
      </c>
      <c r="U825" s="702"/>
      <c r="V825" s="132"/>
      <c r="W825" s="133"/>
      <c r="X825" s="134"/>
      <c r="Y825" s="135"/>
      <c r="Z825" s="137"/>
      <c r="AA825" s="136"/>
      <c r="AB825" s="566" t="str">
        <f t="shared" si="458"/>
        <v/>
      </c>
      <c r="AC825" s="568" t="str">
        <f t="shared" si="459"/>
        <v/>
      </c>
      <c r="AD825" s="137"/>
      <c r="AE825" s="137"/>
      <c r="AF825" s="138"/>
      <c r="AG825" s="138"/>
      <c r="AH825" s="592" t="str">
        <f t="shared" si="460"/>
        <v/>
      </c>
      <c r="AI825" s="592" t="str">
        <f t="shared" si="461"/>
        <v/>
      </c>
      <c r="AJ825" s="592" t="str">
        <f t="shared" si="462"/>
        <v/>
      </c>
      <c r="AK825" s="460" t="str">
        <f>IF(AU825="","",IF(OR(AZ825=8,AZ825=9),0,IF(OR(AW825=3,AW825=4,AW825=5,AW825=6),IF(LEFT(BF825,1)="1",INDEX(係数_NOX・PM低減,MATCH(AY825,【参考】排出係数!$AI$801:$AI$804,1),1),VLOOKUP(AU825,INDEX((係数_バス貨物_ガソリン,係数_バス貨物_CNG,係数_バス貨物_軽油,係数_バス貨物_メタノール,係数_バス貨物_LPG),MATCH(AY825,【参考】排出係数!$AI$4:$AI$671,1),1,BE825):INDEX((係数_バス貨物_ガソリン,係数_バス貨物_CNG,係数_バス貨物_軽油,係数_バス貨物_メタノール,係数_バス貨物_LPG),MATCH(AY825+1,【参考】排出係数!$AI$4:$AI$671,1)-1,5,BE825),4,FALSE)),IF(AND(BE825=3,LEFT(BF825,1)="1"),0.48,VLOOKUP(AU825,INDEX((係数_乗用_ガソリン,係数_乗用_CNG,係数_乗用_軽油,係数_乗用_メタノール,係数_乗用_LPG),1,1,BE825):INDEX((係数_乗用_ガソリン,係数_乗用_CNG,係数_乗用_軽油,係数_乗用_メタノール,係数_乗用_LPG),125,5,BE825),4,FALSE)))))</f>
        <v/>
      </c>
      <c r="AL825" s="461" t="str">
        <f t="shared" si="463"/>
        <v/>
      </c>
      <c r="AM825" s="460" t="str">
        <f>IF(AU825="","",IF(OR(AZ825=8,AZ825=9),0,IF(OR(AW825=3,AW825=4,AW825=5,AW825=6),IF(LEFT(BH825,1)="1",INDEX(係数_PM低減,MATCH(AY825,【参考】排出係数!$AI$801:$AI$804,1),MATCH(BI825,【参考】排出係数!$AL$798:$AO$798,1)),VLOOKUP(AU825,INDEX((係数_バス貨物_ガソリン,係数_バス貨物_CNG,係数_バス貨物_軽油,係数_バス貨物_メタノール,係数_バス貨物_LPG),MATCH(AY825,【参考】排出係数!$AI$4:$AI$671,1),1,BE825):INDEX((係数_バス貨物_ガソリン,係数_バス貨物_CNG,係数_バス貨物_軽油,係数_バス貨物_メタノール,係数_バス貨物_LPG),MATCH(AY825+1,【参考】排出係数!$AI$4:$AI$671,1)-1,5,BE825),5,FALSE)),IF(AND(BE825=3,LEFT(BF825,1)="1"),0.055,VLOOKUP(AU825,INDEX((係数_乗用_ガソリン,係数_乗用_CNG,係数_乗用_軽油,係数_乗用_メタノール,係数_乗用_LPG),1,1,BE825):INDEX((係数_乗用_ガソリン,係数_乗用_CNG,係数_乗用_軽油,係数_乗用_メタノール,係数_乗用_LPG),125,5,BE825),5,FALSE)))))</f>
        <v/>
      </c>
      <c r="AN825" s="461" t="str">
        <f t="shared" si="464"/>
        <v/>
      </c>
      <c r="AO825" s="462" t="str">
        <f t="shared" si="465"/>
        <v/>
      </c>
      <c r="AP825" s="463" t="str">
        <f t="shared" si="466"/>
        <v/>
      </c>
      <c r="AQ825" s="464"/>
      <c r="AR825" s="619"/>
      <c r="AS825" s="465" t="str">
        <f t="shared" si="436"/>
        <v/>
      </c>
      <c r="AT825" s="465" t="str">
        <f t="shared" si="437"/>
        <v/>
      </c>
      <c r="AU825" s="466" t="str">
        <f t="shared" si="438"/>
        <v/>
      </c>
      <c r="AV825" s="467" t="str">
        <f t="shared" si="439"/>
        <v/>
      </c>
      <c r="AW825" s="467" t="str">
        <f t="shared" si="440"/>
        <v/>
      </c>
      <c r="AX825" s="467" t="str">
        <f t="shared" si="441"/>
        <v/>
      </c>
      <c r="AY825" s="467" t="str">
        <f t="shared" si="442"/>
        <v/>
      </c>
      <c r="AZ825" s="467" t="str">
        <f t="shared" si="443"/>
        <v/>
      </c>
      <c r="BA825" s="468" t="str">
        <f>IF(AS825="","",IF(OR(AU825="",AU825="-"),"－",IF(OR(AZ825=8,AZ825=9),"",IF(OR(AW825=3,AW825=4,AW825=5,AW825=6),VLOOKUP(AU825,INDEX((係数_バス貨物_ガソリン,係数_バス貨物_CNG,係数_バス貨物_軽油,係数_バス貨物_メタノール,係数_バス貨物_LPG),MATCH(AY825,【参考】排出係数!$AI$4:$AI$671,1),1,BE825):INDEX((係数_バス貨物_ガソリン,係数_バス貨物_CNG,係数_バス貨物_軽油,係数_バス貨物_メタノール,係数_バス貨物_LPG),MATCH(AY825+1,【参考】排出係数!$AI$4:$AI$671,1)-1,5,BE825),2,FALSE),IF(OR(AW825=1,AW825=2),VLOOKUP(AU825,INDEX((係数_乗用_ガソリン,係数_乗用_CNG,係数_乗用_軽油,係数_乗用_メタノール,係数_乗用_LPG),1,1,BE825):INDEX((係数_乗用_ガソリン,係数_乗用_CNG,係数_乗用_軽油,係数_乗用_メタノール,係数_乗用_LPG),125,5,BE825),2,FALSE))))))</f>
        <v/>
      </c>
      <c r="BB825" s="468" t="str">
        <f>IF(T825="","",IF(OR(AU825="",AU825="-"),"－",IF(OR(AZ825=8,AZ825=9),"",IF(OR(AW825=3,AW825=4,AW825=5,AW825=6),VLOOKUP(AU825,INDEX((係数_バス貨物_ガソリン,係数_バス貨物_CNG,係数_バス貨物_軽油,係数_バス貨物_メタノール,係数_バス貨物_LPG),MATCH(AY825,【参考】排出係数!$AI$4:$AI$671,1),1,BE825):INDEX((係数_バス貨物_ガソリン,係数_バス貨物_CNG,係数_バス貨物_軽油,係数_バス貨物_メタノール,係数_バス貨物_LPG),MATCH(AY825+1,【参考】排出係数!$AI$4:$AI$671,1)-1,5,BE825),3,FALSE),IF(OR(AW825=1,AW825=2),VLOOKUP(AU825,INDEX((係数_乗用_ガソリン,係数_乗用_CNG,係数_乗用_軽油,係数_乗用_メタノール,係数_乗用_LPG),1,1,BE825):INDEX((係数_乗用_ガソリン,係数_乗用_CNG,係数_乗用_軽油,係数_乗用_メタノール,係数_乗用_LPG),125,5,BE825),3,FALSE))))))</f>
        <v/>
      </c>
      <c r="BC825" s="467" t="str">
        <f t="shared" si="444"/>
        <v/>
      </c>
      <c r="BD825" s="567" t="str">
        <f t="shared" si="445"/>
        <v/>
      </c>
      <c r="BE825" s="467" t="str">
        <f t="shared" si="446"/>
        <v/>
      </c>
      <c r="BF825" s="469" t="str">
        <f t="shared" ca="1" si="447"/>
        <v/>
      </c>
      <c r="BG825" s="469" t="str">
        <f t="shared" ca="1" si="448"/>
        <v/>
      </c>
      <c r="BH825" s="467" t="str">
        <f t="shared" si="449"/>
        <v/>
      </c>
      <c r="BI825" s="467" t="str">
        <f t="shared" ca="1" si="450"/>
        <v/>
      </c>
      <c r="BJ825" s="469" t="str">
        <f t="shared" si="451"/>
        <v/>
      </c>
      <c r="BK825" s="470" t="str">
        <f t="shared" ref="BK825:BK888" si="473">IF(AS825="","",VLOOKUP(T825,車両の増減,2,FALSE))</f>
        <v/>
      </c>
      <c r="BL825" s="775" t="str">
        <f t="shared" si="452"/>
        <v/>
      </c>
      <c r="BM825" s="775" t="str">
        <f t="shared" si="453"/>
        <v/>
      </c>
    </row>
    <row r="826" spans="1:65">
      <c r="A826" s="473">
        <v>770</v>
      </c>
      <c r="B826" s="132"/>
      <c r="C826" s="332"/>
      <c r="D826" s="333"/>
      <c r="E826" s="333"/>
      <c r="F826" s="334"/>
      <c r="G826" s="337"/>
      <c r="H826" s="131"/>
      <c r="I826" s="337"/>
      <c r="J826" s="131"/>
      <c r="K826" s="458" t="str">
        <f t="shared" si="454"/>
        <v/>
      </c>
      <c r="L826" s="458">
        <f t="shared" si="455"/>
        <v>0</v>
      </c>
      <c r="M826" s="458">
        <f t="shared" si="456"/>
        <v>0</v>
      </c>
      <c r="N826" s="459" t="str">
        <f t="shared" si="467"/>
        <v/>
      </c>
      <c r="O826" s="459" t="str">
        <f t="shared" si="468"/>
        <v/>
      </c>
      <c r="P826" s="459" t="str">
        <f t="shared" si="469"/>
        <v/>
      </c>
      <c r="Q826" s="459" t="str">
        <f t="shared" si="470"/>
        <v/>
      </c>
      <c r="R826" s="459" t="str">
        <f t="shared" si="471"/>
        <v/>
      </c>
      <c r="S826" s="459" t="str">
        <f t="shared" si="472"/>
        <v/>
      </c>
      <c r="T826" s="566" t="str">
        <f t="shared" si="457"/>
        <v/>
      </c>
      <c r="U826" s="702"/>
      <c r="V826" s="132"/>
      <c r="W826" s="133"/>
      <c r="X826" s="134"/>
      <c r="Y826" s="135"/>
      <c r="Z826" s="137"/>
      <c r="AA826" s="136"/>
      <c r="AB826" s="566" t="str">
        <f t="shared" si="458"/>
        <v/>
      </c>
      <c r="AC826" s="568" t="str">
        <f t="shared" si="459"/>
        <v/>
      </c>
      <c r="AD826" s="137"/>
      <c r="AE826" s="137"/>
      <c r="AF826" s="138"/>
      <c r="AG826" s="138"/>
      <c r="AH826" s="592" t="str">
        <f t="shared" si="460"/>
        <v/>
      </c>
      <c r="AI826" s="592" t="str">
        <f t="shared" si="461"/>
        <v/>
      </c>
      <c r="AJ826" s="592" t="str">
        <f t="shared" si="462"/>
        <v/>
      </c>
      <c r="AK826" s="460" t="str">
        <f>IF(AU826="","",IF(OR(AZ826=8,AZ826=9),0,IF(OR(AW826=3,AW826=4,AW826=5,AW826=6),IF(LEFT(BF826,1)="1",INDEX(係数_NOX・PM低減,MATCH(AY826,【参考】排出係数!$AI$801:$AI$804,1),1),VLOOKUP(AU826,INDEX((係数_バス貨物_ガソリン,係数_バス貨物_CNG,係数_バス貨物_軽油,係数_バス貨物_メタノール,係数_バス貨物_LPG),MATCH(AY826,【参考】排出係数!$AI$4:$AI$671,1),1,BE826):INDEX((係数_バス貨物_ガソリン,係数_バス貨物_CNG,係数_バス貨物_軽油,係数_バス貨物_メタノール,係数_バス貨物_LPG),MATCH(AY826+1,【参考】排出係数!$AI$4:$AI$671,1)-1,5,BE826),4,FALSE)),IF(AND(BE826=3,LEFT(BF826,1)="1"),0.48,VLOOKUP(AU826,INDEX((係数_乗用_ガソリン,係数_乗用_CNG,係数_乗用_軽油,係数_乗用_メタノール,係数_乗用_LPG),1,1,BE826):INDEX((係数_乗用_ガソリン,係数_乗用_CNG,係数_乗用_軽油,係数_乗用_メタノール,係数_乗用_LPG),125,5,BE826),4,FALSE)))))</f>
        <v/>
      </c>
      <c r="AL826" s="461" t="str">
        <f t="shared" si="463"/>
        <v/>
      </c>
      <c r="AM826" s="460" t="str">
        <f>IF(AU826="","",IF(OR(AZ826=8,AZ826=9),0,IF(OR(AW826=3,AW826=4,AW826=5,AW826=6),IF(LEFT(BH826,1)="1",INDEX(係数_PM低減,MATCH(AY826,【参考】排出係数!$AI$801:$AI$804,1),MATCH(BI826,【参考】排出係数!$AL$798:$AO$798,1)),VLOOKUP(AU826,INDEX((係数_バス貨物_ガソリン,係数_バス貨物_CNG,係数_バス貨物_軽油,係数_バス貨物_メタノール,係数_バス貨物_LPG),MATCH(AY826,【参考】排出係数!$AI$4:$AI$671,1),1,BE826):INDEX((係数_バス貨物_ガソリン,係数_バス貨物_CNG,係数_バス貨物_軽油,係数_バス貨物_メタノール,係数_バス貨物_LPG),MATCH(AY826+1,【参考】排出係数!$AI$4:$AI$671,1)-1,5,BE826),5,FALSE)),IF(AND(BE826=3,LEFT(BF826,1)="1"),0.055,VLOOKUP(AU826,INDEX((係数_乗用_ガソリン,係数_乗用_CNG,係数_乗用_軽油,係数_乗用_メタノール,係数_乗用_LPG),1,1,BE826):INDEX((係数_乗用_ガソリン,係数_乗用_CNG,係数_乗用_軽油,係数_乗用_メタノール,係数_乗用_LPG),125,5,BE826),5,FALSE)))))</f>
        <v/>
      </c>
      <c r="AN826" s="461" t="str">
        <f t="shared" si="464"/>
        <v/>
      </c>
      <c r="AO826" s="462" t="str">
        <f t="shared" si="465"/>
        <v/>
      </c>
      <c r="AP826" s="463" t="str">
        <f t="shared" si="466"/>
        <v/>
      </c>
      <c r="AQ826" s="464"/>
      <c r="AR826" s="619"/>
      <c r="AS826" s="465" t="str">
        <f t="shared" ref="AS826:AS889" si="474">IF(OR(T826="(減車済)",T826=""),"",1)</f>
        <v/>
      </c>
      <c r="AT826" s="465" t="str">
        <f t="shared" ref="AT826:AT889" si="475">IF(OR(T826="継続",T826="新規"),1,"")</f>
        <v/>
      </c>
      <c r="AU826" s="466" t="str">
        <f t="shared" ref="AU826:AU889" si="476">IF(AS826="","",UPPER(ASC(X826)))</f>
        <v/>
      </c>
      <c r="AV826" s="467" t="str">
        <f t="shared" ref="AV826:AV889" si="477">IF(AS826="","",IF(V826="","",IF(V826="普通",1,IF(V826="小型",2,0))))</f>
        <v/>
      </c>
      <c r="AW826" s="467" t="str">
        <f t="shared" ref="AW826:AW889" si="478">IF(AS826="","",IF(W826="","",VLOOKUP(W826,用途,2,FALSE)))</f>
        <v/>
      </c>
      <c r="AX826" s="467" t="str">
        <f t="shared" ref="AX826:AX889" si="479">IF(AS826="","",IF(Y826="","",IF(Y826&lt;=10,1,IF(Y826&lt;30,2,IF(Y826&gt;=30,3,0)))))</f>
        <v/>
      </c>
      <c r="AY826" s="467" t="str">
        <f t="shared" ref="AY826:AY889" si="480">IF(AS826="","",IF(Z826="","",IF(Z826&lt;=1.7*1000,1,IF(Z826&lt;=2.5*1000,2,IF(Z826&lt;=3.5*1000,3,IF(Z826&lt;8*1000,4,IF(Z826&gt;=8*1000,5,"")))))))</f>
        <v/>
      </c>
      <c r="AZ826" s="467" t="str">
        <f t="shared" ref="AZ826:AZ889" si="481">IF(AS826="","",IF(AA826="","",VLOOKUP(AA826,燃料の種類,2,FALSE)))</f>
        <v/>
      </c>
      <c r="BA826" s="468" t="str">
        <f>IF(AS826="","",IF(OR(AU826="",AU826="-"),"－",IF(OR(AZ826=8,AZ826=9),"",IF(OR(AW826=3,AW826=4,AW826=5,AW826=6),VLOOKUP(AU826,INDEX((係数_バス貨物_ガソリン,係数_バス貨物_CNG,係数_バス貨物_軽油,係数_バス貨物_メタノール,係数_バス貨物_LPG),MATCH(AY826,【参考】排出係数!$AI$4:$AI$671,1),1,BE826):INDEX((係数_バス貨物_ガソリン,係数_バス貨物_CNG,係数_バス貨物_軽油,係数_バス貨物_メタノール,係数_バス貨物_LPG),MATCH(AY826+1,【参考】排出係数!$AI$4:$AI$671,1)-1,5,BE826),2,FALSE),IF(OR(AW826=1,AW826=2),VLOOKUP(AU826,INDEX((係数_乗用_ガソリン,係数_乗用_CNG,係数_乗用_軽油,係数_乗用_メタノール,係数_乗用_LPG),1,1,BE826):INDEX((係数_乗用_ガソリン,係数_乗用_CNG,係数_乗用_軽油,係数_乗用_メタノール,係数_乗用_LPG),125,5,BE826),2,FALSE))))))</f>
        <v/>
      </c>
      <c r="BB826" s="468" t="str">
        <f>IF(T826="","",IF(OR(AU826="",AU826="-"),"－",IF(OR(AZ826=8,AZ826=9),"",IF(OR(AW826=3,AW826=4,AW826=5,AW826=6),VLOOKUP(AU826,INDEX((係数_バス貨物_ガソリン,係数_バス貨物_CNG,係数_バス貨物_軽油,係数_バス貨物_メタノール,係数_バス貨物_LPG),MATCH(AY826,【参考】排出係数!$AI$4:$AI$671,1),1,BE826):INDEX((係数_バス貨物_ガソリン,係数_バス貨物_CNG,係数_バス貨物_軽油,係数_バス貨物_メタノール,係数_バス貨物_LPG),MATCH(AY826+1,【参考】排出係数!$AI$4:$AI$671,1)-1,5,BE826),3,FALSE),IF(OR(AW826=1,AW826=2),VLOOKUP(AU826,INDEX((係数_乗用_ガソリン,係数_乗用_CNG,係数_乗用_軽油,係数_乗用_メタノール,係数_乗用_LPG),1,1,BE826):INDEX((係数_乗用_ガソリン,係数_乗用_CNG,係数_乗用_軽油,係数_乗用_メタノール,係数_乗用_LPG),125,5,BE826),3,FALSE))))))</f>
        <v/>
      </c>
      <c r="BC826" s="467" t="str">
        <f t="shared" ref="BC826:BC889" si="482">IF((AS826="")+(AC826=""),"",IF(燃料区分1=4,VLOOKUP(BB826,排ガス低減レベル,2,FALSE),VLOOKUP(AC826,排ガス低減レベル,2,FALSE)))</f>
        <v/>
      </c>
      <c r="BD826" s="567" t="str">
        <f t="shared" ref="BD826:BD889" si="483">IF(AT826="","",IF(AW826=3,B826&amp;"-"&amp;SUM(AW826*100,AX826*10,AY826)&amp;"A",IF(OR(AW826=2,AW826=4,AW826=6),B826&amp;"-"&amp;AY826*10&amp;"A",IF(AW826=1,B826&amp;"-"&amp;AW826&amp;"A",IF(AW826=5,B826&amp;"-"&amp;SUM(AW826*100,AV826*10,AY826)&amp;"A","")))))</f>
        <v/>
      </c>
      <c r="BE826" s="467" t="str">
        <f t="shared" ref="BE826:BE889" si="484">IF(OR(AZ826=1,AZ826=2,AZ826=11),1,IF(AZ826=6,2,IF(OR(AZ826=4,AZ826=5,AZ826=10),3,IF(AZ826=7,4,IF(AZ826=3,5, IF(OR(AZ826=8,AZ826=9),6,""))))))</f>
        <v/>
      </c>
      <c r="BF826" s="469" t="str">
        <f t="shared" ref="BF826:BF889" ca="1" si="485">(IF(OR(AZ826=4,AZ826=5),OFFSET($CH$1,MATCH($AF826,$CG$2:$CG$4,0),0)&amp;BK826,""))</f>
        <v/>
      </c>
      <c r="BG826" s="469" t="str">
        <f t="shared" ref="BG826:BG889" ca="1" si="486">(IF(OR(AZ826=4,AZ826=5),OFFSET($CJ$1,MATCH($AG826,$CI$2:$CI$5,0),0)&amp;BK826,""))</f>
        <v/>
      </c>
      <c r="BH826" s="467" t="str">
        <f t="shared" ref="BH826:BH889" si="487">IF(OR(AZ826=4,AZ826=5),IF(OR(LEFT(BF826,1)="1",LEFT(BG826,1)="2",LEFT(BG826,1)="3"),1,2)&amp;BK826,"")</f>
        <v/>
      </c>
      <c r="BI826" s="467" t="str">
        <f t="shared" ref="BI826:BI889" ca="1" si="488">IF(LEFT(BF826)="1",1,IF(LEFT(BG826,1)="2",2,IF(LEFT(BG826,1)="3",3,"")))</f>
        <v/>
      </c>
      <c r="BJ826" s="469" t="str">
        <f t="shared" ref="BJ826:BJ889" si="489">IF(AT826="","",B826&amp;"-"&amp;AZ826)</f>
        <v/>
      </c>
      <c r="BK826" s="470" t="str">
        <f t="shared" si="473"/>
        <v/>
      </c>
      <c r="BL826" s="775" t="str">
        <f t="shared" ref="BL826:BL889" si="490">IF(AND(OR($T826="新規",$T826="継続"),ISBLANK($AD826)),1,"")</f>
        <v/>
      </c>
      <c r="BM826" s="775" t="str">
        <f t="shared" ref="BM826:BM889" si="491">IF(AND(OR($T826="新規",$T826="継続"),ISBLANK($AE826)),1,"")</f>
        <v/>
      </c>
    </row>
    <row r="827" spans="1:65">
      <c r="A827" s="473">
        <v>771</v>
      </c>
      <c r="B827" s="132"/>
      <c r="C827" s="332"/>
      <c r="D827" s="333"/>
      <c r="E827" s="333"/>
      <c r="F827" s="334"/>
      <c r="G827" s="337"/>
      <c r="H827" s="131"/>
      <c r="I827" s="337"/>
      <c r="J827" s="131"/>
      <c r="K827" s="458" t="str">
        <f t="shared" si="454"/>
        <v/>
      </c>
      <c r="L827" s="458">
        <f t="shared" si="455"/>
        <v>0</v>
      </c>
      <c r="M827" s="458">
        <f t="shared" si="456"/>
        <v>0</v>
      </c>
      <c r="N827" s="459" t="str">
        <f t="shared" si="467"/>
        <v/>
      </c>
      <c r="O827" s="459" t="str">
        <f t="shared" si="468"/>
        <v/>
      </c>
      <c r="P827" s="459" t="str">
        <f t="shared" si="469"/>
        <v/>
      </c>
      <c r="Q827" s="459" t="str">
        <f t="shared" si="470"/>
        <v/>
      </c>
      <c r="R827" s="459" t="str">
        <f t="shared" si="471"/>
        <v/>
      </c>
      <c r="S827" s="459" t="str">
        <f t="shared" si="472"/>
        <v/>
      </c>
      <c r="T827" s="566" t="str">
        <f t="shared" si="457"/>
        <v/>
      </c>
      <c r="U827" s="702"/>
      <c r="V827" s="132"/>
      <c r="W827" s="133"/>
      <c r="X827" s="134"/>
      <c r="Y827" s="135"/>
      <c r="Z827" s="137"/>
      <c r="AA827" s="136"/>
      <c r="AB827" s="566" t="str">
        <f t="shared" si="458"/>
        <v/>
      </c>
      <c r="AC827" s="568" t="str">
        <f t="shared" si="459"/>
        <v/>
      </c>
      <c r="AD827" s="137"/>
      <c r="AE827" s="137"/>
      <c r="AF827" s="138"/>
      <c r="AG827" s="138"/>
      <c r="AH827" s="592" t="str">
        <f t="shared" si="460"/>
        <v/>
      </c>
      <c r="AI827" s="592" t="str">
        <f t="shared" si="461"/>
        <v/>
      </c>
      <c r="AJ827" s="592" t="str">
        <f t="shared" si="462"/>
        <v/>
      </c>
      <c r="AK827" s="460" t="str">
        <f>IF(AU827="","",IF(OR(AZ827=8,AZ827=9),0,IF(OR(AW827=3,AW827=4,AW827=5,AW827=6),IF(LEFT(BF827,1)="1",INDEX(係数_NOX・PM低減,MATCH(AY827,【参考】排出係数!$AI$801:$AI$804,1),1),VLOOKUP(AU827,INDEX((係数_バス貨物_ガソリン,係数_バス貨物_CNG,係数_バス貨物_軽油,係数_バス貨物_メタノール,係数_バス貨物_LPG),MATCH(AY827,【参考】排出係数!$AI$4:$AI$671,1),1,BE827):INDEX((係数_バス貨物_ガソリン,係数_バス貨物_CNG,係数_バス貨物_軽油,係数_バス貨物_メタノール,係数_バス貨物_LPG),MATCH(AY827+1,【参考】排出係数!$AI$4:$AI$671,1)-1,5,BE827),4,FALSE)),IF(AND(BE827=3,LEFT(BF827,1)="1"),0.48,VLOOKUP(AU827,INDEX((係数_乗用_ガソリン,係数_乗用_CNG,係数_乗用_軽油,係数_乗用_メタノール,係数_乗用_LPG),1,1,BE827):INDEX((係数_乗用_ガソリン,係数_乗用_CNG,係数_乗用_軽油,係数_乗用_メタノール,係数_乗用_LPG),125,5,BE827),4,FALSE)))))</f>
        <v/>
      </c>
      <c r="AL827" s="461" t="str">
        <f t="shared" si="463"/>
        <v/>
      </c>
      <c r="AM827" s="460" t="str">
        <f>IF(AU827="","",IF(OR(AZ827=8,AZ827=9),0,IF(OR(AW827=3,AW827=4,AW827=5,AW827=6),IF(LEFT(BH827,1)="1",INDEX(係数_PM低減,MATCH(AY827,【参考】排出係数!$AI$801:$AI$804,1),MATCH(BI827,【参考】排出係数!$AL$798:$AO$798,1)),VLOOKUP(AU827,INDEX((係数_バス貨物_ガソリン,係数_バス貨物_CNG,係数_バス貨物_軽油,係数_バス貨物_メタノール,係数_バス貨物_LPG),MATCH(AY827,【参考】排出係数!$AI$4:$AI$671,1),1,BE827):INDEX((係数_バス貨物_ガソリン,係数_バス貨物_CNG,係数_バス貨物_軽油,係数_バス貨物_メタノール,係数_バス貨物_LPG),MATCH(AY827+1,【参考】排出係数!$AI$4:$AI$671,1)-1,5,BE827),5,FALSE)),IF(AND(BE827=3,LEFT(BF827,1)="1"),0.055,VLOOKUP(AU827,INDEX((係数_乗用_ガソリン,係数_乗用_CNG,係数_乗用_軽油,係数_乗用_メタノール,係数_乗用_LPG),1,1,BE827):INDEX((係数_乗用_ガソリン,係数_乗用_CNG,係数_乗用_軽油,係数_乗用_メタノール,係数_乗用_LPG),125,5,BE827),5,FALSE)))))</f>
        <v/>
      </c>
      <c r="AN827" s="461" t="str">
        <f t="shared" si="464"/>
        <v/>
      </c>
      <c r="AO827" s="462" t="str">
        <f t="shared" si="465"/>
        <v/>
      </c>
      <c r="AP827" s="463" t="str">
        <f t="shared" si="466"/>
        <v/>
      </c>
      <c r="AQ827" s="464"/>
      <c r="AR827" s="619"/>
      <c r="AS827" s="465" t="str">
        <f t="shared" si="474"/>
        <v/>
      </c>
      <c r="AT827" s="465" t="str">
        <f t="shared" si="475"/>
        <v/>
      </c>
      <c r="AU827" s="466" t="str">
        <f t="shared" si="476"/>
        <v/>
      </c>
      <c r="AV827" s="467" t="str">
        <f t="shared" si="477"/>
        <v/>
      </c>
      <c r="AW827" s="467" t="str">
        <f t="shared" si="478"/>
        <v/>
      </c>
      <c r="AX827" s="467" t="str">
        <f t="shared" si="479"/>
        <v/>
      </c>
      <c r="AY827" s="467" t="str">
        <f t="shared" si="480"/>
        <v/>
      </c>
      <c r="AZ827" s="467" t="str">
        <f t="shared" si="481"/>
        <v/>
      </c>
      <c r="BA827" s="468" t="str">
        <f>IF(AS827="","",IF(OR(AU827="",AU827="-"),"－",IF(OR(AZ827=8,AZ827=9),"",IF(OR(AW827=3,AW827=4,AW827=5,AW827=6),VLOOKUP(AU827,INDEX((係数_バス貨物_ガソリン,係数_バス貨物_CNG,係数_バス貨物_軽油,係数_バス貨物_メタノール,係数_バス貨物_LPG),MATCH(AY827,【参考】排出係数!$AI$4:$AI$671,1),1,BE827):INDEX((係数_バス貨物_ガソリン,係数_バス貨物_CNG,係数_バス貨物_軽油,係数_バス貨物_メタノール,係数_バス貨物_LPG),MATCH(AY827+1,【参考】排出係数!$AI$4:$AI$671,1)-1,5,BE827),2,FALSE),IF(OR(AW827=1,AW827=2),VLOOKUP(AU827,INDEX((係数_乗用_ガソリン,係数_乗用_CNG,係数_乗用_軽油,係数_乗用_メタノール,係数_乗用_LPG),1,1,BE827):INDEX((係数_乗用_ガソリン,係数_乗用_CNG,係数_乗用_軽油,係数_乗用_メタノール,係数_乗用_LPG),125,5,BE827),2,FALSE))))))</f>
        <v/>
      </c>
      <c r="BB827" s="468" t="str">
        <f>IF(T827="","",IF(OR(AU827="",AU827="-"),"－",IF(OR(AZ827=8,AZ827=9),"",IF(OR(AW827=3,AW827=4,AW827=5,AW827=6),VLOOKUP(AU827,INDEX((係数_バス貨物_ガソリン,係数_バス貨物_CNG,係数_バス貨物_軽油,係数_バス貨物_メタノール,係数_バス貨物_LPG),MATCH(AY827,【参考】排出係数!$AI$4:$AI$671,1),1,BE827):INDEX((係数_バス貨物_ガソリン,係数_バス貨物_CNG,係数_バス貨物_軽油,係数_バス貨物_メタノール,係数_バス貨物_LPG),MATCH(AY827+1,【参考】排出係数!$AI$4:$AI$671,1)-1,5,BE827),3,FALSE),IF(OR(AW827=1,AW827=2),VLOOKUP(AU827,INDEX((係数_乗用_ガソリン,係数_乗用_CNG,係数_乗用_軽油,係数_乗用_メタノール,係数_乗用_LPG),1,1,BE827):INDEX((係数_乗用_ガソリン,係数_乗用_CNG,係数_乗用_軽油,係数_乗用_メタノール,係数_乗用_LPG),125,5,BE827),3,FALSE))))))</f>
        <v/>
      </c>
      <c r="BC827" s="467" t="str">
        <f t="shared" si="482"/>
        <v/>
      </c>
      <c r="BD827" s="567" t="str">
        <f t="shared" si="483"/>
        <v/>
      </c>
      <c r="BE827" s="467" t="str">
        <f t="shared" si="484"/>
        <v/>
      </c>
      <c r="BF827" s="469" t="str">
        <f t="shared" ca="1" si="485"/>
        <v/>
      </c>
      <c r="BG827" s="469" t="str">
        <f t="shared" ca="1" si="486"/>
        <v/>
      </c>
      <c r="BH827" s="467" t="str">
        <f t="shared" si="487"/>
        <v/>
      </c>
      <c r="BI827" s="467" t="str">
        <f t="shared" ca="1" si="488"/>
        <v/>
      </c>
      <c r="BJ827" s="469" t="str">
        <f t="shared" si="489"/>
        <v/>
      </c>
      <c r="BK827" s="470" t="str">
        <f t="shared" si="473"/>
        <v/>
      </c>
      <c r="BL827" s="775" t="str">
        <f t="shared" si="490"/>
        <v/>
      </c>
      <c r="BM827" s="775" t="str">
        <f t="shared" si="491"/>
        <v/>
      </c>
    </row>
    <row r="828" spans="1:65">
      <c r="A828" s="473">
        <v>772</v>
      </c>
      <c r="B828" s="132"/>
      <c r="C828" s="332"/>
      <c r="D828" s="333"/>
      <c r="E828" s="333"/>
      <c r="F828" s="334"/>
      <c r="G828" s="337"/>
      <c r="H828" s="131"/>
      <c r="I828" s="337"/>
      <c r="J828" s="131"/>
      <c r="K828" s="458" t="str">
        <f t="shared" si="454"/>
        <v/>
      </c>
      <c r="L828" s="458">
        <f t="shared" si="455"/>
        <v>0</v>
      </c>
      <c r="M828" s="458">
        <f t="shared" si="456"/>
        <v>0</v>
      </c>
      <c r="N828" s="459" t="str">
        <f t="shared" si="467"/>
        <v/>
      </c>
      <c r="O828" s="459" t="str">
        <f t="shared" si="468"/>
        <v/>
      </c>
      <c r="P828" s="459" t="str">
        <f t="shared" si="469"/>
        <v/>
      </c>
      <c r="Q828" s="459" t="str">
        <f t="shared" si="470"/>
        <v/>
      </c>
      <c r="R828" s="459" t="str">
        <f t="shared" si="471"/>
        <v/>
      </c>
      <c r="S828" s="459" t="str">
        <f t="shared" si="472"/>
        <v/>
      </c>
      <c r="T828" s="566" t="str">
        <f t="shared" si="457"/>
        <v/>
      </c>
      <c r="U828" s="702"/>
      <c r="V828" s="132"/>
      <c r="W828" s="133"/>
      <c r="X828" s="134"/>
      <c r="Y828" s="135"/>
      <c r="Z828" s="137"/>
      <c r="AA828" s="136"/>
      <c r="AB828" s="566" t="str">
        <f t="shared" si="458"/>
        <v/>
      </c>
      <c r="AC828" s="568" t="str">
        <f t="shared" si="459"/>
        <v/>
      </c>
      <c r="AD828" s="137"/>
      <c r="AE828" s="137"/>
      <c r="AF828" s="138"/>
      <c r="AG828" s="138"/>
      <c r="AH828" s="592" t="str">
        <f t="shared" si="460"/>
        <v/>
      </c>
      <c r="AI828" s="592" t="str">
        <f t="shared" si="461"/>
        <v/>
      </c>
      <c r="AJ828" s="592" t="str">
        <f t="shared" si="462"/>
        <v/>
      </c>
      <c r="AK828" s="460" t="str">
        <f>IF(AU828="","",IF(OR(AZ828=8,AZ828=9),0,IF(OR(AW828=3,AW828=4,AW828=5,AW828=6),IF(LEFT(BF828,1)="1",INDEX(係数_NOX・PM低減,MATCH(AY828,【参考】排出係数!$AI$801:$AI$804,1),1),VLOOKUP(AU828,INDEX((係数_バス貨物_ガソリン,係数_バス貨物_CNG,係数_バス貨物_軽油,係数_バス貨物_メタノール,係数_バス貨物_LPG),MATCH(AY828,【参考】排出係数!$AI$4:$AI$671,1),1,BE828):INDEX((係数_バス貨物_ガソリン,係数_バス貨物_CNG,係数_バス貨物_軽油,係数_バス貨物_メタノール,係数_バス貨物_LPG),MATCH(AY828+1,【参考】排出係数!$AI$4:$AI$671,1)-1,5,BE828),4,FALSE)),IF(AND(BE828=3,LEFT(BF828,1)="1"),0.48,VLOOKUP(AU828,INDEX((係数_乗用_ガソリン,係数_乗用_CNG,係数_乗用_軽油,係数_乗用_メタノール,係数_乗用_LPG),1,1,BE828):INDEX((係数_乗用_ガソリン,係数_乗用_CNG,係数_乗用_軽油,係数_乗用_メタノール,係数_乗用_LPG),125,5,BE828),4,FALSE)))))</f>
        <v/>
      </c>
      <c r="AL828" s="461" t="str">
        <f t="shared" si="463"/>
        <v/>
      </c>
      <c r="AM828" s="460" t="str">
        <f>IF(AU828="","",IF(OR(AZ828=8,AZ828=9),0,IF(OR(AW828=3,AW828=4,AW828=5,AW828=6),IF(LEFT(BH828,1)="1",INDEX(係数_PM低減,MATCH(AY828,【参考】排出係数!$AI$801:$AI$804,1),MATCH(BI828,【参考】排出係数!$AL$798:$AO$798,1)),VLOOKUP(AU828,INDEX((係数_バス貨物_ガソリン,係数_バス貨物_CNG,係数_バス貨物_軽油,係数_バス貨物_メタノール,係数_バス貨物_LPG),MATCH(AY828,【参考】排出係数!$AI$4:$AI$671,1),1,BE828):INDEX((係数_バス貨物_ガソリン,係数_バス貨物_CNG,係数_バス貨物_軽油,係数_バス貨物_メタノール,係数_バス貨物_LPG),MATCH(AY828+1,【参考】排出係数!$AI$4:$AI$671,1)-1,5,BE828),5,FALSE)),IF(AND(BE828=3,LEFT(BF828,1)="1"),0.055,VLOOKUP(AU828,INDEX((係数_乗用_ガソリン,係数_乗用_CNG,係数_乗用_軽油,係数_乗用_メタノール,係数_乗用_LPG),1,1,BE828):INDEX((係数_乗用_ガソリン,係数_乗用_CNG,係数_乗用_軽油,係数_乗用_メタノール,係数_乗用_LPG),125,5,BE828),5,FALSE)))))</f>
        <v/>
      </c>
      <c r="AN828" s="461" t="str">
        <f t="shared" si="464"/>
        <v/>
      </c>
      <c r="AO828" s="462" t="str">
        <f t="shared" si="465"/>
        <v/>
      </c>
      <c r="AP828" s="463" t="str">
        <f t="shared" si="466"/>
        <v/>
      </c>
      <c r="AQ828" s="464"/>
      <c r="AR828" s="619"/>
      <c r="AS828" s="465" t="str">
        <f t="shared" si="474"/>
        <v/>
      </c>
      <c r="AT828" s="465" t="str">
        <f t="shared" si="475"/>
        <v/>
      </c>
      <c r="AU828" s="466" t="str">
        <f t="shared" si="476"/>
        <v/>
      </c>
      <c r="AV828" s="467" t="str">
        <f t="shared" si="477"/>
        <v/>
      </c>
      <c r="AW828" s="467" t="str">
        <f t="shared" si="478"/>
        <v/>
      </c>
      <c r="AX828" s="467" t="str">
        <f t="shared" si="479"/>
        <v/>
      </c>
      <c r="AY828" s="467" t="str">
        <f t="shared" si="480"/>
        <v/>
      </c>
      <c r="AZ828" s="467" t="str">
        <f t="shared" si="481"/>
        <v/>
      </c>
      <c r="BA828" s="468" t="str">
        <f>IF(AS828="","",IF(OR(AU828="",AU828="-"),"－",IF(OR(AZ828=8,AZ828=9),"",IF(OR(AW828=3,AW828=4,AW828=5,AW828=6),VLOOKUP(AU828,INDEX((係数_バス貨物_ガソリン,係数_バス貨物_CNG,係数_バス貨物_軽油,係数_バス貨物_メタノール,係数_バス貨物_LPG),MATCH(AY828,【参考】排出係数!$AI$4:$AI$671,1),1,BE828):INDEX((係数_バス貨物_ガソリン,係数_バス貨物_CNG,係数_バス貨物_軽油,係数_バス貨物_メタノール,係数_バス貨物_LPG),MATCH(AY828+1,【参考】排出係数!$AI$4:$AI$671,1)-1,5,BE828),2,FALSE),IF(OR(AW828=1,AW828=2),VLOOKUP(AU828,INDEX((係数_乗用_ガソリン,係数_乗用_CNG,係数_乗用_軽油,係数_乗用_メタノール,係数_乗用_LPG),1,1,BE828):INDEX((係数_乗用_ガソリン,係数_乗用_CNG,係数_乗用_軽油,係数_乗用_メタノール,係数_乗用_LPG),125,5,BE828),2,FALSE))))))</f>
        <v/>
      </c>
      <c r="BB828" s="468" t="str">
        <f>IF(T828="","",IF(OR(AU828="",AU828="-"),"－",IF(OR(AZ828=8,AZ828=9),"",IF(OR(AW828=3,AW828=4,AW828=5,AW828=6),VLOOKUP(AU828,INDEX((係数_バス貨物_ガソリン,係数_バス貨物_CNG,係数_バス貨物_軽油,係数_バス貨物_メタノール,係数_バス貨物_LPG),MATCH(AY828,【参考】排出係数!$AI$4:$AI$671,1),1,BE828):INDEX((係数_バス貨物_ガソリン,係数_バス貨物_CNG,係数_バス貨物_軽油,係数_バス貨物_メタノール,係数_バス貨物_LPG),MATCH(AY828+1,【参考】排出係数!$AI$4:$AI$671,1)-1,5,BE828),3,FALSE),IF(OR(AW828=1,AW828=2),VLOOKUP(AU828,INDEX((係数_乗用_ガソリン,係数_乗用_CNG,係数_乗用_軽油,係数_乗用_メタノール,係数_乗用_LPG),1,1,BE828):INDEX((係数_乗用_ガソリン,係数_乗用_CNG,係数_乗用_軽油,係数_乗用_メタノール,係数_乗用_LPG),125,5,BE828),3,FALSE))))))</f>
        <v/>
      </c>
      <c r="BC828" s="467" t="str">
        <f t="shared" si="482"/>
        <v/>
      </c>
      <c r="BD828" s="567" t="str">
        <f t="shared" si="483"/>
        <v/>
      </c>
      <c r="BE828" s="467" t="str">
        <f t="shared" si="484"/>
        <v/>
      </c>
      <c r="BF828" s="469" t="str">
        <f t="shared" ca="1" si="485"/>
        <v/>
      </c>
      <c r="BG828" s="469" t="str">
        <f t="shared" ca="1" si="486"/>
        <v/>
      </c>
      <c r="BH828" s="467" t="str">
        <f t="shared" si="487"/>
        <v/>
      </c>
      <c r="BI828" s="467" t="str">
        <f t="shared" ca="1" si="488"/>
        <v/>
      </c>
      <c r="BJ828" s="469" t="str">
        <f t="shared" si="489"/>
        <v/>
      </c>
      <c r="BK828" s="470" t="str">
        <f t="shared" si="473"/>
        <v/>
      </c>
      <c r="BL828" s="775" t="str">
        <f t="shared" si="490"/>
        <v/>
      </c>
      <c r="BM828" s="775" t="str">
        <f t="shared" si="491"/>
        <v/>
      </c>
    </row>
    <row r="829" spans="1:65">
      <c r="A829" s="473">
        <v>773</v>
      </c>
      <c r="B829" s="132"/>
      <c r="C829" s="332"/>
      <c r="D829" s="333"/>
      <c r="E829" s="333"/>
      <c r="F829" s="334"/>
      <c r="G829" s="337"/>
      <c r="H829" s="131"/>
      <c r="I829" s="337"/>
      <c r="J829" s="131"/>
      <c r="K829" s="458" t="str">
        <f t="shared" si="454"/>
        <v/>
      </c>
      <c r="L829" s="458">
        <f t="shared" si="455"/>
        <v>0</v>
      </c>
      <c r="M829" s="458">
        <f t="shared" si="456"/>
        <v>0</v>
      </c>
      <c r="N829" s="459" t="str">
        <f t="shared" si="467"/>
        <v/>
      </c>
      <c r="O829" s="459" t="str">
        <f t="shared" si="468"/>
        <v/>
      </c>
      <c r="P829" s="459" t="str">
        <f t="shared" si="469"/>
        <v/>
      </c>
      <c r="Q829" s="459" t="str">
        <f t="shared" si="470"/>
        <v/>
      </c>
      <c r="R829" s="459" t="str">
        <f t="shared" si="471"/>
        <v/>
      </c>
      <c r="S829" s="459" t="str">
        <f t="shared" si="472"/>
        <v/>
      </c>
      <c r="T829" s="566" t="str">
        <f t="shared" si="457"/>
        <v/>
      </c>
      <c r="U829" s="702"/>
      <c r="V829" s="132"/>
      <c r="W829" s="133"/>
      <c r="X829" s="134"/>
      <c r="Y829" s="135"/>
      <c r="Z829" s="137"/>
      <c r="AA829" s="136"/>
      <c r="AB829" s="566" t="str">
        <f t="shared" si="458"/>
        <v/>
      </c>
      <c r="AC829" s="568" t="str">
        <f t="shared" si="459"/>
        <v/>
      </c>
      <c r="AD829" s="137"/>
      <c r="AE829" s="137"/>
      <c r="AF829" s="138"/>
      <c r="AG829" s="138"/>
      <c r="AH829" s="592" t="str">
        <f t="shared" si="460"/>
        <v/>
      </c>
      <c r="AI829" s="592" t="str">
        <f t="shared" si="461"/>
        <v/>
      </c>
      <c r="AJ829" s="592" t="str">
        <f t="shared" si="462"/>
        <v/>
      </c>
      <c r="AK829" s="460" t="str">
        <f>IF(AU829="","",IF(OR(AZ829=8,AZ829=9),0,IF(OR(AW829=3,AW829=4,AW829=5,AW829=6),IF(LEFT(BF829,1)="1",INDEX(係数_NOX・PM低減,MATCH(AY829,【参考】排出係数!$AI$801:$AI$804,1),1),VLOOKUP(AU829,INDEX((係数_バス貨物_ガソリン,係数_バス貨物_CNG,係数_バス貨物_軽油,係数_バス貨物_メタノール,係数_バス貨物_LPG),MATCH(AY829,【参考】排出係数!$AI$4:$AI$671,1),1,BE829):INDEX((係数_バス貨物_ガソリン,係数_バス貨物_CNG,係数_バス貨物_軽油,係数_バス貨物_メタノール,係数_バス貨物_LPG),MATCH(AY829+1,【参考】排出係数!$AI$4:$AI$671,1)-1,5,BE829),4,FALSE)),IF(AND(BE829=3,LEFT(BF829,1)="1"),0.48,VLOOKUP(AU829,INDEX((係数_乗用_ガソリン,係数_乗用_CNG,係数_乗用_軽油,係数_乗用_メタノール,係数_乗用_LPG),1,1,BE829):INDEX((係数_乗用_ガソリン,係数_乗用_CNG,係数_乗用_軽油,係数_乗用_メタノール,係数_乗用_LPG),125,5,BE829),4,FALSE)))))</f>
        <v/>
      </c>
      <c r="AL829" s="461" t="str">
        <f t="shared" si="463"/>
        <v/>
      </c>
      <c r="AM829" s="460" t="str">
        <f>IF(AU829="","",IF(OR(AZ829=8,AZ829=9),0,IF(OR(AW829=3,AW829=4,AW829=5,AW829=6),IF(LEFT(BH829,1)="1",INDEX(係数_PM低減,MATCH(AY829,【参考】排出係数!$AI$801:$AI$804,1),MATCH(BI829,【参考】排出係数!$AL$798:$AO$798,1)),VLOOKUP(AU829,INDEX((係数_バス貨物_ガソリン,係数_バス貨物_CNG,係数_バス貨物_軽油,係数_バス貨物_メタノール,係数_バス貨物_LPG),MATCH(AY829,【参考】排出係数!$AI$4:$AI$671,1),1,BE829):INDEX((係数_バス貨物_ガソリン,係数_バス貨物_CNG,係数_バス貨物_軽油,係数_バス貨物_メタノール,係数_バス貨物_LPG),MATCH(AY829+1,【参考】排出係数!$AI$4:$AI$671,1)-1,5,BE829),5,FALSE)),IF(AND(BE829=3,LEFT(BF829,1)="1"),0.055,VLOOKUP(AU829,INDEX((係数_乗用_ガソリン,係数_乗用_CNG,係数_乗用_軽油,係数_乗用_メタノール,係数_乗用_LPG),1,1,BE829):INDEX((係数_乗用_ガソリン,係数_乗用_CNG,係数_乗用_軽油,係数_乗用_メタノール,係数_乗用_LPG),125,5,BE829),5,FALSE)))))</f>
        <v/>
      </c>
      <c r="AN829" s="461" t="str">
        <f t="shared" si="464"/>
        <v/>
      </c>
      <c r="AO829" s="462" t="str">
        <f t="shared" si="465"/>
        <v/>
      </c>
      <c r="AP829" s="463" t="str">
        <f t="shared" si="466"/>
        <v/>
      </c>
      <c r="AQ829" s="464"/>
      <c r="AR829" s="619"/>
      <c r="AS829" s="465" t="str">
        <f t="shared" si="474"/>
        <v/>
      </c>
      <c r="AT829" s="465" t="str">
        <f t="shared" si="475"/>
        <v/>
      </c>
      <c r="AU829" s="466" t="str">
        <f t="shared" si="476"/>
        <v/>
      </c>
      <c r="AV829" s="467" t="str">
        <f t="shared" si="477"/>
        <v/>
      </c>
      <c r="AW829" s="467" t="str">
        <f t="shared" si="478"/>
        <v/>
      </c>
      <c r="AX829" s="467" t="str">
        <f t="shared" si="479"/>
        <v/>
      </c>
      <c r="AY829" s="467" t="str">
        <f t="shared" si="480"/>
        <v/>
      </c>
      <c r="AZ829" s="467" t="str">
        <f t="shared" si="481"/>
        <v/>
      </c>
      <c r="BA829" s="468" t="str">
        <f>IF(AS829="","",IF(OR(AU829="",AU829="-"),"－",IF(OR(AZ829=8,AZ829=9),"",IF(OR(AW829=3,AW829=4,AW829=5,AW829=6),VLOOKUP(AU829,INDEX((係数_バス貨物_ガソリン,係数_バス貨物_CNG,係数_バス貨物_軽油,係数_バス貨物_メタノール,係数_バス貨物_LPG),MATCH(AY829,【参考】排出係数!$AI$4:$AI$671,1),1,BE829):INDEX((係数_バス貨物_ガソリン,係数_バス貨物_CNG,係数_バス貨物_軽油,係数_バス貨物_メタノール,係数_バス貨物_LPG),MATCH(AY829+1,【参考】排出係数!$AI$4:$AI$671,1)-1,5,BE829),2,FALSE),IF(OR(AW829=1,AW829=2),VLOOKUP(AU829,INDEX((係数_乗用_ガソリン,係数_乗用_CNG,係数_乗用_軽油,係数_乗用_メタノール,係数_乗用_LPG),1,1,BE829):INDEX((係数_乗用_ガソリン,係数_乗用_CNG,係数_乗用_軽油,係数_乗用_メタノール,係数_乗用_LPG),125,5,BE829),2,FALSE))))))</f>
        <v/>
      </c>
      <c r="BB829" s="468" t="str">
        <f>IF(T829="","",IF(OR(AU829="",AU829="-"),"－",IF(OR(AZ829=8,AZ829=9),"",IF(OR(AW829=3,AW829=4,AW829=5,AW829=6),VLOOKUP(AU829,INDEX((係数_バス貨物_ガソリン,係数_バス貨物_CNG,係数_バス貨物_軽油,係数_バス貨物_メタノール,係数_バス貨物_LPG),MATCH(AY829,【参考】排出係数!$AI$4:$AI$671,1),1,BE829):INDEX((係数_バス貨物_ガソリン,係数_バス貨物_CNG,係数_バス貨物_軽油,係数_バス貨物_メタノール,係数_バス貨物_LPG),MATCH(AY829+1,【参考】排出係数!$AI$4:$AI$671,1)-1,5,BE829),3,FALSE),IF(OR(AW829=1,AW829=2),VLOOKUP(AU829,INDEX((係数_乗用_ガソリン,係数_乗用_CNG,係数_乗用_軽油,係数_乗用_メタノール,係数_乗用_LPG),1,1,BE829):INDEX((係数_乗用_ガソリン,係数_乗用_CNG,係数_乗用_軽油,係数_乗用_メタノール,係数_乗用_LPG),125,5,BE829),3,FALSE))))))</f>
        <v/>
      </c>
      <c r="BC829" s="467" t="str">
        <f t="shared" si="482"/>
        <v/>
      </c>
      <c r="BD829" s="567" t="str">
        <f t="shared" si="483"/>
        <v/>
      </c>
      <c r="BE829" s="467" t="str">
        <f t="shared" si="484"/>
        <v/>
      </c>
      <c r="BF829" s="469" t="str">
        <f t="shared" ca="1" si="485"/>
        <v/>
      </c>
      <c r="BG829" s="469" t="str">
        <f t="shared" ca="1" si="486"/>
        <v/>
      </c>
      <c r="BH829" s="467" t="str">
        <f t="shared" si="487"/>
        <v/>
      </c>
      <c r="BI829" s="467" t="str">
        <f t="shared" ca="1" si="488"/>
        <v/>
      </c>
      <c r="BJ829" s="469" t="str">
        <f t="shared" si="489"/>
        <v/>
      </c>
      <c r="BK829" s="470" t="str">
        <f t="shared" si="473"/>
        <v/>
      </c>
      <c r="BL829" s="775" t="str">
        <f t="shared" si="490"/>
        <v/>
      </c>
      <c r="BM829" s="775" t="str">
        <f t="shared" si="491"/>
        <v/>
      </c>
    </row>
    <row r="830" spans="1:65">
      <c r="A830" s="473">
        <v>774</v>
      </c>
      <c r="B830" s="132"/>
      <c r="C830" s="332"/>
      <c r="D830" s="333"/>
      <c r="E830" s="333"/>
      <c r="F830" s="334"/>
      <c r="G830" s="337"/>
      <c r="H830" s="131"/>
      <c r="I830" s="337"/>
      <c r="J830" s="131"/>
      <c r="K830" s="458" t="str">
        <f t="shared" si="454"/>
        <v/>
      </c>
      <c r="L830" s="458">
        <f t="shared" si="455"/>
        <v>0</v>
      </c>
      <c r="M830" s="458">
        <f t="shared" si="456"/>
        <v>0</v>
      </c>
      <c r="N830" s="459" t="str">
        <f t="shared" si="467"/>
        <v/>
      </c>
      <c r="O830" s="459" t="str">
        <f t="shared" si="468"/>
        <v/>
      </c>
      <c r="P830" s="459" t="str">
        <f t="shared" si="469"/>
        <v/>
      </c>
      <c r="Q830" s="459" t="str">
        <f t="shared" si="470"/>
        <v/>
      </c>
      <c r="R830" s="459" t="str">
        <f t="shared" si="471"/>
        <v/>
      </c>
      <c r="S830" s="459" t="str">
        <f t="shared" si="472"/>
        <v/>
      </c>
      <c r="T830" s="566" t="str">
        <f t="shared" si="457"/>
        <v/>
      </c>
      <c r="U830" s="702"/>
      <c r="V830" s="132"/>
      <c r="W830" s="133"/>
      <c r="X830" s="134"/>
      <c r="Y830" s="135"/>
      <c r="Z830" s="137"/>
      <c r="AA830" s="136"/>
      <c r="AB830" s="566" t="str">
        <f t="shared" si="458"/>
        <v/>
      </c>
      <c r="AC830" s="568" t="str">
        <f t="shared" si="459"/>
        <v/>
      </c>
      <c r="AD830" s="137"/>
      <c r="AE830" s="137"/>
      <c r="AF830" s="138"/>
      <c r="AG830" s="138"/>
      <c r="AH830" s="592" t="str">
        <f t="shared" si="460"/>
        <v/>
      </c>
      <c r="AI830" s="592" t="str">
        <f t="shared" si="461"/>
        <v/>
      </c>
      <c r="AJ830" s="592" t="str">
        <f t="shared" si="462"/>
        <v/>
      </c>
      <c r="AK830" s="460" t="str">
        <f>IF(AU830="","",IF(OR(AZ830=8,AZ830=9),0,IF(OR(AW830=3,AW830=4,AW830=5,AW830=6),IF(LEFT(BF830,1)="1",INDEX(係数_NOX・PM低減,MATCH(AY830,【参考】排出係数!$AI$801:$AI$804,1),1),VLOOKUP(AU830,INDEX((係数_バス貨物_ガソリン,係数_バス貨物_CNG,係数_バス貨物_軽油,係数_バス貨物_メタノール,係数_バス貨物_LPG),MATCH(AY830,【参考】排出係数!$AI$4:$AI$671,1),1,BE830):INDEX((係数_バス貨物_ガソリン,係数_バス貨物_CNG,係数_バス貨物_軽油,係数_バス貨物_メタノール,係数_バス貨物_LPG),MATCH(AY830+1,【参考】排出係数!$AI$4:$AI$671,1)-1,5,BE830),4,FALSE)),IF(AND(BE830=3,LEFT(BF830,1)="1"),0.48,VLOOKUP(AU830,INDEX((係数_乗用_ガソリン,係数_乗用_CNG,係数_乗用_軽油,係数_乗用_メタノール,係数_乗用_LPG),1,1,BE830):INDEX((係数_乗用_ガソリン,係数_乗用_CNG,係数_乗用_軽油,係数_乗用_メタノール,係数_乗用_LPG),125,5,BE830),4,FALSE)))))</f>
        <v/>
      </c>
      <c r="AL830" s="461" t="str">
        <f t="shared" si="463"/>
        <v/>
      </c>
      <c r="AM830" s="460" t="str">
        <f>IF(AU830="","",IF(OR(AZ830=8,AZ830=9),0,IF(OR(AW830=3,AW830=4,AW830=5,AW830=6),IF(LEFT(BH830,1)="1",INDEX(係数_PM低減,MATCH(AY830,【参考】排出係数!$AI$801:$AI$804,1),MATCH(BI830,【参考】排出係数!$AL$798:$AO$798,1)),VLOOKUP(AU830,INDEX((係数_バス貨物_ガソリン,係数_バス貨物_CNG,係数_バス貨物_軽油,係数_バス貨物_メタノール,係数_バス貨物_LPG),MATCH(AY830,【参考】排出係数!$AI$4:$AI$671,1),1,BE830):INDEX((係数_バス貨物_ガソリン,係数_バス貨物_CNG,係数_バス貨物_軽油,係数_バス貨物_メタノール,係数_バス貨物_LPG),MATCH(AY830+1,【参考】排出係数!$AI$4:$AI$671,1)-1,5,BE830),5,FALSE)),IF(AND(BE830=3,LEFT(BF830,1)="1"),0.055,VLOOKUP(AU830,INDEX((係数_乗用_ガソリン,係数_乗用_CNG,係数_乗用_軽油,係数_乗用_メタノール,係数_乗用_LPG),1,1,BE830):INDEX((係数_乗用_ガソリン,係数_乗用_CNG,係数_乗用_軽油,係数_乗用_メタノール,係数_乗用_LPG),125,5,BE830),5,FALSE)))))</f>
        <v/>
      </c>
      <c r="AN830" s="461" t="str">
        <f t="shared" si="464"/>
        <v/>
      </c>
      <c r="AO830" s="462" t="str">
        <f t="shared" si="465"/>
        <v/>
      </c>
      <c r="AP830" s="463" t="str">
        <f t="shared" si="466"/>
        <v/>
      </c>
      <c r="AQ830" s="464"/>
      <c r="AR830" s="619"/>
      <c r="AS830" s="465" t="str">
        <f t="shared" si="474"/>
        <v/>
      </c>
      <c r="AT830" s="465" t="str">
        <f t="shared" si="475"/>
        <v/>
      </c>
      <c r="AU830" s="466" t="str">
        <f t="shared" si="476"/>
        <v/>
      </c>
      <c r="AV830" s="467" t="str">
        <f t="shared" si="477"/>
        <v/>
      </c>
      <c r="AW830" s="467" t="str">
        <f t="shared" si="478"/>
        <v/>
      </c>
      <c r="AX830" s="467" t="str">
        <f t="shared" si="479"/>
        <v/>
      </c>
      <c r="AY830" s="467" t="str">
        <f t="shared" si="480"/>
        <v/>
      </c>
      <c r="AZ830" s="467" t="str">
        <f t="shared" si="481"/>
        <v/>
      </c>
      <c r="BA830" s="468" t="str">
        <f>IF(AS830="","",IF(OR(AU830="",AU830="-"),"－",IF(OR(AZ830=8,AZ830=9),"",IF(OR(AW830=3,AW830=4,AW830=5,AW830=6),VLOOKUP(AU830,INDEX((係数_バス貨物_ガソリン,係数_バス貨物_CNG,係数_バス貨物_軽油,係数_バス貨物_メタノール,係数_バス貨物_LPG),MATCH(AY830,【参考】排出係数!$AI$4:$AI$671,1),1,BE830):INDEX((係数_バス貨物_ガソリン,係数_バス貨物_CNG,係数_バス貨物_軽油,係数_バス貨物_メタノール,係数_バス貨物_LPG),MATCH(AY830+1,【参考】排出係数!$AI$4:$AI$671,1)-1,5,BE830),2,FALSE),IF(OR(AW830=1,AW830=2),VLOOKUP(AU830,INDEX((係数_乗用_ガソリン,係数_乗用_CNG,係数_乗用_軽油,係数_乗用_メタノール,係数_乗用_LPG),1,1,BE830):INDEX((係数_乗用_ガソリン,係数_乗用_CNG,係数_乗用_軽油,係数_乗用_メタノール,係数_乗用_LPG),125,5,BE830),2,FALSE))))))</f>
        <v/>
      </c>
      <c r="BB830" s="468" t="str">
        <f>IF(T830="","",IF(OR(AU830="",AU830="-"),"－",IF(OR(AZ830=8,AZ830=9),"",IF(OR(AW830=3,AW830=4,AW830=5,AW830=6),VLOOKUP(AU830,INDEX((係数_バス貨物_ガソリン,係数_バス貨物_CNG,係数_バス貨物_軽油,係数_バス貨物_メタノール,係数_バス貨物_LPG),MATCH(AY830,【参考】排出係数!$AI$4:$AI$671,1),1,BE830):INDEX((係数_バス貨物_ガソリン,係数_バス貨物_CNG,係数_バス貨物_軽油,係数_バス貨物_メタノール,係数_バス貨物_LPG),MATCH(AY830+1,【参考】排出係数!$AI$4:$AI$671,1)-1,5,BE830),3,FALSE),IF(OR(AW830=1,AW830=2),VLOOKUP(AU830,INDEX((係数_乗用_ガソリン,係数_乗用_CNG,係数_乗用_軽油,係数_乗用_メタノール,係数_乗用_LPG),1,1,BE830):INDEX((係数_乗用_ガソリン,係数_乗用_CNG,係数_乗用_軽油,係数_乗用_メタノール,係数_乗用_LPG),125,5,BE830),3,FALSE))))))</f>
        <v/>
      </c>
      <c r="BC830" s="467" t="str">
        <f t="shared" si="482"/>
        <v/>
      </c>
      <c r="BD830" s="567" t="str">
        <f t="shared" si="483"/>
        <v/>
      </c>
      <c r="BE830" s="467" t="str">
        <f t="shared" si="484"/>
        <v/>
      </c>
      <c r="BF830" s="469" t="str">
        <f t="shared" ca="1" si="485"/>
        <v/>
      </c>
      <c r="BG830" s="469" t="str">
        <f t="shared" ca="1" si="486"/>
        <v/>
      </c>
      <c r="BH830" s="467" t="str">
        <f t="shared" si="487"/>
        <v/>
      </c>
      <c r="BI830" s="467" t="str">
        <f t="shared" ca="1" si="488"/>
        <v/>
      </c>
      <c r="BJ830" s="469" t="str">
        <f t="shared" si="489"/>
        <v/>
      </c>
      <c r="BK830" s="470" t="str">
        <f t="shared" si="473"/>
        <v/>
      </c>
      <c r="BL830" s="775" t="str">
        <f t="shared" si="490"/>
        <v/>
      </c>
      <c r="BM830" s="775" t="str">
        <f t="shared" si="491"/>
        <v/>
      </c>
    </row>
    <row r="831" spans="1:65">
      <c r="A831" s="473">
        <v>775</v>
      </c>
      <c r="B831" s="132"/>
      <c r="C831" s="332"/>
      <c r="D831" s="333"/>
      <c r="E831" s="333"/>
      <c r="F831" s="334"/>
      <c r="G831" s="337"/>
      <c r="H831" s="131"/>
      <c r="I831" s="337"/>
      <c r="J831" s="131"/>
      <c r="K831" s="458" t="str">
        <f t="shared" si="454"/>
        <v/>
      </c>
      <c r="L831" s="458">
        <f t="shared" si="455"/>
        <v>0</v>
      </c>
      <c r="M831" s="458">
        <f t="shared" si="456"/>
        <v>0</v>
      </c>
      <c r="N831" s="459" t="str">
        <f t="shared" si="467"/>
        <v/>
      </c>
      <c r="O831" s="459" t="str">
        <f t="shared" si="468"/>
        <v/>
      </c>
      <c r="P831" s="459" t="str">
        <f t="shared" si="469"/>
        <v/>
      </c>
      <c r="Q831" s="459" t="str">
        <f t="shared" si="470"/>
        <v/>
      </c>
      <c r="R831" s="459" t="str">
        <f t="shared" si="471"/>
        <v/>
      </c>
      <c r="S831" s="459" t="str">
        <f t="shared" si="472"/>
        <v/>
      </c>
      <c r="T831" s="566" t="str">
        <f t="shared" si="457"/>
        <v/>
      </c>
      <c r="U831" s="702"/>
      <c r="V831" s="132"/>
      <c r="W831" s="133"/>
      <c r="X831" s="134"/>
      <c r="Y831" s="135"/>
      <c r="Z831" s="137"/>
      <c r="AA831" s="136"/>
      <c r="AB831" s="566" t="str">
        <f t="shared" si="458"/>
        <v/>
      </c>
      <c r="AC831" s="568" t="str">
        <f t="shared" si="459"/>
        <v/>
      </c>
      <c r="AD831" s="137"/>
      <c r="AE831" s="137"/>
      <c r="AF831" s="138"/>
      <c r="AG831" s="138"/>
      <c r="AH831" s="592" t="str">
        <f t="shared" si="460"/>
        <v/>
      </c>
      <c r="AI831" s="592" t="str">
        <f t="shared" si="461"/>
        <v/>
      </c>
      <c r="AJ831" s="592" t="str">
        <f t="shared" si="462"/>
        <v/>
      </c>
      <c r="AK831" s="460" t="str">
        <f>IF(AU831="","",IF(OR(AZ831=8,AZ831=9),0,IF(OR(AW831=3,AW831=4,AW831=5,AW831=6),IF(LEFT(BF831,1)="1",INDEX(係数_NOX・PM低減,MATCH(AY831,【参考】排出係数!$AI$801:$AI$804,1),1),VLOOKUP(AU831,INDEX((係数_バス貨物_ガソリン,係数_バス貨物_CNG,係数_バス貨物_軽油,係数_バス貨物_メタノール,係数_バス貨物_LPG),MATCH(AY831,【参考】排出係数!$AI$4:$AI$671,1),1,BE831):INDEX((係数_バス貨物_ガソリン,係数_バス貨物_CNG,係数_バス貨物_軽油,係数_バス貨物_メタノール,係数_バス貨物_LPG),MATCH(AY831+1,【参考】排出係数!$AI$4:$AI$671,1)-1,5,BE831),4,FALSE)),IF(AND(BE831=3,LEFT(BF831,1)="1"),0.48,VLOOKUP(AU831,INDEX((係数_乗用_ガソリン,係数_乗用_CNG,係数_乗用_軽油,係数_乗用_メタノール,係数_乗用_LPG),1,1,BE831):INDEX((係数_乗用_ガソリン,係数_乗用_CNG,係数_乗用_軽油,係数_乗用_メタノール,係数_乗用_LPG),125,5,BE831),4,FALSE)))))</f>
        <v/>
      </c>
      <c r="AL831" s="461" t="str">
        <f t="shared" si="463"/>
        <v/>
      </c>
      <c r="AM831" s="460" t="str">
        <f>IF(AU831="","",IF(OR(AZ831=8,AZ831=9),0,IF(OR(AW831=3,AW831=4,AW831=5,AW831=6),IF(LEFT(BH831,1)="1",INDEX(係数_PM低減,MATCH(AY831,【参考】排出係数!$AI$801:$AI$804,1),MATCH(BI831,【参考】排出係数!$AL$798:$AO$798,1)),VLOOKUP(AU831,INDEX((係数_バス貨物_ガソリン,係数_バス貨物_CNG,係数_バス貨物_軽油,係数_バス貨物_メタノール,係数_バス貨物_LPG),MATCH(AY831,【参考】排出係数!$AI$4:$AI$671,1),1,BE831):INDEX((係数_バス貨物_ガソリン,係数_バス貨物_CNG,係数_バス貨物_軽油,係数_バス貨物_メタノール,係数_バス貨物_LPG),MATCH(AY831+1,【参考】排出係数!$AI$4:$AI$671,1)-1,5,BE831),5,FALSE)),IF(AND(BE831=3,LEFT(BF831,1)="1"),0.055,VLOOKUP(AU831,INDEX((係数_乗用_ガソリン,係数_乗用_CNG,係数_乗用_軽油,係数_乗用_メタノール,係数_乗用_LPG),1,1,BE831):INDEX((係数_乗用_ガソリン,係数_乗用_CNG,係数_乗用_軽油,係数_乗用_メタノール,係数_乗用_LPG),125,5,BE831),5,FALSE)))))</f>
        <v/>
      </c>
      <c r="AN831" s="461" t="str">
        <f t="shared" si="464"/>
        <v/>
      </c>
      <c r="AO831" s="462" t="str">
        <f t="shared" si="465"/>
        <v/>
      </c>
      <c r="AP831" s="463" t="str">
        <f t="shared" si="466"/>
        <v/>
      </c>
      <c r="AQ831" s="464"/>
      <c r="AR831" s="619"/>
      <c r="AS831" s="465" t="str">
        <f t="shared" si="474"/>
        <v/>
      </c>
      <c r="AT831" s="465" t="str">
        <f t="shared" si="475"/>
        <v/>
      </c>
      <c r="AU831" s="466" t="str">
        <f t="shared" si="476"/>
        <v/>
      </c>
      <c r="AV831" s="467" t="str">
        <f t="shared" si="477"/>
        <v/>
      </c>
      <c r="AW831" s="467" t="str">
        <f t="shared" si="478"/>
        <v/>
      </c>
      <c r="AX831" s="467" t="str">
        <f t="shared" si="479"/>
        <v/>
      </c>
      <c r="AY831" s="467" t="str">
        <f t="shared" si="480"/>
        <v/>
      </c>
      <c r="AZ831" s="467" t="str">
        <f t="shared" si="481"/>
        <v/>
      </c>
      <c r="BA831" s="468" t="str">
        <f>IF(AS831="","",IF(OR(AU831="",AU831="-"),"－",IF(OR(AZ831=8,AZ831=9),"",IF(OR(AW831=3,AW831=4,AW831=5,AW831=6),VLOOKUP(AU831,INDEX((係数_バス貨物_ガソリン,係数_バス貨物_CNG,係数_バス貨物_軽油,係数_バス貨物_メタノール,係数_バス貨物_LPG),MATCH(AY831,【参考】排出係数!$AI$4:$AI$671,1),1,BE831):INDEX((係数_バス貨物_ガソリン,係数_バス貨物_CNG,係数_バス貨物_軽油,係数_バス貨物_メタノール,係数_バス貨物_LPG),MATCH(AY831+1,【参考】排出係数!$AI$4:$AI$671,1)-1,5,BE831),2,FALSE),IF(OR(AW831=1,AW831=2),VLOOKUP(AU831,INDEX((係数_乗用_ガソリン,係数_乗用_CNG,係数_乗用_軽油,係数_乗用_メタノール,係数_乗用_LPG),1,1,BE831):INDEX((係数_乗用_ガソリン,係数_乗用_CNG,係数_乗用_軽油,係数_乗用_メタノール,係数_乗用_LPG),125,5,BE831),2,FALSE))))))</f>
        <v/>
      </c>
      <c r="BB831" s="468" t="str">
        <f>IF(T831="","",IF(OR(AU831="",AU831="-"),"－",IF(OR(AZ831=8,AZ831=9),"",IF(OR(AW831=3,AW831=4,AW831=5,AW831=6),VLOOKUP(AU831,INDEX((係数_バス貨物_ガソリン,係数_バス貨物_CNG,係数_バス貨物_軽油,係数_バス貨物_メタノール,係数_バス貨物_LPG),MATCH(AY831,【参考】排出係数!$AI$4:$AI$671,1),1,BE831):INDEX((係数_バス貨物_ガソリン,係数_バス貨物_CNG,係数_バス貨物_軽油,係数_バス貨物_メタノール,係数_バス貨物_LPG),MATCH(AY831+1,【参考】排出係数!$AI$4:$AI$671,1)-1,5,BE831),3,FALSE),IF(OR(AW831=1,AW831=2),VLOOKUP(AU831,INDEX((係数_乗用_ガソリン,係数_乗用_CNG,係数_乗用_軽油,係数_乗用_メタノール,係数_乗用_LPG),1,1,BE831):INDEX((係数_乗用_ガソリン,係数_乗用_CNG,係数_乗用_軽油,係数_乗用_メタノール,係数_乗用_LPG),125,5,BE831),3,FALSE))))))</f>
        <v/>
      </c>
      <c r="BC831" s="467" t="str">
        <f t="shared" si="482"/>
        <v/>
      </c>
      <c r="BD831" s="567" t="str">
        <f t="shared" si="483"/>
        <v/>
      </c>
      <c r="BE831" s="467" t="str">
        <f t="shared" si="484"/>
        <v/>
      </c>
      <c r="BF831" s="469" t="str">
        <f t="shared" ca="1" si="485"/>
        <v/>
      </c>
      <c r="BG831" s="469" t="str">
        <f t="shared" ca="1" si="486"/>
        <v/>
      </c>
      <c r="BH831" s="467" t="str">
        <f t="shared" si="487"/>
        <v/>
      </c>
      <c r="BI831" s="467" t="str">
        <f t="shared" ca="1" si="488"/>
        <v/>
      </c>
      <c r="BJ831" s="469" t="str">
        <f t="shared" si="489"/>
        <v/>
      </c>
      <c r="BK831" s="470" t="str">
        <f t="shared" si="473"/>
        <v/>
      </c>
      <c r="BL831" s="775" t="str">
        <f t="shared" si="490"/>
        <v/>
      </c>
      <c r="BM831" s="775" t="str">
        <f t="shared" si="491"/>
        <v/>
      </c>
    </row>
    <row r="832" spans="1:65">
      <c r="A832" s="473">
        <v>776</v>
      </c>
      <c r="B832" s="132"/>
      <c r="C832" s="332"/>
      <c r="D832" s="333"/>
      <c r="E832" s="333"/>
      <c r="F832" s="334"/>
      <c r="G832" s="337"/>
      <c r="H832" s="131"/>
      <c r="I832" s="337"/>
      <c r="J832" s="131"/>
      <c r="K832" s="458" t="str">
        <f t="shared" si="454"/>
        <v/>
      </c>
      <c r="L832" s="458">
        <f t="shared" si="455"/>
        <v>0</v>
      </c>
      <c r="M832" s="458">
        <f t="shared" si="456"/>
        <v>0</v>
      </c>
      <c r="N832" s="459" t="str">
        <f t="shared" si="467"/>
        <v/>
      </c>
      <c r="O832" s="459" t="str">
        <f t="shared" si="468"/>
        <v/>
      </c>
      <c r="P832" s="459" t="str">
        <f t="shared" si="469"/>
        <v/>
      </c>
      <c r="Q832" s="459" t="str">
        <f t="shared" si="470"/>
        <v/>
      </c>
      <c r="R832" s="459" t="str">
        <f t="shared" si="471"/>
        <v/>
      </c>
      <c r="S832" s="459" t="str">
        <f t="shared" si="472"/>
        <v/>
      </c>
      <c r="T832" s="566" t="str">
        <f t="shared" si="457"/>
        <v/>
      </c>
      <c r="U832" s="702"/>
      <c r="V832" s="132"/>
      <c r="W832" s="133"/>
      <c r="X832" s="134"/>
      <c r="Y832" s="135"/>
      <c r="Z832" s="137"/>
      <c r="AA832" s="136"/>
      <c r="AB832" s="566" t="str">
        <f t="shared" si="458"/>
        <v/>
      </c>
      <c r="AC832" s="568" t="str">
        <f t="shared" si="459"/>
        <v/>
      </c>
      <c r="AD832" s="137"/>
      <c r="AE832" s="137"/>
      <c r="AF832" s="138"/>
      <c r="AG832" s="138"/>
      <c r="AH832" s="592" t="str">
        <f t="shared" si="460"/>
        <v/>
      </c>
      <c r="AI832" s="592" t="str">
        <f t="shared" si="461"/>
        <v/>
      </c>
      <c r="AJ832" s="592" t="str">
        <f t="shared" si="462"/>
        <v/>
      </c>
      <c r="AK832" s="460" t="str">
        <f>IF(AU832="","",IF(OR(AZ832=8,AZ832=9),0,IF(OR(AW832=3,AW832=4,AW832=5,AW832=6),IF(LEFT(BF832,1)="1",INDEX(係数_NOX・PM低減,MATCH(AY832,【参考】排出係数!$AI$801:$AI$804,1),1),VLOOKUP(AU832,INDEX((係数_バス貨物_ガソリン,係数_バス貨物_CNG,係数_バス貨物_軽油,係数_バス貨物_メタノール,係数_バス貨物_LPG),MATCH(AY832,【参考】排出係数!$AI$4:$AI$671,1),1,BE832):INDEX((係数_バス貨物_ガソリン,係数_バス貨物_CNG,係数_バス貨物_軽油,係数_バス貨物_メタノール,係数_バス貨物_LPG),MATCH(AY832+1,【参考】排出係数!$AI$4:$AI$671,1)-1,5,BE832),4,FALSE)),IF(AND(BE832=3,LEFT(BF832,1)="1"),0.48,VLOOKUP(AU832,INDEX((係数_乗用_ガソリン,係数_乗用_CNG,係数_乗用_軽油,係数_乗用_メタノール,係数_乗用_LPG),1,1,BE832):INDEX((係数_乗用_ガソリン,係数_乗用_CNG,係数_乗用_軽油,係数_乗用_メタノール,係数_乗用_LPG),125,5,BE832),4,FALSE)))))</f>
        <v/>
      </c>
      <c r="AL832" s="461" t="str">
        <f t="shared" si="463"/>
        <v/>
      </c>
      <c r="AM832" s="460" t="str">
        <f>IF(AU832="","",IF(OR(AZ832=8,AZ832=9),0,IF(OR(AW832=3,AW832=4,AW832=5,AW832=6),IF(LEFT(BH832,1)="1",INDEX(係数_PM低減,MATCH(AY832,【参考】排出係数!$AI$801:$AI$804,1),MATCH(BI832,【参考】排出係数!$AL$798:$AO$798,1)),VLOOKUP(AU832,INDEX((係数_バス貨物_ガソリン,係数_バス貨物_CNG,係数_バス貨物_軽油,係数_バス貨物_メタノール,係数_バス貨物_LPG),MATCH(AY832,【参考】排出係数!$AI$4:$AI$671,1),1,BE832):INDEX((係数_バス貨物_ガソリン,係数_バス貨物_CNG,係数_バス貨物_軽油,係数_バス貨物_メタノール,係数_バス貨物_LPG),MATCH(AY832+1,【参考】排出係数!$AI$4:$AI$671,1)-1,5,BE832),5,FALSE)),IF(AND(BE832=3,LEFT(BF832,1)="1"),0.055,VLOOKUP(AU832,INDEX((係数_乗用_ガソリン,係数_乗用_CNG,係数_乗用_軽油,係数_乗用_メタノール,係数_乗用_LPG),1,1,BE832):INDEX((係数_乗用_ガソリン,係数_乗用_CNG,係数_乗用_軽油,係数_乗用_メタノール,係数_乗用_LPG),125,5,BE832),5,FALSE)))))</f>
        <v/>
      </c>
      <c r="AN832" s="461" t="str">
        <f t="shared" si="464"/>
        <v/>
      </c>
      <c r="AO832" s="462" t="str">
        <f t="shared" si="465"/>
        <v/>
      </c>
      <c r="AP832" s="463" t="str">
        <f t="shared" si="466"/>
        <v/>
      </c>
      <c r="AQ832" s="464"/>
      <c r="AR832" s="619"/>
      <c r="AS832" s="465" t="str">
        <f t="shared" si="474"/>
        <v/>
      </c>
      <c r="AT832" s="465" t="str">
        <f t="shared" si="475"/>
        <v/>
      </c>
      <c r="AU832" s="466" t="str">
        <f t="shared" si="476"/>
        <v/>
      </c>
      <c r="AV832" s="467" t="str">
        <f t="shared" si="477"/>
        <v/>
      </c>
      <c r="AW832" s="467" t="str">
        <f t="shared" si="478"/>
        <v/>
      </c>
      <c r="AX832" s="467" t="str">
        <f t="shared" si="479"/>
        <v/>
      </c>
      <c r="AY832" s="467" t="str">
        <f t="shared" si="480"/>
        <v/>
      </c>
      <c r="AZ832" s="467" t="str">
        <f t="shared" si="481"/>
        <v/>
      </c>
      <c r="BA832" s="468" t="str">
        <f>IF(AS832="","",IF(OR(AU832="",AU832="-"),"－",IF(OR(AZ832=8,AZ832=9),"",IF(OR(AW832=3,AW832=4,AW832=5,AW832=6),VLOOKUP(AU832,INDEX((係数_バス貨物_ガソリン,係数_バス貨物_CNG,係数_バス貨物_軽油,係数_バス貨物_メタノール,係数_バス貨物_LPG),MATCH(AY832,【参考】排出係数!$AI$4:$AI$671,1),1,BE832):INDEX((係数_バス貨物_ガソリン,係数_バス貨物_CNG,係数_バス貨物_軽油,係数_バス貨物_メタノール,係数_バス貨物_LPG),MATCH(AY832+1,【参考】排出係数!$AI$4:$AI$671,1)-1,5,BE832),2,FALSE),IF(OR(AW832=1,AW832=2),VLOOKUP(AU832,INDEX((係数_乗用_ガソリン,係数_乗用_CNG,係数_乗用_軽油,係数_乗用_メタノール,係数_乗用_LPG),1,1,BE832):INDEX((係数_乗用_ガソリン,係数_乗用_CNG,係数_乗用_軽油,係数_乗用_メタノール,係数_乗用_LPG),125,5,BE832),2,FALSE))))))</f>
        <v/>
      </c>
      <c r="BB832" s="468" t="str">
        <f>IF(T832="","",IF(OR(AU832="",AU832="-"),"－",IF(OR(AZ832=8,AZ832=9),"",IF(OR(AW832=3,AW832=4,AW832=5,AW832=6),VLOOKUP(AU832,INDEX((係数_バス貨物_ガソリン,係数_バス貨物_CNG,係数_バス貨物_軽油,係数_バス貨物_メタノール,係数_バス貨物_LPG),MATCH(AY832,【参考】排出係数!$AI$4:$AI$671,1),1,BE832):INDEX((係数_バス貨物_ガソリン,係数_バス貨物_CNG,係数_バス貨物_軽油,係数_バス貨物_メタノール,係数_バス貨物_LPG),MATCH(AY832+1,【参考】排出係数!$AI$4:$AI$671,1)-1,5,BE832),3,FALSE),IF(OR(AW832=1,AW832=2),VLOOKUP(AU832,INDEX((係数_乗用_ガソリン,係数_乗用_CNG,係数_乗用_軽油,係数_乗用_メタノール,係数_乗用_LPG),1,1,BE832):INDEX((係数_乗用_ガソリン,係数_乗用_CNG,係数_乗用_軽油,係数_乗用_メタノール,係数_乗用_LPG),125,5,BE832),3,FALSE))))))</f>
        <v/>
      </c>
      <c r="BC832" s="467" t="str">
        <f t="shared" si="482"/>
        <v/>
      </c>
      <c r="BD832" s="567" t="str">
        <f t="shared" si="483"/>
        <v/>
      </c>
      <c r="BE832" s="467" t="str">
        <f t="shared" si="484"/>
        <v/>
      </c>
      <c r="BF832" s="469" t="str">
        <f t="shared" ca="1" si="485"/>
        <v/>
      </c>
      <c r="BG832" s="469" t="str">
        <f t="shared" ca="1" si="486"/>
        <v/>
      </c>
      <c r="BH832" s="467" t="str">
        <f t="shared" si="487"/>
        <v/>
      </c>
      <c r="BI832" s="467" t="str">
        <f t="shared" ca="1" si="488"/>
        <v/>
      </c>
      <c r="BJ832" s="469" t="str">
        <f t="shared" si="489"/>
        <v/>
      </c>
      <c r="BK832" s="470" t="str">
        <f t="shared" si="473"/>
        <v/>
      </c>
      <c r="BL832" s="775" t="str">
        <f t="shared" si="490"/>
        <v/>
      </c>
      <c r="BM832" s="775" t="str">
        <f t="shared" si="491"/>
        <v/>
      </c>
    </row>
    <row r="833" spans="1:65">
      <c r="A833" s="473">
        <v>777</v>
      </c>
      <c r="B833" s="132"/>
      <c r="C833" s="332"/>
      <c r="D833" s="333"/>
      <c r="E833" s="333"/>
      <c r="F833" s="334"/>
      <c r="G833" s="337"/>
      <c r="H833" s="131"/>
      <c r="I833" s="337"/>
      <c r="J833" s="131"/>
      <c r="K833" s="458" t="str">
        <f t="shared" si="454"/>
        <v/>
      </c>
      <c r="L833" s="458">
        <f t="shared" si="455"/>
        <v>0</v>
      </c>
      <c r="M833" s="458">
        <f t="shared" si="456"/>
        <v>0</v>
      </c>
      <c r="N833" s="459" t="str">
        <f t="shared" si="467"/>
        <v/>
      </c>
      <c r="O833" s="459" t="str">
        <f t="shared" si="468"/>
        <v/>
      </c>
      <c r="P833" s="459" t="str">
        <f t="shared" si="469"/>
        <v/>
      </c>
      <c r="Q833" s="459" t="str">
        <f t="shared" si="470"/>
        <v/>
      </c>
      <c r="R833" s="459" t="str">
        <f t="shared" si="471"/>
        <v/>
      </c>
      <c r="S833" s="459" t="str">
        <f t="shared" si="472"/>
        <v/>
      </c>
      <c r="T833" s="566" t="str">
        <f t="shared" si="457"/>
        <v/>
      </c>
      <c r="U833" s="702"/>
      <c r="V833" s="132"/>
      <c r="W833" s="133"/>
      <c r="X833" s="134"/>
      <c r="Y833" s="135"/>
      <c r="Z833" s="137"/>
      <c r="AA833" s="136"/>
      <c r="AB833" s="566" t="str">
        <f t="shared" si="458"/>
        <v/>
      </c>
      <c r="AC833" s="568" t="str">
        <f t="shared" si="459"/>
        <v/>
      </c>
      <c r="AD833" s="137"/>
      <c r="AE833" s="137"/>
      <c r="AF833" s="138"/>
      <c r="AG833" s="138"/>
      <c r="AH833" s="592" t="str">
        <f t="shared" si="460"/>
        <v/>
      </c>
      <c r="AI833" s="592" t="str">
        <f t="shared" si="461"/>
        <v/>
      </c>
      <c r="AJ833" s="592" t="str">
        <f t="shared" si="462"/>
        <v/>
      </c>
      <c r="AK833" s="460" t="str">
        <f>IF(AU833="","",IF(OR(AZ833=8,AZ833=9),0,IF(OR(AW833=3,AW833=4,AW833=5,AW833=6),IF(LEFT(BF833,1)="1",INDEX(係数_NOX・PM低減,MATCH(AY833,【参考】排出係数!$AI$801:$AI$804,1),1),VLOOKUP(AU833,INDEX((係数_バス貨物_ガソリン,係数_バス貨物_CNG,係数_バス貨物_軽油,係数_バス貨物_メタノール,係数_バス貨物_LPG),MATCH(AY833,【参考】排出係数!$AI$4:$AI$671,1),1,BE833):INDEX((係数_バス貨物_ガソリン,係数_バス貨物_CNG,係数_バス貨物_軽油,係数_バス貨物_メタノール,係数_バス貨物_LPG),MATCH(AY833+1,【参考】排出係数!$AI$4:$AI$671,1)-1,5,BE833),4,FALSE)),IF(AND(BE833=3,LEFT(BF833,1)="1"),0.48,VLOOKUP(AU833,INDEX((係数_乗用_ガソリン,係数_乗用_CNG,係数_乗用_軽油,係数_乗用_メタノール,係数_乗用_LPG),1,1,BE833):INDEX((係数_乗用_ガソリン,係数_乗用_CNG,係数_乗用_軽油,係数_乗用_メタノール,係数_乗用_LPG),125,5,BE833),4,FALSE)))))</f>
        <v/>
      </c>
      <c r="AL833" s="461" t="str">
        <f t="shared" si="463"/>
        <v/>
      </c>
      <c r="AM833" s="460" t="str">
        <f>IF(AU833="","",IF(OR(AZ833=8,AZ833=9),0,IF(OR(AW833=3,AW833=4,AW833=5,AW833=6),IF(LEFT(BH833,1)="1",INDEX(係数_PM低減,MATCH(AY833,【参考】排出係数!$AI$801:$AI$804,1),MATCH(BI833,【参考】排出係数!$AL$798:$AO$798,1)),VLOOKUP(AU833,INDEX((係数_バス貨物_ガソリン,係数_バス貨物_CNG,係数_バス貨物_軽油,係数_バス貨物_メタノール,係数_バス貨物_LPG),MATCH(AY833,【参考】排出係数!$AI$4:$AI$671,1),1,BE833):INDEX((係数_バス貨物_ガソリン,係数_バス貨物_CNG,係数_バス貨物_軽油,係数_バス貨物_メタノール,係数_バス貨物_LPG),MATCH(AY833+1,【参考】排出係数!$AI$4:$AI$671,1)-1,5,BE833),5,FALSE)),IF(AND(BE833=3,LEFT(BF833,1)="1"),0.055,VLOOKUP(AU833,INDEX((係数_乗用_ガソリン,係数_乗用_CNG,係数_乗用_軽油,係数_乗用_メタノール,係数_乗用_LPG),1,1,BE833):INDEX((係数_乗用_ガソリン,係数_乗用_CNG,係数_乗用_軽油,係数_乗用_メタノール,係数_乗用_LPG),125,5,BE833),5,FALSE)))))</f>
        <v/>
      </c>
      <c r="AN833" s="461" t="str">
        <f t="shared" si="464"/>
        <v/>
      </c>
      <c r="AO833" s="462" t="str">
        <f t="shared" si="465"/>
        <v/>
      </c>
      <c r="AP833" s="463" t="str">
        <f t="shared" si="466"/>
        <v/>
      </c>
      <c r="AQ833" s="464"/>
      <c r="AR833" s="619"/>
      <c r="AS833" s="465" t="str">
        <f t="shared" si="474"/>
        <v/>
      </c>
      <c r="AT833" s="465" t="str">
        <f t="shared" si="475"/>
        <v/>
      </c>
      <c r="AU833" s="466" t="str">
        <f t="shared" si="476"/>
        <v/>
      </c>
      <c r="AV833" s="467" t="str">
        <f t="shared" si="477"/>
        <v/>
      </c>
      <c r="AW833" s="467" t="str">
        <f t="shared" si="478"/>
        <v/>
      </c>
      <c r="AX833" s="467" t="str">
        <f t="shared" si="479"/>
        <v/>
      </c>
      <c r="AY833" s="467" t="str">
        <f t="shared" si="480"/>
        <v/>
      </c>
      <c r="AZ833" s="467" t="str">
        <f t="shared" si="481"/>
        <v/>
      </c>
      <c r="BA833" s="468" t="str">
        <f>IF(AS833="","",IF(OR(AU833="",AU833="-"),"－",IF(OR(AZ833=8,AZ833=9),"",IF(OR(AW833=3,AW833=4,AW833=5,AW833=6),VLOOKUP(AU833,INDEX((係数_バス貨物_ガソリン,係数_バス貨物_CNG,係数_バス貨物_軽油,係数_バス貨物_メタノール,係数_バス貨物_LPG),MATCH(AY833,【参考】排出係数!$AI$4:$AI$671,1),1,BE833):INDEX((係数_バス貨物_ガソリン,係数_バス貨物_CNG,係数_バス貨物_軽油,係数_バス貨物_メタノール,係数_バス貨物_LPG),MATCH(AY833+1,【参考】排出係数!$AI$4:$AI$671,1)-1,5,BE833),2,FALSE),IF(OR(AW833=1,AW833=2),VLOOKUP(AU833,INDEX((係数_乗用_ガソリン,係数_乗用_CNG,係数_乗用_軽油,係数_乗用_メタノール,係数_乗用_LPG),1,1,BE833):INDEX((係数_乗用_ガソリン,係数_乗用_CNG,係数_乗用_軽油,係数_乗用_メタノール,係数_乗用_LPG),125,5,BE833),2,FALSE))))))</f>
        <v/>
      </c>
      <c r="BB833" s="468" t="str">
        <f>IF(T833="","",IF(OR(AU833="",AU833="-"),"－",IF(OR(AZ833=8,AZ833=9),"",IF(OR(AW833=3,AW833=4,AW833=5,AW833=6),VLOOKUP(AU833,INDEX((係数_バス貨物_ガソリン,係数_バス貨物_CNG,係数_バス貨物_軽油,係数_バス貨物_メタノール,係数_バス貨物_LPG),MATCH(AY833,【参考】排出係数!$AI$4:$AI$671,1),1,BE833):INDEX((係数_バス貨物_ガソリン,係数_バス貨物_CNG,係数_バス貨物_軽油,係数_バス貨物_メタノール,係数_バス貨物_LPG),MATCH(AY833+1,【参考】排出係数!$AI$4:$AI$671,1)-1,5,BE833),3,FALSE),IF(OR(AW833=1,AW833=2),VLOOKUP(AU833,INDEX((係数_乗用_ガソリン,係数_乗用_CNG,係数_乗用_軽油,係数_乗用_メタノール,係数_乗用_LPG),1,1,BE833):INDEX((係数_乗用_ガソリン,係数_乗用_CNG,係数_乗用_軽油,係数_乗用_メタノール,係数_乗用_LPG),125,5,BE833),3,FALSE))))))</f>
        <v/>
      </c>
      <c r="BC833" s="467" t="str">
        <f t="shared" si="482"/>
        <v/>
      </c>
      <c r="BD833" s="567" t="str">
        <f t="shared" si="483"/>
        <v/>
      </c>
      <c r="BE833" s="467" t="str">
        <f t="shared" si="484"/>
        <v/>
      </c>
      <c r="BF833" s="469" t="str">
        <f t="shared" ca="1" si="485"/>
        <v/>
      </c>
      <c r="BG833" s="469" t="str">
        <f t="shared" ca="1" si="486"/>
        <v/>
      </c>
      <c r="BH833" s="467" t="str">
        <f t="shared" si="487"/>
        <v/>
      </c>
      <c r="BI833" s="467" t="str">
        <f t="shared" ca="1" si="488"/>
        <v/>
      </c>
      <c r="BJ833" s="469" t="str">
        <f t="shared" si="489"/>
        <v/>
      </c>
      <c r="BK833" s="470" t="str">
        <f t="shared" si="473"/>
        <v/>
      </c>
      <c r="BL833" s="775" t="str">
        <f t="shared" si="490"/>
        <v/>
      </c>
      <c r="BM833" s="775" t="str">
        <f t="shared" si="491"/>
        <v/>
      </c>
    </row>
    <row r="834" spans="1:65">
      <c r="A834" s="473">
        <v>778</v>
      </c>
      <c r="B834" s="132"/>
      <c r="C834" s="332"/>
      <c r="D834" s="333"/>
      <c r="E834" s="333"/>
      <c r="F834" s="334"/>
      <c r="G834" s="337"/>
      <c r="H834" s="131"/>
      <c r="I834" s="337"/>
      <c r="J834" s="131"/>
      <c r="K834" s="458" t="str">
        <f t="shared" si="454"/>
        <v/>
      </c>
      <c r="L834" s="458">
        <f t="shared" si="455"/>
        <v>0</v>
      </c>
      <c r="M834" s="458">
        <f t="shared" si="456"/>
        <v>0</v>
      </c>
      <c r="N834" s="459" t="str">
        <f t="shared" si="467"/>
        <v/>
      </c>
      <c r="O834" s="459" t="str">
        <f t="shared" si="468"/>
        <v/>
      </c>
      <c r="P834" s="459" t="str">
        <f t="shared" si="469"/>
        <v/>
      </c>
      <c r="Q834" s="459" t="str">
        <f t="shared" si="470"/>
        <v/>
      </c>
      <c r="R834" s="459" t="str">
        <f t="shared" si="471"/>
        <v/>
      </c>
      <c r="S834" s="459" t="str">
        <f t="shared" si="472"/>
        <v/>
      </c>
      <c r="T834" s="566" t="str">
        <f t="shared" si="457"/>
        <v/>
      </c>
      <c r="U834" s="702"/>
      <c r="V834" s="132"/>
      <c r="W834" s="133"/>
      <c r="X834" s="134"/>
      <c r="Y834" s="135"/>
      <c r="Z834" s="137"/>
      <c r="AA834" s="136"/>
      <c r="AB834" s="566" t="str">
        <f t="shared" si="458"/>
        <v/>
      </c>
      <c r="AC834" s="568" t="str">
        <f t="shared" si="459"/>
        <v/>
      </c>
      <c r="AD834" s="137"/>
      <c r="AE834" s="137"/>
      <c r="AF834" s="138"/>
      <c r="AG834" s="138"/>
      <c r="AH834" s="592" t="str">
        <f t="shared" si="460"/>
        <v/>
      </c>
      <c r="AI834" s="592" t="str">
        <f t="shared" si="461"/>
        <v/>
      </c>
      <c r="AJ834" s="592" t="str">
        <f t="shared" si="462"/>
        <v/>
      </c>
      <c r="AK834" s="460" t="str">
        <f>IF(AU834="","",IF(OR(AZ834=8,AZ834=9),0,IF(OR(AW834=3,AW834=4,AW834=5,AW834=6),IF(LEFT(BF834,1)="1",INDEX(係数_NOX・PM低減,MATCH(AY834,【参考】排出係数!$AI$801:$AI$804,1),1),VLOOKUP(AU834,INDEX((係数_バス貨物_ガソリン,係数_バス貨物_CNG,係数_バス貨物_軽油,係数_バス貨物_メタノール,係数_バス貨物_LPG),MATCH(AY834,【参考】排出係数!$AI$4:$AI$671,1),1,BE834):INDEX((係数_バス貨物_ガソリン,係数_バス貨物_CNG,係数_バス貨物_軽油,係数_バス貨物_メタノール,係数_バス貨物_LPG),MATCH(AY834+1,【参考】排出係数!$AI$4:$AI$671,1)-1,5,BE834),4,FALSE)),IF(AND(BE834=3,LEFT(BF834,1)="1"),0.48,VLOOKUP(AU834,INDEX((係数_乗用_ガソリン,係数_乗用_CNG,係数_乗用_軽油,係数_乗用_メタノール,係数_乗用_LPG),1,1,BE834):INDEX((係数_乗用_ガソリン,係数_乗用_CNG,係数_乗用_軽油,係数_乗用_メタノール,係数_乗用_LPG),125,5,BE834),4,FALSE)))))</f>
        <v/>
      </c>
      <c r="AL834" s="461" t="str">
        <f t="shared" si="463"/>
        <v/>
      </c>
      <c r="AM834" s="460" t="str">
        <f>IF(AU834="","",IF(OR(AZ834=8,AZ834=9),0,IF(OR(AW834=3,AW834=4,AW834=5,AW834=6),IF(LEFT(BH834,1)="1",INDEX(係数_PM低減,MATCH(AY834,【参考】排出係数!$AI$801:$AI$804,1),MATCH(BI834,【参考】排出係数!$AL$798:$AO$798,1)),VLOOKUP(AU834,INDEX((係数_バス貨物_ガソリン,係数_バス貨物_CNG,係数_バス貨物_軽油,係数_バス貨物_メタノール,係数_バス貨物_LPG),MATCH(AY834,【参考】排出係数!$AI$4:$AI$671,1),1,BE834):INDEX((係数_バス貨物_ガソリン,係数_バス貨物_CNG,係数_バス貨物_軽油,係数_バス貨物_メタノール,係数_バス貨物_LPG),MATCH(AY834+1,【参考】排出係数!$AI$4:$AI$671,1)-1,5,BE834),5,FALSE)),IF(AND(BE834=3,LEFT(BF834,1)="1"),0.055,VLOOKUP(AU834,INDEX((係数_乗用_ガソリン,係数_乗用_CNG,係数_乗用_軽油,係数_乗用_メタノール,係数_乗用_LPG),1,1,BE834):INDEX((係数_乗用_ガソリン,係数_乗用_CNG,係数_乗用_軽油,係数_乗用_メタノール,係数_乗用_LPG),125,5,BE834),5,FALSE)))))</f>
        <v/>
      </c>
      <c r="AN834" s="461" t="str">
        <f t="shared" si="464"/>
        <v/>
      </c>
      <c r="AO834" s="462" t="str">
        <f t="shared" si="465"/>
        <v/>
      </c>
      <c r="AP834" s="463" t="str">
        <f t="shared" si="466"/>
        <v/>
      </c>
      <c r="AQ834" s="464"/>
      <c r="AR834" s="619"/>
      <c r="AS834" s="465" t="str">
        <f t="shared" si="474"/>
        <v/>
      </c>
      <c r="AT834" s="465" t="str">
        <f t="shared" si="475"/>
        <v/>
      </c>
      <c r="AU834" s="466" t="str">
        <f t="shared" si="476"/>
        <v/>
      </c>
      <c r="AV834" s="467" t="str">
        <f t="shared" si="477"/>
        <v/>
      </c>
      <c r="AW834" s="467" t="str">
        <f t="shared" si="478"/>
        <v/>
      </c>
      <c r="AX834" s="467" t="str">
        <f t="shared" si="479"/>
        <v/>
      </c>
      <c r="AY834" s="467" t="str">
        <f t="shared" si="480"/>
        <v/>
      </c>
      <c r="AZ834" s="467" t="str">
        <f t="shared" si="481"/>
        <v/>
      </c>
      <c r="BA834" s="468" t="str">
        <f>IF(AS834="","",IF(OR(AU834="",AU834="-"),"－",IF(OR(AZ834=8,AZ834=9),"",IF(OR(AW834=3,AW834=4,AW834=5,AW834=6),VLOOKUP(AU834,INDEX((係数_バス貨物_ガソリン,係数_バス貨物_CNG,係数_バス貨物_軽油,係数_バス貨物_メタノール,係数_バス貨物_LPG),MATCH(AY834,【参考】排出係数!$AI$4:$AI$671,1),1,BE834):INDEX((係数_バス貨物_ガソリン,係数_バス貨物_CNG,係数_バス貨物_軽油,係数_バス貨物_メタノール,係数_バス貨物_LPG),MATCH(AY834+1,【参考】排出係数!$AI$4:$AI$671,1)-1,5,BE834),2,FALSE),IF(OR(AW834=1,AW834=2),VLOOKUP(AU834,INDEX((係数_乗用_ガソリン,係数_乗用_CNG,係数_乗用_軽油,係数_乗用_メタノール,係数_乗用_LPG),1,1,BE834):INDEX((係数_乗用_ガソリン,係数_乗用_CNG,係数_乗用_軽油,係数_乗用_メタノール,係数_乗用_LPG),125,5,BE834),2,FALSE))))))</f>
        <v/>
      </c>
      <c r="BB834" s="468" t="str">
        <f>IF(T834="","",IF(OR(AU834="",AU834="-"),"－",IF(OR(AZ834=8,AZ834=9),"",IF(OR(AW834=3,AW834=4,AW834=5,AW834=6),VLOOKUP(AU834,INDEX((係数_バス貨物_ガソリン,係数_バス貨物_CNG,係数_バス貨物_軽油,係数_バス貨物_メタノール,係数_バス貨物_LPG),MATCH(AY834,【参考】排出係数!$AI$4:$AI$671,1),1,BE834):INDEX((係数_バス貨物_ガソリン,係数_バス貨物_CNG,係数_バス貨物_軽油,係数_バス貨物_メタノール,係数_バス貨物_LPG),MATCH(AY834+1,【参考】排出係数!$AI$4:$AI$671,1)-1,5,BE834),3,FALSE),IF(OR(AW834=1,AW834=2),VLOOKUP(AU834,INDEX((係数_乗用_ガソリン,係数_乗用_CNG,係数_乗用_軽油,係数_乗用_メタノール,係数_乗用_LPG),1,1,BE834):INDEX((係数_乗用_ガソリン,係数_乗用_CNG,係数_乗用_軽油,係数_乗用_メタノール,係数_乗用_LPG),125,5,BE834),3,FALSE))))))</f>
        <v/>
      </c>
      <c r="BC834" s="467" t="str">
        <f t="shared" si="482"/>
        <v/>
      </c>
      <c r="BD834" s="567" t="str">
        <f t="shared" si="483"/>
        <v/>
      </c>
      <c r="BE834" s="467" t="str">
        <f t="shared" si="484"/>
        <v/>
      </c>
      <c r="BF834" s="469" t="str">
        <f t="shared" ca="1" si="485"/>
        <v/>
      </c>
      <c r="BG834" s="469" t="str">
        <f t="shared" ca="1" si="486"/>
        <v/>
      </c>
      <c r="BH834" s="467" t="str">
        <f t="shared" si="487"/>
        <v/>
      </c>
      <c r="BI834" s="467" t="str">
        <f t="shared" ca="1" si="488"/>
        <v/>
      </c>
      <c r="BJ834" s="469" t="str">
        <f t="shared" si="489"/>
        <v/>
      </c>
      <c r="BK834" s="470" t="str">
        <f t="shared" si="473"/>
        <v/>
      </c>
      <c r="BL834" s="775" t="str">
        <f t="shared" si="490"/>
        <v/>
      </c>
      <c r="BM834" s="775" t="str">
        <f t="shared" si="491"/>
        <v/>
      </c>
    </row>
    <row r="835" spans="1:65">
      <c r="A835" s="473">
        <v>779</v>
      </c>
      <c r="B835" s="132"/>
      <c r="C835" s="332"/>
      <c r="D835" s="333"/>
      <c r="E835" s="333"/>
      <c r="F835" s="334"/>
      <c r="G835" s="337"/>
      <c r="H835" s="131"/>
      <c r="I835" s="337"/>
      <c r="J835" s="131"/>
      <c r="K835" s="458" t="str">
        <f t="shared" si="454"/>
        <v/>
      </c>
      <c r="L835" s="458">
        <f t="shared" si="455"/>
        <v>0</v>
      </c>
      <c r="M835" s="458">
        <f t="shared" si="456"/>
        <v>0</v>
      </c>
      <c r="N835" s="459" t="str">
        <f t="shared" si="467"/>
        <v/>
      </c>
      <c r="O835" s="459" t="str">
        <f t="shared" si="468"/>
        <v/>
      </c>
      <c r="P835" s="459" t="str">
        <f t="shared" si="469"/>
        <v/>
      </c>
      <c r="Q835" s="459" t="str">
        <f t="shared" si="470"/>
        <v/>
      </c>
      <c r="R835" s="459" t="str">
        <f t="shared" si="471"/>
        <v/>
      </c>
      <c r="S835" s="459" t="str">
        <f t="shared" si="472"/>
        <v/>
      </c>
      <c r="T835" s="566" t="str">
        <f t="shared" si="457"/>
        <v/>
      </c>
      <c r="U835" s="702"/>
      <c r="V835" s="132"/>
      <c r="W835" s="133"/>
      <c r="X835" s="134"/>
      <c r="Y835" s="135"/>
      <c r="Z835" s="137"/>
      <c r="AA835" s="136"/>
      <c r="AB835" s="566" t="str">
        <f t="shared" si="458"/>
        <v/>
      </c>
      <c r="AC835" s="568" t="str">
        <f t="shared" si="459"/>
        <v/>
      </c>
      <c r="AD835" s="137"/>
      <c r="AE835" s="137"/>
      <c r="AF835" s="138"/>
      <c r="AG835" s="138"/>
      <c r="AH835" s="592" t="str">
        <f t="shared" si="460"/>
        <v/>
      </c>
      <c r="AI835" s="592" t="str">
        <f t="shared" si="461"/>
        <v/>
      </c>
      <c r="AJ835" s="592" t="str">
        <f t="shared" si="462"/>
        <v/>
      </c>
      <c r="AK835" s="460" t="str">
        <f>IF(AU835="","",IF(OR(AZ835=8,AZ835=9),0,IF(OR(AW835=3,AW835=4,AW835=5,AW835=6),IF(LEFT(BF835,1)="1",INDEX(係数_NOX・PM低減,MATCH(AY835,【参考】排出係数!$AI$801:$AI$804,1),1),VLOOKUP(AU835,INDEX((係数_バス貨物_ガソリン,係数_バス貨物_CNG,係数_バス貨物_軽油,係数_バス貨物_メタノール,係数_バス貨物_LPG),MATCH(AY835,【参考】排出係数!$AI$4:$AI$671,1),1,BE835):INDEX((係数_バス貨物_ガソリン,係数_バス貨物_CNG,係数_バス貨物_軽油,係数_バス貨物_メタノール,係数_バス貨物_LPG),MATCH(AY835+1,【参考】排出係数!$AI$4:$AI$671,1)-1,5,BE835),4,FALSE)),IF(AND(BE835=3,LEFT(BF835,1)="1"),0.48,VLOOKUP(AU835,INDEX((係数_乗用_ガソリン,係数_乗用_CNG,係数_乗用_軽油,係数_乗用_メタノール,係数_乗用_LPG),1,1,BE835):INDEX((係数_乗用_ガソリン,係数_乗用_CNG,係数_乗用_軽油,係数_乗用_メタノール,係数_乗用_LPG),125,5,BE835),4,FALSE)))))</f>
        <v/>
      </c>
      <c r="AL835" s="461" t="str">
        <f t="shared" si="463"/>
        <v/>
      </c>
      <c r="AM835" s="460" t="str">
        <f>IF(AU835="","",IF(OR(AZ835=8,AZ835=9),0,IF(OR(AW835=3,AW835=4,AW835=5,AW835=6),IF(LEFT(BH835,1)="1",INDEX(係数_PM低減,MATCH(AY835,【参考】排出係数!$AI$801:$AI$804,1),MATCH(BI835,【参考】排出係数!$AL$798:$AO$798,1)),VLOOKUP(AU835,INDEX((係数_バス貨物_ガソリン,係数_バス貨物_CNG,係数_バス貨物_軽油,係数_バス貨物_メタノール,係数_バス貨物_LPG),MATCH(AY835,【参考】排出係数!$AI$4:$AI$671,1),1,BE835):INDEX((係数_バス貨物_ガソリン,係数_バス貨物_CNG,係数_バス貨物_軽油,係数_バス貨物_メタノール,係数_バス貨物_LPG),MATCH(AY835+1,【参考】排出係数!$AI$4:$AI$671,1)-1,5,BE835),5,FALSE)),IF(AND(BE835=3,LEFT(BF835,1)="1"),0.055,VLOOKUP(AU835,INDEX((係数_乗用_ガソリン,係数_乗用_CNG,係数_乗用_軽油,係数_乗用_メタノール,係数_乗用_LPG),1,1,BE835):INDEX((係数_乗用_ガソリン,係数_乗用_CNG,係数_乗用_軽油,係数_乗用_メタノール,係数_乗用_LPG),125,5,BE835),5,FALSE)))))</f>
        <v/>
      </c>
      <c r="AN835" s="461" t="str">
        <f t="shared" si="464"/>
        <v/>
      </c>
      <c r="AO835" s="462" t="str">
        <f t="shared" si="465"/>
        <v/>
      </c>
      <c r="AP835" s="463" t="str">
        <f t="shared" si="466"/>
        <v/>
      </c>
      <c r="AQ835" s="464"/>
      <c r="AR835" s="619"/>
      <c r="AS835" s="465" t="str">
        <f t="shared" si="474"/>
        <v/>
      </c>
      <c r="AT835" s="465" t="str">
        <f t="shared" si="475"/>
        <v/>
      </c>
      <c r="AU835" s="466" t="str">
        <f t="shared" si="476"/>
        <v/>
      </c>
      <c r="AV835" s="467" t="str">
        <f t="shared" si="477"/>
        <v/>
      </c>
      <c r="AW835" s="467" t="str">
        <f t="shared" si="478"/>
        <v/>
      </c>
      <c r="AX835" s="467" t="str">
        <f t="shared" si="479"/>
        <v/>
      </c>
      <c r="AY835" s="467" t="str">
        <f t="shared" si="480"/>
        <v/>
      </c>
      <c r="AZ835" s="467" t="str">
        <f t="shared" si="481"/>
        <v/>
      </c>
      <c r="BA835" s="468" t="str">
        <f>IF(AS835="","",IF(OR(AU835="",AU835="-"),"－",IF(OR(AZ835=8,AZ835=9),"",IF(OR(AW835=3,AW835=4,AW835=5,AW835=6),VLOOKUP(AU835,INDEX((係数_バス貨物_ガソリン,係数_バス貨物_CNG,係数_バス貨物_軽油,係数_バス貨物_メタノール,係数_バス貨物_LPG),MATCH(AY835,【参考】排出係数!$AI$4:$AI$671,1),1,BE835):INDEX((係数_バス貨物_ガソリン,係数_バス貨物_CNG,係数_バス貨物_軽油,係数_バス貨物_メタノール,係数_バス貨物_LPG),MATCH(AY835+1,【参考】排出係数!$AI$4:$AI$671,1)-1,5,BE835),2,FALSE),IF(OR(AW835=1,AW835=2),VLOOKUP(AU835,INDEX((係数_乗用_ガソリン,係数_乗用_CNG,係数_乗用_軽油,係数_乗用_メタノール,係数_乗用_LPG),1,1,BE835):INDEX((係数_乗用_ガソリン,係数_乗用_CNG,係数_乗用_軽油,係数_乗用_メタノール,係数_乗用_LPG),125,5,BE835),2,FALSE))))))</f>
        <v/>
      </c>
      <c r="BB835" s="468" t="str">
        <f>IF(T835="","",IF(OR(AU835="",AU835="-"),"－",IF(OR(AZ835=8,AZ835=9),"",IF(OR(AW835=3,AW835=4,AW835=5,AW835=6),VLOOKUP(AU835,INDEX((係数_バス貨物_ガソリン,係数_バス貨物_CNG,係数_バス貨物_軽油,係数_バス貨物_メタノール,係数_バス貨物_LPG),MATCH(AY835,【参考】排出係数!$AI$4:$AI$671,1),1,BE835):INDEX((係数_バス貨物_ガソリン,係数_バス貨物_CNG,係数_バス貨物_軽油,係数_バス貨物_メタノール,係数_バス貨物_LPG),MATCH(AY835+1,【参考】排出係数!$AI$4:$AI$671,1)-1,5,BE835),3,FALSE),IF(OR(AW835=1,AW835=2),VLOOKUP(AU835,INDEX((係数_乗用_ガソリン,係数_乗用_CNG,係数_乗用_軽油,係数_乗用_メタノール,係数_乗用_LPG),1,1,BE835):INDEX((係数_乗用_ガソリン,係数_乗用_CNG,係数_乗用_軽油,係数_乗用_メタノール,係数_乗用_LPG),125,5,BE835),3,FALSE))))))</f>
        <v/>
      </c>
      <c r="BC835" s="467" t="str">
        <f t="shared" si="482"/>
        <v/>
      </c>
      <c r="BD835" s="567" t="str">
        <f t="shared" si="483"/>
        <v/>
      </c>
      <c r="BE835" s="467" t="str">
        <f t="shared" si="484"/>
        <v/>
      </c>
      <c r="BF835" s="469" t="str">
        <f t="shared" ca="1" si="485"/>
        <v/>
      </c>
      <c r="BG835" s="469" t="str">
        <f t="shared" ca="1" si="486"/>
        <v/>
      </c>
      <c r="BH835" s="467" t="str">
        <f t="shared" si="487"/>
        <v/>
      </c>
      <c r="BI835" s="467" t="str">
        <f t="shared" ca="1" si="488"/>
        <v/>
      </c>
      <c r="BJ835" s="469" t="str">
        <f t="shared" si="489"/>
        <v/>
      </c>
      <c r="BK835" s="470" t="str">
        <f t="shared" si="473"/>
        <v/>
      </c>
      <c r="BL835" s="775" t="str">
        <f t="shared" si="490"/>
        <v/>
      </c>
      <c r="BM835" s="775" t="str">
        <f t="shared" si="491"/>
        <v/>
      </c>
    </row>
    <row r="836" spans="1:65">
      <c r="A836" s="473">
        <v>780</v>
      </c>
      <c r="B836" s="132"/>
      <c r="C836" s="332"/>
      <c r="D836" s="333"/>
      <c r="E836" s="333"/>
      <c r="F836" s="334"/>
      <c r="G836" s="337"/>
      <c r="H836" s="131"/>
      <c r="I836" s="337"/>
      <c r="J836" s="131"/>
      <c r="K836" s="458" t="str">
        <f t="shared" si="454"/>
        <v/>
      </c>
      <c r="L836" s="458">
        <f t="shared" si="455"/>
        <v>0</v>
      </c>
      <c r="M836" s="458">
        <f t="shared" si="456"/>
        <v>0</v>
      </c>
      <c r="N836" s="459" t="str">
        <f t="shared" si="467"/>
        <v/>
      </c>
      <c r="O836" s="459" t="str">
        <f t="shared" si="468"/>
        <v/>
      </c>
      <c r="P836" s="459" t="str">
        <f t="shared" si="469"/>
        <v/>
      </c>
      <c r="Q836" s="459" t="str">
        <f t="shared" si="470"/>
        <v/>
      </c>
      <c r="R836" s="459" t="str">
        <f t="shared" si="471"/>
        <v/>
      </c>
      <c r="S836" s="459" t="str">
        <f t="shared" si="472"/>
        <v/>
      </c>
      <c r="T836" s="566" t="str">
        <f t="shared" si="457"/>
        <v/>
      </c>
      <c r="U836" s="702"/>
      <c r="V836" s="132"/>
      <c r="W836" s="133"/>
      <c r="X836" s="134"/>
      <c r="Y836" s="135"/>
      <c r="Z836" s="137"/>
      <c r="AA836" s="136"/>
      <c r="AB836" s="566" t="str">
        <f t="shared" si="458"/>
        <v/>
      </c>
      <c r="AC836" s="568" t="str">
        <f t="shared" si="459"/>
        <v/>
      </c>
      <c r="AD836" s="137"/>
      <c r="AE836" s="137"/>
      <c r="AF836" s="138"/>
      <c r="AG836" s="138"/>
      <c r="AH836" s="592" t="str">
        <f t="shared" si="460"/>
        <v/>
      </c>
      <c r="AI836" s="592" t="str">
        <f t="shared" si="461"/>
        <v/>
      </c>
      <c r="AJ836" s="592" t="str">
        <f t="shared" si="462"/>
        <v/>
      </c>
      <c r="AK836" s="460" t="str">
        <f>IF(AU836="","",IF(OR(AZ836=8,AZ836=9),0,IF(OR(AW836=3,AW836=4,AW836=5,AW836=6),IF(LEFT(BF836,1)="1",INDEX(係数_NOX・PM低減,MATCH(AY836,【参考】排出係数!$AI$801:$AI$804,1),1),VLOOKUP(AU836,INDEX((係数_バス貨物_ガソリン,係数_バス貨物_CNG,係数_バス貨物_軽油,係数_バス貨物_メタノール,係数_バス貨物_LPG),MATCH(AY836,【参考】排出係数!$AI$4:$AI$671,1),1,BE836):INDEX((係数_バス貨物_ガソリン,係数_バス貨物_CNG,係数_バス貨物_軽油,係数_バス貨物_メタノール,係数_バス貨物_LPG),MATCH(AY836+1,【参考】排出係数!$AI$4:$AI$671,1)-1,5,BE836),4,FALSE)),IF(AND(BE836=3,LEFT(BF836,1)="1"),0.48,VLOOKUP(AU836,INDEX((係数_乗用_ガソリン,係数_乗用_CNG,係数_乗用_軽油,係数_乗用_メタノール,係数_乗用_LPG),1,1,BE836):INDEX((係数_乗用_ガソリン,係数_乗用_CNG,係数_乗用_軽油,係数_乗用_メタノール,係数_乗用_LPG),125,5,BE836),4,FALSE)))))</f>
        <v/>
      </c>
      <c r="AL836" s="461" t="str">
        <f t="shared" si="463"/>
        <v/>
      </c>
      <c r="AM836" s="460" t="str">
        <f>IF(AU836="","",IF(OR(AZ836=8,AZ836=9),0,IF(OR(AW836=3,AW836=4,AW836=5,AW836=6),IF(LEFT(BH836,1)="1",INDEX(係数_PM低減,MATCH(AY836,【参考】排出係数!$AI$801:$AI$804,1),MATCH(BI836,【参考】排出係数!$AL$798:$AO$798,1)),VLOOKUP(AU836,INDEX((係数_バス貨物_ガソリン,係数_バス貨物_CNG,係数_バス貨物_軽油,係数_バス貨物_メタノール,係数_バス貨物_LPG),MATCH(AY836,【参考】排出係数!$AI$4:$AI$671,1),1,BE836):INDEX((係数_バス貨物_ガソリン,係数_バス貨物_CNG,係数_バス貨物_軽油,係数_バス貨物_メタノール,係数_バス貨物_LPG),MATCH(AY836+1,【参考】排出係数!$AI$4:$AI$671,1)-1,5,BE836),5,FALSE)),IF(AND(BE836=3,LEFT(BF836,1)="1"),0.055,VLOOKUP(AU836,INDEX((係数_乗用_ガソリン,係数_乗用_CNG,係数_乗用_軽油,係数_乗用_メタノール,係数_乗用_LPG),1,1,BE836):INDEX((係数_乗用_ガソリン,係数_乗用_CNG,係数_乗用_軽油,係数_乗用_メタノール,係数_乗用_LPG),125,5,BE836),5,FALSE)))))</f>
        <v/>
      </c>
      <c r="AN836" s="461" t="str">
        <f t="shared" si="464"/>
        <v/>
      </c>
      <c r="AO836" s="462" t="str">
        <f t="shared" si="465"/>
        <v/>
      </c>
      <c r="AP836" s="463" t="str">
        <f t="shared" si="466"/>
        <v/>
      </c>
      <c r="AQ836" s="464"/>
      <c r="AR836" s="619"/>
      <c r="AS836" s="465" t="str">
        <f t="shared" si="474"/>
        <v/>
      </c>
      <c r="AT836" s="465" t="str">
        <f t="shared" si="475"/>
        <v/>
      </c>
      <c r="AU836" s="466" t="str">
        <f t="shared" si="476"/>
        <v/>
      </c>
      <c r="AV836" s="467" t="str">
        <f t="shared" si="477"/>
        <v/>
      </c>
      <c r="AW836" s="467" t="str">
        <f t="shared" si="478"/>
        <v/>
      </c>
      <c r="AX836" s="467" t="str">
        <f t="shared" si="479"/>
        <v/>
      </c>
      <c r="AY836" s="467" t="str">
        <f t="shared" si="480"/>
        <v/>
      </c>
      <c r="AZ836" s="467" t="str">
        <f t="shared" si="481"/>
        <v/>
      </c>
      <c r="BA836" s="468" t="str">
        <f>IF(AS836="","",IF(OR(AU836="",AU836="-"),"－",IF(OR(AZ836=8,AZ836=9),"",IF(OR(AW836=3,AW836=4,AW836=5,AW836=6),VLOOKUP(AU836,INDEX((係数_バス貨物_ガソリン,係数_バス貨物_CNG,係数_バス貨物_軽油,係数_バス貨物_メタノール,係数_バス貨物_LPG),MATCH(AY836,【参考】排出係数!$AI$4:$AI$671,1),1,BE836):INDEX((係数_バス貨物_ガソリン,係数_バス貨物_CNG,係数_バス貨物_軽油,係数_バス貨物_メタノール,係数_バス貨物_LPG),MATCH(AY836+1,【参考】排出係数!$AI$4:$AI$671,1)-1,5,BE836),2,FALSE),IF(OR(AW836=1,AW836=2),VLOOKUP(AU836,INDEX((係数_乗用_ガソリン,係数_乗用_CNG,係数_乗用_軽油,係数_乗用_メタノール,係数_乗用_LPG),1,1,BE836):INDEX((係数_乗用_ガソリン,係数_乗用_CNG,係数_乗用_軽油,係数_乗用_メタノール,係数_乗用_LPG),125,5,BE836),2,FALSE))))))</f>
        <v/>
      </c>
      <c r="BB836" s="468" t="str">
        <f>IF(T836="","",IF(OR(AU836="",AU836="-"),"－",IF(OR(AZ836=8,AZ836=9),"",IF(OR(AW836=3,AW836=4,AW836=5,AW836=6),VLOOKUP(AU836,INDEX((係数_バス貨物_ガソリン,係数_バス貨物_CNG,係数_バス貨物_軽油,係数_バス貨物_メタノール,係数_バス貨物_LPG),MATCH(AY836,【参考】排出係数!$AI$4:$AI$671,1),1,BE836):INDEX((係数_バス貨物_ガソリン,係数_バス貨物_CNG,係数_バス貨物_軽油,係数_バス貨物_メタノール,係数_バス貨物_LPG),MATCH(AY836+1,【参考】排出係数!$AI$4:$AI$671,1)-1,5,BE836),3,FALSE),IF(OR(AW836=1,AW836=2),VLOOKUP(AU836,INDEX((係数_乗用_ガソリン,係数_乗用_CNG,係数_乗用_軽油,係数_乗用_メタノール,係数_乗用_LPG),1,1,BE836):INDEX((係数_乗用_ガソリン,係数_乗用_CNG,係数_乗用_軽油,係数_乗用_メタノール,係数_乗用_LPG),125,5,BE836),3,FALSE))))))</f>
        <v/>
      </c>
      <c r="BC836" s="467" t="str">
        <f t="shared" si="482"/>
        <v/>
      </c>
      <c r="BD836" s="567" t="str">
        <f t="shared" si="483"/>
        <v/>
      </c>
      <c r="BE836" s="467" t="str">
        <f t="shared" si="484"/>
        <v/>
      </c>
      <c r="BF836" s="469" t="str">
        <f t="shared" ca="1" si="485"/>
        <v/>
      </c>
      <c r="BG836" s="469" t="str">
        <f t="shared" ca="1" si="486"/>
        <v/>
      </c>
      <c r="BH836" s="467" t="str">
        <f t="shared" si="487"/>
        <v/>
      </c>
      <c r="BI836" s="467" t="str">
        <f t="shared" ca="1" si="488"/>
        <v/>
      </c>
      <c r="BJ836" s="469" t="str">
        <f t="shared" si="489"/>
        <v/>
      </c>
      <c r="BK836" s="470" t="str">
        <f t="shared" si="473"/>
        <v/>
      </c>
      <c r="BL836" s="775" t="str">
        <f t="shared" si="490"/>
        <v/>
      </c>
      <c r="BM836" s="775" t="str">
        <f t="shared" si="491"/>
        <v/>
      </c>
    </row>
    <row r="837" spans="1:65">
      <c r="A837" s="473">
        <v>781</v>
      </c>
      <c r="B837" s="132"/>
      <c r="C837" s="332"/>
      <c r="D837" s="333"/>
      <c r="E837" s="333"/>
      <c r="F837" s="334"/>
      <c r="G837" s="337"/>
      <c r="H837" s="131"/>
      <c r="I837" s="337"/>
      <c r="J837" s="131"/>
      <c r="K837" s="458" t="str">
        <f t="shared" si="454"/>
        <v/>
      </c>
      <c r="L837" s="458">
        <f t="shared" si="455"/>
        <v>0</v>
      </c>
      <c r="M837" s="458">
        <f t="shared" si="456"/>
        <v>0</v>
      </c>
      <c r="N837" s="459" t="str">
        <f t="shared" si="467"/>
        <v/>
      </c>
      <c r="O837" s="459" t="str">
        <f t="shared" si="468"/>
        <v/>
      </c>
      <c r="P837" s="459" t="str">
        <f t="shared" si="469"/>
        <v/>
      </c>
      <c r="Q837" s="459" t="str">
        <f t="shared" si="470"/>
        <v/>
      </c>
      <c r="R837" s="459" t="str">
        <f t="shared" si="471"/>
        <v/>
      </c>
      <c r="S837" s="459" t="str">
        <f t="shared" si="472"/>
        <v/>
      </c>
      <c r="T837" s="566" t="str">
        <f t="shared" si="457"/>
        <v/>
      </c>
      <c r="U837" s="702"/>
      <c r="V837" s="132"/>
      <c r="W837" s="133"/>
      <c r="X837" s="134"/>
      <c r="Y837" s="135"/>
      <c r="Z837" s="137"/>
      <c r="AA837" s="136"/>
      <c r="AB837" s="566" t="str">
        <f t="shared" si="458"/>
        <v/>
      </c>
      <c r="AC837" s="568" t="str">
        <f t="shared" si="459"/>
        <v/>
      </c>
      <c r="AD837" s="137"/>
      <c r="AE837" s="137"/>
      <c r="AF837" s="138"/>
      <c r="AG837" s="138"/>
      <c r="AH837" s="592" t="str">
        <f t="shared" si="460"/>
        <v/>
      </c>
      <c r="AI837" s="592" t="str">
        <f t="shared" si="461"/>
        <v/>
      </c>
      <c r="AJ837" s="592" t="str">
        <f t="shared" si="462"/>
        <v/>
      </c>
      <c r="AK837" s="460" t="str">
        <f>IF(AU837="","",IF(OR(AZ837=8,AZ837=9),0,IF(OR(AW837=3,AW837=4,AW837=5,AW837=6),IF(LEFT(BF837,1)="1",INDEX(係数_NOX・PM低減,MATCH(AY837,【参考】排出係数!$AI$801:$AI$804,1),1),VLOOKUP(AU837,INDEX((係数_バス貨物_ガソリン,係数_バス貨物_CNG,係数_バス貨物_軽油,係数_バス貨物_メタノール,係数_バス貨物_LPG),MATCH(AY837,【参考】排出係数!$AI$4:$AI$671,1),1,BE837):INDEX((係数_バス貨物_ガソリン,係数_バス貨物_CNG,係数_バス貨物_軽油,係数_バス貨物_メタノール,係数_バス貨物_LPG),MATCH(AY837+1,【参考】排出係数!$AI$4:$AI$671,1)-1,5,BE837),4,FALSE)),IF(AND(BE837=3,LEFT(BF837,1)="1"),0.48,VLOOKUP(AU837,INDEX((係数_乗用_ガソリン,係数_乗用_CNG,係数_乗用_軽油,係数_乗用_メタノール,係数_乗用_LPG),1,1,BE837):INDEX((係数_乗用_ガソリン,係数_乗用_CNG,係数_乗用_軽油,係数_乗用_メタノール,係数_乗用_LPG),125,5,BE837),4,FALSE)))))</f>
        <v/>
      </c>
      <c r="AL837" s="461" t="str">
        <f t="shared" si="463"/>
        <v/>
      </c>
      <c r="AM837" s="460" t="str">
        <f>IF(AU837="","",IF(OR(AZ837=8,AZ837=9),0,IF(OR(AW837=3,AW837=4,AW837=5,AW837=6),IF(LEFT(BH837,1)="1",INDEX(係数_PM低減,MATCH(AY837,【参考】排出係数!$AI$801:$AI$804,1),MATCH(BI837,【参考】排出係数!$AL$798:$AO$798,1)),VLOOKUP(AU837,INDEX((係数_バス貨物_ガソリン,係数_バス貨物_CNG,係数_バス貨物_軽油,係数_バス貨物_メタノール,係数_バス貨物_LPG),MATCH(AY837,【参考】排出係数!$AI$4:$AI$671,1),1,BE837):INDEX((係数_バス貨物_ガソリン,係数_バス貨物_CNG,係数_バス貨物_軽油,係数_バス貨物_メタノール,係数_バス貨物_LPG),MATCH(AY837+1,【参考】排出係数!$AI$4:$AI$671,1)-1,5,BE837),5,FALSE)),IF(AND(BE837=3,LEFT(BF837,1)="1"),0.055,VLOOKUP(AU837,INDEX((係数_乗用_ガソリン,係数_乗用_CNG,係数_乗用_軽油,係数_乗用_メタノール,係数_乗用_LPG),1,1,BE837):INDEX((係数_乗用_ガソリン,係数_乗用_CNG,係数_乗用_軽油,係数_乗用_メタノール,係数_乗用_LPG),125,5,BE837),5,FALSE)))))</f>
        <v/>
      </c>
      <c r="AN837" s="461" t="str">
        <f t="shared" si="464"/>
        <v/>
      </c>
      <c r="AO837" s="462" t="str">
        <f t="shared" si="465"/>
        <v/>
      </c>
      <c r="AP837" s="463" t="str">
        <f t="shared" si="466"/>
        <v/>
      </c>
      <c r="AQ837" s="464"/>
      <c r="AR837" s="619"/>
      <c r="AS837" s="465" t="str">
        <f t="shared" si="474"/>
        <v/>
      </c>
      <c r="AT837" s="465" t="str">
        <f t="shared" si="475"/>
        <v/>
      </c>
      <c r="AU837" s="466" t="str">
        <f t="shared" si="476"/>
        <v/>
      </c>
      <c r="AV837" s="467" t="str">
        <f t="shared" si="477"/>
        <v/>
      </c>
      <c r="AW837" s="467" t="str">
        <f t="shared" si="478"/>
        <v/>
      </c>
      <c r="AX837" s="467" t="str">
        <f t="shared" si="479"/>
        <v/>
      </c>
      <c r="AY837" s="467" t="str">
        <f t="shared" si="480"/>
        <v/>
      </c>
      <c r="AZ837" s="467" t="str">
        <f t="shared" si="481"/>
        <v/>
      </c>
      <c r="BA837" s="468" t="str">
        <f>IF(AS837="","",IF(OR(AU837="",AU837="-"),"－",IF(OR(AZ837=8,AZ837=9),"",IF(OR(AW837=3,AW837=4,AW837=5,AW837=6),VLOOKUP(AU837,INDEX((係数_バス貨物_ガソリン,係数_バス貨物_CNG,係数_バス貨物_軽油,係数_バス貨物_メタノール,係数_バス貨物_LPG),MATCH(AY837,【参考】排出係数!$AI$4:$AI$671,1),1,BE837):INDEX((係数_バス貨物_ガソリン,係数_バス貨物_CNG,係数_バス貨物_軽油,係数_バス貨物_メタノール,係数_バス貨物_LPG),MATCH(AY837+1,【参考】排出係数!$AI$4:$AI$671,1)-1,5,BE837),2,FALSE),IF(OR(AW837=1,AW837=2),VLOOKUP(AU837,INDEX((係数_乗用_ガソリン,係数_乗用_CNG,係数_乗用_軽油,係数_乗用_メタノール,係数_乗用_LPG),1,1,BE837):INDEX((係数_乗用_ガソリン,係数_乗用_CNG,係数_乗用_軽油,係数_乗用_メタノール,係数_乗用_LPG),125,5,BE837),2,FALSE))))))</f>
        <v/>
      </c>
      <c r="BB837" s="468" t="str">
        <f>IF(T837="","",IF(OR(AU837="",AU837="-"),"－",IF(OR(AZ837=8,AZ837=9),"",IF(OR(AW837=3,AW837=4,AW837=5,AW837=6),VLOOKUP(AU837,INDEX((係数_バス貨物_ガソリン,係数_バス貨物_CNG,係数_バス貨物_軽油,係数_バス貨物_メタノール,係数_バス貨物_LPG),MATCH(AY837,【参考】排出係数!$AI$4:$AI$671,1),1,BE837):INDEX((係数_バス貨物_ガソリン,係数_バス貨物_CNG,係数_バス貨物_軽油,係数_バス貨物_メタノール,係数_バス貨物_LPG),MATCH(AY837+1,【参考】排出係数!$AI$4:$AI$671,1)-1,5,BE837),3,FALSE),IF(OR(AW837=1,AW837=2),VLOOKUP(AU837,INDEX((係数_乗用_ガソリン,係数_乗用_CNG,係数_乗用_軽油,係数_乗用_メタノール,係数_乗用_LPG),1,1,BE837):INDEX((係数_乗用_ガソリン,係数_乗用_CNG,係数_乗用_軽油,係数_乗用_メタノール,係数_乗用_LPG),125,5,BE837),3,FALSE))))))</f>
        <v/>
      </c>
      <c r="BC837" s="467" t="str">
        <f t="shared" si="482"/>
        <v/>
      </c>
      <c r="BD837" s="567" t="str">
        <f t="shared" si="483"/>
        <v/>
      </c>
      <c r="BE837" s="467" t="str">
        <f t="shared" si="484"/>
        <v/>
      </c>
      <c r="BF837" s="469" t="str">
        <f t="shared" ca="1" si="485"/>
        <v/>
      </c>
      <c r="BG837" s="469" t="str">
        <f t="shared" ca="1" si="486"/>
        <v/>
      </c>
      <c r="BH837" s="467" t="str">
        <f t="shared" si="487"/>
        <v/>
      </c>
      <c r="BI837" s="467" t="str">
        <f t="shared" ca="1" si="488"/>
        <v/>
      </c>
      <c r="BJ837" s="469" t="str">
        <f t="shared" si="489"/>
        <v/>
      </c>
      <c r="BK837" s="470" t="str">
        <f t="shared" si="473"/>
        <v/>
      </c>
      <c r="BL837" s="775" t="str">
        <f t="shared" si="490"/>
        <v/>
      </c>
      <c r="BM837" s="775" t="str">
        <f t="shared" si="491"/>
        <v/>
      </c>
    </row>
    <row r="838" spans="1:65">
      <c r="A838" s="473">
        <v>782</v>
      </c>
      <c r="B838" s="132"/>
      <c r="C838" s="332"/>
      <c r="D838" s="333"/>
      <c r="E838" s="333"/>
      <c r="F838" s="334"/>
      <c r="G838" s="337"/>
      <c r="H838" s="131"/>
      <c r="I838" s="337"/>
      <c r="J838" s="131"/>
      <c r="K838" s="458" t="str">
        <f t="shared" si="454"/>
        <v/>
      </c>
      <c r="L838" s="458">
        <f t="shared" si="455"/>
        <v>0</v>
      </c>
      <c r="M838" s="458">
        <f t="shared" si="456"/>
        <v>0</v>
      </c>
      <c r="N838" s="459" t="str">
        <f t="shared" si="467"/>
        <v/>
      </c>
      <c r="O838" s="459" t="str">
        <f t="shared" si="468"/>
        <v/>
      </c>
      <c r="P838" s="459" t="str">
        <f t="shared" si="469"/>
        <v/>
      </c>
      <c r="Q838" s="459" t="str">
        <f t="shared" si="470"/>
        <v/>
      </c>
      <c r="R838" s="459" t="str">
        <f t="shared" si="471"/>
        <v/>
      </c>
      <c r="S838" s="459" t="str">
        <f t="shared" si="472"/>
        <v/>
      </c>
      <c r="T838" s="566" t="str">
        <f t="shared" si="457"/>
        <v/>
      </c>
      <c r="U838" s="702"/>
      <c r="V838" s="132"/>
      <c r="W838" s="133"/>
      <c r="X838" s="134"/>
      <c r="Y838" s="135"/>
      <c r="Z838" s="137"/>
      <c r="AA838" s="136"/>
      <c r="AB838" s="566" t="str">
        <f t="shared" si="458"/>
        <v/>
      </c>
      <c r="AC838" s="568" t="str">
        <f t="shared" si="459"/>
        <v/>
      </c>
      <c r="AD838" s="137"/>
      <c r="AE838" s="137"/>
      <c r="AF838" s="138"/>
      <c r="AG838" s="138"/>
      <c r="AH838" s="592" t="str">
        <f t="shared" si="460"/>
        <v/>
      </c>
      <c r="AI838" s="592" t="str">
        <f t="shared" si="461"/>
        <v/>
      </c>
      <c r="AJ838" s="592" t="str">
        <f t="shared" si="462"/>
        <v/>
      </c>
      <c r="AK838" s="460" t="str">
        <f>IF(AU838="","",IF(OR(AZ838=8,AZ838=9),0,IF(OR(AW838=3,AW838=4,AW838=5,AW838=6),IF(LEFT(BF838,1)="1",INDEX(係数_NOX・PM低減,MATCH(AY838,【参考】排出係数!$AI$801:$AI$804,1),1),VLOOKUP(AU838,INDEX((係数_バス貨物_ガソリン,係数_バス貨物_CNG,係数_バス貨物_軽油,係数_バス貨物_メタノール,係数_バス貨物_LPG),MATCH(AY838,【参考】排出係数!$AI$4:$AI$671,1),1,BE838):INDEX((係数_バス貨物_ガソリン,係数_バス貨物_CNG,係数_バス貨物_軽油,係数_バス貨物_メタノール,係数_バス貨物_LPG),MATCH(AY838+1,【参考】排出係数!$AI$4:$AI$671,1)-1,5,BE838),4,FALSE)),IF(AND(BE838=3,LEFT(BF838,1)="1"),0.48,VLOOKUP(AU838,INDEX((係数_乗用_ガソリン,係数_乗用_CNG,係数_乗用_軽油,係数_乗用_メタノール,係数_乗用_LPG),1,1,BE838):INDEX((係数_乗用_ガソリン,係数_乗用_CNG,係数_乗用_軽油,係数_乗用_メタノール,係数_乗用_LPG),125,5,BE838),4,FALSE)))))</f>
        <v/>
      </c>
      <c r="AL838" s="461" t="str">
        <f t="shared" si="463"/>
        <v/>
      </c>
      <c r="AM838" s="460" t="str">
        <f>IF(AU838="","",IF(OR(AZ838=8,AZ838=9),0,IF(OR(AW838=3,AW838=4,AW838=5,AW838=6),IF(LEFT(BH838,1)="1",INDEX(係数_PM低減,MATCH(AY838,【参考】排出係数!$AI$801:$AI$804,1),MATCH(BI838,【参考】排出係数!$AL$798:$AO$798,1)),VLOOKUP(AU838,INDEX((係数_バス貨物_ガソリン,係数_バス貨物_CNG,係数_バス貨物_軽油,係数_バス貨物_メタノール,係数_バス貨物_LPG),MATCH(AY838,【参考】排出係数!$AI$4:$AI$671,1),1,BE838):INDEX((係数_バス貨物_ガソリン,係数_バス貨物_CNG,係数_バス貨物_軽油,係数_バス貨物_メタノール,係数_バス貨物_LPG),MATCH(AY838+1,【参考】排出係数!$AI$4:$AI$671,1)-1,5,BE838),5,FALSE)),IF(AND(BE838=3,LEFT(BF838,1)="1"),0.055,VLOOKUP(AU838,INDEX((係数_乗用_ガソリン,係数_乗用_CNG,係数_乗用_軽油,係数_乗用_メタノール,係数_乗用_LPG),1,1,BE838):INDEX((係数_乗用_ガソリン,係数_乗用_CNG,係数_乗用_軽油,係数_乗用_メタノール,係数_乗用_LPG),125,5,BE838),5,FALSE)))))</f>
        <v/>
      </c>
      <c r="AN838" s="461" t="str">
        <f t="shared" si="464"/>
        <v/>
      </c>
      <c r="AO838" s="462" t="str">
        <f t="shared" si="465"/>
        <v/>
      </c>
      <c r="AP838" s="463" t="str">
        <f t="shared" si="466"/>
        <v/>
      </c>
      <c r="AQ838" s="464"/>
      <c r="AR838" s="619"/>
      <c r="AS838" s="465" t="str">
        <f t="shared" si="474"/>
        <v/>
      </c>
      <c r="AT838" s="465" t="str">
        <f t="shared" si="475"/>
        <v/>
      </c>
      <c r="AU838" s="466" t="str">
        <f t="shared" si="476"/>
        <v/>
      </c>
      <c r="AV838" s="467" t="str">
        <f t="shared" si="477"/>
        <v/>
      </c>
      <c r="AW838" s="467" t="str">
        <f t="shared" si="478"/>
        <v/>
      </c>
      <c r="AX838" s="467" t="str">
        <f t="shared" si="479"/>
        <v/>
      </c>
      <c r="AY838" s="467" t="str">
        <f t="shared" si="480"/>
        <v/>
      </c>
      <c r="AZ838" s="467" t="str">
        <f t="shared" si="481"/>
        <v/>
      </c>
      <c r="BA838" s="468" t="str">
        <f>IF(AS838="","",IF(OR(AU838="",AU838="-"),"－",IF(OR(AZ838=8,AZ838=9),"",IF(OR(AW838=3,AW838=4,AW838=5,AW838=6),VLOOKUP(AU838,INDEX((係数_バス貨物_ガソリン,係数_バス貨物_CNG,係数_バス貨物_軽油,係数_バス貨物_メタノール,係数_バス貨物_LPG),MATCH(AY838,【参考】排出係数!$AI$4:$AI$671,1),1,BE838):INDEX((係数_バス貨物_ガソリン,係数_バス貨物_CNG,係数_バス貨物_軽油,係数_バス貨物_メタノール,係数_バス貨物_LPG),MATCH(AY838+1,【参考】排出係数!$AI$4:$AI$671,1)-1,5,BE838),2,FALSE),IF(OR(AW838=1,AW838=2),VLOOKUP(AU838,INDEX((係数_乗用_ガソリン,係数_乗用_CNG,係数_乗用_軽油,係数_乗用_メタノール,係数_乗用_LPG),1,1,BE838):INDEX((係数_乗用_ガソリン,係数_乗用_CNG,係数_乗用_軽油,係数_乗用_メタノール,係数_乗用_LPG),125,5,BE838),2,FALSE))))))</f>
        <v/>
      </c>
      <c r="BB838" s="468" t="str">
        <f>IF(T838="","",IF(OR(AU838="",AU838="-"),"－",IF(OR(AZ838=8,AZ838=9),"",IF(OR(AW838=3,AW838=4,AW838=5,AW838=6),VLOOKUP(AU838,INDEX((係数_バス貨物_ガソリン,係数_バス貨物_CNG,係数_バス貨物_軽油,係数_バス貨物_メタノール,係数_バス貨物_LPG),MATCH(AY838,【参考】排出係数!$AI$4:$AI$671,1),1,BE838):INDEX((係数_バス貨物_ガソリン,係数_バス貨物_CNG,係数_バス貨物_軽油,係数_バス貨物_メタノール,係数_バス貨物_LPG),MATCH(AY838+1,【参考】排出係数!$AI$4:$AI$671,1)-1,5,BE838),3,FALSE),IF(OR(AW838=1,AW838=2),VLOOKUP(AU838,INDEX((係数_乗用_ガソリン,係数_乗用_CNG,係数_乗用_軽油,係数_乗用_メタノール,係数_乗用_LPG),1,1,BE838):INDEX((係数_乗用_ガソリン,係数_乗用_CNG,係数_乗用_軽油,係数_乗用_メタノール,係数_乗用_LPG),125,5,BE838),3,FALSE))))))</f>
        <v/>
      </c>
      <c r="BC838" s="467" t="str">
        <f t="shared" si="482"/>
        <v/>
      </c>
      <c r="BD838" s="567" t="str">
        <f t="shared" si="483"/>
        <v/>
      </c>
      <c r="BE838" s="467" t="str">
        <f t="shared" si="484"/>
        <v/>
      </c>
      <c r="BF838" s="469" t="str">
        <f t="shared" ca="1" si="485"/>
        <v/>
      </c>
      <c r="BG838" s="469" t="str">
        <f t="shared" ca="1" si="486"/>
        <v/>
      </c>
      <c r="BH838" s="467" t="str">
        <f t="shared" si="487"/>
        <v/>
      </c>
      <c r="BI838" s="467" t="str">
        <f t="shared" ca="1" si="488"/>
        <v/>
      </c>
      <c r="BJ838" s="469" t="str">
        <f t="shared" si="489"/>
        <v/>
      </c>
      <c r="BK838" s="470" t="str">
        <f t="shared" si="473"/>
        <v/>
      </c>
      <c r="BL838" s="775" t="str">
        <f t="shared" si="490"/>
        <v/>
      </c>
      <c r="BM838" s="775" t="str">
        <f t="shared" si="491"/>
        <v/>
      </c>
    </row>
    <row r="839" spans="1:65">
      <c r="A839" s="473">
        <v>783</v>
      </c>
      <c r="B839" s="132"/>
      <c r="C839" s="332"/>
      <c r="D839" s="333"/>
      <c r="E839" s="333"/>
      <c r="F839" s="334"/>
      <c r="G839" s="337"/>
      <c r="H839" s="131"/>
      <c r="I839" s="337"/>
      <c r="J839" s="131"/>
      <c r="K839" s="458" t="str">
        <f t="shared" si="454"/>
        <v/>
      </c>
      <c r="L839" s="458">
        <f t="shared" si="455"/>
        <v>0</v>
      </c>
      <c r="M839" s="458">
        <f t="shared" si="456"/>
        <v>0</v>
      </c>
      <c r="N839" s="459" t="str">
        <f t="shared" si="467"/>
        <v/>
      </c>
      <c r="O839" s="459" t="str">
        <f t="shared" si="468"/>
        <v/>
      </c>
      <c r="P839" s="459" t="str">
        <f t="shared" si="469"/>
        <v/>
      </c>
      <c r="Q839" s="459" t="str">
        <f t="shared" si="470"/>
        <v/>
      </c>
      <c r="R839" s="459" t="str">
        <f t="shared" si="471"/>
        <v/>
      </c>
      <c r="S839" s="459" t="str">
        <f t="shared" si="472"/>
        <v/>
      </c>
      <c r="T839" s="566" t="str">
        <f t="shared" si="457"/>
        <v/>
      </c>
      <c r="U839" s="702"/>
      <c r="V839" s="132"/>
      <c r="W839" s="133"/>
      <c r="X839" s="134"/>
      <c r="Y839" s="135"/>
      <c r="Z839" s="137"/>
      <c r="AA839" s="136"/>
      <c r="AB839" s="566" t="str">
        <f t="shared" si="458"/>
        <v/>
      </c>
      <c r="AC839" s="568" t="str">
        <f t="shared" si="459"/>
        <v/>
      </c>
      <c r="AD839" s="137"/>
      <c r="AE839" s="137"/>
      <c r="AF839" s="138"/>
      <c r="AG839" s="138"/>
      <c r="AH839" s="592" t="str">
        <f t="shared" si="460"/>
        <v/>
      </c>
      <c r="AI839" s="592" t="str">
        <f t="shared" si="461"/>
        <v/>
      </c>
      <c r="AJ839" s="592" t="str">
        <f t="shared" si="462"/>
        <v/>
      </c>
      <c r="AK839" s="460" t="str">
        <f>IF(AU839="","",IF(OR(AZ839=8,AZ839=9),0,IF(OR(AW839=3,AW839=4,AW839=5,AW839=6),IF(LEFT(BF839,1)="1",INDEX(係数_NOX・PM低減,MATCH(AY839,【参考】排出係数!$AI$801:$AI$804,1),1),VLOOKUP(AU839,INDEX((係数_バス貨物_ガソリン,係数_バス貨物_CNG,係数_バス貨物_軽油,係数_バス貨物_メタノール,係数_バス貨物_LPG),MATCH(AY839,【参考】排出係数!$AI$4:$AI$671,1),1,BE839):INDEX((係数_バス貨物_ガソリン,係数_バス貨物_CNG,係数_バス貨物_軽油,係数_バス貨物_メタノール,係数_バス貨物_LPG),MATCH(AY839+1,【参考】排出係数!$AI$4:$AI$671,1)-1,5,BE839),4,FALSE)),IF(AND(BE839=3,LEFT(BF839,1)="1"),0.48,VLOOKUP(AU839,INDEX((係数_乗用_ガソリン,係数_乗用_CNG,係数_乗用_軽油,係数_乗用_メタノール,係数_乗用_LPG),1,1,BE839):INDEX((係数_乗用_ガソリン,係数_乗用_CNG,係数_乗用_軽油,係数_乗用_メタノール,係数_乗用_LPG),125,5,BE839),4,FALSE)))))</f>
        <v/>
      </c>
      <c r="AL839" s="461" t="str">
        <f t="shared" si="463"/>
        <v/>
      </c>
      <c r="AM839" s="460" t="str">
        <f>IF(AU839="","",IF(OR(AZ839=8,AZ839=9),0,IF(OR(AW839=3,AW839=4,AW839=5,AW839=6),IF(LEFT(BH839,1)="1",INDEX(係数_PM低減,MATCH(AY839,【参考】排出係数!$AI$801:$AI$804,1),MATCH(BI839,【参考】排出係数!$AL$798:$AO$798,1)),VLOOKUP(AU839,INDEX((係数_バス貨物_ガソリン,係数_バス貨物_CNG,係数_バス貨物_軽油,係数_バス貨物_メタノール,係数_バス貨物_LPG),MATCH(AY839,【参考】排出係数!$AI$4:$AI$671,1),1,BE839):INDEX((係数_バス貨物_ガソリン,係数_バス貨物_CNG,係数_バス貨物_軽油,係数_バス貨物_メタノール,係数_バス貨物_LPG),MATCH(AY839+1,【参考】排出係数!$AI$4:$AI$671,1)-1,5,BE839),5,FALSE)),IF(AND(BE839=3,LEFT(BF839,1)="1"),0.055,VLOOKUP(AU839,INDEX((係数_乗用_ガソリン,係数_乗用_CNG,係数_乗用_軽油,係数_乗用_メタノール,係数_乗用_LPG),1,1,BE839):INDEX((係数_乗用_ガソリン,係数_乗用_CNG,係数_乗用_軽油,係数_乗用_メタノール,係数_乗用_LPG),125,5,BE839),5,FALSE)))))</f>
        <v/>
      </c>
      <c r="AN839" s="461" t="str">
        <f t="shared" si="464"/>
        <v/>
      </c>
      <c r="AO839" s="462" t="str">
        <f t="shared" si="465"/>
        <v/>
      </c>
      <c r="AP839" s="463" t="str">
        <f t="shared" si="466"/>
        <v/>
      </c>
      <c r="AQ839" s="464"/>
      <c r="AR839" s="619"/>
      <c r="AS839" s="465" t="str">
        <f t="shared" si="474"/>
        <v/>
      </c>
      <c r="AT839" s="465" t="str">
        <f t="shared" si="475"/>
        <v/>
      </c>
      <c r="AU839" s="466" t="str">
        <f t="shared" si="476"/>
        <v/>
      </c>
      <c r="AV839" s="467" t="str">
        <f t="shared" si="477"/>
        <v/>
      </c>
      <c r="AW839" s="467" t="str">
        <f t="shared" si="478"/>
        <v/>
      </c>
      <c r="AX839" s="467" t="str">
        <f t="shared" si="479"/>
        <v/>
      </c>
      <c r="AY839" s="467" t="str">
        <f t="shared" si="480"/>
        <v/>
      </c>
      <c r="AZ839" s="467" t="str">
        <f t="shared" si="481"/>
        <v/>
      </c>
      <c r="BA839" s="468" t="str">
        <f>IF(AS839="","",IF(OR(AU839="",AU839="-"),"－",IF(OR(AZ839=8,AZ839=9),"",IF(OR(AW839=3,AW839=4,AW839=5,AW839=6),VLOOKUP(AU839,INDEX((係数_バス貨物_ガソリン,係数_バス貨物_CNG,係数_バス貨物_軽油,係数_バス貨物_メタノール,係数_バス貨物_LPG),MATCH(AY839,【参考】排出係数!$AI$4:$AI$671,1),1,BE839):INDEX((係数_バス貨物_ガソリン,係数_バス貨物_CNG,係数_バス貨物_軽油,係数_バス貨物_メタノール,係数_バス貨物_LPG),MATCH(AY839+1,【参考】排出係数!$AI$4:$AI$671,1)-1,5,BE839),2,FALSE),IF(OR(AW839=1,AW839=2),VLOOKUP(AU839,INDEX((係数_乗用_ガソリン,係数_乗用_CNG,係数_乗用_軽油,係数_乗用_メタノール,係数_乗用_LPG),1,1,BE839):INDEX((係数_乗用_ガソリン,係数_乗用_CNG,係数_乗用_軽油,係数_乗用_メタノール,係数_乗用_LPG),125,5,BE839),2,FALSE))))))</f>
        <v/>
      </c>
      <c r="BB839" s="468" t="str">
        <f>IF(T839="","",IF(OR(AU839="",AU839="-"),"－",IF(OR(AZ839=8,AZ839=9),"",IF(OR(AW839=3,AW839=4,AW839=5,AW839=6),VLOOKUP(AU839,INDEX((係数_バス貨物_ガソリン,係数_バス貨物_CNG,係数_バス貨物_軽油,係数_バス貨物_メタノール,係数_バス貨物_LPG),MATCH(AY839,【参考】排出係数!$AI$4:$AI$671,1),1,BE839):INDEX((係数_バス貨物_ガソリン,係数_バス貨物_CNG,係数_バス貨物_軽油,係数_バス貨物_メタノール,係数_バス貨物_LPG),MATCH(AY839+1,【参考】排出係数!$AI$4:$AI$671,1)-1,5,BE839),3,FALSE),IF(OR(AW839=1,AW839=2),VLOOKUP(AU839,INDEX((係数_乗用_ガソリン,係数_乗用_CNG,係数_乗用_軽油,係数_乗用_メタノール,係数_乗用_LPG),1,1,BE839):INDEX((係数_乗用_ガソリン,係数_乗用_CNG,係数_乗用_軽油,係数_乗用_メタノール,係数_乗用_LPG),125,5,BE839),3,FALSE))))))</f>
        <v/>
      </c>
      <c r="BC839" s="467" t="str">
        <f t="shared" si="482"/>
        <v/>
      </c>
      <c r="BD839" s="567" t="str">
        <f t="shared" si="483"/>
        <v/>
      </c>
      <c r="BE839" s="467" t="str">
        <f t="shared" si="484"/>
        <v/>
      </c>
      <c r="BF839" s="469" t="str">
        <f t="shared" ca="1" si="485"/>
        <v/>
      </c>
      <c r="BG839" s="469" t="str">
        <f t="shared" ca="1" si="486"/>
        <v/>
      </c>
      <c r="BH839" s="467" t="str">
        <f t="shared" si="487"/>
        <v/>
      </c>
      <c r="BI839" s="467" t="str">
        <f t="shared" ca="1" si="488"/>
        <v/>
      </c>
      <c r="BJ839" s="469" t="str">
        <f t="shared" si="489"/>
        <v/>
      </c>
      <c r="BK839" s="470" t="str">
        <f t="shared" si="473"/>
        <v/>
      </c>
      <c r="BL839" s="775" t="str">
        <f t="shared" si="490"/>
        <v/>
      </c>
      <c r="BM839" s="775" t="str">
        <f t="shared" si="491"/>
        <v/>
      </c>
    </row>
    <row r="840" spans="1:65">
      <c r="A840" s="473">
        <v>784</v>
      </c>
      <c r="B840" s="132"/>
      <c r="C840" s="332"/>
      <c r="D840" s="333"/>
      <c r="E840" s="333"/>
      <c r="F840" s="334"/>
      <c r="G840" s="337"/>
      <c r="H840" s="131"/>
      <c r="I840" s="337"/>
      <c r="J840" s="131"/>
      <c r="K840" s="458" t="str">
        <f t="shared" si="454"/>
        <v/>
      </c>
      <c r="L840" s="458">
        <f t="shared" si="455"/>
        <v>0</v>
      </c>
      <c r="M840" s="458">
        <f t="shared" si="456"/>
        <v>0</v>
      </c>
      <c r="N840" s="459" t="str">
        <f t="shared" si="467"/>
        <v/>
      </c>
      <c r="O840" s="459" t="str">
        <f t="shared" si="468"/>
        <v/>
      </c>
      <c r="P840" s="459" t="str">
        <f t="shared" si="469"/>
        <v/>
      </c>
      <c r="Q840" s="459" t="str">
        <f t="shared" si="470"/>
        <v/>
      </c>
      <c r="R840" s="459" t="str">
        <f t="shared" si="471"/>
        <v/>
      </c>
      <c r="S840" s="459" t="str">
        <f t="shared" si="472"/>
        <v/>
      </c>
      <c r="T840" s="566" t="str">
        <f t="shared" si="457"/>
        <v/>
      </c>
      <c r="U840" s="702"/>
      <c r="V840" s="132"/>
      <c r="W840" s="133"/>
      <c r="X840" s="134"/>
      <c r="Y840" s="135"/>
      <c r="Z840" s="137"/>
      <c r="AA840" s="136"/>
      <c r="AB840" s="566" t="str">
        <f t="shared" si="458"/>
        <v/>
      </c>
      <c r="AC840" s="568" t="str">
        <f t="shared" si="459"/>
        <v/>
      </c>
      <c r="AD840" s="137"/>
      <c r="AE840" s="137"/>
      <c r="AF840" s="138"/>
      <c r="AG840" s="138"/>
      <c r="AH840" s="592" t="str">
        <f t="shared" si="460"/>
        <v/>
      </c>
      <c r="AI840" s="592" t="str">
        <f t="shared" si="461"/>
        <v/>
      </c>
      <c r="AJ840" s="592" t="str">
        <f t="shared" si="462"/>
        <v/>
      </c>
      <c r="AK840" s="460" t="str">
        <f>IF(AU840="","",IF(OR(AZ840=8,AZ840=9),0,IF(OR(AW840=3,AW840=4,AW840=5,AW840=6),IF(LEFT(BF840,1)="1",INDEX(係数_NOX・PM低減,MATCH(AY840,【参考】排出係数!$AI$801:$AI$804,1),1),VLOOKUP(AU840,INDEX((係数_バス貨物_ガソリン,係数_バス貨物_CNG,係数_バス貨物_軽油,係数_バス貨物_メタノール,係数_バス貨物_LPG),MATCH(AY840,【参考】排出係数!$AI$4:$AI$671,1),1,BE840):INDEX((係数_バス貨物_ガソリン,係数_バス貨物_CNG,係数_バス貨物_軽油,係数_バス貨物_メタノール,係数_バス貨物_LPG),MATCH(AY840+1,【参考】排出係数!$AI$4:$AI$671,1)-1,5,BE840),4,FALSE)),IF(AND(BE840=3,LEFT(BF840,1)="1"),0.48,VLOOKUP(AU840,INDEX((係数_乗用_ガソリン,係数_乗用_CNG,係数_乗用_軽油,係数_乗用_メタノール,係数_乗用_LPG),1,1,BE840):INDEX((係数_乗用_ガソリン,係数_乗用_CNG,係数_乗用_軽油,係数_乗用_メタノール,係数_乗用_LPG),125,5,BE840),4,FALSE)))))</f>
        <v/>
      </c>
      <c r="AL840" s="461" t="str">
        <f t="shared" si="463"/>
        <v/>
      </c>
      <c r="AM840" s="460" t="str">
        <f>IF(AU840="","",IF(OR(AZ840=8,AZ840=9),0,IF(OR(AW840=3,AW840=4,AW840=5,AW840=6),IF(LEFT(BH840,1)="1",INDEX(係数_PM低減,MATCH(AY840,【参考】排出係数!$AI$801:$AI$804,1),MATCH(BI840,【参考】排出係数!$AL$798:$AO$798,1)),VLOOKUP(AU840,INDEX((係数_バス貨物_ガソリン,係数_バス貨物_CNG,係数_バス貨物_軽油,係数_バス貨物_メタノール,係数_バス貨物_LPG),MATCH(AY840,【参考】排出係数!$AI$4:$AI$671,1),1,BE840):INDEX((係数_バス貨物_ガソリン,係数_バス貨物_CNG,係数_バス貨物_軽油,係数_バス貨物_メタノール,係数_バス貨物_LPG),MATCH(AY840+1,【参考】排出係数!$AI$4:$AI$671,1)-1,5,BE840),5,FALSE)),IF(AND(BE840=3,LEFT(BF840,1)="1"),0.055,VLOOKUP(AU840,INDEX((係数_乗用_ガソリン,係数_乗用_CNG,係数_乗用_軽油,係数_乗用_メタノール,係数_乗用_LPG),1,1,BE840):INDEX((係数_乗用_ガソリン,係数_乗用_CNG,係数_乗用_軽油,係数_乗用_メタノール,係数_乗用_LPG),125,5,BE840),5,FALSE)))))</f>
        <v/>
      </c>
      <c r="AN840" s="461" t="str">
        <f t="shared" si="464"/>
        <v/>
      </c>
      <c r="AO840" s="462" t="str">
        <f t="shared" si="465"/>
        <v/>
      </c>
      <c r="AP840" s="463" t="str">
        <f t="shared" si="466"/>
        <v/>
      </c>
      <c r="AQ840" s="464"/>
      <c r="AR840" s="619"/>
      <c r="AS840" s="465" t="str">
        <f t="shared" si="474"/>
        <v/>
      </c>
      <c r="AT840" s="465" t="str">
        <f t="shared" si="475"/>
        <v/>
      </c>
      <c r="AU840" s="466" t="str">
        <f t="shared" si="476"/>
        <v/>
      </c>
      <c r="AV840" s="467" t="str">
        <f t="shared" si="477"/>
        <v/>
      </c>
      <c r="AW840" s="467" t="str">
        <f t="shared" si="478"/>
        <v/>
      </c>
      <c r="AX840" s="467" t="str">
        <f t="shared" si="479"/>
        <v/>
      </c>
      <c r="AY840" s="467" t="str">
        <f t="shared" si="480"/>
        <v/>
      </c>
      <c r="AZ840" s="467" t="str">
        <f t="shared" si="481"/>
        <v/>
      </c>
      <c r="BA840" s="468" t="str">
        <f>IF(AS840="","",IF(OR(AU840="",AU840="-"),"－",IF(OR(AZ840=8,AZ840=9),"",IF(OR(AW840=3,AW840=4,AW840=5,AW840=6),VLOOKUP(AU840,INDEX((係数_バス貨物_ガソリン,係数_バス貨物_CNG,係数_バス貨物_軽油,係数_バス貨物_メタノール,係数_バス貨物_LPG),MATCH(AY840,【参考】排出係数!$AI$4:$AI$671,1),1,BE840):INDEX((係数_バス貨物_ガソリン,係数_バス貨物_CNG,係数_バス貨物_軽油,係数_バス貨物_メタノール,係数_バス貨物_LPG),MATCH(AY840+1,【参考】排出係数!$AI$4:$AI$671,1)-1,5,BE840),2,FALSE),IF(OR(AW840=1,AW840=2),VLOOKUP(AU840,INDEX((係数_乗用_ガソリン,係数_乗用_CNG,係数_乗用_軽油,係数_乗用_メタノール,係数_乗用_LPG),1,1,BE840):INDEX((係数_乗用_ガソリン,係数_乗用_CNG,係数_乗用_軽油,係数_乗用_メタノール,係数_乗用_LPG),125,5,BE840),2,FALSE))))))</f>
        <v/>
      </c>
      <c r="BB840" s="468" t="str">
        <f>IF(T840="","",IF(OR(AU840="",AU840="-"),"－",IF(OR(AZ840=8,AZ840=9),"",IF(OR(AW840=3,AW840=4,AW840=5,AW840=6),VLOOKUP(AU840,INDEX((係数_バス貨物_ガソリン,係数_バス貨物_CNG,係数_バス貨物_軽油,係数_バス貨物_メタノール,係数_バス貨物_LPG),MATCH(AY840,【参考】排出係数!$AI$4:$AI$671,1),1,BE840):INDEX((係数_バス貨物_ガソリン,係数_バス貨物_CNG,係数_バス貨物_軽油,係数_バス貨物_メタノール,係数_バス貨物_LPG),MATCH(AY840+1,【参考】排出係数!$AI$4:$AI$671,1)-1,5,BE840),3,FALSE),IF(OR(AW840=1,AW840=2),VLOOKUP(AU840,INDEX((係数_乗用_ガソリン,係数_乗用_CNG,係数_乗用_軽油,係数_乗用_メタノール,係数_乗用_LPG),1,1,BE840):INDEX((係数_乗用_ガソリン,係数_乗用_CNG,係数_乗用_軽油,係数_乗用_メタノール,係数_乗用_LPG),125,5,BE840),3,FALSE))))))</f>
        <v/>
      </c>
      <c r="BC840" s="467" t="str">
        <f t="shared" si="482"/>
        <v/>
      </c>
      <c r="BD840" s="567" t="str">
        <f t="shared" si="483"/>
        <v/>
      </c>
      <c r="BE840" s="467" t="str">
        <f t="shared" si="484"/>
        <v/>
      </c>
      <c r="BF840" s="469" t="str">
        <f t="shared" ca="1" si="485"/>
        <v/>
      </c>
      <c r="BG840" s="469" t="str">
        <f t="shared" ca="1" si="486"/>
        <v/>
      </c>
      <c r="BH840" s="467" t="str">
        <f t="shared" si="487"/>
        <v/>
      </c>
      <c r="BI840" s="467" t="str">
        <f t="shared" ca="1" si="488"/>
        <v/>
      </c>
      <c r="BJ840" s="469" t="str">
        <f t="shared" si="489"/>
        <v/>
      </c>
      <c r="BK840" s="470" t="str">
        <f t="shared" si="473"/>
        <v/>
      </c>
      <c r="BL840" s="775" t="str">
        <f t="shared" si="490"/>
        <v/>
      </c>
      <c r="BM840" s="775" t="str">
        <f t="shared" si="491"/>
        <v/>
      </c>
    </row>
    <row r="841" spans="1:65">
      <c r="A841" s="473">
        <v>785</v>
      </c>
      <c r="B841" s="132"/>
      <c r="C841" s="332"/>
      <c r="D841" s="333"/>
      <c r="E841" s="333"/>
      <c r="F841" s="334"/>
      <c r="G841" s="337"/>
      <c r="H841" s="131"/>
      <c r="I841" s="337"/>
      <c r="J841" s="131"/>
      <c r="K841" s="458" t="str">
        <f t="shared" si="454"/>
        <v/>
      </c>
      <c r="L841" s="458">
        <f t="shared" si="455"/>
        <v>0</v>
      </c>
      <c r="M841" s="458">
        <f t="shared" si="456"/>
        <v>0</v>
      </c>
      <c r="N841" s="459" t="str">
        <f t="shared" si="467"/>
        <v/>
      </c>
      <c r="O841" s="459" t="str">
        <f t="shared" si="468"/>
        <v/>
      </c>
      <c r="P841" s="459" t="str">
        <f t="shared" si="469"/>
        <v/>
      </c>
      <c r="Q841" s="459" t="str">
        <f t="shared" si="470"/>
        <v/>
      </c>
      <c r="R841" s="459" t="str">
        <f t="shared" si="471"/>
        <v/>
      </c>
      <c r="S841" s="459" t="str">
        <f t="shared" si="472"/>
        <v/>
      </c>
      <c r="T841" s="566" t="str">
        <f t="shared" si="457"/>
        <v/>
      </c>
      <c r="U841" s="702"/>
      <c r="V841" s="132"/>
      <c r="W841" s="133"/>
      <c r="X841" s="134"/>
      <c r="Y841" s="135"/>
      <c r="Z841" s="137"/>
      <c r="AA841" s="136"/>
      <c r="AB841" s="566" t="str">
        <f t="shared" si="458"/>
        <v/>
      </c>
      <c r="AC841" s="568" t="str">
        <f t="shared" si="459"/>
        <v/>
      </c>
      <c r="AD841" s="137"/>
      <c r="AE841" s="137"/>
      <c r="AF841" s="138"/>
      <c r="AG841" s="138"/>
      <c r="AH841" s="592" t="str">
        <f t="shared" si="460"/>
        <v/>
      </c>
      <c r="AI841" s="592" t="str">
        <f t="shared" si="461"/>
        <v/>
      </c>
      <c r="AJ841" s="592" t="str">
        <f t="shared" si="462"/>
        <v/>
      </c>
      <c r="AK841" s="460" t="str">
        <f>IF(AU841="","",IF(OR(AZ841=8,AZ841=9),0,IF(OR(AW841=3,AW841=4,AW841=5,AW841=6),IF(LEFT(BF841,1)="1",INDEX(係数_NOX・PM低減,MATCH(AY841,【参考】排出係数!$AI$801:$AI$804,1),1),VLOOKUP(AU841,INDEX((係数_バス貨物_ガソリン,係数_バス貨物_CNG,係数_バス貨物_軽油,係数_バス貨物_メタノール,係数_バス貨物_LPG),MATCH(AY841,【参考】排出係数!$AI$4:$AI$671,1),1,BE841):INDEX((係数_バス貨物_ガソリン,係数_バス貨物_CNG,係数_バス貨物_軽油,係数_バス貨物_メタノール,係数_バス貨物_LPG),MATCH(AY841+1,【参考】排出係数!$AI$4:$AI$671,1)-1,5,BE841),4,FALSE)),IF(AND(BE841=3,LEFT(BF841,1)="1"),0.48,VLOOKUP(AU841,INDEX((係数_乗用_ガソリン,係数_乗用_CNG,係数_乗用_軽油,係数_乗用_メタノール,係数_乗用_LPG),1,1,BE841):INDEX((係数_乗用_ガソリン,係数_乗用_CNG,係数_乗用_軽油,係数_乗用_メタノール,係数_乗用_LPG),125,5,BE841),4,FALSE)))))</f>
        <v/>
      </c>
      <c r="AL841" s="461" t="str">
        <f t="shared" si="463"/>
        <v/>
      </c>
      <c r="AM841" s="460" t="str">
        <f>IF(AU841="","",IF(OR(AZ841=8,AZ841=9),0,IF(OR(AW841=3,AW841=4,AW841=5,AW841=6),IF(LEFT(BH841,1)="1",INDEX(係数_PM低減,MATCH(AY841,【参考】排出係数!$AI$801:$AI$804,1),MATCH(BI841,【参考】排出係数!$AL$798:$AO$798,1)),VLOOKUP(AU841,INDEX((係数_バス貨物_ガソリン,係数_バス貨物_CNG,係数_バス貨物_軽油,係数_バス貨物_メタノール,係数_バス貨物_LPG),MATCH(AY841,【参考】排出係数!$AI$4:$AI$671,1),1,BE841):INDEX((係数_バス貨物_ガソリン,係数_バス貨物_CNG,係数_バス貨物_軽油,係数_バス貨物_メタノール,係数_バス貨物_LPG),MATCH(AY841+1,【参考】排出係数!$AI$4:$AI$671,1)-1,5,BE841),5,FALSE)),IF(AND(BE841=3,LEFT(BF841,1)="1"),0.055,VLOOKUP(AU841,INDEX((係数_乗用_ガソリン,係数_乗用_CNG,係数_乗用_軽油,係数_乗用_メタノール,係数_乗用_LPG),1,1,BE841):INDEX((係数_乗用_ガソリン,係数_乗用_CNG,係数_乗用_軽油,係数_乗用_メタノール,係数_乗用_LPG),125,5,BE841),5,FALSE)))))</f>
        <v/>
      </c>
      <c r="AN841" s="461" t="str">
        <f t="shared" si="464"/>
        <v/>
      </c>
      <c r="AO841" s="462" t="str">
        <f t="shared" si="465"/>
        <v/>
      </c>
      <c r="AP841" s="463" t="str">
        <f t="shared" si="466"/>
        <v/>
      </c>
      <c r="AQ841" s="464"/>
      <c r="AR841" s="619"/>
      <c r="AS841" s="465" t="str">
        <f t="shared" si="474"/>
        <v/>
      </c>
      <c r="AT841" s="465" t="str">
        <f t="shared" si="475"/>
        <v/>
      </c>
      <c r="AU841" s="466" t="str">
        <f t="shared" si="476"/>
        <v/>
      </c>
      <c r="AV841" s="467" t="str">
        <f t="shared" si="477"/>
        <v/>
      </c>
      <c r="AW841" s="467" t="str">
        <f t="shared" si="478"/>
        <v/>
      </c>
      <c r="AX841" s="467" t="str">
        <f t="shared" si="479"/>
        <v/>
      </c>
      <c r="AY841" s="467" t="str">
        <f t="shared" si="480"/>
        <v/>
      </c>
      <c r="AZ841" s="467" t="str">
        <f t="shared" si="481"/>
        <v/>
      </c>
      <c r="BA841" s="468" t="str">
        <f>IF(AS841="","",IF(OR(AU841="",AU841="-"),"－",IF(OR(AZ841=8,AZ841=9),"",IF(OR(AW841=3,AW841=4,AW841=5,AW841=6),VLOOKUP(AU841,INDEX((係数_バス貨物_ガソリン,係数_バス貨物_CNG,係数_バス貨物_軽油,係数_バス貨物_メタノール,係数_バス貨物_LPG),MATCH(AY841,【参考】排出係数!$AI$4:$AI$671,1),1,BE841):INDEX((係数_バス貨物_ガソリン,係数_バス貨物_CNG,係数_バス貨物_軽油,係数_バス貨物_メタノール,係数_バス貨物_LPG),MATCH(AY841+1,【参考】排出係数!$AI$4:$AI$671,1)-1,5,BE841),2,FALSE),IF(OR(AW841=1,AW841=2),VLOOKUP(AU841,INDEX((係数_乗用_ガソリン,係数_乗用_CNG,係数_乗用_軽油,係数_乗用_メタノール,係数_乗用_LPG),1,1,BE841):INDEX((係数_乗用_ガソリン,係数_乗用_CNG,係数_乗用_軽油,係数_乗用_メタノール,係数_乗用_LPG),125,5,BE841),2,FALSE))))))</f>
        <v/>
      </c>
      <c r="BB841" s="468" t="str">
        <f>IF(T841="","",IF(OR(AU841="",AU841="-"),"－",IF(OR(AZ841=8,AZ841=9),"",IF(OR(AW841=3,AW841=4,AW841=5,AW841=6),VLOOKUP(AU841,INDEX((係数_バス貨物_ガソリン,係数_バス貨物_CNG,係数_バス貨物_軽油,係数_バス貨物_メタノール,係数_バス貨物_LPG),MATCH(AY841,【参考】排出係数!$AI$4:$AI$671,1),1,BE841):INDEX((係数_バス貨物_ガソリン,係数_バス貨物_CNG,係数_バス貨物_軽油,係数_バス貨物_メタノール,係数_バス貨物_LPG),MATCH(AY841+1,【参考】排出係数!$AI$4:$AI$671,1)-1,5,BE841),3,FALSE),IF(OR(AW841=1,AW841=2),VLOOKUP(AU841,INDEX((係数_乗用_ガソリン,係数_乗用_CNG,係数_乗用_軽油,係数_乗用_メタノール,係数_乗用_LPG),1,1,BE841):INDEX((係数_乗用_ガソリン,係数_乗用_CNG,係数_乗用_軽油,係数_乗用_メタノール,係数_乗用_LPG),125,5,BE841),3,FALSE))))))</f>
        <v/>
      </c>
      <c r="BC841" s="467" t="str">
        <f t="shared" si="482"/>
        <v/>
      </c>
      <c r="BD841" s="567" t="str">
        <f t="shared" si="483"/>
        <v/>
      </c>
      <c r="BE841" s="467" t="str">
        <f t="shared" si="484"/>
        <v/>
      </c>
      <c r="BF841" s="469" t="str">
        <f t="shared" ca="1" si="485"/>
        <v/>
      </c>
      <c r="BG841" s="469" t="str">
        <f t="shared" ca="1" si="486"/>
        <v/>
      </c>
      <c r="BH841" s="467" t="str">
        <f t="shared" si="487"/>
        <v/>
      </c>
      <c r="BI841" s="467" t="str">
        <f t="shared" ca="1" si="488"/>
        <v/>
      </c>
      <c r="BJ841" s="469" t="str">
        <f t="shared" si="489"/>
        <v/>
      </c>
      <c r="BK841" s="470" t="str">
        <f t="shared" si="473"/>
        <v/>
      </c>
      <c r="BL841" s="775" t="str">
        <f t="shared" si="490"/>
        <v/>
      </c>
      <c r="BM841" s="775" t="str">
        <f t="shared" si="491"/>
        <v/>
      </c>
    </row>
    <row r="842" spans="1:65">
      <c r="A842" s="473">
        <v>786</v>
      </c>
      <c r="B842" s="132"/>
      <c r="C842" s="332"/>
      <c r="D842" s="333"/>
      <c r="E842" s="333"/>
      <c r="F842" s="334"/>
      <c r="G842" s="337"/>
      <c r="H842" s="131"/>
      <c r="I842" s="337"/>
      <c r="J842" s="131"/>
      <c r="K842" s="458" t="str">
        <f t="shared" si="454"/>
        <v/>
      </c>
      <c r="L842" s="458">
        <f t="shared" si="455"/>
        <v>0</v>
      </c>
      <c r="M842" s="458">
        <f t="shared" si="456"/>
        <v>0</v>
      </c>
      <c r="N842" s="459" t="str">
        <f t="shared" si="467"/>
        <v/>
      </c>
      <c r="O842" s="459" t="str">
        <f t="shared" si="468"/>
        <v/>
      </c>
      <c r="P842" s="459" t="str">
        <f t="shared" si="469"/>
        <v/>
      </c>
      <c r="Q842" s="459" t="str">
        <f t="shared" si="470"/>
        <v/>
      </c>
      <c r="R842" s="459" t="str">
        <f t="shared" si="471"/>
        <v/>
      </c>
      <c r="S842" s="459" t="str">
        <f t="shared" si="472"/>
        <v/>
      </c>
      <c r="T842" s="566" t="str">
        <f t="shared" si="457"/>
        <v/>
      </c>
      <c r="U842" s="702"/>
      <c r="V842" s="132"/>
      <c r="W842" s="133"/>
      <c r="X842" s="134"/>
      <c r="Y842" s="135"/>
      <c r="Z842" s="137"/>
      <c r="AA842" s="136"/>
      <c r="AB842" s="566" t="str">
        <f t="shared" si="458"/>
        <v/>
      </c>
      <c r="AC842" s="568" t="str">
        <f t="shared" si="459"/>
        <v/>
      </c>
      <c r="AD842" s="137"/>
      <c r="AE842" s="137"/>
      <c r="AF842" s="138"/>
      <c r="AG842" s="138"/>
      <c r="AH842" s="592" t="str">
        <f t="shared" si="460"/>
        <v/>
      </c>
      <c r="AI842" s="592" t="str">
        <f t="shared" si="461"/>
        <v/>
      </c>
      <c r="AJ842" s="592" t="str">
        <f t="shared" si="462"/>
        <v/>
      </c>
      <c r="AK842" s="460" t="str">
        <f>IF(AU842="","",IF(OR(AZ842=8,AZ842=9),0,IF(OR(AW842=3,AW842=4,AW842=5,AW842=6),IF(LEFT(BF842,1)="1",INDEX(係数_NOX・PM低減,MATCH(AY842,【参考】排出係数!$AI$801:$AI$804,1),1),VLOOKUP(AU842,INDEX((係数_バス貨物_ガソリン,係数_バス貨物_CNG,係数_バス貨物_軽油,係数_バス貨物_メタノール,係数_バス貨物_LPG),MATCH(AY842,【参考】排出係数!$AI$4:$AI$671,1),1,BE842):INDEX((係数_バス貨物_ガソリン,係数_バス貨物_CNG,係数_バス貨物_軽油,係数_バス貨物_メタノール,係数_バス貨物_LPG),MATCH(AY842+1,【参考】排出係数!$AI$4:$AI$671,1)-1,5,BE842),4,FALSE)),IF(AND(BE842=3,LEFT(BF842,1)="1"),0.48,VLOOKUP(AU842,INDEX((係数_乗用_ガソリン,係数_乗用_CNG,係数_乗用_軽油,係数_乗用_メタノール,係数_乗用_LPG),1,1,BE842):INDEX((係数_乗用_ガソリン,係数_乗用_CNG,係数_乗用_軽油,係数_乗用_メタノール,係数_乗用_LPG),125,5,BE842),4,FALSE)))))</f>
        <v/>
      </c>
      <c r="AL842" s="461" t="str">
        <f t="shared" si="463"/>
        <v/>
      </c>
      <c r="AM842" s="460" t="str">
        <f>IF(AU842="","",IF(OR(AZ842=8,AZ842=9),0,IF(OR(AW842=3,AW842=4,AW842=5,AW842=6),IF(LEFT(BH842,1)="1",INDEX(係数_PM低減,MATCH(AY842,【参考】排出係数!$AI$801:$AI$804,1),MATCH(BI842,【参考】排出係数!$AL$798:$AO$798,1)),VLOOKUP(AU842,INDEX((係数_バス貨物_ガソリン,係数_バス貨物_CNG,係数_バス貨物_軽油,係数_バス貨物_メタノール,係数_バス貨物_LPG),MATCH(AY842,【参考】排出係数!$AI$4:$AI$671,1),1,BE842):INDEX((係数_バス貨物_ガソリン,係数_バス貨物_CNG,係数_バス貨物_軽油,係数_バス貨物_メタノール,係数_バス貨物_LPG),MATCH(AY842+1,【参考】排出係数!$AI$4:$AI$671,1)-1,5,BE842),5,FALSE)),IF(AND(BE842=3,LEFT(BF842,1)="1"),0.055,VLOOKUP(AU842,INDEX((係数_乗用_ガソリン,係数_乗用_CNG,係数_乗用_軽油,係数_乗用_メタノール,係数_乗用_LPG),1,1,BE842):INDEX((係数_乗用_ガソリン,係数_乗用_CNG,係数_乗用_軽油,係数_乗用_メタノール,係数_乗用_LPG),125,5,BE842),5,FALSE)))))</f>
        <v/>
      </c>
      <c r="AN842" s="461" t="str">
        <f t="shared" si="464"/>
        <v/>
      </c>
      <c r="AO842" s="462" t="str">
        <f t="shared" si="465"/>
        <v/>
      </c>
      <c r="AP842" s="463" t="str">
        <f t="shared" si="466"/>
        <v/>
      </c>
      <c r="AQ842" s="464"/>
      <c r="AR842" s="619"/>
      <c r="AS842" s="465" t="str">
        <f t="shared" si="474"/>
        <v/>
      </c>
      <c r="AT842" s="465" t="str">
        <f t="shared" si="475"/>
        <v/>
      </c>
      <c r="AU842" s="466" t="str">
        <f t="shared" si="476"/>
        <v/>
      </c>
      <c r="AV842" s="467" t="str">
        <f t="shared" si="477"/>
        <v/>
      </c>
      <c r="AW842" s="467" t="str">
        <f t="shared" si="478"/>
        <v/>
      </c>
      <c r="AX842" s="467" t="str">
        <f t="shared" si="479"/>
        <v/>
      </c>
      <c r="AY842" s="467" t="str">
        <f t="shared" si="480"/>
        <v/>
      </c>
      <c r="AZ842" s="467" t="str">
        <f t="shared" si="481"/>
        <v/>
      </c>
      <c r="BA842" s="468" t="str">
        <f>IF(AS842="","",IF(OR(AU842="",AU842="-"),"－",IF(OR(AZ842=8,AZ842=9),"",IF(OR(AW842=3,AW842=4,AW842=5,AW842=6),VLOOKUP(AU842,INDEX((係数_バス貨物_ガソリン,係数_バス貨物_CNG,係数_バス貨物_軽油,係数_バス貨物_メタノール,係数_バス貨物_LPG),MATCH(AY842,【参考】排出係数!$AI$4:$AI$671,1),1,BE842):INDEX((係数_バス貨物_ガソリン,係数_バス貨物_CNG,係数_バス貨物_軽油,係数_バス貨物_メタノール,係数_バス貨物_LPG),MATCH(AY842+1,【参考】排出係数!$AI$4:$AI$671,1)-1,5,BE842),2,FALSE),IF(OR(AW842=1,AW842=2),VLOOKUP(AU842,INDEX((係数_乗用_ガソリン,係数_乗用_CNG,係数_乗用_軽油,係数_乗用_メタノール,係数_乗用_LPG),1,1,BE842):INDEX((係数_乗用_ガソリン,係数_乗用_CNG,係数_乗用_軽油,係数_乗用_メタノール,係数_乗用_LPG),125,5,BE842),2,FALSE))))))</f>
        <v/>
      </c>
      <c r="BB842" s="468" t="str">
        <f>IF(T842="","",IF(OR(AU842="",AU842="-"),"－",IF(OR(AZ842=8,AZ842=9),"",IF(OR(AW842=3,AW842=4,AW842=5,AW842=6),VLOOKUP(AU842,INDEX((係数_バス貨物_ガソリン,係数_バス貨物_CNG,係数_バス貨物_軽油,係数_バス貨物_メタノール,係数_バス貨物_LPG),MATCH(AY842,【参考】排出係数!$AI$4:$AI$671,1),1,BE842):INDEX((係数_バス貨物_ガソリン,係数_バス貨物_CNG,係数_バス貨物_軽油,係数_バス貨物_メタノール,係数_バス貨物_LPG),MATCH(AY842+1,【参考】排出係数!$AI$4:$AI$671,1)-1,5,BE842),3,FALSE),IF(OR(AW842=1,AW842=2),VLOOKUP(AU842,INDEX((係数_乗用_ガソリン,係数_乗用_CNG,係数_乗用_軽油,係数_乗用_メタノール,係数_乗用_LPG),1,1,BE842):INDEX((係数_乗用_ガソリン,係数_乗用_CNG,係数_乗用_軽油,係数_乗用_メタノール,係数_乗用_LPG),125,5,BE842),3,FALSE))))))</f>
        <v/>
      </c>
      <c r="BC842" s="467" t="str">
        <f t="shared" si="482"/>
        <v/>
      </c>
      <c r="BD842" s="567" t="str">
        <f t="shared" si="483"/>
        <v/>
      </c>
      <c r="BE842" s="467" t="str">
        <f t="shared" si="484"/>
        <v/>
      </c>
      <c r="BF842" s="469" t="str">
        <f t="shared" ca="1" si="485"/>
        <v/>
      </c>
      <c r="BG842" s="469" t="str">
        <f t="shared" ca="1" si="486"/>
        <v/>
      </c>
      <c r="BH842" s="467" t="str">
        <f t="shared" si="487"/>
        <v/>
      </c>
      <c r="BI842" s="467" t="str">
        <f t="shared" ca="1" si="488"/>
        <v/>
      </c>
      <c r="BJ842" s="469" t="str">
        <f t="shared" si="489"/>
        <v/>
      </c>
      <c r="BK842" s="470" t="str">
        <f t="shared" si="473"/>
        <v/>
      </c>
      <c r="BL842" s="775" t="str">
        <f t="shared" si="490"/>
        <v/>
      </c>
      <c r="BM842" s="775" t="str">
        <f t="shared" si="491"/>
        <v/>
      </c>
    </row>
    <row r="843" spans="1:65">
      <c r="A843" s="473">
        <v>787</v>
      </c>
      <c r="B843" s="132"/>
      <c r="C843" s="332"/>
      <c r="D843" s="333"/>
      <c r="E843" s="333"/>
      <c r="F843" s="334"/>
      <c r="G843" s="337"/>
      <c r="H843" s="131"/>
      <c r="I843" s="337"/>
      <c r="J843" s="131"/>
      <c r="K843" s="458" t="str">
        <f t="shared" si="454"/>
        <v/>
      </c>
      <c r="L843" s="458">
        <f t="shared" si="455"/>
        <v>0</v>
      </c>
      <c r="M843" s="458">
        <f t="shared" si="456"/>
        <v>0</v>
      </c>
      <c r="N843" s="459" t="str">
        <f t="shared" si="467"/>
        <v/>
      </c>
      <c r="O843" s="459" t="str">
        <f t="shared" si="468"/>
        <v/>
      </c>
      <c r="P843" s="459" t="str">
        <f t="shared" si="469"/>
        <v/>
      </c>
      <c r="Q843" s="459" t="str">
        <f t="shared" si="470"/>
        <v/>
      </c>
      <c r="R843" s="459" t="str">
        <f t="shared" si="471"/>
        <v/>
      </c>
      <c r="S843" s="459" t="str">
        <f t="shared" si="472"/>
        <v/>
      </c>
      <c r="T843" s="566" t="str">
        <f t="shared" si="457"/>
        <v/>
      </c>
      <c r="U843" s="702"/>
      <c r="V843" s="132"/>
      <c r="W843" s="133"/>
      <c r="X843" s="134"/>
      <c r="Y843" s="135"/>
      <c r="Z843" s="137"/>
      <c r="AA843" s="136"/>
      <c r="AB843" s="566" t="str">
        <f t="shared" si="458"/>
        <v/>
      </c>
      <c r="AC843" s="568" t="str">
        <f t="shared" si="459"/>
        <v/>
      </c>
      <c r="AD843" s="137"/>
      <c r="AE843" s="137"/>
      <c r="AF843" s="138"/>
      <c r="AG843" s="138"/>
      <c r="AH843" s="592" t="str">
        <f t="shared" si="460"/>
        <v/>
      </c>
      <c r="AI843" s="592" t="str">
        <f t="shared" si="461"/>
        <v/>
      </c>
      <c r="AJ843" s="592" t="str">
        <f t="shared" si="462"/>
        <v/>
      </c>
      <c r="AK843" s="460" t="str">
        <f>IF(AU843="","",IF(OR(AZ843=8,AZ843=9),0,IF(OR(AW843=3,AW843=4,AW843=5,AW843=6),IF(LEFT(BF843,1)="1",INDEX(係数_NOX・PM低減,MATCH(AY843,【参考】排出係数!$AI$801:$AI$804,1),1),VLOOKUP(AU843,INDEX((係数_バス貨物_ガソリン,係数_バス貨物_CNG,係数_バス貨物_軽油,係数_バス貨物_メタノール,係数_バス貨物_LPG),MATCH(AY843,【参考】排出係数!$AI$4:$AI$671,1),1,BE843):INDEX((係数_バス貨物_ガソリン,係数_バス貨物_CNG,係数_バス貨物_軽油,係数_バス貨物_メタノール,係数_バス貨物_LPG),MATCH(AY843+1,【参考】排出係数!$AI$4:$AI$671,1)-1,5,BE843),4,FALSE)),IF(AND(BE843=3,LEFT(BF843,1)="1"),0.48,VLOOKUP(AU843,INDEX((係数_乗用_ガソリン,係数_乗用_CNG,係数_乗用_軽油,係数_乗用_メタノール,係数_乗用_LPG),1,1,BE843):INDEX((係数_乗用_ガソリン,係数_乗用_CNG,係数_乗用_軽油,係数_乗用_メタノール,係数_乗用_LPG),125,5,BE843),4,FALSE)))))</f>
        <v/>
      </c>
      <c r="AL843" s="461" t="str">
        <f t="shared" si="463"/>
        <v/>
      </c>
      <c r="AM843" s="460" t="str">
        <f>IF(AU843="","",IF(OR(AZ843=8,AZ843=9),0,IF(OR(AW843=3,AW843=4,AW843=5,AW843=6),IF(LEFT(BH843,1)="1",INDEX(係数_PM低減,MATCH(AY843,【参考】排出係数!$AI$801:$AI$804,1),MATCH(BI843,【参考】排出係数!$AL$798:$AO$798,1)),VLOOKUP(AU843,INDEX((係数_バス貨物_ガソリン,係数_バス貨物_CNG,係数_バス貨物_軽油,係数_バス貨物_メタノール,係数_バス貨物_LPG),MATCH(AY843,【参考】排出係数!$AI$4:$AI$671,1),1,BE843):INDEX((係数_バス貨物_ガソリン,係数_バス貨物_CNG,係数_バス貨物_軽油,係数_バス貨物_メタノール,係数_バス貨物_LPG),MATCH(AY843+1,【参考】排出係数!$AI$4:$AI$671,1)-1,5,BE843),5,FALSE)),IF(AND(BE843=3,LEFT(BF843,1)="1"),0.055,VLOOKUP(AU843,INDEX((係数_乗用_ガソリン,係数_乗用_CNG,係数_乗用_軽油,係数_乗用_メタノール,係数_乗用_LPG),1,1,BE843):INDEX((係数_乗用_ガソリン,係数_乗用_CNG,係数_乗用_軽油,係数_乗用_メタノール,係数_乗用_LPG),125,5,BE843),5,FALSE)))))</f>
        <v/>
      </c>
      <c r="AN843" s="461" t="str">
        <f t="shared" si="464"/>
        <v/>
      </c>
      <c r="AO843" s="462" t="str">
        <f t="shared" si="465"/>
        <v/>
      </c>
      <c r="AP843" s="463" t="str">
        <f t="shared" si="466"/>
        <v/>
      </c>
      <c r="AQ843" s="464"/>
      <c r="AR843" s="619"/>
      <c r="AS843" s="465" t="str">
        <f t="shared" si="474"/>
        <v/>
      </c>
      <c r="AT843" s="465" t="str">
        <f t="shared" si="475"/>
        <v/>
      </c>
      <c r="AU843" s="466" t="str">
        <f t="shared" si="476"/>
        <v/>
      </c>
      <c r="AV843" s="467" t="str">
        <f t="shared" si="477"/>
        <v/>
      </c>
      <c r="AW843" s="467" t="str">
        <f t="shared" si="478"/>
        <v/>
      </c>
      <c r="AX843" s="467" t="str">
        <f t="shared" si="479"/>
        <v/>
      </c>
      <c r="AY843" s="467" t="str">
        <f t="shared" si="480"/>
        <v/>
      </c>
      <c r="AZ843" s="467" t="str">
        <f t="shared" si="481"/>
        <v/>
      </c>
      <c r="BA843" s="468" t="str">
        <f>IF(AS843="","",IF(OR(AU843="",AU843="-"),"－",IF(OR(AZ843=8,AZ843=9),"",IF(OR(AW843=3,AW843=4,AW843=5,AW843=6),VLOOKUP(AU843,INDEX((係数_バス貨物_ガソリン,係数_バス貨物_CNG,係数_バス貨物_軽油,係数_バス貨物_メタノール,係数_バス貨物_LPG),MATCH(AY843,【参考】排出係数!$AI$4:$AI$671,1),1,BE843):INDEX((係数_バス貨物_ガソリン,係数_バス貨物_CNG,係数_バス貨物_軽油,係数_バス貨物_メタノール,係数_バス貨物_LPG),MATCH(AY843+1,【参考】排出係数!$AI$4:$AI$671,1)-1,5,BE843),2,FALSE),IF(OR(AW843=1,AW843=2),VLOOKUP(AU843,INDEX((係数_乗用_ガソリン,係数_乗用_CNG,係数_乗用_軽油,係数_乗用_メタノール,係数_乗用_LPG),1,1,BE843):INDEX((係数_乗用_ガソリン,係数_乗用_CNG,係数_乗用_軽油,係数_乗用_メタノール,係数_乗用_LPG),125,5,BE843),2,FALSE))))))</f>
        <v/>
      </c>
      <c r="BB843" s="468" t="str">
        <f>IF(T843="","",IF(OR(AU843="",AU843="-"),"－",IF(OR(AZ843=8,AZ843=9),"",IF(OR(AW843=3,AW843=4,AW843=5,AW843=6),VLOOKUP(AU843,INDEX((係数_バス貨物_ガソリン,係数_バス貨物_CNG,係数_バス貨物_軽油,係数_バス貨物_メタノール,係数_バス貨物_LPG),MATCH(AY843,【参考】排出係数!$AI$4:$AI$671,1),1,BE843):INDEX((係数_バス貨物_ガソリン,係数_バス貨物_CNG,係数_バス貨物_軽油,係数_バス貨物_メタノール,係数_バス貨物_LPG),MATCH(AY843+1,【参考】排出係数!$AI$4:$AI$671,1)-1,5,BE843),3,FALSE),IF(OR(AW843=1,AW843=2),VLOOKUP(AU843,INDEX((係数_乗用_ガソリン,係数_乗用_CNG,係数_乗用_軽油,係数_乗用_メタノール,係数_乗用_LPG),1,1,BE843):INDEX((係数_乗用_ガソリン,係数_乗用_CNG,係数_乗用_軽油,係数_乗用_メタノール,係数_乗用_LPG),125,5,BE843),3,FALSE))))))</f>
        <v/>
      </c>
      <c r="BC843" s="467" t="str">
        <f t="shared" si="482"/>
        <v/>
      </c>
      <c r="BD843" s="567" t="str">
        <f t="shared" si="483"/>
        <v/>
      </c>
      <c r="BE843" s="467" t="str">
        <f t="shared" si="484"/>
        <v/>
      </c>
      <c r="BF843" s="469" t="str">
        <f t="shared" ca="1" si="485"/>
        <v/>
      </c>
      <c r="BG843" s="469" t="str">
        <f t="shared" ca="1" si="486"/>
        <v/>
      </c>
      <c r="BH843" s="467" t="str">
        <f t="shared" si="487"/>
        <v/>
      </c>
      <c r="BI843" s="467" t="str">
        <f t="shared" ca="1" si="488"/>
        <v/>
      </c>
      <c r="BJ843" s="469" t="str">
        <f t="shared" si="489"/>
        <v/>
      </c>
      <c r="BK843" s="470" t="str">
        <f t="shared" si="473"/>
        <v/>
      </c>
      <c r="BL843" s="775" t="str">
        <f t="shared" si="490"/>
        <v/>
      </c>
      <c r="BM843" s="775" t="str">
        <f t="shared" si="491"/>
        <v/>
      </c>
    </row>
    <row r="844" spans="1:65">
      <c r="A844" s="473">
        <v>788</v>
      </c>
      <c r="B844" s="132"/>
      <c r="C844" s="332"/>
      <c r="D844" s="333"/>
      <c r="E844" s="333"/>
      <c r="F844" s="334"/>
      <c r="G844" s="337"/>
      <c r="H844" s="131"/>
      <c r="I844" s="337"/>
      <c r="J844" s="131"/>
      <c r="K844" s="458" t="str">
        <f t="shared" si="454"/>
        <v/>
      </c>
      <c r="L844" s="458">
        <f t="shared" si="455"/>
        <v>0</v>
      </c>
      <c r="M844" s="458">
        <f t="shared" si="456"/>
        <v>0</v>
      </c>
      <c r="N844" s="459" t="str">
        <f t="shared" si="467"/>
        <v/>
      </c>
      <c r="O844" s="459" t="str">
        <f t="shared" si="468"/>
        <v/>
      </c>
      <c r="P844" s="459" t="str">
        <f t="shared" si="469"/>
        <v/>
      </c>
      <c r="Q844" s="459" t="str">
        <f t="shared" si="470"/>
        <v/>
      </c>
      <c r="R844" s="459" t="str">
        <f t="shared" si="471"/>
        <v/>
      </c>
      <c r="S844" s="459" t="str">
        <f t="shared" si="472"/>
        <v/>
      </c>
      <c r="T844" s="566" t="str">
        <f t="shared" si="457"/>
        <v/>
      </c>
      <c r="U844" s="702"/>
      <c r="V844" s="132"/>
      <c r="W844" s="133"/>
      <c r="X844" s="134"/>
      <c r="Y844" s="135"/>
      <c r="Z844" s="137"/>
      <c r="AA844" s="136"/>
      <c r="AB844" s="566" t="str">
        <f t="shared" si="458"/>
        <v/>
      </c>
      <c r="AC844" s="568" t="str">
        <f t="shared" si="459"/>
        <v/>
      </c>
      <c r="AD844" s="137"/>
      <c r="AE844" s="137"/>
      <c r="AF844" s="138"/>
      <c r="AG844" s="138"/>
      <c r="AH844" s="592" t="str">
        <f t="shared" si="460"/>
        <v/>
      </c>
      <c r="AI844" s="592" t="str">
        <f t="shared" si="461"/>
        <v/>
      </c>
      <c r="AJ844" s="592" t="str">
        <f t="shared" si="462"/>
        <v/>
      </c>
      <c r="AK844" s="460" t="str">
        <f>IF(AU844="","",IF(OR(AZ844=8,AZ844=9),0,IF(OR(AW844=3,AW844=4,AW844=5,AW844=6),IF(LEFT(BF844,1)="1",INDEX(係数_NOX・PM低減,MATCH(AY844,【参考】排出係数!$AI$801:$AI$804,1),1),VLOOKUP(AU844,INDEX((係数_バス貨物_ガソリン,係数_バス貨物_CNG,係数_バス貨物_軽油,係数_バス貨物_メタノール,係数_バス貨物_LPG),MATCH(AY844,【参考】排出係数!$AI$4:$AI$671,1),1,BE844):INDEX((係数_バス貨物_ガソリン,係数_バス貨物_CNG,係数_バス貨物_軽油,係数_バス貨物_メタノール,係数_バス貨物_LPG),MATCH(AY844+1,【参考】排出係数!$AI$4:$AI$671,1)-1,5,BE844),4,FALSE)),IF(AND(BE844=3,LEFT(BF844,1)="1"),0.48,VLOOKUP(AU844,INDEX((係数_乗用_ガソリン,係数_乗用_CNG,係数_乗用_軽油,係数_乗用_メタノール,係数_乗用_LPG),1,1,BE844):INDEX((係数_乗用_ガソリン,係数_乗用_CNG,係数_乗用_軽油,係数_乗用_メタノール,係数_乗用_LPG),125,5,BE844),4,FALSE)))))</f>
        <v/>
      </c>
      <c r="AL844" s="461" t="str">
        <f t="shared" si="463"/>
        <v/>
      </c>
      <c r="AM844" s="460" t="str">
        <f>IF(AU844="","",IF(OR(AZ844=8,AZ844=9),0,IF(OR(AW844=3,AW844=4,AW844=5,AW844=6),IF(LEFT(BH844,1)="1",INDEX(係数_PM低減,MATCH(AY844,【参考】排出係数!$AI$801:$AI$804,1),MATCH(BI844,【参考】排出係数!$AL$798:$AO$798,1)),VLOOKUP(AU844,INDEX((係数_バス貨物_ガソリン,係数_バス貨物_CNG,係数_バス貨物_軽油,係数_バス貨物_メタノール,係数_バス貨物_LPG),MATCH(AY844,【参考】排出係数!$AI$4:$AI$671,1),1,BE844):INDEX((係数_バス貨物_ガソリン,係数_バス貨物_CNG,係数_バス貨物_軽油,係数_バス貨物_メタノール,係数_バス貨物_LPG),MATCH(AY844+1,【参考】排出係数!$AI$4:$AI$671,1)-1,5,BE844),5,FALSE)),IF(AND(BE844=3,LEFT(BF844,1)="1"),0.055,VLOOKUP(AU844,INDEX((係数_乗用_ガソリン,係数_乗用_CNG,係数_乗用_軽油,係数_乗用_メタノール,係数_乗用_LPG),1,1,BE844):INDEX((係数_乗用_ガソリン,係数_乗用_CNG,係数_乗用_軽油,係数_乗用_メタノール,係数_乗用_LPG),125,5,BE844),5,FALSE)))))</f>
        <v/>
      </c>
      <c r="AN844" s="461" t="str">
        <f t="shared" si="464"/>
        <v/>
      </c>
      <c r="AO844" s="462" t="str">
        <f t="shared" si="465"/>
        <v/>
      </c>
      <c r="AP844" s="463" t="str">
        <f t="shared" si="466"/>
        <v/>
      </c>
      <c r="AQ844" s="464"/>
      <c r="AR844" s="619"/>
      <c r="AS844" s="465" t="str">
        <f t="shared" si="474"/>
        <v/>
      </c>
      <c r="AT844" s="465" t="str">
        <f t="shared" si="475"/>
        <v/>
      </c>
      <c r="AU844" s="466" t="str">
        <f t="shared" si="476"/>
        <v/>
      </c>
      <c r="AV844" s="467" t="str">
        <f t="shared" si="477"/>
        <v/>
      </c>
      <c r="AW844" s="467" t="str">
        <f t="shared" si="478"/>
        <v/>
      </c>
      <c r="AX844" s="467" t="str">
        <f t="shared" si="479"/>
        <v/>
      </c>
      <c r="AY844" s="467" t="str">
        <f t="shared" si="480"/>
        <v/>
      </c>
      <c r="AZ844" s="467" t="str">
        <f t="shared" si="481"/>
        <v/>
      </c>
      <c r="BA844" s="468" t="str">
        <f>IF(AS844="","",IF(OR(AU844="",AU844="-"),"－",IF(OR(AZ844=8,AZ844=9),"",IF(OR(AW844=3,AW844=4,AW844=5,AW844=6),VLOOKUP(AU844,INDEX((係数_バス貨物_ガソリン,係数_バス貨物_CNG,係数_バス貨物_軽油,係数_バス貨物_メタノール,係数_バス貨物_LPG),MATCH(AY844,【参考】排出係数!$AI$4:$AI$671,1),1,BE844):INDEX((係数_バス貨物_ガソリン,係数_バス貨物_CNG,係数_バス貨物_軽油,係数_バス貨物_メタノール,係数_バス貨物_LPG),MATCH(AY844+1,【参考】排出係数!$AI$4:$AI$671,1)-1,5,BE844),2,FALSE),IF(OR(AW844=1,AW844=2),VLOOKUP(AU844,INDEX((係数_乗用_ガソリン,係数_乗用_CNG,係数_乗用_軽油,係数_乗用_メタノール,係数_乗用_LPG),1,1,BE844):INDEX((係数_乗用_ガソリン,係数_乗用_CNG,係数_乗用_軽油,係数_乗用_メタノール,係数_乗用_LPG),125,5,BE844),2,FALSE))))))</f>
        <v/>
      </c>
      <c r="BB844" s="468" t="str">
        <f>IF(T844="","",IF(OR(AU844="",AU844="-"),"－",IF(OR(AZ844=8,AZ844=9),"",IF(OR(AW844=3,AW844=4,AW844=5,AW844=6),VLOOKUP(AU844,INDEX((係数_バス貨物_ガソリン,係数_バス貨物_CNG,係数_バス貨物_軽油,係数_バス貨物_メタノール,係数_バス貨物_LPG),MATCH(AY844,【参考】排出係数!$AI$4:$AI$671,1),1,BE844):INDEX((係数_バス貨物_ガソリン,係数_バス貨物_CNG,係数_バス貨物_軽油,係数_バス貨物_メタノール,係数_バス貨物_LPG),MATCH(AY844+1,【参考】排出係数!$AI$4:$AI$671,1)-1,5,BE844),3,FALSE),IF(OR(AW844=1,AW844=2),VLOOKUP(AU844,INDEX((係数_乗用_ガソリン,係数_乗用_CNG,係数_乗用_軽油,係数_乗用_メタノール,係数_乗用_LPG),1,1,BE844):INDEX((係数_乗用_ガソリン,係数_乗用_CNG,係数_乗用_軽油,係数_乗用_メタノール,係数_乗用_LPG),125,5,BE844),3,FALSE))))))</f>
        <v/>
      </c>
      <c r="BC844" s="467" t="str">
        <f t="shared" si="482"/>
        <v/>
      </c>
      <c r="BD844" s="567" t="str">
        <f t="shared" si="483"/>
        <v/>
      </c>
      <c r="BE844" s="467" t="str">
        <f t="shared" si="484"/>
        <v/>
      </c>
      <c r="BF844" s="469" t="str">
        <f t="shared" ca="1" si="485"/>
        <v/>
      </c>
      <c r="BG844" s="469" t="str">
        <f t="shared" ca="1" si="486"/>
        <v/>
      </c>
      <c r="BH844" s="467" t="str">
        <f t="shared" si="487"/>
        <v/>
      </c>
      <c r="BI844" s="467" t="str">
        <f t="shared" ca="1" si="488"/>
        <v/>
      </c>
      <c r="BJ844" s="469" t="str">
        <f t="shared" si="489"/>
        <v/>
      </c>
      <c r="BK844" s="470" t="str">
        <f t="shared" si="473"/>
        <v/>
      </c>
      <c r="BL844" s="775" t="str">
        <f t="shared" si="490"/>
        <v/>
      </c>
      <c r="BM844" s="775" t="str">
        <f t="shared" si="491"/>
        <v/>
      </c>
    </row>
    <row r="845" spans="1:65">
      <c r="A845" s="473">
        <v>789</v>
      </c>
      <c r="B845" s="132"/>
      <c r="C845" s="332"/>
      <c r="D845" s="333"/>
      <c r="E845" s="333"/>
      <c r="F845" s="334"/>
      <c r="G845" s="337"/>
      <c r="H845" s="131"/>
      <c r="I845" s="337"/>
      <c r="J845" s="131"/>
      <c r="K845" s="458" t="str">
        <f t="shared" si="454"/>
        <v/>
      </c>
      <c r="L845" s="458">
        <f t="shared" si="455"/>
        <v>0</v>
      </c>
      <c r="M845" s="458">
        <f t="shared" si="456"/>
        <v>0</v>
      </c>
      <c r="N845" s="459" t="str">
        <f t="shared" si="467"/>
        <v/>
      </c>
      <c r="O845" s="459" t="str">
        <f t="shared" si="468"/>
        <v/>
      </c>
      <c r="P845" s="459" t="str">
        <f t="shared" si="469"/>
        <v/>
      </c>
      <c r="Q845" s="459" t="str">
        <f t="shared" si="470"/>
        <v/>
      </c>
      <c r="R845" s="459" t="str">
        <f t="shared" si="471"/>
        <v/>
      </c>
      <c r="S845" s="459" t="str">
        <f t="shared" si="472"/>
        <v/>
      </c>
      <c r="T845" s="566" t="str">
        <f t="shared" si="457"/>
        <v/>
      </c>
      <c r="U845" s="702"/>
      <c r="V845" s="132"/>
      <c r="W845" s="133"/>
      <c r="X845" s="134"/>
      <c r="Y845" s="135"/>
      <c r="Z845" s="137"/>
      <c r="AA845" s="136"/>
      <c r="AB845" s="566" t="str">
        <f t="shared" si="458"/>
        <v/>
      </c>
      <c r="AC845" s="568" t="str">
        <f t="shared" si="459"/>
        <v/>
      </c>
      <c r="AD845" s="137"/>
      <c r="AE845" s="137"/>
      <c r="AF845" s="138"/>
      <c r="AG845" s="138"/>
      <c r="AH845" s="592" t="str">
        <f t="shared" si="460"/>
        <v/>
      </c>
      <c r="AI845" s="592" t="str">
        <f t="shared" si="461"/>
        <v/>
      </c>
      <c r="AJ845" s="592" t="str">
        <f t="shared" si="462"/>
        <v/>
      </c>
      <c r="AK845" s="460" t="str">
        <f>IF(AU845="","",IF(OR(AZ845=8,AZ845=9),0,IF(OR(AW845=3,AW845=4,AW845=5,AW845=6),IF(LEFT(BF845,1)="1",INDEX(係数_NOX・PM低減,MATCH(AY845,【参考】排出係数!$AI$801:$AI$804,1),1),VLOOKUP(AU845,INDEX((係数_バス貨物_ガソリン,係数_バス貨物_CNG,係数_バス貨物_軽油,係数_バス貨物_メタノール,係数_バス貨物_LPG),MATCH(AY845,【参考】排出係数!$AI$4:$AI$671,1),1,BE845):INDEX((係数_バス貨物_ガソリン,係数_バス貨物_CNG,係数_バス貨物_軽油,係数_バス貨物_メタノール,係数_バス貨物_LPG),MATCH(AY845+1,【参考】排出係数!$AI$4:$AI$671,1)-1,5,BE845),4,FALSE)),IF(AND(BE845=3,LEFT(BF845,1)="1"),0.48,VLOOKUP(AU845,INDEX((係数_乗用_ガソリン,係数_乗用_CNG,係数_乗用_軽油,係数_乗用_メタノール,係数_乗用_LPG),1,1,BE845):INDEX((係数_乗用_ガソリン,係数_乗用_CNG,係数_乗用_軽油,係数_乗用_メタノール,係数_乗用_LPG),125,5,BE845),4,FALSE)))))</f>
        <v/>
      </c>
      <c r="AL845" s="461" t="str">
        <f t="shared" si="463"/>
        <v/>
      </c>
      <c r="AM845" s="460" t="str">
        <f>IF(AU845="","",IF(OR(AZ845=8,AZ845=9),0,IF(OR(AW845=3,AW845=4,AW845=5,AW845=6),IF(LEFT(BH845,1)="1",INDEX(係数_PM低減,MATCH(AY845,【参考】排出係数!$AI$801:$AI$804,1),MATCH(BI845,【参考】排出係数!$AL$798:$AO$798,1)),VLOOKUP(AU845,INDEX((係数_バス貨物_ガソリン,係数_バス貨物_CNG,係数_バス貨物_軽油,係数_バス貨物_メタノール,係数_バス貨物_LPG),MATCH(AY845,【参考】排出係数!$AI$4:$AI$671,1),1,BE845):INDEX((係数_バス貨物_ガソリン,係数_バス貨物_CNG,係数_バス貨物_軽油,係数_バス貨物_メタノール,係数_バス貨物_LPG),MATCH(AY845+1,【参考】排出係数!$AI$4:$AI$671,1)-1,5,BE845),5,FALSE)),IF(AND(BE845=3,LEFT(BF845,1)="1"),0.055,VLOOKUP(AU845,INDEX((係数_乗用_ガソリン,係数_乗用_CNG,係数_乗用_軽油,係数_乗用_メタノール,係数_乗用_LPG),1,1,BE845):INDEX((係数_乗用_ガソリン,係数_乗用_CNG,係数_乗用_軽油,係数_乗用_メタノール,係数_乗用_LPG),125,5,BE845),5,FALSE)))))</f>
        <v/>
      </c>
      <c r="AN845" s="461" t="str">
        <f t="shared" si="464"/>
        <v/>
      </c>
      <c r="AO845" s="462" t="str">
        <f t="shared" si="465"/>
        <v/>
      </c>
      <c r="AP845" s="463" t="str">
        <f t="shared" si="466"/>
        <v/>
      </c>
      <c r="AQ845" s="464"/>
      <c r="AR845" s="619"/>
      <c r="AS845" s="465" t="str">
        <f t="shared" si="474"/>
        <v/>
      </c>
      <c r="AT845" s="465" t="str">
        <f t="shared" si="475"/>
        <v/>
      </c>
      <c r="AU845" s="466" t="str">
        <f t="shared" si="476"/>
        <v/>
      </c>
      <c r="AV845" s="467" t="str">
        <f t="shared" si="477"/>
        <v/>
      </c>
      <c r="AW845" s="467" t="str">
        <f t="shared" si="478"/>
        <v/>
      </c>
      <c r="AX845" s="467" t="str">
        <f t="shared" si="479"/>
        <v/>
      </c>
      <c r="AY845" s="467" t="str">
        <f t="shared" si="480"/>
        <v/>
      </c>
      <c r="AZ845" s="467" t="str">
        <f t="shared" si="481"/>
        <v/>
      </c>
      <c r="BA845" s="468" t="str">
        <f>IF(AS845="","",IF(OR(AU845="",AU845="-"),"－",IF(OR(AZ845=8,AZ845=9),"",IF(OR(AW845=3,AW845=4,AW845=5,AW845=6),VLOOKUP(AU845,INDEX((係数_バス貨物_ガソリン,係数_バス貨物_CNG,係数_バス貨物_軽油,係数_バス貨物_メタノール,係数_バス貨物_LPG),MATCH(AY845,【参考】排出係数!$AI$4:$AI$671,1),1,BE845):INDEX((係数_バス貨物_ガソリン,係数_バス貨物_CNG,係数_バス貨物_軽油,係数_バス貨物_メタノール,係数_バス貨物_LPG),MATCH(AY845+1,【参考】排出係数!$AI$4:$AI$671,1)-1,5,BE845),2,FALSE),IF(OR(AW845=1,AW845=2),VLOOKUP(AU845,INDEX((係数_乗用_ガソリン,係数_乗用_CNG,係数_乗用_軽油,係数_乗用_メタノール,係数_乗用_LPG),1,1,BE845):INDEX((係数_乗用_ガソリン,係数_乗用_CNG,係数_乗用_軽油,係数_乗用_メタノール,係数_乗用_LPG),125,5,BE845),2,FALSE))))))</f>
        <v/>
      </c>
      <c r="BB845" s="468" t="str">
        <f>IF(T845="","",IF(OR(AU845="",AU845="-"),"－",IF(OR(AZ845=8,AZ845=9),"",IF(OR(AW845=3,AW845=4,AW845=5,AW845=6),VLOOKUP(AU845,INDEX((係数_バス貨物_ガソリン,係数_バス貨物_CNG,係数_バス貨物_軽油,係数_バス貨物_メタノール,係数_バス貨物_LPG),MATCH(AY845,【参考】排出係数!$AI$4:$AI$671,1),1,BE845):INDEX((係数_バス貨物_ガソリン,係数_バス貨物_CNG,係数_バス貨物_軽油,係数_バス貨物_メタノール,係数_バス貨物_LPG),MATCH(AY845+1,【参考】排出係数!$AI$4:$AI$671,1)-1,5,BE845),3,FALSE),IF(OR(AW845=1,AW845=2),VLOOKUP(AU845,INDEX((係数_乗用_ガソリン,係数_乗用_CNG,係数_乗用_軽油,係数_乗用_メタノール,係数_乗用_LPG),1,1,BE845):INDEX((係数_乗用_ガソリン,係数_乗用_CNG,係数_乗用_軽油,係数_乗用_メタノール,係数_乗用_LPG),125,5,BE845),3,FALSE))))))</f>
        <v/>
      </c>
      <c r="BC845" s="467" t="str">
        <f t="shared" si="482"/>
        <v/>
      </c>
      <c r="BD845" s="567" t="str">
        <f t="shared" si="483"/>
        <v/>
      </c>
      <c r="BE845" s="467" t="str">
        <f t="shared" si="484"/>
        <v/>
      </c>
      <c r="BF845" s="469" t="str">
        <f t="shared" ca="1" si="485"/>
        <v/>
      </c>
      <c r="BG845" s="469" t="str">
        <f t="shared" ca="1" si="486"/>
        <v/>
      </c>
      <c r="BH845" s="467" t="str">
        <f t="shared" si="487"/>
        <v/>
      </c>
      <c r="BI845" s="467" t="str">
        <f t="shared" ca="1" si="488"/>
        <v/>
      </c>
      <c r="BJ845" s="469" t="str">
        <f t="shared" si="489"/>
        <v/>
      </c>
      <c r="BK845" s="470" t="str">
        <f t="shared" si="473"/>
        <v/>
      </c>
      <c r="BL845" s="775" t="str">
        <f t="shared" si="490"/>
        <v/>
      </c>
      <c r="BM845" s="775" t="str">
        <f t="shared" si="491"/>
        <v/>
      </c>
    </row>
    <row r="846" spans="1:65">
      <c r="A846" s="473">
        <v>790</v>
      </c>
      <c r="B846" s="132"/>
      <c r="C846" s="332"/>
      <c r="D846" s="333"/>
      <c r="E846" s="333"/>
      <c r="F846" s="334"/>
      <c r="G846" s="337"/>
      <c r="H846" s="131"/>
      <c r="I846" s="337"/>
      <c r="J846" s="131"/>
      <c r="K846" s="458" t="str">
        <f t="shared" si="454"/>
        <v/>
      </c>
      <c r="L846" s="458">
        <f t="shared" si="455"/>
        <v>0</v>
      </c>
      <c r="M846" s="458">
        <f t="shared" si="456"/>
        <v>0</v>
      </c>
      <c r="N846" s="459" t="str">
        <f t="shared" si="467"/>
        <v/>
      </c>
      <c r="O846" s="459" t="str">
        <f t="shared" si="468"/>
        <v/>
      </c>
      <c r="P846" s="459" t="str">
        <f t="shared" si="469"/>
        <v/>
      </c>
      <c r="Q846" s="459" t="str">
        <f t="shared" si="470"/>
        <v/>
      </c>
      <c r="R846" s="459" t="str">
        <f t="shared" si="471"/>
        <v/>
      </c>
      <c r="S846" s="459" t="str">
        <f t="shared" si="472"/>
        <v/>
      </c>
      <c r="T846" s="566" t="str">
        <f t="shared" si="457"/>
        <v/>
      </c>
      <c r="U846" s="702"/>
      <c r="V846" s="132"/>
      <c r="W846" s="133"/>
      <c r="X846" s="134"/>
      <c r="Y846" s="135"/>
      <c r="Z846" s="137"/>
      <c r="AA846" s="136"/>
      <c r="AB846" s="566" t="str">
        <f t="shared" si="458"/>
        <v/>
      </c>
      <c r="AC846" s="568" t="str">
        <f t="shared" si="459"/>
        <v/>
      </c>
      <c r="AD846" s="137"/>
      <c r="AE846" s="137"/>
      <c r="AF846" s="138"/>
      <c r="AG846" s="138"/>
      <c r="AH846" s="592" t="str">
        <f t="shared" si="460"/>
        <v/>
      </c>
      <c r="AI846" s="592" t="str">
        <f t="shared" si="461"/>
        <v/>
      </c>
      <c r="AJ846" s="592" t="str">
        <f t="shared" si="462"/>
        <v/>
      </c>
      <c r="AK846" s="460" t="str">
        <f>IF(AU846="","",IF(OR(AZ846=8,AZ846=9),0,IF(OR(AW846=3,AW846=4,AW846=5,AW846=6),IF(LEFT(BF846,1)="1",INDEX(係数_NOX・PM低減,MATCH(AY846,【参考】排出係数!$AI$801:$AI$804,1),1),VLOOKUP(AU846,INDEX((係数_バス貨物_ガソリン,係数_バス貨物_CNG,係数_バス貨物_軽油,係数_バス貨物_メタノール,係数_バス貨物_LPG),MATCH(AY846,【参考】排出係数!$AI$4:$AI$671,1),1,BE846):INDEX((係数_バス貨物_ガソリン,係数_バス貨物_CNG,係数_バス貨物_軽油,係数_バス貨物_メタノール,係数_バス貨物_LPG),MATCH(AY846+1,【参考】排出係数!$AI$4:$AI$671,1)-1,5,BE846),4,FALSE)),IF(AND(BE846=3,LEFT(BF846,1)="1"),0.48,VLOOKUP(AU846,INDEX((係数_乗用_ガソリン,係数_乗用_CNG,係数_乗用_軽油,係数_乗用_メタノール,係数_乗用_LPG),1,1,BE846):INDEX((係数_乗用_ガソリン,係数_乗用_CNG,係数_乗用_軽油,係数_乗用_メタノール,係数_乗用_LPG),125,5,BE846),4,FALSE)))))</f>
        <v/>
      </c>
      <c r="AL846" s="461" t="str">
        <f t="shared" si="463"/>
        <v/>
      </c>
      <c r="AM846" s="460" t="str">
        <f>IF(AU846="","",IF(OR(AZ846=8,AZ846=9),0,IF(OR(AW846=3,AW846=4,AW846=5,AW846=6),IF(LEFT(BH846,1)="1",INDEX(係数_PM低減,MATCH(AY846,【参考】排出係数!$AI$801:$AI$804,1),MATCH(BI846,【参考】排出係数!$AL$798:$AO$798,1)),VLOOKUP(AU846,INDEX((係数_バス貨物_ガソリン,係数_バス貨物_CNG,係数_バス貨物_軽油,係数_バス貨物_メタノール,係数_バス貨物_LPG),MATCH(AY846,【参考】排出係数!$AI$4:$AI$671,1),1,BE846):INDEX((係数_バス貨物_ガソリン,係数_バス貨物_CNG,係数_バス貨物_軽油,係数_バス貨物_メタノール,係数_バス貨物_LPG),MATCH(AY846+1,【参考】排出係数!$AI$4:$AI$671,1)-1,5,BE846),5,FALSE)),IF(AND(BE846=3,LEFT(BF846,1)="1"),0.055,VLOOKUP(AU846,INDEX((係数_乗用_ガソリン,係数_乗用_CNG,係数_乗用_軽油,係数_乗用_メタノール,係数_乗用_LPG),1,1,BE846):INDEX((係数_乗用_ガソリン,係数_乗用_CNG,係数_乗用_軽油,係数_乗用_メタノール,係数_乗用_LPG),125,5,BE846),5,FALSE)))))</f>
        <v/>
      </c>
      <c r="AN846" s="461" t="str">
        <f t="shared" si="464"/>
        <v/>
      </c>
      <c r="AO846" s="462" t="str">
        <f t="shared" si="465"/>
        <v/>
      </c>
      <c r="AP846" s="463" t="str">
        <f t="shared" si="466"/>
        <v/>
      </c>
      <c r="AQ846" s="464"/>
      <c r="AR846" s="619"/>
      <c r="AS846" s="465" t="str">
        <f t="shared" si="474"/>
        <v/>
      </c>
      <c r="AT846" s="465" t="str">
        <f t="shared" si="475"/>
        <v/>
      </c>
      <c r="AU846" s="466" t="str">
        <f t="shared" si="476"/>
        <v/>
      </c>
      <c r="AV846" s="467" t="str">
        <f t="shared" si="477"/>
        <v/>
      </c>
      <c r="AW846" s="467" t="str">
        <f t="shared" si="478"/>
        <v/>
      </c>
      <c r="AX846" s="467" t="str">
        <f t="shared" si="479"/>
        <v/>
      </c>
      <c r="AY846" s="467" t="str">
        <f t="shared" si="480"/>
        <v/>
      </c>
      <c r="AZ846" s="467" t="str">
        <f t="shared" si="481"/>
        <v/>
      </c>
      <c r="BA846" s="468" t="str">
        <f>IF(AS846="","",IF(OR(AU846="",AU846="-"),"－",IF(OR(AZ846=8,AZ846=9),"",IF(OR(AW846=3,AW846=4,AW846=5,AW846=6),VLOOKUP(AU846,INDEX((係数_バス貨物_ガソリン,係数_バス貨物_CNG,係数_バス貨物_軽油,係数_バス貨物_メタノール,係数_バス貨物_LPG),MATCH(AY846,【参考】排出係数!$AI$4:$AI$671,1),1,BE846):INDEX((係数_バス貨物_ガソリン,係数_バス貨物_CNG,係数_バス貨物_軽油,係数_バス貨物_メタノール,係数_バス貨物_LPG),MATCH(AY846+1,【参考】排出係数!$AI$4:$AI$671,1)-1,5,BE846),2,FALSE),IF(OR(AW846=1,AW846=2),VLOOKUP(AU846,INDEX((係数_乗用_ガソリン,係数_乗用_CNG,係数_乗用_軽油,係数_乗用_メタノール,係数_乗用_LPG),1,1,BE846):INDEX((係数_乗用_ガソリン,係数_乗用_CNG,係数_乗用_軽油,係数_乗用_メタノール,係数_乗用_LPG),125,5,BE846),2,FALSE))))))</f>
        <v/>
      </c>
      <c r="BB846" s="468" t="str">
        <f>IF(T846="","",IF(OR(AU846="",AU846="-"),"－",IF(OR(AZ846=8,AZ846=9),"",IF(OR(AW846=3,AW846=4,AW846=5,AW846=6),VLOOKUP(AU846,INDEX((係数_バス貨物_ガソリン,係数_バス貨物_CNG,係数_バス貨物_軽油,係数_バス貨物_メタノール,係数_バス貨物_LPG),MATCH(AY846,【参考】排出係数!$AI$4:$AI$671,1),1,BE846):INDEX((係数_バス貨物_ガソリン,係数_バス貨物_CNG,係数_バス貨物_軽油,係数_バス貨物_メタノール,係数_バス貨物_LPG),MATCH(AY846+1,【参考】排出係数!$AI$4:$AI$671,1)-1,5,BE846),3,FALSE),IF(OR(AW846=1,AW846=2),VLOOKUP(AU846,INDEX((係数_乗用_ガソリン,係数_乗用_CNG,係数_乗用_軽油,係数_乗用_メタノール,係数_乗用_LPG),1,1,BE846):INDEX((係数_乗用_ガソリン,係数_乗用_CNG,係数_乗用_軽油,係数_乗用_メタノール,係数_乗用_LPG),125,5,BE846),3,FALSE))))))</f>
        <v/>
      </c>
      <c r="BC846" s="467" t="str">
        <f t="shared" si="482"/>
        <v/>
      </c>
      <c r="BD846" s="567" t="str">
        <f t="shared" si="483"/>
        <v/>
      </c>
      <c r="BE846" s="467" t="str">
        <f t="shared" si="484"/>
        <v/>
      </c>
      <c r="BF846" s="469" t="str">
        <f t="shared" ca="1" si="485"/>
        <v/>
      </c>
      <c r="BG846" s="469" t="str">
        <f t="shared" ca="1" si="486"/>
        <v/>
      </c>
      <c r="BH846" s="467" t="str">
        <f t="shared" si="487"/>
        <v/>
      </c>
      <c r="BI846" s="467" t="str">
        <f t="shared" ca="1" si="488"/>
        <v/>
      </c>
      <c r="BJ846" s="469" t="str">
        <f t="shared" si="489"/>
        <v/>
      </c>
      <c r="BK846" s="470" t="str">
        <f t="shared" si="473"/>
        <v/>
      </c>
      <c r="BL846" s="775" t="str">
        <f t="shared" si="490"/>
        <v/>
      </c>
      <c r="BM846" s="775" t="str">
        <f t="shared" si="491"/>
        <v/>
      </c>
    </row>
    <row r="847" spans="1:65">
      <c r="A847" s="473">
        <v>791</v>
      </c>
      <c r="B847" s="132"/>
      <c r="C847" s="332"/>
      <c r="D847" s="333"/>
      <c r="E847" s="333"/>
      <c r="F847" s="334"/>
      <c r="G847" s="337"/>
      <c r="H847" s="131"/>
      <c r="I847" s="337"/>
      <c r="J847" s="131"/>
      <c r="K847" s="458" t="str">
        <f t="shared" si="454"/>
        <v/>
      </c>
      <c r="L847" s="458">
        <f t="shared" si="455"/>
        <v>0</v>
      </c>
      <c r="M847" s="458">
        <f t="shared" si="456"/>
        <v>0</v>
      </c>
      <c r="N847" s="459" t="str">
        <f t="shared" si="467"/>
        <v/>
      </c>
      <c r="O847" s="459" t="str">
        <f t="shared" si="468"/>
        <v/>
      </c>
      <c r="P847" s="459" t="str">
        <f t="shared" si="469"/>
        <v/>
      </c>
      <c r="Q847" s="459" t="str">
        <f t="shared" si="470"/>
        <v/>
      </c>
      <c r="R847" s="459" t="str">
        <f t="shared" si="471"/>
        <v/>
      </c>
      <c r="S847" s="459" t="str">
        <f t="shared" si="472"/>
        <v/>
      </c>
      <c r="T847" s="566" t="str">
        <f t="shared" si="457"/>
        <v/>
      </c>
      <c r="U847" s="702"/>
      <c r="V847" s="132"/>
      <c r="W847" s="133"/>
      <c r="X847" s="134"/>
      <c r="Y847" s="135"/>
      <c r="Z847" s="137"/>
      <c r="AA847" s="136"/>
      <c r="AB847" s="566" t="str">
        <f t="shared" si="458"/>
        <v/>
      </c>
      <c r="AC847" s="568" t="str">
        <f t="shared" si="459"/>
        <v/>
      </c>
      <c r="AD847" s="137"/>
      <c r="AE847" s="137"/>
      <c r="AF847" s="138"/>
      <c r="AG847" s="138"/>
      <c r="AH847" s="592" t="str">
        <f t="shared" si="460"/>
        <v/>
      </c>
      <c r="AI847" s="592" t="str">
        <f t="shared" si="461"/>
        <v/>
      </c>
      <c r="AJ847" s="592" t="str">
        <f t="shared" si="462"/>
        <v/>
      </c>
      <c r="AK847" s="460" t="str">
        <f>IF(AU847="","",IF(OR(AZ847=8,AZ847=9),0,IF(OR(AW847=3,AW847=4,AW847=5,AW847=6),IF(LEFT(BF847,1)="1",INDEX(係数_NOX・PM低減,MATCH(AY847,【参考】排出係数!$AI$801:$AI$804,1),1),VLOOKUP(AU847,INDEX((係数_バス貨物_ガソリン,係数_バス貨物_CNG,係数_バス貨物_軽油,係数_バス貨物_メタノール,係数_バス貨物_LPG),MATCH(AY847,【参考】排出係数!$AI$4:$AI$671,1),1,BE847):INDEX((係数_バス貨物_ガソリン,係数_バス貨物_CNG,係数_バス貨物_軽油,係数_バス貨物_メタノール,係数_バス貨物_LPG),MATCH(AY847+1,【参考】排出係数!$AI$4:$AI$671,1)-1,5,BE847),4,FALSE)),IF(AND(BE847=3,LEFT(BF847,1)="1"),0.48,VLOOKUP(AU847,INDEX((係数_乗用_ガソリン,係数_乗用_CNG,係数_乗用_軽油,係数_乗用_メタノール,係数_乗用_LPG),1,1,BE847):INDEX((係数_乗用_ガソリン,係数_乗用_CNG,係数_乗用_軽油,係数_乗用_メタノール,係数_乗用_LPG),125,5,BE847),4,FALSE)))))</f>
        <v/>
      </c>
      <c r="AL847" s="461" t="str">
        <f t="shared" si="463"/>
        <v/>
      </c>
      <c r="AM847" s="460" t="str">
        <f>IF(AU847="","",IF(OR(AZ847=8,AZ847=9),0,IF(OR(AW847=3,AW847=4,AW847=5,AW847=6),IF(LEFT(BH847,1)="1",INDEX(係数_PM低減,MATCH(AY847,【参考】排出係数!$AI$801:$AI$804,1),MATCH(BI847,【参考】排出係数!$AL$798:$AO$798,1)),VLOOKUP(AU847,INDEX((係数_バス貨物_ガソリン,係数_バス貨物_CNG,係数_バス貨物_軽油,係数_バス貨物_メタノール,係数_バス貨物_LPG),MATCH(AY847,【参考】排出係数!$AI$4:$AI$671,1),1,BE847):INDEX((係数_バス貨物_ガソリン,係数_バス貨物_CNG,係数_バス貨物_軽油,係数_バス貨物_メタノール,係数_バス貨物_LPG),MATCH(AY847+1,【参考】排出係数!$AI$4:$AI$671,1)-1,5,BE847),5,FALSE)),IF(AND(BE847=3,LEFT(BF847,1)="1"),0.055,VLOOKUP(AU847,INDEX((係数_乗用_ガソリン,係数_乗用_CNG,係数_乗用_軽油,係数_乗用_メタノール,係数_乗用_LPG),1,1,BE847):INDEX((係数_乗用_ガソリン,係数_乗用_CNG,係数_乗用_軽油,係数_乗用_メタノール,係数_乗用_LPG),125,5,BE847),5,FALSE)))))</f>
        <v/>
      </c>
      <c r="AN847" s="461" t="str">
        <f t="shared" si="464"/>
        <v/>
      </c>
      <c r="AO847" s="462" t="str">
        <f t="shared" si="465"/>
        <v/>
      </c>
      <c r="AP847" s="463" t="str">
        <f t="shared" si="466"/>
        <v/>
      </c>
      <c r="AQ847" s="464"/>
      <c r="AR847" s="619"/>
      <c r="AS847" s="465" t="str">
        <f t="shared" si="474"/>
        <v/>
      </c>
      <c r="AT847" s="465" t="str">
        <f t="shared" si="475"/>
        <v/>
      </c>
      <c r="AU847" s="466" t="str">
        <f t="shared" si="476"/>
        <v/>
      </c>
      <c r="AV847" s="467" t="str">
        <f t="shared" si="477"/>
        <v/>
      </c>
      <c r="AW847" s="467" t="str">
        <f t="shared" si="478"/>
        <v/>
      </c>
      <c r="AX847" s="467" t="str">
        <f t="shared" si="479"/>
        <v/>
      </c>
      <c r="AY847" s="467" t="str">
        <f t="shared" si="480"/>
        <v/>
      </c>
      <c r="AZ847" s="467" t="str">
        <f t="shared" si="481"/>
        <v/>
      </c>
      <c r="BA847" s="468" t="str">
        <f>IF(AS847="","",IF(OR(AU847="",AU847="-"),"－",IF(OR(AZ847=8,AZ847=9),"",IF(OR(AW847=3,AW847=4,AW847=5,AW847=6),VLOOKUP(AU847,INDEX((係数_バス貨物_ガソリン,係数_バス貨物_CNG,係数_バス貨物_軽油,係数_バス貨物_メタノール,係数_バス貨物_LPG),MATCH(AY847,【参考】排出係数!$AI$4:$AI$671,1),1,BE847):INDEX((係数_バス貨物_ガソリン,係数_バス貨物_CNG,係数_バス貨物_軽油,係数_バス貨物_メタノール,係数_バス貨物_LPG),MATCH(AY847+1,【参考】排出係数!$AI$4:$AI$671,1)-1,5,BE847),2,FALSE),IF(OR(AW847=1,AW847=2),VLOOKUP(AU847,INDEX((係数_乗用_ガソリン,係数_乗用_CNG,係数_乗用_軽油,係数_乗用_メタノール,係数_乗用_LPG),1,1,BE847):INDEX((係数_乗用_ガソリン,係数_乗用_CNG,係数_乗用_軽油,係数_乗用_メタノール,係数_乗用_LPG),125,5,BE847),2,FALSE))))))</f>
        <v/>
      </c>
      <c r="BB847" s="468" t="str">
        <f>IF(T847="","",IF(OR(AU847="",AU847="-"),"－",IF(OR(AZ847=8,AZ847=9),"",IF(OR(AW847=3,AW847=4,AW847=5,AW847=6),VLOOKUP(AU847,INDEX((係数_バス貨物_ガソリン,係数_バス貨物_CNG,係数_バス貨物_軽油,係数_バス貨物_メタノール,係数_バス貨物_LPG),MATCH(AY847,【参考】排出係数!$AI$4:$AI$671,1),1,BE847):INDEX((係数_バス貨物_ガソリン,係数_バス貨物_CNG,係数_バス貨物_軽油,係数_バス貨物_メタノール,係数_バス貨物_LPG),MATCH(AY847+1,【参考】排出係数!$AI$4:$AI$671,1)-1,5,BE847),3,FALSE),IF(OR(AW847=1,AW847=2),VLOOKUP(AU847,INDEX((係数_乗用_ガソリン,係数_乗用_CNG,係数_乗用_軽油,係数_乗用_メタノール,係数_乗用_LPG),1,1,BE847):INDEX((係数_乗用_ガソリン,係数_乗用_CNG,係数_乗用_軽油,係数_乗用_メタノール,係数_乗用_LPG),125,5,BE847),3,FALSE))))))</f>
        <v/>
      </c>
      <c r="BC847" s="467" t="str">
        <f t="shared" si="482"/>
        <v/>
      </c>
      <c r="BD847" s="567" t="str">
        <f t="shared" si="483"/>
        <v/>
      </c>
      <c r="BE847" s="467" t="str">
        <f t="shared" si="484"/>
        <v/>
      </c>
      <c r="BF847" s="469" t="str">
        <f t="shared" ca="1" si="485"/>
        <v/>
      </c>
      <c r="BG847" s="469" t="str">
        <f t="shared" ca="1" si="486"/>
        <v/>
      </c>
      <c r="BH847" s="467" t="str">
        <f t="shared" si="487"/>
        <v/>
      </c>
      <c r="BI847" s="467" t="str">
        <f t="shared" ca="1" si="488"/>
        <v/>
      </c>
      <c r="BJ847" s="469" t="str">
        <f t="shared" si="489"/>
        <v/>
      </c>
      <c r="BK847" s="470" t="str">
        <f t="shared" si="473"/>
        <v/>
      </c>
      <c r="BL847" s="775" t="str">
        <f t="shared" si="490"/>
        <v/>
      </c>
      <c r="BM847" s="775" t="str">
        <f t="shared" si="491"/>
        <v/>
      </c>
    </row>
    <row r="848" spans="1:65">
      <c r="A848" s="473">
        <v>792</v>
      </c>
      <c r="B848" s="132"/>
      <c r="C848" s="332"/>
      <c r="D848" s="333"/>
      <c r="E848" s="333"/>
      <c r="F848" s="334"/>
      <c r="G848" s="337"/>
      <c r="H848" s="131"/>
      <c r="I848" s="337"/>
      <c r="J848" s="131"/>
      <c r="K848" s="458" t="str">
        <f t="shared" si="454"/>
        <v/>
      </c>
      <c r="L848" s="458">
        <f t="shared" si="455"/>
        <v>0</v>
      </c>
      <c r="M848" s="458">
        <f t="shared" si="456"/>
        <v>0</v>
      </c>
      <c r="N848" s="459" t="str">
        <f t="shared" si="467"/>
        <v/>
      </c>
      <c r="O848" s="459" t="str">
        <f t="shared" si="468"/>
        <v/>
      </c>
      <c r="P848" s="459" t="str">
        <f t="shared" si="469"/>
        <v/>
      </c>
      <c r="Q848" s="459" t="str">
        <f t="shared" si="470"/>
        <v/>
      </c>
      <c r="R848" s="459" t="str">
        <f t="shared" si="471"/>
        <v/>
      </c>
      <c r="S848" s="459" t="str">
        <f t="shared" si="472"/>
        <v/>
      </c>
      <c r="T848" s="566" t="str">
        <f t="shared" si="457"/>
        <v/>
      </c>
      <c r="U848" s="702"/>
      <c r="V848" s="132"/>
      <c r="W848" s="133"/>
      <c r="X848" s="134"/>
      <c r="Y848" s="135"/>
      <c r="Z848" s="137"/>
      <c r="AA848" s="136"/>
      <c r="AB848" s="566" t="str">
        <f t="shared" si="458"/>
        <v/>
      </c>
      <c r="AC848" s="568" t="str">
        <f t="shared" si="459"/>
        <v/>
      </c>
      <c r="AD848" s="137"/>
      <c r="AE848" s="137"/>
      <c r="AF848" s="138"/>
      <c r="AG848" s="138"/>
      <c r="AH848" s="592" t="str">
        <f t="shared" si="460"/>
        <v/>
      </c>
      <c r="AI848" s="592" t="str">
        <f t="shared" si="461"/>
        <v/>
      </c>
      <c r="AJ848" s="592" t="str">
        <f t="shared" si="462"/>
        <v/>
      </c>
      <c r="AK848" s="460" t="str">
        <f>IF(AU848="","",IF(OR(AZ848=8,AZ848=9),0,IF(OR(AW848=3,AW848=4,AW848=5,AW848=6),IF(LEFT(BF848,1)="1",INDEX(係数_NOX・PM低減,MATCH(AY848,【参考】排出係数!$AI$801:$AI$804,1),1),VLOOKUP(AU848,INDEX((係数_バス貨物_ガソリン,係数_バス貨物_CNG,係数_バス貨物_軽油,係数_バス貨物_メタノール,係数_バス貨物_LPG),MATCH(AY848,【参考】排出係数!$AI$4:$AI$671,1),1,BE848):INDEX((係数_バス貨物_ガソリン,係数_バス貨物_CNG,係数_バス貨物_軽油,係数_バス貨物_メタノール,係数_バス貨物_LPG),MATCH(AY848+1,【参考】排出係数!$AI$4:$AI$671,1)-1,5,BE848),4,FALSE)),IF(AND(BE848=3,LEFT(BF848,1)="1"),0.48,VLOOKUP(AU848,INDEX((係数_乗用_ガソリン,係数_乗用_CNG,係数_乗用_軽油,係数_乗用_メタノール,係数_乗用_LPG),1,1,BE848):INDEX((係数_乗用_ガソリン,係数_乗用_CNG,係数_乗用_軽油,係数_乗用_メタノール,係数_乗用_LPG),125,5,BE848),4,FALSE)))))</f>
        <v/>
      </c>
      <c r="AL848" s="461" t="str">
        <f t="shared" si="463"/>
        <v/>
      </c>
      <c r="AM848" s="460" t="str">
        <f>IF(AU848="","",IF(OR(AZ848=8,AZ848=9),0,IF(OR(AW848=3,AW848=4,AW848=5,AW848=6),IF(LEFT(BH848,1)="1",INDEX(係数_PM低減,MATCH(AY848,【参考】排出係数!$AI$801:$AI$804,1),MATCH(BI848,【参考】排出係数!$AL$798:$AO$798,1)),VLOOKUP(AU848,INDEX((係数_バス貨物_ガソリン,係数_バス貨物_CNG,係数_バス貨物_軽油,係数_バス貨物_メタノール,係数_バス貨物_LPG),MATCH(AY848,【参考】排出係数!$AI$4:$AI$671,1),1,BE848):INDEX((係数_バス貨物_ガソリン,係数_バス貨物_CNG,係数_バス貨物_軽油,係数_バス貨物_メタノール,係数_バス貨物_LPG),MATCH(AY848+1,【参考】排出係数!$AI$4:$AI$671,1)-1,5,BE848),5,FALSE)),IF(AND(BE848=3,LEFT(BF848,1)="1"),0.055,VLOOKUP(AU848,INDEX((係数_乗用_ガソリン,係数_乗用_CNG,係数_乗用_軽油,係数_乗用_メタノール,係数_乗用_LPG),1,1,BE848):INDEX((係数_乗用_ガソリン,係数_乗用_CNG,係数_乗用_軽油,係数_乗用_メタノール,係数_乗用_LPG),125,5,BE848),5,FALSE)))))</f>
        <v/>
      </c>
      <c r="AN848" s="461" t="str">
        <f t="shared" si="464"/>
        <v/>
      </c>
      <c r="AO848" s="462" t="str">
        <f t="shared" si="465"/>
        <v/>
      </c>
      <c r="AP848" s="463" t="str">
        <f t="shared" si="466"/>
        <v/>
      </c>
      <c r="AQ848" s="464"/>
      <c r="AR848" s="619"/>
      <c r="AS848" s="465" t="str">
        <f t="shared" si="474"/>
        <v/>
      </c>
      <c r="AT848" s="465" t="str">
        <f t="shared" si="475"/>
        <v/>
      </c>
      <c r="AU848" s="466" t="str">
        <f t="shared" si="476"/>
        <v/>
      </c>
      <c r="AV848" s="467" t="str">
        <f t="shared" si="477"/>
        <v/>
      </c>
      <c r="AW848" s="467" t="str">
        <f t="shared" si="478"/>
        <v/>
      </c>
      <c r="AX848" s="467" t="str">
        <f t="shared" si="479"/>
        <v/>
      </c>
      <c r="AY848" s="467" t="str">
        <f t="shared" si="480"/>
        <v/>
      </c>
      <c r="AZ848" s="467" t="str">
        <f t="shared" si="481"/>
        <v/>
      </c>
      <c r="BA848" s="468" t="str">
        <f>IF(AS848="","",IF(OR(AU848="",AU848="-"),"－",IF(OR(AZ848=8,AZ848=9),"",IF(OR(AW848=3,AW848=4,AW848=5,AW848=6),VLOOKUP(AU848,INDEX((係数_バス貨物_ガソリン,係数_バス貨物_CNG,係数_バス貨物_軽油,係数_バス貨物_メタノール,係数_バス貨物_LPG),MATCH(AY848,【参考】排出係数!$AI$4:$AI$671,1),1,BE848):INDEX((係数_バス貨物_ガソリン,係数_バス貨物_CNG,係数_バス貨物_軽油,係数_バス貨物_メタノール,係数_バス貨物_LPG),MATCH(AY848+1,【参考】排出係数!$AI$4:$AI$671,1)-1,5,BE848),2,FALSE),IF(OR(AW848=1,AW848=2),VLOOKUP(AU848,INDEX((係数_乗用_ガソリン,係数_乗用_CNG,係数_乗用_軽油,係数_乗用_メタノール,係数_乗用_LPG),1,1,BE848):INDEX((係数_乗用_ガソリン,係数_乗用_CNG,係数_乗用_軽油,係数_乗用_メタノール,係数_乗用_LPG),125,5,BE848),2,FALSE))))))</f>
        <v/>
      </c>
      <c r="BB848" s="468" t="str">
        <f>IF(T848="","",IF(OR(AU848="",AU848="-"),"－",IF(OR(AZ848=8,AZ848=9),"",IF(OR(AW848=3,AW848=4,AW848=5,AW848=6),VLOOKUP(AU848,INDEX((係数_バス貨物_ガソリン,係数_バス貨物_CNG,係数_バス貨物_軽油,係数_バス貨物_メタノール,係数_バス貨物_LPG),MATCH(AY848,【参考】排出係数!$AI$4:$AI$671,1),1,BE848):INDEX((係数_バス貨物_ガソリン,係数_バス貨物_CNG,係数_バス貨物_軽油,係数_バス貨物_メタノール,係数_バス貨物_LPG),MATCH(AY848+1,【参考】排出係数!$AI$4:$AI$671,1)-1,5,BE848),3,FALSE),IF(OR(AW848=1,AW848=2),VLOOKUP(AU848,INDEX((係数_乗用_ガソリン,係数_乗用_CNG,係数_乗用_軽油,係数_乗用_メタノール,係数_乗用_LPG),1,1,BE848):INDEX((係数_乗用_ガソリン,係数_乗用_CNG,係数_乗用_軽油,係数_乗用_メタノール,係数_乗用_LPG),125,5,BE848),3,FALSE))))))</f>
        <v/>
      </c>
      <c r="BC848" s="467" t="str">
        <f t="shared" si="482"/>
        <v/>
      </c>
      <c r="BD848" s="567" t="str">
        <f t="shared" si="483"/>
        <v/>
      </c>
      <c r="BE848" s="467" t="str">
        <f t="shared" si="484"/>
        <v/>
      </c>
      <c r="BF848" s="469" t="str">
        <f t="shared" ca="1" si="485"/>
        <v/>
      </c>
      <c r="BG848" s="469" t="str">
        <f t="shared" ca="1" si="486"/>
        <v/>
      </c>
      <c r="BH848" s="467" t="str">
        <f t="shared" si="487"/>
        <v/>
      </c>
      <c r="BI848" s="467" t="str">
        <f t="shared" ca="1" si="488"/>
        <v/>
      </c>
      <c r="BJ848" s="469" t="str">
        <f t="shared" si="489"/>
        <v/>
      </c>
      <c r="BK848" s="470" t="str">
        <f t="shared" si="473"/>
        <v/>
      </c>
      <c r="BL848" s="775" t="str">
        <f t="shared" si="490"/>
        <v/>
      </c>
      <c r="BM848" s="775" t="str">
        <f t="shared" si="491"/>
        <v/>
      </c>
    </row>
    <row r="849" spans="1:65">
      <c r="A849" s="473">
        <v>793</v>
      </c>
      <c r="B849" s="132"/>
      <c r="C849" s="332"/>
      <c r="D849" s="333"/>
      <c r="E849" s="333"/>
      <c r="F849" s="334"/>
      <c r="G849" s="337"/>
      <c r="H849" s="131"/>
      <c r="I849" s="337"/>
      <c r="J849" s="131"/>
      <c r="K849" s="458" t="str">
        <f t="shared" si="454"/>
        <v/>
      </c>
      <c r="L849" s="458">
        <f t="shared" si="455"/>
        <v>0</v>
      </c>
      <c r="M849" s="458">
        <f t="shared" si="456"/>
        <v>0</v>
      </c>
      <c r="N849" s="459" t="str">
        <f t="shared" si="467"/>
        <v/>
      </c>
      <c r="O849" s="459" t="str">
        <f t="shared" si="468"/>
        <v/>
      </c>
      <c r="P849" s="459" t="str">
        <f t="shared" si="469"/>
        <v/>
      </c>
      <c r="Q849" s="459" t="str">
        <f t="shared" si="470"/>
        <v/>
      </c>
      <c r="R849" s="459" t="str">
        <f t="shared" si="471"/>
        <v/>
      </c>
      <c r="S849" s="459" t="str">
        <f t="shared" si="472"/>
        <v/>
      </c>
      <c r="T849" s="566" t="str">
        <f t="shared" si="457"/>
        <v/>
      </c>
      <c r="U849" s="702"/>
      <c r="V849" s="132"/>
      <c r="W849" s="133"/>
      <c r="X849" s="134"/>
      <c r="Y849" s="135"/>
      <c r="Z849" s="137"/>
      <c r="AA849" s="136"/>
      <c r="AB849" s="566" t="str">
        <f t="shared" si="458"/>
        <v/>
      </c>
      <c r="AC849" s="568" t="str">
        <f t="shared" si="459"/>
        <v/>
      </c>
      <c r="AD849" s="137"/>
      <c r="AE849" s="137"/>
      <c r="AF849" s="138"/>
      <c r="AG849" s="138"/>
      <c r="AH849" s="592" t="str">
        <f t="shared" si="460"/>
        <v/>
      </c>
      <c r="AI849" s="592" t="str">
        <f t="shared" si="461"/>
        <v/>
      </c>
      <c r="AJ849" s="592" t="str">
        <f t="shared" si="462"/>
        <v/>
      </c>
      <c r="AK849" s="460" t="str">
        <f>IF(AU849="","",IF(OR(AZ849=8,AZ849=9),0,IF(OR(AW849=3,AW849=4,AW849=5,AW849=6),IF(LEFT(BF849,1)="1",INDEX(係数_NOX・PM低減,MATCH(AY849,【参考】排出係数!$AI$801:$AI$804,1),1),VLOOKUP(AU849,INDEX((係数_バス貨物_ガソリン,係数_バス貨物_CNG,係数_バス貨物_軽油,係数_バス貨物_メタノール,係数_バス貨物_LPG),MATCH(AY849,【参考】排出係数!$AI$4:$AI$671,1),1,BE849):INDEX((係数_バス貨物_ガソリン,係数_バス貨物_CNG,係数_バス貨物_軽油,係数_バス貨物_メタノール,係数_バス貨物_LPG),MATCH(AY849+1,【参考】排出係数!$AI$4:$AI$671,1)-1,5,BE849),4,FALSE)),IF(AND(BE849=3,LEFT(BF849,1)="1"),0.48,VLOOKUP(AU849,INDEX((係数_乗用_ガソリン,係数_乗用_CNG,係数_乗用_軽油,係数_乗用_メタノール,係数_乗用_LPG),1,1,BE849):INDEX((係数_乗用_ガソリン,係数_乗用_CNG,係数_乗用_軽油,係数_乗用_メタノール,係数_乗用_LPG),125,5,BE849),4,FALSE)))))</f>
        <v/>
      </c>
      <c r="AL849" s="461" t="str">
        <f t="shared" si="463"/>
        <v/>
      </c>
      <c r="AM849" s="460" t="str">
        <f>IF(AU849="","",IF(OR(AZ849=8,AZ849=9),0,IF(OR(AW849=3,AW849=4,AW849=5,AW849=6),IF(LEFT(BH849,1)="1",INDEX(係数_PM低減,MATCH(AY849,【参考】排出係数!$AI$801:$AI$804,1),MATCH(BI849,【参考】排出係数!$AL$798:$AO$798,1)),VLOOKUP(AU849,INDEX((係数_バス貨物_ガソリン,係数_バス貨物_CNG,係数_バス貨物_軽油,係数_バス貨物_メタノール,係数_バス貨物_LPG),MATCH(AY849,【参考】排出係数!$AI$4:$AI$671,1),1,BE849):INDEX((係数_バス貨物_ガソリン,係数_バス貨物_CNG,係数_バス貨物_軽油,係数_バス貨物_メタノール,係数_バス貨物_LPG),MATCH(AY849+1,【参考】排出係数!$AI$4:$AI$671,1)-1,5,BE849),5,FALSE)),IF(AND(BE849=3,LEFT(BF849,1)="1"),0.055,VLOOKUP(AU849,INDEX((係数_乗用_ガソリン,係数_乗用_CNG,係数_乗用_軽油,係数_乗用_メタノール,係数_乗用_LPG),1,1,BE849):INDEX((係数_乗用_ガソリン,係数_乗用_CNG,係数_乗用_軽油,係数_乗用_メタノール,係数_乗用_LPG),125,5,BE849),5,FALSE)))))</f>
        <v/>
      </c>
      <c r="AN849" s="461" t="str">
        <f t="shared" si="464"/>
        <v/>
      </c>
      <c r="AO849" s="462" t="str">
        <f t="shared" si="465"/>
        <v/>
      </c>
      <c r="AP849" s="463" t="str">
        <f t="shared" si="466"/>
        <v/>
      </c>
      <c r="AQ849" s="464"/>
      <c r="AR849" s="619"/>
      <c r="AS849" s="465" t="str">
        <f t="shared" si="474"/>
        <v/>
      </c>
      <c r="AT849" s="465" t="str">
        <f t="shared" si="475"/>
        <v/>
      </c>
      <c r="AU849" s="466" t="str">
        <f t="shared" si="476"/>
        <v/>
      </c>
      <c r="AV849" s="467" t="str">
        <f t="shared" si="477"/>
        <v/>
      </c>
      <c r="AW849" s="467" t="str">
        <f t="shared" si="478"/>
        <v/>
      </c>
      <c r="AX849" s="467" t="str">
        <f t="shared" si="479"/>
        <v/>
      </c>
      <c r="AY849" s="467" t="str">
        <f t="shared" si="480"/>
        <v/>
      </c>
      <c r="AZ849" s="467" t="str">
        <f t="shared" si="481"/>
        <v/>
      </c>
      <c r="BA849" s="468" t="str">
        <f>IF(AS849="","",IF(OR(AU849="",AU849="-"),"－",IF(OR(AZ849=8,AZ849=9),"",IF(OR(AW849=3,AW849=4,AW849=5,AW849=6),VLOOKUP(AU849,INDEX((係数_バス貨物_ガソリン,係数_バス貨物_CNG,係数_バス貨物_軽油,係数_バス貨物_メタノール,係数_バス貨物_LPG),MATCH(AY849,【参考】排出係数!$AI$4:$AI$671,1),1,BE849):INDEX((係数_バス貨物_ガソリン,係数_バス貨物_CNG,係数_バス貨物_軽油,係数_バス貨物_メタノール,係数_バス貨物_LPG),MATCH(AY849+1,【参考】排出係数!$AI$4:$AI$671,1)-1,5,BE849),2,FALSE),IF(OR(AW849=1,AW849=2),VLOOKUP(AU849,INDEX((係数_乗用_ガソリン,係数_乗用_CNG,係数_乗用_軽油,係数_乗用_メタノール,係数_乗用_LPG),1,1,BE849):INDEX((係数_乗用_ガソリン,係数_乗用_CNG,係数_乗用_軽油,係数_乗用_メタノール,係数_乗用_LPG),125,5,BE849),2,FALSE))))))</f>
        <v/>
      </c>
      <c r="BB849" s="468" t="str">
        <f>IF(T849="","",IF(OR(AU849="",AU849="-"),"－",IF(OR(AZ849=8,AZ849=9),"",IF(OR(AW849=3,AW849=4,AW849=5,AW849=6),VLOOKUP(AU849,INDEX((係数_バス貨物_ガソリン,係数_バス貨物_CNG,係数_バス貨物_軽油,係数_バス貨物_メタノール,係数_バス貨物_LPG),MATCH(AY849,【参考】排出係数!$AI$4:$AI$671,1),1,BE849):INDEX((係数_バス貨物_ガソリン,係数_バス貨物_CNG,係数_バス貨物_軽油,係数_バス貨物_メタノール,係数_バス貨物_LPG),MATCH(AY849+1,【参考】排出係数!$AI$4:$AI$671,1)-1,5,BE849),3,FALSE),IF(OR(AW849=1,AW849=2),VLOOKUP(AU849,INDEX((係数_乗用_ガソリン,係数_乗用_CNG,係数_乗用_軽油,係数_乗用_メタノール,係数_乗用_LPG),1,1,BE849):INDEX((係数_乗用_ガソリン,係数_乗用_CNG,係数_乗用_軽油,係数_乗用_メタノール,係数_乗用_LPG),125,5,BE849),3,FALSE))))))</f>
        <v/>
      </c>
      <c r="BC849" s="467" t="str">
        <f t="shared" si="482"/>
        <v/>
      </c>
      <c r="BD849" s="567" t="str">
        <f t="shared" si="483"/>
        <v/>
      </c>
      <c r="BE849" s="467" t="str">
        <f t="shared" si="484"/>
        <v/>
      </c>
      <c r="BF849" s="469" t="str">
        <f t="shared" ca="1" si="485"/>
        <v/>
      </c>
      <c r="BG849" s="469" t="str">
        <f t="shared" ca="1" si="486"/>
        <v/>
      </c>
      <c r="BH849" s="467" t="str">
        <f t="shared" si="487"/>
        <v/>
      </c>
      <c r="BI849" s="467" t="str">
        <f t="shared" ca="1" si="488"/>
        <v/>
      </c>
      <c r="BJ849" s="469" t="str">
        <f t="shared" si="489"/>
        <v/>
      </c>
      <c r="BK849" s="470" t="str">
        <f t="shared" si="473"/>
        <v/>
      </c>
      <c r="BL849" s="775" t="str">
        <f t="shared" si="490"/>
        <v/>
      </c>
      <c r="BM849" s="775" t="str">
        <f t="shared" si="491"/>
        <v/>
      </c>
    </row>
    <row r="850" spans="1:65">
      <c r="A850" s="473">
        <v>794</v>
      </c>
      <c r="B850" s="132"/>
      <c r="C850" s="332"/>
      <c r="D850" s="333"/>
      <c r="E850" s="333"/>
      <c r="F850" s="334"/>
      <c r="G850" s="337"/>
      <c r="H850" s="131"/>
      <c r="I850" s="337"/>
      <c r="J850" s="131"/>
      <c r="K850" s="458" t="str">
        <f t="shared" si="454"/>
        <v/>
      </c>
      <c r="L850" s="458">
        <f t="shared" si="455"/>
        <v>0</v>
      </c>
      <c r="M850" s="458">
        <f t="shared" si="456"/>
        <v>0</v>
      </c>
      <c r="N850" s="459" t="str">
        <f t="shared" si="467"/>
        <v/>
      </c>
      <c r="O850" s="459" t="str">
        <f t="shared" si="468"/>
        <v/>
      </c>
      <c r="P850" s="459" t="str">
        <f t="shared" si="469"/>
        <v/>
      </c>
      <c r="Q850" s="459" t="str">
        <f t="shared" si="470"/>
        <v/>
      </c>
      <c r="R850" s="459" t="str">
        <f t="shared" si="471"/>
        <v/>
      </c>
      <c r="S850" s="459" t="str">
        <f t="shared" si="472"/>
        <v/>
      </c>
      <c r="T850" s="566" t="str">
        <f t="shared" si="457"/>
        <v/>
      </c>
      <c r="U850" s="702"/>
      <c r="V850" s="132"/>
      <c r="W850" s="133"/>
      <c r="X850" s="134"/>
      <c r="Y850" s="135"/>
      <c r="Z850" s="137"/>
      <c r="AA850" s="136"/>
      <c r="AB850" s="566" t="str">
        <f t="shared" si="458"/>
        <v/>
      </c>
      <c r="AC850" s="568" t="str">
        <f t="shared" si="459"/>
        <v/>
      </c>
      <c r="AD850" s="137"/>
      <c r="AE850" s="137"/>
      <c r="AF850" s="138"/>
      <c r="AG850" s="138"/>
      <c r="AH850" s="592" t="str">
        <f t="shared" si="460"/>
        <v/>
      </c>
      <c r="AI850" s="592" t="str">
        <f t="shared" si="461"/>
        <v/>
      </c>
      <c r="AJ850" s="592" t="str">
        <f t="shared" si="462"/>
        <v/>
      </c>
      <c r="AK850" s="460" t="str">
        <f>IF(AU850="","",IF(OR(AZ850=8,AZ850=9),0,IF(OR(AW850=3,AW850=4,AW850=5,AW850=6),IF(LEFT(BF850,1)="1",INDEX(係数_NOX・PM低減,MATCH(AY850,【参考】排出係数!$AI$801:$AI$804,1),1),VLOOKUP(AU850,INDEX((係数_バス貨物_ガソリン,係数_バス貨物_CNG,係数_バス貨物_軽油,係数_バス貨物_メタノール,係数_バス貨物_LPG),MATCH(AY850,【参考】排出係数!$AI$4:$AI$671,1),1,BE850):INDEX((係数_バス貨物_ガソリン,係数_バス貨物_CNG,係数_バス貨物_軽油,係数_バス貨物_メタノール,係数_バス貨物_LPG),MATCH(AY850+1,【参考】排出係数!$AI$4:$AI$671,1)-1,5,BE850),4,FALSE)),IF(AND(BE850=3,LEFT(BF850,1)="1"),0.48,VLOOKUP(AU850,INDEX((係数_乗用_ガソリン,係数_乗用_CNG,係数_乗用_軽油,係数_乗用_メタノール,係数_乗用_LPG),1,1,BE850):INDEX((係数_乗用_ガソリン,係数_乗用_CNG,係数_乗用_軽油,係数_乗用_メタノール,係数_乗用_LPG),125,5,BE850),4,FALSE)))))</f>
        <v/>
      </c>
      <c r="AL850" s="461" t="str">
        <f t="shared" si="463"/>
        <v/>
      </c>
      <c r="AM850" s="460" t="str">
        <f>IF(AU850="","",IF(OR(AZ850=8,AZ850=9),0,IF(OR(AW850=3,AW850=4,AW850=5,AW850=6),IF(LEFT(BH850,1)="1",INDEX(係数_PM低減,MATCH(AY850,【参考】排出係数!$AI$801:$AI$804,1),MATCH(BI850,【参考】排出係数!$AL$798:$AO$798,1)),VLOOKUP(AU850,INDEX((係数_バス貨物_ガソリン,係数_バス貨物_CNG,係数_バス貨物_軽油,係数_バス貨物_メタノール,係数_バス貨物_LPG),MATCH(AY850,【参考】排出係数!$AI$4:$AI$671,1),1,BE850):INDEX((係数_バス貨物_ガソリン,係数_バス貨物_CNG,係数_バス貨物_軽油,係数_バス貨物_メタノール,係数_バス貨物_LPG),MATCH(AY850+1,【参考】排出係数!$AI$4:$AI$671,1)-1,5,BE850),5,FALSE)),IF(AND(BE850=3,LEFT(BF850,1)="1"),0.055,VLOOKUP(AU850,INDEX((係数_乗用_ガソリン,係数_乗用_CNG,係数_乗用_軽油,係数_乗用_メタノール,係数_乗用_LPG),1,1,BE850):INDEX((係数_乗用_ガソリン,係数_乗用_CNG,係数_乗用_軽油,係数_乗用_メタノール,係数_乗用_LPG),125,5,BE850),5,FALSE)))))</f>
        <v/>
      </c>
      <c r="AN850" s="461" t="str">
        <f t="shared" si="464"/>
        <v/>
      </c>
      <c r="AO850" s="462" t="str">
        <f t="shared" si="465"/>
        <v/>
      </c>
      <c r="AP850" s="463" t="str">
        <f t="shared" si="466"/>
        <v/>
      </c>
      <c r="AQ850" s="464"/>
      <c r="AR850" s="619"/>
      <c r="AS850" s="465" t="str">
        <f t="shared" si="474"/>
        <v/>
      </c>
      <c r="AT850" s="465" t="str">
        <f t="shared" si="475"/>
        <v/>
      </c>
      <c r="AU850" s="466" t="str">
        <f t="shared" si="476"/>
        <v/>
      </c>
      <c r="AV850" s="467" t="str">
        <f t="shared" si="477"/>
        <v/>
      </c>
      <c r="AW850" s="467" t="str">
        <f t="shared" si="478"/>
        <v/>
      </c>
      <c r="AX850" s="467" t="str">
        <f t="shared" si="479"/>
        <v/>
      </c>
      <c r="AY850" s="467" t="str">
        <f t="shared" si="480"/>
        <v/>
      </c>
      <c r="AZ850" s="467" t="str">
        <f t="shared" si="481"/>
        <v/>
      </c>
      <c r="BA850" s="468" t="str">
        <f>IF(AS850="","",IF(OR(AU850="",AU850="-"),"－",IF(OR(AZ850=8,AZ850=9),"",IF(OR(AW850=3,AW850=4,AW850=5,AW850=6),VLOOKUP(AU850,INDEX((係数_バス貨物_ガソリン,係数_バス貨物_CNG,係数_バス貨物_軽油,係数_バス貨物_メタノール,係数_バス貨物_LPG),MATCH(AY850,【参考】排出係数!$AI$4:$AI$671,1),1,BE850):INDEX((係数_バス貨物_ガソリン,係数_バス貨物_CNG,係数_バス貨物_軽油,係数_バス貨物_メタノール,係数_バス貨物_LPG),MATCH(AY850+1,【参考】排出係数!$AI$4:$AI$671,1)-1,5,BE850),2,FALSE),IF(OR(AW850=1,AW850=2),VLOOKUP(AU850,INDEX((係数_乗用_ガソリン,係数_乗用_CNG,係数_乗用_軽油,係数_乗用_メタノール,係数_乗用_LPG),1,1,BE850):INDEX((係数_乗用_ガソリン,係数_乗用_CNG,係数_乗用_軽油,係数_乗用_メタノール,係数_乗用_LPG),125,5,BE850),2,FALSE))))))</f>
        <v/>
      </c>
      <c r="BB850" s="468" t="str">
        <f>IF(T850="","",IF(OR(AU850="",AU850="-"),"－",IF(OR(AZ850=8,AZ850=9),"",IF(OR(AW850=3,AW850=4,AW850=5,AW850=6),VLOOKUP(AU850,INDEX((係数_バス貨物_ガソリン,係数_バス貨物_CNG,係数_バス貨物_軽油,係数_バス貨物_メタノール,係数_バス貨物_LPG),MATCH(AY850,【参考】排出係数!$AI$4:$AI$671,1),1,BE850):INDEX((係数_バス貨物_ガソリン,係数_バス貨物_CNG,係数_バス貨物_軽油,係数_バス貨物_メタノール,係数_バス貨物_LPG),MATCH(AY850+1,【参考】排出係数!$AI$4:$AI$671,1)-1,5,BE850),3,FALSE),IF(OR(AW850=1,AW850=2),VLOOKUP(AU850,INDEX((係数_乗用_ガソリン,係数_乗用_CNG,係数_乗用_軽油,係数_乗用_メタノール,係数_乗用_LPG),1,1,BE850):INDEX((係数_乗用_ガソリン,係数_乗用_CNG,係数_乗用_軽油,係数_乗用_メタノール,係数_乗用_LPG),125,5,BE850),3,FALSE))))))</f>
        <v/>
      </c>
      <c r="BC850" s="467" t="str">
        <f t="shared" si="482"/>
        <v/>
      </c>
      <c r="BD850" s="567" t="str">
        <f t="shared" si="483"/>
        <v/>
      </c>
      <c r="BE850" s="467" t="str">
        <f t="shared" si="484"/>
        <v/>
      </c>
      <c r="BF850" s="469" t="str">
        <f t="shared" ca="1" si="485"/>
        <v/>
      </c>
      <c r="BG850" s="469" t="str">
        <f t="shared" ca="1" si="486"/>
        <v/>
      </c>
      <c r="BH850" s="467" t="str">
        <f t="shared" si="487"/>
        <v/>
      </c>
      <c r="BI850" s="467" t="str">
        <f t="shared" ca="1" si="488"/>
        <v/>
      </c>
      <c r="BJ850" s="469" t="str">
        <f t="shared" si="489"/>
        <v/>
      </c>
      <c r="BK850" s="470" t="str">
        <f t="shared" si="473"/>
        <v/>
      </c>
      <c r="BL850" s="775" t="str">
        <f t="shared" si="490"/>
        <v/>
      </c>
      <c r="BM850" s="775" t="str">
        <f t="shared" si="491"/>
        <v/>
      </c>
    </row>
    <row r="851" spans="1:65">
      <c r="A851" s="473">
        <v>795</v>
      </c>
      <c r="B851" s="132"/>
      <c r="C851" s="332"/>
      <c r="D851" s="333"/>
      <c r="E851" s="333"/>
      <c r="F851" s="334"/>
      <c r="G851" s="337"/>
      <c r="H851" s="131"/>
      <c r="I851" s="337"/>
      <c r="J851" s="131"/>
      <c r="K851" s="458" t="str">
        <f t="shared" si="454"/>
        <v/>
      </c>
      <c r="L851" s="458">
        <f t="shared" si="455"/>
        <v>0</v>
      </c>
      <c r="M851" s="458">
        <f t="shared" si="456"/>
        <v>0</v>
      </c>
      <c r="N851" s="459" t="str">
        <f t="shared" si="467"/>
        <v/>
      </c>
      <c r="O851" s="459" t="str">
        <f t="shared" si="468"/>
        <v/>
      </c>
      <c r="P851" s="459" t="str">
        <f t="shared" si="469"/>
        <v/>
      </c>
      <c r="Q851" s="459" t="str">
        <f t="shared" si="470"/>
        <v/>
      </c>
      <c r="R851" s="459" t="str">
        <f t="shared" si="471"/>
        <v/>
      </c>
      <c r="S851" s="459" t="str">
        <f t="shared" si="472"/>
        <v/>
      </c>
      <c r="T851" s="566" t="str">
        <f t="shared" si="457"/>
        <v/>
      </c>
      <c r="U851" s="702"/>
      <c r="V851" s="132"/>
      <c r="W851" s="133"/>
      <c r="X851" s="134"/>
      <c r="Y851" s="135"/>
      <c r="Z851" s="137"/>
      <c r="AA851" s="136"/>
      <c r="AB851" s="566" t="str">
        <f t="shared" si="458"/>
        <v/>
      </c>
      <c r="AC851" s="568" t="str">
        <f t="shared" si="459"/>
        <v/>
      </c>
      <c r="AD851" s="137"/>
      <c r="AE851" s="137"/>
      <c r="AF851" s="138"/>
      <c r="AG851" s="138"/>
      <c r="AH851" s="592" t="str">
        <f t="shared" si="460"/>
        <v/>
      </c>
      <c r="AI851" s="592" t="str">
        <f t="shared" si="461"/>
        <v/>
      </c>
      <c r="AJ851" s="592" t="str">
        <f t="shared" si="462"/>
        <v/>
      </c>
      <c r="AK851" s="460" t="str">
        <f>IF(AU851="","",IF(OR(AZ851=8,AZ851=9),0,IF(OR(AW851=3,AW851=4,AW851=5,AW851=6),IF(LEFT(BF851,1)="1",INDEX(係数_NOX・PM低減,MATCH(AY851,【参考】排出係数!$AI$801:$AI$804,1),1),VLOOKUP(AU851,INDEX((係数_バス貨物_ガソリン,係数_バス貨物_CNG,係数_バス貨物_軽油,係数_バス貨物_メタノール,係数_バス貨物_LPG),MATCH(AY851,【参考】排出係数!$AI$4:$AI$671,1),1,BE851):INDEX((係数_バス貨物_ガソリン,係数_バス貨物_CNG,係数_バス貨物_軽油,係数_バス貨物_メタノール,係数_バス貨物_LPG),MATCH(AY851+1,【参考】排出係数!$AI$4:$AI$671,1)-1,5,BE851),4,FALSE)),IF(AND(BE851=3,LEFT(BF851,1)="1"),0.48,VLOOKUP(AU851,INDEX((係数_乗用_ガソリン,係数_乗用_CNG,係数_乗用_軽油,係数_乗用_メタノール,係数_乗用_LPG),1,1,BE851):INDEX((係数_乗用_ガソリン,係数_乗用_CNG,係数_乗用_軽油,係数_乗用_メタノール,係数_乗用_LPG),125,5,BE851),4,FALSE)))))</f>
        <v/>
      </c>
      <c r="AL851" s="461" t="str">
        <f t="shared" si="463"/>
        <v/>
      </c>
      <c r="AM851" s="460" t="str">
        <f>IF(AU851="","",IF(OR(AZ851=8,AZ851=9),0,IF(OR(AW851=3,AW851=4,AW851=5,AW851=6),IF(LEFT(BH851,1)="1",INDEX(係数_PM低減,MATCH(AY851,【参考】排出係数!$AI$801:$AI$804,1),MATCH(BI851,【参考】排出係数!$AL$798:$AO$798,1)),VLOOKUP(AU851,INDEX((係数_バス貨物_ガソリン,係数_バス貨物_CNG,係数_バス貨物_軽油,係数_バス貨物_メタノール,係数_バス貨物_LPG),MATCH(AY851,【参考】排出係数!$AI$4:$AI$671,1),1,BE851):INDEX((係数_バス貨物_ガソリン,係数_バス貨物_CNG,係数_バス貨物_軽油,係数_バス貨物_メタノール,係数_バス貨物_LPG),MATCH(AY851+1,【参考】排出係数!$AI$4:$AI$671,1)-1,5,BE851),5,FALSE)),IF(AND(BE851=3,LEFT(BF851,1)="1"),0.055,VLOOKUP(AU851,INDEX((係数_乗用_ガソリン,係数_乗用_CNG,係数_乗用_軽油,係数_乗用_メタノール,係数_乗用_LPG),1,1,BE851):INDEX((係数_乗用_ガソリン,係数_乗用_CNG,係数_乗用_軽油,係数_乗用_メタノール,係数_乗用_LPG),125,5,BE851),5,FALSE)))))</f>
        <v/>
      </c>
      <c r="AN851" s="461" t="str">
        <f t="shared" si="464"/>
        <v/>
      </c>
      <c r="AO851" s="462" t="str">
        <f t="shared" si="465"/>
        <v/>
      </c>
      <c r="AP851" s="463" t="str">
        <f t="shared" si="466"/>
        <v/>
      </c>
      <c r="AQ851" s="464"/>
      <c r="AR851" s="619"/>
      <c r="AS851" s="465" t="str">
        <f t="shared" si="474"/>
        <v/>
      </c>
      <c r="AT851" s="465" t="str">
        <f t="shared" si="475"/>
        <v/>
      </c>
      <c r="AU851" s="466" t="str">
        <f t="shared" si="476"/>
        <v/>
      </c>
      <c r="AV851" s="467" t="str">
        <f t="shared" si="477"/>
        <v/>
      </c>
      <c r="AW851" s="467" t="str">
        <f t="shared" si="478"/>
        <v/>
      </c>
      <c r="AX851" s="467" t="str">
        <f t="shared" si="479"/>
        <v/>
      </c>
      <c r="AY851" s="467" t="str">
        <f t="shared" si="480"/>
        <v/>
      </c>
      <c r="AZ851" s="467" t="str">
        <f t="shared" si="481"/>
        <v/>
      </c>
      <c r="BA851" s="468" t="str">
        <f>IF(AS851="","",IF(OR(AU851="",AU851="-"),"－",IF(OR(AZ851=8,AZ851=9),"",IF(OR(AW851=3,AW851=4,AW851=5,AW851=6),VLOOKUP(AU851,INDEX((係数_バス貨物_ガソリン,係数_バス貨物_CNG,係数_バス貨物_軽油,係数_バス貨物_メタノール,係数_バス貨物_LPG),MATCH(AY851,【参考】排出係数!$AI$4:$AI$671,1),1,BE851):INDEX((係数_バス貨物_ガソリン,係数_バス貨物_CNG,係数_バス貨物_軽油,係数_バス貨物_メタノール,係数_バス貨物_LPG),MATCH(AY851+1,【参考】排出係数!$AI$4:$AI$671,1)-1,5,BE851),2,FALSE),IF(OR(AW851=1,AW851=2),VLOOKUP(AU851,INDEX((係数_乗用_ガソリン,係数_乗用_CNG,係数_乗用_軽油,係数_乗用_メタノール,係数_乗用_LPG),1,1,BE851):INDEX((係数_乗用_ガソリン,係数_乗用_CNG,係数_乗用_軽油,係数_乗用_メタノール,係数_乗用_LPG),125,5,BE851),2,FALSE))))))</f>
        <v/>
      </c>
      <c r="BB851" s="468" t="str">
        <f>IF(T851="","",IF(OR(AU851="",AU851="-"),"－",IF(OR(AZ851=8,AZ851=9),"",IF(OR(AW851=3,AW851=4,AW851=5,AW851=6),VLOOKUP(AU851,INDEX((係数_バス貨物_ガソリン,係数_バス貨物_CNG,係数_バス貨物_軽油,係数_バス貨物_メタノール,係数_バス貨物_LPG),MATCH(AY851,【参考】排出係数!$AI$4:$AI$671,1),1,BE851):INDEX((係数_バス貨物_ガソリン,係数_バス貨物_CNG,係数_バス貨物_軽油,係数_バス貨物_メタノール,係数_バス貨物_LPG),MATCH(AY851+1,【参考】排出係数!$AI$4:$AI$671,1)-1,5,BE851),3,FALSE),IF(OR(AW851=1,AW851=2),VLOOKUP(AU851,INDEX((係数_乗用_ガソリン,係数_乗用_CNG,係数_乗用_軽油,係数_乗用_メタノール,係数_乗用_LPG),1,1,BE851):INDEX((係数_乗用_ガソリン,係数_乗用_CNG,係数_乗用_軽油,係数_乗用_メタノール,係数_乗用_LPG),125,5,BE851),3,FALSE))))))</f>
        <v/>
      </c>
      <c r="BC851" s="467" t="str">
        <f t="shared" si="482"/>
        <v/>
      </c>
      <c r="BD851" s="567" t="str">
        <f t="shared" si="483"/>
        <v/>
      </c>
      <c r="BE851" s="467" t="str">
        <f t="shared" si="484"/>
        <v/>
      </c>
      <c r="BF851" s="469" t="str">
        <f t="shared" ca="1" si="485"/>
        <v/>
      </c>
      <c r="BG851" s="469" t="str">
        <f t="shared" ca="1" si="486"/>
        <v/>
      </c>
      <c r="BH851" s="467" t="str">
        <f t="shared" si="487"/>
        <v/>
      </c>
      <c r="BI851" s="467" t="str">
        <f t="shared" ca="1" si="488"/>
        <v/>
      </c>
      <c r="BJ851" s="469" t="str">
        <f t="shared" si="489"/>
        <v/>
      </c>
      <c r="BK851" s="470" t="str">
        <f t="shared" si="473"/>
        <v/>
      </c>
      <c r="BL851" s="775" t="str">
        <f t="shared" si="490"/>
        <v/>
      </c>
      <c r="BM851" s="775" t="str">
        <f t="shared" si="491"/>
        <v/>
      </c>
    </row>
    <row r="852" spans="1:65">
      <c r="A852" s="473">
        <v>796</v>
      </c>
      <c r="B852" s="132"/>
      <c r="C852" s="332"/>
      <c r="D852" s="333"/>
      <c r="E852" s="333"/>
      <c r="F852" s="334"/>
      <c r="G852" s="337"/>
      <c r="H852" s="131"/>
      <c r="I852" s="337"/>
      <c r="J852" s="131"/>
      <c r="K852" s="458" t="str">
        <f t="shared" si="454"/>
        <v/>
      </c>
      <c r="L852" s="458">
        <f t="shared" si="455"/>
        <v>0</v>
      </c>
      <c r="M852" s="458">
        <f t="shared" si="456"/>
        <v>0</v>
      </c>
      <c r="N852" s="459" t="str">
        <f t="shared" si="467"/>
        <v/>
      </c>
      <c r="O852" s="459" t="str">
        <f t="shared" si="468"/>
        <v/>
      </c>
      <c r="P852" s="459" t="str">
        <f t="shared" si="469"/>
        <v/>
      </c>
      <c r="Q852" s="459" t="str">
        <f t="shared" si="470"/>
        <v/>
      </c>
      <c r="R852" s="459" t="str">
        <f t="shared" si="471"/>
        <v/>
      </c>
      <c r="S852" s="459" t="str">
        <f t="shared" si="472"/>
        <v/>
      </c>
      <c r="T852" s="566" t="str">
        <f t="shared" si="457"/>
        <v/>
      </c>
      <c r="U852" s="702"/>
      <c r="V852" s="132"/>
      <c r="W852" s="133"/>
      <c r="X852" s="134"/>
      <c r="Y852" s="135"/>
      <c r="Z852" s="137"/>
      <c r="AA852" s="136"/>
      <c r="AB852" s="566" t="str">
        <f t="shared" si="458"/>
        <v/>
      </c>
      <c r="AC852" s="568" t="str">
        <f t="shared" si="459"/>
        <v/>
      </c>
      <c r="AD852" s="137"/>
      <c r="AE852" s="137"/>
      <c r="AF852" s="138"/>
      <c r="AG852" s="138"/>
      <c r="AH852" s="592" t="str">
        <f t="shared" si="460"/>
        <v/>
      </c>
      <c r="AI852" s="592" t="str">
        <f t="shared" si="461"/>
        <v/>
      </c>
      <c r="AJ852" s="592" t="str">
        <f t="shared" si="462"/>
        <v/>
      </c>
      <c r="AK852" s="460" t="str">
        <f>IF(AU852="","",IF(OR(AZ852=8,AZ852=9),0,IF(OR(AW852=3,AW852=4,AW852=5,AW852=6),IF(LEFT(BF852,1)="1",INDEX(係数_NOX・PM低減,MATCH(AY852,【参考】排出係数!$AI$801:$AI$804,1),1),VLOOKUP(AU852,INDEX((係数_バス貨物_ガソリン,係数_バス貨物_CNG,係数_バス貨物_軽油,係数_バス貨物_メタノール,係数_バス貨物_LPG),MATCH(AY852,【参考】排出係数!$AI$4:$AI$671,1),1,BE852):INDEX((係数_バス貨物_ガソリン,係数_バス貨物_CNG,係数_バス貨物_軽油,係数_バス貨物_メタノール,係数_バス貨物_LPG),MATCH(AY852+1,【参考】排出係数!$AI$4:$AI$671,1)-1,5,BE852),4,FALSE)),IF(AND(BE852=3,LEFT(BF852,1)="1"),0.48,VLOOKUP(AU852,INDEX((係数_乗用_ガソリン,係数_乗用_CNG,係数_乗用_軽油,係数_乗用_メタノール,係数_乗用_LPG),1,1,BE852):INDEX((係数_乗用_ガソリン,係数_乗用_CNG,係数_乗用_軽油,係数_乗用_メタノール,係数_乗用_LPG),125,5,BE852),4,FALSE)))))</f>
        <v/>
      </c>
      <c r="AL852" s="461" t="str">
        <f t="shared" si="463"/>
        <v/>
      </c>
      <c r="AM852" s="460" t="str">
        <f>IF(AU852="","",IF(OR(AZ852=8,AZ852=9),0,IF(OR(AW852=3,AW852=4,AW852=5,AW852=6),IF(LEFT(BH852,1)="1",INDEX(係数_PM低減,MATCH(AY852,【参考】排出係数!$AI$801:$AI$804,1),MATCH(BI852,【参考】排出係数!$AL$798:$AO$798,1)),VLOOKUP(AU852,INDEX((係数_バス貨物_ガソリン,係数_バス貨物_CNG,係数_バス貨物_軽油,係数_バス貨物_メタノール,係数_バス貨物_LPG),MATCH(AY852,【参考】排出係数!$AI$4:$AI$671,1),1,BE852):INDEX((係数_バス貨物_ガソリン,係数_バス貨物_CNG,係数_バス貨物_軽油,係数_バス貨物_メタノール,係数_バス貨物_LPG),MATCH(AY852+1,【参考】排出係数!$AI$4:$AI$671,1)-1,5,BE852),5,FALSE)),IF(AND(BE852=3,LEFT(BF852,1)="1"),0.055,VLOOKUP(AU852,INDEX((係数_乗用_ガソリン,係数_乗用_CNG,係数_乗用_軽油,係数_乗用_メタノール,係数_乗用_LPG),1,1,BE852):INDEX((係数_乗用_ガソリン,係数_乗用_CNG,係数_乗用_軽油,係数_乗用_メタノール,係数_乗用_LPG),125,5,BE852),5,FALSE)))))</f>
        <v/>
      </c>
      <c r="AN852" s="461" t="str">
        <f t="shared" si="464"/>
        <v/>
      </c>
      <c r="AO852" s="462" t="str">
        <f t="shared" si="465"/>
        <v/>
      </c>
      <c r="AP852" s="463" t="str">
        <f t="shared" si="466"/>
        <v/>
      </c>
      <c r="AQ852" s="464"/>
      <c r="AR852" s="619"/>
      <c r="AS852" s="465" t="str">
        <f t="shared" si="474"/>
        <v/>
      </c>
      <c r="AT852" s="465" t="str">
        <f t="shared" si="475"/>
        <v/>
      </c>
      <c r="AU852" s="466" t="str">
        <f t="shared" si="476"/>
        <v/>
      </c>
      <c r="AV852" s="467" t="str">
        <f t="shared" si="477"/>
        <v/>
      </c>
      <c r="AW852" s="467" t="str">
        <f t="shared" si="478"/>
        <v/>
      </c>
      <c r="AX852" s="467" t="str">
        <f t="shared" si="479"/>
        <v/>
      </c>
      <c r="AY852" s="467" t="str">
        <f t="shared" si="480"/>
        <v/>
      </c>
      <c r="AZ852" s="467" t="str">
        <f t="shared" si="481"/>
        <v/>
      </c>
      <c r="BA852" s="468" t="str">
        <f>IF(AS852="","",IF(OR(AU852="",AU852="-"),"－",IF(OR(AZ852=8,AZ852=9),"",IF(OR(AW852=3,AW852=4,AW852=5,AW852=6),VLOOKUP(AU852,INDEX((係数_バス貨物_ガソリン,係数_バス貨物_CNG,係数_バス貨物_軽油,係数_バス貨物_メタノール,係数_バス貨物_LPG),MATCH(AY852,【参考】排出係数!$AI$4:$AI$671,1),1,BE852):INDEX((係数_バス貨物_ガソリン,係数_バス貨物_CNG,係数_バス貨物_軽油,係数_バス貨物_メタノール,係数_バス貨物_LPG),MATCH(AY852+1,【参考】排出係数!$AI$4:$AI$671,1)-1,5,BE852),2,FALSE),IF(OR(AW852=1,AW852=2),VLOOKUP(AU852,INDEX((係数_乗用_ガソリン,係数_乗用_CNG,係数_乗用_軽油,係数_乗用_メタノール,係数_乗用_LPG),1,1,BE852):INDEX((係数_乗用_ガソリン,係数_乗用_CNG,係数_乗用_軽油,係数_乗用_メタノール,係数_乗用_LPG),125,5,BE852),2,FALSE))))))</f>
        <v/>
      </c>
      <c r="BB852" s="468" t="str">
        <f>IF(T852="","",IF(OR(AU852="",AU852="-"),"－",IF(OR(AZ852=8,AZ852=9),"",IF(OR(AW852=3,AW852=4,AW852=5,AW852=6),VLOOKUP(AU852,INDEX((係数_バス貨物_ガソリン,係数_バス貨物_CNG,係数_バス貨物_軽油,係数_バス貨物_メタノール,係数_バス貨物_LPG),MATCH(AY852,【参考】排出係数!$AI$4:$AI$671,1),1,BE852):INDEX((係数_バス貨物_ガソリン,係数_バス貨物_CNG,係数_バス貨物_軽油,係数_バス貨物_メタノール,係数_バス貨物_LPG),MATCH(AY852+1,【参考】排出係数!$AI$4:$AI$671,1)-1,5,BE852),3,FALSE),IF(OR(AW852=1,AW852=2),VLOOKUP(AU852,INDEX((係数_乗用_ガソリン,係数_乗用_CNG,係数_乗用_軽油,係数_乗用_メタノール,係数_乗用_LPG),1,1,BE852):INDEX((係数_乗用_ガソリン,係数_乗用_CNG,係数_乗用_軽油,係数_乗用_メタノール,係数_乗用_LPG),125,5,BE852),3,FALSE))))))</f>
        <v/>
      </c>
      <c r="BC852" s="467" t="str">
        <f t="shared" si="482"/>
        <v/>
      </c>
      <c r="BD852" s="567" t="str">
        <f t="shared" si="483"/>
        <v/>
      </c>
      <c r="BE852" s="467" t="str">
        <f t="shared" si="484"/>
        <v/>
      </c>
      <c r="BF852" s="469" t="str">
        <f t="shared" ca="1" si="485"/>
        <v/>
      </c>
      <c r="BG852" s="469" t="str">
        <f t="shared" ca="1" si="486"/>
        <v/>
      </c>
      <c r="BH852" s="467" t="str">
        <f t="shared" si="487"/>
        <v/>
      </c>
      <c r="BI852" s="467" t="str">
        <f t="shared" ca="1" si="488"/>
        <v/>
      </c>
      <c r="BJ852" s="469" t="str">
        <f t="shared" si="489"/>
        <v/>
      </c>
      <c r="BK852" s="470" t="str">
        <f t="shared" si="473"/>
        <v/>
      </c>
      <c r="BL852" s="775" t="str">
        <f t="shared" si="490"/>
        <v/>
      </c>
      <c r="BM852" s="775" t="str">
        <f t="shared" si="491"/>
        <v/>
      </c>
    </row>
    <row r="853" spans="1:65">
      <c r="A853" s="473">
        <v>797</v>
      </c>
      <c r="B853" s="132"/>
      <c r="C853" s="332"/>
      <c r="D853" s="333"/>
      <c r="E853" s="333"/>
      <c r="F853" s="334"/>
      <c r="G853" s="337"/>
      <c r="H853" s="131"/>
      <c r="I853" s="337"/>
      <c r="J853" s="131"/>
      <c r="K853" s="458" t="str">
        <f t="shared" si="454"/>
        <v/>
      </c>
      <c r="L853" s="458">
        <f t="shared" si="455"/>
        <v>0</v>
      </c>
      <c r="M853" s="458">
        <f t="shared" si="456"/>
        <v>0</v>
      </c>
      <c r="N853" s="459" t="str">
        <f t="shared" si="467"/>
        <v/>
      </c>
      <c r="O853" s="459" t="str">
        <f t="shared" si="468"/>
        <v/>
      </c>
      <c r="P853" s="459" t="str">
        <f t="shared" si="469"/>
        <v/>
      </c>
      <c r="Q853" s="459" t="str">
        <f t="shared" si="470"/>
        <v/>
      </c>
      <c r="R853" s="459" t="str">
        <f t="shared" si="471"/>
        <v/>
      </c>
      <c r="S853" s="459" t="str">
        <f t="shared" si="472"/>
        <v/>
      </c>
      <c r="T853" s="566" t="str">
        <f t="shared" si="457"/>
        <v/>
      </c>
      <c r="U853" s="702"/>
      <c r="V853" s="132"/>
      <c r="W853" s="133"/>
      <c r="X853" s="134"/>
      <c r="Y853" s="135"/>
      <c r="Z853" s="137"/>
      <c r="AA853" s="136"/>
      <c r="AB853" s="566" t="str">
        <f t="shared" si="458"/>
        <v/>
      </c>
      <c r="AC853" s="568" t="str">
        <f t="shared" si="459"/>
        <v/>
      </c>
      <c r="AD853" s="137"/>
      <c r="AE853" s="137"/>
      <c r="AF853" s="138"/>
      <c r="AG853" s="138"/>
      <c r="AH853" s="592" t="str">
        <f t="shared" si="460"/>
        <v/>
      </c>
      <c r="AI853" s="592" t="str">
        <f t="shared" si="461"/>
        <v/>
      </c>
      <c r="AJ853" s="592" t="str">
        <f t="shared" si="462"/>
        <v/>
      </c>
      <c r="AK853" s="460" t="str">
        <f>IF(AU853="","",IF(OR(AZ853=8,AZ853=9),0,IF(OR(AW853=3,AW853=4,AW853=5,AW853=6),IF(LEFT(BF853,1)="1",INDEX(係数_NOX・PM低減,MATCH(AY853,【参考】排出係数!$AI$801:$AI$804,1),1),VLOOKUP(AU853,INDEX((係数_バス貨物_ガソリン,係数_バス貨物_CNG,係数_バス貨物_軽油,係数_バス貨物_メタノール,係数_バス貨物_LPG),MATCH(AY853,【参考】排出係数!$AI$4:$AI$671,1),1,BE853):INDEX((係数_バス貨物_ガソリン,係数_バス貨物_CNG,係数_バス貨物_軽油,係数_バス貨物_メタノール,係数_バス貨物_LPG),MATCH(AY853+1,【参考】排出係数!$AI$4:$AI$671,1)-1,5,BE853),4,FALSE)),IF(AND(BE853=3,LEFT(BF853,1)="1"),0.48,VLOOKUP(AU853,INDEX((係数_乗用_ガソリン,係数_乗用_CNG,係数_乗用_軽油,係数_乗用_メタノール,係数_乗用_LPG),1,1,BE853):INDEX((係数_乗用_ガソリン,係数_乗用_CNG,係数_乗用_軽油,係数_乗用_メタノール,係数_乗用_LPG),125,5,BE853),4,FALSE)))))</f>
        <v/>
      </c>
      <c r="AL853" s="461" t="str">
        <f t="shared" si="463"/>
        <v/>
      </c>
      <c r="AM853" s="460" t="str">
        <f>IF(AU853="","",IF(OR(AZ853=8,AZ853=9),0,IF(OR(AW853=3,AW853=4,AW853=5,AW853=6),IF(LEFT(BH853,1)="1",INDEX(係数_PM低減,MATCH(AY853,【参考】排出係数!$AI$801:$AI$804,1),MATCH(BI853,【参考】排出係数!$AL$798:$AO$798,1)),VLOOKUP(AU853,INDEX((係数_バス貨物_ガソリン,係数_バス貨物_CNG,係数_バス貨物_軽油,係数_バス貨物_メタノール,係数_バス貨物_LPG),MATCH(AY853,【参考】排出係数!$AI$4:$AI$671,1),1,BE853):INDEX((係数_バス貨物_ガソリン,係数_バス貨物_CNG,係数_バス貨物_軽油,係数_バス貨物_メタノール,係数_バス貨物_LPG),MATCH(AY853+1,【参考】排出係数!$AI$4:$AI$671,1)-1,5,BE853),5,FALSE)),IF(AND(BE853=3,LEFT(BF853,1)="1"),0.055,VLOOKUP(AU853,INDEX((係数_乗用_ガソリン,係数_乗用_CNG,係数_乗用_軽油,係数_乗用_メタノール,係数_乗用_LPG),1,1,BE853):INDEX((係数_乗用_ガソリン,係数_乗用_CNG,係数_乗用_軽油,係数_乗用_メタノール,係数_乗用_LPG),125,5,BE853),5,FALSE)))))</f>
        <v/>
      </c>
      <c r="AN853" s="461" t="str">
        <f t="shared" si="464"/>
        <v/>
      </c>
      <c r="AO853" s="462" t="str">
        <f t="shared" si="465"/>
        <v/>
      </c>
      <c r="AP853" s="463" t="str">
        <f t="shared" si="466"/>
        <v/>
      </c>
      <c r="AQ853" s="464"/>
      <c r="AR853" s="619"/>
      <c r="AS853" s="465" t="str">
        <f t="shared" si="474"/>
        <v/>
      </c>
      <c r="AT853" s="465" t="str">
        <f t="shared" si="475"/>
        <v/>
      </c>
      <c r="AU853" s="466" t="str">
        <f t="shared" si="476"/>
        <v/>
      </c>
      <c r="AV853" s="467" t="str">
        <f t="shared" si="477"/>
        <v/>
      </c>
      <c r="AW853" s="467" t="str">
        <f t="shared" si="478"/>
        <v/>
      </c>
      <c r="AX853" s="467" t="str">
        <f t="shared" si="479"/>
        <v/>
      </c>
      <c r="AY853" s="467" t="str">
        <f t="shared" si="480"/>
        <v/>
      </c>
      <c r="AZ853" s="467" t="str">
        <f t="shared" si="481"/>
        <v/>
      </c>
      <c r="BA853" s="468" t="str">
        <f>IF(AS853="","",IF(OR(AU853="",AU853="-"),"－",IF(OR(AZ853=8,AZ853=9),"",IF(OR(AW853=3,AW853=4,AW853=5,AW853=6),VLOOKUP(AU853,INDEX((係数_バス貨物_ガソリン,係数_バス貨物_CNG,係数_バス貨物_軽油,係数_バス貨物_メタノール,係数_バス貨物_LPG),MATCH(AY853,【参考】排出係数!$AI$4:$AI$671,1),1,BE853):INDEX((係数_バス貨物_ガソリン,係数_バス貨物_CNG,係数_バス貨物_軽油,係数_バス貨物_メタノール,係数_バス貨物_LPG),MATCH(AY853+1,【参考】排出係数!$AI$4:$AI$671,1)-1,5,BE853),2,FALSE),IF(OR(AW853=1,AW853=2),VLOOKUP(AU853,INDEX((係数_乗用_ガソリン,係数_乗用_CNG,係数_乗用_軽油,係数_乗用_メタノール,係数_乗用_LPG),1,1,BE853):INDEX((係数_乗用_ガソリン,係数_乗用_CNG,係数_乗用_軽油,係数_乗用_メタノール,係数_乗用_LPG),125,5,BE853),2,FALSE))))))</f>
        <v/>
      </c>
      <c r="BB853" s="468" t="str">
        <f>IF(T853="","",IF(OR(AU853="",AU853="-"),"－",IF(OR(AZ853=8,AZ853=9),"",IF(OR(AW853=3,AW853=4,AW853=5,AW853=6),VLOOKUP(AU853,INDEX((係数_バス貨物_ガソリン,係数_バス貨物_CNG,係数_バス貨物_軽油,係数_バス貨物_メタノール,係数_バス貨物_LPG),MATCH(AY853,【参考】排出係数!$AI$4:$AI$671,1),1,BE853):INDEX((係数_バス貨物_ガソリン,係数_バス貨物_CNG,係数_バス貨物_軽油,係数_バス貨物_メタノール,係数_バス貨物_LPG),MATCH(AY853+1,【参考】排出係数!$AI$4:$AI$671,1)-1,5,BE853),3,FALSE),IF(OR(AW853=1,AW853=2),VLOOKUP(AU853,INDEX((係数_乗用_ガソリン,係数_乗用_CNG,係数_乗用_軽油,係数_乗用_メタノール,係数_乗用_LPG),1,1,BE853):INDEX((係数_乗用_ガソリン,係数_乗用_CNG,係数_乗用_軽油,係数_乗用_メタノール,係数_乗用_LPG),125,5,BE853),3,FALSE))))))</f>
        <v/>
      </c>
      <c r="BC853" s="467" t="str">
        <f t="shared" si="482"/>
        <v/>
      </c>
      <c r="BD853" s="567" t="str">
        <f t="shared" si="483"/>
        <v/>
      </c>
      <c r="BE853" s="467" t="str">
        <f t="shared" si="484"/>
        <v/>
      </c>
      <c r="BF853" s="469" t="str">
        <f t="shared" ca="1" si="485"/>
        <v/>
      </c>
      <c r="BG853" s="469" t="str">
        <f t="shared" ca="1" si="486"/>
        <v/>
      </c>
      <c r="BH853" s="467" t="str">
        <f t="shared" si="487"/>
        <v/>
      </c>
      <c r="BI853" s="467" t="str">
        <f t="shared" ca="1" si="488"/>
        <v/>
      </c>
      <c r="BJ853" s="469" t="str">
        <f t="shared" si="489"/>
        <v/>
      </c>
      <c r="BK853" s="470" t="str">
        <f t="shared" si="473"/>
        <v/>
      </c>
      <c r="BL853" s="775" t="str">
        <f t="shared" si="490"/>
        <v/>
      </c>
      <c r="BM853" s="775" t="str">
        <f t="shared" si="491"/>
        <v/>
      </c>
    </row>
    <row r="854" spans="1:65">
      <c r="A854" s="473">
        <v>798</v>
      </c>
      <c r="B854" s="132"/>
      <c r="C854" s="332"/>
      <c r="D854" s="333"/>
      <c r="E854" s="333"/>
      <c r="F854" s="334"/>
      <c r="G854" s="337"/>
      <c r="H854" s="131"/>
      <c r="I854" s="337"/>
      <c r="J854" s="131"/>
      <c r="K854" s="458" t="str">
        <f t="shared" si="454"/>
        <v/>
      </c>
      <c r="L854" s="458">
        <f t="shared" si="455"/>
        <v>0</v>
      </c>
      <c r="M854" s="458">
        <f t="shared" si="456"/>
        <v>0</v>
      </c>
      <c r="N854" s="459" t="str">
        <f t="shared" si="467"/>
        <v/>
      </c>
      <c r="O854" s="459" t="str">
        <f t="shared" si="468"/>
        <v/>
      </c>
      <c r="P854" s="459" t="str">
        <f t="shared" si="469"/>
        <v/>
      </c>
      <c r="Q854" s="459" t="str">
        <f t="shared" si="470"/>
        <v/>
      </c>
      <c r="R854" s="459" t="str">
        <f t="shared" si="471"/>
        <v/>
      </c>
      <c r="S854" s="459" t="str">
        <f t="shared" si="472"/>
        <v/>
      </c>
      <c r="T854" s="566" t="str">
        <f t="shared" si="457"/>
        <v/>
      </c>
      <c r="U854" s="702"/>
      <c r="V854" s="132"/>
      <c r="W854" s="133"/>
      <c r="X854" s="134"/>
      <c r="Y854" s="135"/>
      <c r="Z854" s="137"/>
      <c r="AA854" s="136"/>
      <c r="AB854" s="566" t="str">
        <f t="shared" si="458"/>
        <v/>
      </c>
      <c r="AC854" s="568" t="str">
        <f t="shared" si="459"/>
        <v/>
      </c>
      <c r="AD854" s="137"/>
      <c r="AE854" s="137"/>
      <c r="AF854" s="138"/>
      <c r="AG854" s="138"/>
      <c r="AH854" s="592" t="str">
        <f t="shared" si="460"/>
        <v/>
      </c>
      <c r="AI854" s="592" t="str">
        <f t="shared" si="461"/>
        <v/>
      </c>
      <c r="AJ854" s="592" t="str">
        <f t="shared" si="462"/>
        <v/>
      </c>
      <c r="AK854" s="460" t="str">
        <f>IF(AU854="","",IF(OR(AZ854=8,AZ854=9),0,IF(OR(AW854=3,AW854=4,AW854=5,AW854=6),IF(LEFT(BF854,1)="1",INDEX(係数_NOX・PM低減,MATCH(AY854,【参考】排出係数!$AI$801:$AI$804,1),1),VLOOKUP(AU854,INDEX((係数_バス貨物_ガソリン,係数_バス貨物_CNG,係数_バス貨物_軽油,係数_バス貨物_メタノール,係数_バス貨物_LPG),MATCH(AY854,【参考】排出係数!$AI$4:$AI$671,1),1,BE854):INDEX((係数_バス貨物_ガソリン,係数_バス貨物_CNG,係数_バス貨物_軽油,係数_バス貨物_メタノール,係数_バス貨物_LPG),MATCH(AY854+1,【参考】排出係数!$AI$4:$AI$671,1)-1,5,BE854),4,FALSE)),IF(AND(BE854=3,LEFT(BF854,1)="1"),0.48,VLOOKUP(AU854,INDEX((係数_乗用_ガソリン,係数_乗用_CNG,係数_乗用_軽油,係数_乗用_メタノール,係数_乗用_LPG),1,1,BE854):INDEX((係数_乗用_ガソリン,係数_乗用_CNG,係数_乗用_軽油,係数_乗用_メタノール,係数_乗用_LPG),125,5,BE854),4,FALSE)))))</f>
        <v/>
      </c>
      <c r="AL854" s="461" t="str">
        <f t="shared" si="463"/>
        <v/>
      </c>
      <c r="AM854" s="460" t="str">
        <f>IF(AU854="","",IF(OR(AZ854=8,AZ854=9),0,IF(OR(AW854=3,AW854=4,AW854=5,AW854=6),IF(LEFT(BH854,1)="1",INDEX(係数_PM低減,MATCH(AY854,【参考】排出係数!$AI$801:$AI$804,1),MATCH(BI854,【参考】排出係数!$AL$798:$AO$798,1)),VLOOKUP(AU854,INDEX((係数_バス貨物_ガソリン,係数_バス貨物_CNG,係数_バス貨物_軽油,係数_バス貨物_メタノール,係数_バス貨物_LPG),MATCH(AY854,【参考】排出係数!$AI$4:$AI$671,1),1,BE854):INDEX((係数_バス貨物_ガソリン,係数_バス貨物_CNG,係数_バス貨物_軽油,係数_バス貨物_メタノール,係数_バス貨物_LPG),MATCH(AY854+1,【参考】排出係数!$AI$4:$AI$671,1)-1,5,BE854),5,FALSE)),IF(AND(BE854=3,LEFT(BF854,1)="1"),0.055,VLOOKUP(AU854,INDEX((係数_乗用_ガソリン,係数_乗用_CNG,係数_乗用_軽油,係数_乗用_メタノール,係数_乗用_LPG),1,1,BE854):INDEX((係数_乗用_ガソリン,係数_乗用_CNG,係数_乗用_軽油,係数_乗用_メタノール,係数_乗用_LPG),125,5,BE854),5,FALSE)))))</f>
        <v/>
      </c>
      <c r="AN854" s="461" t="str">
        <f t="shared" si="464"/>
        <v/>
      </c>
      <c r="AO854" s="462" t="str">
        <f t="shared" si="465"/>
        <v/>
      </c>
      <c r="AP854" s="463" t="str">
        <f t="shared" si="466"/>
        <v/>
      </c>
      <c r="AQ854" s="464"/>
      <c r="AR854" s="619"/>
      <c r="AS854" s="465" t="str">
        <f t="shared" si="474"/>
        <v/>
      </c>
      <c r="AT854" s="465" t="str">
        <f t="shared" si="475"/>
        <v/>
      </c>
      <c r="AU854" s="466" t="str">
        <f t="shared" si="476"/>
        <v/>
      </c>
      <c r="AV854" s="467" t="str">
        <f t="shared" si="477"/>
        <v/>
      </c>
      <c r="AW854" s="467" t="str">
        <f t="shared" si="478"/>
        <v/>
      </c>
      <c r="AX854" s="467" t="str">
        <f t="shared" si="479"/>
        <v/>
      </c>
      <c r="AY854" s="467" t="str">
        <f t="shared" si="480"/>
        <v/>
      </c>
      <c r="AZ854" s="467" t="str">
        <f t="shared" si="481"/>
        <v/>
      </c>
      <c r="BA854" s="468" t="str">
        <f>IF(AS854="","",IF(OR(AU854="",AU854="-"),"－",IF(OR(AZ854=8,AZ854=9),"",IF(OR(AW854=3,AW854=4,AW854=5,AW854=6),VLOOKUP(AU854,INDEX((係数_バス貨物_ガソリン,係数_バス貨物_CNG,係数_バス貨物_軽油,係数_バス貨物_メタノール,係数_バス貨物_LPG),MATCH(AY854,【参考】排出係数!$AI$4:$AI$671,1),1,BE854):INDEX((係数_バス貨物_ガソリン,係数_バス貨物_CNG,係数_バス貨物_軽油,係数_バス貨物_メタノール,係数_バス貨物_LPG),MATCH(AY854+1,【参考】排出係数!$AI$4:$AI$671,1)-1,5,BE854),2,FALSE),IF(OR(AW854=1,AW854=2),VLOOKUP(AU854,INDEX((係数_乗用_ガソリン,係数_乗用_CNG,係数_乗用_軽油,係数_乗用_メタノール,係数_乗用_LPG),1,1,BE854):INDEX((係数_乗用_ガソリン,係数_乗用_CNG,係数_乗用_軽油,係数_乗用_メタノール,係数_乗用_LPG),125,5,BE854),2,FALSE))))))</f>
        <v/>
      </c>
      <c r="BB854" s="468" t="str">
        <f>IF(T854="","",IF(OR(AU854="",AU854="-"),"－",IF(OR(AZ854=8,AZ854=9),"",IF(OR(AW854=3,AW854=4,AW854=5,AW854=6),VLOOKUP(AU854,INDEX((係数_バス貨物_ガソリン,係数_バス貨物_CNG,係数_バス貨物_軽油,係数_バス貨物_メタノール,係数_バス貨物_LPG),MATCH(AY854,【参考】排出係数!$AI$4:$AI$671,1),1,BE854):INDEX((係数_バス貨物_ガソリン,係数_バス貨物_CNG,係数_バス貨物_軽油,係数_バス貨物_メタノール,係数_バス貨物_LPG),MATCH(AY854+1,【参考】排出係数!$AI$4:$AI$671,1)-1,5,BE854),3,FALSE),IF(OR(AW854=1,AW854=2),VLOOKUP(AU854,INDEX((係数_乗用_ガソリン,係数_乗用_CNG,係数_乗用_軽油,係数_乗用_メタノール,係数_乗用_LPG),1,1,BE854):INDEX((係数_乗用_ガソリン,係数_乗用_CNG,係数_乗用_軽油,係数_乗用_メタノール,係数_乗用_LPG),125,5,BE854),3,FALSE))))))</f>
        <v/>
      </c>
      <c r="BC854" s="467" t="str">
        <f t="shared" si="482"/>
        <v/>
      </c>
      <c r="BD854" s="567" t="str">
        <f t="shared" si="483"/>
        <v/>
      </c>
      <c r="BE854" s="467" t="str">
        <f t="shared" si="484"/>
        <v/>
      </c>
      <c r="BF854" s="469" t="str">
        <f t="shared" ca="1" si="485"/>
        <v/>
      </c>
      <c r="BG854" s="469" t="str">
        <f t="shared" ca="1" si="486"/>
        <v/>
      </c>
      <c r="BH854" s="467" t="str">
        <f t="shared" si="487"/>
        <v/>
      </c>
      <c r="BI854" s="467" t="str">
        <f t="shared" ca="1" si="488"/>
        <v/>
      </c>
      <c r="BJ854" s="469" t="str">
        <f t="shared" si="489"/>
        <v/>
      </c>
      <c r="BK854" s="470" t="str">
        <f t="shared" si="473"/>
        <v/>
      </c>
      <c r="BL854" s="775" t="str">
        <f t="shared" si="490"/>
        <v/>
      </c>
      <c r="BM854" s="775" t="str">
        <f t="shared" si="491"/>
        <v/>
      </c>
    </row>
    <row r="855" spans="1:65">
      <c r="A855" s="473">
        <v>799</v>
      </c>
      <c r="B855" s="132"/>
      <c r="C855" s="332"/>
      <c r="D855" s="333"/>
      <c r="E855" s="333"/>
      <c r="F855" s="334"/>
      <c r="G855" s="337"/>
      <c r="H855" s="131"/>
      <c r="I855" s="337"/>
      <c r="J855" s="131"/>
      <c r="K855" s="458" t="str">
        <f t="shared" si="454"/>
        <v/>
      </c>
      <c r="L855" s="458">
        <f t="shared" si="455"/>
        <v>0</v>
      </c>
      <c r="M855" s="458">
        <f t="shared" si="456"/>
        <v>0</v>
      </c>
      <c r="N855" s="459" t="str">
        <f t="shared" si="467"/>
        <v/>
      </c>
      <c r="O855" s="459" t="str">
        <f t="shared" si="468"/>
        <v/>
      </c>
      <c r="P855" s="459" t="str">
        <f t="shared" si="469"/>
        <v/>
      </c>
      <c r="Q855" s="459" t="str">
        <f t="shared" si="470"/>
        <v/>
      </c>
      <c r="R855" s="459" t="str">
        <f t="shared" si="471"/>
        <v/>
      </c>
      <c r="S855" s="459" t="str">
        <f t="shared" si="472"/>
        <v/>
      </c>
      <c r="T855" s="566" t="str">
        <f t="shared" si="457"/>
        <v/>
      </c>
      <c r="U855" s="702"/>
      <c r="V855" s="132"/>
      <c r="W855" s="133"/>
      <c r="X855" s="134"/>
      <c r="Y855" s="135"/>
      <c r="Z855" s="137"/>
      <c r="AA855" s="136"/>
      <c r="AB855" s="566" t="str">
        <f t="shared" si="458"/>
        <v/>
      </c>
      <c r="AC855" s="568" t="str">
        <f t="shared" si="459"/>
        <v/>
      </c>
      <c r="AD855" s="137"/>
      <c r="AE855" s="137"/>
      <c r="AF855" s="138"/>
      <c r="AG855" s="138"/>
      <c r="AH855" s="592" t="str">
        <f t="shared" si="460"/>
        <v/>
      </c>
      <c r="AI855" s="592" t="str">
        <f t="shared" si="461"/>
        <v/>
      </c>
      <c r="AJ855" s="592" t="str">
        <f t="shared" si="462"/>
        <v/>
      </c>
      <c r="AK855" s="460" t="str">
        <f>IF(AU855="","",IF(OR(AZ855=8,AZ855=9),0,IF(OR(AW855=3,AW855=4,AW855=5,AW855=6),IF(LEFT(BF855,1)="1",INDEX(係数_NOX・PM低減,MATCH(AY855,【参考】排出係数!$AI$801:$AI$804,1),1),VLOOKUP(AU855,INDEX((係数_バス貨物_ガソリン,係数_バス貨物_CNG,係数_バス貨物_軽油,係数_バス貨物_メタノール,係数_バス貨物_LPG),MATCH(AY855,【参考】排出係数!$AI$4:$AI$671,1),1,BE855):INDEX((係数_バス貨物_ガソリン,係数_バス貨物_CNG,係数_バス貨物_軽油,係数_バス貨物_メタノール,係数_バス貨物_LPG),MATCH(AY855+1,【参考】排出係数!$AI$4:$AI$671,1)-1,5,BE855),4,FALSE)),IF(AND(BE855=3,LEFT(BF855,1)="1"),0.48,VLOOKUP(AU855,INDEX((係数_乗用_ガソリン,係数_乗用_CNG,係数_乗用_軽油,係数_乗用_メタノール,係数_乗用_LPG),1,1,BE855):INDEX((係数_乗用_ガソリン,係数_乗用_CNG,係数_乗用_軽油,係数_乗用_メタノール,係数_乗用_LPG),125,5,BE855),4,FALSE)))))</f>
        <v/>
      </c>
      <c r="AL855" s="461" t="str">
        <f t="shared" si="463"/>
        <v/>
      </c>
      <c r="AM855" s="460" t="str">
        <f>IF(AU855="","",IF(OR(AZ855=8,AZ855=9),0,IF(OR(AW855=3,AW855=4,AW855=5,AW855=6),IF(LEFT(BH855,1)="1",INDEX(係数_PM低減,MATCH(AY855,【参考】排出係数!$AI$801:$AI$804,1),MATCH(BI855,【参考】排出係数!$AL$798:$AO$798,1)),VLOOKUP(AU855,INDEX((係数_バス貨物_ガソリン,係数_バス貨物_CNG,係数_バス貨物_軽油,係数_バス貨物_メタノール,係数_バス貨物_LPG),MATCH(AY855,【参考】排出係数!$AI$4:$AI$671,1),1,BE855):INDEX((係数_バス貨物_ガソリン,係数_バス貨物_CNG,係数_バス貨物_軽油,係数_バス貨物_メタノール,係数_バス貨物_LPG),MATCH(AY855+1,【参考】排出係数!$AI$4:$AI$671,1)-1,5,BE855),5,FALSE)),IF(AND(BE855=3,LEFT(BF855,1)="1"),0.055,VLOOKUP(AU855,INDEX((係数_乗用_ガソリン,係数_乗用_CNG,係数_乗用_軽油,係数_乗用_メタノール,係数_乗用_LPG),1,1,BE855):INDEX((係数_乗用_ガソリン,係数_乗用_CNG,係数_乗用_軽油,係数_乗用_メタノール,係数_乗用_LPG),125,5,BE855),5,FALSE)))))</f>
        <v/>
      </c>
      <c r="AN855" s="461" t="str">
        <f t="shared" si="464"/>
        <v/>
      </c>
      <c r="AO855" s="462" t="str">
        <f t="shared" si="465"/>
        <v/>
      </c>
      <c r="AP855" s="463" t="str">
        <f t="shared" si="466"/>
        <v/>
      </c>
      <c r="AQ855" s="464"/>
      <c r="AR855" s="619"/>
      <c r="AS855" s="465" t="str">
        <f t="shared" si="474"/>
        <v/>
      </c>
      <c r="AT855" s="465" t="str">
        <f t="shared" si="475"/>
        <v/>
      </c>
      <c r="AU855" s="466" t="str">
        <f t="shared" si="476"/>
        <v/>
      </c>
      <c r="AV855" s="467" t="str">
        <f t="shared" si="477"/>
        <v/>
      </c>
      <c r="AW855" s="467" t="str">
        <f t="shared" si="478"/>
        <v/>
      </c>
      <c r="AX855" s="467" t="str">
        <f t="shared" si="479"/>
        <v/>
      </c>
      <c r="AY855" s="467" t="str">
        <f t="shared" si="480"/>
        <v/>
      </c>
      <c r="AZ855" s="467" t="str">
        <f t="shared" si="481"/>
        <v/>
      </c>
      <c r="BA855" s="468" t="str">
        <f>IF(AS855="","",IF(OR(AU855="",AU855="-"),"－",IF(OR(AZ855=8,AZ855=9),"",IF(OR(AW855=3,AW855=4,AW855=5,AW855=6),VLOOKUP(AU855,INDEX((係数_バス貨物_ガソリン,係数_バス貨物_CNG,係数_バス貨物_軽油,係数_バス貨物_メタノール,係数_バス貨物_LPG),MATCH(AY855,【参考】排出係数!$AI$4:$AI$671,1),1,BE855):INDEX((係数_バス貨物_ガソリン,係数_バス貨物_CNG,係数_バス貨物_軽油,係数_バス貨物_メタノール,係数_バス貨物_LPG),MATCH(AY855+1,【参考】排出係数!$AI$4:$AI$671,1)-1,5,BE855),2,FALSE),IF(OR(AW855=1,AW855=2),VLOOKUP(AU855,INDEX((係数_乗用_ガソリン,係数_乗用_CNG,係数_乗用_軽油,係数_乗用_メタノール,係数_乗用_LPG),1,1,BE855):INDEX((係数_乗用_ガソリン,係数_乗用_CNG,係数_乗用_軽油,係数_乗用_メタノール,係数_乗用_LPG),125,5,BE855),2,FALSE))))))</f>
        <v/>
      </c>
      <c r="BB855" s="468" t="str">
        <f>IF(T855="","",IF(OR(AU855="",AU855="-"),"－",IF(OR(AZ855=8,AZ855=9),"",IF(OR(AW855=3,AW855=4,AW855=5,AW855=6),VLOOKUP(AU855,INDEX((係数_バス貨物_ガソリン,係数_バス貨物_CNG,係数_バス貨物_軽油,係数_バス貨物_メタノール,係数_バス貨物_LPG),MATCH(AY855,【参考】排出係数!$AI$4:$AI$671,1),1,BE855):INDEX((係数_バス貨物_ガソリン,係数_バス貨物_CNG,係数_バス貨物_軽油,係数_バス貨物_メタノール,係数_バス貨物_LPG),MATCH(AY855+1,【参考】排出係数!$AI$4:$AI$671,1)-1,5,BE855),3,FALSE),IF(OR(AW855=1,AW855=2),VLOOKUP(AU855,INDEX((係数_乗用_ガソリン,係数_乗用_CNG,係数_乗用_軽油,係数_乗用_メタノール,係数_乗用_LPG),1,1,BE855):INDEX((係数_乗用_ガソリン,係数_乗用_CNG,係数_乗用_軽油,係数_乗用_メタノール,係数_乗用_LPG),125,5,BE855),3,FALSE))))))</f>
        <v/>
      </c>
      <c r="BC855" s="467" t="str">
        <f t="shared" si="482"/>
        <v/>
      </c>
      <c r="BD855" s="567" t="str">
        <f t="shared" si="483"/>
        <v/>
      </c>
      <c r="BE855" s="467" t="str">
        <f t="shared" si="484"/>
        <v/>
      </c>
      <c r="BF855" s="469" t="str">
        <f t="shared" ca="1" si="485"/>
        <v/>
      </c>
      <c r="BG855" s="469" t="str">
        <f t="shared" ca="1" si="486"/>
        <v/>
      </c>
      <c r="BH855" s="467" t="str">
        <f t="shared" si="487"/>
        <v/>
      </c>
      <c r="BI855" s="467" t="str">
        <f t="shared" ca="1" si="488"/>
        <v/>
      </c>
      <c r="BJ855" s="469" t="str">
        <f t="shared" si="489"/>
        <v/>
      </c>
      <c r="BK855" s="470" t="str">
        <f t="shared" si="473"/>
        <v/>
      </c>
      <c r="BL855" s="775" t="str">
        <f t="shared" si="490"/>
        <v/>
      </c>
      <c r="BM855" s="775" t="str">
        <f t="shared" si="491"/>
        <v/>
      </c>
    </row>
    <row r="856" spans="1:65">
      <c r="A856" s="473">
        <v>800</v>
      </c>
      <c r="B856" s="132"/>
      <c r="C856" s="332"/>
      <c r="D856" s="333"/>
      <c r="E856" s="333"/>
      <c r="F856" s="334"/>
      <c r="G856" s="337"/>
      <c r="H856" s="131"/>
      <c r="I856" s="337"/>
      <c r="J856" s="131"/>
      <c r="K856" s="458" t="str">
        <f t="shared" si="454"/>
        <v/>
      </c>
      <c r="L856" s="458">
        <f t="shared" si="455"/>
        <v>0</v>
      </c>
      <c r="M856" s="458">
        <f t="shared" si="456"/>
        <v>0</v>
      </c>
      <c r="N856" s="459" t="str">
        <f t="shared" si="467"/>
        <v/>
      </c>
      <c r="O856" s="459" t="str">
        <f t="shared" si="468"/>
        <v/>
      </c>
      <c r="P856" s="459" t="str">
        <f t="shared" si="469"/>
        <v/>
      </c>
      <c r="Q856" s="459" t="str">
        <f t="shared" si="470"/>
        <v/>
      </c>
      <c r="R856" s="459" t="str">
        <f t="shared" si="471"/>
        <v/>
      </c>
      <c r="S856" s="459" t="str">
        <f t="shared" si="472"/>
        <v/>
      </c>
      <c r="T856" s="566" t="str">
        <f t="shared" si="457"/>
        <v/>
      </c>
      <c r="U856" s="702"/>
      <c r="V856" s="132"/>
      <c r="W856" s="133"/>
      <c r="X856" s="134"/>
      <c r="Y856" s="135"/>
      <c r="Z856" s="137"/>
      <c r="AA856" s="136"/>
      <c r="AB856" s="566" t="str">
        <f t="shared" si="458"/>
        <v/>
      </c>
      <c r="AC856" s="568" t="str">
        <f t="shared" si="459"/>
        <v/>
      </c>
      <c r="AD856" s="137"/>
      <c r="AE856" s="137"/>
      <c r="AF856" s="138"/>
      <c r="AG856" s="138"/>
      <c r="AH856" s="592" t="str">
        <f t="shared" si="460"/>
        <v/>
      </c>
      <c r="AI856" s="592" t="str">
        <f t="shared" si="461"/>
        <v/>
      </c>
      <c r="AJ856" s="592" t="str">
        <f t="shared" si="462"/>
        <v/>
      </c>
      <c r="AK856" s="460" t="str">
        <f>IF(AU856="","",IF(OR(AZ856=8,AZ856=9),0,IF(OR(AW856=3,AW856=4,AW856=5,AW856=6),IF(LEFT(BF856,1)="1",INDEX(係数_NOX・PM低減,MATCH(AY856,【参考】排出係数!$AI$801:$AI$804,1),1),VLOOKUP(AU856,INDEX((係数_バス貨物_ガソリン,係数_バス貨物_CNG,係数_バス貨物_軽油,係数_バス貨物_メタノール,係数_バス貨物_LPG),MATCH(AY856,【参考】排出係数!$AI$4:$AI$671,1),1,BE856):INDEX((係数_バス貨物_ガソリン,係数_バス貨物_CNG,係数_バス貨物_軽油,係数_バス貨物_メタノール,係数_バス貨物_LPG),MATCH(AY856+1,【参考】排出係数!$AI$4:$AI$671,1)-1,5,BE856),4,FALSE)),IF(AND(BE856=3,LEFT(BF856,1)="1"),0.48,VLOOKUP(AU856,INDEX((係数_乗用_ガソリン,係数_乗用_CNG,係数_乗用_軽油,係数_乗用_メタノール,係数_乗用_LPG),1,1,BE856):INDEX((係数_乗用_ガソリン,係数_乗用_CNG,係数_乗用_軽油,係数_乗用_メタノール,係数_乗用_LPG),125,5,BE856),4,FALSE)))))</f>
        <v/>
      </c>
      <c r="AL856" s="461" t="str">
        <f t="shared" si="463"/>
        <v/>
      </c>
      <c r="AM856" s="460" t="str">
        <f>IF(AU856="","",IF(OR(AZ856=8,AZ856=9),0,IF(OR(AW856=3,AW856=4,AW856=5,AW856=6),IF(LEFT(BH856,1)="1",INDEX(係数_PM低減,MATCH(AY856,【参考】排出係数!$AI$801:$AI$804,1),MATCH(BI856,【参考】排出係数!$AL$798:$AO$798,1)),VLOOKUP(AU856,INDEX((係数_バス貨物_ガソリン,係数_バス貨物_CNG,係数_バス貨物_軽油,係数_バス貨物_メタノール,係数_バス貨物_LPG),MATCH(AY856,【参考】排出係数!$AI$4:$AI$671,1),1,BE856):INDEX((係数_バス貨物_ガソリン,係数_バス貨物_CNG,係数_バス貨物_軽油,係数_バス貨物_メタノール,係数_バス貨物_LPG),MATCH(AY856+1,【参考】排出係数!$AI$4:$AI$671,1)-1,5,BE856),5,FALSE)),IF(AND(BE856=3,LEFT(BF856,1)="1"),0.055,VLOOKUP(AU856,INDEX((係数_乗用_ガソリン,係数_乗用_CNG,係数_乗用_軽油,係数_乗用_メタノール,係数_乗用_LPG),1,1,BE856):INDEX((係数_乗用_ガソリン,係数_乗用_CNG,係数_乗用_軽油,係数_乗用_メタノール,係数_乗用_LPG),125,5,BE856),5,FALSE)))))</f>
        <v/>
      </c>
      <c r="AN856" s="461" t="str">
        <f t="shared" si="464"/>
        <v/>
      </c>
      <c r="AO856" s="462" t="str">
        <f t="shared" si="465"/>
        <v/>
      </c>
      <c r="AP856" s="463" t="str">
        <f t="shared" si="466"/>
        <v/>
      </c>
      <c r="AQ856" s="464"/>
      <c r="AR856" s="619"/>
      <c r="AS856" s="465" t="str">
        <f t="shared" si="474"/>
        <v/>
      </c>
      <c r="AT856" s="465" t="str">
        <f t="shared" si="475"/>
        <v/>
      </c>
      <c r="AU856" s="466" t="str">
        <f t="shared" si="476"/>
        <v/>
      </c>
      <c r="AV856" s="467" t="str">
        <f t="shared" si="477"/>
        <v/>
      </c>
      <c r="AW856" s="467" t="str">
        <f t="shared" si="478"/>
        <v/>
      </c>
      <c r="AX856" s="467" t="str">
        <f t="shared" si="479"/>
        <v/>
      </c>
      <c r="AY856" s="467" t="str">
        <f t="shared" si="480"/>
        <v/>
      </c>
      <c r="AZ856" s="467" t="str">
        <f t="shared" si="481"/>
        <v/>
      </c>
      <c r="BA856" s="468" t="str">
        <f>IF(AS856="","",IF(OR(AU856="",AU856="-"),"－",IF(OR(AZ856=8,AZ856=9),"",IF(OR(AW856=3,AW856=4,AW856=5,AW856=6),VLOOKUP(AU856,INDEX((係数_バス貨物_ガソリン,係数_バス貨物_CNG,係数_バス貨物_軽油,係数_バス貨物_メタノール,係数_バス貨物_LPG),MATCH(AY856,【参考】排出係数!$AI$4:$AI$671,1),1,BE856):INDEX((係数_バス貨物_ガソリン,係数_バス貨物_CNG,係数_バス貨物_軽油,係数_バス貨物_メタノール,係数_バス貨物_LPG),MATCH(AY856+1,【参考】排出係数!$AI$4:$AI$671,1)-1,5,BE856),2,FALSE),IF(OR(AW856=1,AW856=2),VLOOKUP(AU856,INDEX((係数_乗用_ガソリン,係数_乗用_CNG,係数_乗用_軽油,係数_乗用_メタノール,係数_乗用_LPG),1,1,BE856):INDEX((係数_乗用_ガソリン,係数_乗用_CNG,係数_乗用_軽油,係数_乗用_メタノール,係数_乗用_LPG),125,5,BE856),2,FALSE))))))</f>
        <v/>
      </c>
      <c r="BB856" s="468" t="str">
        <f>IF(T856="","",IF(OR(AU856="",AU856="-"),"－",IF(OR(AZ856=8,AZ856=9),"",IF(OR(AW856=3,AW856=4,AW856=5,AW856=6),VLOOKUP(AU856,INDEX((係数_バス貨物_ガソリン,係数_バス貨物_CNG,係数_バス貨物_軽油,係数_バス貨物_メタノール,係数_バス貨物_LPG),MATCH(AY856,【参考】排出係数!$AI$4:$AI$671,1),1,BE856):INDEX((係数_バス貨物_ガソリン,係数_バス貨物_CNG,係数_バス貨物_軽油,係数_バス貨物_メタノール,係数_バス貨物_LPG),MATCH(AY856+1,【参考】排出係数!$AI$4:$AI$671,1)-1,5,BE856),3,FALSE),IF(OR(AW856=1,AW856=2),VLOOKUP(AU856,INDEX((係数_乗用_ガソリン,係数_乗用_CNG,係数_乗用_軽油,係数_乗用_メタノール,係数_乗用_LPG),1,1,BE856):INDEX((係数_乗用_ガソリン,係数_乗用_CNG,係数_乗用_軽油,係数_乗用_メタノール,係数_乗用_LPG),125,5,BE856),3,FALSE))))))</f>
        <v/>
      </c>
      <c r="BC856" s="467" t="str">
        <f t="shared" si="482"/>
        <v/>
      </c>
      <c r="BD856" s="567" t="str">
        <f t="shared" si="483"/>
        <v/>
      </c>
      <c r="BE856" s="467" t="str">
        <f t="shared" si="484"/>
        <v/>
      </c>
      <c r="BF856" s="469" t="str">
        <f t="shared" ca="1" si="485"/>
        <v/>
      </c>
      <c r="BG856" s="469" t="str">
        <f t="shared" ca="1" si="486"/>
        <v/>
      </c>
      <c r="BH856" s="467" t="str">
        <f t="shared" si="487"/>
        <v/>
      </c>
      <c r="BI856" s="467" t="str">
        <f t="shared" ca="1" si="488"/>
        <v/>
      </c>
      <c r="BJ856" s="469" t="str">
        <f t="shared" si="489"/>
        <v/>
      </c>
      <c r="BK856" s="470" t="str">
        <f t="shared" si="473"/>
        <v/>
      </c>
      <c r="BL856" s="775" t="str">
        <f t="shared" si="490"/>
        <v/>
      </c>
      <c r="BM856" s="775" t="str">
        <f t="shared" si="491"/>
        <v/>
      </c>
    </row>
    <row r="857" spans="1:65">
      <c r="A857" s="473">
        <v>801</v>
      </c>
      <c r="B857" s="132"/>
      <c r="C857" s="332"/>
      <c r="D857" s="333"/>
      <c r="E857" s="333"/>
      <c r="F857" s="334"/>
      <c r="G857" s="337"/>
      <c r="H857" s="131"/>
      <c r="I857" s="337"/>
      <c r="J857" s="131"/>
      <c r="K857" s="458" t="str">
        <f t="shared" si="454"/>
        <v/>
      </c>
      <c r="L857" s="458">
        <f t="shared" si="455"/>
        <v>0</v>
      </c>
      <c r="M857" s="458">
        <f t="shared" si="456"/>
        <v>0</v>
      </c>
      <c r="N857" s="459" t="str">
        <f t="shared" si="467"/>
        <v/>
      </c>
      <c r="O857" s="459" t="str">
        <f t="shared" si="468"/>
        <v/>
      </c>
      <c r="P857" s="459" t="str">
        <f t="shared" si="469"/>
        <v/>
      </c>
      <c r="Q857" s="459" t="str">
        <f t="shared" si="470"/>
        <v/>
      </c>
      <c r="R857" s="459" t="str">
        <f t="shared" si="471"/>
        <v/>
      </c>
      <c r="S857" s="459" t="str">
        <f t="shared" si="472"/>
        <v/>
      </c>
      <c r="T857" s="566" t="str">
        <f t="shared" si="457"/>
        <v/>
      </c>
      <c r="U857" s="702"/>
      <c r="V857" s="132"/>
      <c r="W857" s="133"/>
      <c r="X857" s="134"/>
      <c r="Y857" s="135"/>
      <c r="Z857" s="137"/>
      <c r="AA857" s="136"/>
      <c r="AB857" s="566" t="str">
        <f t="shared" si="458"/>
        <v/>
      </c>
      <c r="AC857" s="568" t="str">
        <f t="shared" si="459"/>
        <v/>
      </c>
      <c r="AD857" s="137"/>
      <c r="AE857" s="137"/>
      <c r="AF857" s="138"/>
      <c r="AG857" s="138"/>
      <c r="AH857" s="592" t="str">
        <f t="shared" si="460"/>
        <v/>
      </c>
      <c r="AI857" s="592" t="str">
        <f t="shared" si="461"/>
        <v/>
      </c>
      <c r="AJ857" s="592" t="str">
        <f t="shared" si="462"/>
        <v/>
      </c>
      <c r="AK857" s="460" t="str">
        <f>IF(AU857="","",IF(OR(AZ857=8,AZ857=9),0,IF(OR(AW857=3,AW857=4,AW857=5,AW857=6),IF(LEFT(BF857,1)="1",INDEX(係数_NOX・PM低減,MATCH(AY857,【参考】排出係数!$AI$801:$AI$804,1),1),VLOOKUP(AU857,INDEX((係数_バス貨物_ガソリン,係数_バス貨物_CNG,係数_バス貨物_軽油,係数_バス貨物_メタノール,係数_バス貨物_LPG),MATCH(AY857,【参考】排出係数!$AI$4:$AI$671,1),1,BE857):INDEX((係数_バス貨物_ガソリン,係数_バス貨物_CNG,係数_バス貨物_軽油,係数_バス貨物_メタノール,係数_バス貨物_LPG),MATCH(AY857+1,【参考】排出係数!$AI$4:$AI$671,1)-1,5,BE857),4,FALSE)),IF(AND(BE857=3,LEFT(BF857,1)="1"),0.48,VLOOKUP(AU857,INDEX((係数_乗用_ガソリン,係数_乗用_CNG,係数_乗用_軽油,係数_乗用_メタノール,係数_乗用_LPG),1,1,BE857):INDEX((係数_乗用_ガソリン,係数_乗用_CNG,係数_乗用_軽油,係数_乗用_メタノール,係数_乗用_LPG),125,5,BE857),4,FALSE)))))</f>
        <v/>
      </c>
      <c r="AL857" s="461" t="str">
        <f t="shared" si="463"/>
        <v/>
      </c>
      <c r="AM857" s="460" t="str">
        <f>IF(AU857="","",IF(OR(AZ857=8,AZ857=9),0,IF(OR(AW857=3,AW857=4,AW857=5,AW857=6),IF(LEFT(BH857,1)="1",INDEX(係数_PM低減,MATCH(AY857,【参考】排出係数!$AI$801:$AI$804,1),MATCH(BI857,【参考】排出係数!$AL$798:$AO$798,1)),VLOOKUP(AU857,INDEX((係数_バス貨物_ガソリン,係数_バス貨物_CNG,係数_バス貨物_軽油,係数_バス貨物_メタノール,係数_バス貨物_LPG),MATCH(AY857,【参考】排出係数!$AI$4:$AI$671,1),1,BE857):INDEX((係数_バス貨物_ガソリン,係数_バス貨物_CNG,係数_バス貨物_軽油,係数_バス貨物_メタノール,係数_バス貨物_LPG),MATCH(AY857+1,【参考】排出係数!$AI$4:$AI$671,1)-1,5,BE857),5,FALSE)),IF(AND(BE857=3,LEFT(BF857,1)="1"),0.055,VLOOKUP(AU857,INDEX((係数_乗用_ガソリン,係数_乗用_CNG,係数_乗用_軽油,係数_乗用_メタノール,係数_乗用_LPG),1,1,BE857):INDEX((係数_乗用_ガソリン,係数_乗用_CNG,係数_乗用_軽油,係数_乗用_メタノール,係数_乗用_LPG),125,5,BE857),5,FALSE)))))</f>
        <v/>
      </c>
      <c r="AN857" s="461" t="str">
        <f t="shared" si="464"/>
        <v/>
      </c>
      <c r="AO857" s="462" t="str">
        <f t="shared" si="465"/>
        <v/>
      </c>
      <c r="AP857" s="463" t="str">
        <f t="shared" si="466"/>
        <v/>
      </c>
      <c r="AQ857" s="464"/>
      <c r="AR857" s="619"/>
      <c r="AS857" s="465" t="str">
        <f t="shared" si="474"/>
        <v/>
      </c>
      <c r="AT857" s="465" t="str">
        <f t="shared" si="475"/>
        <v/>
      </c>
      <c r="AU857" s="466" t="str">
        <f t="shared" si="476"/>
        <v/>
      </c>
      <c r="AV857" s="467" t="str">
        <f t="shared" si="477"/>
        <v/>
      </c>
      <c r="AW857" s="467" t="str">
        <f t="shared" si="478"/>
        <v/>
      </c>
      <c r="AX857" s="467" t="str">
        <f t="shared" si="479"/>
        <v/>
      </c>
      <c r="AY857" s="467" t="str">
        <f t="shared" si="480"/>
        <v/>
      </c>
      <c r="AZ857" s="467" t="str">
        <f t="shared" si="481"/>
        <v/>
      </c>
      <c r="BA857" s="468" t="str">
        <f>IF(AS857="","",IF(OR(AU857="",AU857="-"),"－",IF(OR(AZ857=8,AZ857=9),"",IF(OR(AW857=3,AW857=4,AW857=5,AW857=6),VLOOKUP(AU857,INDEX((係数_バス貨物_ガソリン,係数_バス貨物_CNG,係数_バス貨物_軽油,係数_バス貨物_メタノール,係数_バス貨物_LPG),MATCH(AY857,【参考】排出係数!$AI$4:$AI$671,1),1,BE857):INDEX((係数_バス貨物_ガソリン,係数_バス貨物_CNG,係数_バス貨物_軽油,係数_バス貨物_メタノール,係数_バス貨物_LPG),MATCH(AY857+1,【参考】排出係数!$AI$4:$AI$671,1)-1,5,BE857),2,FALSE),IF(OR(AW857=1,AW857=2),VLOOKUP(AU857,INDEX((係数_乗用_ガソリン,係数_乗用_CNG,係数_乗用_軽油,係数_乗用_メタノール,係数_乗用_LPG),1,1,BE857):INDEX((係数_乗用_ガソリン,係数_乗用_CNG,係数_乗用_軽油,係数_乗用_メタノール,係数_乗用_LPG),125,5,BE857),2,FALSE))))))</f>
        <v/>
      </c>
      <c r="BB857" s="468" t="str">
        <f>IF(T857="","",IF(OR(AU857="",AU857="-"),"－",IF(OR(AZ857=8,AZ857=9),"",IF(OR(AW857=3,AW857=4,AW857=5,AW857=6),VLOOKUP(AU857,INDEX((係数_バス貨物_ガソリン,係数_バス貨物_CNG,係数_バス貨物_軽油,係数_バス貨物_メタノール,係数_バス貨物_LPG),MATCH(AY857,【参考】排出係数!$AI$4:$AI$671,1),1,BE857):INDEX((係数_バス貨物_ガソリン,係数_バス貨物_CNG,係数_バス貨物_軽油,係数_バス貨物_メタノール,係数_バス貨物_LPG),MATCH(AY857+1,【参考】排出係数!$AI$4:$AI$671,1)-1,5,BE857),3,FALSE),IF(OR(AW857=1,AW857=2),VLOOKUP(AU857,INDEX((係数_乗用_ガソリン,係数_乗用_CNG,係数_乗用_軽油,係数_乗用_メタノール,係数_乗用_LPG),1,1,BE857):INDEX((係数_乗用_ガソリン,係数_乗用_CNG,係数_乗用_軽油,係数_乗用_メタノール,係数_乗用_LPG),125,5,BE857),3,FALSE))))))</f>
        <v/>
      </c>
      <c r="BC857" s="467" t="str">
        <f t="shared" si="482"/>
        <v/>
      </c>
      <c r="BD857" s="567" t="str">
        <f t="shared" si="483"/>
        <v/>
      </c>
      <c r="BE857" s="467" t="str">
        <f t="shared" si="484"/>
        <v/>
      </c>
      <c r="BF857" s="469" t="str">
        <f t="shared" ca="1" si="485"/>
        <v/>
      </c>
      <c r="BG857" s="469" t="str">
        <f t="shared" ca="1" si="486"/>
        <v/>
      </c>
      <c r="BH857" s="467" t="str">
        <f t="shared" si="487"/>
        <v/>
      </c>
      <c r="BI857" s="467" t="str">
        <f t="shared" ca="1" si="488"/>
        <v/>
      </c>
      <c r="BJ857" s="469" t="str">
        <f t="shared" si="489"/>
        <v/>
      </c>
      <c r="BK857" s="470" t="str">
        <f t="shared" si="473"/>
        <v/>
      </c>
      <c r="BL857" s="775" t="str">
        <f t="shared" si="490"/>
        <v/>
      </c>
      <c r="BM857" s="775" t="str">
        <f t="shared" si="491"/>
        <v/>
      </c>
    </row>
    <row r="858" spans="1:65">
      <c r="A858" s="473">
        <v>802</v>
      </c>
      <c r="B858" s="132"/>
      <c r="C858" s="332"/>
      <c r="D858" s="333"/>
      <c r="E858" s="333"/>
      <c r="F858" s="334"/>
      <c r="G858" s="337"/>
      <c r="H858" s="131"/>
      <c r="I858" s="337"/>
      <c r="J858" s="131"/>
      <c r="K858" s="458" t="str">
        <f t="shared" si="454"/>
        <v/>
      </c>
      <c r="L858" s="458">
        <f t="shared" si="455"/>
        <v>0</v>
      </c>
      <c r="M858" s="458">
        <f t="shared" si="456"/>
        <v>0</v>
      </c>
      <c r="N858" s="459" t="str">
        <f t="shared" si="467"/>
        <v/>
      </c>
      <c r="O858" s="459" t="str">
        <f t="shared" si="468"/>
        <v/>
      </c>
      <c r="P858" s="459" t="str">
        <f t="shared" si="469"/>
        <v/>
      </c>
      <c r="Q858" s="459" t="str">
        <f t="shared" si="470"/>
        <v/>
      </c>
      <c r="R858" s="459" t="str">
        <f t="shared" si="471"/>
        <v/>
      </c>
      <c r="S858" s="459" t="str">
        <f t="shared" si="472"/>
        <v/>
      </c>
      <c r="T858" s="566" t="str">
        <f t="shared" si="457"/>
        <v/>
      </c>
      <c r="U858" s="702"/>
      <c r="V858" s="132"/>
      <c r="W858" s="133"/>
      <c r="X858" s="134"/>
      <c r="Y858" s="135"/>
      <c r="Z858" s="137"/>
      <c r="AA858" s="136"/>
      <c r="AB858" s="566" t="str">
        <f t="shared" si="458"/>
        <v/>
      </c>
      <c r="AC858" s="568" t="str">
        <f t="shared" si="459"/>
        <v/>
      </c>
      <c r="AD858" s="137"/>
      <c r="AE858" s="137"/>
      <c r="AF858" s="138"/>
      <c r="AG858" s="138"/>
      <c r="AH858" s="592" t="str">
        <f t="shared" si="460"/>
        <v/>
      </c>
      <c r="AI858" s="592" t="str">
        <f t="shared" si="461"/>
        <v/>
      </c>
      <c r="AJ858" s="592" t="str">
        <f t="shared" si="462"/>
        <v/>
      </c>
      <c r="AK858" s="460" t="str">
        <f>IF(AU858="","",IF(OR(AZ858=8,AZ858=9),0,IF(OR(AW858=3,AW858=4,AW858=5,AW858=6),IF(LEFT(BF858,1)="1",INDEX(係数_NOX・PM低減,MATCH(AY858,【参考】排出係数!$AI$801:$AI$804,1),1),VLOOKUP(AU858,INDEX((係数_バス貨物_ガソリン,係数_バス貨物_CNG,係数_バス貨物_軽油,係数_バス貨物_メタノール,係数_バス貨物_LPG),MATCH(AY858,【参考】排出係数!$AI$4:$AI$671,1),1,BE858):INDEX((係数_バス貨物_ガソリン,係数_バス貨物_CNG,係数_バス貨物_軽油,係数_バス貨物_メタノール,係数_バス貨物_LPG),MATCH(AY858+1,【参考】排出係数!$AI$4:$AI$671,1)-1,5,BE858),4,FALSE)),IF(AND(BE858=3,LEFT(BF858,1)="1"),0.48,VLOOKUP(AU858,INDEX((係数_乗用_ガソリン,係数_乗用_CNG,係数_乗用_軽油,係数_乗用_メタノール,係数_乗用_LPG),1,1,BE858):INDEX((係数_乗用_ガソリン,係数_乗用_CNG,係数_乗用_軽油,係数_乗用_メタノール,係数_乗用_LPG),125,5,BE858),4,FALSE)))))</f>
        <v/>
      </c>
      <c r="AL858" s="461" t="str">
        <f t="shared" si="463"/>
        <v/>
      </c>
      <c r="AM858" s="460" t="str">
        <f>IF(AU858="","",IF(OR(AZ858=8,AZ858=9),0,IF(OR(AW858=3,AW858=4,AW858=5,AW858=6),IF(LEFT(BH858,1)="1",INDEX(係数_PM低減,MATCH(AY858,【参考】排出係数!$AI$801:$AI$804,1),MATCH(BI858,【参考】排出係数!$AL$798:$AO$798,1)),VLOOKUP(AU858,INDEX((係数_バス貨物_ガソリン,係数_バス貨物_CNG,係数_バス貨物_軽油,係数_バス貨物_メタノール,係数_バス貨物_LPG),MATCH(AY858,【参考】排出係数!$AI$4:$AI$671,1),1,BE858):INDEX((係数_バス貨物_ガソリン,係数_バス貨物_CNG,係数_バス貨物_軽油,係数_バス貨物_メタノール,係数_バス貨物_LPG),MATCH(AY858+1,【参考】排出係数!$AI$4:$AI$671,1)-1,5,BE858),5,FALSE)),IF(AND(BE858=3,LEFT(BF858,1)="1"),0.055,VLOOKUP(AU858,INDEX((係数_乗用_ガソリン,係数_乗用_CNG,係数_乗用_軽油,係数_乗用_メタノール,係数_乗用_LPG),1,1,BE858):INDEX((係数_乗用_ガソリン,係数_乗用_CNG,係数_乗用_軽油,係数_乗用_メタノール,係数_乗用_LPG),125,5,BE858),5,FALSE)))))</f>
        <v/>
      </c>
      <c r="AN858" s="461" t="str">
        <f t="shared" si="464"/>
        <v/>
      </c>
      <c r="AO858" s="462" t="str">
        <f t="shared" si="465"/>
        <v/>
      </c>
      <c r="AP858" s="463" t="str">
        <f t="shared" si="466"/>
        <v/>
      </c>
      <c r="AQ858" s="464"/>
      <c r="AR858" s="619"/>
      <c r="AS858" s="465" t="str">
        <f t="shared" si="474"/>
        <v/>
      </c>
      <c r="AT858" s="465" t="str">
        <f t="shared" si="475"/>
        <v/>
      </c>
      <c r="AU858" s="466" t="str">
        <f t="shared" si="476"/>
        <v/>
      </c>
      <c r="AV858" s="467" t="str">
        <f t="shared" si="477"/>
        <v/>
      </c>
      <c r="AW858" s="467" t="str">
        <f t="shared" si="478"/>
        <v/>
      </c>
      <c r="AX858" s="467" t="str">
        <f t="shared" si="479"/>
        <v/>
      </c>
      <c r="AY858" s="467" t="str">
        <f t="shared" si="480"/>
        <v/>
      </c>
      <c r="AZ858" s="467" t="str">
        <f t="shared" si="481"/>
        <v/>
      </c>
      <c r="BA858" s="468" t="str">
        <f>IF(AS858="","",IF(OR(AU858="",AU858="-"),"－",IF(OR(AZ858=8,AZ858=9),"",IF(OR(AW858=3,AW858=4,AW858=5,AW858=6),VLOOKUP(AU858,INDEX((係数_バス貨物_ガソリン,係数_バス貨物_CNG,係数_バス貨物_軽油,係数_バス貨物_メタノール,係数_バス貨物_LPG),MATCH(AY858,【参考】排出係数!$AI$4:$AI$671,1),1,BE858):INDEX((係数_バス貨物_ガソリン,係数_バス貨物_CNG,係数_バス貨物_軽油,係数_バス貨物_メタノール,係数_バス貨物_LPG),MATCH(AY858+1,【参考】排出係数!$AI$4:$AI$671,1)-1,5,BE858),2,FALSE),IF(OR(AW858=1,AW858=2),VLOOKUP(AU858,INDEX((係数_乗用_ガソリン,係数_乗用_CNG,係数_乗用_軽油,係数_乗用_メタノール,係数_乗用_LPG),1,1,BE858):INDEX((係数_乗用_ガソリン,係数_乗用_CNG,係数_乗用_軽油,係数_乗用_メタノール,係数_乗用_LPG),125,5,BE858),2,FALSE))))))</f>
        <v/>
      </c>
      <c r="BB858" s="468" t="str">
        <f>IF(T858="","",IF(OR(AU858="",AU858="-"),"－",IF(OR(AZ858=8,AZ858=9),"",IF(OR(AW858=3,AW858=4,AW858=5,AW858=6),VLOOKUP(AU858,INDEX((係数_バス貨物_ガソリン,係数_バス貨物_CNG,係数_バス貨物_軽油,係数_バス貨物_メタノール,係数_バス貨物_LPG),MATCH(AY858,【参考】排出係数!$AI$4:$AI$671,1),1,BE858):INDEX((係数_バス貨物_ガソリン,係数_バス貨物_CNG,係数_バス貨物_軽油,係数_バス貨物_メタノール,係数_バス貨物_LPG),MATCH(AY858+1,【参考】排出係数!$AI$4:$AI$671,1)-1,5,BE858),3,FALSE),IF(OR(AW858=1,AW858=2),VLOOKUP(AU858,INDEX((係数_乗用_ガソリン,係数_乗用_CNG,係数_乗用_軽油,係数_乗用_メタノール,係数_乗用_LPG),1,1,BE858):INDEX((係数_乗用_ガソリン,係数_乗用_CNG,係数_乗用_軽油,係数_乗用_メタノール,係数_乗用_LPG),125,5,BE858),3,FALSE))))))</f>
        <v/>
      </c>
      <c r="BC858" s="467" t="str">
        <f t="shared" si="482"/>
        <v/>
      </c>
      <c r="BD858" s="567" t="str">
        <f t="shared" si="483"/>
        <v/>
      </c>
      <c r="BE858" s="467" t="str">
        <f t="shared" si="484"/>
        <v/>
      </c>
      <c r="BF858" s="469" t="str">
        <f t="shared" ca="1" si="485"/>
        <v/>
      </c>
      <c r="BG858" s="469" t="str">
        <f t="shared" ca="1" si="486"/>
        <v/>
      </c>
      <c r="BH858" s="467" t="str">
        <f t="shared" si="487"/>
        <v/>
      </c>
      <c r="BI858" s="467" t="str">
        <f t="shared" ca="1" si="488"/>
        <v/>
      </c>
      <c r="BJ858" s="469" t="str">
        <f t="shared" si="489"/>
        <v/>
      </c>
      <c r="BK858" s="470" t="str">
        <f t="shared" si="473"/>
        <v/>
      </c>
      <c r="BL858" s="775" t="str">
        <f t="shared" si="490"/>
        <v/>
      </c>
      <c r="BM858" s="775" t="str">
        <f t="shared" si="491"/>
        <v/>
      </c>
    </row>
    <row r="859" spans="1:65">
      <c r="A859" s="473">
        <v>803</v>
      </c>
      <c r="B859" s="132"/>
      <c r="C859" s="332"/>
      <c r="D859" s="333"/>
      <c r="E859" s="333"/>
      <c r="F859" s="334"/>
      <c r="G859" s="337"/>
      <c r="H859" s="131"/>
      <c r="I859" s="337"/>
      <c r="J859" s="131"/>
      <c r="K859" s="458" t="str">
        <f t="shared" si="454"/>
        <v/>
      </c>
      <c r="L859" s="458">
        <f t="shared" si="455"/>
        <v>0</v>
      </c>
      <c r="M859" s="458">
        <f t="shared" si="456"/>
        <v>0</v>
      </c>
      <c r="N859" s="459" t="str">
        <f t="shared" si="467"/>
        <v/>
      </c>
      <c r="O859" s="459" t="str">
        <f t="shared" si="468"/>
        <v/>
      </c>
      <c r="P859" s="459" t="str">
        <f t="shared" si="469"/>
        <v/>
      </c>
      <c r="Q859" s="459" t="str">
        <f t="shared" si="470"/>
        <v/>
      </c>
      <c r="R859" s="459" t="str">
        <f t="shared" si="471"/>
        <v/>
      </c>
      <c r="S859" s="459" t="str">
        <f t="shared" si="472"/>
        <v/>
      </c>
      <c r="T859" s="566" t="str">
        <f t="shared" si="457"/>
        <v/>
      </c>
      <c r="U859" s="702"/>
      <c r="V859" s="132"/>
      <c r="W859" s="133"/>
      <c r="X859" s="134"/>
      <c r="Y859" s="135"/>
      <c r="Z859" s="137"/>
      <c r="AA859" s="136"/>
      <c r="AB859" s="566" t="str">
        <f t="shared" si="458"/>
        <v/>
      </c>
      <c r="AC859" s="568" t="str">
        <f t="shared" si="459"/>
        <v/>
      </c>
      <c r="AD859" s="137"/>
      <c r="AE859" s="137"/>
      <c r="AF859" s="138"/>
      <c r="AG859" s="138"/>
      <c r="AH859" s="592" t="str">
        <f t="shared" si="460"/>
        <v/>
      </c>
      <c r="AI859" s="592" t="str">
        <f t="shared" si="461"/>
        <v/>
      </c>
      <c r="AJ859" s="592" t="str">
        <f t="shared" si="462"/>
        <v/>
      </c>
      <c r="AK859" s="460" t="str">
        <f>IF(AU859="","",IF(OR(AZ859=8,AZ859=9),0,IF(OR(AW859=3,AW859=4,AW859=5,AW859=6),IF(LEFT(BF859,1)="1",INDEX(係数_NOX・PM低減,MATCH(AY859,【参考】排出係数!$AI$801:$AI$804,1),1),VLOOKUP(AU859,INDEX((係数_バス貨物_ガソリン,係数_バス貨物_CNG,係数_バス貨物_軽油,係数_バス貨物_メタノール,係数_バス貨物_LPG),MATCH(AY859,【参考】排出係数!$AI$4:$AI$671,1),1,BE859):INDEX((係数_バス貨物_ガソリン,係数_バス貨物_CNG,係数_バス貨物_軽油,係数_バス貨物_メタノール,係数_バス貨物_LPG),MATCH(AY859+1,【参考】排出係数!$AI$4:$AI$671,1)-1,5,BE859),4,FALSE)),IF(AND(BE859=3,LEFT(BF859,1)="1"),0.48,VLOOKUP(AU859,INDEX((係数_乗用_ガソリン,係数_乗用_CNG,係数_乗用_軽油,係数_乗用_メタノール,係数_乗用_LPG),1,1,BE859):INDEX((係数_乗用_ガソリン,係数_乗用_CNG,係数_乗用_軽油,係数_乗用_メタノール,係数_乗用_LPG),125,5,BE859),4,FALSE)))))</f>
        <v/>
      </c>
      <c r="AL859" s="461" t="str">
        <f t="shared" si="463"/>
        <v/>
      </c>
      <c r="AM859" s="460" t="str">
        <f>IF(AU859="","",IF(OR(AZ859=8,AZ859=9),0,IF(OR(AW859=3,AW859=4,AW859=5,AW859=6),IF(LEFT(BH859,1)="1",INDEX(係数_PM低減,MATCH(AY859,【参考】排出係数!$AI$801:$AI$804,1),MATCH(BI859,【参考】排出係数!$AL$798:$AO$798,1)),VLOOKUP(AU859,INDEX((係数_バス貨物_ガソリン,係数_バス貨物_CNG,係数_バス貨物_軽油,係数_バス貨物_メタノール,係数_バス貨物_LPG),MATCH(AY859,【参考】排出係数!$AI$4:$AI$671,1),1,BE859):INDEX((係数_バス貨物_ガソリン,係数_バス貨物_CNG,係数_バス貨物_軽油,係数_バス貨物_メタノール,係数_バス貨物_LPG),MATCH(AY859+1,【参考】排出係数!$AI$4:$AI$671,1)-1,5,BE859),5,FALSE)),IF(AND(BE859=3,LEFT(BF859,1)="1"),0.055,VLOOKUP(AU859,INDEX((係数_乗用_ガソリン,係数_乗用_CNG,係数_乗用_軽油,係数_乗用_メタノール,係数_乗用_LPG),1,1,BE859):INDEX((係数_乗用_ガソリン,係数_乗用_CNG,係数_乗用_軽油,係数_乗用_メタノール,係数_乗用_LPG),125,5,BE859),5,FALSE)))))</f>
        <v/>
      </c>
      <c r="AN859" s="461" t="str">
        <f t="shared" si="464"/>
        <v/>
      </c>
      <c r="AO859" s="462" t="str">
        <f t="shared" si="465"/>
        <v/>
      </c>
      <c r="AP859" s="463" t="str">
        <f t="shared" si="466"/>
        <v/>
      </c>
      <c r="AQ859" s="464"/>
      <c r="AR859" s="619"/>
      <c r="AS859" s="465" t="str">
        <f t="shared" si="474"/>
        <v/>
      </c>
      <c r="AT859" s="465" t="str">
        <f t="shared" si="475"/>
        <v/>
      </c>
      <c r="AU859" s="466" t="str">
        <f t="shared" si="476"/>
        <v/>
      </c>
      <c r="AV859" s="467" t="str">
        <f t="shared" si="477"/>
        <v/>
      </c>
      <c r="AW859" s="467" t="str">
        <f t="shared" si="478"/>
        <v/>
      </c>
      <c r="AX859" s="467" t="str">
        <f t="shared" si="479"/>
        <v/>
      </c>
      <c r="AY859" s="467" t="str">
        <f t="shared" si="480"/>
        <v/>
      </c>
      <c r="AZ859" s="467" t="str">
        <f t="shared" si="481"/>
        <v/>
      </c>
      <c r="BA859" s="468" t="str">
        <f>IF(AS859="","",IF(OR(AU859="",AU859="-"),"－",IF(OR(AZ859=8,AZ859=9),"",IF(OR(AW859=3,AW859=4,AW859=5,AW859=6),VLOOKUP(AU859,INDEX((係数_バス貨物_ガソリン,係数_バス貨物_CNG,係数_バス貨物_軽油,係数_バス貨物_メタノール,係数_バス貨物_LPG),MATCH(AY859,【参考】排出係数!$AI$4:$AI$671,1),1,BE859):INDEX((係数_バス貨物_ガソリン,係数_バス貨物_CNG,係数_バス貨物_軽油,係数_バス貨物_メタノール,係数_バス貨物_LPG),MATCH(AY859+1,【参考】排出係数!$AI$4:$AI$671,1)-1,5,BE859),2,FALSE),IF(OR(AW859=1,AW859=2),VLOOKUP(AU859,INDEX((係数_乗用_ガソリン,係数_乗用_CNG,係数_乗用_軽油,係数_乗用_メタノール,係数_乗用_LPG),1,1,BE859):INDEX((係数_乗用_ガソリン,係数_乗用_CNG,係数_乗用_軽油,係数_乗用_メタノール,係数_乗用_LPG),125,5,BE859),2,FALSE))))))</f>
        <v/>
      </c>
      <c r="BB859" s="468" t="str">
        <f>IF(T859="","",IF(OR(AU859="",AU859="-"),"－",IF(OR(AZ859=8,AZ859=9),"",IF(OR(AW859=3,AW859=4,AW859=5,AW859=6),VLOOKUP(AU859,INDEX((係数_バス貨物_ガソリン,係数_バス貨物_CNG,係数_バス貨物_軽油,係数_バス貨物_メタノール,係数_バス貨物_LPG),MATCH(AY859,【参考】排出係数!$AI$4:$AI$671,1),1,BE859):INDEX((係数_バス貨物_ガソリン,係数_バス貨物_CNG,係数_バス貨物_軽油,係数_バス貨物_メタノール,係数_バス貨物_LPG),MATCH(AY859+1,【参考】排出係数!$AI$4:$AI$671,1)-1,5,BE859),3,FALSE),IF(OR(AW859=1,AW859=2),VLOOKUP(AU859,INDEX((係数_乗用_ガソリン,係数_乗用_CNG,係数_乗用_軽油,係数_乗用_メタノール,係数_乗用_LPG),1,1,BE859):INDEX((係数_乗用_ガソリン,係数_乗用_CNG,係数_乗用_軽油,係数_乗用_メタノール,係数_乗用_LPG),125,5,BE859),3,FALSE))))))</f>
        <v/>
      </c>
      <c r="BC859" s="467" t="str">
        <f t="shared" si="482"/>
        <v/>
      </c>
      <c r="BD859" s="567" t="str">
        <f t="shared" si="483"/>
        <v/>
      </c>
      <c r="BE859" s="467" t="str">
        <f t="shared" si="484"/>
        <v/>
      </c>
      <c r="BF859" s="469" t="str">
        <f t="shared" ca="1" si="485"/>
        <v/>
      </c>
      <c r="BG859" s="469" t="str">
        <f t="shared" ca="1" si="486"/>
        <v/>
      </c>
      <c r="BH859" s="467" t="str">
        <f t="shared" si="487"/>
        <v/>
      </c>
      <c r="BI859" s="467" t="str">
        <f t="shared" ca="1" si="488"/>
        <v/>
      </c>
      <c r="BJ859" s="469" t="str">
        <f t="shared" si="489"/>
        <v/>
      </c>
      <c r="BK859" s="470" t="str">
        <f t="shared" si="473"/>
        <v/>
      </c>
      <c r="BL859" s="775" t="str">
        <f t="shared" si="490"/>
        <v/>
      </c>
      <c r="BM859" s="775" t="str">
        <f t="shared" si="491"/>
        <v/>
      </c>
    </row>
    <row r="860" spans="1:65">
      <c r="A860" s="473">
        <v>804</v>
      </c>
      <c r="B860" s="132"/>
      <c r="C860" s="332"/>
      <c r="D860" s="333"/>
      <c r="E860" s="333"/>
      <c r="F860" s="334"/>
      <c r="G860" s="337"/>
      <c r="H860" s="131"/>
      <c r="I860" s="337"/>
      <c r="J860" s="131"/>
      <c r="K860" s="458" t="str">
        <f t="shared" si="454"/>
        <v/>
      </c>
      <c r="L860" s="458">
        <f t="shared" si="455"/>
        <v>0</v>
      </c>
      <c r="M860" s="458">
        <f t="shared" si="456"/>
        <v>0</v>
      </c>
      <c r="N860" s="459" t="str">
        <f t="shared" si="467"/>
        <v/>
      </c>
      <c r="O860" s="459" t="str">
        <f t="shared" si="468"/>
        <v/>
      </c>
      <c r="P860" s="459" t="str">
        <f t="shared" si="469"/>
        <v/>
      </c>
      <c r="Q860" s="459" t="str">
        <f t="shared" si="470"/>
        <v/>
      </c>
      <c r="R860" s="459" t="str">
        <f t="shared" si="471"/>
        <v/>
      </c>
      <c r="S860" s="459" t="str">
        <f t="shared" si="472"/>
        <v/>
      </c>
      <c r="T860" s="566" t="str">
        <f t="shared" si="457"/>
        <v/>
      </c>
      <c r="U860" s="702"/>
      <c r="V860" s="132"/>
      <c r="W860" s="133"/>
      <c r="X860" s="134"/>
      <c r="Y860" s="135"/>
      <c r="Z860" s="137"/>
      <c r="AA860" s="136"/>
      <c r="AB860" s="566" t="str">
        <f t="shared" si="458"/>
        <v/>
      </c>
      <c r="AC860" s="568" t="str">
        <f t="shared" si="459"/>
        <v/>
      </c>
      <c r="AD860" s="137"/>
      <c r="AE860" s="137"/>
      <c r="AF860" s="138"/>
      <c r="AG860" s="138"/>
      <c r="AH860" s="592" t="str">
        <f t="shared" si="460"/>
        <v/>
      </c>
      <c r="AI860" s="592" t="str">
        <f t="shared" si="461"/>
        <v/>
      </c>
      <c r="AJ860" s="592" t="str">
        <f t="shared" si="462"/>
        <v/>
      </c>
      <c r="AK860" s="460" t="str">
        <f>IF(AU860="","",IF(OR(AZ860=8,AZ860=9),0,IF(OR(AW860=3,AW860=4,AW860=5,AW860=6),IF(LEFT(BF860,1)="1",INDEX(係数_NOX・PM低減,MATCH(AY860,【参考】排出係数!$AI$801:$AI$804,1),1),VLOOKUP(AU860,INDEX((係数_バス貨物_ガソリン,係数_バス貨物_CNG,係数_バス貨物_軽油,係数_バス貨物_メタノール,係数_バス貨物_LPG),MATCH(AY860,【参考】排出係数!$AI$4:$AI$671,1),1,BE860):INDEX((係数_バス貨物_ガソリン,係数_バス貨物_CNG,係数_バス貨物_軽油,係数_バス貨物_メタノール,係数_バス貨物_LPG),MATCH(AY860+1,【参考】排出係数!$AI$4:$AI$671,1)-1,5,BE860),4,FALSE)),IF(AND(BE860=3,LEFT(BF860,1)="1"),0.48,VLOOKUP(AU860,INDEX((係数_乗用_ガソリン,係数_乗用_CNG,係数_乗用_軽油,係数_乗用_メタノール,係数_乗用_LPG),1,1,BE860):INDEX((係数_乗用_ガソリン,係数_乗用_CNG,係数_乗用_軽油,係数_乗用_メタノール,係数_乗用_LPG),125,5,BE860),4,FALSE)))))</f>
        <v/>
      </c>
      <c r="AL860" s="461" t="str">
        <f t="shared" si="463"/>
        <v/>
      </c>
      <c r="AM860" s="460" t="str">
        <f>IF(AU860="","",IF(OR(AZ860=8,AZ860=9),0,IF(OR(AW860=3,AW860=4,AW860=5,AW860=6),IF(LEFT(BH860,1)="1",INDEX(係数_PM低減,MATCH(AY860,【参考】排出係数!$AI$801:$AI$804,1),MATCH(BI860,【参考】排出係数!$AL$798:$AO$798,1)),VLOOKUP(AU860,INDEX((係数_バス貨物_ガソリン,係数_バス貨物_CNG,係数_バス貨物_軽油,係数_バス貨物_メタノール,係数_バス貨物_LPG),MATCH(AY860,【参考】排出係数!$AI$4:$AI$671,1),1,BE860):INDEX((係数_バス貨物_ガソリン,係数_バス貨物_CNG,係数_バス貨物_軽油,係数_バス貨物_メタノール,係数_バス貨物_LPG),MATCH(AY860+1,【参考】排出係数!$AI$4:$AI$671,1)-1,5,BE860),5,FALSE)),IF(AND(BE860=3,LEFT(BF860,1)="1"),0.055,VLOOKUP(AU860,INDEX((係数_乗用_ガソリン,係数_乗用_CNG,係数_乗用_軽油,係数_乗用_メタノール,係数_乗用_LPG),1,1,BE860):INDEX((係数_乗用_ガソリン,係数_乗用_CNG,係数_乗用_軽油,係数_乗用_メタノール,係数_乗用_LPG),125,5,BE860),5,FALSE)))))</f>
        <v/>
      </c>
      <c r="AN860" s="461" t="str">
        <f t="shared" si="464"/>
        <v/>
      </c>
      <c r="AO860" s="462" t="str">
        <f t="shared" si="465"/>
        <v/>
      </c>
      <c r="AP860" s="463" t="str">
        <f t="shared" si="466"/>
        <v/>
      </c>
      <c r="AQ860" s="464"/>
      <c r="AR860" s="619"/>
      <c r="AS860" s="465" t="str">
        <f t="shared" si="474"/>
        <v/>
      </c>
      <c r="AT860" s="465" t="str">
        <f t="shared" si="475"/>
        <v/>
      </c>
      <c r="AU860" s="466" t="str">
        <f t="shared" si="476"/>
        <v/>
      </c>
      <c r="AV860" s="467" t="str">
        <f t="shared" si="477"/>
        <v/>
      </c>
      <c r="AW860" s="467" t="str">
        <f t="shared" si="478"/>
        <v/>
      </c>
      <c r="AX860" s="467" t="str">
        <f t="shared" si="479"/>
        <v/>
      </c>
      <c r="AY860" s="467" t="str">
        <f t="shared" si="480"/>
        <v/>
      </c>
      <c r="AZ860" s="467" t="str">
        <f t="shared" si="481"/>
        <v/>
      </c>
      <c r="BA860" s="468" t="str">
        <f>IF(AS860="","",IF(OR(AU860="",AU860="-"),"－",IF(OR(AZ860=8,AZ860=9),"",IF(OR(AW860=3,AW860=4,AW860=5,AW860=6),VLOOKUP(AU860,INDEX((係数_バス貨物_ガソリン,係数_バス貨物_CNG,係数_バス貨物_軽油,係数_バス貨物_メタノール,係数_バス貨物_LPG),MATCH(AY860,【参考】排出係数!$AI$4:$AI$671,1),1,BE860):INDEX((係数_バス貨物_ガソリン,係数_バス貨物_CNG,係数_バス貨物_軽油,係数_バス貨物_メタノール,係数_バス貨物_LPG),MATCH(AY860+1,【参考】排出係数!$AI$4:$AI$671,1)-1,5,BE860),2,FALSE),IF(OR(AW860=1,AW860=2),VLOOKUP(AU860,INDEX((係数_乗用_ガソリン,係数_乗用_CNG,係数_乗用_軽油,係数_乗用_メタノール,係数_乗用_LPG),1,1,BE860):INDEX((係数_乗用_ガソリン,係数_乗用_CNG,係数_乗用_軽油,係数_乗用_メタノール,係数_乗用_LPG),125,5,BE860),2,FALSE))))))</f>
        <v/>
      </c>
      <c r="BB860" s="468" t="str">
        <f>IF(T860="","",IF(OR(AU860="",AU860="-"),"－",IF(OR(AZ860=8,AZ860=9),"",IF(OR(AW860=3,AW860=4,AW860=5,AW860=6),VLOOKUP(AU860,INDEX((係数_バス貨物_ガソリン,係数_バス貨物_CNG,係数_バス貨物_軽油,係数_バス貨物_メタノール,係数_バス貨物_LPG),MATCH(AY860,【参考】排出係数!$AI$4:$AI$671,1),1,BE860):INDEX((係数_バス貨物_ガソリン,係数_バス貨物_CNG,係数_バス貨物_軽油,係数_バス貨物_メタノール,係数_バス貨物_LPG),MATCH(AY860+1,【参考】排出係数!$AI$4:$AI$671,1)-1,5,BE860),3,FALSE),IF(OR(AW860=1,AW860=2),VLOOKUP(AU860,INDEX((係数_乗用_ガソリン,係数_乗用_CNG,係数_乗用_軽油,係数_乗用_メタノール,係数_乗用_LPG),1,1,BE860):INDEX((係数_乗用_ガソリン,係数_乗用_CNG,係数_乗用_軽油,係数_乗用_メタノール,係数_乗用_LPG),125,5,BE860),3,FALSE))))))</f>
        <v/>
      </c>
      <c r="BC860" s="467" t="str">
        <f t="shared" si="482"/>
        <v/>
      </c>
      <c r="BD860" s="567" t="str">
        <f t="shared" si="483"/>
        <v/>
      </c>
      <c r="BE860" s="467" t="str">
        <f t="shared" si="484"/>
        <v/>
      </c>
      <c r="BF860" s="469" t="str">
        <f t="shared" ca="1" si="485"/>
        <v/>
      </c>
      <c r="BG860" s="469" t="str">
        <f t="shared" ca="1" si="486"/>
        <v/>
      </c>
      <c r="BH860" s="467" t="str">
        <f t="shared" si="487"/>
        <v/>
      </c>
      <c r="BI860" s="467" t="str">
        <f t="shared" ca="1" si="488"/>
        <v/>
      </c>
      <c r="BJ860" s="469" t="str">
        <f t="shared" si="489"/>
        <v/>
      </c>
      <c r="BK860" s="470" t="str">
        <f t="shared" si="473"/>
        <v/>
      </c>
      <c r="BL860" s="775" t="str">
        <f t="shared" si="490"/>
        <v/>
      </c>
      <c r="BM860" s="775" t="str">
        <f t="shared" si="491"/>
        <v/>
      </c>
    </row>
    <row r="861" spans="1:65">
      <c r="A861" s="473">
        <v>805</v>
      </c>
      <c r="B861" s="132"/>
      <c r="C861" s="332"/>
      <c r="D861" s="333"/>
      <c r="E861" s="333"/>
      <c r="F861" s="334"/>
      <c r="G861" s="337"/>
      <c r="H861" s="131"/>
      <c r="I861" s="337"/>
      <c r="J861" s="131"/>
      <c r="K861" s="458" t="str">
        <f t="shared" si="454"/>
        <v/>
      </c>
      <c r="L861" s="458">
        <f t="shared" si="455"/>
        <v>0</v>
      </c>
      <c r="M861" s="458">
        <f t="shared" si="456"/>
        <v>0</v>
      </c>
      <c r="N861" s="459" t="str">
        <f t="shared" si="467"/>
        <v/>
      </c>
      <c r="O861" s="459" t="str">
        <f t="shared" si="468"/>
        <v/>
      </c>
      <c r="P861" s="459" t="str">
        <f t="shared" si="469"/>
        <v/>
      </c>
      <c r="Q861" s="459" t="str">
        <f t="shared" si="470"/>
        <v/>
      </c>
      <c r="R861" s="459" t="str">
        <f t="shared" si="471"/>
        <v/>
      </c>
      <c r="S861" s="459" t="str">
        <f t="shared" si="472"/>
        <v/>
      </c>
      <c r="T861" s="566" t="str">
        <f t="shared" si="457"/>
        <v/>
      </c>
      <c r="U861" s="702"/>
      <c r="V861" s="132"/>
      <c r="W861" s="133"/>
      <c r="X861" s="134"/>
      <c r="Y861" s="135"/>
      <c r="Z861" s="137"/>
      <c r="AA861" s="136"/>
      <c r="AB861" s="566" t="str">
        <f t="shared" si="458"/>
        <v/>
      </c>
      <c r="AC861" s="568" t="str">
        <f t="shared" si="459"/>
        <v/>
      </c>
      <c r="AD861" s="137"/>
      <c r="AE861" s="137"/>
      <c r="AF861" s="138"/>
      <c r="AG861" s="138"/>
      <c r="AH861" s="592" t="str">
        <f t="shared" si="460"/>
        <v/>
      </c>
      <c r="AI861" s="592" t="str">
        <f t="shared" si="461"/>
        <v/>
      </c>
      <c r="AJ861" s="592" t="str">
        <f t="shared" si="462"/>
        <v/>
      </c>
      <c r="AK861" s="460" t="str">
        <f>IF(AU861="","",IF(OR(AZ861=8,AZ861=9),0,IF(OR(AW861=3,AW861=4,AW861=5,AW861=6),IF(LEFT(BF861,1)="1",INDEX(係数_NOX・PM低減,MATCH(AY861,【参考】排出係数!$AI$801:$AI$804,1),1),VLOOKUP(AU861,INDEX((係数_バス貨物_ガソリン,係数_バス貨物_CNG,係数_バス貨物_軽油,係数_バス貨物_メタノール,係数_バス貨物_LPG),MATCH(AY861,【参考】排出係数!$AI$4:$AI$671,1),1,BE861):INDEX((係数_バス貨物_ガソリン,係数_バス貨物_CNG,係数_バス貨物_軽油,係数_バス貨物_メタノール,係数_バス貨物_LPG),MATCH(AY861+1,【参考】排出係数!$AI$4:$AI$671,1)-1,5,BE861),4,FALSE)),IF(AND(BE861=3,LEFT(BF861,1)="1"),0.48,VLOOKUP(AU861,INDEX((係数_乗用_ガソリン,係数_乗用_CNG,係数_乗用_軽油,係数_乗用_メタノール,係数_乗用_LPG),1,1,BE861):INDEX((係数_乗用_ガソリン,係数_乗用_CNG,係数_乗用_軽油,係数_乗用_メタノール,係数_乗用_LPG),125,5,BE861),4,FALSE)))))</f>
        <v/>
      </c>
      <c r="AL861" s="461" t="str">
        <f t="shared" si="463"/>
        <v/>
      </c>
      <c r="AM861" s="460" t="str">
        <f>IF(AU861="","",IF(OR(AZ861=8,AZ861=9),0,IF(OR(AW861=3,AW861=4,AW861=5,AW861=6),IF(LEFT(BH861,1)="1",INDEX(係数_PM低減,MATCH(AY861,【参考】排出係数!$AI$801:$AI$804,1),MATCH(BI861,【参考】排出係数!$AL$798:$AO$798,1)),VLOOKUP(AU861,INDEX((係数_バス貨物_ガソリン,係数_バス貨物_CNG,係数_バス貨物_軽油,係数_バス貨物_メタノール,係数_バス貨物_LPG),MATCH(AY861,【参考】排出係数!$AI$4:$AI$671,1),1,BE861):INDEX((係数_バス貨物_ガソリン,係数_バス貨物_CNG,係数_バス貨物_軽油,係数_バス貨物_メタノール,係数_バス貨物_LPG),MATCH(AY861+1,【参考】排出係数!$AI$4:$AI$671,1)-1,5,BE861),5,FALSE)),IF(AND(BE861=3,LEFT(BF861,1)="1"),0.055,VLOOKUP(AU861,INDEX((係数_乗用_ガソリン,係数_乗用_CNG,係数_乗用_軽油,係数_乗用_メタノール,係数_乗用_LPG),1,1,BE861):INDEX((係数_乗用_ガソリン,係数_乗用_CNG,係数_乗用_軽油,係数_乗用_メタノール,係数_乗用_LPG),125,5,BE861),5,FALSE)))))</f>
        <v/>
      </c>
      <c r="AN861" s="461" t="str">
        <f t="shared" si="464"/>
        <v/>
      </c>
      <c r="AO861" s="462" t="str">
        <f t="shared" si="465"/>
        <v/>
      </c>
      <c r="AP861" s="463" t="str">
        <f t="shared" si="466"/>
        <v/>
      </c>
      <c r="AQ861" s="464"/>
      <c r="AR861" s="619"/>
      <c r="AS861" s="465" t="str">
        <f t="shared" si="474"/>
        <v/>
      </c>
      <c r="AT861" s="465" t="str">
        <f t="shared" si="475"/>
        <v/>
      </c>
      <c r="AU861" s="466" t="str">
        <f t="shared" si="476"/>
        <v/>
      </c>
      <c r="AV861" s="467" t="str">
        <f t="shared" si="477"/>
        <v/>
      </c>
      <c r="AW861" s="467" t="str">
        <f t="shared" si="478"/>
        <v/>
      </c>
      <c r="AX861" s="467" t="str">
        <f t="shared" si="479"/>
        <v/>
      </c>
      <c r="AY861" s="467" t="str">
        <f t="shared" si="480"/>
        <v/>
      </c>
      <c r="AZ861" s="467" t="str">
        <f t="shared" si="481"/>
        <v/>
      </c>
      <c r="BA861" s="468" t="str">
        <f>IF(AS861="","",IF(OR(AU861="",AU861="-"),"－",IF(OR(AZ861=8,AZ861=9),"",IF(OR(AW861=3,AW861=4,AW861=5,AW861=6),VLOOKUP(AU861,INDEX((係数_バス貨物_ガソリン,係数_バス貨物_CNG,係数_バス貨物_軽油,係数_バス貨物_メタノール,係数_バス貨物_LPG),MATCH(AY861,【参考】排出係数!$AI$4:$AI$671,1),1,BE861):INDEX((係数_バス貨物_ガソリン,係数_バス貨物_CNG,係数_バス貨物_軽油,係数_バス貨物_メタノール,係数_バス貨物_LPG),MATCH(AY861+1,【参考】排出係数!$AI$4:$AI$671,1)-1,5,BE861),2,FALSE),IF(OR(AW861=1,AW861=2),VLOOKUP(AU861,INDEX((係数_乗用_ガソリン,係数_乗用_CNG,係数_乗用_軽油,係数_乗用_メタノール,係数_乗用_LPG),1,1,BE861):INDEX((係数_乗用_ガソリン,係数_乗用_CNG,係数_乗用_軽油,係数_乗用_メタノール,係数_乗用_LPG),125,5,BE861),2,FALSE))))))</f>
        <v/>
      </c>
      <c r="BB861" s="468" t="str">
        <f>IF(T861="","",IF(OR(AU861="",AU861="-"),"－",IF(OR(AZ861=8,AZ861=9),"",IF(OR(AW861=3,AW861=4,AW861=5,AW861=6),VLOOKUP(AU861,INDEX((係数_バス貨物_ガソリン,係数_バス貨物_CNG,係数_バス貨物_軽油,係数_バス貨物_メタノール,係数_バス貨物_LPG),MATCH(AY861,【参考】排出係数!$AI$4:$AI$671,1),1,BE861):INDEX((係数_バス貨物_ガソリン,係数_バス貨物_CNG,係数_バス貨物_軽油,係数_バス貨物_メタノール,係数_バス貨物_LPG),MATCH(AY861+1,【参考】排出係数!$AI$4:$AI$671,1)-1,5,BE861),3,FALSE),IF(OR(AW861=1,AW861=2),VLOOKUP(AU861,INDEX((係数_乗用_ガソリン,係数_乗用_CNG,係数_乗用_軽油,係数_乗用_メタノール,係数_乗用_LPG),1,1,BE861):INDEX((係数_乗用_ガソリン,係数_乗用_CNG,係数_乗用_軽油,係数_乗用_メタノール,係数_乗用_LPG),125,5,BE861),3,FALSE))))))</f>
        <v/>
      </c>
      <c r="BC861" s="467" t="str">
        <f t="shared" si="482"/>
        <v/>
      </c>
      <c r="BD861" s="567" t="str">
        <f t="shared" si="483"/>
        <v/>
      </c>
      <c r="BE861" s="467" t="str">
        <f t="shared" si="484"/>
        <v/>
      </c>
      <c r="BF861" s="469" t="str">
        <f t="shared" ca="1" si="485"/>
        <v/>
      </c>
      <c r="BG861" s="469" t="str">
        <f t="shared" ca="1" si="486"/>
        <v/>
      </c>
      <c r="BH861" s="467" t="str">
        <f t="shared" si="487"/>
        <v/>
      </c>
      <c r="BI861" s="467" t="str">
        <f t="shared" ca="1" si="488"/>
        <v/>
      </c>
      <c r="BJ861" s="469" t="str">
        <f t="shared" si="489"/>
        <v/>
      </c>
      <c r="BK861" s="470" t="str">
        <f t="shared" si="473"/>
        <v/>
      </c>
      <c r="BL861" s="775" t="str">
        <f t="shared" si="490"/>
        <v/>
      </c>
      <c r="BM861" s="775" t="str">
        <f t="shared" si="491"/>
        <v/>
      </c>
    </row>
    <row r="862" spans="1:65">
      <c r="A862" s="473">
        <v>806</v>
      </c>
      <c r="B862" s="132"/>
      <c r="C862" s="332"/>
      <c r="D862" s="333"/>
      <c r="E862" s="333"/>
      <c r="F862" s="334"/>
      <c r="G862" s="337"/>
      <c r="H862" s="131"/>
      <c r="I862" s="337"/>
      <c r="J862" s="131"/>
      <c r="K862" s="458" t="str">
        <f t="shared" si="454"/>
        <v/>
      </c>
      <c r="L862" s="458">
        <f t="shared" si="455"/>
        <v>0</v>
      </c>
      <c r="M862" s="458">
        <f t="shared" si="456"/>
        <v>0</v>
      </c>
      <c r="N862" s="459" t="str">
        <f t="shared" si="467"/>
        <v/>
      </c>
      <c r="O862" s="459" t="str">
        <f t="shared" si="468"/>
        <v/>
      </c>
      <c r="P862" s="459" t="str">
        <f t="shared" si="469"/>
        <v/>
      </c>
      <c r="Q862" s="459" t="str">
        <f t="shared" si="470"/>
        <v/>
      </c>
      <c r="R862" s="459" t="str">
        <f t="shared" si="471"/>
        <v/>
      </c>
      <c r="S862" s="459" t="str">
        <f t="shared" si="472"/>
        <v/>
      </c>
      <c r="T862" s="566" t="str">
        <f t="shared" si="457"/>
        <v/>
      </c>
      <c r="U862" s="702"/>
      <c r="V862" s="132"/>
      <c r="W862" s="133"/>
      <c r="X862" s="134"/>
      <c r="Y862" s="135"/>
      <c r="Z862" s="137"/>
      <c r="AA862" s="136"/>
      <c r="AB862" s="566" t="str">
        <f t="shared" si="458"/>
        <v/>
      </c>
      <c r="AC862" s="568" t="str">
        <f t="shared" si="459"/>
        <v/>
      </c>
      <c r="AD862" s="137"/>
      <c r="AE862" s="137"/>
      <c r="AF862" s="138"/>
      <c r="AG862" s="138"/>
      <c r="AH862" s="592" t="str">
        <f t="shared" si="460"/>
        <v/>
      </c>
      <c r="AI862" s="592" t="str">
        <f t="shared" si="461"/>
        <v/>
      </c>
      <c r="AJ862" s="592" t="str">
        <f t="shared" si="462"/>
        <v/>
      </c>
      <c r="AK862" s="460" t="str">
        <f>IF(AU862="","",IF(OR(AZ862=8,AZ862=9),0,IF(OR(AW862=3,AW862=4,AW862=5,AW862=6),IF(LEFT(BF862,1)="1",INDEX(係数_NOX・PM低減,MATCH(AY862,【参考】排出係数!$AI$801:$AI$804,1),1),VLOOKUP(AU862,INDEX((係数_バス貨物_ガソリン,係数_バス貨物_CNG,係数_バス貨物_軽油,係数_バス貨物_メタノール,係数_バス貨物_LPG),MATCH(AY862,【参考】排出係数!$AI$4:$AI$671,1),1,BE862):INDEX((係数_バス貨物_ガソリン,係数_バス貨物_CNG,係数_バス貨物_軽油,係数_バス貨物_メタノール,係数_バス貨物_LPG),MATCH(AY862+1,【参考】排出係数!$AI$4:$AI$671,1)-1,5,BE862),4,FALSE)),IF(AND(BE862=3,LEFT(BF862,1)="1"),0.48,VLOOKUP(AU862,INDEX((係数_乗用_ガソリン,係数_乗用_CNG,係数_乗用_軽油,係数_乗用_メタノール,係数_乗用_LPG),1,1,BE862):INDEX((係数_乗用_ガソリン,係数_乗用_CNG,係数_乗用_軽油,係数_乗用_メタノール,係数_乗用_LPG),125,5,BE862),4,FALSE)))))</f>
        <v/>
      </c>
      <c r="AL862" s="461" t="str">
        <f t="shared" si="463"/>
        <v/>
      </c>
      <c r="AM862" s="460" t="str">
        <f>IF(AU862="","",IF(OR(AZ862=8,AZ862=9),0,IF(OR(AW862=3,AW862=4,AW862=5,AW862=6),IF(LEFT(BH862,1)="1",INDEX(係数_PM低減,MATCH(AY862,【参考】排出係数!$AI$801:$AI$804,1),MATCH(BI862,【参考】排出係数!$AL$798:$AO$798,1)),VLOOKUP(AU862,INDEX((係数_バス貨物_ガソリン,係数_バス貨物_CNG,係数_バス貨物_軽油,係数_バス貨物_メタノール,係数_バス貨物_LPG),MATCH(AY862,【参考】排出係数!$AI$4:$AI$671,1),1,BE862):INDEX((係数_バス貨物_ガソリン,係数_バス貨物_CNG,係数_バス貨物_軽油,係数_バス貨物_メタノール,係数_バス貨物_LPG),MATCH(AY862+1,【参考】排出係数!$AI$4:$AI$671,1)-1,5,BE862),5,FALSE)),IF(AND(BE862=3,LEFT(BF862,1)="1"),0.055,VLOOKUP(AU862,INDEX((係数_乗用_ガソリン,係数_乗用_CNG,係数_乗用_軽油,係数_乗用_メタノール,係数_乗用_LPG),1,1,BE862):INDEX((係数_乗用_ガソリン,係数_乗用_CNG,係数_乗用_軽油,係数_乗用_メタノール,係数_乗用_LPG),125,5,BE862),5,FALSE)))))</f>
        <v/>
      </c>
      <c r="AN862" s="461" t="str">
        <f t="shared" si="464"/>
        <v/>
      </c>
      <c r="AO862" s="462" t="str">
        <f t="shared" si="465"/>
        <v/>
      </c>
      <c r="AP862" s="463" t="str">
        <f t="shared" si="466"/>
        <v/>
      </c>
      <c r="AQ862" s="464"/>
      <c r="AR862" s="619"/>
      <c r="AS862" s="465" t="str">
        <f t="shared" si="474"/>
        <v/>
      </c>
      <c r="AT862" s="465" t="str">
        <f t="shared" si="475"/>
        <v/>
      </c>
      <c r="AU862" s="466" t="str">
        <f t="shared" si="476"/>
        <v/>
      </c>
      <c r="AV862" s="467" t="str">
        <f t="shared" si="477"/>
        <v/>
      </c>
      <c r="AW862" s="467" t="str">
        <f t="shared" si="478"/>
        <v/>
      </c>
      <c r="AX862" s="467" t="str">
        <f t="shared" si="479"/>
        <v/>
      </c>
      <c r="AY862" s="467" t="str">
        <f t="shared" si="480"/>
        <v/>
      </c>
      <c r="AZ862" s="467" t="str">
        <f t="shared" si="481"/>
        <v/>
      </c>
      <c r="BA862" s="468" t="str">
        <f>IF(AS862="","",IF(OR(AU862="",AU862="-"),"－",IF(OR(AZ862=8,AZ862=9),"",IF(OR(AW862=3,AW862=4,AW862=5,AW862=6),VLOOKUP(AU862,INDEX((係数_バス貨物_ガソリン,係数_バス貨物_CNG,係数_バス貨物_軽油,係数_バス貨物_メタノール,係数_バス貨物_LPG),MATCH(AY862,【参考】排出係数!$AI$4:$AI$671,1),1,BE862):INDEX((係数_バス貨物_ガソリン,係数_バス貨物_CNG,係数_バス貨物_軽油,係数_バス貨物_メタノール,係数_バス貨物_LPG),MATCH(AY862+1,【参考】排出係数!$AI$4:$AI$671,1)-1,5,BE862),2,FALSE),IF(OR(AW862=1,AW862=2),VLOOKUP(AU862,INDEX((係数_乗用_ガソリン,係数_乗用_CNG,係数_乗用_軽油,係数_乗用_メタノール,係数_乗用_LPG),1,1,BE862):INDEX((係数_乗用_ガソリン,係数_乗用_CNG,係数_乗用_軽油,係数_乗用_メタノール,係数_乗用_LPG),125,5,BE862),2,FALSE))))))</f>
        <v/>
      </c>
      <c r="BB862" s="468" t="str">
        <f>IF(T862="","",IF(OR(AU862="",AU862="-"),"－",IF(OR(AZ862=8,AZ862=9),"",IF(OR(AW862=3,AW862=4,AW862=5,AW862=6),VLOOKUP(AU862,INDEX((係数_バス貨物_ガソリン,係数_バス貨物_CNG,係数_バス貨物_軽油,係数_バス貨物_メタノール,係数_バス貨物_LPG),MATCH(AY862,【参考】排出係数!$AI$4:$AI$671,1),1,BE862):INDEX((係数_バス貨物_ガソリン,係数_バス貨物_CNG,係数_バス貨物_軽油,係数_バス貨物_メタノール,係数_バス貨物_LPG),MATCH(AY862+1,【参考】排出係数!$AI$4:$AI$671,1)-1,5,BE862),3,FALSE),IF(OR(AW862=1,AW862=2),VLOOKUP(AU862,INDEX((係数_乗用_ガソリン,係数_乗用_CNG,係数_乗用_軽油,係数_乗用_メタノール,係数_乗用_LPG),1,1,BE862):INDEX((係数_乗用_ガソリン,係数_乗用_CNG,係数_乗用_軽油,係数_乗用_メタノール,係数_乗用_LPG),125,5,BE862),3,FALSE))))))</f>
        <v/>
      </c>
      <c r="BC862" s="467" t="str">
        <f t="shared" si="482"/>
        <v/>
      </c>
      <c r="BD862" s="567" t="str">
        <f t="shared" si="483"/>
        <v/>
      </c>
      <c r="BE862" s="467" t="str">
        <f t="shared" si="484"/>
        <v/>
      </c>
      <c r="BF862" s="469" t="str">
        <f t="shared" ca="1" si="485"/>
        <v/>
      </c>
      <c r="BG862" s="469" t="str">
        <f t="shared" ca="1" si="486"/>
        <v/>
      </c>
      <c r="BH862" s="467" t="str">
        <f t="shared" si="487"/>
        <v/>
      </c>
      <c r="BI862" s="467" t="str">
        <f t="shared" ca="1" si="488"/>
        <v/>
      </c>
      <c r="BJ862" s="469" t="str">
        <f t="shared" si="489"/>
        <v/>
      </c>
      <c r="BK862" s="470" t="str">
        <f t="shared" si="473"/>
        <v/>
      </c>
      <c r="BL862" s="775" t="str">
        <f t="shared" si="490"/>
        <v/>
      </c>
      <c r="BM862" s="775" t="str">
        <f t="shared" si="491"/>
        <v/>
      </c>
    </row>
    <row r="863" spans="1:65">
      <c r="A863" s="473">
        <v>807</v>
      </c>
      <c r="B863" s="132"/>
      <c r="C863" s="332"/>
      <c r="D863" s="333"/>
      <c r="E863" s="333"/>
      <c r="F863" s="334"/>
      <c r="G863" s="337"/>
      <c r="H863" s="131"/>
      <c r="I863" s="337"/>
      <c r="J863" s="131"/>
      <c r="K863" s="458" t="str">
        <f t="shared" si="454"/>
        <v/>
      </c>
      <c r="L863" s="458">
        <f t="shared" si="455"/>
        <v>0</v>
      </c>
      <c r="M863" s="458">
        <f t="shared" si="456"/>
        <v>0</v>
      </c>
      <c r="N863" s="459" t="str">
        <f t="shared" si="467"/>
        <v/>
      </c>
      <c r="O863" s="459" t="str">
        <f t="shared" si="468"/>
        <v/>
      </c>
      <c r="P863" s="459" t="str">
        <f t="shared" si="469"/>
        <v/>
      </c>
      <c r="Q863" s="459" t="str">
        <f t="shared" si="470"/>
        <v/>
      </c>
      <c r="R863" s="459" t="str">
        <f t="shared" si="471"/>
        <v/>
      </c>
      <c r="S863" s="459" t="str">
        <f t="shared" si="472"/>
        <v/>
      </c>
      <c r="T863" s="566" t="str">
        <f t="shared" si="457"/>
        <v/>
      </c>
      <c r="U863" s="702"/>
      <c r="V863" s="132"/>
      <c r="W863" s="133"/>
      <c r="X863" s="134"/>
      <c r="Y863" s="135"/>
      <c r="Z863" s="137"/>
      <c r="AA863" s="136"/>
      <c r="AB863" s="566" t="str">
        <f t="shared" si="458"/>
        <v/>
      </c>
      <c r="AC863" s="568" t="str">
        <f t="shared" si="459"/>
        <v/>
      </c>
      <c r="AD863" s="137"/>
      <c r="AE863" s="137"/>
      <c r="AF863" s="138"/>
      <c r="AG863" s="138"/>
      <c r="AH863" s="592" t="str">
        <f t="shared" si="460"/>
        <v/>
      </c>
      <c r="AI863" s="592" t="str">
        <f t="shared" si="461"/>
        <v/>
      </c>
      <c r="AJ863" s="592" t="str">
        <f t="shared" si="462"/>
        <v/>
      </c>
      <c r="AK863" s="460" t="str">
        <f>IF(AU863="","",IF(OR(AZ863=8,AZ863=9),0,IF(OR(AW863=3,AW863=4,AW863=5,AW863=6),IF(LEFT(BF863,1)="1",INDEX(係数_NOX・PM低減,MATCH(AY863,【参考】排出係数!$AI$801:$AI$804,1),1),VLOOKUP(AU863,INDEX((係数_バス貨物_ガソリン,係数_バス貨物_CNG,係数_バス貨物_軽油,係数_バス貨物_メタノール,係数_バス貨物_LPG),MATCH(AY863,【参考】排出係数!$AI$4:$AI$671,1),1,BE863):INDEX((係数_バス貨物_ガソリン,係数_バス貨物_CNG,係数_バス貨物_軽油,係数_バス貨物_メタノール,係数_バス貨物_LPG),MATCH(AY863+1,【参考】排出係数!$AI$4:$AI$671,1)-1,5,BE863),4,FALSE)),IF(AND(BE863=3,LEFT(BF863,1)="1"),0.48,VLOOKUP(AU863,INDEX((係数_乗用_ガソリン,係数_乗用_CNG,係数_乗用_軽油,係数_乗用_メタノール,係数_乗用_LPG),1,1,BE863):INDEX((係数_乗用_ガソリン,係数_乗用_CNG,係数_乗用_軽油,係数_乗用_メタノール,係数_乗用_LPG),125,5,BE863),4,FALSE)))))</f>
        <v/>
      </c>
      <c r="AL863" s="461" t="str">
        <f t="shared" si="463"/>
        <v/>
      </c>
      <c r="AM863" s="460" t="str">
        <f>IF(AU863="","",IF(OR(AZ863=8,AZ863=9),0,IF(OR(AW863=3,AW863=4,AW863=5,AW863=6),IF(LEFT(BH863,1)="1",INDEX(係数_PM低減,MATCH(AY863,【参考】排出係数!$AI$801:$AI$804,1),MATCH(BI863,【参考】排出係数!$AL$798:$AO$798,1)),VLOOKUP(AU863,INDEX((係数_バス貨物_ガソリン,係数_バス貨物_CNG,係数_バス貨物_軽油,係数_バス貨物_メタノール,係数_バス貨物_LPG),MATCH(AY863,【参考】排出係数!$AI$4:$AI$671,1),1,BE863):INDEX((係数_バス貨物_ガソリン,係数_バス貨物_CNG,係数_バス貨物_軽油,係数_バス貨物_メタノール,係数_バス貨物_LPG),MATCH(AY863+1,【参考】排出係数!$AI$4:$AI$671,1)-1,5,BE863),5,FALSE)),IF(AND(BE863=3,LEFT(BF863,1)="1"),0.055,VLOOKUP(AU863,INDEX((係数_乗用_ガソリン,係数_乗用_CNG,係数_乗用_軽油,係数_乗用_メタノール,係数_乗用_LPG),1,1,BE863):INDEX((係数_乗用_ガソリン,係数_乗用_CNG,係数_乗用_軽油,係数_乗用_メタノール,係数_乗用_LPG),125,5,BE863),5,FALSE)))))</f>
        <v/>
      </c>
      <c r="AN863" s="461" t="str">
        <f t="shared" si="464"/>
        <v/>
      </c>
      <c r="AO863" s="462" t="str">
        <f t="shared" si="465"/>
        <v/>
      </c>
      <c r="AP863" s="463" t="str">
        <f t="shared" si="466"/>
        <v/>
      </c>
      <c r="AQ863" s="464"/>
      <c r="AR863" s="619"/>
      <c r="AS863" s="465" t="str">
        <f t="shared" si="474"/>
        <v/>
      </c>
      <c r="AT863" s="465" t="str">
        <f t="shared" si="475"/>
        <v/>
      </c>
      <c r="AU863" s="466" t="str">
        <f t="shared" si="476"/>
        <v/>
      </c>
      <c r="AV863" s="467" t="str">
        <f t="shared" si="477"/>
        <v/>
      </c>
      <c r="AW863" s="467" t="str">
        <f t="shared" si="478"/>
        <v/>
      </c>
      <c r="AX863" s="467" t="str">
        <f t="shared" si="479"/>
        <v/>
      </c>
      <c r="AY863" s="467" t="str">
        <f t="shared" si="480"/>
        <v/>
      </c>
      <c r="AZ863" s="467" t="str">
        <f t="shared" si="481"/>
        <v/>
      </c>
      <c r="BA863" s="468" t="str">
        <f>IF(AS863="","",IF(OR(AU863="",AU863="-"),"－",IF(OR(AZ863=8,AZ863=9),"",IF(OR(AW863=3,AW863=4,AW863=5,AW863=6),VLOOKUP(AU863,INDEX((係数_バス貨物_ガソリン,係数_バス貨物_CNG,係数_バス貨物_軽油,係数_バス貨物_メタノール,係数_バス貨物_LPG),MATCH(AY863,【参考】排出係数!$AI$4:$AI$671,1),1,BE863):INDEX((係数_バス貨物_ガソリン,係数_バス貨物_CNG,係数_バス貨物_軽油,係数_バス貨物_メタノール,係数_バス貨物_LPG),MATCH(AY863+1,【参考】排出係数!$AI$4:$AI$671,1)-1,5,BE863),2,FALSE),IF(OR(AW863=1,AW863=2),VLOOKUP(AU863,INDEX((係数_乗用_ガソリン,係数_乗用_CNG,係数_乗用_軽油,係数_乗用_メタノール,係数_乗用_LPG),1,1,BE863):INDEX((係数_乗用_ガソリン,係数_乗用_CNG,係数_乗用_軽油,係数_乗用_メタノール,係数_乗用_LPG),125,5,BE863),2,FALSE))))))</f>
        <v/>
      </c>
      <c r="BB863" s="468" t="str">
        <f>IF(T863="","",IF(OR(AU863="",AU863="-"),"－",IF(OR(AZ863=8,AZ863=9),"",IF(OR(AW863=3,AW863=4,AW863=5,AW863=6),VLOOKUP(AU863,INDEX((係数_バス貨物_ガソリン,係数_バス貨物_CNG,係数_バス貨物_軽油,係数_バス貨物_メタノール,係数_バス貨物_LPG),MATCH(AY863,【参考】排出係数!$AI$4:$AI$671,1),1,BE863):INDEX((係数_バス貨物_ガソリン,係数_バス貨物_CNG,係数_バス貨物_軽油,係数_バス貨物_メタノール,係数_バス貨物_LPG),MATCH(AY863+1,【参考】排出係数!$AI$4:$AI$671,1)-1,5,BE863),3,FALSE),IF(OR(AW863=1,AW863=2),VLOOKUP(AU863,INDEX((係数_乗用_ガソリン,係数_乗用_CNG,係数_乗用_軽油,係数_乗用_メタノール,係数_乗用_LPG),1,1,BE863):INDEX((係数_乗用_ガソリン,係数_乗用_CNG,係数_乗用_軽油,係数_乗用_メタノール,係数_乗用_LPG),125,5,BE863),3,FALSE))))))</f>
        <v/>
      </c>
      <c r="BC863" s="467" t="str">
        <f t="shared" si="482"/>
        <v/>
      </c>
      <c r="BD863" s="567" t="str">
        <f t="shared" si="483"/>
        <v/>
      </c>
      <c r="BE863" s="467" t="str">
        <f t="shared" si="484"/>
        <v/>
      </c>
      <c r="BF863" s="469" t="str">
        <f t="shared" ca="1" si="485"/>
        <v/>
      </c>
      <c r="BG863" s="469" t="str">
        <f t="shared" ca="1" si="486"/>
        <v/>
      </c>
      <c r="BH863" s="467" t="str">
        <f t="shared" si="487"/>
        <v/>
      </c>
      <c r="BI863" s="467" t="str">
        <f t="shared" ca="1" si="488"/>
        <v/>
      </c>
      <c r="BJ863" s="469" t="str">
        <f t="shared" si="489"/>
        <v/>
      </c>
      <c r="BK863" s="470" t="str">
        <f t="shared" si="473"/>
        <v/>
      </c>
      <c r="BL863" s="775" t="str">
        <f t="shared" si="490"/>
        <v/>
      </c>
      <c r="BM863" s="775" t="str">
        <f t="shared" si="491"/>
        <v/>
      </c>
    </row>
    <row r="864" spans="1:65">
      <c r="A864" s="473">
        <v>808</v>
      </c>
      <c r="B864" s="132"/>
      <c r="C864" s="332"/>
      <c r="D864" s="333"/>
      <c r="E864" s="333"/>
      <c r="F864" s="334"/>
      <c r="G864" s="337"/>
      <c r="H864" s="131"/>
      <c r="I864" s="337"/>
      <c r="J864" s="131"/>
      <c r="K864" s="458" t="str">
        <f t="shared" si="454"/>
        <v/>
      </c>
      <c r="L864" s="458">
        <f t="shared" si="455"/>
        <v>0</v>
      </c>
      <c r="M864" s="458">
        <f t="shared" si="456"/>
        <v>0</v>
      </c>
      <c r="N864" s="459" t="str">
        <f t="shared" si="467"/>
        <v/>
      </c>
      <c r="O864" s="459" t="str">
        <f t="shared" si="468"/>
        <v/>
      </c>
      <c r="P864" s="459" t="str">
        <f t="shared" si="469"/>
        <v/>
      </c>
      <c r="Q864" s="459" t="str">
        <f t="shared" si="470"/>
        <v/>
      </c>
      <c r="R864" s="459" t="str">
        <f t="shared" si="471"/>
        <v/>
      </c>
      <c r="S864" s="459" t="str">
        <f t="shared" si="472"/>
        <v/>
      </c>
      <c r="T864" s="566" t="str">
        <f t="shared" si="457"/>
        <v/>
      </c>
      <c r="U864" s="702"/>
      <c r="V864" s="132"/>
      <c r="W864" s="133"/>
      <c r="X864" s="134"/>
      <c r="Y864" s="135"/>
      <c r="Z864" s="137"/>
      <c r="AA864" s="136"/>
      <c r="AB864" s="566" t="str">
        <f t="shared" si="458"/>
        <v/>
      </c>
      <c r="AC864" s="568" t="str">
        <f t="shared" si="459"/>
        <v/>
      </c>
      <c r="AD864" s="137"/>
      <c r="AE864" s="137"/>
      <c r="AF864" s="138"/>
      <c r="AG864" s="138"/>
      <c r="AH864" s="592" t="str">
        <f t="shared" si="460"/>
        <v/>
      </c>
      <c r="AI864" s="592" t="str">
        <f t="shared" si="461"/>
        <v/>
      </c>
      <c r="AJ864" s="592" t="str">
        <f t="shared" si="462"/>
        <v/>
      </c>
      <c r="AK864" s="460" t="str">
        <f>IF(AU864="","",IF(OR(AZ864=8,AZ864=9),0,IF(OR(AW864=3,AW864=4,AW864=5,AW864=6),IF(LEFT(BF864,1)="1",INDEX(係数_NOX・PM低減,MATCH(AY864,【参考】排出係数!$AI$801:$AI$804,1),1),VLOOKUP(AU864,INDEX((係数_バス貨物_ガソリン,係数_バス貨物_CNG,係数_バス貨物_軽油,係数_バス貨物_メタノール,係数_バス貨物_LPG),MATCH(AY864,【参考】排出係数!$AI$4:$AI$671,1),1,BE864):INDEX((係数_バス貨物_ガソリン,係数_バス貨物_CNG,係数_バス貨物_軽油,係数_バス貨物_メタノール,係数_バス貨物_LPG),MATCH(AY864+1,【参考】排出係数!$AI$4:$AI$671,1)-1,5,BE864),4,FALSE)),IF(AND(BE864=3,LEFT(BF864,1)="1"),0.48,VLOOKUP(AU864,INDEX((係数_乗用_ガソリン,係数_乗用_CNG,係数_乗用_軽油,係数_乗用_メタノール,係数_乗用_LPG),1,1,BE864):INDEX((係数_乗用_ガソリン,係数_乗用_CNG,係数_乗用_軽油,係数_乗用_メタノール,係数_乗用_LPG),125,5,BE864),4,FALSE)))))</f>
        <v/>
      </c>
      <c r="AL864" s="461" t="str">
        <f t="shared" si="463"/>
        <v/>
      </c>
      <c r="AM864" s="460" t="str">
        <f>IF(AU864="","",IF(OR(AZ864=8,AZ864=9),0,IF(OR(AW864=3,AW864=4,AW864=5,AW864=6),IF(LEFT(BH864,1)="1",INDEX(係数_PM低減,MATCH(AY864,【参考】排出係数!$AI$801:$AI$804,1),MATCH(BI864,【参考】排出係数!$AL$798:$AO$798,1)),VLOOKUP(AU864,INDEX((係数_バス貨物_ガソリン,係数_バス貨物_CNG,係数_バス貨物_軽油,係数_バス貨物_メタノール,係数_バス貨物_LPG),MATCH(AY864,【参考】排出係数!$AI$4:$AI$671,1),1,BE864):INDEX((係数_バス貨物_ガソリン,係数_バス貨物_CNG,係数_バス貨物_軽油,係数_バス貨物_メタノール,係数_バス貨物_LPG),MATCH(AY864+1,【参考】排出係数!$AI$4:$AI$671,1)-1,5,BE864),5,FALSE)),IF(AND(BE864=3,LEFT(BF864,1)="1"),0.055,VLOOKUP(AU864,INDEX((係数_乗用_ガソリン,係数_乗用_CNG,係数_乗用_軽油,係数_乗用_メタノール,係数_乗用_LPG),1,1,BE864):INDEX((係数_乗用_ガソリン,係数_乗用_CNG,係数_乗用_軽油,係数_乗用_メタノール,係数_乗用_LPG),125,5,BE864),5,FALSE)))))</f>
        <v/>
      </c>
      <c r="AN864" s="461" t="str">
        <f t="shared" si="464"/>
        <v/>
      </c>
      <c r="AO864" s="462" t="str">
        <f t="shared" si="465"/>
        <v/>
      </c>
      <c r="AP864" s="463" t="str">
        <f t="shared" si="466"/>
        <v/>
      </c>
      <c r="AQ864" s="464"/>
      <c r="AR864" s="619"/>
      <c r="AS864" s="465" t="str">
        <f t="shared" si="474"/>
        <v/>
      </c>
      <c r="AT864" s="465" t="str">
        <f t="shared" si="475"/>
        <v/>
      </c>
      <c r="AU864" s="466" t="str">
        <f t="shared" si="476"/>
        <v/>
      </c>
      <c r="AV864" s="467" t="str">
        <f t="shared" si="477"/>
        <v/>
      </c>
      <c r="AW864" s="467" t="str">
        <f t="shared" si="478"/>
        <v/>
      </c>
      <c r="AX864" s="467" t="str">
        <f t="shared" si="479"/>
        <v/>
      </c>
      <c r="AY864" s="467" t="str">
        <f t="shared" si="480"/>
        <v/>
      </c>
      <c r="AZ864" s="467" t="str">
        <f t="shared" si="481"/>
        <v/>
      </c>
      <c r="BA864" s="468" t="str">
        <f>IF(AS864="","",IF(OR(AU864="",AU864="-"),"－",IF(OR(AZ864=8,AZ864=9),"",IF(OR(AW864=3,AW864=4,AW864=5,AW864=6),VLOOKUP(AU864,INDEX((係数_バス貨物_ガソリン,係数_バス貨物_CNG,係数_バス貨物_軽油,係数_バス貨物_メタノール,係数_バス貨物_LPG),MATCH(AY864,【参考】排出係数!$AI$4:$AI$671,1),1,BE864):INDEX((係数_バス貨物_ガソリン,係数_バス貨物_CNG,係数_バス貨物_軽油,係数_バス貨物_メタノール,係数_バス貨物_LPG),MATCH(AY864+1,【参考】排出係数!$AI$4:$AI$671,1)-1,5,BE864),2,FALSE),IF(OR(AW864=1,AW864=2),VLOOKUP(AU864,INDEX((係数_乗用_ガソリン,係数_乗用_CNG,係数_乗用_軽油,係数_乗用_メタノール,係数_乗用_LPG),1,1,BE864):INDEX((係数_乗用_ガソリン,係数_乗用_CNG,係数_乗用_軽油,係数_乗用_メタノール,係数_乗用_LPG),125,5,BE864),2,FALSE))))))</f>
        <v/>
      </c>
      <c r="BB864" s="468" t="str">
        <f>IF(T864="","",IF(OR(AU864="",AU864="-"),"－",IF(OR(AZ864=8,AZ864=9),"",IF(OR(AW864=3,AW864=4,AW864=5,AW864=6),VLOOKUP(AU864,INDEX((係数_バス貨物_ガソリン,係数_バス貨物_CNG,係数_バス貨物_軽油,係数_バス貨物_メタノール,係数_バス貨物_LPG),MATCH(AY864,【参考】排出係数!$AI$4:$AI$671,1),1,BE864):INDEX((係数_バス貨物_ガソリン,係数_バス貨物_CNG,係数_バス貨物_軽油,係数_バス貨物_メタノール,係数_バス貨物_LPG),MATCH(AY864+1,【参考】排出係数!$AI$4:$AI$671,1)-1,5,BE864),3,FALSE),IF(OR(AW864=1,AW864=2),VLOOKUP(AU864,INDEX((係数_乗用_ガソリン,係数_乗用_CNG,係数_乗用_軽油,係数_乗用_メタノール,係数_乗用_LPG),1,1,BE864):INDEX((係数_乗用_ガソリン,係数_乗用_CNG,係数_乗用_軽油,係数_乗用_メタノール,係数_乗用_LPG),125,5,BE864),3,FALSE))))))</f>
        <v/>
      </c>
      <c r="BC864" s="467" t="str">
        <f t="shared" si="482"/>
        <v/>
      </c>
      <c r="BD864" s="567" t="str">
        <f t="shared" si="483"/>
        <v/>
      </c>
      <c r="BE864" s="467" t="str">
        <f t="shared" si="484"/>
        <v/>
      </c>
      <c r="BF864" s="469" t="str">
        <f t="shared" ca="1" si="485"/>
        <v/>
      </c>
      <c r="BG864" s="469" t="str">
        <f t="shared" ca="1" si="486"/>
        <v/>
      </c>
      <c r="BH864" s="467" t="str">
        <f t="shared" si="487"/>
        <v/>
      </c>
      <c r="BI864" s="467" t="str">
        <f t="shared" ca="1" si="488"/>
        <v/>
      </c>
      <c r="BJ864" s="469" t="str">
        <f t="shared" si="489"/>
        <v/>
      </c>
      <c r="BK864" s="470" t="str">
        <f t="shared" si="473"/>
        <v/>
      </c>
      <c r="BL864" s="775" t="str">
        <f t="shared" si="490"/>
        <v/>
      </c>
      <c r="BM864" s="775" t="str">
        <f t="shared" si="491"/>
        <v/>
      </c>
    </row>
    <row r="865" spans="1:65">
      <c r="A865" s="473">
        <v>809</v>
      </c>
      <c r="B865" s="132"/>
      <c r="C865" s="332"/>
      <c r="D865" s="333"/>
      <c r="E865" s="333"/>
      <c r="F865" s="334"/>
      <c r="G865" s="337"/>
      <c r="H865" s="131"/>
      <c r="I865" s="337"/>
      <c r="J865" s="131"/>
      <c r="K865" s="458" t="str">
        <f t="shared" si="454"/>
        <v/>
      </c>
      <c r="L865" s="458">
        <f t="shared" si="455"/>
        <v>0</v>
      </c>
      <c r="M865" s="458">
        <f t="shared" si="456"/>
        <v>0</v>
      </c>
      <c r="N865" s="459" t="str">
        <f t="shared" si="467"/>
        <v/>
      </c>
      <c r="O865" s="459" t="str">
        <f t="shared" si="468"/>
        <v/>
      </c>
      <c r="P865" s="459" t="str">
        <f t="shared" si="469"/>
        <v/>
      </c>
      <c r="Q865" s="459" t="str">
        <f t="shared" si="470"/>
        <v/>
      </c>
      <c r="R865" s="459" t="str">
        <f t="shared" si="471"/>
        <v/>
      </c>
      <c r="S865" s="459" t="str">
        <f t="shared" si="472"/>
        <v/>
      </c>
      <c r="T865" s="566" t="str">
        <f t="shared" si="457"/>
        <v/>
      </c>
      <c r="U865" s="702"/>
      <c r="V865" s="132"/>
      <c r="W865" s="133"/>
      <c r="X865" s="134"/>
      <c r="Y865" s="135"/>
      <c r="Z865" s="137"/>
      <c r="AA865" s="136"/>
      <c r="AB865" s="566" t="str">
        <f t="shared" si="458"/>
        <v/>
      </c>
      <c r="AC865" s="568" t="str">
        <f t="shared" si="459"/>
        <v/>
      </c>
      <c r="AD865" s="137"/>
      <c r="AE865" s="137"/>
      <c r="AF865" s="138"/>
      <c r="AG865" s="138"/>
      <c r="AH865" s="592" t="str">
        <f t="shared" si="460"/>
        <v/>
      </c>
      <c r="AI865" s="592" t="str">
        <f t="shared" si="461"/>
        <v/>
      </c>
      <c r="AJ865" s="592" t="str">
        <f t="shared" si="462"/>
        <v/>
      </c>
      <c r="AK865" s="460" t="str">
        <f>IF(AU865="","",IF(OR(AZ865=8,AZ865=9),0,IF(OR(AW865=3,AW865=4,AW865=5,AW865=6),IF(LEFT(BF865,1)="1",INDEX(係数_NOX・PM低減,MATCH(AY865,【参考】排出係数!$AI$801:$AI$804,1),1),VLOOKUP(AU865,INDEX((係数_バス貨物_ガソリン,係数_バス貨物_CNG,係数_バス貨物_軽油,係数_バス貨物_メタノール,係数_バス貨物_LPG),MATCH(AY865,【参考】排出係数!$AI$4:$AI$671,1),1,BE865):INDEX((係数_バス貨物_ガソリン,係数_バス貨物_CNG,係数_バス貨物_軽油,係数_バス貨物_メタノール,係数_バス貨物_LPG),MATCH(AY865+1,【参考】排出係数!$AI$4:$AI$671,1)-1,5,BE865),4,FALSE)),IF(AND(BE865=3,LEFT(BF865,1)="1"),0.48,VLOOKUP(AU865,INDEX((係数_乗用_ガソリン,係数_乗用_CNG,係数_乗用_軽油,係数_乗用_メタノール,係数_乗用_LPG),1,1,BE865):INDEX((係数_乗用_ガソリン,係数_乗用_CNG,係数_乗用_軽油,係数_乗用_メタノール,係数_乗用_LPG),125,5,BE865),4,FALSE)))))</f>
        <v/>
      </c>
      <c r="AL865" s="461" t="str">
        <f t="shared" si="463"/>
        <v/>
      </c>
      <c r="AM865" s="460" t="str">
        <f>IF(AU865="","",IF(OR(AZ865=8,AZ865=9),0,IF(OR(AW865=3,AW865=4,AW865=5,AW865=6),IF(LEFT(BH865,1)="1",INDEX(係数_PM低減,MATCH(AY865,【参考】排出係数!$AI$801:$AI$804,1),MATCH(BI865,【参考】排出係数!$AL$798:$AO$798,1)),VLOOKUP(AU865,INDEX((係数_バス貨物_ガソリン,係数_バス貨物_CNG,係数_バス貨物_軽油,係数_バス貨物_メタノール,係数_バス貨物_LPG),MATCH(AY865,【参考】排出係数!$AI$4:$AI$671,1),1,BE865):INDEX((係数_バス貨物_ガソリン,係数_バス貨物_CNG,係数_バス貨物_軽油,係数_バス貨物_メタノール,係数_バス貨物_LPG),MATCH(AY865+1,【参考】排出係数!$AI$4:$AI$671,1)-1,5,BE865),5,FALSE)),IF(AND(BE865=3,LEFT(BF865,1)="1"),0.055,VLOOKUP(AU865,INDEX((係数_乗用_ガソリン,係数_乗用_CNG,係数_乗用_軽油,係数_乗用_メタノール,係数_乗用_LPG),1,1,BE865):INDEX((係数_乗用_ガソリン,係数_乗用_CNG,係数_乗用_軽油,係数_乗用_メタノール,係数_乗用_LPG),125,5,BE865),5,FALSE)))))</f>
        <v/>
      </c>
      <c r="AN865" s="461" t="str">
        <f t="shared" si="464"/>
        <v/>
      </c>
      <c r="AO865" s="462" t="str">
        <f t="shared" si="465"/>
        <v/>
      </c>
      <c r="AP865" s="463" t="str">
        <f t="shared" si="466"/>
        <v/>
      </c>
      <c r="AQ865" s="464"/>
      <c r="AR865" s="619"/>
      <c r="AS865" s="465" t="str">
        <f t="shared" si="474"/>
        <v/>
      </c>
      <c r="AT865" s="465" t="str">
        <f t="shared" si="475"/>
        <v/>
      </c>
      <c r="AU865" s="466" t="str">
        <f t="shared" si="476"/>
        <v/>
      </c>
      <c r="AV865" s="467" t="str">
        <f t="shared" si="477"/>
        <v/>
      </c>
      <c r="AW865" s="467" t="str">
        <f t="shared" si="478"/>
        <v/>
      </c>
      <c r="AX865" s="467" t="str">
        <f t="shared" si="479"/>
        <v/>
      </c>
      <c r="AY865" s="467" t="str">
        <f t="shared" si="480"/>
        <v/>
      </c>
      <c r="AZ865" s="467" t="str">
        <f t="shared" si="481"/>
        <v/>
      </c>
      <c r="BA865" s="468" t="str">
        <f>IF(AS865="","",IF(OR(AU865="",AU865="-"),"－",IF(OR(AZ865=8,AZ865=9),"",IF(OR(AW865=3,AW865=4,AW865=5,AW865=6),VLOOKUP(AU865,INDEX((係数_バス貨物_ガソリン,係数_バス貨物_CNG,係数_バス貨物_軽油,係数_バス貨物_メタノール,係数_バス貨物_LPG),MATCH(AY865,【参考】排出係数!$AI$4:$AI$671,1),1,BE865):INDEX((係数_バス貨物_ガソリン,係数_バス貨物_CNG,係数_バス貨物_軽油,係数_バス貨物_メタノール,係数_バス貨物_LPG),MATCH(AY865+1,【参考】排出係数!$AI$4:$AI$671,1)-1,5,BE865),2,FALSE),IF(OR(AW865=1,AW865=2),VLOOKUP(AU865,INDEX((係数_乗用_ガソリン,係数_乗用_CNG,係数_乗用_軽油,係数_乗用_メタノール,係数_乗用_LPG),1,1,BE865):INDEX((係数_乗用_ガソリン,係数_乗用_CNG,係数_乗用_軽油,係数_乗用_メタノール,係数_乗用_LPG),125,5,BE865),2,FALSE))))))</f>
        <v/>
      </c>
      <c r="BB865" s="468" t="str">
        <f>IF(T865="","",IF(OR(AU865="",AU865="-"),"－",IF(OR(AZ865=8,AZ865=9),"",IF(OR(AW865=3,AW865=4,AW865=5,AW865=6),VLOOKUP(AU865,INDEX((係数_バス貨物_ガソリン,係数_バス貨物_CNG,係数_バス貨物_軽油,係数_バス貨物_メタノール,係数_バス貨物_LPG),MATCH(AY865,【参考】排出係数!$AI$4:$AI$671,1),1,BE865):INDEX((係数_バス貨物_ガソリン,係数_バス貨物_CNG,係数_バス貨物_軽油,係数_バス貨物_メタノール,係数_バス貨物_LPG),MATCH(AY865+1,【参考】排出係数!$AI$4:$AI$671,1)-1,5,BE865),3,FALSE),IF(OR(AW865=1,AW865=2),VLOOKUP(AU865,INDEX((係数_乗用_ガソリン,係数_乗用_CNG,係数_乗用_軽油,係数_乗用_メタノール,係数_乗用_LPG),1,1,BE865):INDEX((係数_乗用_ガソリン,係数_乗用_CNG,係数_乗用_軽油,係数_乗用_メタノール,係数_乗用_LPG),125,5,BE865),3,FALSE))))))</f>
        <v/>
      </c>
      <c r="BC865" s="467" t="str">
        <f t="shared" si="482"/>
        <v/>
      </c>
      <c r="BD865" s="567" t="str">
        <f t="shared" si="483"/>
        <v/>
      </c>
      <c r="BE865" s="467" t="str">
        <f t="shared" si="484"/>
        <v/>
      </c>
      <c r="BF865" s="469" t="str">
        <f t="shared" ca="1" si="485"/>
        <v/>
      </c>
      <c r="BG865" s="469" t="str">
        <f t="shared" ca="1" si="486"/>
        <v/>
      </c>
      <c r="BH865" s="467" t="str">
        <f t="shared" si="487"/>
        <v/>
      </c>
      <c r="BI865" s="467" t="str">
        <f t="shared" ca="1" si="488"/>
        <v/>
      </c>
      <c r="BJ865" s="469" t="str">
        <f t="shared" si="489"/>
        <v/>
      </c>
      <c r="BK865" s="470" t="str">
        <f t="shared" si="473"/>
        <v/>
      </c>
      <c r="BL865" s="775" t="str">
        <f t="shared" si="490"/>
        <v/>
      </c>
      <c r="BM865" s="775" t="str">
        <f t="shared" si="491"/>
        <v/>
      </c>
    </row>
    <row r="866" spans="1:65">
      <c r="A866" s="473">
        <v>810</v>
      </c>
      <c r="B866" s="132"/>
      <c r="C866" s="332"/>
      <c r="D866" s="333"/>
      <c r="E866" s="333"/>
      <c r="F866" s="334"/>
      <c r="G866" s="337"/>
      <c r="H866" s="131"/>
      <c r="I866" s="337"/>
      <c r="J866" s="131"/>
      <c r="K866" s="458" t="str">
        <f t="shared" si="454"/>
        <v/>
      </c>
      <c r="L866" s="458">
        <f t="shared" si="455"/>
        <v>0</v>
      </c>
      <c r="M866" s="458">
        <f t="shared" si="456"/>
        <v>0</v>
      </c>
      <c r="N866" s="459" t="str">
        <f t="shared" si="467"/>
        <v/>
      </c>
      <c r="O866" s="459" t="str">
        <f t="shared" si="468"/>
        <v/>
      </c>
      <c r="P866" s="459" t="str">
        <f t="shared" si="469"/>
        <v/>
      </c>
      <c r="Q866" s="459" t="str">
        <f t="shared" si="470"/>
        <v/>
      </c>
      <c r="R866" s="459" t="str">
        <f t="shared" si="471"/>
        <v/>
      </c>
      <c r="S866" s="459" t="str">
        <f t="shared" si="472"/>
        <v/>
      </c>
      <c r="T866" s="566" t="str">
        <f t="shared" si="457"/>
        <v/>
      </c>
      <c r="U866" s="702"/>
      <c r="V866" s="132"/>
      <c r="W866" s="133"/>
      <c r="X866" s="134"/>
      <c r="Y866" s="135"/>
      <c r="Z866" s="137"/>
      <c r="AA866" s="136"/>
      <c r="AB866" s="566" t="str">
        <f t="shared" si="458"/>
        <v/>
      </c>
      <c r="AC866" s="568" t="str">
        <f t="shared" si="459"/>
        <v/>
      </c>
      <c r="AD866" s="137"/>
      <c r="AE866" s="137"/>
      <c r="AF866" s="138"/>
      <c r="AG866" s="138"/>
      <c r="AH866" s="592" t="str">
        <f t="shared" si="460"/>
        <v/>
      </c>
      <c r="AI866" s="592" t="str">
        <f t="shared" si="461"/>
        <v/>
      </c>
      <c r="AJ866" s="592" t="str">
        <f t="shared" si="462"/>
        <v/>
      </c>
      <c r="AK866" s="460" t="str">
        <f>IF(AU866="","",IF(OR(AZ866=8,AZ866=9),0,IF(OR(AW866=3,AW866=4,AW866=5,AW866=6),IF(LEFT(BF866,1)="1",INDEX(係数_NOX・PM低減,MATCH(AY866,【参考】排出係数!$AI$801:$AI$804,1),1),VLOOKUP(AU866,INDEX((係数_バス貨物_ガソリン,係数_バス貨物_CNG,係数_バス貨物_軽油,係数_バス貨物_メタノール,係数_バス貨物_LPG),MATCH(AY866,【参考】排出係数!$AI$4:$AI$671,1),1,BE866):INDEX((係数_バス貨物_ガソリン,係数_バス貨物_CNG,係数_バス貨物_軽油,係数_バス貨物_メタノール,係数_バス貨物_LPG),MATCH(AY866+1,【参考】排出係数!$AI$4:$AI$671,1)-1,5,BE866),4,FALSE)),IF(AND(BE866=3,LEFT(BF866,1)="1"),0.48,VLOOKUP(AU866,INDEX((係数_乗用_ガソリン,係数_乗用_CNG,係数_乗用_軽油,係数_乗用_メタノール,係数_乗用_LPG),1,1,BE866):INDEX((係数_乗用_ガソリン,係数_乗用_CNG,係数_乗用_軽油,係数_乗用_メタノール,係数_乗用_LPG),125,5,BE866),4,FALSE)))))</f>
        <v/>
      </c>
      <c r="AL866" s="461" t="str">
        <f t="shared" si="463"/>
        <v/>
      </c>
      <c r="AM866" s="460" t="str">
        <f>IF(AU866="","",IF(OR(AZ866=8,AZ866=9),0,IF(OR(AW866=3,AW866=4,AW866=5,AW866=6),IF(LEFT(BH866,1)="1",INDEX(係数_PM低減,MATCH(AY866,【参考】排出係数!$AI$801:$AI$804,1),MATCH(BI866,【参考】排出係数!$AL$798:$AO$798,1)),VLOOKUP(AU866,INDEX((係数_バス貨物_ガソリン,係数_バス貨物_CNG,係数_バス貨物_軽油,係数_バス貨物_メタノール,係数_バス貨物_LPG),MATCH(AY866,【参考】排出係数!$AI$4:$AI$671,1),1,BE866):INDEX((係数_バス貨物_ガソリン,係数_バス貨物_CNG,係数_バス貨物_軽油,係数_バス貨物_メタノール,係数_バス貨物_LPG),MATCH(AY866+1,【参考】排出係数!$AI$4:$AI$671,1)-1,5,BE866),5,FALSE)),IF(AND(BE866=3,LEFT(BF866,1)="1"),0.055,VLOOKUP(AU866,INDEX((係数_乗用_ガソリン,係数_乗用_CNG,係数_乗用_軽油,係数_乗用_メタノール,係数_乗用_LPG),1,1,BE866):INDEX((係数_乗用_ガソリン,係数_乗用_CNG,係数_乗用_軽油,係数_乗用_メタノール,係数_乗用_LPG),125,5,BE866),5,FALSE)))))</f>
        <v/>
      </c>
      <c r="AN866" s="461" t="str">
        <f t="shared" si="464"/>
        <v/>
      </c>
      <c r="AO866" s="462" t="str">
        <f t="shared" si="465"/>
        <v/>
      </c>
      <c r="AP866" s="463" t="str">
        <f t="shared" si="466"/>
        <v/>
      </c>
      <c r="AQ866" s="464"/>
      <c r="AR866" s="619"/>
      <c r="AS866" s="465" t="str">
        <f t="shared" si="474"/>
        <v/>
      </c>
      <c r="AT866" s="465" t="str">
        <f t="shared" si="475"/>
        <v/>
      </c>
      <c r="AU866" s="466" t="str">
        <f t="shared" si="476"/>
        <v/>
      </c>
      <c r="AV866" s="467" t="str">
        <f t="shared" si="477"/>
        <v/>
      </c>
      <c r="AW866" s="467" t="str">
        <f t="shared" si="478"/>
        <v/>
      </c>
      <c r="AX866" s="467" t="str">
        <f t="shared" si="479"/>
        <v/>
      </c>
      <c r="AY866" s="467" t="str">
        <f t="shared" si="480"/>
        <v/>
      </c>
      <c r="AZ866" s="467" t="str">
        <f t="shared" si="481"/>
        <v/>
      </c>
      <c r="BA866" s="468" t="str">
        <f>IF(AS866="","",IF(OR(AU866="",AU866="-"),"－",IF(OR(AZ866=8,AZ866=9),"",IF(OR(AW866=3,AW866=4,AW866=5,AW866=6),VLOOKUP(AU866,INDEX((係数_バス貨物_ガソリン,係数_バス貨物_CNG,係数_バス貨物_軽油,係数_バス貨物_メタノール,係数_バス貨物_LPG),MATCH(AY866,【参考】排出係数!$AI$4:$AI$671,1),1,BE866):INDEX((係数_バス貨物_ガソリン,係数_バス貨物_CNG,係数_バス貨物_軽油,係数_バス貨物_メタノール,係数_バス貨物_LPG),MATCH(AY866+1,【参考】排出係数!$AI$4:$AI$671,1)-1,5,BE866),2,FALSE),IF(OR(AW866=1,AW866=2),VLOOKUP(AU866,INDEX((係数_乗用_ガソリン,係数_乗用_CNG,係数_乗用_軽油,係数_乗用_メタノール,係数_乗用_LPG),1,1,BE866):INDEX((係数_乗用_ガソリン,係数_乗用_CNG,係数_乗用_軽油,係数_乗用_メタノール,係数_乗用_LPG),125,5,BE866),2,FALSE))))))</f>
        <v/>
      </c>
      <c r="BB866" s="468" t="str">
        <f>IF(T866="","",IF(OR(AU866="",AU866="-"),"－",IF(OR(AZ866=8,AZ866=9),"",IF(OR(AW866=3,AW866=4,AW866=5,AW866=6),VLOOKUP(AU866,INDEX((係数_バス貨物_ガソリン,係数_バス貨物_CNG,係数_バス貨物_軽油,係数_バス貨物_メタノール,係数_バス貨物_LPG),MATCH(AY866,【参考】排出係数!$AI$4:$AI$671,1),1,BE866):INDEX((係数_バス貨物_ガソリン,係数_バス貨物_CNG,係数_バス貨物_軽油,係数_バス貨物_メタノール,係数_バス貨物_LPG),MATCH(AY866+1,【参考】排出係数!$AI$4:$AI$671,1)-1,5,BE866),3,FALSE),IF(OR(AW866=1,AW866=2),VLOOKUP(AU866,INDEX((係数_乗用_ガソリン,係数_乗用_CNG,係数_乗用_軽油,係数_乗用_メタノール,係数_乗用_LPG),1,1,BE866):INDEX((係数_乗用_ガソリン,係数_乗用_CNG,係数_乗用_軽油,係数_乗用_メタノール,係数_乗用_LPG),125,5,BE866),3,FALSE))))))</f>
        <v/>
      </c>
      <c r="BC866" s="467" t="str">
        <f t="shared" si="482"/>
        <v/>
      </c>
      <c r="BD866" s="567" t="str">
        <f t="shared" si="483"/>
        <v/>
      </c>
      <c r="BE866" s="467" t="str">
        <f t="shared" si="484"/>
        <v/>
      </c>
      <c r="BF866" s="469" t="str">
        <f t="shared" ca="1" si="485"/>
        <v/>
      </c>
      <c r="BG866" s="469" t="str">
        <f t="shared" ca="1" si="486"/>
        <v/>
      </c>
      <c r="BH866" s="467" t="str">
        <f t="shared" si="487"/>
        <v/>
      </c>
      <c r="BI866" s="467" t="str">
        <f t="shared" ca="1" si="488"/>
        <v/>
      </c>
      <c r="BJ866" s="469" t="str">
        <f t="shared" si="489"/>
        <v/>
      </c>
      <c r="BK866" s="470" t="str">
        <f t="shared" si="473"/>
        <v/>
      </c>
      <c r="BL866" s="775" t="str">
        <f t="shared" si="490"/>
        <v/>
      </c>
      <c r="BM866" s="775" t="str">
        <f t="shared" si="491"/>
        <v/>
      </c>
    </row>
    <row r="867" spans="1:65">
      <c r="A867" s="473">
        <v>811</v>
      </c>
      <c r="B867" s="132"/>
      <c r="C867" s="332"/>
      <c r="D867" s="333"/>
      <c r="E867" s="333"/>
      <c r="F867" s="334"/>
      <c r="G867" s="337"/>
      <c r="H867" s="131"/>
      <c r="I867" s="337"/>
      <c r="J867" s="131"/>
      <c r="K867" s="458" t="str">
        <f t="shared" si="454"/>
        <v/>
      </c>
      <c r="L867" s="458">
        <f t="shared" si="455"/>
        <v>0</v>
      </c>
      <c r="M867" s="458">
        <f t="shared" si="456"/>
        <v>0</v>
      </c>
      <c r="N867" s="459" t="str">
        <f t="shared" si="467"/>
        <v/>
      </c>
      <c r="O867" s="459" t="str">
        <f t="shared" si="468"/>
        <v/>
      </c>
      <c r="P867" s="459" t="str">
        <f t="shared" si="469"/>
        <v/>
      </c>
      <c r="Q867" s="459" t="str">
        <f t="shared" si="470"/>
        <v/>
      </c>
      <c r="R867" s="459" t="str">
        <f t="shared" si="471"/>
        <v/>
      </c>
      <c r="S867" s="459" t="str">
        <f t="shared" si="472"/>
        <v/>
      </c>
      <c r="T867" s="566" t="str">
        <f t="shared" si="457"/>
        <v/>
      </c>
      <c r="U867" s="702"/>
      <c r="V867" s="132"/>
      <c r="W867" s="133"/>
      <c r="X867" s="134"/>
      <c r="Y867" s="135"/>
      <c r="Z867" s="137"/>
      <c r="AA867" s="136"/>
      <c r="AB867" s="566" t="str">
        <f t="shared" si="458"/>
        <v/>
      </c>
      <c r="AC867" s="568" t="str">
        <f t="shared" si="459"/>
        <v/>
      </c>
      <c r="AD867" s="137"/>
      <c r="AE867" s="137"/>
      <c r="AF867" s="138"/>
      <c r="AG867" s="138"/>
      <c r="AH867" s="592" t="str">
        <f t="shared" si="460"/>
        <v/>
      </c>
      <c r="AI867" s="592" t="str">
        <f t="shared" si="461"/>
        <v/>
      </c>
      <c r="AJ867" s="592" t="str">
        <f t="shared" si="462"/>
        <v/>
      </c>
      <c r="AK867" s="460" t="str">
        <f>IF(AU867="","",IF(OR(AZ867=8,AZ867=9),0,IF(OR(AW867=3,AW867=4,AW867=5,AW867=6),IF(LEFT(BF867,1)="1",INDEX(係数_NOX・PM低減,MATCH(AY867,【参考】排出係数!$AI$801:$AI$804,1),1),VLOOKUP(AU867,INDEX((係数_バス貨物_ガソリン,係数_バス貨物_CNG,係数_バス貨物_軽油,係数_バス貨物_メタノール,係数_バス貨物_LPG),MATCH(AY867,【参考】排出係数!$AI$4:$AI$671,1),1,BE867):INDEX((係数_バス貨物_ガソリン,係数_バス貨物_CNG,係数_バス貨物_軽油,係数_バス貨物_メタノール,係数_バス貨物_LPG),MATCH(AY867+1,【参考】排出係数!$AI$4:$AI$671,1)-1,5,BE867),4,FALSE)),IF(AND(BE867=3,LEFT(BF867,1)="1"),0.48,VLOOKUP(AU867,INDEX((係数_乗用_ガソリン,係数_乗用_CNG,係数_乗用_軽油,係数_乗用_メタノール,係数_乗用_LPG),1,1,BE867):INDEX((係数_乗用_ガソリン,係数_乗用_CNG,係数_乗用_軽油,係数_乗用_メタノール,係数_乗用_LPG),125,5,BE867),4,FALSE)))))</f>
        <v/>
      </c>
      <c r="AL867" s="461" t="str">
        <f t="shared" si="463"/>
        <v/>
      </c>
      <c r="AM867" s="460" t="str">
        <f>IF(AU867="","",IF(OR(AZ867=8,AZ867=9),0,IF(OR(AW867=3,AW867=4,AW867=5,AW867=6),IF(LEFT(BH867,1)="1",INDEX(係数_PM低減,MATCH(AY867,【参考】排出係数!$AI$801:$AI$804,1),MATCH(BI867,【参考】排出係数!$AL$798:$AO$798,1)),VLOOKUP(AU867,INDEX((係数_バス貨物_ガソリン,係数_バス貨物_CNG,係数_バス貨物_軽油,係数_バス貨物_メタノール,係数_バス貨物_LPG),MATCH(AY867,【参考】排出係数!$AI$4:$AI$671,1),1,BE867):INDEX((係数_バス貨物_ガソリン,係数_バス貨物_CNG,係数_バス貨物_軽油,係数_バス貨物_メタノール,係数_バス貨物_LPG),MATCH(AY867+1,【参考】排出係数!$AI$4:$AI$671,1)-1,5,BE867),5,FALSE)),IF(AND(BE867=3,LEFT(BF867,1)="1"),0.055,VLOOKUP(AU867,INDEX((係数_乗用_ガソリン,係数_乗用_CNG,係数_乗用_軽油,係数_乗用_メタノール,係数_乗用_LPG),1,1,BE867):INDEX((係数_乗用_ガソリン,係数_乗用_CNG,係数_乗用_軽油,係数_乗用_メタノール,係数_乗用_LPG),125,5,BE867),5,FALSE)))))</f>
        <v/>
      </c>
      <c r="AN867" s="461" t="str">
        <f t="shared" si="464"/>
        <v/>
      </c>
      <c r="AO867" s="462" t="str">
        <f t="shared" si="465"/>
        <v/>
      </c>
      <c r="AP867" s="463" t="str">
        <f t="shared" si="466"/>
        <v/>
      </c>
      <c r="AQ867" s="464"/>
      <c r="AR867" s="619"/>
      <c r="AS867" s="465" t="str">
        <f t="shared" si="474"/>
        <v/>
      </c>
      <c r="AT867" s="465" t="str">
        <f t="shared" si="475"/>
        <v/>
      </c>
      <c r="AU867" s="466" t="str">
        <f t="shared" si="476"/>
        <v/>
      </c>
      <c r="AV867" s="467" t="str">
        <f t="shared" si="477"/>
        <v/>
      </c>
      <c r="AW867" s="467" t="str">
        <f t="shared" si="478"/>
        <v/>
      </c>
      <c r="AX867" s="467" t="str">
        <f t="shared" si="479"/>
        <v/>
      </c>
      <c r="AY867" s="467" t="str">
        <f t="shared" si="480"/>
        <v/>
      </c>
      <c r="AZ867" s="467" t="str">
        <f t="shared" si="481"/>
        <v/>
      </c>
      <c r="BA867" s="468" t="str">
        <f>IF(AS867="","",IF(OR(AU867="",AU867="-"),"－",IF(OR(AZ867=8,AZ867=9),"",IF(OR(AW867=3,AW867=4,AW867=5,AW867=6),VLOOKUP(AU867,INDEX((係数_バス貨物_ガソリン,係数_バス貨物_CNG,係数_バス貨物_軽油,係数_バス貨物_メタノール,係数_バス貨物_LPG),MATCH(AY867,【参考】排出係数!$AI$4:$AI$671,1),1,BE867):INDEX((係数_バス貨物_ガソリン,係数_バス貨物_CNG,係数_バス貨物_軽油,係数_バス貨物_メタノール,係数_バス貨物_LPG),MATCH(AY867+1,【参考】排出係数!$AI$4:$AI$671,1)-1,5,BE867),2,FALSE),IF(OR(AW867=1,AW867=2),VLOOKUP(AU867,INDEX((係数_乗用_ガソリン,係数_乗用_CNG,係数_乗用_軽油,係数_乗用_メタノール,係数_乗用_LPG),1,1,BE867):INDEX((係数_乗用_ガソリン,係数_乗用_CNG,係数_乗用_軽油,係数_乗用_メタノール,係数_乗用_LPG),125,5,BE867),2,FALSE))))))</f>
        <v/>
      </c>
      <c r="BB867" s="468" t="str">
        <f>IF(T867="","",IF(OR(AU867="",AU867="-"),"－",IF(OR(AZ867=8,AZ867=9),"",IF(OR(AW867=3,AW867=4,AW867=5,AW867=6),VLOOKUP(AU867,INDEX((係数_バス貨物_ガソリン,係数_バス貨物_CNG,係数_バス貨物_軽油,係数_バス貨物_メタノール,係数_バス貨物_LPG),MATCH(AY867,【参考】排出係数!$AI$4:$AI$671,1),1,BE867):INDEX((係数_バス貨物_ガソリン,係数_バス貨物_CNG,係数_バス貨物_軽油,係数_バス貨物_メタノール,係数_バス貨物_LPG),MATCH(AY867+1,【参考】排出係数!$AI$4:$AI$671,1)-1,5,BE867),3,FALSE),IF(OR(AW867=1,AW867=2),VLOOKUP(AU867,INDEX((係数_乗用_ガソリン,係数_乗用_CNG,係数_乗用_軽油,係数_乗用_メタノール,係数_乗用_LPG),1,1,BE867):INDEX((係数_乗用_ガソリン,係数_乗用_CNG,係数_乗用_軽油,係数_乗用_メタノール,係数_乗用_LPG),125,5,BE867),3,FALSE))))))</f>
        <v/>
      </c>
      <c r="BC867" s="467" t="str">
        <f t="shared" si="482"/>
        <v/>
      </c>
      <c r="BD867" s="567" t="str">
        <f t="shared" si="483"/>
        <v/>
      </c>
      <c r="BE867" s="467" t="str">
        <f t="shared" si="484"/>
        <v/>
      </c>
      <c r="BF867" s="469" t="str">
        <f t="shared" ca="1" si="485"/>
        <v/>
      </c>
      <c r="BG867" s="469" t="str">
        <f t="shared" ca="1" si="486"/>
        <v/>
      </c>
      <c r="BH867" s="467" t="str">
        <f t="shared" si="487"/>
        <v/>
      </c>
      <c r="BI867" s="467" t="str">
        <f t="shared" ca="1" si="488"/>
        <v/>
      </c>
      <c r="BJ867" s="469" t="str">
        <f t="shared" si="489"/>
        <v/>
      </c>
      <c r="BK867" s="470" t="str">
        <f t="shared" si="473"/>
        <v/>
      </c>
      <c r="BL867" s="775" t="str">
        <f t="shared" si="490"/>
        <v/>
      </c>
      <c r="BM867" s="775" t="str">
        <f t="shared" si="491"/>
        <v/>
      </c>
    </row>
    <row r="868" spans="1:65">
      <c r="A868" s="473">
        <v>812</v>
      </c>
      <c r="B868" s="132"/>
      <c r="C868" s="332"/>
      <c r="D868" s="333"/>
      <c r="E868" s="333"/>
      <c r="F868" s="334"/>
      <c r="G868" s="337"/>
      <c r="H868" s="131"/>
      <c r="I868" s="337"/>
      <c r="J868" s="131"/>
      <c r="K868" s="458" t="str">
        <f t="shared" si="454"/>
        <v/>
      </c>
      <c r="L868" s="458">
        <f t="shared" si="455"/>
        <v>0</v>
      </c>
      <c r="M868" s="458">
        <f t="shared" si="456"/>
        <v>0</v>
      </c>
      <c r="N868" s="459" t="str">
        <f t="shared" si="467"/>
        <v/>
      </c>
      <c r="O868" s="459" t="str">
        <f t="shared" si="468"/>
        <v/>
      </c>
      <c r="P868" s="459" t="str">
        <f t="shared" si="469"/>
        <v/>
      </c>
      <c r="Q868" s="459" t="str">
        <f t="shared" si="470"/>
        <v/>
      </c>
      <c r="R868" s="459" t="str">
        <f t="shared" si="471"/>
        <v/>
      </c>
      <c r="S868" s="459" t="str">
        <f t="shared" si="472"/>
        <v/>
      </c>
      <c r="T868" s="566" t="str">
        <f t="shared" si="457"/>
        <v/>
      </c>
      <c r="U868" s="702"/>
      <c r="V868" s="132"/>
      <c r="W868" s="133"/>
      <c r="X868" s="134"/>
      <c r="Y868" s="135"/>
      <c r="Z868" s="137"/>
      <c r="AA868" s="136"/>
      <c r="AB868" s="566" t="str">
        <f t="shared" si="458"/>
        <v/>
      </c>
      <c r="AC868" s="568" t="str">
        <f t="shared" si="459"/>
        <v/>
      </c>
      <c r="AD868" s="137"/>
      <c r="AE868" s="137"/>
      <c r="AF868" s="138"/>
      <c r="AG868" s="138"/>
      <c r="AH868" s="592" t="str">
        <f t="shared" si="460"/>
        <v/>
      </c>
      <c r="AI868" s="592" t="str">
        <f t="shared" si="461"/>
        <v/>
      </c>
      <c r="AJ868" s="592" t="str">
        <f t="shared" si="462"/>
        <v/>
      </c>
      <c r="AK868" s="460" t="str">
        <f>IF(AU868="","",IF(OR(AZ868=8,AZ868=9),0,IF(OR(AW868=3,AW868=4,AW868=5,AW868=6),IF(LEFT(BF868,1)="1",INDEX(係数_NOX・PM低減,MATCH(AY868,【参考】排出係数!$AI$801:$AI$804,1),1),VLOOKUP(AU868,INDEX((係数_バス貨物_ガソリン,係数_バス貨物_CNG,係数_バス貨物_軽油,係数_バス貨物_メタノール,係数_バス貨物_LPG),MATCH(AY868,【参考】排出係数!$AI$4:$AI$671,1),1,BE868):INDEX((係数_バス貨物_ガソリン,係数_バス貨物_CNG,係数_バス貨物_軽油,係数_バス貨物_メタノール,係数_バス貨物_LPG),MATCH(AY868+1,【参考】排出係数!$AI$4:$AI$671,1)-1,5,BE868),4,FALSE)),IF(AND(BE868=3,LEFT(BF868,1)="1"),0.48,VLOOKUP(AU868,INDEX((係数_乗用_ガソリン,係数_乗用_CNG,係数_乗用_軽油,係数_乗用_メタノール,係数_乗用_LPG),1,1,BE868):INDEX((係数_乗用_ガソリン,係数_乗用_CNG,係数_乗用_軽油,係数_乗用_メタノール,係数_乗用_LPG),125,5,BE868),4,FALSE)))))</f>
        <v/>
      </c>
      <c r="AL868" s="461" t="str">
        <f t="shared" si="463"/>
        <v/>
      </c>
      <c r="AM868" s="460" t="str">
        <f>IF(AU868="","",IF(OR(AZ868=8,AZ868=9),0,IF(OR(AW868=3,AW868=4,AW868=5,AW868=6),IF(LEFT(BH868,1)="1",INDEX(係数_PM低減,MATCH(AY868,【参考】排出係数!$AI$801:$AI$804,1),MATCH(BI868,【参考】排出係数!$AL$798:$AO$798,1)),VLOOKUP(AU868,INDEX((係数_バス貨物_ガソリン,係数_バス貨物_CNG,係数_バス貨物_軽油,係数_バス貨物_メタノール,係数_バス貨物_LPG),MATCH(AY868,【参考】排出係数!$AI$4:$AI$671,1),1,BE868):INDEX((係数_バス貨物_ガソリン,係数_バス貨物_CNG,係数_バス貨物_軽油,係数_バス貨物_メタノール,係数_バス貨物_LPG),MATCH(AY868+1,【参考】排出係数!$AI$4:$AI$671,1)-1,5,BE868),5,FALSE)),IF(AND(BE868=3,LEFT(BF868,1)="1"),0.055,VLOOKUP(AU868,INDEX((係数_乗用_ガソリン,係数_乗用_CNG,係数_乗用_軽油,係数_乗用_メタノール,係数_乗用_LPG),1,1,BE868):INDEX((係数_乗用_ガソリン,係数_乗用_CNG,係数_乗用_軽油,係数_乗用_メタノール,係数_乗用_LPG),125,5,BE868),5,FALSE)))))</f>
        <v/>
      </c>
      <c r="AN868" s="461" t="str">
        <f t="shared" si="464"/>
        <v/>
      </c>
      <c r="AO868" s="462" t="str">
        <f t="shared" si="465"/>
        <v/>
      </c>
      <c r="AP868" s="463" t="str">
        <f t="shared" si="466"/>
        <v/>
      </c>
      <c r="AQ868" s="464"/>
      <c r="AR868" s="619"/>
      <c r="AS868" s="465" t="str">
        <f t="shared" si="474"/>
        <v/>
      </c>
      <c r="AT868" s="465" t="str">
        <f t="shared" si="475"/>
        <v/>
      </c>
      <c r="AU868" s="466" t="str">
        <f t="shared" si="476"/>
        <v/>
      </c>
      <c r="AV868" s="467" t="str">
        <f t="shared" si="477"/>
        <v/>
      </c>
      <c r="AW868" s="467" t="str">
        <f t="shared" si="478"/>
        <v/>
      </c>
      <c r="AX868" s="467" t="str">
        <f t="shared" si="479"/>
        <v/>
      </c>
      <c r="AY868" s="467" t="str">
        <f t="shared" si="480"/>
        <v/>
      </c>
      <c r="AZ868" s="467" t="str">
        <f t="shared" si="481"/>
        <v/>
      </c>
      <c r="BA868" s="468" t="str">
        <f>IF(AS868="","",IF(OR(AU868="",AU868="-"),"－",IF(OR(AZ868=8,AZ868=9),"",IF(OR(AW868=3,AW868=4,AW868=5,AW868=6),VLOOKUP(AU868,INDEX((係数_バス貨物_ガソリン,係数_バス貨物_CNG,係数_バス貨物_軽油,係数_バス貨物_メタノール,係数_バス貨物_LPG),MATCH(AY868,【参考】排出係数!$AI$4:$AI$671,1),1,BE868):INDEX((係数_バス貨物_ガソリン,係数_バス貨物_CNG,係数_バス貨物_軽油,係数_バス貨物_メタノール,係数_バス貨物_LPG),MATCH(AY868+1,【参考】排出係数!$AI$4:$AI$671,1)-1,5,BE868),2,FALSE),IF(OR(AW868=1,AW868=2),VLOOKUP(AU868,INDEX((係数_乗用_ガソリン,係数_乗用_CNG,係数_乗用_軽油,係数_乗用_メタノール,係数_乗用_LPG),1,1,BE868):INDEX((係数_乗用_ガソリン,係数_乗用_CNG,係数_乗用_軽油,係数_乗用_メタノール,係数_乗用_LPG),125,5,BE868),2,FALSE))))))</f>
        <v/>
      </c>
      <c r="BB868" s="468" t="str">
        <f>IF(T868="","",IF(OR(AU868="",AU868="-"),"－",IF(OR(AZ868=8,AZ868=9),"",IF(OR(AW868=3,AW868=4,AW868=5,AW868=6),VLOOKUP(AU868,INDEX((係数_バス貨物_ガソリン,係数_バス貨物_CNG,係数_バス貨物_軽油,係数_バス貨物_メタノール,係数_バス貨物_LPG),MATCH(AY868,【参考】排出係数!$AI$4:$AI$671,1),1,BE868):INDEX((係数_バス貨物_ガソリン,係数_バス貨物_CNG,係数_バス貨物_軽油,係数_バス貨物_メタノール,係数_バス貨物_LPG),MATCH(AY868+1,【参考】排出係数!$AI$4:$AI$671,1)-1,5,BE868),3,FALSE),IF(OR(AW868=1,AW868=2),VLOOKUP(AU868,INDEX((係数_乗用_ガソリン,係数_乗用_CNG,係数_乗用_軽油,係数_乗用_メタノール,係数_乗用_LPG),1,1,BE868):INDEX((係数_乗用_ガソリン,係数_乗用_CNG,係数_乗用_軽油,係数_乗用_メタノール,係数_乗用_LPG),125,5,BE868),3,FALSE))))))</f>
        <v/>
      </c>
      <c r="BC868" s="467" t="str">
        <f t="shared" si="482"/>
        <v/>
      </c>
      <c r="BD868" s="567" t="str">
        <f t="shared" si="483"/>
        <v/>
      </c>
      <c r="BE868" s="467" t="str">
        <f t="shared" si="484"/>
        <v/>
      </c>
      <c r="BF868" s="469" t="str">
        <f t="shared" ca="1" si="485"/>
        <v/>
      </c>
      <c r="BG868" s="469" t="str">
        <f t="shared" ca="1" si="486"/>
        <v/>
      </c>
      <c r="BH868" s="467" t="str">
        <f t="shared" si="487"/>
        <v/>
      </c>
      <c r="BI868" s="467" t="str">
        <f t="shared" ca="1" si="488"/>
        <v/>
      </c>
      <c r="BJ868" s="469" t="str">
        <f t="shared" si="489"/>
        <v/>
      </c>
      <c r="BK868" s="470" t="str">
        <f t="shared" si="473"/>
        <v/>
      </c>
      <c r="BL868" s="775" t="str">
        <f t="shared" si="490"/>
        <v/>
      </c>
      <c r="BM868" s="775" t="str">
        <f t="shared" si="491"/>
        <v/>
      </c>
    </row>
    <row r="869" spans="1:65">
      <c r="A869" s="473">
        <v>813</v>
      </c>
      <c r="B869" s="132"/>
      <c r="C869" s="332"/>
      <c r="D869" s="333"/>
      <c r="E869" s="333"/>
      <c r="F869" s="334"/>
      <c r="G869" s="337"/>
      <c r="H869" s="131"/>
      <c r="I869" s="337"/>
      <c r="J869" s="131"/>
      <c r="K869" s="458" t="str">
        <f t="shared" si="454"/>
        <v/>
      </c>
      <c r="L869" s="458">
        <f t="shared" si="455"/>
        <v>0</v>
      </c>
      <c r="M869" s="458">
        <f t="shared" si="456"/>
        <v>0</v>
      </c>
      <c r="N869" s="459" t="str">
        <f t="shared" si="467"/>
        <v/>
      </c>
      <c r="O869" s="459" t="str">
        <f t="shared" si="468"/>
        <v/>
      </c>
      <c r="P869" s="459" t="str">
        <f t="shared" si="469"/>
        <v/>
      </c>
      <c r="Q869" s="459" t="str">
        <f t="shared" si="470"/>
        <v/>
      </c>
      <c r="R869" s="459" t="str">
        <f t="shared" si="471"/>
        <v/>
      </c>
      <c r="S869" s="459" t="str">
        <f t="shared" si="472"/>
        <v/>
      </c>
      <c r="T869" s="566" t="str">
        <f t="shared" si="457"/>
        <v/>
      </c>
      <c r="U869" s="702"/>
      <c r="V869" s="132"/>
      <c r="W869" s="133"/>
      <c r="X869" s="134"/>
      <c r="Y869" s="135"/>
      <c r="Z869" s="137"/>
      <c r="AA869" s="136"/>
      <c r="AB869" s="566" t="str">
        <f t="shared" si="458"/>
        <v/>
      </c>
      <c r="AC869" s="568" t="str">
        <f t="shared" si="459"/>
        <v/>
      </c>
      <c r="AD869" s="137"/>
      <c r="AE869" s="137"/>
      <c r="AF869" s="138"/>
      <c r="AG869" s="138"/>
      <c r="AH869" s="592" t="str">
        <f t="shared" si="460"/>
        <v/>
      </c>
      <c r="AI869" s="592" t="str">
        <f t="shared" si="461"/>
        <v/>
      </c>
      <c r="AJ869" s="592" t="str">
        <f t="shared" si="462"/>
        <v/>
      </c>
      <c r="AK869" s="460" t="str">
        <f>IF(AU869="","",IF(OR(AZ869=8,AZ869=9),0,IF(OR(AW869=3,AW869=4,AW869=5,AW869=6),IF(LEFT(BF869,1)="1",INDEX(係数_NOX・PM低減,MATCH(AY869,【参考】排出係数!$AI$801:$AI$804,1),1),VLOOKUP(AU869,INDEX((係数_バス貨物_ガソリン,係数_バス貨物_CNG,係数_バス貨物_軽油,係数_バス貨物_メタノール,係数_バス貨物_LPG),MATCH(AY869,【参考】排出係数!$AI$4:$AI$671,1),1,BE869):INDEX((係数_バス貨物_ガソリン,係数_バス貨物_CNG,係数_バス貨物_軽油,係数_バス貨物_メタノール,係数_バス貨物_LPG),MATCH(AY869+1,【参考】排出係数!$AI$4:$AI$671,1)-1,5,BE869),4,FALSE)),IF(AND(BE869=3,LEFT(BF869,1)="1"),0.48,VLOOKUP(AU869,INDEX((係数_乗用_ガソリン,係数_乗用_CNG,係数_乗用_軽油,係数_乗用_メタノール,係数_乗用_LPG),1,1,BE869):INDEX((係数_乗用_ガソリン,係数_乗用_CNG,係数_乗用_軽油,係数_乗用_メタノール,係数_乗用_LPG),125,5,BE869),4,FALSE)))))</f>
        <v/>
      </c>
      <c r="AL869" s="461" t="str">
        <f t="shared" si="463"/>
        <v/>
      </c>
      <c r="AM869" s="460" t="str">
        <f>IF(AU869="","",IF(OR(AZ869=8,AZ869=9),0,IF(OR(AW869=3,AW869=4,AW869=5,AW869=6),IF(LEFT(BH869,1)="1",INDEX(係数_PM低減,MATCH(AY869,【参考】排出係数!$AI$801:$AI$804,1),MATCH(BI869,【参考】排出係数!$AL$798:$AO$798,1)),VLOOKUP(AU869,INDEX((係数_バス貨物_ガソリン,係数_バス貨物_CNG,係数_バス貨物_軽油,係数_バス貨物_メタノール,係数_バス貨物_LPG),MATCH(AY869,【参考】排出係数!$AI$4:$AI$671,1),1,BE869):INDEX((係数_バス貨物_ガソリン,係数_バス貨物_CNG,係数_バス貨物_軽油,係数_バス貨物_メタノール,係数_バス貨物_LPG),MATCH(AY869+1,【参考】排出係数!$AI$4:$AI$671,1)-1,5,BE869),5,FALSE)),IF(AND(BE869=3,LEFT(BF869,1)="1"),0.055,VLOOKUP(AU869,INDEX((係数_乗用_ガソリン,係数_乗用_CNG,係数_乗用_軽油,係数_乗用_メタノール,係数_乗用_LPG),1,1,BE869):INDEX((係数_乗用_ガソリン,係数_乗用_CNG,係数_乗用_軽油,係数_乗用_メタノール,係数_乗用_LPG),125,5,BE869),5,FALSE)))))</f>
        <v/>
      </c>
      <c r="AN869" s="461" t="str">
        <f t="shared" si="464"/>
        <v/>
      </c>
      <c r="AO869" s="462" t="str">
        <f t="shared" si="465"/>
        <v/>
      </c>
      <c r="AP869" s="463" t="str">
        <f t="shared" si="466"/>
        <v/>
      </c>
      <c r="AQ869" s="464"/>
      <c r="AR869" s="619"/>
      <c r="AS869" s="465" t="str">
        <f t="shared" si="474"/>
        <v/>
      </c>
      <c r="AT869" s="465" t="str">
        <f t="shared" si="475"/>
        <v/>
      </c>
      <c r="AU869" s="466" t="str">
        <f t="shared" si="476"/>
        <v/>
      </c>
      <c r="AV869" s="467" t="str">
        <f t="shared" si="477"/>
        <v/>
      </c>
      <c r="AW869" s="467" t="str">
        <f t="shared" si="478"/>
        <v/>
      </c>
      <c r="AX869" s="467" t="str">
        <f t="shared" si="479"/>
        <v/>
      </c>
      <c r="AY869" s="467" t="str">
        <f t="shared" si="480"/>
        <v/>
      </c>
      <c r="AZ869" s="467" t="str">
        <f t="shared" si="481"/>
        <v/>
      </c>
      <c r="BA869" s="468" t="str">
        <f>IF(AS869="","",IF(OR(AU869="",AU869="-"),"－",IF(OR(AZ869=8,AZ869=9),"",IF(OR(AW869=3,AW869=4,AW869=5,AW869=6),VLOOKUP(AU869,INDEX((係数_バス貨物_ガソリン,係数_バス貨物_CNG,係数_バス貨物_軽油,係数_バス貨物_メタノール,係数_バス貨物_LPG),MATCH(AY869,【参考】排出係数!$AI$4:$AI$671,1),1,BE869):INDEX((係数_バス貨物_ガソリン,係数_バス貨物_CNG,係数_バス貨物_軽油,係数_バス貨物_メタノール,係数_バス貨物_LPG),MATCH(AY869+1,【参考】排出係数!$AI$4:$AI$671,1)-1,5,BE869),2,FALSE),IF(OR(AW869=1,AW869=2),VLOOKUP(AU869,INDEX((係数_乗用_ガソリン,係数_乗用_CNG,係数_乗用_軽油,係数_乗用_メタノール,係数_乗用_LPG),1,1,BE869):INDEX((係数_乗用_ガソリン,係数_乗用_CNG,係数_乗用_軽油,係数_乗用_メタノール,係数_乗用_LPG),125,5,BE869),2,FALSE))))))</f>
        <v/>
      </c>
      <c r="BB869" s="468" t="str">
        <f>IF(T869="","",IF(OR(AU869="",AU869="-"),"－",IF(OR(AZ869=8,AZ869=9),"",IF(OR(AW869=3,AW869=4,AW869=5,AW869=6),VLOOKUP(AU869,INDEX((係数_バス貨物_ガソリン,係数_バス貨物_CNG,係数_バス貨物_軽油,係数_バス貨物_メタノール,係数_バス貨物_LPG),MATCH(AY869,【参考】排出係数!$AI$4:$AI$671,1),1,BE869):INDEX((係数_バス貨物_ガソリン,係数_バス貨物_CNG,係数_バス貨物_軽油,係数_バス貨物_メタノール,係数_バス貨物_LPG),MATCH(AY869+1,【参考】排出係数!$AI$4:$AI$671,1)-1,5,BE869),3,FALSE),IF(OR(AW869=1,AW869=2),VLOOKUP(AU869,INDEX((係数_乗用_ガソリン,係数_乗用_CNG,係数_乗用_軽油,係数_乗用_メタノール,係数_乗用_LPG),1,1,BE869):INDEX((係数_乗用_ガソリン,係数_乗用_CNG,係数_乗用_軽油,係数_乗用_メタノール,係数_乗用_LPG),125,5,BE869),3,FALSE))))))</f>
        <v/>
      </c>
      <c r="BC869" s="467" t="str">
        <f t="shared" si="482"/>
        <v/>
      </c>
      <c r="BD869" s="567" t="str">
        <f t="shared" si="483"/>
        <v/>
      </c>
      <c r="BE869" s="467" t="str">
        <f t="shared" si="484"/>
        <v/>
      </c>
      <c r="BF869" s="469" t="str">
        <f t="shared" ca="1" si="485"/>
        <v/>
      </c>
      <c r="BG869" s="469" t="str">
        <f t="shared" ca="1" si="486"/>
        <v/>
      </c>
      <c r="BH869" s="467" t="str">
        <f t="shared" si="487"/>
        <v/>
      </c>
      <c r="BI869" s="467" t="str">
        <f t="shared" ca="1" si="488"/>
        <v/>
      </c>
      <c r="BJ869" s="469" t="str">
        <f t="shared" si="489"/>
        <v/>
      </c>
      <c r="BK869" s="470" t="str">
        <f t="shared" si="473"/>
        <v/>
      </c>
      <c r="BL869" s="775" t="str">
        <f t="shared" si="490"/>
        <v/>
      </c>
      <c r="BM869" s="775" t="str">
        <f t="shared" si="491"/>
        <v/>
      </c>
    </row>
    <row r="870" spans="1:65">
      <c r="A870" s="473">
        <v>814</v>
      </c>
      <c r="B870" s="132"/>
      <c r="C870" s="332"/>
      <c r="D870" s="333"/>
      <c r="E870" s="333"/>
      <c r="F870" s="334"/>
      <c r="G870" s="337"/>
      <c r="H870" s="131"/>
      <c r="I870" s="337"/>
      <c r="J870" s="131"/>
      <c r="K870" s="458" t="str">
        <f t="shared" si="454"/>
        <v/>
      </c>
      <c r="L870" s="458">
        <f t="shared" si="455"/>
        <v>0</v>
      </c>
      <c r="M870" s="458">
        <f t="shared" si="456"/>
        <v>0</v>
      </c>
      <c r="N870" s="459" t="str">
        <f t="shared" si="467"/>
        <v/>
      </c>
      <c r="O870" s="459" t="str">
        <f t="shared" si="468"/>
        <v/>
      </c>
      <c r="P870" s="459" t="str">
        <f t="shared" si="469"/>
        <v/>
      </c>
      <c r="Q870" s="459" t="str">
        <f t="shared" si="470"/>
        <v/>
      </c>
      <c r="R870" s="459" t="str">
        <f t="shared" si="471"/>
        <v/>
      </c>
      <c r="S870" s="459" t="str">
        <f t="shared" si="472"/>
        <v/>
      </c>
      <c r="T870" s="566" t="str">
        <f t="shared" si="457"/>
        <v/>
      </c>
      <c r="U870" s="702"/>
      <c r="V870" s="132"/>
      <c r="W870" s="133"/>
      <c r="X870" s="134"/>
      <c r="Y870" s="135"/>
      <c r="Z870" s="137"/>
      <c r="AA870" s="136"/>
      <c r="AB870" s="566" t="str">
        <f t="shared" si="458"/>
        <v/>
      </c>
      <c r="AC870" s="568" t="str">
        <f t="shared" si="459"/>
        <v/>
      </c>
      <c r="AD870" s="137"/>
      <c r="AE870" s="137"/>
      <c r="AF870" s="138"/>
      <c r="AG870" s="138"/>
      <c r="AH870" s="592" t="str">
        <f t="shared" si="460"/>
        <v/>
      </c>
      <c r="AI870" s="592" t="str">
        <f t="shared" si="461"/>
        <v/>
      </c>
      <c r="AJ870" s="592" t="str">
        <f t="shared" si="462"/>
        <v/>
      </c>
      <c r="AK870" s="460" t="str">
        <f>IF(AU870="","",IF(OR(AZ870=8,AZ870=9),0,IF(OR(AW870=3,AW870=4,AW870=5,AW870=6),IF(LEFT(BF870,1)="1",INDEX(係数_NOX・PM低減,MATCH(AY870,【参考】排出係数!$AI$801:$AI$804,1),1),VLOOKUP(AU870,INDEX((係数_バス貨物_ガソリン,係数_バス貨物_CNG,係数_バス貨物_軽油,係数_バス貨物_メタノール,係数_バス貨物_LPG),MATCH(AY870,【参考】排出係数!$AI$4:$AI$671,1),1,BE870):INDEX((係数_バス貨物_ガソリン,係数_バス貨物_CNG,係数_バス貨物_軽油,係数_バス貨物_メタノール,係数_バス貨物_LPG),MATCH(AY870+1,【参考】排出係数!$AI$4:$AI$671,1)-1,5,BE870),4,FALSE)),IF(AND(BE870=3,LEFT(BF870,1)="1"),0.48,VLOOKUP(AU870,INDEX((係数_乗用_ガソリン,係数_乗用_CNG,係数_乗用_軽油,係数_乗用_メタノール,係数_乗用_LPG),1,1,BE870):INDEX((係数_乗用_ガソリン,係数_乗用_CNG,係数_乗用_軽油,係数_乗用_メタノール,係数_乗用_LPG),125,5,BE870),4,FALSE)))))</f>
        <v/>
      </c>
      <c r="AL870" s="461" t="str">
        <f t="shared" si="463"/>
        <v/>
      </c>
      <c r="AM870" s="460" t="str">
        <f>IF(AU870="","",IF(OR(AZ870=8,AZ870=9),0,IF(OR(AW870=3,AW870=4,AW870=5,AW870=6),IF(LEFT(BH870,1)="1",INDEX(係数_PM低減,MATCH(AY870,【参考】排出係数!$AI$801:$AI$804,1),MATCH(BI870,【参考】排出係数!$AL$798:$AO$798,1)),VLOOKUP(AU870,INDEX((係数_バス貨物_ガソリン,係数_バス貨物_CNG,係数_バス貨物_軽油,係数_バス貨物_メタノール,係数_バス貨物_LPG),MATCH(AY870,【参考】排出係数!$AI$4:$AI$671,1),1,BE870):INDEX((係数_バス貨物_ガソリン,係数_バス貨物_CNG,係数_バス貨物_軽油,係数_バス貨物_メタノール,係数_バス貨物_LPG),MATCH(AY870+1,【参考】排出係数!$AI$4:$AI$671,1)-1,5,BE870),5,FALSE)),IF(AND(BE870=3,LEFT(BF870,1)="1"),0.055,VLOOKUP(AU870,INDEX((係数_乗用_ガソリン,係数_乗用_CNG,係数_乗用_軽油,係数_乗用_メタノール,係数_乗用_LPG),1,1,BE870):INDEX((係数_乗用_ガソリン,係数_乗用_CNG,係数_乗用_軽油,係数_乗用_メタノール,係数_乗用_LPG),125,5,BE870),5,FALSE)))))</f>
        <v/>
      </c>
      <c r="AN870" s="461" t="str">
        <f t="shared" si="464"/>
        <v/>
      </c>
      <c r="AO870" s="462" t="str">
        <f t="shared" si="465"/>
        <v/>
      </c>
      <c r="AP870" s="463" t="str">
        <f t="shared" si="466"/>
        <v/>
      </c>
      <c r="AQ870" s="464"/>
      <c r="AR870" s="619"/>
      <c r="AS870" s="465" t="str">
        <f t="shared" si="474"/>
        <v/>
      </c>
      <c r="AT870" s="465" t="str">
        <f t="shared" si="475"/>
        <v/>
      </c>
      <c r="AU870" s="466" t="str">
        <f t="shared" si="476"/>
        <v/>
      </c>
      <c r="AV870" s="467" t="str">
        <f t="shared" si="477"/>
        <v/>
      </c>
      <c r="AW870" s="467" t="str">
        <f t="shared" si="478"/>
        <v/>
      </c>
      <c r="AX870" s="467" t="str">
        <f t="shared" si="479"/>
        <v/>
      </c>
      <c r="AY870" s="467" t="str">
        <f t="shared" si="480"/>
        <v/>
      </c>
      <c r="AZ870" s="467" t="str">
        <f t="shared" si="481"/>
        <v/>
      </c>
      <c r="BA870" s="468" t="str">
        <f>IF(AS870="","",IF(OR(AU870="",AU870="-"),"－",IF(OR(AZ870=8,AZ870=9),"",IF(OR(AW870=3,AW870=4,AW870=5,AW870=6),VLOOKUP(AU870,INDEX((係数_バス貨物_ガソリン,係数_バス貨物_CNG,係数_バス貨物_軽油,係数_バス貨物_メタノール,係数_バス貨物_LPG),MATCH(AY870,【参考】排出係数!$AI$4:$AI$671,1),1,BE870):INDEX((係数_バス貨物_ガソリン,係数_バス貨物_CNG,係数_バス貨物_軽油,係数_バス貨物_メタノール,係数_バス貨物_LPG),MATCH(AY870+1,【参考】排出係数!$AI$4:$AI$671,1)-1,5,BE870),2,FALSE),IF(OR(AW870=1,AW870=2),VLOOKUP(AU870,INDEX((係数_乗用_ガソリン,係数_乗用_CNG,係数_乗用_軽油,係数_乗用_メタノール,係数_乗用_LPG),1,1,BE870):INDEX((係数_乗用_ガソリン,係数_乗用_CNG,係数_乗用_軽油,係数_乗用_メタノール,係数_乗用_LPG),125,5,BE870),2,FALSE))))))</f>
        <v/>
      </c>
      <c r="BB870" s="468" t="str">
        <f>IF(T870="","",IF(OR(AU870="",AU870="-"),"－",IF(OR(AZ870=8,AZ870=9),"",IF(OR(AW870=3,AW870=4,AW870=5,AW870=6),VLOOKUP(AU870,INDEX((係数_バス貨物_ガソリン,係数_バス貨物_CNG,係数_バス貨物_軽油,係数_バス貨物_メタノール,係数_バス貨物_LPG),MATCH(AY870,【参考】排出係数!$AI$4:$AI$671,1),1,BE870):INDEX((係数_バス貨物_ガソリン,係数_バス貨物_CNG,係数_バス貨物_軽油,係数_バス貨物_メタノール,係数_バス貨物_LPG),MATCH(AY870+1,【参考】排出係数!$AI$4:$AI$671,1)-1,5,BE870),3,FALSE),IF(OR(AW870=1,AW870=2),VLOOKUP(AU870,INDEX((係数_乗用_ガソリン,係数_乗用_CNG,係数_乗用_軽油,係数_乗用_メタノール,係数_乗用_LPG),1,1,BE870):INDEX((係数_乗用_ガソリン,係数_乗用_CNG,係数_乗用_軽油,係数_乗用_メタノール,係数_乗用_LPG),125,5,BE870),3,FALSE))))))</f>
        <v/>
      </c>
      <c r="BC870" s="467" t="str">
        <f t="shared" si="482"/>
        <v/>
      </c>
      <c r="BD870" s="567" t="str">
        <f t="shared" si="483"/>
        <v/>
      </c>
      <c r="BE870" s="467" t="str">
        <f t="shared" si="484"/>
        <v/>
      </c>
      <c r="BF870" s="469" t="str">
        <f t="shared" ca="1" si="485"/>
        <v/>
      </c>
      <c r="BG870" s="469" t="str">
        <f t="shared" ca="1" si="486"/>
        <v/>
      </c>
      <c r="BH870" s="467" t="str">
        <f t="shared" si="487"/>
        <v/>
      </c>
      <c r="BI870" s="467" t="str">
        <f t="shared" ca="1" si="488"/>
        <v/>
      </c>
      <c r="BJ870" s="469" t="str">
        <f t="shared" si="489"/>
        <v/>
      </c>
      <c r="BK870" s="470" t="str">
        <f t="shared" si="473"/>
        <v/>
      </c>
      <c r="BL870" s="775" t="str">
        <f t="shared" si="490"/>
        <v/>
      </c>
      <c r="BM870" s="775" t="str">
        <f t="shared" si="491"/>
        <v/>
      </c>
    </row>
    <row r="871" spans="1:65">
      <c r="A871" s="473">
        <v>815</v>
      </c>
      <c r="B871" s="132"/>
      <c r="C871" s="332"/>
      <c r="D871" s="333"/>
      <c r="E871" s="333"/>
      <c r="F871" s="334"/>
      <c r="G871" s="337"/>
      <c r="H871" s="131"/>
      <c r="I871" s="337"/>
      <c r="J871" s="131"/>
      <c r="K871" s="458" t="str">
        <f t="shared" si="454"/>
        <v/>
      </c>
      <c r="L871" s="458">
        <f t="shared" si="455"/>
        <v>0</v>
      </c>
      <c r="M871" s="458">
        <f t="shared" si="456"/>
        <v>0</v>
      </c>
      <c r="N871" s="459" t="str">
        <f t="shared" si="467"/>
        <v/>
      </c>
      <c r="O871" s="459" t="str">
        <f t="shared" si="468"/>
        <v/>
      </c>
      <c r="P871" s="459" t="str">
        <f t="shared" si="469"/>
        <v/>
      </c>
      <c r="Q871" s="459" t="str">
        <f t="shared" si="470"/>
        <v/>
      </c>
      <c r="R871" s="459" t="str">
        <f t="shared" si="471"/>
        <v/>
      </c>
      <c r="S871" s="459" t="str">
        <f t="shared" si="472"/>
        <v/>
      </c>
      <c r="T871" s="566" t="str">
        <f t="shared" si="457"/>
        <v/>
      </c>
      <c r="U871" s="702"/>
      <c r="V871" s="132"/>
      <c r="W871" s="133"/>
      <c r="X871" s="134"/>
      <c r="Y871" s="135"/>
      <c r="Z871" s="137"/>
      <c r="AA871" s="136"/>
      <c r="AB871" s="566" t="str">
        <f t="shared" si="458"/>
        <v/>
      </c>
      <c r="AC871" s="568" t="str">
        <f t="shared" si="459"/>
        <v/>
      </c>
      <c r="AD871" s="137"/>
      <c r="AE871" s="137"/>
      <c r="AF871" s="138"/>
      <c r="AG871" s="138"/>
      <c r="AH871" s="592" t="str">
        <f t="shared" si="460"/>
        <v/>
      </c>
      <c r="AI871" s="592" t="str">
        <f t="shared" si="461"/>
        <v/>
      </c>
      <c r="AJ871" s="592" t="str">
        <f t="shared" si="462"/>
        <v/>
      </c>
      <c r="AK871" s="460" t="str">
        <f>IF(AU871="","",IF(OR(AZ871=8,AZ871=9),0,IF(OR(AW871=3,AW871=4,AW871=5,AW871=6),IF(LEFT(BF871,1)="1",INDEX(係数_NOX・PM低減,MATCH(AY871,【参考】排出係数!$AI$801:$AI$804,1),1),VLOOKUP(AU871,INDEX((係数_バス貨物_ガソリン,係数_バス貨物_CNG,係数_バス貨物_軽油,係数_バス貨物_メタノール,係数_バス貨物_LPG),MATCH(AY871,【参考】排出係数!$AI$4:$AI$671,1),1,BE871):INDEX((係数_バス貨物_ガソリン,係数_バス貨物_CNG,係数_バス貨物_軽油,係数_バス貨物_メタノール,係数_バス貨物_LPG),MATCH(AY871+1,【参考】排出係数!$AI$4:$AI$671,1)-1,5,BE871),4,FALSE)),IF(AND(BE871=3,LEFT(BF871,1)="1"),0.48,VLOOKUP(AU871,INDEX((係数_乗用_ガソリン,係数_乗用_CNG,係数_乗用_軽油,係数_乗用_メタノール,係数_乗用_LPG),1,1,BE871):INDEX((係数_乗用_ガソリン,係数_乗用_CNG,係数_乗用_軽油,係数_乗用_メタノール,係数_乗用_LPG),125,5,BE871),4,FALSE)))))</f>
        <v/>
      </c>
      <c r="AL871" s="461" t="str">
        <f t="shared" si="463"/>
        <v/>
      </c>
      <c r="AM871" s="460" t="str">
        <f>IF(AU871="","",IF(OR(AZ871=8,AZ871=9),0,IF(OR(AW871=3,AW871=4,AW871=5,AW871=6),IF(LEFT(BH871,1)="1",INDEX(係数_PM低減,MATCH(AY871,【参考】排出係数!$AI$801:$AI$804,1),MATCH(BI871,【参考】排出係数!$AL$798:$AO$798,1)),VLOOKUP(AU871,INDEX((係数_バス貨物_ガソリン,係数_バス貨物_CNG,係数_バス貨物_軽油,係数_バス貨物_メタノール,係数_バス貨物_LPG),MATCH(AY871,【参考】排出係数!$AI$4:$AI$671,1),1,BE871):INDEX((係数_バス貨物_ガソリン,係数_バス貨物_CNG,係数_バス貨物_軽油,係数_バス貨物_メタノール,係数_バス貨物_LPG),MATCH(AY871+1,【参考】排出係数!$AI$4:$AI$671,1)-1,5,BE871),5,FALSE)),IF(AND(BE871=3,LEFT(BF871,1)="1"),0.055,VLOOKUP(AU871,INDEX((係数_乗用_ガソリン,係数_乗用_CNG,係数_乗用_軽油,係数_乗用_メタノール,係数_乗用_LPG),1,1,BE871):INDEX((係数_乗用_ガソリン,係数_乗用_CNG,係数_乗用_軽油,係数_乗用_メタノール,係数_乗用_LPG),125,5,BE871),5,FALSE)))))</f>
        <v/>
      </c>
      <c r="AN871" s="461" t="str">
        <f t="shared" si="464"/>
        <v/>
      </c>
      <c r="AO871" s="462" t="str">
        <f t="shared" si="465"/>
        <v/>
      </c>
      <c r="AP871" s="463" t="str">
        <f t="shared" si="466"/>
        <v/>
      </c>
      <c r="AQ871" s="464"/>
      <c r="AR871" s="619"/>
      <c r="AS871" s="465" t="str">
        <f t="shared" si="474"/>
        <v/>
      </c>
      <c r="AT871" s="465" t="str">
        <f t="shared" si="475"/>
        <v/>
      </c>
      <c r="AU871" s="466" t="str">
        <f t="shared" si="476"/>
        <v/>
      </c>
      <c r="AV871" s="467" t="str">
        <f t="shared" si="477"/>
        <v/>
      </c>
      <c r="AW871" s="467" t="str">
        <f t="shared" si="478"/>
        <v/>
      </c>
      <c r="AX871" s="467" t="str">
        <f t="shared" si="479"/>
        <v/>
      </c>
      <c r="AY871" s="467" t="str">
        <f t="shared" si="480"/>
        <v/>
      </c>
      <c r="AZ871" s="467" t="str">
        <f t="shared" si="481"/>
        <v/>
      </c>
      <c r="BA871" s="468" t="str">
        <f>IF(AS871="","",IF(OR(AU871="",AU871="-"),"－",IF(OR(AZ871=8,AZ871=9),"",IF(OR(AW871=3,AW871=4,AW871=5,AW871=6),VLOOKUP(AU871,INDEX((係数_バス貨物_ガソリン,係数_バス貨物_CNG,係数_バス貨物_軽油,係数_バス貨物_メタノール,係数_バス貨物_LPG),MATCH(AY871,【参考】排出係数!$AI$4:$AI$671,1),1,BE871):INDEX((係数_バス貨物_ガソリン,係数_バス貨物_CNG,係数_バス貨物_軽油,係数_バス貨物_メタノール,係数_バス貨物_LPG),MATCH(AY871+1,【参考】排出係数!$AI$4:$AI$671,1)-1,5,BE871),2,FALSE),IF(OR(AW871=1,AW871=2),VLOOKUP(AU871,INDEX((係数_乗用_ガソリン,係数_乗用_CNG,係数_乗用_軽油,係数_乗用_メタノール,係数_乗用_LPG),1,1,BE871):INDEX((係数_乗用_ガソリン,係数_乗用_CNG,係数_乗用_軽油,係数_乗用_メタノール,係数_乗用_LPG),125,5,BE871),2,FALSE))))))</f>
        <v/>
      </c>
      <c r="BB871" s="468" t="str">
        <f>IF(T871="","",IF(OR(AU871="",AU871="-"),"－",IF(OR(AZ871=8,AZ871=9),"",IF(OR(AW871=3,AW871=4,AW871=5,AW871=6),VLOOKUP(AU871,INDEX((係数_バス貨物_ガソリン,係数_バス貨物_CNG,係数_バス貨物_軽油,係数_バス貨物_メタノール,係数_バス貨物_LPG),MATCH(AY871,【参考】排出係数!$AI$4:$AI$671,1),1,BE871):INDEX((係数_バス貨物_ガソリン,係数_バス貨物_CNG,係数_バス貨物_軽油,係数_バス貨物_メタノール,係数_バス貨物_LPG),MATCH(AY871+1,【参考】排出係数!$AI$4:$AI$671,1)-1,5,BE871),3,FALSE),IF(OR(AW871=1,AW871=2),VLOOKUP(AU871,INDEX((係数_乗用_ガソリン,係数_乗用_CNG,係数_乗用_軽油,係数_乗用_メタノール,係数_乗用_LPG),1,1,BE871):INDEX((係数_乗用_ガソリン,係数_乗用_CNG,係数_乗用_軽油,係数_乗用_メタノール,係数_乗用_LPG),125,5,BE871),3,FALSE))))))</f>
        <v/>
      </c>
      <c r="BC871" s="467" t="str">
        <f t="shared" si="482"/>
        <v/>
      </c>
      <c r="BD871" s="567" t="str">
        <f t="shared" si="483"/>
        <v/>
      </c>
      <c r="BE871" s="467" t="str">
        <f t="shared" si="484"/>
        <v/>
      </c>
      <c r="BF871" s="469" t="str">
        <f t="shared" ca="1" si="485"/>
        <v/>
      </c>
      <c r="BG871" s="469" t="str">
        <f t="shared" ca="1" si="486"/>
        <v/>
      </c>
      <c r="BH871" s="467" t="str">
        <f t="shared" si="487"/>
        <v/>
      </c>
      <c r="BI871" s="467" t="str">
        <f t="shared" ca="1" si="488"/>
        <v/>
      </c>
      <c r="BJ871" s="469" t="str">
        <f t="shared" si="489"/>
        <v/>
      </c>
      <c r="BK871" s="470" t="str">
        <f t="shared" si="473"/>
        <v/>
      </c>
      <c r="BL871" s="775" t="str">
        <f t="shared" si="490"/>
        <v/>
      </c>
      <c r="BM871" s="775" t="str">
        <f t="shared" si="491"/>
        <v/>
      </c>
    </row>
    <row r="872" spans="1:65">
      <c r="A872" s="473">
        <v>816</v>
      </c>
      <c r="B872" s="132"/>
      <c r="C872" s="332"/>
      <c r="D872" s="333"/>
      <c r="E872" s="333"/>
      <c r="F872" s="334"/>
      <c r="G872" s="337"/>
      <c r="H872" s="131"/>
      <c r="I872" s="337"/>
      <c r="J872" s="131"/>
      <c r="K872" s="458" t="str">
        <f t="shared" si="454"/>
        <v/>
      </c>
      <c r="L872" s="458">
        <f t="shared" si="455"/>
        <v>0</v>
      </c>
      <c r="M872" s="458">
        <f t="shared" si="456"/>
        <v>0</v>
      </c>
      <c r="N872" s="459" t="str">
        <f t="shared" si="467"/>
        <v/>
      </c>
      <c r="O872" s="459" t="str">
        <f t="shared" si="468"/>
        <v/>
      </c>
      <c r="P872" s="459" t="str">
        <f t="shared" si="469"/>
        <v/>
      </c>
      <c r="Q872" s="459" t="str">
        <f t="shared" si="470"/>
        <v/>
      </c>
      <c r="R872" s="459" t="str">
        <f t="shared" si="471"/>
        <v/>
      </c>
      <c r="S872" s="459" t="str">
        <f t="shared" si="472"/>
        <v/>
      </c>
      <c r="T872" s="566" t="str">
        <f t="shared" si="457"/>
        <v/>
      </c>
      <c r="U872" s="702"/>
      <c r="V872" s="132"/>
      <c r="W872" s="133"/>
      <c r="X872" s="134"/>
      <c r="Y872" s="135"/>
      <c r="Z872" s="137"/>
      <c r="AA872" s="136"/>
      <c r="AB872" s="566" t="str">
        <f t="shared" si="458"/>
        <v/>
      </c>
      <c r="AC872" s="568" t="str">
        <f t="shared" si="459"/>
        <v/>
      </c>
      <c r="AD872" s="137"/>
      <c r="AE872" s="137"/>
      <c r="AF872" s="138"/>
      <c r="AG872" s="138"/>
      <c r="AH872" s="592" t="str">
        <f t="shared" si="460"/>
        <v/>
      </c>
      <c r="AI872" s="592" t="str">
        <f t="shared" si="461"/>
        <v/>
      </c>
      <c r="AJ872" s="592" t="str">
        <f t="shared" si="462"/>
        <v/>
      </c>
      <c r="AK872" s="460" t="str">
        <f>IF(AU872="","",IF(OR(AZ872=8,AZ872=9),0,IF(OR(AW872=3,AW872=4,AW872=5,AW872=6),IF(LEFT(BF872,1)="1",INDEX(係数_NOX・PM低減,MATCH(AY872,【参考】排出係数!$AI$801:$AI$804,1),1),VLOOKUP(AU872,INDEX((係数_バス貨物_ガソリン,係数_バス貨物_CNG,係数_バス貨物_軽油,係数_バス貨物_メタノール,係数_バス貨物_LPG),MATCH(AY872,【参考】排出係数!$AI$4:$AI$671,1),1,BE872):INDEX((係数_バス貨物_ガソリン,係数_バス貨物_CNG,係数_バス貨物_軽油,係数_バス貨物_メタノール,係数_バス貨物_LPG),MATCH(AY872+1,【参考】排出係数!$AI$4:$AI$671,1)-1,5,BE872),4,FALSE)),IF(AND(BE872=3,LEFT(BF872,1)="1"),0.48,VLOOKUP(AU872,INDEX((係数_乗用_ガソリン,係数_乗用_CNG,係数_乗用_軽油,係数_乗用_メタノール,係数_乗用_LPG),1,1,BE872):INDEX((係数_乗用_ガソリン,係数_乗用_CNG,係数_乗用_軽油,係数_乗用_メタノール,係数_乗用_LPG),125,5,BE872),4,FALSE)))))</f>
        <v/>
      </c>
      <c r="AL872" s="461" t="str">
        <f t="shared" si="463"/>
        <v/>
      </c>
      <c r="AM872" s="460" t="str">
        <f>IF(AU872="","",IF(OR(AZ872=8,AZ872=9),0,IF(OR(AW872=3,AW872=4,AW872=5,AW872=6),IF(LEFT(BH872,1)="1",INDEX(係数_PM低減,MATCH(AY872,【参考】排出係数!$AI$801:$AI$804,1),MATCH(BI872,【参考】排出係数!$AL$798:$AO$798,1)),VLOOKUP(AU872,INDEX((係数_バス貨物_ガソリン,係数_バス貨物_CNG,係数_バス貨物_軽油,係数_バス貨物_メタノール,係数_バス貨物_LPG),MATCH(AY872,【参考】排出係数!$AI$4:$AI$671,1),1,BE872):INDEX((係数_バス貨物_ガソリン,係数_バス貨物_CNG,係数_バス貨物_軽油,係数_バス貨物_メタノール,係数_バス貨物_LPG),MATCH(AY872+1,【参考】排出係数!$AI$4:$AI$671,1)-1,5,BE872),5,FALSE)),IF(AND(BE872=3,LEFT(BF872,1)="1"),0.055,VLOOKUP(AU872,INDEX((係数_乗用_ガソリン,係数_乗用_CNG,係数_乗用_軽油,係数_乗用_メタノール,係数_乗用_LPG),1,1,BE872):INDEX((係数_乗用_ガソリン,係数_乗用_CNG,係数_乗用_軽油,係数_乗用_メタノール,係数_乗用_LPG),125,5,BE872),5,FALSE)))))</f>
        <v/>
      </c>
      <c r="AN872" s="461" t="str">
        <f t="shared" si="464"/>
        <v/>
      </c>
      <c r="AO872" s="462" t="str">
        <f t="shared" si="465"/>
        <v/>
      </c>
      <c r="AP872" s="463" t="str">
        <f t="shared" si="466"/>
        <v/>
      </c>
      <c r="AQ872" s="464"/>
      <c r="AR872" s="619"/>
      <c r="AS872" s="465" t="str">
        <f t="shared" si="474"/>
        <v/>
      </c>
      <c r="AT872" s="465" t="str">
        <f t="shared" si="475"/>
        <v/>
      </c>
      <c r="AU872" s="466" t="str">
        <f t="shared" si="476"/>
        <v/>
      </c>
      <c r="AV872" s="467" t="str">
        <f t="shared" si="477"/>
        <v/>
      </c>
      <c r="AW872" s="467" t="str">
        <f t="shared" si="478"/>
        <v/>
      </c>
      <c r="AX872" s="467" t="str">
        <f t="shared" si="479"/>
        <v/>
      </c>
      <c r="AY872" s="467" t="str">
        <f t="shared" si="480"/>
        <v/>
      </c>
      <c r="AZ872" s="467" t="str">
        <f t="shared" si="481"/>
        <v/>
      </c>
      <c r="BA872" s="468" t="str">
        <f>IF(AS872="","",IF(OR(AU872="",AU872="-"),"－",IF(OR(AZ872=8,AZ872=9),"",IF(OR(AW872=3,AW872=4,AW872=5,AW872=6),VLOOKUP(AU872,INDEX((係数_バス貨物_ガソリン,係数_バス貨物_CNG,係数_バス貨物_軽油,係数_バス貨物_メタノール,係数_バス貨物_LPG),MATCH(AY872,【参考】排出係数!$AI$4:$AI$671,1),1,BE872):INDEX((係数_バス貨物_ガソリン,係数_バス貨物_CNG,係数_バス貨物_軽油,係数_バス貨物_メタノール,係数_バス貨物_LPG),MATCH(AY872+1,【参考】排出係数!$AI$4:$AI$671,1)-1,5,BE872),2,FALSE),IF(OR(AW872=1,AW872=2),VLOOKUP(AU872,INDEX((係数_乗用_ガソリン,係数_乗用_CNG,係数_乗用_軽油,係数_乗用_メタノール,係数_乗用_LPG),1,1,BE872):INDEX((係数_乗用_ガソリン,係数_乗用_CNG,係数_乗用_軽油,係数_乗用_メタノール,係数_乗用_LPG),125,5,BE872),2,FALSE))))))</f>
        <v/>
      </c>
      <c r="BB872" s="468" t="str">
        <f>IF(T872="","",IF(OR(AU872="",AU872="-"),"－",IF(OR(AZ872=8,AZ872=9),"",IF(OR(AW872=3,AW872=4,AW872=5,AW872=6),VLOOKUP(AU872,INDEX((係数_バス貨物_ガソリン,係数_バス貨物_CNG,係数_バス貨物_軽油,係数_バス貨物_メタノール,係数_バス貨物_LPG),MATCH(AY872,【参考】排出係数!$AI$4:$AI$671,1),1,BE872):INDEX((係数_バス貨物_ガソリン,係数_バス貨物_CNG,係数_バス貨物_軽油,係数_バス貨物_メタノール,係数_バス貨物_LPG),MATCH(AY872+1,【参考】排出係数!$AI$4:$AI$671,1)-1,5,BE872),3,FALSE),IF(OR(AW872=1,AW872=2),VLOOKUP(AU872,INDEX((係数_乗用_ガソリン,係数_乗用_CNG,係数_乗用_軽油,係数_乗用_メタノール,係数_乗用_LPG),1,1,BE872):INDEX((係数_乗用_ガソリン,係数_乗用_CNG,係数_乗用_軽油,係数_乗用_メタノール,係数_乗用_LPG),125,5,BE872),3,FALSE))))))</f>
        <v/>
      </c>
      <c r="BC872" s="467" t="str">
        <f t="shared" si="482"/>
        <v/>
      </c>
      <c r="BD872" s="567" t="str">
        <f t="shared" si="483"/>
        <v/>
      </c>
      <c r="BE872" s="467" t="str">
        <f t="shared" si="484"/>
        <v/>
      </c>
      <c r="BF872" s="469" t="str">
        <f t="shared" ca="1" si="485"/>
        <v/>
      </c>
      <c r="BG872" s="469" t="str">
        <f t="shared" ca="1" si="486"/>
        <v/>
      </c>
      <c r="BH872" s="467" t="str">
        <f t="shared" si="487"/>
        <v/>
      </c>
      <c r="BI872" s="467" t="str">
        <f t="shared" ca="1" si="488"/>
        <v/>
      </c>
      <c r="BJ872" s="469" t="str">
        <f t="shared" si="489"/>
        <v/>
      </c>
      <c r="BK872" s="470" t="str">
        <f t="shared" si="473"/>
        <v/>
      </c>
      <c r="BL872" s="775" t="str">
        <f t="shared" si="490"/>
        <v/>
      </c>
      <c r="BM872" s="775" t="str">
        <f t="shared" si="491"/>
        <v/>
      </c>
    </row>
    <row r="873" spans="1:65">
      <c r="A873" s="473">
        <v>817</v>
      </c>
      <c r="B873" s="132"/>
      <c r="C873" s="332"/>
      <c r="D873" s="333"/>
      <c r="E873" s="333"/>
      <c r="F873" s="334"/>
      <c r="G873" s="337"/>
      <c r="H873" s="131"/>
      <c r="I873" s="337"/>
      <c r="J873" s="131"/>
      <c r="K873" s="458" t="str">
        <f t="shared" si="454"/>
        <v/>
      </c>
      <c r="L873" s="458">
        <f t="shared" si="455"/>
        <v>0</v>
      </c>
      <c r="M873" s="458">
        <f t="shared" si="456"/>
        <v>0</v>
      </c>
      <c r="N873" s="459" t="str">
        <f t="shared" si="467"/>
        <v/>
      </c>
      <c r="O873" s="459" t="str">
        <f t="shared" si="468"/>
        <v/>
      </c>
      <c r="P873" s="459" t="str">
        <f t="shared" si="469"/>
        <v/>
      </c>
      <c r="Q873" s="459" t="str">
        <f t="shared" si="470"/>
        <v/>
      </c>
      <c r="R873" s="459" t="str">
        <f t="shared" si="471"/>
        <v/>
      </c>
      <c r="S873" s="459" t="str">
        <f t="shared" si="472"/>
        <v/>
      </c>
      <c r="T873" s="566" t="str">
        <f t="shared" si="457"/>
        <v/>
      </c>
      <c r="U873" s="702"/>
      <c r="V873" s="132"/>
      <c r="W873" s="133"/>
      <c r="X873" s="134"/>
      <c r="Y873" s="135"/>
      <c r="Z873" s="137"/>
      <c r="AA873" s="136"/>
      <c r="AB873" s="566" t="str">
        <f t="shared" si="458"/>
        <v/>
      </c>
      <c r="AC873" s="568" t="str">
        <f t="shared" si="459"/>
        <v/>
      </c>
      <c r="AD873" s="137"/>
      <c r="AE873" s="137"/>
      <c r="AF873" s="138"/>
      <c r="AG873" s="138"/>
      <c r="AH873" s="592" t="str">
        <f t="shared" si="460"/>
        <v/>
      </c>
      <c r="AI873" s="592" t="str">
        <f t="shared" si="461"/>
        <v/>
      </c>
      <c r="AJ873" s="592" t="str">
        <f t="shared" si="462"/>
        <v/>
      </c>
      <c r="AK873" s="460" t="str">
        <f>IF(AU873="","",IF(OR(AZ873=8,AZ873=9),0,IF(OR(AW873=3,AW873=4,AW873=5,AW873=6),IF(LEFT(BF873,1)="1",INDEX(係数_NOX・PM低減,MATCH(AY873,【参考】排出係数!$AI$801:$AI$804,1),1),VLOOKUP(AU873,INDEX((係数_バス貨物_ガソリン,係数_バス貨物_CNG,係数_バス貨物_軽油,係数_バス貨物_メタノール,係数_バス貨物_LPG),MATCH(AY873,【参考】排出係数!$AI$4:$AI$671,1),1,BE873):INDEX((係数_バス貨物_ガソリン,係数_バス貨物_CNG,係数_バス貨物_軽油,係数_バス貨物_メタノール,係数_バス貨物_LPG),MATCH(AY873+1,【参考】排出係数!$AI$4:$AI$671,1)-1,5,BE873),4,FALSE)),IF(AND(BE873=3,LEFT(BF873,1)="1"),0.48,VLOOKUP(AU873,INDEX((係数_乗用_ガソリン,係数_乗用_CNG,係数_乗用_軽油,係数_乗用_メタノール,係数_乗用_LPG),1,1,BE873):INDEX((係数_乗用_ガソリン,係数_乗用_CNG,係数_乗用_軽油,係数_乗用_メタノール,係数_乗用_LPG),125,5,BE873),4,FALSE)))))</f>
        <v/>
      </c>
      <c r="AL873" s="461" t="str">
        <f t="shared" si="463"/>
        <v/>
      </c>
      <c r="AM873" s="460" t="str">
        <f>IF(AU873="","",IF(OR(AZ873=8,AZ873=9),0,IF(OR(AW873=3,AW873=4,AW873=5,AW873=6),IF(LEFT(BH873,1)="1",INDEX(係数_PM低減,MATCH(AY873,【参考】排出係数!$AI$801:$AI$804,1),MATCH(BI873,【参考】排出係数!$AL$798:$AO$798,1)),VLOOKUP(AU873,INDEX((係数_バス貨物_ガソリン,係数_バス貨物_CNG,係数_バス貨物_軽油,係数_バス貨物_メタノール,係数_バス貨物_LPG),MATCH(AY873,【参考】排出係数!$AI$4:$AI$671,1),1,BE873):INDEX((係数_バス貨物_ガソリン,係数_バス貨物_CNG,係数_バス貨物_軽油,係数_バス貨物_メタノール,係数_バス貨物_LPG),MATCH(AY873+1,【参考】排出係数!$AI$4:$AI$671,1)-1,5,BE873),5,FALSE)),IF(AND(BE873=3,LEFT(BF873,1)="1"),0.055,VLOOKUP(AU873,INDEX((係数_乗用_ガソリン,係数_乗用_CNG,係数_乗用_軽油,係数_乗用_メタノール,係数_乗用_LPG),1,1,BE873):INDEX((係数_乗用_ガソリン,係数_乗用_CNG,係数_乗用_軽油,係数_乗用_メタノール,係数_乗用_LPG),125,5,BE873),5,FALSE)))))</f>
        <v/>
      </c>
      <c r="AN873" s="461" t="str">
        <f t="shared" si="464"/>
        <v/>
      </c>
      <c r="AO873" s="462" t="str">
        <f t="shared" si="465"/>
        <v/>
      </c>
      <c r="AP873" s="463" t="str">
        <f t="shared" si="466"/>
        <v/>
      </c>
      <c r="AQ873" s="464"/>
      <c r="AR873" s="619"/>
      <c r="AS873" s="465" t="str">
        <f t="shared" si="474"/>
        <v/>
      </c>
      <c r="AT873" s="465" t="str">
        <f t="shared" si="475"/>
        <v/>
      </c>
      <c r="AU873" s="466" t="str">
        <f t="shared" si="476"/>
        <v/>
      </c>
      <c r="AV873" s="467" t="str">
        <f t="shared" si="477"/>
        <v/>
      </c>
      <c r="AW873" s="467" t="str">
        <f t="shared" si="478"/>
        <v/>
      </c>
      <c r="AX873" s="467" t="str">
        <f t="shared" si="479"/>
        <v/>
      </c>
      <c r="AY873" s="467" t="str">
        <f t="shared" si="480"/>
        <v/>
      </c>
      <c r="AZ873" s="467" t="str">
        <f t="shared" si="481"/>
        <v/>
      </c>
      <c r="BA873" s="468" t="str">
        <f>IF(AS873="","",IF(OR(AU873="",AU873="-"),"－",IF(OR(AZ873=8,AZ873=9),"",IF(OR(AW873=3,AW873=4,AW873=5,AW873=6),VLOOKUP(AU873,INDEX((係数_バス貨物_ガソリン,係数_バス貨物_CNG,係数_バス貨物_軽油,係数_バス貨物_メタノール,係数_バス貨物_LPG),MATCH(AY873,【参考】排出係数!$AI$4:$AI$671,1),1,BE873):INDEX((係数_バス貨物_ガソリン,係数_バス貨物_CNG,係数_バス貨物_軽油,係数_バス貨物_メタノール,係数_バス貨物_LPG),MATCH(AY873+1,【参考】排出係数!$AI$4:$AI$671,1)-1,5,BE873),2,FALSE),IF(OR(AW873=1,AW873=2),VLOOKUP(AU873,INDEX((係数_乗用_ガソリン,係数_乗用_CNG,係数_乗用_軽油,係数_乗用_メタノール,係数_乗用_LPG),1,1,BE873):INDEX((係数_乗用_ガソリン,係数_乗用_CNG,係数_乗用_軽油,係数_乗用_メタノール,係数_乗用_LPG),125,5,BE873),2,FALSE))))))</f>
        <v/>
      </c>
      <c r="BB873" s="468" t="str">
        <f>IF(T873="","",IF(OR(AU873="",AU873="-"),"－",IF(OR(AZ873=8,AZ873=9),"",IF(OR(AW873=3,AW873=4,AW873=5,AW873=6),VLOOKUP(AU873,INDEX((係数_バス貨物_ガソリン,係数_バス貨物_CNG,係数_バス貨物_軽油,係数_バス貨物_メタノール,係数_バス貨物_LPG),MATCH(AY873,【参考】排出係数!$AI$4:$AI$671,1),1,BE873):INDEX((係数_バス貨物_ガソリン,係数_バス貨物_CNG,係数_バス貨物_軽油,係数_バス貨物_メタノール,係数_バス貨物_LPG),MATCH(AY873+1,【参考】排出係数!$AI$4:$AI$671,1)-1,5,BE873),3,FALSE),IF(OR(AW873=1,AW873=2),VLOOKUP(AU873,INDEX((係数_乗用_ガソリン,係数_乗用_CNG,係数_乗用_軽油,係数_乗用_メタノール,係数_乗用_LPG),1,1,BE873):INDEX((係数_乗用_ガソリン,係数_乗用_CNG,係数_乗用_軽油,係数_乗用_メタノール,係数_乗用_LPG),125,5,BE873),3,FALSE))))))</f>
        <v/>
      </c>
      <c r="BC873" s="467" t="str">
        <f t="shared" si="482"/>
        <v/>
      </c>
      <c r="BD873" s="567" t="str">
        <f t="shared" si="483"/>
        <v/>
      </c>
      <c r="BE873" s="467" t="str">
        <f t="shared" si="484"/>
        <v/>
      </c>
      <c r="BF873" s="469" t="str">
        <f t="shared" ca="1" si="485"/>
        <v/>
      </c>
      <c r="BG873" s="469" t="str">
        <f t="shared" ca="1" si="486"/>
        <v/>
      </c>
      <c r="BH873" s="467" t="str">
        <f t="shared" si="487"/>
        <v/>
      </c>
      <c r="BI873" s="467" t="str">
        <f t="shared" ca="1" si="488"/>
        <v/>
      </c>
      <c r="BJ873" s="469" t="str">
        <f t="shared" si="489"/>
        <v/>
      </c>
      <c r="BK873" s="470" t="str">
        <f t="shared" si="473"/>
        <v/>
      </c>
      <c r="BL873" s="775" t="str">
        <f t="shared" si="490"/>
        <v/>
      </c>
      <c r="BM873" s="775" t="str">
        <f t="shared" si="491"/>
        <v/>
      </c>
    </row>
    <row r="874" spans="1:65">
      <c r="A874" s="473">
        <v>818</v>
      </c>
      <c r="B874" s="132"/>
      <c r="C874" s="332"/>
      <c r="D874" s="333"/>
      <c r="E874" s="333"/>
      <c r="F874" s="334"/>
      <c r="G874" s="337"/>
      <c r="H874" s="131"/>
      <c r="I874" s="337"/>
      <c r="J874" s="131"/>
      <c r="K874" s="458" t="str">
        <f t="shared" si="454"/>
        <v/>
      </c>
      <c r="L874" s="458">
        <f t="shared" si="455"/>
        <v>0</v>
      </c>
      <c r="M874" s="458">
        <f t="shared" si="456"/>
        <v>0</v>
      </c>
      <c r="N874" s="459" t="str">
        <f t="shared" si="467"/>
        <v/>
      </c>
      <c r="O874" s="459" t="str">
        <f t="shared" si="468"/>
        <v/>
      </c>
      <c r="P874" s="459" t="str">
        <f t="shared" si="469"/>
        <v/>
      </c>
      <c r="Q874" s="459" t="str">
        <f t="shared" si="470"/>
        <v/>
      </c>
      <c r="R874" s="459" t="str">
        <f t="shared" si="471"/>
        <v/>
      </c>
      <c r="S874" s="459" t="str">
        <f t="shared" si="472"/>
        <v/>
      </c>
      <c r="T874" s="566" t="str">
        <f t="shared" si="457"/>
        <v/>
      </c>
      <c r="U874" s="702"/>
      <c r="V874" s="132"/>
      <c r="W874" s="133"/>
      <c r="X874" s="134"/>
      <c r="Y874" s="135"/>
      <c r="Z874" s="137"/>
      <c r="AA874" s="136"/>
      <c r="AB874" s="566" t="str">
        <f t="shared" si="458"/>
        <v/>
      </c>
      <c r="AC874" s="568" t="str">
        <f t="shared" si="459"/>
        <v/>
      </c>
      <c r="AD874" s="137"/>
      <c r="AE874" s="137"/>
      <c r="AF874" s="138"/>
      <c r="AG874" s="138"/>
      <c r="AH874" s="592" t="str">
        <f t="shared" si="460"/>
        <v/>
      </c>
      <c r="AI874" s="592" t="str">
        <f t="shared" si="461"/>
        <v/>
      </c>
      <c r="AJ874" s="592" t="str">
        <f t="shared" si="462"/>
        <v/>
      </c>
      <c r="AK874" s="460" t="str">
        <f>IF(AU874="","",IF(OR(AZ874=8,AZ874=9),0,IF(OR(AW874=3,AW874=4,AW874=5,AW874=6),IF(LEFT(BF874,1)="1",INDEX(係数_NOX・PM低減,MATCH(AY874,【参考】排出係数!$AI$801:$AI$804,1),1),VLOOKUP(AU874,INDEX((係数_バス貨物_ガソリン,係数_バス貨物_CNG,係数_バス貨物_軽油,係数_バス貨物_メタノール,係数_バス貨物_LPG),MATCH(AY874,【参考】排出係数!$AI$4:$AI$671,1),1,BE874):INDEX((係数_バス貨物_ガソリン,係数_バス貨物_CNG,係数_バス貨物_軽油,係数_バス貨物_メタノール,係数_バス貨物_LPG),MATCH(AY874+1,【参考】排出係数!$AI$4:$AI$671,1)-1,5,BE874),4,FALSE)),IF(AND(BE874=3,LEFT(BF874,1)="1"),0.48,VLOOKUP(AU874,INDEX((係数_乗用_ガソリン,係数_乗用_CNG,係数_乗用_軽油,係数_乗用_メタノール,係数_乗用_LPG),1,1,BE874):INDEX((係数_乗用_ガソリン,係数_乗用_CNG,係数_乗用_軽油,係数_乗用_メタノール,係数_乗用_LPG),125,5,BE874),4,FALSE)))))</f>
        <v/>
      </c>
      <c r="AL874" s="461" t="str">
        <f t="shared" si="463"/>
        <v/>
      </c>
      <c r="AM874" s="460" t="str">
        <f>IF(AU874="","",IF(OR(AZ874=8,AZ874=9),0,IF(OR(AW874=3,AW874=4,AW874=5,AW874=6),IF(LEFT(BH874,1)="1",INDEX(係数_PM低減,MATCH(AY874,【参考】排出係数!$AI$801:$AI$804,1),MATCH(BI874,【参考】排出係数!$AL$798:$AO$798,1)),VLOOKUP(AU874,INDEX((係数_バス貨物_ガソリン,係数_バス貨物_CNG,係数_バス貨物_軽油,係数_バス貨物_メタノール,係数_バス貨物_LPG),MATCH(AY874,【参考】排出係数!$AI$4:$AI$671,1),1,BE874):INDEX((係数_バス貨物_ガソリン,係数_バス貨物_CNG,係数_バス貨物_軽油,係数_バス貨物_メタノール,係数_バス貨物_LPG),MATCH(AY874+1,【参考】排出係数!$AI$4:$AI$671,1)-1,5,BE874),5,FALSE)),IF(AND(BE874=3,LEFT(BF874,1)="1"),0.055,VLOOKUP(AU874,INDEX((係数_乗用_ガソリン,係数_乗用_CNG,係数_乗用_軽油,係数_乗用_メタノール,係数_乗用_LPG),1,1,BE874):INDEX((係数_乗用_ガソリン,係数_乗用_CNG,係数_乗用_軽油,係数_乗用_メタノール,係数_乗用_LPG),125,5,BE874),5,FALSE)))))</f>
        <v/>
      </c>
      <c r="AN874" s="461" t="str">
        <f t="shared" si="464"/>
        <v/>
      </c>
      <c r="AO874" s="462" t="str">
        <f t="shared" si="465"/>
        <v/>
      </c>
      <c r="AP874" s="463" t="str">
        <f t="shared" si="466"/>
        <v/>
      </c>
      <c r="AQ874" s="464"/>
      <c r="AR874" s="619"/>
      <c r="AS874" s="465" t="str">
        <f t="shared" si="474"/>
        <v/>
      </c>
      <c r="AT874" s="465" t="str">
        <f t="shared" si="475"/>
        <v/>
      </c>
      <c r="AU874" s="466" t="str">
        <f t="shared" si="476"/>
        <v/>
      </c>
      <c r="AV874" s="467" t="str">
        <f t="shared" si="477"/>
        <v/>
      </c>
      <c r="AW874" s="467" t="str">
        <f t="shared" si="478"/>
        <v/>
      </c>
      <c r="AX874" s="467" t="str">
        <f t="shared" si="479"/>
        <v/>
      </c>
      <c r="AY874" s="467" t="str">
        <f t="shared" si="480"/>
        <v/>
      </c>
      <c r="AZ874" s="467" t="str">
        <f t="shared" si="481"/>
        <v/>
      </c>
      <c r="BA874" s="468" t="str">
        <f>IF(AS874="","",IF(OR(AU874="",AU874="-"),"－",IF(OR(AZ874=8,AZ874=9),"",IF(OR(AW874=3,AW874=4,AW874=5,AW874=6),VLOOKUP(AU874,INDEX((係数_バス貨物_ガソリン,係数_バス貨物_CNG,係数_バス貨物_軽油,係数_バス貨物_メタノール,係数_バス貨物_LPG),MATCH(AY874,【参考】排出係数!$AI$4:$AI$671,1),1,BE874):INDEX((係数_バス貨物_ガソリン,係数_バス貨物_CNG,係数_バス貨物_軽油,係数_バス貨物_メタノール,係数_バス貨物_LPG),MATCH(AY874+1,【参考】排出係数!$AI$4:$AI$671,1)-1,5,BE874),2,FALSE),IF(OR(AW874=1,AW874=2),VLOOKUP(AU874,INDEX((係数_乗用_ガソリン,係数_乗用_CNG,係数_乗用_軽油,係数_乗用_メタノール,係数_乗用_LPG),1,1,BE874):INDEX((係数_乗用_ガソリン,係数_乗用_CNG,係数_乗用_軽油,係数_乗用_メタノール,係数_乗用_LPG),125,5,BE874),2,FALSE))))))</f>
        <v/>
      </c>
      <c r="BB874" s="468" t="str">
        <f>IF(T874="","",IF(OR(AU874="",AU874="-"),"－",IF(OR(AZ874=8,AZ874=9),"",IF(OR(AW874=3,AW874=4,AW874=5,AW874=6),VLOOKUP(AU874,INDEX((係数_バス貨物_ガソリン,係数_バス貨物_CNG,係数_バス貨物_軽油,係数_バス貨物_メタノール,係数_バス貨物_LPG),MATCH(AY874,【参考】排出係数!$AI$4:$AI$671,1),1,BE874):INDEX((係数_バス貨物_ガソリン,係数_バス貨物_CNG,係数_バス貨物_軽油,係数_バス貨物_メタノール,係数_バス貨物_LPG),MATCH(AY874+1,【参考】排出係数!$AI$4:$AI$671,1)-1,5,BE874),3,FALSE),IF(OR(AW874=1,AW874=2),VLOOKUP(AU874,INDEX((係数_乗用_ガソリン,係数_乗用_CNG,係数_乗用_軽油,係数_乗用_メタノール,係数_乗用_LPG),1,1,BE874):INDEX((係数_乗用_ガソリン,係数_乗用_CNG,係数_乗用_軽油,係数_乗用_メタノール,係数_乗用_LPG),125,5,BE874),3,FALSE))))))</f>
        <v/>
      </c>
      <c r="BC874" s="467" t="str">
        <f t="shared" si="482"/>
        <v/>
      </c>
      <c r="BD874" s="567" t="str">
        <f t="shared" si="483"/>
        <v/>
      </c>
      <c r="BE874" s="467" t="str">
        <f t="shared" si="484"/>
        <v/>
      </c>
      <c r="BF874" s="469" t="str">
        <f t="shared" ca="1" si="485"/>
        <v/>
      </c>
      <c r="BG874" s="469" t="str">
        <f t="shared" ca="1" si="486"/>
        <v/>
      </c>
      <c r="BH874" s="467" t="str">
        <f t="shared" si="487"/>
        <v/>
      </c>
      <c r="BI874" s="467" t="str">
        <f t="shared" ca="1" si="488"/>
        <v/>
      </c>
      <c r="BJ874" s="469" t="str">
        <f t="shared" si="489"/>
        <v/>
      </c>
      <c r="BK874" s="470" t="str">
        <f t="shared" si="473"/>
        <v/>
      </c>
      <c r="BL874" s="775" t="str">
        <f t="shared" si="490"/>
        <v/>
      </c>
      <c r="BM874" s="775" t="str">
        <f t="shared" si="491"/>
        <v/>
      </c>
    </row>
    <row r="875" spans="1:65">
      <c r="A875" s="473">
        <v>819</v>
      </c>
      <c r="B875" s="132"/>
      <c r="C875" s="332"/>
      <c r="D875" s="333"/>
      <c r="E875" s="333"/>
      <c r="F875" s="334"/>
      <c r="G875" s="337"/>
      <c r="H875" s="131"/>
      <c r="I875" s="337"/>
      <c r="J875" s="131"/>
      <c r="K875" s="458" t="str">
        <f t="shared" si="454"/>
        <v/>
      </c>
      <c r="L875" s="458">
        <f t="shared" si="455"/>
        <v>0</v>
      </c>
      <c r="M875" s="458">
        <f t="shared" si="456"/>
        <v>0</v>
      </c>
      <c r="N875" s="459" t="str">
        <f t="shared" si="467"/>
        <v/>
      </c>
      <c r="O875" s="459" t="str">
        <f t="shared" si="468"/>
        <v/>
      </c>
      <c r="P875" s="459" t="str">
        <f t="shared" si="469"/>
        <v/>
      </c>
      <c r="Q875" s="459" t="str">
        <f t="shared" si="470"/>
        <v/>
      </c>
      <c r="R875" s="459" t="str">
        <f t="shared" si="471"/>
        <v/>
      </c>
      <c r="S875" s="459" t="str">
        <f t="shared" si="472"/>
        <v/>
      </c>
      <c r="T875" s="566" t="str">
        <f t="shared" si="457"/>
        <v/>
      </c>
      <c r="U875" s="702"/>
      <c r="V875" s="132"/>
      <c r="W875" s="133"/>
      <c r="X875" s="134"/>
      <c r="Y875" s="135"/>
      <c r="Z875" s="137"/>
      <c r="AA875" s="136"/>
      <c r="AB875" s="566" t="str">
        <f t="shared" si="458"/>
        <v/>
      </c>
      <c r="AC875" s="568" t="str">
        <f t="shared" si="459"/>
        <v/>
      </c>
      <c r="AD875" s="137"/>
      <c r="AE875" s="137"/>
      <c r="AF875" s="138"/>
      <c r="AG875" s="138"/>
      <c r="AH875" s="592" t="str">
        <f t="shared" si="460"/>
        <v/>
      </c>
      <c r="AI875" s="592" t="str">
        <f t="shared" si="461"/>
        <v/>
      </c>
      <c r="AJ875" s="592" t="str">
        <f t="shared" si="462"/>
        <v/>
      </c>
      <c r="AK875" s="460" t="str">
        <f>IF(AU875="","",IF(OR(AZ875=8,AZ875=9),0,IF(OR(AW875=3,AW875=4,AW875=5,AW875=6),IF(LEFT(BF875,1)="1",INDEX(係数_NOX・PM低減,MATCH(AY875,【参考】排出係数!$AI$801:$AI$804,1),1),VLOOKUP(AU875,INDEX((係数_バス貨物_ガソリン,係数_バス貨物_CNG,係数_バス貨物_軽油,係数_バス貨物_メタノール,係数_バス貨物_LPG),MATCH(AY875,【参考】排出係数!$AI$4:$AI$671,1),1,BE875):INDEX((係数_バス貨物_ガソリン,係数_バス貨物_CNG,係数_バス貨物_軽油,係数_バス貨物_メタノール,係数_バス貨物_LPG),MATCH(AY875+1,【参考】排出係数!$AI$4:$AI$671,1)-1,5,BE875),4,FALSE)),IF(AND(BE875=3,LEFT(BF875,1)="1"),0.48,VLOOKUP(AU875,INDEX((係数_乗用_ガソリン,係数_乗用_CNG,係数_乗用_軽油,係数_乗用_メタノール,係数_乗用_LPG),1,1,BE875):INDEX((係数_乗用_ガソリン,係数_乗用_CNG,係数_乗用_軽油,係数_乗用_メタノール,係数_乗用_LPG),125,5,BE875),4,FALSE)))))</f>
        <v/>
      </c>
      <c r="AL875" s="461" t="str">
        <f t="shared" si="463"/>
        <v/>
      </c>
      <c r="AM875" s="460" t="str">
        <f>IF(AU875="","",IF(OR(AZ875=8,AZ875=9),0,IF(OR(AW875=3,AW875=4,AW875=5,AW875=6),IF(LEFT(BH875,1)="1",INDEX(係数_PM低減,MATCH(AY875,【参考】排出係数!$AI$801:$AI$804,1),MATCH(BI875,【参考】排出係数!$AL$798:$AO$798,1)),VLOOKUP(AU875,INDEX((係数_バス貨物_ガソリン,係数_バス貨物_CNG,係数_バス貨物_軽油,係数_バス貨物_メタノール,係数_バス貨物_LPG),MATCH(AY875,【参考】排出係数!$AI$4:$AI$671,1),1,BE875):INDEX((係数_バス貨物_ガソリン,係数_バス貨物_CNG,係数_バス貨物_軽油,係数_バス貨物_メタノール,係数_バス貨物_LPG),MATCH(AY875+1,【参考】排出係数!$AI$4:$AI$671,1)-1,5,BE875),5,FALSE)),IF(AND(BE875=3,LEFT(BF875,1)="1"),0.055,VLOOKUP(AU875,INDEX((係数_乗用_ガソリン,係数_乗用_CNG,係数_乗用_軽油,係数_乗用_メタノール,係数_乗用_LPG),1,1,BE875):INDEX((係数_乗用_ガソリン,係数_乗用_CNG,係数_乗用_軽油,係数_乗用_メタノール,係数_乗用_LPG),125,5,BE875),5,FALSE)))))</f>
        <v/>
      </c>
      <c r="AN875" s="461" t="str">
        <f t="shared" si="464"/>
        <v/>
      </c>
      <c r="AO875" s="462" t="str">
        <f t="shared" si="465"/>
        <v/>
      </c>
      <c r="AP875" s="463" t="str">
        <f t="shared" si="466"/>
        <v/>
      </c>
      <c r="AQ875" s="464"/>
      <c r="AR875" s="619"/>
      <c r="AS875" s="465" t="str">
        <f t="shared" si="474"/>
        <v/>
      </c>
      <c r="AT875" s="465" t="str">
        <f t="shared" si="475"/>
        <v/>
      </c>
      <c r="AU875" s="466" t="str">
        <f t="shared" si="476"/>
        <v/>
      </c>
      <c r="AV875" s="467" t="str">
        <f t="shared" si="477"/>
        <v/>
      </c>
      <c r="AW875" s="467" t="str">
        <f t="shared" si="478"/>
        <v/>
      </c>
      <c r="AX875" s="467" t="str">
        <f t="shared" si="479"/>
        <v/>
      </c>
      <c r="AY875" s="467" t="str">
        <f t="shared" si="480"/>
        <v/>
      </c>
      <c r="AZ875" s="467" t="str">
        <f t="shared" si="481"/>
        <v/>
      </c>
      <c r="BA875" s="468" t="str">
        <f>IF(AS875="","",IF(OR(AU875="",AU875="-"),"－",IF(OR(AZ875=8,AZ875=9),"",IF(OR(AW875=3,AW875=4,AW875=5,AW875=6),VLOOKUP(AU875,INDEX((係数_バス貨物_ガソリン,係数_バス貨物_CNG,係数_バス貨物_軽油,係数_バス貨物_メタノール,係数_バス貨物_LPG),MATCH(AY875,【参考】排出係数!$AI$4:$AI$671,1),1,BE875):INDEX((係数_バス貨物_ガソリン,係数_バス貨物_CNG,係数_バス貨物_軽油,係数_バス貨物_メタノール,係数_バス貨物_LPG),MATCH(AY875+1,【参考】排出係数!$AI$4:$AI$671,1)-1,5,BE875),2,FALSE),IF(OR(AW875=1,AW875=2),VLOOKUP(AU875,INDEX((係数_乗用_ガソリン,係数_乗用_CNG,係数_乗用_軽油,係数_乗用_メタノール,係数_乗用_LPG),1,1,BE875):INDEX((係数_乗用_ガソリン,係数_乗用_CNG,係数_乗用_軽油,係数_乗用_メタノール,係数_乗用_LPG),125,5,BE875),2,FALSE))))))</f>
        <v/>
      </c>
      <c r="BB875" s="468" t="str">
        <f>IF(T875="","",IF(OR(AU875="",AU875="-"),"－",IF(OR(AZ875=8,AZ875=9),"",IF(OR(AW875=3,AW875=4,AW875=5,AW875=6),VLOOKUP(AU875,INDEX((係数_バス貨物_ガソリン,係数_バス貨物_CNG,係数_バス貨物_軽油,係数_バス貨物_メタノール,係数_バス貨物_LPG),MATCH(AY875,【参考】排出係数!$AI$4:$AI$671,1),1,BE875):INDEX((係数_バス貨物_ガソリン,係数_バス貨物_CNG,係数_バス貨物_軽油,係数_バス貨物_メタノール,係数_バス貨物_LPG),MATCH(AY875+1,【参考】排出係数!$AI$4:$AI$671,1)-1,5,BE875),3,FALSE),IF(OR(AW875=1,AW875=2),VLOOKUP(AU875,INDEX((係数_乗用_ガソリン,係数_乗用_CNG,係数_乗用_軽油,係数_乗用_メタノール,係数_乗用_LPG),1,1,BE875):INDEX((係数_乗用_ガソリン,係数_乗用_CNG,係数_乗用_軽油,係数_乗用_メタノール,係数_乗用_LPG),125,5,BE875),3,FALSE))))))</f>
        <v/>
      </c>
      <c r="BC875" s="467" t="str">
        <f t="shared" si="482"/>
        <v/>
      </c>
      <c r="BD875" s="567" t="str">
        <f t="shared" si="483"/>
        <v/>
      </c>
      <c r="BE875" s="467" t="str">
        <f t="shared" si="484"/>
        <v/>
      </c>
      <c r="BF875" s="469" t="str">
        <f t="shared" ca="1" si="485"/>
        <v/>
      </c>
      <c r="BG875" s="469" t="str">
        <f t="shared" ca="1" si="486"/>
        <v/>
      </c>
      <c r="BH875" s="467" t="str">
        <f t="shared" si="487"/>
        <v/>
      </c>
      <c r="BI875" s="467" t="str">
        <f t="shared" ca="1" si="488"/>
        <v/>
      </c>
      <c r="BJ875" s="469" t="str">
        <f t="shared" si="489"/>
        <v/>
      </c>
      <c r="BK875" s="470" t="str">
        <f t="shared" si="473"/>
        <v/>
      </c>
      <c r="BL875" s="775" t="str">
        <f t="shared" si="490"/>
        <v/>
      </c>
      <c r="BM875" s="775" t="str">
        <f t="shared" si="491"/>
        <v/>
      </c>
    </row>
    <row r="876" spans="1:65">
      <c r="A876" s="473">
        <v>820</v>
      </c>
      <c r="B876" s="132"/>
      <c r="C876" s="332"/>
      <c r="D876" s="333"/>
      <c r="E876" s="333"/>
      <c r="F876" s="334"/>
      <c r="G876" s="337"/>
      <c r="H876" s="131"/>
      <c r="I876" s="337"/>
      <c r="J876" s="131"/>
      <c r="K876" s="458" t="str">
        <f t="shared" ref="K876:K939" si="492">C876&amp;D876&amp;E876&amp;F876</f>
        <v/>
      </c>
      <c r="L876" s="458">
        <f t="shared" ref="L876:L939" si="493">IF(G876&gt;0,DATE((G876),(H876+1),0),0)</f>
        <v>0</v>
      </c>
      <c r="M876" s="458">
        <f t="shared" ref="M876:M939" si="494">IF(I876&gt;0,DATE((I876),(J876+1),0),0)</f>
        <v>0</v>
      </c>
      <c r="N876" s="459" t="str">
        <f t="shared" si="467"/>
        <v/>
      </c>
      <c r="O876" s="459" t="str">
        <f t="shared" si="468"/>
        <v/>
      </c>
      <c r="P876" s="459" t="str">
        <f t="shared" si="469"/>
        <v/>
      </c>
      <c r="Q876" s="459" t="str">
        <f t="shared" si="470"/>
        <v/>
      </c>
      <c r="R876" s="459" t="str">
        <f t="shared" si="471"/>
        <v/>
      </c>
      <c r="S876" s="459" t="str">
        <f t="shared" si="472"/>
        <v/>
      </c>
      <c r="T876" s="566" t="str">
        <f t="shared" ref="T876:T939" si="495">N876&amp;O876&amp;P876&amp;Q876&amp;R876&amp;S876</f>
        <v/>
      </c>
      <c r="U876" s="702"/>
      <c r="V876" s="132"/>
      <c r="W876" s="133"/>
      <c r="X876" s="134"/>
      <c r="Y876" s="135"/>
      <c r="Z876" s="137"/>
      <c r="AA876" s="136"/>
      <c r="AB876" s="566" t="str">
        <f t="shared" ref="AB876:AB939" si="496">IF(AS876="","",IF(AZ876=1,VLOOKUP(BA876,低公害車判別,2,FALSE),IF(AZ876=3,VLOOKUP(BA876,低公害車判別,2,FALSE),IF(AZ876=4,VLOOKUP(BB876,低公害車判別,2,FALSE),"低公害車"))))</f>
        <v/>
      </c>
      <c r="AC876" s="568" t="str">
        <f t="shared" ref="AC876:AC939" si="497">IF(AS876="","",IF((BA876="")+(BA876="－"),IF((BB876="")+(BB876=0),"－",BB876),IF((BA876="PM☆☆☆")+(BA876="☆及びPM☆☆☆")+(BA876="☆☆及びPM☆☆☆")+(BA876="☆☆☆及びPM☆☆☆"),"PM☆☆☆",IF((BA876="PM☆☆☆☆")+(BA876="☆及びPM☆☆☆☆")+(BA876="☆☆及びPM☆☆☆☆")+(BA876="☆☆☆及びPM☆☆☆☆"),"PM☆☆☆☆",IF((BA876="新☆")+(BA876="新NOx☆")+(BA876="新PM☆"),"新☆（新長期）",BA876)))))</f>
        <v/>
      </c>
      <c r="AD876" s="137"/>
      <c r="AE876" s="137"/>
      <c r="AF876" s="138"/>
      <c r="AG876" s="138"/>
      <c r="AH876" s="592" t="str">
        <f t="shared" ref="AH876:AH939" si="498">IF(C876="","",IF(LEFT(C876,2)="横浜","○",""))</f>
        <v/>
      </c>
      <c r="AI876" s="592" t="str">
        <f t="shared" ref="AI876:AI939" si="499">IF(C876="","",IF(LEFT(C876,2)="川崎","○",""))</f>
        <v/>
      </c>
      <c r="AJ876" s="592" t="str">
        <f t="shared" ref="AJ876:AJ939" si="500">IF(C876="","",IF(OR(AH876="○",AI876="○"),"","○"))</f>
        <v/>
      </c>
      <c r="AK876" s="460" t="str">
        <f>IF(AU876="","",IF(OR(AZ876=8,AZ876=9),0,IF(OR(AW876=3,AW876=4,AW876=5,AW876=6),IF(LEFT(BF876,1)="1",INDEX(係数_NOX・PM低減,MATCH(AY876,【参考】排出係数!$AI$801:$AI$804,1),1),VLOOKUP(AU876,INDEX((係数_バス貨物_ガソリン,係数_バス貨物_CNG,係数_バス貨物_軽油,係数_バス貨物_メタノール,係数_バス貨物_LPG),MATCH(AY876,【参考】排出係数!$AI$4:$AI$671,1),1,BE876):INDEX((係数_バス貨物_ガソリン,係数_バス貨物_CNG,係数_バス貨物_軽油,係数_バス貨物_メタノール,係数_バス貨物_LPG),MATCH(AY876+1,【参考】排出係数!$AI$4:$AI$671,1)-1,5,BE876),4,FALSE)),IF(AND(BE876=3,LEFT(BF876,1)="1"),0.48,VLOOKUP(AU876,INDEX((係数_乗用_ガソリン,係数_乗用_CNG,係数_乗用_軽油,係数_乗用_メタノール,係数_乗用_LPG),1,1,BE876):INDEX((係数_乗用_ガソリン,係数_乗用_CNG,係数_乗用_軽油,係数_乗用_メタノール,係数_乗用_LPG),125,5,BE876),4,FALSE)))))</f>
        <v/>
      </c>
      <c r="AL876" s="461" t="str">
        <f t="shared" ref="AL876:AL939" si="501">IF(AU876="","",IF(Z876&lt;=3.5*1000,AD876*AK876/1000,IF(Z876&gt;3.5*1000,AD876*Z876*AK876/1000/1000)))</f>
        <v/>
      </c>
      <c r="AM876" s="460" t="str">
        <f>IF(AU876="","",IF(OR(AZ876=8,AZ876=9),0,IF(OR(AW876=3,AW876=4,AW876=5,AW876=6),IF(LEFT(BH876,1)="1",INDEX(係数_PM低減,MATCH(AY876,【参考】排出係数!$AI$801:$AI$804,1),MATCH(BI876,【参考】排出係数!$AL$798:$AO$798,1)),VLOOKUP(AU876,INDEX((係数_バス貨物_ガソリン,係数_バス貨物_CNG,係数_バス貨物_軽油,係数_バス貨物_メタノール,係数_バス貨物_LPG),MATCH(AY876,【参考】排出係数!$AI$4:$AI$671,1),1,BE876):INDEX((係数_バス貨物_ガソリン,係数_バス貨物_CNG,係数_バス貨物_軽油,係数_バス貨物_メタノール,係数_バス貨物_LPG),MATCH(AY876+1,【参考】排出係数!$AI$4:$AI$671,1)-1,5,BE876),5,FALSE)),IF(AND(BE876=3,LEFT(BF876,1)="1"),0.055,VLOOKUP(AU876,INDEX((係数_乗用_ガソリン,係数_乗用_CNG,係数_乗用_軽油,係数_乗用_メタノール,係数_乗用_LPG),1,1,BE876):INDEX((係数_乗用_ガソリン,係数_乗用_CNG,係数_乗用_軽油,係数_乗用_メタノール,係数_乗用_LPG),125,5,BE876),5,FALSE)))))</f>
        <v/>
      </c>
      <c r="AN876" s="461" t="str">
        <f t="shared" ref="AN876:AN939" si="502">IF(AU876="","",IF(Z876&lt;=3.5*1000,AD876*AM876/1000,IF(Z876&gt;3.5*1000,AD876*Z876*AM876/1000/1000)))</f>
        <v/>
      </c>
      <c r="AO876" s="462" t="str">
        <f t="shared" ref="AO876:AO939" si="503">IF(AU876="","",IF(Z876&lt;500,"車両重量",IF(OR(AZ876=8,AZ876=9),0,IF(OR(AZ876=1,AZ876=2,AZ876=11),2.32,IF(OR(AZ876=4,AZ876=5,AZ876=11),2.58,IF(AZ876=3,3,IF(AZ876=6,2.23,IF(AZ876=7,1.37,0))))))))</f>
        <v/>
      </c>
      <c r="AP876" s="463" t="str">
        <f t="shared" ref="AP876:AP939" si="504">IF(AU876="","",AE876*AO876/1000)</f>
        <v/>
      </c>
      <c r="AQ876" s="464"/>
      <c r="AR876" s="619"/>
      <c r="AS876" s="465" t="str">
        <f t="shared" si="474"/>
        <v/>
      </c>
      <c r="AT876" s="465" t="str">
        <f t="shared" si="475"/>
        <v/>
      </c>
      <c r="AU876" s="466" t="str">
        <f t="shared" si="476"/>
        <v/>
      </c>
      <c r="AV876" s="467" t="str">
        <f t="shared" si="477"/>
        <v/>
      </c>
      <c r="AW876" s="467" t="str">
        <f t="shared" si="478"/>
        <v/>
      </c>
      <c r="AX876" s="467" t="str">
        <f t="shared" si="479"/>
        <v/>
      </c>
      <c r="AY876" s="467" t="str">
        <f t="shared" si="480"/>
        <v/>
      </c>
      <c r="AZ876" s="467" t="str">
        <f t="shared" si="481"/>
        <v/>
      </c>
      <c r="BA876" s="468" t="str">
        <f>IF(AS876="","",IF(OR(AU876="",AU876="-"),"－",IF(OR(AZ876=8,AZ876=9),"",IF(OR(AW876=3,AW876=4,AW876=5,AW876=6),VLOOKUP(AU876,INDEX((係数_バス貨物_ガソリン,係数_バス貨物_CNG,係数_バス貨物_軽油,係数_バス貨物_メタノール,係数_バス貨物_LPG),MATCH(AY876,【参考】排出係数!$AI$4:$AI$671,1),1,BE876):INDEX((係数_バス貨物_ガソリン,係数_バス貨物_CNG,係数_バス貨物_軽油,係数_バス貨物_メタノール,係数_バス貨物_LPG),MATCH(AY876+1,【参考】排出係数!$AI$4:$AI$671,1)-1,5,BE876),2,FALSE),IF(OR(AW876=1,AW876=2),VLOOKUP(AU876,INDEX((係数_乗用_ガソリン,係数_乗用_CNG,係数_乗用_軽油,係数_乗用_メタノール,係数_乗用_LPG),1,1,BE876):INDEX((係数_乗用_ガソリン,係数_乗用_CNG,係数_乗用_軽油,係数_乗用_メタノール,係数_乗用_LPG),125,5,BE876),2,FALSE))))))</f>
        <v/>
      </c>
      <c r="BB876" s="468" t="str">
        <f>IF(T876="","",IF(OR(AU876="",AU876="-"),"－",IF(OR(AZ876=8,AZ876=9),"",IF(OR(AW876=3,AW876=4,AW876=5,AW876=6),VLOOKUP(AU876,INDEX((係数_バス貨物_ガソリン,係数_バス貨物_CNG,係数_バス貨物_軽油,係数_バス貨物_メタノール,係数_バス貨物_LPG),MATCH(AY876,【参考】排出係数!$AI$4:$AI$671,1),1,BE876):INDEX((係数_バス貨物_ガソリン,係数_バス貨物_CNG,係数_バス貨物_軽油,係数_バス貨物_メタノール,係数_バス貨物_LPG),MATCH(AY876+1,【参考】排出係数!$AI$4:$AI$671,1)-1,5,BE876),3,FALSE),IF(OR(AW876=1,AW876=2),VLOOKUP(AU876,INDEX((係数_乗用_ガソリン,係数_乗用_CNG,係数_乗用_軽油,係数_乗用_メタノール,係数_乗用_LPG),1,1,BE876):INDEX((係数_乗用_ガソリン,係数_乗用_CNG,係数_乗用_軽油,係数_乗用_メタノール,係数_乗用_LPG),125,5,BE876),3,FALSE))))))</f>
        <v/>
      </c>
      <c r="BC876" s="467" t="str">
        <f t="shared" si="482"/>
        <v/>
      </c>
      <c r="BD876" s="567" t="str">
        <f t="shared" si="483"/>
        <v/>
      </c>
      <c r="BE876" s="467" t="str">
        <f t="shared" si="484"/>
        <v/>
      </c>
      <c r="BF876" s="469" t="str">
        <f t="shared" ca="1" si="485"/>
        <v/>
      </c>
      <c r="BG876" s="469" t="str">
        <f t="shared" ca="1" si="486"/>
        <v/>
      </c>
      <c r="BH876" s="467" t="str">
        <f t="shared" si="487"/>
        <v/>
      </c>
      <c r="BI876" s="467" t="str">
        <f t="shared" ca="1" si="488"/>
        <v/>
      </c>
      <c r="BJ876" s="469" t="str">
        <f t="shared" si="489"/>
        <v/>
      </c>
      <c r="BK876" s="470" t="str">
        <f t="shared" si="473"/>
        <v/>
      </c>
      <c r="BL876" s="775" t="str">
        <f t="shared" si="490"/>
        <v/>
      </c>
      <c r="BM876" s="775" t="str">
        <f t="shared" si="491"/>
        <v/>
      </c>
    </row>
    <row r="877" spans="1:65">
      <c r="A877" s="473">
        <v>821</v>
      </c>
      <c r="B877" s="132"/>
      <c r="C877" s="332"/>
      <c r="D877" s="333"/>
      <c r="E877" s="333"/>
      <c r="F877" s="334"/>
      <c r="G877" s="337"/>
      <c r="H877" s="131"/>
      <c r="I877" s="337"/>
      <c r="J877" s="131"/>
      <c r="K877" s="458" t="str">
        <f t="shared" si="492"/>
        <v/>
      </c>
      <c r="L877" s="458">
        <f t="shared" si="493"/>
        <v>0</v>
      </c>
      <c r="M877" s="458">
        <f t="shared" si="494"/>
        <v>0</v>
      </c>
      <c r="N877" s="459" t="str">
        <f t="shared" si="467"/>
        <v/>
      </c>
      <c r="O877" s="459" t="str">
        <f t="shared" si="468"/>
        <v/>
      </c>
      <c r="P877" s="459" t="str">
        <f t="shared" si="469"/>
        <v/>
      </c>
      <c r="Q877" s="459" t="str">
        <f t="shared" si="470"/>
        <v/>
      </c>
      <c r="R877" s="459" t="str">
        <f t="shared" si="471"/>
        <v/>
      </c>
      <c r="S877" s="459" t="str">
        <f t="shared" si="472"/>
        <v/>
      </c>
      <c r="T877" s="566" t="str">
        <f t="shared" si="495"/>
        <v/>
      </c>
      <c r="U877" s="702"/>
      <c r="V877" s="132"/>
      <c r="W877" s="133"/>
      <c r="X877" s="134"/>
      <c r="Y877" s="135"/>
      <c r="Z877" s="137"/>
      <c r="AA877" s="136"/>
      <c r="AB877" s="566" t="str">
        <f t="shared" si="496"/>
        <v/>
      </c>
      <c r="AC877" s="568" t="str">
        <f t="shared" si="497"/>
        <v/>
      </c>
      <c r="AD877" s="137"/>
      <c r="AE877" s="137"/>
      <c r="AF877" s="138"/>
      <c r="AG877" s="138"/>
      <c r="AH877" s="592" t="str">
        <f t="shared" si="498"/>
        <v/>
      </c>
      <c r="AI877" s="592" t="str">
        <f t="shared" si="499"/>
        <v/>
      </c>
      <c r="AJ877" s="592" t="str">
        <f t="shared" si="500"/>
        <v/>
      </c>
      <c r="AK877" s="460" t="str">
        <f>IF(AU877="","",IF(OR(AZ877=8,AZ877=9),0,IF(OR(AW877=3,AW877=4,AW877=5,AW877=6),IF(LEFT(BF877,1)="1",INDEX(係数_NOX・PM低減,MATCH(AY877,【参考】排出係数!$AI$801:$AI$804,1),1),VLOOKUP(AU877,INDEX((係数_バス貨物_ガソリン,係数_バス貨物_CNG,係数_バス貨物_軽油,係数_バス貨物_メタノール,係数_バス貨物_LPG),MATCH(AY877,【参考】排出係数!$AI$4:$AI$671,1),1,BE877):INDEX((係数_バス貨物_ガソリン,係数_バス貨物_CNG,係数_バス貨物_軽油,係数_バス貨物_メタノール,係数_バス貨物_LPG),MATCH(AY877+1,【参考】排出係数!$AI$4:$AI$671,1)-1,5,BE877),4,FALSE)),IF(AND(BE877=3,LEFT(BF877,1)="1"),0.48,VLOOKUP(AU877,INDEX((係数_乗用_ガソリン,係数_乗用_CNG,係数_乗用_軽油,係数_乗用_メタノール,係数_乗用_LPG),1,1,BE877):INDEX((係数_乗用_ガソリン,係数_乗用_CNG,係数_乗用_軽油,係数_乗用_メタノール,係数_乗用_LPG),125,5,BE877),4,FALSE)))))</f>
        <v/>
      </c>
      <c r="AL877" s="461" t="str">
        <f t="shared" si="501"/>
        <v/>
      </c>
      <c r="AM877" s="460" t="str">
        <f>IF(AU877="","",IF(OR(AZ877=8,AZ877=9),0,IF(OR(AW877=3,AW877=4,AW877=5,AW877=6),IF(LEFT(BH877,1)="1",INDEX(係数_PM低減,MATCH(AY877,【参考】排出係数!$AI$801:$AI$804,1),MATCH(BI877,【参考】排出係数!$AL$798:$AO$798,1)),VLOOKUP(AU877,INDEX((係数_バス貨物_ガソリン,係数_バス貨物_CNG,係数_バス貨物_軽油,係数_バス貨物_メタノール,係数_バス貨物_LPG),MATCH(AY877,【参考】排出係数!$AI$4:$AI$671,1),1,BE877):INDEX((係数_バス貨物_ガソリン,係数_バス貨物_CNG,係数_バス貨物_軽油,係数_バス貨物_メタノール,係数_バス貨物_LPG),MATCH(AY877+1,【参考】排出係数!$AI$4:$AI$671,1)-1,5,BE877),5,FALSE)),IF(AND(BE877=3,LEFT(BF877,1)="1"),0.055,VLOOKUP(AU877,INDEX((係数_乗用_ガソリン,係数_乗用_CNG,係数_乗用_軽油,係数_乗用_メタノール,係数_乗用_LPG),1,1,BE877):INDEX((係数_乗用_ガソリン,係数_乗用_CNG,係数_乗用_軽油,係数_乗用_メタノール,係数_乗用_LPG),125,5,BE877),5,FALSE)))))</f>
        <v/>
      </c>
      <c r="AN877" s="461" t="str">
        <f t="shared" si="502"/>
        <v/>
      </c>
      <c r="AO877" s="462" t="str">
        <f t="shared" si="503"/>
        <v/>
      </c>
      <c r="AP877" s="463" t="str">
        <f t="shared" si="504"/>
        <v/>
      </c>
      <c r="AQ877" s="464"/>
      <c r="AR877" s="619"/>
      <c r="AS877" s="465" t="str">
        <f t="shared" si="474"/>
        <v/>
      </c>
      <c r="AT877" s="465" t="str">
        <f t="shared" si="475"/>
        <v/>
      </c>
      <c r="AU877" s="466" t="str">
        <f t="shared" si="476"/>
        <v/>
      </c>
      <c r="AV877" s="467" t="str">
        <f t="shared" si="477"/>
        <v/>
      </c>
      <c r="AW877" s="467" t="str">
        <f t="shared" si="478"/>
        <v/>
      </c>
      <c r="AX877" s="467" t="str">
        <f t="shared" si="479"/>
        <v/>
      </c>
      <c r="AY877" s="467" t="str">
        <f t="shared" si="480"/>
        <v/>
      </c>
      <c r="AZ877" s="467" t="str">
        <f t="shared" si="481"/>
        <v/>
      </c>
      <c r="BA877" s="468" t="str">
        <f>IF(AS877="","",IF(OR(AU877="",AU877="-"),"－",IF(OR(AZ877=8,AZ877=9),"",IF(OR(AW877=3,AW877=4,AW877=5,AW877=6),VLOOKUP(AU877,INDEX((係数_バス貨物_ガソリン,係数_バス貨物_CNG,係数_バス貨物_軽油,係数_バス貨物_メタノール,係数_バス貨物_LPG),MATCH(AY877,【参考】排出係数!$AI$4:$AI$671,1),1,BE877):INDEX((係数_バス貨物_ガソリン,係数_バス貨物_CNG,係数_バス貨物_軽油,係数_バス貨物_メタノール,係数_バス貨物_LPG),MATCH(AY877+1,【参考】排出係数!$AI$4:$AI$671,1)-1,5,BE877),2,FALSE),IF(OR(AW877=1,AW877=2),VLOOKUP(AU877,INDEX((係数_乗用_ガソリン,係数_乗用_CNG,係数_乗用_軽油,係数_乗用_メタノール,係数_乗用_LPG),1,1,BE877):INDEX((係数_乗用_ガソリン,係数_乗用_CNG,係数_乗用_軽油,係数_乗用_メタノール,係数_乗用_LPG),125,5,BE877),2,FALSE))))))</f>
        <v/>
      </c>
      <c r="BB877" s="468" t="str">
        <f>IF(T877="","",IF(OR(AU877="",AU877="-"),"－",IF(OR(AZ877=8,AZ877=9),"",IF(OR(AW877=3,AW877=4,AW877=5,AW877=6),VLOOKUP(AU877,INDEX((係数_バス貨物_ガソリン,係数_バス貨物_CNG,係数_バス貨物_軽油,係数_バス貨物_メタノール,係数_バス貨物_LPG),MATCH(AY877,【参考】排出係数!$AI$4:$AI$671,1),1,BE877):INDEX((係数_バス貨物_ガソリン,係数_バス貨物_CNG,係数_バス貨物_軽油,係数_バス貨物_メタノール,係数_バス貨物_LPG),MATCH(AY877+1,【参考】排出係数!$AI$4:$AI$671,1)-1,5,BE877),3,FALSE),IF(OR(AW877=1,AW877=2),VLOOKUP(AU877,INDEX((係数_乗用_ガソリン,係数_乗用_CNG,係数_乗用_軽油,係数_乗用_メタノール,係数_乗用_LPG),1,1,BE877):INDEX((係数_乗用_ガソリン,係数_乗用_CNG,係数_乗用_軽油,係数_乗用_メタノール,係数_乗用_LPG),125,5,BE877),3,FALSE))))))</f>
        <v/>
      </c>
      <c r="BC877" s="467" t="str">
        <f t="shared" si="482"/>
        <v/>
      </c>
      <c r="BD877" s="567" t="str">
        <f t="shared" si="483"/>
        <v/>
      </c>
      <c r="BE877" s="467" t="str">
        <f t="shared" si="484"/>
        <v/>
      </c>
      <c r="BF877" s="469" t="str">
        <f t="shared" ca="1" si="485"/>
        <v/>
      </c>
      <c r="BG877" s="469" t="str">
        <f t="shared" ca="1" si="486"/>
        <v/>
      </c>
      <c r="BH877" s="467" t="str">
        <f t="shared" si="487"/>
        <v/>
      </c>
      <c r="BI877" s="467" t="str">
        <f t="shared" ca="1" si="488"/>
        <v/>
      </c>
      <c r="BJ877" s="469" t="str">
        <f t="shared" si="489"/>
        <v/>
      </c>
      <c r="BK877" s="470" t="str">
        <f t="shared" si="473"/>
        <v/>
      </c>
      <c r="BL877" s="775" t="str">
        <f t="shared" si="490"/>
        <v/>
      </c>
      <c r="BM877" s="775" t="str">
        <f t="shared" si="491"/>
        <v/>
      </c>
    </row>
    <row r="878" spans="1:65">
      <c r="A878" s="473">
        <v>822</v>
      </c>
      <c r="B878" s="132"/>
      <c r="C878" s="332"/>
      <c r="D878" s="333"/>
      <c r="E878" s="333"/>
      <c r="F878" s="334"/>
      <c r="G878" s="337"/>
      <c r="H878" s="131"/>
      <c r="I878" s="337"/>
      <c r="J878" s="131"/>
      <c r="K878" s="458" t="str">
        <f t="shared" si="492"/>
        <v/>
      </c>
      <c r="L878" s="458">
        <f t="shared" si="493"/>
        <v>0</v>
      </c>
      <c r="M878" s="458">
        <f t="shared" si="494"/>
        <v>0</v>
      </c>
      <c r="N878" s="459" t="str">
        <f t="shared" si="467"/>
        <v/>
      </c>
      <c r="O878" s="459" t="str">
        <f t="shared" si="468"/>
        <v/>
      </c>
      <c r="P878" s="459" t="str">
        <f t="shared" si="469"/>
        <v/>
      </c>
      <c r="Q878" s="459" t="str">
        <f t="shared" si="470"/>
        <v/>
      </c>
      <c r="R878" s="459" t="str">
        <f t="shared" si="471"/>
        <v/>
      </c>
      <c r="S878" s="459" t="str">
        <f t="shared" si="472"/>
        <v/>
      </c>
      <c r="T878" s="566" t="str">
        <f t="shared" si="495"/>
        <v/>
      </c>
      <c r="U878" s="702"/>
      <c r="V878" s="132"/>
      <c r="W878" s="133"/>
      <c r="X878" s="134"/>
      <c r="Y878" s="135"/>
      <c r="Z878" s="137"/>
      <c r="AA878" s="136"/>
      <c r="AB878" s="566" t="str">
        <f t="shared" si="496"/>
        <v/>
      </c>
      <c r="AC878" s="568" t="str">
        <f t="shared" si="497"/>
        <v/>
      </c>
      <c r="AD878" s="137"/>
      <c r="AE878" s="137"/>
      <c r="AF878" s="138"/>
      <c r="AG878" s="138"/>
      <c r="AH878" s="592" t="str">
        <f t="shared" si="498"/>
        <v/>
      </c>
      <c r="AI878" s="592" t="str">
        <f t="shared" si="499"/>
        <v/>
      </c>
      <c r="AJ878" s="592" t="str">
        <f t="shared" si="500"/>
        <v/>
      </c>
      <c r="AK878" s="460" t="str">
        <f>IF(AU878="","",IF(OR(AZ878=8,AZ878=9),0,IF(OR(AW878=3,AW878=4,AW878=5,AW878=6),IF(LEFT(BF878,1)="1",INDEX(係数_NOX・PM低減,MATCH(AY878,【参考】排出係数!$AI$801:$AI$804,1),1),VLOOKUP(AU878,INDEX((係数_バス貨物_ガソリン,係数_バス貨物_CNG,係数_バス貨物_軽油,係数_バス貨物_メタノール,係数_バス貨物_LPG),MATCH(AY878,【参考】排出係数!$AI$4:$AI$671,1),1,BE878):INDEX((係数_バス貨物_ガソリン,係数_バス貨物_CNG,係数_バス貨物_軽油,係数_バス貨物_メタノール,係数_バス貨物_LPG),MATCH(AY878+1,【参考】排出係数!$AI$4:$AI$671,1)-1,5,BE878),4,FALSE)),IF(AND(BE878=3,LEFT(BF878,1)="1"),0.48,VLOOKUP(AU878,INDEX((係数_乗用_ガソリン,係数_乗用_CNG,係数_乗用_軽油,係数_乗用_メタノール,係数_乗用_LPG),1,1,BE878):INDEX((係数_乗用_ガソリン,係数_乗用_CNG,係数_乗用_軽油,係数_乗用_メタノール,係数_乗用_LPG),125,5,BE878),4,FALSE)))))</f>
        <v/>
      </c>
      <c r="AL878" s="461" t="str">
        <f t="shared" si="501"/>
        <v/>
      </c>
      <c r="AM878" s="460" t="str">
        <f>IF(AU878="","",IF(OR(AZ878=8,AZ878=9),0,IF(OR(AW878=3,AW878=4,AW878=5,AW878=6),IF(LEFT(BH878,1)="1",INDEX(係数_PM低減,MATCH(AY878,【参考】排出係数!$AI$801:$AI$804,1),MATCH(BI878,【参考】排出係数!$AL$798:$AO$798,1)),VLOOKUP(AU878,INDEX((係数_バス貨物_ガソリン,係数_バス貨物_CNG,係数_バス貨物_軽油,係数_バス貨物_メタノール,係数_バス貨物_LPG),MATCH(AY878,【参考】排出係数!$AI$4:$AI$671,1),1,BE878):INDEX((係数_バス貨物_ガソリン,係数_バス貨物_CNG,係数_バス貨物_軽油,係数_バス貨物_メタノール,係数_バス貨物_LPG),MATCH(AY878+1,【参考】排出係数!$AI$4:$AI$671,1)-1,5,BE878),5,FALSE)),IF(AND(BE878=3,LEFT(BF878,1)="1"),0.055,VLOOKUP(AU878,INDEX((係数_乗用_ガソリン,係数_乗用_CNG,係数_乗用_軽油,係数_乗用_メタノール,係数_乗用_LPG),1,1,BE878):INDEX((係数_乗用_ガソリン,係数_乗用_CNG,係数_乗用_軽油,係数_乗用_メタノール,係数_乗用_LPG),125,5,BE878),5,FALSE)))))</f>
        <v/>
      </c>
      <c r="AN878" s="461" t="str">
        <f t="shared" si="502"/>
        <v/>
      </c>
      <c r="AO878" s="462" t="str">
        <f t="shared" si="503"/>
        <v/>
      </c>
      <c r="AP878" s="463" t="str">
        <f t="shared" si="504"/>
        <v/>
      </c>
      <c r="AQ878" s="464"/>
      <c r="AR878" s="619"/>
      <c r="AS878" s="465" t="str">
        <f t="shared" si="474"/>
        <v/>
      </c>
      <c r="AT878" s="465" t="str">
        <f t="shared" si="475"/>
        <v/>
      </c>
      <c r="AU878" s="466" t="str">
        <f t="shared" si="476"/>
        <v/>
      </c>
      <c r="AV878" s="467" t="str">
        <f t="shared" si="477"/>
        <v/>
      </c>
      <c r="AW878" s="467" t="str">
        <f t="shared" si="478"/>
        <v/>
      </c>
      <c r="AX878" s="467" t="str">
        <f t="shared" si="479"/>
        <v/>
      </c>
      <c r="AY878" s="467" t="str">
        <f t="shared" si="480"/>
        <v/>
      </c>
      <c r="AZ878" s="467" t="str">
        <f t="shared" si="481"/>
        <v/>
      </c>
      <c r="BA878" s="468" t="str">
        <f>IF(AS878="","",IF(OR(AU878="",AU878="-"),"－",IF(OR(AZ878=8,AZ878=9),"",IF(OR(AW878=3,AW878=4,AW878=5,AW878=6),VLOOKUP(AU878,INDEX((係数_バス貨物_ガソリン,係数_バス貨物_CNG,係数_バス貨物_軽油,係数_バス貨物_メタノール,係数_バス貨物_LPG),MATCH(AY878,【参考】排出係数!$AI$4:$AI$671,1),1,BE878):INDEX((係数_バス貨物_ガソリン,係数_バス貨物_CNG,係数_バス貨物_軽油,係数_バス貨物_メタノール,係数_バス貨物_LPG),MATCH(AY878+1,【参考】排出係数!$AI$4:$AI$671,1)-1,5,BE878),2,FALSE),IF(OR(AW878=1,AW878=2),VLOOKUP(AU878,INDEX((係数_乗用_ガソリン,係数_乗用_CNG,係数_乗用_軽油,係数_乗用_メタノール,係数_乗用_LPG),1,1,BE878):INDEX((係数_乗用_ガソリン,係数_乗用_CNG,係数_乗用_軽油,係数_乗用_メタノール,係数_乗用_LPG),125,5,BE878),2,FALSE))))))</f>
        <v/>
      </c>
      <c r="BB878" s="468" t="str">
        <f>IF(T878="","",IF(OR(AU878="",AU878="-"),"－",IF(OR(AZ878=8,AZ878=9),"",IF(OR(AW878=3,AW878=4,AW878=5,AW878=6),VLOOKUP(AU878,INDEX((係数_バス貨物_ガソリン,係数_バス貨物_CNG,係数_バス貨物_軽油,係数_バス貨物_メタノール,係数_バス貨物_LPG),MATCH(AY878,【参考】排出係数!$AI$4:$AI$671,1),1,BE878):INDEX((係数_バス貨物_ガソリン,係数_バス貨物_CNG,係数_バス貨物_軽油,係数_バス貨物_メタノール,係数_バス貨物_LPG),MATCH(AY878+1,【参考】排出係数!$AI$4:$AI$671,1)-1,5,BE878),3,FALSE),IF(OR(AW878=1,AW878=2),VLOOKUP(AU878,INDEX((係数_乗用_ガソリン,係数_乗用_CNG,係数_乗用_軽油,係数_乗用_メタノール,係数_乗用_LPG),1,1,BE878):INDEX((係数_乗用_ガソリン,係数_乗用_CNG,係数_乗用_軽油,係数_乗用_メタノール,係数_乗用_LPG),125,5,BE878),3,FALSE))))))</f>
        <v/>
      </c>
      <c r="BC878" s="467" t="str">
        <f t="shared" si="482"/>
        <v/>
      </c>
      <c r="BD878" s="567" t="str">
        <f t="shared" si="483"/>
        <v/>
      </c>
      <c r="BE878" s="467" t="str">
        <f t="shared" si="484"/>
        <v/>
      </c>
      <c r="BF878" s="469" t="str">
        <f t="shared" ca="1" si="485"/>
        <v/>
      </c>
      <c r="BG878" s="469" t="str">
        <f t="shared" ca="1" si="486"/>
        <v/>
      </c>
      <c r="BH878" s="467" t="str">
        <f t="shared" si="487"/>
        <v/>
      </c>
      <c r="BI878" s="467" t="str">
        <f t="shared" ca="1" si="488"/>
        <v/>
      </c>
      <c r="BJ878" s="469" t="str">
        <f t="shared" si="489"/>
        <v/>
      </c>
      <c r="BK878" s="470" t="str">
        <f t="shared" si="473"/>
        <v/>
      </c>
      <c r="BL878" s="775" t="str">
        <f t="shared" si="490"/>
        <v/>
      </c>
      <c r="BM878" s="775" t="str">
        <f t="shared" si="491"/>
        <v/>
      </c>
    </row>
    <row r="879" spans="1:65">
      <c r="A879" s="473">
        <v>823</v>
      </c>
      <c r="B879" s="132"/>
      <c r="C879" s="332"/>
      <c r="D879" s="333"/>
      <c r="E879" s="333"/>
      <c r="F879" s="334"/>
      <c r="G879" s="337"/>
      <c r="H879" s="131"/>
      <c r="I879" s="337"/>
      <c r="J879" s="131"/>
      <c r="K879" s="458" t="str">
        <f t="shared" si="492"/>
        <v/>
      </c>
      <c r="L879" s="458">
        <f t="shared" si="493"/>
        <v>0</v>
      </c>
      <c r="M879" s="458">
        <f t="shared" si="494"/>
        <v>0</v>
      </c>
      <c r="N879" s="459" t="str">
        <f t="shared" si="467"/>
        <v/>
      </c>
      <c r="O879" s="459" t="str">
        <f t="shared" si="468"/>
        <v/>
      </c>
      <c r="P879" s="459" t="str">
        <f t="shared" si="469"/>
        <v/>
      </c>
      <c r="Q879" s="459" t="str">
        <f t="shared" si="470"/>
        <v/>
      </c>
      <c r="R879" s="459" t="str">
        <f t="shared" si="471"/>
        <v/>
      </c>
      <c r="S879" s="459" t="str">
        <f t="shared" si="472"/>
        <v/>
      </c>
      <c r="T879" s="566" t="str">
        <f t="shared" si="495"/>
        <v/>
      </c>
      <c r="U879" s="702"/>
      <c r="V879" s="132"/>
      <c r="W879" s="133"/>
      <c r="X879" s="134"/>
      <c r="Y879" s="135"/>
      <c r="Z879" s="137"/>
      <c r="AA879" s="136"/>
      <c r="AB879" s="566" t="str">
        <f t="shared" si="496"/>
        <v/>
      </c>
      <c r="AC879" s="568" t="str">
        <f t="shared" si="497"/>
        <v/>
      </c>
      <c r="AD879" s="137"/>
      <c r="AE879" s="137"/>
      <c r="AF879" s="138"/>
      <c r="AG879" s="138"/>
      <c r="AH879" s="592" t="str">
        <f t="shared" si="498"/>
        <v/>
      </c>
      <c r="AI879" s="592" t="str">
        <f t="shared" si="499"/>
        <v/>
      </c>
      <c r="AJ879" s="592" t="str">
        <f t="shared" si="500"/>
        <v/>
      </c>
      <c r="AK879" s="460" t="str">
        <f>IF(AU879="","",IF(OR(AZ879=8,AZ879=9),0,IF(OR(AW879=3,AW879=4,AW879=5,AW879=6),IF(LEFT(BF879,1)="1",INDEX(係数_NOX・PM低減,MATCH(AY879,【参考】排出係数!$AI$801:$AI$804,1),1),VLOOKUP(AU879,INDEX((係数_バス貨物_ガソリン,係数_バス貨物_CNG,係数_バス貨物_軽油,係数_バス貨物_メタノール,係数_バス貨物_LPG),MATCH(AY879,【参考】排出係数!$AI$4:$AI$671,1),1,BE879):INDEX((係数_バス貨物_ガソリン,係数_バス貨物_CNG,係数_バス貨物_軽油,係数_バス貨物_メタノール,係数_バス貨物_LPG),MATCH(AY879+1,【参考】排出係数!$AI$4:$AI$671,1)-1,5,BE879),4,FALSE)),IF(AND(BE879=3,LEFT(BF879,1)="1"),0.48,VLOOKUP(AU879,INDEX((係数_乗用_ガソリン,係数_乗用_CNG,係数_乗用_軽油,係数_乗用_メタノール,係数_乗用_LPG),1,1,BE879):INDEX((係数_乗用_ガソリン,係数_乗用_CNG,係数_乗用_軽油,係数_乗用_メタノール,係数_乗用_LPG),125,5,BE879),4,FALSE)))))</f>
        <v/>
      </c>
      <c r="AL879" s="461" t="str">
        <f t="shared" si="501"/>
        <v/>
      </c>
      <c r="AM879" s="460" t="str">
        <f>IF(AU879="","",IF(OR(AZ879=8,AZ879=9),0,IF(OR(AW879=3,AW879=4,AW879=5,AW879=6),IF(LEFT(BH879,1)="1",INDEX(係数_PM低減,MATCH(AY879,【参考】排出係数!$AI$801:$AI$804,1),MATCH(BI879,【参考】排出係数!$AL$798:$AO$798,1)),VLOOKUP(AU879,INDEX((係数_バス貨物_ガソリン,係数_バス貨物_CNG,係数_バス貨物_軽油,係数_バス貨物_メタノール,係数_バス貨物_LPG),MATCH(AY879,【参考】排出係数!$AI$4:$AI$671,1),1,BE879):INDEX((係数_バス貨物_ガソリン,係数_バス貨物_CNG,係数_バス貨物_軽油,係数_バス貨物_メタノール,係数_バス貨物_LPG),MATCH(AY879+1,【参考】排出係数!$AI$4:$AI$671,1)-1,5,BE879),5,FALSE)),IF(AND(BE879=3,LEFT(BF879,1)="1"),0.055,VLOOKUP(AU879,INDEX((係数_乗用_ガソリン,係数_乗用_CNG,係数_乗用_軽油,係数_乗用_メタノール,係数_乗用_LPG),1,1,BE879):INDEX((係数_乗用_ガソリン,係数_乗用_CNG,係数_乗用_軽油,係数_乗用_メタノール,係数_乗用_LPG),125,5,BE879),5,FALSE)))))</f>
        <v/>
      </c>
      <c r="AN879" s="461" t="str">
        <f t="shared" si="502"/>
        <v/>
      </c>
      <c r="AO879" s="462" t="str">
        <f t="shared" si="503"/>
        <v/>
      </c>
      <c r="AP879" s="463" t="str">
        <f t="shared" si="504"/>
        <v/>
      </c>
      <c r="AQ879" s="464"/>
      <c r="AR879" s="619"/>
      <c r="AS879" s="465" t="str">
        <f t="shared" si="474"/>
        <v/>
      </c>
      <c r="AT879" s="465" t="str">
        <f t="shared" si="475"/>
        <v/>
      </c>
      <c r="AU879" s="466" t="str">
        <f t="shared" si="476"/>
        <v/>
      </c>
      <c r="AV879" s="467" t="str">
        <f t="shared" si="477"/>
        <v/>
      </c>
      <c r="AW879" s="467" t="str">
        <f t="shared" si="478"/>
        <v/>
      </c>
      <c r="AX879" s="467" t="str">
        <f t="shared" si="479"/>
        <v/>
      </c>
      <c r="AY879" s="467" t="str">
        <f t="shared" si="480"/>
        <v/>
      </c>
      <c r="AZ879" s="467" t="str">
        <f t="shared" si="481"/>
        <v/>
      </c>
      <c r="BA879" s="468" t="str">
        <f>IF(AS879="","",IF(OR(AU879="",AU879="-"),"－",IF(OR(AZ879=8,AZ879=9),"",IF(OR(AW879=3,AW879=4,AW879=5,AW879=6),VLOOKUP(AU879,INDEX((係数_バス貨物_ガソリン,係数_バス貨物_CNG,係数_バス貨物_軽油,係数_バス貨物_メタノール,係数_バス貨物_LPG),MATCH(AY879,【参考】排出係数!$AI$4:$AI$671,1),1,BE879):INDEX((係数_バス貨物_ガソリン,係数_バス貨物_CNG,係数_バス貨物_軽油,係数_バス貨物_メタノール,係数_バス貨物_LPG),MATCH(AY879+1,【参考】排出係数!$AI$4:$AI$671,1)-1,5,BE879),2,FALSE),IF(OR(AW879=1,AW879=2),VLOOKUP(AU879,INDEX((係数_乗用_ガソリン,係数_乗用_CNG,係数_乗用_軽油,係数_乗用_メタノール,係数_乗用_LPG),1,1,BE879):INDEX((係数_乗用_ガソリン,係数_乗用_CNG,係数_乗用_軽油,係数_乗用_メタノール,係数_乗用_LPG),125,5,BE879),2,FALSE))))))</f>
        <v/>
      </c>
      <c r="BB879" s="468" t="str">
        <f>IF(T879="","",IF(OR(AU879="",AU879="-"),"－",IF(OR(AZ879=8,AZ879=9),"",IF(OR(AW879=3,AW879=4,AW879=5,AW879=6),VLOOKUP(AU879,INDEX((係数_バス貨物_ガソリン,係数_バス貨物_CNG,係数_バス貨物_軽油,係数_バス貨物_メタノール,係数_バス貨物_LPG),MATCH(AY879,【参考】排出係数!$AI$4:$AI$671,1),1,BE879):INDEX((係数_バス貨物_ガソリン,係数_バス貨物_CNG,係数_バス貨物_軽油,係数_バス貨物_メタノール,係数_バス貨物_LPG),MATCH(AY879+1,【参考】排出係数!$AI$4:$AI$671,1)-1,5,BE879),3,FALSE),IF(OR(AW879=1,AW879=2),VLOOKUP(AU879,INDEX((係数_乗用_ガソリン,係数_乗用_CNG,係数_乗用_軽油,係数_乗用_メタノール,係数_乗用_LPG),1,1,BE879):INDEX((係数_乗用_ガソリン,係数_乗用_CNG,係数_乗用_軽油,係数_乗用_メタノール,係数_乗用_LPG),125,5,BE879),3,FALSE))))))</f>
        <v/>
      </c>
      <c r="BC879" s="467" t="str">
        <f t="shared" si="482"/>
        <v/>
      </c>
      <c r="BD879" s="567" t="str">
        <f t="shared" si="483"/>
        <v/>
      </c>
      <c r="BE879" s="467" t="str">
        <f t="shared" si="484"/>
        <v/>
      </c>
      <c r="BF879" s="469" t="str">
        <f t="shared" ca="1" si="485"/>
        <v/>
      </c>
      <c r="BG879" s="469" t="str">
        <f t="shared" ca="1" si="486"/>
        <v/>
      </c>
      <c r="BH879" s="467" t="str">
        <f t="shared" si="487"/>
        <v/>
      </c>
      <c r="BI879" s="467" t="str">
        <f t="shared" ca="1" si="488"/>
        <v/>
      </c>
      <c r="BJ879" s="469" t="str">
        <f t="shared" si="489"/>
        <v/>
      </c>
      <c r="BK879" s="470" t="str">
        <f t="shared" si="473"/>
        <v/>
      </c>
      <c r="BL879" s="775" t="str">
        <f t="shared" si="490"/>
        <v/>
      </c>
      <c r="BM879" s="775" t="str">
        <f t="shared" si="491"/>
        <v/>
      </c>
    </row>
    <row r="880" spans="1:65">
      <c r="A880" s="473">
        <v>824</v>
      </c>
      <c r="B880" s="132"/>
      <c r="C880" s="332"/>
      <c r="D880" s="333"/>
      <c r="E880" s="333"/>
      <c r="F880" s="334"/>
      <c r="G880" s="337"/>
      <c r="H880" s="131"/>
      <c r="I880" s="337"/>
      <c r="J880" s="131"/>
      <c r="K880" s="458" t="str">
        <f t="shared" si="492"/>
        <v/>
      </c>
      <c r="L880" s="458">
        <f t="shared" si="493"/>
        <v>0</v>
      </c>
      <c r="M880" s="458">
        <f t="shared" si="494"/>
        <v>0</v>
      </c>
      <c r="N880" s="459" t="str">
        <f t="shared" si="467"/>
        <v/>
      </c>
      <c r="O880" s="459" t="str">
        <f t="shared" si="468"/>
        <v/>
      </c>
      <c r="P880" s="459" t="str">
        <f t="shared" si="469"/>
        <v/>
      </c>
      <c r="Q880" s="459" t="str">
        <f t="shared" si="470"/>
        <v/>
      </c>
      <c r="R880" s="459" t="str">
        <f t="shared" si="471"/>
        <v/>
      </c>
      <c r="S880" s="459" t="str">
        <f t="shared" si="472"/>
        <v/>
      </c>
      <c r="T880" s="566" t="str">
        <f t="shared" si="495"/>
        <v/>
      </c>
      <c r="U880" s="702"/>
      <c r="V880" s="132"/>
      <c r="W880" s="133"/>
      <c r="X880" s="134"/>
      <c r="Y880" s="135"/>
      <c r="Z880" s="137"/>
      <c r="AA880" s="136"/>
      <c r="AB880" s="566" t="str">
        <f t="shared" si="496"/>
        <v/>
      </c>
      <c r="AC880" s="568" t="str">
        <f t="shared" si="497"/>
        <v/>
      </c>
      <c r="AD880" s="137"/>
      <c r="AE880" s="137"/>
      <c r="AF880" s="138"/>
      <c r="AG880" s="138"/>
      <c r="AH880" s="592" t="str">
        <f t="shared" si="498"/>
        <v/>
      </c>
      <c r="AI880" s="592" t="str">
        <f t="shared" si="499"/>
        <v/>
      </c>
      <c r="AJ880" s="592" t="str">
        <f t="shared" si="500"/>
        <v/>
      </c>
      <c r="AK880" s="460" t="str">
        <f>IF(AU880="","",IF(OR(AZ880=8,AZ880=9),0,IF(OR(AW880=3,AW880=4,AW880=5,AW880=6),IF(LEFT(BF880,1)="1",INDEX(係数_NOX・PM低減,MATCH(AY880,【参考】排出係数!$AI$801:$AI$804,1),1),VLOOKUP(AU880,INDEX((係数_バス貨物_ガソリン,係数_バス貨物_CNG,係数_バス貨物_軽油,係数_バス貨物_メタノール,係数_バス貨物_LPG),MATCH(AY880,【参考】排出係数!$AI$4:$AI$671,1),1,BE880):INDEX((係数_バス貨物_ガソリン,係数_バス貨物_CNG,係数_バス貨物_軽油,係数_バス貨物_メタノール,係数_バス貨物_LPG),MATCH(AY880+1,【参考】排出係数!$AI$4:$AI$671,1)-1,5,BE880),4,FALSE)),IF(AND(BE880=3,LEFT(BF880,1)="1"),0.48,VLOOKUP(AU880,INDEX((係数_乗用_ガソリン,係数_乗用_CNG,係数_乗用_軽油,係数_乗用_メタノール,係数_乗用_LPG),1,1,BE880):INDEX((係数_乗用_ガソリン,係数_乗用_CNG,係数_乗用_軽油,係数_乗用_メタノール,係数_乗用_LPG),125,5,BE880),4,FALSE)))))</f>
        <v/>
      </c>
      <c r="AL880" s="461" t="str">
        <f t="shared" si="501"/>
        <v/>
      </c>
      <c r="AM880" s="460" t="str">
        <f>IF(AU880="","",IF(OR(AZ880=8,AZ880=9),0,IF(OR(AW880=3,AW880=4,AW880=5,AW880=6),IF(LEFT(BH880,1)="1",INDEX(係数_PM低減,MATCH(AY880,【参考】排出係数!$AI$801:$AI$804,1),MATCH(BI880,【参考】排出係数!$AL$798:$AO$798,1)),VLOOKUP(AU880,INDEX((係数_バス貨物_ガソリン,係数_バス貨物_CNG,係数_バス貨物_軽油,係数_バス貨物_メタノール,係数_バス貨物_LPG),MATCH(AY880,【参考】排出係数!$AI$4:$AI$671,1),1,BE880):INDEX((係数_バス貨物_ガソリン,係数_バス貨物_CNG,係数_バス貨物_軽油,係数_バス貨物_メタノール,係数_バス貨物_LPG),MATCH(AY880+1,【参考】排出係数!$AI$4:$AI$671,1)-1,5,BE880),5,FALSE)),IF(AND(BE880=3,LEFT(BF880,1)="1"),0.055,VLOOKUP(AU880,INDEX((係数_乗用_ガソリン,係数_乗用_CNG,係数_乗用_軽油,係数_乗用_メタノール,係数_乗用_LPG),1,1,BE880):INDEX((係数_乗用_ガソリン,係数_乗用_CNG,係数_乗用_軽油,係数_乗用_メタノール,係数_乗用_LPG),125,5,BE880),5,FALSE)))))</f>
        <v/>
      </c>
      <c r="AN880" s="461" t="str">
        <f t="shared" si="502"/>
        <v/>
      </c>
      <c r="AO880" s="462" t="str">
        <f t="shared" si="503"/>
        <v/>
      </c>
      <c r="AP880" s="463" t="str">
        <f t="shared" si="504"/>
        <v/>
      </c>
      <c r="AQ880" s="464"/>
      <c r="AR880" s="619"/>
      <c r="AS880" s="465" t="str">
        <f t="shared" si="474"/>
        <v/>
      </c>
      <c r="AT880" s="465" t="str">
        <f t="shared" si="475"/>
        <v/>
      </c>
      <c r="AU880" s="466" t="str">
        <f t="shared" si="476"/>
        <v/>
      </c>
      <c r="AV880" s="467" t="str">
        <f t="shared" si="477"/>
        <v/>
      </c>
      <c r="AW880" s="467" t="str">
        <f t="shared" si="478"/>
        <v/>
      </c>
      <c r="AX880" s="467" t="str">
        <f t="shared" si="479"/>
        <v/>
      </c>
      <c r="AY880" s="467" t="str">
        <f t="shared" si="480"/>
        <v/>
      </c>
      <c r="AZ880" s="467" t="str">
        <f t="shared" si="481"/>
        <v/>
      </c>
      <c r="BA880" s="468" t="str">
        <f>IF(AS880="","",IF(OR(AU880="",AU880="-"),"－",IF(OR(AZ880=8,AZ880=9),"",IF(OR(AW880=3,AW880=4,AW880=5,AW880=6),VLOOKUP(AU880,INDEX((係数_バス貨物_ガソリン,係数_バス貨物_CNG,係数_バス貨物_軽油,係数_バス貨物_メタノール,係数_バス貨物_LPG),MATCH(AY880,【参考】排出係数!$AI$4:$AI$671,1),1,BE880):INDEX((係数_バス貨物_ガソリン,係数_バス貨物_CNG,係数_バス貨物_軽油,係数_バス貨物_メタノール,係数_バス貨物_LPG),MATCH(AY880+1,【参考】排出係数!$AI$4:$AI$671,1)-1,5,BE880),2,FALSE),IF(OR(AW880=1,AW880=2),VLOOKUP(AU880,INDEX((係数_乗用_ガソリン,係数_乗用_CNG,係数_乗用_軽油,係数_乗用_メタノール,係数_乗用_LPG),1,1,BE880):INDEX((係数_乗用_ガソリン,係数_乗用_CNG,係数_乗用_軽油,係数_乗用_メタノール,係数_乗用_LPG),125,5,BE880),2,FALSE))))))</f>
        <v/>
      </c>
      <c r="BB880" s="468" t="str">
        <f>IF(T880="","",IF(OR(AU880="",AU880="-"),"－",IF(OR(AZ880=8,AZ880=9),"",IF(OR(AW880=3,AW880=4,AW880=5,AW880=6),VLOOKUP(AU880,INDEX((係数_バス貨物_ガソリン,係数_バス貨物_CNG,係数_バス貨物_軽油,係数_バス貨物_メタノール,係数_バス貨物_LPG),MATCH(AY880,【参考】排出係数!$AI$4:$AI$671,1),1,BE880):INDEX((係数_バス貨物_ガソリン,係数_バス貨物_CNG,係数_バス貨物_軽油,係数_バス貨物_メタノール,係数_バス貨物_LPG),MATCH(AY880+1,【参考】排出係数!$AI$4:$AI$671,1)-1,5,BE880),3,FALSE),IF(OR(AW880=1,AW880=2),VLOOKUP(AU880,INDEX((係数_乗用_ガソリン,係数_乗用_CNG,係数_乗用_軽油,係数_乗用_メタノール,係数_乗用_LPG),1,1,BE880):INDEX((係数_乗用_ガソリン,係数_乗用_CNG,係数_乗用_軽油,係数_乗用_メタノール,係数_乗用_LPG),125,5,BE880),3,FALSE))))))</f>
        <v/>
      </c>
      <c r="BC880" s="467" t="str">
        <f t="shared" si="482"/>
        <v/>
      </c>
      <c r="BD880" s="567" t="str">
        <f t="shared" si="483"/>
        <v/>
      </c>
      <c r="BE880" s="467" t="str">
        <f t="shared" si="484"/>
        <v/>
      </c>
      <c r="BF880" s="469" t="str">
        <f t="shared" ca="1" si="485"/>
        <v/>
      </c>
      <c r="BG880" s="469" t="str">
        <f t="shared" ca="1" si="486"/>
        <v/>
      </c>
      <c r="BH880" s="467" t="str">
        <f t="shared" si="487"/>
        <v/>
      </c>
      <c r="BI880" s="467" t="str">
        <f t="shared" ca="1" si="488"/>
        <v/>
      </c>
      <c r="BJ880" s="469" t="str">
        <f t="shared" si="489"/>
        <v/>
      </c>
      <c r="BK880" s="470" t="str">
        <f t="shared" si="473"/>
        <v/>
      </c>
      <c r="BL880" s="775" t="str">
        <f t="shared" si="490"/>
        <v/>
      </c>
      <c r="BM880" s="775" t="str">
        <f t="shared" si="491"/>
        <v/>
      </c>
    </row>
    <row r="881" spans="1:65">
      <c r="A881" s="473">
        <v>825</v>
      </c>
      <c r="B881" s="132"/>
      <c r="C881" s="332"/>
      <c r="D881" s="333"/>
      <c r="E881" s="333"/>
      <c r="F881" s="334"/>
      <c r="G881" s="337"/>
      <c r="H881" s="131"/>
      <c r="I881" s="337"/>
      <c r="J881" s="131"/>
      <c r="K881" s="458" t="str">
        <f t="shared" si="492"/>
        <v/>
      </c>
      <c r="L881" s="458">
        <f t="shared" si="493"/>
        <v>0</v>
      </c>
      <c r="M881" s="458">
        <f t="shared" si="494"/>
        <v>0</v>
      </c>
      <c r="N881" s="459" t="str">
        <f t="shared" si="467"/>
        <v/>
      </c>
      <c r="O881" s="459" t="str">
        <f t="shared" si="468"/>
        <v/>
      </c>
      <c r="P881" s="459" t="str">
        <f t="shared" si="469"/>
        <v/>
      </c>
      <c r="Q881" s="459" t="str">
        <f t="shared" si="470"/>
        <v/>
      </c>
      <c r="R881" s="459" t="str">
        <f t="shared" si="471"/>
        <v/>
      </c>
      <c r="S881" s="459" t="str">
        <f t="shared" si="472"/>
        <v/>
      </c>
      <c r="T881" s="566" t="str">
        <f t="shared" si="495"/>
        <v/>
      </c>
      <c r="U881" s="702"/>
      <c r="V881" s="132"/>
      <c r="W881" s="133"/>
      <c r="X881" s="134"/>
      <c r="Y881" s="135"/>
      <c r="Z881" s="137"/>
      <c r="AA881" s="136"/>
      <c r="AB881" s="566" t="str">
        <f t="shared" si="496"/>
        <v/>
      </c>
      <c r="AC881" s="568" t="str">
        <f t="shared" si="497"/>
        <v/>
      </c>
      <c r="AD881" s="137"/>
      <c r="AE881" s="137"/>
      <c r="AF881" s="138"/>
      <c r="AG881" s="138"/>
      <c r="AH881" s="592" t="str">
        <f t="shared" si="498"/>
        <v/>
      </c>
      <c r="AI881" s="592" t="str">
        <f t="shared" si="499"/>
        <v/>
      </c>
      <c r="AJ881" s="592" t="str">
        <f t="shared" si="500"/>
        <v/>
      </c>
      <c r="AK881" s="460" t="str">
        <f>IF(AU881="","",IF(OR(AZ881=8,AZ881=9),0,IF(OR(AW881=3,AW881=4,AW881=5,AW881=6),IF(LEFT(BF881,1)="1",INDEX(係数_NOX・PM低減,MATCH(AY881,【参考】排出係数!$AI$801:$AI$804,1),1),VLOOKUP(AU881,INDEX((係数_バス貨物_ガソリン,係数_バス貨物_CNG,係数_バス貨物_軽油,係数_バス貨物_メタノール,係数_バス貨物_LPG),MATCH(AY881,【参考】排出係数!$AI$4:$AI$671,1),1,BE881):INDEX((係数_バス貨物_ガソリン,係数_バス貨物_CNG,係数_バス貨物_軽油,係数_バス貨物_メタノール,係数_バス貨物_LPG),MATCH(AY881+1,【参考】排出係数!$AI$4:$AI$671,1)-1,5,BE881),4,FALSE)),IF(AND(BE881=3,LEFT(BF881,1)="1"),0.48,VLOOKUP(AU881,INDEX((係数_乗用_ガソリン,係数_乗用_CNG,係数_乗用_軽油,係数_乗用_メタノール,係数_乗用_LPG),1,1,BE881):INDEX((係数_乗用_ガソリン,係数_乗用_CNG,係数_乗用_軽油,係数_乗用_メタノール,係数_乗用_LPG),125,5,BE881),4,FALSE)))))</f>
        <v/>
      </c>
      <c r="AL881" s="461" t="str">
        <f t="shared" si="501"/>
        <v/>
      </c>
      <c r="AM881" s="460" t="str">
        <f>IF(AU881="","",IF(OR(AZ881=8,AZ881=9),0,IF(OR(AW881=3,AW881=4,AW881=5,AW881=6),IF(LEFT(BH881,1)="1",INDEX(係数_PM低減,MATCH(AY881,【参考】排出係数!$AI$801:$AI$804,1),MATCH(BI881,【参考】排出係数!$AL$798:$AO$798,1)),VLOOKUP(AU881,INDEX((係数_バス貨物_ガソリン,係数_バス貨物_CNG,係数_バス貨物_軽油,係数_バス貨物_メタノール,係数_バス貨物_LPG),MATCH(AY881,【参考】排出係数!$AI$4:$AI$671,1),1,BE881):INDEX((係数_バス貨物_ガソリン,係数_バス貨物_CNG,係数_バス貨物_軽油,係数_バス貨物_メタノール,係数_バス貨物_LPG),MATCH(AY881+1,【参考】排出係数!$AI$4:$AI$671,1)-1,5,BE881),5,FALSE)),IF(AND(BE881=3,LEFT(BF881,1)="1"),0.055,VLOOKUP(AU881,INDEX((係数_乗用_ガソリン,係数_乗用_CNG,係数_乗用_軽油,係数_乗用_メタノール,係数_乗用_LPG),1,1,BE881):INDEX((係数_乗用_ガソリン,係数_乗用_CNG,係数_乗用_軽油,係数_乗用_メタノール,係数_乗用_LPG),125,5,BE881),5,FALSE)))))</f>
        <v/>
      </c>
      <c r="AN881" s="461" t="str">
        <f t="shared" si="502"/>
        <v/>
      </c>
      <c r="AO881" s="462" t="str">
        <f t="shared" si="503"/>
        <v/>
      </c>
      <c r="AP881" s="463" t="str">
        <f t="shared" si="504"/>
        <v/>
      </c>
      <c r="AQ881" s="464"/>
      <c r="AR881" s="619"/>
      <c r="AS881" s="465" t="str">
        <f t="shared" si="474"/>
        <v/>
      </c>
      <c r="AT881" s="465" t="str">
        <f t="shared" si="475"/>
        <v/>
      </c>
      <c r="AU881" s="466" t="str">
        <f t="shared" si="476"/>
        <v/>
      </c>
      <c r="AV881" s="467" t="str">
        <f t="shared" si="477"/>
        <v/>
      </c>
      <c r="AW881" s="467" t="str">
        <f t="shared" si="478"/>
        <v/>
      </c>
      <c r="AX881" s="467" t="str">
        <f t="shared" si="479"/>
        <v/>
      </c>
      <c r="AY881" s="467" t="str">
        <f t="shared" si="480"/>
        <v/>
      </c>
      <c r="AZ881" s="467" t="str">
        <f t="shared" si="481"/>
        <v/>
      </c>
      <c r="BA881" s="468" t="str">
        <f>IF(AS881="","",IF(OR(AU881="",AU881="-"),"－",IF(OR(AZ881=8,AZ881=9),"",IF(OR(AW881=3,AW881=4,AW881=5,AW881=6),VLOOKUP(AU881,INDEX((係数_バス貨物_ガソリン,係数_バス貨物_CNG,係数_バス貨物_軽油,係数_バス貨物_メタノール,係数_バス貨物_LPG),MATCH(AY881,【参考】排出係数!$AI$4:$AI$671,1),1,BE881):INDEX((係数_バス貨物_ガソリン,係数_バス貨物_CNG,係数_バス貨物_軽油,係数_バス貨物_メタノール,係数_バス貨物_LPG),MATCH(AY881+1,【参考】排出係数!$AI$4:$AI$671,1)-1,5,BE881),2,FALSE),IF(OR(AW881=1,AW881=2),VLOOKUP(AU881,INDEX((係数_乗用_ガソリン,係数_乗用_CNG,係数_乗用_軽油,係数_乗用_メタノール,係数_乗用_LPG),1,1,BE881):INDEX((係数_乗用_ガソリン,係数_乗用_CNG,係数_乗用_軽油,係数_乗用_メタノール,係数_乗用_LPG),125,5,BE881),2,FALSE))))))</f>
        <v/>
      </c>
      <c r="BB881" s="468" t="str">
        <f>IF(T881="","",IF(OR(AU881="",AU881="-"),"－",IF(OR(AZ881=8,AZ881=9),"",IF(OR(AW881=3,AW881=4,AW881=5,AW881=6),VLOOKUP(AU881,INDEX((係数_バス貨物_ガソリン,係数_バス貨物_CNG,係数_バス貨物_軽油,係数_バス貨物_メタノール,係数_バス貨物_LPG),MATCH(AY881,【参考】排出係数!$AI$4:$AI$671,1),1,BE881):INDEX((係数_バス貨物_ガソリン,係数_バス貨物_CNG,係数_バス貨物_軽油,係数_バス貨物_メタノール,係数_バス貨物_LPG),MATCH(AY881+1,【参考】排出係数!$AI$4:$AI$671,1)-1,5,BE881),3,FALSE),IF(OR(AW881=1,AW881=2),VLOOKUP(AU881,INDEX((係数_乗用_ガソリン,係数_乗用_CNG,係数_乗用_軽油,係数_乗用_メタノール,係数_乗用_LPG),1,1,BE881):INDEX((係数_乗用_ガソリン,係数_乗用_CNG,係数_乗用_軽油,係数_乗用_メタノール,係数_乗用_LPG),125,5,BE881),3,FALSE))))))</f>
        <v/>
      </c>
      <c r="BC881" s="467" t="str">
        <f t="shared" si="482"/>
        <v/>
      </c>
      <c r="BD881" s="567" t="str">
        <f t="shared" si="483"/>
        <v/>
      </c>
      <c r="BE881" s="467" t="str">
        <f t="shared" si="484"/>
        <v/>
      </c>
      <c r="BF881" s="469" t="str">
        <f t="shared" ca="1" si="485"/>
        <v/>
      </c>
      <c r="BG881" s="469" t="str">
        <f t="shared" ca="1" si="486"/>
        <v/>
      </c>
      <c r="BH881" s="467" t="str">
        <f t="shared" si="487"/>
        <v/>
      </c>
      <c r="BI881" s="467" t="str">
        <f t="shared" ca="1" si="488"/>
        <v/>
      </c>
      <c r="BJ881" s="469" t="str">
        <f t="shared" si="489"/>
        <v/>
      </c>
      <c r="BK881" s="470" t="str">
        <f t="shared" si="473"/>
        <v/>
      </c>
      <c r="BL881" s="775" t="str">
        <f t="shared" si="490"/>
        <v/>
      </c>
      <c r="BM881" s="775" t="str">
        <f t="shared" si="491"/>
        <v/>
      </c>
    </row>
    <row r="882" spans="1:65">
      <c r="A882" s="473">
        <v>826</v>
      </c>
      <c r="B882" s="132"/>
      <c r="C882" s="332"/>
      <c r="D882" s="333"/>
      <c r="E882" s="333"/>
      <c r="F882" s="334"/>
      <c r="G882" s="337"/>
      <c r="H882" s="131"/>
      <c r="I882" s="337"/>
      <c r="J882" s="131"/>
      <c r="K882" s="458" t="str">
        <f t="shared" si="492"/>
        <v/>
      </c>
      <c r="L882" s="458">
        <f t="shared" si="493"/>
        <v>0</v>
      </c>
      <c r="M882" s="458">
        <f t="shared" si="494"/>
        <v>0</v>
      </c>
      <c r="N882" s="459" t="str">
        <f t="shared" si="467"/>
        <v/>
      </c>
      <c r="O882" s="459" t="str">
        <f t="shared" si="468"/>
        <v/>
      </c>
      <c r="P882" s="459" t="str">
        <f t="shared" si="469"/>
        <v/>
      </c>
      <c r="Q882" s="459" t="str">
        <f t="shared" si="470"/>
        <v/>
      </c>
      <c r="R882" s="459" t="str">
        <f t="shared" si="471"/>
        <v/>
      </c>
      <c r="S882" s="459" t="str">
        <f t="shared" si="472"/>
        <v/>
      </c>
      <c r="T882" s="566" t="str">
        <f t="shared" si="495"/>
        <v/>
      </c>
      <c r="U882" s="702"/>
      <c r="V882" s="132"/>
      <c r="W882" s="133"/>
      <c r="X882" s="134"/>
      <c r="Y882" s="135"/>
      <c r="Z882" s="137"/>
      <c r="AA882" s="136"/>
      <c r="AB882" s="566" t="str">
        <f t="shared" si="496"/>
        <v/>
      </c>
      <c r="AC882" s="568" t="str">
        <f t="shared" si="497"/>
        <v/>
      </c>
      <c r="AD882" s="137"/>
      <c r="AE882" s="137"/>
      <c r="AF882" s="138"/>
      <c r="AG882" s="138"/>
      <c r="AH882" s="592" t="str">
        <f t="shared" si="498"/>
        <v/>
      </c>
      <c r="AI882" s="592" t="str">
        <f t="shared" si="499"/>
        <v/>
      </c>
      <c r="AJ882" s="592" t="str">
        <f t="shared" si="500"/>
        <v/>
      </c>
      <c r="AK882" s="460" t="str">
        <f>IF(AU882="","",IF(OR(AZ882=8,AZ882=9),0,IF(OR(AW882=3,AW882=4,AW882=5,AW882=6),IF(LEFT(BF882,1)="1",INDEX(係数_NOX・PM低減,MATCH(AY882,【参考】排出係数!$AI$801:$AI$804,1),1),VLOOKUP(AU882,INDEX((係数_バス貨物_ガソリン,係数_バス貨物_CNG,係数_バス貨物_軽油,係数_バス貨物_メタノール,係数_バス貨物_LPG),MATCH(AY882,【参考】排出係数!$AI$4:$AI$671,1),1,BE882):INDEX((係数_バス貨物_ガソリン,係数_バス貨物_CNG,係数_バス貨物_軽油,係数_バス貨物_メタノール,係数_バス貨物_LPG),MATCH(AY882+1,【参考】排出係数!$AI$4:$AI$671,1)-1,5,BE882),4,FALSE)),IF(AND(BE882=3,LEFT(BF882,1)="1"),0.48,VLOOKUP(AU882,INDEX((係数_乗用_ガソリン,係数_乗用_CNG,係数_乗用_軽油,係数_乗用_メタノール,係数_乗用_LPG),1,1,BE882):INDEX((係数_乗用_ガソリン,係数_乗用_CNG,係数_乗用_軽油,係数_乗用_メタノール,係数_乗用_LPG),125,5,BE882),4,FALSE)))))</f>
        <v/>
      </c>
      <c r="AL882" s="461" t="str">
        <f t="shared" si="501"/>
        <v/>
      </c>
      <c r="AM882" s="460" t="str">
        <f>IF(AU882="","",IF(OR(AZ882=8,AZ882=9),0,IF(OR(AW882=3,AW882=4,AW882=5,AW882=6),IF(LEFT(BH882,1)="1",INDEX(係数_PM低減,MATCH(AY882,【参考】排出係数!$AI$801:$AI$804,1),MATCH(BI882,【参考】排出係数!$AL$798:$AO$798,1)),VLOOKUP(AU882,INDEX((係数_バス貨物_ガソリン,係数_バス貨物_CNG,係数_バス貨物_軽油,係数_バス貨物_メタノール,係数_バス貨物_LPG),MATCH(AY882,【参考】排出係数!$AI$4:$AI$671,1),1,BE882):INDEX((係数_バス貨物_ガソリン,係数_バス貨物_CNG,係数_バス貨物_軽油,係数_バス貨物_メタノール,係数_バス貨物_LPG),MATCH(AY882+1,【参考】排出係数!$AI$4:$AI$671,1)-1,5,BE882),5,FALSE)),IF(AND(BE882=3,LEFT(BF882,1)="1"),0.055,VLOOKUP(AU882,INDEX((係数_乗用_ガソリン,係数_乗用_CNG,係数_乗用_軽油,係数_乗用_メタノール,係数_乗用_LPG),1,1,BE882):INDEX((係数_乗用_ガソリン,係数_乗用_CNG,係数_乗用_軽油,係数_乗用_メタノール,係数_乗用_LPG),125,5,BE882),5,FALSE)))))</f>
        <v/>
      </c>
      <c r="AN882" s="461" t="str">
        <f t="shared" si="502"/>
        <v/>
      </c>
      <c r="AO882" s="462" t="str">
        <f t="shared" si="503"/>
        <v/>
      </c>
      <c r="AP882" s="463" t="str">
        <f t="shared" si="504"/>
        <v/>
      </c>
      <c r="AQ882" s="464"/>
      <c r="AR882" s="619"/>
      <c r="AS882" s="465" t="str">
        <f t="shared" si="474"/>
        <v/>
      </c>
      <c r="AT882" s="465" t="str">
        <f t="shared" si="475"/>
        <v/>
      </c>
      <c r="AU882" s="466" t="str">
        <f t="shared" si="476"/>
        <v/>
      </c>
      <c r="AV882" s="467" t="str">
        <f t="shared" si="477"/>
        <v/>
      </c>
      <c r="AW882" s="467" t="str">
        <f t="shared" si="478"/>
        <v/>
      </c>
      <c r="AX882" s="467" t="str">
        <f t="shared" si="479"/>
        <v/>
      </c>
      <c r="AY882" s="467" t="str">
        <f t="shared" si="480"/>
        <v/>
      </c>
      <c r="AZ882" s="467" t="str">
        <f t="shared" si="481"/>
        <v/>
      </c>
      <c r="BA882" s="468" t="str">
        <f>IF(AS882="","",IF(OR(AU882="",AU882="-"),"－",IF(OR(AZ882=8,AZ882=9),"",IF(OR(AW882=3,AW882=4,AW882=5,AW882=6),VLOOKUP(AU882,INDEX((係数_バス貨物_ガソリン,係数_バス貨物_CNG,係数_バス貨物_軽油,係数_バス貨物_メタノール,係数_バス貨物_LPG),MATCH(AY882,【参考】排出係数!$AI$4:$AI$671,1),1,BE882):INDEX((係数_バス貨物_ガソリン,係数_バス貨物_CNG,係数_バス貨物_軽油,係数_バス貨物_メタノール,係数_バス貨物_LPG),MATCH(AY882+1,【参考】排出係数!$AI$4:$AI$671,1)-1,5,BE882),2,FALSE),IF(OR(AW882=1,AW882=2),VLOOKUP(AU882,INDEX((係数_乗用_ガソリン,係数_乗用_CNG,係数_乗用_軽油,係数_乗用_メタノール,係数_乗用_LPG),1,1,BE882):INDEX((係数_乗用_ガソリン,係数_乗用_CNG,係数_乗用_軽油,係数_乗用_メタノール,係数_乗用_LPG),125,5,BE882),2,FALSE))))))</f>
        <v/>
      </c>
      <c r="BB882" s="468" t="str">
        <f>IF(T882="","",IF(OR(AU882="",AU882="-"),"－",IF(OR(AZ882=8,AZ882=9),"",IF(OR(AW882=3,AW882=4,AW882=5,AW882=6),VLOOKUP(AU882,INDEX((係数_バス貨物_ガソリン,係数_バス貨物_CNG,係数_バス貨物_軽油,係数_バス貨物_メタノール,係数_バス貨物_LPG),MATCH(AY882,【参考】排出係数!$AI$4:$AI$671,1),1,BE882):INDEX((係数_バス貨物_ガソリン,係数_バス貨物_CNG,係数_バス貨物_軽油,係数_バス貨物_メタノール,係数_バス貨物_LPG),MATCH(AY882+1,【参考】排出係数!$AI$4:$AI$671,1)-1,5,BE882),3,FALSE),IF(OR(AW882=1,AW882=2),VLOOKUP(AU882,INDEX((係数_乗用_ガソリン,係数_乗用_CNG,係数_乗用_軽油,係数_乗用_メタノール,係数_乗用_LPG),1,1,BE882):INDEX((係数_乗用_ガソリン,係数_乗用_CNG,係数_乗用_軽油,係数_乗用_メタノール,係数_乗用_LPG),125,5,BE882),3,FALSE))))))</f>
        <v/>
      </c>
      <c r="BC882" s="467" t="str">
        <f t="shared" si="482"/>
        <v/>
      </c>
      <c r="BD882" s="567" t="str">
        <f t="shared" si="483"/>
        <v/>
      </c>
      <c r="BE882" s="467" t="str">
        <f t="shared" si="484"/>
        <v/>
      </c>
      <c r="BF882" s="469" t="str">
        <f t="shared" ca="1" si="485"/>
        <v/>
      </c>
      <c r="BG882" s="469" t="str">
        <f t="shared" ca="1" si="486"/>
        <v/>
      </c>
      <c r="BH882" s="467" t="str">
        <f t="shared" si="487"/>
        <v/>
      </c>
      <c r="BI882" s="467" t="str">
        <f t="shared" ca="1" si="488"/>
        <v/>
      </c>
      <c r="BJ882" s="469" t="str">
        <f t="shared" si="489"/>
        <v/>
      </c>
      <c r="BK882" s="470" t="str">
        <f t="shared" si="473"/>
        <v/>
      </c>
      <c r="BL882" s="775" t="str">
        <f t="shared" si="490"/>
        <v/>
      </c>
      <c r="BM882" s="775" t="str">
        <f t="shared" si="491"/>
        <v/>
      </c>
    </row>
    <row r="883" spans="1:65">
      <c r="A883" s="473">
        <v>827</v>
      </c>
      <c r="B883" s="132"/>
      <c r="C883" s="332"/>
      <c r="D883" s="333"/>
      <c r="E883" s="333"/>
      <c r="F883" s="334"/>
      <c r="G883" s="337"/>
      <c r="H883" s="131"/>
      <c r="I883" s="337"/>
      <c r="J883" s="131"/>
      <c r="K883" s="458" t="str">
        <f t="shared" si="492"/>
        <v/>
      </c>
      <c r="L883" s="458">
        <f t="shared" si="493"/>
        <v>0</v>
      </c>
      <c r="M883" s="458">
        <f t="shared" si="494"/>
        <v>0</v>
      </c>
      <c r="N883" s="459" t="str">
        <f t="shared" si="467"/>
        <v/>
      </c>
      <c r="O883" s="459" t="str">
        <f t="shared" si="468"/>
        <v/>
      </c>
      <c r="P883" s="459" t="str">
        <f t="shared" si="469"/>
        <v/>
      </c>
      <c r="Q883" s="459" t="str">
        <f t="shared" si="470"/>
        <v/>
      </c>
      <c r="R883" s="459" t="str">
        <f t="shared" si="471"/>
        <v/>
      </c>
      <c r="S883" s="459" t="str">
        <f t="shared" si="472"/>
        <v/>
      </c>
      <c r="T883" s="566" t="str">
        <f t="shared" si="495"/>
        <v/>
      </c>
      <c r="U883" s="702"/>
      <c r="V883" s="132"/>
      <c r="W883" s="133"/>
      <c r="X883" s="134"/>
      <c r="Y883" s="135"/>
      <c r="Z883" s="137"/>
      <c r="AA883" s="136"/>
      <c r="AB883" s="566" t="str">
        <f t="shared" si="496"/>
        <v/>
      </c>
      <c r="AC883" s="568" t="str">
        <f t="shared" si="497"/>
        <v/>
      </c>
      <c r="AD883" s="137"/>
      <c r="AE883" s="137"/>
      <c r="AF883" s="138"/>
      <c r="AG883" s="138"/>
      <c r="AH883" s="592" t="str">
        <f t="shared" si="498"/>
        <v/>
      </c>
      <c r="AI883" s="592" t="str">
        <f t="shared" si="499"/>
        <v/>
      </c>
      <c r="AJ883" s="592" t="str">
        <f t="shared" si="500"/>
        <v/>
      </c>
      <c r="AK883" s="460" t="str">
        <f>IF(AU883="","",IF(OR(AZ883=8,AZ883=9),0,IF(OR(AW883=3,AW883=4,AW883=5,AW883=6),IF(LEFT(BF883,1)="1",INDEX(係数_NOX・PM低減,MATCH(AY883,【参考】排出係数!$AI$801:$AI$804,1),1),VLOOKUP(AU883,INDEX((係数_バス貨物_ガソリン,係数_バス貨物_CNG,係数_バス貨物_軽油,係数_バス貨物_メタノール,係数_バス貨物_LPG),MATCH(AY883,【参考】排出係数!$AI$4:$AI$671,1),1,BE883):INDEX((係数_バス貨物_ガソリン,係数_バス貨物_CNG,係数_バス貨物_軽油,係数_バス貨物_メタノール,係数_バス貨物_LPG),MATCH(AY883+1,【参考】排出係数!$AI$4:$AI$671,1)-1,5,BE883),4,FALSE)),IF(AND(BE883=3,LEFT(BF883,1)="1"),0.48,VLOOKUP(AU883,INDEX((係数_乗用_ガソリン,係数_乗用_CNG,係数_乗用_軽油,係数_乗用_メタノール,係数_乗用_LPG),1,1,BE883):INDEX((係数_乗用_ガソリン,係数_乗用_CNG,係数_乗用_軽油,係数_乗用_メタノール,係数_乗用_LPG),125,5,BE883),4,FALSE)))))</f>
        <v/>
      </c>
      <c r="AL883" s="461" t="str">
        <f t="shared" si="501"/>
        <v/>
      </c>
      <c r="AM883" s="460" t="str">
        <f>IF(AU883="","",IF(OR(AZ883=8,AZ883=9),0,IF(OR(AW883=3,AW883=4,AW883=5,AW883=6),IF(LEFT(BH883,1)="1",INDEX(係数_PM低減,MATCH(AY883,【参考】排出係数!$AI$801:$AI$804,1),MATCH(BI883,【参考】排出係数!$AL$798:$AO$798,1)),VLOOKUP(AU883,INDEX((係数_バス貨物_ガソリン,係数_バス貨物_CNG,係数_バス貨物_軽油,係数_バス貨物_メタノール,係数_バス貨物_LPG),MATCH(AY883,【参考】排出係数!$AI$4:$AI$671,1),1,BE883):INDEX((係数_バス貨物_ガソリン,係数_バス貨物_CNG,係数_バス貨物_軽油,係数_バス貨物_メタノール,係数_バス貨物_LPG),MATCH(AY883+1,【参考】排出係数!$AI$4:$AI$671,1)-1,5,BE883),5,FALSE)),IF(AND(BE883=3,LEFT(BF883,1)="1"),0.055,VLOOKUP(AU883,INDEX((係数_乗用_ガソリン,係数_乗用_CNG,係数_乗用_軽油,係数_乗用_メタノール,係数_乗用_LPG),1,1,BE883):INDEX((係数_乗用_ガソリン,係数_乗用_CNG,係数_乗用_軽油,係数_乗用_メタノール,係数_乗用_LPG),125,5,BE883),5,FALSE)))))</f>
        <v/>
      </c>
      <c r="AN883" s="461" t="str">
        <f t="shared" si="502"/>
        <v/>
      </c>
      <c r="AO883" s="462" t="str">
        <f t="shared" si="503"/>
        <v/>
      </c>
      <c r="AP883" s="463" t="str">
        <f t="shared" si="504"/>
        <v/>
      </c>
      <c r="AQ883" s="464"/>
      <c r="AR883" s="619"/>
      <c r="AS883" s="465" t="str">
        <f t="shared" si="474"/>
        <v/>
      </c>
      <c r="AT883" s="465" t="str">
        <f t="shared" si="475"/>
        <v/>
      </c>
      <c r="AU883" s="466" t="str">
        <f t="shared" si="476"/>
        <v/>
      </c>
      <c r="AV883" s="467" t="str">
        <f t="shared" si="477"/>
        <v/>
      </c>
      <c r="AW883" s="467" t="str">
        <f t="shared" si="478"/>
        <v/>
      </c>
      <c r="AX883" s="467" t="str">
        <f t="shared" si="479"/>
        <v/>
      </c>
      <c r="AY883" s="467" t="str">
        <f t="shared" si="480"/>
        <v/>
      </c>
      <c r="AZ883" s="467" t="str">
        <f t="shared" si="481"/>
        <v/>
      </c>
      <c r="BA883" s="468" t="str">
        <f>IF(AS883="","",IF(OR(AU883="",AU883="-"),"－",IF(OR(AZ883=8,AZ883=9),"",IF(OR(AW883=3,AW883=4,AW883=5,AW883=6),VLOOKUP(AU883,INDEX((係数_バス貨物_ガソリン,係数_バス貨物_CNG,係数_バス貨物_軽油,係数_バス貨物_メタノール,係数_バス貨物_LPG),MATCH(AY883,【参考】排出係数!$AI$4:$AI$671,1),1,BE883):INDEX((係数_バス貨物_ガソリン,係数_バス貨物_CNG,係数_バス貨物_軽油,係数_バス貨物_メタノール,係数_バス貨物_LPG),MATCH(AY883+1,【参考】排出係数!$AI$4:$AI$671,1)-1,5,BE883),2,FALSE),IF(OR(AW883=1,AW883=2),VLOOKUP(AU883,INDEX((係数_乗用_ガソリン,係数_乗用_CNG,係数_乗用_軽油,係数_乗用_メタノール,係数_乗用_LPG),1,1,BE883):INDEX((係数_乗用_ガソリン,係数_乗用_CNG,係数_乗用_軽油,係数_乗用_メタノール,係数_乗用_LPG),125,5,BE883),2,FALSE))))))</f>
        <v/>
      </c>
      <c r="BB883" s="468" t="str">
        <f>IF(T883="","",IF(OR(AU883="",AU883="-"),"－",IF(OR(AZ883=8,AZ883=9),"",IF(OR(AW883=3,AW883=4,AW883=5,AW883=6),VLOOKUP(AU883,INDEX((係数_バス貨物_ガソリン,係数_バス貨物_CNG,係数_バス貨物_軽油,係数_バス貨物_メタノール,係数_バス貨物_LPG),MATCH(AY883,【参考】排出係数!$AI$4:$AI$671,1),1,BE883):INDEX((係数_バス貨物_ガソリン,係数_バス貨物_CNG,係数_バス貨物_軽油,係数_バス貨物_メタノール,係数_バス貨物_LPG),MATCH(AY883+1,【参考】排出係数!$AI$4:$AI$671,1)-1,5,BE883),3,FALSE),IF(OR(AW883=1,AW883=2),VLOOKUP(AU883,INDEX((係数_乗用_ガソリン,係数_乗用_CNG,係数_乗用_軽油,係数_乗用_メタノール,係数_乗用_LPG),1,1,BE883):INDEX((係数_乗用_ガソリン,係数_乗用_CNG,係数_乗用_軽油,係数_乗用_メタノール,係数_乗用_LPG),125,5,BE883),3,FALSE))))))</f>
        <v/>
      </c>
      <c r="BC883" s="467" t="str">
        <f t="shared" si="482"/>
        <v/>
      </c>
      <c r="BD883" s="567" t="str">
        <f t="shared" si="483"/>
        <v/>
      </c>
      <c r="BE883" s="467" t="str">
        <f t="shared" si="484"/>
        <v/>
      </c>
      <c r="BF883" s="469" t="str">
        <f t="shared" ca="1" si="485"/>
        <v/>
      </c>
      <c r="BG883" s="469" t="str">
        <f t="shared" ca="1" si="486"/>
        <v/>
      </c>
      <c r="BH883" s="467" t="str">
        <f t="shared" si="487"/>
        <v/>
      </c>
      <c r="BI883" s="467" t="str">
        <f t="shared" ca="1" si="488"/>
        <v/>
      </c>
      <c r="BJ883" s="469" t="str">
        <f t="shared" si="489"/>
        <v/>
      </c>
      <c r="BK883" s="470" t="str">
        <f t="shared" si="473"/>
        <v/>
      </c>
      <c r="BL883" s="775" t="str">
        <f t="shared" si="490"/>
        <v/>
      </c>
      <c r="BM883" s="775" t="str">
        <f t="shared" si="491"/>
        <v/>
      </c>
    </row>
    <row r="884" spans="1:65">
      <c r="A884" s="473">
        <v>828</v>
      </c>
      <c r="B884" s="132"/>
      <c r="C884" s="332"/>
      <c r="D884" s="333"/>
      <c r="E884" s="333"/>
      <c r="F884" s="334"/>
      <c r="G884" s="337"/>
      <c r="H884" s="131"/>
      <c r="I884" s="337"/>
      <c r="J884" s="131"/>
      <c r="K884" s="458" t="str">
        <f t="shared" si="492"/>
        <v/>
      </c>
      <c r="L884" s="458">
        <f t="shared" si="493"/>
        <v>0</v>
      </c>
      <c r="M884" s="458">
        <f t="shared" si="494"/>
        <v>0</v>
      </c>
      <c r="N884" s="459" t="str">
        <f t="shared" si="467"/>
        <v/>
      </c>
      <c r="O884" s="459" t="str">
        <f t="shared" si="468"/>
        <v/>
      </c>
      <c r="P884" s="459" t="str">
        <f t="shared" si="469"/>
        <v/>
      </c>
      <c r="Q884" s="459" t="str">
        <f t="shared" si="470"/>
        <v/>
      </c>
      <c r="R884" s="459" t="str">
        <f t="shared" si="471"/>
        <v/>
      </c>
      <c r="S884" s="459" t="str">
        <f t="shared" si="472"/>
        <v/>
      </c>
      <c r="T884" s="566" t="str">
        <f t="shared" si="495"/>
        <v/>
      </c>
      <c r="U884" s="702"/>
      <c r="V884" s="132"/>
      <c r="W884" s="133"/>
      <c r="X884" s="134"/>
      <c r="Y884" s="135"/>
      <c r="Z884" s="137"/>
      <c r="AA884" s="136"/>
      <c r="AB884" s="566" t="str">
        <f t="shared" si="496"/>
        <v/>
      </c>
      <c r="AC884" s="568" t="str">
        <f t="shared" si="497"/>
        <v/>
      </c>
      <c r="AD884" s="137"/>
      <c r="AE884" s="137"/>
      <c r="AF884" s="138"/>
      <c r="AG884" s="138"/>
      <c r="AH884" s="592" t="str">
        <f t="shared" si="498"/>
        <v/>
      </c>
      <c r="AI884" s="592" t="str">
        <f t="shared" si="499"/>
        <v/>
      </c>
      <c r="AJ884" s="592" t="str">
        <f t="shared" si="500"/>
        <v/>
      </c>
      <c r="AK884" s="460" t="str">
        <f>IF(AU884="","",IF(OR(AZ884=8,AZ884=9),0,IF(OR(AW884=3,AW884=4,AW884=5,AW884=6),IF(LEFT(BF884,1)="1",INDEX(係数_NOX・PM低減,MATCH(AY884,【参考】排出係数!$AI$801:$AI$804,1),1),VLOOKUP(AU884,INDEX((係数_バス貨物_ガソリン,係数_バス貨物_CNG,係数_バス貨物_軽油,係数_バス貨物_メタノール,係数_バス貨物_LPG),MATCH(AY884,【参考】排出係数!$AI$4:$AI$671,1),1,BE884):INDEX((係数_バス貨物_ガソリン,係数_バス貨物_CNG,係数_バス貨物_軽油,係数_バス貨物_メタノール,係数_バス貨物_LPG),MATCH(AY884+1,【参考】排出係数!$AI$4:$AI$671,1)-1,5,BE884),4,FALSE)),IF(AND(BE884=3,LEFT(BF884,1)="1"),0.48,VLOOKUP(AU884,INDEX((係数_乗用_ガソリン,係数_乗用_CNG,係数_乗用_軽油,係数_乗用_メタノール,係数_乗用_LPG),1,1,BE884):INDEX((係数_乗用_ガソリン,係数_乗用_CNG,係数_乗用_軽油,係数_乗用_メタノール,係数_乗用_LPG),125,5,BE884),4,FALSE)))))</f>
        <v/>
      </c>
      <c r="AL884" s="461" t="str">
        <f t="shared" si="501"/>
        <v/>
      </c>
      <c r="AM884" s="460" t="str">
        <f>IF(AU884="","",IF(OR(AZ884=8,AZ884=9),0,IF(OR(AW884=3,AW884=4,AW884=5,AW884=6),IF(LEFT(BH884,1)="1",INDEX(係数_PM低減,MATCH(AY884,【参考】排出係数!$AI$801:$AI$804,1),MATCH(BI884,【参考】排出係数!$AL$798:$AO$798,1)),VLOOKUP(AU884,INDEX((係数_バス貨物_ガソリン,係数_バス貨物_CNG,係数_バス貨物_軽油,係数_バス貨物_メタノール,係数_バス貨物_LPG),MATCH(AY884,【参考】排出係数!$AI$4:$AI$671,1),1,BE884):INDEX((係数_バス貨物_ガソリン,係数_バス貨物_CNG,係数_バス貨物_軽油,係数_バス貨物_メタノール,係数_バス貨物_LPG),MATCH(AY884+1,【参考】排出係数!$AI$4:$AI$671,1)-1,5,BE884),5,FALSE)),IF(AND(BE884=3,LEFT(BF884,1)="1"),0.055,VLOOKUP(AU884,INDEX((係数_乗用_ガソリン,係数_乗用_CNG,係数_乗用_軽油,係数_乗用_メタノール,係数_乗用_LPG),1,1,BE884):INDEX((係数_乗用_ガソリン,係数_乗用_CNG,係数_乗用_軽油,係数_乗用_メタノール,係数_乗用_LPG),125,5,BE884),5,FALSE)))))</f>
        <v/>
      </c>
      <c r="AN884" s="461" t="str">
        <f t="shared" si="502"/>
        <v/>
      </c>
      <c r="AO884" s="462" t="str">
        <f t="shared" si="503"/>
        <v/>
      </c>
      <c r="AP884" s="463" t="str">
        <f t="shared" si="504"/>
        <v/>
      </c>
      <c r="AQ884" s="464"/>
      <c r="AR884" s="619"/>
      <c r="AS884" s="465" t="str">
        <f t="shared" si="474"/>
        <v/>
      </c>
      <c r="AT884" s="465" t="str">
        <f t="shared" si="475"/>
        <v/>
      </c>
      <c r="AU884" s="466" t="str">
        <f t="shared" si="476"/>
        <v/>
      </c>
      <c r="AV884" s="467" t="str">
        <f t="shared" si="477"/>
        <v/>
      </c>
      <c r="AW884" s="467" t="str">
        <f t="shared" si="478"/>
        <v/>
      </c>
      <c r="AX884" s="467" t="str">
        <f t="shared" si="479"/>
        <v/>
      </c>
      <c r="AY884" s="467" t="str">
        <f t="shared" si="480"/>
        <v/>
      </c>
      <c r="AZ884" s="467" t="str">
        <f t="shared" si="481"/>
        <v/>
      </c>
      <c r="BA884" s="468" t="str">
        <f>IF(AS884="","",IF(OR(AU884="",AU884="-"),"－",IF(OR(AZ884=8,AZ884=9),"",IF(OR(AW884=3,AW884=4,AW884=5,AW884=6),VLOOKUP(AU884,INDEX((係数_バス貨物_ガソリン,係数_バス貨物_CNG,係数_バス貨物_軽油,係数_バス貨物_メタノール,係数_バス貨物_LPG),MATCH(AY884,【参考】排出係数!$AI$4:$AI$671,1),1,BE884):INDEX((係数_バス貨物_ガソリン,係数_バス貨物_CNG,係数_バス貨物_軽油,係数_バス貨物_メタノール,係数_バス貨物_LPG),MATCH(AY884+1,【参考】排出係数!$AI$4:$AI$671,1)-1,5,BE884),2,FALSE),IF(OR(AW884=1,AW884=2),VLOOKUP(AU884,INDEX((係数_乗用_ガソリン,係数_乗用_CNG,係数_乗用_軽油,係数_乗用_メタノール,係数_乗用_LPG),1,1,BE884):INDEX((係数_乗用_ガソリン,係数_乗用_CNG,係数_乗用_軽油,係数_乗用_メタノール,係数_乗用_LPG),125,5,BE884),2,FALSE))))))</f>
        <v/>
      </c>
      <c r="BB884" s="468" t="str">
        <f>IF(T884="","",IF(OR(AU884="",AU884="-"),"－",IF(OR(AZ884=8,AZ884=9),"",IF(OR(AW884=3,AW884=4,AW884=5,AW884=6),VLOOKUP(AU884,INDEX((係数_バス貨物_ガソリン,係数_バス貨物_CNG,係数_バス貨物_軽油,係数_バス貨物_メタノール,係数_バス貨物_LPG),MATCH(AY884,【参考】排出係数!$AI$4:$AI$671,1),1,BE884):INDEX((係数_バス貨物_ガソリン,係数_バス貨物_CNG,係数_バス貨物_軽油,係数_バス貨物_メタノール,係数_バス貨物_LPG),MATCH(AY884+1,【参考】排出係数!$AI$4:$AI$671,1)-1,5,BE884),3,FALSE),IF(OR(AW884=1,AW884=2),VLOOKUP(AU884,INDEX((係数_乗用_ガソリン,係数_乗用_CNG,係数_乗用_軽油,係数_乗用_メタノール,係数_乗用_LPG),1,1,BE884):INDEX((係数_乗用_ガソリン,係数_乗用_CNG,係数_乗用_軽油,係数_乗用_メタノール,係数_乗用_LPG),125,5,BE884),3,FALSE))))))</f>
        <v/>
      </c>
      <c r="BC884" s="467" t="str">
        <f t="shared" si="482"/>
        <v/>
      </c>
      <c r="BD884" s="567" t="str">
        <f t="shared" si="483"/>
        <v/>
      </c>
      <c r="BE884" s="467" t="str">
        <f t="shared" si="484"/>
        <v/>
      </c>
      <c r="BF884" s="469" t="str">
        <f t="shared" ca="1" si="485"/>
        <v/>
      </c>
      <c r="BG884" s="469" t="str">
        <f t="shared" ca="1" si="486"/>
        <v/>
      </c>
      <c r="BH884" s="467" t="str">
        <f t="shared" si="487"/>
        <v/>
      </c>
      <c r="BI884" s="467" t="str">
        <f t="shared" ca="1" si="488"/>
        <v/>
      </c>
      <c r="BJ884" s="469" t="str">
        <f t="shared" si="489"/>
        <v/>
      </c>
      <c r="BK884" s="470" t="str">
        <f t="shared" si="473"/>
        <v/>
      </c>
      <c r="BL884" s="775" t="str">
        <f t="shared" si="490"/>
        <v/>
      </c>
      <c r="BM884" s="775" t="str">
        <f t="shared" si="491"/>
        <v/>
      </c>
    </row>
    <row r="885" spans="1:65">
      <c r="A885" s="473">
        <v>829</v>
      </c>
      <c r="B885" s="132"/>
      <c r="C885" s="332"/>
      <c r="D885" s="333"/>
      <c r="E885" s="333"/>
      <c r="F885" s="334"/>
      <c r="G885" s="337"/>
      <c r="H885" s="131"/>
      <c r="I885" s="337"/>
      <c r="J885" s="131"/>
      <c r="K885" s="458" t="str">
        <f t="shared" si="492"/>
        <v/>
      </c>
      <c r="L885" s="458">
        <f t="shared" si="493"/>
        <v>0</v>
      </c>
      <c r="M885" s="458">
        <f t="shared" si="494"/>
        <v>0</v>
      </c>
      <c r="N885" s="459" t="str">
        <f t="shared" si="467"/>
        <v/>
      </c>
      <c r="O885" s="459" t="str">
        <f t="shared" si="468"/>
        <v/>
      </c>
      <c r="P885" s="459" t="str">
        <f t="shared" si="469"/>
        <v/>
      </c>
      <c r="Q885" s="459" t="str">
        <f t="shared" si="470"/>
        <v/>
      </c>
      <c r="R885" s="459" t="str">
        <f t="shared" si="471"/>
        <v/>
      </c>
      <c r="S885" s="459" t="str">
        <f t="shared" si="472"/>
        <v/>
      </c>
      <c r="T885" s="566" t="str">
        <f t="shared" si="495"/>
        <v/>
      </c>
      <c r="U885" s="702"/>
      <c r="V885" s="132"/>
      <c r="W885" s="133"/>
      <c r="X885" s="134"/>
      <c r="Y885" s="135"/>
      <c r="Z885" s="137"/>
      <c r="AA885" s="136"/>
      <c r="AB885" s="566" t="str">
        <f t="shared" si="496"/>
        <v/>
      </c>
      <c r="AC885" s="568" t="str">
        <f t="shared" si="497"/>
        <v/>
      </c>
      <c r="AD885" s="137"/>
      <c r="AE885" s="137"/>
      <c r="AF885" s="138"/>
      <c r="AG885" s="138"/>
      <c r="AH885" s="592" t="str">
        <f t="shared" si="498"/>
        <v/>
      </c>
      <c r="AI885" s="592" t="str">
        <f t="shared" si="499"/>
        <v/>
      </c>
      <c r="AJ885" s="592" t="str">
        <f t="shared" si="500"/>
        <v/>
      </c>
      <c r="AK885" s="460" t="str">
        <f>IF(AU885="","",IF(OR(AZ885=8,AZ885=9),0,IF(OR(AW885=3,AW885=4,AW885=5,AW885=6),IF(LEFT(BF885,1)="1",INDEX(係数_NOX・PM低減,MATCH(AY885,【参考】排出係数!$AI$801:$AI$804,1),1),VLOOKUP(AU885,INDEX((係数_バス貨物_ガソリン,係数_バス貨物_CNG,係数_バス貨物_軽油,係数_バス貨物_メタノール,係数_バス貨物_LPG),MATCH(AY885,【参考】排出係数!$AI$4:$AI$671,1),1,BE885):INDEX((係数_バス貨物_ガソリン,係数_バス貨物_CNG,係数_バス貨物_軽油,係数_バス貨物_メタノール,係数_バス貨物_LPG),MATCH(AY885+1,【参考】排出係数!$AI$4:$AI$671,1)-1,5,BE885),4,FALSE)),IF(AND(BE885=3,LEFT(BF885,1)="1"),0.48,VLOOKUP(AU885,INDEX((係数_乗用_ガソリン,係数_乗用_CNG,係数_乗用_軽油,係数_乗用_メタノール,係数_乗用_LPG),1,1,BE885):INDEX((係数_乗用_ガソリン,係数_乗用_CNG,係数_乗用_軽油,係数_乗用_メタノール,係数_乗用_LPG),125,5,BE885),4,FALSE)))))</f>
        <v/>
      </c>
      <c r="AL885" s="461" t="str">
        <f t="shared" si="501"/>
        <v/>
      </c>
      <c r="AM885" s="460" t="str">
        <f>IF(AU885="","",IF(OR(AZ885=8,AZ885=9),0,IF(OR(AW885=3,AW885=4,AW885=5,AW885=6),IF(LEFT(BH885,1)="1",INDEX(係数_PM低減,MATCH(AY885,【参考】排出係数!$AI$801:$AI$804,1),MATCH(BI885,【参考】排出係数!$AL$798:$AO$798,1)),VLOOKUP(AU885,INDEX((係数_バス貨物_ガソリン,係数_バス貨物_CNG,係数_バス貨物_軽油,係数_バス貨物_メタノール,係数_バス貨物_LPG),MATCH(AY885,【参考】排出係数!$AI$4:$AI$671,1),1,BE885):INDEX((係数_バス貨物_ガソリン,係数_バス貨物_CNG,係数_バス貨物_軽油,係数_バス貨物_メタノール,係数_バス貨物_LPG),MATCH(AY885+1,【参考】排出係数!$AI$4:$AI$671,1)-1,5,BE885),5,FALSE)),IF(AND(BE885=3,LEFT(BF885,1)="1"),0.055,VLOOKUP(AU885,INDEX((係数_乗用_ガソリン,係数_乗用_CNG,係数_乗用_軽油,係数_乗用_メタノール,係数_乗用_LPG),1,1,BE885):INDEX((係数_乗用_ガソリン,係数_乗用_CNG,係数_乗用_軽油,係数_乗用_メタノール,係数_乗用_LPG),125,5,BE885),5,FALSE)))))</f>
        <v/>
      </c>
      <c r="AN885" s="461" t="str">
        <f t="shared" si="502"/>
        <v/>
      </c>
      <c r="AO885" s="462" t="str">
        <f t="shared" si="503"/>
        <v/>
      </c>
      <c r="AP885" s="463" t="str">
        <f t="shared" si="504"/>
        <v/>
      </c>
      <c r="AQ885" s="464"/>
      <c r="AR885" s="619"/>
      <c r="AS885" s="465" t="str">
        <f t="shared" si="474"/>
        <v/>
      </c>
      <c r="AT885" s="465" t="str">
        <f t="shared" si="475"/>
        <v/>
      </c>
      <c r="AU885" s="466" t="str">
        <f t="shared" si="476"/>
        <v/>
      </c>
      <c r="AV885" s="467" t="str">
        <f t="shared" si="477"/>
        <v/>
      </c>
      <c r="AW885" s="467" t="str">
        <f t="shared" si="478"/>
        <v/>
      </c>
      <c r="AX885" s="467" t="str">
        <f t="shared" si="479"/>
        <v/>
      </c>
      <c r="AY885" s="467" t="str">
        <f t="shared" si="480"/>
        <v/>
      </c>
      <c r="AZ885" s="467" t="str">
        <f t="shared" si="481"/>
        <v/>
      </c>
      <c r="BA885" s="468" t="str">
        <f>IF(AS885="","",IF(OR(AU885="",AU885="-"),"－",IF(OR(AZ885=8,AZ885=9),"",IF(OR(AW885=3,AW885=4,AW885=5,AW885=6),VLOOKUP(AU885,INDEX((係数_バス貨物_ガソリン,係数_バス貨物_CNG,係数_バス貨物_軽油,係数_バス貨物_メタノール,係数_バス貨物_LPG),MATCH(AY885,【参考】排出係数!$AI$4:$AI$671,1),1,BE885):INDEX((係数_バス貨物_ガソリン,係数_バス貨物_CNG,係数_バス貨物_軽油,係数_バス貨物_メタノール,係数_バス貨物_LPG),MATCH(AY885+1,【参考】排出係数!$AI$4:$AI$671,1)-1,5,BE885),2,FALSE),IF(OR(AW885=1,AW885=2),VLOOKUP(AU885,INDEX((係数_乗用_ガソリン,係数_乗用_CNG,係数_乗用_軽油,係数_乗用_メタノール,係数_乗用_LPG),1,1,BE885):INDEX((係数_乗用_ガソリン,係数_乗用_CNG,係数_乗用_軽油,係数_乗用_メタノール,係数_乗用_LPG),125,5,BE885),2,FALSE))))))</f>
        <v/>
      </c>
      <c r="BB885" s="468" t="str">
        <f>IF(T885="","",IF(OR(AU885="",AU885="-"),"－",IF(OR(AZ885=8,AZ885=9),"",IF(OR(AW885=3,AW885=4,AW885=5,AW885=6),VLOOKUP(AU885,INDEX((係数_バス貨物_ガソリン,係数_バス貨物_CNG,係数_バス貨物_軽油,係数_バス貨物_メタノール,係数_バス貨物_LPG),MATCH(AY885,【参考】排出係数!$AI$4:$AI$671,1),1,BE885):INDEX((係数_バス貨物_ガソリン,係数_バス貨物_CNG,係数_バス貨物_軽油,係数_バス貨物_メタノール,係数_バス貨物_LPG),MATCH(AY885+1,【参考】排出係数!$AI$4:$AI$671,1)-1,5,BE885),3,FALSE),IF(OR(AW885=1,AW885=2),VLOOKUP(AU885,INDEX((係数_乗用_ガソリン,係数_乗用_CNG,係数_乗用_軽油,係数_乗用_メタノール,係数_乗用_LPG),1,1,BE885):INDEX((係数_乗用_ガソリン,係数_乗用_CNG,係数_乗用_軽油,係数_乗用_メタノール,係数_乗用_LPG),125,5,BE885),3,FALSE))))))</f>
        <v/>
      </c>
      <c r="BC885" s="467" t="str">
        <f t="shared" si="482"/>
        <v/>
      </c>
      <c r="BD885" s="567" t="str">
        <f t="shared" si="483"/>
        <v/>
      </c>
      <c r="BE885" s="467" t="str">
        <f t="shared" si="484"/>
        <v/>
      </c>
      <c r="BF885" s="469" t="str">
        <f t="shared" ca="1" si="485"/>
        <v/>
      </c>
      <c r="BG885" s="469" t="str">
        <f t="shared" ca="1" si="486"/>
        <v/>
      </c>
      <c r="BH885" s="467" t="str">
        <f t="shared" si="487"/>
        <v/>
      </c>
      <c r="BI885" s="467" t="str">
        <f t="shared" ca="1" si="488"/>
        <v/>
      </c>
      <c r="BJ885" s="469" t="str">
        <f t="shared" si="489"/>
        <v/>
      </c>
      <c r="BK885" s="470" t="str">
        <f t="shared" si="473"/>
        <v/>
      </c>
      <c r="BL885" s="775" t="str">
        <f t="shared" si="490"/>
        <v/>
      </c>
      <c r="BM885" s="775" t="str">
        <f t="shared" si="491"/>
        <v/>
      </c>
    </row>
    <row r="886" spans="1:65">
      <c r="A886" s="473">
        <v>830</v>
      </c>
      <c r="B886" s="132"/>
      <c r="C886" s="332"/>
      <c r="D886" s="333"/>
      <c r="E886" s="333"/>
      <c r="F886" s="334"/>
      <c r="G886" s="337"/>
      <c r="H886" s="131"/>
      <c r="I886" s="337"/>
      <c r="J886" s="131"/>
      <c r="K886" s="458" t="str">
        <f t="shared" si="492"/>
        <v/>
      </c>
      <c r="L886" s="458">
        <f t="shared" si="493"/>
        <v>0</v>
      </c>
      <c r="M886" s="458">
        <f t="shared" si="494"/>
        <v>0</v>
      </c>
      <c r="N886" s="459" t="str">
        <f t="shared" si="467"/>
        <v/>
      </c>
      <c r="O886" s="459" t="str">
        <f t="shared" si="468"/>
        <v/>
      </c>
      <c r="P886" s="459" t="str">
        <f t="shared" si="469"/>
        <v/>
      </c>
      <c r="Q886" s="459" t="str">
        <f t="shared" si="470"/>
        <v/>
      </c>
      <c r="R886" s="459" t="str">
        <f t="shared" si="471"/>
        <v/>
      </c>
      <c r="S886" s="459" t="str">
        <f t="shared" si="472"/>
        <v/>
      </c>
      <c r="T886" s="566" t="str">
        <f t="shared" si="495"/>
        <v/>
      </c>
      <c r="U886" s="702"/>
      <c r="V886" s="132"/>
      <c r="W886" s="133"/>
      <c r="X886" s="134"/>
      <c r="Y886" s="135"/>
      <c r="Z886" s="137"/>
      <c r="AA886" s="136"/>
      <c r="AB886" s="566" t="str">
        <f t="shared" si="496"/>
        <v/>
      </c>
      <c r="AC886" s="568" t="str">
        <f t="shared" si="497"/>
        <v/>
      </c>
      <c r="AD886" s="137"/>
      <c r="AE886" s="137"/>
      <c r="AF886" s="138"/>
      <c r="AG886" s="138"/>
      <c r="AH886" s="592" t="str">
        <f t="shared" si="498"/>
        <v/>
      </c>
      <c r="AI886" s="592" t="str">
        <f t="shared" si="499"/>
        <v/>
      </c>
      <c r="AJ886" s="592" t="str">
        <f t="shared" si="500"/>
        <v/>
      </c>
      <c r="AK886" s="460" t="str">
        <f>IF(AU886="","",IF(OR(AZ886=8,AZ886=9),0,IF(OR(AW886=3,AW886=4,AW886=5,AW886=6),IF(LEFT(BF886,1)="1",INDEX(係数_NOX・PM低減,MATCH(AY886,【参考】排出係数!$AI$801:$AI$804,1),1),VLOOKUP(AU886,INDEX((係数_バス貨物_ガソリン,係数_バス貨物_CNG,係数_バス貨物_軽油,係数_バス貨物_メタノール,係数_バス貨物_LPG),MATCH(AY886,【参考】排出係数!$AI$4:$AI$671,1),1,BE886):INDEX((係数_バス貨物_ガソリン,係数_バス貨物_CNG,係数_バス貨物_軽油,係数_バス貨物_メタノール,係数_バス貨物_LPG),MATCH(AY886+1,【参考】排出係数!$AI$4:$AI$671,1)-1,5,BE886),4,FALSE)),IF(AND(BE886=3,LEFT(BF886,1)="1"),0.48,VLOOKUP(AU886,INDEX((係数_乗用_ガソリン,係数_乗用_CNG,係数_乗用_軽油,係数_乗用_メタノール,係数_乗用_LPG),1,1,BE886):INDEX((係数_乗用_ガソリン,係数_乗用_CNG,係数_乗用_軽油,係数_乗用_メタノール,係数_乗用_LPG),125,5,BE886),4,FALSE)))))</f>
        <v/>
      </c>
      <c r="AL886" s="461" t="str">
        <f t="shared" si="501"/>
        <v/>
      </c>
      <c r="AM886" s="460" t="str">
        <f>IF(AU886="","",IF(OR(AZ886=8,AZ886=9),0,IF(OR(AW886=3,AW886=4,AW886=5,AW886=6),IF(LEFT(BH886,1)="1",INDEX(係数_PM低減,MATCH(AY886,【参考】排出係数!$AI$801:$AI$804,1),MATCH(BI886,【参考】排出係数!$AL$798:$AO$798,1)),VLOOKUP(AU886,INDEX((係数_バス貨物_ガソリン,係数_バス貨物_CNG,係数_バス貨物_軽油,係数_バス貨物_メタノール,係数_バス貨物_LPG),MATCH(AY886,【参考】排出係数!$AI$4:$AI$671,1),1,BE886):INDEX((係数_バス貨物_ガソリン,係数_バス貨物_CNG,係数_バス貨物_軽油,係数_バス貨物_メタノール,係数_バス貨物_LPG),MATCH(AY886+1,【参考】排出係数!$AI$4:$AI$671,1)-1,5,BE886),5,FALSE)),IF(AND(BE886=3,LEFT(BF886,1)="1"),0.055,VLOOKUP(AU886,INDEX((係数_乗用_ガソリン,係数_乗用_CNG,係数_乗用_軽油,係数_乗用_メタノール,係数_乗用_LPG),1,1,BE886):INDEX((係数_乗用_ガソリン,係数_乗用_CNG,係数_乗用_軽油,係数_乗用_メタノール,係数_乗用_LPG),125,5,BE886),5,FALSE)))))</f>
        <v/>
      </c>
      <c r="AN886" s="461" t="str">
        <f t="shared" si="502"/>
        <v/>
      </c>
      <c r="AO886" s="462" t="str">
        <f t="shared" si="503"/>
        <v/>
      </c>
      <c r="AP886" s="463" t="str">
        <f t="shared" si="504"/>
        <v/>
      </c>
      <c r="AQ886" s="464"/>
      <c r="AR886" s="619"/>
      <c r="AS886" s="465" t="str">
        <f t="shared" si="474"/>
        <v/>
      </c>
      <c r="AT886" s="465" t="str">
        <f t="shared" si="475"/>
        <v/>
      </c>
      <c r="AU886" s="466" t="str">
        <f t="shared" si="476"/>
        <v/>
      </c>
      <c r="AV886" s="467" t="str">
        <f t="shared" si="477"/>
        <v/>
      </c>
      <c r="AW886" s="467" t="str">
        <f t="shared" si="478"/>
        <v/>
      </c>
      <c r="AX886" s="467" t="str">
        <f t="shared" si="479"/>
        <v/>
      </c>
      <c r="AY886" s="467" t="str">
        <f t="shared" si="480"/>
        <v/>
      </c>
      <c r="AZ886" s="467" t="str">
        <f t="shared" si="481"/>
        <v/>
      </c>
      <c r="BA886" s="468" t="str">
        <f>IF(AS886="","",IF(OR(AU886="",AU886="-"),"－",IF(OR(AZ886=8,AZ886=9),"",IF(OR(AW886=3,AW886=4,AW886=5,AW886=6),VLOOKUP(AU886,INDEX((係数_バス貨物_ガソリン,係数_バス貨物_CNG,係数_バス貨物_軽油,係数_バス貨物_メタノール,係数_バス貨物_LPG),MATCH(AY886,【参考】排出係数!$AI$4:$AI$671,1),1,BE886):INDEX((係数_バス貨物_ガソリン,係数_バス貨物_CNG,係数_バス貨物_軽油,係数_バス貨物_メタノール,係数_バス貨物_LPG),MATCH(AY886+1,【参考】排出係数!$AI$4:$AI$671,1)-1,5,BE886),2,FALSE),IF(OR(AW886=1,AW886=2),VLOOKUP(AU886,INDEX((係数_乗用_ガソリン,係数_乗用_CNG,係数_乗用_軽油,係数_乗用_メタノール,係数_乗用_LPG),1,1,BE886):INDEX((係数_乗用_ガソリン,係数_乗用_CNG,係数_乗用_軽油,係数_乗用_メタノール,係数_乗用_LPG),125,5,BE886),2,FALSE))))))</f>
        <v/>
      </c>
      <c r="BB886" s="468" t="str">
        <f>IF(T886="","",IF(OR(AU886="",AU886="-"),"－",IF(OR(AZ886=8,AZ886=9),"",IF(OR(AW886=3,AW886=4,AW886=5,AW886=6),VLOOKUP(AU886,INDEX((係数_バス貨物_ガソリン,係数_バス貨物_CNG,係数_バス貨物_軽油,係数_バス貨物_メタノール,係数_バス貨物_LPG),MATCH(AY886,【参考】排出係数!$AI$4:$AI$671,1),1,BE886):INDEX((係数_バス貨物_ガソリン,係数_バス貨物_CNG,係数_バス貨物_軽油,係数_バス貨物_メタノール,係数_バス貨物_LPG),MATCH(AY886+1,【参考】排出係数!$AI$4:$AI$671,1)-1,5,BE886),3,FALSE),IF(OR(AW886=1,AW886=2),VLOOKUP(AU886,INDEX((係数_乗用_ガソリン,係数_乗用_CNG,係数_乗用_軽油,係数_乗用_メタノール,係数_乗用_LPG),1,1,BE886):INDEX((係数_乗用_ガソリン,係数_乗用_CNG,係数_乗用_軽油,係数_乗用_メタノール,係数_乗用_LPG),125,5,BE886),3,FALSE))))))</f>
        <v/>
      </c>
      <c r="BC886" s="467" t="str">
        <f t="shared" si="482"/>
        <v/>
      </c>
      <c r="BD886" s="567" t="str">
        <f t="shared" si="483"/>
        <v/>
      </c>
      <c r="BE886" s="467" t="str">
        <f t="shared" si="484"/>
        <v/>
      </c>
      <c r="BF886" s="469" t="str">
        <f t="shared" ca="1" si="485"/>
        <v/>
      </c>
      <c r="BG886" s="469" t="str">
        <f t="shared" ca="1" si="486"/>
        <v/>
      </c>
      <c r="BH886" s="467" t="str">
        <f t="shared" si="487"/>
        <v/>
      </c>
      <c r="BI886" s="467" t="str">
        <f t="shared" ca="1" si="488"/>
        <v/>
      </c>
      <c r="BJ886" s="469" t="str">
        <f t="shared" si="489"/>
        <v/>
      </c>
      <c r="BK886" s="470" t="str">
        <f t="shared" si="473"/>
        <v/>
      </c>
      <c r="BL886" s="775" t="str">
        <f t="shared" si="490"/>
        <v/>
      </c>
      <c r="BM886" s="775" t="str">
        <f t="shared" si="491"/>
        <v/>
      </c>
    </row>
    <row r="887" spans="1:65">
      <c r="A887" s="473">
        <v>831</v>
      </c>
      <c r="B887" s="132"/>
      <c r="C887" s="332"/>
      <c r="D887" s="333"/>
      <c r="E887" s="333"/>
      <c r="F887" s="334"/>
      <c r="G887" s="337"/>
      <c r="H887" s="131"/>
      <c r="I887" s="337"/>
      <c r="J887" s="131"/>
      <c r="K887" s="458" t="str">
        <f t="shared" si="492"/>
        <v/>
      </c>
      <c r="L887" s="458">
        <f t="shared" si="493"/>
        <v>0</v>
      </c>
      <c r="M887" s="458">
        <f t="shared" si="494"/>
        <v>0</v>
      </c>
      <c r="N887" s="459" t="str">
        <f t="shared" ref="N887:N950" si="505">IF(OR($L887&gt;$U$48,$M887&gt;$U$48,AND($L887&gt;$M887,$M887&lt;&gt;0),AND($L887=0,$M887&lt;&gt;0)),"ERROR","")</f>
        <v/>
      </c>
      <c r="O887" s="459" t="str">
        <f t="shared" ref="O887:O950" si="506">IF(AND($N887&lt;&gt;"ERROR",$L887&lt;=$U$49,$M887&lt;=$U$49,$M887&lt;&gt;0),"(減車済)","")</f>
        <v/>
      </c>
      <c r="P887" s="459" t="str">
        <f t="shared" ref="P887:P950" si="507">IF(AND($N887&lt;&gt;"ERROR",$L887&lt;$U$49,AND($M887&gt;$U$49,$M887&lt;=$W$49),$M887&lt;&gt;0),"減車","")</f>
        <v/>
      </c>
      <c r="Q887" s="459" t="str">
        <f t="shared" ref="Q887:Q950" si="508">IF(AND($N887&lt;&gt;"ERROR",$L887&gt;$U$49,$M887&lt;=$W$49,$M887&lt;&gt;0),"一時使用","")</f>
        <v/>
      </c>
      <c r="R887" s="459" t="str">
        <f t="shared" ref="R887:R950" si="509">IF(AND($N887&lt;&gt;"ERROR",AND($L887&gt;0,$L887&lt;=$U$49),$M887=0),"継続","")</f>
        <v/>
      </c>
      <c r="S887" s="459" t="str">
        <f t="shared" ref="S887:S950" si="510">IF(AND($N887&lt;&gt;"ERROR",AND($L887&gt;$U$49),$M887=0),"新規","")</f>
        <v/>
      </c>
      <c r="T887" s="566" t="str">
        <f t="shared" si="495"/>
        <v/>
      </c>
      <c r="U887" s="702"/>
      <c r="V887" s="132"/>
      <c r="W887" s="133"/>
      <c r="X887" s="134"/>
      <c r="Y887" s="135"/>
      <c r="Z887" s="137"/>
      <c r="AA887" s="136"/>
      <c r="AB887" s="566" t="str">
        <f t="shared" si="496"/>
        <v/>
      </c>
      <c r="AC887" s="568" t="str">
        <f t="shared" si="497"/>
        <v/>
      </c>
      <c r="AD887" s="137"/>
      <c r="AE887" s="137"/>
      <c r="AF887" s="138"/>
      <c r="AG887" s="138"/>
      <c r="AH887" s="592" t="str">
        <f t="shared" si="498"/>
        <v/>
      </c>
      <c r="AI887" s="592" t="str">
        <f t="shared" si="499"/>
        <v/>
      </c>
      <c r="AJ887" s="592" t="str">
        <f t="shared" si="500"/>
        <v/>
      </c>
      <c r="AK887" s="460" t="str">
        <f>IF(AU887="","",IF(OR(AZ887=8,AZ887=9),0,IF(OR(AW887=3,AW887=4,AW887=5,AW887=6),IF(LEFT(BF887,1)="1",INDEX(係数_NOX・PM低減,MATCH(AY887,【参考】排出係数!$AI$801:$AI$804,1),1),VLOOKUP(AU887,INDEX((係数_バス貨物_ガソリン,係数_バス貨物_CNG,係数_バス貨物_軽油,係数_バス貨物_メタノール,係数_バス貨物_LPG),MATCH(AY887,【参考】排出係数!$AI$4:$AI$671,1),1,BE887):INDEX((係数_バス貨物_ガソリン,係数_バス貨物_CNG,係数_バス貨物_軽油,係数_バス貨物_メタノール,係数_バス貨物_LPG),MATCH(AY887+1,【参考】排出係数!$AI$4:$AI$671,1)-1,5,BE887),4,FALSE)),IF(AND(BE887=3,LEFT(BF887,1)="1"),0.48,VLOOKUP(AU887,INDEX((係数_乗用_ガソリン,係数_乗用_CNG,係数_乗用_軽油,係数_乗用_メタノール,係数_乗用_LPG),1,1,BE887):INDEX((係数_乗用_ガソリン,係数_乗用_CNG,係数_乗用_軽油,係数_乗用_メタノール,係数_乗用_LPG),125,5,BE887),4,FALSE)))))</f>
        <v/>
      </c>
      <c r="AL887" s="461" t="str">
        <f t="shared" si="501"/>
        <v/>
      </c>
      <c r="AM887" s="460" t="str">
        <f>IF(AU887="","",IF(OR(AZ887=8,AZ887=9),0,IF(OR(AW887=3,AW887=4,AW887=5,AW887=6),IF(LEFT(BH887,1)="1",INDEX(係数_PM低減,MATCH(AY887,【参考】排出係数!$AI$801:$AI$804,1),MATCH(BI887,【参考】排出係数!$AL$798:$AO$798,1)),VLOOKUP(AU887,INDEX((係数_バス貨物_ガソリン,係数_バス貨物_CNG,係数_バス貨物_軽油,係数_バス貨物_メタノール,係数_バス貨物_LPG),MATCH(AY887,【参考】排出係数!$AI$4:$AI$671,1),1,BE887):INDEX((係数_バス貨物_ガソリン,係数_バス貨物_CNG,係数_バス貨物_軽油,係数_バス貨物_メタノール,係数_バス貨物_LPG),MATCH(AY887+1,【参考】排出係数!$AI$4:$AI$671,1)-1,5,BE887),5,FALSE)),IF(AND(BE887=3,LEFT(BF887,1)="1"),0.055,VLOOKUP(AU887,INDEX((係数_乗用_ガソリン,係数_乗用_CNG,係数_乗用_軽油,係数_乗用_メタノール,係数_乗用_LPG),1,1,BE887):INDEX((係数_乗用_ガソリン,係数_乗用_CNG,係数_乗用_軽油,係数_乗用_メタノール,係数_乗用_LPG),125,5,BE887),5,FALSE)))))</f>
        <v/>
      </c>
      <c r="AN887" s="461" t="str">
        <f t="shared" si="502"/>
        <v/>
      </c>
      <c r="AO887" s="462" t="str">
        <f t="shared" si="503"/>
        <v/>
      </c>
      <c r="AP887" s="463" t="str">
        <f t="shared" si="504"/>
        <v/>
      </c>
      <c r="AQ887" s="464"/>
      <c r="AR887" s="619"/>
      <c r="AS887" s="465" t="str">
        <f t="shared" si="474"/>
        <v/>
      </c>
      <c r="AT887" s="465" t="str">
        <f t="shared" si="475"/>
        <v/>
      </c>
      <c r="AU887" s="466" t="str">
        <f t="shared" si="476"/>
        <v/>
      </c>
      <c r="AV887" s="467" t="str">
        <f t="shared" si="477"/>
        <v/>
      </c>
      <c r="AW887" s="467" t="str">
        <f t="shared" si="478"/>
        <v/>
      </c>
      <c r="AX887" s="467" t="str">
        <f t="shared" si="479"/>
        <v/>
      </c>
      <c r="AY887" s="467" t="str">
        <f t="shared" si="480"/>
        <v/>
      </c>
      <c r="AZ887" s="467" t="str">
        <f t="shared" si="481"/>
        <v/>
      </c>
      <c r="BA887" s="468" t="str">
        <f>IF(AS887="","",IF(OR(AU887="",AU887="-"),"－",IF(OR(AZ887=8,AZ887=9),"",IF(OR(AW887=3,AW887=4,AW887=5,AW887=6),VLOOKUP(AU887,INDEX((係数_バス貨物_ガソリン,係数_バス貨物_CNG,係数_バス貨物_軽油,係数_バス貨物_メタノール,係数_バス貨物_LPG),MATCH(AY887,【参考】排出係数!$AI$4:$AI$671,1),1,BE887):INDEX((係数_バス貨物_ガソリン,係数_バス貨物_CNG,係数_バス貨物_軽油,係数_バス貨物_メタノール,係数_バス貨物_LPG),MATCH(AY887+1,【参考】排出係数!$AI$4:$AI$671,1)-1,5,BE887),2,FALSE),IF(OR(AW887=1,AW887=2),VLOOKUP(AU887,INDEX((係数_乗用_ガソリン,係数_乗用_CNG,係数_乗用_軽油,係数_乗用_メタノール,係数_乗用_LPG),1,1,BE887):INDEX((係数_乗用_ガソリン,係数_乗用_CNG,係数_乗用_軽油,係数_乗用_メタノール,係数_乗用_LPG),125,5,BE887),2,FALSE))))))</f>
        <v/>
      </c>
      <c r="BB887" s="468" t="str">
        <f>IF(T887="","",IF(OR(AU887="",AU887="-"),"－",IF(OR(AZ887=8,AZ887=9),"",IF(OR(AW887=3,AW887=4,AW887=5,AW887=6),VLOOKUP(AU887,INDEX((係数_バス貨物_ガソリン,係数_バス貨物_CNG,係数_バス貨物_軽油,係数_バス貨物_メタノール,係数_バス貨物_LPG),MATCH(AY887,【参考】排出係数!$AI$4:$AI$671,1),1,BE887):INDEX((係数_バス貨物_ガソリン,係数_バス貨物_CNG,係数_バス貨物_軽油,係数_バス貨物_メタノール,係数_バス貨物_LPG),MATCH(AY887+1,【参考】排出係数!$AI$4:$AI$671,1)-1,5,BE887),3,FALSE),IF(OR(AW887=1,AW887=2),VLOOKUP(AU887,INDEX((係数_乗用_ガソリン,係数_乗用_CNG,係数_乗用_軽油,係数_乗用_メタノール,係数_乗用_LPG),1,1,BE887):INDEX((係数_乗用_ガソリン,係数_乗用_CNG,係数_乗用_軽油,係数_乗用_メタノール,係数_乗用_LPG),125,5,BE887),3,FALSE))))))</f>
        <v/>
      </c>
      <c r="BC887" s="467" t="str">
        <f t="shared" si="482"/>
        <v/>
      </c>
      <c r="BD887" s="567" t="str">
        <f t="shared" si="483"/>
        <v/>
      </c>
      <c r="BE887" s="467" t="str">
        <f t="shared" si="484"/>
        <v/>
      </c>
      <c r="BF887" s="469" t="str">
        <f t="shared" ca="1" si="485"/>
        <v/>
      </c>
      <c r="BG887" s="469" t="str">
        <f t="shared" ca="1" si="486"/>
        <v/>
      </c>
      <c r="BH887" s="467" t="str">
        <f t="shared" si="487"/>
        <v/>
      </c>
      <c r="BI887" s="467" t="str">
        <f t="shared" ca="1" si="488"/>
        <v/>
      </c>
      <c r="BJ887" s="469" t="str">
        <f t="shared" si="489"/>
        <v/>
      </c>
      <c r="BK887" s="470" t="str">
        <f t="shared" si="473"/>
        <v/>
      </c>
      <c r="BL887" s="775" t="str">
        <f t="shared" si="490"/>
        <v/>
      </c>
      <c r="BM887" s="775" t="str">
        <f t="shared" si="491"/>
        <v/>
      </c>
    </row>
    <row r="888" spans="1:65">
      <c r="A888" s="473">
        <v>832</v>
      </c>
      <c r="B888" s="132"/>
      <c r="C888" s="332"/>
      <c r="D888" s="333"/>
      <c r="E888" s="333"/>
      <c r="F888" s="334"/>
      <c r="G888" s="337"/>
      <c r="H888" s="131"/>
      <c r="I888" s="337"/>
      <c r="J888" s="131"/>
      <c r="K888" s="458" t="str">
        <f t="shared" si="492"/>
        <v/>
      </c>
      <c r="L888" s="458">
        <f t="shared" si="493"/>
        <v>0</v>
      </c>
      <c r="M888" s="458">
        <f t="shared" si="494"/>
        <v>0</v>
      </c>
      <c r="N888" s="459" t="str">
        <f t="shared" si="505"/>
        <v/>
      </c>
      <c r="O888" s="459" t="str">
        <f t="shared" si="506"/>
        <v/>
      </c>
      <c r="P888" s="459" t="str">
        <f t="shared" si="507"/>
        <v/>
      </c>
      <c r="Q888" s="459" t="str">
        <f t="shared" si="508"/>
        <v/>
      </c>
      <c r="R888" s="459" t="str">
        <f t="shared" si="509"/>
        <v/>
      </c>
      <c r="S888" s="459" t="str">
        <f t="shared" si="510"/>
        <v/>
      </c>
      <c r="T888" s="566" t="str">
        <f t="shared" si="495"/>
        <v/>
      </c>
      <c r="U888" s="702"/>
      <c r="V888" s="132"/>
      <c r="W888" s="133"/>
      <c r="X888" s="134"/>
      <c r="Y888" s="135"/>
      <c r="Z888" s="137"/>
      <c r="AA888" s="136"/>
      <c r="AB888" s="566" t="str">
        <f t="shared" si="496"/>
        <v/>
      </c>
      <c r="AC888" s="568" t="str">
        <f t="shared" si="497"/>
        <v/>
      </c>
      <c r="AD888" s="137"/>
      <c r="AE888" s="137"/>
      <c r="AF888" s="138"/>
      <c r="AG888" s="138"/>
      <c r="AH888" s="592" t="str">
        <f t="shared" si="498"/>
        <v/>
      </c>
      <c r="AI888" s="592" t="str">
        <f t="shared" si="499"/>
        <v/>
      </c>
      <c r="AJ888" s="592" t="str">
        <f t="shared" si="500"/>
        <v/>
      </c>
      <c r="AK888" s="460" t="str">
        <f>IF(AU888="","",IF(OR(AZ888=8,AZ888=9),0,IF(OR(AW888=3,AW888=4,AW888=5,AW888=6),IF(LEFT(BF888,1)="1",INDEX(係数_NOX・PM低減,MATCH(AY888,【参考】排出係数!$AI$801:$AI$804,1),1),VLOOKUP(AU888,INDEX((係数_バス貨物_ガソリン,係数_バス貨物_CNG,係数_バス貨物_軽油,係数_バス貨物_メタノール,係数_バス貨物_LPG),MATCH(AY888,【参考】排出係数!$AI$4:$AI$671,1),1,BE888):INDEX((係数_バス貨物_ガソリン,係数_バス貨物_CNG,係数_バス貨物_軽油,係数_バス貨物_メタノール,係数_バス貨物_LPG),MATCH(AY888+1,【参考】排出係数!$AI$4:$AI$671,1)-1,5,BE888),4,FALSE)),IF(AND(BE888=3,LEFT(BF888,1)="1"),0.48,VLOOKUP(AU888,INDEX((係数_乗用_ガソリン,係数_乗用_CNG,係数_乗用_軽油,係数_乗用_メタノール,係数_乗用_LPG),1,1,BE888):INDEX((係数_乗用_ガソリン,係数_乗用_CNG,係数_乗用_軽油,係数_乗用_メタノール,係数_乗用_LPG),125,5,BE888),4,FALSE)))))</f>
        <v/>
      </c>
      <c r="AL888" s="461" t="str">
        <f t="shared" si="501"/>
        <v/>
      </c>
      <c r="AM888" s="460" t="str">
        <f>IF(AU888="","",IF(OR(AZ888=8,AZ888=9),0,IF(OR(AW888=3,AW888=4,AW888=5,AW888=6),IF(LEFT(BH888,1)="1",INDEX(係数_PM低減,MATCH(AY888,【参考】排出係数!$AI$801:$AI$804,1),MATCH(BI888,【参考】排出係数!$AL$798:$AO$798,1)),VLOOKUP(AU888,INDEX((係数_バス貨物_ガソリン,係数_バス貨物_CNG,係数_バス貨物_軽油,係数_バス貨物_メタノール,係数_バス貨物_LPG),MATCH(AY888,【参考】排出係数!$AI$4:$AI$671,1),1,BE888):INDEX((係数_バス貨物_ガソリン,係数_バス貨物_CNG,係数_バス貨物_軽油,係数_バス貨物_メタノール,係数_バス貨物_LPG),MATCH(AY888+1,【参考】排出係数!$AI$4:$AI$671,1)-1,5,BE888),5,FALSE)),IF(AND(BE888=3,LEFT(BF888,1)="1"),0.055,VLOOKUP(AU888,INDEX((係数_乗用_ガソリン,係数_乗用_CNG,係数_乗用_軽油,係数_乗用_メタノール,係数_乗用_LPG),1,1,BE888):INDEX((係数_乗用_ガソリン,係数_乗用_CNG,係数_乗用_軽油,係数_乗用_メタノール,係数_乗用_LPG),125,5,BE888),5,FALSE)))))</f>
        <v/>
      </c>
      <c r="AN888" s="461" t="str">
        <f t="shared" si="502"/>
        <v/>
      </c>
      <c r="AO888" s="462" t="str">
        <f t="shared" si="503"/>
        <v/>
      </c>
      <c r="AP888" s="463" t="str">
        <f t="shared" si="504"/>
        <v/>
      </c>
      <c r="AQ888" s="464"/>
      <c r="AR888" s="619"/>
      <c r="AS888" s="465" t="str">
        <f t="shared" si="474"/>
        <v/>
      </c>
      <c r="AT888" s="465" t="str">
        <f t="shared" si="475"/>
        <v/>
      </c>
      <c r="AU888" s="466" t="str">
        <f t="shared" si="476"/>
        <v/>
      </c>
      <c r="AV888" s="467" t="str">
        <f t="shared" si="477"/>
        <v/>
      </c>
      <c r="AW888" s="467" t="str">
        <f t="shared" si="478"/>
        <v/>
      </c>
      <c r="AX888" s="467" t="str">
        <f t="shared" si="479"/>
        <v/>
      </c>
      <c r="AY888" s="467" t="str">
        <f t="shared" si="480"/>
        <v/>
      </c>
      <c r="AZ888" s="467" t="str">
        <f t="shared" si="481"/>
        <v/>
      </c>
      <c r="BA888" s="468" t="str">
        <f>IF(AS888="","",IF(OR(AU888="",AU888="-"),"－",IF(OR(AZ888=8,AZ888=9),"",IF(OR(AW888=3,AW888=4,AW888=5,AW888=6),VLOOKUP(AU888,INDEX((係数_バス貨物_ガソリン,係数_バス貨物_CNG,係数_バス貨物_軽油,係数_バス貨物_メタノール,係数_バス貨物_LPG),MATCH(AY888,【参考】排出係数!$AI$4:$AI$671,1),1,BE888):INDEX((係数_バス貨物_ガソリン,係数_バス貨物_CNG,係数_バス貨物_軽油,係数_バス貨物_メタノール,係数_バス貨物_LPG),MATCH(AY888+1,【参考】排出係数!$AI$4:$AI$671,1)-1,5,BE888),2,FALSE),IF(OR(AW888=1,AW888=2),VLOOKUP(AU888,INDEX((係数_乗用_ガソリン,係数_乗用_CNG,係数_乗用_軽油,係数_乗用_メタノール,係数_乗用_LPG),1,1,BE888):INDEX((係数_乗用_ガソリン,係数_乗用_CNG,係数_乗用_軽油,係数_乗用_メタノール,係数_乗用_LPG),125,5,BE888),2,FALSE))))))</f>
        <v/>
      </c>
      <c r="BB888" s="468" t="str">
        <f>IF(T888="","",IF(OR(AU888="",AU888="-"),"－",IF(OR(AZ888=8,AZ888=9),"",IF(OR(AW888=3,AW888=4,AW888=5,AW888=6),VLOOKUP(AU888,INDEX((係数_バス貨物_ガソリン,係数_バス貨物_CNG,係数_バス貨物_軽油,係数_バス貨物_メタノール,係数_バス貨物_LPG),MATCH(AY888,【参考】排出係数!$AI$4:$AI$671,1),1,BE888):INDEX((係数_バス貨物_ガソリン,係数_バス貨物_CNG,係数_バス貨物_軽油,係数_バス貨物_メタノール,係数_バス貨物_LPG),MATCH(AY888+1,【参考】排出係数!$AI$4:$AI$671,1)-1,5,BE888),3,FALSE),IF(OR(AW888=1,AW888=2),VLOOKUP(AU888,INDEX((係数_乗用_ガソリン,係数_乗用_CNG,係数_乗用_軽油,係数_乗用_メタノール,係数_乗用_LPG),1,1,BE888):INDEX((係数_乗用_ガソリン,係数_乗用_CNG,係数_乗用_軽油,係数_乗用_メタノール,係数_乗用_LPG),125,5,BE888),3,FALSE))))))</f>
        <v/>
      </c>
      <c r="BC888" s="467" t="str">
        <f t="shared" si="482"/>
        <v/>
      </c>
      <c r="BD888" s="567" t="str">
        <f t="shared" si="483"/>
        <v/>
      </c>
      <c r="BE888" s="467" t="str">
        <f t="shared" si="484"/>
        <v/>
      </c>
      <c r="BF888" s="469" t="str">
        <f t="shared" ca="1" si="485"/>
        <v/>
      </c>
      <c r="BG888" s="469" t="str">
        <f t="shared" ca="1" si="486"/>
        <v/>
      </c>
      <c r="BH888" s="467" t="str">
        <f t="shared" si="487"/>
        <v/>
      </c>
      <c r="BI888" s="467" t="str">
        <f t="shared" ca="1" si="488"/>
        <v/>
      </c>
      <c r="BJ888" s="469" t="str">
        <f t="shared" si="489"/>
        <v/>
      </c>
      <c r="BK888" s="470" t="str">
        <f t="shared" si="473"/>
        <v/>
      </c>
      <c r="BL888" s="775" t="str">
        <f t="shared" si="490"/>
        <v/>
      </c>
      <c r="BM888" s="775" t="str">
        <f t="shared" si="491"/>
        <v/>
      </c>
    </row>
    <row r="889" spans="1:65">
      <c r="A889" s="473">
        <v>833</v>
      </c>
      <c r="B889" s="132"/>
      <c r="C889" s="332"/>
      <c r="D889" s="333"/>
      <c r="E889" s="333"/>
      <c r="F889" s="334"/>
      <c r="G889" s="337"/>
      <c r="H889" s="131"/>
      <c r="I889" s="337"/>
      <c r="J889" s="131"/>
      <c r="K889" s="458" t="str">
        <f t="shared" si="492"/>
        <v/>
      </c>
      <c r="L889" s="458">
        <f t="shared" si="493"/>
        <v>0</v>
      </c>
      <c r="M889" s="458">
        <f t="shared" si="494"/>
        <v>0</v>
      </c>
      <c r="N889" s="459" t="str">
        <f t="shared" si="505"/>
        <v/>
      </c>
      <c r="O889" s="459" t="str">
        <f t="shared" si="506"/>
        <v/>
      </c>
      <c r="P889" s="459" t="str">
        <f t="shared" si="507"/>
        <v/>
      </c>
      <c r="Q889" s="459" t="str">
        <f t="shared" si="508"/>
        <v/>
      </c>
      <c r="R889" s="459" t="str">
        <f t="shared" si="509"/>
        <v/>
      </c>
      <c r="S889" s="459" t="str">
        <f t="shared" si="510"/>
        <v/>
      </c>
      <c r="T889" s="566" t="str">
        <f t="shared" si="495"/>
        <v/>
      </c>
      <c r="U889" s="702"/>
      <c r="V889" s="132"/>
      <c r="W889" s="133"/>
      <c r="X889" s="134"/>
      <c r="Y889" s="135"/>
      <c r="Z889" s="137"/>
      <c r="AA889" s="136"/>
      <c r="AB889" s="566" t="str">
        <f t="shared" si="496"/>
        <v/>
      </c>
      <c r="AC889" s="568" t="str">
        <f t="shared" si="497"/>
        <v/>
      </c>
      <c r="AD889" s="137"/>
      <c r="AE889" s="137"/>
      <c r="AF889" s="138"/>
      <c r="AG889" s="138"/>
      <c r="AH889" s="592" t="str">
        <f t="shared" si="498"/>
        <v/>
      </c>
      <c r="AI889" s="592" t="str">
        <f t="shared" si="499"/>
        <v/>
      </c>
      <c r="AJ889" s="592" t="str">
        <f t="shared" si="500"/>
        <v/>
      </c>
      <c r="AK889" s="460" t="str">
        <f>IF(AU889="","",IF(OR(AZ889=8,AZ889=9),0,IF(OR(AW889=3,AW889=4,AW889=5,AW889=6),IF(LEFT(BF889,1)="1",INDEX(係数_NOX・PM低減,MATCH(AY889,【参考】排出係数!$AI$801:$AI$804,1),1),VLOOKUP(AU889,INDEX((係数_バス貨物_ガソリン,係数_バス貨物_CNG,係数_バス貨物_軽油,係数_バス貨物_メタノール,係数_バス貨物_LPG),MATCH(AY889,【参考】排出係数!$AI$4:$AI$671,1),1,BE889):INDEX((係数_バス貨物_ガソリン,係数_バス貨物_CNG,係数_バス貨物_軽油,係数_バス貨物_メタノール,係数_バス貨物_LPG),MATCH(AY889+1,【参考】排出係数!$AI$4:$AI$671,1)-1,5,BE889),4,FALSE)),IF(AND(BE889=3,LEFT(BF889,1)="1"),0.48,VLOOKUP(AU889,INDEX((係数_乗用_ガソリン,係数_乗用_CNG,係数_乗用_軽油,係数_乗用_メタノール,係数_乗用_LPG),1,1,BE889):INDEX((係数_乗用_ガソリン,係数_乗用_CNG,係数_乗用_軽油,係数_乗用_メタノール,係数_乗用_LPG),125,5,BE889),4,FALSE)))))</f>
        <v/>
      </c>
      <c r="AL889" s="461" t="str">
        <f t="shared" si="501"/>
        <v/>
      </c>
      <c r="AM889" s="460" t="str">
        <f>IF(AU889="","",IF(OR(AZ889=8,AZ889=9),0,IF(OR(AW889=3,AW889=4,AW889=5,AW889=6),IF(LEFT(BH889,1)="1",INDEX(係数_PM低減,MATCH(AY889,【参考】排出係数!$AI$801:$AI$804,1),MATCH(BI889,【参考】排出係数!$AL$798:$AO$798,1)),VLOOKUP(AU889,INDEX((係数_バス貨物_ガソリン,係数_バス貨物_CNG,係数_バス貨物_軽油,係数_バス貨物_メタノール,係数_バス貨物_LPG),MATCH(AY889,【参考】排出係数!$AI$4:$AI$671,1),1,BE889):INDEX((係数_バス貨物_ガソリン,係数_バス貨物_CNG,係数_バス貨物_軽油,係数_バス貨物_メタノール,係数_バス貨物_LPG),MATCH(AY889+1,【参考】排出係数!$AI$4:$AI$671,1)-1,5,BE889),5,FALSE)),IF(AND(BE889=3,LEFT(BF889,1)="1"),0.055,VLOOKUP(AU889,INDEX((係数_乗用_ガソリン,係数_乗用_CNG,係数_乗用_軽油,係数_乗用_メタノール,係数_乗用_LPG),1,1,BE889):INDEX((係数_乗用_ガソリン,係数_乗用_CNG,係数_乗用_軽油,係数_乗用_メタノール,係数_乗用_LPG),125,5,BE889),5,FALSE)))))</f>
        <v/>
      </c>
      <c r="AN889" s="461" t="str">
        <f t="shared" si="502"/>
        <v/>
      </c>
      <c r="AO889" s="462" t="str">
        <f t="shared" si="503"/>
        <v/>
      </c>
      <c r="AP889" s="463" t="str">
        <f t="shared" si="504"/>
        <v/>
      </c>
      <c r="AQ889" s="464"/>
      <c r="AR889" s="619"/>
      <c r="AS889" s="465" t="str">
        <f t="shared" si="474"/>
        <v/>
      </c>
      <c r="AT889" s="465" t="str">
        <f t="shared" si="475"/>
        <v/>
      </c>
      <c r="AU889" s="466" t="str">
        <f t="shared" si="476"/>
        <v/>
      </c>
      <c r="AV889" s="467" t="str">
        <f t="shared" si="477"/>
        <v/>
      </c>
      <c r="AW889" s="467" t="str">
        <f t="shared" si="478"/>
        <v/>
      </c>
      <c r="AX889" s="467" t="str">
        <f t="shared" si="479"/>
        <v/>
      </c>
      <c r="AY889" s="467" t="str">
        <f t="shared" si="480"/>
        <v/>
      </c>
      <c r="AZ889" s="467" t="str">
        <f t="shared" si="481"/>
        <v/>
      </c>
      <c r="BA889" s="468" t="str">
        <f>IF(AS889="","",IF(OR(AU889="",AU889="-"),"－",IF(OR(AZ889=8,AZ889=9),"",IF(OR(AW889=3,AW889=4,AW889=5,AW889=6),VLOOKUP(AU889,INDEX((係数_バス貨物_ガソリン,係数_バス貨物_CNG,係数_バス貨物_軽油,係数_バス貨物_メタノール,係数_バス貨物_LPG),MATCH(AY889,【参考】排出係数!$AI$4:$AI$671,1),1,BE889):INDEX((係数_バス貨物_ガソリン,係数_バス貨物_CNG,係数_バス貨物_軽油,係数_バス貨物_メタノール,係数_バス貨物_LPG),MATCH(AY889+1,【参考】排出係数!$AI$4:$AI$671,1)-1,5,BE889),2,FALSE),IF(OR(AW889=1,AW889=2),VLOOKUP(AU889,INDEX((係数_乗用_ガソリン,係数_乗用_CNG,係数_乗用_軽油,係数_乗用_メタノール,係数_乗用_LPG),1,1,BE889):INDEX((係数_乗用_ガソリン,係数_乗用_CNG,係数_乗用_軽油,係数_乗用_メタノール,係数_乗用_LPG),125,5,BE889),2,FALSE))))))</f>
        <v/>
      </c>
      <c r="BB889" s="468" t="str">
        <f>IF(T889="","",IF(OR(AU889="",AU889="-"),"－",IF(OR(AZ889=8,AZ889=9),"",IF(OR(AW889=3,AW889=4,AW889=5,AW889=6),VLOOKUP(AU889,INDEX((係数_バス貨物_ガソリン,係数_バス貨物_CNG,係数_バス貨物_軽油,係数_バス貨物_メタノール,係数_バス貨物_LPG),MATCH(AY889,【参考】排出係数!$AI$4:$AI$671,1),1,BE889):INDEX((係数_バス貨物_ガソリン,係数_バス貨物_CNG,係数_バス貨物_軽油,係数_バス貨物_メタノール,係数_バス貨物_LPG),MATCH(AY889+1,【参考】排出係数!$AI$4:$AI$671,1)-1,5,BE889),3,FALSE),IF(OR(AW889=1,AW889=2),VLOOKUP(AU889,INDEX((係数_乗用_ガソリン,係数_乗用_CNG,係数_乗用_軽油,係数_乗用_メタノール,係数_乗用_LPG),1,1,BE889):INDEX((係数_乗用_ガソリン,係数_乗用_CNG,係数_乗用_軽油,係数_乗用_メタノール,係数_乗用_LPG),125,5,BE889),3,FALSE))))))</f>
        <v/>
      </c>
      <c r="BC889" s="467" t="str">
        <f t="shared" si="482"/>
        <v/>
      </c>
      <c r="BD889" s="567" t="str">
        <f t="shared" si="483"/>
        <v/>
      </c>
      <c r="BE889" s="467" t="str">
        <f t="shared" si="484"/>
        <v/>
      </c>
      <c r="BF889" s="469" t="str">
        <f t="shared" ca="1" si="485"/>
        <v/>
      </c>
      <c r="BG889" s="469" t="str">
        <f t="shared" ca="1" si="486"/>
        <v/>
      </c>
      <c r="BH889" s="467" t="str">
        <f t="shared" si="487"/>
        <v/>
      </c>
      <c r="BI889" s="467" t="str">
        <f t="shared" ca="1" si="488"/>
        <v/>
      </c>
      <c r="BJ889" s="469" t="str">
        <f t="shared" si="489"/>
        <v/>
      </c>
      <c r="BK889" s="470" t="str">
        <f t="shared" ref="BK889:BK952" si="511">IF(AS889="","",VLOOKUP(T889,車両の増減,2,FALSE))</f>
        <v/>
      </c>
      <c r="BL889" s="775" t="str">
        <f t="shared" si="490"/>
        <v/>
      </c>
      <c r="BM889" s="775" t="str">
        <f t="shared" si="491"/>
        <v/>
      </c>
    </row>
    <row r="890" spans="1:65">
      <c r="A890" s="473">
        <v>834</v>
      </c>
      <c r="B890" s="132"/>
      <c r="C890" s="332"/>
      <c r="D890" s="333"/>
      <c r="E890" s="333"/>
      <c r="F890" s="334"/>
      <c r="G890" s="337"/>
      <c r="H890" s="131"/>
      <c r="I890" s="337"/>
      <c r="J890" s="131"/>
      <c r="K890" s="458" t="str">
        <f t="shared" si="492"/>
        <v/>
      </c>
      <c r="L890" s="458">
        <f t="shared" si="493"/>
        <v>0</v>
      </c>
      <c r="M890" s="458">
        <f t="shared" si="494"/>
        <v>0</v>
      </c>
      <c r="N890" s="459" t="str">
        <f t="shared" si="505"/>
        <v/>
      </c>
      <c r="O890" s="459" t="str">
        <f t="shared" si="506"/>
        <v/>
      </c>
      <c r="P890" s="459" t="str">
        <f t="shared" si="507"/>
        <v/>
      </c>
      <c r="Q890" s="459" t="str">
        <f t="shared" si="508"/>
        <v/>
      </c>
      <c r="R890" s="459" t="str">
        <f t="shared" si="509"/>
        <v/>
      </c>
      <c r="S890" s="459" t="str">
        <f t="shared" si="510"/>
        <v/>
      </c>
      <c r="T890" s="566" t="str">
        <f t="shared" si="495"/>
        <v/>
      </c>
      <c r="U890" s="702"/>
      <c r="V890" s="132"/>
      <c r="W890" s="133"/>
      <c r="X890" s="134"/>
      <c r="Y890" s="135"/>
      <c r="Z890" s="137"/>
      <c r="AA890" s="136"/>
      <c r="AB890" s="566" t="str">
        <f t="shared" si="496"/>
        <v/>
      </c>
      <c r="AC890" s="568" t="str">
        <f t="shared" si="497"/>
        <v/>
      </c>
      <c r="AD890" s="137"/>
      <c r="AE890" s="137"/>
      <c r="AF890" s="138"/>
      <c r="AG890" s="138"/>
      <c r="AH890" s="592" t="str">
        <f t="shared" si="498"/>
        <v/>
      </c>
      <c r="AI890" s="592" t="str">
        <f t="shared" si="499"/>
        <v/>
      </c>
      <c r="AJ890" s="592" t="str">
        <f t="shared" si="500"/>
        <v/>
      </c>
      <c r="AK890" s="460" t="str">
        <f>IF(AU890="","",IF(OR(AZ890=8,AZ890=9),0,IF(OR(AW890=3,AW890=4,AW890=5,AW890=6),IF(LEFT(BF890,1)="1",INDEX(係数_NOX・PM低減,MATCH(AY890,【参考】排出係数!$AI$801:$AI$804,1),1),VLOOKUP(AU890,INDEX((係数_バス貨物_ガソリン,係数_バス貨物_CNG,係数_バス貨物_軽油,係数_バス貨物_メタノール,係数_バス貨物_LPG),MATCH(AY890,【参考】排出係数!$AI$4:$AI$671,1),1,BE890):INDEX((係数_バス貨物_ガソリン,係数_バス貨物_CNG,係数_バス貨物_軽油,係数_バス貨物_メタノール,係数_バス貨物_LPG),MATCH(AY890+1,【参考】排出係数!$AI$4:$AI$671,1)-1,5,BE890),4,FALSE)),IF(AND(BE890=3,LEFT(BF890,1)="1"),0.48,VLOOKUP(AU890,INDEX((係数_乗用_ガソリン,係数_乗用_CNG,係数_乗用_軽油,係数_乗用_メタノール,係数_乗用_LPG),1,1,BE890):INDEX((係数_乗用_ガソリン,係数_乗用_CNG,係数_乗用_軽油,係数_乗用_メタノール,係数_乗用_LPG),125,5,BE890),4,FALSE)))))</f>
        <v/>
      </c>
      <c r="AL890" s="461" t="str">
        <f t="shared" si="501"/>
        <v/>
      </c>
      <c r="AM890" s="460" t="str">
        <f>IF(AU890="","",IF(OR(AZ890=8,AZ890=9),0,IF(OR(AW890=3,AW890=4,AW890=5,AW890=6),IF(LEFT(BH890,1)="1",INDEX(係数_PM低減,MATCH(AY890,【参考】排出係数!$AI$801:$AI$804,1),MATCH(BI890,【参考】排出係数!$AL$798:$AO$798,1)),VLOOKUP(AU890,INDEX((係数_バス貨物_ガソリン,係数_バス貨物_CNG,係数_バス貨物_軽油,係数_バス貨物_メタノール,係数_バス貨物_LPG),MATCH(AY890,【参考】排出係数!$AI$4:$AI$671,1),1,BE890):INDEX((係数_バス貨物_ガソリン,係数_バス貨物_CNG,係数_バス貨物_軽油,係数_バス貨物_メタノール,係数_バス貨物_LPG),MATCH(AY890+1,【参考】排出係数!$AI$4:$AI$671,1)-1,5,BE890),5,FALSE)),IF(AND(BE890=3,LEFT(BF890,1)="1"),0.055,VLOOKUP(AU890,INDEX((係数_乗用_ガソリン,係数_乗用_CNG,係数_乗用_軽油,係数_乗用_メタノール,係数_乗用_LPG),1,1,BE890):INDEX((係数_乗用_ガソリン,係数_乗用_CNG,係数_乗用_軽油,係数_乗用_メタノール,係数_乗用_LPG),125,5,BE890),5,FALSE)))))</f>
        <v/>
      </c>
      <c r="AN890" s="461" t="str">
        <f t="shared" si="502"/>
        <v/>
      </c>
      <c r="AO890" s="462" t="str">
        <f t="shared" si="503"/>
        <v/>
      </c>
      <c r="AP890" s="463" t="str">
        <f t="shared" si="504"/>
        <v/>
      </c>
      <c r="AQ890" s="464"/>
      <c r="AR890" s="619"/>
      <c r="AS890" s="465" t="str">
        <f t="shared" ref="AS890:AS953" si="512">IF(OR(T890="(減車済)",T890=""),"",1)</f>
        <v/>
      </c>
      <c r="AT890" s="465" t="str">
        <f t="shared" ref="AT890:AT953" si="513">IF(OR(T890="継続",T890="新規"),1,"")</f>
        <v/>
      </c>
      <c r="AU890" s="466" t="str">
        <f t="shared" ref="AU890:AU953" si="514">IF(AS890="","",UPPER(ASC(X890)))</f>
        <v/>
      </c>
      <c r="AV890" s="467" t="str">
        <f t="shared" ref="AV890:AV953" si="515">IF(AS890="","",IF(V890="","",IF(V890="普通",1,IF(V890="小型",2,0))))</f>
        <v/>
      </c>
      <c r="AW890" s="467" t="str">
        <f t="shared" ref="AW890:AW953" si="516">IF(AS890="","",IF(W890="","",VLOOKUP(W890,用途,2,FALSE)))</f>
        <v/>
      </c>
      <c r="AX890" s="467" t="str">
        <f t="shared" ref="AX890:AX953" si="517">IF(AS890="","",IF(Y890="","",IF(Y890&lt;=10,1,IF(Y890&lt;30,2,IF(Y890&gt;=30,3,0)))))</f>
        <v/>
      </c>
      <c r="AY890" s="467" t="str">
        <f t="shared" ref="AY890:AY953" si="518">IF(AS890="","",IF(Z890="","",IF(Z890&lt;=1.7*1000,1,IF(Z890&lt;=2.5*1000,2,IF(Z890&lt;=3.5*1000,3,IF(Z890&lt;8*1000,4,IF(Z890&gt;=8*1000,5,"")))))))</f>
        <v/>
      </c>
      <c r="AZ890" s="467" t="str">
        <f t="shared" ref="AZ890:AZ953" si="519">IF(AS890="","",IF(AA890="","",VLOOKUP(AA890,燃料の種類,2,FALSE)))</f>
        <v/>
      </c>
      <c r="BA890" s="468" t="str">
        <f>IF(AS890="","",IF(OR(AU890="",AU890="-"),"－",IF(OR(AZ890=8,AZ890=9),"",IF(OR(AW890=3,AW890=4,AW890=5,AW890=6),VLOOKUP(AU890,INDEX((係数_バス貨物_ガソリン,係数_バス貨物_CNG,係数_バス貨物_軽油,係数_バス貨物_メタノール,係数_バス貨物_LPG),MATCH(AY890,【参考】排出係数!$AI$4:$AI$671,1),1,BE890):INDEX((係数_バス貨物_ガソリン,係数_バス貨物_CNG,係数_バス貨物_軽油,係数_バス貨物_メタノール,係数_バス貨物_LPG),MATCH(AY890+1,【参考】排出係数!$AI$4:$AI$671,1)-1,5,BE890),2,FALSE),IF(OR(AW890=1,AW890=2),VLOOKUP(AU890,INDEX((係数_乗用_ガソリン,係数_乗用_CNG,係数_乗用_軽油,係数_乗用_メタノール,係数_乗用_LPG),1,1,BE890):INDEX((係数_乗用_ガソリン,係数_乗用_CNG,係数_乗用_軽油,係数_乗用_メタノール,係数_乗用_LPG),125,5,BE890),2,FALSE))))))</f>
        <v/>
      </c>
      <c r="BB890" s="468" t="str">
        <f>IF(T890="","",IF(OR(AU890="",AU890="-"),"－",IF(OR(AZ890=8,AZ890=9),"",IF(OR(AW890=3,AW890=4,AW890=5,AW890=6),VLOOKUP(AU890,INDEX((係数_バス貨物_ガソリン,係数_バス貨物_CNG,係数_バス貨物_軽油,係数_バス貨物_メタノール,係数_バス貨物_LPG),MATCH(AY890,【参考】排出係数!$AI$4:$AI$671,1),1,BE890):INDEX((係数_バス貨物_ガソリン,係数_バス貨物_CNG,係数_バス貨物_軽油,係数_バス貨物_メタノール,係数_バス貨物_LPG),MATCH(AY890+1,【参考】排出係数!$AI$4:$AI$671,1)-1,5,BE890),3,FALSE),IF(OR(AW890=1,AW890=2),VLOOKUP(AU890,INDEX((係数_乗用_ガソリン,係数_乗用_CNG,係数_乗用_軽油,係数_乗用_メタノール,係数_乗用_LPG),1,1,BE890):INDEX((係数_乗用_ガソリン,係数_乗用_CNG,係数_乗用_軽油,係数_乗用_メタノール,係数_乗用_LPG),125,5,BE890),3,FALSE))))))</f>
        <v/>
      </c>
      <c r="BC890" s="467" t="str">
        <f t="shared" ref="BC890:BC953" si="520">IF((AS890="")+(AC890=""),"",IF(燃料区分1=4,VLOOKUP(BB890,排ガス低減レベル,2,FALSE),VLOOKUP(AC890,排ガス低減レベル,2,FALSE)))</f>
        <v/>
      </c>
      <c r="BD890" s="567" t="str">
        <f t="shared" ref="BD890:BD953" si="521">IF(AT890="","",IF(AW890=3,B890&amp;"-"&amp;SUM(AW890*100,AX890*10,AY890)&amp;"A",IF(OR(AW890=2,AW890=4,AW890=6),B890&amp;"-"&amp;AY890*10&amp;"A",IF(AW890=1,B890&amp;"-"&amp;AW890&amp;"A",IF(AW890=5,B890&amp;"-"&amp;SUM(AW890*100,AV890*10,AY890)&amp;"A","")))))</f>
        <v/>
      </c>
      <c r="BE890" s="467" t="str">
        <f t="shared" ref="BE890:BE953" si="522">IF(OR(AZ890=1,AZ890=2,AZ890=11),1,IF(AZ890=6,2,IF(OR(AZ890=4,AZ890=5,AZ890=10),3,IF(AZ890=7,4,IF(AZ890=3,5, IF(OR(AZ890=8,AZ890=9),6,""))))))</f>
        <v/>
      </c>
      <c r="BF890" s="469" t="str">
        <f t="shared" ref="BF890:BF953" ca="1" si="523">(IF(OR(AZ890=4,AZ890=5),OFFSET($CH$1,MATCH($AF890,$CG$2:$CG$4,0),0)&amp;BK890,""))</f>
        <v/>
      </c>
      <c r="BG890" s="469" t="str">
        <f t="shared" ref="BG890:BG953" ca="1" si="524">(IF(OR(AZ890=4,AZ890=5),OFFSET($CJ$1,MATCH($AG890,$CI$2:$CI$5,0),0)&amp;BK890,""))</f>
        <v/>
      </c>
      <c r="BH890" s="467" t="str">
        <f t="shared" ref="BH890:BH953" si="525">IF(OR(AZ890=4,AZ890=5),IF(OR(LEFT(BF890,1)="1",LEFT(BG890,1)="2",LEFT(BG890,1)="3"),1,2)&amp;BK890,"")</f>
        <v/>
      </c>
      <c r="BI890" s="467" t="str">
        <f t="shared" ref="BI890:BI953" ca="1" si="526">IF(LEFT(BF890)="1",1,IF(LEFT(BG890,1)="2",2,IF(LEFT(BG890,1)="3",3,"")))</f>
        <v/>
      </c>
      <c r="BJ890" s="469" t="str">
        <f t="shared" ref="BJ890:BJ953" si="527">IF(AT890="","",B890&amp;"-"&amp;AZ890)</f>
        <v/>
      </c>
      <c r="BK890" s="470" t="str">
        <f t="shared" si="511"/>
        <v/>
      </c>
      <c r="BL890" s="775" t="str">
        <f t="shared" ref="BL890:BL953" si="528">IF(AND(OR($T890="新規",$T890="継続"),ISBLANK($AD890)),1,"")</f>
        <v/>
      </c>
      <c r="BM890" s="775" t="str">
        <f t="shared" ref="BM890:BM953" si="529">IF(AND(OR($T890="新規",$T890="継続"),ISBLANK($AE890)),1,"")</f>
        <v/>
      </c>
    </row>
    <row r="891" spans="1:65">
      <c r="A891" s="473">
        <v>835</v>
      </c>
      <c r="B891" s="132"/>
      <c r="C891" s="332"/>
      <c r="D891" s="333"/>
      <c r="E891" s="333"/>
      <c r="F891" s="334"/>
      <c r="G891" s="337"/>
      <c r="H891" s="131"/>
      <c r="I891" s="337"/>
      <c r="J891" s="131"/>
      <c r="K891" s="458" t="str">
        <f t="shared" si="492"/>
        <v/>
      </c>
      <c r="L891" s="458">
        <f t="shared" si="493"/>
        <v>0</v>
      </c>
      <c r="M891" s="458">
        <f t="shared" si="494"/>
        <v>0</v>
      </c>
      <c r="N891" s="459" t="str">
        <f t="shared" si="505"/>
        <v/>
      </c>
      <c r="O891" s="459" t="str">
        <f t="shared" si="506"/>
        <v/>
      </c>
      <c r="P891" s="459" t="str">
        <f t="shared" si="507"/>
        <v/>
      </c>
      <c r="Q891" s="459" t="str">
        <f t="shared" si="508"/>
        <v/>
      </c>
      <c r="R891" s="459" t="str">
        <f t="shared" si="509"/>
        <v/>
      </c>
      <c r="S891" s="459" t="str">
        <f t="shared" si="510"/>
        <v/>
      </c>
      <c r="T891" s="566" t="str">
        <f t="shared" si="495"/>
        <v/>
      </c>
      <c r="U891" s="702"/>
      <c r="V891" s="132"/>
      <c r="W891" s="133"/>
      <c r="X891" s="134"/>
      <c r="Y891" s="135"/>
      <c r="Z891" s="137"/>
      <c r="AA891" s="136"/>
      <c r="AB891" s="566" t="str">
        <f t="shared" si="496"/>
        <v/>
      </c>
      <c r="AC891" s="568" t="str">
        <f t="shared" si="497"/>
        <v/>
      </c>
      <c r="AD891" s="137"/>
      <c r="AE891" s="137"/>
      <c r="AF891" s="138"/>
      <c r="AG891" s="138"/>
      <c r="AH891" s="592" t="str">
        <f t="shared" si="498"/>
        <v/>
      </c>
      <c r="AI891" s="592" t="str">
        <f t="shared" si="499"/>
        <v/>
      </c>
      <c r="AJ891" s="592" t="str">
        <f t="shared" si="500"/>
        <v/>
      </c>
      <c r="AK891" s="460" t="str">
        <f>IF(AU891="","",IF(OR(AZ891=8,AZ891=9),0,IF(OR(AW891=3,AW891=4,AW891=5,AW891=6),IF(LEFT(BF891,1)="1",INDEX(係数_NOX・PM低減,MATCH(AY891,【参考】排出係数!$AI$801:$AI$804,1),1),VLOOKUP(AU891,INDEX((係数_バス貨物_ガソリン,係数_バス貨物_CNG,係数_バス貨物_軽油,係数_バス貨物_メタノール,係数_バス貨物_LPG),MATCH(AY891,【参考】排出係数!$AI$4:$AI$671,1),1,BE891):INDEX((係数_バス貨物_ガソリン,係数_バス貨物_CNG,係数_バス貨物_軽油,係数_バス貨物_メタノール,係数_バス貨物_LPG),MATCH(AY891+1,【参考】排出係数!$AI$4:$AI$671,1)-1,5,BE891),4,FALSE)),IF(AND(BE891=3,LEFT(BF891,1)="1"),0.48,VLOOKUP(AU891,INDEX((係数_乗用_ガソリン,係数_乗用_CNG,係数_乗用_軽油,係数_乗用_メタノール,係数_乗用_LPG),1,1,BE891):INDEX((係数_乗用_ガソリン,係数_乗用_CNG,係数_乗用_軽油,係数_乗用_メタノール,係数_乗用_LPG),125,5,BE891),4,FALSE)))))</f>
        <v/>
      </c>
      <c r="AL891" s="461" t="str">
        <f t="shared" si="501"/>
        <v/>
      </c>
      <c r="AM891" s="460" t="str">
        <f>IF(AU891="","",IF(OR(AZ891=8,AZ891=9),0,IF(OR(AW891=3,AW891=4,AW891=5,AW891=6),IF(LEFT(BH891,1)="1",INDEX(係数_PM低減,MATCH(AY891,【参考】排出係数!$AI$801:$AI$804,1),MATCH(BI891,【参考】排出係数!$AL$798:$AO$798,1)),VLOOKUP(AU891,INDEX((係数_バス貨物_ガソリン,係数_バス貨物_CNG,係数_バス貨物_軽油,係数_バス貨物_メタノール,係数_バス貨物_LPG),MATCH(AY891,【参考】排出係数!$AI$4:$AI$671,1),1,BE891):INDEX((係数_バス貨物_ガソリン,係数_バス貨物_CNG,係数_バス貨物_軽油,係数_バス貨物_メタノール,係数_バス貨物_LPG),MATCH(AY891+1,【参考】排出係数!$AI$4:$AI$671,1)-1,5,BE891),5,FALSE)),IF(AND(BE891=3,LEFT(BF891,1)="1"),0.055,VLOOKUP(AU891,INDEX((係数_乗用_ガソリン,係数_乗用_CNG,係数_乗用_軽油,係数_乗用_メタノール,係数_乗用_LPG),1,1,BE891):INDEX((係数_乗用_ガソリン,係数_乗用_CNG,係数_乗用_軽油,係数_乗用_メタノール,係数_乗用_LPG),125,5,BE891),5,FALSE)))))</f>
        <v/>
      </c>
      <c r="AN891" s="461" t="str">
        <f t="shared" si="502"/>
        <v/>
      </c>
      <c r="AO891" s="462" t="str">
        <f t="shared" si="503"/>
        <v/>
      </c>
      <c r="AP891" s="463" t="str">
        <f t="shared" si="504"/>
        <v/>
      </c>
      <c r="AQ891" s="464"/>
      <c r="AR891" s="619"/>
      <c r="AS891" s="465" t="str">
        <f t="shared" si="512"/>
        <v/>
      </c>
      <c r="AT891" s="465" t="str">
        <f t="shared" si="513"/>
        <v/>
      </c>
      <c r="AU891" s="466" t="str">
        <f t="shared" si="514"/>
        <v/>
      </c>
      <c r="AV891" s="467" t="str">
        <f t="shared" si="515"/>
        <v/>
      </c>
      <c r="AW891" s="467" t="str">
        <f t="shared" si="516"/>
        <v/>
      </c>
      <c r="AX891" s="467" t="str">
        <f t="shared" si="517"/>
        <v/>
      </c>
      <c r="AY891" s="467" t="str">
        <f t="shared" si="518"/>
        <v/>
      </c>
      <c r="AZ891" s="467" t="str">
        <f t="shared" si="519"/>
        <v/>
      </c>
      <c r="BA891" s="468" t="str">
        <f>IF(AS891="","",IF(OR(AU891="",AU891="-"),"－",IF(OR(AZ891=8,AZ891=9),"",IF(OR(AW891=3,AW891=4,AW891=5,AW891=6),VLOOKUP(AU891,INDEX((係数_バス貨物_ガソリン,係数_バス貨物_CNG,係数_バス貨物_軽油,係数_バス貨物_メタノール,係数_バス貨物_LPG),MATCH(AY891,【参考】排出係数!$AI$4:$AI$671,1),1,BE891):INDEX((係数_バス貨物_ガソリン,係数_バス貨物_CNG,係数_バス貨物_軽油,係数_バス貨物_メタノール,係数_バス貨物_LPG),MATCH(AY891+1,【参考】排出係数!$AI$4:$AI$671,1)-1,5,BE891),2,FALSE),IF(OR(AW891=1,AW891=2),VLOOKUP(AU891,INDEX((係数_乗用_ガソリン,係数_乗用_CNG,係数_乗用_軽油,係数_乗用_メタノール,係数_乗用_LPG),1,1,BE891):INDEX((係数_乗用_ガソリン,係数_乗用_CNG,係数_乗用_軽油,係数_乗用_メタノール,係数_乗用_LPG),125,5,BE891),2,FALSE))))))</f>
        <v/>
      </c>
      <c r="BB891" s="468" t="str">
        <f>IF(T891="","",IF(OR(AU891="",AU891="-"),"－",IF(OR(AZ891=8,AZ891=9),"",IF(OR(AW891=3,AW891=4,AW891=5,AW891=6),VLOOKUP(AU891,INDEX((係数_バス貨物_ガソリン,係数_バス貨物_CNG,係数_バス貨物_軽油,係数_バス貨物_メタノール,係数_バス貨物_LPG),MATCH(AY891,【参考】排出係数!$AI$4:$AI$671,1),1,BE891):INDEX((係数_バス貨物_ガソリン,係数_バス貨物_CNG,係数_バス貨物_軽油,係数_バス貨物_メタノール,係数_バス貨物_LPG),MATCH(AY891+1,【参考】排出係数!$AI$4:$AI$671,1)-1,5,BE891),3,FALSE),IF(OR(AW891=1,AW891=2),VLOOKUP(AU891,INDEX((係数_乗用_ガソリン,係数_乗用_CNG,係数_乗用_軽油,係数_乗用_メタノール,係数_乗用_LPG),1,1,BE891):INDEX((係数_乗用_ガソリン,係数_乗用_CNG,係数_乗用_軽油,係数_乗用_メタノール,係数_乗用_LPG),125,5,BE891),3,FALSE))))))</f>
        <v/>
      </c>
      <c r="BC891" s="467" t="str">
        <f t="shared" si="520"/>
        <v/>
      </c>
      <c r="BD891" s="567" t="str">
        <f t="shared" si="521"/>
        <v/>
      </c>
      <c r="BE891" s="467" t="str">
        <f t="shared" si="522"/>
        <v/>
      </c>
      <c r="BF891" s="469" t="str">
        <f t="shared" ca="1" si="523"/>
        <v/>
      </c>
      <c r="BG891" s="469" t="str">
        <f t="shared" ca="1" si="524"/>
        <v/>
      </c>
      <c r="BH891" s="467" t="str">
        <f t="shared" si="525"/>
        <v/>
      </c>
      <c r="BI891" s="467" t="str">
        <f t="shared" ca="1" si="526"/>
        <v/>
      </c>
      <c r="BJ891" s="469" t="str">
        <f t="shared" si="527"/>
        <v/>
      </c>
      <c r="BK891" s="470" t="str">
        <f t="shared" si="511"/>
        <v/>
      </c>
      <c r="BL891" s="775" t="str">
        <f t="shared" si="528"/>
        <v/>
      </c>
      <c r="BM891" s="775" t="str">
        <f t="shared" si="529"/>
        <v/>
      </c>
    </row>
    <row r="892" spans="1:65">
      <c r="A892" s="473">
        <v>836</v>
      </c>
      <c r="B892" s="132"/>
      <c r="C892" s="332"/>
      <c r="D892" s="333"/>
      <c r="E892" s="333"/>
      <c r="F892" s="334"/>
      <c r="G892" s="337"/>
      <c r="H892" s="131"/>
      <c r="I892" s="337"/>
      <c r="J892" s="131"/>
      <c r="K892" s="458" t="str">
        <f t="shared" si="492"/>
        <v/>
      </c>
      <c r="L892" s="458">
        <f t="shared" si="493"/>
        <v>0</v>
      </c>
      <c r="M892" s="458">
        <f t="shared" si="494"/>
        <v>0</v>
      </c>
      <c r="N892" s="459" t="str">
        <f t="shared" si="505"/>
        <v/>
      </c>
      <c r="O892" s="459" t="str">
        <f t="shared" si="506"/>
        <v/>
      </c>
      <c r="P892" s="459" t="str">
        <f t="shared" si="507"/>
        <v/>
      </c>
      <c r="Q892" s="459" t="str">
        <f t="shared" si="508"/>
        <v/>
      </c>
      <c r="R892" s="459" t="str">
        <f t="shared" si="509"/>
        <v/>
      </c>
      <c r="S892" s="459" t="str">
        <f t="shared" si="510"/>
        <v/>
      </c>
      <c r="T892" s="566" t="str">
        <f t="shared" si="495"/>
        <v/>
      </c>
      <c r="U892" s="702"/>
      <c r="V892" s="132"/>
      <c r="W892" s="133"/>
      <c r="X892" s="134"/>
      <c r="Y892" s="135"/>
      <c r="Z892" s="137"/>
      <c r="AA892" s="136"/>
      <c r="AB892" s="566" t="str">
        <f t="shared" si="496"/>
        <v/>
      </c>
      <c r="AC892" s="568" t="str">
        <f t="shared" si="497"/>
        <v/>
      </c>
      <c r="AD892" s="137"/>
      <c r="AE892" s="137"/>
      <c r="AF892" s="138"/>
      <c r="AG892" s="138"/>
      <c r="AH892" s="592" t="str">
        <f t="shared" si="498"/>
        <v/>
      </c>
      <c r="AI892" s="592" t="str">
        <f t="shared" si="499"/>
        <v/>
      </c>
      <c r="AJ892" s="592" t="str">
        <f t="shared" si="500"/>
        <v/>
      </c>
      <c r="AK892" s="460" t="str">
        <f>IF(AU892="","",IF(OR(AZ892=8,AZ892=9),0,IF(OR(AW892=3,AW892=4,AW892=5,AW892=6),IF(LEFT(BF892,1)="1",INDEX(係数_NOX・PM低減,MATCH(AY892,【参考】排出係数!$AI$801:$AI$804,1),1),VLOOKUP(AU892,INDEX((係数_バス貨物_ガソリン,係数_バス貨物_CNG,係数_バス貨物_軽油,係数_バス貨物_メタノール,係数_バス貨物_LPG),MATCH(AY892,【参考】排出係数!$AI$4:$AI$671,1),1,BE892):INDEX((係数_バス貨物_ガソリン,係数_バス貨物_CNG,係数_バス貨物_軽油,係数_バス貨物_メタノール,係数_バス貨物_LPG),MATCH(AY892+1,【参考】排出係数!$AI$4:$AI$671,1)-1,5,BE892),4,FALSE)),IF(AND(BE892=3,LEFT(BF892,1)="1"),0.48,VLOOKUP(AU892,INDEX((係数_乗用_ガソリン,係数_乗用_CNG,係数_乗用_軽油,係数_乗用_メタノール,係数_乗用_LPG),1,1,BE892):INDEX((係数_乗用_ガソリン,係数_乗用_CNG,係数_乗用_軽油,係数_乗用_メタノール,係数_乗用_LPG),125,5,BE892),4,FALSE)))))</f>
        <v/>
      </c>
      <c r="AL892" s="461" t="str">
        <f t="shared" si="501"/>
        <v/>
      </c>
      <c r="AM892" s="460" t="str">
        <f>IF(AU892="","",IF(OR(AZ892=8,AZ892=9),0,IF(OR(AW892=3,AW892=4,AW892=5,AW892=6),IF(LEFT(BH892,1)="1",INDEX(係数_PM低減,MATCH(AY892,【参考】排出係数!$AI$801:$AI$804,1),MATCH(BI892,【参考】排出係数!$AL$798:$AO$798,1)),VLOOKUP(AU892,INDEX((係数_バス貨物_ガソリン,係数_バス貨物_CNG,係数_バス貨物_軽油,係数_バス貨物_メタノール,係数_バス貨物_LPG),MATCH(AY892,【参考】排出係数!$AI$4:$AI$671,1),1,BE892):INDEX((係数_バス貨物_ガソリン,係数_バス貨物_CNG,係数_バス貨物_軽油,係数_バス貨物_メタノール,係数_バス貨物_LPG),MATCH(AY892+1,【参考】排出係数!$AI$4:$AI$671,1)-1,5,BE892),5,FALSE)),IF(AND(BE892=3,LEFT(BF892,1)="1"),0.055,VLOOKUP(AU892,INDEX((係数_乗用_ガソリン,係数_乗用_CNG,係数_乗用_軽油,係数_乗用_メタノール,係数_乗用_LPG),1,1,BE892):INDEX((係数_乗用_ガソリン,係数_乗用_CNG,係数_乗用_軽油,係数_乗用_メタノール,係数_乗用_LPG),125,5,BE892),5,FALSE)))))</f>
        <v/>
      </c>
      <c r="AN892" s="461" t="str">
        <f t="shared" si="502"/>
        <v/>
      </c>
      <c r="AO892" s="462" t="str">
        <f t="shared" si="503"/>
        <v/>
      </c>
      <c r="AP892" s="463" t="str">
        <f t="shared" si="504"/>
        <v/>
      </c>
      <c r="AQ892" s="464"/>
      <c r="AR892" s="619"/>
      <c r="AS892" s="465" t="str">
        <f t="shared" si="512"/>
        <v/>
      </c>
      <c r="AT892" s="465" t="str">
        <f t="shared" si="513"/>
        <v/>
      </c>
      <c r="AU892" s="466" t="str">
        <f t="shared" si="514"/>
        <v/>
      </c>
      <c r="AV892" s="467" t="str">
        <f t="shared" si="515"/>
        <v/>
      </c>
      <c r="AW892" s="467" t="str">
        <f t="shared" si="516"/>
        <v/>
      </c>
      <c r="AX892" s="467" t="str">
        <f t="shared" si="517"/>
        <v/>
      </c>
      <c r="AY892" s="467" t="str">
        <f t="shared" si="518"/>
        <v/>
      </c>
      <c r="AZ892" s="467" t="str">
        <f t="shared" si="519"/>
        <v/>
      </c>
      <c r="BA892" s="468" t="str">
        <f>IF(AS892="","",IF(OR(AU892="",AU892="-"),"－",IF(OR(AZ892=8,AZ892=9),"",IF(OR(AW892=3,AW892=4,AW892=5,AW892=6),VLOOKUP(AU892,INDEX((係数_バス貨物_ガソリン,係数_バス貨物_CNG,係数_バス貨物_軽油,係数_バス貨物_メタノール,係数_バス貨物_LPG),MATCH(AY892,【参考】排出係数!$AI$4:$AI$671,1),1,BE892):INDEX((係数_バス貨物_ガソリン,係数_バス貨物_CNG,係数_バス貨物_軽油,係数_バス貨物_メタノール,係数_バス貨物_LPG),MATCH(AY892+1,【参考】排出係数!$AI$4:$AI$671,1)-1,5,BE892),2,FALSE),IF(OR(AW892=1,AW892=2),VLOOKUP(AU892,INDEX((係数_乗用_ガソリン,係数_乗用_CNG,係数_乗用_軽油,係数_乗用_メタノール,係数_乗用_LPG),1,1,BE892):INDEX((係数_乗用_ガソリン,係数_乗用_CNG,係数_乗用_軽油,係数_乗用_メタノール,係数_乗用_LPG),125,5,BE892),2,FALSE))))))</f>
        <v/>
      </c>
      <c r="BB892" s="468" t="str">
        <f>IF(T892="","",IF(OR(AU892="",AU892="-"),"－",IF(OR(AZ892=8,AZ892=9),"",IF(OR(AW892=3,AW892=4,AW892=5,AW892=6),VLOOKUP(AU892,INDEX((係数_バス貨物_ガソリン,係数_バス貨物_CNG,係数_バス貨物_軽油,係数_バス貨物_メタノール,係数_バス貨物_LPG),MATCH(AY892,【参考】排出係数!$AI$4:$AI$671,1),1,BE892):INDEX((係数_バス貨物_ガソリン,係数_バス貨物_CNG,係数_バス貨物_軽油,係数_バス貨物_メタノール,係数_バス貨物_LPG),MATCH(AY892+1,【参考】排出係数!$AI$4:$AI$671,1)-1,5,BE892),3,FALSE),IF(OR(AW892=1,AW892=2),VLOOKUP(AU892,INDEX((係数_乗用_ガソリン,係数_乗用_CNG,係数_乗用_軽油,係数_乗用_メタノール,係数_乗用_LPG),1,1,BE892):INDEX((係数_乗用_ガソリン,係数_乗用_CNG,係数_乗用_軽油,係数_乗用_メタノール,係数_乗用_LPG),125,5,BE892),3,FALSE))))))</f>
        <v/>
      </c>
      <c r="BC892" s="467" t="str">
        <f t="shared" si="520"/>
        <v/>
      </c>
      <c r="BD892" s="567" t="str">
        <f t="shared" si="521"/>
        <v/>
      </c>
      <c r="BE892" s="467" t="str">
        <f t="shared" si="522"/>
        <v/>
      </c>
      <c r="BF892" s="469" t="str">
        <f t="shared" ca="1" si="523"/>
        <v/>
      </c>
      <c r="BG892" s="469" t="str">
        <f t="shared" ca="1" si="524"/>
        <v/>
      </c>
      <c r="BH892" s="467" t="str">
        <f t="shared" si="525"/>
        <v/>
      </c>
      <c r="BI892" s="467" t="str">
        <f t="shared" ca="1" si="526"/>
        <v/>
      </c>
      <c r="BJ892" s="469" t="str">
        <f t="shared" si="527"/>
        <v/>
      </c>
      <c r="BK892" s="470" t="str">
        <f t="shared" si="511"/>
        <v/>
      </c>
      <c r="BL892" s="775" t="str">
        <f t="shared" si="528"/>
        <v/>
      </c>
      <c r="BM892" s="775" t="str">
        <f t="shared" si="529"/>
        <v/>
      </c>
    </row>
    <row r="893" spans="1:65">
      <c r="A893" s="473">
        <v>837</v>
      </c>
      <c r="B893" s="132"/>
      <c r="C893" s="332"/>
      <c r="D893" s="333"/>
      <c r="E893" s="333"/>
      <c r="F893" s="334"/>
      <c r="G893" s="337"/>
      <c r="H893" s="131"/>
      <c r="I893" s="337"/>
      <c r="J893" s="131"/>
      <c r="K893" s="458" t="str">
        <f t="shared" si="492"/>
        <v/>
      </c>
      <c r="L893" s="458">
        <f t="shared" si="493"/>
        <v>0</v>
      </c>
      <c r="M893" s="458">
        <f t="shared" si="494"/>
        <v>0</v>
      </c>
      <c r="N893" s="459" t="str">
        <f t="shared" si="505"/>
        <v/>
      </c>
      <c r="O893" s="459" t="str">
        <f t="shared" si="506"/>
        <v/>
      </c>
      <c r="P893" s="459" t="str">
        <f t="shared" si="507"/>
        <v/>
      </c>
      <c r="Q893" s="459" t="str">
        <f t="shared" si="508"/>
        <v/>
      </c>
      <c r="R893" s="459" t="str">
        <f t="shared" si="509"/>
        <v/>
      </c>
      <c r="S893" s="459" t="str">
        <f t="shared" si="510"/>
        <v/>
      </c>
      <c r="T893" s="566" t="str">
        <f t="shared" si="495"/>
        <v/>
      </c>
      <c r="U893" s="702"/>
      <c r="V893" s="132"/>
      <c r="W893" s="133"/>
      <c r="X893" s="134"/>
      <c r="Y893" s="135"/>
      <c r="Z893" s="137"/>
      <c r="AA893" s="136"/>
      <c r="AB893" s="566" t="str">
        <f t="shared" si="496"/>
        <v/>
      </c>
      <c r="AC893" s="568" t="str">
        <f t="shared" si="497"/>
        <v/>
      </c>
      <c r="AD893" s="137"/>
      <c r="AE893" s="137"/>
      <c r="AF893" s="138"/>
      <c r="AG893" s="138"/>
      <c r="AH893" s="592" t="str">
        <f t="shared" si="498"/>
        <v/>
      </c>
      <c r="AI893" s="592" t="str">
        <f t="shared" si="499"/>
        <v/>
      </c>
      <c r="AJ893" s="592" t="str">
        <f t="shared" si="500"/>
        <v/>
      </c>
      <c r="AK893" s="460" t="str">
        <f>IF(AU893="","",IF(OR(AZ893=8,AZ893=9),0,IF(OR(AW893=3,AW893=4,AW893=5,AW893=6),IF(LEFT(BF893,1)="1",INDEX(係数_NOX・PM低減,MATCH(AY893,【参考】排出係数!$AI$801:$AI$804,1),1),VLOOKUP(AU893,INDEX((係数_バス貨物_ガソリン,係数_バス貨物_CNG,係数_バス貨物_軽油,係数_バス貨物_メタノール,係数_バス貨物_LPG),MATCH(AY893,【参考】排出係数!$AI$4:$AI$671,1),1,BE893):INDEX((係数_バス貨物_ガソリン,係数_バス貨物_CNG,係数_バス貨物_軽油,係数_バス貨物_メタノール,係数_バス貨物_LPG),MATCH(AY893+1,【参考】排出係数!$AI$4:$AI$671,1)-1,5,BE893),4,FALSE)),IF(AND(BE893=3,LEFT(BF893,1)="1"),0.48,VLOOKUP(AU893,INDEX((係数_乗用_ガソリン,係数_乗用_CNG,係数_乗用_軽油,係数_乗用_メタノール,係数_乗用_LPG),1,1,BE893):INDEX((係数_乗用_ガソリン,係数_乗用_CNG,係数_乗用_軽油,係数_乗用_メタノール,係数_乗用_LPG),125,5,BE893),4,FALSE)))))</f>
        <v/>
      </c>
      <c r="AL893" s="461" t="str">
        <f t="shared" si="501"/>
        <v/>
      </c>
      <c r="AM893" s="460" t="str">
        <f>IF(AU893="","",IF(OR(AZ893=8,AZ893=9),0,IF(OR(AW893=3,AW893=4,AW893=5,AW893=6),IF(LEFT(BH893,1)="1",INDEX(係数_PM低減,MATCH(AY893,【参考】排出係数!$AI$801:$AI$804,1),MATCH(BI893,【参考】排出係数!$AL$798:$AO$798,1)),VLOOKUP(AU893,INDEX((係数_バス貨物_ガソリン,係数_バス貨物_CNG,係数_バス貨物_軽油,係数_バス貨物_メタノール,係数_バス貨物_LPG),MATCH(AY893,【参考】排出係数!$AI$4:$AI$671,1),1,BE893):INDEX((係数_バス貨物_ガソリン,係数_バス貨物_CNG,係数_バス貨物_軽油,係数_バス貨物_メタノール,係数_バス貨物_LPG),MATCH(AY893+1,【参考】排出係数!$AI$4:$AI$671,1)-1,5,BE893),5,FALSE)),IF(AND(BE893=3,LEFT(BF893,1)="1"),0.055,VLOOKUP(AU893,INDEX((係数_乗用_ガソリン,係数_乗用_CNG,係数_乗用_軽油,係数_乗用_メタノール,係数_乗用_LPG),1,1,BE893):INDEX((係数_乗用_ガソリン,係数_乗用_CNG,係数_乗用_軽油,係数_乗用_メタノール,係数_乗用_LPG),125,5,BE893),5,FALSE)))))</f>
        <v/>
      </c>
      <c r="AN893" s="461" t="str">
        <f t="shared" si="502"/>
        <v/>
      </c>
      <c r="AO893" s="462" t="str">
        <f t="shared" si="503"/>
        <v/>
      </c>
      <c r="AP893" s="463" t="str">
        <f t="shared" si="504"/>
        <v/>
      </c>
      <c r="AQ893" s="464"/>
      <c r="AR893" s="619"/>
      <c r="AS893" s="465" t="str">
        <f t="shared" si="512"/>
        <v/>
      </c>
      <c r="AT893" s="465" t="str">
        <f t="shared" si="513"/>
        <v/>
      </c>
      <c r="AU893" s="466" t="str">
        <f t="shared" si="514"/>
        <v/>
      </c>
      <c r="AV893" s="467" t="str">
        <f t="shared" si="515"/>
        <v/>
      </c>
      <c r="AW893" s="467" t="str">
        <f t="shared" si="516"/>
        <v/>
      </c>
      <c r="AX893" s="467" t="str">
        <f t="shared" si="517"/>
        <v/>
      </c>
      <c r="AY893" s="467" t="str">
        <f t="shared" si="518"/>
        <v/>
      </c>
      <c r="AZ893" s="467" t="str">
        <f t="shared" si="519"/>
        <v/>
      </c>
      <c r="BA893" s="468" t="str">
        <f>IF(AS893="","",IF(OR(AU893="",AU893="-"),"－",IF(OR(AZ893=8,AZ893=9),"",IF(OR(AW893=3,AW893=4,AW893=5,AW893=6),VLOOKUP(AU893,INDEX((係数_バス貨物_ガソリン,係数_バス貨物_CNG,係数_バス貨物_軽油,係数_バス貨物_メタノール,係数_バス貨物_LPG),MATCH(AY893,【参考】排出係数!$AI$4:$AI$671,1),1,BE893):INDEX((係数_バス貨物_ガソリン,係数_バス貨物_CNG,係数_バス貨物_軽油,係数_バス貨物_メタノール,係数_バス貨物_LPG),MATCH(AY893+1,【参考】排出係数!$AI$4:$AI$671,1)-1,5,BE893),2,FALSE),IF(OR(AW893=1,AW893=2),VLOOKUP(AU893,INDEX((係数_乗用_ガソリン,係数_乗用_CNG,係数_乗用_軽油,係数_乗用_メタノール,係数_乗用_LPG),1,1,BE893):INDEX((係数_乗用_ガソリン,係数_乗用_CNG,係数_乗用_軽油,係数_乗用_メタノール,係数_乗用_LPG),125,5,BE893),2,FALSE))))))</f>
        <v/>
      </c>
      <c r="BB893" s="468" t="str">
        <f>IF(T893="","",IF(OR(AU893="",AU893="-"),"－",IF(OR(AZ893=8,AZ893=9),"",IF(OR(AW893=3,AW893=4,AW893=5,AW893=6),VLOOKUP(AU893,INDEX((係数_バス貨物_ガソリン,係数_バス貨物_CNG,係数_バス貨物_軽油,係数_バス貨物_メタノール,係数_バス貨物_LPG),MATCH(AY893,【参考】排出係数!$AI$4:$AI$671,1),1,BE893):INDEX((係数_バス貨物_ガソリン,係数_バス貨物_CNG,係数_バス貨物_軽油,係数_バス貨物_メタノール,係数_バス貨物_LPG),MATCH(AY893+1,【参考】排出係数!$AI$4:$AI$671,1)-1,5,BE893),3,FALSE),IF(OR(AW893=1,AW893=2),VLOOKUP(AU893,INDEX((係数_乗用_ガソリン,係数_乗用_CNG,係数_乗用_軽油,係数_乗用_メタノール,係数_乗用_LPG),1,1,BE893):INDEX((係数_乗用_ガソリン,係数_乗用_CNG,係数_乗用_軽油,係数_乗用_メタノール,係数_乗用_LPG),125,5,BE893),3,FALSE))))))</f>
        <v/>
      </c>
      <c r="BC893" s="467" t="str">
        <f t="shared" si="520"/>
        <v/>
      </c>
      <c r="BD893" s="567" t="str">
        <f t="shared" si="521"/>
        <v/>
      </c>
      <c r="BE893" s="467" t="str">
        <f t="shared" si="522"/>
        <v/>
      </c>
      <c r="BF893" s="469" t="str">
        <f t="shared" ca="1" si="523"/>
        <v/>
      </c>
      <c r="BG893" s="469" t="str">
        <f t="shared" ca="1" si="524"/>
        <v/>
      </c>
      <c r="BH893" s="467" t="str">
        <f t="shared" si="525"/>
        <v/>
      </c>
      <c r="BI893" s="467" t="str">
        <f t="shared" ca="1" si="526"/>
        <v/>
      </c>
      <c r="BJ893" s="469" t="str">
        <f t="shared" si="527"/>
        <v/>
      </c>
      <c r="BK893" s="470" t="str">
        <f t="shared" si="511"/>
        <v/>
      </c>
      <c r="BL893" s="775" t="str">
        <f t="shared" si="528"/>
        <v/>
      </c>
      <c r="BM893" s="775" t="str">
        <f t="shared" si="529"/>
        <v/>
      </c>
    </row>
    <row r="894" spans="1:65">
      <c r="A894" s="473">
        <v>838</v>
      </c>
      <c r="B894" s="132"/>
      <c r="C894" s="332"/>
      <c r="D894" s="333"/>
      <c r="E894" s="333"/>
      <c r="F894" s="334"/>
      <c r="G894" s="337"/>
      <c r="H894" s="131"/>
      <c r="I894" s="337"/>
      <c r="J894" s="131"/>
      <c r="K894" s="458" t="str">
        <f t="shared" si="492"/>
        <v/>
      </c>
      <c r="L894" s="458">
        <f t="shared" si="493"/>
        <v>0</v>
      </c>
      <c r="M894" s="458">
        <f t="shared" si="494"/>
        <v>0</v>
      </c>
      <c r="N894" s="459" t="str">
        <f t="shared" si="505"/>
        <v/>
      </c>
      <c r="O894" s="459" t="str">
        <f t="shared" si="506"/>
        <v/>
      </c>
      <c r="P894" s="459" t="str">
        <f t="shared" si="507"/>
        <v/>
      </c>
      <c r="Q894" s="459" t="str">
        <f t="shared" si="508"/>
        <v/>
      </c>
      <c r="R894" s="459" t="str">
        <f t="shared" si="509"/>
        <v/>
      </c>
      <c r="S894" s="459" t="str">
        <f t="shared" si="510"/>
        <v/>
      </c>
      <c r="T894" s="566" t="str">
        <f t="shared" si="495"/>
        <v/>
      </c>
      <c r="U894" s="702"/>
      <c r="V894" s="132"/>
      <c r="W894" s="133"/>
      <c r="X894" s="134"/>
      <c r="Y894" s="135"/>
      <c r="Z894" s="137"/>
      <c r="AA894" s="136"/>
      <c r="AB894" s="566" t="str">
        <f t="shared" si="496"/>
        <v/>
      </c>
      <c r="AC894" s="568" t="str">
        <f t="shared" si="497"/>
        <v/>
      </c>
      <c r="AD894" s="137"/>
      <c r="AE894" s="137"/>
      <c r="AF894" s="138"/>
      <c r="AG894" s="138"/>
      <c r="AH894" s="592" t="str">
        <f t="shared" si="498"/>
        <v/>
      </c>
      <c r="AI894" s="592" t="str">
        <f t="shared" si="499"/>
        <v/>
      </c>
      <c r="AJ894" s="592" t="str">
        <f t="shared" si="500"/>
        <v/>
      </c>
      <c r="AK894" s="460" t="str">
        <f>IF(AU894="","",IF(OR(AZ894=8,AZ894=9),0,IF(OR(AW894=3,AW894=4,AW894=5,AW894=6),IF(LEFT(BF894,1)="1",INDEX(係数_NOX・PM低減,MATCH(AY894,【参考】排出係数!$AI$801:$AI$804,1),1),VLOOKUP(AU894,INDEX((係数_バス貨物_ガソリン,係数_バス貨物_CNG,係数_バス貨物_軽油,係数_バス貨物_メタノール,係数_バス貨物_LPG),MATCH(AY894,【参考】排出係数!$AI$4:$AI$671,1),1,BE894):INDEX((係数_バス貨物_ガソリン,係数_バス貨物_CNG,係数_バス貨物_軽油,係数_バス貨物_メタノール,係数_バス貨物_LPG),MATCH(AY894+1,【参考】排出係数!$AI$4:$AI$671,1)-1,5,BE894),4,FALSE)),IF(AND(BE894=3,LEFT(BF894,1)="1"),0.48,VLOOKUP(AU894,INDEX((係数_乗用_ガソリン,係数_乗用_CNG,係数_乗用_軽油,係数_乗用_メタノール,係数_乗用_LPG),1,1,BE894):INDEX((係数_乗用_ガソリン,係数_乗用_CNG,係数_乗用_軽油,係数_乗用_メタノール,係数_乗用_LPG),125,5,BE894),4,FALSE)))))</f>
        <v/>
      </c>
      <c r="AL894" s="461" t="str">
        <f t="shared" si="501"/>
        <v/>
      </c>
      <c r="AM894" s="460" t="str">
        <f>IF(AU894="","",IF(OR(AZ894=8,AZ894=9),0,IF(OR(AW894=3,AW894=4,AW894=5,AW894=6),IF(LEFT(BH894,1)="1",INDEX(係数_PM低減,MATCH(AY894,【参考】排出係数!$AI$801:$AI$804,1),MATCH(BI894,【参考】排出係数!$AL$798:$AO$798,1)),VLOOKUP(AU894,INDEX((係数_バス貨物_ガソリン,係数_バス貨物_CNG,係数_バス貨物_軽油,係数_バス貨物_メタノール,係数_バス貨物_LPG),MATCH(AY894,【参考】排出係数!$AI$4:$AI$671,1),1,BE894):INDEX((係数_バス貨物_ガソリン,係数_バス貨物_CNG,係数_バス貨物_軽油,係数_バス貨物_メタノール,係数_バス貨物_LPG),MATCH(AY894+1,【参考】排出係数!$AI$4:$AI$671,1)-1,5,BE894),5,FALSE)),IF(AND(BE894=3,LEFT(BF894,1)="1"),0.055,VLOOKUP(AU894,INDEX((係数_乗用_ガソリン,係数_乗用_CNG,係数_乗用_軽油,係数_乗用_メタノール,係数_乗用_LPG),1,1,BE894):INDEX((係数_乗用_ガソリン,係数_乗用_CNG,係数_乗用_軽油,係数_乗用_メタノール,係数_乗用_LPG),125,5,BE894),5,FALSE)))))</f>
        <v/>
      </c>
      <c r="AN894" s="461" t="str">
        <f t="shared" si="502"/>
        <v/>
      </c>
      <c r="AO894" s="462" t="str">
        <f t="shared" si="503"/>
        <v/>
      </c>
      <c r="AP894" s="463" t="str">
        <f t="shared" si="504"/>
        <v/>
      </c>
      <c r="AQ894" s="464"/>
      <c r="AR894" s="619"/>
      <c r="AS894" s="465" t="str">
        <f t="shared" si="512"/>
        <v/>
      </c>
      <c r="AT894" s="465" t="str">
        <f t="shared" si="513"/>
        <v/>
      </c>
      <c r="AU894" s="466" t="str">
        <f t="shared" si="514"/>
        <v/>
      </c>
      <c r="AV894" s="467" t="str">
        <f t="shared" si="515"/>
        <v/>
      </c>
      <c r="AW894" s="467" t="str">
        <f t="shared" si="516"/>
        <v/>
      </c>
      <c r="AX894" s="467" t="str">
        <f t="shared" si="517"/>
        <v/>
      </c>
      <c r="AY894" s="467" t="str">
        <f t="shared" si="518"/>
        <v/>
      </c>
      <c r="AZ894" s="467" t="str">
        <f t="shared" si="519"/>
        <v/>
      </c>
      <c r="BA894" s="468" t="str">
        <f>IF(AS894="","",IF(OR(AU894="",AU894="-"),"－",IF(OR(AZ894=8,AZ894=9),"",IF(OR(AW894=3,AW894=4,AW894=5,AW894=6),VLOOKUP(AU894,INDEX((係数_バス貨物_ガソリン,係数_バス貨物_CNG,係数_バス貨物_軽油,係数_バス貨物_メタノール,係数_バス貨物_LPG),MATCH(AY894,【参考】排出係数!$AI$4:$AI$671,1),1,BE894):INDEX((係数_バス貨物_ガソリン,係数_バス貨物_CNG,係数_バス貨物_軽油,係数_バス貨物_メタノール,係数_バス貨物_LPG),MATCH(AY894+1,【参考】排出係数!$AI$4:$AI$671,1)-1,5,BE894),2,FALSE),IF(OR(AW894=1,AW894=2),VLOOKUP(AU894,INDEX((係数_乗用_ガソリン,係数_乗用_CNG,係数_乗用_軽油,係数_乗用_メタノール,係数_乗用_LPG),1,1,BE894):INDEX((係数_乗用_ガソリン,係数_乗用_CNG,係数_乗用_軽油,係数_乗用_メタノール,係数_乗用_LPG),125,5,BE894),2,FALSE))))))</f>
        <v/>
      </c>
      <c r="BB894" s="468" t="str">
        <f>IF(T894="","",IF(OR(AU894="",AU894="-"),"－",IF(OR(AZ894=8,AZ894=9),"",IF(OR(AW894=3,AW894=4,AW894=5,AW894=6),VLOOKUP(AU894,INDEX((係数_バス貨物_ガソリン,係数_バス貨物_CNG,係数_バス貨物_軽油,係数_バス貨物_メタノール,係数_バス貨物_LPG),MATCH(AY894,【参考】排出係数!$AI$4:$AI$671,1),1,BE894):INDEX((係数_バス貨物_ガソリン,係数_バス貨物_CNG,係数_バス貨物_軽油,係数_バス貨物_メタノール,係数_バス貨物_LPG),MATCH(AY894+1,【参考】排出係数!$AI$4:$AI$671,1)-1,5,BE894),3,FALSE),IF(OR(AW894=1,AW894=2),VLOOKUP(AU894,INDEX((係数_乗用_ガソリン,係数_乗用_CNG,係数_乗用_軽油,係数_乗用_メタノール,係数_乗用_LPG),1,1,BE894):INDEX((係数_乗用_ガソリン,係数_乗用_CNG,係数_乗用_軽油,係数_乗用_メタノール,係数_乗用_LPG),125,5,BE894),3,FALSE))))))</f>
        <v/>
      </c>
      <c r="BC894" s="467" t="str">
        <f t="shared" si="520"/>
        <v/>
      </c>
      <c r="BD894" s="567" t="str">
        <f t="shared" si="521"/>
        <v/>
      </c>
      <c r="BE894" s="467" t="str">
        <f t="shared" si="522"/>
        <v/>
      </c>
      <c r="BF894" s="469" t="str">
        <f t="shared" ca="1" si="523"/>
        <v/>
      </c>
      <c r="BG894" s="469" t="str">
        <f t="shared" ca="1" si="524"/>
        <v/>
      </c>
      <c r="BH894" s="467" t="str">
        <f t="shared" si="525"/>
        <v/>
      </c>
      <c r="BI894" s="467" t="str">
        <f t="shared" ca="1" si="526"/>
        <v/>
      </c>
      <c r="BJ894" s="469" t="str">
        <f t="shared" si="527"/>
        <v/>
      </c>
      <c r="BK894" s="470" t="str">
        <f t="shared" si="511"/>
        <v/>
      </c>
      <c r="BL894" s="775" t="str">
        <f t="shared" si="528"/>
        <v/>
      </c>
      <c r="BM894" s="775" t="str">
        <f t="shared" si="529"/>
        <v/>
      </c>
    </row>
    <row r="895" spans="1:65">
      <c r="A895" s="473">
        <v>839</v>
      </c>
      <c r="B895" s="132"/>
      <c r="C895" s="332"/>
      <c r="D895" s="333"/>
      <c r="E895" s="333"/>
      <c r="F895" s="334"/>
      <c r="G895" s="337"/>
      <c r="H895" s="131"/>
      <c r="I895" s="337"/>
      <c r="J895" s="131"/>
      <c r="K895" s="458" t="str">
        <f t="shared" si="492"/>
        <v/>
      </c>
      <c r="L895" s="458">
        <f t="shared" si="493"/>
        <v>0</v>
      </c>
      <c r="M895" s="458">
        <f t="shared" si="494"/>
        <v>0</v>
      </c>
      <c r="N895" s="459" t="str">
        <f t="shared" si="505"/>
        <v/>
      </c>
      <c r="O895" s="459" t="str">
        <f t="shared" si="506"/>
        <v/>
      </c>
      <c r="P895" s="459" t="str">
        <f t="shared" si="507"/>
        <v/>
      </c>
      <c r="Q895" s="459" t="str">
        <f t="shared" si="508"/>
        <v/>
      </c>
      <c r="R895" s="459" t="str">
        <f t="shared" si="509"/>
        <v/>
      </c>
      <c r="S895" s="459" t="str">
        <f t="shared" si="510"/>
        <v/>
      </c>
      <c r="T895" s="566" t="str">
        <f t="shared" si="495"/>
        <v/>
      </c>
      <c r="U895" s="702"/>
      <c r="V895" s="132"/>
      <c r="W895" s="133"/>
      <c r="X895" s="134"/>
      <c r="Y895" s="135"/>
      <c r="Z895" s="137"/>
      <c r="AA895" s="136"/>
      <c r="AB895" s="566" t="str">
        <f t="shared" si="496"/>
        <v/>
      </c>
      <c r="AC895" s="568" t="str">
        <f t="shared" si="497"/>
        <v/>
      </c>
      <c r="AD895" s="137"/>
      <c r="AE895" s="137"/>
      <c r="AF895" s="138"/>
      <c r="AG895" s="138"/>
      <c r="AH895" s="592" t="str">
        <f t="shared" si="498"/>
        <v/>
      </c>
      <c r="AI895" s="592" t="str">
        <f t="shared" si="499"/>
        <v/>
      </c>
      <c r="AJ895" s="592" t="str">
        <f t="shared" si="500"/>
        <v/>
      </c>
      <c r="AK895" s="460" t="str">
        <f>IF(AU895="","",IF(OR(AZ895=8,AZ895=9),0,IF(OR(AW895=3,AW895=4,AW895=5,AW895=6),IF(LEFT(BF895,1)="1",INDEX(係数_NOX・PM低減,MATCH(AY895,【参考】排出係数!$AI$801:$AI$804,1),1),VLOOKUP(AU895,INDEX((係数_バス貨物_ガソリン,係数_バス貨物_CNG,係数_バス貨物_軽油,係数_バス貨物_メタノール,係数_バス貨物_LPG),MATCH(AY895,【参考】排出係数!$AI$4:$AI$671,1),1,BE895):INDEX((係数_バス貨物_ガソリン,係数_バス貨物_CNG,係数_バス貨物_軽油,係数_バス貨物_メタノール,係数_バス貨物_LPG),MATCH(AY895+1,【参考】排出係数!$AI$4:$AI$671,1)-1,5,BE895),4,FALSE)),IF(AND(BE895=3,LEFT(BF895,1)="1"),0.48,VLOOKUP(AU895,INDEX((係数_乗用_ガソリン,係数_乗用_CNG,係数_乗用_軽油,係数_乗用_メタノール,係数_乗用_LPG),1,1,BE895):INDEX((係数_乗用_ガソリン,係数_乗用_CNG,係数_乗用_軽油,係数_乗用_メタノール,係数_乗用_LPG),125,5,BE895),4,FALSE)))))</f>
        <v/>
      </c>
      <c r="AL895" s="461" t="str">
        <f t="shared" si="501"/>
        <v/>
      </c>
      <c r="AM895" s="460" t="str">
        <f>IF(AU895="","",IF(OR(AZ895=8,AZ895=9),0,IF(OR(AW895=3,AW895=4,AW895=5,AW895=6),IF(LEFT(BH895,1)="1",INDEX(係数_PM低減,MATCH(AY895,【参考】排出係数!$AI$801:$AI$804,1),MATCH(BI895,【参考】排出係数!$AL$798:$AO$798,1)),VLOOKUP(AU895,INDEX((係数_バス貨物_ガソリン,係数_バス貨物_CNG,係数_バス貨物_軽油,係数_バス貨物_メタノール,係数_バス貨物_LPG),MATCH(AY895,【参考】排出係数!$AI$4:$AI$671,1),1,BE895):INDEX((係数_バス貨物_ガソリン,係数_バス貨物_CNG,係数_バス貨物_軽油,係数_バス貨物_メタノール,係数_バス貨物_LPG),MATCH(AY895+1,【参考】排出係数!$AI$4:$AI$671,1)-1,5,BE895),5,FALSE)),IF(AND(BE895=3,LEFT(BF895,1)="1"),0.055,VLOOKUP(AU895,INDEX((係数_乗用_ガソリン,係数_乗用_CNG,係数_乗用_軽油,係数_乗用_メタノール,係数_乗用_LPG),1,1,BE895):INDEX((係数_乗用_ガソリン,係数_乗用_CNG,係数_乗用_軽油,係数_乗用_メタノール,係数_乗用_LPG),125,5,BE895),5,FALSE)))))</f>
        <v/>
      </c>
      <c r="AN895" s="461" t="str">
        <f t="shared" si="502"/>
        <v/>
      </c>
      <c r="AO895" s="462" t="str">
        <f t="shared" si="503"/>
        <v/>
      </c>
      <c r="AP895" s="463" t="str">
        <f t="shared" si="504"/>
        <v/>
      </c>
      <c r="AQ895" s="464"/>
      <c r="AR895" s="619"/>
      <c r="AS895" s="465" t="str">
        <f t="shared" si="512"/>
        <v/>
      </c>
      <c r="AT895" s="465" t="str">
        <f t="shared" si="513"/>
        <v/>
      </c>
      <c r="AU895" s="466" t="str">
        <f t="shared" si="514"/>
        <v/>
      </c>
      <c r="AV895" s="467" t="str">
        <f t="shared" si="515"/>
        <v/>
      </c>
      <c r="AW895" s="467" t="str">
        <f t="shared" si="516"/>
        <v/>
      </c>
      <c r="AX895" s="467" t="str">
        <f t="shared" si="517"/>
        <v/>
      </c>
      <c r="AY895" s="467" t="str">
        <f t="shared" si="518"/>
        <v/>
      </c>
      <c r="AZ895" s="467" t="str">
        <f t="shared" si="519"/>
        <v/>
      </c>
      <c r="BA895" s="468" t="str">
        <f>IF(AS895="","",IF(OR(AU895="",AU895="-"),"－",IF(OR(AZ895=8,AZ895=9),"",IF(OR(AW895=3,AW895=4,AW895=5,AW895=6),VLOOKUP(AU895,INDEX((係数_バス貨物_ガソリン,係数_バス貨物_CNG,係数_バス貨物_軽油,係数_バス貨物_メタノール,係数_バス貨物_LPG),MATCH(AY895,【参考】排出係数!$AI$4:$AI$671,1),1,BE895):INDEX((係数_バス貨物_ガソリン,係数_バス貨物_CNG,係数_バス貨物_軽油,係数_バス貨物_メタノール,係数_バス貨物_LPG),MATCH(AY895+1,【参考】排出係数!$AI$4:$AI$671,1)-1,5,BE895),2,FALSE),IF(OR(AW895=1,AW895=2),VLOOKUP(AU895,INDEX((係数_乗用_ガソリン,係数_乗用_CNG,係数_乗用_軽油,係数_乗用_メタノール,係数_乗用_LPG),1,1,BE895):INDEX((係数_乗用_ガソリン,係数_乗用_CNG,係数_乗用_軽油,係数_乗用_メタノール,係数_乗用_LPG),125,5,BE895),2,FALSE))))))</f>
        <v/>
      </c>
      <c r="BB895" s="468" t="str">
        <f>IF(T895="","",IF(OR(AU895="",AU895="-"),"－",IF(OR(AZ895=8,AZ895=9),"",IF(OR(AW895=3,AW895=4,AW895=5,AW895=6),VLOOKUP(AU895,INDEX((係数_バス貨物_ガソリン,係数_バス貨物_CNG,係数_バス貨物_軽油,係数_バス貨物_メタノール,係数_バス貨物_LPG),MATCH(AY895,【参考】排出係数!$AI$4:$AI$671,1),1,BE895):INDEX((係数_バス貨物_ガソリン,係数_バス貨物_CNG,係数_バス貨物_軽油,係数_バス貨物_メタノール,係数_バス貨物_LPG),MATCH(AY895+1,【参考】排出係数!$AI$4:$AI$671,1)-1,5,BE895),3,FALSE),IF(OR(AW895=1,AW895=2),VLOOKUP(AU895,INDEX((係数_乗用_ガソリン,係数_乗用_CNG,係数_乗用_軽油,係数_乗用_メタノール,係数_乗用_LPG),1,1,BE895):INDEX((係数_乗用_ガソリン,係数_乗用_CNG,係数_乗用_軽油,係数_乗用_メタノール,係数_乗用_LPG),125,5,BE895),3,FALSE))))))</f>
        <v/>
      </c>
      <c r="BC895" s="467" t="str">
        <f t="shared" si="520"/>
        <v/>
      </c>
      <c r="BD895" s="567" t="str">
        <f t="shared" si="521"/>
        <v/>
      </c>
      <c r="BE895" s="467" t="str">
        <f t="shared" si="522"/>
        <v/>
      </c>
      <c r="BF895" s="469" t="str">
        <f t="shared" ca="1" si="523"/>
        <v/>
      </c>
      <c r="BG895" s="469" t="str">
        <f t="shared" ca="1" si="524"/>
        <v/>
      </c>
      <c r="BH895" s="467" t="str">
        <f t="shared" si="525"/>
        <v/>
      </c>
      <c r="BI895" s="467" t="str">
        <f t="shared" ca="1" si="526"/>
        <v/>
      </c>
      <c r="BJ895" s="469" t="str">
        <f t="shared" si="527"/>
        <v/>
      </c>
      <c r="BK895" s="470" t="str">
        <f t="shared" si="511"/>
        <v/>
      </c>
      <c r="BL895" s="775" t="str">
        <f t="shared" si="528"/>
        <v/>
      </c>
      <c r="BM895" s="775" t="str">
        <f t="shared" si="529"/>
        <v/>
      </c>
    </row>
    <row r="896" spans="1:65">
      <c r="A896" s="473">
        <v>840</v>
      </c>
      <c r="B896" s="132"/>
      <c r="C896" s="332"/>
      <c r="D896" s="333"/>
      <c r="E896" s="333"/>
      <c r="F896" s="334"/>
      <c r="G896" s="337"/>
      <c r="H896" s="131"/>
      <c r="I896" s="337"/>
      <c r="J896" s="131"/>
      <c r="K896" s="458" t="str">
        <f t="shared" si="492"/>
        <v/>
      </c>
      <c r="L896" s="458">
        <f t="shared" si="493"/>
        <v>0</v>
      </c>
      <c r="M896" s="458">
        <f t="shared" si="494"/>
        <v>0</v>
      </c>
      <c r="N896" s="459" t="str">
        <f t="shared" si="505"/>
        <v/>
      </c>
      <c r="O896" s="459" t="str">
        <f t="shared" si="506"/>
        <v/>
      </c>
      <c r="P896" s="459" t="str">
        <f t="shared" si="507"/>
        <v/>
      </c>
      <c r="Q896" s="459" t="str">
        <f t="shared" si="508"/>
        <v/>
      </c>
      <c r="R896" s="459" t="str">
        <f t="shared" si="509"/>
        <v/>
      </c>
      <c r="S896" s="459" t="str">
        <f t="shared" si="510"/>
        <v/>
      </c>
      <c r="T896" s="566" t="str">
        <f t="shared" si="495"/>
        <v/>
      </c>
      <c r="U896" s="702"/>
      <c r="V896" s="132"/>
      <c r="W896" s="133"/>
      <c r="X896" s="134"/>
      <c r="Y896" s="135"/>
      <c r="Z896" s="137"/>
      <c r="AA896" s="136"/>
      <c r="AB896" s="566" t="str">
        <f t="shared" si="496"/>
        <v/>
      </c>
      <c r="AC896" s="568" t="str">
        <f t="shared" si="497"/>
        <v/>
      </c>
      <c r="AD896" s="137"/>
      <c r="AE896" s="137"/>
      <c r="AF896" s="138"/>
      <c r="AG896" s="138"/>
      <c r="AH896" s="592" t="str">
        <f t="shared" si="498"/>
        <v/>
      </c>
      <c r="AI896" s="592" t="str">
        <f t="shared" si="499"/>
        <v/>
      </c>
      <c r="AJ896" s="592" t="str">
        <f t="shared" si="500"/>
        <v/>
      </c>
      <c r="AK896" s="460" t="str">
        <f>IF(AU896="","",IF(OR(AZ896=8,AZ896=9),0,IF(OR(AW896=3,AW896=4,AW896=5,AW896=6),IF(LEFT(BF896,1)="1",INDEX(係数_NOX・PM低減,MATCH(AY896,【参考】排出係数!$AI$801:$AI$804,1),1),VLOOKUP(AU896,INDEX((係数_バス貨物_ガソリン,係数_バス貨物_CNG,係数_バス貨物_軽油,係数_バス貨物_メタノール,係数_バス貨物_LPG),MATCH(AY896,【参考】排出係数!$AI$4:$AI$671,1),1,BE896):INDEX((係数_バス貨物_ガソリン,係数_バス貨物_CNG,係数_バス貨物_軽油,係数_バス貨物_メタノール,係数_バス貨物_LPG),MATCH(AY896+1,【参考】排出係数!$AI$4:$AI$671,1)-1,5,BE896),4,FALSE)),IF(AND(BE896=3,LEFT(BF896,1)="1"),0.48,VLOOKUP(AU896,INDEX((係数_乗用_ガソリン,係数_乗用_CNG,係数_乗用_軽油,係数_乗用_メタノール,係数_乗用_LPG),1,1,BE896):INDEX((係数_乗用_ガソリン,係数_乗用_CNG,係数_乗用_軽油,係数_乗用_メタノール,係数_乗用_LPG),125,5,BE896),4,FALSE)))))</f>
        <v/>
      </c>
      <c r="AL896" s="461" t="str">
        <f t="shared" si="501"/>
        <v/>
      </c>
      <c r="AM896" s="460" t="str">
        <f>IF(AU896="","",IF(OR(AZ896=8,AZ896=9),0,IF(OR(AW896=3,AW896=4,AW896=5,AW896=6),IF(LEFT(BH896,1)="1",INDEX(係数_PM低減,MATCH(AY896,【参考】排出係数!$AI$801:$AI$804,1),MATCH(BI896,【参考】排出係数!$AL$798:$AO$798,1)),VLOOKUP(AU896,INDEX((係数_バス貨物_ガソリン,係数_バス貨物_CNG,係数_バス貨物_軽油,係数_バス貨物_メタノール,係数_バス貨物_LPG),MATCH(AY896,【参考】排出係数!$AI$4:$AI$671,1),1,BE896):INDEX((係数_バス貨物_ガソリン,係数_バス貨物_CNG,係数_バス貨物_軽油,係数_バス貨物_メタノール,係数_バス貨物_LPG),MATCH(AY896+1,【参考】排出係数!$AI$4:$AI$671,1)-1,5,BE896),5,FALSE)),IF(AND(BE896=3,LEFT(BF896,1)="1"),0.055,VLOOKUP(AU896,INDEX((係数_乗用_ガソリン,係数_乗用_CNG,係数_乗用_軽油,係数_乗用_メタノール,係数_乗用_LPG),1,1,BE896):INDEX((係数_乗用_ガソリン,係数_乗用_CNG,係数_乗用_軽油,係数_乗用_メタノール,係数_乗用_LPG),125,5,BE896),5,FALSE)))))</f>
        <v/>
      </c>
      <c r="AN896" s="461" t="str">
        <f t="shared" si="502"/>
        <v/>
      </c>
      <c r="AO896" s="462" t="str">
        <f t="shared" si="503"/>
        <v/>
      </c>
      <c r="AP896" s="463" t="str">
        <f t="shared" si="504"/>
        <v/>
      </c>
      <c r="AQ896" s="464"/>
      <c r="AR896" s="619"/>
      <c r="AS896" s="465" t="str">
        <f t="shared" si="512"/>
        <v/>
      </c>
      <c r="AT896" s="465" t="str">
        <f t="shared" si="513"/>
        <v/>
      </c>
      <c r="AU896" s="466" t="str">
        <f t="shared" si="514"/>
        <v/>
      </c>
      <c r="AV896" s="467" t="str">
        <f t="shared" si="515"/>
        <v/>
      </c>
      <c r="AW896" s="467" t="str">
        <f t="shared" si="516"/>
        <v/>
      </c>
      <c r="AX896" s="467" t="str">
        <f t="shared" si="517"/>
        <v/>
      </c>
      <c r="AY896" s="467" t="str">
        <f t="shared" si="518"/>
        <v/>
      </c>
      <c r="AZ896" s="467" t="str">
        <f t="shared" si="519"/>
        <v/>
      </c>
      <c r="BA896" s="468" t="str">
        <f>IF(AS896="","",IF(OR(AU896="",AU896="-"),"－",IF(OR(AZ896=8,AZ896=9),"",IF(OR(AW896=3,AW896=4,AW896=5,AW896=6),VLOOKUP(AU896,INDEX((係数_バス貨物_ガソリン,係数_バス貨物_CNG,係数_バス貨物_軽油,係数_バス貨物_メタノール,係数_バス貨物_LPG),MATCH(AY896,【参考】排出係数!$AI$4:$AI$671,1),1,BE896):INDEX((係数_バス貨物_ガソリン,係数_バス貨物_CNG,係数_バス貨物_軽油,係数_バス貨物_メタノール,係数_バス貨物_LPG),MATCH(AY896+1,【参考】排出係数!$AI$4:$AI$671,1)-1,5,BE896),2,FALSE),IF(OR(AW896=1,AW896=2),VLOOKUP(AU896,INDEX((係数_乗用_ガソリン,係数_乗用_CNG,係数_乗用_軽油,係数_乗用_メタノール,係数_乗用_LPG),1,1,BE896):INDEX((係数_乗用_ガソリン,係数_乗用_CNG,係数_乗用_軽油,係数_乗用_メタノール,係数_乗用_LPG),125,5,BE896),2,FALSE))))))</f>
        <v/>
      </c>
      <c r="BB896" s="468" t="str">
        <f>IF(T896="","",IF(OR(AU896="",AU896="-"),"－",IF(OR(AZ896=8,AZ896=9),"",IF(OR(AW896=3,AW896=4,AW896=5,AW896=6),VLOOKUP(AU896,INDEX((係数_バス貨物_ガソリン,係数_バス貨物_CNG,係数_バス貨物_軽油,係数_バス貨物_メタノール,係数_バス貨物_LPG),MATCH(AY896,【参考】排出係数!$AI$4:$AI$671,1),1,BE896):INDEX((係数_バス貨物_ガソリン,係数_バス貨物_CNG,係数_バス貨物_軽油,係数_バス貨物_メタノール,係数_バス貨物_LPG),MATCH(AY896+1,【参考】排出係数!$AI$4:$AI$671,1)-1,5,BE896),3,FALSE),IF(OR(AW896=1,AW896=2),VLOOKUP(AU896,INDEX((係数_乗用_ガソリン,係数_乗用_CNG,係数_乗用_軽油,係数_乗用_メタノール,係数_乗用_LPG),1,1,BE896):INDEX((係数_乗用_ガソリン,係数_乗用_CNG,係数_乗用_軽油,係数_乗用_メタノール,係数_乗用_LPG),125,5,BE896),3,FALSE))))))</f>
        <v/>
      </c>
      <c r="BC896" s="467" t="str">
        <f t="shared" si="520"/>
        <v/>
      </c>
      <c r="BD896" s="567" t="str">
        <f t="shared" si="521"/>
        <v/>
      </c>
      <c r="BE896" s="467" t="str">
        <f t="shared" si="522"/>
        <v/>
      </c>
      <c r="BF896" s="469" t="str">
        <f t="shared" ca="1" si="523"/>
        <v/>
      </c>
      <c r="BG896" s="469" t="str">
        <f t="shared" ca="1" si="524"/>
        <v/>
      </c>
      <c r="BH896" s="467" t="str">
        <f t="shared" si="525"/>
        <v/>
      </c>
      <c r="BI896" s="467" t="str">
        <f t="shared" ca="1" si="526"/>
        <v/>
      </c>
      <c r="BJ896" s="469" t="str">
        <f t="shared" si="527"/>
        <v/>
      </c>
      <c r="BK896" s="470" t="str">
        <f t="shared" si="511"/>
        <v/>
      </c>
      <c r="BL896" s="775" t="str">
        <f t="shared" si="528"/>
        <v/>
      </c>
      <c r="BM896" s="775" t="str">
        <f t="shared" si="529"/>
        <v/>
      </c>
    </row>
    <row r="897" spans="1:65">
      <c r="A897" s="473">
        <v>841</v>
      </c>
      <c r="B897" s="132"/>
      <c r="C897" s="332"/>
      <c r="D897" s="333"/>
      <c r="E897" s="333"/>
      <c r="F897" s="334"/>
      <c r="G897" s="337"/>
      <c r="H897" s="131"/>
      <c r="I897" s="337"/>
      <c r="J897" s="131"/>
      <c r="K897" s="458" t="str">
        <f t="shared" si="492"/>
        <v/>
      </c>
      <c r="L897" s="458">
        <f t="shared" si="493"/>
        <v>0</v>
      </c>
      <c r="M897" s="458">
        <f t="shared" si="494"/>
        <v>0</v>
      </c>
      <c r="N897" s="459" t="str">
        <f t="shared" si="505"/>
        <v/>
      </c>
      <c r="O897" s="459" t="str">
        <f t="shared" si="506"/>
        <v/>
      </c>
      <c r="P897" s="459" t="str">
        <f t="shared" si="507"/>
        <v/>
      </c>
      <c r="Q897" s="459" t="str">
        <f t="shared" si="508"/>
        <v/>
      </c>
      <c r="R897" s="459" t="str">
        <f t="shared" si="509"/>
        <v/>
      </c>
      <c r="S897" s="459" t="str">
        <f t="shared" si="510"/>
        <v/>
      </c>
      <c r="T897" s="566" t="str">
        <f t="shared" si="495"/>
        <v/>
      </c>
      <c r="U897" s="702"/>
      <c r="V897" s="132"/>
      <c r="W897" s="133"/>
      <c r="X897" s="134"/>
      <c r="Y897" s="135"/>
      <c r="Z897" s="137"/>
      <c r="AA897" s="136"/>
      <c r="AB897" s="566" t="str">
        <f t="shared" si="496"/>
        <v/>
      </c>
      <c r="AC897" s="568" t="str">
        <f t="shared" si="497"/>
        <v/>
      </c>
      <c r="AD897" s="137"/>
      <c r="AE897" s="137"/>
      <c r="AF897" s="138"/>
      <c r="AG897" s="138"/>
      <c r="AH897" s="592" t="str">
        <f t="shared" si="498"/>
        <v/>
      </c>
      <c r="AI897" s="592" t="str">
        <f t="shared" si="499"/>
        <v/>
      </c>
      <c r="AJ897" s="592" t="str">
        <f t="shared" si="500"/>
        <v/>
      </c>
      <c r="AK897" s="460" t="str">
        <f>IF(AU897="","",IF(OR(AZ897=8,AZ897=9),0,IF(OR(AW897=3,AW897=4,AW897=5,AW897=6),IF(LEFT(BF897,1)="1",INDEX(係数_NOX・PM低減,MATCH(AY897,【参考】排出係数!$AI$801:$AI$804,1),1),VLOOKUP(AU897,INDEX((係数_バス貨物_ガソリン,係数_バス貨物_CNG,係数_バス貨物_軽油,係数_バス貨物_メタノール,係数_バス貨物_LPG),MATCH(AY897,【参考】排出係数!$AI$4:$AI$671,1),1,BE897):INDEX((係数_バス貨物_ガソリン,係数_バス貨物_CNG,係数_バス貨物_軽油,係数_バス貨物_メタノール,係数_バス貨物_LPG),MATCH(AY897+1,【参考】排出係数!$AI$4:$AI$671,1)-1,5,BE897),4,FALSE)),IF(AND(BE897=3,LEFT(BF897,1)="1"),0.48,VLOOKUP(AU897,INDEX((係数_乗用_ガソリン,係数_乗用_CNG,係数_乗用_軽油,係数_乗用_メタノール,係数_乗用_LPG),1,1,BE897):INDEX((係数_乗用_ガソリン,係数_乗用_CNG,係数_乗用_軽油,係数_乗用_メタノール,係数_乗用_LPG),125,5,BE897),4,FALSE)))))</f>
        <v/>
      </c>
      <c r="AL897" s="461" t="str">
        <f t="shared" si="501"/>
        <v/>
      </c>
      <c r="AM897" s="460" t="str">
        <f>IF(AU897="","",IF(OR(AZ897=8,AZ897=9),0,IF(OR(AW897=3,AW897=4,AW897=5,AW897=6),IF(LEFT(BH897,1)="1",INDEX(係数_PM低減,MATCH(AY897,【参考】排出係数!$AI$801:$AI$804,1),MATCH(BI897,【参考】排出係数!$AL$798:$AO$798,1)),VLOOKUP(AU897,INDEX((係数_バス貨物_ガソリン,係数_バス貨物_CNG,係数_バス貨物_軽油,係数_バス貨物_メタノール,係数_バス貨物_LPG),MATCH(AY897,【参考】排出係数!$AI$4:$AI$671,1),1,BE897):INDEX((係数_バス貨物_ガソリン,係数_バス貨物_CNG,係数_バス貨物_軽油,係数_バス貨物_メタノール,係数_バス貨物_LPG),MATCH(AY897+1,【参考】排出係数!$AI$4:$AI$671,1)-1,5,BE897),5,FALSE)),IF(AND(BE897=3,LEFT(BF897,1)="1"),0.055,VLOOKUP(AU897,INDEX((係数_乗用_ガソリン,係数_乗用_CNG,係数_乗用_軽油,係数_乗用_メタノール,係数_乗用_LPG),1,1,BE897):INDEX((係数_乗用_ガソリン,係数_乗用_CNG,係数_乗用_軽油,係数_乗用_メタノール,係数_乗用_LPG),125,5,BE897),5,FALSE)))))</f>
        <v/>
      </c>
      <c r="AN897" s="461" t="str">
        <f t="shared" si="502"/>
        <v/>
      </c>
      <c r="AO897" s="462" t="str">
        <f t="shared" si="503"/>
        <v/>
      </c>
      <c r="AP897" s="463" t="str">
        <f t="shared" si="504"/>
        <v/>
      </c>
      <c r="AQ897" s="464"/>
      <c r="AR897" s="619"/>
      <c r="AS897" s="465" t="str">
        <f t="shared" si="512"/>
        <v/>
      </c>
      <c r="AT897" s="465" t="str">
        <f t="shared" si="513"/>
        <v/>
      </c>
      <c r="AU897" s="466" t="str">
        <f t="shared" si="514"/>
        <v/>
      </c>
      <c r="AV897" s="467" t="str">
        <f t="shared" si="515"/>
        <v/>
      </c>
      <c r="AW897" s="467" t="str">
        <f t="shared" si="516"/>
        <v/>
      </c>
      <c r="AX897" s="467" t="str">
        <f t="shared" si="517"/>
        <v/>
      </c>
      <c r="AY897" s="467" t="str">
        <f t="shared" si="518"/>
        <v/>
      </c>
      <c r="AZ897" s="467" t="str">
        <f t="shared" si="519"/>
        <v/>
      </c>
      <c r="BA897" s="468" t="str">
        <f>IF(AS897="","",IF(OR(AU897="",AU897="-"),"－",IF(OR(AZ897=8,AZ897=9),"",IF(OR(AW897=3,AW897=4,AW897=5,AW897=6),VLOOKUP(AU897,INDEX((係数_バス貨物_ガソリン,係数_バス貨物_CNG,係数_バス貨物_軽油,係数_バス貨物_メタノール,係数_バス貨物_LPG),MATCH(AY897,【参考】排出係数!$AI$4:$AI$671,1),1,BE897):INDEX((係数_バス貨物_ガソリン,係数_バス貨物_CNG,係数_バス貨物_軽油,係数_バス貨物_メタノール,係数_バス貨物_LPG),MATCH(AY897+1,【参考】排出係数!$AI$4:$AI$671,1)-1,5,BE897),2,FALSE),IF(OR(AW897=1,AW897=2),VLOOKUP(AU897,INDEX((係数_乗用_ガソリン,係数_乗用_CNG,係数_乗用_軽油,係数_乗用_メタノール,係数_乗用_LPG),1,1,BE897):INDEX((係数_乗用_ガソリン,係数_乗用_CNG,係数_乗用_軽油,係数_乗用_メタノール,係数_乗用_LPG),125,5,BE897),2,FALSE))))))</f>
        <v/>
      </c>
      <c r="BB897" s="468" t="str">
        <f>IF(T897="","",IF(OR(AU897="",AU897="-"),"－",IF(OR(AZ897=8,AZ897=9),"",IF(OR(AW897=3,AW897=4,AW897=5,AW897=6),VLOOKUP(AU897,INDEX((係数_バス貨物_ガソリン,係数_バス貨物_CNG,係数_バス貨物_軽油,係数_バス貨物_メタノール,係数_バス貨物_LPG),MATCH(AY897,【参考】排出係数!$AI$4:$AI$671,1),1,BE897):INDEX((係数_バス貨物_ガソリン,係数_バス貨物_CNG,係数_バス貨物_軽油,係数_バス貨物_メタノール,係数_バス貨物_LPG),MATCH(AY897+1,【参考】排出係数!$AI$4:$AI$671,1)-1,5,BE897),3,FALSE),IF(OR(AW897=1,AW897=2),VLOOKUP(AU897,INDEX((係数_乗用_ガソリン,係数_乗用_CNG,係数_乗用_軽油,係数_乗用_メタノール,係数_乗用_LPG),1,1,BE897):INDEX((係数_乗用_ガソリン,係数_乗用_CNG,係数_乗用_軽油,係数_乗用_メタノール,係数_乗用_LPG),125,5,BE897),3,FALSE))))))</f>
        <v/>
      </c>
      <c r="BC897" s="467" t="str">
        <f t="shared" si="520"/>
        <v/>
      </c>
      <c r="BD897" s="567" t="str">
        <f t="shared" si="521"/>
        <v/>
      </c>
      <c r="BE897" s="467" t="str">
        <f t="shared" si="522"/>
        <v/>
      </c>
      <c r="BF897" s="469" t="str">
        <f t="shared" ca="1" si="523"/>
        <v/>
      </c>
      <c r="BG897" s="469" t="str">
        <f t="shared" ca="1" si="524"/>
        <v/>
      </c>
      <c r="BH897" s="467" t="str">
        <f t="shared" si="525"/>
        <v/>
      </c>
      <c r="BI897" s="467" t="str">
        <f t="shared" ca="1" si="526"/>
        <v/>
      </c>
      <c r="BJ897" s="469" t="str">
        <f t="shared" si="527"/>
        <v/>
      </c>
      <c r="BK897" s="470" t="str">
        <f t="shared" si="511"/>
        <v/>
      </c>
      <c r="BL897" s="775" t="str">
        <f t="shared" si="528"/>
        <v/>
      </c>
      <c r="BM897" s="775" t="str">
        <f t="shared" si="529"/>
        <v/>
      </c>
    </row>
    <row r="898" spans="1:65">
      <c r="A898" s="473">
        <v>842</v>
      </c>
      <c r="B898" s="132"/>
      <c r="C898" s="332"/>
      <c r="D898" s="333"/>
      <c r="E898" s="333"/>
      <c r="F898" s="334"/>
      <c r="G898" s="337"/>
      <c r="H898" s="131"/>
      <c r="I898" s="337"/>
      <c r="J898" s="131"/>
      <c r="K898" s="458" t="str">
        <f t="shared" si="492"/>
        <v/>
      </c>
      <c r="L898" s="458">
        <f t="shared" si="493"/>
        <v>0</v>
      </c>
      <c r="M898" s="458">
        <f t="shared" si="494"/>
        <v>0</v>
      </c>
      <c r="N898" s="459" t="str">
        <f t="shared" si="505"/>
        <v/>
      </c>
      <c r="O898" s="459" t="str">
        <f t="shared" si="506"/>
        <v/>
      </c>
      <c r="P898" s="459" t="str">
        <f t="shared" si="507"/>
        <v/>
      </c>
      <c r="Q898" s="459" t="str">
        <f t="shared" si="508"/>
        <v/>
      </c>
      <c r="R898" s="459" t="str">
        <f t="shared" si="509"/>
        <v/>
      </c>
      <c r="S898" s="459" t="str">
        <f t="shared" si="510"/>
        <v/>
      </c>
      <c r="T898" s="566" t="str">
        <f t="shared" si="495"/>
        <v/>
      </c>
      <c r="U898" s="702"/>
      <c r="V898" s="132"/>
      <c r="W898" s="133"/>
      <c r="X898" s="134"/>
      <c r="Y898" s="135"/>
      <c r="Z898" s="137"/>
      <c r="AA898" s="136"/>
      <c r="AB898" s="566" t="str">
        <f t="shared" si="496"/>
        <v/>
      </c>
      <c r="AC898" s="568" t="str">
        <f t="shared" si="497"/>
        <v/>
      </c>
      <c r="AD898" s="137"/>
      <c r="AE898" s="137"/>
      <c r="AF898" s="138"/>
      <c r="AG898" s="138"/>
      <c r="AH898" s="592" t="str">
        <f t="shared" si="498"/>
        <v/>
      </c>
      <c r="AI898" s="592" t="str">
        <f t="shared" si="499"/>
        <v/>
      </c>
      <c r="AJ898" s="592" t="str">
        <f t="shared" si="500"/>
        <v/>
      </c>
      <c r="AK898" s="460" t="str">
        <f>IF(AU898="","",IF(OR(AZ898=8,AZ898=9),0,IF(OR(AW898=3,AW898=4,AW898=5,AW898=6),IF(LEFT(BF898,1)="1",INDEX(係数_NOX・PM低減,MATCH(AY898,【参考】排出係数!$AI$801:$AI$804,1),1),VLOOKUP(AU898,INDEX((係数_バス貨物_ガソリン,係数_バス貨物_CNG,係数_バス貨物_軽油,係数_バス貨物_メタノール,係数_バス貨物_LPG),MATCH(AY898,【参考】排出係数!$AI$4:$AI$671,1),1,BE898):INDEX((係数_バス貨物_ガソリン,係数_バス貨物_CNG,係数_バス貨物_軽油,係数_バス貨物_メタノール,係数_バス貨物_LPG),MATCH(AY898+1,【参考】排出係数!$AI$4:$AI$671,1)-1,5,BE898),4,FALSE)),IF(AND(BE898=3,LEFT(BF898,1)="1"),0.48,VLOOKUP(AU898,INDEX((係数_乗用_ガソリン,係数_乗用_CNG,係数_乗用_軽油,係数_乗用_メタノール,係数_乗用_LPG),1,1,BE898):INDEX((係数_乗用_ガソリン,係数_乗用_CNG,係数_乗用_軽油,係数_乗用_メタノール,係数_乗用_LPG),125,5,BE898),4,FALSE)))))</f>
        <v/>
      </c>
      <c r="AL898" s="461" t="str">
        <f t="shared" si="501"/>
        <v/>
      </c>
      <c r="AM898" s="460" t="str">
        <f>IF(AU898="","",IF(OR(AZ898=8,AZ898=9),0,IF(OR(AW898=3,AW898=4,AW898=5,AW898=6),IF(LEFT(BH898,1)="1",INDEX(係数_PM低減,MATCH(AY898,【参考】排出係数!$AI$801:$AI$804,1),MATCH(BI898,【参考】排出係数!$AL$798:$AO$798,1)),VLOOKUP(AU898,INDEX((係数_バス貨物_ガソリン,係数_バス貨物_CNG,係数_バス貨物_軽油,係数_バス貨物_メタノール,係数_バス貨物_LPG),MATCH(AY898,【参考】排出係数!$AI$4:$AI$671,1),1,BE898):INDEX((係数_バス貨物_ガソリン,係数_バス貨物_CNG,係数_バス貨物_軽油,係数_バス貨物_メタノール,係数_バス貨物_LPG),MATCH(AY898+1,【参考】排出係数!$AI$4:$AI$671,1)-1,5,BE898),5,FALSE)),IF(AND(BE898=3,LEFT(BF898,1)="1"),0.055,VLOOKUP(AU898,INDEX((係数_乗用_ガソリン,係数_乗用_CNG,係数_乗用_軽油,係数_乗用_メタノール,係数_乗用_LPG),1,1,BE898):INDEX((係数_乗用_ガソリン,係数_乗用_CNG,係数_乗用_軽油,係数_乗用_メタノール,係数_乗用_LPG),125,5,BE898),5,FALSE)))))</f>
        <v/>
      </c>
      <c r="AN898" s="461" t="str">
        <f t="shared" si="502"/>
        <v/>
      </c>
      <c r="AO898" s="462" t="str">
        <f t="shared" si="503"/>
        <v/>
      </c>
      <c r="AP898" s="463" t="str">
        <f t="shared" si="504"/>
        <v/>
      </c>
      <c r="AQ898" s="464"/>
      <c r="AR898" s="619"/>
      <c r="AS898" s="465" t="str">
        <f t="shared" si="512"/>
        <v/>
      </c>
      <c r="AT898" s="465" t="str">
        <f t="shared" si="513"/>
        <v/>
      </c>
      <c r="AU898" s="466" t="str">
        <f t="shared" si="514"/>
        <v/>
      </c>
      <c r="AV898" s="467" t="str">
        <f t="shared" si="515"/>
        <v/>
      </c>
      <c r="AW898" s="467" t="str">
        <f t="shared" si="516"/>
        <v/>
      </c>
      <c r="AX898" s="467" t="str">
        <f t="shared" si="517"/>
        <v/>
      </c>
      <c r="AY898" s="467" t="str">
        <f t="shared" si="518"/>
        <v/>
      </c>
      <c r="AZ898" s="467" t="str">
        <f t="shared" si="519"/>
        <v/>
      </c>
      <c r="BA898" s="468" t="str">
        <f>IF(AS898="","",IF(OR(AU898="",AU898="-"),"－",IF(OR(AZ898=8,AZ898=9),"",IF(OR(AW898=3,AW898=4,AW898=5,AW898=6),VLOOKUP(AU898,INDEX((係数_バス貨物_ガソリン,係数_バス貨物_CNG,係数_バス貨物_軽油,係数_バス貨物_メタノール,係数_バス貨物_LPG),MATCH(AY898,【参考】排出係数!$AI$4:$AI$671,1),1,BE898):INDEX((係数_バス貨物_ガソリン,係数_バス貨物_CNG,係数_バス貨物_軽油,係数_バス貨物_メタノール,係数_バス貨物_LPG),MATCH(AY898+1,【参考】排出係数!$AI$4:$AI$671,1)-1,5,BE898),2,FALSE),IF(OR(AW898=1,AW898=2),VLOOKUP(AU898,INDEX((係数_乗用_ガソリン,係数_乗用_CNG,係数_乗用_軽油,係数_乗用_メタノール,係数_乗用_LPG),1,1,BE898):INDEX((係数_乗用_ガソリン,係数_乗用_CNG,係数_乗用_軽油,係数_乗用_メタノール,係数_乗用_LPG),125,5,BE898),2,FALSE))))))</f>
        <v/>
      </c>
      <c r="BB898" s="468" t="str">
        <f>IF(T898="","",IF(OR(AU898="",AU898="-"),"－",IF(OR(AZ898=8,AZ898=9),"",IF(OR(AW898=3,AW898=4,AW898=5,AW898=6),VLOOKUP(AU898,INDEX((係数_バス貨物_ガソリン,係数_バス貨物_CNG,係数_バス貨物_軽油,係数_バス貨物_メタノール,係数_バス貨物_LPG),MATCH(AY898,【参考】排出係数!$AI$4:$AI$671,1),1,BE898):INDEX((係数_バス貨物_ガソリン,係数_バス貨物_CNG,係数_バス貨物_軽油,係数_バス貨物_メタノール,係数_バス貨物_LPG),MATCH(AY898+1,【参考】排出係数!$AI$4:$AI$671,1)-1,5,BE898),3,FALSE),IF(OR(AW898=1,AW898=2),VLOOKUP(AU898,INDEX((係数_乗用_ガソリン,係数_乗用_CNG,係数_乗用_軽油,係数_乗用_メタノール,係数_乗用_LPG),1,1,BE898):INDEX((係数_乗用_ガソリン,係数_乗用_CNG,係数_乗用_軽油,係数_乗用_メタノール,係数_乗用_LPG),125,5,BE898),3,FALSE))))))</f>
        <v/>
      </c>
      <c r="BC898" s="467" t="str">
        <f t="shared" si="520"/>
        <v/>
      </c>
      <c r="BD898" s="567" t="str">
        <f t="shared" si="521"/>
        <v/>
      </c>
      <c r="BE898" s="467" t="str">
        <f t="shared" si="522"/>
        <v/>
      </c>
      <c r="BF898" s="469" t="str">
        <f t="shared" ca="1" si="523"/>
        <v/>
      </c>
      <c r="BG898" s="469" t="str">
        <f t="shared" ca="1" si="524"/>
        <v/>
      </c>
      <c r="BH898" s="467" t="str">
        <f t="shared" si="525"/>
        <v/>
      </c>
      <c r="BI898" s="467" t="str">
        <f t="shared" ca="1" si="526"/>
        <v/>
      </c>
      <c r="BJ898" s="469" t="str">
        <f t="shared" si="527"/>
        <v/>
      </c>
      <c r="BK898" s="470" t="str">
        <f t="shared" si="511"/>
        <v/>
      </c>
      <c r="BL898" s="775" t="str">
        <f t="shared" si="528"/>
        <v/>
      </c>
      <c r="BM898" s="775" t="str">
        <f t="shared" si="529"/>
        <v/>
      </c>
    </row>
    <row r="899" spans="1:65">
      <c r="A899" s="473">
        <v>843</v>
      </c>
      <c r="B899" s="132"/>
      <c r="C899" s="332"/>
      <c r="D899" s="333"/>
      <c r="E899" s="333"/>
      <c r="F899" s="334"/>
      <c r="G899" s="337"/>
      <c r="H899" s="131"/>
      <c r="I899" s="337"/>
      <c r="J899" s="131"/>
      <c r="K899" s="458" t="str">
        <f t="shared" si="492"/>
        <v/>
      </c>
      <c r="L899" s="458">
        <f t="shared" si="493"/>
        <v>0</v>
      </c>
      <c r="M899" s="458">
        <f t="shared" si="494"/>
        <v>0</v>
      </c>
      <c r="N899" s="459" t="str">
        <f t="shared" si="505"/>
        <v/>
      </c>
      <c r="O899" s="459" t="str">
        <f t="shared" si="506"/>
        <v/>
      </c>
      <c r="P899" s="459" t="str">
        <f t="shared" si="507"/>
        <v/>
      </c>
      <c r="Q899" s="459" t="str">
        <f t="shared" si="508"/>
        <v/>
      </c>
      <c r="R899" s="459" t="str">
        <f t="shared" si="509"/>
        <v/>
      </c>
      <c r="S899" s="459" t="str">
        <f t="shared" si="510"/>
        <v/>
      </c>
      <c r="T899" s="566" t="str">
        <f t="shared" si="495"/>
        <v/>
      </c>
      <c r="U899" s="702"/>
      <c r="V899" s="132"/>
      <c r="W899" s="133"/>
      <c r="X899" s="134"/>
      <c r="Y899" s="135"/>
      <c r="Z899" s="137"/>
      <c r="AA899" s="136"/>
      <c r="AB899" s="566" t="str">
        <f t="shared" si="496"/>
        <v/>
      </c>
      <c r="AC899" s="568" t="str">
        <f t="shared" si="497"/>
        <v/>
      </c>
      <c r="AD899" s="137"/>
      <c r="AE899" s="137"/>
      <c r="AF899" s="138"/>
      <c r="AG899" s="138"/>
      <c r="AH899" s="592" t="str">
        <f t="shared" si="498"/>
        <v/>
      </c>
      <c r="AI899" s="592" t="str">
        <f t="shared" si="499"/>
        <v/>
      </c>
      <c r="AJ899" s="592" t="str">
        <f t="shared" si="500"/>
        <v/>
      </c>
      <c r="AK899" s="460" t="str">
        <f>IF(AU899="","",IF(OR(AZ899=8,AZ899=9),0,IF(OR(AW899=3,AW899=4,AW899=5,AW899=6),IF(LEFT(BF899,1)="1",INDEX(係数_NOX・PM低減,MATCH(AY899,【参考】排出係数!$AI$801:$AI$804,1),1),VLOOKUP(AU899,INDEX((係数_バス貨物_ガソリン,係数_バス貨物_CNG,係数_バス貨物_軽油,係数_バス貨物_メタノール,係数_バス貨物_LPG),MATCH(AY899,【参考】排出係数!$AI$4:$AI$671,1),1,BE899):INDEX((係数_バス貨物_ガソリン,係数_バス貨物_CNG,係数_バス貨物_軽油,係数_バス貨物_メタノール,係数_バス貨物_LPG),MATCH(AY899+1,【参考】排出係数!$AI$4:$AI$671,1)-1,5,BE899),4,FALSE)),IF(AND(BE899=3,LEFT(BF899,1)="1"),0.48,VLOOKUP(AU899,INDEX((係数_乗用_ガソリン,係数_乗用_CNG,係数_乗用_軽油,係数_乗用_メタノール,係数_乗用_LPG),1,1,BE899):INDEX((係数_乗用_ガソリン,係数_乗用_CNG,係数_乗用_軽油,係数_乗用_メタノール,係数_乗用_LPG),125,5,BE899),4,FALSE)))))</f>
        <v/>
      </c>
      <c r="AL899" s="461" t="str">
        <f t="shared" si="501"/>
        <v/>
      </c>
      <c r="AM899" s="460" t="str">
        <f>IF(AU899="","",IF(OR(AZ899=8,AZ899=9),0,IF(OR(AW899=3,AW899=4,AW899=5,AW899=6),IF(LEFT(BH899,1)="1",INDEX(係数_PM低減,MATCH(AY899,【参考】排出係数!$AI$801:$AI$804,1),MATCH(BI899,【参考】排出係数!$AL$798:$AO$798,1)),VLOOKUP(AU899,INDEX((係数_バス貨物_ガソリン,係数_バス貨物_CNG,係数_バス貨物_軽油,係数_バス貨物_メタノール,係数_バス貨物_LPG),MATCH(AY899,【参考】排出係数!$AI$4:$AI$671,1),1,BE899):INDEX((係数_バス貨物_ガソリン,係数_バス貨物_CNG,係数_バス貨物_軽油,係数_バス貨物_メタノール,係数_バス貨物_LPG),MATCH(AY899+1,【参考】排出係数!$AI$4:$AI$671,1)-1,5,BE899),5,FALSE)),IF(AND(BE899=3,LEFT(BF899,1)="1"),0.055,VLOOKUP(AU899,INDEX((係数_乗用_ガソリン,係数_乗用_CNG,係数_乗用_軽油,係数_乗用_メタノール,係数_乗用_LPG),1,1,BE899):INDEX((係数_乗用_ガソリン,係数_乗用_CNG,係数_乗用_軽油,係数_乗用_メタノール,係数_乗用_LPG),125,5,BE899),5,FALSE)))))</f>
        <v/>
      </c>
      <c r="AN899" s="461" t="str">
        <f t="shared" si="502"/>
        <v/>
      </c>
      <c r="AO899" s="462" t="str">
        <f t="shared" si="503"/>
        <v/>
      </c>
      <c r="AP899" s="463" t="str">
        <f t="shared" si="504"/>
        <v/>
      </c>
      <c r="AQ899" s="464"/>
      <c r="AR899" s="619"/>
      <c r="AS899" s="465" t="str">
        <f t="shared" si="512"/>
        <v/>
      </c>
      <c r="AT899" s="465" t="str">
        <f t="shared" si="513"/>
        <v/>
      </c>
      <c r="AU899" s="466" t="str">
        <f t="shared" si="514"/>
        <v/>
      </c>
      <c r="AV899" s="467" t="str">
        <f t="shared" si="515"/>
        <v/>
      </c>
      <c r="AW899" s="467" t="str">
        <f t="shared" si="516"/>
        <v/>
      </c>
      <c r="AX899" s="467" t="str">
        <f t="shared" si="517"/>
        <v/>
      </c>
      <c r="AY899" s="467" t="str">
        <f t="shared" si="518"/>
        <v/>
      </c>
      <c r="AZ899" s="467" t="str">
        <f t="shared" si="519"/>
        <v/>
      </c>
      <c r="BA899" s="468" t="str">
        <f>IF(AS899="","",IF(OR(AU899="",AU899="-"),"－",IF(OR(AZ899=8,AZ899=9),"",IF(OR(AW899=3,AW899=4,AW899=5,AW899=6),VLOOKUP(AU899,INDEX((係数_バス貨物_ガソリン,係数_バス貨物_CNG,係数_バス貨物_軽油,係数_バス貨物_メタノール,係数_バス貨物_LPG),MATCH(AY899,【参考】排出係数!$AI$4:$AI$671,1),1,BE899):INDEX((係数_バス貨物_ガソリン,係数_バス貨物_CNG,係数_バス貨物_軽油,係数_バス貨物_メタノール,係数_バス貨物_LPG),MATCH(AY899+1,【参考】排出係数!$AI$4:$AI$671,1)-1,5,BE899),2,FALSE),IF(OR(AW899=1,AW899=2),VLOOKUP(AU899,INDEX((係数_乗用_ガソリン,係数_乗用_CNG,係数_乗用_軽油,係数_乗用_メタノール,係数_乗用_LPG),1,1,BE899):INDEX((係数_乗用_ガソリン,係数_乗用_CNG,係数_乗用_軽油,係数_乗用_メタノール,係数_乗用_LPG),125,5,BE899),2,FALSE))))))</f>
        <v/>
      </c>
      <c r="BB899" s="468" t="str">
        <f>IF(T899="","",IF(OR(AU899="",AU899="-"),"－",IF(OR(AZ899=8,AZ899=9),"",IF(OR(AW899=3,AW899=4,AW899=5,AW899=6),VLOOKUP(AU899,INDEX((係数_バス貨物_ガソリン,係数_バス貨物_CNG,係数_バス貨物_軽油,係数_バス貨物_メタノール,係数_バス貨物_LPG),MATCH(AY899,【参考】排出係数!$AI$4:$AI$671,1),1,BE899):INDEX((係数_バス貨物_ガソリン,係数_バス貨物_CNG,係数_バス貨物_軽油,係数_バス貨物_メタノール,係数_バス貨物_LPG),MATCH(AY899+1,【参考】排出係数!$AI$4:$AI$671,1)-1,5,BE899),3,FALSE),IF(OR(AW899=1,AW899=2),VLOOKUP(AU899,INDEX((係数_乗用_ガソリン,係数_乗用_CNG,係数_乗用_軽油,係数_乗用_メタノール,係数_乗用_LPG),1,1,BE899):INDEX((係数_乗用_ガソリン,係数_乗用_CNG,係数_乗用_軽油,係数_乗用_メタノール,係数_乗用_LPG),125,5,BE899),3,FALSE))))))</f>
        <v/>
      </c>
      <c r="BC899" s="467" t="str">
        <f t="shared" si="520"/>
        <v/>
      </c>
      <c r="BD899" s="567" t="str">
        <f t="shared" si="521"/>
        <v/>
      </c>
      <c r="BE899" s="467" t="str">
        <f t="shared" si="522"/>
        <v/>
      </c>
      <c r="BF899" s="469" t="str">
        <f t="shared" ca="1" si="523"/>
        <v/>
      </c>
      <c r="BG899" s="469" t="str">
        <f t="shared" ca="1" si="524"/>
        <v/>
      </c>
      <c r="BH899" s="467" t="str">
        <f t="shared" si="525"/>
        <v/>
      </c>
      <c r="BI899" s="467" t="str">
        <f t="shared" ca="1" si="526"/>
        <v/>
      </c>
      <c r="BJ899" s="469" t="str">
        <f t="shared" si="527"/>
        <v/>
      </c>
      <c r="BK899" s="470" t="str">
        <f t="shared" si="511"/>
        <v/>
      </c>
      <c r="BL899" s="775" t="str">
        <f t="shared" si="528"/>
        <v/>
      </c>
      <c r="BM899" s="775" t="str">
        <f t="shared" si="529"/>
        <v/>
      </c>
    </row>
    <row r="900" spans="1:65">
      <c r="A900" s="473">
        <v>844</v>
      </c>
      <c r="B900" s="132"/>
      <c r="C900" s="332"/>
      <c r="D900" s="333"/>
      <c r="E900" s="333"/>
      <c r="F900" s="334"/>
      <c r="G900" s="337"/>
      <c r="H900" s="131"/>
      <c r="I900" s="337"/>
      <c r="J900" s="131"/>
      <c r="K900" s="458" t="str">
        <f t="shared" si="492"/>
        <v/>
      </c>
      <c r="L900" s="458">
        <f t="shared" si="493"/>
        <v>0</v>
      </c>
      <c r="M900" s="458">
        <f t="shared" si="494"/>
        <v>0</v>
      </c>
      <c r="N900" s="459" t="str">
        <f t="shared" si="505"/>
        <v/>
      </c>
      <c r="O900" s="459" t="str">
        <f t="shared" si="506"/>
        <v/>
      </c>
      <c r="P900" s="459" t="str">
        <f t="shared" si="507"/>
        <v/>
      </c>
      <c r="Q900" s="459" t="str">
        <f t="shared" si="508"/>
        <v/>
      </c>
      <c r="R900" s="459" t="str">
        <f t="shared" si="509"/>
        <v/>
      </c>
      <c r="S900" s="459" t="str">
        <f t="shared" si="510"/>
        <v/>
      </c>
      <c r="T900" s="566" t="str">
        <f t="shared" si="495"/>
        <v/>
      </c>
      <c r="U900" s="702"/>
      <c r="V900" s="132"/>
      <c r="W900" s="133"/>
      <c r="X900" s="134"/>
      <c r="Y900" s="135"/>
      <c r="Z900" s="137"/>
      <c r="AA900" s="136"/>
      <c r="AB900" s="566" t="str">
        <f t="shared" si="496"/>
        <v/>
      </c>
      <c r="AC900" s="568" t="str">
        <f t="shared" si="497"/>
        <v/>
      </c>
      <c r="AD900" s="137"/>
      <c r="AE900" s="137"/>
      <c r="AF900" s="138"/>
      <c r="AG900" s="138"/>
      <c r="AH900" s="592" t="str">
        <f t="shared" si="498"/>
        <v/>
      </c>
      <c r="AI900" s="592" t="str">
        <f t="shared" si="499"/>
        <v/>
      </c>
      <c r="AJ900" s="592" t="str">
        <f t="shared" si="500"/>
        <v/>
      </c>
      <c r="AK900" s="460" t="str">
        <f>IF(AU900="","",IF(OR(AZ900=8,AZ900=9),0,IF(OR(AW900=3,AW900=4,AW900=5,AW900=6),IF(LEFT(BF900,1)="1",INDEX(係数_NOX・PM低減,MATCH(AY900,【参考】排出係数!$AI$801:$AI$804,1),1),VLOOKUP(AU900,INDEX((係数_バス貨物_ガソリン,係数_バス貨物_CNG,係数_バス貨物_軽油,係数_バス貨物_メタノール,係数_バス貨物_LPG),MATCH(AY900,【参考】排出係数!$AI$4:$AI$671,1),1,BE900):INDEX((係数_バス貨物_ガソリン,係数_バス貨物_CNG,係数_バス貨物_軽油,係数_バス貨物_メタノール,係数_バス貨物_LPG),MATCH(AY900+1,【参考】排出係数!$AI$4:$AI$671,1)-1,5,BE900),4,FALSE)),IF(AND(BE900=3,LEFT(BF900,1)="1"),0.48,VLOOKUP(AU900,INDEX((係数_乗用_ガソリン,係数_乗用_CNG,係数_乗用_軽油,係数_乗用_メタノール,係数_乗用_LPG),1,1,BE900):INDEX((係数_乗用_ガソリン,係数_乗用_CNG,係数_乗用_軽油,係数_乗用_メタノール,係数_乗用_LPG),125,5,BE900),4,FALSE)))))</f>
        <v/>
      </c>
      <c r="AL900" s="461" t="str">
        <f t="shared" si="501"/>
        <v/>
      </c>
      <c r="AM900" s="460" t="str">
        <f>IF(AU900="","",IF(OR(AZ900=8,AZ900=9),0,IF(OR(AW900=3,AW900=4,AW900=5,AW900=6),IF(LEFT(BH900,1)="1",INDEX(係数_PM低減,MATCH(AY900,【参考】排出係数!$AI$801:$AI$804,1),MATCH(BI900,【参考】排出係数!$AL$798:$AO$798,1)),VLOOKUP(AU900,INDEX((係数_バス貨物_ガソリン,係数_バス貨物_CNG,係数_バス貨物_軽油,係数_バス貨物_メタノール,係数_バス貨物_LPG),MATCH(AY900,【参考】排出係数!$AI$4:$AI$671,1),1,BE900):INDEX((係数_バス貨物_ガソリン,係数_バス貨物_CNG,係数_バス貨物_軽油,係数_バス貨物_メタノール,係数_バス貨物_LPG),MATCH(AY900+1,【参考】排出係数!$AI$4:$AI$671,1)-1,5,BE900),5,FALSE)),IF(AND(BE900=3,LEFT(BF900,1)="1"),0.055,VLOOKUP(AU900,INDEX((係数_乗用_ガソリン,係数_乗用_CNG,係数_乗用_軽油,係数_乗用_メタノール,係数_乗用_LPG),1,1,BE900):INDEX((係数_乗用_ガソリン,係数_乗用_CNG,係数_乗用_軽油,係数_乗用_メタノール,係数_乗用_LPG),125,5,BE900),5,FALSE)))))</f>
        <v/>
      </c>
      <c r="AN900" s="461" t="str">
        <f t="shared" si="502"/>
        <v/>
      </c>
      <c r="AO900" s="462" t="str">
        <f t="shared" si="503"/>
        <v/>
      </c>
      <c r="AP900" s="463" t="str">
        <f t="shared" si="504"/>
        <v/>
      </c>
      <c r="AQ900" s="464"/>
      <c r="AR900" s="619"/>
      <c r="AS900" s="465" t="str">
        <f t="shared" si="512"/>
        <v/>
      </c>
      <c r="AT900" s="465" t="str">
        <f t="shared" si="513"/>
        <v/>
      </c>
      <c r="AU900" s="466" t="str">
        <f t="shared" si="514"/>
        <v/>
      </c>
      <c r="AV900" s="467" t="str">
        <f t="shared" si="515"/>
        <v/>
      </c>
      <c r="AW900" s="467" t="str">
        <f t="shared" si="516"/>
        <v/>
      </c>
      <c r="AX900" s="467" t="str">
        <f t="shared" si="517"/>
        <v/>
      </c>
      <c r="AY900" s="467" t="str">
        <f t="shared" si="518"/>
        <v/>
      </c>
      <c r="AZ900" s="467" t="str">
        <f t="shared" si="519"/>
        <v/>
      </c>
      <c r="BA900" s="468" t="str">
        <f>IF(AS900="","",IF(OR(AU900="",AU900="-"),"－",IF(OR(AZ900=8,AZ900=9),"",IF(OR(AW900=3,AW900=4,AW900=5,AW900=6),VLOOKUP(AU900,INDEX((係数_バス貨物_ガソリン,係数_バス貨物_CNG,係数_バス貨物_軽油,係数_バス貨物_メタノール,係数_バス貨物_LPG),MATCH(AY900,【参考】排出係数!$AI$4:$AI$671,1),1,BE900):INDEX((係数_バス貨物_ガソリン,係数_バス貨物_CNG,係数_バス貨物_軽油,係数_バス貨物_メタノール,係数_バス貨物_LPG),MATCH(AY900+1,【参考】排出係数!$AI$4:$AI$671,1)-1,5,BE900),2,FALSE),IF(OR(AW900=1,AW900=2),VLOOKUP(AU900,INDEX((係数_乗用_ガソリン,係数_乗用_CNG,係数_乗用_軽油,係数_乗用_メタノール,係数_乗用_LPG),1,1,BE900):INDEX((係数_乗用_ガソリン,係数_乗用_CNG,係数_乗用_軽油,係数_乗用_メタノール,係数_乗用_LPG),125,5,BE900),2,FALSE))))))</f>
        <v/>
      </c>
      <c r="BB900" s="468" t="str">
        <f>IF(T900="","",IF(OR(AU900="",AU900="-"),"－",IF(OR(AZ900=8,AZ900=9),"",IF(OR(AW900=3,AW900=4,AW900=5,AW900=6),VLOOKUP(AU900,INDEX((係数_バス貨物_ガソリン,係数_バス貨物_CNG,係数_バス貨物_軽油,係数_バス貨物_メタノール,係数_バス貨物_LPG),MATCH(AY900,【参考】排出係数!$AI$4:$AI$671,1),1,BE900):INDEX((係数_バス貨物_ガソリン,係数_バス貨物_CNG,係数_バス貨物_軽油,係数_バス貨物_メタノール,係数_バス貨物_LPG),MATCH(AY900+1,【参考】排出係数!$AI$4:$AI$671,1)-1,5,BE900),3,FALSE),IF(OR(AW900=1,AW900=2),VLOOKUP(AU900,INDEX((係数_乗用_ガソリン,係数_乗用_CNG,係数_乗用_軽油,係数_乗用_メタノール,係数_乗用_LPG),1,1,BE900):INDEX((係数_乗用_ガソリン,係数_乗用_CNG,係数_乗用_軽油,係数_乗用_メタノール,係数_乗用_LPG),125,5,BE900),3,FALSE))))))</f>
        <v/>
      </c>
      <c r="BC900" s="467" t="str">
        <f t="shared" si="520"/>
        <v/>
      </c>
      <c r="BD900" s="567" t="str">
        <f t="shared" si="521"/>
        <v/>
      </c>
      <c r="BE900" s="467" t="str">
        <f t="shared" si="522"/>
        <v/>
      </c>
      <c r="BF900" s="469" t="str">
        <f t="shared" ca="1" si="523"/>
        <v/>
      </c>
      <c r="BG900" s="469" t="str">
        <f t="shared" ca="1" si="524"/>
        <v/>
      </c>
      <c r="BH900" s="467" t="str">
        <f t="shared" si="525"/>
        <v/>
      </c>
      <c r="BI900" s="467" t="str">
        <f t="shared" ca="1" si="526"/>
        <v/>
      </c>
      <c r="BJ900" s="469" t="str">
        <f t="shared" si="527"/>
        <v/>
      </c>
      <c r="BK900" s="470" t="str">
        <f t="shared" si="511"/>
        <v/>
      </c>
      <c r="BL900" s="775" t="str">
        <f t="shared" si="528"/>
        <v/>
      </c>
      <c r="BM900" s="775" t="str">
        <f t="shared" si="529"/>
        <v/>
      </c>
    </row>
    <row r="901" spans="1:65">
      <c r="A901" s="473">
        <v>845</v>
      </c>
      <c r="B901" s="132"/>
      <c r="C901" s="332"/>
      <c r="D901" s="333"/>
      <c r="E901" s="333"/>
      <c r="F901" s="334"/>
      <c r="G901" s="337"/>
      <c r="H901" s="131"/>
      <c r="I901" s="337"/>
      <c r="J901" s="131"/>
      <c r="K901" s="458" t="str">
        <f t="shared" si="492"/>
        <v/>
      </c>
      <c r="L901" s="458">
        <f t="shared" si="493"/>
        <v>0</v>
      </c>
      <c r="M901" s="458">
        <f t="shared" si="494"/>
        <v>0</v>
      </c>
      <c r="N901" s="459" t="str">
        <f t="shared" si="505"/>
        <v/>
      </c>
      <c r="O901" s="459" t="str">
        <f t="shared" si="506"/>
        <v/>
      </c>
      <c r="P901" s="459" t="str">
        <f t="shared" si="507"/>
        <v/>
      </c>
      <c r="Q901" s="459" t="str">
        <f t="shared" si="508"/>
        <v/>
      </c>
      <c r="R901" s="459" t="str">
        <f t="shared" si="509"/>
        <v/>
      </c>
      <c r="S901" s="459" t="str">
        <f t="shared" si="510"/>
        <v/>
      </c>
      <c r="T901" s="566" t="str">
        <f t="shared" si="495"/>
        <v/>
      </c>
      <c r="U901" s="702"/>
      <c r="V901" s="132"/>
      <c r="W901" s="133"/>
      <c r="X901" s="134"/>
      <c r="Y901" s="135"/>
      <c r="Z901" s="137"/>
      <c r="AA901" s="136"/>
      <c r="AB901" s="566" t="str">
        <f t="shared" si="496"/>
        <v/>
      </c>
      <c r="AC901" s="568" t="str">
        <f t="shared" si="497"/>
        <v/>
      </c>
      <c r="AD901" s="137"/>
      <c r="AE901" s="137"/>
      <c r="AF901" s="138"/>
      <c r="AG901" s="138"/>
      <c r="AH901" s="592" t="str">
        <f t="shared" si="498"/>
        <v/>
      </c>
      <c r="AI901" s="592" t="str">
        <f t="shared" si="499"/>
        <v/>
      </c>
      <c r="AJ901" s="592" t="str">
        <f t="shared" si="500"/>
        <v/>
      </c>
      <c r="AK901" s="460" t="str">
        <f>IF(AU901="","",IF(OR(AZ901=8,AZ901=9),0,IF(OR(AW901=3,AW901=4,AW901=5,AW901=6),IF(LEFT(BF901,1)="1",INDEX(係数_NOX・PM低減,MATCH(AY901,【参考】排出係数!$AI$801:$AI$804,1),1),VLOOKUP(AU901,INDEX((係数_バス貨物_ガソリン,係数_バス貨物_CNG,係数_バス貨物_軽油,係数_バス貨物_メタノール,係数_バス貨物_LPG),MATCH(AY901,【参考】排出係数!$AI$4:$AI$671,1),1,BE901):INDEX((係数_バス貨物_ガソリン,係数_バス貨物_CNG,係数_バス貨物_軽油,係数_バス貨物_メタノール,係数_バス貨物_LPG),MATCH(AY901+1,【参考】排出係数!$AI$4:$AI$671,1)-1,5,BE901),4,FALSE)),IF(AND(BE901=3,LEFT(BF901,1)="1"),0.48,VLOOKUP(AU901,INDEX((係数_乗用_ガソリン,係数_乗用_CNG,係数_乗用_軽油,係数_乗用_メタノール,係数_乗用_LPG),1,1,BE901):INDEX((係数_乗用_ガソリン,係数_乗用_CNG,係数_乗用_軽油,係数_乗用_メタノール,係数_乗用_LPG),125,5,BE901),4,FALSE)))))</f>
        <v/>
      </c>
      <c r="AL901" s="461" t="str">
        <f t="shared" si="501"/>
        <v/>
      </c>
      <c r="AM901" s="460" t="str">
        <f>IF(AU901="","",IF(OR(AZ901=8,AZ901=9),0,IF(OR(AW901=3,AW901=4,AW901=5,AW901=6),IF(LEFT(BH901,1)="1",INDEX(係数_PM低減,MATCH(AY901,【参考】排出係数!$AI$801:$AI$804,1),MATCH(BI901,【参考】排出係数!$AL$798:$AO$798,1)),VLOOKUP(AU901,INDEX((係数_バス貨物_ガソリン,係数_バス貨物_CNG,係数_バス貨物_軽油,係数_バス貨物_メタノール,係数_バス貨物_LPG),MATCH(AY901,【参考】排出係数!$AI$4:$AI$671,1),1,BE901):INDEX((係数_バス貨物_ガソリン,係数_バス貨物_CNG,係数_バス貨物_軽油,係数_バス貨物_メタノール,係数_バス貨物_LPG),MATCH(AY901+1,【参考】排出係数!$AI$4:$AI$671,1)-1,5,BE901),5,FALSE)),IF(AND(BE901=3,LEFT(BF901,1)="1"),0.055,VLOOKUP(AU901,INDEX((係数_乗用_ガソリン,係数_乗用_CNG,係数_乗用_軽油,係数_乗用_メタノール,係数_乗用_LPG),1,1,BE901):INDEX((係数_乗用_ガソリン,係数_乗用_CNG,係数_乗用_軽油,係数_乗用_メタノール,係数_乗用_LPG),125,5,BE901),5,FALSE)))))</f>
        <v/>
      </c>
      <c r="AN901" s="461" t="str">
        <f t="shared" si="502"/>
        <v/>
      </c>
      <c r="AO901" s="462" t="str">
        <f t="shared" si="503"/>
        <v/>
      </c>
      <c r="AP901" s="463" t="str">
        <f t="shared" si="504"/>
        <v/>
      </c>
      <c r="AQ901" s="464"/>
      <c r="AR901" s="619"/>
      <c r="AS901" s="465" t="str">
        <f t="shared" si="512"/>
        <v/>
      </c>
      <c r="AT901" s="465" t="str">
        <f t="shared" si="513"/>
        <v/>
      </c>
      <c r="AU901" s="466" t="str">
        <f t="shared" si="514"/>
        <v/>
      </c>
      <c r="AV901" s="467" t="str">
        <f t="shared" si="515"/>
        <v/>
      </c>
      <c r="AW901" s="467" t="str">
        <f t="shared" si="516"/>
        <v/>
      </c>
      <c r="AX901" s="467" t="str">
        <f t="shared" si="517"/>
        <v/>
      </c>
      <c r="AY901" s="467" t="str">
        <f t="shared" si="518"/>
        <v/>
      </c>
      <c r="AZ901" s="467" t="str">
        <f t="shared" si="519"/>
        <v/>
      </c>
      <c r="BA901" s="468" t="str">
        <f>IF(AS901="","",IF(OR(AU901="",AU901="-"),"－",IF(OR(AZ901=8,AZ901=9),"",IF(OR(AW901=3,AW901=4,AW901=5,AW901=6),VLOOKUP(AU901,INDEX((係数_バス貨物_ガソリン,係数_バス貨物_CNG,係数_バス貨物_軽油,係数_バス貨物_メタノール,係数_バス貨物_LPG),MATCH(AY901,【参考】排出係数!$AI$4:$AI$671,1),1,BE901):INDEX((係数_バス貨物_ガソリン,係数_バス貨物_CNG,係数_バス貨物_軽油,係数_バス貨物_メタノール,係数_バス貨物_LPG),MATCH(AY901+1,【参考】排出係数!$AI$4:$AI$671,1)-1,5,BE901),2,FALSE),IF(OR(AW901=1,AW901=2),VLOOKUP(AU901,INDEX((係数_乗用_ガソリン,係数_乗用_CNG,係数_乗用_軽油,係数_乗用_メタノール,係数_乗用_LPG),1,1,BE901):INDEX((係数_乗用_ガソリン,係数_乗用_CNG,係数_乗用_軽油,係数_乗用_メタノール,係数_乗用_LPG),125,5,BE901),2,FALSE))))))</f>
        <v/>
      </c>
      <c r="BB901" s="468" t="str">
        <f>IF(T901="","",IF(OR(AU901="",AU901="-"),"－",IF(OR(AZ901=8,AZ901=9),"",IF(OR(AW901=3,AW901=4,AW901=5,AW901=6),VLOOKUP(AU901,INDEX((係数_バス貨物_ガソリン,係数_バス貨物_CNG,係数_バス貨物_軽油,係数_バス貨物_メタノール,係数_バス貨物_LPG),MATCH(AY901,【参考】排出係数!$AI$4:$AI$671,1),1,BE901):INDEX((係数_バス貨物_ガソリン,係数_バス貨物_CNG,係数_バス貨物_軽油,係数_バス貨物_メタノール,係数_バス貨物_LPG),MATCH(AY901+1,【参考】排出係数!$AI$4:$AI$671,1)-1,5,BE901),3,FALSE),IF(OR(AW901=1,AW901=2),VLOOKUP(AU901,INDEX((係数_乗用_ガソリン,係数_乗用_CNG,係数_乗用_軽油,係数_乗用_メタノール,係数_乗用_LPG),1,1,BE901):INDEX((係数_乗用_ガソリン,係数_乗用_CNG,係数_乗用_軽油,係数_乗用_メタノール,係数_乗用_LPG),125,5,BE901),3,FALSE))))))</f>
        <v/>
      </c>
      <c r="BC901" s="467" t="str">
        <f t="shared" si="520"/>
        <v/>
      </c>
      <c r="BD901" s="567" t="str">
        <f t="shared" si="521"/>
        <v/>
      </c>
      <c r="BE901" s="467" t="str">
        <f t="shared" si="522"/>
        <v/>
      </c>
      <c r="BF901" s="469" t="str">
        <f t="shared" ca="1" si="523"/>
        <v/>
      </c>
      <c r="BG901" s="469" t="str">
        <f t="shared" ca="1" si="524"/>
        <v/>
      </c>
      <c r="BH901" s="467" t="str">
        <f t="shared" si="525"/>
        <v/>
      </c>
      <c r="BI901" s="467" t="str">
        <f t="shared" ca="1" si="526"/>
        <v/>
      </c>
      <c r="BJ901" s="469" t="str">
        <f t="shared" si="527"/>
        <v/>
      </c>
      <c r="BK901" s="470" t="str">
        <f t="shared" si="511"/>
        <v/>
      </c>
      <c r="BL901" s="775" t="str">
        <f t="shared" si="528"/>
        <v/>
      </c>
      <c r="BM901" s="775" t="str">
        <f t="shared" si="529"/>
        <v/>
      </c>
    </row>
    <row r="902" spans="1:65">
      <c r="A902" s="473">
        <v>846</v>
      </c>
      <c r="B902" s="132"/>
      <c r="C902" s="332"/>
      <c r="D902" s="333"/>
      <c r="E902" s="333"/>
      <c r="F902" s="334"/>
      <c r="G902" s="337"/>
      <c r="H902" s="131"/>
      <c r="I902" s="337"/>
      <c r="J902" s="131"/>
      <c r="K902" s="458" t="str">
        <f t="shared" si="492"/>
        <v/>
      </c>
      <c r="L902" s="458">
        <f t="shared" si="493"/>
        <v>0</v>
      </c>
      <c r="M902" s="458">
        <f t="shared" si="494"/>
        <v>0</v>
      </c>
      <c r="N902" s="459" t="str">
        <f t="shared" si="505"/>
        <v/>
      </c>
      <c r="O902" s="459" t="str">
        <f t="shared" si="506"/>
        <v/>
      </c>
      <c r="P902" s="459" t="str">
        <f t="shared" si="507"/>
        <v/>
      </c>
      <c r="Q902" s="459" t="str">
        <f t="shared" si="508"/>
        <v/>
      </c>
      <c r="R902" s="459" t="str">
        <f t="shared" si="509"/>
        <v/>
      </c>
      <c r="S902" s="459" t="str">
        <f t="shared" si="510"/>
        <v/>
      </c>
      <c r="T902" s="566" t="str">
        <f t="shared" si="495"/>
        <v/>
      </c>
      <c r="U902" s="702"/>
      <c r="V902" s="132"/>
      <c r="W902" s="133"/>
      <c r="X902" s="134"/>
      <c r="Y902" s="135"/>
      <c r="Z902" s="137"/>
      <c r="AA902" s="136"/>
      <c r="AB902" s="566" t="str">
        <f t="shared" si="496"/>
        <v/>
      </c>
      <c r="AC902" s="568" t="str">
        <f t="shared" si="497"/>
        <v/>
      </c>
      <c r="AD902" s="137"/>
      <c r="AE902" s="137"/>
      <c r="AF902" s="138"/>
      <c r="AG902" s="138"/>
      <c r="AH902" s="592" t="str">
        <f t="shared" si="498"/>
        <v/>
      </c>
      <c r="AI902" s="592" t="str">
        <f t="shared" si="499"/>
        <v/>
      </c>
      <c r="AJ902" s="592" t="str">
        <f t="shared" si="500"/>
        <v/>
      </c>
      <c r="AK902" s="460" t="str">
        <f>IF(AU902="","",IF(OR(AZ902=8,AZ902=9),0,IF(OR(AW902=3,AW902=4,AW902=5,AW902=6),IF(LEFT(BF902,1)="1",INDEX(係数_NOX・PM低減,MATCH(AY902,【参考】排出係数!$AI$801:$AI$804,1),1),VLOOKUP(AU902,INDEX((係数_バス貨物_ガソリン,係数_バス貨物_CNG,係数_バス貨物_軽油,係数_バス貨物_メタノール,係数_バス貨物_LPG),MATCH(AY902,【参考】排出係数!$AI$4:$AI$671,1),1,BE902):INDEX((係数_バス貨物_ガソリン,係数_バス貨物_CNG,係数_バス貨物_軽油,係数_バス貨物_メタノール,係数_バス貨物_LPG),MATCH(AY902+1,【参考】排出係数!$AI$4:$AI$671,1)-1,5,BE902),4,FALSE)),IF(AND(BE902=3,LEFT(BF902,1)="1"),0.48,VLOOKUP(AU902,INDEX((係数_乗用_ガソリン,係数_乗用_CNG,係数_乗用_軽油,係数_乗用_メタノール,係数_乗用_LPG),1,1,BE902):INDEX((係数_乗用_ガソリン,係数_乗用_CNG,係数_乗用_軽油,係数_乗用_メタノール,係数_乗用_LPG),125,5,BE902),4,FALSE)))))</f>
        <v/>
      </c>
      <c r="AL902" s="461" t="str">
        <f t="shared" si="501"/>
        <v/>
      </c>
      <c r="AM902" s="460" t="str">
        <f>IF(AU902="","",IF(OR(AZ902=8,AZ902=9),0,IF(OR(AW902=3,AW902=4,AW902=5,AW902=6),IF(LEFT(BH902,1)="1",INDEX(係数_PM低減,MATCH(AY902,【参考】排出係数!$AI$801:$AI$804,1),MATCH(BI902,【参考】排出係数!$AL$798:$AO$798,1)),VLOOKUP(AU902,INDEX((係数_バス貨物_ガソリン,係数_バス貨物_CNG,係数_バス貨物_軽油,係数_バス貨物_メタノール,係数_バス貨物_LPG),MATCH(AY902,【参考】排出係数!$AI$4:$AI$671,1),1,BE902):INDEX((係数_バス貨物_ガソリン,係数_バス貨物_CNG,係数_バス貨物_軽油,係数_バス貨物_メタノール,係数_バス貨物_LPG),MATCH(AY902+1,【参考】排出係数!$AI$4:$AI$671,1)-1,5,BE902),5,FALSE)),IF(AND(BE902=3,LEFT(BF902,1)="1"),0.055,VLOOKUP(AU902,INDEX((係数_乗用_ガソリン,係数_乗用_CNG,係数_乗用_軽油,係数_乗用_メタノール,係数_乗用_LPG),1,1,BE902):INDEX((係数_乗用_ガソリン,係数_乗用_CNG,係数_乗用_軽油,係数_乗用_メタノール,係数_乗用_LPG),125,5,BE902),5,FALSE)))))</f>
        <v/>
      </c>
      <c r="AN902" s="461" t="str">
        <f t="shared" si="502"/>
        <v/>
      </c>
      <c r="AO902" s="462" t="str">
        <f t="shared" si="503"/>
        <v/>
      </c>
      <c r="AP902" s="463" t="str">
        <f t="shared" si="504"/>
        <v/>
      </c>
      <c r="AQ902" s="464"/>
      <c r="AR902" s="619"/>
      <c r="AS902" s="465" t="str">
        <f t="shared" si="512"/>
        <v/>
      </c>
      <c r="AT902" s="465" t="str">
        <f t="shared" si="513"/>
        <v/>
      </c>
      <c r="AU902" s="466" t="str">
        <f t="shared" si="514"/>
        <v/>
      </c>
      <c r="AV902" s="467" t="str">
        <f t="shared" si="515"/>
        <v/>
      </c>
      <c r="AW902" s="467" t="str">
        <f t="shared" si="516"/>
        <v/>
      </c>
      <c r="AX902" s="467" t="str">
        <f t="shared" si="517"/>
        <v/>
      </c>
      <c r="AY902" s="467" t="str">
        <f t="shared" si="518"/>
        <v/>
      </c>
      <c r="AZ902" s="467" t="str">
        <f t="shared" si="519"/>
        <v/>
      </c>
      <c r="BA902" s="468" t="str">
        <f>IF(AS902="","",IF(OR(AU902="",AU902="-"),"－",IF(OR(AZ902=8,AZ902=9),"",IF(OR(AW902=3,AW902=4,AW902=5,AW902=6),VLOOKUP(AU902,INDEX((係数_バス貨物_ガソリン,係数_バス貨物_CNG,係数_バス貨物_軽油,係数_バス貨物_メタノール,係数_バス貨物_LPG),MATCH(AY902,【参考】排出係数!$AI$4:$AI$671,1),1,BE902):INDEX((係数_バス貨物_ガソリン,係数_バス貨物_CNG,係数_バス貨物_軽油,係数_バス貨物_メタノール,係数_バス貨物_LPG),MATCH(AY902+1,【参考】排出係数!$AI$4:$AI$671,1)-1,5,BE902),2,FALSE),IF(OR(AW902=1,AW902=2),VLOOKUP(AU902,INDEX((係数_乗用_ガソリン,係数_乗用_CNG,係数_乗用_軽油,係数_乗用_メタノール,係数_乗用_LPG),1,1,BE902):INDEX((係数_乗用_ガソリン,係数_乗用_CNG,係数_乗用_軽油,係数_乗用_メタノール,係数_乗用_LPG),125,5,BE902),2,FALSE))))))</f>
        <v/>
      </c>
      <c r="BB902" s="468" t="str">
        <f>IF(T902="","",IF(OR(AU902="",AU902="-"),"－",IF(OR(AZ902=8,AZ902=9),"",IF(OR(AW902=3,AW902=4,AW902=5,AW902=6),VLOOKUP(AU902,INDEX((係数_バス貨物_ガソリン,係数_バス貨物_CNG,係数_バス貨物_軽油,係数_バス貨物_メタノール,係数_バス貨物_LPG),MATCH(AY902,【参考】排出係数!$AI$4:$AI$671,1),1,BE902):INDEX((係数_バス貨物_ガソリン,係数_バス貨物_CNG,係数_バス貨物_軽油,係数_バス貨物_メタノール,係数_バス貨物_LPG),MATCH(AY902+1,【参考】排出係数!$AI$4:$AI$671,1)-1,5,BE902),3,FALSE),IF(OR(AW902=1,AW902=2),VLOOKUP(AU902,INDEX((係数_乗用_ガソリン,係数_乗用_CNG,係数_乗用_軽油,係数_乗用_メタノール,係数_乗用_LPG),1,1,BE902):INDEX((係数_乗用_ガソリン,係数_乗用_CNG,係数_乗用_軽油,係数_乗用_メタノール,係数_乗用_LPG),125,5,BE902),3,FALSE))))))</f>
        <v/>
      </c>
      <c r="BC902" s="467" t="str">
        <f t="shared" si="520"/>
        <v/>
      </c>
      <c r="BD902" s="567" t="str">
        <f t="shared" si="521"/>
        <v/>
      </c>
      <c r="BE902" s="467" t="str">
        <f t="shared" si="522"/>
        <v/>
      </c>
      <c r="BF902" s="469" t="str">
        <f t="shared" ca="1" si="523"/>
        <v/>
      </c>
      <c r="BG902" s="469" t="str">
        <f t="shared" ca="1" si="524"/>
        <v/>
      </c>
      <c r="BH902" s="467" t="str">
        <f t="shared" si="525"/>
        <v/>
      </c>
      <c r="BI902" s="467" t="str">
        <f t="shared" ca="1" si="526"/>
        <v/>
      </c>
      <c r="BJ902" s="469" t="str">
        <f t="shared" si="527"/>
        <v/>
      </c>
      <c r="BK902" s="470" t="str">
        <f t="shared" si="511"/>
        <v/>
      </c>
      <c r="BL902" s="775" t="str">
        <f t="shared" si="528"/>
        <v/>
      </c>
      <c r="BM902" s="775" t="str">
        <f t="shared" si="529"/>
        <v/>
      </c>
    </row>
    <row r="903" spans="1:65">
      <c r="A903" s="473">
        <v>847</v>
      </c>
      <c r="B903" s="132"/>
      <c r="C903" s="332"/>
      <c r="D903" s="333"/>
      <c r="E903" s="333"/>
      <c r="F903" s="334"/>
      <c r="G903" s="337"/>
      <c r="H903" s="131"/>
      <c r="I903" s="337"/>
      <c r="J903" s="131"/>
      <c r="K903" s="458" t="str">
        <f t="shared" si="492"/>
        <v/>
      </c>
      <c r="L903" s="458">
        <f t="shared" si="493"/>
        <v>0</v>
      </c>
      <c r="M903" s="458">
        <f t="shared" si="494"/>
        <v>0</v>
      </c>
      <c r="N903" s="459" t="str">
        <f t="shared" si="505"/>
        <v/>
      </c>
      <c r="O903" s="459" t="str">
        <f t="shared" si="506"/>
        <v/>
      </c>
      <c r="P903" s="459" t="str">
        <f t="shared" si="507"/>
        <v/>
      </c>
      <c r="Q903" s="459" t="str">
        <f t="shared" si="508"/>
        <v/>
      </c>
      <c r="R903" s="459" t="str">
        <f t="shared" si="509"/>
        <v/>
      </c>
      <c r="S903" s="459" t="str">
        <f t="shared" si="510"/>
        <v/>
      </c>
      <c r="T903" s="566" t="str">
        <f t="shared" si="495"/>
        <v/>
      </c>
      <c r="U903" s="702"/>
      <c r="V903" s="132"/>
      <c r="W903" s="133"/>
      <c r="X903" s="134"/>
      <c r="Y903" s="135"/>
      <c r="Z903" s="137"/>
      <c r="AA903" s="136"/>
      <c r="AB903" s="566" t="str">
        <f t="shared" si="496"/>
        <v/>
      </c>
      <c r="AC903" s="568" t="str">
        <f t="shared" si="497"/>
        <v/>
      </c>
      <c r="AD903" s="137"/>
      <c r="AE903" s="137"/>
      <c r="AF903" s="138"/>
      <c r="AG903" s="138"/>
      <c r="AH903" s="592" t="str">
        <f t="shared" si="498"/>
        <v/>
      </c>
      <c r="AI903" s="592" t="str">
        <f t="shared" si="499"/>
        <v/>
      </c>
      <c r="AJ903" s="592" t="str">
        <f t="shared" si="500"/>
        <v/>
      </c>
      <c r="AK903" s="460" t="str">
        <f>IF(AU903="","",IF(OR(AZ903=8,AZ903=9),0,IF(OR(AW903=3,AW903=4,AW903=5,AW903=6),IF(LEFT(BF903,1)="1",INDEX(係数_NOX・PM低減,MATCH(AY903,【参考】排出係数!$AI$801:$AI$804,1),1),VLOOKUP(AU903,INDEX((係数_バス貨物_ガソリン,係数_バス貨物_CNG,係数_バス貨物_軽油,係数_バス貨物_メタノール,係数_バス貨物_LPG),MATCH(AY903,【参考】排出係数!$AI$4:$AI$671,1),1,BE903):INDEX((係数_バス貨物_ガソリン,係数_バス貨物_CNG,係数_バス貨物_軽油,係数_バス貨物_メタノール,係数_バス貨物_LPG),MATCH(AY903+1,【参考】排出係数!$AI$4:$AI$671,1)-1,5,BE903),4,FALSE)),IF(AND(BE903=3,LEFT(BF903,1)="1"),0.48,VLOOKUP(AU903,INDEX((係数_乗用_ガソリン,係数_乗用_CNG,係数_乗用_軽油,係数_乗用_メタノール,係数_乗用_LPG),1,1,BE903):INDEX((係数_乗用_ガソリン,係数_乗用_CNG,係数_乗用_軽油,係数_乗用_メタノール,係数_乗用_LPG),125,5,BE903),4,FALSE)))))</f>
        <v/>
      </c>
      <c r="AL903" s="461" t="str">
        <f t="shared" si="501"/>
        <v/>
      </c>
      <c r="AM903" s="460" t="str">
        <f>IF(AU903="","",IF(OR(AZ903=8,AZ903=9),0,IF(OR(AW903=3,AW903=4,AW903=5,AW903=6),IF(LEFT(BH903,1)="1",INDEX(係数_PM低減,MATCH(AY903,【参考】排出係数!$AI$801:$AI$804,1),MATCH(BI903,【参考】排出係数!$AL$798:$AO$798,1)),VLOOKUP(AU903,INDEX((係数_バス貨物_ガソリン,係数_バス貨物_CNG,係数_バス貨物_軽油,係数_バス貨物_メタノール,係数_バス貨物_LPG),MATCH(AY903,【参考】排出係数!$AI$4:$AI$671,1),1,BE903):INDEX((係数_バス貨物_ガソリン,係数_バス貨物_CNG,係数_バス貨物_軽油,係数_バス貨物_メタノール,係数_バス貨物_LPG),MATCH(AY903+1,【参考】排出係数!$AI$4:$AI$671,1)-1,5,BE903),5,FALSE)),IF(AND(BE903=3,LEFT(BF903,1)="1"),0.055,VLOOKUP(AU903,INDEX((係数_乗用_ガソリン,係数_乗用_CNG,係数_乗用_軽油,係数_乗用_メタノール,係数_乗用_LPG),1,1,BE903):INDEX((係数_乗用_ガソリン,係数_乗用_CNG,係数_乗用_軽油,係数_乗用_メタノール,係数_乗用_LPG),125,5,BE903),5,FALSE)))))</f>
        <v/>
      </c>
      <c r="AN903" s="461" t="str">
        <f t="shared" si="502"/>
        <v/>
      </c>
      <c r="AO903" s="462" t="str">
        <f t="shared" si="503"/>
        <v/>
      </c>
      <c r="AP903" s="463" t="str">
        <f t="shared" si="504"/>
        <v/>
      </c>
      <c r="AQ903" s="464"/>
      <c r="AR903" s="619"/>
      <c r="AS903" s="465" t="str">
        <f t="shared" si="512"/>
        <v/>
      </c>
      <c r="AT903" s="465" t="str">
        <f t="shared" si="513"/>
        <v/>
      </c>
      <c r="AU903" s="466" t="str">
        <f t="shared" si="514"/>
        <v/>
      </c>
      <c r="AV903" s="467" t="str">
        <f t="shared" si="515"/>
        <v/>
      </c>
      <c r="AW903" s="467" t="str">
        <f t="shared" si="516"/>
        <v/>
      </c>
      <c r="AX903" s="467" t="str">
        <f t="shared" si="517"/>
        <v/>
      </c>
      <c r="AY903" s="467" t="str">
        <f t="shared" si="518"/>
        <v/>
      </c>
      <c r="AZ903" s="467" t="str">
        <f t="shared" si="519"/>
        <v/>
      </c>
      <c r="BA903" s="468" t="str">
        <f>IF(AS903="","",IF(OR(AU903="",AU903="-"),"－",IF(OR(AZ903=8,AZ903=9),"",IF(OR(AW903=3,AW903=4,AW903=5,AW903=6),VLOOKUP(AU903,INDEX((係数_バス貨物_ガソリン,係数_バス貨物_CNG,係数_バス貨物_軽油,係数_バス貨物_メタノール,係数_バス貨物_LPG),MATCH(AY903,【参考】排出係数!$AI$4:$AI$671,1),1,BE903):INDEX((係数_バス貨物_ガソリン,係数_バス貨物_CNG,係数_バス貨物_軽油,係数_バス貨物_メタノール,係数_バス貨物_LPG),MATCH(AY903+1,【参考】排出係数!$AI$4:$AI$671,1)-1,5,BE903),2,FALSE),IF(OR(AW903=1,AW903=2),VLOOKUP(AU903,INDEX((係数_乗用_ガソリン,係数_乗用_CNG,係数_乗用_軽油,係数_乗用_メタノール,係数_乗用_LPG),1,1,BE903):INDEX((係数_乗用_ガソリン,係数_乗用_CNG,係数_乗用_軽油,係数_乗用_メタノール,係数_乗用_LPG),125,5,BE903),2,FALSE))))))</f>
        <v/>
      </c>
      <c r="BB903" s="468" t="str">
        <f>IF(T903="","",IF(OR(AU903="",AU903="-"),"－",IF(OR(AZ903=8,AZ903=9),"",IF(OR(AW903=3,AW903=4,AW903=5,AW903=6),VLOOKUP(AU903,INDEX((係数_バス貨物_ガソリン,係数_バス貨物_CNG,係数_バス貨物_軽油,係数_バス貨物_メタノール,係数_バス貨物_LPG),MATCH(AY903,【参考】排出係数!$AI$4:$AI$671,1),1,BE903):INDEX((係数_バス貨物_ガソリン,係数_バス貨物_CNG,係数_バス貨物_軽油,係数_バス貨物_メタノール,係数_バス貨物_LPG),MATCH(AY903+1,【参考】排出係数!$AI$4:$AI$671,1)-1,5,BE903),3,FALSE),IF(OR(AW903=1,AW903=2),VLOOKUP(AU903,INDEX((係数_乗用_ガソリン,係数_乗用_CNG,係数_乗用_軽油,係数_乗用_メタノール,係数_乗用_LPG),1,1,BE903):INDEX((係数_乗用_ガソリン,係数_乗用_CNG,係数_乗用_軽油,係数_乗用_メタノール,係数_乗用_LPG),125,5,BE903),3,FALSE))))))</f>
        <v/>
      </c>
      <c r="BC903" s="467" t="str">
        <f t="shared" si="520"/>
        <v/>
      </c>
      <c r="BD903" s="567" t="str">
        <f t="shared" si="521"/>
        <v/>
      </c>
      <c r="BE903" s="467" t="str">
        <f t="shared" si="522"/>
        <v/>
      </c>
      <c r="BF903" s="469" t="str">
        <f t="shared" ca="1" si="523"/>
        <v/>
      </c>
      <c r="BG903" s="469" t="str">
        <f t="shared" ca="1" si="524"/>
        <v/>
      </c>
      <c r="BH903" s="467" t="str">
        <f t="shared" si="525"/>
        <v/>
      </c>
      <c r="BI903" s="467" t="str">
        <f t="shared" ca="1" si="526"/>
        <v/>
      </c>
      <c r="BJ903" s="469" t="str">
        <f t="shared" si="527"/>
        <v/>
      </c>
      <c r="BK903" s="470" t="str">
        <f t="shared" si="511"/>
        <v/>
      </c>
      <c r="BL903" s="775" t="str">
        <f t="shared" si="528"/>
        <v/>
      </c>
      <c r="BM903" s="775" t="str">
        <f t="shared" si="529"/>
        <v/>
      </c>
    </row>
    <row r="904" spans="1:65">
      <c r="A904" s="473">
        <v>848</v>
      </c>
      <c r="B904" s="132"/>
      <c r="C904" s="332"/>
      <c r="D904" s="333"/>
      <c r="E904" s="333"/>
      <c r="F904" s="334"/>
      <c r="G904" s="337"/>
      <c r="H904" s="131"/>
      <c r="I904" s="337"/>
      <c r="J904" s="131"/>
      <c r="K904" s="458" t="str">
        <f t="shared" si="492"/>
        <v/>
      </c>
      <c r="L904" s="458">
        <f t="shared" si="493"/>
        <v>0</v>
      </c>
      <c r="M904" s="458">
        <f t="shared" si="494"/>
        <v>0</v>
      </c>
      <c r="N904" s="459" t="str">
        <f t="shared" si="505"/>
        <v/>
      </c>
      <c r="O904" s="459" t="str">
        <f t="shared" si="506"/>
        <v/>
      </c>
      <c r="P904" s="459" t="str">
        <f t="shared" si="507"/>
        <v/>
      </c>
      <c r="Q904" s="459" t="str">
        <f t="shared" si="508"/>
        <v/>
      </c>
      <c r="R904" s="459" t="str">
        <f t="shared" si="509"/>
        <v/>
      </c>
      <c r="S904" s="459" t="str">
        <f t="shared" si="510"/>
        <v/>
      </c>
      <c r="T904" s="566" t="str">
        <f t="shared" si="495"/>
        <v/>
      </c>
      <c r="U904" s="702"/>
      <c r="V904" s="132"/>
      <c r="W904" s="133"/>
      <c r="X904" s="134"/>
      <c r="Y904" s="135"/>
      <c r="Z904" s="137"/>
      <c r="AA904" s="136"/>
      <c r="AB904" s="566" t="str">
        <f t="shared" si="496"/>
        <v/>
      </c>
      <c r="AC904" s="568" t="str">
        <f t="shared" si="497"/>
        <v/>
      </c>
      <c r="AD904" s="137"/>
      <c r="AE904" s="137"/>
      <c r="AF904" s="138"/>
      <c r="AG904" s="138"/>
      <c r="AH904" s="592" t="str">
        <f t="shared" si="498"/>
        <v/>
      </c>
      <c r="AI904" s="592" t="str">
        <f t="shared" si="499"/>
        <v/>
      </c>
      <c r="AJ904" s="592" t="str">
        <f t="shared" si="500"/>
        <v/>
      </c>
      <c r="AK904" s="460" t="str">
        <f>IF(AU904="","",IF(OR(AZ904=8,AZ904=9),0,IF(OR(AW904=3,AW904=4,AW904=5,AW904=6),IF(LEFT(BF904,1)="1",INDEX(係数_NOX・PM低減,MATCH(AY904,【参考】排出係数!$AI$801:$AI$804,1),1),VLOOKUP(AU904,INDEX((係数_バス貨物_ガソリン,係数_バス貨物_CNG,係数_バス貨物_軽油,係数_バス貨物_メタノール,係数_バス貨物_LPG),MATCH(AY904,【参考】排出係数!$AI$4:$AI$671,1),1,BE904):INDEX((係数_バス貨物_ガソリン,係数_バス貨物_CNG,係数_バス貨物_軽油,係数_バス貨物_メタノール,係数_バス貨物_LPG),MATCH(AY904+1,【参考】排出係数!$AI$4:$AI$671,1)-1,5,BE904),4,FALSE)),IF(AND(BE904=3,LEFT(BF904,1)="1"),0.48,VLOOKUP(AU904,INDEX((係数_乗用_ガソリン,係数_乗用_CNG,係数_乗用_軽油,係数_乗用_メタノール,係数_乗用_LPG),1,1,BE904):INDEX((係数_乗用_ガソリン,係数_乗用_CNG,係数_乗用_軽油,係数_乗用_メタノール,係数_乗用_LPG),125,5,BE904),4,FALSE)))))</f>
        <v/>
      </c>
      <c r="AL904" s="461" t="str">
        <f t="shared" si="501"/>
        <v/>
      </c>
      <c r="AM904" s="460" t="str">
        <f>IF(AU904="","",IF(OR(AZ904=8,AZ904=9),0,IF(OR(AW904=3,AW904=4,AW904=5,AW904=6),IF(LEFT(BH904,1)="1",INDEX(係数_PM低減,MATCH(AY904,【参考】排出係数!$AI$801:$AI$804,1),MATCH(BI904,【参考】排出係数!$AL$798:$AO$798,1)),VLOOKUP(AU904,INDEX((係数_バス貨物_ガソリン,係数_バス貨物_CNG,係数_バス貨物_軽油,係数_バス貨物_メタノール,係数_バス貨物_LPG),MATCH(AY904,【参考】排出係数!$AI$4:$AI$671,1),1,BE904):INDEX((係数_バス貨物_ガソリン,係数_バス貨物_CNG,係数_バス貨物_軽油,係数_バス貨物_メタノール,係数_バス貨物_LPG),MATCH(AY904+1,【参考】排出係数!$AI$4:$AI$671,1)-1,5,BE904),5,FALSE)),IF(AND(BE904=3,LEFT(BF904,1)="1"),0.055,VLOOKUP(AU904,INDEX((係数_乗用_ガソリン,係数_乗用_CNG,係数_乗用_軽油,係数_乗用_メタノール,係数_乗用_LPG),1,1,BE904):INDEX((係数_乗用_ガソリン,係数_乗用_CNG,係数_乗用_軽油,係数_乗用_メタノール,係数_乗用_LPG),125,5,BE904),5,FALSE)))))</f>
        <v/>
      </c>
      <c r="AN904" s="461" t="str">
        <f t="shared" si="502"/>
        <v/>
      </c>
      <c r="AO904" s="462" t="str">
        <f t="shared" si="503"/>
        <v/>
      </c>
      <c r="AP904" s="463" t="str">
        <f t="shared" si="504"/>
        <v/>
      </c>
      <c r="AQ904" s="464"/>
      <c r="AR904" s="619"/>
      <c r="AS904" s="465" t="str">
        <f t="shared" si="512"/>
        <v/>
      </c>
      <c r="AT904" s="465" t="str">
        <f t="shared" si="513"/>
        <v/>
      </c>
      <c r="AU904" s="466" t="str">
        <f t="shared" si="514"/>
        <v/>
      </c>
      <c r="AV904" s="467" t="str">
        <f t="shared" si="515"/>
        <v/>
      </c>
      <c r="AW904" s="467" t="str">
        <f t="shared" si="516"/>
        <v/>
      </c>
      <c r="AX904" s="467" t="str">
        <f t="shared" si="517"/>
        <v/>
      </c>
      <c r="AY904" s="467" t="str">
        <f t="shared" si="518"/>
        <v/>
      </c>
      <c r="AZ904" s="467" t="str">
        <f t="shared" si="519"/>
        <v/>
      </c>
      <c r="BA904" s="468" t="str">
        <f>IF(AS904="","",IF(OR(AU904="",AU904="-"),"－",IF(OR(AZ904=8,AZ904=9),"",IF(OR(AW904=3,AW904=4,AW904=5,AW904=6),VLOOKUP(AU904,INDEX((係数_バス貨物_ガソリン,係数_バス貨物_CNG,係数_バス貨物_軽油,係数_バス貨物_メタノール,係数_バス貨物_LPG),MATCH(AY904,【参考】排出係数!$AI$4:$AI$671,1),1,BE904):INDEX((係数_バス貨物_ガソリン,係数_バス貨物_CNG,係数_バス貨物_軽油,係数_バス貨物_メタノール,係数_バス貨物_LPG),MATCH(AY904+1,【参考】排出係数!$AI$4:$AI$671,1)-1,5,BE904),2,FALSE),IF(OR(AW904=1,AW904=2),VLOOKUP(AU904,INDEX((係数_乗用_ガソリン,係数_乗用_CNG,係数_乗用_軽油,係数_乗用_メタノール,係数_乗用_LPG),1,1,BE904):INDEX((係数_乗用_ガソリン,係数_乗用_CNG,係数_乗用_軽油,係数_乗用_メタノール,係数_乗用_LPG),125,5,BE904),2,FALSE))))))</f>
        <v/>
      </c>
      <c r="BB904" s="468" t="str">
        <f>IF(T904="","",IF(OR(AU904="",AU904="-"),"－",IF(OR(AZ904=8,AZ904=9),"",IF(OR(AW904=3,AW904=4,AW904=5,AW904=6),VLOOKUP(AU904,INDEX((係数_バス貨物_ガソリン,係数_バス貨物_CNG,係数_バス貨物_軽油,係数_バス貨物_メタノール,係数_バス貨物_LPG),MATCH(AY904,【参考】排出係数!$AI$4:$AI$671,1),1,BE904):INDEX((係数_バス貨物_ガソリン,係数_バス貨物_CNG,係数_バス貨物_軽油,係数_バス貨物_メタノール,係数_バス貨物_LPG),MATCH(AY904+1,【参考】排出係数!$AI$4:$AI$671,1)-1,5,BE904),3,FALSE),IF(OR(AW904=1,AW904=2),VLOOKUP(AU904,INDEX((係数_乗用_ガソリン,係数_乗用_CNG,係数_乗用_軽油,係数_乗用_メタノール,係数_乗用_LPG),1,1,BE904):INDEX((係数_乗用_ガソリン,係数_乗用_CNG,係数_乗用_軽油,係数_乗用_メタノール,係数_乗用_LPG),125,5,BE904),3,FALSE))))))</f>
        <v/>
      </c>
      <c r="BC904" s="467" t="str">
        <f t="shared" si="520"/>
        <v/>
      </c>
      <c r="BD904" s="567" t="str">
        <f t="shared" si="521"/>
        <v/>
      </c>
      <c r="BE904" s="467" t="str">
        <f t="shared" si="522"/>
        <v/>
      </c>
      <c r="BF904" s="469" t="str">
        <f t="shared" ca="1" si="523"/>
        <v/>
      </c>
      <c r="BG904" s="469" t="str">
        <f t="shared" ca="1" si="524"/>
        <v/>
      </c>
      <c r="BH904" s="467" t="str">
        <f t="shared" si="525"/>
        <v/>
      </c>
      <c r="BI904" s="467" t="str">
        <f t="shared" ca="1" si="526"/>
        <v/>
      </c>
      <c r="BJ904" s="469" t="str">
        <f t="shared" si="527"/>
        <v/>
      </c>
      <c r="BK904" s="470" t="str">
        <f t="shared" si="511"/>
        <v/>
      </c>
      <c r="BL904" s="775" t="str">
        <f t="shared" si="528"/>
        <v/>
      </c>
      <c r="BM904" s="775" t="str">
        <f t="shared" si="529"/>
        <v/>
      </c>
    </row>
    <row r="905" spans="1:65">
      <c r="A905" s="473">
        <v>849</v>
      </c>
      <c r="B905" s="132"/>
      <c r="C905" s="332"/>
      <c r="D905" s="333"/>
      <c r="E905" s="333"/>
      <c r="F905" s="334"/>
      <c r="G905" s="337"/>
      <c r="H905" s="131"/>
      <c r="I905" s="337"/>
      <c r="J905" s="131"/>
      <c r="K905" s="458" t="str">
        <f t="shared" si="492"/>
        <v/>
      </c>
      <c r="L905" s="458">
        <f t="shared" si="493"/>
        <v>0</v>
      </c>
      <c r="M905" s="458">
        <f t="shared" si="494"/>
        <v>0</v>
      </c>
      <c r="N905" s="459" t="str">
        <f t="shared" si="505"/>
        <v/>
      </c>
      <c r="O905" s="459" t="str">
        <f t="shared" si="506"/>
        <v/>
      </c>
      <c r="P905" s="459" t="str">
        <f t="shared" si="507"/>
        <v/>
      </c>
      <c r="Q905" s="459" t="str">
        <f t="shared" si="508"/>
        <v/>
      </c>
      <c r="R905" s="459" t="str">
        <f t="shared" si="509"/>
        <v/>
      </c>
      <c r="S905" s="459" t="str">
        <f t="shared" si="510"/>
        <v/>
      </c>
      <c r="T905" s="566" t="str">
        <f t="shared" si="495"/>
        <v/>
      </c>
      <c r="U905" s="702"/>
      <c r="V905" s="132"/>
      <c r="W905" s="133"/>
      <c r="X905" s="134"/>
      <c r="Y905" s="135"/>
      <c r="Z905" s="137"/>
      <c r="AA905" s="136"/>
      <c r="AB905" s="566" t="str">
        <f t="shared" si="496"/>
        <v/>
      </c>
      <c r="AC905" s="568" t="str">
        <f t="shared" si="497"/>
        <v/>
      </c>
      <c r="AD905" s="137"/>
      <c r="AE905" s="137"/>
      <c r="AF905" s="138"/>
      <c r="AG905" s="138"/>
      <c r="AH905" s="592" t="str">
        <f t="shared" si="498"/>
        <v/>
      </c>
      <c r="AI905" s="592" t="str">
        <f t="shared" si="499"/>
        <v/>
      </c>
      <c r="AJ905" s="592" t="str">
        <f t="shared" si="500"/>
        <v/>
      </c>
      <c r="AK905" s="460" t="str">
        <f>IF(AU905="","",IF(OR(AZ905=8,AZ905=9),0,IF(OR(AW905=3,AW905=4,AW905=5,AW905=6),IF(LEFT(BF905,1)="1",INDEX(係数_NOX・PM低減,MATCH(AY905,【参考】排出係数!$AI$801:$AI$804,1),1),VLOOKUP(AU905,INDEX((係数_バス貨物_ガソリン,係数_バス貨物_CNG,係数_バス貨物_軽油,係数_バス貨物_メタノール,係数_バス貨物_LPG),MATCH(AY905,【参考】排出係数!$AI$4:$AI$671,1),1,BE905):INDEX((係数_バス貨物_ガソリン,係数_バス貨物_CNG,係数_バス貨物_軽油,係数_バス貨物_メタノール,係数_バス貨物_LPG),MATCH(AY905+1,【参考】排出係数!$AI$4:$AI$671,1)-1,5,BE905),4,FALSE)),IF(AND(BE905=3,LEFT(BF905,1)="1"),0.48,VLOOKUP(AU905,INDEX((係数_乗用_ガソリン,係数_乗用_CNG,係数_乗用_軽油,係数_乗用_メタノール,係数_乗用_LPG),1,1,BE905):INDEX((係数_乗用_ガソリン,係数_乗用_CNG,係数_乗用_軽油,係数_乗用_メタノール,係数_乗用_LPG),125,5,BE905),4,FALSE)))))</f>
        <v/>
      </c>
      <c r="AL905" s="461" t="str">
        <f t="shared" si="501"/>
        <v/>
      </c>
      <c r="AM905" s="460" t="str">
        <f>IF(AU905="","",IF(OR(AZ905=8,AZ905=9),0,IF(OR(AW905=3,AW905=4,AW905=5,AW905=6),IF(LEFT(BH905,1)="1",INDEX(係数_PM低減,MATCH(AY905,【参考】排出係数!$AI$801:$AI$804,1),MATCH(BI905,【参考】排出係数!$AL$798:$AO$798,1)),VLOOKUP(AU905,INDEX((係数_バス貨物_ガソリン,係数_バス貨物_CNG,係数_バス貨物_軽油,係数_バス貨物_メタノール,係数_バス貨物_LPG),MATCH(AY905,【参考】排出係数!$AI$4:$AI$671,1),1,BE905):INDEX((係数_バス貨物_ガソリン,係数_バス貨物_CNG,係数_バス貨物_軽油,係数_バス貨物_メタノール,係数_バス貨物_LPG),MATCH(AY905+1,【参考】排出係数!$AI$4:$AI$671,1)-1,5,BE905),5,FALSE)),IF(AND(BE905=3,LEFT(BF905,1)="1"),0.055,VLOOKUP(AU905,INDEX((係数_乗用_ガソリン,係数_乗用_CNG,係数_乗用_軽油,係数_乗用_メタノール,係数_乗用_LPG),1,1,BE905):INDEX((係数_乗用_ガソリン,係数_乗用_CNG,係数_乗用_軽油,係数_乗用_メタノール,係数_乗用_LPG),125,5,BE905),5,FALSE)))))</f>
        <v/>
      </c>
      <c r="AN905" s="461" t="str">
        <f t="shared" si="502"/>
        <v/>
      </c>
      <c r="AO905" s="462" t="str">
        <f t="shared" si="503"/>
        <v/>
      </c>
      <c r="AP905" s="463" t="str">
        <f t="shared" si="504"/>
        <v/>
      </c>
      <c r="AQ905" s="464"/>
      <c r="AR905" s="619"/>
      <c r="AS905" s="465" t="str">
        <f t="shared" si="512"/>
        <v/>
      </c>
      <c r="AT905" s="465" t="str">
        <f t="shared" si="513"/>
        <v/>
      </c>
      <c r="AU905" s="466" t="str">
        <f t="shared" si="514"/>
        <v/>
      </c>
      <c r="AV905" s="467" t="str">
        <f t="shared" si="515"/>
        <v/>
      </c>
      <c r="AW905" s="467" t="str">
        <f t="shared" si="516"/>
        <v/>
      </c>
      <c r="AX905" s="467" t="str">
        <f t="shared" si="517"/>
        <v/>
      </c>
      <c r="AY905" s="467" t="str">
        <f t="shared" si="518"/>
        <v/>
      </c>
      <c r="AZ905" s="467" t="str">
        <f t="shared" si="519"/>
        <v/>
      </c>
      <c r="BA905" s="468" t="str">
        <f>IF(AS905="","",IF(OR(AU905="",AU905="-"),"－",IF(OR(AZ905=8,AZ905=9),"",IF(OR(AW905=3,AW905=4,AW905=5,AW905=6),VLOOKUP(AU905,INDEX((係数_バス貨物_ガソリン,係数_バス貨物_CNG,係数_バス貨物_軽油,係数_バス貨物_メタノール,係数_バス貨物_LPG),MATCH(AY905,【参考】排出係数!$AI$4:$AI$671,1),1,BE905):INDEX((係数_バス貨物_ガソリン,係数_バス貨物_CNG,係数_バス貨物_軽油,係数_バス貨物_メタノール,係数_バス貨物_LPG),MATCH(AY905+1,【参考】排出係数!$AI$4:$AI$671,1)-1,5,BE905),2,FALSE),IF(OR(AW905=1,AW905=2),VLOOKUP(AU905,INDEX((係数_乗用_ガソリン,係数_乗用_CNG,係数_乗用_軽油,係数_乗用_メタノール,係数_乗用_LPG),1,1,BE905):INDEX((係数_乗用_ガソリン,係数_乗用_CNG,係数_乗用_軽油,係数_乗用_メタノール,係数_乗用_LPG),125,5,BE905),2,FALSE))))))</f>
        <v/>
      </c>
      <c r="BB905" s="468" t="str">
        <f>IF(T905="","",IF(OR(AU905="",AU905="-"),"－",IF(OR(AZ905=8,AZ905=9),"",IF(OR(AW905=3,AW905=4,AW905=5,AW905=6),VLOOKUP(AU905,INDEX((係数_バス貨物_ガソリン,係数_バス貨物_CNG,係数_バス貨物_軽油,係数_バス貨物_メタノール,係数_バス貨物_LPG),MATCH(AY905,【参考】排出係数!$AI$4:$AI$671,1),1,BE905):INDEX((係数_バス貨物_ガソリン,係数_バス貨物_CNG,係数_バス貨物_軽油,係数_バス貨物_メタノール,係数_バス貨物_LPG),MATCH(AY905+1,【参考】排出係数!$AI$4:$AI$671,1)-1,5,BE905),3,FALSE),IF(OR(AW905=1,AW905=2),VLOOKUP(AU905,INDEX((係数_乗用_ガソリン,係数_乗用_CNG,係数_乗用_軽油,係数_乗用_メタノール,係数_乗用_LPG),1,1,BE905):INDEX((係数_乗用_ガソリン,係数_乗用_CNG,係数_乗用_軽油,係数_乗用_メタノール,係数_乗用_LPG),125,5,BE905),3,FALSE))))))</f>
        <v/>
      </c>
      <c r="BC905" s="467" t="str">
        <f t="shared" si="520"/>
        <v/>
      </c>
      <c r="BD905" s="567" t="str">
        <f t="shared" si="521"/>
        <v/>
      </c>
      <c r="BE905" s="467" t="str">
        <f t="shared" si="522"/>
        <v/>
      </c>
      <c r="BF905" s="469" t="str">
        <f t="shared" ca="1" si="523"/>
        <v/>
      </c>
      <c r="BG905" s="469" t="str">
        <f t="shared" ca="1" si="524"/>
        <v/>
      </c>
      <c r="BH905" s="467" t="str">
        <f t="shared" si="525"/>
        <v/>
      </c>
      <c r="BI905" s="467" t="str">
        <f t="shared" ca="1" si="526"/>
        <v/>
      </c>
      <c r="BJ905" s="469" t="str">
        <f t="shared" si="527"/>
        <v/>
      </c>
      <c r="BK905" s="470" t="str">
        <f t="shared" si="511"/>
        <v/>
      </c>
      <c r="BL905" s="775" t="str">
        <f t="shared" si="528"/>
        <v/>
      </c>
      <c r="BM905" s="775" t="str">
        <f t="shared" si="529"/>
        <v/>
      </c>
    </row>
    <row r="906" spans="1:65">
      <c r="A906" s="473">
        <v>850</v>
      </c>
      <c r="B906" s="132"/>
      <c r="C906" s="332"/>
      <c r="D906" s="333"/>
      <c r="E906" s="333"/>
      <c r="F906" s="334"/>
      <c r="G906" s="337"/>
      <c r="H906" s="131"/>
      <c r="I906" s="337"/>
      <c r="J906" s="131"/>
      <c r="K906" s="458" t="str">
        <f t="shared" si="492"/>
        <v/>
      </c>
      <c r="L906" s="458">
        <f t="shared" si="493"/>
        <v>0</v>
      </c>
      <c r="M906" s="458">
        <f t="shared" si="494"/>
        <v>0</v>
      </c>
      <c r="N906" s="459" t="str">
        <f t="shared" si="505"/>
        <v/>
      </c>
      <c r="O906" s="459" t="str">
        <f t="shared" si="506"/>
        <v/>
      </c>
      <c r="P906" s="459" t="str">
        <f t="shared" si="507"/>
        <v/>
      </c>
      <c r="Q906" s="459" t="str">
        <f t="shared" si="508"/>
        <v/>
      </c>
      <c r="R906" s="459" t="str">
        <f t="shared" si="509"/>
        <v/>
      </c>
      <c r="S906" s="459" t="str">
        <f t="shared" si="510"/>
        <v/>
      </c>
      <c r="T906" s="566" t="str">
        <f t="shared" si="495"/>
        <v/>
      </c>
      <c r="U906" s="702"/>
      <c r="V906" s="132"/>
      <c r="W906" s="133"/>
      <c r="X906" s="134"/>
      <c r="Y906" s="135"/>
      <c r="Z906" s="137"/>
      <c r="AA906" s="136"/>
      <c r="AB906" s="566" t="str">
        <f t="shared" si="496"/>
        <v/>
      </c>
      <c r="AC906" s="568" t="str">
        <f t="shared" si="497"/>
        <v/>
      </c>
      <c r="AD906" s="137"/>
      <c r="AE906" s="137"/>
      <c r="AF906" s="138"/>
      <c r="AG906" s="138"/>
      <c r="AH906" s="592" t="str">
        <f t="shared" si="498"/>
        <v/>
      </c>
      <c r="AI906" s="592" t="str">
        <f t="shared" si="499"/>
        <v/>
      </c>
      <c r="AJ906" s="592" t="str">
        <f t="shared" si="500"/>
        <v/>
      </c>
      <c r="AK906" s="460" t="str">
        <f>IF(AU906="","",IF(OR(AZ906=8,AZ906=9),0,IF(OR(AW906=3,AW906=4,AW906=5,AW906=6),IF(LEFT(BF906,1)="1",INDEX(係数_NOX・PM低減,MATCH(AY906,【参考】排出係数!$AI$801:$AI$804,1),1),VLOOKUP(AU906,INDEX((係数_バス貨物_ガソリン,係数_バス貨物_CNG,係数_バス貨物_軽油,係数_バス貨物_メタノール,係数_バス貨物_LPG),MATCH(AY906,【参考】排出係数!$AI$4:$AI$671,1),1,BE906):INDEX((係数_バス貨物_ガソリン,係数_バス貨物_CNG,係数_バス貨物_軽油,係数_バス貨物_メタノール,係数_バス貨物_LPG),MATCH(AY906+1,【参考】排出係数!$AI$4:$AI$671,1)-1,5,BE906),4,FALSE)),IF(AND(BE906=3,LEFT(BF906,1)="1"),0.48,VLOOKUP(AU906,INDEX((係数_乗用_ガソリン,係数_乗用_CNG,係数_乗用_軽油,係数_乗用_メタノール,係数_乗用_LPG),1,1,BE906):INDEX((係数_乗用_ガソリン,係数_乗用_CNG,係数_乗用_軽油,係数_乗用_メタノール,係数_乗用_LPG),125,5,BE906),4,FALSE)))))</f>
        <v/>
      </c>
      <c r="AL906" s="461" t="str">
        <f t="shared" si="501"/>
        <v/>
      </c>
      <c r="AM906" s="460" t="str">
        <f>IF(AU906="","",IF(OR(AZ906=8,AZ906=9),0,IF(OR(AW906=3,AW906=4,AW906=5,AW906=6),IF(LEFT(BH906,1)="1",INDEX(係数_PM低減,MATCH(AY906,【参考】排出係数!$AI$801:$AI$804,1),MATCH(BI906,【参考】排出係数!$AL$798:$AO$798,1)),VLOOKUP(AU906,INDEX((係数_バス貨物_ガソリン,係数_バス貨物_CNG,係数_バス貨物_軽油,係数_バス貨物_メタノール,係数_バス貨物_LPG),MATCH(AY906,【参考】排出係数!$AI$4:$AI$671,1),1,BE906):INDEX((係数_バス貨物_ガソリン,係数_バス貨物_CNG,係数_バス貨物_軽油,係数_バス貨物_メタノール,係数_バス貨物_LPG),MATCH(AY906+1,【参考】排出係数!$AI$4:$AI$671,1)-1,5,BE906),5,FALSE)),IF(AND(BE906=3,LEFT(BF906,1)="1"),0.055,VLOOKUP(AU906,INDEX((係数_乗用_ガソリン,係数_乗用_CNG,係数_乗用_軽油,係数_乗用_メタノール,係数_乗用_LPG),1,1,BE906):INDEX((係数_乗用_ガソリン,係数_乗用_CNG,係数_乗用_軽油,係数_乗用_メタノール,係数_乗用_LPG),125,5,BE906),5,FALSE)))))</f>
        <v/>
      </c>
      <c r="AN906" s="461" t="str">
        <f t="shared" si="502"/>
        <v/>
      </c>
      <c r="AO906" s="462" t="str">
        <f t="shared" si="503"/>
        <v/>
      </c>
      <c r="AP906" s="463" t="str">
        <f t="shared" si="504"/>
        <v/>
      </c>
      <c r="AQ906" s="464"/>
      <c r="AR906" s="619"/>
      <c r="AS906" s="465" t="str">
        <f t="shared" si="512"/>
        <v/>
      </c>
      <c r="AT906" s="465" t="str">
        <f t="shared" si="513"/>
        <v/>
      </c>
      <c r="AU906" s="466" t="str">
        <f t="shared" si="514"/>
        <v/>
      </c>
      <c r="AV906" s="467" t="str">
        <f t="shared" si="515"/>
        <v/>
      </c>
      <c r="AW906" s="467" t="str">
        <f t="shared" si="516"/>
        <v/>
      </c>
      <c r="AX906" s="467" t="str">
        <f t="shared" si="517"/>
        <v/>
      </c>
      <c r="AY906" s="467" t="str">
        <f t="shared" si="518"/>
        <v/>
      </c>
      <c r="AZ906" s="467" t="str">
        <f t="shared" si="519"/>
        <v/>
      </c>
      <c r="BA906" s="468" t="str">
        <f>IF(AS906="","",IF(OR(AU906="",AU906="-"),"－",IF(OR(AZ906=8,AZ906=9),"",IF(OR(AW906=3,AW906=4,AW906=5,AW906=6),VLOOKUP(AU906,INDEX((係数_バス貨物_ガソリン,係数_バス貨物_CNG,係数_バス貨物_軽油,係数_バス貨物_メタノール,係数_バス貨物_LPG),MATCH(AY906,【参考】排出係数!$AI$4:$AI$671,1),1,BE906):INDEX((係数_バス貨物_ガソリン,係数_バス貨物_CNG,係数_バス貨物_軽油,係数_バス貨物_メタノール,係数_バス貨物_LPG),MATCH(AY906+1,【参考】排出係数!$AI$4:$AI$671,1)-1,5,BE906),2,FALSE),IF(OR(AW906=1,AW906=2),VLOOKUP(AU906,INDEX((係数_乗用_ガソリン,係数_乗用_CNG,係数_乗用_軽油,係数_乗用_メタノール,係数_乗用_LPG),1,1,BE906):INDEX((係数_乗用_ガソリン,係数_乗用_CNG,係数_乗用_軽油,係数_乗用_メタノール,係数_乗用_LPG),125,5,BE906),2,FALSE))))))</f>
        <v/>
      </c>
      <c r="BB906" s="468" t="str">
        <f>IF(T906="","",IF(OR(AU906="",AU906="-"),"－",IF(OR(AZ906=8,AZ906=9),"",IF(OR(AW906=3,AW906=4,AW906=5,AW906=6),VLOOKUP(AU906,INDEX((係数_バス貨物_ガソリン,係数_バス貨物_CNG,係数_バス貨物_軽油,係数_バス貨物_メタノール,係数_バス貨物_LPG),MATCH(AY906,【参考】排出係数!$AI$4:$AI$671,1),1,BE906):INDEX((係数_バス貨物_ガソリン,係数_バス貨物_CNG,係数_バス貨物_軽油,係数_バス貨物_メタノール,係数_バス貨物_LPG),MATCH(AY906+1,【参考】排出係数!$AI$4:$AI$671,1)-1,5,BE906),3,FALSE),IF(OR(AW906=1,AW906=2),VLOOKUP(AU906,INDEX((係数_乗用_ガソリン,係数_乗用_CNG,係数_乗用_軽油,係数_乗用_メタノール,係数_乗用_LPG),1,1,BE906):INDEX((係数_乗用_ガソリン,係数_乗用_CNG,係数_乗用_軽油,係数_乗用_メタノール,係数_乗用_LPG),125,5,BE906),3,FALSE))))))</f>
        <v/>
      </c>
      <c r="BC906" s="467" t="str">
        <f t="shared" si="520"/>
        <v/>
      </c>
      <c r="BD906" s="567" t="str">
        <f t="shared" si="521"/>
        <v/>
      </c>
      <c r="BE906" s="467" t="str">
        <f t="shared" si="522"/>
        <v/>
      </c>
      <c r="BF906" s="469" t="str">
        <f t="shared" ca="1" si="523"/>
        <v/>
      </c>
      <c r="BG906" s="469" t="str">
        <f t="shared" ca="1" si="524"/>
        <v/>
      </c>
      <c r="BH906" s="467" t="str">
        <f t="shared" si="525"/>
        <v/>
      </c>
      <c r="BI906" s="467" t="str">
        <f t="shared" ca="1" si="526"/>
        <v/>
      </c>
      <c r="BJ906" s="469" t="str">
        <f t="shared" si="527"/>
        <v/>
      </c>
      <c r="BK906" s="470" t="str">
        <f t="shared" si="511"/>
        <v/>
      </c>
      <c r="BL906" s="775" t="str">
        <f t="shared" si="528"/>
        <v/>
      </c>
      <c r="BM906" s="775" t="str">
        <f t="shared" si="529"/>
        <v/>
      </c>
    </row>
    <row r="907" spans="1:65">
      <c r="A907" s="473">
        <v>851</v>
      </c>
      <c r="B907" s="132"/>
      <c r="C907" s="332"/>
      <c r="D907" s="333"/>
      <c r="E907" s="333"/>
      <c r="F907" s="334"/>
      <c r="G907" s="337"/>
      <c r="H907" s="131"/>
      <c r="I907" s="337"/>
      <c r="J907" s="131"/>
      <c r="K907" s="458" t="str">
        <f t="shared" si="492"/>
        <v/>
      </c>
      <c r="L907" s="458">
        <f t="shared" si="493"/>
        <v>0</v>
      </c>
      <c r="M907" s="458">
        <f t="shared" si="494"/>
        <v>0</v>
      </c>
      <c r="N907" s="459" t="str">
        <f t="shared" si="505"/>
        <v/>
      </c>
      <c r="O907" s="459" t="str">
        <f t="shared" si="506"/>
        <v/>
      </c>
      <c r="P907" s="459" t="str">
        <f t="shared" si="507"/>
        <v/>
      </c>
      <c r="Q907" s="459" t="str">
        <f t="shared" si="508"/>
        <v/>
      </c>
      <c r="R907" s="459" t="str">
        <f t="shared" si="509"/>
        <v/>
      </c>
      <c r="S907" s="459" t="str">
        <f t="shared" si="510"/>
        <v/>
      </c>
      <c r="T907" s="566" t="str">
        <f t="shared" si="495"/>
        <v/>
      </c>
      <c r="U907" s="702"/>
      <c r="V907" s="132"/>
      <c r="W907" s="133"/>
      <c r="X907" s="134"/>
      <c r="Y907" s="135"/>
      <c r="Z907" s="137"/>
      <c r="AA907" s="136"/>
      <c r="AB907" s="566" t="str">
        <f t="shared" si="496"/>
        <v/>
      </c>
      <c r="AC907" s="568" t="str">
        <f t="shared" si="497"/>
        <v/>
      </c>
      <c r="AD907" s="137"/>
      <c r="AE907" s="137"/>
      <c r="AF907" s="138"/>
      <c r="AG907" s="138"/>
      <c r="AH907" s="592" t="str">
        <f t="shared" si="498"/>
        <v/>
      </c>
      <c r="AI907" s="592" t="str">
        <f t="shared" si="499"/>
        <v/>
      </c>
      <c r="AJ907" s="592" t="str">
        <f t="shared" si="500"/>
        <v/>
      </c>
      <c r="AK907" s="460" t="str">
        <f>IF(AU907="","",IF(OR(AZ907=8,AZ907=9),0,IF(OR(AW907=3,AW907=4,AW907=5,AW907=6),IF(LEFT(BF907,1)="1",INDEX(係数_NOX・PM低減,MATCH(AY907,【参考】排出係数!$AI$801:$AI$804,1),1),VLOOKUP(AU907,INDEX((係数_バス貨物_ガソリン,係数_バス貨物_CNG,係数_バス貨物_軽油,係数_バス貨物_メタノール,係数_バス貨物_LPG),MATCH(AY907,【参考】排出係数!$AI$4:$AI$671,1),1,BE907):INDEX((係数_バス貨物_ガソリン,係数_バス貨物_CNG,係数_バス貨物_軽油,係数_バス貨物_メタノール,係数_バス貨物_LPG),MATCH(AY907+1,【参考】排出係数!$AI$4:$AI$671,1)-1,5,BE907),4,FALSE)),IF(AND(BE907=3,LEFT(BF907,1)="1"),0.48,VLOOKUP(AU907,INDEX((係数_乗用_ガソリン,係数_乗用_CNG,係数_乗用_軽油,係数_乗用_メタノール,係数_乗用_LPG),1,1,BE907):INDEX((係数_乗用_ガソリン,係数_乗用_CNG,係数_乗用_軽油,係数_乗用_メタノール,係数_乗用_LPG),125,5,BE907),4,FALSE)))))</f>
        <v/>
      </c>
      <c r="AL907" s="461" t="str">
        <f t="shared" si="501"/>
        <v/>
      </c>
      <c r="AM907" s="460" t="str">
        <f>IF(AU907="","",IF(OR(AZ907=8,AZ907=9),0,IF(OR(AW907=3,AW907=4,AW907=5,AW907=6),IF(LEFT(BH907,1)="1",INDEX(係数_PM低減,MATCH(AY907,【参考】排出係数!$AI$801:$AI$804,1),MATCH(BI907,【参考】排出係数!$AL$798:$AO$798,1)),VLOOKUP(AU907,INDEX((係数_バス貨物_ガソリン,係数_バス貨物_CNG,係数_バス貨物_軽油,係数_バス貨物_メタノール,係数_バス貨物_LPG),MATCH(AY907,【参考】排出係数!$AI$4:$AI$671,1),1,BE907):INDEX((係数_バス貨物_ガソリン,係数_バス貨物_CNG,係数_バス貨物_軽油,係数_バス貨物_メタノール,係数_バス貨物_LPG),MATCH(AY907+1,【参考】排出係数!$AI$4:$AI$671,1)-1,5,BE907),5,FALSE)),IF(AND(BE907=3,LEFT(BF907,1)="1"),0.055,VLOOKUP(AU907,INDEX((係数_乗用_ガソリン,係数_乗用_CNG,係数_乗用_軽油,係数_乗用_メタノール,係数_乗用_LPG),1,1,BE907):INDEX((係数_乗用_ガソリン,係数_乗用_CNG,係数_乗用_軽油,係数_乗用_メタノール,係数_乗用_LPG),125,5,BE907),5,FALSE)))))</f>
        <v/>
      </c>
      <c r="AN907" s="461" t="str">
        <f t="shared" si="502"/>
        <v/>
      </c>
      <c r="AO907" s="462" t="str">
        <f t="shared" si="503"/>
        <v/>
      </c>
      <c r="AP907" s="463" t="str">
        <f t="shared" si="504"/>
        <v/>
      </c>
      <c r="AQ907" s="464"/>
      <c r="AR907" s="619"/>
      <c r="AS907" s="465" t="str">
        <f t="shared" si="512"/>
        <v/>
      </c>
      <c r="AT907" s="465" t="str">
        <f t="shared" si="513"/>
        <v/>
      </c>
      <c r="AU907" s="466" t="str">
        <f t="shared" si="514"/>
        <v/>
      </c>
      <c r="AV907" s="467" t="str">
        <f t="shared" si="515"/>
        <v/>
      </c>
      <c r="AW907" s="467" t="str">
        <f t="shared" si="516"/>
        <v/>
      </c>
      <c r="AX907" s="467" t="str">
        <f t="shared" si="517"/>
        <v/>
      </c>
      <c r="AY907" s="467" t="str">
        <f t="shared" si="518"/>
        <v/>
      </c>
      <c r="AZ907" s="467" t="str">
        <f t="shared" si="519"/>
        <v/>
      </c>
      <c r="BA907" s="468" t="str">
        <f>IF(AS907="","",IF(OR(AU907="",AU907="-"),"－",IF(OR(AZ907=8,AZ907=9),"",IF(OR(AW907=3,AW907=4,AW907=5,AW907=6),VLOOKUP(AU907,INDEX((係数_バス貨物_ガソリン,係数_バス貨物_CNG,係数_バス貨物_軽油,係数_バス貨物_メタノール,係数_バス貨物_LPG),MATCH(AY907,【参考】排出係数!$AI$4:$AI$671,1),1,BE907):INDEX((係数_バス貨物_ガソリン,係数_バス貨物_CNG,係数_バス貨物_軽油,係数_バス貨物_メタノール,係数_バス貨物_LPG),MATCH(AY907+1,【参考】排出係数!$AI$4:$AI$671,1)-1,5,BE907),2,FALSE),IF(OR(AW907=1,AW907=2),VLOOKUP(AU907,INDEX((係数_乗用_ガソリン,係数_乗用_CNG,係数_乗用_軽油,係数_乗用_メタノール,係数_乗用_LPG),1,1,BE907):INDEX((係数_乗用_ガソリン,係数_乗用_CNG,係数_乗用_軽油,係数_乗用_メタノール,係数_乗用_LPG),125,5,BE907),2,FALSE))))))</f>
        <v/>
      </c>
      <c r="BB907" s="468" t="str">
        <f>IF(T907="","",IF(OR(AU907="",AU907="-"),"－",IF(OR(AZ907=8,AZ907=9),"",IF(OR(AW907=3,AW907=4,AW907=5,AW907=6),VLOOKUP(AU907,INDEX((係数_バス貨物_ガソリン,係数_バス貨物_CNG,係数_バス貨物_軽油,係数_バス貨物_メタノール,係数_バス貨物_LPG),MATCH(AY907,【参考】排出係数!$AI$4:$AI$671,1),1,BE907):INDEX((係数_バス貨物_ガソリン,係数_バス貨物_CNG,係数_バス貨物_軽油,係数_バス貨物_メタノール,係数_バス貨物_LPG),MATCH(AY907+1,【参考】排出係数!$AI$4:$AI$671,1)-1,5,BE907),3,FALSE),IF(OR(AW907=1,AW907=2),VLOOKUP(AU907,INDEX((係数_乗用_ガソリン,係数_乗用_CNG,係数_乗用_軽油,係数_乗用_メタノール,係数_乗用_LPG),1,1,BE907):INDEX((係数_乗用_ガソリン,係数_乗用_CNG,係数_乗用_軽油,係数_乗用_メタノール,係数_乗用_LPG),125,5,BE907),3,FALSE))))))</f>
        <v/>
      </c>
      <c r="BC907" s="467" t="str">
        <f t="shared" si="520"/>
        <v/>
      </c>
      <c r="BD907" s="567" t="str">
        <f t="shared" si="521"/>
        <v/>
      </c>
      <c r="BE907" s="467" t="str">
        <f t="shared" si="522"/>
        <v/>
      </c>
      <c r="BF907" s="469" t="str">
        <f t="shared" ca="1" si="523"/>
        <v/>
      </c>
      <c r="BG907" s="469" t="str">
        <f t="shared" ca="1" si="524"/>
        <v/>
      </c>
      <c r="BH907" s="467" t="str">
        <f t="shared" si="525"/>
        <v/>
      </c>
      <c r="BI907" s="467" t="str">
        <f t="shared" ca="1" si="526"/>
        <v/>
      </c>
      <c r="BJ907" s="469" t="str">
        <f t="shared" si="527"/>
        <v/>
      </c>
      <c r="BK907" s="470" t="str">
        <f t="shared" si="511"/>
        <v/>
      </c>
      <c r="BL907" s="775" t="str">
        <f t="shared" si="528"/>
        <v/>
      </c>
      <c r="BM907" s="775" t="str">
        <f t="shared" si="529"/>
        <v/>
      </c>
    </row>
    <row r="908" spans="1:65">
      <c r="A908" s="473">
        <v>852</v>
      </c>
      <c r="B908" s="132"/>
      <c r="C908" s="332"/>
      <c r="D908" s="333"/>
      <c r="E908" s="333"/>
      <c r="F908" s="334"/>
      <c r="G908" s="337"/>
      <c r="H908" s="131"/>
      <c r="I908" s="337"/>
      <c r="J908" s="131"/>
      <c r="K908" s="458" t="str">
        <f t="shared" si="492"/>
        <v/>
      </c>
      <c r="L908" s="458">
        <f t="shared" si="493"/>
        <v>0</v>
      </c>
      <c r="M908" s="458">
        <f t="shared" si="494"/>
        <v>0</v>
      </c>
      <c r="N908" s="459" t="str">
        <f t="shared" si="505"/>
        <v/>
      </c>
      <c r="O908" s="459" t="str">
        <f t="shared" si="506"/>
        <v/>
      </c>
      <c r="P908" s="459" t="str">
        <f t="shared" si="507"/>
        <v/>
      </c>
      <c r="Q908" s="459" t="str">
        <f t="shared" si="508"/>
        <v/>
      </c>
      <c r="R908" s="459" t="str">
        <f t="shared" si="509"/>
        <v/>
      </c>
      <c r="S908" s="459" t="str">
        <f t="shared" si="510"/>
        <v/>
      </c>
      <c r="T908" s="566" t="str">
        <f t="shared" si="495"/>
        <v/>
      </c>
      <c r="U908" s="702"/>
      <c r="V908" s="132"/>
      <c r="W908" s="133"/>
      <c r="X908" s="134"/>
      <c r="Y908" s="135"/>
      <c r="Z908" s="137"/>
      <c r="AA908" s="136"/>
      <c r="AB908" s="566" t="str">
        <f t="shared" si="496"/>
        <v/>
      </c>
      <c r="AC908" s="568" t="str">
        <f t="shared" si="497"/>
        <v/>
      </c>
      <c r="AD908" s="137"/>
      <c r="AE908" s="137"/>
      <c r="AF908" s="138"/>
      <c r="AG908" s="138"/>
      <c r="AH908" s="592" t="str">
        <f t="shared" si="498"/>
        <v/>
      </c>
      <c r="AI908" s="592" t="str">
        <f t="shared" si="499"/>
        <v/>
      </c>
      <c r="AJ908" s="592" t="str">
        <f t="shared" si="500"/>
        <v/>
      </c>
      <c r="AK908" s="460" t="str">
        <f>IF(AU908="","",IF(OR(AZ908=8,AZ908=9),0,IF(OR(AW908=3,AW908=4,AW908=5,AW908=6),IF(LEFT(BF908,1)="1",INDEX(係数_NOX・PM低減,MATCH(AY908,【参考】排出係数!$AI$801:$AI$804,1),1),VLOOKUP(AU908,INDEX((係数_バス貨物_ガソリン,係数_バス貨物_CNG,係数_バス貨物_軽油,係数_バス貨物_メタノール,係数_バス貨物_LPG),MATCH(AY908,【参考】排出係数!$AI$4:$AI$671,1),1,BE908):INDEX((係数_バス貨物_ガソリン,係数_バス貨物_CNG,係数_バス貨物_軽油,係数_バス貨物_メタノール,係数_バス貨物_LPG),MATCH(AY908+1,【参考】排出係数!$AI$4:$AI$671,1)-1,5,BE908),4,FALSE)),IF(AND(BE908=3,LEFT(BF908,1)="1"),0.48,VLOOKUP(AU908,INDEX((係数_乗用_ガソリン,係数_乗用_CNG,係数_乗用_軽油,係数_乗用_メタノール,係数_乗用_LPG),1,1,BE908):INDEX((係数_乗用_ガソリン,係数_乗用_CNG,係数_乗用_軽油,係数_乗用_メタノール,係数_乗用_LPG),125,5,BE908),4,FALSE)))))</f>
        <v/>
      </c>
      <c r="AL908" s="461" t="str">
        <f t="shared" si="501"/>
        <v/>
      </c>
      <c r="AM908" s="460" t="str">
        <f>IF(AU908="","",IF(OR(AZ908=8,AZ908=9),0,IF(OR(AW908=3,AW908=4,AW908=5,AW908=6),IF(LEFT(BH908,1)="1",INDEX(係数_PM低減,MATCH(AY908,【参考】排出係数!$AI$801:$AI$804,1),MATCH(BI908,【参考】排出係数!$AL$798:$AO$798,1)),VLOOKUP(AU908,INDEX((係数_バス貨物_ガソリン,係数_バス貨物_CNG,係数_バス貨物_軽油,係数_バス貨物_メタノール,係数_バス貨物_LPG),MATCH(AY908,【参考】排出係数!$AI$4:$AI$671,1),1,BE908):INDEX((係数_バス貨物_ガソリン,係数_バス貨物_CNG,係数_バス貨物_軽油,係数_バス貨物_メタノール,係数_バス貨物_LPG),MATCH(AY908+1,【参考】排出係数!$AI$4:$AI$671,1)-1,5,BE908),5,FALSE)),IF(AND(BE908=3,LEFT(BF908,1)="1"),0.055,VLOOKUP(AU908,INDEX((係数_乗用_ガソリン,係数_乗用_CNG,係数_乗用_軽油,係数_乗用_メタノール,係数_乗用_LPG),1,1,BE908):INDEX((係数_乗用_ガソリン,係数_乗用_CNG,係数_乗用_軽油,係数_乗用_メタノール,係数_乗用_LPG),125,5,BE908),5,FALSE)))))</f>
        <v/>
      </c>
      <c r="AN908" s="461" t="str">
        <f t="shared" si="502"/>
        <v/>
      </c>
      <c r="AO908" s="462" t="str">
        <f t="shared" si="503"/>
        <v/>
      </c>
      <c r="AP908" s="463" t="str">
        <f t="shared" si="504"/>
        <v/>
      </c>
      <c r="AQ908" s="464"/>
      <c r="AR908" s="619"/>
      <c r="AS908" s="465" t="str">
        <f t="shared" si="512"/>
        <v/>
      </c>
      <c r="AT908" s="465" t="str">
        <f t="shared" si="513"/>
        <v/>
      </c>
      <c r="AU908" s="466" t="str">
        <f t="shared" si="514"/>
        <v/>
      </c>
      <c r="AV908" s="467" t="str">
        <f t="shared" si="515"/>
        <v/>
      </c>
      <c r="AW908" s="467" t="str">
        <f t="shared" si="516"/>
        <v/>
      </c>
      <c r="AX908" s="467" t="str">
        <f t="shared" si="517"/>
        <v/>
      </c>
      <c r="AY908" s="467" t="str">
        <f t="shared" si="518"/>
        <v/>
      </c>
      <c r="AZ908" s="467" t="str">
        <f t="shared" si="519"/>
        <v/>
      </c>
      <c r="BA908" s="468" t="str">
        <f>IF(AS908="","",IF(OR(AU908="",AU908="-"),"－",IF(OR(AZ908=8,AZ908=9),"",IF(OR(AW908=3,AW908=4,AW908=5,AW908=6),VLOOKUP(AU908,INDEX((係数_バス貨物_ガソリン,係数_バス貨物_CNG,係数_バス貨物_軽油,係数_バス貨物_メタノール,係数_バス貨物_LPG),MATCH(AY908,【参考】排出係数!$AI$4:$AI$671,1),1,BE908):INDEX((係数_バス貨物_ガソリン,係数_バス貨物_CNG,係数_バス貨物_軽油,係数_バス貨物_メタノール,係数_バス貨物_LPG),MATCH(AY908+1,【参考】排出係数!$AI$4:$AI$671,1)-1,5,BE908),2,FALSE),IF(OR(AW908=1,AW908=2),VLOOKUP(AU908,INDEX((係数_乗用_ガソリン,係数_乗用_CNG,係数_乗用_軽油,係数_乗用_メタノール,係数_乗用_LPG),1,1,BE908):INDEX((係数_乗用_ガソリン,係数_乗用_CNG,係数_乗用_軽油,係数_乗用_メタノール,係数_乗用_LPG),125,5,BE908),2,FALSE))))))</f>
        <v/>
      </c>
      <c r="BB908" s="468" t="str">
        <f>IF(T908="","",IF(OR(AU908="",AU908="-"),"－",IF(OR(AZ908=8,AZ908=9),"",IF(OR(AW908=3,AW908=4,AW908=5,AW908=6),VLOOKUP(AU908,INDEX((係数_バス貨物_ガソリン,係数_バス貨物_CNG,係数_バス貨物_軽油,係数_バス貨物_メタノール,係数_バス貨物_LPG),MATCH(AY908,【参考】排出係数!$AI$4:$AI$671,1),1,BE908):INDEX((係数_バス貨物_ガソリン,係数_バス貨物_CNG,係数_バス貨物_軽油,係数_バス貨物_メタノール,係数_バス貨物_LPG),MATCH(AY908+1,【参考】排出係数!$AI$4:$AI$671,1)-1,5,BE908),3,FALSE),IF(OR(AW908=1,AW908=2),VLOOKUP(AU908,INDEX((係数_乗用_ガソリン,係数_乗用_CNG,係数_乗用_軽油,係数_乗用_メタノール,係数_乗用_LPG),1,1,BE908):INDEX((係数_乗用_ガソリン,係数_乗用_CNG,係数_乗用_軽油,係数_乗用_メタノール,係数_乗用_LPG),125,5,BE908),3,FALSE))))))</f>
        <v/>
      </c>
      <c r="BC908" s="467" t="str">
        <f t="shared" si="520"/>
        <v/>
      </c>
      <c r="BD908" s="567" t="str">
        <f t="shared" si="521"/>
        <v/>
      </c>
      <c r="BE908" s="467" t="str">
        <f t="shared" si="522"/>
        <v/>
      </c>
      <c r="BF908" s="469" t="str">
        <f t="shared" ca="1" si="523"/>
        <v/>
      </c>
      <c r="BG908" s="469" t="str">
        <f t="shared" ca="1" si="524"/>
        <v/>
      </c>
      <c r="BH908" s="467" t="str">
        <f t="shared" si="525"/>
        <v/>
      </c>
      <c r="BI908" s="467" t="str">
        <f t="shared" ca="1" si="526"/>
        <v/>
      </c>
      <c r="BJ908" s="469" t="str">
        <f t="shared" si="527"/>
        <v/>
      </c>
      <c r="BK908" s="470" t="str">
        <f t="shared" si="511"/>
        <v/>
      </c>
      <c r="BL908" s="775" t="str">
        <f t="shared" si="528"/>
        <v/>
      </c>
      <c r="BM908" s="775" t="str">
        <f t="shared" si="529"/>
        <v/>
      </c>
    </row>
    <row r="909" spans="1:65">
      <c r="A909" s="473">
        <v>853</v>
      </c>
      <c r="B909" s="132"/>
      <c r="C909" s="332"/>
      <c r="D909" s="333"/>
      <c r="E909" s="333"/>
      <c r="F909" s="334"/>
      <c r="G909" s="337"/>
      <c r="H909" s="131"/>
      <c r="I909" s="337"/>
      <c r="J909" s="131"/>
      <c r="K909" s="458" t="str">
        <f t="shared" si="492"/>
        <v/>
      </c>
      <c r="L909" s="458">
        <f t="shared" si="493"/>
        <v>0</v>
      </c>
      <c r="M909" s="458">
        <f t="shared" si="494"/>
        <v>0</v>
      </c>
      <c r="N909" s="459" t="str">
        <f t="shared" si="505"/>
        <v/>
      </c>
      <c r="O909" s="459" t="str">
        <f t="shared" si="506"/>
        <v/>
      </c>
      <c r="P909" s="459" t="str">
        <f t="shared" si="507"/>
        <v/>
      </c>
      <c r="Q909" s="459" t="str">
        <f t="shared" si="508"/>
        <v/>
      </c>
      <c r="R909" s="459" t="str">
        <f t="shared" si="509"/>
        <v/>
      </c>
      <c r="S909" s="459" t="str">
        <f t="shared" si="510"/>
        <v/>
      </c>
      <c r="T909" s="566" t="str">
        <f t="shared" si="495"/>
        <v/>
      </c>
      <c r="U909" s="702"/>
      <c r="V909" s="132"/>
      <c r="W909" s="133"/>
      <c r="X909" s="134"/>
      <c r="Y909" s="135"/>
      <c r="Z909" s="137"/>
      <c r="AA909" s="136"/>
      <c r="AB909" s="566" t="str">
        <f t="shared" si="496"/>
        <v/>
      </c>
      <c r="AC909" s="568" t="str">
        <f t="shared" si="497"/>
        <v/>
      </c>
      <c r="AD909" s="137"/>
      <c r="AE909" s="137"/>
      <c r="AF909" s="138"/>
      <c r="AG909" s="138"/>
      <c r="AH909" s="592" t="str">
        <f t="shared" si="498"/>
        <v/>
      </c>
      <c r="AI909" s="592" t="str">
        <f t="shared" si="499"/>
        <v/>
      </c>
      <c r="AJ909" s="592" t="str">
        <f t="shared" si="500"/>
        <v/>
      </c>
      <c r="AK909" s="460" t="str">
        <f>IF(AU909="","",IF(OR(AZ909=8,AZ909=9),0,IF(OR(AW909=3,AW909=4,AW909=5,AW909=6),IF(LEFT(BF909,1)="1",INDEX(係数_NOX・PM低減,MATCH(AY909,【参考】排出係数!$AI$801:$AI$804,1),1),VLOOKUP(AU909,INDEX((係数_バス貨物_ガソリン,係数_バス貨物_CNG,係数_バス貨物_軽油,係数_バス貨物_メタノール,係数_バス貨物_LPG),MATCH(AY909,【参考】排出係数!$AI$4:$AI$671,1),1,BE909):INDEX((係数_バス貨物_ガソリン,係数_バス貨物_CNG,係数_バス貨物_軽油,係数_バス貨物_メタノール,係数_バス貨物_LPG),MATCH(AY909+1,【参考】排出係数!$AI$4:$AI$671,1)-1,5,BE909),4,FALSE)),IF(AND(BE909=3,LEFT(BF909,1)="1"),0.48,VLOOKUP(AU909,INDEX((係数_乗用_ガソリン,係数_乗用_CNG,係数_乗用_軽油,係数_乗用_メタノール,係数_乗用_LPG),1,1,BE909):INDEX((係数_乗用_ガソリン,係数_乗用_CNG,係数_乗用_軽油,係数_乗用_メタノール,係数_乗用_LPG),125,5,BE909),4,FALSE)))))</f>
        <v/>
      </c>
      <c r="AL909" s="461" t="str">
        <f t="shared" si="501"/>
        <v/>
      </c>
      <c r="AM909" s="460" t="str">
        <f>IF(AU909="","",IF(OR(AZ909=8,AZ909=9),0,IF(OR(AW909=3,AW909=4,AW909=5,AW909=6),IF(LEFT(BH909,1)="1",INDEX(係数_PM低減,MATCH(AY909,【参考】排出係数!$AI$801:$AI$804,1),MATCH(BI909,【参考】排出係数!$AL$798:$AO$798,1)),VLOOKUP(AU909,INDEX((係数_バス貨物_ガソリン,係数_バス貨物_CNG,係数_バス貨物_軽油,係数_バス貨物_メタノール,係数_バス貨物_LPG),MATCH(AY909,【参考】排出係数!$AI$4:$AI$671,1),1,BE909):INDEX((係数_バス貨物_ガソリン,係数_バス貨物_CNG,係数_バス貨物_軽油,係数_バス貨物_メタノール,係数_バス貨物_LPG),MATCH(AY909+1,【参考】排出係数!$AI$4:$AI$671,1)-1,5,BE909),5,FALSE)),IF(AND(BE909=3,LEFT(BF909,1)="1"),0.055,VLOOKUP(AU909,INDEX((係数_乗用_ガソリン,係数_乗用_CNG,係数_乗用_軽油,係数_乗用_メタノール,係数_乗用_LPG),1,1,BE909):INDEX((係数_乗用_ガソリン,係数_乗用_CNG,係数_乗用_軽油,係数_乗用_メタノール,係数_乗用_LPG),125,5,BE909),5,FALSE)))))</f>
        <v/>
      </c>
      <c r="AN909" s="461" t="str">
        <f t="shared" si="502"/>
        <v/>
      </c>
      <c r="AO909" s="462" t="str">
        <f t="shared" si="503"/>
        <v/>
      </c>
      <c r="AP909" s="463" t="str">
        <f t="shared" si="504"/>
        <v/>
      </c>
      <c r="AQ909" s="464"/>
      <c r="AR909" s="619"/>
      <c r="AS909" s="465" t="str">
        <f t="shared" si="512"/>
        <v/>
      </c>
      <c r="AT909" s="465" t="str">
        <f t="shared" si="513"/>
        <v/>
      </c>
      <c r="AU909" s="466" t="str">
        <f t="shared" si="514"/>
        <v/>
      </c>
      <c r="AV909" s="467" t="str">
        <f t="shared" si="515"/>
        <v/>
      </c>
      <c r="AW909" s="467" t="str">
        <f t="shared" si="516"/>
        <v/>
      </c>
      <c r="AX909" s="467" t="str">
        <f t="shared" si="517"/>
        <v/>
      </c>
      <c r="AY909" s="467" t="str">
        <f t="shared" si="518"/>
        <v/>
      </c>
      <c r="AZ909" s="467" t="str">
        <f t="shared" si="519"/>
        <v/>
      </c>
      <c r="BA909" s="468" t="str">
        <f>IF(AS909="","",IF(OR(AU909="",AU909="-"),"－",IF(OR(AZ909=8,AZ909=9),"",IF(OR(AW909=3,AW909=4,AW909=5,AW909=6),VLOOKUP(AU909,INDEX((係数_バス貨物_ガソリン,係数_バス貨物_CNG,係数_バス貨物_軽油,係数_バス貨物_メタノール,係数_バス貨物_LPG),MATCH(AY909,【参考】排出係数!$AI$4:$AI$671,1),1,BE909):INDEX((係数_バス貨物_ガソリン,係数_バス貨物_CNG,係数_バス貨物_軽油,係数_バス貨物_メタノール,係数_バス貨物_LPG),MATCH(AY909+1,【参考】排出係数!$AI$4:$AI$671,1)-1,5,BE909),2,FALSE),IF(OR(AW909=1,AW909=2),VLOOKUP(AU909,INDEX((係数_乗用_ガソリン,係数_乗用_CNG,係数_乗用_軽油,係数_乗用_メタノール,係数_乗用_LPG),1,1,BE909):INDEX((係数_乗用_ガソリン,係数_乗用_CNG,係数_乗用_軽油,係数_乗用_メタノール,係数_乗用_LPG),125,5,BE909),2,FALSE))))))</f>
        <v/>
      </c>
      <c r="BB909" s="468" t="str">
        <f>IF(T909="","",IF(OR(AU909="",AU909="-"),"－",IF(OR(AZ909=8,AZ909=9),"",IF(OR(AW909=3,AW909=4,AW909=5,AW909=6),VLOOKUP(AU909,INDEX((係数_バス貨物_ガソリン,係数_バス貨物_CNG,係数_バス貨物_軽油,係数_バス貨物_メタノール,係数_バス貨物_LPG),MATCH(AY909,【参考】排出係数!$AI$4:$AI$671,1),1,BE909):INDEX((係数_バス貨物_ガソリン,係数_バス貨物_CNG,係数_バス貨物_軽油,係数_バス貨物_メタノール,係数_バス貨物_LPG),MATCH(AY909+1,【参考】排出係数!$AI$4:$AI$671,1)-1,5,BE909),3,FALSE),IF(OR(AW909=1,AW909=2),VLOOKUP(AU909,INDEX((係数_乗用_ガソリン,係数_乗用_CNG,係数_乗用_軽油,係数_乗用_メタノール,係数_乗用_LPG),1,1,BE909):INDEX((係数_乗用_ガソリン,係数_乗用_CNG,係数_乗用_軽油,係数_乗用_メタノール,係数_乗用_LPG),125,5,BE909),3,FALSE))))))</f>
        <v/>
      </c>
      <c r="BC909" s="467" t="str">
        <f t="shared" si="520"/>
        <v/>
      </c>
      <c r="BD909" s="567" t="str">
        <f t="shared" si="521"/>
        <v/>
      </c>
      <c r="BE909" s="467" t="str">
        <f t="shared" si="522"/>
        <v/>
      </c>
      <c r="BF909" s="469" t="str">
        <f t="shared" ca="1" si="523"/>
        <v/>
      </c>
      <c r="BG909" s="469" t="str">
        <f t="shared" ca="1" si="524"/>
        <v/>
      </c>
      <c r="BH909" s="467" t="str">
        <f t="shared" si="525"/>
        <v/>
      </c>
      <c r="BI909" s="467" t="str">
        <f t="shared" ca="1" si="526"/>
        <v/>
      </c>
      <c r="BJ909" s="469" t="str">
        <f t="shared" si="527"/>
        <v/>
      </c>
      <c r="BK909" s="470" t="str">
        <f t="shared" si="511"/>
        <v/>
      </c>
      <c r="BL909" s="775" t="str">
        <f t="shared" si="528"/>
        <v/>
      </c>
      <c r="BM909" s="775" t="str">
        <f t="shared" si="529"/>
        <v/>
      </c>
    </row>
    <row r="910" spans="1:65">
      <c r="A910" s="473">
        <v>854</v>
      </c>
      <c r="B910" s="132"/>
      <c r="C910" s="332"/>
      <c r="D910" s="333"/>
      <c r="E910" s="333"/>
      <c r="F910" s="334"/>
      <c r="G910" s="337"/>
      <c r="H910" s="131"/>
      <c r="I910" s="337"/>
      <c r="J910" s="131"/>
      <c r="K910" s="458" t="str">
        <f t="shared" si="492"/>
        <v/>
      </c>
      <c r="L910" s="458">
        <f t="shared" si="493"/>
        <v>0</v>
      </c>
      <c r="M910" s="458">
        <f t="shared" si="494"/>
        <v>0</v>
      </c>
      <c r="N910" s="459" t="str">
        <f t="shared" si="505"/>
        <v/>
      </c>
      <c r="O910" s="459" t="str">
        <f t="shared" si="506"/>
        <v/>
      </c>
      <c r="P910" s="459" t="str">
        <f t="shared" si="507"/>
        <v/>
      </c>
      <c r="Q910" s="459" t="str">
        <f t="shared" si="508"/>
        <v/>
      </c>
      <c r="R910" s="459" t="str">
        <f t="shared" si="509"/>
        <v/>
      </c>
      <c r="S910" s="459" t="str">
        <f t="shared" si="510"/>
        <v/>
      </c>
      <c r="T910" s="566" t="str">
        <f t="shared" si="495"/>
        <v/>
      </c>
      <c r="U910" s="702"/>
      <c r="V910" s="132"/>
      <c r="W910" s="133"/>
      <c r="X910" s="134"/>
      <c r="Y910" s="135"/>
      <c r="Z910" s="137"/>
      <c r="AA910" s="136"/>
      <c r="AB910" s="566" t="str">
        <f t="shared" si="496"/>
        <v/>
      </c>
      <c r="AC910" s="568" t="str">
        <f t="shared" si="497"/>
        <v/>
      </c>
      <c r="AD910" s="137"/>
      <c r="AE910" s="137"/>
      <c r="AF910" s="138"/>
      <c r="AG910" s="138"/>
      <c r="AH910" s="592" t="str">
        <f t="shared" si="498"/>
        <v/>
      </c>
      <c r="AI910" s="592" t="str">
        <f t="shared" si="499"/>
        <v/>
      </c>
      <c r="AJ910" s="592" t="str">
        <f t="shared" si="500"/>
        <v/>
      </c>
      <c r="AK910" s="460" t="str">
        <f>IF(AU910="","",IF(OR(AZ910=8,AZ910=9),0,IF(OR(AW910=3,AW910=4,AW910=5,AW910=6),IF(LEFT(BF910,1)="1",INDEX(係数_NOX・PM低減,MATCH(AY910,【参考】排出係数!$AI$801:$AI$804,1),1),VLOOKUP(AU910,INDEX((係数_バス貨物_ガソリン,係数_バス貨物_CNG,係数_バス貨物_軽油,係数_バス貨物_メタノール,係数_バス貨物_LPG),MATCH(AY910,【参考】排出係数!$AI$4:$AI$671,1),1,BE910):INDEX((係数_バス貨物_ガソリン,係数_バス貨物_CNG,係数_バス貨物_軽油,係数_バス貨物_メタノール,係数_バス貨物_LPG),MATCH(AY910+1,【参考】排出係数!$AI$4:$AI$671,1)-1,5,BE910),4,FALSE)),IF(AND(BE910=3,LEFT(BF910,1)="1"),0.48,VLOOKUP(AU910,INDEX((係数_乗用_ガソリン,係数_乗用_CNG,係数_乗用_軽油,係数_乗用_メタノール,係数_乗用_LPG),1,1,BE910):INDEX((係数_乗用_ガソリン,係数_乗用_CNG,係数_乗用_軽油,係数_乗用_メタノール,係数_乗用_LPG),125,5,BE910),4,FALSE)))))</f>
        <v/>
      </c>
      <c r="AL910" s="461" t="str">
        <f t="shared" si="501"/>
        <v/>
      </c>
      <c r="AM910" s="460" t="str">
        <f>IF(AU910="","",IF(OR(AZ910=8,AZ910=9),0,IF(OR(AW910=3,AW910=4,AW910=5,AW910=6),IF(LEFT(BH910,1)="1",INDEX(係数_PM低減,MATCH(AY910,【参考】排出係数!$AI$801:$AI$804,1),MATCH(BI910,【参考】排出係数!$AL$798:$AO$798,1)),VLOOKUP(AU910,INDEX((係数_バス貨物_ガソリン,係数_バス貨物_CNG,係数_バス貨物_軽油,係数_バス貨物_メタノール,係数_バス貨物_LPG),MATCH(AY910,【参考】排出係数!$AI$4:$AI$671,1),1,BE910):INDEX((係数_バス貨物_ガソリン,係数_バス貨物_CNG,係数_バス貨物_軽油,係数_バス貨物_メタノール,係数_バス貨物_LPG),MATCH(AY910+1,【参考】排出係数!$AI$4:$AI$671,1)-1,5,BE910),5,FALSE)),IF(AND(BE910=3,LEFT(BF910,1)="1"),0.055,VLOOKUP(AU910,INDEX((係数_乗用_ガソリン,係数_乗用_CNG,係数_乗用_軽油,係数_乗用_メタノール,係数_乗用_LPG),1,1,BE910):INDEX((係数_乗用_ガソリン,係数_乗用_CNG,係数_乗用_軽油,係数_乗用_メタノール,係数_乗用_LPG),125,5,BE910),5,FALSE)))))</f>
        <v/>
      </c>
      <c r="AN910" s="461" t="str">
        <f t="shared" si="502"/>
        <v/>
      </c>
      <c r="AO910" s="462" t="str">
        <f t="shared" si="503"/>
        <v/>
      </c>
      <c r="AP910" s="463" t="str">
        <f t="shared" si="504"/>
        <v/>
      </c>
      <c r="AQ910" s="464"/>
      <c r="AR910" s="619"/>
      <c r="AS910" s="465" t="str">
        <f t="shared" si="512"/>
        <v/>
      </c>
      <c r="AT910" s="465" t="str">
        <f t="shared" si="513"/>
        <v/>
      </c>
      <c r="AU910" s="466" t="str">
        <f t="shared" si="514"/>
        <v/>
      </c>
      <c r="AV910" s="467" t="str">
        <f t="shared" si="515"/>
        <v/>
      </c>
      <c r="AW910" s="467" t="str">
        <f t="shared" si="516"/>
        <v/>
      </c>
      <c r="AX910" s="467" t="str">
        <f t="shared" si="517"/>
        <v/>
      </c>
      <c r="AY910" s="467" t="str">
        <f t="shared" si="518"/>
        <v/>
      </c>
      <c r="AZ910" s="467" t="str">
        <f t="shared" si="519"/>
        <v/>
      </c>
      <c r="BA910" s="468" t="str">
        <f>IF(AS910="","",IF(OR(AU910="",AU910="-"),"－",IF(OR(AZ910=8,AZ910=9),"",IF(OR(AW910=3,AW910=4,AW910=5,AW910=6),VLOOKUP(AU910,INDEX((係数_バス貨物_ガソリン,係数_バス貨物_CNG,係数_バス貨物_軽油,係数_バス貨物_メタノール,係数_バス貨物_LPG),MATCH(AY910,【参考】排出係数!$AI$4:$AI$671,1),1,BE910):INDEX((係数_バス貨物_ガソリン,係数_バス貨物_CNG,係数_バス貨物_軽油,係数_バス貨物_メタノール,係数_バス貨物_LPG),MATCH(AY910+1,【参考】排出係数!$AI$4:$AI$671,1)-1,5,BE910),2,FALSE),IF(OR(AW910=1,AW910=2),VLOOKUP(AU910,INDEX((係数_乗用_ガソリン,係数_乗用_CNG,係数_乗用_軽油,係数_乗用_メタノール,係数_乗用_LPG),1,1,BE910):INDEX((係数_乗用_ガソリン,係数_乗用_CNG,係数_乗用_軽油,係数_乗用_メタノール,係数_乗用_LPG),125,5,BE910),2,FALSE))))))</f>
        <v/>
      </c>
      <c r="BB910" s="468" t="str">
        <f>IF(T910="","",IF(OR(AU910="",AU910="-"),"－",IF(OR(AZ910=8,AZ910=9),"",IF(OR(AW910=3,AW910=4,AW910=5,AW910=6),VLOOKUP(AU910,INDEX((係数_バス貨物_ガソリン,係数_バス貨物_CNG,係数_バス貨物_軽油,係数_バス貨物_メタノール,係数_バス貨物_LPG),MATCH(AY910,【参考】排出係数!$AI$4:$AI$671,1),1,BE910):INDEX((係数_バス貨物_ガソリン,係数_バス貨物_CNG,係数_バス貨物_軽油,係数_バス貨物_メタノール,係数_バス貨物_LPG),MATCH(AY910+1,【参考】排出係数!$AI$4:$AI$671,1)-1,5,BE910),3,FALSE),IF(OR(AW910=1,AW910=2),VLOOKUP(AU910,INDEX((係数_乗用_ガソリン,係数_乗用_CNG,係数_乗用_軽油,係数_乗用_メタノール,係数_乗用_LPG),1,1,BE910):INDEX((係数_乗用_ガソリン,係数_乗用_CNG,係数_乗用_軽油,係数_乗用_メタノール,係数_乗用_LPG),125,5,BE910),3,FALSE))))))</f>
        <v/>
      </c>
      <c r="BC910" s="467" t="str">
        <f t="shared" si="520"/>
        <v/>
      </c>
      <c r="BD910" s="567" t="str">
        <f t="shared" si="521"/>
        <v/>
      </c>
      <c r="BE910" s="467" t="str">
        <f t="shared" si="522"/>
        <v/>
      </c>
      <c r="BF910" s="469" t="str">
        <f t="shared" ca="1" si="523"/>
        <v/>
      </c>
      <c r="BG910" s="469" t="str">
        <f t="shared" ca="1" si="524"/>
        <v/>
      </c>
      <c r="BH910" s="467" t="str">
        <f t="shared" si="525"/>
        <v/>
      </c>
      <c r="BI910" s="467" t="str">
        <f t="shared" ca="1" si="526"/>
        <v/>
      </c>
      <c r="BJ910" s="469" t="str">
        <f t="shared" si="527"/>
        <v/>
      </c>
      <c r="BK910" s="470" t="str">
        <f t="shared" si="511"/>
        <v/>
      </c>
      <c r="BL910" s="775" t="str">
        <f t="shared" si="528"/>
        <v/>
      </c>
      <c r="BM910" s="775" t="str">
        <f t="shared" si="529"/>
        <v/>
      </c>
    </row>
    <row r="911" spans="1:65">
      <c r="A911" s="473">
        <v>855</v>
      </c>
      <c r="B911" s="132"/>
      <c r="C911" s="332"/>
      <c r="D911" s="333"/>
      <c r="E911" s="333"/>
      <c r="F911" s="334"/>
      <c r="G911" s="337"/>
      <c r="H911" s="131"/>
      <c r="I911" s="337"/>
      <c r="J911" s="131"/>
      <c r="K911" s="458" t="str">
        <f t="shared" si="492"/>
        <v/>
      </c>
      <c r="L911" s="458">
        <f t="shared" si="493"/>
        <v>0</v>
      </c>
      <c r="M911" s="458">
        <f t="shared" si="494"/>
        <v>0</v>
      </c>
      <c r="N911" s="459" t="str">
        <f t="shared" si="505"/>
        <v/>
      </c>
      <c r="O911" s="459" t="str">
        <f t="shared" si="506"/>
        <v/>
      </c>
      <c r="P911" s="459" t="str">
        <f t="shared" si="507"/>
        <v/>
      </c>
      <c r="Q911" s="459" t="str">
        <f t="shared" si="508"/>
        <v/>
      </c>
      <c r="R911" s="459" t="str">
        <f t="shared" si="509"/>
        <v/>
      </c>
      <c r="S911" s="459" t="str">
        <f t="shared" si="510"/>
        <v/>
      </c>
      <c r="T911" s="566" t="str">
        <f t="shared" si="495"/>
        <v/>
      </c>
      <c r="U911" s="702"/>
      <c r="V911" s="132"/>
      <c r="W911" s="133"/>
      <c r="X911" s="134"/>
      <c r="Y911" s="135"/>
      <c r="Z911" s="137"/>
      <c r="AA911" s="136"/>
      <c r="AB911" s="566" t="str">
        <f t="shared" si="496"/>
        <v/>
      </c>
      <c r="AC911" s="568" t="str">
        <f t="shared" si="497"/>
        <v/>
      </c>
      <c r="AD911" s="137"/>
      <c r="AE911" s="137"/>
      <c r="AF911" s="138"/>
      <c r="AG911" s="138"/>
      <c r="AH911" s="592" t="str">
        <f t="shared" si="498"/>
        <v/>
      </c>
      <c r="AI911" s="592" t="str">
        <f t="shared" si="499"/>
        <v/>
      </c>
      <c r="AJ911" s="592" t="str">
        <f t="shared" si="500"/>
        <v/>
      </c>
      <c r="AK911" s="460" t="str">
        <f>IF(AU911="","",IF(OR(AZ911=8,AZ911=9),0,IF(OR(AW911=3,AW911=4,AW911=5,AW911=6),IF(LEFT(BF911,1)="1",INDEX(係数_NOX・PM低減,MATCH(AY911,【参考】排出係数!$AI$801:$AI$804,1),1),VLOOKUP(AU911,INDEX((係数_バス貨物_ガソリン,係数_バス貨物_CNG,係数_バス貨物_軽油,係数_バス貨物_メタノール,係数_バス貨物_LPG),MATCH(AY911,【参考】排出係数!$AI$4:$AI$671,1),1,BE911):INDEX((係数_バス貨物_ガソリン,係数_バス貨物_CNG,係数_バス貨物_軽油,係数_バス貨物_メタノール,係数_バス貨物_LPG),MATCH(AY911+1,【参考】排出係数!$AI$4:$AI$671,1)-1,5,BE911),4,FALSE)),IF(AND(BE911=3,LEFT(BF911,1)="1"),0.48,VLOOKUP(AU911,INDEX((係数_乗用_ガソリン,係数_乗用_CNG,係数_乗用_軽油,係数_乗用_メタノール,係数_乗用_LPG),1,1,BE911):INDEX((係数_乗用_ガソリン,係数_乗用_CNG,係数_乗用_軽油,係数_乗用_メタノール,係数_乗用_LPG),125,5,BE911),4,FALSE)))))</f>
        <v/>
      </c>
      <c r="AL911" s="461" t="str">
        <f t="shared" si="501"/>
        <v/>
      </c>
      <c r="AM911" s="460" t="str">
        <f>IF(AU911="","",IF(OR(AZ911=8,AZ911=9),0,IF(OR(AW911=3,AW911=4,AW911=5,AW911=6),IF(LEFT(BH911,1)="1",INDEX(係数_PM低減,MATCH(AY911,【参考】排出係数!$AI$801:$AI$804,1),MATCH(BI911,【参考】排出係数!$AL$798:$AO$798,1)),VLOOKUP(AU911,INDEX((係数_バス貨物_ガソリン,係数_バス貨物_CNG,係数_バス貨物_軽油,係数_バス貨物_メタノール,係数_バス貨物_LPG),MATCH(AY911,【参考】排出係数!$AI$4:$AI$671,1),1,BE911):INDEX((係数_バス貨物_ガソリン,係数_バス貨物_CNG,係数_バス貨物_軽油,係数_バス貨物_メタノール,係数_バス貨物_LPG),MATCH(AY911+1,【参考】排出係数!$AI$4:$AI$671,1)-1,5,BE911),5,FALSE)),IF(AND(BE911=3,LEFT(BF911,1)="1"),0.055,VLOOKUP(AU911,INDEX((係数_乗用_ガソリン,係数_乗用_CNG,係数_乗用_軽油,係数_乗用_メタノール,係数_乗用_LPG),1,1,BE911):INDEX((係数_乗用_ガソリン,係数_乗用_CNG,係数_乗用_軽油,係数_乗用_メタノール,係数_乗用_LPG),125,5,BE911),5,FALSE)))))</f>
        <v/>
      </c>
      <c r="AN911" s="461" t="str">
        <f t="shared" si="502"/>
        <v/>
      </c>
      <c r="AO911" s="462" t="str">
        <f t="shared" si="503"/>
        <v/>
      </c>
      <c r="AP911" s="463" t="str">
        <f t="shared" si="504"/>
        <v/>
      </c>
      <c r="AQ911" s="464"/>
      <c r="AR911" s="619"/>
      <c r="AS911" s="465" t="str">
        <f t="shared" si="512"/>
        <v/>
      </c>
      <c r="AT911" s="465" t="str">
        <f t="shared" si="513"/>
        <v/>
      </c>
      <c r="AU911" s="466" t="str">
        <f t="shared" si="514"/>
        <v/>
      </c>
      <c r="AV911" s="467" t="str">
        <f t="shared" si="515"/>
        <v/>
      </c>
      <c r="AW911" s="467" t="str">
        <f t="shared" si="516"/>
        <v/>
      </c>
      <c r="AX911" s="467" t="str">
        <f t="shared" si="517"/>
        <v/>
      </c>
      <c r="AY911" s="467" t="str">
        <f t="shared" si="518"/>
        <v/>
      </c>
      <c r="AZ911" s="467" t="str">
        <f t="shared" si="519"/>
        <v/>
      </c>
      <c r="BA911" s="468" t="str">
        <f>IF(AS911="","",IF(OR(AU911="",AU911="-"),"－",IF(OR(AZ911=8,AZ911=9),"",IF(OR(AW911=3,AW911=4,AW911=5,AW911=6),VLOOKUP(AU911,INDEX((係数_バス貨物_ガソリン,係数_バス貨物_CNG,係数_バス貨物_軽油,係数_バス貨物_メタノール,係数_バス貨物_LPG),MATCH(AY911,【参考】排出係数!$AI$4:$AI$671,1),1,BE911):INDEX((係数_バス貨物_ガソリン,係数_バス貨物_CNG,係数_バス貨物_軽油,係数_バス貨物_メタノール,係数_バス貨物_LPG),MATCH(AY911+1,【参考】排出係数!$AI$4:$AI$671,1)-1,5,BE911),2,FALSE),IF(OR(AW911=1,AW911=2),VLOOKUP(AU911,INDEX((係数_乗用_ガソリン,係数_乗用_CNG,係数_乗用_軽油,係数_乗用_メタノール,係数_乗用_LPG),1,1,BE911):INDEX((係数_乗用_ガソリン,係数_乗用_CNG,係数_乗用_軽油,係数_乗用_メタノール,係数_乗用_LPG),125,5,BE911),2,FALSE))))))</f>
        <v/>
      </c>
      <c r="BB911" s="468" t="str">
        <f>IF(T911="","",IF(OR(AU911="",AU911="-"),"－",IF(OR(AZ911=8,AZ911=9),"",IF(OR(AW911=3,AW911=4,AW911=5,AW911=6),VLOOKUP(AU911,INDEX((係数_バス貨物_ガソリン,係数_バス貨物_CNG,係数_バス貨物_軽油,係数_バス貨物_メタノール,係数_バス貨物_LPG),MATCH(AY911,【参考】排出係数!$AI$4:$AI$671,1),1,BE911):INDEX((係数_バス貨物_ガソリン,係数_バス貨物_CNG,係数_バス貨物_軽油,係数_バス貨物_メタノール,係数_バス貨物_LPG),MATCH(AY911+1,【参考】排出係数!$AI$4:$AI$671,1)-1,5,BE911),3,FALSE),IF(OR(AW911=1,AW911=2),VLOOKUP(AU911,INDEX((係数_乗用_ガソリン,係数_乗用_CNG,係数_乗用_軽油,係数_乗用_メタノール,係数_乗用_LPG),1,1,BE911):INDEX((係数_乗用_ガソリン,係数_乗用_CNG,係数_乗用_軽油,係数_乗用_メタノール,係数_乗用_LPG),125,5,BE911),3,FALSE))))))</f>
        <v/>
      </c>
      <c r="BC911" s="467" t="str">
        <f t="shared" si="520"/>
        <v/>
      </c>
      <c r="BD911" s="567" t="str">
        <f t="shared" si="521"/>
        <v/>
      </c>
      <c r="BE911" s="467" t="str">
        <f t="shared" si="522"/>
        <v/>
      </c>
      <c r="BF911" s="469" t="str">
        <f t="shared" ca="1" si="523"/>
        <v/>
      </c>
      <c r="BG911" s="469" t="str">
        <f t="shared" ca="1" si="524"/>
        <v/>
      </c>
      <c r="BH911" s="467" t="str">
        <f t="shared" si="525"/>
        <v/>
      </c>
      <c r="BI911" s="467" t="str">
        <f t="shared" ca="1" si="526"/>
        <v/>
      </c>
      <c r="BJ911" s="469" t="str">
        <f t="shared" si="527"/>
        <v/>
      </c>
      <c r="BK911" s="470" t="str">
        <f t="shared" si="511"/>
        <v/>
      </c>
      <c r="BL911" s="775" t="str">
        <f t="shared" si="528"/>
        <v/>
      </c>
      <c r="BM911" s="775" t="str">
        <f t="shared" si="529"/>
        <v/>
      </c>
    </row>
    <row r="912" spans="1:65">
      <c r="A912" s="473">
        <v>856</v>
      </c>
      <c r="B912" s="132"/>
      <c r="C912" s="332"/>
      <c r="D912" s="333"/>
      <c r="E912" s="333"/>
      <c r="F912" s="334"/>
      <c r="G912" s="337"/>
      <c r="H912" s="131"/>
      <c r="I912" s="337"/>
      <c r="J912" s="131"/>
      <c r="K912" s="458" t="str">
        <f t="shared" si="492"/>
        <v/>
      </c>
      <c r="L912" s="458">
        <f t="shared" si="493"/>
        <v>0</v>
      </c>
      <c r="M912" s="458">
        <f t="shared" si="494"/>
        <v>0</v>
      </c>
      <c r="N912" s="459" t="str">
        <f t="shared" si="505"/>
        <v/>
      </c>
      <c r="O912" s="459" t="str">
        <f t="shared" si="506"/>
        <v/>
      </c>
      <c r="P912" s="459" t="str">
        <f t="shared" si="507"/>
        <v/>
      </c>
      <c r="Q912" s="459" t="str">
        <f t="shared" si="508"/>
        <v/>
      </c>
      <c r="R912" s="459" t="str">
        <f t="shared" si="509"/>
        <v/>
      </c>
      <c r="S912" s="459" t="str">
        <f t="shared" si="510"/>
        <v/>
      </c>
      <c r="T912" s="566" t="str">
        <f t="shared" si="495"/>
        <v/>
      </c>
      <c r="U912" s="702"/>
      <c r="V912" s="132"/>
      <c r="W912" s="133"/>
      <c r="X912" s="134"/>
      <c r="Y912" s="135"/>
      <c r="Z912" s="137"/>
      <c r="AA912" s="136"/>
      <c r="AB912" s="566" t="str">
        <f t="shared" si="496"/>
        <v/>
      </c>
      <c r="AC912" s="568" t="str">
        <f t="shared" si="497"/>
        <v/>
      </c>
      <c r="AD912" s="137"/>
      <c r="AE912" s="137"/>
      <c r="AF912" s="138"/>
      <c r="AG912" s="138"/>
      <c r="AH912" s="592" t="str">
        <f t="shared" si="498"/>
        <v/>
      </c>
      <c r="AI912" s="592" t="str">
        <f t="shared" si="499"/>
        <v/>
      </c>
      <c r="AJ912" s="592" t="str">
        <f t="shared" si="500"/>
        <v/>
      </c>
      <c r="AK912" s="460" t="str">
        <f>IF(AU912="","",IF(OR(AZ912=8,AZ912=9),0,IF(OR(AW912=3,AW912=4,AW912=5,AW912=6),IF(LEFT(BF912,1)="1",INDEX(係数_NOX・PM低減,MATCH(AY912,【参考】排出係数!$AI$801:$AI$804,1),1),VLOOKUP(AU912,INDEX((係数_バス貨物_ガソリン,係数_バス貨物_CNG,係数_バス貨物_軽油,係数_バス貨物_メタノール,係数_バス貨物_LPG),MATCH(AY912,【参考】排出係数!$AI$4:$AI$671,1),1,BE912):INDEX((係数_バス貨物_ガソリン,係数_バス貨物_CNG,係数_バス貨物_軽油,係数_バス貨物_メタノール,係数_バス貨物_LPG),MATCH(AY912+1,【参考】排出係数!$AI$4:$AI$671,1)-1,5,BE912),4,FALSE)),IF(AND(BE912=3,LEFT(BF912,1)="1"),0.48,VLOOKUP(AU912,INDEX((係数_乗用_ガソリン,係数_乗用_CNG,係数_乗用_軽油,係数_乗用_メタノール,係数_乗用_LPG),1,1,BE912):INDEX((係数_乗用_ガソリン,係数_乗用_CNG,係数_乗用_軽油,係数_乗用_メタノール,係数_乗用_LPG),125,5,BE912),4,FALSE)))))</f>
        <v/>
      </c>
      <c r="AL912" s="461" t="str">
        <f t="shared" si="501"/>
        <v/>
      </c>
      <c r="AM912" s="460" t="str">
        <f>IF(AU912="","",IF(OR(AZ912=8,AZ912=9),0,IF(OR(AW912=3,AW912=4,AW912=5,AW912=6),IF(LEFT(BH912,1)="1",INDEX(係数_PM低減,MATCH(AY912,【参考】排出係数!$AI$801:$AI$804,1),MATCH(BI912,【参考】排出係数!$AL$798:$AO$798,1)),VLOOKUP(AU912,INDEX((係数_バス貨物_ガソリン,係数_バス貨物_CNG,係数_バス貨物_軽油,係数_バス貨物_メタノール,係数_バス貨物_LPG),MATCH(AY912,【参考】排出係数!$AI$4:$AI$671,1),1,BE912):INDEX((係数_バス貨物_ガソリン,係数_バス貨物_CNG,係数_バス貨物_軽油,係数_バス貨物_メタノール,係数_バス貨物_LPG),MATCH(AY912+1,【参考】排出係数!$AI$4:$AI$671,1)-1,5,BE912),5,FALSE)),IF(AND(BE912=3,LEFT(BF912,1)="1"),0.055,VLOOKUP(AU912,INDEX((係数_乗用_ガソリン,係数_乗用_CNG,係数_乗用_軽油,係数_乗用_メタノール,係数_乗用_LPG),1,1,BE912):INDEX((係数_乗用_ガソリン,係数_乗用_CNG,係数_乗用_軽油,係数_乗用_メタノール,係数_乗用_LPG),125,5,BE912),5,FALSE)))))</f>
        <v/>
      </c>
      <c r="AN912" s="461" t="str">
        <f t="shared" si="502"/>
        <v/>
      </c>
      <c r="AO912" s="462" t="str">
        <f t="shared" si="503"/>
        <v/>
      </c>
      <c r="AP912" s="463" t="str">
        <f t="shared" si="504"/>
        <v/>
      </c>
      <c r="AQ912" s="464"/>
      <c r="AR912" s="619"/>
      <c r="AS912" s="465" t="str">
        <f t="shared" si="512"/>
        <v/>
      </c>
      <c r="AT912" s="465" t="str">
        <f t="shared" si="513"/>
        <v/>
      </c>
      <c r="AU912" s="466" t="str">
        <f t="shared" si="514"/>
        <v/>
      </c>
      <c r="AV912" s="467" t="str">
        <f t="shared" si="515"/>
        <v/>
      </c>
      <c r="AW912" s="467" t="str">
        <f t="shared" si="516"/>
        <v/>
      </c>
      <c r="AX912" s="467" t="str">
        <f t="shared" si="517"/>
        <v/>
      </c>
      <c r="AY912" s="467" t="str">
        <f t="shared" si="518"/>
        <v/>
      </c>
      <c r="AZ912" s="467" t="str">
        <f t="shared" si="519"/>
        <v/>
      </c>
      <c r="BA912" s="468" t="str">
        <f>IF(AS912="","",IF(OR(AU912="",AU912="-"),"－",IF(OR(AZ912=8,AZ912=9),"",IF(OR(AW912=3,AW912=4,AW912=5,AW912=6),VLOOKUP(AU912,INDEX((係数_バス貨物_ガソリン,係数_バス貨物_CNG,係数_バス貨物_軽油,係数_バス貨物_メタノール,係数_バス貨物_LPG),MATCH(AY912,【参考】排出係数!$AI$4:$AI$671,1),1,BE912):INDEX((係数_バス貨物_ガソリン,係数_バス貨物_CNG,係数_バス貨物_軽油,係数_バス貨物_メタノール,係数_バス貨物_LPG),MATCH(AY912+1,【参考】排出係数!$AI$4:$AI$671,1)-1,5,BE912),2,FALSE),IF(OR(AW912=1,AW912=2),VLOOKUP(AU912,INDEX((係数_乗用_ガソリン,係数_乗用_CNG,係数_乗用_軽油,係数_乗用_メタノール,係数_乗用_LPG),1,1,BE912):INDEX((係数_乗用_ガソリン,係数_乗用_CNG,係数_乗用_軽油,係数_乗用_メタノール,係数_乗用_LPG),125,5,BE912),2,FALSE))))))</f>
        <v/>
      </c>
      <c r="BB912" s="468" t="str">
        <f>IF(T912="","",IF(OR(AU912="",AU912="-"),"－",IF(OR(AZ912=8,AZ912=9),"",IF(OR(AW912=3,AW912=4,AW912=5,AW912=6),VLOOKUP(AU912,INDEX((係数_バス貨物_ガソリン,係数_バス貨物_CNG,係数_バス貨物_軽油,係数_バス貨物_メタノール,係数_バス貨物_LPG),MATCH(AY912,【参考】排出係数!$AI$4:$AI$671,1),1,BE912):INDEX((係数_バス貨物_ガソリン,係数_バス貨物_CNG,係数_バス貨物_軽油,係数_バス貨物_メタノール,係数_バス貨物_LPG),MATCH(AY912+1,【参考】排出係数!$AI$4:$AI$671,1)-1,5,BE912),3,FALSE),IF(OR(AW912=1,AW912=2),VLOOKUP(AU912,INDEX((係数_乗用_ガソリン,係数_乗用_CNG,係数_乗用_軽油,係数_乗用_メタノール,係数_乗用_LPG),1,1,BE912):INDEX((係数_乗用_ガソリン,係数_乗用_CNG,係数_乗用_軽油,係数_乗用_メタノール,係数_乗用_LPG),125,5,BE912),3,FALSE))))))</f>
        <v/>
      </c>
      <c r="BC912" s="467" t="str">
        <f t="shared" si="520"/>
        <v/>
      </c>
      <c r="BD912" s="567" t="str">
        <f t="shared" si="521"/>
        <v/>
      </c>
      <c r="BE912" s="467" t="str">
        <f t="shared" si="522"/>
        <v/>
      </c>
      <c r="BF912" s="469" t="str">
        <f t="shared" ca="1" si="523"/>
        <v/>
      </c>
      <c r="BG912" s="469" t="str">
        <f t="shared" ca="1" si="524"/>
        <v/>
      </c>
      <c r="BH912" s="467" t="str">
        <f t="shared" si="525"/>
        <v/>
      </c>
      <c r="BI912" s="467" t="str">
        <f t="shared" ca="1" si="526"/>
        <v/>
      </c>
      <c r="BJ912" s="469" t="str">
        <f t="shared" si="527"/>
        <v/>
      </c>
      <c r="BK912" s="470" t="str">
        <f t="shared" si="511"/>
        <v/>
      </c>
      <c r="BL912" s="775" t="str">
        <f t="shared" si="528"/>
        <v/>
      </c>
      <c r="BM912" s="775" t="str">
        <f t="shared" si="529"/>
        <v/>
      </c>
    </row>
    <row r="913" spans="1:65">
      <c r="A913" s="473">
        <v>857</v>
      </c>
      <c r="B913" s="132"/>
      <c r="C913" s="332"/>
      <c r="D913" s="333"/>
      <c r="E913" s="333"/>
      <c r="F913" s="334"/>
      <c r="G913" s="337"/>
      <c r="H913" s="131"/>
      <c r="I913" s="337"/>
      <c r="J913" s="131"/>
      <c r="K913" s="458" t="str">
        <f t="shared" si="492"/>
        <v/>
      </c>
      <c r="L913" s="458">
        <f t="shared" si="493"/>
        <v>0</v>
      </c>
      <c r="M913" s="458">
        <f t="shared" si="494"/>
        <v>0</v>
      </c>
      <c r="N913" s="459" t="str">
        <f t="shared" si="505"/>
        <v/>
      </c>
      <c r="O913" s="459" t="str">
        <f t="shared" si="506"/>
        <v/>
      </c>
      <c r="P913" s="459" t="str">
        <f t="shared" si="507"/>
        <v/>
      </c>
      <c r="Q913" s="459" t="str">
        <f t="shared" si="508"/>
        <v/>
      </c>
      <c r="R913" s="459" t="str">
        <f t="shared" si="509"/>
        <v/>
      </c>
      <c r="S913" s="459" t="str">
        <f t="shared" si="510"/>
        <v/>
      </c>
      <c r="T913" s="566" t="str">
        <f t="shared" si="495"/>
        <v/>
      </c>
      <c r="U913" s="702"/>
      <c r="V913" s="132"/>
      <c r="W913" s="133"/>
      <c r="X913" s="134"/>
      <c r="Y913" s="135"/>
      <c r="Z913" s="137"/>
      <c r="AA913" s="136"/>
      <c r="AB913" s="566" t="str">
        <f t="shared" si="496"/>
        <v/>
      </c>
      <c r="AC913" s="568" t="str">
        <f t="shared" si="497"/>
        <v/>
      </c>
      <c r="AD913" s="137"/>
      <c r="AE913" s="137"/>
      <c r="AF913" s="138"/>
      <c r="AG913" s="138"/>
      <c r="AH913" s="592" t="str">
        <f t="shared" si="498"/>
        <v/>
      </c>
      <c r="AI913" s="592" t="str">
        <f t="shared" si="499"/>
        <v/>
      </c>
      <c r="AJ913" s="592" t="str">
        <f t="shared" si="500"/>
        <v/>
      </c>
      <c r="AK913" s="460" t="str">
        <f>IF(AU913="","",IF(OR(AZ913=8,AZ913=9),0,IF(OR(AW913=3,AW913=4,AW913=5,AW913=6),IF(LEFT(BF913,1)="1",INDEX(係数_NOX・PM低減,MATCH(AY913,【参考】排出係数!$AI$801:$AI$804,1),1),VLOOKUP(AU913,INDEX((係数_バス貨物_ガソリン,係数_バス貨物_CNG,係数_バス貨物_軽油,係数_バス貨物_メタノール,係数_バス貨物_LPG),MATCH(AY913,【参考】排出係数!$AI$4:$AI$671,1),1,BE913):INDEX((係数_バス貨物_ガソリン,係数_バス貨物_CNG,係数_バス貨物_軽油,係数_バス貨物_メタノール,係数_バス貨物_LPG),MATCH(AY913+1,【参考】排出係数!$AI$4:$AI$671,1)-1,5,BE913),4,FALSE)),IF(AND(BE913=3,LEFT(BF913,1)="1"),0.48,VLOOKUP(AU913,INDEX((係数_乗用_ガソリン,係数_乗用_CNG,係数_乗用_軽油,係数_乗用_メタノール,係数_乗用_LPG),1,1,BE913):INDEX((係数_乗用_ガソリン,係数_乗用_CNG,係数_乗用_軽油,係数_乗用_メタノール,係数_乗用_LPG),125,5,BE913),4,FALSE)))))</f>
        <v/>
      </c>
      <c r="AL913" s="461" t="str">
        <f t="shared" si="501"/>
        <v/>
      </c>
      <c r="AM913" s="460" t="str">
        <f>IF(AU913="","",IF(OR(AZ913=8,AZ913=9),0,IF(OR(AW913=3,AW913=4,AW913=5,AW913=6),IF(LEFT(BH913,1)="1",INDEX(係数_PM低減,MATCH(AY913,【参考】排出係数!$AI$801:$AI$804,1),MATCH(BI913,【参考】排出係数!$AL$798:$AO$798,1)),VLOOKUP(AU913,INDEX((係数_バス貨物_ガソリン,係数_バス貨物_CNG,係数_バス貨物_軽油,係数_バス貨物_メタノール,係数_バス貨物_LPG),MATCH(AY913,【参考】排出係数!$AI$4:$AI$671,1),1,BE913):INDEX((係数_バス貨物_ガソリン,係数_バス貨物_CNG,係数_バス貨物_軽油,係数_バス貨物_メタノール,係数_バス貨物_LPG),MATCH(AY913+1,【参考】排出係数!$AI$4:$AI$671,1)-1,5,BE913),5,FALSE)),IF(AND(BE913=3,LEFT(BF913,1)="1"),0.055,VLOOKUP(AU913,INDEX((係数_乗用_ガソリン,係数_乗用_CNG,係数_乗用_軽油,係数_乗用_メタノール,係数_乗用_LPG),1,1,BE913):INDEX((係数_乗用_ガソリン,係数_乗用_CNG,係数_乗用_軽油,係数_乗用_メタノール,係数_乗用_LPG),125,5,BE913),5,FALSE)))))</f>
        <v/>
      </c>
      <c r="AN913" s="461" t="str">
        <f t="shared" si="502"/>
        <v/>
      </c>
      <c r="AO913" s="462" t="str">
        <f t="shared" si="503"/>
        <v/>
      </c>
      <c r="AP913" s="463" t="str">
        <f t="shared" si="504"/>
        <v/>
      </c>
      <c r="AQ913" s="464"/>
      <c r="AR913" s="619"/>
      <c r="AS913" s="465" t="str">
        <f t="shared" si="512"/>
        <v/>
      </c>
      <c r="AT913" s="465" t="str">
        <f t="shared" si="513"/>
        <v/>
      </c>
      <c r="AU913" s="466" t="str">
        <f t="shared" si="514"/>
        <v/>
      </c>
      <c r="AV913" s="467" t="str">
        <f t="shared" si="515"/>
        <v/>
      </c>
      <c r="AW913" s="467" t="str">
        <f t="shared" si="516"/>
        <v/>
      </c>
      <c r="AX913" s="467" t="str">
        <f t="shared" si="517"/>
        <v/>
      </c>
      <c r="AY913" s="467" t="str">
        <f t="shared" si="518"/>
        <v/>
      </c>
      <c r="AZ913" s="467" t="str">
        <f t="shared" si="519"/>
        <v/>
      </c>
      <c r="BA913" s="468" t="str">
        <f>IF(AS913="","",IF(OR(AU913="",AU913="-"),"－",IF(OR(AZ913=8,AZ913=9),"",IF(OR(AW913=3,AW913=4,AW913=5,AW913=6),VLOOKUP(AU913,INDEX((係数_バス貨物_ガソリン,係数_バス貨物_CNG,係数_バス貨物_軽油,係数_バス貨物_メタノール,係数_バス貨物_LPG),MATCH(AY913,【参考】排出係数!$AI$4:$AI$671,1),1,BE913):INDEX((係数_バス貨物_ガソリン,係数_バス貨物_CNG,係数_バス貨物_軽油,係数_バス貨物_メタノール,係数_バス貨物_LPG),MATCH(AY913+1,【参考】排出係数!$AI$4:$AI$671,1)-1,5,BE913),2,FALSE),IF(OR(AW913=1,AW913=2),VLOOKUP(AU913,INDEX((係数_乗用_ガソリン,係数_乗用_CNG,係数_乗用_軽油,係数_乗用_メタノール,係数_乗用_LPG),1,1,BE913):INDEX((係数_乗用_ガソリン,係数_乗用_CNG,係数_乗用_軽油,係数_乗用_メタノール,係数_乗用_LPG),125,5,BE913),2,FALSE))))))</f>
        <v/>
      </c>
      <c r="BB913" s="468" t="str">
        <f>IF(T913="","",IF(OR(AU913="",AU913="-"),"－",IF(OR(AZ913=8,AZ913=9),"",IF(OR(AW913=3,AW913=4,AW913=5,AW913=6),VLOOKUP(AU913,INDEX((係数_バス貨物_ガソリン,係数_バス貨物_CNG,係数_バス貨物_軽油,係数_バス貨物_メタノール,係数_バス貨物_LPG),MATCH(AY913,【参考】排出係数!$AI$4:$AI$671,1),1,BE913):INDEX((係数_バス貨物_ガソリン,係数_バス貨物_CNG,係数_バス貨物_軽油,係数_バス貨物_メタノール,係数_バス貨物_LPG),MATCH(AY913+1,【参考】排出係数!$AI$4:$AI$671,1)-1,5,BE913),3,FALSE),IF(OR(AW913=1,AW913=2),VLOOKUP(AU913,INDEX((係数_乗用_ガソリン,係数_乗用_CNG,係数_乗用_軽油,係数_乗用_メタノール,係数_乗用_LPG),1,1,BE913):INDEX((係数_乗用_ガソリン,係数_乗用_CNG,係数_乗用_軽油,係数_乗用_メタノール,係数_乗用_LPG),125,5,BE913),3,FALSE))))))</f>
        <v/>
      </c>
      <c r="BC913" s="467" t="str">
        <f t="shared" si="520"/>
        <v/>
      </c>
      <c r="BD913" s="567" t="str">
        <f t="shared" si="521"/>
        <v/>
      </c>
      <c r="BE913" s="467" t="str">
        <f t="shared" si="522"/>
        <v/>
      </c>
      <c r="BF913" s="469" t="str">
        <f t="shared" ca="1" si="523"/>
        <v/>
      </c>
      <c r="BG913" s="469" t="str">
        <f t="shared" ca="1" si="524"/>
        <v/>
      </c>
      <c r="BH913" s="467" t="str">
        <f t="shared" si="525"/>
        <v/>
      </c>
      <c r="BI913" s="467" t="str">
        <f t="shared" ca="1" si="526"/>
        <v/>
      </c>
      <c r="BJ913" s="469" t="str">
        <f t="shared" si="527"/>
        <v/>
      </c>
      <c r="BK913" s="470" t="str">
        <f t="shared" si="511"/>
        <v/>
      </c>
      <c r="BL913" s="775" t="str">
        <f t="shared" si="528"/>
        <v/>
      </c>
      <c r="BM913" s="775" t="str">
        <f t="shared" si="529"/>
        <v/>
      </c>
    </row>
    <row r="914" spans="1:65">
      <c r="A914" s="473">
        <v>858</v>
      </c>
      <c r="B914" s="132"/>
      <c r="C914" s="332"/>
      <c r="D914" s="333"/>
      <c r="E914" s="333"/>
      <c r="F914" s="334"/>
      <c r="G914" s="337"/>
      <c r="H914" s="131"/>
      <c r="I914" s="337"/>
      <c r="J914" s="131"/>
      <c r="K914" s="458" t="str">
        <f t="shared" si="492"/>
        <v/>
      </c>
      <c r="L914" s="458">
        <f t="shared" si="493"/>
        <v>0</v>
      </c>
      <c r="M914" s="458">
        <f t="shared" si="494"/>
        <v>0</v>
      </c>
      <c r="N914" s="459" t="str">
        <f t="shared" si="505"/>
        <v/>
      </c>
      <c r="O914" s="459" t="str">
        <f t="shared" si="506"/>
        <v/>
      </c>
      <c r="P914" s="459" t="str">
        <f t="shared" si="507"/>
        <v/>
      </c>
      <c r="Q914" s="459" t="str">
        <f t="shared" si="508"/>
        <v/>
      </c>
      <c r="R914" s="459" t="str">
        <f t="shared" si="509"/>
        <v/>
      </c>
      <c r="S914" s="459" t="str">
        <f t="shared" si="510"/>
        <v/>
      </c>
      <c r="T914" s="566" t="str">
        <f t="shared" si="495"/>
        <v/>
      </c>
      <c r="U914" s="702"/>
      <c r="V914" s="132"/>
      <c r="W914" s="133"/>
      <c r="X914" s="134"/>
      <c r="Y914" s="135"/>
      <c r="Z914" s="137"/>
      <c r="AA914" s="136"/>
      <c r="AB914" s="566" t="str">
        <f t="shared" si="496"/>
        <v/>
      </c>
      <c r="AC914" s="568" t="str">
        <f t="shared" si="497"/>
        <v/>
      </c>
      <c r="AD914" s="137"/>
      <c r="AE914" s="137"/>
      <c r="AF914" s="138"/>
      <c r="AG914" s="138"/>
      <c r="AH914" s="592" t="str">
        <f t="shared" si="498"/>
        <v/>
      </c>
      <c r="AI914" s="592" t="str">
        <f t="shared" si="499"/>
        <v/>
      </c>
      <c r="AJ914" s="592" t="str">
        <f t="shared" si="500"/>
        <v/>
      </c>
      <c r="AK914" s="460" t="str">
        <f>IF(AU914="","",IF(OR(AZ914=8,AZ914=9),0,IF(OR(AW914=3,AW914=4,AW914=5,AW914=6),IF(LEFT(BF914,1)="1",INDEX(係数_NOX・PM低減,MATCH(AY914,【参考】排出係数!$AI$801:$AI$804,1),1),VLOOKUP(AU914,INDEX((係数_バス貨物_ガソリン,係数_バス貨物_CNG,係数_バス貨物_軽油,係数_バス貨物_メタノール,係数_バス貨物_LPG),MATCH(AY914,【参考】排出係数!$AI$4:$AI$671,1),1,BE914):INDEX((係数_バス貨物_ガソリン,係数_バス貨物_CNG,係数_バス貨物_軽油,係数_バス貨物_メタノール,係数_バス貨物_LPG),MATCH(AY914+1,【参考】排出係数!$AI$4:$AI$671,1)-1,5,BE914),4,FALSE)),IF(AND(BE914=3,LEFT(BF914,1)="1"),0.48,VLOOKUP(AU914,INDEX((係数_乗用_ガソリン,係数_乗用_CNG,係数_乗用_軽油,係数_乗用_メタノール,係数_乗用_LPG),1,1,BE914):INDEX((係数_乗用_ガソリン,係数_乗用_CNG,係数_乗用_軽油,係数_乗用_メタノール,係数_乗用_LPG),125,5,BE914),4,FALSE)))))</f>
        <v/>
      </c>
      <c r="AL914" s="461" t="str">
        <f t="shared" si="501"/>
        <v/>
      </c>
      <c r="AM914" s="460" t="str">
        <f>IF(AU914="","",IF(OR(AZ914=8,AZ914=9),0,IF(OR(AW914=3,AW914=4,AW914=5,AW914=6),IF(LEFT(BH914,1)="1",INDEX(係数_PM低減,MATCH(AY914,【参考】排出係数!$AI$801:$AI$804,1),MATCH(BI914,【参考】排出係数!$AL$798:$AO$798,1)),VLOOKUP(AU914,INDEX((係数_バス貨物_ガソリン,係数_バス貨物_CNG,係数_バス貨物_軽油,係数_バス貨物_メタノール,係数_バス貨物_LPG),MATCH(AY914,【参考】排出係数!$AI$4:$AI$671,1),1,BE914):INDEX((係数_バス貨物_ガソリン,係数_バス貨物_CNG,係数_バス貨物_軽油,係数_バス貨物_メタノール,係数_バス貨物_LPG),MATCH(AY914+1,【参考】排出係数!$AI$4:$AI$671,1)-1,5,BE914),5,FALSE)),IF(AND(BE914=3,LEFT(BF914,1)="1"),0.055,VLOOKUP(AU914,INDEX((係数_乗用_ガソリン,係数_乗用_CNG,係数_乗用_軽油,係数_乗用_メタノール,係数_乗用_LPG),1,1,BE914):INDEX((係数_乗用_ガソリン,係数_乗用_CNG,係数_乗用_軽油,係数_乗用_メタノール,係数_乗用_LPG),125,5,BE914),5,FALSE)))))</f>
        <v/>
      </c>
      <c r="AN914" s="461" t="str">
        <f t="shared" si="502"/>
        <v/>
      </c>
      <c r="AO914" s="462" t="str">
        <f t="shared" si="503"/>
        <v/>
      </c>
      <c r="AP914" s="463" t="str">
        <f t="shared" si="504"/>
        <v/>
      </c>
      <c r="AQ914" s="464"/>
      <c r="AR914" s="619"/>
      <c r="AS914" s="465" t="str">
        <f t="shared" si="512"/>
        <v/>
      </c>
      <c r="AT914" s="465" t="str">
        <f t="shared" si="513"/>
        <v/>
      </c>
      <c r="AU914" s="466" t="str">
        <f t="shared" si="514"/>
        <v/>
      </c>
      <c r="AV914" s="467" t="str">
        <f t="shared" si="515"/>
        <v/>
      </c>
      <c r="AW914" s="467" t="str">
        <f t="shared" si="516"/>
        <v/>
      </c>
      <c r="AX914" s="467" t="str">
        <f t="shared" si="517"/>
        <v/>
      </c>
      <c r="AY914" s="467" t="str">
        <f t="shared" si="518"/>
        <v/>
      </c>
      <c r="AZ914" s="467" t="str">
        <f t="shared" si="519"/>
        <v/>
      </c>
      <c r="BA914" s="468" t="str">
        <f>IF(AS914="","",IF(OR(AU914="",AU914="-"),"－",IF(OR(AZ914=8,AZ914=9),"",IF(OR(AW914=3,AW914=4,AW914=5,AW914=6),VLOOKUP(AU914,INDEX((係数_バス貨物_ガソリン,係数_バス貨物_CNG,係数_バス貨物_軽油,係数_バス貨物_メタノール,係数_バス貨物_LPG),MATCH(AY914,【参考】排出係数!$AI$4:$AI$671,1),1,BE914):INDEX((係数_バス貨物_ガソリン,係数_バス貨物_CNG,係数_バス貨物_軽油,係数_バス貨物_メタノール,係数_バス貨物_LPG),MATCH(AY914+1,【参考】排出係数!$AI$4:$AI$671,1)-1,5,BE914),2,FALSE),IF(OR(AW914=1,AW914=2),VLOOKUP(AU914,INDEX((係数_乗用_ガソリン,係数_乗用_CNG,係数_乗用_軽油,係数_乗用_メタノール,係数_乗用_LPG),1,1,BE914):INDEX((係数_乗用_ガソリン,係数_乗用_CNG,係数_乗用_軽油,係数_乗用_メタノール,係数_乗用_LPG),125,5,BE914),2,FALSE))))))</f>
        <v/>
      </c>
      <c r="BB914" s="468" t="str">
        <f>IF(T914="","",IF(OR(AU914="",AU914="-"),"－",IF(OR(AZ914=8,AZ914=9),"",IF(OR(AW914=3,AW914=4,AW914=5,AW914=6),VLOOKUP(AU914,INDEX((係数_バス貨物_ガソリン,係数_バス貨物_CNG,係数_バス貨物_軽油,係数_バス貨物_メタノール,係数_バス貨物_LPG),MATCH(AY914,【参考】排出係数!$AI$4:$AI$671,1),1,BE914):INDEX((係数_バス貨物_ガソリン,係数_バス貨物_CNG,係数_バス貨物_軽油,係数_バス貨物_メタノール,係数_バス貨物_LPG),MATCH(AY914+1,【参考】排出係数!$AI$4:$AI$671,1)-1,5,BE914),3,FALSE),IF(OR(AW914=1,AW914=2),VLOOKUP(AU914,INDEX((係数_乗用_ガソリン,係数_乗用_CNG,係数_乗用_軽油,係数_乗用_メタノール,係数_乗用_LPG),1,1,BE914):INDEX((係数_乗用_ガソリン,係数_乗用_CNG,係数_乗用_軽油,係数_乗用_メタノール,係数_乗用_LPG),125,5,BE914),3,FALSE))))))</f>
        <v/>
      </c>
      <c r="BC914" s="467" t="str">
        <f t="shared" si="520"/>
        <v/>
      </c>
      <c r="BD914" s="567" t="str">
        <f t="shared" si="521"/>
        <v/>
      </c>
      <c r="BE914" s="467" t="str">
        <f t="shared" si="522"/>
        <v/>
      </c>
      <c r="BF914" s="469" t="str">
        <f t="shared" ca="1" si="523"/>
        <v/>
      </c>
      <c r="BG914" s="469" t="str">
        <f t="shared" ca="1" si="524"/>
        <v/>
      </c>
      <c r="BH914" s="467" t="str">
        <f t="shared" si="525"/>
        <v/>
      </c>
      <c r="BI914" s="467" t="str">
        <f t="shared" ca="1" si="526"/>
        <v/>
      </c>
      <c r="BJ914" s="469" t="str">
        <f t="shared" si="527"/>
        <v/>
      </c>
      <c r="BK914" s="470" t="str">
        <f t="shared" si="511"/>
        <v/>
      </c>
      <c r="BL914" s="775" t="str">
        <f t="shared" si="528"/>
        <v/>
      </c>
      <c r="BM914" s="775" t="str">
        <f t="shared" si="529"/>
        <v/>
      </c>
    </row>
    <row r="915" spans="1:65">
      <c r="A915" s="473">
        <v>859</v>
      </c>
      <c r="B915" s="132"/>
      <c r="C915" s="332"/>
      <c r="D915" s="333"/>
      <c r="E915" s="333"/>
      <c r="F915" s="334"/>
      <c r="G915" s="337"/>
      <c r="H915" s="131"/>
      <c r="I915" s="337"/>
      <c r="J915" s="131"/>
      <c r="K915" s="458" t="str">
        <f t="shared" si="492"/>
        <v/>
      </c>
      <c r="L915" s="458">
        <f t="shared" si="493"/>
        <v>0</v>
      </c>
      <c r="M915" s="458">
        <f t="shared" si="494"/>
        <v>0</v>
      </c>
      <c r="N915" s="459" t="str">
        <f t="shared" si="505"/>
        <v/>
      </c>
      <c r="O915" s="459" t="str">
        <f t="shared" si="506"/>
        <v/>
      </c>
      <c r="P915" s="459" t="str">
        <f t="shared" si="507"/>
        <v/>
      </c>
      <c r="Q915" s="459" t="str">
        <f t="shared" si="508"/>
        <v/>
      </c>
      <c r="R915" s="459" t="str">
        <f t="shared" si="509"/>
        <v/>
      </c>
      <c r="S915" s="459" t="str">
        <f t="shared" si="510"/>
        <v/>
      </c>
      <c r="T915" s="566" t="str">
        <f t="shared" si="495"/>
        <v/>
      </c>
      <c r="U915" s="702"/>
      <c r="V915" s="132"/>
      <c r="W915" s="133"/>
      <c r="X915" s="134"/>
      <c r="Y915" s="135"/>
      <c r="Z915" s="137"/>
      <c r="AA915" s="136"/>
      <c r="AB915" s="566" t="str">
        <f t="shared" si="496"/>
        <v/>
      </c>
      <c r="AC915" s="568" t="str">
        <f t="shared" si="497"/>
        <v/>
      </c>
      <c r="AD915" s="137"/>
      <c r="AE915" s="137"/>
      <c r="AF915" s="138"/>
      <c r="AG915" s="138"/>
      <c r="AH915" s="592" t="str">
        <f t="shared" si="498"/>
        <v/>
      </c>
      <c r="AI915" s="592" t="str">
        <f t="shared" si="499"/>
        <v/>
      </c>
      <c r="AJ915" s="592" t="str">
        <f t="shared" si="500"/>
        <v/>
      </c>
      <c r="AK915" s="460" t="str">
        <f>IF(AU915="","",IF(OR(AZ915=8,AZ915=9),0,IF(OR(AW915=3,AW915=4,AW915=5,AW915=6),IF(LEFT(BF915,1)="1",INDEX(係数_NOX・PM低減,MATCH(AY915,【参考】排出係数!$AI$801:$AI$804,1),1),VLOOKUP(AU915,INDEX((係数_バス貨物_ガソリン,係数_バス貨物_CNG,係数_バス貨物_軽油,係数_バス貨物_メタノール,係数_バス貨物_LPG),MATCH(AY915,【参考】排出係数!$AI$4:$AI$671,1),1,BE915):INDEX((係数_バス貨物_ガソリン,係数_バス貨物_CNG,係数_バス貨物_軽油,係数_バス貨物_メタノール,係数_バス貨物_LPG),MATCH(AY915+1,【参考】排出係数!$AI$4:$AI$671,1)-1,5,BE915),4,FALSE)),IF(AND(BE915=3,LEFT(BF915,1)="1"),0.48,VLOOKUP(AU915,INDEX((係数_乗用_ガソリン,係数_乗用_CNG,係数_乗用_軽油,係数_乗用_メタノール,係数_乗用_LPG),1,1,BE915):INDEX((係数_乗用_ガソリン,係数_乗用_CNG,係数_乗用_軽油,係数_乗用_メタノール,係数_乗用_LPG),125,5,BE915),4,FALSE)))))</f>
        <v/>
      </c>
      <c r="AL915" s="461" t="str">
        <f t="shared" si="501"/>
        <v/>
      </c>
      <c r="AM915" s="460" t="str">
        <f>IF(AU915="","",IF(OR(AZ915=8,AZ915=9),0,IF(OR(AW915=3,AW915=4,AW915=5,AW915=6),IF(LEFT(BH915,1)="1",INDEX(係数_PM低減,MATCH(AY915,【参考】排出係数!$AI$801:$AI$804,1),MATCH(BI915,【参考】排出係数!$AL$798:$AO$798,1)),VLOOKUP(AU915,INDEX((係数_バス貨物_ガソリン,係数_バス貨物_CNG,係数_バス貨物_軽油,係数_バス貨物_メタノール,係数_バス貨物_LPG),MATCH(AY915,【参考】排出係数!$AI$4:$AI$671,1),1,BE915):INDEX((係数_バス貨物_ガソリン,係数_バス貨物_CNG,係数_バス貨物_軽油,係数_バス貨物_メタノール,係数_バス貨物_LPG),MATCH(AY915+1,【参考】排出係数!$AI$4:$AI$671,1)-1,5,BE915),5,FALSE)),IF(AND(BE915=3,LEFT(BF915,1)="1"),0.055,VLOOKUP(AU915,INDEX((係数_乗用_ガソリン,係数_乗用_CNG,係数_乗用_軽油,係数_乗用_メタノール,係数_乗用_LPG),1,1,BE915):INDEX((係数_乗用_ガソリン,係数_乗用_CNG,係数_乗用_軽油,係数_乗用_メタノール,係数_乗用_LPG),125,5,BE915),5,FALSE)))))</f>
        <v/>
      </c>
      <c r="AN915" s="461" t="str">
        <f t="shared" si="502"/>
        <v/>
      </c>
      <c r="AO915" s="462" t="str">
        <f t="shared" si="503"/>
        <v/>
      </c>
      <c r="AP915" s="463" t="str">
        <f t="shared" si="504"/>
        <v/>
      </c>
      <c r="AQ915" s="464"/>
      <c r="AR915" s="619"/>
      <c r="AS915" s="465" t="str">
        <f t="shared" si="512"/>
        <v/>
      </c>
      <c r="AT915" s="465" t="str">
        <f t="shared" si="513"/>
        <v/>
      </c>
      <c r="AU915" s="466" t="str">
        <f t="shared" si="514"/>
        <v/>
      </c>
      <c r="AV915" s="467" t="str">
        <f t="shared" si="515"/>
        <v/>
      </c>
      <c r="AW915" s="467" t="str">
        <f t="shared" si="516"/>
        <v/>
      </c>
      <c r="AX915" s="467" t="str">
        <f t="shared" si="517"/>
        <v/>
      </c>
      <c r="AY915" s="467" t="str">
        <f t="shared" si="518"/>
        <v/>
      </c>
      <c r="AZ915" s="467" t="str">
        <f t="shared" si="519"/>
        <v/>
      </c>
      <c r="BA915" s="468" t="str">
        <f>IF(AS915="","",IF(OR(AU915="",AU915="-"),"－",IF(OR(AZ915=8,AZ915=9),"",IF(OR(AW915=3,AW915=4,AW915=5,AW915=6),VLOOKUP(AU915,INDEX((係数_バス貨物_ガソリン,係数_バス貨物_CNG,係数_バス貨物_軽油,係数_バス貨物_メタノール,係数_バス貨物_LPG),MATCH(AY915,【参考】排出係数!$AI$4:$AI$671,1),1,BE915):INDEX((係数_バス貨物_ガソリン,係数_バス貨物_CNG,係数_バス貨物_軽油,係数_バス貨物_メタノール,係数_バス貨物_LPG),MATCH(AY915+1,【参考】排出係数!$AI$4:$AI$671,1)-1,5,BE915),2,FALSE),IF(OR(AW915=1,AW915=2),VLOOKUP(AU915,INDEX((係数_乗用_ガソリン,係数_乗用_CNG,係数_乗用_軽油,係数_乗用_メタノール,係数_乗用_LPG),1,1,BE915):INDEX((係数_乗用_ガソリン,係数_乗用_CNG,係数_乗用_軽油,係数_乗用_メタノール,係数_乗用_LPG),125,5,BE915),2,FALSE))))))</f>
        <v/>
      </c>
      <c r="BB915" s="468" t="str">
        <f>IF(T915="","",IF(OR(AU915="",AU915="-"),"－",IF(OR(AZ915=8,AZ915=9),"",IF(OR(AW915=3,AW915=4,AW915=5,AW915=6),VLOOKUP(AU915,INDEX((係数_バス貨物_ガソリン,係数_バス貨物_CNG,係数_バス貨物_軽油,係数_バス貨物_メタノール,係数_バス貨物_LPG),MATCH(AY915,【参考】排出係数!$AI$4:$AI$671,1),1,BE915):INDEX((係数_バス貨物_ガソリン,係数_バス貨物_CNG,係数_バス貨物_軽油,係数_バス貨物_メタノール,係数_バス貨物_LPG),MATCH(AY915+1,【参考】排出係数!$AI$4:$AI$671,1)-1,5,BE915),3,FALSE),IF(OR(AW915=1,AW915=2),VLOOKUP(AU915,INDEX((係数_乗用_ガソリン,係数_乗用_CNG,係数_乗用_軽油,係数_乗用_メタノール,係数_乗用_LPG),1,1,BE915):INDEX((係数_乗用_ガソリン,係数_乗用_CNG,係数_乗用_軽油,係数_乗用_メタノール,係数_乗用_LPG),125,5,BE915),3,FALSE))))))</f>
        <v/>
      </c>
      <c r="BC915" s="467" t="str">
        <f t="shared" si="520"/>
        <v/>
      </c>
      <c r="BD915" s="567" t="str">
        <f t="shared" si="521"/>
        <v/>
      </c>
      <c r="BE915" s="467" t="str">
        <f t="shared" si="522"/>
        <v/>
      </c>
      <c r="BF915" s="469" t="str">
        <f t="shared" ca="1" si="523"/>
        <v/>
      </c>
      <c r="BG915" s="469" t="str">
        <f t="shared" ca="1" si="524"/>
        <v/>
      </c>
      <c r="BH915" s="467" t="str">
        <f t="shared" si="525"/>
        <v/>
      </c>
      <c r="BI915" s="467" t="str">
        <f t="shared" ca="1" si="526"/>
        <v/>
      </c>
      <c r="BJ915" s="469" t="str">
        <f t="shared" si="527"/>
        <v/>
      </c>
      <c r="BK915" s="470" t="str">
        <f t="shared" si="511"/>
        <v/>
      </c>
      <c r="BL915" s="775" t="str">
        <f t="shared" si="528"/>
        <v/>
      </c>
      <c r="BM915" s="775" t="str">
        <f t="shared" si="529"/>
        <v/>
      </c>
    </row>
    <row r="916" spans="1:65">
      <c r="A916" s="473">
        <v>860</v>
      </c>
      <c r="B916" s="132"/>
      <c r="C916" s="332"/>
      <c r="D916" s="333"/>
      <c r="E916" s="333"/>
      <c r="F916" s="334"/>
      <c r="G916" s="337"/>
      <c r="H916" s="131"/>
      <c r="I916" s="337"/>
      <c r="J916" s="131"/>
      <c r="K916" s="458" t="str">
        <f t="shared" si="492"/>
        <v/>
      </c>
      <c r="L916" s="458">
        <f t="shared" si="493"/>
        <v>0</v>
      </c>
      <c r="M916" s="458">
        <f t="shared" si="494"/>
        <v>0</v>
      </c>
      <c r="N916" s="459" t="str">
        <f t="shared" si="505"/>
        <v/>
      </c>
      <c r="O916" s="459" t="str">
        <f t="shared" si="506"/>
        <v/>
      </c>
      <c r="P916" s="459" t="str">
        <f t="shared" si="507"/>
        <v/>
      </c>
      <c r="Q916" s="459" t="str">
        <f t="shared" si="508"/>
        <v/>
      </c>
      <c r="R916" s="459" t="str">
        <f t="shared" si="509"/>
        <v/>
      </c>
      <c r="S916" s="459" t="str">
        <f t="shared" si="510"/>
        <v/>
      </c>
      <c r="T916" s="566" t="str">
        <f t="shared" si="495"/>
        <v/>
      </c>
      <c r="U916" s="702"/>
      <c r="V916" s="132"/>
      <c r="W916" s="133"/>
      <c r="X916" s="134"/>
      <c r="Y916" s="135"/>
      <c r="Z916" s="137"/>
      <c r="AA916" s="136"/>
      <c r="AB916" s="566" t="str">
        <f t="shared" si="496"/>
        <v/>
      </c>
      <c r="AC916" s="568" t="str">
        <f t="shared" si="497"/>
        <v/>
      </c>
      <c r="AD916" s="137"/>
      <c r="AE916" s="137"/>
      <c r="AF916" s="138"/>
      <c r="AG916" s="138"/>
      <c r="AH916" s="592" t="str">
        <f t="shared" si="498"/>
        <v/>
      </c>
      <c r="AI916" s="592" t="str">
        <f t="shared" si="499"/>
        <v/>
      </c>
      <c r="AJ916" s="592" t="str">
        <f t="shared" si="500"/>
        <v/>
      </c>
      <c r="AK916" s="460" t="str">
        <f>IF(AU916="","",IF(OR(AZ916=8,AZ916=9),0,IF(OR(AW916=3,AW916=4,AW916=5,AW916=6),IF(LEFT(BF916,1)="1",INDEX(係数_NOX・PM低減,MATCH(AY916,【参考】排出係数!$AI$801:$AI$804,1),1),VLOOKUP(AU916,INDEX((係数_バス貨物_ガソリン,係数_バス貨物_CNG,係数_バス貨物_軽油,係数_バス貨物_メタノール,係数_バス貨物_LPG),MATCH(AY916,【参考】排出係数!$AI$4:$AI$671,1),1,BE916):INDEX((係数_バス貨物_ガソリン,係数_バス貨物_CNG,係数_バス貨物_軽油,係数_バス貨物_メタノール,係数_バス貨物_LPG),MATCH(AY916+1,【参考】排出係数!$AI$4:$AI$671,1)-1,5,BE916),4,FALSE)),IF(AND(BE916=3,LEFT(BF916,1)="1"),0.48,VLOOKUP(AU916,INDEX((係数_乗用_ガソリン,係数_乗用_CNG,係数_乗用_軽油,係数_乗用_メタノール,係数_乗用_LPG),1,1,BE916):INDEX((係数_乗用_ガソリン,係数_乗用_CNG,係数_乗用_軽油,係数_乗用_メタノール,係数_乗用_LPG),125,5,BE916),4,FALSE)))))</f>
        <v/>
      </c>
      <c r="AL916" s="461" t="str">
        <f t="shared" si="501"/>
        <v/>
      </c>
      <c r="AM916" s="460" t="str">
        <f>IF(AU916="","",IF(OR(AZ916=8,AZ916=9),0,IF(OR(AW916=3,AW916=4,AW916=5,AW916=6),IF(LEFT(BH916,1)="1",INDEX(係数_PM低減,MATCH(AY916,【参考】排出係数!$AI$801:$AI$804,1),MATCH(BI916,【参考】排出係数!$AL$798:$AO$798,1)),VLOOKUP(AU916,INDEX((係数_バス貨物_ガソリン,係数_バス貨物_CNG,係数_バス貨物_軽油,係数_バス貨物_メタノール,係数_バス貨物_LPG),MATCH(AY916,【参考】排出係数!$AI$4:$AI$671,1),1,BE916):INDEX((係数_バス貨物_ガソリン,係数_バス貨物_CNG,係数_バス貨物_軽油,係数_バス貨物_メタノール,係数_バス貨物_LPG),MATCH(AY916+1,【参考】排出係数!$AI$4:$AI$671,1)-1,5,BE916),5,FALSE)),IF(AND(BE916=3,LEFT(BF916,1)="1"),0.055,VLOOKUP(AU916,INDEX((係数_乗用_ガソリン,係数_乗用_CNG,係数_乗用_軽油,係数_乗用_メタノール,係数_乗用_LPG),1,1,BE916):INDEX((係数_乗用_ガソリン,係数_乗用_CNG,係数_乗用_軽油,係数_乗用_メタノール,係数_乗用_LPG),125,5,BE916),5,FALSE)))))</f>
        <v/>
      </c>
      <c r="AN916" s="461" t="str">
        <f t="shared" si="502"/>
        <v/>
      </c>
      <c r="AO916" s="462" t="str">
        <f t="shared" si="503"/>
        <v/>
      </c>
      <c r="AP916" s="463" t="str">
        <f t="shared" si="504"/>
        <v/>
      </c>
      <c r="AQ916" s="464"/>
      <c r="AR916" s="619"/>
      <c r="AS916" s="465" t="str">
        <f t="shared" si="512"/>
        <v/>
      </c>
      <c r="AT916" s="465" t="str">
        <f t="shared" si="513"/>
        <v/>
      </c>
      <c r="AU916" s="466" t="str">
        <f t="shared" si="514"/>
        <v/>
      </c>
      <c r="AV916" s="467" t="str">
        <f t="shared" si="515"/>
        <v/>
      </c>
      <c r="AW916" s="467" t="str">
        <f t="shared" si="516"/>
        <v/>
      </c>
      <c r="AX916" s="467" t="str">
        <f t="shared" si="517"/>
        <v/>
      </c>
      <c r="AY916" s="467" t="str">
        <f t="shared" si="518"/>
        <v/>
      </c>
      <c r="AZ916" s="467" t="str">
        <f t="shared" si="519"/>
        <v/>
      </c>
      <c r="BA916" s="468" t="str">
        <f>IF(AS916="","",IF(OR(AU916="",AU916="-"),"－",IF(OR(AZ916=8,AZ916=9),"",IF(OR(AW916=3,AW916=4,AW916=5,AW916=6),VLOOKUP(AU916,INDEX((係数_バス貨物_ガソリン,係数_バス貨物_CNG,係数_バス貨物_軽油,係数_バス貨物_メタノール,係数_バス貨物_LPG),MATCH(AY916,【参考】排出係数!$AI$4:$AI$671,1),1,BE916):INDEX((係数_バス貨物_ガソリン,係数_バス貨物_CNG,係数_バス貨物_軽油,係数_バス貨物_メタノール,係数_バス貨物_LPG),MATCH(AY916+1,【参考】排出係数!$AI$4:$AI$671,1)-1,5,BE916),2,FALSE),IF(OR(AW916=1,AW916=2),VLOOKUP(AU916,INDEX((係数_乗用_ガソリン,係数_乗用_CNG,係数_乗用_軽油,係数_乗用_メタノール,係数_乗用_LPG),1,1,BE916):INDEX((係数_乗用_ガソリン,係数_乗用_CNG,係数_乗用_軽油,係数_乗用_メタノール,係数_乗用_LPG),125,5,BE916),2,FALSE))))))</f>
        <v/>
      </c>
      <c r="BB916" s="468" t="str">
        <f>IF(T916="","",IF(OR(AU916="",AU916="-"),"－",IF(OR(AZ916=8,AZ916=9),"",IF(OR(AW916=3,AW916=4,AW916=5,AW916=6),VLOOKUP(AU916,INDEX((係数_バス貨物_ガソリン,係数_バス貨物_CNG,係数_バス貨物_軽油,係数_バス貨物_メタノール,係数_バス貨物_LPG),MATCH(AY916,【参考】排出係数!$AI$4:$AI$671,1),1,BE916):INDEX((係数_バス貨物_ガソリン,係数_バス貨物_CNG,係数_バス貨物_軽油,係数_バス貨物_メタノール,係数_バス貨物_LPG),MATCH(AY916+1,【参考】排出係数!$AI$4:$AI$671,1)-1,5,BE916),3,FALSE),IF(OR(AW916=1,AW916=2),VLOOKUP(AU916,INDEX((係数_乗用_ガソリン,係数_乗用_CNG,係数_乗用_軽油,係数_乗用_メタノール,係数_乗用_LPG),1,1,BE916):INDEX((係数_乗用_ガソリン,係数_乗用_CNG,係数_乗用_軽油,係数_乗用_メタノール,係数_乗用_LPG),125,5,BE916),3,FALSE))))))</f>
        <v/>
      </c>
      <c r="BC916" s="467" t="str">
        <f t="shared" si="520"/>
        <v/>
      </c>
      <c r="BD916" s="567" t="str">
        <f t="shared" si="521"/>
        <v/>
      </c>
      <c r="BE916" s="467" t="str">
        <f t="shared" si="522"/>
        <v/>
      </c>
      <c r="BF916" s="469" t="str">
        <f t="shared" ca="1" si="523"/>
        <v/>
      </c>
      <c r="BG916" s="469" t="str">
        <f t="shared" ca="1" si="524"/>
        <v/>
      </c>
      <c r="BH916" s="467" t="str">
        <f t="shared" si="525"/>
        <v/>
      </c>
      <c r="BI916" s="467" t="str">
        <f t="shared" ca="1" si="526"/>
        <v/>
      </c>
      <c r="BJ916" s="469" t="str">
        <f t="shared" si="527"/>
        <v/>
      </c>
      <c r="BK916" s="470" t="str">
        <f t="shared" si="511"/>
        <v/>
      </c>
      <c r="BL916" s="775" t="str">
        <f t="shared" si="528"/>
        <v/>
      </c>
      <c r="BM916" s="775" t="str">
        <f t="shared" si="529"/>
        <v/>
      </c>
    </row>
    <row r="917" spans="1:65">
      <c r="A917" s="473">
        <v>861</v>
      </c>
      <c r="B917" s="132"/>
      <c r="C917" s="332"/>
      <c r="D917" s="333"/>
      <c r="E917" s="333"/>
      <c r="F917" s="334"/>
      <c r="G917" s="337"/>
      <c r="H917" s="131"/>
      <c r="I917" s="337"/>
      <c r="J917" s="131"/>
      <c r="K917" s="458" t="str">
        <f t="shared" si="492"/>
        <v/>
      </c>
      <c r="L917" s="458">
        <f t="shared" si="493"/>
        <v>0</v>
      </c>
      <c r="M917" s="458">
        <f t="shared" si="494"/>
        <v>0</v>
      </c>
      <c r="N917" s="459" t="str">
        <f t="shared" si="505"/>
        <v/>
      </c>
      <c r="O917" s="459" t="str">
        <f t="shared" si="506"/>
        <v/>
      </c>
      <c r="P917" s="459" t="str">
        <f t="shared" si="507"/>
        <v/>
      </c>
      <c r="Q917" s="459" t="str">
        <f t="shared" si="508"/>
        <v/>
      </c>
      <c r="R917" s="459" t="str">
        <f t="shared" si="509"/>
        <v/>
      </c>
      <c r="S917" s="459" t="str">
        <f t="shared" si="510"/>
        <v/>
      </c>
      <c r="T917" s="566" t="str">
        <f t="shared" si="495"/>
        <v/>
      </c>
      <c r="U917" s="702"/>
      <c r="V917" s="132"/>
      <c r="W917" s="133"/>
      <c r="X917" s="134"/>
      <c r="Y917" s="135"/>
      <c r="Z917" s="137"/>
      <c r="AA917" s="136"/>
      <c r="AB917" s="566" t="str">
        <f t="shared" si="496"/>
        <v/>
      </c>
      <c r="AC917" s="568" t="str">
        <f t="shared" si="497"/>
        <v/>
      </c>
      <c r="AD917" s="137"/>
      <c r="AE917" s="137"/>
      <c r="AF917" s="138"/>
      <c r="AG917" s="138"/>
      <c r="AH917" s="592" t="str">
        <f t="shared" si="498"/>
        <v/>
      </c>
      <c r="AI917" s="592" t="str">
        <f t="shared" si="499"/>
        <v/>
      </c>
      <c r="AJ917" s="592" t="str">
        <f t="shared" si="500"/>
        <v/>
      </c>
      <c r="AK917" s="460" t="str">
        <f>IF(AU917="","",IF(OR(AZ917=8,AZ917=9),0,IF(OR(AW917=3,AW917=4,AW917=5,AW917=6),IF(LEFT(BF917,1)="1",INDEX(係数_NOX・PM低減,MATCH(AY917,【参考】排出係数!$AI$801:$AI$804,1),1),VLOOKUP(AU917,INDEX((係数_バス貨物_ガソリン,係数_バス貨物_CNG,係数_バス貨物_軽油,係数_バス貨物_メタノール,係数_バス貨物_LPG),MATCH(AY917,【参考】排出係数!$AI$4:$AI$671,1),1,BE917):INDEX((係数_バス貨物_ガソリン,係数_バス貨物_CNG,係数_バス貨物_軽油,係数_バス貨物_メタノール,係数_バス貨物_LPG),MATCH(AY917+1,【参考】排出係数!$AI$4:$AI$671,1)-1,5,BE917),4,FALSE)),IF(AND(BE917=3,LEFT(BF917,1)="1"),0.48,VLOOKUP(AU917,INDEX((係数_乗用_ガソリン,係数_乗用_CNG,係数_乗用_軽油,係数_乗用_メタノール,係数_乗用_LPG),1,1,BE917):INDEX((係数_乗用_ガソリン,係数_乗用_CNG,係数_乗用_軽油,係数_乗用_メタノール,係数_乗用_LPG),125,5,BE917),4,FALSE)))))</f>
        <v/>
      </c>
      <c r="AL917" s="461" t="str">
        <f t="shared" si="501"/>
        <v/>
      </c>
      <c r="AM917" s="460" t="str">
        <f>IF(AU917="","",IF(OR(AZ917=8,AZ917=9),0,IF(OR(AW917=3,AW917=4,AW917=5,AW917=6),IF(LEFT(BH917,1)="1",INDEX(係数_PM低減,MATCH(AY917,【参考】排出係数!$AI$801:$AI$804,1),MATCH(BI917,【参考】排出係数!$AL$798:$AO$798,1)),VLOOKUP(AU917,INDEX((係数_バス貨物_ガソリン,係数_バス貨物_CNG,係数_バス貨物_軽油,係数_バス貨物_メタノール,係数_バス貨物_LPG),MATCH(AY917,【参考】排出係数!$AI$4:$AI$671,1),1,BE917):INDEX((係数_バス貨物_ガソリン,係数_バス貨物_CNG,係数_バス貨物_軽油,係数_バス貨物_メタノール,係数_バス貨物_LPG),MATCH(AY917+1,【参考】排出係数!$AI$4:$AI$671,1)-1,5,BE917),5,FALSE)),IF(AND(BE917=3,LEFT(BF917,1)="1"),0.055,VLOOKUP(AU917,INDEX((係数_乗用_ガソリン,係数_乗用_CNG,係数_乗用_軽油,係数_乗用_メタノール,係数_乗用_LPG),1,1,BE917):INDEX((係数_乗用_ガソリン,係数_乗用_CNG,係数_乗用_軽油,係数_乗用_メタノール,係数_乗用_LPG),125,5,BE917),5,FALSE)))))</f>
        <v/>
      </c>
      <c r="AN917" s="461" t="str">
        <f t="shared" si="502"/>
        <v/>
      </c>
      <c r="AO917" s="462" t="str">
        <f t="shared" si="503"/>
        <v/>
      </c>
      <c r="AP917" s="463" t="str">
        <f t="shared" si="504"/>
        <v/>
      </c>
      <c r="AQ917" s="464"/>
      <c r="AR917" s="619"/>
      <c r="AS917" s="465" t="str">
        <f t="shared" si="512"/>
        <v/>
      </c>
      <c r="AT917" s="465" t="str">
        <f t="shared" si="513"/>
        <v/>
      </c>
      <c r="AU917" s="466" t="str">
        <f t="shared" si="514"/>
        <v/>
      </c>
      <c r="AV917" s="467" t="str">
        <f t="shared" si="515"/>
        <v/>
      </c>
      <c r="AW917" s="467" t="str">
        <f t="shared" si="516"/>
        <v/>
      </c>
      <c r="AX917" s="467" t="str">
        <f t="shared" si="517"/>
        <v/>
      </c>
      <c r="AY917" s="467" t="str">
        <f t="shared" si="518"/>
        <v/>
      </c>
      <c r="AZ917" s="467" t="str">
        <f t="shared" si="519"/>
        <v/>
      </c>
      <c r="BA917" s="468" t="str">
        <f>IF(AS917="","",IF(OR(AU917="",AU917="-"),"－",IF(OR(AZ917=8,AZ917=9),"",IF(OR(AW917=3,AW917=4,AW917=5,AW917=6),VLOOKUP(AU917,INDEX((係数_バス貨物_ガソリン,係数_バス貨物_CNG,係数_バス貨物_軽油,係数_バス貨物_メタノール,係数_バス貨物_LPG),MATCH(AY917,【参考】排出係数!$AI$4:$AI$671,1),1,BE917):INDEX((係数_バス貨物_ガソリン,係数_バス貨物_CNG,係数_バス貨物_軽油,係数_バス貨物_メタノール,係数_バス貨物_LPG),MATCH(AY917+1,【参考】排出係数!$AI$4:$AI$671,1)-1,5,BE917),2,FALSE),IF(OR(AW917=1,AW917=2),VLOOKUP(AU917,INDEX((係数_乗用_ガソリン,係数_乗用_CNG,係数_乗用_軽油,係数_乗用_メタノール,係数_乗用_LPG),1,1,BE917):INDEX((係数_乗用_ガソリン,係数_乗用_CNG,係数_乗用_軽油,係数_乗用_メタノール,係数_乗用_LPG),125,5,BE917),2,FALSE))))))</f>
        <v/>
      </c>
      <c r="BB917" s="468" t="str">
        <f>IF(T917="","",IF(OR(AU917="",AU917="-"),"－",IF(OR(AZ917=8,AZ917=9),"",IF(OR(AW917=3,AW917=4,AW917=5,AW917=6),VLOOKUP(AU917,INDEX((係数_バス貨物_ガソリン,係数_バス貨物_CNG,係数_バス貨物_軽油,係数_バス貨物_メタノール,係数_バス貨物_LPG),MATCH(AY917,【参考】排出係数!$AI$4:$AI$671,1),1,BE917):INDEX((係数_バス貨物_ガソリン,係数_バス貨物_CNG,係数_バス貨物_軽油,係数_バス貨物_メタノール,係数_バス貨物_LPG),MATCH(AY917+1,【参考】排出係数!$AI$4:$AI$671,1)-1,5,BE917),3,FALSE),IF(OR(AW917=1,AW917=2),VLOOKUP(AU917,INDEX((係数_乗用_ガソリン,係数_乗用_CNG,係数_乗用_軽油,係数_乗用_メタノール,係数_乗用_LPG),1,1,BE917):INDEX((係数_乗用_ガソリン,係数_乗用_CNG,係数_乗用_軽油,係数_乗用_メタノール,係数_乗用_LPG),125,5,BE917),3,FALSE))))))</f>
        <v/>
      </c>
      <c r="BC917" s="467" t="str">
        <f t="shared" si="520"/>
        <v/>
      </c>
      <c r="BD917" s="567" t="str">
        <f t="shared" si="521"/>
        <v/>
      </c>
      <c r="BE917" s="467" t="str">
        <f t="shared" si="522"/>
        <v/>
      </c>
      <c r="BF917" s="469" t="str">
        <f t="shared" ca="1" si="523"/>
        <v/>
      </c>
      <c r="BG917" s="469" t="str">
        <f t="shared" ca="1" si="524"/>
        <v/>
      </c>
      <c r="BH917" s="467" t="str">
        <f t="shared" si="525"/>
        <v/>
      </c>
      <c r="BI917" s="467" t="str">
        <f t="shared" ca="1" si="526"/>
        <v/>
      </c>
      <c r="BJ917" s="469" t="str">
        <f t="shared" si="527"/>
        <v/>
      </c>
      <c r="BK917" s="470" t="str">
        <f t="shared" si="511"/>
        <v/>
      </c>
      <c r="BL917" s="775" t="str">
        <f t="shared" si="528"/>
        <v/>
      </c>
      <c r="BM917" s="775" t="str">
        <f t="shared" si="529"/>
        <v/>
      </c>
    </row>
    <row r="918" spans="1:65">
      <c r="A918" s="473">
        <v>862</v>
      </c>
      <c r="B918" s="132"/>
      <c r="C918" s="332"/>
      <c r="D918" s="333"/>
      <c r="E918" s="333"/>
      <c r="F918" s="334"/>
      <c r="G918" s="337"/>
      <c r="H918" s="131"/>
      <c r="I918" s="337"/>
      <c r="J918" s="131"/>
      <c r="K918" s="458" t="str">
        <f t="shared" si="492"/>
        <v/>
      </c>
      <c r="L918" s="458">
        <f t="shared" si="493"/>
        <v>0</v>
      </c>
      <c r="M918" s="458">
        <f t="shared" si="494"/>
        <v>0</v>
      </c>
      <c r="N918" s="459" t="str">
        <f t="shared" si="505"/>
        <v/>
      </c>
      <c r="O918" s="459" t="str">
        <f t="shared" si="506"/>
        <v/>
      </c>
      <c r="P918" s="459" t="str">
        <f t="shared" si="507"/>
        <v/>
      </c>
      <c r="Q918" s="459" t="str">
        <f t="shared" si="508"/>
        <v/>
      </c>
      <c r="R918" s="459" t="str">
        <f t="shared" si="509"/>
        <v/>
      </c>
      <c r="S918" s="459" t="str">
        <f t="shared" si="510"/>
        <v/>
      </c>
      <c r="T918" s="566" t="str">
        <f t="shared" si="495"/>
        <v/>
      </c>
      <c r="U918" s="702"/>
      <c r="V918" s="132"/>
      <c r="W918" s="133"/>
      <c r="X918" s="134"/>
      <c r="Y918" s="135"/>
      <c r="Z918" s="137"/>
      <c r="AA918" s="136"/>
      <c r="AB918" s="566" t="str">
        <f t="shared" si="496"/>
        <v/>
      </c>
      <c r="AC918" s="568" t="str">
        <f t="shared" si="497"/>
        <v/>
      </c>
      <c r="AD918" s="137"/>
      <c r="AE918" s="137"/>
      <c r="AF918" s="138"/>
      <c r="AG918" s="138"/>
      <c r="AH918" s="592" t="str">
        <f t="shared" si="498"/>
        <v/>
      </c>
      <c r="AI918" s="592" t="str">
        <f t="shared" si="499"/>
        <v/>
      </c>
      <c r="AJ918" s="592" t="str">
        <f t="shared" si="500"/>
        <v/>
      </c>
      <c r="AK918" s="460" t="str">
        <f>IF(AU918="","",IF(OR(AZ918=8,AZ918=9),0,IF(OR(AW918=3,AW918=4,AW918=5,AW918=6),IF(LEFT(BF918,1)="1",INDEX(係数_NOX・PM低減,MATCH(AY918,【参考】排出係数!$AI$801:$AI$804,1),1),VLOOKUP(AU918,INDEX((係数_バス貨物_ガソリン,係数_バス貨物_CNG,係数_バス貨物_軽油,係数_バス貨物_メタノール,係数_バス貨物_LPG),MATCH(AY918,【参考】排出係数!$AI$4:$AI$671,1),1,BE918):INDEX((係数_バス貨物_ガソリン,係数_バス貨物_CNG,係数_バス貨物_軽油,係数_バス貨物_メタノール,係数_バス貨物_LPG),MATCH(AY918+1,【参考】排出係数!$AI$4:$AI$671,1)-1,5,BE918),4,FALSE)),IF(AND(BE918=3,LEFT(BF918,1)="1"),0.48,VLOOKUP(AU918,INDEX((係数_乗用_ガソリン,係数_乗用_CNG,係数_乗用_軽油,係数_乗用_メタノール,係数_乗用_LPG),1,1,BE918):INDEX((係数_乗用_ガソリン,係数_乗用_CNG,係数_乗用_軽油,係数_乗用_メタノール,係数_乗用_LPG),125,5,BE918),4,FALSE)))))</f>
        <v/>
      </c>
      <c r="AL918" s="461" t="str">
        <f t="shared" si="501"/>
        <v/>
      </c>
      <c r="AM918" s="460" t="str">
        <f>IF(AU918="","",IF(OR(AZ918=8,AZ918=9),0,IF(OR(AW918=3,AW918=4,AW918=5,AW918=6),IF(LEFT(BH918,1)="1",INDEX(係数_PM低減,MATCH(AY918,【参考】排出係数!$AI$801:$AI$804,1),MATCH(BI918,【参考】排出係数!$AL$798:$AO$798,1)),VLOOKUP(AU918,INDEX((係数_バス貨物_ガソリン,係数_バス貨物_CNG,係数_バス貨物_軽油,係数_バス貨物_メタノール,係数_バス貨物_LPG),MATCH(AY918,【参考】排出係数!$AI$4:$AI$671,1),1,BE918):INDEX((係数_バス貨物_ガソリン,係数_バス貨物_CNG,係数_バス貨物_軽油,係数_バス貨物_メタノール,係数_バス貨物_LPG),MATCH(AY918+1,【参考】排出係数!$AI$4:$AI$671,1)-1,5,BE918),5,FALSE)),IF(AND(BE918=3,LEFT(BF918,1)="1"),0.055,VLOOKUP(AU918,INDEX((係数_乗用_ガソリン,係数_乗用_CNG,係数_乗用_軽油,係数_乗用_メタノール,係数_乗用_LPG),1,1,BE918):INDEX((係数_乗用_ガソリン,係数_乗用_CNG,係数_乗用_軽油,係数_乗用_メタノール,係数_乗用_LPG),125,5,BE918),5,FALSE)))))</f>
        <v/>
      </c>
      <c r="AN918" s="461" t="str">
        <f t="shared" si="502"/>
        <v/>
      </c>
      <c r="AO918" s="462" t="str">
        <f t="shared" si="503"/>
        <v/>
      </c>
      <c r="AP918" s="463" t="str">
        <f t="shared" si="504"/>
        <v/>
      </c>
      <c r="AQ918" s="464"/>
      <c r="AR918" s="619"/>
      <c r="AS918" s="465" t="str">
        <f t="shared" si="512"/>
        <v/>
      </c>
      <c r="AT918" s="465" t="str">
        <f t="shared" si="513"/>
        <v/>
      </c>
      <c r="AU918" s="466" t="str">
        <f t="shared" si="514"/>
        <v/>
      </c>
      <c r="AV918" s="467" t="str">
        <f t="shared" si="515"/>
        <v/>
      </c>
      <c r="AW918" s="467" t="str">
        <f t="shared" si="516"/>
        <v/>
      </c>
      <c r="AX918" s="467" t="str">
        <f t="shared" si="517"/>
        <v/>
      </c>
      <c r="AY918" s="467" t="str">
        <f t="shared" si="518"/>
        <v/>
      </c>
      <c r="AZ918" s="467" t="str">
        <f t="shared" si="519"/>
        <v/>
      </c>
      <c r="BA918" s="468" t="str">
        <f>IF(AS918="","",IF(OR(AU918="",AU918="-"),"－",IF(OR(AZ918=8,AZ918=9),"",IF(OR(AW918=3,AW918=4,AW918=5,AW918=6),VLOOKUP(AU918,INDEX((係数_バス貨物_ガソリン,係数_バス貨物_CNG,係数_バス貨物_軽油,係数_バス貨物_メタノール,係数_バス貨物_LPG),MATCH(AY918,【参考】排出係数!$AI$4:$AI$671,1),1,BE918):INDEX((係数_バス貨物_ガソリン,係数_バス貨物_CNG,係数_バス貨物_軽油,係数_バス貨物_メタノール,係数_バス貨物_LPG),MATCH(AY918+1,【参考】排出係数!$AI$4:$AI$671,1)-1,5,BE918),2,FALSE),IF(OR(AW918=1,AW918=2),VLOOKUP(AU918,INDEX((係数_乗用_ガソリン,係数_乗用_CNG,係数_乗用_軽油,係数_乗用_メタノール,係数_乗用_LPG),1,1,BE918):INDEX((係数_乗用_ガソリン,係数_乗用_CNG,係数_乗用_軽油,係数_乗用_メタノール,係数_乗用_LPG),125,5,BE918),2,FALSE))))))</f>
        <v/>
      </c>
      <c r="BB918" s="468" t="str">
        <f>IF(T918="","",IF(OR(AU918="",AU918="-"),"－",IF(OR(AZ918=8,AZ918=9),"",IF(OR(AW918=3,AW918=4,AW918=5,AW918=6),VLOOKUP(AU918,INDEX((係数_バス貨物_ガソリン,係数_バス貨物_CNG,係数_バス貨物_軽油,係数_バス貨物_メタノール,係数_バス貨物_LPG),MATCH(AY918,【参考】排出係数!$AI$4:$AI$671,1),1,BE918):INDEX((係数_バス貨物_ガソリン,係数_バス貨物_CNG,係数_バス貨物_軽油,係数_バス貨物_メタノール,係数_バス貨物_LPG),MATCH(AY918+1,【参考】排出係数!$AI$4:$AI$671,1)-1,5,BE918),3,FALSE),IF(OR(AW918=1,AW918=2),VLOOKUP(AU918,INDEX((係数_乗用_ガソリン,係数_乗用_CNG,係数_乗用_軽油,係数_乗用_メタノール,係数_乗用_LPG),1,1,BE918):INDEX((係数_乗用_ガソリン,係数_乗用_CNG,係数_乗用_軽油,係数_乗用_メタノール,係数_乗用_LPG),125,5,BE918),3,FALSE))))))</f>
        <v/>
      </c>
      <c r="BC918" s="467" t="str">
        <f t="shared" si="520"/>
        <v/>
      </c>
      <c r="BD918" s="567" t="str">
        <f t="shared" si="521"/>
        <v/>
      </c>
      <c r="BE918" s="467" t="str">
        <f t="shared" si="522"/>
        <v/>
      </c>
      <c r="BF918" s="469" t="str">
        <f t="shared" ca="1" si="523"/>
        <v/>
      </c>
      <c r="BG918" s="469" t="str">
        <f t="shared" ca="1" si="524"/>
        <v/>
      </c>
      <c r="BH918" s="467" t="str">
        <f t="shared" si="525"/>
        <v/>
      </c>
      <c r="BI918" s="467" t="str">
        <f t="shared" ca="1" si="526"/>
        <v/>
      </c>
      <c r="BJ918" s="469" t="str">
        <f t="shared" si="527"/>
        <v/>
      </c>
      <c r="BK918" s="470" t="str">
        <f t="shared" si="511"/>
        <v/>
      </c>
      <c r="BL918" s="775" t="str">
        <f t="shared" si="528"/>
        <v/>
      </c>
      <c r="BM918" s="775" t="str">
        <f t="shared" si="529"/>
        <v/>
      </c>
    </row>
    <row r="919" spans="1:65">
      <c r="A919" s="473">
        <v>863</v>
      </c>
      <c r="B919" s="132"/>
      <c r="C919" s="332"/>
      <c r="D919" s="333"/>
      <c r="E919" s="333"/>
      <c r="F919" s="334"/>
      <c r="G919" s="337"/>
      <c r="H919" s="131"/>
      <c r="I919" s="337"/>
      <c r="J919" s="131"/>
      <c r="K919" s="458" t="str">
        <f t="shared" si="492"/>
        <v/>
      </c>
      <c r="L919" s="458">
        <f t="shared" si="493"/>
        <v>0</v>
      </c>
      <c r="M919" s="458">
        <f t="shared" si="494"/>
        <v>0</v>
      </c>
      <c r="N919" s="459" t="str">
        <f t="shared" si="505"/>
        <v/>
      </c>
      <c r="O919" s="459" t="str">
        <f t="shared" si="506"/>
        <v/>
      </c>
      <c r="P919" s="459" t="str">
        <f t="shared" si="507"/>
        <v/>
      </c>
      <c r="Q919" s="459" t="str">
        <f t="shared" si="508"/>
        <v/>
      </c>
      <c r="R919" s="459" t="str">
        <f t="shared" si="509"/>
        <v/>
      </c>
      <c r="S919" s="459" t="str">
        <f t="shared" si="510"/>
        <v/>
      </c>
      <c r="T919" s="566" t="str">
        <f t="shared" si="495"/>
        <v/>
      </c>
      <c r="U919" s="702"/>
      <c r="V919" s="132"/>
      <c r="W919" s="133"/>
      <c r="X919" s="134"/>
      <c r="Y919" s="135"/>
      <c r="Z919" s="137"/>
      <c r="AA919" s="136"/>
      <c r="AB919" s="566" t="str">
        <f t="shared" si="496"/>
        <v/>
      </c>
      <c r="AC919" s="568" t="str">
        <f t="shared" si="497"/>
        <v/>
      </c>
      <c r="AD919" s="137"/>
      <c r="AE919" s="137"/>
      <c r="AF919" s="138"/>
      <c r="AG919" s="138"/>
      <c r="AH919" s="592" t="str">
        <f t="shared" si="498"/>
        <v/>
      </c>
      <c r="AI919" s="592" t="str">
        <f t="shared" si="499"/>
        <v/>
      </c>
      <c r="AJ919" s="592" t="str">
        <f t="shared" si="500"/>
        <v/>
      </c>
      <c r="AK919" s="460" t="str">
        <f>IF(AU919="","",IF(OR(AZ919=8,AZ919=9),0,IF(OR(AW919=3,AW919=4,AW919=5,AW919=6),IF(LEFT(BF919,1)="1",INDEX(係数_NOX・PM低減,MATCH(AY919,【参考】排出係数!$AI$801:$AI$804,1),1),VLOOKUP(AU919,INDEX((係数_バス貨物_ガソリン,係数_バス貨物_CNG,係数_バス貨物_軽油,係数_バス貨物_メタノール,係数_バス貨物_LPG),MATCH(AY919,【参考】排出係数!$AI$4:$AI$671,1),1,BE919):INDEX((係数_バス貨物_ガソリン,係数_バス貨物_CNG,係数_バス貨物_軽油,係数_バス貨物_メタノール,係数_バス貨物_LPG),MATCH(AY919+1,【参考】排出係数!$AI$4:$AI$671,1)-1,5,BE919),4,FALSE)),IF(AND(BE919=3,LEFT(BF919,1)="1"),0.48,VLOOKUP(AU919,INDEX((係数_乗用_ガソリン,係数_乗用_CNG,係数_乗用_軽油,係数_乗用_メタノール,係数_乗用_LPG),1,1,BE919):INDEX((係数_乗用_ガソリン,係数_乗用_CNG,係数_乗用_軽油,係数_乗用_メタノール,係数_乗用_LPG),125,5,BE919),4,FALSE)))))</f>
        <v/>
      </c>
      <c r="AL919" s="461" t="str">
        <f t="shared" si="501"/>
        <v/>
      </c>
      <c r="AM919" s="460" t="str">
        <f>IF(AU919="","",IF(OR(AZ919=8,AZ919=9),0,IF(OR(AW919=3,AW919=4,AW919=5,AW919=6),IF(LEFT(BH919,1)="1",INDEX(係数_PM低減,MATCH(AY919,【参考】排出係数!$AI$801:$AI$804,1),MATCH(BI919,【参考】排出係数!$AL$798:$AO$798,1)),VLOOKUP(AU919,INDEX((係数_バス貨物_ガソリン,係数_バス貨物_CNG,係数_バス貨物_軽油,係数_バス貨物_メタノール,係数_バス貨物_LPG),MATCH(AY919,【参考】排出係数!$AI$4:$AI$671,1),1,BE919):INDEX((係数_バス貨物_ガソリン,係数_バス貨物_CNG,係数_バス貨物_軽油,係数_バス貨物_メタノール,係数_バス貨物_LPG),MATCH(AY919+1,【参考】排出係数!$AI$4:$AI$671,1)-1,5,BE919),5,FALSE)),IF(AND(BE919=3,LEFT(BF919,1)="1"),0.055,VLOOKUP(AU919,INDEX((係数_乗用_ガソリン,係数_乗用_CNG,係数_乗用_軽油,係数_乗用_メタノール,係数_乗用_LPG),1,1,BE919):INDEX((係数_乗用_ガソリン,係数_乗用_CNG,係数_乗用_軽油,係数_乗用_メタノール,係数_乗用_LPG),125,5,BE919),5,FALSE)))))</f>
        <v/>
      </c>
      <c r="AN919" s="461" t="str">
        <f t="shared" si="502"/>
        <v/>
      </c>
      <c r="AO919" s="462" t="str">
        <f t="shared" si="503"/>
        <v/>
      </c>
      <c r="AP919" s="463" t="str">
        <f t="shared" si="504"/>
        <v/>
      </c>
      <c r="AQ919" s="464"/>
      <c r="AR919" s="619"/>
      <c r="AS919" s="465" t="str">
        <f t="shared" si="512"/>
        <v/>
      </c>
      <c r="AT919" s="465" t="str">
        <f t="shared" si="513"/>
        <v/>
      </c>
      <c r="AU919" s="466" t="str">
        <f t="shared" si="514"/>
        <v/>
      </c>
      <c r="AV919" s="467" t="str">
        <f t="shared" si="515"/>
        <v/>
      </c>
      <c r="AW919" s="467" t="str">
        <f t="shared" si="516"/>
        <v/>
      </c>
      <c r="AX919" s="467" t="str">
        <f t="shared" si="517"/>
        <v/>
      </c>
      <c r="AY919" s="467" t="str">
        <f t="shared" si="518"/>
        <v/>
      </c>
      <c r="AZ919" s="467" t="str">
        <f t="shared" si="519"/>
        <v/>
      </c>
      <c r="BA919" s="468" t="str">
        <f>IF(AS919="","",IF(OR(AU919="",AU919="-"),"－",IF(OR(AZ919=8,AZ919=9),"",IF(OR(AW919=3,AW919=4,AW919=5,AW919=6),VLOOKUP(AU919,INDEX((係数_バス貨物_ガソリン,係数_バス貨物_CNG,係数_バス貨物_軽油,係数_バス貨物_メタノール,係数_バス貨物_LPG),MATCH(AY919,【参考】排出係数!$AI$4:$AI$671,1),1,BE919):INDEX((係数_バス貨物_ガソリン,係数_バス貨物_CNG,係数_バス貨物_軽油,係数_バス貨物_メタノール,係数_バス貨物_LPG),MATCH(AY919+1,【参考】排出係数!$AI$4:$AI$671,1)-1,5,BE919),2,FALSE),IF(OR(AW919=1,AW919=2),VLOOKUP(AU919,INDEX((係数_乗用_ガソリン,係数_乗用_CNG,係数_乗用_軽油,係数_乗用_メタノール,係数_乗用_LPG),1,1,BE919):INDEX((係数_乗用_ガソリン,係数_乗用_CNG,係数_乗用_軽油,係数_乗用_メタノール,係数_乗用_LPG),125,5,BE919),2,FALSE))))))</f>
        <v/>
      </c>
      <c r="BB919" s="468" t="str">
        <f>IF(T919="","",IF(OR(AU919="",AU919="-"),"－",IF(OR(AZ919=8,AZ919=9),"",IF(OR(AW919=3,AW919=4,AW919=5,AW919=6),VLOOKUP(AU919,INDEX((係数_バス貨物_ガソリン,係数_バス貨物_CNG,係数_バス貨物_軽油,係数_バス貨物_メタノール,係数_バス貨物_LPG),MATCH(AY919,【参考】排出係数!$AI$4:$AI$671,1),1,BE919):INDEX((係数_バス貨物_ガソリン,係数_バス貨物_CNG,係数_バス貨物_軽油,係数_バス貨物_メタノール,係数_バス貨物_LPG),MATCH(AY919+1,【参考】排出係数!$AI$4:$AI$671,1)-1,5,BE919),3,FALSE),IF(OR(AW919=1,AW919=2),VLOOKUP(AU919,INDEX((係数_乗用_ガソリン,係数_乗用_CNG,係数_乗用_軽油,係数_乗用_メタノール,係数_乗用_LPG),1,1,BE919):INDEX((係数_乗用_ガソリン,係数_乗用_CNG,係数_乗用_軽油,係数_乗用_メタノール,係数_乗用_LPG),125,5,BE919),3,FALSE))))))</f>
        <v/>
      </c>
      <c r="BC919" s="467" t="str">
        <f t="shared" si="520"/>
        <v/>
      </c>
      <c r="BD919" s="567" t="str">
        <f t="shared" si="521"/>
        <v/>
      </c>
      <c r="BE919" s="467" t="str">
        <f t="shared" si="522"/>
        <v/>
      </c>
      <c r="BF919" s="469" t="str">
        <f t="shared" ca="1" si="523"/>
        <v/>
      </c>
      <c r="BG919" s="469" t="str">
        <f t="shared" ca="1" si="524"/>
        <v/>
      </c>
      <c r="BH919" s="467" t="str">
        <f t="shared" si="525"/>
        <v/>
      </c>
      <c r="BI919" s="467" t="str">
        <f t="shared" ca="1" si="526"/>
        <v/>
      </c>
      <c r="BJ919" s="469" t="str">
        <f t="shared" si="527"/>
        <v/>
      </c>
      <c r="BK919" s="470" t="str">
        <f t="shared" si="511"/>
        <v/>
      </c>
      <c r="BL919" s="775" t="str">
        <f t="shared" si="528"/>
        <v/>
      </c>
      <c r="BM919" s="775" t="str">
        <f t="shared" si="529"/>
        <v/>
      </c>
    </row>
    <row r="920" spans="1:65">
      <c r="A920" s="473">
        <v>864</v>
      </c>
      <c r="B920" s="132"/>
      <c r="C920" s="332"/>
      <c r="D920" s="333"/>
      <c r="E920" s="333"/>
      <c r="F920" s="334"/>
      <c r="G920" s="337"/>
      <c r="H920" s="131"/>
      <c r="I920" s="337"/>
      <c r="J920" s="131"/>
      <c r="K920" s="458" t="str">
        <f t="shared" si="492"/>
        <v/>
      </c>
      <c r="L920" s="458">
        <f t="shared" si="493"/>
        <v>0</v>
      </c>
      <c r="M920" s="458">
        <f t="shared" si="494"/>
        <v>0</v>
      </c>
      <c r="N920" s="459" t="str">
        <f t="shared" si="505"/>
        <v/>
      </c>
      <c r="O920" s="459" t="str">
        <f t="shared" si="506"/>
        <v/>
      </c>
      <c r="P920" s="459" t="str">
        <f t="shared" si="507"/>
        <v/>
      </c>
      <c r="Q920" s="459" t="str">
        <f t="shared" si="508"/>
        <v/>
      </c>
      <c r="R920" s="459" t="str">
        <f t="shared" si="509"/>
        <v/>
      </c>
      <c r="S920" s="459" t="str">
        <f t="shared" si="510"/>
        <v/>
      </c>
      <c r="T920" s="566" t="str">
        <f t="shared" si="495"/>
        <v/>
      </c>
      <c r="U920" s="702"/>
      <c r="V920" s="132"/>
      <c r="W920" s="133"/>
      <c r="X920" s="134"/>
      <c r="Y920" s="135"/>
      <c r="Z920" s="137"/>
      <c r="AA920" s="136"/>
      <c r="AB920" s="566" t="str">
        <f t="shared" si="496"/>
        <v/>
      </c>
      <c r="AC920" s="568" t="str">
        <f t="shared" si="497"/>
        <v/>
      </c>
      <c r="AD920" s="137"/>
      <c r="AE920" s="137"/>
      <c r="AF920" s="138"/>
      <c r="AG920" s="138"/>
      <c r="AH920" s="592" t="str">
        <f t="shared" si="498"/>
        <v/>
      </c>
      <c r="AI920" s="592" t="str">
        <f t="shared" si="499"/>
        <v/>
      </c>
      <c r="AJ920" s="592" t="str">
        <f t="shared" si="500"/>
        <v/>
      </c>
      <c r="AK920" s="460" t="str">
        <f>IF(AU920="","",IF(OR(AZ920=8,AZ920=9),0,IF(OR(AW920=3,AW920=4,AW920=5,AW920=6),IF(LEFT(BF920,1)="1",INDEX(係数_NOX・PM低減,MATCH(AY920,【参考】排出係数!$AI$801:$AI$804,1),1),VLOOKUP(AU920,INDEX((係数_バス貨物_ガソリン,係数_バス貨物_CNG,係数_バス貨物_軽油,係数_バス貨物_メタノール,係数_バス貨物_LPG),MATCH(AY920,【参考】排出係数!$AI$4:$AI$671,1),1,BE920):INDEX((係数_バス貨物_ガソリン,係数_バス貨物_CNG,係数_バス貨物_軽油,係数_バス貨物_メタノール,係数_バス貨物_LPG),MATCH(AY920+1,【参考】排出係数!$AI$4:$AI$671,1)-1,5,BE920),4,FALSE)),IF(AND(BE920=3,LEFT(BF920,1)="1"),0.48,VLOOKUP(AU920,INDEX((係数_乗用_ガソリン,係数_乗用_CNG,係数_乗用_軽油,係数_乗用_メタノール,係数_乗用_LPG),1,1,BE920):INDEX((係数_乗用_ガソリン,係数_乗用_CNG,係数_乗用_軽油,係数_乗用_メタノール,係数_乗用_LPG),125,5,BE920),4,FALSE)))))</f>
        <v/>
      </c>
      <c r="AL920" s="461" t="str">
        <f t="shared" si="501"/>
        <v/>
      </c>
      <c r="AM920" s="460" t="str">
        <f>IF(AU920="","",IF(OR(AZ920=8,AZ920=9),0,IF(OR(AW920=3,AW920=4,AW920=5,AW920=6),IF(LEFT(BH920,1)="1",INDEX(係数_PM低減,MATCH(AY920,【参考】排出係数!$AI$801:$AI$804,1),MATCH(BI920,【参考】排出係数!$AL$798:$AO$798,1)),VLOOKUP(AU920,INDEX((係数_バス貨物_ガソリン,係数_バス貨物_CNG,係数_バス貨物_軽油,係数_バス貨物_メタノール,係数_バス貨物_LPG),MATCH(AY920,【参考】排出係数!$AI$4:$AI$671,1),1,BE920):INDEX((係数_バス貨物_ガソリン,係数_バス貨物_CNG,係数_バス貨物_軽油,係数_バス貨物_メタノール,係数_バス貨物_LPG),MATCH(AY920+1,【参考】排出係数!$AI$4:$AI$671,1)-1,5,BE920),5,FALSE)),IF(AND(BE920=3,LEFT(BF920,1)="1"),0.055,VLOOKUP(AU920,INDEX((係数_乗用_ガソリン,係数_乗用_CNG,係数_乗用_軽油,係数_乗用_メタノール,係数_乗用_LPG),1,1,BE920):INDEX((係数_乗用_ガソリン,係数_乗用_CNG,係数_乗用_軽油,係数_乗用_メタノール,係数_乗用_LPG),125,5,BE920),5,FALSE)))))</f>
        <v/>
      </c>
      <c r="AN920" s="461" t="str">
        <f t="shared" si="502"/>
        <v/>
      </c>
      <c r="AO920" s="462" t="str">
        <f t="shared" si="503"/>
        <v/>
      </c>
      <c r="AP920" s="463" t="str">
        <f t="shared" si="504"/>
        <v/>
      </c>
      <c r="AQ920" s="464"/>
      <c r="AR920" s="619"/>
      <c r="AS920" s="465" t="str">
        <f t="shared" si="512"/>
        <v/>
      </c>
      <c r="AT920" s="465" t="str">
        <f t="shared" si="513"/>
        <v/>
      </c>
      <c r="AU920" s="466" t="str">
        <f t="shared" si="514"/>
        <v/>
      </c>
      <c r="AV920" s="467" t="str">
        <f t="shared" si="515"/>
        <v/>
      </c>
      <c r="AW920" s="467" t="str">
        <f t="shared" si="516"/>
        <v/>
      </c>
      <c r="AX920" s="467" t="str">
        <f t="shared" si="517"/>
        <v/>
      </c>
      <c r="AY920" s="467" t="str">
        <f t="shared" si="518"/>
        <v/>
      </c>
      <c r="AZ920" s="467" t="str">
        <f t="shared" si="519"/>
        <v/>
      </c>
      <c r="BA920" s="468" t="str">
        <f>IF(AS920="","",IF(OR(AU920="",AU920="-"),"－",IF(OR(AZ920=8,AZ920=9),"",IF(OR(AW920=3,AW920=4,AW920=5,AW920=6),VLOOKUP(AU920,INDEX((係数_バス貨物_ガソリン,係数_バス貨物_CNG,係数_バス貨物_軽油,係数_バス貨物_メタノール,係数_バス貨物_LPG),MATCH(AY920,【参考】排出係数!$AI$4:$AI$671,1),1,BE920):INDEX((係数_バス貨物_ガソリン,係数_バス貨物_CNG,係数_バス貨物_軽油,係数_バス貨物_メタノール,係数_バス貨物_LPG),MATCH(AY920+1,【参考】排出係数!$AI$4:$AI$671,1)-1,5,BE920),2,FALSE),IF(OR(AW920=1,AW920=2),VLOOKUP(AU920,INDEX((係数_乗用_ガソリン,係数_乗用_CNG,係数_乗用_軽油,係数_乗用_メタノール,係数_乗用_LPG),1,1,BE920):INDEX((係数_乗用_ガソリン,係数_乗用_CNG,係数_乗用_軽油,係数_乗用_メタノール,係数_乗用_LPG),125,5,BE920),2,FALSE))))))</f>
        <v/>
      </c>
      <c r="BB920" s="468" t="str">
        <f>IF(T920="","",IF(OR(AU920="",AU920="-"),"－",IF(OR(AZ920=8,AZ920=9),"",IF(OR(AW920=3,AW920=4,AW920=5,AW920=6),VLOOKUP(AU920,INDEX((係数_バス貨物_ガソリン,係数_バス貨物_CNG,係数_バス貨物_軽油,係数_バス貨物_メタノール,係数_バス貨物_LPG),MATCH(AY920,【参考】排出係数!$AI$4:$AI$671,1),1,BE920):INDEX((係数_バス貨物_ガソリン,係数_バス貨物_CNG,係数_バス貨物_軽油,係数_バス貨物_メタノール,係数_バス貨物_LPG),MATCH(AY920+1,【参考】排出係数!$AI$4:$AI$671,1)-1,5,BE920),3,FALSE),IF(OR(AW920=1,AW920=2),VLOOKUP(AU920,INDEX((係数_乗用_ガソリン,係数_乗用_CNG,係数_乗用_軽油,係数_乗用_メタノール,係数_乗用_LPG),1,1,BE920):INDEX((係数_乗用_ガソリン,係数_乗用_CNG,係数_乗用_軽油,係数_乗用_メタノール,係数_乗用_LPG),125,5,BE920),3,FALSE))))))</f>
        <v/>
      </c>
      <c r="BC920" s="467" t="str">
        <f t="shared" si="520"/>
        <v/>
      </c>
      <c r="BD920" s="567" t="str">
        <f t="shared" si="521"/>
        <v/>
      </c>
      <c r="BE920" s="467" t="str">
        <f t="shared" si="522"/>
        <v/>
      </c>
      <c r="BF920" s="469" t="str">
        <f t="shared" ca="1" si="523"/>
        <v/>
      </c>
      <c r="BG920" s="469" t="str">
        <f t="shared" ca="1" si="524"/>
        <v/>
      </c>
      <c r="BH920" s="467" t="str">
        <f t="shared" si="525"/>
        <v/>
      </c>
      <c r="BI920" s="467" t="str">
        <f t="shared" ca="1" si="526"/>
        <v/>
      </c>
      <c r="BJ920" s="469" t="str">
        <f t="shared" si="527"/>
        <v/>
      </c>
      <c r="BK920" s="470" t="str">
        <f t="shared" si="511"/>
        <v/>
      </c>
      <c r="BL920" s="775" t="str">
        <f t="shared" si="528"/>
        <v/>
      </c>
      <c r="BM920" s="775" t="str">
        <f t="shared" si="529"/>
        <v/>
      </c>
    </row>
    <row r="921" spans="1:65">
      <c r="A921" s="473">
        <v>865</v>
      </c>
      <c r="B921" s="132"/>
      <c r="C921" s="332"/>
      <c r="D921" s="333"/>
      <c r="E921" s="333"/>
      <c r="F921" s="334"/>
      <c r="G921" s="337"/>
      <c r="H921" s="131"/>
      <c r="I921" s="337"/>
      <c r="J921" s="131"/>
      <c r="K921" s="458" t="str">
        <f t="shared" si="492"/>
        <v/>
      </c>
      <c r="L921" s="458">
        <f t="shared" si="493"/>
        <v>0</v>
      </c>
      <c r="M921" s="458">
        <f t="shared" si="494"/>
        <v>0</v>
      </c>
      <c r="N921" s="459" t="str">
        <f t="shared" si="505"/>
        <v/>
      </c>
      <c r="O921" s="459" t="str">
        <f t="shared" si="506"/>
        <v/>
      </c>
      <c r="P921" s="459" t="str">
        <f t="shared" si="507"/>
        <v/>
      </c>
      <c r="Q921" s="459" t="str">
        <f t="shared" si="508"/>
        <v/>
      </c>
      <c r="R921" s="459" t="str">
        <f t="shared" si="509"/>
        <v/>
      </c>
      <c r="S921" s="459" t="str">
        <f t="shared" si="510"/>
        <v/>
      </c>
      <c r="T921" s="566" t="str">
        <f t="shared" si="495"/>
        <v/>
      </c>
      <c r="U921" s="702"/>
      <c r="V921" s="132"/>
      <c r="W921" s="133"/>
      <c r="X921" s="134"/>
      <c r="Y921" s="135"/>
      <c r="Z921" s="137"/>
      <c r="AA921" s="136"/>
      <c r="AB921" s="566" t="str">
        <f t="shared" si="496"/>
        <v/>
      </c>
      <c r="AC921" s="568" t="str">
        <f t="shared" si="497"/>
        <v/>
      </c>
      <c r="AD921" s="137"/>
      <c r="AE921" s="137"/>
      <c r="AF921" s="138"/>
      <c r="AG921" s="138"/>
      <c r="AH921" s="592" t="str">
        <f t="shared" si="498"/>
        <v/>
      </c>
      <c r="AI921" s="592" t="str">
        <f t="shared" si="499"/>
        <v/>
      </c>
      <c r="AJ921" s="592" t="str">
        <f t="shared" si="500"/>
        <v/>
      </c>
      <c r="AK921" s="460" t="str">
        <f>IF(AU921="","",IF(OR(AZ921=8,AZ921=9),0,IF(OR(AW921=3,AW921=4,AW921=5,AW921=6),IF(LEFT(BF921,1)="1",INDEX(係数_NOX・PM低減,MATCH(AY921,【参考】排出係数!$AI$801:$AI$804,1),1),VLOOKUP(AU921,INDEX((係数_バス貨物_ガソリン,係数_バス貨物_CNG,係数_バス貨物_軽油,係数_バス貨物_メタノール,係数_バス貨物_LPG),MATCH(AY921,【参考】排出係数!$AI$4:$AI$671,1),1,BE921):INDEX((係数_バス貨物_ガソリン,係数_バス貨物_CNG,係数_バス貨物_軽油,係数_バス貨物_メタノール,係数_バス貨物_LPG),MATCH(AY921+1,【参考】排出係数!$AI$4:$AI$671,1)-1,5,BE921),4,FALSE)),IF(AND(BE921=3,LEFT(BF921,1)="1"),0.48,VLOOKUP(AU921,INDEX((係数_乗用_ガソリン,係数_乗用_CNG,係数_乗用_軽油,係数_乗用_メタノール,係数_乗用_LPG),1,1,BE921):INDEX((係数_乗用_ガソリン,係数_乗用_CNG,係数_乗用_軽油,係数_乗用_メタノール,係数_乗用_LPG),125,5,BE921),4,FALSE)))))</f>
        <v/>
      </c>
      <c r="AL921" s="461" t="str">
        <f t="shared" si="501"/>
        <v/>
      </c>
      <c r="AM921" s="460" t="str">
        <f>IF(AU921="","",IF(OR(AZ921=8,AZ921=9),0,IF(OR(AW921=3,AW921=4,AW921=5,AW921=6),IF(LEFT(BH921,1)="1",INDEX(係数_PM低減,MATCH(AY921,【参考】排出係数!$AI$801:$AI$804,1),MATCH(BI921,【参考】排出係数!$AL$798:$AO$798,1)),VLOOKUP(AU921,INDEX((係数_バス貨物_ガソリン,係数_バス貨物_CNG,係数_バス貨物_軽油,係数_バス貨物_メタノール,係数_バス貨物_LPG),MATCH(AY921,【参考】排出係数!$AI$4:$AI$671,1),1,BE921):INDEX((係数_バス貨物_ガソリン,係数_バス貨物_CNG,係数_バス貨物_軽油,係数_バス貨物_メタノール,係数_バス貨物_LPG),MATCH(AY921+1,【参考】排出係数!$AI$4:$AI$671,1)-1,5,BE921),5,FALSE)),IF(AND(BE921=3,LEFT(BF921,1)="1"),0.055,VLOOKUP(AU921,INDEX((係数_乗用_ガソリン,係数_乗用_CNG,係数_乗用_軽油,係数_乗用_メタノール,係数_乗用_LPG),1,1,BE921):INDEX((係数_乗用_ガソリン,係数_乗用_CNG,係数_乗用_軽油,係数_乗用_メタノール,係数_乗用_LPG),125,5,BE921),5,FALSE)))))</f>
        <v/>
      </c>
      <c r="AN921" s="461" t="str">
        <f t="shared" si="502"/>
        <v/>
      </c>
      <c r="AO921" s="462" t="str">
        <f t="shared" si="503"/>
        <v/>
      </c>
      <c r="AP921" s="463" t="str">
        <f t="shared" si="504"/>
        <v/>
      </c>
      <c r="AQ921" s="464"/>
      <c r="AR921" s="619"/>
      <c r="AS921" s="465" t="str">
        <f t="shared" si="512"/>
        <v/>
      </c>
      <c r="AT921" s="465" t="str">
        <f t="shared" si="513"/>
        <v/>
      </c>
      <c r="AU921" s="466" t="str">
        <f t="shared" si="514"/>
        <v/>
      </c>
      <c r="AV921" s="467" t="str">
        <f t="shared" si="515"/>
        <v/>
      </c>
      <c r="AW921" s="467" t="str">
        <f t="shared" si="516"/>
        <v/>
      </c>
      <c r="AX921" s="467" t="str">
        <f t="shared" si="517"/>
        <v/>
      </c>
      <c r="AY921" s="467" t="str">
        <f t="shared" si="518"/>
        <v/>
      </c>
      <c r="AZ921" s="467" t="str">
        <f t="shared" si="519"/>
        <v/>
      </c>
      <c r="BA921" s="468" t="str">
        <f>IF(AS921="","",IF(OR(AU921="",AU921="-"),"－",IF(OR(AZ921=8,AZ921=9),"",IF(OR(AW921=3,AW921=4,AW921=5,AW921=6),VLOOKUP(AU921,INDEX((係数_バス貨物_ガソリン,係数_バス貨物_CNG,係数_バス貨物_軽油,係数_バス貨物_メタノール,係数_バス貨物_LPG),MATCH(AY921,【参考】排出係数!$AI$4:$AI$671,1),1,BE921):INDEX((係数_バス貨物_ガソリン,係数_バス貨物_CNG,係数_バス貨物_軽油,係数_バス貨物_メタノール,係数_バス貨物_LPG),MATCH(AY921+1,【参考】排出係数!$AI$4:$AI$671,1)-1,5,BE921),2,FALSE),IF(OR(AW921=1,AW921=2),VLOOKUP(AU921,INDEX((係数_乗用_ガソリン,係数_乗用_CNG,係数_乗用_軽油,係数_乗用_メタノール,係数_乗用_LPG),1,1,BE921):INDEX((係数_乗用_ガソリン,係数_乗用_CNG,係数_乗用_軽油,係数_乗用_メタノール,係数_乗用_LPG),125,5,BE921),2,FALSE))))))</f>
        <v/>
      </c>
      <c r="BB921" s="468" t="str">
        <f>IF(T921="","",IF(OR(AU921="",AU921="-"),"－",IF(OR(AZ921=8,AZ921=9),"",IF(OR(AW921=3,AW921=4,AW921=5,AW921=6),VLOOKUP(AU921,INDEX((係数_バス貨物_ガソリン,係数_バス貨物_CNG,係数_バス貨物_軽油,係数_バス貨物_メタノール,係数_バス貨物_LPG),MATCH(AY921,【参考】排出係数!$AI$4:$AI$671,1),1,BE921):INDEX((係数_バス貨物_ガソリン,係数_バス貨物_CNG,係数_バス貨物_軽油,係数_バス貨物_メタノール,係数_バス貨物_LPG),MATCH(AY921+1,【参考】排出係数!$AI$4:$AI$671,1)-1,5,BE921),3,FALSE),IF(OR(AW921=1,AW921=2),VLOOKUP(AU921,INDEX((係数_乗用_ガソリン,係数_乗用_CNG,係数_乗用_軽油,係数_乗用_メタノール,係数_乗用_LPG),1,1,BE921):INDEX((係数_乗用_ガソリン,係数_乗用_CNG,係数_乗用_軽油,係数_乗用_メタノール,係数_乗用_LPG),125,5,BE921),3,FALSE))))))</f>
        <v/>
      </c>
      <c r="BC921" s="467" t="str">
        <f t="shared" si="520"/>
        <v/>
      </c>
      <c r="BD921" s="567" t="str">
        <f t="shared" si="521"/>
        <v/>
      </c>
      <c r="BE921" s="467" t="str">
        <f t="shared" si="522"/>
        <v/>
      </c>
      <c r="BF921" s="469" t="str">
        <f t="shared" ca="1" si="523"/>
        <v/>
      </c>
      <c r="BG921" s="469" t="str">
        <f t="shared" ca="1" si="524"/>
        <v/>
      </c>
      <c r="BH921" s="467" t="str">
        <f t="shared" si="525"/>
        <v/>
      </c>
      <c r="BI921" s="467" t="str">
        <f t="shared" ca="1" si="526"/>
        <v/>
      </c>
      <c r="BJ921" s="469" t="str">
        <f t="shared" si="527"/>
        <v/>
      </c>
      <c r="BK921" s="470" t="str">
        <f t="shared" si="511"/>
        <v/>
      </c>
      <c r="BL921" s="775" t="str">
        <f t="shared" si="528"/>
        <v/>
      </c>
      <c r="BM921" s="775" t="str">
        <f t="shared" si="529"/>
        <v/>
      </c>
    </row>
    <row r="922" spans="1:65">
      <c r="A922" s="473">
        <v>866</v>
      </c>
      <c r="B922" s="132"/>
      <c r="C922" s="332"/>
      <c r="D922" s="333"/>
      <c r="E922" s="333"/>
      <c r="F922" s="334"/>
      <c r="G922" s="337"/>
      <c r="H922" s="131"/>
      <c r="I922" s="337"/>
      <c r="J922" s="131"/>
      <c r="K922" s="458" t="str">
        <f t="shared" si="492"/>
        <v/>
      </c>
      <c r="L922" s="458">
        <f t="shared" si="493"/>
        <v>0</v>
      </c>
      <c r="M922" s="458">
        <f t="shared" si="494"/>
        <v>0</v>
      </c>
      <c r="N922" s="459" t="str">
        <f t="shared" si="505"/>
        <v/>
      </c>
      <c r="O922" s="459" t="str">
        <f t="shared" si="506"/>
        <v/>
      </c>
      <c r="P922" s="459" t="str">
        <f t="shared" si="507"/>
        <v/>
      </c>
      <c r="Q922" s="459" t="str">
        <f t="shared" si="508"/>
        <v/>
      </c>
      <c r="R922" s="459" t="str">
        <f t="shared" si="509"/>
        <v/>
      </c>
      <c r="S922" s="459" t="str">
        <f t="shared" si="510"/>
        <v/>
      </c>
      <c r="T922" s="566" t="str">
        <f t="shared" si="495"/>
        <v/>
      </c>
      <c r="U922" s="702"/>
      <c r="V922" s="132"/>
      <c r="W922" s="133"/>
      <c r="X922" s="134"/>
      <c r="Y922" s="135"/>
      <c r="Z922" s="137"/>
      <c r="AA922" s="136"/>
      <c r="AB922" s="566" t="str">
        <f t="shared" si="496"/>
        <v/>
      </c>
      <c r="AC922" s="568" t="str">
        <f t="shared" si="497"/>
        <v/>
      </c>
      <c r="AD922" s="137"/>
      <c r="AE922" s="137"/>
      <c r="AF922" s="138"/>
      <c r="AG922" s="138"/>
      <c r="AH922" s="592" t="str">
        <f t="shared" si="498"/>
        <v/>
      </c>
      <c r="AI922" s="592" t="str">
        <f t="shared" si="499"/>
        <v/>
      </c>
      <c r="AJ922" s="592" t="str">
        <f t="shared" si="500"/>
        <v/>
      </c>
      <c r="AK922" s="460" t="str">
        <f>IF(AU922="","",IF(OR(AZ922=8,AZ922=9),0,IF(OR(AW922=3,AW922=4,AW922=5,AW922=6),IF(LEFT(BF922,1)="1",INDEX(係数_NOX・PM低減,MATCH(AY922,【参考】排出係数!$AI$801:$AI$804,1),1),VLOOKUP(AU922,INDEX((係数_バス貨物_ガソリン,係数_バス貨物_CNG,係数_バス貨物_軽油,係数_バス貨物_メタノール,係数_バス貨物_LPG),MATCH(AY922,【参考】排出係数!$AI$4:$AI$671,1),1,BE922):INDEX((係数_バス貨物_ガソリン,係数_バス貨物_CNG,係数_バス貨物_軽油,係数_バス貨物_メタノール,係数_バス貨物_LPG),MATCH(AY922+1,【参考】排出係数!$AI$4:$AI$671,1)-1,5,BE922),4,FALSE)),IF(AND(BE922=3,LEFT(BF922,1)="1"),0.48,VLOOKUP(AU922,INDEX((係数_乗用_ガソリン,係数_乗用_CNG,係数_乗用_軽油,係数_乗用_メタノール,係数_乗用_LPG),1,1,BE922):INDEX((係数_乗用_ガソリン,係数_乗用_CNG,係数_乗用_軽油,係数_乗用_メタノール,係数_乗用_LPG),125,5,BE922),4,FALSE)))))</f>
        <v/>
      </c>
      <c r="AL922" s="461" t="str">
        <f t="shared" si="501"/>
        <v/>
      </c>
      <c r="AM922" s="460" t="str">
        <f>IF(AU922="","",IF(OR(AZ922=8,AZ922=9),0,IF(OR(AW922=3,AW922=4,AW922=5,AW922=6),IF(LEFT(BH922,1)="1",INDEX(係数_PM低減,MATCH(AY922,【参考】排出係数!$AI$801:$AI$804,1),MATCH(BI922,【参考】排出係数!$AL$798:$AO$798,1)),VLOOKUP(AU922,INDEX((係数_バス貨物_ガソリン,係数_バス貨物_CNG,係数_バス貨物_軽油,係数_バス貨物_メタノール,係数_バス貨物_LPG),MATCH(AY922,【参考】排出係数!$AI$4:$AI$671,1),1,BE922):INDEX((係数_バス貨物_ガソリン,係数_バス貨物_CNG,係数_バス貨物_軽油,係数_バス貨物_メタノール,係数_バス貨物_LPG),MATCH(AY922+1,【参考】排出係数!$AI$4:$AI$671,1)-1,5,BE922),5,FALSE)),IF(AND(BE922=3,LEFT(BF922,1)="1"),0.055,VLOOKUP(AU922,INDEX((係数_乗用_ガソリン,係数_乗用_CNG,係数_乗用_軽油,係数_乗用_メタノール,係数_乗用_LPG),1,1,BE922):INDEX((係数_乗用_ガソリン,係数_乗用_CNG,係数_乗用_軽油,係数_乗用_メタノール,係数_乗用_LPG),125,5,BE922),5,FALSE)))))</f>
        <v/>
      </c>
      <c r="AN922" s="461" t="str">
        <f t="shared" si="502"/>
        <v/>
      </c>
      <c r="AO922" s="462" t="str">
        <f t="shared" si="503"/>
        <v/>
      </c>
      <c r="AP922" s="463" t="str">
        <f t="shared" si="504"/>
        <v/>
      </c>
      <c r="AQ922" s="464"/>
      <c r="AR922" s="619"/>
      <c r="AS922" s="465" t="str">
        <f t="shared" si="512"/>
        <v/>
      </c>
      <c r="AT922" s="465" t="str">
        <f t="shared" si="513"/>
        <v/>
      </c>
      <c r="AU922" s="466" t="str">
        <f t="shared" si="514"/>
        <v/>
      </c>
      <c r="AV922" s="467" t="str">
        <f t="shared" si="515"/>
        <v/>
      </c>
      <c r="AW922" s="467" t="str">
        <f t="shared" si="516"/>
        <v/>
      </c>
      <c r="AX922" s="467" t="str">
        <f t="shared" si="517"/>
        <v/>
      </c>
      <c r="AY922" s="467" t="str">
        <f t="shared" si="518"/>
        <v/>
      </c>
      <c r="AZ922" s="467" t="str">
        <f t="shared" si="519"/>
        <v/>
      </c>
      <c r="BA922" s="468" t="str">
        <f>IF(AS922="","",IF(OR(AU922="",AU922="-"),"－",IF(OR(AZ922=8,AZ922=9),"",IF(OR(AW922=3,AW922=4,AW922=5,AW922=6),VLOOKUP(AU922,INDEX((係数_バス貨物_ガソリン,係数_バス貨物_CNG,係数_バス貨物_軽油,係数_バス貨物_メタノール,係数_バス貨物_LPG),MATCH(AY922,【参考】排出係数!$AI$4:$AI$671,1),1,BE922):INDEX((係数_バス貨物_ガソリン,係数_バス貨物_CNG,係数_バス貨物_軽油,係数_バス貨物_メタノール,係数_バス貨物_LPG),MATCH(AY922+1,【参考】排出係数!$AI$4:$AI$671,1)-1,5,BE922),2,FALSE),IF(OR(AW922=1,AW922=2),VLOOKUP(AU922,INDEX((係数_乗用_ガソリン,係数_乗用_CNG,係数_乗用_軽油,係数_乗用_メタノール,係数_乗用_LPG),1,1,BE922):INDEX((係数_乗用_ガソリン,係数_乗用_CNG,係数_乗用_軽油,係数_乗用_メタノール,係数_乗用_LPG),125,5,BE922),2,FALSE))))))</f>
        <v/>
      </c>
      <c r="BB922" s="468" t="str">
        <f>IF(T922="","",IF(OR(AU922="",AU922="-"),"－",IF(OR(AZ922=8,AZ922=9),"",IF(OR(AW922=3,AW922=4,AW922=5,AW922=6),VLOOKUP(AU922,INDEX((係数_バス貨物_ガソリン,係数_バス貨物_CNG,係数_バス貨物_軽油,係数_バス貨物_メタノール,係数_バス貨物_LPG),MATCH(AY922,【参考】排出係数!$AI$4:$AI$671,1),1,BE922):INDEX((係数_バス貨物_ガソリン,係数_バス貨物_CNG,係数_バス貨物_軽油,係数_バス貨物_メタノール,係数_バス貨物_LPG),MATCH(AY922+1,【参考】排出係数!$AI$4:$AI$671,1)-1,5,BE922),3,FALSE),IF(OR(AW922=1,AW922=2),VLOOKUP(AU922,INDEX((係数_乗用_ガソリン,係数_乗用_CNG,係数_乗用_軽油,係数_乗用_メタノール,係数_乗用_LPG),1,1,BE922):INDEX((係数_乗用_ガソリン,係数_乗用_CNG,係数_乗用_軽油,係数_乗用_メタノール,係数_乗用_LPG),125,5,BE922),3,FALSE))))))</f>
        <v/>
      </c>
      <c r="BC922" s="467" t="str">
        <f t="shared" si="520"/>
        <v/>
      </c>
      <c r="BD922" s="567" t="str">
        <f t="shared" si="521"/>
        <v/>
      </c>
      <c r="BE922" s="467" t="str">
        <f t="shared" si="522"/>
        <v/>
      </c>
      <c r="BF922" s="469" t="str">
        <f t="shared" ca="1" si="523"/>
        <v/>
      </c>
      <c r="BG922" s="469" t="str">
        <f t="shared" ca="1" si="524"/>
        <v/>
      </c>
      <c r="BH922" s="467" t="str">
        <f t="shared" si="525"/>
        <v/>
      </c>
      <c r="BI922" s="467" t="str">
        <f t="shared" ca="1" si="526"/>
        <v/>
      </c>
      <c r="BJ922" s="469" t="str">
        <f t="shared" si="527"/>
        <v/>
      </c>
      <c r="BK922" s="470" t="str">
        <f t="shared" si="511"/>
        <v/>
      </c>
      <c r="BL922" s="775" t="str">
        <f t="shared" si="528"/>
        <v/>
      </c>
      <c r="BM922" s="775" t="str">
        <f t="shared" si="529"/>
        <v/>
      </c>
    </row>
    <row r="923" spans="1:65">
      <c r="A923" s="473">
        <v>867</v>
      </c>
      <c r="B923" s="132"/>
      <c r="C923" s="332"/>
      <c r="D923" s="333"/>
      <c r="E923" s="333"/>
      <c r="F923" s="334"/>
      <c r="G923" s="337"/>
      <c r="H923" s="131"/>
      <c r="I923" s="337"/>
      <c r="J923" s="131"/>
      <c r="K923" s="458" t="str">
        <f t="shared" si="492"/>
        <v/>
      </c>
      <c r="L923" s="458">
        <f t="shared" si="493"/>
        <v>0</v>
      </c>
      <c r="M923" s="458">
        <f t="shared" si="494"/>
        <v>0</v>
      </c>
      <c r="N923" s="459" t="str">
        <f t="shared" si="505"/>
        <v/>
      </c>
      <c r="O923" s="459" t="str">
        <f t="shared" si="506"/>
        <v/>
      </c>
      <c r="P923" s="459" t="str">
        <f t="shared" si="507"/>
        <v/>
      </c>
      <c r="Q923" s="459" t="str">
        <f t="shared" si="508"/>
        <v/>
      </c>
      <c r="R923" s="459" t="str">
        <f t="shared" si="509"/>
        <v/>
      </c>
      <c r="S923" s="459" t="str">
        <f t="shared" si="510"/>
        <v/>
      </c>
      <c r="T923" s="566" t="str">
        <f t="shared" si="495"/>
        <v/>
      </c>
      <c r="U923" s="702"/>
      <c r="V923" s="132"/>
      <c r="W923" s="133"/>
      <c r="X923" s="134"/>
      <c r="Y923" s="135"/>
      <c r="Z923" s="137"/>
      <c r="AA923" s="136"/>
      <c r="AB923" s="566" t="str">
        <f t="shared" si="496"/>
        <v/>
      </c>
      <c r="AC923" s="568" t="str">
        <f t="shared" si="497"/>
        <v/>
      </c>
      <c r="AD923" s="137"/>
      <c r="AE923" s="137"/>
      <c r="AF923" s="138"/>
      <c r="AG923" s="138"/>
      <c r="AH923" s="592" t="str">
        <f t="shared" si="498"/>
        <v/>
      </c>
      <c r="AI923" s="592" t="str">
        <f t="shared" si="499"/>
        <v/>
      </c>
      <c r="AJ923" s="592" t="str">
        <f t="shared" si="500"/>
        <v/>
      </c>
      <c r="AK923" s="460" t="str">
        <f>IF(AU923="","",IF(OR(AZ923=8,AZ923=9),0,IF(OR(AW923=3,AW923=4,AW923=5,AW923=6),IF(LEFT(BF923,1)="1",INDEX(係数_NOX・PM低減,MATCH(AY923,【参考】排出係数!$AI$801:$AI$804,1),1),VLOOKUP(AU923,INDEX((係数_バス貨物_ガソリン,係数_バス貨物_CNG,係数_バス貨物_軽油,係数_バス貨物_メタノール,係数_バス貨物_LPG),MATCH(AY923,【参考】排出係数!$AI$4:$AI$671,1),1,BE923):INDEX((係数_バス貨物_ガソリン,係数_バス貨物_CNG,係数_バス貨物_軽油,係数_バス貨物_メタノール,係数_バス貨物_LPG),MATCH(AY923+1,【参考】排出係数!$AI$4:$AI$671,1)-1,5,BE923),4,FALSE)),IF(AND(BE923=3,LEFT(BF923,1)="1"),0.48,VLOOKUP(AU923,INDEX((係数_乗用_ガソリン,係数_乗用_CNG,係数_乗用_軽油,係数_乗用_メタノール,係数_乗用_LPG),1,1,BE923):INDEX((係数_乗用_ガソリン,係数_乗用_CNG,係数_乗用_軽油,係数_乗用_メタノール,係数_乗用_LPG),125,5,BE923),4,FALSE)))))</f>
        <v/>
      </c>
      <c r="AL923" s="461" t="str">
        <f t="shared" si="501"/>
        <v/>
      </c>
      <c r="AM923" s="460" t="str">
        <f>IF(AU923="","",IF(OR(AZ923=8,AZ923=9),0,IF(OR(AW923=3,AW923=4,AW923=5,AW923=6),IF(LEFT(BH923,1)="1",INDEX(係数_PM低減,MATCH(AY923,【参考】排出係数!$AI$801:$AI$804,1),MATCH(BI923,【参考】排出係数!$AL$798:$AO$798,1)),VLOOKUP(AU923,INDEX((係数_バス貨物_ガソリン,係数_バス貨物_CNG,係数_バス貨物_軽油,係数_バス貨物_メタノール,係数_バス貨物_LPG),MATCH(AY923,【参考】排出係数!$AI$4:$AI$671,1),1,BE923):INDEX((係数_バス貨物_ガソリン,係数_バス貨物_CNG,係数_バス貨物_軽油,係数_バス貨物_メタノール,係数_バス貨物_LPG),MATCH(AY923+1,【参考】排出係数!$AI$4:$AI$671,1)-1,5,BE923),5,FALSE)),IF(AND(BE923=3,LEFT(BF923,1)="1"),0.055,VLOOKUP(AU923,INDEX((係数_乗用_ガソリン,係数_乗用_CNG,係数_乗用_軽油,係数_乗用_メタノール,係数_乗用_LPG),1,1,BE923):INDEX((係数_乗用_ガソリン,係数_乗用_CNG,係数_乗用_軽油,係数_乗用_メタノール,係数_乗用_LPG),125,5,BE923),5,FALSE)))))</f>
        <v/>
      </c>
      <c r="AN923" s="461" t="str">
        <f t="shared" si="502"/>
        <v/>
      </c>
      <c r="AO923" s="462" t="str">
        <f t="shared" si="503"/>
        <v/>
      </c>
      <c r="AP923" s="463" t="str">
        <f t="shared" si="504"/>
        <v/>
      </c>
      <c r="AQ923" s="464"/>
      <c r="AR923" s="619"/>
      <c r="AS923" s="465" t="str">
        <f t="shared" si="512"/>
        <v/>
      </c>
      <c r="AT923" s="465" t="str">
        <f t="shared" si="513"/>
        <v/>
      </c>
      <c r="AU923" s="466" t="str">
        <f t="shared" si="514"/>
        <v/>
      </c>
      <c r="AV923" s="467" t="str">
        <f t="shared" si="515"/>
        <v/>
      </c>
      <c r="AW923" s="467" t="str">
        <f t="shared" si="516"/>
        <v/>
      </c>
      <c r="AX923" s="467" t="str">
        <f t="shared" si="517"/>
        <v/>
      </c>
      <c r="AY923" s="467" t="str">
        <f t="shared" si="518"/>
        <v/>
      </c>
      <c r="AZ923" s="467" t="str">
        <f t="shared" si="519"/>
        <v/>
      </c>
      <c r="BA923" s="468" t="str">
        <f>IF(AS923="","",IF(OR(AU923="",AU923="-"),"－",IF(OR(AZ923=8,AZ923=9),"",IF(OR(AW923=3,AW923=4,AW923=5,AW923=6),VLOOKUP(AU923,INDEX((係数_バス貨物_ガソリン,係数_バス貨物_CNG,係数_バス貨物_軽油,係数_バス貨物_メタノール,係数_バス貨物_LPG),MATCH(AY923,【参考】排出係数!$AI$4:$AI$671,1),1,BE923):INDEX((係数_バス貨物_ガソリン,係数_バス貨物_CNG,係数_バス貨物_軽油,係数_バス貨物_メタノール,係数_バス貨物_LPG),MATCH(AY923+1,【参考】排出係数!$AI$4:$AI$671,1)-1,5,BE923),2,FALSE),IF(OR(AW923=1,AW923=2),VLOOKUP(AU923,INDEX((係数_乗用_ガソリン,係数_乗用_CNG,係数_乗用_軽油,係数_乗用_メタノール,係数_乗用_LPG),1,1,BE923):INDEX((係数_乗用_ガソリン,係数_乗用_CNG,係数_乗用_軽油,係数_乗用_メタノール,係数_乗用_LPG),125,5,BE923),2,FALSE))))))</f>
        <v/>
      </c>
      <c r="BB923" s="468" t="str">
        <f>IF(T923="","",IF(OR(AU923="",AU923="-"),"－",IF(OR(AZ923=8,AZ923=9),"",IF(OR(AW923=3,AW923=4,AW923=5,AW923=6),VLOOKUP(AU923,INDEX((係数_バス貨物_ガソリン,係数_バス貨物_CNG,係数_バス貨物_軽油,係数_バス貨物_メタノール,係数_バス貨物_LPG),MATCH(AY923,【参考】排出係数!$AI$4:$AI$671,1),1,BE923):INDEX((係数_バス貨物_ガソリン,係数_バス貨物_CNG,係数_バス貨物_軽油,係数_バス貨物_メタノール,係数_バス貨物_LPG),MATCH(AY923+1,【参考】排出係数!$AI$4:$AI$671,1)-1,5,BE923),3,FALSE),IF(OR(AW923=1,AW923=2),VLOOKUP(AU923,INDEX((係数_乗用_ガソリン,係数_乗用_CNG,係数_乗用_軽油,係数_乗用_メタノール,係数_乗用_LPG),1,1,BE923):INDEX((係数_乗用_ガソリン,係数_乗用_CNG,係数_乗用_軽油,係数_乗用_メタノール,係数_乗用_LPG),125,5,BE923),3,FALSE))))))</f>
        <v/>
      </c>
      <c r="BC923" s="467" t="str">
        <f t="shared" si="520"/>
        <v/>
      </c>
      <c r="BD923" s="567" t="str">
        <f t="shared" si="521"/>
        <v/>
      </c>
      <c r="BE923" s="467" t="str">
        <f t="shared" si="522"/>
        <v/>
      </c>
      <c r="BF923" s="469" t="str">
        <f t="shared" ca="1" si="523"/>
        <v/>
      </c>
      <c r="BG923" s="469" t="str">
        <f t="shared" ca="1" si="524"/>
        <v/>
      </c>
      <c r="BH923" s="467" t="str">
        <f t="shared" si="525"/>
        <v/>
      </c>
      <c r="BI923" s="467" t="str">
        <f t="shared" ca="1" si="526"/>
        <v/>
      </c>
      <c r="BJ923" s="469" t="str">
        <f t="shared" si="527"/>
        <v/>
      </c>
      <c r="BK923" s="470" t="str">
        <f t="shared" si="511"/>
        <v/>
      </c>
      <c r="BL923" s="775" t="str">
        <f t="shared" si="528"/>
        <v/>
      </c>
      <c r="BM923" s="775" t="str">
        <f t="shared" si="529"/>
        <v/>
      </c>
    </row>
    <row r="924" spans="1:65">
      <c r="A924" s="473">
        <v>868</v>
      </c>
      <c r="B924" s="132"/>
      <c r="C924" s="332"/>
      <c r="D924" s="333"/>
      <c r="E924" s="333"/>
      <c r="F924" s="334"/>
      <c r="G924" s="337"/>
      <c r="H924" s="131"/>
      <c r="I924" s="337"/>
      <c r="J924" s="131"/>
      <c r="K924" s="458" t="str">
        <f t="shared" si="492"/>
        <v/>
      </c>
      <c r="L924" s="458">
        <f t="shared" si="493"/>
        <v>0</v>
      </c>
      <c r="M924" s="458">
        <f t="shared" si="494"/>
        <v>0</v>
      </c>
      <c r="N924" s="459" t="str">
        <f t="shared" si="505"/>
        <v/>
      </c>
      <c r="O924" s="459" t="str">
        <f t="shared" si="506"/>
        <v/>
      </c>
      <c r="P924" s="459" t="str">
        <f t="shared" si="507"/>
        <v/>
      </c>
      <c r="Q924" s="459" t="str">
        <f t="shared" si="508"/>
        <v/>
      </c>
      <c r="R924" s="459" t="str">
        <f t="shared" si="509"/>
        <v/>
      </c>
      <c r="S924" s="459" t="str">
        <f t="shared" si="510"/>
        <v/>
      </c>
      <c r="T924" s="566" t="str">
        <f t="shared" si="495"/>
        <v/>
      </c>
      <c r="U924" s="702"/>
      <c r="V924" s="132"/>
      <c r="W924" s="133"/>
      <c r="X924" s="134"/>
      <c r="Y924" s="135"/>
      <c r="Z924" s="137"/>
      <c r="AA924" s="136"/>
      <c r="AB924" s="566" t="str">
        <f t="shared" si="496"/>
        <v/>
      </c>
      <c r="AC924" s="568" t="str">
        <f t="shared" si="497"/>
        <v/>
      </c>
      <c r="AD924" s="137"/>
      <c r="AE924" s="137"/>
      <c r="AF924" s="138"/>
      <c r="AG924" s="138"/>
      <c r="AH924" s="592" t="str">
        <f t="shared" si="498"/>
        <v/>
      </c>
      <c r="AI924" s="592" t="str">
        <f t="shared" si="499"/>
        <v/>
      </c>
      <c r="AJ924" s="592" t="str">
        <f t="shared" si="500"/>
        <v/>
      </c>
      <c r="AK924" s="460" t="str">
        <f>IF(AU924="","",IF(OR(AZ924=8,AZ924=9),0,IF(OR(AW924=3,AW924=4,AW924=5,AW924=6),IF(LEFT(BF924,1)="1",INDEX(係数_NOX・PM低減,MATCH(AY924,【参考】排出係数!$AI$801:$AI$804,1),1),VLOOKUP(AU924,INDEX((係数_バス貨物_ガソリン,係数_バス貨物_CNG,係数_バス貨物_軽油,係数_バス貨物_メタノール,係数_バス貨物_LPG),MATCH(AY924,【参考】排出係数!$AI$4:$AI$671,1),1,BE924):INDEX((係数_バス貨物_ガソリン,係数_バス貨物_CNG,係数_バス貨物_軽油,係数_バス貨物_メタノール,係数_バス貨物_LPG),MATCH(AY924+1,【参考】排出係数!$AI$4:$AI$671,1)-1,5,BE924),4,FALSE)),IF(AND(BE924=3,LEFT(BF924,1)="1"),0.48,VLOOKUP(AU924,INDEX((係数_乗用_ガソリン,係数_乗用_CNG,係数_乗用_軽油,係数_乗用_メタノール,係数_乗用_LPG),1,1,BE924):INDEX((係数_乗用_ガソリン,係数_乗用_CNG,係数_乗用_軽油,係数_乗用_メタノール,係数_乗用_LPG),125,5,BE924),4,FALSE)))))</f>
        <v/>
      </c>
      <c r="AL924" s="461" t="str">
        <f t="shared" si="501"/>
        <v/>
      </c>
      <c r="AM924" s="460" t="str">
        <f>IF(AU924="","",IF(OR(AZ924=8,AZ924=9),0,IF(OR(AW924=3,AW924=4,AW924=5,AW924=6),IF(LEFT(BH924,1)="1",INDEX(係数_PM低減,MATCH(AY924,【参考】排出係数!$AI$801:$AI$804,1),MATCH(BI924,【参考】排出係数!$AL$798:$AO$798,1)),VLOOKUP(AU924,INDEX((係数_バス貨物_ガソリン,係数_バス貨物_CNG,係数_バス貨物_軽油,係数_バス貨物_メタノール,係数_バス貨物_LPG),MATCH(AY924,【参考】排出係数!$AI$4:$AI$671,1),1,BE924):INDEX((係数_バス貨物_ガソリン,係数_バス貨物_CNG,係数_バス貨物_軽油,係数_バス貨物_メタノール,係数_バス貨物_LPG),MATCH(AY924+1,【参考】排出係数!$AI$4:$AI$671,1)-1,5,BE924),5,FALSE)),IF(AND(BE924=3,LEFT(BF924,1)="1"),0.055,VLOOKUP(AU924,INDEX((係数_乗用_ガソリン,係数_乗用_CNG,係数_乗用_軽油,係数_乗用_メタノール,係数_乗用_LPG),1,1,BE924):INDEX((係数_乗用_ガソリン,係数_乗用_CNG,係数_乗用_軽油,係数_乗用_メタノール,係数_乗用_LPG),125,5,BE924),5,FALSE)))))</f>
        <v/>
      </c>
      <c r="AN924" s="461" t="str">
        <f t="shared" si="502"/>
        <v/>
      </c>
      <c r="AO924" s="462" t="str">
        <f t="shared" si="503"/>
        <v/>
      </c>
      <c r="AP924" s="463" t="str">
        <f t="shared" si="504"/>
        <v/>
      </c>
      <c r="AQ924" s="464"/>
      <c r="AR924" s="619"/>
      <c r="AS924" s="465" t="str">
        <f t="shared" si="512"/>
        <v/>
      </c>
      <c r="AT924" s="465" t="str">
        <f t="shared" si="513"/>
        <v/>
      </c>
      <c r="AU924" s="466" t="str">
        <f t="shared" si="514"/>
        <v/>
      </c>
      <c r="AV924" s="467" t="str">
        <f t="shared" si="515"/>
        <v/>
      </c>
      <c r="AW924" s="467" t="str">
        <f t="shared" si="516"/>
        <v/>
      </c>
      <c r="AX924" s="467" t="str">
        <f t="shared" si="517"/>
        <v/>
      </c>
      <c r="AY924" s="467" t="str">
        <f t="shared" si="518"/>
        <v/>
      </c>
      <c r="AZ924" s="467" t="str">
        <f t="shared" si="519"/>
        <v/>
      </c>
      <c r="BA924" s="468" t="str">
        <f>IF(AS924="","",IF(OR(AU924="",AU924="-"),"－",IF(OR(AZ924=8,AZ924=9),"",IF(OR(AW924=3,AW924=4,AW924=5,AW924=6),VLOOKUP(AU924,INDEX((係数_バス貨物_ガソリン,係数_バス貨物_CNG,係数_バス貨物_軽油,係数_バス貨物_メタノール,係数_バス貨物_LPG),MATCH(AY924,【参考】排出係数!$AI$4:$AI$671,1),1,BE924):INDEX((係数_バス貨物_ガソリン,係数_バス貨物_CNG,係数_バス貨物_軽油,係数_バス貨物_メタノール,係数_バス貨物_LPG),MATCH(AY924+1,【参考】排出係数!$AI$4:$AI$671,1)-1,5,BE924),2,FALSE),IF(OR(AW924=1,AW924=2),VLOOKUP(AU924,INDEX((係数_乗用_ガソリン,係数_乗用_CNG,係数_乗用_軽油,係数_乗用_メタノール,係数_乗用_LPG),1,1,BE924):INDEX((係数_乗用_ガソリン,係数_乗用_CNG,係数_乗用_軽油,係数_乗用_メタノール,係数_乗用_LPG),125,5,BE924),2,FALSE))))))</f>
        <v/>
      </c>
      <c r="BB924" s="468" t="str">
        <f>IF(T924="","",IF(OR(AU924="",AU924="-"),"－",IF(OR(AZ924=8,AZ924=9),"",IF(OR(AW924=3,AW924=4,AW924=5,AW924=6),VLOOKUP(AU924,INDEX((係数_バス貨物_ガソリン,係数_バス貨物_CNG,係数_バス貨物_軽油,係数_バス貨物_メタノール,係数_バス貨物_LPG),MATCH(AY924,【参考】排出係数!$AI$4:$AI$671,1),1,BE924):INDEX((係数_バス貨物_ガソリン,係数_バス貨物_CNG,係数_バス貨物_軽油,係数_バス貨物_メタノール,係数_バス貨物_LPG),MATCH(AY924+1,【参考】排出係数!$AI$4:$AI$671,1)-1,5,BE924),3,FALSE),IF(OR(AW924=1,AW924=2),VLOOKUP(AU924,INDEX((係数_乗用_ガソリン,係数_乗用_CNG,係数_乗用_軽油,係数_乗用_メタノール,係数_乗用_LPG),1,1,BE924):INDEX((係数_乗用_ガソリン,係数_乗用_CNG,係数_乗用_軽油,係数_乗用_メタノール,係数_乗用_LPG),125,5,BE924),3,FALSE))))))</f>
        <v/>
      </c>
      <c r="BC924" s="467" t="str">
        <f t="shared" si="520"/>
        <v/>
      </c>
      <c r="BD924" s="567" t="str">
        <f t="shared" si="521"/>
        <v/>
      </c>
      <c r="BE924" s="467" t="str">
        <f t="shared" si="522"/>
        <v/>
      </c>
      <c r="BF924" s="469" t="str">
        <f t="shared" ca="1" si="523"/>
        <v/>
      </c>
      <c r="BG924" s="469" t="str">
        <f t="shared" ca="1" si="524"/>
        <v/>
      </c>
      <c r="BH924" s="467" t="str">
        <f t="shared" si="525"/>
        <v/>
      </c>
      <c r="BI924" s="467" t="str">
        <f t="shared" ca="1" si="526"/>
        <v/>
      </c>
      <c r="BJ924" s="469" t="str">
        <f t="shared" si="527"/>
        <v/>
      </c>
      <c r="BK924" s="470" t="str">
        <f t="shared" si="511"/>
        <v/>
      </c>
      <c r="BL924" s="775" t="str">
        <f t="shared" si="528"/>
        <v/>
      </c>
      <c r="BM924" s="775" t="str">
        <f t="shared" si="529"/>
        <v/>
      </c>
    </row>
    <row r="925" spans="1:65">
      <c r="A925" s="473">
        <v>869</v>
      </c>
      <c r="B925" s="132"/>
      <c r="C925" s="332"/>
      <c r="D925" s="333"/>
      <c r="E925" s="333"/>
      <c r="F925" s="334"/>
      <c r="G925" s="337"/>
      <c r="H925" s="131"/>
      <c r="I925" s="337"/>
      <c r="J925" s="131"/>
      <c r="K925" s="458" t="str">
        <f t="shared" si="492"/>
        <v/>
      </c>
      <c r="L925" s="458">
        <f t="shared" si="493"/>
        <v>0</v>
      </c>
      <c r="M925" s="458">
        <f t="shared" si="494"/>
        <v>0</v>
      </c>
      <c r="N925" s="459" t="str">
        <f t="shared" si="505"/>
        <v/>
      </c>
      <c r="O925" s="459" t="str">
        <f t="shared" si="506"/>
        <v/>
      </c>
      <c r="P925" s="459" t="str">
        <f t="shared" si="507"/>
        <v/>
      </c>
      <c r="Q925" s="459" t="str">
        <f t="shared" si="508"/>
        <v/>
      </c>
      <c r="R925" s="459" t="str">
        <f t="shared" si="509"/>
        <v/>
      </c>
      <c r="S925" s="459" t="str">
        <f t="shared" si="510"/>
        <v/>
      </c>
      <c r="T925" s="566" t="str">
        <f t="shared" si="495"/>
        <v/>
      </c>
      <c r="U925" s="702"/>
      <c r="V925" s="132"/>
      <c r="W925" s="133"/>
      <c r="X925" s="134"/>
      <c r="Y925" s="135"/>
      <c r="Z925" s="137"/>
      <c r="AA925" s="136"/>
      <c r="AB925" s="566" t="str">
        <f t="shared" si="496"/>
        <v/>
      </c>
      <c r="AC925" s="568" t="str">
        <f t="shared" si="497"/>
        <v/>
      </c>
      <c r="AD925" s="137"/>
      <c r="AE925" s="137"/>
      <c r="AF925" s="138"/>
      <c r="AG925" s="138"/>
      <c r="AH925" s="592" t="str">
        <f t="shared" si="498"/>
        <v/>
      </c>
      <c r="AI925" s="592" t="str">
        <f t="shared" si="499"/>
        <v/>
      </c>
      <c r="AJ925" s="592" t="str">
        <f t="shared" si="500"/>
        <v/>
      </c>
      <c r="AK925" s="460" t="str">
        <f>IF(AU925="","",IF(OR(AZ925=8,AZ925=9),0,IF(OR(AW925=3,AW925=4,AW925=5,AW925=6),IF(LEFT(BF925,1)="1",INDEX(係数_NOX・PM低減,MATCH(AY925,【参考】排出係数!$AI$801:$AI$804,1),1),VLOOKUP(AU925,INDEX((係数_バス貨物_ガソリン,係数_バス貨物_CNG,係数_バス貨物_軽油,係数_バス貨物_メタノール,係数_バス貨物_LPG),MATCH(AY925,【参考】排出係数!$AI$4:$AI$671,1),1,BE925):INDEX((係数_バス貨物_ガソリン,係数_バス貨物_CNG,係数_バス貨物_軽油,係数_バス貨物_メタノール,係数_バス貨物_LPG),MATCH(AY925+1,【参考】排出係数!$AI$4:$AI$671,1)-1,5,BE925),4,FALSE)),IF(AND(BE925=3,LEFT(BF925,1)="1"),0.48,VLOOKUP(AU925,INDEX((係数_乗用_ガソリン,係数_乗用_CNG,係数_乗用_軽油,係数_乗用_メタノール,係数_乗用_LPG),1,1,BE925):INDEX((係数_乗用_ガソリン,係数_乗用_CNG,係数_乗用_軽油,係数_乗用_メタノール,係数_乗用_LPG),125,5,BE925),4,FALSE)))))</f>
        <v/>
      </c>
      <c r="AL925" s="461" t="str">
        <f t="shared" si="501"/>
        <v/>
      </c>
      <c r="AM925" s="460" t="str">
        <f>IF(AU925="","",IF(OR(AZ925=8,AZ925=9),0,IF(OR(AW925=3,AW925=4,AW925=5,AW925=6),IF(LEFT(BH925,1)="1",INDEX(係数_PM低減,MATCH(AY925,【参考】排出係数!$AI$801:$AI$804,1),MATCH(BI925,【参考】排出係数!$AL$798:$AO$798,1)),VLOOKUP(AU925,INDEX((係数_バス貨物_ガソリン,係数_バス貨物_CNG,係数_バス貨物_軽油,係数_バス貨物_メタノール,係数_バス貨物_LPG),MATCH(AY925,【参考】排出係数!$AI$4:$AI$671,1),1,BE925):INDEX((係数_バス貨物_ガソリン,係数_バス貨物_CNG,係数_バス貨物_軽油,係数_バス貨物_メタノール,係数_バス貨物_LPG),MATCH(AY925+1,【参考】排出係数!$AI$4:$AI$671,1)-1,5,BE925),5,FALSE)),IF(AND(BE925=3,LEFT(BF925,1)="1"),0.055,VLOOKUP(AU925,INDEX((係数_乗用_ガソリン,係数_乗用_CNG,係数_乗用_軽油,係数_乗用_メタノール,係数_乗用_LPG),1,1,BE925):INDEX((係数_乗用_ガソリン,係数_乗用_CNG,係数_乗用_軽油,係数_乗用_メタノール,係数_乗用_LPG),125,5,BE925),5,FALSE)))))</f>
        <v/>
      </c>
      <c r="AN925" s="461" t="str">
        <f t="shared" si="502"/>
        <v/>
      </c>
      <c r="AO925" s="462" t="str">
        <f t="shared" si="503"/>
        <v/>
      </c>
      <c r="AP925" s="463" t="str">
        <f t="shared" si="504"/>
        <v/>
      </c>
      <c r="AQ925" s="464"/>
      <c r="AR925" s="619"/>
      <c r="AS925" s="465" t="str">
        <f t="shared" si="512"/>
        <v/>
      </c>
      <c r="AT925" s="465" t="str">
        <f t="shared" si="513"/>
        <v/>
      </c>
      <c r="AU925" s="466" t="str">
        <f t="shared" si="514"/>
        <v/>
      </c>
      <c r="AV925" s="467" t="str">
        <f t="shared" si="515"/>
        <v/>
      </c>
      <c r="AW925" s="467" t="str">
        <f t="shared" si="516"/>
        <v/>
      </c>
      <c r="AX925" s="467" t="str">
        <f t="shared" si="517"/>
        <v/>
      </c>
      <c r="AY925" s="467" t="str">
        <f t="shared" si="518"/>
        <v/>
      </c>
      <c r="AZ925" s="467" t="str">
        <f t="shared" si="519"/>
        <v/>
      </c>
      <c r="BA925" s="468" t="str">
        <f>IF(AS925="","",IF(OR(AU925="",AU925="-"),"－",IF(OR(AZ925=8,AZ925=9),"",IF(OR(AW925=3,AW925=4,AW925=5,AW925=6),VLOOKUP(AU925,INDEX((係数_バス貨物_ガソリン,係数_バス貨物_CNG,係数_バス貨物_軽油,係数_バス貨物_メタノール,係数_バス貨物_LPG),MATCH(AY925,【参考】排出係数!$AI$4:$AI$671,1),1,BE925):INDEX((係数_バス貨物_ガソリン,係数_バス貨物_CNG,係数_バス貨物_軽油,係数_バス貨物_メタノール,係数_バス貨物_LPG),MATCH(AY925+1,【参考】排出係数!$AI$4:$AI$671,1)-1,5,BE925),2,FALSE),IF(OR(AW925=1,AW925=2),VLOOKUP(AU925,INDEX((係数_乗用_ガソリン,係数_乗用_CNG,係数_乗用_軽油,係数_乗用_メタノール,係数_乗用_LPG),1,1,BE925):INDEX((係数_乗用_ガソリン,係数_乗用_CNG,係数_乗用_軽油,係数_乗用_メタノール,係数_乗用_LPG),125,5,BE925),2,FALSE))))))</f>
        <v/>
      </c>
      <c r="BB925" s="468" t="str">
        <f>IF(T925="","",IF(OR(AU925="",AU925="-"),"－",IF(OR(AZ925=8,AZ925=9),"",IF(OR(AW925=3,AW925=4,AW925=5,AW925=6),VLOOKUP(AU925,INDEX((係数_バス貨物_ガソリン,係数_バス貨物_CNG,係数_バス貨物_軽油,係数_バス貨物_メタノール,係数_バス貨物_LPG),MATCH(AY925,【参考】排出係数!$AI$4:$AI$671,1),1,BE925):INDEX((係数_バス貨物_ガソリン,係数_バス貨物_CNG,係数_バス貨物_軽油,係数_バス貨物_メタノール,係数_バス貨物_LPG),MATCH(AY925+1,【参考】排出係数!$AI$4:$AI$671,1)-1,5,BE925),3,FALSE),IF(OR(AW925=1,AW925=2),VLOOKUP(AU925,INDEX((係数_乗用_ガソリン,係数_乗用_CNG,係数_乗用_軽油,係数_乗用_メタノール,係数_乗用_LPG),1,1,BE925):INDEX((係数_乗用_ガソリン,係数_乗用_CNG,係数_乗用_軽油,係数_乗用_メタノール,係数_乗用_LPG),125,5,BE925),3,FALSE))))))</f>
        <v/>
      </c>
      <c r="BC925" s="467" t="str">
        <f t="shared" si="520"/>
        <v/>
      </c>
      <c r="BD925" s="567" t="str">
        <f t="shared" si="521"/>
        <v/>
      </c>
      <c r="BE925" s="467" t="str">
        <f t="shared" si="522"/>
        <v/>
      </c>
      <c r="BF925" s="469" t="str">
        <f t="shared" ca="1" si="523"/>
        <v/>
      </c>
      <c r="BG925" s="469" t="str">
        <f t="shared" ca="1" si="524"/>
        <v/>
      </c>
      <c r="BH925" s="467" t="str">
        <f t="shared" si="525"/>
        <v/>
      </c>
      <c r="BI925" s="467" t="str">
        <f t="shared" ca="1" si="526"/>
        <v/>
      </c>
      <c r="BJ925" s="469" t="str">
        <f t="shared" si="527"/>
        <v/>
      </c>
      <c r="BK925" s="470" t="str">
        <f t="shared" si="511"/>
        <v/>
      </c>
      <c r="BL925" s="775" t="str">
        <f t="shared" si="528"/>
        <v/>
      </c>
      <c r="BM925" s="775" t="str">
        <f t="shared" si="529"/>
        <v/>
      </c>
    </row>
    <row r="926" spans="1:65">
      <c r="A926" s="473">
        <v>870</v>
      </c>
      <c r="B926" s="132"/>
      <c r="C926" s="332"/>
      <c r="D926" s="333"/>
      <c r="E926" s="333"/>
      <c r="F926" s="334"/>
      <c r="G926" s="337"/>
      <c r="H926" s="131"/>
      <c r="I926" s="337"/>
      <c r="J926" s="131"/>
      <c r="K926" s="458" t="str">
        <f t="shared" si="492"/>
        <v/>
      </c>
      <c r="L926" s="458">
        <f t="shared" si="493"/>
        <v>0</v>
      </c>
      <c r="M926" s="458">
        <f t="shared" si="494"/>
        <v>0</v>
      </c>
      <c r="N926" s="459" t="str">
        <f t="shared" si="505"/>
        <v/>
      </c>
      <c r="O926" s="459" t="str">
        <f t="shared" si="506"/>
        <v/>
      </c>
      <c r="P926" s="459" t="str">
        <f t="shared" si="507"/>
        <v/>
      </c>
      <c r="Q926" s="459" t="str">
        <f t="shared" si="508"/>
        <v/>
      </c>
      <c r="R926" s="459" t="str">
        <f t="shared" si="509"/>
        <v/>
      </c>
      <c r="S926" s="459" t="str">
        <f t="shared" si="510"/>
        <v/>
      </c>
      <c r="T926" s="566" t="str">
        <f t="shared" si="495"/>
        <v/>
      </c>
      <c r="U926" s="702"/>
      <c r="V926" s="132"/>
      <c r="W926" s="133"/>
      <c r="X926" s="134"/>
      <c r="Y926" s="135"/>
      <c r="Z926" s="137"/>
      <c r="AA926" s="136"/>
      <c r="AB926" s="566" t="str">
        <f t="shared" si="496"/>
        <v/>
      </c>
      <c r="AC926" s="568" t="str">
        <f t="shared" si="497"/>
        <v/>
      </c>
      <c r="AD926" s="137"/>
      <c r="AE926" s="137"/>
      <c r="AF926" s="138"/>
      <c r="AG926" s="138"/>
      <c r="AH926" s="592" t="str">
        <f t="shared" si="498"/>
        <v/>
      </c>
      <c r="AI926" s="592" t="str">
        <f t="shared" si="499"/>
        <v/>
      </c>
      <c r="AJ926" s="592" t="str">
        <f t="shared" si="500"/>
        <v/>
      </c>
      <c r="AK926" s="460" t="str">
        <f>IF(AU926="","",IF(OR(AZ926=8,AZ926=9),0,IF(OR(AW926=3,AW926=4,AW926=5,AW926=6),IF(LEFT(BF926,1)="1",INDEX(係数_NOX・PM低減,MATCH(AY926,【参考】排出係数!$AI$801:$AI$804,1),1),VLOOKUP(AU926,INDEX((係数_バス貨物_ガソリン,係数_バス貨物_CNG,係数_バス貨物_軽油,係数_バス貨物_メタノール,係数_バス貨物_LPG),MATCH(AY926,【参考】排出係数!$AI$4:$AI$671,1),1,BE926):INDEX((係数_バス貨物_ガソリン,係数_バス貨物_CNG,係数_バス貨物_軽油,係数_バス貨物_メタノール,係数_バス貨物_LPG),MATCH(AY926+1,【参考】排出係数!$AI$4:$AI$671,1)-1,5,BE926),4,FALSE)),IF(AND(BE926=3,LEFT(BF926,1)="1"),0.48,VLOOKUP(AU926,INDEX((係数_乗用_ガソリン,係数_乗用_CNG,係数_乗用_軽油,係数_乗用_メタノール,係数_乗用_LPG),1,1,BE926):INDEX((係数_乗用_ガソリン,係数_乗用_CNG,係数_乗用_軽油,係数_乗用_メタノール,係数_乗用_LPG),125,5,BE926),4,FALSE)))))</f>
        <v/>
      </c>
      <c r="AL926" s="461" t="str">
        <f t="shared" si="501"/>
        <v/>
      </c>
      <c r="AM926" s="460" t="str">
        <f>IF(AU926="","",IF(OR(AZ926=8,AZ926=9),0,IF(OR(AW926=3,AW926=4,AW926=5,AW926=6),IF(LEFT(BH926,1)="1",INDEX(係数_PM低減,MATCH(AY926,【参考】排出係数!$AI$801:$AI$804,1),MATCH(BI926,【参考】排出係数!$AL$798:$AO$798,1)),VLOOKUP(AU926,INDEX((係数_バス貨物_ガソリン,係数_バス貨物_CNG,係数_バス貨物_軽油,係数_バス貨物_メタノール,係数_バス貨物_LPG),MATCH(AY926,【参考】排出係数!$AI$4:$AI$671,1),1,BE926):INDEX((係数_バス貨物_ガソリン,係数_バス貨物_CNG,係数_バス貨物_軽油,係数_バス貨物_メタノール,係数_バス貨物_LPG),MATCH(AY926+1,【参考】排出係数!$AI$4:$AI$671,1)-1,5,BE926),5,FALSE)),IF(AND(BE926=3,LEFT(BF926,1)="1"),0.055,VLOOKUP(AU926,INDEX((係数_乗用_ガソリン,係数_乗用_CNG,係数_乗用_軽油,係数_乗用_メタノール,係数_乗用_LPG),1,1,BE926):INDEX((係数_乗用_ガソリン,係数_乗用_CNG,係数_乗用_軽油,係数_乗用_メタノール,係数_乗用_LPG),125,5,BE926),5,FALSE)))))</f>
        <v/>
      </c>
      <c r="AN926" s="461" t="str">
        <f t="shared" si="502"/>
        <v/>
      </c>
      <c r="AO926" s="462" t="str">
        <f t="shared" si="503"/>
        <v/>
      </c>
      <c r="AP926" s="463" t="str">
        <f t="shared" si="504"/>
        <v/>
      </c>
      <c r="AQ926" s="464"/>
      <c r="AR926" s="619"/>
      <c r="AS926" s="465" t="str">
        <f t="shared" si="512"/>
        <v/>
      </c>
      <c r="AT926" s="465" t="str">
        <f t="shared" si="513"/>
        <v/>
      </c>
      <c r="AU926" s="466" t="str">
        <f t="shared" si="514"/>
        <v/>
      </c>
      <c r="AV926" s="467" t="str">
        <f t="shared" si="515"/>
        <v/>
      </c>
      <c r="AW926" s="467" t="str">
        <f t="shared" si="516"/>
        <v/>
      </c>
      <c r="AX926" s="467" t="str">
        <f t="shared" si="517"/>
        <v/>
      </c>
      <c r="AY926" s="467" t="str">
        <f t="shared" si="518"/>
        <v/>
      </c>
      <c r="AZ926" s="467" t="str">
        <f t="shared" si="519"/>
        <v/>
      </c>
      <c r="BA926" s="468" t="str">
        <f>IF(AS926="","",IF(OR(AU926="",AU926="-"),"－",IF(OR(AZ926=8,AZ926=9),"",IF(OR(AW926=3,AW926=4,AW926=5,AW926=6),VLOOKUP(AU926,INDEX((係数_バス貨物_ガソリン,係数_バス貨物_CNG,係数_バス貨物_軽油,係数_バス貨物_メタノール,係数_バス貨物_LPG),MATCH(AY926,【参考】排出係数!$AI$4:$AI$671,1),1,BE926):INDEX((係数_バス貨物_ガソリン,係数_バス貨物_CNG,係数_バス貨物_軽油,係数_バス貨物_メタノール,係数_バス貨物_LPG),MATCH(AY926+1,【参考】排出係数!$AI$4:$AI$671,1)-1,5,BE926),2,FALSE),IF(OR(AW926=1,AW926=2),VLOOKUP(AU926,INDEX((係数_乗用_ガソリン,係数_乗用_CNG,係数_乗用_軽油,係数_乗用_メタノール,係数_乗用_LPG),1,1,BE926):INDEX((係数_乗用_ガソリン,係数_乗用_CNG,係数_乗用_軽油,係数_乗用_メタノール,係数_乗用_LPG),125,5,BE926),2,FALSE))))))</f>
        <v/>
      </c>
      <c r="BB926" s="468" t="str">
        <f>IF(T926="","",IF(OR(AU926="",AU926="-"),"－",IF(OR(AZ926=8,AZ926=9),"",IF(OR(AW926=3,AW926=4,AW926=5,AW926=6),VLOOKUP(AU926,INDEX((係数_バス貨物_ガソリン,係数_バス貨物_CNG,係数_バス貨物_軽油,係数_バス貨物_メタノール,係数_バス貨物_LPG),MATCH(AY926,【参考】排出係数!$AI$4:$AI$671,1),1,BE926):INDEX((係数_バス貨物_ガソリン,係数_バス貨物_CNG,係数_バス貨物_軽油,係数_バス貨物_メタノール,係数_バス貨物_LPG),MATCH(AY926+1,【参考】排出係数!$AI$4:$AI$671,1)-1,5,BE926),3,FALSE),IF(OR(AW926=1,AW926=2),VLOOKUP(AU926,INDEX((係数_乗用_ガソリン,係数_乗用_CNG,係数_乗用_軽油,係数_乗用_メタノール,係数_乗用_LPG),1,1,BE926):INDEX((係数_乗用_ガソリン,係数_乗用_CNG,係数_乗用_軽油,係数_乗用_メタノール,係数_乗用_LPG),125,5,BE926),3,FALSE))))))</f>
        <v/>
      </c>
      <c r="BC926" s="467" t="str">
        <f t="shared" si="520"/>
        <v/>
      </c>
      <c r="BD926" s="567" t="str">
        <f t="shared" si="521"/>
        <v/>
      </c>
      <c r="BE926" s="467" t="str">
        <f t="shared" si="522"/>
        <v/>
      </c>
      <c r="BF926" s="469" t="str">
        <f t="shared" ca="1" si="523"/>
        <v/>
      </c>
      <c r="BG926" s="469" t="str">
        <f t="shared" ca="1" si="524"/>
        <v/>
      </c>
      <c r="BH926" s="467" t="str">
        <f t="shared" si="525"/>
        <v/>
      </c>
      <c r="BI926" s="467" t="str">
        <f t="shared" ca="1" si="526"/>
        <v/>
      </c>
      <c r="BJ926" s="469" t="str">
        <f t="shared" si="527"/>
        <v/>
      </c>
      <c r="BK926" s="470" t="str">
        <f t="shared" si="511"/>
        <v/>
      </c>
      <c r="BL926" s="775" t="str">
        <f t="shared" si="528"/>
        <v/>
      </c>
      <c r="BM926" s="775" t="str">
        <f t="shared" si="529"/>
        <v/>
      </c>
    </row>
    <row r="927" spans="1:65">
      <c r="A927" s="473">
        <v>871</v>
      </c>
      <c r="B927" s="132"/>
      <c r="C927" s="332"/>
      <c r="D927" s="333"/>
      <c r="E927" s="333"/>
      <c r="F927" s="334"/>
      <c r="G927" s="337"/>
      <c r="H927" s="131"/>
      <c r="I927" s="337"/>
      <c r="J927" s="131"/>
      <c r="K927" s="458" t="str">
        <f t="shared" si="492"/>
        <v/>
      </c>
      <c r="L927" s="458">
        <f t="shared" si="493"/>
        <v>0</v>
      </c>
      <c r="M927" s="458">
        <f t="shared" si="494"/>
        <v>0</v>
      </c>
      <c r="N927" s="459" t="str">
        <f t="shared" si="505"/>
        <v/>
      </c>
      <c r="O927" s="459" t="str">
        <f t="shared" si="506"/>
        <v/>
      </c>
      <c r="P927" s="459" t="str">
        <f t="shared" si="507"/>
        <v/>
      </c>
      <c r="Q927" s="459" t="str">
        <f t="shared" si="508"/>
        <v/>
      </c>
      <c r="R927" s="459" t="str">
        <f t="shared" si="509"/>
        <v/>
      </c>
      <c r="S927" s="459" t="str">
        <f t="shared" si="510"/>
        <v/>
      </c>
      <c r="T927" s="566" t="str">
        <f t="shared" si="495"/>
        <v/>
      </c>
      <c r="U927" s="702"/>
      <c r="V927" s="132"/>
      <c r="W927" s="133"/>
      <c r="X927" s="134"/>
      <c r="Y927" s="135"/>
      <c r="Z927" s="137"/>
      <c r="AA927" s="136"/>
      <c r="AB927" s="566" t="str">
        <f t="shared" si="496"/>
        <v/>
      </c>
      <c r="AC927" s="568" t="str">
        <f t="shared" si="497"/>
        <v/>
      </c>
      <c r="AD927" s="137"/>
      <c r="AE927" s="137"/>
      <c r="AF927" s="138"/>
      <c r="AG927" s="138"/>
      <c r="AH927" s="592" t="str">
        <f t="shared" si="498"/>
        <v/>
      </c>
      <c r="AI927" s="592" t="str">
        <f t="shared" si="499"/>
        <v/>
      </c>
      <c r="AJ927" s="592" t="str">
        <f t="shared" si="500"/>
        <v/>
      </c>
      <c r="AK927" s="460" t="str">
        <f>IF(AU927="","",IF(OR(AZ927=8,AZ927=9),0,IF(OR(AW927=3,AW927=4,AW927=5,AW927=6),IF(LEFT(BF927,1)="1",INDEX(係数_NOX・PM低減,MATCH(AY927,【参考】排出係数!$AI$801:$AI$804,1),1),VLOOKUP(AU927,INDEX((係数_バス貨物_ガソリン,係数_バス貨物_CNG,係数_バス貨物_軽油,係数_バス貨物_メタノール,係数_バス貨物_LPG),MATCH(AY927,【参考】排出係数!$AI$4:$AI$671,1),1,BE927):INDEX((係数_バス貨物_ガソリン,係数_バス貨物_CNG,係数_バス貨物_軽油,係数_バス貨物_メタノール,係数_バス貨物_LPG),MATCH(AY927+1,【参考】排出係数!$AI$4:$AI$671,1)-1,5,BE927),4,FALSE)),IF(AND(BE927=3,LEFT(BF927,1)="1"),0.48,VLOOKUP(AU927,INDEX((係数_乗用_ガソリン,係数_乗用_CNG,係数_乗用_軽油,係数_乗用_メタノール,係数_乗用_LPG),1,1,BE927):INDEX((係数_乗用_ガソリン,係数_乗用_CNG,係数_乗用_軽油,係数_乗用_メタノール,係数_乗用_LPG),125,5,BE927),4,FALSE)))))</f>
        <v/>
      </c>
      <c r="AL927" s="461" t="str">
        <f t="shared" si="501"/>
        <v/>
      </c>
      <c r="AM927" s="460" t="str">
        <f>IF(AU927="","",IF(OR(AZ927=8,AZ927=9),0,IF(OR(AW927=3,AW927=4,AW927=5,AW927=6),IF(LEFT(BH927,1)="1",INDEX(係数_PM低減,MATCH(AY927,【参考】排出係数!$AI$801:$AI$804,1),MATCH(BI927,【参考】排出係数!$AL$798:$AO$798,1)),VLOOKUP(AU927,INDEX((係数_バス貨物_ガソリン,係数_バス貨物_CNG,係数_バス貨物_軽油,係数_バス貨物_メタノール,係数_バス貨物_LPG),MATCH(AY927,【参考】排出係数!$AI$4:$AI$671,1),1,BE927):INDEX((係数_バス貨物_ガソリン,係数_バス貨物_CNG,係数_バス貨物_軽油,係数_バス貨物_メタノール,係数_バス貨物_LPG),MATCH(AY927+1,【参考】排出係数!$AI$4:$AI$671,1)-1,5,BE927),5,FALSE)),IF(AND(BE927=3,LEFT(BF927,1)="1"),0.055,VLOOKUP(AU927,INDEX((係数_乗用_ガソリン,係数_乗用_CNG,係数_乗用_軽油,係数_乗用_メタノール,係数_乗用_LPG),1,1,BE927):INDEX((係数_乗用_ガソリン,係数_乗用_CNG,係数_乗用_軽油,係数_乗用_メタノール,係数_乗用_LPG),125,5,BE927),5,FALSE)))))</f>
        <v/>
      </c>
      <c r="AN927" s="461" t="str">
        <f t="shared" si="502"/>
        <v/>
      </c>
      <c r="AO927" s="462" t="str">
        <f t="shared" si="503"/>
        <v/>
      </c>
      <c r="AP927" s="463" t="str">
        <f t="shared" si="504"/>
        <v/>
      </c>
      <c r="AQ927" s="464"/>
      <c r="AR927" s="619"/>
      <c r="AS927" s="465" t="str">
        <f t="shared" si="512"/>
        <v/>
      </c>
      <c r="AT927" s="465" t="str">
        <f t="shared" si="513"/>
        <v/>
      </c>
      <c r="AU927" s="466" t="str">
        <f t="shared" si="514"/>
        <v/>
      </c>
      <c r="AV927" s="467" t="str">
        <f t="shared" si="515"/>
        <v/>
      </c>
      <c r="AW927" s="467" t="str">
        <f t="shared" si="516"/>
        <v/>
      </c>
      <c r="AX927" s="467" t="str">
        <f t="shared" si="517"/>
        <v/>
      </c>
      <c r="AY927" s="467" t="str">
        <f t="shared" si="518"/>
        <v/>
      </c>
      <c r="AZ927" s="467" t="str">
        <f t="shared" si="519"/>
        <v/>
      </c>
      <c r="BA927" s="468" t="str">
        <f>IF(AS927="","",IF(OR(AU927="",AU927="-"),"－",IF(OR(AZ927=8,AZ927=9),"",IF(OR(AW927=3,AW927=4,AW927=5,AW927=6),VLOOKUP(AU927,INDEX((係数_バス貨物_ガソリン,係数_バス貨物_CNG,係数_バス貨物_軽油,係数_バス貨物_メタノール,係数_バス貨物_LPG),MATCH(AY927,【参考】排出係数!$AI$4:$AI$671,1),1,BE927):INDEX((係数_バス貨物_ガソリン,係数_バス貨物_CNG,係数_バス貨物_軽油,係数_バス貨物_メタノール,係数_バス貨物_LPG),MATCH(AY927+1,【参考】排出係数!$AI$4:$AI$671,1)-1,5,BE927),2,FALSE),IF(OR(AW927=1,AW927=2),VLOOKUP(AU927,INDEX((係数_乗用_ガソリン,係数_乗用_CNG,係数_乗用_軽油,係数_乗用_メタノール,係数_乗用_LPG),1,1,BE927):INDEX((係数_乗用_ガソリン,係数_乗用_CNG,係数_乗用_軽油,係数_乗用_メタノール,係数_乗用_LPG),125,5,BE927),2,FALSE))))))</f>
        <v/>
      </c>
      <c r="BB927" s="468" t="str">
        <f>IF(T927="","",IF(OR(AU927="",AU927="-"),"－",IF(OR(AZ927=8,AZ927=9),"",IF(OR(AW927=3,AW927=4,AW927=5,AW927=6),VLOOKUP(AU927,INDEX((係数_バス貨物_ガソリン,係数_バス貨物_CNG,係数_バス貨物_軽油,係数_バス貨物_メタノール,係数_バス貨物_LPG),MATCH(AY927,【参考】排出係数!$AI$4:$AI$671,1),1,BE927):INDEX((係数_バス貨物_ガソリン,係数_バス貨物_CNG,係数_バス貨物_軽油,係数_バス貨物_メタノール,係数_バス貨物_LPG),MATCH(AY927+1,【参考】排出係数!$AI$4:$AI$671,1)-1,5,BE927),3,FALSE),IF(OR(AW927=1,AW927=2),VLOOKUP(AU927,INDEX((係数_乗用_ガソリン,係数_乗用_CNG,係数_乗用_軽油,係数_乗用_メタノール,係数_乗用_LPG),1,1,BE927):INDEX((係数_乗用_ガソリン,係数_乗用_CNG,係数_乗用_軽油,係数_乗用_メタノール,係数_乗用_LPG),125,5,BE927),3,FALSE))))))</f>
        <v/>
      </c>
      <c r="BC927" s="467" t="str">
        <f t="shared" si="520"/>
        <v/>
      </c>
      <c r="BD927" s="567" t="str">
        <f t="shared" si="521"/>
        <v/>
      </c>
      <c r="BE927" s="467" t="str">
        <f t="shared" si="522"/>
        <v/>
      </c>
      <c r="BF927" s="469" t="str">
        <f t="shared" ca="1" si="523"/>
        <v/>
      </c>
      <c r="BG927" s="469" t="str">
        <f t="shared" ca="1" si="524"/>
        <v/>
      </c>
      <c r="BH927" s="467" t="str">
        <f t="shared" si="525"/>
        <v/>
      </c>
      <c r="BI927" s="467" t="str">
        <f t="shared" ca="1" si="526"/>
        <v/>
      </c>
      <c r="BJ927" s="469" t="str">
        <f t="shared" si="527"/>
        <v/>
      </c>
      <c r="BK927" s="470" t="str">
        <f t="shared" si="511"/>
        <v/>
      </c>
      <c r="BL927" s="775" t="str">
        <f t="shared" si="528"/>
        <v/>
      </c>
      <c r="BM927" s="775" t="str">
        <f t="shared" si="529"/>
        <v/>
      </c>
    </row>
    <row r="928" spans="1:65">
      <c r="A928" s="473">
        <v>872</v>
      </c>
      <c r="B928" s="132"/>
      <c r="C928" s="332"/>
      <c r="D928" s="333"/>
      <c r="E928" s="333"/>
      <c r="F928" s="334"/>
      <c r="G928" s="337"/>
      <c r="H928" s="131"/>
      <c r="I928" s="337"/>
      <c r="J928" s="131"/>
      <c r="K928" s="458" t="str">
        <f t="shared" si="492"/>
        <v/>
      </c>
      <c r="L928" s="458">
        <f t="shared" si="493"/>
        <v>0</v>
      </c>
      <c r="M928" s="458">
        <f t="shared" si="494"/>
        <v>0</v>
      </c>
      <c r="N928" s="459" t="str">
        <f t="shared" si="505"/>
        <v/>
      </c>
      <c r="O928" s="459" t="str">
        <f t="shared" si="506"/>
        <v/>
      </c>
      <c r="P928" s="459" t="str">
        <f t="shared" si="507"/>
        <v/>
      </c>
      <c r="Q928" s="459" t="str">
        <f t="shared" si="508"/>
        <v/>
      </c>
      <c r="R928" s="459" t="str">
        <f t="shared" si="509"/>
        <v/>
      </c>
      <c r="S928" s="459" t="str">
        <f t="shared" si="510"/>
        <v/>
      </c>
      <c r="T928" s="566" t="str">
        <f t="shared" si="495"/>
        <v/>
      </c>
      <c r="U928" s="702"/>
      <c r="V928" s="132"/>
      <c r="W928" s="133"/>
      <c r="X928" s="134"/>
      <c r="Y928" s="135"/>
      <c r="Z928" s="137"/>
      <c r="AA928" s="136"/>
      <c r="AB928" s="566" t="str">
        <f t="shared" si="496"/>
        <v/>
      </c>
      <c r="AC928" s="568" t="str">
        <f t="shared" si="497"/>
        <v/>
      </c>
      <c r="AD928" s="137"/>
      <c r="AE928" s="137"/>
      <c r="AF928" s="138"/>
      <c r="AG928" s="138"/>
      <c r="AH928" s="592" t="str">
        <f t="shared" si="498"/>
        <v/>
      </c>
      <c r="AI928" s="592" t="str">
        <f t="shared" si="499"/>
        <v/>
      </c>
      <c r="AJ928" s="592" t="str">
        <f t="shared" si="500"/>
        <v/>
      </c>
      <c r="AK928" s="460" t="str">
        <f>IF(AU928="","",IF(OR(AZ928=8,AZ928=9),0,IF(OR(AW928=3,AW928=4,AW928=5,AW928=6),IF(LEFT(BF928,1)="1",INDEX(係数_NOX・PM低減,MATCH(AY928,【参考】排出係数!$AI$801:$AI$804,1),1),VLOOKUP(AU928,INDEX((係数_バス貨物_ガソリン,係数_バス貨物_CNG,係数_バス貨物_軽油,係数_バス貨物_メタノール,係数_バス貨物_LPG),MATCH(AY928,【参考】排出係数!$AI$4:$AI$671,1),1,BE928):INDEX((係数_バス貨物_ガソリン,係数_バス貨物_CNG,係数_バス貨物_軽油,係数_バス貨物_メタノール,係数_バス貨物_LPG),MATCH(AY928+1,【参考】排出係数!$AI$4:$AI$671,1)-1,5,BE928),4,FALSE)),IF(AND(BE928=3,LEFT(BF928,1)="1"),0.48,VLOOKUP(AU928,INDEX((係数_乗用_ガソリン,係数_乗用_CNG,係数_乗用_軽油,係数_乗用_メタノール,係数_乗用_LPG),1,1,BE928):INDEX((係数_乗用_ガソリン,係数_乗用_CNG,係数_乗用_軽油,係数_乗用_メタノール,係数_乗用_LPG),125,5,BE928),4,FALSE)))))</f>
        <v/>
      </c>
      <c r="AL928" s="461" t="str">
        <f t="shared" si="501"/>
        <v/>
      </c>
      <c r="AM928" s="460" t="str">
        <f>IF(AU928="","",IF(OR(AZ928=8,AZ928=9),0,IF(OR(AW928=3,AW928=4,AW928=5,AW928=6),IF(LEFT(BH928,1)="1",INDEX(係数_PM低減,MATCH(AY928,【参考】排出係数!$AI$801:$AI$804,1),MATCH(BI928,【参考】排出係数!$AL$798:$AO$798,1)),VLOOKUP(AU928,INDEX((係数_バス貨物_ガソリン,係数_バス貨物_CNG,係数_バス貨物_軽油,係数_バス貨物_メタノール,係数_バス貨物_LPG),MATCH(AY928,【参考】排出係数!$AI$4:$AI$671,1),1,BE928):INDEX((係数_バス貨物_ガソリン,係数_バス貨物_CNG,係数_バス貨物_軽油,係数_バス貨物_メタノール,係数_バス貨物_LPG),MATCH(AY928+1,【参考】排出係数!$AI$4:$AI$671,1)-1,5,BE928),5,FALSE)),IF(AND(BE928=3,LEFT(BF928,1)="1"),0.055,VLOOKUP(AU928,INDEX((係数_乗用_ガソリン,係数_乗用_CNG,係数_乗用_軽油,係数_乗用_メタノール,係数_乗用_LPG),1,1,BE928):INDEX((係数_乗用_ガソリン,係数_乗用_CNG,係数_乗用_軽油,係数_乗用_メタノール,係数_乗用_LPG),125,5,BE928),5,FALSE)))))</f>
        <v/>
      </c>
      <c r="AN928" s="461" t="str">
        <f t="shared" si="502"/>
        <v/>
      </c>
      <c r="AO928" s="462" t="str">
        <f t="shared" si="503"/>
        <v/>
      </c>
      <c r="AP928" s="463" t="str">
        <f t="shared" si="504"/>
        <v/>
      </c>
      <c r="AQ928" s="464"/>
      <c r="AR928" s="619"/>
      <c r="AS928" s="465" t="str">
        <f t="shared" si="512"/>
        <v/>
      </c>
      <c r="AT928" s="465" t="str">
        <f t="shared" si="513"/>
        <v/>
      </c>
      <c r="AU928" s="466" t="str">
        <f t="shared" si="514"/>
        <v/>
      </c>
      <c r="AV928" s="467" t="str">
        <f t="shared" si="515"/>
        <v/>
      </c>
      <c r="AW928" s="467" t="str">
        <f t="shared" si="516"/>
        <v/>
      </c>
      <c r="AX928" s="467" t="str">
        <f t="shared" si="517"/>
        <v/>
      </c>
      <c r="AY928" s="467" t="str">
        <f t="shared" si="518"/>
        <v/>
      </c>
      <c r="AZ928" s="467" t="str">
        <f t="shared" si="519"/>
        <v/>
      </c>
      <c r="BA928" s="468" t="str">
        <f>IF(AS928="","",IF(OR(AU928="",AU928="-"),"－",IF(OR(AZ928=8,AZ928=9),"",IF(OR(AW928=3,AW928=4,AW928=5,AW928=6),VLOOKUP(AU928,INDEX((係数_バス貨物_ガソリン,係数_バス貨物_CNG,係数_バス貨物_軽油,係数_バス貨物_メタノール,係数_バス貨物_LPG),MATCH(AY928,【参考】排出係数!$AI$4:$AI$671,1),1,BE928):INDEX((係数_バス貨物_ガソリン,係数_バス貨物_CNG,係数_バス貨物_軽油,係数_バス貨物_メタノール,係数_バス貨物_LPG),MATCH(AY928+1,【参考】排出係数!$AI$4:$AI$671,1)-1,5,BE928),2,FALSE),IF(OR(AW928=1,AW928=2),VLOOKUP(AU928,INDEX((係数_乗用_ガソリン,係数_乗用_CNG,係数_乗用_軽油,係数_乗用_メタノール,係数_乗用_LPG),1,1,BE928):INDEX((係数_乗用_ガソリン,係数_乗用_CNG,係数_乗用_軽油,係数_乗用_メタノール,係数_乗用_LPG),125,5,BE928),2,FALSE))))))</f>
        <v/>
      </c>
      <c r="BB928" s="468" t="str">
        <f>IF(T928="","",IF(OR(AU928="",AU928="-"),"－",IF(OR(AZ928=8,AZ928=9),"",IF(OR(AW928=3,AW928=4,AW928=5,AW928=6),VLOOKUP(AU928,INDEX((係数_バス貨物_ガソリン,係数_バス貨物_CNG,係数_バス貨物_軽油,係数_バス貨物_メタノール,係数_バス貨物_LPG),MATCH(AY928,【参考】排出係数!$AI$4:$AI$671,1),1,BE928):INDEX((係数_バス貨物_ガソリン,係数_バス貨物_CNG,係数_バス貨物_軽油,係数_バス貨物_メタノール,係数_バス貨物_LPG),MATCH(AY928+1,【参考】排出係数!$AI$4:$AI$671,1)-1,5,BE928),3,FALSE),IF(OR(AW928=1,AW928=2),VLOOKUP(AU928,INDEX((係数_乗用_ガソリン,係数_乗用_CNG,係数_乗用_軽油,係数_乗用_メタノール,係数_乗用_LPG),1,1,BE928):INDEX((係数_乗用_ガソリン,係数_乗用_CNG,係数_乗用_軽油,係数_乗用_メタノール,係数_乗用_LPG),125,5,BE928),3,FALSE))))))</f>
        <v/>
      </c>
      <c r="BC928" s="467" t="str">
        <f t="shared" si="520"/>
        <v/>
      </c>
      <c r="BD928" s="567" t="str">
        <f t="shared" si="521"/>
        <v/>
      </c>
      <c r="BE928" s="467" t="str">
        <f t="shared" si="522"/>
        <v/>
      </c>
      <c r="BF928" s="469" t="str">
        <f t="shared" ca="1" si="523"/>
        <v/>
      </c>
      <c r="BG928" s="469" t="str">
        <f t="shared" ca="1" si="524"/>
        <v/>
      </c>
      <c r="BH928" s="467" t="str">
        <f t="shared" si="525"/>
        <v/>
      </c>
      <c r="BI928" s="467" t="str">
        <f t="shared" ca="1" si="526"/>
        <v/>
      </c>
      <c r="BJ928" s="469" t="str">
        <f t="shared" si="527"/>
        <v/>
      </c>
      <c r="BK928" s="470" t="str">
        <f t="shared" si="511"/>
        <v/>
      </c>
      <c r="BL928" s="775" t="str">
        <f t="shared" si="528"/>
        <v/>
      </c>
      <c r="BM928" s="775" t="str">
        <f t="shared" si="529"/>
        <v/>
      </c>
    </row>
    <row r="929" spans="1:65">
      <c r="A929" s="473">
        <v>873</v>
      </c>
      <c r="B929" s="132"/>
      <c r="C929" s="332"/>
      <c r="D929" s="333"/>
      <c r="E929" s="333"/>
      <c r="F929" s="334"/>
      <c r="G929" s="337"/>
      <c r="H929" s="131"/>
      <c r="I929" s="337"/>
      <c r="J929" s="131"/>
      <c r="K929" s="458" t="str">
        <f t="shared" si="492"/>
        <v/>
      </c>
      <c r="L929" s="458">
        <f t="shared" si="493"/>
        <v>0</v>
      </c>
      <c r="M929" s="458">
        <f t="shared" si="494"/>
        <v>0</v>
      </c>
      <c r="N929" s="459" t="str">
        <f t="shared" si="505"/>
        <v/>
      </c>
      <c r="O929" s="459" t="str">
        <f t="shared" si="506"/>
        <v/>
      </c>
      <c r="P929" s="459" t="str">
        <f t="shared" si="507"/>
        <v/>
      </c>
      <c r="Q929" s="459" t="str">
        <f t="shared" si="508"/>
        <v/>
      </c>
      <c r="R929" s="459" t="str">
        <f t="shared" si="509"/>
        <v/>
      </c>
      <c r="S929" s="459" t="str">
        <f t="shared" si="510"/>
        <v/>
      </c>
      <c r="T929" s="566" t="str">
        <f t="shared" si="495"/>
        <v/>
      </c>
      <c r="U929" s="702"/>
      <c r="V929" s="132"/>
      <c r="W929" s="133"/>
      <c r="X929" s="134"/>
      <c r="Y929" s="135"/>
      <c r="Z929" s="137"/>
      <c r="AA929" s="136"/>
      <c r="AB929" s="566" t="str">
        <f t="shared" si="496"/>
        <v/>
      </c>
      <c r="AC929" s="568" t="str">
        <f t="shared" si="497"/>
        <v/>
      </c>
      <c r="AD929" s="137"/>
      <c r="AE929" s="137"/>
      <c r="AF929" s="138"/>
      <c r="AG929" s="138"/>
      <c r="AH929" s="592" t="str">
        <f t="shared" si="498"/>
        <v/>
      </c>
      <c r="AI929" s="592" t="str">
        <f t="shared" si="499"/>
        <v/>
      </c>
      <c r="AJ929" s="592" t="str">
        <f t="shared" si="500"/>
        <v/>
      </c>
      <c r="AK929" s="460" t="str">
        <f>IF(AU929="","",IF(OR(AZ929=8,AZ929=9),0,IF(OR(AW929=3,AW929=4,AW929=5,AW929=6),IF(LEFT(BF929,1)="1",INDEX(係数_NOX・PM低減,MATCH(AY929,【参考】排出係数!$AI$801:$AI$804,1),1),VLOOKUP(AU929,INDEX((係数_バス貨物_ガソリン,係数_バス貨物_CNG,係数_バス貨物_軽油,係数_バス貨物_メタノール,係数_バス貨物_LPG),MATCH(AY929,【参考】排出係数!$AI$4:$AI$671,1),1,BE929):INDEX((係数_バス貨物_ガソリン,係数_バス貨物_CNG,係数_バス貨物_軽油,係数_バス貨物_メタノール,係数_バス貨物_LPG),MATCH(AY929+1,【参考】排出係数!$AI$4:$AI$671,1)-1,5,BE929),4,FALSE)),IF(AND(BE929=3,LEFT(BF929,1)="1"),0.48,VLOOKUP(AU929,INDEX((係数_乗用_ガソリン,係数_乗用_CNG,係数_乗用_軽油,係数_乗用_メタノール,係数_乗用_LPG),1,1,BE929):INDEX((係数_乗用_ガソリン,係数_乗用_CNG,係数_乗用_軽油,係数_乗用_メタノール,係数_乗用_LPG),125,5,BE929),4,FALSE)))))</f>
        <v/>
      </c>
      <c r="AL929" s="461" t="str">
        <f t="shared" si="501"/>
        <v/>
      </c>
      <c r="AM929" s="460" t="str">
        <f>IF(AU929="","",IF(OR(AZ929=8,AZ929=9),0,IF(OR(AW929=3,AW929=4,AW929=5,AW929=6),IF(LEFT(BH929,1)="1",INDEX(係数_PM低減,MATCH(AY929,【参考】排出係数!$AI$801:$AI$804,1),MATCH(BI929,【参考】排出係数!$AL$798:$AO$798,1)),VLOOKUP(AU929,INDEX((係数_バス貨物_ガソリン,係数_バス貨物_CNG,係数_バス貨物_軽油,係数_バス貨物_メタノール,係数_バス貨物_LPG),MATCH(AY929,【参考】排出係数!$AI$4:$AI$671,1),1,BE929):INDEX((係数_バス貨物_ガソリン,係数_バス貨物_CNG,係数_バス貨物_軽油,係数_バス貨物_メタノール,係数_バス貨物_LPG),MATCH(AY929+1,【参考】排出係数!$AI$4:$AI$671,1)-1,5,BE929),5,FALSE)),IF(AND(BE929=3,LEFT(BF929,1)="1"),0.055,VLOOKUP(AU929,INDEX((係数_乗用_ガソリン,係数_乗用_CNG,係数_乗用_軽油,係数_乗用_メタノール,係数_乗用_LPG),1,1,BE929):INDEX((係数_乗用_ガソリン,係数_乗用_CNG,係数_乗用_軽油,係数_乗用_メタノール,係数_乗用_LPG),125,5,BE929),5,FALSE)))))</f>
        <v/>
      </c>
      <c r="AN929" s="461" t="str">
        <f t="shared" si="502"/>
        <v/>
      </c>
      <c r="AO929" s="462" t="str">
        <f t="shared" si="503"/>
        <v/>
      </c>
      <c r="AP929" s="463" t="str">
        <f t="shared" si="504"/>
        <v/>
      </c>
      <c r="AQ929" s="464"/>
      <c r="AR929" s="619"/>
      <c r="AS929" s="465" t="str">
        <f t="shared" si="512"/>
        <v/>
      </c>
      <c r="AT929" s="465" t="str">
        <f t="shared" si="513"/>
        <v/>
      </c>
      <c r="AU929" s="466" t="str">
        <f t="shared" si="514"/>
        <v/>
      </c>
      <c r="AV929" s="467" t="str">
        <f t="shared" si="515"/>
        <v/>
      </c>
      <c r="AW929" s="467" t="str">
        <f t="shared" si="516"/>
        <v/>
      </c>
      <c r="AX929" s="467" t="str">
        <f t="shared" si="517"/>
        <v/>
      </c>
      <c r="AY929" s="467" t="str">
        <f t="shared" si="518"/>
        <v/>
      </c>
      <c r="AZ929" s="467" t="str">
        <f t="shared" si="519"/>
        <v/>
      </c>
      <c r="BA929" s="468" t="str">
        <f>IF(AS929="","",IF(OR(AU929="",AU929="-"),"－",IF(OR(AZ929=8,AZ929=9),"",IF(OR(AW929=3,AW929=4,AW929=5,AW929=6),VLOOKUP(AU929,INDEX((係数_バス貨物_ガソリン,係数_バス貨物_CNG,係数_バス貨物_軽油,係数_バス貨物_メタノール,係数_バス貨物_LPG),MATCH(AY929,【参考】排出係数!$AI$4:$AI$671,1),1,BE929):INDEX((係数_バス貨物_ガソリン,係数_バス貨物_CNG,係数_バス貨物_軽油,係数_バス貨物_メタノール,係数_バス貨物_LPG),MATCH(AY929+1,【参考】排出係数!$AI$4:$AI$671,1)-1,5,BE929),2,FALSE),IF(OR(AW929=1,AW929=2),VLOOKUP(AU929,INDEX((係数_乗用_ガソリン,係数_乗用_CNG,係数_乗用_軽油,係数_乗用_メタノール,係数_乗用_LPG),1,1,BE929):INDEX((係数_乗用_ガソリン,係数_乗用_CNG,係数_乗用_軽油,係数_乗用_メタノール,係数_乗用_LPG),125,5,BE929),2,FALSE))))))</f>
        <v/>
      </c>
      <c r="BB929" s="468" t="str">
        <f>IF(T929="","",IF(OR(AU929="",AU929="-"),"－",IF(OR(AZ929=8,AZ929=9),"",IF(OR(AW929=3,AW929=4,AW929=5,AW929=6),VLOOKUP(AU929,INDEX((係数_バス貨物_ガソリン,係数_バス貨物_CNG,係数_バス貨物_軽油,係数_バス貨物_メタノール,係数_バス貨物_LPG),MATCH(AY929,【参考】排出係数!$AI$4:$AI$671,1),1,BE929):INDEX((係数_バス貨物_ガソリン,係数_バス貨物_CNG,係数_バス貨物_軽油,係数_バス貨物_メタノール,係数_バス貨物_LPG),MATCH(AY929+1,【参考】排出係数!$AI$4:$AI$671,1)-1,5,BE929),3,FALSE),IF(OR(AW929=1,AW929=2),VLOOKUP(AU929,INDEX((係数_乗用_ガソリン,係数_乗用_CNG,係数_乗用_軽油,係数_乗用_メタノール,係数_乗用_LPG),1,1,BE929):INDEX((係数_乗用_ガソリン,係数_乗用_CNG,係数_乗用_軽油,係数_乗用_メタノール,係数_乗用_LPG),125,5,BE929),3,FALSE))))))</f>
        <v/>
      </c>
      <c r="BC929" s="467" t="str">
        <f t="shared" si="520"/>
        <v/>
      </c>
      <c r="BD929" s="567" t="str">
        <f t="shared" si="521"/>
        <v/>
      </c>
      <c r="BE929" s="467" t="str">
        <f t="shared" si="522"/>
        <v/>
      </c>
      <c r="BF929" s="469" t="str">
        <f t="shared" ca="1" si="523"/>
        <v/>
      </c>
      <c r="BG929" s="469" t="str">
        <f t="shared" ca="1" si="524"/>
        <v/>
      </c>
      <c r="BH929" s="467" t="str">
        <f t="shared" si="525"/>
        <v/>
      </c>
      <c r="BI929" s="467" t="str">
        <f t="shared" ca="1" si="526"/>
        <v/>
      </c>
      <c r="BJ929" s="469" t="str">
        <f t="shared" si="527"/>
        <v/>
      </c>
      <c r="BK929" s="470" t="str">
        <f t="shared" si="511"/>
        <v/>
      </c>
      <c r="BL929" s="775" t="str">
        <f t="shared" si="528"/>
        <v/>
      </c>
      <c r="BM929" s="775" t="str">
        <f t="shared" si="529"/>
        <v/>
      </c>
    </row>
    <row r="930" spans="1:65">
      <c r="A930" s="473">
        <v>874</v>
      </c>
      <c r="B930" s="132"/>
      <c r="C930" s="332"/>
      <c r="D930" s="333"/>
      <c r="E930" s="333"/>
      <c r="F930" s="334"/>
      <c r="G930" s="337"/>
      <c r="H930" s="131"/>
      <c r="I930" s="337"/>
      <c r="J930" s="131"/>
      <c r="K930" s="458" t="str">
        <f t="shared" si="492"/>
        <v/>
      </c>
      <c r="L930" s="458">
        <f t="shared" si="493"/>
        <v>0</v>
      </c>
      <c r="M930" s="458">
        <f t="shared" si="494"/>
        <v>0</v>
      </c>
      <c r="N930" s="459" t="str">
        <f t="shared" si="505"/>
        <v/>
      </c>
      <c r="O930" s="459" t="str">
        <f t="shared" si="506"/>
        <v/>
      </c>
      <c r="P930" s="459" t="str">
        <f t="shared" si="507"/>
        <v/>
      </c>
      <c r="Q930" s="459" t="str">
        <f t="shared" si="508"/>
        <v/>
      </c>
      <c r="R930" s="459" t="str">
        <f t="shared" si="509"/>
        <v/>
      </c>
      <c r="S930" s="459" t="str">
        <f t="shared" si="510"/>
        <v/>
      </c>
      <c r="T930" s="566" t="str">
        <f t="shared" si="495"/>
        <v/>
      </c>
      <c r="U930" s="702"/>
      <c r="V930" s="132"/>
      <c r="W930" s="133"/>
      <c r="X930" s="134"/>
      <c r="Y930" s="135"/>
      <c r="Z930" s="137"/>
      <c r="AA930" s="136"/>
      <c r="AB930" s="566" t="str">
        <f t="shared" si="496"/>
        <v/>
      </c>
      <c r="AC930" s="568" t="str">
        <f t="shared" si="497"/>
        <v/>
      </c>
      <c r="AD930" s="137"/>
      <c r="AE930" s="137"/>
      <c r="AF930" s="138"/>
      <c r="AG930" s="138"/>
      <c r="AH930" s="592" t="str">
        <f t="shared" si="498"/>
        <v/>
      </c>
      <c r="AI930" s="592" t="str">
        <f t="shared" si="499"/>
        <v/>
      </c>
      <c r="AJ930" s="592" t="str">
        <f t="shared" si="500"/>
        <v/>
      </c>
      <c r="AK930" s="460" t="str">
        <f>IF(AU930="","",IF(OR(AZ930=8,AZ930=9),0,IF(OR(AW930=3,AW930=4,AW930=5,AW930=6),IF(LEFT(BF930,1)="1",INDEX(係数_NOX・PM低減,MATCH(AY930,【参考】排出係数!$AI$801:$AI$804,1),1),VLOOKUP(AU930,INDEX((係数_バス貨物_ガソリン,係数_バス貨物_CNG,係数_バス貨物_軽油,係数_バス貨物_メタノール,係数_バス貨物_LPG),MATCH(AY930,【参考】排出係数!$AI$4:$AI$671,1),1,BE930):INDEX((係数_バス貨物_ガソリン,係数_バス貨物_CNG,係数_バス貨物_軽油,係数_バス貨物_メタノール,係数_バス貨物_LPG),MATCH(AY930+1,【参考】排出係数!$AI$4:$AI$671,1)-1,5,BE930),4,FALSE)),IF(AND(BE930=3,LEFT(BF930,1)="1"),0.48,VLOOKUP(AU930,INDEX((係数_乗用_ガソリン,係数_乗用_CNG,係数_乗用_軽油,係数_乗用_メタノール,係数_乗用_LPG),1,1,BE930):INDEX((係数_乗用_ガソリン,係数_乗用_CNG,係数_乗用_軽油,係数_乗用_メタノール,係数_乗用_LPG),125,5,BE930),4,FALSE)))))</f>
        <v/>
      </c>
      <c r="AL930" s="461" t="str">
        <f t="shared" si="501"/>
        <v/>
      </c>
      <c r="AM930" s="460" t="str">
        <f>IF(AU930="","",IF(OR(AZ930=8,AZ930=9),0,IF(OR(AW930=3,AW930=4,AW930=5,AW930=6),IF(LEFT(BH930,1)="1",INDEX(係数_PM低減,MATCH(AY930,【参考】排出係数!$AI$801:$AI$804,1),MATCH(BI930,【参考】排出係数!$AL$798:$AO$798,1)),VLOOKUP(AU930,INDEX((係数_バス貨物_ガソリン,係数_バス貨物_CNG,係数_バス貨物_軽油,係数_バス貨物_メタノール,係数_バス貨物_LPG),MATCH(AY930,【参考】排出係数!$AI$4:$AI$671,1),1,BE930):INDEX((係数_バス貨物_ガソリン,係数_バス貨物_CNG,係数_バス貨物_軽油,係数_バス貨物_メタノール,係数_バス貨物_LPG),MATCH(AY930+1,【参考】排出係数!$AI$4:$AI$671,1)-1,5,BE930),5,FALSE)),IF(AND(BE930=3,LEFT(BF930,1)="1"),0.055,VLOOKUP(AU930,INDEX((係数_乗用_ガソリン,係数_乗用_CNG,係数_乗用_軽油,係数_乗用_メタノール,係数_乗用_LPG),1,1,BE930):INDEX((係数_乗用_ガソリン,係数_乗用_CNG,係数_乗用_軽油,係数_乗用_メタノール,係数_乗用_LPG),125,5,BE930),5,FALSE)))))</f>
        <v/>
      </c>
      <c r="AN930" s="461" t="str">
        <f t="shared" si="502"/>
        <v/>
      </c>
      <c r="AO930" s="462" t="str">
        <f t="shared" si="503"/>
        <v/>
      </c>
      <c r="AP930" s="463" t="str">
        <f t="shared" si="504"/>
        <v/>
      </c>
      <c r="AQ930" s="464"/>
      <c r="AR930" s="619"/>
      <c r="AS930" s="465" t="str">
        <f t="shared" si="512"/>
        <v/>
      </c>
      <c r="AT930" s="465" t="str">
        <f t="shared" si="513"/>
        <v/>
      </c>
      <c r="AU930" s="466" t="str">
        <f t="shared" si="514"/>
        <v/>
      </c>
      <c r="AV930" s="467" t="str">
        <f t="shared" si="515"/>
        <v/>
      </c>
      <c r="AW930" s="467" t="str">
        <f t="shared" si="516"/>
        <v/>
      </c>
      <c r="AX930" s="467" t="str">
        <f t="shared" si="517"/>
        <v/>
      </c>
      <c r="AY930" s="467" t="str">
        <f t="shared" si="518"/>
        <v/>
      </c>
      <c r="AZ930" s="467" t="str">
        <f t="shared" si="519"/>
        <v/>
      </c>
      <c r="BA930" s="468" t="str">
        <f>IF(AS930="","",IF(OR(AU930="",AU930="-"),"－",IF(OR(AZ930=8,AZ930=9),"",IF(OR(AW930=3,AW930=4,AW930=5,AW930=6),VLOOKUP(AU930,INDEX((係数_バス貨物_ガソリン,係数_バス貨物_CNG,係数_バス貨物_軽油,係数_バス貨物_メタノール,係数_バス貨物_LPG),MATCH(AY930,【参考】排出係数!$AI$4:$AI$671,1),1,BE930):INDEX((係数_バス貨物_ガソリン,係数_バス貨物_CNG,係数_バス貨物_軽油,係数_バス貨物_メタノール,係数_バス貨物_LPG),MATCH(AY930+1,【参考】排出係数!$AI$4:$AI$671,1)-1,5,BE930),2,FALSE),IF(OR(AW930=1,AW930=2),VLOOKUP(AU930,INDEX((係数_乗用_ガソリン,係数_乗用_CNG,係数_乗用_軽油,係数_乗用_メタノール,係数_乗用_LPG),1,1,BE930):INDEX((係数_乗用_ガソリン,係数_乗用_CNG,係数_乗用_軽油,係数_乗用_メタノール,係数_乗用_LPG),125,5,BE930),2,FALSE))))))</f>
        <v/>
      </c>
      <c r="BB930" s="468" t="str">
        <f>IF(T930="","",IF(OR(AU930="",AU930="-"),"－",IF(OR(AZ930=8,AZ930=9),"",IF(OR(AW930=3,AW930=4,AW930=5,AW930=6),VLOOKUP(AU930,INDEX((係数_バス貨物_ガソリン,係数_バス貨物_CNG,係数_バス貨物_軽油,係数_バス貨物_メタノール,係数_バス貨物_LPG),MATCH(AY930,【参考】排出係数!$AI$4:$AI$671,1),1,BE930):INDEX((係数_バス貨物_ガソリン,係数_バス貨物_CNG,係数_バス貨物_軽油,係数_バス貨物_メタノール,係数_バス貨物_LPG),MATCH(AY930+1,【参考】排出係数!$AI$4:$AI$671,1)-1,5,BE930),3,FALSE),IF(OR(AW930=1,AW930=2),VLOOKUP(AU930,INDEX((係数_乗用_ガソリン,係数_乗用_CNG,係数_乗用_軽油,係数_乗用_メタノール,係数_乗用_LPG),1,1,BE930):INDEX((係数_乗用_ガソリン,係数_乗用_CNG,係数_乗用_軽油,係数_乗用_メタノール,係数_乗用_LPG),125,5,BE930),3,FALSE))))))</f>
        <v/>
      </c>
      <c r="BC930" s="467" t="str">
        <f t="shared" si="520"/>
        <v/>
      </c>
      <c r="BD930" s="567" t="str">
        <f t="shared" si="521"/>
        <v/>
      </c>
      <c r="BE930" s="467" t="str">
        <f t="shared" si="522"/>
        <v/>
      </c>
      <c r="BF930" s="469" t="str">
        <f t="shared" ca="1" si="523"/>
        <v/>
      </c>
      <c r="BG930" s="469" t="str">
        <f t="shared" ca="1" si="524"/>
        <v/>
      </c>
      <c r="BH930" s="467" t="str">
        <f t="shared" si="525"/>
        <v/>
      </c>
      <c r="BI930" s="467" t="str">
        <f t="shared" ca="1" si="526"/>
        <v/>
      </c>
      <c r="BJ930" s="469" t="str">
        <f t="shared" si="527"/>
        <v/>
      </c>
      <c r="BK930" s="470" t="str">
        <f t="shared" si="511"/>
        <v/>
      </c>
      <c r="BL930" s="775" t="str">
        <f t="shared" si="528"/>
        <v/>
      </c>
      <c r="BM930" s="775" t="str">
        <f t="shared" si="529"/>
        <v/>
      </c>
    </row>
    <row r="931" spans="1:65">
      <c r="A931" s="473">
        <v>875</v>
      </c>
      <c r="B931" s="132"/>
      <c r="C931" s="332"/>
      <c r="D931" s="333"/>
      <c r="E931" s="333"/>
      <c r="F931" s="334"/>
      <c r="G931" s="337"/>
      <c r="H931" s="131"/>
      <c r="I931" s="337"/>
      <c r="J931" s="131"/>
      <c r="K931" s="458" t="str">
        <f t="shared" si="492"/>
        <v/>
      </c>
      <c r="L931" s="458">
        <f t="shared" si="493"/>
        <v>0</v>
      </c>
      <c r="M931" s="458">
        <f t="shared" si="494"/>
        <v>0</v>
      </c>
      <c r="N931" s="459" t="str">
        <f t="shared" si="505"/>
        <v/>
      </c>
      <c r="O931" s="459" t="str">
        <f t="shared" si="506"/>
        <v/>
      </c>
      <c r="P931" s="459" t="str">
        <f t="shared" si="507"/>
        <v/>
      </c>
      <c r="Q931" s="459" t="str">
        <f t="shared" si="508"/>
        <v/>
      </c>
      <c r="R931" s="459" t="str">
        <f t="shared" si="509"/>
        <v/>
      </c>
      <c r="S931" s="459" t="str">
        <f t="shared" si="510"/>
        <v/>
      </c>
      <c r="T931" s="566" t="str">
        <f t="shared" si="495"/>
        <v/>
      </c>
      <c r="U931" s="702"/>
      <c r="V931" s="132"/>
      <c r="W931" s="133"/>
      <c r="X931" s="134"/>
      <c r="Y931" s="135"/>
      <c r="Z931" s="137"/>
      <c r="AA931" s="136"/>
      <c r="AB931" s="566" t="str">
        <f t="shared" si="496"/>
        <v/>
      </c>
      <c r="AC931" s="568" t="str">
        <f t="shared" si="497"/>
        <v/>
      </c>
      <c r="AD931" s="137"/>
      <c r="AE931" s="137"/>
      <c r="AF931" s="138"/>
      <c r="AG931" s="138"/>
      <c r="AH931" s="592" t="str">
        <f t="shared" si="498"/>
        <v/>
      </c>
      <c r="AI931" s="592" t="str">
        <f t="shared" si="499"/>
        <v/>
      </c>
      <c r="AJ931" s="592" t="str">
        <f t="shared" si="500"/>
        <v/>
      </c>
      <c r="AK931" s="460" t="str">
        <f>IF(AU931="","",IF(OR(AZ931=8,AZ931=9),0,IF(OR(AW931=3,AW931=4,AW931=5,AW931=6),IF(LEFT(BF931,1)="1",INDEX(係数_NOX・PM低減,MATCH(AY931,【参考】排出係数!$AI$801:$AI$804,1),1),VLOOKUP(AU931,INDEX((係数_バス貨物_ガソリン,係数_バス貨物_CNG,係数_バス貨物_軽油,係数_バス貨物_メタノール,係数_バス貨物_LPG),MATCH(AY931,【参考】排出係数!$AI$4:$AI$671,1),1,BE931):INDEX((係数_バス貨物_ガソリン,係数_バス貨物_CNG,係数_バス貨物_軽油,係数_バス貨物_メタノール,係数_バス貨物_LPG),MATCH(AY931+1,【参考】排出係数!$AI$4:$AI$671,1)-1,5,BE931),4,FALSE)),IF(AND(BE931=3,LEFT(BF931,1)="1"),0.48,VLOOKUP(AU931,INDEX((係数_乗用_ガソリン,係数_乗用_CNG,係数_乗用_軽油,係数_乗用_メタノール,係数_乗用_LPG),1,1,BE931):INDEX((係数_乗用_ガソリン,係数_乗用_CNG,係数_乗用_軽油,係数_乗用_メタノール,係数_乗用_LPG),125,5,BE931),4,FALSE)))))</f>
        <v/>
      </c>
      <c r="AL931" s="461" t="str">
        <f t="shared" si="501"/>
        <v/>
      </c>
      <c r="AM931" s="460" t="str">
        <f>IF(AU931="","",IF(OR(AZ931=8,AZ931=9),0,IF(OR(AW931=3,AW931=4,AW931=5,AW931=6),IF(LEFT(BH931,1)="1",INDEX(係数_PM低減,MATCH(AY931,【参考】排出係数!$AI$801:$AI$804,1),MATCH(BI931,【参考】排出係数!$AL$798:$AO$798,1)),VLOOKUP(AU931,INDEX((係数_バス貨物_ガソリン,係数_バス貨物_CNG,係数_バス貨物_軽油,係数_バス貨物_メタノール,係数_バス貨物_LPG),MATCH(AY931,【参考】排出係数!$AI$4:$AI$671,1),1,BE931):INDEX((係数_バス貨物_ガソリン,係数_バス貨物_CNG,係数_バス貨物_軽油,係数_バス貨物_メタノール,係数_バス貨物_LPG),MATCH(AY931+1,【参考】排出係数!$AI$4:$AI$671,1)-1,5,BE931),5,FALSE)),IF(AND(BE931=3,LEFT(BF931,1)="1"),0.055,VLOOKUP(AU931,INDEX((係数_乗用_ガソリン,係数_乗用_CNG,係数_乗用_軽油,係数_乗用_メタノール,係数_乗用_LPG),1,1,BE931):INDEX((係数_乗用_ガソリン,係数_乗用_CNG,係数_乗用_軽油,係数_乗用_メタノール,係数_乗用_LPG),125,5,BE931),5,FALSE)))))</f>
        <v/>
      </c>
      <c r="AN931" s="461" t="str">
        <f t="shared" si="502"/>
        <v/>
      </c>
      <c r="AO931" s="462" t="str">
        <f t="shared" si="503"/>
        <v/>
      </c>
      <c r="AP931" s="463" t="str">
        <f t="shared" si="504"/>
        <v/>
      </c>
      <c r="AQ931" s="464"/>
      <c r="AR931" s="619"/>
      <c r="AS931" s="465" t="str">
        <f t="shared" si="512"/>
        <v/>
      </c>
      <c r="AT931" s="465" t="str">
        <f t="shared" si="513"/>
        <v/>
      </c>
      <c r="AU931" s="466" t="str">
        <f t="shared" si="514"/>
        <v/>
      </c>
      <c r="AV931" s="467" t="str">
        <f t="shared" si="515"/>
        <v/>
      </c>
      <c r="AW931" s="467" t="str">
        <f t="shared" si="516"/>
        <v/>
      </c>
      <c r="AX931" s="467" t="str">
        <f t="shared" si="517"/>
        <v/>
      </c>
      <c r="AY931" s="467" t="str">
        <f t="shared" si="518"/>
        <v/>
      </c>
      <c r="AZ931" s="467" t="str">
        <f t="shared" si="519"/>
        <v/>
      </c>
      <c r="BA931" s="468" t="str">
        <f>IF(AS931="","",IF(OR(AU931="",AU931="-"),"－",IF(OR(AZ931=8,AZ931=9),"",IF(OR(AW931=3,AW931=4,AW931=5,AW931=6),VLOOKUP(AU931,INDEX((係数_バス貨物_ガソリン,係数_バス貨物_CNG,係数_バス貨物_軽油,係数_バス貨物_メタノール,係数_バス貨物_LPG),MATCH(AY931,【参考】排出係数!$AI$4:$AI$671,1),1,BE931):INDEX((係数_バス貨物_ガソリン,係数_バス貨物_CNG,係数_バス貨物_軽油,係数_バス貨物_メタノール,係数_バス貨物_LPG),MATCH(AY931+1,【参考】排出係数!$AI$4:$AI$671,1)-1,5,BE931),2,FALSE),IF(OR(AW931=1,AW931=2),VLOOKUP(AU931,INDEX((係数_乗用_ガソリン,係数_乗用_CNG,係数_乗用_軽油,係数_乗用_メタノール,係数_乗用_LPG),1,1,BE931):INDEX((係数_乗用_ガソリン,係数_乗用_CNG,係数_乗用_軽油,係数_乗用_メタノール,係数_乗用_LPG),125,5,BE931),2,FALSE))))))</f>
        <v/>
      </c>
      <c r="BB931" s="468" t="str">
        <f>IF(T931="","",IF(OR(AU931="",AU931="-"),"－",IF(OR(AZ931=8,AZ931=9),"",IF(OR(AW931=3,AW931=4,AW931=5,AW931=6),VLOOKUP(AU931,INDEX((係数_バス貨物_ガソリン,係数_バス貨物_CNG,係数_バス貨物_軽油,係数_バス貨物_メタノール,係数_バス貨物_LPG),MATCH(AY931,【参考】排出係数!$AI$4:$AI$671,1),1,BE931):INDEX((係数_バス貨物_ガソリン,係数_バス貨物_CNG,係数_バス貨物_軽油,係数_バス貨物_メタノール,係数_バス貨物_LPG),MATCH(AY931+1,【参考】排出係数!$AI$4:$AI$671,1)-1,5,BE931),3,FALSE),IF(OR(AW931=1,AW931=2),VLOOKUP(AU931,INDEX((係数_乗用_ガソリン,係数_乗用_CNG,係数_乗用_軽油,係数_乗用_メタノール,係数_乗用_LPG),1,1,BE931):INDEX((係数_乗用_ガソリン,係数_乗用_CNG,係数_乗用_軽油,係数_乗用_メタノール,係数_乗用_LPG),125,5,BE931),3,FALSE))))))</f>
        <v/>
      </c>
      <c r="BC931" s="467" t="str">
        <f t="shared" si="520"/>
        <v/>
      </c>
      <c r="BD931" s="567" t="str">
        <f t="shared" si="521"/>
        <v/>
      </c>
      <c r="BE931" s="467" t="str">
        <f t="shared" si="522"/>
        <v/>
      </c>
      <c r="BF931" s="469" t="str">
        <f t="shared" ca="1" si="523"/>
        <v/>
      </c>
      <c r="BG931" s="469" t="str">
        <f t="shared" ca="1" si="524"/>
        <v/>
      </c>
      <c r="BH931" s="467" t="str">
        <f t="shared" si="525"/>
        <v/>
      </c>
      <c r="BI931" s="467" t="str">
        <f t="shared" ca="1" si="526"/>
        <v/>
      </c>
      <c r="BJ931" s="469" t="str">
        <f t="shared" si="527"/>
        <v/>
      </c>
      <c r="BK931" s="470" t="str">
        <f t="shared" si="511"/>
        <v/>
      </c>
      <c r="BL931" s="775" t="str">
        <f t="shared" si="528"/>
        <v/>
      </c>
      <c r="BM931" s="775" t="str">
        <f t="shared" si="529"/>
        <v/>
      </c>
    </row>
    <row r="932" spans="1:65">
      <c r="A932" s="473">
        <v>876</v>
      </c>
      <c r="B932" s="132"/>
      <c r="C932" s="332"/>
      <c r="D932" s="333"/>
      <c r="E932" s="333"/>
      <c r="F932" s="334"/>
      <c r="G932" s="337"/>
      <c r="H932" s="131"/>
      <c r="I932" s="337"/>
      <c r="J932" s="131"/>
      <c r="K932" s="458" t="str">
        <f t="shared" si="492"/>
        <v/>
      </c>
      <c r="L932" s="458">
        <f t="shared" si="493"/>
        <v>0</v>
      </c>
      <c r="M932" s="458">
        <f t="shared" si="494"/>
        <v>0</v>
      </c>
      <c r="N932" s="459" t="str">
        <f t="shared" si="505"/>
        <v/>
      </c>
      <c r="O932" s="459" t="str">
        <f t="shared" si="506"/>
        <v/>
      </c>
      <c r="P932" s="459" t="str">
        <f t="shared" si="507"/>
        <v/>
      </c>
      <c r="Q932" s="459" t="str">
        <f t="shared" si="508"/>
        <v/>
      </c>
      <c r="R932" s="459" t="str">
        <f t="shared" si="509"/>
        <v/>
      </c>
      <c r="S932" s="459" t="str">
        <f t="shared" si="510"/>
        <v/>
      </c>
      <c r="T932" s="566" t="str">
        <f t="shared" si="495"/>
        <v/>
      </c>
      <c r="U932" s="702"/>
      <c r="V932" s="132"/>
      <c r="W932" s="133"/>
      <c r="X932" s="134"/>
      <c r="Y932" s="135"/>
      <c r="Z932" s="137"/>
      <c r="AA932" s="136"/>
      <c r="AB932" s="566" t="str">
        <f t="shared" si="496"/>
        <v/>
      </c>
      <c r="AC932" s="568" t="str">
        <f t="shared" si="497"/>
        <v/>
      </c>
      <c r="AD932" s="137"/>
      <c r="AE932" s="137"/>
      <c r="AF932" s="138"/>
      <c r="AG932" s="138"/>
      <c r="AH932" s="592" t="str">
        <f t="shared" si="498"/>
        <v/>
      </c>
      <c r="AI932" s="592" t="str">
        <f t="shared" si="499"/>
        <v/>
      </c>
      <c r="AJ932" s="592" t="str">
        <f t="shared" si="500"/>
        <v/>
      </c>
      <c r="AK932" s="460" t="str">
        <f>IF(AU932="","",IF(OR(AZ932=8,AZ932=9),0,IF(OR(AW932=3,AW932=4,AW932=5,AW932=6),IF(LEFT(BF932,1)="1",INDEX(係数_NOX・PM低減,MATCH(AY932,【参考】排出係数!$AI$801:$AI$804,1),1),VLOOKUP(AU932,INDEX((係数_バス貨物_ガソリン,係数_バス貨物_CNG,係数_バス貨物_軽油,係数_バス貨物_メタノール,係数_バス貨物_LPG),MATCH(AY932,【参考】排出係数!$AI$4:$AI$671,1),1,BE932):INDEX((係数_バス貨物_ガソリン,係数_バス貨物_CNG,係数_バス貨物_軽油,係数_バス貨物_メタノール,係数_バス貨物_LPG),MATCH(AY932+1,【参考】排出係数!$AI$4:$AI$671,1)-1,5,BE932),4,FALSE)),IF(AND(BE932=3,LEFT(BF932,1)="1"),0.48,VLOOKUP(AU932,INDEX((係数_乗用_ガソリン,係数_乗用_CNG,係数_乗用_軽油,係数_乗用_メタノール,係数_乗用_LPG),1,1,BE932):INDEX((係数_乗用_ガソリン,係数_乗用_CNG,係数_乗用_軽油,係数_乗用_メタノール,係数_乗用_LPG),125,5,BE932),4,FALSE)))))</f>
        <v/>
      </c>
      <c r="AL932" s="461" t="str">
        <f t="shared" si="501"/>
        <v/>
      </c>
      <c r="AM932" s="460" t="str">
        <f>IF(AU932="","",IF(OR(AZ932=8,AZ932=9),0,IF(OR(AW932=3,AW932=4,AW932=5,AW932=6),IF(LEFT(BH932,1)="1",INDEX(係数_PM低減,MATCH(AY932,【参考】排出係数!$AI$801:$AI$804,1),MATCH(BI932,【参考】排出係数!$AL$798:$AO$798,1)),VLOOKUP(AU932,INDEX((係数_バス貨物_ガソリン,係数_バス貨物_CNG,係数_バス貨物_軽油,係数_バス貨物_メタノール,係数_バス貨物_LPG),MATCH(AY932,【参考】排出係数!$AI$4:$AI$671,1),1,BE932):INDEX((係数_バス貨物_ガソリン,係数_バス貨物_CNG,係数_バス貨物_軽油,係数_バス貨物_メタノール,係数_バス貨物_LPG),MATCH(AY932+1,【参考】排出係数!$AI$4:$AI$671,1)-1,5,BE932),5,FALSE)),IF(AND(BE932=3,LEFT(BF932,1)="1"),0.055,VLOOKUP(AU932,INDEX((係数_乗用_ガソリン,係数_乗用_CNG,係数_乗用_軽油,係数_乗用_メタノール,係数_乗用_LPG),1,1,BE932):INDEX((係数_乗用_ガソリン,係数_乗用_CNG,係数_乗用_軽油,係数_乗用_メタノール,係数_乗用_LPG),125,5,BE932),5,FALSE)))))</f>
        <v/>
      </c>
      <c r="AN932" s="461" t="str">
        <f t="shared" si="502"/>
        <v/>
      </c>
      <c r="AO932" s="462" t="str">
        <f t="shared" si="503"/>
        <v/>
      </c>
      <c r="AP932" s="463" t="str">
        <f t="shared" si="504"/>
        <v/>
      </c>
      <c r="AQ932" s="464"/>
      <c r="AR932" s="619"/>
      <c r="AS932" s="465" t="str">
        <f t="shared" si="512"/>
        <v/>
      </c>
      <c r="AT932" s="465" t="str">
        <f t="shared" si="513"/>
        <v/>
      </c>
      <c r="AU932" s="466" t="str">
        <f t="shared" si="514"/>
        <v/>
      </c>
      <c r="AV932" s="467" t="str">
        <f t="shared" si="515"/>
        <v/>
      </c>
      <c r="AW932" s="467" t="str">
        <f t="shared" si="516"/>
        <v/>
      </c>
      <c r="AX932" s="467" t="str">
        <f t="shared" si="517"/>
        <v/>
      </c>
      <c r="AY932" s="467" t="str">
        <f t="shared" si="518"/>
        <v/>
      </c>
      <c r="AZ932" s="467" t="str">
        <f t="shared" si="519"/>
        <v/>
      </c>
      <c r="BA932" s="468" t="str">
        <f>IF(AS932="","",IF(OR(AU932="",AU932="-"),"－",IF(OR(AZ932=8,AZ932=9),"",IF(OR(AW932=3,AW932=4,AW932=5,AW932=6),VLOOKUP(AU932,INDEX((係数_バス貨物_ガソリン,係数_バス貨物_CNG,係数_バス貨物_軽油,係数_バス貨物_メタノール,係数_バス貨物_LPG),MATCH(AY932,【参考】排出係数!$AI$4:$AI$671,1),1,BE932):INDEX((係数_バス貨物_ガソリン,係数_バス貨物_CNG,係数_バス貨物_軽油,係数_バス貨物_メタノール,係数_バス貨物_LPG),MATCH(AY932+1,【参考】排出係数!$AI$4:$AI$671,1)-1,5,BE932),2,FALSE),IF(OR(AW932=1,AW932=2),VLOOKUP(AU932,INDEX((係数_乗用_ガソリン,係数_乗用_CNG,係数_乗用_軽油,係数_乗用_メタノール,係数_乗用_LPG),1,1,BE932):INDEX((係数_乗用_ガソリン,係数_乗用_CNG,係数_乗用_軽油,係数_乗用_メタノール,係数_乗用_LPG),125,5,BE932),2,FALSE))))))</f>
        <v/>
      </c>
      <c r="BB932" s="468" t="str">
        <f>IF(T932="","",IF(OR(AU932="",AU932="-"),"－",IF(OR(AZ932=8,AZ932=9),"",IF(OR(AW932=3,AW932=4,AW932=5,AW932=6),VLOOKUP(AU932,INDEX((係数_バス貨物_ガソリン,係数_バス貨物_CNG,係数_バス貨物_軽油,係数_バス貨物_メタノール,係数_バス貨物_LPG),MATCH(AY932,【参考】排出係数!$AI$4:$AI$671,1),1,BE932):INDEX((係数_バス貨物_ガソリン,係数_バス貨物_CNG,係数_バス貨物_軽油,係数_バス貨物_メタノール,係数_バス貨物_LPG),MATCH(AY932+1,【参考】排出係数!$AI$4:$AI$671,1)-1,5,BE932),3,FALSE),IF(OR(AW932=1,AW932=2),VLOOKUP(AU932,INDEX((係数_乗用_ガソリン,係数_乗用_CNG,係数_乗用_軽油,係数_乗用_メタノール,係数_乗用_LPG),1,1,BE932):INDEX((係数_乗用_ガソリン,係数_乗用_CNG,係数_乗用_軽油,係数_乗用_メタノール,係数_乗用_LPG),125,5,BE932),3,FALSE))))))</f>
        <v/>
      </c>
      <c r="BC932" s="467" t="str">
        <f t="shared" si="520"/>
        <v/>
      </c>
      <c r="BD932" s="567" t="str">
        <f t="shared" si="521"/>
        <v/>
      </c>
      <c r="BE932" s="467" t="str">
        <f t="shared" si="522"/>
        <v/>
      </c>
      <c r="BF932" s="469" t="str">
        <f t="shared" ca="1" si="523"/>
        <v/>
      </c>
      <c r="BG932" s="469" t="str">
        <f t="shared" ca="1" si="524"/>
        <v/>
      </c>
      <c r="BH932" s="467" t="str">
        <f t="shared" si="525"/>
        <v/>
      </c>
      <c r="BI932" s="467" t="str">
        <f t="shared" ca="1" si="526"/>
        <v/>
      </c>
      <c r="BJ932" s="469" t="str">
        <f t="shared" si="527"/>
        <v/>
      </c>
      <c r="BK932" s="470" t="str">
        <f t="shared" si="511"/>
        <v/>
      </c>
      <c r="BL932" s="775" t="str">
        <f t="shared" si="528"/>
        <v/>
      </c>
      <c r="BM932" s="775" t="str">
        <f t="shared" si="529"/>
        <v/>
      </c>
    </row>
    <row r="933" spans="1:65">
      <c r="A933" s="473">
        <v>877</v>
      </c>
      <c r="B933" s="132"/>
      <c r="C933" s="332"/>
      <c r="D933" s="333"/>
      <c r="E933" s="333"/>
      <c r="F933" s="334"/>
      <c r="G933" s="337"/>
      <c r="H933" s="131"/>
      <c r="I933" s="337"/>
      <c r="J933" s="131"/>
      <c r="K933" s="458" t="str">
        <f t="shared" si="492"/>
        <v/>
      </c>
      <c r="L933" s="458">
        <f t="shared" si="493"/>
        <v>0</v>
      </c>
      <c r="M933" s="458">
        <f t="shared" si="494"/>
        <v>0</v>
      </c>
      <c r="N933" s="459" t="str">
        <f t="shared" si="505"/>
        <v/>
      </c>
      <c r="O933" s="459" t="str">
        <f t="shared" si="506"/>
        <v/>
      </c>
      <c r="P933" s="459" t="str">
        <f t="shared" si="507"/>
        <v/>
      </c>
      <c r="Q933" s="459" t="str">
        <f t="shared" si="508"/>
        <v/>
      </c>
      <c r="R933" s="459" t="str">
        <f t="shared" si="509"/>
        <v/>
      </c>
      <c r="S933" s="459" t="str">
        <f t="shared" si="510"/>
        <v/>
      </c>
      <c r="T933" s="566" t="str">
        <f t="shared" si="495"/>
        <v/>
      </c>
      <c r="U933" s="702"/>
      <c r="V933" s="132"/>
      <c r="W933" s="133"/>
      <c r="X933" s="134"/>
      <c r="Y933" s="135"/>
      <c r="Z933" s="137"/>
      <c r="AA933" s="136"/>
      <c r="AB933" s="566" t="str">
        <f t="shared" si="496"/>
        <v/>
      </c>
      <c r="AC933" s="568" t="str">
        <f t="shared" si="497"/>
        <v/>
      </c>
      <c r="AD933" s="137"/>
      <c r="AE933" s="137"/>
      <c r="AF933" s="138"/>
      <c r="AG933" s="138"/>
      <c r="AH933" s="592" t="str">
        <f t="shared" si="498"/>
        <v/>
      </c>
      <c r="AI933" s="592" t="str">
        <f t="shared" si="499"/>
        <v/>
      </c>
      <c r="AJ933" s="592" t="str">
        <f t="shared" si="500"/>
        <v/>
      </c>
      <c r="AK933" s="460" t="str">
        <f>IF(AU933="","",IF(OR(AZ933=8,AZ933=9),0,IF(OR(AW933=3,AW933=4,AW933=5,AW933=6),IF(LEFT(BF933,1)="1",INDEX(係数_NOX・PM低減,MATCH(AY933,【参考】排出係数!$AI$801:$AI$804,1),1),VLOOKUP(AU933,INDEX((係数_バス貨物_ガソリン,係数_バス貨物_CNG,係数_バス貨物_軽油,係数_バス貨物_メタノール,係数_バス貨物_LPG),MATCH(AY933,【参考】排出係数!$AI$4:$AI$671,1),1,BE933):INDEX((係数_バス貨物_ガソリン,係数_バス貨物_CNG,係数_バス貨物_軽油,係数_バス貨物_メタノール,係数_バス貨物_LPG),MATCH(AY933+1,【参考】排出係数!$AI$4:$AI$671,1)-1,5,BE933),4,FALSE)),IF(AND(BE933=3,LEFT(BF933,1)="1"),0.48,VLOOKUP(AU933,INDEX((係数_乗用_ガソリン,係数_乗用_CNG,係数_乗用_軽油,係数_乗用_メタノール,係数_乗用_LPG),1,1,BE933):INDEX((係数_乗用_ガソリン,係数_乗用_CNG,係数_乗用_軽油,係数_乗用_メタノール,係数_乗用_LPG),125,5,BE933),4,FALSE)))))</f>
        <v/>
      </c>
      <c r="AL933" s="461" t="str">
        <f t="shared" si="501"/>
        <v/>
      </c>
      <c r="AM933" s="460" t="str">
        <f>IF(AU933="","",IF(OR(AZ933=8,AZ933=9),0,IF(OR(AW933=3,AW933=4,AW933=5,AW933=6),IF(LEFT(BH933,1)="1",INDEX(係数_PM低減,MATCH(AY933,【参考】排出係数!$AI$801:$AI$804,1),MATCH(BI933,【参考】排出係数!$AL$798:$AO$798,1)),VLOOKUP(AU933,INDEX((係数_バス貨物_ガソリン,係数_バス貨物_CNG,係数_バス貨物_軽油,係数_バス貨物_メタノール,係数_バス貨物_LPG),MATCH(AY933,【参考】排出係数!$AI$4:$AI$671,1),1,BE933):INDEX((係数_バス貨物_ガソリン,係数_バス貨物_CNG,係数_バス貨物_軽油,係数_バス貨物_メタノール,係数_バス貨物_LPG),MATCH(AY933+1,【参考】排出係数!$AI$4:$AI$671,1)-1,5,BE933),5,FALSE)),IF(AND(BE933=3,LEFT(BF933,1)="1"),0.055,VLOOKUP(AU933,INDEX((係数_乗用_ガソリン,係数_乗用_CNG,係数_乗用_軽油,係数_乗用_メタノール,係数_乗用_LPG),1,1,BE933):INDEX((係数_乗用_ガソリン,係数_乗用_CNG,係数_乗用_軽油,係数_乗用_メタノール,係数_乗用_LPG),125,5,BE933),5,FALSE)))))</f>
        <v/>
      </c>
      <c r="AN933" s="461" t="str">
        <f t="shared" si="502"/>
        <v/>
      </c>
      <c r="AO933" s="462" t="str">
        <f t="shared" si="503"/>
        <v/>
      </c>
      <c r="AP933" s="463" t="str">
        <f t="shared" si="504"/>
        <v/>
      </c>
      <c r="AQ933" s="464"/>
      <c r="AR933" s="619"/>
      <c r="AS933" s="465" t="str">
        <f t="shared" si="512"/>
        <v/>
      </c>
      <c r="AT933" s="465" t="str">
        <f t="shared" si="513"/>
        <v/>
      </c>
      <c r="AU933" s="466" t="str">
        <f t="shared" si="514"/>
        <v/>
      </c>
      <c r="AV933" s="467" t="str">
        <f t="shared" si="515"/>
        <v/>
      </c>
      <c r="AW933" s="467" t="str">
        <f t="shared" si="516"/>
        <v/>
      </c>
      <c r="AX933" s="467" t="str">
        <f t="shared" si="517"/>
        <v/>
      </c>
      <c r="AY933" s="467" t="str">
        <f t="shared" si="518"/>
        <v/>
      </c>
      <c r="AZ933" s="467" t="str">
        <f t="shared" si="519"/>
        <v/>
      </c>
      <c r="BA933" s="468" t="str">
        <f>IF(AS933="","",IF(OR(AU933="",AU933="-"),"－",IF(OR(AZ933=8,AZ933=9),"",IF(OR(AW933=3,AW933=4,AW933=5,AW933=6),VLOOKUP(AU933,INDEX((係数_バス貨物_ガソリン,係数_バス貨物_CNG,係数_バス貨物_軽油,係数_バス貨物_メタノール,係数_バス貨物_LPG),MATCH(AY933,【参考】排出係数!$AI$4:$AI$671,1),1,BE933):INDEX((係数_バス貨物_ガソリン,係数_バス貨物_CNG,係数_バス貨物_軽油,係数_バス貨物_メタノール,係数_バス貨物_LPG),MATCH(AY933+1,【参考】排出係数!$AI$4:$AI$671,1)-1,5,BE933),2,FALSE),IF(OR(AW933=1,AW933=2),VLOOKUP(AU933,INDEX((係数_乗用_ガソリン,係数_乗用_CNG,係数_乗用_軽油,係数_乗用_メタノール,係数_乗用_LPG),1,1,BE933):INDEX((係数_乗用_ガソリン,係数_乗用_CNG,係数_乗用_軽油,係数_乗用_メタノール,係数_乗用_LPG),125,5,BE933),2,FALSE))))))</f>
        <v/>
      </c>
      <c r="BB933" s="468" t="str">
        <f>IF(T933="","",IF(OR(AU933="",AU933="-"),"－",IF(OR(AZ933=8,AZ933=9),"",IF(OR(AW933=3,AW933=4,AW933=5,AW933=6),VLOOKUP(AU933,INDEX((係数_バス貨物_ガソリン,係数_バス貨物_CNG,係数_バス貨物_軽油,係数_バス貨物_メタノール,係数_バス貨物_LPG),MATCH(AY933,【参考】排出係数!$AI$4:$AI$671,1),1,BE933):INDEX((係数_バス貨物_ガソリン,係数_バス貨物_CNG,係数_バス貨物_軽油,係数_バス貨物_メタノール,係数_バス貨物_LPG),MATCH(AY933+1,【参考】排出係数!$AI$4:$AI$671,1)-1,5,BE933),3,FALSE),IF(OR(AW933=1,AW933=2),VLOOKUP(AU933,INDEX((係数_乗用_ガソリン,係数_乗用_CNG,係数_乗用_軽油,係数_乗用_メタノール,係数_乗用_LPG),1,1,BE933):INDEX((係数_乗用_ガソリン,係数_乗用_CNG,係数_乗用_軽油,係数_乗用_メタノール,係数_乗用_LPG),125,5,BE933),3,FALSE))))))</f>
        <v/>
      </c>
      <c r="BC933" s="467" t="str">
        <f t="shared" si="520"/>
        <v/>
      </c>
      <c r="BD933" s="567" t="str">
        <f t="shared" si="521"/>
        <v/>
      </c>
      <c r="BE933" s="467" t="str">
        <f t="shared" si="522"/>
        <v/>
      </c>
      <c r="BF933" s="469" t="str">
        <f t="shared" ca="1" si="523"/>
        <v/>
      </c>
      <c r="BG933" s="469" t="str">
        <f t="shared" ca="1" si="524"/>
        <v/>
      </c>
      <c r="BH933" s="467" t="str">
        <f t="shared" si="525"/>
        <v/>
      </c>
      <c r="BI933" s="467" t="str">
        <f t="shared" ca="1" si="526"/>
        <v/>
      </c>
      <c r="BJ933" s="469" t="str">
        <f t="shared" si="527"/>
        <v/>
      </c>
      <c r="BK933" s="470" t="str">
        <f t="shared" si="511"/>
        <v/>
      </c>
      <c r="BL933" s="775" t="str">
        <f t="shared" si="528"/>
        <v/>
      </c>
      <c r="BM933" s="775" t="str">
        <f t="shared" si="529"/>
        <v/>
      </c>
    </row>
    <row r="934" spans="1:65">
      <c r="A934" s="473">
        <v>878</v>
      </c>
      <c r="B934" s="132"/>
      <c r="C934" s="332"/>
      <c r="D934" s="333"/>
      <c r="E934" s="333"/>
      <c r="F934" s="334"/>
      <c r="G934" s="337"/>
      <c r="H934" s="131"/>
      <c r="I934" s="337"/>
      <c r="J934" s="131"/>
      <c r="K934" s="458" t="str">
        <f t="shared" si="492"/>
        <v/>
      </c>
      <c r="L934" s="458">
        <f t="shared" si="493"/>
        <v>0</v>
      </c>
      <c r="M934" s="458">
        <f t="shared" si="494"/>
        <v>0</v>
      </c>
      <c r="N934" s="459" t="str">
        <f t="shared" si="505"/>
        <v/>
      </c>
      <c r="O934" s="459" t="str">
        <f t="shared" si="506"/>
        <v/>
      </c>
      <c r="P934" s="459" t="str">
        <f t="shared" si="507"/>
        <v/>
      </c>
      <c r="Q934" s="459" t="str">
        <f t="shared" si="508"/>
        <v/>
      </c>
      <c r="R934" s="459" t="str">
        <f t="shared" si="509"/>
        <v/>
      </c>
      <c r="S934" s="459" t="str">
        <f t="shared" si="510"/>
        <v/>
      </c>
      <c r="T934" s="566" t="str">
        <f t="shared" si="495"/>
        <v/>
      </c>
      <c r="U934" s="702"/>
      <c r="V934" s="132"/>
      <c r="W934" s="133"/>
      <c r="X934" s="134"/>
      <c r="Y934" s="135"/>
      <c r="Z934" s="137"/>
      <c r="AA934" s="136"/>
      <c r="AB934" s="566" t="str">
        <f t="shared" si="496"/>
        <v/>
      </c>
      <c r="AC934" s="568" t="str">
        <f t="shared" si="497"/>
        <v/>
      </c>
      <c r="AD934" s="137"/>
      <c r="AE934" s="137"/>
      <c r="AF934" s="138"/>
      <c r="AG934" s="138"/>
      <c r="AH934" s="592" t="str">
        <f t="shared" si="498"/>
        <v/>
      </c>
      <c r="AI934" s="592" t="str">
        <f t="shared" si="499"/>
        <v/>
      </c>
      <c r="AJ934" s="592" t="str">
        <f t="shared" si="500"/>
        <v/>
      </c>
      <c r="AK934" s="460" t="str">
        <f>IF(AU934="","",IF(OR(AZ934=8,AZ934=9),0,IF(OR(AW934=3,AW934=4,AW934=5,AW934=6),IF(LEFT(BF934,1)="1",INDEX(係数_NOX・PM低減,MATCH(AY934,【参考】排出係数!$AI$801:$AI$804,1),1),VLOOKUP(AU934,INDEX((係数_バス貨物_ガソリン,係数_バス貨物_CNG,係数_バス貨物_軽油,係数_バス貨物_メタノール,係数_バス貨物_LPG),MATCH(AY934,【参考】排出係数!$AI$4:$AI$671,1),1,BE934):INDEX((係数_バス貨物_ガソリン,係数_バス貨物_CNG,係数_バス貨物_軽油,係数_バス貨物_メタノール,係数_バス貨物_LPG),MATCH(AY934+1,【参考】排出係数!$AI$4:$AI$671,1)-1,5,BE934),4,FALSE)),IF(AND(BE934=3,LEFT(BF934,1)="1"),0.48,VLOOKUP(AU934,INDEX((係数_乗用_ガソリン,係数_乗用_CNG,係数_乗用_軽油,係数_乗用_メタノール,係数_乗用_LPG),1,1,BE934):INDEX((係数_乗用_ガソリン,係数_乗用_CNG,係数_乗用_軽油,係数_乗用_メタノール,係数_乗用_LPG),125,5,BE934),4,FALSE)))))</f>
        <v/>
      </c>
      <c r="AL934" s="461" t="str">
        <f t="shared" si="501"/>
        <v/>
      </c>
      <c r="AM934" s="460" t="str">
        <f>IF(AU934="","",IF(OR(AZ934=8,AZ934=9),0,IF(OR(AW934=3,AW934=4,AW934=5,AW934=6),IF(LEFT(BH934,1)="1",INDEX(係数_PM低減,MATCH(AY934,【参考】排出係数!$AI$801:$AI$804,1),MATCH(BI934,【参考】排出係数!$AL$798:$AO$798,1)),VLOOKUP(AU934,INDEX((係数_バス貨物_ガソリン,係数_バス貨物_CNG,係数_バス貨物_軽油,係数_バス貨物_メタノール,係数_バス貨物_LPG),MATCH(AY934,【参考】排出係数!$AI$4:$AI$671,1),1,BE934):INDEX((係数_バス貨物_ガソリン,係数_バス貨物_CNG,係数_バス貨物_軽油,係数_バス貨物_メタノール,係数_バス貨物_LPG),MATCH(AY934+1,【参考】排出係数!$AI$4:$AI$671,1)-1,5,BE934),5,FALSE)),IF(AND(BE934=3,LEFT(BF934,1)="1"),0.055,VLOOKUP(AU934,INDEX((係数_乗用_ガソリン,係数_乗用_CNG,係数_乗用_軽油,係数_乗用_メタノール,係数_乗用_LPG),1,1,BE934):INDEX((係数_乗用_ガソリン,係数_乗用_CNG,係数_乗用_軽油,係数_乗用_メタノール,係数_乗用_LPG),125,5,BE934),5,FALSE)))))</f>
        <v/>
      </c>
      <c r="AN934" s="461" t="str">
        <f t="shared" si="502"/>
        <v/>
      </c>
      <c r="AO934" s="462" t="str">
        <f t="shared" si="503"/>
        <v/>
      </c>
      <c r="AP934" s="463" t="str">
        <f t="shared" si="504"/>
        <v/>
      </c>
      <c r="AQ934" s="464"/>
      <c r="AR934" s="619"/>
      <c r="AS934" s="465" t="str">
        <f t="shared" si="512"/>
        <v/>
      </c>
      <c r="AT934" s="465" t="str">
        <f t="shared" si="513"/>
        <v/>
      </c>
      <c r="AU934" s="466" t="str">
        <f t="shared" si="514"/>
        <v/>
      </c>
      <c r="AV934" s="467" t="str">
        <f t="shared" si="515"/>
        <v/>
      </c>
      <c r="AW934" s="467" t="str">
        <f t="shared" si="516"/>
        <v/>
      </c>
      <c r="AX934" s="467" t="str">
        <f t="shared" si="517"/>
        <v/>
      </c>
      <c r="AY934" s="467" t="str">
        <f t="shared" si="518"/>
        <v/>
      </c>
      <c r="AZ934" s="467" t="str">
        <f t="shared" si="519"/>
        <v/>
      </c>
      <c r="BA934" s="468" t="str">
        <f>IF(AS934="","",IF(OR(AU934="",AU934="-"),"－",IF(OR(AZ934=8,AZ934=9),"",IF(OR(AW934=3,AW934=4,AW934=5,AW934=6),VLOOKUP(AU934,INDEX((係数_バス貨物_ガソリン,係数_バス貨物_CNG,係数_バス貨物_軽油,係数_バス貨物_メタノール,係数_バス貨物_LPG),MATCH(AY934,【参考】排出係数!$AI$4:$AI$671,1),1,BE934):INDEX((係数_バス貨物_ガソリン,係数_バス貨物_CNG,係数_バス貨物_軽油,係数_バス貨物_メタノール,係数_バス貨物_LPG),MATCH(AY934+1,【参考】排出係数!$AI$4:$AI$671,1)-1,5,BE934),2,FALSE),IF(OR(AW934=1,AW934=2),VLOOKUP(AU934,INDEX((係数_乗用_ガソリン,係数_乗用_CNG,係数_乗用_軽油,係数_乗用_メタノール,係数_乗用_LPG),1,1,BE934):INDEX((係数_乗用_ガソリン,係数_乗用_CNG,係数_乗用_軽油,係数_乗用_メタノール,係数_乗用_LPG),125,5,BE934),2,FALSE))))))</f>
        <v/>
      </c>
      <c r="BB934" s="468" t="str">
        <f>IF(T934="","",IF(OR(AU934="",AU934="-"),"－",IF(OR(AZ934=8,AZ934=9),"",IF(OR(AW934=3,AW934=4,AW934=5,AW934=6),VLOOKUP(AU934,INDEX((係数_バス貨物_ガソリン,係数_バス貨物_CNG,係数_バス貨物_軽油,係数_バス貨物_メタノール,係数_バス貨物_LPG),MATCH(AY934,【参考】排出係数!$AI$4:$AI$671,1),1,BE934):INDEX((係数_バス貨物_ガソリン,係数_バス貨物_CNG,係数_バス貨物_軽油,係数_バス貨物_メタノール,係数_バス貨物_LPG),MATCH(AY934+1,【参考】排出係数!$AI$4:$AI$671,1)-1,5,BE934),3,FALSE),IF(OR(AW934=1,AW934=2),VLOOKUP(AU934,INDEX((係数_乗用_ガソリン,係数_乗用_CNG,係数_乗用_軽油,係数_乗用_メタノール,係数_乗用_LPG),1,1,BE934):INDEX((係数_乗用_ガソリン,係数_乗用_CNG,係数_乗用_軽油,係数_乗用_メタノール,係数_乗用_LPG),125,5,BE934),3,FALSE))))))</f>
        <v/>
      </c>
      <c r="BC934" s="467" t="str">
        <f t="shared" si="520"/>
        <v/>
      </c>
      <c r="BD934" s="567" t="str">
        <f t="shared" si="521"/>
        <v/>
      </c>
      <c r="BE934" s="467" t="str">
        <f t="shared" si="522"/>
        <v/>
      </c>
      <c r="BF934" s="469" t="str">
        <f t="shared" ca="1" si="523"/>
        <v/>
      </c>
      <c r="BG934" s="469" t="str">
        <f t="shared" ca="1" si="524"/>
        <v/>
      </c>
      <c r="BH934" s="467" t="str">
        <f t="shared" si="525"/>
        <v/>
      </c>
      <c r="BI934" s="467" t="str">
        <f t="shared" ca="1" si="526"/>
        <v/>
      </c>
      <c r="BJ934" s="469" t="str">
        <f t="shared" si="527"/>
        <v/>
      </c>
      <c r="BK934" s="470" t="str">
        <f t="shared" si="511"/>
        <v/>
      </c>
      <c r="BL934" s="775" t="str">
        <f t="shared" si="528"/>
        <v/>
      </c>
      <c r="BM934" s="775" t="str">
        <f t="shared" si="529"/>
        <v/>
      </c>
    </row>
    <row r="935" spans="1:65">
      <c r="A935" s="473">
        <v>879</v>
      </c>
      <c r="B935" s="132"/>
      <c r="C935" s="332"/>
      <c r="D935" s="333"/>
      <c r="E935" s="333"/>
      <c r="F935" s="334"/>
      <c r="G935" s="337"/>
      <c r="H935" s="131"/>
      <c r="I935" s="337"/>
      <c r="J935" s="131"/>
      <c r="K935" s="458" t="str">
        <f t="shared" si="492"/>
        <v/>
      </c>
      <c r="L935" s="458">
        <f t="shared" si="493"/>
        <v>0</v>
      </c>
      <c r="M935" s="458">
        <f t="shared" si="494"/>
        <v>0</v>
      </c>
      <c r="N935" s="459" t="str">
        <f t="shared" si="505"/>
        <v/>
      </c>
      <c r="O935" s="459" t="str">
        <f t="shared" si="506"/>
        <v/>
      </c>
      <c r="P935" s="459" t="str">
        <f t="shared" si="507"/>
        <v/>
      </c>
      <c r="Q935" s="459" t="str">
        <f t="shared" si="508"/>
        <v/>
      </c>
      <c r="R935" s="459" t="str">
        <f t="shared" si="509"/>
        <v/>
      </c>
      <c r="S935" s="459" t="str">
        <f t="shared" si="510"/>
        <v/>
      </c>
      <c r="T935" s="566" t="str">
        <f t="shared" si="495"/>
        <v/>
      </c>
      <c r="U935" s="702"/>
      <c r="V935" s="132"/>
      <c r="W935" s="133"/>
      <c r="X935" s="134"/>
      <c r="Y935" s="135"/>
      <c r="Z935" s="137"/>
      <c r="AA935" s="136"/>
      <c r="AB935" s="566" t="str">
        <f t="shared" si="496"/>
        <v/>
      </c>
      <c r="AC935" s="568" t="str">
        <f t="shared" si="497"/>
        <v/>
      </c>
      <c r="AD935" s="137"/>
      <c r="AE935" s="137"/>
      <c r="AF935" s="138"/>
      <c r="AG935" s="138"/>
      <c r="AH935" s="592" t="str">
        <f t="shared" si="498"/>
        <v/>
      </c>
      <c r="AI935" s="592" t="str">
        <f t="shared" si="499"/>
        <v/>
      </c>
      <c r="AJ935" s="592" t="str">
        <f t="shared" si="500"/>
        <v/>
      </c>
      <c r="AK935" s="460" t="str">
        <f>IF(AU935="","",IF(OR(AZ935=8,AZ935=9),0,IF(OR(AW935=3,AW935=4,AW935=5,AW935=6),IF(LEFT(BF935,1)="1",INDEX(係数_NOX・PM低減,MATCH(AY935,【参考】排出係数!$AI$801:$AI$804,1),1),VLOOKUP(AU935,INDEX((係数_バス貨物_ガソリン,係数_バス貨物_CNG,係数_バス貨物_軽油,係数_バス貨物_メタノール,係数_バス貨物_LPG),MATCH(AY935,【参考】排出係数!$AI$4:$AI$671,1),1,BE935):INDEX((係数_バス貨物_ガソリン,係数_バス貨物_CNG,係数_バス貨物_軽油,係数_バス貨物_メタノール,係数_バス貨物_LPG),MATCH(AY935+1,【参考】排出係数!$AI$4:$AI$671,1)-1,5,BE935),4,FALSE)),IF(AND(BE935=3,LEFT(BF935,1)="1"),0.48,VLOOKUP(AU935,INDEX((係数_乗用_ガソリン,係数_乗用_CNG,係数_乗用_軽油,係数_乗用_メタノール,係数_乗用_LPG),1,1,BE935):INDEX((係数_乗用_ガソリン,係数_乗用_CNG,係数_乗用_軽油,係数_乗用_メタノール,係数_乗用_LPG),125,5,BE935),4,FALSE)))))</f>
        <v/>
      </c>
      <c r="AL935" s="461" t="str">
        <f t="shared" si="501"/>
        <v/>
      </c>
      <c r="AM935" s="460" t="str">
        <f>IF(AU935="","",IF(OR(AZ935=8,AZ935=9),0,IF(OR(AW935=3,AW935=4,AW935=5,AW935=6),IF(LEFT(BH935,1)="1",INDEX(係数_PM低減,MATCH(AY935,【参考】排出係数!$AI$801:$AI$804,1),MATCH(BI935,【参考】排出係数!$AL$798:$AO$798,1)),VLOOKUP(AU935,INDEX((係数_バス貨物_ガソリン,係数_バス貨物_CNG,係数_バス貨物_軽油,係数_バス貨物_メタノール,係数_バス貨物_LPG),MATCH(AY935,【参考】排出係数!$AI$4:$AI$671,1),1,BE935):INDEX((係数_バス貨物_ガソリン,係数_バス貨物_CNG,係数_バス貨物_軽油,係数_バス貨物_メタノール,係数_バス貨物_LPG),MATCH(AY935+1,【参考】排出係数!$AI$4:$AI$671,1)-1,5,BE935),5,FALSE)),IF(AND(BE935=3,LEFT(BF935,1)="1"),0.055,VLOOKUP(AU935,INDEX((係数_乗用_ガソリン,係数_乗用_CNG,係数_乗用_軽油,係数_乗用_メタノール,係数_乗用_LPG),1,1,BE935):INDEX((係数_乗用_ガソリン,係数_乗用_CNG,係数_乗用_軽油,係数_乗用_メタノール,係数_乗用_LPG),125,5,BE935),5,FALSE)))))</f>
        <v/>
      </c>
      <c r="AN935" s="461" t="str">
        <f t="shared" si="502"/>
        <v/>
      </c>
      <c r="AO935" s="462" t="str">
        <f t="shared" si="503"/>
        <v/>
      </c>
      <c r="AP935" s="463" t="str">
        <f t="shared" si="504"/>
        <v/>
      </c>
      <c r="AQ935" s="464"/>
      <c r="AR935" s="619"/>
      <c r="AS935" s="465" t="str">
        <f t="shared" si="512"/>
        <v/>
      </c>
      <c r="AT935" s="465" t="str">
        <f t="shared" si="513"/>
        <v/>
      </c>
      <c r="AU935" s="466" t="str">
        <f t="shared" si="514"/>
        <v/>
      </c>
      <c r="AV935" s="467" t="str">
        <f t="shared" si="515"/>
        <v/>
      </c>
      <c r="AW935" s="467" t="str">
        <f t="shared" si="516"/>
        <v/>
      </c>
      <c r="AX935" s="467" t="str">
        <f t="shared" si="517"/>
        <v/>
      </c>
      <c r="AY935" s="467" t="str">
        <f t="shared" si="518"/>
        <v/>
      </c>
      <c r="AZ935" s="467" t="str">
        <f t="shared" si="519"/>
        <v/>
      </c>
      <c r="BA935" s="468" t="str">
        <f>IF(AS935="","",IF(OR(AU935="",AU935="-"),"－",IF(OR(AZ935=8,AZ935=9),"",IF(OR(AW935=3,AW935=4,AW935=5,AW935=6),VLOOKUP(AU935,INDEX((係数_バス貨物_ガソリン,係数_バス貨物_CNG,係数_バス貨物_軽油,係数_バス貨物_メタノール,係数_バス貨物_LPG),MATCH(AY935,【参考】排出係数!$AI$4:$AI$671,1),1,BE935):INDEX((係数_バス貨物_ガソリン,係数_バス貨物_CNG,係数_バス貨物_軽油,係数_バス貨物_メタノール,係数_バス貨物_LPG),MATCH(AY935+1,【参考】排出係数!$AI$4:$AI$671,1)-1,5,BE935),2,FALSE),IF(OR(AW935=1,AW935=2),VLOOKUP(AU935,INDEX((係数_乗用_ガソリン,係数_乗用_CNG,係数_乗用_軽油,係数_乗用_メタノール,係数_乗用_LPG),1,1,BE935):INDEX((係数_乗用_ガソリン,係数_乗用_CNG,係数_乗用_軽油,係数_乗用_メタノール,係数_乗用_LPG),125,5,BE935),2,FALSE))))))</f>
        <v/>
      </c>
      <c r="BB935" s="468" t="str">
        <f>IF(T935="","",IF(OR(AU935="",AU935="-"),"－",IF(OR(AZ935=8,AZ935=9),"",IF(OR(AW935=3,AW935=4,AW935=5,AW935=6),VLOOKUP(AU935,INDEX((係数_バス貨物_ガソリン,係数_バス貨物_CNG,係数_バス貨物_軽油,係数_バス貨物_メタノール,係数_バス貨物_LPG),MATCH(AY935,【参考】排出係数!$AI$4:$AI$671,1),1,BE935):INDEX((係数_バス貨物_ガソリン,係数_バス貨物_CNG,係数_バス貨物_軽油,係数_バス貨物_メタノール,係数_バス貨物_LPG),MATCH(AY935+1,【参考】排出係数!$AI$4:$AI$671,1)-1,5,BE935),3,FALSE),IF(OR(AW935=1,AW935=2),VLOOKUP(AU935,INDEX((係数_乗用_ガソリン,係数_乗用_CNG,係数_乗用_軽油,係数_乗用_メタノール,係数_乗用_LPG),1,1,BE935):INDEX((係数_乗用_ガソリン,係数_乗用_CNG,係数_乗用_軽油,係数_乗用_メタノール,係数_乗用_LPG),125,5,BE935),3,FALSE))))))</f>
        <v/>
      </c>
      <c r="BC935" s="467" t="str">
        <f t="shared" si="520"/>
        <v/>
      </c>
      <c r="BD935" s="567" t="str">
        <f t="shared" si="521"/>
        <v/>
      </c>
      <c r="BE935" s="467" t="str">
        <f t="shared" si="522"/>
        <v/>
      </c>
      <c r="BF935" s="469" t="str">
        <f t="shared" ca="1" si="523"/>
        <v/>
      </c>
      <c r="BG935" s="469" t="str">
        <f t="shared" ca="1" si="524"/>
        <v/>
      </c>
      <c r="BH935" s="467" t="str">
        <f t="shared" si="525"/>
        <v/>
      </c>
      <c r="BI935" s="467" t="str">
        <f t="shared" ca="1" si="526"/>
        <v/>
      </c>
      <c r="BJ935" s="469" t="str">
        <f t="shared" si="527"/>
        <v/>
      </c>
      <c r="BK935" s="470" t="str">
        <f t="shared" si="511"/>
        <v/>
      </c>
      <c r="BL935" s="775" t="str">
        <f t="shared" si="528"/>
        <v/>
      </c>
      <c r="BM935" s="775" t="str">
        <f t="shared" si="529"/>
        <v/>
      </c>
    </row>
    <row r="936" spans="1:65">
      <c r="A936" s="473">
        <v>880</v>
      </c>
      <c r="B936" s="132"/>
      <c r="C936" s="332"/>
      <c r="D936" s="333"/>
      <c r="E936" s="333"/>
      <c r="F936" s="334"/>
      <c r="G936" s="337"/>
      <c r="H936" s="131"/>
      <c r="I936" s="337"/>
      <c r="J936" s="131"/>
      <c r="K936" s="458" t="str">
        <f t="shared" si="492"/>
        <v/>
      </c>
      <c r="L936" s="458">
        <f t="shared" si="493"/>
        <v>0</v>
      </c>
      <c r="M936" s="458">
        <f t="shared" si="494"/>
        <v>0</v>
      </c>
      <c r="N936" s="459" t="str">
        <f t="shared" si="505"/>
        <v/>
      </c>
      <c r="O936" s="459" t="str">
        <f t="shared" si="506"/>
        <v/>
      </c>
      <c r="P936" s="459" t="str">
        <f t="shared" si="507"/>
        <v/>
      </c>
      <c r="Q936" s="459" t="str">
        <f t="shared" si="508"/>
        <v/>
      </c>
      <c r="R936" s="459" t="str">
        <f t="shared" si="509"/>
        <v/>
      </c>
      <c r="S936" s="459" t="str">
        <f t="shared" si="510"/>
        <v/>
      </c>
      <c r="T936" s="566" t="str">
        <f t="shared" si="495"/>
        <v/>
      </c>
      <c r="U936" s="702"/>
      <c r="V936" s="132"/>
      <c r="W936" s="133"/>
      <c r="X936" s="134"/>
      <c r="Y936" s="135"/>
      <c r="Z936" s="137"/>
      <c r="AA936" s="136"/>
      <c r="AB936" s="566" t="str">
        <f t="shared" si="496"/>
        <v/>
      </c>
      <c r="AC936" s="568" t="str">
        <f t="shared" si="497"/>
        <v/>
      </c>
      <c r="AD936" s="137"/>
      <c r="AE936" s="137"/>
      <c r="AF936" s="138"/>
      <c r="AG936" s="138"/>
      <c r="AH936" s="592" t="str">
        <f t="shared" si="498"/>
        <v/>
      </c>
      <c r="AI936" s="592" t="str">
        <f t="shared" si="499"/>
        <v/>
      </c>
      <c r="AJ936" s="592" t="str">
        <f t="shared" si="500"/>
        <v/>
      </c>
      <c r="AK936" s="460" t="str">
        <f>IF(AU936="","",IF(OR(AZ936=8,AZ936=9),0,IF(OR(AW936=3,AW936=4,AW936=5,AW936=6),IF(LEFT(BF936,1)="1",INDEX(係数_NOX・PM低減,MATCH(AY936,【参考】排出係数!$AI$801:$AI$804,1),1),VLOOKUP(AU936,INDEX((係数_バス貨物_ガソリン,係数_バス貨物_CNG,係数_バス貨物_軽油,係数_バス貨物_メタノール,係数_バス貨物_LPG),MATCH(AY936,【参考】排出係数!$AI$4:$AI$671,1),1,BE936):INDEX((係数_バス貨物_ガソリン,係数_バス貨物_CNG,係数_バス貨物_軽油,係数_バス貨物_メタノール,係数_バス貨物_LPG),MATCH(AY936+1,【参考】排出係数!$AI$4:$AI$671,1)-1,5,BE936),4,FALSE)),IF(AND(BE936=3,LEFT(BF936,1)="1"),0.48,VLOOKUP(AU936,INDEX((係数_乗用_ガソリン,係数_乗用_CNG,係数_乗用_軽油,係数_乗用_メタノール,係数_乗用_LPG),1,1,BE936):INDEX((係数_乗用_ガソリン,係数_乗用_CNG,係数_乗用_軽油,係数_乗用_メタノール,係数_乗用_LPG),125,5,BE936),4,FALSE)))))</f>
        <v/>
      </c>
      <c r="AL936" s="461" t="str">
        <f t="shared" si="501"/>
        <v/>
      </c>
      <c r="AM936" s="460" t="str">
        <f>IF(AU936="","",IF(OR(AZ936=8,AZ936=9),0,IF(OR(AW936=3,AW936=4,AW936=5,AW936=6),IF(LEFT(BH936,1)="1",INDEX(係数_PM低減,MATCH(AY936,【参考】排出係数!$AI$801:$AI$804,1),MATCH(BI936,【参考】排出係数!$AL$798:$AO$798,1)),VLOOKUP(AU936,INDEX((係数_バス貨物_ガソリン,係数_バス貨物_CNG,係数_バス貨物_軽油,係数_バス貨物_メタノール,係数_バス貨物_LPG),MATCH(AY936,【参考】排出係数!$AI$4:$AI$671,1),1,BE936):INDEX((係数_バス貨物_ガソリン,係数_バス貨物_CNG,係数_バス貨物_軽油,係数_バス貨物_メタノール,係数_バス貨物_LPG),MATCH(AY936+1,【参考】排出係数!$AI$4:$AI$671,1)-1,5,BE936),5,FALSE)),IF(AND(BE936=3,LEFT(BF936,1)="1"),0.055,VLOOKUP(AU936,INDEX((係数_乗用_ガソリン,係数_乗用_CNG,係数_乗用_軽油,係数_乗用_メタノール,係数_乗用_LPG),1,1,BE936):INDEX((係数_乗用_ガソリン,係数_乗用_CNG,係数_乗用_軽油,係数_乗用_メタノール,係数_乗用_LPG),125,5,BE936),5,FALSE)))))</f>
        <v/>
      </c>
      <c r="AN936" s="461" t="str">
        <f t="shared" si="502"/>
        <v/>
      </c>
      <c r="AO936" s="462" t="str">
        <f t="shared" si="503"/>
        <v/>
      </c>
      <c r="AP936" s="463" t="str">
        <f t="shared" si="504"/>
        <v/>
      </c>
      <c r="AQ936" s="464"/>
      <c r="AR936" s="619"/>
      <c r="AS936" s="465" t="str">
        <f t="shared" si="512"/>
        <v/>
      </c>
      <c r="AT936" s="465" t="str">
        <f t="shared" si="513"/>
        <v/>
      </c>
      <c r="AU936" s="466" t="str">
        <f t="shared" si="514"/>
        <v/>
      </c>
      <c r="AV936" s="467" t="str">
        <f t="shared" si="515"/>
        <v/>
      </c>
      <c r="AW936" s="467" t="str">
        <f t="shared" si="516"/>
        <v/>
      </c>
      <c r="AX936" s="467" t="str">
        <f t="shared" si="517"/>
        <v/>
      </c>
      <c r="AY936" s="467" t="str">
        <f t="shared" si="518"/>
        <v/>
      </c>
      <c r="AZ936" s="467" t="str">
        <f t="shared" si="519"/>
        <v/>
      </c>
      <c r="BA936" s="468" t="str">
        <f>IF(AS936="","",IF(OR(AU936="",AU936="-"),"－",IF(OR(AZ936=8,AZ936=9),"",IF(OR(AW936=3,AW936=4,AW936=5,AW936=6),VLOOKUP(AU936,INDEX((係数_バス貨物_ガソリン,係数_バス貨物_CNG,係数_バス貨物_軽油,係数_バス貨物_メタノール,係数_バス貨物_LPG),MATCH(AY936,【参考】排出係数!$AI$4:$AI$671,1),1,BE936):INDEX((係数_バス貨物_ガソリン,係数_バス貨物_CNG,係数_バス貨物_軽油,係数_バス貨物_メタノール,係数_バス貨物_LPG),MATCH(AY936+1,【参考】排出係数!$AI$4:$AI$671,1)-1,5,BE936),2,FALSE),IF(OR(AW936=1,AW936=2),VLOOKUP(AU936,INDEX((係数_乗用_ガソリン,係数_乗用_CNG,係数_乗用_軽油,係数_乗用_メタノール,係数_乗用_LPG),1,1,BE936):INDEX((係数_乗用_ガソリン,係数_乗用_CNG,係数_乗用_軽油,係数_乗用_メタノール,係数_乗用_LPG),125,5,BE936),2,FALSE))))))</f>
        <v/>
      </c>
      <c r="BB936" s="468" t="str">
        <f>IF(T936="","",IF(OR(AU936="",AU936="-"),"－",IF(OR(AZ936=8,AZ936=9),"",IF(OR(AW936=3,AW936=4,AW936=5,AW936=6),VLOOKUP(AU936,INDEX((係数_バス貨物_ガソリン,係数_バス貨物_CNG,係数_バス貨物_軽油,係数_バス貨物_メタノール,係数_バス貨物_LPG),MATCH(AY936,【参考】排出係数!$AI$4:$AI$671,1),1,BE936):INDEX((係数_バス貨物_ガソリン,係数_バス貨物_CNG,係数_バス貨物_軽油,係数_バス貨物_メタノール,係数_バス貨物_LPG),MATCH(AY936+1,【参考】排出係数!$AI$4:$AI$671,1)-1,5,BE936),3,FALSE),IF(OR(AW936=1,AW936=2),VLOOKUP(AU936,INDEX((係数_乗用_ガソリン,係数_乗用_CNG,係数_乗用_軽油,係数_乗用_メタノール,係数_乗用_LPG),1,1,BE936):INDEX((係数_乗用_ガソリン,係数_乗用_CNG,係数_乗用_軽油,係数_乗用_メタノール,係数_乗用_LPG),125,5,BE936),3,FALSE))))))</f>
        <v/>
      </c>
      <c r="BC936" s="467" t="str">
        <f t="shared" si="520"/>
        <v/>
      </c>
      <c r="BD936" s="567" t="str">
        <f t="shared" si="521"/>
        <v/>
      </c>
      <c r="BE936" s="467" t="str">
        <f t="shared" si="522"/>
        <v/>
      </c>
      <c r="BF936" s="469" t="str">
        <f t="shared" ca="1" si="523"/>
        <v/>
      </c>
      <c r="BG936" s="469" t="str">
        <f t="shared" ca="1" si="524"/>
        <v/>
      </c>
      <c r="BH936" s="467" t="str">
        <f t="shared" si="525"/>
        <v/>
      </c>
      <c r="BI936" s="467" t="str">
        <f t="shared" ca="1" si="526"/>
        <v/>
      </c>
      <c r="BJ936" s="469" t="str">
        <f t="shared" si="527"/>
        <v/>
      </c>
      <c r="BK936" s="470" t="str">
        <f t="shared" si="511"/>
        <v/>
      </c>
      <c r="BL936" s="775" t="str">
        <f t="shared" si="528"/>
        <v/>
      </c>
      <c r="BM936" s="775" t="str">
        <f t="shared" si="529"/>
        <v/>
      </c>
    </row>
    <row r="937" spans="1:65">
      <c r="A937" s="473">
        <v>881</v>
      </c>
      <c r="B937" s="132"/>
      <c r="C937" s="332"/>
      <c r="D937" s="333"/>
      <c r="E937" s="333"/>
      <c r="F937" s="334"/>
      <c r="G937" s="337"/>
      <c r="H937" s="131"/>
      <c r="I937" s="337"/>
      <c r="J937" s="131"/>
      <c r="K937" s="458" t="str">
        <f t="shared" si="492"/>
        <v/>
      </c>
      <c r="L937" s="458">
        <f t="shared" si="493"/>
        <v>0</v>
      </c>
      <c r="M937" s="458">
        <f t="shared" si="494"/>
        <v>0</v>
      </c>
      <c r="N937" s="459" t="str">
        <f t="shared" si="505"/>
        <v/>
      </c>
      <c r="O937" s="459" t="str">
        <f t="shared" si="506"/>
        <v/>
      </c>
      <c r="P937" s="459" t="str">
        <f t="shared" si="507"/>
        <v/>
      </c>
      <c r="Q937" s="459" t="str">
        <f t="shared" si="508"/>
        <v/>
      </c>
      <c r="R937" s="459" t="str">
        <f t="shared" si="509"/>
        <v/>
      </c>
      <c r="S937" s="459" t="str">
        <f t="shared" si="510"/>
        <v/>
      </c>
      <c r="T937" s="566" t="str">
        <f t="shared" si="495"/>
        <v/>
      </c>
      <c r="U937" s="702"/>
      <c r="V937" s="132"/>
      <c r="W937" s="133"/>
      <c r="X937" s="134"/>
      <c r="Y937" s="135"/>
      <c r="Z937" s="137"/>
      <c r="AA937" s="136"/>
      <c r="AB937" s="566" t="str">
        <f t="shared" si="496"/>
        <v/>
      </c>
      <c r="AC937" s="568" t="str">
        <f t="shared" si="497"/>
        <v/>
      </c>
      <c r="AD937" s="137"/>
      <c r="AE937" s="137"/>
      <c r="AF937" s="138"/>
      <c r="AG937" s="138"/>
      <c r="AH937" s="592" t="str">
        <f t="shared" si="498"/>
        <v/>
      </c>
      <c r="AI937" s="592" t="str">
        <f t="shared" si="499"/>
        <v/>
      </c>
      <c r="AJ937" s="592" t="str">
        <f t="shared" si="500"/>
        <v/>
      </c>
      <c r="AK937" s="460" t="str">
        <f>IF(AU937="","",IF(OR(AZ937=8,AZ937=9),0,IF(OR(AW937=3,AW937=4,AW937=5,AW937=6),IF(LEFT(BF937,1)="1",INDEX(係数_NOX・PM低減,MATCH(AY937,【参考】排出係数!$AI$801:$AI$804,1),1),VLOOKUP(AU937,INDEX((係数_バス貨物_ガソリン,係数_バス貨物_CNG,係数_バス貨物_軽油,係数_バス貨物_メタノール,係数_バス貨物_LPG),MATCH(AY937,【参考】排出係数!$AI$4:$AI$671,1),1,BE937):INDEX((係数_バス貨物_ガソリン,係数_バス貨物_CNG,係数_バス貨物_軽油,係数_バス貨物_メタノール,係数_バス貨物_LPG),MATCH(AY937+1,【参考】排出係数!$AI$4:$AI$671,1)-1,5,BE937),4,FALSE)),IF(AND(BE937=3,LEFT(BF937,1)="1"),0.48,VLOOKUP(AU937,INDEX((係数_乗用_ガソリン,係数_乗用_CNG,係数_乗用_軽油,係数_乗用_メタノール,係数_乗用_LPG),1,1,BE937):INDEX((係数_乗用_ガソリン,係数_乗用_CNG,係数_乗用_軽油,係数_乗用_メタノール,係数_乗用_LPG),125,5,BE937),4,FALSE)))))</f>
        <v/>
      </c>
      <c r="AL937" s="461" t="str">
        <f t="shared" si="501"/>
        <v/>
      </c>
      <c r="AM937" s="460" t="str">
        <f>IF(AU937="","",IF(OR(AZ937=8,AZ937=9),0,IF(OR(AW937=3,AW937=4,AW937=5,AW937=6),IF(LEFT(BH937,1)="1",INDEX(係数_PM低減,MATCH(AY937,【参考】排出係数!$AI$801:$AI$804,1),MATCH(BI937,【参考】排出係数!$AL$798:$AO$798,1)),VLOOKUP(AU937,INDEX((係数_バス貨物_ガソリン,係数_バス貨物_CNG,係数_バス貨物_軽油,係数_バス貨物_メタノール,係数_バス貨物_LPG),MATCH(AY937,【参考】排出係数!$AI$4:$AI$671,1),1,BE937):INDEX((係数_バス貨物_ガソリン,係数_バス貨物_CNG,係数_バス貨物_軽油,係数_バス貨物_メタノール,係数_バス貨物_LPG),MATCH(AY937+1,【参考】排出係数!$AI$4:$AI$671,1)-1,5,BE937),5,FALSE)),IF(AND(BE937=3,LEFT(BF937,1)="1"),0.055,VLOOKUP(AU937,INDEX((係数_乗用_ガソリン,係数_乗用_CNG,係数_乗用_軽油,係数_乗用_メタノール,係数_乗用_LPG),1,1,BE937):INDEX((係数_乗用_ガソリン,係数_乗用_CNG,係数_乗用_軽油,係数_乗用_メタノール,係数_乗用_LPG),125,5,BE937),5,FALSE)))))</f>
        <v/>
      </c>
      <c r="AN937" s="461" t="str">
        <f t="shared" si="502"/>
        <v/>
      </c>
      <c r="AO937" s="462" t="str">
        <f t="shared" si="503"/>
        <v/>
      </c>
      <c r="AP937" s="463" t="str">
        <f t="shared" si="504"/>
        <v/>
      </c>
      <c r="AQ937" s="464"/>
      <c r="AR937" s="619"/>
      <c r="AS937" s="465" t="str">
        <f t="shared" si="512"/>
        <v/>
      </c>
      <c r="AT937" s="465" t="str">
        <f t="shared" si="513"/>
        <v/>
      </c>
      <c r="AU937" s="466" t="str">
        <f t="shared" si="514"/>
        <v/>
      </c>
      <c r="AV937" s="467" t="str">
        <f t="shared" si="515"/>
        <v/>
      </c>
      <c r="AW937" s="467" t="str">
        <f t="shared" si="516"/>
        <v/>
      </c>
      <c r="AX937" s="467" t="str">
        <f t="shared" si="517"/>
        <v/>
      </c>
      <c r="AY937" s="467" t="str">
        <f t="shared" si="518"/>
        <v/>
      </c>
      <c r="AZ937" s="467" t="str">
        <f t="shared" si="519"/>
        <v/>
      </c>
      <c r="BA937" s="468" t="str">
        <f>IF(AS937="","",IF(OR(AU937="",AU937="-"),"－",IF(OR(AZ937=8,AZ937=9),"",IF(OR(AW937=3,AW937=4,AW937=5,AW937=6),VLOOKUP(AU937,INDEX((係数_バス貨物_ガソリン,係数_バス貨物_CNG,係数_バス貨物_軽油,係数_バス貨物_メタノール,係数_バス貨物_LPG),MATCH(AY937,【参考】排出係数!$AI$4:$AI$671,1),1,BE937):INDEX((係数_バス貨物_ガソリン,係数_バス貨物_CNG,係数_バス貨物_軽油,係数_バス貨物_メタノール,係数_バス貨物_LPG),MATCH(AY937+1,【参考】排出係数!$AI$4:$AI$671,1)-1,5,BE937),2,FALSE),IF(OR(AW937=1,AW937=2),VLOOKUP(AU937,INDEX((係数_乗用_ガソリン,係数_乗用_CNG,係数_乗用_軽油,係数_乗用_メタノール,係数_乗用_LPG),1,1,BE937):INDEX((係数_乗用_ガソリン,係数_乗用_CNG,係数_乗用_軽油,係数_乗用_メタノール,係数_乗用_LPG),125,5,BE937),2,FALSE))))))</f>
        <v/>
      </c>
      <c r="BB937" s="468" t="str">
        <f>IF(T937="","",IF(OR(AU937="",AU937="-"),"－",IF(OR(AZ937=8,AZ937=9),"",IF(OR(AW937=3,AW937=4,AW937=5,AW937=6),VLOOKUP(AU937,INDEX((係数_バス貨物_ガソリン,係数_バス貨物_CNG,係数_バス貨物_軽油,係数_バス貨物_メタノール,係数_バス貨物_LPG),MATCH(AY937,【参考】排出係数!$AI$4:$AI$671,1),1,BE937):INDEX((係数_バス貨物_ガソリン,係数_バス貨物_CNG,係数_バス貨物_軽油,係数_バス貨物_メタノール,係数_バス貨物_LPG),MATCH(AY937+1,【参考】排出係数!$AI$4:$AI$671,1)-1,5,BE937),3,FALSE),IF(OR(AW937=1,AW937=2),VLOOKUP(AU937,INDEX((係数_乗用_ガソリン,係数_乗用_CNG,係数_乗用_軽油,係数_乗用_メタノール,係数_乗用_LPG),1,1,BE937):INDEX((係数_乗用_ガソリン,係数_乗用_CNG,係数_乗用_軽油,係数_乗用_メタノール,係数_乗用_LPG),125,5,BE937),3,FALSE))))))</f>
        <v/>
      </c>
      <c r="BC937" s="467" t="str">
        <f t="shared" si="520"/>
        <v/>
      </c>
      <c r="BD937" s="567" t="str">
        <f t="shared" si="521"/>
        <v/>
      </c>
      <c r="BE937" s="467" t="str">
        <f t="shared" si="522"/>
        <v/>
      </c>
      <c r="BF937" s="469" t="str">
        <f t="shared" ca="1" si="523"/>
        <v/>
      </c>
      <c r="BG937" s="469" t="str">
        <f t="shared" ca="1" si="524"/>
        <v/>
      </c>
      <c r="BH937" s="467" t="str">
        <f t="shared" si="525"/>
        <v/>
      </c>
      <c r="BI937" s="467" t="str">
        <f t="shared" ca="1" si="526"/>
        <v/>
      </c>
      <c r="BJ937" s="469" t="str">
        <f t="shared" si="527"/>
        <v/>
      </c>
      <c r="BK937" s="470" t="str">
        <f t="shared" si="511"/>
        <v/>
      </c>
      <c r="BL937" s="775" t="str">
        <f t="shared" si="528"/>
        <v/>
      </c>
      <c r="BM937" s="775" t="str">
        <f t="shared" si="529"/>
        <v/>
      </c>
    </row>
    <row r="938" spans="1:65">
      <c r="A938" s="473">
        <v>882</v>
      </c>
      <c r="B938" s="132"/>
      <c r="C938" s="332"/>
      <c r="D938" s="333"/>
      <c r="E938" s="333"/>
      <c r="F938" s="334"/>
      <c r="G938" s="337"/>
      <c r="H938" s="131"/>
      <c r="I938" s="337"/>
      <c r="J938" s="131"/>
      <c r="K938" s="458" t="str">
        <f t="shared" si="492"/>
        <v/>
      </c>
      <c r="L938" s="458">
        <f t="shared" si="493"/>
        <v>0</v>
      </c>
      <c r="M938" s="458">
        <f t="shared" si="494"/>
        <v>0</v>
      </c>
      <c r="N938" s="459" t="str">
        <f t="shared" si="505"/>
        <v/>
      </c>
      <c r="O938" s="459" t="str">
        <f t="shared" si="506"/>
        <v/>
      </c>
      <c r="P938" s="459" t="str">
        <f t="shared" si="507"/>
        <v/>
      </c>
      <c r="Q938" s="459" t="str">
        <f t="shared" si="508"/>
        <v/>
      </c>
      <c r="R938" s="459" t="str">
        <f t="shared" si="509"/>
        <v/>
      </c>
      <c r="S938" s="459" t="str">
        <f t="shared" si="510"/>
        <v/>
      </c>
      <c r="T938" s="566" t="str">
        <f t="shared" si="495"/>
        <v/>
      </c>
      <c r="U938" s="702"/>
      <c r="V938" s="132"/>
      <c r="W938" s="133"/>
      <c r="X938" s="134"/>
      <c r="Y938" s="135"/>
      <c r="Z938" s="137"/>
      <c r="AA938" s="136"/>
      <c r="AB938" s="566" t="str">
        <f t="shared" si="496"/>
        <v/>
      </c>
      <c r="AC938" s="568" t="str">
        <f t="shared" si="497"/>
        <v/>
      </c>
      <c r="AD938" s="137"/>
      <c r="AE938" s="137"/>
      <c r="AF938" s="138"/>
      <c r="AG938" s="138"/>
      <c r="AH938" s="592" t="str">
        <f t="shared" si="498"/>
        <v/>
      </c>
      <c r="AI938" s="592" t="str">
        <f t="shared" si="499"/>
        <v/>
      </c>
      <c r="AJ938" s="592" t="str">
        <f t="shared" si="500"/>
        <v/>
      </c>
      <c r="AK938" s="460" t="str">
        <f>IF(AU938="","",IF(OR(AZ938=8,AZ938=9),0,IF(OR(AW938=3,AW938=4,AW938=5,AW938=6),IF(LEFT(BF938,1)="1",INDEX(係数_NOX・PM低減,MATCH(AY938,【参考】排出係数!$AI$801:$AI$804,1),1),VLOOKUP(AU938,INDEX((係数_バス貨物_ガソリン,係数_バス貨物_CNG,係数_バス貨物_軽油,係数_バス貨物_メタノール,係数_バス貨物_LPG),MATCH(AY938,【参考】排出係数!$AI$4:$AI$671,1),1,BE938):INDEX((係数_バス貨物_ガソリン,係数_バス貨物_CNG,係数_バス貨物_軽油,係数_バス貨物_メタノール,係数_バス貨物_LPG),MATCH(AY938+1,【参考】排出係数!$AI$4:$AI$671,1)-1,5,BE938),4,FALSE)),IF(AND(BE938=3,LEFT(BF938,1)="1"),0.48,VLOOKUP(AU938,INDEX((係数_乗用_ガソリン,係数_乗用_CNG,係数_乗用_軽油,係数_乗用_メタノール,係数_乗用_LPG),1,1,BE938):INDEX((係数_乗用_ガソリン,係数_乗用_CNG,係数_乗用_軽油,係数_乗用_メタノール,係数_乗用_LPG),125,5,BE938),4,FALSE)))))</f>
        <v/>
      </c>
      <c r="AL938" s="461" t="str">
        <f t="shared" si="501"/>
        <v/>
      </c>
      <c r="AM938" s="460" t="str">
        <f>IF(AU938="","",IF(OR(AZ938=8,AZ938=9),0,IF(OR(AW938=3,AW938=4,AW938=5,AW938=6),IF(LEFT(BH938,1)="1",INDEX(係数_PM低減,MATCH(AY938,【参考】排出係数!$AI$801:$AI$804,1),MATCH(BI938,【参考】排出係数!$AL$798:$AO$798,1)),VLOOKUP(AU938,INDEX((係数_バス貨物_ガソリン,係数_バス貨物_CNG,係数_バス貨物_軽油,係数_バス貨物_メタノール,係数_バス貨物_LPG),MATCH(AY938,【参考】排出係数!$AI$4:$AI$671,1),1,BE938):INDEX((係数_バス貨物_ガソリン,係数_バス貨物_CNG,係数_バス貨物_軽油,係数_バス貨物_メタノール,係数_バス貨物_LPG),MATCH(AY938+1,【参考】排出係数!$AI$4:$AI$671,1)-1,5,BE938),5,FALSE)),IF(AND(BE938=3,LEFT(BF938,1)="1"),0.055,VLOOKUP(AU938,INDEX((係数_乗用_ガソリン,係数_乗用_CNG,係数_乗用_軽油,係数_乗用_メタノール,係数_乗用_LPG),1,1,BE938):INDEX((係数_乗用_ガソリン,係数_乗用_CNG,係数_乗用_軽油,係数_乗用_メタノール,係数_乗用_LPG),125,5,BE938),5,FALSE)))))</f>
        <v/>
      </c>
      <c r="AN938" s="461" t="str">
        <f t="shared" si="502"/>
        <v/>
      </c>
      <c r="AO938" s="462" t="str">
        <f t="shared" si="503"/>
        <v/>
      </c>
      <c r="AP938" s="463" t="str">
        <f t="shared" si="504"/>
        <v/>
      </c>
      <c r="AQ938" s="464"/>
      <c r="AR938" s="619"/>
      <c r="AS938" s="465" t="str">
        <f t="shared" si="512"/>
        <v/>
      </c>
      <c r="AT938" s="465" t="str">
        <f t="shared" si="513"/>
        <v/>
      </c>
      <c r="AU938" s="466" t="str">
        <f t="shared" si="514"/>
        <v/>
      </c>
      <c r="AV938" s="467" t="str">
        <f t="shared" si="515"/>
        <v/>
      </c>
      <c r="AW938" s="467" t="str">
        <f t="shared" si="516"/>
        <v/>
      </c>
      <c r="AX938" s="467" t="str">
        <f t="shared" si="517"/>
        <v/>
      </c>
      <c r="AY938" s="467" t="str">
        <f t="shared" si="518"/>
        <v/>
      </c>
      <c r="AZ938" s="467" t="str">
        <f t="shared" si="519"/>
        <v/>
      </c>
      <c r="BA938" s="468" t="str">
        <f>IF(AS938="","",IF(OR(AU938="",AU938="-"),"－",IF(OR(AZ938=8,AZ938=9),"",IF(OR(AW938=3,AW938=4,AW938=5,AW938=6),VLOOKUP(AU938,INDEX((係数_バス貨物_ガソリン,係数_バス貨物_CNG,係数_バス貨物_軽油,係数_バス貨物_メタノール,係数_バス貨物_LPG),MATCH(AY938,【参考】排出係数!$AI$4:$AI$671,1),1,BE938):INDEX((係数_バス貨物_ガソリン,係数_バス貨物_CNG,係数_バス貨物_軽油,係数_バス貨物_メタノール,係数_バス貨物_LPG),MATCH(AY938+1,【参考】排出係数!$AI$4:$AI$671,1)-1,5,BE938),2,FALSE),IF(OR(AW938=1,AW938=2),VLOOKUP(AU938,INDEX((係数_乗用_ガソリン,係数_乗用_CNG,係数_乗用_軽油,係数_乗用_メタノール,係数_乗用_LPG),1,1,BE938):INDEX((係数_乗用_ガソリン,係数_乗用_CNG,係数_乗用_軽油,係数_乗用_メタノール,係数_乗用_LPG),125,5,BE938),2,FALSE))))))</f>
        <v/>
      </c>
      <c r="BB938" s="468" t="str">
        <f>IF(T938="","",IF(OR(AU938="",AU938="-"),"－",IF(OR(AZ938=8,AZ938=9),"",IF(OR(AW938=3,AW938=4,AW938=5,AW938=6),VLOOKUP(AU938,INDEX((係数_バス貨物_ガソリン,係数_バス貨物_CNG,係数_バス貨物_軽油,係数_バス貨物_メタノール,係数_バス貨物_LPG),MATCH(AY938,【参考】排出係数!$AI$4:$AI$671,1),1,BE938):INDEX((係数_バス貨物_ガソリン,係数_バス貨物_CNG,係数_バス貨物_軽油,係数_バス貨物_メタノール,係数_バス貨物_LPG),MATCH(AY938+1,【参考】排出係数!$AI$4:$AI$671,1)-1,5,BE938),3,FALSE),IF(OR(AW938=1,AW938=2),VLOOKUP(AU938,INDEX((係数_乗用_ガソリン,係数_乗用_CNG,係数_乗用_軽油,係数_乗用_メタノール,係数_乗用_LPG),1,1,BE938):INDEX((係数_乗用_ガソリン,係数_乗用_CNG,係数_乗用_軽油,係数_乗用_メタノール,係数_乗用_LPG),125,5,BE938),3,FALSE))))))</f>
        <v/>
      </c>
      <c r="BC938" s="467" t="str">
        <f t="shared" si="520"/>
        <v/>
      </c>
      <c r="BD938" s="567" t="str">
        <f t="shared" si="521"/>
        <v/>
      </c>
      <c r="BE938" s="467" t="str">
        <f t="shared" si="522"/>
        <v/>
      </c>
      <c r="BF938" s="469" t="str">
        <f t="shared" ca="1" si="523"/>
        <v/>
      </c>
      <c r="BG938" s="469" t="str">
        <f t="shared" ca="1" si="524"/>
        <v/>
      </c>
      <c r="BH938" s="467" t="str">
        <f t="shared" si="525"/>
        <v/>
      </c>
      <c r="BI938" s="467" t="str">
        <f t="shared" ca="1" si="526"/>
        <v/>
      </c>
      <c r="BJ938" s="469" t="str">
        <f t="shared" si="527"/>
        <v/>
      </c>
      <c r="BK938" s="470" t="str">
        <f t="shared" si="511"/>
        <v/>
      </c>
      <c r="BL938" s="775" t="str">
        <f t="shared" si="528"/>
        <v/>
      </c>
      <c r="BM938" s="775" t="str">
        <f t="shared" si="529"/>
        <v/>
      </c>
    </row>
    <row r="939" spans="1:65">
      <c r="A939" s="473">
        <v>883</v>
      </c>
      <c r="B939" s="132"/>
      <c r="C939" s="332"/>
      <c r="D939" s="333"/>
      <c r="E939" s="333"/>
      <c r="F939" s="334"/>
      <c r="G939" s="337"/>
      <c r="H939" s="131"/>
      <c r="I939" s="337"/>
      <c r="J939" s="131"/>
      <c r="K939" s="458" t="str">
        <f t="shared" si="492"/>
        <v/>
      </c>
      <c r="L939" s="458">
        <f t="shared" si="493"/>
        <v>0</v>
      </c>
      <c r="M939" s="458">
        <f t="shared" si="494"/>
        <v>0</v>
      </c>
      <c r="N939" s="459" t="str">
        <f t="shared" si="505"/>
        <v/>
      </c>
      <c r="O939" s="459" t="str">
        <f t="shared" si="506"/>
        <v/>
      </c>
      <c r="P939" s="459" t="str">
        <f t="shared" si="507"/>
        <v/>
      </c>
      <c r="Q939" s="459" t="str">
        <f t="shared" si="508"/>
        <v/>
      </c>
      <c r="R939" s="459" t="str">
        <f t="shared" si="509"/>
        <v/>
      </c>
      <c r="S939" s="459" t="str">
        <f t="shared" si="510"/>
        <v/>
      </c>
      <c r="T939" s="566" t="str">
        <f t="shared" si="495"/>
        <v/>
      </c>
      <c r="U939" s="702"/>
      <c r="V939" s="132"/>
      <c r="W939" s="133"/>
      <c r="X939" s="134"/>
      <c r="Y939" s="135"/>
      <c r="Z939" s="137"/>
      <c r="AA939" s="136"/>
      <c r="AB939" s="566" t="str">
        <f t="shared" si="496"/>
        <v/>
      </c>
      <c r="AC939" s="568" t="str">
        <f t="shared" si="497"/>
        <v/>
      </c>
      <c r="AD939" s="137"/>
      <c r="AE939" s="137"/>
      <c r="AF939" s="138"/>
      <c r="AG939" s="138"/>
      <c r="AH939" s="592" t="str">
        <f t="shared" si="498"/>
        <v/>
      </c>
      <c r="AI939" s="592" t="str">
        <f t="shared" si="499"/>
        <v/>
      </c>
      <c r="AJ939" s="592" t="str">
        <f t="shared" si="500"/>
        <v/>
      </c>
      <c r="AK939" s="460" t="str">
        <f>IF(AU939="","",IF(OR(AZ939=8,AZ939=9),0,IF(OR(AW939=3,AW939=4,AW939=5,AW939=6),IF(LEFT(BF939,1)="1",INDEX(係数_NOX・PM低減,MATCH(AY939,【参考】排出係数!$AI$801:$AI$804,1),1),VLOOKUP(AU939,INDEX((係数_バス貨物_ガソリン,係数_バス貨物_CNG,係数_バス貨物_軽油,係数_バス貨物_メタノール,係数_バス貨物_LPG),MATCH(AY939,【参考】排出係数!$AI$4:$AI$671,1),1,BE939):INDEX((係数_バス貨物_ガソリン,係数_バス貨物_CNG,係数_バス貨物_軽油,係数_バス貨物_メタノール,係数_バス貨物_LPG),MATCH(AY939+1,【参考】排出係数!$AI$4:$AI$671,1)-1,5,BE939),4,FALSE)),IF(AND(BE939=3,LEFT(BF939,1)="1"),0.48,VLOOKUP(AU939,INDEX((係数_乗用_ガソリン,係数_乗用_CNG,係数_乗用_軽油,係数_乗用_メタノール,係数_乗用_LPG),1,1,BE939):INDEX((係数_乗用_ガソリン,係数_乗用_CNG,係数_乗用_軽油,係数_乗用_メタノール,係数_乗用_LPG),125,5,BE939),4,FALSE)))))</f>
        <v/>
      </c>
      <c r="AL939" s="461" t="str">
        <f t="shared" si="501"/>
        <v/>
      </c>
      <c r="AM939" s="460" t="str">
        <f>IF(AU939="","",IF(OR(AZ939=8,AZ939=9),0,IF(OR(AW939=3,AW939=4,AW939=5,AW939=6),IF(LEFT(BH939,1)="1",INDEX(係数_PM低減,MATCH(AY939,【参考】排出係数!$AI$801:$AI$804,1),MATCH(BI939,【参考】排出係数!$AL$798:$AO$798,1)),VLOOKUP(AU939,INDEX((係数_バス貨物_ガソリン,係数_バス貨物_CNG,係数_バス貨物_軽油,係数_バス貨物_メタノール,係数_バス貨物_LPG),MATCH(AY939,【参考】排出係数!$AI$4:$AI$671,1),1,BE939):INDEX((係数_バス貨物_ガソリン,係数_バス貨物_CNG,係数_バス貨物_軽油,係数_バス貨物_メタノール,係数_バス貨物_LPG),MATCH(AY939+1,【参考】排出係数!$AI$4:$AI$671,1)-1,5,BE939),5,FALSE)),IF(AND(BE939=3,LEFT(BF939,1)="1"),0.055,VLOOKUP(AU939,INDEX((係数_乗用_ガソリン,係数_乗用_CNG,係数_乗用_軽油,係数_乗用_メタノール,係数_乗用_LPG),1,1,BE939):INDEX((係数_乗用_ガソリン,係数_乗用_CNG,係数_乗用_軽油,係数_乗用_メタノール,係数_乗用_LPG),125,5,BE939),5,FALSE)))))</f>
        <v/>
      </c>
      <c r="AN939" s="461" t="str">
        <f t="shared" si="502"/>
        <v/>
      </c>
      <c r="AO939" s="462" t="str">
        <f t="shared" si="503"/>
        <v/>
      </c>
      <c r="AP939" s="463" t="str">
        <f t="shared" si="504"/>
        <v/>
      </c>
      <c r="AQ939" s="464"/>
      <c r="AR939" s="619"/>
      <c r="AS939" s="465" t="str">
        <f t="shared" si="512"/>
        <v/>
      </c>
      <c r="AT939" s="465" t="str">
        <f t="shared" si="513"/>
        <v/>
      </c>
      <c r="AU939" s="466" t="str">
        <f t="shared" si="514"/>
        <v/>
      </c>
      <c r="AV939" s="467" t="str">
        <f t="shared" si="515"/>
        <v/>
      </c>
      <c r="AW939" s="467" t="str">
        <f t="shared" si="516"/>
        <v/>
      </c>
      <c r="AX939" s="467" t="str">
        <f t="shared" si="517"/>
        <v/>
      </c>
      <c r="AY939" s="467" t="str">
        <f t="shared" si="518"/>
        <v/>
      </c>
      <c r="AZ939" s="467" t="str">
        <f t="shared" si="519"/>
        <v/>
      </c>
      <c r="BA939" s="468" t="str">
        <f>IF(AS939="","",IF(OR(AU939="",AU939="-"),"－",IF(OR(AZ939=8,AZ939=9),"",IF(OR(AW939=3,AW939=4,AW939=5,AW939=6),VLOOKUP(AU939,INDEX((係数_バス貨物_ガソリン,係数_バス貨物_CNG,係数_バス貨物_軽油,係数_バス貨物_メタノール,係数_バス貨物_LPG),MATCH(AY939,【参考】排出係数!$AI$4:$AI$671,1),1,BE939):INDEX((係数_バス貨物_ガソリン,係数_バス貨物_CNG,係数_バス貨物_軽油,係数_バス貨物_メタノール,係数_バス貨物_LPG),MATCH(AY939+1,【参考】排出係数!$AI$4:$AI$671,1)-1,5,BE939),2,FALSE),IF(OR(AW939=1,AW939=2),VLOOKUP(AU939,INDEX((係数_乗用_ガソリン,係数_乗用_CNG,係数_乗用_軽油,係数_乗用_メタノール,係数_乗用_LPG),1,1,BE939):INDEX((係数_乗用_ガソリン,係数_乗用_CNG,係数_乗用_軽油,係数_乗用_メタノール,係数_乗用_LPG),125,5,BE939),2,FALSE))))))</f>
        <v/>
      </c>
      <c r="BB939" s="468" t="str">
        <f>IF(T939="","",IF(OR(AU939="",AU939="-"),"－",IF(OR(AZ939=8,AZ939=9),"",IF(OR(AW939=3,AW939=4,AW939=5,AW939=6),VLOOKUP(AU939,INDEX((係数_バス貨物_ガソリン,係数_バス貨物_CNG,係数_バス貨物_軽油,係数_バス貨物_メタノール,係数_バス貨物_LPG),MATCH(AY939,【参考】排出係数!$AI$4:$AI$671,1),1,BE939):INDEX((係数_バス貨物_ガソリン,係数_バス貨物_CNG,係数_バス貨物_軽油,係数_バス貨物_メタノール,係数_バス貨物_LPG),MATCH(AY939+1,【参考】排出係数!$AI$4:$AI$671,1)-1,5,BE939),3,FALSE),IF(OR(AW939=1,AW939=2),VLOOKUP(AU939,INDEX((係数_乗用_ガソリン,係数_乗用_CNG,係数_乗用_軽油,係数_乗用_メタノール,係数_乗用_LPG),1,1,BE939):INDEX((係数_乗用_ガソリン,係数_乗用_CNG,係数_乗用_軽油,係数_乗用_メタノール,係数_乗用_LPG),125,5,BE939),3,FALSE))))))</f>
        <v/>
      </c>
      <c r="BC939" s="467" t="str">
        <f t="shared" si="520"/>
        <v/>
      </c>
      <c r="BD939" s="567" t="str">
        <f t="shared" si="521"/>
        <v/>
      </c>
      <c r="BE939" s="467" t="str">
        <f t="shared" si="522"/>
        <v/>
      </c>
      <c r="BF939" s="469" t="str">
        <f t="shared" ca="1" si="523"/>
        <v/>
      </c>
      <c r="BG939" s="469" t="str">
        <f t="shared" ca="1" si="524"/>
        <v/>
      </c>
      <c r="BH939" s="467" t="str">
        <f t="shared" si="525"/>
        <v/>
      </c>
      <c r="BI939" s="467" t="str">
        <f t="shared" ca="1" si="526"/>
        <v/>
      </c>
      <c r="BJ939" s="469" t="str">
        <f t="shared" si="527"/>
        <v/>
      </c>
      <c r="BK939" s="470" t="str">
        <f t="shared" si="511"/>
        <v/>
      </c>
      <c r="BL939" s="775" t="str">
        <f t="shared" si="528"/>
        <v/>
      </c>
      <c r="BM939" s="775" t="str">
        <f t="shared" si="529"/>
        <v/>
      </c>
    </row>
    <row r="940" spans="1:65">
      <c r="A940" s="473">
        <v>884</v>
      </c>
      <c r="B940" s="132"/>
      <c r="C940" s="332"/>
      <c r="D940" s="333"/>
      <c r="E940" s="333"/>
      <c r="F940" s="334"/>
      <c r="G940" s="337"/>
      <c r="H940" s="131"/>
      <c r="I940" s="337"/>
      <c r="J940" s="131"/>
      <c r="K940" s="458" t="str">
        <f t="shared" ref="K940:K1003" si="530">C940&amp;D940&amp;E940&amp;F940</f>
        <v/>
      </c>
      <c r="L940" s="458">
        <f t="shared" ref="L940:L1003" si="531">IF(G940&gt;0,DATE((G940),(H940+1),0),0)</f>
        <v>0</v>
      </c>
      <c r="M940" s="458">
        <f t="shared" ref="M940:M1003" si="532">IF(I940&gt;0,DATE((I940),(J940+1),0),0)</f>
        <v>0</v>
      </c>
      <c r="N940" s="459" t="str">
        <f t="shared" si="505"/>
        <v/>
      </c>
      <c r="O940" s="459" t="str">
        <f t="shared" si="506"/>
        <v/>
      </c>
      <c r="P940" s="459" t="str">
        <f t="shared" si="507"/>
        <v/>
      </c>
      <c r="Q940" s="459" t="str">
        <f t="shared" si="508"/>
        <v/>
      </c>
      <c r="R940" s="459" t="str">
        <f t="shared" si="509"/>
        <v/>
      </c>
      <c r="S940" s="459" t="str">
        <f t="shared" si="510"/>
        <v/>
      </c>
      <c r="T940" s="566" t="str">
        <f t="shared" ref="T940:T1003" si="533">N940&amp;O940&amp;P940&amp;Q940&amp;R940&amp;S940</f>
        <v/>
      </c>
      <c r="U940" s="702"/>
      <c r="V940" s="132"/>
      <c r="W940" s="133"/>
      <c r="X940" s="134"/>
      <c r="Y940" s="135"/>
      <c r="Z940" s="137"/>
      <c r="AA940" s="136"/>
      <c r="AB940" s="566" t="str">
        <f t="shared" ref="AB940:AB1003" si="534">IF(AS940="","",IF(AZ940=1,VLOOKUP(BA940,低公害車判別,2,FALSE),IF(AZ940=3,VLOOKUP(BA940,低公害車判別,2,FALSE),IF(AZ940=4,VLOOKUP(BB940,低公害車判別,2,FALSE),"低公害車"))))</f>
        <v/>
      </c>
      <c r="AC940" s="568" t="str">
        <f t="shared" ref="AC940:AC1003" si="535">IF(AS940="","",IF((BA940="")+(BA940="－"),IF((BB940="")+(BB940=0),"－",BB940),IF((BA940="PM☆☆☆")+(BA940="☆及びPM☆☆☆")+(BA940="☆☆及びPM☆☆☆")+(BA940="☆☆☆及びPM☆☆☆"),"PM☆☆☆",IF((BA940="PM☆☆☆☆")+(BA940="☆及びPM☆☆☆☆")+(BA940="☆☆及びPM☆☆☆☆")+(BA940="☆☆☆及びPM☆☆☆☆"),"PM☆☆☆☆",IF((BA940="新☆")+(BA940="新NOx☆")+(BA940="新PM☆"),"新☆（新長期）",BA940)))))</f>
        <v/>
      </c>
      <c r="AD940" s="137"/>
      <c r="AE940" s="137"/>
      <c r="AF940" s="138"/>
      <c r="AG940" s="138"/>
      <c r="AH940" s="592" t="str">
        <f t="shared" ref="AH940:AH1003" si="536">IF(C940="","",IF(LEFT(C940,2)="横浜","○",""))</f>
        <v/>
      </c>
      <c r="AI940" s="592" t="str">
        <f t="shared" ref="AI940:AI1003" si="537">IF(C940="","",IF(LEFT(C940,2)="川崎","○",""))</f>
        <v/>
      </c>
      <c r="AJ940" s="592" t="str">
        <f t="shared" ref="AJ940:AJ1003" si="538">IF(C940="","",IF(OR(AH940="○",AI940="○"),"","○"))</f>
        <v/>
      </c>
      <c r="AK940" s="460" t="str">
        <f>IF(AU940="","",IF(OR(AZ940=8,AZ940=9),0,IF(OR(AW940=3,AW940=4,AW940=5,AW940=6),IF(LEFT(BF940,1)="1",INDEX(係数_NOX・PM低減,MATCH(AY940,【参考】排出係数!$AI$801:$AI$804,1),1),VLOOKUP(AU940,INDEX((係数_バス貨物_ガソリン,係数_バス貨物_CNG,係数_バス貨物_軽油,係数_バス貨物_メタノール,係数_バス貨物_LPG),MATCH(AY940,【参考】排出係数!$AI$4:$AI$671,1),1,BE940):INDEX((係数_バス貨物_ガソリン,係数_バス貨物_CNG,係数_バス貨物_軽油,係数_バス貨物_メタノール,係数_バス貨物_LPG),MATCH(AY940+1,【参考】排出係数!$AI$4:$AI$671,1)-1,5,BE940),4,FALSE)),IF(AND(BE940=3,LEFT(BF940,1)="1"),0.48,VLOOKUP(AU940,INDEX((係数_乗用_ガソリン,係数_乗用_CNG,係数_乗用_軽油,係数_乗用_メタノール,係数_乗用_LPG),1,1,BE940):INDEX((係数_乗用_ガソリン,係数_乗用_CNG,係数_乗用_軽油,係数_乗用_メタノール,係数_乗用_LPG),125,5,BE940),4,FALSE)))))</f>
        <v/>
      </c>
      <c r="AL940" s="461" t="str">
        <f t="shared" ref="AL940:AL1003" si="539">IF(AU940="","",IF(Z940&lt;=3.5*1000,AD940*AK940/1000,IF(Z940&gt;3.5*1000,AD940*Z940*AK940/1000/1000)))</f>
        <v/>
      </c>
      <c r="AM940" s="460" t="str">
        <f>IF(AU940="","",IF(OR(AZ940=8,AZ940=9),0,IF(OR(AW940=3,AW940=4,AW940=5,AW940=6),IF(LEFT(BH940,1)="1",INDEX(係数_PM低減,MATCH(AY940,【参考】排出係数!$AI$801:$AI$804,1),MATCH(BI940,【参考】排出係数!$AL$798:$AO$798,1)),VLOOKUP(AU940,INDEX((係数_バス貨物_ガソリン,係数_バス貨物_CNG,係数_バス貨物_軽油,係数_バス貨物_メタノール,係数_バス貨物_LPG),MATCH(AY940,【参考】排出係数!$AI$4:$AI$671,1),1,BE940):INDEX((係数_バス貨物_ガソリン,係数_バス貨物_CNG,係数_バス貨物_軽油,係数_バス貨物_メタノール,係数_バス貨物_LPG),MATCH(AY940+1,【参考】排出係数!$AI$4:$AI$671,1)-1,5,BE940),5,FALSE)),IF(AND(BE940=3,LEFT(BF940,1)="1"),0.055,VLOOKUP(AU940,INDEX((係数_乗用_ガソリン,係数_乗用_CNG,係数_乗用_軽油,係数_乗用_メタノール,係数_乗用_LPG),1,1,BE940):INDEX((係数_乗用_ガソリン,係数_乗用_CNG,係数_乗用_軽油,係数_乗用_メタノール,係数_乗用_LPG),125,5,BE940),5,FALSE)))))</f>
        <v/>
      </c>
      <c r="AN940" s="461" t="str">
        <f t="shared" ref="AN940:AN1003" si="540">IF(AU940="","",IF(Z940&lt;=3.5*1000,AD940*AM940/1000,IF(Z940&gt;3.5*1000,AD940*Z940*AM940/1000/1000)))</f>
        <v/>
      </c>
      <c r="AO940" s="462" t="str">
        <f t="shared" ref="AO940:AO1003" si="541">IF(AU940="","",IF(Z940&lt;500,"車両重量",IF(OR(AZ940=8,AZ940=9),0,IF(OR(AZ940=1,AZ940=2,AZ940=11),2.32,IF(OR(AZ940=4,AZ940=5,AZ940=11),2.58,IF(AZ940=3,3,IF(AZ940=6,2.23,IF(AZ940=7,1.37,0))))))))</f>
        <v/>
      </c>
      <c r="AP940" s="463" t="str">
        <f t="shared" ref="AP940:AP1003" si="542">IF(AU940="","",AE940*AO940/1000)</f>
        <v/>
      </c>
      <c r="AQ940" s="464"/>
      <c r="AR940" s="619"/>
      <c r="AS940" s="465" t="str">
        <f t="shared" si="512"/>
        <v/>
      </c>
      <c r="AT940" s="465" t="str">
        <f t="shared" si="513"/>
        <v/>
      </c>
      <c r="AU940" s="466" t="str">
        <f t="shared" si="514"/>
        <v/>
      </c>
      <c r="AV940" s="467" t="str">
        <f t="shared" si="515"/>
        <v/>
      </c>
      <c r="AW940" s="467" t="str">
        <f t="shared" si="516"/>
        <v/>
      </c>
      <c r="AX940" s="467" t="str">
        <f t="shared" si="517"/>
        <v/>
      </c>
      <c r="AY940" s="467" t="str">
        <f t="shared" si="518"/>
        <v/>
      </c>
      <c r="AZ940" s="467" t="str">
        <f t="shared" si="519"/>
        <v/>
      </c>
      <c r="BA940" s="468" t="str">
        <f>IF(AS940="","",IF(OR(AU940="",AU940="-"),"－",IF(OR(AZ940=8,AZ940=9),"",IF(OR(AW940=3,AW940=4,AW940=5,AW940=6),VLOOKUP(AU940,INDEX((係数_バス貨物_ガソリン,係数_バス貨物_CNG,係数_バス貨物_軽油,係数_バス貨物_メタノール,係数_バス貨物_LPG),MATCH(AY940,【参考】排出係数!$AI$4:$AI$671,1),1,BE940):INDEX((係数_バス貨物_ガソリン,係数_バス貨物_CNG,係数_バス貨物_軽油,係数_バス貨物_メタノール,係数_バス貨物_LPG),MATCH(AY940+1,【参考】排出係数!$AI$4:$AI$671,1)-1,5,BE940),2,FALSE),IF(OR(AW940=1,AW940=2),VLOOKUP(AU940,INDEX((係数_乗用_ガソリン,係数_乗用_CNG,係数_乗用_軽油,係数_乗用_メタノール,係数_乗用_LPG),1,1,BE940):INDEX((係数_乗用_ガソリン,係数_乗用_CNG,係数_乗用_軽油,係数_乗用_メタノール,係数_乗用_LPG),125,5,BE940),2,FALSE))))))</f>
        <v/>
      </c>
      <c r="BB940" s="468" t="str">
        <f>IF(T940="","",IF(OR(AU940="",AU940="-"),"－",IF(OR(AZ940=8,AZ940=9),"",IF(OR(AW940=3,AW940=4,AW940=5,AW940=6),VLOOKUP(AU940,INDEX((係数_バス貨物_ガソリン,係数_バス貨物_CNG,係数_バス貨物_軽油,係数_バス貨物_メタノール,係数_バス貨物_LPG),MATCH(AY940,【参考】排出係数!$AI$4:$AI$671,1),1,BE940):INDEX((係数_バス貨物_ガソリン,係数_バス貨物_CNG,係数_バス貨物_軽油,係数_バス貨物_メタノール,係数_バス貨物_LPG),MATCH(AY940+1,【参考】排出係数!$AI$4:$AI$671,1)-1,5,BE940),3,FALSE),IF(OR(AW940=1,AW940=2),VLOOKUP(AU940,INDEX((係数_乗用_ガソリン,係数_乗用_CNG,係数_乗用_軽油,係数_乗用_メタノール,係数_乗用_LPG),1,1,BE940):INDEX((係数_乗用_ガソリン,係数_乗用_CNG,係数_乗用_軽油,係数_乗用_メタノール,係数_乗用_LPG),125,5,BE940),3,FALSE))))))</f>
        <v/>
      </c>
      <c r="BC940" s="467" t="str">
        <f t="shared" si="520"/>
        <v/>
      </c>
      <c r="BD940" s="567" t="str">
        <f t="shared" si="521"/>
        <v/>
      </c>
      <c r="BE940" s="467" t="str">
        <f t="shared" si="522"/>
        <v/>
      </c>
      <c r="BF940" s="469" t="str">
        <f t="shared" ca="1" si="523"/>
        <v/>
      </c>
      <c r="BG940" s="469" t="str">
        <f t="shared" ca="1" si="524"/>
        <v/>
      </c>
      <c r="BH940" s="467" t="str">
        <f t="shared" si="525"/>
        <v/>
      </c>
      <c r="BI940" s="467" t="str">
        <f t="shared" ca="1" si="526"/>
        <v/>
      </c>
      <c r="BJ940" s="469" t="str">
        <f t="shared" si="527"/>
        <v/>
      </c>
      <c r="BK940" s="470" t="str">
        <f t="shared" si="511"/>
        <v/>
      </c>
      <c r="BL940" s="775" t="str">
        <f t="shared" si="528"/>
        <v/>
      </c>
      <c r="BM940" s="775" t="str">
        <f t="shared" si="529"/>
        <v/>
      </c>
    </row>
    <row r="941" spans="1:65">
      <c r="A941" s="473">
        <v>885</v>
      </c>
      <c r="B941" s="132"/>
      <c r="C941" s="332"/>
      <c r="D941" s="333"/>
      <c r="E941" s="333"/>
      <c r="F941" s="334"/>
      <c r="G941" s="337"/>
      <c r="H941" s="131"/>
      <c r="I941" s="337"/>
      <c r="J941" s="131"/>
      <c r="K941" s="458" t="str">
        <f t="shared" si="530"/>
        <v/>
      </c>
      <c r="L941" s="458">
        <f t="shared" si="531"/>
        <v>0</v>
      </c>
      <c r="M941" s="458">
        <f t="shared" si="532"/>
        <v>0</v>
      </c>
      <c r="N941" s="459" t="str">
        <f t="shared" si="505"/>
        <v/>
      </c>
      <c r="O941" s="459" t="str">
        <f t="shared" si="506"/>
        <v/>
      </c>
      <c r="P941" s="459" t="str">
        <f t="shared" si="507"/>
        <v/>
      </c>
      <c r="Q941" s="459" t="str">
        <f t="shared" si="508"/>
        <v/>
      </c>
      <c r="R941" s="459" t="str">
        <f t="shared" si="509"/>
        <v/>
      </c>
      <c r="S941" s="459" t="str">
        <f t="shared" si="510"/>
        <v/>
      </c>
      <c r="T941" s="566" t="str">
        <f t="shared" si="533"/>
        <v/>
      </c>
      <c r="U941" s="702"/>
      <c r="V941" s="132"/>
      <c r="W941" s="133"/>
      <c r="X941" s="134"/>
      <c r="Y941" s="135"/>
      <c r="Z941" s="137"/>
      <c r="AA941" s="136"/>
      <c r="AB941" s="566" t="str">
        <f t="shared" si="534"/>
        <v/>
      </c>
      <c r="AC941" s="568" t="str">
        <f t="shared" si="535"/>
        <v/>
      </c>
      <c r="AD941" s="137"/>
      <c r="AE941" s="137"/>
      <c r="AF941" s="138"/>
      <c r="AG941" s="138"/>
      <c r="AH941" s="592" t="str">
        <f t="shared" si="536"/>
        <v/>
      </c>
      <c r="AI941" s="592" t="str">
        <f t="shared" si="537"/>
        <v/>
      </c>
      <c r="AJ941" s="592" t="str">
        <f t="shared" si="538"/>
        <v/>
      </c>
      <c r="AK941" s="460" t="str">
        <f>IF(AU941="","",IF(OR(AZ941=8,AZ941=9),0,IF(OR(AW941=3,AW941=4,AW941=5,AW941=6),IF(LEFT(BF941,1)="1",INDEX(係数_NOX・PM低減,MATCH(AY941,【参考】排出係数!$AI$801:$AI$804,1),1),VLOOKUP(AU941,INDEX((係数_バス貨物_ガソリン,係数_バス貨物_CNG,係数_バス貨物_軽油,係数_バス貨物_メタノール,係数_バス貨物_LPG),MATCH(AY941,【参考】排出係数!$AI$4:$AI$671,1),1,BE941):INDEX((係数_バス貨物_ガソリン,係数_バス貨物_CNG,係数_バス貨物_軽油,係数_バス貨物_メタノール,係数_バス貨物_LPG),MATCH(AY941+1,【参考】排出係数!$AI$4:$AI$671,1)-1,5,BE941),4,FALSE)),IF(AND(BE941=3,LEFT(BF941,1)="1"),0.48,VLOOKUP(AU941,INDEX((係数_乗用_ガソリン,係数_乗用_CNG,係数_乗用_軽油,係数_乗用_メタノール,係数_乗用_LPG),1,1,BE941):INDEX((係数_乗用_ガソリン,係数_乗用_CNG,係数_乗用_軽油,係数_乗用_メタノール,係数_乗用_LPG),125,5,BE941),4,FALSE)))))</f>
        <v/>
      </c>
      <c r="AL941" s="461" t="str">
        <f t="shared" si="539"/>
        <v/>
      </c>
      <c r="AM941" s="460" t="str">
        <f>IF(AU941="","",IF(OR(AZ941=8,AZ941=9),0,IF(OR(AW941=3,AW941=4,AW941=5,AW941=6),IF(LEFT(BH941,1)="1",INDEX(係数_PM低減,MATCH(AY941,【参考】排出係数!$AI$801:$AI$804,1),MATCH(BI941,【参考】排出係数!$AL$798:$AO$798,1)),VLOOKUP(AU941,INDEX((係数_バス貨物_ガソリン,係数_バス貨物_CNG,係数_バス貨物_軽油,係数_バス貨物_メタノール,係数_バス貨物_LPG),MATCH(AY941,【参考】排出係数!$AI$4:$AI$671,1),1,BE941):INDEX((係数_バス貨物_ガソリン,係数_バス貨物_CNG,係数_バス貨物_軽油,係数_バス貨物_メタノール,係数_バス貨物_LPG),MATCH(AY941+1,【参考】排出係数!$AI$4:$AI$671,1)-1,5,BE941),5,FALSE)),IF(AND(BE941=3,LEFT(BF941,1)="1"),0.055,VLOOKUP(AU941,INDEX((係数_乗用_ガソリン,係数_乗用_CNG,係数_乗用_軽油,係数_乗用_メタノール,係数_乗用_LPG),1,1,BE941):INDEX((係数_乗用_ガソリン,係数_乗用_CNG,係数_乗用_軽油,係数_乗用_メタノール,係数_乗用_LPG),125,5,BE941),5,FALSE)))))</f>
        <v/>
      </c>
      <c r="AN941" s="461" t="str">
        <f t="shared" si="540"/>
        <v/>
      </c>
      <c r="AO941" s="462" t="str">
        <f t="shared" si="541"/>
        <v/>
      </c>
      <c r="AP941" s="463" t="str">
        <f t="shared" si="542"/>
        <v/>
      </c>
      <c r="AQ941" s="464"/>
      <c r="AR941" s="619"/>
      <c r="AS941" s="465" t="str">
        <f t="shared" si="512"/>
        <v/>
      </c>
      <c r="AT941" s="465" t="str">
        <f t="shared" si="513"/>
        <v/>
      </c>
      <c r="AU941" s="466" t="str">
        <f t="shared" si="514"/>
        <v/>
      </c>
      <c r="AV941" s="467" t="str">
        <f t="shared" si="515"/>
        <v/>
      </c>
      <c r="AW941" s="467" t="str">
        <f t="shared" si="516"/>
        <v/>
      </c>
      <c r="AX941" s="467" t="str">
        <f t="shared" si="517"/>
        <v/>
      </c>
      <c r="AY941" s="467" t="str">
        <f t="shared" si="518"/>
        <v/>
      </c>
      <c r="AZ941" s="467" t="str">
        <f t="shared" si="519"/>
        <v/>
      </c>
      <c r="BA941" s="468" t="str">
        <f>IF(AS941="","",IF(OR(AU941="",AU941="-"),"－",IF(OR(AZ941=8,AZ941=9),"",IF(OR(AW941=3,AW941=4,AW941=5,AW941=6),VLOOKUP(AU941,INDEX((係数_バス貨物_ガソリン,係数_バス貨物_CNG,係数_バス貨物_軽油,係数_バス貨物_メタノール,係数_バス貨物_LPG),MATCH(AY941,【参考】排出係数!$AI$4:$AI$671,1),1,BE941):INDEX((係数_バス貨物_ガソリン,係数_バス貨物_CNG,係数_バス貨物_軽油,係数_バス貨物_メタノール,係数_バス貨物_LPG),MATCH(AY941+1,【参考】排出係数!$AI$4:$AI$671,1)-1,5,BE941),2,FALSE),IF(OR(AW941=1,AW941=2),VLOOKUP(AU941,INDEX((係数_乗用_ガソリン,係数_乗用_CNG,係数_乗用_軽油,係数_乗用_メタノール,係数_乗用_LPG),1,1,BE941):INDEX((係数_乗用_ガソリン,係数_乗用_CNG,係数_乗用_軽油,係数_乗用_メタノール,係数_乗用_LPG),125,5,BE941),2,FALSE))))))</f>
        <v/>
      </c>
      <c r="BB941" s="468" t="str">
        <f>IF(T941="","",IF(OR(AU941="",AU941="-"),"－",IF(OR(AZ941=8,AZ941=9),"",IF(OR(AW941=3,AW941=4,AW941=5,AW941=6),VLOOKUP(AU941,INDEX((係数_バス貨物_ガソリン,係数_バス貨物_CNG,係数_バス貨物_軽油,係数_バス貨物_メタノール,係数_バス貨物_LPG),MATCH(AY941,【参考】排出係数!$AI$4:$AI$671,1),1,BE941):INDEX((係数_バス貨物_ガソリン,係数_バス貨物_CNG,係数_バス貨物_軽油,係数_バス貨物_メタノール,係数_バス貨物_LPG),MATCH(AY941+1,【参考】排出係数!$AI$4:$AI$671,1)-1,5,BE941),3,FALSE),IF(OR(AW941=1,AW941=2),VLOOKUP(AU941,INDEX((係数_乗用_ガソリン,係数_乗用_CNG,係数_乗用_軽油,係数_乗用_メタノール,係数_乗用_LPG),1,1,BE941):INDEX((係数_乗用_ガソリン,係数_乗用_CNG,係数_乗用_軽油,係数_乗用_メタノール,係数_乗用_LPG),125,5,BE941),3,FALSE))))))</f>
        <v/>
      </c>
      <c r="BC941" s="467" t="str">
        <f t="shared" si="520"/>
        <v/>
      </c>
      <c r="BD941" s="567" t="str">
        <f t="shared" si="521"/>
        <v/>
      </c>
      <c r="BE941" s="467" t="str">
        <f t="shared" si="522"/>
        <v/>
      </c>
      <c r="BF941" s="469" t="str">
        <f t="shared" ca="1" si="523"/>
        <v/>
      </c>
      <c r="BG941" s="469" t="str">
        <f t="shared" ca="1" si="524"/>
        <v/>
      </c>
      <c r="BH941" s="467" t="str">
        <f t="shared" si="525"/>
        <v/>
      </c>
      <c r="BI941" s="467" t="str">
        <f t="shared" ca="1" si="526"/>
        <v/>
      </c>
      <c r="BJ941" s="469" t="str">
        <f t="shared" si="527"/>
        <v/>
      </c>
      <c r="BK941" s="470" t="str">
        <f t="shared" si="511"/>
        <v/>
      </c>
      <c r="BL941" s="775" t="str">
        <f t="shared" si="528"/>
        <v/>
      </c>
      <c r="BM941" s="775" t="str">
        <f t="shared" si="529"/>
        <v/>
      </c>
    </row>
    <row r="942" spans="1:65">
      <c r="A942" s="473">
        <v>886</v>
      </c>
      <c r="B942" s="132"/>
      <c r="C942" s="332"/>
      <c r="D942" s="333"/>
      <c r="E942" s="333"/>
      <c r="F942" s="334"/>
      <c r="G942" s="337"/>
      <c r="H942" s="131"/>
      <c r="I942" s="337"/>
      <c r="J942" s="131"/>
      <c r="K942" s="458" t="str">
        <f t="shared" si="530"/>
        <v/>
      </c>
      <c r="L942" s="458">
        <f t="shared" si="531"/>
        <v>0</v>
      </c>
      <c r="M942" s="458">
        <f t="shared" si="532"/>
        <v>0</v>
      </c>
      <c r="N942" s="459" t="str">
        <f t="shared" si="505"/>
        <v/>
      </c>
      <c r="O942" s="459" t="str">
        <f t="shared" si="506"/>
        <v/>
      </c>
      <c r="P942" s="459" t="str">
        <f t="shared" si="507"/>
        <v/>
      </c>
      <c r="Q942" s="459" t="str">
        <f t="shared" si="508"/>
        <v/>
      </c>
      <c r="R942" s="459" t="str">
        <f t="shared" si="509"/>
        <v/>
      </c>
      <c r="S942" s="459" t="str">
        <f t="shared" si="510"/>
        <v/>
      </c>
      <c r="T942" s="566" t="str">
        <f t="shared" si="533"/>
        <v/>
      </c>
      <c r="U942" s="702"/>
      <c r="V942" s="132"/>
      <c r="W942" s="133"/>
      <c r="X942" s="134"/>
      <c r="Y942" s="135"/>
      <c r="Z942" s="137"/>
      <c r="AA942" s="136"/>
      <c r="AB942" s="566" t="str">
        <f t="shared" si="534"/>
        <v/>
      </c>
      <c r="AC942" s="568" t="str">
        <f t="shared" si="535"/>
        <v/>
      </c>
      <c r="AD942" s="137"/>
      <c r="AE942" s="137"/>
      <c r="AF942" s="138"/>
      <c r="AG942" s="138"/>
      <c r="AH942" s="592" t="str">
        <f t="shared" si="536"/>
        <v/>
      </c>
      <c r="AI942" s="592" t="str">
        <f t="shared" si="537"/>
        <v/>
      </c>
      <c r="AJ942" s="592" t="str">
        <f t="shared" si="538"/>
        <v/>
      </c>
      <c r="AK942" s="460" t="str">
        <f>IF(AU942="","",IF(OR(AZ942=8,AZ942=9),0,IF(OR(AW942=3,AW942=4,AW942=5,AW942=6),IF(LEFT(BF942,1)="1",INDEX(係数_NOX・PM低減,MATCH(AY942,【参考】排出係数!$AI$801:$AI$804,1),1),VLOOKUP(AU942,INDEX((係数_バス貨物_ガソリン,係数_バス貨物_CNG,係数_バス貨物_軽油,係数_バス貨物_メタノール,係数_バス貨物_LPG),MATCH(AY942,【参考】排出係数!$AI$4:$AI$671,1),1,BE942):INDEX((係数_バス貨物_ガソリン,係数_バス貨物_CNG,係数_バス貨物_軽油,係数_バス貨物_メタノール,係数_バス貨物_LPG),MATCH(AY942+1,【参考】排出係数!$AI$4:$AI$671,1)-1,5,BE942),4,FALSE)),IF(AND(BE942=3,LEFT(BF942,1)="1"),0.48,VLOOKUP(AU942,INDEX((係数_乗用_ガソリン,係数_乗用_CNG,係数_乗用_軽油,係数_乗用_メタノール,係数_乗用_LPG),1,1,BE942):INDEX((係数_乗用_ガソリン,係数_乗用_CNG,係数_乗用_軽油,係数_乗用_メタノール,係数_乗用_LPG),125,5,BE942),4,FALSE)))))</f>
        <v/>
      </c>
      <c r="AL942" s="461" t="str">
        <f t="shared" si="539"/>
        <v/>
      </c>
      <c r="AM942" s="460" t="str">
        <f>IF(AU942="","",IF(OR(AZ942=8,AZ942=9),0,IF(OR(AW942=3,AW942=4,AW942=5,AW942=6),IF(LEFT(BH942,1)="1",INDEX(係数_PM低減,MATCH(AY942,【参考】排出係数!$AI$801:$AI$804,1),MATCH(BI942,【参考】排出係数!$AL$798:$AO$798,1)),VLOOKUP(AU942,INDEX((係数_バス貨物_ガソリン,係数_バス貨物_CNG,係数_バス貨物_軽油,係数_バス貨物_メタノール,係数_バス貨物_LPG),MATCH(AY942,【参考】排出係数!$AI$4:$AI$671,1),1,BE942):INDEX((係数_バス貨物_ガソリン,係数_バス貨物_CNG,係数_バス貨物_軽油,係数_バス貨物_メタノール,係数_バス貨物_LPG),MATCH(AY942+1,【参考】排出係数!$AI$4:$AI$671,1)-1,5,BE942),5,FALSE)),IF(AND(BE942=3,LEFT(BF942,1)="1"),0.055,VLOOKUP(AU942,INDEX((係数_乗用_ガソリン,係数_乗用_CNG,係数_乗用_軽油,係数_乗用_メタノール,係数_乗用_LPG),1,1,BE942):INDEX((係数_乗用_ガソリン,係数_乗用_CNG,係数_乗用_軽油,係数_乗用_メタノール,係数_乗用_LPG),125,5,BE942),5,FALSE)))))</f>
        <v/>
      </c>
      <c r="AN942" s="461" t="str">
        <f t="shared" si="540"/>
        <v/>
      </c>
      <c r="AO942" s="462" t="str">
        <f t="shared" si="541"/>
        <v/>
      </c>
      <c r="AP942" s="463" t="str">
        <f t="shared" si="542"/>
        <v/>
      </c>
      <c r="AQ942" s="464"/>
      <c r="AR942" s="619"/>
      <c r="AS942" s="465" t="str">
        <f t="shared" si="512"/>
        <v/>
      </c>
      <c r="AT942" s="465" t="str">
        <f t="shared" si="513"/>
        <v/>
      </c>
      <c r="AU942" s="466" t="str">
        <f t="shared" si="514"/>
        <v/>
      </c>
      <c r="AV942" s="467" t="str">
        <f t="shared" si="515"/>
        <v/>
      </c>
      <c r="AW942" s="467" t="str">
        <f t="shared" si="516"/>
        <v/>
      </c>
      <c r="AX942" s="467" t="str">
        <f t="shared" si="517"/>
        <v/>
      </c>
      <c r="AY942" s="467" t="str">
        <f t="shared" si="518"/>
        <v/>
      </c>
      <c r="AZ942" s="467" t="str">
        <f t="shared" si="519"/>
        <v/>
      </c>
      <c r="BA942" s="468" t="str">
        <f>IF(AS942="","",IF(OR(AU942="",AU942="-"),"－",IF(OR(AZ942=8,AZ942=9),"",IF(OR(AW942=3,AW942=4,AW942=5,AW942=6),VLOOKUP(AU942,INDEX((係数_バス貨物_ガソリン,係数_バス貨物_CNG,係数_バス貨物_軽油,係数_バス貨物_メタノール,係数_バス貨物_LPG),MATCH(AY942,【参考】排出係数!$AI$4:$AI$671,1),1,BE942):INDEX((係数_バス貨物_ガソリン,係数_バス貨物_CNG,係数_バス貨物_軽油,係数_バス貨物_メタノール,係数_バス貨物_LPG),MATCH(AY942+1,【参考】排出係数!$AI$4:$AI$671,1)-1,5,BE942),2,FALSE),IF(OR(AW942=1,AW942=2),VLOOKUP(AU942,INDEX((係数_乗用_ガソリン,係数_乗用_CNG,係数_乗用_軽油,係数_乗用_メタノール,係数_乗用_LPG),1,1,BE942):INDEX((係数_乗用_ガソリン,係数_乗用_CNG,係数_乗用_軽油,係数_乗用_メタノール,係数_乗用_LPG),125,5,BE942),2,FALSE))))))</f>
        <v/>
      </c>
      <c r="BB942" s="468" t="str">
        <f>IF(T942="","",IF(OR(AU942="",AU942="-"),"－",IF(OR(AZ942=8,AZ942=9),"",IF(OR(AW942=3,AW942=4,AW942=5,AW942=6),VLOOKUP(AU942,INDEX((係数_バス貨物_ガソリン,係数_バス貨物_CNG,係数_バス貨物_軽油,係数_バス貨物_メタノール,係数_バス貨物_LPG),MATCH(AY942,【参考】排出係数!$AI$4:$AI$671,1),1,BE942):INDEX((係数_バス貨物_ガソリン,係数_バス貨物_CNG,係数_バス貨物_軽油,係数_バス貨物_メタノール,係数_バス貨物_LPG),MATCH(AY942+1,【参考】排出係数!$AI$4:$AI$671,1)-1,5,BE942),3,FALSE),IF(OR(AW942=1,AW942=2),VLOOKUP(AU942,INDEX((係数_乗用_ガソリン,係数_乗用_CNG,係数_乗用_軽油,係数_乗用_メタノール,係数_乗用_LPG),1,1,BE942):INDEX((係数_乗用_ガソリン,係数_乗用_CNG,係数_乗用_軽油,係数_乗用_メタノール,係数_乗用_LPG),125,5,BE942),3,FALSE))))))</f>
        <v/>
      </c>
      <c r="BC942" s="467" t="str">
        <f t="shared" si="520"/>
        <v/>
      </c>
      <c r="BD942" s="567" t="str">
        <f t="shared" si="521"/>
        <v/>
      </c>
      <c r="BE942" s="467" t="str">
        <f t="shared" si="522"/>
        <v/>
      </c>
      <c r="BF942" s="469" t="str">
        <f t="shared" ca="1" si="523"/>
        <v/>
      </c>
      <c r="BG942" s="469" t="str">
        <f t="shared" ca="1" si="524"/>
        <v/>
      </c>
      <c r="BH942" s="467" t="str">
        <f t="shared" si="525"/>
        <v/>
      </c>
      <c r="BI942" s="467" t="str">
        <f t="shared" ca="1" si="526"/>
        <v/>
      </c>
      <c r="BJ942" s="469" t="str">
        <f t="shared" si="527"/>
        <v/>
      </c>
      <c r="BK942" s="470" t="str">
        <f t="shared" si="511"/>
        <v/>
      </c>
      <c r="BL942" s="775" t="str">
        <f t="shared" si="528"/>
        <v/>
      </c>
      <c r="BM942" s="775" t="str">
        <f t="shared" si="529"/>
        <v/>
      </c>
    </row>
    <row r="943" spans="1:65">
      <c r="A943" s="473">
        <v>887</v>
      </c>
      <c r="B943" s="132"/>
      <c r="C943" s="332"/>
      <c r="D943" s="333"/>
      <c r="E943" s="333"/>
      <c r="F943" s="334"/>
      <c r="G943" s="337"/>
      <c r="H943" s="131"/>
      <c r="I943" s="337"/>
      <c r="J943" s="131"/>
      <c r="K943" s="458" t="str">
        <f t="shared" si="530"/>
        <v/>
      </c>
      <c r="L943" s="458">
        <f t="shared" si="531"/>
        <v>0</v>
      </c>
      <c r="M943" s="458">
        <f t="shared" si="532"/>
        <v>0</v>
      </c>
      <c r="N943" s="459" t="str">
        <f t="shared" si="505"/>
        <v/>
      </c>
      <c r="O943" s="459" t="str">
        <f t="shared" si="506"/>
        <v/>
      </c>
      <c r="P943" s="459" t="str">
        <f t="shared" si="507"/>
        <v/>
      </c>
      <c r="Q943" s="459" t="str">
        <f t="shared" si="508"/>
        <v/>
      </c>
      <c r="R943" s="459" t="str">
        <f t="shared" si="509"/>
        <v/>
      </c>
      <c r="S943" s="459" t="str">
        <f t="shared" si="510"/>
        <v/>
      </c>
      <c r="T943" s="566" t="str">
        <f t="shared" si="533"/>
        <v/>
      </c>
      <c r="U943" s="702"/>
      <c r="V943" s="132"/>
      <c r="W943" s="133"/>
      <c r="X943" s="134"/>
      <c r="Y943" s="135"/>
      <c r="Z943" s="137"/>
      <c r="AA943" s="136"/>
      <c r="AB943" s="566" t="str">
        <f t="shared" si="534"/>
        <v/>
      </c>
      <c r="AC943" s="568" t="str">
        <f t="shared" si="535"/>
        <v/>
      </c>
      <c r="AD943" s="137"/>
      <c r="AE943" s="137"/>
      <c r="AF943" s="138"/>
      <c r="AG943" s="138"/>
      <c r="AH943" s="592" t="str">
        <f t="shared" si="536"/>
        <v/>
      </c>
      <c r="AI943" s="592" t="str">
        <f t="shared" si="537"/>
        <v/>
      </c>
      <c r="AJ943" s="592" t="str">
        <f t="shared" si="538"/>
        <v/>
      </c>
      <c r="AK943" s="460" t="str">
        <f>IF(AU943="","",IF(OR(AZ943=8,AZ943=9),0,IF(OR(AW943=3,AW943=4,AW943=5,AW943=6),IF(LEFT(BF943,1)="1",INDEX(係数_NOX・PM低減,MATCH(AY943,【参考】排出係数!$AI$801:$AI$804,1),1),VLOOKUP(AU943,INDEX((係数_バス貨物_ガソリン,係数_バス貨物_CNG,係数_バス貨物_軽油,係数_バス貨物_メタノール,係数_バス貨物_LPG),MATCH(AY943,【参考】排出係数!$AI$4:$AI$671,1),1,BE943):INDEX((係数_バス貨物_ガソリン,係数_バス貨物_CNG,係数_バス貨物_軽油,係数_バス貨物_メタノール,係数_バス貨物_LPG),MATCH(AY943+1,【参考】排出係数!$AI$4:$AI$671,1)-1,5,BE943),4,FALSE)),IF(AND(BE943=3,LEFT(BF943,1)="1"),0.48,VLOOKUP(AU943,INDEX((係数_乗用_ガソリン,係数_乗用_CNG,係数_乗用_軽油,係数_乗用_メタノール,係数_乗用_LPG),1,1,BE943):INDEX((係数_乗用_ガソリン,係数_乗用_CNG,係数_乗用_軽油,係数_乗用_メタノール,係数_乗用_LPG),125,5,BE943),4,FALSE)))))</f>
        <v/>
      </c>
      <c r="AL943" s="461" t="str">
        <f t="shared" si="539"/>
        <v/>
      </c>
      <c r="AM943" s="460" t="str">
        <f>IF(AU943="","",IF(OR(AZ943=8,AZ943=9),0,IF(OR(AW943=3,AW943=4,AW943=5,AW943=6),IF(LEFT(BH943,1)="1",INDEX(係数_PM低減,MATCH(AY943,【参考】排出係数!$AI$801:$AI$804,1),MATCH(BI943,【参考】排出係数!$AL$798:$AO$798,1)),VLOOKUP(AU943,INDEX((係数_バス貨物_ガソリン,係数_バス貨物_CNG,係数_バス貨物_軽油,係数_バス貨物_メタノール,係数_バス貨物_LPG),MATCH(AY943,【参考】排出係数!$AI$4:$AI$671,1),1,BE943):INDEX((係数_バス貨物_ガソリン,係数_バス貨物_CNG,係数_バス貨物_軽油,係数_バス貨物_メタノール,係数_バス貨物_LPG),MATCH(AY943+1,【参考】排出係数!$AI$4:$AI$671,1)-1,5,BE943),5,FALSE)),IF(AND(BE943=3,LEFT(BF943,1)="1"),0.055,VLOOKUP(AU943,INDEX((係数_乗用_ガソリン,係数_乗用_CNG,係数_乗用_軽油,係数_乗用_メタノール,係数_乗用_LPG),1,1,BE943):INDEX((係数_乗用_ガソリン,係数_乗用_CNG,係数_乗用_軽油,係数_乗用_メタノール,係数_乗用_LPG),125,5,BE943),5,FALSE)))))</f>
        <v/>
      </c>
      <c r="AN943" s="461" t="str">
        <f t="shared" si="540"/>
        <v/>
      </c>
      <c r="AO943" s="462" t="str">
        <f t="shared" si="541"/>
        <v/>
      </c>
      <c r="AP943" s="463" t="str">
        <f t="shared" si="542"/>
        <v/>
      </c>
      <c r="AQ943" s="464"/>
      <c r="AR943" s="619"/>
      <c r="AS943" s="465" t="str">
        <f t="shared" si="512"/>
        <v/>
      </c>
      <c r="AT943" s="465" t="str">
        <f t="shared" si="513"/>
        <v/>
      </c>
      <c r="AU943" s="466" t="str">
        <f t="shared" si="514"/>
        <v/>
      </c>
      <c r="AV943" s="467" t="str">
        <f t="shared" si="515"/>
        <v/>
      </c>
      <c r="AW943" s="467" t="str">
        <f t="shared" si="516"/>
        <v/>
      </c>
      <c r="AX943" s="467" t="str">
        <f t="shared" si="517"/>
        <v/>
      </c>
      <c r="AY943" s="467" t="str">
        <f t="shared" si="518"/>
        <v/>
      </c>
      <c r="AZ943" s="467" t="str">
        <f t="shared" si="519"/>
        <v/>
      </c>
      <c r="BA943" s="468" t="str">
        <f>IF(AS943="","",IF(OR(AU943="",AU943="-"),"－",IF(OR(AZ943=8,AZ943=9),"",IF(OR(AW943=3,AW943=4,AW943=5,AW943=6),VLOOKUP(AU943,INDEX((係数_バス貨物_ガソリン,係数_バス貨物_CNG,係数_バス貨物_軽油,係数_バス貨物_メタノール,係数_バス貨物_LPG),MATCH(AY943,【参考】排出係数!$AI$4:$AI$671,1),1,BE943):INDEX((係数_バス貨物_ガソリン,係数_バス貨物_CNG,係数_バス貨物_軽油,係数_バス貨物_メタノール,係数_バス貨物_LPG),MATCH(AY943+1,【参考】排出係数!$AI$4:$AI$671,1)-1,5,BE943),2,FALSE),IF(OR(AW943=1,AW943=2),VLOOKUP(AU943,INDEX((係数_乗用_ガソリン,係数_乗用_CNG,係数_乗用_軽油,係数_乗用_メタノール,係数_乗用_LPG),1,1,BE943):INDEX((係数_乗用_ガソリン,係数_乗用_CNG,係数_乗用_軽油,係数_乗用_メタノール,係数_乗用_LPG),125,5,BE943),2,FALSE))))))</f>
        <v/>
      </c>
      <c r="BB943" s="468" t="str">
        <f>IF(T943="","",IF(OR(AU943="",AU943="-"),"－",IF(OR(AZ943=8,AZ943=9),"",IF(OR(AW943=3,AW943=4,AW943=5,AW943=6),VLOOKUP(AU943,INDEX((係数_バス貨物_ガソリン,係数_バス貨物_CNG,係数_バス貨物_軽油,係数_バス貨物_メタノール,係数_バス貨物_LPG),MATCH(AY943,【参考】排出係数!$AI$4:$AI$671,1),1,BE943):INDEX((係数_バス貨物_ガソリン,係数_バス貨物_CNG,係数_バス貨物_軽油,係数_バス貨物_メタノール,係数_バス貨物_LPG),MATCH(AY943+1,【参考】排出係数!$AI$4:$AI$671,1)-1,5,BE943),3,FALSE),IF(OR(AW943=1,AW943=2),VLOOKUP(AU943,INDEX((係数_乗用_ガソリン,係数_乗用_CNG,係数_乗用_軽油,係数_乗用_メタノール,係数_乗用_LPG),1,1,BE943):INDEX((係数_乗用_ガソリン,係数_乗用_CNG,係数_乗用_軽油,係数_乗用_メタノール,係数_乗用_LPG),125,5,BE943),3,FALSE))))))</f>
        <v/>
      </c>
      <c r="BC943" s="467" t="str">
        <f t="shared" si="520"/>
        <v/>
      </c>
      <c r="BD943" s="567" t="str">
        <f t="shared" si="521"/>
        <v/>
      </c>
      <c r="BE943" s="467" t="str">
        <f t="shared" si="522"/>
        <v/>
      </c>
      <c r="BF943" s="469" t="str">
        <f t="shared" ca="1" si="523"/>
        <v/>
      </c>
      <c r="BG943" s="469" t="str">
        <f t="shared" ca="1" si="524"/>
        <v/>
      </c>
      <c r="BH943" s="467" t="str">
        <f t="shared" si="525"/>
        <v/>
      </c>
      <c r="BI943" s="467" t="str">
        <f t="shared" ca="1" si="526"/>
        <v/>
      </c>
      <c r="BJ943" s="469" t="str">
        <f t="shared" si="527"/>
        <v/>
      </c>
      <c r="BK943" s="470" t="str">
        <f t="shared" si="511"/>
        <v/>
      </c>
      <c r="BL943" s="775" t="str">
        <f t="shared" si="528"/>
        <v/>
      </c>
      <c r="BM943" s="775" t="str">
        <f t="shared" si="529"/>
        <v/>
      </c>
    </row>
    <row r="944" spans="1:65">
      <c r="A944" s="473">
        <v>888</v>
      </c>
      <c r="B944" s="132"/>
      <c r="C944" s="332"/>
      <c r="D944" s="333"/>
      <c r="E944" s="333"/>
      <c r="F944" s="334"/>
      <c r="G944" s="337"/>
      <c r="H944" s="131"/>
      <c r="I944" s="337"/>
      <c r="J944" s="131"/>
      <c r="K944" s="458" t="str">
        <f t="shared" si="530"/>
        <v/>
      </c>
      <c r="L944" s="458">
        <f t="shared" si="531"/>
        <v>0</v>
      </c>
      <c r="M944" s="458">
        <f t="shared" si="532"/>
        <v>0</v>
      </c>
      <c r="N944" s="459" t="str">
        <f t="shared" si="505"/>
        <v/>
      </c>
      <c r="O944" s="459" t="str">
        <f t="shared" si="506"/>
        <v/>
      </c>
      <c r="P944" s="459" t="str">
        <f t="shared" si="507"/>
        <v/>
      </c>
      <c r="Q944" s="459" t="str">
        <f t="shared" si="508"/>
        <v/>
      </c>
      <c r="R944" s="459" t="str">
        <f t="shared" si="509"/>
        <v/>
      </c>
      <c r="S944" s="459" t="str">
        <f t="shared" si="510"/>
        <v/>
      </c>
      <c r="T944" s="566" t="str">
        <f t="shared" si="533"/>
        <v/>
      </c>
      <c r="U944" s="702"/>
      <c r="V944" s="132"/>
      <c r="W944" s="133"/>
      <c r="X944" s="134"/>
      <c r="Y944" s="135"/>
      <c r="Z944" s="137"/>
      <c r="AA944" s="136"/>
      <c r="AB944" s="566" t="str">
        <f t="shared" si="534"/>
        <v/>
      </c>
      <c r="AC944" s="568" t="str">
        <f t="shared" si="535"/>
        <v/>
      </c>
      <c r="AD944" s="137"/>
      <c r="AE944" s="137"/>
      <c r="AF944" s="138"/>
      <c r="AG944" s="138"/>
      <c r="AH944" s="592" t="str">
        <f t="shared" si="536"/>
        <v/>
      </c>
      <c r="AI944" s="592" t="str">
        <f t="shared" si="537"/>
        <v/>
      </c>
      <c r="AJ944" s="592" t="str">
        <f t="shared" si="538"/>
        <v/>
      </c>
      <c r="AK944" s="460" t="str">
        <f>IF(AU944="","",IF(OR(AZ944=8,AZ944=9),0,IF(OR(AW944=3,AW944=4,AW944=5,AW944=6),IF(LEFT(BF944,1)="1",INDEX(係数_NOX・PM低減,MATCH(AY944,【参考】排出係数!$AI$801:$AI$804,1),1),VLOOKUP(AU944,INDEX((係数_バス貨物_ガソリン,係数_バス貨物_CNG,係数_バス貨物_軽油,係数_バス貨物_メタノール,係数_バス貨物_LPG),MATCH(AY944,【参考】排出係数!$AI$4:$AI$671,1),1,BE944):INDEX((係数_バス貨物_ガソリン,係数_バス貨物_CNG,係数_バス貨物_軽油,係数_バス貨物_メタノール,係数_バス貨物_LPG),MATCH(AY944+1,【参考】排出係数!$AI$4:$AI$671,1)-1,5,BE944),4,FALSE)),IF(AND(BE944=3,LEFT(BF944,1)="1"),0.48,VLOOKUP(AU944,INDEX((係数_乗用_ガソリン,係数_乗用_CNG,係数_乗用_軽油,係数_乗用_メタノール,係数_乗用_LPG),1,1,BE944):INDEX((係数_乗用_ガソリン,係数_乗用_CNG,係数_乗用_軽油,係数_乗用_メタノール,係数_乗用_LPG),125,5,BE944),4,FALSE)))))</f>
        <v/>
      </c>
      <c r="AL944" s="461" t="str">
        <f t="shared" si="539"/>
        <v/>
      </c>
      <c r="AM944" s="460" t="str">
        <f>IF(AU944="","",IF(OR(AZ944=8,AZ944=9),0,IF(OR(AW944=3,AW944=4,AW944=5,AW944=6),IF(LEFT(BH944,1)="1",INDEX(係数_PM低減,MATCH(AY944,【参考】排出係数!$AI$801:$AI$804,1),MATCH(BI944,【参考】排出係数!$AL$798:$AO$798,1)),VLOOKUP(AU944,INDEX((係数_バス貨物_ガソリン,係数_バス貨物_CNG,係数_バス貨物_軽油,係数_バス貨物_メタノール,係数_バス貨物_LPG),MATCH(AY944,【参考】排出係数!$AI$4:$AI$671,1),1,BE944):INDEX((係数_バス貨物_ガソリン,係数_バス貨物_CNG,係数_バス貨物_軽油,係数_バス貨物_メタノール,係数_バス貨物_LPG),MATCH(AY944+1,【参考】排出係数!$AI$4:$AI$671,1)-1,5,BE944),5,FALSE)),IF(AND(BE944=3,LEFT(BF944,1)="1"),0.055,VLOOKUP(AU944,INDEX((係数_乗用_ガソリン,係数_乗用_CNG,係数_乗用_軽油,係数_乗用_メタノール,係数_乗用_LPG),1,1,BE944):INDEX((係数_乗用_ガソリン,係数_乗用_CNG,係数_乗用_軽油,係数_乗用_メタノール,係数_乗用_LPG),125,5,BE944),5,FALSE)))))</f>
        <v/>
      </c>
      <c r="AN944" s="461" t="str">
        <f t="shared" si="540"/>
        <v/>
      </c>
      <c r="AO944" s="462" t="str">
        <f t="shared" si="541"/>
        <v/>
      </c>
      <c r="AP944" s="463" t="str">
        <f t="shared" si="542"/>
        <v/>
      </c>
      <c r="AQ944" s="464"/>
      <c r="AR944" s="619"/>
      <c r="AS944" s="465" t="str">
        <f t="shared" si="512"/>
        <v/>
      </c>
      <c r="AT944" s="465" t="str">
        <f t="shared" si="513"/>
        <v/>
      </c>
      <c r="AU944" s="466" t="str">
        <f t="shared" si="514"/>
        <v/>
      </c>
      <c r="AV944" s="467" t="str">
        <f t="shared" si="515"/>
        <v/>
      </c>
      <c r="AW944" s="467" t="str">
        <f t="shared" si="516"/>
        <v/>
      </c>
      <c r="AX944" s="467" t="str">
        <f t="shared" si="517"/>
        <v/>
      </c>
      <c r="AY944" s="467" t="str">
        <f t="shared" si="518"/>
        <v/>
      </c>
      <c r="AZ944" s="467" t="str">
        <f t="shared" si="519"/>
        <v/>
      </c>
      <c r="BA944" s="468" t="str">
        <f>IF(AS944="","",IF(OR(AU944="",AU944="-"),"－",IF(OR(AZ944=8,AZ944=9),"",IF(OR(AW944=3,AW944=4,AW944=5,AW944=6),VLOOKUP(AU944,INDEX((係数_バス貨物_ガソリン,係数_バス貨物_CNG,係数_バス貨物_軽油,係数_バス貨物_メタノール,係数_バス貨物_LPG),MATCH(AY944,【参考】排出係数!$AI$4:$AI$671,1),1,BE944):INDEX((係数_バス貨物_ガソリン,係数_バス貨物_CNG,係数_バス貨物_軽油,係数_バス貨物_メタノール,係数_バス貨物_LPG),MATCH(AY944+1,【参考】排出係数!$AI$4:$AI$671,1)-1,5,BE944),2,FALSE),IF(OR(AW944=1,AW944=2),VLOOKUP(AU944,INDEX((係数_乗用_ガソリン,係数_乗用_CNG,係数_乗用_軽油,係数_乗用_メタノール,係数_乗用_LPG),1,1,BE944):INDEX((係数_乗用_ガソリン,係数_乗用_CNG,係数_乗用_軽油,係数_乗用_メタノール,係数_乗用_LPG),125,5,BE944),2,FALSE))))))</f>
        <v/>
      </c>
      <c r="BB944" s="468" t="str">
        <f>IF(T944="","",IF(OR(AU944="",AU944="-"),"－",IF(OR(AZ944=8,AZ944=9),"",IF(OR(AW944=3,AW944=4,AW944=5,AW944=6),VLOOKUP(AU944,INDEX((係数_バス貨物_ガソリン,係数_バス貨物_CNG,係数_バス貨物_軽油,係数_バス貨物_メタノール,係数_バス貨物_LPG),MATCH(AY944,【参考】排出係数!$AI$4:$AI$671,1),1,BE944):INDEX((係数_バス貨物_ガソリン,係数_バス貨物_CNG,係数_バス貨物_軽油,係数_バス貨物_メタノール,係数_バス貨物_LPG),MATCH(AY944+1,【参考】排出係数!$AI$4:$AI$671,1)-1,5,BE944),3,FALSE),IF(OR(AW944=1,AW944=2),VLOOKUP(AU944,INDEX((係数_乗用_ガソリン,係数_乗用_CNG,係数_乗用_軽油,係数_乗用_メタノール,係数_乗用_LPG),1,1,BE944):INDEX((係数_乗用_ガソリン,係数_乗用_CNG,係数_乗用_軽油,係数_乗用_メタノール,係数_乗用_LPG),125,5,BE944),3,FALSE))))))</f>
        <v/>
      </c>
      <c r="BC944" s="467" t="str">
        <f t="shared" si="520"/>
        <v/>
      </c>
      <c r="BD944" s="567" t="str">
        <f t="shared" si="521"/>
        <v/>
      </c>
      <c r="BE944" s="467" t="str">
        <f t="shared" si="522"/>
        <v/>
      </c>
      <c r="BF944" s="469" t="str">
        <f t="shared" ca="1" si="523"/>
        <v/>
      </c>
      <c r="BG944" s="469" t="str">
        <f t="shared" ca="1" si="524"/>
        <v/>
      </c>
      <c r="BH944" s="467" t="str">
        <f t="shared" si="525"/>
        <v/>
      </c>
      <c r="BI944" s="467" t="str">
        <f t="shared" ca="1" si="526"/>
        <v/>
      </c>
      <c r="BJ944" s="469" t="str">
        <f t="shared" si="527"/>
        <v/>
      </c>
      <c r="BK944" s="470" t="str">
        <f t="shared" si="511"/>
        <v/>
      </c>
      <c r="BL944" s="775" t="str">
        <f t="shared" si="528"/>
        <v/>
      </c>
      <c r="BM944" s="775" t="str">
        <f t="shared" si="529"/>
        <v/>
      </c>
    </row>
    <row r="945" spans="1:65">
      <c r="A945" s="473">
        <v>889</v>
      </c>
      <c r="B945" s="132"/>
      <c r="C945" s="332"/>
      <c r="D945" s="333"/>
      <c r="E945" s="333"/>
      <c r="F945" s="334"/>
      <c r="G945" s="337"/>
      <c r="H945" s="131"/>
      <c r="I945" s="337"/>
      <c r="J945" s="131"/>
      <c r="K945" s="458" t="str">
        <f t="shared" si="530"/>
        <v/>
      </c>
      <c r="L945" s="458">
        <f t="shared" si="531"/>
        <v>0</v>
      </c>
      <c r="M945" s="458">
        <f t="shared" si="532"/>
        <v>0</v>
      </c>
      <c r="N945" s="459" t="str">
        <f t="shared" si="505"/>
        <v/>
      </c>
      <c r="O945" s="459" t="str">
        <f t="shared" si="506"/>
        <v/>
      </c>
      <c r="P945" s="459" t="str">
        <f t="shared" si="507"/>
        <v/>
      </c>
      <c r="Q945" s="459" t="str">
        <f t="shared" si="508"/>
        <v/>
      </c>
      <c r="R945" s="459" t="str">
        <f t="shared" si="509"/>
        <v/>
      </c>
      <c r="S945" s="459" t="str">
        <f t="shared" si="510"/>
        <v/>
      </c>
      <c r="T945" s="566" t="str">
        <f t="shared" si="533"/>
        <v/>
      </c>
      <c r="U945" s="702"/>
      <c r="V945" s="132"/>
      <c r="W945" s="133"/>
      <c r="X945" s="134"/>
      <c r="Y945" s="135"/>
      <c r="Z945" s="137"/>
      <c r="AA945" s="136"/>
      <c r="AB945" s="566" t="str">
        <f t="shared" si="534"/>
        <v/>
      </c>
      <c r="AC945" s="568" t="str">
        <f t="shared" si="535"/>
        <v/>
      </c>
      <c r="AD945" s="137"/>
      <c r="AE945" s="137"/>
      <c r="AF945" s="138"/>
      <c r="AG945" s="138"/>
      <c r="AH945" s="592" t="str">
        <f t="shared" si="536"/>
        <v/>
      </c>
      <c r="AI945" s="592" t="str">
        <f t="shared" si="537"/>
        <v/>
      </c>
      <c r="AJ945" s="592" t="str">
        <f t="shared" si="538"/>
        <v/>
      </c>
      <c r="AK945" s="460" t="str">
        <f>IF(AU945="","",IF(OR(AZ945=8,AZ945=9),0,IF(OR(AW945=3,AW945=4,AW945=5,AW945=6),IF(LEFT(BF945,1)="1",INDEX(係数_NOX・PM低減,MATCH(AY945,【参考】排出係数!$AI$801:$AI$804,1),1),VLOOKUP(AU945,INDEX((係数_バス貨物_ガソリン,係数_バス貨物_CNG,係数_バス貨物_軽油,係数_バス貨物_メタノール,係数_バス貨物_LPG),MATCH(AY945,【参考】排出係数!$AI$4:$AI$671,1),1,BE945):INDEX((係数_バス貨物_ガソリン,係数_バス貨物_CNG,係数_バス貨物_軽油,係数_バス貨物_メタノール,係数_バス貨物_LPG),MATCH(AY945+1,【参考】排出係数!$AI$4:$AI$671,1)-1,5,BE945),4,FALSE)),IF(AND(BE945=3,LEFT(BF945,1)="1"),0.48,VLOOKUP(AU945,INDEX((係数_乗用_ガソリン,係数_乗用_CNG,係数_乗用_軽油,係数_乗用_メタノール,係数_乗用_LPG),1,1,BE945):INDEX((係数_乗用_ガソリン,係数_乗用_CNG,係数_乗用_軽油,係数_乗用_メタノール,係数_乗用_LPG),125,5,BE945),4,FALSE)))))</f>
        <v/>
      </c>
      <c r="AL945" s="461" t="str">
        <f t="shared" si="539"/>
        <v/>
      </c>
      <c r="AM945" s="460" t="str">
        <f>IF(AU945="","",IF(OR(AZ945=8,AZ945=9),0,IF(OR(AW945=3,AW945=4,AW945=5,AW945=6),IF(LEFT(BH945,1)="1",INDEX(係数_PM低減,MATCH(AY945,【参考】排出係数!$AI$801:$AI$804,1),MATCH(BI945,【参考】排出係数!$AL$798:$AO$798,1)),VLOOKUP(AU945,INDEX((係数_バス貨物_ガソリン,係数_バス貨物_CNG,係数_バス貨物_軽油,係数_バス貨物_メタノール,係数_バス貨物_LPG),MATCH(AY945,【参考】排出係数!$AI$4:$AI$671,1),1,BE945):INDEX((係数_バス貨物_ガソリン,係数_バス貨物_CNG,係数_バス貨物_軽油,係数_バス貨物_メタノール,係数_バス貨物_LPG),MATCH(AY945+1,【参考】排出係数!$AI$4:$AI$671,1)-1,5,BE945),5,FALSE)),IF(AND(BE945=3,LEFT(BF945,1)="1"),0.055,VLOOKUP(AU945,INDEX((係数_乗用_ガソリン,係数_乗用_CNG,係数_乗用_軽油,係数_乗用_メタノール,係数_乗用_LPG),1,1,BE945):INDEX((係数_乗用_ガソリン,係数_乗用_CNG,係数_乗用_軽油,係数_乗用_メタノール,係数_乗用_LPG),125,5,BE945),5,FALSE)))))</f>
        <v/>
      </c>
      <c r="AN945" s="461" t="str">
        <f t="shared" si="540"/>
        <v/>
      </c>
      <c r="AO945" s="462" t="str">
        <f t="shared" si="541"/>
        <v/>
      </c>
      <c r="AP945" s="463" t="str">
        <f t="shared" si="542"/>
        <v/>
      </c>
      <c r="AQ945" s="464"/>
      <c r="AR945" s="619"/>
      <c r="AS945" s="465" t="str">
        <f t="shared" si="512"/>
        <v/>
      </c>
      <c r="AT945" s="465" t="str">
        <f t="shared" si="513"/>
        <v/>
      </c>
      <c r="AU945" s="466" t="str">
        <f t="shared" si="514"/>
        <v/>
      </c>
      <c r="AV945" s="467" t="str">
        <f t="shared" si="515"/>
        <v/>
      </c>
      <c r="AW945" s="467" t="str">
        <f t="shared" si="516"/>
        <v/>
      </c>
      <c r="AX945" s="467" t="str">
        <f t="shared" si="517"/>
        <v/>
      </c>
      <c r="AY945" s="467" t="str">
        <f t="shared" si="518"/>
        <v/>
      </c>
      <c r="AZ945" s="467" t="str">
        <f t="shared" si="519"/>
        <v/>
      </c>
      <c r="BA945" s="468" t="str">
        <f>IF(AS945="","",IF(OR(AU945="",AU945="-"),"－",IF(OR(AZ945=8,AZ945=9),"",IF(OR(AW945=3,AW945=4,AW945=5,AW945=6),VLOOKUP(AU945,INDEX((係数_バス貨物_ガソリン,係数_バス貨物_CNG,係数_バス貨物_軽油,係数_バス貨物_メタノール,係数_バス貨物_LPG),MATCH(AY945,【参考】排出係数!$AI$4:$AI$671,1),1,BE945):INDEX((係数_バス貨物_ガソリン,係数_バス貨物_CNG,係数_バス貨物_軽油,係数_バス貨物_メタノール,係数_バス貨物_LPG),MATCH(AY945+1,【参考】排出係数!$AI$4:$AI$671,1)-1,5,BE945),2,FALSE),IF(OR(AW945=1,AW945=2),VLOOKUP(AU945,INDEX((係数_乗用_ガソリン,係数_乗用_CNG,係数_乗用_軽油,係数_乗用_メタノール,係数_乗用_LPG),1,1,BE945):INDEX((係数_乗用_ガソリン,係数_乗用_CNG,係数_乗用_軽油,係数_乗用_メタノール,係数_乗用_LPG),125,5,BE945),2,FALSE))))))</f>
        <v/>
      </c>
      <c r="BB945" s="468" t="str">
        <f>IF(T945="","",IF(OR(AU945="",AU945="-"),"－",IF(OR(AZ945=8,AZ945=9),"",IF(OR(AW945=3,AW945=4,AW945=5,AW945=6),VLOOKUP(AU945,INDEX((係数_バス貨物_ガソリン,係数_バス貨物_CNG,係数_バス貨物_軽油,係数_バス貨物_メタノール,係数_バス貨物_LPG),MATCH(AY945,【参考】排出係数!$AI$4:$AI$671,1),1,BE945):INDEX((係数_バス貨物_ガソリン,係数_バス貨物_CNG,係数_バス貨物_軽油,係数_バス貨物_メタノール,係数_バス貨物_LPG),MATCH(AY945+1,【参考】排出係数!$AI$4:$AI$671,1)-1,5,BE945),3,FALSE),IF(OR(AW945=1,AW945=2),VLOOKUP(AU945,INDEX((係数_乗用_ガソリン,係数_乗用_CNG,係数_乗用_軽油,係数_乗用_メタノール,係数_乗用_LPG),1,1,BE945):INDEX((係数_乗用_ガソリン,係数_乗用_CNG,係数_乗用_軽油,係数_乗用_メタノール,係数_乗用_LPG),125,5,BE945),3,FALSE))))))</f>
        <v/>
      </c>
      <c r="BC945" s="467" t="str">
        <f t="shared" si="520"/>
        <v/>
      </c>
      <c r="BD945" s="567" t="str">
        <f t="shared" si="521"/>
        <v/>
      </c>
      <c r="BE945" s="467" t="str">
        <f t="shared" si="522"/>
        <v/>
      </c>
      <c r="BF945" s="469" t="str">
        <f t="shared" ca="1" si="523"/>
        <v/>
      </c>
      <c r="BG945" s="469" t="str">
        <f t="shared" ca="1" si="524"/>
        <v/>
      </c>
      <c r="BH945" s="467" t="str">
        <f t="shared" si="525"/>
        <v/>
      </c>
      <c r="BI945" s="467" t="str">
        <f t="shared" ca="1" si="526"/>
        <v/>
      </c>
      <c r="BJ945" s="469" t="str">
        <f t="shared" si="527"/>
        <v/>
      </c>
      <c r="BK945" s="470" t="str">
        <f t="shared" si="511"/>
        <v/>
      </c>
      <c r="BL945" s="775" t="str">
        <f t="shared" si="528"/>
        <v/>
      </c>
      <c r="BM945" s="775" t="str">
        <f t="shared" si="529"/>
        <v/>
      </c>
    </row>
    <row r="946" spans="1:65">
      <c r="A946" s="473">
        <v>890</v>
      </c>
      <c r="B946" s="132"/>
      <c r="C946" s="332"/>
      <c r="D946" s="333"/>
      <c r="E946" s="333"/>
      <c r="F946" s="334"/>
      <c r="G946" s="337"/>
      <c r="H946" s="131"/>
      <c r="I946" s="337"/>
      <c r="J946" s="131"/>
      <c r="K946" s="458" t="str">
        <f t="shared" si="530"/>
        <v/>
      </c>
      <c r="L946" s="458">
        <f t="shared" si="531"/>
        <v>0</v>
      </c>
      <c r="M946" s="458">
        <f t="shared" si="532"/>
        <v>0</v>
      </c>
      <c r="N946" s="459" t="str">
        <f t="shared" si="505"/>
        <v/>
      </c>
      <c r="O946" s="459" t="str">
        <f t="shared" si="506"/>
        <v/>
      </c>
      <c r="P946" s="459" t="str">
        <f t="shared" si="507"/>
        <v/>
      </c>
      <c r="Q946" s="459" t="str">
        <f t="shared" si="508"/>
        <v/>
      </c>
      <c r="R946" s="459" t="str">
        <f t="shared" si="509"/>
        <v/>
      </c>
      <c r="S946" s="459" t="str">
        <f t="shared" si="510"/>
        <v/>
      </c>
      <c r="T946" s="566" t="str">
        <f t="shared" si="533"/>
        <v/>
      </c>
      <c r="U946" s="702"/>
      <c r="V946" s="132"/>
      <c r="W946" s="133"/>
      <c r="X946" s="134"/>
      <c r="Y946" s="135"/>
      <c r="Z946" s="137"/>
      <c r="AA946" s="136"/>
      <c r="AB946" s="566" t="str">
        <f t="shared" si="534"/>
        <v/>
      </c>
      <c r="AC946" s="568" t="str">
        <f t="shared" si="535"/>
        <v/>
      </c>
      <c r="AD946" s="137"/>
      <c r="AE946" s="137"/>
      <c r="AF946" s="138"/>
      <c r="AG946" s="138"/>
      <c r="AH946" s="592" t="str">
        <f t="shared" si="536"/>
        <v/>
      </c>
      <c r="AI946" s="592" t="str">
        <f t="shared" si="537"/>
        <v/>
      </c>
      <c r="AJ946" s="592" t="str">
        <f t="shared" si="538"/>
        <v/>
      </c>
      <c r="AK946" s="460" t="str">
        <f>IF(AU946="","",IF(OR(AZ946=8,AZ946=9),0,IF(OR(AW946=3,AW946=4,AW946=5,AW946=6),IF(LEFT(BF946,1)="1",INDEX(係数_NOX・PM低減,MATCH(AY946,【参考】排出係数!$AI$801:$AI$804,1),1),VLOOKUP(AU946,INDEX((係数_バス貨物_ガソリン,係数_バス貨物_CNG,係数_バス貨物_軽油,係数_バス貨物_メタノール,係数_バス貨物_LPG),MATCH(AY946,【参考】排出係数!$AI$4:$AI$671,1),1,BE946):INDEX((係数_バス貨物_ガソリン,係数_バス貨物_CNG,係数_バス貨物_軽油,係数_バス貨物_メタノール,係数_バス貨物_LPG),MATCH(AY946+1,【参考】排出係数!$AI$4:$AI$671,1)-1,5,BE946),4,FALSE)),IF(AND(BE946=3,LEFT(BF946,1)="1"),0.48,VLOOKUP(AU946,INDEX((係数_乗用_ガソリン,係数_乗用_CNG,係数_乗用_軽油,係数_乗用_メタノール,係数_乗用_LPG),1,1,BE946):INDEX((係数_乗用_ガソリン,係数_乗用_CNG,係数_乗用_軽油,係数_乗用_メタノール,係数_乗用_LPG),125,5,BE946),4,FALSE)))))</f>
        <v/>
      </c>
      <c r="AL946" s="461" t="str">
        <f t="shared" si="539"/>
        <v/>
      </c>
      <c r="AM946" s="460" t="str">
        <f>IF(AU946="","",IF(OR(AZ946=8,AZ946=9),0,IF(OR(AW946=3,AW946=4,AW946=5,AW946=6),IF(LEFT(BH946,1)="1",INDEX(係数_PM低減,MATCH(AY946,【参考】排出係数!$AI$801:$AI$804,1),MATCH(BI946,【参考】排出係数!$AL$798:$AO$798,1)),VLOOKUP(AU946,INDEX((係数_バス貨物_ガソリン,係数_バス貨物_CNG,係数_バス貨物_軽油,係数_バス貨物_メタノール,係数_バス貨物_LPG),MATCH(AY946,【参考】排出係数!$AI$4:$AI$671,1),1,BE946):INDEX((係数_バス貨物_ガソリン,係数_バス貨物_CNG,係数_バス貨物_軽油,係数_バス貨物_メタノール,係数_バス貨物_LPG),MATCH(AY946+1,【参考】排出係数!$AI$4:$AI$671,1)-1,5,BE946),5,FALSE)),IF(AND(BE946=3,LEFT(BF946,1)="1"),0.055,VLOOKUP(AU946,INDEX((係数_乗用_ガソリン,係数_乗用_CNG,係数_乗用_軽油,係数_乗用_メタノール,係数_乗用_LPG),1,1,BE946):INDEX((係数_乗用_ガソリン,係数_乗用_CNG,係数_乗用_軽油,係数_乗用_メタノール,係数_乗用_LPG),125,5,BE946),5,FALSE)))))</f>
        <v/>
      </c>
      <c r="AN946" s="461" t="str">
        <f t="shared" si="540"/>
        <v/>
      </c>
      <c r="AO946" s="462" t="str">
        <f t="shared" si="541"/>
        <v/>
      </c>
      <c r="AP946" s="463" t="str">
        <f t="shared" si="542"/>
        <v/>
      </c>
      <c r="AQ946" s="464"/>
      <c r="AR946" s="619"/>
      <c r="AS946" s="465" t="str">
        <f t="shared" si="512"/>
        <v/>
      </c>
      <c r="AT946" s="465" t="str">
        <f t="shared" si="513"/>
        <v/>
      </c>
      <c r="AU946" s="466" t="str">
        <f t="shared" si="514"/>
        <v/>
      </c>
      <c r="AV946" s="467" t="str">
        <f t="shared" si="515"/>
        <v/>
      </c>
      <c r="AW946" s="467" t="str">
        <f t="shared" si="516"/>
        <v/>
      </c>
      <c r="AX946" s="467" t="str">
        <f t="shared" si="517"/>
        <v/>
      </c>
      <c r="AY946" s="467" t="str">
        <f t="shared" si="518"/>
        <v/>
      </c>
      <c r="AZ946" s="467" t="str">
        <f t="shared" si="519"/>
        <v/>
      </c>
      <c r="BA946" s="468" t="str">
        <f>IF(AS946="","",IF(OR(AU946="",AU946="-"),"－",IF(OR(AZ946=8,AZ946=9),"",IF(OR(AW946=3,AW946=4,AW946=5,AW946=6),VLOOKUP(AU946,INDEX((係数_バス貨物_ガソリン,係数_バス貨物_CNG,係数_バス貨物_軽油,係数_バス貨物_メタノール,係数_バス貨物_LPG),MATCH(AY946,【参考】排出係数!$AI$4:$AI$671,1),1,BE946):INDEX((係数_バス貨物_ガソリン,係数_バス貨物_CNG,係数_バス貨物_軽油,係数_バス貨物_メタノール,係数_バス貨物_LPG),MATCH(AY946+1,【参考】排出係数!$AI$4:$AI$671,1)-1,5,BE946),2,FALSE),IF(OR(AW946=1,AW946=2),VLOOKUP(AU946,INDEX((係数_乗用_ガソリン,係数_乗用_CNG,係数_乗用_軽油,係数_乗用_メタノール,係数_乗用_LPG),1,1,BE946):INDEX((係数_乗用_ガソリン,係数_乗用_CNG,係数_乗用_軽油,係数_乗用_メタノール,係数_乗用_LPG),125,5,BE946),2,FALSE))))))</f>
        <v/>
      </c>
      <c r="BB946" s="468" t="str">
        <f>IF(T946="","",IF(OR(AU946="",AU946="-"),"－",IF(OR(AZ946=8,AZ946=9),"",IF(OR(AW946=3,AW946=4,AW946=5,AW946=6),VLOOKUP(AU946,INDEX((係数_バス貨物_ガソリン,係数_バス貨物_CNG,係数_バス貨物_軽油,係数_バス貨物_メタノール,係数_バス貨物_LPG),MATCH(AY946,【参考】排出係数!$AI$4:$AI$671,1),1,BE946):INDEX((係数_バス貨物_ガソリン,係数_バス貨物_CNG,係数_バス貨物_軽油,係数_バス貨物_メタノール,係数_バス貨物_LPG),MATCH(AY946+1,【参考】排出係数!$AI$4:$AI$671,1)-1,5,BE946),3,FALSE),IF(OR(AW946=1,AW946=2),VLOOKUP(AU946,INDEX((係数_乗用_ガソリン,係数_乗用_CNG,係数_乗用_軽油,係数_乗用_メタノール,係数_乗用_LPG),1,1,BE946):INDEX((係数_乗用_ガソリン,係数_乗用_CNG,係数_乗用_軽油,係数_乗用_メタノール,係数_乗用_LPG),125,5,BE946),3,FALSE))))))</f>
        <v/>
      </c>
      <c r="BC946" s="467" t="str">
        <f t="shared" si="520"/>
        <v/>
      </c>
      <c r="BD946" s="567" t="str">
        <f t="shared" si="521"/>
        <v/>
      </c>
      <c r="BE946" s="467" t="str">
        <f t="shared" si="522"/>
        <v/>
      </c>
      <c r="BF946" s="469" t="str">
        <f t="shared" ca="1" si="523"/>
        <v/>
      </c>
      <c r="BG946" s="469" t="str">
        <f t="shared" ca="1" si="524"/>
        <v/>
      </c>
      <c r="BH946" s="467" t="str">
        <f t="shared" si="525"/>
        <v/>
      </c>
      <c r="BI946" s="467" t="str">
        <f t="shared" ca="1" si="526"/>
        <v/>
      </c>
      <c r="BJ946" s="469" t="str">
        <f t="shared" si="527"/>
        <v/>
      </c>
      <c r="BK946" s="470" t="str">
        <f t="shared" si="511"/>
        <v/>
      </c>
      <c r="BL946" s="775" t="str">
        <f t="shared" si="528"/>
        <v/>
      </c>
      <c r="BM946" s="775" t="str">
        <f t="shared" si="529"/>
        <v/>
      </c>
    </row>
    <row r="947" spans="1:65">
      <c r="A947" s="473">
        <v>891</v>
      </c>
      <c r="B947" s="132"/>
      <c r="C947" s="332"/>
      <c r="D947" s="333"/>
      <c r="E947" s="333"/>
      <c r="F947" s="334"/>
      <c r="G947" s="337"/>
      <c r="H947" s="131"/>
      <c r="I947" s="337"/>
      <c r="J947" s="131"/>
      <c r="K947" s="458" t="str">
        <f t="shared" si="530"/>
        <v/>
      </c>
      <c r="L947" s="458">
        <f t="shared" si="531"/>
        <v>0</v>
      </c>
      <c r="M947" s="458">
        <f t="shared" si="532"/>
        <v>0</v>
      </c>
      <c r="N947" s="459" t="str">
        <f t="shared" si="505"/>
        <v/>
      </c>
      <c r="O947" s="459" t="str">
        <f t="shared" si="506"/>
        <v/>
      </c>
      <c r="P947" s="459" t="str">
        <f t="shared" si="507"/>
        <v/>
      </c>
      <c r="Q947" s="459" t="str">
        <f t="shared" si="508"/>
        <v/>
      </c>
      <c r="R947" s="459" t="str">
        <f t="shared" si="509"/>
        <v/>
      </c>
      <c r="S947" s="459" t="str">
        <f t="shared" si="510"/>
        <v/>
      </c>
      <c r="T947" s="566" t="str">
        <f t="shared" si="533"/>
        <v/>
      </c>
      <c r="U947" s="702"/>
      <c r="V947" s="132"/>
      <c r="W947" s="133"/>
      <c r="X947" s="134"/>
      <c r="Y947" s="135"/>
      <c r="Z947" s="137"/>
      <c r="AA947" s="136"/>
      <c r="AB947" s="566" t="str">
        <f t="shared" si="534"/>
        <v/>
      </c>
      <c r="AC947" s="568" t="str">
        <f t="shared" si="535"/>
        <v/>
      </c>
      <c r="AD947" s="137"/>
      <c r="AE947" s="137"/>
      <c r="AF947" s="138"/>
      <c r="AG947" s="138"/>
      <c r="AH947" s="592" t="str">
        <f t="shared" si="536"/>
        <v/>
      </c>
      <c r="AI947" s="592" t="str">
        <f t="shared" si="537"/>
        <v/>
      </c>
      <c r="AJ947" s="592" t="str">
        <f t="shared" si="538"/>
        <v/>
      </c>
      <c r="AK947" s="460" t="str">
        <f>IF(AU947="","",IF(OR(AZ947=8,AZ947=9),0,IF(OR(AW947=3,AW947=4,AW947=5,AW947=6),IF(LEFT(BF947,1)="1",INDEX(係数_NOX・PM低減,MATCH(AY947,【参考】排出係数!$AI$801:$AI$804,1),1),VLOOKUP(AU947,INDEX((係数_バス貨物_ガソリン,係数_バス貨物_CNG,係数_バス貨物_軽油,係数_バス貨物_メタノール,係数_バス貨物_LPG),MATCH(AY947,【参考】排出係数!$AI$4:$AI$671,1),1,BE947):INDEX((係数_バス貨物_ガソリン,係数_バス貨物_CNG,係数_バス貨物_軽油,係数_バス貨物_メタノール,係数_バス貨物_LPG),MATCH(AY947+1,【参考】排出係数!$AI$4:$AI$671,1)-1,5,BE947),4,FALSE)),IF(AND(BE947=3,LEFT(BF947,1)="1"),0.48,VLOOKUP(AU947,INDEX((係数_乗用_ガソリン,係数_乗用_CNG,係数_乗用_軽油,係数_乗用_メタノール,係数_乗用_LPG),1,1,BE947):INDEX((係数_乗用_ガソリン,係数_乗用_CNG,係数_乗用_軽油,係数_乗用_メタノール,係数_乗用_LPG),125,5,BE947),4,FALSE)))))</f>
        <v/>
      </c>
      <c r="AL947" s="461" t="str">
        <f t="shared" si="539"/>
        <v/>
      </c>
      <c r="AM947" s="460" t="str">
        <f>IF(AU947="","",IF(OR(AZ947=8,AZ947=9),0,IF(OR(AW947=3,AW947=4,AW947=5,AW947=6),IF(LEFT(BH947,1)="1",INDEX(係数_PM低減,MATCH(AY947,【参考】排出係数!$AI$801:$AI$804,1),MATCH(BI947,【参考】排出係数!$AL$798:$AO$798,1)),VLOOKUP(AU947,INDEX((係数_バス貨物_ガソリン,係数_バス貨物_CNG,係数_バス貨物_軽油,係数_バス貨物_メタノール,係数_バス貨物_LPG),MATCH(AY947,【参考】排出係数!$AI$4:$AI$671,1),1,BE947):INDEX((係数_バス貨物_ガソリン,係数_バス貨物_CNG,係数_バス貨物_軽油,係数_バス貨物_メタノール,係数_バス貨物_LPG),MATCH(AY947+1,【参考】排出係数!$AI$4:$AI$671,1)-1,5,BE947),5,FALSE)),IF(AND(BE947=3,LEFT(BF947,1)="1"),0.055,VLOOKUP(AU947,INDEX((係数_乗用_ガソリン,係数_乗用_CNG,係数_乗用_軽油,係数_乗用_メタノール,係数_乗用_LPG),1,1,BE947):INDEX((係数_乗用_ガソリン,係数_乗用_CNG,係数_乗用_軽油,係数_乗用_メタノール,係数_乗用_LPG),125,5,BE947),5,FALSE)))))</f>
        <v/>
      </c>
      <c r="AN947" s="461" t="str">
        <f t="shared" si="540"/>
        <v/>
      </c>
      <c r="AO947" s="462" t="str">
        <f t="shared" si="541"/>
        <v/>
      </c>
      <c r="AP947" s="463" t="str">
        <f t="shared" si="542"/>
        <v/>
      </c>
      <c r="AQ947" s="464"/>
      <c r="AR947" s="619"/>
      <c r="AS947" s="465" t="str">
        <f t="shared" si="512"/>
        <v/>
      </c>
      <c r="AT947" s="465" t="str">
        <f t="shared" si="513"/>
        <v/>
      </c>
      <c r="AU947" s="466" t="str">
        <f t="shared" si="514"/>
        <v/>
      </c>
      <c r="AV947" s="467" t="str">
        <f t="shared" si="515"/>
        <v/>
      </c>
      <c r="AW947" s="467" t="str">
        <f t="shared" si="516"/>
        <v/>
      </c>
      <c r="AX947" s="467" t="str">
        <f t="shared" si="517"/>
        <v/>
      </c>
      <c r="AY947" s="467" t="str">
        <f t="shared" si="518"/>
        <v/>
      </c>
      <c r="AZ947" s="467" t="str">
        <f t="shared" si="519"/>
        <v/>
      </c>
      <c r="BA947" s="468" t="str">
        <f>IF(AS947="","",IF(OR(AU947="",AU947="-"),"－",IF(OR(AZ947=8,AZ947=9),"",IF(OR(AW947=3,AW947=4,AW947=5,AW947=6),VLOOKUP(AU947,INDEX((係数_バス貨物_ガソリン,係数_バス貨物_CNG,係数_バス貨物_軽油,係数_バス貨物_メタノール,係数_バス貨物_LPG),MATCH(AY947,【参考】排出係数!$AI$4:$AI$671,1),1,BE947):INDEX((係数_バス貨物_ガソリン,係数_バス貨物_CNG,係数_バス貨物_軽油,係数_バス貨物_メタノール,係数_バス貨物_LPG),MATCH(AY947+1,【参考】排出係数!$AI$4:$AI$671,1)-1,5,BE947),2,FALSE),IF(OR(AW947=1,AW947=2),VLOOKUP(AU947,INDEX((係数_乗用_ガソリン,係数_乗用_CNG,係数_乗用_軽油,係数_乗用_メタノール,係数_乗用_LPG),1,1,BE947):INDEX((係数_乗用_ガソリン,係数_乗用_CNG,係数_乗用_軽油,係数_乗用_メタノール,係数_乗用_LPG),125,5,BE947),2,FALSE))))))</f>
        <v/>
      </c>
      <c r="BB947" s="468" t="str">
        <f>IF(T947="","",IF(OR(AU947="",AU947="-"),"－",IF(OR(AZ947=8,AZ947=9),"",IF(OR(AW947=3,AW947=4,AW947=5,AW947=6),VLOOKUP(AU947,INDEX((係数_バス貨物_ガソリン,係数_バス貨物_CNG,係数_バス貨物_軽油,係数_バス貨物_メタノール,係数_バス貨物_LPG),MATCH(AY947,【参考】排出係数!$AI$4:$AI$671,1),1,BE947):INDEX((係数_バス貨物_ガソリン,係数_バス貨物_CNG,係数_バス貨物_軽油,係数_バス貨物_メタノール,係数_バス貨物_LPG),MATCH(AY947+1,【参考】排出係数!$AI$4:$AI$671,1)-1,5,BE947),3,FALSE),IF(OR(AW947=1,AW947=2),VLOOKUP(AU947,INDEX((係数_乗用_ガソリン,係数_乗用_CNG,係数_乗用_軽油,係数_乗用_メタノール,係数_乗用_LPG),1,1,BE947):INDEX((係数_乗用_ガソリン,係数_乗用_CNG,係数_乗用_軽油,係数_乗用_メタノール,係数_乗用_LPG),125,5,BE947),3,FALSE))))))</f>
        <v/>
      </c>
      <c r="BC947" s="467" t="str">
        <f t="shared" si="520"/>
        <v/>
      </c>
      <c r="BD947" s="567" t="str">
        <f t="shared" si="521"/>
        <v/>
      </c>
      <c r="BE947" s="467" t="str">
        <f t="shared" si="522"/>
        <v/>
      </c>
      <c r="BF947" s="469" t="str">
        <f t="shared" ca="1" si="523"/>
        <v/>
      </c>
      <c r="BG947" s="469" t="str">
        <f t="shared" ca="1" si="524"/>
        <v/>
      </c>
      <c r="BH947" s="467" t="str">
        <f t="shared" si="525"/>
        <v/>
      </c>
      <c r="BI947" s="467" t="str">
        <f t="shared" ca="1" si="526"/>
        <v/>
      </c>
      <c r="BJ947" s="469" t="str">
        <f t="shared" si="527"/>
        <v/>
      </c>
      <c r="BK947" s="470" t="str">
        <f t="shared" si="511"/>
        <v/>
      </c>
      <c r="BL947" s="775" t="str">
        <f t="shared" si="528"/>
        <v/>
      </c>
      <c r="BM947" s="775" t="str">
        <f t="shared" si="529"/>
        <v/>
      </c>
    </row>
    <row r="948" spans="1:65">
      <c r="A948" s="473">
        <v>892</v>
      </c>
      <c r="B948" s="132"/>
      <c r="C948" s="332"/>
      <c r="D948" s="333"/>
      <c r="E948" s="333"/>
      <c r="F948" s="334"/>
      <c r="G948" s="337"/>
      <c r="H948" s="131"/>
      <c r="I948" s="337"/>
      <c r="J948" s="131"/>
      <c r="K948" s="458" t="str">
        <f t="shared" si="530"/>
        <v/>
      </c>
      <c r="L948" s="458">
        <f t="shared" si="531"/>
        <v>0</v>
      </c>
      <c r="M948" s="458">
        <f t="shared" si="532"/>
        <v>0</v>
      </c>
      <c r="N948" s="459" t="str">
        <f t="shared" si="505"/>
        <v/>
      </c>
      <c r="O948" s="459" t="str">
        <f t="shared" si="506"/>
        <v/>
      </c>
      <c r="P948" s="459" t="str">
        <f t="shared" si="507"/>
        <v/>
      </c>
      <c r="Q948" s="459" t="str">
        <f t="shared" si="508"/>
        <v/>
      </c>
      <c r="R948" s="459" t="str">
        <f t="shared" si="509"/>
        <v/>
      </c>
      <c r="S948" s="459" t="str">
        <f t="shared" si="510"/>
        <v/>
      </c>
      <c r="T948" s="566" t="str">
        <f t="shared" si="533"/>
        <v/>
      </c>
      <c r="U948" s="702"/>
      <c r="V948" s="132"/>
      <c r="W948" s="133"/>
      <c r="X948" s="134"/>
      <c r="Y948" s="135"/>
      <c r="Z948" s="137"/>
      <c r="AA948" s="136"/>
      <c r="AB948" s="566" t="str">
        <f t="shared" si="534"/>
        <v/>
      </c>
      <c r="AC948" s="568" t="str">
        <f t="shared" si="535"/>
        <v/>
      </c>
      <c r="AD948" s="137"/>
      <c r="AE948" s="137"/>
      <c r="AF948" s="138"/>
      <c r="AG948" s="138"/>
      <c r="AH948" s="592" t="str">
        <f t="shared" si="536"/>
        <v/>
      </c>
      <c r="AI948" s="592" t="str">
        <f t="shared" si="537"/>
        <v/>
      </c>
      <c r="AJ948" s="592" t="str">
        <f t="shared" si="538"/>
        <v/>
      </c>
      <c r="AK948" s="460" t="str">
        <f>IF(AU948="","",IF(OR(AZ948=8,AZ948=9),0,IF(OR(AW948=3,AW948=4,AW948=5,AW948=6),IF(LEFT(BF948,1)="1",INDEX(係数_NOX・PM低減,MATCH(AY948,【参考】排出係数!$AI$801:$AI$804,1),1),VLOOKUP(AU948,INDEX((係数_バス貨物_ガソリン,係数_バス貨物_CNG,係数_バス貨物_軽油,係数_バス貨物_メタノール,係数_バス貨物_LPG),MATCH(AY948,【参考】排出係数!$AI$4:$AI$671,1),1,BE948):INDEX((係数_バス貨物_ガソリン,係数_バス貨物_CNG,係数_バス貨物_軽油,係数_バス貨物_メタノール,係数_バス貨物_LPG),MATCH(AY948+1,【参考】排出係数!$AI$4:$AI$671,1)-1,5,BE948),4,FALSE)),IF(AND(BE948=3,LEFT(BF948,1)="1"),0.48,VLOOKUP(AU948,INDEX((係数_乗用_ガソリン,係数_乗用_CNG,係数_乗用_軽油,係数_乗用_メタノール,係数_乗用_LPG),1,1,BE948):INDEX((係数_乗用_ガソリン,係数_乗用_CNG,係数_乗用_軽油,係数_乗用_メタノール,係数_乗用_LPG),125,5,BE948),4,FALSE)))))</f>
        <v/>
      </c>
      <c r="AL948" s="461" t="str">
        <f t="shared" si="539"/>
        <v/>
      </c>
      <c r="AM948" s="460" t="str">
        <f>IF(AU948="","",IF(OR(AZ948=8,AZ948=9),0,IF(OR(AW948=3,AW948=4,AW948=5,AW948=6),IF(LEFT(BH948,1)="1",INDEX(係数_PM低減,MATCH(AY948,【参考】排出係数!$AI$801:$AI$804,1),MATCH(BI948,【参考】排出係数!$AL$798:$AO$798,1)),VLOOKUP(AU948,INDEX((係数_バス貨物_ガソリン,係数_バス貨物_CNG,係数_バス貨物_軽油,係数_バス貨物_メタノール,係数_バス貨物_LPG),MATCH(AY948,【参考】排出係数!$AI$4:$AI$671,1),1,BE948):INDEX((係数_バス貨物_ガソリン,係数_バス貨物_CNG,係数_バス貨物_軽油,係数_バス貨物_メタノール,係数_バス貨物_LPG),MATCH(AY948+1,【参考】排出係数!$AI$4:$AI$671,1)-1,5,BE948),5,FALSE)),IF(AND(BE948=3,LEFT(BF948,1)="1"),0.055,VLOOKUP(AU948,INDEX((係数_乗用_ガソリン,係数_乗用_CNG,係数_乗用_軽油,係数_乗用_メタノール,係数_乗用_LPG),1,1,BE948):INDEX((係数_乗用_ガソリン,係数_乗用_CNG,係数_乗用_軽油,係数_乗用_メタノール,係数_乗用_LPG),125,5,BE948),5,FALSE)))))</f>
        <v/>
      </c>
      <c r="AN948" s="461" t="str">
        <f t="shared" si="540"/>
        <v/>
      </c>
      <c r="AO948" s="462" t="str">
        <f t="shared" si="541"/>
        <v/>
      </c>
      <c r="AP948" s="463" t="str">
        <f t="shared" si="542"/>
        <v/>
      </c>
      <c r="AQ948" s="464"/>
      <c r="AR948" s="619"/>
      <c r="AS948" s="465" t="str">
        <f t="shared" si="512"/>
        <v/>
      </c>
      <c r="AT948" s="465" t="str">
        <f t="shared" si="513"/>
        <v/>
      </c>
      <c r="AU948" s="466" t="str">
        <f t="shared" si="514"/>
        <v/>
      </c>
      <c r="AV948" s="467" t="str">
        <f t="shared" si="515"/>
        <v/>
      </c>
      <c r="AW948" s="467" t="str">
        <f t="shared" si="516"/>
        <v/>
      </c>
      <c r="AX948" s="467" t="str">
        <f t="shared" si="517"/>
        <v/>
      </c>
      <c r="AY948" s="467" t="str">
        <f t="shared" si="518"/>
        <v/>
      </c>
      <c r="AZ948" s="467" t="str">
        <f t="shared" si="519"/>
        <v/>
      </c>
      <c r="BA948" s="468" t="str">
        <f>IF(AS948="","",IF(OR(AU948="",AU948="-"),"－",IF(OR(AZ948=8,AZ948=9),"",IF(OR(AW948=3,AW948=4,AW948=5,AW948=6),VLOOKUP(AU948,INDEX((係数_バス貨物_ガソリン,係数_バス貨物_CNG,係数_バス貨物_軽油,係数_バス貨物_メタノール,係数_バス貨物_LPG),MATCH(AY948,【参考】排出係数!$AI$4:$AI$671,1),1,BE948):INDEX((係数_バス貨物_ガソリン,係数_バス貨物_CNG,係数_バス貨物_軽油,係数_バス貨物_メタノール,係数_バス貨物_LPG),MATCH(AY948+1,【参考】排出係数!$AI$4:$AI$671,1)-1,5,BE948),2,FALSE),IF(OR(AW948=1,AW948=2),VLOOKUP(AU948,INDEX((係数_乗用_ガソリン,係数_乗用_CNG,係数_乗用_軽油,係数_乗用_メタノール,係数_乗用_LPG),1,1,BE948):INDEX((係数_乗用_ガソリン,係数_乗用_CNG,係数_乗用_軽油,係数_乗用_メタノール,係数_乗用_LPG),125,5,BE948),2,FALSE))))))</f>
        <v/>
      </c>
      <c r="BB948" s="468" t="str">
        <f>IF(T948="","",IF(OR(AU948="",AU948="-"),"－",IF(OR(AZ948=8,AZ948=9),"",IF(OR(AW948=3,AW948=4,AW948=5,AW948=6),VLOOKUP(AU948,INDEX((係数_バス貨物_ガソリン,係数_バス貨物_CNG,係数_バス貨物_軽油,係数_バス貨物_メタノール,係数_バス貨物_LPG),MATCH(AY948,【参考】排出係数!$AI$4:$AI$671,1),1,BE948):INDEX((係数_バス貨物_ガソリン,係数_バス貨物_CNG,係数_バス貨物_軽油,係数_バス貨物_メタノール,係数_バス貨物_LPG),MATCH(AY948+1,【参考】排出係数!$AI$4:$AI$671,1)-1,5,BE948),3,FALSE),IF(OR(AW948=1,AW948=2),VLOOKUP(AU948,INDEX((係数_乗用_ガソリン,係数_乗用_CNG,係数_乗用_軽油,係数_乗用_メタノール,係数_乗用_LPG),1,1,BE948):INDEX((係数_乗用_ガソリン,係数_乗用_CNG,係数_乗用_軽油,係数_乗用_メタノール,係数_乗用_LPG),125,5,BE948),3,FALSE))))))</f>
        <v/>
      </c>
      <c r="BC948" s="467" t="str">
        <f t="shared" si="520"/>
        <v/>
      </c>
      <c r="BD948" s="567" t="str">
        <f t="shared" si="521"/>
        <v/>
      </c>
      <c r="BE948" s="467" t="str">
        <f t="shared" si="522"/>
        <v/>
      </c>
      <c r="BF948" s="469" t="str">
        <f t="shared" ca="1" si="523"/>
        <v/>
      </c>
      <c r="BG948" s="469" t="str">
        <f t="shared" ca="1" si="524"/>
        <v/>
      </c>
      <c r="BH948" s="467" t="str">
        <f t="shared" si="525"/>
        <v/>
      </c>
      <c r="BI948" s="467" t="str">
        <f t="shared" ca="1" si="526"/>
        <v/>
      </c>
      <c r="BJ948" s="469" t="str">
        <f t="shared" si="527"/>
        <v/>
      </c>
      <c r="BK948" s="470" t="str">
        <f t="shared" si="511"/>
        <v/>
      </c>
      <c r="BL948" s="775" t="str">
        <f t="shared" si="528"/>
        <v/>
      </c>
      <c r="BM948" s="775" t="str">
        <f t="shared" si="529"/>
        <v/>
      </c>
    </row>
    <row r="949" spans="1:65">
      <c r="A949" s="473">
        <v>893</v>
      </c>
      <c r="B949" s="132"/>
      <c r="C949" s="332"/>
      <c r="D949" s="333"/>
      <c r="E949" s="333"/>
      <c r="F949" s="334"/>
      <c r="G949" s="337"/>
      <c r="H949" s="131"/>
      <c r="I949" s="337"/>
      <c r="J949" s="131"/>
      <c r="K949" s="458" t="str">
        <f t="shared" si="530"/>
        <v/>
      </c>
      <c r="L949" s="458">
        <f t="shared" si="531"/>
        <v>0</v>
      </c>
      <c r="M949" s="458">
        <f t="shared" si="532"/>
        <v>0</v>
      </c>
      <c r="N949" s="459" t="str">
        <f t="shared" si="505"/>
        <v/>
      </c>
      <c r="O949" s="459" t="str">
        <f t="shared" si="506"/>
        <v/>
      </c>
      <c r="P949" s="459" t="str">
        <f t="shared" si="507"/>
        <v/>
      </c>
      <c r="Q949" s="459" t="str">
        <f t="shared" si="508"/>
        <v/>
      </c>
      <c r="R949" s="459" t="str">
        <f t="shared" si="509"/>
        <v/>
      </c>
      <c r="S949" s="459" t="str">
        <f t="shared" si="510"/>
        <v/>
      </c>
      <c r="T949" s="566" t="str">
        <f t="shared" si="533"/>
        <v/>
      </c>
      <c r="U949" s="702"/>
      <c r="V949" s="132"/>
      <c r="W949" s="133"/>
      <c r="X949" s="134"/>
      <c r="Y949" s="135"/>
      <c r="Z949" s="137"/>
      <c r="AA949" s="136"/>
      <c r="AB949" s="566" t="str">
        <f t="shared" si="534"/>
        <v/>
      </c>
      <c r="AC949" s="568" t="str">
        <f t="shared" si="535"/>
        <v/>
      </c>
      <c r="AD949" s="137"/>
      <c r="AE949" s="137"/>
      <c r="AF949" s="138"/>
      <c r="AG949" s="138"/>
      <c r="AH949" s="592" t="str">
        <f t="shared" si="536"/>
        <v/>
      </c>
      <c r="AI949" s="592" t="str">
        <f t="shared" si="537"/>
        <v/>
      </c>
      <c r="AJ949" s="592" t="str">
        <f t="shared" si="538"/>
        <v/>
      </c>
      <c r="AK949" s="460" t="str">
        <f>IF(AU949="","",IF(OR(AZ949=8,AZ949=9),0,IF(OR(AW949=3,AW949=4,AW949=5,AW949=6),IF(LEFT(BF949,1)="1",INDEX(係数_NOX・PM低減,MATCH(AY949,【参考】排出係数!$AI$801:$AI$804,1),1),VLOOKUP(AU949,INDEX((係数_バス貨物_ガソリン,係数_バス貨物_CNG,係数_バス貨物_軽油,係数_バス貨物_メタノール,係数_バス貨物_LPG),MATCH(AY949,【参考】排出係数!$AI$4:$AI$671,1),1,BE949):INDEX((係数_バス貨物_ガソリン,係数_バス貨物_CNG,係数_バス貨物_軽油,係数_バス貨物_メタノール,係数_バス貨物_LPG),MATCH(AY949+1,【参考】排出係数!$AI$4:$AI$671,1)-1,5,BE949),4,FALSE)),IF(AND(BE949=3,LEFT(BF949,1)="1"),0.48,VLOOKUP(AU949,INDEX((係数_乗用_ガソリン,係数_乗用_CNG,係数_乗用_軽油,係数_乗用_メタノール,係数_乗用_LPG),1,1,BE949):INDEX((係数_乗用_ガソリン,係数_乗用_CNG,係数_乗用_軽油,係数_乗用_メタノール,係数_乗用_LPG),125,5,BE949),4,FALSE)))))</f>
        <v/>
      </c>
      <c r="AL949" s="461" t="str">
        <f t="shared" si="539"/>
        <v/>
      </c>
      <c r="AM949" s="460" t="str">
        <f>IF(AU949="","",IF(OR(AZ949=8,AZ949=9),0,IF(OR(AW949=3,AW949=4,AW949=5,AW949=6),IF(LEFT(BH949,1)="1",INDEX(係数_PM低減,MATCH(AY949,【参考】排出係数!$AI$801:$AI$804,1),MATCH(BI949,【参考】排出係数!$AL$798:$AO$798,1)),VLOOKUP(AU949,INDEX((係数_バス貨物_ガソリン,係数_バス貨物_CNG,係数_バス貨物_軽油,係数_バス貨物_メタノール,係数_バス貨物_LPG),MATCH(AY949,【参考】排出係数!$AI$4:$AI$671,1),1,BE949):INDEX((係数_バス貨物_ガソリン,係数_バス貨物_CNG,係数_バス貨物_軽油,係数_バス貨物_メタノール,係数_バス貨物_LPG),MATCH(AY949+1,【参考】排出係数!$AI$4:$AI$671,1)-1,5,BE949),5,FALSE)),IF(AND(BE949=3,LEFT(BF949,1)="1"),0.055,VLOOKUP(AU949,INDEX((係数_乗用_ガソリン,係数_乗用_CNG,係数_乗用_軽油,係数_乗用_メタノール,係数_乗用_LPG),1,1,BE949):INDEX((係数_乗用_ガソリン,係数_乗用_CNG,係数_乗用_軽油,係数_乗用_メタノール,係数_乗用_LPG),125,5,BE949),5,FALSE)))))</f>
        <v/>
      </c>
      <c r="AN949" s="461" t="str">
        <f t="shared" si="540"/>
        <v/>
      </c>
      <c r="AO949" s="462" t="str">
        <f t="shared" si="541"/>
        <v/>
      </c>
      <c r="AP949" s="463" t="str">
        <f t="shared" si="542"/>
        <v/>
      </c>
      <c r="AQ949" s="464"/>
      <c r="AR949" s="619"/>
      <c r="AS949" s="465" t="str">
        <f t="shared" si="512"/>
        <v/>
      </c>
      <c r="AT949" s="465" t="str">
        <f t="shared" si="513"/>
        <v/>
      </c>
      <c r="AU949" s="466" t="str">
        <f t="shared" si="514"/>
        <v/>
      </c>
      <c r="AV949" s="467" t="str">
        <f t="shared" si="515"/>
        <v/>
      </c>
      <c r="AW949" s="467" t="str">
        <f t="shared" si="516"/>
        <v/>
      </c>
      <c r="AX949" s="467" t="str">
        <f t="shared" si="517"/>
        <v/>
      </c>
      <c r="AY949" s="467" t="str">
        <f t="shared" si="518"/>
        <v/>
      </c>
      <c r="AZ949" s="467" t="str">
        <f t="shared" si="519"/>
        <v/>
      </c>
      <c r="BA949" s="468" t="str">
        <f>IF(AS949="","",IF(OR(AU949="",AU949="-"),"－",IF(OR(AZ949=8,AZ949=9),"",IF(OR(AW949=3,AW949=4,AW949=5,AW949=6),VLOOKUP(AU949,INDEX((係数_バス貨物_ガソリン,係数_バス貨物_CNG,係数_バス貨物_軽油,係数_バス貨物_メタノール,係数_バス貨物_LPG),MATCH(AY949,【参考】排出係数!$AI$4:$AI$671,1),1,BE949):INDEX((係数_バス貨物_ガソリン,係数_バス貨物_CNG,係数_バス貨物_軽油,係数_バス貨物_メタノール,係数_バス貨物_LPG),MATCH(AY949+1,【参考】排出係数!$AI$4:$AI$671,1)-1,5,BE949),2,FALSE),IF(OR(AW949=1,AW949=2),VLOOKUP(AU949,INDEX((係数_乗用_ガソリン,係数_乗用_CNG,係数_乗用_軽油,係数_乗用_メタノール,係数_乗用_LPG),1,1,BE949):INDEX((係数_乗用_ガソリン,係数_乗用_CNG,係数_乗用_軽油,係数_乗用_メタノール,係数_乗用_LPG),125,5,BE949),2,FALSE))))))</f>
        <v/>
      </c>
      <c r="BB949" s="468" t="str">
        <f>IF(T949="","",IF(OR(AU949="",AU949="-"),"－",IF(OR(AZ949=8,AZ949=9),"",IF(OR(AW949=3,AW949=4,AW949=5,AW949=6),VLOOKUP(AU949,INDEX((係数_バス貨物_ガソリン,係数_バス貨物_CNG,係数_バス貨物_軽油,係数_バス貨物_メタノール,係数_バス貨物_LPG),MATCH(AY949,【参考】排出係数!$AI$4:$AI$671,1),1,BE949):INDEX((係数_バス貨物_ガソリン,係数_バス貨物_CNG,係数_バス貨物_軽油,係数_バス貨物_メタノール,係数_バス貨物_LPG),MATCH(AY949+1,【参考】排出係数!$AI$4:$AI$671,1)-1,5,BE949),3,FALSE),IF(OR(AW949=1,AW949=2),VLOOKUP(AU949,INDEX((係数_乗用_ガソリン,係数_乗用_CNG,係数_乗用_軽油,係数_乗用_メタノール,係数_乗用_LPG),1,1,BE949):INDEX((係数_乗用_ガソリン,係数_乗用_CNG,係数_乗用_軽油,係数_乗用_メタノール,係数_乗用_LPG),125,5,BE949),3,FALSE))))))</f>
        <v/>
      </c>
      <c r="BC949" s="467" t="str">
        <f t="shared" si="520"/>
        <v/>
      </c>
      <c r="BD949" s="567" t="str">
        <f t="shared" si="521"/>
        <v/>
      </c>
      <c r="BE949" s="467" t="str">
        <f t="shared" si="522"/>
        <v/>
      </c>
      <c r="BF949" s="469" t="str">
        <f t="shared" ca="1" si="523"/>
        <v/>
      </c>
      <c r="BG949" s="469" t="str">
        <f t="shared" ca="1" si="524"/>
        <v/>
      </c>
      <c r="BH949" s="467" t="str">
        <f t="shared" si="525"/>
        <v/>
      </c>
      <c r="BI949" s="467" t="str">
        <f t="shared" ca="1" si="526"/>
        <v/>
      </c>
      <c r="BJ949" s="469" t="str">
        <f t="shared" si="527"/>
        <v/>
      </c>
      <c r="BK949" s="470" t="str">
        <f t="shared" si="511"/>
        <v/>
      </c>
      <c r="BL949" s="775" t="str">
        <f t="shared" si="528"/>
        <v/>
      </c>
      <c r="BM949" s="775" t="str">
        <f t="shared" si="529"/>
        <v/>
      </c>
    </row>
    <row r="950" spans="1:65">
      <c r="A950" s="473">
        <v>894</v>
      </c>
      <c r="B950" s="132"/>
      <c r="C950" s="332"/>
      <c r="D950" s="333"/>
      <c r="E950" s="333"/>
      <c r="F950" s="334"/>
      <c r="G950" s="337"/>
      <c r="H950" s="131"/>
      <c r="I950" s="337"/>
      <c r="J950" s="131"/>
      <c r="K950" s="458" t="str">
        <f t="shared" si="530"/>
        <v/>
      </c>
      <c r="L950" s="458">
        <f t="shared" si="531"/>
        <v>0</v>
      </c>
      <c r="M950" s="458">
        <f t="shared" si="532"/>
        <v>0</v>
      </c>
      <c r="N950" s="459" t="str">
        <f t="shared" si="505"/>
        <v/>
      </c>
      <c r="O950" s="459" t="str">
        <f t="shared" si="506"/>
        <v/>
      </c>
      <c r="P950" s="459" t="str">
        <f t="shared" si="507"/>
        <v/>
      </c>
      <c r="Q950" s="459" t="str">
        <f t="shared" si="508"/>
        <v/>
      </c>
      <c r="R950" s="459" t="str">
        <f t="shared" si="509"/>
        <v/>
      </c>
      <c r="S950" s="459" t="str">
        <f t="shared" si="510"/>
        <v/>
      </c>
      <c r="T950" s="566" t="str">
        <f t="shared" si="533"/>
        <v/>
      </c>
      <c r="U950" s="702"/>
      <c r="V950" s="132"/>
      <c r="W950" s="133"/>
      <c r="X950" s="134"/>
      <c r="Y950" s="135"/>
      <c r="Z950" s="137"/>
      <c r="AA950" s="136"/>
      <c r="AB950" s="566" t="str">
        <f t="shared" si="534"/>
        <v/>
      </c>
      <c r="AC950" s="568" t="str">
        <f t="shared" si="535"/>
        <v/>
      </c>
      <c r="AD950" s="137"/>
      <c r="AE950" s="137"/>
      <c r="AF950" s="138"/>
      <c r="AG950" s="138"/>
      <c r="AH950" s="592" t="str">
        <f t="shared" si="536"/>
        <v/>
      </c>
      <c r="AI950" s="592" t="str">
        <f t="shared" si="537"/>
        <v/>
      </c>
      <c r="AJ950" s="592" t="str">
        <f t="shared" si="538"/>
        <v/>
      </c>
      <c r="AK950" s="460" t="str">
        <f>IF(AU950="","",IF(OR(AZ950=8,AZ950=9),0,IF(OR(AW950=3,AW950=4,AW950=5,AW950=6),IF(LEFT(BF950,1)="1",INDEX(係数_NOX・PM低減,MATCH(AY950,【参考】排出係数!$AI$801:$AI$804,1),1),VLOOKUP(AU950,INDEX((係数_バス貨物_ガソリン,係数_バス貨物_CNG,係数_バス貨物_軽油,係数_バス貨物_メタノール,係数_バス貨物_LPG),MATCH(AY950,【参考】排出係数!$AI$4:$AI$671,1),1,BE950):INDEX((係数_バス貨物_ガソリン,係数_バス貨物_CNG,係数_バス貨物_軽油,係数_バス貨物_メタノール,係数_バス貨物_LPG),MATCH(AY950+1,【参考】排出係数!$AI$4:$AI$671,1)-1,5,BE950),4,FALSE)),IF(AND(BE950=3,LEFT(BF950,1)="1"),0.48,VLOOKUP(AU950,INDEX((係数_乗用_ガソリン,係数_乗用_CNG,係数_乗用_軽油,係数_乗用_メタノール,係数_乗用_LPG),1,1,BE950):INDEX((係数_乗用_ガソリン,係数_乗用_CNG,係数_乗用_軽油,係数_乗用_メタノール,係数_乗用_LPG),125,5,BE950),4,FALSE)))))</f>
        <v/>
      </c>
      <c r="AL950" s="461" t="str">
        <f t="shared" si="539"/>
        <v/>
      </c>
      <c r="AM950" s="460" t="str">
        <f>IF(AU950="","",IF(OR(AZ950=8,AZ950=9),0,IF(OR(AW950=3,AW950=4,AW950=5,AW950=6),IF(LEFT(BH950,1)="1",INDEX(係数_PM低減,MATCH(AY950,【参考】排出係数!$AI$801:$AI$804,1),MATCH(BI950,【参考】排出係数!$AL$798:$AO$798,1)),VLOOKUP(AU950,INDEX((係数_バス貨物_ガソリン,係数_バス貨物_CNG,係数_バス貨物_軽油,係数_バス貨物_メタノール,係数_バス貨物_LPG),MATCH(AY950,【参考】排出係数!$AI$4:$AI$671,1),1,BE950):INDEX((係数_バス貨物_ガソリン,係数_バス貨物_CNG,係数_バス貨物_軽油,係数_バス貨物_メタノール,係数_バス貨物_LPG),MATCH(AY950+1,【参考】排出係数!$AI$4:$AI$671,1)-1,5,BE950),5,FALSE)),IF(AND(BE950=3,LEFT(BF950,1)="1"),0.055,VLOOKUP(AU950,INDEX((係数_乗用_ガソリン,係数_乗用_CNG,係数_乗用_軽油,係数_乗用_メタノール,係数_乗用_LPG),1,1,BE950):INDEX((係数_乗用_ガソリン,係数_乗用_CNG,係数_乗用_軽油,係数_乗用_メタノール,係数_乗用_LPG),125,5,BE950),5,FALSE)))))</f>
        <v/>
      </c>
      <c r="AN950" s="461" t="str">
        <f t="shared" si="540"/>
        <v/>
      </c>
      <c r="AO950" s="462" t="str">
        <f t="shared" si="541"/>
        <v/>
      </c>
      <c r="AP950" s="463" t="str">
        <f t="shared" si="542"/>
        <v/>
      </c>
      <c r="AQ950" s="464"/>
      <c r="AR950" s="619"/>
      <c r="AS950" s="465" t="str">
        <f t="shared" si="512"/>
        <v/>
      </c>
      <c r="AT950" s="465" t="str">
        <f t="shared" si="513"/>
        <v/>
      </c>
      <c r="AU950" s="466" t="str">
        <f t="shared" si="514"/>
        <v/>
      </c>
      <c r="AV950" s="467" t="str">
        <f t="shared" si="515"/>
        <v/>
      </c>
      <c r="AW950" s="467" t="str">
        <f t="shared" si="516"/>
        <v/>
      </c>
      <c r="AX950" s="467" t="str">
        <f t="shared" si="517"/>
        <v/>
      </c>
      <c r="AY950" s="467" t="str">
        <f t="shared" si="518"/>
        <v/>
      </c>
      <c r="AZ950" s="467" t="str">
        <f t="shared" si="519"/>
        <v/>
      </c>
      <c r="BA950" s="468" t="str">
        <f>IF(AS950="","",IF(OR(AU950="",AU950="-"),"－",IF(OR(AZ950=8,AZ950=9),"",IF(OR(AW950=3,AW950=4,AW950=5,AW950=6),VLOOKUP(AU950,INDEX((係数_バス貨物_ガソリン,係数_バス貨物_CNG,係数_バス貨物_軽油,係数_バス貨物_メタノール,係数_バス貨物_LPG),MATCH(AY950,【参考】排出係数!$AI$4:$AI$671,1),1,BE950):INDEX((係数_バス貨物_ガソリン,係数_バス貨物_CNG,係数_バス貨物_軽油,係数_バス貨物_メタノール,係数_バス貨物_LPG),MATCH(AY950+1,【参考】排出係数!$AI$4:$AI$671,1)-1,5,BE950),2,FALSE),IF(OR(AW950=1,AW950=2),VLOOKUP(AU950,INDEX((係数_乗用_ガソリン,係数_乗用_CNG,係数_乗用_軽油,係数_乗用_メタノール,係数_乗用_LPG),1,1,BE950):INDEX((係数_乗用_ガソリン,係数_乗用_CNG,係数_乗用_軽油,係数_乗用_メタノール,係数_乗用_LPG),125,5,BE950),2,FALSE))))))</f>
        <v/>
      </c>
      <c r="BB950" s="468" t="str">
        <f>IF(T950="","",IF(OR(AU950="",AU950="-"),"－",IF(OR(AZ950=8,AZ950=9),"",IF(OR(AW950=3,AW950=4,AW950=5,AW950=6),VLOOKUP(AU950,INDEX((係数_バス貨物_ガソリン,係数_バス貨物_CNG,係数_バス貨物_軽油,係数_バス貨物_メタノール,係数_バス貨物_LPG),MATCH(AY950,【参考】排出係数!$AI$4:$AI$671,1),1,BE950):INDEX((係数_バス貨物_ガソリン,係数_バス貨物_CNG,係数_バス貨物_軽油,係数_バス貨物_メタノール,係数_バス貨物_LPG),MATCH(AY950+1,【参考】排出係数!$AI$4:$AI$671,1)-1,5,BE950),3,FALSE),IF(OR(AW950=1,AW950=2),VLOOKUP(AU950,INDEX((係数_乗用_ガソリン,係数_乗用_CNG,係数_乗用_軽油,係数_乗用_メタノール,係数_乗用_LPG),1,1,BE950):INDEX((係数_乗用_ガソリン,係数_乗用_CNG,係数_乗用_軽油,係数_乗用_メタノール,係数_乗用_LPG),125,5,BE950),3,FALSE))))))</f>
        <v/>
      </c>
      <c r="BC950" s="467" t="str">
        <f t="shared" si="520"/>
        <v/>
      </c>
      <c r="BD950" s="567" t="str">
        <f t="shared" si="521"/>
        <v/>
      </c>
      <c r="BE950" s="467" t="str">
        <f t="shared" si="522"/>
        <v/>
      </c>
      <c r="BF950" s="469" t="str">
        <f t="shared" ca="1" si="523"/>
        <v/>
      </c>
      <c r="BG950" s="469" t="str">
        <f t="shared" ca="1" si="524"/>
        <v/>
      </c>
      <c r="BH950" s="467" t="str">
        <f t="shared" si="525"/>
        <v/>
      </c>
      <c r="BI950" s="467" t="str">
        <f t="shared" ca="1" si="526"/>
        <v/>
      </c>
      <c r="BJ950" s="469" t="str">
        <f t="shared" si="527"/>
        <v/>
      </c>
      <c r="BK950" s="470" t="str">
        <f t="shared" si="511"/>
        <v/>
      </c>
      <c r="BL950" s="775" t="str">
        <f t="shared" si="528"/>
        <v/>
      </c>
      <c r="BM950" s="775" t="str">
        <f t="shared" si="529"/>
        <v/>
      </c>
    </row>
    <row r="951" spans="1:65">
      <c r="A951" s="473">
        <v>895</v>
      </c>
      <c r="B951" s="132"/>
      <c r="C951" s="332"/>
      <c r="D951" s="333"/>
      <c r="E951" s="333"/>
      <c r="F951" s="334"/>
      <c r="G951" s="337"/>
      <c r="H951" s="131"/>
      <c r="I951" s="337"/>
      <c r="J951" s="131"/>
      <c r="K951" s="458" t="str">
        <f t="shared" si="530"/>
        <v/>
      </c>
      <c r="L951" s="458">
        <f t="shared" si="531"/>
        <v>0</v>
      </c>
      <c r="M951" s="458">
        <f t="shared" si="532"/>
        <v>0</v>
      </c>
      <c r="N951" s="459" t="str">
        <f t="shared" ref="N951:N1014" si="543">IF(OR($L951&gt;$U$48,$M951&gt;$U$48,AND($L951&gt;$M951,$M951&lt;&gt;0),AND($L951=0,$M951&lt;&gt;0)),"ERROR","")</f>
        <v/>
      </c>
      <c r="O951" s="459" t="str">
        <f t="shared" ref="O951:O1014" si="544">IF(AND($N951&lt;&gt;"ERROR",$L951&lt;=$U$49,$M951&lt;=$U$49,$M951&lt;&gt;0),"(減車済)","")</f>
        <v/>
      </c>
      <c r="P951" s="459" t="str">
        <f t="shared" ref="P951:P1014" si="545">IF(AND($N951&lt;&gt;"ERROR",$L951&lt;$U$49,AND($M951&gt;$U$49,$M951&lt;=$W$49),$M951&lt;&gt;0),"減車","")</f>
        <v/>
      </c>
      <c r="Q951" s="459" t="str">
        <f t="shared" ref="Q951:Q1014" si="546">IF(AND($N951&lt;&gt;"ERROR",$L951&gt;$U$49,$M951&lt;=$W$49,$M951&lt;&gt;0),"一時使用","")</f>
        <v/>
      </c>
      <c r="R951" s="459" t="str">
        <f t="shared" ref="R951:R1014" si="547">IF(AND($N951&lt;&gt;"ERROR",AND($L951&gt;0,$L951&lt;=$U$49),$M951=0),"継続","")</f>
        <v/>
      </c>
      <c r="S951" s="459" t="str">
        <f t="shared" ref="S951:S1014" si="548">IF(AND($N951&lt;&gt;"ERROR",AND($L951&gt;$U$49),$M951=0),"新規","")</f>
        <v/>
      </c>
      <c r="T951" s="566" t="str">
        <f t="shared" si="533"/>
        <v/>
      </c>
      <c r="U951" s="702"/>
      <c r="V951" s="132"/>
      <c r="W951" s="133"/>
      <c r="X951" s="134"/>
      <c r="Y951" s="135"/>
      <c r="Z951" s="137"/>
      <c r="AA951" s="136"/>
      <c r="AB951" s="566" t="str">
        <f t="shared" si="534"/>
        <v/>
      </c>
      <c r="AC951" s="568" t="str">
        <f t="shared" si="535"/>
        <v/>
      </c>
      <c r="AD951" s="137"/>
      <c r="AE951" s="137"/>
      <c r="AF951" s="138"/>
      <c r="AG951" s="138"/>
      <c r="AH951" s="592" t="str">
        <f t="shared" si="536"/>
        <v/>
      </c>
      <c r="AI951" s="592" t="str">
        <f t="shared" si="537"/>
        <v/>
      </c>
      <c r="AJ951" s="592" t="str">
        <f t="shared" si="538"/>
        <v/>
      </c>
      <c r="AK951" s="460" t="str">
        <f>IF(AU951="","",IF(OR(AZ951=8,AZ951=9),0,IF(OR(AW951=3,AW951=4,AW951=5,AW951=6),IF(LEFT(BF951,1)="1",INDEX(係数_NOX・PM低減,MATCH(AY951,【参考】排出係数!$AI$801:$AI$804,1),1),VLOOKUP(AU951,INDEX((係数_バス貨物_ガソリン,係数_バス貨物_CNG,係数_バス貨物_軽油,係数_バス貨物_メタノール,係数_バス貨物_LPG),MATCH(AY951,【参考】排出係数!$AI$4:$AI$671,1),1,BE951):INDEX((係数_バス貨物_ガソリン,係数_バス貨物_CNG,係数_バス貨物_軽油,係数_バス貨物_メタノール,係数_バス貨物_LPG),MATCH(AY951+1,【参考】排出係数!$AI$4:$AI$671,1)-1,5,BE951),4,FALSE)),IF(AND(BE951=3,LEFT(BF951,1)="1"),0.48,VLOOKUP(AU951,INDEX((係数_乗用_ガソリン,係数_乗用_CNG,係数_乗用_軽油,係数_乗用_メタノール,係数_乗用_LPG),1,1,BE951):INDEX((係数_乗用_ガソリン,係数_乗用_CNG,係数_乗用_軽油,係数_乗用_メタノール,係数_乗用_LPG),125,5,BE951),4,FALSE)))))</f>
        <v/>
      </c>
      <c r="AL951" s="461" t="str">
        <f t="shared" si="539"/>
        <v/>
      </c>
      <c r="AM951" s="460" t="str">
        <f>IF(AU951="","",IF(OR(AZ951=8,AZ951=9),0,IF(OR(AW951=3,AW951=4,AW951=5,AW951=6),IF(LEFT(BH951,1)="1",INDEX(係数_PM低減,MATCH(AY951,【参考】排出係数!$AI$801:$AI$804,1),MATCH(BI951,【参考】排出係数!$AL$798:$AO$798,1)),VLOOKUP(AU951,INDEX((係数_バス貨物_ガソリン,係数_バス貨物_CNG,係数_バス貨物_軽油,係数_バス貨物_メタノール,係数_バス貨物_LPG),MATCH(AY951,【参考】排出係数!$AI$4:$AI$671,1),1,BE951):INDEX((係数_バス貨物_ガソリン,係数_バス貨物_CNG,係数_バス貨物_軽油,係数_バス貨物_メタノール,係数_バス貨物_LPG),MATCH(AY951+1,【参考】排出係数!$AI$4:$AI$671,1)-1,5,BE951),5,FALSE)),IF(AND(BE951=3,LEFT(BF951,1)="1"),0.055,VLOOKUP(AU951,INDEX((係数_乗用_ガソリン,係数_乗用_CNG,係数_乗用_軽油,係数_乗用_メタノール,係数_乗用_LPG),1,1,BE951):INDEX((係数_乗用_ガソリン,係数_乗用_CNG,係数_乗用_軽油,係数_乗用_メタノール,係数_乗用_LPG),125,5,BE951),5,FALSE)))))</f>
        <v/>
      </c>
      <c r="AN951" s="461" t="str">
        <f t="shared" si="540"/>
        <v/>
      </c>
      <c r="AO951" s="462" t="str">
        <f t="shared" si="541"/>
        <v/>
      </c>
      <c r="AP951" s="463" t="str">
        <f t="shared" si="542"/>
        <v/>
      </c>
      <c r="AQ951" s="464"/>
      <c r="AR951" s="619"/>
      <c r="AS951" s="465" t="str">
        <f t="shared" si="512"/>
        <v/>
      </c>
      <c r="AT951" s="465" t="str">
        <f t="shared" si="513"/>
        <v/>
      </c>
      <c r="AU951" s="466" t="str">
        <f t="shared" si="514"/>
        <v/>
      </c>
      <c r="AV951" s="467" t="str">
        <f t="shared" si="515"/>
        <v/>
      </c>
      <c r="AW951" s="467" t="str">
        <f t="shared" si="516"/>
        <v/>
      </c>
      <c r="AX951" s="467" t="str">
        <f t="shared" si="517"/>
        <v/>
      </c>
      <c r="AY951" s="467" t="str">
        <f t="shared" si="518"/>
        <v/>
      </c>
      <c r="AZ951" s="467" t="str">
        <f t="shared" si="519"/>
        <v/>
      </c>
      <c r="BA951" s="468" t="str">
        <f>IF(AS951="","",IF(OR(AU951="",AU951="-"),"－",IF(OR(AZ951=8,AZ951=9),"",IF(OR(AW951=3,AW951=4,AW951=5,AW951=6),VLOOKUP(AU951,INDEX((係数_バス貨物_ガソリン,係数_バス貨物_CNG,係数_バス貨物_軽油,係数_バス貨物_メタノール,係数_バス貨物_LPG),MATCH(AY951,【参考】排出係数!$AI$4:$AI$671,1),1,BE951):INDEX((係数_バス貨物_ガソリン,係数_バス貨物_CNG,係数_バス貨物_軽油,係数_バス貨物_メタノール,係数_バス貨物_LPG),MATCH(AY951+1,【参考】排出係数!$AI$4:$AI$671,1)-1,5,BE951),2,FALSE),IF(OR(AW951=1,AW951=2),VLOOKUP(AU951,INDEX((係数_乗用_ガソリン,係数_乗用_CNG,係数_乗用_軽油,係数_乗用_メタノール,係数_乗用_LPG),1,1,BE951):INDEX((係数_乗用_ガソリン,係数_乗用_CNG,係数_乗用_軽油,係数_乗用_メタノール,係数_乗用_LPG),125,5,BE951),2,FALSE))))))</f>
        <v/>
      </c>
      <c r="BB951" s="468" t="str">
        <f>IF(T951="","",IF(OR(AU951="",AU951="-"),"－",IF(OR(AZ951=8,AZ951=9),"",IF(OR(AW951=3,AW951=4,AW951=5,AW951=6),VLOOKUP(AU951,INDEX((係数_バス貨物_ガソリン,係数_バス貨物_CNG,係数_バス貨物_軽油,係数_バス貨物_メタノール,係数_バス貨物_LPG),MATCH(AY951,【参考】排出係数!$AI$4:$AI$671,1),1,BE951):INDEX((係数_バス貨物_ガソリン,係数_バス貨物_CNG,係数_バス貨物_軽油,係数_バス貨物_メタノール,係数_バス貨物_LPG),MATCH(AY951+1,【参考】排出係数!$AI$4:$AI$671,1)-1,5,BE951),3,FALSE),IF(OR(AW951=1,AW951=2),VLOOKUP(AU951,INDEX((係数_乗用_ガソリン,係数_乗用_CNG,係数_乗用_軽油,係数_乗用_メタノール,係数_乗用_LPG),1,1,BE951):INDEX((係数_乗用_ガソリン,係数_乗用_CNG,係数_乗用_軽油,係数_乗用_メタノール,係数_乗用_LPG),125,5,BE951),3,FALSE))))))</f>
        <v/>
      </c>
      <c r="BC951" s="467" t="str">
        <f t="shared" si="520"/>
        <v/>
      </c>
      <c r="BD951" s="567" t="str">
        <f t="shared" si="521"/>
        <v/>
      </c>
      <c r="BE951" s="467" t="str">
        <f t="shared" si="522"/>
        <v/>
      </c>
      <c r="BF951" s="469" t="str">
        <f t="shared" ca="1" si="523"/>
        <v/>
      </c>
      <c r="BG951" s="469" t="str">
        <f t="shared" ca="1" si="524"/>
        <v/>
      </c>
      <c r="BH951" s="467" t="str">
        <f t="shared" si="525"/>
        <v/>
      </c>
      <c r="BI951" s="467" t="str">
        <f t="shared" ca="1" si="526"/>
        <v/>
      </c>
      <c r="BJ951" s="469" t="str">
        <f t="shared" si="527"/>
        <v/>
      </c>
      <c r="BK951" s="470" t="str">
        <f t="shared" si="511"/>
        <v/>
      </c>
      <c r="BL951" s="775" t="str">
        <f t="shared" si="528"/>
        <v/>
      </c>
      <c r="BM951" s="775" t="str">
        <f t="shared" si="529"/>
        <v/>
      </c>
    </row>
    <row r="952" spans="1:65">
      <c r="A952" s="473">
        <v>896</v>
      </c>
      <c r="B952" s="132"/>
      <c r="C952" s="332"/>
      <c r="D952" s="333"/>
      <c r="E952" s="333"/>
      <c r="F952" s="334"/>
      <c r="G952" s="337"/>
      <c r="H952" s="131"/>
      <c r="I952" s="337"/>
      <c r="J952" s="131"/>
      <c r="K952" s="458" t="str">
        <f t="shared" si="530"/>
        <v/>
      </c>
      <c r="L952" s="458">
        <f t="shared" si="531"/>
        <v>0</v>
      </c>
      <c r="M952" s="458">
        <f t="shared" si="532"/>
        <v>0</v>
      </c>
      <c r="N952" s="459" t="str">
        <f t="shared" si="543"/>
        <v/>
      </c>
      <c r="O952" s="459" t="str">
        <f t="shared" si="544"/>
        <v/>
      </c>
      <c r="P952" s="459" t="str">
        <f t="shared" si="545"/>
        <v/>
      </c>
      <c r="Q952" s="459" t="str">
        <f t="shared" si="546"/>
        <v/>
      </c>
      <c r="R952" s="459" t="str">
        <f t="shared" si="547"/>
        <v/>
      </c>
      <c r="S952" s="459" t="str">
        <f t="shared" si="548"/>
        <v/>
      </c>
      <c r="T952" s="566" t="str">
        <f t="shared" si="533"/>
        <v/>
      </c>
      <c r="U952" s="702"/>
      <c r="V952" s="132"/>
      <c r="W952" s="133"/>
      <c r="X952" s="134"/>
      <c r="Y952" s="135"/>
      <c r="Z952" s="137"/>
      <c r="AA952" s="136"/>
      <c r="AB952" s="566" t="str">
        <f t="shared" si="534"/>
        <v/>
      </c>
      <c r="AC952" s="568" t="str">
        <f t="shared" si="535"/>
        <v/>
      </c>
      <c r="AD952" s="137"/>
      <c r="AE952" s="137"/>
      <c r="AF952" s="138"/>
      <c r="AG952" s="138"/>
      <c r="AH952" s="592" t="str">
        <f t="shared" si="536"/>
        <v/>
      </c>
      <c r="AI952" s="592" t="str">
        <f t="shared" si="537"/>
        <v/>
      </c>
      <c r="AJ952" s="592" t="str">
        <f t="shared" si="538"/>
        <v/>
      </c>
      <c r="AK952" s="460" t="str">
        <f>IF(AU952="","",IF(OR(AZ952=8,AZ952=9),0,IF(OR(AW952=3,AW952=4,AW952=5,AW952=6),IF(LEFT(BF952,1)="1",INDEX(係数_NOX・PM低減,MATCH(AY952,【参考】排出係数!$AI$801:$AI$804,1),1),VLOOKUP(AU952,INDEX((係数_バス貨物_ガソリン,係数_バス貨物_CNG,係数_バス貨物_軽油,係数_バス貨物_メタノール,係数_バス貨物_LPG),MATCH(AY952,【参考】排出係数!$AI$4:$AI$671,1),1,BE952):INDEX((係数_バス貨物_ガソリン,係数_バス貨物_CNG,係数_バス貨物_軽油,係数_バス貨物_メタノール,係数_バス貨物_LPG),MATCH(AY952+1,【参考】排出係数!$AI$4:$AI$671,1)-1,5,BE952),4,FALSE)),IF(AND(BE952=3,LEFT(BF952,1)="1"),0.48,VLOOKUP(AU952,INDEX((係数_乗用_ガソリン,係数_乗用_CNG,係数_乗用_軽油,係数_乗用_メタノール,係数_乗用_LPG),1,1,BE952):INDEX((係数_乗用_ガソリン,係数_乗用_CNG,係数_乗用_軽油,係数_乗用_メタノール,係数_乗用_LPG),125,5,BE952),4,FALSE)))))</f>
        <v/>
      </c>
      <c r="AL952" s="461" t="str">
        <f t="shared" si="539"/>
        <v/>
      </c>
      <c r="AM952" s="460" t="str">
        <f>IF(AU952="","",IF(OR(AZ952=8,AZ952=9),0,IF(OR(AW952=3,AW952=4,AW952=5,AW952=6),IF(LEFT(BH952,1)="1",INDEX(係数_PM低減,MATCH(AY952,【参考】排出係数!$AI$801:$AI$804,1),MATCH(BI952,【参考】排出係数!$AL$798:$AO$798,1)),VLOOKUP(AU952,INDEX((係数_バス貨物_ガソリン,係数_バス貨物_CNG,係数_バス貨物_軽油,係数_バス貨物_メタノール,係数_バス貨物_LPG),MATCH(AY952,【参考】排出係数!$AI$4:$AI$671,1),1,BE952):INDEX((係数_バス貨物_ガソリン,係数_バス貨物_CNG,係数_バス貨物_軽油,係数_バス貨物_メタノール,係数_バス貨物_LPG),MATCH(AY952+1,【参考】排出係数!$AI$4:$AI$671,1)-1,5,BE952),5,FALSE)),IF(AND(BE952=3,LEFT(BF952,1)="1"),0.055,VLOOKUP(AU952,INDEX((係数_乗用_ガソリン,係数_乗用_CNG,係数_乗用_軽油,係数_乗用_メタノール,係数_乗用_LPG),1,1,BE952):INDEX((係数_乗用_ガソリン,係数_乗用_CNG,係数_乗用_軽油,係数_乗用_メタノール,係数_乗用_LPG),125,5,BE952),5,FALSE)))))</f>
        <v/>
      </c>
      <c r="AN952" s="461" t="str">
        <f t="shared" si="540"/>
        <v/>
      </c>
      <c r="AO952" s="462" t="str">
        <f t="shared" si="541"/>
        <v/>
      </c>
      <c r="AP952" s="463" t="str">
        <f t="shared" si="542"/>
        <v/>
      </c>
      <c r="AQ952" s="464"/>
      <c r="AR952" s="619"/>
      <c r="AS952" s="465" t="str">
        <f t="shared" si="512"/>
        <v/>
      </c>
      <c r="AT952" s="465" t="str">
        <f t="shared" si="513"/>
        <v/>
      </c>
      <c r="AU952" s="466" t="str">
        <f t="shared" si="514"/>
        <v/>
      </c>
      <c r="AV952" s="467" t="str">
        <f t="shared" si="515"/>
        <v/>
      </c>
      <c r="AW952" s="467" t="str">
        <f t="shared" si="516"/>
        <v/>
      </c>
      <c r="AX952" s="467" t="str">
        <f t="shared" si="517"/>
        <v/>
      </c>
      <c r="AY952" s="467" t="str">
        <f t="shared" si="518"/>
        <v/>
      </c>
      <c r="AZ952" s="467" t="str">
        <f t="shared" si="519"/>
        <v/>
      </c>
      <c r="BA952" s="468" t="str">
        <f>IF(AS952="","",IF(OR(AU952="",AU952="-"),"－",IF(OR(AZ952=8,AZ952=9),"",IF(OR(AW952=3,AW952=4,AW952=5,AW952=6),VLOOKUP(AU952,INDEX((係数_バス貨物_ガソリン,係数_バス貨物_CNG,係数_バス貨物_軽油,係数_バス貨物_メタノール,係数_バス貨物_LPG),MATCH(AY952,【参考】排出係数!$AI$4:$AI$671,1),1,BE952):INDEX((係数_バス貨物_ガソリン,係数_バス貨物_CNG,係数_バス貨物_軽油,係数_バス貨物_メタノール,係数_バス貨物_LPG),MATCH(AY952+1,【参考】排出係数!$AI$4:$AI$671,1)-1,5,BE952),2,FALSE),IF(OR(AW952=1,AW952=2),VLOOKUP(AU952,INDEX((係数_乗用_ガソリン,係数_乗用_CNG,係数_乗用_軽油,係数_乗用_メタノール,係数_乗用_LPG),1,1,BE952):INDEX((係数_乗用_ガソリン,係数_乗用_CNG,係数_乗用_軽油,係数_乗用_メタノール,係数_乗用_LPG),125,5,BE952),2,FALSE))))))</f>
        <v/>
      </c>
      <c r="BB952" s="468" t="str">
        <f>IF(T952="","",IF(OR(AU952="",AU952="-"),"－",IF(OR(AZ952=8,AZ952=9),"",IF(OR(AW952=3,AW952=4,AW952=5,AW952=6),VLOOKUP(AU952,INDEX((係数_バス貨物_ガソリン,係数_バス貨物_CNG,係数_バス貨物_軽油,係数_バス貨物_メタノール,係数_バス貨物_LPG),MATCH(AY952,【参考】排出係数!$AI$4:$AI$671,1),1,BE952):INDEX((係数_バス貨物_ガソリン,係数_バス貨物_CNG,係数_バス貨物_軽油,係数_バス貨物_メタノール,係数_バス貨物_LPG),MATCH(AY952+1,【参考】排出係数!$AI$4:$AI$671,1)-1,5,BE952),3,FALSE),IF(OR(AW952=1,AW952=2),VLOOKUP(AU952,INDEX((係数_乗用_ガソリン,係数_乗用_CNG,係数_乗用_軽油,係数_乗用_メタノール,係数_乗用_LPG),1,1,BE952):INDEX((係数_乗用_ガソリン,係数_乗用_CNG,係数_乗用_軽油,係数_乗用_メタノール,係数_乗用_LPG),125,5,BE952),3,FALSE))))))</f>
        <v/>
      </c>
      <c r="BC952" s="467" t="str">
        <f t="shared" si="520"/>
        <v/>
      </c>
      <c r="BD952" s="567" t="str">
        <f t="shared" si="521"/>
        <v/>
      </c>
      <c r="BE952" s="467" t="str">
        <f t="shared" si="522"/>
        <v/>
      </c>
      <c r="BF952" s="469" t="str">
        <f t="shared" ca="1" si="523"/>
        <v/>
      </c>
      <c r="BG952" s="469" t="str">
        <f t="shared" ca="1" si="524"/>
        <v/>
      </c>
      <c r="BH952" s="467" t="str">
        <f t="shared" si="525"/>
        <v/>
      </c>
      <c r="BI952" s="467" t="str">
        <f t="shared" ca="1" si="526"/>
        <v/>
      </c>
      <c r="BJ952" s="469" t="str">
        <f t="shared" si="527"/>
        <v/>
      </c>
      <c r="BK952" s="470" t="str">
        <f t="shared" si="511"/>
        <v/>
      </c>
      <c r="BL952" s="775" t="str">
        <f t="shared" si="528"/>
        <v/>
      </c>
      <c r="BM952" s="775" t="str">
        <f t="shared" si="529"/>
        <v/>
      </c>
    </row>
    <row r="953" spans="1:65">
      <c r="A953" s="473">
        <v>897</v>
      </c>
      <c r="B953" s="132"/>
      <c r="C953" s="332"/>
      <c r="D953" s="333"/>
      <c r="E953" s="333"/>
      <c r="F953" s="334"/>
      <c r="G953" s="337"/>
      <c r="H953" s="131"/>
      <c r="I953" s="337"/>
      <c r="J953" s="131"/>
      <c r="K953" s="458" t="str">
        <f t="shared" si="530"/>
        <v/>
      </c>
      <c r="L953" s="458">
        <f t="shared" si="531"/>
        <v>0</v>
      </c>
      <c r="M953" s="458">
        <f t="shared" si="532"/>
        <v>0</v>
      </c>
      <c r="N953" s="459" t="str">
        <f t="shared" si="543"/>
        <v/>
      </c>
      <c r="O953" s="459" t="str">
        <f t="shared" si="544"/>
        <v/>
      </c>
      <c r="P953" s="459" t="str">
        <f t="shared" si="545"/>
        <v/>
      </c>
      <c r="Q953" s="459" t="str">
        <f t="shared" si="546"/>
        <v/>
      </c>
      <c r="R953" s="459" t="str">
        <f t="shared" si="547"/>
        <v/>
      </c>
      <c r="S953" s="459" t="str">
        <f t="shared" si="548"/>
        <v/>
      </c>
      <c r="T953" s="566" t="str">
        <f t="shared" si="533"/>
        <v/>
      </c>
      <c r="U953" s="702"/>
      <c r="V953" s="132"/>
      <c r="W953" s="133"/>
      <c r="X953" s="134"/>
      <c r="Y953" s="135"/>
      <c r="Z953" s="137"/>
      <c r="AA953" s="136"/>
      <c r="AB953" s="566" t="str">
        <f t="shared" si="534"/>
        <v/>
      </c>
      <c r="AC953" s="568" t="str">
        <f t="shared" si="535"/>
        <v/>
      </c>
      <c r="AD953" s="137"/>
      <c r="AE953" s="137"/>
      <c r="AF953" s="138"/>
      <c r="AG953" s="138"/>
      <c r="AH953" s="592" t="str">
        <f t="shared" si="536"/>
        <v/>
      </c>
      <c r="AI953" s="592" t="str">
        <f t="shared" si="537"/>
        <v/>
      </c>
      <c r="AJ953" s="592" t="str">
        <f t="shared" si="538"/>
        <v/>
      </c>
      <c r="AK953" s="460" t="str">
        <f>IF(AU953="","",IF(OR(AZ953=8,AZ953=9),0,IF(OR(AW953=3,AW953=4,AW953=5,AW953=6),IF(LEFT(BF953,1)="1",INDEX(係数_NOX・PM低減,MATCH(AY953,【参考】排出係数!$AI$801:$AI$804,1),1),VLOOKUP(AU953,INDEX((係数_バス貨物_ガソリン,係数_バス貨物_CNG,係数_バス貨物_軽油,係数_バス貨物_メタノール,係数_バス貨物_LPG),MATCH(AY953,【参考】排出係数!$AI$4:$AI$671,1),1,BE953):INDEX((係数_バス貨物_ガソリン,係数_バス貨物_CNG,係数_バス貨物_軽油,係数_バス貨物_メタノール,係数_バス貨物_LPG),MATCH(AY953+1,【参考】排出係数!$AI$4:$AI$671,1)-1,5,BE953),4,FALSE)),IF(AND(BE953=3,LEFT(BF953,1)="1"),0.48,VLOOKUP(AU953,INDEX((係数_乗用_ガソリン,係数_乗用_CNG,係数_乗用_軽油,係数_乗用_メタノール,係数_乗用_LPG),1,1,BE953):INDEX((係数_乗用_ガソリン,係数_乗用_CNG,係数_乗用_軽油,係数_乗用_メタノール,係数_乗用_LPG),125,5,BE953),4,FALSE)))))</f>
        <v/>
      </c>
      <c r="AL953" s="461" t="str">
        <f t="shared" si="539"/>
        <v/>
      </c>
      <c r="AM953" s="460" t="str">
        <f>IF(AU953="","",IF(OR(AZ953=8,AZ953=9),0,IF(OR(AW953=3,AW953=4,AW953=5,AW953=6),IF(LEFT(BH953,1)="1",INDEX(係数_PM低減,MATCH(AY953,【参考】排出係数!$AI$801:$AI$804,1),MATCH(BI953,【参考】排出係数!$AL$798:$AO$798,1)),VLOOKUP(AU953,INDEX((係数_バス貨物_ガソリン,係数_バス貨物_CNG,係数_バス貨物_軽油,係数_バス貨物_メタノール,係数_バス貨物_LPG),MATCH(AY953,【参考】排出係数!$AI$4:$AI$671,1),1,BE953):INDEX((係数_バス貨物_ガソリン,係数_バス貨物_CNG,係数_バス貨物_軽油,係数_バス貨物_メタノール,係数_バス貨物_LPG),MATCH(AY953+1,【参考】排出係数!$AI$4:$AI$671,1)-1,5,BE953),5,FALSE)),IF(AND(BE953=3,LEFT(BF953,1)="1"),0.055,VLOOKUP(AU953,INDEX((係数_乗用_ガソリン,係数_乗用_CNG,係数_乗用_軽油,係数_乗用_メタノール,係数_乗用_LPG),1,1,BE953):INDEX((係数_乗用_ガソリン,係数_乗用_CNG,係数_乗用_軽油,係数_乗用_メタノール,係数_乗用_LPG),125,5,BE953),5,FALSE)))))</f>
        <v/>
      </c>
      <c r="AN953" s="461" t="str">
        <f t="shared" si="540"/>
        <v/>
      </c>
      <c r="AO953" s="462" t="str">
        <f t="shared" si="541"/>
        <v/>
      </c>
      <c r="AP953" s="463" t="str">
        <f t="shared" si="542"/>
        <v/>
      </c>
      <c r="AQ953" s="464"/>
      <c r="AR953" s="619"/>
      <c r="AS953" s="465" t="str">
        <f t="shared" si="512"/>
        <v/>
      </c>
      <c r="AT953" s="465" t="str">
        <f t="shared" si="513"/>
        <v/>
      </c>
      <c r="AU953" s="466" t="str">
        <f t="shared" si="514"/>
        <v/>
      </c>
      <c r="AV953" s="467" t="str">
        <f t="shared" si="515"/>
        <v/>
      </c>
      <c r="AW953" s="467" t="str">
        <f t="shared" si="516"/>
        <v/>
      </c>
      <c r="AX953" s="467" t="str">
        <f t="shared" si="517"/>
        <v/>
      </c>
      <c r="AY953" s="467" t="str">
        <f t="shared" si="518"/>
        <v/>
      </c>
      <c r="AZ953" s="467" t="str">
        <f t="shared" si="519"/>
        <v/>
      </c>
      <c r="BA953" s="468" t="str">
        <f>IF(AS953="","",IF(OR(AU953="",AU953="-"),"－",IF(OR(AZ953=8,AZ953=9),"",IF(OR(AW953=3,AW953=4,AW953=5,AW953=6),VLOOKUP(AU953,INDEX((係数_バス貨物_ガソリン,係数_バス貨物_CNG,係数_バス貨物_軽油,係数_バス貨物_メタノール,係数_バス貨物_LPG),MATCH(AY953,【参考】排出係数!$AI$4:$AI$671,1),1,BE953):INDEX((係数_バス貨物_ガソリン,係数_バス貨物_CNG,係数_バス貨物_軽油,係数_バス貨物_メタノール,係数_バス貨物_LPG),MATCH(AY953+1,【参考】排出係数!$AI$4:$AI$671,1)-1,5,BE953),2,FALSE),IF(OR(AW953=1,AW953=2),VLOOKUP(AU953,INDEX((係数_乗用_ガソリン,係数_乗用_CNG,係数_乗用_軽油,係数_乗用_メタノール,係数_乗用_LPG),1,1,BE953):INDEX((係数_乗用_ガソリン,係数_乗用_CNG,係数_乗用_軽油,係数_乗用_メタノール,係数_乗用_LPG),125,5,BE953),2,FALSE))))))</f>
        <v/>
      </c>
      <c r="BB953" s="468" t="str">
        <f>IF(T953="","",IF(OR(AU953="",AU953="-"),"－",IF(OR(AZ953=8,AZ953=9),"",IF(OR(AW953=3,AW953=4,AW953=5,AW953=6),VLOOKUP(AU953,INDEX((係数_バス貨物_ガソリン,係数_バス貨物_CNG,係数_バス貨物_軽油,係数_バス貨物_メタノール,係数_バス貨物_LPG),MATCH(AY953,【参考】排出係数!$AI$4:$AI$671,1),1,BE953):INDEX((係数_バス貨物_ガソリン,係数_バス貨物_CNG,係数_バス貨物_軽油,係数_バス貨物_メタノール,係数_バス貨物_LPG),MATCH(AY953+1,【参考】排出係数!$AI$4:$AI$671,1)-1,5,BE953),3,FALSE),IF(OR(AW953=1,AW953=2),VLOOKUP(AU953,INDEX((係数_乗用_ガソリン,係数_乗用_CNG,係数_乗用_軽油,係数_乗用_メタノール,係数_乗用_LPG),1,1,BE953):INDEX((係数_乗用_ガソリン,係数_乗用_CNG,係数_乗用_軽油,係数_乗用_メタノール,係数_乗用_LPG),125,5,BE953),3,FALSE))))))</f>
        <v/>
      </c>
      <c r="BC953" s="467" t="str">
        <f t="shared" si="520"/>
        <v/>
      </c>
      <c r="BD953" s="567" t="str">
        <f t="shared" si="521"/>
        <v/>
      </c>
      <c r="BE953" s="467" t="str">
        <f t="shared" si="522"/>
        <v/>
      </c>
      <c r="BF953" s="469" t="str">
        <f t="shared" ca="1" si="523"/>
        <v/>
      </c>
      <c r="BG953" s="469" t="str">
        <f t="shared" ca="1" si="524"/>
        <v/>
      </c>
      <c r="BH953" s="467" t="str">
        <f t="shared" si="525"/>
        <v/>
      </c>
      <c r="BI953" s="467" t="str">
        <f t="shared" ca="1" si="526"/>
        <v/>
      </c>
      <c r="BJ953" s="469" t="str">
        <f t="shared" si="527"/>
        <v/>
      </c>
      <c r="BK953" s="470" t="str">
        <f t="shared" ref="BK953:BK1016" si="549">IF(AS953="","",VLOOKUP(T953,車両の増減,2,FALSE))</f>
        <v/>
      </c>
      <c r="BL953" s="775" t="str">
        <f t="shared" si="528"/>
        <v/>
      </c>
      <c r="BM953" s="775" t="str">
        <f t="shared" si="529"/>
        <v/>
      </c>
    </row>
    <row r="954" spans="1:65">
      <c r="A954" s="473">
        <v>898</v>
      </c>
      <c r="B954" s="132"/>
      <c r="C954" s="332"/>
      <c r="D954" s="333"/>
      <c r="E954" s="333"/>
      <c r="F954" s="334"/>
      <c r="G954" s="337"/>
      <c r="H954" s="131"/>
      <c r="I954" s="337"/>
      <c r="J954" s="131"/>
      <c r="K954" s="458" t="str">
        <f t="shared" si="530"/>
        <v/>
      </c>
      <c r="L954" s="458">
        <f t="shared" si="531"/>
        <v>0</v>
      </c>
      <c r="M954" s="458">
        <f t="shared" si="532"/>
        <v>0</v>
      </c>
      <c r="N954" s="459" t="str">
        <f t="shared" si="543"/>
        <v/>
      </c>
      <c r="O954" s="459" t="str">
        <f t="shared" si="544"/>
        <v/>
      </c>
      <c r="P954" s="459" t="str">
        <f t="shared" si="545"/>
        <v/>
      </c>
      <c r="Q954" s="459" t="str">
        <f t="shared" si="546"/>
        <v/>
      </c>
      <c r="R954" s="459" t="str">
        <f t="shared" si="547"/>
        <v/>
      </c>
      <c r="S954" s="459" t="str">
        <f t="shared" si="548"/>
        <v/>
      </c>
      <c r="T954" s="566" t="str">
        <f t="shared" si="533"/>
        <v/>
      </c>
      <c r="U954" s="702"/>
      <c r="V954" s="132"/>
      <c r="W954" s="133"/>
      <c r="X954" s="134"/>
      <c r="Y954" s="135"/>
      <c r="Z954" s="137"/>
      <c r="AA954" s="136"/>
      <c r="AB954" s="566" t="str">
        <f t="shared" si="534"/>
        <v/>
      </c>
      <c r="AC954" s="568" t="str">
        <f t="shared" si="535"/>
        <v/>
      </c>
      <c r="AD954" s="137"/>
      <c r="AE954" s="137"/>
      <c r="AF954" s="138"/>
      <c r="AG954" s="138"/>
      <c r="AH954" s="592" t="str">
        <f t="shared" si="536"/>
        <v/>
      </c>
      <c r="AI954" s="592" t="str">
        <f t="shared" si="537"/>
        <v/>
      </c>
      <c r="AJ954" s="592" t="str">
        <f t="shared" si="538"/>
        <v/>
      </c>
      <c r="AK954" s="460" t="str">
        <f>IF(AU954="","",IF(OR(AZ954=8,AZ954=9),0,IF(OR(AW954=3,AW954=4,AW954=5,AW954=6),IF(LEFT(BF954,1)="1",INDEX(係数_NOX・PM低減,MATCH(AY954,【参考】排出係数!$AI$801:$AI$804,1),1),VLOOKUP(AU954,INDEX((係数_バス貨物_ガソリン,係数_バス貨物_CNG,係数_バス貨物_軽油,係数_バス貨物_メタノール,係数_バス貨物_LPG),MATCH(AY954,【参考】排出係数!$AI$4:$AI$671,1),1,BE954):INDEX((係数_バス貨物_ガソリン,係数_バス貨物_CNG,係数_バス貨物_軽油,係数_バス貨物_メタノール,係数_バス貨物_LPG),MATCH(AY954+1,【参考】排出係数!$AI$4:$AI$671,1)-1,5,BE954),4,FALSE)),IF(AND(BE954=3,LEFT(BF954,1)="1"),0.48,VLOOKUP(AU954,INDEX((係数_乗用_ガソリン,係数_乗用_CNG,係数_乗用_軽油,係数_乗用_メタノール,係数_乗用_LPG),1,1,BE954):INDEX((係数_乗用_ガソリン,係数_乗用_CNG,係数_乗用_軽油,係数_乗用_メタノール,係数_乗用_LPG),125,5,BE954),4,FALSE)))))</f>
        <v/>
      </c>
      <c r="AL954" s="461" t="str">
        <f t="shared" si="539"/>
        <v/>
      </c>
      <c r="AM954" s="460" t="str">
        <f>IF(AU954="","",IF(OR(AZ954=8,AZ954=9),0,IF(OR(AW954=3,AW954=4,AW954=5,AW954=6),IF(LEFT(BH954,1)="1",INDEX(係数_PM低減,MATCH(AY954,【参考】排出係数!$AI$801:$AI$804,1),MATCH(BI954,【参考】排出係数!$AL$798:$AO$798,1)),VLOOKUP(AU954,INDEX((係数_バス貨物_ガソリン,係数_バス貨物_CNG,係数_バス貨物_軽油,係数_バス貨物_メタノール,係数_バス貨物_LPG),MATCH(AY954,【参考】排出係数!$AI$4:$AI$671,1),1,BE954):INDEX((係数_バス貨物_ガソリン,係数_バス貨物_CNG,係数_バス貨物_軽油,係数_バス貨物_メタノール,係数_バス貨物_LPG),MATCH(AY954+1,【参考】排出係数!$AI$4:$AI$671,1)-1,5,BE954),5,FALSE)),IF(AND(BE954=3,LEFT(BF954,1)="1"),0.055,VLOOKUP(AU954,INDEX((係数_乗用_ガソリン,係数_乗用_CNG,係数_乗用_軽油,係数_乗用_メタノール,係数_乗用_LPG),1,1,BE954):INDEX((係数_乗用_ガソリン,係数_乗用_CNG,係数_乗用_軽油,係数_乗用_メタノール,係数_乗用_LPG),125,5,BE954),5,FALSE)))))</f>
        <v/>
      </c>
      <c r="AN954" s="461" t="str">
        <f t="shared" si="540"/>
        <v/>
      </c>
      <c r="AO954" s="462" t="str">
        <f t="shared" si="541"/>
        <v/>
      </c>
      <c r="AP954" s="463" t="str">
        <f t="shared" si="542"/>
        <v/>
      </c>
      <c r="AQ954" s="464"/>
      <c r="AR954" s="619"/>
      <c r="AS954" s="465" t="str">
        <f t="shared" ref="AS954:AS1017" si="550">IF(OR(T954="(減車済)",T954=""),"",1)</f>
        <v/>
      </c>
      <c r="AT954" s="465" t="str">
        <f t="shared" ref="AT954:AT1017" si="551">IF(OR(T954="継続",T954="新規"),1,"")</f>
        <v/>
      </c>
      <c r="AU954" s="466" t="str">
        <f t="shared" ref="AU954:AU1017" si="552">IF(AS954="","",UPPER(ASC(X954)))</f>
        <v/>
      </c>
      <c r="AV954" s="467" t="str">
        <f t="shared" ref="AV954:AV1017" si="553">IF(AS954="","",IF(V954="","",IF(V954="普通",1,IF(V954="小型",2,0))))</f>
        <v/>
      </c>
      <c r="AW954" s="467" t="str">
        <f t="shared" ref="AW954:AW1017" si="554">IF(AS954="","",IF(W954="","",VLOOKUP(W954,用途,2,FALSE)))</f>
        <v/>
      </c>
      <c r="AX954" s="467" t="str">
        <f t="shared" ref="AX954:AX1017" si="555">IF(AS954="","",IF(Y954="","",IF(Y954&lt;=10,1,IF(Y954&lt;30,2,IF(Y954&gt;=30,3,0)))))</f>
        <v/>
      </c>
      <c r="AY954" s="467" t="str">
        <f t="shared" ref="AY954:AY1017" si="556">IF(AS954="","",IF(Z954="","",IF(Z954&lt;=1.7*1000,1,IF(Z954&lt;=2.5*1000,2,IF(Z954&lt;=3.5*1000,3,IF(Z954&lt;8*1000,4,IF(Z954&gt;=8*1000,5,"")))))))</f>
        <v/>
      </c>
      <c r="AZ954" s="467" t="str">
        <f t="shared" ref="AZ954:AZ1017" si="557">IF(AS954="","",IF(AA954="","",VLOOKUP(AA954,燃料の種類,2,FALSE)))</f>
        <v/>
      </c>
      <c r="BA954" s="468" t="str">
        <f>IF(AS954="","",IF(OR(AU954="",AU954="-"),"－",IF(OR(AZ954=8,AZ954=9),"",IF(OR(AW954=3,AW954=4,AW954=5,AW954=6),VLOOKUP(AU954,INDEX((係数_バス貨物_ガソリン,係数_バス貨物_CNG,係数_バス貨物_軽油,係数_バス貨物_メタノール,係数_バス貨物_LPG),MATCH(AY954,【参考】排出係数!$AI$4:$AI$671,1),1,BE954):INDEX((係数_バス貨物_ガソリン,係数_バス貨物_CNG,係数_バス貨物_軽油,係数_バス貨物_メタノール,係数_バス貨物_LPG),MATCH(AY954+1,【参考】排出係数!$AI$4:$AI$671,1)-1,5,BE954),2,FALSE),IF(OR(AW954=1,AW954=2),VLOOKUP(AU954,INDEX((係数_乗用_ガソリン,係数_乗用_CNG,係数_乗用_軽油,係数_乗用_メタノール,係数_乗用_LPG),1,1,BE954):INDEX((係数_乗用_ガソリン,係数_乗用_CNG,係数_乗用_軽油,係数_乗用_メタノール,係数_乗用_LPG),125,5,BE954),2,FALSE))))))</f>
        <v/>
      </c>
      <c r="BB954" s="468" t="str">
        <f>IF(T954="","",IF(OR(AU954="",AU954="-"),"－",IF(OR(AZ954=8,AZ954=9),"",IF(OR(AW954=3,AW954=4,AW954=5,AW954=6),VLOOKUP(AU954,INDEX((係数_バス貨物_ガソリン,係数_バス貨物_CNG,係数_バス貨物_軽油,係数_バス貨物_メタノール,係数_バス貨物_LPG),MATCH(AY954,【参考】排出係数!$AI$4:$AI$671,1),1,BE954):INDEX((係数_バス貨物_ガソリン,係数_バス貨物_CNG,係数_バス貨物_軽油,係数_バス貨物_メタノール,係数_バス貨物_LPG),MATCH(AY954+1,【参考】排出係数!$AI$4:$AI$671,1)-1,5,BE954),3,FALSE),IF(OR(AW954=1,AW954=2),VLOOKUP(AU954,INDEX((係数_乗用_ガソリン,係数_乗用_CNG,係数_乗用_軽油,係数_乗用_メタノール,係数_乗用_LPG),1,1,BE954):INDEX((係数_乗用_ガソリン,係数_乗用_CNG,係数_乗用_軽油,係数_乗用_メタノール,係数_乗用_LPG),125,5,BE954),3,FALSE))))))</f>
        <v/>
      </c>
      <c r="BC954" s="467" t="str">
        <f t="shared" ref="BC954:BC1017" si="558">IF((AS954="")+(AC954=""),"",IF(燃料区分1=4,VLOOKUP(BB954,排ガス低減レベル,2,FALSE),VLOOKUP(AC954,排ガス低減レベル,2,FALSE)))</f>
        <v/>
      </c>
      <c r="BD954" s="567" t="str">
        <f t="shared" ref="BD954:BD1017" si="559">IF(AT954="","",IF(AW954=3,B954&amp;"-"&amp;SUM(AW954*100,AX954*10,AY954)&amp;"A",IF(OR(AW954=2,AW954=4,AW954=6),B954&amp;"-"&amp;AY954*10&amp;"A",IF(AW954=1,B954&amp;"-"&amp;AW954&amp;"A",IF(AW954=5,B954&amp;"-"&amp;SUM(AW954*100,AV954*10,AY954)&amp;"A","")))))</f>
        <v/>
      </c>
      <c r="BE954" s="467" t="str">
        <f t="shared" ref="BE954:BE1017" si="560">IF(OR(AZ954=1,AZ954=2,AZ954=11),1,IF(AZ954=6,2,IF(OR(AZ954=4,AZ954=5,AZ954=10),3,IF(AZ954=7,4,IF(AZ954=3,5, IF(OR(AZ954=8,AZ954=9),6,""))))))</f>
        <v/>
      </c>
      <c r="BF954" s="469" t="str">
        <f t="shared" ref="BF954:BF1017" ca="1" si="561">(IF(OR(AZ954=4,AZ954=5),OFFSET($CH$1,MATCH($AF954,$CG$2:$CG$4,0),0)&amp;BK954,""))</f>
        <v/>
      </c>
      <c r="BG954" s="469" t="str">
        <f t="shared" ref="BG954:BG1017" ca="1" si="562">(IF(OR(AZ954=4,AZ954=5),OFFSET($CJ$1,MATCH($AG954,$CI$2:$CI$5,0),0)&amp;BK954,""))</f>
        <v/>
      </c>
      <c r="BH954" s="467" t="str">
        <f t="shared" ref="BH954:BH1017" si="563">IF(OR(AZ954=4,AZ954=5),IF(OR(LEFT(BF954,1)="1",LEFT(BG954,1)="2",LEFT(BG954,1)="3"),1,2)&amp;BK954,"")</f>
        <v/>
      </c>
      <c r="BI954" s="467" t="str">
        <f t="shared" ref="BI954:BI1017" ca="1" si="564">IF(LEFT(BF954)="1",1,IF(LEFT(BG954,1)="2",2,IF(LEFT(BG954,1)="3",3,"")))</f>
        <v/>
      </c>
      <c r="BJ954" s="469" t="str">
        <f t="shared" ref="BJ954:BJ1017" si="565">IF(AT954="","",B954&amp;"-"&amp;AZ954)</f>
        <v/>
      </c>
      <c r="BK954" s="470" t="str">
        <f t="shared" si="549"/>
        <v/>
      </c>
      <c r="BL954" s="775" t="str">
        <f t="shared" ref="BL954:BL1017" si="566">IF(AND(OR($T954="新規",$T954="継続"),ISBLANK($AD954)),1,"")</f>
        <v/>
      </c>
      <c r="BM954" s="775" t="str">
        <f t="shared" ref="BM954:BM1017" si="567">IF(AND(OR($T954="新規",$T954="継続"),ISBLANK($AE954)),1,"")</f>
        <v/>
      </c>
    </row>
    <row r="955" spans="1:65">
      <c r="A955" s="473">
        <v>899</v>
      </c>
      <c r="B955" s="132"/>
      <c r="C955" s="332"/>
      <c r="D955" s="333"/>
      <c r="E955" s="333"/>
      <c r="F955" s="334"/>
      <c r="G955" s="337"/>
      <c r="H955" s="131"/>
      <c r="I955" s="337"/>
      <c r="J955" s="131"/>
      <c r="K955" s="458" t="str">
        <f t="shared" si="530"/>
        <v/>
      </c>
      <c r="L955" s="458">
        <f t="shared" si="531"/>
        <v>0</v>
      </c>
      <c r="M955" s="458">
        <f t="shared" si="532"/>
        <v>0</v>
      </c>
      <c r="N955" s="459" t="str">
        <f t="shared" si="543"/>
        <v/>
      </c>
      <c r="O955" s="459" t="str">
        <f t="shared" si="544"/>
        <v/>
      </c>
      <c r="P955" s="459" t="str">
        <f t="shared" si="545"/>
        <v/>
      </c>
      <c r="Q955" s="459" t="str">
        <f t="shared" si="546"/>
        <v/>
      </c>
      <c r="R955" s="459" t="str">
        <f t="shared" si="547"/>
        <v/>
      </c>
      <c r="S955" s="459" t="str">
        <f t="shared" si="548"/>
        <v/>
      </c>
      <c r="T955" s="566" t="str">
        <f t="shared" si="533"/>
        <v/>
      </c>
      <c r="U955" s="702"/>
      <c r="V955" s="132"/>
      <c r="W955" s="133"/>
      <c r="X955" s="134"/>
      <c r="Y955" s="135"/>
      <c r="Z955" s="137"/>
      <c r="AA955" s="136"/>
      <c r="AB955" s="566" t="str">
        <f t="shared" si="534"/>
        <v/>
      </c>
      <c r="AC955" s="568" t="str">
        <f t="shared" si="535"/>
        <v/>
      </c>
      <c r="AD955" s="137"/>
      <c r="AE955" s="137"/>
      <c r="AF955" s="138"/>
      <c r="AG955" s="138"/>
      <c r="AH955" s="592" t="str">
        <f t="shared" si="536"/>
        <v/>
      </c>
      <c r="AI955" s="592" t="str">
        <f t="shared" si="537"/>
        <v/>
      </c>
      <c r="AJ955" s="592" t="str">
        <f t="shared" si="538"/>
        <v/>
      </c>
      <c r="AK955" s="460" t="str">
        <f>IF(AU955="","",IF(OR(AZ955=8,AZ955=9),0,IF(OR(AW955=3,AW955=4,AW955=5,AW955=6),IF(LEFT(BF955,1)="1",INDEX(係数_NOX・PM低減,MATCH(AY955,【参考】排出係数!$AI$801:$AI$804,1),1),VLOOKUP(AU955,INDEX((係数_バス貨物_ガソリン,係数_バス貨物_CNG,係数_バス貨物_軽油,係数_バス貨物_メタノール,係数_バス貨物_LPG),MATCH(AY955,【参考】排出係数!$AI$4:$AI$671,1),1,BE955):INDEX((係数_バス貨物_ガソリン,係数_バス貨物_CNG,係数_バス貨物_軽油,係数_バス貨物_メタノール,係数_バス貨物_LPG),MATCH(AY955+1,【参考】排出係数!$AI$4:$AI$671,1)-1,5,BE955),4,FALSE)),IF(AND(BE955=3,LEFT(BF955,1)="1"),0.48,VLOOKUP(AU955,INDEX((係数_乗用_ガソリン,係数_乗用_CNG,係数_乗用_軽油,係数_乗用_メタノール,係数_乗用_LPG),1,1,BE955):INDEX((係数_乗用_ガソリン,係数_乗用_CNG,係数_乗用_軽油,係数_乗用_メタノール,係数_乗用_LPG),125,5,BE955),4,FALSE)))))</f>
        <v/>
      </c>
      <c r="AL955" s="461" t="str">
        <f t="shared" si="539"/>
        <v/>
      </c>
      <c r="AM955" s="460" t="str">
        <f>IF(AU955="","",IF(OR(AZ955=8,AZ955=9),0,IF(OR(AW955=3,AW955=4,AW955=5,AW955=6),IF(LEFT(BH955,1)="1",INDEX(係数_PM低減,MATCH(AY955,【参考】排出係数!$AI$801:$AI$804,1),MATCH(BI955,【参考】排出係数!$AL$798:$AO$798,1)),VLOOKUP(AU955,INDEX((係数_バス貨物_ガソリン,係数_バス貨物_CNG,係数_バス貨物_軽油,係数_バス貨物_メタノール,係数_バス貨物_LPG),MATCH(AY955,【参考】排出係数!$AI$4:$AI$671,1),1,BE955):INDEX((係数_バス貨物_ガソリン,係数_バス貨物_CNG,係数_バス貨物_軽油,係数_バス貨物_メタノール,係数_バス貨物_LPG),MATCH(AY955+1,【参考】排出係数!$AI$4:$AI$671,1)-1,5,BE955),5,FALSE)),IF(AND(BE955=3,LEFT(BF955,1)="1"),0.055,VLOOKUP(AU955,INDEX((係数_乗用_ガソリン,係数_乗用_CNG,係数_乗用_軽油,係数_乗用_メタノール,係数_乗用_LPG),1,1,BE955):INDEX((係数_乗用_ガソリン,係数_乗用_CNG,係数_乗用_軽油,係数_乗用_メタノール,係数_乗用_LPG),125,5,BE955),5,FALSE)))))</f>
        <v/>
      </c>
      <c r="AN955" s="461" t="str">
        <f t="shared" si="540"/>
        <v/>
      </c>
      <c r="AO955" s="462" t="str">
        <f t="shared" si="541"/>
        <v/>
      </c>
      <c r="AP955" s="463" t="str">
        <f t="shared" si="542"/>
        <v/>
      </c>
      <c r="AQ955" s="464"/>
      <c r="AR955" s="619"/>
      <c r="AS955" s="465" t="str">
        <f t="shared" si="550"/>
        <v/>
      </c>
      <c r="AT955" s="465" t="str">
        <f t="shared" si="551"/>
        <v/>
      </c>
      <c r="AU955" s="466" t="str">
        <f t="shared" si="552"/>
        <v/>
      </c>
      <c r="AV955" s="467" t="str">
        <f t="shared" si="553"/>
        <v/>
      </c>
      <c r="AW955" s="467" t="str">
        <f t="shared" si="554"/>
        <v/>
      </c>
      <c r="AX955" s="467" t="str">
        <f t="shared" si="555"/>
        <v/>
      </c>
      <c r="AY955" s="467" t="str">
        <f t="shared" si="556"/>
        <v/>
      </c>
      <c r="AZ955" s="467" t="str">
        <f t="shared" si="557"/>
        <v/>
      </c>
      <c r="BA955" s="468" t="str">
        <f>IF(AS955="","",IF(OR(AU955="",AU955="-"),"－",IF(OR(AZ955=8,AZ955=9),"",IF(OR(AW955=3,AW955=4,AW955=5,AW955=6),VLOOKUP(AU955,INDEX((係数_バス貨物_ガソリン,係数_バス貨物_CNG,係数_バス貨物_軽油,係数_バス貨物_メタノール,係数_バス貨物_LPG),MATCH(AY955,【参考】排出係数!$AI$4:$AI$671,1),1,BE955):INDEX((係数_バス貨物_ガソリン,係数_バス貨物_CNG,係数_バス貨物_軽油,係数_バス貨物_メタノール,係数_バス貨物_LPG),MATCH(AY955+1,【参考】排出係数!$AI$4:$AI$671,1)-1,5,BE955),2,FALSE),IF(OR(AW955=1,AW955=2),VLOOKUP(AU955,INDEX((係数_乗用_ガソリン,係数_乗用_CNG,係数_乗用_軽油,係数_乗用_メタノール,係数_乗用_LPG),1,1,BE955):INDEX((係数_乗用_ガソリン,係数_乗用_CNG,係数_乗用_軽油,係数_乗用_メタノール,係数_乗用_LPG),125,5,BE955),2,FALSE))))))</f>
        <v/>
      </c>
      <c r="BB955" s="468" t="str">
        <f>IF(T955="","",IF(OR(AU955="",AU955="-"),"－",IF(OR(AZ955=8,AZ955=9),"",IF(OR(AW955=3,AW955=4,AW955=5,AW955=6),VLOOKUP(AU955,INDEX((係数_バス貨物_ガソリン,係数_バス貨物_CNG,係数_バス貨物_軽油,係数_バス貨物_メタノール,係数_バス貨物_LPG),MATCH(AY955,【参考】排出係数!$AI$4:$AI$671,1),1,BE955):INDEX((係数_バス貨物_ガソリン,係数_バス貨物_CNG,係数_バス貨物_軽油,係数_バス貨物_メタノール,係数_バス貨物_LPG),MATCH(AY955+1,【参考】排出係数!$AI$4:$AI$671,1)-1,5,BE955),3,FALSE),IF(OR(AW955=1,AW955=2),VLOOKUP(AU955,INDEX((係数_乗用_ガソリン,係数_乗用_CNG,係数_乗用_軽油,係数_乗用_メタノール,係数_乗用_LPG),1,1,BE955):INDEX((係数_乗用_ガソリン,係数_乗用_CNG,係数_乗用_軽油,係数_乗用_メタノール,係数_乗用_LPG),125,5,BE955),3,FALSE))))))</f>
        <v/>
      </c>
      <c r="BC955" s="467" t="str">
        <f t="shared" si="558"/>
        <v/>
      </c>
      <c r="BD955" s="567" t="str">
        <f t="shared" si="559"/>
        <v/>
      </c>
      <c r="BE955" s="467" t="str">
        <f t="shared" si="560"/>
        <v/>
      </c>
      <c r="BF955" s="469" t="str">
        <f t="shared" ca="1" si="561"/>
        <v/>
      </c>
      <c r="BG955" s="469" t="str">
        <f t="shared" ca="1" si="562"/>
        <v/>
      </c>
      <c r="BH955" s="467" t="str">
        <f t="shared" si="563"/>
        <v/>
      </c>
      <c r="BI955" s="467" t="str">
        <f t="shared" ca="1" si="564"/>
        <v/>
      </c>
      <c r="BJ955" s="469" t="str">
        <f t="shared" si="565"/>
        <v/>
      </c>
      <c r="BK955" s="470" t="str">
        <f t="shared" si="549"/>
        <v/>
      </c>
      <c r="BL955" s="775" t="str">
        <f t="shared" si="566"/>
        <v/>
      </c>
      <c r="BM955" s="775" t="str">
        <f t="shared" si="567"/>
        <v/>
      </c>
    </row>
    <row r="956" spans="1:65">
      <c r="A956" s="473">
        <v>900</v>
      </c>
      <c r="B956" s="132"/>
      <c r="C956" s="332"/>
      <c r="D956" s="333"/>
      <c r="E956" s="333"/>
      <c r="F956" s="334"/>
      <c r="G956" s="337"/>
      <c r="H956" s="131"/>
      <c r="I956" s="337"/>
      <c r="J956" s="131"/>
      <c r="K956" s="458" t="str">
        <f t="shared" si="530"/>
        <v/>
      </c>
      <c r="L956" s="458">
        <f t="shared" si="531"/>
        <v>0</v>
      </c>
      <c r="M956" s="458">
        <f t="shared" si="532"/>
        <v>0</v>
      </c>
      <c r="N956" s="459" t="str">
        <f t="shared" si="543"/>
        <v/>
      </c>
      <c r="O956" s="459" t="str">
        <f t="shared" si="544"/>
        <v/>
      </c>
      <c r="P956" s="459" t="str">
        <f t="shared" si="545"/>
        <v/>
      </c>
      <c r="Q956" s="459" t="str">
        <f t="shared" si="546"/>
        <v/>
      </c>
      <c r="R956" s="459" t="str">
        <f t="shared" si="547"/>
        <v/>
      </c>
      <c r="S956" s="459" t="str">
        <f t="shared" si="548"/>
        <v/>
      </c>
      <c r="T956" s="566" t="str">
        <f t="shared" si="533"/>
        <v/>
      </c>
      <c r="U956" s="702"/>
      <c r="V956" s="132"/>
      <c r="W956" s="133"/>
      <c r="X956" s="134"/>
      <c r="Y956" s="135"/>
      <c r="Z956" s="137"/>
      <c r="AA956" s="136"/>
      <c r="AB956" s="566" t="str">
        <f t="shared" si="534"/>
        <v/>
      </c>
      <c r="AC956" s="568" t="str">
        <f t="shared" si="535"/>
        <v/>
      </c>
      <c r="AD956" s="137"/>
      <c r="AE956" s="137"/>
      <c r="AF956" s="138"/>
      <c r="AG956" s="138"/>
      <c r="AH956" s="592" t="str">
        <f t="shared" si="536"/>
        <v/>
      </c>
      <c r="AI956" s="592" t="str">
        <f t="shared" si="537"/>
        <v/>
      </c>
      <c r="AJ956" s="592" t="str">
        <f t="shared" si="538"/>
        <v/>
      </c>
      <c r="AK956" s="460" t="str">
        <f>IF(AU956="","",IF(OR(AZ956=8,AZ956=9),0,IF(OR(AW956=3,AW956=4,AW956=5,AW956=6),IF(LEFT(BF956,1)="1",INDEX(係数_NOX・PM低減,MATCH(AY956,【参考】排出係数!$AI$801:$AI$804,1),1),VLOOKUP(AU956,INDEX((係数_バス貨物_ガソリン,係数_バス貨物_CNG,係数_バス貨物_軽油,係数_バス貨物_メタノール,係数_バス貨物_LPG),MATCH(AY956,【参考】排出係数!$AI$4:$AI$671,1),1,BE956):INDEX((係数_バス貨物_ガソリン,係数_バス貨物_CNG,係数_バス貨物_軽油,係数_バス貨物_メタノール,係数_バス貨物_LPG),MATCH(AY956+1,【参考】排出係数!$AI$4:$AI$671,1)-1,5,BE956),4,FALSE)),IF(AND(BE956=3,LEFT(BF956,1)="1"),0.48,VLOOKUP(AU956,INDEX((係数_乗用_ガソリン,係数_乗用_CNG,係数_乗用_軽油,係数_乗用_メタノール,係数_乗用_LPG),1,1,BE956):INDEX((係数_乗用_ガソリン,係数_乗用_CNG,係数_乗用_軽油,係数_乗用_メタノール,係数_乗用_LPG),125,5,BE956),4,FALSE)))))</f>
        <v/>
      </c>
      <c r="AL956" s="461" t="str">
        <f t="shared" si="539"/>
        <v/>
      </c>
      <c r="AM956" s="460" t="str">
        <f>IF(AU956="","",IF(OR(AZ956=8,AZ956=9),0,IF(OR(AW956=3,AW956=4,AW956=5,AW956=6),IF(LEFT(BH956,1)="1",INDEX(係数_PM低減,MATCH(AY956,【参考】排出係数!$AI$801:$AI$804,1),MATCH(BI956,【参考】排出係数!$AL$798:$AO$798,1)),VLOOKUP(AU956,INDEX((係数_バス貨物_ガソリン,係数_バス貨物_CNG,係数_バス貨物_軽油,係数_バス貨物_メタノール,係数_バス貨物_LPG),MATCH(AY956,【参考】排出係数!$AI$4:$AI$671,1),1,BE956):INDEX((係数_バス貨物_ガソリン,係数_バス貨物_CNG,係数_バス貨物_軽油,係数_バス貨物_メタノール,係数_バス貨物_LPG),MATCH(AY956+1,【参考】排出係数!$AI$4:$AI$671,1)-1,5,BE956),5,FALSE)),IF(AND(BE956=3,LEFT(BF956,1)="1"),0.055,VLOOKUP(AU956,INDEX((係数_乗用_ガソリン,係数_乗用_CNG,係数_乗用_軽油,係数_乗用_メタノール,係数_乗用_LPG),1,1,BE956):INDEX((係数_乗用_ガソリン,係数_乗用_CNG,係数_乗用_軽油,係数_乗用_メタノール,係数_乗用_LPG),125,5,BE956),5,FALSE)))))</f>
        <v/>
      </c>
      <c r="AN956" s="461" t="str">
        <f t="shared" si="540"/>
        <v/>
      </c>
      <c r="AO956" s="462" t="str">
        <f t="shared" si="541"/>
        <v/>
      </c>
      <c r="AP956" s="463" t="str">
        <f t="shared" si="542"/>
        <v/>
      </c>
      <c r="AQ956" s="464"/>
      <c r="AR956" s="619"/>
      <c r="AS956" s="465" t="str">
        <f t="shared" si="550"/>
        <v/>
      </c>
      <c r="AT956" s="465" t="str">
        <f t="shared" si="551"/>
        <v/>
      </c>
      <c r="AU956" s="466" t="str">
        <f t="shared" si="552"/>
        <v/>
      </c>
      <c r="AV956" s="467" t="str">
        <f t="shared" si="553"/>
        <v/>
      </c>
      <c r="AW956" s="467" t="str">
        <f t="shared" si="554"/>
        <v/>
      </c>
      <c r="AX956" s="467" t="str">
        <f t="shared" si="555"/>
        <v/>
      </c>
      <c r="AY956" s="467" t="str">
        <f t="shared" si="556"/>
        <v/>
      </c>
      <c r="AZ956" s="467" t="str">
        <f t="shared" si="557"/>
        <v/>
      </c>
      <c r="BA956" s="468" t="str">
        <f>IF(AS956="","",IF(OR(AU956="",AU956="-"),"－",IF(OR(AZ956=8,AZ956=9),"",IF(OR(AW956=3,AW956=4,AW956=5,AW956=6),VLOOKUP(AU956,INDEX((係数_バス貨物_ガソリン,係数_バス貨物_CNG,係数_バス貨物_軽油,係数_バス貨物_メタノール,係数_バス貨物_LPG),MATCH(AY956,【参考】排出係数!$AI$4:$AI$671,1),1,BE956):INDEX((係数_バス貨物_ガソリン,係数_バス貨物_CNG,係数_バス貨物_軽油,係数_バス貨物_メタノール,係数_バス貨物_LPG),MATCH(AY956+1,【参考】排出係数!$AI$4:$AI$671,1)-1,5,BE956),2,FALSE),IF(OR(AW956=1,AW956=2),VLOOKUP(AU956,INDEX((係数_乗用_ガソリン,係数_乗用_CNG,係数_乗用_軽油,係数_乗用_メタノール,係数_乗用_LPG),1,1,BE956):INDEX((係数_乗用_ガソリン,係数_乗用_CNG,係数_乗用_軽油,係数_乗用_メタノール,係数_乗用_LPG),125,5,BE956),2,FALSE))))))</f>
        <v/>
      </c>
      <c r="BB956" s="468" t="str">
        <f>IF(T956="","",IF(OR(AU956="",AU956="-"),"－",IF(OR(AZ956=8,AZ956=9),"",IF(OR(AW956=3,AW956=4,AW956=5,AW956=6),VLOOKUP(AU956,INDEX((係数_バス貨物_ガソリン,係数_バス貨物_CNG,係数_バス貨物_軽油,係数_バス貨物_メタノール,係数_バス貨物_LPG),MATCH(AY956,【参考】排出係数!$AI$4:$AI$671,1),1,BE956):INDEX((係数_バス貨物_ガソリン,係数_バス貨物_CNG,係数_バス貨物_軽油,係数_バス貨物_メタノール,係数_バス貨物_LPG),MATCH(AY956+1,【参考】排出係数!$AI$4:$AI$671,1)-1,5,BE956),3,FALSE),IF(OR(AW956=1,AW956=2),VLOOKUP(AU956,INDEX((係数_乗用_ガソリン,係数_乗用_CNG,係数_乗用_軽油,係数_乗用_メタノール,係数_乗用_LPG),1,1,BE956):INDEX((係数_乗用_ガソリン,係数_乗用_CNG,係数_乗用_軽油,係数_乗用_メタノール,係数_乗用_LPG),125,5,BE956),3,FALSE))))))</f>
        <v/>
      </c>
      <c r="BC956" s="467" t="str">
        <f t="shared" si="558"/>
        <v/>
      </c>
      <c r="BD956" s="567" t="str">
        <f t="shared" si="559"/>
        <v/>
      </c>
      <c r="BE956" s="467" t="str">
        <f t="shared" si="560"/>
        <v/>
      </c>
      <c r="BF956" s="469" t="str">
        <f t="shared" ca="1" si="561"/>
        <v/>
      </c>
      <c r="BG956" s="469" t="str">
        <f t="shared" ca="1" si="562"/>
        <v/>
      </c>
      <c r="BH956" s="467" t="str">
        <f t="shared" si="563"/>
        <v/>
      </c>
      <c r="BI956" s="467" t="str">
        <f t="shared" ca="1" si="564"/>
        <v/>
      </c>
      <c r="BJ956" s="469" t="str">
        <f t="shared" si="565"/>
        <v/>
      </c>
      <c r="BK956" s="470" t="str">
        <f t="shared" si="549"/>
        <v/>
      </c>
      <c r="BL956" s="775" t="str">
        <f t="shared" si="566"/>
        <v/>
      </c>
      <c r="BM956" s="775" t="str">
        <f t="shared" si="567"/>
        <v/>
      </c>
    </row>
    <row r="957" spans="1:65">
      <c r="A957" s="473">
        <v>901</v>
      </c>
      <c r="B957" s="132"/>
      <c r="C957" s="332"/>
      <c r="D957" s="333"/>
      <c r="E957" s="333"/>
      <c r="F957" s="334"/>
      <c r="G957" s="337"/>
      <c r="H957" s="131"/>
      <c r="I957" s="337"/>
      <c r="J957" s="131"/>
      <c r="K957" s="458" t="str">
        <f t="shared" si="530"/>
        <v/>
      </c>
      <c r="L957" s="458">
        <f t="shared" si="531"/>
        <v>0</v>
      </c>
      <c r="M957" s="458">
        <f t="shared" si="532"/>
        <v>0</v>
      </c>
      <c r="N957" s="459" t="str">
        <f t="shared" si="543"/>
        <v/>
      </c>
      <c r="O957" s="459" t="str">
        <f t="shared" si="544"/>
        <v/>
      </c>
      <c r="P957" s="459" t="str">
        <f t="shared" si="545"/>
        <v/>
      </c>
      <c r="Q957" s="459" t="str">
        <f t="shared" si="546"/>
        <v/>
      </c>
      <c r="R957" s="459" t="str">
        <f t="shared" si="547"/>
        <v/>
      </c>
      <c r="S957" s="459" t="str">
        <f t="shared" si="548"/>
        <v/>
      </c>
      <c r="T957" s="566" t="str">
        <f t="shared" si="533"/>
        <v/>
      </c>
      <c r="U957" s="702"/>
      <c r="V957" s="132"/>
      <c r="W957" s="133"/>
      <c r="X957" s="134"/>
      <c r="Y957" s="135"/>
      <c r="Z957" s="137"/>
      <c r="AA957" s="136"/>
      <c r="AB957" s="566" t="str">
        <f t="shared" si="534"/>
        <v/>
      </c>
      <c r="AC957" s="568" t="str">
        <f t="shared" si="535"/>
        <v/>
      </c>
      <c r="AD957" s="137"/>
      <c r="AE957" s="137"/>
      <c r="AF957" s="138"/>
      <c r="AG957" s="138"/>
      <c r="AH957" s="592" t="str">
        <f t="shared" si="536"/>
        <v/>
      </c>
      <c r="AI957" s="592" t="str">
        <f t="shared" si="537"/>
        <v/>
      </c>
      <c r="AJ957" s="592" t="str">
        <f t="shared" si="538"/>
        <v/>
      </c>
      <c r="AK957" s="460" t="str">
        <f>IF(AU957="","",IF(OR(AZ957=8,AZ957=9),0,IF(OR(AW957=3,AW957=4,AW957=5,AW957=6),IF(LEFT(BF957,1)="1",INDEX(係数_NOX・PM低減,MATCH(AY957,【参考】排出係数!$AI$801:$AI$804,1),1),VLOOKUP(AU957,INDEX((係数_バス貨物_ガソリン,係数_バス貨物_CNG,係数_バス貨物_軽油,係数_バス貨物_メタノール,係数_バス貨物_LPG),MATCH(AY957,【参考】排出係数!$AI$4:$AI$671,1),1,BE957):INDEX((係数_バス貨物_ガソリン,係数_バス貨物_CNG,係数_バス貨物_軽油,係数_バス貨物_メタノール,係数_バス貨物_LPG),MATCH(AY957+1,【参考】排出係数!$AI$4:$AI$671,1)-1,5,BE957),4,FALSE)),IF(AND(BE957=3,LEFT(BF957,1)="1"),0.48,VLOOKUP(AU957,INDEX((係数_乗用_ガソリン,係数_乗用_CNG,係数_乗用_軽油,係数_乗用_メタノール,係数_乗用_LPG),1,1,BE957):INDEX((係数_乗用_ガソリン,係数_乗用_CNG,係数_乗用_軽油,係数_乗用_メタノール,係数_乗用_LPG),125,5,BE957),4,FALSE)))))</f>
        <v/>
      </c>
      <c r="AL957" s="461" t="str">
        <f t="shared" si="539"/>
        <v/>
      </c>
      <c r="AM957" s="460" t="str">
        <f>IF(AU957="","",IF(OR(AZ957=8,AZ957=9),0,IF(OR(AW957=3,AW957=4,AW957=5,AW957=6),IF(LEFT(BH957,1)="1",INDEX(係数_PM低減,MATCH(AY957,【参考】排出係数!$AI$801:$AI$804,1),MATCH(BI957,【参考】排出係数!$AL$798:$AO$798,1)),VLOOKUP(AU957,INDEX((係数_バス貨物_ガソリン,係数_バス貨物_CNG,係数_バス貨物_軽油,係数_バス貨物_メタノール,係数_バス貨物_LPG),MATCH(AY957,【参考】排出係数!$AI$4:$AI$671,1),1,BE957):INDEX((係数_バス貨物_ガソリン,係数_バス貨物_CNG,係数_バス貨物_軽油,係数_バス貨物_メタノール,係数_バス貨物_LPG),MATCH(AY957+1,【参考】排出係数!$AI$4:$AI$671,1)-1,5,BE957),5,FALSE)),IF(AND(BE957=3,LEFT(BF957,1)="1"),0.055,VLOOKUP(AU957,INDEX((係数_乗用_ガソリン,係数_乗用_CNG,係数_乗用_軽油,係数_乗用_メタノール,係数_乗用_LPG),1,1,BE957):INDEX((係数_乗用_ガソリン,係数_乗用_CNG,係数_乗用_軽油,係数_乗用_メタノール,係数_乗用_LPG),125,5,BE957),5,FALSE)))))</f>
        <v/>
      </c>
      <c r="AN957" s="461" t="str">
        <f t="shared" si="540"/>
        <v/>
      </c>
      <c r="AO957" s="462" t="str">
        <f t="shared" si="541"/>
        <v/>
      </c>
      <c r="AP957" s="463" t="str">
        <f t="shared" si="542"/>
        <v/>
      </c>
      <c r="AQ957" s="464"/>
      <c r="AR957" s="619"/>
      <c r="AS957" s="465" t="str">
        <f t="shared" si="550"/>
        <v/>
      </c>
      <c r="AT957" s="465" t="str">
        <f t="shared" si="551"/>
        <v/>
      </c>
      <c r="AU957" s="466" t="str">
        <f t="shared" si="552"/>
        <v/>
      </c>
      <c r="AV957" s="467" t="str">
        <f t="shared" si="553"/>
        <v/>
      </c>
      <c r="AW957" s="467" t="str">
        <f t="shared" si="554"/>
        <v/>
      </c>
      <c r="AX957" s="467" t="str">
        <f t="shared" si="555"/>
        <v/>
      </c>
      <c r="AY957" s="467" t="str">
        <f t="shared" si="556"/>
        <v/>
      </c>
      <c r="AZ957" s="467" t="str">
        <f t="shared" si="557"/>
        <v/>
      </c>
      <c r="BA957" s="468" t="str">
        <f>IF(AS957="","",IF(OR(AU957="",AU957="-"),"－",IF(OR(AZ957=8,AZ957=9),"",IF(OR(AW957=3,AW957=4,AW957=5,AW957=6),VLOOKUP(AU957,INDEX((係数_バス貨物_ガソリン,係数_バス貨物_CNG,係数_バス貨物_軽油,係数_バス貨物_メタノール,係数_バス貨物_LPG),MATCH(AY957,【参考】排出係数!$AI$4:$AI$671,1),1,BE957):INDEX((係数_バス貨物_ガソリン,係数_バス貨物_CNG,係数_バス貨物_軽油,係数_バス貨物_メタノール,係数_バス貨物_LPG),MATCH(AY957+1,【参考】排出係数!$AI$4:$AI$671,1)-1,5,BE957),2,FALSE),IF(OR(AW957=1,AW957=2),VLOOKUP(AU957,INDEX((係数_乗用_ガソリン,係数_乗用_CNG,係数_乗用_軽油,係数_乗用_メタノール,係数_乗用_LPG),1,1,BE957):INDEX((係数_乗用_ガソリン,係数_乗用_CNG,係数_乗用_軽油,係数_乗用_メタノール,係数_乗用_LPG),125,5,BE957),2,FALSE))))))</f>
        <v/>
      </c>
      <c r="BB957" s="468" t="str">
        <f>IF(T957="","",IF(OR(AU957="",AU957="-"),"－",IF(OR(AZ957=8,AZ957=9),"",IF(OR(AW957=3,AW957=4,AW957=5,AW957=6),VLOOKUP(AU957,INDEX((係数_バス貨物_ガソリン,係数_バス貨物_CNG,係数_バス貨物_軽油,係数_バス貨物_メタノール,係数_バス貨物_LPG),MATCH(AY957,【参考】排出係数!$AI$4:$AI$671,1),1,BE957):INDEX((係数_バス貨物_ガソリン,係数_バス貨物_CNG,係数_バス貨物_軽油,係数_バス貨物_メタノール,係数_バス貨物_LPG),MATCH(AY957+1,【参考】排出係数!$AI$4:$AI$671,1)-1,5,BE957),3,FALSE),IF(OR(AW957=1,AW957=2),VLOOKUP(AU957,INDEX((係数_乗用_ガソリン,係数_乗用_CNG,係数_乗用_軽油,係数_乗用_メタノール,係数_乗用_LPG),1,1,BE957):INDEX((係数_乗用_ガソリン,係数_乗用_CNG,係数_乗用_軽油,係数_乗用_メタノール,係数_乗用_LPG),125,5,BE957),3,FALSE))))))</f>
        <v/>
      </c>
      <c r="BC957" s="467" t="str">
        <f t="shared" si="558"/>
        <v/>
      </c>
      <c r="BD957" s="567" t="str">
        <f t="shared" si="559"/>
        <v/>
      </c>
      <c r="BE957" s="467" t="str">
        <f t="shared" si="560"/>
        <v/>
      </c>
      <c r="BF957" s="469" t="str">
        <f t="shared" ca="1" si="561"/>
        <v/>
      </c>
      <c r="BG957" s="469" t="str">
        <f t="shared" ca="1" si="562"/>
        <v/>
      </c>
      <c r="BH957" s="467" t="str">
        <f t="shared" si="563"/>
        <v/>
      </c>
      <c r="BI957" s="467" t="str">
        <f t="shared" ca="1" si="564"/>
        <v/>
      </c>
      <c r="BJ957" s="469" t="str">
        <f t="shared" si="565"/>
        <v/>
      </c>
      <c r="BK957" s="470" t="str">
        <f t="shared" si="549"/>
        <v/>
      </c>
      <c r="BL957" s="775" t="str">
        <f t="shared" si="566"/>
        <v/>
      </c>
      <c r="BM957" s="775" t="str">
        <f t="shared" si="567"/>
        <v/>
      </c>
    </row>
    <row r="958" spans="1:65">
      <c r="A958" s="473">
        <v>902</v>
      </c>
      <c r="B958" s="132"/>
      <c r="C958" s="332"/>
      <c r="D958" s="333"/>
      <c r="E958" s="333"/>
      <c r="F958" s="334"/>
      <c r="G958" s="337"/>
      <c r="H958" s="131"/>
      <c r="I958" s="337"/>
      <c r="J958" s="131"/>
      <c r="K958" s="458" t="str">
        <f t="shared" si="530"/>
        <v/>
      </c>
      <c r="L958" s="458">
        <f t="shared" si="531"/>
        <v>0</v>
      </c>
      <c r="M958" s="458">
        <f t="shared" si="532"/>
        <v>0</v>
      </c>
      <c r="N958" s="459" t="str">
        <f t="shared" si="543"/>
        <v/>
      </c>
      <c r="O958" s="459" t="str">
        <f t="shared" si="544"/>
        <v/>
      </c>
      <c r="P958" s="459" t="str">
        <f t="shared" si="545"/>
        <v/>
      </c>
      <c r="Q958" s="459" t="str">
        <f t="shared" si="546"/>
        <v/>
      </c>
      <c r="R958" s="459" t="str">
        <f t="shared" si="547"/>
        <v/>
      </c>
      <c r="S958" s="459" t="str">
        <f t="shared" si="548"/>
        <v/>
      </c>
      <c r="T958" s="566" t="str">
        <f t="shared" si="533"/>
        <v/>
      </c>
      <c r="U958" s="702"/>
      <c r="V958" s="132"/>
      <c r="W958" s="133"/>
      <c r="X958" s="134"/>
      <c r="Y958" s="135"/>
      <c r="Z958" s="137"/>
      <c r="AA958" s="136"/>
      <c r="AB958" s="566" t="str">
        <f t="shared" si="534"/>
        <v/>
      </c>
      <c r="AC958" s="568" t="str">
        <f t="shared" si="535"/>
        <v/>
      </c>
      <c r="AD958" s="137"/>
      <c r="AE958" s="137"/>
      <c r="AF958" s="138"/>
      <c r="AG958" s="138"/>
      <c r="AH958" s="592" t="str">
        <f t="shared" si="536"/>
        <v/>
      </c>
      <c r="AI958" s="592" t="str">
        <f t="shared" si="537"/>
        <v/>
      </c>
      <c r="AJ958" s="592" t="str">
        <f t="shared" si="538"/>
        <v/>
      </c>
      <c r="AK958" s="460" t="str">
        <f>IF(AU958="","",IF(OR(AZ958=8,AZ958=9),0,IF(OR(AW958=3,AW958=4,AW958=5,AW958=6),IF(LEFT(BF958,1)="1",INDEX(係数_NOX・PM低減,MATCH(AY958,【参考】排出係数!$AI$801:$AI$804,1),1),VLOOKUP(AU958,INDEX((係数_バス貨物_ガソリン,係数_バス貨物_CNG,係数_バス貨物_軽油,係数_バス貨物_メタノール,係数_バス貨物_LPG),MATCH(AY958,【参考】排出係数!$AI$4:$AI$671,1),1,BE958):INDEX((係数_バス貨物_ガソリン,係数_バス貨物_CNG,係数_バス貨物_軽油,係数_バス貨物_メタノール,係数_バス貨物_LPG),MATCH(AY958+1,【参考】排出係数!$AI$4:$AI$671,1)-1,5,BE958),4,FALSE)),IF(AND(BE958=3,LEFT(BF958,1)="1"),0.48,VLOOKUP(AU958,INDEX((係数_乗用_ガソリン,係数_乗用_CNG,係数_乗用_軽油,係数_乗用_メタノール,係数_乗用_LPG),1,1,BE958):INDEX((係数_乗用_ガソリン,係数_乗用_CNG,係数_乗用_軽油,係数_乗用_メタノール,係数_乗用_LPG),125,5,BE958),4,FALSE)))))</f>
        <v/>
      </c>
      <c r="AL958" s="461" t="str">
        <f t="shared" si="539"/>
        <v/>
      </c>
      <c r="AM958" s="460" t="str">
        <f>IF(AU958="","",IF(OR(AZ958=8,AZ958=9),0,IF(OR(AW958=3,AW958=4,AW958=5,AW958=6),IF(LEFT(BH958,1)="1",INDEX(係数_PM低減,MATCH(AY958,【参考】排出係数!$AI$801:$AI$804,1),MATCH(BI958,【参考】排出係数!$AL$798:$AO$798,1)),VLOOKUP(AU958,INDEX((係数_バス貨物_ガソリン,係数_バス貨物_CNG,係数_バス貨物_軽油,係数_バス貨物_メタノール,係数_バス貨物_LPG),MATCH(AY958,【参考】排出係数!$AI$4:$AI$671,1),1,BE958):INDEX((係数_バス貨物_ガソリン,係数_バス貨物_CNG,係数_バス貨物_軽油,係数_バス貨物_メタノール,係数_バス貨物_LPG),MATCH(AY958+1,【参考】排出係数!$AI$4:$AI$671,1)-1,5,BE958),5,FALSE)),IF(AND(BE958=3,LEFT(BF958,1)="1"),0.055,VLOOKUP(AU958,INDEX((係数_乗用_ガソリン,係数_乗用_CNG,係数_乗用_軽油,係数_乗用_メタノール,係数_乗用_LPG),1,1,BE958):INDEX((係数_乗用_ガソリン,係数_乗用_CNG,係数_乗用_軽油,係数_乗用_メタノール,係数_乗用_LPG),125,5,BE958),5,FALSE)))))</f>
        <v/>
      </c>
      <c r="AN958" s="461" t="str">
        <f t="shared" si="540"/>
        <v/>
      </c>
      <c r="AO958" s="462" t="str">
        <f t="shared" si="541"/>
        <v/>
      </c>
      <c r="AP958" s="463" t="str">
        <f t="shared" si="542"/>
        <v/>
      </c>
      <c r="AQ958" s="464"/>
      <c r="AR958" s="619"/>
      <c r="AS958" s="465" t="str">
        <f t="shared" si="550"/>
        <v/>
      </c>
      <c r="AT958" s="465" t="str">
        <f t="shared" si="551"/>
        <v/>
      </c>
      <c r="AU958" s="466" t="str">
        <f t="shared" si="552"/>
        <v/>
      </c>
      <c r="AV958" s="467" t="str">
        <f t="shared" si="553"/>
        <v/>
      </c>
      <c r="AW958" s="467" t="str">
        <f t="shared" si="554"/>
        <v/>
      </c>
      <c r="AX958" s="467" t="str">
        <f t="shared" si="555"/>
        <v/>
      </c>
      <c r="AY958" s="467" t="str">
        <f t="shared" si="556"/>
        <v/>
      </c>
      <c r="AZ958" s="467" t="str">
        <f t="shared" si="557"/>
        <v/>
      </c>
      <c r="BA958" s="468" t="str">
        <f>IF(AS958="","",IF(OR(AU958="",AU958="-"),"－",IF(OR(AZ958=8,AZ958=9),"",IF(OR(AW958=3,AW958=4,AW958=5,AW958=6),VLOOKUP(AU958,INDEX((係数_バス貨物_ガソリン,係数_バス貨物_CNG,係数_バス貨物_軽油,係数_バス貨物_メタノール,係数_バス貨物_LPG),MATCH(AY958,【参考】排出係数!$AI$4:$AI$671,1),1,BE958):INDEX((係数_バス貨物_ガソリン,係数_バス貨物_CNG,係数_バス貨物_軽油,係数_バス貨物_メタノール,係数_バス貨物_LPG),MATCH(AY958+1,【参考】排出係数!$AI$4:$AI$671,1)-1,5,BE958),2,FALSE),IF(OR(AW958=1,AW958=2),VLOOKUP(AU958,INDEX((係数_乗用_ガソリン,係数_乗用_CNG,係数_乗用_軽油,係数_乗用_メタノール,係数_乗用_LPG),1,1,BE958):INDEX((係数_乗用_ガソリン,係数_乗用_CNG,係数_乗用_軽油,係数_乗用_メタノール,係数_乗用_LPG),125,5,BE958),2,FALSE))))))</f>
        <v/>
      </c>
      <c r="BB958" s="468" t="str">
        <f>IF(T958="","",IF(OR(AU958="",AU958="-"),"－",IF(OR(AZ958=8,AZ958=9),"",IF(OR(AW958=3,AW958=4,AW958=5,AW958=6),VLOOKUP(AU958,INDEX((係数_バス貨物_ガソリン,係数_バス貨物_CNG,係数_バス貨物_軽油,係数_バス貨物_メタノール,係数_バス貨物_LPG),MATCH(AY958,【参考】排出係数!$AI$4:$AI$671,1),1,BE958):INDEX((係数_バス貨物_ガソリン,係数_バス貨物_CNG,係数_バス貨物_軽油,係数_バス貨物_メタノール,係数_バス貨物_LPG),MATCH(AY958+1,【参考】排出係数!$AI$4:$AI$671,1)-1,5,BE958),3,FALSE),IF(OR(AW958=1,AW958=2),VLOOKUP(AU958,INDEX((係数_乗用_ガソリン,係数_乗用_CNG,係数_乗用_軽油,係数_乗用_メタノール,係数_乗用_LPG),1,1,BE958):INDEX((係数_乗用_ガソリン,係数_乗用_CNG,係数_乗用_軽油,係数_乗用_メタノール,係数_乗用_LPG),125,5,BE958),3,FALSE))))))</f>
        <v/>
      </c>
      <c r="BC958" s="467" t="str">
        <f t="shared" si="558"/>
        <v/>
      </c>
      <c r="BD958" s="567" t="str">
        <f t="shared" si="559"/>
        <v/>
      </c>
      <c r="BE958" s="467" t="str">
        <f t="shared" si="560"/>
        <v/>
      </c>
      <c r="BF958" s="469" t="str">
        <f t="shared" ca="1" si="561"/>
        <v/>
      </c>
      <c r="BG958" s="469" t="str">
        <f t="shared" ca="1" si="562"/>
        <v/>
      </c>
      <c r="BH958" s="467" t="str">
        <f t="shared" si="563"/>
        <v/>
      </c>
      <c r="BI958" s="467" t="str">
        <f t="shared" ca="1" si="564"/>
        <v/>
      </c>
      <c r="BJ958" s="469" t="str">
        <f t="shared" si="565"/>
        <v/>
      </c>
      <c r="BK958" s="470" t="str">
        <f t="shared" si="549"/>
        <v/>
      </c>
      <c r="BL958" s="775" t="str">
        <f t="shared" si="566"/>
        <v/>
      </c>
      <c r="BM958" s="775" t="str">
        <f t="shared" si="567"/>
        <v/>
      </c>
    </row>
    <row r="959" spans="1:65">
      <c r="A959" s="473">
        <v>903</v>
      </c>
      <c r="B959" s="132"/>
      <c r="C959" s="332"/>
      <c r="D959" s="333"/>
      <c r="E959" s="333"/>
      <c r="F959" s="334"/>
      <c r="G959" s="337"/>
      <c r="H959" s="131"/>
      <c r="I959" s="337"/>
      <c r="J959" s="131"/>
      <c r="K959" s="458" t="str">
        <f t="shared" si="530"/>
        <v/>
      </c>
      <c r="L959" s="458">
        <f t="shared" si="531"/>
        <v>0</v>
      </c>
      <c r="M959" s="458">
        <f t="shared" si="532"/>
        <v>0</v>
      </c>
      <c r="N959" s="459" t="str">
        <f t="shared" si="543"/>
        <v/>
      </c>
      <c r="O959" s="459" t="str">
        <f t="shared" si="544"/>
        <v/>
      </c>
      <c r="P959" s="459" t="str">
        <f t="shared" si="545"/>
        <v/>
      </c>
      <c r="Q959" s="459" t="str">
        <f t="shared" si="546"/>
        <v/>
      </c>
      <c r="R959" s="459" t="str">
        <f t="shared" si="547"/>
        <v/>
      </c>
      <c r="S959" s="459" t="str">
        <f t="shared" si="548"/>
        <v/>
      </c>
      <c r="T959" s="566" t="str">
        <f t="shared" si="533"/>
        <v/>
      </c>
      <c r="U959" s="702"/>
      <c r="V959" s="132"/>
      <c r="W959" s="133"/>
      <c r="X959" s="134"/>
      <c r="Y959" s="135"/>
      <c r="Z959" s="137"/>
      <c r="AA959" s="136"/>
      <c r="AB959" s="566" t="str">
        <f t="shared" si="534"/>
        <v/>
      </c>
      <c r="AC959" s="568" t="str">
        <f t="shared" si="535"/>
        <v/>
      </c>
      <c r="AD959" s="137"/>
      <c r="AE959" s="137"/>
      <c r="AF959" s="138"/>
      <c r="AG959" s="138"/>
      <c r="AH959" s="592" t="str">
        <f t="shared" si="536"/>
        <v/>
      </c>
      <c r="AI959" s="592" t="str">
        <f t="shared" si="537"/>
        <v/>
      </c>
      <c r="AJ959" s="592" t="str">
        <f t="shared" si="538"/>
        <v/>
      </c>
      <c r="AK959" s="460" t="str">
        <f>IF(AU959="","",IF(OR(AZ959=8,AZ959=9),0,IF(OR(AW959=3,AW959=4,AW959=5,AW959=6),IF(LEFT(BF959,1)="1",INDEX(係数_NOX・PM低減,MATCH(AY959,【参考】排出係数!$AI$801:$AI$804,1),1),VLOOKUP(AU959,INDEX((係数_バス貨物_ガソリン,係数_バス貨物_CNG,係数_バス貨物_軽油,係数_バス貨物_メタノール,係数_バス貨物_LPG),MATCH(AY959,【参考】排出係数!$AI$4:$AI$671,1),1,BE959):INDEX((係数_バス貨物_ガソリン,係数_バス貨物_CNG,係数_バス貨物_軽油,係数_バス貨物_メタノール,係数_バス貨物_LPG),MATCH(AY959+1,【参考】排出係数!$AI$4:$AI$671,1)-1,5,BE959),4,FALSE)),IF(AND(BE959=3,LEFT(BF959,1)="1"),0.48,VLOOKUP(AU959,INDEX((係数_乗用_ガソリン,係数_乗用_CNG,係数_乗用_軽油,係数_乗用_メタノール,係数_乗用_LPG),1,1,BE959):INDEX((係数_乗用_ガソリン,係数_乗用_CNG,係数_乗用_軽油,係数_乗用_メタノール,係数_乗用_LPG),125,5,BE959),4,FALSE)))))</f>
        <v/>
      </c>
      <c r="AL959" s="461" t="str">
        <f t="shared" si="539"/>
        <v/>
      </c>
      <c r="AM959" s="460" t="str">
        <f>IF(AU959="","",IF(OR(AZ959=8,AZ959=9),0,IF(OR(AW959=3,AW959=4,AW959=5,AW959=6),IF(LEFT(BH959,1)="1",INDEX(係数_PM低減,MATCH(AY959,【参考】排出係数!$AI$801:$AI$804,1),MATCH(BI959,【参考】排出係数!$AL$798:$AO$798,1)),VLOOKUP(AU959,INDEX((係数_バス貨物_ガソリン,係数_バス貨物_CNG,係数_バス貨物_軽油,係数_バス貨物_メタノール,係数_バス貨物_LPG),MATCH(AY959,【参考】排出係数!$AI$4:$AI$671,1),1,BE959):INDEX((係数_バス貨物_ガソリン,係数_バス貨物_CNG,係数_バス貨物_軽油,係数_バス貨物_メタノール,係数_バス貨物_LPG),MATCH(AY959+1,【参考】排出係数!$AI$4:$AI$671,1)-1,5,BE959),5,FALSE)),IF(AND(BE959=3,LEFT(BF959,1)="1"),0.055,VLOOKUP(AU959,INDEX((係数_乗用_ガソリン,係数_乗用_CNG,係数_乗用_軽油,係数_乗用_メタノール,係数_乗用_LPG),1,1,BE959):INDEX((係数_乗用_ガソリン,係数_乗用_CNG,係数_乗用_軽油,係数_乗用_メタノール,係数_乗用_LPG),125,5,BE959),5,FALSE)))))</f>
        <v/>
      </c>
      <c r="AN959" s="461" t="str">
        <f t="shared" si="540"/>
        <v/>
      </c>
      <c r="AO959" s="462" t="str">
        <f t="shared" si="541"/>
        <v/>
      </c>
      <c r="AP959" s="463" t="str">
        <f t="shared" si="542"/>
        <v/>
      </c>
      <c r="AQ959" s="464"/>
      <c r="AR959" s="619"/>
      <c r="AS959" s="465" t="str">
        <f t="shared" si="550"/>
        <v/>
      </c>
      <c r="AT959" s="465" t="str">
        <f t="shared" si="551"/>
        <v/>
      </c>
      <c r="AU959" s="466" t="str">
        <f t="shared" si="552"/>
        <v/>
      </c>
      <c r="AV959" s="467" t="str">
        <f t="shared" si="553"/>
        <v/>
      </c>
      <c r="AW959" s="467" t="str">
        <f t="shared" si="554"/>
        <v/>
      </c>
      <c r="AX959" s="467" t="str">
        <f t="shared" si="555"/>
        <v/>
      </c>
      <c r="AY959" s="467" t="str">
        <f t="shared" si="556"/>
        <v/>
      </c>
      <c r="AZ959" s="467" t="str">
        <f t="shared" si="557"/>
        <v/>
      </c>
      <c r="BA959" s="468" t="str">
        <f>IF(AS959="","",IF(OR(AU959="",AU959="-"),"－",IF(OR(AZ959=8,AZ959=9),"",IF(OR(AW959=3,AW959=4,AW959=5,AW959=6),VLOOKUP(AU959,INDEX((係数_バス貨物_ガソリン,係数_バス貨物_CNG,係数_バス貨物_軽油,係数_バス貨物_メタノール,係数_バス貨物_LPG),MATCH(AY959,【参考】排出係数!$AI$4:$AI$671,1),1,BE959):INDEX((係数_バス貨物_ガソリン,係数_バス貨物_CNG,係数_バス貨物_軽油,係数_バス貨物_メタノール,係数_バス貨物_LPG),MATCH(AY959+1,【参考】排出係数!$AI$4:$AI$671,1)-1,5,BE959),2,FALSE),IF(OR(AW959=1,AW959=2),VLOOKUP(AU959,INDEX((係数_乗用_ガソリン,係数_乗用_CNG,係数_乗用_軽油,係数_乗用_メタノール,係数_乗用_LPG),1,1,BE959):INDEX((係数_乗用_ガソリン,係数_乗用_CNG,係数_乗用_軽油,係数_乗用_メタノール,係数_乗用_LPG),125,5,BE959),2,FALSE))))))</f>
        <v/>
      </c>
      <c r="BB959" s="468" t="str">
        <f>IF(T959="","",IF(OR(AU959="",AU959="-"),"－",IF(OR(AZ959=8,AZ959=9),"",IF(OR(AW959=3,AW959=4,AW959=5,AW959=6),VLOOKUP(AU959,INDEX((係数_バス貨物_ガソリン,係数_バス貨物_CNG,係数_バス貨物_軽油,係数_バス貨物_メタノール,係数_バス貨物_LPG),MATCH(AY959,【参考】排出係数!$AI$4:$AI$671,1),1,BE959):INDEX((係数_バス貨物_ガソリン,係数_バス貨物_CNG,係数_バス貨物_軽油,係数_バス貨物_メタノール,係数_バス貨物_LPG),MATCH(AY959+1,【参考】排出係数!$AI$4:$AI$671,1)-1,5,BE959),3,FALSE),IF(OR(AW959=1,AW959=2),VLOOKUP(AU959,INDEX((係数_乗用_ガソリン,係数_乗用_CNG,係数_乗用_軽油,係数_乗用_メタノール,係数_乗用_LPG),1,1,BE959):INDEX((係数_乗用_ガソリン,係数_乗用_CNG,係数_乗用_軽油,係数_乗用_メタノール,係数_乗用_LPG),125,5,BE959),3,FALSE))))))</f>
        <v/>
      </c>
      <c r="BC959" s="467" t="str">
        <f t="shared" si="558"/>
        <v/>
      </c>
      <c r="BD959" s="567" t="str">
        <f t="shared" si="559"/>
        <v/>
      </c>
      <c r="BE959" s="467" t="str">
        <f t="shared" si="560"/>
        <v/>
      </c>
      <c r="BF959" s="469" t="str">
        <f t="shared" ca="1" si="561"/>
        <v/>
      </c>
      <c r="BG959" s="469" t="str">
        <f t="shared" ca="1" si="562"/>
        <v/>
      </c>
      <c r="BH959" s="467" t="str">
        <f t="shared" si="563"/>
        <v/>
      </c>
      <c r="BI959" s="467" t="str">
        <f t="shared" ca="1" si="564"/>
        <v/>
      </c>
      <c r="BJ959" s="469" t="str">
        <f t="shared" si="565"/>
        <v/>
      </c>
      <c r="BK959" s="470" t="str">
        <f t="shared" si="549"/>
        <v/>
      </c>
      <c r="BL959" s="775" t="str">
        <f t="shared" si="566"/>
        <v/>
      </c>
      <c r="BM959" s="775" t="str">
        <f t="shared" si="567"/>
        <v/>
      </c>
    </row>
    <row r="960" spans="1:65">
      <c r="A960" s="473">
        <v>904</v>
      </c>
      <c r="B960" s="132"/>
      <c r="C960" s="332"/>
      <c r="D960" s="333"/>
      <c r="E960" s="333"/>
      <c r="F960" s="334"/>
      <c r="G960" s="337"/>
      <c r="H960" s="131"/>
      <c r="I960" s="337"/>
      <c r="J960" s="131"/>
      <c r="K960" s="458" t="str">
        <f t="shared" si="530"/>
        <v/>
      </c>
      <c r="L960" s="458">
        <f t="shared" si="531"/>
        <v>0</v>
      </c>
      <c r="M960" s="458">
        <f t="shared" si="532"/>
        <v>0</v>
      </c>
      <c r="N960" s="459" t="str">
        <f t="shared" si="543"/>
        <v/>
      </c>
      <c r="O960" s="459" t="str">
        <f t="shared" si="544"/>
        <v/>
      </c>
      <c r="P960" s="459" t="str">
        <f t="shared" si="545"/>
        <v/>
      </c>
      <c r="Q960" s="459" t="str">
        <f t="shared" si="546"/>
        <v/>
      </c>
      <c r="R960" s="459" t="str">
        <f t="shared" si="547"/>
        <v/>
      </c>
      <c r="S960" s="459" t="str">
        <f t="shared" si="548"/>
        <v/>
      </c>
      <c r="T960" s="566" t="str">
        <f t="shared" si="533"/>
        <v/>
      </c>
      <c r="U960" s="702"/>
      <c r="V960" s="132"/>
      <c r="W960" s="133"/>
      <c r="X960" s="134"/>
      <c r="Y960" s="135"/>
      <c r="Z960" s="137"/>
      <c r="AA960" s="136"/>
      <c r="AB960" s="566" t="str">
        <f t="shared" si="534"/>
        <v/>
      </c>
      <c r="AC960" s="568" t="str">
        <f t="shared" si="535"/>
        <v/>
      </c>
      <c r="AD960" s="137"/>
      <c r="AE960" s="137"/>
      <c r="AF960" s="138"/>
      <c r="AG960" s="138"/>
      <c r="AH960" s="592" t="str">
        <f t="shared" si="536"/>
        <v/>
      </c>
      <c r="AI960" s="592" t="str">
        <f t="shared" si="537"/>
        <v/>
      </c>
      <c r="AJ960" s="592" t="str">
        <f t="shared" si="538"/>
        <v/>
      </c>
      <c r="AK960" s="460" t="str">
        <f>IF(AU960="","",IF(OR(AZ960=8,AZ960=9),0,IF(OR(AW960=3,AW960=4,AW960=5,AW960=6),IF(LEFT(BF960,1)="1",INDEX(係数_NOX・PM低減,MATCH(AY960,【参考】排出係数!$AI$801:$AI$804,1),1),VLOOKUP(AU960,INDEX((係数_バス貨物_ガソリン,係数_バス貨物_CNG,係数_バス貨物_軽油,係数_バス貨物_メタノール,係数_バス貨物_LPG),MATCH(AY960,【参考】排出係数!$AI$4:$AI$671,1),1,BE960):INDEX((係数_バス貨物_ガソリン,係数_バス貨物_CNG,係数_バス貨物_軽油,係数_バス貨物_メタノール,係数_バス貨物_LPG),MATCH(AY960+1,【参考】排出係数!$AI$4:$AI$671,1)-1,5,BE960),4,FALSE)),IF(AND(BE960=3,LEFT(BF960,1)="1"),0.48,VLOOKUP(AU960,INDEX((係数_乗用_ガソリン,係数_乗用_CNG,係数_乗用_軽油,係数_乗用_メタノール,係数_乗用_LPG),1,1,BE960):INDEX((係数_乗用_ガソリン,係数_乗用_CNG,係数_乗用_軽油,係数_乗用_メタノール,係数_乗用_LPG),125,5,BE960),4,FALSE)))))</f>
        <v/>
      </c>
      <c r="AL960" s="461" t="str">
        <f t="shared" si="539"/>
        <v/>
      </c>
      <c r="AM960" s="460" t="str">
        <f>IF(AU960="","",IF(OR(AZ960=8,AZ960=9),0,IF(OR(AW960=3,AW960=4,AW960=5,AW960=6),IF(LEFT(BH960,1)="1",INDEX(係数_PM低減,MATCH(AY960,【参考】排出係数!$AI$801:$AI$804,1),MATCH(BI960,【参考】排出係数!$AL$798:$AO$798,1)),VLOOKUP(AU960,INDEX((係数_バス貨物_ガソリン,係数_バス貨物_CNG,係数_バス貨物_軽油,係数_バス貨物_メタノール,係数_バス貨物_LPG),MATCH(AY960,【参考】排出係数!$AI$4:$AI$671,1),1,BE960):INDEX((係数_バス貨物_ガソリン,係数_バス貨物_CNG,係数_バス貨物_軽油,係数_バス貨物_メタノール,係数_バス貨物_LPG),MATCH(AY960+1,【参考】排出係数!$AI$4:$AI$671,1)-1,5,BE960),5,FALSE)),IF(AND(BE960=3,LEFT(BF960,1)="1"),0.055,VLOOKUP(AU960,INDEX((係数_乗用_ガソリン,係数_乗用_CNG,係数_乗用_軽油,係数_乗用_メタノール,係数_乗用_LPG),1,1,BE960):INDEX((係数_乗用_ガソリン,係数_乗用_CNG,係数_乗用_軽油,係数_乗用_メタノール,係数_乗用_LPG),125,5,BE960),5,FALSE)))))</f>
        <v/>
      </c>
      <c r="AN960" s="461" t="str">
        <f t="shared" si="540"/>
        <v/>
      </c>
      <c r="AO960" s="462" t="str">
        <f t="shared" si="541"/>
        <v/>
      </c>
      <c r="AP960" s="463" t="str">
        <f t="shared" si="542"/>
        <v/>
      </c>
      <c r="AQ960" s="464"/>
      <c r="AR960" s="619"/>
      <c r="AS960" s="465" t="str">
        <f t="shared" si="550"/>
        <v/>
      </c>
      <c r="AT960" s="465" t="str">
        <f t="shared" si="551"/>
        <v/>
      </c>
      <c r="AU960" s="466" t="str">
        <f t="shared" si="552"/>
        <v/>
      </c>
      <c r="AV960" s="467" t="str">
        <f t="shared" si="553"/>
        <v/>
      </c>
      <c r="AW960" s="467" t="str">
        <f t="shared" si="554"/>
        <v/>
      </c>
      <c r="AX960" s="467" t="str">
        <f t="shared" si="555"/>
        <v/>
      </c>
      <c r="AY960" s="467" t="str">
        <f t="shared" si="556"/>
        <v/>
      </c>
      <c r="AZ960" s="467" t="str">
        <f t="shared" si="557"/>
        <v/>
      </c>
      <c r="BA960" s="468" t="str">
        <f>IF(AS960="","",IF(OR(AU960="",AU960="-"),"－",IF(OR(AZ960=8,AZ960=9),"",IF(OR(AW960=3,AW960=4,AW960=5,AW960=6),VLOOKUP(AU960,INDEX((係数_バス貨物_ガソリン,係数_バス貨物_CNG,係数_バス貨物_軽油,係数_バス貨物_メタノール,係数_バス貨物_LPG),MATCH(AY960,【参考】排出係数!$AI$4:$AI$671,1),1,BE960):INDEX((係数_バス貨物_ガソリン,係数_バス貨物_CNG,係数_バス貨物_軽油,係数_バス貨物_メタノール,係数_バス貨物_LPG),MATCH(AY960+1,【参考】排出係数!$AI$4:$AI$671,1)-1,5,BE960),2,FALSE),IF(OR(AW960=1,AW960=2),VLOOKUP(AU960,INDEX((係数_乗用_ガソリン,係数_乗用_CNG,係数_乗用_軽油,係数_乗用_メタノール,係数_乗用_LPG),1,1,BE960):INDEX((係数_乗用_ガソリン,係数_乗用_CNG,係数_乗用_軽油,係数_乗用_メタノール,係数_乗用_LPG),125,5,BE960),2,FALSE))))))</f>
        <v/>
      </c>
      <c r="BB960" s="468" t="str">
        <f>IF(T960="","",IF(OR(AU960="",AU960="-"),"－",IF(OR(AZ960=8,AZ960=9),"",IF(OR(AW960=3,AW960=4,AW960=5,AW960=6),VLOOKUP(AU960,INDEX((係数_バス貨物_ガソリン,係数_バス貨物_CNG,係数_バス貨物_軽油,係数_バス貨物_メタノール,係数_バス貨物_LPG),MATCH(AY960,【参考】排出係数!$AI$4:$AI$671,1),1,BE960):INDEX((係数_バス貨物_ガソリン,係数_バス貨物_CNG,係数_バス貨物_軽油,係数_バス貨物_メタノール,係数_バス貨物_LPG),MATCH(AY960+1,【参考】排出係数!$AI$4:$AI$671,1)-1,5,BE960),3,FALSE),IF(OR(AW960=1,AW960=2),VLOOKUP(AU960,INDEX((係数_乗用_ガソリン,係数_乗用_CNG,係数_乗用_軽油,係数_乗用_メタノール,係数_乗用_LPG),1,1,BE960):INDEX((係数_乗用_ガソリン,係数_乗用_CNG,係数_乗用_軽油,係数_乗用_メタノール,係数_乗用_LPG),125,5,BE960),3,FALSE))))))</f>
        <v/>
      </c>
      <c r="BC960" s="467" t="str">
        <f t="shared" si="558"/>
        <v/>
      </c>
      <c r="BD960" s="567" t="str">
        <f t="shared" si="559"/>
        <v/>
      </c>
      <c r="BE960" s="467" t="str">
        <f t="shared" si="560"/>
        <v/>
      </c>
      <c r="BF960" s="469" t="str">
        <f t="shared" ca="1" si="561"/>
        <v/>
      </c>
      <c r="BG960" s="469" t="str">
        <f t="shared" ca="1" si="562"/>
        <v/>
      </c>
      <c r="BH960" s="467" t="str">
        <f t="shared" si="563"/>
        <v/>
      </c>
      <c r="BI960" s="467" t="str">
        <f t="shared" ca="1" si="564"/>
        <v/>
      </c>
      <c r="BJ960" s="469" t="str">
        <f t="shared" si="565"/>
        <v/>
      </c>
      <c r="BK960" s="470" t="str">
        <f t="shared" si="549"/>
        <v/>
      </c>
      <c r="BL960" s="775" t="str">
        <f t="shared" si="566"/>
        <v/>
      </c>
      <c r="BM960" s="775" t="str">
        <f t="shared" si="567"/>
        <v/>
      </c>
    </row>
    <row r="961" spans="1:65">
      <c r="A961" s="473">
        <v>905</v>
      </c>
      <c r="B961" s="132"/>
      <c r="C961" s="332"/>
      <c r="D961" s="333"/>
      <c r="E961" s="333"/>
      <c r="F961" s="334"/>
      <c r="G961" s="337"/>
      <c r="H961" s="131"/>
      <c r="I961" s="337"/>
      <c r="J961" s="131"/>
      <c r="K961" s="458" t="str">
        <f t="shared" si="530"/>
        <v/>
      </c>
      <c r="L961" s="458">
        <f t="shared" si="531"/>
        <v>0</v>
      </c>
      <c r="M961" s="458">
        <f t="shared" si="532"/>
        <v>0</v>
      </c>
      <c r="N961" s="459" t="str">
        <f t="shared" si="543"/>
        <v/>
      </c>
      <c r="O961" s="459" t="str">
        <f t="shared" si="544"/>
        <v/>
      </c>
      <c r="P961" s="459" t="str">
        <f t="shared" si="545"/>
        <v/>
      </c>
      <c r="Q961" s="459" t="str">
        <f t="shared" si="546"/>
        <v/>
      </c>
      <c r="R961" s="459" t="str">
        <f t="shared" si="547"/>
        <v/>
      </c>
      <c r="S961" s="459" t="str">
        <f t="shared" si="548"/>
        <v/>
      </c>
      <c r="T961" s="566" t="str">
        <f t="shared" si="533"/>
        <v/>
      </c>
      <c r="U961" s="702"/>
      <c r="V961" s="132"/>
      <c r="W961" s="133"/>
      <c r="X961" s="134"/>
      <c r="Y961" s="135"/>
      <c r="Z961" s="137"/>
      <c r="AA961" s="136"/>
      <c r="AB961" s="566" t="str">
        <f t="shared" si="534"/>
        <v/>
      </c>
      <c r="AC961" s="568" t="str">
        <f t="shared" si="535"/>
        <v/>
      </c>
      <c r="AD961" s="137"/>
      <c r="AE961" s="137"/>
      <c r="AF961" s="138"/>
      <c r="AG961" s="138"/>
      <c r="AH961" s="592" t="str">
        <f t="shared" si="536"/>
        <v/>
      </c>
      <c r="AI961" s="592" t="str">
        <f t="shared" si="537"/>
        <v/>
      </c>
      <c r="AJ961" s="592" t="str">
        <f t="shared" si="538"/>
        <v/>
      </c>
      <c r="AK961" s="460" t="str">
        <f>IF(AU961="","",IF(OR(AZ961=8,AZ961=9),0,IF(OR(AW961=3,AW961=4,AW961=5,AW961=6),IF(LEFT(BF961,1)="1",INDEX(係数_NOX・PM低減,MATCH(AY961,【参考】排出係数!$AI$801:$AI$804,1),1),VLOOKUP(AU961,INDEX((係数_バス貨物_ガソリン,係数_バス貨物_CNG,係数_バス貨物_軽油,係数_バス貨物_メタノール,係数_バス貨物_LPG),MATCH(AY961,【参考】排出係数!$AI$4:$AI$671,1),1,BE961):INDEX((係数_バス貨物_ガソリン,係数_バス貨物_CNG,係数_バス貨物_軽油,係数_バス貨物_メタノール,係数_バス貨物_LPG),MATCH(AY961+1,【参考】排出係数!$AI$4:$AI$671,1)-1,5,BE961),4,FALSE)),IF(AND(BE961=3,LEFT(BF961,1)="1"),0.48,VLOOKUP(AU961,INDEX((係数_乗用_ガソリン,係数_乗用_CNG,係数_乗用_軽油,係数_乗用_メタノール,係数_乗用_LPG),1,1,BE961):INDEX((係数_乗用_ガソリン,係数_乗用_CNG,係数_乗用_軽油,係数_乗用_メタノール,係数_乗用_LPG),125,5,BE961),4,FALSE)))))</f>
        <v/>
      </c>
      <c r="AL961" s="461" t="str">
        <f t="shared" si="539"/>
        <v/>
      </c>
      <c r="AM961" s="460" t="str">
        <f>IF(AU961="","",IF(OR(AZ961=8,AZ961=9),0,IF(OR(AW961=3,AW961=4,AW961=5,AW961=6),IF(LEFT(BH961,1)="1",INDEX(係数_PM低減,MATCH(AY961,【参考】排出係数!$AI$801:$AI$804,1),MATCH(BI961,【参考】排出係数!$AL$798:$AO$798,1)),VLOOKUP(AU961,INDEX((係数_バス貨物_ガソリン,係数_バス貨物_CNG,係数_バス貨物_軽油,係数_バス貨物_メタノール,係数_バス貨物_LPG),MATCH(AY961,【参考】排出係数!$AI$4:$AI$671,1),1,BE961):INDEX((係数_バス貨物_ガソリン,係数_バス貨物_CNG,係数_バス貨物_軽油,係数_バス貨物_メタノール,係数_バス貨物_LPG),MATCH(AY961+1,【参考】排出係数!$AI$4:$AI$671,1)-1,5,BE961),5,FALSE)),IF(AND(BE961=3,LEFT(BF961,1)="1"),0.055,VLOOKUP(AU961,INDEX((係数_乗用_ガソリン,係数_乗用_CNG,係数_乗用_軽油,係数_乗用_メタノール,係数_乗用_LPG),1,1,BE961):INDEX((係数_乗用_ガソリン,係数_乗用_CNG,係数_乗用_軽油,係数_乗用_メタノール,係数_乗用_LPG),125,5,BE961),5,FALSE)))))</f>
        <v/>
      </c>
      <c r="AN961" s="461" t="str">
        <f t="shared" si="540"/>
        <v/>
      </c>
      <c r="AO961" s="462" t="str">
        <f t="shared" si="541"/>
        <v/>
      </c>
      <c r="AP961" s="463" t="str">
        <f t="shared" si="542"/>
        <v/>
      </c>
      <c r="AQ961" s="464"/>
      <c r="AR961" s="619"/>
      <c r="AS961" s="465" t="str">
        <f t="shared" si="550"/>
        <v/>
      </c>
      <c r="AT961" s="465" t="str">
        <f t="shared" si="551"/>
        <v/>
      </c>
      <c r="AU961" s="466" t="str">
        <f t="shared" si="552"/>
        <v/>
      </c>
      <c r="AV961" s="467" t="str">
        <f t="shared" si="553"/>
        <v/>
      </c>
      <c r="AW961" s="467" t="str">
        <f t="shared" si="554"/>
        <v/>
      </c>
      <c r="AX961" s="467" t="str">
        <f t="shared" si="555"/>
        <v/>
      </c>
      <c r="AY961" s="467" t="str">
        <f t="shared" si="556"/>
        <v/>
      </c>
      <c r="AZ961" s="467" t="str">
        <f t="shared" si="557"/>
        <v/>
      </c>
      <c r="BA961" s="468" t="str">
        <f>IF(AS961="","",IF(OR(AU961="",AU961="-"),"－",IF(OR(AZ961=8,AZ961=9),"",IF(OR(AW961=3,AW961=4,AW961=5,AW961=6),VLOOKUP(AU961,INDEX((係数_バス貨物_ガソリン,係数_バス貨物_CNG,係数_バス貨物_軽油,係数_バス貨物_メタノール,係数_バス貨物_LPG),MATCH(AY961,【参考】排出係数!$AI$4:$AI$671,1),1,BE961):INDEX((係数_バス貨物_ガソリン,係数_バス貨物_CNG,係数_バス貨物_軽油,係数_バス貨物_メタノール,係数_バス貨物_LPG),MATCH(AY961+1,【参考】排出係数!$AI$4:$AI$671,1)-1,5,BE961),2,FALSE),IF(OR(AW961=1,AW961=2),VLOOKUP(AU961,INDEX((係数_乗用_ガソリン,係数_乗用_CNG,係数_乗用_軽油,係数_乗用_メタノール,係数_乗用_LPG),1,1,BE961):INDEX((係数_乗用_ガソリン,係数_乗用_CNG,係数_乗用_軽油,係数_乗用_メタノール,係数_乗用_LPG),125,5,BE961),2,FALSE))))))</f>
        <v/>
      </c>
      <c r="BB961" s="468" t="str">
        <f>IF(T961="","",IF(OR(AU961="",AU961="-"),"－",IF(OR(AZ961=8,AZ961=9),"",IF(OR(AW961=3,AW961=4,AW961=5,AW961=6),VLOOKUP(AU961,INDEX((係数_バス貨物_ガソリン,係数_バス貨物_CNG,係数_バス貨物_軽油,係数_バス貨物_メタノール,係数_バス貨物_LPG),MATCH(AY961,【参考】排出係数!$AI$4:$AI$671,1),1,BE961):INDEX((係数_バス貨物_ガソリン,係数_バス貨物_CNG,係数_バス貨物_軽油,係数_バス貨物_メタノール,係数_バス貨物_LPG),MATCH(AY961+1,【参考】排出係数!$AI$4:$AI$671,1)-1,5,BE961),3,FALSE),IF(OR(AW961=1,AW961=2),VLOOKUP(AU961,INDEX((係数_乗用_ガソリン,係数_乗用_CNG,係数_乗用_軽油,係数_乗用_メタノール,係数_乗用_LPG),1,1,BE961):INDEX((係数_乗用_ガソリン,係数_乗用_CNG,係数_乗用_軽油,係数_乗用_メタノール,係数_乗用_LPG),125,5,BE961),3,FALSE))))))</f>
        <v/>
      </c>
      <c r="BC961" s="467" t="str">
        <f t="shared" si="558"/>
        <v/>
      </c>
      <c r="BD961" s="567" t="str">
        <f t="shared" si="559"/>
        <v/>
      </c>
      <c r="BE961" s="467" t="str">
        <f t="shared" si="560"/>
        <v/>
      </c>
      <c r="BF961" s="469" t="str">
        <f t="shared" ca="1" si="561"/>
        <v/>
      </c>
      <c r="BG961" s="469" t="str">
        <f t="shared" ca="1" si="562"/>
        <v/>
      </c>
      <c r="BH961" s="467" t="str">
        <f t="shared" si="563"/>
        <v/>
      </c>
      <c r="BI961" s="467" t="str">
        <f t="shared" ca="1" si="564"/>
        <v/>
      </c>
      <c r="BJ961" s="469" t="str">
        <f t="shared" si="565"/>
        <v/>
      </c>
      <c r="BK961" s="470" t="str">
        <f t="shared" si="549"/>
        <v/>
      </c>
      <c r="BL961" s="775" t="str">
        <f t="shared" si="566"/>
        <v/>
      </c>
      <c r="BM961" s="775" t="str">
        <f t="shared" si="567"/>
        <v/>
      </c>
    </row>
    <row r="962" spans="1:65">
      <c r="A962" s="473">
        <v>906</v>
      </c>
      <c r="B962" s="132"/>
      <c r="C962" s="332"/>
      <c r="D962" s="333"/>
      <c r="E962" s="333"/>
      <c r="F962" s="334"/>
      <c r="G962" s="337"/>
      <c r="H962" s="131"/>
      <c r="I962" s="337"/>
      <c r="J962" s="131"/>
      <c r="K962" s="458" t="str">
        <f t="shared" si="530"/>
        <v/>
      </c>
      <c r="L962" s="458">
        <f t="shared" si="531"/>
        <v>0</v>
      </c>
      <c r="M962" s="458">
        <f t="shared" si="532"/>
        <v>0</v>
      </c>
      <c r="N962" s="459" t="str">
        <f t="shared" si="543"/>
        <v/>
      </c>
      <c r="O962" s="459" t="str">
        <f t="shared" si="544"/>
        <v/>
      </c>
      <c r="P962" s="459" t="str">
        <f t="shared" si="545"/>
        <v/>
      </c>
      <c r="Q962" s="459" t="str">
        <f t="shared" si="546"/>
        <v/>
      </c>
      <c r="R962" s="459" t="str">
        <f t="shared" si="547"/>
        <v/>
      </c>
      <c r="S962" s="459" t="str">
        <f t="shared" si="548"/>
        <v/>
      </c>
      <c r="T962" s="566" t="str">
        <f t="shared" si="533"/>
        <v/>
      </c>
      <c r="U962" s="702"/>
      <c r="V962" s="132"/>
      <c r="W962" s="133"/>
      <c r="X962" s="134"/>
      <c r="Y962" s="135"/>
      <c r="Z962" s="137"/>
      <c r="AA962" s="136"/>
      <c r="AB962" s="566" t="str">
        <f t="shared" si="534"/>
        <v/>
      </c>
      <c r="AC962" s="568" t="str">
        <f t="shared" si="535"/>
        <v/>
      </c>
      <c r="AD962" s="137"/>
      <c r="AE962" s="137"/>
      <c r="AF962" s="138"/>
      <c r="AG962" s="138"/>
      <c r="AH962" s="592" t="str">
        <f t="shared" si="536"/>
        <v/>
      </c>
      <c r="AI962" s="592" t="str">
        <f t="shared" si="537"/>
        <v/>
      </c>
      <c r="AJ962" s="592" t="str">
        <f t="shared" si="538"/>
        <v/>
      </c>
      <c r="AK962" s="460" t="str">
        <f>IF(AU962="","",IF(OR(AZ962=8,AZ962=9),0,IF(OR(AW962=3,AW962=4,AW962=5,AW962=6),IF(LEFT(BF962,1)="1",INDEX(係数_NOX・PM低減,MATCH(AY962,【参考】排出係数!$AI$801:$AI$804,1),1),VLOOKUP(AU962,INDEX((係数_バス貨物_ガソリン,係数_バス貨物_CNG,係数_バス貨物_軽油,係数_バス貨物_メタノール,係数_バス貨物_LPG),MATCH(AY962,【参考】排出係数!$AI$4:$AI$671,1),1,BE962):INDEX((係数_バス貨物_ガソリン,係数_バス貨物_CNG,係数_バス貨物_軽油,係数_バス貨物_メタノール,係数_バス貨物_LPG),MATCH(AY962+1,【参考】排出係数!$AI$4:$AI$671,1)-1,5,BE962),4,FALSE)),IF(AND(BE962=3,LEFT(BF962,1)="1"),0.48,VLOOKUP(AU962,INDEX((係数_乗用_ガソリン,係数_乗用_CNG,係数_乗用_軽油,係数_乗用_メタノール,係数_乗用_LPG),1,1,BE962):INDEX((係数_乗用_ガソリン,係数_乗用_CNG,係数_乗用_軽油,係数_乗用_メタノール,係数_乗用_LPG),125,5,BE962),4,FALSE)))))</f>
        <v/>
      </c>
      <c r="AL962" s="461" t="str">
        <f t="shared" si="539"/>
        <v/>
      </c>
      <c r="AM962" s="460" t="str">
        <f>IF(AU962="","",IF(OR(AZ962=8,AZ962=9),0,IF(OR(AW962=3,AW962=4,AW962=5,AW962=6),IF(LEFT(BH962,1)="1",INDEX(係数_PM低減,MATCH(AY962,【参考】排出係数!$AI$801:$AI$804,1),MATCH(BI962,【参考】排出係数!$AL$798:$AO$798,1)),VLOOKUP(AU962,INDEX((係数_バス貨物_ガソリン,係数_バス貨物_CNG,係数_バス貨物_軽油,係数_バス貨物_メタノール,係数_バス貨物_LPG),MATCH(AY962,【参考】排出係数!$AI$4:$AI$671,1),1,BE962):INDEX((係数_バス貨物_ガソリン,係数_バス貨物_CNG,係数_バス貨物_軽油,係数_バス貨物_メタノール,係数_バス貨物_LPG),MATCH(AY962+1,【参考】排出係数!$AI$4:$AI$671,1)-1,5,BE962),5,FALSE)),IF(AND(BE962=3,LEFT(BF962,1)="1"),0.055,VLOOKUP(AU962,INDEX((係数_乗用_ガソリン,係数_乗用_CNG,係数_乗用_軽油,係数_乗用_メタノール,係数_乗用_LPG),1,1,BE962):INDEX((係数_乗用_ガソリン,係数_乗用_CNG,係数_乗用_軽油,係数_乗用_メタノール,係数_乗用_LPG),125,5,BE962),5,FALSE)))))</f>
        <v/>
      </c>
      <c r="AN962" s="461" t="str">
        <f t="shared" si="540"/>
        <v/>
      </c>
      <c r="AO962" s="462" t="str">
        <f t="shared" si="541"/>
        <v/>
      </c>
      <c r="AP962" s="463" t="str">
        <f t="shared" si="542"/>
        <v/>
      </c>
      <c r="AQ962" s="464"/>
      <c r="AR962" s="619"/>
      <c r="AS962" s="465" t="str">
        <f t="shared" si="550"/>
        <v/>
      </c>
      <c r="AT962" s="465" t="str">
        <f t="shared" si="551"/>
        <v/>
      </c>
      <c r="AU962" s="466" t="str">
        <f t="shared" si="552"/>
        <v/>
      </c>
      <c r="AV962" s="467" t="str">
        <f t="shared" si="553"/>
        <v/>
      </c>
      <c r="AW962" s="467" t="str">
        <f t="shared" si="554"/>
        <v/>
      </c>
      <c r="AX962" s="467" t="str">
        <f t="shared" si="555"/>
        <v/>
      </c>
      <c r="AY962" s="467" t="str">
        <f t="shared" si="556"/>
        <v/>
      </c>
      <c r="AZ962" s="467" t="str">
        <f t="shared" si="557"/>
        <v/>
      </c>
      <c r="BA962" s="468" t="str">
        <f>IF(AS962="","",IF(OR(AU962="",AU962="-"),"－",IF(OR(AZ962=8,AZ962=9),"",IF(OR(AW962=3,AW962=4,AW962=5,AW962=6),VLOOKUP(AU962,INDEX((係数_バス貨物_ガソリン,係数_バス貨物_CNG,係数_バス貨物_軽油,係数_バス貨物_メタノール,係数_バス貨物_LPG),MATCH(AY962,【参考】排出係数!$AI$4:$AI$671,1),1,BE962):INDEX((係数_バス貨物_ガソリン,係数_バス貨物_CNG,係数_バス貨物_軽油,係数_バス貨物_メタノール,係数_バス貨物_LPG),MATCH(AY962+1,【参考】排出係数!$AI$4:$AI$671,1)-1,5,BE962),2,FALSE),IF(OR(AW962=1,AW962=2),VLOOKUP(AU962,INDEX((係数_乗用_ガソリン,係数_乗用_CNG,係数_乗用_軽油,係数_乗用_メタノール,係数_乗用_LPG),1,1,BE962):INDEX((係数_乗用_ガソリン,係数_乗用_CNG,係数_乗用_軽油,係数_乗用_メタノール,係数_乗用_LPG),125,5,BE962),2,FALSE))))))</f>
        <v/>
      </c>
      <c r="BB962" s="468" t="str">
        <f>IF(T962="","",IF(OR(AU962="",AU962="-"),"－",IF(OR(AZ962=8,AZ962=9),"",IF(OR(AW962=3,AW962=4,AW962=5,AW962=6),VLOOKUP(AU962,INDEX((係数_バス貨物_ガソリン,係数_バス貨物_CNG,係数_バス貨物_軽油,係数_バス貨物_メタノール,係数_バス貨物_LPG),MATCH(AY962,【参考】排出係数!$AI$4:$AI$671,1),1,BE962):INDEX((係数_バス貨物_ガソリン,係数_バス貨物_CNG,係数_バス貨物_軽油,係数_バス貨物_メタノール,係数_バス貨物_LPG),MATCH(AY962+1,【参考】排出係数!$AI$4:$AI$671,1)-1,5,BE962),3,FALSE),IF(OR(AW962=1,AW962=2),VLOOKUP(AU962,INDEX((係数_乗用_ガソリン,係数_乗用_CNG,係数_乗用_軽油,係数_乗用_メタノール,係数_乗用_LPG),1,1,BE962):INDEX((係数_乗用_ガソリン,係数_乗用_CNG,係数_乗用_軽油,係数_乗用_メタノール,係数_乗用_LPG),125,5,BE962),3,FALSE))))))</f>
        <v/>
      </c>
      <c r="BC962" s="467" t="str">
        <f t="shared" si="558"/>
        <v/>
      </c>
      <c r="BD962" s="567" t="str">
        <f t="shared" si="559"/>
        <v/>
      </c>
      <c r="BE962" s="467" t="str">
        <f t="shared" si="560"/>
        <v/>
      </c>
      <c r="BF962" s="469" t="str">
        <f t="shared" ca="1" si="561"/>
        <v/>
      </c>
      <c r="BG962" s="469" t="str">
        <f t="shared" ca="1" si="562"/>
        <v/>
      </c>
      <c r="BH962" s="467" t="str">
        <f t="shared" si="563"/>
        <v/>
      </c>
      <c r="BI962" s="467" t="str">
        <f t="shared" ca="1" si="564"/>
        <v/>
      </c>
      <c r="BJ962" s="469" t="str">
        <f t="shared" si="565"/>
        <v/>
      </c>
      <c r="BK962" s="470" t="str">
        <f t="shared" si="549"/>
        <v/>
      </c>
      <c r="BL962" s="775" t="str">
        <f t="shared" si="566"/>
        <v/>
      </c>
      <c r="BM962" s="775" t="str">
        <f t="shared" si="567"/>
        <v/>
      </c>
    </row>
    <row r="963" spans="1:65">
      <c r="A963" s="473">
        <v>907</v>
      </c>
      <c r="B963" s="132"/>
      <c r="C963" s="332"/>
      <c r="D963" s="333"/>
      <c r="E963" s="333"/>
      <c r="F963" s="334"/>
      <c r="G963" s="337"/>
      <c r="H963" s="131"/>
      <c r="I963" s="337"/>
      <c r="J963" s="131"/>
      <c r="K963" s="458" t="str">
        <f t="shared" si="530"/>
        <v/>
      </c>
      <c r="L963" s="458">
        <f t="shared" si="531"/>
        <v>0</v>
      </c>
      <c r="M963" s="458">
        <f t="shared" si="532"/>
        <v>0</v>
      </c>
      <c r="N963" s="459" t="str">
        <f t="shared" si="543"/>
        <v/>
      </c>
      <c r="O963" s="459" t="str">
        <f t="shared" si="544"/>
        <v/>
      </c>
      <c r="P963" s="459" t="str">
        <f t="shared" si="545"/>
        <v/>
      </c>
      <c r="Q963" s="459" t="str">
        <f t="shared" si="546"/>
        <v/>
      </c>
      <c r="R963" s="459" t="str">
        <f t="shared" si="547"/>
        <v/>
      </c>
      <c r="S963" s="459" t="str">
        <f t="shared" si="548"/>
        <v/>
      </c>
      <c r="T963" s="566" t="str">
        <f t="shared" si="533"/>
        <v/>
      </c>
      <c r="U963" s="702"/>
      <c r="V963" s="132"/>
      <c r="W963" s="133"/>
      <c r="X963" s="134"/>
      <c r="Y963" s="135"/>
      <c r="Z963" s="137"/>
      <c r="AA963" s="136"/>
      <c r="AB963" s="566" t="str">
        <f t="shared" si="534"/>
        <v/>
      </c>
      <c r="AC963" s="568" t="str">
        <f t="shared" si="535"/>
        <v/>
      </c>
      <c r="AD963" s="137"/>
      <c r="AE963" s="137"/>
      <c r="AF963" s="138"/>
      <c r="AG963" s="138"/>
      <c r="AH963" s="592" t="str">
        <f t="shared" si="536"/>
        <v/>
      </c>
      <c r="AI963" s="592" t="str">
        <f t="shared" si="537"/>
        <v/>
      </c>
      <c r="AJ963" s="592" t="str">
        <f t="shared" si="538"/>
        <v/>
      </c>
      <c r="AK963" s="460" t="str">
        <f>IF(AU963="","",IF(OR(AZ963=8,AZ963=9),0,IF(OR(AW963=3,AW963=4,AW963=5,AW963=6),IF(LEFT(BF963,1)="1",INDEX(係数_NOX・PM低減,MATCH(AY963,【参考】排出係数!$AI$801:$AI$804,1),1),VLOOKUP(AU963,INDEX((係数_バス貨物_ガソリン,係数_バス貨物_CNG,係数_バス貨物_軽油,係数_バス貨物_メタノール,係数_バス貨物_LPG),MATCH(AY963,【参考】排出係数!$AI$4:$AI$671,1),1,BE963):INDEX((係数_バス貨物_ガソリン,係数_バス貨物_CNG,係数_バス貨物_軽油,係数_バス貨物_メタノール,係数_バス貨物_LPG),MATCH(AY963+1,【参考】排出係数!$AI$4:$AI$671,1)-1,5,BE963),4,FALSE)),IF(AND(BE963=3,LEFT(BF963,1)="1"),0.48,VLOOKUP(AU963,INDEX((係数_乗用_ガソリン,係数_乗用_CNG,係数_乗用_軽油,係数_乗用_メタノール,係数_乗用_LPG),1,1,BE963):INDEX((係数_乗用_ガソリン,係数_乗用_CNG,係数_乗用_軽油,係数_乗用_メタノール,係数_乗用_LPG),125,5,BE963),4,FALSE)))))</f>
        <v/>
      </c>
      <c r="AL963" s="461" t="str">
        <f t="shared" si="539"/>
        <v/>
      </c>
      <c r="AM963" s="460" t="str">
        <f>IF(AU963="","",IF(OR(AZ963=8,AZ963=9),0,IF(OR(AW963=3,AW963=4,AW963=5,AW963=6),IF(LEFT(BH963,1)="1",INDEX(係数_PM低減,MATCH(AY963,【参考】排出係数!$AI$801:$AI$804,1),MATCH(BI963,【参考】排出係数!$AL$798:$AO$798,1)),VLOOKUP(AU963,INDEX((係数_バス貨物_ガソリン,係数_バス貨物_CNG,係数_バス貨物_軽油,係数_バス貨物_メタノール,係数_バス貨物_LPG),MATCH(AY963,【参考】排出係数!$AI$4:$AI$671,1),1,BE963):INDEX((係数_バス貨物_ガソリン,係数_バス貨物_CNG,係数_バス貨物_軽油,係数_バス貨物_メタノール,係数_バス貨物_LPG),MATCH(AY963+1,【参考】排出係数!$AI$4:$AI$671,1)-1,5,BE963),5,FALSE)),IF(AND(BE963=3,LEFT(BF963,1)="1"),0.055,VLOOKUP(AU963,INDEX((係数_乗用_ガソリン,係数_乗用_CNG,係数_乗用_軽油,係数_乗用_メタノール,係数_乗用_LPG),1,1,BE963):INDEX((係数_乗用_ガソリン,係数_乗用_CNG,係数_乗用_軽油,係数_乗用_メタノール,係数_乗用_LPG),125,5,BE963),5,FALSE)))))</f>
        <v/>
      </c>
      <c r="AN963" s="461" t="str">
        <f t="shared" si="540"/>
        <v/>
      </c>
      <c r="AO963" s="462" t="str">
        <f t="shared" si="541"/>
        <v/>
      </c>
      <c r="AP963" s="463" t="str">
        <f t="shared" si="542"/>
        <v/>
      </c>
      <c r="AQ963" s="464"/>
      <c r="AR963" s="619"/>
      <c r="AS963" s="465" t="str">
        <f t="shared" si="550"/>
        <v/>
      </c>
      <c r="AT963" s="465" t="str">
        <f t="shared" si="551"/>
        <v/>
      </c>
      <c r="AU963" s="466" t="str">
        <f t="shared" si="552"/>
        <v/>
      </c>
      <c r="AV963" s="467" t="str">
        <f t="shared" si="553"/>
        <v/>
      </c>
      <c r="AW963" s="467" t="str">
        <f t="shared" si="554"/>
        <v/>
      </c>
      <c r="AX963" s="467" t="str">
        <f t="shared" si="555"/>
        <v/>
      </c>
      <c r="AY963" s="467" t="str">
        <f t="shared" si="556"/>
        <v/>
      </c>
      <c r="AZ963" s="467" t="str">
        <f t="shared" si="557"/>
        <v/>
      </c>
      <c r="BA963" s="468" t="str">
        <f>IF(AS963="","",IF(OR(AU963="",AU963="-"),"－",IF(OR(AZ963=8,AZ963=9),"",IF(OR(AW963=3,AW963=4,AW963=5,AW963=6),VLOOKUP(AU963,INDEX((係数_バス貨物_ガソリン,係数_バス貨物_CNG,係数_バス貨物_軽油,係数_バス貨物_メタノール,係数_バス貨物_LPG),MATCH(AY963,【参考】排出係数!$AI$4:$AI$671,1),1,BE963):INDEX((係数_バス貨物_ガソリン,係数_バス貨物_CNG,係数_バス貨物_軽油,係数_バス貨物_メタノール,係数_バス貨物_LPG),MATCH(AY963+1,【参考】排出係数!$AI$4:$AI$671,1)-1,5,BE963),2,FALSE),IF(OR(AW963=1,AW963=2),VLOOKUP(AU963,INDEX((係数_乗用_ガソリン,係数_乗用_CNG,係数_乗用_軽油,係数_乗用_メタノール,係数_乗用_LPG),1,1,BE963):INDEX((係数_乗用_ガソリン,係数_乗用_CNG,係数_乗用_軽油,係数_乗用_メタノール,係数_乗用_LPG),125,5,BE963),2,FALSE))))))</f>
        <v/>
      </c>
      <c r="BB963" s="468" t="str">
        <f>IF(T963="","",IF(OR(AU963="",AU963="-"),"－",IF(OR(AZ963=8,AZ963=9),"",IF(OR(AW963=3,AW963=4,AW963=5,AW963=6),VLOOKUP(AU963,INDEX((係数_バス貨物_ガソリン,係数_バス貨物_CNG,係数_バス貨物_軽油,係数_バス貨物_メタノール,係数_バス貨物_LPG),MATCH(AY963,【参考】排出係数!$AI$4:$AI$671,1),1,BE963):INDEX((係数_バス貨物_ガソリン,係数_バス貨物_CNG,係数_バス貨物_軽油,係数_バス貨物_メタノール,係数_バス貨物_LPG),MATCH(AY963+1,【参考】排出係数!$AI$4:$AI$671,1)-1,5,BE963),3,FALSE),IF(OR(AW963=1,AW963=2),VLOOKUP(AU963,INDEX((係数_乗用_ガソリン,係数_乗用_CNG,係数_乗用_軽油,係数_乗用_メタノール,係数_乗用_LPG),1,1,BE963):INDEX((係数_乗用_ガソリン,係数_乗用_CNG,係数_乗用_軽油,係数_乗用_メタノール,係数_乗用_LPG),125,5,BE963),3,FALSE))))))</f>
        <v/>
      </c>
      <c r="BC963" s="467" t="str">
        <f t="shared" si="558"/>
        <v/>
      </c>
      <c r="BD963" s="567" t="str">
        <f t="shared" si="559"/>
        <v/>
      </c>
      <c r="BE963" s="467" t="str">
        <f t="shared" si="560"/>
        <v/>
      </c>
      <c r="BF963" s="469" t="str">
        <f t="shared" ca="1" si="561"/>
        <v/>
      </c>
      <c r="BG963" s="469" t="str">
        <f t="shared" ca="1" si="562"/>
        <v/>
      </c>
      <c r="BH963" s="467" t="str">
        <f t="shared" si="563"/>
        <v/>
      </c>
      <c r="BI963" s="467" t="str">
        <f t="shared" ca="1" si="564"/>
        <v/>
      </c>
      <c r="BJ963" s="469" t="str">
        <f t="shared" si="565"/>
        <v/>
      </c>
      <c r="BK963" s="470" t="str">
        <f t="shared" si="549"/>
        <v/>
      </c>
      <c r="BL963" s="775" t="str">
        <f t="shared" si="566"/>
        <v/>
      </c>
      <c r="BM963" s="775" t="str">
        <f t="shared" si="567"/>
        <v/>
      </c>
    </row>
    <row r="964" spans="1:65">
      <c r="A964" s="473">
        <v>908</v>
      </c>
      <c r="B964" s="132"/>
      <c r="C964" s="332"/>
      <c r="D964" s="333"/>
      <c r="E964" s="333"/>
      <c r="F964" s="334"/>
      <c r="G964" s="337"/>
      <c r="H964" s="131"/>
      <c r="I964" s="337"/>
      <c r="J964" s="131"/>
      <c r="K964" s="458" t="str">
        <f t="shared" si="530"/>
        <v/>
      </c>
      <c r="L964" s="458">
        <f t="shared" si="531"/>
        <v>0</v>
      </c>
      <c r="M964" s="458">
        <f t="shared" si="532"/>
        <v>0</v>
      </c>
      <c r="N964" s="459" t="str">
        <f t="shared" si="543"/>
        <v/>
      </c>
      <c r="O964" s="459" t="str">
        <f t="shared" si="544"/>
        <v/>
      </c>
      <c r="P964" s="459" t="str">
        <f t="shared" si="545"/>
        <v/>
      </c>
      <c r="Q964" s="459" t="str">
        <f t="shared" si="546"/>
        <v/>
      </c>
      <c r="R964" s="459" t="str">
        <f t="shared" si="547"/>
        <v/>
      </c>
      <c r="S964" s="459" t="str">
        <f t="shared" si="548"/>
        <v/>
      </c>
      <c r="T964" s="566" t="str">
        <f t="shared" si="533"/>
        <v/>
      </c>
      <c r="U964" s="702"/>
      <c r="V964" s="132"/>
      <c r="W964" s="133"/>
      <c r="X964" s="134"/>
      <c r="Y964" s="135"/>
      <c r="Z964" s="137"/>
      <c r="AA964" s="136"/>
      <c r="AB964" s="566" t="str">
        <f t="shared" si="534"/>
        <v/>
      </c>
      <c r="AC964" s="568" t="str">
        <f t="shared" si="535"/>
        <v/>
      </c>
      <c r="AD964" s="137"/>
      <c r="AE964" s="137"/>
      <c r="AF964" s="138"/>
      <c r="AG964" s="138"/>
      <c r="AH964" s="592" t="str">
        <f t="shared" si="536"/>
        <v/>
      </c>
      <c r="AI964" s="592" t="str">
        <f t="shared" si="537"/>
        <v/>
      </c>
      <c r="AJ964" s="592" t="str">
        <f t="shared" si="538"/>
        <v/>
      </c>
      <c r="AK964" s="460" t="str">
        <f>IF(AU964="","",IF(OR(AZ964=8,AZ964=9),0,IF(OR(AW964=3,AW964=4,AW964=5,AW964=6),IF(LEFT(BF964,1)="1",INDEX(係数_NOX・PM低減,MATCH(AY964,【参考】排出係数!$AI$801:$AI$804,1),1),VLOOKUP(AU964,INDEX((係数_バス貨物_ガソリン,係数_バス貨物_CNG,係数_バス貨物_軽油,係数_バス貨物_メタノール,係数_バス貨物_LPG),MATCH(AY964,【参考】排出係数!$AI$4:$AI$671,1),1,BE964):INDEX((係数_バス貨物_ガソリン,係数_バス貨物_CNG,係数_バス貨物_軽油,係数_バス貨物_メタノール,係数_バス貨物_LPG),MATCH(AY964+1,【参考】排出係数!$AI$4:$AI$671,1)-1,5,BE964),4,FALSE)),IF(AND(BE964=3,LEFT(BF964,1)="1"),0.48,VLOOKUP(AU964,INDEX((係数_乗用_ガソリン,係数_乗用_CNG,係数_乗用_軽油,係数_乗用_メタノール,係数_乗用_LPG),1,1,BE964):INDEX((係数_乗用_ガソリン,係数_乗用_CNG,係数_乗用_軽油,係数_乗用_メタノール,係数_乗用_LPG),125,5,BE964),4,FALSE)))))</f>
        <v/>
      </c>
      <c r="AL964" s="461" t="str">
        <f t="shared" si="539"/>
        <v/>
      </c>
      <c r="AM964" s="460" t="str">
        <f>IF(AU964="","",IF(OR(AZ964=8,AZ964=9),0,IF(OR(AW964=3,AW964=4,AW964=5,AW964=6),IF(LEFT(BH964,1)="1",INDEX(係数_PM低減,MATCH(AY964,【参考】排出係数!$AI$801:$AI$804,1),MATCH(BI964,【参考】排出係数!$AL$798:$AO$798,1)),VLOOKUP(AU964,INDEX((係数_バス貨物_ガソリン,係数_バス貨物_CNG,係数_バス貨物_軽油,係数_バス貨物_メタノール,係数_バス貨物_LPG),MATCH(AY964,【参考】排出係数!$AI$4:$AI$671,1),1,BE964):INDEX((係数_バス貨物_ガソリン,係数_バス貨物_CNG,係数_バス貨物_軽油,係数_バス貨物_メタノール,係数_バス貨物_LPG),MATCH(AY964+1,【参考】排出係数!$AI$4:$AI$671,1)-1,5,BE964),5,FALSE)),IF(AND(BE964=3,LEFT(BF964,1)="1"),0.055,VLOOKUP(AU964,INDEX((係数_乗用_ガソリン,係数_乗用_CNG,係数_乗用_軽油,係数_乗用_メタノール,係数_乗用_LPG),1,1,BE964):INDEX((係数_乗用_ガソリン,係数_乗用_CNG,係数_乗用_軽油,係数_乗用_メタノール,係数_乗用_LPG),125,5,BE964),5,FALSE)))))</f>
        <v/>
      </c>
      <c r="AN964" s="461" t="str">
        <f t="shared" si="540"/>
        <v/>
      </c>
      <c r="AO964" s="462" t="str">
        <f t="shared" si="541"/>
        <v/>
      </c>
      <c r="AP964" s="463" t="str">
        <f t="shared" si="542"/>
        <v/>
      </c>
      <c r="AQ964" s="464"/>
      <c r="AR964" s="619"/>
      <c r="AS964" s="465" t="str">
        <f t="shared" si="550"/>
        <v/>
      </c>
      <c r="AT964" s="465" t="str">
        <f t="shared" si="551"/>
        <v/>
      </c>
      <c r="AU964" s="466" t="str">
        <f t="shared" si="552"/>
        <v/>
      </c>
      <c r="AV964" s="467" t="str">
        <f t="shared" si="553"/>
        <v/>
      </c>
      <c r="AW964" s="467" t="str">
        <f t="shared" si="554"/>
        <v/>
      </c>
      <c r="AX964" s="467" t="str">
        <f t="shared" si="555"/>
        <v/>
      </c>
      <c r="AY964" s="467" t="str">
        <f t="shared" si="556"/>
        <v/>
      </c>
      <c r="AZ964" s="467" t="str">
        <f t="shared" si="557"/>
        <v/>
      </c>
      <c r="BA964" s="468" t="str">
        <f>IF(AS964="","",IF(OR(AU964="",AU964="-"),"－",IF(OR(AZ964=8,AZ964=9),"",IF(OR(AW964=3,AW964=4,AW964=5,AW964=6),VLOOKUP(AU964,INDEX((係数_バス貨物_ガソリン,係数_バス貨物_CNG,係数_バス貨物_軽油,係数_バス貨物_メタノール,係数_バス貨物_LPG),MATCH(AY964,【参考】排出係数!$AI$4:$AI$671,1),1,BE964):INDEX((係数_バス貨物_ガソリン,係数_バス貨物_CNG,係数_バス貨物_軽油,係数_バス貨物_メタノール,係数_バス貨物_LPG),MATCH(AY964+1,【参考】排出係数!$AI$4:$AI$671,1)-1,5,BE964),2,FALSE),IF(OR(AW964=1,AW964=2),VLOOKUP(AU964,INDEX((係数_乗用_ガソリン,係数_乗用_CNG,係数_乗用_軽油,係数_乗用_メタノール,係数_乗用_LPG),1,1,BE964):INDEX((係数_乗用_ガソリン,係数_乗用_CNG,係数_乗用_軽油,係数_乗用_メタノール,係数_乗用_LPG),125,5,BE964),2,FALSE))))))</f>
        <v/>
      </c>
      <c r="BB964" s="468" t="str">
        <f>IF(T964="","",IF(OR(AU964="",AU964="-"),"－",IF(OR(AZ964=8,AZ964=9),"",IF(OR(AW964=3,AW964=4,AW964=5,AW964=6),VLOOKUP(AU964,INDEX((係数_バス貨物_ガソリン,係数_バス貨物_CNG,係数_バス貨物_軽油,係数_バス貨物_メタノール,係数_バス貨物_LPG),MATCH(AY964,【参考】排出係数!$AI$4:$AI$671,1),1,BE964):INDEX((係数_バス貨物_ガソリン,係数_バス貨物_CNG,係数_バス貨物_軽油,係数_バス貨物_メタノール,係数_バス貨物_LPG),MATCH(AY964+1,【参考】排出係数!$AI$4:$AI$671,1)-1,5,BE964),3,FALSE),IF(OR(AW964=1,AW964=2),VLOOKUP(AU964,INDEX((係数_乗用_ガソリン,係数_乗用_CNG,係数_乗用_軽油,係数_乗用_メタノール,係数_乗用_LPG),1,1,BE964):INDEX((係数_乗用_ガソリン,係数_乗用_CNG,係数_乗用_軽油,係数_乗用_メタノール,係数_乗用_LPG),125,5,BE964),3,FALSE))))))</f>
        <v/>
      </c>
      <c r="BC964" s="467" t="str">
        <f t="shared" si="558"/>
        <v/>
      </c>
      <c r="BD964" s="567" t="str">
        <f t="shared" si="559"/>
        <v/>
      </c>
      <c r="BE964" s="467" t="str">
        <f t="shared" si="560"/>
        <v/>
      </c>
      <c r="BF964" s="469" t="str">
        <f t="shared" ca="1" si="561"/>
        <v/>
      </c>
      <c r="BG964" s="469" t="str">
        <f t="shared" ca="1" si="562"/>
        <v/>
      </c>
      <c r="BH964" s="467" t="str">
        <f t="shared" si="563"/>
        <v/>
      </c>
      <c r="BI964" s="467" t="str">
        <f t="shared" ca="1" si="564"/>
        <v/>
      </c>
      <c r="BJ964" s="469" t="str">
        <f t="shared" si="565"/>
        <v/>
      </c>
      <c r="BK964" s="470" t="str">
        <f t="shared" si="549"/>
        <v/>
      </c>
      <c r="BL964" s="775" t="str">
        <f t="shared" si="566"/>
        <v/>
      </c>
      <c r="BM964" s="775" t="str">
        <f t="shared" si="567"/>
        <v/>
      </c>
    </row>
    <row r="965" spans="1:65">
      <c r="A965" s="473">
        <v>909</v>
      </c>
      <c r="B965" s="132"/>
      <c r="C965" s="332"/>
      <c r="D965" s="333"/>
      <c r="E965" s="333"/>
      <c r="F965" s="334"/>
      <c r="G965" s="337"/>
      <c r="H965" s="131"/>
      <c r="I965" s="337"/>
      <c r="J965" s="131"/>
      <c r="K965" s="458" t="str">
        <f t="shared" si="530"/>
        <v/>
      </c>
      <c r="L965" s="458">
        <f t="shared" si="531"/>
        <v>0</v>
      </c>
      <c r="M965" s="458">
        <f t="shared" si="532"/>
        <v>0</v>
      </c>
      <c r="N965" s="459" t="str">
        <f t="shared" si="543"/>
        <v/>
      </c>
      <c r="O965" s="459" t="str">
        <f t="shared" si="544"/>
        <v/>
      </c>
      <c r="P965" s="459" t="str">
        <f t="shared" si="545"/>
        <v/>
      </c>
      <c r="Q965" s="459" t="str">
        <f t="shared" si="546"/>
        <v/>
      </c>
      <c r="R965" s="459" t="str">
        <f t="shared" si="547"/>
        <v/>
      </c>
      <c r="S965" s="459" t="str">
        <f t="shared" si="548"/>
        <v/>
      </c>
      <c r="T965" s="566" t="str">
        <f t="shared" si="533"/>
        <v/>
      </c>
      <c r="U965" s="702"/>
      <c r="V965" s="132"/>
      <c r="W965" s="133"/>
      <c r="X965" s="134"/>
      <c r="Y965" s="135"/>
      <c r="Z965" s="137"/>
      <c r="AA965" s="136"/>
      <c r="AB965" s="566" t="str">
        <f t="shared" si="534"/>
        <v/>
      </c>
      <c r="AC965" s="568" t="str">
        <f t="shared" si="535"/>
        <v/>
      </c>
      <c r="AD965" s="137"/>
      <c r="AE965" s="137"/>
      <c r="AF965" s="138"/>
      <c r="AG965" s="138"/>
      <c r="AH965" s="592" t="str">
        <f t="shared" si="536"/>
        <v/>
      </c>
      <c r="AI965" s="592" t="str">
        <f t="shared" si="537"/>
        <v/>
      </c>
      <c r="AJ965" s="592" t="str">
        <f t="shared" si="538"/>
        <v/>
      </c>
      <c r="AK965" s="460" t="str">
        <f>IF(AU965="","",IF(OR(AZ965=8,AZ965=9),0,IF(OR(AW965=3,AW965=4,AW965=5,AW965=6),IF(LEFT(BF965,1)="1",INDEX(係数_NOX・PM低減,MATCH(AY965,【参考】排出係数!$AI$801:$AI$804,1),1),VLOOKUP(AU965,INDEX((係数_バス貨物_ガソリン,係数_バス貨物_CNG,係数_バス貨物_軽油,係数_バス貨物_メタノール,係数_バス貨物_LPG),MATCH(AY965,【参考】排出係数!$AI$4:$AI$671,1),1,BE965):INDEX((係数_バス貨物_ガソリン,係数_バス貨物_CNG,係数_バス貨物_軽油,係数_バス貨物_メタノール,係数_バス貨物_LPG),MATCH(AY965+1,【参考】排出係数!$AI$4:$AI$671,1)-1,5,BE965),4,FALSE)),IF(AND(BE965=3,LEFT(BF965,1)="1"),0.48,VLOOKUP(AU965,INDEX((係数_乗用_ガソリン,係数_乗用_CNG,係数_乗用_軽油,係数_乗用_メタノール,係数_乗用_LPG),1,1,BE965):INDEX((係数_乗用_ガソリン,係数_乗用_CNG,係数_乗用_軽油,係数_乗用_メタノール,係数_乗用_LPG),125,5,BE965),4,FALSE)))))</f>
        <v/>
      </c>
      <c r="AL965" s="461" t="str">
        <f t="shared" si="539"/>
        <v/>
      </c>
      <c r="AM965" s="460" t="str">
        <f>IF(AU965="","",IF(OR(AZ965=8,AZ965=9),0,IF(OR(AW965=3,AW965=4,AW965=5,AW965=6),IF(LEFT(BH965,1)="1",INDEX(係数_PM低減,MATCH(AY965,【参考】排出係数!$AI$801:$AI$804,1),MATCH(BI965,【参考】排出係数!$AL$798:$AO$798,1)),VLOOKUP(AU965,INDEX((係数_バス貨物_ガソリン,係数_バス貨物_CNG,係数_バス貨物_軽油,係数_バス貨物_メタノール,係数_バス貨物_LPG),MATCH(AY965,【参考】排出係数!$AI$4:$AI$671,1),1,BE965):INDEX((係数_バス貨物_ガソリン,係数_バス貨物_CNG,係数_バス貨物_軽油,係数_バス貨物_メタノール,係数_バス貨物_LPG),MATCH(AY965+1,【参考】排出係数!$AI$4:$AI$671,1)-1,5,BE965),5,FALSE)),IF(AND(BE965=3,LEFT(BF965,1)="1"),0.055,VLOOKUP(AU965,INDEX((係数_乗用_ガソリン,係数_乗用_CNG,係数_乗用_軽油,係数_乗用_メタノール,係数_乗用_LPG),1,1,BE965):INDEX((係数_乗用_ガソリン,係数_乗用_CNG,係数_乗用_軽油,係数_乗用_メタノール,係数_乗用_LPG),125,5,BE965),5,FALSE)))))</f>
        <v/>
      </c>
      <c r="AN965" s="461" t="str">
        <f t="shared" si="540"/>
        <v/>
      </c>
      <c r="AO965" s="462" t="str">
        <f t="shared" si="541"/>
        <v/>
      </c>
      <c r="AP965" s="463" t="str">
        <f t="shared" si="542"/>
        <v/>
      </c>
      <c r="AQ965" s="464"/>
      <c r="AR965" s="619"/>
      <c r="AS965" s="465" t="str">
        <f t="shared" si="550"/>
        <v/>
      </c>
      <c r="AT965" s="465" t="str">
        <f t="shared" si="551"/>
        <v/>
      </c>
      <c r="AU965" s="466" t="str">
        <f t="shared" si="552"/>
        <v/>
      </c>
      <c r="AV965" s="467" t="str">
        <f t="shared" si="553"/>
        <v/>
      </c>
      <c r="AW965" s="467" t="str">
        <f t="shared" si="554"/>
        <v/>
      </c>
      <c r="AX965" s="467" t="str">
        <f t="shared" si="555"/>
        <v/>
      </c>
      <c r="AY965" s="467" t="str">
        <f t="shared" si="556"/>
        <v/>
      </c>
      <c r="AZ965" s="467" t="str">
        <f t="shared" si="557"/>
        <v/>
      </c>
      <c r="BA965" s="468" t="str">
        <f>IF(AS965="","",IF(OR(AU965="",AU965="-"),"－",IF(OR(AZ965=8,AZ965=9),"",IF(OR(AW965=3,AW965=4,AW965=5,AW965=6),VLOOKUP(AU965,INDEX((係数_バス貨物_ガソリン,係数_バス貨物_CNG,係数_バス貨物_軽油,係数_バス貨物_メタノール,係数_バス貨物_LPG),MATCH(AY965,【参考】排出係数!$AI$4:$AI$671,1),1,BE965):INDEX((係数_バス貨物_ガソリン,係数_バス貨物_CNG,係数_バス貨物_軽油,係数_バス貨物_メタノール,係数_バス貨物_LPG),MATCH(AY965+1,【参考】排出係数!$AI$4:$AI$671,1)-1,5,BE965),2,FALSE),IF(OR(AW965=1,AW965=2),VLOOKUP(AU965,INDEX((係数_乗用_ガソリン,係数_乗用_CNG,係数_乗用_軽油,係数_乗用_メタノール,係数_乗用_LPG),1,1,BE965):INDEX((係数_乗用_ガソリン,係数_乗用_CNG,係数_乗用_軽油,係数_乗用_メタノール,係数_乗用_LPG),125,5,BE965),2,FALSE))))))</f>
        <v/>
      </c>
      <c r="BB965" s="468" t="str">
        <f>IF(T965="","",IF(OR(AU965="",AU965="-"),"－",IF(OR(AZ965=8,AZ965=9),"",IF(OR(AW965=3,AW965=4,AW965=5,AW965=6),VLOOKUP(AU965,INDEX((係数_バス貨物_ガソリン,係数_バス貨物_CNG,係数_バス貨物_軽油,係数_バス貨物_メタノール,係数_バス貨物_LPG),MATCH(AY965,【参考】排出係数!$AI$4:$AI$671,1),1,BE965):INDEX((係数_バス貨物_ガソリン,係数_バス貨物_CNG,係数_バス貨物_軽油,係数_バス貨物_メタノール,係数_バス貨物_LPG),MATCH(AY965+1,【参考】排出係数!$AI$4:$AI$671,1)-1,5,BE965),3,FALSE),IF(OR(AW965=1,AW965=2),VLOOKUP(AU965,INDEX((係数_乗用_ガソリン,係数_乗用_CNG,係数_乗用_軽油,係数_乗用_メタノール,係数_乗用_LPG),1,1,BE965):INDEX((係数_乗用_ガソリン,係数_乗用_CNG,係数_乗用_軽油,係数_乗用_メタノール,係数_乗用_LPG),125,5,BE965),3,FALSE))))))</f>
        <v/>
      </c>
      <c r="BC965" s="467" t="str">
        <f t="shared" si="558"/>
        <v/>
      </c>
      <c r="BD965" s="567" t="str">
        <f t="shared" si="559"/>
        <v/>
      </c>
      <c r="BE965" s="467" t="str">
        <f t="shared" si="560"/>
        <v/>
      </c>
      <c r="BF965" s="469" t="str">
        <f t="shared" ca="1" si="561"/>
        <v/>
      </c>
      <c r="BG965" s="469" t="str">
        <f t="shared" ca="1" si="562"/>
        <v/>
      </c>
      <c r="BH965" s="467" t="str">
        <f t="shared" si="563"/>
        <v/>
      </c>
      <c r="BI965" s="467" t="str">
        <f t="shared" ca="1" si="564"/>
        <v/>
      </c>
      <c r="BJ965" s="469" t="str">
        <f t="shared" si="565"/>
        <v/>
      </c>
      <c r="BK965" s="470" t="str">
        <f t="shared" si="549"/>
        <v/>
      </c>
      <c r="BL965" s="775" t="str">
        <f t="shared" si="566"/>
        <v/>
      </c>
      <c r="BM965" s="775" t="str">
        <f t="shared" si="567"/>
        <v/>
      </c>
    </row>
    <row r="966" spans="1:65">
      <c r="A966" s="473">
        <v>910</v>
      </c>
      <c r="B966" s="132"/>
      <c r="C966" s="332"/>
      <c r="D966" s="333"/>
      <c r="E966" s="333"/>
      <c r="F966" s="334"/>
      <c r="G966" s="337"/>
      <c r="H966" s="131"/>
      <c r="I966" s="337"/>
      <c r="J966" s="131"/>
      <c r="K966" s="458" t="str">
        <f t="shared" si="530"/>
        <v/>
      </c>
      <c r="L966" s="458">
        <f t="shared" si="531"/>
        <v>0</v>
      </c>
      <c r="M966" s="458">
        <f t="shared" si="532"/>
        <v>0</v>
      </c>
      <c r="N966" s="459" t="str">
        <f t="shared" si="543"/>
        <v/>
      </c>
      <c r="O966" s="459" t="str">
        <f t="shared" si="544"/>
        <v/>
      </c>
      <c r="P966" s="459" t="str">
        <f t="shared" si="545"/>
        <v/>
      </c>
      <c r="Q966" s="459" t="str">
        <f t="shared" si="546"/>
        <v/>
      </c>
      <c r="R966" s="459" t="str">
        <f t="shared" si="547"/>
        <v/>
      </c>
      <c r="S966" s="459" t="str">
        <f t="shared" si="548"/>
        <v/>
      </c>
      <c r="T966" s="566" t="str">
        <f t="shared" si="533"/>
        <v/>
      </c>
      <c r="U966" s="702"/>
      <c r="V966" s="132"/>
      <c r="W966" s="133"/>
      <c r="X966" s="134"/>
      <c r="Y966" s="135"/>
      <c r="Z966" s="137"/>
      <c r="AA966" s="136"/>
      <c r="AB966" s="566" t="str">
        <f t="shared" si="534"/>
        <v/>
      </c>
      <c r="AC966" s="568" t="str">
        <f t="shared" si="535"/>
        <v/>
      </c>
      <c r="AD966" s="137"/>
      <c r="AE966" s="137"/>
      <c r="AF966" s="138"/>
      <c r="AG966" s="138"/>
      <c r="AH966" s="592" t="str">
        <f t="shared" si="536"/>
        <v/>
      </c>
      <c r="AI966" s="592" t="str">
        <f t="shared" si="537"/>
        <v/>
      </c>
      <c r="AJ966" s="592" t="str">
        <f t="shared" si="538"/>
        <v/>
      </c>
      <c r="AK966" s="460" t="str">
        <f>IF(AU966="","",IF(OR(AZ966=8,AZ966=9),0,IF(OR(AW966=3,AW966=4,AW966=5,AW966=6),IF(LEFT(BF966,1)="1",INDEX(係数_NOX・PM低減,MATCH(AY966,【参考】排出係数!$AI$801:$AI$804,1),1),VLOOKUP(AU966,INDEX((係数_バス貨物_ガソリン,係数_バス貨物_CNG,係数_バス貨物_軽油,係数_バス貨物_メタノール,係数_バス貨物_LPG),MATCH(AY966,【参考】排出係数!$AI$4:$AI$671,1),1,BE966):INDEX((係数_バス貨物_ガソリン,係数_バス貨物_CNG,係数_バス貨物_軽油,係数_バス貨物_メタノール,係数_バス貨物_LPG),MATCH(AY966+1,【参考】排出係数!$AI$4:$AI$671,1)-1,5,BE966),4,FALSE)),IF(AND(BE966=3,LEFT(BF966,1)="1"),0.48,VLOOKUP(AU966,INDEX((係数_乗用_ガソリン,係数_乗用_CNG,係数_乗用_軽油,係数_乗用_メタノール,係数_乗用_LPG),1,1,BE966):INDEX((係数_乗用_ガソリン,係数_乗用_CNG,係数_乗用_軽油,係数_乗用_メタノール,係数_乗用_LPG),125,5,BE966),4,FALSE)))))</f>
        <v/>
      </c>
      <c r="AL966" s="461" t="str">
        <f t="shared" si="539"/>
        <v/>
      </c>
      <c r="AM966" s="460" t="str">
        <f>IF(AU966="","",IF(OR(AZ966=8,AZ966=9),0,IF(OR(AW966=3,AW966=4,AW966=5,AW966=6),IF(LEFT(BH966,1)="1",INDEX(係数_PM低減,MATCH(AY966,【参考】排出係数!$AI$801:$AI$804,1),MATCH(BI966,【参考】排出係数!$AL$798:$AO$798,1)),VLOOKUP(AU966,INDEX((係数_バス貨物_ガソリン,係数_バス貨物_CNG,係数_バス貨物_軽油,係数_バス貨物_メタノール,係数_バス貨物_LPG),MATCH(AY966,【参考】排出係数!$AI$4:$AI$671,1),1,BE966):INDEX((係数_バス貨物_ガソリン,係数_バス貨物_CNG,係数_バス貨物_軽油,係数_バス貨物_メタノール,係数_バス貨物_LPG),MATCH(AY966+1,【参考】排出係数!$AI$4:$AI$671,1)-1,5,BE966),5,FALSE)),IF(AND(BE966=3,LEFT(BF966,1)="1"),0.055,VLOOKUP(AU966,INDEX((係数_乗用_ガソリン,係数_乗用_CNG,係数_乗用_軽油,係数_乗用_メタノール,係数_乗用_LPG),1,1,BE966):INDEX((係数_乗用_ガソリン,係数_乗用_CNG,係数_乗用_軽油,係数_乗用_メタノール,係数_乗用_LPG),125,5,BE966),5,FALSE)))))</f>
        <v/>
      </c>
      <c r="AN966" s="461" t="str">
        <f t="shared" si="540"/>
        <v/>
      </c>
      <c r="AO966" s="462" t="str">
        <f t="shared" si="541"/>
        <v/>
      </c>
      <c r="AP966" s="463" t="str">
        <f t="shared" si="542"/>
        <v/>
      </c>
      <c r="AQ966" s="464"/>
      <c r="AR966" s="619"/>
      <c r="AS966" s="465" t="str">
        <f t="shared" si="550"/>
        <v/>
      </c>
      <c r="AT966" s="465" t="str">
        <f t="shared" si="551"/>
        <v/>
      </c>
      <c r="AU966" s="466" t="str">
        <f t="shared" si="552"/>
        <v/>
      </c>
      <c r="AV966" s="467" t="str">
        <f t="shared" si="553"/>
        <v/>
      </c>
      <c r="AW966" s="467" t="str">
        <f t="shared" si="554"/>
        <v/>
      </c>
      <c r="AX966" s="467" t="str">
        <f t="shared" si="555"/>
        <v/>
      </c>
      <c r="AY966" s="467" t="str">
        <f t="shared" si="556"/>
        <v/>
      </c>
      <c r="AZ966" s="467" t="str">
        <f t="shared" si="557"/>
        <v/>
      </c>
      <c r="BA966" s="468" t="str">
        <f>IF(AS966="","",IF(OR(AU966="",AU966="-"),"－",IF(OR(AZ966=8,AZ966=9),"",IF(OR(AW966=3,AW966=4,AW966=5,AW966=6),VLOOKUP(AU966,INDEX((係数_バス貨物_ガソリン,係数_バス貨物_CNG,係数_バス貨物_軽油,係数_バス貨物_メタノール,係数_バス貨物_LPG),MATCH(AY966,【参考】排出係数!$AI$4:$AI$671,1),1,BE966):INDEX((係数_バス貨物_ガソリン,係数_バス貨物_CNG,係数_バス貨物_軽油,係数_バス貨物_メタノール,係数_バス貨物_LPG),MATCH(AY966+1,【参考】排出係数!$AI$4:$AI$671,1)-1,5,BE966),2,FALSE),IF(OR(AW966=1,AW966=2),VLOOKUP(AU966,INDEX((係数_乗用_ガソリン,係数_乗用_CNG,係数_乗用_軽油,係数_乗用_メタノール,係数_乗用_LPG),1,1,BE966):INDEX((係数_乗用_ガソリン,係数_乗用_CNG,係数_乗用_軽油,係数_乗用_メタノール,係数_乗用_LPG),125,5,BE966),2,FALSE))))))</f>
        <v/>
      </c>
      <c r="BB966" s="468" t="str">
        <f>IF(T966="","",IF(OR(AU966="",AU966="-"),"－",IF(OR(AZ966=8,AZ966=9),"",IF(OR(AW966=3,AW966=4,AW966=5,AW966=6),VLOOKUP(AU966,INDEX((係数_バス貨物_ガソリン,係数_バス貨物_CNG,係数_バス貨物_軽油,係数_バス貨物_メタノール,係数_バス貨物_LPG),MATCH(AY966,【参考】排出係数!$AI$4:$AI$671,1),1,BE966):INDEX((係数_バス貨物_ガソリン,係数_バス貨物_CNG,係数_バス貨物_軽油,係数_バス貨物_メタノール,係数_バス貨物_LPG),MATCH(AY966+1,【参考】排出係数!$AI$4:$AI$671,1)-1,5,BE966),3,FALSE),IF(OR(AW966=1,AW966=2),VLOOKUP(AU966,INDEX((係数_乗用_ガソリン,係数_乗用_CNG,係数_乗用_軽油,係数_乗用_メタノール,係数_乗用_LPG),1,1,BE966):INDEX((係数_乗用_ガソリン,係数_乗用_CNG,係数_乗用_軽油,係数_乗用_メタノール,係数_乗用_LPG),125,5,BE966),3,FALSE))))))</f>
        <v/>
      </c>
      <c r="BC966" s="467" t="str">
        <f t="shared" si="558"/>
        <v/>
      </c>
      <c r="BD966" s="567" t="str">
        <f t="shared" si="559"/>
        <v/>
      </c>
      <c r="BE966" s="467" t="str">
        <f t="shared" si="560"/>
        <v/>
      </c>
      <c r="BF966" s="469" t="str">
        <f t="shared" ca="1" si="561"/>
        <v/>
      </c>
      <c r="BG966" s="469" t="str">
        <f t="shared" ca="1" si="562"/>
        <v/>
      </c>
      <c r="BH966" s="467" t="str">
        <f t="shared" si="563"/>
        <v/>
      </c>
      <c r="BI966" s="467" t="str">
        <f t="shared" ca="1" si="564"/>
        <v/>
      </c>
      <c r="BJ966" s="469" t="str">
        <f t="shared" si="565"/>
        <v/>
      </c>
      <c r="BK966" s="470" t="str">
        <f t="shared" si="549"/>
        <v/>
      </c>
      <c r="BL966" s="775" t="str">
        <f t="shared" si="566"/>
        <v/>
      </c>
      <c r="BM966" s="775" t="str">
        <f t="shared" si="567"/>
        <v/>
      </c>
    </row>
    <row r="967" spans="1:65">
      <c r="A967" s="473">
        <v>911</v>
      </c>
      <c r="B967" s="132"/>
      <c r="C967" s="332"/>
      <c r="D967" s="333"/>
      <c r="E967" s="333"/>
      <c r="F967" s="334"/>
      <c r="G967" s="337"/>
      <c r="H967" s="131"/>
      <c r="I967" s="337"/>
      <c r="J967" s="131"/>
      <c r="K967" s="458" t="str">
        <f t="shared" si="530"/>
        <v/>
      </c>
      <c r="L967" s="458">
        <f t="shared" si="531"/>
        <v>0</v>
      </c>
      <c r="M967" s="458">
        <f t="shared" si="532"/>
        <v>0</v>
      </c>
      <c r="N967" s="459" t="str">
        <f t="shared" si="543"/>
        <v/>
      </c>
      <c r="O967" s="459" t="str">
        <f t="shared" si="544"/>
        <v/>
      </c>
      <c r="P967" s="459" t="str">
        <f t="shared" si="545"/>
        <v/>
      </c>
      <c r="Q967" s="459" t="str">
        <f t="shared" si="546"/>
        <v/>
      </c>
      <c r="R967" s="459" t="str">
        <f t="shared" si="547"/>
        <v/>
      </c>
      <c r="S967" s="459" t="str">
        <f t="shared" si="548"/>
        <v/>
      </c>
      <c r="T967" s="566" t="str">
        <f t="shared" si="533"/>
        <v/>
      </c>
      <c r="U967" s="702"/>
      <c r="V967" s="132"/>
      <c r="W967" s="133"/>
      <c r="X967" s="134"/>
      <c r="Y967" s="135"/>
      <c r="Z967" s="137"/>
      <c r="AA967" s="136"/>
      <c r="AB967" s="566" t="str">
        <f t="shared" si="534"/>
        <v/>
      </c>
      <c r="AC967" s="568" t="str">
        <f t="shared" si="535"/>
        <v/>
      </c>
      <c r="AD967" s="137"/>
      <c r="AE967" s="137"/>
      <c r="AF967" s="138"/>
      <c r="AG967" s="138"/>
      <c r="AH967" s="592" t="str">
        <f t="shared" si="536"/>
        <v/>
      </c>
      <c r="AI967" s="592" t="str">
        <f t="shared" si="537"/>
        <v/>
      </c>
      <c r="AJ967" s="592" t="str">
        <f t="shared" si="538"/>
        <v/>
      </c>
      <c r="AK967" s="460" t="str">
        <f>IF(AU967="","",IF(OR(AZ967=8,AZ967=9),0,IF(OR(AW967=3,AW967=4,AW967=5,AW967=6),IF(LEFT(BF967,1)="1",INDEX(係数_NOX・PM低減,MATCH(AY967,【参考】排出係数!$AI$801:$AI$804,1),1),VLOOKUP(AU967,INDEX((係数_バス貨物_ガソリン,係数_バス貨物_CNG,係数_バス貨物_軽油,係数_バス貨物_メタノール,係数_バス貨物_LPG),MATCH(AY967,【参考】排出係数!$AI$4:$AI$671,1),1,BE967):INDEX((係数_バス貨物_ガソリン,係数_バス貨物_CNG,係数_バス貨物_軽油,係数_バス貨物_メタノール,係数_バス貨物_LPG),MATCH(AY967+1,【参考】排出係数!$AI$4:$AI$671,1)-1,5,BE967),4,FALSE)),IF(AND(BE967=3,LEFT(BF967,1)="1"),0.48,VLOOKUP(AU967,INDEX((係数_乗用_ガソリン,係数_乗用_CNG,係数_乗用_軽油,係数_乗用_メタノール,係数_乗用_LPG),1,1,BE967):INDEX((係数_乗用_ガソリン,係数_乗用_CNG,係数_乗用_軽油,係数_乗用_メタノール,係数_乗用_LPG),125,5,BE967),4,FALSE)))))</f>
        <v/>
      </c>
      <c r="AL967" s="461" t="str">
        <f t="shared" si="539"/>
        <v/>
      </c>
      <c r="AM967" s="460" t="str">
        <f>IF(AU967="","",IF(OR(AZ967=8,AZ967=9),0,IF(OR(AW967=3,AW967=4,AW967=5,AW967=6),IF(LEFT(BH967,1)="1",INDEX(係数_PM低減,MATCH(AY967,【参考】排出係数!$AI$801:$AI$804,1),MATCH(BI967,【参考】排出係数!$AL$798:$AO$798,1)),VLOOKUP(AU967,INDEX((係数_バス貨物_ガソリン,係数_バス貨物_CNG,係数_バス貨物_軽油,係数_バス貨物_メタノール,係数_バス貨物_LPG),MATCH(AY967,【参考】排出係数!$AI$4:$AI$671,1),1,BE967):INDEX((係数_バス貨物_ガソリン,係数_バス貨物_CNG,係数_バス貨物_軽油,係数_バス貨物_メタノール,係数_バス貨物_LPG),MATCH(AY967+1,【参考】排出係数!$AI$4:$AI$671,1)-1,5,BE967),5,FALSE)),IF(AND(BE967=3,LEFT(BF967,1)="1"),0.055,VLOOKUP(AU967,INDEX((係数_乗用_ガソリン,係数_乗用_CNG,係数_乗用_軽油,係数_乗用_メタノール,係数_乗用_LPG),1,1,BE967):INDEX((係数_乗用_ガソリン,係数_乗用_CNG,係数_乗用_軽油,係数_乗用_メタノール,係数_乗用_LPG),125,5,BE967),5,FALSE)))))</f>
        <v/>
      </c>
      <c r="AN967" s="461" t="str">
        <f t="shared" si="540"/>
        <v/>
      </c>
      <c r="AO967" s="462" t="str">
        <f t="shared" si="541"/>
        <v/>
      </c>
      <c r="AP967" s="463" t="str">
        <f t="shared" si="542"/>
        <v/>
      </c>
      <c r="AQ967" s="464"/>
      <c r="AR967" s="619"/>
      <c r="AS967" s="465" t="str">
        <f t="shared" si="550"/>
        <v/>
      </c>
      <c r="AT967" s="465" t="str">
        <f t="shared" si="551"/>
        <v/>
      </c>
      <c r="AU967" s="466" t="str">
        <f t="shared" si="552"/>
        <v/>
      </c>
      <c r="AV967" s="467" t="str">
        <f t="shared" si="553"/>
        <v/>
      </c>
      <c r="AW967" s="467" t="str">
        <f t="shared" si="554"/>
        <v/>
      </c>
      <c r="AX967" s="467" t="str">
        <f t="shared" si="555"/>
        <v/>
      </c>
      <c r="AY967" s="467" t="str">
        <f t="shared" si="556"/>
        <v/>
      </c>
      <c r="AZ967" s="467" t="str">
        <f t="shared" si="557"/>
        <v/>
      </c>
      <c r="BA967" s="468" t="str">
        <f>IF(AS967="","",IF(OR(AU967="",AU967="-"),"－",IF(OR(AZ967=8,AZ967=9),"",IF(OR(AW967=3,AW967=4,AW967=5,AW967=6),VLOOKUP(AU967,INDEX((係数_バス貨物_ガソリン,係数_バス貨物_CNG,係数_バス貨物_軽油,係数_バス貨物_メタノール,係数_バス貨物_LPG),MATCH(AY967,【参考】排出係数!$AI$4:$AI$671,1),1,BE967):INDEX((係数_バス貨物_ガソリン,係数_バス貨物_CNG,係数_バス貨物_軽油,係数_バス貨物_メタノール,係数_バス貨物_LPG),MATCH(AY967+1,【参考】排出係数!$AI$4:$AI$671,1)-1,5,BE967),2,FALSE),IF(OR(AW967=1,AW967=2),VLOOKUP(AU967,INDEX((係数_乗用_ガソリン,係数_乗用_CNG,係数_乗用_軽油,係数_乗用_メタノール,係数_乗用_LPG),1,1,BE967):INDEX((係数_乗用_ガソリン,係数_乗用_CNG,係数_乗用_軽油,係数_乗用_メタノール,係数_乗用_LPG),125,5,BE967),2,FALSE))))))</f>
        <v/>
      </c>
      <c r="BB967" s="468" t="str">
        <f>IF(T967="","",IF(OR(AU967="",AU967="-"),"－",IF(OR(AZ967=8,AZ967=9),"",IF(OR(AW967=3,AW967=4,AW967=5,AW967=6),VLOOKUP(AU967,INDEX((係数_バス貨物_ガソリン,係数_バス貨物_CNG,係数_バス貨物_軽油,係数_バス貨物_メタノール,係数_バス貨物_LPG),MATCH(AY967,【参考】排出係数!$AI$4:$AI$671,1),1,BE967):INDEX((係数_バス貨物_ガソリン,係数_バス貨物_CNG,係数_バス貨物_軽油,係数_バス貨物_メタノール,係数_バス貨物_LPG),MATCH(AY967+1,【参考】排出係数!$AI$4:$AI$671,1)-1,5,BE967),3,FALSE),IF(OR(AW967=1,AW967=2),VLOOKUP(AU967,INDEX((係数_乗用_ガソリン,係数_乗用_CNG,係数_乗用_軽油,係数_乗用_メタノール,係数_乗用_LPG),1,1,BE967):INDEX((係数_乗用_ガソリン,係数_乗用_CNG,係数_乗用_軽油,係数_乗用_メタノール,係数_乗用_LPG),125,5,BE967),3,FALSE))))))</f>
        <v/>
      </c>
      <c r="BC967" s="467" t="str">
        <f t="shared" si="558"/>
        <v/>
      </c>
      <c r="BD967" s="567" t="str">
        <f t="shared" si="559"/>
        <v/>
      </c>
      <c r="BE967" s="467" t="str">
        <f t="shared" si="560"/>
        <v/>
      </c>
      <c r="BF967" s="469" t="str">
        <f t="shared" ca="1" si="561"/>
        <v/>
      </c>
      <c r="BG967" s="469" t="str">
        <f t="shared" ca="1" si="562"/>
        <v/>
      </c>
      <c r="BH967" s="467" t="str">
        <f t="shared" si="563"/>
        <v/>
      </c>
      <c r="BI967" s="467" t="str">
        <f t="shared" ca="1" si="564"/>
        <v/>
      </c>
      <c r="BJ967" s="469" t="str">
        <f t="shared" si="565"/>
        <v/>
      </c>
      <c r="BK967" s="470" t="str">
        <f t="shared" si="549"/>
        <v/>
      </c>
      <c r="BL967" s="775" t="str">
        <f t="shared" si="566"/>
        <v/>
      </c>
      <c r="BM967" s="775" t="str">
        <f t="shared" si="567"/>
        <v/>
      </c>
    </row>
    <row r="968" spans="1:65">
      <c r="A968" s="473">
        <v>912</v>
      </c>
      <c r="B968" s="132"/>
      <c r="C968" s="332"/>
      <c r="D968" s="333"/>
      <c r="E968" s="333"/>
      <c r="F968" s="334"/>
      <c r="G968" s="337"/>
      <c r="H968" s="131"/>
      <c r="I968" s="337"/>
      <c r="J968" s="131"/>
      <c r="K968" s="458" t="str">
        <f t="shared" si="530"/>
        <v/>
      </c>
      <c r="L968" s="458">
        <f t="shared" si="531"/>
        <v>0</v>
      </c>
      <c r="M968" s="458">
        <f t="shared" si="532"/>
        <v>0</v>
      </c>
      <c r="N968" s="459" t="str">
        <f t="shared" si="543"/>
        <v/>
      </c>
      <c r="O968" s="459" t="str">
        <f t="shared" si="544"/>
        <v/>
      </c>
      <c r="P968" s="459" t="str">
        <f t="shared" si="545"/>
        <v/>
      </c>
      <c r="Q968" s="459" t="str">
        <f t="shared" si="546"/>
        <v/>
      </c>
      <c r="R968" s="459" t="str">
        <f t="shared" si="547"/>
        <v/>
      </c>
      <c r="S968" s="459" t="str">
        <f t="shared" si="548"/>
        <v/>
      </c>
      <c r="T968" s="566" t="str">
        <f t="shared" si="533"/>
        <v/>
      </c>
      <c r="U968" s="702"/>
      <c r="V968" s="132"/>
      <c r="W968" s="133"/>
      <c r="X968" s="134"/>
      <c r="Y968" s="135"/>
      <c r="Z968" s="137"/>
      <c r="AA968" s="136"/>
      <c r="AB968" s="566" t="str">
        <f t="shared" si="534"/>
        <v/>
      </c>
      <c r="AC968" s="568" t="str">
        <f t="shared" si="535"/>
        <v/>
      </c>
      <c r="AD968" s="137"/>
      <c r="AE968" s="137"/>
      <c r="AF968" s="138"/>
      <c r="AG968" s="138"/>
      <c r="AH968" s="592" t="str">
        <f t="shared" si="536"/>
        <v/>
      </c>
      <c r="AI968" s="592" t="str">
        <f t="shared" si="537"/>
        <v/>
      </c>
      <c r="AJ968" s="592" t="str">
        <f t="shared" si="538"/>
        <v/>
      </c>
      <c r="AK968" s="460" t="str">
        <f>IF(AU968="","",IF(OR(AZ968=8,AZ968=9),0,IF(OR(AW968=3,AW968=4,AW968=5,AW968=6),IF(LEFT(BF968,1)="1",INDEX(係数_NOX・PM低減,MATCH(AY968,【参考】排出係数!$AI$801:$AI$804,1),1),VLOOKUP(AU968,INDEX((係数_バス貨物_ガソリン,係数_バス貨物_CNG,係数_バス貨物_軽油,係数_バス貨物_メタノール,係数_バス貨物_LPG),MATCH(AY968,【参考】排出係数!$AI$4:$AI$671,1),1,BE968):INDEX((係数_バス貨物_ガソリン,係数_バス貨物_CNG,係数_バス貨物_軽油,係数_バス貨物_メタノール,係数_バス貨物_LPG),MATCH(AY968+1,【参考】排出係数!$AI$4:$AI$671,1)-1,5,BE968),4,FALSE)),IF(AND(BE968=3,LEFT(BF968,1)="1"),0.48,VLOOKUP(AU968,INDEX((係数_乗用_ガソリン,係数_乗用_CNG,係数_乗用_軽油,係数_乗用_メタノール,係数_乗用_LPG),1,1,BE968):INDEX((係数_乗用_ガソリン,係数_乗用_CNG,係数_乗用_軽油,係数_乗用_メタノール,係数_乗用_LPG),125,5,BE968),4,FALSE)))))</f>
        <v/>
      </c>
      <c r="AL968" s="461" t="str">
        <f t="shared" si="539"/>
        <v/>
      </c>
      <c r="AM968" s="460" t="str">
        <f>IF(AU968="","",IF(OR(AZ968=8,AZ968=9),0,IF(OR(AW968=3,AW968=4,AW968=5,AW968=6),IF(LEFT(BH968,1)="1",INDEX(係数_PM低減,MATCH(AY968,【参考】排出係数!$AI$801:$AI$804,1),MATCH(BI968,【参考】排出係数!$AL$798:$AO$798,1)),VLOOKUP(AU968,INDEX((係数_バス貨物_ガソリン,係数_バス貨物_CNG,係数_バス貨物_軽油,係数_バス貨物_メタノール,係数_バス貨物_LPG),MATCH(AY968,【参考】排出係数!$AI$4:$AI$671,1),1,BE968):INDEX((係数_バス貨物_ガソリン,係数_バス貨物_CNG,係数_バス貨物_軽油,係数_バス貨物_メタノール,係数_バス貨物_LPG),MATCH(AY968+1,【参考】排出係数!$AI$4:$AI$671,1)-1,5,BE968),5,FALSE)),IF(AND(BE968=3,LEFT(BF968,1)="1"),0.055,VLOOKUP(AU968,INDEX((係数_乗用_ガソリン,係数_乗用_CNG,係数_乗用_軽油,係数_乗用_メタノール,係数_乗用_LPG),1,1,BE968):INDEX((係数_乗用_ガソリン,係数_乗用_CNG,係数_乗用_軽油,係数_乗用_メタノール,係数_乗用_LPG),125,5,BE968),5,FALSE)))))</f>
        <v/>
      </c>
      <c r="AN968" s="461" t="str">
        <f t="shared" si="540"/>
        <v/>
      </c>
      <c r="AO968" s="462" t="str">
        <f t="shared" si="541"/>
        <v/>
      </c>
      <c r="AP968" s="463" t="str">
        <f t="shared" si="542"/>
        <v/>
      </c>
      <c r="AQ968" s="464"/>
      <c r="AR968" s="619"/>
      <c r="AS968" s="465" t="str">
        <f t="shared" si="550"/>
        <v/>
      </c>
      <c r="AT968" s="465" t="str">
        <f t="shared" si="551"/>
        <v/>
      </c>
      <c r="AU968" s="466" t="str">
        <f t="shared" si="552"/>
        <v/>
      </c>
      <c r="AV968" s="467" t="str">
        <f t="shared" si="553"/>
        <v/>
      </c>
      <c r="AW968" s="467" t="str">
        <f t="shared" si="554"/>
        <v/>
      </c>
      <c r="AX968" s="467" t="str">
        <f t="shared" si="555"/>
        <v/>
      </c>
      <c r="AY968" s="467" t="str">
        <f t="shared" si="556"/>
        <v/>
      </c>
      <c r="AZ968" s="467" t="str">
        <f t="shared" si="557"/>
        <v/>
      </c>
      <c r="BA968" s="468" t="str">
        <f>IF(AS968="","",IF(OR(AU968="",AU968="-"),"－",IF(OR(AZ968=8,AZ968=9),"",IF(OR(AW968=3,AW968=4,AW968=5,AW968=6),VLOOKUP(AU968,INDEX((係数_バス貨物_ガソリン,係数_バス貨物_CNG,係数_バス貨物_軽油,係数_バス貨物_メタノール,係数_バス貨物_LPG),MATCH(AY968,【参考】排出係数!$AI$4:$AI$671,1),1,BE968):INDEX((係数_バス貨物_ガソリン,係数_バス貨物_CNG,係数_バス貨物_軽油,係数_バス貨物_メタノール,係数_バス貨物_LPG),MATCH(AY968+1,【参考】排出係数!$AI$4:$AI$671,1)-1,5,BE968),2,FALSE),IF(OR(AW968=1,AW968=2),VLOOKUP(AU968,INDEX((係数_乗用_ガソリン,係数_乗用_CNG,係数_乗用_軽油,係数_乗用_メタノール,係数_乗用_LPG),1,1,BE968):INDEX((係数_乗用_ガソリン,係数_乗用_CNG,係数_乗用_軽油,係数_乗用_メタノール,係数_乗用_LPG),125,5,BE968),2,FALSE))))))</f>
        <v/>
      </c>
      <c r="BB968" s="468" t="str">
        <f>IF(T968="","",IF(OR(AU968="",AU968="-"),"－",IF(OR(AZ968=8,AZ968=9),"",IF(OR(AW968=3,AW968=4,AW968=5,AW968=6),VLOOKUP(AU968,INDEX((係数_バス貨物_ガソリン,係数_バス貨物_CNG,係数_バス貨物_軽油,係数_バス貨物_メタノール,係数_バス貨物_LPG),MATCH(AY968,【参考】排出係数!$AI$4:$AI$671,1),1,BE968):INDEX((係数_バス貨物_ガソリン,係数_バス貨物_CNG,係数_バス貨物_軽油,係数_バス貨物_メタノール,係数_バス貨物_LPG),MATCH(AY968+1,【参考】排出係数!$AI$4:$AI$671,1)-1,5,BE968),3,FALSE),IF(OR(AW968=1,AW968=2),VLOOKUP(AU968,INDEX((係数_乗用_ガソリン,係数_乗用_CNG,係数_乗用_軽油,係数_乗用_メタノール,係数_乗用_LPG),1,1,BE968):INDEX((係数_乗用_ガソリン,係数_乗用_CNG,係数_乗用_軽油,係数_乗用_メタノール,係数_乗用_LPG),125,5,BE968),3,FALSE))))))</f>
        <v/>
      </c>
      <c r="BC968" s="467" t="str">
        <f t="shared" si="558"/>
        <v/>
      </c>
      <c r="BD968" s="567" t="str">
        <f t="shared" si="559"/>
        <v/>
      </c>
      <c r="BE968" s="467" t="str">
        <f t="shared" si="560"/>
        <v/>
      </c>
      <c r="BF968" s="469" t="str">
        <f t="shared" ca="1" si="561"/>
        <v/>
      </c>
      <c r="BG968" s="469" t="str">
        <f t="shared" ca="1" si="562"/>
        <v/>
      </c>
      <c r="BH968" s="467" t="str">
        <f t="shared" si="563"/>
        <v/>
      </c>
      <c r="BI968" s="467" t="str">
        <f t="shared" ca="1" si="564"/>
        <v/>
      </c>
      <c r="BJ968" s="469" t="str">
        <f t="shared" si="565"/>
        <v/>
      </c>
      <c r="BK968" s="470" t="str">
        <f t="shared" si="549"/>
        <v/>
      </c>
      <c r="BL968" s="775" t="str">
        <f t="shared" si="566"/>
        <v/>
      </c>
      <c r="BM968" s="775" t="str">
        <f t="shared" si="567"/>
        <v/>
      </c>
    </row>
    <row r="969" spans="1:65">
      <c r="A969" s="473">
        <v>913</v>
      </c>
      <c r="B969" s="132"/>
      <c r="C969" s="332"/>
      <c r="D969" s="333"/>
      <c r="E969" s="333"/>
      <c r="F969" s="334"/>
      <c r="G969" s="337"/>
      <c r="H969" s="131"/>
      <c r="I969" s="337"/>
      <c r="J969" s="131"/>
      <c r="K969" s="458" t="str">
        <f t="shared" si="530"/>
        <v/>
      </c>
      <c r="L969" s="458">
        <f t="shared" si="531"/>
        <v>0</v>
      </c>
      <c r="M969" s="458">
        <f t="shared" si="532"/>
        <v>0</v>
      </c>
      <c r="N969" s="459" t="str">
        <f t="shared" si="543"/>
        <v/>
      </c>
      <c r="O969" s="459" t="str">
        <f t="shared" si="544"/>
        <v/>
      </c>
      <c r="P969" s="459" t="str">
        <f t="shared" si="545"/>
        <v/>
      </c>
      <c r="Q969" s="459" t="str">
        <f t="shared" si="546"/>
        <v/>
      </c>
      <c r="R969" s="459" t="str">
        <f t="shared" si="547"/>
        <v/>
      </c>
      <c r="S969" s="459" t="str">
        <f t="shared" si="548"/>
        <v/>
      </c>
      <c r="T969" s="566" t="str">
        <f t="shared" si="533"/>
        <v/>
      </c>
      <c r="U969" s="702"/>
      <c r="V969" s="132"/>
      <c r="W969" s="133"/>
      <c r="X969" s="134"/>
      <c r="Y969" s="135"/>
      <c r="Z969" s="137"/>
      <c r="AA969" s="136"/>
      <c r="AB969" s="566" t="str">
        <f t="shared" si="534"/>
        <v/>
      </c>
      <c r="AC969" s="568" t="str">
        <f t="shared" si="535"/>
        <v/>
      </c>
      <c r="AD969" s="137"/>
      <c r="AE969" s="137"/>
      <c r="AF969" s="138"/>
      <c r="AG969" s="138"/>
      <c r="AH969" s="592" t="str">
        <f t="shared" si="536"/>
        <v/>
      </c>
      <c r="AI969" s="592" t="str">
        <f t="shared" si="537"/>
        <v/>
      </c>
      <c r="AJ969" s="592" t="str">
        <f t="shared" si="538"/>
        <v/>
      </c>
      <c r="AK969" s="460" t="str">
        <f>IF(AU969="","",IF(OR(AZ969=8,AZ969=9),0,IF(OR(AW969=3,AW969=4,AW969=5,AW969=6),IF(LEFT(BF969,1)="1",INDEX(係数_NOX・PM低減,MATCH(AY969,【参考】排出係数!$AI$801:$AI$804,1),1),VLOOKUP(AU969,INDEX((係数_バス貨物_ガソリン,係数_バス貨物_CNG,係数_バス貨物_軽油,係数_バス貨物_メタノール,係数_バス貨物_LPG),MATCH(AY969,【参考】排出係数!$AI$4:$AI$671,1),1,BE969):INDEX((係数_バス貨物_ガソリン,係数_バス貨物_CNG,係数_バス貨物_軽油,係数_バス貨物_メタノール,係数_バス貨物_LPG),MATCH(AY969+1,【参考】排出係数!$AI$4:$AI$671,1)-1,5,BE969),4,FALSE)),IF(AND(BE969=3,LEFT(BF969,1)="1"),0.48,VLOOKUP(AU969,INDEX((係数_乗用_ガソリン,係数_乗用_CNG,係数_乗用_軽油,係数_乗用_メタノール,係数_乗用_LPG),1,1,BE969):INDEX((係数_乗用_ガソリン,係数_乗用_CNG,係数_乗用_軽油,係数_乗用_メタノール,係数_乗用_LPG),125,5,BE969),4,FALSE)))))</f>
        <v/>
      </c>
      <c r="AL969" s="461" t="str">
        <f t="shared" si="539"/>
        <v/>
      </c>
      <c r="AM969" s="460" t="str">
        <f>IF(AU969="","",IF(OR(AZ969=8,AZ969=9),0,IF(OR(AW969=3,AW969=4,AW969=5,AW969=6),IF(LEFT(BH969,1)="1",INDEX(係数_PM低減,MATCH(AY969,【参考】排出係数!$AI$801:$AI$804,1),MATCH(BI969,【参考】排出係数!$AL$798:$AO$798,1)),VLOOKUP(AU969,INDEX((係数_バス貨物_ガソリン,係数_バス貨物_CNG,係数_バス貨物_軽油,係数_バス貨物_メタノール,係数_バス貨物_LPG),MATCH(AY969,【参考】排出係数!$AI$4:$AI$671,1),1,BE969):INDEX((係数_バス貨物_ガソリン,係数_バス貨物_CNG,係数_バス貨物_軽油,係数_バス貨物_メタノール,係数_バス貨物_LPG),MATCH(AY969+1,【参考】排出係数!$AI$4:$AI$671,1)-1,5,BE969),5,FALSE)),IF(AND(BE969=3,LEFT(BF969,1)="1"),0.055,VLOOKUP(AU969,INDEX((係数_乗用_ガソリン,係数_乗用_CNG,係数_乗用_軽油,係数_乗用_メタノール,係数_乗用_LPG),1,1,BE969):INDEX((係数_乗用_ガソリン,係数_乗用_CNG,係数_乗用_軽油,係数_乗用_メタノール,係数_乗用_LPG),125,5,BE969),5,FALSE)))))</f>
        <v/>
      </c>
      <c r="AN969" s="461" t="str">
        <f t="shared" si="540"/>
        <v/>
      </c>
      <c r="AO969" s="462" t="str">
        <f t="shared" si="541"/>
        <v/>
      </c>
      <c r="AP969" s="463" t="str">
        <f t="shared" si="542"/>
        <v/>
      </c>
      <c r="AQ969" s="464"/>
      <c r="AR969" s="619"/>
      <c r="AS969" s="465" t="str">
        <f t="shared" si="550"/>
        <v/>
      </c>
      <c r="AT969" s="465" t="str">
        <f t="shared" si="551"/>
        <v/>
      </c>
      <c r="AU969" s="466" t="str">
        <f t="shared" si="552"/>
        <v/>
      </c>
      <c r="AV969" s="467" t="str">
        <f t="shared" si="553"/>
        <v/>
      </c>
      <c r="AW969" s="467" t="str">
        <f t="shared" si="554"/>
        <v/>
      </c>
      <c r="AX969" s="467" t="str">
        <f t="shared" si="555"/>
        <v/>
      </c>
      <c r="AY969" s="467" t="str">
        <f t="shared" si="556"/>
        <v/>
      </c>
      <c r="AZ969" s="467" t="str">
        <f t="shared" si="557"/>
        <v/>
      </c>
      <c r="BA969" s="468" t="str">
        <f>IF(AS969="","",IF(OR(AU969="",AU969="-"),"－",IF(OR(AZ969=8,AZ969=9),"",IF(OR(AW969=3,AW969=4,AW969=5,AW969=6),VLOOKUP(AU969,INDEX((係数_バス貨物_ガソリン,係数_バス貨物_CNG,係数_バス貨物_軽油,係数_バス貨物_メタノール,係数_バス貨物_LPG),MATCH(AY969,【参考】排出係数!$AI$4:$AI$671,1),1,BE969):INDEX((係数_バス貨物_ガソリン,係数_バス貨物_CNG,係数_バス貨物_軽油,係数_バス貨物_メタノール,係数_バス貨物_LPG),MATCH(AY969+1,【参考】排出係数!$AI$4:$AI$671,1)-1,5,BE969),2,FALSE),IF(OR(AW969=1,AW969=2),VLOOKUP(AU969,INDEX((係数_乗用_ガソリン,係数_乗用_CNG,係数_乗用_軽油,係数_乗用_メタノール,係数_乗用_LPG),1,1,BE969):INDEX((係数_乗用_ガソリン,係数_乗用_CNG,係数_乗用_軽油,係数_乗用_メタノール,係数_乗用_LPG),125,5,BE969),2,FALSE))))))</f>
        <v/>
      </c>
      <c r="BB969" s="468" t="str">
        <f>IF(T969="","",IF(OR(AU969="",AU969="-"),"－",IF(OR(AZ969=8,AZ969=9),"",IF(OR(AW969=3,AW969=4,AW969=5,AW969=6),VLOOKUP(AU969,INDEX((係数_バス貨物_ガソリン,係数_バス貨物_CNG,係数_バス貨物_軽油,係数_バス貨物_メタノール,係数_バス貨物_LPG),MATCH(AY969,【参考】排出係数!$AI$4:$AI$671,1),1,BE969):INDEX((係数_バス貨物_ガソリン,係数_バス貨物_CNG,係数_バス貨物_軽油,係数_バス貨物_メタノール,係数_バス貨物_LPG),MATCH(AY969+1,【参考】排出係数!$AI$4:$AI$671,1)-1,5,BE969),3,FALSE),IF(OR(AW969=1,AW969=2),VLOOKUP(AU969,INDEX((係数_乗用_ガソリン,係数_乗用_CNG,係数_乗用_軽油,係数_乗用_メタノール,係数_乗用_LPG),1,1,BE969):INDEX((係数_乗用_ガソリン,係数_乗用_CNG,係数_乗用_軽油,係数_乗用_メタノール,係数_乗用_LPG),125,5,BE969),3,FALSE))))))</f>
        <v/>
      </c>
      <c r="BC969" s="467" t="str">
        <f t="shared" si="558"/>
        <v/>
      </c>
      <c r="BD969" s="567" t="str">
        <f t="shared" si="559"/>
        <v/>
      </c>
      <c r="BE969" s="467" t="str">
        <f t="shared" si="560"/>
        <v/>
      </c>
      <c r="BF969" s="469" t="str">
        <f t="shared" ca="1" si="561"/>
        <v/>
      </c>
      <c r="BG969" s="469" t="str">
        <f t="shared" ca="1" si="562"/>
        <v/>
      </c>
      <c r="BH969" s="467" t="str">
        <f t="shared" si="563"/>
        <v/>
      </c>
      <c r="BI969" s="467" t="str">
        <f t="shared" ca="1" si="564"/>
        <v/>
      </c>
      <c r="BJ969" s="469" t="str">
        <f t="shared" si="565"/>
        <v/>
      </c>
      <c r="BK969" s="470" t="str">
        <f t="shared" si="549"/>
        <v/>
      </c>
      <c r="BL969" s="775" t="str">
        <f t="shared" si="566"/>
        <v/>
      </c>
      <c r="BM969" s="775" t="str">
        <f t="shared" si="567"/>
        <v/>
      </c>
    </row>
    <row r="970" spans="1:65">
      <c r="A970" s="473">
        <v>914</v>
      </c>
      <c r="B970" s="132"/>
      <c r="C970" s="332"/>
      <c r="D970" s="333"/>
      <c r="E970" s="333"/>
      <c r="F970" s="334"/>
      <c r="G970" s="337"/>
      <c r="H970" s="131"/>
      <c r="I970" s="337"/>
      <c r="J970" s="131"/>
      <c r="K970" s="458" t="str">
        <f t="shared" si="530"/>
        <v/>
      </c>
      <c r="L970" s="458">
        <f t="shared" si="531"/>
        <v>0</v>
      </c>
      <c r="M970" s="458">
        <f t="shared" si="532"/>
        <v>0</v>
      </c>
      <c r="N970" s="459" t="str">
        <f t="shared" si="543"/>
        <v/>
      </c>
      <c r="O970" s="459" t="str">
        <f t="shared" si="544"/>
        <v/>
      </c>
      <c r="P970" s="459" t="str">
        <f t="shared" si="545"/>
        <v/>
      </c>
      <c r="Q970" s="459" t="str">
        <f t="shared" si="546"/>
        <v/>
      </c>
      <c r="R970" s="459" t="str">
        <f t="shared" si="547"/>
        <v/>
      </c>
      <c r="S970" s="459" t="str">
        <f t="shared" si="548"/>
        <v/>
      </c>
      <c r="T970" s="566" t="str">
        <f t="shared" si="533"/>
        <v/>
      </c>
      <c r="U970" s="702"/>
      <c r="V970" s="132"/>
      <c r="W970" s="133"/>
      <c r="X970" s="134"/>
      <c r="Y970" s="135"/>
      <c r="Z970" s="137"/>
      <c r="AA970" s="136"/>
      <c r="AB970" s="566" t="str">
        <f t="shared" si="534"/>
        <v/>
      </c>
      <c r="AC970" s="568" t="str">
        <f t="shared" si="535"/>
        <v/>
      </c>
      <c r="AD970" s="137"/>
      <c r="AE970" s="137"/>
      <c r="AF970" s="138"/>
      <c r="AG970" s="138"/>
      <c r="AH970" s="592" t="str">
        <f t="shared" si="536"/>
        <v/>
      </c>
      <c r="AI970" s="592" t="str">
        <f t="shared" si="537"/>
        <v/>
      </c>
      <c r="AJ970" s="592" t="str">
        <f t="shared" si="538"/>
        <v/>
      </c>
      <c r="AK970" s="460" t="str">
        <f>IF(AU970="","",IF(OR(AZ970=8,AZ970=9),0,IF(OR(AW970=3,AW970=4,AW970=5,AW970=6),IF(LEFT(BF970,1)="1",INDEX(係数_NOX・PM低減,MATCH(AY970,【参考】排出係数!$AI$801:$AI$804,1),1),VLOOKUP(AU970,INDEX((係数_バス貨物_ガソリン,係数_バス貨物_CNG,係数_バス貨物_軽油,係数_バス貨物_メタノール,係数_バス貨物_LPG),MATCH(AY970,【参考】排出係数!$AI$4:$AI$671,1),1,BE970):INDEX((係数_バス貨物_ガソリン,係数_バス貨物_CNG,係数_バス貨物_軽油,係数_バス貨物_メタノール,係数_バス貨物_LPG),MATCH(AY970+1,【参考】排出係数!$AI$4:$AI$671,1)-1,5,BE970),4,FALSE)),IF(AND(BE970=3,LEFT(BF970,1)="1"),0.48,VLOOKUP(AU970,INDEX((係数_乗用_ガソリン,係数_乗用_CNG,係数_乗用_軽油,係数_乗用_メタノール,係数_乗用_LPG),1,1,BE970):INDEX((係数_乗用_ガソリン,係数_乗用_CNG,係数_乗用_軽油,係数_乗用_メタノール,係数_乗用_LPG),125,5,BE970),4,FALSE)))))</f>
        <v/>
      </c>
      <c r="AL970" s="461" t="str">
        <f t="shared" si="539"/>
        <v/>
      </c>
      <c r="AM970" s="460" t="str">
        <f>IF(AU970="","",IF(OR(AZ970=8,AZ970=9),0,IF(OR(AW970=3,AW970=4,AW970=5,AW970=6),IF(LEFT(BH970,1)="1",INDEX(係数_PM低減,MATCH(AY970,【参考】排出係数!$AI$801:$AI$804,1),MATCH(BI970,【参考】排出係数!$AL$798:$AO$798,1)),VLOOKUP(AU970,INDEX((係数_バス貨物_ガソリン,係数_バス貨物_CNG,係数_バス貨物_軽油,係数_バス貨物_メタノール,係数_バス貨物_LPG),MATCH(AY970,【参考】排出係数!$AI$4:$AI$671,1),1,BE970):INDEX((係数_バス貨物_ガソリン,係数_バス貨物_CNG,係数_バス貨物_軽油,係数_バス貨物_メタノール,係数_バス貨物_LPG),MATCH(AY970+1,【参考】排出係数!$AI$4:$AI$671,1)-1,5,BE970),5,FALSE)),IF(AND(BE970=3,LEFT(BF970,1)="1"),0.055,VLOOKUP(AU970,INDEX((係数_乗用_ガソリン,係数_乗用_CNG,係数_乗用_軽油,係数_乗用_メタノール,係数_乗用_LPG),1,1,BE970):INDEX((係数_乗用_ガソリン,係数_乗用_CNG,係数_乗用_軽油,係数_乗用_メタノール,係数_乗用_LPG),125,5,BE970),5,FALSE)))))</f>
        <v/>
      </c>
      <c r="AN970" s="461" t="str">
        <f t="shared" si="540"/>
        <v/>
      </c>
      <c r="AO970" s="462" t="str">
        <f t="shared" si="541"/>
        <v/>
      </c>
      <c r="AP970" s="463" t="str">
        <f t="shared" si="542"/>
        <v/>
      </c>
      <c r="AQ970" s="464"/>
      <c r="AR970" s="619"/>
      <c r="AS970" s="465" t="str">
        <f t="shared" si="550"/>
        <v/>
      </c>
      <c r="AT970" s="465" t="str">
        <f t="shared" si="551"/>
        <v/>
      </c>
      <c r="AU970" s="466" t="str">
        <f t="shared" si="552"/>
        <v/>
      </c>
      <c r="AV970" s="467" t="str">
        <f t="shared" si="553"/>
        <v/>
      </c>
      <c r="AW970" s="467" t="str">
        <f t="shared" si="554"/>
        <v/>
      </c>
      <c r="AX970" s="467" t="str">
        <f t="shared" si="555"/>
        <v/>
      </c>
      <c r="AY970" s="467" t="str">
        <f t="shared" si="556"/>
        <v/>
      </c>
      <c r="AZ970" s="467" t="str">
        <f t="shared" si="557"/>
        <v/>
      </c>
      <c r="BA970" s="468" t="str">
        <f>IF(AS970="","",IF(OR(AU970="",AU970="-"),"－",IF(OR(AZ970=8,AZ970=9),"",IF(OR(AW970=3,AW970=4,AW970=5,AW970=6),VLOOKUP(AU970,INDEX((係数_バス貨物_ガソリン,係数_バス貨物_CNG,係数_バス貨物_軽油,係数_バス貨物_メタノール,係数_バス貨物_LPG),MATCH(AY970,【参考】排出係数!$AI$4:$AI$671,1),1,BE970):INDEX((係数_バス貨物_ガソリン,係数_バス貨物_CNG,係数_バス貨物_軽油,係数_バス貨物_メタノール,係数_バス貨物_LPG),MATCH(AY970+1,【参考】排出係数!$AI$4:$AI$671,1)-1,5,BE970),2,FALSE),IF(OR(AW970=1,AW970=2),VLOOKUP(AU970,INDEX((係数_乗用_ガソリン,係数_乗用_CNG,係数_乗用_軽油,係数_乗用_メタノール,係数_乗用_LPG),1,1,BE970):INDEX((係数_乗用_ガソリン,係数_乗用_CNG,係数_乗用_軽油,係数_乗用_メタノール,係数_乗用_LPG),125,5,BE970),2,FALSE))))))</f>
        <v/>
      </c>
      <c r="BB970" s="468" t="str">
        <f>IF(T970="","",IF(OR(AU970="",AU970="-"),"－",IF(OR(AZ970=8,AZ970=9),"",IF(OR(AW970=3,AW970=4,AW970=5,AW970=6),VLOOKUP(AU970,INDEX((係数_バス貨物_ガソリン,係数_バス貨物_CNG,係数_バス貨物_軽油,係数_バス貨物_メタノール,係数_バス貨物_LPG),MATCH(AY970,【参考】排出係数!$AI$4:$AI$671,1),1,BE970):INDEX((係数_バス貨物_ガソリン,係数_バス貨物_CNG,係数_バス貨物_軽油,係数_バス貨物_メタノール,係数_バス貨物_LPG),MATCH(AY970+1,【参考】排出係数!$AI$4:$AI$671,1)-1,5,BE970),3,FALSE),IF(OR(AW970=1,AW970=2),VLOOKUP(AU970,INDEX((係数_乗用_ガソリン,係数_乗用_CNG,係数_乗用_軽油,係数_乗用_メタノール,係数_乗用_LPG),1,1,BE970):INDEX((係数_乗用_ガソリン,係数_乗用_CNG,係数_乗用_軽油,係数_乗用_メタノール,係数_乗用_LPG),125,5,BE970),3,FALSE))))))</f>
        <v/>
      </c>
      <c r="BC970" s="467" t="str">
        <f t="shared" si="558"/>
        <v/>
      </c>
      <c r="BD970" s="567" t="str">
        <f t="shared" si="559"/>
        <v/>
      </c>
      <c r="BE970" s="467" t="str">
        <f t="shared" si="560"/>
        <v/>
      </c>
      <c r="BF970" s="469" t="str">
        <f t="shared" ca="1" si="561"/>
        <v/>
      </c>
      <c r="BG970" s="469" t="str">
        <f t="shared" ca="1" si="562"/>
        <v/>
      </c>
      <c r="BH970" s="467" t="str">
        <f t="shared" si="563"/>
        <v/>
      </c>
      <c r="BI970" s="467" t="str">
        <f t="shared" ca="1" si="564"/>
        <v/>
      </c>
      <c r="BJ970" s="469" t="str">
        <f t="shared" si="565"/>
        <v/>
      </c>
      <c r="BK970" s="470" t="str">
        <f t="shared" si="549"/>
        <v/>
      </c>
      <c r="BL970" s="775" t="str">
        <f t="shared" si="566"/>
        <v/>
      </c>
      <c r="BM970" s="775" t="str">
        <f t="shared" si="567"/>
        <v/>
      </c>
    </row>
    <row r="971" spans="1:65">
      <c r="A971" s="473">
        <v>915</v>
      </c>
      <c r="B971" s="132"/>
      <c r="C971" s="332"/>
      <c r="D971" s="333"/>
      <c r="E971" s="333"/>
      <c r="F971" s="334"/>
      <c r="G971" s="337"/>
      <c r="H971" s="131"/>
      <c r="I971" s="337"/>
      <c r="J971" s="131"/>
      <c r="K971" s="458" t="str">
        <f t="shared" si="530"/>
        <v/>
      </c>
      <c r="L971" s="458">
        <f t="shared" si="531"/>
        <v>0</v>
      </c>
      <c r="M971" s="458">
        <f t="shared" si="532"/>
        <v>0</v>
      </c>
      <c r="N971" s="459" t="str">
        <f t="shared" si="543"/>
        <v/>
      </c>
      <c r="O971" s="459" t="str">
        <f t="shared" si="544"/>
        <v/>
      </c>
      <c r="P971" s="459" t="str">
        <f t="shared" si="545"/>
        <v/>
      </c>
      <c r="Q971" s="459" t="str">
        <f t="shared" si="546"/>
        <v/>
      </c>
      <c r="R971" s="459" t="str">
        <f t="shared" si="547"/>
        <v/>
      </c>
      <c r="S971" s="459" t="str">
        <f t="shared" si="548"/>
        <v/>
      </c>
      <c r="T971" s="566" t="str">
        <f t="shared" si="533"/>
        <v/>
      </c>
      <c r="U971" s="702"/>
      <c r="V971" s="132"/>
      <c r="W971" s="133"/>
      <c r="X971" s="134"/>
      <c r="Y971" s="135"/>
      <c r="Z971" s="137"/>
      <c r="AA971" s="136"/>
      <c r="AB971" s="566" t="str">
        <f t="shared" si="534"/>
        <v/>
      </c>
      <c r="AC971" s="568" t="str">
        <f t="shared" si="535"/>
        <v/>
      </c>
      <c r="AD971" s="137"/>
      <c r="AE971" s="137"/>
      <c r="AF971" s="138"/>
      <c r="AG971" s="138"/>
      <c r="AH971" s="592" t="str">
        <f t="shared" si="536"/>
        <v/>
      </c>
      <c r="AI971" s="592" t="str">
        <f t="shared" si="537"/>
        <v/>
      </c>
      <c r="AJ971" s="592" t="str">
        <f t="shared" si="538"/>
        <v/>
      </c>
      <c r="AK971" s="460" t="str">
        <f>IF(AU971="","",IF(OR(AZ971=8,AZ971=9),0,IF(OR(AW971=3,AW971=4,AW971=5,AW971=6),IF(LEFT(BF971,1)="1",INDEX(係数_NOX・PM低減,MATCH(AY971,【参考】排出係数!$AI$801:$AI$804,1),1),VLOOKUP(AU971,INDEX((係数_バス貨物_ガソリン,係数_バス貨物_CNG,係数_バス貨物_軽油,係数_バス貨物_メタノール,係数_バス貨物_LPG),MATCH(AY971,【参考】排出係数!$AI$4:$AI$671,1),1,BE971):INDEX((係数_バス貨物_ガソリン,係数_バス貨物_CNG,係数_バス貨物_軽油,係数_バス貨物_メタノール,係数_バス貨物_LPG),MATCH(AY971+1,【参考】排出係数!$AI$4:$AI$671,1)-1,5,BE971),4,FALSE)),IF(AND(BE971=3,LEFT(BF971,1)="1"),0.48,VLOOKUP(AU971,INDEX((係数_乗用_ガソリン,係数_乗用_CNG,係数_乗用_軽油,係数_乗用_メタノール,係数_乗用_LPG),1,1,BE971):INDEX((係数_乗用_ガソリン,係数_乗用_CNG,係数_乗用_軽油,係数_乗用_メタノール,係数_乗用_LPG),125,5,BE971),4,FALSE)))))</f>
        <v/>
      </c>
      <c r="AL971" s="461" t="str">
        <f t="shared" si="539"/>
        <v/>
      </c>
      <c r="AM971" s="460" t="str">
        <f>IF(AU971="","",IF(OR(AZ971=8,AZ971=9),0,IF(OR(AW971=3,AW971=4,AW971=5,AW971=6),IF(LEFT(BH971,1)="1",INDEX(係数_PM低減,MATCH(AY971,【参考】排出係数!$AI$801:$AI$804,1),MATCH(BI971,【参考】排出係数!$AL$798:$AO$798,1)),VLOOKUP(AU971,INDEX((係数_バス貨物_ガソリン,係数_バス貨物_CNG,係数_バス貨物_軽油,係数_バス貨物_メタノール,係数_バス貨物_LPG),MATCH(AY971,【参考】排出係数!$AI$4:$AI$671,1),1,BE971):INDEX((係数_バス貨物_ガソリン,係数_バス貨物_CNG,係数_バス貨物_軽油,係数_バス貨物_メタノール,係数_バス貨物_LPG),MATCH(AY971+1,【参考】排出係数!$AI$4:$AI$671,1)-1,5,BE971),5,FALSE)),IF(AND(BE971=3,LEFT(BF971,1)="1"),0.055,VLOOKUP(AU971,INDEX((係数_乗用_ガソリン,係数_乗用_CNG,係数_乗用_軽油,係数_乗用_メタノール,係数_乗用_LPG),1,1,BE971):INDEX((係数_乗用_ガソリン,係数_乗用_CNG,係数_乗用_軽油,係数_乗用_メタノール,係数_乗用_LPG),125,5,BE971),5,FALSE)))))</f>
        <v/>
      </c>
      <c r="AN971" s="461" t="str">
        <f t="shared" si="540"/>
        <v/>
      </c>
      <c r="AO971" s="462" t="str">
        <f t="shared" si="541"/>
        <v/>
      </c>
      <c r="AP971" s="463" t="str">
        <f t="shared" si="542"/>
        <v/>
      </c>
      <c r="AQ971" s="464"/>
      <c r="AR971" s="619"/>
      <c r="AS971" s="465" t="str">
        <f t="shared" si="550"/>
        <v/>
      </c>
      <c r="AT971" s="465" t="str">
        <f t="shared" si="551"/>
        <v/>
      </c>
      <c r="AU971" s="466" t="str">
        <f t="shared" si="552"/>
        <v/>
      </c>
      <c r="AV971" s="467" t="str">
        <f t="shared" si="553"/>
        <v/>
      </c>
      <c r="AW971" s="467" t="str">
        <f t="shared" si="554"/>
        <v/>
      </c>
      <c r="AX971" s="467" t="str">
        <f t="shared" si="555"/>
        <v/>
      </c>
      <c r="AY971" s="467" t="str">
        <f t="shared" si="556"/>
        <v/>
      </c>
      <c r="AZ971" s="467" t="str">
        <f t="shared" si="557"/>
        <v/>
      </c>
      <c r="BA971" s="468" t="str">
        <f>IF(AS971="","",IF(OR(AU971="",AU971="-"),"－",IF(OR(AZ971=8,AZ971=9),"",IF(OR(AW971=3,AW971=4,AW971=5,AW971=6),VLOOKUP(AU971,INDEX((係数_バス貨物_ガソリン,係数_バス貨物_CNG,係数_バス貨物_軽油,係数_バス貨物_メタノール,係数_バス貨物_LPG),MATCH(AY971,【参考】排出係数!$AI$4:$AI$671,1),1,BE971):INDEX((係数_バス貨物_ガソリン,係数_バス貨物_CNG,係数_バス貨物_軽油,係数_バス貨物_メタノール,係数_バス貨物_LPG),MATCH(AY971+1,【参考】排出係数!$AI$4:$AI$671,1)-1,5,BE971),2,FALSE),IF(OR(AW971=1,AW971=2),VLOOKUP(AU971,INDEX((係数_乗用_ガソリン,係数_乗用_CNG,係数_乗用_軽油,係数_乗用_メタノール,係数_乗用_LPG),1,1,BE971):INDEX((係数_乗用_ガソリン,係数_乗用_CNG,係数_乗用_軽油,係数_乗用_メタノール,係数_乗用_LPG),125,5,BE971),2,FALSE))))))</f>
        <v/>
      </c>
      <c r="BB971" s="468" t="str">
        <f>IF(T971="","",IF(OR(AU971="",AU971="-"),"－",IF(OR(AZ971=8,AZ971=9),"",IF(OR(AW971=3,AW971=4,AW971=5,AW971=6),VLOOKUP(AU971,INDEX((係数_バス貨物_ガソリン,係数_バス貨物_CNG,係数_バス貨物_軽油,係数_バス貨物_メタノール,係数_バス貨物_LPG),MATCH(AY971,【参考】排出係数!$AI$4:$AI$671,1),1,BE971):INDEX((係数_バス貨物_ガソリン,係数_バス貨物_CNG,係数_バス貨物_軽油,係数_バス貨物_メタノール,係数_バス貨物_LPG),MATCH(AY971+1,【参考】排出係数!$AI$4:$AI$671,1)-1,5,BE971),3,FALSE),IF(OR(AW971=1,AW971=2),VLOOKUP(AU971,INDEX((係数_乗用_ガソリン,係数_乗用_CNG,係数_乗用_軽油,係数_乗用_メタノール,係数_乗用_LPG),1,1,BE971):INDEX((係数_乗用_ガソリン,係数_乗用_CNG,係数_乗用_軽油,係数_乗用_メタノール,係数_乗用_LPG),125,5,BE971),3,FALSE))))))</f>
        <v/>
      </c>
      <c r="BC971" s="467" t="str">
        <f t="shared" si="558"/>
        <v/>
      </c>
      <c r="BD971" s="567" t="str">
        <f t="shared" si="559"/>
        <v/>
      </c>
      <c r="BE971" s="467" t="str">
        <f t="shared" si="560"/>
        <v/>
      </c>
      <c r="BF971" s="469" t="str">
        <f t="shared" ca="1" si="561"/>
        <v/>
      </c>
      <c r="BG971" s="469" t="str">
        <f t="shared" ca="1" si="562"/>
        <v/>
      </c>
      <c r="BH971" s="467" t="str">
        <f t="shared" si="563"/>
        <v/>
      </c>
      <c r="BI971" s="467" t="str">
        <f t="shared" ca="1" si="564"/>
        <v/>
      </c>
      <c r="BJ971" s="469" t="str">
        <f t="shared" si="565"/>
        <v/>
      </c>
      <c r="BK971" s="470" t="str">
        <f t="shared" si="549"/>
        <v/>
      </c>
      <c r="BL971" s="775" t="str">
        <f t="shared" si="566"/>
        <v/>
      </c>
      <c r="BM971" s="775" t="str">
        <f t="shared" si="567"/>
        <v/>
      </c>
    </row>
    <row r="972" spans="1:65">
      <c r="A972" s="473">
        <v>916</v>
      </c>
      <c r="B972" s="132"/>
      <c r="C972" s="332"/>
      <c r="D972" s="333"/>
      <c r="E972" s="333"/>
      <c r="F972" s="334"/>
      <c r="G972" s="337"/>
      <c r="H972" s="131"/>
      <c r="I972" s="337"/>
      <c r="J972" s="131"/>
      <c r="K972" s="458" t="str">
        <f t="shared" si="530"/>
        <v/>
      </c>
      <c r="L972" s="458">
        <f t="shared" si="531"/>
        <v>0</v>
      </c>
      <c r="M972" s="458">
        <f t="shared" si="532"/>
        <v>0</v>
      </c>
      <c r="N972" s="459" t="str">
        <f t="shared" si="543"/>
        <v/>
      </c>
      <c r="O972" s="459" t="str">
        <f t="shared" si="544"/>
        <v/>
      </c>
      <c r="P972" s="459" t="str">
        <f t="shared" si="545"/>
        <v/>
      </c>
      <c r="Q972" s="459" t="str">
        <f t="shared" si="546"/>
        <v/>
      </c>
      <c r="R972" s="459" t="str">
        <f t="shared" si="547"/>
        <v/>
      </c>
      <c r="S972" s="459" t="str">
        <f t="shared" si="548"/>
        <v/>
      </c>
      <c r="T972" s="566" t="str">
        <f t="shared" si="533"/>
        <v/>
      </c>
      <c r="U972" s="702"/>
      <c r="V972" s="132"/>
      <c r="W972" s="133"/>
      <c r="X972" s="134"/>
      <c r="Y972" s="135"/>
      <c r="Z972" s="137"/>
      <c r="AA972" s="136"/>
      <c r="AB972" s="566" t="str">
        <f t="shared" si="534"/>
        <v/>
      </c>
      <c r="AC972" s="568" t="str">
        <f t="shared" si="535"/>
        <v/>
      </c>
      <c r="AD972" s="137"/>
      <c r="AE972" s="137"/>
      <c r="AF972" s="138"/>
      <c r="AG972" s="138"/>
      <c r="AH972" s="592" t="str">
        <f t="shared" si="536"/>
        <v/>
      </c>
      <c r="AI972" s="592" t="str">
        <f t="shared" si="537"/>
        <v/>
      </c>
      <c r="AJ972" s="592" t="str">
        <f t="shared" si="538"/>
        <v/>
      </c>
      <c r="AK972" s="460" t="str">
        <f>IF(AU972="","",IF(OR(AZ972=8,AZ972=9),0,IF(OR(AW972=3,AW972=4,AW972=5,AW972=6),IF(LEFT(BF972,1)="1",INDEX(係数_NOX・PM低減,MATCH(AY972,【参考】排出係数!$AI$801:$AI$804,1),1),VLOOKUP(AU972,INDEX((係数_バス貨物_ガソリン,係数_バス貨物_CNG,係数_バス貨物_軽油,係数_バス貨物_メタノール,係数_バス貨物_LPG),MATCH(AY972,【参考】排出係数!$AI$4:$AI$671,1),1,BE972):INDEX((係数_バス貨物_ガソリン,係数_バス貨物_CNG,係数_バス貨物_軽油,係数_バス貨物_メタノール,係数_バス貨物_LPG),MATCH(AY972+1,【参考】排出係数!$AI$4:$AI$671,1)-1,5,BE972),4,FALSE)),IF(AND(BE972=3,LEFT(BF972,1)="1"),0.48,VLOOKUP(AU972,INDEX((係数_乗用_ガソリン,係数_乗用_CNG,係数_乗用_軽油,係数_乗用_メタノール,係数_乗用_LPG),1,1,BE972):INDEX((係数_乗用_ガソリン,係数_乗用_CNG,係数_乗用_軽油,係数_乗用_メタノール,係数_乗用_LPG),125,5,BE972),4,FALSE)))))</f>
        <v/>
      </c>
      <c r="AL972" s="461" t="str">
        <f t="shared" si="539"/>
        <v/>
      </c>
      <c r="AM972" s="460" t="str">
        <f>IF(AU972="","",IF(OR(AZ972=8,AZ972=9),0,IF(OR(AW972=3,AW972=4,AW972=5,AW972=6),IF(LEFT(BH972,1)="1",INDEX(係数_PM低減,MATCH(AY972,【参考】排出係数!$AI$801:$AI$804,1),MATCH(BI972,【参考】排出係数!$AL$798:$AO$798,1)),VLOOKUP(AU972,INDEX((係数_バス貨物_ガソリン,係数_バス貨物_CNG,係数_バス貨物_軽油,係数_バス貨物_メタノール,係数_バス貨物_LPG),MATCH(AY972,【参考】排出係数!$AI$4:$AI$671,1),1,BE972):INDEX((係数_バス貨物_ガソリン,係数_バス貨物_CNG,係数_バス貨物_軽油,係数_バス貨物_メタノール,係数_バス貨物_LPG),MATCH(AY972+1,【参考】排出係数!$AI$4:$AI$671,1)-1,5,BE972),5,FALSE)),IF(AND(BE972=3,LEFT(BF972,1)="1"),0.055,VLOOKUP(AU972,INDEX((係数_乗用_ガソリン,係数_乗用_CNG,係数_乗用_軽油,係数_乗用_メタノール,係数_乗用_LPG),1,1,BE972):INDEX((係数_乗用_ガソリン,係数_乗用_CNG,係数_乗用_軽油,係数_乗用_メタノール,係数_乗用_LPG),125,5,BE972),5,FALSE)))))</f>
        <v/>
      </c>
      <c r="AN972" s="461" t="str">
        <f t="shared" si="540"/>
        <v/>
      </c>
      <c r="AO972" s="462" t="str">
        <f t="shared" si="541"/>
        <v/>
      </c>
      <c r="AP972" s="463" t="str">
        <f t="shared" si="542"/>
        <v/>
      </c>
      <c r="AQ972" s="464"/>
      <c r="AR972" s="619"/>
      <c r="AS972" s="465" t="str">
        <f t="shared" si="550"/>
        <v/>
      </c>
      <c r="AT972" s="465" t="str">
        <f t="shared" si="551"/>
        <v/>
      </c>
      <c r="AU972" s="466" t="str">
        <f t="shared" si="552"/>
        <v/>
      </c>
      <c r="AV972" s="467" t="str">
        <f t="shared" si="553"/>
        <v/>
      </c>
      <c r="AW972" s="467" t="str">
        <f t="shared" si="554"/>
        <v/>
      </c>
      <c r="AX972" s="467" t="str">
        <f t="shared" si="555"/>
        <v/>
      </c>
      <c r="AY972" s="467" t="str">
        <f t="shared" si="556"/>
        <v/>
      </c>
      <c r="AZ972" s="467" t="str">
        <f t="shared" si="557"/>
        <v/>
      </c>
      <c r="BA972" s="468" t="str">
        <f>IF(AS972="","",IF(OR(AU972="",AU972="-"),"－",IF(OR(AZ972=8,AZ972=9),"",IF(OR(AW972=3,AW972=4,AW972=5,AW972=6),VLOOKUP(AU972,INDEX((係数_バス貨物_ガソリン,係数_バス貨物_CNG,係数_バス貨物_軽油,係数_バス貨物_メタノール,係数_バス貨物_LPG),MATCH(AY972,【参考】排出係数!$AI$4:$AI$671,1),1,BE972):INDEX((係数_バス貨物_ガソリン,係数_バス貨物_CNG,係数_バス貨物_軽油,係数_バス貨物_メタノール,係数_バス貨物_LPG),MATCH(AY972+1,【参考】排出係数!$AI$4:$AI$671,1)-1,5,BE972),2,FALSE),IF(OR(AW972=1,AW972=2),VLOOKUP(AU972,INDEX((係数_乗用_ガソリン,係数_乗用_CNG,係数_乗用_軽油,係数_乗用_メタノール,係数_乗用_LPG),1,1,BE972):INDEX((係数_乗用_ガソリン,係数_乗用_CNG,係数_乗用_軽油,係数_乗用_メタノール,係数_乗用_LPG),125,5,BE972),2,FALSE))))))</f>
        <v/>
      </c>
      <c r="BB972" s="468" t="str">
        <f>IF(T972="","",IF(OR(AU972="",AU972="-"),"－",IF(OR(AZ972=8,AZ972=9),"",IF(OR(AW972=3,AW972=4,AW972=5,AW972=6),VLOOKUP(AU972,INDEX((係数_バス貨物_ガソリン,係数_バス貨物_CNG,係数_バス貨物_軽油,係数_バス貨物_メタノール,係数_バス貨物_LPG),MATCH(AY972,【参考】排出係数!$AI$4:$AI$671,1),1,BE972):INDEX((係数_バス貨物_ガソリン,係数_バス貨物_CNG,係数_バス貨物_軽油,係数_バス貨物_メタノール,係数_バス貨物_LPG),MATCH(AY972+1,【参考】排出係数!$AI$4:$AI$671,1)-1,5,BE972),3,FALSE),IF(OR(AW972=1,AW972=2),VLOOKUP(AU972,INDEX((係数_乗用_ガソリン,係数_乗用_CNG,係数_乗用_軽油,係数_乗用_メタノール,係数_乗用_LPG),1,1,BE972):INDEX((係数_乗用_ガソリン,係数_乗用_CNG,係数_乗用_軽油,係数_乗用_メタノール,係数_乗用_LPG),125,5,BE972),3,FALSE))))))</f>
        <v/>
      </c>
      <c r="BC972" s="467" t="str">
        <f t="shared" si="558"/>
        <v/>
      </c>
      <c r="BD972" s="567" t="str">
        <f t="shared" si="559"/>
        <v/>
      </c>
      <c r="BE972" s="467" t="str">
        <f t="shared" si="560"/>
        <v/>
      </c>
      <c r="BF972" s="469" t="str">
        <f t="shared" ca="1" si="561"/>
        <v/>
      </c>
      <c r="BG972" s="469" t="str">
        <f t="shared" ca="1" si="562"/>
        <v/>
      </c>
      <c r="BH972" s="467" t="str">
        <f t="shared" si="563"/>
        <v/>
      </c>
      <c r="BI972" s="467" t="str">
        <f t="shared" ca="1" si="564"/>
        <v/>
      </c>
      <c r="BJ972" s="469" t="str">
        <f t="shared" si="565"/>
        <v/>
      </c>
      <c r="BK972" s="470" t="str">
        <f t="shared" si="549"/>
        <v/>
      </c>
      <c r="BL972" s="775" t="str">
        <f t="shared" si="566"/>
        <v/>
      </c>
      <c r="BM972" s="775" t="str">
        <f t="shared" si="567"/>
        <v/>
      </c>
    </row>
    <row r="973" spans="1:65">
      <c r="A973" s="473">
        <v>917</v>
      </c>
      <c r="B973" s="132"/>
      <c r="C973" s="332"/>
      <c r="D973" s="333"/>
      <c r="E973" s="333"/>
      <c r="F973" s="334"/>
      <c r="G973" s="337"/>
      <c r="H973" s="131"/>
      <c r="I973" s="337"/>
      <c r="J973" s="131"/>
      <c r="K973" s="458" t="str">
        <f t="shared" si="530"/>
        <v/>
      </c>
      <c r="L973" s="458">
        <f t="shared" si="531"/>
        <v>0</v>
      </c>
      <c r="M973" s="458">
        <f t="shared" si="532"/>
        <v>0</v>
      </c>
      <c r="N973" s="459" t="str">
        <f t="shared" si="543"/>
        <v/>
      </c>
      <c r="O973" s="459" t="str">
        <f t="shared" si="544"/>
        <v/>
      </c>
      <c r="P973" s="459" t="str">
        <f t="shared" si="545"/>
        <v/>
      </c>
      <c r="Q973" s="459" t="str">
        <f t="shared" si="546"/>
        <v/>
      </c>
      <c r="R973" s="459" t="str">
        <f t="shared" si="547"/>
        <v/>
      </c>
      <c r="S973" s="459" t="str">
        <f t="shared" si="548"/>
        <v/>
      </c>
      <c r="T973" s="566" t="str">
        <f t="shared" si="533"/>
        <v/>
      </c>
      <c r="U973" s="702"/>
      <c r="V973" s="132"/>
      <c r="W973" s="133"/>
      <c r="X973" s="134"/>
      <c r="Y973" s="135"/>
      <c r="Z973" s="137"/>
      <c r="AA973" s="136"/>
      <c r="AB973" s="566" t="str">
        <f t="shared" si="534"/>
        <v/>
      </c>
      <c r="AC973" s="568" t="str">
        <f t="shared" si="535"/>
        <v/>
      </c>
      <c r="AD973" s="137"/>
      <c r="AE973" s="137"/>
      <c r="AF973" s="138"/>
      <c r="AG973" s="138"/>
      <c r="AH973" s="592" t="str">
        <f t="shared" si="536"/>
        <v/>
      </c>
      <c r="AI973" s="592" t="str">
        <f t="shared" si="537"/>
        <v/>
      </c>
      <c r="AJ973" s="592" t="str">
        <f t="shared" si="538"/>
        <v/>
      </c>
      <c r="AK973" s="460" t="str">
        <f>IF(AU973="","",IF(OR(AZ973=8,AZ973=9),0,IF(OR(AW973=3,AW973=4,AW973=5,AW973=6),IF(LEFT(BF973,1)="1",INDEX(係数_NOX・PM低減,MATCH(AY973,【参考】排出係数!$AI$801:$AI$804,1),1),VLOOKUP(AU973,INDEX((係数_バス貨物_ガソリン,係数_バス貨物_CNG,係数_バス貨物_軽油,係数_バス貨物_メタノール,係数_バス貨物_LPG),MATCH(AY973,【参考】排出係数!$AI$4:$AI$671,1),1,BE973):INDEX((係数_バス貨物_ガソリン,係数_バス貨物_CNG,係数_バス貨物_軽油,係数_バス貨物_メタノール,係数_バス貨物_LPG),MATCH(AY973+1,【参考】排出係数!$AI$4:$AI$671,1)-1,5,BE973),4,FALSE)),IF(AND(BE973=3,LEFT(BF973,1)="1"),0.48,VLOOKUP(AU973,INDEX((係数_乗用_ガソリン,係数_乗用_CNG,係数_乗用_軽油,係数_乗用_メタノール,係数_乗用_LPG),1,1,BE973):INDEX((係数_乗用_ガソリン,係数_乗用_CNG,係数_乗用_軽油,係数_乗用_メタノール,係数_乗用_LPG),125,5,BE973),4,FALSE)))))</f>
        <v/>
      </c>
      <c r="AL973" s="461" t="str">
        <f t="shared" si="539"/>
        <v/>
      </c>
      <c r="AM973" s="460" t="str">
        <f>IF(AU973="","",IF(OR(AZ973=8,AZ973=9),0,IF(OR(AW973=3,AW973=4,AW973=5,AW973=6),IF(LEFT(BH973,1)="1",INDEX(係数_PM低減,MATCH(AY973,【参考】排出係数!$AI$801:$AI$804,1),MATCH(BI973,【参考】排出係数!$AL$798:$AO$798,1)),VLOOKUP(AU973,INDEX((係数_バス貨物_ガソリン,係数_バス貨物_CNG,係数_バス貨物_軽油,係数_バス貨物_メタノール,係数_バス貨物_LPG),MATCH(AY973,【参考】排出係数!$AI$4:$AI$671,1),1,BE973):INDEX((係数_バス貨物_ガソリン,係数_バス貨物_CNG,係数_バス貨物_軽油,係数_バス貨物_メタノール,係数_バス貨物_LPG),MATCH(AY973+1,【参考】排出係数!$AI$4:$AI$671,1)-1,5,BE973),5,FALSE)),IF(AND(BE973=3,LEFT(BF973,1)="1"),0.055,VLOOKUP(AU973,INDEX((係数_乗用_ガソリン,係数_乗用_CNG,係数_乗用_軽油,係数_乗用_メタノール,係数_乗用_LPG),1,1,BE973):INDEX((係数_乗用_ガソリン,係数_乗用_CNG,係数_乗用_軽油,係数_乗用_メタノール,係数_乗用_LPG),125,5,BE973),5,FALSE)))))</f>
        <v/>
      </c>
      <c r="AN973" s="461" t="str">
        <f t="shared" si="540"/>
        <v/>
      </c>
      <c r="AO973" s="462" t="str">
        <f t="shared" si="541"/>
        <v/>
      </c>
      <c r="AP973" s="463" t="str">
        <f t="shared" si="542"/>
        <v/>
      </c>
      <c r="AQ973" s="464"/>
      <c r="AR973" s="619"/>
      <c r="AS973" s="465" t="str">
        <f t="shared" si="550"/>
        <v/>
      </c>
      <c r="AT973" s="465" t="str">
        <f t="shared" si="551"/>
        <v/>
      </c>
      <c r="AU973" s="466" t="str">
        <f t="shared" si="552"/>
        <v/>
      </c>
      <c r="AV973" s="467" t="str">
        <f t="shared" si="553"/>
        <v/>
      </c>
      <c r="AW973" s="467" t="str">
        <f t="shared" si="554"/>
        <v/>
      </c>
      <c r="AX973" s="467" t="str">
        <f t="shared" si="555"/>
        <v/>
      </c>
      <c r="AY973" s="467" t="str">
        <f t="shared" si="556"/>
        <v/>
      </c>
      <c r="AZ973" s="467" t="str">
        <f t="shared" si="557"/>
        <v/>
      </c>
      <c r="BA973" s="468" t="str">
        <f>IF(AS973="","",IF(OR(AU973="",AU973="-"),"－",IF(OR(AZ973=8,AZ973=9),"",IF(OR(AW973=3,AW973=4,AW973=5,AW973=6),VLOOKUP(AU973,INDEX((係数_バス貨物_ガソリン,係数_バス貨物_CNG,係数_バス貨物_軽油,係数_バス貨物_メタノール,係数_バス貨物_LPG),MATCH(AY973,【参考】排出係数!$AI$4:$AI$671,1),1,BE973):INDEX((係数_バス貨物_ガソリン,係数_バス貨物_CNG,係数_バス貨物_軽油,係数_バス貨物_メタノール,係数_バス貨物_LPG),MATCH(AY973+1,【参考】排出係数!$AI$4:$AI$671,1)-1,5,BE973),2,FALSE),IF(OR(AW973=1,AW973=2),VLOOKUP(AU973,INDEX((係数_乗用_ガソリン,係数_乗用_CNG,係数_乗用_軽油,係数_乗用_メタノール,係数_乗用_LPG),1,1,BE973):INDEX((係数_乗用_ガソリン,係数_乗用_CNG,係数_乗用_軽油,係数_乗用_メタノール,係数_乗用_LPG),125,5,BE973),2,FALSE))))))</f>
        <v/>
      </c>
      <c r="BB973" s="468" t="str">
        <f>IF(T973="","",IF(OR(AU973="",AU973="-"),"－",IF(OR(AZ973=8,AZ973=9),"",IF(OR(AW973=3,AW973=4,AW973=5,AW973=6),VLOOKUP(AU973,INDEX((係数_バス貨物_ガソリン,係数_バス貨物_CNG,係数_バス貨物_軽油,係数_バス貨物_メタノール,係数_バス貨物_LPG),MATCH(AY973,【参考】排出係数!$AI$4:$AI$671,1),1,BE973):INDEX((係数_バス貨物_ガソリン,係数_バス貨物_CNG,係数_バス貨物_軽油,係数_バス貨物_メタノール,係数_バス貨物_LPG),MATCH(AY973+1,【参考】排出係数!$AI$4:$AI$671,1)-1,5,BE973),3,FALSE),IF(OR(AW973=1,AW973=2),VLOOKUP(AU973,INDEX((係数_乗用_ガソリン,係数_乗用_CNG,係数_乗用_軽油,係数_乗用_メタノール,係数_乗用_LPG),1,1,BE973):INDEX((係数_乗用_ガソリン,係数_乗用_CNG,係数_乗用_軽油,係数_乗用_メタノール,係数_乗用_LPG),125,5,BE973),3,FALSE))))))</f>
        <v/>
      </c>
      <c r="BC973" s="467" t="str">
        <f t="shared" si="558"/>
        <v/>
      </c>
      <c r="BD973" s="567" t="str">
        <f t="shared" si="559"/>
        <v/>
      </c>
      <c r="BE973" s="467" t="str">
        <f t="shared" si="560"/>
        <v/>
      </c>
      <c r="BF973" s="469" t="str">
        <f t="shared" ca="1" si="561"/>
        <v/>
      </c>
      <c r="BG973" s="469" t="str">
        <f t="shared" ca="1" si="562"/>
        <v/>
      </c>
      <c r="BH973" s="467" t="str">
        <f t="shared" si="563"/>
        <v/>
      </c>
      <c r="BI973" s="467" t="str">
        <f t="shared" ca="1" si="564"/>
        <v/>
      </c>
      <c r="BJ973" s="469" t="str">
        <f t="shared" si="565"/>
        <v/>
      </c>
      <c r="BK973" s="470" t="str">
        <f t="shared" si="549"/>
        <v/>
      </c>
      <c r="BL973" s="775" t="str">
        <f t="shared" si="566"/>
        <v/>
      </c>
      <c r="BM973" s="775" t="str">
        <f t="shared" si="567"/>
        <v/>
      </c>
    </row>
    <row r="974" spans="1:65">
      <c r="A974" s="473">
        <v>918</v>
      </c>
      <c r="B974" s="132"/>
      <c r="C974" s="332"/>
      <c r="D974" s="333"/>
      <c r="E974" s="333"/>
      <c r="F974" s="334"/>
      <c r="G974" s="337"/>
      <c r="H974" s="131"/>
      <c r="I974" s="337"/>
      <c r="J974" s="131"/>
      <c r="K974" s="458" t="str">
        <f t="shared" si="530"/>
        <v/>
      </c>
      <c r="L974" s="458">
        <f t="shared" si="531"/>
        <v>0</v>
      </c>
      <c r="M974" s="458">
        <f t="shared" si="532"/>
        <v>0</v>
      </c>
      <c r="N974" s="459" t="str">
        <f t="shared" si="543"/>
        <v/>
      </c>
      <c r="O974" s="459" t="str">
        <f t="shared" si="544"/>
        <v/>
      </c>
      <c r="P974" s="459" t="str">
        <f t="shared" si="545"/>
        <v/>
      </c>
      <c r="Q974" s="459" t="str">
        <f t="shared" si="546"/>
        <v/>
      </c>
      <c r="R974" s="459" t="str">
        <f t="shared" si="547"/>
        <v/>
      </c>
      <c r="S974" s="459" t="str">
        <f t="shared" si="548"/>
        <v/>
      </c>
      <c r="T974" s="566" t="str">
        <f t="shared" si="533"/>
        <v/>
      </c>
      <c r="U974" s="702"/>
      <c r="V974" s="132"/>
      <c r="W974" s="133"/>
      <c r="X974" s="134"/>
      <c r="Y974" s="135"/>
      <c r="Z974" s="137"/>
      <c r="AA974" s="136"/>
      <c r="AB974" s="566" t="str">
        <f t="shared" si="534"/>
        <v/>
      </c>
      <c r="AC974" s="568" t="str">
        <f t="shared" si="535"/>
        <v/>
      </c>
      <c r="AD974" s="137"/>
      <c r="AE974" s="137"/>
      <c r="AF974" s="138"/>
      <c r="AG974" s="138"/>
      <c r="AH974" s="592" t="str">
        <f t="shared" si="536"/>
        <v/>
      </c>
      <c r="AI974" s="592" t="str">
        <f t="shared" si="537"/>
        <v/>
      </c>
      <c r="AJ974" s="592" t="str">
        <f t="shared" si="538"/>
        <v/>
      </c>
      <c r="AK974" s="460" t="str">
        <f>IF(AU974="","",IF(OR(AZ974=8,AZ974=9),0,IF(OR(AW974=3,AW974=4,AW974=5,AW974=6),IF(LEFT(BF974,1)="1",INDEX(係数_NOX・PM低減,MATCH(AY974,【参考】排出係数!$AI$801:$AI$804,1),1),VLOOKUP(AU974,INDEX((係数_バス貨物_ガソリン,係数_バス貨物_CNG,係数_バス貨物_軽油,係数_バス貨物_メタノール,係数_バス貨物_LPG),MATCH(AY974,【参考】排出係数!$AI$4:$AI$671,1),1,BE974):INDEX((係数_バス貨物_ガソリン,係数_バス貨物_CNG,係数_バス貨物_軽油,係数_バス貨物_メタノール,係数_バス貨物_LPG),MATCH(AY974+1,【参考】排出係数!$AI$4:$AI$671,1)-1,5,BE974),4,FALSE)),IF(AND(BE974=3,LEFT(BF974,1)="1"),0.48,VLOOKUP(AU974,INDEX((係数_乗用_ガソリン,係数_乗用_CNG,係数_乗用_軽油,係数_乗用_メタノール,係数_乗用_LPG),1,1,BE974):INDEX((係数_乗用_ガソリン,係数_乗用_CNG,係数_乗用_軽油,係数_乗用_メタノール,係数_乗用_LPG),125,5,BE974),4,FALSE)))))</f>
        <v/>
      </c>
      <c r="AL974" s="461" t="str">
        <f t="shared" si="539"/>
        <v/>
      </c>
      <c r="AM974" s="460" t="str">
        <f>IF(AU974="","",IF(OR(AZ974=8,AZ974=9),0,IF(OR(AW974=3,AW974=4,AW974=5,AW974=6),IF(LEFT(BH974,1)="1",INDEX(係数_PM低減,MATCH(AY974,【参考】排出係数!$AI$801:$AI$804,1),MATCH(BI974,【参考】排出係数!$AL$798:$AO$798,1)),VLOOKUP(AU974,INDEX((係数_バス貨物_ガソリン,係数_バス貨物_CNG,係数_バス貨物_軽油,係数_バス貨物_メタノール,係数_バス貨物_LPG),MATCH(AY974,【参考】排出係数!$AI$4:$AI$671,1),1,BE974):INDEX((係数_バス貨物_ガソリン,係数_バス貨物_CNG,係数_バス貨物_軽油,係数_バス貨物_メタノール,係数_バス貨物_LPG),MATCH(AY974+1,【参考】排出係数!$AI$4:$AI$671,1)-1,5,BE974),5,FALSE)),IF(AND(BE974=3,LEFT(BF974,1)="1"),0.055,VLOOKUP(AU974,INDEX((係数_乗用_ガソリン,係数_乗用_CNG,係数_乗用_軽油,係数_乗用_メタノール,係数_乗用_LPG),1,1,BE974):INDEX((係数_乗用_ガソリン,係数_乗用_CNG,係数_乗用_軽油,係数_乗用_メタノール,係数_乗用_LPG),125,5,BE974),5,FALSE)))))</f>
        <v/>
      </c>
      <c r="AN974" s="461" t="str">
        <f t="shared" si="540"/>
        <v/>
      </c>
      <c r="AO974" s="462" t="str">
        <f t="shared" si="541"/>
        <v/>
      </c>
      <c r="AP974" s="463" t="str">
        <f t="shared" si="542"/>
        <v/>
      </c>
      <c r="AQ974" s="464"/>
      <c r="AR974" s="619"/>
      <c r="AS974" s="465" t="str">
        <f t="shared" si="550"/>
        <v/>
      </c>
      <c r="AT974" s="465" t="str">
        <f t="shared" si="551"/>
        <v/>
      </c>
      <c r="AU974" s="466" t="str">
        <f t="shared" si="552"/>
        <v/>
      </c>
      <c r="AV974" s="467" t="str">
        <f t="shared" si="553"/>
        <v/>
      </c>
      <c r="AW974" s="467" t="str">
        <f t="shared" si="554"/>
        <v/>
      </c>
      <c r="AX974" s="467" t="str">
        <f t="shared" si="555"/>
        <v/>
      </c>
      <c r="AY974" s="467" t="str">
        <f t="shared" si="556"/>
        <v/>
      </c>
      <c r="AZ974" s="467" t="str">
        <f t="shared" si="557"/>
        <v/>
      </c>
      <c r="BA974" s="468" t="str">
        <f>IF(AS974="","",IF(OR(AU974="",AU974="-"),"－",IF(OR(AZ974=8,AZ974=9),"",IF(OR(AW974=3,AW974=4,AW974=5,AW974=6),VLOOKUP(AU974,INDEX((係数_バス貨物_ガソリン,係数_バス貨物_CNG,係数_バス貨物_軽油,係数_バス貨物_メタノール,係数_バス貨物_LPG),MATCH(AY974,【参考】排出係数!$AI$4:$AI$671,1),1,BE974):INDEX((係数_バス貨物_ガソリン,係数_バス貨物_CNG,係数_バス貨物_軽油,係数_バス貨物_メタノール,係数_バス貨物_LPG),MATCH(AY974+1,【参考】排出係数!$AI$4:$AI$671,1)-1,5,BE974),2,FALSE),IF(OR(AW974=1,AW974=2),VLOOKUP(AU974,INDEX((係数_乗用_ガソリン,係数_乗用_CNG,係数_乗用_軽油,係数_乗用_メタノール,係数_乗用_LPG),1,1,BE974):INDEX((係数_乗用_ガソリン,係数_乗用_CNG,係数_乗用_軽油,係数_乗用_メタノール,係数_乗用_LPG),125,5,BE974),2,FALSE))))))</f>
        <v/>
      </c>
      <c r="BB974" s="468" t="str">
        <f>IF(T974="","",IF(OR(AU974="",AU974="-"),"－",IF(OR(AZ974=8,AZ974=9),"",IF(OR(AW974=3,AW974=4,AW974=5,AW974=6),VLOOKUP(AU974,INDEX((係数_バス貨物_ガソリン,係数_バス貨物_CNG,係数_バス貨物_軽油,係数_バス貨物_メタノール,係数_バス貨物_LPG),MATCH(AY974,【参考】排出係数!$AI$4:$AI$671,1),1,BE974):INDEX((係数_バス貨物_ガソリン,係数_バス貨物_CNG,係数_バス貨物_軽油,係数_バス貨物_メタノール,係数_バス貨物_LPG),MATCH(AY974+1,【参考】排出係数!$AI$4:$AI$671,1)-1,5,BE974),3,FALSE),IF(OR(AW974=1,AW974=2),VLOOKUP(AU974,INDEX((係数_乗用_ガソリン,係数_乗用_CNG,係数_乗用_軽油,係数_乗用_メタノール,係数_乗用_LPG),1,1,BE974):INDEX((係数_乗用_ガソリン,係数_乗用_CNG,係数_乗用_軽油,係数_乗用_メタノール,係数_乗用_LPG),125,5,BE974),3,FALSE))))))</f>
        <v/>
      </c>
      <c r="BC974" s="467" t="str">
        <f t="shared" si="558"/>
        <v/>
      </c>
      <c r="BD974" s="567" t="str">
        <f t="shared" si="559"/>
        <v/>
      </c>
      <c r="BE974" s="467" t="str">
        <f t="shared" si="560"/>
        <v/>
      </c>
      <c r="BF974" s="469" t="str">
        <f t="shared" ca="1" si="561"/>
        <v/>
      </c>
      <c r="BG974" s="469" t="str">
        <f t="shared" ca="1" si="562"/>
        <v/>
      </c>
      <c r="BH974" s="467" t="str">
        <f t="shared" si="563"/>
        <v/>
      </c>
      <c r="BI974" s="467" t="str">
        <f t="shared" ca="1" si="564"/>
        <v/>
      </c>
      <c r="BJ974" s="469" t="str">
        <f t="shared" si="565"/>
        <v/>
      </c>
      <c r="BK974" s="470" t="str">
        <f t="shared" si="549"/>
        <v/>
      </c>
      <c r="BL974" s="775" t="str">
        <f t="shared" si="566"/>
        <v/>
      </c>
      <c r="BM974" s="775" t="str">
        <f t="shared" si="567"/>
        <v/>
      </c>
    </row>
    <row r="975" spans="1:65">
      <c r="A975" s="473">
        <v>919</v>
      </c>
      <c r="B975" s="132"/>
      <c r="C975" s="332"/>
      <c r="D975" s="333"/>
      <c r="E975" s="333"/>
      <c r="F975" s="334"/>
      <c r="G975" s="337"/>
      <c r="H975" s="131"/>
      <c r="I975" s="337"/>
      <c r="J975" s="131"/>
      <c r="K975" s="458" t="str">
        <f t="shared" si="530"/>
        <v/>
      </c>
      <c r="L975" s="458">
        <f t="shared" si="531"/>
        <v>0</v>
      </c>
      <c r="M975" s="458">
        <f t="shared" si="532"/>
        <v>0</v>
      </c>
      <c r="N975" s="459" t="str">
        <f t="shared" si="543"/>
        <v/>
      </c>
      <c r="O975" s="459" t="str">
        <f t="shared" si="544"/>
        <v/>
      </c>
      <c r="P975" s="459" t="str">
        <f t="shared" si="545"/>
        <v/>
      </c>
      <c r="Q975" s="459" t="str">
        <f t="shared" si="546"/>
        <v/>
      </c>
      <c r="R975" s="459" t="str">
        <f t="shared" si="547"/>
        <v/>
      </c>
      <c r="S975" s="459" t="str">
        <f t="shared" si="548"/>
        <v/>
      </c>
      <c r="T975" s="566" t="str">
        <f t="shared" si="533"/>
        <v/>
      </c>
      <c r="U975" s="702"/>
      <c r="V975" s="132"/>
      <c r="W975" s="133"/>
      <c r="X975" s="134"/>
      <c r="Y975" s="135"/>
      <c r="Z975" s="137"/>
      <c r="AA975" s="136"/>
      <c r="AB975" s="566" t="str">
        <f t="shared" si="534"/>
        <v/>
      </c>
      <c r="AC975" s="568" t="str">
        <f t="shared" si="535"/>
        <v/>
      </c>
      <c r="AD975" s="137"/>
      <c r="AE975" s="137"/>
      <c r="AF975" s="138"/>
      <c r="AG975" s="138"/>
      <c r="AH975" s="592" t="str">
        <f t="shared" si="536"/>
        <v/>
      </c>
      <c r="AI975" s="592" t="str">
        <f t="shared" si="537"/>
        <v/>
      </c>
      <c r="AJ975" s="592" t="str">
        <f t="shared" si="538"/>
        <v/>
      </c>
      <c r="AK975" s="460" t="str">
        <f>IF(AU975="","",IF(OR(AZ975=8,AZ975=9),0,IF(OR(AW975=3,AW975=4,AW975=5,AW975=6),IF(LEFT(BF975,1)="1",INDEX(係数_NOX・PM低減,MATCH(AY975,【参考】排出係数!$AI$801:$AI$804,1),1),VLOOKUP(AU975,INDEX((係数_バス貨物_ガソリン,係数_バス貨物_CNG,係数_バス貨物_軽油,係数_バス貨物_メタノール,係数_バス貨物_LPG),MATCH(AY975,【参考】排出係数!$AI$4:$AI$671,1),1,BE975):INDEX((係数_バス貨物_ガソリン,係数_バス貨物_CNG,係数_バス貨物_軽油,係数_バス貨物_メタノール,係数_バス貨物_LPG),MATCH(AY975+1,【参考】排出係数!$AI$4:$AI$671,1)-1,5,BE975),4,FALSE)),IF(AND(BE975=3,LEFT(BF975,1)="1"),0.48,VLOOKUP(AU975,INDEX((係数_乗用_ガソリン,係数_乗用_CNG,係数_乗用_軽油,係数_乗用_メタノール,係数_乗用_LPG),1,1,BE975):INDEX((係数_乗用_ガソリン,係数_乗用_CNG,係数_乗用_軽油,係数_乗用_メタノール,係数_乗用_LPG),125,5,BE975),4,FALSE)))))</f>
        <v/>
      </c>
      <c r="AL975" s="461" t="str">
        <f t="shared" si="539"/>
        <v/>
      </c>
      <c r="AM975" s="460" t="str">
        <f>IF(AU975="","",IF(OR(AZ975=8,AZ975=9),0,IF(OR(AW975=3,AW975=4,AW975=5,AW975=6),IF(LEFT(BH975,1)="1",INDEX(係数_PM低減,MATCH(AY975,【参考】排出係数!$AI$801:$AI$804,1),MATCH(BI975,【参考】排出係数!$AL$798:$AO$798,1)),VLOOKUP(AU975,INDEX((係数_バス貨物_ガソリン,係数_バス貨物_CNG,係数_バス貨物_軽油,係数_バス貨物_メタノール,係数_バス貨物_LPG),MATCH(AY975,【参考】排出係数!$AI$4:$AI$671,1),1,BE975):INDEX((係数_バス貨物_ガソリン,係数_バス貨物_CNG,係数_バス貨物_軽油,係数_バス貨物_メタノール,係数_バス貨物_LPG),MATCH(AY975+1,【参考】排出係数!$AI$4:$AI$671,1)-1,5,BE975),5,FALSE)),IF(AND(BE975=3,LEFT(BF975,1)="1"),0.055,VLOOKUP(AU975,INDEX((係数_乗用_ガソリン,係数_乗用_CNG,係数_乗用_軽油,係数_乗用_メタノール,係数_乗用_LPG),1,1,BE975):INDEX((係数_乗用_ガソリン,係数_乗用_CNG,係数_乗用_軽油,係数_乗用_メタノール,係数_乗用_LPG),125,5,BE975),5,FALSE)))))</f>
        <v/>
      </c>
      <c r="AN975" s="461" t="str">
        <f t="shared" si="540"/>
        <v/>
      </c>
      <c r="AO975" s="462" t="str">
        <f t="shared" si="541"/>
        <v/>
      </c>
      <c r="AP975" s="463" t="str">
        <f t="shared" si="542"/>
        <v/>
      </c>
      <c r="AQ975" s="464"/>
      <c r="AR975" s="619"/>
      <c r="AS975" s="465" t="str">
        <f t="shared" si="550"/>
        <v/>
      </c>
      <c r="AT975" s="465" t="str">
        <f t="shared" si="551"/>
        <v/>
      </c>
      <c r="AU975" s="466" t="str">
        <f t="shared" si="552"/>
        <v/>
      </c>
      <c r="AV975" s="467" t="str">
        <f t="shared" si="553"/>
        <v/>
      </c>
      <c r="AW975" s="467" t="str">
        <f t="shared" si="554"/>
        <v/>
      </c>
      <c r="AX975" s="467" t="str">
        <f t="shared" si="555"/>
        <v/>
      </c>
      <c r="AY975" s="467" t="str">
        <f t="shared" si="556"/>
        <v/>
      </c>
      <c r="AZ975" s="467" t="str">
        <f t="shared" si="557"/>
        <v/>
      </c>
      <c r="BA975" s="468" t="str">
        <f>IF(AS975="","",IF(OR(AU975="",AU975="-"),"－",IF(OR(AZ975=8,AZ975=9),"",IF(OR(AW975=3,AW975=4,AW975=5,AW975=6),VLOOKUP(AU975,INDEX((係数_バス貨物_ガソリン,係数_バス貨物_CNG,係数_バス貨物_軽油,係数_バス貨物_メタノール,係数_バス貨物_LPG),MATCH(AY975,【参考】排出係数!$AI$4:$AI$671,1),1,BE975):INDEX((係数_バス貨物_ガソリン,係数_バス貨物_CNG,係数_バス貨物_軽油,係数_バス貨物_メタノール,係数_バス貨物_LPG),MATCH(AY975+1,【参考】排出係数!$AI$4:$AI$671,1)-1,5,BE975),2,FALSE),IF(OR(AW975=1,AW975=2),VLOOKUP(AU975,INDEX((係数_乗用_ガソリン,係数_乗用_CNG,係数_乗用_軽油,係数_乗用_メタノール,係数_乗用_LPG),1,1,BE975):INDEX((係数_乗用_ガソリン,係数_乗用_CNG,係数_乗用_軽油,係数_乗用_メタノール,係数_乗用_LPG),125,5,BE975),2,FALSE))))))</f>
        <v/>
      </c>
      <c r="BB975" s="468" t="str">
        <f>IF(T975="","",IF(OR(AU975="",AU975="-"),"－",IF(OR(AZ975=8,AZ975=9),"",IF(OR(AW975=3,AW975=4,AW975=5,AW975=6),VLOOKUP(AU975,INDEX((係数_バス貨物_ガソリン,係数_バス貨物_CNG,係数_バス貨物_軽油,係数_バス貨物_メタノール,係数_バス貨物_LPG),MATCH(AY975,【参考】排出係数!$AI$4:$AI$671,1),1,BE975):INDEX((係数_バス貨物_ガソリン,係数_バス貨物_CNG,係数_バス貨物_軽油,係数_バス貨物_メタノール,係数_バス貨物_LPG),MATCH(AY975+1,【参考】排出係数!$AI$4:$AI$671,1)-1,5,BE975),3,FALSE),IF(OR(AW975=1,AW975=2),VLOOKUP(AU975,INDEX((係数_乗用_ガソリン,係数_乗用_CNG,係数_乗用_軽油,係数_乗用_メタノール,係数_乗用_LPG),1,1,BE975):INDEX((係数_乗用_ガソリン,係数_乗用_CNG,係数_乗用_軽油,係数_乗用_メタノール,係数_乗用_LPG),125,5,BE975),3,FALSE))))))</f>
        <v/>
      </c>
      <c r="BC975" s="467" t="str">
        <f t="shared" si="558"/>
        <v/>
      </c>
      <c r="BD975" s="567" t="str">
        <f t="shared" si="559"/>
        <v/>
      </c>
      <c r="BE975" s="467" t="str">
        <f t="shared" si="560"/>
        <v/>
      </c>
      <c r="BF975" s="469" t="str">
        <f t="shared" ca="1" si="561"/>
        <v/>
      </c>
      <c r="BG975" s="469" t="str">
        <f t="shared" ca="1" si="562"/>
        <v/>
      </c>
      <c r="BH975" s="467" t="str">
        <f t="shared" si="563"/>
        <v/>
      </c>
      <c r="BI975" s="467" t="str">
        <f t="shared" ca="1" si="564"/>
        <v/>
      </c>
      <c r="BJ975" s="469" t="str">
        <f t="shared" si="565"/>
        <v/>
      </c>
      <c r="BK975" s="470" t="str">
        <f t="shared" si="549"/>
        <v/>
      </c>
      <c r="BL975" s="775" t="str">
        <f t="shared" si="566"/>
        <v/>
      </c>
      <c r="BM975" s="775" t="str">
        <f t="shared" si="567"/>
        <v/>
      </c>
    </row>
    <row r="976" spans="1:65">
      <c r="A976" s="473">
        <v>920</v>
      </c>
      <c r="B976" s="132"/>
      <c r="C976" s="332"/>
      <c r="D976" s="333"/>
      <c r="E976" s="333"/>
      <c r="F976" s="334"/>
      <c r="G976" s="337"/>
      <c r="H976" s="131"/>
      <c r="I976" s="337"/>
      <c r="J976" s="131"/>
      <c r="K976" s="458" t="str">
        <f t="shared" si="530"/>
        <v/>
      </c>
      <c r="L976" s="458">
        <f t="shared" si="531"/>
        <v>0</v>
      </c>
      <c r="M976" s="458">
        <f t="shared" si="532"/>
        <v>0</v>
      </c>
      <c r="N976" s="459" t="str">
        <f t="shared" si="543"/>
        <v/>
      </c>
      <c r="O976" s="459" t="str">
        <f t="shared" si="544"/>
        <v/>
      </c>
      <c r="P976" s="459" t="str">
        <f t="shared" si="545"/>
        <v/>
      </c>
      <c r="Q976" s="459" t="str">
        <f t="shared" si="546"/>
        <v/>
      </c>
      <c r="R976" s="459" t="str">
        <f t="shared" si="547"/>
        <v/>
      </c>
      <c r="S976" s="459" t="str">
        <f t="shared" si="548"/>
        <v/>
      </c>
      <c r="T976" s="566" t="str">
        <f t="shared" si="533"/>
        <v/>
      </c>
      <c r="U976" s="702"/>
      <c r="V976" s="132"/>
      <c r="W976" s="133"/>
      <c r="X976" s="134"/>
      <c r="Y976" s="135"/>
      <c r="Z976" s="137"/>
      <c r="AA976" s="136"/>
      <c r="AB976" s="566" t="str">
        <f t="shared" si="534"/>
        <v/>
      </c>
      <c r="AC976" s="568" t="str">
        <f t="shared" si="535"/>
        <v/>
      </c>
      <c r="AD976" s="137"/>
      <c r="AE976" s="137"/>
      <c r="AF976" s="138"/>
      <c r="AG976" s="138"/>
      <c r="AH976" s="592" t="str">
        <f t="shared" si="536"/>
        <v/>
      </c>
      <c r="AI976" s="592" t="str">
        <f t="shared" si="537"/>
        <v/>
      </c>
      <c r="AJ976" s="592" t="str">
        <f t="shared" si="538"/>
        <v/>
      </c>
      <c r="AK976" s="460" t="str">
        <f>IF(AU976="","",IF(OR(AZ976=8,AZ976=9),0,IF(OR(AW976=3,AW976=4,AW976=5,AW976=6),IF(LEFT(BF976,1)="1",INDEX(係数_NOX・PM低減,MATCH(AY976,【参考】排出係数!$AI$801:$AI$804,1),1),VLOOKUP(AU976,INDEX((係数_バス貨物_ガソリン,係数_バス貨物_CNG,係数_バス貨物_軽油,係数_バス貨物_メタノール,係数_バス貨物_LPG),MATCH(AY976,【参考】排出係数!$AI$4:$AI$671,1),1,BE976):INDEX((係数_バス貨物_ガソリン,係数_バス貨物_CNG,係数_バス貨物_軽油,係数_バス貨物_メタノール,係数_バス貨物_LPG),MATCH(AY976+1,【参考】排出係数!$AI$4:$AI$671,1)-1,5,BE976),4,FALSE)),IF(AND(BE976=3,LEFT(BF976,1)="1"),0.48,VLOOKUP(AU976,INDEX((係数_乗用_ガソリン,係数_乗用_CNG,係数_乗用_軽油,係数_乗用_メタノール,係数_乗用_LPG),1,1,BE976):INDEX((係数_乗用_ガソリン,係数_乗用_CNG,係数_乗用_軽油,係数_乗用_メタノール,係数_乗用_LPG),125,5,BE976),4,FALSE)))))</f>
        <v/>
      </c>
      <c r="AL976" s="461" t="str">
        <f t="shared" si="539"/>
        <v/>
      </c>
      <c r="AM976" s="460" t="str">
        <f>IF(AU976="","",IF(OR(AZ976=8,AZ976=9),0,IF(OR(AW976=3,AW976=4,AW976=5,AW976=6),IF(LEFT(BH976,1)="1",INDEX(係数_PM低減,MATCH(AY976,【参考】排出係数!$AI$801:$AI$804,1),MATCH(BI976,【参考】排出係数!$AL$798:$AO$798,1)),VLOOKUP(AU976,INDEX((係数_バス貨物_ガソリン,係数_バス貨物_CNG,係数_バス貨物_軽油,係数_バス貨物_メタノール,係数_バス貨物_LPG),MATCH(AY976,【参考】排出係数!$AI$4:$AI$671,1),1,BE976):INDEX((係数_バス貨物_ガソリン,係数_バス貨物_CNG,係数_バス貨物_軽油,係数_バス貨物_メタノール,係数_バス貨物_LPG),MATCH(AY976+1,【参考】排出係数!$AI$4:$AI$671,1)-1,5,BE976),5,FALSE)),IF(AND(BE976=3,LEFT(BF976,1)="1"),0.055,VLOOKUP(AU976,INDEX((係数_乗用_ガソリン,係数_乗用_CNG,係数_乗用_軽油,係数_乗用_メタノール,係数_乗用_LPG),1,1,BE976):INDEX((係数_乗用_ガソリン,係数_乗用_CNG,係数_乗用_軽油,係数_乗用_メタノール,係数_乗用_LPG),125,5,BE976),5,FALSE)))))</f>
        <v/>
      </c>
      <c r="AN976" s="461" t="str">
        <f t="shared" si="540"/>
        <v/>
      </c>
      <c r="AO976" s="462" t="str">
        <f t="shared" si="541"/>
        <v/>
      </c>
      <c r="AP976" s="463" t="str">
        <f t="shared" si="542"/>
        <v/>
      </c>
      <c r="AQ976" s="464"/>
      <c r="AR976" s="619"/>
      <c r="AS976" s="465" t="str">
        <f t="shared" si="550"/>
        <v/>
      </c>
      <c r="AT976" s="465" t="str">
        <f t="shared" si="551"/>
        <v/>
      </c>
      <c r="AU976" s="466" t="str">
        <f t="shared" si="552"/>
        <v/>
      </c>
      <c r="AV976" s="467" t="str">
        <f t="shared" si="553"/>
        <v/>
      </c>
      <c r="AW976" s="467" t="str">
        <f t="shared" si="554"/>
        <v/>
      </c>
      <c r="AX976" s="467" t="str">
        <f t="shared" si="555"/>
        <v/>
      </c>
      <c r="AY976" s="467" t="str">
        <f t="shared" si="556"/>
        <v/>
      </c>
      <c r="AZ976" s="467" t="str">
        <f t="shared" si="557"/>
        <v/>
      </c>
      <c r="BA976" s="468" t="str">
        <f>IF(AS976="","",IF(OR(AU976="",AU976="-"),"－",IF(OR(AZ976=8,AZ976=9),"",IF(OR(AW976=3,AW976=4,AW976=5,AW976=6),VLOOKUP(AU976,INDEX((係数_バス貨物_ガソリン,係数_バス貨物_CNG,係数_バス貨物_軽油,係数_バス貨物_メタノール,係数_バス貨物_LPG),MATCH(AY976,【参考】排出係数!$AI$4:$AI$671,1),1,BE976):INDEX((係数_バス貨物_ガソリン,係数_バス貨物_CNG,係数_バス貨物_軽油,係数_バス貨物_メタノール,係数_バス貨物_LPG),MATCH(AY976+1,【参考】排出係数!$AI$4:$AI$671,1)-1,5,BE976),2,FALSE),IF(OR(AW976=1,AW976=2),VLOOKUP(AU976,INDEX((係数_乗用_ガソリン,係数_乗用_CNG,係数_乗用_軽油,係数_乗用_メタノール,係数_乗用_LPG),1,1,BE976):INDEX((係数_乗用_ガソリン,係数_乗用_CNG,係数_乗用_軽油,係数_乗用_メタノール,係数_乗用_LPG),125,5,BE976),2,FALSE))))))</f>
        <v/>
      </c>
      <c r="BB976" s="468" t="str">
        <f>IF(T976="","",IF(OR(AU976="",AU976="-"),"－",IF(OR(AZ976=8,AZ976=9),"",IF(OR(AW976=3,AW976=4,AW976=5,AW976=6),VLOOKUP(AU976,INDEX((係数_バス貨物_ガソリン,係数_バス貨物_CNG,係数_バス貨物_軽油,係数_バス貨物_メタノール,係数_バス貨物_LPG),MATCH(AY976,【参考】排出係数!$AI$4:$AI$671,1),1,BE976):INDEX((係数_バス貨物_ガソリン,係数_バス貨物_CNG,係数_バス貨物_軽油,係数_バス貨物_メタノール,係数_バス貨物_LPG),MATCH(AY976+1,【参考】排出係数!$AI$4:$AI$671,1)-1,5,BE976),3,FALSE),IF(OR(AW976=1,AW976=2),VLOOKUP(AU976,INDEX((係数_乗用_ガソリン,係数_乗用_CNG,係数_乗用_軽油,係数_乗用_メタノール,係数_乗用_LPG),1,1,BE976):INDEX((係数_乗用_ガソリン,係数_乗用_CNG,係数_乗用_軽油,係数_乗用_メタノール,係数_乗用_LPG),125,5,BE976),3,FALSE))))))</f>
        <v/>
      </c>
      <c r="BC976" s="467" t="str">
        <f t="shared" si="558"/>
        <v/>
      </c>
      <c r="BD976" s="567" t="str">
        <f t="shared" si="559"/>
        <v/>
      </c>
      <c r="BE976" s="467" t="str">
        <f t="shared" si="560"/>
        <v/>
      </c>
      <c r="BF976" s="469" t="str">
        <f t="shared" ca="1" si="561"/>
        <v/>
      </c>
      <c r="BG976" s="469" t="str">
        <f t="shared" ca="1" si="562"/>
        <v/>
      </c>
      <c r="BH976" s="467" t="str">
        <f t="shared" si="563"/>
        <v/>
      </c>
      <c r="BI976" s="467" t="str">
        <f t="shared" ca="1" si="564"/>
        <v/>
      </c>
      <c r="BJ976" s="469" t="str">
        <f t="shared" si="565"/>
        <v/>
      </c>
      <c r="BK976" s="470" t="str">
        <f t="shared" si="549"/>
        <v/>
      </c>
      <c r="BL976" s="775" t="str">
        <f t="shared" si="566"/>
        <v/>
      </c>
      <c r="BM976" s="775" t="str">
        <f t="shared" si="567"/>
        <v/>
      </c>
    </row>
    <row r="977" spans="1:65">
      <c r="A977" s="473">
        <v>921</v>
      </c>
      <c r="B977" s="132"/>
      <c r="C977" s="332"/>
      <c r="D977" s="333"/>
      <c r="E977" s="333"/>
      <c r="F977" s="334"/>
      <c r="G977" s="337"/>
      <c r="H977" s="131"/>
      <c r="I977" s="337"/>
      <c r="J977" s="131"/>
      <c r="K977" s="458" t="str">
        <f t="shared" si="530"/>
        <v/>
      </c>
      <c r="L977" s="458">
        <f t="shared" si="531"/>
        <v>0</v>
      </c>
      <c r="M977" s="458">
        <f t="shared" si="532"/>
        <v>0</v>
      </c>
      <c r="N977" s="459" t="str">
        <f t="shared" si="543"/>
        <v/>
      </c>
      <c r="O977" s="459" t="str">
        <f t="shared" si="544"/>
        <v/>
      </c>
      <c r="P977" s="459" t="str">
        <f t="shared" si="545"/>
        <v/>
      </c>
      <c r="Q977" s="459" t="str">
        <f t="shared" si="546"/>
        <v/>
      </c>
      <c r="R977" s="459" t="str">
        <f t="shared" si="547"/>
        <v/>
      </c>
      <c r="S977" s="459" t="str">
        <f t="shared" si="548"/>
        <v/>
      </c>
      <c r="T977" s="566" t="str">
        <f t="shared" si="533"/>
        <v/>
      </c>
      <c r="U977" s="702"/>
      <c r="V977" s="132"/>
      <c r="W977" s="133"/>
      <c r="X977" s="134"/>
      <c r="Y977" s="135"/>
      <c r="Z977" s="137"/>
      <c r="AA977" s="136"/>
      <c r="AB977" s="566" t="str">
        <f t="shared" si="534"/>
        <v/>
      </c>
      <c r="AC977" s="568" t="str">
        <f t="shared" si="535"/>
        <v/>
      </c>
      <c r="AD977" s="137"/>
      <c r="AE977" s="137"/>
      <c r="AF977" s="138"/>
      <c r="AG977" s="138"/>
      <c r="AH977" s="592" t="str">
        <f t="shared" si="536"/>
        <v/>
      </c>
      <c r="AI977" s="592" t="str">
        <f t="shared" si="537"/>
        <v/>
      </c>
      <c r="AJ977" s="592" t="str">
        <f t="shared" si="538"/>
        <v/>
      </c>
      <c r="AK977" s="460" t="str">
        <f>IF(AU977="","",IF(OR(AZ977=8,AZ977=9),0,IF(OR(AW977=3,AW977=4,AW977=5,AW977=6),IF(LEFT(BF977,1)="1",INDEX(係数_NOX・PM低減,MATCH(AY977,【参考】排出係数!$AI$801:$AI$804,1),1),VLOOKUP(AU977,INDEX((係数_バス貨物_ガソリン,係数_バス貨物_CNG,係数_バス貨物_軽油,係数_バス貨物_メタノール,係数_バス貨物_LPG),MATCH(AY977,【参考】排出係数!$AI$4:$AI$671,1),1,BE977):INDEX((係数_バス貨物_ガソリン,係数_バス貨物_CNG,係数_バス貨物_軽油,係数_バス貨物_メタノール,係数_バス貨物_LPG),MATCH(AY977+1,【参考】排出係数!$AI$4:$AI$671,1)-1,5,BE977),4,FALSE)),IF(AND(BE977=3,LEFT(BF977,1)="1"),0.48,VLOOKUP(AU977,INDEX((係数_乗用_ガソリン,係数_乗用_CNG,係数_乗用_軽油,係数_乗用_メタノール,係数_乗用_LPG),1,1,BE977):INDEX((係数_乗用_ガソリン,係数_乗用_CNG,係数_乗用_軽油,係数_乗用_メタノール,係数_乗用_LPG),125,5,BE977),4,FALSE)))))</f>
        <v/>
      </c>
      <c r="AL977" s="461" t="str">
        <f t="shared" si="539"/>
        <v/>
      </c>
      <c r="AM977" s="460" t="str">
        <f>IF(AU977="","",IF(OR(AZ977=8,AZ977=9),0,IF(OR(AW977=3,AW977=4,AW977=5,AW977=6),IF(LEFT(BH977,1)="1",INDEX(係数_PM低減,MATCH(AY977,【参考】排出係数!$AI$801:$AI$804,1),MATCH(BI977,【参考】排出係数!$AL$798:$AO$798,1)),VLOOKUP(AU977,INDEX((係数_バス貨物_ガソリン,係数_バス貨物_CNG,係数_バス貨物_軽油,係数_バス貨物_メタノール,係数_バス貨物_LPG),MATCH(AY977,【参考】排出係数!$AI$4:$AI$671,1),1,BE977):INDEX((係数_バス貨物_ガソリン,係数_バス貨物_CNG,係数_バス貨物_軽油,係数_バス貨物_メタノール,係数_バス貨物_LPG),MATCH(AY977+1,【参考】排出係数!$AI$4:$AI$671,1)-1,5,BE977),5,FALSE)),IF(AND(BE977=3,LEFT(BF977,1)="1"),0.055,VLOOKUP(AU977,INDEX((係数_乗用_ガソリン,係数_乗用_CNG,係数_乗用_軽油,係数_乗用_メタノール,係数_乗用_LPG),1,1,BE977):INDEX((係数_乗用_ガソリン,係数_乗用_CNG,係数_乗用_軽油,係数_乗用_メタノール,係数_乗用_LPG),125,5,BE977),5,FALSE)))))</f>
        <v/>
      </c>
      <c r="AN977" s="461" t="str">
        <f t="shared" si="540"/>
        <v/>
      </c>
      <c r="AO977" s="462" t="str">
        <f t="shared" si="541"/>
        <v/>
      </c>
      <c r="AP977" s="463" t="str">
        <f t="shared" si="542"/>
        <v/>
      </c>
      <c r="AQ977" s="464"/>
      <c r="AR977" s="619"/>
      <c r="AS977" s="465" t="str">
        <f t="shared" si="550"/>
        <v/>
      </c>
      <c r="AT977" s="465" t="str">
        <f t="shared" si="551"/>
        <v/>
      </c>
      <c r="AU977" s="466" t="str">
        <f t="shared" si="552"/>
        <v/>
      </c>
      <c r="AV977" s="467" t="str">
        <f t="shared" si="553"/>
        <v/>
      </c>
      <c r="AW977" s="467" t="str">
        <f t="shared" si="554"/>
        <v/>
      </c>
      <c r="AX977" s="467" t="str">
        <f t="shared" si="555"/>
        <v/>
      </c>
      <c r="AY977" s="467" t="str">
        <f t="shared" si="556"/>
        <v/>
      </c>
      <c r="AZ977" s="467" t="str">
        <f t="shared" si="557"/>
        <v/>
      </c>
      <c r="BA977" s="468" t="str">
        <f>IF(AS977="","",IF(OR(AU977="",AU977="-"),"－",IF(OR(AZ977=8,AZ977=9),"",IF(OR(AW977=3,AW977=4,AW977=5,AW977=6),VLOOKUP(AU977,INDEX((係数_バス貨物_ガソリン,係数_バス貨物_CNG,係数_バス貨物_軽油,係数_バス貨物_メタノール,係数_バス貨物_LPG),MATCH(AY977,【参考】排出係数!$AI$4:$AI$671,1),1,BE977):INDEX((係数_バス貨物_ガソリン,係数_バス貨物_CNG,係数_バス貨物_軽油,係数_バス貨物_メタノール,係数_バス貨物_LPG),MATCH(AY977+1,【参考】排出係数!$AI$4:$AI$671,1)-1,5,BE977),2,FALSE),IF(OR(AW977=1,AW977=2),VLOOKUP(AU977,INDEX((係数_乗用_ガソリン,係数_乗用_CNG,係数_乗用_軽油,係数_乗用_メタノール,係数_乗用_LPG),1,1,BE977):INDEX((係数_乗用_ガソリン,係数_乗用_CNG,係数_乗用_軽油,係数_乗用_メタノール,係数_乗用_LPG),125,5,BE977),2,FALSE))))))</f>
        <v/>
      </c>
      <c r="BB977" s="468" t="str">
        <f>IF(T977="","",IF(OR(AU977="",AU977="-"),"－",IF(OR(AZ977=8,AZ977=9),"",IF(OR(AW977=3,AW977=4,AW977=5,AW977=6),VLOOKUP(AU977,INDEX((係数_バス貨物_ガソリン,係数_バス貨物_CNG,係数_バス貨物_軽油,係数_バス貨物_メタノール,係数_バス貨物_LPG),MATCH(AY977,【参考】排出係数!$AI$4:$AI$671,1),1,BE977):INDEX((係数_バス貨物_ガソリン,係数_バス貨物_CNG,係数_バス貨物_軽油,係数_バス貨物_メタノール,係数_バス貨物_LPG),MATCH(AY977+1,【参考】排出係数!$AI$4:$AI$671,1)-1,5,BE977),3,FALSE),IF(OR(AW977=1,AW977=2),VLOOKUP(AU977,INDEX((係数_乗用_ガソリン,係数_乗用_CNG,係数_乗用_軽油,係数_乗用_メタノール,係数_乗用_LPG),1,1,BE977):INDEX((係数_乗用_ガソリン,係数_乗用_CNG,係数_乗用_軽油,係数_乗用_メタノール,係数_乗用_LPG),125,5,BE977),3,FALSE))))))</f>
        <v/>
      </c>
      <c r="BC977" s="467" t="str">
        <f t="shared" si="558"/>
        <v/>
      </c>
      <c r="BD977" s="567" t="str">
        <f t="shared" si="559"/>
        <v/>
      </c>
      <c r="BE977" s="467" t="str">
        <f t="shared" si="560"/>
        <v/>
      </c>
      <c r="BF977" s="469" t="str">
        <f t="shared" ca="1" si="561"/>
        <v/>
      </c>
      <c r="BG977" s="469" t="str">
        <f t="shared" ca="1" si="562"/>
        <v/>
      </c>
      <c r="BH977" s="467" t="str">
        <f t="shared" si="563"/>
        <v/>
      </c>
      <c r="BI977" s="467" t="str">
        <f t="shared" ca="1" si="564"/>
        <v/>
      </c>
      <c r="BJ977" s="469" t="str">
        <f t="shared" si="565"/>
        <v/>
      </c>
      <c r="BK977" s="470" t="str">
        <f t="shared" si="549"/>
        <v/>
      </c>
      <c r="BL977" s="775" t="str">
        <f t="shared" si="566"/>
        <v/>
      </c>
      <c r="BM977" s="775" t="str">
        <f t="shared" si="567"/>
        <v/>
      </c>
    </row>
    <row r="978" spans="1:65">
      <c r="A978" s="473">
        <v>922</v>
      </c>
      <c r="B978" s="132"/>
      <c r="C978" s="332"/>
      <c r="D978" s="333"/>
      <c r="E978" s="333"/>
      <c r="F978" s="334"/>
      <c r="G978" s="337"/>
      <c r="H978" s="131"/>
      <c r="I978" s="337"/>
      <c r="J978" s="131"/>
      <c r="K978" s="458" t="str">
        <f t="shared" si="530"/>
        <v/>
      </c>
      <c r="L978" s="458">
        <f t="shared" si="531"/>
        <v>0</v>
      </c>
      <c r="M978" s="458">
        <f t="shared" si="532"/>
        <v>0</v>
      </c>
      <c r="N978" s="459" t="str">
        <f t="shared" si="543"/>
        <v/>
      </c>
      <c r="O978" s="459" t="str">
        <f t="shared" si="544"/>
        <v/>
      </c>
      <c r="P978" s="459" t="str">
        <f t="shared" si="545"/>
        <v/>
      </c>
      <c r="Q978" s="459" t="str">
        <f t="shared" si="546"/>
        <v/>
      </c>
      <c r="R978" s="459" t="str">
        <f t="shared" si="547"/>
        <v/>
      </c>
      <c r="S978" s="459" t="str">
        <f t="shared" si="548"/>
        <v/>
      </c>
      <c r="T978" s="566" t="str">
        <f t="shared" si="533"/>
        <v/>
      </c>
      <c r="U978" s="702"/>
      <c r="V978" s="132"/>
      <c r="W978" s="133"/>
      <c r="X978" s="134"/>
      <c r="Y978" s="135"/>
      <c r="Z978" s="137"/>
      <c r="AA978" s="136"/>
      <c r="AB978" s="566" t="str">
        <f t="shared" si="534"/>
        <v/>
      </c>
      <c r="AC978" s="568" t="str">
        <f t="shared" si="535"/>
        <v/>
      </c>
      <c r="AD978" s="137"/>
      <c r="AE978" s="137"/>
      <c r="AF978" s="138"/>
      <c r="AG978" s="138"/>
      <c r="AH978" s="592" t="str">
        <f t="shared" si="536"/>
        <v/>
      </c>
      <c r="AI978" s="592" t="str">
        <f t="shared" si="537"/>
        <v/>
      </c>
      <c r="AJ978" s="592" t="str">
        <f t="shared" si="538"/>
        <v/>
      </c>
      <c r="AK978" s="460" t="str">
        <f>IF(AU978="","",IF(OR(AZ978=8,AZ978=9),0,IF(OR(AW978=3,AW978=4,AW978=5,AW978=6),IF(LEFT(BF978,1)="1",INDEX(係数_NOX・PM低減,MATCH(AY978,【参考】排出係数!$AI$801:$AI$804,1),1),VLOOKUP(AU978,INDEX((係数_バス貨物_ガソリン,係数_バス貨物_CNG,係数_バス貨物_軽油,係数_バス貨物_メタノール,係数_バス貨物_LPG),MATCH(AY978,【参考】排出係数!$AI$4:$AI$671,1),1,BE978):INDEX((係数_バス貨物_ガソリン,係数_バス貨物_CNG,係数_バス貨物_軽油,係数_バス貨物_メタノール,係数_バス貨物_LPG),MATCH(AY978+1,【参考】排出係数!$AI$4:$AI$671,1)-1,5,BE978),4,FALSE)),IF(AND(BE978=3,LEFT(BF978,1)="1"),0.48,VLOOKUP(AU978,INDEX((係数_乗用_ガソリン,係数_乗用_CNG,係数_乗用_軽油,係数_乗用_メタノール,係数_乗用_LPG),1,1,BE978):INDEX((係数_乗用_ガソリン,係数_乗用_CNG,係数_乗用_軽油,係数_乗用_メタノール,係数_乗用_LPG),125,5,BE978),4,FALSE)))))</f>
        <v/>
      </c>
      <c r="AL978" s="461" t="str">
        <f t="shared" si="539"/>
        <v/>
      </c>
      <c r="AM978" s="460" t="str">
        <f>IF(AU978="","",IF(OR(AZ978=8,AZ978=9),0,IF(OR(AW978=3,AW978=4,AW978=5,AW978=6),IF(LEFT(BH978,1)="1",INDEX(係数_PM低減,MATCH(AY978,【参考】排出係数!$AI$801:$AI$804,1),MATCH(BI978,【参考】排出係数!$AL$798:$AO$798,1)),VLOOKUP(AU978,INDEX((係数_バス貨物_ガソリン,係数_バス貨物_CNG,係数_バス貨物_軽油,係数_バス貨物_メタノール,係数_バス貨物_LPG),MATCH(AY978,【参考】排出係数!$AI$4:$AI$671,1),1,BE978):INDEX((係数_バス貨物_ガソリン,係数_バス貨物_CNG,係数_バス貨物_軽油,係数_バス貨物_メタノール,係数_バス貨物_LPG),MATCH(AY978+1,【参考】排出係数!$AI$4:$AI$671,1)-1,5,BE978),5,FALSE)),IF(AND(BE978=3,LEFT(BF978,1)="1"),0.055,VLOOKUP(AU978,INDEX((係数_乗用_ガソリン,係数_乗用_CNG,係数_乗用_軽油,係数_乗用_メタノール,係数_乗用_LPG),1,1,BE978):INDEX((係数_乗用_ガソリン,係数_乗用_CNG,係数_乗用_軽油,係数_乗用_メタノール,係数_乗用_LPG),125,5,BE978),5,FALSE)))))</f>
        <v/>
      </c>
      <c r="AN978" s="461" t="str">
        <f t="shared" si="540"/>
        <v/>
      </c>
      <c r="AO978" s="462" t="str">
        <f t="shared" si="541"/>
        <v/>
      </c>
      <c r="AP978" s="463" t="str">
        <f t="shared" si="542"/>
        <v/>
      </c>
      <c r="AQ978" s="464"/>
      <c r="AR978" s="619"/>
      <c r="AS978" s="465" t="str">
        <f t="shared" si="550"/>
        <v/>
      </c>
      <c r="AT978" s="465" t="str">
        <f t="shared" si="551"/>
        <v/>
      </c>
      <c r="AU978" s="466" t="str">
        <f t="shared" si="552"/>
        <v/>
      </c>
      <c r="AV978" s="467" t="str">
        <f t="shared" si="553"/>
        <v/>
      </c>
      <c r="AW978" s="467" t="str">
        <f t="shared" si="554"/>
        <v/>
      </c>
      <c r="AX978" s="467" t="str">
        <f t="shared" si="555"/>
        <v/>
      </c>
      <c r="AY978" s="467" t="str">
        <f t="shared" si="556"/>
        <v/>
      </c>
      <c r="AZ978" s="467" t="str">
        <f t="shared" si="557"/>
        <v/>
      </c>
      <c r="BA978" s="468" t="str">
        <f>IF(AS978="","",IF(OR(AU978="",AU978="-"),"－",IF(OR(AZ978=8,AZ978=9),"",IF(OR(AW978=3,AW978=4,AW978=5,AW978=6),VLOOKUP(AU978,INDEX((係数_バス貨物_ガソリン,係数_バス貨物_CNG,係数_バス貨物_軽油,係数_バス貨物_メタノール,係数_バス貨物_LPG),MATCH(AY978,【参考】排出係数!$AI$4:$AI$671,1),1,BE978):INDEX((係数_バス貨物_ガソリン,係数_バス貨物_CNG,係数_バス貨物_軽油,係数_バス貨物_メタノール,係数_バス貨物_LPG),MATCH(AY978+1,【参考】排出係数!$AI$4:$AI$671,1)-1,5,BE978),2,FALSE),IF(OR(AW978=1,AW978=2),VLOOKUP(AU978,INDEX((係数_乗用_ガソリン,係数_乗用_CNG,係数_乗用_軽油,係数_乗用_メタノール,係数_乗用_LPG),1,1,BE978):INDEX((係数_乗用_ガソリン,係数_乗用_CNG,係数_乗用_軽油,係数_乗用_メタノール,係数_乗用_LPG),125,5,BE978),2,FALSE))))))</f>
        <v/>
      </c>
      <c r="BB978" s="468" t="str">
        <f>IF(T978="","",IF(OR(AU978="",AU978="-"),"－",IF(OR(AZ978=8,AZ978=9),"",IF(OR(AW978=3,AW978=4,AW978=5,AW978=6),VLOOKUP(AU978,INDEX((係数_バス貨物_ガソリン,係数_バス貨物_CNG,係数_バス貨物_軽油,係数_バス貨物_メタノール,係数_バス貨物_LPG),MATCH(AY978,【参考】排出係数!$AI$4:$AI$671,1),1,BE978):INDEX((係数_バス貨物_ガソリン,係数_バス貨物_CNG,係数_バス貨物_軽油,係数_バス貨物_メタノール,係数_バス貨物_LPG),MATCH(AY978+1,【参考】排出係数!$AI$4:$AI$671,1)-1,5,BE978),3,FALSE),IF(OR(AW978=1,AW978=2),VLOOKUP(AU978,INDEX((係数_乗用_ガソリン,係数_乗用_CNG,係数_乗用_軽油,係数_乗用_メタノール,係数_乗用_LPG),1,1,BE978):INDEX((係数_乗用_ガソリン,係数_乗用_CNG,係数_乗用_軽油,係数_乗用_メタノール,係数_乗用_LPG),125,5,BE978),3,FALSE))))))</f>
        <v/>
      </c>
      <c r="BC978" s="467" t="str">
        <f t="shared" si="558"/>
        <v/>
      </c>
      <c r="BD978" s="567" t="str">
        <f t="shared" si="559"/>
        <v/>
      </c>
      <c r="BE978" s="467" t="str">
        <f t="shared" si="560"/>
        <v/>
      </c>
      <c r="BF978" s="469" t="str">
        <f t="shared" ca="1" si="561"/>
        <v/>
      </c>
      <c r="BG978" s="469" t="str">
        <f t="shared" ca="1" si="562"/>
        <v/>
      </c>
      <c r="BH978" s="467" t="str">
        <f t="shared" si="563"/>
        <v/>
      </c>
      <c r="BI978" s="467" t="str">
        <f t="shared" ca="1" si="564"/>
        <v/>
      </c>
      <c r="BJ978" s="469" t="str">
        <f t="shared" si="565"/>
        <v/>
      </c>
      <c r="BK978" s="470" t="str">
        <f t="shared" si="549"/>
        <v/>
      </c>
      <c r="BL978" s="775" t="str">
        <f t="shared" si="566"/>
        <v/>
      </c>
      <c r="BM978" s="775" t="str">
        <f t="shared" si="567"/>
        <v/>
      </c>
    </row>
    <row r="979" spans="1:65">
      <c r="A979" s="473">
        <v>923</v>
      </c>
      <c r="B979" s="132"/>
      <c r="C979" s="332"/>
      <c r="D979" s="333"/>
      <c r="E979" s="333"/>
      <c r="F979" s="334"/>
      <c r="G979" s="337"/>
      <c r="H979" s="131"/>
      <c r="I979" s="337"/>
      <c r="J979" s="131"/>
      <c r="K979" s="458" t="str">
        <f t="shared" si="530"/>
        <v/>
      </c>
      <c r="L979" s="458">
        <f t="shared" si="531"/>
        <v>0</v>
      </c>
      <c r="M979" s="458">
        <f t="shared" si="532"/>
        <v>0</v>
      </c>
      <c r="N979" s="459" t="str">
        <f t="shared" si="543"/>
        <v/>
      </c>
      <c r="O979" s="459" t="str">
        <f t="shared" si="544"/>
        <v/>
      </c>
      <c r="P979" s="459" t="str">
        <f t="shared" si="545"/>
        <v/>
      </c>
      <c r="Q979" s="459" t="str">
        <f t="shared" si="546"/>
        <v/>
      </c>
      <c r="R979" s="459" t="str">
        <f t="shared" si="547"/>
        <v/>
      </c>
      <c r="S979" s="459" t="str">
        <f t="shared" si="548"/>
        <v/>
      </c>
      <c r="T979" s="566" t="str">
        <f t="shared" si="533"/>
        <v/>
      </c>
      <c r="U979" s="702"/>
      <c r="V979" s="132"/>
      <c r="W979" s="133"/>
      <c r="X979" s="134"/>
      <c r="Y979" s="135"/>
      <c r="Z979" s="137"/>
      <c r="AA979" s="136"/>
      <c r="AB979" s="566" t="str">
        <f t="shared" si="534"/>
        <v/>
      </c>
      <c r="AC979" s="568" t="str">
        <f t="shared" si="535"/>
        <v/>
      </c>
      <c r="AD979" s="137"/>
      <c r="AE979" s="137"/>
      <c r="AF979" s="138"/>
      <c r="AG979" s="138"/>
      <c r="AH979" s="592" t="str">
        <f t="shared" si="536"/>
        <v/>
      </c>
      <c r="AI979" s="592" t="str">
        <f t="shared" si="537"/>
        <v/>
      </c>
      <c r="AJ979" s="592" t="str">
        <f t="shared" si="538"/>
        <v/>
      </c>
      <c r="AK979" s="460" t="str">
        <f>IF(AU979="","",IF(OR(AZ979=8,AZ979=9),0,IF(OR(AW979=3,AW979=4,AW979=5,AW979=6),IF(LEFT(BF979,1)="1",INDEX(係数_NOX・PM低減,MATCH(AY979,【参考】排出係数!$AI$801:$AI$804,1),1),VLOOKUP(AU979,INDEX((係数_バス貨物_ガソリン,係数_バス貨物_CNG,係数_バス貨物_軽油,係数_バス貨物_メタノール,係数_バス貨物_LPG),MATCH(AY979,【参考】排出係数!$AI$4:$AI$671,1),1,BE979):INDEX((係数_バス貨物_ガソリン,係数_バス貨物_CNG,係数_バス貨物_軽油,係数_バス貨物_メタノール,係数_バス貨物_LPG),MATCH(AY979+1,【参考】排出係数!$AI$4:$AI$671,1)-1,5,BE979),4,FALSE)),IF(AND(BE979=3,LEFT(BF979,1)="1"),0.48,VLOOKUP(AU979,INDEX((係数_乗用_ガソリン,係数_乗用_CNG,係数_乗用_軽油,係数_乗用_メタノール,係数_乗用_LPG),1,1,BE979):INDEX((係数_乗用_ガソリン,係数_乗用_CNG,係数_乗用_軽油,係数_乗用_メタノール,係数_乗用_LPG),125,5,BE979),4,FALSE)))))</f>
        <v/>
      </c>
      <c r="AL979" s="461" t="str">
        <f t="shared" si="539"/>
        <v/>
      </c>
      <c r="AM979" s="460" t="str">
        <f>IF(AU979="","",IF(OR(AZ979=8,AZ979=9),0,IF(OR(AW979=3,AW979=4,AW979=5,AW979=6),IF(LEFT(BH979,1)="1",INDEX(係数_PM低減,MATCH(AY979,【参考】排出係数!$AI$801:$AI$804,1),MATCH(BI979,【参考】排出係数!$AL$798:$AO$798,1)),VLOOKUP(AU979,INDEX((係数_バス貨物_ガソリン,係数_バス貨物_CNG,係数_バス貨物_軽油,係数_バス貨物_メタノール,係数_バス貨物_LPG),MATCH(AY979,【参考】排出係数!$AI$4:$AI$671,1),1,BE979):INDEX((係数_バス貨物_ガソリン,係数_バス貨物_CNG,係数_バス貨物_軽油,係数_バス貨物_メタノール,係数_バス貨物_LPG),MATCH(AY979+1,【参考】排出係数!$AI$4:$AI$671,1)-1,5,BE979),5,FALSE)),IF(AND(BE979=3,LEFT(BF979,1)="1"),0.055,VLOOKUP(AU979,INDEX((係数_乗用_ガソリン,係数_乗用_CNG,係数_乗用_軽油,係数_乗用_メタノール,係数_乗用_LPG),1,1,BE979):INDEX((係数_乗用_ガソリン,係数_乗用_CNG,係数_乗用_軽油,係数_乗用_メタノール,係数_乗用_LPG),125,5,BE979),5,FALSE)))))</f>
        <v/>
      </c>
      <c r="AN979" s="461" t="str">
        <f t="shared" si="540"/>
        <v/>
      </c>
      <c r="AO979" s="462" t="str">
        <f t="shared" si="541"/>
        <v/>
      </c>
      <c r="AP979" s="463" t="str">
        <f t="shared" si="542"/>
        <v/>
      </c>
      <c r="AQ979" s="464"/>
      <c r="AR979" s="619"/>
      <c r="AS979" s="465" t="str">
        <f t="shared" si="550"/>
        <v/>
      </c>
      <c r="AT979" s="465" t="str">
        <f t="shared" si="551"/>
        <v/>
      </c>
      <c r="AU979" s="466" t="str">
        <f t="shared" si="552"/>
        <v/>
      </c>
      <c r="AV979" s="467" t="str">
        <f t="shared" si="553"/>
        <v/>
      </c>
      <c r="AW979" s="467" t="str">
        <f t="shared" si="554"/>
        <v/>
      </c>
      <c r="AX979" s="467" t="str">
        <f t="shared" si="555"/>
        <v/>
      </c>
      <c r="AY979" s="467" t="str">
        <f t="shared" si="556"/>
        <v/>
      </c>
      <c r="AZ979" s="467" t="str">
        <f t="shared" si="557"/>
        <v/>
      </c>
      <c r="BA979" s="468" t="str">
        <f>IF(AS979="","",IF(OR(AU979="",AU979="-"),"－",IF(OR(AZ979=8,AZ979=9),"",IF(OR(AW979=3,AW979=4,AW979=5,AW979=6),VLOOKUP(AU979,INDEX((係数_バス貨物_ガソリン,係数_バス貨物_CNG,係数_バス貨物_軽油,係数_バス貨物_メタノール,係数_バス貨物_LPG),MATCH(AY979,【参考】排出係数!$AI$4:$AI$671,1),1,BE979):INDEX((係数_バス貨物_ガソリン,係数_バス貨物_CNG,係数_バス貨物_軽油,係数_バス貨物_メタノール,係数_バス貨物_LPG),MATCH(AY979+1,【参考】排出係数!$AI$4:$AI$671,1)-1,5,BE979),2,FALSE),IF(OR(AW979=1,AW979=2),VLOOKUP(AU979,INDEX((係数_乗用_ガソリン,係数_乗用_CNG,係数_乗用_軽油,係数_乗用_メタノール,係数_乗用_LPG),1,1,BE979):INDEX((係数_乗用_ガソリン,係数_乗用_CNG,係数_乗用_軽油,係数_乗用_メタノール,係数_乗用_LPG),125,5,BE979),2,FALSE))))))</f>
        <v/>
      </c>
      <c r="BB979" s="468" t="str">
        <f>IF(T979="","",IF(OR(AU979="",AU979="-"),"－",IF(OR(AZ979=8,AZ979=9),"",IF(OR(AW979=3,AW979=4,AW979=5,AW979=6),VLOOKUP(AU979,INDEX((係数_バス貨物_ガソリン,係数_バス貨物_CNG,係数_バス貨物_軽油,係数_バス貨物_メタノール,係数_バス貨物_LPG),MATCH(AY979,【参考】排出係数!$AI$4:$AI$671,1),1,BE979):INDEX((係数_バス貨物_ガソリン,係数_バス貨物_CNG,係数_バス貨物_軽油,係数_バス貨物_メタノール,係数_バス貨物_LPG),MATCH(AY979+1,【参考】排出係数!$AI$4:$AI$671,1)-1,5,BE979),3,FALSE),IF(OR(AW979=1,AW979=2),VLOOKUP(AU979,INDEX((係数_乗用_ガソリン,係数_乗用_CNG,係数_乗用_軽油,係数_乗用_メタノール,係数_乗用_LPG),1,1,BE979):INDEX((係数_乗用_ガソリン,係数_乗用_CNG,係数_乗用_軽油,係数_乗用_メタノール,係数_乗用_LPG),125,5,BE979),3,FALSE))))))</f>
        <v/>
      </c>
      <c r="BC979" s="467" t="str">
        <f t="shared" si="558"/>
        <v/>
      </c>
      <c r="BD979" s="567" t="str">
        <f t="shared" si="559"/>
        <v/>
      </c>
      <c r="BE979" s="467" t="str">
        <f t="shared" si="560"/>
        <v/>
      </c>
      <c r="BF979" s="469" t="str">
        <f t="shared" ca="1" si="561"/>
        <v/>
      </c>
      <c r="BG979" s="469" t="str">
        <f t="shared" ca="1" si="562"/>
        <v/>
      </c>
      <c r="BH979" s="467" t="str">
        <f t="shared" si="563"/>
        <v/>
      </c>
      <c r="BI979" s="467" t="str">
        <f t="shared" ca="1" si="564"/>
        <v/>
      </c>
      <c r="BJ979" s="469" t="str">
        <f t="shared" si="565"/>
        <v/>
      </c>
      <c r="BK979" s="470" t="str">
        <f t="shared" si="549"/>
        <v/>
      </c>
      <c r="BL979" s="775" t="str">
        <f t="shared" si="566"/>
        <v/>
      </c>
      <c r="BM979" s="775" t="str">
        <f t="shared" si="567"/>
        <v/>
      </c>
    </row>
    <row r="980" spans="1:65">
      <c r="A980" s="473">
        <v>924</v>
      </c>
      <c r="B980" s="132"/>
      <c r="C980" s="332"/>
      <c r="D980" s="333"/>
      <c r="E980" s="333"/>
      <c r="F980" s="334"/>
      <c r="G980" s="337"/>
      <c r="H980" s="131"/>
      <c r="I980" s="337"/>
      <c r="J980" s="131"/>
      <c r="K980" s="458" t="str">
        <f t="shared" si="530"/>
        <v/>
      </c>
      <c r="L980" s="458">
        <f t="shared" si="531"/>
        <v>0</v>
      </c>
      <c r="M980" s="458">
        <f t="shared" si="532"/>
        <v>0</v>
      </c>
      <c r="N980" s="459" t="str">
        <f t="shared" si="543"/>
        <v/>
      </c>
      <c r="O980" s="459" t="str">
        <f t="shared" si="544"/>
        <v/>
      </c>
      <c r="P980" s="459" t="str">
        <f t="shared" si="545"/>
        <v/>
      </c>
      <c r="Q980" s="459" t="str">
        <f t="shared" si="546"/>
        <v/>
      </c>
      <c r="R980" s="459" t="str">
        <f t="shared" si="547"/>
        <v/>
      </c>
      <c r="S980" s="459" t="str">
        <f t="shared" si="548"/>
        <v/>
      </c>
      <c r="T980" s="566" t="str">
        <f t="shared" si="533"/>
        <v/>
      </c>
      <c r="U980" s="702"/>
      <c r="V980" s="132"/>
      <c r="W980" s="133"/>
      <c r="X980" s="134"/>
      <c r="Y980" s="135"/>
      <c r="Z980" s="137"/>
      <c r="AA980" s="136"/>
      <c r="AB980" s="566" t="str">
        <f t="shared" si="534"/>
        <v/>
      </c>
      <c r="AC980" s="568" t="str">
        <f t="shared" si="535"/>
        <v/>
      </c>
      <c r="AD980" s="137"/>
      <c r="AE980" s="137"/>
      <c r="AF980" s="138"/>
      <c r="AG980" s="138"/>
      <c r="AH980" s="592" t="str">
        <f t="shared" si="536"/>
        <v/>
      </c>
      <c r="AI980" s="592" t="str">
        <f t="shared" si="537"/>
        <v/>
      </c>
      <c r="AJ980" s="592" t="str">
        <f t="shared" si="538"/>
        <v/>
      </c>
      <c r="AK980" s="460" t="str">
        <f>IF(AU980="","",IF(OR(AZ980=8,AZ980=9),0,IF(OR(AW980=3,AW980=4,AW980=5,AW980=6),IF(LEFT(BF980,1)="1",INDEX(係数_NOX・PM低減,MATCH(AY980,【参考】排出係数!$AI$801:$AI$804,1),1),VLOOKUP(AU980,INDEX((係数_バス貨物_ガソリン,係数_バス貨物_CNG,係数_バス貨物_軽油,係数_バス貨物_メタノール,係数_バス貨物_LPG),MATCH(AY980,【参考】排出係数!$AI$4:$AI$671,1),1,BE980):INDEX((係数_バス貨物_ガソリン,係数_バス貨物_CNG,係数_バス貨物_軽油,係数_バス貨物_メタノール,係数_バス貨物_LPG),MATCH(AY980+1,【参考】排出係数!$AI$4:$AI$671,1)-1,5,BE980),4,FALSE)),IF(AND(BE980=3,LEFT(BF980,1)="1"),0.48,VLOOKUP(AU980,INDEX((係数_乗用_ガソリン,係数_乗用_CNG,係数_乗用_軽油,係数_乗用_メタノール,係数_乗用_LPG),1,1,BE980):INDEX((係数_乗用_ガソリン,係数_乗用_CNG,係数_乗用_軽油,係数_乗用_メタノール,係数_乗用_LPG),125,5,BE980),4,FALSE)))))</f>
        <v/>
      </c>
      <c r="AL980" s="461" t="str">
        <f t="shared" si="539"/>
        <v/>
      </c>
      <c r="AM980" s="460" t="str">
        <f>IF(AU980="","",IF(OR(AZ980=8,AZ980=9),0,IF(OR(AW980=3,AW980=4,AW980=5,AW980=6),IF(LEFT(BH980,1)="1",INDEX(係数_PM低減,MATCH(AY980,【参考】排出係数!$AI$801:$AI$804,1),MATCH(BI980,【参考】排出係数!$AL$798:$AO$798,1)),VLOOKUP(AU980,INDEX((係数_バス貨物_ガソリン,係数_バス貨物_CNG,係数_バス貨物_軽油,係数_バス貨物_メタノール,係数_バス貨物_LPG),MATCH(AY980,【参考】排出係数!$AI$4:$AI$671,1),1,BE980):INDEX((係数_バス貨物_ガソリン,係数_バス貨物_CNG,係数_バス貨物_軽油,係数_バス貨物_メタノール,係数_バス貨物_LPG),MATCH(AY980+1,【参考】排出係数!$AI$4:$AI$671,1)-1,5,BE980),5,FALSE)),IF(AND(BE980=3,LEFT(BF980,1)="1"),0.055,VLOOKUP(AU980,INDEX((係数_乗用_ガソリン,係数_乗用_CNG,係数_乗用_軽油,係数_乗用_メタノール,係数_乗用_LPG),1,1,BE980):INDEX((係数_乗用_ガソリン,係数_乗用_CNG,係数_乗用_軽油,係数_乗用_メタノール,係数_乗用_LPG),125,5,BE980),5,FALSE)))))</f>
        <v/>
      </c>
      <c r="AN980" s="461" t="str">
        <f t="shared" si="540"/>
        <v/>
      </c>
      <c r="AO980" s="462" t="str">
        <f t="shared" si="541"/>
        <v/>
      </c>
      <c r="AP980" s="463" t="str">
        <f t="shared" si="542"/>
        <v/>
      </c>
      <c r="AQ980" s="464"/>
      <c r="AR980" s="619"/>
      <c r="AS980" s="465" t="str">
        <f t="shared" si="550"/>
        <v/>
      </c>
      <c r="AT980" s="465" t="str">
        <f t="shared" si="551"/>
        <v/>
      </c>
      <c r="AU980" s="466" t="str">
        <f t="shared" si="552"/>
        <v/>
      </c>
      <c r="AV980" s="467" t="str">
        <f t="shared" si="553"/>
        <v/>
      </c>
      <c r="AW980" s="467" t="str">
        <f t="shared" si="554"/>
        <v/>
      </c>
      <c r="AX980" s="467" t="str">
        <f t="shared" si="555"/>
        <v/>
      </c>
      <c r="AY980" s="467" t="str">
        <f t="shared" si="556"/>
        <v/>
      </c>
      <c r="AZ980" s="467" t="str">
        <f t="shared" si="557"/>
        <v/>
      </c>
      <c r="BA980" s="468" t="str">
        <f>IF(AS980="","",IF(OR(AU980="",AU980="-"),"－",IF(OR(AZ980=8,AZ980=9),"",IF(OR(AW980=3,AW980=4,AW980=5,AW980=6),VLOOKUP(AU980,INDEX((係数_バス貨物_ガソリン,係数_バス貨物_CNG,係数_バス貨物_軽油,係数_バス貨物_メタノール,係数_バス貨物_LPG),MATCH(AY980,【参考】排出係数!$AI$4:$AI$671,1),1,BE980):INDEX((係数_バス貨物_ガソリン,係数_バス貨物_CNG,係数_バス貨物_軽油,係数_バス貨物_メタノール,係数_バス貨物_LPG),MATCH(AY980+1,【参考】排出係数!$AI$4:$AI$671,1)-1,5,BE980),2,FALSE),IF(OR(AW980=1,AW980=2),VLOOKUP(AU980,INDEX((係数_乗用_ガソリン,係数_乗用_CNG,係数_乗用_軽油,係数_乗用_メタノール,係数_乗用_LPG),1,1,BE980):INDEX((係数_乗用_ガソリン,係数_乗用_CNG,係数_乗用_軽油,係数_乗用_メタノール,係数_乗用_LPG),125,5,BE980),2,FALSE))))))</f>
        <v/>
      </c>
      <c r="BB980" s="468" t="str">
        <f>IF(T980="","",IF(OR(AU980="",AU980="-"),"－",IF(OR(AZ980=8,AZ980=9),"",IF(OR(AW980=3,AW980=4,AW980=5,AW980=6),VLOOKUP(AU980,INDEX((係数_バス貨物_ガソリン,係数_バス貨物_CNG,係数_バス貨物_軽油,係数_バス貨物_メタノール,係数_バス貨物_LPG),MATCH(AY980,【参考】排出係数!$AI$4:$AI$671,1),1,BE980):INDEX((係数_バス貨物_ガソリン,係数_バス貨物_CNG,係数_バス貨物_軽油,係数_バス貨物_メタノール,係数_バス貨物_LPG),MATCH(AY980+1,【参考】排出係数!$AI$4:$AI$671,1)-1,5,BE980),3,FALSE),IF(OR(AW980=1,AW980=2),VLOOKUP(AU980,INDEX((係数_乗用_ガソリン,係数_乗用_CNG,係数_乗用_軽油,係数_乗用_メタノール,係数_乗用_LPG),1,1,BE980):INDEX((係数_乗用_ガソリン,係数_乗用_CNG,係数_乗用_軽油,係数_乗用_メタノール,係数_乗用_LPG),125,5,BE980),3,FALSE))))))</f>
        <v/>
      </c>
      <c r="BC980" s="467" t="str">
        <f t="shared" si="558"/>
        <v/>
      </c>
      <c r="BD980" s="567" t="str">
        <f t="shared" si="559"/>
        <v/>
      </c>
      <c r="BE980" s="467" t="str">
        <f t="shared" si="560"/>
        <v/>
      </c>
      <c r="BF980" s="469" t="str">
        <f t="shared" ca="1" si="561"/>
        <v/>
      </c>
      <c r="BG980" s="469" t="str">
        <f t="shared" ca="1" si="562"/>
        <v/>
      </c>
      <c r="BH980" s="467" t="str">
        <f t="shared" si="563"/>
        <v/>
      </c>
      <c r="BI980" s="467" t="str">
        <f t="shared" ca="1" si="564"/>
        <v/>
      </c>
      <c r="BJ980" s="469" t="str">
        <f t="shared" si="565"/>
        <v/>
      </c>
      <c r="BK980" s="470" t="str">
        <f t="shared" si="549"/>
        <v/>
      </c>
      <c r="BL980" s="775" t="str">
        <f t="shared" si="566"/>
        <v/>
      </c>
      <c r="BM980" s="775" t="str">
        <f t="shared" si="567"/>
        <v/>
      </c>
    </row>
    <row r="981" spans="1:65">
      <c r="A981" s="473">
        <v>925</v>
      </c>
      <c r="B981" s="132"/>
      <c r="C981" s="332"/>
      <c r="D981" s="333"/>
      <c r="E981" s="333"/>
      <c r="F981" s="334"/>
      <c r="G981" s="337"/>
      <c r="H981" s="131"/>
      <c r="I981" s="337"/>
      <c r="J981" s="131"/>
      <c r="K981" s="458" t="str">
        <f t="shared" si="530"/>
        <v/>
      </c>
      <c r="L981" s="458">
        <f t="shared" si="531"/>
        <v>0</v>
      </c>
      <c r="M981" s="458">
        <f t="shared" si="532"/>
        <v>0</v>
      </c>
      <c r="N981" s="459" t="str">
        <f t="shared" si="543"/>
        <v/>
      </c>
      <c r="O981" s="459" t="str">
        <f t="shared" si="544"/>
        <v/>
      </c>
      <c r="P981" s="459" t="str">
        <f t="shared" si="545"/>
        <v/>
      </c>
      <c r="Q981" s="459" t="str">
        <f t="shared" si="546"/>
        <v/>
      </c>
      <c r="R981" s="459" t="str">
        <f t="shared" si="547"/>
        <v/>
      </c>
      <c r="S981" s="459" t="str">
        <f t="shared" si="548"/>
        <v/>
      </c>
      <c r="T981" s="566" t="str">
        <f t="shared" si="533"/>
        <v/>
      </c>
      <c r="U981" s="702"/>
      <c r="V981" s="132"/>
      <c r="W981" s="133"/>
      <c r="X981" s="134"/>
      <c r="Y981" s="135"/>
      <c r="Z981" s="137"/>
      <c r="AA981" s="136"/>
      <c r="AB981" s="566" t="str">
        <f t="shared" si="534"/>
        <v/>
      </c>
      <c r="AC981" s="568" t="str">
        <f t="shared" si="535"/>
        <v/>
      </c>
      <c r="AD981" s="137"/>
      <c r="AE981" s="137"/>
      <c r="AF981" s="138"/>
      <c r="AG981" s="138"/>
      <c r="AH981" s="592" t="str">
        <f t="shared" si="536"/>
        <v/>
      </c>
      <c r="AI981" s="592" t="str">
        <f t="shared" si="537"/>
        <v/>
      </c>
      <c r="AJ981" s="592" t="str">
        <f t="shared" si="538"/>
        <v/>
      </c>
      <c r="AK981" s="460" t="str">
        <f>IF(AU981="","",IF(OR(AZ981=8,AZ981=9),0,IF(OR(AW981=3,AW981=4,AW981=5,AW981=6),IF(LEFT(BF981,1)="1",INDEX(係数_NOX・PM低減,MATCH(AY981,【参考】排出係数!$AI$801:$AI$804,1),1),VLOOKUP(AU981,INDEX((係数_バス貨物_ガソリン,係数_バス貨物_CNG,係数_バス貨物_軽油,係数_バス貨物_メタノール,係数_バス貨物_LPG),MATCH(AY981,【参考】排出係数!$AI$4:$AI$671,1),1,BE981):INDEX((係数_バス貨物_ガソリン,係数_バス貨物_CNG,係数_バス貨物_軽油,係数_バス貨物_メタノール,係数_バス貨物_LPG),MATCH(AY981+1,【参考】排出係数!$AI$4:$AI$671,1)-1,5,BE981),4,FALSE)),IF(AND(BE981=3,LEFT(BF981,1)="1"),0.48,VLOOKUP(AU981,INDEX((係数_乗用_ガソリン,係数_乗用_CNG,係数_乗用_軽油,係数_乗用_メタノール,係数_乗用_LPG),1,1,BE981):INDEX((係数_乗用_ガソリン,係数_乗用_CNG,係数_乗用_軽油,係数_乗用_メタノール,係数_乗用_LPG),125,5,BE981),4,FALSE)))))</f>
        <v/>
      </c>
      <c r="AL981" s="461" t="str">
        <f t="shared" si="539"/>
        <v/>
      </c>
      <c r="AM981" s="460" t="str">
        <f>IF(AU981="","",IF(OR(AZ981=8,AZ981=9),0,IF(OR(AW981=3,AW981=4,AW981=5,AW981=6),IF(LEFT(BH981,1)="1",INDEX(係数_PM低減,MATCH(AY981,【参考】排出係数!$AI$801:$AI$804,1),MATCH(BI981,【参考】排出係数!$AL$798:$AO$798,1)),VLOOKUP(AU981,INDEX((係数_バス貨物_ガソリン,係数_バス貨物_CNG,係数_バス貨物_軽油,係数_バス貨物_メタノール,係数_バス貨物_LPG),MATCH(AY981,【参考】排出係数!$AI$4:$AI$671,1),1,BE981):INDEX((係数_バス貨物_ガソリン,係数_バス貨物_CNG,係数_バス貨物_軽油,係数_バス貨物_メタノール,係数_バス貨物_LPG),MATCH(AY981+1,【参考】排出係数!$AI$4:$AI$671,1)-1,5,BE981),5,FALSE)),IF(AND(BE981=3,LEFT(BF981,1)="1"),0.055,VLOOKUP(AU981,INDEX((係数_乗用_ガソリン,係数_乗用_CNG,係数_乗用_軽油,係数_乗用_メタノール,係数_乗用_LPG),1,1,BE981):INDEX((係数_乗用_ガソリン,係数_乗用_CNG,係数_乗用_軽油,係数_乗用_メタノール,係数_乗用_LPG),125,5,BE981),5,FALSE)))))</f>
        <v/>
      </c>
      <c r="AN981" s="461" t="str">
        <f t="shared" si="540"/>
        <v/>
      </c>
      <c r="AO981" s="462" t="str">
        <f t="shared" si="541"/>
        <v/>
      </c>
      <c r="AP981" s="463" t="str">
        <f t="shared" si="542"/>
        <v/>
      </c>
      <c r="AQ981" s="464"/>
      <c r="AR981" s="619"/>
      <c r="AS981" s="465" t="str">
        <f t="shared" si="550"/>
        <v/>
      </c>
      <c r="AT981" s="465" t="str">
        <f t="shared" si="551"/>
        <v/>
      </c>
      <c r="AU981" s="466" t="str">
        <f t="shared" si="552"/>
        <v/>
      </c>
      <c r="AV981" s="467" t="str">
        <f t="shared" si="553"/>
        <v/>
      </c>
      <c r="AW981" s="467" t="str">
        <f t="shared" si="554"/>
        <v/>
      </c>
      <c r="AX981" s="467" t="str">
        <f t="shared" si="555"/>
        <v/>
      </c>
      <c r="AY981" s="467" t="str">
        <f t="shared" si="556"/>
        <v/>
      </c>
      <c r="AZ981" s="467" t="str">
        <f t="shared" si="557"/>
        <v/>
      </c>
      <c r="BA981" s="468" t="str">
        <f>IF(AS981="","",IF(OR(AU981="",AU981="-"),"－",IF(OR(AZ981=8,AZ981=9),"",IF(OR(AW981=3,AW981=4,AW981=5,AW981=6),VLOOKUP(AU981,INDEX((係数_バス貨物_ガソリン,係数_バス貨物_CNG,係数_バス貨物_軽油,係数_バス貨物_メタノール,係数_バス貨物_LPG),MATCH(AY981,【参考】排出係数!$AI$4:$AI$671,1),1,BE981):INDEX((係数_バス貨物_ガソリン,係数_バス貨物_CNG,係数_バス貨物_軽油,係数_バス貨物_メタノール,係数_バス貨物_LPG),MATCH(AY981+1,【参考】排出係数!$AI$4:$AI$671,1)-1,5,BE981),2,FALSE),IF(OR(AW981=1,AW981=2),VLOOKUP(AU981,INDEX((係数_乗用_ガソリン,係数_乗用_CNG,係数_乗用_軽油,係数_乗用_メタノール,係数_乗用_LPG),1,1,BE981):INDEX((係数_乗用_ガソリン,係数_乗用_CNG,係数_乗用_軽油,係数_乗用_メタノール,係数_乗用_LPG),125,5,BE981),2,FALSE))))))</f>
        <v/>
      </c>
      <c r="BB981" s="468" t="str">
        <f>IF(T981="","",IF(OR(AU981="",AU981="-"),"－",IF(OR(AZ981=8,AZ981=9),"",IF(OR(AW981=3,AW981=4,AW981=5,AW981=6),VLOOKUP(AU981,INDEX((係数_バス貨物_ガソリン,係数_バス貨物_CNG,係数_バス貨物_軽油,係数_バス貨物_メタノール,係数_バス貨物_LPG),MATCH(AY981,【参考】排出係数!$AI$4:$AI$671,1),1,BE981):INDEX((係数_バス貨物_ガソリン,係数_バス貨物_CNG,係数_バス貨物_軽油,係数_バス貨物_メタノール,係数_バス貨物_LPG),MATCH(AY981+1,【参考】排出係数!$AI$4:$AI$671,1)-1,5,BE981),3,FALSE),IF(OR(AW981=1,AW981=2),VLOOKUP(AU981,INDEX((係数_乗用_ガソリン,係数_乗用_CNG,係数_乗用_軽油,係数_乗用_メタノール,係数_乗用_LPG),1,1,BE981):INDEX((係数_乗用_ガソリン,係数_乗用_CNG,係数_乗用_軽油,係数_乗用_メタノール,係数_乗用_LPG),125,5,BE981),3,FALSE))))))</f>
        <v/>
      </c>
      <c r="BC981" s="467" t="str">
        <f t="shared" si="558"/>
        <v/>
      </c>
      <c r="BD981" s="567" t="str">
        <f t="shared" si="559"/>
        <v/>
      </c>
      <c r="BE981" s="467" t="str">
        <f t="shared" si="560"/>
        <v/>
      </c>
      <c r="BF981" s="469" t="str">
        <f t="shared" ca="1" si="561"/>
        <v/>
      </c>
      <c r="BG981" s="469" t="str">
        <f t="shared" ca="1" si="562"/>
        <v/>
      </c>
      <c r="BH981" s="467" t="str">
        <f t="shared" si="563"/>
        <v/>
      </c>
      <c r="BI981" s="467" t="str">
        <f t="shared" ca="1" si="564"/>
        <v/>
      </c>
      <c r="BJ981" s="469" t="str">
        <f t="shared" si="565"/>
        <v/>
      </c>
      <c r="BK981" s="470" t="str">
        <f t="shared" si="549"/>
        <v/>
      </c>
      <c r="BL981" s="775" t="str">
        <f t="shared" si="566"/>
        <v/>
      </c>
      <c r="BM981" s="775" t="str">
        <f t="shared" si="567"/>
        <v/>
      </c>
    </row>
    <row r="982" spans="1:65">
      <c r="A982" s="473">
        <v>926</v>
      </c>
      <c r="B982" s="132"/>
      <c r="C982" s="332"/>
      <c r="D982" s="333"/>
      <c r="E982" s="333"/>
      <c r="F982" s="334"/>
      <c r="G982" s="337"/>
      <c r="H982" s="131"/>
      <c r="I982" s="337"/>
      <c r="J982" s="131"/>
      <c r="K982" s="458" t="str">
        <f t="shared" si="530"/>
        <v/>
      </c>
      <c r="L982" s="458">
        <f t="shared" si="531"/>
        <v>0</v>
      </c>
      <c r="M982" s="458">
        <f t="shared" si="532"/>
        <v>0</v>
      </c>
      <c r="N982" s="459" t="str">
        <f t="shared" si="543"/>
        <v/>
      </c>
      <c r="O982" s="459" t="str">
        <f t="shared" si="544"/>
        <v/>
      </c>
      <c r="P982" s="459" t="str">
        <f t="shared" si="545"/>
        <v/>
      </c>
      <c r="Q982" s="459" t="str">
        <f t="shared" si="546"/>
        <v/>
      </c>
      <c r="R982" s="459" t="str">
        <f t="shared" si="547"/>
        <v/>
      </c>
      <c r="S982" s="459" t="str">
        <f t="shared" si="548"/>
        <v/>
      </c>
      <c r="T982" s="566" t="str">
        <f t="shared" si="533"/>
        <v/>
      </c>
      <c r="U982" s="702"/>
      <c r="V982" s="132"/>
      <c r="W982" s="133"/>
      <c r="X982" s="134"/>
      <c r="Y982" s="135"/>
      <c r="Z982" s="137"/>
      <c r="AA982" s="136"/>
      <c r="AB982" s="566" t="str">
        <f t="shared" si="534"/>
        <v/>
      </c>
      <c r="AC982" s="568" t="str">
        <f t="shared" si="535"/>
        <v/>
      </c>
      <c r="AD982" s="137"/>
      <c r="AE982" s="137"/>
      <c r="AF982" s="138"/>
      <c r="AG982" s="138"/>
      <c r="AH982" s="592" t="str">
        <f t="shared" si="536"/>
        <v/>
      </c>
      <c r="AI982" s="592" t="str">
        <f t="shared" si="537"/>
        <v/>
      </c>
      <c r="AJ982" s="592" t="str">
        <f t="shared" si="538"/>
        <v/>
      </c>
      <c r="AK982" s="460" t="str">
        <f>IF(AU982="","",IF(OR(AZ982=8,AZ982=9),0,IF(OR(AW982=3,AW982=4,AW982=5,AW982=6),IF(LEFT(BF982,1)="1",INDEX(係数_NOX・PM低減,MATCH(AY982,【参考】排出係数!$AI$801:$AI$804,1),1),VLOOKUP(AU982,INDEX((係数_バス貨物_ガソリン,係数_バス貨物_CNG,係数_バス貨物_軽油,係数_バス貨物_メタノール,係数_バス貨物_LPG),MATCH(AY982,【参考】排出係数!$AI$4:$AI$671,1),1,BE982):INDEX((係数_バス貨物_ガソリン,係数_バス貨物_CNG,係数_バス貨物_軽油,係数_バス貨物_メタノール,係数_バス貨物_LPG),MATCH(AY982+1,【参考】排出係数!$AI$4:$AI$671,1)-1,5,BE982),4,FALSE)),IF(AND(BE982=3,LEFT(BF982,1)="1"),0.48,VLOOKUP(AU982,INDEX((係数_乗用_ガソリン,係数_乗用_CNG,係数_乗用_軽油,係数_乗用_メタノール,係数_乗用_LPG),1,1,BE982):INDEX((係数_乗用_ガソリン,係数_乗用_CNG,係数_乗用_軽油,係数_乗用_メタノール,係数_乗用_LPG),125,5,BE982),4,FALSE)))))</f>
        <v/>
      </c>
      <c r="AL982" s="461" t="str">
        <f t="shared" si="539"/>
        <v/>
      </c>
      <c r="AM982" s="460" t="str">
        <f>IF(AU982="","",IF(OR(AZ982=8,AZ982=9),0,IF(OR(AW982=3,AW982=4,AW982=5,AW982=6),IF(LEFT(BH982,1)="1",INDEX(係数_PM低減,MATCH(AY982,【参考】排出係数!$AI$801:$AI$804,1),MATCH(BI982,【参考】排出係数!$AL$798:$AO$798,1)),VLOOKUP(AU982,INDEX((係数_バス貨物_ガソリン,係数_バス貨物_CNG,係数_バス貨物_軽油,係数_バス貨物_メタノール,係数_バス貨物_LPG),MATCH(AY982,【参考】排出係数!$AI$4:$AI$671,1),1,BE982):INDEX((係数_バス貨物_ガソリン,係数_バス貨物_CNG,係数_バス貨物_軽油,係数_バス貨物_メタノール,係数_バス貨物_LPG),MATCH(AY982+1,【参考】排出係数!$AI$4:$AI$671,1)-1,5,BE982),5,FALSE)),IF(AND(BE982=3,LEFT(BF982,1)="1"),0.055,VLOOKUP(AU982,INDEX((係数_乗用_ガソリン,係数_乗用_CNG,係数_乗用_軽油,係数_乗用_メタノール,係数_乗用_LPG),1,1,BE982):INDEX((係数_乗用_ガソリン,係数_乗用_CNG,係数_乗用_軽油,係数_乗用_メタノール,係数_乗用_LPG),125,5,BE982),5,FALSE)))))</f>
        <v/>
      </c>
      <c r="AN982" s="461" t="str">
        <f t="shared" si="540"/>
        <v/>
      </c>
      <c r="AO982" s="462" t="str">
        <f t="shared" si="541"/>
        <v/>
      </c>
      <c r="AP982" s="463" t="str">
        <f t="shared" si="542"/>
        <v/>
      </c>
      <c r="AQ982" s="464"/>
      <c r="AR982" s="619"/>
      <c r="AS982" s="465" t="str">
        <f t="shared" si="550"/>
        <v/>
      </c>
      <c r="AT982" s="465" t="str">
        <f t="shared" si="551"/>
        <v/>
      </c>
      <c r="AU982" s="466" t="str">
        <f t="shared" si="552"/>
        <v/>
      </c>
      <c r="AV982" s="467" t="str">
        <f t="shared" si="553"/>
        <v/>
      </c>
      <c r="AW982" s="467" t="str">
        <f t="shared" si="554"/>
        <v/>
      </c>
      <c r="AX982" s="467" t="str">
        <f t="shared" si="555"/>
        <v/>
      </c>
      <c r="AY982" s="467" t="str">
        <f t="shared" si="556"/>
        <v/>
      </c>
      <c r="AZ982" s="467" t="str">
        <f t="shared" si="557"/>
        <v/>
      </c>
      <c r="BA982" s="468" t="str">
        <f>IF(AS982="","",IF(OR(AU982="",AU982="-"),"－",IF(OR(AZ982=8,AZ982=9),"",IF(OR(AW982=3,AW982=4,AW982=5,AW982=6),VLOOKUP(AU982,INDEX((係数_バス貨物_ガソリン,係数_バス貨物_CNG,係数_バス貨物_軽油,係数_バス貨物_メタノール,係数_バス貨物_LPG),MATCH(AY982,【参考】排出係数!$AI$4:$AI$671,1),1,BE982):INDEX((係数_バス貨物_ガソリン,係数_バス貨物_CNG,係数_バス貨物_軽油,係数_バス貨物_メタノール,係数_バス貨物_LPG),MATCH(AY982+1,【参考】排出係数!$AI$4:$AI$671,1)-1,5,BE982),2,FALSE),IF(OR(AW982=1,AW982=2),VLOOKUP(AU982,INDEX((係数_乗用_ガソリン,係数_乗用_CNG,係数_乗用_軽油,係数_乗用_メタノール,係数_乗用_LPG),1,1,BE982):INDEX((係数_乗用_ガソリン,係数_乗用_CNG,係数_乗用_軽油,係数_乗用_メタノール,係数_乗用_LPG),125,5,BE982),2,FALSE))))))</f>
        <v/>
      </c>
      <c r="BB982" s="468" t="str">
        <f>IF(T982="","",IF(OR(AU982="",AU982="-"),"－",IF(OR(AZ982=8,AZ982=9),"",IF(OR(AW982=3,AW982=4,AW982=5,AW982=6),VLOOKUP(AU982,INDEX((係数_バス貨物_ガソリン,係数_バス貨物_CNG,係数_バス貨物_軽油,係数_バス貨物_メタノール,係数_バス貨物_LPG),MATCH(AY982,【参考】排出係数!$AI$4:$AI$671,1),1,BE982):INDEX((係数_バス貨物_ガソリン,係数_バス貨物_CNG,係数_バス貨物_軽油,係数_バス貨物_メタノール,係数_バス貨物_LPG),MATCH(AY982+1,【参考】排出係数!$AI$4:$AI$671,1)-1,5,BE982),3,FALSE),IF(OR(AW982=1,AW982=2),VLOOKUP(AU982,INDEX((係数_乗用_ガソリン,係数_乗用_CNG,係数_乗用_軽油,係数_乗用_メタノール,係数_乗用_LPG),1,1,BE982):INDEX((係数_乗用_ガソリン,係数_乗用_CNG,係数_乗用_軽油,係数_乗用_メタノール,係数_乗用_LPG),125,5,BE982),3,FALSE))))))</f>
        <v/>
      </c>
      <c r="BC982" s="467" t="str">
        <f t="shared" si="558"/>
        <v/>
      </c>
      <c r="BD982" s="567" t="str">
        <f t="shared" si="559"/>
        <v/>
      </c>
      <c r="BE982" s="467" t="str">
        <f t="shared" si="560"/>
        <v/>
      </c>
      <c r="BF982" s="469" t="str">
        <f t="shared" ca="1" si="561"/>
        <v/>
      </c>
      <c r="BG982" s="469" t="str">
        <f t="shared" ca="1" si="562"/>
        <v/>
      </c>
      <c r="BH982" s="467" t="str">
        <f t="shared" si="563"/>
        <v/>
      </c>
      <c r="BI982" s="467" t="str">
        <f t="shared" ca="1" si="564"/>
        <v/>
      </c>
      <c r="BJ982" s="469" t="str">
        <f t="shared" si="565"/>
        <v/>
      </c>
      <c r="BK982" s="470" t="str">
        <f t="shared" si="549"/>
        <v/>
      </c>
      <c r="BL982" s="775" t="str">
        <f t="shared" si="566"/>
        <v/>
      </c>
      <c r="BM982" s="775" t="str">
        <f t="shared" si="567"/>
        <v/>
      </c>
    </row>
    <row r="983" spans="1:65">
      <c r="A983" s="473">
        <v>927</v>
      </c>
      <c r="B983" s="132"/>
      <c r="C983" s="332"/>
      <c r="D983" s="333"/>
      <c r="E983" s="333"/>
      <c r="F983" s="334"/>
      <c r="G983" s="337"/>
      <c r="H983" s="131"/>
      <c r="I983" s="337"/>
      <c r="J983" s="131"/>
      <c r="K983" s="458" t="str">
        <f t="shared" si="530"/>
        <v/>
      </c>
      <c r="L983" s="458">
        <f t="shared" si="531"/>
        <v>0</v>
      </c>
      <c r="M983" s="458">
        <f t="shared" si="532"/>
        <v>0</v>
      </c>
      <c r="N983" s="459" t="str">
        <f t="shared" si="543"/>
        <v/>
      </c>
      <c r="O983" s="459" t="str">
        <f t="shared" si="544"/>
        <v/>
      </c>
      <c r="P983" s="459" t="str">
        <f t="shared" si="545"/>
        <v/>
      </c>
      <c r="Q983" s="459" t="str">
        <f t="shared" si="546"/>
        <v/>
      </c>
      <c r="R983" s="459" t="str">
        <f t="shared" si="547"/>
        <v/>
      </c>
      <c r="S983" s="459" t="str">
        <f t="shared" si="548"/>
        <v/>
      </c>
      <c r="T983" s="566" t="str">
        <f t="shared" si="533"/>
        <v/>
      </c>
      <c r="U983" s="702"/>
      <c r="V983" s="132"/>
      <c r="W983" s="133"/>
      <c r="X983" s="134"/>
      <c r="Y983" s="135"/>
      <c r="Z983" s="137"/>
      <c r="AA983" s="136"/>
      <c r="AB983" s="566" t="str">
        <f t="shared" si="534"/>
        <v/>
      </c>
      <c r="AC983" s="568" t="str">
        <f t="shared" si="535"/>
        <v/>
      </c>
      <c r="AD983" s="137"/>
      <c r="AE983" s="137"/>
      <c r="AF983" s="138"/>
      <c r="AG983" s="138"/>
      <c r="AH983" s="592" t="str">
        <f t="shared" si="536"/>
        <v/>
      </c>
      <c r="AI983" s="592" t="str">
        <f t="shared" si="537"/>
        <v/>
      </c>
      <c r="AJ983" s="592" t="str">
        <f t="shared" si="538"/>
        <v/>
      </c>
      <c r="AK983" s="460" t="str">
        <f>IF(AU983="","",IF(OR(AZ983=8,AZ983=9),0,IF(OR(AW983=3,AW983=4,AW983=5,AW983=6),IF(LEFT(BF983,1)="1",INDEX(係数_NOX・PM低減,MATCH(AY983,【参考】排出係数!$AI$801:$AI$804,1),1),VLOOKUP(AU983,INDEX((係数_バス貨物_ガソリン,係数_バス貨物_CNG,係数_バス貨物_軽油,係数_バス貨物_メタノール,係数_バス貨物_LPG),MATCH(AY983,【参考】排出係数!$AI$4:$AI$671,1),1,BE983):INDEX((係数_バス貨物_ガソリン,係数_バス貨物_CNG,係数_バス貨物_軽油,係数_バス貨物_メタノール,係数_バス貨物_LPG),MATCH(AY983+1,【参考】排出係数!$AI$4:$AI$671,1)-1,5,BE983),4,FALSE)),IF(AND(BE983=3,LEFT(BF983,1)="1"),0.48,VLOOKUP(AU983,INDEX((係数_乗用_ガソリン,係数_乗用_CNG,係数_乗用_軽油,係数_乗用_メタノール,係数_乗用_LPG),1,1,BE983):INDEX((係数_乗用_ガソリン,係数_乗用_CNG,係数_乗用_軽油,係数_乗用_メタノール,係数_乗用_LPG),125,5,BE983),4,FALSE)))))</f>
        <v/>
      </c>
      <c r="AL983" s="461" t="str">
        <f t="shared" si="539"/>
        <v/>
      </c>
      <c r="AM983" s="460" t="str">
        <f>IF(AU983="","",IF(OR(AZ983=8,AZ983=9),0,IF(OR(AW983=3,AW983=4,AW983=5,AW983=6),IF(LEFT(BH983,1)="1",INDEX(係数_PM低減,MATCH(AY983,【参考】排出係数!$AI$801:$AI$804,1),MATCH(BI983,【参考】排出係数!$AL$798:$AO$798,1)),VLOOKUP(AU983,INDEX((係数_バス貨物_ガソリン,係数_バス貨物_CNG,係数_バス貨物_軽油,係数_バス貨物_メタノール,係数_バス貨物_LPG),MATCH(AY983,【参考】排出係数!$AI$4:$AI$671,1),1,BE983):INDEX((係数_バス貨物_ガソリン,係数_バス貨物_CNG,係数_バス貨物_軽油,係数_バス貨物_メタノール,係数_バス貨物_LPG),MATCH(AY983+1,【参考】排出係数!$AI$4:$AI$671,1)-1,5,BE983),5,FALSE)),IF(AND(BE983=3,LEFT(BF983,1)="1"),0.055,VLOOKUP(AU983,INDEX((係数_乗用_ガソリン,係数_乗用_CNG,係数_乗用_軽油,係数_乗用_メタノール,係数_乗用_LPG),1,1,BE983):INDEX((係数_乗用_ガソリン,係数_乗用_CNG,係数_乗用_軽油,係数_乗用_メタノール,係数_乗用_LPG),125,5,BE983),5,FALSE)))))</f>
        <v/>
      </c>
      <c r="AN983" s="461" t="str">
        <f t="shared" si="540"/>
        <v/>
      </c>
      <c r="AO983" s="462" t="str">
        <f t="shared" si="541"/>
        <v/>
      </c>
      <c r="AP983" s="463" t="str">
        <f t="shared" si="542"/>
        <v/>
      </c>
      <c r="AQ983" s="464"/>
      <c r="AR983" s="619"/>
      <c r="AS983" s="465" t="str">
        <f t="shared" si="550"/>
        <v/>
      </c>
      <c r="AT983" s="465" t="str">
        <f t="shared" si="551"/>
        <v/>
      </c>
      <c r="AU983" s="466" t="str">
        <f t="shared" si="552"/>
        <v/>
      </c>
      <c r="AV983" s="467" t="str">
        <f t="shared" si="553"/>
        <v/>
      </c>
      <c r="AW983" s="467" t="str">
        <f t="shared" si="554"/>
        <v/>
      </c>
      <c r="AX983" s="467" t="str">
        <f t="shared" si="555"/>
        <v/>
      </c>
      <c r="AY983" s="467" t="str">
        <f t="shared" si="556"/>
        <v/>
      </c>
      <c r="AZ983" s="467" t="str">
        <f t="shared" si="557"/>
        <v/>
      </c>
      <c r="BA983" s="468" t="str">
        <f>IF(AS983="","",IF(OR(AU983="",AU983="-"),"－",IF(OR(AZ983=8,AZ983=9),"",IF(OR(AW983=3,AW983=4,AW983=5,AW983=6),VLOOKUP(AU983,INDEX((係数_バス貨物_ガソリン,係数_バス貨物_CNG,係数_バス貨物_軽油,係数_バス貨物_メタノール,係数_バス貨物_LPG),MATCH(AY983,【参考】排出係数!$AI$4:$AI$671,1),1,BE983):INDEX((係数_バス貨物_ガソリン,係数_バス貨物_CNG,係数_バス貨物_軽油,係数_バス貨物_メタノール,係数_バス貨物_LPG),MATCH(AY983+1,【参考】排出係数!$AI$4:$AI$671,1)-1,5,BE983),2,FALSE),IF(OR(AW983=1,AW983=2),VLOOKUP(AU983,INDEX((係数_乗用_ガソリン,係数_乗用_CNG,係数_乗用_軽油,係数_乗用_メタノール,係数_乗用_LPG),1,1,BE983):INDEX((係数_乗用_ガソリン,係数_乗用_CNG,係数_乗用_軽油,係数_乗用_メタノール,係数_乗用_LPG),125,5,BE983),2,FALSE))))))</f>
        <v/>
      </c>
      <c r="BB983" s="468" t="str">
        <f>IF(T983="","",IF(OR(AU983="",AU983="-"),"－",IF(OR(AZ983=8,AZ983=9),"",IF(OR(AW983=3,AW983=4,AW983=5,AW983=6),VLOOKUP(AU983,INDEX((係数_バス貨物_ガソリン,係数_バス貨物_CNG,係数_バス貨物_軽油,係数_バス貨物_メタノール,係数_バス貨物_LPG),MATCH(AY983,【参考】排出係数!$AI$4:$AI$671,1),1,BE983):INDEX((係数_バス貨物_ガソリン,係数_バス貨物_CNG,係数_バス貨物_軽油,係数_バス貨物_メタノール,係数_バス貨物_LPG),MATCH(AY983+1,【参考】排出係数!$AI$4:$AI$671,1)-1,5,BE983),3,FALSE),IF(OR(AW983=1,AW983=2),VLOOKUP(AU983,INDEX((係数_乗用_ガソリン,係数_乗用_CNG,係数_乗用_軽油,係数_乗用_メタノール,係数_乗用_LPG),1,1,BE983):INDEX((係数_乗用_ガソリン,係数_乗用_CNG,係数_乗用_軽油,係数_乗用_メタノール,係数_乗用_LPG),125,5,BE983),3,FALSE))))))</f>
        <v/>
      </c>
      <c r="BC983" s="467" t="str">
        <f t="shared" si="558"/>
        <v/>
      </c>
      <c r="BD983" s="567" t="str">
        <f t="shared" si="559"/>
        <v/>
      </c>
      <c r="BE983" s="467" t="str">
        <f t="shared" si="560"/>
        <v/>
      </c>
      <c r="BF983" s="469" t="str">
        <f t="shared" ca="1" si="561"/>
        <v/>
      </c>
      <c r="BG983" s="469" t="str">
        <f t="shared" ca="1" si="562"/>
        <v/>
      </c>
      <c r="BH983" s="467" t="str">
        <f t="shared" si="563"/>
        <v/>
      </c>
      <c r="BI983" s="467" t="str">
        <f t="shared" ca="1" si="564"/>
        <v/>
      </c>
      <c r="BJ983" s="469" t="str">
        <f t="shared" si="565"/>
        <v/>
      </c>
      <c r="BK983" s="470" t="str">
        <f t="shared" si="549"/>
        <v/>
      </c>
      <c r="BL983" s="775" t="str">
        <f t="shared" si="566"/>
        <v/>
      </c>
      <c r="BM983" s="775" t="str">
        <f t="shared" si="567"/>
        <v/>
      </c>
    </row>
    <row r="984" spans="1:65">
      <c r="A984" s="473">
        <v>928</v>
      </c>
      <c r="B984" s="132"/>
      <c r="C984" s="332"/>
      <c r="D984" s="333"/>
      <c r="E984" s="333"/>
      <c r="F984" s="334"/>
      <c r="G984" s="337"/>
      <c r="H984" s="131"/>
      <c r="I984" s="337"/>
      <c r="J984" s="131"/>
      <c r="K984" s="458" t="str">
        <f t="shared" si="530"/>
        <v/>
      </c>
      <c r="L984" s="458">
        <f t="shared" si="531"/>
        <v>0</v>
      </c>
      <c r="M984" s="458">
        <f t="shared" si="532"/>
        <v>0</v>
      </c>
      <c r="N984" s="459" t="str">
        <f t="shared" si="543"/>
        <v/>
      </c>
      <c r="O984" s="459" t="str">
        <f t="shared" si="544"/>
        <v/>
      </c>
      <c r="P984" s="459" t="str">
        <f t="shared" si="545"/>
        <v/>
      </c>
      <c r="Q984" s="459" t="str">
        <f t="shared" si="546"/>
        <v/>
      </c>
      <c r="R984" s="459" t="str">
        <f t="shared" si="547"/>
        <v/>
      </c>
      <c r="S984" s="459" t="str">
        <f t="shared" si="548"/>
        <v/>
      </c>
      <c r="T984" s="566" t="str">
        <f t="shared" si="533"/>
        <v/>
      </c>
      <c r="U984" s="702"/>
      <c r="V984" s="132"/>
      <c r="W984" s="133"/>
      <c r="X984" s="134"/>
      <c r="Y984" s="135"/>
      <c r="Z984" s="137"/>
      <c r="AA984" s="136"/>
      <c r="AB984" s="566" t="str">
        <f t="shared" si="534"/>
        <v/>
      </c>
      <c r="AC984" s="568" t="str">
        <f t="shared" si="535"/>
        <v/>
      </c>
      <c r="AD984" s="137"/>
      <c r="AE984" s="137"/>
      <c r="AF984" s="138"/>
      <c r="AG984" s="138"/>
      <c r="AH984" s="592" t="str">
        <f t="shared" si="536"/>
        <v/>
      </c>
      <c r="AI984" s="592" t="str">
        <f t="shared" si="537"/>
        <v/>
      </c>
      <c r="AJ984" s="592" t="str">
        <f t="shared" si="538"/>
        <v/>
      </c>
      <c r="AK984" s="460" t="str">
        <f>IF(AU984="","",IF(OR(AZ984=8,AZ984=9),0,IF(OR(AW984=3,AW984=4,AW984=5,AW984=6),IF(LEFT(BF984,1)="1",INDEX(係数_NOX・PM低減,MATCH(AY984,【参考】排出係数!$AI$801:$AI$804,1),1),VLOOKUP(AU984,INDEX((係数_バス貨物_ガソリン,係数_バス貨物_CNG,係数_バス貨物_軽油,係数_バス貨物_メタノール,係数_バス貨物_LPG),MATCH(AY984,【参考】排出係数!$AI$4:$AI$671,1),1,BE984):INDEX((係数_バス貨物_ガソリン,係数_バス貨物_CNG,係数_バス貨物_軽油,係数_バス貨物_メタノール,係数_バス貨物_LPG),MATCH(AY984+1,【参考】排出係数!$AI$4:$AI$671,1)-1,5,BE984),4,FALSE)),IF(AND(BE984=3,LEFT(BF984,1)="1"),0.48,VLOOKUP(AU984,INDEX((係数_乗用_ガソリン,係数_乗用_CNG,係数_乗用_軽油,係数_乗用_メタノール,係数_乗用_LPG),1,1,BE984):INDEX((係数_乗用_ガソリン,係数_乗用_CNG,係数_乗用_軽油,係数_乗用_メタノール,係数_乗用_LPG),125,5,BE984),4,FALSE)))))</f>
        <v/>
      </c>
      <c r="AL984" s="461" t="str">
        <f t="shared" si="539"/>
        <v/>
      </c>
      <c r="AM984" s="460" t="str">
        <f>IF(AU984="","",IF(OR(AZ984=8,AZ984=9),0,IF(OR(AW984=3,AW984=4,AW984=5,AW984=6),IF(LEFT(BH984,1)="1",INDEX(係数_PM低減,MATCH(AY984,【参考】排出係数!$AI$801:$AI$804,1),MATCH(BI984,【参考】排出係数!$AL$798:$AO$798,1)),VLOOKUP(AU984,INDEX((係数_バス貨物_ガソリン,係数_バス貨物_CNG,係数_バス貨物_軽油,係数_バス貨物_メタノール,係数_バス貨物_LPG),MATCH(AY984,【参考】排出係数!$AI$4:$AI$671,1),1,BE984):INDEX((係数_バス貨物_ガソリン,係数_バス貨物_CNG,係数_バス貨物_軽油,係数_バス貨物_メタノール,係数_バス貨物_LPG),MATCH(AY984+1,【参考】排出係数!$AI$4:$AI$671,1)-1,5,BE984),5,FALSE)),IF(AND(BE984=3,LEFT(BF984,1)="1"),0.055,VLOOKUP(AU984,INDEX((係数_乗用_ガソリン,係数_乗用_CNG,係数_乗用_軽油,係数_乗用_メタノール,係数_乗用_LPG),1,1,BE984):INDEX((係数_乗用_ガソリン,係数_乗用_CNG,係数_乗用_軽油,係数_乗用_メタノール,係数_乗用_LPG),125,5,BE984),5,FALSE)))))</f>
        <v/>
      </c>
      <c r="AN984" s="461" t="str">
        <f t="shared" si="540"/>
        <v/>
      </c>
      <c r="AO984" s="462" t="str">
        <f t="shared" si="541"/>
        <v/>
      </c>
      <c r="AP984" s="463" t="str">
        <f t="shared" si="542"/>
        <v/>
      </c>
      <c r="AQ984" s="464"/>
      <c r="AR984" s="619"/>
      <c r="AS984" s="465" t="str">
        <f t="shared" si="550"/>
        <v/>
      </c>
      <c r="AT984" s="465" t="str">
        <f t="shared" si="551"/>
        <v/>
      </c>
      <c r="AU984" s="466" t="str">
        <f t="shared" si="552"/>
        <v/>
      </c>
      <c r="AV984" s="467" t="str">
        <f t="shared" si="553"/>
        <v/>
      </c>
      <c r="AW984" s="467" t="str">
        <f t="shared" si="554"/>
        <v/>
      </c>
      <c r="AX984" s="467" t="str">
        <f t="shared" si="555"/>
        <v/>
      </c>
      <c r="AY984" s="467" t="str">
        <f t="shared" si="556"/>
        <v/>
      </c>
      <c r="AZ984" s="467" t="str">
        <f t="shared" si="557"/>
        <v/>
      </c>
      <c r="BA984" s="468" t="str">
        <f>IF(AS984="","",IF(OR(AU984="",AU984="-"),"－",IF(OR(AZ984=8,AZ984=9),"",IF(OR(AW984=3,AW984=4,AW984=5,AW984=6),VLOOKUP(AU984,INDEX((係数_バス貨物_ガソリン,係数_バス貨物_CNG,係数_バス貨物_軽油,係数_バス貨物_メタノール,係数_バス貨物_LPG),MATCH(AY984,【参考】排出係数!$AI$4:$AI$671,1),1,BE984):INDEX((係数_バス貨物_ガソリン,係数_バス貨物_CNG,係数_バス貨物_軽油,係数_バス貨物_メタノール,係数_バス貨物_LPG),MATCH(AY984+1,【参考】排出係数!$AI$4:$AI$671,1)-1,5,BE984),2,FALSE),IF(OR(AW984=1,AW984=2),VLOOKUP(AU984,INDEX((係数_乗用_ガソリン,係数_乗用_CNG,係数_乗用_軽油,係数_乗用_メタノール,係数_乗用_LPG),1,1,BE984):INDEX((係数_乗用_ガソリン,係数_乗用_CNG,係数_乗用_軽油,係数_乗用_メタノール,係数_乗用_LPG),125,5,BE984),2,FALSE))))))</f>
        <v/>
      </c>
      <c r="BB984" s="468" t="str">
        <f>IF(T984="","",IF(OR(AU984="",AU984="-"),"－",IF(OR(AZ984=8,AZ984=9),"",IF(OR(AW984=3,AW984=4,AW984=5,AW984=6),VLOOKUP(AU984,INDEX((係数_バス貨物_ガソリン,係数_バス貨物_CNG,係数_バス貨物_軽油,係数_バス貨物_メタノール,係数_バス貨物_LPG),MATCH(AY984,【参考】排出係数!$AI$4:$AI$671,1),1,BE984):INDEX((係数_バス貨物_ガソリン,係数_バス貨物_CNG,係数_バス貨物_軽油,係数_バス貨物_メタノール,係数_バス貨物_LPG),MATCH(AY984+1,【参考】排出係数!$AI$4:$AI$671,1)-1,5,BE984),3,FALSE),IF(OR(AW984=1,AW984=2),VLOOKUP(AU984,INDEX((係数_乗用_ガソリン,係数_乗用_CNG,係数_乗用_軽油,係数_乗用_メタノール,係数_乗用_LPG),1,1,BE984):INDEX((係数_乗用_ガソリン,係数_乗用_CNG,係数_乗用_軽油,係数_乗用_メタノール,係数_乗用_LPG),125,5,BE984),3,FALSE))))))</f>
        <v/>
      </c>
      <c r="BC984" s="467" t="str">
        <f t="shared" si="558"/>
        <v/>
      </c>
      <c r="BD984" s="567" t="str">
        <f t="shared" si="559"/>
        <v/>
      </c>
      <c r="BE984" s="467" t="str">
        <f t="shared" si="560"/>
        <v/>
      </c>
      <c r="BF984" s="469" t="str">
        <f t="shared" ca="1" si="561"/>
        <v/>
      </c>
      <c r="BG984" s="469" t="str">
        <f t="shared" ca="1" si="562"/>
        <v/>
      </c>
      <c r="BH984" s="467" t="str">
        <f t="shared" si="563"/>
        <v/>
      </c>
      <c r="BI984" s="467" t="str">
        <f t="shared" ca="1" si="564"/>
        <v/>
      </c>
      <c r="BJ984" s="469" t="str">
        <f t="shared" si="565"/>
        <v/>
      </c>
      <c r="BK984" s="470" t="str">
        <f t="shared" si="549"/>
        <v/>
      </c>
      <c r="BL984" s="775" t="str">
        <f t="shared" si="566"/>
        <v/>
      </c>
      <c r="BM984" s="775" t="str">
        <f t="shared" si="567"/>
        <v/>
      </c>
    </row>
    <row r="985" spans="1:65">
      <c r="A985" s="473">
        <v>929</v>
      </c>
      <c r="B985" s="132"/>
      <c r="C985" s="332"/>
      <c r="D985" s="333"/>
      <c r="E985" s="333"/>
      <c r="F985" s="334"/>
      <c r="G985" s="337"/>
      <c r="H985" s="131"/>
      <c r="I985" s="337"/>
      <c r="J985" s="131"/>
      <c r="K985" s="458" t="str">
        <f t="shared" si="530"/>
        <v/>
      </c>
      <c r="L985" s="458">
        <f t="shared" si="531"/>
        <v>0</v>
      </c>
      <c r="M985" s="458">
        <f t="shared" si="532"/>
        <v>0</v>
      </c>
      <c r="N985" s="459" t="str">
        <f t="shared" si="543"/>
        <v/>
      </c>
      <c r="O985" s="459" t="str">
        <f t="shared" si="544"/>
        <v/>
      </c>
      <c r="P985" s="459" t="str">
        <f t="shared" si="545"/>
        <v/>
      </c>
      <c r="Q985" s="459" t="str">
        <f t="shared" si="546"/>
        <v/>
      </c>
      <c r="R985" s="459" t="str">
        <f t="shared" si="547"/>
        <v/>
      </c>
      <c r="S985" s="459" t="str">
        <f t="shared" si="548"/>
        <v/>
      </c>
      <c r="T985" s="566" t="str">
        <f t="shared" si="533"/>
        <v/>
      </c>
      <c r="U985" s="702"/>
      <c r="V985" s="132"/>
      <c r="W985" s="133"/>
      <c r="X985" s="134"/>
      <c r="Y985" s="135"/>
      <c r="Z985" s="137"/>
      <c r="AA985" s="136"/>
      <c r="AB985" s="566" t="str">
        <f t="shared" si="534"/>
        <v/>
      </c>
      <c r="AC985" s="568" t="str">
        <f t="shared" si="535"/>
        <v/>
      </c>
      <c r="AD985" s="137"/>
      <c r="AE985" s="137"/>
      <c r="AF985" s="138"/>
      <c r="AG985" s="138"/>
      <c r="AH985" s="592" t="str">
        <f t="shared" si="536"/>
        <v/>
      </c>
      <c r="AI985" s="592" t="str">
        <f t="shared" si="537"/>
        <v/>
      </c>
      <c r="AJ985" s="592" t="str">
        <f t="shared" si="538"/>
        <v/>
      </c>
      <c r="AK985" s="460" t="str">
        <f>IF(AU985="","",IF(OR(AZ985=8,AZ985=9),0,IF(OR(AW985=3,AW985=4,AW985=5,AW985=6),IF(LEFT(BF985,1)="1",INDEX(係数_NOX・PM低減,MATCH(AY985,【参考】排出係数!$AI$801:$AI$804,1),1),VLOOKUP(AU985,INDEX((係数_バス貨物_ガソリン,係数_バス貨物_CNG,係数_バス貨物_軽油,係数_バス貨物_メタノール,係数_バス貨物_LPG),MATCH(AY985,【参考】排出係数!$AI$4:$AI$671,1),1,BE985):INDEX((係数_バス貨物_ガソリン,係数_バス貨物_CNG,係数_バス貨物_軽油,係数_バス貨物_メタノール,係数_バス貨物_LPG),MATCH(AY985+1,【参考】排出係数!$AI$4:$AI$671,1)-1,5,BE985),4,FALSE)),IF(AND(BE985=3,LEFT(BF985,1)="1"),0.48,VLOOKUP(AU985,INDEX((係数_乗用_ガソリン,係数_乗用_CNG,係数_乗用_軽油,係数_乗用_メタノール,係数_乗用_LPG),1,1,BE985):INDEX((係数_乗用_ガソリン,係数_乗用_CNG,係数_乗用_軽油,係数_乗用_メタノール,係数_乗用_LPG),125,5,BE985),4,FALSE)))))</f>
        <v/>
      </c>
      <c r="AL985" s="461" t="str">
        <f t="shared" si="539"/>
        <v/>
      </c>
      <c r="AM985" s="460" t="str">
        <f>IF(AU985="","",IF(OR(AZ985=8,AZ985=9),0,IF(OR(AW985=3,AW985=4,AW985=5,AW985=6),IF(LEFT(BH985,1)="1",INDEX(係数_PM低減,MATCH(AY985,【参考】排出係数!$AI$801:$AI$804,1),MATCH(BI985,【参考】排出係数!$AL$798:$AO$798,1)),VLOOKUP(AU985,INDEX((係数_バス貨物_ガソリン,係数_バス貨物_CNG,係数_バス貨物_軽油,係数_バス貨物_メタノール,係数_バス貨物_LPG),MATCH(AY985,【参考】排出係数!$AI$4:$AI$671,1),1,BE985):INDEX((係数_バス貨物_ガソリン,係数_バス貨物_CNG,係数_バス貨物_軽油,係数_バス貨物_メタノール,係数_バス貨物_LPG),MATCH(AY985+1,【参考】排出係数!$AI$4:$AI$671,1)-1,5,BE985),5,FALSE)),IF(AND(BE985=3,LEFT(BF985,1)="1"),0.055,VLOOKUP(AU985,INDEX((係数_乗用_ガソリン,係数_乗用_CNG,係数_乗用_軽油,係数_乗用_メタノール,係数_乗用_LPG),1,1,BE985):INDEX((係数_乗用_ガソリン,係数_乗用_CNG,係数_乗用_軽油,係数_乗用_メタノール,係数_乗用_LPG),125,5,BE985),5,FALSE)))))</f>
        <v/>
      </c>
      <c r="AN985" s="461" t="str">
        <f t="shared" si="540"/>
        <v/>
      </c>
      <c r="AO985" s="462" t="str">
        <f t="shared" si="541"/>
        <v/>
      </c>
      <c r="AP985" s="463" t="str">
        <f t="shared" si="542"/>
        <v/>
      </c>
      <c r="AQ985" s="464"/>
      <c r="AR985" s="619"/>
      <c r="AS985" s="465" t="str">
        <f t="shared" si="550"/>
        <v/>
      </c>
      <c r="AT985" s="465" t="str">
        <f t="shared" si="551"/>
        <v/>
      </c>
      <c r="AU985" s="466" t="str">
        <f t="shared" si="552"/>
        <v/>
      </c>
      <c r="AV985" s="467" t="str">
        <f t="shared" si="553"/>
        <v/>
      </c>
      <c r="AW985" s="467" t="str">
        <f t="shared" si="554"/>
        <v/>
      </c>
      <c r="AX985" s="467" t="str">
        <f t="shared" si="555"/>
        <v/>
      </c>
      <c r="AY985" s="467" t="str">
        <f t="shared" si="556"/>
        <v/>
      </c>
      <c r="AZ985" s="467" t="str">
        <f t="shared" si="557"/>
        <v/>
      </c>
      <c r="BA985" s="468" t="str">
        <f>IF(AS985="","",IF(OR(AU985="",AU985="-"),"－",IF(OR(AZ985=8,AZ985=9),"",IF(OR(AW985=3,AW985=4,AW985=5,AW985=6),VLOOKUP(AU985,INDEX((係数_バス貨物_ガソリン,係数_バス貨物_CNG,係数_バス貨物_軽油,係数_バス貨物_メタノール,係数_バス貨物_LPG),MATCH(AY985,【参考】排出係数!$AI$4:$AI$671,1),1,BE985):INDEX((係数_バス貨物_ガソリン,係数_バス貨物_CNG,係数_バス貨物_軽油,係数_バス貨物_メタノール,係数_バス貨物_LPG),MATCH(AY985+1,【参考】排出係数!$AI$4:$AI$671,1)-1,5,BE985),2,FALSE),IF(OR(AW985=1,AW985=2),VLOOKUP(AU985,INDEX((係数_乗用_ガソリン,係数_乗用_CNG,係数_乗用_軽油,係数_乗用_メタノール,係数_乗用_LPG),1,1,BE985):INDEX((係数_乗用_ガソリン,係数_乗用_CNG,係数_乗用_軽油,係数_乗用_メタノール,係数_乗用_LPG),125,5,BE985),2,FALSE))))))</f>
        <v/>
      </c>
      <c r="BB985" s="468" t="str">
        <f>IF(T985="","",IF(OR(AU985="",AU985="-"),"－",IF(OR(AZ985=8,AZ985=9),"",IF(OR(AW985=3,AW985=4,AW985=5,AW985=6),VLOOKUP(AU985,INDEX((係数_バス貨物_ガソリン,係数_バス貨物_CNG,係数_バス貨物_軽油,係数_バス貨物_メタノール,係数_バス貨物_LPG),MATCH(AY985,【参考】排出係数!$AI$4:$AI$671,1),1,BE985):INDEX((係数_バス貨物_ガソリン,係数_バス貨物_CNG,係数_バス貨物_軽油,係数_バス貨物_メタノール,係数_バス貨物_LPG),MATCH(AY985+1,【参考】排出係数!$AI$4:$AI$671,1)-1,5,BE985),3,FALSE),IF(OR(AW985=1,AW985=2),VLOOKUP(AU985,INDEX((係数_乗用_ガソリン,係数_乗用_CNG,係数_乗用_軽油,係数_乗用_メタノール,係数_乗用_LPG),1,1,BE985):INDEX((係数_乗用_ガソリン,係数_乗用_CNG,係数_乗用_軽油,係数_乗用_メタノール,係数_乗用_LPG),125,5,BE985),3,FALSE))))))</f>
        <v/>
      </c>
      <c r="BC985" s="467" t="str">
        <f t="shared" si="558"/>
        <v/>
      </c>
      <c r="BD985" s="567" t="str">
        <f t="shared" si="559"/>
        <v/>
      </c>
      <c r="BE985" s="467" t="str">
        <f t="shared" si="560"/>
        <v/>
      </c>
      <c r="BF985" s="469" t="str">
        <f t="shared" ca="1" si="561"/>
        <v/>
      </c>
      <c r="BG985" s="469" t="str">
        <f t="shared" ca="1" si="562"/>
        <v/>
      </c>
      <c r="BH985" s="467" t="str">
        <f t="shared" si="563"/>
        <v/>
      </c>
      <c r="BI985" s="467" t="str">
        <f t="shared" ca="1" si="564"/>
        <v/>
      </c>
      <c r="BJ985" s="469" t="str">
        <f t="shared" si="565"/>
        <v/>
      </c>
      <c r="BK985" s="470" t="str">
        <f t="shared" si="549"/>
        <v/>
      </c>
      <c r="BL985" s="775" t="str">
        <f t="shared" si="566"/>
        <v/>
      </c>
      <c r="BM985" s="775" t="str">
        <f t="shared" si="567"/>
        <v/>
      </c>
    </row>
    <row r="986" spans="1:65">
      <c r="A986" s="473">
        <v>930</v>
      </c>
      <c r="B986" s="132"/>
      <c r="C986" s="332"/>
      <c r="D986" s="333"/>
      <c r="E986" s="333"/>
      <c r="F986" s="334"/>
      <c r="G986" s="337"/>
      <c r="H986" s="131"/>
      <c r="I986" s="337"/>
      <c r="J986" s="131"/>
      <c r="K986" s="458" t="str">
        <f t="shared" si="530"/>
        <v/>
      </c>
      <c r="L986" s="458">
        <f t="shared" si="531"/>
        <v>0</v>
      </c>
      <c r="M986" s="458">
        <f t="shared" si="532"/>
        <v>0</v>
      </c>
      <c r="N986" s="459" t="str">
        <f t="shared" si="543"/>
        <v/>
      </c>
      <c r="O986" s="459" t="str">
        <f t="shared" si="544"/>
        <v/>
      </c>
      <c r="P986" s="459" t="str">
        <f t="shared" si="545"/>
        <v/>
      </c>
      <c r="Q986" s="459" t="str">
        <f t="shared" si="546"/>
        <v/>
      </c>
      <c r="R986" s="459" t="str">
        <f t="shared" si="547"/>
        <v/>
      </c>
      <c r="S986" s="459" t="str">
        <f t="shared" si="548"/>
        <v/>
      </c>
      <c r="T986" s="566" t="str">
        <f t="shared" si="533"/>
        <v/>
      </c>
      <c r="U986" s="702"/>
      <c r="V986" s="132"/>
      <c r="W986" s="133"/>
      <c r="X986" s="134"/>
      <c r="Y986" s="135"/>
      <c r="Z986" s="137"/>
      <c r="AA986" s="136"/>
      <c r="AB986" s="566" t="str">
        <f t="shared" si="534"/>
        <v/>
      </c>
      <c r="AC986" s="568" t="str">
        <f t="shared" si="535"/>
        <v/>
      </c>
      <c r="AD986" s="137"/>
      <c r="AE986" s="137"/>
      <c r="AF986" s="138"/>
      <c r="AG986" s="138"/>
      <c r="AH986" s="592" t="str">
        <f t="shared" si="536"/>
        <v/>
      </c>
      <c r="AI986" s="592" t="str">
        <f t="shared" si="537"/>
        <v/>
      </c>
      <c r="AJ986" s="592" t="str">
        <f t="shared" si="538"/>
        <v/>
      </c>
      <c r="AK986" s="460" t="str">
        <f>IF(AU986="","",IF(OR(AZ986=8,AZ986=9),0,IF(OR(AW986=3,AW986=4,AW986=5,AW986=6),IF(LEFT(BF986,1)="1",INDEX(係数_NOX・PM低減,MATCH(AY986,【参考】排出係数!$AI$801:$AI$804,1),1),VLOOKUP(AU986,INDEX((係数_バス貨物_ガソリン,係数_バス貨物_CNG,係数_バス貨物_軽油,係数_バス貨物_メタノール,係数_バス貨物_LPG),MATCH(AY986,【参考】排出係数!$AI$4:$AI$671,1),1,BE986):INDEX((係数_バス貨物_ガソリン,係数_バス貨物_CNG,係数_バス貨物_軽油,係数_バス貨物_メタノール,係数_バス貨物_LPG),MATCH(AY986+1,【参考】排出係数!$AI$4:$AI$671,1)-1,5,BE986),4,FALSE)),IF(AND(BE986=3,LEFT(BF986,1)="1"),0.48,VLOOKUP(AU986,INDEX((係数_乗用_ガソリン,係数_乗用_CNG,係数_乗用_軽油,係数_乗用_メタノール,係数_乗用_LPG),1,1,BE986):INDEX((係数_乗用_ガソリン,係数_乗用_CNG,係数_乗用_軽油,係数_乗用_メタノール,係数_乗用_LPG),125,5,BE986),4,FALSE)))))</f>
        <v/>
      </c>
      <c r="AL986" s="461" t="str">
        <f t="shared" si="539"/>
        <v/>
      </c>
      <c r="AM986" s="460" t="str">
        <f>IF(AU986="","",IF(OR(AZ986=8,AZ986=9),0,IF(OR(AW986=3,AW986=4,AW986=5,AW986=6),IF(LEFT(BH986,1)="1",INDEX(係数_PM低減,MATCH(AY986,【参考】排出係数!$AI$801:$AI$804,1),MATCH(BI986,【参考】排出係数!$AL$798:$AO$798,1)),VLOOKUP(AU986,INDEX((係数_バス貨物_ガソリン,係数_バス貨物_CNG,係数_バス貨物_軽油,係数_バス貨物_メタノール,係数_バス貨物_LPG),MATCH(AY986,【参考】排出係数!$AI$4:$AI$671,1),1,BE986):INDEX((係数_バス貨物_ガソリン,係数_バス貨物_CNG,係数_バス貨物_軽油,係数_バス貨物_メタノール,係数_バス貨物_LPG),MATCH(AY986+1,【参考】排出係数!$AI$4:$AI$671,1)-1,5,BE986),5,FALSE)),IF(AND(BE986=3,LEFT(BF986,1)="1"),0.055,VLOOKUP(AU986,INDEX((係数_乗用_ガソリン,係数_乗用_CNG,係数_乗用_軽油,係数_乗用_メタノール,係数_乗用_LPG),1,1,BE986):INDEX((係数_乗用_ガソリン,係数_乗用_CNG,係数_乗用_軽油,係数_乗用_メタノール,係数_乗用_LPG),125,5,BE986),5,FALSE)))))</f>
        <v/>
      </c>
      <c r="AN986" s="461" t="str">
        <f t="shared" si="540"/>
        <v/>
      </c>
      <c r="AO986" s="462" t="str">
        <f t="shared" si="541"/>
        <v/>
      </c>
      <c r="AP986" s="463" t="str">
        <f t="shared" si="542"/>
        <v/>
      </c>
      <c r="AQ986" s="464"/>
      <c r="AR986" s="619"/>
      <c r="AS986" s="465" t="str">
        <f t="shared" si="550"/>
        <v/>
      </c>
      <c r="AT986" s="465" t="str">
        <f t="shared" si="551"/>
        <v/>
      </c>
      <c r="AU986" s="466" t="str">
        <f t="shared" si="552"/>
        <v/>
      </c>
      <c r="AV986" s="467" t="str">
        <f t="shared" si="553"/>
        <v/>
      </c>
      <c r="AW986" s="467" t="str">
        <f t="shared" si="554"/>
        <v/>
      </c>
      <c r="AX986" s="467" t="str">
        <f t="shared" si="555"/>
        <v/>
      </c>
      <c r="AY986" s="467" t="str">
        <f t="shared" si="556"/>
        <v/>
      </c>
      <c r="AZ986" s="467" t="str">
        <f t="shared" si="557"/>
        <v/>
      </c>
      <c r="BA986" s="468" t="str">
        <f>IF(AS986="","",IF(OR(AU986="",AU986="-"),"－",IF(OR(AZ986=8,AZ986=9),"",IF(OR(AW986=3,AW986=4,AW986=5,AW986=6),VLOOKUP(AU986,INDEX((係数_バス貨物_ガソリン,係数_バス貨物_CNG,係数_バス貨物_軽油,係数_バス貨物_メタノール,係数_バス貨物_LPG),MATCH(AY986,【参考】排出係数!$AI$4:$AI$671,1),1,BE986):INDEX((係数_バス貨物_ガソリン,係数_バス貨物_CNG,係数_バス貨物_軽油,係数_バス貨物_メタノール,係数_バス貨物_LPG),MATCH(AY986+1,【参考】排出係数!$AI$4:$AI$671,1)-1,5,BE986),2,FALSE),IF(OR(AW986=1,AW986=2),VLOOKUP(AU986,INDEX((係数_乗用_ガソリン,係数_乗用_CNG,係数_乗用_軽油,係数_乗用_メタノール,係数_乗用_LPG),1,1,BE986):INDEX((係数_乗用_ガソリン,係数_乗用_CNG,係数_乗用_軽油,係数_乗用_メタノール,係数_乗用_LPG),125,5,BE986),2,FALSE))))))</f>
        <v/>
      </c>
      <c r="BB986" s="468" t="str">
        <f>IF(T986="","",IF(OR(AU986="",AU986="-"),"－",IF(OR(AZ986=8,AZ986=9),"",IF(OR(AW986=3,AW986=4,AW986=5,AW986=6),VLOOKUP(AU986,INDEX((係数_バス貨物_ガソリン,係数_バス貨物_CNG,係数_バス貨物_軽油,係数_バス貨物_メタノール,係数_バス貨物_LPG),MATCH(AY986,【参考】排出係数!$AI$4:$AI$671,1),1,BE986):INDEX((係数_バス貨物_ガソリン,係数_バス貨物_CNG,係数_バス貨物_軽油,係数_バス貨物_メタノール,係数_バス貨物_LPG),MATCH(AY986+1,【参考】排出係数!$AI$4:$AI$671,1)-1,5,BE986),3,FALSE),IF(OR(AW986=1,AW986=2),VLOOKUP(AU986,INDEX((係数_乗用_ガソリン,係数_乗用_CNG,係数_乗用_軽油,係数_乗用_メタノール,係数_乗用_LPG),1,1,BE986):INDEX((係数_乗用_ガソリン,係数_乗用_CNG,係数_乗用_軽油,係数_乗用_メタノール,係数_乗用_LPG),125,5,BE986),3,FALSE))))))</f>
        <v/>
      </c>
      <c r="BC986" s="467" t="str">
        <f t="shared" si="558"/>
        <v/>
      </c>
      <c r="BD986" s="567" t="str">
        <f t="shared" si="559"/>
        <v/>
      </c>
      <c r="BE986" s="467" t="str">
        <f t="shared" si="560"/>
        <v/>
      </c>
      <c r="BF986" s="469" t="str">
        <f t="shared" ca="1" si="561"/>
        <v/>
      </c>
      <c r="BG986" s="469" t="str">
        <f t="shared" ca="1" si="562"/>
        <v/>
      </c>
      <c r="BH986" s="467" t="str">
        <f t="shared" si="563"/>
        <v/>
      </c>
      <c r="BI986" s="467" t="str">
        <f t="shared" ca="1" si="564"/>
        <v/>
      </c>
      <c r="BJ986" s="469" t="str">
        <f t="shared" si="565"/>
        <v/>
      </c>
      <c r="BK986" s="470" t="str">
        <f t="shared" si="549"/>
        <v/>
      </c>
      <c r="BL986" s="775" t="str">
        <f t="shared" si="566"/>
        <v/>
      </c>
      <c r="BM986" s="775" t="str">
        <f t="shared" si="567"/>
        <v/>
      </c>
    </row>
    <row r="987" spans="1:65">
      <c r="A987" s="473">
        <v>931</v>
      </c>
      <c r="B987" s="132"/>
      <c r="C987" s="332"/>
      <c r="D987" s="333"/>
      <c r="E987" s="333"/>
      <c r="F987" s="334"/>
      <c r="G987" s="337"/>
      <c r="H987" s="131"/>
      <c r="I987" s="337"/>
      <c r="J987" s="131"/>
      <c r="K987" s="458" t="str">
        <f t="shared" si="530"/>
        <v/>
      </c>
      <c r="L987" s="458">
        <f t="shared" si="531"/>
        <v>0</v>
      </c>
      <c r="M987" s="458">
        <f t="shared" si="532"/>
        <v>0</v>
      </c>
      <c r="N987" s="459" t="str">
        <f t="shared" si="543"/>
        <v/>
      </c>
      <c r="O987" s="459" t="str">
        <f t="shared" si="544"/>
        <v/>
      </c>
      <c r="P987" s="459" t="str">
        <f t="shared" si="545"/>
        <v/>
      </c>
      <c r="Q987" s="459" t="str">
        <f t="shared" si="546"/>
        <v/>
      </c>
      <c r="R987" s="459" t="str">
        <f t="shared" si="547"/>
        <v/>
      </c>
      <c r="S987" s="459" t="str">
        <f t="shared" si="548"/>
        <v/>
      </c>
      <c r="T987" s="566" t="str">
        <f t="shared" si="533"/>
        <v/>
      </c>
      <c r="U987" s="702"/>
      <c r="V987" s="132"/>
      <c r="W987" s="133"/>
      <c r="X987" s="134"/>
      <c r="Y987" s="135"/>
      <c r="Z987" s="137"/>
      <c r="AA987" s="136"/>
      <c r="AB987" s="566" t="str">
        <f t="shared" si="534"/>
        <v/>
      </c>
      <c r="AC987" s="568" t="str">
        <f t="shared" si="535"/>
        <v/>
      </c>
      <c r="AD987" s="137"/>
      <c r="AE987" s="137"/>
      <c r="AF987" s="138"/>
      <c r="AG987" s="138"/>
      <c r="AH987" s="592" t="str">
        <f t="shared" si="536"/>
        <v/>
      </c>
      <c r="AI987" s="592" t="str">
        <f t="shared" si="537"/>
        <v/>
      </c>
      <c r="AJ987" s="592" t="str">
        <f t="shared" si="538"/>
        <v/>
      </c>
      <c r="AK987" s="460" t="str">
        <f>IF(AU987="","",IF(OR(AZ987=8,AZ987=9),0,IF(OR(AW987=3,AW987=4,AW987=5,AW987=6),IF(LEFT(BF987,1)="1",INDEX(係数_NOX・PM低減,MATCH(AY987,【参考】排出係数!$AI$801:$AI$804,1),1),VLOOKUP(AU987,INDEX((係数_バス貨物_ガソリン,係数_バス貨物_CNG,係数_バス貨物_軽油,係数_バス貨物_メタノール,係数_バス貨物_LPG),MATCH(AY987,【参考】排出係数!$AI$4:$AI$671,1),1,BE987):INDEX((係数_バス貨物_ガソリン,係数_バス貨物_CNG,係数_バス貨物_軽油,係数_バス貨物_メタノール,係数_バス貨物_LPG),MATCH(AY987+1,【参考】排出係数!$AI$4:$AI$671,1)-1,5,BE987),4,FALSE)),IF(AND(BE987=3,LEFT(BF987,1)="1"),0.48,VLOOKUP(AU987,INDEX((係数_乗用_ガソリン,係数_乗用_CNG,係数_乗用_軽油,係数_乗用_メタノール,係数_乗用_LPG),1,1,BE987):INDEX((係数_乗用_ガソリン,係数_乗用_CNG,係数_乗用_軽油,係数_乗用_メタノール,係数_乗用_LPG),125,5,BE987),4,FALSE)))))</f>
        <v/>
      </c>
      <c r="AL987" s="461" t="str">
        <f t="shared" si="539"/>
        <v/>
      </c>
      <c r="AM987" s="460" t="str">
        <f>IF(AU987="","",IF(OR(AZ987=8,AZ987=9),0,IF(OR(AW987=3,AW987=4,AW987=5,AW987=6),IF(LEFT(BH987,1)="1",INDEX(係数_PM低減,MATCH(AY987,【参考】排出係数!$AI$801:$AI$804,1),MATCH(BI987,【参考】排出係数!$AL$798:$AO$798,1)),VLOOKUP(AU987,INDEX((係数_バス貨物_ガソリン,係数_バス貨物_CNG,係数_バス貨物_軽油,係数_バス貨物_メタノール,係数_バス貨物_LPG),MATCH(AY987,【参考】排出係数!$AI$4:$AI$671,1),1,BE987):INDEX((係数_バス貨物_ガソリン,係数_バス貨物_CNG,係数_バス貨物_軽油,係数_バス貨物_メタノール,係数_バス貨物_LPG),MATCH(AY987+1,【参考】排出係数!$AI$4:$AI$671,1)-1,5,BE987),5,FALSE)),IF(AND(BE987=3,LEFT(BF987,1)="1"),0.055,VLOOKUP(AU987,INDEX((係数_乗用_ガソリン,係数_乗用_CNG,係数_乗用_軽油,係数_乗用_メタノール,係数_乗用_LPG),1,1,BE987):INDEX((係数_乗用_ガソリン,係数_乗用_CNG,係数_乗用_軽油,係数_乗用_メタノール,係数_乗用_LPG),125,5,BE987),5,FALSE)))))</f>
        <v/>
      </c>
      <c r="AN987" s="461" t="str">
        <f t="shared" si="540"/>
        <v/>
      </c>
      <c r="AO987" s="462" t="str">
        <f t="shared" si="541"/>
        <v/>
      </c>
      <c r="AP987" s="463" t="str">
        <f t="shared" si="542"/>
        <v/>
      </c>
      <c r="AQ987" s="464"/>
      <c r="AR987" s="619"/>
      <c r="AS987" s="465" t="str">
        <f t="shared" si="550"/>
        <v/>
      </c>
      <c r="AT987" s="465" t="str">
        <f t="shared" si="551"/>
        <v/>
      </c>
      <c r="AU987" s="466" t="str">
        <f t="shared" si="552"/>
        <v/>
      </c>
      <c r="AV987" s="467" t="str">
        <f t="shared" si="553"/>
        <v/>
      </c>
      <c r="AW987" s="467" t="str">
        <f t="shared" si="554"/>
        <v/>
      </c>
      <c r="AX987" s="467" t="str">
        <f t="shared" si="555"/>
        <v/>
      </c>
      <c r="AY987" s="467" t="str">
        <f t="shared" si="556"/>
        <v/>
      </c>
      <c r="AZ987" s="467" t="str">
        <f t="shared" si="557"/>
        <v/>
      </c>
      <c r="BA987" s="468" t="str">
        <f>IF(AS987="","",IF(OR(AU987="",AU987="-"),"－",IF(OR(AZ987=8,AZ987=9),"",IF(OR(AW987=3,AW987=4,AW987=5,AW987=6),VLOOKUP(AU987,INDEX((係数_バス貨物_ガソリン,係数_バス貨物_CNG,係数_バス貨物_軽油,係数_バス貨物_メタノール,係数_バス貨物_LPG),MATCH(AY987,【参考】排出係数!$AI$4:$AI$671,1),1,BE987):INDEX((係数_バス貨物_ガソリン,係数_バス貨物_CNG,係数_バス貨物_軽油,係数_バス貨物_メタノール,係数_バス貨物_LPG),MATCH(AY987+1,【参考】排出係数!$AI$4:$AI$671,1)-1,5,BE987),2,FALSE),IF(OR(AW987=1,AW987=2),VLOOKUP(AU987,INDEX((係数_乗用_ガソリン,係数_乗用_CNG,係数_乗用_軽油,係数_乗用_メタノール,係数_乗用_LPG),1,1,BE987):INDEX((係数_乗用_ガソリン,係数_乗用_CNG,係数_乗用_軽油,係数_乗用_メタノール,係数_乗用_LPG),125,5,BE987),2,FALSE))))))</f>
        <v/>
      </c>
      <c r="BB987" s="468" t="str">
        <f>IF(T987="","",IF(OR(AU987="",AU987="-"),"－",IF(OR(AZ987=8,AZ987=9),"",IF(OR(AW987=3,AW987=4,AW987=5,AW987=6),VLOOKUP(AU987,INDEX((係数_バス貨物_ガソリン,係数_バス貨物_CNG,係数_バス貨物_軽油,係数_バス貨物_メタノール,係数_バス貨物_LPG),MATCH(AY987,【参考】排出係数!$AI$4:$AI$671,1),1,BE987):INDEX((係数_バス貨物_ガソリン,係数_バス貨物_CNG,係数_バス貨物_軽油,係数_バス貨物_メタノール,係数_バス貨物_LPG),MATCH(AY987+1,【参考】排出係数!$AI$4:$AI$671,1)-1,5,BE987),3,FALSE),IF(OR(AW987=1,AW987=2),VLOOKUP(AU987,INDEX((係数_乗用_ガソリン,係数_乗用_CNG,係数_乗用_軽油,係数_乗用_メタノール,係数_乗用_LPG),1,1,BE987):INDEX((係数_乗用_ガソリン,係数_乗用_CNG,係数_乗用_軽油,係数_乗用_メタノール,係数_乗用_LPG),125,5,BE987),3,FALSE))))))</f>
        <v/>
      </c>
      <c r="BC987" s="467" t="str">
        <f t="shared" si="558"/>
        <v/>
      </c>
      <c r="BD987" s="567" t="str">
        <f t="shared" si="559"/>
        <v/>
      </c>
      <c r="BE987" s="467" t="str">
        <f t="shared" si="560"/>
        <v/>
      </c>
      <c r="BF987" s="469" t="str">
        <f t="shared" ca="1" si="561"/>
        <v/>
      </c>
      <c r="BG987" s="469" t="str">
        <f t="shared" ca="1" si="562"/>
        <v/>
      </c>
      <c r="BH987" s="467" t="str">
        <f t="shared" si="563"/>
        <v/>
      </c>
      <c r="BI987" s="467" t="str">
        <f t="shared" ca="1" si="564"/>
        <v/>
      </c>
      <c r="BJ987" s="469" t="str">
        <f t="shared" si="565"/>
        <v/>
      </c>
      <c r="BK987" s="470" t="str">
        <f t="shared" si="549"/>
        <v/>
      </c>
      <c r="BL987" s="775" t="str">
        <f t="shared" si="566"/>
        <v/>
      </c>
      <c r="BM987" s="775" t="str">
        <f t="shared" si="567"/>
        <v/>
      </c>
    </row>
    <row r="988" spans="1:65">
      <c r="A988" s="473">
        <v>932</v>
      </c>
      <c r="B988" s="132"/>
      <c r="C988" s="332"/>
      <c r="D988" s="333"/>
      <c r="E988" s="333"/>
      <c r="F988" s="334"/>
      <c r="G988" s="337"/>
      <c r="H988" s="131"/>
      <c r="I988" s="337"/>
      <c r="J988" s="131"/>
      <c r="K988" s="458" t="str">
        <f t="shared" si="530"/>
        <v/>
      </c>
      <c r="L988" s="458">
        <f t="shared" si="531"/>
        <v>0</v>
      </c>
      <c r="M988" s="458">
        <f t="shared" si="532"/>
        <v>0</v>
      </c>
      <c r="N988" s="459" t="str">
        <f t="shared" si="543"/>
        <v/>
      </c>
      <c r="O988" s="459" t="str">
        <f t="shared" si="544"/>
        <v/>
      </c>
      <c r="P988" s="459" t="str">
        <f t="shared" si="545"/>
        <v/>
      </c>
      <c r="Q988" s="459" t="str">
        <f t="shared" si="546"/>
        <v/>
      </c>
      <c r="R988" s="459" t="str">
        <f t="shared" si="547"/>
        <v/>
      </c>
      <c r="S988" s="459" t="str">
        <f t="shared" si="548"/>
        <v/>
      </c>
      <c r="T988" s="566" t="str">
        <f t="shared" si="533"/>
        <v/>
      </c>
      <c r="U988" s="702"/>
      <c r="V988" s="132"/>
      <c r="W988" s="133"/>
      <c r="X988" s="134"/>
      <c r="Y988" s="135"/>
      <c r="Z988" s="137"/>
      <c r="AA988" s="136"/>
      <c r="AB988" s="566" t="str">
        <f t="shared" si="534"/>
        <v/>
      </c>
      <c r="AC988" s="568" t="str">
        <f t="shared" si="535"/>
        <v/>
      </c>
      <c r="AD988" s="137"/>
      <c r="AE988" s="137"/>
      <c r="AF988" s="138"/>
      <c r="AG988" s="138"/>
      <c r="AH988" s="592" t="str">
        <f t="shared" si="536"/>
        <v/>
      </c>
      <c r="AI988" s="592" t="str">
        <f t="shared" si="537"/>
        <v/>
      </c>
      <c r="AJ988" s="592" t="str">
        <f t="shared" si="538"/>
        <v/>
      </c>
      <c r="AK988" s="460" t="str">
        <f>IF(AU988="","",IF(OR(AZ988=8,AZ988=9),0,IF(OR(AW988=3,AW988=4,AW988=5,AW988=6),IF(LEFT(BF988,1)="1",INDEX(係数_NOX・PM低減,MATCH(AY988,【参考】排出係数!$AI$801:$AI$804,1),1),VLOOKUP(AU988,INDEX((係数_バス貨物_ガソリン,係数_バス貨物_CNG,係数_バス貨物_軽油,係数_バス貨物_メタノール,係数_バス貨物_LPG),MATCH(AY988,【参考】排出係数!$AI$4:$AI$671,1),1,BE988):INDEX((係数_バス貨物_ガソリン,係数_バス貨物_CNG,係数_バス貨物_軽油,係数_バス貨物_メタノール,係数_バス貨物_LPG),MATCH(AY988+1,【参考】排出係数!$AI$4:$AI$671,1)-1,5,BE988),4,FALSE)),IF(AND(BE988=3,LEFT(BF988,1)="1"),0.48,VLOOKUP(AU988,INDEX((係数_乗用_ガソリン,係数_乗用_CNG,係数_乗用_軽油,係数_乗用_メタノール,係数_乗用_LPG),1,1,BE988):INDEX((係数_乗用_ガソリン,係数_乗用_CNG,係数_乗用_軽油,係数_乗用_メタノール,係数_乗用_LPG),125,5,BE988),4,FALSE)))))</f>
        <v/>
      </c>
      <c r="AL988" s="461" t="str">
        <f t="shared" si="539"/>
        <v/>
      </c>
      <c r="AM988" s="460" t="str">
        <f>IF(AU988="","",IF(OR(AZ988=8,AZ988=9),0,IF(OR(AW988=3,AW988=4,AW988=5,AW988=6),IF(LEFT(BH988,1)="1",INDEX(係数_PM低減,MATCH(AY988,【参考】排出係数!$AI$801:$AI$804,1),MATCH(BI988,【参考】排出係数!$AL$798:$AO$798,1)),VLOOKUP(AU988,INDEX((係数_バス貨物_ガソリン,係数_バス貨物_CNG,係数_バス貨物_軽油,係数_バス貨物_メタノール,係数_バス貨物_LPG),MATCH(AY988,【参考】排出係数!$AI$4:$AI$671,1),1,BE988):INDEX((係数_バス貨物_ガソリン,係数_バス貨物_CNG,係数_バス貨物_軽油,係数_バス貨物_メタノール,係数_バス貨物_LPG),MATCH(AY988+1,【参考】排出係数!$AI$4:$AI$671,1)-1,5,BE988),5,FALSE)),IF(AND(BE988=3,LEFT(BF988,1)="1"),0.055,VLOOKUP(AU988,INDEX((係数_乗用_ガソリン,係数_乗用_CNG,係数_乗用_軽油,係数_乗用_メタノール,係数_乗用_LPG),1,1,BE988):INDEX((係数_乗用_ガソリン,係数_乗用_CNG,係数_乗用_軽油,係数_乗用_メタノール,係数_乗用_LPG),125,5,BE988),5,FALSE)))))</f>
        <v/>
      </c>
      <c r="AN988" s="461" t="str">
        <f t="shared" si="540"/>
        <v/>
      </c>
      <c r="AO988" s="462" t="str">
        <f t="shared" si="541"/>
        <v/>
      </c>
      <c r="AP988" s="463" t="str">
        <f t="shared" si="542"/>
        <v/>
      </c>
      <c r="AQ988" s="464"/>
      <c r="AR988" s="619"/>
      <c r="AS988" s="465" t="str">
        <f t="shared" si="550"/>
        <v/>
      </c>
      <c r="AT988" s="465" t="str">
        <f t="shared" si="551"/>
        <v/>
      </c>
      <c r="AU988" s="466" t="str">
        <f t="shared" si="552"/>
        <v/>
      </c>
      <c r="AV988" s="467" t="str">
        <f t="shared" si="553"/>
        <v/>
      </c>
      <c r="AW988" s="467" t="str">
        <f t="shared" si="554"/>
        <v/>
      </c>
      <c r="AX988" s="467" t="str">
        <f t="shared" si="555"/>
        <v/>
      </c>
      <c r="AY988" s="467" t="str">
        <f t="shared" si="556"/>
        <v/>
      </c>
      <c r="AZ988" s="467" t="str">
        <f t="shared" si="557"/>
        <v/>
      </c>
      <c r="BA988" s="468" t="str">
        <f>IF(AS988="","",IF(OR(AU988="",AU988="-"),"－",IF(OR(AZ988=8,AZ988=9),"",IF(OR(AW988=3,AW988=4,AW988=5,AW988=6),VLOOKUP(AU988,INDEX((係数_バス貨物_ガソリン,係数_バス貨物_CNG,係数_バス貨物_軽油,係数_バス貨物_メタノール,係数_バス貨物_LPG),MATCH(AY988,【参考】排出係数!$AI$4:$AI$671,1),1,BE988):INDEX((係数_バス貨物_ガソリン,係数_バス貨物_CNG,係数_バス貨物_軽油,係数_バス貨物_メタノール,係数_バス貨物_LPG),MATCH(AY988+1,【参考】排出係数!$AI$4:$AI$671,1)-1,5,BE988),2,FALSE),IF(OR(AW988=1,AW988=2),VLOOKUP(AU988,INDEX((係数_乗用_ガソリン,係数_乗用_CNG,係数_乗用_軽油,係数_乗用_メタノール,係数_乗用_LPG),1,1,BE988):INDEX((係数_乗用_ガソリン,係数_乗用_CNG,係数_乗用_軽油,係数_乗用_メタノール,係数_乗用_LPG),125,5,BE988),2,FALSE))))))</f>
        <v/>
      </c>
      <c r="BB988" s="468" t="str">
        <f>IF(T988="","",IF(OR(AU988="",AU988="-"),"－",IF(OR(AZ988=8,AZ988=9),"",IF(OR(AW988=3,AW988=4,AW988=5,AW988=6),VLOOKUP(AU988,INDEX((係数_バス貨物_ガソリン,係数_バス貨物_CNG,係数_バス貨物_軽油,係数_バス貨物_メタノール,係数_バス貨物_LPG),MATCH(AY988,【参考】排出係数!$AI$4:$AI$671,1),1,BE988):INDEX((係数_バス貨物_ガソリン,係数_バス貨物_CNG,係数_バス貨物_軽油,係数_バス貨物_メタノール,係数_バス貨物_LPG),MATCH(AY988+1,【参考】排出係数!$AI$4:$AI$671,1)-1,5,BE988),3,FALSE),IF(OR(AW988=1,AW988=2),VLOOKUP(AU988,INDEX((係数_乗用_ガソリン,係数_乗用_CNG,係数_乗用_軽油,係数_乗用_メタノール,係数_乗用_LPG),1,1,BE988):INDEX((係数_乗用_ガソリン,係数_乗用_CNG,係数_乗用_軽油,係数_乗用_メタノール,係数_乗用_LPG),125,5,BE988),3,FALSE))))))</f>
        <v/>
      </c>
      <c r="BC988" s="467" t="str">
        <f t="shared" si="558"/>
        <v/>
      </c>
      <c r="BD988" s="567" t="str">
        <f t="shared" si="559"/>
        <v/>
      </c>
      <c r="BE988" s="467" t="str">
        <f t="shared" si="560"/>
        <v/>
      </c>
      <c r="BF988" s="469" t="str">
        <f t="shared" ca="1" si="561"/>
        <v/>
      </c>
      <c r="BG988" s="469" t="str">
        <f t="shared" ca="1" si="562"/>
        <v/>
      </c>
      <c r="BH988" s="467" t="str">
        <f t="shared" si="563"/>
        <v/>
      </c>
      <c r="BI988" s="467" t="str">
        <f t="shared" ca="1" si="564"/>
        <v/>
      </c>
      <c r="BJ988" s="469" t="str">
        <f t="shared" si="565"/>
        <v/>
      </c>
      <c r="BK988" s="470" t="str">
        <f t="shared" si="549"/>
        <v/>
      </c>
      <c r="BL988" s="775" t="str">
        <f t="shared" si="566"/>
        <v/>
      </c>
      <c r="BM988" s="775" t="str">
        <f t="shared" si="567"/>
        <v/>
      </c>
    </row>
    <row r="989" spans="1:65">
      <c r="A989" s="473">
        <v>933</v>
      </c>
      <c r="B989" s="132"/>
      <c r="C989" s="332"/>
      <c r="D989" s="333"/>
      <c r="E989" s="333"/>
      <c r="F989" s="334"/>
      <c r="G989" s="337"/>
      <c r="H989" s="131"/>
      <c r="I989" s="337"/>
      <c r="J989" s="131"/>
      <c r="K989" s="458" t="str">
        <f t="shared" si="530"/>
        <v/>
      </c>
      <c r="L989" s="458">
        <f t="shared" si="531"/>
        <v>0</v>
      </c>
      <c r="M989" s="458">
        <f t="shared" si="532"/>
        <v>0</v>
      </c>
      <c r="N989" s="459" t="str">
        <f t="shared" si="543"/>
        <v/>
      </c>
      <c r="O989" s="459" t="str">
        <f t="shared" si="544"/>
        <v/>
      </c>
      <c r="P989" s="459" t="str">
        <f t="shared" si="545"/>
        <v/>
      </c>
      <c r="Q989" s="459" t="str">
        <f t="shared" si="546"/>
        <v/>
      </c>
      <c r="R989" s="459" t="str">
        <f t="shared" si="547"/>
        <v/>
      </c>
      <c r="S989" s="459" t="str">
        <f t="shared" si="548"/>
        <v/>
      </c>
      <c r="T989" s="566" t="str">
        <f t="shared" si="533"/>
        <v/>
      </c>
      <c r="U989" s="702"/>
      <c r="V989" s="132"/>
      <c r="W989" s="133"/>
      <c r="X989" s="134"/>
      <c r="Y989" s="135"/>
      <c r="Z989" s="137"/>
      <c r="AA989" s="136"/>
      <c r="AB989" s="566" t="str">
        <f t="shared" si="534"/>
        <v/>
      </c>
      <c r="AC989" s="568" t="str">
        <f t="shared" si="535"/>
        <v/>
      </c>
      <c r="AD989" s="137"/>
      <c r="AE989" s="137"/>
      <c r="AF989" s="138"/>
      <c r="AG989" s="138"/>
      <c r="AH989" s="592" t="str">
        <f t="shared" si="536"/>
        <v/>
      </c>
      <c r="AI989" s="592" t="str">
        <f t="shared" si="537"/>
        <v/>
      </c>
      <c r="AJ989" s="592" t="str">
        <f t="shared" si="538"/>
        <v/>
      </c>
      <c r="AK989" s="460" t="str">
        <f>IF(AU989="","",IF(OR(AZ989=8,AZ989=9),0,IF(OR(AW989=3,AW989=4,AW989=5,AW989=6),IF(LEFT(BF989,1)="1",INDEX(係数_NOX・PM低減,MATCH(AY989,【参考】排出係数!$AI$801:$AI$804,1),1),VLOOKUP(AU989,INDEX((係数_バス貨物_ガソリン,係数_バス貨物_CNG,係数_バス貨物_軽油,係数_バス貨物_メタノール,係数_バス貨物_LPG),MATCH(AY989,【参考】排出係数!$AI$4:$AI$671,1),1,BE989):INDEX((係数_バス貨物_ガソリン,係数_バス貨物_CNG,係数_バス貨物_軽油,係数_バス貨物_メタノール,係数_バス貨物_LPG),MATCH(AY989+1,【参考】排出係数!$AI$4:$AI$671,1)-1,5,BE989),4,FALSE)),IF(AND(BE989=3,LEFT(BF989,1)="1"),0.48,VLOOKUP(AU989,INDEX((係数_乗用_ガソリン,係数_乗用_CNG,係数_乗用_軽油,係数_乗用_メタノール,係数_乗用_LPG),1,1,BE989):INDEX((係数_乗用_ガソリン,係数_乗用_CNG,係数_乗用_軽油,係数_乗用_メタノール,係数_乗用_LPG),125,5,BE989),4,FALSE)))))</f>
        <v/>
      </c>
      <c r="AL989" s="461" t="str">
        <f t="shared" si="539"/>
        <v/>
      </c>
      <c r="AM989" s="460" t="str">
        <f>IF(AU989="","",IF(OR(AZ989=8,AZ989=9),0,IF(OR(AW989=3,AW989=4,AW989=5,AW989=6),IF(LEFT(BH989,1)="1",INDEX(係数_PM低減,MATCH(AY989,【参考】排出係数!$AI$801:$AI$804,1),MATCH(BI989,【参考】排出係数!$AL$798:$AO$798,1)),VLOOKUP(AU989,INDEX((係数_バス貨物_ガソリン,係数_バス貨物_CNG,係数_バス貨物_軽油,係数_バス貨物_メタノール,係数_バス貨物_LPG),MATCH(AY989,【参考】排出係数!$AI$4:$AI$671,1),1,BE989):INDEX((係数_バス貨物_ガソリン,係数_バス貨物_CNG,係数_バス貨物_軽油,係数_バス貨物_メタノール,係数_バス貨物_LPG),MATCH(AY989+1,【参考】排出係数!$AI$4:$AI$671,1)-1,5,BE989),5,FALSE)),IF(AND(BE989=3,LEFT(BF989,1)="1"),0.055,VLOOKUP(AU989,INDEX((係数_乗用_ガソリン,係数_乗用_CNG,係数_乗用_軽油,係数_乗用_メタノール,係数_乗用_LPG),1,1,BE989):INDEX((係数_乗用_ガソリン,係数_乗用_CNG,係数_乗用_軽油,係数_乗用_メタノール,係数_乗用_LPG),125,5,BE989),5,FALSE)))))</f>
        <v/>
      </c>
      <c r="AN989" s="461" t="str">
        <f t="shared" si="540"/>
        <v/>
      </c>
      <c r="AO989" s="462" t="str">
        <f t="shared" si="541"/>
        <v/>
      </c>
      <c r="AP989" s="463" t="str">
        <f t="shared" si="542"/>
        <v/>
      </c>
      <c r="AQ989" s="464"/>
      <c r="AR989" s="619"/>
      <c r="AS989" s="465" t="str">
        <f t="shared" si="550"/>
        <v/>
      </c>
      <c r="AT989" s="465" t="str">
        <f t="shared" si="551"/>
        <v/>
      </c>
      <c r="AU989" s="466" t="str">
        <f t="shared" si="552"/>
        <v/>
      </c>
      <c r="AV989" s="467" t="str">
        <f t="shared" si="553"/>
        <v/>
      </c>
      <c r="AW989" s="467" t="str">
        <f t="shared" si="554"/>
        <v/>
      </c>
      <c r="AX989" s="467" t="str">
        <f t="shared" si="555"/>
        <v/>
      </c>
      <c r="AY989" s="467" t="str">
        <f t="shared" si="556"/>
        <v/>
      </c>
      <c r="AZ989" s="467" t="str">
        <f t="shared" si="557"/>
        <v/>
      </c>
      <c r="BA989" s="468" t="str">
        <f>IF(AS989="","",IF(OR(AU989="",AU989="-"),"－",IF(OR(AZ989=8,AZ989=9),"",IF(OR(AW989=3,AW989=4,AW989=5,AW989=6),VLOOKUP(AU989,INDEX((係数_バス貨物_ガソリン,係数_バス貨物_CNG,係数_バス貨物_軽油,係数_バス貨物_メタノール,係数_バス貨物_LPG),MATCH(AY989,【参考】排出係数!$AI$4:$AI$671,1),1,BE989):INDEX((係数_バス貨物_ガソリン,係数_バス貨物_CNG,係数_バス貨物_軽油,係数_バス貨物_メタノール,係数_バス貨物_LPG),MATCH(AY989+1,【参考】排出係数!$AI$4:$AI$671,1)-1,5,BE989),2,FALSE),IF(OR(AW989=1,AW989=2),VLOOKUP(AU989,INDEX((係数_乗用_ガソリン,係数_乗用_CNG,係数_乗用_軽油,係数_乗用_メタノール,係数_乗用_LPG),1,1,BE989):INDEX((係数_乗用_ガソリン,係数_乗用_CNG,係数_乗用_軽油,係数_乗用_メタノール,係数_乗用_LPG),125,5,BE989),2,FALSE))))))</f>
        <v/>
      </c>
      <c r="BB989" s="468" t="str">
        <f>IF(T989="","",IF(OR(AU989="",AU989="-"),"－",IF(OR(AZ989=8,AZ989=9),"",IF(OR(AW989=3,AW989=4,AW989=5,AW989=6),VLOOKUP(AU989,INDEX((係数_バス貨物_ガソリン,係数_バス貨物_CNG,係数_バス貨物_軽油,係数_バス貨物_メタノール,係数_バス貨物_LPG),MATCH(AY989,【参考】排出係数!$AI$4:$AI$671,1),1,BE989):INDEX((係数_バス貨物_ガソリン,係数_バス貨物_CNG,係数_バス貨物_軽油,係数_バス貨物_メタノール,係数_バス貨物_LPG),MATCH(AY989+1,【参考】排出係数!$AI$4:$AI$671,1)-1,5,BE989),3,FALSE),IF(OR(AW989=1,AW989=2),VLOOKUP(AU989,INDEX((係数_乗用_ガソリン,係数_乗用_CNG,係数_乗用_軽油,係数_乗用_メタノール,係数_乗用_LPG),1,1,BE989):INDEX((係数_乗用_ガソリン,係数_乗用_CNG,係数_乗用_軽油,係数_乗用_メタノール,係数_乗用_LPG),125,5,BE989),3,FALSE))))))</f>
        <v/>
      </c>
      <c r="BC989" s="467" t="str">
        <f t="shared" si="558"/>
        <v/>
      </c>
      <c r="BD989" s="567" t="str">
        <f t="shared" si="559"/>
        <v/>
      </c>
      <c r="BE989" s="467" t="str">
        <f t="shared" si="560"/>
        <v/>
      </c>
      <c r="BF989" s="469" t="str">
        <f t="shared" ca="1" si="561"/>
        <v/>
      </c>
      <c r="BG989" s="469" t="str">
        <f t="shared" ca="1" si="562"/>
        <v/>
      </c>
      <c r="BH989" s="467" t="str">
        <f t="shared" si="563"/>
        <v/>
      </c>
      <c r="BI989" s="467" t="str">
        <f t="shared" ca="1" si="564"/>
        <v/>
      </c>
      <c r="BJ989" s="469" t="str">
        <f t="shared" si="565"/>
        <v/>
      </c>
      <c r="BK989" s="470" t="str">
        <f t="shared" si="549"/>
        <v/>
      </c>
      <c r="BL989" s="775" t="str">
        <f t="shared" si="566"/>
        <v/>
      </c>
      <c r="BM989" s="775" t="str">
        <f t="shared" si="567"/>
        <v/>
      </c>
    </row>
    <row r="990" spans="1:65">
      <c r="A990" s="473">
        <v>934</v>
      </c>
      <c r="B990" s="132"/>
      <c r="C990" s="332"/>
      <c r="D990" s="333"/>
      <c r="E990" s="333"/>
      <c r="F990" s="334"/>
      <c r="G990" s="337"/>
      <c r="H990" s="131"/>
      <c r="I990" s="337"/>
      <c r="J990" s="131"/>
      <c r="K990" s="458" t="str">
        <f t="shared" si="530"/>
        <v/>
      </c>
      <c r="L990" s="458">
        <f t="shared" si="531"/>
        <v>0</v>
      </c>
      <c r="M990" s="458">
        <f t="shared" si="532"/>
        <v>0</v>
      </c>
      <c r="N990" s="459" t="str">
        <f t="shared" si="543"/>
        <v/>
      </c>
      <c r="O990" s="459" t="str">
        <f t="shared" si="544"/>
        <v/>
      </c>
      <c r="P990" s="459" t="str">
        <f t="shared" si="545"/>
        <v/>
      </c>
      <c r="Q990" s="459" t="str">
        <f t="shared" si="546"/>
        <v/>
      </c>
      <c r="R990" s="459" t="str">
        <f t="shared" si="547"/>
        <v/>
      </c>
      <c r="S990" s="459" t="str">
        <f t="shared" si="548"/>
        <v/>
      </c>
      <c r="T990" s="566" t="str">
        <f t="shared" si="533"/>
        <v/>
      </c>
      <c r="U990" s="702"/>
      <c r="V990" s="132"/>
      <c r="W990" s="133"/>
      <c r="X990" s="134"/>
      <c r="Y990" s="135"/>
      <c r="Z990" s="137"/>
      <c r="AA990" s="136"/>
      <c r="AB990" s="566" t="str">
        <f t="shared" si="534"/>
        <v/>
      </c>
      <c r="AC990" s="568" t="str">
        <f t="shared" si="535"/>
        <v/>
      </c>
      <c r="AD990" s="137"/>
      <c r="AE990" s="137"/>
      <c r="AF990" s="138"/>
      <c r="AG990" s="138"/>
      <c r="AH990" s="592" t="str">
        <f t="shared" si="536"/>
        <v/>
      </c>
      <c r="AI990" s="592" t="str">
        <f t="shared" si="537"/>
        <v/>
      </c>
      <c r="AJ990" s="592" t="str">
        <f t="shared" si="538"/>
        <v/>
      </c>
      <c r="AK990" s="460" t="str">
        <f>IF(AU990="","",IF(OR(AZ990=8,AZ990=9),0,IF(OR(AW990=3,AW990=4,AW990=5,AW990=6),IF(LEFT(BF990,1)="1",INDEX(係数_NOX・PM低減,MATCH(AY990,【参考】排出係数!$AI$801:$AI$804,1),1),VLOOKUP(AU990,INDEX((係数_バス貨物_ガソリン,係数_バス貨物_CNG,係数_バス貨物_軽油,係数_バス貨物_メタノール,係数_バス貨物_LPG),MATCH(AY990,【参考】排出係数!$AI$4:$AI$671,1),1,BE990):INDEX((係数_バス貨物_ガソリン,係数_バス貨物_CNG,係数_バス貨物_軽油,係数_バス貨物_メタノール,係数_バス貨物_LPG),MATCH(AY990+1,【参考】排出係数!$AI$4:$AI$671,1)-1,5,BE990),4,FALSE)),IF(AND(BE990=3,LEFT(BF990,1)="1"),0.48,VLOOKUP(AU990,INDEX((係数_乗用_ガソリン,係数_乗用_CNG,係数_乗用_軽油,係数_乗用_メタノール,係数_乗用_LPG),1,1,BE990):INDEX((係数_乗用_ガソリン,係数_乗用_CNG,係数_乗用_軽油,係数_乗用_メタノール,係数_乗用_LPG),125,5,BE990),4,FALSE)))))</f>
        <v/>
      </c>
      <c r="AL990" s="461" t="str">
        <f t="shared" si="539"/>
        <v/>
      </c>
      <c r="AM990" s="460" t="str">
        <f>IF(AU990="","",IF(OR(AZ990=8,AZ990=9),0,IF(OR(AW990=3,AW990=4,AW990=5,AW990=6),IF(LEFT(BH990,1)="1",INDEX(係数_PM低減,MATCH(AY990,【参考】排出係数!$AI$801:$AI$804,1),MATCH(BI990,【参考】排出係数!$AL$798:$AO$798,1)),VLOOKUP(AU990,INDEX((係数_バス貨物_ガソリン,係数_バス貨物_CNG,係数_バス貨物_軽油,係数_バス貨物_メタノール,係数_バス貨物_LPG),MATCH(AY990,【参考】排出係数!$AI$4:$AI$671,1),1,BE990):INDEX((係数_バス貨物_ガソリン,係数_バス貨物_CNG,係数_バス貨物_軽油,係数_バス貨物_メタノール,係数_バス貨物_LPG),MATCH(AY990+1,【参考】排出係数!$AI$4:$AI$671,1)-1,5,BE990),5,FALSE)),IF(AND(BE990=3,LEFT(BF990,1)="1"),0.055,VLOOKUP(AU990,INDEX((係数_乗用_ガソリン,係数_乗用_CNG,係数_乗用_軽油,係数_乗用_メタノール,係数_乗用_LPG),1,1,BE990):INDEX((係数_乗用_ガソリン,係数_乗用_CNG,係数_乗用_軽油,係数_乗用_メタノール,係数_乗用_LPG),125,5,BE990),5,FALSE)))))</f>
        <v/>
      </c>
      <c r="AN990" s="461" t="str">
        <f t="shared" si="540"/>
        <v/>
      </c>
      <c r="AO990" s="462" t="str">
        <f t="shared" si="541"/>
        <v/>
      </c>
      <c r="AP990" s="463" t="str">
        <f t="shared" si="542"/>
        <v/>
      </c>
      <c r="AQ990" s="464"/>
      <c r="AR990" s="619"/>
      <c r="AS990" s="465" t="str">
        <f t="shared" si="550"/>
        <v/>
      </c>
      <c r="AT990" s="465" t="str">
        <f t="shared" si="551"/>
        <v/>
      </c>
      <c r="AU990" s="466" t="str">
        <f t="shared" si="552"/>
        <v/>
      </c>
      <c r="AV990" s="467" t="str">
        <f t="shared" si="553"/>
        <v/>
      </c>
      <c r="AW990" s="467" t="str">
        <f t="shared" si="554"/>
        <v/>
      </c>
      <c r="AX990" s="467" t="str">
        <f t="shared" si="555"/>
        <v/>
      </c>
      <c r="AY990" s="467" t="str">
        <f t="shared" si="556"/>
        <v/>
      </c>
      <c r="AZ990" s="467" t="str">
        <f t="shared" si="557"/>
        <v/>
      </c>
      <c r="BA990" s="468" t="str">
        <f>IF(AS990="","",IF(OR(AU990="",AU990="-"),"－",IF(OR(AZ990=8,AZ990=9),"",IF(OR(AW990=3,AW990=4,AW990=5,AW990=6),VLOOKUP(AU990,INDEX((係数_バス貨物_ガソリン,係数_バス貨物_CNG,係数_バス貨物_軽油,係数_バス貨物_メタノール,係数_バス貨物_LPG),MATCH(AY990,【参考】排出係数!$AI$4:$AI$671,1),1,BE990):INDEX((係数_バス貨物_ガソリン,係数_バス貨物_CNG,係数_バス貨物_軽油,係数_バス貨物_メタノール,係数_バス貨物_LPG),MATCH(AY990+1,【参考】排出係数!$AI$4:$AI$671,1)-1,5,BE990),2,FALSE),IF(OR(AW990=1,AW990=2),VLOOKUP(AU990,INDEX((係数_乗用_ガソリン,係数_乗用_CNG,係数_乗用_軽油,係数_乗用_メタノール,係数_乗用_LPG),1,1,BE990):INDEX((係数_乗用_ガソリン,係数_乗用_CNG,係数_乗用_軽油,係数_乗用_メタノール,係数_乗用_LPG),125,5,BE990),2,FALSE))))))</f>
        <v/>
      </c>
      <c r="BB990" s="468" t="str">
        <f>IF(T990="","",IF(OR(AU990="",AU990="-"),"－",IF(OR(AZ990=8,AZ990=9),"",IF(OR(AW990=3,AW990=4,AW990=5,AW990=6),VLOOKUP(AU990,INDEX((係数_バス貨物_ガソリン,係数_バス貨物_CNG,係数_バス貨物_軽油,係数_バス貨物_メタノール,係数_バス貨物_LPG),MATCH(AY990,【参考】排出係数!$AI$4:$AI$671,1),1,BE990):INDEX((係数_バス貨物_ガソリン,係数_バス貨物_CNG,係数_バス貨物_軽油,係数_バス貨物_メタノール,係数_バス貨物_LPG),MATCH(AY990+1,【参考】排出係数!$AI$4:$AI$671,1)-1,5,BE990),3,FALSE),IF(OR(AW990=1,AW990=2),VLOOKUP(AU990,INDEX((係数_乗用_ガソリン,係数_乗用_CNG,係数_乗用_軽油,係数_乗用_メタノール,係数_乗用_LPG),1,1,BE990):INDEX((係数_乗用_ガソリン,係数_乗用_CNG,係数_乗用_軽油,係数_乗用_メタノール,係数_乗用_LPG),125,5,BE990),3,FALSE))))))</f>
        <v/>
      </c>
      <c r="BC990" s="467" t="str">
        <f t="shared" si="558"/>
        <v/>
      </c>
      <c r="BD990" s="567" t="str">
        <f t="shared" si="559"/>
        <v/>
      </c>
      <c r="BE990" s="467" t="str">
        <f t="shared" si="560"/>
        <v/>
      </c>
      <c r="BF990" s="469" t="str">
        <f t="shared" ca="1" si="561"/>
        <v/>
      </c>
      <c r="BG990" s="469" t="str">
        <f t="shared" ca="1" si="562"/>
        <v/>
      </c>
      <c r="BH990" s="467" t="str">
        <f t="shared" si="563"/>
        <v/>
      </c>
      <c r="BI990" s="467" t="str">
        <f t="shared" ca="1" si="564"/>
        <v/>
      </c>
      <c r="BJ990" s="469" t="str">
        <f t="shared" si="565"/>
        <v/>
      </c>
      <c r="BK990" s="470" t="str">
        <f t="shared" si="549"/>
        <v/>
      </c>
      <c r="BL990" s="775" t="str">
        <f t="shared" si="566"/>
        <v/>
      </c>
      <c r="BM990" s="775" t="str">
        <f t="shared" si="567"/>
        <v/>
      </c>
    </row>
    <row r="991" spans="1:65">
      <c r="A991" s="473">
        <v>935</v>
      </c>
      <c r="B991" s="132"/>
      <c r="C991" s="332"/>
      <c r="D991" s="333"/>
      <c r="E991" s="333"/>
      <c r="F991" s="334"/>
      <c r="G991" s="337"/>
      <c r="H991" s="131"/>
      <c r="I991" s="337"/>
      <c r="J991" s="131"/>
      <c r="K991" s="458" t="str">
        <f t="shared" si="530"/>
        <v/>
      </c>
      <c r="L991" s="458">
        <f t="shared" si="531"/>
        <v>0</v>
      </c>
      <c r="M991" s="458">
        <f t="shared" si="532"/>
        <v>0</v>
      </c>
      <c r="N991" s="459" t="str">
        <f t="shared" si="543"/>
        <v/>
      </c>
      <c r="O991" s="459" t="str">
        <f t="shared" si="544"/>
        <v/>
      </c>
      <c r="P991" s="459" t="str">
        <f t="shared" si="545"/>
        <v/>
      </c>
      <c r="Q991" s="459" t="str">
        <f t="shared" si="546"/>
        <v/>
      </c>
      <c r="R991" s="459" t="str">
        <f t="shared" si="547"/>
        <v/>
      </c>
      <c r="S991" s="459" t="str">
        <f t="shared" si="548"/>
        <v/>
      </c>
      <c r="T991" s="566" t="str">
        <f t="shared" si="533"/>
        <v/>
      </c>
      <c r="U991" s="702"/>
      <c r="V991" s="132"/>
      <c r="W991" s="133"/>
      <c r="X991" s="134"/>
      <c r="Y991" s="135"/>
      <c r="Z991" s="137"/>
      <c r="AA991" s="136"/>
      <c r="AB991" s="566" t="str">
        <f t="shared" si="534"/>
        <v/>
      </c>
      <c r="AC991" s="568" t="str">
        <f t="shared" si="535"/>
        <v/>
      </c>
      <c r="AD991" s="137"/>
      <c r="AE991" s="137"/>
      <c r="AF991" s="138"/>
      <c r="AG991" s="138"/>
      <c r="AH991" s="592" t="str">
        <f t="shared" si="536"/>
        <v/>
      </c>
      <c r="AI991" s="592" t="str">
        <f t="shared" si="537"/>
        <v/>
      </c>
      <c r="AJ991" s="592" t="str">
        <f t="shared" si="538"/>
        <v/>
      </c>
      <c r="AK991" s="460" t="str">
        <f>IF(AU991="","",IF(OR(AZ991=8,AZ991=9),0,IF(OR(AW991=3,AW991=4,AW991=5,AW991=6),IF(LEFT(BF991,1)="1",INDEX(係数_NOX・PM低減,MATCH(AY991,【参考】排出係数!$AI$801:$AI$804,1),1),VLOOKUP(AU991,INDEX((係数_バス貨物_ガソリン,係数_バス貨物_CNG,係数_バス貨物_軽油,係数_バス貨物_メタノール,係数_バス貨物_LPG),MATCH(AY991,【参考】排出係数!$AI$4:$AI$671,1),1,BE991):INDEX((係数_バス貨物_ガソリン,係数_バス貨物_CNG,係数_バス貨物_軽油,係数_バス貨物_メタノール,係数_バス貨物_LPG),MATCH(AY991+1,【参考】排出係数!$AI$4:$AI$671,1)-1,5,BE991),4,FALSE)),IF(AND(BE991=3,LEFT(BF991,1)="1"),0.48,VLOOKUP(AU991,INDEX((係数_乗用_ガソリン,係数_乗用_CNG,係数_乗用_軽油,係数_乗用_メタノール,係数_乗用_LPG),1,1,BE991):INDEX((係数_乗用_ガソリン,係数_乗用_CNG,係数_乗用_軽油,係数_乗用_メタノール,係数_乗用_LPG),125,5,BE991),4,FALSE)))))</f>
        <v/>
      </c>
      <c r="AL991" s="461" t="str">
        <f t="shared" si="539"/>
        <v/>
      </c>
      <c r="AM991" s="460" t="str">
        <f>IF(AU991="","",IF(OR(AZ991=8,AZ991=9),0,IF(OR(AW991=3,AW991=4,AW991=5,AW991=6),IF(LEFT(BH991,1)="1",INDEX(係数_PM低減,MATCH(AY991,【参考】排出係数!$AI$801:$AI$804,1),MATCH(BI991,【参考】排出係数!$AL$798:$AO$798,1)),VLOOKUP(AU991,INDEX((係数_バス貨物_ガソリン,係数_バス貨物_CNG,係数_バス貨物_軽油,係数_バス貨物_メタノール,係数_バス貨物_LPG),MATCH(AY991,【参考】排出係数!$AI$4:$AI$671,1),1,BE991):INDEX((係数_バス貨物_ガソリン,係数_バス貨物_CNG,係数_バス貨物_軽油,係数_バス貨物_メタノール,係数_バス貨物_LPG),MATCH(AY991+1,【参考】排出係数!$AI$4:$AI$671,1)-1,5,BE991),5,FALSE)),IF(AND(BE991=3,LEFT(BF991,1)="1"),0.055,VLOOKUP(AU991,INDEX((係数_乗用_ガソリン,係数_乗用_CNG,係数_乗用_軽油,係数_乗用_メタノール,係数_乗用_LPG),1,1,BE991):INDEX((係数_乗用_ガソリン,係数_乗用_CNG,係数_乗用_軽油,係数_乗用_メタノール,係数_乗用_LPG),125,5,BE991),5,FALSE)))))</f>
        <v/>
      </c>
      <c r="AN991" s="461" t="str">
        <f t="shared" si="540"/>
        <v/>
      </c>
      <c r="AO991" s="462" t="str">
        <f t="shared" si="541"/>
        <v/>
      </c>
      <c r="AP991" s="463" t="str">
        <f t="shared" si="542"/>
        <v/>
      </c>
      <c r="AQ991" s="464"/>
      <c r="AR991" s="619"/>
      <c r="AS991" s="465" t="str">
        <f t="shared" si="550"/>
        <v/>
      </c>
      <c r="AT991" s="465" t="str">
        <f t="shared" si="551"/>
        <v/>
      </c>
      <c r="AU991" s="466" t="str">
        <f t="shared" si="552"/>
        <v/>
      </c>
      <c r="AV991" s="467" t="str">
        <f t="shared" si="553"/>
        <v/>
      </c>
      <c r="AW991" s="467" t="str">
        <f t="shared" si="554"/>
        <v/>
      </c>
      <c r="AX991" s="467" t="str">
        <f t="shared" si="555"/>
        <v/>
      </c>
      <c r="AY991" s="467" t="str">
        <f t="shared" si="556"/>
        <v/>
      </c>
      <c r="AZ991" s="467" t="str">
        <f t="shared" si="557"/>
        <v/>
      </c>
      <c r="BA991" s="468" t="str">
        <f>IF(AS991="","",IF(OR(AU991="",AU991="-"),"－",IF(OR(AZ991=8,AZ991=9),"",IF(OR(AW991=3,AW991=4,AW991=5,AW991=6),VLOOKUP(AU991,INDEX((係数_バス貨物_ガソリン,係数_バス貨物_CNG,係数_バス貨物_軽油,係数_バス貨物_メタノール,係数_バス貨物_LPG),MATCH(AY991,【参考】排出係数!$AI$4:$AI$671,1),1,BE991):INDEX((係数_バス貨物_ガソリン,係数_バス貨物_CNG,係数_バス貨物_軽油,係数_バス貨物_メタノール,係数_バス貨物_LPG),MATCH(AY991+1,【参考】排出係数!$AI$4:$AI$671,1)-1,5,BE991),2,FALSE),IF(OR(AW991=1,AW991=2),VLOOKUP(AU991,INDEX((係数_乗用_ガソリン,係数_乗用_CNG,係数_乗用_軽油,係数_乗用_メタノール,係数_乗用_LPG),1,1,BE991):INDEX((係数_乗用_ガソリン,係数_乗用_CNG,係数_乗用_軽油,係数_乗用_メタノール,係数_乗用_LPG),125,5,BE991),2,FALSE))))))</f>
        <v/>
      </c>
      <c r="BB991" s="468" t="str">
        <f>IF(T991="","",IF(OR(AU991="",AU991="-"),"－",IF(OR(AZ991=8,AZ991=9),"",IF(OR(AW991=3,AW991=4,AW991=5,AW991=6),VLOOKUP(AU991,INDEX((係数_バス貨物_ガソリン,係数_バス貨物_CNG,係数_バス貨物_軽油,係数_バス貨物_メタノール,係数_バス貨物_LPG),MATCH(AY991,【参考】排出係数!$AI$4:$AI$671,1),1,BE991):INDEX((係数_バス貨物_ガソリン,係数_バス貨物_CNG,係数_バス貨物_軽油,係数_バス貨物_メタノール,係数_バス貨物_LPG),MATCH(AY991+1,【参考】排出係数!$AI$4:$AI$671,1)-1,5,BE991),3,FALSE),IF(OR(AW991=1,AW991=2),VLOOKUP(AU991,INDEX((係数_乗用_ガソリン,係数_乗用_CNG,係数_乗用_軽油,係数_乗用_メタノール,係数_乗用_LPG),1,1,BE991):INDEX((係数_乗用_ガソリン,係数_乗用_CNG,係数_乗用_軽油,係数_乗用_メタノール,係数_乗用_LPG),125,5,BE991),3,FALSE))))))</f>
        <v/>
      </c>
      <c r="BC991" s="467" t="str">
        <f t="shared" si="558"/>
        <v/>
      </c>
      <c r="BD991" s="567" t="str">
        <f t="shared" si="559"/>
        <v/>
      </c>
      <c r="BE991" s="467" t="str">
        <f t="shared" si="560"/>
        <v/>
      </c>
      <c r="BF991" s="469" t="str">
        <f t="shared" ca="1" si="561"/>
        <v/>
      </c>
      <c r="BG991" s="469" t="str">
        <f t="shared" ca="1" si="562"/>
        <v/>
      </c>
      <c r="BH991" s="467" t="str">
        <f t="shared" si="563"/>
        <v/>
      </c>
      <c r="BI991" s="467" t="str">
        <f t="shared" ca="1" si="564"/>
        <v/>
      </c>
      <c r="BJ991" s="469" t="str">
        <f t="shared" si="565"/>
        <v/>
      </c>
      <c r="BK991" s="470" t="str">
        <f t="shared" si="549"/>
        <v/>
      </c>
      <c r="BL991" s="775" t="str">
        <f t="shared" si="566"/>
        <v/>
      </c>
      <c r="BM991" s="775" t="str">
        <f t="shared" si="567"/>
        <v/>
      </c>
    </row>
    <row r="992" spans="1:65">
      <c r="A992" s="473">
        <v>936</v>
      </c>
      <c r="B992" s="132"/>
      <c r="C992" s="332"/>
      <c r="D992" s="333"/>
      <c r="E992" s="333"/>
      <c r="F992" s="334"/>
      <c r="G992" s="337"/>
      <c r="H992" s="131"/>
      <c r="I992" s="337"/>
      <c r="J992" s="131"/>
      <c r="K992" s="458" t="str">
        <f t="shared" si="530"/>
        <v/>
      </c>
      <c r="L992" s="458">
        <f t="shared" si="531"/>
        <v>0</v>
      </c>
      <c r="M992" s="458">
        <f t="shared" si="532"/>
        <v>0</v>
      </c>
      <c r="N992" s="459" t="str">
        <f t="shared" si="543"/>
        <v/>
      </c>
      <c r="O992" s="459" t="str">
        <f t="shared" si="544"/>
        <v/>
      </c>
      <c r="P992" s="459" t="str">
        <f t="shared" si="545"/>
        <v/>
      </c>
      <c r="Q992" s="459" t="str">
        <f t="shared" si="546"/>
        <v/>
      </c>
      <c r="R992" s="459" t="str">
        <f t="shared" si="547"/>
        <v/>
      </c>
      <c r="S992" s="459" t="str">
        <f t="shared" si="548"/>
        <v/>
      </c>
      <c r="T992" s="566" t="str">
        <f t="shared" si="533"/>
        <v/>
      </c>
      <c r="U992" s="702"/>
      <c r="V992" s="132"/>
      <c r="W992" s="133"/>
      <c r="X992" s="134"/>
      <c r="Y992" s="135"/>
      <c r="Z992" s="137"/>
      <c r="AA992" s="136"/>
      <c r="AB992" s="566" t="str">
        <f t="shared" si="534"/>
        <v/>
      </c>
      <c r="AC992" s="568" t="str">
        <f t="shared" si="535"/>
        <v/>
      </c>
      <c r="AD992" s="137"/>
      <c r="AE992" s="137"/>
      <c r="AF992" s="138"/>
      <c r="AG992" s="138"/>
      <c r="AH992" s="592" t="str">
        <f t="shared" si="536"/>
        <v/>
      </c>
      <c r="AI992" s="592" t="str">
        <f t="shared" si="537"/>
        <v/>
      </c>
      <c r="AJ992" s="592" t="str">
        <f t="shared" si="538"/>
        <v/>
      </c>
      <c r="AK992" s="460" t="str">
        <f>IF(AU992="","",IF(OR(AZ992=8,AZ992=9),0,IF(OR(AW992=3,AW992=4,AW992=5,AW992=6),IF(LEFT(BF992,1)="1",INDEX(係数_NOX・PM低減,MATCH(AY992,【参考】排出係数!$AI$801:$AI$804,1),1),VLOOKUP(AU992,INDEX((係数_バス貨物_ガソリン,係数_バス貨物_CNG,係数_バス貨物_軽油,係数_バス貨物_メタノール,係数_バス貨物_LPG),MATCH(AY992,【参考】排出係数!$AI$4:$AI$671,1),1,BE992):INDEX((係数_バス貨物_ガソリン,係数_バス貨物_CNG,係数_バス貨物_軽油,係数_バス貨物_メタノール,係数_バス貨物_LPG),MATCH(AY992+1,【参考】排出係数!$AI$4:$AI$671,1)-1,5,BE992),4,FALSE)),IF(AND(BE992=3,LEFT(BF992,1)="1"),0.48,VLOOKUP(AU992,INDEX((係数_乗用_ガソリン,係数_乗用_CNG,係数_乗用_軽油,係数_乗用_メタノール,係数_乗用_LPG),1,1,BE992):INDEX((係数_乗用_ガソリン,係数_乗用_CNG,係数_乗用_軽油,係数_乗用_メタノール,係数_乗用_LPG),125,5,BE992),4,FALSE)))))</f>
        <v/>
      </c>
      <c r="AL992" s="461" t="str">
        <f t="shared" si="539"/>
        <v/>
      </c>
      <c r="AM992" s="460" t="str">
        <f>IF(AU992="","",IF(OR(AZ992=8,AZ992=9),0,IF(OR(AW992=3,AW992=4,AW992=5,AW992=6),IF(LEFT(BH992,1)="1",INDEX(係数_PM低減,MATCH(AY992,【参考】排出係数!$AI$801:$AI$804,1),MATCH(BI992,【参考】排出係数!$AL$798:$AO$798,1)),VLOOKUP(AU992,INDEX((係数_バス貨物_ガソリン,係数_バス貨物_CNG,係数_バス貨物_軽油,係数_バス貨物_メタノール,係数_バス貨物_LPG),MATCH(AY992,【参考】排出係数!$AI$4:$AI$671,1),1,BE992):INDEX((係数_バス貨物_ガソリン,係数_バス貨物_CNG,係数_バス貨物_軽油,係数_バス貨物_メタノール,係数_バス貨物_LPG),MATCH(AY992+1,【参考】排出係数!$AI$4:$AI$671,1)-1,5,BE992),5,FALSE)),IF(AND(BE992=3,LEFT(BF992,1)="1"),0.055,VLOOKUP(AU992,INDEX((係数_乗用_ガソリン,係数_乗用_CNG,係数_乗用_軽油,係数_乗用_メタノール,係数_乗用_LPG),1,1,BE992):INDEX((係数_乗用_ガソリン,係数_乗用_CNG,係数_乗用_軽油,係数_乗用_メタノール,係数_乗用_LPG),125,5,BE992),5,FALSE)))))</f>
        <v/>
      </c>
      <c r="AN992" s="461" t="str">
        <f t="shared" si="540"/>
        <v/>
      </c>
      <c r="AO992" s="462" t="str">
        <f t="shared" si="541"/>
        <v/>
      </c>
      <c r="AP992" s="463" t="str">
        <f t="shared" si="542"/>
        <v/>
      </c>
      <c r="AQ992" s="464"/>
      <c r="AR992" s="619"/>
      <c r="AS992" s="465" t="str">
        <f t="shared" si="550"/>
        <v/>
      </c>
      <c r="AT992" s="465" t="str">
        <f t="shared" si="551"/>
        <v/>
      </c>
      <c r="AU992" s="466" t="str">
        <f t="shared" si="552"/>
        <v/>
      </c>
      <c r="AV992" s="467" t="str">
        <f t="shared" si="553"/>
        <v/>
      </c>
      <c r="AW992" s="467" t="str">
        <f t="shared" si="554"/>
        <v/>
      </c>
      <c r="AX992" s="467" t="str">
        <f t="shared" si="555"/>
        <v/>
      </c>
      <c r="AY992" s="467" t="str">
        <f t="shared" si="556"/>
        <v/>
      </c>
      <c r="AZ992" s="467" t="str">
        <f t="shared" si="557"/>
        <v/>
      </c>
      <c r="BA992" s="468" t="str">
        <f>IF(AS992="","",IF(OR(AU992="",AU992="-"),"－",IF(OR(AZ992=8,AZ992=9),"",IF(OR(AW992=3,AW992=4,AW992=5,AW992=6),VLOOKUP(AU992,INDEX((係数_バス貨物_ガソリン,係数_バス貨物_CNG,係数_バス貨物_軽油,係数_バス貨物_メタノール,係数_バス貨物_LPG),MATCH(AY992,【参考】排出係数!$AI$4:$AI$671,1),1,BE992):INDEX((係数_バス貨物_ガソリン,係数_バス貨物_CNG,係数_バス貨物_軽油,係数_バス貨物_メタノール,係数_バス貨物_LPG),MATCH(AY992+1,【参考】排出係数!$AI$4:$AI$671,1)-1,5,BE992),2,FALSE),IF(OR(AW992=1,AW992=2),VLOOKUP(AU992,INDEX((係数_乗用_ガソリン,係数_乗用_CNG,係数_乗用_軽油,係数_乗用_メタノール,係数_乗用_LPG),1,1,BE992):INDEX((係数_乗用_ガソリン,係数_乗用_CNG,係数_乗用_軽油,係数_乗用_メタノール,係数_乗用_LPG),125,5,BE992),2,FALSE))))))</f>
        <v/>
      </c>
      <c r="BB992" s="468" t="str">
        <f>IF(T992="","",IF(OR(AU992="",AU992="-"),"－",IF(OR(AZ992=8,AZ992=9),"",IF(OR(AW992=3,AW992=4,AW992=5,AW992=6),VLOOKUP(AU992,INDEX((係数_バス貨物_ガソリン,係数_バス貨物_CNG,係数_バス貨物_軽油,係数_バス貨物_メタノール,係数_バス貨物_LPG),MATCH(AY992,【参考】排出係数!$AI$4:$AI$671,1),1,BE992):INDEX((係数_バス貨物_ガソリン,係数_バス貨物_CNG,係数_バス貨物_軽油,係数_バス貨物_メタノール,係数_バス貨物_LPG),MATCH(AY992+1,【参考】排出係数!$AI$4:$AI$671,1)-1,5,BE992),3,FALSE),IF(OR(AW992=1,AW992=2),VLOOKUP(AU992,INDEX((係数_乗用_ガソリン,係数_乗用_CNG,係数_乗用_軽油,係数_乗用_メタノール,係数_乗用_LPG),1,1,BE992):INDEX((係数_乗用_ガソリン,係数_乗用_CNG,係数_乗用_軽油,係数_乗用_メタノール,係数_乗用_LPG),125,5,BE992),3,FALSE))))))</f>
        <v/>
      </c>
      <c r="BC992" s="467" t="str">
        <f t="shared" si="558"/>
        <v/>
      </c>
      <c r="BD992" s="567" t="str">
        <f t="shared" si="559"/>
        <v/>
      </c>
      <c r="BE992" s="467" t="str">
        <f t="shared" si="560"/>
        <v/>
      </c>
      <c r="BF992" s="469" t="str">
        <f t="shared" ca="1" si="561"/>
        <v/>
      </c>
      <c r="BG992" s="469" t="str">
        <f t="shared" ca="1" si="562"/>
        <v/>
      </c>
      <c r="BH992" s="467" t="str">
        <f t="shared" si="563"/>
        <v/>
      </c>
      <c r="BI992" s="467" t="str">
        <f t="shared" ca="1" si="564"/>
        <v/>
      </c>
      <c r="BJ992" s="469" t="str">
        <f t="shared" si="565"/>
        <v/>
      </c>
      <c r="BK992" s="470" t="str">
        <f t="shared" si="549"/>
        <v/>
      </c>
      <c r="BL992" s="775" t="str">
        <f t="shared" si="566"/>
        <v/>
      </c>
      <c r="BM992" s="775" t="str">
        <f t="shared" si="567"/>
        <v/>
      </c>
    </row>
    <row r="993" spans="1:65">
      <c r="A993" s="473">
        <v>937</v>
      </c>
      <c r="B993" s="132"/>
      <c r="C993" s="332"/>
      <c r="D993" s="333"/>
      <c r="E993" s="333"/>
      <c r="F993" s="334"/>
      <c r="G993" s="337"/>
      <c r="H993" s="131"/>
      <c r="I993" s="337"/>
      <c r="J993" s="131"/>
      <c r="K993" s="458" t="str">
        <f t="shared" si="530"/>
        <v/>
      </c>
      <c r="L993" s="458">
        <f t="shared" si="531"/>
        <v>0</v>
      </c>
      <c r="M993" s="458">
        <f t="shared" si="532"/>
        <v>0</v>
      </c>
      <c r="N993" s="459" t="str">
        <f t="shared" si="543"/>
        <v/>
      </c>
      <c r="O993" s="459" t="str">
        <f t="shared" si="544"/>
        <v/>
      </c>
      <c r="P993" s="459" t="str">
        <f t="shared" si="545"/>
        <v/>
      </c>
      <c r="Q993" s="459" t="str">
        <f t="shared" si="546"/>
        <v/>
      </c>
      <c r="R993" s="459" t="str">
        <f t="shared" si="547"/>
        <v/>
      </c>
      <c r="S993" s="459" t="str">
        <f t="shared" si="548"/>
        <v/>
      </c>
      <c r="T993" s="566" t="str">
        <f t="shared" si="533"/>
        <v/>
      </c>
      <c r="U993" s="702"/>
      <c r="V993" s="132"/>
      <c r="W993" s="133"/>
      <c r="X993" s="134"/>
      <c r="Y993" s="135"/>
      <c r="Z993" s="137"/>
      <c r="AA993" s="136"/>
      <c r="AB993" s="566" t="str">
        <f t="shared" si="534"/>
        <v/>
      </c>
      <c r="AC993" s="568" t="str">
        <f t="shared" si="535"/>
        <v/>
      </c>
      <c r="AD993" s="137"/>
      <c r="AE993" s="137"/>
      <c r="AF993" s="138"/>
      <c r="AG993" s="138"/>
      <c r="AH993" s="592" t="str">
        <f t="shared" si="536"/>
        <v/>
      </c>
      <c r="AI993" s="592" t="str">
        <f t="shared" si="537"/>
        <v/>
      </c>
      <c r="AJ993" s="592" t="str">
        <f t="shared" si="538"/>
        <v/>
      </c>
      <c r="AK993" s="460" t="str">
        <f>IF(AU993="","",IF(OR(AZ993=8,AZ993=9),0,IF(OR(AW993=3,AW993=4,AW993=5,AW993=6),IF(LEFT(BF993,1)="1",INDEX(係数_NOX・PM低減,MATCH(AY993,【参考】排出係数!$AI$801:$AI$804,1),1),VLOOKUP(AU993,INDEX((係数_バス貨物_ガソリン,係数_バス貨物_CNG,係数_バス貨物_軽油,係数_バス貨物_メタノール,係数_バス貨物_LPG),MATCH(AY993,【参考】排出係数!$AI$4:$AI$671,1),1,BE993):INDEX((係数_バス貨物_ガソリン,係数_バス貨物_CNG,係数_バス貨物_軽油,係数_バス貨物_メタノール,係数_バス貨物_LPG),MATCH(AY993+1,【参考】排出係数!$AI$4:$AI$671,1)-1,5,BE993),4,FALSE)),IF(AND(BE993=3,LEFT(BF993,1)="1"),0.48,VLOOKUP(AU993,INDEX((係数_乗用_ガソリン,係数_乗用_CNG,係数_乗用_軽油,係数_乗用_メタノール,係数_乗用_LPG),1,1,BE993):INDEX((係数_乗用_ガソリン,係数_乗用_CNG,係数_乗用_軽油,係数_乗用_メタノール,係数_乗用_LPG),125,5,BE993),4,FALSE)))))</f>
        <v/>
      </c>
      <c r="AL993" s="461" t="str">
        <f t="shared" si="539"/>
        <v/>
      </c>
      <c r="AM993" s="460" t="str">
        <f>IF(AU993="","",IF(OR(AZ993=8,AZ993=9),0,IF(OR(AW993=3,AW993=4,AW993=5,AW993=6),IF(LEFT(BH993,1)="1",INDEX(係数_PM低減,MATCH(AY993,【参考】排出係数!$AI$801:$AI$804,1),MATCH(BI993,【参考】排出係数!$AL$798:$AO$798,1)),VLOOKUP(AU993,INDEX((係数_バス貨物_ガソリン,係数_バス貨物_CNG,係数_バス貨物_軽油,係数_バス貨物_メタノール,係数_バス貨物_LPG),MATCH(AY993,【参考】排出係数!$AI$4:$AI$671,1),1,BE993):INDEX((係数_バス貨物_ガソリン,係数_バス貨物_CNG,係数_バス貨物_軽油,係数_バス貨物_メタノール,係数_バス貨物_LPG),MATCH(AY993+1,【参考】排出係数!$AI$4:$AI$671,1)-1,5,BE993),5,FALSE)),IF(AND(BE993=3,LEFT(BF993,1)="1"),0.055,VLOOKUP(AU993,INDEX((係数_乗用_ガソリン,係数_乗用_CNG,係数_乗用_軽油,係数_乗用_メタノール,係数_乗用_LPG),1,1,BE993):INDEX((係数_乗用_ガソリン,係数_乗用_CNG,係数_乗用_軽油,係数_乗用_メタノール,係数_乗用_LPG),125,5,BE993),5,FALSE)))))</f>
        <v/>
      </c>
      <c r="AN993" s="461" t="str">
        <f t="shared" si="540"/>
        <v/>
      </c>
      <c r="AO993" s="462" t="str">
        <f t="shared" si="541"/>
        <v/>
      </c>
      <c r="AP993" s="463" t="str">
        <f t="shared" si="542"/>
        <v/>
      </c>
      <c r="AQ993" s="464"/>
      <c r="AR993" s="619"/>
      <c r="AS993" s="465" t="str">
        <f t="shared" si="550"/>
        <v/>
      </c>
      <c r="AT993" s="465" t="str">
        <f t="shared" si="551"/>
        <v/>
      </c>
      <c r="AU993" s="466" t="str">
        <f t="shared" si="552"/>
        <v/>
      </c>
      <c r="AV993" s="467" t="str">
        <f t="shared" si="553"/>
        <v/>
      </c>
      <c r="AW993" s="467" t="str">
        <f t="shared" si="554"/>
        <v/>
      </c>
      <c r="AX993" s="467" t="str">
        <f t="shared" si="555"/>
        <v/>
      </c>
      <c r="AY993" s="467" t="str">
        <f t="shared" si="556"/>
        <v/>
      </c>
      <c r="AZ993" s="467" t="str">
        <f t="shared" si="557"/>
        <v/>
      </c>
      <c r="BA993" s="468" t="str">
        <f>IF(AS993="","",IF(OR(AU993="",AU993="-"),"－",IF(OR(AZ993=8,AZ993=9),"",IF(OR(AW993=3,AW993=4,AW993=5,AW993=6),VLOOKUP(AU993,INDEX((係数_バス貨物_ガソリン,係数_バス貨物_CNG,係数_バス貨物_軽油,係数_バス貨物_メタノール,係数_バス貨物_LPG),MATCH(AY993,【参考】排出係数!$AI$4:$AI$671,1),1,BE993):INDEX((係数_バス貨物_ガソリン,係数_バス貨物_CNG,係数_バス貨物_軽油,係数_バス貨物_メタノール,係数_バス貨物_LPG),MATCH(AY993+1,【参考】排出係数!$AI$4:$AI$671,1)-1,5,BE993),2,FALSE),IF(OR(AW993=1,AW993=2),VLOOKUP(AU993,INDEX((係数_乗用_ガソリン,係数_乗用_CNG,係数_乗用_軽油,係数_乗用_メタノール,係数_乗用_LPG),1,1,BE993):INDEX((係数_乗用_ガソリン,係数_乗用_CNG,係数_乗用_軽油,係数_乗用_メタノール,係数_乗用_LPG),125,5,BE993),2,FALSE))))))</f>
        <v/>
      </c>
      <c r="BB993" s="468" t="str">
        <f>IF(T993="","",IF(OR(AU993="",AU993="-"),"－",IF(OR(AZ993=8,AZ993=9),"",IF(OR(AW993=3,AW993=4,AW993=5,AW993=6),VLOOKUP(AU993,INDEX((係数_バス貨物_ガソリン,係数_バス貨物_CNG,係数_バス貨物_軽油,係数_バス貨物_メタノール,係数_バス貨物_LPG),MATCH(AY993,【参考】排出係数!$AI$4:$AI$671,1),1,BE993):INDEX((係数_バス貨物_ガソリン,係数_バス貨物_CNG,係数_バス貨物_軽油,係数_バス貨物_メタノール,係数_バス貨物_LPG),MATCH(AY993+1,【参考】排出係数!$AI$4:$AI$671,1)-1,5,BE993),3,FALSE),IF(OR(AW993=1,AW993=2),VLOOKUP(AU993,INDEX((係数_乗用_ガソリン,係数_乗用_CNG,係数_乗用_軽油,係数_乗用_メタノール,係数_乗用_LPG),1,1,BE993):INDEX((係数_乗用_ガソリン,係数_乗用_CNG,係数_乗用_軽油,係数_乗用_メタノール,係数_乗用_LPG),125,5,BE993),3,FALSE))))))</f>
        <v/>
      </c>
      <c r="BC993" s="467" t="str">
        <f t="shared" si="558"/>
        <v/>
      </c>
      <c r="BD993" s="567" t="str">
        <f t="shared" si="559"/>
        <v/>
      </c>
      <c r="BE993" s="467" t="str">
        <f t="shared" si="560"/>
        <v/>
      </c>
      <c r="BF993" s="469" t="str">
        <f t="shared" ca="1" si="561"/>
        <v/>
      </c>
      <c r="BG993" s="469" t="str">
        <f t="shared" ca="1" si="562"/>
        <v/>
      </c>
      <c r="BH993" s="467" t="str">
        <f t="shared" si="563"/>
        <v/>
      </c>
      <c r="BI993" s="467" t="str">
        <f t="shared" ca="1" si="564"/>
        <v/>
      </c>
      <c r="BJ993" s="469" t="str">
        <f t="shared" si="565"/>
        <v/>
      </c>
      <c r="BK993" s="470" t="str">
        <f t="shared" si="549"/>
        <v/>
      </c>
      <c r="BL993" s="775" t="str">
        <f t="shared" si="566"/>
        <v/>
      </c>
      <c r="BM993" s="775" t="str">
        <f t="shared" si="567"/>
        <v/>
      </c>
    </row>
    <row r="994" spans="1:65">
      <c r="A994" s="473">
        <v>938</v>
      </c>
      <c r="B994" s="132"/>
      <c r="C994" s="332"/>
      <c r="D994" s="333"/>
      <c r="E994" s="333"/>
      <c r="F994" s="334"/>
      <c r="G994" s="337"/>
      <c r="H994" s="131"/>
      <c r="I994" s="337"/>
      <c r="J994" s="131"/>
      <c r="K994" s="458" t="str">
        <f t="shared" si="530"/>
        <v/>
      </c>
      <c r="L994" s="458">
        <f t="shared" si="531"/>
        <v>0</v>
      </c>
      <c r="M994" s="458">
        <f t="shared" si="532"/>
        <v>0</v>
      </c>
      <c r="N994" s="459" t="str">
        <f t="shared" si="543"/>
        <v/>
      </c>
      <c r="O994" s="459" t="str">
        <f t="shared" si="544"/>
        <v/>
      </c>
      <c r="P994" s="459" t="str">
        <f t="shared" si="545"/>
        <v/>
      </c>
      <c r="Q994" s="459" t="str">
        <f t="shared" si="546"/>
        <v/>
      </c>
      <c r="R994" s="459" t="str">
        <f t="shared" si="547"/>
        <v/>
      </c>
      <c r="S994" s="459" t="str">
        <f t="shared" si="548"/>
        <v/>
      </c>
      <c r="T994" s="566" t="str">
        <f t="shared" si="533"/>
        <v/>
      </c>
      <c r="U994" s="702"/>
      <c r="V994" s="132"/>
      <c r="W994" s="133"/>
      <c r="X994" s="134"/>
      <c r="Y994" s="135"/>
      <c r="Z994" s="137"/>
      <c r="AA994" s="136"/>
      <c r="AB994" s="566" t="str">
        <f t="shared" si="534"/>
        <v/>
      </c>
      <c r="AC994" s="568" t="str">
        <f t="shared" si="535"/>
        <v/>
      </c>
      <c r="AD994" s="137"/>
      <c r="AE994" s="137"/>
      <c r="AF994" s="138"/>
      <c r="AG994" s="138"/>
      <c r="AH994" s="592" t="str">
        <f t="shared" si="536"/>
        <v/>
      </c>
      <c r="AI994" s="592" t="str">
        <f t="shared" si="537"/>
        <v/>
      </c>
      <c r="AJ994" s="592" t="str">
        <f t="shared" si="538"/>
        <v/>
      </c>
      <c r="AK994" s="460" t="str">
        <f>IF(AU994="","",IF(OR(AZ994=8,AZ994=9),0,IF(OR(AW994=3,AW994=4,AW994=5,AW994=6),IF(LEFT(BF994,1)="1",INDEX(係数_NOX・PM低減,MATCH(AY994,【参考】排出係数!$AI$801:$AI$804,1),1),VLOOKUP(AU994,INDEX((係数_バス貨物_ガソリン,係数_バス貨物_CNG,係数_バス貨物_軽油,係数_バス貨物_メタノール,係数_バス貨物_LPG),MATCH(AY994,【参考】排出係数!$AI$4:$AI$671,1),1,BE994):INDEX((係数_バス貨物_ガソリン,係数_バス貨物_CNG,係数_バス貨物_軽油,係数_バス貨物_メタノール,係数_バス貨物_LPG),MATCH(AY994+1,【参考】排出係数!$AI$4:$AI$671,1)-1,5,BE994),4,FALSE)),IF(AND(BE994=3,LEFT(BF994,1)="1"),0.48,VLOOKUP(AU994,INDEX((係数_乗用_ガソリン,係数_乗用_CNG,係数_乗用_軽油,係数_乗用_メタノール,係数_乗用_LPG),1,1,BE994):INDEX((係数_乗用_ガソリン,係数_乗用_CNG,係数_乗用_軽油,係数_乗用_メタノール,係数_乗用_LPG),125,5,BE994),4,FALSE)))))</f>
        <v/>
      </c>
      <c r="AL994" s="461" t="str">
        <f t="shared" si="539"/>
        <v/>
      </c>
      <c r="AM994" s="460" t="str">
        <f>IF(AU994="","",IF(OR(AZ994=8,AZ994=9),0,IF(OR(AW994=3,AW994=4,AW994=5,AW994=6),IF(LEFT(BH994,1)="1",INDEX(係数_PM低減,MATCH(AY994,【参考】排出係数!$AI$801:$AI$804,1),MATCH(BI994,【参考】排出係数!$AL$798:$AO$798,1)),VLOOKUP(AU994,INDEX((係数_バス貨物_ガソリン,係数_バス貨物_CNG,係数_バス貨物_軽油,係数_バス貨物_メタノール,係数_バス貨物_LPG),MATCH(AY994,【参考】排出係数!$AI$4:$AI$671,1),1,BE994):INDEX((係数_バス貨物_ガソリン,係数_バス貨物_CNG,係数_バス貨物_軽油,係数_バス貨物_メタノール,係数_バス貨物_LPG),MATCH(AY994+1,【参考】排出係数!$AI$4:$AI$671,1)-1,5,BE994),5,FALSE)),IF(AND(BE994=3,LEFT(BF994,1)="1"),0.055,VLOOKUP(AU994,INDEX((係数_乗用_ガソリン,係数_乗用_CNG,係数_乗用_軽油,係数_乗用_メタノール,係数_乗用_LPG),1,1,BE994):INDEX((係数_乗用_ガソリン,係数_乗用_CNG,係数_乗用_軽油,係数_乗用_メタノール,係数_乗用_LPG),125,5,BE994),5,FALSE)))))</f>
        <v/>
      </c>
      <c r="AN994" s="461" t="str">
        <f t="shared" si="540"/>
        <v/>
      </c>
      <c r="AO994" s="462" t="str">
        <f t="shared" si="541"/>
        <v/>
      </c>
      <c r="AP994" s="463" t="str">
        <f t="shared" si="542"/>
        <v/>
      </c>
      <c r="AQ994" s="464"/>
      <c r="AR994" s="619"/>
      <c r="AS994" s="465" t="str">
        <f t="shared" si="550"/>
        <v/>
      </c>
      <c r="AT994" s="465" t="str">
        <f t="shared" si="551"/>
        <v/>
      </c>
      <c r="AU994" s="466" t="str">
        <f t="shared" si="552"/>
        <v/>
      </c>
      <c r="AV994" s="467" t="str">
        <f t="shared" si="553"/>
        <v/>
      </c>
      <c r="AW994" s="467" t="str">
        <f t="shared" si="554"/>
        <v/>
      </c>
      <c r="AX994" s="467" t="str">
        <f t="shared" si="555"/>
        <v/>
      </c>
      <c r="AY994" s="467" t="str">
        <f t="shared" si="556"/>
        <v/>
      </c>
      <c r="AZ994" s="467" t="str">
        <f t="shared" si="557"/>
        <v/>
      </c>
      <c r="BA994" s="468" t="str">
        <f>IF(AS994="","",IF(OR(AU994="",AU994="-"),"－",IF(OR(AZ994=8,AZ994=9),"",IF(OR(AW994=3,AW994=4,AW994=5,AW994=6),VLOOKUP(AU994,INDEX((係数_バス貨物_ガソリン,係数_バス貨物_CNG,係数_バス貨物_軽油,係数_バス貨物_メタノール,係数_バス貨物_LPG),MATCH(AY994,【参考】排出係数!$AI$4:$AI$671,1),1,BE994):INDEX((係数_バス貨物_ガソリン,係数_バス貨物_CNG,係数_バス貨物_軽油,係数_バス貨物_メタノール,係数_バス貨物_LPG),MATCH(AY994+1,【参考】排出係数!$AI$4:$AI$671,1)-1,5,BE994),2,FALSE),IF(OR(AW994=1,AW994=2),VLOOKUP(AU994,INDEX((係数_乗用_ガソリン,係数_乗用_CNG,係数_乗用_軽油,係数_乗用_メタノール,係数_乗用_LPG),1,1,BE994):INDEX((係数_乗用_ガソリン,係数_乗用_CNG,係数_乗用_軽油,係数_乗用_メタノール,係数_乗用_LPG),125,5,BE994),2,FALSE))))))</f>
        <v/>
      </c>
      <c r="BB994" s="468" t="str">
        <f>IF(T994="","",IF(OR(AU994="",AU994="-"),"－",IF(OR(AZ994=8,AZ994=9),"",IF(OR(AW994=3,AW994=4,AW994=5,AW994=6),VLOOKUP(AU994,INDEX((係数_バス貨物_ガソリン,係数_バス貨物_CNG,係数_バス貨物_軽油,係数_バス貨物_メタノール,係数_バス貨物_LPG),MATCH(AY994,【参考】排出係数!$AI$4:$AI$671,1),1,BE994):INDEX((係数_バス貨物_ガソリン,係数_バス貨物_CNG,係数_バス貨物_軽油,係数_バス貨物_メタノール,係数_バス貨物_LPG),MATCH(AY994+1,【参考】排出係数!$AI$4:$AI$671,1)-1,5,BE994),3,FALSE),IF(OR(AW994=1,AW994=2),VLOOKUP(AU994,INDEX((係数_乗用_ガソリン,係数_乗用_CNG,係数_乗用_軽油,係数_乗用_メタノール,係数_乗用_LPG),1,1,BE994):INDEX((係数_乗用_ガソリン,係数_乗用_CNG,係数_乗用_軽油,係数_乗用_メタノール,係数_乗用_LPG),125,5,BE994),3,FALSE))))))</f>
        <v/>
      </c>
      <c r="BC994" s="467" t="str">
        <f t="shared" si="558"/>
        <v/>
      </c>
      <c r="BD994" s="567" t="str">
        <f t="shared" si="559"/>
        <v/>
      </c>
      <c r="BE994" s="467" t="str">
        <f t="shared" si="560"/>
        <v/>
      </c>
      <c r="BF994" s="469" t="str">
        <f t="shared" ca="1" si="561"/>
        <v/>
      </c>
      <c r="BG994" s="469" t="str">
        <f t="shared" ca="1" si="562"/>
        <v/>
      </c>
      <c r="BH994" s="467" t="str">
        <f t="shared" si="563"/>
        <v/>
      </c>
      <c r="BI994" s="467" t="str">
        <f t="shared" ca="1" si="564"/>
        <v/>
      </c>
      <c r="BJ994" s="469" t="str">
        <f t="shared" si="565"/>
        <v/>
      </c>
      <c r="BK994" s="470" t="str">
        <f t="shared" si="549"/>
        <v/>
      </c>
      <c r="BL994" s="775" t="str">
        <f t="shared" si="566"/>
        <v/>
      </c>
      <c r="BM994" s="775" t="str">
        <f t="shared" si="567"/>
        <v/>
      </c>
    </row>
    <row r="995" spans="1:65">
      <c r="A995" s="473">
        <v>939</v>
      </c>
      <c r="B995" s="132"/>
      <c r="C995" s="332"/>
      <c r="D995" s="333"/>
      <c r="E995" s="333"/>
      <c r="F995" s="334"/>
      <c r="G995" s="337"/>
      <c r="H995" s="131"/>
      <c r="I995" s="337"/>
      <c r="J995" s="131"/>
      <c r="K995" s="458" t="str">
        <f t="shared" si="530"/>
        <v/>
      </c>
      <c r="L995" s="458">
        <f t="shared" si="531"/>
        <v>0</v>
      </c>
      <c r="M995" s="458">
        <f t="shared" si="532"/>
        <v>0</v>
      </c>
      <c r="N995" s="459" t="str">
        <f t="shared" si="543"/>
        <v/>
      </c>
      <c r="O995" s="459" t="str">
        <f t="shared" si="544"/>
        <v/>
      </c>
      <c r="P995" s="459" t="str">
        <f t="shared" si="545"/>
        <v/>
      </c>
      <c r="Q995" s="459" t="str">
        <f t="shared" si="546"/>
        <v/>
      </c>
      <c r="R995" s="459" t="str">
        <f t="shared" si="547"/>
        <v/>
      </c>
      <c r="S995" s="459" t="str">
        <f t="shared" si="548"/>
        <v/>
      </c>
      <c r="T995" s="566" t="str">
        <f t="shared" si="533"/>
        <v/>
      </c>
      <c r="U995" s="702"/>
      <c r="V995" s="132"/>
      <c r="W995" s="133"/>
      <c r="X995" s="134"/>
      <c r="Y995" s="135"/>
      <c r="Z995" s="137"/>
      <c r="AA995" s="136"/>
      <c r="AB995" s="566" t="str">
        <f t="shared" si="534"/>
        <v/>
      </c>
      <c r="AC995" s="568" t="str">
        <f t="shared" si="535"/>
        <v/>
      </c>
      <c r="AD995" s="137"/>
      <c r="AE995" s="137"/>
      <c r="AF995" s="138"/>
      <c r="AG995" s="138"/>
      <c r="AH995" s="592" t="str">
        <f t="shared" si="536"/>
        <v/>
      </c>
      <c r="AI995" s="592" t="str">
        <f t="shared" si="537"/>
        <v/>
      </c>
      <c r="AJ995" s="592" t="str">
        <f t="shared" si="538"/>
        <v/>
      </c>
      <c r="AK995" s="460" t="str">
        <f>IF(AU995="","",IF(OR(AZ995=8,AZ995=9),0,IF(OR(AW995=3,AW995=4,AW995=5,AW995=6),IF(LEFT(BF995,1)="1",INDEX(係数_NOX・PM低減,MATCH(AY995,【参考】排出係数!$AI$801:$AI$804,1),1),VLOOKUP(AU995,INDEX((係数_バス貨物_ガソリン,係数_バス貨物_CNG,係数_バス貨物_軽油,係数_バス貨物_メタノール,係数_バス貨物_LPG),MATCH(AY995,【参考】排出係数!$AI$4:$AI$671,1),1,BE995):INDEX((係数_バス貨物_ガソリン,係数_バス貨物_CNG,係数_バス貨物_軽油,係数_バス貨物_メタノール,係数_バス貨物_LPG),MATCH(AY995+1,【参考】排出係数!$AI$4:$AI$671,1)-1,5,BE995),4,FALSE)),IF(AND(BE995=3,LEFT(BF995,1)="1"),0.48,VLOOKUP(AU995,INDEX((係数_乗用_ガソリン,係数_乗用_CNG,係数_乗用_軽油,係数_乗用_メタノール,係数_乗用_LPG),1,1,BE995):INDEX((係数_乗用_ガソリン,係数_乗用_CNG,係数_乗用_軽油,係数_乗用_メタノール,係数_乗用_LPG),125,5,BE995),4,FALSE)))))</f>
        <v/>
      </c>
      <c r="AL995" s="461" t="str">
        <f t="shared" si="539"/>
        <v/>
      </c>
      <c r="AM995" s="460" t="str">
        <f>IF(AU995="","",IF(OR(AZ995=8,AZ995=9),0,IF(OR(AW995=3,AW995=4,AW995=5,AW995=6),IF(LEFT(BH995,1)="1",INDEX(係数_PM低減,MATCH(AY995,【参考】排出係数!$AI$801:$AI$804,1),MATCH(BI995,【参考】排出係数!$AL$798:$AO$798,1)),VLOOKUP(AU995,INDEX((係数_バス貨物_ガソリン,係数_バス貨物_CNG,係数_バス貨物_軽油,係数_バス貨物_メタノール,係数_バス貨物_LPG),MATCH(AY995,【参考】排出係数!$AI$4:$AI$671,1),1,BE995):INDEX((係数_バス貨物_ガソリン,係数_バス貨物_CNG,係数_バス貨物_軽油,係数_バス貨物_メタノール,係数_バス貨物_LPG),MATCH(AY995+1,【参考】排出係数!$AI$4:$AI$671,1)-1,5,BE995),5,FALSE)),IF(AND(BE995=3,LEFT(BF995,1)="1"),0.055,VLOOKUP(AU995,INDEX((係数_乗用_ガソリン,係数_乗用_CNG,係数_乗用_軽油,係数_乗用_メタノール,係数_乗用_LPG),1,1,BE995):INDEX((係数_乗用_ガソリン,係数_乗用_CNG,係数_乗用_軽油,係数_乗用_メタノール,係数_乗用_LPG),125,5,BE995),5,FALSE)))))</f>
        <v/>
      </c>
      <c r="AN995" s="461" t="str">
        <f t="shared" si="540"/>
        <v/>
      </c>
      <c r="AO995" s="462" t="str">
        <f t="shared" si="541"/>
        <v/>
      </c>
      <c r="AP995" s="463" t="str">
        <f t="shared" si="542"/>
        <v/>
      </c>
      <c r="AQ995" s="464"/>
      <c r="AR995" s="619"/>
      <c r="AS995" s="465" t="str">
        <f t="shared" si="550"/>
        <v/>
      </c>
      <c r="AT995" s="465" t="str">
        <f t="shared" si="551"/>
        <v/>
      </c>
      <c r="AU995" s="466" t="str">
        <f t="shared" si="552"/>
        <v/>
      </c>
      <c r="AV995" s="467" t="str">
        <f t="shared" si="553"/>
        <v/>
      </c>
      <c r="AW995" s="467" t="str">
        <f t="shared" si="554"/>
        <v/>
      </c>
      <c r="AX995" s="467" t="str">
        <f t="shared" si="555"/>
        <v/>
      </c>
      <c r="AY995" s="467" t="str">
        <f t="shared" si="556"/>
        <v/>
      </c>
      <c r="AZ995" s="467" t="str">
        <f t="shared" si="557"/>
        <v/>
      </c>
      <c r="BA995" s="468" t="str">
        <f>IF(AS995="","",IF(OR(AU995="",AU995="-"),"－",IF(OR(AZ995=8,AZ995=9),"",IF(OR(AW995=3,AW995=4,AW995=5,AW995=6),VLOOKUP(AU995,INDEX((係数_バス貨物_ガソリン,係数_バス貨物_CNG,係数_バス貨物_軽油,係数_バス貨物_メタノール,係数_バス貨物_LPG),MATCH(AY995,【参考】排出係数!$AI$4:$AI$671,1),1,BE995):INDEX((係数_バス貨物_ガソリン,係数_バス貨物_CNG,係数_バス貨物_軽油,係数_バス貨物_メタノール,係数_バス貨物_LPG),MATCH(AY995+1,【参考】排出係数!$AI$4:$AI$671,1)-1,5,BE995),2,FALSE),IF(OR(AW995=1,AW995=2),VLOOKUP(AU995,INDEX((係数_乗用_ガソリン,係数_乗用_CNG,係数_乗用_軽油,係数_乗用_メタノール,係数_乗用_LPG),1,1,BE995):INDEX((係数_乗用_ガソリン,係数_乗用_CNG,係数_乗用_軽油,係数_乗用_メタノール,係数_乗用_LPG),125,5,BE995),2,FALSE))))))</f>
        <v/>
      </c>
      <c r="BB995" s="468" t="str">
        <f>IF(T995="","",IF(OR(AU995="",AU995="-"),"－",IF(OR(AZ995=8,AZ995=9),"",IF(OR(AW995=3,AW995=4,AW995=5,AW995=6),VLOOKUP(AU995,INDEX((係数_バス貨物_ガソリン,係数_バス貨物_CNG,係数_バス貨物_軽油,係数_バス貨物_メタノール,係数_バス貨物_LPG),MATCH(AY995,【参考】排出係数!$AI$4:$AI$671,1),1,BE995):INDEX((係数_バス貨物_ガソリン,係数_バス貨物_CNG,係数_バス貨物_軽油,係数_バス貨物_メタノール,係数_バス貨物_LPG),MATCH(AY995+1,【参考】排出係数!$AI$4:$AI$671,1)-1,5,BE995),3,FALSE),IF(OR(AW995=1,AW995=2),VLOOKUP(AU995,INDEX((係数_乗用_ガソリン,係数_乗用_CNG,係数_乗用_軽油,係数_乗用_メタノール,係数_乗用_LPG),1,1,BE995):INDEX((係数_乗用_ガソリン,係数_乗用_CNG,係数_乗用_軽油,係数_乗用_メタノール,係数_乗用_LPG),125,5,BE995),3,FALSE))))))</f>
        <v/>
      </c>
      <c r="BC995" s="467" t="str">
        <f t="shared" si="558"/>
        <v/>
      </c>
      <c r="BD995" s="567" t="str">
        <f t="shared" si="559"/>
        <v/>
      </c>
      <c r="BE995" s="467" t="str">
        <f t="shared" si="560"/>
        <v/>
      </c>
      <c r="BF995" s="469" t="str">
        <f t="shared" ca="1" si="561"/>
        <v/>
      </c>
      <c r="BG995" s="469" t="str">
        <f t="shared" ca="1" si="562"/>
        <v/>
      </c>
      <c r="BH995" s="467" t="str">
        <f t="shared" si="563"/>
        <v/>
      </c>
      <c r="BI995" s="467" t="str">
        <f t="shared" ca="1" si="564"/>
        <v/>
      </c>
      <c r="BJ995" s="469" t="str">
        <f t="shared" si="565"/>
        <v/>
      </c>
      <c r="BK995" s="470" t="str">
        <f t="shared" si="549"/>
        <v/>
      </c>
      <c r="BL995" s="775" t="str">
        <f t="shared" si="566"/>
        <v/>
      </c>
      <c r="BM995" s="775" t="str">
        <f t="shared" si="567"/>
        <v/>
      </c>
    </row>
    <row r="996" spans="1:65">
      <c r="A996" s="473">
        <v>940</v>
      </c>
      <c r="B996" s="132"/>
      <c r="C996" s="332"/>
      <c r="D996" s="333"/>
      <c r="E996" s="333"/>
      <c r="F996" s="334"/>
      <c r="G996" s="337"/>
      <c r="H996" s="131"/>
      <c r="I996" s="337"/>
      <c r="J996" s="131"/>
      <c r="K996" s="458" t="str">
        <f t="shared" si="530"/>
        <v/>
      </c>
      <c r="L996" s="458">
        <f t="shared" si="531"/>
        <v>0</v>
      </c>
      <c r="M996" s="458">
        <f t="shared" si="532"/>
        <v>0</v>
      </c>
      <c r="N996" s="459" t="str">
        <f t="shared" si="543"/>
        <v/>
      </c>
      <c r="O996" s="459" t="str">
        <f t="shared" si="544"/>
        <v/>
      </c>
      <c r="P996" s="459" t="str">
        <f t="shared" si="545"/>
        <v/>
      </c>
      <c r="Q996" s="459" t="str">
        <f t="shared" si="546"/>
        <v/>
      </c>
      <c r="R996" s="459" t="str">
        <f t="shared" si="547"/>
        <v/>
      </c>
      <c r="S996" s="459" t="str">
        <f t="shared" si="548"/>
        <v/>
      </c>
      <c r="T996" s="566" t="str">
        <f t="shared" si="533"/>
        <v/>
      </c>
      <c r="U996" s="702"/>
      <c r="V996" s="132"/>
      <c r="W996" s="133"/>
      <c r="X996" s="134"/>
      <c r="Y996" s="135"/>
      <c r="Z996" s="137"/>
      <c r="AA996" s="136"/>
      <c r="AB996" s="566" t="str">
        <f t="shared" si="534"/>
        <v/>
      </c>
      <c r="AC996" s="568" t="str">
        <f t="shared" si="535"/>
        <v/>
      </c>
      <c r="AD996" s="137"/>
      <c r="AE996" s="137"/>
      <c r="AF996" s="138"/>
      <c r="AG996" s="138"/>
      <c r="AH996" s="592" t="str">
        <f t="shared" si="536"/>
        <v/>
      </c>
      <c r="AI996" s="592" t="str">
        <f t="shared" si="537"/>
        <v/>
      </c>
      <c r="AJ996" s="592" t="str">
        <f t="shared" si="538"/>
        <v/>
      </c>
      <c r="AK996" s="460" t="str">
        <f>IF(AU996="","",IF(OR(AZ996=8,AZ996=9),0,IF(OR(AW996=3,AW996=4,AW996=5,AW996=6),IF(LEFT(BF996,1)="1",INDEX(係数_NOX・PM低減,MATCH(AY996,【参考】排出係数!$AI$801:$AI$804,1),1),VLOOKUP(AU996,INDEX((係数_バス貨物_ガソリン,係数_バス貨物_CNG,係数_バス貨物_軽油,係数_バス貨物_メタノール,係数_バス貨物_LPG),MATCH(AY996,【参考】排出係数!$AI$4:$AI$671,1),1,BE996):INDEX((係数_バス貨物_ガソリン,係数_バス貨物_CNG,係数_バス貨物_軽油,係数_バス貨物_メタノール,係数_バス貨物_LPG),MATCH(AY996+1,【参考】排出係数!$AI$4:$AI$671,1)-1,5,BE996),4,FALSE)),IF(AND(BE996=3,LEFT(BF996,1)="1"),0.48,VLOOKUP(AU996,INDEX((係数_乗用_ガソリン,係数_乗用_CNG,係数_乗用_軽油,係数_乗用_メタノール,係数_乗用_LPG),1,1,BE996):INDEX((係数_乗用_ガソリン,係数_乗用_CNG,係数_乗用_軽油,係数_乗用_メタノール,係数_乗用_LPG),125,5,BE996),4,FALSE)))))</f>
        <v/>
      </c>
      <c r="AL996" s="461" t="str">
        <f t="shared" si="539"/>
        <v/>
      </c>
      <c r="AM996" s="460" t="str">
        <f>IF(AU996="","",IF(OR(AZ996=8,AZ996=9),0,IF(OR(AW996=3,AW996=4,AW996=5,AW996=6),IF(LEFT(BH996,1)="1",INDEX(係数_PM低減,MATCH(AY996,【参考】排出係数!$AI$801:$AI$804,1),MATCH(BI996,【参考】排出係数!$AL$798:$AO$798,1)),VLOOKUP(AU996,INDEX((係数_バス貨物_ガソリン,係数_バス貨物_CNG,係数_バス貨物_軽油,係数_バス貨物_メタノール,係数_バス貨物_LPG),MATCH(AY996,【参考】排出係数!$AI$4:$AI$671,1),1,BE996):INDEX((係数_バス貨物_ガソリン,係数_バス貨物_CNG,係数_バス貨物_軽油,係数_バス貨物_メタノール,係数_バス貨物_LPG),MATCH(AY996+1,【参考】排出係数!$AI$4:$AI$671,1)-1,5,BE996),5,FALSE)),IF(AND(BE996=3,LEFT(BF996,1)="1"),0.055,VLOOKUP(AU996,INDEX((係数_乗用_ガソリン,係数_乗用_CNG,係数_乗用_軽油,係数_乗用_メタノール,係数_乗用_LPG),1,1,BE996):INDEX((係数_乗用_ガソリン,係数_乗用_CNG,係数_乗用_軽油,係数_乗用_メタノール,係数_乗用_LPG),125,5,BE996),5,FALSE)))))</f>
        <v/>
      </c>
      <c r="AN996" s="461" t="str">
        <f t="shared" si="540"/>
        <v/>
      </c>
      <c r="AO996" s="462" t="str">
        <f t="shared" si="541"/>
        <v/>
      </c>
      <c r="AP996" s="463" t="str">
        <f t="shared" si="542"/>
        <v/>
      </c>
      <c r="AQ996" s="464"/>
      <c r="AR996" s="619"/>
      <c r="AS996" s="465" t="str">
        <f t="shared" si="550"/>
        <v/>
      </c>
      <c r="AT996" s="465" t="str">
        <f t="shared" si="551"/>
        <v/>
      </c>
      <c r="AU996" s="466" t="str">
        <f t="shared" si="552"/>
        <v/>
      </c>
      <c r="AV996" s="467" t="str">
        <f t="shared" si="553"/>
        <v/>
      </c>
      <c r="AW996" s="467" t="str">
        <f t="shared" si="554"/>
        <v/>
      </c>
      <c r="AX996" s="467" t="str">
        <f t="shared" si="555"/>
        <v/>
      </c>
      <c r="AY996" s="467" t="str">
        <f t="shared" si="556"/>
        <v/>
      </c>
      <c r="AZ996" s="467" t="str">
        <f t="shared" si="557"/>
        <v/>
      </c>
      <c r="BA996" s="468" t="str">
        <f>IF(AS996="","",IF(OR(AU996="",AU996="-"),"－",IF(OR(AZ996=8,AZ996=9),"",IF(OR(AW996=3,AW996=4,AW996=5,AW996=6),VLOOKUP(AU996,INDEX((係数_バス貨物_ガソリン,係数_バス貨物_CNG,係数_バス貨物_軽油,係数_バス貨物_メタノール,係数_バス貨物_LPG),MATCH(AY996,【参考】排出係数!$AI$4:$AI$671,1),1,BE996):INDEX((係数_バス貨物_ガソリン,係数_バス貨物_CNG,係数_バス貨物_軽油,係数_バス貨物_メタノール,係数_バス貨物_LPG),MATCH(AY996+1,【参考】排出係数!$AI$4:$AI$671,1)-1,5,BE996),2,FALSE),IF(OR(AW996=1,AW996=2),VLOOKUP(AU996,INDEX((係数_乗用_ガソリン,係数_乗用_CNG,係数_乗用_軽油,係数_乗用_メタノール,係数_乗用_LPG),1,1,BE996):INDEX((係数_乗用_ガソリン,係数_乗用_CNG,係数_乗用_軽油,係数_乗用_メタノール,係数_乗用_LPG),125,5,BE996),2,FALSE))))))</f>
        <v/>
      </c>
      <c r="BB996" s="468" t="str">
        <f>IF(T996="","",IF(OR(AU996="",AU996="-"),"－",IF(OR(AZ996=8,AZ996=9),"",IF(OR(AW996=3,AW996=4,AW996=5,AW996=6),VLOOKUP(AU996,INDEX((係数_バス貨物_ガソリン,係数_バス貨物_CNG,係数_バス貨物_軽油,係数_バス貨物_メタノール,係数_バス貨物_LPG),MATCH(AY996,【参考】排出係数!$AI$4:$AI$671,1),1,BE996):INDEX((係数_バス貨物_ガソリン,係数_バス貨物_CNG,係数_バス貨物_軽油,係数_バス貨物_メタノール,係数_バス貨物_LPG),MATCH(AY996+1,【参考】排出係数!$AI$4:$AI$671,1)-1,5,BE996),3,FALSE),IF(OR(AW996=1,AW996=2),VLOOKUP(AU996,INDEX((係数_乗用_ガソリン,係数_乗用_CNG,係数_乗用_軽油,係数_乗用_メタノール,係数_乗用_LPG),1,1,BE996):INDEX((係数_乗用_ガソリン,係数_乗用_CNG,係数_乗用_軽油,係数_乗用_メタノール,係数_乗用_LPG),125,5,BE996),3,FALSE))))))</f>
        <v/>
      </c>
      <c r="BC996" s="467" t="str">
        <f t="shared" si="558"/>
        <v/>
      </c>
      <c r="BD996" s="567" t="str">
        <f t="shared" si="559"/>
        <v/>
      </c>
      <c r="BE996" s="467" t="str">
        <f t="shared" si="560"/>
        <v/>
      </c>
      <c r="BF996" s="469" t="str">
        <f t="shared" ca="1" si="561"/>
        <v/>
      </c>
      <c r="BG996" s="469" t="str">
        <f t="shared" ca="1" si="562"/>
        <v/>
      </c>
      <c r="BH996" s="467" t="str">
        <f t="shared" si="563"/>
        <v/>
      </c>
      <c r="BI996" s="467" t="str">
        <f t="shared" ca="1" si="564"/>
        <v/>
      </c>
      <c r="BJ996" s="469" t="str">
        <f t="shared" si="565"/>
        <v/>
      </c>
      <c r="BK996" s="470" t="str">
        <f t="shared" si="549"/>
        <v/>
      </c>
      <c r="BL996" s="775" t="str">
        <f t="shared" si="566"/>
        <v/>
      </c>
      <c r="BM996" s="775" t="str">
        <f t="shared" si="567"/>
        <v/>
      </c>
    </row>
    <row r="997" spans="1:65">
      <c r="A997" s="473">
        <v>941</v>
      </c>
      <c r="B997" s="132"/>
      <c r="C997" s="332"/>
      <c r="D997" s="333"/>
      <c r="E997" s="333"/>
      <c r="F997" s="334"/>
      <c r="G997" s="337"/>
      <c r="H997" s="131"/>
      <c r="I997" s="337"/>
      <c r="J997" s="131"/>
      <c r="K997" s="458" t="str">
        <f t="shared" si="530"/>
        <v/>
      </c>
      <c r="L997" s="458">
        <f t="shared" si="531"/>
        <v>0</v>
      </c>
      <c r="M997" s="458">
        <f t="shared" si="532"/>
        <v>0</v>
      </c>
      <c r="N997" s="459" t="str">
        <f t="shared" si="543"/>
        <v/>
      </c>
      <c r="O997" s="459" t="str">
        <f t="shared" si="544"/>
        <v/>
      </c>
      <c r="P997" s="459" t="str">
        <f t="shared" si="545"/>
        <v/>
      </c>
      <c r="Q997" s="459" t="str">
        <f t="shared" si="546"/>
        <v/>
      </c>
      <c r="R997" s="459" t="str">
        <f t="shared" si="547"/>
        <v/>
      </c>
      <c r="S997" s="459" t="str">
        <f t="shared" si="548"/>
        <v/>
      </c>
      <c r="T997" s="566" t="str">
        <f t="shared" si="533"/>
        <v/>
      </c>
      <c r="U997" s="702"/>
      <c r="V997" s="132"/>
      <c r="W997" s="133"/>
      <c r="X997" s="134"/>
      <c r="Y997" s="135"/>
      <c r="Z997" s="137"/>
      <c r="AA997" s="136"/>
      <c r="AB997" s="566" t="str">
        <f t="shared" si="534"/>
        <v/>
      </c>
      <c r="AC997" s="568" t="str">
        <f t="shared" si="535"/>
        <v/>
      </c>
      <c r="AD997" s="137"/>
      <c r="AE997" s="137"/>
      <c r="AF997" s="138"/>
      <c r="AG997" s="138"/>
      <c r="AH997" s="592" t="str">
        <f t="shared" si="536"/>
        <v/>
      </c>
      <c r="AI997" s="592" t="str">
        <f t="shared" si="537"/>
        <v/>
      </c>
      <c r="AJ997" s="592" t="str">
        <f t="shared" si="538"/>
        <v/>
      </c>
      <c r="AK997" s="460" t="str">
        <f>IF(AU997="","",IF(OR(AZ997=8,AZ997=9),0,IF(OR(AW997=3,AW997=4,AW997=5,AW997=6),IF(LEFT(BF997,1)="1",INDEX(係数_NOX・PM低減,MATCH(AY997,【参考】排出係数!$AI$801:$AI$804,1),1),VLOOKUP(AU997,INDEX((係数_バス貨物_ガソリン,係数_バス貨物_CNG,係数_バス貨物_軽油,係数_バス貨物_メタノール,係数_バス貨物_LPG),MATCH(AY997,【参考】排出係数!$AI$4:$AI$671,1),1,BE997):INDEX((係数_バス貨物_ガソリン,係数_バス貨物_CNG,係数_バス貨物_軽油,係数_バス貨物_メタノール,係数_バス貨物_LPG),MATCH(AY997+1,【参考】排出係数!$AI$4:$AI$671,1)-1,5,BE997),4,FALSE)),IF(AND(BE997=3,LEFT(BF997,1)="1"),0.48,VLOOKUP(AU997,INDEX((係数_乗用_ガソリン,係数_乗用_CNG,係数_乗用_軽油,係数_乗用_メタノール,係数_乗用_LPG),1,1,BE997):INDEX((係数_乗用_ガソリン,係数_乗用_CNG,係数_乗用_軽油,係数_乗用_メタノール,係数_乗用_LPG),125,5,BE997),4,FALSE)))))</f>
        <v/>
      </c>
      <c r="AL997" s="461" t="str">
        <f t="shared" si="539"/>
        <v/>
      </c>
      <c r="AM997" s="460" t="str">
        <f>IF(AU997="","",IF(OR(AZ997=8,AZ997=9),0,IF(OR(AW997=3,AW997=4,AW997=5,AW997=6),IF(LEFT(BH997,1)="1",INDEX(係数_PM低減,MATCH(AY997,【参考】排出係数!$AI$801:$AI$804,1),MATCH(BI997,【参考】排出係数!$AL$798:$AO$798,1)),VLOOKUP(AU997,INDEX((係数_バス貨物_ガソリン,係数_バス貨物_CNG,係数_バス貨物_軽油,係数_バス貨物_メタノール,係数_バス貨物_LPG),MATCH(AY997,【参考】排出係数!$AI$4:$AI$671,1),1,BE997):INDEX((係数_バス貨物_ガソリン,係数_バス貨物_CNG,係数_バス貨物_軽油,係数_バス貨物_メタノール,係数_バス貨物_LPG),MATCH(AY997+1,【参考】排出係数!$AI$4:$AI$671,1)-1,5,BE997),5,FALSE)),IF(AND(BE997=3,LEFT(BF997,1)="1"),0.055,VLOOKUP(AU997,INDEX((係数_乗用_ガソリン,係数_乗用_CNG,係数_乗用_軽油,係数_乗用_メタノール,係数_乗用_LPG),1,1,BE997):INDEX((係数_乗用_ガソリン,係数_乗用_CNG,係数_乗用_軽油,係数_乗用_メタノール,係数_乗用_LPG),125,5,BE997),5,FALSE)))))</f>
        <v/>
      </c>
      <c r="AN997" s="461" t="str">
        <f t="shared" si="540"/>
        <v/>
      </c>
      <c r="AO997" s="462" t="str">
        <f t="shared" si="541"/>
        <v/>
      </c>
      <c r="AP997" s="463" t="str">
        <f t="shared" si="542"/>
        <v/>
      </c>
      <c r="AQ997" s="464"/>
      <c r="AR997" s="619"/>
      <c r="AS997" s="465" t="str">
        <f t="shared" si="550"/>
        <v/>
      </c>
      <c r="AT997" s="465" t="str">
        <f t="shared" si="551"/>
        <v/>
      </c>
      <c r="AU997" s="466" t="str">
        <f t="shared" si="552"/>
        <v/>
      </c>
      <c r="AV997" s="467" t="str">
        <f t="shared" si="553"/>
        <v/>
      </c>
      <c r="AW997" s="467" t="str">
        <f t="shared" si="554"/>
        <v/>
      </c>
      <c r="AX997" s="467" t="str">
        <f t="shared" si="555"/>
        <v/>
      </c>
      <c r="AY997" s="467" t="str">
        <f t="shared" si="556"/>
        <v/>
      </c>
      <c r="AZ997" s="467" t="str">
        <f t="shared" si="557"/>
        <v/>
      </c>
      <c r="BA997" s="468" t="str">
        <f>IF(AS997="","",IF(OR(AU997="",AU997="-"),"－",IF(OR(AZ997=8,AZ997=9),"",IF(OR(AW997=3,AW997=4,AW997=5,AW997=6),VLOOKUP(AU997,INDEX((係数_バス貨物_ガソリン,係数_バス貨物_CNG,係数_バス貨物_軽油,係数_バス貨物_メタノール,係数_バス貨物_LPG),MATCH(AY997,【参考】排出係数!$AI$4:$AI$671,1),1,BE997):INDEX((係数_バス貨物_ガソリン,係数_バス貨物_CNG,係数_バス貨物_軽油,係数_バス貨物_メタノール,係数_バス貨物_LPG),MATCH(AY997+1,【参考】排出係数!$AI$4:$AI$671,1)-1,5,BE997),2,FALSE),IF(OR(AW997=1,AW997=2),VLOOKUP(AU997,INDEX((係数_乗用_ガソリン,係数_乗用_CNG,係数_乗用_軽油,係数_乗用_メタノール,係数_乗用_LPG),1,1,BE997):INDEX((係数_乗用_ガソリン,係数_乗用_CNG,係数_乗用_軽油,係数_乗用_メタノール,係数_乗用_LPG),125,5,BE997),2,FALSE))))))</f>
        <v/>
      </c>
      <c r="BB997" s="468" t="str">
        <f>IF(T997="","",IF(OR(AU997="",AU997="-"),"－",IF(OR(AZ997=8,AZ997=9),"",IF(OR(AW997=3,AW997=4,AW997=5,AW997=6),VLOOKUP(AU997,INDEX((係数_バス貨物_ガソリン,係数_バス貨物_CNG,係数_バス貨物_軽油,係数_バス貨物_メタノール,係数_バス貨物_LPG),MATCH(AY997,【参考】排出係数!$AI$4:$AI$671,1),1,BE997):INDEX((係数_バス貨物_ガソリン,係数_バス貨物_CNG,係数_バス貨物_軽油,係数_バス貨物_メタノール,係数_バス貨物_LPG),MATCH(AY997+1,【参考】排出係数!$AI$4:$AI$671,1)-1,5,BE997),3,FALSE),IF(OR(AW997=1,AW997=2),VLOOKUP(AU997,INDEX((係数_乗用_ガソリン,係数_乗用_CNG,係数_乗用_軽油,係数_乗用_メタノール,係数_乗用_LPG),1,1,BE997):INDEX((係数_乗用_ガソリン,係数_乗用_CNG,係数_乗用_軽油,係数_乗用_メタノール,係数_乗用_LPG),125,5,BE997),3,FALSE))))))</f>
        <v/>
      </c>
      <c r="BC997" s="467" t="str">
        <f t="shared" si="558"/>
        <v/>
      </c>
      <c r="BD997" s="567" t="str">
        <f t="shared" si="559"/>
        <v/>
      </c>
      <c r="BE997" s="467" t="str">
        <f t="shared" si="560"/>
        <v/>
      </c>
      <c r="BF997" s="469" t="str">
        <f t="shared" ca="1" si="561"/>
        <v/>
      </c>
      <c r="BG997" s="469" t="str">
        <f t="shared" ca="1" si="562"/>
        <v/>
      </c>
      <c r="BH997" s="467" t="str">
        <f t="shared" si="563"/>
        <v/>
      </c>
      <c r="BI997" s="467" t="str">
        <f t="shared" ca="1" si="564"/>
        <v/>
      </c>
      <c r="BJ997" s="469" t="str">
        <f t="shared" si="565"/>
        <v/>
      </c>
      <c r="BK997" s="470" t="str">
        <f t="shared" si="549"/>
        <v/>
      </c>
      <c r="BL997" s="775" t="str">
        <f t="shared" si="566"/>
        <v/>
      </c>
      <c r="BM997" s="775" t="str">
        <f t="shared" si="567"/>
        <v/>
      </c>
    </row>
    <row r="998" spans="1:65">
      <c r="A998" s="473">
        <v>942</v>
      </c>
      <c r="B998" s="132"/>
      <c r="C998" s="332"/>
      <c r="D998" s="333"/>
      <c r="E998" s="333"/>
      <c r="F998" s="334"/>
      <c r="G998" s="337"/>
      <c r="H998" s="131"/>
      <c r="I998" s="337"/>
      <c r="J998" s="131"/>
      <c r="K998" s="458" t="str">
        <f t="shared" si="530"/>
        <v/>
      </c>
      <c r="L998" s="458">
        <f t="shared" si="531"/>
        <v>0</v>
      </c>
      <c r="M998" s="458">
        <f t="shared" si="532"/>
        <v>0</v>
      </c>
      <c r="N998" s="459" t="str">
        <f t="shared" si="543"/>
        <v/>
      </c>
      <c r="O998" s="459" t="str">
        <f t="shared" si="544"/>
        <v/>
      </c>
      <c r="P998" s="459" t="str">
        <f t="shared" si="545"/>
        <v/>
      </c>
      <c r="Q998" s="459" t="str">
        <f t="shared" si="546"/>
        <v/>
      </c>
      <c r="R998" s="459" t="str">
        <f t="shared" si="547"/>
        <v/>
      </c>
      <c r="S998" s="459" t="str">
        <f t="shared" si="548"/>
        <v/>
      </c>
      <c r="T998" s="566" t="str">
        <f t="shared" si="533"/>
        <v/>
      </c>
      <c r="U998" s="702"/>
      <c r="V998" s="132"/>
      <c r="W998" s="133"/>
      <c r="X998" s="134"/>
      <c r="Y998" s="135"/>
      <c r="Z998" s="137"/>
      <c r="AA998" s="136"/>
      <c r="AB998" s="566" t="str">
        <f t="shared" si="534"/>
        <v/>
      </c>
      <c r="AC998" s="568" t="str">
        <f t="shared" si="535"/>
        <v/>
      </c>
      <c r="AD998" s="137"/>
      <c r="AE998" s="137"/>
      <c r="AF998" s="138"/>
      <c r="AG998" s="138"/>
      <c r="AH998" s="592" t="str">
        <f t="shared" si="536"/>
        <v/>
      </c>
      <c r="AI998" s="592" t="str">
        <f t="shared" si="537"/>
        <v/>
      </c>
      <c r="AJ998" s="592" t="str">
        <f t="shared" si="538"/>
        <v/>
      </c>
      <c r="AK998" s="460" t="str">
        <f>IF(AU998="","",IF(OR(AZ998=8,AZ998=9),0,IF(OR(AW998=3,AW998=4,AW998=5,AW998=6),IF(LEFT(BF998,1)="1",INDEX(係数_NOX・PM低減,MATCH(AY998,【参考】排出係数!$AI$801:$AI$804,1),1),VLOOKUP(AU998,INDEX((係数_バス貨物_ガソリン,係数_バス貨物_CNG,係数_バス貨物_軽油,係数_バス貨物_メタノール,係数_バス貨物_LPG),MATCH(AY998,【参考】排出係数!$AI$4:$AI$671,1),1,BE998):INDEX((係数_バス貨物_ガソリン,係数_バス貨物_CNG,係数_バス貨物_軽油,係数_バス貨物_メタノール,係数_バス貨物_LPG),MATCH(AY998+1,【参考】排出係数!$AI$4:$AI$671,1)-1,5,BE998),4,FALSE)),IF(AND(BE998=3,LEFT(BF998,1)="1"),0.48,VLOOKUP(AU998,INDEX((係数_乗用_ガソリン,係数_乗用_CNG,係数_乗用_軽油,係数_乗用_メタノール,係数_乗用_LPG),1,1,BE998):INDEX((係数_乗用_ガソリン,係数_乗用_CNG,係数_乗用_軽油,係数_乗用_メタノール,係数_乗用_LPG),125,5,BE998),4,FALSE)))))</f>
        <v/>
      </c>
      <c r="AL998" s="461" t="str">
        <f t="shared" si="539"/>
        <v/>
      </c>
      <c r="AM998" s="460" t="str">
        <f>IF(AU998="","",IF(OR(AZ998=8,AZ998=9),0,IF(OR(AW998=3,AW998=4,AW998=5,AW998=6),IF(LEFT(BH998,1)="1",INDEX(係数_PM低減,MATCH(AY998,【参考】排出係数!$AI$801:$AI$804,1),MATCH(BI998,【参考】排出係数!$AL$798:$AO$798,1)),VLOOKUP(AU998,INDEX((係数_バス貨物_ガソリン,係数_バス貨物_CNG,係数_バス貨物_軽油,係数_バス貨物_メタノール,係数_バス貨物_LPG),MATCH(AY998,【参考】排出係数!$AI$4:$AI$671,1),1,BE998):INDEX((係数_バス貨物_ガソリン,係数_バス貨物_CNG,係数_バス貨物_軽油,係数_バス貨物_メタノール,係数_バス貨物_LPG),MATCH(AY998+1,【参考】排出係数!$AI$4:$AI$671,1)-1,5,BE998),5,FALSE)),IF(AND(BE998=3,LEFT(BF998,1)="1"),0.055,VLOOKUP(AU998,INDEX((係数_乗用_ガソリン,係数_乗用_CNG,係数_乗用_軽油,係数_乗用_メタノール,係数_乗用_LPG),1,1,BE998):INDEX((係数_乗用_ガソリン,係数_乗用_CNG,係数_乗用_軽油,係数_乗用_メタノール,係数_乗用_LPG),125,5,BE998),5,FALSE)))))</f>
        <v/>
      </c>
      <c r="AN998" s="461" t="str">
        <f t="shared" si="540"/>
        <v/>
      </c>
      <c r="AO998" s="462" t="str">
        <f t="shared" si="541"/>
        <v/>
      </c>
      <c r="AP998" s="463" t="str">
        <f t="shared" si="542"/>
        <v/>
      </c>
      <c r="AQ998" s="464"/>
      <c r="AR998" s="619"/>
      <c r="AS998" s="465" t="str">
        <f t="shared" si="550"/>
        <v/>
      </c>
      <c r="AT998" s="465" t="str">
        <f t="shared" si="551"/>
        <v/>
      </c>
      <c r="AU998" s="466" t="str">
        <f t="shared" si="552"/>
        <v/>
      </c>
      <c r="AV998" s="467" t="str">
        <f t="shared" si="553"/>
        <v/>
      </c>
      <c r="AW998" s="467" t="str">
        <f t="shared" si="554"/>
        <v/>
      </c>
      <c r="AX998" s="467" t="str">
        <f t="shared" si="555"/>
        <v/>
      </c>
      <c r="AY998" s="467" t="str">
        <f t="shared" si="556"/>
        <v/>
      </c>
      <c r="AZ998" s="467" t="str">
        <f t="shared" si="557"/>
        <v/>
      </c>
      <c r="BA998" s="468" t="str">
        <f>IF(AS998="","",IF(OR(AU998="",AU998="-"),"－",IF(OR(AZ998=8,AZ998=9),"",IF(OR(AW998=3,AW998=4,AW998=5,AW998=6),VLOOKUP(AU998,INDEX((係数_バス貨物_ガソリン,係数_バス貨物_CNG,係数_バス貨物_軽油,係数_バス貨物_メタノール,係数_バス貨物_LPG),MATCH(AY998,【参考】排出係数!$AI$4:$AI$671,1),1,BE998):INDEX((係数_バス貨物_ガソリン,係数_バス貨物_CNG,係数_バス貨物_軽油,係数_バス貨物_メタノール,係数_バス貨物_LPG),MATCH(AY998+1,【参考】排出係数!$AI$4:$AI$671,1)-1,5,BE998),2,FALSE),IF(OR(AW998=1,AW998=2),VLOOKUP(AU998,INDEX((係数_乗用_ガソリン,係数_乗用_CNG,係数_乗用_軽油,係数_乗用_メタノール,係数_乗用_LPG),1,1,BE998):INDEX((係数_乗用_ガソリン,係数_乗用_CNG,係数_乗用_軽油,係数_乗用_メタノール,係数_乗用_LPG),125,5,BE998),2,FALSE))))))</f>
        <v/>
      </c>
      <c r="BB998" s="468" t="str">
        <f>IF(T998="","",IF(OR(AU998="",AU998="-"),"－",IF(OR(AZ998=8,AZ998=9),"",IF(OR(AW998=3,AW998=4,AW998=5,AW998=6),VLOOKUP(AU998,INDEX((係数_バス貨物_ガソリン,係数_バス貨物_CNG,係数_バス貨物_軽油,係数_バス貨物_メタノール,係数_バス貨物_LPG),MATCH(AY998,【参考】排出係数!$AI$4:$AI$671,1),1,BE998):INDEX((係数_バス貨物_ガソリン,係数_バス貨物_CNG,係数_バス貨物_軽油,係数_バス貨物_メタノール,係数_バス貨物_LPG),MATCH(AY998+1,【参考】排出係数!$AI$4:$AI$671,1)-1,5,BE998),3,FALSE),IF(OR(AW998=1,AW998=2),VLOOKUP(AU998,INDEX((係数_乗用_ガソリン,係数_乗用_CNG,係数_乗用_軽油,係数_乗用_メタノール,係数_乗用_LPG),1,1,BE998):INDEX((係数_乗用_ガソリン,係数_乗用_CNG,係数_乗用_軽油,係数_乗用_メタノール,係数_乗用_LPG),125,5,BE998),3,FALSE))))))</f>
        <v/>
      </c>
      <c r="BC998" s="467" t="str">
        <f t="shared" si="558"/>
        <v/>
      </c>
      <c r="BD998" s="567" t="str">
        <f t="shared" si="559"/>
        <v/>
      </c>
      <c r="BE998" s="467" t="str">
        <f t="shared" si="560"/>
        <v/>
      </c>
      <c r="BF998" s="469" t="str">
        <f t="shared" ca="1" si="561"/>
        <v/>
      </c>
      <c r="BG998" s="469" t="str">
        <f t="shared" ca="1" si="562"/>
        <v/>
      </c>
      <c r="BH998" s="467" t="str">
        <f t="shared" si="563"/>
        <v/>
      </c>
      <c r="BI998" s="467" t="str">
        <f t="shared" ca="1" si="564"/>
        <v/>
      </c>
      <c r="BJ998" s="469" t="str">
        <f t="shared" si="565"/>
        <v/>
      </c>
      <c r="BK998" s="470" t="str">
        <f t="shared" si="549"/>
        <v/>
      </c>
      <c r="BL998" s="775" t="str">
        <f t="shared" si="566"/>
        <v/>
      </c>
      <c r="BM998" s="775" t="str">
        <f t="shared" si="567"/>
        <v/>
      </c>
    </row>
    <row r="999" spans="1:65">
      <c r="A999" s="473">
        <v>943</v>
      </c>
      <c r="B999" s="132"/>
      <c r="C999" s="332"/>
      <c r="D999" s="333"/>
      <c r="E999" s="333"/>
      <c r="F999" s="334"/>
      <c r="G999" s="337"/>
      <c r="H999" s="131"/>
      <c r="I999" s="337"/>
      <c r="J999" s="131"/>
      <c r="K999" s="458" t="str">
        <f t="shared" si="530"/>
        <v/>
      </c>
      <c r="L999" s="458">
        <f t="shared" si="531"/>
        <v>0</v>
      </c>
      <c r="M999" s="458">
        <f t="shared" si="532"/>
        <v>0</v>
      </c>
      <c r="N999" s="459" t="str">
        <f t="shared" si="543"/>
        <v/>
      </c>
      <c r="O999" s="459" t="str">
        <f t="shared" si="544"/>
        <v/>
      </c>
      <c r="P999" s="459" t="str">
        <f t="shared" si="545"/>
        <v/>
      </c>
      <c r="Q999" s="459" t="str">
        <f t="shared" si="546"/>
        <v/>
      </c>
      <c r="R999" s="459" t="str">
        <f t="shared" si="547"/>
        <v/>
      </c>
      <c r="S999" s="459" t="str">
        <f t="shared" si="548"/>
        <v/>
      </c>
      <c r="T999" s="566" t="str">
        <f t="shared" si="533"/>
        <v/>
      </c>
      <c r="U999" s="702"/>
      <c r="V999" s="132"/>
      <c r="W999" s="133"/>
      <c r="X999" s="134"/>
      <c r="Y999" s="135"/>
      <c r="Z999" s="137"/>
      <c r="AA999" s="136"/>
      <c r="AB999" s="566" t="str">
        <f t="shared" si="534"/>
        <v/>
      </c>
      <c r="AC999" s="568" t="str">
        <f t="shared" si="535"/>
        <v/>
      </c>
      <c r="AD999" s="137"/>
      <c r="AE999" s="137"/>
      <c r="AF999" s="138"/>
      <c r="AG999" s="138"/>
      <c r="AH999" s="592" t="str">
        <f t="shared" si="536"/>
        <v/>
      </c>
      <c r="AI999" s="592" t="str">
        <f t="shared" si="537"/>
        <v/>
      </c>
      <c r="AJ999" s="592" t="str">
        <f t="shared" si="538"/>
        <v/>
      </c>
      <c r="AK999" s="460" t="str">
        <f>IF(AU999="","",IF(OR(AZ999=8,AZ999=9),0,IF(OR(AW999=3,AW999=4,AW999=5,AW999=6),IF(LEFT(BF999,1)="1",INDEX(係数_NOX・PM低減,MATCH(AY999,【参考】排出係数!$AI$801:$AI$804,1),1),VLOOKUP(AU999,INDEX((係数_バス貨物_ガソリン,係数_バス貨物_CNG,係数_バス貨物_軽油,係数_バス貨物_メタノール,係数_バス貨物_LPG),MATCH(AY999,【参考】排出係数!$AI$4:$AI$671,1),1,BE999):INDEX((係数_バス貨物_ガソリン,係数_バス貨物_CNG,係数_バス貨物_軽油,係数_バス貨物_メタノール,係数_バス貨物_LPG),MATCH(AY999+1,【参考】排出係数!$AI$4:$AI$671,1)-1,5,BE999),4,FALSE)),IF(AND(BE999=3,LEFT(BF999,1)="1"),0.48,VLOOKUP(AU999,INDEX((係数_乗用_ガソリン,係数_乗用_CNG,係数_乗用_軽油,係数_乗用_メタノール,係数_乗用_LPG),1,1,BE999):INDEX((係数_乗用_ガソリン,係数_乗用_CNG,係数_乗用_軽油,係数_乗用_メタノール,係数_乗用_LPG),125,5,BE999),4,FALSE)))))</f>
        <v/>
      </c>
      <c r="AL999" s="461" t="str">
        <f t="shared" si="539"/>
        <v/>
      </c>
      <c r="AM999" s="460" t="str">
        <f>IF(AU999="","",IF(OR(AZ999=8,AZ999=9),0,IF(OR(AW999=3,AW999=4,AW999=5,AW999=6),IF(LEFT(BH999,1)="1",INDEX(係数_PM低減,MATCH(AY999,【参考】排出係数!$AI$801:$AI$804,1),MATCH(BI999,【参考】排出係数!$AL$798:$AO$798,1)),VLOOKUP(AU999,INDEX((係数_バス貨物_ガソリン,係数_バス貨物_CNG,係数_バス貨物_軽油,係数_バス貨物_メタノール,係数_バス貨物_LPG),MATCH(AY999,【参考】排出係数!$AI$4:$AI$671,1),1,BE999):INDEX((係数_バス貨物_ガソリン,係数_バス貨物_CNG,係数_バス貨物_軽油,係数_バス貨物_メタノール,係数_バス貨物_LPG),MATCH(AY999+1,【参考】排出係数!$AI$4:$AI$671,1)-1,5,BE999),5,FALSE)),IF(AND(BE999=3,LEFT(BF999,1)="1"),0.055,VLOOKUP(AU999,INDEX((係数_乗用_ガソリン,係数_乗用_CNG,係数_乗用_軽油,係数_乗用_メタノール,係数_乗用_LPG),1,1,BE999):INDEX((係数_乗用_ガソリン,係数_乗用_CNG,係数_乗用_軽油,係数_乗用_メタノール,係数_乗用_LPG),125,5,BE999),5,FALSE)))))</f>
        <v/>
      </c>
      <c r="AN999" s="461" t="str">
        <f t="shared" si="540"/>
        <v/>
      </c>
      <c r="AO999" s="462" t="str">
        <f t="shared" si="541"/>
        <v/>
      </c>
      <c r="AP999" s="463" t="str">
        <f t="shared" si="542"/>
        <v/>
      </c>
      <c r="AQ999" s="464"/>
      <c r="AR999" s="619"/>
      <c r="AS999" s="465" t="str">
        <f t="shared" si="550"/>
        <v/>
      </c>
      <c r="AT999" s="465" t="str">
        <f t="shared" si="551"/>
        <v/>
      </c>
      <c r="AU999" s="466" t="str">
        <f t="shared" si="552"/>
        <v/>
      </c>
      <c r="AV999" s="467" t="str">
        <f t="shared" si="553"/>
        <v/>
      </c>
      <c r="AW999" s="467" t="str">
        <f t="shared" si="554"/>
        <v/>
      </c>
      <c r="AX999" s="467" t="str">
        <f t="shared" si="555"/>
        <v/>
      </c>
      <c r="AY999" s="467" t="str">
        <f t="shared" si="556"/>
        <v/>
      </c>
      <c r="AZ999" s="467" t="str">
        <f t="shared" si="557"/>
        <v/>
      </c>
      <c r="BA999" s="468" t="str">
        <f>IF(AS999="","",IF(OR(AU999="",AU999="-"),"－",IF(OR(AZ999=8,AZ999=9),"",IF(OR(AW999=3,AW999=4,AW999=5,AW999=6),VLOOKUP(AU999,INDEX((係数_バス貨物_ガソリン,係数_バス貨物_CNG,係数_バス貨物_軽油,係数_バス貨物_メタノール,係数_バス貨物_LPG),MATCH(AY999,【参考】排出係数!$AI$4:$AI$671,1),1,BE999):INDEX((係数_バス貨物_ガソリン,係数_バス貨物_CNG,係数_バス貨物_軽油,係数_バス貨物_メタノール,係数_バス貨物_LPG),MATCH(AY999+1,【参考】排出係数!$AI$4:$AI$671,1)-1,5,BE999),2,FALSE),IF(OR(AW999=1,AW999=2),VLOOKUP(AU999,INDEX((係数_乗用_ガソリン,係数_乗用_CNG,係数_乗用_軽油,係数_乗用_メタノール,係数_乗用_LPG),1,1,BE999):INDEX((係数_乗用_ガソリン,係数_乗用_CNG,係数_乗用_軽油,係数_乗用_メタノール,係数_乗用_LPG),125,5,BE999),2,FALSE))))))</f>
        <v/>
      </c>
      <c r="BB999" s="468" t="str">
        <f>IF(T999="","",IF(OR(AU999="",AU999="-"),"－",IF(OR(AZ999=8,AZ999=9),"",IF(OR(AW999=3,AW999=4,AW999=5,AW999=6),VLOOKUP(AU999,INDEX((係数_バス貨物_ガソリン,係数_バス貨物_CNG,係数_バス貨物_軽油,係数_バス貨物_メタノール,係数_バス貨物_LPG),MATCH(AY999,【参考】排出係数!$AI$4:$AI$671,1),1,BE999):INDEX((係数_バス貨物_ガソリン,係数_バス貨物_CNG,係数_バス貨物_軽油,係数_バス貨物_メタノール,係数_バス貨物_LPG),MATCH(AY999+1,【参考】排出係数!$AI$4:$AI$671,1)-1,5,BE999),3,FALSE),IF(OR(AW999=1,AW999=2),VLOOKUP(AU999,INDEX((係数_乗用_ガソリン,係数_乗用_CNG,係数_乗用_軽油,係数_乗用_メタノール,係数_乗用_LPG),1,1,BE999):INDEX((係数_乗用_ガソリン,係数_乗用_CNG,係数_乗用_軽油,係数_乗用_メタノール,係数_乗用_LPG),125,5,BE999),3,FALSE))))))</f>
        <v/>
      </c>
      <c r="BC999" s="467" t="str">
        <f t="shared" si="558"/>
        <v/>
      </c>
      <c r="BD999" s="567" t="str">
        <f t="shared" si="559"/>
        <v/>
      </c>
      <c r="BE999" s="467" t="str">
        <f t="shared" si="560"/>
        <v/>
      </c>
      <c r="BF999" s="469" t="str">
        <f t="shared" ca="1" si="561"/>
        <v/>
      </c>
      <c r="BG999" s="469" t="str">
        <f t="shared" ca="1" si="562"/>
        <v/>
      </c>
      <c r="BH999" s="467" t="str">
        <f t="shared" si="563"/>
        <v/>
      </c>
      <c r="BI999" s="467" t="str">
        <f t="shared" ca="1" si="564"/>
        <v/>
      </c>
      <c r="BJ999" s="469" t="str">
        <f t="shared" si="565"/>
        <v/>
      </c>
      <c r="BK999" s="470" t="str">
        <f t="shared" si="549"/>
        <v/>
      </c>
      <c r="BL999" s="775" t="str">
        <f t="shared" si="566"/>
        <v/>
      </c>
      <c r="BM999" s="775" t="str">
        <f t="shared" si="567"/>
        <v/>
      </c>
    </row>
    <row r="1000" spans="1:65">
      <c r="A1000" s="473">
        <v>944</v>
      </c>
      <c r="B1000" s="132"/>
      <c r="C1000" s="332"/>
      <c r="D1000" s="333"/>
      <c r="E1000" s="333"/>
      <c r="F1000" s="334"/>
      <c r="G1000" s="337"/>
      <c r="H1000" s="131"/>
      <c r="I1000" s="337"/>
      <c r="J1000" s="131"/>
      <c r="K1000" s="458" t="str">
        <f t="shared" si="530"/>
        <v/>
      </c>
      <c r="L1000" s="458">
        <f t="shared" si="531"/>
        <v>0</v>
      </c>
      <c r="M1000" s="458">
        <f t="shared" si="532"/>
        <v>0</v>
      </c>
      <c r="N1000" s="459" t="str">
        <f t="shared" si="543"/>
        <v/>
      </c>
      <c r="O1000" s="459" t="str">
        <f t="shared" si="544"/>
        <v/>
      </c>
      <c r="P1000" s="459" t="str">
        <f t="shared" si="545"/>
        <v/>
      </c>
      <c r="Q1000" s="459" t="str">
        <f t="shared" si="546"/>
        <v/>
      </c>
      <c r="R1000" s="459" t="str">
        <f t="shared" si="547"/>
        <v/>
      </c>
      <c r="S1000" s="459" t="str">
        <f t="shared" si="548"/>
        <v/>
      </c>
      <c r="T1000" s="566" t="str">
        <f t="shared" si="533"/>
        <v/>
      </c>
      <c r="U1000" s="702"/>
      <c r="V1000" s="132"/>
      <c r="W1000" s="133"/>
      <c r="X1000" s="134"/>
      <c r="Y1000" s="135"/>
      <c r="Z1000" s="137"/>
      <c r="AA1000" s="136"/>
      <c r="AB1000" s="566" t="str">
        <f t="shared" si="534"/>
        <v/>
      </c>
      <c r="AC1000" s="568" t="str">
        <f t="shared" si="535"/>
        <v/>
      </c>
      <c r="AD1000" s="137"/>
      <c r="AE1000" s="137"/>
      <c r="AF1000" s="138"/>
      <c r="AG1000" s="138"/>
      <c r="AH1000" s="592" t="str">
        <f t="shared" si="536"/>
        <v/>
      </c>
      <c r="AI1000" s="592" t="str">
        <f t="shared" si="537"/>
        <v/>
      </c>
      <c r="AJ1000" s="592" t="str">
        <f t="shared" si="538"/>
        <v/>
      </c>
      <c r="AK1000" s="460" t="str">
        <f>IF(AU1000="","",IF(OR(AZ1000=8,AZ1000=9),0,IF(OR(AW1000=3,AW1000=4,AW1000=5,AW1000=6),IF(LEFT(BF1000,1)="1",INDEX(係数_NOX・PM低減,MATCH(AY1000,【参考】排出係数!$AI$801:$AI$804,1),1),VLOOKUP(AU1000,INDEX((係数_バス貨物_ガソリン,係数_バス貨物_CNG,係数_バス貨物_軽油,係数_バス貨物_メタノール,係数_バス貨物_LPG),MATCH(AY1000,【参考】排出係数!$AI$4:$AI$671,1),1,BE1000):INDEX((係数_バス貨物_ガソリン,係数_バス貨物_CNG,係数_バス貨物_軽油,係数_バス貨物_メタノール,係数_バス貨物_LPG),MATCH(AY1000+1,【参考】排出係数!$AI$4:$AI$671,1)-1,5,BE1000),4,FALSE)),IF(AND(BE1000=3,LEFT(BF1000,1)="1"),0.48,VLOOKUP(AU1000,INDEX((係数_乗用_ガソリン,係数_乗用_CNG,係数_乗用_軽油,係数_乗用_メタノール,係数_乗用_LPG),1,1,BE1000):INDEX((係数_乗用_ガソリン,係数_乗用_CNG,係数_乗用_軽油,係数_乗用_メタノール,係数_乗用_LPG),125,5,BE1000),4,FALSE)))))</f>
        <v/>
      </c>
      <c r="AL1000" s="461" t="str">
        <f t="shared" si="539"/>
        <v/>
      </c>
      <c r="AM1000" s="460" t="str">
        <f>IF(AU1000="","",IF(OR(AZ1000=8,AZ1000=9),0,IF(OR(AW1000=3,AW1000=4,AW1000=5,AW1000=6),IF(LEFT(BH1000,1)="1",INDEX(係数_PM低減,MATCH(AY1000,【参考】排出係数!$AI$801:$AI$804,1),MATCH(BI1000,【参考】排出係数!$AL$798:$AO$798,1)),VLOOKUP(AU1000,INDEX((係数_バス貨物_ガソリン,係数_バス貨物_CNG,係数_バス貨物_軽油,係数_バス貨物_メタノール,係数_バス貨物_LPG),MATCH(AY1000,【参考】排出係数!$AI$4:$AI$671,1),1,BE1000):INDEX((係数_バス貨物_ガソリン,係数_バス貨物_CNG,係数_バス貨物_軽油,係数_バス貨物_メタノール,係数_バス貨物_LPG),MATCH(AY1000+1,【参考】排出係数!$AI$4:$AI$671,1)-1,5,BE1000),5,FALSE)),IF(AND(BE1000=3,LEFT(BF1000,1)="1"),0.055,VLOOKUP(AU1000,INDEX((係数_乗用_ガソリン,係数_乗用_CNG,係数_乗用_軽油,係数_乗用_メタノール,係数_乗用_LPG),1,1,BE1000):INDEX((係数_乗用_ガソリン,係数_乗用_CNG,係数_乗用_軽油,係数_乗用_メタノール,係数_乗用_LPG),125,5,BE1000),5,FALSE)))))</f>
        <v/>
      </c>
      <c r="AN1000" s="461" t="str">
        <f t="shared" si="540"/>
        <v/>
      </c>
      <c r="AO1000" s="462" t="str">
        <f t="shared" si="541"/>
        <v/>
      </c>
      <c r="AP1000" s="463" t="str">
        <f t="shared" si="542"/>
        <v/>
      </c>
      <c r="AQ1000" s="464"/>
      <c r="AR1000" s="619"/>
      <c r="AS1000" s="465" t="str">
        <f t="shared" si="550"/>
        <v/>
      </c>
      <c r="AT1000" s="465" t="str">
        <f t="shared" si="551"/>
        <v/>
      </c>
      <c r="AU1000" s="466" t="str">
        <f t="shared" si="552"/>
        <v/>
      </c>
      <c r="AV1000" s="467" t="str">
        <f t="shared" si="553"/>
        <v/>
      </c>
      <c r="AW1000" s="467" t="str">
        <f t="shared" si="554"/>
        <v/>
      </c>
      <c r="AX1000" s="467" t="str">
        <f t="shared" si="555"/>
        <v/>
      </c>
      <c r="AY1000" s="467" t="str">
        <f t="shared" si="556"/>
        <v/>
      </c>
      <c r="AZ1000" s="467" t="str">
        <f t="shared" si="557"/>
        <v/>
      </c>
      <c r="BA1000" s="468" t="str">
        <f>IF(AS1000="","",IF(OR(AU1000="",AU1000="-"),"－",IF(OR(AZ1000=8,AZ1000=9),"",IF(OR(AW1000=3,AW1000=4,AW1000=5,AW1000=6),VLOOKUP(AU1000,INDEX((係数_バス貨物_ガソリン,係数_バス貨物_CNG,係数_バス貨物_軽油,係数_バス貨物_メタノール,係数_バス貨物_LPG),MATCH(AY1000,【参考】排出係数!$AI$4:$AI$671,1),1,BE1000):INDEX((係数_バス貨物_ガソリン,係数_バス貨物_CNG,係数_バス貨物_軽油,係数_バス貨物_メタノール,係数_バス貨物_LPG),MATCH(AY1000+1,【参考】排出係数!$AI$4:$AI$671,1)-1,5,BE1000),2,FALSE),IF(OR(AW1000=1,AW1000=2),VLOOKUP(AU1000,INDEX((係数_乗用_ガソリン,係数_乗用_CNG,係数_乗用_軽油,係数_乗用_メタノール,係数_乗用_LPG),1,1,BE1000):INDEX((係数_乗用_ガソリン,係数_乗用_CNG,係数_乗用_軽油,係数_乗用_メタノール,係数_乗用_LPG),125,5,BE1000),2,FALSE))))))</f>
        <v/>
      </c>
      <c r="BB1000" s="468" t="str">
        <f>IF(T1000="","",IF(OR(AU1000="",AU1000="-"),"－",IF(OR(AZ1000=8,AZ1000=9),"",IF(OR(AW1000=3,AW1000=4,AW1000=5,AW1000=6),VLOOKUP(AU1000,INDEX((係数_バス貨物_ガソリン,係数_バス貨物_CNG,係数_バス貨物_軽油,係数_バス貨物_メタノール,係数_バス貨物_LPG),MATCH(AY1000,【参考】排出係数!$AI$4:$AI$671,1),1,BE1000):INDEX((係数_バス貨物_ガソリン,係数_バス貨物_CNG,係数_バス貨物_軽油,係数_バス貨物_メタノール,係数_バス貨物_LPG),MATCH(AY1000+1,【参考】排出係数!$AI$4:$AI$671,1)-1,5,BE1000),3,FALSE),IF(OR(AW1000=1,AW1000=2),VLOOKUP(AU1000,INDEX((係数_乗用_ガソリン,係数_乗用_CNG,係数_乗用_軽油,係数_乗用_メタノール,係数_乗用_LPG),1,1,BE1000):INDEX((係数_乗用_ガソリン,係数_乗用_CNG,係数_乗用_軽油,係数_乗用_メタノール,係数_乗用_LPG),125,5,BE1000),3,FALSE))))))</f>
        <v/>
      </c>
      <c r="BC1000" s="467" t="str">
        <f t="shared" si="558"/>
        <v/>
      </c>
      <c r="BD1000" s="567" t="str">
        <f t="shared" si="559"/>
        <v/>
      </c>
      <c r="BE1000" s="467" t="str">
        <f t="shared" si="560"/>
        <v/>
      </c>
      <c r="BF1000" s="469" t="str">
        <f t="shared" ca="1" si="561"/>
        <v/>
      </c>
      <c r="BG1000" s="469" t="str">
        <f t="shared" ca="1" si="562"/>
        <v/>
      </c>
      <c r="BH1000" s="467" t="str">
        <f t="shared" si="563"/>
        <v/>
      </c>
      <c r="BI1000" s="467" t="str">
        <f t="shared" ca="1" si="564"/>
        <v/>
      </c>
      <c r="BJ1000" s="469" t="str">
        <f t="shared" si="565"/>
        <v/>
      </c>
      <c r="BK1000" s="470" t="str">
        <f t="shared" si="549"/>
        <v/>
      </c>
      <c r="BL1000" s="775" t="str">
        <f t="shared" si="566"/>
        <v/>
      </c>
      <c r="BM1000" s="775" t="str">
        <f t="shared" si="567"/>
        <v/>
      </c>
    </row>
    <row r="1001" spans="1:65">
      <c r="A1001" s="473">
        <v>945</v>
      </c>
      <c r="B1001" s="132"/>
      <c r="C1001" s="332"/>
      <c r="D1001" s="333"/>
      <c r="E1001" s="333"/>
      <c r="F1001" s="334"/>
      <c r="G1001" s="337"/>
      <c r="H1001" s="131"/>
      <c r="I1001" s="337"/>
      <c r="J1001" s="131"/>
      <c r="K1001" s="458" t="str">
        <f t="shared" si="530"/>
        <v/>
      </c>
      <c r="L1001" s="458">
        <f t="shared" si="531"/>
        <v>0</v>
      </c>
      <c r="M1001" s="458">
        <f t="shared" si="532"/>
        <v>0</v>
      </c>
      <c r="N1001" s="459" t="str">
        <f t="shared" si="543"/>
        <v/>
      </c>
      <c r="O1001" s="459" t="str">
        <f t="shared" si="544"/>
        <v/>
      </c>
      <c r="P1001" s="459" t="str">
        <f t="shared" si="545"/>
        <v/>
      </c>
      <c r="Q1001" s="459" t="str">
        <f t="shared" si="546"/>
        <v/>
      </c>
      <c r="R1001" s="459" t="str">
        <f t="shared" si="547"/>
        <v/>
      </c>
      <c r="S1001" s="459" t="str">
        <f t="shared" si="548"/>
        <v/>
      </c>
      <c r="T1001" s="566" t="str">
        <f t="shared" si="533"/>
        <v/>
      </c>
      <c r="U1001" s="702"/>
      <c r="V1001" s="132"/>
      <c r="W1001" s="133"/>
      <c r="X1001" s="134"/>
      <c r="Y1001" s="135"/>
      <c r="Z1001" s="137"/>
      <c r="AA1001" s="136"/>
      <c r="AB1001" s="566" t="str">
        <f t="shared" si="534"/>
        <v/>
      </c>
      <c r="AC1001" s="568" t="str">
        <f t="shared" si="535"/>
        <v/>
      </c>
      <c r="AD1001" s="137"/>
      <c r="AE1001" s="137"/>
      <c r="AF1001" s="138"/>
      <c r="AG1001" s="138"/>
      <c r="AH1001" s="592" t="str">
        <f t="shared" si="536"/>
        <v/>
      </c>
      <c r="AI1001" s="592" t="str">
        <f t="shared" si="537"/>
        <v/>
      </c>
      <c r="AJ1001" s="592" t="str">
        <f t="shared" si="538"/>
        <v/>
      </c>
      <c r="AK1001" s="460" t="str">
        <f>IF(AU1001="","",IF(OR(AZ1001=8,AZ1001=9),0,IF(OR(AW1001=3,AW1001=4,AW1001=5,AW1001=6),IF(LEFT(BF1001,1)="1",INDEX(係数_NOX・PM低減,MATCH(AY1001,【参考】排出係数!$AI$801:$AI$804,1),1),VLOOKUP(AU1001,INDEX((係数_バス貨物_ガソリン,係数_バス貨物_CNG,係数_バス貨物_軽油,係数_バス貨物_メタノール,係数_バス貨物_LPG),MATCH(AY1001,【参考】排出係数!$AI$4:$AI$671,1),1,BE1001):INDEX((係数_バス貨物_ガソリン,係数_バス貨物_CNG,係数_バス貨物_軽油,係数_バス貨物_メタノール,係数_バス貨物_LPG),MATCH(AY1001+1,【参考】排出係数!$AI$4:$AI$671,1)-1,5,BE1001),4,FALSE)),IF(AND(BE1001=3,LEFT(BF1001,1)="1"),0.48,VLOOKUP(AU1001,INDEX((係数_乗用_ガソリン,係数_乗用_CNG,係数_乗用_軽油,係数_乗用_メタノール,係数_乗用_LPG),1,1,BE1001):INDEX((係数_乗用_ガソリン,係数_乗用_CNG,係数_乗用_軽油,係数_乗用_メタノール,係数_乗用_LPG),125,5,BE1001),4,FALSE)))))</f>
        <v/>
      </c>
      <c r="AL1001" s="461" t="str">
        <f t="shared" si="539"/>
        <v/>
      </c>
      <c r="AM1001" s="460" t="str">
        <f>IF(AU1001="","",IF(OR(AZ1001=8,AZ1001=9),0,IF(OR(AW1001=3,AW1001=4,AW1001=5,AW1001=6),IF(LEFT(BH1001,1)="1",INDEX(係数_PM低減,MATCH(AY1001,【参考】排出係数!$AI$801:$AI$804,1),MATCH(BI1001,【参考】排出係数!$AL$798:$AO$798,1)),VLOOKUP(AU1001,INDEX((係数_バス貨物_ガソリン,係数_バス貨物_CNG,係数_バス貨物_軽油,係数_バス貨物_メタノール,係数_バス貨物_LPG),MATCH(AY1001,【参考】排出係数!$AI$4:$AI$671,1),1,BE1001):INDEX((係数_バス貨物_ガソリン,係数_バス貨物_CNG,係数_バス貨物_軽油,係数_バス貨物_メタノール,係数_バス貨物_LPG),MATCH(AY1001+1,【参考】排出係数!$AI$4:$AI$671,1)-1,5,BE1001),5,FALSE)),IF(AND(BE1001=3,LEFT(BF1001,1)="1"),0.055,VLOOKUP(AU1001,INDEX((係数_乗用_ガソリン,係数_乗用_CNG,係数_乗用_軽油,係数_乗用_メタノール,係数_乗用_LPG),1,1,BE1001):INDEX((係数_乗用_ガソリン,係数_乗用_CNG,係数_乗用_軽油,係数_乗用_メタノール,係数_乗用_LPG),125,5,BE1001),5,FALSE)))))</f>
        <v/>
      </c>
      <c r="AN1001" s="461" t="str">
        <f t="shared" si="540"/>
        <v/>
      </c>
      <c r="AO1001" s="462" t="str">
        <f t="shared" si="541"/>
        <v/>
      </c>
      <c r="AP1001" s="463" t="str">
        <f t="shared" si="542"/>
        <v/>
      </c>
      <c r="AQ1001" s="464"/>
      <c r="AR1001" s="619"/>
      <c r="AS1001" s="465" t="str">
        <f t="shared" si="550"/>
        <v/>
      </c>
      <c r="AT1001" s="465" t="str">
        <f t="shared" si="551"/>
        <v/>
      </c>
      <c r="AU1001" s="466" t="str">
        <f t="shared" si="552"/>
        <v/>
      </c>
      <c r="AV1001" s="467" t="str">
        <f t="shared" si="553"/>
        <v/>
      </c>
      <c r="AW1001" s="467" t="str">
        <f t="shared" si="554"/>
        <v/>
      </c>
      <c r="AX1001" s="467" t="str">
        <f t="shared" si="555"/>
        <v/>
      </c>
      <c r="AY1001" s="467" t="str">
        <f t="shared" si="556"/>
        <v/>
      </c>
      <c r="AZ1001" s="467" t="str">
        <f t="shared" si="557"/>
        <v/>
      </c>
      <c r="BA1001" s="468" t="str">
        <f>IF(AS1001="","",IF(OR(AU1001="",AU1001="-"),"－",IF(OR(AZ1001=8,AZ1001=9),"",IF(OR(AW1001=3,AW1001=4,AW1001=5,AW1001=6),VLOOKUP(AU1001,INDEX((係数_バス貨物_ガソリン,係数_バス貨物_CNG,係数_バス貨物_軽油,係数_バス貨物_メタノール,係数_バス貨物_LPG),MATCH(AY1001,【参考】排出係数!$AI$4:$AI$671,1),1,BE1001):INDEX((係数_バス貨物_ガソリン,係数_バス貨物_CNG,係数_バス貨物_軽油,係数_バス貨物_メタノール,係数_バス貨物_LPG),MATCH(AY1001+1,【参考】排出係数!$AI$4:$AI$671,1)-1,5,BE1001),2,FALSE),IF(OR(AW1001=1,AW1001=2),VLOOKUP(AU1001,INDEX((係数_乗用_ガソリン,係数_乗用_CNG,係数_乗用_軽油,係数_乗用_メタノール,係数_乗用_LPG),1,1,BE1001):INDEX((係数_乗用_ガソリン,係数_乗用_CNG,係数_乗用_軽油,係数_乗用_メタノール,係数_乗用_LPG),125,5,BE1001),2,FALSE))))))</f>
        <v/>
      </c>
      <c r="BB1001" s="468" t="str">
        <f>IF(T1001="","",IF(OR(AU1001="",AU1001="-"),"－",IF(OR(AZ1001=8,AZ1001=9),"",IF(OR(AW1001=3,AW1001=4,AW1001=5,AW1001=6),VLOOKUP(AU1001,INDEX((係数_バス貨物_ガソリン,係数_バス貨物_CNG,係数_バス貨物_軽油,係数_バス貨物_メタノール,係数_バス貨物_LPG),MATCH(AY1001,【参考】排出係数!$AI$4:$AI$671,1),1,BE1001):INDEX((係数_バス貨物_ガソリン,係数_バス貨物_CNG,係数_バス貨物_軽油,係数_バス貨物_メタノール,係数_バス貨物_LPG),MATCH(AY1001+1,【参考】排出係数!$AI$4:$AI$671,1)-1,5,BE1001),3,FALSE),IF(OR(AW1001=1,AW1001=2),VLOOKUP(AU1001,INDEX((係数_乗用_ガソリン,係数_乗用_CNG,係数_乗用_軽油,係数_乗用_メタノール,係数_乗用_LPG),1,1,BE1001):INDEX((係数_乗用_ガソリン,係数_乗用_CNG,係数_乗用_軽油,係数_乗用_メタノール,係数_乗用_LPG),125,5,BE1001),3,FALSE))))))</f>
        <v/>
      </c>
      <c r="BC1001" s="467" t="str">
        <f t="shared" si="558"/>
        <v/>
      </c>
      <c r="BD1001" s="567" t="str">
        <f t="shared" si="559"/>
        <v/>
      </c>
      <c r="BE1001" s="467" t="str">
        <f t="shared" si="560"/>
        <v/>
      </c>
      <c r="BF1001" s="469" t="str">
        <f t="shared" ca="1" si="561"/>
        <v/>
      </c>
      <c r="BG1001" s="469" t="str">
        <f t="shared" ca="1" si="562"/>
        <v/>
      </c>
      <c r="BH1001" s="467" t="str">
        <f t="shared" si="563"/>
        <v/>
      </c>
      <c r="BI1001" s="467" t="str">
        <f t="shared" ca="1" si="564"/>
        <v/>
      </c>
      <c r="BJ1001" s="469" t="str">
        <f t="shared" si="565"/>
        <v/>
      </c>
      <c r="BK1001" s="470" t="str">
        <f t="shared" si="549"/>
        <v/>
      </c>
      <c r="BL1001" s="775" t="str">
        <f t="shared" si="566"/>
        <v/>
      </c>
      <c r="BM1001" s="775" t="str">
        <f t="shared" si="567"/>
        <v/>
      </c>
    </row>
    <row r="1002" spans="1:65">
      <c r="A1002" s="473">
        <v>946</v>
      </c>
      <c r="B1002" s="132"/>
      <c r="C1002" s="332"/>
      <c r="D1002" s="333"/>
      <c r="E1002" s="333"/>
      <c r="F1002" s="334"/>
      <c r="G1002" s="337"/>
      <c r="H1002" s="131"/>
      <c r="I1002" s="337"/>
      <c r="J1002" s="131"/>
      <c r="K1002" s="458" t="str">
        <f t="shared" si="530"/>
        <v/>
      </c>
      <c r="L1002" s="458">
        <f t="shared" si="531"/>
        <v>0</v>
      </c>
      <c r="M1002" s="458">
        <f t="shared" si="532"/>
        <v>0</v>
      </c>
      <c r="N1002" s="459" t="str">
        <f t="shared" si="543"/>
        <v/>
      </c>
      <c r="O1002" s="459" t="str">
        <f t="shared" si="544"/>
        <v/>
      </c>
      <c r="P1002" s="459" t="str">
        <f t="shared" si="545"/>
        <v/>
      </c>
      <c r="Q1002" s="459" t="str">
        <f t="shared" si="546"/>
        <v/>
      </c>
      <c r="R1002" s="459" t="str">
        <f t="shared" si="547"/>
        <v/>
      </c>
      <c r="S1002" s="459" t="str">
        <f t="shared" si="548"/>
        <v/>
      </c>
      <c r="T1002" s="566" t="str">
        <f t="shared" si="533"/>
        <v/>
      </c>
      <c r="U1002" s="702"/>
      <c r="V1002" s="132"/>
      <c r="W1002" s="133"/>
      <c r="X1002" s="134"/>
      <c r="Y1002" s="135"/>
      <c r="Z1002" s="137"/>
      <c r="AA1002" s="136"/>
      <c r="AB1002" s="566" t="str">
        <f t="shared" si="534"/>
        <v/>
      </c>
      <c r="AC1002" s="568" t="str">
        <f t="shared" si="535"/>
        <v/>
      </c>
      <c r="AD1002" s="137"/>
      <c r="AE1002" s="137"/>
      <c r="AF1002" s="138"/>
      <c r="AG1002" s="138"/>
      <c r="AH1002" s="592" t="str">
        <f t="shared" si="536"/>
        <v/>
      </c>
      <c r="AI1002" s="592" t="str">
        <f t="shared" si="537"/>
        <v/>
      </c>
      <c r="AJ1002" s="592" t="str">
        <f t="shared" si="538"/>
        <v/>
      </c>
      <c r="AK1002" s="460" t="str">
        <f>IF(AU1002="","",IF(OR(AZ1002=8,AZ1002=9),0,IF(OR(AW1002=3,AW1002=4,AW1002=5,AW1002=6),IF(LEFT(BF1002,1)="1",INDEX(係数_NOX・PM低減,MATCH(AY1002,【参考】排出係数!$AI$801:$AI$804,1),1),VLOOKUP(AU1002,INDEX((係数_バス貨物_ガソリン,係数_バス貨物_CNG,係数_バス貨物_軽油,係数_バス貨物_メタノール,係数_バス貨物_LPG),MATCH(AY1002,【参考】排出係数!$AI$4:$AI$671,1),1,BE1002):INDEX((係数_バス貨物_ガソリン,係数_バス貨物_CNG,係数_バス貨物_軽油,係数_バス貨物_メタノール,係数_バス貨物_LPG),MATCH(AY1002+1,【参考】排出係数!$AI$4:$AI$671,1)-1,5,BE1002),4,FALSE)),IF(AND(BE1002=3,LEFT(BF1002,1)="1"),0.48,VLOOKUP(AU1002,INDEX((係数_乗用_ガソリン,係数_乗用_CNG,係数_乗用_軽油,係数_乗用_メタノール,係数_乗用_LPG),1,1,BE1002):INDEX((係数_乗用_ガソリン,係数_乗用_CNG,係数_乗用_軽油,係数_乗用_メタノール,係数_乗用_LPG),125,5,BE1002),4,FALSE)))))</f>
        <v/>
      </c>
      <c r="AL1002" s="461" t="str">
        <f t="shared" si="539"/>
        <v/>
      </c>
      <c r="AM1002" s="460" t="str">
        <f>IF(AU1002="","",IF(OR(AZ1002=8,AZ1002=9),0,IF(OR(AW1002=3,AW1002=4,AW1002=5,AW1002=6),IF(LEFT(BH1002,1)="1",INDEX(係数_PM低減,MATCH(AY1002,【参考】排出係数!$AI$801:$AI$804,1),MATCH(BI1002,【参考】排出係数!$AL$798:$AO$798,1)),VLOOKUP(AU1002,INDEX((係数_バス貨物_ガソリン,係数_バス貨物_CNG,係数_バス貨物_軽油,係数_バス貨物_メタノール,係数_バス貨物_LPG),MATCH(AY1002,【参考】排出係数!$AI$4:$AI$671,1),1,BE1002):INDEX((係数_バス貨物_ガソリン,係数_バス貨物_CNG,係数_バス貨物_軽油,係数_バス貨物_メタノール,係数_バス貨物_LPG),MATCH(AY1002+1,【参考】排出係数!$AI$4:$AI$671,1)-1,5,BE1002),5,FALSE)),IF(AND(BE1002=3,LEFT(BF1002,1)="1"),0.055,VLOOKUP(AU1002,INDEX((係数_乗用_ガソリン,係数_乗用_CNG,係数_乗用_軽油,係数_乗用_メタノール,係数_乗用_LPG),1,1,BE1002):INDEX((係数_乗用_ガソリン,係数_乗用_CNG,係数_乗用_軽油,係数_乗用_メタノール,係数_乗用_LPG),125,5,BE1002),5,FALSE)))))</f>
        <v/>
      </c>
      <c r="AN1002" s="461" t="str">
        <f t="shared" si="540"/>
        <v/>
      </c>
      <c r="AO1002" s="462" t="str">
        <f t="shared" si="541"/>
        <v/>
      </c>
      <c r="AP1002" s="463" t="str">
        <f t="shared" si="542"/>
        <v/>
      </c>
      <c r="AQ1002" s="464"/>
      <c r="AR1002" s="619"/>
      <c r="AS1002" s="465" t="str">
        <f t="shared" si="550"/>
        <v/>
      </c>
      <c r="AT1002" s="465" t="str">
        <f t="shared" si="551"/>
        <v/>
      </c>
      <c r="AU1002" s="466" t="str">
        <f t="shared" si="552"/>
        <v/>
      </c>
      <c r="AV1002" s="467" t="str">
        <f t="shared" si="553"/>
        <v/>
      </c>
      <c r="AW1002" s="467" t="str">
        <f t="shared" si="554"/>
        <v/>
      </c>
      <c r="AX1002" s="467" t="str">
        <f t="shared" si="555"/>
        <v/>
      </c>
      <c r="AY1002" s="467" t="str">
        <f t="shared" si="556"/>
        <v/>
      </c>
      <c r="AZ1002" s="467" t="str">
        <f t="shared" si="557"/>
        <v/>
      </c>
      <c r="BA1002" s="468" t="str">
        <f>IF(AS1002="","",IF(OR(AU1002="",AU1002="-"),"－",IF(OR(AZ1002=8,AZ1002=9),"",IF(OR(AW1002=3,AW1002=4,AW1002=5,AW1002=6),VLOOKUP(AU1002,INDEX((係数_バス貨物_ガソリン,係数_バス貨物_CNG,係数_バス貨物_軽油,係数_バス貨物_メタノール,係数_バス貨物_LPG),MATCH(AY1002,【参考】排出係数!$AI$4:$AI$671,1),1,BE1002):INDEX((係数_バス貨物_ガソリン,係数_バス貨物_CNG,係数_バス貨物_軽油,係数_バス貨物_メタノール,係数_バス貨物_LPG),MATCH(AY1002+1,【参考】排出係数!$AI$4:$AI$671,1)-1,5,BE1002),2,FALSE),IF(OR(AW1002=1,AW1002=2),VLOOKUP(AU1002,INDEX((係数_乗用_ガソリン,係数_乗用_CNG,係数_乗用_軽油,係数_乗用_メタノール,係数_乗用_LPG),1,1,BE1002):INDEX((係数_乗用_ガソリン,係数_乗用_CNG,係数_乗用_軽油,係数_乗用_メタノール,係数_乗用_LPG),125,5,BE1002),2,FALSE))))))</f>
        <v/>
      </c>
      <c r="BB1002" s="468" t="str">
        <f>IF(T1002="","",IF(OR(AU1002="",AU1002="-"),"－",IF(OR(AZ1002=8,AZ1002=9),"",IF(OR(AW1002=3,AW1002=4,AW1002=5,AW1002=6),VLOOKUP(AU1002,INDEX((係数_バス貨物_ガソリン,係数_バス貨物_CNG,係数_バス貨物_軽油,係数_バス貨物_メタノール,係数_バス貨物_LPG),MATCH(AY1002,【参考】排出係数!$AI$4:$AI$671,1),1,BE1002):INDEX((係数_バス貨物_ガソリン,係数_バス貨物_CNG,係数_バス貨物_軽油,係数_バス貨物_メタノール,係数_バス貨物_LPG),MATCH(AY1002+1,【参考】排出係数!$AI$4:$AI$671,1)-1,5,BE1002),3,FALSE),IF(OR(AW1002=1,AW1002=2),VLOOKUP(AU1002,INDEX((係数_乗用_ガソリン,係数_乗用_CNG,係数_乗用_軽油,係数_乗用_メタノール,係数_乗用_LPG),1,1,BE1002):INDEX((係数_乗用_ガソリン,係数_乗用_CNG,係数_乗用_軽油,係数_乗用_メタノール,係数_乗用_LPG),125,5,BE1002),3,FALSE))))))</f>
        <v/>
      </c>
      <c r="BC1002" s="467" t="str">
        <f t="shared" si="558"/>
        <v/>
      </c>
      <c r="BD1002" s="567" t="str">
        <f t="shared" si="559"/>
        <v/>
      </c>
      <c r="BE1002" s="467" t="str">
        <f t="shared" si="560"/>
        <v/>
      </c>
      <c r="BF1002" s="469" t="str">
        <f t="shared" ca="1" si="561"/>
        <v/>
      </c>
      <c r="BG1002" s="469" t="str">
        <f t="shared" ca="1" si="562"/>
        <v/>
      </c>
      <c r="BH1002" s="467" t="str">
        <f t="shared" si="563"/>
        <v/>
      </c>
      <c r="BI1002" s="467" t="str">
        <f t="shared" ca="1" si="564"/>
        <v/>
      </c>
      <c r="BJ1002" s="469" t="str">
        <f t="shared" si="565"/>
        <v/>
      </c>
      <c r="BK1002" s="470" t="str">
        <f t="shared" si="549"/>
        <v/>
      </c>
      <c r="BL1002" s="775" t="str">
        <f t="shared" si="566"/>
        <v/>
      </c>
      <c r="BM1002" s="775" t="str">
        <f t="shared" si="567"/>
        <v/>
      </c>
    </row>
    <row r="1003" spans="1:65">
      <c r="A1003" s="473">
        <v>947</v>
      </c>
      <c r="B1003" s="132"/>
      <c r="C1003" s="332"/>
      <c r="D1003" s="333"/>
      <c r="E1003" s="333"/>
      <c r="F1003" s="334"/>
      <c r="G1003" s="337"/>
      <c r="H1003" s="131"/>
      <c r="I1003" s="337"/>
      <c r="J1003" s="131"/>
      <c r="K1003" s="458" t="str">
        <f t="shared" si="530"/>
        <v/>
      </c>
      <c r="L1003" s="458">
        <f t="shared" si="531"/>
        <v>0</v>
      </c>
      <c r="M1003" s="458">
        <f t="shared" si="532"/>
        <v>0</v>
      </c>
      <c r="N1003" s="459" t="str">
        <f t="shared" si="543"/>
        <v/>
      </c>
      <c r="O1003" s="459" t="str">
        <f t="shared" si="544"/>
        <v/>
      </c>
      <c r="P1003" s="459" t="str">
        <f t="shared" si="545"/>
        <v/>
      </c>
      <c r="Q1003" s="459" t="str">
        <f t="shared" si="546"/>
        <v/>
      </c>
      <c r="R1003" s="459" t="str">
        <f t="shared" si="547"/>
        <v/>
      </c>
      <c r="S1003" s="459" t="str">
        <f t="shared" si="548"/>
        <v/>
      </c>
      <c r="T1003" s="566" t="str">
        <f t="shared" si="533"/>
        <v/>
      </c>
      <c r="U1003" s="702"/>
      <c r="V1003" s="132"/>
      <c r="W1003" s="133"/>
      <c r="X1003" s="134"/>
      <c r="Y1003" s="135"/>
      <c r="Z1003" s="137"/>
      <c r="AA1003" s="136"/>
      <c r="AB1003" s="566" t="str">
        <f t="shared" si="534"/>
        <v/>
      </c>
      <c r="AC1003" s="568" t="str">
        <f t="shared" si="535"/>
        <v/>
      </c>
      <c r="AD1003" s="137"/>
      <c r="AE1003" s="137"/>
      <c r="AF1003" s="138"/>
      <c r="AG1003" s="138"/>
      <c r="AH1003" s="592" t="str">
        <f t="shared" si="536"/>
        <v/>
      </c>
      <c r="AI1003" s="592" t="str">
        <f t="shared" si="537"/>
        <v/>
      </c>
      <c r="AJ1003" s="592" t="str">
        <f t="shared" si="538"/>
        <v/>
      </c>
      <c r="AK1003" s="460" t="str">
        <f>IF(AU1003="","",IF(OR(AZ1003=8,AZ1003=9),0,IF(OR(AW1003=3,AW1003=4,AW1003=5,AW1003=6),IF(LEFT(BF1003,1)="1",INDEX(係数_NOX・PM低減,MATCH(AY1003,【参考】排出係数!$AI$801:$AI$804,1),1),VLOOKUP(AU1003,INDEX((係数_バス貨物_ガソリン,係数_バス貨物_CNG,係数_バス貨物_軽油,係数_バス貨物_メタノール,係数_バス貨物_LPG),MATCH(AY1003,【参考】排出係数!$AI$4:$AI$671,1),1,BE1003):INDEX((係数_バス貨物_ガソリン,係数_バス貨物_CNG,係数_バス貨物_軽油,係数_バス貨物_メタノール,係数_バス貨物_LPG),MATCH(AY1003+1,【参考】排出係数!$AI$4:$AI$671,1)-1,5,BE1003),4,FALSE)),IF(AND(BE1003=3,LEFT(BF1003,1)="1"),0.48,VLOOKUP(AU1003,INDEX((係数_乗用_ガソリン,係数_乗用_CNG,係数_乗用_軽油,係数_乗用_メタノール,係数_乗用_LPG),1,1,BE1003):INDEX((係数_乗用_ガソリン,係数_乗用_CNG,係数_乗用_軽油,係数_乗用_メタノール,係数_乗用_LPG),125,5,BE1003),4,FALSE)))))</f>
        <v/>
      </c>
      <c r="AL1003" s="461" t="str">
        <f t="shared" si="539"/>
        <v/>
      </c>
      <c r="AM1003" s="460" t="str">
        <f>IF(AU1003="","",IF(OR(AZ1003=8,AZ1003=9),0,IF(OR(AW1003=3,AW1003=4,AW1003=5,AW1003=6),IF(LEFT(BH1003,1)="1",INDEX(係数_PM低減,MATCH(AY1003,【参考】排出係数!$AI$801:$AI$804,1),MATCH(BI1003,【参考】排出係数!$AL$798:$AO$798,1)),VLOOKUP(AU1003,INDEX((係数_バス貨物_ガソリン,係数_バス貨物_CNG,係数_バス貨物_軽油,係数_バス貨物_メタノール,係数_バス貨物_LPG),MATCH(AY1003,【参考】排出係数!$AI$4:$AI$671,1),1,BE1003):INDEX((係数_バス貨物_ガソリン,係数_バス貨物_CNG,係数_バス貨物_軽油,係数_バス貨物_メタノール,係数_バス貨物_LPG),MATCH(AY1003+1,【参考】排出係数!$AI$4:$AI$671,1)-1,5,BE1003),5,FALSE)),IF(AND(BE1003=3,LEFT(BF1003,1)="1"),0.055,VLOOKUP(AU1003,INDEX((係数_乗用_ガソリン,係数_乗用_CNG,係数_乗用_軽油,係数_乗用_メタノール,係数_乗用_LPG),1,1,BE1003):INDEX((係数_乗用_ガソリン,係数_乗用_CNG,係数_乗用_軽油,係数_乗用_メタノール,係数_乗用_LPG),125,5,BE1003),5,FALSE)))))</f>
        <v/>
      </c>
      <c r="AN1003" s="461" t="str">
        <f t="shared" si="540"/>
        <v/>
      </c>
      <c r="AO1003" s="462" t="str">
        <f t="shared" si="541"/>
        <v/>
      </c>
      <c r="AP1003" s="463" t="str">
        <f t="shared" si="542"/>
        <v/>
      </c>
      <c r="AQ1003" s="464"/>
      <c r="AR1003" s="619"/>
      <c r="AS1003" s="465" t="str">
        <f t="shared" si="550"/>
        <v/>
      </c>
      <c r="AT1003" s="465" t="str">
        <f t="shared" si="551"/>
        <v/>
      </c>
      <c r="AU1003" s="466" t="str">
        <f t="shared" si="552"/>
        <v/>
      </c>
      <c r="AV1003" s="467" t="str">
        <f t="shared" si="553"/>
        <v/>
      </c>
      <c r="AW1003" s="467" t="str">
        <f t="shared" si="554"/>
        <v/>
      </c>
      <c r="AX1003" s="467" t="str">
        <f t="shared" si="555"/>
        <v/>
      </c>
      <c r="AY1003" s="467" t="str">
        <f t="shared" si="556"/>
        <v/>
      </c>
      <c r="AZ1003" s="467" t="str">
        <f t="shared" si="557"/>
        <v/>
      </c>
      <c r="BA1003" s="468" t="str">
        <f>IF(AS1003="","",IF(OR(AU1003="",AU1003="-"),"－",IF(OR(AZ1003=8,AZ1003=9),"",IF(OR(AW1003=3,AW1003=4,AW1003=5,AW1003=6),VLOOKUP(AU1003,INDEX((係数_バス貨物_ガソリン,係数_バス貨物_CNG,係数_バス貨物_軽油,係数_バス貨物_メタノール,係数_バス貨物_LPG),MATCH(AY1003,【参考】排出係数!$AI$4:$AI$671,1),1,BE1003):INDEX((係数_バス貨物_ガソリン,係数_バス貨物_CNG,係数_バス貨物_軽油,係数_バス貨物_メタノール,係数_バス貨物_LPG),MATCH(AY1003+1,【参考】排出係数!$AI$4:$AI$671,1)-1,5,BE1003),2,FALSE),IF(OR(AW1003=1,AW1003=2),VLOOKUP(AU1003,INDEX((係数_乗用_ガソリン,係数_乗用_CNG,係数_乗用_軽油,係数_乗用_メタノール,係数_乗用_LPG),1,1,BE1003):INDEX((係数_乗用_ガソリン,係数_乗用_CNG,係数_乗用_軽油,係数_乗用_メタノール,係数_乗用_LPG),125,5,BE1003),2,FALSE))))))</f>
        <v/>
      </c>
      <c r="BB1003" s="468" t="str">
        <f>IF(T1003="","",IF(OR(AU1003="",AU1003="-"),"－",IF(OR(AZ1003=8,AZ1003=9),"",IF(OR(AW1003=3,AW1003=4,AW1003=5,AW1003=6),VLOOKUP(AU1003,INDEX((係数_バス貨物_ガソリン,係数_バス貨物_CNG,係数_バス貨物_軽油,係数_バス貨物_メタノール,係数_バス貨物_LPG),MATCH(AY1003,【参考】排出係数!$AI$4:$AI$671,1),1,BE1003):INDEX((係数_バス貨物_ガソリン,係数_バス貨物_CNG,係数_バス貨物_軽油,係数_バス貨物_メタノール,係数_バス貨物_LPG),MATCH(AY1003+1,【参考】排出係数!$AI$4:$AI$671,1)-1,5,BE1003),3,FALSE),IF(OR(AW1003=1,AW1003=2),VLOOKUP(AU1003,INDEX((係数_乗用_ガソリン,係数_乗用_CNG,係数_乗用_軽油,係数_乗用_メタノール,係数_乗用_LPG),1,1,BE1003):INDEX((係数_乗用_ガソリン,係数_乗用_CNG,係数_乗用_軽油,係数_乗用_メタノール,係数_乗用_LPG),125,5,BE1003),3,FALSE))))))</f>
        <v/>
      </c>
      <c r="BC1003" s="467" t="str">
        <f t="shared" si="558"/>
        <v/>
      </c>
      <c r="BD1003" s="567" t="str">
        <f t="shared" si="559"/>
        <v/>
      </c>
      <c r="BE1003" s="467" t="str">
        <f t="shared" si="560"/>
        <v/>
      </c>
      <c r="BF1003" s="469" t="str">
        <f t="shared" ca="1" si="561"/>
        <v/>
      </c>
      <c r="BG1003" s="469" t="str">
        <f t="shared" ca="1" si="562"/>
        <v/>
      </c>
      <c r="BH1003" s="467" t="str">
        <f t="shared" si="563"/>
        <v/>
      </c>
      <c r="BI1003" s="467" t="str">
        <f t="shared" ca="1" si="564"/>
        <v/>
      </c>
      <c r="BJ1003" s="469" t="str">
        <f t="shared" si="565"/>
        <v/>
      </c>
      <c r="BK1003" s="470" t="str">
        <f t="shared" si="549"/>
        <v/>
      </c>
      <c r="BL1003" s="775" t="str">
        <f t="shared" si="566"/>
        <v/>
      </c>
      <c r="BM1003" s="775" t="str">
        <f t="shared" si="567"/>
        <v/>
      </c>
    </row>
    <row r="1004" spans="1:65">
      <c r="A1004" s="473">
        <v>948</v>
      </c>
      <c r="B1004" s="132"/>
      <c r="C1004" s="332"/>
      <c r="D1004" s="333"/>
      <c r="E1004" s="333"/>
      <c r="F1004" s="334"/>
      <c r="G1004" s="337"/>
      <c r="H1004" s="131"/>
      <c r="I1004" s="337"/>
      <c r="J1004" s="131"/>
      <c r="K1004" s="458" t="str">
        <f t="shared" ref="K1004:K1067" si="568">C1004&amp;D1004&amp;E1004&amp;F1004</f>
        <v/>
      </c>
      <c r="L1004" s="458">
        <f t="shared" ref="L1004:L1067" si="569">IF(G1004&gt;0,DATE((G1004),(H1004+1),0),0)</f>
        <v>0</v>
      </c>
      <c r="M1004" s="458">
        <f t="shared" ref="M1004:M1067" si="570">IF(I1004&gt;0,DATE((I1004),(J1004+1),0),0)</f>
        <v>0</v>
      </c>
      <c r="N1004" s="459" t="str">
        <f t="shared" si="543"/>
        <v/>
      </c>
      <c r="O1004" s="459" t="str">
        <f t="shared" si="544"/>
        <v/>
      </c>
      <c r="P1004" s="459" t="str">
        <f t="shared" si="545"/>
        <v/>
      </c>
      <c r="Q1004" s="459" t="str">
        <f t="shared" si="546"/>
        <v/>
      </c>
      <c r="R1004" s="459" t="str">
        <f t="shared" si="547"/>
        <v/>
      </c>
      <c r="S1004" s="459" t="str">
        <f t="shared" si="548"/>
        <v/>
      </c>
      <c r="T1004" s="566" t="str">
        <f t="shared" ref="T1004:T1067" si="571">N1004&amp;O1004&amp;P1004&amp;Q1004&amp;R1004&amp;S1004</f>
        <v/>
      </c>
      <c r="U1004" s="702"/>
      <c r="V1004" s="132"/>
      <c r="W1004" s="133"/>
      <c r="X1004" s="134"/>
      <c r="Y1004" s="135"/>
      <c r="Z1004" s="137"/>
      <c r="AA1004" s="136"/>
      <c r="AB1004" s="566" t="str">
        <f t="shared" ref="AB1004:AB1067" si="572">IF(AS1004="","",IF(AZ1004=1,VLOOKUP(BA1004,低公害車判別,2,FALSE),IF(AZ1004=3,VLOOKUP(BA1004,低公害車判別,2,FALSE),IF(AZ1004=4,VLOOKUP(BB1004,低公害車判別,2,FALSE),"低公害車"))))</f>
        <v/>
      </c>
      <c r="AC1004" s="568" t="str">
        <f t="shared" ref="AC1004:AC1067" si="573">IF(AS1004="","",IF((BA1004="")+(BA1004="－"),IF((BB1004="")+(BB1004=0),"－",BB1004),IF((BA1004="PM☆☆☆")+(BA1004="☆及びPM☆☆☆")+(BA1004="☆☆及びPM☆☆☆")+(BA1004="☆☆☆及びPM☆☆☆"),"PM☆☆☆",IF((BA1004="PM☆☆☆☆")+(BA1004="☆及びPM☆☆☆☆")+(BA1004="☆☆及びPM☆☆☆☆")+(BA1004="☆☆☆及びPM☆☆☆☆"),"PM☆☆☆☆",IF((BA1004="新☆")+(BA1004="新NOx☆")+(BA1004="新PM☆"),"新☆（新長期）",BA1004)))))</f>
        <v/>
      </c>
      <c r="AD1004" s="137"/>
      <c r="AE1004" s="137"/>
      <c r="AF1004" s="138"/>
      <c r="AG1004" s="138"/>
      <c r="AH1004" s="592" t="str">
        <f t="shared" ref="AH1004:AH1067" si="574">IF(C1004="","",IF(LEFT(C1004,2)="横浜","○",""))</f>
        <v/>
      </c>
      <c r="AI1004" s="592" t="str">
        <f t="shared" ref="AI1004:AI1067" si="575">IF(C1004="","",IF(LEFT(C1004,2)="川崎","○",""))</f>
        <v/>
      </c>
      <c r="AJ1004" s="592" t="str">
        <f t="shared" ref="AJ1004:AJ1067" si="576">IF(C1004="","",IF(OR(AH1004="○",AI1004="○"),"","○"))</f>
        <v/>
      </c>
      <c r="AK1004" s="460" t="str">
        <f>IF(AU1004="","",IF(OR(AZ1004=8,AZ1004=9),0,IF(OR(AW1004=3,AW1004=4,AW1004=5,AW1004=6),IF(LEFT(BF1004,1)="1",INDEX(係数_NOX・PM低減,MATCH(AY1004,【参考】排出係数!$AI$801:$AI$804,1),1),VLOOKUP(AU1004,INDEX((係数_バス貨物_ガソリン,係数_バス貨物_CNG,係数_バス貨物_軽油,係数_バス貨物_メタノール,係数_バス貨物_LPG),MATCH(AY1004,【参考】排出係数!$AI$4:$AI$671,1),1,BE1004):INDEX((係数_バス貨物_ガソリン,係数_バス貨物_CNG,係数_バス貨物_軽油,係数_バス貨物_メタノール,係数_バス貨物_LPG),MATCH(AY1004+1,【参考】排出係数!$AI$4:$AI$671,1)-1,5,BE1004),4,FALSE)),IF(AND(BE1004=3,LEFT(BF1004,1)="1"),0.48,VLOOKUP(AU1004,INDEX((係数_乗用_ガソリン,係数_乗用_CNG,係数_乗用_軽油,係数_乗用_メタノール,係数_乗用_LPG),1,1,BE1004):INDEX((係数_乗用_ガソリン,係数_乗用_CNG,係数_乗用_軽油,係数_乗用_メタノール,係数_乗用_LPG),125,5,BE1004),4,FALSE)))))</f>
        <v/>
      </c>
      <c r="AL1004" s="461" t="str">
        <f t="shared" ref="AL1004:AL1067" si="577">IF(AU1004="","",IF(Z1004&lt;=3.5*1000,AD1004*AK1004/1000,IF(Z1004&gt;3.5*1000,AD1004*Z1004*AK1004/1000/1000)))</f>
        <v/>
      </c>
      <c r="AM1004" s="460" t="str">
        <f>IF(AU1004="","",IF(OR(AZ1004=8,AZ1004=9),0,IF(OR(AW1004=3,AW1004=4,AW1004=5,AW1004=6),IF(LEFT(BH1004,1)="1",INDEX(係数_PM低減,MATCH(AY1004,【参考】排出係数!$AI$801:$AI$804,1),MATCH(BI1004,【参考】排出係数!$AL$798:$AO$798,1)),VLOOKUP(AU1004,INDEX((係数_バス貨物_ガソリン,係数_バス貨物_CNG,係数_バス貨物_軽油,係数_バス貨物_メタノール,係数_バス貨物_LPG),MATCH(AY1004,【参考】排出係数!$AI$4:$AI$671,1),1,BE1004):INDEX((係数_バス貨物_ガソリン,係数_バス貨物_CNG,係数_バス貨物_軽油,係数_バス貨物_メタノール,係数_バス貨物_LPG),MATCH(AY1004+1,【参考】排出係数!$AI$4:$AI$671,1)-1,5,BE1004),5,FALSE)),IF(AND(BE1004=3,LEFT(BF1004,1)="1"),0.055,VLOOKUP(AU1004,INDEX((係数_乗用_ガソリン,係数_乗用_CNG,係数_乗用_軽油,係数_乗用_メタノール,係数_乗用_LPG),1,1,BE1004):INDEX((係数_乗用_ガソリン,係数_乗用_CNG,係数_乗用_軽油,係数_乗用_メタノール,係数_乗用_LPG),125,5,BE1004),5,FALSE)))))</f>
        <v/>
      </c>
      <c r="AN1004" s="461" t="str">
        <f t="shared" ref="AN1004:AN1067" si="578">IF(AU1004="","",IF(Z1004&lt;=3.5*1000,AD1004*AM1004/1000,IF(Z1004&gt;3.5*1000,AD1004*Z1004*AM1004/1000/1000)))</f>
        <v/>
      </c>
      <c r="AO1004" s="462" t="str">
        <f t="shared" ref="AO1004:AO1067" si="579">IF(AU1004="","",IF(Z1004&lt;500,"車両重量",IF(OR(AZ1004=8,AZ1004=9),0,IF(OR(AZ1004=1,AZ1004=2,AZ1004=11),2.32,IF(OR(AZ1004=4,AZ1004=5,AZ1004=11),2.58,IF(AZ1004=3,3,IF(AZ1004=6,2.23,IF(AZ1004=7,1.37,0))))))))</f>
        <v/>
      </c>
      <c r="AP1004" s="463" t="str">
        <f t="shared" ref="AP1004:AP1067" si="580">IF(AU1004="","",AE1004*AO1004/1000)</f>
        <v/>
      </c>
      <c r="AQ1004" s="464"/>
      <c r="AR1004" s="619"/>
      <c r="AS1004" s="465" t="str">
        <f t="shared" si="550"/>
        <v/>
      </c>
      <c r="AT1004" s="465" t="str">
        <f t="shared" si="551"/>
        <v/>
      </c>
      <c r="AU1004" s="466" t="str">
        <f t="shared" si="552"/>
        <v/>
      </c>
      <c r="AV1004" s="467" t="str">
        <f t="shared" si="553"/>
        <v/>
      </c>
      <c r="AW1004" s="467" t="str">
        <f t="shared" si="554"/>
        <v/>
      </c>
      <c r="AX1004" s="467" t="str">
        <f t="shared" si="555"/>
        <v/>
      </c>
      <c r="AY1004" s="467" t="str">
        <f t="shared" si="556"/>
        <v/>
      </c>
      <c r="AZ1004" s="467" t="str">
        <f t="shared" si="557"/>
        <v/>
      </c>
      <c r="BA1004" s="468" t="str">
        <f>IF(AS1004="","",IF(OR(AU1004="",AU1004="-"),"－",IF(OR(AZ1004=8,AZ1004=9),"",IF(OR(AW1004=3,AW1004=4,AW1004=5,AW1004=6),VLOOKUP(AU1004,INDEX((係数_バス貨物_ガソリン,係数_バス貨物_CNG,係数_バス貨物_軽油,係数_バス貨物_メタノール,係数_バス貨物_LPG),MATCH(AY1004,【参考】排出係数!$AI$4:$AI$671,1),1,BE1004):INDEX((係数_バス貨物_ガソリン,係数_バス貨物_CNG,係数_バス貨物_軽油,係数_バス貨物_メタノール,係数_バス貨物_LPG),MATCH(AY1004+1,【参考】排出係数!$AI$4:$AI$671,1)-1,5,BE1004),2,FALSE),IF(OR(AW1004=1,AW1004=2),VLOOKUP(AU1004,INDEX((係数_乗用_ガソリン,係数_乗用_CNG,係数_乗用_軽油,係数_乗用_メタノール,係数_乗用_LPG),1,1,BE1004):INDEX((係数_乗用_ガソリン,係数_乗用_CNG,係数_乗用_軽油,係数_乗用_メタノール,係数_乗用_LPG),125,5,BE1004),2,FALSE))))))</f>
        <v/>
      </c>
      <c r="BB1004" s="468" t="str">
        <f>IF(T1004="","",IF(OR(AU1004="",AU1004="-"),"－",IF(OR(AZ1004=8,AZ1004=9),"",IF(OR(AW1004=3,AW1004=4,AW1004=5,AW1004=6),VLOOKUP(AU1004,INDEX((係数_バス貨物_ガソリン,係数_バス貨物_CNG,係数_バス貨物_軽油,係数_バス貨物_メタノール,係数_バス貨物_LPG),MATCH(AY1004,【参考】排出係数!$AI$4:$AI$671,1),1,BE1004):INDEX((係数_バス貨物_ガソリン,係数_バス貨物_CNG,係数_バス貨物_軽油,係数_バス貨物_メタノール,係数_バス貨物_LPG),MATCH(AY1004+1,【参考】排出係数!$AI$4:$AI$671,1)-1,5,BE1004),3,FALSE),IF(OR(AW1004=1,AW1004=2),VLOOKUP(AU1004,INDEX((係数_乗用_ガソリン,係数_乗用_CNG,係数_乗用_軽油,係数_乗用_メタノール,係数_乗用_LPG),1,1,BE1004):INDEX((係数_乗用_ガソリン,係数_乗用_CNG,係数_乗用_軽油,係数_乗用_メタノール,係数_乗用_LPG),125,5,BE1004),3,FALSE))))))</f>
        <v/>
      </c>
      <c r="BC1004" s="467" t="str">
        <f t="shared" si="558"/>
        <v/>
      </c>
      <c r="BD1004" s="567" t="str">
        <f t="shared" si="559"/>
        <v/>
      </c>
      <c r="BE1004" s="467" t="str">
        <f t="shared" si="560"/>
        <v/>
      </c>
      <c r="BF1004" s="469" t="str">
        <f t="shared" ca="1" si="561"/>
        <v/>
      </c>
      <c r="BG1004" s="469" t="str">
        <f t="shared" ca="1" si="562"/>
        <v/>
      </c>
      <c r="BH1004" s="467" t="str">
        <f t="shared" si="563"/>
        <v/>
      </c>
      <c r="BI1004" s="467" t="str">
        <f t="shared" ca="1" si="564"/>
        <v/>
      </c>
      <c r="BJ1004" s="469" t="str">
        <f t="shared" si="565"/>
        <v/>
      </c>
      <c r="BK1004" s="470" t="str">
        <f t="shared" si="549"/>
        <v/>
      </c>
      <c r="BL1004" s="775" t="str">
        <f t="shared" si="566"/>
        <v/>
      </c>
      <c r="BM1004" s="775" t="str">
        <f t="shared" si="567"/>
        <v/>
      </c>
    </row>
    <row r="1005" spans="1:65">
      <c r="A1005" s="473">
        <v>949</v>
      </c>
      <c r="B1005" s="132"/>
      <c r="C1005" s="332"/>
      <c r="D1005" s="333"/>
      <c r="E1005" s="333"/>
      <c r="F1005" s="334"/>
      <c r="G1005" s="337"/>
      <c r="H1005" s="131"/>
      <c r="I1005" s="337"/>
      <c r="J1005" s="131"/>
      <c r="K1005" s="458" t="str">
        <f t="shared" si="568"/>
        <v/>
      </c>
      <c r="L1005" s="458">
        <f t="shared" si="569"/>
        <v>0</v>
      </c>
      <c r="M1005" s="458">
        <f t="shared" si="570"/>
        <v>0</v>
      </c>
      <c r="N1005" s="459" t="str">
        <f t="shared" si="543"/>
        <v/>
      </c>
      <c r="O1005" s="459" t="str">
        <f t="shared" si="544"/>
        <v/>
      </c>
      <c r="P1005" s="459" t="str">
        <f t="shared" si="545"/>
        <v/>
      </c>
      <c r="Q1005" s="459" t="str">
        <f t="shared" si="546"/>
        <v/>
      </c>
      <c r="R1005" s="459" t="str">
        <f t="shared" si="547"/>
        <v/>
      </c>
      <c r="S1005" s="459" t="str">
        <f t="shared" si="548"/>
        <v/>
      </c>
      <c r="T1005" s="566" t="str">
        <f t="shared" si="571"/>
        <v/>
      </c>
      <c r="U1005" s="702"/>
      <c r="V1005" s="132"/>
      <c r="W1005" s="133"/>
      <c r="X1005" s="134"/>
      <c r="Y1005" s="135"/>
      <c r="Z1005" s="137"/>
      <c r="AA1005" s="136"/>
      <c r="AB1005" s="566" t="str">
        <f t="shared" si="572"/>
        <v/>
      </c>
      <c r="AC1005" s="568" t="str">
        <f t="shared" si="573"/>
        <v/>
      </c>
      <c r="AD1005" s="137"/>
      <c r="AE1005" s="137"/>
      <c r="AF1005" s="138"/>
      <c r="AG1005" s="138"/>
      <c r="AH1005" s="592" t="str">
        <f t="shared" si="574"/>
        <v/>
      </c>
      <c r="AI1005" s="592" t="str">
        <f t="shared" si="575"/>
        <v/>
      </c>
      <c r="AJ1005" s="592" t="str">
        <f t="shared" si="576"/>
        <v/>
      </c>
      <c r="AK1005" s="460" t="str">
        <f>IF(AU1005="","",IF(OR(AZ1005=8,AZ1005=9),0,IF(OR(AW1005=3,AW1005=4,AW1005=5,AW1005=6),IF(LEFT(BF1005,1)="1",INDEX(係数_NOX・PM低減,MATCH(AY1005,【参考】排出係数!$AI$801:$AI$804,1),1),VLOOKUP(AU1005,INDEX((係数_バス貨物_ガソリン,係数_バス貨物_CNG,係数_バス貨物_軽油,係数_バス貨物_メタノール,係数_バス貨物_LPG),MATCH(AY1005,【参考】排出係数!$AI$4:$AI$671,1),1,BE1005):INDEX((係数_バス貨物_ガソリン,係数_バス貨物_CNG,係数_バス貨物_軽油,係数_バス貨物_メタノール,係数_バス貨物_LPG),MATCH(AY1005+1,【参考】排出係数!$AI$4:$AI$671,1)-1,5,BE1005),4,FALSE)),IF(AND(BE1005=3,LEFT(BF1005,1)="1"),0.48,VLOOKUP(AU1005,INDEX((係数_乗用_ガソリン,係数_乗用_CNG,係数_乗用_軽油,係数_乗用_メタノール,係数_乗用_LPG),1,1,BE1005):INDEX((係数_乗用_ガソリン,係数_乗用_CNG,係数_乗用_軽油,係数_乗用_メタノール,係数_乗用_LPG),125,5,BE1005),4,FALSE)))))</f>
        <v/>
      </c>
      <c r="AL1005" s="461" t="str">
        <f t="shared" si="577"/>
        <v/>
      </c>
      <c r="AM1005" s="460" t="str">
        <f>IF(AU1005="","",IF(OR(AZ1005=8,AZ1005=9),0,IF(OR(AW1005=3,AW1005=4,AW1005=5,AW1005=6),IF(LEFT(BH1005,1)="1",INDEX(係数_PM低減,MATCH(AY1005,【参考】排出係数!$AI$801:$AI$804,1),MATCH(BI1005,【参考】排出係数!$AL$798:$AO$798,1)),VLOOKUP(AU1005,INDEX((係数_バス貨物_ガソリン,係数_バス貨物_CNG,係数_バス貨物_軽油,係数_バス貨物_メタノール,係数_バス貨物_LPG),MATCH(AY1005,【参考】排出係数!$AI$4:$AI$671,1),1,BE1005):INDEX((係数_バス貨物_ガソリン,係数_バス貨物_CNG,係数_バス貨物_軽油,係数_バス貨物_メタノール,係数_バス貨物_LPG),MATCH(AY1005+1,【参考】排出係数!$AI$4:$AI$671,1)-1,5,BE1005),5,FALSE)),IF(AND(BE1005=3,LEFT(BF1005,1)="1"),0.055,VLOOKUP(AU1005,INDEX((係数_乗用_ガソリン,係数_乗用_CNG,係数_乗用_軽油,係数_乗用_メタノール,係数_乗用_LPG),1,1,BE1005):INDEX((係数_乗用_ガソリン,係数_乗用_CNG,係数_乗用_軽油,係数_乗用_メタノール,係数_乗用_LPG),125,5,BE1005),5,FALSE)))))</f>
        <v/>
      </c>
      <c r="AN1005" s="461" t="str">
        <f t="shared" si="578"/>
        <v/>
      </c>
      <c r="AO1005" s="462" t="str">
        <f t="shared" si="579"/>
        <v/>
      </c>
      <c r="AP1005" s="463" t="str">
        <f t="shared" si="580"/>
        <v/>
      </c>
      <c r="AQ1005" s="464"/>
      <c r="AR1005" s="619"/>
      <c r="AS1005" s="465" t="str">
        <f t="shared" si="550"/>
        <v/>
      </c>
      <c r="AT1005" s="465" t="str">
        <f t="shared" si="551"/>
        <v/>
      </c>
      <c r="AU1005" s="466" t="str">
        <f t="shared" si="552"/>
        <v/>
      </c>
      <c r="AV1005" s="467" t="str">
        <f t="shared" si="553"/>
        <v/>
      </c>
      <c r="AW1005" s="467" t="str">
        <f t="shared" si="554"/>
        <v/>
      </c>
      <c r="AX1005" s="467" t="str">
        <f t="shared" si="555"/>
        <v/>
      </c>
      <c r="AY1005" s="467" t="str">
        <f t="shared" si="556"/>
        <v/>
      </c>
      <c r="AZ1005" s="467" t="str">
        <f t="shared" si="557"/>
        <v/>
      </c>
      <c r="BA1005" s="468" t="str">
        <f>IF(AS1005="","",IF(OR(AU1005="",AU1005="-"),"－",IF(OR(AZ1005=8,AZ1005=9),"",IF(OR(AW1005=3,AW1005=4,AW1005=5,AW1005=6),VLOOKUP(AU1005,INDEX((係数_バス貨物_ガソリン,係数_バス貨物_CNG,係数_バス貨物_軽油,係数_バス貨物_メタノール,係数_バス貨物_LPG),MATCH(AY1005,【参考】排出係数!$AI$4:$AI$671,1),1,BE1005):INDEX((係数_バス貨物_ガソリン,係数_バス貨物_CNG,係数_バス貨物_軽油,係数_バス貨物_メタノール,係数_バス貨物_LPG),MATCH(AY1005+1,【参考】排出係数!$AI$4:$AI$671,1)-1,5,BE1005),2,FALSE),IF(OR(AW1005=1,AW1005=2),VLOOKUP(AU1005,INDEX((係数_乗用_ガソリン,係数_乗用_CNG,係数_乗用_軽油,係数_乗用_メタノール,係数_乗用_LPG),1,1,BE1005):INDEX((係数_乗用_ガソリン,係数_乗用_CNG,係数_乗用_軽油,係数_乗用_メタノール,係数_乗用_LPG),125,5,BE1005),2,FALSE))))))</f>
        <v/>
      </c>
      <c r="BB1005" s="468" t="str">
        <f>IF(T1005="","",IF(OR(AU1005="",AU1005="-"),"－",IF(OR(AZ1005=8,AZ1005=9),"",IF(OR(AW1005=3,AW1005=4,AW1005=5,AW1005=6),VLOOKUP(AU1005,INDEX((係数_バス貨物_ガソリン,係数_バス貨物_CNG,係数_バス貨物_軽油,係数_バス貨物_メタノール,係数_バス貨物_LPG),MATCH(AY1005,【参考】排出係数!$AI$4:$AI$671,1),1,BE1005):INDEX((係数_バス貨物_ガソリン,係数_バス貨物_CNG,係数_バス貨物_軽油,係数_バス貨物_メタノール,係数_バス貨物_LPG),MATCH(AY1005+1,【参考】排出係数!$AI$4:$AI$671,1)-1,5,BE1005),3,FALSE),IF(OR(AW1005=1,AW1005=2),VLOOKUP(AU1005,INDEX((係数_乗用_ガソリン,係数_乗用_CNG,係数_乗用_軽油,係数_乗用_メタノール,係数_乗用_LPG),1,1,BE1005):INDEX((係数_乗用_ガソリン,係数_乗用_CNG,係数_乗用_軽油,係数_乗用_メタノール,係数_乗用_LPG),125,5,BE1005),3,FALSE))))))</f>
        <v/>
      </c>
      <c r="BC1005" s="467" t="str">
        <f t="shared" si="558"/>
        <v/>
      </c>
      <c r="BD1005" s="567" t="str">
        <f t="shared" si="559"/>
        <v/>
      </c>
      <c r="BE1005" s="467" t="str">
        <f t="shared" si="560"/>
        <v/>
      </c>
      <c r="BF1005" s="469" t="str">
        <f t="shared" ca="1" si="561"/>
        <v/>
      </c>
      <c r="BG1005" s="469" t="str">
        <f t="shared" ca="1" si="562"/>
        <v/>
      </c>
      <c r="BH1005" s="467" t="str">
        <f t="shared" si="563"/>
        <v/>
      </c>
      <c r="BI1005" s="467" t="str">
        <f t="shared" ca="1" si="564"/>
        <v/>
      </c>
      <c r="BJ1005" s="469" t="str">
        <f t="shared" si="565"/>
        <v/>
      </c>
      <c r="BK1005" s="470" t="str">
        <f t="shared" si="549"/>
        <v/>
      </c>
      <c r="BL1005" s="775" t="str">
        <f t="shared" si="566"/>
        <v/>
      </c>
      <c r="BM1005" s="775" t="str">
        <f t="shared" si="567"/>
        <v/>
      </c>
    </row>
    <row r="1006" spans="1:65">
      <c r="A1006" s="473">
        <v>950</v>
      </c>
      <c r="B1006" s="132"/>
      <c r="C1006" s="332"/>
      <c r="D1006" s="333"/>
      <c r="E1006" s="333"/>
      <c r="F1006" s="334"/>
      <c r="G1006" s="337"/>
      <c r="H1006" s="131"/>
      <c r="I1006" s="337"/>
      <c r="J1006" s="131"/>
      <c r="K1006" s="458" t="str">
        <f t="shared" si="568"/>
        <v/>
      </c>
      <c r="L1006" s="458">
        <f t="shared" si="569"/>
        <v>0</v>
      </c>
      <c r="M1006" s="458">
        <f t="shared" si="570"/>
        <v>0</v>
      </c>
      <c r="N1006" s="459" t="str">
        <f t="shared" si="543"/>
        <v/>
      </c>
      <c r="O1006" s="459" t="str">
        <f t="shared" si="544"/>
        <v/>
      </c>
      <c r="P1006" s="459" t="str">
        <f t="shared" si="545"/>
        <v/>
      </c>
      <c r="Q1006" s="459" t="str">
        <f t="shared" si="546"/>
        <v/>
      </c>
      <c r="R1006" s="459" t="str">
        <f t="shared" si="547"/>
        <v/>
      </c>
      <c r="S1006" s="459" t="str">
        <f t="shared" si="548"/>
        <v/>
      </c>
      <c r="T1006" s="566" t="str">
        <f t="shared" si="571"/>
        <v/>
      </c>
      <c r="U1006" s="702"/>
      <c r="V1006" s="132"/>
      <c r="W1006" s="133"/>
      <c r="X1006" s="134"/>
      <c r="Y1006" s="135"/>
      <c r="Z1006" s="137"/>
      <c r="AA1006" s="136"/>
      <c r="AB1006" s="566" t="str">
        <f t="shared" si="572"/>
        <v/>
      </c>
      <c r="AC1006" s="568" t="str">
        <f t="shared" si="573"/>
        <v/>
      </c>
      <c r="AD1006" s="137"/>
      <c r="AE1006" s="137"/>
      <c r="AF1006" s="138"/>
      <c r="AG1006" s="138"/>
      <c r="AH1006" s="592" t="str">
        <f t="shared" si="574"/>
        <v/>
      </c>
      <c r="AI1006" s="592" t="str">
        <f t="shared" si="575"/>
        <v/>
      </c>
      <c r="AJ1006" s="592" t="str">
        <f t="shared" si="576"/>
        <v/>
      </c>
      <c r="AK1006" s="460" t="str">
        <f>IF(AU1006="","",IF(OR(AZ1006=8,AZ1006=9),0,IF(OR(AW1006=3,AW1006=4,AW1006=5,AW1006=6),IF(LEFT(BF1006,1)="1",INDEX(係数_NOX・PM低減,MATCH(AY1006,【参考】排出係数!$AI$801:$AI$804,1),1),VLOOKUP(AU1006,INDEX((係数_バス貨物_ガソリン,係数_バス貨物_CNG,係数_バス貨物_軽油,係数_バス貨物_メタノール,係数_バス貨物_LPG),MATCH(AY1006,【参考】排出係数!$AI$4:$AI$671,1),1,BE1006):INDEX((係数_バス貨物_ガソリン,係数_バス貨物_CNG,係数_バス貨物_軽油,係数_バス貨物_メタノール,係数_バス貨物_LPG),MATCH(AY1006+1,【参考】排出係数!$AI$4:$AI$671,1)-1,5,BE1006),4,FALSE)),IF(AND(BE1006=3,LEFT(BF1006,1)="1"),0.48,VLOOKUP(AU1006,INDEX((係数_乗用_ガソリン,係数_乗用_CNG,係数_乗用_軽油,係数_乗用_メタノール,係数_乗用_LPG),1,1,BE1006):INDEX((係数_乗用_ガソリン,係数_乗用_CNG,係数_乗用_軽油,係数_乗用_メタノール,係数_乗用_LPG),125,5,BE1006),4,FALSE)))))</f>
        <v/>
      </c>
      <c r="AL1006" s="461" t="str">
        <f t="shared" si="577"/>
        <v/>
      </c>
      <c r="AM1006" s="460" t="str">
        <f>IF(AU1006="","",IF(OR(AZ1006=8,AZ1006=9),0,IF(OR(AW1006=3,AW1006=4,AW1006=5,AW1006=6),IF(LEFT(BH1006,1)="1",INDEX(係数_PM低減,MATCH(AY1006,【参考】排出係数!$AI$801:$AI$804,1),MATCH(BI1006,【参考】排出係数!$AL$798:$AO$798,1)),VLOOKUP(AU1006,INDEX((係数_バス貨物_ガソリン,係数_バス貨物_CNG,係数_バス貨物_軽油,係数_バス貨物_メタノール,係数_バス貨物_LPG),MATCH(AY1006,【参考】排出係数!$AI$4:$AI$671,1),1,BE1006):INDEX((係数_バス貨物_ガソリン,係数_バス貨物_CNG,係数_バス貨物_軽油,係数_バス貨物_メタノール,係数_バス貨物_LPG),MATCH(AY1006+1,【参考】排出係数!$AI$4:$AI$671,1)-1,5,BE1006),5,FALSE)),IF(AND(BE1006=3,LEFT(BF1006,1)="1"),0.055,VLOOKUP(AU1006,INDEX((係数_乗用_ガソリン,係数_乗用_CNG,係数_乗用_軽油,係数_乗用_メタノール,係数_乗用_LPG),1,1,BE1006):INDEX((係数_乗用_ガソリン,係数_乗用_CNG,係数_乗用_軽油,係数_乗用_メタノール,係数_乗用_LPG),125,5,BE1006),5,FALSE)))))</f>
        <v/>
      </c>
      <c r="AN1006" s="461" t="str">
        <f t="shared" si="578"/>
        <v/>
      </c>
      <c r="AO1006" s="462" t="str">
        <f t="shared" si="579"/>
        <v/>
      </c>
      <c r="AP1006" s="463" t="str">
        <f t="shared" si="580"/>
        <v/>
      </c>
      <c r="AQ1006" s="464"/>
      <c r="AR1006" s="619"/>
      <c r="AS1006" s="465" t="str">
        <f t="shared" si="550"/>
        <v/>
      </c>
      <c r="AT1006" s="465" t="str">
        <f t="shared" si="551"/>
        <v/>
      </c>
      <c r="AU1006" s="466" t="str">
        <f t="shared" si="552"/>
        <v/>
      </c>
      <c r="AV1006" s="467" t="str">
        <f t="shared" si="553"/>
        <v/>
      </c>
      <c r="AW1006" s="467" t="str">
        <f t="shared" si="554"/>
        <v/>
      </c>
      <c r="AX1006" s="467" t="str">
        <f t="shared" si="555"/>
        <v/>
      </c>
      <c r="AY1006" s="467" t="str">
        <f t="shared" si="556"/>
        <v/>
      </c>
      <c r="AZ1006" s="467" t="str">
        <f t="shared" si="557"/>
        <v/>
      </c>
      <c r="BA1006" s="468" t="str">
        <f>IF(AS1006="","",IF(OR(AU1006="",AU1006="-"),"－",IF(OR(AZ1006=8,AZ1006=9),"",IF(OR(AW1006=3,AW1006=4,AW1006=5,AW1006=6),VLOOKUP(AU1006,INDEX((係数_バス貨物_ガソリン,係数_バス貨物_CNG,係数_バス貨物_軽油,係数_バス貨物_メタノール,係数_バス貨物_LPG),MATCH(AY1006,【参考】排出係数!$AI$4:$AI$671,1),1,BE1006):INDEX((係数_バス貨物_ガソリン,係数_バス貨物_CNG,係数_バス貨物_軽油,係数_バス貨物_メタノール,係数_バス貨物_LPG),MATCH(AY1006+1,【参考】排出係数!$AI$4:$AI$671,1)-1,5,BE1006),2,FALSE),IF(OR(AW1006=1,AW1006=2),VLOOKUP(AU1006,INDEX((係数_乗用_ガソリン,係数_乗用_CNG,係数_乗用_軽油,係数_乗用_メタノール,係数_乗用_LPG),1,1,BE1006):INDEX((係数_乗用_ガソリン,係数_乗用_CNG,係数_乗用_軽油,係数_乗用_メタノール,係数_乗用_LPG),125,5,BE1006),2,FALSE))))))</f>
        <v/>
      </c>
      <c r="BB1006" s="468" t="str">
        <f>IF(T1006="","",IF(OR(AU1006="",AU1006="-"),"－",IF(OR(AZ1006=8,AZ1006=9),"",IF(OR(AW1006=3,AW1006=4,AW1006=5,AW1006=6),VLOOKUP(AU1006,INDEX((係数_バス貨物_ガソリン,係数_バス貨物_CNG,係数_バス貨物_軽油,係数_バス貨物_メタノール,係数_バス貨物_LPG),MATCH(AY1006,【参考】排出係数!$AI$4:$AI$671,1),1,BE1006):INDEX((係数_バス貨物_ガソリン,係数_バス貨物_CNG,係数_バス貨物_軽油,係数_バス貨物_メタノール,係数_バス貨物_LPG),MATCH(AY1006+1,【参考】排出係数!$AI$4:$AI$671,1)-1,5,BE1006),3,FALSE),IF(OR(AW1006=1,AW1006=2),VLOOKUP(AU1006,INDEX((係数_乗用_ガソリン,係数_乗用_CNG,係数_乗用_軽油,係数_乗用_メタノール,係数_乗用_LPG),1,1,BE1006):INDEX((係数_乗用_ガソリン,係数_乗用_CNG,係数_乗用_軽油,係数_乗用_メタノール,係数_乗用_LPG),125,5,BE1006),3,FALSE))))))</f>
        <v/>
      </c>
      <c r="BC1006" s="467" t="str">
        <f t="shared" si="558"/>
        <v/>
      </c>
      <c r="BD1006" s="567" t="str">
        <f t="shared" si="559"/>
        <v/>
      </c>
      <c r="BE1006" s="467" t="str">
        <f t="shared" si="560"/>
        <v/>
      </c>
      <c r="BF1006" s="469" t="str">
        <f t="shared" ca="1" si="561"/>
        <v/>
      </c>
      <c r="BG1006" s="469" t="str">
        <f t="shared" ca="1" si="562"/>
        <v/>
      </c>
      <c r="BH1006" s="467" t="str">
        <f t="shared" si="563"/>
        <v/>
      </c>
      <c r="BI1006" s="467" t="str">
        <f t="shared" ca="1" si="564"/>
        <v/>
      </c>
      <c r="BJ1006" s="469" t="str">
        <f t="shared" si="565"/>
        <v/>
      </c>
      <c r="BK1006" s="470" t="str">
        <f t="shared" si="549"/>
        <v/>
      </c>
      <c r="BL1006" s="775" t="str">
        <f t="shared" si="566"/>
        <v/>
      </c>
      <c r="BM1006" s="775" t="str">
        <f t="shared" si="567"/>
        <v/>
      </c>
    </row>
    <row r="1007" spans="1:65">
      <c r="A1007" s="473">
        <v>951</v>
      </c>
      <c r="B1007" s="132"/>
      <c r="C1007" s="332"/>
      <c r="D1007" s="333"/>
      <c r="E1007" s="333"/>
      <c r="F1007" s="334"/>
      <c r="G1007" s="337"/>
      <c r="H1007" s="131"/>
      <c r="I1007" s="337"/>
      <c r="J1007" s="131"/>
      <c r="K1007" s="458" t="str">
        <f t="shared" si="568"/>
        <v/>
      </c>
      <c r="L1007" s="458">
        <f t="shared" si="569"/>
        <v>0</v>
      </c>
      <c r="M1007" s="458">
        <f t="shared" si="570"/>
        <v>0</v>
      </c>
      <c r="N1007" s="459" t="str">
        <f t="shared" si="543"/>
        <v/>
      </c>
      <c r="O1007" s="459" t="str">
        <f t="shared" si="544"/>
        <v/>
      </c>
      <c r="P1007" s="459" t="str">
        <f t="shared" si="545"/>
        <v/>
      </c>
      <c r="Q1007" s="459" t="str">
        <f t="shared" si="546"/>
        <v/>
      </c>
      <c r="R1007" s="459" t="str">
        <f t="shared" si="547"/>
        <v/>
      </c>
      <c r="S1007" s="459" t="str">
        <f t="shared" si="548"/>
        <v/>
      </c>
      <c r="T1007" s="566" t="str">
        <f t="shared" si="571"/>
        <v/>
      </c>
      <c r="U1007" s="702"/>
      <c r="V1007" s="132"/>
      <c r="W1007" s="133"/>
      <c r="X1007" s="134"/>
      <c r="Y1007" s="135"/>
      <c r="Z1007" s="137"/>
      <c r="AA1007" s="136"/>
      <c r="AB1007" s="566" t="str">
        <f t="shared" si="572"/>
        <v/>
      </c>
      <c r="AC1007" s="568" t="str">
        <f t="shared" si="573"/>
        <v/>
      </c>
      <c r="AD1007" s="137"/>
      <c r="AE1007" s="137"/>
      <c r="AF1007" s="138"/>
      <c r="AG1007" s="138"/>
      <c r="AH1007" s="592" t="str">
        <f t="shared" si="574"/>
        <v/>
      </c>
      <c r="AI1007" s="592" t="str">
        <f t="shared" si="575"/>
        <v/>
      </c>
      <c r="AJ1007" s="592" t="str">
        <f t="shared" si="576"/>
        <v/>
      </c>
      <c r="AK1007" s="460" t="str">
        <f>IF(AU1007="","",IF(OR(AZ1007=8,AZ1007=9),0,IF(OR(AW1007=3,AW1007=4,AW1007=5,AW1007=6),IF(LEFT(BF1007,1)="1",INDEX(係数_NOX・PM低減,MATCH(AY1007,【参考】排出係数!$AI$801:$AI$804,1),1),VLOOKUP(AU1007,INDEX((係数_バス貨物_ガソリン,係数_バス貨物_CNG,係数_バス貨物_軽油,係数_バス貨物_メタノール,係数_バス貨物_LPG),MATCH(AY1007,【参考】排出係数!$AI$4:$AI$671,1),1,BE1007):INDEX((係数_バス貨物_ガソリン,係数_バス貨物_CNG,係数_バス貨物_軽油,係数_バス貨物_メタノール,係数_バス貨物_LPG),MATCH(AY1007+1,【参考】排出係数!$AI$4:$AI$671,1)-1,5,BE1007),4,FALSE)),IF(AND(BE1007=3,LEFT(BF1007,1)="1"),0.48,VLOOKUP(AU1007,INDEX((係数_乗用_ガソリン,係数_乗用_CNG,係数_乗用_軽油,係数_乗用_メタノール,係数_乗用_LPG),1,1,BE1007):INDEX((係数_乗用_ガソリン,係数_乗用_CNG,係数_乗用_軽油,係数_乗用_メタノール,係数_乗用_LPG),125,5,BE1007),4,FALSE)))))</f>
        <v/>
      </c>
      <c r="AL1007" s="461" t="str">
        <f t="shared" si="577"/>
        <v/>
      </c>
      <c r="AM1007" s="460" t="str">
        <f>IF(AU1007="","",IF(OR(AZ1007=8,AZ1007=9),0,IF(OR(AW1007=3,AW1007=4,AW1007=5,AW1007=6),IF(LEFT(BH1007,1)="1",INDEX(係数_PM低減,MATCH(AY1007,【参考】排出係数!$AI$801:$AI$804,1),MATCH(BI1007,【参考】排出係数!$AL$798:$AO$798,1)),VLOOKUP(AU1007,INDEX((係数_バス貨物_ガソリン,係数_バス貨物_CNG,係数_バス貨物_軽油,係数_バス貨物_メタノール,係数_バス貨物_LPG),MATCH(AY1007,【参考】排出係数!$AI$4:$AI$671,1),1,BE1007):INDEX((係数_バス貨物_ガソリン,係数_バス貨物_CNG,係数_バス貨物_軽油,係数_バス貨物_メタノール,係数_バス貨物_LPG),MATCH(AY1007+1,【参考】排出係数!$AI$4:$AI$671,1)-1,5,BE1007),5,FALSE)),IF(AND(BE1007=3,LEFT(BF1007,1)="1"),0.055,VLOOKUP(AU1007,INDEX((係数_乗用_ガソリン,係数_乗用_CNG,係数_乗用_軽油,係数_乗用_メタノール,係数_乗用_LPG),1,1,BE1007):INDEX((係数_乗用_ガソリン,係数_乗用_CNG,係数_乗用_軽油,係数_乗用_メタノール,係数_乗用_LPG),125,5,BE1007),5,FALSE)))))</f>
        <v/>
      </c>
      <c r="AN1007" s="461" t="str">
        <f t="shared" si="578"/>
        <v/>
      </c>
      <c r="AO1007" s="462" t="str">
        <f t="shared" si="579"/>
        <v/>
      </c>
      <c r="AP1007" s="463" t="str">
        <f t="shared" si="580"/>
        <v/>
      </c>
      <c r="AQ1007" s="464"/>
      <c r="AR1007" s="619"/>
      <c r="AS1007" s="465" t="str">
        <f t="shared" si="550"/>
        <v/>
      </c>
      <c r="AT1007" s="465" t="str">
        <f t="shared" si="551"/>
        <v/>
      </c>
      <c r="AU1007" s="466" t="str">
        <f t="shared" si="552"/>
        <v/>
      </c>
      <c r="AV1007" s="467" t="str">
        <f t="shared" si="553"/>
        <v/>
      </c>
      <c r="AW1007" s="467" t="str">
        <f t="shared" si="554"/>
        <v/>
      </c>
      <c r="AX1007" s="467" t="str">
        <f t="shared" si="555"/>
        <v/>
      </c>
      <c r="AY1007" s="467" t="str">
        <f t="shared" si="556"/>
        <v/>
      </c>
      <c r="AZ1007" s="467" t="str">
        <f t="shared" si="557"/>
        <v/>
      </c>
      <c r="BA1007" s="468" t="str">
        <f>IF(AS1007="","",IF(OR(AU1007="",AU1007="-"),"－",IF(OR(AZ1007=8,AZ1007=9),"",IF(OR(AW1007=3,AW1007=4,AW1007=5,AW1007=6),VLOOKUP(AU1007,INDEX((係数_バス貨物_ガソリン,係数_バス貨物_CNG,係数_バス貨物_軽油,係数_バス貨物_メタノール,係数_バス貨物_LPG),MATCH(AY1007,【参考】排出係数!$AI$4:$AI$671,1),1,BE1007):INDEX((係数_バス貨物_ガソリン,係数_バス貨物_CNG,係数_バス貨物_軽油,係数_バス貨物_メタノール,係数_バス貨物_LPG),MATCH(AY1007+1,【参考】排出係数!$AI$4:$AI$671,1)-1,5,BE1007),2,FALSE),IF(OR(AW1007=1,AW1007=2),VLOOKUP(AU1007,INDEX((係数_乗用_ガソリン,係数_乗用_CNG,係数_乗用_軽油,係数_乗用_メタノール,係数_乗用_LPG),1,1,BE1007):INDEX((係数_乗用_ガソリン,係数_乗用_CNG,係数_乗用_軽油,係数_乗用_メタノール,係数_乗用_LPG),125,5,BE1007),2,FALSE))))))</f>
        <v/>
      </c>
      <c r="BB1007" s="468" t="str">
        <f>IF(T1007="","",IF(OR(AU1007="",AU1007="-"),"－",IF(OR(AZ1007=8,AZ1007=9),"",IF(OR(AW1007=3,AW1007=4,AW1007=5,AW1007=6),VLOOKUP(AU1007,INDEX((係数_バス貨物_ガソリン,係数_バス貨物_CNG,係数_バス貨物_軽油,係数_バス貨物_メタノール,係数_バス貨物_LPG),MATCH(AY1007,【参考】排出係数!$AI$4:$AI$671,1),1,BE1007):INDEX((係数_バス貨物_ガソリン,係数_バス貨物_CNG,係数_バス貨物_軽油,係数_バス貨物_メタノール,係数_バス貨物_LPG),MATCH(AY1007+1,【参考】排出係数!$AI$4:$AI$671,1)-1,5,BE1007),3,FALSE),IF(OR(AW1007=1,AW1007=2),VLOOKUP(AU1007,INDEX((係数_乗用_ガソリン,係数_乗用_CNG,係数_乗用_軽油,係数_乗用_メタノール,係数_乗用_LPG),1,1,BE1007):INDEX((係数_乗用_ガソリン,係数_乗用_CNG,係数_乗用_軽油,係数_乗用_メタノール,係数_乗用_LPG),125,5,BE1007),3,FALSE))))))</f>
        <v/>
      </c>
      <c r="BC1007" s="467" t="str">
        <f t="shared" si="558"/>
        <v/>
      </c>
      <c r="BD1007" s="567" t="str">
        <f t="shared" si="559"/>
        <v/>
      </c>
      <c r="BE1007" s="467" t="str">
        <f t="shared" si="560"/>
        <v/>
      </c>
      <c r="BF1007" s="469" t="str">
        <f t="shared" ca="1" si="561"/>
        <v/>
      </c>
      <c r="BG1007" s="469" t="str">
        <f t="shared" ca="1" si="562"/>
        <v/>
      </c>
      <c r="BH1007" s="467" t="str">
        <f t="shared" si="563"/>
        <v/>
      </c>
      <c r="BI1007" s="467" t="str">
        <f t="shared" ca="1" si="564"/>
        <v/>
      </c>
      <c r="BJ1007" s="469" t="str">
        <f t="shared" si="565"/>
        <v/>
      </c>
      <c r="BK1007" s="470" t="str">
        <f t="shared" si="549"/>
        <v/>
      </c>
      <c r="BL1007" s="775" t="str">
        <f t="shared" si="566"/>
        <v/>
      </c>
      <c r="BM1007" s="775" t="str">
        <f t="shared" si="567"/>
        <v/>
      </c>
    </row>
    <row r="1008" spans="1:65">
      <c r="A1008" s="473">
        <v>952</v>
      </c>
      <c r="B1008" s="132"/>
      <c r="C1008" s="332"/>
      <c r="D1008" s="333"/>
      <c r="E1008" s="333"/>
      <c r="F1008" s="334"/>
      <c r="G1008" s="337"/>
      <c r="H1008" s="131"/>
      <c r="I1008" s="337"/>
      <c r="J1008" s="131"/>
      <c r="K1008" s="458" t="str">
        <f t="shared" si="568"/>
        <v/>
      </c>
      <c r="L1008" s="458">
        <f t="shared" si="569"/>
        <v>0</v>
      </c>
      <c r="M1008" s="458">
        <f t="shared" si="570"/>
        <v>0</v>
      </c>
      <c r="N1008" s="459" t="str">
        <f t="shared" si="543"/>
        <v/>
      </c>
      <c r="O1008" s="459" t="str">
        <f t="shared" si="544"/>
        <v/>
      </c>
      <c r="P1008" s="459" t="str">
        <f t="shared" si="545"/>
        <v/>
      </c>
      <c r="Q1008" s="459" t="str">
        <f t="shared" si="546"/>
        <v/>
      </c>
      <c r="R1008" s="459" t="str">
        <f t="shared" si="547"/>
        <v/>
      </c>
      <c r="S1008" s="459" t="str">
        <f t="shared" si="548"/>
        <v/>
      </c>
      <c r="T1008" s="566" t="str">
        <f t="shared" si="571"/>
        <v/>
      </c>
      <c r="U1008" s="702"/>
      <c r="V1008" s="132"/>
      <c r="W1008" s="133"/>
      <c r="X1008" s="134"/>
      <c r="Y1008" s="135"/>
      <c r="Z1008" s="137"/>
      <c r="AA1008" s="136"/>
      <c r="AB1008" s="566" t="str">
        <f t="shared" si="572"/>
        <v/>
      </c>
      <c r="AC1008" s="568" t="str">
        <f t="shared" si="573"/>
        <v/>
      </c>
      <c r="AD1008" s="137"/>
      <c r="AE1008" s="137"/>
      <c r="AF1008" s="138"/>
      <c r="AG1008" s="138"/>
      <c r="AH1008" s="592" t="str">
        <f t="shared" si="574"/>
        <v/>
      </c>
      <c r="AI1008" s="592" t="str">
        <f t="shared" si="575"/>
        <v/>
      </c>
      <c r="AJ1008" s="592" t="str">
        <f t="shared" si="576"/>
        <v/>
      </c>
      <c r="AK1008" s="460" t="str">
        <f>IF(AU1008="","",IF(OR(AZ1008=8,AZ1008=9),0,IF(OR(AW1008=3,AW1008=4,AW1008=5,AW1008=6),IF(LEFT(BF1008,1)="1",INDEX(係数_NOX・PM低減,MATCH(AY1008,【参考】排出係数!$AI$801:$AI$804,1),1),VLOOKUP(AU1008,INDEX((係数_バス貨物_ガソリン,係数_バス貨物_CNG,係数_バス貨物_軽油,係数_バス貨物_メタノール,係数_バス貨物_LPG),MATCH(AY1008,【参考】排出係数!$AI$4:$AI$671,1),1,BE1008):INDEX((係数_バス貨物_ガソリン,係数_バス貨物_CNG,係数_バス貨物_軽油,係数_バス貨物_メタノール,係数_バス貨物_LPG),MATCH(AY1008+1,【参考】排出係数!$AI$4:$AI$671,1)-1,5,BE1008),4,FALSE)),IF(AND(BE1008=3,LEFT(BF1008,1)="1"),0.48,VLOOKUP(AU1008,INDEX((係数_乗用_ガソリン,係数_乗用_CNG,係数_乗用_軽油,係数_乗用_メタノール,係数_乗用_LPG),1,1,BE1008):INDEX((係数_乗用_ガソリン,係数_乗用_CNG,係数_乗用_軽油,係数_乗用_メタノール,係数_乗用_LPG),125,5,BE1008),4,FALSE)))))</f>
        <v/>
      </c>
      <c r="AL1008" s="461" t="str">
        <f t="shared" si="577"/>
        <v/>
      </c>
      <c r="AM1008" s="460" t="str">
        <f>IF(AU1008="","",IF(OR(AZ1008=8,AZ1008=9),0,IF(OR(AW1008=3,AW1008=4,AW1008=5,AW1008=6),IF(LEFT(BH1008,1)="1",INDEX(係数_PM低減,MATCH(AY1008,【参考】排出係数!$AI$801:$AI$804,1),MATCH(BI1008,【参考】排出係数!$AL$798:$AO$798,1)),VLOOKUP(AU1008,INDEX((係数_バス貨物_ガソリン,係数_バス貨物_CNG,係数_バス貨物_軽油,係数_バス貨物_メタノール,係数_バス貨物_LPG),MATCH(AY1008,【参考】排出係数!$AI$4:$AI$671,1),1,BE1008):INDEX((係数_バス貨物_ガソリン,係数_バス貨物_CNG,係数_バス貨物_軽油,係数_バス貨物_メタノール,係数_バス貨物_LPG),MATCH(AY1008+1,【参考】排出係数!$AI$4:$AI$671,1)-1,5,BE1008),5,FALSE)),IF(AND(BE1008=3,LEFT(BF1008,1)="1"),0.055,VLOOKUP(AU1008,INDEX((係数_乗用_ガソリン,係数_乗用_CNG,係数_乗用_軽油,係数_乗用_メタノール,係数_乗用_LPG),1,1,BE1008):INDEX((係数_乗用_ガソリン,係数_乗用_CNG,係数_乗用_軽油,係数_乗用_メタノール,係数_乗用_LPG),125,5,BE1008),5,FALSE)))))</f>
        <v/>
      </c>
      <c r="AN1008" s="461" t="str">
        <f t="shared" si="578"/>
        <v/>
      </c>
      <c r="AO1008" s="462" t="str">
        <f t="shared" si="579"/>
        <v/>
      </c>
      <c r="AP1008" s="463" t="str">
        <f t="shared" si="580"/>
        <v/>
      </c>
      <c r="AQ1008" s="464"/>
      <c r="AR1008" s="619"/>
      <c r="AS1008" s="465" t="str">
        <f t="shared" si="550"/>
        <v/>
      </c>
      <c r="AT1008" s="465" t="str">
        <f t="shared" si="551"/>
        <v/>
      </c>
      <c r="AU1008" s="466" t="str">
        <f t="shared" si="552"/>
        <v/>
      </c>
      <c r="AV1008" s="467" t="str">
        <f t="shared" si="553"/>
        <v/>
      </c>
      <c r="AW1008" s="467" t="str">
        <f t="shared" si="554"/>
        <v/>
      </c>
      <c r="AX1008" s="467" t="str">
        <f t="shared" si="555"/>
        <v/>
      </c>
      <c r="AY1008" s="467" t="str">
        <f t="shared" si="556"/>
        <v/>
      </c>
      <c r="AZ1008" s="467" t="str">
        <f t="shared" si="557"/>
        <v/>
      </c>
      <c r="BA1008" s="468" t="str">
        <f>IF(AS1008="","",IF(OR(AU1008="",AU1008="-"),"－",IF(OR(AZ1008=8,AZ1008=9),"",IF(OR(AW1008=3,AW1008=4,AW1008=5,AW1008=6),VLOOKUP(AU1008,INDEX((係数_バス貨物_ガソリン,係数_バス貨物_CNG,係数_バス貨物_軽油,係数_バス貨物_メタノール,係数_バス貨物_LPG),MATCH(AY1008,【参考】排出係数!$AI$4:$AI$671,1),1,BE1008):INDEX((係数_バス貨物_ガソリン,係数_バス貨物_CNG,係数_バス貨物_軽油,係数_バス貨物_メタノール,係数_バス貨物_LPG),MATCH(AY1008+1,【参考】排出係数!$AI$4:$AI$671,1)-1,5,BE1008),2,FALSE),IF(OR(AW1008=1,AW1008=2),VLOOKUP(AU1008,INDEX((係数_乗用_ガソリン,係数_乗用_CNG,係数_乗用_軽油,係数_乗用_メタノール,係数_乗用_LPG),1,1,BE1008):INDEX((係数_乗用_ガソリン,係数_乗用_CNG,係数_乗用_軽油,係数_乗用_メタノール,係数_乗用_LPG),125,5,BE1008),2,FALSE))))))</f>
        <v/>
      </c>
      <c r="BB1008" s="468" t="str">
        <f>IF(T1008="","",IF(OR(AU1008="",AU1008="-"),"－",IF(OR(AZ1008=8,AZ1008=9),"",IF(OR(AW1008=3,AW1008=4,AW1008=5,AW1008=6),VLOOKUP(AU1008,INDEX((係数_バス貨物_ガソリン,係数_バス貨物_CNG,係数_バス貨物_軽油,係数_バス貨物_メタノール,係数_バス貨物_LPG),MATCH(AY1008,【参考】排出係数!$AI$4:$AI$671,1),1,BE1008):INDEX((係数_バス貨物_ガソリン,係数_バス貨物_CNG,係数_バス貨物_軽油,係数_バス貨物_メタノール,係数_バス貨物_LPG),MATCH(AY1008+1,【参考】排出係数!$AI$4:$AI$671,1)-1,5,BE1008),3,FALSE),IF(OR(AW1008=1,AW1008=2),VLOOKUP(AU1008,INDEX((係数_乗用_ガソリン,係数_乗用_CNG,係数_乗用_軽油,係数_乗用_メタノール,係数_乗用_LPG),1,1,BE1008):INDEX((係数_乗用_ガソリン,係数_乗用_CNG,係数_乗用_軽油,係数_乗用_メタノール,係数_乗用_LPG),125,5,BE1008),3,FALSE))))))</f>
        <v/>
      </c>
      <c r="BC1008" s="467" t="str">
        <f t="shared" si="558"/>
        <v/>
      </c>
      <c r="BD1008" s="567" t="str">
        <f t="shared" si="559"/>
        <v/>
      </c>
      <c r="BE1008" s="467" t="str">
        <f t="shared" si="560"/>
        <v/>
      </c>
      <c r="BF1008" s="469" t="str">
        <f t="shared" ca="1" si="561"/>
        <v/>
      </c>
      <c r="BG1008" s="469" t="str">
        <f t="shared" ca="1" si="562"/>
        <v/>
      </c>
      <c r="BH1008" s="467" t="str">
        <f t="shared" si="563"/>
        <v/>
      </c>
      <c r="BI1008" s="467" t="str">
        <f t="shared" ca="1" si="564"/>
        <v/>
      </c>
      <c r="BJ1008" s="469" t="str">
        <f t="shared" si="565"/>
        <v/>
      </c>
      <c r="BK1008" s="470" t="str">
        <f t="shared" si="549"/>
        <v/>
      </c>
      <c r="BL1008" s="775" t="str">
        <f t="shared" si="566"/>
        <v/>
      </c>
      <c r="BM1008" s="775" t="str">
        <f t="shared" si="567"/>
        <v/>
      </c>
    </row>
    <row r="1009" spans="1:65">
      <c r="A1009" s="473">
        <v>953</v>
      </c>
      <c r="B1009" s="132"/>
      <c r="C1009" s="332"/>
      <c r="D1009" s="333"/>
      <c r="E1009" s="333"/>
      <c r="F1009" s="334"/>
      <c r="G1009" s="337"/>
      <c r="H1009" s="131"/>
      <c r="I1009" s="337"/>
      <c r="J1009" s="131"/>
      <c r="K1009" s="458" t="str">
        <f t="shared" si="568"/>
        <v/>
      </c>
      <c r="L1009" s="458">
        <f t="shared" si="569"/>
        <v>0</v>
      </c>
      <c r="M1009" s="458">
        <f t="shared" si="570"/>
        <v>0</v>
      </c>
      <c r="N1009" s="459" t="str">
        <f t="shared" si="543"/>
        <v/>
      </c>
      <c r="O1009" s="459" t="str">
        <f t="shared" si="544"/>
        <v/>
      </c>
      <c r="P1009" s="459" t="str">
        <f t="shared" si="545"/>
        <v/>
      </c>
      <c r="Q1009" s="459" t="str">
        <f t="shared" si="546"/>
        <v/>
      </c>
      <c r="R1009" s="459" t="str">
        <f t="shared" si="547"/>
        <v/>
      </c>
      <c r="S1009" s="459" t="str">
        <f t="shared" si="548"/>
        <v/>
      </c>
      <c r="T1009" s="566" t="str">
        <f t="shared" si="571"/>
        <v/>
      </c>
      <c r="U1009" s="702"/>
      <c r="V1009" s="132"/>
      <c r="W1009" s="133"/>
      <c r="X1009" s="134"/>
      <c r="Y1009" s="135"/>
      <c r="Z1009" s="137"/>
      <c r="AA1009" s="136"/>
      <c r="AB1009" s="566" t="str">
        <f t="shared" si="572"/>
        <v/>
      </c>
      <c r="AC1009" s="568" t="str">
        <f t="shared" si="573"/>
        <v/>
      </c>
      <c r="AD1009" s="137"/>
      <c r="AE1009" s="137"/>
      <c r="AF1009" s="138"/>
      <c r="AG1009" s="138"/>
      <c r="AH1009" s="592" t="str">
        <f t="shared" si="574"/>
        <v/>
      </c>
      <c r="AI1009" s="592" t="str">
        <f t="shared" si="575"/>
        <v/>
      </c>
      <c r="AJ1009" s="592" t="str">
        <f t="shared" si="576"/>
        <v/>
      </c>
      <c r="AK1009" s="460" t="str">
        <f>IF(AU1009="","",IF(OR(AZ1009=8,AZ1009=9),0,IF(OR(AW1009=3,AW1009=4,AW1009=5,AW1009=6),IF(LEFT(BF1009,1)="1",INDEX(係数_NOX・PM低減,MATCH(AY1009,【参考】排出係数!$AI$801:$AI$804,1),1),VLOOKUP(AU1009,INDEX((係数_バス貨物_ガソリン,係数_バス貨物_CNG,係数_バス貨物_軽油,係数_バス貨物_メタノール,係数_バス貨物_LPG),MATCH(AY1009,【参考】排出係数!$AI$4:$AI$671,1),1,BE1009):INDEX((係数_バス貨物_ガソリン,係数_バス貨物_CNG,係数_バス貨物_軽油,係数_バス貨物_メタノール,係数_バス貨物_LPG),MATCH(AY1009+1,【参考】排出係数!$AI$4:$AI$671,1)-1,5,BE1009),4,FALSE)),IF(AND(BE1009=3,LEFT(BF1009,1)="1"),0.48,VLOOKUP(AU1009,INDEX((係数_乗用_ガソリン,係数_乗用_CNG,係数_乗用_軽油,係数_乗用_メタノール,係数_乗用_LPG),1,1,BE1009):INDEX((係数_乗用_ガソリン,係数_乗用_CNG,係数_乗用_軽油,係数_乗用_メタノール,係数_乗用_LPG),125,5,BE1009),4,FALSE)))))</f>
        <v/>
      </c>
      <c r="AL1009" s="461" t="str">
        <f t="shared" si="577"/>
        <v/>
      </c>
      <c r="AM1009" s="460" t="str">
        <f>IF(AU1009="","",IF(OR(AZ1009=8,AZ1009=9),0,IF(OR(AW1009=3,AW1009=4,AW1009=5,AW1009=6),IF(LEFT(BH1009,1)="1",INDEX(係数_PM低減,MATCH(AY1009,【参考】排出係数!$AI$801:$AI$804,1),MATCH(BI1009,【参考】排出係数!$AL$798:$AO$798,1)),VLOOKUP(AU1009,INDEX((係数_バス貨物_ガソリン,係数_バス貨物_CNG,係数_バス貨物_軽油,係数_バス貨物_メタノール,係数_バス貨物_LPG),MATCH(AY1009,【参考】排出係数!$AI$4:$AI$671,1),1,BE1009):INDEX((係数_バス貨物_ガソリン,係数_バス貨物_CNG,係数_バス貨物_軽油,係数_バス貨物_メタノール,係数_バス貨物_LPG),MATCH(AY1009+1,【参考】排出係数!$AI$4:$AI$671,1)-1,5,BE1009),5,FALSE)),IF(AND(BE1009=3,LEFT(BF1009,1)="1"),0.055,VLOOKUP(AU1009,INDEX((係数_乗用_ガソリン,係数_乗用_CNG,係数_乗用_軽油,係数_乗用_メタノール,係数_乗用_LPG),1,1,BE1009):INDEX((係数_乗用_ガソリン,係数_乗用_CNG,係数_乗用_軽油,係数_乗用_メタノール,係数_乗用_LPG),125,5,BE1009),5,FALSE)))))</f>
        <v/>
      </c>
      <c r="AN1009" s="461" t="str">
        <f t="shared" si="578"/>
        <v/>
      </c>
      <c r="AO1009" s="462" t="str">
        <f t="shared" si="579"/>
        <v/>
      </c>
      <c r="AP1009" s="463" t="str">
        <f t="shared" si="580"/>
        <v/>
      </c>
      <c r="AQ1009" s="464"/>
      <c r="AR1009" s="619"/>
      <c r="AS1009" s="465" t="str">
        <f t="shared" si="550"/>
        <v/>
      </c>
      <c r="AT1009" s="465" t="str">
        <f t="shared" si="551"/>
        <v/>
      </c>
      <c r="AU1009" s="466" t="str">
        <f t="shared" si="552"/>
        <v/>
      </c>
      <c r="AV1009" s="467" t="str">
        <f t="shared" si="553"/>
        <v/>
      </c>
      <c r="AW1009" s="467" t="str">
        <f t="shared" si="554"/>
        <v/>
      </c>
      <c r="AX1009" s="467" t="str">
        <f t="shared" si="555"/>
        <v/>
      </c>
      <c r="AY1009" s="467" t="str">
        <f t="shared" si="556"/>
        <v/>
      </c>
      <c r="AZ1009" s="467" t="str">
        <f t="shared" si="557"/>
        <v/>
      </c>
      <c r="BA1009" s="468" t="str">
        <f>IF(AS1009="","",IF(OR(AU1009="",AU1009="-"),"－",IF(OR(AZ1009=8,AZ1009=9),"",IF(OR(AW1009=3,AW1009=4,AW1009=5,AW1009=6),VLOOKUP(AU1009,INDEX((係数_バス貨物_ガソリン,係数_バス貨物_CNG,係数_バス貨物_軽油,係数_バス貨物_メタノール,係数_バス貨物_LPG),MATCH(AY1009,【参考】排出係数!$AI$4:$AI$671,1),1,BE1009):INDEX((係数_バス貨物_ガソリン,係数_バス貨物_CNG,係数_バス貨物_軽油,係数_バス貨物_メタノール,係数_バス貨物_LPG),MATCH(AY1009+1,【参考】排出係数!$AI$4:$AI$671,1)-1,5,BE1009),2,FALSE),IF(OR(AW1009=1,AW1009=2),VLOOKUP(AU1009,INDEX((係数_乗用_ガソリン,係数_乗用_CNG,係数_乗用_軽油,係数_乗用_メタノール,係数_乗用_LPG),1,1,BE1009):INDEX((係数_乗用_ガソリン,係数_乗用_CNG,係数_乗用_軽油,係数_乗用_メタノール,係数_乗用_LPG),125,5,BE1009),2,FALSE))))))</f>
        <v/>
      </c>
      <c r="BB1009" s="468" t="str">
        <f>IF(T1009="","",IF(OR(AU1009="",AU1009="-"),"－",IF(OR(AZ1009=8,AZ1009=9),"",IF(OR(AW1009=3,AW1009=4,AW1009=5,AW1009=6),VLOOKUP(AU1009,INDEX((係数_バス貨物_ガソリン,係数_バス貨物_CNG,係数_バス貨物_軽油,係数_バス貨物_メタノール,係数_バス貨物_LPG),MATCH(AY1009,【参考】排出係数!$AI$4:$AI$671,1),1,BE1009):INDEX((係数_バス貨物_ガソリン,係数_バス貨物_CNG,係数_バス貨物_軽油,係数_バス貨物_メタノール,係数_バス貨物_LPG),MATCH(AY1009+1,【参考】排出係数!$AI$4:$AI$671,1)-1,5,BE1009),3,FALSE),IF(OR(AW1009=1,AW1009=2),VLOOKUP(AU1009,INDEX((係数_乗用_ガソリン,係数_乗用_CNG,係数_乗用_軽油,係数_乗用_メタノール,係数_乗用_LPG),1,1,BE1009):INDEX((係数_乗用_ガソリン,係数_乗用_CNG,係数_乗用_軽油,係数_乗用_メタノール,係数_乗用_LPG),125,5,BE1009),3,FALSE))))))</f>
        <v/>
      </c>
      <c r="BC1009" s="467" t="str">
        <f t="shared" si="558"/>
        <v/>
      </c>
      <c r="BD1009" s="567" t="str">
        <f t="shared" si="559"/>
        <v/>
      </c>
      <c r="BE1009" s="467" t="str">
        <f t="shared" si="560"/>
        <v/>
      </c>
      <c r="BF1009" s="469" t="str">
        <f t="shared" ca="1" si="561"/>
        <v/>
      </c>
      <c r="BG1009" s="469" t="str">
        <f t="shared" ca="1" si="562"/>
        <v/>
      </c>
      <c r="BH1009" s="467" t="str">
        <f t="shared" si="563"/>
        <v/>
      </c>
      <c r="BI1009" s="467" t="str">
        <f t="shared" ca="1" si="564"/>
        <v/>
      </c>
      <c r="BJ1009" s="469" t="str">
        <f t="shared" si="565"/>
        <v/>
      </c>
      <c r="BK1009" s="470" t="str">
        <f t="shared" si="549"/>
        <v/>
      </c>
      <c r="BL1009" s="775" t="str">
        <f t="shared" si="566"/>
        <v/>
      </c>
      <c r="BM1009" s="775" t="str">
        <f t="shared" si="567"/>
        <v/>
      </c>
    </row>
    <row r="1010" spans="1:65">
      <c r="A1010" s="473">
        <v>954</v>
      </c>
      <c r="B1010" s="132"/>
      <c r="C1010" s="332"/>
      <c r="D1010" s="333"/>
      <c r="E1010" s="333"/>
      <c r="F1010" s="334"/>
      <c r="G1010" s="337"/>
      <c r="H1010" s="131"/>
      <c r="I1010" s="337"/>
      <c r="J1010" s="131"/>
      <c r="K1010" s="458" t="str">
        <f t="shared" si="568"/>
        <v/>
      </c>
      <c r="L1010" s="458">
        <f t="shared" si="569"/>
        <v>0</v>
      </c>
      <c r="M1010" s="458">
        <f t="shared" si="570"/>
        <v>0</v>
      </c>
      <c r="N1010" s="459" t="str">
        <f t="shared" si="543"/>
        <v/>
      </c>
      <c r="O1010" s="459" t="str">
        <f t="shared" si="544"/>
        <v/>
      </c>
      <c r="P1010" s="459" t="str">
        <f t="shared" si="545"/>
        <v/>
      </c>
      <c r="Q1010" s="459" t="str">
        <f t="shared" si="546"/>
        <v/>
      </c>
      <c r="R1010" s="459" t="str">
        <f t="shared" si="547"/>
        <v/>
      </c>
      <c r="S1010" s="459" t="str">
        <f t="shared" si="548"/>
        <v/>
      </c>
      <c r="T1010" s="566" t="str">
        <f t="shared" si="571"/>
        <v/>
      </c>
      <c r="U1010" s="702"/>
      <c r="V1010" s="132"/>
      <c r="W1010" s="133"/>
      <c r="X1010" s="134"/>
      <c r="Y1010" s="135"/>
      <c r="Z1010" s="137"/>
      <c r="AA1010" s="136"/>
      <c r="AB1010" s="566" t="str">
        <f t="shared" si="572"/>
        <v/>
      </c>
      <c r="AC1010" s="568" t="str">
        <f t="shared" si="573"/>
        <v/>
      </c>
      <c r="AD1010" s="137"/>
      <c r="AE1010" s="137"/>
      <c r="AF1010" s="138"/>
      <c r="AG1010" s="138"/>
      <c r="AH1010" s="592" t="str">
        <f t="shared" si="574"/>
        <v/>
      </c>
      <c r="AI1010" s="592" t="str">
        <f t="shared" si="575"/>
        <v/>
      </c>
      <c r="AJ1010" s="592" t="str">
        <f t="shared" si="576"/>
        <v/>
      </c>
      <c r="AK1010" s="460" t="str">
        <f>IF(AU1010="","",IF(OR(AZ1010=8,AZ1010=9),0,IF(OR(AW1010=3,AW1010=4,AW1010=5,AW1010=6),IF(LEFT(BF1010,1)="1",INDEX(係数_NOX・PM低減,MATCH(AY1010,【参考】排出係数!$AI$801:$AI$804,1),1),VLOOKUP(AU1010,INDEX((係数_バス貨物_ガソリン,係数_バス貨物_CNG,係数_バス貨物_軽油,係数_バス貨物_メタノール,係数_バス貨物_LPG),MATCH(AY1010,【参考】排出係数!$AI$4:$AI$671,1),1,BE1010):INDEX((係数_バス貨物_ガソリン,係数_バス貨物_CNG,係数_バス貨物_軽油,係数_バス貨物_メタノール,係数_バス貨物_LPG),MATCH(AY1010+1,【参考】排出係数!$AI$4:$AI$671,1)-1,5,BE1010),4,FALSE)),IF(AND(BE1010=3,LEFT(BF1010,1)="1"),0.48,VLOOKUP(AU1010,INDEX((係数_乗用_ガソリン,係数_乗用_CNG,係数_乗用_軽油,係数_乗用_メタノール,係数_乗用_LPG),1,1,BE1010):INDEX((係数_乗用_ガソリン,係数_乗用_CNG,係数_乗用_軽油,係数_乗用_メタノール,係数_乗用_LPG),125,5,BE1010),4,FALSE)))))</f>
        <v/>
      </c>
      <c r="AL1010" s="461" t="str">
        <f t="shared" si="577"/>
        <v/>
      </c>
      <c r="AM1010" s="460" t="str">
        <f>IF(AU1010="","",IF(OR(AZ1010=8,AZ1010=9),0,IF(OR(AW1010=3,AW1010=4,AW1010=5,AW1010=6),IF(LEFT(BH1010,1)="1",INDEX(係数_PM低減,MATCH(AY1010,【参考】排出係数!$AI$801:$AI$804,1),MATCH(BI1010,【参考】排出係数!$AL$798:$AO$798,1)),VLOOKUP(AU1010,INDEX((係数_バス貨物_ガソリン,係数_バス貨物_CNG,係数_バス貨物_軽油,係数_バス貨物_メタノール,係数_バス貨物_LPG),MATCH(AY1010,【参考】排出係数!$AI$4:$AI$671,1),1,BE1010):INDEX((係数_バス貨物_ガソリン,係数_バス貨物_CNG,係数_バス貨物_軽油,係数_バス貨物_メタノール,係数_バス貨物_LPG),MATCH(AY1010+1,【参考】排出係数!$AI$4:$AI$671,1)-1,5,BE1010),5,FALSE)),IF(AND(BE1010=3,LEFT(BF1010,1)="1"),0.055,VLOOKUP(AU1010,INDEX((係数_乗用_ガソリン,係数_乗用_CNG,係数_乗用_軽油,係数_乗用_メタノール,係数_乗用_LPG),1,1,BE1010):INDEX((係数_乗用_ガソリン,係数_乗用_CNG,係数_乗用_軽油,係数_乗用_メタノール,係数_乗用_LPG),125,5,BE1010),5,FALSE)))))</f>
        <v/>
      </c>
      <c r="AN1010" s="461" t="str">
        <f t="shared" si="578"/>
        <v/>
      </c>
      <c r="AO1010" s="462" t="str">
        <f t="shared" si="579"/>
        <v/>
      </c>
      <c r="AP1010" s="463" t="str">
        <f t="shared" si="580"/>
        <v/>
      </c>
      <c r="AQ1010" s="464"/>
      <c r="AR1010" s="619"/>
      <c r="AS1010" s="465" t="str">
        <f t="shared" si="550"/>
        <v/>
      </c>
      <c r="AT1010" s="465" t="str">
        <f t="shared" si="551"/>
        <v/>
      </c>
      <c r="AU1010" s="466" t="str">
        <f t="shared" si="552"/>
        <v/>
      </c>
      <c r="AV1010" s="467" t="str">
        <f t="shared" si="553"/>
        <v/>
      </c>
      <c r="AW1010" s="467" t="str">
        <f t="shared" si="554"/>
        <v/>
      </c>
      <c r="AX1010" s="467" t="str">
        <f t="shared" si="555"/>
        <v/>
      </c>
      <c r="AY1010" s="467" t="str">
        <f t="shared" si="556"/>
        <v/>
      </c>
      <c r="AZ1010" s="467" t="str">
        <f t="shared" si="557"/>
        <v/>
      </c>
      <c r="BA1010" s="468" t="str">
        <f>IF(AS1010="","",IF(OR(AU1010="",AU1010="-"),"－",IF(OR(AZ1010=8,AZ1010=9),"",IF(OR(AW1010=3,AW1010=4,AW1010=5,AW1010=6),VLOOKUP(AU1010,INDEX((係数_バス貨物_ガソリン,係数_バス貨物_CNG,係数_バス貨物_軽油,係数_バス貨物_メタノール,係数_バス貨物_LPG),MATCH(AY1010,【参考】排出係数!$AI$4:$AI$671,1),1,BE1010):INDEX((係数_バス貨物_ガソリン,係数_バス貨物_CNG,係数_バス貨物_軽油,係数_バス貨物_メタノール,係数_バス貨物_LPG),MATCH(AY1010+1,【参考】排出係数!$AI$4:$AI$671,1)-1,5,BE1010),2,FALSE),IF(OR(AW1010=1,AW1010=2),VLOOKUP(AU1010,INDEX((係数_乗用_ガソリン,係数_乗用_CNG,係数_乗用_軽油,係数_乗用_メタノール,係数_乗用_LPG),1,1,BE1010):INDEX((係数_乗用_ガソリン,係数_乗用_CNG,係数_乗用_軽油,係数_乗用_メタノール,係数_乗用_LPG),125,5,BE1010),2,FALSE))))))</f>
        <v/>
      </c>
      <c r="BB1010" s="468" t="str">
        <f>IF(T1010="","",IF(OR(AU1010="",AU1010="-"),"－",IF(OR(AZ1010=8,AZ1010=9),"",IF(OR(AW1010=3,AW1010=4,AW1010=5,AW1010=6),VLOOKUP(AU1010,INDEX((係数_バス貨物_ガソリン,係数_バス貨物_CNG,係数_バス貨物_軽油,係数_バス貨物_メタノール,係数_バス貨物_LPG),MATCH(AY1010,【参考】排出係数!$AI$4:$AI$671,1),1,BE1010):INDEX((係数_バス貨物_ガソリン,係数_バス貨物_CNG,係数_バス貨物_軽油,係数_バス貨物_メタノール,係数_バス貨物_LPG),MATCH(AY1010+1,【参考】排出係数!$AI$4:$AI$671,1)-1,5,BE1010),3,FALSE),IF(OR(AW1010=1,AW1010=2),VLOOKUP(AU1010,INDEX((係数_乗用_ガソリン,係数_乗用_CNG,係数_乗用_軽油,係数_乗用_メタノール,係数_乗用_LPG),1,1,BE1010):INDEX((係数_乗用_ガソリン,係数_乗用_CNG,係数_乗用_軽油,係数_乗用_メタノール,係数_乗用_LPG),125,5,BE1010),3,FALSE))))))</f>
        <v/>
      </c>
      <c r="BC1010" s="467" t="str">
        <f t="shared" si="558"/>
        <v/>
      </c>
      <c r="BD1010" s="567" t="str">
        <f t="shared" si="559"/>
        <v/>
      </c>
      <c r="BE1010" s="467" t="str">
        <f t="shared" si="560"/>
        <v/>
      </c>
      <c r="BF1010" s="469" t="str">
        <f t="shared" ca="1" si="561"/>
        <v/>
      </c>
      <c r="BG1010" s="469" t="str">
        <f t="shared" ca="1" si="562"/>
        <v/>
      </c>
      <c r="BH1010" s="467" t="str">
        <f t="shared" si="563"/>
        <v/>
      </c>
      <c r="BI1010" s="467" t="str">
        <f t="shared" ca="1" si="564"/>
        <v/>
      </c>
      <c r="BJ1010" s="469" t="str">
        <f t="shared" si="565"/>
        <v/>
      </c>
      <c r="BK1010" s="470" t="str">
        <f t="shared" si="549"/>
        <v/>
      </c>
      <c r="BL1010" s="775" t="str">
        <f t="shared" si="566"/>
        <v/>
      </c>
      <c r="BM1010" s="775" t="str">
        <f t="shared" si="567"/>
        <v/>
      </c>
    </row>
    <row r="1011" spans="1:65">
      <c r="A1011" s="473">
        <v>955</v>
      </c>
      <c r="B1011" s="132"/>
      <c r="C1011" s="332"/>
      <c r="D1011" s="333"/>
      <c r="E1011" s="333"/>
      <c r="F1011" s="334"/>
      <c r="G1011" s="337"/>
      <c r="H1011" s="131"/>
      <c r="I1011" s="337"/>
      <c r="J1011" s="131"/>
      <c r="K1011" s="458" t="str">
        <f t="shared" si="568"/>
        <v/>
      </c>
      <c r="L1011" s="458">
        <f t="shared" si="569"/>
        <v>0</v>
      </c>
      <c r="M1011" s="458">
        <f t="shared" si="570"/>
        <v>0</v>
      </c>
      <c r="N1011" s="459" t="str">
        <f t="shared" si="543"/>
        <v/>
      </c>
      <c r="O1011" s="459" t="str">
        <f t="shared" si="544"/>
        <v/>
      </c>
      <c r="P1011" s="459" t="str">
        <f t="shared" si="545"/>
        <v/>
      </c>
      <c r="Q1011" s="459" t="str">
        <f t="shared" si="546"/>
        <v/>
      </c>
      <c r="R1011" s="459" t="str">
        <f t="shared" si="547"/>
        <v/>
      </c>
      <c r="S1011" s="459" t="str">
        <f t="shared" si="548"/>
        <v/>
      </c>
      <c r="T1011" s="566" t="str">
        <f t="shared" si="571"/>
        <v/>
      </c>
      <c r="U1011" s="702"/>
      <c r="V1011" s="132"/>
      <c r="W1011" s="133"/>
      <c r="X1011" s="134"/>
      <c r="Y1011" s="135"/>
      <c r="Z1011" s="137"/>
      <c r="AA1011" s="136"/>
      <c r="AB1011" s="566" t="str">
        <f t="shared" si="572"/>
        <v/>
      </c>
      <c r="AC1011" s="568" t="str">
        <f t="shared" si="573"/>
        <v/>
      </c>
      <c r="AD1011" s="137"/>
      <c r="AE1011" s="137"/>
      <c r="AF1011" s="138"/>
      <c r="AG1011" s="138"/>
      <c r="AH1011" s="592" t="str">
        <f t="shared" si="574"/>
        <v/>
      </c>
      <c r="AI1011" s="592" t="str">
        <f t="shared" si="575"/>
        <v/>
      </c>
      <c r="AJ1011" s="592" t="str">
        <f t="shared" si="576"/>
        <v/>
      </c>
      <c r="AK1011" s="460" t="str">
        <f>IF(AU1011="","",IF(OR(AZ1011=8,AZ1011=9),0,IF(OR(AW1011=3,AW1011=4,AW1011=5,AW1011=6),IF(LEFT(BF1011,1)="1",INDEX(係数_NOX・PM低減,MATCH(AY1011,【参考】排出係数!$AI$801:$AI$804,1),1),VLOOKUP(AU1011,INDEX((係数_バス貨物_ガソリン,係数_バス貨物_CNG,係数_バス貨物_軽油,係数_バス貨物_メタノール,係数_バス貨物_LPG),MATCH(AY1011,【参考】排出係数!$AI$4:$AI$671,1),1,BE1011):INDEX((係数_バス貨物_ガソリン,係数_バス貨物_CNG,係数_バス貨物_軽油,係数_バス貨物_メタノール,係数_バス貨物_LPG),MATCH(AY1011+1,【参考】排出係数!$AI$4:$AI$671,1)-1,5,BE1011),4,FALSE)),IF(AND(BE1011=3,LEFT(BF1011,1)="1"),0.48,VLOOKUP(AU1011,INDEX((係数_乗用_ガソリン,係数_乗用_CNG,係数_乗用_軽油,係数_乗用_メタノール,係数_乗用_LPG),1,1,BE1011):INDEX((係数_乗用_ガソリン,係数_乗用_CNG,係数_乗用_軽油,係数_乗用_メタノール,係数_乗用_LPG),125,5,BE1011),4,FALSE)))))</f>
        <v/>
      </c>
      <c r="AL1011" s="461" t="str">
        <f t="shared" si="577"/>
        <v/>
      </c>
      <c r="AM1011" s="460" t="str">
        <f>IF(AU1011="","",IF(OR(AZ1011=8,AZ1011=9),0,IF(OR(AW1011=3,AW1011=4,AW1011=5,AW1011=6),IF(LEFT(BH1011,1)="1",INDEX(係数_PM低減,MATCH(AY1011,【参考】排出係数!$AI$801:$AI$804,1),MATCH(BI1011,【参考】排出係数!$AL$798:$AO$798,1)),VLOOKUP(AU1011,INDEX((係数_バス貨物_ガソリン,係数_バス貨物_CNG,係数_バス貨物_軽油,係数_バス貨物_メタノール,係数_バス貨物_LPG),MATCH(AY1011,【参考】排出係数!$AI$4:$AI$671,1),1,BE1011):INDEX((係数_バス貨物_ガソリン,係数_バス貨物_CNG,係数_バス貨物_軽油,係数_バス貨物_メタノール,係数_バス貨物_LPG),MATCH(AY1011+1,【参考】排出係数!$AI$4:$AI$671,1)-1,5,BE1011),5,FALSE)),IF(AND(BE1011=3,LEFT(BF1011,1)="1"),0.055,VLOOKUP(AU1011,INDEX((係数_乗用_ガソリン,係数_乗用_CNG,係数_乗用_軽油,係数_乗用_メタノール,係数_乗用_LPG),1,1,BE1011):INDEX((係数_乗用_ガソリン,係数_乗用_CNG,係数_乗用_軽油,係数_乗用_メタノール,係数_乗用_LPG),125,5,BE1011),5,FALSE)))))</f>
        <v/>
      </c>
      <c r="AN1011" s="461" t="str">
        <f t="shared" si="578"/>
        <v/>
      </c>
      <c r="AO1011" s="462" t="str">
        <f t="shared" si="579"/>
        <v/>
      </c>
      <c r="AP1011" s="463" t="str">
        <f t="shared" si="580"/>
        <v/>
      </c>
      <c r="AQ1011" s="464"/>
      <c r="AR1011" s="619"/>
      <c r="AS1011" s="465" t="str">
        <f t="shared" si="550"/>
        <v/>
      </c>
      <c r="AT1011" s="465" t="str">
        <f t="shared" si="551"/>
        <v/>
      </c>
      <c r="AU1011" s="466" t="str">
        <f t="shared" si="552"/>
        <v/>
      </c>
      <c r="AV1011" s="467" t="str">
        <f t="shared" si="553"/>
        <v/>
      </c>
      <c r="AW1011" s="467" t="str">
        <f t="shared" si="554"/>
        <v/>
      </c>
      <c r="AX1011" s="467" t="str">
        <f t="shared" si="555"/>
        <v/>
      </c>
      <c r="AY1011" s="467" t="str">
        <f t="shared" si="556"/>
        <v/>
      </c>
      <c r="AZ1011" s="467" t="str">
        <f t="shared" si="557"/>
        <v/>
      </c>
      <c r="BA1011" s="468" t="str">
        <f>IF(AS1011="","",IF(OR(AU1011="",AU1011="-"),"－",IF(OR(AZ1011=8,AZ1011=9),"",IF(OR(AW1011=3,AW1011=4,AW1011=5,AW1011=6),VLOOKUP(AU1011,INDEX((係数_バス貨物_ガソリン,係数_バス貨物_CNG,係数_バス貨物_軽油,係数_バス貨物_メタノール,係数_バス貨物_LPG),MATCH(AY1011,【参考】排出係数!$AI$4:$AI$671,1),1,BE1011):INDEX((係数_バス貨物_ガソリン,係数_バス貨物_CNG,係数_バス貨物_軽油,係数_バス貨物_メタノール,係数_バス貨物_LPG),MATCH(AY1011+1,【参考】排出係数!$AI$4:$AI$671,1)-1,5,BE1011),2,FALSE),IF(OR(AW1011=1,AW1011=2),VLOOKUP(AU1011,INDEX((係数_乗用_ガソリン,係数_乗用_CNG,係数_乗用_軽油,係数_乗用_メタノール,係数_乗用_LPG),1,1,BE1011):INDEX((係数_乗用_ガソリン,係数_乗用_CNG,係数_乗用_軽油,係数_乗用_メタノール,係数_乗用_LPG),125,5,BE1011),2,FALSE))))))</f>
        <v/>
      </c>
      <c r="BB1011" s="468" t="str">
        <f>IF(T1011="","",IF(OR(AU1011="",AU1011="-"),"－",IF(OR(AZ1011=8,AZ1011=9),"",IF(OR(AW1011=3,AW1011=4,AW1011=5,AW1011=6),VLOOKUP(AU1011,INDEX((係数_バス貨物_ガソリン,係数_バス貨物_CNG,係数_バス貨物_軽油,係数_バス貨物_メタノール,係数_バス貨物_LPG),MATCH(AY1011,【参考】排出係数!$AI$4:$AI$671,1),1,BE1011):INDEX((係数_バス貨物_ガソリン,係数_バス貨物_CNG,係数_バス貨物_軽油,係数_バス貨物_メタノール,係数_バス貨物_LPG),MATCH(AY1011+1,【参考】排出係数!$AI$4:$AI$671,1)-1,5,BE1011),3,FALSE),IF(OR(AW1011=1,AW1011=2),VLOOKUP(AU1011,INDEX((係数_乗用_ガソリン,係数_乗用_CNG,係数_乗用_軽油,係数_乗用_メタノール,係数_乗用_LPG),1,1,BE1011):INDEX((係数_乗用_ガソリン,係数_乗用_CNG,係数_乗用_軽油,係数_乗用_メタノール,係数_乗用_LPG),125,5,BE1011),3,FALSE))))))</f>
        <v/>
      </c>
      <c r="BC1011" s="467" t="str">
        <f t="shared" si="558"/>
        <v/>
      </c>
      <c r="BD1011" s="567" t="str">
        <f t="shared" si="559"/>
        <v/>
      </c>
      <c r="BE1011" s="467" t="str">
        <f t="shared" si="560"/>
        <v/>
      </c>
      <c r="BF1011" s="469" t="str">
        <f t="shared" ca="1" si="561"/>
        <v/>
      </c>
      <c r="BG1011" s="469" t="str">
        <f t="shared" ca="1" si="562"/>
        <v/>
      </c>
      <c r="BH1011" s="467" t="str">
        <f t="shared" si="563"/>
        <v/>
      </c>
      <c r="BI1011" s="467" t="str">
        <f t="shared" ca="1" si="564"/>
        <v/>
      </c>
      <c r="BJ1011" s="469" t="str">
        <f t="shared" si="565"/>
        <v/>
      </c>
      <c r="BK1011" s="470" t="str">
        <f t="shared" si="549"/>
        <v/>
      </c>
      <c r="BL1011" s="775" t="str">
        <f t="shared" si="566"/>
        <v/>
      </c>
      <c r="BM1011" s="775" t="str">
        <f t="shared" si="567"/>
        <v/>
      </c>
    </row>
    <row r="1012" spans="1:65">
      <c r="A1012" s="473">
        <v>956</v>
      </c>
      <c r="B1012" s="132"/>
      <c r="C1012" s="332"/>
      <c r="D1012" s="333"/>
      <c r="E1012" s="333"/>
      <c r="F1012" s="334"/>
      <c r="G1012" s="337"/>
      <c r="H1012" s="131"/>
      <c r="I1012" s="337"/>
      <c r="J1012" s="131"/>
      <c r="K1012" s="458" t="str">
        <f t="shared" si="568"/>
        <v/>
      </c>
      <c r="L1012" s="458">
        <f t="shared" si="569"/>
        <v>0</v>
      </c>
      <c r="M1012" s="458">
        <f t="shared" si="570"/>
        <v>0</v>
      </c>
      <c r="N1012" s="459" t="str">
        <f t="shared" si="543"/>
        <v/>
      </c>
      <c r="O1012" s="459" t="str">
        <f t="shared" si="544"/>
        <v/>
      </c>
      <c r="P1012" s="459" t="str">
        <f t="shared" si="545"/>
        <v/>
      </c>
      <c r="Q1012" s="459" t="str">
        <f t="shared" si="546"/>
        <v/>
      </c>
      <c r="R1012" s="459" t="str">
        <f t="shared" si="547"/>
        <v/>
      </c>
      <c r="S1012" s="459" t="str">
        <f t="shared" si="548"/>
        <v/>
      </c>
      <c r="T1012" s="566" t="str">
        <f t="shared" si="571"/>
        <v/>
      </c>
      <c r="U1012" s="702"/>
      <c r="V1012" s="132"/>
      <c r="W1012" s="133"/>
      <c r="X1012" s="134"/>
      <c r="Y1012" s="135"/>
      <c r="Z1012" s="137"/>
      <c r="AA1012" s="136"/>
      <c r="AB1012" s="566" t="str">
        <f t="shared" si="572"/>
        <v/>
      </c>
      <c r="AC1012" s="568" t="str">
        <f t="shared" si="573"/>
        <v/>
      </c>
      <c r="AD1012" s="137"/>
      <c r="AE1012" s="137"/>
      <c r="AF1012" s="138"/>
      <c r="AG1012" s="138"/>
      <c r="AH1012" s="592" t="str">
        <f t="shared" si="574"/>
        <v/>
      </c>
      <c r="AI1012" s="592" t="str">
        <f t="shared" si="575"/>
        <v/>
      </c>
      <c r="AJ1012" s="592" t="str">
        <f t="shared" si="576"/>
        <v/>
      </c>
      <c r="AK1012" s="460" t="str">
        <f>IF(AU1012="","",IF(OR(AZ1012=8,AZ1012=9),0,IF(OR(AW1012=3,AW1012=4,AW1012=5,AW1012=6),IF(LEFT(BF1012,1)="1",INDEX(係数_NOX・PM低減,MATCH(AY1012,【参考】排出係数!$AI$801:$AI$804,1),1),VLOOKUP(AU1012,INDEX((係数_バス貨物_ガソリン,係数_バス貨物_CNG,係数_バス貨物_軽油,係数_バス貨物_メタノール,係数_バス貨物_LPG),MATCH(AY1012,【参考】排出係数!$AI$4:$AI$671,1),1,BE1012):INDEX((係数_バス貨物_ガソリン,係数_バス貨物_CNG,係数_バス貨物_軽油,係数_バス貨物_メタノール,係数_バス貨物_LPG),MATCH(AY1012+1,【参考】排出係数!$AI$4:$AI$671,1)-1,5,BE1012),4,FALSE)),IF(AND(BE1012=3,LEFT(BF1012,1)="1"),0.48,VLOOKUP(AU1012,INDEX((係数_乗用_ガソリン,係数_乗用_CNG,係数_乗用_軽油,係数_乗用_メタノール,係数_乗用_LPG),1,1,BE1012):INDEX((係数_乗用_ガソリン,係数_乗用_CNG,係数_乗用_軽油,係数_乗用_メタノール,係数_乗用_LPG),125,5,BE1012),4,FALSE)))))</f>
        <v/>
      </c>
      <c r="AL1012" s="461" t="str">
        <f t="shared" si="577"/>
        <v/>
      </c>
      <c r="AM1012" s="460" t="str">
        <f>IF(AU1012="","",IF(OR(AZ1012=8,AZ1012=9),0,IF(OR(AW1012=3,AW1012=4,AW1012=5,AW1012=6),IF(LEFT(BH1012,1)="1",INDEX(係数_PM低減,MATCH(AY1012,【参考】排出係数!$AI$801:$AI$804,1),MATCH(BI1012,【参考】排出係数!$AL$798:$AO$798,1)),VLOOKUP(AU1012,INDEX((係数_バス貨物_ガソリン,係数_バス貨物_CNG,係数_バス貨物_軽油,係数_バス貨物_メタノール,係数_バス貨物_LPG),MATCH(AY1012,【参考】排出係数!$AI$4:$AI$671,1),1,BE1012):INDEX((係数_バス貨物_ガソリン,係数_バス貨物_CNG,係数_バス貨物_軽油,係数_バス貨物_メタノール,係数_バス貨物_LPG),MATCH(AY1012+1,【参考】排出係数!$AI$4:$AI$671,1)-1,5,BE1012),5,FALSE)),IF(AND(BE1012=3,LEFT(BF1012,1)="1"),0.055,VLOOKUP(AU1012,INDEX((係数_乗用_ガソリン,係数_乗用_CNG,係数_乗用_軽油,係数_乗用_メタノール,係数_乗用_LPG),1,1,BE1012):INDEX((係数_乗用_ガソリン,係数_乗用_CNG,係数_乗用_軽油,係数_乗用_メタノール,係数_乗用_LPG),125,5,BE1012),5,FALSE)))))</f>
        <v/>
      </c>
      <c r="AN1012" s="461" t="str">
        <f t="shared" si="578"/>
        <v/>
      </c>
      <c r="AO1012" s="462" t="str">
        <f t="shared" si="579"/>
        <v/>
      </c>
      <c r="AP1012" s="463" t="str">
        <f t="shared" si="580"/>
        <v/>
      </c>
      <c r="AQ1012" s="464"/>
      <c r="AR1012" s="619"/>
      <c r="AS1012" s="465" t="str">
        <f t="shared" si="550"/>
        <v/>
      </c>
      <c r="AT1012" s="465" t="str">
        <f t="shared" si="551"/>
        <v/>
      </c>
      <c r="AU1012" s="466" t="str">
        <f t="shared" si="552"/>
        <v/>
      </c>
      <c r="AV1012" s="467" t="str">
        <f t="shared" si="553"/>
        <v/>
      </c>
      <c r="AW1012" s="467" t="str">
        <f t="shared" si="554"/>
        <v/>
      </c>
      <c r="AX1012" s="467" t="str">
        <f t="shared" si="555"/>
        <v/>
      </c>
      <c r="AY1012" s="467" t="str">
        <f t="shared" si="556"/>
        <v/>
      </c>
      <c r="AZ1012" s="467" t="str">
        <f t="shared" si="557"/>
        <v/>
      </c>
      <c r="BA1012" s="468" t="str">
        <f>IF(AS1012="","",IF(OR(AU1012="",AU1012="-"),"－",IF(OR(AZ1012=8,AZ1012=9),"",IF(OR(AW1012=3,AW1012=4,AW1012=5,AW1012=6),VLOOKUP(AU1012,INDEX((係数_バス貨物_ガソリン,係数_バス貨物_CNG,係数_バス貨物_軽油,係数_バス貨物_メタノール,係数_バス貨物_LPG),MATCH(AY1012,【参考】排出係数!$AI$4:$AI$671,1),1,BE1012):INDEX((係数_バス貨物_ガソリン,係数_バス貨物_CNG,係数_バス貨物_軽油,係数_バス貨物_メタノール,係数_バス貨物_LPG),MATCH(AY1012+1,【参考】排出係数!$AI$4:$AI$671,1)-1,5,BE1012),2,FALSE),IF(OR(AW1012=1,AW1012=2),VLOOKUP(AU1012,INDEX((係数_乗用_ガソリン,係数_乗用_CNG,係数_乗用_軽油,係数_乗用_メタノール,係数_乗用_LPG),1,1,BE1012):INDEX((係数_乗用_ガソリン,係数_乗用_CNG,係数_乗用_軽油,係数_乗用_メタノール,係数_乗用_LPG),125,5,BE1012),2,FALSE))))))</f>
        <v/>
      </c>
      <c r="BB1012" s="468" t="str">
        <f>IF(T1012="","",IF(OR(AU1012="",AU1012="-"),"－",IF(OR(AZ1012=8,AZ1012=9),"",IF(OR(AW1012=3,AW1012=4,AW1012=5,AW1012=6),VLOOKUP(AU1012,INDEX((係数_バス貨物_ガソリン,係数_バス貨物_CNG,係数_バス貨物_軽油,係数_バス貨物_メタノール,係数_バス貨物_LPG),MATCH(AY1012,【参考】排出係数!$AI$4:$AI$671,1),1,BE1012):INDEX((係数_バス貨物_ガソリン,係数_バス貨物_CNG,係数_バス貨物_軽油,係数_バス貨物_メタノール,係数_バス貨物_LPG),MATCH(AY1012+1,【参考】排出係数!$AI$4:$AI$671,1)-1,5,BE1012),3,FALSE),IF(OR(AW1012=1,AW1012=2),VLOOKUP(AU1012,INDEX((係数_乗用_ガソリン,係数_乗用_CNG,係数_乗用_軽油,係数_乗用_メタノール,係数_乗用_LPG),1,1,BE1012):INDEX((係数_乗用_ガソリン,係数_乗用_CNG,係数_乗用_軽油,係数_乗用_メタノール,係数_乗用_LPG),125,5,BE1012),3,FALSE))))))</f>
        <v/>
      </c>
      <c r="BC1012" s="467" t="str">
        <f t="shared" si="558"/>
        <v/>
      </c>
      <c r="BD1012" s="567" t="str">
        <f t="shared" si="559"/>
        <v/>
      </c>
      <c r="BE1012" s="467" t="str">
        <f t="shared" si="560"/>
        <v/>
      </c>
      <c r="BF1012" s="469" t="str">
        <f t="shared" ca="1" si="561"/>
        <v/>
      </c>
      <c r="BG1012" s="469" t="str">
        <f t="shared" ca="1" si="562"/>
        <v/>
      </c>
      <c r="BH1012" s="467" t="str">
        <f t="shared" si="563"/>
        <v/>
      </c>
      <c r="BI1012" s="467" t="str">
        <f t="shared" ca="1" si="564"/>
        <v/>
      </c>
      <c r="BJ1012" s="469" t="str">
        <f t="shared" si="565"/>
        <v/>
      </c>
      <c r="BK1012" s="470" t="str">
        <f t="shared" si="549"/>
        <v/>
      </c>
      <c r="BL1012" s="775" t="str">
        <f t="shared" si="566"/>
        <v/>
      </c>
      <c r="BM1012" s="775" t="str">
        <f t="shared" si="567"/>
        <v/>
      </c>
    </row>
    <row r="1013" spans="1:65">
      <c r="A1013" s="473">
        <v>957</v>
      </c>
      <c r="B1013" s="132"/>
      <c r="C1013" s="332"/>
      <c r="D1013" s="333"/>
      <c r="E1013" s="333"/>
      <c r="F1013" s="334"/>
      <c r="G1013" s="337"/>
      <c r="H1013" s="131"/>
      <c r="I1013" s="337"/>
      <c r="J1013" s="131"/>
      <c r="K1013" s="458" t="str">
        <f t="shared" si="568"/>
        <v/>
      </c>
      <c r="L1013" s="458">
        <f t="shared" si="569"/>
        <v>0</v>
      </c>
      <c r="M1013" s="458">
        <f t="shared" si="570"/>
        <v>0</v>
      </c>
      <c r="N1013" s="459" t="str">
        <f t="shared" si="543"/>
        <v/>
      </c>
      <c r="O1013" s="459" t="str">
        <f t="shared" si="544"/>
        <v/>
      </c>
      <c r="P1013" s="459" t="str">
        <f t="shared" si="545"/>
        <v/>
      </c>
      <c r="Q1013" s="459" t="str">
        <f t="shared" si="546"/>
        <v/>
      </c>
      <c r="R1013" s="459" t="str">
        <f t="shared" si="547"/>
        <v/>
      </c>
      <c r="S1013" s="459" t="str">
        <f t="shared" si="548"/>
        <v/>
      </c>
      <c r="T1013" s="566" t="str">
        <f t="shared" si="571"/>
        <v/>
      </c>
      <c r="U1013" s="702"/>
      <c r="V1013" s="132"/>
      <c r="W1013" s="133"/>
      <c r="X1013" s="134"/>
      <c r="Y1013" s="135"/>
      <c r="Z1013" s="137"/>
      <c r="AA1013" s="136"/>
      <c r="AB1013" s="566" t="str">
        <f t="shared" si="572"/>
        <v/>
      </c>
      <c r="AC1013" s="568" t="str">
        <f t="shared" si="573"/>
        <v/>
      </c>
      <c r="AD1013" s="137"/>
      <c r="AE1013" s="137"/>
      <c r="AF1013" s="138"/>
      <c r="AG1013" s="138"/>
      <c r="AH1013" s="592" t="str">
        <f t="shared" si="574"/>
        <v/>
      </c>
      <c r="AI1013" s="592" t="str">
        <f t="shared" si="575"/>
        <v/>
      </c>
      <c r="AJ1013" s="592" t="str">
        <f t="shared" si="576"/>
        <v/>
      </c>
      <c r="AK1013" s="460" t="str">
        <f>IF(AU1013="","",IF(OR(AZ1013=8,AZ1013=9),0,IF(OR(AW1013=3,AW1013=4,AW1013=5,AW1013=6),IF(LEFT(BF1013,1)="1",INDEX(係数_NOX・PM低減,MATCH(AY1013,【参考】排出係数!$AI$801:$AI$804,1),1),VLOOKUP(AU1013,INDEX((係数_バス貨物_ガソリン,係数_バス貨物_CNG,係数_バス貨物_軽油,係数_バス貨物_メタノール,係数_バス貨物_LPG),MATCH(AY1013,【参考】排出係数!$AI$4:$AI$671,1),1,BE1013):INDEX((係数_バス貨物_ガソリン,係数_バス貨物_CNG,係数_バス貨物_軽油,係数_バス貨物_メタノール,係数_バス貨物_LPG),MATCH(AY1013+1,【参考】排出係数!$AI$4:$AI$671,1)-1,5,BE1013),4,FALSE)),IF(AND(BE1013=3,LEFT(BF1013,1)="1"),0.48,VLOOKUP(AU1013,INDEX((係数_乗用_ガソリン,係数_乗用_CNG,係数_乗用_軽油,係数_乗用_メタノール,係数_乗用_LPG),1,1,BE1013):INDEX((係数_乗用_ガソリン,係数_乗用_CNG,係数_乗用_軽油,係数_乗用_メタノール,係数_乗用_LPG),125,5,BE1013),4,FALSE)))))</f>
        <v/>
      </c>
      <c r="AL1013" s="461" t="str">
        <f t="shared" si="577"/>
        <v/>
      </c>
      <c r="AM1013" s="460" t="str">
        <f>IF(AU1013="","",IF(OR(AZ1013=8,AZ1013=9),0,IF(OR(AW1013=3,AW1013=4,AW1013=5,AW1013=6),IF(LEFT(BH1013,1)="1",INDEX(係数_PM低減,MATCH(AY1013,【参考】排出係数!$AI$801:$AI$804,1),MATCH(BI1013,【参考】排出係数!$AL$798:$AO$798,1)),VLOOKUP(AU1013,INDEX((係数_バス貨物_ガソリン,係数_バス貨物_CNG,係数_バス貨物_軽油,係数_バス貨物_メタノール,係数_バス貨物_LPG),MATCH(AY1013,【参考】排出係数!$AI$4:$AI$671,1),1,BE1013):INDEX((係数_バス貨物_ガソリン,係数_バス貨物_CNG,係数_バス貨物_軽油,係数_バス貨物_メタノール,係数_バス貨物_LPG),MATCH(AY1013+1,【参考】排出係数!$AI$4:$AI$671,1)-1,5,BE1013),5,FALSE)),IF(AND(BE1013=3,LEFT(BF1013,1)="1"),0.055,VLOOKUP(AU1013,INDEX((係数_乗用_ガソリン,係数_乗用_CNG,係数_乗用_軽油,係数_乗用_メタノール,係数_乗用_LPG),1,1,BE1013):INDEX((係数_乗用_ガソリン,係数_乗用_CNG,係数_乗用_軽油,係数_乗用_メタノール,係数_乗用_LPG),125,5,BE1013),5,FALSE)))))</f>
        <v/>
      </c>
      <c r="AN1013" s="461" t="str">
        <f t="shared" si="578"/>
        <v/>
      </c>
      <c r="AO1013" s="462" t="str">
        <f t="shared" si="579"/>
        <v/>
      </c>
      <c r="AP1013" s="463" t="str">
        <f t="shared" si="580"/>
        <v/>
      </c>
      <c r="AQ1013" s="464"/>
      <c r="AR1013" s="619"/>
      <c r="AS1013" s="465" t="str">
        <f t="shared" si="550"/>
        <v/>
      </c>
      <c r="AT1013" s="465" t="str">
        <f t="shared" si="551"/>
        <v/>
      </c>
      <c r="AU1013" s="466" t="str">
        <f t="shared" si="552"/>
        <v/>
      </c>
      <c r="AV1013" s="467" t="str">
        <f t="shared" si="553"/>
        <v/>
      </c>
      <c r="AW1013" s="467" t="str">
        <f t="shared" si="554"/>
        <v/>
      </c>
      <c r="AX1013" s="467" t="str">
        <f t="shared" si="555"/>
        <v/>
      </c>
      <c r="AY1013" s="467" t="str">
        <f t="shared" si="556"/>
        <v/>
      </c>
      <c r="AZ1013" s="467" t="str">
        <f t="shared" si="557"/>
        <v/>
      </c>
      <c r="BA1013" s="468" t="str">
        <f>IF(AS1013="","",IF(OR(AU1013="",AU1013="-"),"－",IF(OR(AZ1013=8,AZ1013=9),"",IF(OR(AW1013=3,AW1013=4,AW1013=5,AW1013=6),VLOOKUP(AU1013,INDEX((係数_バス貨物_ガソリン,係数_バス貨物_CNG,係数_バス貨物_軽油,係数_バス貨物_メタノール,係数_バス貨物_LPG),MATCH(AY1013,【参考】排出係数!$AI$4:$AI$671,1),1,BE1013):INDEX((係数_バス貨物_ガソリン,係数_バス貨物_CNG,係数_バス貨物_軽油,係数_バス貨物_メタノール,係数_バス貨物_LPG),MATCH(AY1013+1,【参考】排出係数!$AI$4:$AI$671,1)-1,5,BE1013),2,FALSE),IF(OR(AW1013=1,AW1013=2),VLOOKUP(AU1013,INDEX((係数_乗用_ガソリン,係数_乗用_CNG,係数_乗用_軽油,係数_乗用_メタノール,係数_乗用_LPG),1,1,BE1013):INDEX((係数_乗用_ガソリン,係数_乗用_CNG,係数_乗用_軽油,係数_乗用_メタノール,係数_乗用_LPG),125,5,BE1013),2,FALSE))))))</f>
        <v/>
      </c>
      <c r="BB1013" s="468" t="str">
        <f>IF(T1013="","",IF(OR(AU1013="",AU1013="-"),"－",IF(OR(AZ1013=8,AZ1013=9),"",IF(OR(AW1013=3,AW1013=4,AW1013=5,AW1013=6),VLOOKUP(AU1013,INDEX((係数_バス貨物_ガソリン,係数_バス貨物_CNG,係数_バス貨物_軽油,係数_バス貨物_メタノール,係数_バス貨物_LPG),MATCH(AY1013,【参考】排出係数!$AI$4:$AI$671,1),1,BE1013):INDEX((係数_バス貨物_ガソリン,係数_バス貨物_CNG,係数_バス貨物_軽油,係数_バス貨物_メタノール,係数_バス貨物_LPG),MATCH(AY1013+1,【参考】排出係数!$AI$4:$AI$671,1)-1,5,BE1013),3,FALSE),IF(OR(AW1013=1,AW1013=2),VLOOKUP(AU1013,INDEX((係数_乗用_ガソリン,係数_乗用_CNG,係数_乗用_軽油,係数_乗用_メタノール,係数_乗用_LPG),1,1,BE1013):INDEX((係数_乗用_ガソリン,係数_乗用_CNG,係数_乗用_軽油,係数_乗用_メタノール,係数_乗用_LPG),125,5,BE1013),3,FALSE))))))</f>
        <v/>
      </c>
      <c r="BC1013" s="467" t="str">
        <f t="shared" si="558"/>
        <v/>
      </c>
      <c r="BD1013" s="567" t="str">
        <f t="shared" si="559"/>
        <v/>
      </c>
      <c r="BE1013" s="467" t="str">
        <f t="shared" si="560"/>
        <v/>
      </c>
      <c r="BF1013" s="469" t="str">
        <f t="shared" ca="1" si="561"/>
        <v/>
      </c>
      <c r="BG1013" s="469" t="str">
        <f t="shared" ca="1" si="562"/>
        <v/>
      </c>
      <c r="BH1013" s="467" t="str">
        <f t="shared" si="563"/>
        <v/>
      </c>
      <c r="BI1013" s="467" t="str">
        <f t="shared" ca="1" si="564"/>
        <v/>
      </c>
      <c r="BJ1013" s="469" t="str">
        <f t="shared" si="565"/>
        <v/>
      </c>
      <c r="BK1013" s="470" t="str">
        <f t="shared" si="549"/>
        <v/>
      </c>
      <c r="BL1013" s="775" t="str">
        <f t="shared" si="566"/>
        <v/>
      </c>
      <c r="BM1013" s="775" t="str">
        <f t="shared" si="567"/>
        <v/>
      </c>
    </row>
    <row r="1014" spans="1:65">
      <c r="A1014" s="473">
        <v>958</v>
      </c>
      <c r="B1014" s="132"/>
      <c r="C1014" s="332"/>
      <c r="D1014" s="333"/>
      <c r="E1014" s="333"/>
      <c r="F1014" s="334"/>
      <c r="G1014" s="337"/>
      <c r="H1014" s="131"/>
      <c r="I1014" s="337"/>
      <c r="J1014" s="131"/>
      <c r="K1014" s="458" t="str">
        <f t="shared" si="568"/>
        <v/>
      </c>
      <c r="L1014" s="458">
        <f t="shared" si="569"/>
        <v>0</v>
      </c>
      <c r="M1014" s="458">
        <f t="shared" si="570"/>
        <v>0</v>
      </c>
      <c r="N1014" s="459" t="str">
        <f t="shared" si="543"/>
        <v/>
      </c>
      <c r="O1014" s="459" t="str">
        <f t="shared" si="544"/>
        <v/>
      </c>
      <c r="P1014" s="459" t="str">
        <f t="shared" si="545"/>
        <v/>
      </c>
      <c r="Q1014" s="459" t="str">
        <f t="shared" si="546"/>
        <v/>
      </c>
      <c r="R1014" s="459" t="str">
        <f t="shared" si="547"/>
        <v/>
      </c>
      <c r="S1014" s="459" t="str">
        <f t="shared" si="548"/>
        <v/>
      </c>
      <c r="T1014" s="566" t="str">
        <f t="shared" si="571"/>
        <v/>
      </c>
      <c r="U1014" s="702"/>
      <c r="V1014" s="132"/>
      <c r="W1014" s="133"/>
      <c r="X1014" s="134"/>
      <c r="Y1014" s="135"/>
      <c r="Z1014" s="137"/>
      <c r="AA1014" s="136"/>
      <c r="AB1014" s="566" t="str">
        <f t="shared" si="572"/>
        <v/>
      </c>
      <c r="AC1014" s="568" t="str">
        <f t="shared" si="573"/>
        <v/>
      </c>
      <c r="AD1014" s="137"/>
      <c r="AE1014" s="137"/>
      <c r="AF1014" s="138"/>
      <c r="AG1014" s="138"/>
      <c r="AH1014" s="592" t="str">
        <f t="shared" si="574"/>
        <v/>
      </c>
      <c r="AI1014" s="592" t="str">
        <f t="shared" si="575"/>
        <v/>
      </c>
      <c r="AJ1014" s="592" t="str">
        <f t="shared" si="576"/>
        <v/>
      </c>
      <c r="AK1014" s="460" t="str">
        <f>IF(AU1014="","",IF(OR(AZ1014=8,AZ1014=9),0,IF(OR(AW1014=3,AW1014=4,AW1014=5,AW1014=6),IF(LEFT(BF1014,1)="1",INDEX(係数_NOX・PM低減,MATCH(AY1014,【参考】排出係数!$AI$801:$AI$804,1),1),VLOOKUP(AU1014,INDEX((係数_バス貨物_ガソリン,係数_バス貨物_CNG,係数_バス貨物_軽油,係数_バス貨物_メタノール,係数_バス貨物_LPG),MATCH(AY1014,【参考】排出係数!$AI$4:$AI$671,1),1,BE1014):INDEX((係数_バス貨物_ガソリン,係数_バス貨物_CNG,係数_バス貨物_軽油,係数_バス貨物_メタノール,係数_バス貨物_LPG),MATCH(AY1014+1,【参考】排出係数!$AI$4:$AI$671,1)-1,5,BE1014),4,FALSE)),IF(AND(BE1014=3,LEFT(BF1014,1)="1"),0.48,VLOOKUP(AU1014,INDEX((係数_乗用_ガソリン,係数_乗用_CNG,係数_乗用_軽油,係数_乗用_メタノール,係数_乗用_LPG),1,1,BE1014):INDEX((係数_乗用_ガソリン,係数_乗用_CNG,係数_乗用_軽油,係数_乗用_メタノール,係数_乗用_LPG),125,5,BE1014),4,FALSE)))))</f>
        <v/>
      </c>
      <c r="AL1014" s="461" t="str">
        <f t="shared" si="577"/>
        <v/>
      </c>
      <c r="AM1014" s="460" t="str">
        <f>IF(AU1014="","",IF(OR(AZ1014=8,AZ1014=9),0,IF(OR(AW1014=3,AW1014=4,AW1014=5,AW1014=6),IF(LEFT(BH1014,1)="1",INDEX(係数_PM低減,MATCH(AY1014,【参考】排出係数!$AI$801:$AI$804,1),MATCH(BI1014,【参考】排出係数!$AL$798:$AO$798,1)),VLOOKUP(AU1014,INDEX((係数_バス貨物_ガソリン,係数_バス貨物_CNG,係数_バス貨物_軽油,係数_バス貨物_メタノール,係数_バス貨物_LPG),MATCH(AY1014,【参考】排出係数!$AI$4:$AI$671,1),1,BE1014):INDEX((係数_バス貨物_ガソリン,係数_バス貨物_CNG,係数_バス貨物_軽油,係数_バス貨物_メタノール,係数_バス貨物_LPG),MATCH(AY1014+1,【参考】排出係数!$AI$4:$AI$671,1)-1,5,BE1014),5,FALSE)),IF(AND(BE1014=3,LEFT(BF1014,1)="1"),0.055,VLOOKUP(AU1014,INDEX((係数_乗用_ガソリン,係数_乗用_CNG,係数_乗用_軽油,係数_乗用_メタノール,係数_乗用_LPG),1,1,BE1014):INDEX((係数_乗用_ガソリン,係数_乗用_CNG,係数_乗用_軽油,係数_乗用_メタノール,係数_乗用_LPG),125,5,BE1014),5,FALSE)))))</f>
        <v/>
      </c>
      <c r="AN1014" s="461" t="str">
        <f t="shared" si="578"/>
        <v/>
      </c>
      <c r="AO1014" s="462" t="str">
        <f t="shared" si="579"/>
        <v/>
      </c>
      <c r="AP1014" s="463" t="str">
        <f t="shared" si="580"/>
        <v/>
      </c>
      <c r="AQ1014" s="464"/>
      <c r="AR1014" s="619"/>
      <c r="AS1014" s="465" t="str">
        <f t="shared" si="550"/>
        <v/>
      </c>
      <c r="AT1014" s="465" t="str">
        <f t="shared" si="551"/>
        <v/>
      </c>
      <c r="AU1014" s="466" t="str">
        <f t="shared" si="552"/>
        <v/>
      </c>
      <c r="AV1014" s="467" t="str">
        <f t="shared" si="553"/>
        <v/>
      </c>
      <c r="AW1014" s="467" t="str">
        <f t="shared" si="554"/>
        <v/>
      </c>
      <c r="AX1014" s="467" t="str">
        <f t="shared" si="555"/>
        <v/>
      </c>
      <c r="AY1014" s="467" t="str">
        <f t="shared" si="556"/>
        <v/>
      </c>
      <c r="AZ1014" s="467" t="str">
        <f t="shared" si="557"/>
        <v/>
      </c>
      <c r="BA1014" s="468" t="str">
        <f>IF(AS1014="","",IF(OR(AU1014="",AU1014="-"),"－",IF(OR(AZ1014=8,AZ1014=9),"",IF(OR(AW1014=3,AW1014=4,AW1014=5,AW1014=6),VLOOKUP(AU1014,INDEX((係数_バス貨物_ガソリン,係数_バス貨物_CNG,係数_バス貨物_軽油,係数_バス貨物_メタノール,係数_バス貨物_LPG),MATCH(AY1014,【参考】排出係数!$AI$4:$AI$671,1),1,BE1014):INDEX((係数_バス貨物_ガソリン,係数_バス貨物_CNG,係数_バス貨物_軽油,係数_バス貨物_メタノール,係数_バス貨物_LPG),MATCH(AY1014+1,【参考】排出係数!$AI$4:$AI$671,1)-1,5,BE1014),2,FALSE),IF(OR(AW1014=1,AW1014=2),VLOOKUP(AU1014,INDEX((係数_乗用_ガソリン,係数_乗用_CNG,係数_乗用_軽油,係数_乗用_メタノール,係数_乗用_LPG),1,1,BE1014):INDEX((係数_乗用_ガソリン,係数_乗用_CNG,係数_乗用_軽油,係数_乗用_メタノール,係数_乗用_LPG),125,5,BE1014),2,FALSE))))))</f>
        <v/>
      </c>
      <c r="BB1014" s="468" t="str">
        <f>IF(T1014="","",IF(OR(AU1014="",AU1014="-"),"－",IF(OR(AZ1014=8,AZ1014=9),"",IF(OR(AW1014=3,AW1014=4,AW1014=5,AW1014=6),VLOOKUP(AU1014,INDEX((係数_バス貨物_ガソリン,係数_バス貨物_CNG,係数_バス貨物_軽油,係数_バス貨物_メタノール,係数_バス貨物_LPG),MATCH(AY1014,【参考】排出係数!$AI$4:$AI$671,1),1,BE1014):INDEX((係数_バス貨物_ガソリン,係数_バス貨物_CNG,係数_バス貨物_軽油,係数_バス貨物_メタノール,係数_バス貨物_LPG),MATCH(AY1014+1,【参考】排出係数!$AI$4:$AI$671,1)-1,5,BE1014),3,FALSE),IF(OR(AW1014=1,AW1014=2),VLOOKUP(AU1014,INDEX((係数_乗用_ガソリン,係数_乗用_CNG,係数_乗用_軽油,係数_乗用_メタノール,係数_乗用_LPG),1,1,BE1014):INDEX((係数_乗用_ガソリン,係数_乗用_CNG,係数_乗用_軽油,係数_乗用_メタノール,係数_乗用_LPG),125,5,BE1014),3,FALSE))))))</f>
        <v/>
      </c>
      <c r="BC1014" s="467" t="str">
        <f t="shared" si="558"/>
        <v/>
      </c>
      <c r="BD1014" s="567" t="str">
        <f t="shared" si="559"/>
        <v/>
      </c>
      <c r="BE1014" s="467" t="str">
        <f t="shared" si="560"/>
        <v/>
      </c>
      <c r="BF1014" s="469" t="str">
        <f t="shared" ca="1" si="561"/>
        <v/>
      </c>
      <c r="BG1014" s="469" t="str">
        <f t="shared" ca="1" si="562"/>
        <v/>
      </c>
      <c r="BH1014" s="467" t="str">
        <f t="shared" si="563"/>
        <v/>
      </c>
      <c r="BI1014" s="467" t="str">
        <f t="shared" ca="1" si="564"/>
        <v/>
      </c>
      <c r="BJ1014" s="469" t="str">
        <f t="shared" si="565"/>
        <v/>
      </c>
      <c r="BK1014" s="470" t="str">
        <f t="shared" si="549"/>
        <v/>
      </c>
      <c r="BL1014" s="775" t="str">
        <f t="shared" si="566"/>
        <v/>
      </c>
      <c r="BM1014" s="775" t="str">
        <f t="shared" si="567"/>
        <v/>
      </c>
    </row>
    <row r="1015" spans="1:65">
      <c r="A1015" s="473">
        <v>959</v>
      </c>
      <c r="B1015" s="132"/>
      <c r="C1015" s="332"/>
      <c r="D1015" s="333"/>
      <c r="E1015" s="333"/>
      <c r="F1015" s="334"/>
      <c r="G1015" s="337"/>
      <c r="H1015" s="131"/>
      <c r="I1015" s="337"/>
      <c r="J1015" s="131"/>
      <c r="K1015" s="458" t="str">
        <f t="shared" si="568"/>
        <v/>
      </c>
      <c r="L1015" s="458">
        <f t="shared" si="569"/>
        <v>0</v>
      </c>
      <c r="M1015" s="458">
        <f t="shared" si="570"/>
        <v>0</v>
      </c>
      <c r="N1015" s="459" t="str">
        <f t="shared" ref="N1015:N1078" si="581">IF(OR($L1015&gt;$U$48,$M1015&gt;$U$48,AND($L1015&gt;$M1015,$M1015&lt;&gt;0),AND($L1015=0,$M1015&lt;&gt;0)),"ERROR","")</f>
        <v/>
      </c>
      <c r="O1015" s="459" t="str">
        <f t="shared" ref="O1015:O1078" si="582">IF(AND($N1015&lt;&gt;"ERROR",$L1015&lt;=$U$49,$M1015&lt;=$U$49,$M1015&lt;&gt;0),"(減車済)","")</f>
        <v/>
      </c>
      <c r="P1015" s="459" t="str">
        <f t="shared" ref="P1015:P1078" si="583">IF(AND($N1015&lt;&gt;"ERROR",$L1015&lt;$U$49,AND($M1015&gt;$U$49,$M1015&lt;=$W$49),$M1015&lt;&gt;0),"減車","")</f>
        <v/>
      </c>
      <c r="Q1015" s="459" t="str">
        <f t="shared" ref="Q1015:Q1078" si="584">IF(AND($N1015&lt;&gt;"ERROR",$L1015&gt;$U$49,$M1015&lt;=$W$49,$M1015&lt;&gt;0),"一時使用","")</f>
        <v/>
      </c>
      <c r="R1015" s="459" t="str">
        <f t="shared" ref="R1015:R1078" si="585">IF(AND($N1015&lt;&gt;"ERROR",AND($L1015&gt;0,$L1015&lt;=$U$49),$M1015=0),"継続","")</f>
        <v/>
      </c>
      <c r="S1015" s="459" t="str">
        <f t="shared" ref="S1015:S1078" si="586">IF(AND($N1015&lt;&gt;"ERROR",AND($L1015&gt;$U$49),$M1015=0),"新規","")</f>
        <v/>
      </c>
      <c r="T1015" s="566" t="str">
        <f t="shared" si="571"/>
        <v/>
      </c>
      <c r="U1015" s="702"/>
      <c r="V1015" s="132"/>
      <c r="W1015" s="133"/>
      <c r="X1015" s="134"/>
      <c r="Y1015" s="135"/>
      <c r="Z1015" s="137"/>
      <c r="AA1015" s="136"/>
      <c r="AB1015" s="566" t="str">
        <f t="shared" si="572"/>
        <v/>
      </c>
      <c r="AC1015" s="568" t="str">
        <f t="shared" si="573"/>
        <v/>
      </c>
      <c r="AD1015" s="137"/>
      <c r="AE1015" s="137"/>
      <c r="AF1015" s="138"/>
      <c r="AG1015" s="138"/>
      <c r="AH1015" s="592" t="str">
        <f t="shared" si="574"/>
        <v/>
      </c>
      <c r="AI1015" s="592" t="str">
        <f t="shared" si="575"/>
        <v/>
      </c>
      <c r="AJ1015" s="592" t="str">
        <f t="shared" si="576"/>
        <v/>
      </c>
      <c r="AK1015" s="460" t="str">
        <f>IF(AU1015="","",IF(OR(AZ1015=8,AZ1015=9),0,IF(OR(AW1015=3,AW1015=4,AW1015=5,AW1015=6),IF(LEFT(BF1015,1)="1",INDEX(係数_NOX・PM低減,MATCH(AY1015,【参考】排出係数!$AI$801:$AI$804,1),1),VLOOKUP(AU1015,INDEX((係数_バス貨物_ガソリン,係数_バス貨物_CNG,係数_バス貨物_軽油,係数_バス貨物_メタノール,係数_バス貨物_LPG),MATCH(AY1015,【参考】排出係数!$AI$4:$AI$671,1),1,BE1015):INDEX((係数_バス貨物_ガソリン,係数_バス貨物_CNG,係数_バス貨物_軽油,係数_バス貨物_メタノール,係数_バス貨物_LPG),MATCH(AY1015+1,【参考】排出係数!$AI$4:$AI$671,1)-1,5,BE1015),4,FALSE)),IF(AND(BE1015=3,LEFT(BF1015,1)="1"),0.48,VLOOKUP(AU1015,INDEX((係数_乗用_ガソリン,係数_乗用_CNG,係数_乗用_軽油,係数_乗用_メタノール,係数_乗用_LPG),1,1,BE1015):INDEX((係数_乗用_ガソリン,係数_乗用_CNG,係数_乗用_軽油,係数_乗用_メタノール,係数_乗用_LPG),125,5,BE1015),4,FALSE)))))</f>
        <v/>
      </c>
      <c r="AL1015" s="461" t="str">
        <f t="shared" si="577"/>
        <v/>
      </c>
      <c r="AM1015" s="460" t="str">
        <f>IF(AU1015="","",IF(OR(AZ1015=8,AZ1015=9),0,IF(OR(AW1015=3,AW1015=4,AW1015=5,AW1015=6),IF(LEFT(BH1015,1)="1",INDEX(係数_PM低減,MATCH(AY1015,【参考】排出係数!$AI$801:$AI$804,1),MATCH(BI1015,【参考】排出係数!$AL$798:$AO$798,1)),VLOOKUP(AU1015,INDEX((係数_バス貨物_ガソリン,係数_バス貨物_CNG,係数_バス貨物_軽油,係数_バス貨物_メタノール,係数_バス貨物_LPG),MATCH(AY1015,【参考】排出係数!$AI$4:$AI$671,1),1,BE1015):INDEX((係数_バス貨物_ガソリン,係数_バス貨物_CNG,係数_バス貨物_軽油,係数_バス貨物_メタノール,係数_バス貨物_LPG),MATCH(AY1015+1,【参考】排出係数!$AI$4:$AI$671,1)-1,5,BE1015),5,FALSE)),IF(AND(BE1015=3,LEFT(BF1015,1)="1"),0.055,VLOOKUP(AU1015,INDEX((係数_乗用_ガソリン,係数_乗用_CNG,係数_乗用_軽油,係数_乗用_メタノール,係数_乗用_LPG),1,1,BE1015):INDEX((係数_乗用_ガソリン,係数_乗用_CNG,係数_乗用_軽油,係数_乗用_メタノール,係数_乗用_LPG),125,5,BE1015),5,FALSE)))))</f>
        <v/>
      </c>
      <c r="AN1015" s="461" t="str">
        <f t="shared" si="578"/>
        <v/>
      </c>
      <c r="AO1015" s="462" t="str">
        <f t="shared" si="579"/>
        <v/>
      </c>
      <c r="AP1015" s="463" t="str">
        <f t="shared" si="580"/>
        <v/>
      </c>
      <c r="AQ1015" s="464"/>
      <c r="AR1015" s="619"/>
      <c r="AS1015" s="465" t="str">
        <f t="shared" si="550"/>
        <v/>
      </c>
      <c r="AT1015" s="465" t="str">
        <f t="shared" si="551"/>
        <v/>
      </c>
      <c r="AU1015" s="466" t="str">
        <f t="shared" si="552"/>
        <v/>
      </c>
      <c r="AV1015" s="467" t="str">
        <f t="shared" si="553"/>
        <v/>
      </c>
      <c r="AW1015" s="467" t="str">
        <f t="shared" si="554"/>
        <v/>
      </c>
      <c r="AX1015" s="467" t="str">
        <f t="shared" si="555"/>
        <v/>
      </c>
      <c r="AY1015" s="467" t="str">
        <f t="shared" si="556"/>
        <v/>
      </c>
      <c r="AZ1015" s="467" t="str">
        <f t="shared" si="557"/>
        <v/>
      </c>
      <c r="BA1015" s="468" t="str">
        <f>IF(AS1015="","",IF(OR(AU1015="",AU1015="-"),"－",IF(OR(AZ1015=8,AZ1015=9),"",IF(OR(AW1015=3,AW1015=4,AW1015=5,AW1015=6),VLOOKUP(AU1015,INDEX((係数_バス貨物_ガソリン,係数_バス貨物_CNG,係数_バス貨物_軽油,係数_バス貨物_メタノール,係数_バス貨物_LPG),MATCH(AY1015,【参考】排出係数!$AI$4:$AI$671,1),1,BE1015):INDEX((係数_バス貨物_ガソリン,係数_バス貨物_CNG,係数_バス貨物_軽油,係数_バス貨物_メタノール,係数_バス貨物_LPG),MATCH(AY1015+1,【参考】排出係数!$AI$4:$AI$671,1)-1,5,BE1015),2,FALSE),IF(OR(AW1015=1,AW1015=2),VLOOKUP(AU1015,INDEX((係数_乗用_ガソリン,係数_乗用_CNG,係数_乗用_軽油,係数_乗用_メタノール,係数_乗用_LPG),1,1,BE1015):INDEX((係数_乗用_ガソリン,係数_乗用_CNG,係数_乗用_軽油,係数_乗用_メタノール,係数_乗用_LPG),125,5,BE1015),2,FALSE))))))</f>
        <v/>
      </c>
      <c r="BB1015" s="468" t="str">
        <f>IF(T1015="","",IF(OR(AU1015="",AU1015="-"),"－",IF(OR(AZ1015=8,AZ1015=9),"",IF(OR(AW1015=3,AW1015=4,AW1015=5,AW1015=6),VLOOKUP(AU1015,INDEX((係数_バス貨物_ガソリン,係数_バス貨物_CNG,係数_バス貨物_軽油,係数_バス貨物_メタノール,係数_バス貨物_LPG),MATCH(AY1015,【参考】排出係数!$AI$4:$AI$671,1),1,BE1015):INDEX((係数_バス貨物_ガソリン,係数_バス貨物_CNG,係数_バス貨物_軽油,係数_バス貨物_メタノール,係数_バス貨物_LPG),MATCH(AY1015+1,【参考】排出係数!$AI$4:$AI$671,1)-1,5,BE1015),3,FALSE),IF(OR(AW1015=1,AW1015=2),VLOOKUP(AU1015,INDEX((係数_乗用_ガソリン,係数_乗用_CNG,係数_乗用_軽油,係数_乗用_メタノール,係数_乗用_LPG),1,1,BE1015):INDEX((係数_乗用_ガソリン,係数_乗用_CNG,係数_乗用_軽油,係数_乗用_メタノール,係数_乗用_LPG),125,5,BE1015),3,FALSE))))))</f>
        <v/>
      </c>
      <c r="BC1015" s="467" t="str">
        <f t="shared" si="558"/>
        <v/>
      </c>
      <c r="BD1015" s="567" t="str">
        <f t="shared" si="559"/>
        <v/>
      </c>
      <c r="BE1015" s="467" t="str">
        <f t="shared" si="560"/>
        <v/>
      </c>
      <c r="BF1015" s="469" t="str">
        <f t="shared" ca="1" si="561"/>
        <v/>
      </c>
      <c r="BG1015" s="469" t="str">
        <f t="shared" ca="1" si="562"/>
        <v/>
      </c>
      <c r="BH1015" s="467" t="str">
        <f t="shared" si="563"/>
        <v/>
      </c>
      <c r="BI1015" s="467" t="str">
        <f t="shared" ca="1" si="564"/>
        <v/>
      </c>
      <c r="BJ1015" s="469" t="str">
        <f t="shared" si="565"/>
        <v/>
      </c>
      <c r="BK1015" s="470" t="str">
        <f t="shared" si="549"/>
        <v/>
      </c>
      <c r="BL1015" s="775" t="str">
        <f t="shared" si="566"/>
        <v/>
      </c>
      <c r="BM1015" s="775" t="str">
        <f t="shared" si="567"/>
        <v/>
      </c>
    </row>
    <row r="1016" spans="1:65">
      <c r="A1016" s="473">
        <v>960</v>
      </c>
      <c r="B1016" s="132"/>
      <c r="C1016" s="332"/>
      <c r="D1016" s="333"/>
      <c r="E1016" s="333"/>
      <c r="F1016" s="334"/>
      <c r="G1016" s="337"/>
      <c r="H1016" s="131"/>
      <c r="I1016" s="337"/>
      <c r="J1016" s="131"/>
      <c r="K1016" s="458" t="str">
        <f t="shared" si="568"/>
        <v/>
      </c>
      <c r="L1016" s="458">
        <f t="shared" si="569"/>
        <v>0</v>
      </c>
      <c r="M1016" s="458">
        <f t="shared" si="570"/>
        <v>0</v>
      </c>
      <c r="N1016" s="459" t="str">
        <f t="shared" si="581"/>
        <v/>
      </c>
      <c r="O1016" s="459" t="str">
        <f t="shared" si="582"/>
        <v/>
      </c>
      <c r="P1016" s="459" t="str">
        <f t="shared" si="583"/>
        <v/>
      </c>
      <c r="Q1016" s="459" t="str">
        <f t="shared" si="584"/>
        <v/>
      </c>
      <c r="R1016" s="459" t="str">
        <f t="shared" si="585"/>
        <v/>
      </c>
      <c r="S1016" s="459" t="str">
        <f t="shared" si="586"/>
        <v/>
      </c>
      <c r="T1016" s="566" t="str">
        <f t="shared" si="571"/>
        <v/>
      </c>
      <c r="U1016" s="702"/>
      <c r="V1016" s="132"/>
      <c r="W1016" s="133"/>
      <c r="X1016" s="134"/>
      <c r="Y1016" s="135"/>
      <c r="Z1016" s="137"/>
      <c r="AA1016" s="136"/>
      <c r="AB1016" s="566" t="str">
        <f t="shared" si="572"/>
        <v/>
      </c>
      <c r="AC1016" s="568" t="str">
        <f t="shared" si="573"/>
        <v/>
      </c>
      <c r="AD1016" s="137"/>
      <c r="AE1016" s="137"/>
      <c r="AF1016" s="138"/>
      <c r="AG1016" s="138"/>
      <c r="AH1016" s="592" t="str">
        <f t="shared" si="574"/>
        <v/>
      </c>
      <c r="AI1016" s="592" t="str">
        <f t="shared" si="575"/>
        <v/>
      </c>
      <c r="AJ1016" s="592" t="str">
        <f t="shared" si="576"/>
        <v/>
      </c>
      <c r="AK1016" s="460" t="str">
        <f>IF(AU1016="","",IF(OR(AZ1016=8,AZ1016=9),0,IF(OR(AW1016=3,AW1016=4,AW1016=5,AW1016=6),IF(LEFT(BF1016,1)="1",INDEX(係数_NOX・PM低減,MATCH(AY1016,【参考】排出係数!$AI$801:$AI$804,1),1),VLOOKUP(AU1016,INDEX((係数_バス貨物_ガソリン,係数_バス貨物_CNG,係数_バス貨物_軽油,係数_バス貨物_メタノール,係数_バス貨物_LPG),MATCH(AY1016,【参考】排出係数!$AI$4:$AI$671,1),1,BE1016):INDEX((係数_バス貨物_ガソリン,係数_バス貨物_CNG,係数_バス貨物_軽油,係数_バス貨物_メタノール,係数_バス貨物_LPG),MATCH(AY1016+1,【参考】排出係数!$AI$4:$AI$671,1)-1,5,BE1016),4,FALSE)),IF(AND(BE1016=3,LEFT(BF1016,1)="1"),0.48,VLOOKUP(AU1016,INDEX((係数_乗用_ガソリン,係数_乗用_CNG,係数_乗用_軽油,係数_乗用_メタノール,係数_乗用_LPG),1,1,BE1016):INDEX((係数_乗用_ガソリン,係数_乗用_CNG,係数_乗用_軽油,係数_乗用_メタノール,係数_乗用_LPG),125,5,BE1016),4,FALSE)))))</f>
        <v/>
      </c>
      <c r="AL1016" s="461" t="str">
        <f t="shared" si="577"/>
        <v/>
      </c>
      <c r="AM1016" s="460" t="str">
        <f>IF(AU1016="","",IF(OR(AZ1016=8,AZ1016=9),0,IF(OR(AW1016=3,AW1016=4,AW1016=5,AW1016=6),IF(LEFT(BH1016,1)="1",INDEX(係数_PM低減,MATCH(AY1016,【参考】排出係数!$AI$801:$AI$804,1),MATCH(BI1016,【参考】排出係数!$AL$798:$AO$798,1)),VLOOKUP(AU1016,INDEX((係数_バス貨物_ガソリン,係数_バス貨物_CNG,係数_バス貨物_軽油,係数_バス貨物_メタノール,係数_バス貨物_LPG),MATCH(AY1016,【参考】排出係数!$AI$4:$AI$671,1),1,BE1016):INDEX((係数_バス貨物_ガソリン,係数_バス貨物_CNG,係数_バス貨物_軽油,係数_バス貨物_メタノール,係数_バス貨物_LPG),MATCH(AY1016+1,【参考】排出係数!$AI$4:$AI$671,1)-1,5,BE1016),5,FALSE)),IF(AND(BE1016=3,LEFT(BF1016,1)="1"),0.055,VLOOKUP(AU1016,INDEX((係数_乗用_ガソリン,係数_乗用_CNG,係数_乗用_軽油,係数_乗用_メタノール,係数_乗用_LPG),1,1,BE1016):INDEX((係数_乗用_ガソリン,係数_乗用_CNG,係数_乗用_軽油,係数_乗用_メタノール,係数_乗用_LPG),125,5,BE1016),5,FALSE)))))</f>
        <v/>
      </c>
      <c r="AN1016" s="461" t="str">
        <f t="shared" si="578"/>
        <v/>
      </c>
      <c r="AO1016" s="462" t="str">
        <f t="shared" si="579"/>
        <v/>
      </c>
      <c r="AP1016" s="463" t="str">
        <f t="shared" si="580"/>
        <v/>
      </c>
      <c r="AQ1016" s="464"/>
      <c r="AR1016" s="619"/>
      <c r="AS1016" s="465" t="str">
        <f t="shared" si="550"/>
        <v/>
      </c>
      <c r="AT1016" s="465" t="str">
        <f t="shared" si="551"/>
        <v/>
      </c>
      <c r="AU1016" s="466" t="str">
        <f t="shared" si="552"/>
        <v/>
      </c>
      <c r="AV1016" s="467" t="str">
        <f t="shared" si="553"/>
        <v/>
      </c>
      <c r="AW1016" s="467" t="str">
        <f t="shared" si="554"/>
        <v/>
      </c>
      <c r="AX1016" s="467" t="str">
        <f t="shared" si="555"/>
        <v/>
      </c>
      <c r="AY1016" s="467" t="str">
        <f t="shared" si="556"/>
        <v/>
      </c>
      <c r="AZ1016" s="467" t="str">
        <f t="shared" si="557"/>
        <v/>
      </c>
      <c r="BA1016" s="468" t="str">
        <f>IF(AS1016="","",IF(OR(AU1016="",AU1016="-"),"－",IF(OR(AZ1016=8,AZ1016=9),"",IF(OR(AW1016=3,AW1016=4,AW1016=5,AW1016=6),VLOOKUP(AU1016,INDEX((係数_バス貨物_ガソリン,係数_バス貨物_CNG,係数_バス貨物_軽油,係数_バス貨物_メタノール,係数_バス貨物_LPG),MATCH(AY1016,【参考】排出係数!$AI$4:$AI$671,1),1,BE1016):INDEX((係数_バス貨物_ガソリン,係数_バス貨物_CNG,係数_バス貨物_軽油,係数_バス貨物_メタノール,係数_バス貨物_LPG),MATCH(AY1016+1,【参考】排出係数!$AI$4:$AI$671,1)-1,5,BE1016),2,FALSE),IF(OR(AW1016=1,AW1016=2),VLOOKUP(AU1016,INDEX((係数_乗用_ガソリン,係数_乗用_CNG,係数_乗用_軽油,係数_乗用_メタノール,係数_乗用_LPG),1,1,BE1016):INDEX((係数_乗用_ガソリン,係数_乗用_CNG,係数_乗用_軽油,係数_乗用_メタノール,係数_乗用_LPG),125,5,BE1016),2,FALSE))))))</f>
        <v/>
      </c>
      <c r="BB1016" s="468" t="str">
        <f>IF(T1016="","",IF(OR(AU1016="",AU1016="-"),"－",IF(OR(AZ1016=8,AZ1016=9),"",IF(OR(AW1016=3,AW1016=4,AW1016=5,AW1016=6),VLOOKUP(AU1016,INDEX((係数_バス貨物_ガソリン,係数_バス貨物_CNG,係数_バス貨物_軽油,係数_バス貨物_メタノール,係数_バス貨物_LPG),MATCH(AY1016,【参考】排出係数!$AI$4:$AI$671,1),1,BE1016):INDEX((係数_バス貨物_ガソリン,係数_バス貨物_CNG,係数_バス貨物_軽油,係数_バス貨物_メタノール,係数_バス貨物_LPG),MATCH(AY1016+1,【参考】排出係数!$AI$4:$AI$671,1)-1,5,BE1016),3,FALSE),IF(OR(AW1016=1,AW1016=2),VLOOKUP(AU1016,INDEX((係数_乗用_ガソリン,係数_乗用_CNG,係数_乗用_軽油,係数_乗用_メタノール,係数_乗用_LPG),1,1,BE1016):INDEX((係数_乗用_ガソリン,係数_乗用_CNG,係数_乗用_軽油,係数_乗用_メタノール,係数_乗用_LPG),125,5,BE1016),3,FALSE))))))</f>
        <v/>
      </c>
      <c r="BC1016" s="467" t="str">
        <f t="shared" si="558"/>
        <v/>
      </c>
      <c r="BD1016" s="567" t="str">
        <f t="shared" si="559"/>
        <v/>
      </c>
      <c r="BE1016" s="467" t="str">
        <f t="shared" si="560"/>
        <v/>
      </c>
      <c r="BF1016" s="469" t="str">
        <f t="shared" ca="1" si="561"/>
        <v/>
      </c>
      <c r="BG1016" s="469" t="str">
        <f t="shared" ca="1" si="562"/>
        <v/>
      </c>
      <c r="BH1016" s="467" t="str">
        <f t="shared" si="563"/>
        <v/>
      </c>
      <c r="BI1016" s="467" t="str">
        <f t="shared" ca="1" si="564"/>
        <v/>
      </c>
      <c r="BJ1016" s="469" t="str">
        <f t="shared" si="565"/>
        <v/>
      </c>
      <c r="BK1016" s="470" t="str">
        <f t="shared" si="549"/>
        <v/>
      </c>
      <c r="BL1016" s="775" t="str">
        <f t="shared" si="566"/>
        <v/>
      </c>
      <c r="BM1016" s="775" t="str">
        <f t="shared" si="567"/>
        <v/>
      </c>
    </row>
    <row r="1017" spans="1:65">
      <c r="A1017" s="473">
        <v>961</v>
      </c>
      <c r="B1017" s="132"/>
      <c r="C1017" s="332"/>
      <c r="D1017" s="333"/>
      <c r="E1017" s="333"/>
      <c r="F1017" s="334"/>
      <c r="G1017" s="337"/>
      <c r="H1017" s="131"/>
      <c r="I1017" s="337"/>
      <c r="J1017" s="131"/>
      <c r="K1017" s="458" t="str">
        <f t="shared" si="568"/>
        <v/>
      </c>
      <c r="L1017" s="458">
        <f t="shared" si="569"/>
        <v>0</v>
      </c>
      <c r="M1017" s="458">
        <f t="shared" si="570"/>
        <v>0</v>
      </c>
      <c r="N1017" s="459" t="str">
        <f t="shared" si="581"/>
        <v/>
      </c>
      <c r="O1017" s="459" t="str">
        <f t="shared" si="582"/>
        <v/>
      </c>
      <c r="P1017" s="459" t="str">
        <f t="shared" si="583"/>
        <v/>
      </c>
      <c r="Q1017" s="459" t="str">
        <f t="shared" si="584"/>
        <v/>
      </c>
      <c r="R1017" s="459" t="str">
        <f t="shared" si="585"/>
        <v/>
      </c>
      <c r="S1017" s="459" t="str">
        <f t="shared" si="586"/>
        <v/>
      </c>
      <c r="T1017" s="566" t="str">
        <f t="shared" si="571"/>
        <v/>
      </c>
      <c r="U1017" s="702"/>
      <c r="V1017" s="132"/>
      <c r="W1017" s="133"/>
      <c r="X1017" s="134"/>
      <c r="Y1017" s="135"/>
      <c r="Z1017" s="137"/>
      <c r="AA1017" s="136"/>
      <c r="AB1017" s="566" t="str">
        <f t="shared" si="572"/>
        <v/>
      </c>
      <c r="AC1017" s="568" t="str">
        <f t="shared" si="573"/>
        <v/>
      </c>
      <c r="AD1017" s="137"/>
      <c r="AE1017" s="137"/>
      <c r="AF1017" s="138"/>
      <c r="AG1017" s="138"/>
      <c r="AH1017" s="592" t="str">
        <f t="shared" si="574"/>
        <v/>
      </c>
      <c r="AI1017" s="592" t="str">
        <f t="shared" si="575"/>
        <v/>
      </c>
      <c r="AJ1017" s="592" t="str">
        <f t="shared" si="576"/>
        <v/>
      </c>
      <c r="AK1017" s="460" t="str">
        <f>IF(AU1017="","",IF(OR(AZ1017=8,AZ1017=9),0,IF(OR(AW1017=3,AW1017=4,AW1017=5,AW1017=6),IF(LEFT(BF1017,1)="1",INDEX(係数_NOX・PM低減,MATCH(AY1017,【参考】排出係数!$AI$801:$AI$804,1),1),VLOOKUP(AU1017,INDEX((係数_バス貨物_ガソリン,係数_バス貨物_CNG,係数_バス貨物_軽油,係数_バス貨物_メタノール,係数_バス貨物_LPG),MATCH(AY1017,【参考】排出係数!$AI$4:$AI$671,1),1,BE1017):INDEX((係数_バス貨物_ガソリン,係数_バス貨物_CNG,係数_バス貨物_軽油,係数_バス貨物_メタノール,係数_バス貨物_LPG),MATCH(AY1017+1,【参考】排出係数!$AI$4:$AI$671,1)-1,5,BE1017),4,FALSE)),IF(AND(BE1017=3,LEFT(BF1017,1)="1"),0.48,VLOOKUP(AU1017,INDEX((係数_乗用_ガソリン,係数_乗用_CNG,係数_乗用_軽油,係数_乗用_メタノール,係数_乗用_LPG),1,1,BE1017):INDEX((係数_乗用_ガソリン,係数_乗用_CNG,係数_乗用_軽油,係数_乗用_メタノール,係数_乗用_LPG),125,5,BE1017),4,FALSE)))))</f>
        <v/>
      </c>
      <c r="AL1017" s="461" t="str">
        <f t="shared" si="577"/>
        <v/>
      </c>
      <c r="AM1017" s="460" t="str">
        <f>IF(AU1017="","",IF(OR(AZ1017=8,AZ1017=9),0,IF(OR(AW1017=3,AW1017=4,AW1017=5,AW1017=6),IF(LEFT(BH1017,1)="1",INDEX(係数_PM低減,MATCH(AY1017,【参考】排出係数!$AI$801:$AI$804,1),MATCH(BI1017,【参考】排出係数!$AL$798:$AO$798,1)),VLOOKUP(AU1017,INDEX((係数_バス貨物_ガソリン,係数_バス貨物_CNG,係数_バス貨物_軽油,係数_バス貨物_メタノール,係数_バス貨物_LPG),MATCH(AY1017,【参考】排出係数!$AI$4:$AI$671,1),1,BE1017):INDEX((係数_バス貨物_ガソリン,係数_バス貨物_CNG,係数_バス貨物_軽油,係数_バス貨物_メタノール,係数_バス貨物_LPG),MATCH(AY1017+1,【参考】排出係数!$AI$4:$AI$671,1)-1,5,BE1017),5,FALSE)),IF(AND(BE1017=3,LEFT(BF1017,1)="1"),0.055,VLOOKUP(AU1017,INDEX((係数_乗用_ガソリン,係数_乗用_CNG,係数_乗用_軽油,係数_乗用_メタノール,係数_乗用_LPG),1,1,BE1017):INDEX((係数_乗用_ガソリン,係数_乗用_CNG,係数_乗用_軽油,係数_乗用_メタノール,係数_乗用_LPG),125,5,BE1017),5,FALSE)))))</f>
        <v/>
      </c>
      <c r="AN1017" s="461" t="str">
        <f t="shared" si="578"/>
        <v/>
      </c>
      <c r="AO1017" s="462" t="str">
        <f t="shared" si="579"/>
        <v/>
      </c>
      <c r="AP1017" s="463" t="str">
        <f t="shared" si="580"/>
        <v/>
      </c>
      <c r="AQ1017" s="464"/>
      <c r="AR1017" s="619"/>
      <c r="AS1017" s="465" t="str">
        <f t="shared" si="550"/>
        <v/>
      </c>
      <c r="AT1017" s="465" t="str">
        <f t="shared" si="551"/>
        <v/>
      </c>
      <c r="AU1017" s="466" t="str">
        <f t="shared" si="552"/>
        <v/>
      </c>
      <c r="AV1017" s="467" t="str">
        <f t="shared" si="553"/>
        <v/>
      </c>
      <c r="AW1017" s="467" t="str">
        <f t="shared" si="554"/>
        <v/>
      </c>
      <c r="AX1017" s="467" t="str">
        <f t="shared" si="555"/>
        <v/>
      </c>
      <c r="AY1017" s="467" t="str">
        <f t="shared" si="556"/>
        <v/>
      </c>
      <c r="AZ1017" s="467" t="str">
        <f t="shared" si="557"/>
        <v/>
      </c>
      <c r="BA1017" s="468" t="str">
        <f>IF(AS1017="","",IF(OR(AU1017="",AU1017="-"),"－",IF(OR(AZ1017=8,AZ1017=9),"",IF(OR(AW1017=3,AW1017=4,AW1017=5,AW1017=6),VLOOKUP(AU1017,INDEX((係数_バス貨物_ガソリン,係数_バス貨物_CNG,係数_バス貨物_軽油,係数_バス貨物_メタノール,係数_バス貨物_LPG),MATCH(AY1017,【参考】排出係数!$AI$4:$AI$671,1),1,BE1017):INDEX((係数_バス貨物_ガソリン,係数_バス貨物_CNG,係数_バス貨物_軽油,係数_バス貨物_メタノール,係数_バス貨物_LPG),MATCH(AY1017+1,【参考】排出係数!$AI$4:$AI$671,1)-1,5,BE1017),2,FALSE),IF(OR(AW1017=1,AW1017=2),VLOOKUP(AU1017,INDEX((係数_乗用_ガソリン,係数_乗用_CNG,係数_乗用_軽油,係数_乗用_メタノール,係数_乗用_LPG),1,1,BE1017):INDEX((係数_乗用_ガソリン,係数_乗用_CNG,係数_乗用_軽油,係数_乗用_メタノール,係数_乗用_LPG),125,5,BE1017),2,FALSE))))))</f>
        <v/>
      </c>
      <c r="BB1017" s="468" t="str">
        <f>IF(T1017="","",IF(OR(AU1017="",AU1017="-"),"－",IF(OR(AZ1017=8,AZ1017=9),"",IF(OR(AW1017=3,AW1017=4,AW1017=5,AW1017=6),VLOOKUP(AU1017,INDEX((係数_バス貨物_ガソリン,係数_バス貨物_CNG,係数_バス貨物_軽油,係数_バス貨物_メタノール,係数_バス貨物_LPG),MATCH(AY1017,【参考】排出係数!$AI$4:$AI$671,1),1,BE1017):INDEX((係数_バス貨物_ガソリン,係数_バス貨物_CNG,係数_バス貨物_軽油,係数_バス貨物_メタノール,係数_バス貨物_LPG),MATCH(AY1017+1,【参考】排出係数!$AI$4:$AI$671,1)-1,5,BE1017),3,FALSE),IF(OR(AW1017=1,AW1017=2),VLOOKUP(AU1017,INDEX((係数_乗用_ガソリン,係数_乗用_CNG,係数_乗用_軽油,係数_乗用_メタノール,係数_乗用_LPG),1,1,BE1017):INDEX((係数_乗用_ガソリン,係数_乗用_CNG,係数_乗用_軽油,係数_乗用_メタノール,係数_乗用_LPG),125,5,BE1017),3,FALSE))))))</f>
        <v/>
      </c>
      <c r="BC1017" s="467" t="str">
        <f t="shared" si="558"/>
        <v/>
      </c>
      <c r="BD1017" s="567" t="str">
        <f t="shared" si="559"/>
        <v/>
      </c>
      <c r="BE1017" s="467" t="str">
        <f t="shared" si="560"/>
        <v/>
      </c>
      <c r="BF1017" s="469" t="str">
        <f t="shared" ca="1" si="561"/>
        <v/>
      </c>
      <c r="BG1017" s="469" t="str">
        <f t="shared" ca="1" si="562"/>
        <v/>
      </c>
      <c r="BH1017" s="467" t="str">
        <f t="shared" si="563"/>
        <v/>
      </c>
      <c r="BI1017" s="467" t="str">
        <f t="shared" ca="1" si="564"/>
        <v/>
      </c>
      <c r="BJ1017" s="469" t="str">
        <f t="shared" si="565"/>
        <v/>
      </c>
      <c r="BK1017" s="470" t="str">
        <f t="shared" ref="BK1017:BK1080" si="587">IF(AS1017="","",VLOOKUP(T1017,車両の増減,2,FALSE))</f>
        <v/>
      </c>
      <c r="BL1017" s="775" t="str">
        <f t="shared" si="566"/>
        <v/>
      </c>
      <c r="BM1017" s="775" t="str">
        <f t="shared" si="567"/>
        <v/>
      </c>
    </row>
    <row r="1018" spans="1:65">
      <c r="A1018" s="473">
        <v>962</v>
      </c>
      <c r="B1018" s="132"/>
      <c r="C1018" s="332"/>
      <c r="D1018" s="333"/>
      <c r="E1018" s="333"/>
      <c r="F1018" s="334"/>
      <c r="G1018" s="337"/>
      <c r="H1018" s="131"/>
      <c r="I1018" s="337"/>
      <c r="J1018" s="131"/>
      <c r="K1018" s="458" t="str">
        <f t="shared" si="568"/>
        <v/>
      </c>
      <c r="L1018" s="458">
        <f t="shared" si="569"/>
        <v>0</v>
      </c>
      <c r="M1018" s="458">
        <f t="shared" si="570"/>
        <v>0</v>
      </c>
      <c r="N1018" s="459" t="str">
        <f t="shared" si="581"/>
        <v/>
      </c>
      <c r="O1018" s="459" t="str">
        <f t="shared" si="582"/>
        <v/>
      </c>
      <c r="P1018" s="459" t="str">
        <f t="shared" si="583"/>
        <v/>
      </c>
      <c r="Q1018" s="459" t="str">
        <f t="shared" si="584"/>
        <v/>
      </c>
      <c r="R1018" s="459" t="str">
        <f t="shared" si="585"/>
        <v/>
      </c>
      <c r="S1018" s="459" t="str">
        <f t="shared" si="586"/>
        <v/>
      </c>
      <c r="T1018" s="566" t="str">
        <f t="shared" si="571"/>
        <v/>
      </c>
      <c r="U1018" s="702"/>
      <c r="V1018" s="132"/>
      <c r="W1018" s="133"/>
      <c r="X1018" s="134"/>
      <c r="Y1018" s="135"/>
      <c r="Z1018" s="137"/>
      <c r="AA1018" s="136"/>
      <c r="AB1018" s="566" t="str">
        <f t="shared" si="572"/>
        <v/>
      </c>
      <c r="AC1018" s="568" t="str">
        <f t="shared" si="573"/>
        <v/>
      </c>
      <c r="AD1018" s="137"/>
      <c r="AE1018" s="137"/>
      <c r="AF1018" s="138"/>
      <c r="AG1018" s="138"/>
      <c r="AH1018" s="592" t="str">
        <f t="shared" si="574"/>
        <v/>
      </c>
      <c r="AI1018" s="592" t="str">
        <f t="shared" si="575"/>
        <v/>
      </c>
      <c r="AJ1018" s="592" t="str">
        <f t="shared" si="576"/>
        <v/>
      </c>
      <c r="AK1018" s="460" t="str">
        <f>IF(AU1018="","",IF(OR(AZ1018=8,AZ1018=9),0,IF(OR(AW1018=3,AW1018=4,AW1018=5,AW1018=6),IF(LEFT(BF1018,1)="1",INDEX(係数_NOX・PM低減,MATCH(AY1018,【参考】排出係数!$AI$801:$AI$804,1),1),VLOOKUP(AU1018,INDEX((係数_バス貨物_ガソリン,係数_バス貨物_CNG,係数_バス貨物_軽油,係数_バス貨物_メタノール,係数_バス貨物_LPG),MATCH(AY1018,【参考】排出係数!$AI$4:$AI$671,1),1,BE1018):INDEX((係数_バス貨物_ガソリン,係数_バス貨物_CNG,係数_バス貨物_軽油,係数_バス貨物_メタノール,係数_バス貨物_LPG),MATCH(AY1018+1,【参考】排出係数!$AI$4:$AI$671,1)-1,5,BE1018),4,FALSE)),IF(AND(BE1018=3,LEFT(BF1018,1)="1"),0.48,VLOOKUP(AU1018,INDEX((係数_乗用_ガソリン,係数_乗用_CNG,係数_乗用_軽油,係数_乗用_メタノール,係数_乗用_LPG),1,1,BE1018):INDEX((係数_乗用_ガソリン,係数_乗用_CNG,係数_乗用_軽油,係数_乗用_メタノール,係数_乗用_LPG),125,5,BE1018),4,FALSE)))))</f>
        <v/>
      </c>
      <c r="AL1018" s="461" t="str">
        <f t="shared" si="577"/>
        <v/>
      </c>
      <c r="AM1018" s="460" t="str">
        <f>IF(AU1018="","",IF(OR(AZ1018=8,AZ1018=9),0,IF(OR(AW1018=3,AW1018=4,AW1018=5,AW1018=6),IF(LEFT(BH1018,1)="1",INDEX(係数_PM低減,MATCH(AY1018,【参考】排出係数!$AI$801:$AI$804,1),MATCH(BI1018,【参考】排出係数!$AL$798:$AO$798,1)),VLOOKUP(AU1018,INDEX((係数_バス貨物_ガソリン,係数_バス貨物_CNG,係数_バス貨物_軽油,係数_バス貨物_メタノール,係数_バス貨物_LPG),MATCH(AY1018,【参考】排出係数!$AI$4:$AI$671,1),1,BE1018):INDEX((係数_バス貨物_ガソリン,係数_バス貨物_CNG,係数_バス貨物_軽油,係数_バス貨物_メタノール,係数_バス貨物_LPG),MATCH(AY1018+1,【参考】排出係数!$AI$4:$AI$671,1)-1,5,BE1018),5,FALSE)),IF(AND(BE1018=3,LEFT(BF1018,1)="1"),0.055,VLOOKUP(AU1018,INDEX((係数_乗用_ガソリン,係数_乗用_CNG,係数_乗用_軽油,係数_乗用_メタノール,係数_乗用_LPG),1,1,BE1018):INDEX((係数_乗用_ガソリン,係数_乗用_CNG,係数_乗用_軽油,係数_乗用_メタノール,係数_乗用_LPG),125,5,BE1018),5,FALSE)))))</f>
        <v/>
      </c>
      <c r="AN1018" s="461" t="str">
        <f t="shared" si="578"/>
        <v/>
      </c>
      <c r="AO1018" s="462" t="str">
        <f t="shared" si="579"/>
        <v/>
      </c>
      <c r="AP1018" s="463" t="str">
        <f t="shared" si="580"/>
        <v/>
      </c>
      <c r="AQ1018" s="464"/>
      <c r="AR1018" s="619"/>
      <c r="AS1018" s="465" t="str">
        <f t="shared" ref="AS1018:AS1081" si="588">IF(OR(T1018="(減車済)",T1018=""),"",1)</f>
        <v/>
      </c>
      <c r="AT1018" s="465" t="str">
        <f t="shared" ref="AT1018:AT1081" si="589">IF(OR(T1018="継続",T1018="新規"),1,"")</f>
        <v/>
      </c>
      <c r="AU1018" s="466" t="str">
        <f t="shared" ref="AU1018:AU1081" si="590">IF(AS1018="","",UPPER(ASC(X1018)))</f>
        <v/>
      </c>
      <c r="AV1018" s="467" t="str">
        <f t="shared" ref="AV1018:AV1081" si="591">IF(AS1018="","",IF(V1018="","",IF(V1018="普通",1,IF(V1018="小型",2,0))))</f>
        <v/>
      </c>
      <c r="AW1018" s="467" t="str">
        <f t="shared" ref="AW1018:AW1081" si="592">IF(AS1018="","",IF(W1018="","",VLOOKUP(W1018,用途,2,FALSE)))</f>
        <v/>
      </c>
      <c r="AX1018" s="467" t="str">
        <f t="shared" ref="AX1018:AX1081" si="593">IF(AS1018="","",IF(Y1018="","",IF(Y1018&lt;=10,1,IF(Y1018&lt;30,2,IF(Y1018&gt;=30,3,0)))))</f>
        <v/>
      </c>
      <c r="AY1018" s="467" t="str">
        <f t="shared" ref="AY1018:AY1081" si="594">IF(AS1018="","",IF(Z1018="","",IF(Z1018&lt;=1.7*1000,1,IF(Z1018&lt;=2.5*1000,2,IF(Z1018&lt;=3.5*1000,3,IF(Z1018&lt;8*1000,4,IF(Z1018&gt;=8*1000,5,"")))))))</f>
        <v/>
      </c>
      <c r="AZ1018" s="467" t="str">
        <f t="shared" ref="AZ1018:AZ1081" si="595">IF(AS1018="","",IF(AA1018="","",VLOOKUP(AA1018,燃料の種類,2,FALSE)))</f>
        <v/>
      </c>
      <c r="BA1018" s="468" t="str">
        <f>IF(AS1018="","",IF(OR(AU1018="",AU1018="-"),"－",IF(OR(AZ1018=8,AZ1018=9),"",IF(OR(AW1018=3,AW1018=4,AW1018=5,AW1018=6),VLOOKUP(AU1018,INDEX((係数_バス貨物_ガソリン,係数_バス貨物_CNG,係数_バス貨物_軽油,係数_バス貨物_メタノール,係数_バス貨物_LPG),MATCH(AY1018,【参考】排出係数!$AI$4:$AI$671,1),1,BE1018):INDEX((係数_バス貨物_ガソリン,係数_バス貨物_CNG,係数_バス貨物_軽油,係数_バス貨物_メタノール,係数_バス貨物_LPG),MATCH(AY1018+1,【参考】排出係数!$AI$4:$AI$671,1)-1,5,BE1018),2,FALSE),IF(OR(AW1018=1,AW1018=2),VLOOKUP(AU1018,INDEX((係数_乗用_ガソリン,係数_乗用_CNG,係数_乗用_軽油,係数_乗用_メタノール,係数_乗用_LPG),1,1,BE1018):INDEX((係数_乗用_ガソリン,係数_乗用_CNG,係数_乗用_軽油,係数_乗用_メタノール,係数_乗用_LPG),125,5,BE1018),2,FALSE))))))</f>
        <v/>
      </c>
      <c r="BB1018" s="468" t="str">
        <f>IF(T1018="","",IF(OR(AU1018="",AU1018="-"),"－",IF(OR(AZ1018=8,AZ1018=9),"",IF(OR(AW1018=3,AW1018=4,AW1018=5,AW1018=6),VLOOKUP(AU1018,INDEX((係数_バス貨物_ガソリン,係数_バス貨物_CNG,係数_バス貨物_軽油,係数_バス貨物_メタノール,係数_バス貨物_LPG),MATCH(AY1018,【参考】排出係数!$AI$4:$AI$671,1),1,BE1018):INDEX((係数_バス貨物_ガソリン,係数_バス貨物_CNG,係数_バス貨物_軽油,係数_バス貨物_メタノール,係数_バス貨物_LPG),MATCH(AY1018+1,【参考】排出係数!$AI$4:$AI$671,1)-1,5,BE1018),3,FALSE),IF(OR(AW1018=1,AW1018=2),VLOOKUP(AU1018,INDEX((係数_乗用_ガソリン,係数_乗用_CNG,係数_乗用_軽油,係数_乗用_メタノール,係数_乗用_LPG),1,1,BE1018):INDEX((係数_乗用_ガソリン,係数_乗用_CNG,係数_乗用_軽油,係数_乗用_メタノール,係数_乗用_LPG),125,5,BE1018),3,FALSE))))))</f>
        <v/>
      </c>
      <c r="BC1018" s="467" t="str">
        <f t="shared" ref="BC1018:BC1081" si="596">IF((AS1018="")+(AC1018=""),"",IF(燃料区分1=4,VLOOKUP(BB1018,排ガス低減レベル,2,FALSE),VLOOKUP(AC1018,排ガス低減レベル,2,FALSE)))</f>
        <v/>
      </c>
      <c r="BD1018" s="567" t="str">
        <f t="shared" ref="BD1018:BD1081" si="597">IF(AT1018="","",IF(AW1018=3,B1018&amp;"-"&amp;SUM(AW1018*100,AX1018*10,AY1018)&amp;"A",IF(OR(AW1018=2,AW1018=4,AW1018=6),B1018&amp;"-"&amp;AY1018*10&amp;"A",IF(AW1018=1,B1018&amp;"-"&amp;AW1018&amp;"A",IF(AW1018=5,B1018&amp;"-"&amp;SUM(AW1018*100,AV1018*10,AY1018)&amp;"A","")))))</f>
        <v/>
      </c>
      <c r="BE1018" s="467" t="str">
        <f t="shared" ref="BE1018:BE1081" si="598">IF(OR(AZ1018=1,AZ1018=2,AZ1018=11),1,IF(AZ1018=6,2,IF(OR(AZ1018=4,AZ1018=5,AZ1018=10),3,IF(AZ1018=7,4,IF(AZ1018=3,5, IF(OR(AZ1018=8,AZ1018=9),6,""))))))</f>
        <v/>
      </c>
      <c r="BF1018" s="469" t="str">
        <f t="shared" ref="BF1018:BF1081" ca="1" si="599">(IF(OR(AZ1018=4,AZ1018=5),OFFSET($CH$1,MATCH($AF1018,$CG$2:$CG$4,0),0)&amp;BK1018,""))</f>
        <v/>
      </c>
      <c r="BG1018" s="469" t="str">
        <f t="shared" ref="BG1018:BG1081" ca="1" si="600">(IF(OR(AZ1018=4,AZ1018=5),OFFSET($CJ$1,MATCH($AG1018,$CI$2:$CI$5,0),0)&amp;BK1018,""))</f>
        <v/>
      </c>
      <c r="BH1018" s="467" t="str">
        <f t="shared" ref="BH1018:BH1081" si="601">IF(OR(AZ1018=4,AZ1018=5),IF(OR(LEFT(BF1018,1)="1",LEFT(BG1018,1)="2",LEFT(BG1018,1)="3"),1,2)&amp;BK1018,"")</f>
        <v/>
      </c>
      <c r="BI1018" s="467" t="str">
        <f t="shared" ref="BI1018:BI1081" ca="1" si="602">IF(LEFT(BF1018)="1",1,IF(LEFT(BG1018,1)="2",2,IF(LEFT(BG1018,1)="3",3,"")))</f>
        <v/>
      </c>
      <c r="BJ1018" s="469" t="str">
        <f t="shared" ref="BJ1018:BJ1081" si="603">IF(AT1018="","",B1018&amp;"-"&amp;AZ1018)</f>
        <v/>
      </c>
      <c r="BK1018" s="470" t="str">
        <f t="shared" si="587"/>
        <v/>
      </c>
      <c r="BL1018" s="775" t="str">
        <f t="shared" ref="BL1018:BL1081" si="604">IF(AND(OR($T1018="新規",$T1018="継続"),ISBLANK($AD1018)),1,"")</f>
        <v/>
      </c>
      <c r="BM1018" s="775" t="str">
        <f t="shared" ref="BM1018:BM1081" si="605">IF(AND(OR($T1018="新規",$T1018="継続"),ISBLANK($AE1018)),1,"")</f>
        <v/>
      </c>
    </row>
    <row r="1019" spans="1:65">
      <c r="A1019" s="473">
        <v>963</v>
      </c>
      <c r="B1019" s="132"/>
      <c r="C1019" s="332"/>
      <c r="D1019" s="333"/>
      <c r="E1019" s="333"/>
      <c r="F1019" s="334"/>
      <c r="G1019" s="337"/>
      <c r="H1019" s="131"/>
      <c r="I1019" s="337"/>
      <c r="J1019" s="131"/>
      <c r="K1019" s="458" t="str">
        <f t="shared" si="568"/>
        <v/>
      </c>
      <c r="L1019" s="458">
        <f t="shared" si="569"/>
        <v>0</v>
      </c>
      <c r="M1019" s="458">
        <f t="shared" si="570"/>
        <v>0</v>
      </c>
      <c r="N1019" s="459" t="str">
        <f t="shared" si="581"/>
        <v/>
      </c>
      <c r="O1019" s="459" t="str">
        <f t="shared" si="582"/>
        <v/>
      </c>
      <c r="P1019" s="459" t="str">
        <f t="shared" si="583"/>
        <v/>
      </c>
      <c r="Q1019" s="459" t="str">
        <f t="shared" si="584"/>
        <v/>
      </c>
      <c r="R1019" s="459" t="str">
        <f t="shared" si="585"/>
        <v/>
      </c>
      <c r="S1019" s="459" t="str">
        <f t="shared" si="586"/>
        <v/>
      </c>
      <c r="T1019" s="566" t="str">
        <f t="shared" si="571"/>
        <v/>
      </c>
      <c r="U1019" s="702"/>
      <c r="V1019" s="132"/>
      <c r="W1019" s="133"/>
      <c r="X1019" s="134"/>
      <c r="Y1019" s="135"/>
      <c r="Z1019" s="137"/>
      <c r="AA1019" s="136"/>
      <c r="AB1019" s="566" t="str">
        <f t="shared" si="572"/>
        <v/>
      </c>
      <c r="AC1019" s="568" t="str">
        <f t="shared" si="573"/>
        <v/>
      </c>
      <c r="AD1019" s="137"/>
      <c r="AE1019" s="137"/>
      <c r="AF1019" s="138"/>
      <c r="AG1019" s="138"/>
      <c r="AH1019" s="592" t="str">
        <f t="shared" si="574"/>
        <v/>
      </c>
      <c r="AI1019" s="592" t="str">
        <f t="shared" si="575"/>
        <v/>
      </c>
      <c r="AJ1019" s="592" t="str">
        <f t="shared" si="576"/>
        <v/>
      </c>
      <c r="AK1019" s="460" t="str">
        <f>IF(AU1019="","",IF(OR(AZ1019=8,AZ1019=9),0,IF(OR(AW1019=3,AW1019=4,AW1019=5,AW1019=6),IF(LEFT(BF1019,1)="1",INDEX(係数_NOX・PM低減,MATCH(AY1019,【参考】排出係数!$AI$801:$AI$804,1),1),VLOOKUP(AU1019,INDEX((係数_バス貨物_ガソリン,係数_バス貨物_CNG,係数_バス貨物_軽油,係数_バス貨物_メタノール,係数_バス貨物_LPG),MATCH(AY1019,【参考】排出係数!$AI$4:$AI$671,1),1,BE1019):INDEX((係数_バス貨物_ガソリン,係数_バス貨物_CNG,係数_バス貨物_軽油,係数_バス貨物_メタノール,係数_バス貨物_LPG),MATCH(AY1019+1,【参考】排出係数!$AI$4:$AI$671,1)-1,5,BE1019),4,FALSE)),IF(AND(BE1019=3,LEFT(BF1019,1)="1"),0.48,VLOOKUP(AU1019,INDEX((係数_乗用_ガソリン,係数_乗用_CNG,係数_乗用_軽油,係数_乗用_メタノール,係数_乗用_LPG),1,1,BE1019):INDEX((係数_乗用_ガソリン,係数_乗用_CNG,係数_乗用_軽油,係数_乗用_メタノール,係数_乗用_LPG),125,5,BE1019),4,FALSE)))))</f>
        <v/>
      </c>
      <c r="AL1019" s="461" t="str">
        <f t="shared" si="577"/>
        <v/>
      </c>
      <c r="AM1019" s="460" t="str">
        <f>IF(AU1019="","",IF(OR(AZ1019=8,AZ1019=9),0,IF(OR(AW1019=3,AW1019=4,AW1019=5,AW1019=6),IF(LEFT(BH1019,1)="1",INDEX(係数_PM低減,MATCH(AY1019,【参考】排出係数!$AI$801:$AI$804,1),MATCH(BI1019,【参考】排出係数!$AL$798:$AO$798,1)),VLOOKUP(AU1019,INDEX((係数_バス貨物_ガソリン,係数_バス貨物_CNG,係数_バス貨物_軽油,係数_バス貨物_メタノール,係数_バス貨物_LPG),MATCH(AY1019,【参考】排出係数!$AI$4:$AI$671,1),1,BE1019):INDEX((係数_バス貨物_ガソリン,係数_バス貨物_CNG,係数_バス貨物_軽油,係数_バス貨物_メタノール,係数_バス貨物_LPG),MATCH(AY1019+1,【参考】排出係数!$AI$4:$AI$671,1)-1,5,BE1019),5,FALSE)),IF(AND(BE1019=3,LEFT(BF1019,1)="1"),0.055,VLOOKUP(AU1019,INDEX((係数_乗用_ガソリン,係数_乗用_CNG,係数_乗用_軽油,係数_乗用_メタノール,係数_乗用_LPG),1,1,BE1019):INDEX((係数_乗用_ガソリン,係数_乗用_CNG,係数_乗用_軽油,係数_乗用_メタノール,係数_乗用_LPG),125,5,BE1019),5,FALSE)))))</f>
        <v/>
      </c>
      <c r="AN1019" s="461" t="str">
        <f t="shared" si="578"/>
        <v/>
      </c>
      <c r="AO1019" s="462" t="str">
        <f t="shared" si="579"/>
        <v/>
      </c>
      <c r="AP1019" s="463" t="str">
        <f t="shared" si="580"/>
        <v/>
      </c>
      <c r="AQ1019" s="464"/>
      <c r="AR1019" s="619"/>
      <c r="AS1019" s="465" t="str">
        <f t="shared" si="588"/>
        <v/>
      </c>
      <c r="AT1019" s="465" t="str">
        <f t="shared" si="589"/>
        <v/>
      </c>
      <c r="AU1019" s="466" t="str">
        <f t="shared" si="590"/>
        <v/>
      </c>
      <c r="AV1019" s="467" t="str">
        <f t="shared" si="591"/>
        <v/>
      </c>
      <c r="AW1019" s="467" t="str">
        <f t="shared" si="592"/>
        <v/>
      </c>
      <c r="AX1019" s="467" t="str">
        <f t="shared" si="593"/>
        <v/>
      </c>
      <c r="AY1019" s="467" t="str">
        <f t="shared" si="594"/>
        <v/>
      </c>
      <c r="AZ1019" s="467" t="str">
        <f t="shared" si="595"/>
        <v/>
      </c>
      <c r="BA1019" s="468" t="str">
        <f>IF(AS1019="","",IF(OR(AU1019="",AU1019="-"),"－",IF(OR(AZ1019=8,AZ1019=9),"",IF(OR(AW1019=3,AW1019=4,AW1019=5,AW1019=6),VLOOKUP(AU1019,INDEX((係数_バス貨物_ガソリン,係数_バス貨物_CNG,係数_バス貨物_軽油,係数_バス貨物_メタノール,係数_バス貨物_LPG),MATCH(AY1019,【参考】排出係数!$AI$4:$AI$671,1),1,BE1019):INDEX((係数_バス貨物_ガソリン,係数_バス貨物_CNG,係数_バス貨物_軽油,係数_バス貨物_メタノール,係数_バス貨物_LPG),MATCH(AY1019+1,【参考】排出係数!$AI$4:$AI$671,1)-1,5,BE1019),2,FALSE),IF(OR(AW1019=1,AW1019=2),VLOOKUP(AU1019,INDEX((係数_乗用_ガソリン,係数_乗用_CNG,係数_乗用_軽油,係数_乗用_メタノール,係数_乗用_LPG),1,1,BE1019):INDEX((係数_乗用_ガソリン,係数_乗用_CNG,係数_乗用_軽油,係数_乗用_メタノール,係数_乗用_LPG),125,5,BE1019),2,FALSE))))))</f>
        <v/>
      </c>
      <c r="BB1019" s="468" t="str">
        <f>IF(T1019="","",IF(OR(AU1019="",AU1019="-"),"－",IF(OR(AZ1019=8,AZ1019=9),"",IF(OR(AW1019=3,AW1019=4,AW1019=5,AW1019=6),VLOOKUP(AU1019,INDEX((係数_バス貨物_ガソリン,係数_バス貨物_CNG,係数_バス貨物_軽油,係数_バス貨物_メタノール,係数_バス貨物_LPG),MATCH(AY1019,【参考】排出係数!$AI$4:$AI$671,1),1,BE1019):INDEX((係数_バス貨物_ガソリン,係数_バス貨物_CNG,係数_バス貨物_軽油,係数_バス貨物_メタノール,係数_バス貨物_LPG),MATCH(AY1019+1,【参考】排出係数!$AI$4:$AI$671,1)-1,5,BE1019),3,FALSE),IF(OR(AW1019=1,AW1019=2),VLOOKUP(AU1019,INDEX((係数_乗用_ガソリン,係数_乗用_CNG,係数_乗用_軽油,係数_乗用_メタノール,係数_乗用_LPG),1,1,BE1019):INDEX((係数_乗用_ガソリン,係数_乗用_CNG,係数_乗用_軽油,係数_乗用_メタノール,係数_乗用_LPG),125,5,BE1019),3,FALSE))))))</f>
        <v/>
      </c>
      <c r="BC1019" s="467" t="str">
        <f t="shared" si="596"/>
        <v/>
      </c>
      <c r="BD1019" s="567" t="str">
        <f t="shared" si="597"/>
        <v/>
      </c>
      <c r="BE1019" s="467" t="str">
        <f t="shared" si="598"/>
        <v/>
      </c>
      <c r="BF1019" s="469" t="str">
        <f t="shared" ca="1" si="599"/>
        <v/>
      </c>
      <c r="BG1019" s="469" t="str">
        <f t="shared" ca="1" si="600"/>
        <v/>
      </c>
      <c r="BH1019" s="467" t="str">
        <f t="shared" si="601"/>
        <v/>
      </c>
      <c r="BI1019" s="467" t="str">
        <f t="shared" ca="1" si="602"/>
        <v/>
      </c>
      <c r="BJ1019" s="469" t="str">
        <f t="shared" si="603"/>
        <v/>
      </c>
      <c r="BK1019" s="470" t="str">
        <f t="shared" si="587"/>
        <v/>
      </c>
      <c r="BL1019" s="775" t="str">
        <f t="shared" si="604"/>
        <v/>
      </c>
      <c r="BM1019" s="775" t="str">
        <f t="shared" si="605"/>
        <v/>
      </c>
    </row>
    <row r="1020" spans="1:65">
      <c r="A1020" s="473">
        <v>964</v>
      </c>
      <c r="B1020" s="132"/>
      <c r="C1020" s="332"/>
      <c r="D1020" s="333"/>
      <c r="E1020" s="333"/>
      <c r="F1020" s="334"/>
      <c r="G1020" s="337"/>
      <c r="H1020" s="131"/>
      <c r="I1020" s="337"/>
      <c r="J1020" s="131"/>
      <c r="K1020" s="458" t="str">
        <f t="shared" si="568"/>
        <v/>
      </c>
      <c r="L1020" s="458">
        <f t="shared" si="569"/>
        <v>0</v>
      </c>
      <c r="M1020" s="458">
        <f t="shared" si="570"/>
        <v>0</v>
      </c>
      <c r="N1020" s="459" t="str">
        <f t="shared" si="581"/>
        <v/>
      </c>
      <c r="O1020" s="459" t="str">
        <f t="shared" si="582"/>
        <v/>
      </c>
      <c r="P1020" s="459" t="str">
        <f t="shared" si="583"/>
        <v/>
      </c>
      <c r="Q1020" s="459" t="str">
        <f t="shared" si="584"/>
        <v/>
      </c>
      <c r="R1020" s="459" t="str">
        <f t="shared" si="585"/>
        <v/>
      </c>
      <c r="S1020" s="459" t="str">
        <f t="shared" si="586"/>
        <v/>
      </c>
      <c r="T1020" s="566" t="str">
        <f t="shared" si="571"/>
        <v/>
      </c>
      <c r="U1020" s="702"/>
      <c r="V1020" s="132"/>
      <c r="W1020" s="133"/>
      <c r="X1020" s="134"/>
      <c r="Y1020" s="135"/>
      <c r="Z1020" s="137"/>
      <c r="AA1020" s="136"/>
      <c r="AB1020" s="566" t="str">
        <f t="shared" si="572"/>
        <v/>
      </c>
      <c r="AC1020" s="568" t="str">
        <f t="shared" si="573"/>
        <v/>
      </c>
      <c r="AD1020" s="137"/>
      <c r="AE1020" s="137"/>
      <c r="AF1020" s="138"/>
      <c r="AG1020" s="138"/>
      <c r="AH1020" s="592" t="str">
        <f t="shared" si="574"/>
        <v/>
      </c>
      <c r="AI1020" s="592" t="str">
        <f t="shared" si="575"/>
        <v/>
      </c>
      <c r="AJ1020" s="592" t="str">
        <f t="shared" si="576"/>
        <v/>
      </c>
      <c r="AK1020" s="460" t="str">
        <f>IF(AU1020="","",IF(OR(AZ1020=8,AZ1020=9),0,IF(OR(AW1020=3,AW1020=4,AW1020=5,AW1020=6),IF(LEFT(BF1020,1)="1",INDEX(係数_NOX・PM低減,MATCH(AY1020,【参考】排出係数!$AI$801:$AI$804,1),1),VLOOKUP(AU1020,INDEX((係数_バス貨物_ガソリン,係数_バス貨物_CNG,係数_バス貨物_軽油,係数_バス貨物_メタノール,係数_バス貨物_LPG),MATCH(AY1020,【参考】排出係数!$AI$4:$AI$671,1),1,BE1020):INDEX((係数_バス貨物_ガソリン,係数_バス貨物_CNG,係数_バス貨物_軽油,係数_バス貨物_メタノール,係数_バス貨物_LPG),MATCH(AY1020+1,【参考】排出係数!$AI$4:$AI$671,1)-1,5,BE1020),4,FALSE)),IF(AND(BE1020=3,LEFT(BF1020,1)="1"),0.48,VLOOKUP(AU1020,INDEX((係数_乗用_ガソリン,係数_乗用_CNG,係数_乗用_軽油,係数_乗用_メタノール,係数_乗用_LPG),1,1,BE1020):INDEX((係数_乗用_ガソリン,係数_乗用_CNG,係数_乗用_軽油,係数_乗用_メタノール,係数_乗用_LPG),125,5,BE1020),4,FALSE)))))</f>
        <v/>
      </c>
      <c r="AL1020" s="461" t="str">
        <f t="shared" si="577"/>
        <v/>
      </c>
      <c r="AM1020" s="460" t="str">
        <f>IF(AU1020="","",IF(OR(AZ1020=8,AZ1020=9),0,IF(OR(AW1020=3,AW1020=4,AW1020=5,AW1020=6),IF(LEFT(BH1020,1)="1",INDEX(係数_PM低減,MATCH(AY1020,【参考】排出係数!$AI$801:$AI$804,1),MATCH(BI1020,【参考】排出係数!$AL$798:$AO$798,1)),VLOOKUP(AU1020,INDEX((係数_バス貨物_ガソリン,係数_バス貨物_CNG,係数_バス貨物_軽油,係数_バス貨物_メタノール,係数_バス貨物_LPG),MATCH(AY1020,【参考】排出係数!$AI$4:$AI$671,1),1,BE1020):INDEX((係数_バス貨物_ガソリン,係数_バス貨物_CNG,係数_バス貨物_軽油,係数_バス貨物_メタノール,係数_バス貨物_LPG),MATCH(AY1020+1,【参考】排出係数!$AI$4:$AI$671,1)-1,5,BE1020),5,FALSE)),IF(AND(BE1020=3,LEFT(BF1020,1)="1"),0.055,VLOOKUP(AU1020,INDEX((係数_乗用_ガソリン,係数_乗用_CNG,係数_乗用_軽油,係数_乗用_メタノール,係数_乗用_LPG),1,1,BE1020):INDEX((係数_乗用_ガソリン,係数_乗用_CNG,係数_乗用_軽油,係数_乗用_メタノール,係数_乗用_LPG),125,5,BE1020),5,FALSE)))))</f>
        <v/>
      </c>
      <c r="AN1020" s="461" t="str">
        <f t="shared" si="578"/>
        <v/>
      </c>
      <c r="AO1020" s="462" t="str">
        <f t="shared" si="579"/>
        <v/>
      </c>
      <c r="AP1020" s="463" t="str">
        <f t="shared" si="580"/>
        <v/>
      </c>
      <c r="AQ1020" s="464"/>
      <c r="AR1020" s="619"/>
      <c r="AS1020" s="465" t="str">
        <f t="shared" si="588"/>
        <v/>
      </c>
      <c r="AT1020" s="465" t="str">
        <f t="shared" si="589"/>
        <v/>
      </c>
      <c r="AU1020" s="466" t="str">
        <f t="shared" si="590"/>
        <v/>
      </c>
      <c r="AV1020" s="467" t="str">
        <f t="shared" si="591"/>
        <v/>
      </c>
      <c r="AW1020" s="467" t="str">
        <f t="shared" si="592"/>
        <v/>
      </c>
      <c r="AX1020" s="467" t="str">
        <f t="shared" si="593"/>
        <v/>
      </c>
      <c r="AY1020" s="467" t="str">
        <f t="shared" si="594"/>
        <v/>
      </c>
      <c r="AZ1020" s="467" t="str">
        <f t="shared" si="595"/>
        <v/>
      </c>
      <c r="BA1020" s="468" t="str">
        <f>IF(AS1020="","",IF(OR(AU1020="",AU1020="-"),"－",IF(OR(AZ1020=8,AZ1020=9),"",IF(OR(AW1020=3,AW1020=4,AW1020=5,AW1020=6),VLOOKUP(AU1020,INDEX((係数_バス貨物_ガソリン,係数_バス貨物_CNG,係数_バス貨物_軽油,係数_バス貨物_メタノール,係数_バス貨物_LPG),MATCH(AY1020,【参考】排出係数!$AI$4:$AI$671,1),1,BE1020):INDEX((係数_バス貨物_ガソリン,係数_バス貨物_CNG,係数_バス貨物_軽油,係数_バス貨物_メタノール,係数_バス貨物_LPG),MATCH(AY1020+1,【参考】排出係数!$AI$4:$AI$671,1)-1,5,BE1020),2,FALSE),IF(OR(AW1020=1,AW1020=2),VLOOKUP(AU1020,INDEX((係数_乗用_ガソリン,係数_乗用_CNG,係数_乗用_軽油,係数_乗用_メタノール,係数_乗用_LPG),1,1,BE1020):INDEX((係数_乗用_ガソリン,係数_乗用_CNG,係数_乗用_軽油,係数_乗用_メタノール,係数_乗用_LPG),125,5,BE1020),2,FALSE))))))</f>
        <v/>
      </c>
      <c r="BB1020" s="468" t="str">
        <f>IF(T1020="","",IF(OR(AU1020="",AU1020="-"),"－",IF(OR(AZ1020=8,AZ1020=9),"",IF(OR(AW1020=3,AW1020=4,AW1020=5,AW1020=6),VLOOKUP(AU1020,INDEX((係数_バス貨物_ガソリン,係数_バス貨物_CNG,係数_バス貨物_軽油,係数_バス貨物_メタノール,係数_バス貨物_LPG),MATCH(AY1020,【参考】排出係数!$AI$4:$AI$671,1),1,BE1020):INDEX((係数_バス貨物_ガソリン,係数_バス貨物_CNG,係数_バス貨物_軽油,係数_バス貨物_メタノール,係数_バス貨物_LPG),MATCH(AY1020+1,【参考】排出係数!$AI$4:$AI$671,1)-1,5,BE1020),3,FALSE),IF(OR(AW1020=1,AW1020=2),VLOOKUP(AU1020,INDEX((係数_乗用_ガソリン,係数_乗用_CNG,係数_乗用_軽油,係数_乗用_メタノール,係数_乗用_LPG),1,1,BE1020):INDEX((係数_乗用_ガソリン,係数_乗用_CNG,係数_乗用_軽油,係数_乗用_メタノール,係数_乗用_LPG),125,5,BE1020),3,FALSE))))))</f>
        <v/>
      </c>
      <c r="BC1020" s="467" t="str">
        <f t="shared" si="596"/>
        <v/>
      </c>
      <c r="BD1020" s="567" t="str">
        <f t="shared" si="597"/>
        <v/>
      </c>
      <c r="BE1020" s="467" t="str">
        <f t="shared" si="598"/>
        <v/>
      </c>
      <c r="BF1020" s="469" t="str">
        <f t="shared" ca="1" si="599"/>
        <v/>
      </c>
      <c r="BG1020" s="469" t="str">
        <f t="shared" ca="1" si="600"/>
        <v/>
      </c>
      <c r="BH1020" s="467" t="str">
        <f t="shared" si="601"/>
        <v/>
      </c>
      <c r="BI1020" s="467" t="str">
        <f t="shared" ca="1" si="602"/>
        <v/>
      </c>
      <c r="BJ1020" s="469" t="str">
        <f t="shared" si="603"/>
        <v/>
      </c>
      <c r="BK1020" s="470" t="str">
        <f t="shared" si="587"/>
        <v/>
      </c>
      <c r="BL1020" s="775" t="str">
        <f t="shared" si="604"/>
        <v/>
      </c>
      <c r="BM1020" s="775" t="str">
        <f t="shared" si="605"/>
        <v/>
      </c>
    </row>
    <row r="1021" spans="1:65">
      <c r="A1021" s="473">
        <v>965</v>
      </c>
      <c r="B1021" s="132"/>
      <c r="C1021" s="332"/>
      <c r="D1021" s="333"/>
      <c r="E1021" s="333"/>
      <c r="F1021" s="334"/>
      <c r="G1021" s="337"/>
      <c r="H1021" s="131"/>
      <c r="I1021" s="337"/>
      <c r="J1021" s="131"/>
      <c r="K1021" s="458" t="str">
        <f t="shared" si="568"/>
        <v/>
      </c>
      <c r="L1021" s="458">
        <f t="shared" si="569"/>
        <v>0</v>
      </c>
      <c r="M1021" s="458">
        <f t="shared" si="570"/>
        <v>0</v>
      </c>
      <c r="N1021" s="459" t="str">
        <f t="shared" si="581"/>
        <v/>
      </c>
      <c r="O1021" s="459" t="str">
        <f t="shared" si="582"/>
        <v/>
      </c>
      <c r="P1021" s="459" t="str">
        <f t="shared" si="583"/>
        <v/>
      </c>
      <c r="Q1021" s="459" t="str">
        <f t="shared" si="584"/>
        <v/>
      </c>
      <c r="R1021" s="459" t="str">
        <f t="shared" si="585"/>
        <v/>
      </c>
      <c r="S1021" s="459" t="str">
        <f t="shared" si="586"/>
        <v/>
      </c>
      <c r="T1021" s="566" t="str">
        <f t="shared" si="571"/>
        <v/>
      </c>
      <c r="U1021" s="702"/>
      <c r="V1021" s="132"/>
      <c r="W1021" s="133"/>
      <c r="X1021" s="134"/>
      <c r="Y1021" s="135"/>
      <c r="Z1021" s="137"/>
      <c r="AA1021" s="136"/>
      <c r="AB1021" s="566" t="str">
        <f t="shared" si="572"/>
        <v/>
      </c>
      <c r="AC1021" s="568" t="str">
        <f t="shared" si="573"/>
        <v/>
      </c>
      <c r="AD1021" s="137"/>
      <c r="AE1021" s="137"/>
      <c r="AF1021" s="138"/>
      <c r="AG1021" s="138"/>
      <c r="AH1021" s="592" t="str">
        <f t="shared" si="574"/>
        <v/>
      </c>
      <c r="AI1021" s="592" t="str">
        <f t="shared" si="575"/>
        <v/>
      </c>
      <c r="AJ1021" s="592" t="str">
        <f t="shared" si="576"/>
        <v/>
      </c>
      <c r="AK1021" s="460" t="str">
        <f>IF(AU1021="","",IF(OR(AZ1021=8,AZ1021=9),0,IF(OR(AW1021=3,AW1021=4,AW1021=5,AW1021=6),IF(LEFT(BF1021,1)="1",INDEX(係数_NOX・PM低減,MATCH(AY1021,【参考】排出係数!$AI$801:$AI$804,1),1),VLOOKUP(AU1021,INDEX((係数_バス貨物_ガソリン,係数_バス貨物_CNG,係数_バス貨物_軽油,係数_バス貨物_メタノール,係数_バス貨物_LPG),MATCH(AY1021,【参考】排出係数!$AI$4:$AI$671,1),1,BE1021):INDEX((係数_バス貨物_ガソリン,係数_バス貨物_CNG,係数_バス貨物_軽油,係数_バス貨物_メタノール,係数_バス貨物_LPG),MATCH(AY1021+1,【参考】排出係数!$AI$4:$AI$671,1)-1,5,BE1021),4,FALSE)),IF(AND(BE1021=3,LEFT(BF1021,1)="1"),0.48,VLOOKUP(AU1021,INDEX((係数_乗用_ガソリン,係数_乗用_CNG,係数_乗用_軽油,係数_乗用_メタノール,係数_乗用_LPG),1,1,BE1021):INDEX((係数_乗用_ガソリン,係数_乗用_CNG,係数_乗用_軽油,係数_乗用_メタノール,係数_乗用_LPG),125,5,BE1021),4,FALSE)))))</f>
        <v/>
      </c>
      <c r="AL1021" s="461" t="str">
        <f t="shared" si="577"/>
        <v/>
      </c>
      <c r="AM1021" s="460" t="str">
        <f>IF(AU1021="","",IF(OR(AZ1021=8,AZ1021=9),0,IF(OR(AW1021=3,AW1021=4,AW1021=5,AW1021=6),IF(LEFT(BH1021,1)="1",INDEX(係数_PM低減,MATCH(AY1021,【参考】排出係数!$AI$801:$AI$804,1),MATCH(BI1021,【参考】排出係数!$AL$798:$AO$798,1)),VLOOKUP(AU1021,INDEX((係数_バス貨物_ガソリン,係数_バス貨物_CNG,係数_バス貨物_軽油,係数_バス貨物_メタノール,係数_バス貨物_LPG),MATCH(AY1021,【参考】排出係数!$AI$4:$AI$671,1),1,BE1021):INDEX((係数_バス貨物_ガソリン,係数_バス貨物_CNG,係数_バス貨物_軽油,係数_バス貨物_メタノール,係数_バス貨物_LPG),MATCH(AY1021+1,【参考】排出係数!$AI$4:$AI$671,1)-1,5,BE1021),5,FALSE)),IF(AND(BE1021=3,LEFT(BF1021,1)="1"),0.055,VLOOKUP(AU1021,INDEX((係数_乗用_ガソリン,係数_乗用_CNG,係数_乗用_軽油,係数_乗用_メタノール,係数_乗用_LPG),1,1,BE1021):INDEX((係数_乗用_ガソリン,係数_乗用_CNG,係数_乗用_軽油,係数_乗用_メタノール,係数_乗用_LPG),125,5,BE1021),5,FALSE)))))</f>
        <v/>
      </c>
      <c r="AN1021" s="461" t="str">
        <f t="shared" si="578"/>
        <v/>
      </c>
      <c r="AO1021" s="462" t="str">
        <f t="shared" si="579"/>
        <v/>
      </c>
      <c r="AP1021" s="463" t="str">
        <f t="shared" si="580"/>
        <v/>
      </c>
      <c r="AQ1021" s="464"/>
      <c r="AR1021" s="619"/>
      <c r="AS1021" s="465" t="str">
        <f t="shared" si="588"/>
        <v/>
      </c>
      <c r="AT1021" s="465" t="str">
        <f t="shared" si="589"/>
        <v/>
      </c>
      <c r="AU1021" s="466" t="str">
        <f t="shared" si="590"/>
        <v/>
      </c>
      <c r="AV1021" s="467" t="str">
        <f t="shared" si="591"/>
        <v/>
      </c>
      <c r="AW1021" s="467" t="str">
        <f t="shared" si="592"/>
        <v/>
      </c>
      <c r="AX1021" s="467" t="str">
        <f t="shared" si="593"/>
        <v/>
      </c>
      <c r="AY1021" s="467" t="str">
        <f t="shared" si="594"/>
        <v/>
      </c>
      <c r="AZ1021" s="467" t="str">
        <f t="shared" si="595"/>
        <v/>
      </c>
      <c r="BA1021" s="468" t="str">
        <f>IF(AS1021="","",IF(OR(AU1021="",AU1021="-"),"－",IF(OR(AZ1021=8,AZ1021=9),"",IF(OR(AW1021=3,AW1021=4,AW1021=5,AW1021=6),VLOOKUP(AU1021,INDEX((係数_バス貨物_ガソリン,係数_バス貨物_CNG,係数_バス貨物_軽油,係数_バス貨物_メタノール,係数_バス貨物_LPG),MATCH(AY1021,【参考】排出係数!$AI$4:$AI$671,1),1,BE1021):INDEX((係数_バス貨物_ガソリン,係数_バス貨物_CNG,係数_バス貨物_軽油,係数_バス貨物_メタノール,係数_バス貨物_LPG),MATCH(AY1021+1,【参考】排出係数!$AI$4:$AI$671,1)-1,5,BE1021),2,FALSE),IF(OR(AW1021=1,AW1021=2),VLOOKUP(AU1021,INDEX((係数_乗用_ガソリン,係数_乗用_CNG,係数_乗用_軽油,係数_乗用_メタノール,係数_乗用_LPG),1,1,BE1021):INDEX((係数_乗用_ガソリン,係数_乗用_CNG,係数_乗用_軽油,係数_乗用_メタノール,係数_乗用_LPG),125,5,BE1021),2,FALSE))))))</f>
        <v/>
      </c>
      <c r="BB1021" s="468" t="str">
        <f>IF(T1021="","",IF(OR(AU1021="",AU1021="-"),"－",IF(OR(AZ1021=8,AZ1021=9),"",IF(OR(AW1021=3,AW1021=4,AW1021=5,AW1021=6),VLOOKUP(AU1021,INDEX((係数_バス貨物_ガソリン,係数_バス貨物_CNG,係数_バス貨物_軽油,係数_バス貨物_メタノール,係数_バス貨物_LPG),MATCH(AY1021,【参考】排出係数!$AI$4:$AI$671,1),1,BE1021):INDEX((係数_バス貨物_ガソリン,係数_バス貨物_CNG,係数_バス貨物_軽油,係数_バス貨物_メタノール,係数_バス貨物_LPG),MATCH(AY1021+1,【参考】排出係数!$AI$4:$AI$671,1)-1,5,BE1021),3,FALSE),IF(OR(AW1021=1,AW1021=2),VLOOKUP(AU1021,INDEX((係数_乗用_ガソリン,係数_乗用_CNG,係数_乗用_軽油,係数_乗用_メタノール,係数_乗用_LPG),1,1,BE1021):INDEX((係数_乗用_ガソリン,係数_乗用_CNG,係数_乗用_軽油,係数_乗用_メタノール,係数_乗用_LPG),125,5,BE1021),3,FALSE))))))</f>
        <v/>
      </c>
      <c r="BC1021" s="467" t="str">
        <f t="shared" si="596"/>
        <v/>
      </c>
      <c r="BD1021" s="567" t="str">
        <f t="shared" si="597"/>
        <v/>
      </c>
      <c r="BE1021" s="467" t="str">
        <f t="shared" si="598"/>
        <v/>
      </c>
      <c r="BF1021" s="469" t="str">
        <f t="shared" ca="1" si="599"/>
        <v/>
      </c>
      <c r="BG1021" s="469" t="str">
        <f t="shared" ca="1" si="600"/>
        <v/>
      </c>
      <c r="BH1021" s="467" t="str">
        <f t="shared" si="601"/>
        <v/>
      </c>
      <c r="BI1021" s="467" t="str">
        <f t="shared" ca="1" si="602"/>
        <v/>
      </c>
      <c r="BJ1021" s="469" t="str">
        <f t="shared" si="603"/>
        <v/>
      </c>
      <c r="BK1021" s="470" t="str">
        <f t="shared" si="587"/>
        <v/>
      </c>
      <c r="BL1021" s="775" t="str">
        <f t="shared" si="604"/>
        <v/>
      </c>
      <c r="BM1021" s="775" t="str">
        <f t="shared" si="605"/>
        <v/>
      </c>
    </row>
    <row r="1022" spans="1:65">
      <c r="A1022" s="473">
        <v>966</v>
      </c>
      <c r="B1022" s="132"/>
      <c r="C1022" s="332"/>
      <c r="D1022" s="333"/>
      <c r="E1022" s="333"/>
      <c r="F1022" s="334"/>
      <c r="G1022" s="337"/>
      <c r="H1022" s="131"/>
      <c r="I1022" s="337"/>
      <c r="J1022" s="131"/>
      <c r="K1022" s="458" t="str">
        <f t="shared" si="568"/>
        <v/>
      </c>
      <c r="L1022" s="458">
        <f t="shared" si="569"/>
        <v>0</v>
      </c>
      <c r="M1022" s="458">
        <f t="shared" si="570"/>
        <v>0</v>
      </c>
      <c r="N1022" s="459" t="str">
        <f t="shared" si="581"/>
        <v/>
      </c>
      <c r="O1022" s="459" t="str">
        <f t="shared" si="582"/>
        <v/>
      </c>
      <c r="P1022" s="459" t="str">
        <f t="shared" si="583"/>
        <v/>
      </c>
      <c r="Q1022" s="459" t="str">
        <f t="shared" si="584"/>
        <v/>
      </c>
      <c r="R1022" s="459" t="str">
        <f t="shared" si="585"/>
        <v/>
      </c>
      <c r="S1022" s="459" t="str">
        <f t="shared" si="586"/>
        <v/>
      </c>
      <c r="T1022" s="566" t="str">
        <f t="shared" si="571"/>
        <v/>
      </c>
      <c r="U1022" s="702"/>
      <c r="V1022" s="132"/>
      <c r="W1022" s="133"/>
      <c r="X1022" s="134"/>
      <c r="Y1022" s="135"/>
      <c r="Z1022" s="137"/>
      <c r="AA1022" s="136"/>
      <c r="AB1022" s="566" t="str">
        <f t="shared" si="572"/>
        <v/>
      </c>
      <c r="AC1022" s="568" t="str">
        <f t="shared" si="573"/>
        <v/>
      </c>
      <c r="AD1022" s="137"/>
      <c r="AE1022" s="137"/>
      <c r="AF1022" s="138"/>
      <c r="AG1022" s="138"/>
      <c r="AH1022" s="592" t="str">
        <f t="shared" si="574"/>
        <v/>
      </c>
      <c r="AI1022" s="592" t="str">
        <f t="shared" si="575"/>
        <v/>
      </c>
      <c r="AJ1022" s="592" t="str">
        <f t="shared" si="576"/>
        <v/>
      </c>
      <c r="AK1022" s="460" t="str">
        <f>IF(AU1022="","",IF(OR(AZ1022=8,AZ1022=9),0,IF(OR(AW1022=3,AW1022=4,AW1022=5,AW1022=6),IF(LEFT(BF1022,1)="1",INDEX(係数_NOX・PM低減,MATCH(AY1022,【参考】排出係数!$AI$801:$AI$804,1),1),VLOOKUP(AU1022,INDEX((係数_バス貨物_ガソリン,係数_バス貨物_CNG,係数_バス貨物_軽油,係数_バス貨物_メタノール,係数_バス貨物_LPG),MATCH(AY1022,【参考】排出係数!$AI$4:$AI$671,1),1,BE1022):INDEX((係数_バス貨物_ガソリン,係数_バス貨物_CNG,係数_バス貨物_軽油,係数_バス貨物_メタノール,係数_バス貨物_LPG),MATCH(AY1022+1,【参考】排出係数!$AI$4:$AI$671,1)-1,5,BE1022),4,FALSE)),IF(AND(BE1022=3,LEFT(BF1022,1)="1"),0.48,VLOOKUP(AU1022,INDEX((係数_乗用_ガソリン,係数_乗用_CNG,係数_乗用_軽油,係数_乗用_メタノール,係数_乗用_LPG),1,1,BE1022):INDEX((係数_乗用_ガソリン,係数_乗用_CNG,係数_乗用_軽油,係数_乗用_メタノール,係数_乗用_LPG),125,5,BE1022),4,FALSE)))))</f>
        <v/>
      </c>
      <c r="AL1022" s="461" t="str">
        <f t="shared" si="577"/>
        <v/>
      </c>
      <c r="AM1022" s="460" t="str">
        <f>IF(AU1022="","",IF(OR(AZ1022=8,AZ1022=9),0,IF(OR(AW1022=3,AW1022=4,AW1022=5,AW1022=6),IF(LEFT(BH1022,1)="1",INDEX(係数_PM低減,MATCH(AY1022,【参考】排出係数!$AI$801:$AI$804,1),MATCH(BI1022,【参考】排出係数!$AL$798:$AO$798,1)),VLOOKUP(AU1022,INDEX((係数_バス貨物_ガソリン,係数_バス貨物_CNG,係数_バス貨物_軽油,係数_バス貨物_メタノール,係数_バス貨物_LPG),MATCH(AY1022,【参考】排出係数!$AI$4:$AI$671,1),1,BE1022):INDEX((係数_バス貨物_ガソリン,係数_バス貨物_CNG,係数_バス貨物_軽油,係数_バス貨物_メタノール,係数_バス貨物_LPG),MATCH(AY1022+1,【参考】排出係数!$AI$4:$AI$671,1)-1,5,BE1022),5,FALSE)),IF(AND(BE1022=3,LEFT(BF1022,1)="1"),0.055,VLOOKUP(AU1022,INDEX((係数_乗用_ガソリン,係数_乗用_CNG,係数_乗用_軽油,係数_乗用_メタノール,係数_乗用_LPG),1,1,BE1022):INDEX((係数_乗用_ガソリン,係数_乗用_CNG,係数_乗用_軽油,係数_乗用_メタノール,係数_乗用_LPG),125,5,BE1022),5,FALSE)))))</f>
        <v/>
      </c>
      <c r="AN1022" s="461" t="str">
        <f t="shared" si="578"/>
        <v/>
      </c>
      <c r="AO1022" s="462" t="str">
        <f t="shared" si="579"/>
        <v/>
      </c>
      <c r="AP1022" s="463" t="str">
        <f t="shared" si="580"/>
        <v/>
      </c>
      <c r="AQ1022" s="464"/>
      <c r="AR1022" s="619"/>
      <c r="AS1022" s="465" t="str">
        <f t="shared" si="588"/>
        <v/>
      </c>
      <c r="AT1022" s="465" t="str">
        <f t="shared" si="589"/>
        <v/>
      </c>
      <c r="AU1022" s="466" t="str">
        <f t="shared" si="590"/>
        <v/>
      </c>
      <c r="AV1022" s="467" t="str">
        <f t="shared" si="591"/>
        <v/>
      </c>
      <c r="AW1022" s="467" t="str">
        <f t="shared" si="592"/>
        <v/>
      </c>
      <c r="AX1022" s="467" t="str">
        <f t="shared" si="593"/>
        <v/>
      </c>
      <c r="AY1022" s="467" t="str">
        <f t="shared" si="594"/>
        <v/>
      </c>
      <c r="AZ1022" s="467" t="str">
        <f t="shared" si="595"/>
        <v/>
      </c>
      <c r="BA1022" s="468" t="str">
        <f>IF(AS1022="","",IF(OR(AU1022="",AU1022="-"),"－",IF(OR(AZ1022=8,AZ1022=9),"",IF(OR(AW1022=3,AW1022=4,AW1022=5,AW1022=6),VLOOKUP(AU1022,INDEX((係数_バス貨物_ガソリン,係数_バス貨物_CNG,係数_バス貨物_軽油,係数_バス貨物_メタノール,係数_バス貨物_LPG),MATCH(AY1022,【参考】排出係数!$AI$4:$AI$671,1),1,BE1022):INDEX((係数_バス貨物_ガソリン,係数_バス貨物_CNG,係数_バス貨物_軽油,係数_バス貨物_メタノール,係数_バス貨物_LPG),MATCH(AY1022+1,【参考】排出係数!$AI$4:$AI$671,1)-1,5,BE1022),2,FALSE),IF(OR(AW1022=1,AW1022=2),VLOOKUP(AU1022,INDEX((係数_乗用_ガソリン,係数_乗用_CNG,係数_乗用_軽油,係数_乗用_メタノール,係数_乗用_LPG),1,1,BE1022):INDEX((係数_乗用_ガソリン,係数_乗用_CNG,係数_乗用_軽油,係数_乗用_メタノール,係数_乗用_LPG),125,5,BE1022),2,FALSE))))))</f>
        <v/>
      </c>
      <c r="BB1022" s="468" t="str">
        <f>IF(T1022="","",IF(OR(AU1022="",AU1022="-"),"－",IF(OR(AZ1022=8,AZ1022=9),"",IF(OR(AW1022=3,AW1022=4,AW1022=5,AW1022=6),VLOOKUP(AU1022,INDEX((係数_バス貨物_ガソリン,係数_バス貨物_CNG,係数_バス貨物_軽油,係数_バス貨物_メタノール,係数_バス貨物_LPG),MATCH(AY1022,【参考】排出係数!$AI$4:$AI$671,1),1,BE1022):INDEX((係数_バス貨物_ガソリン,係数_バス貨物_CNG,係数_バス貨物_軽油,係数_バス貨物_メタノール,係数_バス貨物_LPG),MATCH(AY1022+1,【参考】排出係数!$AI$4:$AI$671,1)-1,5,BE1022),3,FALSE),IF(OR(AW1022=1,AW1022=2),VLOOKUP(AU1022,INDEX((係数_乗用_ガソリン,係数_乗用_CNG,係数_乗用_軽油,係数_乗用_メタノール,係数_乗用_LPG),1,1,BE1022):INDEX((係数_乗用_ガソリン,係数_乗用_CNG,係数_乗用_軽油,係数_乗用_メタノール,係数_乗用_LPG),125,5,BE1022),3,FALSE))))))</f>
        <v/>
      </c>
      <c r="BC1022" s="467" t="str">
        <f t="shared" si="596"/>
        <v/>
      </c>
      <c r="BD1022" s="567" t="str">
        <f t="shared" si="597"/>
        <v/>
      </c>
      <c r="BE1022" s="467" t="str">
        <f t="shared" si="598"/>
        <v/>
      </c>
      <c r="BF1022" s="469" t="str">
        <f t="shared" ca="1" si="599"/>
        <v/>
      </c>
      <c r="BG1022" s="469" t="str">
        <f t="shared" ca="1" si="600"/>
        <v/>
      </c>
      <c r="BH1022" s="467" t="str">
        <f t="shared" si="601"/>
        <v/>
      </c>
      <c r="BI1022" s="467" t="str">
        <f t="shared" ca="1" si="602"/>
        <v/>
      </c>
      <c r="BJ1022" s="469" t="str">
        <f t="shared" si="603"/>
        <v/>
      </c>
      <c r="BK1022" s="470" t="str">
        <f t="shared" si="587"/>
        <v/>
      </c>
      <c r="BL1022" s="775" t="str">
        <f t="shared" si="604"/>
        <v/>
      </c>
      <c r="BM1022" s="775" t="str">
        <f t="shared" si="605"/>
        <v/>
      </c>
    </row>
    <row r="1023" spans="1:65">
      <c r="A1023" s="473">
        <v>967</v>
      </c>
      <c r="B1023" s="132"/>
      <c r="C1023" s="332"/>
      <c r="D1023" s="333"/>
      <c r="E1023" s="333"/>
      <c r="F1023" s="334"/>
      <c r="G1023" s="337"/>
      <c r="H1023" s="131"/>
      <c r="I1023" s="337"/>
      <c r="J1023" s="131"/>
      <c r="K1023" s="458" t="str">
        <f t="shared" si="568"/>
        <v/>
      </c>
      <c r="L1023" s="458">
        <f t="shared" si="569"/>
        <v>0</v>
      </c>
      <c r="M1023" s="458">
        <f t="shared" si="570"/>
        <v>0</v>
      </c>
      <c r="N1023" s="459" t="str">
        <f t="shared" si="581"/>
        <v/>
      </c>
      <c r="O1023" s="459" t="str">
        <f t="shared" si="582"/>
        <v/>
      </c>
      <c r="P1023" s="459" t="str">
        <f t="shared" si="583"/>
        <v/>
      </c>
      <c r="Q1023" s="459" t="str">
        <f t="shared" si="584"/>
        <v/>
      </c>
      <c r="R1023" s="459" t="str">
        <f t="shared" si="585"/>
        <v/>
      </c>
      <c r="S1023" s="459" t="str">
        <f t="shared" si="586"/>
        <v/>
      </c>
      <c r="T1023" s="566" t="str">
        <f t="shared" si="571"/>
        <v/>
      </c>
      <c r="U1023" s="702"/>
      <c r="V1023" s="132"/>
      <c r="W1023" s="133"/>
      <c r="X1023" s="134"/>
      <c r="Y1023" s="135"/>
      <c r="Z1023" s="137"/>
      <c r="AA1023" s="136"/>
      <c r="AB1023" s="566" t="str">
        <f t="shared" si="572"/>
        <v/>
      </c>
      <c r="AC1023" s="568" t="str">
        <f t="shared" si="573"/>
        <v/>
      </c>
      <c r="AD1023" s="137"/>
      <c r="AE1023" s="137"/>
      <c r="AF1023" s="138"/>
      <c r="AG1023" s="138"/>
      <c r="AH1023" s="592" t="str">
        <f t="shared" si="574"/>
        <v/>
      </c>
      <c r="AI1023" s="592" t="str">
        <f t="shared" si="575"/>
        <v/>
      </c>
      <c r="AJ1023" s="592" t="str">
        <f t="shared" si="576"/>
        <v/>
      </c>
      <c r="AK1023" s="460" t="str">
        <f>IF(AU1023="","",IF(OR(AZ1023=8,AZ1023=9),0,IF(OR(AW1023=3,AW1023=4,AW1023=5,AW1023=6),IF(LEFT(BF1023,1)="1",INDEX(係数_NOX・PM低減,MATCH(AY1023,【参考】排出係数!$AI$801:$AI$804,1),1),VLOOKUP(AU1023,INDEX((係数_バス貨物_ガソリン,係数_バス貨物_CNG,係数_バス貨物_軽油,係数_バス貨物_メタノール,係数_バス貨物_LPG),MATCH(AY1023,【参考】排出係数!$AI$4:$AI$671,1),1,BE1023):INDEX((係数_バス貨物_ガソリン,係数_バス貨物_CNG,係数_バス貨物_軽油,係数_バス貨物_メタノール,係数_バス貨物_LPG),MATCH(AY1023+1,【参考】排出係数!$AI$4:$AI$671,1)-1,5,BE1023),4,FALSE)),IF(AND(BE1023=3,LEFT(BF1023,1)="1"),0.48,VLOOKUP(AU1023,INDEX((係数_乗用_ガソリン,係数_乗用_CNG,係数_乗用_軽油,係数_乗用_メタノール,係数_乗用_LPG),1,1,BE1023):INDEX((係数_乗用_ガソリン,係数_乗用_CNG,係数_乗用_軽油,係数_乗用_メタノール,係数_乗用_LPG),125,5,BE1023),4,FALSE)))))</f>
        <v/>
      </c>
      <c r="AL1023" s="461" t="str">
        <f t="shared" si="577"/>
        <v/>
      </c>
      <c r="AM1023" s="460" t="str">
        <f>IF(AU1023="","",IF(OR(AZ1023=8,AZ1023=9),0,IF(OR(AW1023=3,AW1023=4,AW1023=5,AW1023=6),IF(LEFT(BH1023,1)="1",INDEX(係数_PM低減,MATCH(AY1023,【参考】排出係数!$AI$801:$AI$804,1),MATCH(BI1023,【参考】排出係数!$AL$798:$AO$798,1)),VLOOKUP(AU1023,INDEX((係数_バス貨物_ガソリン,係数_バス貨物_CNG,係数_バス貨物_軽油,係数_バス貨物_メタノール,係数_バス貨物_LPG),MATCH(AY1023,【参考】排出係数!$AI$4:$AI$671,1),1,BE1023):INDEX((係数_バス貨物_ガソリン,係数_バス貨物_CNG,係数_バス貨物_軽油,係数_バス貨物_メタノール,係数_バス貨物_LPG),MATCH(AY1023+1,【参考】排出係数!$AI$4:$AI$671,1)-1,5,BE1023),5,FALSE)),IF(AND(BE1023=3,LEFT(BF1023,1)="1"),0.055,VLOOKUP(AU1023,INDEX((係数_乗用_ガソリン,係数_乗用_CNG,係数_乗用_軽油,係数_乗用_メタノール,係数_乗用_LPG),1,1,BE1023):INDEX((係数_乗用_ガソリン,係数_乗用_CNG,係数_乗用_軽油,係数_乗用_メタノール,係数_乗用_LPG),125,5,BE1023),5,FALSE)))))</f>
        <v/>
      </c>
      <c r="AN1023" s="461" t="str">
        <f t="shared" si="578"/>
        <v/>
      </c>
      <c r="AO1023" s="462" t="str">
        <f t="shared" si="579"/>
        <v/>
      </c>
      <c r="AP1023" s="463" t="str">
        <f t="shared" si="580"/>
        <v/>
      </c>
      <c r="AQ1023" s="464"/>
      <c r="AR1023" s="619"/>
      <c r="AS1023" s="465" t="str">
        <f t="shared" si="588"/>
        <v/>
      </c>
      <c r="AT1023" s="465" t="str">
        <f t="shared" si="589"/>
        <v/>
      </c>
      <c r="AU1023" s="466" t="str">
        <f t="shared" si="590"/>
        <v/>
      </c>
      <c r="AV1023" s="467" t="str">
        <f t="shared" si="591"/>
        <v/>
      </c>
      <c r="AW1023" s="467" t="str">
        <f t="shared" si="592"/>
        <v/>
      </c>
      <c r="AX1023" s="467" t="str">
        <f t="shared" si="593"/>
        <v/>
      </c>
      <c r="AY1023" s="467" t="str">
        <f t="shared" si="594"/>
        <v/>
      </c>
      <c r="AZ1023" s="467" t="str">
        <f t="shared" si="595"/>
        <v/>
      </c>
      <c r="BA1023" s="468" t="str">
        <f>IF(AS1023="","",IF(OR(AU1023="",AU1023="-"),"－",IF(OR(AZ1023=8,AZ1023=9),"",IF(OR(AW1023=3,AW1023=4,AW1023=5,AW1023=6),VLOOKUP(AU1023,INDEX((係数_バス貨物_ガソリン,係数_バス貨物_CNG,係数_バス貨物_軽油,係数_バス貨物_メタノール,係数_バス貨物_LPG),MATCH(AY1023,【参考】排出係数!$AI$4:$AI$671,1),1,BE1023):INDEX((係数_バス貨物_ガソリン,係数_バス貨物_CNG,係数_バス貨物_軽油,係数_バス貨物_メタノール,係数_バス貨物_LPG),MATCH(AY1023+1,【参考】排出係数!$AI$4:$AI$671,1)-1,5,BE1023),2,FALSE),IF(OR(AW1023=1,AW1023=2),VLOOKUP(AU1023,INDEX((係数_乗用_ガソリン,係数_乗用_CNG,係数_乗用_軽油,係数_乗用_メタノール,係数_乗用_LPG),1,1,BE1023):INDEX((係数_乗用_ガソリン,係数_乗用_CNG,係数_乗用_軽油,係数_乗用_メタノール,係数_乗用_LPG),125,5,BE1023),2,FALSE))))))</f>
        <v/>
      </c>
      <c r="BB1023" s="468" t="str">
        <f>IF(T1023="","",IF(OR(AU1023="",AU1023="-"),"－",IF(OR(AZ1023=8,AZ1023=9),"",IF(OR(AW1023=3,AW1023=4,AW1023=5,AW1023=6),VLOOKUP(AU1023,INDEX((係数_バス貨物_ガソリン,係数_バス貨物_CNG,係数_バス貨物_軽油,係数_バス貨物_メタノール,係数_バス貨物_LPG),MATCH(AY1023,【参考】排出係数!$AI$4:$AI$671,1),1,BE1023):INDEX((係数_バス貨物_ガソリン,係数_バス貨物_CNG,係数_バス貨物_軽油,係数_バス貨物_メタノール,係数_バス貨物_LPG),MATCH(AY1023+1,【参考】排出係数!$AI$4:$AI$671,1)-1,5,BE1023),3,FALSE),IF(OR(AW1023=1,AW1023=2),VLOOKUP(AU1023,INDEX((係数_乗用_ガソリン,係数_乗用_CNG,係数_乗用_軽油,係数_乗用_メタノール,係数_乗用_LPG),1,1,BE1023):INDEX((係数_乗用_ガソリン,係数_乗用_CNG,係数_乗用_軽油,係数_乗用_メタノール,係数_乗用_LPG),125,5,BE1023),3,FALSE))))))</f>
        <v/>
      </c>
      <c r="BC1023" s="467" t="str">
        <f t="shared" si="596"/>
        <v/>
      </c>
      <c r="BD1023" s="567" t="str">
        <f t="shared" si="597"/>
        <v/>
      </c>
      <c r="BE1023" s="467" t="str">
        <f t="shared" si="598"/>
        <v/>
      </c>
      <c r="BF1023" s="469" t="str">
        <f t="shared" ca="1" si="599"/>
        <v/>
      </c>
      <c r="BG1023" s="469" t="str">
        <f t="shared" ca="1" si="600"/>
        <v/>
      </c>
      <c r="BH1023" s="467" t="str">
        <f t="shared" si="601"/>
        <v/>
      </c>
      <c r="BI1023" s="467" t="str">
        <f t="shared" ca="1" si="602"/>
        <v/>
      </c>
      <c r="BJ1023" s="469" t="str">
        <f t="shared" si="603"/>
        <v/>
      </c>
      <c r="BK1023" s="470" t="str">
        <f t="shared" si="587"/>
        <v/>
      </c>
      <c r="BL1023" s="775" t="str">
        <f t="shared" si="604"/>
        <v/>
      </c>
      <c r="BM1023" s="775" t="str">
        <f t="shared" si="605"/>
        <v/>
      </c>
    </row>
    <row r="1024" spans="1:65">
      <c r="A1024" s="473">
        <v>968</v>
      </c>
      <c r="B1024" s="132"/>
      <c r="C1024" s="332"/>
      <c r="D1024" s="333"/>
      <c r="E1024" s="333"/>
      <c r="F1024" s="334"/>
      <c r="G1024" s="337"/>
      <c r="H1024" s="131"/>
      <c r="I1024" s="337"/>
      <c r="J1024" s="131"/>
      <c r="K1024" s="458" t="str">
        <f t="shared" si="568"/>
        <v/>
      </c>
      <c r="L1024" s="458">
        <f t="shared" si="569"/>
        <v>0</v>
      </c>
      <c r="M1024" s="458">
        <f t="shared" si="570"/>
        <v>0</v>
      </c>
      <c r="N1024" s="459" t="str">
        <f t="shared" si="581"/>
        <v/>
      </c>
      <c r="O1024" s="459" t="str">
        <f t="shared" si="582"/>
        <v/>
      </c>
      <c r="P1024" s="459" t="str">
        <f t="shared" si="583"/>
        <v/>
      </c>
      <c r="Q1024" s="459" t="str">
        <f t="shared" si="584"/>
        <v/>
      </c>
      <c r="R1024" s="459" t="str">
        <f t="shared" si="585"/>
        <v/>
      </c>
      <c r="S1024" s="459" t="str">
        <f t="shared" si="586"/>
        <v/>
      </c>
      <c r="T1024" s="566" t="str">
        <f t="shared" si="571"/>
        <v/>
      </c>
      <c r="U1024" s="702"/>
      <c r="V1024" s="132"/>
      <c r="W1024" s="133"/>
      <c r="X1024" s="134"/>
      <c r="Y1024" s="135"/>
      <c r="Z1024" s="137"/>
      <c r="AA1024" s="136"/>
      <c r="AB1024" s="566" t="str">
        <f t="shared" si="572"/>
        <v/>
      </c>
      <c r="AC1024" s="568" t="str">
        <f t="shared" si="573"/>
        <v/>
      </c>
      <c r="AD1024" s="137"/>
      <c r="AE1024" s="137"/>
      <c r="AF1024" s="138"/>
      <c r="AG1024" s="138"/>
      <c r="AH1024" s="592" t="str">
        <f t="shared" si="574"/>
        <v/>
      </c>
      <c r="AI1024" s="592" t="str">
        <f t="shared" si="575"/>
        <v/>
      </c>
      <c r="AJ1024" s="592" t="str">
        <f t="shared" si="576"/>
        <v/>
      </c>
      <c r="AK1024" s="460" t="str">
        <f>IF(AU1024="","",IF(OR(AZ1024=8,AZ1024=9),0,IF(OR(AW1024=3,AW1024=4,AW1024=5,AW1024=6),IF(LEFT(BF1024,1)="1",INDEX(係数_NOX・PM低減,MATCH(AY1024,【参考】排出係数!$AI$801:$AI$804,1),1),VLOOKUP(AU1024,INDEX((係数_バス貨物_ガソリン,係数_バス貨物_CNG,係数_バス貨物_軽油,係数_バス貨物_メタノール,係数_バス貨物_LPG),MATCH(AY1024,【参考】排出係数!$AI$4:$AI$671,1),1,BE1024):INDEX((係数_バス貨物_ガソリン,係数_バス貨物_CNG,係数_バス貨物_軽油,係数_バス貨物_メタノール,係数_バス貨物_LPG),MATCH(AY1024+1,【参考】排出係数!$AI$4:$AI$671,1)-1,5,BE1024),4,FALSE)),IF(AND(BE1024=3,LEFT(BF1024,1)="1"),0.48,VLOOKUP(AU1024,INDEX((係数_乗用_ガソリン,係数_乗用_CNG,係数_乗用_軽油,係数_乗用_メタノール,係数_乗用_LPG),1,1,BE1024):INDEX((係数_乗用_ガソリン,係数_乗用_CNG,係数_乗用_軽油,係数_乗用_メタノール,係数_乗用_LPG),125,5,BE1024),4,FALSE)))))</f>
        <v/>
      </c>
      <c r="AL1024" s="461" t="str">
        <f t="shared" si="577"/>
        <v/>
      </c>
      <c r="AM1024" s="460" t="str">
        <f>IF(AU1024="","",IF(OR(AZ1024=8,AZ1024=9),0,IF(OR(AW1024=3,AW1024=4,AW1024=5,AW1024=6),IF(LEFT(BH1024,1)="1",INDEX(係数_PM低減,MATCH(AY1024,【参考】排出係数!$AI$801:$AI$804,1),MATCH(BI1024,【参考】排出係数!$AL$798:$AO$798,1)),VLOOKUP(AU1024,INDEX((係数_バス貨物_ガソリン,係数_バス貨物_CNG,係数_バス貨物_軽油,係数_バス貨物_メタノール,係数_バス貨物_LPG),MATCH(AY1024,【参考】排出係数!$AI$4:$AI$671,1),1,BE1024):INDEX((係数_バス貨物_ガソリン,係数_バス貨物_CNG,係数_バス貨物_軽油,係数_バス貨物_メタノール,係数_バス貨物_LPG),MATCH(AY1024+1,【参考】排出係数!$AI$4:$AI$671,1)-1,5,BE1024),5,FALSE)),IF(AND(BE1024=3,LEFT(BF1024,1)="1"),0.055,VLOOKUP(AU1024,INDEX((係数_乗用_ガソリン,係数_乗用_CNG,係数_乗用_軽油,係数_乗用_メタノール,係数_乗用_LPG),1,1,BE1024):INDEX((係数_乗用_ガソリン,係数_乗用_CNG,係数_乗用_軽油,係数_乗用_メタノール,係数_乗用_LPG),125,5,BE1024),5,FALSE)))))</f>
        <v/>
      </c>
      <c r="AN1024" s="461" t="str">
        <f t="shared" si="578"/>
        <v/>
      </c>
      <c r="AO1024" s="462" t="str">
        <f t="shared" si="579"/>
        <v/>
      </c>
      <c r="AP1024" s="463" t="str">
        <f t="shared" si="580"/>
        <v/>
      </c>
      <c r="AQ1024" s="464"/>
      <c r="AR1024" s="619"/>
      <c r="AS1024" s="465" t="str">
        <f t="shared" si="588"/>
        <v/>
      </c>
      <c r="AT1024" s="465" t="str">
        <f t="shared" si="589"/>
        <v/>
      </c>
      <c r="AU1024" s="466" t="str">
        <f t="shared" si="590"/>
        <v/>
      </c>
      <c r="AV1024" s="467" t="str">
        <f t="shared" si="591"/>
        <v/>
      </c>
      <c r="AW1024" s="467" t="str">
        <f t="shared" si="592"/>
        <v/>
      </c>
      <c r="AX1024" s="467" t="str">
        <f t="shared" si="593"/>
        <v/>
      </c>
      <c r="AY1024" s="467" t="str">
        <f t="shared" si="594"/>
        <v/>
      </c>
      <c r="AZ1024" s="467" t="str">
        <f t="shared" si="595"/>
        <v/>
      </c>
      <c r="BA1024" s="468" t="str">
        <f>IF(AS1024="","",IF(OR(AU1024="",AU1024="-"),"－",IF(OR(AZ1024=8,AZ1024=9),"",IF(OR(AW1024=3,AW1024=4,AW1024=5,AW1024=6),VLOOKUP(AU1024,INDEX((係数_バス貨物_ガソリン,係数_バス貨物_CNG,係数_バス貨物_軽油,係数_バス貨物_メタノール,係数_バス貨物_LPG),MATCH(AY1024,【参考】排出係数!$AI$4:$AI$671,1),1,BE1024):INDEX((係数_バス貨物_ガソリン,係数_バス貨物_CNG,係数_バス貨物_軽油,係数_バス貨物_メタノール,係数_バス貨物_LPG),MATCH(AY1024+1,【参考】排出係数!$AI$4:$AI$671,1)-1,5,BE1024),2,FALSE),IF(OR(AW1024=1,AW1024=2),VLOOKUP(AU1024,INDEX((係数_乗用_ガソリン,係数_乗用_CNG,係数_乗用_軽油,係数_乗用_メタノール,係数_乗用_LPG),1,1,BE1024):INDEX((係数_乗用_ガソリン,係数_乗用_CNG,係数_乗用_軽油,係数_乗用_メタノール,係数_乗用_LPG),125,5,BE1024),2,FALSE))))))</f>
        <v/>
      </c>
      <c r="BB1024" s="468" t="str">
        <f>IF(T1024="","",IF(OR(AU1024="",AU1024="-"),"－",IF(OR(AZ1024=8,AZ1024=9),"",IF(OR(AW1024=3,AW1024=4,AW1024=5,AW1024=6),VLOOKUP(AU1024,INDEX((係数_バス貨物_ガソリン,係数_バス貨物_CNG,係数_バス貨物_軽油,係数_バス貨物_メタノール,係数_バス貨物_LPG),MATCH(AY1024,【参考】排出係数!$AI$4:$AI$671,1),1,BE1024):INDEX((係数_バス貨物_ガソリン,係数_バス貨物_CNG,係数_バス貨物_軽油,係数_バス貨物_メタノール,係数_バス貨物_LPG),MATCH(AY1024+1,【参考】排出係数!$AI$4:$AI$671,1)-1,5,BE1024),3,FALSE),IF(OR(AW1024=1,AW1024=2),VLOOKUP(AU1024,INDEX((係数_乗用_ガソリン,係数_乗用_CNG,係数_乗用_軽油,係数_乗用_メタノール,係数_乗用_LPG),1,1,BE1024):INDEX((係数_乗用_ガソリン,係数_乗用_CNG,係数_乗用_軽油,係数_乗用_メタノール,係数_乗用_LPG),125,5,BE1024),3,FALSE))))))</f>
        <v/>
      </c>
      <c r="BC1024" s="467" t="str">
        <f t="shared" si="596"/>
        <v/>
      </c>
      <c r="BD1024" s="567" t="str">
        <f t="shared" si="597"/>
        <v/>
      </c>
      <c r="BE1024" s="467" t="str">
        <f t="shared" si="598"/>
        <v/>
      </c>
      <c r="BF1024" s="469" t="str">
        <f t="shared" ca="1" si="599"/>
        <v/>
      </c>
      <c r="BG1024" s="469" t="str">
        <f t="shared" ca="1" si="600"/>
        <v/>
      </c>
      <c r="BH1024" s="467" t="str">
        <f t="shared" si="601"/>
        <v/>
      </c>
      <c r="BI1024" s="467" t="str">
        <f t="shared" ca="1" si="602"/>
        <v/>
      </c>
      <c r="BJ1024" s="469" t="str">
        <f t="shared" si="603"/>
        <v/>
      </c>
      <c r="BK1024" s="470" t="str">
        <f t="shared" si="587"/>
        <v/>
      </c>
      <c r="BL1024" s="775" t="str">
        <f t="shared" si="604"/>
        <v/>
      </c>
      <c r="BM1024" s="775" t="str">
        <f t="shared" si="605"/>
        <v/>
      </c>
    </row>
    <row r="1025" spans="1:65">
      <c r="A1025" s="473">
        <v>969</v>
      </c>
      <c r="B1025" s="132"/>
      <c r="C1025" s="332"/>
      <c r="D1025" s="333"/>
      <c r="E1025" s="333"/>
      <c r="F1025" s="334"/>
      <c r="G1025" s="337"/>
      <c r="H1025" s="131"/>
      <c r="I1025" s="337"/>
      <c r="J1025" s="131"/>
      <c r="K1025" s="458" t="str">
        <f t="shared" si="568"/>
        <v/>
      </c>
      <c r="L1025" s="458">
        <f t="shared" si="569"/>
        <v>0</v>
      </c>
      <c r="M1025" s="458">
        <f t="shared" si="570"/>
        <v>0</v>
      </c>
      <c r="N1025" s="459" t="str">
        <f t="shared" si="581"/>
        <v/>
      </c>
      <c r="O1025" s="459" t="str">
        <f t="shared" si="582"/>
        <v/>
      </c>
      <c r="P1025" s="459" t="str">
        <f t="shared" si="583"/>
        <v/>
      </c>
      <c r="Q1025" s="459" t="str">
        <f t="shared" si="584"/>
        <v/>
      </c>
      <c r="R1025" s="459" t="str">
        <f t="shared" si="585"/>
        <v/>
      </c>
      <c r="S1025" s="459" t="str">
        <f t="shared" si="586"/>
        <v/>
      </c>
      <c r="T1025" s="566" t="str">
        <f t="shared" si="571"/>
        <v/>
      </c>
      <c r="U1025" s="702"/>
      <c r="V1025" s="132"/>
      <c r="W1025" s="133"/>
      <c r="X1025" s="134"/>
      <c r="Y1025" s="135"/>
      <c r="Z1025" s="137"/>
      <c r="AA1025" s="136"/>
      <c r="AB1025" s="566" t="str">
        <f t="shared" si="572"/>
        <v/>
      </c>
      <c r="AC1025" s="568" t="str">
        <f t="shared" si="573"/>
        <v/>
      </c>
      <c r="AD1025" s="137"/>
      <c r="AE1025" s="137"/>
      <c r="AF1025" s="138"/>
      <c r="AG1025" s="138"/>
      <c r="AH1025" s="592" t="str">
        <f t="shared" si="574"/>
        <v/>
      </c>
      <c r="AI1025" s="592" t="str">
        <f t="shared" si="575"/>
        <v/>
      </c>
      <c r="AJ1025" s="592" t="str">
        <f t="shared" si="576"/>
        <v/>
      </c>
      <c r="AK1025" s="460" t="str">
        <f>IF(AU1025="","",IF(OR(AZ1025=8,AZ1025=9),0,IF(OR(AW1025=3,AW1025=4,AW1025=5,AW1025=6),IF(LEFT(BF1025,1)="1",INDEX(係数_NOX・PM低減,MATCH(AY1025,【参考】排出係数!$AI$801:$AI$804,1),1),VLOOKUP(AU1025,INDEX((係数_バス貨物_ガソリン,係数_バス貨物_CNG,係数_バス貨物_軽油,係数_バス貨物_メタノール,係数_バス貨物_LPG),MATCH(AY1025,【参考】排出係数!$AI$4:$AI$671,1),1,BE1025):INDEX((係数_バス貨物_ガソリン,係数_バス貨物_CNG,係数_バス貨物_軽油,係数_バス貨物_メタノール,係数_バス貨物_LPG),MATCH(AY1025+1,【参考】排出係数!$AI$4:$AI$671,1)-1,5,BE1025),4,FALSE)),IF(AND(BE1025=3,LEFT(BF1025,1)="1"),0.48,VLOOKUP(AU1025,INDEX((係数_乗用_ガソリン,係数_乗用_CNG,係数_乗用_軽油,係数_乗用_メタノール,係数_乗用_LPG),1,1,BE1025):INDEX((係数_乗用_ガソリン,係数_乗用_CNG,係数_乗用_軽油,係数_乗用_メタノール,係数_乗用_LPG),125,5,BE1025),4,FALSE)))))</f>
        <v/>
      </c>
      <c r="AL1025" s="461" t="str">
        <f t="shared" si="577"/>
        <v/>
      </c>
      <c r="AM1025" s="460" t="str">
        <f>IF(AU1025="","",IF(OR(AZ1025=8,AZ1025=9),0,IF(OR(AW1025=3,AW1025=4,AW1025=5,AW1025=6),IF(LEFT(BH1025,1)="1",INDEX(係数_PM低減,MATCH(AY1025,【参考】排出係数!$AI$801:$AI$804,1),MATCH(BI1025,【参考】排出係数!$AL$798:$AO$798,1)),VLOOKUP(AU1025,INDEX((係数_バス貨物_ガソリン,係数_バス貨物_CNG,係数_バス貨物_軽油,係数_バス貨物_メタノール,係数_バス貨物_LPG),MATCH(AY1025,【参考】排出係数!$AI$4:$AI$671,1),1,BE1025):INDEX((係数_バス貨物_ガソリン,係数_バス貨物_CNG,係数_バス貨物_軽油,係数_バス貨物_メタノール,係数_バス貨物_LPG),MATCH(AY1025+1,【参考】排出係数!$AI$4:$AI$671,1)-1,5,BE1025),5,FALSE)),IF(AND(BE1025=3,LEFT(BF1025,1)="1"),0.055,VLOOKUP(AU1025,INDEX((係数_乗用_ガソリン,係数_乗用_CNG,係数_乗用_軽油,係数_乗用_メタノール,係数_乗用_LPG),1,1,BE1025):INDEX((係数_乗用_ガソリン,係数_乗用_CNG,係数_乗用_軽油,係数_乗用_メタノール,係数_乗用_LPG),125,5,BE1025),5,FALSE)))))</f>
        <v/>
      </c>
      <c r="AN1025" s="461" t="str">
        <f t="shared" si="578"/>
        <v/>
      </c>
      <c r="AO1025" s="462" t="str">
        <f t="shared" si="579"/>
        <v/>
      </c>
      <c r="AP1025" s="463" t="str">
        <f t="shared" si="580"/>
        <v/>
      </c>
      <c r="AQ1025" s="464"/>
      <c r="AR1025" s="619"/>
      <c r="AS1025" s="465" t="str">
        <f t="shared" si="588"/>
        <v/>
      </c>
      <c r="AT1025" s="465" t="str">
        <f t="shared" si="589"/>
        <v/>
      </c>
      <c r="AU1025" s="466" t="str">
        <f t="shared" si="590"/>
        <v/>
      </c>
      <c r="AV1025" s="467" t="str">
        <f t="shared" si="591"/>
        <v/>
      </c>
      <c r="AW1025" s="467" t="str">
        <f t="shared" si="592"/>
        <v/>
      </c>
      <c r="AX1025" s="467" t="str">
        <f t="shared" si="593"/>
        <v/>
      </c>
      <c r="AY1025" s="467" t="str">
        <f t="shared" si="594"/>
        <v/>
      </c>
      <c r="AZ1025" s="467" t="str">
        <f t="shared" si="595"/>
        <v/>
      </c>
      <c r="BA1025" s="468" t="str">
        <f>IF(AS1025="","",IF(OR(AU1025="",AU1025="-"),"－",IF(OR(AZ1025=8,AZ1025=9),"",IF(OR(AW1025=3,AW1025=4,AW1025=5,AW1025=6),VLOOKUP(AU1025,INDEX((係数_バス貨物_ガソリン,係数_バス貨物_CNG,係数_バス貨物_軽油,係数_バス貨物_メタノール,係数_バス貨物_LPG),MATCH(AY1025,【参考】排出係数!$AI$4:$AI$671,1),1,BE1025):INDEX((係数_バス貨物_ガソリン,係数_バス貨物_CNG,係数_バス貨物_軽油,係数_バス貨物_メタノール,係数_バス貨物_LPG),MATCH(AY1025+1,【参考】排出係数!$AI$4:$AI$671,1)-1,5,BE1025),2,FALSE),IF(OR(AW1025=1,AW1025=2),VLOOKUP(AU1025,INDEX((係数_乗用_ガソリン,係数_乗用_CNG,係数_乗用_軽油,係数_乗用_メタノール,係数_乗用_LPG),1,1,BE1025):INDEX((係数_乗用_ガソリン,係数_乗用_CNG,係数_乗用_軽油,係数_乗用_メタノール,係数_乗用_LPG),125,5,BE1025),2,FALSE))))))</f>
        <v/>
      </c>
      <c r="BB1025" s="468" t="str">
        <f>IF(T1025="","",IF(OR(AU1025="",AU1025="-"),"－",IF(OR(AZ1025=8,AZ1025=9),"",IF(OR(AW1025=3,AW1025=4,AW1025=5,AW1025=6),VLOOKUP(AU1025,INDEX((係数_バス貨物_ガソリン,係数_バス貨物_CNG,係数_バス貨物_軽油,係数_バス貨物_メタノール,係数_バス貨物_LPG),MATCH(AY1025,【参考】排出係数!$AI$4:$AI$671,1),1,BE1025):INDEX((係数_バス貨物_ガソリン,係数_バス貨物_CNG,係数_バス貨物_軽油,係数_バス貨物_メタノール,係数_バス貨物_LPG),MATCH(AY1025+1,【参考】排出係数!$AI$4:$AI$671,1)-1,5,BE1025),3,FALSE),IF(OR(AW1025=1,AW1025=2),VLOOKUP(AU1025,INDEX((係数_乗用_ガソリン,係数_乗用_CNG,係数_乗用_軽油,係数_乗用_メタノール,係数_乗用_LPG),1,1,BE1025):INDEX((係数_乗用_ガソリン,係数_乗用_CNG,係数_乗用_軽油,係数_乗用_メタノール,係数_乗用_LPG),125,5,BE1025),3,FALSE))))))</f>
        <v/>
      </c>
      <c r="BC1025" s="467" t="str">
        <f t="shared" si="596"/>
        <v/>
      </c>
      <c r="BD1025" s="567" t="str">
        <f t="shared" si="597"/>
        <v/>
      </c>
      <c r="BE1025" s="467" t="str">
        <f t="shared" si="598"/>
        <v/>
      </c>
      <c r="BF1025" s="469" t="str">
        <f t="shared" ca="1" si="599"/>
        <v/>
      </c>
      <c r="BG1025" s="469" t="str">
        <f t="shared" ca="1" si="600"/>
        <v/>
      </c>
      <c r="BH1025" s="467" t="str">
        <f t="shared" si="601"/>
        <v/>
      </c>
      <c r="BI1025" s="467" t="str">
        <f t="shared" ca="1" si="602"/>
        <v/>
      </c>
      <c r="BJ1025" s="469" t="str">
        <f t="shared" si="603"/>
        <v/>
      </c>
      <c r="BK1025" s="470" t="str">
        <f t="shared" si="587"/>
        <v/>
      </c>
      <c r="BL1025" s="775" t="str">
        <f t="shared" si="604"/>
        <v/>
      </c>
      <c r="BM1025" s="775" t="str">
        <f t="shared" si="605"/>
        <v/>
      </c>
    </row>
    <row r="1026" spans="1:65">
      <c r="A1026" s="473">
        <v>970</v>
      </c>
      <c r="B1026" s="132"/>
      <c r="C1026" s="332"/>
      <c r="D1026" s="333"/>
      <c r="E1026" s="333"/>
      <c r="F1026" s="334"/>
      <c r="G1026" s="337"/>
      <c r="H1026" s="131"/>
      <c r="I1026" s="337"/>
      <c r="J1026" s="131"/>
      <c r="K1026" s="458" t="str">
        <f t="shared" si="568"/>
        <v/>
      </c>
      <c r="L1026" s="458">
        <f t="shared" si="569"/>
        <v>0</v>
      </c>
      <c r="M1026" s="458">
        <f t="shared" si="570"/>
        <v>0</v>
      </c>
      <c r="N1026" s="459" t="str">
        <f t="shared" si="581"/>
        <v/>
      </c>
      <c r="O1026" s="459" t="str">
        <f t="shared" si="582"/>
        <v/>
      </c>
      <c r="P1026" s="459" t="str">
        <f t="shared" si="583"/>
        <v/>
      </c>
      <c r="Q1026" s="459" t="str">
        <f t="shared" si="584"/>
        <v/>
      </c>
      <c r="R1026" s="459" t="str">
        <f t="shared" si="585"/>
        <v/>
      </c>
      <c r="S1026" s="459" t="str">
        <f t="shared" si="586"/>
        <v/>
      </c>
      <c r="T1026" s="566" t="str">
        <f t="shared" si="571"/>
        <v/>
      </c>
      <c r="U1026" s="702"/>
      <c r="V1026" s="132"/>
      <c r="W1026" s="133"/>
      <c r="X1026" s="134"/>
      <c r="Y1026" s="135"/>
      <c r="Z1026" s="137"/>
      <c r="AA1026" s="136"/>
      <c r="AB1026" s="566" t="str">
        <f t="shared" si="572"/>
        <v/>
      </c>
      <c r="AC1026" s="568" t="str">
        <f t="shared" si="573"/>
        <v/>
      </c>
      <c r="AD1026" s="137"/>
      <c r="AE1026" s="137"/>
      <c r="AF1026" s="138"/>
      <c r="AG1026" s="138"/>
      <c r="AH1026" s="592" t="str">
        <f t="shared" si="574"/>
        <v/>
      </c>
      <c r="AI1026" s="592" t="str">
        <f t="shared" si="575"/>
        <v/>
      </c>
      <c r="AJ1026" s="592" t="str">
        <f t="shared" si="576"/>
        <v/>
      </c>
      <c r="AK1026" s="460" t="str">
        <f>IF(AU1026="","",IF(OR(AZ1026=8,AZ1026=9),0,IF(OR(AW1026=3,AW1026=4,AW1026=5,AW1026=6),IF(LEFT(BF1026,1)="1",INDEX(係数_NOX・PM低減,MATCH(AY1026,【参考】排出係数!$AI$801:$AI$804,1),1),VLOOKUP(AU1026,INDEX((係数_バス貨物_ガソリン,係数_バス貨物_CNG,係数_バス貨物_軽油,係数_バス貨物_メタノール,係数_バス貨物_LPG),MATCH(AY1026,【参考】排出係数!$AI$4:$AI$671,1),1,BE1026):INDEX((係数_バス貨物_ガソリン,係数_バス貨物_CNG,係数_バス貨物_軽油,係数_バス貨物_メタノール,係数_バス貨物_LPG),MATCH(AY1026+1,【参考】排出係数!$AI$4:$AI$671,1)-1,5,BE1026),4,FALSE)),IF(AND(BE1026=3,LEFT(BF1026,1)="1"),0.48,VLOOKUP(AU1026,INDEX((係数_乗用_ガソリン,係数_乗用_CNG,係数_乗用_軽油,係数_乗用_メタノール,係数_乗用_LPG),1,1,BE1026):INDEX((係数_乗用_ガソリン,係数_乗用_CNG,係数_乗用_軽油,係数_乗用_メタノール,係数_乗用_LPG),125,5,BE1026),4,FALSE)))))</f>
        <v/>
      </c>
      <c r="AL1026" s="461" t="str">
        <f t="shared" si="577"/>
        <v/>
      </c>
      <c r="AM1026" s="460" t="str">
        <f>IF(AU1026="","",IF(OR(AZ1026=8,AZ1026=9),0,IF(OR(AW1026=3,AW1026=4,AW1026=5,AW1026=6),IF(LEFT(BH1026,1)="1",INDEX(係数_PM低減,MATCH(AY1026,【参考】排出係数!$AI$801:$AI$804,1),MATCH(BI1026,【参考】排出係数!$AL$798:$AO$798,1)),VLOOKUP(AU1026,INDEX((係数_バス貨物_ガソリン,係数_バス貨物_CNG,係数_バス貨物_軽油,係数_バス貨物_メタノール,係数_バス貨物_LPG),MATCH(AY1026,【参考】排出係数!$AI$4:$AI$671,1),1,BE1026):INDEX((係数_バス貨物_ガソリン,係数_バス貨物_CNG,係数_バス貨物_軽油,係数_バス貨物_メタノール,係数_バス貨物_LPG),MATCH(AY1026+1,【参考】排出係数!$AI$4:$AI$671,1)-1,5,BE1026),5,FALSE)),IF(AND(BE1026=3,LEFT(BF1026,1)="1"),0.055,VLOOKUP(AU1026,INDEX((係数_乗用_ガソリン,係数_乗用_CNG,係数_乗用_軽油,係数_乗用_メタノール,係数_乗用_LPG),1,1,BE1026):INDEX((係数_乗用_ガソリン,係数_乗用_CNG,係数_乗用_軽油,係数_乗用_メタノール,係数_乗用_LPG),125,5,BE1026),5,FALSE)))))</f>
        <v/>
      </c>
      <c r="AN1026" s="461" t="str">
        <f t="shared" si="578"/>
        <v/>
      </c>
      <c r="AO1026" s="462" t="str">
        <f t="shared" si="579"/>
        <v/>
      </c>
      <c r="AP1026" s="463" t="str">
        <f t="shared" si="580"/>
        <v/>
      </c>
      <c r="AQ1026" s="464"/>
      <c r="AR1026" s="619"/>
      <c r="AS1026" s="465" t="str">
        <f t="shared" si="588"/>
        <v/>
      </c>
      <c r="AT1026" s="465" t="str">
        <f t="shared" si="589"/>
        <v/>
      </c>
      <c r="AU1026" s="466" t="str">
        <f t="shared" si="590"/>
        <v/>
      </c>
      <c r="AV1026" s="467" t="str">
        <f t="shared" si="591"/>
        <v/>
      </c>
      <c r="AW1026" s="467" t="str">
        <f t="shared" si="592"/>
        <v/>
      </c>
      <c r="AX1026" s="467" t="str">
        <f t="shared" si="593"/>
        <v/>
      </c>
      <c r="AY1026" s="467" t="str">
        <f t="shared" si="594"/>
        <v/>
      </c>
      <c r="AZ1026" s="467" t="str">
        <f t="shared" si="595"/>
        <v/>
      </c>
      <c r="BA1026" s="468" t="str">
        <f>IF(AS1026="","",IF(OR(AU1026="",AU1026="-"),"－",IF(OR(AZ1026=8,AZ1026=9),"",IF(OR(AW1026=3,AW1026=4,AW1026=5,AW1026=6),VLOOKUP(AU1026,INDEX((係数_バス貨物_ガソリン,係数_バス貨物_CNG,係数_バス貨物_軽油,係数_バス貨物_メタノール,係数_バス貨物_LPG),MATCH(AY1026,【参考】排出係数!$AI$4:$AI$671,1),1,BE1026):INDEX((係数_バス貨物_ガソリン,係数_バス貨物_CNG,係数_バス貨物_軽油,係数_バス貨物_メタノール,係数_バス貨物_LPG),MATCH(AY1026+1,【参考】排出係数!$AI$4:$AI$671,1)-1,5,BE1026),2,FALSE),IF(OR(AW1026=1,AW1026=2),VLOOKUP(AU1026,INDEX((係数_乗用_ガソリン,係数_乗用_CNG,係数_乗用_軽油,係数_乗用_メタノール,係数_乗用_LPG),1,1,BE1026):INDEX((係数_乗用_ガソリン,係数_乗用_CNG,係数_乗用_軽油,係数_乗用_メタノール,係数_乗用_LPG),125,5,BE1026),2,FALSE))))))</f>
        <v/>
      </c>
      <c r="BB1026" s="468" t="str">
        <f>IF(T1026="","",IF(OR(AU1026="",AU1026="-"),"－",IF(OR(AZ1026=8,AZ1026=9),"",IF(OR(AW1026=3,AW1026=4,AW1026=5,AW1026=6),VLOOKUP(AU1026,INDEX((係数_バス貨物_ガソリン,係数_バス貨物_CNG,係数_バス貨物_軽油,係数_バス貨物_メタノール,係数_バス貨物_LPG),MATCH(AY1026,【参考】排出係数!$AI$4:$AI$671,1),1,BE1026):INDEX((係数_バス貨物_ガソリン,係数_バス貨物_CNG,係数_バス貨物_軽油,係数_バス貨物_メタノール,係数_バス貨物_LPG),MATCH(AY1026+1,【参考】排出係数!$AI$4:$AI$671,1)-1,5,BE1026),3,FALSE),IF(OR(AW1026=1,AW1026=2),VLOOKUP(AU1026,INDEX((係数_乗用_ガソリン,係数_乗用_CNG,係数_乗用_軽油,係数_乗用_メタノール,係数_乗用_LPG),1,1,BE1026):INDEX((係数_乗用_ガソリン,係数_乗用_CNG,係数_乗用_軽油,係数_乗用_メタノール,係数_乗用_LPG),125,5,BE1026),3,FALSE))))))</f>
        <v/>
      </c>
      <c r="BC1026" s="467" t="str">
        <f t="shared" si="596"/>
        <v/>
      </c>
      <c r="BD1026" s="567" t="str">
        <f t="shared" si="597"/>
        <v/>
      </c>
      <c r="BE1026" s="467" t="str">
        <f t="shared" si="598"/>
        <v/>
      </c>
      <c r="BF1026" s="469" t="str">
        <f t="shared" ca="1" si="599"/>
        <v/>
      </c>
      <c r="BG1026" s="469" t="str">
        <f t="shared" ca="1" si="600"/>
        <v/>
      </c>
      <c r="BH1026" s="467" t="str">
        <f t="shared" si="601"/>
        <v/>
      </c>
      <c r="BI1026" s="467" t="str">
        <f t="shared" ca="1" si="602"/>
        <v/>
      </c>
      <c r="BJ1026" s="469" t="str">
        <f t="shared" si="603"/>
        <v/>
      </c>
      <c r="BK1026" s="470" t="str">
        <f t="shared" si="587"/>
        <v/>
      </c>
      <c r="BL1026" s="775" t="str">
        <f t="shared" si="604"/>
        <v/>
      </c>
      <c r="BM1026" s="775" t="str">
        <f t="shared" si="605"/>
        <v/>
      </c>
    </row>
    <row r="1027" spans="1:65">
      <c r="A1027" s="473">
        <v>971</v>
      </c>
      <c r="B1027" s="132"/>
      <c r="C1027" s="332"/>
      <c r="D1027" s="333"/>
      <c r="E1027" s="333"/>
      <c r="F1027" s="334"/>
      <c r="G1027" s="337"/>
      <c r="H1027" s="131"/>
      <c r="I1027" s="337"/>
      <c r="J1027" s="131"/>
      <c r="K1027" s="458" t="str">
        <f t="shared" si="568"/>
        <v/>
      </c>
      <c r="L1027" s="458">
        <f t="shared" si="569"/>
        <v>0</v>
      </c>
      <c r="M1027" s="458">
        <f t="shared" si="570"/>
        <v>0</v>
      </c>
      <c r="N1027" s="459" t="str">
        <f t="shared" si="581"/>
        <v/>
      </c>
      <c r="O1027" s="459" t="str">
        <f t="shared" si="582"/>
        <v/>
      </c>
      <c r="P1027" s="459" t="str">
        <f t="shared" si="583"/>
        <v/>
      </c>
      <c r="Q1027" s="459" t="str">
        <f t="shared" si="584"/>
        <v/>
      </c>
      <c r="R1027" s="459" t="str">
        <f t="shared" si="585"/>
        <v/>
      </c>
      <c r="S1027" s="459" t="str">
        <f t="shared" si="586"/>
        <v/>
      </c>
      <c r="T1027" s="566" t="str">
        <f t="shared" si="571"/>
        <v/>
      </c>
      <c r="U1027" s="702"/>
      <c r="V1027" s="132"/>
      <c r="W1027" s="133"/>
      <c r="X1027" s="134"/>
      <c r="Y1027" s="135"/>
      <c r="Z1027" s="137"/>
      <c r="AA1027" s="136"/>
      <c r="AB1027" s="566" t="str">
        <f t="shared" si="572"/>
        <v/>
      </c>
      <c r="AC1027" s="568" t="str">
        <f t="shared" si="573"/>
        <v/>
      </c>
      <c r="AD1027" s="137"/>
      <c r="AE1027" s="137"/>
      <c r="AF1027" s="138"/>
      <c r="AG1027" s="138"/>
      <c r="AH1027" s="592" t="str">
        <f t="shared" si="574"/>
        <v/>
      </c>
      <c r="AI1027" s="592" t="str">
        <f t="shared" si="575"/>
        <v/>
      </c>
      <c r="AJ1027" s="592" t="str">
        <f t="shared" si="576"/>
        <v/>
      </c>
      <c r="AK1027" s="460" t="str">
        <f>IF(AU1027="","",IF(OR(AZ1027=8,AZ1027=9),0,IF(OR(AW1027=3,AW1027=4,AW1027=5,AW1027=6),IF(LEFT(BF1027,1)="1",INDEX(係数_NOX・PM低減,MATCH(AY1027,【参考】排出係数!$AI$801:$AI$804,1),1),VLOOKUP(AU1027,INDEX((係数_バス貨物_ガソリン,係数_バス貨物_CNG,係数_バス貨物_軽油,係数_バス貨物_メタノール,係数_バス貨物_LPG),MATCH(AY1027,【参考】排出係数!$AI$4:$AI$671,1),1,BE1027):INDEX((係数_バス貨物_ガソリン,係数_バス貨物_CNG,係数_バス貨物_軽油,係数_バス貨物_メタノール,係数_バス貨物_LPG),MATCH(AY1027+1,【参考】排出係数!$AI$4:$AI$671,1)-1,5,BE1027),4,FALSE)),IF(AND(BE1027=3,LEFT(BF1027,1)="1"),0.48,VLOOKUP(AU1027,INDEX((係数_乗用_ガソリン,係数_乗用_CNG,係数_乗用_軽油,係数_乗用_メタノール,係数_乗用_LPG),1,1,BE1027):INDEX((係数_乗用_ガソリン,係数_乗用_CNG,係数_乗用_軽油,係数_乗用_メタノール,係数_乗用_LPG),125,5,BE1027),4,FALSE)))))</f>
        <v/>
      </c>
      <c r="AL1027" s="461" t="str">
        <f t="shared" si="577"/>
        <v/>
      </c>
      <c r="AM1027" s="460" t="str">
        <f>IF(AU1027="","",IF(OR(AZ1027=8,AZ1027=9),0,IF(OR(AW1027=3,AW1027=4,AW1027=5,AW1027=6),IF(LEFT(BH1027,1)="1",INDEX(係数_PM低減,MATCH(AY1027,【参考】排出係数!$AI$801:$AI$804,1),MATCH(BI1027,【参考】排出係数!$AL$798:$AO$798,1)),VLOOKUP(AU1027,INDEX((係数_バス貨物_ガソリン,係数_バス貨物_CNG,係数_バス貨物_軽油,係数_バス貨物_メタノール,係数_バス貨物_LPG),MATCH(AY1027,【参考】排出係数!$AI$4:$AI$671,1),1,BE1027):INDEX((係数_バス貨物_ガソリン,係数_バス貨物_CNG,係数_バス貨物_軽油,係数_バス貨物_メタノール,係数_バス貨物_LPG),MATCH(AY1027+1,【参考】排出係数!$AI$4:$AI$671,1)-1,5,BE1027),5,FALSE)),IF(AND(BE1027=3,LEFT(BF1027,1)="1"),0.055,VLOOKUP(AU1027,INDEX((係数_乗用_ガソリン,係数_乗用_CNG,係数_乗用_軽油,係数_乗用_メタノール,係数_乗用_LPG),1,1,BE1027):INDEX((係数_乗用_ガソリン,係数_乗用_CNG,係数_乗用_軽油,係数_乗用_メタノール,係数_乗用_LPG),125,5,BE1027),5,FALSE)))))</f>
        <v/>
      </c>
      <c r="AN1027" s="461" t="str">
        <f t="shared" si="578"/>
        <v/>
      </c>
      <c r="AO1027" s="462" t="str">
        <f t="shared" si="579"/>
        <v/>
      </c>
      <c r="AP1027" s="463" t="str">
        <f t="shared" si="580"/>
        <v/>
      </c>
      <c r="AQ1027" s="464"/>
      <c r="AR1027" s="619"/>
      <c r="AS1027" s="465" t="str">
        <f t="shared" si="588"/>
        <v/>
      </c>
      <c r="AT1027" s="465" t="str">
        <f t="shared" si="589"/>
        <v/>
      </c>
      <c r="AU1027" s="466" t="str">
        <f t="shared" si="590"/>
        <v/>
      </c>
      <c r="AV1027" s="467" t="str">
        <f t="shared" si="591"/>
        <v/>
      </c>
      <c r="AW1027" s="467" t="str">
        <f t="shared" si="592"/>
        <v/>
      </c>
      <c r="AX1027" s="467" t="str">
        <f t="shared" si="593"/>
        <v/>
      </c>
      <c r="AY1027" s="467" t="str">
        <f t="shared" si="594"/>
        <v/>
      </c>
      <c r="AZ1027" s="467" t="str">
        <f t="shared" si="595"/>
        <v/>
      </c>
      <c r="BA1027" s="468" t="str">
        <f>IF(AS1027="","",IF(OR(AU1027="",AU1027="-"),"－",IF(OR(AZ1027=8,AZ1027=9),"",IF(OR(AW1027=3,AW1027=4,AW1027=5,AW1027=6),VLOOKUP(AU1027,INDEX((係数_バス貨物_ガソリン,係数_バス貨物_CNG,係数_バス貨物_軽油,係数_バス貨物_メタノール,係数_バス貨物_LPG),MATCH(AY1027,【参考】排出係数!$AI$4:$AI$671,1),1,BE1027):INDEX((係数_バス貨物_ガソリン,係数_バス貨物_CNG,係数_バス貨物_軽油,係数_バス貨物_メタノール,係数_バス貨物_LPG),MATCH(AY1027+1,【参考】排出係数!$AI$4:$AI$671,1)-1,5,BE1027),2,FALSE),IF(OR(AW1027=1,AW1027=2),VLOOKUP(AU1027,INDEX((係数_乗用_ガソリン,係数_乗用_CNG,係数_乗用_軽油,係数_乗用_メタノール,係数_乗用_LPG),1,1,BE1027):INDEX((係数_乗用_ガソリン,係数_乗用_CNG,係数_乗用_軽油,係数_乗用_メタノール,係数_乗用_LPG),125,5,BE1027),2,FALSE))))))</f>
        <v/>
      </c>
      <c r="BB1027" s="468" t="str">
        <f>IF(T1027="","",IF(OR(AU1027="",AU1027="-"),"－",IF(OR(AZ1027=8,AZ1027=9),"",IF(OR(AW1027=3,AW1027=4,AW1027=5,AW1027=6),VLOOKUP(AU1027,INDEX((係数_バス貨物_ガソリン,係数_バス貨物_CNG,係数_バス貨物_軽油,係数_バス貨物_メタノール,係数_バス貨物_LPG),MATCH(AY1027,【参考】排出係数!$AI$4:$AI$671,1),1,BE1027):INDEX((係数_バス貨物_ガソリン,係数_バス貨物_CNG,係数_バス貨物_軽油,係数_バス貨物_メタノール,係数_バス貨物_LPG),MATCH(AY1027+1,【参考】排出係数!$AI$4:$AI$671,1)-1,5,BE1027),3,FALSE),IF(OR(AW1027=1,AW1027=2),VLOOKUP(AU1027,INDEX((係数_乗用_ガソリン,係数_乗用_CNG,係数_乗用_軽油,係数_乗用_メタノール,係数_乗用_LPG),1,1,BE1027):INDEX((係数_乗用_ガソリン,係数_乗用_CNG,係数_乗用_軽油,係数_乗用_メタノール,係数_乗用_LPG),125,5,BE1027),3,FALSE))))))</f>
        <v/>
      </c>
      <c r="BC1027" s="467" t="str">
        <f t="shared" si="596"/>
        <v/>
      </c>
      <c r="BD1027" s="567" t="str">
        <f t="shared" si="597"/>
        <v/>
      </c>
      <c r="BE1027" s="467" t="str">
        <f t="shared" si="598"/>
        <v/>
      </c>
      <c r="BF1027" s="469" t="str">
        <f t="shared" ca="1" si="599"/>
        <v/>
      </c>
      <c r="BG1027" s="469" t="str">
        <f t="shared" ca="1" si="600"/>
        <v/>
      </c>
      <c r="BH1027" s="467" t="str">
        <f t="shared" si="601"/>
        <v/>
      </c>
      <c r="BI1027" s="467" t="str">
        <f t="shared" ca="1" si="602"/>
        <v/>
      </c>
      <c r="BJ1027" s="469" t="str">
        <f t="shared" si="603"/>
        <v/>
      </c>
      <c r="BK1027" s="470" t="str">
        <f t="shared" si="587"/>
        <v/>
      </c>
      <c r="BL1027" s="775" t="str">
        <f t="shared" si="604"/>
        <v/>
      </c>
      <c r="BM1027" s="775" t="str">
        <f t="shared" si="605"/>
        <v/>
      </c>
    </row>
    <row r="1028" spans="1:65">
      <c r="A1028" s="473">
        <v>972</v>
      </c>
      <c r="B1028" s="132"/>
      <c r="C1028" s="332"/>
      <c r="D1028" s="333"/>
      <c r="E1028" s="333"/>
      <c r="F1028" s="334"/>
      <c r="G1028" s="337"/>
      <c r="H1028" s="131"/>
      <c r="I1028" s="337"/>
      <c r="J1028" s="131"/>
      <c r="K1028" s="458" t="str">
        <f t="shared" si="568"/>
        <v/>
      </c>
      <c r="L1028" s="458">
        <f t="shared" si="569"/>
        <v>0</v>
      </c>
      <c r="M1028" s="458">
        <f t="shared" si="570"/>
        <v>0</v>
      </c>
      <c r="N1028" s="459" t="str">
        <f t="shared" si="581"/>
        <v/>
      </c>
      <c r="O1028" s="459" t="str">
        <f t="shared" si="582"/>
        <v/>
      </c>
      <c r="P1028" s="459" t="str">
        <f t="shared" si="583"/>
        <v/>
      </c>
      <c r="Q1028" s="459" t="str">
        <f t="shared" si="584"/>
        <v/>
      </c>
      <c r="R1028" s="459" t="str">
        <f t="shared" si="585"/>
        <v/>
      </c>
      <c r="S1028" s="459" t="str">
        <f t="shared" si="586"/>
        <v/>
      </c>
      <c r="T1028" s="566" t="str">
        <f t="shared" si="571"/>
        <v/>
      </c>
      <c r="U1028" s="702"/>
      <c r="V1028" s="132"/>
      <c r="W1028" s="133"/>
      <c r="X1028" s="134"/>
      <c r="Y1028" s="135"/>
      <c r="Z1028" s="137"/>
      <c r="AA1028" s="136"/>
      <c r="AB1028" s="566" t="str">
        <f t="shared" si="572"/>
        <v/>
      </c>
      <c r="AC1028" s="568" t="str">
        <f t="shared" si="573"/>
        <v/>
      </c>
      <c r="AD1028" s="137"/>
      <c r="AE1028" s="137"/>
      <c r="AF1028" s="138"/>
      <c r="AG1028" s="138"/>
      <c r="AH1028" s="592" t="str">
        <f t="shared" si="574"/>
        <v/>
      </c>
      <c r="AI1028" s="592" t="str">
        <f t="shared" si="575"/>
        <v/>
      </c>
      <c r="AJ1028" s="592" t="str">
        <f t="shared" si="576"/>
        <v/>
      </c>
      <c r="AK1028" s="460" t="str">
        <f>IF(AU1028="","",IF(OR(AZ1028=8,AZ1028=9),0,IF(OR(AW1028=3,AW1028=4,AW1028=5,AW1028=6),IF(LEFT(BF1028,1)="1",INDEX(係数_NOX・PM低減,MATCH(AY1028,【参考】排出係数!$AI$801:$AI$804,1),1),VLOOKUP(AU1028,INDEX((係数_バス貨物_ガソリン,係数_バス貨物_CNG,係数_バス貨物_軽油,係数_バス貨物_メタノール,係数_バス貨物_LPG),MATCH(AY1028,【参考】排出係数!$AI$4:$AI$671,1),1,BE1028):INDEX((係数_バス貨物_ガソリン,係数_バス貨物_CNG,係数_バス貨物_軽油,係数_バス貨物_メタノール,係数_バス貨物_LPG),MATCH(AY1028+1,【参考】排出係数!$AI$4:$AI$671,1)-1,5,BE1028),4,FALSE)),IF(AND(BE1028=3,LEFT(BF1028,1)="1"),0.48,VLOOKUP(AU1028,INDEX((係数_乗用_ガソリン,係数_乗用_CNG,係数_乗用_軽油,係数_乗用_メタノール,係数_乗用_LPG),1,1,BE1028):INDEX((係数_乗用_ガソリン,係数_乗用_CNG,係数_乗用_軽油,係数_乗用_メタノール,係数_乗用_LPG),125,5,BE1028),4,FALSE)))))</f>
        <v/>
      </c>
      <c r="AL1028" s="461" t="str">
        <f t="shared" si="577"/>
        <v/>
      </c>
      <c r="AM1028" s="460" t="str">
        <f>IF(AU1028="","",IF(OR(AZ1028=8,AZ1028=9),0,IF(OR(AW1028=3,AW1028=4,AW1028=5,AW1028=6),IF(LEFT(BH1028,1)="1",INDEX(係数_PM低減,MATCH(AY1028,【参考】排出係数!$AI$801:$AI$804,1),MATCH(BI1028,【参考】排出係数!$AL$798:$AO$798,1)),VLOOKUP(AU1028,INDEX((係数_バス貨物_ガソリン,係数_バス貨物_CNG,係数_バス貨物_軽油,係数_バス貨物_メタノール,係数_バス貨物_LPG),MATCH(AY1028,【参考】排出係数!$AI$4:$AI$671,1),1,BE1028):INDEX((係数_バス貨物_ガソリン,係数_バス貨物_CNG,係数_バス貨物_軽油,係数_バス貨物_メタノール,係数_バス貨物_LPG),MATCH(AY1028+1,【参考】排出係数!$AI$4:$AI$671,1)-1,5,BE1028),5,FALSE)),IF(AND(BE1028=3,LEFT(BF1028,1)="1"),0.055,VLOOKUP(AU1028,INDEX((係数_乗用_ガソリン,係数_乗用_CNG,係数_乗用_軽油,係数_乗用_メタノール,係数_乗用_LPG),1,1,BE1028):INDEX((係数_乗用_ガソリン,係数_乗用_CNG,係数_乗用_軽油,係数_乗用_メタノール,係数_乗用_LPG),125,5,BE1028),5,FALSE)))))</f>
        <v/>
      </c>
      <c r="AN1028" s="461" t="str">
        <f t="shared" si="578"/>
        <v/>
      </c>
      <c r="AO1028" s="462" t="str">
        <f t="shared" si="579"/>
        <v/>
      </c>
      <c r="AP1028" s="463" t="str">
        <f t="shared" si="580"/>
        <v/>
      </c>
      <c r="AQ1028" s="464"/>
      <c r="AR1028" s="619"/>
      <c r="AS1028" s="465" t="str">
        <f t="shared" si="588"/>
        <v/>
      </c>
      <c r="AT1028" s="465" t="str">
        <f t="shared" si="589"/>
        <v/>
      </c>
      <c r="AU1028" s="466" t="str">
        <f t="shared" si="590"/>
        <v/>
      </c>
      <c r="AV1028" s="467" t="str">
        <f t="shared" si="591"/>
        <v/>
      </c>
      <c r="AW1028" s="467" t="str">
        <f t="shared" si="592"/>
        <v/>
      </c>
      <c r="AX1028" s="467" t="str">
        <f t="shared" si="593"/>
        <v/>
      </c>
      <c r="AY1028" s="467" t="str">
        <f t="shared" si="594"/>
        <v/>
      </c>
      <c r="AZ1028" s="467" t="str">
        <f t="shared" si="595"/>
        <v/>
      </c>
      <c r="BA1028" s="468" t="str">
        <f>IF(AS1028="","",IF(OR(AU1028="",AU1028="-"),"－",IF(OR(AZ1028=8,AZ1028=9),"",IF(OR(AW1028=3,AW1028=4,AW1028=5,AW1028=6),VLOOKUP(AU1028,INDEX((係数_バス貨物_ガソリン,係数_バス貨物_CNG,係数_バス貨物_軽油,係数_バス貨物_メタノール,係数_バス貨物_LPG),MATCH(AY1028,【参考】排出係数!$AI$4:$AI$671,1),1,BE1028):INDEX((係数_バス貨物_ガソリン,係数_バス貨物_CNG,係数_バス貨物_軽油,係数_バス貨物_メタノール,係数_バス貨物_LPG),MATCH(AY1028+1,【参考】排出係数!$AI$4:$AI$671,1)-1,5,BE1028),2,FALSE),IF(OR(AW1028=1,AW1028=2),VLOOKUP(AU1028,INDEX((係数_乗用_ガソリン,係数_乗用_CNG,係数_乗用_軽油,係数_乗用_メタノール,係数_乗用_LPG),1,1,BE1028):INDEX((係数_乗用_ガソリン,係数_乗用_CNG,係数_乗用_軽油,係数_乗用_メタノール,係数_乗用_LPG),125,5,BE1028),2,FALSE))))))</f>
        <v/>
      </c>
      <c r="BB1028" s="468" t="str">
        <f>IF(T1028="","",IF(OR(AU1028="",AU1028="-"),"－",IF(OR(AZ1028=8,AZ1028=9),"",IF(OR(AW1028=3,AW1028=4,AW1028=5,AW1028=6),VLOOKUP(AU1028,INDEX((係数_バス貨物_ガソリン,係数_バス貨物_CNG,係数_バス貨物_軽油,係数_バス貨物_メタノール,係数_バス貨物_LPG),MATCH(AY1028,【参考】排出係数!$AI$4:$AI$671,1),1,BE1028):INDEX((係数_バス貨物_ガソリン,係数_バス貨物_CNG,係数_バス貨物_軽油,係数_バス貨物_メタノール,係数_バス貨物_LPG),MATCH(AY1028+1,【参考】排出係数!$AI$4:$AI$671,1)-1,5,BE1028),3,FALSE),IF(OR(AW1028=1,AW1028=2),VLOOKUP(AU1028,INDEX((係数_乗用_ガソリン,係数_乗用_CNG,係数_乗用_軽油,係数_乗用_メタノール,係数_乗用_LPG),1,1,BE1028):INDEX((係数_乗用_ガソリン,係数_乗用_CNG,係数_乗用_軽油,係数_乗用_メタノール,係数_乗用_LPG),125,5,BE1028),3,FALSE))))))</f>
        <v/>
      </c>
      <c r="BC1028" s="467" t="str">
        <f t="shared" si="596"/>
        <v/>
      </c>
      <c r="BD1028" s="567" t="str">
        <f t="shared" si="597"/>
        <v/>
      </c>
      <c r="BE1028" s="467" t="str">
        <f t="shared" si="598"/>
        <v/>
      </c>
      <c r="BF1028" s="469" t="str">
        <f t="shared" ca="1" si="599"/>
        <v/>
      </c>
      <c r="BG1028" s="469" t="str">
        <f t="shared" ca="1" si="600"/>
        <v/>
      </c>
      <c r="BH1028" s="467" t="str">
        <f t="shared" si="601"/>
        <v/>
      </c>
      <c r="BI1028" s="467" t="str">
        <f t="shared" ca="1" si="602"/>
        <v/>
      </c>
      <c r="BJ1028" s="469" t="str">
        <f t="shared" si="603"/>
        <v/>
      </c>
      <c r="BK1028" s="470" t="str">
        <f t="shared" si="587"/>
        <v/>
      </c>
      <c r="BL1028" s="775" t="str">
        <f t="shared" si="604"/>
        <v/>
      </c>
      <c r="BM1028" s="775" t="str">
        <f t="shared" si="605"/>
        <v/>
      </c>
    </row>
    <row r="1029" spans="1:65">
      <c r="A1029" s="473">
        <v>973</v>
      </c>
      <c r="B1029" s="132"/>
      <c r="C1029" s="332"/>
      <c r="D1029" s="333"/>
      <c r="E1029" s="333"/>
      <c r="F1029" s="334"/>
      <c r="G1029" s="337"/>
      <c r="H1029" s="131"/>
      <c r="I1029" s="337"/>
      <c r="J1029" s="131"/>
      <c r="K1029" s="458" t="str">
        <f t="shared" si="568"/>
        <v/>
      </c>
      <c r="L1029" s="458">
        <f t="shared" si="569"/>
        <v>0</v>
      </c>
      <c r="M1029" s="458">
        <f t="shared" si="570"/>
        <v>0</v>
      </c>
      <c r="N1029" s="459" t="str">
        <f t="shared" si="581"/>
        <v/>
      </c>
      <c r="O1029" s="459" t="str">
        <f t="shared" si="582"/>
        <v/>
      </c>
      <c r="P1029" s="459" t="str">
        <f t="shared" si="583"/>
        <v/>
      </c>
      <c r="Q1029" s="459" t="str">
        <f t="shared" si="584"/>
        <v/>
      </c>
      <c r="R1029" s="459" t="str">
        <f t="shared" si="585"/>
        <v/>
      </c>
      <c r="S1029" s="459" t="str">
        <f t="shared" si="586"/>
        <v/>
      </c>
      <c r="T1029" s="566" t="str">
        <f t="shared" si="571"/>
        <v/>
      </c>
      <c r="U1029" s="702"/>
      <c r="V1029" s="132"/>
      <c r="W1029" s="133"/>
      <c r="X1029" s="134"/>
      <c r="Y1029" s="135"/>
      <c r="Z1029" s="137"/>
      <c r="AA1029" s="136"/>
      <c r="AB1029" s="566" t="str">
        <f t="shared" si="572"/>
        <v/>
      </c>
      <c r="AC1029" s="568" t="str">
        <f t="shared" si="573"/>
        <v/>
      </c>
      <c r="AD1029" s="137"/>
      <c r="AE1029" s="137"/>
      <c r="AF1029" s="138"/>
      <c r="AG1029" s="138"/>
      <c r="AH1029" s="592" t="str">
        <f t="shared" si="574"/>
        <v/>
      </c>
      <c r="AI1029" s="592" t="str">
        <f t="shared" si="575"/>
        <v/>
      </c>
      <c r="AJ1029" s="592" t="str">
        <f t="shared" si="576"/>
        <v/>
      </c>
      <c r="AK1029" s="460" t="str">
        <f>IF(AU1029="","",IF(OR(AZ1029=8,AZ1029=9),0,IF(OR(AW1029=3,AW1029=4,AW1029=5,AW1029=6),IF(LEFT(BF1029,1)="1",INDEX(係数_NOX・PM低減,MATCH(AY1029,【参考】排出係数!$AI$801:$AI$804,1),1),VLOOKUP(AU1029,INDEX((係数_バス貨物_ガソリン,係数_バス貨物_CNG,係数_バス貨物_軽油,係数_バス貨物_メタノール,係数_バス貨物_LPG),MATCH(AY1029,【参考】排出係数!$AI$4:$AI$671,1),1,BE1029):INDEX((係数_バス貨物_ガソリン,係数_バス貨物_CNG,係数_バス貨物_軽油,係数_バス貨物_メタノール,係数_バス貨物_LPG),MATCH(AY1029+1,【参考】排出係数!$AI$4:$AI$671,1)-1,5,BE1029),4,FALSE)),IF(AND(BE1029=3,LEFT(BF1029,1)="1"),0.48,VLOOKUP(AU1029,INDEX((係数_乗用_ガソリン,係数_乗用_CNG,係数_乗用_軽油,係数_乗用_メタノール,係数_乗用_LPG),1,1,BE1029):INDEX((係数_乗用_ガソリン,係数_乗用_CNG,係数_乗用_軽油,係数_乗用_メタノール,係数_乗用_LPG),125,5,BE1029),4,FALSE)))))</f>
        <v/>
      </c>
      <c r="AL1029" s="461" t="str">
        <f t="shared" si="577"/>
        <v/>
      </c>
      <c r="AM1029" s="460" t="str">
        <f>IF(AU1029="","",IF(OR(AZ1029=8,AZ1029=9),0,IF(OR(AW1029=3,AW1029=4,AW1029=5,AW1029=6),IF(LEFT(BH1029,1)="1",INDEX(係数_PM低減,MATCH(AY1029,【参考】排出係数!$AI$801:$AI$804,1),MATCH(BI1029,【参考】排出係数!$AL$798:$AO$798,1)),VLOOKUP(AU1029,INDEX((係数_バス貨物_ガソリン,係数_バス貨物_CNG,係数_バス貨物_軽油,係数_バス貨物_メタノール,係数_バス貨物_LPG),MATCH(AY1029,【参考】排出係数!$AI$4:$AI$671,1),1,BE1029):INDEX((係数_バス貨物_ガソリン,係数_バス貨物_CNG,係数_バス貨物_軽油,係数_バス貨物_メタノール,係数_バス貨物_LPG),MATCH(AY1029+1,【参考】排出係数!$AI$4:$AI$671,1)-1,5,BE1029),5,FALSE)),IF(AND(BE1029=3,LEFT(BF1029,1)="1"),0.055,VLOOKUP(AU1029,INDEX((係数_乗用_ガソリン,係数_乗用_CNG,係数_乗用_軽油,係数_乗用_メタノール,係数_乗用_LPG),1,1,BE1029):INDEX((係数_乗用_ガソリン,係数_乗用_CNG,係数_乗用_軽油,係数_乗用_メタノール,係数_乗用_LPG),125,5,BE1029),5,FALSE)))))</f>
        <v/>
      </c>
      <c r="AN1029" s="461" t="str">
        <f t="shared" si="578"/>
        <v/>
      </c>
      <c r="AO1029" s="462" t="str">
        <f t="shared" si="579"/>
        <v/>
      </c>
      <c r="AP1029" s="463" t="str">
        <f t="shared" si="580"/>
        <v/>
      </c>
      <c r="AQ1029" s="464"/>
      <c r="AR1029" s="619"/>
      <c r="AS1029" s="465" t="str">
        <f t="shared" si="588"/>
        <v/>
      </c>
      <c r="AT1029" s="465" t="str">
        <f t="shared" si="589"/>
        <v/>
      </c>
      <c r="AU1029" s="466" t="str">
        <f t="shared" si="590"/>
        <v/>
      </c>
      <c r="AV1029" s="467" t="str">
        <f t="shared" si="591"/>
        <v/>
      </c>
      <c r="AW1029" s="467" t="str">
        <f t="shared" si="592"/>
        <v/>
      </c>
      <c r="AX1029" s="467" t="str">
        <f t="shared" si="593"/>
        <v/>
      </c>
      <c r="AY1029" s="467" t="str">
        <f t="shared" si="594"/>
        <v/>
      </c>
      <c r="AZ1029" s="467" t="str">
        <f t="shared" si="595"/>
        <v/>
      </c>
      <c r="BA1029" s="468" t="str">
        <f>IF(AS1029="","",IF(OR(AU1029="",AU1029="-"),"－",IF(OR(AZ1029=8,AZ1029=9),"",IF(OR(AW1029=3,AW1029=4,AW1029=5,AW1029=6),VLOOKUP(AU1029,INDEX((係数_バス貨物_ガソリン,係数_バス貨物_CNG,係数_バス貨物_軽油,係数_バス貨物_メタノール,係数_バス貨物_LPG),MATCH(AY1029,【参考】排出係数!$AI$4:$AI$671,1),1,BE1029):INDEX((係数_バス貨物_ガソリン,係数_バス貨物_CNG,係数_バス貨物_軽油,係数_バス貨物_メタノール,係数_バス貨物_LPG),MATCH(AY1029+1,【参考】排出係数!$AI$4:$AI$671,1)-1,5,BE1029),2,FALSE),IF(OR(AW1029=1,AW1029=2),VLOOKUP(AU1029,INDEX((係数_乗用_ガソリン,係数_乗用_CNG,係数_乗用_軽油,係数_乗用_メタノール,係数_乗用_LPG),1,1,BE1029):INDEX((係数_乗用_ガソリン,係数_乗用_CNG,係数_乗用_軽油,係数_乗用_メタノール,係数_乗用_LPG),125,5,BE1029),2,FALSE))))))</f>
        <v/>
      </c>
      <c r="BB1029" s="468" t="str">
        <f>IF(T1029="","",IF(OR(AU1029="",AU1029="-"),"－",IF(OR(AZ1029=8,AZ1029=9),"",IF(OR(AW1029=3,AW1029=4,AW1029=5,AW1029=6),VLOOKUP(AU1029,INDEX((係数_バス貨物_ガソリン,係数_バス貨物_CNG,係数_バス貨物_軽油,係数_バス貨物_メタノール,係数_バス貨物_LPG),MATCH(AY1029,【参考】排出係数!$AI$4:$AI$671,1),1,BE1029):INDEX((係数_バス貨物_ガソリン,係数_バス貨物_CNG,係数_バス貨物_軽油,係数_バス貨物_メタノール,係数_バス貨物_LPG),MATCH(AY1029+1,【参考】排出係数!$AI$4:$AI$671,1)-1,5,BE1029),3,FALSE),IF(OR(AW1029=1,AW1029=2),VLOOKUP(AU1029,INDEX((係数_乗用_ガソリン,係数_乗用_CNG,係数_乗用_軽油,係数_乗用_メタノール,係数_乗用_LPG),1,1,BE1029):INDEX((係数_乗用_ガソリン,係数_乗用_CNG,係数_乗用_軽油,係数_乗用_メタノール,係数_乗用_LPG),125,5,BE1029),3,FALSE))))))</f>
        <v/>
      </c>
      <c r="BC1029" s="467" t="str">
        <f t="shared" si="596"/>
        <v/>
      </c>
      <c r="BD1029" s="567" t="str">
        <f t="shared" si="597"/>
        <v/>
      </c>
      <c r="BE1029" s="467" t="str">
        <f t="shared" si="598"/>
        <v/>
      </c>
      <c r="BF1029" s="469" t="str">
        <f t="shared" ca="1" si="599"/>
        <v/>
      </c>
      <c r="BG1029" s="469" t="str">
        <f t="shared" ca="1" si="600"/>
        <v/>
      </c>
      <c r="BH1029" s="467" t="str">
        <f t="shared" si="601"/>
        <v/>
      </c>
      <c r="BI1029" s="467" t="str">
        <f t="shared" ca="1" si="602"/>
        <v/>
      </c>
      <c r="BJ1029" s="469" t="str">
        <f t="shared" si="603"/>
        <v/>
      </c>
      <c r="BK1029" s="470" t="str">
        <f t="shared" si="587"/>
        <v/>
      </c>
      <c r="BL1029" s="775" t="str">
        <f t="shared" si="604"/>
        <v/>
      </c>
      <c r="BM1029" s="775" t="str">
        <f t="shared" si="605"/>
        <v/>
      </c>
    </row>
    <row r="1030" spans="1:65">
      <c r="A1030" s="473">
        <v>974</v>
      </c>
      <c r="B1030" s="132"/>
      <c r="C1030" s="332"/>
      <c r="D1030" s="333"/>
      <c r="E1030" s="333"/>
      <c r="F1030" s="334"/>
      <c r="G1030" s="337"/>
      <c r="H1030" s="131"/>
      <c r="I1030" s="337"/>
      <c r="J1030" s="131"/>
      <c r="K1030" s="458" t="str">
        <f t="shared" si="568"/>
        <v/>
      </c>
      <c r="L1030" s="458">
        <f t="shared" si="569"/>
        <v>0</v>
      </c>
      <c r="M1030" s="458">
        <f t="shared" si="570"/>
        <v>0</v>
      </c>
      <c r="N1030" s="459" t="str">
        <f t="shared" si="581"/>
        <v/>
      </c>
      <c r="O1030" s="459" t="str">
        <f t="shared" si="582"/>
        <v/>
      </c>
      <c r="P1030" s="459" t="str">
        <f t="shared" si="583"/>
        <v/>
      </c>
      <c r="Q1030" s="459" t="str">
        <f t="shared" si="584"/>
        <v/>
      </c>
      <c r="R1030" s="459" t="str">
        <f t="shared" si="585"/>
        <v/>
      </c>
      <c r="S1030" s="459" t="str">
        <f t="shared" si="586"/>
        <v/>
      </c>
      <c r="T1030" s="566" t="str">
        <f t="shared" si="571"/>
        <v/>
      </c>
      <c r="U1030" s="702"/>
      <c r="V1030" s="132"/>
      <c r="W1030" s="133"/>
      <c r="X1030" s="134"/>
      <c r="Y1030" s="135"/>
      <c r="Z1030" s="137"/>
      <c r="AA1030" s="136"/>
      <c r="AB1030" s="566" t="str">
        <f t="shared" si="572"/>
        <v/>
      </c>
      <c r="AC1030" s="568" t="str">
        <f t="shared" si="573"/>
        <v/>
      </c>
      <c r="AD1030" s="137"/>
      <c r="AE1030" s="137"/>
      <c r="AF1030" s="138"/>
      <c r="AG1030" s="138"/>
      <c r="AH1030" s="592" t="str">
        <f t="shared" si="574"/>
        <v/>
      </c>
      <c r="AI1030" s="592" t="str">
        <f t="shared" si="575"/>
        <v/>
      </c>
      <c r="AJ1030" s="592" t="str">
        <f t="shared" si="576"/>
        <v/>
      </c>
      <c r="AK1030" s="460" t="str">
        <f>IF(AU1030="","",IF(OR(AZ1030=8,AZ1030=9),0,IF(OR(AW1030=3,AW1030=4,AW1030=5,AW1030=6),IF(LEFT(BF1030,1)="1",INDEX(係数_NOX・PM低減,MATCH(AY1030,【参考】排出係数!$AI$801:$AI$804,1),1),VLOOKUP(AU1030,INDEX((係数_バス貨物_ガソリン,係数_バス貨物_CNG,係数_バス貨物_軽油,係数_バス貨物_メタノール,係数_バス貨物_LPG),MATCH(AY1030,【参考】排出係数!$AI$4:$AI$671,1),1,BE1030):INDEX((係数_バス貨物_ガソリン,係数_バス貨物_CNG,係数_バス貨物_軽油,係数_バス貨物_メタノール,係数_バス貨物_LPG),MATCH(AY1030+1,【参考】排出係数!$AI$4:$AI$671,1)-1,5,BE1030),4,FALSE)),IF(AND(BE1030=3,LEFT(BF1030,1)="1"),0.48,VLOOKUP(AU1030,INDEX((係数_乗用_ガソリン,係数_乗用_CNG,係数_乗用_軽油,係数_乗用_メタノール,係数_乗用_LPG),1,1,BE1030):INDEX((係数_乗用_ガソリン,係数_乗用_CNG,係数_乗用_軽油,係数_乗用_メタノール,係数_乗用_LPG),125,5,BE1030),4,FALSE)))))</f>
        <v/>
      </c>
      <c r="AL1030" s="461" t="str">
        <f t="shared" si="577"/>
        <v/>
      </c>
      <c r="AM1030" s="460" t="str">
        <f>IF(AU1030="","",IF(OR(AZ1030=8,AZ1030=9),0,IF(OR(AW1030=3,AW1030=4,AW1030=5,AW1030=6),IF(LEFT(BH1030,1)="1",INDEX(係数_PM低減,MATCH(AY1030,【参考】排出係数!$AI$801:$AI$804,1),MATCH(BI1030,【参考】排出係数!$AL$798:$AO$798,1)),VLOOKUP(AU1030,INDEX((係数_バス貨物_ガソリン,係数_バス貨物_CNG,係数_バス貨物_軽油,係数_バス貨物_メタノール,係数_バス貨物_LPG),MATCH(AY1030,【参考】排出係数!$AI$4:$AI$671,1),1,BE1030):INDEX((係数_バス貨物_ガソリン,係数_バス貨物_CNG,係数_バス貨物_軽油,係数_バス貨物_メタノール,係数_バス貨物_LPG),MATCH(AY1030+1,【参考】排出係数!$AI$4:$AI$671,1)-1,5,BE1030),5,FALSE)),IF(AND(BE1030=3,LEFT(BF1030,1)="1"),0.055,VLOOKUP(AU1030,INDEX((係数_乗用_ガソリン,係数_乗用_CNG,係数_乗用_軽油,係数_乗用_メタノール,係数_乗用_LPG),1,1,BE1030):INDEX((係数_乗用_ガソリン,係数_乗用_CNG,係数_乗用_軽油,係数_乗用_メタノール,係数_乗用_LPG),125,5,BE1030),5,FALSE)))))</f>
        <v/>
      </c>
      <c r="AN1030" s="461" t="str">
        <f t="shared" si="578"/>
        <v/>
      </c>
      <c r="AO1030" s="462" t="str">
        <f t="shared" si="579"/>
        <v/>
      </c>
      <c r="AP1030" s="463" t="str">
        <f t="shared" si="580"/>
        <v/>
      </c>
      <c r="AQ1030" s="464"/>
      <c r="AR1030" s="619"/>
      <c r="AS1030" s="465" t="str">
        <f t="shared" si="588"/>
        <v/>
      </c>
      <c r="AT1030" s="465" t="str">
        <f t="shared" si="589"/>
        <v/>
      </c>
      <c r="AU1030" s="466" t="str">
        <f t="shared" si="590"/>
        <v/>
      </c>
      <c r="AV1030" s="467" t="str">
        <f t="shared" si="591"/>
        <v/>
      </c>
      <c r="AW1030" s="467" t="str">
        <f t="shared" si="592"/>
        <v/>
      </c>
      <c r="AX1030" s="467" t="str">
        <f t="shared" si="593"/>
        <v/>
      </c>
      <c r="AY1030" s="467" t="str">
        <f t="shared" si="594"/>
        <v/>
      </c>
      <c r="AZ1030" s="467" t="str">
        <f t="shared" si="595"/>
        <v/>
      </c>
      <c r="BA1030" s="468" t="str">
        <f>IF(AS1030="","",IF(OR(AU1030="",AU1030="-"),"－",IF(OR(AZ1030=8,AZ1030=9),"",IF(OR(AW1030=3,AW1030=4,AW1030=5,AW1030=6),VLOOKUP(AU1030,INDEX((係数_バス貨物_ガソリン,係数_バス貨物_CNG,係数_バス貨物_軽油,係数_バス貨物_メタノール,係数_バス貨物_LPG),MATCH(AY1030,【参考】排出係数!$AI$4:$AI$671,1),1,BE1030):INDEX((係数_バス貨物_ガソリン,係数_バス貨物_CNG,係数_バス貨物_軽油,係数_バス貨物_メタノール,係数_バス貨物_LPG),MATCH(AY1030+1,【参考】排出係数!$AI$4:$AI$671,1)-1,5,BE1030),2,FALSE),IF(OR(AW1030=1,AW1030=2),VLOOKUP(AU1030,INDEX((係数_乗用_ガソリン,係数_乗用_CNG,係数_乗用_軽油,係数_乗用_メタノール,係数_乗用_LPG),1,1,BE1030):INDEX((係数_乗用_ガソリン,係数_乗用_CNG,係数_乗用_軽油,係数_乗用_メタノール,係数_乗用_LPG),125,5,BE1030),2,FALSE))))))</f>
        <v/>
      </c>
      <c r="BB1030" s="468" t="str">
        <f>IF(T1030="","",IF(OR(AU1030="",AU1030="-"),"－",IF(OR(AZ1030=8,AZ1030=9),"",IF(OR(AW1030=3,AW1030=4,AW1030=5,AW1030=6),VLOOKUP(AU1030,INDEX((係数_バス貨物_ガソリン,係数_バス貨物_CNG,係数_バス貨物_軽油,係数_バス貨物_メタノール,係数_バス貨物_LPG),MATCH(AY1030,【参考】排出係数!$AI$4:$AI$671,1),1,BE1030):INDEX((係数_バス貨物_ガソリン,係数_バス貨物_CNG,係数_バス貨物_軽油,係数_バス貨物_メタノール,係数_バス貨物_LPG),MATCH(AY1030+1,【参考】排出係数!$AI$4:$AI$671,1)-1,5,BE1030),3,FALSE),IF(OR(AW1030=1,AW1030=2),VLOOKUP(AU1030,INDEX((係数_乗用_ガソリン,係数_乗用_CNG,係数_乗用_軽油,係数_乗用_メタノール,係数_乗用_LPG),1,1,BE1030):INDEX((係数_乗用_ガソリン,係数_乗用_CNG,係数_乗用_軽油,係数_乗用_メタノール,係数_乗用_LPG),125,5,BE1030),3,FALSE))))))</f>
        <v/>
      </c>
      <c r="BC1030" s="467" t="str">
        <f t="shared" si="596"/>
        <v/>
      </c>
      <c r="BD1030" s="567" t="str">
        <f t="shared" si="597"/>
        <v/>
      </c>
      <c r="BE1030" s="467" t="str">
        <f t="shared" si="598"/>
        <v/>
      </c>
      <c r="BF1030" s="469" t="str">
        <f t="shared" ca="1" si="599"/>
        <v/>
      </c>
      <c r="BG1030" s="469" t="str">
        <f t="shared" ca="1" si="600"/>
        <v/>
      </c>
      <c r="BH1030" s="467" t="str">
        <f t="shared" si="601"/>
        <v/>
      </c>
      <c r="BI1030" s="467" t="str">
        <f t="shared" ca="1" si="602"/>
        <v/>
      </c>
      <c r="BJ1030" s="469" t="str">
        <f t="shared" si="603"/>
        <v/>
      </c>
      <c r="BK1030" s="470" t="str">
        <f t="shared" si="587"/>
        <v/>
      </c>
      <c r="BL1030" s="775" t="str">
        <f t="shared" si="604"/>
        <v/>
      </c>
      <c r="BM1030" s="775" t="str">
        <f t="shared" si="605"/>
        <v/>
      </c>
    </row>
    <row r="1031" spans="1:65">
      <c r="A1031" s="473">
        <v>975</v>
      </c>
      <c r="B1031" s="132"/>
      <c r="C1031" s="332"/>
      <c r="D1031" s="333"/>
      <c r="E1031" s="333"/>
      <c r="F1031" s="334"/>
      <c r="G1031" s="337"/>
      <c r="H1031" s="131"/>
      <c r="I1031" s="337"/>
      <c r="J1031" s="131"/>
      <c r="K1031" s="458" t="str">
        <f t="shared" si="568"/>
        <v/>
      </c>
      <c r="L1031" s="458">
        <f t="shared" si="569"/>
        <v>0</v>
      </c>
      <c r="M1031" s="458">
        <f t="shared" si="570"/>
        <v>0</v>
      </c>
      <c r="N1031" s="459" t="str">
        <f t="shared" si="581"/>
        <v/>
      </c>
      <c r="O1031" s="459" t="str">
        <f t="shared" si="582"/>
        <v/>
      </c>
      <c r="P1031" s="459" t="str">
        <f t="shared" si="583"/>
        <v/>
      </c>
      <c r="Q1031" s="459" t="str">
        <f t="shared" si="584"/>
        <v/>
      </c>
      <c r="R1031" s="459" t="str">
        <f t="shared" si="585"/>
        <v/>
      </c>
      <c r="S1031" s="459" t="str">
        <f t="shared" si="586"/>
        <v/>
      </c>
      <c r="T1031" s="566" t="str">
        <f t="shared" si="571"/>
        <v/>
      </c>
      <c r="U1031" s="702"/>
      <c r="V1031" s="132"/>
      <c r="W1031" s="133"/>
      <c r="X1031" s="134"/>
      <c r="Y1031" s="135"/>
      <c r="Z1031" s="137"/>
      <c r="AA1031" s="136"/>
      <c r="AB1031" s="566" t="str">
        <f t="shared" si="572"/>
        <v/>
      </c>
      <c r="AC1031" s="568" t="str">
        <f t="shared" si="573"/>
        <v/>
      </c>
      <c r="AD1031" s="137"/>
      <c r="AE1031" s="137"/>
      <c r="AF1031" s="138"/>
      <c r="AG1031" s="138"/>
      <c r="AH1031" s="592" t="str">
        <f t="shared" si="574"/>
        <v/>
      </c>
      <c r="AI1031" s="592" t="str">
        <f t="shared" si="575"/>
        <v/>
      </c>
      <c r="AJ1031" s="592" t="str">
        <f t="shared" si="576"/>
        <v/>
      </c>
      <c r="AK1031" s="460" t="str">
        <f>IF(AU1031="","",IF(OR(AZ1031=8,AZ1031=9),0,IF(OR(AW1031=3,AW1031=4,AW1031=5,AW1031=6),IF(LEFT(BF1031,1)="1",INDEX(係数_NOX・PM低減,MATCH(AY1031,【参考】排出係数!$AI$801:$AI$804,1),1),VLOOKUP(AU1031,INDEX((係数_バス貨物_ガソリン,係数_バス貨物_CNG,係数_バス貨物_軽油,係数_バス貨物_メタノール,係数_バス貨物_LPG),MATCH(AY1031,【参考】排出係数!$AI$4:$AI$671,1),1,BE1031):INDEX((係数_バス貨物_ガソリン,係数_バス貨物_CNG,係数_バス貨物_軽油,係数_バス貨物_メタノール,係数_バス貨物_LPG),MATCH(AY1031+1,【参考】排出係数!$AI$4:$AI$671,1)-1,5,BE1031),4,FALSE)),IF(AND(BE1031=3,LEFT(BF1031,1)="1"),0.48,VLOOKUP(AU1031,INDEX((係数_乗用_ガソリン,係数_乗用_CNG,係数_乗用_軽油,係数_乗用_メタノール,係数_乗用_LPG),1,1,BE1031):INDEX((係数_乗用_ガソリン,係数_乗用_CNG,係数_乗用_軽油,係数_乗用_メタノール,係数_乗用_LPG),125,5,BE1031),4,FALSE)))))</f>
        <v/>
      </c>
      <c r="AL1031" s="461" t="str">
        <f t="shared" si="577"/>
        <v/>
      </c>
      <c r="AM1031" s="460" t="str">
        <f>IF(AU1031="","",IF(OR(AZ1031=8,AZ1031=9),0,IF(OR(AW1031=3,AW1031=4,AW1031=5,AW1031=6),IF(LEFT(BH1031,1)="1",INDEX(係数_PM低減,MATCH(AY1031,【参考】排出係数!$AI$801:$AI$804,1),MATCH(BI1031,【参考】排出係数!$AL$798:$AO$798,1)),VLOOKUP(AU1031,INDEX((係数_バス貨物_ガソリン,係数_バス貨物_CNG,係数_バス貨物_軽油,係数_バス貨物_メタノール,係数_バス貨物_LPG),MATCH(AY1031,【参考】排出係数!$AI$4:$AI$671,1),1,BE1031):INDEX((係数_バス貨物_ガソリン,係数_バス貨物_CNG,係数_バス貨物_軽油,係数_バス貨物_メタノール,係数_バス貨物_LPG),MATCH(AY1031+1,【参考】排出係数!$AI$4:$AI$671,1)-1,5,BE1031),5,FALSE)),IF(AND(BE1031=3,LEFT(BF1031,1)="1"),0.055,VLOOKUP(AU1031,INDEX((係数_乗用_ガソリン,係数_乗用_CNG,係数_乗用_軽油,係数_乗用_メタノール,係数_乗用_LPG),1,1,BE1031):INDEX((係数_乗用_ガソリン,係数_乗用_CNG,係数_乗用_軽油,係数_乗用_メタノール,係数_乗用_LPG),125,5,BE1031),5,FALSE)))))</f>
        <v/>
      </c>
      <c r="AN1031" s="461" t="str">
        <f t="shared" si="578"/>
        <v/>
      </c>
      <c r="AO1031" s="462" t="str">
        <f t="shared" si="579"/>
        <v/>
      </c>
      <c r="AP1031" s="463" t="str">
        <f t="shared" si="580"/>
        <v/>
      </c>
      <c r="AQ1031" s="464"/>
      <c r="AR1031" s="619"/>
      <c r="AS1031" s="465" t="str">
        <f t="shared" si="588"/>
        <v/>
      </c>
      <c r="AT1031" s="465" t="str">
        <f t="shared" si="589"/>
        <v/>
      </c>
      <c r="AU1031" s="466" t="str">
        <f t="shared" si="590"/>
        <v/>
      </c>
      <c r="AV1031" s="467" t="str">
        <f t="shared" si="591"/>
        <v/>
      </c>
      <c r="AW1031" s="467" t="str">
        <f t="shared" si="592"/>
        <v/>
      </c>
      <c r="AX1031" s="467" t="str">
        <f t="shared" si="593"/>
        <v/>
      </c>
      <c r="AY1031" s="467" t="str">
        <f t="shared" si="594"/>
        <v/>
      </c>
      <c r="AZ1031" s="467" t="str">
        <f t="shared" si="595"/>
        <v/>
      </c>
      <c r="BA1031" s="468" t="str">
        <f>IF(AS1031="","",IF(OR(AU1031="",AU1031="-"),"－",IF(OR(AZ1031=8,AZ1031=9),"",IF(OR(AW1031=3,AW1031=4,AW1031=5,AW1031=6),VLOOKUP(AU1031,INDEX((係数_バス貨物_ガソリン,係数_バス貨物_CNG,係数_バス貨物_軽油,係数_バス貨物_メタノール,係数_バス貨物_LPG),MATCH(AY1031,【参考】排出係数!$AI$4:$AI$671,1),1,BE1031):INDEX((係数_バス貨物_ガソリン,係数_バス貨物_CNG,係数_バス貨物_軽油,係数_バス貨物_メタノール,係数_バス貨物_LPG),MATCH(AY1031+1,【参考】排出係数!$AI$4:$AI$671,1)-1,5,BE1031),2,FALSE),IF(OR(AW1031=1,AW1031=2),VLOOKUP(AU1031,INDEX((係数_乗用_ガソリン,係数_乗用_CNG,係数_乗用_軽油,係数_乗用_メタノール,係数_乗用_LPG),1,1,BE1031):INDEX((係数_乗用_ガソリン,係数_乗用_CNG,係数_乗用_軽油,係数_乗用_メタノール,係数_乗用_LPG),125,5,BE1031),2,FALSE))))))</f>
        <v/>
      </c>
      <c r="BB1031" s="468" t="str">
        <f>IF(T1031="","",IF(OR(AU1031="",AU1031="-"),"－",IF(OR(AZ1031=8,AZ1031=9),"",IF(OR(AW1031=3,AW1031=4,AW1031=5,AW1031=6),VLOOKUP(AU1031,INDEX((係数_バス貨物_ガソリン,係数_バス貨物_CNG,係数_バス貨物_軽油,係数_バス貨物_メタノール,係数_バス貨物_LPG),MATCH(AY1031,【参考】排出係数!$AI$4:$AI$671,1),1,BE1031):INDEX((係数_バス貨物_ガソリン,係数_バス貨物_CNG,係数_バス貨物_軽油,係数_バス貨物_メタノール,係数_バス貨物_LPG),MATCH(AY1031+1,【参考】排出係数!$AI$4:$AI$671,1)-1,5,BE1031),3,FALSE),IF(OR(AW1031=1,AW1031=2),VLOOKUP(AU1031,INDEX((係数_乗用_ガソリン,係数_乗用_CNG,係数_乗用_軽油,係数_乗用_メタノール,係数_乗用_LPG),1,1,BE1031):INDEX((係数_乗用_ガソリン,係数_乗用_CNG,係数_乗用_軽油,係数_乗用_メタノール,係数_乗用_LPG),125,5,BE1031),3,FALSE))))))</f>
        <v/>
      </c>
      <c r="BC1031" s="467" t="str">
        <f t="shared" si="596"/>
        <v/>
      </c>
      <c r="BD1031" s="567" t="str">
        <f t="shared" si="597"/>
        <v/>
      </c>
      <c r="BE1031" s="467" t="str">
        <f t="shared" si="598"/>
        <v/>
      </c>
      <c r="BF1031" s="469" t="str">
        <f t="shared" ca="1" si="599"/>
        <v/>
      </c>
      <c r="BG1031" s="469" t="str">
        <f t="shared" ca="1" si="600"/>
        <v/>
      </c>
      <c r="BH1031" s="467" t="str">
        <f t="shared" si="601"/>
        <v/>
      </c>
      <c r="BI1031" s="467" t="str">
        <f t="shared" ca="1" si="602"/>
        <v/>
      </c>
      <c r="BJ1031" s="469" t="str">
        <f t="shared" si="603"/>
        <v/>
      </c>
      <c r="BK1031" s="470" t="str">
        <f t="shared" si="587"/>
        <v/>
      </c>
      <c r="BL1031" s="775" t="str">
        <f t="shared" si="604"/>
        <v/>
      </c>
      <c r="BM1031" s="775" t="str">
        <f t="shared" si="605"/>
        <v/>
      </c>
    </row>
    <row r="1032" spans="1:65">
      <c r="A1032" s="473">
        <v>976</v>
      </c>
      <c r="B1032" s="132"/>
      <c r="C1032" s="332"/>
      <c r="D1032" s="333"/>
      <c r="E1032" s="333"/>
      <c r="F1032" s="334"/>
      <c r="G1032" s="337"/>
      <c r="H1032" s="131"/>
      <c r="I1032" s="337"/>
      <c r="J1032" s="131"/>
      <c r="K1032" s="458" t="str">
        <f t="shared" si="568"/>
        <v/>
      </c>
      <c r="L1032" s="458">
        <f t="shared" si="569"/>
        <v>0</v>
      </c>
      <c r="M1032" s="458">
        <f t="shared" si="570"/>
        <v>0</v>
      </c>
      <c r="N1032" s="459" t="str">
        <f t="shared" si="581"/>
        <v/>
      </c>
      <c r="O1032" s="459" t="str">
        <f t="shared" si="582"/>
        <v/>
      </c>
      <c r="P1032" s="459" t="str">
        <f t="shared" si="583"/>
        <v/>
      </c>
      <c r="Q1032" s="459" t="str">
        <f t="shared" si="584"/>
        <v/>
      </c>
      <c r="R1032" s="459" t="str">
        <f t="shared" si="585"/>
        <v/>
      </c>
      <c r="S1032" s="459" t="str">
        <f t="shared" si="586"/>
        <v/>
      </c>
      <c r="T1032" s="566" t="str">
        <f t="shared" si="571"/>
        <v/>
      </c>
      <c r="U1032" s="702"/>
      <c r="V1032" s="132"/>
      <c r="W1032" s="133"/>
      <c r="X1032" s="134"/>
      <c r="Y1032" s="135"/>
      <c r="Z1032" s="137"/>
      <c r="AA1032" s="136"/>
      <c r="AB1032" s="566" t="str">
        <f t="shared" si="572"/>
        <v/>
      </c>
      <c r="AC1032" s="568" t="str">
        <f t="shared" si="573"/>
        <v/>
      </c>
      <c r="AD1032" s="137"/>
      <c r="AE1032" s="137"/>
      <c r="AF1032" s="138"/>
      <c r="AG1032" s="138"/>
      <c r="AH1032" s="592" t="str">
        <f t="shared" si="574"/>
        <v/>
      </c>
      <c r="AI1032" s="592" t="str">
        <f t="shared" si="575"/>
        <v/>
      </c>
      <c r="AJ1032" s="592" t="str">
        <f t="shared" si="576"/>
        <v/>
      </c>
      <c r="AK1032" s="460" t="str">
        <f>IF(AU1032="","",IF(OR(AZ1032=8,AZ1032=9),0,IF(OR(AW1032=3,AW1032=4,AW1032=5,AW1032=6),IF(LEFT(BF1032,1)="1",INDEX(係数_NOX・PM低減,MATCH(AY1032,【参考】排出係数!$AI$801:$AI$804,1),1),VLOOKUP(AU1032,INDEX((係数_バス貨物_ガソリン,係数_バス貨物_CNG,係数_バス貨物_軽油,係数_バス貨物_メタノール,係数_バス貨物_LPG),MATCH(AY1032,【参考】排出係数!$AI$4:$AI$671,1),1,BE1032):INDEX((係数_バス貨物_ガソリン,係数_バス貨物_CNG,係数_バス貨物_軽油,係数_バス貨物_メタノール,係数_バス貨物_LPG),MATCH(AY1032+1,【参考】排出係数!$AI$4:$AI$671,1)-1,5,BE1032),4,FALSE)),IF(AND(BE1032=3,LEFT(BF1032,1)="1"),0.48,VLOOKUP(AU1032,INDEX((係数_乗用_ガソリン,係数_乗用_CNG,係数_乗用_軽油,係数_乗用_メタノール,係数_乗用_LPG),1,1,BE1032):INDEX((係数_乗用_ガソリン,係数_乗用_CNG,係数_乗用_軽油,係数_乗用_メタノール,係数_乗用_LPG),125,5,BE1032),4,FALSE)))))</f>
        <v/>
      </c>
      <c r="AL1032" s="461" t="str">
        <f t="shared" si="577"/>
        <v/>
      </c>
      <c r="AM1032" s="460" t="str">
        <f>IF(AU1032="","",IF(OR(AZ1032=8,AZ1032=9),0,IF(OR(AW1032=3,AW1032=4,AW1032=5,AW1032=6),IF(LEFT(BH1032,1)="1",INDEX(係数_PM低減,MATCH(AY1032,【参考】排出係数!$AI$801:$AI$804,1),MATCH(BI1032,【参考】排出係数!$AL$798:$AO$798,1)),VLOOKUP(AU1032,INDEX((係数_バス貨物_ガソリン,係数_バス貨物_CNG,係数_バス貨物_軽油,係数_バス貨物_メタノール,係数_バス貨物_LPG),MATCH(AY1032,【参考】排出係数!$AI$4:$AI$671,1),1,BE1032):INDEX((係数_バス貨物_ガソリン,係数_バス貨物_CNG,係数_バス貨物_軽油,係数_バス貨物_メタノール,係数_バス貨物_LPG),MATCH(AY1032+1,【参考】排出係数!$AI$4:$AI$671,1)-1,5,BE1032),5,FALSE)),IF(AND(BE1032=3,LEFT(BF1032,1)="1"),0.055,VLOOKUP(AU1032,INDEX((係数_乗用_ガソリン,係数_乗用_CNG,係数_乗用_軽油,係数_乗用_メタノール,係数_乗用_LPG),1,1,BE1032):INDEX((係数_乗用_ガソリン,係数_乗用_CNG,係数_乗用_軽油,係数_乗用_メタノール,係数_乗用_LPG),125,5,BE1032),5,FALSE)))))</f>
        <v/>
      </c>
      <c r="AN1032" s="461" t="str">
        <f t="shared" si="578"/>
        <v/>
      </c>
      <c r="AO1032" s="462" t="str">
        <f t="shared" si="579"/>
        <v/>
      </c>
      <c r="AP1032" s="463" t="str">
        <f t="shared" si="580"/>
        <v/>
      </c>
      <c r="AQ1032" s="464"/>
      <c r="AR1032" s="619"/>
      <c r="AS1032" s="465" t="str">
        <f t="shared" si="588"/>
        <v/>
      </c>
      <c r="AT1032" s="465" t="str">
        <f t="shared" si="589"/>
        <v/>
      </c>
      <c r="AU1032" s="466" t="str">
        <f t="shared" si="590"/>
        <v/>
      </c>
      <c r="AV1032" s="467" t="str">
        <f t="shared" si="591"/>
        <v/>
      </c>
      <c r="AW1032" s="467" t="str">
        <f t="shared" si="592"/>
        <v/>
      </c>
      <c r="AX1032" s="467" t="str">
        <f t="shared" si="593"/>
        <v/>
      </c>
      <c r="AY1032" s="467" t="str">
        <f t="shared" si="594"/>
        <v/>
      </c>
      <c r="AZ1032" s="467" t="str">
        <f t="shared" si="595"/>
        <v/>
      </c>
      <c r="BA1032" s="468" t="str">
        <f>IF(AS1032="","",IF(OR(AU1032="",AU1032="-"),"－",IF(OR(AZ1032=8,AZ1032=9),"",IF(OR(AW1032=3,AW1032=4,AW1032=5,AW1032=6),VLOOKUP(AU1032,INDEX((係数_バス貨物_ガソリン,係数_バス貨物_CNG,係数_バス貨物_軽油,係数_バス貨物_メタノール,係数_バス貨物_LPG),MATCH(AY1032,【参考】排出係数!$AI$4:$AI$671,1),1,BE1032):INDEX((係数_バス貨物_ガソリン,係数_バス貨物_CNG,係数_バス貨物_軽油,係数_バス貨物_メタノール,係数_バス貨物_LPG),MATCH(AY1032+1,【参考】排出係数!$AI$4:$AI$671,1)-1,5,BE1032),2,FALSE),IF(OR(AW1032=1,AW1032=2),VLOOKUP(AU1032,INDEX((係数_乗用_ガソリン,係数_乗用_CNG,係数_乗用_軽油,係数_乗用_メタノール,係数_乗用_LPG),1,1,BE1032):INDEX((係数_乗用_ガソリン,係数_乗用_CNG,係数_乗用_軽油,係数_乗用_メタノール,係数_乗用_LPG),125,5,BE1032),2,FALSE))))))</f>
        <v/>
      </c>
      <c r="BB1032" s="468" t="str">
        <f>IF(T1032="","",IF(OR(AU1032="",AU1032="-"),"－",IF(OR(AZ1032=8,AZ1032=9),"",IF(OR(AW1032=3,AW1032=4,AW1032=5,AW1032=6),VLOOKUP(AU1032,INDEX((係数_バス貨物_ガソリン,係数_バス貨物_CNG,係数_バス貨物_軽油,係数_バス貨物_メタノール,係数_バス貨物_LPG),MATCH(AY1032,【参考】排出係数!$AI$4:$AI$671,1),1,BE1032):INDEX((係数_バス貨物_ガソリン,係数_バス貨物_CNG,係数_バス貨物_軽油,係数_バス貨物_メタノール,係数_バス貨物_LPG),MATCH(AY1032+1,【参考】排出係数!$AI$4:$AI$671,1)-1,5,BE1032),3,FALSE),IF(OR(AW1032=1,AW1032=2),VLOOKUP(AU1032,INDEX((係数_乗用_ガソリン,係数_乗用_CNG,係数_乗用_軽油,係数_乗用_メタノール,係数_乗用_LPG),1,1,BE1032):INDEX((係数_乗用_ガソリン,係数_乗用_CNG,係数_乗用_軽油,係数_乗用_メタノール,係数_乗用_LPG),125,5,BE1032),3,FALSE))))))</f>
        <v/>
      </c>
      <c r="BC1032" s="467" t="str">
        <f t="shared" si="596"/>
        <v/>
      </c>
      <c r="BD1032" s="567" t="str">
        <f t="shared" si="597"/>
        <v/>
      </c>
      <c r="BE1032" s="467" t="str">
        <f t="shared" si="598"/>
        <v/>
      </c>
      <c r="BF1032" s="469" t="str">
        <f t="shared" ca="1" si="599"/>
        <v/>
      </c>
      <c r="BG1032" s="469" t="str">
        <f t="shared" ca="1" si="600"/>
        <v/>
      </c>
      <c r="BH1032" s="467" t="str">
        <f t="shared" si="601"/>
        <v/>
      </c>
      <c r="BI1032" s="467" t="str">
        <f t="shared" ca="1" si="602"/>
        <v/>
      </c>
      <c r="BJ1032" s="469" t="str">
        <f t="shared" si="603"/>
        <v/>
      </c>
      <c r="BK1032" s="470" t="str">
        <f t="shared" si="587"/>
        <v/>
      </c>
      <c r="BL1032" s="775" t="str">
        <f t="shared" si="604"/>
        <v/>
      </c>
      <c r="BM1032" s="775" t="str">
        <f t="shared" si="605"/>
        <v/>
      </c>
    </row>
    <row r="1033" spans="1:65">
      <c r="A1033" s="473">
        <v>977</v>
      </c>
      <c r="B1033" s="132"/>
      <c r="C1033" s="332"/>
      <c r="D1033" s="333"/>
      <c r="E1033" s="333"/>
      <c r="F1033" s="334"/>
      <c r="G1033" s="337"/>
      <c r="H1033" s="131"/>
      <c r="I1033" s="337"/>
      <c r="J1033" s="131"/>
      <c r="K1033" s="458" t="str">
        <f t="shared" si="568"/>
        <v/>
      </c>
      <c r="L1033" s="458">
        <f t="shared" si="569"/>
        <v>0</v>
      </c>
      <c r="M1033" s="458">
        <f t="shared" si="570"/>
        <v>0</v>
      </c>
      <c r="N1033" s="459" t="str">
        <f t="shared" si="581"/>
        <v/>
      </c>
      <c r="O1033" s="459" t="str">
        <f t="shared" si="582"/>
        <v/>
      </c>
      <c r="P1033" s="459" t="str">
        <f t="shared" si="583"/>
        <v/>
      </c>
      <c r="Q1033" s="459" t="str">
        <f t="shared" si="584"/>
        <v/>
      </c>
      <c r="R1033" s="459" t="str">
        <f t="shared" si="585"/>
        <v/>
      </c>
      <c r="S1033" s="459" t="str">
        <f t="shared" si="586"/>
        <v/>
      </c>
      <c r="T1033" s="566" t="str">
        <f t="shared" si="571"/>
        <v/>
      </c>
      <c r="U1033" s="702"/>
      <c r="V1033" s="132"/>
      <c r="W1033" s="133"/>
      <c r="X1033" s="134"/>
      <c r="Y1033" s="135"/>
      <c r="Z1033" s="137"/>
      <c r="AA1033" s="136"/>
      <c r="AB1033" s="566" t="str">
        <f t="shared" si="572"/>
        <v/>
      </c>
      <c r="AC1033" s="568" t="str">
        <f t="shared" si="573"/>
        <v/>
      </c>
      <c r="AD1033" s="137"/>
      <c r="AE1033" s="137"/>
      <c r="AF1033" s="138"/>
      <c r="AG1033" s="138"/>
      <c r="AH1033" s="592" t="str">
        <f t="shared" si="574"/>
        <v/>
      </c>
      <c r="AI1033" s="592" t="str">
        <f t="shared" si="575"/>
        <v/>
      </c>
      <c r="AJ1033" s="592" t="str">
        <f t="shared" si="576"/>
        <v/>
      </c>
      <c r="AK1033" s="460" t="str">
        <f>IF(AU1033="","",IF(OR(AZ1033=8,AZ1033=9),0,IF(OR(AW1033=3,AW1033=4,AW1033=5,AW1033=6),IF(LEFT(BF1033,1)="1",INDEX(係数_NOX・PM低減,MATCH(AY1033,【参考】排出係数!$AI$801:$AI$804,1),1),VLOOKUP(AU1033,INDEX((係数_バス貨物_ガソリン,係数_バス貨物_CNG,係数_バス貨物_軽油,係数_バス貨物_メタノール,係数_バス貨物_LPG),MATCH(AY1033,【参考】排出係数!$AI$4:$AI$671,1),1,BE1033):INDEX((係数_バス貨物_ガソリン,係数_バス貨物_CNG,係数_バス貨物_軽油,係数_バス貨物_メタノール,係数_バス貨物_LPG),MATCH(AY1033+1,【参考】排出係数!$AI$4:$AI$671,1)-1,5,BE1033),4,FALSE)),IF(AND(BE1033=3,LEFT(BF1033,1)="1"),0.48,VLOOKUP(AU1033,INDEX((係数_乗用_ガソリン,係数_乗用_CNG,係数_乗用_軽油,係数_乗用_メタノール,係数_乗用_LPG),1,1,BE1033):INDEX((係数_乗用_ガソリン,係数_乗用_CNG,係数_乗用_軽油,係数_乗用_メタノール,係数_乗用_LPG),125,5,BE1033),4,FALSE)))))</f>
        <v/>
      </c>
      <c r="AL1033" s="461" t="str">
        <f t="shared" si="577"/>
        <v/>
      </c>
      <c r="AM1033" s="460" t="str">
        <f>IF(AU1033="","",IF(OR(AZ1033=8,AZ1033=9),0,IF(OR(AW1033=3,AW1033=4,AW1033=5,AW1033=6),IF(LEFT(BH1033,1)="1",INDEX(係数_PM低減,MATCH(AY1033,【参考】排出係数!$AI$801:$AI$804,1),MATCH(BI1033,【参考】排出係数!$AL$798:$AO$798,1)),VLOOKUP(AU1033,INDEX((係数_バス貨物_ガソリン,係数_バス貨物_CNG,係数_バス貨物_軽油,係数_バス貨物_メタノール,係数_バス貨物_LPG),MATCH(AY1033,【参考】排出係数!$AI$4:$AI$671,1),1,BE1033):INDEX((係数_バス貨物_ガソリン,係数_バス貨物_CNG,係数_バス貨物_軽油,係数_バス貨物_メタノール,係数_バス貨物_LPG),MATCH(AY1033+1,【参考】排出係数!$AI$4:$AI$671,1)-1,5,BE1033),5,FALSE)),IF(AND(BE1033=3,LEFT(BF1033,1)="1"),0.055,VLOOKUP(AU1033,INDEX((係数_乗用_ガソリン,係数_乗用_CNG,係数_乗用_軽油,係数_乗用_メタノール,係数_乗用_LPG),1,1,BE1033):INDEX((係数_乗用_ガソリン,係数_乗用_CNG,係数_乗用_軽油,係数_乗用_メタノール,係数_乗用_LPG),125,5,BE1033),5,FALSE)))))</f>
        <v/>
      </c>
      <c r="AN1033" s="461" t="str">
        <f t="shared" si="578"/>
        <v/>
      </c>
      <c r="AO1033" s="462" t="str">
        <f t="shared" si="579"/>
        <v/>
      </c>
      <c r="AP1033" s="463" t="str">
        <f t="shared" si="580"/>
        <v/>
      </c>
      <c r="AQ1033" s="464"/>
      <c r="AR1033" s="619"/>
      <c r="AS1033" s="465" t="str">
        <f t="shared" si="588"/>
        <v/>
      </c>
      <c r="AT1033" s="465" t="str">
        <f t="shared" si="589"/>
        <v/>
      </c>
      <c r="AU1033" s="466" t="str">
        <f t="shared" si="590"/>
        <v/>
      </c>
      <c r="AV1033" s="467" t="str">
        <f t="shared" si="591"/>
        <v/>
      </c>
      <c r="AW1033" s="467" t="str">
        <f t="shared" si="592"/>
        <v/>
      </c>
      <c r="AX1033" s="467" t="str">
        <f t="shared" si="593"/>
        <v/>
      </c>
      <c r="AY1033" s="467" t="str">
        <f t="shared" si="594"/>
        <v/>
      </c>
      <c r="AZ1033" s="467" t="str">
        <f t="shared" si="595"/>
        <v/>
      </c>
      <c r="BA1033" s="468" t="str">
        <f>IF(AS1033="","",IF(OR(AU1033="",AU1033="-"),"－",IF(OR(AZ1033=8,AZ1033=9),"",IF(OR(AW1033=3,AW1033=4,AW1033=5,AW1033=6),VLOOKUP(AU1033,INDEX((係数_バス貨物_ガソリン,係数_バス貨物_CNG,係数_バス貨物_軽油,係数_バス貨物_メタノール,係数_バス貨物_LPG),MATCH(AY1033,【参考】排出係数!$AI$4:$AI$671,1),1,BE1033):INDEX((係数_バス貨物_ガソリン,係数_バス貨物_CNG,係数_バス貨物_軽油,係数_バス貨物_メタノール,係数_バス貨物_LPG),MATCH(AY1033+1,【参考】排出係数!$AI$4:$AI$671,1)-1,5,BE1033),2,FALSE),IF(OR(AW1033=1,AW1033=2),VLOOKUP(AU1033,INDEX((係数_乗用_ガソリン,係数_乗用_CNG,係数_乗用_軽油,係数_乗用_メタノール,係数_乗用_LPG),1,1,BE1033):INDEX((係数_乗用_ガソリン,係数_乗用_CNG,係数_乗用_軽油,係数_乗用_メタノール,係数_乗用_LPG),125,5,BE1033),2,FALSE))))))</f>
        <v/>
      </c>
      <c r="BB1033" s="468" t="str">
        <f>IF(T1033="","",IF(OR(AU1033="",AU1033="-"),"－",IF(OR(AZ1033=8,AZ1033=9),"",IF(OR(AW1033=3,AW1033=4,AW1033=5,AW1033=6),VLOOKUP(AU1033,INDEX((係数_バス貨物_ガソリン,係数_バス貨物_CNG,係数_バス貨物_軽油,係数_バス貨物_メタノール,係数_バス貨物_LPG),MATCH(AY1033,【参考】排出係数!$AI$4:$AI$671,1),1,BE1033):INDEX((係数_バス貨物_ガソリン,係数_バス貨物_CNG,係数_バス貨物_軽油,係数_バス貨物_メタノール,係数_バス貨物_LPG),MATCH(AY1033+1,【参考】排出係数!$AI$4:$AI$671,1)-1,5,BE1033),3,FALSE),IF(OR(AW1033=1,AW1033=2),VLOOKUP(AU1033,INDEX((係数_乗用_ガソリン,係数_乗用_CNG,係数_乗用_軽油,係数_乗用_メタノール,係数_乗用_LPG),1,1,BE1033):INDEX((係数_乗用_ガソリン,係数_乗用_CNG,係数_乗用_軽油,係数_乗用_メタノール,係数_乗用_LPG),125,5,BE1033),3,FALSE))))))</f>
        <v/>
      </c>
      <c r="BC1033" s="467" t="str">
        <f t="shared" si="596"/>
        <v/>
      </c>
      <c r="BD1033" s="567" t="str">
        <f t="shared" si="597"/>
        <v/>
      </c>
      <c r="BE1033" s="467" t="str">
        <f t="shared" si="598"/>
        <v/>
      </c>
      <c r="BF1033" s="469" t="str">
        <f t="shared" ca="1" si="599"/>
        <v/>
      </c>
      <c r="BG1033" s="469" t="str">
        <f t="shared" ca="1" si="600"/>
        <v/>
      </c>
      <c r="BH1033" s="467" t="str">
        <f t="shared" si="601"/>
        <v/>
      </c>
      <c r="BI1033" s="467" t="str">
        <f t="shared" ca="1" si="602"/>
        <v/>
      </c>
      <c r="BJ1033" s="469" t="str">
        <f t="shared" si="603"/>
        <v/>
      </c>
      <c r="BK1033" s="470" t="str">
        <f t="shared" si="587"/>
        <v/>
      </c>
      <c r="BL1033" s="775" t="str">
        <f t="shared" si="604"/>
        <v/>
      </c>
      <c r="BM1033" s="775" t="str">
        <f t="shared" si="605"/>
        <v/>
      </c>
    </row>
    <row r="1034" spans="1:65">
      <c r="A1034" s="473">
        <v>978</v>
      </c>
      <c r="B1034" s="132"/>
      <c r="C1034" s="332"/>
      <c r="D1034" s="333"/>
      <c r="E1034" s="333"/>
      <c r="F1034" s="334"/>
      <c r="G1034" s="337"/>
      <c r="H1034" s="131"/>
      <c r="I1034" s="337"/>
      <c r="J1034" s="131"/>
      <c r="K1034" s="458" t="str">
        <f t="shared" si="568"/>
        <v/>
      </c>
      <c r="L1034" s="458">
        <f t="shared" si="569"/>
        <v>0</v>
      </c>
      <c r="M1034" s="458">
        <f t="shared" si="570"/>
        <v>0</v>
      </c>
      <c r="N1034" s="459" t="str">
        <f t="shared" si="581"/>
        <v/>
      </c>
      <c r="O1034" s="459" t="str">
        <f t="shared" si="582"/>
        <v/>
      </c>
      <c r="P1034" s="459" t="str">
        <f t="shared" si="583"/>
        <v/>
      </c>
      <c r="Q1034" s="459" t="str">
        <f t="shared" si="584"/>
        <v/>
      </c>
      <c r="R1034" s="459" t="str">
        <f t="shared" si="585"/>
        <v/>
      </c>
      <c r="S1034" s="459" t="str">
        <f t="shared" si="586"/>
        <v/>
      </c>
      <c r="T1034" s="566" t="str">
        <f t="shared" si="571"/>
        <v/>
      </c>
      <c r="U1034" s="702"/>
      <c r="V1034" s="132"/>
      <c r="W1034" s="133"/>
      <c r="X1034" s="134"/>
      <c r="Y1034" s="135"/>
      <c r="Z1034" s="137"/>
      <c r="AA1034" s="136"/>
      <c r="AB1034" s="566" t="str">
        <f t="shared" si="572"/>
        <v/>
      </c>
      <c r="AC1034" s="568" t="str">
        <f t="shared" si="573"/>
        <v/>
      </c>
      <c r="AD1034" s="137"/>
      <c r="AE1034" s="137"/>
      <c r="AF1034" s="138"/>
      <c r="AG1034" s="138"/>
      <c r="AH1034" s="592" t="str">
        <f t="shared" si="574"/>
        <v/>
      </c>
      <c r="AI1034" s="592" t="str">
        <f t="shared" si="575"/>
        <v/>
      </c>
      <c r="AJ1034" s="592" t="str">
        <f t="shared" si="576"/>
        <v/>
      </c>
      <c r="AK1034" s="460" t="str">
        <f>IF(AU1034="","",IF(OR(AZ1034=8,AZ1034=9),0,IF(OR(AW1034=3,AW1034=4,AW1034=5,AW1034=6),IF(LEFT(BF1034,1)="1",INDEX(係数_NOX・PM低減,MATCH(AY1034,【参考】排出係数!$AI$801:$AI$804,1),1),VLOOKUP(AU1034,INDEX((係数_バス貨物_ガソリン,係数_バス貨物_CNG,係数_バス貨物_軽油,係数_バス貨物_メタノール,係数_バス貨物_LPG),MATCH(AY1034,【参考】排出係数!$AI$4:$AI$671,1),1,BE1034):INDEX((係数_バス貨物_ガソリン,係数_バス貨物_CNG,係数_バス貨物_軽油,係数_バス貨物_メタノール,係数_バス貨物_LPG),MATCH(AY1034+1,【参考】排出係数!$AI$4:$AI$671,1)-1,5,BE1034),4,FALSE)),IF(AND(BE1034=3,LEFT(BF1034,1)="1"),0.48,VLOOKUP(AU1034,INDEX((係数_乗用_ガソリン,係数_乗用_CNG,係数_乗用_軽油,係数_乗用_メタノール,係数_乗用_LPG),1,1,BE1034):INDEX((係数_乗用_ガソリン,係数_乗用_CNG,係数_乗用_軽油,係数_乗用_メタノール,係数_乗用_LPG),125,5,BE1034),4,FALSE)))))</f>
        <v/>
      </c>
      <c r="AL1034" s="461" t="str">
        <f t="shared" si="577"/>
        <v/>
      </c>
      <c r="AM1034" s="460" t="str">
        <f>IF(AU1034="","",IF(OR(AZ1034=8,AZ1034=9),0,IF(OR(AW1034=3,AW1034=4,AW1034=5,AW1034=6),IF(LEFT(BH1034,1)="1",INDEX(係数_PM低減,MATCH(AY1034,【参考】排出係数!$AI$801:$AI$804,1),MATCH(BI1034,【参考】排出係数!$AL$798:$AO$798,1)),VLOOKUP(AU1034,INDEX((係数_バス貨物_ガソリン,係数_バス貨物_CNG,係数_バス貨物_軽油,係数_バス貨物_メタノール,係数_バス貨物_LPG),MATCH(AY1034,【参考】排出係数!$AI$4:$AI$671,1),1,BE1034):INDEX((係数_バス貨物_ガソリン,係数_バス貨物_CNG,係数_バス貨物_軽油,係数_バス貨物_メタノール,係数_バス貨物_LPG),MATCH(AY1034+1,【参考】排出係数!$AI$4:$AI$671,1)-1,5,BE1034),5,FALSE)),IF(AND(BE1034=3,LEFT(BF1034,1)="1"),0.055,VLOOKUP(AU1034,INDEX((係数_乗用_ガソリン,係数_乗用_CNG,係数_乗用_軽油,係数_乗用_メタノール,係数_乗用_LPG),1,1,BE1034):INDEX((係数_乗用_ガソリン,係数_乗用_CNG,係数_乗用_軽油,係数_乗用_メタノール,係数_乗用_LPG),125,5,BE1034),5,FALSE)))))</f>
        <v/>
      </c>
      <c r="AN1034" s="461" t="str">
        <f t="shared" si="578"/>
        <v/>
      </c>
      <c r="AO1034" s="462" t="str">
        <f t="shared" si="579"/>
        <v/>
      </c>
      <c r="AP1034" s="463" t="str">
        <f t="shared" si="580"/>
        <v/>
      </c>
      <c r="AQ1034" s="464"/>
      <c r="AR1034" s="619"/>
      <c r="AS1034" s="465" t="str">
        <f t="shared" si="588"/>
        <v/>
      </c>
      <c r="AT1034" s="465" t="str">
        <f t="shared" si="589"/>
        <v/>
      </c>
      <c r="AU1034" s="466" t="str">
        <f t="shared" si="590"/>
        <v/>
      </c>
      <c r="AV1034" s="467" t="str">
        <f t="shared" si="591"/>
        <v/>
      </c>
      <c r="AW1034" s="467" t="str">
        <f t="shared" si="592"/>
        <v/>
      </c>
      <c r="AX1034" s="467" t="str">
        <f t="shared" si="593"/>
        <v/>
      </c>
      <c r="AY1034" s="467" t="str">
        <f t="shared" si="594"/>
        <v/>
      </c>
      <c r="AZ1034" s="467" t="str">
        <f t="shared" si="595"/>
        <v/>
      </c>
      <c r="BA1034" s="468" t="str">
        <f>IF(AS1034="","",IF(OR(AU1034="",AU1034="-"),"－",IF(OR(AZ1034=8,AZ1034=9),"",IF(OR(AW1034=3,AW1034=4,AW1034=5,AW1034=6),VLOOKUP(AU1034,INDEX((係数_バス貨物_ガソリン,係数_バス貨物_CNG,係数_バス貨物_軽油,係数_バス貨物_メタノール,係数_バス貨物_LPG),MATCH(AY1034,【参考】排出係数!$AI$4:$AI$671,1),1,BE1034):INDEX((係数_バス貨物_ガソリン,係数_バス貨物_CNG,係数_バス貨物_軽油,係数_バス貨物_メタノール,係数_バス貨物_LPG),MATCH(AY1034+1,【参考】排出係数!$AI$4:$AI$671,1)-1,5,BE1034),2,FALSE),IF(OR(AW1034=1,AW1034=2),VLOOKUP(AU1034,INDEX((係数_乗用_ガソリン,係数_乗用_CNG,係数_乗用_軽油,係数_乗用_メタノール,係数_乗用_LPG),1,1,BE1034):INDEX((係数_乗用_ガソリン,係数_乗用_CNG,係数_乗用_軽油,係数_乗用_メタノール,係数_乗用_LPG),125,5,BE1034),2,FALSE))))))</f>
        <v/>
      </c>
      <c r="BB1034" s="468" t="str">
        <f>IF(T1034="","",IF(OR(AU1034="",AU1034="-"),"－",IF(OR(AZ1034=8,AZ1034=9),"",IF(OR(AW1034=3,AW1034=4,AW1034=5,AW1034=6),VLOOKUP(AU1034,INDEX((係数_バス貨物_ガソリン,係数_バス貨物_CNG,係数_バス貨物_軽油,係数_バス貨物_メタノール,係数_バス貨物_LPG),MATCH(AY1034,【参考】排出係数!$AI$4:$AI$671,1),1,BE1034):INDEX((係数_バス貨物_ガソリン,係数_バス貨物_CNG,係数_バス貨物_軽油,係数_バス貨物_メタノール,係数_バス貨物_LPG),MATCH(AY1034+1,【参考】排出係数!$AI$4:$AI$671,1)-1,5,BE1034),3,FALSE),IF(OR(AW1034=1,AW1034=2),VLOOKUP(AU1034,INDEX((係数_乗用_ガソリン,係数_乗用_CNG,係数_乗用_軽油,係数_乗用_メタノール,係数_乗用_LPG),1,1,BE1034):INDEX((係数_乗用_ガソリン,係数_乗用_CNG,係数_乗用_軽油,係数_乗用_メタノール,係数_乗用_LPG),125,5,BE1034),3,FALSE))))))</f>
        <v/>
      </c>
      <c r="BC1034" s="467" t="str">
        <f t="shared" si="596"/>
        <v/>
      </c>
      <c r="BD1034" s="567" t="str">
        <f t="shared" si="597"/>
        <v/>
      </c>
      <c r="BE1034" s="467" t="str">
        <f t="shared" si="598"/>
        <v/>
      </c>
      <c r="BF1034" s="469" t="str">
        <f t="shared" ca="1" si="599"/>
        <v/>
      </c>
      <c r="BG1034" s="469" t="str">
        <f t="shared" ca="1" si="600"/>
        <v/>
      </c>
      <c r="BH1034" s="467" t="str">
        <f t="shared" si="601"/>
        <v/>
      </c>
      <c r="BI1034" s="467" t="str">
        <f t="shared" ca="1" si="602"/>
        <v/>
      </c>
      <c r="BJ1034" s="469" t="str">
        <f t="shared" si="603"/>
        <v/>
      </c>
      <c r="BK1034" s="470" t="str">
        <f t="shared" si="587"/>
        <v/>
      </c>
      <c r="BL1034" s="775" t="str">
        <f t="shared" si="604"/>
        <v/>
      </c>
      <c r="BM1034" s="775" t="str">
        <f t="shared" si="605"/>
        <v/>
      </c>
    </row>
    <row r="1035" spans="1:65">
      <c r="A1035" s="473">
        <v>979</v>
      </c>
      <c r="B1035" s="132"/>
      <c r="C1035" s="332"/>
      <c r="D1035" s="333"/>
      <c r="E1035" s="333"/>
      <c r="F1035" s="334"/>
      <c r="G1035" s="337"/>
      <c r="H1035" s="131"/>
      <c r="I1035" s="337"/>
      <c r="J1035" s="131"/>
      <c r="K1035" s="458" t="str">
        <f t="shared" si="568"/>
        <v/>
      </c>
      <c r="L1035" s="458">
        <f t="shared" si="569"/>
        <v>0</v>
      </c>
      <c r="M1035" s="458">
        <f t="shared" si="570"/>
        <v>0</v>
      </c>
      <c r="N1035" s="459" t="str">
        <f t="shared" si="581"/>
        <v/>
      </c>
      <c r="O1035" s="459" t="str">
        <f t="shared" si="582"/>
        <v/>
      </c>
      <c r="P1035" s="459" t="str">
        <f t="shared" si="583"/>
        <v/>
      </c>
      <c r="Q1035" s="459" t="str">
        <f t="shared" si="584"/>
        <v/>
      </c>
      <c r="R1035" s="459" t="str">
        <f t="shared" si="585"/>
        <v/>
      </c>
      <c r="S1035" s="459" t="str">
        <f t="shared" si="586"/>
        <v/>
      </c>
      <c r="T1035" s="566" t="str">
        <f t="shared" si="571"/>
        <v/>
      </c>
      <c r="U1035" s="702"/>
      <c r="V1035" s="132"/>
      <c r="W1035" s="133"/>
      <c r="X1035" s="134"/>
      <c r="Y1035" s="135"/>
      <c r="Z1035" s="137"/>
      <c r="AA1035" s="136"/>
      <c r="AB1035" s="566" t="str">
        <f t="shared" si="572"/>
        <v/>
      </c>
      <c r="AC1035" s="568" t="str">
        <f t="shared" si="573"/>
        <v/>
      </c>
      <c r="AD1035" s="137"/>
      <c r="AE1035" s="137"/>
      <c r="AF1035" s="138"/>
      <c r="AG1035" s="138"/>
      <c r="AH1035" s="592" t="str">
        <f t="shared" si="574"/>
        <v/>
      </c>
      <c r="AI1035" s="592" t="str">
        <f t="shared" si="575"/>
        <v/>
      </c>
      <c r="AJ1035" s="592" t="str">
        <f t="shared" si="576"/>
        <v/>
      </c>
      <c r="AK1035" s="460" t="str">
        <f>IF(AU1035="","",IF(OR(AZ1035=8,AZ1035=9),0,IF(OR(AW1035=3,AW1035=4,AW1035=5,AW1035=6),IF(LEFT(BF1035,1)="1",INDEX(係数_NOX・PM低減,MATCH(AY1035,【参考】排出係数!$AI$801:$AI$804,1),1),VLOOKUP(AU1035,INDEX((係数_バス貨物_ガソリン,係数_バス貨物_CNG,係数_バス貨物_軽油,係数_バス貨物_メタノール,係数_バス貨物_LPG),MATCH(AY1035,【参考】排出係数!$AI$4:$AI$671,1),1,BE1035):INDEX((係数_バス貨物_ガソリン,係数_バス貨物_CNG,係数_バス貨物_軽油,係数_バス貨物_メタノール,係数_バス貨物_LPG),MATCH(AY1035+1,【参考】排出係数!$AI$4:$AI$671,1)-1,5,BE1035),4,FALSE)),IF(AND(BE1035=3,LEFT(BF1035,1)="1"),0.48,VLOOKUP(AU1035,INDEX((係数_乗用_ガソリン,係数_乗用_CNG,係数_乗用_軽油,係数_乗用_メタノール,係数_乗用_LPG),1,1,BE1035):INDEX((係数_乗用_ガソリン,係数_乗用_CNG,係数_乗用_軽油,係数_乗用_メタノール,係数_乗用_LPG),125,5,BE1035),4,FALSE)))))</f>
        <v/>
      </c>
      <c r="AL1035" s="461" t="str">
        <f t="shared" si="577"/>
        <v/>
      </c>
      <c r="AM1035" s="460" t="str">
        <f>IF(AU1035="","",IF(OR(AZ1035=8,AZ1035=9),0,IF(OR(AW1035=3,AW1035=4,AW1035=5,AW1035=6),IF(LEFT(BH1035,1)="1",INDEX(係数_PM低減,MATCH(AY1035,【参考】排出係数!$AI$801:$AI$804,1),MATCH(BI1035,【参考】排出係数!$AL$798:$AO$798,1)),VLOOKUP(AU1035,INDEX((係数_バス貨物_ガソリン,係数_バス貨物_CNG,係数_バス貨物_軽油,係数_バス貨物_メタノール,係数_バス貨物_LPG),MATCH(AY1035,【参考】排出係数!$AI$4:$AI$671,1),1,BE1035):INDEX((係数_バス貨物_ガソリン,係数_バス貨物_CNG,係数_バス貨物_軽油,係数_バス貨物_メタノール,係数_バス貨物_LPG),MATCH(AY1035+1,【参考】排出係数!$AI$4:$AI$671,1)-1,5,BE1035),5,FALSE)),IF(AND(BE1035=3,LEFT(BF1035,1)="1"),0.055,VLOOKUP(AU1035,INDEX((係数_乗用_ガソリン,係数_乗用_CNG,係数_乗用_軽油,係数_乗用_メタノール,係数_乗用_LPG),1,1,BE1035):INDEX((係数_乗用_ガソリン,係数_乗用_CNG,係数_乗用_軽油,係数_乗用_メタノール,係数_乗用_LPG),125,5,BE1035),5,FALSE)))))</f>
        <v/>
      </c>
      <c r="AN1035" s="461" t="str">
        <f t="shared" si="578"/>
        <v/>
      </c>
      <c r="AO1035" s="462" t="str">
        <f t="shared" si="579"/>
        <v/>
      </c>
      <c r="AP1035" s="463" t="str">
        <f t="shared" si="580"/>
        <v/>
      </c>
      <c r="AQ1035" s="464"/>
      <c r="AR1035" s="619"/>
      <c r="AS1035" s="465" t="str">
        <f t="shared" si="588"/>
        <v/>
      </c>
      <c r="AT1035" s="465" t="str">
        <f t="shared" si="589"/>
        <v/>
      </c>
      <c r="AU1035" s="466" t="str">
        <f t="shared" si="590"/>
        <v/>
      </c>
      <c r="AV1035" s="467" t="str">
        <f t="shared" si="591"/>
        <v/>
      </c>
      <c r="AW1035" s="467" t="str">
        <f t="shared" si="592"/>
        <v/>
      </c>
      <c r="AX1035" s="467" t="str">
        <f t="shared" si="593"/>
        <v/>
      </c>
      <c r="AY1035" s="467" t="str">
        <f t="shared" si="594"/>
        <v/>
      </c>
      <c r="AZ1035" s="467" t="str">
        <f t="shared" si="595"/>
        <v/>
      </c>
      <c r="BA1035" s="468" t="str">
        <f>IF(AS1035="","",IF(OR(AU1035="",AU1035="-"),"－",IF(OR(AZ1035=8,AZ1035=9),"",IF(OR(AW1035=3,AW1035=4,AW1035=5,AW1035=6),VLOOKUP(AU1035,INDEX((係数_バス貨物_ガソリン,係数_バス貨物_CNG,係数_バス貨物_軽油,係数_バス貨物_メタノール,係数_バス貨物_LPG),MATCH(AY1035,【参考】排出係数!$AI$4:$AI$671,1),1,BE1035):INDEX((係数_バス貨物_ガソリン,係数_バス貨物_CNG,係数_バス貨物_軽油,係数_バス貨物_メタノール,係数_バス貨物_LPG),MATCH(AY1035+1,【参考】排出係数!$AI$4:$AI$671,1)-1,5,BE1035),2,FALSE),IF(OR(AW1035=1,AW1035=2),VLOOKUP(AU1035,INDEX((係数_乗用_ガソリン,係数_乗用_CNG,係数_乗用_軽油,係数_乗用_メタノール,係数_乗用_LPG),1,1,BE1035):INDEX((係数_乗用_ガソリン,係数_乗用_CNG,係数_乗用_軽油,係数_乗用_メタノール,係数_乗用_LPG),125,5,BE1035),2,FALSE))))))</f>
        <v/>
      </c>
      <c r="BB1035" s="468" t="str">
        <f>IF(T1035="","",IF(OR(AU1035="",AU1035="-"),"－",IF(OR(AZ1035=8,AZ1035=9),"",IF(OR(AW1035=3,AW1035=4,AW1035=5,AW1035=6),VLOOKUP(AU1035,INDEX((係数_バス貨物_ガソリン,係数_バス貨物_CNG,係数_バス貨物_軽油,係数_バス貨物_メタノール,係数_バス貨物_LPG),MATCH(AY1035,【参考】排出係数!$AI$4:$AI$671,1),1,BE1035):INDEX((係数_バス貨物_ガソリン,係数_バス貨物_CNG,係数_バス貨物_軽油,係数_バス貨物_メタノール,係数_バス貨物_LPG),MATCH(AY1035+1,【参考】排出係数!$AI$4:$AI$671,1)-1,5,BE1035),3,FALSE),IF(OR(AW1035=1,AW1035=2),VLOOKUP(AU1035,INDEX((係数_乗用_ガソリン,係数_乗用_CNG,係数_乗用_軽油,係数_乗用_メタノール,係数_乗用_LPG),1,1,BE1035):INDEX((係数_乗用_ガソリン,係数_乗用_CNG,係数_乗用_軽油,係数_乗用_メタノール,係数_乗用_LPG),125,5,BE1035),3,FALSE))))))</f>
        <v/>
      </c>
      <c r="BC1035" s="467" t="str">
        <f t="shared" si="596"/>
        <v/>
      </c>
      <c r="BD1035" s="567" t="str">
        <f t="shared" si="597"/>
        <v/>
      </c>
      <c r="BE1035" s="467" t="str">
        <f t="shared" si="598"/>
        <v/>
      </c>
      <c r="BF1035" s="469" t="str">
        <f t="shared" ca="1" si="599"/>
        <v/>
      </c>
      <c r="BG1035" s="469" t="str">
        <f t="shared" ca="1" si="600"/>
        <v/>
      </c>
      <c r="BH1035" s="467" t="str">
        <f t="shared" si="601"/>
        <v/>
      </c>
      <c r="BI1035" s="467" t="str">
        <f t="shared" ca="1" si="602"/>
        <v/>
      </c>
      <c r="BJ1035" s="469" t="str">
        <f t="shared" si="603"/>
        <v/>
      </c>
      <c r="BK1035" s="470" t="str">
        <f t="shared" si="587"/>
        <v/>
      </c>
      <c r="BL1035" s="775" t="str">
        <f t="shared" si="604"/>
        <v/>
      </c>
      <c r="BM1035" s="775" t="str">
        <f t="shared" si="605"/>
        <v/>
      </c>
    </row>
    <row r="1036" spans="1:65">
      <c r="A1036" s="473">
        <v>980</v>
      </c>
      <c r="B1036" s="132"/>
      <c r="C1036" s="332"/>
      <c r="D1036" s="333"/>
      <c r="E1036" s="333"/>
      <c r="F1036" s="334"/>
      <c r="G1036" s="337"/>
      <c r="H1036" s="131"/>
      <c r="I1036" s="337"/>
      <c r="J1036" s="131"/>
      <c r="K1036" s="458" t="str">
        <f t="shared" si="568"/>
        <v/>
      </c>
      <c r="L1036" s="458">
        <f t="shared" si="569"/>
        <v>0</v>
      </c>
      <c r="M1036" s="458">
        <f t="shared" si="570"/>
        <v>0</v>
      </c>
      <c r="N1036" s="459" t="str">
        <f t="shared" si="581"/>
        <v/>
      </c>
      <c r="O1036" s="459" t="str">
        <f t="shared" si="582"/>
        <v/>
      </c>
      <c r="P1036" s="459" t="str">
        <f t="shared" si="583"/>
        <v/>
      </c>
      <c r="Q1036" s="459" t="str">
        <f t="shared" si="584"/>
        <v/>
      </c>
      <c r="R1036" s="459" t="str">
        <f t="shared" si="585"/>
        <v/>
      </c>
      <c r="S1036" s="459" t="str">
        <f t="shared" si="586"/>
        <v/>
      </c>
      <c r="T1036" s="566" t="str">
        <f t="shared" si="571"/>
        <v/>
      </c>
      <c r="U1036" s="702"/>
      <c r="V1036" s="132"/>
      <c r="W1036" s="133"/>
      <c r="X1036" s="134"/>
      <c r="Y1036" s="135"/>
      <c r="Z1036" s="137"/>
      <c r="AA1036" s="136"/>
      <c r="AB1036" s="566" t="str">
        <f t="shared" si="572"/>
        <v/>
      </c>
      <c r="AC1036" s="568" t="str">
        <f t="shared" si="573"/>
        <v/>
      </c>
      <c r="AD1036" s="137"/>
      <c r="AE1036" s="137"/>
      <c r="AF1036" s="138"/>
      <c r="AG1036" s="138"/>
      <c r="AH1036" s="592" t="str">
        <f t="shared" si="574"/>
        <v/>
      </c>
      <c r="AI1036" s="592" t="str">
        <f t="shared" si="575"/>
        <v/>
      </c>
      <c r="AJ1036" s="592" t="str">
        <f t="shared" si="576"/>
        <v/>
      </c>
      <c r="AK1036" s="460" t="str">
        <f>IF(AU1036="","",IF(OR(AZ1036=8,AZ1036=9),0,IF(OR(AW1036=3,AW1036=4,AW1036=5,AW1036=6),IF(LEFT(BF1036,1)="1",INDEX(係数_NOX・PM低減,MATCH(AY1036,【参考】排出係数!$AI$801:$AI$804,1),1),VLOOKUP(AU1036,INDEX((係数_バス貨物_ガソリン,係数_バス貨物_CNG,係数_バス貨物_軽油,係数_バス貨物_メタノール,係数_バス貨物_LPG),MATCH(AY1036,【参考】排出係数!$AI$4:$AI$671,1),1,BE1036):INDEX((係数_バス貨物_ガソリン,係数_バス貨物_CNG,係数_バス貨物_軽油,係数_バス貨物_メタノール,係数_バス貨物_LPG),MATCH(AY1036+1,【参考】排出係数!$AI$4:$AI$671,1)-1,5,BE1036),4,FALSE)),IF(AND(BE1036=3,LEFT(BF1036,1)="1"),0.48,VLOOKUP(AU1036,INDEX((係数_乗用_ガソリン,係数_乗用_CNG,係数_乗用_軽油,係数_乗用_メタノール,係数_乗用_LPG),1,1,BE1036):INDEX((係数_乗用_ガソリン,係数_乗用_CNG,係数_乗用_軽油,係数_乗用_メタノール,係数_乗用_LPG),125,5,BE1036),4,FALSE)))))</f>
        <v/>
      </c>
      <c r="AL1036" s="461" t="str">
        <f t="shared" si="577"/>
        <v/>
      </c>
      <c r="AM1036" s="460" t="str">
        <f>IF(AU1036="","",IF(OR(AZ1036=8,AZ1036=9),0,IF(OR(AW1036=3,AW1036=4,AW1036=5,AW1036=6),IF(LEFT(BH1036,1)="1",INDEX(係数_PM低減,MATCH(AY1036,【参考】排出係数!$AI$801:$AI$804,1),MATCH(BI1036,【参考】排出係数!$AL$798:$AO$798,1)),VLOOKUP(AU1036,INDEX((係数_バス貨物_ガソリン,係数_バス貨物_CNG,係数_バス貨物_軽油,係数_バス貨物_メタノール,係数_バス貨物_LPG),MATCH(AY1036,【参考】排出係数!$AI$4:$AI$671,1),1,BE1036):INDEX((係数_バス貨物_ガソリン,係数_バス貨物_CNG,係数_バス貨物_軽油,係数_バス貨物_メタノール,係数_バス貨物_LPG),MATCH(AY1036+1,【参考】排出係数!$AI$4:$AI$671,1)-1,5,BE1036),5,FALSE)),IF(AND(BE1036=3,LEFT(BF1036,1)="1"),0.055,VLOOKUP(AU1036,INDEX((係数_乗用_ガソリン,係数_乗用_CNG,係数_乗用_軽油,係数_乗用_メタノール,係数_乗用_LPG),1,1,BE1036):INDEX((係数_乗用_ガソリン,係数_乗用_CNG,係数_乗用_軽油,係数_乗用_メタノール,係数_乗用_LPG),125,5,BE1036),5,FALSE)))))</f>
        <v/>
      </c>
      <c r="AN1036" s="461" t="str">
        <f t="shared" si="578"/>
        <v/>
      </c>
      <c r="AO1036" s="462" t="str">
        <f t="shared" si="579"/>
        <v/>
      </c>
      <c r="AP1036" s="463" t="str">
        <f t="shared" si="580"/>
        <v/>
      </c>
      <c r="AQ1036" s="464"/>
      <c r="AR1036" s="619"/>
      <c r="AS1036" s="465" t="str">
        <f t="shared" si="588"/>
        <v/>
      </c>
      <c r="AT1036" s="465" t="str">
        <f t="shared" si="589"/>
        <v/>
      </c>
      <c r="AU1036" s="466" t="str">
        <f t="shared" si="590"/>
        <v/>
      </c>
      <c r="AV1036" s="467" t="str">
        <f t="shared" si="591"/>
        <v/>
      </c>
      <c r="AW1036" s="467" t="str">
        <f t="shared" si="592"/>
        <v/>
      </c>
      <c r="AX1036" s="467" t="str">
        <f t="shared" si="593"/>
        <v/>
      </c>
      <c r="AY1036" s="467" t="str">
        <f t="shared" si="594"/>
        <v/>
      </c>
      <c r="AZ1036" s="467" t="str">
        <f t="shared" si="595"/>
        <v/>
      </c>
      <c r="BA1036" s="468" t="str">
        <f>IF(AS1036="","",IF(OR(AU1036="",AU1036="-"),"－",IF(OR(AZ1036=8,AZ1036=9),"",IF(OR(AW1036=3,AW1036=4,AW1036=5,AW1036=6),VLOOKUP(AU1036,INDEX((係数_バス貨物_ガソリン,係数_バス貨物_CNG,係数_バス貨物_軽油,係数_バス貨物_メタノール,係数_バス貨物_LPG),MATCH(AY1036,【参考】排出係数!$AI$4:$AI$671,1),1,BE1036):INDEX((係数_バス貨物_ガソリン,係数_バス貨物_CNG,係数_バス貨物_軽油,係数_バス貨物_メタノール,係数_バス貨物_LPG),MATCH(AY1036+1,【参考】排出係数!$AI$4:$AI$671,1)-1,5,BE1036),2,FALSE),IF(OR(AW1036=1,AW1036=2),VLOOKUP(AU1036,INDEX((係数_乗用_ガソリン,係数_乗用_CNG,係数_乗用_軽油,係数_乗用_メタノール,係数_乗用_LPG),1,1,BE1036):INDEX((係数_乗用_ガソリン,係数_乗用_CNG,係数_乗用_軽油,係数_乗用_メタノール,係数_乗用_LPG),125,5,BE1036),2,FALSE))))))</f>
        <v/>
      </c>
      <c r="BB1036" s="468" t="str">
        <f>IF(T1036="","",IF(OR(AU1036="",AU1036="-"),"－",IF(OR(AZ1036=8,AZ1036=9),"",IF(OR(AW1036=3,AW1036=4,AW1036=5,AW1036=6),VLOOKUP(AU1036,INDEX((係数_バス貨物_ガソリン,係数_バス貨物_CNG,係数_バス貨物_軽油,係数_バス貨物_メタノール,係数_バス貨物_LPG),MATCH(AY1036,【参考】排出係数!$AI$4:$AI$671,1),1,BE1036):INDEX((係数_バス貨物_ガソリン,係数_バス貨物_CNG,係数_バス貨物_軽油,係数_バス貨物_メタノール,係数_バス貨物_LPG),MATCH(AY1036+1,【参考】排出係数!$AI$4:$AI$671,1)-1,5,BE1036),3,FALSE),IF(OR(AW1036=1,AW1036=2),VLOOKUP(AU1036,INDEX((係数_乗用_ガソリン,係数_乗用_CNG,係数_乗用_軽油,係数_乗用_メタノール,係数_乗用_LPG),1,1,BE1036):INDEX((係数_乗用_ガソリン,係数_乗用_CNG,係数_乗用_軽油,係数_乗用_メタノール,係数_乗用_LPG),125,5,BE1036),3,FALSE))))))</f>
        <v/>
      </c>
      <c r="BC1036" s="467" t="str">
        <f t="shared" si="596"/>
        <v/>
      </c>
      <c r="BD1036" s="567" t="str">
        <f t="shared" si="597"/>
        <v/>
      </c>
      <c r="BE1036" s="467" t="str">
        <f t="shared" si="598"/>
        <v/>
      </c>
      <c r="BF1036" s="469" t="str">
        <f t="shared" ca="1" si="599"/>
        <v/>
      </c>
      <c r="BG1036" s="469" t="str">
        <f t="shared" ca="1" si="600"/>
        <v/>
      </c>
      <c r="BH1036" s="467" t="str">
        <f t="shared" si="601"/>
        <v/>
      </c>
      <c r="BI1036" s="467" t="str">
        <f t="shared" ca="1" si="602"/>
        <v/>
      </c>
      <c r="BJ1036" s="469" t="str">
        <f t="shared" si="603"/>
        <v/>
      </c>
      <c r="BK1036" s="470" t="str">
        <f t="shared" si="587"/>
        <v/>
      </c>
      <c r="BL1036" s="775" t="str">
        <f t="shared" si="604"/>
        <v/>
      </c>
      <c r="BM1036" s="775" t="str">
        <f t="shared" si="605"/>
        <v/>
      </c>
    </row>
    <row r="1037" spans="1:65">
      <c r="A1037" s="473">
        <v>981</v>
      </c>
      <c r="B1037" s="132"/>
      <c r="C1037" s="332"/>
      <c r="D1037" s="333"/>
      <c r="E1037" s="333"/>
      <c r="F1037" s="334"/>
      <c r="G1037" s="337"/>
      <c r="H1037" s="131"/>
      <c r="I1037" s="337"/>
      <c r="J1037" s="131"/>
      <c r="K1037" s="458" t="str">
        <f t="shared" si="568"/>
        <v/>
      </c>
      <c r="L1037" s="458">
        <f t="shared" si="569"/>
        <v>0</v>
      </c>
      <c r="M1037" s="458">
        <f t="shared" si="570"/>
        <v>0</v>
      </c>
      <c r="N1037" s="459" t="str">
        <f t="shared" si="581"/>
        <v/>
      </c>
      <c r="O1037" s="459" t="str">
        <f t="shared" si="582"/>
        <v/>
      </c>
      <c r="P1037" s="459" t="str">
        <f t="shared" si="583"/>
        <v/>
      </c>
      <c r="Q1037" s="459" t="str">
        <f t="shared" si="584"/>
        <v/>
      </c>
      <c r="R1037" s="459" t="str">
        <f t="shared" si="585"/>
        <v/>
      </c>
      <c r="S1037" s="459" t="str">
        <f t="shared" si="586"/>
        <v/>
      </c>
      <c r="T1037" s="566" t="str">
        <f t="shared" si="571"/>
        <v/>
      </c>
      <c r="U1037" s="702"/>
      <c r="V1037" s="132"/>
      <c r="W1037" s="133"/>
      <c r="X1037" s="134"/>
      <c r="Y1037" s="135"/>
      <c r="Z1037" s="137"/>
      <c r="AA1037" s="136"/>
      <c r="AB1037" s="566" t="str">
        <f t="shared" si="572"/>
        <v/>
      </c>
      <c r="AC1037" s="568" t="str">
        <f t="shared" si="573"/>
        <v/>
      </c>
      <c r="AD1037" s="137"/>
      <c r="AE1037" s="137"/>
      <c r="AF1037" s="138"/>
      <c r="AG1037" s="138"/>
      <c r="AH1037" s="592" t="str">
        <f t="shared" si="574"/>
        <v/>
      </c>
      <c r="AI1037" s="592" t="str">
        <f t="shared" si="575"/>
        <v/>
      </c>
      <c r="AJ1037" s="592" t="str">
        <f t="shared" si="576"/>
        <v/>
      </c>
      <c r="AK1037" s="460" t="str">
        <f>IF(AU1037="","",IF(OR(AZ1037=8,AZ1037=9),0,IF(OR(AW1037=3,AW1037=4,AW1037=5,AW1037=6),IF(LEFT(BF1037,1)="1",INDEX(係数_NOX・PM低減,MATCH(AY1037,【参考】排出係数!$AI$801:$AI$804,1),1),VLOOKUP(AU1037,INDEX((係数_バス貨物_ガソリン,係数_バス貨物_CNG,係数_バス貨物_軽油,係数_バス貨物_メタノール,係数_バス貨物_LPG),MATCH(AY1037,【参考】排出係数!$AI$4:$AI$671,1),1,BE1037):INDEX((係数_バス貨物_ガソリン,係数_バス貨物_CNG,係数_バス貨物_軽油,係数_バス貨物_メタノール,係数_バス貨物_LPG),MATCH(AY1037+1,【参考】排出係数!$AI$4:$AI$671,1)-1,5,BE1037),4,FALSE)),IF(AND(BE1037=3,LEFT(BF1037,1)="1"),0.48,VLOOKUP(AU1037,INDEX((係数_乗用_ガソリン,係数_乗用_CNG,係数_乗用_軽油,係数_乗用_メタノール,係数_乗用_LPG),1,1,BE1037):INDEX((係数_乗用_ガソリン,係数_乗用_CNG,係数_乗用_軽油,係数_乗用_メタノール,係数_乗用_LPG),125,5,BE1037),4,FALSE)))))</f>
        <v/>
      </c>
      <c r="AL1037" s="461" t="str">
        <f t="shared" si="577"/>
        <v/>
      </c>
      <c r="AM1037" s="460" t="str">
        <f>IF(AU1037="","",IF(OR(AZ1037=8,AZ1037=9),0,IF(OR(AW1037=3,AW1037=4,AW1037=5,AW1037=6),IF(LEFT(BH1037,1)="1",INDEX(係数_PM低減,MATCH(AY1037,【参考】排出係数!$AI$801:$AI$804,1),MATCH(BI1037,【参考】排出係数!$AL$798:$AO$798,1)),VLOOKUP(AU1037,INDEX((係数_バス貨物_ガソリン,係数_バス貨物_CNG,係数_バス貨物_軽油,係数_バス貨物_メタノール,係数_バス貨物_LPG),MATCH(AY1037,【参考】排出係数!$AI$4:$AI$671,1),1,BE1037):INDEX((係数_バス貨物_ガソリン,係数_バス貨物_CNG,係数_バス貨物_軽油,係数_バス貨物_メタノール,係数_バス貨物_LPG),MATCH(AY1037+1,【参考】排出係数!$AI$4:$AI$671,1)-1,5,BE1037),5,FALSE)),IF(AND(BE1037=3,LEFT(BF1037,1)="1"),0.055,VLOOKUP(AU1037,INDEX((係数_乗用_ガソリン,係数_乗用_CNG,係数_乗用_軽油,係数_乗用_メタノール,係数_乗用_LPG),1,1,BE1037):INDEX((係数_乗用_ガソリン,係数_乗用_CNG,係数_乗用_軽油,係数_乗用_メタノール,係数_乗用_LPG),125,5,BE1037),5,FALSE)))))</f>
        <v/>
      </c>
      <c r="AN1037" s="461" t="str">
        <f t="shared" si="578"/>
        <v/>
      </c>
      <c r="AO1037" s="462" t="str">
        <f t="shared" si="579"/>
        <v/>
      </c>
      <c r="AP1037" s="463" t="str">
        <f t="shared" si="580"/>
        <v/>
      </c>
      <c r="AQ1037" s="464"/>
      <c r="AR1037" s="619"/>
      <c r="AS1037" s="465" t="str">
        <f t="shared" si="588"/>
        <v/>
      </c>
      <c r="AT1037" s="465" t="str">
        <f t="shared" si="589"/>
        <v/>
      </c>
      <c r="AU1037" s="466" t="str">
        <f t="shared" si="590"/>
        <v/>
      </c>
      <c r="AV1037" s="467" t="str">
        <f t="shared" si="591"/>
        <v/>
      </c>
      <c r="AW1037" s="467" t="str">
        <f t="shared" si="592"/>
        <v/>
      </c>
      <c r="AX1037" s="467" t="str">
        <f t="shared" si="593"/>
        <v/>
      </c>
      <c r="AY1037" s="467" t="str">
        <f t="shared" si="594"/>
        <v/>
      </c>
      <c r="AZ1037" s="467" t="str">
        <f t="shared" si="595"/>
        <v/>
      </c>
      <c r="BA1037" s="468" t="str">
        <f>IF(AS1037="","",IF(OR(AU1037="",AU1037="-"),"－",IF(OR(AZ1037=8,AZ1037=9),"",IF(OR(AW1037=3,AW1037=4,AW1037=5,AW1037=6),VLOOKUP(AU1037,INDEX((係数_バス貨物_ガソリン,係数_バス貨物_CNG,係数_バス貨物_軽油,係数_バス貨物_メタノール,係数_バス貨物_LPG),MATCH(AY1037,【参考】排出係数!$AI$4:$AI$671,1),1,BE1037):INDEX((係数_バス貨物_ガソリン,係数_バス貨物_CNG,係数_バス貨物_軽油,係数_バス貨物_メタノール,係数_バス貨物_LPG),MATCH(AY1037+1,【参考】排出係数!$AI$4:$AI$671,1)-1,5,BE1037),2,FALSE),IF(OR(AW1037=1,AW1037=2),VLOOKUP(AU1037,INDEX((係数_乗用_ガソリン,係数_乗用_CNG,係数_乗用_軽油,係数_乗用_メタノール,係数_乗用_LPG),1,1,BE1037):INDEX((係数_乗用_ガソリン,係数_乗用_CNG,係数_乗用_軽油,係数_乗用_メタノール,係数_乗用_LPG),125,5,BE1037),2,FALSE))))))</f>
        <v/>
      </c>
      <c r="BB1037" s="468" t="str">
        <f>IF(T1037="","",IF(OR(AU1037="",AU1037="-"),"－",IF(OR(AZ1037=8,AZ1037=9),"",IF(OR(AW1037=3,AW1037=4,AW1037=5,AW1037=6),VLOOKUP(AU1037,INDEX((係数_バス貨物_ガソリン,係数_バス貨物_CNG,係数_バス貨物_軽油,係数_バス貨物_メタノール,係数_バス貨物_LPG),MATCH(AY1037,【参考】排出係数!$AI$4:$AI$671,1),1,BE1037):INDEX((係数_バス貨物_ガソリン,係数_バス貨物_CNG,係数_バス貨物_軽油,係数_バス貨物_メタノール,係数_バス貨物_LPG),MATCH(AY1037+1,【参考】排出係数!$AI$4:$AI$671,1)-1,5,BE1037),3,FALSE),IF(OR(AW1037=1,AW1037=2),VLOOKUP(AU1037,INDEX((係数_乗用_ガソリン,係数_乗用_CNG,係数_乗用_軽油,係数_乗用_メタノール,係数_乗用_LPG),1,1,BE1037):INDEX((係数_乗用_ガソリン,係数_乗用_CNG,係数_乗用_軽油,係数_乗用_メタノール,係数_乗用_LPG),125,5,BE1037),3,FALSE))))))</f>
        <v/>
      </c>
      <c r="BC1037" s="467" t="str">
        <f t="shared" si="596"/>
        <v/>
      </c>
      <c r="BD1037" s="567" t="str">
        <f t="shared" si="597"/>
        <v/>
      </c>
      <c r="BE1037" s="467" t="str">
        <f t="shared" si="598"/>
        <v/>
      </c>
      <c r="BF1037" s="469" t="str">
        <f t="shared" ca="1" si="599"/>
        <v/>
      </c>
      <c r="BG1037" s="469" t="str">
        <f t="shared" ca="1" si="600"/>
        <v/>
      </c>
      <c r="BH1037" s="467" t="str">
        <f t="shared" si="601"/>
        <v/>
      </c>
      <c r="BI1037" s="467" t="str">
        <f t="shared" ca="1" si="602"/>
        <v/>
      </c>
      <c r="BJ1037" s="469" t="str">
        <f t="shared" si="603"/>
        <v/>
      </c>
      <c r="BK1037" s="470" t="str">
        <f t="shared" si="587"/>
        <v/>
      </c>
      <c r="BL1037" s="775" t="str">
        <f t="shared" si="604"/>
        <v/>
      </c>
      <c r="BM1037" s="775" t="str">
        <f t="shared" si="605"/>
        <v/>
      </c>
    </row>
    <row r="1038" spans="1:65">
      <c r="A1038" s="473">
        <v>982</v>
      </c>
      <c r="B1038" s="132"/>
      <c r="C1038" s="332"/>
      <c r="D1038" s="333"/>
      <c r="E1038" s="333"/>
      <c r="F1038" s="334"/>
      <c r="G1038" s="337"/>
      <c r="H1038" s="131"/>
      <c r="I1038" s="337"/>
      <c r="J1038" s="131"/>
      <c r="K1038" s="458" t="str">
        <f t="shared" si="568"/>
        <v/>
      </c>
      <c r="L1038" s="458">
        <f t="shared" si="569"/>
        <v>0</v>
      </c>
      <c r="M1038" s="458">
        <f t="shared" si="570"/>
        <v>0</v>
      </c>
      <c r="N1038" s="459" t="str">
        <f t="shared" si="581"/>
        <v/>
      </c>
      <c r="O1038" s="459" t="str">
        <f t="shared" si="582"/>
        <v/>
      </c>
      <c r="P1038" s="459" t="str">
        <f t="shared" si="583"/>
        <v/>
      </c>
      <c r="Q1038" s="459" t="str">
        <f t="shared" si="584"/>
        <v/>
      </c>
      <c r="R1038" s="459" t="str">
        <f t="shared" si="585"/>
        <v/>
      </c>
      <c r="S1038" s="459" t="str">
        <f t="shared" si="586"/>
        <v/>
      </c>
      <c r="T1038" s="566" t="str">
        <f t="shared" si="571"/>
        <v/>
      </c>
      <c r="U1038" s="702"/>
      <c r="V1038" s="132"/>
      <c r="W1038" s="133"/>
      <c r="X1038" s="134"/>
      <c r="Y1038" s="135"/>
      <c r="Z1038" s="137"/>
      <c r="AA1038" s="136"/>
      <c r="AB1038" s="566" t="str">
        <f t="shared" si="572"/>
        <v/>
      </c>
      <c r="AC1038" s="568" t="str">
        <f t="shared" si="573"/>
        <v/>
      </c>
      <c r="AD1038" s="137"/>
      <c r="AE1038" s="137"/>
      <c r="AF1038" s="138"/>
      <c r="AG1038" s="138"/>
      <c r="AH1038" s="592" t="str">
        <f t="shared" si="574"/>
        <v/>
      </c>
      <c r="AI1038" s="592" t="str">
        <f t="shared" si="575"/>
        <v/>
      </c>
      <c r="AJ1038" s="592" t="str">
        <f t="shared" si="576"/>
        <v/>
      </c>
      <c r="AK1038" s="460" t="str">
        <f>IF(AU1038="","",IF(OR(AZ1038=8,AZ1038=9),0,IF(OR(AW1038=3,AW1038=4,AW1038=5,AW1038=6),IF(LEFT(BF1038,1)="1",INDEX(係数_NOX・PM低減,MATCH(AY1038,【参考】排出係数!$AI$801:$AI$804,1),1),VLOOKUP(AU1038,INDEX((係数_バス貨物_ガソリン,係数_バス貨物_CNG,係数_バス貨物_軽油,係数_バス貨物_メタノール,係数_バス貨物_LPG),MATCH(AY1038,【参考】排出係数!$AI$4:$AI$671,1),1,BE1038):INDEX((係数_バス貨物_ガソリン,係数_バス貨物_CNG,係数_バス貨物_軽油,係数_バス貨物_メタノール,係数_バス貨物_LPG),MATCH(AY1038+1,【参考】排出係数!$AI$4:$AI$671,1)-1,5,BE1038),4,FALSE)),IF(AND(BE1038=3,LEFT(BF1038,1)="1"),0.48,VLOOKUP(AU1038,INDEX((係数_乗用_ガソリン,係数_乗用_CNG,係数_乗用_軽油,係数_乗用_メタノール,係数_乗用_LPG),1,1,BE1038):INDEX((係数_乗用_ガソリン,係数_乗用_CNG,係数_乗用_軽油,係数_乗用_メタノール,係数_乗用_LPG),125,5,BE1038),4,FALSE)))))</f>
        <v/>
      </c>
      <c r="AL1038" s="461" t="str">
        <f t="shared" si="577"/>
        <v/>
      </c>
      <c r="AM1038" s="460" t="str">
        <f>IF(AU1038="","",IF(OR(AZ1038=8,AZ1038=9),0,IF(OR(AW1038=3,AW1038=4,AW1038=5,AW1038=6),IF(LEFT(BH1038,1)="1",INDEX(係数_PM低減,MATCH(AY1038,【参考】排出係数!$AI$801:$AI$804,1),MATCH(BI1038,【参考】排出係数!$AL$798:$AO$798,1)),VLOOKUP(AU1038,INDEX((係数_バス貨物_ガソリン,係数_バス貨物_CNG,係数_バス貨物_軽油,係数_バス貨物_メタノール,係数_バス貨物_LPG),MATCH(AY1038,【参考】排出係数!$AI$4:$AI$671,1),1,BE1038):INDEX((係数_バス貨物_ガソリン,係数_バス貨物_CNG,係数_バス貨物_軽油,係数_バス貨物_メタノール,係数_バス貨物_LPG),MATCH(AY1038+1,【参考】排出係数!$AI$4:$AI$671,1)-1,5,BE1038),5,FALSE)),IF(AND(BE1038=3,LEFT(BF1038,1)="1"),0.055,VLOOKUP(AU1038,INDEX((係数_乗用_ガソリン,係数_乗用_CNG,係数_乗用_軽油,係数_乗用_メタノール,係数_乗用_LPG),1,1,BE1038):INDEX((係数_乗用_ガソリン,係数_乗用_CNG,係数_乗用_軽油,係数_乗用_メタノール,係数_乗用_LPG),125,5,BE1038),5,FALSE)))))</f>
        <v/>
      </c>
      <c r="AN1038" s="461" t="str">
        <f t="shared" si="578"/>
        <v/>
      </c>
      <c r="AO1038" s="462" t="str">
        <f t="shared" si="579"/>
        <v/>
      </c>
      <c r="AP1038" s="463" t="str">
        <f t="shared" si="580"/>
        <v/>
      </c>
      <c r="AQ1038" s="464"/>
      <c r="AR1038" s="619"/>
      <c r="AS1038" s="465" t="str">
        <f t="shared" si="588"/>
        <v/>
      </c>
      <c r="AT1038" s="465" t="str">
        <f t="shared" si="589"/>
        <v/>
      </c>
      <c r="AU1038" s="466" t="str">
        <f t="shared" si="590"/>
        <v/>
      </c>
      <c r="AV1038" s="467" t="str">
        <f t="shared" si="591"/>
        <v/>
      </c>
      <c r="AW1038" s="467" t="str">
        <f t="shared" si="592"/>
        <v/>
      </c>
      <c r="AX1038" s="467" t="str">
        <f t="shared" si="593"/>
        <v/>
      </c>
      <c r="AY1038" s="467" t="str">
        <f t="shared" si="594"/>
        <v/>
      </c>
      <c r="AZ1038" s="467" t="str">
        <f t="shared" si="595"/>
        <v/>
      </c>
      <c r="BA1038" s="468" t="str">
        <f>IF(AS1038="","",IF(OR(AU1038="",AU1038="-"),"－",IF(OR(AZ1038=8,AZ1038=9),"",IF(OR(AW1038=3,AW1038=4,AW1038=5,AW1038=6),VLOOKUP(AU1038,INDEX((係数_バス貨物_ガソリン,係数_バス貨物_CNG,係数_バス貨物_軽油,係数_バス貨物_メタノール,係数_バス貨物_LPG),MATCH(AY1038,【参考】排出係数!$AI$4:$AI$671,1),1,BE1038):INDEX((係数_バス貨物_ガソリン,係数_バス貨物_CNG,係数_バス貨物_軽油,係数_バス貨物_メタノール,係数_バス貨物_LPG),MATCH(AY1038+1,【参考】排出係数!$AI$4:$AI$671,1)-1,5,BE1038),2,FALSE),IF(OR(AW1038=1,AW1038=2),VLOOKUP(AU1038,INDEX((係数_乗用_ガソリン,係数_乗用_CNG,係数_乗用_軽油,係数_乗用_メタノール,係数_乗用_LPG),1,1,BE1038):INDEX((係数_乗用_ガソリン,係数_乗用_CNG,係数_乗用_軽油,係数_乗用_メタノール,係数_乗用_LPG),125,5,BE1038),2,FALSE))))))</f>
        <v/>
      </c>
      <c r="BB1038" s="468" t="str">
        <f>IF(T1038="","",IF(OR(AU1038="",AU1038="-"),"－",IF(OR(AZ1038=8,AZ1038=9),"",IF(OR(AW1038=3,AW1038=4,AW1038=5,AW1038=6),VLOOKUP(AU1038,INDEX((係数_バス貨物_ガソリン,係数_バス貨物_CNG,係数_バス貨物_軽油,係数_バス貨物_メタノール,係数_バス貨物_LPG),MATCH(AY1038,【参考】排出係数!$AI$4:$AI$671,1),1,BE1038):INDEX((係数_バス貨物_ガソリン,係数_バス貨物_CNG,係数_バス貨物_軽油,係数_バス貨物_メタノール,係数_バス貨物_LPG),MATCH(AY1038+1,【参考】排出係数!$AI$4:$AI$671,1)-1,5,BE1038),3,FALSE),IF(OR(AW1038=1,AW1038=2),VLOOKUP(AU1038,INDEX((係数_乗用_ガソリン,係数_乗用_CNG,係数_乗用_軽油,係数_乗用_メタノール,係数_乗用_LPG),1,1,BE1038):INDEX((係数_乗用_ガソリン,係数_乗用_CNG,係数_乗用_軽油,係数_乗用_メタノール,係数_乗用_LPG),125,5,BE1038),3,FALSE))))))</f>
        <v/>
      </c>
      <c r="BC1038" s="467" t="str">
        <f t="shared" si="596"/>
        <v/>
      </c>
      <c r="BD1038" s="567" t="str">
        <f t="shared" si="597"/>
        <v/>
      </c>
      <c r="BE1038" s="467" t="str">
        <f t="shared" si="598"/>
        <v/>
      </c>
      <c r="BF1038" s="469" t="str">
        <f t="shared" ca="1" si="599"/>
        <v/>
      </c>
      <c r="BG1038" s="469" t="str">
        <f t="shared" ca="1" si="600"/>
        <v/>
      </c>
      <c r="BH1038" s="467" t="str">
        <f t="shared" si="601"/>
        <v/>
      </c>
      <c r="BI1038" s="467" t="str">
        <f t="shared" ca="1" si="602"/>
        <v/>
      </c>
      <c r="BJ1038" s="469" t="str">
        <f t="shared" si="603"/>
        <v/>
      </c>
      <c r="BK1038" s="470" t="str">
        <f t="shared" si="587"/>
        <v/>
      </c>
      <c r="BL1038" s="775" t="str">
        <f t="shared" si="604"/>
        <v/>
      </c>
      <c r="BM1038" s="775" t="str">
        <f t="shared" si="605"/>
        <v/>
      </c>
    </row>
    <row r="1039" spans="1:65">
      <c r="A1039" s="473">
        <v>983</v>
      </c>
      <c r="B1039" s="132"/>
      <c r="C1039" s="332"/>
      <c r="D1039" s="333"/>
      <c r="E1039" s="333"/>
      <c r="F1039" s="334"/>
      <c r="G1039" s="337"/>
      <c r="H1039" s="131"/>
      <c r="I1039" s="337"/>
      <c r="J1039" s="131"/>
      <c r="K1039" s="458" t="str">
        <f t="shared" si="568"/>
        <v/>
      </c>
      <c r="L1039" s="458">
        <f t="shared" si="569"/>
        <v>0</v>
      </c>
      <c r="M1039" s="458">
        <f t="shared" si="570"/>
        <v>0</v>
      </c>
      <c r="N1039" s="459" t="str">
        <f t="shared" si="581"/>
        <v/>
      </c>
      <c r="O1039" s="459" t="str">
        <f t="shared" si="582"/>
        <v/>
      </c>
      <c r="P1039" s="459" t="str">
        <f t="shared" si="583"/>
        <v/>
      </c>
      <c r="Q1039" s="459" t="str">
        <f t="shared" si="584"/>
        <v/>
      </c>
      <c r="R1039" s="459" t="str">
        <f t="shared" si="585"/>
        <v/>
      </c>
      <c r="S1039" s="459" t="str">
        <f t="shared" si="586"/>
        <v/>
      </c>
      <c r="T1039" s="566" t="str">
        <f t="shared" si="571"/>
        <v/>
      </c>
      <c r="U1039" s="702"/>
      <c r="V1039" s="132"/>
      <c r="W1039" s="133"/>
      <c r="X1039" s="134"/>
      <c r="Y1039" s="135"/>
      <c r="Z1039" s="137"/>
      <c r="AA1039" s="136"/>
      <c r="AB1039" s="566" t="str">
        <f t="shared" si="572"/>
        <v/>
      </c>
      <c r="AC1039" s="568" t="str">
        <f t="shared" si="573"/>
        <v/>
      </c>
      <c r="AD1039" s="137"/>
      <c r="AE1039" s="137"/>
      <c r="AF1039" s="138"/>
      <c r="AG1039" s="138"/>
      <c r="AH1039" s="592" t="str">
        <f t="shared" si="574"/>
        <v/>
      </c>
      <c r="AI1039" s="592" t="str">
        <f t="shared" si="575"/>
        <v/>
      </c>
      <c r="AJ1039" s="592" t="str">
        <f t="shared" si="576"/>
        <v/>
      </c>
      <c r="AK1039" s="460" t="str">
        <f>IF(AU1039="","",IF(OR(AZ1039=8,AZ1039=9),0,IF(OR(AW1039=3,AW1039=4,AW1039=5,AW1039=6),IF(LEFT(BF1039,1)="1",INDEX(係数_NOX・PM低減,MATCH(AY1039,【参考】排出係数!$AI$801:$AI$804,1),1),VLOOKUP(AU1039,INDEX((係数_バス貨物_ガソリン,係数_バス貨物_CNG,係数_バス貨物_軽油,係数_バス貨物_メタノール,係数_バス貨物_LPG),MATCH(AY1039,【参考】排出係数!$AI$4:$AI$671,1),1,BE1039):INDEX((係数_バス貨物_ガソリン,係数_バス貨物_CNG,係数_バス貨物_軽油,係数_バス貨物_メタノール,係数_バス貨物_LPG),MATCH(AY1039+1,【参考】排出係数!$AI$4:$AI$671,1)-1,5,BE1039),4,FALSE)),IF(AND(BE1039=3,LEFT(BF1039,1)="1"),0.48,VLOOKUP(AU1039,INDEX((係数_乗用_ガソリン,係数_乗用_CNG,係数_乗用_軽油,係数_乗用_メタノール,係数_乗用_LPG),1,1,BE1039):INDEX((係数_乗用_ガソリン,係数_乗用_CNG,係数_乗用_軽油,係数_乗用_メタノール,係数_乗用_LPG),125,5,BE1039),4,FALSE)))))</f>
        <v/>
      </c>
      <c r="AL1039" s="461" t="str">
        <f t="shared" si="577"/>
        <v/>
      </c>
      <c r="AM1039" s="460" t="str">
        <f>IF(AU1039="","",IF(OR(AZ1039=8,AZ1039=9),0,IF(OR(AW1039=3,AW1039=4,AW1039=5,AW1039=6),IF(LEFT(BH1039,1)="1",INDEX(係数_PM低減,MATCH(AY1039,【参考】排出係数!$AI$801:$AI$804,1),MATCH(BI1039,【参考】排出係数!$AL$798:$AO$798,1)),VLOOKUP(AU1039,INDEX((係数_バス貨物_ガソリン,係数_バス貨物_CNG,係数_バス貨物_軽油,係数_バス貨物_メタノール,係数_バス貨物_LPG),MATCH(AY1039,【参考】排出係数!$AI$4:$AI$671,1),1,BE1039):INDEX((係数_バス貨物_ガソリン,係数_バス貨物_CNG,係数_バス貨物_軽油,係数_バス貨物_メタノール,係数_バス貨物_LPG),MATCH(AY1039+1,【参考】排出係数!$AI$4:$AI$671,1)-1,5,BE1039),5,FALSE)),IF(AND(BE1039=3,LEFT(BF1039,1)="1"),0.055,VLOOKUP(AU1039,INDEX((係数_乗用_ガソリン,係数_乗用_CNG,係数_乗用_軽油,係数_乗用_メタノール,係数_乗用_LPG),1,1,BE1039):INDEX((係数_乗用_ガソリン,係数_乗用_CNG,係数_乗用_軽油,係数_乗用_メタノール,係数_乗用_LPG),125,5,BE1039),5,FALSE)))))</f>
        <v/>
      </c>
      <c r="AN1039" s="461" t="str">
        <f t="shared" si="578"/>
        <v/>
      </c>
      <c r="AO1039" s="462" t="str">
        <f t="shared" si="579"/>
        <v/>
      </c>
      <c r="AP1039" s="463" t="str">
        <f t="shared" si="580"/>
        <v/>
      </c>
      <c r="AQ1039" s="464"/>
      <c r="AR1039" s="619"/>
      <c r="AS1039" s="465" t="str">
        <f t="shared" si="588"/>
        <v/>
      </c>
      <c r="AT1039" s="465" t="str">
        <f t="shared" si="589"/>
        <v/>
      </c>
      <c r="AU1039" s="466" t="str">
        <f t="shared" si="590"/>
        <v/>
      </c>
      <c r="AV1039" s="467" t="str">
        <f t="shared" si="591"/>
        <v/>
      </c>
      <c r="AW1039" s="467" t="str">
        <f t="shared" si="592"/>
        <v/>
      </c>
      <c r="AX1039" s="467" t="str">
        <f t="shared" si="593"/>
        <v/>
      </c>
      <c r="AY1039" s="467" t="str">
        <f t="shared" si="594"/>
        <v/>
      </c>
      <c r="AZ1039" s="467" t="str">
        <f t="shared" si="595"/>
        <v/>
      </c>
      <c r="BA1039" s="468" t="str">
        <f>IF(AS1039="","",IF(OR(AU1039="",AU1039="-"),"－",IF(OR(AZ1039=8,AZ1039=9),"",IF(OR(AW1039=3,AW1039=4,AW1039=5,AW1039=6),VLOOKUP(AU1039,INDEX((係数_バス貨物_ガソリン,係数_バス貨物_CNG,係数_バス貨物_軽油,係数_バス貨物_メタノール,係数_バス貨物_LPG),MATCH(AY1039,【参考】排出係数!$AI$4:$AI$671,1),1,BE1039):INDEX((係数_バス貨物_ガソリン,係数_バス貨物_CNG,係数_バス貨物_軽油,係数_バス貨物_メタノール,係数_バス貨物_LPG),MATCH(AY1039+1,【参考】排出係数!$AI$4:$AI$671,1)-1,5,BE1039),2,FALSE),IF(OR(AW1039=1,AW1039=2),VLOOKUP(AU1039,INDEX((係数_乗用_ガソリン,係数_乗用_CNG,係数_乗用_軽油,係数_乗用_メタノール,係数_乗用_LPG),1,1,BE1039):INDEX((係数_乗用_ガソリン,係数_乗用_CNG,係数_乗用_軽油,係数_乗用_メタノール,係数_乗用_LPG),125,5,BE1039),2,FALSE))))))</f>
        <v/>
      </c>
      <c r="BB1039" s="468" t="str">
        <f>IF(T1039="","",IF(OR(AU1039="",AU1039="-"),"－",IF(OR(AZ1039=8,AZ1039=9),"",IF(OR(AW1039=3,AW1039=4,AW1039=5,AW1039=6),VLOOKUP(AU1039,INDEX((係数_バス貨物_ガソリン,係数_バス貨物_CNG,係数_バス貨物_軽油,係数_バス貨物_メタノール,係数_バス貨物_LPG),MATCH(AY1039,【参考】排出係数!$AI$4:$AI$671,1),1,BE1039):INDEX((係数_バス貨物_ガソリン,係数_バス貨物_CNG,係数_バス貨物_軽油,係数_バス貨物_メタノール,係数_バス貨物_LPG),MATCH(AY1039+1,【参考】排出係数!$AI$4:$AI$671,1)-1,5,BE1039),3,FALSE),IF(OR(AW1039=1,AW1039=2),VLOOKUP(AU1039,INDEX((係数_乗用_ガソリン,係数_乗用_CNG,係数_乗用_軽油,係数_乗用_メタノール,係数_乗用_LPG),1,1,BE1039):INDEX((係数_乗用_ガソリン,係数_乗用_CNG,係数_乗用_軽油,係数_乗用_メタノール,係数_乗用_LPG),125,5,BE1039),3,FALSE))))))</f>
        <v/>
      </c>
      <c r="BC1039" s="467" t="str">
        <f t="shared" si="596"/>
        <v/>
      </c>
      <c r="BD1039" s="567" t="str">
        <f t="shared" si="597"/>
        <v/>
      </c>
      <c r="BE1039" s="467" t="str">
        <f t="shared" si="598"/>
        <v/>
      </c>
      <c r="BF1039" s="469" t="str">
        <f t="shared" ca="1" si="599"/>
        <v/>
      </c>
      <c r="BG1039" s="469" t="str">
        <f t="shared" ca="1" si="600"/>
        <v/>
      </c>
      <c r="BH1039" s="467" t="str">
        <f t="shared" si="601"/>
        <v/>
      </c>
      <c r="BI1039" s="467" t="str">
        <f t="shared" ca="1" si="602"/>
        <v/>
      </c>
      <c r="BJ1039" s="469" t="str">
        <f t="shared" si="603"/>
        <v/>
      </c>
      <c r="BK1039" s="470" t="str">
        <f t="shared" si="587"/>
        <v/>
      </c>
      <c r="BL1039" s="775" t="str">
        <f t="shared" si="604"/>
        <v/>
      </c>
      <c r="BM1039" s="775" t="str">
        <f t="shared" si="605"/>
        <v/>
      </c>
    </row>
    <row r="1040" spans="1:65">
      <c r="A1040" s="473">
        <v>984</v>
      </c>
      <c r="B1040" s="132"/>
      <c r="C1040" s="332"/>
      <c r="D1040" s="333"/>
      <c r="E1040" s="333"/>
      <c r="F1040" s="334"/>
      <c r="G1040" s="337"/>
      <c r="H1040" s="131"/>
      <c r="I1040" s="337"/>
      <c r="J1040" s="131"/>
      <c r="K1040" s="458" t="str">
        <f t="shared" si="568"/>
        <v/>
      </c>
      <c r="L1040" s="458">
        <f t="shared" si="569"/>
        <v>0</v>
      </c>
      <c r="M1040" s="458">
        <f t="shared" si="570"/>
        <v>0</v>
      </c>
      <c r="N1040" s="459" t="str">
        <f t="shared" si="581"/>
        <v/>
      </c>
      <c r="O1040" s="459" t="str">
        <f t="shared" si="582"/>
        <v/>
      </c>
      <c r="P1040" s="459" t="str">
        <f t="shared" si="583"/>
        <v/>
      </c>
      <c r="Q1040" s="459" t="str">
        <f t="shared" si="584"/>
        <v/>
      </c>
      <c r="R1040" s="459" t="str">
        <f t="shared" si="585"/>
        <v/>
      </c>
      <c r="S1040" s="459" t="str">
        <f t="shared" si="586"/>
        <v/>
      </c>
      <c r="T1040" s="566" t="str">
        <f t="shared" si="571"/>
        <v/>
      </c>
      <c r="U1040" s="702"/>
      <c r="V1040" s="132"/>
      <c r="W1040" s="133"/>
      <c r="X1040" s="134"/>
      <c r="Y1040" s="135"/>
      <c r="Z1040" s="137"/>
      <c r="AA1040" s="136"/>
      <c r="AB1040" s="566" t="str">
        <f t="shared" si="572"/>
        <v/>
      </c>
      <c r="AC1040" s="568" t="str">
        <f t="shared" si="573"/>
        <v/>
      </c>
      <c r="AD1040" s="137"/>
      <c r="AE1040" s="137"/>
      <c r="AF1040" s="138"/>
      <c r="AG1040" s="138"/>
      <c r="AH1040" s="592" t="str">
        <f t="shared" si="574"/>
        <v/>
      </c>
      <c r="AI1040" s="592" t="str">
        <f t="shared" si="575"/>
        <v/>
      </c>
      <c r="AJ1040" s="592" t="str">
        <f t="shared" si="576"/>
        <v/>
      </c>
      <c r="AK1040" s="460" t="str">
        <f>IF(AU1040="","",IF(OR(AZ1040=8,AZ1040=9),0,IF(OR(AW1040=3,AW1040=4,AW1040=5,AW1040=6),IF(LEFT(BF1040,1)="1",INDEX(係数_NOX・PM低減,MATCH(AY1040,【参考】排出係数!$AI$801:$AI$804,1),1),VLOOKUP(AU1040,INDEX((係数_バス貨物_ガソリン,係数_バス貨物_CNG,係数_バス貨物_軽油,係数_バス貨物_メタノール,係数_バス貨物_LPG),MATCH(AY1040,【参考】排出係数!$AI$4:$AI$671,1),1,BE1040):INDEX((係数_バス貨物_ガソリン,係数_バス貨物_CNG,係数_バス貨物_軽油,係数_バス貨物_メタノール,係数_バス貨物_LPG),MATCH(AY1040+1,【参考】排出係数!$AI$4:$AI$671,1)-1,5,BE1040),4,FALSE)),IF(AND(BE1040=3,LEFT(BF1040,1)="1"),0.48,VLOOKUP(AU1040,INDEX((係数_乗用_ガソリン,係数_乗用_CNG,係数_乗用_軽油,係数_乗用_メタノール,係数_乗用_LPG),1,1,BE1040):INDEX((係数_乗用_ガソリン,係数_乗用_CNG,係数_乗用_軽油,係数_乗用_メタノール,係数_乗用_LPG),125,5,BE1040),4,FALSE)))))</f>
        <v/>
      </c>
      <c r="AL1040" s="461" t="str">
        <f t="shared" si="577"/>
        <v/>
      </c>
      <c r="AM1040" s="460" t="str">
        <f>IF(AU1040="","",IF(OR(AZ1040=8,AZ1040=9),0,IF(OR(AW1040=3,AW1040=4,AW1040=5,AW1040=6),IF(LEFT(BH1040,1)="1",INDEX(係数_PM低減,MATCH(AY1040,【参考】排出係数!$AI$801:$AI$804,1),MATCH(BI1040,【参考】排出係数!$AL$798:$AO$798,1)),VLOOKUP(AU1040,INDEX((係数_バス貨物_ガソリン,係数_バス貨物_CNG,係数_バス貨物_軽油,係数_バス貨物_メタノール,係数_バス貨物_LPG),MATCH(AY1040,【参考】排出係数!$AI$4:$AI$671,1),1,BE1040):INDEX((係数_バス貨物_ガソリン,係数_バス貨物_CNG,係数_バス貨物_軽油,係数_バス貨物_メタノール,係数_バス貨物_LPG),MATCH(AY1040+1,【参考】排出係数!$AI$4:$AI$671,1)-1,5,BE1040),5,FALSE)),IF(AND(BE1040=3,LEFT(BF1040,1)="1"),0.055,VLOOKUP(AU1040,INDEX((係数_乗用_ガソリン,係数_乗用_CNG,係数_乗用_軽油,係数_乗用_メタノール,係数_乗用_LPG),1,1,BE1040):INDEX((係数_乗用_ガソリン,係数_乗用_CNG,係数_乗用_軽油,係数_乗用_メタノール,係数_乗用_LPG),125,5,BE1040),5,FALSE)))))</f>
        <v/>
      </c>
      <c r="AN1040" s="461" t="str">
        <f t="shared" si="578"/>
        <v/>
      </c>
      <c r="AO1040" s="462" t="str">
        <f t="shared" si="579"/>
        <v/>
      </c>
      <c r="AP1040" s="463" t="str">
        <f t="shared" si="580"/>
        <v/>
      </c>
      <c r="AQ1040" s="464"/>
      <c r="AR1040" s="619"/>
      <c r="AS1040" s="465" t="str">
        <f t="shared" si="588"/>
        <v/>
      </c>
      <c r="AT1040" s="465" t="str">
        <f t="shared" si="589"/>
        <v/>
      </c>
      <c r="AU1040" s="466" t="str">
        <f t="shared" si="590"/>
        <v/>
      </c>
      <c r="AV1040" s="467" t="str">
        <f t="shared" si="591"/>
        <v/>
      </c>
      <c r="AW1040" s="467" t="str">
        <f t="shared" si="592"/>
        <v/>
      </c>
      <c r="AX1040" s="467" t="str">
        <f t="shared" si="593"/>
        <v/>
      </c>
      <c r="AY1040" s="467" t="str">
        <f t="shared" si="594"/>
        <v/>
      </c>
      <c r="AZ1040" s="467" t="str">
        <f t="shared" si="595"/>
        <v/>
      </c>
      <c r="BA1040" s="468" t="str">
        <f>IF(AS1040="","",IF(OR(AU1040="",AU1040="-"),"－",IF(OR(AZ1040=8,AZ1040=9),"",IF(OR(AW1040=3,AW1040=4,AW1040=5,AW1040=6),VLOOKUP(AU1040,INDEX((係数_バス貨物_ガソリン,係数_バス貨物_CNG,係数_バス貨物_軽油,係数_バス貨物_メタノール,係数_バス貨物_LPG),MATCH(AY1040,【参考】排出係数!$AI$4:$AI$671,1),1,BE1040):INDEX((係数_バス貨物_ガソリン,係数_バス貨物_CNG,係数_バス貨物_軽油,係数_バス貨物_メタノール,係数_バス貨物_LPG),MATCH(AY1040+1,【参考】排出係数!$AI$4:$AI$671,1)-1,5,BE1040),2,FALSE),IF(OR(AW1040=1,AW1040=2),VLOOKUP(AU1040,INDEX((係数_乗用_ガソリン,係数_乗用_CNG,係数_乗用_軽油,係数_乗用_メタノール,係数_乗用_LPG),1,1,BE1040):INDEX((係数_乗用_ガソリン,係数_乗用_CNG,係数_乗用_軽油,係数_乗用_メタノール,係数_乗用_LPG),125,5,BE1040),2,FALSE))))))</f>
        <v/>
      </c>
      <c r="BB1040" s="468" t="str">
        <f>IF(T1040="","",IF(OR(AU1040="",AU1040="-"),"－",IF(OR(AZ1040=8,AZ1040=9),"",IF(OR(AW1040=3,AW1040=4,AW1040=5,AW1040=6),VLOOKUP(AU1040,INDEX((係数_バス貨物_ガソリン,係数_バス貨物_CNG,係数_バス貨物_軽油,係数_バス貨物_メタノール,係数_バス貨物_LPG),MATCH(AY1040,【参考】排出係数!$AI$4:$AI$671,1),1,BE1040):INDEX((係数_バス貨物_ガソリン,係数_バス貨物_CNG,係数_バス貨物_軽油,係数_バス貨物_メタノール,係数_バス貨物_LPG),MATCH(AY1040+1,【参考】排出係数!$AI$4:$AI$671,1)-1,5,BE1040),3,FALSE),IF(OR(AW1040=1,AW1040=2),VLOOKUP(AU1040,INDEX((係数_乗用_ガソリン,係数_乗用_CNG,係数_乗用_軽油,係数_乗用_メタノール,係数_乗用_LPG),1,1,BE1040):INDEX((係数_乗用_ガソリン,係数_乗用_CNG,係数_乗用_軽油,係数_乗用_メタノール,係数_乗用_LPG),125,5,BE1040),3,FALSE))))))</f>
        <v/>
      </c>
      <c r="BC1040" s="467" t="str">
        <f t="shared" si="596"/>
        <v/>
      </c>
      <c r="BD1040" s="567" t="str">
        <f t="shared" si="597"/>
        <v/>
      </c>
      <c r="BE1040" s="467" t="str">
        <f t="shared" si="598"/>
        <v/>
      </c>
      <c r="BF1040" s="469" t="str">
        <f t="shared" ca="1" si="599"/>
        <v/>
      </c>
      <c r="BG1040" s="469" t="str">
        <f t="shared" ca="1" si="600"/>
        <v/>
      </c>
      <c r="BH1040" s="467" t="str">
        <f t="shared" si="601"/>
        <v/>
      </c>
      <c r="BI1040" s="467" t="str">
        <f t="shared" ca="1" si="602"/>
        <v/>
      </c>
      <c r="BJ1040" s="469" t="str">
        <f t="shared" si="603"/>
        <v/>
      </c>
      <c r="BK1040" s="470" t="str">
        <f t="shared" si="587"/>
        <v/>
      </c>
      <c r="BL1040" s="775" t="str">
        <f t="shared" si="604"/>
        <v/>
      </c>
      <c r="BM1040" s="775" t="str">
        <f t="shared" si="605"/>
        <v/>
      </c>
    </row>
    <row r="1041" spans="1:65">
      <c r="A1041" s="473">
        <v>985</v>
      </c>
      <c r="B1041" s="132"/>
      <c r="C1041" s="332"/>
      <c r="D1041" s="333"/>
      <c r="E1041" s="333"/>
      <c r="F1041" s="334"/>
      <c r="G1041" s="337"/>
      <c r="H1041" s="131"/>
      <c r="I1041" s="337"/>
      <c r="J1041" s="131"/>
      <c r="K1041" s="458" t="str">
        <f t="shared" si="568"/>
        <v/>
      </c>
      <c r="L1041" s="458">
        <f t="shared" si="569"/>
        <v>0</v>
      </c>
      <c r="M1041" s="458">
        <f t="shared" si="570"/>
        <v>0</v>
      </c>
      <c r="N1041" s="459" t="str">
        <f t="shared" si="581"/>
        <v/>
      </c>
      <c r="O1041" s="459" t="str">
        <f t="shared" si="582"/>
        <v/>
      </c>
      <c r="P1041" s="459" t="str">
        <f t="shared" si="583"/>
        <v/>
      </c>
      <c r="Q1041" s="459" t="str">
        <f t="shared" si="584"/>
        <v/>
      </c>
      <c r="R1041" s="459" t="str">
        <f t="shared" si="585"/>
        <v/>
      </c>
      <c r="S1041" s="459" t="str">
        <f t="shared" si="586"/>
        <v/>
      </c>
      <c r="T1041" s="566" t="str">
        <f t="shared" si="571"/>
        <v/>
      </c>
      <c r="U1041" s="702"/>
      <c r="V1041" s="132"/>
      <c r="W1041" s="133"/>
      <c r="X1041" s="134"/>
      <c r="Y1041" s="135"/>
      <c r="Z1041" s="137"/>
      <c r="AA1041" s="136"/>
      <c r="AB1041" s="566" t="str">
        <f t="shared" si="572"/>
        <v/>
      </c>
      <c r="AC1041" s="568" t="str">
        <f t="shared" si="573"/>
        <v/>
      </c>
      <c r="AD1041" s="137"/>
      <c r="AE1041" s="137"/>
      <c r="AF1041" s="138"/>
      <c r="AG1041" s="138"/>
      <c r="AH1041" s="592" t="str">
        <f t="shared" si="574"/>
        <v/>
      </c>
      <c r="AI1041" s="592" t="str">
        <f t="shared" si="575"/>
        <v/>
      </c>
      <c r="AJ1041" s="592" t="str">
        <f t="shared" si="576"/>
        <v/>
      </c>
      <c r="AK1041" s="460" t="str">
        <f>IF(AU1041="","",IF(OR(AZ1041=8,AZ1041=9),0,IF(OR(AW1041=3,AW1041=4,AW1041=5,AW1041=6),IF(LEFT(BF1041,1)="1",INDEX(係数_NOX・PM低減,MATCH(AY1041,【参考】排出係数!$AI$801:$AI$804,1),1),VLOOKUP(AU1041,INDEX((係数_バス貨物_ガソリン,係数_バス貨物_CNG,係数_バス貨物_軽油,係数_バス貨物_メタノール,係数_バス貨物_LPG),MATCH(AY1041,【参考】排出係数!$AI$4:$AI$671,1),1,BE1041):INDEX((係数_バス貨物_ガソリン,係数_バス貨物_CNG,係数_バス貨物_軽油,係数_バス貨物_メタノール,係数_バス貨物_LPG),MATCH(AY1041+1,【参考】排出係数!$AI$4:$AI$671,1)-1,5,BE1041),4,FALSE)),IF(AND(BE1041=3,LEFT(BF1041,1)="1"),0.48,VLOOKUP(AU1041,INDEX((係数_乗用_ガソリン,係数_乗用_CNG,係数_乗用_軽油,係数_乗用_メタノール,係数_乗用_LPG),1,1,BE1041):INDEX((係数_乗用_ガソリン,係数_乗用_CNG,係数_乗用_軽油,係数_乗用_メタノール,係数_乗用_LPG),125,5,BE1041),4,FALSE)))))</f>
        <v/>
      </c>
      <c r="AL1041" s="461" t="str">
        <f t="shared" si="577"/>
        <v/>
      </c>
      <c r="AM1041" s="460" t="str">
        <f>IF(AU1041="","",IF(OR(AZ1041=8,AZ1041=9),0,IF(OR(AW1041=3,AW1041=4,AW1041=5,AW1041=6),IF(LEFT(BH1041,1)="1",INDEX(係数_PM低減,MATCH(AY1041,【参考】排出係数!$AI$801:$AI$804,1),MATCH(BI1041,【参考】排出係数!$AL$798:$AO$798,1)),VLOOKUP(AU1041,INDEX((係数_バス貨物_ガソリン,係数_バス貨物_CNG,係数_バス貨物_軽油,係数_バス貨物_メタノール,係数_バス貨物_LPG),MATCH(AY1041,【参考】排出係数!$AI$4:$AI$671,1),1,BE1041):INDEX((係数_バス貨物_ガソリン,係数_バス貨物_CNG,係数_バス貨物_軽油,係数_バス貨物_メタノール,係数_バス貨物_LPG),MATCH(AY1041+1,【参考】排出係数!$AI$4:$AI$671,1)-1,5,BE1041),5,FALSE)),IF(AND(BE1041=3,LEFT(BF1041,1)="1"),0.055,VLOOKUP(AU1041,INDEX((係数_乗用_ガソリン,係数_乗用_CNG,係数_乗用_軽油,係数_乗用_メタノール,係数_乗用_LPG),1,1,BE1041):INDEX((係数_乗用_ガソリン,係数_乗用_CNG,係数_乗用_軽油,係数_乗用_メタノール,係数_乗用_LPG),125,5,BE1041),5,FALSE)))))</f>
        <v/>
      </c>
      <c r="AN1041" s="461" t="str">
        <f t="shared" si="578"/>
        <v/>
      </c>
      <c r="AO1041" s="462" t="str">
        <f t="shared" si="579"/>
        <v/>
      </c>
      <c r="AP1041" s="463" t="str">
        <f t="shared" si="580"/>
        <v/>
      </c>
      <c r="AQ1041" s="464"/>
      <c r="AR1041" s="619"/>
      <c r="AS1041" s="465" t="str">
        <f t="shared" si="588"/>
        <v/>
      </c>
      <c r="AT1041" s="465" t="str">
        <f t="shared" si="589"/>
        <v/>
      </c>
      <c r="AU1041" s="466" t="str">
        <f t="shared" si="590"/>
        <v/>
      </c>
      <c r="AV1041" s="467" t="str">
        <f t="shared" si="591"/>
        <v/>
      </c>
      <c r="AW1041" s="467" t="str">
        <f t="shared" si="592"/>
        <v/>
      </c>
      <c r="AX1041" s="467" t="str">
        <f t="shared" si="593"/>
        <v/>
      </c>
      <c r="AY1041" s="467" t="str">
        <f t="shared" si="594"/>
        <v/>
      </c>
      <c r="AZ1041" s="467" t="str">
        <f t="shared" si="595"/>
        <v/>
      </c>
      <c r="BA1041" s="468" t="str">
        <f>IF(AS1041="","",IF(OR(AU1041="",AU1041="-"),"－",IF(OR(AZ1041=8,AZ1041=9),"",IF(OR(AW1041=3,AW1041=4,AW1041=5,AW1041=6),VLOOKUP(AU1041,INDEX((係数_バス貨物_ガソリン,係数_バス貨物_CNG,係数_バス貨物_軽油,係数_バス貨物_メタノール,係数_バス貨物_LPG),MATCH(AY1041,【参考】排出係数!$AI$4:$AI$671,1),1,BE1041):INDEX((係数_バス貨物_ガソリン,係数_バス貨物_CNG,係数_バス貨物_軽油,係数_バス貨物_メタノール,係数_バス貨物_LPG),MATCH(AY1041+1,【参考】排出係数!$AI$4:$AI$671,1)-1,5,BE1041),2,FALSE),IF(OR(AW1041=1,AW1041=2),VLOOKUP(AU1041,INDEX((係数_乗用_ガソリン,係数_乗用_CNG,係数_乗用_軽油,係数_乗用_メタノール,係数_乗用_LPG),1,1,BE1041):INDEX((係数_乗用_ガソリン,係数_乗用_CNG,係数_乗用_軽油,係数_乗用_メタノール,係数_乗用_LPG),125,5,BE1041),2,FALSE))))))</f>
        <v/>
      </c>
      <c r="BB1041" s="468" t="str">
        <f>IF(T1041="","",IF(OR(AU1041="",AU1041="-"),"－",IF(OR(AZ1041=8,AZ1041=9),"",IF(OR(AW1041=3,AW1041=4,AW1041=5,AW1041=6),VLOOKUP(AU1041,INDEX((係数_バス貨物_ガソリン,係数_バス貨物_CNG,係数_バス貨物_軽油,係数_バス貨物_メタノール,係数_バス貨物_LPG),MATCH(AY1041,【参考】排出係数!$AI$4:$AI$671,1),1,BE1041):INDEX((係数_バス貨物_ガソリン,係数_バス貨物_CNG,係数_バス貨物_軽油,係数_バス貨物_メタノール,係数_バス貨物_LPG),MATCH(AY1041+1,【参考】排出係数!$AI$4:$AI$671,1)-1,5,BE1041),3,FALSE),IF(OR(AW1041=1,AW1041=2),VLOOKUP(AU1041,INDEX((係数_乗用_ガソリン,係数_乗用_CNG,係数_乗用_軽油,係数_乗用_メタノール,係数_乗用_LPG),1,1,BE1041):INDEX((係数_乗用_ガソリン,係数_乗用_CNG,係数_乗用_軽油,係数_乗用_メタノール,係数_乗用_LPG),125,5,BE1041),3,FALSE))))))</f>
        <v/>
      </c>
      <c r="BC1041" s="467" t="str">
        <f t="shared" si="596"/>
        <v/>
      </c>
      <c r="BD1041" s="567" t="str">
        <f t="shared" si="597"/>
        <v/>
      </c>
      <c r="BE1041" s="467" t="str">
        <f t="shared" si="598"/>
        <v/>
      </c>
      <c r="BF1041" s="469" t="str">
        <f t="shared" ca="1" si="599"/>
        <v/>
      </c>
      <c r="BG1041" s="469" t="str">
        <f t="shared" ca="1" si="600"/>
        <v/>
      </c>
      <c r="BH1041" s="467" t="str">
        <f t="shared" si="601"/>
        <v/>
      </c>
      <c r="BI1041" s="467" t="str">
        <f t="shared" ca="1" si="602"/>
        <v/>
      </c>
      <c r="BJ1041" s="469" t="str">
        <f t="shared" si="603"/>
        <v/>
      </c>
      <c r="BK1041" s="470" t="str">
        <f t="shared" si="587"/>
        <v/>
      </c>
      <c r="BL1041" s="775" t="str">
        <f t="shared" si="604"/>
        <v/>
      </c>
      <c r="BM1041" s="775" t="str">
        <f t="shared" si="605"/>
        <v/>
      </c>
    </row>
    <row r="1042" spans="1:65">
      <c r="A1042" s="473">
        <v>986</v>
      </c>
      <c r="B1042" s="132"/>
      <c r="C1042" s="332"/>
      <c r="D1042" s="333"/>
      <c r="E1042" s="333"/>
      <c r="F1042" s="334"/>
      <c r="G1042" s="337"/>
      <c r="H1042" s="131"/>
      <c r="I1042" s="337"/>
      <c r="J1042" s="131"/>
      <c r="K1042" s="458" t="str">
        <f t="shared" si="568"/>
        <v/>
      </c>
      <c r="L1042" s="458">
        <f t="shared" si="569"/>
        <v>0</v>
      </c>
      <c r="M1042" s="458">
        <f t="shared" si="570"/>
        <v>0</v>
      </c>
      <c r="N1042" s="459" t="str">
        <f t="shared" si="581"/>
        <v/>
      </c>
      <c r="O1042" s="459" t="str">
        <f t="shared" si="582"/>
        <v/>
      </c>
      <c r="P1042" s="459" t="str">
        <f t="shared" si="583"/>
        <v/>
      </c>
      <c r="Q1042" s="459" t="str">
        <f t="shared" si="584"/>
        <v/>
      </c>
      <c r="R1042" s="459" t="str">
        <f t="shared" si="585"/>
        <v/>
      </c>
      <c r="S1042" s="459" t="str">
        <f t="shared" si="586"/>
        <v/>
      </c>
      <c r="T1042" s="566" t="str">
        <f t="shared" si="571"/>
        <v/>
      </c>
      <c r="U1042" s="702"/>
      <c r="V1042" s="132"/>
      <c r="W1042" s="133"/>
      <c r="X1042" s="134"/>
      <c r="Y1042" s="135"/>
      <c r="Z1042" s="137"/>
      <c r="AA1042" s="136"/>
      <c r="AB1042" s="566" t="str">
        <f t="shared" si="572"/>
        <v/>
      </c>
      <c r="AC1042" s="568" t="str">
        <f t="shared" si="573"/>
        <v/>
      </c>
      <c r="AD1042" s="137"/>
      <c r="AE1042" s="137"/>
      <c r="AF1042" s="138"/>
      <c r="AG1042" s="138"/>
      <c r="AH1042" s="592" t="str">
        <f t="shared" si="574"/>
        <v/>
      </c>
      <c r="AI1042" s="592" t="str">
        <f t="shared" si="575"/>
        <v/>
      </c>
      <c r="AJ1042" s="592" t="str">
        <f t="shared" si="576"/>
        <v/>
      </c>
      <c r="AK1042" s="460" t="str">
        <f>IF(AU1042="","",IF(OR(AZ1042=8,AZ1042=9),0,IF(OR(AW1042=3,AW1042=4,AW1042=5,AW1042=6),IF(LEFT(BF1042,1)="1",INDEX(係数_NOX・PM低減,MATCH(AY1042,【参考】排出係数!$AI$801:$AI$804,1),1),VLOOKUP(AU1042,INDEX((係数_バス貨物_ガソリン,係数_バス貨物_CNG,係数_バス貨物_軽油,係数_バス貨物_メタノール,係数_バス貨物_LPG),MATCH(AY1042,【参考】排出係数!$AI$4:$AI$671,1),1,BE1042):INDEX((係数_バス貨物_ガソリン,係数_バス貨物_CNG,係数_バス貨物_軽油,係数_バス貨物_メタノール,係数_バス貨物_LPG),MATCH(AY1042+1,【参考】排出係数!$AI$4:$AI$671,1)-1,5,BE1042),4,FALSE)),IF(AND(BE1042=3,LEFT(BF1042,1)="1"),0.48,VLOOKUP(AU1042,INDEX((係数_乗用_ガソリン,係数_乗用_CNG,係数_乗用_軽油,係数_乗用_メタノール,係数_乗用_LPG),1,1,BE1042):INDEX((係数_乗用_ガソリン,係数_乗用_CNG,係数_乗用_軽油,係数_乗用_メタノール,係数_乗用_LPG),125,5,BE1042),4,FALSE)))))</f>
        <v/>
      </c>
      <c r="AL1042" s="461" t="str">
        <f t="shared" si="577"/>
        <v/>
      </c>
      <c r="AM1042" s="460" t="str">
        <f>IF(AU1042="","",IF(OR(AZ1042=8,AZ1042=9),0,IF(OR(AW1042=3,AW1042=4,AW1042=5,AW1042=6),IF(LEFT(BH1042,1)="1",INDEX(係数_PM低減,MATCH(AY1042,【参考】排出係数!$AI$801:$AI$804,1),MATCH(BI1042,【参考】排出係数!$AL$798:$AO$798,1)),VLOOKUP(AU1042,INDEX((係数_バス貨物_ガソリン,係数_バス貨物_CNG,係数_バス貨物_軽油,係数_バス貨物_メタノール,係数_バス貨物_LPG),MATCH(AY1042,【参考】排出係数!$AI$4:$AI$671,1),1,BE1042):INDEX((係数_バス貨物_ガソリン,係数_バス貨物_CNG,係数_バス貨物_軽油,係数_バス貨物_メタノール,係数_バス貨物_LPG),MATCH(AY1042+1,【参考】排出係数!$AI$4:$AI$671,1)-1,5,BE1042),5,FALSE)),IF(AND(BE1042=3,LEFT(BF1042,1)="1"),0.055,VLOOKUP(AU1042,INDEX((係数_乗用_ガソリン,係数_乗用_CNG,係数_乗用_軽油,係数_乗用_メタノール,係数_乗用_LPG),1,1,BE1042):INDEX((係数_乗用_ガソリン,係数_乗用_CNG,係数_乗用_軽油,係数_乗用_メタノール,係数_乗用_LPG),125,5,BE1042),5,FALSE)))))</f>
        <v/>
      </c>
      <c r="AN1042" s="461" t="str">
        <f t="shared" si="578"/>
        <v/>
      </c>
      <c r="AO1042" s="462" t="str">
        <f t="shared" si="579"/>
        <v/>
      </c>
      <c r="AP1042" s="463" t="str">
        <f t="shared" si="580"/>
        <v/>
      </c>
      <c r="AQ1042" s="464"/>
      <c r="AR1042" s="619"/>
      <c r="AS1042" s="465" t="str">
        <f t="shared" si="588"/>
        <v/>
      </c>
      <c r="AT1042" s="465" t="str">
        <f t="shared" si="589"/>
        <v/>
      </c>
      <c r="AU1042" s="466" t="str">
        <f t="shared" si="590"/>
        <v/>
      </c>
      <c r="AV1042" s="467" t="str">
        <f t="shared" si="591"/>
        <v/>
      </c>
      <c r="AW1042" s="467" t="str">
        <f t="shared" si="592"/>
        <v/>
      </c>
      <c r="AX1042" s="467" t="str">
        <f t="shared" si="593"/>
        <v/>
      </c>
      <c r="AY1042" s="467" t="str">
        <f t="shared" si="594"/>
        <v/>
      </c>
      <c r="AZ1042" s="467" t="str">
        <f t="shared" si="595"/>
        <v/>
      </c>
      <c r="BA1042" s="468" t="str">
        <f>IF(AS1042="","",IF(OR(AU1042="",AU1042="-"),"－",IF(OR(AZ1042=8,AZ1042=9),"",IF(OR(AW1042=3,AW1042=4,AW1042=5,AW1042=6),VLOOKUP(AU1042,INDEX((係数_バス貨物_ガソリン,係数_バス貨物_CNG,係数_バス貨物_軽油,係数_バス貨物_メタノール,係数_バス貨物_LPG),MATCH(AY1042,【参考】排出係数!$AI$4:$AI$671,1),1,BE1042):INDEX((係数_バス貨物_ガソリン,係数_バス貨物_CNG,係数_バス貨物_軽油,係数_バス貨物_メタノール,係数_バス貨物_LPG),MATCH(AY1042+1,【参考】排出係数!$AI$4:$AI$671,1)-1,5,BE1042),2,FALSE),IF(OR(AW1042=1,AW1042=2),VLOOKUP(AU1042,INDEX((係数_乗用_ガソリン,係数_乗用_CNG,係数_乗用_軽油,係数_乗用_メタノール,係数_乗用_LPG),1,1,BE1042):INDEX((係数_乗用_ガソリン,係数_乗用_CNG,係数_乗用_軽油,係数_乗用_メタノール,係数_乗用_LPG),125,5,BE1042),2,FALSE))))))</f>
        <v/>
      </c>
      <c r="BB1042" s="468" t="str">
        <f>IF(T1042="","",IF(OR(AU1042="",AU1042="-"),"－",IF(OR(AZ1042=8,AZ1042=9),"",IF(OR(AW1042=3,AW1042=4,AW1042=5,AW1042=6),VLOOKUP(AU1042,INDEX((係数_バス貨物_ガソリン,係数_バス貨物_CNG,係数_バス貨物_軽油,係数_バス貨物_メタノール,係数_バス貨物_LPG),MATCH(AY1042,【参考】排出係数!$AI$4:$AI$671,1),1,BE1042):INDEX((係数_バス貨物_ガソリン,係数_バス貨物_CNG,係数_バス貨物_軽油,係数_バス貨物_メタノール,係数_バス貨物_LPG),MATCH(AY1042+1,【参考】排出係数!$AI$4:$AI$671,1)-1,5,BE1042),3,FALSE),IF(OR(AW1042=1,AW1042=2),VLOOKUP(AU1042,INDEX((係数_乗用_ガソリン,係数_乗用_CNG,係数_乗用_軽油,係数_乗用_メタノール,係数_乗用_LPG),1,1,BE1042):INDEX((係数_乗用_ガソリン,係数_乗用_CNG,係数_乗用_軽油,係数_乗用_メタノール,係数_乗用_LPG),125,5,BE1042),3,FALSE))))))</f>
        <v/>
      </c>
      <c r="BC1042" s="467" t="str">
        <f t="shared" si="596"/>
        <v/>
      </c>
      <c r="BD1042" s="567" t="str">
        <f t="shared" si="597"/>
        <v/>
      </c>
      <c r="BE1042" s="467" t="str">
        <f t="shared" si="598"/>
        <v/>
      </c>
      <c r="BF1042" s="469" t="str">
        <f t="shared" ca="1" si="599"/>
        <v/>
      </c>
      <c r="BG1042" s="469" t="str">
        <f t="shared" ca="1" si="600"/>
        <v/>
      </c>
      <c r="BH1042" s="467" t="str">
        <f t="shared" si="601"/>
        <v/>
      </c>
      <c r="BI1042" s="467" t="str">
        <f t="shared" ca="1" si="602"/>
        <v/>
      </c>
      <c r="BJ1042" s="469" t="str">
        <f t="shared" si="603"/>
        <v/>
      </c>
      <c r="BK1042" s="470" t="str">
        <f t="shared" si="587"/>
        <v/>
      </c>
      <c r="BL1042" s="775" t="str">
        <f t="shared" si="604"/>
        <v/>
      </c>
      <c r="BM1042" s="775" t="str">
        <f t="shared" si="605"/>
        <v/>
      </c>
    </row>
    <row r="1043" spans="1:65">
      <c r="A1043" s="473">
        <v>987</v>
      </c>
      <c r="B1043" s="132"/>
      <c r="C1043" s="332"/>
      <c r="D1043" s="333"/>
      <c r="E1043" s="333"/>
      <c r="F1043" s="334"/>
      <c r="G1043" s="337"/>
      <c r="H1043" s="131"/>
      <c r="I1043" s="337"/>
      <c r="J1043" s="131"/>
      <c r="K1043" s="458" t="str">
        <f t="shared" si="568"/>
        <v/>
      </c>
      <c r="L1043" s="458">
        <f t="shared" si="569"/>
        <v>0</v>
      </c>
      <c r="M1043" s="458">
        <f t="shared" si="570"/>
        <v>0</v>
      </c>
      <c r="N1043" s="459" t="str">
        <f t="shared" si="581"/>
        <v/>
      </c>
      <c r="O1043" s="459" t="str">
        <f t="shared" si="582"/>
        <v/>
      </c>
      <c r="P1043" s="459" t="str">
        <f t="shared" si="583"/>
        <v/>
      </c>
      <c r="Q1043" s="459" t="str">
        <f t="shared" si="584"/>
        <v/>
      </c>
      <c r="R1043" s="459" t="str">
        <f t="shared" si="585"/>
        <v/>
      </c>
      <c r="S1043" s="459" t="str">
        <f t="shared" si="586"/>
        <v/>
      </c>
      <c r="T1043" s="566" t="str">
        <f t="shared" si="571"/>
        <v/>
      </c>
      <c r="U1043" s="702"/>
      <c r="V1043" s="132"/>
      <c r="W1043" s="133"/>
      <c r="X1043" s="134"/>
      <c r="Y1043" s="135"/>
      <c r="Z1043" s="137"/>
      <c r="AA1043" s="136"/>
      <c r="AB1043" s="566" t="str">
        <f t="shared" si="572"/>
        <v/>
      </c>
      <c r="AC1043" s="568" t="str">
        <f t="shared" si="573"/>
        <v/>
      </c>
      <c r="AD1043" s="137"/>
      <c r="AE1043" s="137"/>
      <c r="AF1043" s="138"/>
      <c r="AG1043" s="138"/>
      <c r="AH1043" s="592" t="str">
        <f t="shared" si="574"/>
        <v/>
      </c>
      <c r="AI1043" s="592" t="str">
        <f t="shared" si="575"/>
        <v/>
      </c>
      <c r="AJ1043" s="592" t="str">
        <f t="shared" si="576"/>
        <v/>
      </c>
      <c r="AK1043" s="460" t="str">
        <f>IF(AU1043="","",IF(OR(AZ1043=8,AZ1043=9),0,IF(OR(AW1043=3,AW1043=4,AW1043=5,AW1043=6),IF(LEFT(BF1043,1)="1",INDEX(係数_NOX・PM低減,MATCH(AY1043,【参考】排出係数!$AI$801:$AI$804,1),1),VLOOKUP(AU1043,INDEX((係数_バス貨物_ガソリン,係数_バス貨物_CNG,係数_バス貨物_軽油,係数_バス貨物_メタノール,係数_バス貨物_LPG),MATCH(AY1043,【参考】排出係数!$AI$4:$AI$671,1),1,BE1043):INDEX((係数_バス貨物_ガソリン,係数_バス貨物_CNG,係数_バス貨物_軽油,係数_バス貨物_メタノール,係数_バス貨物_LPG),MATCH(AY1043+1,【参考】排出係数!$AI$4:$AI$671,1)-1,5,BE1043),4,FALSE)),IF(AND(BE1043=3,LEFT(BF1043,1)="1"),0.48,VLOOKUP(AU1043,INDEX((係数_乗用_ガソリン,係数_乗用_CNG,係数_乗用_軽油,係数_乗用_メタノール,係数_乗用_LPG),1,1,BE1043):INDEX((係数_乗用_ガソリン,係数_乗用_CNG,係数_乗用_軽油,係数_乗用_メタノール,係数_乗用_LPG),125,5,BE1043),4,FALSE)))))</f>
        <v/>
      </c>
      <c r="AL1043" s="461" t="str">
        <f t="shared" si="577"/>
        <v/>
      </c>
      <c r="AM1043" s="460" t="str">
        <f>IF(AU1043="","",IF(OR(AZ1043=8,AZ1043=9),0,IF(OR(AW1043=3,AW1043=4,AW1043=5,AW1043=6),IF(LEFT(BH1043,1)="1",INDEX(係数_PM低減,MATCH(AY1043,【参考】排出係数!$AI$801:$AI$804,1),MATCH(BI1043,【参考】排出係数!$AL$798:$AO$798,1)),VLOOKUP(AU1043,INDEX((係数_バス貨物_ガソリン,係数_バス貨物_CNG,係数_バス貨物_軽油,係数_バス貨物_メタノール,係数_バス貨物_LPG),MATCH(AY1043,【参考】排出係数!$AI$4:$AI$671,1),1,BE1043):INDEX((係数_バス貨物_ガソリン,係数_バス貨物_CNG,係数_バス貨物_軽油,係数_バス貨物_メタノール,係数_バス貨物_LPG),MATCH(AY1043+1,【参考】排出係数!$AI$4:$AI$671,1)-1,5,BE1043),5,FALSE)),IF(AND(BE1043=3,LEFT(BF1043,1)="1"),0.055,VLOOKUP(AU1043,INDEX((係数_乗用_ガソリン,係数_乗用_CNG,係数_乗用_軽油,係数_乗用_メタノール,係数_乗用_LPG),1,1,BE1043):INDEX((係数_乗用_ガソリン,係数_乗用_CNG,係数_乗用_軽油,係数_乗用_メタノール,係数_乗用_LPG),125,5,BE1043),5,FALSE)))))</f>
        <v/>
      </c>
      <c r="AN1043" s="461" t="str">
        <f t="shared" si="578"/>
        <v/>
      </c>
      <c r="AO1043" s="462" t="str">
        <f t="shared" si="579"/>
        <v/>
      </c>
      <c r="AP1043" s="463" t="str">
        <f t="shared" si="580"/>
        <v/>
      </c>
      <c r="AQ1043" s="464"/>
      <c r="AR1043" s="619"/>
      <c r="AS1043" s="465" t="str">
        <f t="shared" si="588"/>
        <v/>
      </c>
      <c r="AT1043" s="465" t="str">
        <f t="shared" si="589"/>
        <v/>
      </c>
      <c r="AU1043" s="466" t="str">
        <f t="shared" si="590"/>
        <v/>
      </c>
      <c r="AV1043" s="467" t="str">
        <f t="shared" si="591"/>
        <v/>
      </c>
      <c r="AW1043" s="467" t="str">
        <f t="shared" si="592"/>
        <v/>
      </c>
      <c r="AX1043" s="467" t="str">
        <f t="shared" si="593"/>
        <v/>
      </c>
      <c r="AY1043" s="467" t="str">
        <f t="shared" si="594"/>
        <v/>
      </c>
      <c r="AZ1043" s="467" t="str">
        <f t="shared" si="595"/>
        <v/>
      </c>
      <c r="BA1043" s="468" t="str">
        <f>IF(AS1043="","",IF(OR(AU1043="",AU1043="-"),"－",IF(OR(AZ1043=8,AZ1043=9),"",IF(OR(AW1043=3,AW1043=4,AW1043=5,AW1043=6),VLOOKUP(AU1043,INDEX((係数_バス貨物_ガソリン,係数_バス貨物_CNG,係数_バス貨物_軽油,係数_バス貨物_メタノール,係数_バス貨物_LPG),MATCH(AY1043,【参考】排出係数!$AI$4:$AI$671,1),1,BE1043):INDEX((係数_バス貨物_ガソリン,係数_バス貨物_CNG,係数_バス貨物_軽油,係数_バス貨物_メタノール,係数_バス貨物_LPG),MATCH(AY1043+1,【参考】排出係数!$AI$4:$AI$671,1)-1,5,BE1043),2,FALSE),IF(OR(AW1043=1,AW1043=2),VLOOKUP(AU1043,INDEX((係数_乗用_ガソリン,係数_乗用_CNG,係数_乗用_軽油,係数_乗用_メタノール,係数_乗用_LPG),1,1,BE1043):INDEX((係数_乗用_ガソリン,係数_乗用_CNG,係数_乗用_軽油,係数_乗用_メタノール,係数_乗用_LPG),125,5,BE1043),2,FALSE))))))</f>
        <v/>
      </c>
      <c r="BB1043" s="468" t="str">
        <f>IF(T1043="","",IF(OR(AU1043="",AU1043="-"),"－",IF(OR(AZ1043=8,AZ1043=9),"",IF(OR(AW1043=3,AW1043=4,AW1043=5,AW1043=6),VLOOKUP(AU1043,INDEX((係数_バス貨物_ガソリン,係数_バス貨物_CNG,係数_バス貨物_軽油,係数_バス貨物_メタノール,係数_バス貨物_LPG),MATCH(AY1043,【参考】排出係数!$AI$4:$AI$671,1),1,BE1043):INDEX((係数_バス貨物_ガソリン,係数_バス貨物_CNG,係数_バス貨物_軽油,係数_バス貨物_メタノール,係数_バス貨物_LPG),MATCH(AY1043+1,【参考】排出係数!$AI$4:$AI$671,1)-1,5,BE1043),3,FALSE),IF(OR(AW1043=1,AW1043=2),VLOOKUP(AU1043,INDEX((係数_乗用_ガソリン,係数_乗用_CNG,係数_乗用_軽油,係数_乗用_メタノール,係数_乗用_LPG),1,1,BE1043):INDEX((係数_乗用_ガソリン,係数_乗用_CNG,係数_乗用_軽油,係数_乗用_メタノール,係数_乗用_LPG),125,5,BE1043),3,FALSE))))))</f>
        <v/>
      </c>
      <c r="BC1043" s="467" t="str">
        <f t="shared" si="596"/>
        <v/>
      </c>
      <c r="BD1043" s="567" t="str">
        <f t="shared" si="597"/>
        <v/>
      </c>
      <c r="BE1043" s="467" t="str">
        <f t="shared" si="598"/>
        <v/>
      </c>
      <c r="BF1043" s="469" t="str">
        <f t="shared" ca="1" si="599"/>
        <v/>
      </c>
      <c r="BG1043" s="469" t="str">
        <f t="shared" ca="1" si="600"/>
        <v/>
      </c>
      <c r="BH1043" s="467" t="str">
        <f t="shared" si="601"/>
        <v/>
      </c>
      <c r="BI1043" s="467" t="str">
        <f t="shared" ca="1" si="602"/>
        <v/>
      </c>
      <c r="BJ1043" s="469" t="str">
        <f t="shared" si="603"/>
        <v/>
      </c>
      <c r="BK1043" s="470" t="str">
        <f t="shared" si="587"/>
        <v/>
      </c>
      <c r="BL1043" s="775" t="str">
        <f t="shared" si="604"/>
        <v/>
      </c>
      <c r="BM1043" s="775" t="str">
        <f t="shared" si="605"/>
        <v/>
      </c>
    </row>
    <row r="1044" spans="1:65">
      <c r="A1044" s="473">
        <v>988</v>
      </c>
      <c r="B1044" s="132"/>
      <c r="C1044" s="332"/>
      <c r="D1044" s="333"/>
      <c r="E1044" s="333"/>
      <c r="F1044" s="334"/>
      <c r="G1044" s="337"/>
      <c r="H1044" s="131"/>
      <c r="I1044" s="337"/>
      <c r="J1044" s="131"/>
      <c r="K1044" s="458" t="str">
        <f t="shared" si="568"/>
        <v/>
      </c>
      <c r="L1044" s="458">
        <f t="shared" si="569"/>
        <v>0</v>
      </c>
      <c r="M1044" s="458">
        <f t="shared" si="570"/>
        <v>0</v>
      </c>
      <c r="N1044" s="459" t="str">
        <f t="shared" si="581"/>
        <v/>
      </c>
      <c r="O1044" s="459" t="str">
        <f t="shared" si="582"/>
        <v/>
      </c>
      <c r="P1044" s="459" t="str">
        <f t="shared" si="583"/>
        <v/>
      </c>
      <c r="Q1044" s="459" t="str">
        <f t="shared" si="584"/>
        <v/>
      </c>
      <c r="R1044" s="459" t="str">
        <f t="shared" si="585"/>
        <v/>
      </c>
      <c r="S1044" s="459" t="str">
        <f t="shared" si="586"/>
        <v/>
      </c>
      <c r="T1044" s="566" t="str">
        <f t="shared" si="571"/>
        <v/>
      </c>
      <c r="U1044" s="702"/>
      <c r="V1044" s="132"/>
      <c r="W1044" s="133"/>
      <c r="X1044" s="134"/>
      <c r="Y1044" s="135"/>
      <c r="Z1044" s="137"/>
      <c r="AA1044" s="136"/>
      <c r="AB1044" s="566" t="str">
        <f t="shared" si="572"/>
        <v/>
      </c>
      <c r="AC1044" s="568" t="str">
        <f t="shared" si="573"/>
        <v/>
      </c>
      <c r="AD1044" s="137"/>
      <c r="AE1044" s="137"/>
      <c r="AF1044" s="138"/>
      <c r="AG1044" s="138"/>
      <c r="AH1044" s="592" t="str">
        <f t="shared" si="574"/>
        <v/>
      </c>
      <c r="AI1044" s="592" t="str">
        <f t="shared" si="575"/>
        <v/>
      </c>
      <c r="AJ1044" s="592" t="str">
        <f t="shared" si="576"/>
        <v/>
      </c>
      <c r="AK1044" s="460" t="str">
        <f>IF(AU1044="","",IF(OR(AZ1044=8,AZ1044=9),0,IF(OR(AW1044=3,AW1044=4,AW1044=5,AW1044=6),IF(LEFT(BF1044,1)="1",INDEX(係数_NOX・PM低減,MATCH(AY1044,【参考】排出係数!$AI$801:$AI$804,1),1),VLOOKUP(AU1044,INDEX((係数_バス貨物_ガソリン,係数_バス貨物_CNG,係数_バス貨物_軽油,係数_バス貨物_メタノール,係数_バス貨物_LPG),MATCH(AY1044,【参考】排出係数!$AI$4:$AI$671,1),1,BE1044):INDEX((係数_バス貨物_ガソリン,係数_バス貨物_CNG,係数_バス貨物_軽油,係数_バス貨物_メタノール,係数_バス貨物_LPG),MATCH(AY1044+1,【参考】排出係数!$AI$4:$AI$671,1)-1,5,BE1044),4,FALSE)),IF(AND(BE1044=3,LEFT(BF1044,1)="1"),0.48,VLOOKUP(AU1044,INDEX((係数_乗用_ガソリン,係数_乗用_CNG,係数_乗用_軽油,係数_乗用_メタノール,係数_乗用_LPG),1,1,BE1044):INDEX((係数_乗用_ガソリン,係数_乗用_CNG,係数_乗用_軽油,係数_乗用_メタノール,係数_乗用_LPG),125,5,BE1044),4,FALSE)))))</f>
        <v/>
      </c>
      <c r="AL1044" s="461" t="str">
        <f t="shared" si="577"/>
        <v/>
      </c>
      <c r="AM1044" s="460" t="str">
        <f>IF(AU1044="","",IF(OR(AZ1044=8,AZ1044=9),0,IF(OR(AW1044=3,AW1044=4,AW1044=5,AW1044=6),IF(LEFT(BH1044,1)="1",INDEX(係数_PM低減,MATCH(AY1044,【参考】排出係数!$AI$801:$AI$804,1),MATCH(BI1044,【参考】排出係数!$AL$798:$AO$798,1)),VLOOKUP(AU1044,INDEX((係数_バス貨物_ガソリン,係数_バス貨物_CNG,係数_バス貨物_軽油,係数_バス貨物_メタノール,係数_バス貨物_LPG),MATCH(AY1044,【参考】排出係数!$AI$4:$AI$671,1),1,BE1044):INDEX((係数_バス貨物_ガソリン,係数_バス貨物_CNG,係数_バス貨物_軽油,係数_バス貨物_メタノール,係数_バス貨物_LPG),MATCH(AY1044+1,【参考】排出係数!$AI$4:$AI$671,1)-1,5,BE1044),5,FALSE)),IF(AND(BE1044=3,LEFT(BF1044,1)="1"),0.055,VLOOKUP(AU1044,INDEX((係数_乗用_ガソリン,係数_乗用_CNG,係数_乗用_軽油,係数_乗用_メタノール,係数_乗用_LPG),1,1,BE1044):INDEX((係数_乗用_ガソリン,係数_乗用_CNG,係数_乗用_軽油,係数_乗用_メタノール,係数_乗用_LPG),125,5,BE1044),5,FALSE)))))</f>
        <v/>
      </c>
      <c r="AN1044" s="461" t="str">
        <f t="shared" si="578"/>
        <v/>
      </c>
      <c r="AO1044" s="462" t="str">
        <f t="shared" si="579"/>
        <v/>
      </c>
      <c r="AP1044" s="463" t="str">
        <f t="shared" si="580"/>
        <v/>
      </c>
      <c r="AQ1044" s="464"/>
      <c r="AR1044" s="619"/>
      <c r="AS1044" s="465" t="str">
        <f t="shared" si="588"/>
        <v/>
      </c>
      <c r="AT1044" s="465" t="str">
        <f t="shared" si="589"/>
        <v/>
      </c>
      <c r="AU1044" s="466" t="str">
        <f t="shared" si="590"/>
        <v/>
      </c>
      <c r="AV1044" s="467" t="str">
        <f t="shared" si="591"/>
        <v/>
      </c>
      <c r="AW1044" s="467" t="str">
        <f t="shared" si="592"/>
        <v/>
      </c>
      <c r="AX1044" s="467" t="str">
        <f t="shared" si="593"/>
        <v/>
      </c>
      <c r="AY1044" s="467" t="str">
        <f t="shared" si="594"/>
        <v/>
      </c>
      <c r="AZ1044" s="467" t="str">
        <f t="shared" si="595"/>
        <v/>
      </c>
      <c r="BA1044" s="468" t="str">
        <f>IF(AS1044="","",IF(OR(AU1044="",AU1044="-"),"－",IF(OR(AZ1044=8,AZ1044=9),"",IF(OR(AW1044=3,AW1044=4,AW1044=5,AW1044=6),VLOOKUP(AU1044,INDEX((係数_バス貨物_ガソリン,係数_バス貨物_CNG,係数_バス貨物_軽油,係数_バス貨物_メタノール,係数_バス貨物_LPG),MATCH(AY1044,【参考】排出係数!$AI$4:$AI$671,1),1,BE1044):INDEX((係数_バス貨物_ガソリン,係数_バス貨物_CNG,係数_バス貨物_軽油,係数_バス貨物_メタノール,係数_バス貨物_LPG),MATCH(AY1044+1,【参考】排出係数!$AI$4:$AI$671,1)-1,5,BE1044),2,FALSE),IF(OR(AW1044=1,AW1044=2),VLOOKUP(AU1044,INDEX((係数_乗用_ガソリン,係数_乗用_CNG,係数_乗用_軽油,係数_乗用_メタノール,係数_乗用_LPG),1,1,BE1044):INDEX((係数_乗用_ガソリン,係数_乗用_CNG,係数_乗用_軽油,係数_乗用_メタノール,係数_乗用_LPG),125,5,BE1044),2,FALSE))))))</f>
        <v/>
      </c>
      <c r="BB1044" s="468" t="str">
        <f>IF(T1044="","",IF(OR(AU1044="",AU1044="-"),"－",IF(OR(AZ1044=8,AZ1044=9),"",IF(OR(AW1044=3,AW1044=4,AW1044=5,AW1044=6),VLOOKUP(AU1044,INDEX((係数_バス貨物_ガソリン,係数_バス貨物_CNG,係数_バス貨物_軽油,係数_バス貨物_メタノール,係数_バス貨物_LPG),MATCH(AY1044,【参考】排出係数!$AI$4:$AI$671,1),1,BE1044):INDEX((係数_バス貨物_ガソリン,係数_バス貨物_CNG,係数_バス貨物_軽油,係数_バス貨物_メタノール,係数_バス貨物_LPG),MATCH(AY1044+1,【参考】排出係数!$AI$4:$AI$671,1)-1,5,BE1044),3,FALSE),IF(OR(AW1044=1,AW1044=2),VLOOKUP(AU1044,INDEX((係数_乗用_ガソリン,係数_乗用_CNG,係数_乗用_軽油,係数_乗用_メタノール,係数_乗用_LPG),1,1,BE1044):INDEX((係数_乗用_ガソリン,係数_乗用_CNG,係数_乗用_軽油,係数_乗用_メタノール,係数_乗用_LPG),125,5,BE1044),3,FALSE))))))</f>
        <v/>
      </c>
      <c r="BC1044" s="467" t="str">
        <f t="shared" si="596"/>
        <v/>
      </c>
      <c r="BD1044" s="567" t="str">
        <f t="shared" si="597"/>
        <v/>
      </c>
      <c r="BE1044" s="467" t="str">
        <f t="shared" si="598"/>
        <v/>
      </c>
      <c r="BF1044" s="469" t="str">
        <f t="shared" ca="1" si="599"/>
        <v/>
      </c>
      <c r="BG1044" s="469" t="str">
        <f t="shared" ca="1" si="600"/>
        <v/>
      </c>
      <c r="BH1044" s="467" t="str">
        <f t="shared" si="601"/>
        <v/>
      </c>
      <c r="BI1044" s="467" t="str">
        <f t="shared" ca="1" si="602"/>
        <v/>
      </c>
      <c r="BJ1044" s="469" t="str">
        <f t="shared" si="603"/>
        <v/>
      </c>
      <c r="BK1044" s="470" t="str">
        <f t="shared" si="587"/>
        <v/>
      </c>
      <c r="BL1044" s="775" t="str">
        <f t="shared" si="604"/>
        <v/>
      </c>
      <c r="BM1044" s="775" t="str">
        <f t="shared" si="605"/>
        <v/>
      </c>
    </row>
    <row r="1045" spans="1:65">
      <c r="A1045" s="473">
        <v>989</v>
      </c>
      <c r="B1045" s="132"/>
      <c r="C1045" s="332"/>
      <c r="D1045" s="333"/>
      <c r="E1045" s="333"/>
      <c r="F1045" s="334"/>
      <c r="G1045" s="337"/>
      <c r="H1045" s="131"/>
      <c r="I1045" s="337"/>
      <c r="J1045" s="131"/>
      <c r="K1045" s="458" t="str">
        <f t="shared" si="568"/>
        <v/>
      </c>
      <c r="L1045" s="458">
        <f t="shared" si="569"/>
        <v>0</v>
      </c>
      <c r="M1045" s="458">
        <f t="shared" si="570"/>
        <v>0</v>
      </c>
      <c r="N1045" s="459" t="str">
        <f t="shared" si="581"/>
        <v/>
      </c>
      <c r="O1045" s="459" t="str">
        <f t="shared" si="582"/>
        <v/>
      </c>
      <c r="P1045" s="459" t="str">
        <f t="shared" si="583"/>
        <v/>
      </c>
      <c r="Q1045" s="459" t="str">
        <f t="shared" si="584"/>
        <v/>
      </c>
      <c r="R1045" s="459" t="str">
        <f t="shared" si="585"/>
        <v/>
      </c>
      <c r="S1045" s="459" t="str">
        <f t="shared" si="586"/>
        <v/>
      </c>
      <c r="T1045" s="566" t="str">
        <f t="shared" si="571"/>
        <v/>
      </c>
      <c r="U1045" s="702"/>
      <c r="V1045" s="132"/>
      <c r="W1045" s="133"/>
      <c r="X1045" s="134"/>
      <c r="Y1045" s="135"/>
      <c r="Z1045" s="137"/>
      <c r="AA1045" s="136"/>
      <c r="AB1045" s="566" t="str">
        <f t="shared" si="572"/>
        <v/>
      </c>
      <c r="AC1045" s="568" t="str">
        <f t="shared" si="573"/>
        <v/>
      </c>
      <c r="AD1045" s="137"/>
      <c r="AE1045" s="137"/>
      <c r="AF1045" s="138"/>
      <c r="AG1045" s="138"/>
      <c r="AH1045" s="592" t="str">
        <f t="shared" si="574"/>
        <v/>
      </c>
      <c r="AI1045" s="592" t="str">
        <f t="shared" si="575"/>
        <v/>
      </c>
      <c r="AJ1045" s="592" t="str">
        <f t="shared" si="576"/>
        <v/>
      </c>
      <c r="AK1045" s="460" t="str">
        <f>IF(AU1045="","",IF(OR(AZ1045=8,AZ1045=9),0,IF(OR(AW1045=3,AW1045=4,AW1045=5,AW1045=6),IF(LEFT(BF1045,1)="1",INDEX(係数_NOX・PM低減,MATCH(AY1045,【参考】排出係数!$AI$801:$AI$804,1),1),VLOOKUP(AU1045,INDEX((係数_バス貨物_ガソリン,係数_バス貨物_CNG,係数_バス貨物_軽油,係数_バス貨物_メタノール,係数_バス貨物_LPG),MATCH(AY1045,【参考】排出係数!$AI$4:$AI$671,1),1,BE1045):INDEX((係数_バス貨物_ガソリン,係数_バス貨物_CNG,係数_バス貨物_軽油,係数_バス貨物_メタノール,係数_バス貨物_LPG),MATCH(AY1045+1,【参考】排出係数!$AI$4:$AI$671,1)-1,5,BE1045),4,FALSE)),IF(AND(BE1045=3,LEFT(BF1045,1)="1"),0.48,VLOOKUP(AU1045,INDEX((係数_乗用_ガソリン,係数_乗用_CNG,係数_乗用_軽油,係数_乗用_メタノール,係数_乗用_LPG),1,1,BE1045):INDEX((係数_乗用_ガソリン,係数_乗用_CNG,係数_乗用_軽油,係数_乗用_メタノール,係数_乗用_LPG),125,5,BE1045),4,FALSE)))))</f>
        <v/>
      </c>
      <c r="AL1045" s="461" t="str">
        <f t="shared" si="577"/>
        <v/>
      </c>
      <c r="AM1045" s="460" t="str">
        <f>IF(AU1045="","",IF(OR(AZ1045=8,AZ1045=9),0,IF(OR(AW1045=3,AW1045=4,AW1045=5,AW1045=6),IF(LEFT(BH1045,1)="1",INDEX(係数_PM低減,MATCH(AY1045,【参考】排出係数!$AI$801:$AI$804,1),MATCH(BI1045,【参考】排出係数!$AL$798:$AO$798,1)),VLOOKUP(AU1045,INDEX((係数_バス貨物_ガソリン,係数_バス貨物_CNG,係数_バス貨物_軽油,係数_バス貨物_メタノール,係数_バス貨物_LPG),MATCH(AY1045,【参考】排出係数!$AI$4:$AI$671,1),1,BE1045):INDEX((係数_バス貨物_ガソリン,係数_バス貨物_CNG,係数_バス貨物_軽油,係数_バス貨物_メタノール,係数_バス貨物_LPG),MATCH(AY1045+1,【参考】排出係数!$AI$4:$AI$671,1)-1,5,BE1045),5,FALSE)),IF(AND(BE1045=3,LEFT(BF1045,1)="1"),0.055,VLOOKUP(AU1045,INDEX((係数_乗用_ガソリン,係数_乗用_CNG,係数_乗用_軽油,係数_乗用_メタノール,係数_乗用_LPG),1,1,BE1045):INDEX((係数_乗用_ガソリン,係数_乗用_CNG,係数_乗用_軽油,係数_乗用_メタノール,係数_乗用_LPG),125,5,BE1045),5,FALSE)))))</f>
        <v/>
      </c>
      <c r="AN1045" s="461" t="str">
        <f t="shared" si="578"/>
        <v/>
      </c>
      <c r="AO1045" s="462" t="str">
        <f t="shared" si="579"/>
        <v/>
      </c>
      <c r="AP1045" s="463" t="str">
        <f t="shared" si="580"/>
        <v/>
      </c>
      <c r="AQ1045" s="464"/>
      <c r="AR1045" s="619"/>
      <c r="AS1045" s="465" t="str">
        <f t="shared" si="588"/>
        <v/>
      </c>
      <c r="AT1045" s="465" t="str">
        <f t="shared" si="589"/>
        <v/>
      </c>
      <c r="AU1045" s="466" t="str">
        <f t="shared" si="590"/>
        <v/>
      </c>
      <c r="AV1045" s="467" t="str">
        <f t="shared" si="591"/>
        <v/>
      </c>
      <c r="AW1045" s="467" t="str">
        <f t="shared" si="592"/>
        <v/>
      </c>
      <c r="AX1045" s="467" t="str">
        <f t="shared" si="593"/>
        <v/>
      </c>
      <c r="AY1045" s="467" t="str">
        <f t="shared" si="594"/>
        <v/>
      </c>
      <c r="AZ1045" s="467" t="str">
        <f t="shared" si="595"/>
        <v/>
      </c>
      <c r="BA1045" s="468" t="str">
        <f>IF(AS1045="","",IF(OR(AU1045="",AU1045="-"),"－",IF(OR(AZ1045=8,AZ1045=9),"",IF(OR(AW1045=3,AW1045=4,AW1045=5,AW1045=6),VLOOKUP(AU1045,INDEX((係数_バス貨物_ガソリン,係数_バス貨物_CNG,係数_バス貨物_軽油,係数_バス貨物_メタノール,係数_バス貨物_LPG),MATCH(AY1045,【参考】排出係数!$AI$4:$AI$671,1),1,BE1045):INDEX((係数_バス貨物_ガソリン,係数_バス貨物_CNG,係数_バス貨物_軽油,係数_バス貨物_メタノール,係数_バス貨物_LPG),MATCH(AY1045+1,【参考】排出係数!$AI$4:$AI$671,1)-1,5,BE1045),2,FALSE),IF(OR(AW1045=1,AW1045=2),VLOOKUP(AU1045,INDEX((係数_乗用_ガソリン,係数_乗用_CNG,係数_乗用_軽油,係数_乗用_メタノール,係数_乗用_LPG),1,1,BE1045):INDEX((係数_乗用_ガソリン,係数_乗用_CNG,係数_乗用_軽油,係数_乗用_メタノール,係数_乗用_LPG),125,5,BE1045),2,FALSE))))))</f>
        <v/>
      </c>
      <c r="BB1045" s="468" t="str">
        <f>IF(T1045="","",IF(OR(AU1045="",AU1045="-"),"－",IF(OR(AZ1045=8,AZ1045=9),"",IF(OR(AW1045=3,AW1045=4,AW1045=5,AW1045=6),VLOOKUP(AU1045,INDEX((係数_バス貨物_ガソリン,係数_バス貨物_CNG,係数_バス貨物_軽油,係数_バス貨物_メタノール,係数_バス貨物_LPG),MATCH(AY1045,【参考】排出係数!$AI$4:$AI$671,1),1,BE1045):INDEX((係数_バス貨物_ガソリン,係数_バス貨物_CNG,係数_バス貨物_軽油,係数_バス貨物_メタノール,係数_バス貨物_LPG),MATCH(AY1045+1,【参考】排出係数!$AI$4:$AI$671,1)-1,5,BE1045),3,FALSE),IF(OR(AW1045=1,AW1045=2),VLOOKUP(AU1045,INDEX((係数_乗用_ガソリン,係数_乗用_CNG,係数_乗用_軽油,係数_乗用_メタノール,係数_乗用_LPG),1,1,BE1045):INDEX((係数_乗用_ガソリン,係数_乗用_CNG,係数_乗用_軽油,係数_乗用_メタノール,係数_乗用_LPG),125,5,BE1045),3,FALSE))))))</f>
        <v/>
      </c>
      <c r="BC1045" s="467" t="str">
        <f t="shared" si="596"/>
        <v/>
      </c>
      <c r="BD1045" s="567" t="str">
        <f t="shared" si="597"/>
        <v/>
      </c>
      <c r="BE1045" s="467" t="str">
        <f t="shared" si="598"/>
        <v/>
      </c>
      <c r="BF1045" s="469" t="str">
        <f t="shared" ca="1" si="599"/>
        <v/>
      </c>
      <c r="BG1045" s="469" t="str">
        <f t="shared" ca="1" si="600"/>
        <v/>
      </c>
      <c r="BH1045" s="467" t="str">
        <f t="shared" si="601"/>
        <v/>
      </c>
      <c r="BI1045" s="467" t="str">
        <f t="shared" ca="1" si="602"/>
        <v/>
      </c>
      <c r="BJ1045" s="469" t="str">
        <f t="shared" si="603"/>
        <v/>
      </c>
      <c r="BK1045" s="470" t="str">
        <f t="shared" si="587"/>
        <v/>
      </c>
      <c r="BL1045" s="775" t="str">
        <f t="shared" si="604"/>
        <v/>
      </c>
      <c r="BM1045" s="775" t="str">
        <f t="shared" si="605"/>
        <v/>
      </c>
    </row>
    <row r="1046" spans="1:65">
      <c r="A1046" s="473">
        <v>990</v>
      </c>
      <c r="B1046" s="132"/>
      <c r="C1046" s="332"/>
      <c r="D1046" s="333"/>
      <c r="E1046" s="333"/>
      <c r="F1046" s="334"/>
      <c r="G1046" s="337"/>
      <c r="H1046" s="131"/>
      <c r="I1046" s="337"/>
      <c r="J1046" s="131"/>
      <c r="K1046" s="458" t="str">
        <f t="shared" si="568"/>
        <v/>
      </c>
      <c r="L1046" s="458">
        <f t="shared" si="569"/>
        <v>0</v>
      </c>
      <c r="M1046" s="458">
        <f t="shared" si="570"/>
        <v>0</v>
      </c>
      <c r="N1046" s="459" t="str">
        <f t="shared" si="581"/>
        <v/>
      </c>
      <c r="O1046" s="459" t="str">
        <f t="shared" si="582"/>
        <v/>
      </c>
      <c r="P1046" s="459" t="str">
        <f t="shared" si="583"/>
        <v/>
      </c>
      <c r="Q1046" s="459" t="str">
        <f t="shared" si="584"/>
        <v/>
      </c>
      <c r="R1046" s="459" t="str">
        <f t="shared" si="585"/>
        <v/>
      </c>
      <c r="S1046" s="459" t="str">
        <f t="shared" si="586"/>
        <v/>
      </c>
      <c r="T1046" s="566" t="str">
        <f t="shared" si="571"/>
        <v/>
      </c>
      <c r="U1046" s="702"/>
      <c r="V1046" s="132"/>
      <c r="W1046" s="133"/>
      <c r="X1046" s="134"/>
      <c r="Y1046" s="135"/>
      <c r="Z1046" s="137"/>
      <c r="AA1046" s="136"/>
      <c r="AB1046" s="566" t="str">
        <f t="shared" si="572"/>
        <v/>
      </c>
      <c r="AC1046" s="568" t="str">
        <f t="shared" si="573"/>
        <v/>
      </c>
      <c r="AD1046" s="137"/>
      <c r="AE1046" s="137"/>
      <c r="AF1046" s="138"/>
      <c r="AG1046" s="138"/>
      <c r="AH1046" s="592" t="str">
        <f t="shared" si="574"/>
        <v/>
      </c>
      <c r="AI1046" s="592" t="str">
        <f t="shared" si="575"/>
        <v/>
      </c>
      <c r="AJ1046" s="592" t="str">
        <f t="shared" si="576"/>
        <v/>
      </c>
      <c r="AK1046" s="460" t="str">
        <f>IF(AU1046="","",IF(OR(AZ1046=8,AZ1046=9),0,IF(OR(AW1046=3,AW1046=4,AW1046=5,AW1046=6),IF(LEFT(BF1046,1)="1",INDEX(係数_NOX・PM低減,MATCH(AY1046,【参考】排出係数!$AI$801:$AI$804,1),1),VLOOKUP(AU1046,INDEX((係数_バス貨物_ガソリン,係数_バス貨物_CNG,係数_バス貨物_軽油,係数_バス貨物_メタノール,係数_バス貨物_LPG),MATCH(AY1046,【参考】排出係数!$AI$4:$AI$671,1),1,BE1046):INDEX((係数_バス貨物_ガソリン,係数_バス貨物_CNG,係数_バス貨物_軽油,係数_バス貨物_メタノール,係数_バス貨物_LPG),MATCH(AY1046+1,【参考】排出係数!$AI$4:$AI$671,1)-1,5,BE1046),4,FALSE)),IF(AND(BE1046=3,LEFT(BF1046,1)="1"),0.48,VLOOKUP(AU1046,INDEX((係数_乗用_ガソリン,係数_乗用_CNG,係数_乗用_軽油,係数_乗用_メタノール,係数_乗用_LPG),1,1,BE1046):INDEX((係数_乗用_ガソリン,係数_乗用_CNG,係数_乗用_軽油,係数_乗用_メタノール,係数_乗用_LPG),125,5,BE1046),4,FALSE)))))</f>
        <v/>
      </c>
      <c r="AL1046" s="461" t="str">
        <f t="shared" si="577"/>
        <v/>
      </c>
      <c r="AM1046" s="460" t="str">
        <f>IF(AU1046="","",IF(OR(AZ1046=8,AZ1046=9),0,IF(OR(AW1046=3,AW1046=4,AW1046=5,AW1046=6),IF(LEFT(BH1046,1)="1",INDEX(係数_PM低減,MATCH(AY1046,【参考】排出係数!$AI$801:$AI$804,1),MATCH(BI1046,【参考】排出係数!$AL$798:$AO$798,1)),VLOOKUP(AU1046,INDEX((係数_バス貨物_ガソリン,係数_バス貨物_CNG,係数_バス貨物_軽油,係数_バス貨物_メタノール,係数_バス貨物_LPG),MATCH(AY1046,【参考】排出係数!$AI$4:$AI$671,1),1,BE1046):INDEX((係数_バス貨物_ガソリン,係数_バス貨物_CNG,係数_バス貨物_軽油,係数_バス貨物_メタノール,係数_バス貨物_LPG),MATCH(AY1046+1,【参考】排出係数!$AI$4:$AI$671,1)-1,5,BE1046),5,FALSE)),IF(AND(BE1046=3,LEFT(BF1046,1)="1"),0.055,VLOOKUP(AU1046,INDEX((係数_乗用_ガソリン,係数_乗用_CNG,係数_乗用_軽油,係数_乗用_メタノール,係数_乗用_LPG),1,1,BE1046):INDEX((係数_乗用_ガソリン,係数_乗用_CNG,係数_乗用_軽油,係数_乗用_メタノール,係数_乗用_LPG),125,5,BE1046),5,FALSE)))))</f>
        <v/>
      </c>
      <c r="AN1046" s="461" t="str">
        <f t="shared" si="578"/>
        <v/>
      </c>
      <c r="AO1046" s="462" t="str">
        <f t="shared" si="579"/>
        <v/>
      </c>
      <c r="AP1046" s="463" t="str">
        <f t="shared" si="580"/>
        <v/>
      </c>
      <c r="AQ1046" s="464"/>
      <c r="AR1046" s="619"/>
      <c r="AS1046" s="465" t="str">
        <f t="shared" si="588"/>
        <v/>
      </c>
      <c r="AT1046" s="465" t="str">
        <f t="shared" si="589"/>
        <v/>
      </c>
      <c r="AU1046" s="466" t="str">
        <f t="shared" si="590"/>
        <v/>
      </c>
      <c r="AV1046" s="467" t="str">
        <f t="shared" si="591"/>
        <v/>
      </c>
      <c r="AW1046" s="467" t="str">
        <f t="shared" si="592"/>
        <v/>
      </c>
      <c r="AX1046" s="467" t="str">
        <f t="shared" si="593"/>
        <v/>
      </c>
      <c r="AY1046" s="467" t="str">
        <f t="shared" si="594"/>
        <v/>
      </c>
      <c r="AZ1046" s="467" t="str">
        <f t="shared" si="595"/>
        <v/>
      </c>
      <c r="BA1046" s="468" t="str">
        <f>IF(AS1046="","",IF(OR(AU1046="",AU1046="-"),"－",IF(OR(AZ1046=8,AZ1046=9),"",IF(OR(AW1046=3,AW1046=4,AW1046=5,AW1046=6),VLOOKUP(AU1046,INDEX((係数_バス貨物_ガソリン,係数_バス貨物_CNG,係数_バス貨物_軽油,係数_バス貨物_メタノール,係数_バス貨物_LPG),MATCH(AY1046,【参考】排出係数!$AI$4:$AI$671,1),1,BE1046):INDEX((係数_バス貨物_ガソリン,係数_バス貨物_CNG,係数_バス貨物_軽油,係数_バス貨物_メタノール,係数_バス貨物_LPG),MATCH(AY1046+1,【参考】排出係数!$AI$4:$AI$671,1)-1,5,BE1046),2,FALSE),IF(OR(AW1046=1,AW1046=2),VLOOKUP(AU1046,INDEX((係数_乗用_ガソリン,係数_乗用_CNG,係数_乗用_軽油,係数_乗用_メタノール,係数_乗用_LPG),1,1,BE1046):INDEX((係数_乗用_ガソリン,係数_乗用_CNG,係数_乗用_軽油,係数_乗用_メタノール,係数_乗用_LPG),125,5,BE1046),2,FALSE))))))</f>
        <v/>
      </c>
      <c r="BB1046" s="468" t="str">
        <f>IF(T1046="","",IF(OR(AU1046="",AU1046="-"),"－",IF(OR(AZ1046=8,AZ1046=9),"",IF(OR(AW1046=3,AW1046=4,AW1046=5,AW1046=6),VLOOKUP(AU1046,INDEX((係数_バス貨物_ガソリン,係数_バス貨物_CNG,係数_バス貨物_軽油,係数_バス貨物_メタノール,係数_バス貨物_LPG),MATCH(AY1046,【参考】排出係数!$AI$4:$AI$671,1),1,BE1046):INDEX((係数_バス貨物_ガソリン,係数_バス貨物_CNG,係数_バス貨物_軽油,係数_バス貨物_メタノール,係数_バス貨物_LPG),MATCH(AY1046+1,【参考】排出係数!$AI$4:$AI$671,1)-1,5,BE1046),3,FALSE),IF(OR(AW1046=1,AW1046=2),VLOOKUP(AU1046,INDEX((係数_乗用_ガソリン,係数_乗用_CNG,係数_乗用_軽油,係数_乗用_メタノール,係数_乗用_LPG),1,1,BE1046):INDEX((係数_乗用_ガソリン,係数_乗用_CNG,係数_乗用_軽油,係数_乗用_メタノール,係数_乗用_LPG),125,5,BE1046),3,FALSE))))))</f>
        <v/>
      </c>
      <c r="BC1046" s="467" t="str">
        <f t="shared" si="596"/>
        <v/>
      </c>
      <c r="BD1046" s="567" t="str">
        <f t="shared" si="597"/>
        <v/>
      </c>
      <c r="BE1046" s="467" t="str">
        <f t="shared" si="598"/>
        <v/>
      </c>
      <c r="BF1046" s="469" t="str">
        <f t="shared" ca="1" si="599"/>
        <v/>
      </c>
      <c r="BG1046" s="469" t="str">
        <f t="shared" ca="1" si="600"/>
        <v/>
      </c>
      <c r="BH1046" s="467" t="str">
        <f t="shared" si="601"/>
        <v/>
      </c>
      <c r="BI1046" s="467" t="str">
        <f t="shared" ca="1" si="602"/>
        <v/>
      </c>
      <c r="BJ1046" s="469" t="str">
        <f t="shared" si="603"/>
        <v/>
      </c>
      <c r="BK1046" s="470" t="str">
        <f t="shared" si="587"/>
        <v/>
      </c>
      <c r="BL1046" s="775" t="str">
        <f t="shared" si="604"/>
        <v/>
      </c>
      <c r="BM1046" s="775" t="str">
        <f t="shared" si="605"/>
        <v/>
      </c>
    </row>
    <row r="1047" spans="1:65">
      <c r="A1047" s="473">
        <v>991</v>
      </c>
      <c r="B1047" s="132"/>
      <c r="C1047" s="332"/>
      <c r="D1047" s="333"/>
      <c r="E1047" s="333"/>
      <c r="F1047" s="334"/>
      <c r="G1047" s="337"/>
      <c r="H1047" s="131"/>
      <c r="I1047" s="337"/>
      <c r="J1047" s="131"/>
      <c r="K1047" s="458" t="str">
        <f t="shared" si="568"/>
        <v/>
      </c>
      <c r="L1047" s="458">
        <f t="shared" si="569"/>
        <v>0</v>
      </c>
      <c r="M1047" s="458">
        <f t="shared" si="570"/>
        <v>0</v>
      </c>
      <c r="N1047" s="459" t="str">
        <f t="shared" si="581"/>
        <v/>
      </c>
      <c r="O1047" s="459" t="str">
        <f t="shared" si="582"/>
        <v/>
      </c>
      <c r="P1047" s="459" t="str">
        <f t="shared" si="583"/>
        <v/>
      </c>
      <c r="Q1047" s="459" t="str">
        <f t="shared" si="584"/>
        <v/>
      </c>
      <c r="R1047" s="459" t="str">
        <f t="shared" si="585"/>
        <v/>
      </c>
      <c r="S1047" s="459" t="str">
        <f t="shared" si="586"/>
        <v/>
      </c>
      <c r="T1047" s="566" t="str">
        <f t="shared" si="571"/>
        <v/>
      </c>
      <c r="U1047" s="702"/>
      <c r="V1047" s="132"/>
      <c r="W1047" s="133"/>
      <c r="X1047" s="134"/>
      <c r="Y1047" s="135"/>
      <c r="Z1047" s="137"/>
      <c r="AA1047" s="136"/>
      <c r="AB1047" s="566" t="str">
        <f t="shared" si="572"/>
        <v/>
      </c>
      <c r="AC1047" s="568" t="str">
        <f t="shared" si="573"/>
        <v/>
      </c>
      <c r="AD1047" s="137"/>
      <c r="AE1047" s="137"/>
      <c r="AF1047" s="138"/>
      <c r="AG1047" s="138"/>
      <c r="AH1047" s="592" t="str">
        <f t="shared" si="574"/>
        <v/>
      </c>
      <c r="AI1047" s="592" t="str">
        <f t="shared" si="575"/>
        <v/>
      </c>
      <c r="AJ1047" s="592" t="str">
        <f t="shared" si="576"/>
        <v/>
      </c>
      <c r="AK1047" s="460" t="str">
        <f>IF(AU1047="","",IF(OR(AZ1047=8,AZ1047=9),0,IF(OR(AW1047=3,AW1047=4,AW1047=5,AW1047=6),IF(LEFT(BF1047,1)="1",INDEX(係数_NOX・PM低減,MATCH(AY1047,【参考】排出係数!$AI$801:$AI$804,1),1),VLOOKUP(AU1047,INDEX((係数_バス貨物_ガソリン,係数_バス貨物_CNG,係数_バス貨物_軽油,係数_バス貨物_メタノール,係数_バス貨物_LPG),MATCH(AY1047,【参考】排出係数!$AI$4:$AI$671,1),1,BE1047):INDEX((係数_バス貨物_ガソリン,係数_バス貨物_CNG,係数_バス貨物_軽油,係数_バス貨物_メタノール,係数_バス貨物_LPG),MATCH(AY1047+1,【参考】排出係数!$AI$4:$AI$671,1)-1,5,BE1047),4,FALSE)),IF(AND(BE1047=3,LEFT(BF1047,1)="1"),0.48,VLOOKUP(AU1047,INDEX((係数_乗用_ガソリン,係数_乗用_CNG,係数_乗用_軽油,係数_乗用_メタノール,係数_乗用_LPG),1,1,BE1047):INDEX((係数_乗用_ガソリン,係数_乗用_CNG,係数_乗用_軽油,係数_乗用_メタノール,係数_乗用_LPG),125,5,BE1047),4,FALSE)))))</f>
        <v/>
      </c>
      <c r="AL1047" s="461" t="str">
        <f t="shared" si="577"/>
        <v/>
      </c>
      <c r="AM1047" s="460" t="str">
        <f>IF(AU1047="","",IF(OR(AZ1047=8,AZ1047=9),0,IF(OR(AW1047=3,AW1047=4,AW1047=5,AW1047=6),IF(LEFT(BH1047,1)="1",INDEX(係数_PM低減,MATCH(AY1047,【参考】排出係数!$AI$801:$AI$804,1),MATCH(BI1047,【参考】排出係数!$AL$798:$AO$798,1)),VLOOKUP(AU1047,INDEX((係数_バス貨物_ガソリン,係数_バス貨物_CNG,係数_バス貨物_軽油,係数_バス貨物_メタノール,係数_バス貨物_LPG),MATCH(AY1047,【参考】排出係数!$AI$4:$AI$671,1),1,BE1047):INDEX((係数_バス貨物_ガソリン,係数_バス貨物_CNG,係数_バス貨物_軽油,係数_バス貨物_メタノール,係数_バス貨物_LPG),MATCH(AY1047+1,【参考】排出係数!$AI$4:$AI$671,1)-1,5,BE1047),5,FALSE)),IF(AND(BE1047=3,LEFT(BF1047,1)="1"),0.055,VLOOKUP(AU1047,INDEX((係数_乗用_ガソリン,係数_乗用_CNG,係数_乗用_軽油,係数_乗用_メタノール,係数_乗用_LPG),1,1,BE1047):INDEX((係数_乗用_ガソリン,係数_乗用_CNG,係数_乗用_軽油,係数_乗用_メタノール,係数_乗用_LPG),125,5,BE1047),5,FALSE)))))</f>
        <v/>
      </c>
      <c r="AN1047" s="461" t="str">
        <f t="shared" si="578"/>
        <v/>
      </c>
      <c r="AO1047" s="462" t="str">
        <f t="shared" si="579"/>
        <v/>
      </c>
      <c r="AP1047" s="463" t="str">
        <f t="shared" si="580"/>
        <v/>
      </c>
      <c r="AQ1047" s="464"/>
      <c r="AR1047" s="619"/>
      <c r="AS1047" s="465" t="str">
        <f t="shared" si="588"/>
        <v/>
      </c>
      <c r="AT1047" s="465" t="str">
        <f t="shared" si="589"/>
        <v/>
      </c>
      <c r="AU1047" s="466" t="str">
        <f t="shared" si="590"/>
        <v/>
      </c>
      <c r="AV1047" s="467" t="str">
        <f t="shared" si="591"/>
        <v/>
      </c>
      <c r="AW1047" s="467" t="str">
        <f t="shared" si="592"/>
        <v/>
      </c>
      <c r="AX1047" s="467" t="str">
        <f t="shared" si="593"/>
        <v/>
      </c>
      <c r="AY1047" s="467" t="str">
        <f t="shared" si="594"/>
        <v/>
      </c>
      <c r="AZ1047" s="467" t="str">
        <f t="shared" si="595"/>
        <v/>
      </c>
      <c r="BA1047" s="468" t="str">
        <f>IF(AS1047="","",IF(OR(AU1047="",AU1047="-"),"－",IF(OR(AZ1047=8,AZ1047=9),"",IF(OR(AW1047=3,AW1047=4,AW1047=5,AW1047=6),VLOOKUP(AU1047,INDEX((係数_バス貨物_ガソリン,係数_バス貨物_CNG,係数_バス貨物_軽油,係数_バス貨物_メタノール,係数_バス貨物_LPG),MATCH(AY1047,【参考】排出係数!$AI$4:$AI$671,1),1,BE1047):INDEX((係数_バス貨物_ガソリン,係数_バス貨物_CNG,係数_バス貨物_軽油,係数_バス貨物_メタノール,係数_バス貨物_LPG),MATCH(AY1047+1,【参考】排出係数!$AI$4:$AI$671,1)-1,5,BE1047),2,FALSE),IF(OR(AW1047=1,AW1047=2),VLOOKUP(AU1047,INDEX((係数_乗用_ガソリン,係数_乗用_CNG,係数_乗用_軽油,係数_乗用_メタノール,係数_乗用_LPG),1,1,BE1047):INDEX((係数_乗用_ガソリン,係数_乗用_CNG,係数_乗用_軽油,係数_乗用_メタノール,係数_乗用_LPG),125,5,BE1047),2,FALSE))))))</f>
        <v/>
      </c>
      <c r="BB1047" s="468" t="str">
        <f>IF(T1047="","",IF(OR(AU1047="",AU1047="-"),"－",IF(OR(AZ1047=8,AZ1047=9),"",IF(OR(AW1047=3,AW1047=4,AW1047=5,AW1047=6),VLOOKUP(AU1047,INDEX((係数_バス貨物_ガソリン,係数_バス貨物_CNG,係数_バス貨物_軽油,係数_バス貨物_メタノール,係数_バス貨物_LPG),MATCH(AY1047,【参考】排出係数!$AI$4:$AI$671,1),1,BE1047):INDEX((係数_バス貨物_ガソリン,係数_バス貨物_CNG,係数_バス貨物_軽油,係数_バス貨物_メタノール,係数_バス貨物_LPG),MATCH(AY1047+1,【参考】排出係数!$AI$4:$AI$671,1)-1,5,BE1047),3,FALSE),IF(OR(AW1047=1,AW1047=2),VLOOKUP(AU1047,INDEX((係数_乗用_ガソリン,係数_乗用_CNG,係数_乗用_軽油,係数_乗用_メタノール,係数_乗用_LPG),1,1,BE1047):INDEX((係数_乗用_ガソリン,係数_乗用_CNG,係数_乗用_軽油,係数_乗用_メタノール,係数_乗用_LPG),125,5,BE1047),3,FALSE))))))</f>
        <v/>
      </c>
      <c r="BC1047" s="467" t="str">
        <f t="shared" si="596"/>
        <v/>
      </c>
      <c r="BD1047" s="567" t="str">
        <f t="shared" si="597"/>
        <v/>
      </c>
      <c r="BE1047" s="467" t="str">
        <f t="shared" si="598"/>
        <v/>
      </c>
      <c r="BF1047" s="469" t="str">
        <f t="shared" ca="1" si="599"/>
        <v/>
      </c>
      <c r="BG1047" s="469" t="str">
        <f t="shared" ca="1" si="600"/>
        <v/>
      </c>
      <c r="BH1047" s="467" t="str">
        <f t="shared" si="601"/>
        <v/>
      </c>
      <c r="BI1047" s="467" t="str">
        <f t="shared" ca="1" si="602"/>
        <v/>
      </c>
      <c r="BJ1047" s="469" t="str">
        <f t="shared" si="603"/>
        <v/>
      </c>
      <c r="BK1047" s="470" t="str">
        <f t="shared" si="587"/>
        <v/>
      </c>
      <c r="BL1047" s="775" t="str">
        <f t="shared" si="604"/>
        <v/>
      </c>
      <c r="BM1047" s="775" t="str">
        <f t="shared" si="605"/>
        <v/>
      </c>
    </row>
    <row r="1048" spans="1:65">
      <c r="A1048" s="473">
        <v>992</v>
      </c>
      <c r="B1048" s="132"/>
      <c r="C1048" s="332"/>
      <c r="D1048" s="333"/>
      <c r="E1048" s="333"/>
      <c r="F1048" s="334"/>
      <c r="G1048" s="337"/>
      <c r="H1048" s="131"/>
      <c r="I1048" s="337"/>
      <c r="J1048" s="131"/>
      <c r="K1048" s="458" t="str">
        <f t="shared" si="568"/>
        <v/>
      </c>
      <c r="L1048" s="458">
        <f t="shared" si="569"/>
        <v>0</v>
      </c>
      <c r="M1048" s="458">
        <f t="shared" si="570"/>
        <v>0</v>
      </c>
      <c r="N1048" s="459" t="str">
        <f t="shared" si="581"/>
        <v/>
      </c>
      <c r="O1048" s="459" t="str">
        <f t="shared" si="582"/>
        <v/>
      </c>
      <c r="P1048" s="459" t="str">
        <f t="shared" si="583"/>
        <v/>
      </c>
      <c r="Q1048" s="459" t="str">
        <f t="shared" si="584"/>
        <v/>
      </c>
      <c r="R1048" s="459" t="str">
        <f t="shared" si="585"/>
        <v/>
      </c>
      <c r="S1048" s="459" t="str">
        <f t="shared" si="586"/>
        <v/>
      </c>
      <c r="T1048" s="566" t="str">
        <f t="shared" si="571"/>
        <v/>
      </c>
      <c r="U1048" s="702"/>
      <c r="V1048" s="132"/>
      <c r="W1048" s="133"/>
      <c r="X1048" s="134"/>
      <c r="Y1048" s="135"/>
      <c r="Z1048" s="137"/>
      <c r="AA1048" s="136"/>
      <c r="AB1048" s="566" t="str">
        <f t="shared" si="572"/>
        <v/>
      </c>
      <c r="AC1048" s="568" t="str">
        <f t="shared" si="573"/>
        <v/>
      </c>
      <c r="AD1048" s="137"/>
      <c r="AE1048" s="137"/>
      <c r="AF1048" s="138"/>
      <c r="AG1048" s="138"/>
      <c r="AH1048" s="592" t="str">
        <f t="shared" si="574"/>
        <v/>
      </c>
      <c r="AI1048" s="592" t="str">
        <f t="shared" si="575"/>
        <v/>
      </c>
      <c r="AJ1048" s="592" t="str">
        <f t="shared" si="576"/>
        <v/>
      </c>
      <c r="AK1048" s="460" t="str">
        <f>IF(AU1048="","",IF(OR(AZ1048=8,AZ1048=9),0,IF(OR(AW1048=3,AW1048=4,AW1048=5,AW1048=6),IF(LEFT(BF1048,1)="1",INDEX(係数_NOX・PM低減,MATCH(AY1048,【参考】排出係数!$AI$801:$AI$804,1),1),VLOOKUP(AU1048,INDEX((係数_バス貨物_ガソリン,係数_バス貨物_CNG,係数_バス貨物_軽油,係数_バス貨物_メタノール,係数_バス貨物_LPG),MATCH(AY1048,【参考】排出係数!$AI$4:$AI$671,1),1,BE1048):INDEX((係数_バス貨物_ガソリン,係数_バス貨物_CNG,係数_バス貨物_軽油,係数_バス貨物_メタノール,係数_バス貨物_LPG),MATCH(AY1048+1,【参考】排出係数!$AI$4:$AI$671,1)-1,5,BE1048),4,FALSE)),IF(AND(BE1048=3,LEFT(BF1048,1)="1"),0.48,VLOOKUP(AU1048,INDEX((係数_乗用_ガソリン,係数_乗用_CNG,係数_乗用_軽油,係数_乗用_メタノール,係数_乗用_LPG),1,1,BE1048):INDEX((係数_乗用_ガソリン,係数_乗用_CNG,係数_乗用_軽油,係数_乗用_メタノール,係数_乗用_LPG),125,5,BE1048),4,FALSE)))))</f>
        <v/>
      </c>
      <c r="AL1048" s="461" t="str">
        <f t="shared" si="577"/>
        <v/>
      </c>
      <c r="AM1048" s="460" t="str">
        <f>IF(AU1048="","",IF(OR(AZ1048=8,AZ1048=9),0,IF(OR(AW1048=3,AW1048=4,AW1048=5,AW1048=6),IF(LEFT(BH1048,1)="1",INDEX(係数_PM低減,MATCH(AY1048,【参考】排出係数!$AI$801:$AI$804,1),MATCH(BI1048,【参考】排出係数!$AL$798:$AO$798,1)),VLOOKUP(AU1048,INDEX((係数_バス貨物_ガソリン,係数_バス貨物_CNG,係数_バス貨物_軽油,係数_バス貨物_メタノール,係数_バス貨物_LPG),MATCH(AY1048,【参考】排出係数!$AI$4:$AI$671,1),1,BE1048):INDEX((係数_バス貨物_ガソリン,係数_バス貨物_CNG,係数_バス貨物_軽油,係数_バス貨物_メタノール,係数_バス貨物_LPG),MATCH(AY1048+1,【参考】排出係数!$AI$4:$AI$671,1)-1,5,BE1048),5,FALSE)),IF(AND(BE1048=3,LEFT(BF1048,1)="1"),0.055,VLOOKUP(AU1048,INDEX((係数_乗用_ガソリン,係数_乗用_CNG,係数_乗用_軽油,係数_乗用_メタノール,係数_乗用_LPG),1,1,BE1048):INDEX((係数_乗用_ガソリン,係数_乗用_CNG,係数_乗用_軽油,係数_乗用_メタノール,係数_乗用_LPG),125,5,BE1048),5,FALSE)))))</f>
        <v/>
      </c>
      <c r="AN1048" s="461" t="str">
        <f t="shared" si="578"/>
        <v/>
      </c>
      <c r="AO1048" s="462" t="str">
        <f t="shared" si="579"/>
        <v/>
      </c>
      <c r="AP1048" s="463" t="str">
        <f t="shared" si="580"/>
        <v/>
      </c>
      <c r="AQ1048" s="464"/>
      <c r="AR1048" s="619"/>
      <c r="AS1048" s="465" t="str">
        <f t="shared" si="588"/>
        <v/>
      </c>
      <c r="AT1048" s="465" t="str">
        <f t="shared" si="589"/>
        <v/>
      </c>
      <c r="AU1048" s="466" t="str">
        <f t="shared" si="590"/>
        <v/>
      </c>
      <c r="AV1048" s="467" t="str">
        <f t="shared" si="591"/>
        <v/>
      </c>
      <c r="AW1048" s="467" t="str">
        <f t="shared" si="592"/>
        <v/>
      </c>
      <c r="AX1048" s="467" t="str">
        <f t="shared" si="593"/>
        <v/>
      </c>
      <c r="AY1048" s="467" t="str">
        <f t="shared" si="594"/>
        <v/>
      </c>
      <c r="AZ1048" s="467" t="str">
        <f t="shared" si="595"/>
        <v/>
      </c>
      <c r="BA1048" s="468" t="str">
        <f>IF(AS1048="","",IF(OR(AU1048="",AU1048="-"),"－",IF(OR(AZ1048=8,AZ1048=9),"",IF(OR(AW1048=3,AW1048=4,AW1048=5,AW1048=6),VLOOKUP(AU1048,INDEX((係数_バス貨物_ガソリン,係数_バス貨物_CNG,係数_バス貨物_軽油,係数_バス貨物_メタノール,係数_バス貨物_LPG),MATCH(AY1048,【参考】排出係数!$AI$4:$AI$671,1),1,BE1048):INDEX((係数_バス貨物_ガソリン,係数_バス貨物_CNG,係数_バス貨物_軽油,係数_バス貨物_メタノール,係数_バス貨物_LPG),MATCH(AY1048+1,【参考】排出係数!$AI$4:$AI$671,1)-1,5,BE1048),2,FALSE),IF(OR(AW1048=1,AW1048=2),VLOOKUP(AU1048,INDEX((係数_乗用_ガソリン,係数_乗用_CNG,係数_乗用_軽油,係数_乗用_メタノール,係数_乗用_LPG),1,1,BE1048):INDEX((係数_乗用_ガソリン,係数_乗用_CNG,係数_乗用_軽油,係数_乗用_メタノール,係数_乗用_LPG),125,5,BE1048),2,FALSE))))))</f>
        <v/>
      </c>
      <c r="BB1048" s="468" t="str">
        <f>IF(T1048="","",IF(OR(AU1048="",AU1048="-"),"－",IF(OR(AZ1048=8,AZ1048=9),"",IF(OR(AW1048=3,AW1048=4,AW1048=5,AW1048=6),VLOOKUP(AU1048,INDEX((係数_バス貨物_ガソリン,係数_バス貨物_CNG,係数_バス貨物_軽油,係数_バス貨物_メタノール,係数_バス貨物_LPG),MATCH(AY1048,【参考】排出係数!$AI$4:$AI$671,1),1,BE1048):INDEX((係数_バス貨物_ガソリン,係数_バス貨物_CNG,係数_バス貨物_軽油,係数_バス貨物_メタノール,係数_バス貨物_LPG),MATCH(AY1048+1,【参考】排出係数!$AI$4:$AI$671,1)-1,5,BE1048),3,FALSE),IF(OR(AW1048=1,AW1048=2),VLOOKUP(AU1048,INDEX((係数_乗用_ガソリン,係数_乗用_CNG,係数_乗用_軽油,係数_乗用_メタノール,係数_乗用_LPG),1,1,BE1048):INDEX((係数_乗用_ガソリン,係数_乗用_CNG,係数_乗用_軽油,係数_乗用_メタノール,係数_乗用_LPG),125,5,BE1048),3,FALSE))))))</f>
        <v/>
      </c>
      <c r="BC1048" s="467" t="str">
        <f t="shared" si="596"/>
        <v/>
      </c>
      <c r="BD1048" s="567" t="str">
        <f t="shared" si="597"/>
        <v/>
      </c>
      <c r="BE1048" s="467" t="str">
        <f t="shared" si="598"/>
        <v/>
      </c>
      <c r="BF1048" s="469" t="str">
        <f t="shared" ca="1" si="599"/>
        <v/>
      </c>
      <c r="BG1048" s="469" t="str">
        <f t="shared" ca="1" si="600"/>
        <v/>
      </c>
      <c r="BH1048" s="467" t="str">
        <f t="shared" si="601"/>
        <v/>
      </c>
      <c r="BI1048" s="467" t="str">
        <f t="shared" ca="1" si="602"/>
        <v/>
      </c>
      <c r="BJ1048" s="469" t="str">
        <f t="shared" si="603"/>
        <v/>
      </c>
      <c r="BK1048" s="470" t="str">
        <f t="shared" si="587"/>
        <v/>
      </c>
      <c r="BL1048" s="775" t="str">
        <f t="shared" si="604"/>
        <v/>
      </c>
      <c r="BM1048" s="775" t="str">
        <f t="shared" si="605"/>
        <v/>
      </c>
    </row>
    <row r="1049" spans="1:65">
      <c r="A1049" s="473">
        <v>993</v>
      </c>
      <c r="B1049" s="132"/>
      <c r="C1049" s="332"/>
      <c r="D1049" s="333"/>
      <c r="E1049" s="333"/>
      <c r="F1049" s="334"/>
      <c r="G1049" s="337"/>
      <c r="H1049" s="131"/>
      <c r="I1049" s="337"/>
      <c r="J1049" s="131"/>
      <c r="K1049" s="458" t="str">
        <f t="shared" si="568"/>
        <v/>
      </c>
      <c r="L1049" s="458">
        <f t="shared" si="569"/>
        <v>0</v>
      </c>
      <c r="M1049" s="458">
        <f t="shared" si="570"/>
        <v>0</v>
      </c>
      <c r="N1049" s="459" t="str">
        <f t="shared" si="581"/>
        <v/>
      </c>
      <c r="O1049" s="459" t="str">
        <f t="shared" si="582"/>
        <v/>
      </c>
      <c r="P1049" s="459" t="str">
        <f t="shared" si="583"/>
        <v/>
      </c>
      <c r="Q1049" s="459" t="str">
        <f t="shared" si="584"/>
        <v/>
      </c>
      <c r="R1049" s="459" t="str">
        <f t="shared" si="585"/>
        <v/>
      </c>
      <c r="S1049" s="459" t="str">
        <f t="shared" si="586"/>
        <v/>
      </c>
      <c r="T1049" s="566" t="str">
        <f t="shared" si="571"/>
        <v/>
      </c>
      <c r="U1049" s="702"/>
      <c r="V1049" s="132"/>
      <c r="W1049" s="133"/>
      <c r="X1049" s="134"/>
      <c r="Y1049" s="135"/>
      <c r="Z1049" s="137"/>
      <c r="AA1049" s="136"/>
      <c r="AB1049" s="566" t="str">
        <f t="shared" si="572"/>
        <v/>
      </c>
      <c r="AC1049" s="568" t="str">
        <f t="shared" si="573"/>
        <v/>
      </c>
      <c r="AD1049" s="137"/>
      <c r="AE1049" s="137"/>
      <c r="AF1049" s="138"/>
      <c r="AG1049" s="138"/>
      <c r="AH1049" s="592" t="str">
        <f t="shared" si="574"/>
        <v/>
      </c>
      <c r="AI1049" s="592" t="str">
        <f t="shared" si="575"/>
        <v/>
      </c>
      <c r="AJ1049" s="592" t="str">
        <f t="shared" si="576"/>
        <v/>
      </c>
      <c r="AK1049" s="460" t="str">
        <f>IF(AU1049="","",IF(OR(AZ1049=8,AZ1049=9),0,IF(OR(AW1049=3,AW1049=4,AW1049=5,AW1049=6),IF(LEFT(BF1049,1)="1",INDEX(係数_NOX・PM低減,MATCH(AY1049,【参考】排出係数!$AI$801:$AI$804,1),1),VLOOKUP(AU1049,INDEX((係数_バス貨物_ガソリン,係数_バス貨物_CNG,係数_バス貨物_軽油,係数_バス貨物_メタノール,係数_バス貨物_LPG),MATCH(AY1049,【参考】排出係数!$AI$4:$AI$671,1),1,BE1049):INDEX((係数_バス貨物_ガソリン,係数_バス貨物_CNG,係数_バス貨物_軽油,係数_バス貨物_メタノール,係数_バス貨物_LPG),MATCH(AY1049+1,【参考】排出係数!$AI$4:$AI$671,1)-1,5,BE1049),4,FALSE)),IF(AND(BE1049=3,LEFT(BF1049,1)="1"),0.48,VLOOKUP(AU1049,INDEX((係数_乗用_ガソリン,係数_乗用_CNG,係数_乗用_軽油,係数_乗用_メタノール,係数_乗用_LPG),1,1,BE1049):INDEX((係数_乗用_ガソリン,係数_乗用_CNG,係数_乗用_軽油,係数_乗用_メタノール,係数_乗用_LPG),125,5,BE1049),4,FALSE)))))</f>
        <v/>
      </c>
      <c r="AL1049" s="461" t="str">
        <f t="shared" si="577"/>
        <v/>
      </c>
      <c r="AM1049" s="460" t="str">
        <f>IF(AU1049="","",IF(OR(AZ1049=8,AZ1049=9),0,IF(OR(AW1049=3,AW1049=4,AW1049=5,AW1049=6),IF(LEFT(BH1049,1)="1",INDEX(係数_PM低減,MATCH(AY1049,【参考】排出係数!$AI$801:$AI$804,1),MATCH(BI1049,【参考】排出係数!$AL$798:$AO$798,1)),VLOOKUP(AU1049,INDEX((係数_バス貨物_ガソリン,係数_バス貨物_CNG,係数_バス貨物_軽油,係数_バス貨物_メタノール,係数_バス貨物_LPG),MATCH(AY1049,【参考】排出係数!$AI$4:$AI$671,1),1,BE1049):INDEX((係数_バス貨物_ガソリン,係数_バス貨物_CNG,係数_バス貨物_軽油,係数_バス貨物_メタノール,係数_バス貨物_LPG),MATCH(AY1049+1,【参考】排出係数!$AI$4:$AI$671,1)-1,5,BE1049),5,FALSE)),IF(AND(BE1049=3,LEFT(BF1049,1)="1"),0.055,VLOOKUP(AU1049,INDEX((係数_乗用_ガソリン,係数_乗用_CNG,係数_乗用_軽油,係数_乗用_メタノール,係数_乗用_LPG),1,1,BE1049):INDEX((係数_乗用_ガソリン,係数_乗用_CNG,係数_乗用_軽油,係数_乗用_メタノール,係数_乗用_LPG),125,5,BE1049),5,FALSE)))))</f>
        <v/>
      </c>
      <c r="AN1049" s="461" t="str">
        <f t="shared" si="578"/>
        <v/>
      </c>
      <c r="AO1049" s="462" t="str">
        <f t="shared" si="579"/>
        <v/>
      </c>
      <c r="AP1049" s="463" t="str">
        <f t="shared" si="580"/>
        <v/>
      </c>
      <c r="AQ1049" s="464"/>
      <c r="AR1049" s="619"/>
      <c r="AS1049" s="465" t="str">
        <f t="shared" si="588"/>
        <v/>
      </c>
      <c r="AT1049" s="465" t="str">
        <f t="shared" si="589"/>
        <v/>
      </c>
      <c r="AU1049" s="466" t="str">
        <f t="shared" si="590"/>
        <v/>
      </c>
      <c r="AV1049" s="467" t="str">
        <f t="shared" si="591"/>
        <v/>
      </c>
      <c r="AW1049" s="467" t="str">
        <f t="shared" si="592"/>
        <v/>
      </c>
      <c r="AX1049" s="467" t="str">
        <f t="shared" si="593"/>
        <v/>
      </c>
      <c r="AY1049" s="467" t="str">
        <f t="shared" si="594"/>
        <v/>
      </c>
      <c r="AZ1049" s="467" t="str">
        <f t="shared" si="595"/>
        <v/>
      </c>
      <c r="BA1049" s="468" t="str">
        <f>IF(AS1049="","",IF(OR(AU1049="",AU1049="-"),"－",IF(OR(AZ1049=8,AZ1049=9),"",IF(OR(AW1049=3,AW1049=4,AW1049=5,AW1049=6),VLOOKUP(AU1049,INDEX((係数_バス貨物_ガソリン,係数_バス貨物_CNG,係数_バス貨物_軽油,係数_バス貨物_メタノール,係数_バス貨物_LPG),MATCH(AY1049,【参考】排出係数!$AI$4:$AI$671,1),1,BE1049):INDEX((係数_バス貨物_ガソリン,係数_バス貨物_CNG,係数_バス貨物_軽油,係数_バス貨物_メタノール,係数_バス貨物_LPG),MATCH(AY1049+1,【参考】排出係数!$AI$4:$AI$671,1)-1,5,BE1049),2,FALSE),IF(OR(AW1049=1,AW1049=2),VLOOKUP(AU1049,INDEX((係数_乗用_ガソリン,係数_乗用_CNG,係数_乗用_軽油,係数_乗用_メタノール,係数_乗用_LPG),1,1,BE1049):INDEX((係数_乗用_ガソリン,係数_乗用_CNG,係数_乗用_軽油,係数_乗用_メタノール,係数_乗用_LPG),125,5,BE1049),2,FALSE))))))</f>
        <v/>
      </c>
      <c r="BB1049" s="468" t="str">
        <f>IF(T1049="","",IF(OR(AU1049="",AU1049="-"),"－",IF(OR(AZ1049=8,AZ1049=9),"",IF(OR(AW1049=3,AW1049=4,AW1049=5,AW1049=6),VLOOKUP(AU1049,INDEX((係数_バス貨物_ガソリン,係数_バス貨物_CNG,係数_バス貨物_軽油,係数_バス貨物_メタノール,係数_バス貨物_LPG),MATCH(AY1049,【参考】排出係数!$AI$4:$AI$671,1),1,BE1049):INDEX((係数_バス貨物_ガソリン,係数_バス貨物_CNG,係数_バス貨物_軽油,係数_バス貨物_メタノール,係数_バス貨物_LPG),MATCH(AY1049+1,【参考】排出係数!$AI$4:$AI$671,1)-1,5,BE1049),3,FALSE),IF(OR(AW1049=1,AW1049=2),VLOOKUP(AU1049,INDEX((係数_乗用_ガソリン,係数_乗用_CNG,係数_乗用_軽油,係数_乗用_メタノール,係数_乗用_LPG),1,1,BE1049):INDEX((係数_乗用_ガソリン,係数_乗用_CNG,係数_乗用_軽油,係数_乗用_メタノール,係数_乗用_LPG),125,5,BE1049),3,FALSE))))))</f>
        <v/>
      </c>
      <c r="BC1049" s="467" t="str">
        <f t="shared" si="596"/>
        <v/>
      </c>
      <c r="BD1049" s="567" t="str">
        <f t="shared" si="597"/>
        <v/>
      </c>
      <c r="BE1049" s="467" t="str">
        <f t="shared" si="598"/>
        <v/>
      </c>
      <c r="BF1049" s="469" t="str">
        <f t="shared" ca="1" si="599"/>
        <v/>
      </c>
      <c r="BG1049" s="469" t="str">
        <f t="shared" ca="1" si="600"/>
        <v/>
      </c>
      <c r="BH1049" s="467" t="str">
        <f t="shared" si="601"/>
        <v/>
      </c>
      <c r="BI1049" s="467" t="str">
        <f t="shared" ca="1" si="602"/>
        <v/>
      </c>
      <c r="BJ1049" s="469" t="str">
        <f t="shared" si="603"/>
        <v/>
      </c>
      <c r="BK1049" s="470" t="str">
        <f t="shared" si="587"/>
        <v/>
      </c>
      <c r="BL1049" s="775" t="str">
        <f t="shared" si="604"/>
        <v/>
      </c>
      <c r="BM1049" s="775" t="str">
        <f t="shared" si="605"/>
        <v/>
      </c>
    </row>
    <row r="1050" spans="1:65">
      <c r="A1050" s="473">
        <v>994</v>
      </c>
      <c r="B1050" s="132"/>
      <c r="C1050" s="332"/>
      <c r="D1050" s="333"/>
      <c r="E1050" s="333"/>
      <c r="F1050" s="334"/>
      <c r="G1050" s="337"/>
      <c r="H1050" s="131"/>
      <c r="I1050" s="337"/>
      <c r="J1050" s="131"/>
      <c r="K1050" s="458" t="str">
        <f t="shared" si="568"/>
        <v/>
      </c>
      <c r="L1050" s="458">
        <f t="shared" si="569"/>
        <v>0</v>
      </c>
      <c r="M1050" s="458">
        <f t="shared" si="570"/>
        <v>0</v>
      </c>
      <c r="N1050" s="459" t="str">
        <f t="shared" si="581"/>
        <v/>
      </c>
      <c r="O1050" s="459" t="str">
        <f t="shared" si="582"/>
        <v/>
      </c>
      <c r="P1050" s="459" t="str">
        <f t="shared" si="583"/>
        <v/>
      </c>
      <c r="Q1050" s="459" t="str">
        <f t="shared" si="584"/>
        <v/>
      </c>
      <c r="R1050" s="459" t="str">
        <f t="shared" si="585"/>
        <v/>
      </c>
      <c r="S1050" s="459" t="str">
        <f t="shared" si="586"/>
        <v/>
      </c>
      <c r="T1050" s="566" t="str">
        <f t="shared" si="571"/>
        <v/>
      </c>
      <c r="U1050" s="702"/>
      <c r="V1050" s="132"/>
      <c r="W1050" s="133"/>
      <c r="X1050" s="134"/>
      <c r="Y1050" s="135"/>
      <c r="Z1050" s="137"/>
      <c r="AA1050" s="136"/>
      <c r="AB1050" s="566" t="str">
        <f t="shared" si="572"/>
        <v/>
      </c>
      <c r="AC1050" s="568" t="str">
        <f t="shared" si="573"/>
        <v/>
      </c>
      <c r="AD1050" s="137"/>
      <c r="AE1050" s="137"/>
      <c r="AF1050" s="138"/>
      <c r="AG1050" s="138"/>
      <c r="AH1050" s="592" t="str">
        <f t="shared" si="574"/>
        <v/>
      </c>
      <c r="AI1050" s="592" t="str">
        <f t="shared" si="575"/>
        <v/>
      </c>
      <c r="AJ1050" s="592" t="str">
        <f t="shared" si="576"/>
        <v/>
      </c>
      <c r="AK1050" s="460" t="str">
        <f>IF(AU1050="","",IF(OR(AZ1050=8,AZ1050=9),0,IF(OR(AW1050=3,AW1050=4,AW1050=5,AW1050=6),IF(LEFT(BF1050,1)="1",INDEX(係数_NOX・PM低減,MATCH(AY1050,【参考】排出係数!$AI$801:$AI$804,1),1),VLOOKUP(AU1050,INDEX((係数_バス貨物_ガソリン,係数_バス貨物_CNG,係数_バス貨物_軽油,係数_バス貨物_メタノール,係数_バス貨物_LPG),MATCH(AY1050,【参考】排出係数!$AI$4:$AI$671,1),1,BE1050):INDEX((係数_バス貨物_ガソリン,係数_バス貨物_CNG,係数_バス貨物_軽油,係数_バス貨物_メタノール,係数_バス貨物_LPG),MATCH(AY1050+1,【参考】排出係数!$AI$4:$AI$671,1)-1,5,BE1050),4,FALSE)),IF(AND(BE1050=3,LEFT(BF1050,1)="1"),0.48,VLOOKUP(AU1050,INDEX((係数_乗用_ガソリン,係数_乗用_CNG,係数_乗用_軽油,係数_乗用_メタノール,係数_乗用_LPG),1,1,BE1050):INDEX((係数_乗用_ガソリン,係数_乗用_CNG,係数_乗用_軽油,係数_乗用_メタノール,係数_乗用_LPG),125,5,BE1050),4,FALSE)))))</f>
        <v/>
      </c>
      <c r="AL1050" s="461" t="str">
        <f t="shared" si="577"/>
        <v/>
      </c>
      <c r="AM1050" s="460" t="str">
        <f>IF(AU1050="","",IF(OR(AZ1050=8,AZ1050=9),0,IF(OR(AW1050=3,AW1050=4,AW1050=5,AW1050=6),IF(LEFT(BH1050,1)="1",INDEX(係数_PM低減,MATCH(AY1050,【参考】排出係数!$AI$801:$AI$804,1),MATCH(BI1050,【参考】排出係数!$AL$798:$AO$798,1)),VLOOKUP(AU1050,INDEX((係数_バス貨物_ガソリン,係数_バス貨物_CNG,係数_バス貨物_軽油,係数_バス貨物_メタノール,係数_バス貨物_LPG),MATCH(AY1050,【参考】排出係数!$AI$4:$AI$671,1),1,BE1050):INDEX((係数_バス貨物_ガソリン,係数_バス貨物_CNG,係数_バス貨物_軽油,係数_バス貨物_メタノール,係数_バス貨物_LPG),MATCH(AY1050+1,【参考】排出係数!$AI$4:$AI$671,1)-1,5,BE1050),5,FALSE)),IF(AND(BE1050=3,LEFT(BF1050,1)="1"),0.055,VLOOKUP(AU1050,INDEX((係数_乗用_ガソリン,係数_乗用_CNG,係数_乗用_軽油,係数_乗用_メタノール,係数_乗用_LPG),1,1,BE1050):INDEX((係数_乗用_ガソリン,係数_乗用_CNG,係数_乗用_軽油,係数_乗用_メタノール,係数_乗用_LPG),125,5,BE1050),5,FALSE)))))</f>
        <v/>
      </c>
      <c r="AN1050" s="461" t="str">
        <f t="shared" si="578"/>
        <v/>
      </c>
      <c r="AO1050" s="462" t="str">
        <f t="shared" si="579"/>
        <v/>
      </c>
      <c r="AP1050" s="463" t="str">
        <f t="shared" si="580"/>
        <v/>
      </c>
      <c r="AQ1050" s="464"/>
      <c r="AR1050" s="619"/>
      <c r="AS1050" s="465" t="str">
        <f t="shared" si="588"/>
        <v/>
      </c>
      <c r="AT1050" s="465" t="str">
        <f t="shared" si="589"/>
        <v/>
      </c>
      <c r="AU1050" s="466" t="str">
        <f t="shared" si="590"/>
        <v/>
      </c>
      <c r="AV1050" s="467" t="str">
        <f t="shared" si="591"/>
        <v/>
      </c>
      <c r="AW1050" s="467" t="str">
        <f t="shared" si="592"/>
        <v/>
      </c>
      <c r="AX1050" s="467" t="str">
        <f t="shared" si="593"/>
        <v/>
      </c>
      <c r="AY1050" s="467" t="str">
        <f t="shared" si="594"/>
        <v/>
      </c>
      <c r="AZ1050" s="467" t="str">
        <f t="shared" si="595"/>
        <v/>
      </c>
      <c r="BA1050" s="468" t="str">
        <f>IF(AS1050="","",IF(OR(AU1050="",AU1050="-"),"－",IF(OR(AZ1050=8,AZ1050=9),"",IF(OR(AW1050=3,AW1050=4,AW1050=5,AW1050=6),VLOOKUP(AU1050,INDEX((係数_バス貨物_ガソリン,係数_バス貨物_CNG,係数_バス貨物_軽油,係数_バス貨物_メタノール,係数_バス貨物_LPG),MATCH(AY1050,【参考】排出係数!$AI$4:$AI$671,1),1,BE1050):INDEX((係数_バス貨物_ガソリン,係数_バス貨物_CNG,係数_バス貨物_軽油,係数_バス貨物_メタノール,係数_バス貨物_LPG),MATCH(AY1050+1,【参考】排出係数!$AI$4:$AI$671,1)-1,5,BE1050),2,FALSE),IF(OR(AW1050=1,AW1050=2),VLOOKUP(AU1050,INDEX((係数_乗用_ガソリン,係数_乗用_CNG,係数_乗用_軽油,係数_乗用_メタノール,係数_乗用_LPG),1,1,BE1050):INDEX((係数_乗用_ガソリン,係数_乗用_CNG,係数_乗用_軽油,係数_乗用_メタノール,係数_乗用_LPG),125,5,BE1050),2,FALSE))))))</f>
        <v/>
      </c>
      <c r="BB1050" s="468" t="str">
        <f>IF(T1050="","",IF(OR(AU1050="",AU1050="-"),"－",IF(OR(AZ1050=8,AZ1050=9),"",IF(OR(AW1050=3,AW1050=4,AW1050=5,AW1050=6),VLOOKUP(AU1050,INDEX((係数_バス貨物_ガソリン,係数_バス貨物_CNG,係数_バス貨物_軽油,係数_バス貨物_メタノール,係数_バス貨物_LPG),MATCH(AY1050,【参考】排出係数!$AI$4:$AI$671,1),1,BE1050):INDEX((係数_バス貨物_ガソリン,係数_バス貨物_CNG,係数_バス貨物_軽油,係数_バス貨物_メタノール,係数_バス貨物_LPG),MATCH(AY1050+1,【参考】排出係数!$AI$4:$AI$671,1)-1,5,BE1050),3,FALSE),IF(OR(AW1050=1,AW1050=2),VLOOKUP(AU1050,INDEX((係数_乗用_ガソリン,係数_乗用_CNG,係数_乗用_軽油,係数_乗用_メタノール,係数_乗用_LPG),1,1,BE1050):INDEX((係数_乗用_ガソリン,係数_乗用_CNG,係数_乗用_軽油,係数_乗用_メタノール,係数_乗用_LPG),125,5,BE1050),3,FALSE))))))</f>
        <v/>
      </c>
      <c r="BC1050" s="467" t="str">
        <f t="shared" si="596"/>
        <v/>
      </c>
      <c r="BD1050" s="567" t="str">
        <f t="shared" si="597"/>
        <v/>
      </c>
      <c r="BE1050" s="467" t="str">
        <f t="shared" si="598"/>
        <v/>
      </c>
      <c r="BF1050" s="469" t="str">
        <f t="shared" ca="1" si="599"/>
        <v/>
      </c>
      <c r="BG1050" s="469" t="str">
        <f t="shared" ca="1" si="600"/>
        <v/>
      </c>
      <c r="BH1050" s="467" t="str">
        <f t="shared" si="601"/>
        <v/>
      </c>
      <c r="BI1050" s="467" t="str">
        <f t="shared" ca="1" si="602"/>
        <v/>
      </c>
      <c r="BJ1050" s="469" t="str">
        <f t="shared" si="603"/>
        <v/>
      </c>
      <c r="BK1050" s="470" t="str">
        <f t="shared" si="587"/>
        <v/>
      </c>
      <c r="BL1050" s="775" t="str">
        <f t="shared" si="604"/>
        <v/>
      </c>
      <c r="BM1050" s="775" t="str">
        <f t="shared" si="605"/>
        <v/>
      </c>
    </row>
    <row r="1051" spans="1:65">
      <c r="A1051" s="473">
        <v>995</v>
      </c>
      <c r="B1051" s="132"/>
      <c r="C1051" s="332"/>
      <c r="D1051" s="333"/>
      <c r="E1051" s="333"/>
      <c r="F1051" s="334"/>
      <c r="G1051" s="337"/>
      <c r="H1051" s="131"/>
      <c r="I1051" s="337"/>
      <c r="J1051" s="131"/>
      <c r="K1051" s="458" t="str">
        <f t="shared" si="568"/>
        <v/>
      </c>
      <c r="L1051" s="458">
        <f t="shared" si="569"/>
        <v>0</v>
      </c>
      <c r="M1051" s="458">
        <f t="shared" si="570"/>
        <v>0</v>
      </c>
      <c r="N1051" s="459" t="str">
        <f t="shared" si="581"/>
        <v/>
      </c>
      <c r="O1051" s="459" t="str">
        <f t="shared" si="582"/>
        <v/>
      </c>
      <c r="P1051" s="459" t="str">
        <f t="shared" si="583"/>
        <v/>
      </c>
      <c r="Q1051" s="459" t="str">
        <f t="shared" si="584"/>
        <v/>
      </c>
      <c r="R1051" s="459" t="str">
        <f t="shared" si="585"/>
        <v/>
      </c>
      <c r="S1051" s="459" t="str">
        <f t="shared" si="586"/>
        <v/>
      </c>
      <c r="T1051" s="566" t="str">
        <f t="shared" si="571"/>
        <v/>
      </c>
      <c r="U1051" s="702"/>
      <c r="V1051" s="132"/>
      <c r="W1051" s="133"/>
      <c r="X1051" s="134"/>
      <c r="Y1051" s="135"/>
      <c r="Z1051" s="137"/>
      <c r="AA1051" s="136"/>
      <c r="AB1051" s="566" t="str">
        <f t="shared" si="572"/>
        <v/>
      </c>
      <c r="AC1051" s="568" t="str">
        <f t="shared" si="573"/>
        <v/>
      </c>
      <c r="AD1051" s="137"/>
      <c r="AE1051" s="137"/>
      <c r="AF1051" s="138"/>
      <c r="AG1051" s="138"/>
      <c r="AH1051" s="592" t="str">
        <f t="shared" si="574"/>
        <v/>
      </c>
      <c r="AI1051" s="592" t="str">
        <f t="shared" si="575"/>
        <v/>
      </c>
      <c r="AJ1051" s="592" t="str">
        <f t="shared" si="576"/>
        <v/>
      </c>
      <c r="AK1051" s="460" t="str">
        <f>IF(AU1051="","",IF(OR(AZ1051=8,AZ1051=9),0,IF(OR(AW1051=3,AW1051=4,AW1051=5,AW1051=6),IF(LEFT(BF1051,1)="1",INDEX(係数_NOX・PM低減,MATCH(AY1051,【参考】排出係数!$AI$801:$AI$804,1),1),VLOOKUP(AU1051,INDEX((係数_バス貨物_ガソリン,係数_バス貨物_CNG,係数_バス貨物_軽油,係数_バス貨物_メタノール,係数_バス貨物_LPG),MATCH(AY1051,【参考】排出係数!$AI$4:$AI$671,1),1,BE1051):INDEX((係数_バス貨物_ガソリン,係数_バス貨物_CNG,係数_バス貨物_軽油,係数_バス貨物_メタノール,係数_バス貨物_LPG),MATCH(AY1051+1,【参考】排出係数!$AI$4:$AI$671,1)-1,5,BE1051),4,FALSE)),IF(AND(BE1051=3,LEFT(BF1051,1)="1"),0.48,VLOOKUP(AU1051,INDEX((係数_乗用_ガソリン,係数_乗用_CNG,係数_乗用_軽油,係数_乗用_メタノール,係数_乗用_LPG),1,1,BE1051):INDEX((係数_乗用_ガソリン,係数_乗用_CNG,係数_乗用_軽油,係数_乗用_メタノール,係数_乗用_LPG),125,5,BE1051),4,FALSE)))))</f>
        <v/>
      </c>
      <c r="AL1051" s="461" t="str">
        <f t="shared" si="577"/>
        <v/>
      </c>
      <c r="AM1051" s="460" t="str">
        <f>IF(AU1051="","",IF(OR(AZ1051=8,AZ1051=9),0,IF(OR(AW1051=3,AW1051=4,AW1051=5,AW1051=6),IF(LEFT(BH1051,1)="1",INDEX(係数_PM低減,MATCH(AY1051,【参考】排出係数!$AI$801:$AI$804,1),MATCH(BI1051,【参考】排出係数!$AL$798:$AO$798,1)),VLOOKUP(AU1051,INDEX((係数_バス貨物_ガソリン,係数_バス貨物_CNG,係数_バス貨物_軽油,係数_バス貨物_メタノール,係数_バス貨物_LPG),MATCH(AY1051,【参考】排出係数!$AI$4:$AI$671,1),1,BE1051):INDEX((係数_バス貨物_ガソリン,係数_バス貨物_CNG,係数_バス貨物_軽油,係数_バス貨物_メタノール,係数_バス貨物_LPG),MATCH(AY1051+1,【参考】排出係数!$AI$4:$AI$671,1)-1,5,BE1051),5,FALSE)),IF(AND(BE1051=3,LEFT(BF1051,1)="1"),0.055,VLOOKUP(AU1051,INDEX((係数_乗用_ガソリン,係数_乗用_CNG,係数_乗用_軽油,係数_乗用_メタノール,係数_乗用_LPG),1,1,BE1051):INDEX((係数_乗用_ガソリン,係数_乗用_CNG,係数_乗用_軽油,係数_乗用_メタノール,係数_乗用_LPG),125,5,BE1051),5,FALSE)))))</f>
        <v/>
      </c>
      <c r="AN1051" s="461" t="str">
        <f t="shared" si="578"/>
        <v/>
      </c>
      <c r="AO1051" s="462" t="str">
        <f t="shared" si="579"/>
        <v/>
      </c>
      <c r="AP1051" s="463" t="str">
        <f t="shared" si="580"/>
        <v/>
      </c>
      <c r="AQ1051" s="464"/>
      <c r="AR1051" s="619"/>
      <c r="AS1051" s="465" t="str">
        <f t="shared" si="588"/>
        <v/>
      </c>
      <c r="AT1051" s="465" t="str">
        <f t="shared" si="589"/>
        <v/>
      </c>
      <c r="AU1051" s="466" t="str">
        <f t="shared" si="590"/>
        <v/>
      </c>
      <c r="AV1051" s="467" t="str">
        <f t="shared" si="591"/>
        <v/>
      </c>
      <c r="AW1051" s="467" t="str">
        <f t="shared" si="592"/>
        <v/>
      </c>
      <c r="AX1051" s="467" t="str">
        <f t="shared" si="593"/>
        <v/>
      </c>
      <c r="AY1051" s="467" t="str">
        <f t="shared" si="594"/>
        <v/>
      </c>
      <c r="AZ1051" s="467" t="str">
        <f t="shared" si="595"/>
        <v/>
      </c>
      <c r="BA1051" s="468" t="str">
        <f>IF(AS1051="","",IF(OR(AU1051="",AU1051="-"),"－",IF(OR(AZ1051=8,AZ1051=9),"",IF(OR(AW1051=3,AW1051=4,AW1051=5,AW1051=6),VLOOKUP(AU1051,INDEX((係数_バス貨物_ガソリン,係数_バス貨物_CNG,係数_バス貨物_軽油,係数_バス貨物_メタノール,係数_バス貨物_LPG),MATCH(AY1051,【参考】排出係数!$AI$4:$AI$671,1),1,BE1051):INDEX((係数_バス貨物_ガソリン,係数_バス貨物_CNG,係数_バス貨物_軽油,係数_バス貨物_メタノール,係数_バス貨物_LPG),MATCH(AY1051+1,【参考】排出係数!$AI$4:$AI$671,1)-1,5,BE1051),2,FALSE),IF(OR(AW1051=1,AW1051=2),VLOOKUP(AU1051,INDEX((係数_乗用_ガソリン,係数_乗用_CNG,係数_乗用_軽油,係数_乗用_メタノール,係数_乗用_LPG),1,1,BE1051):INDEX((係数_乗用_ガソリン,係数_乗用_CNG,係数_乗用_軽油,係数_乗用_メタノール,係数_乗用_LPG),125,5,BE1051),2,FALSE))))))</f>
        <v/>
      </c>
      <c r="BB1051" s="468" t="str">
        <f>IF(T1051="","",IF(OR(AU1051="",AU1051="-"),"－",IF(OR(AZ1051=8,AZ1051=9),"",IF(OR(AW1051=3,AW1051=4,AW1051=5,AW1051=6),VLOOKUP(AU1051,INDEX((係数_バス貨物_ガソリン,係数_バス貨物_CNG,係数_バス貨物_軽油,係数_バス貨物_メタノール,係数_バス貨物_LPG),MATCH(AY1051,【参考】排出係数!$AI$4:$AI$671,1),1,BE1051):INDEX((係数_バス貨物_ガソリン,係数_バス貨物_CNG,係数_バス貨物_軽油,係数_バス貨物_メタノール,係数_バス貨物_LPG),MATCH(AY1051+1,【参考】排出係数!$AI$4:$AI$671,1)-1,5,BE1051),3,FALSE),IF(OR(AW1051=1,AW1051=2),VLOOKUP(AU1051,INDEX((係数_乗用_ガソリン,係数_乗用_CNG,係数_乗用_軽油,係数_乗用_メタノール,係数_乗用_LPG),1,1,BE1051):INDEX((係数_乗用_ガソリン,係数_乗用_CNG,係数_乗用_軽油,係数_乗用_メタノール,係数_乗用_LPG),125,5,BE1051),3,FALSE))))))</f>
        <v/>
      </c>
      <c r="BC1051" s="467" t="str">
        <f t="shared" si="596"/>
        <v/>
      </c>
      <c r="BD1051" s="567" t="str">
        <f t="shared" si="597"/>
        <v/>
      </c>
      <c r="BE1051" s="467" t="str">
        <f t="shared" si="598"/>
        <v/>
      </c>
      <c r="BF1051" s="469" t="str">
        <f t="shared" ca="1" si="599"/>
        <v/>
      </c>
      <c r="BG1051" s="469" t="str">
        <f t="shared" ca="1" si="600"/>
        <v/>
      </c>
      <c r="BH1051" s="467" t="str">
        <f t="shared" si="601"/>
        <v/>
      </c>
      <c r="BI1051" s="467" t="str">
        <f t="shared" ca="1" si="602"/>
        <v/>
      </c>
      <c r="BJ1051" s="469" t="str">
        <f t="shared" si="603"/>
        <v/>
      </c>
      <c r="BK1051" s="470" t="str">
        <f t="shared" si="587"/>
        <v/>
      </c>
      <c r="BL1051" s="775" t="str">
        <f t="shared" si="604"/>
        <v/>
      </c>
      <c r="BM1051" s="775" t="str">
        <f t="shared" si="605"/>
        <v/>
      </c>
    </row>
    <row r="1052" spans="1:65">
      <c r="A1052" s="473">
        <v>996</v>
      </c>
      <c r="B1052" s="132"/>
      <c r="C1052" s="332"/>
      <c r="D1052" s="333"/>
      <c r="E1052" s="333"/>
      <c r="F1052" s="334"/>
      <c r="G1052" s="337"/>
      <c r="H1052" s="131"/>
      <c r="I1052" s="337"/>
      <c r="J1052" s="131"/>
      <c r="K1052" s="458" t="str">
        <f t="shared" si="568"/>
        <v/>
      </c>
      <c r="L1052" s="458">
        <f t="shared" si="569"/>
        <v>0</v>
      </c>
      <c r="M1052" s="458">
        <f t="shared" si="570"/>
        <v>0</v>
      </c>
      <c r="N1052" s="459" t="str">
        <f t="shared" si="581"/>
        <v/>
      </c>
      <c r="O1052" s="459" t="str">
        <f t="shared" si="582"/>
        <v/>
      </c>
      <c r="P1052" s="459" t="str">
        <f t="shared" si="583"/>
        <v/>
      </c>
      <c r="Q1052" s="459" t="str">
        <f t="shared" si="584"/>
        <v/>
      </c>
      <c r="R1052" s="459" t="str">
        <f t="shared" si="585"/>
        <v/>
      </c>
      <c r="S1052" s="459" t="str">
        <f t="shared" si="586"/>
        <v/>
      </c>
      <c r="T1052" s="566" t="str">
        <f t="shared" si="571"/>
        <v/>
      </c>
      <c r="U1052" s="702"/>
      <c r="V1052" s="132"/>
      <c r="W1052" s="133"/>
      <c r="X1052" s="134"/>
      <c r="Y1052" s="135"/>
      <c r="Z1052" s="137"/>
      <c r="AA1052" s="136"/>
      <c r="AB1052" s="566" t="str">
        <f t="shared" si="572"/>
        <v/>
      </c>
      <c r="AC1052" s="568" t="str">
        <f t="shared" si="573"/>
        <v/>
      </c>
      <c r="AD1052" s="137"/>
      <c r="AE1052" s="137"/>
      <c r="AF1052" s="138"/>
      <c r="AG1052" s="138"/>
      <c r="AH1052" s="592" t="str">
        <f t="shared" si="574"/>
        <v/>
      </c>
      <c r="AI1052" s="592" t="str">
        <f t="shared" si="575"/>
        <v/>
      </c>
      <c r="AJ1052" s="592" t="str">
        <f t="shared" si="576"/>
        <v/>
      </c>
      <c r="AK1052" s="460" t="str">
        <f>IF(AU1052="","",IF(OR(AZ1052=8,AZ1052=9),0,IF(OR(AW1052=3,AW1052=4,AW1052=5,AW1052=6),IF(LEFT(BF1052,1)="1",INDEX(係数_NOX・PM低減,MATCH(AY1052,【参考】排出係数!$AI$801:$AI$804,1),1),VLOOKUP(AU1052,INDEX((係数_バス貨物_ガソリン,係数_バス貨物_CNG,係数_バス貨物_軽油,係数_バス貨物_メタノール,係数_バス貨物_LPG),MATCH(AY1052,【参考】排出係数!$AI$4:$AI$671,1),1,BE1052):INDEX((係数_バス貨物_ガソリン,係数_バス貨物_CNG,係数_バス貨物_軽油,係数_バス貨物_メタノール,係数_バス貨物_LPG),MATCH(AY1052+1,【参考】排出係数!$AI$4:$AI$671,1)-1,5,BE1052),4,FALSE)),IF(AND(BE1052=3,LEFT(BF1052,1)="1"),0.48,VLOOKUP(AU1052,INDEX((係数_乗用_ガソリン,係数_乗用_CNG,係数_乗用_軽油,係数_乗用_メタノール,係数_乗用_LPG),1,1,BE1052):INDEX((係数_乗用_ガソリン,係数_乗用_CNG,係数_乗用_軽油,係数_乗用_メタノール,係数_乗用_LPG),125,5,BE1052),4,FALSE)))))</f>
        <v/>
      </c>
      <c r="AL1052" s="461" t="str">
        <f t="shared" si="577"/>
        <v/>
      </c>
      <c r="AM1052" s="460" t="str">
        <f>IF(AU1052="","",IF(OR(AZ1052=8,AZ1052=9),0,IF(OR(AW1052=3,AW1052=4,AW1052=5,AW1052=6),IF(LEFT(BH1052,1)="1",INDEX(係数_PM低減,MATCH(AY1052,【参考】排出係数!$AI$801:$AI$804,1),MATCH(BI1052,【参考】排出係数!$AL$798:$AO$798,1)),VLOOKUP(AU1052,INDEX((係数_バス貨物_ガソリン,係数_バス貨物_CNG,係数_バス貨物_軽油,係数_バス貨物_メタノール,係数_バス貨物_LPG),MATCH(AY1052,【参考】排出係数!$AI$4:$AI$671,1),1,BE1052):INDEX((係数_バス貨物_ガソリン,係数_バス貨物_CNG,係数_バス貨物_軽油,係数_バス貨物_メタノール,係数_バス貨物_LPG),MATCH(AY1052+1,【参考】排出係数!$AI$4:$AI$671,1)-1,5,BE1052),5,FALSE)),IF(AND(BE1052=3,LEFT(BF1052,1)="1"),0.055,VLOOKUP(AU1052,INDEX((係数_乗用_ガソリン,係数_乗用_CNG,係数_乗用_軽油,係数_乗用_メタノール,係数_乗用_LPG),1,1,BE1052):INDEX((係数_乗用_ガソリン,係数_乗用_CNG,係数_乗用_軽油,係数_乗用_メタノール,係数_乗用_LPG),125,5,BE1052),5,FALSE)))))</f>
        <v/>
      </c>
      <c r="AN1052" s="461" t="str">
        <f t="shared" si="578"/>
        <v/>
      </c>
      <c r="AO1052" s="462" t="str">
        <f t="shared" si="579"/>
        <v/>
      </c>
      <c r="AP1052" s="463" t="str">
        <f t="shared" si="580"/>
        <v/>
      </c>
      <c r="AQ1052" s="464"/>
      <c r="AR1052" s="619"/>
      <c r="AS1052" s="465" t="str">
        <f t="shared" si="588"/>
        <v/>
      </c>
      <c r="AT1052" s="465" t="str">
        <f t="shared" si="589"/>
        <v/>
      </c>
      <c r="AU1052" s="466" t="str">
        <f t="shared" si="590"/>
        <v/>
      </c>
      <c r="AV1052" s="467" t="str">
        <f t="shared" si="591"/>
        <v/>
      </c>
      <c r="AW1052" s="467" t="str">
        <f t="shared" si="592"/>
        <v/>
      </c>
      <c r="AX1052" s="467" t="str">
        <f t="shared" si="593"/>
        <v/>
      </c>
      <c r="AY1052" s="467" t="str">
        <f t="shared" si="594"/>
        <v/>
      </c>
      <c r="AZ1052" s="467" t="str">
        <f t="shared" si="595"/>
        <v/>
      </c>
      <c r="BA1052" s="468" t="str">
        <f>IF(AS1052="","",IF(OR(AU1052="",AU1052="-"),"－",IF(OR(AZ1052=8,AZ1052=9),"",IF(OR(AW1052=3,AW1052=4,AW1052=5,AW1052=6),VLOOKUP(AU1052,INDEX((係数_バス貨物_ガソリン,係数_バス貨物_CNG,係数_バス貨物_軽油,係数_バス貨物_メタノール,係数_バス貨物_LPG),MATCH(AY1052,【参考】排出係数!$AI$4:$AI$671,1),1,BE1052):INDEX((係数_バス貨物_ガソリン,係数_バス貨物_CNG,係数_バス貨物_軽油,係数_バス貨物_メタノール,係数_バス貨物_LPG),MATCH(AY1052+1,【参考】排出係数!$AI$4:$AI$671,1)-1,5,BE1052),2,FALSE),IF(OR(AW1052=1,AW1052=2),VLOOKUP(AU1052,INDEX((係数_乗用_ガソリン,係数_乗用_CNG,係数_乗用_軽油,係数_乗用_メタノール,係数_乗用_LPG),1,1,BE1052):INDEX((係数_乗用_ガソリン,係数_乗用_CNG,係数_乗用_軽油,係数_乗用_メタノール,係数_乗用_LPG),125,5,BE1052),2,FALSE))))))</f>
        <v/>
      </c>
      <c r="BB1052" s="468" t="str">
        <f>IF(T1052="","",IF(OR(AU1052="",AU1052="-"),"－",IF(OR(AZ1052=8,AZ1052=9),"",IF(OR(AW1052=3,AW1052=4,AW1052=5,AW1052=6),VLOOKUP(AU1052,INDEX((係数_バス貨物_ガソリン,係数_バス貨物_CNG,係数_バス貨物_軽油,係数_バス貨物_メタノール,係数_バス貨物_LPG),MATCH(AY1052,【参考】排出係数!$AI$4:$AI$671,1),1,BE1052):INDEX((係数_バス貨物_ガソリン,係数_バス貨物_CNG,係数_バス貨物_軽油,係数_バス貨物_メタノール,係数_バス貨物_LPG),MATCH(AY1052+1,【参考】排出係数!$AI$4:$AI$671,1)-1,5,BE1052),3,FALSE),IF(OR(AW1052=1,AW1052=2),VLOOKUP(AU1052,INDEX((係数_乗用_ガソリン,係数_乗用_CNG,係数_乗用_軽油,係数_乗用_メタノール,係数_乗用_LPG),1,1,BE1052):INDEX((係数_乗用_ガソリン,係数_乗用_CNG,係数_乗用_軽油,係数_乗用_メタノール,係数_乗用_LPG),125,5,BE1052),3,FALSE))))))</f>
        <v/>
      </c>
      <c r="BC1052" s="467" t="str">
        <f t="shared" si="596"/>
        <v/>
      </c>
      <c r="BD1052" s="567" t="str">
        <f t="shared" si="597"/>
        <v/>
      </c>
      <c r="BE1052" s="467" t="str">
        <f t="shared" si="598"/>
        <v/>
      </c>
      <c r="BF1052" s="469" t="str">
        <f t="shared" ca="1" si="599"/>
        <v/>
      </c>
      <c r="BG1052" s="469" t="str">
        <f t="shared" ca="1" si="600"/>
        <v/>
      </c>
      <c r="BH1052" s="467" t="str">
        <f t="shared" si="601"/>
        <v/>
      </c>
      <c r="BI1052" s="467" t="str">
        <f t="shared" ca="1" si="602"/>
        <v/>
      </c>
      <c r="BJ1052" s="469" t="str">
        <f t="shared" si="603"/>
        <v/>
      </c>
      <c r="BK1052" s="470" t="str">
        <f t="shared" si="587"/>
        <v/>
      </c>
      <c r="BL1052" s="775" t="str">
        <f t="shared" si="604"/>
        <v/>
      </c>
      <c r="BM1052" s="775" t="str">
        <f t="shared" si="605"/>
        <v/>
      </c>
    </row>
    <row r="1053" spans="1:65">
      <c r="A1053" s="473">
        <v>997</v>
      </c>
      <c r="B1053" s="132"/>
      <c r="C1053" s="332"/>
      <c r="D1053" s="333"/>
      <c r="E1053" s="333"/>
      <c r="F1053" s="334"/>
      <c r="G1053" s="337"/>
      <c r="H1053" s="131"/>
      <c r="I1053" s="337"/>
      <c r="J1053" s="131"/>
      <c r="K1053" s="458" t="str">
        <f t="shared" si="568"/>
        <v/>
      </c>
      <c r="L1053" s="458">
        <f t="shared" si="569"/>
        <v>0</v>
      </c>
      <c r="M1053" s="458">
        <f t="shared" si="570"/>
        <v>0</v>
      </c>
      <c r="N1053" s="459" t="str">
        <f t="shared" si="581"/>
        <v/>
      </c>
      <c r="O1053" s="459" t="str">
        <f t="shared" si="582"/>
        <v/>
      </c>
      <c r="P1053" s="459" t="str">
        <f t="shared" si="583"/>
        <v/>
      </c>
      <c r="Q1053" s="459" t="str">
        <f t="shared" si="584"/>
        <v/>
      </c>
      <c r="R1053" s="459" t="str">
        <f t="shared" si="585"/>
        <v/>
      </c>
      <c r="S1053" s="459" t="str">
        <f t="shared" si="586"/>
        <v/>
      </c>
      <c r="T1053" s="566" t="str">
        <f t="shared" si="571"/>
        <v/>
      </c>
      <c r="U1053" s="702"/>
      <c r="V1053" s="132"/>
      <c r="W1053" s="133"/>
      <c r="X1053" s="134"/>
      <c r="Y1053" s="135"/>
      <c r="Z1053" s="137"/>
      <c r="AA1053" s="136"/>
      <c r="AB1053" s="566" t="str">
        <f t="shared" si="572"/>
        <v/>
      </c>
      <c r="AC1053" s="568" t="str">
        <f t="shared" si="573"/>
        <v/>
      </c>
      <c r="AD1053" s="137"/>
      <c r="AE1053" s="137"/>
      <c r="AF1053" s="138"/>
      <c r="AG1053" s="138"/>
      <c r="AH1053" s="592" t="str">
        <f t="shared" si="574"/>
        <v/>
      </c>
      <c r="AI1053" s="592" t="str">
        <f t="shared" si="575"/>
        <v/>
      </c>
      <c r="AJ1053" s="592" t="str">
        <f t="shared" si="576"/>
        <v/>
      </c>
      <c r="AK1053" s="460" t="str">
        <f>IF(AU1053="","",IF(OR(AZ1053=8,AZ1053=9),0,IF(OR(AW1053=3,AW1053=4,AW1053=5,AW1053=6),IF(LEFT(BF1053,1)="1",INDEX(係数_NOX・PM低減,MATCH(AY1053,【参考】排出係数!$AI$801:$AI$804,1),1),VLOOKUP(AU1053,INDEX((係数_バス貨物_ガソリン,係数_バス貨物_CNG,係数_バス貨物_軽油,係数_バス貨物_メタノール,係数_バス貨物_LPG),MATCH(AY1053,【参考】排出係数!$AI$4:$AI$671,1),1,BE1053):INDEX((係数_バス貨物_ガソリン,係数_バス貨物_CNG,係数_バス貨物_軽油,係数_バス貨物_メタノール,係数_バス貨物_LPG),MATCH(AY1053+1,【参考】排出係数!$AI$4:$AI$671,1)-1,5,BE1053),4,FALSE)),IF(AND(BE1053=3,LEFT(BF1053,1)="1"),0.48,VLOOKUP(AU1053,INDEX((係数_乗用_ガソリン,係数_乗用_CNG,係数_乗用_軽油,係数_乗用_メタノール,係数_乗用_LPG),1,1,BE1053):INDEX((係数_乗用_ガソリン,係数_乗用_CNG,係数_乗用_軽油,係数_乗用_メタノール,係数_乗用_LPG),125,5,BE1053),4,FALSE)))))</f>
        <v/>
      </c>
      <c r="AL1053" s="461" t="str">
        <f t="shared" si="577"/>
        <v/>
      </c>
      <c r="AM1053" s="460" t="str">
        <f>IF(AU1053="","",IF(OR(AZ1053=8,AZ1053=9),0,IF(OR(AW1053=3,AW1053=4,AW1053=5,AW1053=6),IF(LEFT(BH1053,1)="1",INDEX(係数_PM低減,MATCH(AY1053,【参考】排出係数!$AI$801:$AI$804,1),MATCH(BI1053,【参考】排出係数!$AL$798:$AO$798,1)),VLOOKUP(AU1053,INDEX((係数_バス貨物_ガソリン,係数_バス貨物_CNG,係数_バス貨物_軽油,係数_バス貨物_メタノール,係数_バス貨物_LPG),MATCH(AY1053,【参考】排出係数!$AI$4:$AI$671,1),1,BE1053):INDEX((係数_バス貨物_ガソリン,係数_バス貨物_CNG,係数_バス貨物_軽油,係数_バス貨物_メタノール,係数_バス貨物_LPG),MATCH(AY1053+1,【参考】排出係数!$AI$4:$AI$671,1)-1,5,BE1053),5,FALSE)),IF(AND(BE1053=3,LEFT(BF1053,1)="1"),0.055,VLOOKUP(AU1053,INDEX((係数_乗用_ガソリン,係数_乗用_CNG,係数_乗用_軽油,係数_乗用_メタノール,係数_乗用_LPG),1,1,BE1053):INDEX((係数_乗用_ガソリン,係数_乗用_CNG,係数_乗用_軽油,係数_乗用_メタノール,係数_乗用_LPG),125,5,BE1053),5,FALSE)))))</f>
        <v/>
      </c>
      <c r="AN1053" s="461" t="str">
        <f t="shared" si="578"/>
        <v/>
      </c>
      <c r="AO1053" s="462" t="str">
        <f t="shared" si="579"/>
        <v/>
      </c>
      <c r="AP1053" s="463" t="str">
        <f t="shared" si="580"/>
        <v/>
      </c>
      <c r="AQ1053" s="464"/>
      <c r="AR1053" s="619"/>
      <c r="AS1053" s="465" t="str">
        <f t="shared" si="588"/>
        <v/>
      </c>
      <c r="AT1053" s="465" t="str">
        <f t="shared" si="589"/>
        <v/>
      </c>
      <c r="AU1053" s="466" t="str">
        <f t="shared" si="590"/>
        <v/>
      </c>
      <c r="AV1053" s="467" t="str">
        <f t="shared" si="591"/>
        <v/>
      </c>
      <c r="AW1053" s="467" t="str">
        <f t="shared" si="592"/>
        <v/>
      </c>
      <c r="AX1053" s="467" t="str">
        <f t="shared" si="593"/>
        <v/>
      </c>
      <c r="AY1053" s="467" t="str">
        <f t="shared" si="594"/>
        <v/>
      </c>
      <c r="AZ1053" s="467" t="str">
        <f t="shared" si="595"/>
        <v/>
      </c>
      <c r="BA1053" s="468" t="str">
        <f>IF(AS1053="","",IF(OR(AU1053="",AU1053="-"),"－",IF(OR(AZ1053=8,AZ1053=9),"",IF(OR(AW1053=3,AW1053=4,AW1053=5,AW1053=6),VLOOKUP(AU1053,INDEX((係数_バス貨物_ガソリン,係数_バス貨物_CNG,係数_バス貨物_軽油,係数_バス貨物_メタノール,係数_バス貨物_LPG),MATCH(AY1053,【参考】排出係数!$AI$4:$AI$671,1),1,BE1053):INDEX((係数_バス貨物_ガソリン,係数_バス貨物_CNG,係数_バス貨物_軽油,係数_バス貨物_メタノール,係数_バス貨物_LPG),MATCH(AY1053+1,【参考】排出係数!$AI$4:$AI$671,1)-1,5,BE1053),2,FALSE),IF(OR(AW1053=1,AW1053=2),VLOOKUP(AU1053,INDEX((係数_乗用_ガソリン,係数_乗用_CNG,係数_乗用_軽油,係数_乗用_メタノール,係数_乗用_LPG),1,1,BE1053):INDEX((係数_乗用_ガソリン,係数_乗用_CNG,係数_乗用_軽油,係数_乗用_メタノール,係数_乗用_LPG),125,5,BE1053),2,FALSE))))))</f>
        <v/>
      </c>
      <c r="BB1053" s="468" t="str">
        <f>IF(T1053="","",IF(OR(AU1053="",AU1053="-"),"－",IF(OR(AZ1053=8,AZ1053=9),"",IF(OR(AW1053=3,AW1053=4,AW1053=5,AW1053=6),VLOOKUP(AU1053,INDEX((係数_バス貨物_ガソリン,係数_バス貨物_CNG,係数_バス貨物_軽油,係数_バス貨物_メタノール,係数_バス貨物_LPG),MATCH(AY1053,【参考】排出係数!$AI$4:$AI$671,1),1,BE1053):INDEX((係数_バス貨物_ガソリン,係数_バス貨物_CNG,係数_バス貨物_軽油,係数_バス貨物_メタノール,係数_バス貨物_LPG),MATCH(AY1053+1,【参考】排出係数!$AI$4:$AI$671,1)-1,5,BE1053),3,FALSE),IF(OR(AW1053=1,AW1053=2),VLOOKUP(AU1053,INDEX((係数_乗用_ガソリン,係数_乗用_CNG,係数_乗用_軽油,係数_乗用_メタノール,係数_乗用_LPG),1,1,BE1053):INDEX((係数_乗用_ガソリン,係数_乗用_CNG,係数_乗用_軽油,係数_乗用_メタノール,係数_乗用_LPG),125,5,BE1053),3,FALSE))))))</f>
        <v/>
      </c>
      <c r="BC1053" s="467" t="str">
        <f t="shared" si="596"/>
        <v/>
      </c>
      <c r="BD1053" s="567" t="str">
        <f t="shared" si="597"/>
        <v/>
      </c>
      <c r="BE1053" s="467" t="str">
        <f t="shared" si="598"/>
        <v/>
      </c>
      <c r="BF1053" s="469" t="str">
        <f t="shared" ca="1" si="599"/>
        <v/>
      </c>
      <c r="BG1053" s="469" t="str">
        <f t="shared" ca="1" si="600"/>
        <v/>
      </c>
      <c r="BH1053" s="467" t="str">
        <f t="shared" si="601"/>
        <v/>
      </c>
      <c r="BI1053" s="467" t="str">
        <f t="shared" ca="1" si="602"/>
        <v/>
      </c>
      <c r="BJ1053" s="469" t="str">
        <f t="shared" si="603"/>
        <v/>
      </c>
      <c r="BK1053" s="470" t="str">
        <f t="shared" si="587"/>
        <v/>
      </c>
      <c r="BL1053" s="775" t="str">
        <f t="shared" si="604"/>
        <v/>
      </c>
      <c r="BM1053" s="775" t="str">
        <f t="shared" si="605"/>
        <v/>
      </c>
    </row>
    <row r="1054" spans="1:65">
      <c r="A1054" s="473">
        <v>998</v>
      </c>
      <c r="B1054" s="132"/>
      <c r="C1054" s="332"/>
      <c r="D1054" s="333"/>
      <c r="E1054" s="333"/>
      <c r="F1054" s="334"/>
      <c r="G1054" s="337"/>
      <c r="H1054" s="131"/>
      <c r="I1054" s="337"/>
      <c r="J1054" s="131"/>
      <c r="K1054" s="458" t="str">
        <f t="shared" si="568"/>
        <v/>
      </c>
      <c r="L1054" s="458">
        <f t="shared" si="569"/>
        <v>0</v>
      </c>
      <c r="M1054" s="458">
        <f t="shared" si="570"/>
        <v>0</v>
      </c>
      <c r="N1054" s="459" t="str">
        <f t="shared" si="581"/>
        <v/>
      </c>
      <c r="O1054" s="459" t="str">
        <f t="shared" si="582"/>
        <v/>
      </c>
      <c r="P1054" s="459" t="str">
        <f t="shared" si="583"/>
        <v/>
      </c>
      <c r="Q1054" s="459" t="str">
        <f t="shared" si="584"/>
        <v/>
      </c>
      <c r="R1054" s="459" t="str">
        <f t="shared" si="585"/>
        <v/>
      </c>
      <c r="S1054" s="459" t="str">
        <f t="shared" si="586"/>
        <v/>
      </c>
      <c r="T1054" s="566" t="str">
        <f t="shared" si="571"/>
        <v/>
      </c>
      <c r="U1054" s="702"/>
      <c r="V1054" s="132"/>
      <c r="W1054" s="133"/>
      <c r="X1054" s="134"/>
      <c r="Y1054" s="135"/>
      <c r="Z1054" s="137"/>
      <c r="AA1054" s="136"/>
      <c r="AB1054" s="566" t="str">
        <f t="shared" si="572"/>
        <v/>
      </c>
      <c r="AC1054" s="568" t="str">
        <f t="shared" si="573"/>
        <v/>
      </c>
      <c r="AD1054" s="137"/>
      <c r="AE1054" s="137"/>
      <c r="AF1054" s="138"/>
      <c r="AG1054" s="138"/>
      <c r="AH1054" s="592" t="str">
        <f t="shared" si="574"/>
        <v/>
      </c>
      <c r="AI1054" s="592" t="str">
        <f t="shared" si="575"/>
        <v/>
      </c>
      <c r="AJ1054" s="592" t="str">
        <f t="shared" si="576"/>
        <v/>
      </c>
      <c r="AK1054" s="460" t="str">
        <f>IF(AU1054="","",IF(OR(AZ1054=8,AZ1054=9),0,IF(OR(AW1054=3,AW1054=4,AW1054=5,AW1054=6),IF(LEFT(BF1054,1)="1",INDEX(係数_NOX・PM低減,MATCH(AY1054,【参考】排出係数!$AI$801:$AI$804,1),1),VLOOKUP(AU1054,INDEX((係数_バス貨物_ガソリン,係数_バス貨物_CNG,係数_バス貨物_軽油,係数_バス貨物_メタノール,係数_バス貨物_LPG),MATCH(AY1054,【参考】排出係数!$AI$4:$AI$671,1),1,BE1054):INDEX((係数_バス貨物_ガソリン,係数_バス貨物_CNG,係数_バス貨物_軽油,係数_バス貨物_メタノール,係数_バス貨物_LPG),MATCH(AY1054+1,【参考】排出係数!$AI$4:$AI$671,1)-1,5,BE1054),4,FALSE)),IF(AND(BE1054=3,LEFT(BF1054,1)="1"),0.48,VLOOKUP(AU1054,INDEX((係数_乗用_ガソリン,係数_乗用_CNG,係数_乗用_軽油,係数_乗用_メタノール,係数_乗用_LPG),1,1,BE1054):INDEX((係数_乗用_ガソリン,係数_乗用_CNG,係数_乗用_軽油,係数_乗用_メタノール,係数_乗用_LPG),125,5,BE1054),4,FALSE)))))</f>
        <v/>
      </c>
      <c r="AL1054" s="461" t="str">
        <f t="shared" si="577"/>
        <v/>
      </c>
      <c r="AM1054" s="460" t="str">
        <f>IF(AU1054="","",IF(OR(AZ1054=8,AZ1054=9),0,IF(OR(AW1054=3,AW1054=4,AW1054=5,AW1054=6),IF(LEFT(BH1054,1)="1",INDEX(係数_PM低減,MATCH(AY1054,【参考】排出係数!$AI$801:$AI$804,1),MATCH(BI1054,【参考】排出係数!$AL$798:$AO$798,1)),VLOOKUP(AU1054,INDEX((係数_バス貨物_ガソリン,係数_バス貨物_CNG,係数_バス貨物_軽油,係数_バス貨物_メタノール,係数_バス貨物_LPG),MATCH(AY1054,【参考】排出係数!$AI$4:$AI$671,1),1,BE1054):INDEX((係数_バス貨物_ガソリン,係数_バス貨物_CNG,係数_バス貨物_軽油,係数_バス貨物_メタノール,係数_バス貨物_LPG),MATCH(AY1054+1,【参考】排出係数!$AI$4:$AI$671,1)-1,5,BE1054),5,FALSE)),IF(AND(BE1054=3,LEFT(BF1054,1)="1"),0.055,VLOOKUP(AU1054,INDEX((係数_乗用_ガソリン,係数_乗用_CNG,係数_乗用_軽油,係数_乗用_メタノール,係数_乗用_LPG),1,1,BE1054):INDEX((係数_乗用_ガソリン,係数_乗用_CNG,係数_乗用_軽油,係数_乗用_メタノール,係数_乗用_LPG),125,5,BE1054),5,FALSE)))))</f>
        <v/>
      </c>
      <c r="AN1054" s="461" t="str">
        <f t="shared" si="578"/>
        <v/>
      </c>
      <c r="AO1054" s="462" t="str">
        <f t="shared" si="579"/>
        <v/>
      </c>
      <c r="AP1054" s="463" t="str">
        <f t="shared" si="580"/>
        <v/>
      </c>
      <c r="AQ1054" s="464"/>
      <c r="AR1054" s="619"/>
      <c r="AS1054" s="465" t="str">
        <f t="shared" si="588"/>
        <v/>
      </c>
      <c r="AT1054" s="465" t="str">
        <f t="shared" si="589"/>
        <v/>
      </c>
      <c r="AU1054" s="466" t="str">
        <f t="shared" si="590"/>
        <v/>
      </c>
      <c r="AV1054" s="467" t="str">
        <f t="shared" si="591"/>
        <v/>
      </c>
      <c r="AW1054" s="467" t="str">
        <f t="shared" si="592"/>
        <v/>
      </c>
      <c r="AX1054" s="467" t="str">
        <f t="shared" si="593"/>
        <v/>
      </c>
      <c r="AY1054" s="467" t="str">
        <f t="shared" si="594"/>
        <v/>
      </c>
      <c r="AZ1054" s="467" t="str">
        <f t="shared" si="595"/>
        <v/>
      </c>
      <c r="BA1054" s="468" t="str">
        <f>IF(AS1054="","",IF(OR(AU1054="",AU1054="-"),"－",IF(OR(AZ1054=8,AZ1054=9),"",IF(OR(AW1054=3,AW1054=4,AW1054=5,AW1054=6),VLOOKUP(AU1054,INDEX((係数_バス貨物_ガソリン,係数_バス貨物_CNG,係数_バス貨物_軽油,係数_バス貨物_メタノール,係数_バス貨物_LPG),MATCH(AY1054,【参考】排出係数!$AI$4:$AI$671,1),1,BE1054):INDEX((係数_バス貨物_ガソリン,係数_バス貨物_CNG,係数_バス貨物_軽油,係数_バス貨物_メタノール,係数_バス貨物_LPG),MATCH(AY1054+1,【参考】排出係数!$AI$4:$AI$671,1)-1,5,BE1054),2,FALSE),IF(OR(AW1054=1,AW1054=2),VLOOKUP(AU1054,INDEX((係数_乗用_ガソリン,係数_乗用_CNG,係数_乗用_軽油,係数_乗用_メタノール,係数_乗用_LPG),1,1,BE1054):INDEX((係数_乗用_ガソリン,係数_乗用_CNG,係数_乗用_軽油,係数_乗用_メタノール,係数_乗用_LPG),125,5,BE1054),2,FALSE))))))</f>
        <v/>
      </c>
      <c r="BB1054" s="468" t="str">
        <f>IF(T1054="","",IF(OR(AU1054="",AU1054="-"),"－",IF(OR(AZ1054=8,AZ1054=9),"",IF(OR(AW1054=3,AW1054=4,AW1054=5,AW1054=6),VLOOKUP(AU1054,INDEX((係数_バス貨物_ガソリン,係数_バス貨物_CNG,係数_バス貨物_軽油,係数_バス貨物_メタノール,係数_バス貨物_LPG),MATCH(AY1054,【参考】排出係数!$AI$4:$AI$671,1),1,BE1054):INDEX((係数_バス貨物_ガソリン,係数_バス貨物_CNG,係数_バス貨物_軽油,係数_バス貨物_メタノール,係数_バス貨物_LPG),MATCH(AY1054+1,【参考】排出係数!$AI$4:$AI$671,1)-1,5,BE1054),3,FALSE),IF(OR(AW1054=1,AW1054=2),VLOOKUP(AU1054,INDEX((係数_乗用_ガソリン,係数_乗用_CNG,係数_乗用_軽油,係数_乗用_メタノール,係数_乗用_LPG),1,1,BE1054):INDEX((係数_乗用_ガソリン,係数_乗用_CNG,係数_乗用_軽油,係数_乗用_メタノール,係数_乗用_LPG),125,5,BE1054),3,FALSE))))))</f>
        <v/>
      </c>
      <c r="BC1054" s="467" t="str">
        <f t="shared" si="596"/>
        <v/>
      </c>
      <c r="BD1054" s="567" t="str">
        <f t="shared" si="597"/>
        <v/>
      </c>
      <c r="BE1054" s="467" t="str">
        <f t="shared" si="598"/>
        <v/>
      </c>
      <c r="BF1054" s="469" t="str">
        <f t="shared" ca="1" si="599"/>
        <v/>
      </c>
      <c r="BG1054" s="469" t="str">
        <f t="shared" ca="1" si="600"/>
        <v/>
      </c>
      <c r="BH1054" s="467" t="str">
        <f t="shared" si="601"/>
        <v/>
      </c>
      <c r="BI1054" s="467" t="str">
        <f t="shared" ca="1" si="602"/>
        <v/>
      </c>
      <c r="BJ1054" s="469" t="str">
        <f t="shared" si="603"/>
        <v/>
      </c>
      <c r="BK1054" s="470" t="str">
        <f t="shared" si="587"/>
        <v/>
      </c>
      <c r="BL1054" s="775" t="str">
        <f t="shared" si="604"/>
        <v/>
      </c>
      <c r="BM1054" s="775" t="str">
        <f t="shared" si="605"/>
        <v/>
      </c>
    </row>
    <row r="1055" spans="1:65">
      <c r="A1055" s="473">
        <v>999</v>
      </c>
      <c r="B1055" s="132"/>
      <c r="C1055" s="332"/>
      <c r="D1055" s="333"/>
      <c r="E1055" s="333"/>
      <c r="F1055" s="334"/>
      <c r="G1055" s="337"/>
      <c r="H1055" s="131"/>
      <c r="I1055" s="337"/>
      <c r="J1055" s="131"/>
      <c r="K1055" s="458" t="str">
        <f t="shared" si="568"/>
        <v/>
      </c>
      <c r="L1055" s="458">
        <f t="shared" si="569"/>
        <v>0</v>
      </c>
      <c r="M1055" s="458">
        <f t="shared" si="570"/>
        <v>0</v>
      </c>
      <c r="N1055" s="459" t="str">
        <f t="shared" si="581"/>
        <v/>
      </c>
      <c r="O1055" s="459" t="str">
        <f t="shared" si="582"/>
        <v/>
      </c>
      <c r="P1055" s="459" t="str">
        <f t="shared" si="583"/>
        <v/>
      </c>
      <c r="Q1055" s="459" t="str">
        <f t="shared" si="584"/>
        <v/>
      </c>
      <c r="R1055" s="459" t="str">
        <f t="shared" si="585"/>
        <v/>
      </c>
      <c r="S1055" s="459" t="str">
        <f t="shared" si="586"/>
        <v/>
      </c>
      <c r="T1055" s="566" t="str">
        <f t="shared" si="571"/>
        <v/>
      </c>
      <c r="U1055" s="702"/>
      <c r="V1055" s="132"/>
      <c r="W1055" s="133"/>
      <c r="X1055" s="134"/>
      <c r="Y1055" s="135"/>
      <c r="Z1055" s="137"/>
      <c r="AA1055" s="136"/>
      <c r="AB1055" s="566" t="str">
        <f t="shared" si="572"/>
        <v/>
      </c>
      <c r="AC1055" s="568" t="str">
        <f t="shared" si="573"/>
        <v/>
      </c>
      <c r="AD1055" s="137"/>
      <c r="AE1055" s="137"/>
      <c r="AF1055" s="138"/>
      <c r="AG1055" s="138"/>
      <c r="AH1055" s="592" t="str">
        <f t="shared" si="574"/>
        <v/>
      </c>
      <c r="AI1055" s="592" t="str">
        <f t="shared" si="575"/>
        <v/>
      </c>
      <c r="AJ1055" s="592" t="str">
        <f t="shared" si="576"/>
        <v/>
      </c>
      <c r="AK1055" s="460" t="str">
        <f>IF(AU1055="","",IF(OR(AZ1055=8,AZ1055=9),0,IF(OR(AW1055=3,AW1055=4,AW1055=5,AW1055=6),IF(LEFT(BF1055,1)="1",INDEX(係数_NOX・PM低減,MATCH(AY1055,【参考】排出係数!$AI$801:$AI$804,1),1),VLOOKUP(AU1055,INDEX((係数_バス貨物_ガソリン,係数_バス貨物_CNG,係数_バス貨物_軽油,係数_バス貨物_メタノール,係数_バス貨物_LPG),MATCH(AY1055,【参考】排出係数!$AI$4:$AI$671,1),1,BE1055):INDEX((係数_バス貨物_ガソリン,係数_バス貨物_CNG,係数_バス貨物_軽油,係数_バス貨物_メタノール,係数_バス貨物_LPG),MATCH(AY1055+1,【参考】排出係数!$AI$4:$AI$671,1)-1,5,BE1055),4,FALSE)),IF(AND(BE1055=3,LEFT(BF1055,1)="1"),0.48,VLOOKUP(AU1055,INDEX((係数_乗用_ガソリン,係数_乗用_CNG,係数_乗用_軽油,係数_乗用_メタノール,係数_乗用_LPG),1,1,BE1055):INDEX((係数_乗用_ガソリン,係数_乗用_CNG,係数_乗用_軽油,係数_乗用_メタノール,係数_乗用_LPG),125,5,BE1055),4,FALSE)))))</f>
        <v/>
      </c>
      <c r="AL1055" s="461" t="str">
        <f t="shared" si="577"/>
        <v/>
      </c>
      <c r="AM1055" s="460" t="str">
        <f>IF(AU1055="","",IF(OR(AZ1055=8,AZ1055=9),0,IF(OR(AW1055=3,AW1055=4,AW1055=5,AW1055=6),IF(LEFT(BH1055,1)="1",INDEX(係数_PM低減,MATCH(AY1055,【参考】排出係数!$AI$801:$AI$804,1),MATCH(BI1055,【参考】排出係数!$AL$798:$AO$798,1)),VLOOKUP(AU1055,INDEX((係数_バス貨物_ガソリン,係数_バス貨物_CNG,係数_バス貨物_軽油,係数_バス貨物_メタノール,係数_バス貨物_LPG),MATCH(AY1055,【参考】排出係数!$AI$4:$AI$671,1),1,BE1055):INDEX((係数_バス貨物_ガソリン,係数_バス貨物_CNG,係数_バス貨物_軽油,係数_バス貨物_メタノール,係数_バス貨物_LPG),MATCH(AY1055+1,【参考】排出係数!$AI$4:$AI$671,1)-1,5,BE1055),5,FALSE)),IF(AND(BE1055=3,LEFT(BF1055,1)="1"),0.055,VLOOKUP(AU1055,INDEX((係数_乗用_ガソリン,係数_乗用_CNG,係数_乗用_軽油,係数_乗用_メタノール,係数_乗用_LPG),1,1,BE1055):INDEX((係数_乗用_ガソリン,係数_乗用_CNG,係数_乗用_軽油,係数_乗用_メタノール,係数_乗用_LPG),125,5,BE1055),5,FALSE)))))</f>
        <v/>
      </c>
      <c r="AN1055" s="461" t="str">
        <f t="shared" si="578"/>
        <v/>
      </c>
      <c r="AO1055" s="462" t="str">
        <f t="shared" si="579"/>
        <v/>
      </c>
      <c r="AP1055" s="463" t="str">
        <f t="shared" si="580"/>
        <v/>
      </c>
      <c r="AQ1055" s="464"/>
      <c r="AR1055" s="619"/>
      <c r="AS1055" s="465" t="str">
        <f t="shared" si="588"/>
        <v/>
      </c>
      <c r="AT1055" s="465" t="str">
        <f t="shared" si="589"/>
        <v/>
      </c>
      <c r="AU1055" s="466" t="str">
        <f t="shared" si="590"/>
        <v/>
      </c>
      <c r="AV1055" s="467" t="str">
        <f t="shared" si="591"/>
        <v/>
      </c>
      <c r="AW1055" s="467" t="str">
        <f t="shared" si="592"/>
        <v/>
      </c>
      <c r="AX1055" s="467" t="str">
        <f t="shared" si="593"/>
        <v/>
      </c>
      <c r="AY1055" s="467" t="str">
        <f t="shared" si="594"/>
        <v/>
      </c>
      <c r="AZ1055" s="467" t="str">
        <f t="shared" si="595"/>
        <v/>
      </c>
      <c r="BA1055" s="468" t="str">
        <f>IF(AS1055="","",IF(OR(AU1055="",AU1055="-"),"－",IF(OR(AZ1055=8,AZ1055=9),"",IF(OR(AW1055=3,AW1055=4,AW1055=5,AW1055=6),VLOOKUP(AU1055,INDEX((係数_バス貨物_ガソリン,係数_バス貨物_CNG,係数_バス貨物_軽油,係数_バス貨物_メタノール,係数_バス貨物_LPG),MATCH(AY1055,【参考】排出係数!$AI$4:$AI$671,1),1,BE1055):INDEX((係数_バス貨物_ガソリン,係数_バス貨物_CNG,係数_バス貨物_軽油,係数_バス貨物_メタノール,係数_バス貨物_LPG),MATCH(AY1055+1,【参考】排出係数!$AI$4:$AI$671,1)-1,5,BE1055),2,FALSE),IF(OR(AW1055=1,AW1055=2),VLOOKUP(AU1055,INDEX((係数_乗用_ガソリン,係数_乗用_CNG,係数_乗用_軽油,係数_乗用_メタノール,係数_乗用_LPG),1,1,BE1055):INDEX((係数_乗用_ガソリン,係数_乗用_CNG,係数_乗用_軽油,係数_乗用_メタノール,係数_乗用_LPG),125,5,BE1055),2,FALSE))))))</f>
        <v/>
      </c>
      <c r="BB1055" s="468" t="str">
        <f>IF(T1055="","",IF(OR(AU1055="",AU1055="-"),"－",IF(OR(AZ1055=8,AZ1055=9),"",IF(OR(AW1055=3,AW1055=4,AW1055=5,AW1055=6),VLOOKUP(AU1055,INDEX((係数_バス貨物_ガソリン,係数_バス貨物_CNG,係数_バス貨物_軽油,係数_バス貨物_メタノール,係数_バス貨物_LPG),MATCH(AY1055,【参考】排出係数!$AI$4:$AI$671,1),1,BE1055):INDEX((係数_バス貨物_ガソリン,係数_バス貨物_CNG,係数_バス貨物_軽油,係数_バス貨物_メタノール,係数_バス貨物_LPG),MATCH(AY1055+1,【参考】排出係数!$AI$4:$AI$671,1)-1,5,BE1055),3,FALSE),IF(OR(AW1055=1,AW1055=2),VLOOKUP(AU1055,INDEX((係数_乗用_ガソリン,係数_乗用_CNG,係数_乗用_軽油,係数_乗用_メタノール,係数_乗用_LPG),1,1,BE1055):INDEX((係数_乗用_ガソリン,係数_乗用_CNG,係数_乗用_軽油,係数_乗用_メタノール,係数_乗用_LPG),125,5,BE1055),3,FALSE))))))</f>
        <v/>
      </c>
      <c r="BC1055" s="467" t="str">
        <f t="shared" si="596"/>
        <v/>
      </c>
      <c r="BD1055" s="567" t="str">
        <f t="shared" si="597"/>
        <v/>
      </c>
      <c r="BE1055" s="467" t="str">
        <f t="shared" si="598"/>
        <v/>
      </c>
      <c r="BF1055" s="469" t="str">
        <f t="shared" ca="1" si="599"/>
        <v/>
      </c>
      <c r="BG1055" s="469" t="str">
        <f t="shared" ca="1" si="600"/>
        <v/>
      </c>
      <c r="BH1055" s="467" t="str">
        <f t="shared" si="601"/>
        <v/>
      </c>
      <c r="BI1055" s="467" t="str">
        <f t="shared" ca="1" si="602"/>
        <v/>
      </c>
      <c r="BJ1055" s="469" t="str">
        <f t="shared" si="603"/>
        <v/>
      </c>
      <c r="BK1055" s="470" t="str">
        <f t="shared" si="587"/>
        <v/>
      </c>
      <c r="BL1055" s="775" t="str">
        <f t="shared" si="604"/>
        <v/>
      </c>
      <c r="BM1055" s="775" t="str">
        <f t="shared" si="605"/>
        <v/>
      </c>
    </row>
    <row r="1056" spans="1:65">
      <c r="A1056" s="473">
        <v>1000</v>
      </c>
      <c r="B1056" s="132"/>
      <c r="C1056" s="332"/>
      <c r="D1056" s="333"/>
      <c r="E1056" s="333"/>
      <c r="F1056" s="334"/>
      <c r="G1056" s="337"/>
      <c r="H1056" s="131"/>
      <c r="I1056" s="337"/>
      <c r="J1056" s="131"/>
      <c r="K1056" s="458" t="str">
        <f t="shared" si="568"/>
        <v/>
      </c>
      <c r="L1056" s="458">
        <f t="shared" si="569"/>
        <v>0</v>
      </c>
      <c r="M1056" s="458">
        <f t="shared" si="570"/>
        <v>0</v>
      </c>
      <c r="N1056" s="459" t="str">
        <f t="shared" si="581"/>
        <v/>
      </c>
      <c r="O1056" s="459" t="str">
        <f t="shared" si="582"/>
        <v/>
      </c>
      <c r="P1056" s="459" t="str">
        <f t="shared" si="583"/>
        <v/>
      </c>
      <c r="Q1056" s="459" t="str">
        <f t="shared" si="584"/>
        <v/>
      </c>
      <c r="R1056" s="459" t="str">
        <f t="shared" si="585"/>
        <v/>
      </c>
      <c r="S1056" s="459" t="str">
        <f t="shared" si="586"/>
        <v/>
      </c>
      <c r="T1056" s="566" t="str">
        <f t="shared" si="571"/>
        <v/>
      </c>
      <c r="U1056" s="702"/>
      <c r="V1056" s="132"/>
      <c r="W1056" s="133"/>
      <c r="X1056" s="134"/>
      <c r="Y1056" s="135"/>
      <c r="Z1056" s="137"/>
      <c r="AA1056" s="136"/>
      <c r="AB1056" s="566" t="str">
        <f t="shared" si="572"/>
        <v/>
      </c>
      <c r="AC1056" s="568" t="str">
        <f t="shared" si="573"/>
        <v/>
      </c>
      <c r="AD1056" s="137"/>
      <c r="AE1056" s="137"/>
      <c r="AF1056" s="138"/>
      <c r="AG1056" s="138"/>
      <c r="AH1056" s="592" t="str">
        <f t="shared" si="574"/>
        <v/>
      </c>
      <c r="AI1056" s="592" t="str">
        <f t="shared" si="575"/>
        <v/>
      </c>
      <c r="AJ1056" s="592" t="str">
        <f t="shared" si="576"/>
        <v/>
      </c>
      <c r="AK1056" s="460" t="str">
        <f>IF(AU1056="","",IF(OR(AZ1056=8,AZ1056=9),0,IF(OR(AW1056=3,AW1056=4,AW1056=5,AW1056=6),IF(LEFT(BF1056,1)="1",INDEX(係数_NOX・PM低減,MATCH(AY1056,【参考】排出係数!$AI$801:$AI$804,1),1),VLOOKUP(AU1056,INDEX((係数_バス貨物_ガソリン,係数_バス貨物_CNG,係数_バス貨物_軽油,係数_バス貨物_メタノール,係数_バス貨物_LPG),MATCH(AY1056,【参考】排出係数!$AI$4:$AI$671,1),1,BE1056):INDEX((係数_バス貨物_ガソリン,係数_バス貨物_CNG,係数_バス貨物_軽油,係数_バス貨物_メタノール,係数_バス貨物_LPG),MATCH(AY1056+1,【参考】排出係数!$AI$4:$AI$671,1)-1,5,BE1056),4,FALSE)),IF(AND(BE1056=3,LEFT(BF1056,1)="1"),0.48,VLOOKUP(AU1056,INDEX((係数_乗用_ガソリン,係数_乗用_CNG,係数_乗用_軽油,係数_乗用_メタノール,係数_乗用_LPG),1,1,BE1056):INDEX((係数_乗用_ガソリン,係数_乗用_CNG,係数_乗用_軽油,係数_乗用_メタノール,係数_乗用_LPG),125,5,BE1056),4,FALSE)))))</f>
        <v/>
      </c>
      <c r="AL1056" s="461" t="str">
        <f t="shared" si="577"/>
        <v/>
      </c>
      <c r="AM1056" s="460" t="str">
        <f>IF(AU1056="","",IF(OR(AZ1056=8,AZ1056=9),0,IF(OR(AW1056=3,AW1056=4,AW1056=5,AW1056=6),IF(LEFT(BH1056,1)="1",INDEX(係数_PM低減,MATCH(AY1056,【参考】排出係数!$AI$801:$AI$804,1),MATCH(BI1056,【参考】排出係数!$AL$798:$AO$798,1)),VLOOKUP(AU1056,INDEX((係数_バス貨物_ガソリン,係数_バス貨物_CNG,係数_バス貨物_軽油,係数_バス貨物_メタノール,係数_バス貨物_LPG),MATCH(AY1056,【参考】排出係数!$AI$4:$AI$671,1),1,BE1056):INDEX((係数_バス貨物_ガソリン,係数_バス貨物_CNG,係数_バス貨物_軽油,係数_バス貨物_メタノール,係数_バス貨物_LPG),MATCH(AY1056+1,【参考】排出係数!$AI$4:$AI$671,1)-1,5,BE1056),5,FALSE)),IF(AND(BE1056=3,LEFT(BF1056,1)="1"),0.055,VLOOKUP(AU1056,INDEX((係数_乗用_ガソリン,係数_乗用_CNG,係数_乗用_軽油,係数_乗用_メタノール,係数_乗用_LPG),1,1,BE1056):INDEX((係数_乗用_ガソリン,係数_乗用_CNG,係数_乗用_軽油,係数_乗用_メタノール,係数_乗用_LPG),125,5,BE1056),5,FALSE)))))</f>
        <v/>
      </c>
      <c r="AN1056" s="461" t="str">
        <f t="shared" si="578"/>
        <v/>
      </c>
      <c r="AO1056" s="462" t="str">
        <f t="shared" si="579"/>
        <v/>
      </c>
      <c r="AP1056" s="463" t="str">
        <f t="shared" si="580"/>
        <v/>
      </c>
      <c r="AQ1056" s="464"/>
      <c r="AR1056" s="619"/>
      <c r="AS1056" s="465" t="str">
        <f t="shared" si="588"/>
        <v/>
      </c>
      <c r="AT1056" s="465" t="str">
        <f t="shared" si="589"/>
        <v/>
      </c>
      <c r="AU1056" s="466" t="str">
        <f t="shared" si="590"/>
        <v/>
      </c>
      <c r="AV1056" s="467" t="str">
        <f t="shared" si="591"/>
        <v/>
      </c>
      <c r="AW1056" s="467" t="str">
        <f t="shared" si="592"/>
        <v/>
      </c>
      <c r="AX1056" s="467" t="str">
        <f t="shared" si="593"/>
        <v/>
      </c>
      <c r="AY1056" s="467" t="str">
        <f t="shared" si="594"/>
        <v/>
      </c>
      <c r="AZ1056" s="467" t="str">
        <f t="shared" si="595"/>
        <v/>
      </c>
      <c r="BA1056" s="468" t="str">
        <f>IF(AS1056="","",IF(OR(AU1056="",AU1056="-"),"－",IF(OR(AZ1056=8,AZ1056=9),"",IF(OR(AW1056=3,AW1056=4,AW1056=5,AW1056=6),VLOOKUP(AU1056,INDEX((係数_バス貨物_ガソリン,係数_バス貨物_CNG,係数_バス貨物_軽油,係数_バス貨物_メタノール,係数_バス貨物_LPG),MATCH(AY1056,【参考】排出係数!$AI$4:$AI$671,1),1,BE1056):INDEX((係数_バス貨物_ガソリン,係数_バス貨物_CNG,係数_バス貨物_軽油,係数_バス貨物_メタノール,係数_バス貨物_LPG),MATCH(AY1056+1,【参考】排出係数!$AI$4:$AI$671,1)-1,5,BE1056),2,FALSE),IF(OR(AW1056=1,AW1056=2),VLOOKUP(AU1056,INDEX((係数_乗用_ガソリン,係数_乗用_CNG,係数_乗用_軽油,係数_乗用_メタノール,係数_乗用_LPG),1,1,BE1056):INDEX((係数_乗用_ガソリン,係数_乗用_CNG,係数_乗用_軽油,係数_乗用_メタノール,係数_乗用_LPG),125,5,BE1056),2,FALSE))))))</f>
        <v/>
      </c>
      <c r="BB1056" s="468" t="str">
        <f>IF(T1056="","",IF(OR(AU1056="",AU1056="-"),"－",IF(OR(AZ1056=8,AZ1056=9),"",IF(OR(AW1056=3,AW1056=4,AW1056=5,AW1056=6),VLOOKUP(AU1056,INDEX((係数_バス貨物_ガソリン,係数_バス貨物_CNG,係数_バス貨物_軽油,係数_バス貨物_メタノール,係数_バス貨物_LPG),MATCH(AY1056,【参考】排出係数!$AI$4:$AI$671,1),1,BE1056):INDEX((係数_バス貨物_ガソリン,係数_バス貨物_CNG,係数_バス貨物_軽油,係数_バス貨物_メタノール,係数_バス貨物_LPG),MATCH(AY1056+1,【参考】排出係数!$AI$4:$AI$671,1)-1,5,BE1056),3,FALSE),IF(OR(AW1056=1,AW1056=2),VLOOKUP(AU1056,INDEX((係数_乗用_ガソリン,係数_乗用_CNG,係数_乗用_軽油,係数_乗用_メタノール,係数_乗用_LPG),1,1,BE1056):INDEX((係数_乗用_ガソリン,係数_乗用_CNG,係数_乗用_軽油,係数_乗用_メタノール,係数_乗用_LPG),125,5,BE1056),3,FALSE))))))</f>
        <v/>
      </c>
      <c r="BC1056" s="467" t="str">
        <f t="shared" si="596"/>
        <v/>
      </c>
      <c r="BD1056" s="567" t="str">
        <f t="shared" si="597"/>
        <v/>
      </c>
      <c r="BE1056" s="467" t="str">
        <f t="shared" si="598"/>
        <v/>
      </c>
      <c r="BF1056" s="469" t="str">
        <f t="shared" ca="1" si="599"/>
        <v/>
      </c>
      <c r="BG1056" s="469" t="str">
        <f t="shared" ca="1" si="600"/>
        <v/>
      </c>
      <c r="BH1056" s="467" t="str">
        <f t="shared" si="601"/>
        <v/>
      </c>
      <c r="BI1056" s="467" t="str">
        <f t="shared" ca="1" si="602"/>
        <v/>
      </c>
      <c r="BJ1056" s="469" t="str">
        <f t="shared" si="603"/>
        <v/>
      </c>
      <c r="BK1056" s="470" t="str">
        <f t="shared" si="587"/>
        <v/>
      </c>
      <c r="BL1056" s="775" t="str">
        <f t="shared" si="604"/>
        <v/>
      </c>
      <c r="BM1056" s="775" t="str">
        <f t="shared" si="605"/>
        <v/>
      </c>
    </row>
    <row r="1057" spans="1:65">
      <c r="A1057" s="473">
        <v>1001</v>
      </c>
      <c r="B1057" s="132"/>
      <c r="C1057" s="332"/>
      <c r="D1057" s="333"/>
      <c r="E1057" s="333"/>
      <c r="F1057" s="334"/>
      <c r="G1057" s="337"/>
      <c r="H1057" s="131"/>
      <c r="I1057" s="337"/>
      <c r="J1057" s="131"/>
      <c r="K1057" s="458" t="str">
        <f t="shared" si="568"/>
        <v/>
      </c>
      <c r="L1057" s="458">
        <f t="shared" si="569"/>
        <v>0</v>
      </c>
      <c r="M1057" s="458">
        <f t="shared" si="570"/>
        <v>0</v>
      </c>
      <c r="N1057" s="459" t="str">
        <f t="shared" si="581"/>
        <v/>
      </c>
      <c r="O1057" s="459" t="str">
        <f t="shared" si="582"/>
        <v/>
      </c>
      <c r="P1057" s="459" t="str">
        <f t="shared" si="583"/>
        <v/>
      </c>
      <c r="Q1057" s="459" t="str">
        <f t="shared" si="584"/>
        <v/>
      </c>
      <c r="R1057" s="459" t="str">
        <f t="shared" si="585"/>
        <v/>
      </c>
      <c r="S1057" s="459" t="str">
        <f t="shared" si="586"/>
        <v/>
      </c>
      <c r="T1057" s="566" t="str">
        <f t="shared" si="571"/>
        <v/>
      </c>
      <c r="U1057" s="702"/>
      <c r="V1057" s="132"/>
      <c r="W1057" s="133"/>
      <c r="X1057" s="134"/>
      <c r="Y1057" s="135"/>
      <c r="Z1057" s="137"/>
      <c r="AA1057" s="136"/>
      <c r="AB1057" s="566" t="str">
        <f t="shared" si="572"/>
        <v/>
      </c>
      <c r="AC1057" s="568" t="str">
        <f t="shared" si="573"/>
        <v/>
      </c>
      <c r="AD1057" s="137"/>
      <c r="AE1057" s="137"/>
      <c r="AF1057" s="138"/>
      <c r="AG1057" s="138"/>
      <c r="AH1057" s="592" t="str">
        <f t="shared" si="574"/>
        <v/>
      </c>
      <c r="AI1057" s="592" t="str">
        <f t="shared" si="575"/>
        <v/>
      </c>
      <c r="AJ1057" s="592" t="str">
        <f t="shared" si="576"/>
        <v/>
      </c>
      <c r="AK1057" s="460" t="str">
        <f>IF(AU1057="","",IF(OR(AZ1057=8,AZ1057=9),0,IF(OR(AW1057=3,AW1057=4,AW1057=5,AW1057=6),IF(LEFT(BF1057,1)="1",INDEX(係数_NOX・PM低減,MATCH(AY1057,【参考】排出係数!$AI$801:$AI$804,1),1),VLOOKUP(AU1057,INDEX((係数_バス貨物_ガソリン,係数_バス貨物_CNG,係数_バス貨物_軽油,係数_バス貨物_メタノール,係数_バス貨物_LPG),MATCH(AY1057,【参考】排出係数!$AI$4:$AI$671,1),1,BE1057):INDEX((係数_バス貨物_ガソリン,係数_バス貨物_CNG,係数_バス貨物_軽油,係数_バス貨物_メタノール,係数_バス貨物_LPG),MATCH(AY1057+1,【参考】排出係数!$AI$4:$AI$671,1)-1,5,BE1057),4,FALSE)),IF(AND(BE1057=3,LEFT(BF1057,1)="1"),0.48,VLOOKUP(AU1057,INDEX((係数_乗用_ガソリン,係数_乗用_CNG,係数_乗用_軽油,係数_乗用_メタノール,係数_乗用_LPG),1,1,BE1057):INDEX((係数_乗用_ガソリン,係数_乗用_CNG,係数_乗用_軽油,係数_乗用_メタノール,係数_乗用_LPG),125,5,BE1057),4,FALSE)))))</f>
        <v/>
      </c>
      <c r="AL1057" s="461" t="str">
        <f t="shared" si="577"/>
        <v/>
      </c>
      <c r="AM1057" s="460" t="str">
        <f>IF(AU1057="","",IF(OR(AZ1057=8,AZ1057=9),0,IF(OR(AW1057=3,AW1057=4,AW1057=5,AW1057=6),IF(LEFT(BH1057,1)="1",INDEX(係数_PM低減,MATCH(AY1057,【参考】排出係数!$AI$801:$AI$804,1),MATCH(BI1057,【参考】排出係数!$AL$798:$AO$798,1)),VLOOKUP(AU1057,INDEX((係数_バス貨物_ガソリン,係数_バス貨物_CNG,係数_バス貨物_軽油,係数_バス貨物_メタノール,係数_バス貨物_LPG),MATCH(AY1057,【参考】排出係数!$AI$4:$AI$671,1),1,BE1057):INDEX((係数_バス貨物_ガソリン,係数_バス貨物_CNG,係数_バス貨物_軽油,係数_バス貨物_メタノール,係数_バス貨物_LPG),MATCH(AY1057+1,【参考】排出係数!$AI$4:$AI$671,1)-1,5,BE1057),5,FALSE)),IF(AND(BE1057=3,LEFT(BF1057,1)="1"),0.055,VLOOKUP(AU1057,INDEX((係数_乗用_ガソリン,係数_乗用_CNG,係数_乗用_軽油,係数_乗用_メタノール,係数_乗用_LPG),1,1,BE1057):INDEX((係数_乗用_ガソリン,係数_乗用_CNG,係数_乗用_軽油,係数_乗用_メタノール,係数_乗用_LPG),125,5,BE1057),5,FALSE)))))</f>
        <v/>
      </c>
      <c r="AN1057" s="461" t="str">
        <f t="shared" si="578"/>
        <v/>
      </c>
      <c r="AO1057" s="462" t="str">
        <f t="shared" si="579"/>
        <v/>
      </c>
      <c r="AP1057" s="463" t="str">
        <f t="shared" si="580"/>
        <v/>
      </c>
      <c r="AQ1057" s="464"/>
      <c r="AR1057" s="619"/>
      <c r="AS1057" s="465" t="str">
        <f t="shared" si="588"/>
        <v/>
      </c>
      <c r="AT1057" s="465" t="str">
        <f t="shared" si="589"/>
        <v/>
      </c>
      <c r="AU1057" s="466" t="str">
        <f t="shared" si="590"/>
        <v/>
      </c>
      <c r="AV1057" s="467" t="str">
        <f t="shared" si="591"/>
        <v/>
      </c>
      <c r="AW1057" s="467" t="str">
        <f t="shared" si="592"/>
        <v/>
      </c>
      <c r="AX1057" s="467" t="str">
        <f t="shared" si="593"/>
        <v/>
      </c>
      <c r="AY1057" s="467" t="str">
        <f t="shared" si="594"/>
        <v/>
      </c>
      <c r="AZ1057" s="467" t="str">
        <f t="shared" si="595"/>
        <v/>
      </c>
      <c r="BA1057" s="468" t="str">
        <f>IF(AS1057="","",IF(OR(AU1057="",AU1057="-"),"－",IF(OR(AZ1057=8,AZ1057=9),"",IF(OR(AW1057=3,AW1057=4,AW1057=5,AW1057=6),VLOOKUP(AU1057,INDEX((係数_バス貨物_ガソリン,係数_バス貨物_CNG,係数_バス貨物_軽油,係数_バス貨物_メタノール,係数_バス貨物_LPG),MATCH(AY1057,【参考】排出係数!$AI$4:$AI$671,1),1,BE1057):INDEX((係数_バス貨物_ガソリン,係数_バス貨物_CNG,係数_バス貨物_軽油,係数_バス貨物_メタノール,係数_バス貨物_LPG),MATCH(AY1057+1,【参考】排出係数!$AI$4:$AI$671,1)-1,5,BE1057),2,FALSE),IF(OR(AW1057=1,AW1057=2),VLOOKUP(AU1057,INDEX((係数_乗用_ガソリン,係数_乗用_CNG,係数_乗用_軽油,係数_乗用_メタノール,係数_乗用_LPG),1,1,BE1057):INDEX((係数_乗用_ガソリン,係数_乗用_CNG,係数_乗用_軽油,係数_乗用_メタノール,係数_乗用_LPG),125,5,BE1057),2,FALSE))))))</f>
        <v/>
      </c>
      <c r="BB1057" s="468" t="str">
        <f>IF(T1057="","",IF(OR(AU1057="",AU1057="-"),"－",IF(OR(AZ1057=8,AZ1057=9),"",IF(OR(AW1057=3,AW1057=4,AW1057=5,AW1057=6),VLOOKUP(AU1057,INDEX((係数_バス貨物_ガソリン,係数_バス貨物_CNG,係数_バス貨物_軽油,係数_バス貨物_メタノール,係数_バス貨物_LPG),MATCH(AY1057,【参考】排出係数!$AI$4:$AI$671,1),1,BE1057):INDEX((係数_バス貨物_ガソリン,係数_バス貨物_CNG,係数_バス貨物_軽油,係数_バス貨物_メタノール,係数_バス貨物_LPG),MATCH(AY1057+1,【参考】排出係数!$AI$4:$AI$671,1)-1,5,BE1057),3,FALSE),IF(OR(AW1057=1,AW1057=2),VLOOKUP(AU1057,INDEX((係数_乗用_ガソリン,係数_乗用_CNG,係数_乗用_軽油,係数_乗用_メタノール,係数_乗用_LPG),1,1,BE1057):INDEX((係数_乗用_ガソリン,係数_乗用_CNG,係数_乗用_軽油,係数_乗用_メタノール,係数_乗用_LPG),125,5,BE1057),3,FALSE))))))</f>
        <v/>
      </c>
      <c r="BC1057" s="467" t="str">
        <f t="shared" si="596"/>
        <v/>
      </c>
      <c r="BD1057" s="567" t="str">
        <f t="shared" si="597"/>
        <v/>
      </c>
      <c r="BE1057" s="467" t="str">
        <f t="shared" si="598"/>
        <v/>
      </c>
      <c r="BF1057" s="469" t="str">
        <f t="shared" ca="1" si="599"/>
        <v/>
      </c>
      <c r="BG1057" s="469" t="str">
        <f t="shared" ca="1" si="600"/>
        <v/>
      </c>
      <c r="BH1057" s="467" t="str">
        <f t="shared" si="601"/>
        <v/>
      </c>
      <c r="BI1057" s="467" t="str">
        <f t="shared" ca="1" si="602"/>
        <v/>
      </c>
      <c r="BJ1057" s="469" t="str">
        <f t="shared" si="603"/>
        <v/>
      </c>
      <c r="BK1057" s="470" t="str">
        <f t="shared" si="587"/>
        <v/>
      </c>
      <c r="BL1057" s="775" t="str">
        <f t="shared" si="604"/>
        <v/>
      </c>
      <c r="BM1057" s="775" t="str">
        <f t="shared" si="605"/>
        <v/>
      </c>
    </row>
    <row r="1058" spans="1:65">
      <c r="A1058" s="473">
        <v>1002</v>
      </c>
      <c r="B1058" s="132"/>
      <c r="C1058" s="332"/>
      <c r="D1058" s="333"/>
      <c r="E1058" s="333"/>
      <c r="F1058" s="334"/>
      <c r="G1058" s="337"/>
      <c r="H1058" s="131"/>
      <c r="I1058" s="337"/>
      <c r="J1058" s="131"/>
      <c r="K1058" s="458" t="str">
        <f t="shared" si="568"/>
        <v/>
      </c>
      <c r="L1058" s="458">
        <f t="shared" si="569"/>
        <v>0</v>
      </c>
      <c r="M1058" s="458">
        <f t="shared" si="570"/>
        <v>0</v>
      </c>
      <c r="N1058" s="459" t="str">
        <f t="shared" si="581"/>
        <v/>
      </c>
      <c r="O1058" s="459" t="str">
        <f t="shared" si="582"/>
        <v/>
      </c>
      <c r="P1058" s="459" t="str">
        <f t="shared" si="583"/>
        <v/>
      </c>
      <c r="Q1058" s="459" t="str">
        <f t="shared" si="584"/>
        <v/>
      </c>
      <c r="R1058" s="459" t="str">
        <f t="shared" si="585"/>
        <v/>
      </c>
      <c r="S1058" s="459" t="str">
        <f t="shared" si="586"/>
        <v/>
      </c>
      <c r="T1058" s="566" t="str">
        <f t="shared" si="571"/>
        <v/>
      </c>
      <c r="U1058" s="702"/>
      <c r="V1058" s="132"/>
      <c r="W1058" s="133"/>
      <c r="X1058" s="134"/>
      <c r="Y1058" s="135"/>
      <c r="Z1058" s="137"/>
      <c r="AA1058" s="136"/>
      <c r="AB1058" s="566" t="str">
        <f t="shared" si="572"/>
        <v/>
      </c>
      <c r="AC1058" s="568" t="str">
        <f t="shared" si="573"/>
        <v/>
      </c>
      <c r="AD1058" s="137"/>
      <c r="AE1058" s="137"/>
      <c r="AF1058" s="138"/>
      <c r="AG1058" s="138"/>
      <c r="AH1058" s="592" t="str">
        <f t="shared" si="574"/>
        <v/>
      </c>
      <c r="AI1058" s="592" t="str">
        <f t="shared" si="575"/>
        <v/>
      </c>
      <c r="AJ1058" s="592" t="str">
        <f t="shared" si="576"/>
        <v/>
      </c>
      <c r="AK1058" s="460" t="str">
        <f>IF(AU1058="","",IF(OR(AZ1058=8,AZ1058=9),0,IF(OR(AW1058=3,AW1058=4,AW1058=5,AW1058=6),IF(LEFT(BF1058,1)="1",INDEX(係数_NOX・PM低減,MATCH(AY1058,【参考】排出係数!$AI$801:$AI$804,1),1),VLOOKUP(AU1058,INDEX((係数_バス貨物_ガソリン,係数_バス貨物_CNG,係数_バス貨物_軽油,係数_バス貨物_メタノール,係数_バス貨物_LPG),MATCH(AY1058,【参考】排出係数!$AI$4:$AI$671,1),1,BE1058):INDEX((係数_バス貨物_ガソリン,係数_バス貨物_CNG,係数_バス貨物_軽油,係数_バス貨物_メタノール,係数_バス貨物_LPG),MATCH(AY1058+1,【参考】排出係数!$AI$4:$AI$671,1)-1,5,BE1058),4,FALSE)),IF(AND(BE1058=3,LEFT(BF1058,1)="1"),0.48,VLOOKUP(AU1058,INDEX((係数_乗用_ガソリン,係数_乗用_CNG,係数_乗用_軽油,係数_乗用_メタノール,係数_乗用_LPG),1,1,BE1058):INDEX((係数_乗用_ガソリン,係数_乗用_CNG,係数_乗用_軽油,係数_乗用_メタノール,係数_乗用_LPG),125,5,BE1058),4,FALSE)))))</f>
        <v/>
      </c>
      <c r="AL1058" s="461" t="str">
        <f t="shared" si="577"/>
        <v/>
      </c>
      <c r="AM1058" s="460" t="str">
        <f>IF(AU1058="","",IF(OR(AZ1058=8,AZ1058=9),0,IF(OR(AW1058=3,AW1058=4,AW1058=5,AW1058=6),IF(LEFT(BH1058,1)="1",INDEX(係数_PM低減,MATCH(AY1058,【参考】排出係数!$AI$801:$AI$804,1),MATCH(BI1058,【参考】排出係数!$AL$798:$AO$798,1)),VLOOKUP(AU1058,INDEX((係数_バス貨物_ガソリン,係数_バス貨物_CNG,係数_バス貨物_軽油,係数_バス貨物_メタノール,係数_バス貨物_LPG),MATCH(AY1058,【参考】排出係数!$AI$4:$AI$671,1),1,BE1058):INDEX((係数_バス貨物_ガソリン,係数_バス貨物_CNG,係数_バス貨物_軽油,係数_バス貨物_メタノール,係数_バス貨物_LPG),MATCH(AY1058+1,【参考】排出係数!$AI$4:$AI$671,1)-1,5,BE1058),5,FALSE)),IF(AND(BE1058=3,LEFT(BF1058,1)="1"),0.055,VLOOKUP(AU1058,INDEX((係数_乗用_ガソリン,係数_乗用_CNG,係数_乗用_軽油,係数_乗用_メタノール,係数_乗用_LPG),1,1,BE1058):INDEX((係数_乗用_ガソリン,係数_乗用_CNG,係数_乗用_軽油,係数_乗用_メタノール,係数_乗用_LPG),125,5,BE1058),5,FALSE)))))</f>
        <v/>
      </c>
      <c r="AN1058" s="461" t="str">
        <f t="shared" si="578"/>
        <v/>
      </c>
      <c r="AO1058" s="462" t="str">
        <f t="shared" si="579"/>
        <v/>
      </c>
      <c r="AP1058" s="463" t="str">
        <f t="shared" si="580"/>
        <v/>
      </c>
      <c r="AQ1058" s="464"/>
      <c r="AR1058" s="619"/>
      <c r="AS1058" s="465" t="str">
        <f t="shared" si="588"/>
        <v/>
      </c>
      <c r="AT1058" s="465" t="str">
        <f t="shared" si="589"/>
        <v/>
      </c>
      <c r="AU1058" s="466" t="str">
        <f t="shared" si="590"/>
        <v/>
      </c>
      <c r="AV1058" s="467" t="str">
        <f t="shared" si="591"/>
        <v/>
      </c>
      <c r="AW1058" s="467" t="str">
        <f t="shared" si="592"/>
        <v/>
      </c>
      <c r="AX1058" s="467" t="str">
        <f t="shared" si="593"/>
        <v/>
      </c>
      <c r="AY1058" s="467" t="str">
        <f t="shared" si="594"/>
        <v/>
      </c>
      <c r="AZ1058" s="467" t="str">
        <f t="shared" si="595"/>
        <v/>
      </c>
      <c r="BA1058" s="468" t="str">
        <f>IF(AS1058="","",IF(OR(AU1058="",AU1058="-"),"－",IF(OR(AZ1058=8,AZ1058=9),"",IF(OR(AW1058=3,AW1058=4,AW1058=5,AW1058=6),VLOOKUP(AU1058,INDEX((係数_バス貨物_ガソリン,係数_バス貨物_CNG,係数_バス貨物_軽油,係数_バス貨物_メタノール,係数_バス貨物_LPG),MATCH(AY1058,【参考】排出係数!$AI$4:$AI$671,1),1,BE1058):INDEX((係数_バス貨物_ガソリン,係数_バス貨物_CNG,係数_バス貨物_軽油,係数_バス貨物_メタノール,係数_バス貨物_LPG),MATCH(AY1058+1,【参考】排出係数!$AI$4:$AI$671,1)-1,5,BE1058),2,FALSE),IF(OR(AW1058=1,AW1058=2),VLOOKUP(AU1058,INDEX((係数_乗用_ガソリン,係数_乗用_CNG,係数_乗用_軽油,係数_乗用_メタノール,係数_乗用_LPG),1,1,BE1058):INDEX((係数_乗用_ガソリン,係数_乗用_CNG,係数_乗用_軽油,係数_乗用_メタノール,係数_乗用_LPG),125,5,BE1058),2,FALSE))))))</f>
        <v/>
      </c>
      <c r="BB1058" s="468" t="str">
        <f>IF(T1058="","",IF(OR(AU1058="",AU1058="-"),"－",IF(OR(AZ1058=8,AZ1058=9),"",IF(OR(AW1058=3,AW1058=4,AW1058=5,AW1058=6),VLOOKUP(AU1058,INDEX((係数_バス貨物_ガソリン,係数_バス貨物_CNG,係数_バス貨物_軽油,係数_バス貨物_メタノール,係数_バス貨物_LPG),MATCH(AY1058,【参考】排出係数!$AI$4:$AI$671,1),1,BE1058):INDEX((係数_バス貨物_ガソリン,係数_バス貨物_CNG,係数_バス貨物_軽油,係数_バス貨物_メタノール,係数_バス貨物_LPG),MATCH(AY1058+1,【参考】排出係数!$AI$4:$AI$671,1)-1,5,BE1058),3,FALSE),IF(OR(AW1058=1,AW1058=2),VLOOKUP(AU1058,INDEX((係数_乗用_ガソリン,係数_乗用_CNG,係数_乗用_軽油,係数_乗用_メタノール,係数_乗用_LPG),1,1,BE1058):INDEX((係数_乗用_ガソリン,係数_乗用_CNG,係数_乗用_軽油,係数_乗用_メタノール,係数_乗用_LPG),125,5,BE1058),3,FALSE))))))</f>
        <v/>
      </c>
      <c r="BC1058" s="467" t="str">
        <f t="shared" si="596"/>
        <v/>
      </c>
      <c r="BD1058" s="567" t="str">
        <f t="shared" si="597"/>
        <v/>
      </c>
      <c r="BE1058" s="467" t="str">
        <f t="shared" si="598"/>
        <v/>
      </c>
      <c r="BF1058" s="469" t="str">
        <f t="shared" ca="1" si="599"/>
        <v/>
      </c>
      <c r="BG1058" s="469" t="str">
        <f t="shared" ca="1" si="600"/>
        <v/>
      </c>
      <c r="BH1058" s="467" t="str">
        <f t="shared" si="601"/>
        <v/>
      </c>
      <c r="BI1058" s="467" t="str">
        <f t="shared" ca="1" si="602"/>
        <v/>
      </c>
      <c r="BJ1058" s="469" t="str">
        <f t="shared" si="603"/>
        <v/>
      </c>
      <c r="BK1058" s="470" t="str">
        <f t="shared" si="587"/>
        <v/>
      </c>
      <c r="BL1058" s="775" t="str">
        <f t="shared" si="604"/>
        <v/>
      </c>
      <c r="BM1058" s="775" t="str">
        <f t="shared" si="605"/>
        <v/>
      </c>
    </row>
    <row r="1059" spans="1:65">
      <c r="A1059" s="473">
        <v>1003</v>
      </c>
      <c r="B1059" s="132"/>
      <c r="C1059" s="332"/>
      <c r="D1059" s="333"/>
      <c r="E1059" s="333"/>
      <c r="F1059" s="334"/>
      <c r="G1059" s="337"/>
      <c r="H1059" s="131"/>
      <c r="I1059" s="337"/>
      <c r="J1059" s="131"/>
      <c r="K1059" s="458" t="str">
        <f t="shared" si="568"/>
        <v/>
      </c>
      <c r="L1059" s="458">
        <f t="shared" si="569"/>
        <v>0</v>
      </c>
      <c r="M1059" s="458">
        <f t="shared" si="570"/>
        <v>0</v>
      </c>
      <c r="N1059" s="459" t="str">
        <f t="shared" si="581"/>
        <v/>
      </c>
      <c r="O1059" s="459" t="str">
        <f t="shared" si="582"/>
        <v/>
      </c>
      <c r="P1059" s="459" t="str">
        <f t="shared" si="583"/>
        <v/>
      </c>
      <c r="Q1059" s="459" t="str">
        <f t="shared" si="584"/>
        <v/>
      </c>
      <c r="R1059" s="459" t="str">
        <f t="shared" si="585"/>
        <v/>
      </c>
      <c r="S1059" s="459" t="str">
        <f t="shared" si="586"/>
        <v/>
      </c>
      <c r="T1059" s="566" t="str">
        <f t="shared" si="571"/>
        <v/>
      </c>
      <c r="U1059" s="702"/>
      <c r="V1059" s="132"/>
      <c r="W1059" s="133"/>
      <c r="X1059" s="134"/>
      <c r="Y1059" s="135"/>
      <c r="Z1059" s="137"/>
      <c r="AA1059" s="136"/>
      <c r="AB1059" s="566" t="str">
        <f t="shared" si="572"/>
        <v/>
      </c>
      <c r="AC1059" s="568" t="str">
        <f t="shared" si="573"/>
        <v/>
      </c>
      <c r="AD1059" s="137"/>
      <c r="AE1059" s="137"/>
      <c r="AF1059" s="138"/>
      <c r="AG1059" s="138"/>
      <c r="AH1059" s="592" t="str">
        <f t="shared" si="574"/>
        <v/>
      </c>
      <c r="AI1059" s="592" t="str">
        <f t="shared" si="575"/>
        <v/>
      </c>
      <c r="AJ1059" s="592" t="str">
        <f t="shared" si="576"/>
        <v/>
      </c>
      <c r="AK1059" s="460" t="str">
        <f>IF(AU1059="","",IF(OR(AZ1059=8,AZ1059=9),0,IF(OR(AW1059=3,AW1059=4,AW1059=5,AW1059=6),IF(LEFT(BF1059,1)="1",INDEX(係数_NOX・PM低減,MATCH(AY1059,【参考】排出係数!$AI$801:$AI$804,1),1),VLOOKUP(AU1059,INDEX((係数_バス貨物_ガソリン,係数_バス貨物_CNG,係数_バス貨物_軽油,係数_バス貨物_メタノール,係数_バス貨物_LPG),MATCH(AY1059,【参考】排出係数!$AI$4:$AI$671,1),1,BE1059):INDEX((係数_バス貨物_ガソリン,係数_バス貨物_CNG,係数_バス貨物_軽油,係数_バス貨物_メタノール,係数_バス貨物_LPG),MATCH(AY1059+1,【参考】排出係数!$AI$4:$AI$671,1)-1,5,BE1059),4,FALSE)),IF(AND(BE1059=3,LEFT(BF1059,1)="1"),0.48,VLOOKUP(AU1059,INDEX((係数_乗用_ガソリン,係数_乗用_CNG,係数_乗用_軽油,係数_乗用_メタノール,係数_乗用_LPG),1,1,BE1059):INDEX((係数_乗用_ガソリン,係数_乗用_CNG,係数_乗用_軽油,係数_乗用_メタノール,係数_乗用_LPG),125,5,BE1059),4,FALSE)))))</f>
        <v/>
      </c>
      <c r="AL1059" s="461" t="str">
        <f t="shared" si="577"/>
        <v/>
      </c>
      <c r="AM1059" s="460" t="str">
        <f>IF(AU1059="","",IF(OR(AZ1059=8,AZ1059=9),0,IF(OR(AW1059=3,AW1059=4,AW1059=5,AW1059=6),IF(LEFT(BH1059,1)="1",INDEX(係数_PM低減,MATCH(AY1059,【参考】排出係数!$AI$801:$AI$804,1),MATCH(BI1059,【参考】排出係数!$AL$798:$AO$798,1)),VLOOKUP(AU1059,INDEX((係数_バス貨物_ガソリン,係数_バス貨物_CNG,係数_バス貨物_軽油,係数_バス貨物_メタノール,係数_バス貨物_LPG),MATCH(AY1059,【参考】排出係数!$AI$4:$AI$671,1),1,BE1059):INDEX((係数_バス貨物_ガソリン,係数_バス貨物_CNG,係数_バス貨物_軽油,係数_バス貨物_メタノール,係数_バス貨物_LPG),MATCH(AY1059+1,【参考】排出係数!$AI$4:$AI$671,1)-1,5,BE1059),5,FALSE)),IF(AND(BE1059=3,LEFT(BF1059,1)="1"),0.055,VLOOKUP(AU1059,INDEX((係数_乗用_ガソリン,係数_乗用_CNG,係数_乗用_軽油,係数_乗用_メタノール,係数_乗用_LPG),1,1,BE1059):INDEX((係数_乗用_ガソリン,係数_乗用_CNG,係数_乗用_軽油,係数_乗用_メタノール,係数_乗用_LPG),125,5,BE1059),5,FALSE)))))</f>
        <v/>
      </c>
      <c r="AN1059" s="461" t="str">
        <f t="shared" si="578"/>
        <v/>
      </c>
      <c r="AO1059" s="462" t="str">
        <f t="shared" si="579"/>
        <v/>
      </c>
      <c r="AP1059" s="463" t="str">
        <f t="shared" si="580"/>
        <v/>
      </c>
      <c r="AQ1059" s="464"/>
      <c r="AR1059" s="619"/>
      <c r="AS1059" s="465" t="str">
        <f t="shared" si="588"/>
        <v/>
      </c>
      <c r="AT1059" s="465" t="str">
        <f t="shared" si="589"/>
        <v/>
      </c>
      <c r="AU1059" s="466" t="str">
        <f t="shared" si="590"/>
        <v/>
      </c>
      <c r="AV1059" s="467" t="str">
        <f t="shared" si="591"/>
        <v/>
      </c>
      <c r="AW1059" s="467" t="str">
        <f t="shared" si="592"/>
        <v/>
      </c>
      <c r="AX1059" s="467" t="str">
        <f t="shared" si="593"/>
        <v/>
      </c>
      <c r="AY1059" s="467" t="str">
        <f t="shared" si="594"/>
        <v/>
      </c>
      <c r="AZ1059" s="467" t="str">
        <f t="shared" si="595"/>
        <v/>
      </c>
      <c r="BA1059" s="468" t="str">
        <f>IF(AS1059="","",IF(OR(AU1059="",AU1059="-"),"－",IF(OR(AZ1059=8,AZ1059=9),"",IF(OR(AW1059=3,AW1059=4,AW1059=5,AW1059=6),VLOOKUP(AU1059,INDEX((係数_バス貨物_ガソリン,係数_バス貨物_CNG,係数_バス貨物_軽油,係数_バス貨物_メタノール,係数_バス貨物_LPG),MATCH(AY1059,【参考】排出係数!$AI$4:$AI$671,1),1,BE1059):INDEX((係数_バス貨物_ガソリン,係数_バス貨物_CNG,係数_バス貨物_軽油,係数_バス貨物_メタノール,係数_バス貨物_LPG),MATCH(AY1059+1,【参考】排出係数!$AI$4:$AI$671,1)-1,5,BE1059),2,FALSE),IF(OR(AW1059=1,AW1059=2),VLOOKUP(AU1059,INDEX((係数_乗用_ガソリン,係数_乗用_CNG,係数_乗用_軽油,係数_乗用_メタノール,係数_乗用_LPG),1,1,BE1059):INDEX((係数_乗用_ガソリン,係数_乗用_CNG,係数_乗用_軽油,係数_乗用_メタノール,係数_乗用_LPG),125,5,BE1059),2,FALSE))))))</f>
        <v/>
      </c>
      <c r="BB1059" s="468" t="str">
        <f>IF(T1059="","",IF(OR(AU1059="",AU1059="-"),"－",IF(OR(AZ1059=8,AZ1059=9),"",IF(OR(AW1059=3,AW1059=4,AW1059=5,AW1059=6),VLOOKUP(AU1059,INDEX((係数_バス貨物_ガソリン,係数_バス貨物_CNG,係数_バス貨物_軽油,係数_バス貨物_メタノール,係数_バス貨物_LPG),MATCH(AY1059,【参考】排出係数!$AI$4:$AI$671,1),1,BE1059):INDEX((係数_バス貨物_ガソリン,係数_バス貨物_CNG,係数_バス貨物_軽油,係数_バス貨物_メタノール,係数_バス貨物_LPG),MATCH(AY1059+1,【参考】排出係数!$AI$4:$AI$671,1)-1,5,BE1059),3,FALSE),IF(OR(AW1059=1,AW1059=2),VLOOKUP(AU1059,INDEX((係数_乗用_ガソリン,係数_乗用_CNG,係数_乗用_軽油,係数_乗用_メタノール,係数_乗用_LPG),1,1,BE1059):INDEX((係数_乗用_ガソリン,係数_乗用_CNG,係数_乗用_軽油,係数_乗用_メタノール,係数_乗用_LPG),125,5,BE1059),3,FALSE))))))</f>
        <v/>
      </c>
      <c r="BC1059" s="467" t="str">
        <f t="shared" si="596"/>
        <v/>
      </c>
      <c r="BD1059" s="567" t="str">
        <f t="shared" si="597"/>
        <v/>
      </c>
      <c r="BE1059" s="467" t="str">
        <f t="shared" si="598"/>
        <v/>
      </c>
      <c r="BF1059" s="469" t="str">
        <f t="shared" ca="1" si="599"/>
        <v/>
      </c>
      <c r="BG1059" s="469" t="str">
        <f t="shared" ca="1" si="600"/>
        <v/>
      </c>
      <c r="BH1059" s="467" t="str">
        <f t="shared" si="601"/>
        <v/>
      </c>
      <c r="BI1059" s="467" t="str">
        <f t="shared" ca="1" si="602"/>
        <v/>
      </c>
      <c r="BJ1059" s="469" t="str">
        <f t="shared" si="603"/>
        <v/>
      </c>
      <c r="BK1059" s="470" t="str">
        <f t="shared" si="587"/>
        <v/>
      </c>
      <c r="BL1059" s="775" t="str">
        <f t="shared" si="604"/>
        <v/>
      </c>
      <c r="BM1059" s="775" t="str">
        <f t="shared" si="605"/>
        <v/>
      </c>
    </row>
    <row r="1060" spans="1:65">
      <c r="A1060" s="473">
        <v>1004</v>
      </c>
      <c r="B1060" s="132"/>
      <c r="C1060" s="332"/>
      <c r="D1060" s="333"/>
      <c r="E1060" s="333"/>
      <c r="F1060" s="334"/>
      <c r="G1060" s="337"/>
      <c r="H1060" s="131"/>
      <c r="I1060" s="337"/>
      <c r="J1060" s="131"/>
      <c r="K1060" s="458" t="str">
        <f t="shared" si="568"/>
        <v/>
      </c>
      <c r="L1060" s="458">
        <f t="shared" si="569"/>
        <v>0</v>
      </c>
      <c r="M1060" s="458">
        <f t="shared" si="570"/>
        <v>0</v>
      </c>
      <c r="N1060" s="459" t="str">
        <f t="shared" si="581"/>
        <v/>
      </c>
      <c r="O1060" s="459" t="str">
        <f t="shared" si="582"/>
        <v/>
      </c>
      <c r="P1060" s="459" t="str">
        <f t="shared" si="583"/>
        <v/>
      </c>
      <c r="Q1060" s="459" t="str">
        <f t="shared" si="584"/>
        <v/>
      </c>
      <c r="R1060" s="459" t="str">
        <f t="shared" si="585"/>
        <v/>
      </c>
      <c r="S1060" s="459" t="str">
        <f t="shared" si="586"/>
        <v/>
      </c>
      <c r="T1060" s="566" t="str">
        <f t="shared" si="571"/>
        <v/>
      </c>
      <c r="U1060" s="702"/>
      <c r="V1060" s="132"/>
      <c r="W1060" s="133"/>
      <c r="X1060" s="134"/>
      <c r="Y1060" s="135"/>
      <c r="Z1060" s="137"/>
      <c r="AA1060" s="136"/>
      <c r="AB1060" s="566" t="str">
        <f t="shared" si="572"/>
        <v/>
      </c>
      <c r="AC1060" s="568" t="str">
        <f t="shared" si="573"/>
        <v/>
      </c>
      <c r="AD1060" s="137"/>
      <c r="AE1060" s="137"/>
      <c r="AF1060" s="138"/>
      <c r="AG1060" s="138"/>
      <c r="AH1060" s="592" t="str">
        <f t="shared" si="574"/>
        <v/>
      </c>
      <c r="AI1060" s="592" t="str">
        <f t="shared" si="575"/>
        <v/>
      </c>
      <c r="AJ1060" s="592" t="str">
        <f t="shared" si="576"/>
        <v/>
      </c>
      <c r="AK1060" s="460" t="str">
        <f>IF(AU1060="","",IF(OR(AZ1060=8,AZ1060=9),0,IF(OR(AW1060=3,AW1060=4,AW1060=5,AW1060=6),IF(LEFT(BF1060,1)="1",INDEX(係数_NOX・PM低減,MATCH(AY1060,【参考】排出係数!$AI$801:$AI$804,1),1),VLOOKUP(AU1060,INDEX((係数_バス貨物_ガソリン,係数_バス貨物_CNG,係数_バス貨物_軽油,係数_バス貨物_メタノール,係数_バス貨物_LPG),MATCH(AY1060,【参考】排出係数!$AI$4:$AI$671,1),1,BE1060):INDEX((係数_バス貨物_ガソリン,係数_バス貨物_CNG,係数_バス貨物_軽油,係数_バス貨物_メタノール,係数_バス貨物_LPG),MATCH(AY1060+1,【参考】排出係数!$AI$4:$AI$671,1)-1,5,BE1060),4,FALSE)),IF(AND(BE1060=3,LEFT(BF1060,1)="1"),0.48,VLOOKUP(AU1060,INDEX((係数_乗用_ガソリン,係数_乗用_CNG,係数_乗用_軽油,係数_乗用_メタノール,係数_乗用_LPG),1,1,BE1060):INDEX((係数_乗用_ガソリン,係数_乗用_CNG,係数_乗用_軽油,係数_乗用_メタノール,係数_乗用_LPG),125,5,BE1060),4,FALSE)))))</f>
        <v/>
      </c>
      <c r="AL1060" s="461" t="str">
        <f t="shared" si="577"/>
        <v/>
      </c>
      <c r="AM1060" s="460" t="str">
        <f>IF(AU1060="","",IF(OR(AZ1060=8,AZ1060=9),0,IF(OR(AW1060=3,AW1060=4,AW1060=5,AW1060=6),IF(LEFT(BH1060,1)="1",INDEX(係数_PM低減,MATCH(AY1060,【参考】排出係数!$AI$801:$AI$804,1),MATCH(BI1060,【参考】排出係数!$AL$798:$AO$798,1)),VLOOKUP(AU1060,INDEX((係数_バス貨物_ガソリン,係数_バス貨物_CNG,係数_バス貨物_軽油,係数_バス貨物_メタノール,係数_バス貨物_LPG),MATCH(AY1060,【参考】排出係数!$AI$4:$AI$671,1),1,BE1060):INDEX((係数_バス貨物_ガソリン,係数_バス貨物_CNG,係数_バス貨物_軽油,係数_バス貨物_メタノール,係数_バス貨物_LPG),MATCH(AY1060+1,【参考】排出係数!$AI$4:$AI$671,1)-1,5,BE1060),5,FALSE)),IF(AND(BE1060=3,LEFT(BF1060,1)="1"),0.055,VLOOKUP(AU1060,INDEX((係数_乗用_ガソリン,係数_乗用_CNG,係数_乗用_軽油,係数_乗用_メタノール,係数_乗用_LPG),1,1,BE1060):INDEX((係数_乗用_ガソリン,係数_乗用_CNG,係数_乗用_軽油,係数_乗用_メタノール,係数_乗用_LPG),125,5,BE1060),5,FALSE)))))</f>
        <v/>
      </c>
      <c r="AN1060" s="461" t="str">
        <f t="shared" si="578"/>
        <v/>
      </c>
      <c r="AO1060" s="462" t="str">
        <f t="shared" si="579"/>
        <v/>
      </c>
      <c r="AP1060" s="463" t="str">
        <f t="shared" si="580"/>
        <v/>
      </c>
      <c r="AQ1060" s="464"/>
      <c r="AR1060" s="619"/>
      <c r="AS1060" s="465" t="str">
        <f t="shared" si="588"/>
        <v/>
      </c>
      <c r="AT1060" s="465" t="str">
        <f t="shared" si="589"/>
        <v/>
      </c>
      <c r="AU1060" s="466" t="str">
        <f t="shared" si="590"/>
        <v/>
      </c>
      <c r="AV1060" s="467" t="str">
        <f t="shared" si="591"/>
        <v/>
      </c>
      <c r="AW1060" s="467" t="str">
        <f t="shared" si="592"/>
        <v/>
      </c>
      <c r="AX1060" s="467" t="str">
        <f t="shared" si="593"/>
        <v/>
      </c>
      <c r="AY1060" s="467" t="str">
        <f t="shared" si="594"/>
        <v/>
      </c>
      <c r="AZ1060" s="467" t="str">
        <f t="shared" si="595"/>
        <v/>
      </c>
      <c r="BA1060" s="468" t="str">
        <f>IF(AS1060="","",IF(OR(AU1060="",AU1060="-"),"－",IF(OR(AZ1060=8,AZ1060=9),"",IF(OR(AW1060=3,AW1060=4,AW1060=5,AW1060=6),VLOOKUP(AU1060,INDEX((係数_バス貨物_ガソリン,係数_バス貨物_CNG,係数_バス貨物_軽油,係数_バス貨物_メタノール,係数_バス貨物_LPG),MATCH(AY1060,【参考】排出係数!$AI$4:$AI$671,1),1,BE1060):INDEX((係数_バス貨物_ガソリン,係数_バス貨物_CNG,係数_バス貨物_軽油,係数_バス貨物_メタノール,係数_バス貨物_LPG),MATCH(AY1060+1,【参考】排出係数!$AI$4:$AI$671,1)-1,5,BE1060),2,FALSE),IF(OR(AW1060=1,AW1060=2),VLOOKUP(AU1060,INDEX((係数_乗用_ガソリン,係数_乗用_CNG,係数_乗用_軽油,係数_乗用_メタノール,係数_乗用_LPG),1,1,BE1060):INDEX((係数_乗用_ガソリン,係数_乗用_CNG,係数_乗用_軽油,係数_乗用_メタノール,係数_乗用_LPG),125,5,BE1060),2,FALSE))))))</f>
        <v/>
      </c>
      <c r="BB1060" s="468" t="str">
        <f>IF(T1060="","",IF(OR(AU1060="",AU1060="-"),"－",IF(OR(AZ1060=8,AZ1060=9),"",IF(OR(AW1060=3,AW1060=4,AW1060=5,AW1060=6),VLOOKUP(AU1060,INDEX((係数_バス貨物_ガソリン,係数_バス貨物_CNG,係数_バス貨物_軽油,係数_バス貨物_メタノール,係数_バス貨物_LPG),MATCH(AY1060,【参考】排出係数!$AI$4:$AI$671,1),1,BE1060):INDEX((係数_バス貨物_ガソリン,係数_バス貨物_CNG,係数_バス貨物_軽油,係数_バス貨物_メタノール,係数_バス貨物_LPG),MATCH(AY1060+1,【参考】排出係数!$AI$4:$AI$671,1)-1,5,BE1060),3,FALSE),IF(OR(AW1060=1,AW1060=2),VLOOKUP(AU1060,INDEX((係数_乗用_ガソリン,係数_乗用_CNG,係数_乗用_軽油,係数_乗用_メタノール,係数_乗用_LPG),1,1,BE1060):INDEX((係数_乗用_ガソリン,係数_乗用_CNG,係数_乗用_軽油,係数_乗用_メタノール,係数_乗用_LPG),125,5,BE1060),3,FALSE))))))</f>
        <v/>
      </c>
      <c r="BC1060" s="467" t="str">
        <f t="shared" si="596"/>
        <v/>
      </c>
      <c r="BD1060" s="567" t="str">
        <f t="shared" si="597"/>
        <v/>
      </c>
      <c r="BE1060" s="467" t="str">
        <f t="shared" si="598"/>
        <v/>
      </c>
      <c r="BF1060" s="469" t="str">
        <f t="shared" ca="1" si="599"/>
        <v/>
      </c>
      <c r="BG1060" s="469" t="str">
        <f t="shared" ca="1" si="600"/>
        <v/>
      </c>
      <c r="BH1060" s="467" t="str">
        <f t="shared" si="601"/>
        <v/>
      </c>
      <c r="BI1060" s="467" t="str">
        <f t="shared" ca="1" si="602"/>
        <v/>
      </c>
      <c r="BJ1060" s="469" t="str">
        <f t="shared" si="603"/>
        <v/>
      </c>
      <c r="BK1060" s="470" t="str">
        <f t="shared" si="587"/>
        <v/>
      </c>
      <c r="BL1060" s="775" t="str">
        <f t="shared" si="604"/>
        <v/>
      </c>
      <c r="BM1060" s="775" t="str">
        <f t="shared" si="605"/>
        <v/>
      </c>
    </row>
    <row r="1061" spans="1:65">
      <c r="A1061" s="473">
        <v>1005</v>
      </c>
      <c r="B1061" s="132"/>
      <c r="C1061" s="332"/>
      <c r="D1061" s="333"/>
      <c r="E1061" s="333"/>
      <c r="F1061" s="334"/>
      <c r="G1061" s="337"/>
      <c r="H1061" s="131"/>
      <c r="I1061" s="337"/>
      <c r="J1061" s="131"/>
      <c r="K1061" s="458" t="str">
        <f t="shared" si="568"/>
        <v/>
      </c>
      <c r="L1061" s="458">
        <f t="shared" si="569"/>
        <v>0</v>
      </c>
      <c r="M1061" s="458">
        <f t="shared" si="570"/>
        <v>0</v>
      </c>
      <c r="N1061" s="459" t="str">
        <f t="shared" si="581"/>
        <v/>
      </c>
      <c r="O1061" s="459" t="str">
        <f t="shared" si="582"/>
        <v/>
      </c>
      <c r="P1061" s="459" t="str">
        <f t="shared" si="583"/>
        <v/>
      </c>
      <c r="Q1061" s="459" t="str">
        <f t="shared" si="584"/>
        <v/>
      </c>
      <c r="R1061" s="459" t="str">
        <f t="shared" si="585"/>
        <v/>
      </c>
      <c r="S1061" s="459" t="str">
        <f t="shared" si="586"/>
        <v/>
      </c>
      <c r="T1061" s="566" t="str">
        <f t="shared" si="571"/>
        <v/>
      </c>
      <c r="U1061" s="702"/>
      <c r="V1061" s="132"/>
      <c r="W1061" s="133"/>
      <c r="X1061" s="134"/>
      <c r="Y1061" s="135"/>
      <c r="Z1061" s="137"/>
      <c r="AA1061" s="136"/>
      <c r="AB1061" s="566" t="str">
        <f t="shared" si="572"/>
        <v/>
      </c>
      <c r="AC1061" s="568" t="str">
        <f t="shared" si="573"/>
        <v/>
      </c>
      <c r="AD1061" s="137"/>
      <c r="AE1061" s="137"/>
      <c r="AF1061" s="138"/>
      <c r="AG1061" s="138"/>
      <c r="AH1061" s="592" t="str">
        <f t="shared" si="574"/>
        <v/>
      </c>
      <c r="AI1061" s="592" t="str">
        <f t="shared" si="575"/>
        <v/>
      </c>
      <c r="AJ1061" s="592" t="str">
        <f t="shared" si="576"/>
        <v/>
      </c>
      <c r="AK1061" s="460" t="str">
        <f>IF(AU1061="","",IF(OR(AZ1061=8,AZ1061=9),0,IF(OR(AW1061=3,AW1061=4,AW1061=5,AW1061=6),IF(LEFT(BF1061,1)="1",INDEX(係数_NOX・PM低減,MATCH(AY1061,【参考】排出係数!$AI$801:$AI$804,1),1),VLOOKUP(AU1061,INDEX((係数_バス貨物_ガソリン,係数_バス貨物_CNG,係数_バス貨物_軽油,係数_バス貨物_メタノール,係数_バス貨物_LPG),MATCH(AY1061,【参考】排出係数!$AI$4:$AI$671,1),1,BE1061):INDEX((係数_バス貨物_ガソリン,係数_バス貨物_CNG,係数_バス貨物_軽油,係数_バス貨物_メタノール,係数_バス貨物_LPG),MATCH(AY1061+1,【参考】排出係数!$AI$4:$AI$671,1)-1,5,BE1061),4,FALSE)),IF(AND(BE1061=3,LEFT(BF1061,1)="1"),0.48,VLOOKUP(AU1061,INDEX((係数_乗用_ガソリン,係数_乗用_CNG,係数_乗用_軽油,係数_乗用_メタノール,係数_乗用_LPG),1,1,BE1061):INDEX((係数_乗用_ガソリン,係数_乗用_CNG,係数_乗用_軽油,係数_乗用_メタノール,係数_乗用_LPG),125,5,BE1061),4,FALSE)))))</f>
        <v/>
      </c>
      <c r="AL1061" s="461" t="str">
        <f t="shared" si="577"/>
        <v/>
      </c>
      <c r="AM1061" s="460" t="str">
        <f>IF(AU1061="","",IF(OR(AZ1061=8,AZ1061=9),0,IF(OR(AW1061=3,AW1061=4,AW1061=5,AW1061=6),IF(LEFT(BH1061,1)="1",INDEX(係数_PM低減,MATCH(AY1061,【参考】排出係数!$AI$801:$AI$804,1),MATCH(BI1061,【参考】排出係数!$AL$798:$AO$798,1)),VLOOKUP(AU1061,INDEX((係数_バス貨物_ガソリン,係数_バス貨物_CNG,係数_バス貨物_軽油,係数_バス貨物_メタノール,係数_バス貨物_LPG),MATCH(AY1061,【参考】排出係数!$AI$4:$AI$671,1),1,BE1061):INDEX((係数_バス貨物_ガソリン,係数_バス貨物_CNG,係数_バス貨物_軽油,係数_バス貨物_メタノール,係数_バス貨物_LPG),MATCH(AY1061+1,【参考】排出係数!$AI$4:$AI$671,1)-1,5,BE1061),5,FALSE)),IF(AND(BE1061=3,LEFT(BF1061,1)="1"),0.055,VLOOKUP(AU1061,INDEX((係数_乗用_ガソリン,係数_乗用_CNG,係数_乗用_軽油,係数_乗用_メタノール,係数_乗用_LPG),1,1,BE1061):INDEX((係数_乗用_ガソリン,係数_乗用_CNG,係数_乗用_軽油,係数_乗用_メタノール,係数_乗用_LPG),125,5,BE1061),5,FALSE)))))</f>
        <v/>
      </c>
      <c r="AN1061" s="461" t="str">
        <f t="shared" si="578"/>
        <v/>
      </c>
      <c r="AO1061" s="462" t="str">
        <f t="shared" si="579"/>
        <v/>
      </c>
      <c r="AP1061" s="463" t="str">
        <f t="shared" si="580"/>
        <v/>
      </c>
      <c r="AQ1061" s="464"/>
      <c r="AR1061" s="619"/>
      <c r="AS1061" s="465" t="str">
        <f t="shared" si="588"/>
        <v/>
      </c>
      <c r="AT1061" s="465" t="str">
        <f t="shared" si="589"/>
        <v/>
      </c>
      <c r="AU1061" s="466" t="str">
        <f t="shared" si="590"/>
        <v/>
      </c>
      <c r="AV1061" s="467" t="str">
        <f t="shared" si="591"/>
        <v/>
      </c>
      <c r="AW1061" s="467" t="str">
        <f t="shared" si="592"/>
        <v/>
      </c>
      <c r="AX1061" s="467" t="str">
        <f t="shared" si="593"/>
        <v/>
      </c>
      <c r="AY1061" s="467" t="str">
        <f t="shared" si="594"/>
        <v/>
      </c>
      <c r="AZ1061" s="467" t="str">
        <f t="shared" si="595"/>
        <v/>
      </c>
      <c r="BA1061" s="468" t="str">
        <f>IF(AS1061="","",IF(OR(AU1061="",AU1061="-"),"－",IF(OR(AZ1061=8,AZ1061=9),"",IF(OR(AW1061=3,AW1061=4,AW1061=5,AW1061=6),VLOOKUP(AU1061,INDEX((係数_バス貨物_ガソリン,係数_バス貨物_CNG,係数_バス貨物_軽油,係数_バス貨物_メタノール,係数_バス貨物_LPG),MATCH(AY1061,【参考】排出係数!$AI$4:$AI$671,1),1,BE1061):INDEX((係数_バス貨物_ガソリン,係数_バス貨物_CNG,係数_バス貨物_軽油,係数_バス貨物_メタノール,係数_バス貨物_LPG),MATCH(AY1061+1,【参考】排出係数!$AI$4:$AI$671,1)-1,5,BE1061),2,FALSE),IF(OR(AW1061=1,AW1061=2),VLOOKUP(AU1061,INDEX((係数_乗用_ガソリン,係数_乗用_CNG,係数_乗用_軽油,係数_乗用_メタノール,係数_乗用_LPG),1,1,BE1061):INDEX((係数_乗用_ガソリン,係数_乗用_CNG,係数_乗用_軽油,係数_乗用_メタノール,係数_乗用_LPG),125,5,BE1061),2,FALSE))))))</f>
        <v/>
      </c>
      <c r="BB1061" s="468" t="str">
        <f>IF(T1061="","",IF(OR(AU1061="",AU1061="-"),"－",IF(OR(AZ1061=8,AZ1061=9),"",IF(OR(AW1061=3,AW1061=4,AW1061=5,AW1061=6),VLOOKUP(AU1061,INDEX((係数_バス貨物_ガソリン,係数_バス貨物_CNG,係数_バス貨物_軽油,係数_バス貨物_メタノール,係数_バス貨物_LPG),MATCH(AY1061,【参考】排出係数!$AI$4:$AI$671,1),1,BE1061):INDEX((係数_バス貨物_ガソリン,係数_バス貨物_CNG,係数_バス貨物_軽油,係数_バス貨物_メタノール,係数_バス貨物_LPG),MATCH(AY1061+1,【参考】排出係数!$AI$4:$AI$671,1)-1,5,BE1061),3,FALSE),IF(OR(AW1061=1,AW1061=2),VLOOKUP(AU1061,INDEX((係数_乗用_ガソリン,係数_乗用_CNG,係数_乗用_軽油,係数_乗用_メタノール,係数_乗用_LPG),1,1,BE1061):INDEX((係数_乗用_ガソリン,係数_乗用_CNG,係数_乗用_軽油,係数_乗用_メタノール,係数_乗用_LPG),125,5,BE1061),3,FALSE))))))</f>
        <v/>
      </c>
      <c r="BC1061" s="467" t="str">
        <f t="shared" si="596"/>
        <v/>
      </c>
      <c r="BD1061" s="567" t="str">
        <f t="shared" si="597"/>
        <v/>
      </c>
      <c r="BE1061" s="467" t="str">
        <f t="shared" si="598"/>
        <v/>
      </c>
      <c r="BF1061" s="469" t="str">
        <f t="shared" ca="1" si="599"/>
        <v/>
      </c>
      <c r="BG1061" s="469" t="str">
        <f t="shared" ca="1" si="600"/>
        <v/>
      </c>
      <c r="BH1061" s="467" t="str">
        <f t="shared" si="601"/>
        <v/>
      </c>
      <c r="BI1061" s="467" t="str">
        <f t="shared" ca="1" si="602"/>
        <v/>
      </c>
      <c r="BJ1061" s="469" t="str">
        <f t="shared" si="603"/>
        <v/>
      </c>
      <c r="BK1061" s="470" t="str">
        <f t="shared" si="587"/>
        <v/>
      </c>
      <c r="BL1061" s="775" t="str">
        <f t="shared" si="604"/>
        <v/>
      </c>
      <c r="BM1061" s="775" t="str">
        <f t="shared" si="605"/>
        <v/>
      </c>
    </row>
    <row r="1062" spans="1:65">
      <c r="A1062" s="473">
        <v>1006</v>
      </c>
      <c r="B1062" s="132"/>
      <c r="C1062" s="332"/>
      <c r="D1062" s="333"/>
      <c r="E1062" s="333"/>
      <c r="F1062" s="334"/>
      <c r="G1062" s="337"/>
      <c r="H1062" s="131"/>
      <c r="I1062" s="337"/>
      <c r="J1062" s="131"/>
      <c r="K1062" s="458" t="str">
        <f t="shared" si="568"/>
        <v/>
      </c>
      <c r="L1062" s="458">
        <f t="shared" si="569"/>
        <v>0</v>
      </c>
      <c r="M1062" s="458">
        <f t="shared" si="570"/>
        <v>0</v>
      </c>
      <c r="N1062" s="459" t="str">
        <f t="shared" si="581"/>
        <v/>
      </c>
      <c r="O1062" s="459" t="str">
        <f t="shared" si="582"/>
        <v/>
      </c>
      <c r="P1062" s="459" t="str">
        <f t="shared" si="583"/>
        <v/>
      </c>
      <c r="Q1062" s="459" t="str">
        <f t="shared" si="584"/>
        <v/>
      </c>
      <c r="R1062" s="459" t="str">
        <f t="shared" si="585"/>
        <v/>
      </c>
      <c r="S1062" s="459" t="str">
        <f t="shared" si="586"/>
        <v/>
      </c>
      <c r="T1062" s="566" t="str">
        <f t="shared" si="571"/>
        <v/>
      </c>
      <c r="U1062" s="702"/>
      <c r="V1062" s="132"/>
      <c r="W1062" s="133"/>
      <c r="X1062" s="134"/>
      <c r="Y1062" s="135"/>
      <c r="Z1062" s="137"/>
      <c r="AA1062" s="136"/>
      <c r="AB1062" s="566" t="str">
        <f t="shared" si="572"/>
        <v/>
      </c>
      <c r="AC1062" s="568" t="str">
        <f t="shared" si="573"/>
        <v/>
      </c>
      <c r="AD1062" s="137"/>
      <c r="AE1062" s="137"/>
      <c r="AF1062" s="138"/>
      <c r="AG1062" s="138"/>
      <c r="AH1062" s="592" t="str">
        <f t="shared" si="574"/>
        <v/>
      </c>
      <c r="AI1062" s="592" t="str">
        <f t="shared" si="575"/>
        <v/>
      </c>
      <c r="AJ1062" s="592" t="str">
        <f t="shared" si="576"/>
        <v/>
      </c>
      <c r="AK1062" s="460" t="str">
        <f>IF(AU1062="","",IF(OR(AZ1062=8,AZ1062=9),0,IF(OR(AW1062=3,AW1062=4,AW1062=5,AW1062=6),IF(LEFT(BF1062,1)="1",INDEX(係数_NOX・PM低減,MATCH(AY1062,【参考】排出係数!$AI$801:$AI$804,1),1),VLOOKUP(AU1062,INDEX((係数_バス貨物_ガソリン,係数_バス貨物_CNG,係数_バス貨物_軽油,係数_バス貨物_メタノール,係数_バス貨物_LPG),MATCH(AY1062,【参考】排出係数!$AI$4:$AI$671,1),1,BE1062):INDEX((係数_バス貨物_ガソリン,係数_バス貨物_CNG,係数_バス貨物_軽油,係数_バス貨物_メタノール,係数_バス貨物_LPG),MATCH(AY1062+1,【参考】排出係数!$AI$4:$AI$671,1)-1,5,BE1062),4,FALSE)),IF(AND(BE1062=3,LEFT(BF1062,1)="1"),0.48,VLOOKUP(AU1062,INDEX((係数_乗用_ガソリン,係数_乗用_CNG,係数_乗用_軽油,係数_乗用_メタノール,係数_乗用_LPG),1,1,BE1062):INDEX((係数_乗用_ガソリン,係数_乗用_CNG,係数_乗用_軽油,係数_乗用_メタノール,係数_乗用_LPG),125,5,BE1062),4,FALSE)))))</f>
        <v/>
      </c>
      <c r="AL1062" s="461" t="str">
        <f t="shared" si="577"/>
        <v/>
      </c>
      <c r="AM1062" s="460" t="str">
        <f>IF(AU1062="","",IF(OR(AZ1062=8,AZ1062=9),0,IF(OR(AW1062=3,AW1062=4,AW1062=5,AW1062=6),IF(LEFT(BH1062,1)="1",INDEX(係数_PM低減,MATCH(AY1062,【参考】排出係数!$AI$801:$AI$804,1),MATCH(BI1062,【参考】排出係数!$AL$798:$AO$798,1)),VLOOKUP(AU1062,INDEX((係数_バス貨物_ガソリン,係数_バス貨物_CNG,係数_バス貨物_軽油,係数_バス貨物_メタノール,係数_バス貨物_LPG),MATCH(AY1062,【参考】排出係数!$AI$4:$AI$671,1),1,BE1062):INDEX((係数_バス貨物_ガソリン,係数_バス貨物_CNG,係数_バス貨物_軽油,係数_バス貨物_メタノール,係数_バス貨物_LPG),MATCH(AY1062+1,【参考】排出係数!$AI$4:$AI$671,1)-1,5,BE1062),5,FALSE)),IF(AND(BE1062=3,LEFT(BF1062,1)="1"),0.055,VLOOKUP(AU1062,INDEX((係数_乗用_ガソリン,係数_乗用_CNG,係数_乗用_軽油,係数_乗用_メタノール,係数_乗用_LPG),1,1,BE1062):INDEX((係数_乗用_ガソリン,係数_乗用_CNG,係数_乗用_軽油,係数_乗用_メタノール,係数_乗用_LPG),125,5,BE1062),5,FALSE)))))</f>
        <v/>
      </c>
      <c r="AN1062" s="461" t="str">
        <f t="shared" si="578"/>
        <v/>
      </c>
      <c r="AO1062" s="462" t="str">
        <f t="shared" si="579"/>
        <v/>
      </c>
      <c r="AP1062" s="463" t="str">
        <f t="shared" si="580"/>
        <v/>
      </c>
      <c r="AQ1062" s="464"/>
      <c r="AR1062" s="619"/>
      <c r="AS1062" s="465" t="str">
        <f t="shared" si="588"/>
        <v/>
      </c>
      <c r="AT1062" s="465" t="str">
        <f t="shared" si="589"/>
        <v/>
      </c>
      <c r="AU1062" s="466" t="str">
        <f t="shared" si="590"/>
        <v/>
      </c>
      <c r="AV1062" s="467" t="str">
        <f t="shared" si="591"/>
        <v/>
      </c>
      <c r="AW1062" s="467" t="str">
        <f t="shared" si="592"/>
        <v/>
      </c>
      <c r="AX1062" s="467" t="str">
        <f t="shared" si="593"/>
        <v/>
      </c>
      <c r="AY1062" s="467" t="str">
        <f t="shared" si="594"/>
        <v/>
      </c>
      <c r="AZ1062" s="467" t="str">
        <f t="shared" si="595"/>
        <v/>
      </c>
      <c r="BA1062" s="468" t="str">
        <f>IF(AS1062="","",IF(OR(AU1062="",AU1062="-"),"－",IF(OR(AZ1062=8,AZ1062=9),"",IF(OR(AW1062=3,AW1062=4,AW1062=5,AW1062=6),VLOOKUP(AU1062,INDEX((係数_バス貨物_ガソリン,係数_バス貨物_CNG,係数_バス貨物_軽油,係数_バス貨物_メタノール,係数_バス貨物_LPG),MATCH(AY1062,【参考】排出係数!$AI$4:$AI$671,1),1,BE1062):INDEX((係数_バス貨物_ガソリン,係数_バス貨物_CNG,係数_バス貨物_軽油,係数_バス貨物_メタノール,係数_バス貨物_LPG),MATCH(AY1062+1,【参考】排出係数!$AI$4:$AI$671,1)-1,5,BE1062),2,FALSE),IF(OR(AW1062=1,AW1062=2),VLOOKUP(AU1062,INDEX((係数_乗用_ガソリン,係数_乗用_CNG,係数_乗用_軽油,係数_乗用_メタノール,係数_乗用_LPG),1,1,BE1062):INDEX((係数_乗用_ガソリン,係数_乗用_CNG,係数_乗用_軽油,係数_乗用_メタノール,係数_乗用_LPG),125,5,BE1062),2,FALSE))))))</f>
        <v/>
      </c>
      <c r="BB1062" s="468" t="str">
        <f>IF(T1062="","",IF(OR(AU1062="",AU1062="-"),"－",IF(OR(AZ1062=8,AZ1062=9),"",IF(OR(AW1062=3,AW1062=4,AW1062=5,AW1062=6),VLOOKUP(AU1062,INDEX((係数_バス貨物_ガソリン,係数_バス貨物_CNG,係数_バス貨物_軽油,係数_バス貨物_メタノール,係数_バス貨物_LPG),MATCH(AY1062,【参考】排出係数!$AI$4:$AI$671,1),1,BE1062):INDEX((係数_バス貨物_ガソリン,係数_バス貨物_CNG,係数_バス貨物_軽油,係数_バス貨物_メタノール,係数_バス貨物_LPG),MATCH(AY1062+1,【参考】排出係数!$AI$4:$AI$671,1)-1,5,BE1062),3,FALSE),IF(OR(AW1062=1,AW1062=2),VLOOKUP(AU1062,INDEX((係数_乗用_ガソリン,係数_乗用_CNG,係数_乗用_軽油,係数_乗用_メタノール,係数_乗用_LPG),1,1,BE1062):INDEX((係数_乗用_ガソリン,係数_乗用_CNG,係数_乗用_軽油,係数_乗用_メタノール,係数_乗用_LPG),125,5,BE1062),3,FALSE))))))</f>
        <v/>
      </c>
      <c r="BC1062" s="467" t="str">
        <f t="shared" si="596"/>
        <v/>
      </c>
      <c r="BD1062" s="567" t="str">
        <f t="shared" si="597"/>
        <v/>
      </c>
      <c r="BE1062" s="467" t="str">
        <f t="shared" si="598"/>
        <v/>
      </c>
      <c r="BF1062" s="469" t="str">
        <f t="shared" ca="1" si="599"/>
        <v/>
      </c>
      <c r="BG1062" s="469" t="str">
        <f t="shared" ca="1" si="600"/>
        <v/>
      </c>
      <c r="BH1062" s="467" t="str">
        <f t="shared" si="601"/>
        <v/>
      </c>
      <c r="BI1062" s="467" t="str">
        <f t="shared" ca="1" si="602"/>
        <v/>
      </c>
      <c r="BJ1062" s="469" t="str">
        <f t="shared" si="603"/>
        <v/>
      </c>
      <c r="BK1062" s="470" t="str">
        <f t="shared" si="587"/>
        <v/>
      </c>
      <c r="BL1062" s="775" t="str">
        <f t="shared" si="604"/>
        <v/>
      </c>
      <c r="BM1062" s="775" t="str">
        <f t="shared" si="605"/>
        <v/>
      </c>
    </row>
    <row r="1063" spans="1:65">
      <c r="A1063" s="473">
        <v>1007</v>
      </c>
      <c r="B1063" s="132"/>
      <c r="C1063" s="332"/>
      <c r="D1063" s="333"/>
      <c r="E1063" s="333"/>
      <c r="F1063" s="334"/>
      <c r="G1063" s="337"/>
      <c r="H1063" s="131"/>
      <c r="I1063" s="337"/>
      <c r="J1063" s="131"/>
      <c r="K1063" s="458" t="str">
        <f t="shared" si="568"/>
        <v/>
      </c>
      <c r="L1063" s="458">
        <f t="shared" si="569"/>
        <v>0</v>
      </c>
      <c r="M1063" s="458">
        <f t="shared" si="570"/>
        <v>0</v>
      </c>
      <c r="N1063" s="459" t="str">
        <f t="shared" si="581"/>
        <v/>
      </c>
      <c r="O1063" s="459" t="str">
        <f t="shared" si="582"/>
        <v/>
      </c>
      <c r="P1063" s="459" t="str">
        <f t="shared" si="583"/>
        <v/>
      </c>
      <c r="Q1063" s="459" t="str">
        <f t="shared" si="584"/>
        <v/>
      </c>
      <c r="R1063" s="459" t="str">
        <f t="shared" si="585"/>
        <v/>
      </c>
      <c r="S1063" s="459" t="str">
        <f t="shared" si="586"/>
        <v/>
      </c>
      <c r="T1063" s="566" t="str">
        <f t="shared" si="571"/>
        <v/>
      </c>
      <c r="U1063" s="702"/>
      <c r="V1063" s="132"/>
      <c r="W1063" s="133"/>
      <c r="X1063" s="134"/>
      <c r="Y1063" s="135"/>
      <c r="Z1063" s="137"/>
      <c r="AA1063" s="136"/>
      <c r="AB1063" s="566" t="str">
        <f t="shared" si="572"/>
        <v/>
      </c>
      <c r="AC1063" s="568" t="str">
        <f t="shared" si="573"/>
        <v/>
      </c>
      <c r="AD1063" s="137"/>
      <c r="AE1063" s="137"/>
      <c r="AF1063" s="138"/>
      <c r="AG1063" s="138"/>
      <c r="AH1063" s="592" t="str">
        <f t="shared" si="574"/>
        <v/>
      </c>
      <c r="AI1063" s="592" t="str">
        <f t="shared" si="575"/>
        <v/>
      </c>
      <c r="AJ1063" s="592" t="str">
        <f t="shared" si="576"/>
        <v/>
      </c>
      <c r="AK1063" s="460" t="str">
        <f>IF(AU1063="","",IF(OR(AZ1063=8,AZ1063=9),0,IF(OR(AW1063=3,AW1063=4,AW1063=5,AW1063=6),IF(LEFT(BF1063,1)="1",INDEX(係数_NOX・PM低減,MATCH(AY1063,【参考】排出係数!$AI$801:$AI$804,1),1),VLOOKUP(AU1063,INDEX((係数_バス貨物_ガソリン,係数_バス貨物_CNG,係数_バス貨物_軽油,係数_バス貨物_メタノール,係数_バス貨物_LPG),MATCH(AY1063,【参考】排出係数!$AI$4:$AI$671,1),1,BE1063):INDEX((係数_バス貨物_ガソリン,係数_バス貨物_CNG,係数_バス貨物_軽油,係数_バス貨物_メタノール,係数_バス貨物_LPG),MATCH(AY1063+1,【参考】排出係数!$AI$4:$AI$671,1)-1,5,BE1063),4,FALSE)),IF(AND(BE1063=3,LEFT(BF1063,1)="1"),0.48,VLOOKUP(AU1063,INDEX((係数_乗用_ガソリン,係数_乗用_CNG,係数_乗用_軽油,係数_乗用_メタノール,係数_乗用_LPG),1,1,BE1063):INDEX((係数_乗用_ガソリン,係数_乗用_CNG,係数_乗用_軽油,係数_乗用_メタノール,係数_乗用_LPG),125,5,BE1063),4,FALSE)))))</f>
        <v/>
      </c>
      <c r="AL1063" s="461" t="str">
        <f t="shared" si="577"/>
        <v/>
      </c>
      <c r="AM1063" s="460" t="str">
        <f>IF(AU1063="","",IF(OR(AZ1063=8,AZ1063=9),0,IF(OR(AW1063=3,AW1063=4,AW1063=5,AW1063=6),IF(LEFT(BH1063,1)="1",INDEX(係数_PM低減,MATCH(AY1063,【参考】排出係数!$AI$801:$AI$804,1),MATCH(BI1063,【参考】排出係数!$AL$798:$AO$798,1)),VLOOKUP(AU1063,INDEX((係数_バス貨物_ガソリン,係数_バス貨物_CNG,係数_バス貨物_軽油,係数_バス貨物_メタノール,係数_バス貨物_LPG),MATCH(AY1063,【参考】排出係数!$AI$4:$AI$671,1),1,BE1063):INDEX((係数_バス貨物_ガソリン,係数_バス貨物_CNG,係数_バス貨物_軽油,係数_バス貨物_メタノール,係数_バス貨物_LPG),MATCH(AY1063+1,【参考】排出係数!$AI$4:$AI$671,1)-1,5,BE1063),5,FALSE)),IF(AND(BE1063=3,LEFT(BF1063,1)="1"),0.055,VLOOKUP(AU1063,INDEX((係数_乗用_ガソリン,係数_乗用_CNG,係数_乗用_軽油,係数_乗用_メタノール,係数_乗用_LPG),1,1,BE1063):INDEX((係数_乗用_ガソリン,係数_乗用_CNG,係数_乗用_軽油,係数_乗用_メタノール,係数_乗用_LPG),125,5,BE1063),5,FALSE)))))</f>
        <v/>
      </c>
      <c r="AN1063" s="461" t="str">
        <f t="shared" si="578"/>
        <v/>
      </c>
      <c r="AO1063" s="462" t="str">
        <f t="shared" si="579"/>
        <v/>
      </c>
      <c r="AP1063" s="463" t="str">
        <f t="shared" si="580"/>
        <v/>
      </c>
      <c r="AQ1063" s="464"/>
      <c r="AR1063" s="619"/>
      <c r="AS1063" s="465" t="str">
        <f t="shared" si="588"/>
        <v/>
      </c>
      <c r="AT1063" s="465" t="str">
        <f t="shared" si="589"/>
        <v/>
      </c>
      <c r="AU1063" s="466" t="str">
        <f t="shared" si="590"/>
        <v/>
      </c>
      <c r="AV1063" s="467" t="str">
        <f t="shared" si="591"/>
        <v/>
      </c>
      <c r="AW1063" s="467" t="str">
        <f t="shared" si="592"/>
        <v/>
      </c>
      <c r="AX1063" s="467" t="str">
        <f t="shared" si="593"/>
        <v/>
      </c>
      <c r="AY1063" s="467" t="str">
        <f t="shared" si="594"/>
        <v/>
      </c>
      <c r="AZ1063" s="467" t="str">
        <f t="shared" si="595"/>
        <v/>
      </c>
      <c r="BA1063" s="468" t="str">
        <f>IF(AS1063="","",IF(OR(AU1063="",AU1063="-"),"－",IF(OR(AZ1063=8,AZ1063=9),"",IF(OR(AW1063=3,AW1063=4,AW1063=5,AW1063=6),VLOOKUP(AU1063,INDEX((係数_バス貨物_ガソリン,係数_バス貨物_CNG,係数_バス貨物_軽油,係数_バス貨物_メタノール,係数_バス貨物_LPG),MATCH(AY1063,【参考】排出係数!$AI$4:$AI$671,1),1,BE1063):INDEX((係数_バス貨物_ガソリン,係数_バス貨物_CNG,係数_バス貨物_軽油,係数_バス貨物_メタノール,係数_バス貨物_LPG),MATCH(AY1063+1,【参考】排出係数!$AI$4:$AI$671,1)-1,5,BE1063),2,FALSE),IF(OR(AW1063=1,AW1063=2),VLOOKUP(AU1063,INDEX((係数_乗用_ガソリン,係数_乗用_CNG,係数_乗用_軽油,係数_乗用_メタノール,係数_乗用_LPG),1,1,BE1063):INDEX((係数_乗用_ガソリン,係数_乗用_CNG,係数_乗用_軽油,係数_乗用_メタノール,係数_乗用_LPG),125,5,BE1063),2,FALSE))))))</f>
        <v/>
      </c>
      <c r="BB1063" s="468" t="str">
        <f>IF(T1063="","",IF(OR(AU1063="",AU1063="-"),"－",IF(OR(AZ1063=8,AZ1063=9),"",IF(OR(AW1063=3,AW1063=4,AW1063=5,AW1063=6),VLOOKUP(AU1063,INDEX((係数_バス貨物_ガソリン,係数_バス貨物_CNG,係数_バス貨物_軽油,係数_バス貨物_メタノール,係数_バス貨物_LPG),MATCH(AY1063,【参考】排出係数!$AI$4:$AI$671,1),1,BE1063):INDEX((係数_バス貨物_ガソリン,係数_バス貨物_CNG,係数_バス貨物_軽油,係数_バス貨物_メタノール,係数_バス貨物_LPG),MATCH(AY1063+1,【参考】排出係数!$AI$4:$AI$671,1)-1,5,BE1063),3,FALSE),IF(OR(AW1063=1,AW1063=2),VLOOKUP(AU1063,INDEX((係数_乗用_ガソリン,係数_乗用_CNG,係数_乗用_軽油,係数_乗用_メタノール,係数_乗用_LPG),1,1,BE1063):INDEX((係数_乗用_ガソリン,係数_乗用_CNG,係数_乗用_軽油,係数_乗用_メタノール,係数_乗用_LPG),125,5,BE1063),3,FALSE))))))</f>
        <v/>
      </c>
      <c r="BC1063" s="467" t="str">
        <f t="shared" si="596"/>
        <v/>
      </c>
      <c r="BD1063" s="567" t="str">
        <f t="shared" si="597"/>
        <v/>
      </c>
      <c r="BE1063" s="467" t="str">
        <f t="shared" si="598"/>
        <v/>
      </c>
      <c r="BF1063" s="469" t="str">
        <f t="shared" ca="1" si="599"/>
        <v/>
      </c>
      <c r="BG1063" s="469" t="str">
        <f t="shared" ca="1" si="600"/>
        <v/>
      </c>
      <c r="BH1063" s="467" t="str">
        <f t="shared" si="601"/>
        <v/>
      </c>
      <c r="BI1063" s="467" t="str">
        <f t="shared" ca="1" si="602"/>
        <v/>
      </c>
      <c r="BJ1063" s="469" t="str">
        <f t="shared" si="603"/>
        <v/>
      </c>
      <c r="BK1063" s="470" t="str">
        <f t="shared" si="587"/>
        <v/>
      </c>
      <c r="BL1063" s="775" t="str">
        <f t="shared" si="604"/>
        <v/>
      </c>
      <c r="BM1063" s="775" t="str">
        <f t="shared" si="605"/>
        <v/>
      </c>
    </row>
    <row r="1064" spans="1:65">
      <c r="A1064" s="473">
        <v>1008</v>
      </c>
      <c r="B1064" s="132"/>
      <c r="C1064" s="332"/>
      <c r="D1064" s="333"/>
      <c r="E1064" s="333"/>
      <c r="F1064" s="334"/>
      <c r="G1064" s="337"/>
      <c r="H1064" s="131"/>
      <c r="I1064" s="337"/>
      <c r="J1064" s="131"/>
      <c r="K1064" s="458" t="str">
        <f t="shared" si="568"/>
        <v/>
      </c>
      <c r="L1064" s="458">
        <f t="shared" si="569"/>
        <v>0</v>
      </c>
      <c r="M1064" s="458">
        <f t="shared" si="570"/>
        <v>0</v>
      </c>
      <c r="N1064" s="459" t="str">
        <f t="shared" si="581"/>
        <v/>
      </c>
      <c r="O1064" s="459" t="str">
        <f t="shared" si="582"/>
        <v/>
      </c>
      <c r="P1064" s="459" t="str">
        <f t="shared" si="583"/>
        <v/>
      </c>
      <c r="Q1064" s="459" t="str">
        <f t="shared" si="584"/>
        <v/>
      </c>
      <c r="R1064" s="459" t="str">
        <f t="shared" si="585"/>
        <v/>
      </c>
      <c r="S1064" s="459" t="str">
        <f t="shared" si="586"/>
        <v/>
      </c>
      <c r="T1064" s="566" t="str">
        <f t="shared" si="571"/>
        <v/>
      </c>
      <c r="U1064" s="702"/>
      <c r="V1064" s="132"/>
      <c r="W1064" s="133"/>
      <c r="X1064" s="134"/>
      <c r="Y1064" s="135"/>
      <c r="Z1064" s="137"/>
      <c r="AA1064" s="136"/>
      <c r="AB1064" s="566" t="str">
        <f t="shared" si="572"/>
        <v/>
      </c>
      <c r="AC1064" s="568" t="str">
        <f t="shared" si="573"/>
        <v/>
      </c>
      <c r="AD1064" s="137"/>
      <c r="AE1064" s="137"/>
      <c r="AF1064" s="138"/>
      <c r="AG1064" s="138"/>
      <c r="AH1064" s="592" t="str">
        <f t="shared" si="574"/>
        <v/>
      </c>
      <c r="AI1064" s="592" t="str">
        <f t="shared" si="575"/>
        <v/>
      </c>
      <c r="AJ1064" s="592" t="str">
        <f t="shared" si="576"/>
        <v/>
      </c>
      <c r="AK1064" s="460" t="str">
        <f>IF(AU1064="","",IF(OR(AZ1064=8,AZ1064=9),0,IF(OR(AW1064=3,AW1064=4,AW1064=5,AW1064=6),IF(LEFT(BF1064,1)="1",INDEX(係数_NOX・PM低減,MATCH(AY1064,【参考】排出係数!$AI$801:$AI$804,1),1),VLOOKUP(AU1064,INDEX((係数_バス貨物_ガソリン,係数_バス貨物_CNG,係数_バス貨物_軽油,係数_バス貨物_メタノール,係数_バス貨物_LPG),MATCH(AY1064,【参考】排出係数!$AI$4:$AI$671,1),1,BE1064):INDEX((係数_バス貨物_ガソリン,係数_バス貨物_CNG,係数_バス貨物_軽油,係数_バス貨物_メタノール,係数_バス貨物_LPG),MATCH(AY1064+1,【参考】排出係数!$AI$4:$AI$671,1)-1,5,BE1064),4,FALSE)),IF(AND(BE1064=3,LEFT(BF1064,1)="1"),0.48,VLOOKUP(AU1064,INDEX((係数_乗用_ガソリン,係数_乗用_CNG,係数_乗用_軽油,係数_乗用_メタノール,係数_乗用_LPG),1,1,BE1064):INDEX((係数_乗用_ガソリン,係数_乗用_CNG,係数_乗用_軽油,係数_乗用_メタノール,係数_乗用_LPG),125,5,BE1064),4,FALSE)))))</f>
        <v/>
      </c>
      <c r="AL1064" s="461" t="str">
        <f t="shared" si="577"/>
        <v/>
      </c>
      <c r="AM1064" s="460" t="str">
        <f>IF(AU1064="","",IF(OR(AZ1064=8,AZ1064=9),0,IF(OR(AW1064=3,AW1064=4,AW1064=5,AW1064=6),IF(LEFT(BH1064,1)="1",INDEX(係数_PM低減,MATCH(AY1064,【参考】排出係数!$AI$801:$AI$804,1),MATCH(BI1064,【参考】排出係数!$AL$798:$AO$798,1)),VLOOKUP(AU1064,INDEX((係数_バス貨物_ガソリン,係数_バス貨物_CNG,係数_バス貨物_軽油,係数_バス貨物_メタノール,係数_バス貨物_LPG),MATCH(AY1064,【参考】排出係数!$AI$4:$AI$671,1),1,BE1064):INDEX((係数_バス貨物_ガソリン,係数_バス貨物_CNG,係数_バス貨物_軽油,係数_バス貨物_メタノール,係数_バス貨物_LPG),MATCH(AY1064+1,【参考】排出係数!$AI$4:$AI$671,1)-1,5,BE1064),5,FALSE)),IF(AND(BE1064=3,LEFT(BF1064,1)="1"),0.055,VLOOKUP(AU1064,INDEX((係数_乗用_ガソリン,係数_乗用_CNG,係数_乗用_軽油,係数_乗用_メタノール,係数_乗用_LPG),1,1,BE1064):INDEX((係数_乗用_ガソリン,係数_乗用_CNG,係数_乗用_軽油,係数_乗用_メタノール,係数_乗用_LPG),125,5,BE1064),5,FALSE)))))</f>
        <v/>
      </c>
      <c r="AN1064" s="461" t="str">
        <f t="shared" si="578"/>
        <v/>
      </c>
      <c r="AO1064" s="462" t="str">
        <f t="shared" si="579"/>
        <v/>
      </c>
      <c r="AP1064" s="463" t="str">
        <f t="shared" si="580"/>
        <v/>
      </c>
      <c r="AQ1064" s="464"/>
      <c r="AR1064" s="619"/>
      <c r="AS1064" s="465" t="str">
        <f t="shared" si="588"/>
        <v/>
      </c>
      <c r="AT1064" s="465" t="str">
        <f t="shared" si="589"/>
        <v/>
      </c>
      <c r="AU1064" s="466" t="str">
        <f t="shared" si="590"/>
        <v/>
      </c>
      <c r="AV1064" s="467" t="str">
        <f t="shared" si="591"/>
        <v/>
      </c>
      <c r="AW1064" s="467" t="str">
        <f t="shared" si="592"/>
        <v/>
      </c>
      <c r="AX1064" s="467" t="str">
        <f t="shared" si="593"/>
        <v/>
      </c>
      <c r="AY1064" s="467" t="str">
        <f t="shared" si="594"/>
        <v/>
      </c>
      <c r="AZ1064" s="467" t="str">
        <f t="shared" si="595"/>
        <v/>
      </c>
      <c r="BA1064" s="468" t="str">
        <f>IF(AS1064="","",IF(OR(AU1064="",AU1064="-"),"－",IF(OR(AZ1064=8,AZ1064=9),"",IF(OR(AW1064=3,AW1064=4,AW1064=5,AW1064=6),VLOOKUP(AU1064,INDEX((係数_バス貨物_ガソリン,係数_バス貨物_CNG,係数_バス貨物_軽油,係数_バス貨物_メタノール,係数_バス貨物_LPG),MATCH(AY1064,【参考】排出係数!$AI$4:$AI$671,1),1,BE1064):INDEX((係数_バス貨物_ガソリン,係数_バス貨物_CNG,係数_バス貨物_軽油,係数_バス貨物_メタノール,係数_バス貨物_LPG),MATCH(AY1064+1,【参考】排出係数!$AI$4:$AI$671,1)-1,5,BE1064),2,FALSE),IF(OR(AW1064=1,AW1064=2),VLOOKUP(AU1064,INDEX((係数_乗用_ガソリン,係数_乗用_CNG,係数_乗用_軽油,係数_乗用_メタノール,係数_乗用_LPG),1,1,BE1064):INDEX((係数_乗用_ガソリン,係数_乗用_CNG,係数_乗用_軽油,係数_乗用_メタノール,係数_乗用_LPG),125,5,BE1064),2,FALSE))))))</f>
        <v/>
      </c>
      <c r="BB1064" s="468" t="str">
        <f>IF(T1064="","",IF(OR(AU1064="",AU1064="-"),"－",IF(OR(AZ1064=8,AZ1064=9),"",IF(OR(AW1064=3,AW1064=4,AW1064=5,AW1064=6),VLOOKUP(AU1064,INDEX((係数_バス貨物_ガソリン,係数_バス貨物_CNG,係数_バス貨物_軽油,係数_バス貨物_メタノール,係数_バス貨物_LPG),MATCH(AY1064,【参考】排出係数!$AI$4:$AI$671,1),1,BE1064):INDEX((係数_バス貨物_ガソリン,係数_バス貨物_CNG,係数_バス貨物_軽油,係数_バス貨物_メタノール,係数_バス貨物_LPG),MATCH(AY1064+1,【参考】排出係数!$AI$4:$AI$671,1)-1,5,BE1064),3,FALSE),IF(OR(AW1064=1,AW1064=2),VLOOKUP(AU1064,INDEX((係数_乗用_ガソリン,係数_乗用_CNG,係数_乗用_軽油,係数_乗用_メタノール,係数_乗用_LPG),1,1,BE1064):INDEX((係数_乗用_ガソリン,係数_乗用_CNG,係数_乗用_軽油,係数_乗用_メタノール,係数_乗用_LPG),125,5,BE1064),3,FALSE))))))</f>
        <v/>
      </c>
      <c r="BC1064" s="467" t="str">
        <f t="shared" si="596"/>
        <v/>
      </c>
      <c r="BD1064" s="567" t="str">
        <f t="shared" si="597"/>
        <v/>
      </c>
      <c r="BE1064" s="467" t="str">
        <f t="shared" si="598"/>
        <v/>
      </c>
      <c r="BF1064" s="469" t="str">
        <f t="shared" ca="1" si="599"/>
        <v/>
      </c>
      <c r="BG1064" s="469" t="str">
        <f t="shared" ca="1" si="600"/>
        <v/>
      </c>
      <c r="BH1064" s="467" t="str">
        <f t="shared" si="601"/>
        <v/>
      </c>
      <c r="BI1064" s="467" t="str">
        <f t="shared" ca="1" si="602"/>
        <v/>
      </c>
      <c r="BJ1064" s="469" t="str">
        <f t="shared" si="603"/>
        <v/>
      </c>
      <c r="BK1064" s="470" t="str">
        <f t="shared" si="587"/>
        <v/>
      </c>
      <c r="BL1064" s="775" t="str">
        <f t="shared" si="604"/>
        <v/>
      </c>
      <c r="BM1064" s="775" t="str">
        <f t="shared" si="605"/>
        <v/>
      </c>
    </row>
    <row r="1065" spans="1:65">
      <c r="A1065" s="473">
        <v>1009</v>
      </c>
      <c r="B1065" s="132"/>
      <c r="C1065" s="332"/>
      <c r="D1065" s="333"/>
      <c r="E1065" s="333"/>
      <c r="F1065" s="334"/>
      <c r="G1065" s="337"/>
      <c r="H1065" s="131"/>
      <c r="I1065" s="337"/>
      <c r="J1065" s="131"/>
      <c r="K1065" s="458" t="str">
        <f t="shared" si="568"/>
        <v/>
      </c>
      <c r="L1065" s="458">
        <f t="shared" si="569"/>
        <v>0</v>
      </c>
      <c r="M1065" s="458">
        <f t="shared" si="570"/>
        <v>0</v>
      </c>
      <c r="N1065" s="459" t="str">
        <f t="shared" si="581"/>
        <v/>
      </c>
      <c r="O1065" s="459" t="str">
        <f t="shared" si="582"/>
        <v/>
      </c>
      <c r="P1065" s="459" t="str">
        <f t="shared" si="583"/>
        <v/>
      </c>
      <c r="Q1065" s="459" t="str">
        <f t="shared" si="584"/>
        <v/>
      </c>
      <c r="R1065" s="459" t="str">
        <f t="shared" si="585"/>
        <v/>
      </c>
      <c r="S1065" s="459" t="str">
        <f t="shared" si="586"/>
        <v/>
      </c>
      <c r="T1065" s="566" t="str">
        <f t="shared" si="571"/>
        <v/>
      </c>
      <c r="U1065" s="702"/>
      <c r="V1065" s="132"/>
      <c r="W1065" s="133"/>
      <c r="X1065" s="134"/>
      <c r="Y1065" s="135"/>
      <c r="Z1065" s="137"/>
      <c r="AA1065" s="136"/>
      <c r="AB1065" s="566" t="str">
        <f t="shared" si="572"/>
        <v/>
      </c>
      <c r="AC1065" s="568" t="str">
        <f t="shared" si="573"/>
        <v/>
      </c>
      <c r="AD1065" s="137"/>
      <c r="AE1065" s="137"/>
      <c r="AF1065" s="138"/>
      <c r="AG1065" s="138"/>
      <c r="AH1065" s="592" t="str">
        <f t="shared" si="574"/>
        <v/>
      </c>
      <c r="AI1065" s="592" t="str">
        <f t="shared" si="575"/>
        <v/>
      </c>
      <c r="AJ1065" s="592" t="str">
        <f t="shared" si="576"/>
        <v/>
      </c>
      <c r="AK1065" s="460" t="str">
        <f>IF(AU1065="","",IF(OR(AZ1065=8,AZ1065=9),0,IF(OR(AW1065=3,AW1065=4,AW1065=5,AW1065=6),IF(LEFT(BF1065,1)="1",INDEX(係数_NOX・PM低減,MATCH(AY1065,【参考】排出係数!$AI$801:$AI$804,1),1),VLOOKUP(AU1065,INDEX((係数_バス貨物_ガソリン,係数_バス貨物_CNG,係数_バス貨物_軽油,係数_バス貨物_メタノール,係数_バス貨物_LPG),MATCH(AY1065,【参考】排出係数!$AI$4:$AI$671,1),1,BE1065):INDEX((係数_バス貨物_ガソリン,係数_バス貨物_CNG,係数_バス貨物_軽油,係数_バス貨物_メタノール,係数_バス貨物_LPG),MATCH(AY1065+1,【参考】排出係数!$AI$4:$AI$671,1)-1,5,BE1065),4,FALSE)),IF(AND(BE1065=3,LEFT(BF1065,1)="1"),0.48,VLOOKUP(AU1065,INDEX((係数_乗用_ガソリン,係数_乗用_CNG,係数_乗用_軽油,係数_乗用_メタノール,係数_乗用_LPG),1,1,BE1065):INDEX((係数_乗用_ガソリン,係数_乗用_CNG,係数_乗用_軽油,係数_乗用_メタノール,係数_乗用_LPG),125,5,BE1065),4,FALSE)))))</f>
        <v/>
      </c>
      <c r="AL1065" s="461" t="str">
        <f t="shared" si="577"/>
        <v/>
      </c>
      <c r="AM1065" s="460" t="str">
        <f>IF(AU1065="","",IF(OR(AZ1065=8,AZ1065=9),0,IF(OR(AW1065=3,AW1065=4,AW1065=5,AW1065=6),IF(LEFT(BH1065,1)="1",INDEX(係数_PM低減,MATCH(AY1065,【参考】排出係数!$AI$801:$AI$804,1),MATCH(BI1065,【参考】排出係数!$AL$798:$AO$798,1)),VLOOKUP(AU1065,INDEX((係数_バス貨物_ガソリン,係数_バス貨物_CNG,係数_バス貨物_軽油,係数_バス貨物_メタノール,係数_バス貨物_LPG),MATCH(AY1065,【参考】排出係数!$AI$4:$AI$671,1),1,BE1065):INDEX((係数_バス貨物_ガソリン,係数_バス貨物_CNG,係数_バス貨物_軽油,係数_バス貨物_メタノール,係数_バス貨物_LPG),MATCH(AY1065+1,【参考】排出係数!$AI$4:$AI$671,1)-1,5,BE1065),5,FALSE)),IF(AND(BE1065=3,LEFT(BF1065,1)="1"),0.055,VLOOKUP(AU1065,INDEX((係数_乗用_ガソリン,係数_乗用_CNG,係数_乗用_軽油,係数_乗用_メタノール,係数_乗用_LPG),1,1,BE1065):INDEX((係数_乗用_ガソリン,係数_乗用_CNG,係数_乗用_軽油,係数_乗用_メタノール,係数_乗用_LPG),125,5,BE1065),5,FALSE)))))</f>
        <v/>
      </c>
      <c r="AN1065" s="461" t="str">
        <f t="shared" si="578"/>
        <v/>
      </c>
      <c r="AO1065" s="462" t="str">
        <f t="shared" si="579"/>
        <v/>
      </c>
      <c r="AP1065" s="463" t="str">
        <f t="shared" si="580"/>
        <v/>
      </c>
      <c r="AQ1065" s="464"/>
      <c r="AR1065" s="619"/>
      <c r="AS1065" s="465" t="str">
        <f t="shared" si="588"/>
        <v/>
      </c>
      <c r="AT1065" s="465" t="str">
        <f t="shared" si="589"/>
        <v/>
      </c>
      <c r="AU1065" s="466" t="str">
        <f t="shared" si="590"/>
        <v/>
      </c>
      <c r="AV1065" s="467" t="str">
        <f t="shared" si="591"/>
        <v/>
      </c>
      <c r="AW1065" s="467" t="str">
        <f t="shared" si="592"/>
        <v/>
      </c>
      <c r="AX1065" s="467" t="str">
        <f t="shared" si="593"/>
        <v/>
      </c>
      <c r="AY1065" s="467" t="str">
        <f t="shared" si="594"/>
        <v/>
      </c>
      <c r="AZ1065" s="467" t="str">
        <f t="shared" si="595"/>
        <v/>
      </c>
      <c r="BA1065" s="468" t="str">
        <f>IF(AS1065="","",IF(OR(AU1065="",AU1065="-"),"－",IF(OR(AZ1065=8,AZ1065=9),"",IF(OR(AW1065=3,AW1065=4,AW1065=5,AW1065=6),VLOOKUP(AU1065,INDEX((係数_バス貨物_ガソリン,係数_バス貨物_CNG,係数_バス貨物_軽油,係数_バス貨物_メタノール,係数_バス貨物_LPG),MATCH(AY1065,【参考】排出係数!$AI$4:$AI$671,1),1,BE1065):INDEX((係数_バス貨物_ガソリン,係数_バス貨物_CNG,係数_バス貨物_軽油,係数_バス貨物_メタノール,係数_バス貨物_LPG),MATCH(AY1065+1,【参考】排出係数!$AI$4:$AI$671,1)-1,5,BE1065),2,FALSE),IF(OR(AW1065=1,AW1065=2),VLOOKUP(AU1065,INDEX((係数_乗用_ガソリン,係数_乗用_CNG,係数_乗用_軽油,係数_乗用_メタノール,係数_乗用_LPG),1,1,BE1065):INDEX((係数_乗用_ガソリン,係数_乗用_CNG,係数_乗用_軽油,係数_乗用_メタノール,係数_乗用_LPG),125,5,BE1065),2,FALSE))))))</f>
        <v/>
      </c>
      <c r="BB1065" s="468" t="str">
        <f>IF(T1065="","",IF(OR(AU1065="",AU1065="-"),"－",IF(OR(AZ1065=8,AZ1065=9),"",IF(OR(AW1065=3,AW1065=4,AW1065=5,AW1065=6),VLOOKUP(AU1065,INDEX((係数_バス貨物_ガソリン,係数_バス貨物_CNG,係数_バス貨物_軽油,係数_バス貨物_メタノール,係数_バス貨物_LPG),MATCH(AY1065,【参考】排出係数!$AI$4:$AI$671,1),1,BE1065):INDEX((係数_バス貨物_ガソリン,係数_バス貨物_CNG,係数_バス貨物_軽油,係数_バス貨物_メタノール,係数_バス貨物_LPG),MATCH(AY1065+1,【参考】排出係数!$AI$4:$AI$671,1)-1,5,BE1065),3,FALSE),IF(OR(AW1065=1,AW1065=2),VLOOKUP(AU1065,INDEX((係数_乗用_ガソリン,係数_乗用_CNG,係数_乗用_軽油,係数_乗用_メタノール,係数_乗用_LPG),1,1,BE1065):INDEX((係数_乗用_ガソリン,係数_乗用_CNG,係数_乗用_軽油,係数_乗用_メタノール,係数_乗用_LPG),125,5,BE1065),3,FALSE))))))</f>
        <v/>
      </c>
      <c r="BC1065" s="467" t="str">
        <f t="shared" si="596"/>
        <v/>
      </c>
      <c r="BD1065" s="567" t="str">
        <f t="shared" si="597"/>
        <v/>
      </c>
      <c r="BE1065" s="467" t="str">
        <f t="shared" si="598"/>
        <v/>
      </c>
      <c r="BF1065" s="469" t="str">
        <f t="shared" ca="1" si="599"/>
        <v/>
      </c>
      <c r="BG1065" s="469" t="str">
        <f t="shared" ca="1" si="600"/>
        <v/>
      </c>
      <c r="BH1065" s="467" t="str">
        <f t="shared" si="601"/>
        <v/>
      </c>
      <c r="BI1065" s="467" t="str">
        <f t="shared" ca="1" si="602"/>
        <v/>
      </c>
      <c r="BJ1065" s="469" t="str">
        <f t="shared" si="603"/>
        <v/>
      </c>
      <c r="BK1065" s="470" t="str">
        <f t="shared" si="587"/>
        <v/>
      </c>
      <c r="BL1065" s="775" t="str">
        <f t="shared" si="604"/>
        <v/>
      </c>
      <c r="BM1065" s="775" t="str">
        <f t="shared" si="605"/>
        <v/>
      </c>
    </row>
    <row r="1066" spans="1:65">
      <c r="A1066" s="473">
        <v>1010</v>
      </c>
      <c r="B1066" s="132"/>
      <c r="C1066" s="332"/>
      <c r="D1066" s="333"/>
      <c r="E1066" s="333"/>
      <c r="F1066" s="334"/>
      <c r="G1066" s="337"/>
      <c r="H1066" s="131"/>
      <c r="I1066" s="337"/>
      <c r="J1066" s="131"/>
      <c r="K1066" s="458" t="str">
        <f t="shared" si="568"/>
        <v/>
      </c>
      <c r="L1066" s="458">
        <f t="shared" si="569"/>
        <v>0</v>
      </c>
      <c r="M1066" s="458">
        <f t="shared" si="570"/>
        <v>0</v>
      </c>
      <c r="N1066" s="459" t="str">
        <f t="shared" si="581"/>
        <v/>
      </c>
      <c r="O1066" s="459" t="str">
        <f t="shared" si="582"/>
        <v/>
      </c>
      <c r="P1066" s="459" t="str">
        <f t="shared" si="583"/>
        <v/>
      </c>
      <c r="Q1066" s="459" t="str">
        <f t="shared" si="584"/>
        <v/>
      </c>
      <c r="R1066" s="459" t="str">
        <f t="shared" si="585"/>
        <v/>
      </c>
      <c r="S1066" s="459" t="str">
        <f t="shared" si="586"/>
        <v/>
      </c>
      <c r="T1066" s="566" t="str">
        <f t="shared" si="571"/>
        <v/>
      </c>
      <c r="U1066" s="702"/>
      <c r="V1066" s="132"/>
      <c r="W1066" s="133"/>
      <c r="X1066" s="134"/>
      <c r="Y1066" s="135"/>
      <c r="Z1066" s="137"/>
      <c r="AA1066" s="136"/>
      <c r="AB1066" s="566" t="str">
        <f t="shared" si="572"/>
        <v/>
      </c>
      <c r="AC1066" s="568" t="str">
        <f t="shared" si="573"/>
        <v/>
      </c>
      <c r="AD1066" s="137"/>
      <c r="AE1066" s="137"/>
      <c r="AF1066" s="138"/>
      <c r="AG1066" s="138"/>
      <c r="AH1066" s="592" t="str">
        <f t="shared" si="574"/>
        <v/>
      </c>
      <c r="AI1066" s="592" t="str">
        <f t="shared" si="575"/>
        <v/>
      </c>
      <c r="AJ1066" s="592" t="str">
        <f t="shared" si="576"/>
        <v/>
      </c>
      <c r="AK1066" s="460" t="str">
        <f>IF(AU1066="","",IF(OR(AZ1066=8,AZ1066=9),0,IF(OR(AW1066=3,AW1066=4,AW1066=5,AW1066=6),IF(LEFT(BF1066,1)="1",INDEX(係数_NOX・PM低減,MATCH(AY1066,【参考】排出係数!$AI$801:$AI$804,1),1),VLOOKUP(AU1066,INDEX((係数_バス貨物_ガソリン,係数_バス貨物_CNG,係数_バス貨物_軽油,係数_バス貨物_メタノール,係数_バス貨物_LPG),MATCH(AY1066,【参考】排出係数!$AI$4:$AI$671,1),1,BE1066):INDEX((係数_バス貨物_ガソリン,係数_バス貨物_CNG,係数_バス貨物_軽油,係数_バス貨物_メタノール,係数_バス貨物_LPG),MATCH(AY1066+1,【参考】排出係数!$AI$4:$AI$671,1)-1,5,BE1066),4,FALSE)),IF(AND(BE1066=3,LEFT(BF1066,1)="1"),0.48,VLOOKUP(AU1066,INDEX((係数_乗用_ガソリン,係数_乗用_CNG,係数_乗用_軽油,係数_乗用_メタノール,係数_乗用_LPG),1,1,BE1066):INDEX((係数_乗用_ガソリン,係数_乗用_CNG,係数_乗用_軽油,係数_乗用_メタノール,係数_乗用_LPG),125,5,BE1066),4,FALSE)))))</f>
        <v/>
      </c>
      <c r="AL1066" s="461" t="str">
        <f t="shared" si="577"/>
        <v/>
      </c>
      <c r="AM1066" s="460" t="str">
        <f>IF(AU1066="","",IF(OR(AZ1066=8,AZ1066=9),0,IF(OR(AW1066=3,AW1066=4,AW1066=5,AW1066=6),IF(LEFT(BH1066,1)="1",INDEX(係数_PM低減,MATCH(AY1066,【参考】排出係数!$AI$801:$AI$804,1),MATCH(BI1066,【参考】排出係数!$AL$798:$AO$798,1)),VLOOKUP(AU1066,INDEX((係数_バス貨物_ガソリン,係数_バス貨物_CNG,係数_バス貨物_軽油,係数_バス貨物_メタノール,係数_バス貨物_LPG),MATCH(AY1066,【参考】排出係数!$AI$4:$AI$671,1),1,BE1066):INDEX((係数_バス貨物_ガソリン,係数_バス貨物_CNG,係数_バス貨物_軽油,係数_バス貨物_メタノール,係数_バス貨物_LPG),MATCH(AY1066+1,【参考】排出係数!$AI$4:$AI$671,1)-1,5,BE1066),5,FALSE)),IF(AND(BE1066=3,LEFT(BF1066,1)="1"),0.055,VLOOKUP(AU1066,INDEX((係数_乗用_ガソリン,係数_乗用_CNG,係数_乗用_軽油,係数_乗用_メタノール,係数_乗用_LPG),1,1,BE1066):INDEX((係数_乗用_ガソリン,係数_乗用_CNG,係数_乗用_軽油,係数_乗用_メタノール,係数_乗用_LPG),125,5,BE1066),5,FALSE)))))</f>
        <v/>
      </c>
      <c r="AN1066" s="461" t="str">
        <f t="shared" si="578"/>
        <v/>
      </c>
      <c r="AO1066" s="462" t="str">
        <f t="shared" si="579"/>
        <v/>
      </c>
      <c r="AP1066" s="463" t="str">
        <f t="shared" si="580"/>
        <v/>
      </c>
      <c r="AQ1066" s="464"/>
      <c r="AR1066" s="619"/>
      <c r="AS1066" s="465" t="str">
        <f t="shared" si="588"/>
        <v/>
      </c>
      <c r="AT1066" s="465" t="str">
        <f t="shared" si="589"/>
        <v/>
      </c>
      <c r="AU1066" s="466" t="str">
        <f t="shared" si="590"/>
        <v/>
      </c>
      <c r="AV1066" s="467" t="str">
        <f t="shared" si="591"/>
        <v/>
      </c>
      <c r="AW1066" s="467" t="str">
        <f t="shared" si="592"/>
        <v/>
      </c>
      <c r="AX1066" s="467" t="str">
        <f t="shared" si="593"/>
        <v/>
      </c>
      <c r="AY1066" s="467" t="str">
        <f t="shared" si="594"/>
        <v/>
      </c>
      <c r="AZ1066" s="467" t="str">
        <f t="shared" si="595"/>
        <v/>
      </c>
      <c r="BA1066" s="468" t="str">
        <f>IF(AS1066="","",IF(OR(AU1066="",AU1066="-"),"－",IF(OR(AZ1066=8,AZ1066=9),"",IF(OR(AW1066=3,AW1066=4,AW1066=5,AW1066=6),VLOOKUP(AU1066,INDEX((係数_バス貨物_ガソリン,係数_バス貨物_CNG,係数_バス貨物_軽油,係数_バス貨物_メタノール,係数_バス貨物_LPG),MATCH(AY1066,【参考】排出係数!$AI$4:$AI$671,1),1,BE1066):INDEX((係数_バス貨物_ガソリン,係数_バス貨物_CNG,係数_バス貨物_軽油,係数_バス貨物_メタノール,係数_バス貨物_LPG),MATCH(AY1066+1,【参考】排出係数!$AI$4:$AI$671,1)-1,5,BE1066),2,FALSE),IF(OR(AW1066=1,AW1066=2),VLOOKUP(AU1066,INDEX((係数_乗用_ガソリン,係数_乗用_CNG,係数_乗用_軽油,係数_乗用_メタノール,係数_乗用_LPG),1,1,BE1066):INDEX((係数_乗用_ガソリン,係数_乗用_CNG,係数_乗用_軽油,係数_乗用_メタノール,係数_乗用_LPG),125,5,BE1066),2,FALSE))))))</f>
        <v/>
      </c>
      <c r="BB1066" s="468" t="str">
        <f>IF(T1066="","",IF(OR(AU1066="",AU1066="-"),"－",IF(OR(AZ1066=8,AZ1066=9),"",IF(OR(AW1066=3,AW1066=4,AW1066=5,AW1066=6),VLOOKUP(AU1066,INDEX((係数_バス貨物_ガソリン,係数_バス貨物_CNG,係数_バス貨物_軽油,係数_バス貨物_メタノール,係数_バス貨物_LPG),MATCH(AY1066,【参考】排出係数!$AI$4:$AI$671,1),1,BE1066):INDEX((係数_バス貨物_ガソリン,係数_バス貨物_CNG,係数_バス貨物_軽油,係数_バス貨物_メタノール,係数_バス貨物_LPG),MATCH(AY1066+1,【参考】排出係数!$AI$4:$AI$671,1)-1,5,BE1066),3,FALSE),IF(OR(AW1066=1,AW1066=2),VLOOKUP(AU1066,INDEX((係数_乗用_ガソリン,係数_乗用_CNG,係数_乗用_軽油,係数_乗用_メタノール,係数_乗用_LPG),1,1,BE1066):INDEX((係数_乗用_ガソリン,係数_乗用_CNG,係数_乗用_軽油,係数_乗用_メタノール,係数_乗用_LPG),125,5,BE1066),3,FALSE))))))</f>
        <v/>
      </c>
      <c r="BC1066" s="467" t="str">
        <f t="shared" si="596"/>
        <v/>
      </c>
      <c r="BD1066" s="567" t="str">
        <f t="shared" si="597"/>
        <v/>
      </c>
      <c r="BE1066" s="467" t="str">
        <f t="shared" si="598"/>
        <v/>
      </c>
      <c r="BF1066" s="469" t="str">
        <f t="shared" ca="1" si="599"/>
        <v/>
      </c>
      <c r="BG1066" s="469" t="str">
        <f t="shared" ca="1" si="600"/>
        <v/>
      </c>
      <c r="BH1066" s="467" t="str">
        <f t="shared" si="601"/>
        <v/>
      </c>
      <c r="BI1066" s="467" t="str">
        <f t="shared" ca="1" si="602"/>
        <v/>
      </c>
      <c r="BJ1066" s="469" t="str">
        <f t="shared" si="603"/>
        <v/>
      </c>
      <c r="BK1066" s="470" t="str">
        <f t="shared" si="587"/>
        <v/>
      </c>
      <c r="BL1066" s="775" t="str">
        <f t="shared" si="604"/>
        <v/>
      </c>
      <c r="BM1066" s="775" t="str">
        <f t="shared" si="605"/>
        <v/>
      </c>
    </row>
    <row r="1067" spans="1:65">
      <c r="A1067" s="473">
        <v>1011</v>
      </c>
      <c r="B1067" s="132"/>
      <c r="C1067" s="332"/>
      <c r="D1067" s="333"/>
      <c r="E1067" s="333"/>
      <c r="F1067" s="334"/>
      <c r="G1067" s="337"/>
      <c r="H1067" s="131"/>
      <c r="I1067" s="337"/>
      <c r="J1067" s="131"/>
      <c r="K1067" s="458" t="str">
        <f t="shared" si="568"/>
        <v/>
      </c>
      <c r="L1067" s="458">
        <f t="shared" si="569"/>
        <v>0</v>
      </c>
      <c r="M1067" s="458">
        <f t="shared" si="570"/>
        <v>0</v>
      </c>
      <c r="N1067" s="459" t="str">
        <f t="shared" si="581"/>
        <v/>
      </c>
      <c r="O1067" s="459" t="str">
        <f t="shared" si="582"/>
        <v/>
      </c>
      <c r="P1067" s="459" t="str">
        <f t="shared" si="583"/>
        <v/>
      </c>
      <c r="Q1067" s="459" t="str">
        <f t="shared" si="584"/>
        <v/>
      </c>
      <c r="R1067" s="459" t="str">
        <f t="shared" si="585"/>
        <v/>
      </c>
      <c r="S1067" s="459" t="str">
        <f t="shared" si="586"/>
        <v/>
      </c>
      <c r="T1067" s="566" t="str">
        <f t="shared" si="571"/>
        <v/>
      </c>
      <c r="U1067" s="702"/>
      <c r="V1067" s="132"/>
      <c r="W1067" s="133"/>
      <c r="X1067" s="134"/>
      <c r="Y1067" s="135"/>
      <c r="Z1067" s="137"/>
      <c r="AA1067" s="136"/>
      <c r="AB1067" s="566" t="str">
        <f t="shared" si="572"/>
        <v/>
      </c>
      <c r="AC1067" s="568" t="str">
        <f t="shared" si="573"/>
        <v/>
      </c>
      <c r="AD1067" s="137"/>
      <c r="AE1067" s="137"/>
      <c r="AF1067" s="138"/>
      <c r="AG1067" s="138"/>
      <c r="AH1067" s="592" t="str">
        <f t="shared" si="574"/>
        <v/>
      </c>
      <c r="AI1067" s="592" t="str">
        <f t="shared" si="575"/>
        <v/>
      </c>
      <c r="AJ1067" s="592" t="str">
        <f t="shared" si="576"/>
        <v/>
      </c>
      <c r="AK1067" s="460" t="str">
        <f>IF(AU1067="","",IF(OR(AZ1067=8,AZ1067=9),0,IF(OR(AW1067=3,AW1067=4,AW1067=5,AW1067=6),IF(LEFT(BF1067,1)="1",INDEX(係数_NOX・PM低減,MATCH(AY1067,【参考】排出係数!$AI$801:$AI$804,1),1),VLOOKUP(AU1067,INDEX((係数_バス貨物_ガソリン,係数_バス貨物_CNG,係数_バス貨物_軽油,係数_バス貨物_メタノール,係数_バス貨物_LPG),MATCH(AY1067,【参考】排出係数!$AI$4:$AI$671,1),1,BE1067):INDEX((係数_バス貨物_ガソリン,係数_バス貨物_CNG,係数_バス貨物_軽油,係数_バス貨物_メタノール,係数_バス貨物_LPG),MATCH(AY1067+1,【参考】排出係数!$AI$4:$AI$671,1)-1,5,BE1067),4,FALSE)),IF(AND(BE1067=3,LEFT(BF1067,1)="1"),0.48,VLOOKUP(AU1067,INDEX((係数_乗用_ガソリン,係数_乗用_CNG,係数_乗用_軽油,係数_乗用_メタノール,係数_乗用_LPG),1,1,BE1067):INDEX((係数_乗用_ガソリン,係数_乗用_CNG,係数_乗用_軽油,係数_乗用_メタノール,係数_乗用_LPG),125,5,BE1067),4,FALSE)))))</f>
        <v/>
      </c>
      <c r="AL1067" s="461" t="str">
        <f t="shared" si="577"/>
        <v/>
      </c>
      <c r="AM1067" s="460" t="str">
        <f>IF(AU1067="","",IF(OR(AZ1067=8,AZ1067=9),0,IF(OR(AW1067=3,AW1067=4,AW1067=5,AW1067=6),IF(LEFT(BH1067,1)="1",INDEX(係数_PM低減,MATCH(AY1067,【参考】排出係数!$AI$801:$AI$804,1),MATCH(BI1067,【参考】排出係数!$AL$798:$AO$798,1)),VLOOKUP(AU1067,INDEX((係数_バス貨物_ガソリン,係数_バス貨物_CNG,係数_バス貨物_軽油,係数_バス貨物_メタノール,係数_バス貨物_LPG),MATCH(AY1067,【参考】排出係数!$AI$4:$AI$671,1),1,BE1067):INDEX((係数_バス貨物_ガソリン,係数_バス貨物_CNG,係数_バス貨物_軽油,係数_バス貨物_メタノール,係数_バス貨物_LPG),MATCH(AY1067+1,【参考】排出係数!$AI$4:$AI$671,1)-1,5,BE1067),5,FALSE)),IF(AND(BE1067=3,LEFT(BF1067,1)="1"),0.055,VLOOKUP(AU1067,INDEX((係数_乗用_ガソリン,係数_乗用_CNG,係数_乗用_軽油,係数_乗用_メタノール,係数_乗用_LPG),1,1,BE1067):INDEX((係数_乗用_ガソリン,係数_乗用_CNG,係数_乗用_軽油,係数_乗用_メタノール,係数_乗用_LPG),125,5,BE1067),5,FALSE)))))</f>
        <v/>
      </c>
      <c r="AN1067" s="461" t="str">
        <f t="shared" si="578"/>
        <v/>
      </c>
      <c r="AO1067" s="462" t="str">
        <f t="shared" si="579"/>
        <v/>
      </c>
      <c r="AP1067" s="463" t="str">
        <f t="shared" si="580"/>
        <v/>
      </c>
      <c r="AQ1067" s="464"/>
      <c r="AR1067" s="619"/>
      <c r="AS1067" s="465" t="str">
        <f t="shared" si="588"/>
        <v/>
      </c>
      <c r="AT1067" s="465" t="str">
        <f t="shared" si="589"/>
        <v/>
      </c>
      <c r="AU1067" s="466" t="str">
        <f t="shared" si="590"/>
        <v/>
      </c>
      <c r="AV1067" s="467" t="str">
        <f t="shared" si="591"/>
        <v/>
      </c>
      <c r="AW1067" s="467" t="str">
        <f t="shared" si="592"/>
        <v/>
      </c>
      <c r="AX1067" s="467" t="str">
        <f t="shared" si="593"/>
        <v/>
      </c>
      <c r="AY1067" s="467" t="str">
        <f t="shared" si="594"/>
        <v/>
      </c>
      <c r="AZ1067" s="467" t="str">
        <f t="shared" si="595"/>
        <v/>
      </c>
      <c r="BA1067" s="468" t="str">
        <f>IF(AS1067="","",IF(OR(AU1067="",AU1067="-"),"－",IF(OR(AZ1067=8,AZ1067=9),"",IF(OR(AW1067=3,AW1067=4,AW1067=5,AW1067=6),VLOOKUP(AU1067,INDEX((係数_バス貨物_ガソリン,係数_バス貨物_CNG,係数_バス貨物_軽油,係数_バス貨物_メタノール,係数_バス貨物_LPG),MATCH(AY1067,【参考】排出係数!$AI$4:$AI$671,1),1,BE1067):INDEX((係数_バス貨物_ガソリン,係数_バス貨物_CNG,係数_バス貨物_軽油,係数_バス貨物_メタノール,係数_バス貨物_LPG),MATCH(AY1067+1,【参考】排出係数!$AI$4:$AI$671,1)-1,5,BE1067),2,FALSE),IF(OR(AW1067=1,AW1067=2),VLOOKUP(AU1067,INDEX((係数_乗用_ガソリン,係数_乗用_CNG,係数_乗用_軽油,係数_乗用_メタノール,係数_乗用_LPG),1,1,BE1067):INDEX((係数_乗用_ガソリン,係数_乗用_CNG,係数_乗用_軽油,係数_乗用_メタノール,係数_乗用_LPG),125,5,BE1067),2,FALSE))))))</f>
        <v/>
      </c>
      <c r="BB1067" s="468" t="str">
        <f>IF(T1067="","",IF(OR(AU1067="",AU1067="-"),"－",IF(OR(AZ1067=8,AZ1067=9),"",IF(OR(AW1067=3,AW1067=4,AW1067=5,AW1067=6),VLOOKUP(AU1067,INDEX((係数_バス貨物_ガソリン,係数_バス貨物_CNG,係数_バス貨物_軽油,係数_バス貨物_メタノール,係数_バス貨物_LPG),MATCH(AY1067,【参考】排出係数!$AI$4:$AI$671,1),1,BE1067):INDEX((係数_バス貨物_ガソリン,係数_バス貨物_CNG,係数_バス貨物_軽油,係数_バス貨物_メタノール,係数_バス貨物_LPG),MATCH(AY1067+1,【参考】排出係数!$AI$4:$AI$671,1)-1,5,BE1067),3,FALSE),IF(OR(AW1067=1,AW1067=2),VLOOKUP(AU1067,INDEX((係数_乗用_ガソリン,係数_乗用_CNG,係数_乗用_軽油,係数_乗用_メタノール,係数_乗用_LPG),1,1,BE1067):INDEX((係数_乗用_ガソリン,係数_乗用_CNG,係数_乗用_軽油,係数_乗用_メタノール,係数_乗用_LPG),125,5,BE1067),3,FALSE))))))</f>
        <v/>
      </c>
      <c r="BC1067" s="467" t="str">
        <f t="shared" si="596"/>
        <v/>
      </c>
      <c r="BD1067" s="567" t="str">
        <f t="shared" si="597"/>
        <v/>
      </c>
      <c r="BE1067" s="467" t="str">
        <f t="shared" si="598"/>
        <v/>
      </c>
      <c r="BF1067" s="469" t="str">
        <f t="shared" ca="1" si="599"/>
        <v/>
      </c>
      <c r="BG1067" s="469" t="str">
        <f t="shared" ca="1" si="600"/>
        <v/>
      </c>
      <c r="BH1067" s="467" t="str">
        <f t="shared" si="601"/>
        <v/>
      </c>
      <c r="BI1067" s="467" t="str">
        <f t="shared" ca="1" si="602"/>
        <v/>
      </c>
      <c r="BJ1067" s="469" t="str">
        <f t="shared" si="603"/>
        <v/>
      </c>
      <c r="BK1067" s="470" t="str">
        <f t="shared" si="587"/>
        <v/>
      </c>
      <c r="BL1067" s="775" t="str">
        <f t="shared" si="604"/>
        <v/>
      </c>
      <c r="BM1067" s="775" t="str">
        <f t="shared" si="605"/>
        <v/>
      </c>
    </row>
    <row r="1068" spans="1:65">
      <c r="A1068" s="473">
        <v>1012</v>
      </c>
      <c r="B1068" s="132"/>
      <c r="C1068" s="332"/>
      <c r="D1068" s="333"/>
      <c r="E1068" s="333"/>
      <c r="F1068" s="334"/>
      <c r="G1068" s="337"/>
      <c r="H1068" s="131"/>
      <c r="I1068" s="337"/>
      <c r="J1068" s="131"/>
      <c r="K1068" s="458" t="str">
        <f t="shared" ref="K1068:K1131" si="606">C1068&amp;D1068&amp;E1068&amp;F1068</f>
        <v/>
      </c>
      <c r="L1068" s="458">
        <f t="shared" ref="L1068:L1131" si="607">IF(G1068&gt;0,DATE((G1068),(H1068+1),0),0)</f>
        <v>0</v>
      </c>
      <c r="M1068" s="458">
        <f t="shared" ref="M1068:M1131" si="608">IF(I1068&gt;0,DATE((I1068),(J1068+1),0),0)</f>
        <v>0</v>
      </c>
      <c r="N1068" s="459" t="str">
        <f t="shared" si="581"/>
        <v/>
      </c>
      <c r="O1068" s="459" t="str">
        <f t="shared" si="582"/>
        <v/>
      </c>
      <c r="P1068" s="459" t="str">
        <f t="shared" si="583"/>
        <v/>
      </c>
      <c r="Q1068" s="459" t="str">
        <f t="shared" si="584"/>
        <v/>
      </c>
      <c r="R1068" s="459" t="str">
        <f t="shared" si="585"/>
        <v/>
      </c>
      <c r="S1068" s="459" t="str">
        <f t="shared" si="586"/>
        <v/>
      </c>
      <c r="T1068" s="566" t="str">
        <f t="shared" ref="T1068:T1131" si="609">N1068&amp;O1068&amp;P1068&amp;Q1068&amp;R1068&amp;S1068</f>
        <v/>
      </c>
      <c r="U1068" s="702"/>
      <c r="V1068" s="132"/>
      <c r="W1068" s="133"/>
      <c r="X1068" s="134"/>
      <c r="Y1068" s="135"/>
      <c r="Z1068" s="137"/>
      <c r="AA1068" s="136"/>
      <c r="AB1068" s="566" t="str">
        <f t="shared" ref="AB1068:AB1131" si="610">IF(AS1068="","",IF(AZ1068=1,VLOOKUP(BA1068,低公害車判別,2,FALSE),IF(AZ1068=3,VLOOKUP(BA1068,低公害車判別,2,FALSE),IF(AZ1068=4,VLOOKUP(BB1068,低公害車判別,2,FALSE),"低公害車"))))</f>
        <v/>
      </c>
      <c r="AC1068" s="568" t="str">
        <f t="shared" ref="AC1068:AC1131" si="611">IF(AS1068="","",IF((BA1068="")+(BA1068="－"),IF((BB1068="")+(BB1068=0),"－",BB1068),IF((BA1068="PM☆☆☆")+(BA1068="☆及びPM☆☆☆")+(BA1068="☆☆及びPM☆☆☆")+(BA1068="☆☆☆及びPM☆☆☆"),"PM☆☆☆",IF((BA1068="PM☆☆☆☆")+(BA1068="☆及びPM☆☆☆☆")+(BA1068="☆☆及びPM☆☆☆☆")+(BA1068="☆☆☆及びPM☆☆☆☆"),"PM☆☆☆☆",IF((BA1068="新☆")+(BA1068="新NOx☆")+(BA1068="新PM☆"),"新☆（新長期）",BA1068)))))</f>
        <v/>
      </c>
      <c r="AD1068" s="137"/>
      <c r="AE1068" s="137"/>
      <c r="AF1068" s="138"/>
      <c r="AG1068" s="138"/>
      <c r="AH1068" s="592" t="str">
        <f t="shared" ref="AH1068:AH1131" si="612">IF(C1068="","",IF(LEFT(C1068,2)="横浜","○",""))</f>
        <v/>
      </c>
      <c r="AI1068" s="592" t="str">
        <f t="shared" ref="AI1068:AI1131" si="613">IF(C1068="","",IF(LEFT(C1068,2)="川崎","○",""))</f>
        <v/>
      </c>
      <c r="AJ1068" s="592" t="str">
        <f t="shared" ref="AJ1068:AJ1131" si="614">IF(C1068="","",IF(OR(AH1068="○",AI1068="○"),"","○"))</f>
        <v/>
      </c>
      <c r="AK1068" s="460" t="str">
        <f>IF(AU1068="","",IF(OR(AZ1068=8,AZ1068=9),0,IF(OR(AW1068=3,AW1068=4,AW1068=5,AW1068=6),IF(LEFT(BF1068,1)="1",INDEX(係数_NOX・PM低減,MATCH(AY1068,【参考】排出係数!$AI$801:$AI$804,1),1),VLOOKUP(AU1068,INDEX((係数_バス貨物_ガソリン,係数_バス貨物_CNG,係数_バス貨物_軽油,係数_バス貨物_メタノール,係数_バス貨物_LPG),MATCH(AY1068,【参考】排出係数!$AI$4:$AI$671,1),1,BE1068):INDEX((係数_バス貨物_ガソリン,係数_バス貨物_CNG,係数_バス貨物_軽油,係数_バス貨物_メタノール,係数_バス貨物_LPG),MATCH(AY1068+1,【参考】排出係数!$AI$4:$AI$671,1)-1,5,BE1068),4,FALSE)),IF(AND(BE1068=3,LEFT(BF1068,1)="1"),0.48,VLOOKUP(AU1068,INDEX((係数_乗用_ガソリン,係数_乗用_CNG,係数_乗用_軽油,係数_乗用_メタノール,係数_乗用_LPG),1,1,BE1068):INDEX((係数_乗用_ガソリン,係数_乗用_CNG,係数_乗用_軽油,係数_乗用_メタノール,係数_乗用_LPG),125,5,BE1068),4,FALSE)))))</f>
        <v/>
      </c>
      <c r="AL1068" s="461" t="str">
        <f t="shared" ref="AL1068:AL1131" si="615">IF(AU1068="","",IF(Z1068&lt;=3.5*1000,AD1068*AK1068/1000,IF(Z1068&gt;3.5*1000,AD1068*Z1068*AK1068/1000/1000)))</f>
        <v/>
      </c>
      <c r="AM1068" s="460" t="str">
        <f>IF(AU1068="","",IF(OR(AZ1068=8,AZ1068=9),0,IF(OR(AW1068=3,AW1068=4,AW1068=5,AW1068=6),IF(LEFT(BH1068,1)="1",INDEX(係数_PM低減,MATCH(AY1068,【参考】排出係数!$AI$801:$AI$804,1),MATCH(BI1068,【参考】排出係数!$AL$798:$AO$798,1)),VLOOKUP(AU1068,INDEX((係数_バス貨物_ガソリン,係数_バス貨物_CNG,係数_バス貨物_軽油,係数_バス貨物_メタノール,係数_バス貨物_LPG),MATCH(AY1068,【参考】排出係数!$AI$4:$AI$671,1),1,BE1068):INDEX((係数_バス貨物_ガソリン,係数_バス貨物_CNG,係数_バス貨物_軽油,係数_バス貨物_メタノール,係数_バス貨物_LPG),MATCH(AY1068+1,【参考】排出係数!$AI$4:$AI$671,1)-1,5,BE1068),5,FALSE)),IF(AND(BE1068=3,LEFT(BF1068,1)="1"),0.055,VLOOKUP(AU1068,INDEX((係数_乗用_ガソリン,係数_乗用_CNG,係数_乗用_軽油,係数_乗用_メタノール,係数_乗用_LPG),1,1,BE1068):INDEX((係数_乗用_ガソリン,係数_乗用_CNG,係数_乗用_軽油,係数_乗用_メタノール,係数_乗用_LPG),125,5,BE1068),5,FALSE)))))</f>
        <v/>
      </c>
      <c r="AN1068" s="461" t="str">
        <f t="shared" ref="AN1068:AN1131" si="616">IF(AU1068="","",IF(Z1068&lt;=3.5*1000,AD1068*AM1068/1000,IF(Z1068&gt;3.5*1000,AD1068*Z1068*AM1068/1000/1000)))</f>
        <v/>
      </c>
      <c r="AO1068" s="462" t="str">
        <f t="shared" ref="AO1068:AO1131" si="617">IF(AU1068="","",IF(Z1068&lt;500,"車両重量",IF(OR(AZ1068=8,AZ1068=9),0,IF(OR(AZ1068=1,AZ1068=2,AZ1068=11),2.32,IF(OR(AZ1068=4,AZ1068=5,AZ1068=11),2.58,IF(AZ1068=3,3,IF(AZ1068=6,2.23,IF(AZ1068=7,1.37,0))))))))</f>
        <v/>
      </c>
      <c r="AP1068" s="463" t="str">
        <f t="shared" ref="AP1068:AP1131" si="618">IF(AU1068="","",AE1068*AO1068/1000)</f>
        <v/>
      </c>
      <c r="AQ1068" s="464"/>
      <c r="AR1068" s="619"/>
      <c r="AS1068" s="465" t="str">
        <f t="shared" si="588"/>
        <v/>
      </c>
      <c r="AT1068" s="465" t="str">
        <f t="shared" si="589"/>
        <v/>
      </c>
      <c r="AU1068" s="466" t="str">
        <f t="shared" si="590"/>
        <v/>
      </c>
      <c r="AV1068" s="467" t="str">
        <f t="shared" si="591"/>
        <v/>
      </c>
      <c r="AW1068" s="467" t="str">
        <f t="shared" si="592"/>
        <v/>
      </c>
      <c r="AX1068" s="467" t="str">
        <f t="shared" si="593"/>
        <v/>
      </c>
      <c r="AY1068" s="467" t="str">
        <f t="shared" si="594"/>
        <v/>
      </c>
      <c r="AZ1068" s="467" t="str">
        <f t="shared" si="595"/>
        <v/>
      </c>
      <c r="BA1068" s="468" t="str">
        <f>IF(AS1068="","",IF(OR(AU1068="",AU1068="-"),"－",IF(OR(AZ1068=8,AZ1068=9),"",IF(OR(AW1068=3,AW1068=4,AW1068=5,AW1068=6),VLOOKUP(AU1068,INDEX((係数_バス貨物_ガソリン,係数_バス貨物_CNG,係数_バス貨物_軽油,係数_バス貨物_メタノール,係数_バス貨物_LPG),MATCH(AY1068,【参考】排出係数!$AI$4:$AI$671,1),1,BE1068):INDEX((係数_バス貨物_ガソリン,係数_バス貨物_CNG,係数_バス貨物_軽油,係数_バス貨物_メタノール,係数_バス貨物_LPG),MATCH(AY1068+1,【参考】排出係数!$AI$4:$AI$671,1)-1,5,BE1068),2,FALSE),IF(OR(AW1068=1,AW1068=2),VLOOKUP(AU1068,INDEX((係数_乗用_ガソリン,係数_乗用_CNG,係数_乗用_軽油,係数_乗用_メタノール,係数_乗用_LPG),1,1,BE1068):INDEX((係数_乗用_ガソリン,係数_乗用_CNG,係数_乗用_軽油,係数_乗用_メタノール,係数_乗用_LPG),125,5,BE1068),2,FALSE))))))</f>
        <v/>
      </c>
      <c r="BB1068" s="468" t="str">
        <f>IF(T1068="","",IF(OR(AU1068="",AU1068="-"),"－",IF(OR(AZ1068=8,AZ1068=9),"",IF(OR(AW1068=3,AW1068=4,AW1068=5,AW1068=6),VLOOKUP(AU1068,INDEX((係数_バス貨物_ガソリン,係数_バス貨物_CNG,係数_バス貨物_軽油,係数_バス貨物_メタノール,係数_バス貨物_LPG),MATCH(AY1068,【参考】排出係数!$AI$4:$AI$671,1),1,BE1068):INDEX((係数_バス貨物_ガソリン,係数_バス貨物_CNG,係数_バス貨物_軽油,係数_バス貨物_メタノール,係数_バス貨物_LPG),MATCH(AY1068+1,【参考】排出係数!$AI$4:$AI$671,1)-1,5,BE1068),3,FALSE),IF(OR(AW1068=1,AW1068=2),VLOOKUP(AU1068,INDEX((係数_乗用_ガソリン,係数_乗用_CNG,係数_乗用_軽油,係数_乗用_メタノール,係数_乗用_LPG),1,1,BE1068):INDEX((係数_乗用_ガソリン,係数_乗用_CNG,係数_乗用_軽油,係数_乗用_メタノール,係数_乗用_LPG),125,5,BE1068),3,FALSE))))))</f>
        <v/>
      </c>
      <c r="BC1068" s="467" t="str">
        <f t="shared" si="596"/>
        <v/>
      </c>
      <c r="BD1068" s="567" t="str">
        <f t="shared" si="597"/>
        <v/>
      </c>
      <c r="BE1068" s="467" t="str">
        <f t="shared" si="598"/>
        <v/>
      </c>
      <c r="BF1068" s="469" t="str">
        <f t="shared" ca="1" si="599"/>
        <v/>
      </c>
      <c r="BG1068" s="469" t="str">
        <f t="shared" ca="1" si="600"/>
        <v/>
      </c>
      <c r="BH1068" s="467" t="str">
        <f t="shared" si="601"/>
        <v/>
      </c>
      <c r="BI1068" s="467" t="str">
        <f t="shared" ca="1" si="602"/>
        <v/>
      </c>
      <c r="BJ1068" s="469" t="str">
        <f t="shared" si="603"/>
        <v/>
      </c>
      <c r="BK1068" s="470" t="str">
        <f t="shared" si="587"/>
        <v/>
      </c>
      <c r="BL1068" s="775" t="str">
        <f t="shared" si="604"/>
        <v/>
      </c>
      <c r="BM1068" s="775" t="str">
        <f t="shared" si="605"/>
        <v/>
      </c>
    </row>
    <row r="1069" spans="1:65">
      <c r="A1069" s="473">
        <v>1013</v>
      </c>
      <c r="B1069" s="132"/>
      <c r="C1069" s="332"/>
      <c r="D1069" s="333"/>
      <c r="E1069" s="333"/>
      <c r="F1069" s="334"/>
      <c r="G1069" s="337"/>
      <c r="H1069" s="131"/>
      <c r="I1069" s="337"/>
      <c r="J1069" s="131"/>
      <c r="K1069" s="458" t="str">
        <f t="shared" si="606"/>
        <v/>
      </c>
      <c r="L1069" s="458">
        <f t="shared" si="607"/>
        <v>0</v>
      </c>
      <c r="M1069" s="458">
        <f t="shared" si="608"/>
        <v>0</v>
      </c>
      <c r="N1069" s="459" t="str">
        <f t="shared" si="581"/>
        <v/>
      </c>
      <c r="O1069" s="459" t="str">
        <f t="shared" si="582"/>
        <v/>
      </c>
      <c r="P1069" s="459" t="str">
        <f t="shared" si="583"/>
        <v/>
      </c>
      <c r="Q1069" s="459" t="str">
        <f t="shared" si="584"/>
        <v/>
      </c>
      <c r="R1069" s="459" t="str">
        <f t="shared" si="585"/>
        <v/>
      </c>
      <c r="S1069" s="459" t="str">
        <f t="shared" si="586"/>
        <v/>
      </c>
      <c r="T1069" s="566" t="str">
        <f t="shared" si="609"/>
        <v/>
      </c>
      <c r="U1069" s="702"/>
      <c r="V1069" s="132"/>
      <c r="W1069" s="133"/>
      <c r="X1069" s="134"/>
      <c r="Y1069" s="135"/>
      <c r="Z1069" s="137"/>
      <c r="AA1069" s="136"/>
      <c r="AB1069" s="566" t="str">
        <f t="shared" si="610"/>
        <v/>
      </c>
      <c r="AC1069" s="568" t="str">
        <f t="shared" si="611"/>
        <v/>
      </c>
      <c r="AD1069" s="137"/>
      <c r="AE1069" s="137"/>
      <c r="AF1069" s="138"/>
      <c r="AG1069" s="138"/>
      <c r="AH1069" s="592" t="str">
        <f t="shared" si="612"/>
        <v/>
      </c>
      <c r="AI1069" s="592" t="str">
        <f t="shared" si="613"/>
        <v/>
      </c>
      <c r="AJ1069" s="592" t="str">
        <f t="shared" si="614"/>
        <v/>
      </c>
      <c r="AK1069" s="460" t="str">
        <f>IF(AU1069="","",IF(OR(AZ1069=8,AZ1069=9),0,IF(OR(AW1069=3,AW1069=4,AW1069=5,AW1069=6),IF(LEFT(BF1069,1)="1",INDEX(係数_NOX・PM低減,MATCH(AY1069,【参考】排出係数!$AI$801:$AI$804,1),1),VLOOKUP(AU1069,INDEX((係数_バス貨物_ガソリン,係数_バス貨物_CNG,係数_バス貨物_軽油,係数_バス貨物_メタノール,係数_バス貨物_LPG),MATCH(AY1069,【参考】排出係数!$AI$4:$AI$671,1),1,BE1069):INDEX((係数_バス貨物_ガソリン,係数_バス貨物_CNG,係数_バス貨物_軽油,係数_バス貨物_メタノール,係数_バス貨物_LPG),MATCH(AY1069+1,【参考】排出係数!$AI$4:$AI$671,1)-1,5,BE1069),4,FALSE)),IF(AND(BE1069=3,LEFT(BF1069,1)="1"),0.48,VLOOKUP(AU1069,INDEX((係数_乗用_ガソリン,係数_乗用_CNG,係数_乗用_軽油,係数_乗用_メタノール,係数_乗用_LPG),1,1,BE1069):INDEX((係数_乗用_ガソリン,係数_乗用_CNG,係数_乗用_軽油,係数_乗用_メタノール,係数_乗用_LPG),125,5,BE1069),4,FALSE)))))</f>
        <v/>
      </c>
      <c r="AL1069" s="461" t="str">
        <f t="shared" si="615"/>
        <v/>
      </c>
      <c r="AM1069" s="460" t="str">
        <f>IF(AU1069="","",IF(OR(AZ1069=8,AZ1069=9),0,IF(OR(AW1069=3,AW1069=4,AW1069=5,AW1069=6),IF(LEFT(BH1069,1)="1",INDEX(係数_PM低減,MATCH(AY1069,【参考】排出係数!$AI$801:$AI$804,1),MATCH(BI1069,【参考】排出係数!$AL$798:$AO$798,1)),VLOOKUP(AU1069,INDEX((係数_バス貨物_ガソリン,係数_バス貨物_CNG,係数_バス貨物_軽油,係数_バス貨物_メタノール,係数_バス貨物_LPG),MATCH(AY1069,【参考】排出係数!$AI$4:$AI$671,1),1,BE1069):INDEX((係数_バス貨物_ガソリン,係数_バス貨物_CNG,係数_バス貨物_軽油,係数_バス貨物_メタノール,係数_バス貨物_LPG),MATCH(AY1069+1,【参考】排出係数!$AI$4:$AI$671,1)-1,5,BE1069),5,FALSE)),IF(AND(BE1069=3,LEFT(BF1069,1)="1"),0.055,VLOOKUP(AU1069,INDEX((係数_乗用_ガソリン,係数_乗用_CNG,係数_乗用_軽油,係数_乗用_メタノール,係数_乗用_LPG),1,1,BE1069):INDEX((係数_乗用_ガソリン,係数_乗用_CNG,係数_乗用_軽油,係数_乗用_メタノール,係数_乗用_LPG),125,5,BE1069),5,FALSE)))))</f>
        <v/>
      </c>
      <c r="AN1069" s="461" t="str">
        <f t="shared" si="616"/>
        <v/>
      </c>
      <c r="AO1069" s="462" t="str">
        <f t="shared" si="617"/>
        <v/>
      </c>
      <c r="AP1069" s="463" t="str">
        <f t="shared" si="618"/>
        <v/>
      </c>
      <c r="AQ1069" s="464"/>
      <c r="AR1069" s="619"/>
      <c r="AS1069" s="465" t="str">
        <f t="shared" si="588"/>
        <v/>
      </c>
      <c r="AT1069" s="465" t="str">
        <f t="shared" si="589"/>
        <v/>
      </c>
      <c r="AU1069" s="466" t="str">
        <f t="shared" si="590"/>
        <v/>
      </c>
      <c r="AV1069" s="467" t="str">
        <f t="shared" si="591"/>
        <v/>
      </c>
      <c r="AW1069" s="467" t="str">
        <f t="shared" si="592"/>
        <v/>
      </c>
      <c r="AX1069" s="467" t="str">
        <f t="shared" si="593"/>
        <v/>
      </c>
      <c r="AY1069" s="467" t="str">
        <f t="shared" si="594"/>
        <v/>
      </c>
      <c r="AZ1069" s="467" t="str">
        <f t="shared" si="595"/>
        <v/>
      </c>
      <c r="BA1069" s="468" t="str">
        <f>IF(AS1069="","",IF(OR(AU1069="",AU1069="-"),"－",IF(OR(AZ1069=8,AZ1069=9),"",IF(OR(AW1069=3,AW1069=4,AW1069=5,AW1069=6),VLOOKUP(AU1069,INDEX((係数_バス貨物_ガソリン,係数_バス貨物_CNG,係数_バス貨物_軽油,係数_バス貨物_メタノール,係数_バス貨物_LPG),MATCH(AY1069,【参考】排出係数!$AI$4:$AI$671,1),1,BE1069):INDEX((係数_バス貨物_ガソリン,係数_バス貨物_CNG,係数_バス貨物_軽油,係数_バス貨物_メタノール,係数_バス貨物_LPG),MATCH(AY1069+1,【参考】排出係数!$AI$4:$AI$671,1)-1,5,BE1069),2,FALSE),IF(OR(AW1069=1,AW1069=2),VLOOKUP(AU1069,INDEX((係数_乗用_ガソリン,係数_乗用_CNG,係数_乗用_軽油,係数_乗用_メタノール,係数_乗用_LPG),1,1,BE1069):INDEX((係数_乗用_ガソリン,係数_乗用_CNG,係数_乗用_軽油,係数_乗用_メタノール,係数_乗用_LPG),125,5,BE1069),2,FALSE))))))</f>
        <v/>
      </c>
      <c r="BB1069" s="468" t="str">
        <f>IF(T1069="","",IF(OR(AU1069="",AU1069="-"),"－",IF(OR(AZ1069=8,AZ1069=9),"",IF(OR(AW1069=3,AW1069=4,AW1069=5,AW1069=6),VLOOKUP(AU1069,INDEX((係数_バス貨物_ガソリン,係数_バス貨物_CNG,係数_バス貨物_軽油,係数_バス貨物_メタノール,係数_バス貨物_LPG),MATCH(AY1069,【参考】排出係数!$AI$4:$AI$671,1),1,BE1069):INDEX((係数_バス貨物_ガソリン,係数_バス貨物_CNG,係数_バス貨物_軽油,係数_バス貨物_メタノール,係数_バス貨物_LPG),MATCH(AY1069+1,【参考】排出係数!$AI$4:$AI$671,1)-1,5,BE1069),3,FALSE),IF(OR(AW1069=1,AW1069=2),VLOOKUP(AU1069,INDEX((係数_乗用_ガソリン,係数_乗用_CNG,係数_乗用_軽油,係数_乗用_メタノール,係数_乗用_LPG),1,1,BE1069):INDEX((係数_乗用_ガソリン,係数_乗用_CNG,係数_乗用_軽油,係数_乗用_メタノール,係数_乗用_LPG),125,5,BE1069),3,FALSE))))))</f>
        <v/>
      </c>
      <c r="BC1069" s="467" t="str">
        <f t="shared" si="596"/>
        <v/>
      </c>
      <c r="BD1069" s="567" t="str">
        <f t="shared" si="597"/>
        <v/>
      </c>
      <c r="BE1069" s="467" t="str">
        <f t="shared" si="598"/>
        <v/>
      </c>
      <c r="BF1069" s="469" t="str">
        <f t="shared" ca="1" si="599"/>
        <v/>
      </c>
      <c r="BG1069" s="469" t="str">
        <f t="shared" ca="1" si="600"/>
        <v/>
      </c>
      <c r="BH1069" s="467" t="str">
        <f t="shared" si="601"/>
        <v/>
      </c>
      <c r="BI1069" s="467" t="str">
        <f t="shared" ca="1" si="602"/>
        <v/>
      </c>
      <c r="BJ1069" s="469" t="str">
        <f t="shared" si="603"/>
        <v/>
      </c>
      <c r="BK1069" s="470" t="str">
        <f t="shared" si="587"/>
        <v/>
      </c>
      <c r="BL1069" s="775" t="str">
        <f t="shared" si="604"/>
        <v/>
      </c>
      <c r="BM1069" s="775" t="str">
        <f t="shared" si="605"/>
        <v/>
      </c>
    </row>
    <row r="1070" spans="1:65">
      <c r="A1070" s="473">
        <v>1014</v>
      </c>
      <c r="B1070" s="132"/>
      <c r="C1070" s="332"/>
      <c r="D1070" s="333"/>
      <c r="E1070" s="333"/>
      <c r="F1070" s="334"/>
      <c r="G1070" s="337"/>
      <c r="H1070" s="131"/>
      <c r="I1070" s="337"/>
      <c r="J1070" s="131"/>
      <c r="K1070" s="458" t="str">
        <f t="shared" si="606"/>
        <v/>
      </c>
      <c r="L1070" s="458">
        <f t="shared" si="607"/>
        <v>0</v>
      </c>
      <c r="M1070" s="458">
        <f t="shared" si="608"/>
        <v>0</v>
      </c>
      <c r="N1070" s="459" t="str">
        <f t="shared" si="581"/>
        <v/>
      </c>
      <c r="O1070" s="459" t="str">
        <f t="shared" si="582"/>
        <v/>
      </c>
      <c r="P1070" s="459" t="str">
        <f t="shared" si="583"/>
        <v/>
      </c>
      <c r="Q1070" s="459" t="str">
        <f t="shared" si="584"/>
        <v/>
      </c>
      <c r="R1070" s="459" t="str">
        <f t="shared" si="585"/>
        <v/>
      </c>
      <c r="S1070" s="459" t="str">
        <f t="shared" si="586"/>
        <v/>
      </c>
      <c r="T1070" s="566" t="str">
        <f t="shared" si="609"/>
        <v/>
      </c>
      <c r="U1070" s="702"/>
      <c r="V1070" s="132"/>
      <c r="W1070" s="133"/>
      <c r="X1070" s="134"/>
      <c r="Y1070" s="135"/>
      <c r="Z1070" s="137"/>
      <c r="AA1070" s="136"/>
      <c r="AB1070" s="566" t="str">
        <f t="shared" si="610"/>
        <v/>
      </c>
      <c r="AC1070" s="568" t="str">
        <f t="shared" si="611"/>
        <v/>
      </c>
      <c r="AD1070" s="137"/>
      <c r="AE1070" s="137"/>
      <c r="AF1070" s="138"/>
      <c r="AG1070" s="138"/>
      <c r="AH1070" s="592" t="str">
        <f t="shared" si="612"/>
        <v/>
      </c>
      <c r="AI1070" s="592" t="str">
        <f t="shared" si="613"/>
        <v/>
      </c>
      <c r="AJ1070" s="592" t="str">
        <f t="shared" si="614"/>
        <v/>
      </c>
      <c r="AK1070" s="460" t="str">
        <f>IF(AU1070="","",IF(OR(AZ1070=8,AZ1070=9),0,IF(OR(AW1070=3,AW1070=4,AW1070=5,AW1070=6),IF(LEFT(BF1070,1)="1",INDEX(係数_NOX・PM低減,MATCH(AY1070,【参考】排出係数!$AI$801:$AI$804,1),1),VLOOKUP(AU1070,INDEX((係数_バス貨物_ガソリン,係数_バス貨物_CNG,係数_バス貨物_軽油,係数_バス貨物_メタノール,係数_バス貨物_LPG),MATCH(AY1070,【参考】排出係数!$AI$4:$AI$671,1),1,BE1070):INDEX((係数_バス貨物_ガソリン,係数_バス貨物_CNG,係数_バス貨物_軽油,係数_バス貨物_メタノール,係数_バス貨物_LPG),MATCH(AY1070+1,【参考】排出係数!$AI$4:$AI$671,1)-1,5,BE1070),4,FALSE)),IF(AND(BE1070=3,LEFT(BF1070,1)="1"),0.48,VLOOKUP(AU1070,INDEX((係数_乗用_ガソリン,係数_乗用_CNG,係数_乗用_軽油,係数_乗用_メタノール,係数_乗用_LPG),1,1,BE1070):INDEX((係数_乗用_ガソリン,係数_乗用_CNG,係数_乗用_軽油,係数_乗用_メタノール,係数_乗用_LPG),125,5,BE1070),4,FALSE)))))</f>
        <v/>
      </c>
      <c r="AL1070" s="461" t="str">
        <f t="shared" si="615"/>
        <v/>
      </c>
      <c r="AM1070" s="460" t="str">
        <f>IF(AU1070="","",IF(OR(AZ1070=8,AZ1070=9),0,IF(OR(AW1070=3,AW1070=4,AW1070=5,AW1070=6),IF(LEFT(BH1070,1)="1",INDEX(係数_PM低減,MATCH(AY1070,【参考】排出係数!$AI$801:$AI$804,1),MATCH(BI1070,【参考】排出係数!$AL$798:$AO$798,1)),VLOOKUP(AU1070,INDEX((係数_バス貨物_ガソリン,係数_バス貨物_CNG,係数_バス貨物_軽油,係数_バス貨物_メタノール,係数_バス貨物_LPG),MATCH(AY1070,【参考】排出係数!$AI$4:$AI$671,1),1,BE1070):INDEX((係数_バス貨物_ガソリン,係数_バス貨物_CNG,係数_バス貨物_軽油,係数_バス貨物_メタノール,係数_バス貨物_LPG),MATCH(AY1070+1,【参考】排出係数!$AI$4:$AI$671,1)-1,5,BE1070),5,FALSE)),IF(AND(BE1070=3,LEFT(BF1070,1)="1"),0.055,VLOOKUP(AU1070,INDEX((係数_乗用_ガソリン,係数_乗用_CNG,係数_乗用_軽油,係数_乗用_メタノール,係数_乗用_LPG),1,1,BE1070):INDEX((係数_乗用_ガソリン,係数_乗用_CNG,係数_乗用_軽油,係数_乗用_メタノール,係数_乗用_LPG),125,5,BE1070),5,FALSE)))))</f>
        <v/>
      </c>
      <c r="AN1070" s="461" t="str">
        <f t="shared" si="616"/>
        <v/>
      </c>
      <c r="AO1070" s="462" t="str">
        <f t="shared" si="617"/>
        <v/>
      </c>
      <c r="AP1070" s="463" t="str">
        <f t="shared" si="618"/>
        <v/>
      </c>
      <c r="AQ1070" s="464"/>
      <c r="AR1070" s="619"/>
      <c r="AS1070" s="465" t="str">
        <f t="shared" si="588"/>
        <v/>
      </c>
      <c r="AT1070" s="465" t="str">
        <f t="shared" si="589"/>
        <v/>
      </c>
      <c r="AU1070" s="466" t="str">
        <f t="shared" si="590"/>
        <v/>
      </c>
      <c r="AV1070" s="467" t="str">
        <f t="shared" si="591"/>
        <v/>
      </c>
      <c r="AW1070" s="467" t="str">
        <f t="shared" si="592"/>
        <v/>
      </c>
      <c r="AX1070" s="467" t="str">
        <f t="shared" si="593"/>
        <v/>
      </c>
      <c r="AY1070" s="467" t="str">
        <f t="shared" si="594"/>
        <v/>
      </c>
      <c r="AZ1070" s="467" t="str">
        <f t="shared" si="595"/>
        <v/>
      </c>
      <c r="BA1070" s="468" t="str">
        <f>IF(AS1070="","",IF(OR(AU1070="",AU1070="-"),"－",IF(OR(AZ1070=8,AZ1070=9),"",IF(OR(AW1070=3,AW1070=4,AW1070=5,AW1070=6),VLOOKUP(AU1070,INDEX((係数_バス貨物_ガソリン,係数_バス貨物_CNG,係数_バス貨物_軽油,係数_バス貨物_メタノール,係数_バス貨物_LPG),MATCH(AY1070,【参考】排出係数!$AI$4:$AI$671,1),1,BE1070):INDEX((係数_バス貨物_ガソリン,係数_バス貨物_CNG,係数_バス貨物_軽油,係数_バス貨物_メタノール,係数_バス貨物_LPG),MATCH(AY1070+1,【参考】排出係数!$AI$4:$AI$671,1)-1,5,BE1070),2,FALSE),IF(OR(AW1070=1,AW1070=2),VLOOKUP(AU1070,INDEX((係数_乗用_ガソリン,係数_乗用_CNG,係数_乗用_軽油,係数_乗用_メタノール,係数_乗用_LPG),1,1,BE1070):INDEX((係数_乗用_ガソリン,係数_乗用_CNG,係数_乗用_軽油,係数_乗用_メタノール,係数_乗用_LPG),125,5,BE1070),2,FALSE))))))</f>
        <v/>
      </c>
      <c r="BB1070" s="468" t="str">
        <f>IF(T1070="","",IF(OR(AU1070="",AU1070="-"),"－",IF(OR(AZ1070=8,AZ1070=9),"",IF(OR(AW1070=3,AW1070=4,AW1070=5,AW1070=6),VLOOKUP(AU1070,INDEX((係数_バス貨物_ガソリン,係数_バス貨物_CNG,係数_バス貨物_軽油,係数_バス貨物_メタノール,係数_バス貨物_LPG),MATCH(AY1070,【参考】排出係数!$AI$4:$AI$671,1),1,BE1070):INDEX((係数_バス貨物_ガソリン,係数_バス貨物_CNG,係数_バス貨物_軽油,係数_バス貨物_メタノール,係数_バス貨物_LPG),MATCH(AY1070+1,【参考】排出係数!$AI$4:$AI$671,1)-1,5,BE1070),3,FALSE),IF(OR(AW1070=1,AW1070=2),VLOOKUP(AU1070,INDEX((係数_乗用_ガソリン,係数_乗用_CNG,係数_乗用_軽油,係数_乗用_メタノール,係数_乗用_LPG),1,1,BE1070):INDEX((係数_乗用_ガソリン,係数_乗用_CNG,係数_乗用_軽油,係数_乗用_メタノール,係数_乗用_LPG),125,5,BE1070),3,FALSE))))))</f>
        <v/>
      </c>
      <c r="BC1070" s="467" t="str">
        <f t="shared" si="596"/>
        <v/>
      </c>
      <c r="BD1070" s="567" t="str">
        <f t="shared" si="597"/>
        <v/>
      </c>
      <c r="BE1070" s="467" t="str">
        <f t="shared" si="598"/>
        <v/>
      </c>
      <c r="BF1070" s="469" t="str">
        <f t="shared" ca="1" si="599"/>
        <v/>
      </c>
      <c r="BG1070" s="469" t="str">
        <f t="shared" ca="1" si="600"/>
        <v/>
      </c>
      <c r="BH1070" s="467" t="str">
        <f t="shared" si="601"/>
        <v/>
      </c>
      <c r="BI1070" s="467" t="str">
        <f t="shared" ca="1" si="602"/>
        <v/>
      </c>
      <c r="BJ1070" s="469" t="str">
        <f t="shared" si="603"/>
        <v/>
      </c>
      <c r="BK1070" s="470" t="str">
        <f t="shared" si="587"/>
        <v/>
      </c>
      <c r="BL1070" s="775" t="str">
        <f t="shared" si="604"/>
        <v/>
      </c>
      <c r="BM1070" s="775" t="str">
        <f t="shared" si="605"/>
        <v/>
      </c>
    </row>
    <row r="1071" spans="1:65">
      <c r="A1071" s="473">
        <v>1015</v>
      </c>
      <c r="B1071" s="132"/>
      <c r="C1071" s="332"/>
      <c r="D1071" s="333"/>
      <c r="E1071" s="333"/>
      <c r="F1071" s="334"/>
      <c r="G1071" s="337"/>
      <c r="H1071" s="131"/>
      <c r="I1071" s="337"/>
      <c r="J1071" s="131"/>
      <c r="K1071" s="458" t="str">
        <f t="shared" si="606"/>
        <v/>
      </c>
      <c r="L1071" s="458">
        <f t="shared" si="607"/>
        <v>0</v>
      </c>
      <c r="M1071" s="458">
        <f t="shared" si="608"/>
        <v>0</v>
      </c>
      <c r="N1071" s="459" t="str">
        <f t="shared" si="581"/>
        <v/>
      </c>
      <c r="O1071" s="459" t="str">
        <f t="shared" si="582"/>
        <v/>
      </c>
      <c r="P1071" s="459" t="str">
        <f t="shared" si="583"/>
        <v/>
      </c>
      <c r="Q1071" s="459" t="str">
        <f t="shared" si="584"/>
        <v/>
      </c>
      <c r="R1071" s="459" t="str">
        <f t="shared" si="585"/>
        <v/>
      </c>
      <c r="S1071" s="459" t="str">
        <f t="shared" si="586"/>
        <v/>
      </c>
      <c r="T1071" s="566" t="str">
        <f t="shared" si="609"/>
        <v/>
      </c>
      <c r="U1071" s="702"/>
      <c r="V1071" s="132"/>
      <c r="W1071" s="133"/>
      <c r="X1071" s="134"/>
      <c r="Y1071" s="135"/>
      <c r="Z1071" s="137"/>
      <c r="AA1071" s="136"/>
      <c r="AB1071" s="566" t="str">
        <f t="shared" si="610"/>
        <v/>
      </c>
      <c r="AC1071" s="568" t="str">
        <f t="shared" si="611"/>
        <v/>
      </c>
      <c r="AD1071" s="137"/>
      <c r="AE1071" s="137"/>
      <c r="AF1071" s="138"/>
      <c r="AG1071" s="138"/>
      <c r="AH1071" s="592" t="str">
        <f t="shared" si="612"/>
        <v/>
      </c>
      <c r="AI1071" s="592" t="str">
        <f t="shared" si="613"/>
        <v/>
      </c>
      <c r="AJ1071" s="592" t="str">
        <f t="shared" si="614"/>
        <v/>
      </c>
      <c r="AK1071" s="460" t="str">
        <f>IF(AU1071="","",IF(OR(AZ1071=8,AZ1071=9),0,IF(OR(AW1071=3,AW1071=4,AW1071=5,AW1071=6),IF(LEFT(BF1071,1)="1",INDEX(係数_NOX・PM低減,MATCH(AY1071,【参考】排出係数!$AI$801:$AI$804,1),1),VLOOKUP(AU1071,INDEX((係数_バス貨物_ガソリン,係数_バス貨物_CNG,係数_バス貨物_軽油,係数_バス貨物_メタノール,係数_バス貨物_LPG),MATCH(AY1071,【参考】排出係数!$AI$4:$AI$671,1),1,BE1071):INDEX((係数_バス貨物_ガソリン,係数_バス貨物_CNG,係数_バス貨物_軽油,係数_バス貨物_メタノール,係数_バス貨物_LPG),MATCH(AY1071+1,【参考】排出係数!$AI$4:$AI$671,1)-1,5,BE1071),4,FALSE)),IF(AND(BE1071=3,LEFT(BF1071,1)="1"),0.48,VLOOKUP(AU1071,INDEX((係数_乗用_ガソリン,係数_乗用_CNG,係数_乗用_軽油,係数_乗用_メタノール,係数_乗用_LPG),1,1,BE1071):INDEX((係数_乗用_ガソリン,係数_乗用_CNG,係数_乗用_軽油,係数_乗用_メタノール,係数_乗用_LPG),125,5,BE1071),4,FALSE)))))</f>
        <v/>
      </c>
      <c r="AL1071" s="461" t="str">
        <f t="shared" si="615"/>
        <v/>
      </c>
      <c r="AM1071" s="460" t="str">
        <f>IF(AU1071="","",IF(OR(AZ1071=8,AZ1071=9),0,IF(OR(AW1071=3,AW1071=4,AW1071=5,AW1071=6),IF(LEFT(BH1071,1)="1",INDEX(係数_PM低減,MATCH(AY1071,【参考】排出係数!$AI$801:$AI$804,1),MATCH(BI1071,【参考】排出係数!$AL$798:$AO$798,1)),VLOOKUP(AU1071,INDEX((係数_バス貨物_ガソリン,係数_バス貨物_CNG,係数_バス貨物_軽油,係数_バス貨物_メタノール,係数_バス貨物_LPG),MATCH(AY1071,【参考】排出係数!$AI$4:$AI$671,1),1,BE1071):INDEX((係数_バス貨物_ガソリン,係数_バス貨物_CNG,係数_バス貨物_軽油,係数_バス貨物_メタノール,係数_バス貨物_LPG),MATCH(AY1071+1,【参考】排出係数!$AI$4:$AI$671,1)-1,5,BE1071),5,FALSE)),IF(AND(BE1071=3,LEFT(BF1071,1)="1"),0.055,VLOOKUP(AU1071,INDEX((係数_乗用_ガソリン,係数_乗用_CNG,係数_乗用_軽油,係数_乗用_メタノール,係数_乗用_LPG),1,1,BE1071):INDEX((係数_乗用_ガソリン,係数_乗用_CNG,係数_乗用_軽油,係数_乗用_メタノール,係数_乗用_LPG),125,5,BE1071),5,FALSE)))))</f>
        <v/>
      </c>
      <c r="AN1071" s="461" t="str">
        <f t="shared" si="616"/>
        <v/>
      </c>
      <c r="AO1071" s="462" t="str">
        <f t="shared" si="617"/>
        <v/>
      </c>
      <c r="AP1071" s="463" t="str">
        <f t="shared" si="618"/>
        <v/>
      </c>
      <c r="AQ1071" s="464"/>
      <c r="AR1071" s="619"/>
      <c r="AS1071" s="465" t="str">
        <f t="shared" si="588"/>
        <v/>
      </c>
      <c r="AT1071" s="465" t="str">
        <f t="shared" si="589"/>
        <v/>
      </c>
      <c r="AU1071" s="466" t="str">
        <f t="shared" si="590"/>
        <v/>
      </c>
      <c r="AV1071" s="467" t="str">
        <f t="shared" si="591"/>
        <v/>
      </c>
      <c r="AW1071" s="467" t="str">
        <f t="shared" si="592"/>
        <v/>
      </c>
      <c r="AX1071" s="467" t="str">
        <f t="shared" si="593"/>
        <v/>
      </c>
      <c r="AY1071" s="467" t="str">
        <f t="shared" si="594"/>
        <v/>
      </c>
      <c r="AZ1071" s="467" t="str">
        <f t="shared" si="595"/>
        <v/>
      </c>
      <c r="BA1071" s="468" t="str">
        <f>IF(AS1071="","",IF(OR(AU1071="",AU1071="-"),"－",IF(OR(AZ1071=8,AZ1071=9),"",IF(OR(AW1071=3,AW1071=4,AW1071=5,AW1071=6),VLOOKUP(AU1071,INDEX((係数_バス貨物_ガソリン,係数_バス貨物_CNG,係数_バス貨物_軽油,係数_バス貨物_メタノール,係数_バス貨物_LPG),MATCH(AY1071,【参考】排出係数!$AI$4:$AI$671,1),1,BE1071):INDEX((係数_バス貨物_ガソリン,係数_バス貨物_CNG,係数_バス貨物_軽油,係数_バス貨物_メタノール,係数_バス貨物_LPG),MATCH(AY1071+1,【参考】排出係数!$AI$4:$AI$671,1)-1,5,BE1071),2,FALSE),IF(OR(AW1071=1,AW1071=2),VLOOKUP(AU1071,INDEX((係数_乗用_ガソリン,係数_乗用_CNG,係数_乗用_軽油,係数_乗用_メタノール,係数_乗用_LPG),1,1,BE1071):INDEX((係数_乗用_ガソリン,係数_乗用_CNG,係数_乗用_軽油,係数_乗用_メタノール,係数_乗用_LPG),125,5,BE1071),2,FALSE))))))</f>
        <v/>
      </c>
      <c r="BB1071" s="468" t="str">
        <f>IF(T1071="","",IF(OR(AU1071="",AU1071="-"),"－",IF(OR(AZ1071=8,AZ1071=9),"",IF(OR(AW1071=3,AW1071=4,AW1071=5,AW1071=6),VLOOKUP(AU1071,INDEX((係数_バス貨物_ガソリン,係数_バス貨物_CNG,係数_バス貨物_軽油,係数_バス貨物_メタノール,係数_バス貨物_LPG),MATCH(AY1071,【参考】排出係数!$AI$4:$AI$671,1),1,BE1071):INDEX((係数_バス貨物_ガソリン,係数_バス貨物_CNG,係数_バス貨物_軽油,係数_バス貨物_メタノール,係数_バス貨物_LPG),MATCH(AY1071+1,【参考】排出係数!$AI$4:$AI$671,1)-1,5,BE1071),3,FALSE),IF(OR(AW1071=1,AW1071=2),VLOOKUP(AU1071,INDEX((係数_乗用_ガソリン,係数_乗用_CNG,係数_乗用_軽油,係数_乗用_メタノール,係数_乗用_LPG),1,1,BE1071):INDEX((係数_乗用_ガソリン,係数_乗用_CNG,係数_乗用_軽油,係数_乗用_メタノール,係数_乗用_LPG),125,5,BE1071),3,FALSE))))))</f>
        <v/>
      </c>
      <c r="BC1071" s="467" t="str">
        <f t="shared" si="596"/>
        <v/>
      </c>
      <c r="BD1071" s="567" t="str">
        <f t="shared" si="597"/>
        <v/>
      </c>
      <c r="BE1071" s="467" t="str">
        <f t="shared" si="598"/>
        <v/>
      </c>
      <c r="BF1071" s="469" t="str">
        <f t="shared" ca="1" si="599"/>
        <v/>
      </c>
      <c r="BG1071" s="469" t="str">
        <f t="shared" ca="1" si="600"/>
        <v/>
      </c>
      <c r="BH1071" s="467" t="str">
        <f t="shared" si="601"/>
        <v/>
      </c>
      <c r="BI1071" s="467" t="str">
        <f t="shared" ca="1" si="602"/>
        <v/>
      </c>
      <c r="BJ1071" s="469" t="str">
        <f t="shared" si="603"/>
        <v/>
      </c>
      <c r="BK1071" s="470" t="str">
        <f t="shared" si="587"/>
        <v/>
      </c>
      <c r="BL1071" s="775" t="str">
        <f t="shared" si="604"/>
        <v/>
      </c>
      <c r="BM1071" s="775" t="str">
        <f t="shared" si="605"/>
        <v/>
      </c>
    </row>
    <row r="1072" spans="1:65">
      <c r="A1072" s="473">
        <v>1016</v>
      </c>
      <c r="B1072" s="132"/>
      <c r="C1072" s="332"/>
      <c r="D1072" s="333"/>
      <c r="E1072" s="333"/>
      <c r="F1072" s="334"/>
      <c r="G1072" s="337"/>
      <c r="H1072" s="131"/>
      <c r="I1072" s="337"/>
      <c r="J1072" s="131"/>
      <c r="K1072" s="458" t="str">
        <f t="shared" si="606"/>
        <v/>
      </c>
      <c r="L1072" s="458">
        <f t="shared" si="607"/>
        <v>0</v>
      </c>
      <c r="M1072" s="458">
        <f t="shared" si="608"/>
        <v>0</v>
      </c>
      <c r="N1072" s="459" t="str">
        <f t="shared" si="581"/>
        <v/>
      </c>
      <c r="O1072" s="459" t="str">
        <f t="shared" si="582"/>
        <v/>
      </c>
      <c r="P1072" s="459" t="str">
        <f t="shared" si="583"/>
        <v/>
      </c>
      <c r="Q1072" s="459" t="str">
        <f t="shared" si="584"/>
        <v/>
      </c>
      <c r="R1072" s="459" t="str">
        <f t="shared" si="585"/>
        <v/>
      </c>
      <c r="S1072" s="459" t="str">
        <f t="shared" si="586"/>
        <v/>
      </c>
      <c r="T1072" s="566" t="str">
        <f t="shared" si="609"/>
        <v/>
      </c>
      <c r="U1072" s="702"/>
      <c r="V1072" s="132"/>
      <c r="W1072" s="133"/>
      <c r="X1072" s="134"/>
      <c r="Y1072" s="135"/>
      <c r="Z1072" s="137"/>
      <c r="AA1072" s="136"/>
      <c r="AB1072" s="566" t="str">
        <f t="shared" si="610"/>
        <v/>
      </c>
      <c r="AC1072" s="568" t="str">
        <f t="shared" si="611"/>
        <v/>
      </c>
      <c r="AD1072" s="137"/>
      <c r="AE1072" s="137"/>
      <c r="AF1072" s="138"/>
      <c r="AG1072" s="138"/>
      <c r="AH1072" s="592" t="str">
        <f t="shared" si="612"/>
        <v/>
      </c>
      <c r="AI1072" s="592" t="str">
        <f t="shared" si="613"/>
        <v/>
      </c>
      <c r="AJ1072" s="592" t="str">
        <f t="shared" si="614"/>
        <v/>
      </c>
      <c r="AK1072" s="460" t="str">
        <f>IF(AU1072="","",IF(OR(AZ1072=8,AZ1072=9),0,IF(OR(AW1072=3,AW1072=4,AW1072=5,AW1072=6),IF(LEFT(BF1072,1)="1",INDEX(係数_NOX・PM低減,MATCH(AY1072,【参考】排出係数!$AI$801:$AI$804,1),1),VLOOKUP(AU1072,INDEX((係数_バス貨物_ガソリン,係数_バス貨物_CNG,係数_バス貨物_軽油,係数_バス貨物_メタノール,係数_バス貨物_LPG),MATCH(AY1072,【参考】排出係数!$AI$4:$AI$671,1),1,BE1072):INDEX((係数_バス貨物_ガソリン,係数_バス貨物_CNG,係数_バス貨物_軽油,係数_バス貨物_メタノール,係数_バス貨物_LPG),MATCH(AY1072+1,【参考】排出係数!$AI$4:$AI$671,1)-1,5,BE1072),4,FALSE)),IF(AND(BE1072=3,LEFT(BF1072,1)="1"),0.48,VLOOKUP(AU1072,INDEX((係数_乗用_ガソリン,係数_乗用_CNG,係数_乗用_軽油,係数_乗用_メタノール,係数_乗用_LPG),1,1,BE1072):INDEX((係数_乗用_ガソリン,係数_乗用_CNG,係数_乗用_軽油,係数_乗用_メタノール,係数_乗用_LPG),125,5,BE1072),4,FALSE)))))</f>
        <v/>
      </c>
      <c r="AL1072" s="461" t="str">
        <f t="shared" si="615"/>
        <v/>
      </c>
      <c r="AM1072" s="460" t="str">
        <f>IF(AU1072="","",IF(OR(AZ1072=8,AZ1072=9),0,IF(OR(AW1072=3,AW1072=4,AW1072=5,AW1072=6),IF(LEFT(BH1072,1)="1",INDEX(係数_PM低減,MATCH(AY1072,【参考】排出係数!$AI$801:$AI$804,1),MATCH(BI1072,【参考】排出係数!$AL$798:$AO$798,1)),VLOOKUP(AU1072,INDEX((係数_バス貨物_ガソリン,係数_バス貨物_CNG,係数_バス貨物_軽油,係数_バス貨物_メタノール,係数_バス貨物_LPG),MATCH(AY1072,【参考】排出係数!$AI$4:$AI$671,1),1,BE1072):INDEX((係数_バス貨物_ガソリン,係数_バス貨物_CNG,係数_バス貨物_軽油,係数_バス貨物_メタノール,係数_バス貨物_LPG),MATCH(AY1072+1,【参考】排出係数!$AI$4:$AI$671,1)-1,5,BE1072),5,FALSE)),IF(AND(BE1072=3,LEFT(BF1072,1)="1"),0.055,VLOOKUP(AU1072,INDEX((係数_乗用_ガソリン,係数_乗用_CNG,係数_乗用_軽油,係数_乗用_メタノール,係数_乗用_LPG),1,1,BE1072):INDEX((係数_乗用_ガソリン,係数_乗用_CNG,係数_乗用_軽油,係数_乗用_メタノール,係数_乗用_LPG),125,5,BE1072),5,FALSE)))))</f>
        <v/>
      </c>
      <c r="AN1072" s="461" t="str">
        <f t="shared" si="616"/>
        <v/>
      </c>
      <c r="AO1072" s="462" t="str">
        <f t="shared" si="617"/>
        <v/>
      </c>
      <c r="AP1072" s="463" t="str">
        <f t="shared" si="618"/>
        <v/>
      </c>
      <c r="AQ1072" s="464"/>
      <c r="AR1072" s="619"/>
      <c r="AS1072" s="465" t="str">
        <f t="shared" si="588"/>
        <v/>
      </c>
      <c r="AT1072" s="465" t="str">
        <f t="shared" si="589"/>
        <v/>
      </c>
      <c r="AU1072" s="466" t="str">
        <f t="shared" si="590"/>
        <v/>
      </c>
      <c r="AV1072" s="467" t="str">
        <f t="shared" si="591"/>
        <v/>
      </c>
      <c r="AW1072" s="467" t="str">
        <f t="shared" si="592"/>
        <v/>
      </c>
      <c r="AX1072" s="467" t="str">
        <f t="shared" si="593"/>
        <v/>
      </c>
      <c r="AY1072" s="467" t="str">
        <f t="shared" si="594"/>
        <v/>
      </c>
      <c r="AZ1072" s="467" t="str">
        <f t="shared" si="595"/>
        <v/>
      </c>
      <c r="BA1072" s="468" t="str">
        <f>IF(AS1072="","",IF(OR(AU1072="",AU1072="-"),"－",IF(OR(AZ1072=8,AZ1072=9),"",IF(OR(AW1072=3,AW1072=4,AW1072=5,AW1072=6),VLOOKUP(AU1072,INDEX((係数_バス貨物_ガソリン,係数_バス貨物_CNG,係数_バス貨物_軽油,係数_バス貨物_メタノール,係数_バス貨物_LPG),MATCH(AY1072,【参考】排出係数!$AI$4:$AI$671,1),1,BE1072):INDEX((係数_バス貨物_ガソリン,係数_バス貨物_CNG,係数_バス貨物_軽油,係数_バス貨物_メタノール,係数_バス貨物_LPG),MATCH(AY1072+1,【参考】排出係数!$AI$4:$AI$671,1)-1,5,BE1072),2,FALSE),IF(OR(AW1072=1,AW1072=2),VLOOKUP(AU1072,INDEX((係数_乗用_ガソリン,係数_乗用_CNG,係数_乗用_軽油,係数_乗用_メタノール,係数_乗用_LPG),1,1,BE1072):INDEX((係数_乗用_ガソリン,係数_乗用_CNG,係数_乗用_軽油,係数_乗用_メタノール,係数_乗用_LPG),125,5,BE1072),2,FALSE))))))</f>
        <v/>
      </c>
      <c r="BB1072" s="468" t="str">
        <f>IF(T1072="","",IF(OR(AU1072="",AU1072="-"),"－",IF(OR(AZ1072=8,AZ1072=9),"",IF(OR(AW1072=3,AW1072=4,AW1072=5,AW1072=6),VLOOKUP(AU1072,INDEX((係数_バス貨物_ガソリン,係数_バス貨物_CNG,係数_バス貨物_軽油,係数_バス貨物_メタノール,係数_バス貨物_LPG),MATCH(AY1072,【参考】排出係数!$AI$4:$AI$671,1),1,BE1072):INDEX((係数_バス貨物_ガソリン,係数_バス貨物_CNG,係数_バス貨物_軽油,係数_バス貨物_メタノール,係数_バス貨物_LPG),MATCH(AY1072+1,【参考】排出係数!$AI$4:$AI$671,1)-1,5,BE1072),3,FALSE),IF(OR(AW1072=1,AW1072=2),VLOOKUP(AU1072,INDEX((係数_乗用_ガソリン,係数_乗用_CNG,係数_乗用_軽油,係数_乗用_メタノール,係数_乗用_LPG),1,1,BE1072):INDEX((係数_乗用_ガソリン,係数_乗用_CNG,係数_乗用_軽油,係数_乗用_メタノール,係数_乗用_LPG),125,5,BE1072),3,FALSE))))))</f>
        <v/>
      </c>
      <c r="BC1072" s="467" t="str">
        <f t="shared" si="596"/>
        <v/>
      </c>
      <c r="BD1072" s="567" t="str">
        <f t="shared" si="597"/>
        <v/>
      </c>
      <c r="BE1072" s="467" t="str">
        <f t="shared" si="598"/>
        <v/>
      </c>
      <c r="BF1072" s="469" t="str">
        <f t="shared" ca="1" si="599"/>
        <v/>
      </c>
      <c r="BG1072" s="469" t="str">
        <f t="shared" ca="1" si="600"/>
        <v/>
      </c>
      <c r="BH1072" s="467" t="str">
        <f t="shared" si="601"/>
        <v/>
      </c>
      <c r="BI1072" s="467" t="str">
        <f t="shared" ca="1" si="602"/>
        <v/>
      </c>
      <c r="BJ1072" s="469" t="str">
        <f t="shared" si="603"/>
        <v/>
      </c>
      <c r="BK1072" s="470" t="str">
        <f t="shared" si="587"/>
        <v/>
      </c>
      <c r="BL1072" s="775" t="str">
        <f t="shared" si="604"/>
        <v/>
      </c>
      <c r="BM1072" s="775" t="str">
        <f t="shared" si="605"/>
        <v/>
      </c>
    </row>
    <row r="1073" spans="1:65">
      <c r="A1073" s="473">
        <v>1017</v>
      </c>
      <c r="B1073" s="132"/>
      <c r="C1073" s="332"/>
      <c r="D1073" s="333"/>
      <c r="E1073" s="333"/>
      <c r="F1073" s="334"/>
      <c r="G1073" s="337"/>
      <c r="H1073" s="131"/>
      <c r="I1073" s="337"/>
      <c r="J1073" s="131"/>
      <c r="K1073" s="458" t="str">
        <f t="shared" si="606"/>
        <v/>
      </c>
      <c r="L1073" s="458">
        <f t="shared" si="607"/>
        <v>0</v>
      </c>
      <c r="M1073" s="458">
        <f t="shared" si="608"/>
        <v>0</v>
      </c>
      <c r="N1073" s="459" t="str">
        <f t="shared" si="581"/>
        <v/>
      </c>
      <c r="O1073" s="459" t="str">
        <f t="shared" si="582"/>
        <v/>
      </c>
      <c r="P1073" s="459" t="str">
        <f t="shared" si="583"/>
        <v/>
      </c>
      <c r="Q1073" s="459" t="str">
        <f t="shared" si="584"/>
        <v/>
      </c>
      <c r="R1073" s="459" t="str">
        <f t="shared" si="585"/>
        <v/>
      </c>
      <c r="S1073" s="459" t="str">
        <f t="shared" si="586"/>
        <v/>
      </c>
      <c r="T1073" s="566" t="str">
        <f t="shared" si="609"/>
        <v/>
      </c>
      <c r="U1073" s="702"/>
      <c r="V1073" s="132"/>
      <c r="W1073" s="133"/>
      <c r="X1073" s="134"/>
      <c r="Y1073" s="135"/>
      <c r="Z1073" s="137"/>
      <c r="AA1073" s="136"/>
      <c r="AB1073" s="566" t="str">
        <f t="shared" si="610"/>
        <v/>
      </c>
      <c r="AC1073" s="568" t="str">
        <f t="shared" si="611"/>
        <v/>
      </c>
      <c r="AD1073" s="137"/>
      <c r="AE1073" s="137"/>
      <c r="AF1073" s="138"/>
      <c r="AG1073" s="138"/>
      <c r="AH1073" s="592" t="str">
        <f t="shared" si="612"/>
        <v/>
      </c>
      <c r="AI1073" s="592" t="str">
        <f t="shared" si="613"/>
        <v/>
      </c>
      <c r="AJ1073" s="592" t="str">
        <f t="shared" si="614"/>
        <v/>
      </c>
      <c r="AK1073" s="460" t="str">
        <f>IF(AU1073="","",IF(OR(AZ1073=8,AZ1073=9),0,IF(OR(AW1073=3,AW1073=4,AW1073=5,AW1073=6),IF(LEFT(BF1073,1)="1",INDEX(係数_NOX・PM低減,MATCH(AY1073,【参考】排出係数!$AI$801:$AI$804,1),1),VLOOKUP(AU1073,INDEX((係数_バス貨物_ガソリン,係数_バス貨物_CNG,係数_バス貨物_軽油,係数_バス貨物_メタノール,係数_バス貨物_LPG),MATCH(AY1073,【参考】排出係数!$AI$4:$AI$671,1),1,BE1073):INDEX((係数_バス貨物_ガソリン,係数_バス貨物_CNG,係数_バス貨物_軽油,係数_バス貨物_メタノール,係数_バス貨物_LPG),MATCH(AY1073+1,【参考】排出係数!$AI$4:$AI$671,1)-1,5,BE1073),4,FALSE)),IF(AND(BE1073=3,LEFT(BF1073,1)="1"),0.48,VLOOKUP(AU1073,INDEX((係数_乗用_ガソリン,係数_乗用_CNG,係数_乗用_軽油,係数_乗用_メタノール,係数_乗用_LPG),1,1,BE1073):INDEX((係数_乗用_ガソリン,係数_乗用_CNG,係数_乗用_軽油,係数_乗用_メタノール,係数_乗用_LPG),125,5,BE1073),4,FALSE)))))</f>
        <v/>
      </c>
      <c r="AL1073" s="461" t="str">
        <f t="shared" si="615"/>
        <v/>
      </c>
      <c r="AM1073" s="460" t="str">
        <f>IF(AU1073="","",IF(OR(AZ1073=8,AZ1073=9),0,IF(OR(AW1073=3,AW1073=4,AW1073=5,AW1073=6),IF(LEFT(BH1073,1)="1",INDEX(係数_PM低減,MATCH(AY1073,【参考】排出係数!$AI$801:$AI$804,1),MATCH(BI1073,【参考】排出係数!$AL$798:$AO$798,1)),VLOOKUP(AU1073,INDEX((係数_バス貨物_ガソリン,係数_バス貨物_CNG,係数_バス貨物_軽油,係数_バス貨物_メタノール,係数_バス貨物_LPG),MATCH(AY1073,【参考】排出係数!$AI$4:$AI$671,1),1,BE1073):INDEX((係数_バス貨物_ガソリン,係数_バス貨物_CNG,係数_バス貨物_軽油,係数_バス貨物_メタノール,係数_バス貨物_LPG),MATCH(AY1073+1,【参考】排出係数!$AI$4:$AI$671,1)-1,5,BE1073),5,FALSE)),IF(AND(BE1073=3,LEFT(BF1073,1)="1"),0.055,VLOOKUP(AU1073,INDEX((係数_乗用_ガソリン,係数_乗用_CNG,係数_乗用_軽油,係数_乗用_メタノール,係数_乗用_LPG),1,1,BE1073):INDEX((係数_乗用_ガソリン,係数_乗用_CNG,係数_乗用_軽油,係数_乗用_メタノール,係数_乗用_LPG),125,5,BE1073),5,FALSE)))))</f>
        <v/>
      </c>
      <c r="AN1073" s="461" t="str">
        <f t="shared" si="616"/>
        <v/>
      </c>
      <c r="AO1073" s="462" t="str">
        <f t="shared" si="617"/>
        <v/>
      </c>
      <c r="AP1073" s="463" t="str">
        <f t="shared" si="618"/>
        <v/>
      </c>
      <c r="AQ1073" s="464"/>
      <c r="AR1073" s="619"/>
      <c r="AS1073" s="465" t="str">
        <f t="shared" si="588"/>
        <v/>
      </c>
      <c r="AT1073" s="465" t="str">
        <f t="shared" si="589"/>
        <v/>
      </c>
      <c r="AU1073" s="466" t="str">
        <f t="shared" si="590"/>
        <v/>
      </c>
      <c r="AV1073" s="467" t="str">
        <f t="shared" si="591"/>
        <v/>
      </c>
      <c r="AW1073" s="467" t="str">
        <f t="shared" si="592"/>
        <v/>
      </c>
      <c r="AX1073" s="467" t="str">
        <f t="shared" si="593"/>
        <v/>
      </c>
      <c r="AY1073" s="467" t="str">
        <f t="shared" si="594"/>
        <v/>
      </c>
      <c r="AZ1073" s="467" t="str">
        <f t="shared" si="595"/>
        <v/>
      </c>
      <c r="BA1073" s="468" t="str">
        <f>IF(AS1073="","",IF(OR(AU1073="",AU1073="-"),"－",IF(OR(AZ1073=8,AZ1073=9),"",IF(OR(AW1073=3,AW1073=4,AW1073=5,AW1073=6),VLOOKUP(AU1073,INDEX((係数_バス貨物_ガソリン,係数_バス貨物_CNG,係数_バス貨物_軽油,係数_バス貨物_メタノール,係数_バス貨物_LPG),MATCH(AY1073,【参考】排出係数!$AI$4:$AI$671,1),1,BE1073):INDEX((係数_バス貨物_ガソリン,係数_バス貨物_CNG,係数_バス貨物_軽油,係数_バス貨物_メタノール,係数_バス貨物_LPG),MATCH(AY1073+1,【参考】排出係数!$AI$4:$AI$671,1)-1,5,BE1073),2,FALSE),IF(OR(AW1073=1,AW1073=2),VLOOKUP(AU1073,INDEX((係数_乗用_ガソリン,係数_乗用_CNG,係数_乗用_軽油,係数_乗用_メタノール,係数_乗用_LPG),1,1,BE1073):INDEX((係数_乗用_ガソリン,係数_乗用_CNG,係数_乗用_軽油,係数_乗用_メタノール,係数_乗用_LPG),125,5,BE1073),2,FALSE))))))</f>
        <v/>
      </c>
      <c r="BB1073" s="468" t="str">
        <f>IF(T1073="","",IF(OR(AU1073="",AU1073="-"),"－",IF(OR(AZ1073=8,AZ1073=9),"",IF(OR(AW1073=3,AW1073=4,AW1073=5,AW1073=6),VLOOKUP(AU1073,INDEX((係数_バス貨物_ガソリン,係数_バス貨物_CNG,係数_バス貨物_軽油,係数_バス貨物_メタノール,係数_バス貨物_LPG),MATCH(AY1073,【参考】排出係数!$AI$4:$AI$671,1),1,BE1073):INDEX((係数_バス貨物_ガソリン,係数_バス貨物_CNG,係数_バス貨物_軽油,係数_バス貨物_メタノール,係数_バス貨物_LPG),MATCH(AY1073+1,【参考】排出係数!$AI$4:$AI$671,1)-1,5,BE1073),3,FALSE),IF(OR(AW1073=1,AW1073=2),VLOOKUP(AU1073,INDEX((係数_乗用_ガソリン,係数_乗用_CNG,係数_乗用_軽油,係数_乗用_メタノール,係数_乗用_LPG),1,1,BE1073):INDEX((係数_乗用_ガソリン,係数_乗用_CNG,係数_乗用_軽油,係数_乗用_メタノール,係数_乗用_LPG),125,5,BE1073),3,FALSE))))))</f>
        <v/>
      </c>
      <c r="BC1073" s="467" t="str">
        <f t="shared" si="596"/>
        <v/>
      </c>
      <c r="BD1073" s="567" t="str">
        <f t="shared" si="597"/>
        <v/>
      </c>
      <c r="BE1073" s="467" t="str">
        <f t="shared" si="598"/>
        <v/>
      </c>
      <c r="BF1073" s="469" t="str">
        <f t="shared" ca="1" si="599"/>
        <v/>
      </c>
      <c r="BG1073" s="469" t="str">
        <f t="shared" ca="1" si="600"/>
        <v/>
      </c>
      <c r="BH1073" s="467" t="str">
        <f t="shared" si="601"/>
        <v/>
      </c>
      <c r="BI1073" s="467" t="str">
        <f t="shared" ca="1" si="602"/>
        <v/>
      </c>
      <c r="BJ1073" s="469" t="str">
        <f t="shared" si="603"/>
        <v/>
      </c>
      <c r="BK1073" s="470" t="str">
        <f t="shared" si="587"/>
        <v/>
      </c>
      <c r="BL1073" s="775" t="str">
        <f t="shared" si="604"/>
        <v/>
      </c>
      <c r="BM1073" s="775" t="str">
        <f t="shared" si="605"/>
        <v/>
      </c>
    </row>
    <row r="1074" spans="1:65">
      <c r="A1074" s="473">
        <v>1018</v>
      </c>
      <c r="B1074" s="132"/>
      <c r="C1074" s="332"/>
      <c r="D1074" s="333"/>
      <c r="E1074" s="333"/>
      <c r="F1074" s="334"/>
      <c r="G1074" s="337"/>
      <c r="H1074" s="131"/>
      <c r="I1074" s="337"/>
      <c r="J1074" s="131"/>
      <c r="K1074" s="458" t="str">
        <f t="shared" si="606"/>
        <v/>
      </c>
      <c r="L1074" s="458">
        <f t="shared" si="607"/>
        <v>0</v>
      </c>
      <c r="M1074" s="458">
        <f t="shared" si="608"/>
        <v>0</v>
      </c>
      <c r="N1074" s="459" t="str">
        <f t="shared" si="581"/>
        <v/>
      </c>
      <c r="O1074" s="459" t="str">
        <f t="shared" si="582"/>
        <v/>
      </c>
      <c r="P1074" s="459" t="str">
        <f t="shared" si="583"/>
        <v/>
      </c>
      <c r="Q1074" s="459" t="str">
        <f t="shared" si="584"/>
        <v/>
      </c>
      <c r="R1074" s="459" t="str">
        <f t="shared" si="585"/>
        <v/>
      </c>
      <c r="S1074" s="459" t="str">
        <f t="shared" si="586"/>
        <v/>
      </c>
      <c r="T1074" s="566" t="str">
        <f t="shared" si="609"/>
        <v/>
      </c>
      <c r="U1074" s="702"/>
      <c r="V1074" s="132"/>
      <c r="W1074" s="133"/>
      <c r="X1074" s="134"/>
      <c r="Y1074" s="135"/>
      <c r="Z1074" s="137"/>
      <c r="AA1074" s="136"/>
      <c r="AB1074" s="566" t="str">
        <f t="shared" si="610"/>
        <v/>
      </c>
      <c r="AC1074" s="568" t="str">
        <f t="shared" si="611"/>
        <v/>
      </c>
      <c r="AD1074" s="137"/>
      <c r="AE1074" s="137"/>
      <c r="AF1074" s="138"/>
      <c r="AG1074" s="138"/>
      <c r="AH1074" s="592" t="str">
        <f t="shared" si="612"/>
        <v/>
      </c>
      <c r="AI1074" s="592" t="str">
        <f t="shared" si="613"/>
        <v/>
      </c>
      <c r="AJ1074" s="592" t="str">
        <f t="shared" si="614"/>
        <v/>
      </c>
      <c r="AK1074" s="460" t="str">
        <f>IF(AU1074="","",IF(OR(AZ1074=8,AZ1074=9),0,IF(OR(AW1074=3,AW1074=4,AW1074=5,AW1074=6),IF(LEFT(BF1074,1)="1",INDEX(係数_NOX・PM低減,MATCH(AY1074,【参考】排出係数!$AI$801:$AI$804,1),1),VLOOKUP(AU1074,INDEX((係数_バス貨物_ガソリン,係数_バス貨物_CNG,係数_バス貨物_軽油,係数_バス貨物_メタノール,係数_バス貨物_LPG),MATCH(AY1074,【参考】排出係数!$AI$4:$AI$671,1),1,BE1074):INDEX((係数_バス貨物_ガソリン,係数_バス貨物_CNG,係数_バス貨物_軽油,係数_バス貨物_メタノール,係数_バス貨物_LPG),MATCH(AY1074+1,【参考】排出係数!$AI$4:$AI$671,1)-1,5,BE1074),4,FALSE)),IF(AND(BE1074=3,LEFT(BF1074,1)="1"),0.48,VLOOKUP(AU1074,INDEX((係数_乗用_ガソリン,係数_乗用_CNG,係数_乗用_軽油,係数_乗用_メタノール,係数_乗用_LPG),1,1,BE1074):INDEX((係数_乗用_ガソリン,係数_乗用_CNG,係数_乗用_軽油,係数_乗用_メタノール,係数_乗用_LPG),125,5,BE1074),4,FALSE)))))</f>
        <v/>
      </c>
      <c r="AL1074" s="461" t="str">
        <f t="shared" si="615"/>
        <v/>
      </c>
      <c r="AM1074" s="460" t="str">
        <f>IF(AU1074="","",IF(OR(AZ1074=8,AZ1074=9),0,IF(OR(AW1074=3,AW1074=4,AW1074=5,AW1074=6),IF(LEFT(BH1074,1)="1",INDEX(係数_PM低減,MATCH(AY1074,【参考】排出係数!$AI$801:$AI$804,1),MATCH(BI1074,【参考】排出係数!$AL$798:$AO$798,1)),VLOOKUP(AU1074,INDEX((係数_バス貨物_ガソリン,係数_バス貨物_CNG,係数_バス貨物_軽油,係数_バス貨物_メタノール,係数_バス貨物_LPG),MATCH(AY1074,【参考】排出係数!$AI$4:$AI$671,1),1,BE1074):INDEX((係数_バス貨物_ガソリン,係数_バス貨物_CNG,係数_バス貨物_軽油,係数_バス貨物_メタノール,係数_バス貨物_LPG),MATCH(AY1074+1,【参考】排出係数!$AI$4:$AI$671,1)-1,5,BE1074),5,FALSE)),IF(AND(BE1074=3,LEFT(BF1074,1)="1"),0.055,VLOOKUP(AU1074,INDEX((係数_乗用_ガソリン,係数_乗用_CNG,係数_乗用_軽油,係数_乗用_メタノール,係数_乗用_LPG),1,1,BE1074):INDEX((係数_乗用_ガソリン,係数_乗用_CNG,係数_乗用_軽油,係数_乗用_メタノール,係数_乗用_LPG),125,5,BE1074),5,FALSE)))))</f>
        <v/>
      </c>
      <c r="AN1074" s="461" t="str">
        <f t="shared" si="616"/>
        <v/>
      </c>
      <c r="AO1074" s="462" t="str">
        <f t="shared" si="617"/>
        <v/>
      </c>
      <c r="AP1074" s="463" t="str">
        <f t="shared" si="618"/>
        <v/>
      </c>
      <c r="AQ1074" s="464"/>
      <c r="AR1074" s="619"/>
      <c r="AS1074" s="465" t="str">
        <f t="shared" si="588"/>
        <v/>
      </c>
      <c r="AT1074" s="465" t="str">
        <f t="shared" si="589"/>
        <v/>
      </c>
      <c r="AU1074" s="466" t="str">
        <f t="shared" si="590"/>
        <v/>
      </c>
      <c r="AV1074" s="467" t="str">
        <f t="shared" si="591"/>
        <v/>
      </c>
      <c r="AW1074" s="467" t="str">
        <f t="shared" si="592"/>
        <v/>
      </c>
      <c r="AX1074" s="467" t="str">
        <f t="shared" si="593"/>
        <v/>
      </c>
      <c r="AY1074" s="467" t="str">
        <f t="shared" si="594"/>
        <v/>
      </c>
      <c r="AZ1074" s="467" t="str">
        <f t="shared" si="595"/>
        <v/>
      </c>
      <c r="BA1074" s="468" t="str">
        <f>IF(AS1074="","",IF(OR(AU1074="",AU1074="-"),"－",IF(OR(AZ1074=8,AZ1074=9),"",IF(OR(AW1074=3,AW1074=4,AW1074=5,AW1074=6),VLOOKUP(AU1074,INDEX((係数_バス貨物_ガソリン,係数_バス貨物_CNG,係数_バス貨物_軽油,係数_バス貨物_メタノール,係数_バス貨物_LPG),MATCH(AY1074,【参考】排出係数!$AI$4:$AI$671,1),1,BE1074):INDEX((係数_バス貨物_ガソリン,係数_バス貨物_CNG,係数_バス貨物_軽油,係数_バス貨物_メタノール,係数_バス貨物_LPG),MATCH(AY1074+1,【参考】排出係数!$AI$4:$AI$671,1)-1,5,BE1074),2,FALSE),IF(OR(AW1074=1,AW1074=2),VLOOKUP(AU1074,INDEX((係数_乗用_ガソリン,係数_乗用_CNG,係数_乗用_軽油,係数_乗用_メタノール,係数_乗用_LPG),1,1,BE1074):INDEX((係数_乗用_ガソリン,係数_乗用_CNG,係数_乗用_軽油,係数_乗用_メタノール,係数_乗用_LPG),125,5,BE1074),2,FALSE))))))</f>
        <v/>
      </c>
      <c r="BB1074" s="468" t="str">
        <f>IF(T1074="","",IF(OR(AU1074="",AU1074="-"),"－",IF(OR(AZ1074=8,AZ1074=9),"",IF(OR(AW1074=3,AW1074=4,AW1074=5,AW1074=6),VLOOKUP(AU1074,INDEX((係数_バス貨物_ガソリン,係数_バス貨物_CNG,係数_バス貨物_軽油,係数_バス貨物_メタノール,係数_バス貨物_LPG),MATCH(AY1074,【参考】排出係数!$AI$4:$AI$671,1),1,BE1074):INDEX((係数_バス貨物_ガソリン,係数_バス貨物_CNG,係数_バス貨物_軽油,係数_バス貨物_メタノール,係数_バス貨物_LPG),MATCH(AY1074+1,【参考】排出係数!$AI$4:$AI$671,1)-1,5,BE1074),3,FALSE),IF(OR(AW1074=1,AW1074=2),VLOOKUP(AU1074,INDEX((係数_乗用_ガソリン,係数_乗用_CNG,係数_乗用_軽油,係数_乗用_メタノール,係数_乗用_LPG),1,1,BE1074):INDEX((係数_乗用_ガソリン,係数_乗用_CNG,係数_乗用_軽油,係数_乗用_メタノール,係数_乗用_LPG),125,5,BE1074),3,FALSE))))))</f>
        <v/>
      </c>
      <c r="BC1074" s="467" t="str">
        <f t="shared" si="596"/>
        <v/>
      </c>
      <c r="BD1074" s="567" t="str">
        <f t="shared" si="597"/>
        <v/>
      </c>
      <c r="BE1074" s="467" t="str">
        <f t="shared" si="598"/>
        <v/>
      </c>
      <c r="BF1074" s="469" t="str">
        <f t="shared" ca="1" si="599"/>
        <v/>
      </c>
      <c r="BG1074" s="469" t="str">
        <f t="shared" ca="1" si="600"/>
        <v/>
      </c>
      <c r="BH1074" s="467" t="str">
        <f t="shared" si="601"/>
        <v/>
      </c>
      <c r="BI1074" s="467" t="str">
        <f t="shared" ca="1" si="602"/>
        <v/>
      </c>
      <c r="BJ1074" s="469" t="str">
        <f t="shared" si="603"/>
        <v/>
      </c>
      <c r="BK1074" s="470" t="str">
        <f t="shared" si="587"/>
        <v/>
      </c>
      <c r="BL1074" s="775" t="str">
        <f t="shared" si="604"/>
        <v/>
      </c>
      <c r="BM1074" s="775" t="str">
        <f t="shared" si="605"/>
        <v/>
      </c>
    </row>
    <row r="1075" spans="1:65">
      <c r="A1075" s="473">
        <v>1019</v>
      </c>
      <c r="B1075" s="132"/>
      <c r="C1075" s="332"/>
      <c r="D1075" s="333"/>
      <c r="E1075" s="333"/>
      <c r="F1075" s="334"/>
      <c r="G1075" s="337"/>
      <c r="H1075" s="131"/>
      <c r="I1075" s="337"/>
      <c r="J1075" s="131"/>
      <c r="K1075" s="458" t="str">
        <f t="shared" si="606"/>
        <v/>
      </c>
      <c r="L1075" s="458">
        <f t="shared" si="607"/>
        <v>0</v>
      </c>
      <c r="M1075" s="458">
        <f t="shared" si="608"/>
        <v>0</v>
      </c>
      <c r="N1075" s="459" t="str">
        <f t="shared" si="581"/>
        <v/>
      </c>
      <c r="O1075" s="459" t="str">
        <f t="shared" si="582"/>
        <v/>
      </c>
      <c r="P1075" s="459" t="str">
        <f t="shared" si="583"/>
        <v/>
      </c>
      <c r="Q1075" s="459" t="str">
        <f t="shared" si="584"/>
        <v/>
      </c>
      <c r="R1075" s="459" t="str">
        <f t="shared" si="585"/>
        <v/>
      </c>
      <c r="S1075" s="459" t="str">
        <f t="shared" si="586"/>
        <v/>
      </c>
      <c r="T1075" s="566" t="str">
        <f t="shared" si="609"/>
        <v/>
      </c>
      <c r="U1075" s="702"/>
      <c r="V1075" s="132"/>
      <c r="W1075" s="133"/>
      <c r="X1075" s="134"/>
      <c r="Y1075" s="135"/>
      <c r="Z1075" s="137"/>
      <c r="AA1075" s="136"/>
      <c r="AB1075" s="566" t="str">
        <f t="shared" si="610"/>
        <v/>
      </c>
      <c r="AC1075" s="568" t="str">
        <f t="shared" si="611"/>
        <v/>
      </c>
      <c r="AD1075" s="137"/>
      <c r="AE1075" s="137"/>
      <c r="AF1075" s="138"/>
      <c r="AG1075" s="138"/>
      <c r="AH1075" s="592" t="str">
        <f t="shared" si="612"/>
        <v/>
      </c>
      <c r="AI1075" s="592" t="str">
        <f t="shared" si="613"/>
        <v/>
      </c>
      <c r="AJ1075" s="592" t="str">
        <f t="shared" si="614"/>
        <v/>
      </c>
      <c r="AK1075" s="460" t="str">
        <f>IF(AU1075="","",IF(OR(AZ1075=8,AZ1075=9),0,IF(OR(AW1075=3,AW1075=4,AW1075=5,AW1075=6),IF(LEFT(BF1075,1)="1",INDEX(係数_NOX・PM低減,MATCH(AY1075,【参考】排出係数!$AI$801:$AI$804,1),1),VLOOKUP(AU1075,INDEX((係数_バス貨物_ガソリン,係数_バス貨物_CNG,係数_バス貨物_軽油,係数_バス貨物_メタノール,係数_バス貨物_LPG),MATCH(AY1075,【参考】排出係数!$AI$4:$AI$671,1),1,BE1075):INDEX((係数_バス貨物_ガソリン,係数_バス貨物_CNG,係数_バス貨物_軽油,係数_バス貨物_メタノール,係数_バス貨物_LPG),MATCH(AY1075+1,【参考】排出係数!$AI$4:$AI$671,1)-1,5,BE1075),4,FALSE)),IF(AND(BE1075=3,LEFT(BF1075,1)="1"),0.48,VLOOKUP(AU1075,INDEX((係数_乗用_ガソリン,係数_乗用_CNG,係数_乗用_軽油,係数_乗用_メタノール,係数_乗用_LPG),1,1,BE1075):INDEX((係数_乗用_ガソリン,係数_乗用_CNG,係数_乗用_軽油,係数_乗用_メタノール,係数_乗用_LPG),125,5,BE1075),4,FALSE)))))</f>
        <v/>
      </c>
      <c r="AL1075" s="461" t="str">
        <f t="shared" si="615"/>
        <v/>
      </c>
      <c r="AM1075" s="460" t="str">
        <f>IF(AU1075="","",IF(OR(AZ1075=8,AZ1075=9),0,IF(OR(AW1075=3,AW1075=4,AW1075=5,AW1075=6),IF(LEFT(BH1075,1)="1",INDEX(係数_PM低減,MATCH(AY1075,【参考】排出係数!$AI$801:$AI$804,1),MATCH(BI1075,【参考】排出係数!$AL$798:$AO$798,1)),VLOOKUP(AU1075,INDEX((係数_バス貨物_ガソリン,係数_バス貨物_CNG,係数_バス貨物_軽油,係数_バス貨物_メタノール,係数_バス貨物_LPG),MATCH(AY1075,【参考】排出係数!$AI$4:$AI$671,1),1,BE1075):INDEX((係数_バス貨物_ガソリン,係数_バス貨物_CNG,係数_バス貨物_軽油,係数_バス貨物_メタノール,係数_バス貨物_LPG),MATCH(AY1075+1,【参考】排出係数!$AI$4:$AI$671,1)-1,5,BE1075),5,FALSE)),IF(AND(BE1075=3,LEFT(BF1075,1)="1"),0.055,VLOOKUP(AU1075,INDEX((係数_乗用_ガソリン,係数_乗用_CNG,係数_乗用_軽油,係数_乗用_メタノール,係数_乗用_LPG),1,1,BE1075):INDEX((係数_乗用_ガソリン,係数_乗用_CNG,係数_乗用_軽油,係数_乗用_メタノール,係数_乗用_LPG),125,5,BE1075),5,FALSE)))))</f>
        <v/>
      </c>
      <c r="AN1075" s="461" t="str">
        <f t="shared" si="616"/>
        <v/>
      </c>
      <c r="AO1075" s="462" t="str">
        <f t="shared" si="617"/>
        <v/>
      </c>
      <c r="AP1075" s="463" t="str">
        <f t="shared" si="618"/>
        <v/>
      </c>
      <c r="AQ1075" s="464"/>
      <c r="AR1075" s="619"/>
      <c r="AS1075" s="465" t="str">
        <f t="shared" si="588"/>
        <v/>
      </c>
      <c r="AT1075" s="465" t="str">
        <f t="shared" si="589"/>
        <v/>
      </c>
      <c r="AU1075" s="466" t="str">
        <f t="shared" si="590"/>
        <v/>
      </c>
      <c r="AV1075" s="467" t="str">
        <f t="shared" si="591"/>
        <v/>
      </c>
      <c r="AW1075" s="467" t="str">
        <f t="shared" si="592"/>
        <v/>
      </c>
      <c r="AX1075" s="467" t="str">
        <f t="shared" si="593"/>
        <v/>
      </c>
      <c r="AY1075" s="467" t="str">
        <f t="shared" si="594"/>
        <v/>
      </c>
      <c r="AZ1075" s="467" t="str">
        <f t="shared" si="595"/>
        <v/>
      </c>
      <c r="BA1075" s="468" t="str">
        <f>IF(AS1075="","",IF(OR(AU1075="",AU1075="-"),"－",IF(OR(AZ1075=8,AZ1075=9),"",IF(OR(AW1075=3,AW1075=4,AW1075=5,AW1075=6),VLOOKUP(AU1075,INDEX((係数_バス貨物_ガソリン,係数_バス貨物_CNG,係数_バス貨物_軽油,係数_バス貨物_メタノール,係数_バス貨物_LPG),MATCH(AY1075,【参考】排出係数!$AI$4:$AI$671,1),1,BE1075):INDEX((係数_バス貨物_ガソリン,係数_バス貨物_CNG,係数_バス貨物_軽油,係数_バス貨物_メタノール,係数_バス貨物_LPG),MATCH(AY1075+1,【参考】排出係数!$AI$4:$AI$671,1)-1,5,BE1075),2,FALSE),IF(OR(AW1075=1,AW1075=2),VLOOKUP(AU1075,INDEX((係数_乗用_ガソリン,係数_乗用_CNG,係数_乗用_軽油,係数_乗用_メタノール,係数_乗用_LPG),1,1,BE1075):INDEX((係数_乗用_ガソリン,係数_乗用_CNG,係数_乗用_軽油,係数_乗用_メタノール,係数_乗用_LPG),125,5,BE1075),2,FALSE))))))</f>
        <v/>
      </c>
      <c r="BB1075" s="468" t="str">
        <f>IF(T1075="","",IF(OR(AU1075="",AU1075="-"),"－",IF(OR(AZ1075=8,AZ1075=9),"",IF(OR(AW1075=3,AW1075=4,AW1075=5,AW1075=6),VLOOKUP(AU1075,INDEX((係数_バス貨物_ガソリン,係数_バス貨物_CNG,係数_バス貨物_軽油,係数_バス貨物_メタノール,係数_バス貨物_LPG),MATCH(AY1075,【参考】排出係数!$AI$4:$AI$671,1),1,BE1075):INDEX((係数_バス貨物_ガソリン,係数_バス貨物_CNG,係数_バス貨物_軽油,係数_バス貨物_メタノール,係数_バス貨物_LPG),MATCH(AY1075+1,【参考】排出係数!$AI$4:$AI$671,1)-1,5,BE1075),3,FALSE),IF(OR(AW1075=1,AW1075=2),VLOOKUP(AU1075,INDEX((係数_乗用_ガソリン,係数_乗用_CNG,係数_乗用_軽油,係数_乗用_メタノール,係数_乗用_LPG),1,1,BE1075):INDEX((係数_乗用_ガソリン,係数_乗用_CNG,係数_乗用_軽油,係数_乗用_メタノール,係数_乗用_LPG),125,5,BE1075),3,FALSE))))))</f>
        <v/>
      </c>
      <c r="BC1075" s="467" t="str">
        <f t="shared" si="596"/>
        <v/>
      </c>
      <c r="BD1075" s="567" t="str">
        <f t="shared" si="597"/>
        <v/>
      </c>
      <c r="BE1075" s="467" t="str">
        <f t="shared" si="598"/>
        <v/>
      </c>
      <c r="BF1075" s="469" t="str">
        <f t="shared" ca="1" si="599"/>
        <v/>
      </c>
      <c r="BG1075" s="469" t="str">
        <f t="shared" ca="1" si="600"/>
        <v/>
      </c>
      <c r="BH1075" s="467" t="str">
        <f t="shared" si="601"/>
        <v/>
      </c>
      <c r="BI1075" s="467" t="str">
        <f t="shared" ca="1" si="602"/>
        <v/>
      </c>
      <c r="BJ1075" s="469" t="str">
        <f t="shared" si="603"/>
        <v/>
      </c>
      <c r="BK1075" s="470" t="str">
        <f t="shared" si="587"/>
        <v/>
      </c>
      <c r="BL1075" s="775" t="str">
        <f t="shared" si="604"/>
        <v/>
      </c>
      <c r="BM1075" s="775" t="str">
        <f t="shared" si="605"/>
        <v/>
      </c>
    </row>
    <row r="1076" spans="1:65">
      <c r="A1076" s="473">
        <v>1020</v>
      </c>
      <c r="B1076" s="132"/>
      <c r="C1076" s="332"/>
      <c r="D1076" s="333"/>
      <c r="E1076" s="333"/>
      <c r="F1076" s="334"/>
      <c r="G1076" s="337"/>
      <c r="H1076" s="131"/>
      <c r="I1076" s="337"/>
      <c r="J1076" s="131"/>
      <c r="K1076" s="458" t="str">
        <f t="shared" si="606"/>
        <v/>
      </c>
      <c r="L1076" s="458">
        <f t="shared" si="607"/>
        <v>0</v>
      </c>
      <c r="M1076" s="458">
        <f t="shared" si="608"/>
        <v>0</v>
      </c>
      <c r="N1076" s="459" t="str">
        <f t="shared" si="581"/>
        <v/>
      </c>
      <c r="O1076" s="459" t="str">
        <f t="shared" si="582"/>
        <v/>
      </c>
      <c r="P1076" s="459" t="str">
        <f t="shared" si="583"/>
        <v/>
      </c>
      <c r="Q1076" s="459" t="str">
        <f t="shared" si="584"/>
        <v/>
      </c>
      <c r="R1076" s="459" t="str">
        <f t="shared" si="585"/>
        <v/>
      </c>
      <c r="S1076" s="459" t="str">
        <f t="shared" si="586"/>
        <v/>
      </c>
      <c r="T1076" s="566" t="str">
        <f t="shared" si="609"/>
        <v/>
      </c>
      <c r="U1076" s="702"/>
      <c r="V1076" s="132"/>
      <c r="W1076" s="133"/>
      <c r="X1076" s="134"/>
      <c r="Y1076" s="135"/>
      <c r="Z1076" s="137"/>
      <c r="AA1076" s="136"/>
      <c r="AB1076" s="566" t="str">
        <f t="shared" si="610"/>
        <v/>
      </c>
      <c r="AC1076" s="568" t="str">
        <f t="shared" si="611"/>
        <v/>
      </c>
      <c r="AD1076" s="137"/>
      <c r="AE1076" s="137"/>
      <c r="AF1076" s="138"/>
      <c r="AG1076" s="138"/>
      <c r="AH1076" s="592" t="str">
        <f t="shared" si="612"/>
        <v/>
      </c>
      <c r="AI1076" s="592" t="str">
        <f t="shared" si="613"/>
        <v/>
      </c>
      <c r="AJ1076" s="592" t="str">
        <f t="shared" si="614"/>
        <v/>
      </c>
      <c r="AK1076" s="460" t="str">
        <f>IF(AU1076="","",IF(OR(AZ1076=8,AZ1076=9),0,IF(OR(AW1076=3,AW1076=4,AW1076=5,AW1076=6),IF(LEFT(BF1076,1)="1",INDEX(係数_NOX・PM低減,MATCH(AY1076,【参考】排出係数!$AI$801:$AI$804,1),1),VLOOKUP(AU1076,INDEX((係数_バス貨物_ガソリン,係数_バス貨物_CNG,係数_バス貨物_軽油,係数_バス貨物_メタノール,係数_バス貨物_LPG),MATCH(AY1076,【参考】排出係数!$AI$4:$AI$671,1),1,BE1076):INDEX((係数_バス貨物_ガソリン,係数_バス貨物_CNG,係数_バス貨物_軽油,係数_バス貨物_メタノール,係数_バス貨物_LPG),MATCH(AY1076+1,【参考】排出係数!$AI$4:$AI$671,1)-1,5,BE1076),4,FALSE)),IF(AND(BE1076=3,LEFT(BF1076,1)="1"),0.48,VLOOKUP(AU1076,INDEX((係数_乗用_ガソリン,係数_乗用_CNG,係数_乗用_軽油,係数_乗用_メタノール,係数_乗用_LPG),1,1,BE1076):INDEX((係数_乗用_ガソリン,係数_乗用_CNG,係数_乗用_軽油,係数_乗用_メタノール,係数_乗用_LPG),125,5,BE1076),4,FALSE)))))</f>
        <v/>
      </c>
      <c r="AL1076" s="461" t="str">
        <f t="shared" si="615"/>
        <v/>
      </c>
      <c r="AM1076" s="460" t="str">
        <f>IF(AU1076="","",IF(OR(AZ1076=8,AZ1076=9),0,IF(OR(AW1076=3,AW1076=4,AW1076=5,AW1076=6),IF(LEFT(BH1076,1)="1",INDEX(係数_PM低減,MATCH(AY1076,【参考】排出係数!$AI$801:$AI$804,1),MATCH(BI1076,【参考】排出係数!$AL$798:$AO$798,1)),VLOOKUP(AU1076,INDEX((係数_バス貨物_ガソリン,係数_バス貨物_CNG,係数_バス貨物_軽油,係数_バス貨物_メタノール,係数_バス貨物_LPG),MATCH(AY1076,【参考】排出係数!$AI$4:$AI$671,1),1,BE1076):INDEX((係数_バス貨物_ガソリン,係数_バス貨物_CNG,係数_バス貨物_軽油,係数_バス貨物_メタノール,係数_バス貨物_LPG),MATCH(AY1076+1,【参考】排出係数!$AI$4:$AI$671,1)-1,5,BE1076),5,FALSE)),IF(AND(BE1076=3,LEFT(BF1076,1)="1"),0.055,VLOOKUP(AU1076,INDEX((係数_乗用_ガソリン,係数_乗用_CNG,係数_乗用_軽油,係数_乗用_メタノール,係数_乗用_LPG),1,1,BE1076):INDEX((係数_乗用_ガソリン,係数_乗用_CNG,係数_乗用_軽油,係数_乗用_メタノール,係数_乗用_LPG),125,5,BE1076),5,FALSE)))))</f>
        <v/>
      </c>
      <c r="AN1076" s="461" t="str">
        <f t="shared" si="616"/>
        <v/>
      </c>
      <c r="AO1076" s="462" t="str">
        <f t="shared" si="617"/>
        <v/>
      </c>
      <c r="AP1076" s="463" t="str">
        <f t="shared" si="618"/>
        <v/>
      </c>
      <c r="AQ1076" s="464"/>
      <c r="AR1076" s="619"/>
      <c r="AS1076" s="465" t="str">
        <f t="shared" si="588"/>
        <v/>
      </c>
      <c r="AT1076" s="465" t="str">
        <f t="shared" si="589"/>
        <v/>
      </c>
      <c r="AU1076" s="466" t="str">
        <f t="shared" si="590"/>
        <v/>
      </c>
      <c r="AV1076" s="467" t="str">
        <f t="shared" si="591"/>
        <v/>
      </c>
      <c r="AW1076" s="467" t="str">
        <f t="shared" si="592"/>
        <v/>
      </c>
      <c r="AX1076" s="467" t="str">
        <f t="shared" si="593"/>
        <v/>
      </c>
      <c r="AY1076" s="467" t="str">
        <f t="shared" si="594"/>
        <v/>
      </c>
      <c r="AZ1076" s="467" t="str">
        <f t="shared" si="595"/>
        <v/>
      </c>
      <c r="BA1076" s="468" t="str">
        <f>IF(AS1076="","",IF(OR(AU1076="",AU1076="-"),"－",IF(OR(AZ1076=8,AZ1076=9),"",IF(OR(AW1076=3,AW1076=4,AW1076=5,AW1076=6),VLOOKUP(AU1076,INDEX((係数_バス貨物_ガソリン,係数_バス貨物_CNG,係数_バス貨物_軽油,係数_バス貨物_メタノール,係数_バス貨物_LPG),MATCH(AY1076,【参考】排出係数!$AI$4:$AI$671,1),1,BE1076):INDEX((係数_バス貨物_ガソリン,係数_バス貨物_CNG,係数_バス貨物_軽油,係数_バス貨物_メタノール,係数_バス貨物_LPG),MATCH(AY1076+1,【参考】排出係数!$AI$4:$AI$671,1)-1,5,BE1076),2,FALSE),IF(OR(AW1076=1,AW1076=2),VLOOKUP(AU1076,INDEX((係数_乗用_ガソリン,係数_乗用_CNG,係数_乗用_軽油,係数_乗用_メタノール,係数_乗用_LPG),1,1,BE1076):INDEX((係数_乗用_ガソリン,係数_乗用_CNG,係数_乗用_軽油,係数_乗用_メタノール,係数_乗用_LPG),125,5,BE1076),2,FALSE))))))</f>
        <v/>
      </c>
      <c r="BB1076" s="468" t="str">
        <f>IF(T1076="","",IF(OR(AU1076="",AU1076="-"),"－",IF(OR(AZ1076=8,AZ1076=9),"",IF(OR(AW1076=3,AW1076=4,AW1076=5,AW1076=6),VLOOKUP(AU1076,INDEX((係数_バス貨物_ガソリン,係数_バス貨物_CNG,係数_バス貨物_軽油,係数_バス貨物_メタノール,係数_バス貨物_LPG),MATCH(AY1076,【参考】排出係数!$AI$4:$AI$671,1),1,BE1076):INDEX((係数_バス貨物_ガソリン,係数_バス貨物_CNG,係数_バス貨物_軽油,係数_バス貨物_メタノール,係数_バス貨物_LPG),MATCH(AY1076+1,【参考】排出係数!$AI$4:$AI$671,1)-1,5,BE1076),3,FALSE),IF(OR(AW1076=1,AW1076=2),VLOOKUP(AU1076,INDEX((係数_乗用_ガソリン,係数_乗用_CNG,係数_乗用_軽油,係数_乗用_メタノール,係数_乗用_LPG),1,1,BE1076):INDEX((係数_乗用_ガソリン,係数_乗用_CNG,係数_乗用_軽油,係数_乗用_メタノール,係数_乗用_LPG),125,5,BE1076),3,FALSE))))))</f>
        <v/>
      </c>
      <c r="BC1076" s="467" t="str">
        <f t="shared" si="596"/>
        <v/>
      </c>
      <c r="BD1076" s="567" t="str">
        <f t="shared" si="597"/>
        <v/>
      </c>
      <c r="BE1076" s="467" t="str">
        <f t="shared" si="598"/>
        <v/>
      </c>
      <c r="BF1076" s="469" t="str">
        <f t="shared" ca="1" si="599"/>
        <v/>
      </c>
      <c r="BG1076" s="469" t="str">
        <f t="shared" ca="1" si="600"/>
        <v/>
      </c>
      <c r="BH1076" s="467" t="str">
        <f t="shared" si="601"/>
        <v/>
      </c>
      <c r="BI1076" s="467" t="str">
        <f t="shared" ca="1" si="602"/>
        <v/>
      </c>
      <c r="BJ1076" s="469" t="str">
        <f t="shared" si="603"/>
        <v/>
      </c>
      <c r="BK1076" s="470" t="str">
        <f t="shared" si="587"/>
        <v/>
      </c>
      <c r="BL1076" s="775" t="str">
        <f t="shared" si="604"/>
        <v/>
      </c>
      <c r="BM1076" s="775" t="str">
        <f t="shared" si="605"/>
        <v/>
      </c>
    </row>
    <row r="1077" spans="1:65">
      <c r="A1077" s="473">
        <v>1021</v>
      </c>
      <c r="B1077" s="132"/>
      <c r="C1077" s="332"/>
      <c r="D1077" s="333"/>
      <c r="E1077" s="333"/>
      <c r="F1077" s="334"/>
      <c r="G1077" s="337"/>
      <c r="H1077" s="131"/>
      <c r="I1077" s="337"/>
      <c r="J1077" s="131"/>
      <c r="K1077" s="458" t="str">
        <f t="shared" si="606"/>
        <v/>
      </c>
      <c r="L1077" s="458">
        <f t="shared" si="607"/>
        <v>0</v>
      </c>
      <c r="M1077" s="458">
        <f t="shared" si="608"/>
        <v>0</v>
      </c>
      <c r="N1077" s="459" t="str">
        <f t="shared" si="581"/>
        <v/>
      </c>
      <c r="O1077" s="459" t="str">
        <f t="shared" si="582"/>
        <v/>
      </c>
      <c r="P1077" s="459" t="str">
        <f t="shared" si="583"/>
        <v/>
      </c>
      <c r="Q1077" s="459" t="str">
        <f t="shared" si="584"/>
        <v/>
      </c>
      <c r="R1077" s="459" t="str">
        <f t="shared" si="585"/>
        <v/>
      </c>
      <c r="S1077" s="459" t="str">
        <f t="shared" si="586"/>
        <v/>
      </c>
      <c r="T1077" s="566" t="str">
        <f t="shared" si="609"/>
        <v/>
      </c>
      <c r="U1077" s="702"/>
      <c r="V1077" s="132"/>
      <c r="W1077" s="133"/>
      <c r="X1077" s="134"/>
      <c r="Y1077" s="135"/>
      <c r="Z1077" s="137"/>
      <c r="AA1077" s="136"/>
      <c r="AB1077" s="566" t="str">
        <f t="shared" si="610"/>
        <v/>
      </c>
      <c r="AC1077" s="568" t="str">
        <f t="shared" si="611"/>
        <v/>
      </c>
      <c r="AD1077" s="137"/>
      <c r="AE1077" s="137"/>
      <c r="AF1077" s="138"/>
      <c r="AG1077" s="138"/>
      <c r="AH1077" s="592" t="str">
        <f t="shared" si="612"/>
        <v/>
      </c>
      <c r="AI1077" s="592" t="str">
        <f t="shared" si="613"/>
        <v/>
      </c>
      <c r="AJ1077" s="592" t="str">
        <f t="shared" si="614"/>
        <v/>
      </c>
      <c r="AK1077" s="460" t="str">
        <f>IF(AU1077="","",IF(OR(AZ1077=8,AZ1077=9),0,IF(OR(AW1077=3,AW1077=4,AW1077=5,AW1077=6),IF(LEFT(BF1077,1)="1",INDEX(係数_NOX・PM低減,MATCH(AY1077,【参考】排出係数!$AI$801:$AI$804,1),1),VLOOKUP(AU1077,INDEX((係数_バス貨物_ガソリン,係数_バス貨物_CNG,係数_バス貨物_軽油,係数_バス貨物_メタノール,係数_バス貨物_LPG),MATCH(AY1077,【参考】排出係数!$AI$4:$AI$671,1),1,BE1077):INDEX((係数_バス貨物_ガソリン,係数_バス貨物_CNG,係数_バス貨物_軽油,係数_バス貨物_メタノール,係数_バス貨物_LPG),MATCH(AY1077+1,【参考】排出係数!$AI$4:$AI$671,1)-1,5,BE1077),4,FALSE)),IF(AND(BE1077=3,LEFT(BF1077,1)="1"),0.48,VLOOKUP(AU1077,INDEX((係数_乗用_ガソリン,係数_乗用_CNG,係数_乗用_軽油,係数_乗用_メタノール,係数_乗用_LPG),1,1,BE1077):INDEX((係数_乗用_ガソリン,係数_乗用_CNG,係数_乗用_軽油,係数_乗用_メタノール,係数_乗用_LPG),125,5,BE1077),4,FALSE)))))</f>
        <v/>
      </c>
      <c r="AL1077" s="461" t="str">
        <f t="shared" si="615"/>
        <v/>
      </c>
      <c r="AM1077" s="460" t="str">
        <f>IF(AU1077="","",IF(OR(AZ1077=8,AZ1077=9),0,IF(OR(AW1077=3,AW1077=4,AW1077=5,AW1077=6),IF(LEFT(BH1077,1)="1",INDEX(係数_PM低減,MATCH(AY1077,【参考】排出係数!$AI$801:$AI$804,1),MATCH(BI1077,【参考】排出係数!$AL$798:$AO$798,1)),VLOOKUP(AU1077,INDEX((係数_バス貨物_ガソリン,係数_バス貨物_CNG,係数_バス貨物_軽油,係数_バス貨物_メタノール,係数_バス貨物_LPG),MATCH(AY1077,【参考】排出係数!$AI$4:$AI$671,1),1,BE1077):INDEX((係数_バス貨物_ガソリン,係数_バス貨物_CNG,係数_バス貨物_軽油,係数_バス貨物_メタノール,係数_バス貨物_LPG),MATCH(AY1077+1,【参考】排出係数!$AI$4:$AI$671,1)-1,5,BE1077),5,FALSE)),IF(AND(BE1077=3,LEFT(BF1077,1)="1"),0.055,VLOOKUP(AU1077,INDEX((係数_乗用_ガソリン,係数_乗用_CNG,係数_乗用_軽油,係数_乗用_メタノール,係数_乗用_LPG),1,1,BE1077):INDEX((係数_乗用_ガソリン,係数_乗用_CNG,係数_乗用_軽油,係数_乗用_メタノール,係数_乗用_LPG),125,5,BE1077),5,FALSE)))))</f>
        <v/>
      </c>
      <c r="AN1077" s="461" t="str">
        <f t="shared" si="616"/>
        <v/>
      </c>
      <c r="AO1077" s="462" t="str">
        <f t="shared" si="617"/>
        <v/>
      </c>
      <c r="AP1077" s="463" t="str">
        <f t="shared" si="618"/>
        <v/>
      </c>
      <c r="AQ1077" s="464"/>
      <c r="AR1077" s="619"/>
      <c r="AS1077" s="465" t="str">
        <f t="shared" si="588"/>
        <v/>
      </c>
      <c r="AT1077" s="465" t="str">
        <f t="shared" si="589"/>
        <v/>
      </c>
      <c r="AU1077" s="466" t="str">
        <f t="shared" si="590"/>
        <v/>
      </c>
      <c r="AV1077" s="467" t="str">
        <f t="shared" si="591"/>
        <v/>
      </c>
      <c r="AW1077" s="467" t="str">
        <f t="shared" si="592"/>
        <v/>
      </c>
      <c r="AX1077" s="467" t="str">
        <f t="shared" si="593"/>
        <v/>
      </c>
      <c r="AY1077" s="467" t="str">
        <f t="shared" si="594"/>
        <v/>
      </c>
      <c r="AZ1077" s="467" t="str">
        <f t="shared" si="595"/>
        <v/>
      </c>
      <c r="BA1077" s="468" t="str">
        <f>IF(AS1077="","",IF(OR(AU1077="",AU1077="-"),"－",IF(OR(AZ1077=8,AZ1077=9),"",IF(OR(AW1077=3,AW1077=4,AW1077=5,AW1077=6),VLOOKUP(AU1077,INDEX((係数_バス貨物_ガソリン,係数_バス貨物_CNG,係数_バス貨物_軽油,係数_バス貨物_メタノール,係数_バス貨物_LPG),MATCH(AY1077,【参考】排出係数!$AI$4:$AI$671,1),1,BE1077):INDEX((係数_バス貨物_ガソリン,係数_バス貨物_CNG,係数_バス貨物_軽油,係数_バス貨物_メタノール,係数_バス貨物_LPG),MATCH(AY1077+1,【参考】排出係数!$AI$4:$AI$671,1)-1,5,BE1077),2,FALSE),IF(OR(AW1077=1,AW1077=2),VLOOKUP(AU1077,INDEX((係数_乗用_ガソリン,係数_乗用_CNG,係数_乗用_軽油,係数_乗用_メタノール,係数_乗用_LPG),1,1,BE1077):INDEX((係数_乗用_ガソリン,係数_乗用_CNG,係数_乗用_軽油,係数_乗用_メタノール,係数_乗用_LPG),125,5,BE1077),2,FALSE))))))</f>
        <v/>
      </c>
      <c r="BB1077" s="468" t="str">
        <f>IF(T1077="","",IF(OR(AU1077="",AU1077="-"),"－",IF(OR(AZ1077=8,AZ1077=9),"",IF(OR(AW1077=3,AW1077=4,AW1077=5,AW1077=6),VLOOKUP(AU1077,INDEX((係数_バス貨物_ガソリン,係数_バス貨物_CNG,係数_バス貨物_軽油,係数_バス貨物_メタノール,係数_バス貨物_LPG),MATCH(AY1077,【参考】排出係数!$AI$4:$AI$671,1),1,BE1077):INDEX((係数_バス貨物_ガソリン,係数_バス貨物_CNG,係数_バス貨物_軽油,係数_バス貨物_メタノール,係数_バス貨物_LPG),MATCH(AY1077+1,【参考】排出係数!$AI$4:$AI$671,1)-1,5,BE1077),3,FALSE),IF(OR(AW1077=1,AW1077=2),VLOOKUP(AU1077,INDEX((係数_乗用_ガソリン,係数_乗用_CNG,係数_乗用_軽油,係数_乗用_メタノール,係数_乗用_LPG),1,1,BE1077):INDEX((係数_乗用_ガソリン,係数_乗用_CNG,係数_乗用_軽油,係数_乗用_メタノール,係数_乗用_LPG),125,5,BE1077),3,FALSE))))))</f>
        <v/>
      </c>
      <c r="BC1077" s="467" t="str">
        <f t="shared" si="596"/>
        <v/>
      </c>
      <c r="BD1077" s="567" t="str">
        <f t="shared" si="597"/>
        <v/>
      </c>
      <c r="BE1077" s="467" t="str">
        <f t="shared" si="598"/>
        <v/>
      </c>
      <c r="BF1077" s="469" t="str">
        <f t="shared" ca="1" si="599"/>
        <v/>
      </c>
      <c r="BG1077" s="469" t="str">
        <f t="shared" ca="1" si="600"/>
        <v/>
      </c>
      <c r="BH1077" s="467" t="str">
        <f t="shared" si="601"/>
        <v/>
      </c>
      <c r="BI1077" s="467" t="str">
        <f t="shared" ca="1" si="602"/>
        <v/>
      </c>
      <c r="BJ1077" s="469" t="str">
        <f t="shared" si="603"/>
        <v/>
      </c>
      <c r="BK1077" s="470" t="str">
        <f t="shared" si="587"/>
        <v/>
      </c>
      <c r="BL1077" s="775" t="str">
        <f t="shared" si="604"/>
        <v/>
      </c>
      <c r="BM1077" s="775" t="str">
        <f t="shared" si="605"/>
        <v/>
      </c>
    </row>
    <row r="1078" spans="1:65">
      <c r="A1078" s="473">
        <v>1022</v>
      </c>
      <c r="B1078" s="132"/>
      <c r="C1078" s="332"/>
      <c r="D1078" s="333"/>
      <c r="E1078" s="333"/>
      <c r="F1078" s="334"/>
      <c r="G1078" s="337"/>
      <c r="H1078" s="131"/>
      <c r="I1078" s="337"/>
      <c r="J1078" s="131"/>
      <c r="K1078" s="458" t="str">
        <f t="shared" si="606"/>
        <v/>
      </c>
      <c r="L1078" s="458">
        <f t="shared" si="607"/>
        <v>0</v>
      </c>
      <c r="M1078" s="458">
        <f t="shared" si="608"/>
        <v>0</v>
      </c>
      <c r="N1078" s="459" t="str">
        <f t="shared" si="581"/>
        <v/>
      </c>
      <c r="O1078" s="459" t="str">
        <f t="shared" si="582"/>
        <v/>
      </c>
      <c r="P1078" s="459" t="str">
        <f t="shared" si="583"/>
        <v/>
      </c>
      <c r="Q1078" s="459" t="str">
        <f t="shared" si="584"/>
        <v/>
      </c>
      <c r="R1078" s="459" t="str">
        <f t="shared" si="585"/>
        <v/>
      </c>
      <c r="S1078" s="459" t="str">
        <f t="shared" si="586"/>
        <v/>
      </c>
      <c r="T1078" s="566" t="str">
        <f t="shared" si="609"/>
        <v/>
      </c>
      <c r="U1078" s="702"/>
      <c r="V1078" s="132"/>
      <c r="W1078" s="133"/>
      <c r="X1078" s="134"/>
      <c r="Y1078" s="135"/>
      <c r="Z1078" s="137"/>
      <c r="AA1078" s="136"/>
      <c r="AB1078" s="566" t="str">
        <f t="shared" si="610"/>
        <v/>
      </c>
      <c r="AC1078" s="568" t="str">
        <f t="shared" si="611"/>
        <v/>
      </c>
      <c r="AD1078" s="137"/>
      <c r="AE1078" s="137"/>
      <c r="AF1078" s="138"/>
      <c r="AG1078" s="138"/>
      <c r="AH1078" s="592" t="str">
        <f t="shared" si="612"/>
        <v/>
      </c>
      <c r="AI1078" s="592" t="str">
        <f t="shared" si="613"/>
        <v/>
      </c>
      <c r="AJ1078" s="592" t="str">
        <f t="shared" si="614"/>
        <v/>
      </c>
      <c r="AK1078" s="460" t="str">
        <f>IF(AU1078="","",IF(OR(AZ1078=8,AZ1078=9),0,IF(OR(AW1078=3,AW1078=4,AW1078=5,AW1078=6),IF(LEFT(BF1078,1)="1",INDEX(係数_NOX・PM低減,MATCH(AY1078,【参考】排出係数!$AI$801:$AI$804,1),1),VLOOKUP(AU1078,INDEX((係数_バス貨物_ガソリン,係数_バス貨物_CNG,係数_バス貨物_軽油,係数_バス貨物_メタノール,係数_バス貨物_LPG),MATCH(AY1078,【参考】排出係数!$AI$4:$AI$671,1),1,BE1078):INDEX((係数_バス貨物_ガソリン,係数_バス貨物_CNG,係数_バス貨物_軽油,係数_バス貨物_メタノール,係数_バス貨物_LPG),MATCH(AY1078+1,【参考】排出係数!$AI$4:$AI$671,1)-1,5,BE1078),4,FALSE)),IF(AND(BE1078=3,LEFT(BF1078,1)="1"),0.48,VLOOKUP(AU1078,INDEX((係数_乗用_ガソリン,係数_乗用_CNG,係数_乗用_軽油,係数_乗用_メタノール,係数_乗用_LPG),1,1,BE1078):INDEX((係数_乗用_ガソリン,係数_乗用_CNG,係数_乗用_軽油,係数_乗用_メタノール,係数_乗用_LPG),125,5,BE1078),4,FALSE)))))</f>
        <v/>
      </c>
      <c r="AL1078" s="461" t="str">
        <f t="shared" si="615"/>
        <v/>
      </c>
      <c r="AM1078" s="460" t="str">
        <f>IF(AU1078="","",IF(OR(AZ1078=8,AZ1078=9),0,IF(OR(AW1078=3,AW1078=4,AW1078=5,AW1078=6),IF(LEFT(BH1078,1)="1",INDEX(係数_PM低減,MATCH(AY1078,【参考】排出係数!$AI$801:$AI$804,1),MATCH(BI1078,【参考】排出係数!$AL$798:$AO$798,1)),VLOOKUP(AU1078,INDEX((係数_バス貨物_ガソリン,係数_バス貨物_CNG,係数_バス貨物_軽油,係数_バス貨物_メタノール,係数_バス貨物_LPG),MATCH(AY1078,【参考】排出係数!$AI$4:$AI$671,1),1,BE1078):INDEX((係数_バス貨物_ガソリン,係数_バス貨物_CNG,係数_バス貨物_軽油,係数_バス貨物_メタノール,係数_バス貨物_LPG),MATCH(AY1078+1,【参考】排出係数!$AI$4:$AI$671,1)-1,5,BE1078),5,FALSE)),IF(AND(BE1078=3,LEFT(BF1078,1)="1"),0.055,VLOOKUP(AU1078,INDEX((係数_乗用_ガソリン,係数_乗用_CNG,係数_乗用_軽油,係数_乗用_メタノール,係数_乗用_LPG),1,1,BE1078):INDEX((係数_乗用_ガソリン,係数_乗用_CNG,係数_乗用_軽油,係数_乗用_メタノール,係数_乗用_LPG),125,5,BE1078),5,FALSE)))))</f>
        <v/>
      </c>
      <c r="AN1078" s="461" t="str">
        <f t="shared" si="616"/>
        <v/>
      </c>
      <c r="AO1078" s="462" t="str">
        <f t="shared" si="617"/>
        <v/>
      </c>
      <c r="AP1078" s="463" t="str">
        <f t="shared" si="618"/>
        <v/>
      </c>
      <c r="AQ1078" s="464"/>
      <c r="AR1078" s="619"/>
      <c r="AS1078" s="465" t="str">
        <f t="shared" si="588"/>
        <v/>
      </c>
      <c r="AT1078" s="465" t="str">
        <f t="shared" si="589"/>
        <v/>
      </c>
      <c r="AU1078" s="466" t="str">
        <f t="shared" si="590"/>
        <v/>
      </c>
      <c r="AV1078" s="467" t="str">
        <f t="shared" si="591"/>
        <v/>
      </c>
      <c r="AW1078" s="467" t="str">
        <f t="shared" si="592"/>
        <v/>
      </c>
      <c r="AX1078" s="467" t="str">
        <f t="shared" si="593"/>
        <v/>
      </c>
      <c r="AY1078" s="467" t="str">
        <f t="shared" si="594"/>
        <v/>
      </c>
      <c r="AZ1078" s="467" t="str">
        <f t="shared" si="595"/>
        <v/>
      </c>
      <c r="BA1078" s="468" t="str">
        <f>IF(AS1078="","",IF(OR(AU1078="",AU1078="-"),"－",IF(OR(AZ1078=8,AZ1078=9),"",IF(OR(AW1078=3,AW1078=4,AW1078=5,AW1078=6),VLOOKUP(AU1078,INDEX((係数_バス貨物_ガソリン,係数_バス貨物_CNG,係数_バス貨物_軽油,係数_バス貨物_メタノール,係数_バス貨物_LPG),MATCH(AY1078,【参考】排出係数!$AI$4:$AI$671,1),1,BE1078):INDEX((係数_バス貨物_ガソリン,係数_バス貨物_CNG,係数_バス貨物_軽油,係数_バス貨物_メタノール,係数_バス貨物_LPG),MATCH(AY1078+1,【参考】排出係数!$AI$4:$AI$671,1)-1,5,BE1078),2,FALSE),IF(OR(AW1078=1,AW1078=2),VLOOKUP(AU1078,INDEX((係数_乗用_ガソリン,係数_乗用_CNG,係数_乗用_軽油,係数_乗用_メタノール,係数_乗用_LPG),1,1,BE1078):INDEX((係数_乗用_ガソリン,係数_乗用_CNG,係数_乗用_軽油,係数_乗用_メタノール,係数_乗用_LPG),125,5,BE1078),2,FALSE))))))</f>
        <v/>
      </c>
      <c r="BB1078" s="468" t="str">
        <f>IF(T1078="","",IF(OR(AU1078="",AU1078="-"),"－",IF(OR(AZ1078=8,AZ1078=9),"",IF(OR(AW1078=3,AW1078=4,AW1078=5,AW1078=6),VLOOKUP(AU1078,INDEX((係数_バス貨物_ガソリン,係数_バス貨物_CNG,係数_バス貨物_軽油,係数_バス貨物_メタノール,係数_バス貨物_LPG),MATCH(AY1078,【参考】排出係数!$AI$4:$AI$671,1),1,BE1078):INDEX((係数_バス貨物_ガソリン,係数_バス貨物_CNG,係数_バス貨物_軽油,係数_バス貨物_メタノール,係数_バス貨物_LPG),MATCH(AY1078+1,【参考】排出係数!$AI$4:$AI$671,1)-1,5,BE1078),3,FALSE),IF(OR(AW1078=1,AW1078=2),VLOOKUP(AU1078,INDEX((係数_乗用_ガソリン,係数_乗用_CNG,係数_乗用_軽油,係数_乗用_メタノール,係数_乗用_LPG),1,1,BE1078):INDEX((係数_乗用_ガソリン,係数_乗用_CNG,係数_乗用_軽油,係数_乗用_メタノール,係数_乗用_LPG),125,5,BE1078),3,FALSE))))))</f>
        <v/>
      </c>
      <c r="BC1078" s="467" t="str">
        <f t="shared" si="596"/>
        <v/>
      </c>
      <c r="BD1078" s="567" t="str">
        <f t="shared" si="597"/>
        <v/>
      </c>
      <c r="BE1078" s="467" t="str">
        <f t="shared" si="598"/>
        <v/>
      </c>
      <c r="BF1078" s="469" t="str">
        <f t="shared" ca="1" si="599"/>
        <v/>
      </c>
      <c r="BG1078" s="469" t="str">
        <f t="shared" ca="1" si="600"/>
        <v/>
      </c>
      <c r="BH1078" s="467" t="str">
        <f t="shared" si="601"/>
        <v/>
      </c>
      <c r="BI1078" s="467" t="str">
        <f t="shared" ca="1" si="602"/>
        <v/>
      </c>
      <c r="BJ1078" s="469" t="str">
        <f t="shared" si="603"/>
        <v/>
      </c>
      <c r="BK1078" s="470" t="str">
        <f t="shared" si="587"/>
        <v/>
      </c>
      <c r="BL1078" s="775" t="str">
        <f t="shared" si="604"/>
        <v/>
      </c>
      <c r="BM1078" s="775" t="str">
        <f t="shared" si="605"/>
        <v/>
      </c>
    </row>
    <row r="1079" spans="1:65">
      <c r="A1079" s="473">
        <v>1023</v>
      </c>
      <c r="B1079" s="132"/>
      <c r="C1079" s="332"/>
      <c r="D1079" s="333"/>
      <c r="E1079" s="333"/>
      <c r="F1079" s="334"/>
      <c r="G1079" s="337"/>
      <c r="H1079" s="131"/>
      <c r="I1079" s="337"/>
      <c r="J1079" s="131"/>
      <c r="K1079" s="458" t="str">
        <f t="shared" si="606"/>
        <v/>
      </c>
      <c r="L1079" s="458">
        <f t="shared" si="607"/>
        <v>0</v>
      </c>
      <c r="M1079" s="458">
        <f t="shared" si="608"/>
        <v>0</v>
      </c>
      <c r="N1079" s="459" t="str">
        <f t="shared" ref="N1079:N1142" si="619">IF(OR($L1079&gt;$U$48,$M1079&gt;$U$48,AND($L1079&gt;$M1079,$M1079&lt;&gt;0),AND($L1079=0,$M1079&lt;&gt;0)),"ERROR","")</f>
        <v/>
      </c>
      <c r="O1079" s="459" t="str">
        <f t="shared" ref="O1079:O1142" si="620">IF(AND($N1079&lt;&gt;"ERROR",$L1079&lt;=$U$49,$M1079&lt;=$U$49,$M1079&lt;&gt;0),"(減車済)","")</f>
        <v/>
      </c>
      <c r="P1079" s="459" t="str">
        <f t="shared" ref="P1079:P1142" si="621">IF(AND($N1079&lt;&gt;"ERROR",$L1079&lt;$U$49,AND($M1079&gt;$U$49,$M1079&lt;=$W$49),$M1079&lt;&gt;0),"減車","")</f>
        <v/>
      </c>
      <c r="Q1079" s="459" t="str">
        <f t="shared" ref="Q1079:Q1142" si="622">IF(AND($N1079&lt;&gt;"ERROR",$L1079&gt;$U$49,$M1079&lt;=$W$49,$M1079&lt;&gt;0),"一時使用","")</f>
        <v/>
      </c>
      <c r="R1079" s="459" t="str">
        <f t="shared" ref="R1079:R1142" si="623">IF(AND($N1079&lt;&gt;"ERROR",AND($L1079&gt;0,$L1079&lt;=$U$49),$M1079=0),"継続","")</f>
        <v/>
      </c>
      <c r="S1079" s="459" t="str">
        <f t="shared" ref="S1079:S1142" si="624">IF(AND($N1079&lt;&gt;"ERROR",AND($L1079&gt;$U$49),$M1079=0),"新規","")</f>
        <v/>
      </c>
      <c r="T1079" s="566" t="str">
        <f t="shared" si="609"/>
        <v/>
      </c>
      <c r="U1079" s="702"/>
      <c r="V1079" s="132"/>
      <c r="W1079" s="133"/>
      <c r="X1079" s="134"/>
      <c r="Y1079" s="135"/>
      <c r="Z1079" s="137"/>
      <c r="AA1079" s="136"/>
      <c r="AB1079" s="566" t="str">
        <f t="shared" si="610"/>
        <v/>
      </c>
      <c r="AC1079" s="568" t="str">
        <f t="shared" si="611"/>
        <v/>
      </c>
      <c r="AD1079" s="137"/>
      <c r="AE1079" s="137"/>
      <c r="AF1079" s="138"/>
      <c r="AG1079" s="138"/>
      <c r="AH1079" s="592" t="str">
        <f t="shared" si="612"/>
        <v/>
      </c>
      <c r="AI1079" s="592" t="str">
        <f t="shared" si="613"/>
        <v/>
      </c>
      <c r="AJ1079" s="592" t="str">
        <f t="shared" si="614"/>
        <v/>
      </c>
      <c r="AK1079" s="460" t="str">
        <f>IF(AU1079="","",IF(OR(AZ1079=8,AZ1079=9),0,IF(OR(AW1079=3,AW1079=4,AW1079=5,AW1079=6),IF(LEFT(BF1079,1)="1",INDEX(係数_NOX・PM低減,MATCH(AY1079,【参考】排出係数!$AI$801:$AI$804,1),1),VLOOKUP(AU1079,INDEX((係数_バス貨物_ガソリン,係数_バス貨物_CNG,係数_バス貨物_軽油,係数_バス貨物_メタノール,係数_バス貨物_LPG),MATCH(AY1079,【参考】排出係数!$AI$4:$AI$671,1),1,BE1079):INDEX((係数_バス貨物_ガソリン,係数_バス貨物_CNG,係数_バス貨物_軽油,係数_バス貨物_メタノール,係数_バス貨物_LPG),MATCH(AY1079+1,【参考】排出係数!$AI$4:$AI$671,1)-1,5,BE1079),4,FALSE)),IF(AND(BE1079=3,LEFT(BF1079,1)="1"),0.48,VLOOKUP(AU1079,INDEX((係数_乗用_ガソリン,係数_乗用_CNG,係数_乗用_軽油,係数_乗用_メタノール,係数_乗用_LPG),1,1,BE1079):INDEX((係数_乗用_ガソリン,係数_乗用_CNG,係数_乗用_軽油,係数_乗用_メタノール,係数_乗用_LPG),125,5,BE1079),4,FALSE)))))</f>
        <v/>
      </c>
      <c r="AL1079" s="461" t="str">
        <f t="shared" si="615"/>
        <v/>
      </c>
      <c r="AM1079" s="460" t="str">
        <f>IF(AU1079="","",IF(OR(AZ1079=8,AZ1079=9),0,IF(OR(AW1079=3,AW1079=4,AW1079=5,AW1079=6),IF(LEFT(BH1079,1)="1",INDEX(係数_PM低減,MATCH(AY1079,【参考】排出係数!$AI$801:$AI$804,1),MATCH(BI1079,【参考】排出係数!$AL$798:$AO$798,1)),VLOOKUP(AU1079,INDEX((係数_バス貨物_ガソリン,係数_バス貨物_CNG,係数_バス貨物_軽油,係数_バス貨物_メタノール,係数_バス貨物_LPG),MATCH(AY1079,【参考】排出係数!$AI$4:$AI$671,1),1,BE1079):INDEX((係数_バス貨物_ガソリン,係数_バス貨物_CNG,係数_バス貨物_軽油,係数_バス貨物_メタノール,係数_バス貨物_LPG),MATCH(AY1079+1,【参考】排出係数!$AI$4:$AI$671,1)-1,5,BE1079),5,FALSE)),IF(AND(BE1079=3,LEFT(BF1079,1)="1"),0.055,VLOOKUP(AU1079,INDEX((係数_乗用_ガソリン,係数_乗用_CNG,係数_乗用_軽油,係数_乗用_メタノール,係数_乗用_LPG),1,1,BE1079):INDEX((係数_乗用_ガソリン,係数_乗用_CNG,係数_乗用_軽油,係数_乗用_メタノール,係数_乗用_LPG),125,5,BE1079),5,FALSE)))))</f>
        <v/>
      </c>
      <c r="AN1079" s="461" t="str">
        <f t="shared" si="616"/>
        <v/>
      </c>
      <c r="AO1079" s="462" t="str">
        <f t="shared" si="617"/>
        <v/>
      </c>
      <c r="AP1079" s="463" t="str">
        <f t="shared" si="618"/>
        <v/>
      </c>
      <c r="AQ1079" s="464"/>
      <c r="AR1079" s="619"/>
      <c r="AS1079" s="465" t="str">
        <f t="shared" si="588"/>
        <v/>
      </c>
      <c r="AT1079" s="465" t="str">
        <f t="shared" si="589"/>
        <v/>
      </c>
      <c r="AU1079" s="466" t="str">
        <f t="shared" si="590"/>
        <v/>
      </c>
      <c r="AV1079" s="467" t="str">
        <f t="shared" si="591"/>
        <v/>
      </c>
      <c r="AW1079" s="467" t="str">
        <f t="shared" si="592"/>
        <v/>
      </c>
      <c r="AX1079" s="467" t="str">
        <f t="shared" si="593"/>
        <v/>
      </c>
      <c r="AY1079" s="467" t="str">
        <f t="shared" si="594"/>
        <v/>
      </c>
      <c r="AZ1079" s="467" t="str">
        <f t="shared" si="595"/>
        <v/>
      </c>
      <c r="BA1079" s="468" t="str">
        <f>IF(AS1079="","",IF(OR(AU1079="",AU1079="-"),"－",IF(OR(AZ1079=8,AZ1079=9),"",IF(OR(AW1079=3,AW1079=4,AW1079=5,AW1079=6),VLOOKUP(AU1079,INDEX((係数_バス貨物_ガソリン,係数_バス貨物_CNG,係数_バス貨物_軽油,係数_バス貨物_メタノール,係数_バス貨物_LPG),MATCH(AY1079,【参考】排出係数!$AI$4:$AI$671,1),1,BE1079):INDEX((係数_バス貨物_ガソリン,係数_バス貨物_CNG,係数_バス貨物_軽油,係数_バス貨物_メタノール,係数_バス貨物_LPG),MATCH(AY1079+1,【参考】排出係数!$AI$4:$AI$671,1)-1,5,BE1079),2,FALSE),IF(OR(AW1079=1,AW1079=2),VLOOKUP(AU1079,INDEX((係数_乗用_ガソリン,係数_乗用_CNG,係数_乗用_軽油,係数_乗用_メタノール,係数_乗用_LPG),1,1,BE1079):INDEX((係数_乗用_ガソリン,係数_乗用_CNG,係数_乗用_軽油,係数_乗用_メタノール,係数_乗用_LPG),125,5,BE1079),2,FALSE))))))</f>
        <v/>
      </c>
      <c r="BB1079" s="468" t="str">
        <f>IF(T1079="","",IF(OR(AU1079="",AU1079="-"),"－",IF(OR(AZ1079=8,AZ1079=9),"",IF(OR(AW1079=3,AW1079=4,AW1079=5,AW1079=6),VLOOKUP(AU1079,INDEX((係数_バス貨物_ガソリン,係数_バス貨物_CNG,係数_バス貨物_軽油,係数_バス貨物_メタノール,係数_バス貨物_LPG),MATCH(AY1079,【参考】排出係数!$AI$4:$AI$671,1),1,BE1079):INDEX((係数_バス貨物_ガソリン,係数_バス貨物_CNG,係数_バス貨物_軽油,係数_バス貨物_メタノール,係数_バス貨物_LPG),MATCH(AY1079+1,【参考】排出係数!$AI$4:$AI$671,1)-1,5,BE1079),3,FALSE),IF(OR(AW1079=1,AW1079=2),VLOOKUP(AU1079,INDEX((係数_乗用_ガソリン,係数_乗用_CNG,係数_乗用_軽油,係数_乗用_メタノール,係数_乗用_LPG),1,1,BE1079):INDEX((係数_乗用_ガソリン,係数_乗用_CNG,係数_乗用_軽油,係数_乗用_メタノール,係数_乗用_LPG),125,5,BE1079),3,FALSE))))))</f>
        <v/>
      </c>
      <c r="BC1079" s="467" t="str">
        <f t="shared" si="596"/>
        <v/>
      </c>
      <c r="BD1079" s="567" t="str">
        <f t="shared" si="597"/>
        <v/>
      </c>
      <c r="BE1079" s="467" t="str">
        <f t="shared" si="598"/>
        <v/>
      </c>
      <c r="BF1079" s="469" t="str">
        <f t="shared" ca="1" si="599"/>
        <v/>
      </c>
      <c r="BG1079" s="469" t="str">
        <f t="shared" ca="1" si="600"/>
        <v/>
      </c>
      <c r="BH1079" s="467" t="str">
        <f t="shared" si="601"/>
        <v/>
      </c>
      <c r="BI1079" s="467" t="str">
        <f t="shared" ca="1" si="602"/>
        <v/>
      </c>
      <c r="BJ1079" s="469" t="str">
        <f t="shared" si="603"/>
        <v/>
      </c>
      <c r="BK1079" s="470" t="str">
        <f t="shared" si="587"/>
        <v/>
      </c>
      <c r="BL1079" s="775" t="str">
        <f t="shared" si="604"/>
        <v/>
      </c>
      <c r="BM1079" s="775" t="str">
        <f t="shared" si="605"/>
        <v/>
      </c>
    </row>
    <row r="1080" spans="1:65">
      <c r="A1080" s="473">
        <v>1024</v>
      </c>
      <c r="B1080" s="132"/>
      <c r="C1080" s="332"/>
      <c r="D1080" s="333"/>
      <c r="E1080" s="333"/>
      <c r="F1080" s="334"/>
      <c r="G1080" s="337"/>
      <c r="H1080" s="131"/>
      <c r="I1080" s="337"/>
      <c r="J1080" s="131"/>
      <c r="K1080" s="458" t="str">
        <f t="shared" si="606"/>
        <v/>
      </c>
      <c r="L1080" s="458">
        <f t="shared" si="607"/>
        <v>0</v>
      </c>
      <c r="M1080" s="458">
        <f t="shared" si="608"/>
        <v>0</v>
      </c>
      <c r="N1080" s="459" t="str">
        <f t="shared" si="619"/>
        <v/>
      </c>
      <c r="O1080" s="459" t="str">
        <f t="shared" si="620"/>
        <v/>
      </c>
      <c r="P1080" s="459" t="str">
        <f t="shared" si="621"/>
        <v/>
      </c>
      <c r="Q1080" s="459" t="str">
        <f t="shared" si="622"/>
        <v/>
      </c>
      <c r="R1080" s="459" t="str">
        <f t="shared" si="623"/>
        <v/>
      </c>
      <c r="S1080" s="459" t="str">
        <f t="shared" si="624"/>
        <v/>
      </c>
      <c r="T1080" s="566" t="str">
        <f t="shared" si="609"/>
        <v/>
      </c>
      <c r="U1080" s="702"/>
      <c r="V1080" s="132"/>
      <c r="W1080" s="133"/>
      <c r="X1080" s="134"/>
      <c r="Y1080" s="135"/>
      <c r="Z1080" s="137"/>
      <c r="AA1080" s="136"/>
      <c r="AB1080" s="566" t="str">
        <f t="shared" si="610"/>
        <v/>
      </c>
      <c r="AC1080" s="568" t="str">
        <f t="shared" si="611"/>
        <v/>
      </c>
      <c r="AD1080" s="137"/>
      <c r="AE1080" s="137"/>
      <c r="AF1080" s="138"/>
      <c r="AG1080" s="138"/>
      <c r="AH1080" s="592" t="str">
        <f t="shared" si="612"/>
        <v/>
      </c>
      <c r="AI1080" s="592" t="str">
        <f t="shared" si="613"/>
        <v/>
      </c>
      <c r="AJ1080" s="592" t="str">
        <f t="shared" si="614"/>
        <v/>
      </c>
      <c r="AK1080" s="460" t="str">
        <f>IF(AU1080="","",IF(OR(AZ1080=8,AZ1080=9),0,IF(OR(AW1080=3,AW1080=4,AW1080=5,AW1080=6),IF(LEFT(BF1080,1)="1",INDEX(係数_NOX・PM低減,MATCH(AY1080,【参考】排出係数!$AI$801:$AI$804,1),1),VLOOKUP(AU1080,INDEX((係数_バス貨物_ガソリン,係数_バス貨物_CNG,係数_バス貨物_軽油,係数_バス貨物_メタノール,係数_バス貨物_LPG),MATCH(AY1080,【参考】排出係数!$AI$4:$AI$671,1),1,BE1080):INDEX((係数_バス貨物_ガソリン,係数_バス貨物_CNG,係数_バス貨物_軽油,係数_バス貨物_メタノール,係数_バス貨物_LPG),MATCH(AY1080+1,【参考】排出係数!$AI$4:$AI$671,1)-1,5,BE1080),4,FALSE)),IF(AND(BE1080=3,LEFT(BF1080,1)="1"),0.48,VLOOKUP(AU1080,INDEX((係数_乗用_ガソリン,係数_乗用_CNG,係数_乗用_軽油,係数_乗用_メタノール,係数_乗用_LPG),1,1,BE1080):INDEX((係数_乗用_ガソリン,係数_乗用_CNG,係数_乗用_軽油,係数_乗用_メタノール,係数_乗用_LPG),125,5,BE1080),4,FALSE)))))</f>
        <v/>
      </c>
      <c r="AL1080" s="461" t="str">
        <f t="shared" si="615"/>
        <v/>
      </c>
      <c r="AM1080" s="460" t="str">
        <f>IF(AU1080="","",IF(OR(AZ1080=8,AZ1080=9),0,IF(OR(AW1080=3,AW1080=4,AW1080=5,AW1080=6),IF(LEFT(BH1080,1)="1",INDEX(係数_PM低減,MATCH(AY1080,【参考】排出係数!$AI$801:$AI$804,1),MATCH(BI1080,【参考】排出係数!$AL$798:$AO$798,1)),VLOOKUP(AU1080,INDEX((係数_バス貨物_ガソリン,係数_バス貨物_CNG,係数_バス貨物_軽油,係数_バス貨物_メタノール,係数_バス貨物_LPG),MATCH(AY1080,【参考】排出係数!$AI$4:$AI$671,1),1,BE1080):INDEX((係数_バス貨物_ガソリン,係数_バス貨物_CNG,係数_バス貨物_軽油,係数_バス貨物_メタノール,係数_バス貨物_LPG),MATCH(AY1080+1,【参考】排出係数!$AI$4:$AI$671,1)-1,5,BE1080),5,FALSE)),IF(AND(BE1080=3,LEFT(BF1080,1)="1"),0.055,VLOOKUP(AU1080,INDEX((係数_乗用_ガソリン,係数_乗用_CNG,係数_乗用_軽油,係数_乗用_メタノール,係数_乗用_LPG),1,1,BE1080):INDEX((係数_乗用_ガソリン,係数_乗用_CNG,係数_乗用_軽油,係数_乗用_メタノール,係数_乗用_LPG),125,5,BE1080),5,FALSE)))))</f>
        <v/>
      </c>
      <c r="AN1080" s="461" t="str">
        <f t="shared" si="616"/>
        <v/>
      </c>
      <c r="AO1080" s="462" t="str">
        <f t="shared" si="617"/>
        <v/>
      </c>
      <c r="AP1080" s="463" t="str">
        <f t="shared" si="618"/>
        <v/>
      </c>
      <c r="AQ1080" s="464"/>
      <c r="AR1080" s="619"/>
      <c r="AS1080" s="465" t="str">
        <f t="shared" si="588"/>
        <v/>
      </c>
      <c r="AT1080" s="465" t="str">
        <f t="shared" si="589"/>
        <v/>
      </c>
      <c r="AU1080" s="466" t="str">
        <f t="shared" si="590"/>
        <v/>
      </c>
      <c r="AV1080" s="467" t="str">
        <f t="shared" si="591"/>
        <v/>
      </c>
      <c r="AW1080" s="467" t="str">
        <f t="shared" si="592"/>
        <v/>
      </c>
      <c r="AX1080" s="467" t="str">
        <f t="shared" si="593"/>
        <v/>
      </c>
      <c r="AY1080" s="467" t="str">
        <f t="shared" si="594"/>
        <v/>
      </c>
      <c r="AZ1080" s="467" t="str">
        <f t="shared" si="595"/>
        <v/>
      </c>
      <c r="BA1080" s="468" t="str">
        <f>IF(AS1080="","",IF(OR(AU1080="",AU1080="-"),"－",IF(OR(AZ1080=8,AZ1080=9),"",IF(OR(AW1080=3,AW1080=4,AW1080=5,AW1080=6),VLOOKUP(AU1080,INDEX((係数_バス貨物_ガソリン,係数_バス貨物_CNG,係数_バス貨物_軽油,係数_バス貨物_メタノール,係数_バス貨物_LPG),MATCH(AY1080,【参考】排出係数!$AI$4:$AI$671,1),1,BE1080):INDEX((係数_バス貨物_ガソリン,係数_バス貨物_CNG,係数_バス貨物_軽油,係数_バス貨物_メタノール,係数_バス貨物_LPG),MATCH(AY1080+1,【参考】排出係数!$AI$4:$AI$671,1)-1,5,BE1080),2,FALSE),IF(OR(AW1080=1,AW1080=2),VLOOKUP(AU1080,INDEX((係数_乗用_ガソリン,係数_乗用_CNG,係数_乗用_軽油,係数_乗用_メタノール,係数_乗用_LPG),1,1,BE1080):INDEX((係数_乗用_ガソリン,係数_乗用_CNG,係数_乗用_軽油,係数_乗用_メタノール,係数_乗用_LPG),125,5,BE1080),2,FALSE))))))</f>
        <v/>
      </c>
      <c r="BB1080" s="468" t="str">
        <f>IF(T1080="","",IF(OR(AU1080="",AU1080="-"),"－",IF(OR(AZ1080=8,AZ1080=9),"",IF(OR(AW1080=3,AW1080=4,AW1080=5,AW1080=6),VLOOKUP(AU1080,INDEX((係数_バス貨物_ガソリン,係数_バス貨物_CNG,係数_バス貨物_軽油,係数_バス貨物_メタノール,係数_バス貨物_LPG),MATCH(AY1080,【参考】排出係数!$AI$4:$AI$671,1),1,BE1080):INDEX((係数_バス貨物_ガソリン,係数_バス貨物_CNG,係数_バス貨物_軽油,係数_バス貨物_メタノール,係数_バス貨物_LPG),MATCH(AY1080+1,【参考】排出係数!$AI$4:$AI$671,1)-1,5,BE1080),3,FALSE),IF(OR(AW1080=1,AW1080=2),VLOOKUP(AU1080,INDEX((係数_乗用_ガソリン,係数_乗用_CNG,係数_乗用_軽油,係数_乗用_メタノール,係数_乗用_LPG),1,1,BE1080):INDEX((係数_乗用_ガソリン,係数_乗用_CNG,係数_乗用_軽油,係数_乗用_メタノール,係数_乗用_LPG),125,5,BE1080),3,FALSE))))))</f>
        <v/>
      </c>
      <c r="BC1080" s="467" t="str">
        <f t="shared" si="596"/>
        <v/>
      </c>
      <c r="BD1080" s="567" t="str">
        <f t="shared" si="597"/>
        <v/>
      </c>
      <c r="BE1080" s="467" t="str">
        <f t="shared" si="598"/>
        <v/>
      </c>
      <c r="BF1080" s="469" t="str">
        <f t="shared" ca="1" si="599"/>
        <v/>
      </c>
      <c r="BG1080" s="469" t="str">
        <f t="shared" ca="1" si="600"/>
        <v/>
      </c>
      <c r="BH1080" s="467" t="str">
        <f t="shared" si="601"/>
        <v/>
      </c>
      <c r="BI1080" s="467" t="str">
        <f t="shared" ca="1" si="602"/>
        <v/>
      </c>
      <c r="BJ1080" s="469" t="str">
        <f t="shared" si="603"/>
        <v/>
      </c>
      <c r="BK1080" s="470" t="str">
        <f t="shared" si="587"/>
        <v/>
      </c>
      <c r="BL1080" s="775" t="str">
        <f t="shared" si="604"/>
        <v/>
      </c>
      <c r="BM1080" s="775" t="str">
        <f t="shared" si="605"/>
        <v/>
      </c>
    </row>
    <row r="1081" spans="1:65">
      <c r="A1081" s="473">
        <v>1025</v>
      </c>
      <c r="B1081" s="132"/>
      <c r="C1081" s="332"/>
      <c r="D1081" s="333"/>
      <c r="E1081" s="333"/>
      <c r="F1081" s="334"/>
      <c r="G1081" s="337"/>
      <c r="H1081" s="131"/>
      <c r="I1081" s="337"/>
      <c r="J1081" s="131"/>
      <c r="K1081" s="458" t="str">
        <f t="shared" si="606"/>
        <v/>
      </c>
      <c r="L1081" s="458">
        <f t="shared" si="607"/>
        <v>0</v>
      </c>
      <c r="M1081" s="458">
        <f t="shared" si="608"/>
        <v>0</v>
      </c>
      <c r="N1081" s="459" t="str">
        <f t="shared" si="619"/>
        <v/>
      </c>
      <c r="O1081" s="459" t="str">
        <f t="shared" si="620"/>
        <v/>
      </c>
      <c r="P1081" s="459" t="str">
        <f t="shared" si="621"/>
        <v/>
      </c>
      <c r="Q1081" s="459" t="str">
        <f t="shared" si="622"/>
        <v/>
      </c>
      <c r="R1081" s="459" t="str">
        <f t="shared" si="623"/>
        <v/>
      </c>
      <c r="S1081" s="459" t="str">
        <f t="shared" si="624"/>
        <v/>
      </c>
      <c r="T1081" s="566" t="str">
        <f t="shared" si="609"/>
        <v/>
      </c>
      <c r="U1081" s="702"/>
      <c r="V1081" s="132"/>
      <c r="W1081" s="133"/>
      <c r="X1081" s="134"/>
      <c r="Y1081" s="135"/>
      <c r="Z1081" s="137"/>
      <c r="AA1081" s="136"/>
      <c r="AB1081" s="566" t="str">
        <f t="shared" si="610"/>
        <v/>
      </c>
      <c r="AC1081" s="568" t="str">
        <f t="shared" si="611"/>
        <v/>
      </c>
      <c r="AD1081" s="137"/>
      <c r="AE1081" s="137"/>
      <c r="AF1081" s="138"/>
      <c r="AG1081" s="138"/>
      <c r="AH1081" s="592" t="str">
        <f t="shared" si="612"/>
        <v/>
      </c>
      <c r="AI1081" s="592" t="str">
        <f t="shared" si="613"/>
        <v/>
      </c>
      <c r="AJ1081" s="592" t="str">
        <f t="shared" si="614"/>
        <v/>
      </c>
      <c r="AK1081" s="460" t="str">
        <f>IF(AU1081="","",IF(OR(AZ1081=8,AZ1081=9),0,IF(OR(AW1081=3,AW1081=4,AW1081=5,AW1081=6),IF(LEFT(BF1081,1)="1",INDEX(係数_NOX・PM低減,MATCH(AY1081,【参考】排出係数!$AI$801:$AI$804,1),1),VLOOKUP(AU1081,INDEX((係数_バス貨物_ガソリン,係数_バス貨物_CNG,係数_バス貨物_軽油,係数_バス貨物_メタノール,係数_バス貨物_LPG),MATCH(AY1081,【参考】排出係数!$AI$4:$AI$671,1),1,BE1081):INDEX((係数_バス貨物_ガソリン,係数_バス貨物_CNG,係数_バス貨物_軽油,係数_バス貨物_メタノール,係数_バス貨物_LPG),MATCH(AY1081+1,【参考】排出係数!$AI$4:$AI$671,1)-1,5,BE1081),4,FALSE)),IF(AND(BE1081=3,LEFT(BF1081,1)="1"),0.48,VLOOKUP(AU1081,INDEX((係数_乗用_ガソリン,係数_乗用_CNG,係数_乗用_軽油,係数_乗用_メタノール,係数_乗用_LPG),1,1,BE1081):INDEX((係数_乗用_ガソリン,係数_乗用_CNG,係数_乗用_軽油,係数_乗用_メタノール,係数_乗用_LPG),125,5,BE1081),4,FALSE)))))</f>
        <v/>
      </c>
      <c r="AL1081" s="461" t="str">
        <f t="shared" si="615"/>
        <v/>
      </c>
      <c r="AM1081" s="460" t="str">
        <f>IF(AU1081="","",IF(OR(AZ1081=8,AZ1081=9),0,IF(OR(AW1081=3,AW1081=4,AW1081=5,AW1081=6),IF(LEFT(BH1081,1)="1",INDEX(係数_PM低減,MATCH(AY1081,【参考】排出係数!$AI$801:$AI$804,1),MATCH(BI1081,【参考】排出係数!$AL$798:$AO$798,1)),VLOOKUP(AU1081,INDEX((係数_バス貨物_ガソリン,係数_バス貨物_CNG,係数_バス貨物_軽油,係数_バス貨物_メタノール,係数_バス貨物_LPG),MATCH(AY1081,【参考】排出係数!$AI$4:$AI$671,1),1,BE1081):INDEX((係数_バス貨物_ガソリン,係数_バス貨物_CNG,係数_バス貨物_軽油,係数_バス貨物_メタノール,係数_バス貨物_LPG),MATCH(AY1081+1,【参考】排出係数!$AI$4:$AI$671,1)-1,5,BE1081),5,FALSE)),IF(AND(BE1081=3,LEFT(BF1081,1)="1"),0.055,VLOOKUP(AU1081,INDEX((係数_乗用_ガソリン,係数_乗用_CNG,係数_乗用_軽油,係数_乗用_メタノール,係数_乗用_LPG),1,1,BE1081):INDEX((係数_乗用_ガソリン,係数_乗用_CNG,係数_乗用_軽油,係数_乗用_メタノール,係数_乗用_LPG),125,5,BE1081),5,FALSE)))))</f>
        <v/>
      </c>
      <c r="AN1081" s="461" t="str">
        <f t="shared" si="616"/>
        <v/>
      </c>
      <c r="AO1081" s="462" t="str">
        <f t="shared" si="617"/>
        <v/>
      </c>
      <c r="AP1081" s="463" t="str">
        <f t="shared" si="618"/>
        <v/>
      </c>
      <c r="AQ1081" s="464"/>
      <c r="AR1081" s="619"/>
      <c r="AS1081" s="465" t="str">
        <f t="shared" si="588"/>
        <v/>
      </c>
      <c r="AT1081" s="465" t="str">
        <f t="shared" si="589"/>
        <v/>
      </c>
      <c r="AU1081" s="466" t="str">
        <f t="shared" si="590"/>
        <v/>
      </c>
      <c r="AV1081" s="467" t="str">
        <f t="shared" si="591"/>
        <v/>
      </c>
      <c r="AW1081" s="467" t="str">
        <f t="shared" si="592"/>
        <v/>
      </c>
      <c r="AX1081" s="467" t="str">
        <f t="shared" si="593"/>
        <v/>
      </c>
      <c r="AY1081" s="467" t="str">
        <f t="shared" si="594"/>
        <v/>
      </c>
      <c r="AZ1081" s="467" t="str">
        <f t="shared" si="595"/>
        <v/>
      </c>
      <c r="BA1081" s="468" t="str">
        <f>IF(AS1081="","",IF(OR(AU1081="",AU1081="-"),"－",IF(OR(AZ1081=8,AZ1081=9),"",IF(OR(AW1081=3,AW1081=4,AW1081=5,AW1081=6),VLOOKUP(AU1081,INDEX((係数_バス貨物_ガソリン,係数_バス貨物_CNG,係数_バス貨物_軽油,係数_バス貨物_メタノール,係数_バス貨物_LPG),MATCH(AY1081,【参考】排出係数!$AI$4:$AI$671,1),1,BE1081):INDEX((係数_バス貨物_ガソリン,係数_バス貨物_CNG,係数_バス貨物_軽油,係数_バス貨物_メタノール,係数_バス貨物_LPG),MATCH(AY1081+1,【参考】排出係数!$AI$4:$AI$671,1)-1,5,BE1081),2,FALSE),IF(OR(AW1081=1,AW1081=2),VLOOKUP(AU1081,INDEX((係数_乗用_ガソリン,係数_乗用_CNG,係数_乗用_軽油,係数_乗用_メタノール,係数_乗用_LPG),1,1,BE1081):INDEX((係数_乗用_ガソリン,係数_乗用_CNG,係数_乗用_軽油,係数_乗用_メタノール,係数_乗用_LPG),125,5,BE1081),2,FALSE))))))</f>
        <v/>
      </c>
      <c r="BB1081" s="468" t="str">
        <f>IF(T1081="","",IF(OR(AU1081="",AU1081="-"),"－",IF(OR(AZ1081=8,AZ1081=9),"",IF(OR(AW1081=3,AW1081=4,AW1081=5,AW1081=6),VLOOKUP(AU1081,INDEX((係数_バス貨物_ガソリン,係数_バス貨物_CNG,係数_バス貨物_軽油,係数_バス貨物_メタノール,係数_バス貨物_LPG),MATCH(AY1081,【参考】排出係数!$AI$4:$AI$671,1),1,BE1081):INDEX((係数_バス貨物_ガソリン,係数_バス貨物_CNG,係数_バス貨物_軽油,係数_バス貨物_メタノール,係数_バス貨物_LPG),MATCH(AY1081+1,【参考】排出係数!$AI$4:$AI$671,1)-1,5,BE1081),3,FALSE),IF(OR(AW1081=1,AW1081=2),VLOOKUP(AU1081,INDEX((係数_乗用_ガソリン,係数_乗用_CNG,係数_乗用_軽油,係数_乗用_メタノール,係数_乗用_LPG),1,1,BE1081):INDEX((係数_乗用_ガソリン,係数_乗用_CNG,係数_乗用_軽油,係数_乗用_メタノール,係数_乗用_LPG),125,5,BE1081),3,FALSE))))))</f>
        <v/>
      </c>
      <c r="BC1081" s="467" t="str">
        <f t="shared" si="596"/>
        <v/>
      </c>
      <c r="BD1081" s="567" t="str">
        <f t="shared" si="597"/>
        <v/>
      </c>
      <c r="BE1081" s="467" t="str">
        <f t="shared" si="598"/>
        <v/>
      </c>
      <c r="BF1081" s="469" t="str">
        <f t="shared" ca="1" si="599"/>
        <v/>
      </c>
      <c r="BG1081" s="469" t="str">
        <f t="shared" ca="1" si="600"/>
        <v/>
      </c>
      <c r="BH1081" s="467" t="str">
        <f t="shared" si="601"/>
        <v/>
      </c>
      <c r="BI1081" s="467" t="str">
        <f t="shared" ca="1" si="602"/>
        <v/>
      </c>
      <c r="BJ1081" s="469" t="str">
        <f t="shared" si="603"/>
        <v/>
      </c>
      <c r="BK1081" s="470" t="str">
        <f t="shared" ref="BK1081:BK1144" si="625">IF(AS1081="","",VLOOKUP(T1081,車両の増減,2,FALSE))</f>
        <v/>
      </c>
      <c r="BL1081" s="775" t="str">
        <f t="shared" si="604"/>
        <v/>
      </c>
      <c r="BM1081" s="775" t="str">
        <f t="shared" si="605"/>
        <v/>
      </c>
    </row>
    <row r="1082" spans="1:65">
      <c r="A1082" s="473">
        <v>1026</v>
      </c>
      <c r="B1082" s="132"/>
      <c r="C1082" s="332"/>
      <c r="D1082" s="333"/>
      <c r="E1082" s="333"/>
      <c r="F1082" s="334"/>
      <c r="G1082" s="337"/>
      <c r="H1082" s="131"/>
      <c r="I1082" s="337"/>
      <c r="J1082" s="131"/>
      <c r="K1082" s="458" t="str">
        <f t="shared" si="606"/>
        <v/>
      </c>
      <c r="L1082" s="458">
        <f t="shared" si="607"/>
        <v>0</v>
      </c>
      <c r="M1082" s="458">
        <f t="shared" si="608"/>
        <v>0</v>
      </c>
      <c r="N1082" s="459" t="str">
        <f t="shared" si="619"/>
        <v/>
      </c>
      <c r="O1082" s="459" t="str">
        <f t="shared" si="620"/>
        <v/>
      </c>
      <c r="P1082" s="459" t="str">
        <f t="shared" si="621"/>
        <v/>
      </c>
      <c r="Q1082" s="459" t="str">
        <f t="shared" si="622"/>
        <v/>
      </c>
      <c r="R1082" s="459" t="str">
        <f t="shared" si="623"/>
        <v/>
      </c>
      <c r="S1082" s="459" t="str">
        <f t="shared" si="624"/>
        <v/>
      </c>
      <c r="T1082" s="566" t="str">
        <f t="shared" si="609"/>
        <v/>
      </c>
      <c r="U1082" s="702"/>
      <c r="V1082" s="132"/>
      <c r="W1082" s="133"/>
      <c r="X1082" s="134"/>
      <c r="Y1082" s="135"/>
      <c r="Z1082" s="137"/>
      <c r="AA1082" s="136"/>
      <c r="AB1082" s="566" t="str">
        <f t="shared" si="610"/>
        <v/>
      </c>
      <c r="AC1082" s="568" t="str">
        <f t="shared" si="611"/>
        <v/>
      </c>
      <c r="AD1082" s="137"/>
      <c r="AE1082" s="137"/>
      <c r="AF1082" s="138"/>
      <c r="AG1082" s="138"/>
      <c r="AH1082" s="592" t="str">
        <f t="shared" si="612"/>
        <v/>
      </c>
      <c r="AI1082" s="592" t="str">
        <f t="shared" si="613"/>
        <v/>
      </c>
      <c r="AJ1082" s="592" t="str">
        <f t="shared" si="614"/>
        <v/>
      </c>
      <c r="AK1082" s="460" t="str">
        <f>IF(AU1082="","",IF(OR(AZ1082=8,AZ1082=9),0,IF(OR(AW1082=3,AW1082=4,AW1082=5,AW1082=6),IF(LEFT(BF1082,1)="1",INDEX(係数_NOX・PM低減,MATCH(AY1082,【参考】排出係数!$AI$801:$AI$804,1),1),VLOOKUP(AU1082,INDEX((係数_バス貨物_ガソリン,係数_バス貨物_CNG,係数_バス貨物_軽油,係数_バス貨物_メタノール,係数_バス貨物_LPG),MATCH(AY1082,【参考】排出係数!$AI$4:$AI$671,1),1,BE1082):INDEX((係数_バス貨物_ガソリン,係数_バス貨物_CNG,係数_バス貨物_軽油,係数_バス貨物_メタノール,係数_バス貨物_LPG),MATCH(AY1082+1,【参考】排出係数!$AI$4:$AI$671,1)-1,5,BE1082),4,FALSE)),IF(AND(BE1082=3,LEFT(BF1082,1)="1"),0.48,VLOOKUP(AU1082,INDEX((係数_乗用_ガソリン,係数_乗用_CNG,係数_乗用_軽油,係数_乗用_メタノール,係数_乗用_LPG),1,1,BE1082):INDEX((係数_乗用_ガソリン,係数_乗用_CNG,係数_乗用_軽油,係数_乗用_メタノール,係数_乗用_LPG),125,5,BE1082),4,FALSE)))))</f>
        <v/>
      </c>
      <c r="AL1082" s="461" t="str">
        <f t="shared" si="615"/>
        <v/>
      </c>
      <c r="AM1082" s="460" t="str">
        <f>IF(AU1082="","",IF(OR(AZ1082=8,AZ1082=9),0,IF(OR(AW1082=3,AW1082=4,AW1082=5,AW1082=6),IF(LEFT(BH1082,1)="1",INDEX(係数_PM低減,MATCH(AY1082,【参考】排出係数!$AI$801:$AI$804,1),MATCH(BI1082,【参考】排出係数!$AL$798:$AO$798,1)),VLOOKUP(AU1082,INDEX((係数_バス貨物_ガソリン,係数_バス貨物_CNG,係数_バス貨物_軽油,係数_バス貨物_メタノール,係数_バス貨物_LPG),MATCH(AY1082,【参考】排出係数!$AI$4:$AI$671,1),1,BE1082):INDEX((係数_バス貨物_ガソリン,係数_バス貨物_CNG,係数_バス貨物_軽油,係数_バス貨物_メタノール,係数_バス貨物_LPG),MATCH(AY1082+1,【参考】排出係数!$AI$4:$AI$671,1)-1,5,BE1082),5,FALSE)),IF(AND(BE1082=3,LEFT(BF1082,1)="1"),0.055,VLOOKUP(AU1082,INDEX((係数_乗用_ガソリン,係数_乗用_CNG,係数_乗用_軽油,係数_乗用_メタノール,係数_乗用_LPG),1,1,BE1082):INDEX((係数_乗用_ガソリン,係数_乗用_CNG,係数_乗用_軽油,係数_乗用_メタノール,係数_乗用_LPG),125,5,BE1082),5,FALSE)))))</f>
        <v/>
      </c>
      <c r="AN1082" s="461" t="str">
        <f t="shared" si="616"/>
        <v/>
      </c>
      <c r="AO1082" s="462" t="str">
        <f t="shared" si="617"/>
        <v/>
      </c>
      <c r="AP1082" s="463" t="str">
        <f t="shared" si="618"/>
        <v/>
      </c>
      <c r="AQ1082" s="464"/>
      <c r="AR1082" s="619"/>
      <c r="AS1082" s="465" t="str">
        <f t="shared" ref="AS1082:AS1145" si="626">IF(OR(T1082="(減車済)",T1082=""),"",1)</f>
        <v/>
      </c>
      <c r="AT1082" s="465" t="str">
        <f t="shared" ref="AT1082:AT1145" si="627">IF(OR(T1082="継続",T1082="新規"),1,"")</f>
        <v/>
      </c>
      <c r="AU1082" s="466" t="str">
        <f t="shared" ref="AU1082:AU1145" si="628">IF(AS1082="","",UPPER(ASC(X1082)))</f>
        <v/>
      </c>
      <c r="AV1082" s="467" t="str">
        <f t="shared" ref="AV1082:AV1145" si="629">IF(AS1082="","",IF(V1082="","",IF(V1082="普通",1,IF(V1082="小型",2,0))))</f>
        <v/>
      </c>
      <c r="AW1082" s="467" t="str">
        <f t="shared" ref="AW1082:AW1145" si="630">IF(AS1082="","",IF(W1082="","",VLOOKUP(W1082,用途,2,FALSE)))</f>
        <v/>
      </c>
      <c r="AX1082" s="467" t="str">
        <f t="shared" ref="AX1082:AX1145" si="631">IF(AS1082="","",IF(Y1082="","",IF(Y1082&lt;=10,1,IF(Y1082&lt;30,2,IF(Y1082&gt;=30,3,0)))))</f>
        <v/>
      </c>
      <c r="AY1082" s="467" t="str">
        <f t="shared" ref="AY1082:AY1145" si="632">IF(AS1082="","",IF(Z1082="","",IF(Z1082&lt;=1.7*1000,1,IF(Z1082&lt;=2.5*1000,2,IF(Z1082&lt;=3.5*1000,3,IF(Z1082&lt;8*1000,4,IF(Z1082&gt;=8*1000,5,"")))))))</f>
        <v/>
      </c>
      <c r="AZ1082" s="467" t="str">
        <f t="shared" ref="AZ1082:AZ1145" si="633">IF(AS1082="","",IF(AA1082="","",VLOOKUP(AA1082,燃料の種類,2,FALSE)))</f>
        <v/>
      </c>
      <c r="BA1082" s="468" t="str">
        <f>IF(AS1082="","",IF(OR(AU1082="",AU1082="-"),"－",IF(OR(AZ1082=8,AZ1082=9),"",IF(OR(AW1082=3,AW1082=4,AW1082=5,AW1082=6),VLOOKUP(AU1082,INDEX((係数_バス貨物_ガソリン,係数_バス貨物_CNG,係数_バス貨物_軽油,係数_バス貨物_メタノール,係数_バス貨物_LPG),MATCH(AY1082,【参考】排出係数!$AI$4:$AI$671,1),1,BE1082):INDEX((係数_バス貨物_ガソリン,係数_バス貨物_CNG,係数_バス貨物_軽油,係数_バス貨物_メタノール,係数_バス貨物_LPG),MATCH(AY1082+1,【参考】排出係数!$AI$4:$AI$671,1)-1,5,BE1082),2,FALSE),IF(OR(AW1082=1,AW1082=2),VLOOKUP(AU1082,INDEX((係数_乗用_ガソリン,係数_乗用_CNG,係数_乗用_軽油,係数_乗用_メタノール,係数_乗用_LPG),1,1,BE1082):INDEX((係数_乗用_ガソリン,係数_乗用_CNG,係数_乗用_軽油,係数_乗用_メタノール,係数_乗用_LPG),125,5,BE1082),2,FALSE))))))</f>
        <v/>
      </c>
      <c r="BB1082" s="468" t="str">
        <f>IF(T1082="","",IF(OR(AU1082="",AU1082="-"),"－",IF(OR(AZ1082=8,AZ1082=9),"",IF(OR(AW1082=3,AW1082=4,AW1082=5,AW1082=6),VLOOKUP(AU1082,INDEX((係数_バス貨物_ガソリン,係数_バス貨物_CNG,係数_バス貨物_軽油,係数_バス貨物_メタノール,係数_バス貨物_LPG),MATCH(AY1082,【参考】排出係数!$AI$4:$AI$671,1),1,BE1082):INDEX((係数_バス貨物_ガソリン,係数_バス貨物_CNG,係数_バス貨物_軽油,係数_バス貨物_メタノール,係数_バス貨物_LPG),MATCH(AY1082+1,【参考】排出係数!$AI$4:$AI$671,1)-1,5,BE1082),3,FALSE),IF(OR(AW1082=1,AW1082=2),VLOOKUP(AU1082,INDEX((係数_乗用_ガソリン,係数_乗用_CNG,係数_乗用_軽油,係数_乗用_メタノール,係数_乗用_LPG),1,1,BE1082):INDEX((係数_乗用_ガソリン,係数_乗用_CNG,係数_乗用_軽油,係数_乗用_メタノール,係数_乗用_LPG),125,5,BE1082),3,FALSE))))))</f>
        <v/>
      </c>
      <c r="BC1082" s="467" t="str">
        <f t="shared" ref="BC1082:BC1145" si="634">IF((AS1082="")+(AC1082=""),"",IF(燃料区分1=4,VLOOKUP(BB1082,排ガス低減レベル,2,FALSE),VLOOKUP(AC1082,排ガス低減レベル,2,FALSE)))</f>
        <v/>
      </c>
      <c r="BD1082" s="567" t="str">
        <f t="shared" ref="BD1082:BD1145" si="635">IF(AT1082="","",IF(AW1082=3,B1082&amp;"-"&amp;SUM(AW1082*100,AX1082*10,AY1082)&amp;"A",IF(OR(AW1082=2,AW1082=4,AW1082=6),B1082&amp;"-"&amp;AY1082*10&amp;"A",IF(AW1082=1,B1082&amp;"-"&amp;AW1082&amp;"A",IF(AW1082=5,B1082&amp;"-"&amp;SUM(AW1082*100,AV1082*10,AY1082)&amp;"A","")))))</f>
        <v/>
      </c>
      <c r="BE1082" s="467" t="str">
        <f t="shared" ref="BE1082:BE1145" si="636">IF(OR(AZ1082=1,AZ1082=2,AZ1082=11),1,IF(AZ1082=6,2,IF(OR(AZ1082=4,AZ1082=5,AZ1082=10),3,IF(AZ1082=7,4,IF(AZ1082=3,5, IF(OR(AZ1082=8,AZ1082=9),6,""))))))</f>
        <v/>
      </c>
      <c r="BF1082" s="469" t="str">
        <f t="shared" ref="BF1082:BF1145" ca="1" si="637">(IF(OR(AZ1082=4,AZ1082=5),OFFSET($CH$1,MATCH($AF1082,$CG$2:$CG$4,0),0)&amp;BK1082,""))</f>
        <v/>
      </c>
      <c r="BG1082" s="469" t="str">
        <f t="shared" ref="BG1082:BG1145" ca="1" si="638">(IF(OR(AZ1082=4,AZ1082=5),OFFSET($CJ$1,MATCH($AG1082,$CI$2:$CI$5,0),0)&amp;BK1082,""))</f>
        <v/>
      </c>
      <c r="BH1082" s="467" t="str">
        <f t="shared" ref="BH1082:BH1145" si="639">IF(OR(AZ1082=4,AZ1082=5),IF(OR(LEFT(BF1082,1)="1",LEFT(BG1082,1)="2",LEFT(BG1082,1)="3"),1,2)&amp;BK1082,"")</f>
        <v/>
      </c>
      <c r="BI1082" s="467" t="str">
        <f t="shared" ref="BI1082:BI1145" ca="1" si="640">IF(LEFT(BF1082)="1",1,IF(LEFT(BG1082,1)="2",2,IF(LEFT(BG1082,1)="3",3,"")))</f>
        <v/>
      </c>
      <c r="BJ1082" s="469" t="str">
        <f t="shared" ref="BJ1082:BJ1145" si="641">IF(AT1082="","",B1082&amp;"-"&amp;AZ1082)</f>
        <v/>
      </c>
      <c r="BK1082" s="470" t="str">
        <f t="shared" si="625"/>
        <v/>
      </c>
      <c r="BL1082" s="775" t="str">
        <f t="shared" ref="BL1082:BL1145" si="642">IF(AND(OR($T1082="新規",$T1082="継続"),ISBLANK($AD1082)),1,"")</f>
        <v/>
      </c>
      <c r="BM1082" s="775" t="str">
        <f t="shared" ref="BM1082:BM1145" si="643">IF(AND(OR($T1082="新規",$T1082="継続"),ISBLANK($AE1082)),1,"")</f>
        <v/>
      </c>
    </row>
    <row r="1083" spans="1:65">
      <c r="A1083" s="473">
        <v>1027</v>
      </c>
      <c r="B1083" s="132"/>
      <c r="C1083" s="332"/>
      <c r="D1083" s="333"/>
      <c r="E1083" s="333"/>
      <c r="F1083" s="334"/>
      <c r="G1083" s="337"/>
      <c r="H1083" s="131"/>
      <c r="I1083" s="337"/>
      <c r="J1083" s="131"/>
      <c r="K1083" s="458" t="str">
        <f t="shared" si="606"/>
        <v/>
      </c>
      <c r="L1083" s="458">
        <f t="shared" si="607"/>
        <v>0</v>
      </c>
      <c r="M1083" s="458">
        <f t="shared" si="608"/>
        <v>0</v>
      </c>
      <c r="N1083" s="459" t="str">
        <f t="shared" si="619"/>
        <v/>
      </c>
      <c r="O1083" s="459" t="str">
        <f t="shared" si="620"/>
        <v/>
      </c>
      <c r="P1083" s="459" t="str">
        <f t="shared" si="621"/>
        <v/>
      </c>
      <c r="Q1083" s="459" t="str">
        <f t="shared" si="622"/>
        <v/>
      </c>
      <c r="R1083" s="459" t="str">
        <f t="shared" si="623"/>
        <v/>
      </c>
      <c r="S1083" s="459" t="str">
        <f t="shared" si="624"/>
        <v/>
      </c>
      <c r="T1083" s="566" t="str">
        <f t="shared" si="609"/>
        <v/>
      </c>
      <c r="U1083" s="702"/>
      <c r="V1083" s="132"/>
      <c r="W1083" s="133"/>
      <c r="X1083" s="134"/>
      <c r="Y1083" s="135"/>
      <c r="Z1083" s="137"/>
      <c r="AA1083" s="136"/>
      <c r="AB1083" s="566" t="str">
        <f t="shared" si="610"/>
        <v/>
      </c>
      <c r="AC1083" s="568" t="str">
        <f t="shared" si="611"/>
        <v/>
      </c>
      <c r="AD1083" s="137"/>
      <c r="AE1083" s="137"/>
      <c r="AF1083" s="138"/>
      <c r="AG1083" s="138"/>
      <c r="AH1083" s="592" t="str">
        <f t="shared" si="612"/>
        <v/>
      </c>
      <c r="AI1083" s="592" t="str">
        <f t="shared" si="613"/>
        <v/>
      </c>
      <c r="AJ1083" s="592" t="str">
        <f t="shared" si="614"/>
        <v/>
      </c>
      <c r="AK1083" s="460" t="str">
        <f>IF(AU1083="","",IF(OR(AZ1083=8,AZ1083=9),0,IF(OR(AW1083=3,AW1083=4,AW1083=5,AW1083=6),IF(LEFT(BF1083,1)="1",INDEX(係数_NOX・PM低減,MATCH(AY1083,【参考】排出係数!$AI$801:$AI$804,1),1),VLOOKUP(AU1083,INDEX((係数_バス貨物_ガソリン,係数_バス貨物_CNG,係数_バス貨物_軽油,係数_バス貨物_メタノール,係数_バス貨物_LPG),MATCH(AY1083,【参考】排出係数!$AI$4:$AI$671,1),1,BE1083):INDEX((係数_バス貨物_ガソリン,係数_バス貨物_CNG,係数_バス貨物_軽油,係数_バス貨物_メタノール,係数_バス貨物_LPG),MATCH(AY1083+1,【参考】排出係数!$AI$4:$AI$671,1)-1,5,BE1083),4,FALSE)),IF(AND(BE1083=3,LEFT(BF1083,1)="1"),0.48,VLOOKUP(AU1083,INDEX((係数_乗用_ガソリン,係数_乗用_CNG,係数_乗用_軽油,係数_乗用_メタノール,係数_乗用_LPG),1,1,BE1083):INDEX((係数_乗用_ガソリン,係数_乗用_CNG,係数_乗用_軽油,係数_乗用_メタノール,係数_乗用_LPG),125,5,BE1083),4,FALSE)))))</f>
        <v/>
      </c>
      <c r="AL1083" s="461" t="str">
        <f t="shared" si="615"/>
        <v/>
      </c>
      <c r="AM1083" s="460" t="str">
        <f>IF(AU1083="","",IF(OR(AZ1083=8,AZ1083=9),0,IF(OR(AW1083=3,AW1083=4,AW1083=5,AW1083=6),IF(LEFT(BH1083,1)="1",INDEX(係数_PM低減,MATCH(AY1083,【参考】排出係数!$AI$801:$AI$804,1),MATCH(BI1083,【参考】排出係数!$AL$798:$AO$798,1)),VLOOKUP(AU1083,INDEX((係数_バス貨物_ガソリン,係数_バス貨物_CNG,係数_バス貨物_軽油,係数_バス貨物_メタノール,係数_バス貨物_LPG),MATCH(AY1083,【参考】排出係数!$AI$4:$AI$671,1),1,BE1083):INDEX((係数_バス貨物_ガソリン,係数_バス貨物_CNG,係数_バス貨物_軽油,係数_バス貨物_メタノール,係数_バス貨物_LPG),MATCH(AY1083+1,【参考】排出係数!$AI$4:$AI$671,1)-1,5,BE1083),5,FALSE)),IF(AND(BE1083=3,LEFT(BF1083,1)="1"),0.055,VLOOKUP(AU1083,INDEX((係数_乗用_ガソリン,係数_乗用_CNG,係数_乗用_軽油,係数_乗用_メタノール,係数_乗用_LPG),1,1,BE1083):INDEX((係数_乗用_ガソリン,係数_乗用_CNG,係数_乗用_軽油,係数_乗用_メタノール,係数_乗用_LPG),125,5,BE1083),5,FALSE)))))</f>
        <v/>
      </c>
      <c r="AN1083" s="461" t="str">
        <f t="shared" si="616"/>
        <v/>
      </c>
      <c r="AO1083" s="462" t="str">
        <f t="shared" si="617"/>
        <v/>
      </c>
      <c r="AP1083" s="463" t="str">
        <f t="shared" si="618"/>
        <v/>
      </c>
      <c r="AQ1083" s="464"/>
      <c r="AR1083" s="619"/>
      <c r="AS1083" s="465" t="str">
        <f t="shared" si="626"/>
        <v/>
      </c>
      <c r="AT1083" s="465" t="str">
        <f t="shared" si="627"/>
        <v/>
      </c>
      <c r="AU1083" s="466" t="str">
        <f t="shared" si="628"/>
        <v/>
      </c>
      <c r="AV1083" s="467" t="str">
        <f t="shared" si="629"/>
        <v/>
      </c>
      <c r="AW1083" s="467" t="str">
        <f t="shared" si="630"/>
        <v/>
      </c>
      <c r="AX1083" s="467" t="str">
        <f t="shared" si="631"/>
        <v/>
      </c>
      <c r="AY1083" s="467" t="str">
        <f t="shared" si="632"/>
        <v/>
      </c>
      <c r="AZ1083" s="467" t="str">
        <f t="shared" si="633"/>
        <v/>
      </c>
      <c r="BA1083" s="468" t="str">
        <f>IF(AS1083="","",IF(OR(AU1083="",AU1083="-"),"－",IF(OR(AZ1083=8,AZ1083=9),"",IF(OR(AW1083=3,AW1083=4,AW1083=5,AW1083=6),VLOOKUP(AU1083,INDEX((係数_バス貨物_ガソリン,係数_バス貨物_CNG,係数_バス貨物_軽油,係数_バス貨物_メタノール,係数_バス貨物_LPG),MATCH(AY1083,【参考】排出係数!$AI$4:$AI$671,1),1,BE1083):INDEX((係数_バス貨物_ガソリン,係数_バス貨物_CNG,係数_バス貨物_軽油,係数_バス貨物_メタノール,係数_バス貨物_LPG),MATCH(AY1083+1,【参考】排出係数!$AI$4:$AI$671,1)-1,5,BE1083),2,FALSE),IF(OR(AW1083=1,AW1083=2),VLOOKUP(AU1083,INDEX((係数_乗用_ガソリン,係数_乗用_CNG,係数_乗用_軽油,係数_乗用_メタノール,係数_乗用_LPG),1,1,BE1083):INDEX((係数_乗用_ガソリン,係数_乗用_CNG,係数_乗用_軽油,係数_乗用_メタノール,係数_乗用_LPG),125,5,BE1083),2,FALSE))))))</f>
        <v/>
      </c>
      <c r="BB1083" s="468" t="str">
        <f>IF(T1083="","",IF(OR(AU1083="",AU1083="-"),"－",IF(OR(AZ1083=8,AZ1083=9),"",IF(OR(AW1083=3,AW1083=4,AW1083=5,AW1083=6),VLOOKUP(AU1083,INDEX((係数_バス貨物_ガソリン,係数_バス貨物_CNG,係数_バス貨物_軽油,係数_バス貨物_メタノール,係数_バス貨物_LPG),MATCH(AY1083,【参考】排出係数!$AI$4:$AI$671,1),1,BE1083):INDEX((係数_バス貨物_ガソリン,係数_バス貨物_CNG,係数_バス貨物_軽油,係数_バス貨物_メタノール,係数_バス貨物_LPG),MATCH(AY1083+1,【参考】排出係数!$AI$4:$AI$671,1)-1,5,BE1083),3,FALSE),IF(OR(AW1083=1,AW1083=2),VLOOKUP(AU1083,INDEX((係数_乗用_ガソリン,係数_乗用_CNG,係数_乗用_軽油,係数_乗用_メタノール,係数_乗用_LPG),1,1,BE1083):INDEX((係数_乗用_ガソリン,係数_乗用_CNG,係数_乗用_軽油,係数_乗用_メタノール,係数_乗用_LPG),125,5,BE1083),3,FALSE))))))</f>
        <v/>
      </c>
      <c r="BC1083" s="467" t="str">
        <f t="shared" si="634"/>
        <v/>
      </c>
      <c r="BD1083" s="567" t="str">
        <f t="shared" si="635"/>
        <v/>
      </c>
      <c r="BE1083" s="467" t="str">
        <f t="shared" si="636"/>
        <v/>
      </c>
      <c r="BF1083" s="469" t="str">
        <f t="shared" ca="1" si="637"/>
        <v/>
      </c>
      <c r="BG1083" s="469" t="str">
        <f t="shared" ca="1" si="638"/>
        <v/>
      </c>
      <c r="BH1083" s="467" t="str">
        <f t="shared" si="639"/>
        <v/>
      </c>
      <c r="BI1083" s="467" t="str">
        <f t="shared" ca="1" si="640"/>
        <v/>
      </c>
      <c r="BJ1083" s="469" t="str">
        <f t="shared" si="641"/>
        <v/>
      </c>
      <c r="BK1083" s="470" t="str">
        <f t="shared" si="625"/>
        <v/>
      </c>
      <c r="BL1083" s="775" t="str">
        <f t="shared" si="642"/>
        <v/>
      </c>
      <c r="BM1083" s="775" t="str">
        <f t="shared" si="643"/>
        <v/>
      </c>
    </row>
    <row r="1084" spans="1:65">
      <c r="A1084" s="473">
        <v>1028</v>
      </c>
      <c r="B1084" s="132"/>
      <c r="C1084" s="332"/>
      <c r="D1084" s="333"/>
      <c r="E1084" s="333"/>
      <c r="F1084" s="334"/>
      <c r="G1084" s="337"/>
      <c r="H1084" s="131"/>
      <c r="I1084" s="337"/>
      <c r="J1084" s="131"/>
      <c r="K1084" s="458" t="str">
        <f t="shared" si="606"/>
        <v/>
      </c>
      <c r="L1084" s="458">
        <f t="shared" si="607"/>
        <v>0</v>
      </c>
      <c r="M1084" s="458">
        <f t="shared" si="608"/>
        <v>0</v>
      </c>
      <c r="N1084" s="459" t="str">
        <f t="shared" si="619"/>
        <v/>
      </c>
      <c r="O1084" s="459" t="str">
        <f t="shared" si="620"/>
        <v/>
      </c>
      <c r="P1084" s="459" t="str">
        <f t="shared" si="621"/>
        <v/>
      </c>
      <c r="Q1084" s="459" t="str">
        <f t="shared" si="622"/>
        <v/>
      </c>
      <c r="R1084" s="459" t="str">
        <f t="shared" si="623"/>
        <v/>
      </c>
      <c r="S1084" s="459" t="str">
        <f t="shared" si="624"/>
        <v/>
      </c>
      <c r="T1084" s="566" t="str">
        <f t="shared" si="609"/>
        <v/>
      </c>
      <c r="U1084" s="702"/>
      <c r="V1084" s="132"/>
      <c r="W1084" s="133"/>
      <c r="X1084" s="134"/>
      <c r="Y1084" s="135"/>
      <c r="Z1084" s="137"/>
      <c r="AA1084" s="136"/>
      <c r="AB1084" s="566" t="str">
        <f t="shared" si="610"/>
        <v/>
      </c>
      <c r="AC1084" s="568" t="str">
        <f t="shared" si="611"/>
        <v/>
      </c>
      <c r="AD1084" s="137"/>
      <c r="AE1084" s="137"/>
      <c r="AF1084" s="138"/>
      <c r="AG1084" s="138"/>
      <c r="AH1084" s="592" t="str">
        <f t="shared" si="612"/>
        <v/>
      </c>
      <c r="AI1084" s="592" t="str">
        <f t="shared" si="613"/>
        <v/>
      </c>
      <c r="AJ1084" s="592" t="str">
        <f t="shared" si="614"/>
        <v/>
      </c>
      <c r="AK1084" s="460" t="str">
        <f>IF(AU1084="","",IF(OR(AZ1084=8,AZ1084=9),0,IF(OR(AW1084=3,AW1084=4,AW1084=5,AW1084=6),IF(LEFT(BF1084,1)="1",INDEX(係数_NOX・PM低減,MATCH(AY1084,【参考】排出係数!$AI$801:$AI$804,1),1),VLOOKUP(AU1084,INDEX((係数_バス貨物_ガソリン,係数_バス貨物_CNG,係数_バス貨物_軽油,係数_バス貨物_メタノール,係数_バス貨物_LPG),MATCH(AY1084,【参考】排出係数!$AI$4:$AI$671,1),1,BE1084):INDEX((係数_バス貨物_ガソリン,係数_バス貨物_CNG,係数_バス貨物_軽油,係数_バス貨物_メタノール,係数_バス貨物_LPG),MATCH(AY1084+1,【参考】排出係数!$AI$4:$AI$671,1)-1,5,BE1084),4,FALSE)),IF(AND(BE1084=3,LEFT(BF1084,1)="1"),0.48,VLOOKUP(AU1084,INDEX((係数_乗用_ガソリン,係数_乗用_CNG,係数_乗用_軽油,係数_乗用_メタノール,係数_乗用_LPG),1,1,BE1084):INDEX((係数_乗用_ガソリン,係数_乗用_CNG,係数_乗用_軽油,係数_乗用_メタノール,係数_乗用_LPG),125,5,BE1084),4,FALSE)))))</f>
        <v/>
      </c>
      <c r="AL1084" s="461" t="str">
        <f t="shared" si="615"/>
        <v/>
      </c>
      <c r="AM1084" s="460" t="str">
        <f>IF(AU1084="","",IF(OR(AZ1084=8,AZ1084=9),0,IF(OR(AW1084=3,AW1084=4,AW1084=5,AW1084=6),IF(LEFT(BH1084,1)="1",INDEX(係数_PM低減,MATCH(AY1084,【参考】排出係数!$AI$801:$AI$804,1),MATCH(BI1084,【参考】排出係数!$AL$798:$AO$798,1)),VLOOKUP(AU1084,INDEX((係数_バス貨物_ガソリン,係数_バス貨物_CNG,係数_バス貨物_軽油,係数_バス貨物_メタノール,係数_バス貨物_LPG),MATCH(AY1084,【参考】排出係数!$AI$4:$AI$671,1),1,BE1084):INDEX((係数_バス貨物_ガソリン,係数_バス貨物_CNG,係数_バス貨物_軽油,係数_バス貨物_メタノール,係数_バス貨物_LPG),MATCH(AY1084+1,【参考】排出係数!$AI$4:$AI$671,1)-1,5,BE1084),5,FALSE)),IF(AND(BE1084=3,LEFT(BF1084,1)="1"),0.055,VLOOKUP(AU1084,INDEX((係数_乗用_ガソリン,係数_乗用_CNG,係数_乗用_軽油,係数_乗用_メタノール,係数_乗用_LPG),1,1,BE1084):INDEX((係数_乗用_ガソリン,係数_乗用_CNG,係数_乗用_軽油,係数_乗用_メタノール,係数_乗用_LPG),125,5,BE1084),5,FALSE)))))</f>
        <v/>
      </c>
      <c r="AN1084" s="461" t="str">
        <f t="shared" si="616"/>
        <v/>
      </c>
      <c r="AO1084" s="462" t="str">
        <f t="shared" si="617"/>
        <v/>
      </c>
      <c r="AP1084" s="463" t="str">
        <f t="shared" si="618"/>
        <v/>
      </c>
      <c r="AQ1084" s="464"/>
      <c r="AR1084" s="619"/>
      <c r="AS1084" s="465" t="str">
        <f t="shared" si="626"/>
        <v/>
      </c>
      <c r="AT1084" s="465" t="str">
        <f t="shared" si="627"/>
        <v/>
      </c>
      <c r="AU1084" s="466" t="str">
        <f t="shared" si="628"/>
        <v/>
      </c>
      <c r="AV1084" s="467" t="str">
        <f t="shared" si="629"/>
        <v/>
      </c>
      <c r="AW1084" s="467" t="str">
        <f t="shared" si="630"/>
        <v/>
      </c>
      <c r="AX1084" s="467" t="str">
        <f t="shared" si="631"/>
        <v/>
      </c>
      <c r="AY1084" s="467" t="str">
        <f t="shared" si="632"/>
        <v/>
      </c>
      <c r="AZ1084" s="467" t="str">
        <f t="shared" si="633"/>
        <v/>
      </c>
      <c r="BA1084" s="468" t="str">
        <f>IF(AS1084="","",IF(OR(AU1084="",AU1084="-"),"－",IF(OR(AZ1084=8,AZ1084=9),"",IF(OR(AW1084=3,AW1084=4,AW1084=5,AW1084=6),VLOOKUP(AU1084,INDEX((係数_バス貨物_ガソリン,係数_バス貨物_CNG,係数_バス貨物_軽油,係数_バス貨物_メタノール,係数_バス貨物_LPG),MATCH(AY1084,【参考】排出係数!$AI$4:$AI$671,1),1,BE1084):INDEX((係数_バス貨物_ガソリン,係数_バス貨物_CNG,係数_バス貨物_軽油,係数_バス貨物_メタノール,係数_バス貨物_LPG),MATCH(AY1084+1,【参考】排出係数!$AI$4:$AI$671,1)-1,5,BE1084),2,FALSE),IF(OR(AW1084=1,AW1084=2),VLOOKUP(AU1084,INDEX((係数_乗用_ガソリン,係数_乗用_CNG,係数_乗用_軽油,係数_乗用_メタノール,係数_乗用_LPG),1,1,BE1084):INDEX((係数_乗用_ガソリン,係数_乗用_CNG,係数_乗用_軽油,係数_乗用_メタノール,係数_乗用_LPG),125,5,BE1084),2,FALSE))))))</f>
        <v/>
      </c>
      <c r="BB1084" s="468" t="str">
        <f>IF(T1084="","",IF(OR(AU1084="",AU1084="-"),"－",IF(OR(AZ1084=8,AZ1084=9),"",IF(OR(AW1084=3,AW1084=4,AW1084=5,AW1084=6),VLOOKUP(AU1084,INDEX((係数_バス貨物_ガソリン,係数_バス貨物_CNG,係数_バス貨物_軽油,係数_バス貨物_メタノール,係数_バス貨物_LPG),MATCH(AY1084,【参考】排出係数!$AI$4:$AI$671,1),1,BE1084):INDEX((係数_バス貨物_ガソリン,係数_バス貨物_CNG,係数_バス貨物_軽油,係数_バス貨物_メタノール,係数_バス貨物_LPG),MATCH(AY1084+1,【参考】排出係数!$AI$4:$AI$671,1)-1,5,BE1084),3,FALSE),IF(OR(AW1084=1,AW1084=2),VLOOKUP(AU1084,INDEX((係数_乗用_ガソリン,係数_乗用_CNG,係数_乗用_軽油,係数_乗用_メタノール,係数_乗用_LPG),1,1,BE1084):INDEX((係数_乗用_ガソリン,係数_乗用_CNG,係数_乗用_軽油,係数_乗用_メタノール,係数_乗用_LPG),125,5,BE1084),3,FALSE))))))</f>
        <v/>
      </c>
      <c r="BC1084" s="467" t="str">
        <f t="shared" si="634"/>
        <v/>
      </c>
      <c r="BD1084" s="567" t="str">
        <f t="shared" si="635"/>
        <v/>
      </c>
      <c r="BE1084" s="467" t="str">
        <f t="shared" si="636"/>
        <v/>
      </c>
      <c r="BF1084" s="469" t="str">
        <f t="shared" ca="1" si="637"/>
        <v/>
      </c>
      <c r="BG1084" s="469" t="str">
        <f t="shared" ca="1" si="638"/>
        <v/>
      </c>
      <c r="BH1084" s="467" t="str">
        <f t="shared" si="639"/>
        <v/>
      </c>
      <c r="BI1084" s="467" t="str">
        <f t="shared" ca="1" si="640"/>
        <v/>
      </c>
      <c r="BJ1084" s="469" t="str">
        <f t="shared" si="641"/>
        <v/>
      </c>
      <c r="BK1084" s="470" t="str">
        <f t="shared" si="625"/>
        <v/>
      </c>
      <c r="BL1084" s="775" t="str">
        <f t="shared" si="642"/>
        <v/>
      </c>
      <c r="BM1084" s="775" t="str">
        <f t="shared" si="643"/>
        <v/>
      </c>
    </row>
    <row r="1085" spans="1:65">
      <c r="A1085" s="473">
        <v>1029</v>
      </c>
      <c r="B1085" s="132"/>
      <c r="C1085" s="332"/>
      <c r="D1085" s="333"/>
      <c r="E1085" s="333"/>
      <c r="F1085" s="334"/>
      <c r="G1085" s="337"/>
      <c r="H1085" s="131"/>
      <c r="I1085" s="337"/>
      <c r="J1085" s="131"/>
      <c r="K1085" s="458" t="str">
        <f t="shared" si="606"/>
        <v/>
      </c>
      <c r="L1085" s="458">
        <f t="shared" si="607"/>
        <v>0</v>
      </c>
      <c r="M1085" s="458">
        <f t="shared" si="608"/>
        <v>0</v>
      </c>
      <c r="N1085" s="459" t="str">
        <f t="shared" si="619"/>
        <v/>
      </c>
      <c r="O1085" s="459" t="str">
        <f t="shared" si="620"/>
        <v/>
      </c>
      <c r="P1085" s="459" t="str">
        <f t="shared" si="621"/>
        <v/>
      </c>
      <c r="Q1085" s="459" t="str">
        <f t="shared" si="622"/>
        <v/>
      </c>
      <c r="R1085" s="459" t="str">
        <f t="shared" si="623"/>
        <v/>
      </c>
      <c r="S1085" s="459" t="str">
        <f t="shared" si="624"/>
        <v/>
      </c>
      <c r="T1085" s="566" t="str">
        <f t="shared" si="609"/>
        <v/>
      </c>
      <c r="U1085" s="702"/>
      <c r="V1085" s="132"/>
      <c r="W1085" s="133"/>
      <c r="X1085" s="134"/>
      <c r="Y1085" s="135"/>
      <c r="Z1085" s="137"/>
      <c r="AA1085" s="136"/>
      <c r="AB1085" s="566" t="str">
        <f t="shared" si="610"/>
        <v/>
      </c>
      <c r="AC1085" s="568" t="str">
        <f t="shared" si="611"/>
        <v/>
      </c>
      <c r="AD1085" s="137"/>
      <c r="AE1085" s="137"/>
      <c r="AF1085" s="138"/>
      <c r="AG1085" s="138"/>
      <c r="AH1085" s="592" t="str">
        <f t="shared" si="612"/>
        <v/>
      </c>
      <c r="AI1085" s="592" t="str">
        <f t="shared" si="613"/>
        <v/>
      </c>
      <c r="AJ1085" s="592" t="str">
        <f t="shared" si="614"/>
        <v/>
      </c>
      <c r="AK1085" s="460" t="str">
        <f>IF(AU1085="","",IF(OR(AZ1085=8,AZ1085=9),0,IF(OR(AW1085=3,AW1085=4,AW1085=5,AW1085=6),IF(LEFT(BF1085,1)="1",INDEX(係数_NOX・PM低減,MATCH(AY1085,【参考】排出係数!$AI$801:$AI$804,1),1),VLOOKUP(AU1085,INDEX((係数_バス貨物_ガソリン,係数_バス貨物_CNG,係数_バス貨物_軽油,係数_バス貨物_メタノール,係数_バス貨物_LPG),MATCH(AY1085,【参考】排出係数!$AI$4:$AI$671,1),1,BE1085):INDEX((係数_バス貨物_ガソリン,係数_バス貨物_CNG,係数_バス貨物_軽油,係数_バス貨物_メタノール,係数_バス貨物_LPG),MATCH(AY1085+1,【参考】排出係数!$AI$4:$AI$671,1)-1,5,BE1085),4,FALSE)),IF(AND(BE1085=3,LEFT(BF1085,1)="1"),0.48,VLOOKUP(AU1085,INDEX((係数_乗用_ガソリン,係数_乗用_CNG,係数_乗用_軽油,係数_乗用_メタノール,係数_乗用_LPG),1,1,BE1085):INDEX((係数_乗用_ガソリン,係数_乗用_CNG,係数_乗用_軽油,係数_乗用_メタノール,係数_乗用_LPG),125,5,BE1085),4,FALSE)))))</f>
        <v/>
      </c>
      <c r="AL1085" s="461" t="str">
        <f t="shared" si="615"/>
        <v/>
      </c>
      <c r="AM1085" s="460" t="str">
        <f>IF(AU1085="","",IF(OR(AZ1085=8,AZ1085=9),0,IF(OR(AW1085=3,AW1085=4,AW1085=5,AW1085=6),IF(LEFT(BH1085,1)="1",INDEX(係数_PM低減,MATCH(AY1085,【参考】排出係数!$AI$801:$AI$804,1),MATCH(BI1085,【参考】排出係数!$AL$798:$AO$798,1)),VLOOKUP(AU1085,INDEX((係数_バス貨物_ガソリン,係数_バス貨物_CNG,係数_バス貨物_軽油,係数_バス貨物_メタノール,係数_バス貨物_LPG),MATCH(AY1085,【参考】排出係数!$AI$4:$AI$671,1),1,BE1085):INDEX((係数_バス貨物_ガソリン,係数_バス貨物_CNG,係数_バス貨物_軽油,係数_バス貨物_メタノール,係数_バス貨物_LPG),MATCH(AY1085+1,【参考】排出係数!$AI$4:$AI$671,1)-1,5,BE1085),5,FALSE)),IF(AND(BE1085=3,LEFT(BF1085,1)="1"),0.055,VLOOKUP(AU1085,INDEX((係数_乗用_ガソリン,係数_乗用_CNG,係数_乗用_軽油,係数_乗用_メタノール,係数_乗用_LPG),1,1,BE1085):INDEX((係数_乗用_ガソリン,係数_乗用_CNG,係数_乗用_軽油,係数_乗用_メタノール,係数_乗用_LPG),125,5,BE1085),5,FALSE)))))</f>
        <v/>
      </c>
      <c r="AN1085" s="461" t="str">
        <f t="shared" si="616"/>
        <v/>
      </c>
      <c r="AO1085" s="462" t="str">
        <f t="shared" si="617"/>
        <v/>
      </c>
      <c r="AP1085" s="463" t="str">
        <f t="shared" si="618"/>
        <v/>
      </c>
      <c r="AQ1085" s="464"/>
      <c r="AR1085" s="619"/>
      <c r="AS1085" s="465" t="str">
        <f t="shared" si="626"/>
        <v/>
      </c>
      <c r="AT1085" s="465" t="str">
        <f t="shared" si="627"/>
        <v/>
      </c>
      <c r="AU1085" s="466" t="str">
        <f t="shared" si="628"/>
        <v/>
      </c>
      <c r="AV1085" s="467" t="str">
        <f t="shared" si="629"/>
        <v/>
      </c>
      <c r="AW1085" s="467" t="str">
        <f t="shared" si="630"/>
        <v/>
      </c>
      <c r="AX1085" s="467" t="str">
        <f t="shared" si="631"/>
        <v/>
      </c>
      <c r="AY1085" s="467" t="str">
        <f t="shared" si="632"/>
        <v/>
      </c>
      <c r="AZ1085" s="467" t="str">
        <f t="shared" si="633"/>
        <v/>
      </c>
      <c r="BA1085" s="468" t="str">
        <f>IF(AS1085="","",IF(OR(AU1085="",AU1085="-"),"－",IF(OR(AZ1085=8,AZ1085=9),"",IF(OR(AW1085=3,AW1085=4,AW1085=5,AW1085=6),VLOOKUP(AU1085,INDEX((係数_バス貨物_ガソリン,係数_バス貨物_CNG,係数_バス貨物_軽油,係数_バス貨物_メタノール,係数_バス貨物_LPG),MATCH(AY1085,【参考】排出係数!$AI$4:$AI$671,1),1,BE1085):INDEX((係数_バス貨物_ガソリン,係数_バス貨物_CNG,係数_バス貨物_軽油,係数_バス貨物_メタノール,係数_バス貨物_LPG),MATCH(AY1085+1,【参考】排出係数!$AI$4:$AI$671,1)-1,5,BE1085),2,FALSE),IF(OR(AW1085=1,AW1085=2),VLOOKUP(AU1085,INDEX((係数_乗用_ガソリン,係数_乗用_CNG,係数_乗用_軽油,係数_乗用_メタノール,係数_乗用_LPG),1,1,BE1085):INDEX((係数_乗用_ガソリン,係数_乗用_CNG,係数_乗用_軽油,係数_乗用_メタノール,係数_乗用_LPG),125,5,BE1085),2,FALSE))))))</f>
        <v/>
      </c>
      <c r="BB1085" s="468" t="str">
        <f>IF(T1085="","",IF(OR(AU1085="",AU1085="-"),"－",IF(OR(AZ1085=8,AZ1085=9),"",IF(OR(AW1085=3,AW1085=4,AW1085=5,AW1085=6),VLOOKUP(AU1085,INDEX((係数_バス貨物_ガソリン,係数_バス貨物_CNG,係数_バス貨物_軽油,係数_バス貨物_メタノール,係数_バス貨物_LPG),MATCH(AY1085,【参考】排出係数!$AI$4:$AI$671,1),1,BE1085):INDEX((係数_バス貨物_ガソリン,係数_バス貨物_CNG,係数_バス貨物_軽油,係数_バス貨物_メタノール,係数_バス貨物_LPG),MATCH(AY1085+1,【参考】排出係数!$AI$4:$AI$671,1)-1,5,BE1085),3,FALSE),IF(OR(AW1085=1,AW1085=2),VLOOKUP(AU1085,INDEX((係数_乗用_ガソリン,係数_乗用_CNG,係数_乗用_軽油,係数_乗用_メタノール,係数_乗用_LPG),1,1,BE1085):INDEX((係数_乗用_ガソリン,係数_乗用_CNG,係数_乗用_軽油,係数_乗用_メタノール,係数_乗用_LPG),125,5,BE1085),3,FALSE))))))</f>
        <v/>
      </c>
      <c r="BC1085" s="467" t="str">
        <f t="shared" si="634"/>
        <v/>
      </c>
      <c r="BD1085" s="567" t="str">
        <f t="shared" si="635"/>
        <v/>
      </c>
      <c r="BE1085" s="467" t="str">
        <f t="shared" si="636"/>
        <v/>
      </c>
      <c r="BF1085" s="469" t="str">
        <f t="shared" ca="1" si="637"/>
        <v/>
      </c>
      <c r="BG1085" s="469" t="str">
        <f t="shared" ca="1" si="638"/>
        <v/>
      </c>
      <c r="BH1085" s="467" t="str">
        <f t="shared" si="639"/>
        <v/>
      </c>
      <c r="BI1085" s="467" t="str">
        <f t="shared" ca="1" si="640"/>
        <v/>
      </c>
      <c r="BJ1085" s="469" t="str">
        <f t="shared" si="641"/>
        <v/>
      </c>
      <c r="BK1085" s="470" t="str">
        <f t="shared" si="625"/>
        <v/>
      </c>
      <c r="BL1085" s="775" t="str">
        <f t="shared" si="642"/>
        <v/>
      </c>
      <c r="BM1085" s="775" t="str">
        <f t="shared" si="643"/>
        <v/>
      </c>
    </row>
    <row r="1086" spans="1:65">
      <c r="A1086" s="473">
        <v>1030</v>
      </c>
      <c r="B1086" s="132"/>
      <c r="C1086" s="332"/>
      <c r="D1086" s="333"/>
      <c r="E1086" s="333"/>
      <c r="F1086" s="334"/>
      <c r="G1086" s="337"/>
      <c r="H1086" s="131"/>
      <c r="I1086" s="337"/>
      <c r="J1086" s="131"/>
      <c r="K1086" s="458" t="str">
        <f t="shared" si="606"/>
        <v/>
      </c>
      <c r="L1086" s="458">
        <f t="shared" si="607"/>
        <v>0</v>
      </c>
      <c r="M1086" s="458">
        <f t="shared" si="608"/>
        <v>0</v>
      </c>
      <c r="N1086" s="459" t="str">
        <f t="shared" si="619"/>
        <v/>
      </c>
      <c r="O1086" s="459" t="str">
        <f t="shared" si="620"/>
        <v/>
      </c>
      <c r="P1086" s="459" t="str">
        <f t="shared" si="621"/>
        <v/>
      </c>
      <c r="Q1086" s="459" t="str">
        <f t="shared" si="622"/>
        <v/>
      </c>
      <c r="R1086" s="459" t="str">
        <f t="shared" si="623"/>
        <v/>
      </c>
      <c r="S1086" s="459" t="str">
        <f t="shared" si="624"/>
        <v/>
      </c>
      <c r="T1086" s="566" t="str">
        <f t="shared" si="609"/>
        <v/>
      </c>
      <c r="U1086" s="702"/>
      <c r="V1086" s="132"/>
      <c r="W1086" s="133"/>
      <c r="X1086" s="134"/>
      <c r="Y1086" s="135"/>
      <c r="Z1086" s="137"/>
      <c r="AA1086" s="136"/>
      <c r="AB1086" s="566" t="str">
        <f t="shared" si="610"/>
        <v/>
      </c>
      <c r="AC1086" s="568" t="str">
        <f t="shared" si="611"/>
        <v/>
      </c>
      <c r="AD1086" s="137"/>
      <c r="AE1086" s="137"/>
      <c r="AF1086" s="138"/>
      <c r="AG1086" s="138"/>
      <c r="AH1086" s="592" t="str">
        <f t="shared" si="612"/>
        <v/>
      </c>
      <c r="AI1086" s="592" t="str">
        <f t="shared" si="613"/>
        <v/>
      </c>
      <c r="AJ1086" s="592" t="str">
        <f t="shared" si="614"/>
        <v/>
      </c>
      <c r="AK1086" s="460" t="str">
        <f>IF(AU1086="","",IF(OR(AZ1086=8,AZ1086=9),0,IF(OR(AW1086=3,AW1086=4,AW1086=5,AW1086=6),IF(LEFT(BF1086,1)="1",INDEX(係数_NOX・PM低減,MATCH(AY1086,【参考】排出係数!$AI$801:$AI$804,1),1),VLOOKUP(AU1086,INDEX((係数_バス貨物_ガソリン,係数_バス貨物_CNG,係数_バス貨物_軽油,係数_バス貨物_メタノール,係数_バス貨物_LPG),MATCH(AY1086,【参考】排出係数!$AI$4:$AI$671,1),1,BE1086):INDEX((係数_バス貨物_ガソリン,係数_バス貨物_CNG,係数_バス貨物_軽油,係数_バス貨物_メタノール,係数_バス貨物_LPG),MATCH(AY1086+1,【参考】排出係数!$AI$4:$AI$671,1)-1,5,BE1086),4,FALSE)),IF(AND(BE1086=3,LEFT(BF1086,1)="1"),0.48,VLOOKUP(AU1086,INDEX((係数_乗用_ガソリン,係数_乗用_CNG,係数_乗用_軽油,係数_乗用_メタノール,係数_乗用_LPG),1,1,BE1086):INDEX((係数_乗用_ガソリン,係数_乗用_CNG,係数_乗用_軽油,係数_乗用_メタノール,係数_乗用_LPG),125,5,BE1086),4,FALSE)))))</f>
        <v/>
      </c>
      <c r="AL1086" s="461" t="str">
        <f t="shared" si="615"/>
        <v/>
      </c>
      <c r="AM1086" s="460" t="str">
        <f>IF(AU1086="","",IF(OR(AZ1086=8,AZ1086=9),0,IF(OR(AW1086=3,AW1086=4,AW1086=5,AW1086=6),IF(LEFT(BH1086,1)="1",INDEX(係数_PM低減,MATCH(AY1086,【参考】排出係数!$AI$801:$AI$804,1),MATCH(BI1086,【参考】排出係数!$AL$798:$AO$798,1)),VLOOKUP(AU1086,INDEX((係数_バス貨物_ガソリン,係数_バス貨物_CNG,係数_バス貨物_軽油,係数_バス貨物_メタノール,係数_バス貨物_LPG),MATCH(AY1086,【参考】排出係数!$AI$4:$AI$671,1),1,BE1086):INDEX((係数_バス貨物_ガソリン,係数_バス貨物_CNG,係数_バス貨物_軽油,係数_バス貨物_メタノール,係数_バス貨物_LPG),MATCH(AY1086+1,【参考】排出係数!$AI$4:$AI$671,1)-1,5,BE1086),5,FALSE)),IF(AND(BE1086=3,LEFT(BF1086,1)="1"),0.055,VLOOKUP(AU1086,INDEX((係数_乗用_ガソリン,係数_乗用_CNG,係数_乗用_軽油,係数_乗用_メタノール,係数_乗用_LPG),1,1,BE1086):INDEX((係数_乗用_ガソリン,係数_乗用_CNG,係数_乗用_軽油,係数_乗用_メタノール,係数_乗用_LPG),125,5,BE1086),5,FALSE)))))</f>
        <v/>
      </c>
      <c r="AN1086" s="461" t="str">
        <f t="shared" si="616"/>
        <v/>
      </c>
      <c r="AO1086" s="462" t="str">
        <f t="shared" si="617"/>
        <v/>
      </c>
      <c r="AP1086" s="463" t="str">
        <f t="shared" si="618"/>
        <v/>
      </c>
      <c r="AQ1086" s="464"/>
      <c r="AR1086" s="619"/>
      <c r="AS1086" s="465" t="str">
        <f t="shared" si="626"/>
        <v/>
      </c>
      <c r="AT1086" s="465" t="str">
        <f t="shared" si="627"/>
        <v/>
      </c>
      <c r="AU1086" s="466" t="str">
        <f t="shared" si="628"/>
        <v/>
      </c>
      <c r="AV1086" s="467" t="str">
        <f t="shared" si="629"/>
        <v/>
      </c>
      <c r="AW1086" s="467" t="str">
        <f t="shared" si="630"/>
        <v/>
      </c>
      <c r="AX1086" s="467" t="str">
        <f t="shared" si="631"/>
        <v/>
      </c>
      <c r="AY1086" s="467" t="str">
        <f t="shared" si="632"/>
        <v/>
      </c>
      <c r="AZ1086" s="467" t="str">
        <f t="shared" si="633"/>
        <v/>
      </c>
      <c r="BA1086" s="468" t="str">
        <f>IF(AS1086="","",IF(OR(AU1086="",AU1086="-"),"－",IF(OR(AZ1086=8,AZ1086=9),"",IF(OR(AW1086=3,AW1086=4,AW1086=5,AW1086=6),VLOOKUP(AU1086,INDEX((係数_バス貨物_ガソリン,係数_バス貨物_CNG,係数_バス貨物_軽油,係数_バス貨物_メタノール,係数_バス貨物_LPG),MATCH(AY1086,【参考】排出係数!$AI$4:$AI$671,1),1,BE1086):INDEX((係数_バス貨物_ガソリン,係数_バス貨物_CNG,係数_バス貨物_軽油,係数_バス貨物_メタノール,係数_バス貨物_LPG),MATCH(AY1086+1,【参考】排出係数!$AI$4:$AI$671,1)-1,5,BE1086),2,FALSE),IF(OR(AW1086=1,AW1086=2),VLOOKUP(AU1086,INDEX((係数_乗用_ガソリン,係数_乗用_CNG,係数_乗用_軽油,係数_乗用_メタノール,係数_乗用_LPG),1,1,BE1086):INDEX((係数_乗用_ガソリン,係数_乗用_CNG,係数_乗用_軽油,係数_乗用_メタノール,係数_乗用_LPG),125,5,BE1086),2,FALSE))))))</f>
        <v/>
      </c>
      <c r="BB1086" s="468" t="str">
        <f>IF(T1086="","",IF(OR(AU1086="",AU1086="-"),"－",IF(OR(AZ1086=8,AZ1086=9),"",IF(OR(AW1086=3,AW1086=4,AW1086=5,AW1086=6),VLOOKUP(AU1086,INDEX((係数_バス貨物_ガソリン,係数_バス貨物_CNG,係数_バス貨物_軽油,係数_バス貨物_メタノール,係数_バス貨物_LPG),MATCH(AY1086,【参考】排出係数!$AI$4:$AI$671,1),1,BE1086):INDEX((係数_バス貨物_ガソリン,係数_バス貨物_CNG,係数_バス貨物_軽油,係数_バス貨物_メタノール,係数_バス貨物_LPG),MATCH(AY1086+1,【参考】排出係数!$AI$4:$AI$671,1)-1,5,BE1086),3,FALSE),IF(OR(AW1086=1,AW1086=2),VLOOKUP(AU1086,INDEX((係数_乗用_ガソリン,係数_乗用_CNG,係数_乗用_軽油,係数_乗用_メタノール,係数_乗用_LPG),1,1,BE1086):INDEX((係数_乗用_ガソリン,係数_乗用_CNG,係数_乗用_軽油,係数_乗用_メタノール,係数_乗用_LPG),125,5,BE1086),3,FALSE))))))</f>
        <v/>
      </c>
      <c r="BC1086" s="467" t="str">
        <f t="shared" si="634"/>
        <v/>
      </c>
      <c r="BD1086" s="567" t="str">
        <f t="shared" si="635"/>
        <v/>
      </c>
      <c r="BE1086" s="467" t="str">
        <f t="shared" si="636"/>
        <v/>
      </c>
      <c r="BF1086" s="469" t="str">
        <f t="shared" ca="1" si="637"/>
        <v/>
      </c>
      <c r="BG1086" s="469" t="str">
        <f t="shared" ca="1" si="638"/>
        <v/>
      </c>
      <c r="BH1086" s="467" t="str">
        <f t="shared" si="639"/>
        <v/>
      </c>
      <c r="BI1086" s="467" t="str">
        <f t="shared" ca="1" si="640"/>
        <v/>
      </c>
      <c r="BJ1086" s="469" t="str">
        <f t="shared" si="641"/>
        <v/>
      </c>
      <c r="BK1086" s="470" t="str">
        <f t="shared" si="625"/>
        <v/>
      </c>
      <c r="BL1086" s="775" t="str">
        <f t="shared" si="642"/>
        <v/>
      </c>
      <c r="BM1086" s="775" t="str">
        <f t="shared" si="643"/>
        <v/>
      </c>
    </row>
    <row r="1087" spans="1:65">
      <c r="A1087" s="473">
        <v>1031</v>
      </c>
      <c r="B1087" s="132"/>
      <c r="C1087" s="332"/>
      <c r="D1087" s="333"/>
      <c r="E1087" s="333"/>
      <c r="F1087" s="334"/>
      <c r="G1087" s="337"/>
      <c r="H1087" s="131"/>
      <c r="I1087" s="337"/>
      <c r="J1087" s="131"/>
      <c r="K1087" s="458" t="str">
        <f t="shared" si="606"/>
        <v/>
      </c>
      <c r="L1087" s="458">
        <f t="shared" si="607"/>
        <v>0</v>
      </c>
      <c r="M1087" s="458">
        <f t="shared" si="608"/>
        <v>0</v>
      </c>
      <c r="N1087" s="459" t="str">
        <f t="shared" si="619"/>
        <v/>
      </c>
      <c r="O1087" s="459" t="str">
        <f t="shared" si="620"/>
        <v/>
      </c>
      <c r="P1087" s="459" t="str">
        <f t="shared" si="621"/>
        <v/>
      </c>
      <c r="Q1087" s="459" t="str">
        <f t="shared" si="622"/>
        <v/>
      </c>
      <c r="R1087" s="459" t="str">
        <f t="shared" si="623"/>
        <v/>
      </c>
      <c r="S1087" s="459" t="str">
        <f t="shared" si="624"/>
        <v/>
      </c>
      <c r="T1087" s="566" t="str">
        <f t="shared" si="609"/>
        <v/>
      </c>
      <c r="U1087" s="702"/>
      <c r="V1087" s="132"/>
      <c r="W1087" s="133"/>
      <c r="X1087" s="134"/>
      <c r="Y1087" s="135"/>
      <c r="Z1087" s="137"/>
      <c r="AA1087" s="136"/>
      <c r="AB1087" s="566" t="str">
        <f t="shared" si="610"/>
        <v/>
      </c>
      <c r="AC1087" s="568" t="str">
        <f t="shared" si="611"/>
        <v/>
      </c>
      <c r="AD1087" s="137"/>
      <c r="AE1087" s="137"/>
      <c r="AF1087" s="138"/>
      <c r="AG1087" s="138"/>
      <c r="AH1087" s="592" t="str">
        <f t="shared" si="612"/>
        <v/>
      </c>
      <c r="AI1087" s="592" t="str">
        <f t="shared" si="613"/>
        <v/>
      </c>
      <c r="AJ1087" s="592" t="str">
        <f t="shared" si="614"/>
        <v/>
      </c>
      <c r="AK1087" s="460" t="str">
        <f>IF(AU1087="","",IF(OR(AZ1087=8,AZ1087=9),0,IF(OR(AW1087=3,AW1087=4,AW1087=5,AW1087=6),IF(LEFT(BF1087,1)="1",INDEX(係数_NOX・PM低減,MATCH(AY1087,【参考】排出係数!$AI$801:$AI$804,1),1),VLOOKUP(AU1087,INDEX((係数_バス貨物_ガソリン,係数_バス貨物_CNG,係数_バス貨物_軽油,係数_バス貨物_メタノール,係数_バス貨物_LPG),MATCH(AY1087,【参考】排出係数!$AI$4:$AI$671,1),1,BE1087):INDEX((係数_バス貨物_ガソリン,係数_バス貨物_CNG,係数_バス貨物_軽油,係数_バス貨物_メタノール,係数_バス貨物_LPG),MATCH(AY1087+1,【参考】排出係数!$AI$4:$AI$671,1)-1,5,BE1087),4,FALSE)),IF(AND(BE1087=3,LEFT(BF1087,1)="1"),0.48,VLOOKUP(AU1087,INDEX((係数_乗用_ガソリン,係数_乗用_CNG,係数_乗用_軽油,係数_乗用_メタノール,係数_乗用_LPG),1,1,BE1087):INDEX((係数_乗用_ガソリン,係数_乗用_CNG,係数_乗用_軽油,係数_乗用_メタノール,係数_乗用_LPG),125,5,BE1087),4,FALSE)))))</f>
        <v/>
      </c>
      <c r="AL1087" s="461" t="str">
        <f t="shared" si="615"/>
        <v/>
      </c>
      <c r="AM1087" s="460" t="str">
        <f>IF(AU1087="","",IF(OR(AZ1087=8,AZ1087=9),0,IF(OR(AW1087=3,AW1087=4,AW1087=5,AW1087=6),IF(LEFT(BH1087,1)="1",INDEX(係数_PM低減,MATCH(AY1087,【参考】排出係数!$AI$801:$AI$804,1),MATCH(BI1087,【参考】排出係数!$AL$798:$AO$798,1)),VLOOKUP(AU1087,INDEX((係数_バス貨物_ガソリン,係数_バス貨物_CNG,係数_バス貨物_軽油,係数_バス貨物_メタノール,係数_バス貨物_LPG),MATCH(AY1087,【参考】排出係数!$AI$4:$AI$671,1),1,BE1087):INDEX((係数_バス貨物_ガソリン,係数_バス貨物_CNG,係数_バス貨物_軽油,係数_バス貨物_メタノール,係数_バス貨物_LPG),MATCH(AY1087+1,【参考】排出係数!$AI$4:$AI$671,1)-1,5,BE1087),5,FALSE)),IF(AND(BE1087=3,LEFT(BF1087,1)="1"),0.055,VLOOKUP(AU1087,INDEX((係数_乗用_ガソリン,係数_乗用_CNG,係数_乗用_軽油,係数_乗用_メタノール,係数_乗用_LPG),1,1,BE1087):INDEX((係数_乗用_ガソリン,係数_乗用_CNG,係数_乗用_軽油,係数_乗用_メタノール,係数_乗用_LPG),125,5,BE1087),5,FALSE)))))</f>
        <v/>
      </c>
      <c r="AN1087" s="461" t="str">
        <f t="shared" si="616"/>
        <v/>
      </c>
      <c r="AO1087" s="462" t="str">
        <f t="shared" si="617"/>
        <v/>
      </c>
      <c r="AP1087" s="463" t="str">
        <f t="shared" si="618"/>
        <v/>
      </c>
      <c r="AQ1087" s="464"/>
      <c r="AR1087" s="619"/>
      <c r="AS1087" s="465" t="str">
        <f t="shared" si="626"/>
        <v/>
      </c>
      <c r="AT1087" s="465" t="str">
        <f t="shared" si="627"/>
        <v/>
      </c>
      <c r="AU1087" s="466" t="str">
        <f t="shared" si="628"/>
        <v/>
      </c>
      <c r="AV1087" s="467" t="str">
        <f t="shared" si="629"/>
        <v/>
      </c>
      <c r="AW1087" s="467" t="str">
        <f t="shared" si="630"/>
        <v/>
      </c>
      <c r="AX1087" s="467" t="str">
        <f t="shared" si="631"/>
        <v/>
      </c>
      <c r="AY1087" s="467" t="str">
        <f t="shared" si="632"/>
        <v/>
      </c>
      <c r="AZ1087" s="467" t="str">
        <f t="shared" si="633"/>
        <v/>
      </c>
      <c r="BA1087" s="468" t="str">
        <f>IF(AS1087="","",IF(OR(AU1087="",AU1087="-"),"－",IF(OR(AZ1087=8,AZ1087=9),"",IF(OR(AW1087=3,AW1087=4,AW1087=5,AW1087=6),VLOOKUP(AU1087,INDEX((係数_バス貨物_ガソリン,係数_バス貨物_CNG,係数_バス貨物_軽油,係数_バス貨物_メタノール,係数_バス貨物_LPG),MATCH(AY1087,【参考】排出係数!$AI$4:$AI$671,1),1,BE1087):INDEX((係数_バス貨物_ガソリン,係数_バス貨物_CNG,係数_バス貨物_軽油,係数_バス貨物_メタノール,係数_バス貨物_LPG),MATCH(AY1087+1,【参考】排出係数!$AI$4:$AI$671,1)-1,5,BE1087),2,FALSE),IF(OR(AW1087=1,AW1087=2),VLOOKUP(AU1087,INDEX((係数_乗用_ガソリン,係数_乗用_CNG,係数_乗用_軽油,係数_乗用_メタノール,係数_乗用_LPG),1,1,BE1087):INDEX((係数_乗用_ガソリン,係数_乗用_CNG,係数_乗用_軽油,係数_乗用_メタノール,係数_乗用_LPG),125,5,BE1087),2,FALSE))))))</f>
        <v/>
      </c>
      <c r="BB1087" s="468" t="str">
        <f>IF(T1087="","",IF(OR(AU1087="",AU1087="-"),"－",IF(OR(AZ1087=8,AZ1087=9),"",IF(OR(AW1087=3,AW1087=4,AW1087=5,AW1087=6),VLOOKUP(AU1087,INDEX((係数_バス貨物_ガソリン,係数_バス貨物_CNG,係数_バス貨物_軽油,係数_バス貨物_メタノール,係数_バス貨物_LPG),MATCH(AY1087,【参考】排出係数!$AI$4:$AI$671,1),1,BE1087):INDEX((係数_バス貨物_ガソリン,係数_バス貨物_CNG,係数_バス貨物_軽油,係数_バス貨物_メタノール,係数_バス貨物_LPG),MATCH(AY1087+1,【参考】排出係数!$AI$4:$AI$671,1)-1,5,BE1087),3,FALSE),IF(OR(AW1087=1,AW1087=2),VLOOKUP(AU1087,INDEX((係数_乗用_ガソリン,係数_乗用_CNG,係数_乗用_軽油,係数_乗用_メタノール,係数_乗用_LPG),1,1,BE1087):INDEX((係数_乗用_ガソリン,係数_乗用_CNG,係数_乗用_軽油,係数_乗用_メタノール,係数_乗用_LPG),125,5,BE1087),3,FALSE))))))</f>
        <v/>
      </c>
      <c r="BC1087" s="467" t="str">
        <f t="shared" si="634"/>
        <v/>
      </c>
      <c r="BD1087" s="567" t="str">
        <f t="shared" si="635"/>
        <v/>
      </c>
      <c r="BE1087" s="467" t="str">
        <f t="shared" si="636"/>
        <v/>
      </c>
      <c r="BF1087" s="469" t="str">
        <f t="shared" ca="1" si="637"/>
        <v/>
      </c>
      <c r="BG1087" s="469" t="str">
        <f t="shared" ca="1" si="638"/>
        <v/>
      </c>
      <c r="BH1087" s="467" t="str">
        <f t="shared" si="639"/>
        <v/>
      </c>
      <c r="BI1087" s="467" t="str">
        <f t="shared" ca="1" si="640"/>
        <v/>
      </c>
      <c r="BJ1087" s="469" t="str">
        <f t="shared" si="641"/>
        <v/>
      </c>
      <c r="BK1087" s="470" t="str">
        <f t="shared" si="625"/>
        <v/>
      </c>
      <c r="BL1087" s="775" t="str">
        <f t="shared" si="642"/>
        <v/>
      </c>
      <c r="BM1087" s="775" t="str">
        <f t="shared" si="643"/>
        <v/>
      </c>
    </row>
    <row r="1088" spans="1:65">
      <c r="A1088" s="473">
        <v>1032</v>
      </c>
      <c r="B1088" s="132"/>
      <c r="C1088" s="332"/>
      <c r="D1088" s="333"/>
      <c r="E1088" s="333"/>
      <c r="F1088" s="334"/>
      <c r="G1088" s="337"/>
      <c r="H1088" s="131"/>
      <c r="I1088" s="337"/>
      <c r="J1088" s="131"/>
      <c r="K1088" s="458" t="str">
        <f t="shared" si="606"/>
        <v/>
      </c>
      <c r="L1088" s="458">
        <f t="shared" si="607"/>
        <v>0</v>
      </c>
      <c r="M1088" s="458">
        <f t="shared" si="608"/>
        <v>0</v>
      </c>
      <c r="N1088" s="459" t="str">
        <f t="shared" si="619"/>
        <v/>
      </c>
      <c r="O1088" s="459" t="str">
        <f t="shared" si="620"/>
        <v/>
      </c>
      <c r="P1088" s="459" t="str">
        <f t="shared" si="621"/>
        <v/>
      </c>
      <c r="Q1088" s="459" t="str">
        <f t="shared" si="622"/>
        <v/>
      </c>
      <c r="R1088" s="459" t="str">
        <f t="shared" si="623"/>
        <v/>
      </c>
      <c r="S1088" s="459" t="str">
        <f t="shared" si="624"/>
        <v/>
      </c>
      <c r="T1088" s="566" t="str">
        <f t="shared" si="609"/>
        <v/>
      </c>
      <c r="U1088" s="702"/>
      <c r="V1088" s="132"/>
      <c r="W1088" s="133"/>
      <c r="X1088" s="134"/>
      <c r="Y1088" s="135"/>
      <c r="Z1088" s="137"/>
      <c r="AA1088" s="136"/>
      <c r="AB1088" s="566" t="str">
        <f t="shared" si="610"/>
        <v/>
      </c>
      <c r="AC1088" s="568" t="str">
        <f t="shared" si="611"/>
        <v/>
      </c>
      <c r="AD1088" s="137"/>
      <c r="AE1088" s="137"/>
      <c r="AF1088" s="138"/>
      <c r="AG1088" s="138"/>
      <c r="AH1088" s="592" t="str">
        <f t="shared" si="612"/>
        <v/>
      </c>
      <c r="AI1088" s="592" t="str">
        <f t="shared" si="613"/>
        <v/>
      </c>
      <c r="AJ1088" s="592" t="str">
        <f t="shared" si="614"/>
        <v/>
      </c>
      <c r="AK1088" s="460" t="str">
        <f>IF(AU1088="","",IF(OR(AZ1088=8,AZ1088=9),0,IF(OR(AW1088=3,AW1088=4,AW1088=5,AW1088=6),IF(LEFT(BF1088,1)="1",INDEX(係数_NOX・PM低減,MATCH(AY1088,【参考】排出係数!$AI$801:$AI$804,1),1),VLOOKUP(AU1088,INDEX((係数_バス貨物_ガソリン,係数_バス貨物_CNG,係数_バス貨物_軽油,係数_バス貨物_メタノール,係数_バス貨物_LPG),MATCH(AY1088,【参考】排出係数!$AI$4:$AI$671,1),1,BE1088):INDEX((係数_バス貨物_ガソリン,係数_バス貨物_CNG,係数_バス貨物_軽油,係数_バス貨物_メタノール,係数_バス貨物_LPG),MATCH(AY1088+1,【参考】排出係数!$AI$4:$AI$671,1)-1,5,BE1088),4,FALSE)),IF(AND(BE1088=3,LEFT(BF1088,1)="1"),0.48,VLOOKUP(AU1088,INDEX((係数_乗用_ガソリン,係数_乗用_CNG,係数_乗用_軽油,係数_乗用_メタノール,係数_乗用_LPG),1,1,BE1088):INDEX((係数_乗用_ガソリン,係数_乗用_CNG,係数_乗用_軽油,係数_乗用_メタノール,係数_乗用_LPG),125,5,BE1088),4,FALSE)))))</f>
        <v/>
      </c>
      <c r="AL1088" s="461" t="str">
        <f t="shared" si="615"/>
        <v/>
      </c>
      <c r="AM1088" s="460" t="str">
        <f>IF(AU1088="","",IF(OR(AZ1088=8,AZ1088=9),0,IF(OR(AW1088=3,AW1088=4,AW1088=5,AW1088=6),IF(LEFT(BH1088,1)="1",INDEX(係数_PM低減,MATCH(AY1088,【参考】排出係数!$AI$801:$AI$804,1),MATCH(BI1088,【参考】排出係数!$AL$798:$AO$798,1)),VLOOKUP(AU1088,INDEX((係数_バス貨物_ガソリン,係数_バス貨物_CNG,係数_バス貨物_軽油,係数_バス貨物_メタノール,係数_バス貨物_LPG),MATCH(AY1088,【参考】排出係数!$AI$4:$AI$671,1),1,BE1088):INDEX((係数_バス貨物_ガソリン,係数_バス貨物_CNG,係数_バス貨物_軽油,係数_バス貨物_メタノール,係数_バス貨物_LPG),MATCH(AY1088+1,【参考】排出係数!$AI$4:$AI$671,1)-1,5,BE1088),5,FALSE)),IF(AND(BE1088=3,LEFT(BF1088,1)="1"),0.055,VLOOKUP(AU1088,INDEX((係数_乗用_ガソリン,係数_乗用_CNG,係数_乗用_軽油,係数_乗用_メタノール,係数_乗用_LPG),1,1,BE1088):INDEX((係数_乗用_ガソリン,係数_乗用_CNG,係数_乗用_軽油,係数_乗用_メタノール,係数_乗用_LPG),125,5,BE1088),5,FALSE)))))</f>
        <v/>
      </c>
      <c r="AN1088" s="461" t="str">
        <f t="shared" si="616"/>
        <v/>
      </c>
      <c r="AO1088" s="462" t="str">
        <f t="shared" si="617"/>
        <v/>
      </c>
      <c r="AP1088" s="463" t="str">
        <f t="shared" si="618"/>
        <v/>
      </c>
      <c r="AQ1088" s="464"/>
      <c r="AR1088" s="619"/>
      <c r="AS1088" s="465" t="str">
        <f t="shared" si="626"/>
        <v/>
      </c>
      <c r="AT1088" s="465" t="str">
        <f t="shared" si="627"/>
        <v/>
      </c>
      <c r="AU1088" s="466" t="str">
        <f t="shared" si="628"/>
        <v/>
      </c>
      <c r="AV1088" s="467" t="str">
        <f t="shared" si="629"/>
        <v/>
      </c>
      <c r="AW1088" s="467" t="str">
        <f t="shared" si="630"/>
        <v/>
      </c>
      <c r="AX1088" s="467" t="str">
        <f t="shared" si="631"/>
        <v/>
      </c>
      <c r="AY1088" s="467" t="str">
        <f t="shared" si="632"/>
        <v/>
      </c>
      <c r="AZ1088" s="467" t="str">
        <f t="shared" si="633"/>
        <v/>
      </c>
      <c r="BA1088" s="468" t="str">
        <f>IF(AS1088="","",IF(OR(AU1088="",AU1088="-"),"－",IF(OR(AZ1088=8,AZ1088=9),"",IF(OR(AW1088=3,AW1088=4,AW1088=5,AW1088=6),VLOOKUP(AU1088,INDEX((係数_バス貨物_ガソリン,係数_バス貨物_CNG,係数_バス貨物_軽油,係数_バス貨物_メタノール,係数_バス貨物_LPG),MATCH(AY1088,【参考】排出係数!$AI$4:$AI$671,1),1,BE1088):INDEX((係数_バス貨物_ガソリン,係数_バス貨物_CNG,係数_バス貨物_軽油,係数_バス貨物_メタノール,係数_バス貨物_LPG),MATCH(AY1088+1,【参考】排出係数!$AI$4:$AI$671,1)-1,5,BE1088),2,FALSE),IF(OR(AW1088=1,AW1088=2),VLOOKUP(AU1088,INDEX((係数_乗用_ガソリン,係数_乗用_CNG,係数_乗用_軽油,係数_乗用_メタノール,係数_乗用_LPG),1,1,BE1088):INDEX((係数_乗用_ガソリン,係数_乗用_CNG,係数_乗用_軽油,係数_乗用_メタノール,係数_乗用_LPG),125,5,BE1088),2,FALSE))))))</f>
        <v/>
      </c>
      <c r="BB1088" s="468" t="str">
        <f>IF(T1088="","",IF(OR(AU1088="",AU1088="-"),"－",IF(OR(AZ1088=8,AZ1088=9),"",IF(OR(AW1088=3,AW1088=4,AW1088=5,AW1088=6),VLOOKUP(AU1088,INDEX((係数_バス貨物_ガソリン,係数_バス貨物_CNG,係数_バス貨物_軽油,係数_バス貨物_メタノール,係数_バス貨物_LPG),MATCH(AY1088,【参考】排出係数!$AI$4:$AI$671,1),1,BE1088):INDEX((係数_バス貨物_ガソリン,係数_バス貨物_CNG,係数_バス貨物_軽油,係数_バス貨物_メタノール,係数_バス貨物_LPG),MATCH(AY1088+1,【参考】排出係数!$AI$4:$AI$671,1)-1,5,BE1088),3,FALSE),IF(OR(AW1088=1,AW1088=2),VLOOKUP(AU1088,INDEX((係数_乗用_ガソリン,係数_乗用_CNG,係数_乗用_軽油,係数_乗用_メタノール,係数_乗用_LPG),1,1,BE1088):INDEX((係数_乗用_ガソリン,係数_乗用_CNG,係数_乗用_軽油,係数_乗用_メタノール,係数_乗用_LPG),125,5,BE1088),3,FALSE))))))</f>
        <v/>
      </c>
      <c r="BC1088" s="467" t="str">
        <f t="shared" si="634"/>
        <v/>
      </c>
      <c r="BD1088" s="567" t="str">
        <f t="shared" si="635"/>
        <v/>
      </c>
      <c r="BE1088" s="467" t="str">
        <f t="shared" si="636"/>
        <v/>
      </c>
      <c r="BF1088" s="469" t="str">
        <f t="shared" ca="1" si="637"/>
        <v/>
      </c>
      <c r="BG1088" s="469" t="str">
        <f t="shared" ca="1" si="638"/>
        <v/>
      </c>
      <c r="BH1088" s="467" t="str">
        <f t="shared" si="639"/>
        <v/>
      </c>
      <c r="BI1088" s="467" t="str">
        <f t="shared" ca="1" si="640"/>
        <v/>
      </c>
      <c r="BJ1088" s="469" t="str">
        <f t="shared" si="641"/>
        <v/>
      </c>
      <c r="BK1088" s="470" t="str">
        <f t="shared" si="625"/>
        <v/>
      </c>
      <c r="BL1088" s="775" t="str">
        <f t="shared" si="642"/>
        <v/>
      </c>
      <c r="BM1088" s="775" t="str">
        <f t="shared" si="643"/>
        <v/>
      </c>
    </row>
    <row r="1089" spans="1:65">
      <c r="A1089" s="473">
        <v>1033</v>
      </c>
      <c r="B1089" s="132"/>
      <c r="C1089" s="332"/>
      <c r="D1089" s="333"/>
      <c r="E1089" s="333"/>
      <c r="F1089" s="334"/>
      <c r="G1089" s="337"/>
      <c r="H1089" s="131"/>
      <c r="I1089" s="337"/>
      <c r="J1089" s="131"/>
      <c r="K1089" s="458" t="str">
        <f t="shared" si="606"/>
        <v/>
      </c>
      <c r="L1089" s="458">
        <f t="shared" si="607"/>
        <v>0</v>
      </c>
      <c r="M1089" s="458">
        <f t="shared" si="608"/>
        <v>0</v>
      </c>
      <c r="N1089" s="459" t="str">
        <f t="shared" si="619"/>
        <v/>
      </c>
      <c r="O1089" s="459" t="str">
        <f t="shared" si="620"/>
        <v/>
      </c>
      <c r="P1089" s="459" t="str">
        <f t="shared" si="621"/>
        <v/>
      </c>
      <c r="Q1089" s="459" t="str">
        <f t="shared" si="622"/>
        <v/>
      </c>
      <c r="R1089" s="459" t="str">
        <f t="shared" si="623"/>
        <v/>
      </c>
      <c r="S1089" s="459" t="str">
        <f t="shared" si="624"/>
        <v/>
      </c>
      <c r="T1089" s="566" t="str">
        <f t="shared" si="609"/>
        <v/>
      </c>
      <c r="U1089" s="702"/>
      <c r="V1089" s="132"/>
      <c r="W1089" s="133"/>
      <c r="X1089" s="134"/>
      <c r="Y1089" s="135"/>
      <c r="Z1089" s="137"/>
      <c r="AA1089" s="136"/>
      <c r="AB1089" s="566" t="str">
        <f t="shared" si="610"/>
        <v/>
      </c>
      <c r="AC1089" s="568" t="str">
        <f t="shared" si="611"/>
        <v/>
      </c>
      <c r="AD1089" s="137"/>
      <c r="AE1089" s="137"/>
      <c r="AF1089" s="138"/>
      <c r="AG1089" s="138"/>
      <c r="AH1089" s="592" t="str">
        <f t="shared" si="612"/>
        <v/>
      </c>
      <c r="AI1089" s="592" t="str">
        <f t="shared" si="613"/>
        <v/>
      </c>
      <c r="AJ1089" s="592" t="str">
        <f t="shared" si="614"/>
        <v/>
      </c>
      <c r="AK1089" s="460" t="str">
        <f>IF(AU1089="","",IF(OR(AZ1089=8,AZ1089=9),0,IF(OR(AW1089=3,AW1089=4,AW1089=5,AW1089=6),IF(LEFT(BF1089,1)="1",INDEX(係数_NOX・PM低減,MATCH(AY1089,【参考】排出係数!$AI$801:$AI$804,1),1),VLOOKUP(AU1089,INDEX((係数_バス貨物_ガソリン,係数_バス貨物_CNG,係数_バス貨物_軽油,係数_バス貨物_メタノール,係数_バス貨物_LPG),MATCH(AY1089,【参考】排出係数!$AI$4:$AI$671,1),1,BE1089):INDEX((係数_バス貨物_ガソリン,係数_バス貨物_CNG,係数_バス貨物_軽油,係数_バス貨物_メタノール,係数_バス貨物_LPG),MATCH(AY1089+1,【参考】排出係数!$AI$4:$AI$671,1)-1,5,BE1089),4,FALSE)),IF(AND(BE1089=3,LEFT(BF1089,1)="1"),0.48,VLOOKUP(AU1089,INDEX((係数_乗用_ガソリン,係数_乗用_CNG,係数_乗用_軽油,係数_乗用_メタノール,係数_乗用_LPG),1,1,BE1089):INDEX((係数_乗用_ガソリン,係数_乗用_CNG,係数_乗用_軽油,係数_乗用_メタノール,係数_乗用_LPG),125,5,BE1089),4,FALSE)))))</f>
        <v/>
      </c>
      <c r="AL1089" s="461" t="str">
        <f t="shared" si="615"/>
        <v/>
      </c>
      <c r="AM1089" s="460" t="str">
        <f>IF(AU1089="","",IF(OR(AZ1089=8,AZ1089=9),0,IF(OR(AW1089=3,AW1089=4,AW1089=5,AW1089=6),IF(LEFT(BH1089,1)="1",INDEX(係数_PM低減,MATCH(AY1089,【参考】排出係数!$AI$801:$AI$804,1),MATCH(BI1089,【参考】排出係数!$AL$798:$AO$798,1)),VLOOKUP(AU1089,INDEX((係数_バス貨物_ガソリン,係数_バス貨物_CNG,係数_バス貨物_軽油,係数_バス貨物_メタノール,係数_バス貨物_LPG),MATCH(AY1089,【参考】排出係数!$AI$4:$AI$671,1),1,BE1089):INDEX((係数_バス貨物_ガソリン,係数_バス貨物_CNG,係数_バス貨物_軽油,係数_バス貨物_メタノール,係数_バス貨物_LPG),MATCH(AY1089+1,【参考】排出係数!$AI$4:$AI$671,1)-1,5,BE1089),5,FALSE)),IF(AND(BE1089=3,LEFT(BF1089,1)="1"),0.055,VLOOKUP(AU1089,INDEX((係数_乗用_ガソリン,係数_乗用_CNG,係数_乗用_軽油,係数_乗用_メタノール,係数_乗用_LPG),1,1,BE1089):INDEX((係数_乗用_ガソリン,係数_乗用_CNG,係数_乗用_軽油,係数_乗用_メタノール,係数_乗用_LPG),125,5,BE1089),5,FALSE)))))</f>
        <v/>
      </c>
      <c r="AN1089" s="461" t="str">
        <f t="shared" si="616"/>
        <v/>
      </c>
      <c r="AO1089" s="462" t="str">
        <f t="shared" si="617"/>
        <v/>
      </c>
      <c r="AP1089" s="463" t="str">
        <f t="shared" si="618"/>
        <v/>
      </c>
      <c r="AQ1089" s="464"/>
      <c r="AR1089" s="619"/>
      <c r="AS1089" s="465" t="str">
        <f t="shared" si="626"/>
        <v/>
      </c>
      <c r="AT1089" s="465" t="str">
        <f t="shared" si="627"/>
        <v/>
      </c>
      <c r="AU1089" s="466" t="str">
        <f t="shared" si="628"/>
        <v/>
      </c>
      <c r="AV1089" s="467" t="str">
        <f t="shared" si="629"/>
        <v/>
      </c>
      <c r="AW1089" s="467" t="str">
        <f t="shared" si="630"/>
        <v/>
      </c>
      <c r="AX1089" s="467" t="str">
        <f t="shared" si="631"/>
        <v/>
      </c>
      <c r="AY1089" s="467" t="str">
        <f t="shared" si="632"/>
        <v/>
      </c>
      <c r="AZ1089" s="467" t="str">
        <f t="shared" si="633"/>
        <v/>
      </c>
      <c r="BA1089" s="468" t="str">
        <f>IF(AS1089="","",IF(OR(AU1089="",AU1089="-"),"－",IF(OR(AZ1089=8,AZ1089=9),"",IF(OR(AW1089=3,AW1089=4,AW1089=5,AW1089=6),VLOOKUP(AU1089,INDEX((係数_バス貨物_ガソリン,係数_バス貨物_CNG,係数_バス貨物_軽油,係数_バス貨物_メタノール,係数_バス貨物_LPG),MATCH(AY1089,【参考】排出係数!$AI$4:$AI$671,1),1,BE1089):INDEX((係数_バス貨物_ガソリン,係数_バス貨物_CNG,係数_バス貨物_軽油,係数_バス貨物_メタノール,係数_バス貨物_LPG),MATCH(AY1089+1,【参考】排出係数!$AI$4:$AI$671,1)-1,5,BE1089),2,FALSE),IF(OR(AW1089=1,AW1089=2),VLOOKUP(AU1089,INDEX((係数_乗用_ガソリン,係数_乗用_CNG,係数_乗用_軽油,係数_乗用_メタノール,係数_乗用_LPG),1,1,BE1089):INDEX((係数_乗用_ガソリン,係数_乗用_CNG,係数_乗用_軽油,係数_乗用_メタノール,係数_乗用_LPG),125,5,BE1089),2,FALSE))))))</f>
        <v/>
      </c>
      <c r="BB1089" s="468" t="str">
        <f>IF(T1089="","",IF(OR(AU1089="",AU1089="-"),"－",IF(OR(AZ1089=8,AZ1089=9),"",IF(OR(AW1089=3,AW1089=4,AW1089=5,AW1089=6),VLOOKUP(AU1089,INDEX((係数_バス貨物_ガソリン,係数_バス貨物_CNG,係数_バス貨物_軽油,係数_バス貨物_メタノール,係数_バス貨物_LPG),MATCH(AY1089,【参考】排出係数!$AI$4:$AI$671,1),1,BE1089):INDEX((係数_バス貨物_ガソリン,係数_バス貨物_CNG,係数_バス貨物_軽油,係数_バス貨物_メタノール,係数_バス貨物_LPG),MATCH(AY1089+1,【参考】排出係数!$AI$4:$AI$671,1)-1,5,BE1089),3,FALSE),IF(OR(AW1089=1,AW1089=2),VLOOKUP(AU1089,INDEX((係数_乗用_ガソリン,係数_乗用_CNG,係数_乗用_軽油,係数_乗用_メタノール,係数_乗用_LPG),1,1,BE1089):INDEX((係数_乗用_ガソリン,係数_乗用_CNG,係数_乗用_軽油,係数_乗用_メタノール,係数_乗用_LPG),125,5,BE1089),3,FALSE))))))</f>
        <v/>
      </c>
      <c r="BC1089" s="467" t="str">
        <f t="shared" si="634"/>
        <v/>
      </c>
      <c r="BD1089" s="567" t="str">
        <f t="shared" si="635"/>
        <v/>
      </c>
      <c r="BE1089" s="467" t="str">
        <f t="shared" si="636"/>
        <v/>
      </c>
      <c r="BF1089" s="469" t="str">
        <f t="shared" ca="1" si="637"/>
        <v/>
      </c>
      <c r="BG1089" s="469" t="str">
        <f t="shared" ca="1" si="638"/>
        <v/>
      </c>
      <c r="BH1089" s="467" t="str">
        <f t="shared" si="639"/>
        <v/>
      </c>
      <c r="BI1089" s="467" t="str">
        <f t="shared" ca="1" si="640"/>
        <v/>
      </c>
      <c r="BJ1089" s="469" t="str">
        <f t="shared" si="641"/>
        <v/>
      </c>
      <c r="BK1089" s="470" t="str">
        <f t="shared" si="625"/>
        <v/>
      </c>
      <c r="BL1089" s="775" t="str">
        <f t="shared" si="642"/>
        <v/>
      </c>
      <c r="BM1089" s="775" t="str">
        <f t="shared" si="643"/>
        <v/>
      </c>
    </row>
    <row r="1090" spans="1:65">
      <c r="A1090" s="473">
        <v>1034</v>
      </c>
      <c r="B1090" s="132"/>
      <c r="C1090" s="332"/>
      <c r="D1090" s="333"/>
      <c r="E1090" s="333"/>
      <c r="F1090" s="334"/>
      <c r="G1090" s="337"/>
      <c r="H1090" s="131"/>
      <c r="I1090" s="337"/>
      <c r="J1090" s="131"/>
      <c r="K1090" s="458" t="str">
        <f t="shared" si="606"/>
        <v/>
      </c>
      <c r="L1090" s="458">
        <f t="shared" si="607"/>
        <v>0</v>
      </c>
      <c r="M1090" s="458">
        <f t="shared" si="608"/>
        <v>0</v>
      </c>
      <c r="N1090" s="459" t="str">
        <f t="shared" si="619"/>
        <v/>
      </c>
      <c r="O1090" s="459" t="str">
        <f t="shared" si="620"/>
        <v/>
      </c>
      <c r="P1090" s="459" t="str">
        <f t="shared" si="621"/>
        <v/>
      </c>
      <c r="Q1090" s="459" t="str">
        <f t="shared" si="622"/>
        <v/>
      </c>
      <c r="R1090" s="459" t="str">
        <f t="shared" si="623"/>
        <v/>
      </c>
      <c r="S1090" s="459" t="str">
        <f t="shared" si="624"/>
        <v/>
      </c>
      <c r="T1090" s="566" t="str">
        <f t="shared" si="609"/>
        <v/>
      </c>
      <c r="U1090" s="702"/>
      <c r="V1090" s="132"/>
      <c r="W1090" s="133"/>
      <c r="X1090" s="134"/>
      <c r="Y1090" s="135"/>
      <c r="Z1090" s="137"/>
      <c r="AA1090" s="136"/>
      <c r="AB1090" s="566" t="str">
        <f t="shared" si="610"/>
        <v/>
      </c>
      <c r="AC1090" s="568" t="str">
        <f t="shared" si="611"/>
        <v/>
      </c>
      <c r="AD1090" s="137"/>
      <c r="AE1090" s="137"/>
      <c r="AF1090" s="138"/>
      <c r="AG1090" s="138"/>
      <c r="AH1090" s="592" t="str">
        <f t="shared" si="612"/>
        <v/>
      </c>
      <c r="AI1090" s="592" t="str">
        <f t="shared" si="613"/>
        <v/>
      </c>
      <c r="AJ1090" s="592" t="str">
        <f t="shared" si="614"/>
        <v/>
      </c>
      <c r="AK1090" s="460" t="str">
        <f>IF(AU1090="","",IF(OR(AZ1090=8,AZ1090=9),0,IF(OR(AW1090=3,AW1090=4,AW1090=5,AW1090=6),IF(LEFT(BF1090,1)="1",INDEX(係数_NOX・PM低減,MATCH(AY1090,【参考】排出係数!$AI$801:$AI$804,1),1),VLOOKUP(AU1090,INDEX((係数_バス貨物_ガソリン,係数_バス貨物_CNG,係数_バス貨物_軽油,係数_バス貨物_メタノール,係数_バス貨物_LPG),MATCH(AY1090,【参考】排出係数!$AI$4:$AI$671,1),1,BE1090):INDEX((係数_バス貨物_ガソリン,係数_バス貨物_CNG,係数_バス貨物_軽油,係数_バス貨物_メタノール,係数_バス貨物_LPG),MATCH(AY1090+1,【参考】排出係数!$AI$4:$AI$671,1)-1,5,BE1090),4,FALSE)),IF(AND(BE1090=3,LEFT(BF1090,1)="1"),0.48,VLOOKUP(AU1090,INDEX((係数_乗用_ガソリン,係数_乗用_CNG,係数_乗用_軽油,係数_乗用_メタノール,係数_乗用_LPG),1,1,BE1090):INDEX((係数_乗用_ガソリン,係数_乗用_CNG,係数_乗用_軽油,係数_乗用_メタノール,係数_乗用_LPG),125,5,BE1090),4,FALSE)))))</f>
        <v/>
      </c>
      <c r="AL1090" s="461" t="str">
        <f t="shared" si="615"/>
        <v/>
      </c>
      <c r="AM1090" s="460" t="str">
        <f>IF(AU1090="","",IF(OR(AZ1090=8,AZ1090=9),0,IF(OR(AW1090=3,AW1090=4,AW1090=5,AW1090=6),IF(LEFT(BH1090,1)="1",INDEX(係数_PM低減,MATCH(AY1090,【参考】排出係数!$AI$801:$AI$804,1),MATCH(BI1090,【参考】排出係数!$AL$798:$AO$798,1)),VLOOKUP(AU1090,INDEX((係数_バス貨物_ガソリン,係数_バス貨物_CNG,係数_バス貨物_軽油,係数_バス貨物_メタノール,係数_バス貨物_LPG),MATCH(AY1090,【参考】排出係数!$AI$4:$AI$671,1),1,BE1090):INDEX((係数_バス貨物_ガソリン,係数_バス貨物_CNG,係数_バス貨物_軽油,係数_バス貨物_メタノール,係数_バス貨物_LPG),MATCH(AY1090+1,【参考】排出係数!$AI$4:$AI$671,1)-1,5,BE1090),5,FALSE)),IF(AND(BE1090=3,LEFT(BF1090,1)="1"),0.055,VLOOKUP(AU1090,INDEX((係数_乗用_ガソリン,係数_乗用_CNG,係数_乗用_軽油,係数_乗用_メタノール,係数_乗用_LPG),1,1,BE1090):INDEX((係数_乗用_ガソリン,係数_乗用_CNG,係数_乗用_軽油,係数_乗用_メタノール,係数_乗用_LPG),125,5,BE1090),5,FALSE)))))</f>
        <v/>
      </c>
      <c r="AN1090" s="461" t="str">
        <f t="shared" si="616"/>
        <v/>
      </c>
      <c r="AO1090" s="462" t="str">
        <f t="shared" si="617"/>
        <v/>
      </c>
      <c r="AP1090" s="463" t="str">
        <f t="shared" si="618"/>
        <v/>
      </c>
      <c r="AQ1090" s="464"/>
      <c r="AR1090" s="619"/>
      <c r="AS1090" s="465" t="str">
        <f t="shared" si="626"/>
        <v/>
      </c>
      <c r="AT1090" s="465" t="str">
        <f t="shared" si="627"/>
        <v/>
      </c>
      <c r="AU1090" s="466" t="str">
        <f t="shared" si="628"/>
        <v/>
      </c>
      <c r="AV1090" s="467" t="str">
        <f t="shared" si="629"/>
        <v/>
      </c>
      <c r="AW1090" s="467" t="str">
        <f t="shared" si="630"/>
        <v/>
      </c>
      <c r="AX1090" s="467" t="str">
        <f t="shared" si="631"/>
        <v/>
      </c>
      <c r="AY1090" s="467" t="str">
        <f t="shared" si="632"/>
        <v/>
      </c>
      <c r="AZ1090" s="467" t="str">
        <f t="shared" si="633"/>
        <v/>
      </c>
      <c r="BA1090" s="468" t="str">
        <f>IF(AS1090="","",IF(OR(AU1090="",AU1090="-"),"－",IF(OR(AZ1090=8,AZ1090=9),"",IF(OR(AW1090=3,AW1090=4,AW1090=5,AW1090=6),VLOOKUP(AU1090,INDEX((係数_バス貨物_ガソリン,係数_バス貨物_CNG,係数_バス貨物_軽油,係数_バス貨物_メタノール,係数_バス貨物_LPG),MATCH(AY1090,【参考】排出係数!$AI$4:$AI$671,1),1,BE1090):INDEX((係数_バス貨物_ガソリン,係数_バス貨物_CNG,係数_バス貨物_軽油,係数_バス貨物_メタノール,係数_バス貨物_LPG),MATCH(AY1090+1,【参考】排出係数!$AI$4:$AI$671,1)-1,5,BE1090),2,FALSE),IF(OR(AW1090=1,AW1090=2),VLOOKUP(AU1090,INDEX((係数_乗用_ガソリン,係数_乗用_CNG,係数_乗用_軽油,係数_乗用_メタノール,係数_乗用_LPG),1,1,BE1090):INDEX((係数_乗用_ガソリン,係数_乗用_CNG,係数_乗用_軽油,係数_乗用_メタノール,係数_乗用_LPG),125,5,BE1090),2,FALSE))))))</f>
        <v/>
      </c>
      <c r="BB1090" s="468" t="str">
        <f>IF(T1090="","",IF(OR(AU1090="",AU1090="-"),"－",IF(OR(AZ1090=8,AZ1090=9),"",IF(OR(AW1090=3,AW1090=4,AW1090=5,AW1090=6),VLOOKUP(AU1090,INDEX((係数_バス貨物_ガソリン,係数_バス貨物_CNG,係数_バス貨物_軽油,係数_バス貨物_メタノール,係数_バス貨物_LPG),MATCH(AY1090,【参考】排出係数!$AI$4:$AI$671,1),1,BE1090):INDEX((係数_バス貨物_ガソリン,係数_バス貨物_CNG,係数_バス貨物_軽油,係数_バス貨物_メタノール,係数_バス貨物_LPG),MATCH(AY1090+1,【参考】排出係数!$AI$4:$AI$671,1)-1,5,BE1090),3,FALSE),IF(OR(AW1090=1,AW1090=2),VLOOKUP(AU1090,INDEX((係数_乗用_ガソリン,係数_乗用_CNG,係数_乗用_軽油,係数_乗用_メタノール,係数_乗用_LPG),1,1,BE1090):INDEX((係数_乗用_ガソリン,係数_乗用_CNG,係数_乗用_軽油,係数_乗用_メタノール,係数_乗用_LPG),125,5,BE1090),3,FALSE))))))</f>
        <v/>
      </c>
      <c r="BC1090" s="467" t="str">
        <f t="shared" si="634"/>
        <v/>
      </c>
      <c r="BD1090" s="567" t="str">
        <f t="shared" si="635"/>
        <v/>
      </c>
      <c r="BE1090" s="467" t="str">
        <f t="shared" si="636"/>
        <v/>
      </c>
      <c r="BF1090" s="469" t="str">
        <f t="shared" ca="1" si="637"/>
        <v/>
      </c>
      <c r="BG1090" s="469" t="str">
        <f t="shared" ca="1" si="638"/>
        <v/>
      </c>
      <c r="BH1090" s="467" t="str">
        <f t="shared" si="639"/>
        <v/>
      </c>
      <c r="BI1090" s="467" t="str">
        <f t="shared" ca="1" si="640"/>
        <v/>
      </c>
      <c r="BJ1090" s="469" t="str">
        <f t="shared" si="641"/>
        <v/>
      </c>
      <c r="BK1090" s="470" t="str">
        <f t="shared" si="625"/>
        <v/>
      </c>
      <c r="BL1090" s="775" t="str">
        <f t="shared" si="642"/>
        <v/>
      </c>
      <c r="BM1090" s="775" t="str">
        <f t="shared" si="643"/>
        <v/>
      </c>
    </row>
    <row r="1091" spans="1:65">
      <c r="A1091" s="473">
        <v>1035</v>
      </c>
      <c r="B1091" s="132"/>
      <c r="C1091" s="332"/>
      <c r="D1091" s="333"/>
      <c r="E1091" s="333"/>
      <c r="F1091" s="334"/>
      <c r="G1091" s="337"/>
      <c r="H1091" s="131"/>
      <c r="I1091" s="337"/>
      <c r="J1091" s="131"/>
      <c r="K1091" s="458" t="str">
        <f t="shared" si="606"/>
        <v/>
      </c>
      <c r="L1091" s="458">
        <f t="shared" si="607"/>
        <v>0</v>
      </c>
      <c r="M1091" s="458">
        <f t="shared" si="608"/>
        <v>0</v>
      </c>
      <c r="N1091" s="459" t="str">
        <f t="shared" si="619"/>
        <v/>
      </c>
      <c r="O1091" s="459" t="str">
        <f t="shared" si="620"/>
        <v/>
      </c>
      <c r="P1091" s="459" t="str">
        <f t="shared" si="621"/>
        <v/>
      </c>
      <c r="Q1091" s="459" t="str">
        <f t="shared" si="622"/>
        <v/>
      </c>
      <c r="R1091" s="459" t="str">
        <f t="shared" si="623"/>
        <v/>
      </c>
      <c r="S1091" s="459" t="str">
        <f t="shared" si="624"/>
        <v/>
      </c>
      <c r="T1091" s="566" t="str">
        <f t="shared" si="609"/>
        <v/>
      </c>
      <c r="U1091" s="702"/>
      <c r="V1091" s="132"/>
      <c r="W1091" s="133"/>
      <c r="X1091" s="134"/>
      <c r="Y1091" s="135"/>
      <c r="Z1091" s="137"/>
      <c r="AA1091" s="136"/>
      <c r="AB1091" s="566" t="str">
        <f t="shared" si="610"/>
        <v/>
      </c>
      <c r="AC1091" s="568" t="str">
        <f t="shared" si="611"/>
        <v/>
      </c>
      <c r="AD1091" s="137"/>
      <c r="AE1091" s="137"/>
      <c r="AF1091" s="138"/>
      <c r="AG1091" s="138"/>
      <c r="AH1091" s="592" t="str">
        <f t="shared" si="612"/>
        <v/>
      </c>
      <c r="AI1091" s="592" t="str">
        <f t="shared" si="613"/>
        <v/>
      </c>
      <c r="AJ1091" s="592" t="str">
        <f t="shared" si="614"/>
        <v/>
      </c>
      <c r="AK1091" s="460" t="str">
        <f>IF(AU1091="","",IF(OR(AZ1091=8,AZ1091=9),0,IF(OR(AW1091=3,AW1091=4,AW1091=5,AW1091=6),IF(LEFT(BF1091,1)="1",INDEX(係数_NOX・PM低減,MATCH(AY1091,【参考】排出係数!$AI$801:$AI$804,1),1),VLOOKUP(AU1091,INDEX((係数_バス貨物_ガソリン,係数_バス貨物_CNG,係数_バス貨物_軽油,係数_バス貨物_メタノール,係数_バス貨物_LPG),MATCH(AY1091,【参考】排出係数!$AI$4:$AI$671,1),1,BE1091):INDEX((係数_バス貨物_ガソリン,係数_バス貨物_CNG,係数_バス貨物_軽油,係数_バス貨物_メタノール,係数_バス貨物_LPG),MATCH(AY1091+1,【参考】排出係数!$AI$4:$AI$671,1)-1,5,BE1091),4,FALSE)),IF(AND(BE1091=3,LEFT(BF1091,1)="1"),0.48,VLOOKUP(AU1091,INDEX((係数_乗用_ガソリン,係数_乗用_CNG,係数_乗用_軽油,係数_乗用_メタノール,係数_乗用_LPG),1,1,BE1091):INDEX((係数_乗用_ガソリン,係数_乗用_CNG,係数_乗用_軽油,係数_乗用_メタノール,係数_乗用_LPG),125,5,BE1091),4,FALSE)))))</f>
        <v/>
      </c>
      <c r="AL1091" s="461" t="str">
        <f t="shared" si="615"/>
        <v/>
      </c>
      <c r="AM1091" s="460" t="str">
        <f>IF(AU1091="","",IF(OR(AZ1091=8,AZ1091=9),0,IF(OR(AW1091=3,AW1091=4,AW1091=5,AW1091=6),IF(LEFT(BH1091,1)="1",INDEX(係数_PM低減,MATCH(AY1091,【参考】排出係数!$AI$801:$AI$804,1),MATCH(BI1091,【参考】排出係数!$AL$798:$AO$798,1)),VLOOKUP(AU1091,INDEX((係数_バス貨物_ガソリン,係数_バス貨物_CNG,係数_バス貨物_軽油,係数_バス貨物_メタノール,係数_バス貨物_LPG),MATCH(AY1091,【参考】排出係数!$AI$4:$AI$671,1),1,BE1091):INDEX((係数_バス貨物_ガソリン,係数_バス貨物_CNG,係数_バス貨物_軽油,係数_バス貨物_メタノール,係数_バス貨物_LPG),MATCH(AY1091+1,【参考】排出係数!$AI$4:$AI$671,1)-1,5,BE1091),5,FALSE)),IF(AND(BE1091=3,LEFT(BF1091,1)="1"),0.055,VLOOKUP(AU1091,INDEX((係数_乗用_ガソリン,係数_乗用_CNG,係数_乗用_軽油,係数_乗用_メタノール,係数_乗用_LPG),1,1,BE1091):INDEX((係数_乗用_ガソリン,係数_乗用_CNG,係数_乗用_軽油,係数_乗用_メタノール,係数_乗用_LPG),125,5,BE1091),5,FALSE)))))</f>
        <v/>
      </c>
      <c r="AN1091" s="461" t="str">
        <f t="shared" si="616"/>
        <v/>
      </c>
      <c r="AO1091" s="462" t="str">
        <f t="shared" si="617"/>
        <v/>
      </c>
      <c r="AP1091" s="463" t="str">
        <f t="shared" si="618"/>
        <v/>
      </c>
      <c r="AQ1091" s="464"/>
      <c r="AR1091" s="619"/>
      <c r="AS1091" s="465" t="str">
        <f t="shared" si="626"/>
        <v/>
      </c>
      <c r="AT1091" s="465" t="str">
        <f t="shared" si="627"/>
        <v/>
      </c>
      <c r="AU1091" s="466" t="str">
        <f t="shared" si="628"/>
        <v/>
      </c>
      <c r="AV1091" s="467" t="str">
        <f t="shared" si="629"/>
        <v/>
      </c>
      <c r="AW1091" s="467" t="str">
        <f t="shared" si="630"/>
        <v/>
      </c>
      <c r="AX1091" s="467" t="str">
        <f t="shared" si="631"/>
        <v/>
      </c>
      <c r="AY1091" s="467" t="str">
        <f t="shared" si="632"/>
        <v/>
      </c>
      <c r="AZ1091" s="467" t="str">
        <f t="shared" si="633"/>
        <v/>
      </c>
      <c r="BA1091" s="468" t="str">
        <f>IF(AS1091="","",IF(OR(AU1091="",AU1091="-"),"－",IF(OR(AZ1091=8,AZ1091=9),"",IF(OR(AW1091=3,AW1091=4,AW1091=5,AW1091=6),VLOOKUP(AU1091,INDEX((係数_バス貨物_ガソリン,係数_バス貨物_CNG,係数_バス貨物_軽油,係数_バス貨物_メタノール,係数_バス貨物_LPG),MATCH(AY1091,【参考】排出係数!$AI$4:$AI$671,1),1,BE1091):INDEX((係数_バス貨物_ガソリン,係数_バス貨物_CNG,係数_バス貨物_軽油,係数_バス貨物_メタノール,係数_バス貨物_LPG),MATCH(AY1091+1,【参考】排出係数!$AI$4:$AI$671,1)-1,5,BE1091),2,FALSE),IF(OR(AW1091=1,AW1091=2),VLOOKUP(AU1091,INDEX((係数_乗用_ガソリン,係数_乗用_CNG,係数_乗用_軽油,係数_乗用_メタノール,係数_乗用_LPG),1,1,BE1091):INDEX((係数_乗用_ガソリン,係数_乗用_CNG,係数_乗用_軽油,係数_乗用_メタノール,係数_乗用_LPG),125,5,BE1091),2,FALSE))))))</f>
        <v/>
      </c>
      <c r="BB1091" s="468" t="str">
        <f>IF(T1091="","",IF(OR(AU1091="",AU1091="-"),"－",IF(OR(AZ1091=8,AZ1091=9),"",IF(OR(AW1091=3,AW1091=4,AW1091=5,AW1091=6),VLOOKUP(AU1091,INDEX((係数_バス貨物_ガソリン,係数_バス貨物_CNG,係数_バス貨物_軽油,係数_バス貨物_メタノール,係数_バス貨物_LPG),MATCH(AY1091,【参考】排出係数!$AI$4:$AI$671,1),1,BE1091):INDEX((係数_バス貨物_ガソリン,係数_バス貨物_CNG,係数_バス貨物_軽油,係数_バス貨物_メタノール,係数_バス貨物_LPG),MATCH(AY1091+1,【参考】排出係数!$AI$4:$AI$671,1)-1,5,BE1091),3,FALSE),IF(OR(AW1091=1,AW1091=2),VLOOKUP(AU1091,INDEX((係数_乗用_ガソリン,係数_乗用_CNG,係数_乗用_軽油,係数_乗用_メタノール,係数_乗用_LPG),1,1,BE1091):INDEX((係数_乗用_ガソリン,係数_乗用_CNG,係数_乗用_軽油,係数_乗用_メタノール,係数_乗用_LPG),125,5,BE1091),3,FALSE))))))</f>
        <v/>
      </c>
      <c r="BC1091" s="467" t="str">
        <f t="shared" si="634"/>
        <v/>
      </c>
      <c r="BD1091" s="567" t="str">
        <f t="shared" si="635"/>
        <v/>
      </c>
      <c r="BE1091" s="467" t="str">
        <f t="shared" si="636"/>
        <v/>
      </c>
      <c r="BF1091" s="469" t="str">
        <f t="shared" ca="1" si="637"/>
        <v/>
      </c>
      <c r="BG1091" s="469" t="str">
        <f t="shared" ca="1" si="638"/>
        <v/>
      </c>
      <c r="BH1091" s="467" t="str">
        <f t="shared" si="639"/>
        <v/>
      </c>
      <c r="BI1091" s="467" t="str">
        <f t="shared" ca="1" si="640"/>
        <v/>
      </c>
      <c r="BJ1091" s="469" t="str">
        <f t="shared" si="641"/>
        <v/>
      </c>
      <c r="BK1091" s="470" t="str">
        <f t="shared" si="625"/>
        <v/>
      </c>
      <c r="BL1091" s="775" t="str">
        <f t="shared" si="642"/>
        <v/>
      </c>
      <c r="BM1091" s="775" t="str">
        <f t="shared" si="643"/>
        <v/>
      </c>
    </row>
    <row r="1092" spans="1:65">
      <c r="A1092" s="473">
        <v>1036</v>
      </c>
      <c r="B1092" s="132"/>
      <c r="C1092" s="332"/>
      <c r="D1092" s="333"/>
      <c r="E1092" s="333"/>
      <c r="F1092" s="334"/>
      <c r="G1092" s="337"/>
      <c r="H1092" s="131"/>
      <c r="I1092" s="337"/>
      <c r="J1092" s="131"/>
      <c r="K1092" s="458" t="str">
        <f t="shared" si="606"/>
        <v/>
      </c>
      <c r="L1092" s="458">
        <f t="shared" si="607"/>
        <v>0</v>
      </c>
      <c r="M1092" s="458">
        <f t="shared" si="608"/>
        <v>0</v>
      </c>
      <c r="N1092" s="459" t="str">
        <f t="shared" si="619"/>
        <v/>
      </c>
      <c r="O1092" s="459" t="str">
        <f t="shared" si="620"/>
        <v/>
      </c>
      <c r="P1092" s="459" t="str">
        <f t="shared" si="621"/>
        <v/>
      </c>
      <c r="Q1092" s="459" t="str">
        <f t="shared" si="622"/>
        <v/>
      </c>
      <c r="R1092" s="459" t="str">
        <f t="shared" si="623"/>
        <v/>
      </c>
      <c r="S1092" s="459" t="str">
        <f t="shared" si="624"/>
        <v/>
      </c>
      <c r="T1092" s="566" t="str">
        <f t="shared" si="609"/>
        <v/>
      </c>
      <c r="U1092" s="702"/>
      <c r="V1092" s="132"/>
      <c r="W1092" s="133"/>
      <c r="X1092" s="134"/>
      <c r="Y1092" s="135"/>
      <c r="Z1092" s="137"/>
      <c r="AA1092" s="136"/>
      <c r="AB1092" s="566" t="str">
        <f t="shared" si="610"/>
        <v/>
      </c>
      <c r="AC1092" s="568" t="str">
        <f t="shared" si="611"/>
        <v/>
      </c>
      <c r="AD1092" s="137"/>
      <c r="AE1092" s="137"/>
      <c r="AF1092" s="138"/>
      <c r="AG1092" s="138"/>
      <c r="AH1092" s="592" t="str">
        <f t="shared" si="612"/>
        <v/>
      </c>
      <c r="AI1092" s="592" t="str">
        <f t="shared" si="613"/>
        <v/>
      </c>
      <c r="AJ1092" s="592" t="str">
        <f t="shared" si="614"/>
        <v/>
      </c>
      <c r="AK1092" s="460" t="str">
        <f>IF(AU1092="","",IF(OR(AZ1092=8,AZ1092=9),0,IF(OR(AW1092=3,AW1092=4,AW1092=5,AW1092=6),IF(LEFT(BF1092,1)="1",INDEX(係数_NOX・PM低減,MATCH(AY1092,【参考】排出係数!$AI$801:$AI$804,1),1),VLOOKUP(AU1092,INDEX((係数_バス貨物_ガソリン,係数_バス貨物_CNG,係数_バス貨物_軽油,係数_バス貨物_メタノール,係数_バス貨物_LPG),MATCH(AY1092,【参考】排出係数!$AI$4:$AI$671,1),1,BE1092):INDEX((係数_バス貨物_ガソリン,係数_バス貨物_CNG,係数_バス貨物_軽油,係数_バス貨物_メタノール,係数_バス貨物_LPG),MATCH(AY1092+1,【参考】排出係数!$AI$4:$AI$671,1)-1,5,BE1092),4,FALSE)),IF(AND(BE1092=3,LEFT(BF1092,1)="1"),0.48,VLOOKUP(AU1092,INDEX((係数_乗用_ガソリン,係数_乗用_CNG,係数_乗用_軽油,係数_乗用_メタノール,係数_乗用_LPG),1,1,BE1092):INDEX((係数_乗用_ガソリン,係数_乗用_CNG,係数_乗用_軽油,係数_乗用_メタノール,係数_乗用_LPG),125,5,BE1092),4,FALSE)))))</f>
        <v/>
      </c>
      <c r="AL1092" s="461" t="str">
        <f t="shared" si="615"/>
        <v/>
      </c>
      <c r="AM1092" s="460" t="str">
        <f>IF(AU1092="","",IF(OR(AZ1092=8,AZ1092=9),0,IF(OR(AW1092=3,AW1092=4,AW1092=5,AW1092=6),IF(LEFT(BH1092,1)="1",INDEX(係数_PM低減,MATCH(AY1092,【参考】排出係数!$AI$801:$AI$804,1),MATCH(BI1092,【参考】排出係数!$AL$798:$AO$798,1)),VLOOKUP(AU1092,INDEX((係数_バス貨物_ガソリン,係数_バス貨物_CNG,係数_バス貨物_軽油,係数_バス貨物_メタノール,係数_バス貨物_LPG),MATCH(AY1092,【参考】排出係数!$AI$4:$AI$671,1),1,BE1092):INDEX((係数_バス貨物_ガソリン,係数_バス貨物_CNG,係数_バス貨物_軽油,係数_バス貨物_メタノール,係数_バス貨物_LPG),MATCH(AY1092+1,【参考】排出係数!$AI$4:$AI$671,1)-1,5,BE1092),5,FALSE)),IF(AND(BE1092=3,LEFT(BF1092,1)="1"),0.055,VLOOKUP(AU1092,INDEX((係数_乗用_ガソリン,係数_乗用_CNG,係数_乗用_軽油,係数_乗用_メタノール,係数_乗用_LPG),1,1,BE1092):INDEX((係数_乗用_ガソリン,係数_乗用_CNG,係数_乗用_軽油,係数_乗用_メタノール,係数_乗用_LPG),125,5,BE1092),5,FALSE)))))</f>
        <v/>
      </c>
      <c r="AN1092" s="461" t="str">
        <f t="shared" si="616"/>
        <v/>
      </c>
      <c r="AO1092" s="462" t="str">
        <f t="shared" si="617"/>
        <v/>
      </c>
      <c r="AP1092" s="463" t="str">
        <f t="shared" si="618"/>
        <v/>
      </c>
      <c r="AQ1092" s="464"/>
      <c r="AR1092" s="619"/>
      <c r="AS1092" s="465" t="str">
        <f t="shared" si="626"/>
        <v/>
      </c>
      <c r="AT1092" s="465" t="str">
        <f t="shared" si="627"/>
        <v/>
      </c>
      <c r="AU1092" s="466" t="str">
        <f t="shared" si="628"/>
        <v/>
      </c>
      <c r="AV1092" s="467" t="str">
        <f t="shared" si="629"/>
        <v/>
      </c>
      <c r="AW1092" s="467" t="str">
        <f t="shared" si="630"/>
        <v/>
      </c>
      <c r="AX1092" s="467" t="str">
        <f t="shared" si="631"/>
        <v/>
      </c>
      <c r="AY1092" s="467" t="str">
        <f t="shared" si="632"/>
        <v/>
      </c>
      <c r="AZ1092" s="467" t="str">
        <f t="shared" si="633"/>
        <v/>
      </c>
      <c r="BA1092" s="468" t="str">
        <f>IF(AS1092="","",IF(OR(AU1092="",AU1092="-"),"－",IF(OR(AZ1092=8,AZ1092=9),"",IF(OR(AW1092=3,AW1092=4,AW1092=5,AW1092=6),VLOOKUP(AU1092,INDEX((係数_バス貨物_ガソリン,係数_バス貨物_CNG,係数_バス貨物_軽油,係数_バス貨物_メタノール,係数_バス貨物_LPG),MATCH(AY1092,【参考】排出係数!$AI$4:$AI$671,1),1,BE1092):INDEX((係数_バス貨物_ガソリン,係数_バス貨物_CNG,係数_バス貨物_軽油,係数_バス貨物_メタノール,係数_バス貨物_LPG),MATCH(AY1092+1,【参考】排出係数!$AI$4:$AI$671,1)-1,5,BE1092),2,FALSE),IF(OR(AW1092=1,AW1092=2),VLOOKUP(AU1092,INDEX((係数_乗用_ガソリン,係数_乗用_CNG,係数_乗用_軽油,係数_乗用_メタノール,係数_乗用_LPG),1,1,BE1092):INDEX((係数_乗用_ガソリン,係数_乗用_CNG,係数_乗用_軽油,係数_乗用_メタノール,係数_乗用_LPG),125,5,BE1092),2,FALSE))))))</f>
        <v/>
      </c>
      <c r="BB1092" s="468" t="str">
        <f>IF(T1092="","",IF(OR(AU1092="",AU1092="-"),"－",IF(OR(AZ1092=8,AZ1092=9),"",IF(OR(AW1092=3,AW1092=4,AW1092=5,AW1092=6),VLOOKUP(AU1092,INDEX((係数_バス貨物_ガソリン,係数_バス貨物_CNG,係数_バス貨物_軽油,係数_バス貨物_メタノール,係数_バス貨物_LPG),MATCH(AY1092,【参考】排出係数!$AI$4:$AI$671,1),1,BE1092):INDEX((係数_バス貨物_ガソリン,係数_バス貨物_CNG,係数_バス貨物_軽油,係数_バス貨物_メタノール,係数_バス貨物_LPG),MATCH(AY1092+1,【参考】排出係数!$AI$4:$AI$671,1)-1,5,BE1092),3,FALSE),IF(OR(AW1092=1,AW1092=2),VLOOKUP(AU1092,INDEX((係数_乗用_ガソリン,係数_乗用_CNG,係数_乗用_軽油,係数_乗用_メタノール,係数_乗用_LPG),1,1,BE1092):INDEX((係数_乗用_ガソリン,係数_乗用_CNG,係数_乗用_軽油,係数_乗用_メタノール,係数_乗用_LPG),125,5,BE1092),3,FALSE))))))</f>
        <v/>
      </c>
      <c r="BC1092" s="467" t="str">
        <f t="shared" si="634"/>
        <v/>
      </c>
      <c r="BD1092" s="567" t="str">
        <f t="shared" si="635"/>
        <v/>
      </c>
      <c r="BE1092" s="467" t="str">
        <f t="shared" si="636"/>
        <v/>
      </c>
      <c r="BF1092" s="469" t="str">
        <f t="shared" ca="1" si="637"/>
        <v/>
      </c>
      <c r="BG1092" s="469" t="str">
        <f t="shared" ca="1" si="638"/>
        <v/>
      </c>
      <c r="BH1092" s="467" t="str">
        <f t="shared" si="639"/>
        <v/>
      </c>
      <c r="BI1092" s="467" t="str">
        <f t="shared" ca="1" si="640"/>
        <v/>
      </c>
      <c r="BJ1092" s="469" t="str">
        <f t="shared" si="641"/>
        <v/>
      </c>
      <c r="BK1092" s="470" t="str">
        <f t="shared" si="625"/>
        <v/>
      </c>
      <c r="BL1092" s="775" t="str">
        <f t="shared" si="642"/>
        <v/>
      </c>
      <c r="BM1092" s="775" t="str">
        <f t="shared" si="643"/>
        <v/>
      </c>
    </row>
    <row r="1093" spans="1:65">
      <c r="A1093" s="473">
        <v>1037</v>
      </c>
      <c r="B1093" s="132"/>
      <c r="C1093" s="332"/>
      <c r="D1093" s="333"/>
      <c r="E1093" s="333"/>
      <c r="F1093" s="334"/>
      <c r="G1093" s="337"/>
      <c r="H1093" s="131"/>
      <c r="I1093" s="337"/>
      <c r="J1093" s="131"/>
      <c r="K1093" s="458" t="str">
        <f t="shared" si="606"/>
        <v/>
      </c>
      <c r="L1093" s="458">
        <f t="shared" si="607"/>
        <v>0</v>
      </c>
      <c r="M1093" s="458">
        <f t="shared" si="608"/>
        <v>0</v>
      </c>
      <c r="N1093" s="459" t="str">
        <f t="shared" si="619"/>
        <v/>
      </c>
      <c r="O1093" s="459" t="str">
        <f t="shared" si="620"/>
        <v/>
      </c>
      <c r="P1093" s="459" t="str">
        <f t="shared" si="621"/>
        <v/>
      </c>
      <c r="Q1093" s="459" t="str">
        <f t="shared" si="622"/>
        <v/>
      </c>
      <c r="R1093" s="459" t="str">
        <f t="shared" si="623"/>
        <v/>
      </c>
      <c r="S1093" s="459" t="str">
        <f t="shared" si="624"/>
        <v/>
      </c>
      <c r="T1093" s="566" t="str">
        <f t="shared" si="609"/>
        <v/>
      </c>
      <c r="U1093" s="702"/>
      <c r="V1093" s="132"/>
      <c r="W1093" s="133"/>
      <c r="X1093" s="134"/>
      <c r="Y1093" s="135"/>
      <c r="Z1093" s="137"/>
      <c r="AA1093" s="136"/>
      <c r="AB1093" s="566" t="str">
        <f t="shared" si="610"/>
        <v/>
      </c>
      <c r="AC1093" s="568" t="str">
        <f t="shared" si="611"/>
        <v/>
      </c>
      <c r="AD1093" s="137"/>
      <c r="AE1093" s="137"/>
      <c r="AF1093" s="138"/>
      <c r="AG1093" s="138"/>
      <c r="AH1093" s="592" t="str">
        <f t="shared" si="612"/>
        <v/>
      </c>
      <c r="AI1093" s="592" t="str">
        <f t="shared" si="613"/>
        <v/>
      </c>
      <c r="AJ1093" s="592" t="str">
        <f t="shared" si="614"/>
        <v/>
      </c>
      <c r="AK1093" s="460" t="str">
        <f>IF(AU1093="","",IF(OR(AZ1093=8,AZ1093=9),0,IF(OR(AW1093=3,AW1093=4,AW1093=5,AW1093=6),IF(LEFT(BF1093,1)="1",INDEX(係数_NOX・PM低減,MATCH(AY1093,【参考】排出係数!$AI$801:$AI$804,1),1),VLOOKUP(AU1093,INDEX((係数_バス貨物_ガソリン,係数_バス貨物_CNG,係数_バス貨物_軽油,係数_バス貨物_メタノール,係数_バス貨物_LPG),MATCH(AY1093,【参考】排出係数!$AI$4:$AI$671,1),1,BE1093):INDEX((係数_バス貨物_ガソリン,係数_バス貨物_CNG,係数_バス貨物_軽油,係数_バス貨物_メタノール,係数_バス貨物_LPG),MATCH(AY1093+1,【参考】排出係数!$AI$4:$AI$671,1)-1,5,BE1093),4,FALSE)),IF(AND(BE1093=3,LEFT(BF1093,1)="1"),0.48,VLOOKUP(AU1093,INDEX((係数_乗用_ガソリン,係数_乗用_CNG,係数_乗用_軽油,係数_乗用_メタノール,係数_乗用_LPG),1,1,BE1093):INDEX((係数_乗用_ガソリン,係数_乗用_CNG,係数_乗用_軽油,係数_乗用_メタノール,係数_乗用_LPG),125,5,BE1093),4,FALSE)))))</f>
        <v/>
      </c>
      <c r="AL1093" s="461" t="str">
        <f t="shared" si="615"/>
        <v/>
      </c>
      <c r="AM1093" s="460" t="str">
        <f>IF(AU1093="","",IF(OR(AZ1093=8,AZ1093=9),0,IF(OR(AW1093=3,AW1093=4,AW1093=5,AW1093=6),IF(LEFT(BH1093,1)="1",INDEX(係数_PM低減,MATCH(AY1093,【参考】排出係数!$AI$801:$AI$804,1),MATCH(BI1093,【参考】排出係数!$AL$798:$AO$798,1)),VLOOKUP(AU1093,INDEX((係数_バス貨物_ガソリン,係数_バス貨物_CNG,係数_バス貨物_軽油,係数_バス貨物_メタノール,係数_バス貨物_LPG),MATCH(AY1093,【参考】排出係数!$AI$4:$AI$671,1),1,BE1093):INDEX((係数_バス貨物_ガソリン,係数_バス貨物_CNG,係数_バス貨物_軽油,係数_バス貨物_メタノール,係数_バス貨物_LPG),MATCH(AY1093+1,【参考】排出係数!$AI$4:$AI$671,1)-1,5,BE1093),5,FALSE)),IF(AND(BE1093=3,LEFT(BF1093,1)="1"),0.055,VLOOKUP(AU1093,INDEX((係数_乗用_ガソリン,係数_乗用_CNG,係数_乗用_軽油,係数_乗用_メタノール,係数_乗用_LPG),1,1,BE1093):INDEX((係数_乗用_ガソリン,係数_乗用_CNG,係数_乗用_軽油,係数_乗用_メタノール,係数_乗用_LPG),125,5,BE1093),5,FALSE)))))</f>
        <v/>
      </c>
      <c r="AN1093" s="461" t="str">
        <f t="shared" si="616"/>
        <v/>
      </c>
      <c r="AO1093" s="462" t="str">
        <f t="shared" si="617"/>
        <v/>
      </c>
      <c r="AP1093" s="463" t="str">
        <f t="shared" si="618"/>
        <v/>
      </c>
      <c r="AQ1093" s="464"/>
      <c r="AR1093" s="619"/>
      <c r="AS1093" s="465" t="str">
        <f t="shared" si="626"/>
        <v/>
      </c>
      <c r="AT1093" s="465" t="str">
        <f t="shared" si="627"/>
        <v/>
      </c>
      <c r="AU1093" s="466" t="str">
        <f t="shared" si="628"/>
        <v/>
      </c>
      <c r="AV1093" s="467" t="str">
        <f t="shared" si="629"/>
        <v/>
      </c>
      <c r="AW1093" s="467" t="str">
        <f t="shared" si="630"/>
        <v/>
      </c>
      <c r="AX1093" s="467" t="str">
        <f t="shared" si="631"/>
        <v/>
      </c>
      <c r="AY1093" s="467" t="str">
        <f t="shared" si="632"/>
        <v/>
      </c>
      <c r="AZ1093" s="467" t="str">
        <f t="shared" si="633"/>
        <v/>
      </c>
      <c r="BA1093" s="468" t="str">
        <f>IF(AS1093="","",IF(OR(AU1093="",AU1093="-"),"－",IF(OR(AZ1093=8,AZ1093=9),"",IF(OR(AW1093=3,AW1093=4,AW1093=5,AW1093=6),VLOOKUP(AU1093,INDEX((係数_バス貨物_ガソリン,係数_バス貨物_CNG,係数_バス貨物_軽油,係数_バス貨物_メタノール,係数_バス貨物_LPG),MATCH(AY1093,【参考】排出係数!$AI$4:$AI$671,1),1,BE1093):INDEX((係数_バス貨物_ガソリン,係数_バス貨物_CNG,係数_バス貨物_軽油,係数_バス貨物_メタノール,係数_バス貨物_LPG),MATCH(AY1093+1,【参考】排出係数!$AI$4:$AI$671,1)-1,5,BE1093),2,FALSE),IF(OR(AW1093=1,AW1093=2),VLOOKUP(AU1093,INDEX((係数_乗用_ガソリン,係数_乗用_CNG,係数_乗用_軽油,係数_乗用_メタノール,係数_乗用_LPG),1,1,BE1093):INDEX((係数_乗用_ガソリン,係数_乗用_CNG,係数_乗用_軽油,係数_乗用_メタノール,係数_乗用_LPG),125,5,BE1093),2,FALSE))))))</f>
        <v/>
      </c>
      <c r="BB1093" s="468" t="str">
        <f>IF(T1093="","",IF(OR(AU1093="",AU1093="-"),"－",IF(OR(AZ1093=8,AZ1093=9),"",IF(OR(AW1093=3,AW1093=4,AW1093=5,AW1093=6),VLOOKUP(AU1093,INDEX((係数_バス貨物_ガソリン,係数_バス貨物_CNG,係数_バス貨物_軽油,係数_バス貨物_メタノール,係数_バス貨物_LPG),MATCH(AY1093,【参考】排出係数!$AI$4:$AI$671,1),1,BE1093):INDEX((係数_バス貨物_ガソリン,係数_バス貨物_CNG,係数_バス貨物_軽油,係数_バス貨物_メタノール,係数_バス貨物_LPG),MATCH(AY1093+1,【参考】排出係数!$AI$4:$AI$671,1)-1,5,BE1093),3,FALSE),IF(OR(AW1093=1,AW1093=2),VLOOKUP(AU1093,INDEX((係数_乗用_ガソリン,係数_乗用_CNG,係数_乗用_軽油,係数_乗用_メタノール,係数_乗用_LPG),1,1,BE1093):INDEX((係数_乗用_ガソリン,係数_乗用_CNG,係数_乗用_軽油,係数_乗用_メタノール,係数_乗用_LPG),125,5,BE1093),3,FALSE))))))</f>
        <v/>
      </c>
      <c r="BC1093" s="467" t="str">
        <f t="shared" si="634"/>
        <v/>
      </c>
      <c r="BD1093" s="567" t="str">
        <f t="shared" si="635"/>
        <v/>
      </c>
      <c r="BE1093" s="467" t="str">
        <f t="shared" si="636"/>
        <v/>
      </c>
      <c r="BF1093" s="469" t="str">
        <f t="shared" ca="1" si="637"/>
        <v/>
      </c>
      <c r="BG1093" s="469" t="str">
        <f t="shared" ca="1" si="638"/>
        <v/>
      </c>
      <c r="BH1093" s="467" t="str">
        <f t="shared" si="639"/>
        <v/>
      </c>
      <c r="BI1093" s="467" t="str">
        <f t="shared" ca="1" si="640"/>
        <v/>
      </c>
      <c r="BJ1093" s="469" t="str">
        <f t="shared" si="641"/>
        <v/>
      </c>
      <c r="BK1093" s="470" t="str">
        <f t="shared" si="625"/>
        <v/>
      </c>
      <c r="BL1093" s="775" t="str">
        <f t="shared" si="642"/>
        <v/>
      </c>
      <c r="BM1093" s="775" t="str">
        <f t="shared" si="643"/>
        <v/>
      </c>
    </row>
    <row r="1094" spans="1:65">
      <c r="A1094" s="473">
        <v>1038</v>
      </c>
      <c r="B1094" s="132"/>
      <c r="C1094" s="332"/>
      <c r="D1094" s="333"/>
      <c r="E1094" s="333"/>
      <c r="F1094" s="334"/>
      <c r="G1094" s="337"/>
      <c r="H1094" s="131"/>
      <c r="I1094" s="337"/>
      <c r="J1094" s="131"/>
      <c r="K1094" s="458" t="str">
        <f t="shared" si="606"/>
        <v/>
      </c>
      <c r="L1094" s="458">
        <f t="shared" si="607"/>
        <v>0</v>
      </c>
      <c r="M1094" s="458">
        <f t="shared" si="608"/>
        <v>0</v>
      </c>
      <c r="N1094" s="459" t="str">
        <f t="shared" si="619"/>
        <v/>
      </c>
      <c r="O1094" s="459" t="str">
        <f t="shared" si="620"/>
        <v/>
      </c>
      <c r="P1094" s="459" t="str">
        <f t="shared" si="621"/>
        <v/>
      </c>
      <c r="Q1094" s="459" t="str">
        <f t="shared" si="622"/>
        <v/>
      </c>
      <c r="R1094" s="459" t="str">
        <f t="shared" si="623"/>
        <v/>
      </c>
      <c r="S1094" s="459" t="str">
        <f t="shared" si="624"/>
        <v/>
      </c>
      <c r="T1094" s="566" t="str">
        <f t="shared" si="609"/>
        <v/>
      </c>
      <c r="U1094" s="702"/>
      <c r="V1094" s="132"/>
      <c r="W1094" s="133"/>
      <c r="X1094" s="134"/>
      <c r="Y1094" s="135"/>
      <c r="Z1094" s="137"/>
      <c r="AA1094" s="136"/>
      <c r="AB1094" s="566" t="str">
        <f t="shared" si="610"/>
        <v/>
      </c>
      <c r="AC1094" s="568" t="str">
        <f t="shared" si="611"/>
        <v/>
      </c>
      <c r="AD1094" s="137"/>
      <c r="AE1094" s="137"/>
      <c r="AF1094" s="138"/>
      <c r="AG1094" s="138"/>
      <c r="AH1094" s="592" t="str">
        <f t="shared" si="612"/>
        <v/>
      </c>
      <c r="AI1094" s="592" t="str">
        <f t="shared" si="613"/>
        <v/>
      </c>
      <c r="AJ1094" s="592" t="str">
        <f t="shared" si="614"/>
        <v/>
      </c>
      <c r="AK1094" s="460" t="str">
        <f>IF(AU1094="","",IF(OR(AZ1094=8,AZ1094=9),0,IF(OR(AW1094=3,AW1094=4,AW1094=5,AW1094=6),IF(LEFT(BF1094,1)="1",INDEX(係数_NOX・PM低減,MATCH(AY1094,【参考】排出係数!$AI$801:$AI$804,1),1),VLOOKUP(AU1094,INDEX((係数_バス貨物_ガソリン,係数_バス貨物_CNG,係数_バス貨物_軽油,係数_バス貨物_メタノール,係数_バス貨物_LPG),MATCH(AY1094,【参考】排出係数!$AI$4:$AI$671,1),1,BE1094):INDEX((係数_バス貨物_ガソリン,係数_バス貨物_CNG,係数_バス貨物_軽油,係数_バス貨物_メタノール,係数_バス貨物_LPG),MATCH(AY1094+1,【参考】排出係数!$AI$4:$AI$671,1)-1,5,BE1094),4,FALSE)),IF(AND(BE1094=3,LEFT(BF1094,1)="1"),0.48,VLOOKUP(AU1094,INDEX((係数_乗用_ガソリン,係数_乗用_CNG,係数_乗用_軽油,係数_乗用_メタノール,係数_乗用_LPG),1,1,BE1094):INDEX((係数_乗用_ガソリン,係数_乗用_CNG,係数_乗用_軽油,係数_乗用_メタノール,係数_乗用_LPG),125,5,BE1094),4,FALSE)))))</f>
        <v/>
      </c>
      <c r="AL1094" s="461" t="str">
        <f t="shared" si="615"/>
        <v/>
      </c>
      <c r="AM1094" s="460" t="str">
        <f>IF(AU1094="","",IF(OR(AZ1094=8,AZ1094=9),0,IF(OR(AW1094=3,AW1094=4,AW1094=5,AW1094=6),IF(LEFT(BH1094,1)="1",INDEX(係数_PM低減,MATCH(AY1094,【参考】排出係数!$AI$801:$AI$804,1),MATCH(BI1094,【参考】排出係数!$AL$798:$AO$798,1)),VLOOKUP(AU1094,INDEX((係数_バス貨物_ガソリン,係数_バス貨物_CNG,係数_バス貨物_軽油,係数_バス貨物_メタノール,係数_バス貨物_LPG),MATCH(AY1094,【参考】排出係数!$AI$4:$AI$671,1),1,BE1094):INDEX((係数_バス貨物_ガソリン,係数_バス貨物_CNG,係数_バス貨物_軽油,係数_バス貨物_メタノール,係数_バス貨物_LPG),MATCH(AY1094+1,【参考】排出係数!$AI$4:$AI$671,1)-1,5,BE1094),5,FALSE)),IF(AND(BE1094=3,LEFT(BF1094,1)="1"),0.055,VLOOKUP(AU1094,INDEX((係数_乗用_ガソリン,係数_乗用_CNG,係数_乗用_軽油,係数_乗用_メタノール,係数_乗用_LPG),1,1,BE1094):INDEX((係数_乗用_ガソリン,係数_乗用_CNG,係数_乗用_軽油,係数_乗用_メタノール,係数_乗用_LPG),125,5,BE1094),5,FALSE)))))</f>
        <v/>
      </c>
      <c r="AN1094" s="461" t="str">
        <f t="shared" si="616"/>
        <v/>
      </c>
      <c r="AO1094" s="462" t="str">
        <f t="shared" si="617"/>
        <v/>
      </c>
      <c r="AP1094" s="463" t="str">
        <f t="shared" si="618"/>
        <v/>
      </c>
      <c r="AQ1094" s="464"/>
      <c r="AR1094" s="619"/>
      <c r="AS1094" s="465" t="str">
        <f t="shared" si="626"/>
        <v/>
      </c>
      <c r="AT1094" s="465" t="str">
        <f t="shared" si="627"/>
        <v/>
      </c>
      <c r="AU1094" s="466" t="str">
        <f t="shared" si="628"/>
        <v/>
      </c>
      <c r="AV1094" s="467" t="str">
        <f t="shared" si="629"/>
        <v/>
      </c>
      <c r="AW1094" s="467" t="str">
        <f t="shared" si="630"/>
        <v/>
      </c>
      <c r="AX1094" s="467" t="str">
        <f t="shared" si="631"/>
        <v/>
      </c>
      <c r="AY1094" s="467" t="str">
        <f t="shared" si="632"/>
        <v/>
      </c>
      <c r="AZ1094" s="467" t="str">
        <f t="shared" si="633"/>
        <v/>
      </c>
      <c r="BA1094" s="468" t="str">
        <f>IF(AS1094="","",IF(OR(AU1094="",AU1094="-"),"－",IF(OR(AZ1094=8,AZ1094=9),"",IF(OR(AW1094=3,AW1094=4,AW1094=5,AW1094=6),VLOOKUP(AU1094,INDEX((係数_バス貨物_ガソリン,係数_バス貨物_CNG,係数_バス貨物_軽油,係数_バス貨物_メタノール,係数_バス貨物_LPG),MATCH(AY1094,【参考】排出係数!$AI$4:$AI$671,1),1,BE1094):INDEX((係数_バス貨物_ガソリン,係数_バス貨物_CNG,係数_バス貨物_軽油,係数_バス貨物_メタノール,係数_バス貨物_LPG),MATCH(AY1094+1,【参考】排出係数!$AI$4:$AI$671,1)-1,5,BE1094),2,FALSE),IF(OR(AW1094=1,AW1094=2),VLOOKUP(AU1094,INDEX((係数_乗用_ガソリン,係数_乗用_CNG,係数_乗用_軽油,係数_乗用_メタノール,係数_乗用_LPG),1,1,BE1094):INDEX((係数_乗用_ガソリン,係数_乗用_CNG,係数_乗用_軽油,係数_乗用_メタノール,係数_乗用_LPG),125,5,BE1094),2,FALSE))))))</f>
        <v/>
      </c>
      <c r="BB1094" s="468" t="str">
        <f>IF(T1094="","",IF(OR(AU1094="",AU1094="-"),"－",IF(OR(AZ1094=8,AZ1094=9),"",IF(OR(AW1094=3,AW1094=4,AW1094=5,AW1094=6),VLOOKUP(AU1094,INDEX((係数_バス貨物_ガソリン,係数_バス貨物_CNG,係数_バス貨物_軽油,係数_バス貨物_メタノール,係数_バス貨物_LPG),MATCH(AY1094,【参考】排出係数!$AI$4:$AI$671,1),1,BE1094):INDEX((係数_バス貨物_ガソリン,係数_バス貨物_CNG,係数_バス貨物_軽油,係数_バス貨物_メタノール,係数_バス貨物_LPG),MATCH(AY1094+1,【参考】排出係数!$AI$4:$AI$671,1)-1,5,BE1094),3,FALSE),IF(OR(AW1094=1,AW1094=2),VLOOKUP(AU1094,INDEX((係数_乗用_ガソリン,係数_乗用_CNG,係数_乗用_軽油,係数_乗用_メタノール,係数_乗用_LPG),1,1,BE1094):INDEX((係数_乗用_ガソリン,係数_乗用_CNG,係数_乗用_軽油,係数_乗用_メタノール,係数_乗用_LPG),125,5,BE1094),3,FALSE))))))</f>
        <v/>
      </c>
      <c r="BC1094" s="467" t="str">
        <f t="shared" si="634"/>
        <v/>
      </c>
      <c r="BD1094" s="567" t="str">
        <f t="shared" si="635"/>
        <v/>
      </c>
      <c r="BE1094" s="467" t="str">
        <f t="shared" si="636"/>
        <v/>
      </c>
      <c r="BF1094" s="469" t="str">
        <f t="shared" ca="1" si="637"/>
        <v/>
      </c>
      <c r="BG1094" s="469" t="str">
        <f t="shared" ca="1" si="638"/>
        <v/>
      </c>
      <c r="BH1094" s="467" t="str">
        <f t="shared" si="639"/>
        <v/>
      </c>
      <c r="BI1094" s="467" t="str">
        <f t="shared" ca="1" si="640"/>
        <v/>
      </c>
      <c r="BJ1094" s="469" t="str">
        <f t="shared" si="641"/>
        <v/>
      </c>
      <c r="BK1094" s="470" t="str">
        <f t="shared" si="625"/>
        <v/>
      </c>
      <c r="BL1094" s="775" t="str">
        <f t="shared" si="642"/>
        <v/>
      </c>
      <c r="BM1094" s="775" t="str">
        <f t="shared" si="643"/>
        <v/>
      </c>
    </row>
    <row r="1095" spans="1:65">
      <c r="A1095" s="473">
        <v>1039</v>
      </c>
      <c r="B1095" s="132"/>
      <c r="C1095" s="332"/>
      <c r="D1095" s="333"/>
      <c r="E1095" s="333"/>
      <c r="F1095" s="334"/>
      <c r="G1095" s="337"/>
      <c r="H1095" s="131"/>
      <c r="I1095" s="337"/>
      <c r="J1095" s="131"/>
      <c r="K1095" s="458" t="str">
        <f t="shared" si="606"/>
        <v/>
      </c>
      <c r="L1095" s="458">
        <f t="shared" si="607"/>
        <v>0</v>
      </c>
      <c r="M1095" s="458">
        <f t="shared" si="608"/>
        <v>0</v>
      </c>
      <c r="N1095" s="459" t="str">
        <f t="shared" si="619"/>
        <v/>
      </c>
      <c r="O1095" s="459" t="str">
        <f t="shared" si="620"/>
        <v/>
      </c>
      <c r="P1095" s="459" t="str">
        <f t="shared" si="621"/>
        <v/>
      </c>
      <c r="Q1095" s="459" t="str">
        <f t="shared" si="622"/>
        <v/>
      </c>
      <c r="R1095" s="459" t="str">
        <f t="shared" si="623"/>
        <v/>
      </c>
      <c r="S1095" s="459" t="str">
        <f t="shared" si="624"/>
        <v/>
      </c>
      <c r="T1095" s="566" t="str">
        <f t="shared" si="609"/>
        <v/>
      </c>
      <c r="U1095" s="702"/>
      <c r="V1095" s="132"/>
      <c r="W1095" s="133"/>
      <c r="X1095" s="134"/>
      <c r="Y1095" s="135"/>
      <c r="Z1095" s="137"/>
      <c r="AA1095" s="136"/>
      <c r="AB1095" s="566" t="str">
        <f t="shared" si="610"/>
        <v/>
      </c>
      <c r="AC1095" s="568" t="str">
        <f t="shared" si="611"/>
        <v/>
      </c>
      <c r="AD1095" s="137"/>
      <c r="AE1095" s="137"/>
      <c r="AF1095" s="138"/>
      <c r="AG1095" s="138"/>
      <c r="AH1095" s="592" t="str">
        <f t="shared" si="612"/>
        <v/>
      </c>
      <c r="AI1095" s="592" t="str">
        <f t="shared" si="613"/>
        <v/>
      </c>
      <c r="AJ1095" s="592" t="str">
        <f t="shared" si="614"/>
        <v/>
      </c>
      <c r="AK1095" s="460" t="str">
        <f>IF(AU1095="","",IF(OR(AZ1095=8,AZ1095=9),0,IF(OR(AW1095=3,AW1095=4,AW1095=5,AW1095=6),IF(LEFT(BF1095,1)="1",INDEX(係数_NOX・PM低減,MATCH(AY1095,【参考】排出係数!$AI$801:$AI$804,1),1),VLOOKUP(AU1095,INDEX((係数_バス貨物_ガソリン,係数_バス貨物_CNG,係数_バス貨物_軽油,係数_バス貨物_メタノール,係数_バス貨物_LPG),MATCH(AY1095,【参考】排出係数!$AI$4:$AI$671,1),1,BE1095):INDEX((係数_バス貨物_ガソリン,係数_バス貨物_CNG,係数_バス貨物_軽油,係数_バス貨物_メタノール,係数_バス貨物_LPG),MATCH(AY1095+1,【参考】排出係数!$AI$4:$AI$671,1)-1,5,BE1095),4,FALSE)),IF(AND(BE1095=3,LEFT(BF1095,1)="1"),0.48,VLOOKUP(AU1095,INDEX((係数_乗用_ガソリン,係数_乗用_CNG,係数_乗用_軽油,係数_乗用_メタノール,係数_乗用_LPG),1,1,BE1095):INDEX((係数_乗用_ガソリン,係数_乗用_CNG,係数_乗用_軽油,係数_乗用_メタノール,係数_乗用_LPG),125,5,BE1095),4,FALSE)))))</f>
        <v/>
      </c>
      <c r="AL1095" s="461" t="str">
        <f t="shared" si="615"/>
        <v/>
      </c>
      <c r="AM1095" s="460" t="str">
        <f>IF(AU1095="","",IF(OR(AZ1095=8,AZ1095=9),0,IF(OR(AW1095=3,AW1095=4,AW1095=5,AW1095=6),IF(LEFT(BH1095,1)="1",INDEX(係数_PM低減,MATCH(AY1095,【参考】排出係数!$AI$801:$AI$804,1),MATCH(BI1095,【参考】排出係数!$AL$798:$AO$798,1)),VLOOKUP(AU1095,INDEX((係数_バス貨物_ガソリン,係数_バス貨物_CNG,係数_バス貨物_軽油,係数_バス貨物_メタノール,係数_バス貨物_LPG),MATCH(AY1095,【参考】排出係数!$AI$4:$AI$671,1),1,BE1095):INDEX((係数_バス貨物_ガソリン,係数_バス貨物_CNG,係数_バス貨物_軽油,係数_バス貨物_メタノール,係数_バス貨物_LPG),MATCH(AY1095+1,【参考】排出係数!$AI$4:$AI$671,1)-1,5,BE1095),5,FALSE)),IF(AND(BE1095=3,LEFT(BF1095,1)="1"),0.055,VLOOKUP(AU1095,INDEX((係数_乗用_ガソリン,係数_乗用_CNG,係数_乗用_軽油,係数_乗用_メタノール,係数_乗用_LPG),1,1,BE1095):INDEX((係数_乗用_ガソリン,係数_乗用_CNG,係数_乗用_軽油,係数_乗用_メタノール,係数_乗用_LPG),125,5,BE1095),5,FALSE)))))</f>
        <v/>
      </c>
      <c r="AN1095" s="461" t="str">
        <f t="shared" si="616"/>
        <v/>
      </c>
      <c r="AO1095" s="462" t="str">
        <f t="shared" si="617"/>
        <v/>
      </c>
      <c r="AP1095" s="463" t="str">
        <f t="shared" si="618"/>
        <v/>
      </c>
      <c r="AQ1095" s="464"/>
      <c r="AR1095" s="619"/>
      <c r="AS1095" s="465" t="str">
        <f t="shared" si="626"/>
        <v/>
      </c>
      <c r="AT1095" s="465" t="str">
        <f t="shared" si="627"/>
        <v/>
      </c>
      <c r="AU1095" s="466" t="str">
        <f t="shared" si="628"/>
        <v/>
      </c>
      <c r="AV1095" s="467" t="str">
        <f t="shared" si="629"/>
        <v/>
      </c>
      <c r="AW1095" s="467" t="str">
        <f t="shared" si="630"/>
        <v/>
      </c>
      <c r="AX1095" s="467" t="str">
        <f t="shared" si="631"/>
        <v/>
      </c>
      <c r="AY1095" s="467" t="str">
        <f t="shared" si="632"/>
        <v/>
      </c>
      <c r="AZ1095" s="467" t="str">
        <f t="shared" si="633"/>
        <v/>
      </c>
      <c r="BA1095" s="468" t="str">
        <f>IF(AS1095="","",IF(OR(AU1095="",AU1095="-"),"－",IF(OR(AZ1095=8,AZ1095=9),"",IF(OR(AW1095=3,AW1095=4,AW1095=5,AW1095=6),VLOOKUP(AU1095,INDEX((係数_バス貨物_ガソリン,係数_バス貨物_CNG,係数_バス貨物_軽油,係数_バス貨物_メタノール,係数_バス貨物_LPG),MATCH(AY1095,【参考】排出係数!$AI$4:$AI$671,1),1,BE1095):INDEX((係数_バス貨物_ガソリン,係数_バス貨物_CNG,係数_バス貨物_軽油,係数_バス貨物_メタノール,係数_バス貨物_LPG),MATCH(AY1095+1,【参考】排出係数!$AI$4:$AI$671,1)-1,5,BE1095),2,FALSE),IF(OR(AW1095=1,AW1095=2),VLOOKUP(AU1095,INDEX((係数_乗用_ガソリン,係数_乗用_CNG,係数_乗用_軽油,係数_乗用_メタノール,係数_乗用_LPG),1,1,BE1095):INDEX((係数_乗用_ガソリン,係数_乗用_CNG,係数_乗用_軽油,係数_乗用_メタノール,係数_乗用_LPG),125,5,BE1095),2,FALSE))))))</f>
        <v/>
      </c>
      <c r="BB1095" s="468" t="str">
        <f>IF(T1095="","",IF(OR(AU1095="",AU1095="-"),"－",IF(OR(AZ1095=8,AZ1095=9),"",IF(OR(AW1095=3,AW1095=4,AW1095=5,AW1095=6),VLOOKUP(AU1095,INDEX((係数_バス貨物_ガソリン,係数_バス貨物_CNG,係数_バス貨物_軽油,係数_バス貨物_メタノール,係数_バス貨物_LPG),MATCH(AY1095,【参考】排出係数!$AI$4:$AI$671,1),1,BE1095):INDEX((係数_バス貨物_ガソリン,係数_バス貨物_CNG,係数_バス貨物_軽油,係数_バス貨物_メタノール,係数_バス貨物_LPG),MATCH(AY1095+1,【参考】排出係数!$AI$4:$AI$671,1)-1,5,BE1095),3,FALSE),IF(OR(AW1095=1,AW1095=2),VLOOKUP(AU1095,INDEX((係数_乗用_ガソリン,係数_乗用_CNG,係数_乗用_軽油,係数_乗用_メタノール,係数_乗用_LPG),1,1,BE1095):INDEX((係数_乗用_ガソリン,係数_乗用_CNG,係数_乗用_軽油,係数_乗用_メタノール,係数_乗用_LPG),125,5,BE1095),3,FALSE))))))</f>
        <v/>
      </c>
      <c r="BC1095" s="467" t="str">
        <f t="shared" si="634"/>
        <v/>
      </c>
      <c r="BD1095" s="567" t="str">
        <f t="shared" si="635"/>
        <v/>
      </c>
      <c r="BE1095" s="467" t="str">
        <f t="shared" si="636"/>
        <v/>
      </c>
      <c r="BF1095" s="469" t="str">
        <f t="shared" ca="1" si="637"/>
        <v/>
      </c>
      <c r="BG1095" s="469" t="str">
        <f t="shared" ca="1" si="638"/>
        <v/>
      </c>
      <c r="BH1095" s="467" t="str">
        <f t="shared" si="639"/>
        <v/>
      </c>
      <c r="BI1095" s="467" t="str">
        <f t="shared" ca="1" si="640"/>
        <v/>
      </c>
      <c r="BJ1095" s="469" t="str">
        <f t="shared" si="641"/>
        <v/>
      </c>
      <c r="BK1095" s="470" t="str">
        <f t="shared" si="625"/>
        <v/>
      </c>
      <c r="BL1095" s="775" t="str">
        <f t="shared" si="642"/>
        <v/>
      </c>
      <c r="BM1095" s="775" t="str">
        <f t="shared" si="643"/>
        <v/>
      </c>
    </row>
    <row r="1096" spans="1:65">
      <c r="A1096" s="473">
        <v>1040</v>
      </c>
      <c r="B1096" s="132"/>
      <c r="C1096" s="332"/>
      <c r="D1096" s="333"/>
      <c r="E1096" s="333"/>
      <c r="F1096" s="334"/>
      <c r="G1096" s="337"/>
      <c r="H1096" s="131"/>
      <c r="I1096" s="337"/>
      <c r="J1096" s="131"/>
      <c r="K1096" s="458" t="str">
        <f t="shared" si="606"/>
        <v/>
      </c>
      <c r="L1096" s="458">
        <f t="shared" si="607"/>
        <v>0</v>
      </c>
      <c r="M1096" s="458">
        <f t="shared" si="608"/>
        <v>0</v>
      </c>
      <c r="N1096" s="459" t="str">
        <f t="shared" si="619"/>
        <v/>
      </c>
      <c r="O1096" s="459" t="str">
        <f t="shared" si="620"/>
        <v/>
      </c>
      <c r="P1096" s="459" t="str">
        <f t="shared" si="621"/>
        <v/>
      </c>
      <c r="Q1096" s="459" t="str">
        <f t="shared" si="622"/>
        <v/>
      </c>
      <c r="R1096" s="459" t="str">
        <f t="shared" si="623"/>
        <v/>
      </c>
      <c r="S1096" s="459" t="str">
        <f t="shared" si="624"/>
        <v/>
      </c>
      <c r="T1096" s="566" t="str">
        <f t="shared" si="609"/>
        <v/>
      </c>
      <c r="U1096" s="702"/>
      <c r="V1096" s="132"/>
      <c r="W1096" s="133"/>
      <c r="X1096" s="134"/>
      <c r="Y1096" s="135"/>
      <c r="Z1096" s="137"/>
      <c r="AA1096" s="136"/>
      <c r="AB1096" s="566" t="str">
        <f t="shared" si="610"/>
        <v/>
      </c>
      <c r="AC1096" s="568" t="str">
        <f t="shared" si="611"/>
        <v/>
      </c>
      <c r="AD1096" s="137"/>
      <c r="AE1096" s="137"/>
      <c r="AF1096" s="138"/>
      <c r="AG1096" s="138"/>
      <c r="AH1096" s="592" t="str">
        <f t="shared" si="612"/>
        <v/>
      </c>
      <c r="AI1096" s="592" t="str">
        <f t="shared" si="613"/>
        <v/>
      </c>
      <c r="AJ1096" s="592" t="str">
        <f t="shared" si="614"/>
        <v/>
      </c>
      <c r="AK1096" s="460" t="str">
        <f>IF(AU1096="","",IF(OR(AZ1096=8,AZ1096=9),0,IF(OR(AW1096=3,AW1096=4,AW1096=5,AW1096=6),IF(LEFT(BF1096,1)="1",INDEX(係数_NOX・PM低減,MATCH(AY1096,【参考】排出係数!$AI$801:$AI$804,1),1),VLOOKUP(AU1096,INDEX((係数_バス貨物_ガソリン,係数_バス貨物_CNG,係数_バス貨物_軽油,係数_バス貨物_メタノール,係数_バス貨物_LPG),MATCH(AY1096,【参考】排出係数!$AI$4:$AI$671,1),1,BE1096):INDEX((係数_バス貨物_ガソリン,係数_バス貨物_CNG,係数_バス貨物_軽油,係数_バス貨物_メタノール,係数_バス貨物_LPG),MATCH(AY1096+1,【参考】排出係数!$AI$4:$AI$671,1)-1,5,BE1096),4,FALSE)),IF(AND(BE1096=3,LEFT(BF1096,1)="1"),0.48,VLOOKUP(AU1096,INDEX((係数_乗用_ガソリン,係数_乗用_CNG,係数_乗用_軽油,係数_乗用_メタノール,係数_乗用_LPG),1,1,BE1096):INDEX((係数_乗用_ガソリン,係数_乗用_CNG,係数_乗用_軽油,係数_乗用_メタノール,係数_乗用_LPG),125,5,BE1096),4,FALSE)))))</f>
        <v/>
      </c>
      <c r="AL1096" s="461" t="str">
        <f t="shared" si="615"/>
        <v/>
      </c>
      <c r="AM1096" s="460" t="str">
        <f>IF(AU1096="","",IF(OR(AZ1096=8,AZ1096=9),0,IF(OR(AW1096=3,AW1096=4,AW1096=5,AW1096=6),IF(LEFT(BH1096,1)="1",INDEX(係数_PM低減,MATCH(AY1096,【参考】排出係数!$AI$801:$AI$804,1),MATCH(BI1096,【参考】排出係数!$AL$798:$AO$798,1)),VLOOKUP(AU1096,INDEX((係数_バス貨物_ガソリン,係数_バス貨物_CNG,係数_バス貨物_軽油,係数_バス貨物_メタノール,係数_バス貨物_LPG),MATCH(AY1096,【参考】排出係数!$AI$4:$AI$671,1),1,BE1096):INDEX((係数_バス貨物_ガソリン,係数_バス貨物_CNG,係数_バス貨物_軽油,係数_バス貨物_メタノール,係数_バス貨物_LPG),MATCH(AY1096+1,【参考】排出係数!$AI$4:$AI$671,1)-1,5,BE1096),5,FALSE)),IF(AND(BE1096=3,LEFT(BF1096,1)="1"),0.055,VLOOKUP(AU1096,INDEX((係数_乗用_ガソリン,係数_乗用_CNG,係数_乗用_軽油,係数_乗用_メタノール,係数_乗用_LPG),1,1,BE1096):INDEX((係数_乗用_ガソリン,係数_乗用_CNG,係数_乗用_軽油,係数_乗用_メタノール,係数_乗用_LPG),125,5,BE1096),5,FALSE)))))</f>
        <v/>
      </c>
      <c r="AN1096" s="461" t="str">
        <f t="shared" si="616"/>
        <v/>
      </c>
      <c r="AO1096" s="462" t="str">
        <f t="shared" si="617"/>
        <v/>
      </c>
      <c r="AP1096" s="463" t="str">
        <f t="shared" si="618"/>
        <v/>
      </c>
      <c r="AQ1096" s="464"/>
      <c r="AR1096" s="619"/>
      <c r="AS1096" s="465" t="str">
        <f t="shared" si="626"/>
        <v/>
      </c>
      <c r="AT1096" s="465" t="str">
        <f t="shared" si="627"/>
        <v/>
      </c>
      <c r="AU1096" s="466" t="str">
        <f t="shared" si="628"/>
        <v/>
      </c>
      <c r="AV1096" s="467" t="str">
        <f t="shared" si="629"/>
        <v/>
      </c>
      <c r="AW1096" s="467" t="str">
        <f t="shared" si="630"/>
        <v/>
      </c>
      <c r="AX1096" s="467" t="str">
        <f t="shared" si="631"/>
        <v/>
      </c>
      <c r="AY1096" s="467" t="str">
        <f t="shared" si="632"/>
        <v/>
      </c>
      <c r="AZ1096" s="467" t="str">
        <f t="shared" si="633"/>
        <v/>
      </c>
      <c r="BA1096" s="468" t="str">
        <f>IF(AS1096="","",IF(OR(AU1096="",AU1096="-"),"－",IF(OR(AZ1096=8,AZ1096=9),"",IF(OR(AW1096=3,AW1096=4,AW1096=5,AW1096=6),VLOOKUP(AU1096,INDEX((係数_バス貨物_ガソリン,係数_バス貨物_CNG,係数_バス貨物_軽油,係数_バス貨物_メタノール,係数_バス貨物_LPG),MATCH(AY1096,【参考】排出係数!$AI$4:$AI$671,1),1,BE1096):INDEX((係数_バス貨物_ガソリン,係数_バス貨物_CNG,係数_バス貨物_軽油,係数_バス貨物_メタノール,係数_バス貨物_LPG),MATCH(AY1096+1,【参考】排出係数!$AI$4:$AI$671,1)-1,5,BE1096),2,FALSE),IF(OR(AW1096=1,AW1096=2),VLOOKUP(AU1096,INDEX((係数_乗用_ガソリン,係数_乗用_CNG,係数_乗用_軽油,係数_乗用_メタノール,係数_乗用_LPG),1,1,BE1096):INDEX((係数_乗用_ガソリン,係数_乗用_CNG,係数_乗用_軽油,係数_乗用_メタノール,係数_乗用_LPG),125,5,BE1096),2,FALSE))))))</f>
        <v/>
      </c>
      <c r="BB1096" s="468" t="str">
        <f>IF(T1096="","",IF(OR(AU1096="",AU1096="-"),"－",IF(OR(AZ1096=8,AZ1096=9),"",IF(OR(AW1096=3,AW1096=4,AW1096=5,AW1096=6),VLOOKUP(AU1096,INDEX((係数_バス貨物_ガソリン,係数_バス貨物_CNG,係数_バス貨物_軽油,係数_バス貨物_メタノール,係数_バス貨物_LPG),MATCH(AY1096,【参考】排出係数!$AI$4:$AI$671,1),1,BE1096):INDEX((係数_バス貨物_ガソリン,係数_バス貨物_CNG,係数_バス貨物_軽油,係数_バス貨物_メタノール,係数_バス貨物_LPG),MATCH(AY1096+1,【参考】排出係数!$AI$4:$AI$671,1)-1,5,BE1096),3,FALSE),IF(OR(AW1096=1,AW1096=2),VLOOKUP(AU1096,INDEX((係数_乗用_ガソリン,係数_乗用_CNG,係数_乗用_軽油,係数_乗用_メタノール,係数_乗用_LPG),1,1,BE1096):INDEX((係数_乗用_ガソリン,係数_乗用_CNG,係数_乗用_軽油,係数_乗用_メタノール,係数_乗用_LPG),125,5,BE1096),3,FALSE))))))</f>
        <v/>
      </c>
      <c r="BC1096" s="467" t="str">
        <f t="shared" si="634"/>
        <v/>
      </c>
      <c r="BD1096" s="567" t="str">
        <f t="shared" si="635"/>
        <v/>
      </c>
      <c r="BE1096" s="467" t="str">
        <f t="shared" si="636"/>
        <v/>
      </c>
      <c r="BF1096" s="469" t="str">
        <f t="shared" ca="1" si="637"/>
        <v/>
      </c>
      <c r="BG1096" s="469" t="str">
        <f t="shared" ca="1" si="638"/>
        <v/>
      </c>
      <c r="BH1096" s="467" t="str">
        <f t="shared" si="639"/>
        <v/>
      </c>
      <c r="BI1096" s="467" t="str">
        <f t="shared" ca="1" si="640"/>
        <v/>
      </c>
      <c r="BJ1096" s="469" t="str">
        <f t="shared" si="641"/>
        <v/>
      </c>
      <c r="BK1096" s="470" t="str">
        <f t="shared" si="625"/>
        <v/>
      </c>
      <c r="BL1096" s="775" t="str">
        <f t="shared" si="642"/>
        <v/>
      </c>
      <c r="BM1096" s="775" t="str">
        <f t="shared" si="643"/>
        <v/>
      </c>
    </row>
    <row r="1097" spans="1:65">
      <c r="A1097" s="473">
        <v>1041</v>
      </c>
      <c r="B1097" s="132"/>
      <c r="C1097" s="332"/>
      <c r="D1097" s="333"/>
      <c r="E1097" s="333"/>
      <c r="F1097" s="334"/>
      <c r="G1097" s="337"/>
      <c r="H1097" s="131"/>
      <c r="I1097" s="337"/>
      <c r="J1097" s="131"/>
      <c r="K1097" s="458" t="str">
        <f t="shared" si="606"/>
        <v/>
      </c>
      <c r="L1097" s="458">
        <f t="shared" si="607"/>
        <v>0</v>
      </c>
      <c r="M1097" s="458">
        <f t="shared" si="608"/>
        <v>0</v>
      </c>
      <c r="N1097" s="459" t="str">
        <f t="shared" si="619"/>
        <v/>
      </c>
      <c r="O1097" s="459" t="str">
        <f t="shared" si="620"/>
        <v/>
      </c>
      <c r="P1097" s="459" t="str">
        <f t="shared" si="621"/>
        <v/>
      </c>
      <c r="Q1097" s="459" t="str">
        <f t="shared" si="622"/>
        <v/>
      </c>
      <c r="R1097" s="459" t="str">
        <f t="shared" si="623"/>
        <v/>
      </c>
      <c r="S1097" s="459" t="str">
        <f t="shared" si="624"/>
        <v/>
      </c>
      <c r="T1097" s="566" t="str">
        <f t="shared" si="609"/>
        <v/>
      </c>
      <c r="U1097" s="702"/>
      <c r="V1097" s="132"/>
      <c r="W1097" s="133"/>
      <c r="X1097" s="134"/>
      <c r="Y1097" s="135"/>
      <c r="Z1097" s="137"/>
      <c r="AA1097" s="136"/>
      <c r="AB1097" s="566" t="str">
        <f t="shared" si="610"/>
        <v/>
      </c>
      <c r="AC1097" s="568" t="str">
        <f t="shared" si="611"/>
        <v/>
      </c>
      <c r="AD1097" s="137"/>
      <c r="AE1097" s="137"/>
      <c r="AF1097" s="138"/>
      <c r="AG1097" s="138"/>
      <c r="AH1097" s="592" t="str">
        <f t="shared" si="612"/>
        <v/>
      </c>
      <c r="AI1097" s="592" t="str">
        <f t="shared" si="613"/>
        <v/>
      </c>
      <c r="AJ1097" s="592" t="str">
        <f t="shared" si="614"/>
        <v/>
      </c>
      <c r="AK1097" s="460" t="str">
        <f>IF(AU1097="","",IF(OR(AZ1097=8,AZ1097=9),0,IF(OR(AW1097=3,AW1097=4,AW1097=5,AW1097=6),IF(LEFT(BF1097,1)="1",INDEX(係数_NOX・PM低減,MATCH(AY1097,【参考】排出係数!$AI$801:$AI$804,1),1),VLOOKUP(AU1097,INDEX((係数_バス貨物_ガソリン,係数_バス貨物_CNG,係数_バス貨物_軽油,係数_バス貨物_メタノール,係数_バス貨物_LPG),MATCH(AY1097,【参考】排出係数!$AI$4:$AI$671,1),1,BE1097):INDEX((係数_バス貨物_ガソリン,係数_バス貨物_CNG,係数_バス貨物_軽油,係数_バス貨物_メタノール,係数_バス貨物_LPG),MATCH(AY1097+1,【参考】排出係数!$AI$4:$AI$671,1)-1,5,BE1097),4,FALSE)),IF(AND(BE1097=3,LEFT(BF1097,1)="1"),0.48,VLOOKUP(AU1097,INDEX((係数_乗用_ガソリン,係数_乗用_CNG,係数_乗用_軽油,係数_乗用_メタノール,係数_乗用_LPG),1,1,BE1097):INDEX((係数_乗用_ガソリン,係数_乗用_CNG,係数_乗用_軽油,係数_乗用_メタノール,係数_乗用_LPG),125,5,BE1097),4,FALSE)))))</f>
        <v/>
      </c>
      <c r="AL1097" s="461" t="str">
        <f t="shared" si="615"/>
        <v/>
      </c>
      <c r="AM1097" s="460" t="str">
        <f>IF(AU1097="","",IF(OR(AZ1097=8,AZ1097=9),0,IF(OR(AW1097=3,AW1097=4,AW1097=5,AW1097=6),IF(LEFT(BH1097,1)="1",INDEX(係数_PM低減,MATCH(AY1097,【参考】排出係数!$AI$801:$AI$804,1),MATCH(BI1097,【参考】排出係数!$AL$798:$AO$798,1)),VLOOKUP(AU1097,INDEX((係数_バス貨物_ガソリン,係数_バス貨物_CNG,係数_バス貨物_軽油,係数_バス貨物_メタノール,係数_バス貨物_LPG),MATCH(AY1097,【参考】排出係数!$AI$4:$AI$671,1),1,BE1097):INDEX((係数_バス貨物_ガソリン,係数_バス貨物_CNG,係数_バス貨物_軽油,係数_バス貨物_メタノール,係数_バス貨物_LPG),MATCH(AY1097+1,【参考】排出係数!$AI$4:$AI$671,1)-1,5,BE1097),5,FALSE)),IF(AND(BE1097=3,LEFT(BF1097,1)="1"),0.055,VLOOKUP(AU1097,INDEX((係数_乗用_ガソリン,係数_乗用_CNG,係数_乗用_軽油,係数_乗用_メタノール,係数_乗用_LPG),1,1,BE1097):INDEX((係数_乗用_ガソリン,係数_乗用_CNG,係数_乗用_軽油,係数_乗用_メタノール,係数_乗用_LPG),125,5,BE1097),5,FALSE)))))</f>
        <v/>
      </c>
      <c r="AN1097" s="461" t="str">
        <f t="shared" si="616"/>
        <v/>
      </c>
      <c r="AO1097" s="462" t="str">
        <f t="shared" si="617"/>
        <v/>
      </c>
      <c r="AP1097" s="463" t="str">
        <f t="shared" si="618"/>
        <v/>
      </c>
      <c r="AQ1097" s="464"/>
      <c r="AR1097" s="619"/>
      <c r="AS1097" s="465" t="str">
        <f t="shared" si="626"/>
        <v/>
      </c>
      <c r="AT1097" s="465" t="str">
        <f t="shared" si="627"/>
        <v/>
      </c>
      <c r="AU1097" s="466" t="str">
        <f t="shared" si="628"/>
        <v/>
      </c>
      <c r="AV1097" s="467" t="str">
        <f t="shared" si="629"/>
        <v/>
      </c>
      <c r="AW1097" s="467" t="str">
        <f t="shared" si="630"/>
        <v/>
      </c>
      <c r="AX1097" s="467" t="str">
        <f t="shared" si="631"/>
        <v/>
      </c>
      <c r="AY1097" s="467" t="str">
        <f t="shared" si="632"/>
        <v/>
      </c>
      <c r="AZ1097" s="467" t="str">
        <f t="shared" si="633"/>
        <v/>
      </c>
      <c r="BA1097" s="468" t="str">
        <f>IF(AS1097="","",IF(OR(AU1097="",AU1097="-"),"－",IF(OR(AZ1097=8,AZ1097=9),"",IF(OR(AW1097=3,AW1097=4,AW1097=5,AW1097=6),VLOOKUP(AU1097,INDEX((係数_バス貨物_ガソリン,係数_バス貨物_CNG,係数_バス貨物_軽油,係数_バス貨物_メタノール,係数_バス貨物_LPG),MATCH(AY1097,【参考】排出係数!$AI$4:$AI$671,1),1,BE1097):INDEX((係数_バス貨物_ガソリン,係数_バス貨物_CNG,係数_バス貨物_軽油,係数_バス貨物_メタノール,係数_バス貨物_LPG),MATCH(AY1097+1,【参考】排出係数!$AI$4:$AI$671,1)-1,5,BE1097),2,FALSE),IF(OR(AW1097=1,AW1097=2),VLOOKUP(AU1097,INDEX((係数_乗用_ガソリン,係数_乗用_CNG,係数_乗用_軽油,係数_乗用_メタノール,係数_乗用_LPG),1,1,BE1097):INDEX((係数_乗用_ガソリン,係数_乗用_CNG,係数_乗用_軽油,係数_乗用_メタノール,係数_乗用_LPG),125,5,BE1097),2,FALSE))))))</f>
        <v/>
      </c>
      <c r="BB1097" s="468" t="str">
        <f>IF(T1097="","",IF(OR(AU1097="",AU1097="-"),"－",IF(OR(AZ1097=8,AZ1097=9),"",IF(OR(AW1097=3,AW1097=4,AW1097=5,AW1097=6),VLOOKUP(AU1097,INDEX((係数_バス貨物_ガソリン,係数_バス貨物_CNG,係数_バス貨物_軽油,係数_バス貨物_メタノール,係数_バス貨物_LPG),MATCH(AY1097,【参考】排出係数!$AI$4:$AI$671,1),1,BE1097):INDEX((係数_バス貨物_ガソリン,係数_バス貨物_CNG,係数_バス貨物_軽油,係数_バス貨物_メタノール,係数_バス貨物_LPG),MATCH(AY1097+1,【参考】排出係数!$AI$4:$AI$671,1)-1,5,BE1097),3,FALSE),IF(OR(AW1097=1,AW1097=2),VLOOKUP(AU1097,INDEX((係数_乗用_ガソリン,係数_乗用_CNG,係数_乗用_軽油,係数_乗用_メタノール,係数_乗用_LPG),1,1,BE1097):INDEX((係数_乗用_ガソリン,係数_乗用_CNG,係数_乗用_軽油,係数_乗用_メタノール,係数_乗用_LPG),125,5,BE1097),3,FALSE))))))</f>
        <v/>
      </c>
      <c r="BC1097" s="467" t="str">
        <f t="shared" si="634"/>
        <v/>
      </c>
      <c r="BD1097" s="567" t="str">
        <f t="shared" si="635"/>
        <v/>
      </c>
      <c r="BE1097" s="467" t="str">
        <f t="shared" si="636"/>
        <v/>
      </c>
      <c r="BF1097" s="469" t="str">
        <f t="shared" ca="1" si="637"/>
        <v/>
      </c>
      <c r="BG1097" s="469" t="str">
        <f t="shared" ca="1" si="638"/>
        <v/>
      </c>
      <c r="BH1097" s="467" t="str">
        <f t="shared" si="639"/>
        <v/>
      </c>
      <c r="BI1097" s="467" t="str">
        <f t="shared" ca="1" si="640"/>
        <v/>
      </c>
      <c r="BJ1097" s="469" t="str">
        <f t="shared" si="641"/>
        <v/>
      </c>
      <c r="BK1097" s="470" t="str">
        <f t="shared" si="625"/>
        <v/>
      </c>
      <c r="BL1097" s="775" t="str">
        <f t="shared" si="642"/>
        <v/>
      </c>
      <c r="BM1097" s="775" t="str">
        <f t="shared" si="643"/>
        <v/>
      </c>
    </row>
    <row r="1098" spans="1:65">
      <c r="A1098" s="473">
        <v>1042</v>
      </c>
      <c r="B1098" s="132"/>
      <c r="C1098" s="332"/>
      <c r="D1098" s="333"/>
      <c r="E1098" s="333"/>
      <c r="F1098" s="334"/>
      <c r="G1098" s="337"/>
      <c r="H1098" s="131"/>
      <c r="I1098" s="337"/>
      <c r="J1098" s="131"/>
      <c r="K1098" s="458" t="str">
        <f t="shared" si="606"/>
        <v/>
      </c>
      <c r="L1098" s="458">
        <f t="shared" si="607"/>
        <v>0</v>
      </c>
      <c r="M1098" s="458">
        <f t="shared" si="608"/>
        <v>0</v>
      </c>
      <c r="N1098" s="459" t="str">
        <f t="shared" si="619"/>
        <v/>
      </c>
      <c r="O1098" s="459" t="str">
        <f t="shared" si="620"/>
        <v/>
      </c>
      <c r="P1098" s="459" t="str">
        <f t="shared" si="621"/>
        <v/>
      </c>
      <c r="Q1098" s="459" t="str">
        <f t="shared" si="622"/>
        <v/>
      </c>
      <c r="R1098" s="459" t="str">
        <f t="shared" si="623"/>
        <v/>
      </c>
      <c r="S1098" s="459" t="str">
        <f t="shared" si="624"/>
        <v/>
      </c>
      <c r="T1098" s="566" t="str">
        <f t="shared" si="609"/>
        <v/>
      </c>
      <c r="U1098" s="702"/>
      <c r="V1098" s="132"/>
      <c r="W1098" s="133"/>
      <c r="X1098" s="134"/>
      <c r="Y1098" s="135"/>
      <c r="Z1098" s="137"/>
      <c r="AA1098" s="136"/>
      <c r="AB1098" s="566" t="str">
        <f t="shared" si="610"/>
        <v/>
      </c>
      <c r="AC1098" s="568" t="str">
        <f t="shared" si="611"/>
        <v/>
      </c>
      <c r="AD1098" s="137"/>
      <c r="AE1098" s="137"/>
      <c r="AF1098" s="138"/>
      <c r="AG1098" s="138"/>
      <c r="AH1098" s="592" t="str">
        <f t="shared" si="612"/>
        <v/>
      </c>
      <c r="AI1098" s="592" t="str">
        <f t="shared" si="613"/>
        <v/>
      </c>
      <c r="AJ1098" s="592" t="str">
        <f t="shared" si="614"/>
        <v/>
      </c>
      <c r="AK1098" s="460" t="str">
        <f>IF(AU1098="","",IF(OR(AZ1098=8,AZ1098=9),0,IF(OR(AW1098=3,AW1098=4,AW1098=5,AW1098=6),IF(LEFT(BF1098,1)="1",INDEX(係数_NOX・PM低減,MATCH(AY1098,【参考】排出係数!$AI$801:$AI$804,1),1),VLOOKUP(AU1098,INDEX((係数_バス貨物_ガソリン,係数_バス貨物_CNG,係数_バス貨物_軽油,係数_バス貨物_メタノール,係数_バス貨物_LPG),MATCH(AY1098,【参考】排出係数!$AI$4:$AI$671,1),1,BE1098):INDEX((係数_バス貨物_ガソリン,係数_バス貨物_CNG,係数_バス貨物_軽油,係数_バス貨物_メタノール,係数_バス貨物_LPG),MATCH(AY1098+1,【参考】排出係数!$AI$4:$AI$671,1)-1,5,BE1098),4,FALSE)),IF(AND(BE1098=3,LEFT(BF1098,1)="1"),0.48,VLOOKUP(AU1098,INDEX((係数_乗用_ガソリン,係数_乗用_CNG,係数_乗用_軽油,係数_乗用_メタノール,係数_乗用_LPG),1,1,BE1098):INDEX((係数_乗用_ガソリン,係数_乗用_CNG,係数_乗用_軽油,係数_乗用_メタノール,係数_乗用_LPG),125,5,BE1098),4,FALSE)))))</f>
        <v/>
      </c>
      <c r="AL1098" s="461" t="str">
        <f t="shared" si="615"/>
        <v/>
      </c>
      <c r="AM1098" s="460" t="str">
        <f>IF(AU1098="","",IF(OR(AZ1098=8,AZ1098=9),0,IF(OR(AW1098=3,AW1098=4,AW1098=5,AW1098=6),IF(LEFT(BH1098,1)="1",INDEX(係数_PM低減,MATCH(AY1098,【参考】排出係数!$AI$801:$AI$804,1),MATCH(BI1098,【参考】排出係数!$AL$798:$AO$798,1)),VLOOKUP(AU1098,INDEX((係数_バス貨物_ガソリン,係数_バス貨物_CNG,係数_バス貨物_軽油,係数_バス貨物_メタノール,係数_バス貨物_LPG),MATCH(AY1098,【参考】排出係数!$AI$4:$AI$671,1),1,BE1098):INDEX((係数_バス貨物_ガソリン,係数_バス貨物_CNG,係数_バス貨物_軽油,係数_バス貨物_メタノール,係数_バス貨物_LPG),MATCH(AY1098+1,【参考】排出係数!$AI$4:$AI$671,1)-1,5,BE1098),5,FALSE)),IF(AND(BE1098=3,LEFT(BF1098,1)="1"),0.055,VLOOKUP(AU1098,INDEX((係数_乗用_ガソリン,係数_乗用_CNG,係数_乗用_軽油,係数_乗用_メタノール,係数_乗用_LPG),1,1,BE1098):INDEX((係数_乗用_ガソリン,係数_乗用_CNG,係数_乗用_軽油,係数_乗用_メタノール,係数_乗用_LPG),125,5,BE1098),5,FALSE)))))</f>
        <v/>
      </c>
      <c r="AN1098" s="461" t="str">
        <f t="shared" si="616"/>
        <v/>
      </c>
      <c r="AO1098" s="462" t="str">
        <f t="shared" si="617"/>
        <v/>
      </c>
      <c r="AP1098" s="463" t="str">
        <f t="shared" si="618"/>
        <v/>
      </c>
      <c r="AQ1098" s="464"/>
      <c r="AR1098" s="619"/>
      <c r="AS1098" s="465" t="str">
        <f t="shared" si="626"/>
        <v/>
      </c>
      <c r="AT1098" s="465" t="str">
        <f t="shared" si="627"/>
        <v/>
      </c>
      <c r="AU1098" s="466" t="str">
        <f t="shared" si="628"/>
        <v/>
      </c>
      <c r="AV1098" s="467" t="str">
        <f t="shared" si="629"/>
        <v/>
      </c>
      <c r="AW1098" s="467" t="str">
        <f t="shared" si="630"/>
        <v/>
      </c>
      <c r="AX1098" s="467" t="str">
        <f t="shared" si="631"/>
        <v/>
      </c>
      <c r="AY1098" s="467" t="str">
        <f t="shared" si="632"/>
        <v/>
      </c>
      <c r="AZ1098" s="467" t="str">
        <f t="shared" si="633"/>
        <v/>
      </c>
      <c r="BA1098" s="468" t="str">
        <f>IF(AS1098="","",IF(OR(AU1098="",AU1098="-"),"－",IF(OR(AZ1098=8,AZ1098=9),"",IF(OR(AW1098=3,AW1098=4,AW1098=5,AW1098=6),VLOOKUP(AU1098,INDEX((係数_バス貨物_ガソリン,係数_バス貨物_CNG,係数_バス貨物_軽油,係数_バス貨物_メタノール,係数_バス貨物_LPG),MATCH(AY1098,【参考】排出係数!$AI$4:$AI$671,1),1,BE1098):INDEX((係数_バス貨物_ガソリン,係数_バス貨物_CNG,係数_バス貨物_軽油,係数_バス貨物_メタノール,係数_バス貨物_LPG),MATCH(AY1098+1,【参考】排出係数!$AI$4:$AI$671,1)-1,5,BE1098),2,FALSE),IF(OR(AW1098=1,AW1098=2),VLOOKUP(AU1098,INDEX((係数_乗用_ガソリン,係数_乗用_CNG,係数_乗用_軽油,係数_乗用_メタノール,係数_乗用_LPG),1,1,BE1098):INDEX((係数_乗用_ガソリン,係数_乗用_CNG,係数_乗用_軽油,係数_乗用_メタノール,係数_乗用_LPG),125,5,BE1098),2,FALSE))))))</f>
        <v/>
      </c>
      <c r="BB1098" s="468" t="str">
        <f>IF(T1098="","",IF(OR(AU1098="",AU1098="-"),"－",IF(OR(AZ1098=8,AZ1098=9),"",IF(OR(AW1098=3,AW1098=4,AW1098=5,AW1098=6),VLOOKUP(AU1098,INDEX((係数_バス貨物_ガソリン,係数_バス貨物_CNG,係数_バス貨物_軽油,係数_バス貨物_メタノール,係数_バス貨物_LPG),MATCH(AY1098,【参考】排出係数!$AI$4:$AI$671,1),1,BE1098):INDEX((係数_バス貨物_ガソリン,係数_バス貨物_CNG,係数_バス貨物_軽油,係数_バス貨物_メタノール,係数_バス貨物_LPG),MATCH(AY1098+1,【参考】排出係数!$AI$4:$AI$671,1)-1,5,BE1098),3,FALSE),IF(OR(AW1098=1,AW1098=2),VLOOKUP(AU1098,INDEX((係数_乗用_ガソリン,係数_乗用_CNG,係数_乗用_軽油,係数_乗用_メタノール,係数_乗用_LPG),1,1,BE1098):INDEX((係数_乗用_ガソリン,係数_乗用_CNG,係数_乗用_軽油,係数_乗用_メタノール,係数_乗用_LPG),125,5,BE1098),3,FALSE))))))</f>
        <v/>
      </c>
      <c r="BC1098" s="467" t="str">
        <f t="shared" si="634"/>
        <v/>
      </c>
      <c r="BD1098" s="567" t="str">
        <f t="shared" si="635"/>
        <v/>
      </c>
      <c r="BE1098" s="467" t="str">
        <f t="shared" si="636"/>
        <v/>
      </c>
      <c r="BF1098" s="469" t="str">
        <f t="shared" ca="1" si="637"/>
        <v/>
      </c>
      <c r="BG1098" s="469" t="str">
        <f t="shared" ca="1" si="638"/>
        <v/>
      </c>
      <c r="BH1098" s="467" t="str">
        <f t="shared" si="639"/>
        <v/>
      </c>
      <c r="BI1098" s="467" t="str">
        <f t="shared" ca="1" si="640"/>
        <v/>
      </c>
      <c r="BJ1098" s="469" t="str">
        <f t="shared" si="641"/>
        <v/>
      </c>
      <c r="BK1098" s="470" t="str">
        <f t="shared" si="625"/>
        <v/>
      </c>
      <c r="BL1098" s="775" t="str">
        <f t="shared" si="642"/>
        <v/>
      </c>
      <c r="BM1098" s="775" t="str">
        <f t="shared" si="643"/>
        <v/>
      </c>
    </row>
    <row r="1099" spans="1:65">
      <c r="A1099" s="473">
        <v>1043</v>
      </c>
      <c r="B1099" s="132"/>
      <c r="C1099" s="332"/>
      <c r="D1099" s="333"/>
      <c r="E1099" s="333"/>
      <c r="F1099" s="334"/>
      <c r="G1099" s="337"/>
      <c r="H1099" s="131"/>
      <c r="I1099" s="337"/>
      <c r="J1099" s="131"/>
      <c r="K1099" s="458" t="str">
        <f t="shared" si="606"/>
        <v/>
      </c>
      <c r="L1099" s="458">
        <f t="shared" si="607"/>
        <v>0</v>
      </c>
      <c r="M1099" s="458">
        <f t="shared" si="608"/>
        <v>0</v>
      </c>
      <c r="N1099" s="459" t="str">
        <f t="shared" si="619"/>
        <v/>
      </c>
      <c r="O1099" s="459" t="str">
        <f t="shared" si="620"/>
        <v/>
      </c>
      <c r="P1099" s="459" t="str">
        <f t="shared" si="621"/>
        <v/>
      </c>
      <c r="Q1099" s="459" t="str">
        <f t="shared" si="622"/>
        <v/>
      </c>
      <c r="R1099" s="459" t="str">
        <f t="shared" si="623"/>
        <v/>
      </c>
      <c r="S1099" s="459" t="str">
        <f t="shared" si="624"/>
        <v/>
      </c>
      <c r="T1099" s="566" t="str">
        <f t="shared" si="609"/>
        <v/>
      </c>
      <c r="U1099" s="702"/>
      <c r="V1099" s="132"/>
      <c r="W1099" s="133"/>
      <c r="X1099" s="134"/>
      <c r="Y1099" s="135"/>
      <c r="Z1099" s="137"/>
      <c r="AA1099" s="136"/>
      <c r="AB1099" s="566" t="str">
        <f t="shared" si="610"/>
        <v/>
      </c>
      <c r="AC1099" s="568" t="str">
        <f t="shared" si="611"/>
        <v/>
      </c>
      <c r="AD1099" s="137"/>
      <c r="AE1099" s="137"/>
      <c r="AF1099" s="138"/>
      <c r="AG1099" s="138"/>
      <c r="AH1099" s="592" t="str">
        <f t="shared" si="612"/>
        <v/>
      </c>
      <c r="AI1099" s="592" t="str">
        <f t="shared" si="613"/>
        <v/>
      </c>
      <c r="AJ1099" s="592" t="str">
        <f t="shared" si="614"/>
        <v/>
      </c>
      <c r="AK1099" s="460" t="str">
        <f>IF(AU1099="","",IF(OR(AZ1099=8,AZ1099=9),0,IF(OR(AW1099=3,AW1099=4,AW1099=5,AW1099=6),IF(LEFT(BF1099,1)="1",INDEX(係数_NOX・PM低減,MATCH(AY1099,【参考】排出係数!$AI$801:$AI$804,1),1),VLOOKUP(AU1099,INDEX((係数_バス貨物_ガソリン,係数_バス貨物_CNG,係数_バス貨物_軽油,係数_バス貨物_メタノール,係数_バス貨物_LPG),MATCH(AY1099,【参考】排出係数!$AI$4:$AI$671,1),1,BE1099):INDEX((係数_バス貨物_ガソリン,係数_バス貨物_CNG,係数_バス貨物_軽油,係数_バス貨物_メタノール,係数_バス貨物_LPG),MATCH(AY1099+1,【参考】排出係数!$AI$4:$AI$671,1)-1,5,BE1099),4,FALSE)),IF(AND(BE1099=3,LEFT(BF1099,1)="1"),0.48,VLOOKUP(AU1099,INDEX((係数_乗用_ガソリン,係数_乗用_CNG,係数_乗用_軽油,係数_乗用_メタノール,係数_乗用_LPG),1,1,BE1099):INDEX((係数_乗用_ガソリン,係数_乗用_CNG,係数_乗用_軽油,係数_乗用_メタノール,係数_乗用_LPG),125,5,BE1099),4,FALSE)))))</f>
        <v/>
      </c>
      <c r="AL1099" s="461" t="str">
        <f t="shared" si="615"/>
        <v/>
      </c>
      <c r="AM1099" s="460" t="str">
        <f>IF(AU1099="","",IF(OR(AZ1099=8,AZ1099=9),0,IF(OR(AW1099=3,AW1099=4,AW1099=5,AW1099=6),IF(LEFT(BH1099,1)="1",INDEX(係数_PM低減,MATCH(AY1099,【参考】排出係数!$AI$801:$AI$804,1),MATCH(BI1099,【参考】排出係数!$AL$798:$AO$798,1)),VLOOKUP(AU1099,INDEX((係数_バス貨物_ガソリン,係数_バス貨物_CNG,係数_バス貨物_軽油,係数_バス貨物_メタノール,係数_バス貨物_LPG),MATCH(AY1099,【参考】排出係数!$AI$4:$AI$671,1),1,BE1099):INDEX((係数_バス貨物_ガソリン,係数_バス貨物_CNG,係数_バス貨物_軽油,係数_バス貨物_メタノール,係数_バス貨物_LPG),MATCH(AY1099+1,【参考】排出係数!$AI$4:$AI$671,1)-1,5,BE1099),5,FALSE)),IF(AND(BE1099=3,LEFT(BF1099,1)="1"),0.055,VLOOKUP(AU1099,INDEX((係数_乗用_ガソリン,係数_乗用_CNG,係数_乗用_軽油,係数_乗用_メタノール,係数_乗用_LPG),1,1,BE1099):INDEX((係数_乗用_ガソリン,係数_乗用_CNG,係数_乗用_軽油,係数_乗用_メタノール,係数_乗用_LPG),125,5,BE1099),5,FALSE)))))</f>
        <v/>
      </c>
      <c r="AN1099" s="461" t="str">
        <f t="shared" si="616"/>
        <v/>
      </c>
      <c r="AO1099" s="462" t="str">
        <f t="shared" si="617"/>
        <v/>
      </c>
      <c r="AP1099" s="463" t="str">
        <f t="shared" si="618"/>
        <v/>
      </c>
      <c r="AQ1099" s="464"/>
      <c r="AR1099" s="619"/>
      <c r="AS1099" s="465" t="str">
        <f t="shared" si="626"/>
        <v/>
      </c>
      <c r="AT1099" s="465" t="str">
        <f t="shared" si="627"/>
        <v/>
      </c>
      <c r="AU1099" s="466" t="str">
        <f t="shared" si="628"/>
        <v/>
      </c>
      <c r="AV1099" s="467" t="str">
        <f t="shared" si="629"/>
        <v/>
      </c>
      <c r="AW1099" s="467" t="str">
        <f t="shared" si="630"/>
        <v/>
      </c>
      <c r="AX1099" s="467" t="str">
        <f t="shared" si="631"/>
        <v/>
      </c>
      <c r="AY1099" s="467" t="str">
        <f t="shared" si="632"/>
        <v/>
      </c>
      <c r="AZ1099" s="467" t="str">
        <f t="shared" si="633"/>
        <v/>
      </c>
      <c r="BA1099" s="468" t="str">
        <f>IF(AS1099="","",IF(OR(AU1099="",AU1099="-"),"－",IF(OR(AZ1099=8,AZ1099=9),"",IF(OR(AW1099=3,AW1099=4,AW1099=5,AW1099=6),VLOOKUP(AU1099,INDEX((係数_バス貨物_ガソリン,係数_バス貨物_CNG,係数_バス貨物_軽油,係数_バス貨物_メタノール,係数_バス貨物_LPG),MATCH(AY1099,【参考】排出係数!$AI$4:$AI$671,1),1,BE1099):INDEX((係数_バス貨物_ガソリン,係数_バス貨物_CNG,係数_バス貨物_軽油,係数_バス貨物_メタノール,係数_バス貨物_LPG),MATCH(AY1099+1,【参考】排出係数!$AI$4:$AI$671,1)-1,5,BE1099),2,FALSE),IF(OR(AW1099=1,AW1099=2),VLOOKUP(AU1099,INDEX((係数_乗用_ガソリン,係数_乗用_CNG,係数_乗用_軽油,係数_乗用_メタノール,係数_乗用_LPG),1,1,BE1099):INDEX((係数_乗用_ガソリン,係数_乗用_CNG,係数_乗用_軽油,係数_乗用_メタノール,係数_乗用_LPG),125,5,BE1099),2,FALSE))))))</f>
        <v/>
      </c>
      <c r="BB1099" s="468" t="str">
        <f>IF(T1099="","",IF(OR(AU1099="",AU1099="-"),"－",IF(OR(AZ1099=8,AZ1099=9),"",IF(OR(AW1099=3,AW1099=4,AW1099=5,AW1099=6),VLOOKUP(AU1099,INDEX((係数_バス貨物_ガソリン,係数_バス貨物_CNG,係数_バス貨物_軽油,係数_バス貨物_メタノール,係数_バス貨物_LPG),MATCH(AY1099,【参考】排出係数!$AI$4:$AI$671,1),1,BE1099):INDEX((係数_バス貨物_ガソリン,係数_バス貨物_CNG,係数_バス貨物_軽油,係数_バス貨物_メタノール,係数_バス貨物_LPG),MATCH(AY1099+1,【参考】排出係数!$AI$4:$AI$671,1)-1,5,BE1099),3,FALSE),IF(OR(AW1099=1,AW1099=2),VLOOKUP(AU1099,INDEX((係数_乗用_ガソリン,係数_乗用_CNG,係数_乗用_軽油,係数_乗用_メタノール,係数_乗用_LPG),1,1,BE1099):INDEX((係数_乗用_ガソリン,係数_乗用_CNG,係数_乗用_軽油,係数_乗用_メタノール,係数_乗用_LPG),125,5,BE1099),3,FALSE))))))</f>
        <v/>
      </c>
      <c r="BC1099" s="467" t="str">
        <f t="shared" si="634"/>
        <v/>
      </c>
      <c r="BD1099" s="567" t="str">
        <f t="shared" si="635"/>
        <v/>
      </c>
      <c r="BE1099" s="467" t="str">
        <f t="shared" si="636"/>
        <v/>
      </c>
      <c r="BF1099" s="469" t="str">
        <f t="shared" ca="1" si="637"/>
        <v/>
      </c>
      <c r="BG1099" s="469" t="str">
        <f t="shared" ca="1" si="638"/>
        <v/>
      </c>
      <c r="BH1099" s="467" t="str">
        <f t="shared" si="639"/>
        <v/>
      </c>
      <c r="BI1099" s="467" t="str">
        <f t="shared" ca="1" si="640"/>
        <v/>
      </c>
      <c r="BJ1099" s="469" t="str">
        <f t="shared" si="641"/>
        <v/>
      </c>
      <c r="BK1099" s="470" t="str">
        <f t="shared" si="625"/>
        <v/>
      </c>
      <c r="BL1099" s="775" t="str">
        <f t="shared" si="642"/>
        <v/>
      </c>
      <c r="BM1099" s="775" t="str">
        <f t="shared" si="643"/>
        <v/>
      </c>
    </row>
    <row r="1100" spans="1:65">
      <c r="A1100" s="473">
        <v>1044</v>
      </c>
      <c r="B1100" s="132"/>
      <c r="C1100" s="332"/>
      <c r="D1100" s="333"/>
      <c r="E1100" s="333"/>
      <c r="F1100" s="334"/>
      <c r="G1100" s="337"/>
      <c r="H1100" s="131"/>
      <c r="I1100" s="337"/>
      <c r="J1100" s="131"/>
      <c r="K1100" s="458" t="str">
        <f t="shared" si="606"/>
        <v/>
      </c>
      <c r="L1100" s="458">
        <f t="shared" si="607"/>
        <v>0</v>
      </c>
      <c r="M1100" s="458">
        <f t="shared" si="608"/>
        <v>0</v>
      </c>
      <c r="N1100" s="459" t="str">
        <f t="shared" si="619"/>
        <v/>
      </c>
      <c r="O1100" s="459" t="str">
        <f t="shared" si="620"/>
        <v/>
      </c>
      <c r="P1100" s="459" t="str">
        <f t="shared" si="621"/>
        <v/>
      </c>
      <c r="Q1100" s="459" t="str">
        <f t="shared" si="622"/>
        <v/>
      </c>
      <c r="R1100" s="459" t="str">
        <f t="shared" si="623"/>
        <v/>
      </c>
      <c r="S1100" s="459" t="str">
        <f t="shared" si="624"/>
        <v/>
      </c>
      <c r="T1100" s="566" t="str">
        <f t="shared" si="609"/>
        <v/>
      </c>
      <c r="U1100" s="702"/>
      <c r="V1100" s="132"/>
      <c r="W1100" s="133"/>
      <c r="X1100" s="134"/>
      <c r="Y1100" s="135"/>
      <c r="Z1100" s="137"/>
      <c r="AA1100" s="136"/>
      <c r="AB1100" s="566" t="str">
        <f t="shared" si="610"/>
        <v/>
      </c>
      <c r="AC1100" s="568" t="str">
        <f t="shared" si="611"/>
        <v/>
      </c>
      <c r="AD1100" s="137"/>
      <c r="AE1100" s="137"/>
      <c r="AF1100" s="138"/>
      <c r="AG1100" s="138"/>
      <c r="AH1100" s="592" t="str">
        <f t="shared" si="612"/>
        <v/>
      </c>
      <c r="AI1100" s="592" t="str">
        <f t="shared" si="613"/>
        <v/>
      </c>
      <c r="AJ1100" s="592" t="str">
        <f t="shared" si="614"/>
        <v/>
      </c>
      <c r="AK1100" s="460" t="str">
        <f>IF(AU1100="","",IF(OR(AZ1100=8,AZ1100=9),0,IF(OR(AW1100=3,AW1100=4,AW1100=5,AW1100=6),IF(LEFT(BF1100,1)="1",INDEX(係数_NOX・PM低減,MATCH(AY1100,【参考】排出係数!$AI$801:$AI$804,1),1),VLOOKUP(AU1100,INDEX((係数_バス貨物_ガソリン,係数_バス貨物_CNG,係数_バス貨物_軽油,係数_バス貨物_メタノール,係数_バス貨物_LPG),MATCH(AY1100,【参考】排出係数!$AI$4:$AI$671,1),1,BE1100):INDEX((係数_バス貨物_ガソリン,係数_バス貨物_CNG,係数_バス貨物_軽油,係数_バス貨物_メタノール,係数_バス貨物_LPG),MATCH(AY1100+1,【参考】排出係数!$AI$4:$AI$671,1)-1,5,BE1100),4,FALSE)),IF(AND(BE1100=3,LEFT(BF1100,1)="1"),0.48,VLOOKUP(AU1100,INDEX((係数_乗用_ガソリン,係数_乗用_CNG,係数_乗用_軽油,係数_乗用_メタノール,係数_乗用_LPG),1,1,BE1100):INDEX((係数_乗用_ガソリン,係数_乗用_CNG,係数_乗用_軽油,係数_乗用_メタノール,係数_乗用_LPG),125,5,BE1100),4,FALSE)))))</f>
        <v/>
      </c>
      <c r="AL1100" s="461" t="str">
        <f t="shared" si="615"/>
        <v/>
      </c>
      <c r="AM1100" s="460" t="str">
        <f>IF(AU1100="","",IF(OR(AZ1100=8,AZ1100=9),0,IF(OR(AW1100=3,AW1100=4,AW1100=5,AW1100=6),IF(LEFT(BH1100,1)="1",INDEX(係数_PM低減,MATCH(AY1100,【参考】排出係数!$AI$801:$AI$804,1),MATCH(BI1100,【参考】排出係数!$AL$798:$AO$798,1)),VLOOKUP(AU1100,INDEX((係数_バス貨物_ガソリン,係数_バス貨物_CNG,係数_バス貨物_軽油,係数_バス貨物_メタノール,係数_バス貨物_LPG),MATCH(AY1100,【参考】排出係数!$AI$4:$AI$671,1),1,BE1100):INDEX((係数_バス貨物_ガソリン,係数_バス貨物_CNG,係数_バス貨物_軽油,係数_バス貨物_メタノール,係数_バス貨物_LPG),MATCH(AY1100+1,【参考】排出係数!$AI$4:$AI$671,1)-1,5,BE1100),5,FALSE)),IF(AND(BE1100=3,LEFT(BF1100,1)="1"),0.055,VLOOKUP(AU1100,INDEX((係数_乗用_ガソリン,係数_乗用_CNG,係数_乗用_軽油,係数_乗用_メタノール,係数_乗用_LPG),1,1,BE1100):INDEX((係数_乗用_ガソリン,係数_乗用_CNG,係数_乗用_軽油,係数_乗用_メタノール,係数_乗用_LPG),125,5,BE1100),5,FALSE)))))</f>
        <v/>
      </c>
      <c r="AN1100" s="461" t="str">
        <f t="shared" si="616"/>
        <v/>
      </c>
      <c r="AO1100" s="462" t="str">
        <f t="shared" si="617"/>
        <v/>
      </c>
      <c r="AP1100" s="463" t="str">
        <f t="shared" si="618"/>
        <v/>
      </c>
      <c r="AQ1100" s="464"/>
      <c r="AR1100" s="619"/>
      <c r="AS1100" s="465" t="str">
        <f t="shared" si="626"/>
        <v/>
      </c>
      <c r="AT1100" s="465" t="str">
        <f t="shared" si="627"/>
        <v/>
      </c>
      <c r="AU1100" s="466" t="str">
        <f t="shared" si="628"/>
        <v/>
      </c>
      <c r="AV1100" s="467" t="str">
        <f t="shared" si="629"/>
        <v/>
      </c>
      <c r="AW1100" s="467" t="str">
        <f t="shared" si="630"/>
        <v/>
      </c>
      <c r="AX1100" s="467" t="str">
        <f t="shared" si="631"/>
        <v/>
      </c>
      <c r="AY1100" s="467" t="str">
        <f t="shared" si="632"/>
        <v/>
      </c>
      <c r="AZ1100" s="467" t="str">
        <f t="shared" si="633"/>
        <v/>
      </c>
      <c r="BA1100" s="468" t="str">
        <f>IF(AS1100="","",IF(OR(AU1100="",AU1100="-"),"－",IF(OR(AZ1100=8,AZ1100=9),"",IF(OR(AW1100=3,AW1100=4,AW1100=5,AW1100=6),VLOOKUP(AU1100,INDEX((係数_バス貨物_ガソリン,係数_バス貨物_CNG,係数_バス貨物_軽油,係数_バス貨物_メタノール,係数_バス貨物_LPG),MATCH(AY1100,【参考】排出係数!$AI$4:$AI$671,1),1,BE1100):INDEX((係数_バス貨物_ガソリン,係数_バス貨物_CNG,係数_バス貨物_軽油,係数_バス貨物_メタノール,係数_バス貨物_LPG),MATCH(AY1100+1,【参考】排出係数!$AI$4:$AI$671,1)-1,5,BE1100),2,FALSE),IF(OR(AW1100=1,AW1100=2),VLOOKUP(AU1100,INDEX((係数_乗用_ガソリン,係数_乗用_CNG,係数_乗用_軽油,係数_乗用_メタノール,係数_乗用_LPG),1,1,BE1100):INDEX((係数_乗用_ガソリン,係数_乗用_CNG,係数_乗用_軽油,係数_乗用_メタノール,係数_乗用_LPG),125,5,BE1100),2,FALSE))))))</f>
        <v/>
      </c>
      <c r="BB1100" s="468" t="str">
        <f>IF(T1100="","",IF(OR(AU1100="",AU1100="-"),"－",IF(OR(AZ1100=8,AZ1100=9),"",IF(OR(AW1100=3,AW1100=4,AW1100=5,AW1100=6),VLOOKUP(AU1100,INDEX((係数_バス貨物_ガソリン,係数_バス貨物_CNG,係数_バス貨物_軽油,係数_バス貨物_メタノール,係数_バス貨物_LPG),MATCH(AY1100,【参考】排出係数!$AI$4:$AI$671,1),1,BE1100):INDEX((係数_バス貨物_ガソリン,係数_バス貨物_CNG,係数_バス貨物_軽油,係数_バス貨物_メタノール,係数_バス貨物_LPG),MATCH(AY1100+1,【参考】排出係数!$AI$4:$AI$671,1)-1,5,BE1100),3,FALSE),IF(OR(AW1100=1,AW1100=2),VLOOKUP(AU1100,INDEX((係数_乗用_ガソリン,係数_乗用_CNG,係数_乗用_軽油,係数_乗用_メタノール,係数_乗用_LPG),1,1,BE1100):INDEX((係数_乗用_ガソリン,係数_乗用_CNG,係数_乗用_軽油,係数_乗用_メタノール,係数_乗用_LPG),125,5,BE1100),3,FALSE))))))</f>
        <v/>
      </c>
      <c r="BC1100" s="467" t="str">
        <f t="shared" si="634"/>
        <v/>
      </c>
      <c r="BD1100" s="567" t="str">
        <f t="shared" si="635"/>
        <v/>
      </c>
      <c r="BE1100" s="467" t="str">
        <f t="shared" si="636"/>
        <v/>
      </c>
      <c r="BF1100" s="469" t="str">
        <f t="shared" ca="1" si="637"/>
        <v/>
      </c>
      <c r="BG1100" s="469" t="str">
        <f t="shared" ca="1" si="638"/>
        <v/>
      </c>
      <c r="BH1100" s="467" t="str">
        <f t="shared" si="639"/>
        <v/>
      </c>
      <c r="BI1100" s="467" t="str">
        <f t="shared" ca="1" si="640"/>
        <v/>
      </c>
      <c r="BJ1100" s="469" t="str">
        <f t="shared" si="641"/>
        <v/>
      </c>
      <c r="BK1100" s="470" t="str">
        <f t="shared" si="625"/>
        <v/>
      </c>
      <c r="BL1100" s="775" t="str">
        <f t="shared" si="642"/>
        <v/>
      </c>
      <c r="BM1100" s="775" t="str">
        <f t="shared" si="643"/>
        <v/>
      </c>
    </row>
    <row r="1101" spans="1:65">
      <c r="A1101" s="473">
        <v>1045</v>
      </c>
      <c r="B1101" s="132"/>
      <c r="C1101" s="332"/>
      <c r="D1101" s="333"/>
      <c r="E1101" s="333"/>
      <c r="F1101" s="334"/>
      <c r="G1101" s="337"/>
      <c r="H1101" s="131"/>
      <c r="I1101" s="337"/>
      <c r="J1101" s="131"/>
      <c r="K1101" s="458" t="str">
        <f t="shared" si="606"/>
        <v/>
      </c>
      <c r="L1101" s="458">
        <f t="shared" si="607"/>
        <v>0</v>
      </c>
      <c r="M1101" s="458">
        <f t="shared" si="608"/>
        <v>0</v>
      </c>
      <c r="N1101" s="459" t="str">
        <f t="shared" si="619"/>
        <v/>
      </c>
      <c r="O1101" s="459" t="str">
        <f t="shared" si="620"/>
        <v/>
      </c>
      <c r="P1101" s="459" t="str">
        <f t="shared" si="621"/>
        <v/>
      </c>
      <c r="Q1101" s="459" t="str">
        <f t="shared" si="622"/>
        <v/>
      </c>
      <c r="R1101" s="459" t="str">
        <f t="shared" si="623"/>
        <v/>
      </c>
      <c r="S1101" s="459" t="str">
        <f t="shared" si="624"/>
        <v/>
      </c>
      <c r="T1101" s="566" t="str">
        <f t="shared" si="609"/>
        <v/>
      </c>
      <c r="U1101" s="702"/>
      <c r="V1101" s="132"/>
      <c r="W1101" s="133"/>
      <c r="X1101" s="134"/>
      <c r="Y1101" s="135"/>
      <c r="Z1101" s="137"/>
      <c r="AA1101" s="136"/>
      <c r="AB1101" s="566" t="str">
        <f t="shared" si="610"/>
        <v/>
      </c>
      <c r="AC1101" s="568" t="str">
        <f t="shared" si="611"/>
        <v/>
      </c>
      <c r="AD1101" s="137"/>
      <c r="AE1101" s="137"/>
      <c r="AF1101" s="138"/>
      <c r="AG1101" s="138"/>
      <c r="AH1101" s="592" t="str">
        <f t="shared" si="612"/>
        <v/>
      </c>
      <c r="AI1101" s="592" t="str">
        <f t="shared" si="613"/>
        <v/>
      </c>
      <c r="AJ1101" s="592" t="str">
        <f t="shared" si="614"/>
        <v/>
      </c>
      <c r="AK1101" s="460" t="str">
        <f>IF(AU1101="","",IF(OR(AZ1101=8,AZ1101=9),0,IF(OR(AW1101=3,AW1101=4,AW1101=5,AW1101=6),IF(LEFT(BF1101,1)="1",INDEX(係数_NOX・PM低減,MATCH(AY1101,【参考】排出係数!$AI$801:$AI$804,1),1),VLOOKUP(AU1101,INDEX((係数_バス貨物_ガソリン,係数_バス貨物_CNG,係数_バス貨物_軽油,係数_バス貨物_メタノール,係数_バス貨物_LPG),MATCH(AY1101,【参考】排出係数!$AI$4:$AI$671,1),1,BE1101):INDEX((係数_バス貨物_ガソリン,係数_バス貨物_CNG,係数_バス貨物_軽油,係数_バス貨物_メタノール,係数_バス貨物_LPG),MATCH(AY1101+1,【参考】排出係数!$AI$4:$AI$671,1)-1,5,BE1101),4,FALSE)),IF(AND(BE1101=3,LEFT(BF1101,1)="1"),0.48,VLOOKUP(AU1101,INDEX((係数_乗用_ガソリン,係数_乗用_CNG,係数_乗用_軽油,係数_乗用_メタノール,係数_乗用_LPG),1,1,BE1101):INDEX((係数_乗用_ガソリン,係数_乗用_CNG,係数_乗用_軽油,係数_乗用_メタノール,係数_乗用_LPG),125,5,BE1101),4,FALSE)))))</f>
        <v/>
      </c>
      <c r="AL1101" s="461" t="str">
        <f t="shared" si="615"/>
        <v/>
      </c>
      <c r="AM1101" s="460" t="str">
        <f>IF(AU1101="","",IF(OR(AZ1101=8,AZ1101=9),0,IF(OR(AW1101=3,AW1101=4,AW1101=5,AW1101=6),IF(LEFT(BH1101,1)="1",INDEX(係数_PM低減,MATCH(AY1101,【参考】排出係数!$AI$801:$AI$804,1),MATCH(BI1101,【参考】排出係数!$AL$798:$AO$798,1)),VLOOKUP(AU1101,INDEX((係数_バス貨物_ガソリン,係数_バス貨物_CNG,係数_バス貨物_軽油,係数_バス貨物_メタノール,係数_バス貨物_LPG),MATCH(AY1101,【参考】排出係数!$AI$4:$AI$671,1),1,BE1101):INDEX((係数_バス貨物_ガソリン,係数_バス貨物_CNG,係数_バス貨物_軽油,係数_バス貨物_メタノール,係数_バス貨物_LPG),MATCH(AY1101+1,【参考】排出係数!$AI$4:$AI$671,1)-1,5,BE1101),5,FALSE)),IF(AND(BE1101=3,LEFT(BF1101,1)="1"),0.055,VLOOKUP(AU1101,INDEX((係数_乗用_ガソリン,係数_乗用_CNG,係数_乗用_軽油,係数_乗用_メタノール,係数_乗用_LPG),1,1,BE1101):INDEX((係数_乗用_ガソリン,係数_乗用_CNG,係数_乗用_軽油,係数_乗用_メタノール,係数_乗用_LPG),125,5,BE1101),5,FALSE)))))</f>
        <v/>
      </c>
      <c r="AN1101" s="461" t="str">
        <f t="shared" si="616"/>
        <v/>
      </c>
      <c r="AO1101" s="462" t="str">
        <f t="shared" si="617"/>
        <v/>
      </c>
      <c r="AP1101" s="463" t="str">
        <f t="shared" si="618"/>
        <v/>
      </c>
      <c r="AQ1101" s="464"/>
      <c r="AR1101" s="619"/>
      <c r="AS1101" s="465" t="str">
        <f t="shared" si="626"/>
        <v/>
      </c>
      <c r="AT1101" s="465" t="str">
        <f t="shared" si="627"/>
        <v/>
      </c>
      <c r="AU1101" s="466" t="str">
        <f t="shared" si="628"/>
        <v/>
      </c>
      <c r="AV1101" s="467" t="str">
        <f t="shared" si="629"/>
        <v/>
      </c>
      <c r="AW1101" s="467" t="str">
        <f t="shared" si="630"/>
        <v/>
      </c>
      <c r="AX1101" s="467" t="str">
        <f t="shared" si="631"/>
        <v/>
      </c>
      <c r="AY1101" s="467" t="str">
        <f t="shared" si="632"/>
        <v/>
      </c>
      <c r="AZ1101" s="467" t="str">
        <f t="shared" si="633"/>
        <v/>
      </c>
      <c r="BA1101" s="468" t="str">
        <f>IF(AS1101="","",IF(OR(AU1101="",AU1101="-"),"－",IF(OR(AZ1101=8,AZ1101=9),"",IF(OR(AW1101=3,AW1101=4,AW1101=5,AW1101=6),VLOOKUP(AU1101,INDEX((係数_バス貨物_ガソリン,係数_バス貨物_CNG,係数_バス貨物_軽油,係数_バス貨物_メタノール,係数_バス貨物_LPG),MATCH(AY1101,【参考】排出係数!$AI$4:$AI$671,1),1,BE1101):INDEX((係数_バス貨物_ガソリン,係数_バス貨物_CNG,係数_バス貨物_軽油,係数_バス貨物_メタノール,係数_バス貨物_LPG),MATCH(AY1101+1,【参考】排出係数!$AI$4:$AI$671,1)-1,5,BE1101),2,FALSE),IF(OR(AW1101=1,AW1101=2),VLOOKUP(AU1101,INDEX((係数_乗用_ガソリン,係数_乗用_CNG,係数_乗用_軽油,係数_乗用_メタノール,係数_乗用_LPG),1,1,BE1101):INDEX((係数_乗用_ガソリン,係数_乗用_CNG,係数_乗用_軽油,係数_乗用_メタノール,係数_乗用_LPG),125,5,BE1101),2,FALSE))))))</f>
        <v/>
      </c>
      <c r="BB1101" s="468" t="str">
        <f>IF(T1101="","",IF(OR(AU1101="",AU1101="-"),"－",IF(OR(AZ1101=8,AZ1101=9),"",IF(OR(AW1101=3,AW1101=4,AW1101=5,AW1101=6),VLOOKUP(AU1101,INDEX((係数_バス貨物_ガソリン,係数_バス貨物_CNG,係数_バス貨物_軽油,係数_バス貨物_メタノール,係数_バス貨物_LPG),MATCH(AY1101,【参考】排出係数!$AI$4:$AI$671,1),1,BE1101):INDEX((係数_バス貨物_ガソリン,係数_バス貨物_CNG,係数_バス貨物_軽油,係数_バス貨物_メタノール,係数_バス貨物_LPG),MATCH(AY1101+1,【参考】排出係数!$AI$4:$AI$671,1)-1,5,BE1101),3,FALSE),IF(OR(AW1101=1,AW1101=2),VLOOKUP(AU1101,INDEX((係数_乗用_ガソリン,係数_乗用_CNG,係数_乗用_軽油,係数_乗用_メタノール,係数_乗用_LPG),1,1,BE1101):INDEX((係数_乗用_ガソリン,係数_乗用_CNG,係数_乗用_軽油,係数_乗用_メタノール,係数_乗用_LPG),125,5,BE1101),3,FALSE))))))</f>
        <v/>
      </c>
      <c r="BC1101" s="467" t="str">
        <f t="shared" si="634"/>
        <v/>
      </c>
      <c r="BD1101" s="567" t="str">
        <f t="shared" si="635"/>
        <v/>
      </c>
      <c r="BE1101" s="467" t="str">
        <f t="shared" si="636"/>
        <v/>
      </c>
      <c r="BF1101" s="469" t="str">
        <f t="shared" ca="1" si="637"/>
        <v/>
      </c>
      <c r="BG1101" s="469" t="str">
        <f t="shared" ca="1" si="638"/>
        <v/>
      </c>
      <c r="BH1101" s="467" t="str">
        <f t="shared" si="639"/>
        <v/>
      </c>
      <c r="BI1101" s="467" t="str">
        <f t="shared" ca="1" si="640"/>
        <v/>
      </c>
      <c r="BJ1101" s="469" t="str">
        <f t="shared" si="641"/>
        <v/>
      </c>
      <c r="BK1101" s="470" t="str">
        <f t="shared" si="625"/>
        <v/>
      </c>
      <c r="BL1101" s="775" t="str">
        <f t="shared" si="642"/>
        <v/>
      </c>
      <c r="BM1101" s="775" t="str">
        <f t="shared" si="643"/>
        <v/>
      </c>
    </row>
    <row r="1102" spans="1:65">
      <c r="A1102" s="473">
        <v>1046</v>
      </c>
      <c r="B1102" s="132"/>
      <c r="C1102" s="332"/>
      <c r="D1102" s="333"/>
      <c r="E1102" s="333"/>
      <c r="F1102" s="334"/>
      <c r="G1102" s="337"/>
      <c r="H1102" s="131"/>
      <c r="I1102" s="337"/>
      <c r="J1102" s="131"/>
      <c r="K1102" s="458" t="str">
        <f t="shared" si="606"/>
        <v/>
      </c>
      <c r="L1102" s="458">
        <f t="shared" si="607"/>
        <v>0</v>
      </c>
      <c r="M1102" s="458">
        <f t="shared" si="608"/>
        <v>0</v>
      </c>
      <c r="N1102" s="459" t="str">
        <f t="shared" si="619"/>
        <v/>
      </c>
      <c r="O1102" s="459" t="str">
        <f t="shared" si="620"/>
        <v/>
      </c>
      <c r="P1102" s="459" t="str">
        <f t="shared" si="621"/>
        <v/>
      </c>
      <c r="Q1102" s="459" t="str">
        <f t="shared" si="622"/>
        <v/>
      </c>
      <c r="R1102" s="459" t="str">
        <f t="shared" si="623"/>
        <v/>
      </c>
      <c r="S1102" s="459" t="str">
        <f t="shared" si="624"/>
        <v/>
      </c>
      <c r="T1102" s="566" t="str">
        <f t="shared" si="609"/>
        <v/>
      </c>
      <c r="U1102" s="702"/>
      <c r="V1102" s="132"/>
      <c r="W1102" s="133"/>
      <c r="X1102" s="134"/>
      <c r="Y1102" s="135"/>
      <c r="Z1102" s="137"/>
      <c r="AA1102" s="136"/>
      <c r="AB1102" s="566" t="str">
        <f t="shared" si="610"/>
        <v/>
      </c>
      <c r="AC1102" s="568" t="str">
        <f t="shared" si="611"/>
        <v/>
      </c>
      <c r="AD1102" s="137"/>
      <c r="AE1102" s="137"/>
      <c r="AF1102" s="138"/>
      <c r="AG1102" s="138"/>
      <c r="AH1102" s="592" t="str">
        <f t="shared" si="612"/>
        <v/>
      </c>
      <c r="AI1102" s="592" t="str">
        <f t="shared" si="613"/>
        <v/>
      </c>
      <c r="AJ1102" s="592" t="str">
        <f t="shared" si="614"/>
        <v/>
      </c>
      <c r="AK1102" s="460" t="str">
        <f>IF(AU1102="","",IF(OR(AZ1102=8,AZ1102=9),0,IF(OR(AW1102=3,AW1102=4,AW1102=5,AW1102=6),IF(LEFT(BF1102,1)="1",INDEX(係数_NOX・PM低減,MATCH(AY1102,【参考】排出係数!$AI$801:$AI$804,1),1),VLOOKUP(AU1102,INDEX((係数_バス貨物_ガソリン,係数_バス貨物_CNG,係数_バス貨物_軽油,係数_バス貨物_メタノール,係数_バス貨物_LPG),MATCH(AY1102,【参考】排出係数!$AI$4:$AI$671,1),1,BE1102):INDEX((係数_バス貨物_ガソリン,係数_バス貨物_CNG,係数_バス貨物_軽油,係数_バス貨物_メタノール,係数_バス貨物_LPG),MATCH(AY1102+1,【参考】排出係数!$AI$4:$AI$671,1)-1,5,BE1102),4,FALSE)),IF(AND(BE1102=3,LEFT(BF1102,1)="1"),0.48,VLOOKUP(AU1102,INDEX((係数_乗用_ガソリン,係数_乗用_CNG,係数_乗用_軽油,係数_乗用_メタノール,係数_乗用_LPG),1,1,BE1102):INDEX((係数_乗用_ガソリン,係数_乗用_CNG,係数_乗用_軽油,係数_乗用_メタノール,係数_乗用_LPG),125,5,BE1102),4,FALSE)))))</f>
        <v/>
      </c>
      <c r="AL1102" s="461" t="str">
        <f t="shared" si="615"/>
        <v/>
      </c>
      <c r="AM1102" s="460" t="str">
        <f>IF(AU1102="","",IF(OR(AZ1102=8,AZ1102=9),0,IF(OR(AW1102=3,AW1102=4,AW1102=5,AW1102=6),IF(LEFT(BH1102,1)="1",INDEX(係数_PM低減,MATCH(AY1102,【参考】排出係数!$AI$801:$AI$804,1),MATCH(BI1102,【参考】排出係数!$AL$798:$AO$798,1)),VLOOKUP(AU1102,INDEX((係数_バス貨物_ガソリン,係数_バス貨物_CNG,係数_バス貨物_軽油,係数_バス貨物_メタノール,係数_バス貨物_LPG),MATCH(AY1102,【参考】排出係数!$AI$4:$AI$671,1),1,BE1102):INDEX((係数_バス貨物_ガソリン,係数_バス貨物_CNG,係数_バス貨物_軽油,係数_バス貨物_メタノール,係数_バス貨物_LPG),MATCH(AY1102+1,【参考】排出係数!$AI$4:$AI$671,1)-1,5,BE1102),5,FALSE)),IF(AND(BE1102=3,LEFT(BF1102,1)="1"),0.055,VLOOKUP(AU1102,INDEX((係数_乗用_ガソリン,係数_乗用_CNG,係数_乗用_軽油,係数_乗用_メタノール,係数_乗用_LPG),1,1,BE1102):INDEX((係数_乗用_ガソリン,係数_乗用_CNG,係数_乗用_軽油,係数_乗用_メタノール,係数_乗用_LPG),125,5,BE1102),5,FALSE)))))</f>
        <v/>
      </c>
      <c r="AN1102" s="461" t="str">
        <f t="shared" si="616"/>
        <v/>
      </c>
      <c r="AO1102" s="462" t="str">
        <f t="shared" si="617"/>
        <v/>
      </c>
      <c r="AP1102" s="463" t="str">
        <f t="shared" si="618"/>
        <v/>
      </c>
      <c r="AQ1102" s="464"/>
      <c r="AR1102" s="619"/>
      <c r="AS1102" s="465" t="str">
        <f t="shared" si="626"/>
        <v/>
      </c>
      <c r="AT1102" s="465" t="str">
        <f t="shared" si="627"/>
        <v/>
      </c>
      <c r="AU1102" s="466" t="str">
        <f t="shared" si="628"/>
        <v/>
      </c>
      <c r="AV1102" s="467" t="str">
        <f t="shared" si="629"/>
        <v/>
      </c>
      <c r="AW1102" s="467" t="str">
        <f t="shared" si="630"/>
        <v/>
      </c>
      <c r="AX1102" s="467" t="str">
        <f t="shared" si="631"/>
        <v/>
      </c>
      <c r="AY1102" s="467" t="str">
        <f t="shared" si="632"/>
        <v/>
      </c>
      <c r="AZ1102" s="467" t="str">
        <f t="shared" si="633"/>
        <v/>
      </c>
      <c r="BA1102" s="468" t="str">
        <f>IF(AS1102="","",IF(OR(AU1102="",AU1102="-"),"－",IF(OR(AZ1102=8,AZ1102=9),"",IF(OR(AW1102=3,AW1102=4,AW1102=5,AW1102=6),VLOOKUP(AU1102,INDEX((係数_バス貨物_ガソリン,係数_バス貨物_CNG,係数_バス貨物_軽油,係数_バス貨物_メタノール,係数_バス貨物_LPG),MATCH(AY1102,【参考】排出係数!$AI$4:$AI$671,1),1,BE1102):INDEX((係数_バス貨物_ガソリン,係数_バス貨物_CNG,係数_バス貨物_軽油,係数_バス貨物_メタノール,係数_バス貨物_LPG),MATCH(AY1102+1,【参考】排出係数!$AI$4:$AI$671,1)-1,5,BE1102),2,FALSE),IF(OR(AW1102=1,AW1102=2),VLOOKUP(AU1102,INDEX((係数_乗用_ガソリン,係数_乗用_CNG,係数_乗用_軽油,係数_乗用_メタノール,係数_乗用_LPG),1,1,BE1102):INDEX((係数_乗用_ガソリン,係数_乗用_CNG,係数_乗用_軽油,係数_乗用_メタノール,係数_乗用_LPG),125,5,BE1102),2,FALSE))))))</f>
        <v/>
      </c>
      <c r="BB1102" s="468" t="str">
        <f>IF(T1102="","",IF(OR(AU1102="",AU1102="-"),"－",IF(OR(AZ1102=8,AZ1102=9),"",IF(OR(AW1102=3,AW1102=4,AW1102=5,AW1102=6),VLOOKUP(AU1102,INDEX((係数_バス貨物_ガソリン,係数_バス貨物_CNG,係数_バス貨物_軽油,係数_バス貨物_メタノール,係数_バス貨物_LPG),MATCH(AY1102,【参考】排出係数!$AI$4:$AI$671,1),1,BE1102):INDEX((係数_バス貨物_ガソリン,係数_バス貨物_CNG,係数_バス貨物_軽油,係数_バス貨物_メタノール,係数_バス貨物_LPG),MATCH(AY1102+1,【参考】排出係数!$AI$4:$AI$671,1)-1,5,BE1102),3,FALSE),IF(OR(AW1102=1,AW1102=2),VLOOKUP(AU1102,INDEX((係数_乗用_ガソリン,係数_乗用_CNG,係数_乗用_軽油,係数_乗用_メタノール,係数_乗用_LPG),1,1,BE1102):INDEX((係数_乗用_ガソリン,係数_乗用_CNG,係数_乗用_軽油,係数_乗用_メタノール,係数_乗用_LPG),125,5,BE1102),3,FALSE))))))</f>
        <v/>
      </c>
      <c r="BC1102" s="467" t="str">
        <f t="shared" si="634"/>
        <v/>
      </c>
      <c r="BD1102" s="567" t="str">
        <f t="shared" si="635"/>
        <v/>
      </c>
      <c r="BE1102" s="467" t="str">
        <f t="shared" si="636"/>
        <v/>
      </c>
      <c r="BF1102" s="469" t="str">
        <f t="shared" ca="1" si="637"/>
        <v/>
      </c>
      <c r="BG1102" s="469" t="str">
        <f t="shared" ca="1" si="638"/>
        <v/>
      </c>
      <c r="BH1102" s="467" t="str">
        <f t="shared" si="639"/>
        <v/>
      </c>
      <c r="BI1102" s="467" t="str">
        <f t="shared" ca="1" si="640"/>
        <v/>
      </c>
      <c r="BJ1102" s="469" t="str">
        <f t="shared" si="641"/>
        <v/>
      </c>
      <c r="BK1102" s="470" t="str">
        <f t="shared" si="625"/>
        <v/>
      </c>
      <c r="BL1102" s="775" t="str">
        <f t="shared" si="642"/>
        <v/>
      </c>
      <c r="BM1102" s="775" t="str">
        <f t="shared" si="643"/>
        <v/>
      </c>
    </row>
    <row r="1103" spans="1:65">
      <c r="A1103" s="473">
        <v>1047</v>
      </c>
      <c r="B1103" s="132"/>
      <c r="C1103" s="332"/>
      <c r="D1103" s="333"/>
      <c r="E1103" s="333"/>
      <c r="F1103" s="334"/>
      <c r="G1103" s="337"/>
      <c r="H1103" s="131"/>
      <c r="I1103" s="337"/>
      <c r="J1103" s="131"/>
      <c r="K1103" s="458" t="str">
        <f t="shared" si="606"/>
        <v/>
      </c>
      <c r="L1103" s="458">
        <f t="shared" si="607"/>
        <v>0</v>
      </c>
      <c r="M1103" s="458">
        <f t="shared" si="608"/>
        <v>0</v>
      </c>
      <c r="N1103" s="459" t="str">
        <f t="shared" si="619"/>
        <v/>
      </c>
      <c r="O1103" s="459" t="str">
        <f t="shared" si="620"/>
        <v/>
      </c>
      <c r="P1103" s="459" t="str">
        <f t="shared" si="621"/>
        <v/>
      </c>
      <c r="Q1103" s="459" t="str">
        <f t="shared" si="622"/>
        <v/>
      </c>
      <c r="R1103" s="459" t="str">
        <f t="shared" si="623"/>
        <v/>
      </c>
      <c r="S1103" s="459" t="str">
        <f t="shared" si="624"/>
        <v/>
      </c>
      <c r="T1103" s="566" t="str">
        <f t="shared" si="609"/>
        <v/>
      </c>
      <c r="U1103" s="702"/>
      <c r="V1103" s="132"/>
      <c r="W1103" s="133"/>
      <c r="X1103" s="134"/>
      <c r="Y1103" s="135"/>
      <c r="Z1103" s="137"/>
      <c r="AA1103" s="136"/>
      <c r="AB1103" s="566" t="str">
        <f t="shared" si="610"/>
        <v/>
      </c>
      <c r="AC1103" s="568" t="str">
        <f t="shared" si="611"/>
        <v/>
      </c>
      <c r="AD1103" s="137"/>
      <c r="AE1103" s="137"/>
      <c r="AF1103" s="138"/>
      <c r="AG1103" s="138"/>
      <c r="AH1103" s="592" t="str">
        <f t="shared" si="612"/>
        <v/>
      </c>
      <c r="AI1103" s="592" t="str">
        <f t="shared" si="613"/>
        <v/>
      </c>
      <c r="AJ1103" s="592" t="str">
        <f t="shared" si="614"/>
        <v/>
      </c>
      <c r="AK1103" s="460" t="str">
        <f>IF(AU1103="","",IF(OR(AZ1103=8,AZ1103=9),0,IF(OR(AW1103=3,AW1103=4,AW1103=5,AW1103=6),IF(LEFT(BF1103,1)="1",INDEX(係数_NOX・PM低減,MATCH(AY1103,【参考】排出係数!$AI$801:$AI$804,1),1),VLOOKUP(AU1103,INDEX((係数_バス貨物_ガソリン,係数_バス貨物_CNG,係数_バス貨物_軽油,係数_バス貨物_メタノール,係数_バス貨物_LPG),MATCH(AY1103,【参考】排出係数!$AI$4:$AI$671,1),1,BE1103):INDEX((係数_バス貨物_ガソリン,係数_バス貨物_CNG,係数_バス貨物_軽油,係数_バス貨物_メタノール,係数_バス貨物_LPG),MATCH(AY1103+1,【参考】排出係数!$AI$4:$AI$671,1)-1,5,BE1103),4,FALSE)),IF(AND(BE1103=3,LEFT(BF1103,1)="1"),0.48,VLOOKUP(AU1103,INDEX((係数_乗用_ガソリン,係数_乗用_CNG,係数_乗用_軽油,係数_乗用_メタノール,係数_乗用_LPG),1,1,BE1103):INDEX((係数_乗用_ガソリン,係数_乗用_CNG,係数_乗用_軽油,係数_乗用_メタノール,係数_乗用_LPG),125,5,BE1103),4,FALSE)))))</f>
        <v/>
      </c>
      <c r="AL1103" s="461" t="str">
        <f t="shared" si="615"/>
        <v/>
      </c>
      <c r="AM1103" s="460" t="str">
        <f>IF(AU1103="","",IF(OR(AZ1103=8,AZ1103=9),0,IF(OR(AW1103=3,AW1103=4,AW1103=5,AW1103=6),IF(LEFT(BH1103,1)="1",INDEX(係数_PM低減,MATCH(AY1103,【参考】排出係数!$AI$801:$AI$804,1),MATCH(BI1103,【参考】排出係数!$AL$798:$AO$798,1)),VLOOKUP(AU1103,INDEX((係数_バス貨物_ガソリン,係数_バス貨物_CNG,係数_バス貨物_軽油,係数_バス貨物_メタノール,係数_バス貨物_LPG),MATCH(AY1103,【参考】排出係数!$AI$4:$AI$671,1),1,BE1103):INDEX((係数_バス貨物_ガソリン,係数_バス貨物_CNG,係数_バス貨物_軽油,係数_バス貨物_メタノール,係数_バス貨物_LPG),MATCH(AY1103+1,【参考】排出係数!$AI$4:$AI$671,1)-1,5,BE1103),5,FALSE)),IF(AND(BE1103=3,LEFT(BF1103,1)="1"),0.055,VLOOKUP(AU1103,INDEX((係数_乗用_ガソリン,係数_乗用_CNG,係数_乗用_軽油,係数_乗用_メタノール,係数_乗用_LPG),1,1,BE1103):INDEX((係数_乗用_ガソリン,係数_乗用_CNG,係数_乗用_軽油,係数_乗用_メタノール,係数_乗用_LPG),125,5,BE1103),5,FALSE)))))</f>
        <v/>
      </c>
      <c r="AN1103" s="461" t="str">
        <f t="shared" si="616"/>
        <v/>
      </c>
      <c r="AO1103" s="462" t="str">
        <f t="shared" si="617"/>
        <v/>
      </c>
      <c r="AP1103" s="463" t="str">
        <f t="shared" si="618"/>
        <v/>
      </c>
      <c r="AQ1103" s="464"/>
      <c r="AR1103" s="619"/>
      <c r="AS1103" s="465" t="str">
        <f t="shared" si="626"/>
        <v/>
      </c>
      <c r="AT1103" s="465" t="str">
        <f t="shared" si="627"/>
        <v/>
      </c>
      <c r="AU1103" s="466" t="str">
        <f t="shared" si="628"/>
        <v/>
      </c>
      <c r="AV1103" s="467" t="str">
        <f t="shared" si="629"/>
        <v/>
      </c>
      <c r="AW1103" s="467" t="str">
        <f t="shared" si="630"/>
        <v/>
      </c>
      <c r="AX1103" s="467" t="str">
        <f t="shared" si="631"/>
        <v/>
      </c>
      <c r="AY1103" s="467" t="str">
        <f t="shared" si="632"/>
        <v/>
      </c>
      <c r="AZ1103" s="467" t="str">
        <f t="shared" si="633"/>
        <v/>
      </c>
      <c r="BA1103" s="468" t="str">
        <f>IF(AS1103="","",IF(OR(AU1103="",AU1103="-"),"－",IF(OR(AZ1103=8,AZ1103=9),"",IF(OR(AW1103=3,AW1103=4,AW1103=5,AW1103=6),VLOOKUP(AU1103,INDEX((係数_バス貨物_ガソリン,係数_バス貨物_CNG,係数_バス貨物_軽油,係数_バス貨物_メタノール,係数_バス貨物_LPG),MATCH(AY1103,【参考】排出係数!$AI$4:$AI$671,1),1,BE1103):INDEX((係数_バス貨物_ガソリン,係数_バス貨物_CNG,係数_バス貨物_軽油,係数_バス貨物_メタノール,係数_バス貨物_LPG),MATCH(AY1103+1,【参考】排出係数!$AI$4:$AI$671,1)-1,5,BE1103),2,FALSE),IF(OR(AW1103=1,AW1103=2),VLOOKUP(AU1103,INDEX((係数_乗用_ガソリン,係数_乗用_CNG,係数_乗用_軽油,係数_乗用_メタノール,係数_乗用_LPG),1,1,BE1103):INDEX((係数_乗用_ガソリン,係数_乗用_CNG,係数_乗用_軽油,係数_乗用_メタノール,係数_乗用_LPG),125,5,BE1103),2,FALSE))))))</f>
        <v/>
      </c>
      <c r="BB1103" s="468" t="str">
        <f>IF(T1103="","",IF(OR(AU1103="",AU1103="-"),"－",IF(OR(AZ1103=8,AZ1103=9),"",IF(OR(AW1103=3,AW1103=4,AW1103=5,AW1103=6),VLOOKUP(AU1103,INDEX((係数_バス貨物_ガソリン,係数_バス貨物_CNG,係数_バス貨物_軽油,係数_バス貨物_メタノール,係数_バス貨物_LPG),MATCH(AY1103,【参考】排出係数!$AI$4:$AI$671,1),1,BE1103):INDEX((係数_バス貨物_ガソリン,係数_バス貨物_CNG,係数_バス貨物_軽油,係数_バス貨物_メタノール,係数_バス貨物_LPG),MATCH(AY1103+1,【参考】排出係数!$AI$4:$AI$671,1)-1,5,BE1103),3,FALSE),IF(OR(AW1103=1,AW1103=2),VLOOKUP(AU1103,INDEX((係数_乗用_ガソリン,係数_乗用_CNG,係数_乗用_軽油,係数_乗用_メタノール,係数_乗用_LPG),1,1,BE1103):INDEX((係数_乗用_ガソリン,係数_乗用_CNG,係数_乗用_軽油,係数_乗用_メタノール,係数_乗用_LPG),125,5,BE1103),3,FALSE))))))</f>
        <v/>
      </c>
      <c r="BC1103" s="467" t="str">
        <f t="shared" si="634"/>
        <v/>
      </c>
      <c r="BD1103" s="567" t="str">
        <f t="shared" si="635"/>
        <v/>
      </c>
      <c r="BE1103" s="467" t="str">
        <f t="shared" si="636"/>
        <v/>
      </c>
      <c r="BF1103" s="469" t="str">
        <f t="shared" ca="1" si="637"/>
        <v/>
      </c>
      <c r="BG1103" s="469" t="str">
        <f t="shared" ca="1" si="638"/>
        <v/>
      </c>
      <c r="BH1103" s="467" t="str">
        <f t="shared" si="639"/>
        <v/>
      </c>
      <c r="BI1103" s="467" t="str">
        <f t="shared" ca="1" si="640"/>
        <v/>
      </c>
      <c r="BJ1103" s="469" t="str">
        <f t="shared" si="641"/>
        <v/>
      </c>
      <c r="BK1103" s="470" t="str">
        <f t="shared" si="625"/>
        <v/>
      </c>
      <c r="BL1103" s="775" t="str">
        <f t="shared" si="642"/>
        <v/>
      </c>
      <c r="BM1103" s="775" t="str">
        <f t="shared" si="643"/>
        <v/>
      </c>
    </row>
    <row r="1104" spans="1:65">
      <c r="A1104" s="473">
        <v>1048</v>
      </c>
      <c r="B1104" s="132"/>
      <c r="C1104" s="332"/>
      <c r="D1104" s="333"/>
      <c r="E1104" s="333"/>
      <c r="F1104" s="334"/>
      <c r="G1104" s="337"/>
      <c r="H1104" s="131"/>
      <c r="I1104" s="337"/>
      <c r="J1104" s="131"/>
      <c r="K1104" s="458" t="str">
        <f t="shared" si="606"/>
        <v/>
      </c>
      <c r="L1104" s="458">
        <f t="shared" si="607"/>
        <v>0</v>
      </c>
      <c r="M1104" s="458">
        <f t="shared" si="608"/>
        <v>0</v>
      </c>
      <c r="N1104" s="459" t="str">
        <f t="shared" si="619"/>
        <v/>
      </c>
      <c r="O1104" s="459" t="str">
        <f t="shared" si="620"/>
        <v/>
      </c>
      <c r="P1104" s="459" t="str">
        <f t="shared" si="621"/>
        <v/>
      </c>
      <c r="Q1104" s="459" t="str">
        <f t="shared" si="622"/>
        <v/>
      </c>
      <c r="R1104" s="459" t="str">
        <f t="shared" si="623"/>
        <v/>
      </c>
      <c r="S1104" s="459" t="str">
        <f t="shared" si="624"/>
        <v/>
      </c>
      <c r="T1104" s="566" t="str">
        <f t="shared" si="609"/>
        <v/>
      </c>
      <c r="U1104" s="702"/>
      <c r="V1104" s="132"/>
      <c r="W1104" s="133"/>
      <c r="X1104" s="134"/>
      <c r="Y1104" s="135"/>
      <c r="Z1104" s="137"/>
      <c r="AA1104" s="136"/>
      <c r="AB1104" s="566" t="str">
        <f t="shared" si="610"/>
        <v/>
      </c>
      <c r="AC1104" s="568" t="str">
        <f t="shared" si="611"/>
        <v/>
      </c>
      <c r="AD1104" s="137"/>
      <c r="AE1104" s="137"/>
      <c r="AF1104" s="138"/>
      <c r="AG1104" s="138"/>
      <c r="AH1104" s="592" t="str">
        <f t="shared" si="612"/>
        <v/>
      </c>
      <c r="AI1104" s="592" t="str">
        <f t="shared" si="613"/>
        <v/>
      </c>
      <c r="AJ1104" s="592" t="str">
        <f t="shared" si="614"/>
        <v/>
      </c>
      <c r="AK1104" s="460" t="str">
        <f>IF(AU1104="","",IF(OR(AZ1104=8,AZ1104=9),0,IF(OR(AW1104=3,AW1104=4,AW1104=5,AW1104=6),IF(LEFT(BF1104,1)="1",INDEX(係数_NOX・PM低減,MATCH(AY1104,【参考】排出係数!$AI$801:$AI$804,1),1),VLOOKUP(AU1104,INDEX((係数_バス貨物_ガソリン,係数_バス貨物_CNG,係数_バス貨物_軽油,係数_バス貨物_メタノール,係数_バス貨物_LPG),MATCH(AY1104,【参考】排出係数!$AI$4:$AI$671,1),1,BE1104):INDEX((係数_バス貨物_ガソリン,係数_バス貨物_CNG,係数_バス貨物_軽油,係数_バス貨物_メタノール,係数_バス貨物_LPG),MATCH(AY1104+1,【参考】排出係数!$AI$4:$AI$671,1)-1,5,BE1104),4,FALSE)),IF(AND(BE1104=3,LEFT(BF1104,1)="1"),0.48,VLOOKUP(AU1104,INDEX((係数_乗用_ガソリン,係数_乗用_CNG,係数_乗用_軽油,係数_乗用_メタノール,係数_乗用_LPG),1,1,BE1104):INDEX((係数_乗用_ガソリン,係数_乗用_CNG,係数_乗用_軽油,係数_乗用_メタノール,係数_乗用_LPG),125,5,BE1104),4,FALSE)))))</f>
        <v/>
      </c>
      <c r="AL1104" s="461" t="str">
        <f t="shared" si="615"/>
        <v/>
      </c>
      <c r="AM1104" s="460" t="str">
        <f>IF(AU1104="","",IF(OR(AZ1104=8,AZ1104=9),0,IF(OR(AW1104=3,AW1104=4,AW1104=5,AW1104=6),IF(LEFT(BH1104,1)="1",INDEX(係数_PM低減,MATCH(AY1104,【参考】排出係数!$AI$801:$AI$804,1),MATCH(BI1104,【参考】排出係数!$AL$798:$AO$798,1)),VLOOKUP(AU1104,INDEX((係数_バス貨物_ガソリン,係数_バス貨物_CNG,係数_バス貨物_軽油,係数_バス貨物_メタノール,係数_バス貨物_LPG),MATCH(AY1104,【参考】排出係数!$AI$4:$AI$671,1),1,BE1104):INDEX((係数_バス貨物_ガソリン,係数_バス貨物_CNG,係数_バス貨物_軽油,係数_バス貨物_メタノール,係数_バス貨物_LPG),MATCH(AY1104+1,【参考】排出係数!$AI$4:$AI$671,1)-1,5,BE1104),5,FALSE)),IF(AND(BE1104=3,LEFT(BF1104,1)="1"),0.055,VLOOKUP(AU1104,INDEX((係数_乗用_ガソリン,係数_乗用_CNG,係数_乗用_軽油,係数_乗用_メタノール,係数_乗用_LPG),1,1,BE1104):INDEX((係数_乗用_ガソリン,係数_乗用_CNG,係数_乗用_軽油,係数_乗用_メタノール,係数_乗用_LPG),125,5,BE1104),5,FALSE)))))</f>
        <v/>
      </c>
      <c r="AN1104" s="461" t="str">
        <f t="shared" si="616"/>
        <v/>
      </c>
      <c r="AO1104" s="462" t="str">
        <f t="shared" si="617"/>
        <v/>
      </c>
      <c r="AP1104" s="463" t="str">
        <f t="shared" si="618"/>
        <v/>
      </c>
      <c r="AQ1104" s="464"/>
      <c r="AR1104" s="619"/>
      <c r="AS1104" s="465" t="str">
        <f t="shared" si="626"/>
        <v/>
      </c>
      <c r="AT1104" s="465" t="str">
        <f t="shared" si="627"/>
        <v/>
      </c>
      <c r="AU1104" s="466" t="str">
        <f t="shared" si="628"/>
        <v/>
      </c>
      <c r="AV1104" s="467" t="str">
        <f t="shared" si="629"/>
        <v/>
      </c>
      <c r="AW1104" s="467" t="str">
        <f t="shared" si="630"/>
        <v/>
      </c>
      <c r="AX1104" s="467" t="str">
        <f t="shared" si="631"/>
        <v/>
      </c>
      <c r="AY1104" s="467" t="str">
        <f t="shared" si="632"/>
        <v/>
      </c>
      <c r="AZ1104" s="467" t="str">
        <f t="shared" si="633"/>
        <v/>
      </c>
      <c r="BA1104" s="468" t="str">
        <f>IF(AS1104="","",IF(OR(AU1104="",AU1104="-"),"－",IF(OR(AZ1104=8,AZ1104=9),"",IF(OR(AW1104=3,AW1104=4,AW1104=5,AW1104=6),VLOOKUP(AU1104,INDEX((係数_バス貨物_ガソリン,係数_バス貨物_CNG,係数_バス貨物_軽油,係数_バス貨物_メタノール,係数_バス貨物_LPG),MATCH(AY1104,【参考】排出係数!$AI$4:$AI$671,1),1,BE1104):INDEX((係数_バス貨物_ガソリン,係数_バス貨物_CNG,係数_バス貨物_軽油,係数_バス貨物_メタノール,係数_バス貨物_LPG),MATCH(AY1104+1,【参考】排出係数!$AI$4:$AI$671,1)-1,5,BE1104),2,FALSE),IF(OR(AW1104=1,AW1104=2),VLOOKUP(AU1104,INDEX((係数_乗用_ガソリン,係数_乗用_CNG,係数_乗用_軽油,係数_乗用_メタノール,係数_乗用_LPG),1,1,BE1104):INDEX((係数_乗用_ガソリン,係数_乗用_CNG,係数_乗用_軽油,係数_乗用_メタノール,係数_乗用_LPG),125,5,BE1104),2,FALSE))))))</f>
        <v/>
      </c>
      <c r="BB1104" s="468" t="str">
        <f>IF(T1104="","",IF(OR(AU1104="",AU1104="-"),"－",IF(OR(AZ1104=8,AZ1104=9),"",IF(OR(AW1104=3,AW1104=4,AW1104=5,AW1104=6),VLOOKUP(AU1104,INDEX((係数_バス貨物_ガソリン,係数_バス貨物_CNG,係数_バス貨物_軽油,係数_バス貨物_メタノール,係数_バス貨物_LPG),MATCH(AY1104,【参考】排出係数!$AI$4:$AI$671,1),1,BE1104):INDEX((係数_バス貨物_ガソリン,係数_バス貨物_CNG,係数_バス貨物_軽油,係数_バス貨物_メタノール,係数_バス貨物_LPG),MATCH(AY1104+1,【参考】排出係数!$AI$4:$AI$671,1)-1,5,BE1104),3,FALSE),IF(OR(AW1104=1,AW1104=2),VLOOKUP(AU1104,INDEX((係数_乗用_ガソリン,係数_乗用_CNG,係数_乗用_軽油,係数_乗用_メタノール,係数_乗用_LPG),1,1,BE1104):INDEX((係数_乗用_ガソリン,係数_乗用_CNG,係数_乗用_軽油,係数_乗用_メタノール,係数_乗用_LPG),125,5,BE1104),3,FALSE))))))</f>
        <v/>
      </c>
      <c r="BC1104" s="467" t="str">
        <f t="shared" si="634"/>
        <v/>
      </c>
      <c r="BD1104" s="567" t="str">
        <f t="shared" si="635"/>
        <v/>
      </c>
      <c r="BE1104" s="467" t="str">
        <f t="shared" si="636"/>
        <v/>
      </c>
      <c r="BF1104" s="469" t="str">
        <f t="shared" ca="1" si="637"/>
        <v/>
      </c>
      <c r="BG1104" s="469" t="str">
        <f t="shared" ca="1" si="638"/>
        <v/>
      </c>
      <c r="BH1104" s="467" t="str">
        <f t="shared" si="639"/>
        <v/>
      </c>
      <c r="BI1104" s="467" t="str">
        <f t="shared" ca="1" si="640"/>
        <v/>
      </c>
      <c r="BJ1104" s="469" t="str">
        <f t="shared" si="641"/>
        <v/>
      </c>
      <c r="BK1104" s="470" t="str">
        <f t="shared" si="625"/>
        <v/>
      </c>
      <c r="BL1104" s="775" t="str">
        <f t="shared" si="642"/>
        <v/>
      </c>
      <c r="BM1104" s="775" t="str">
        <f t="shared" si="643"/>
        <v/>
      </c>
    </row>
    <row r="1105" spans="1:65">
      <c r="A1105" s="473">
        <v>1049</v>
      </c>
      <c r="B1105" s="132"/>
      <c r="C1105" s="332"/>
      <c r="D1105" s="333"/>
      <c r="E1105" s="333"/>
      <c r="F1105" s="334"/>
      <c r="G1105" s="337"/>
      <c r="H1105" s="131"/>
      <c r="I1105" s="337"/>
      <c r="J1105" s="131"/>
      <c r="K1105" s="458" t="str">
        <f t="shared" si="606"/>
        <v/>
      </c>
      <c r="L1105" s="458">
        <f t="shared" si="607"/>
        <v>0</v>
      </c>
      <c r="M1105" s="458">
        <f t="shared" si="608"/>
        <v>0</v>
      </c>
      <c r="N1105" s="459" t="str">
        <f t="shared" si="619"/>
        <v/>
      </c>
      <c r="O1105" s="459" t="str">
        <f t="shared" si="620"/>
        <v/>
      </c>
      <c r="P1105" s="459" t="str">
        <f t="shared" si="621"/>
        <v/>
      </c>
      <c r="Q1105" s="459" t="str">
        <f t="shared" si="622"/>
        <v/>
      </c>
      <c r="R1105" s="459" t="str">
        <f t="shared" si="623"/>
        <v/>
      </c>
      <c r="S1105" s="459" t="str">
        <f t="shared" si="624"/>
        <v/>
      </c>
      <c r="T1105" s="566" t="str">
        <f t="shared" si="609"/>
        <v/>
      </c>
      <c r="U1105" s="702"/>
      <c r="V1105" s="132"/>
      <c r="W1105" s="133"/>
      <c r="X1105" s="134"/>
      <c r="Y1105" s="135"/>
      <c r="Z1105" s="137"/>
      <c r="AA1105" s="136"/>
      <c r="AB1105" s="566" t="str">
        <f t="shared" si="610"/>
        <v/>
      </c>
      <c r="AC1105" s="568" t="str">
        <f t="shared" si="611"/>
        <v/>
      </c>
      <c r="AD1105" s="137"/>
      <c r="AE1105" s="137"/>
      <c r="AF1105" s="138"/>
      <c r="AG1105" s="138"/>
      <c r="AH1105" s="592" t="str">
        <f t="shared" si="612"/>
        <v/>
      </c>
      <c r="AI1105" s="592" t="str">
        <f t="shared" si="613"/>
        <v/>
      </c>
      <c r="AJ1105" s="592" t="str">
        <f t="shared" si="614"/>
        <v/>
      </c>
      <c r="AK1105" s="460" t="str">
        <f>IF(AU1105="","",IF(OR(AZ1105=8,AZ1105=9),0,IF(OR(AW1105=3,AW1105=4,AW1105=5,AW1105=6),IF(LEFT(BF1105,1)="1",INDEX(係数_NOX・PM低減,MATCH(AY1105,【参考】排出係数!$AI$801:$AI$804,1),1),VLOOKUP(AU1105,INDEX((係数_バス貨物_ガソリン,係数_バス貨物_CNG,係数_バス貨物_軽油,係数_バス貨物_メタノール,係数_バス貨物_LPG),MATCH(AY1105,【参考】排出係数!$AI$4:$AI$671,1),1,BE1105):INDEX((係数_バス貨物_ガソリン,係数_バス貨物_CNG,係数_バス貨物_軽油,係数_バス貨物_メタノール,係数_バス貨物_LPG),MATCH(AY1105+1,【参考】排出係数!$AI$4:$AI$671,1)-1,5,BE1105),4,FALSE)),IF(AND(BE1105=3,LEFT(BF1105,1)="1"),0.48,VLOOKUP(AU1105,INDEX((係数_乗用_ガソリン,係数_乗用_CNG,係数_乗用_軽油,係数_乗用_メタノール,係数_乗用_LPG),1,1,BE1105):INDEX((係数_乗用_ガソリン,係数_乗用_CNG,係数_乗用_軽油,係数_乗用_メタノール,係数_乗用_LPG),125,5,BE1105),4,FALSE)))))</f>
        <v/>
      </c>
      <c r="AL1105" s="461" t="str">
        <f t="shared" si="615"/>
        <v/>
      </c>
      <c r="AM1105" s="460" t="str">
        <f>IF(AU1105="","",IF(OR(AZ1105=8,AZ1105=9),0,IF(OR(AW1105=3,AW1105=4,AW1105=5,AW1105=6),IF(LEFT(BH1105,1)="1",INDEX(係数_PM低減,MATCH(AY1105,【参考】排出係数!$AI$801:$AI$804,1),MATCH(BI1105,【参考】排出係数!$AL$798:$AO$798,1)),VLOOKUP(AU1105,INDEX((係数_バス貨物_ガソリン,係数_バス貨物_CNG,係数_バス貨物_軽油,係数_バス貨物_メタノール,係数_バス貨物_LPG),MATCH(AY1105,【参考】排出係数!$AI$4:$AI$671,1),1,BE1105):INDEX((係数_バス貨物_ガソリン,係数_バス貨物_CNG,係数_バス貨物_軽油,係数_バス貨物_メタノール,係数_バス貨物_LPG),MATCH(AY1105+1,【参考】排出係数!$AI$4:$AI$671,1)-1,5,BE1105),5,FALSE)),IF(AND(BE1105=3,LEFT(BF1105,1)="1"),0.055,VLOOKUP(AU1105,INDEX((係数_乗用_ガソリン,係数_乗用_CNG,係数_乗用_軽油,係数_乗用_メタノール,係数_乗用_LPG),1,1,BE1105):INDEX((係数_乗用_ガソリン,係数_乗用_CNG,係数_乗用_軽油,係数_乗用_メタノール,係数_乗用_LPG),125,5,BE1105),5,FALSE)))))</f>
        <v/>
      </c>
      <c r="AN1105" s="461" t="str">
        <f t="shared" si="616"/>
        <v/>
      </c>
      <c r="AO1105" s="462" t="str">
        <f t="shared" si="617"/>
        <v/>
      </c>
      <c r="AP1105" s="463" t="str">
        <f t="shared" si="618"/>
        <v/>
      </c>
      <c r="AQ1105" s="464"/>
      <c r="AR1105" s="619"/>
      <c r="AS1105" s="465" t="str">
        <f t="shared" si="626"/>
        <v/>
      </c>
      <c r="AT1105" s="465" t="str">
        <f t="shared" si="627"/>
        <v/>
      </c>
      <c r="AU1105" s="466" t="str">
        <f t="shared" si="628"/>
        <v/>
      </c>
      <c r="AV1105" s="467" t="str">
        <f t="shared" si="629"/>
        <v/>
      </c>
      <c r="AW1105" s="467" t="str">
        <f t="shared" si="630"/>
        <v/>
      </c>
      <c r="AX1105" s="467" t="str">
        <f t="shared" si="631"/>
        <v/>
      </c>
      <c r="AY1105" s="467" t="str">
        <f t="shared" si="632"/>
        <v/>
      </c>
      <c r="AZ1105" s="467" t="str">
        <f t="shared" si="633"/>
        <v/>
      </c>
      <c r="BA1105" s="468" t="str">
        <f>IF(AS1105="","",IF(OR(AU1105="",AU1105="-"),"－",IF(OR(AZ1105=8,AZ1105=9),"",IF(OR(AW1105=3,AW1105=4,AW1105=5,AW1105=6),VLOOKUP(AU1105,INDEX((係数_バス貨物_ガソリン,係数_バス貨物_CNG,係数_バス貨物_軽油,係数_バス貨物_メタノール,係数_バス貨物_LPG),MATCH(AY1105,【参考】排出係数!$AI$4:$AI$671,1),1,BE1105):INDEX((係数_バス貨物_ガソリン,係数_バス貨物_CNG,係数_バス貨物_軽油,係数_バス貨物_メタノール,係数_バス貨物_LPG),MATCH(AY1105+1,【参考】排出係数!$AI$4:$AI$671,1)-1,5,BE1105),2,FALSE),IF(OR(AW1105=1,AW1105=2),VLOOKUP(AU1105,INDEX((係数_乗用_ガソリン,係数_乗用_CNG,係数_乗用_軽油,係数_乗用_メタノール,係数_乗用_LPG),1,1,BE1105):INDEX((係数_乗用_ガソリン,係数_乗用_CNG,係数_乗用_軽油,係数_乗用_メタノール,係数_乗用_LPG),125,5,BE1105),2,FALSE))))))</f>
        <v/>
      </c>
      <c r="BB1105" s="468" t="str">
        <f>IF(T1105="","",IF(OR(AU1105="",AU1105="-"),"－",IF(OR(AZ1105=8,AZ1105=9),"",IF(OR(AW1105=3,AW1105=4,AW1105=5,AW1105=6),VLOOKUP(AU1105,INDEX((係数_バス貨物_ガソリン,係数_バス貨物_CNG,係数_バス貨物_軽油,係数_バス貨物_メタノール,係数_バス貨物_LPG),MATCH(AY1105,【参考】排出係数!$AI$4:$AI$671,1),1,BE1105):INDEX((係数_バス貨物_ガソリン,係数_バス貨物_CNG,係数_バス貨物_軽油,係数_バス貨物_メタノール,係数_バス貨物_LPG),MATCH(AY1105+1,【参考】排出係数!$AI$4:$AI$671,1)-1,5,BE1105),3,FALSE),IF(OR(AW1105=1,AW1105=2),VLOOKUP(AU1105,INDEX((係数_乗用_ガソリン,係数_乗用_CNG,係数_乗用_軽油,係数_乗用_メタノール,係数_乗用_LPG),1,1,BE1105):INDEX((係数_乗用_ガソリン,係数_乗用_CNG,係数_乗用_軽油,係数_乗用_メタノール,係数_乗用_LPG),125,5,BE1105),3,FALSE))))))</f>
        <v/>
      </c>
      <c r="BC1105" s="467" t="str">
        <f t="shared" si="634"/>
        <v/>
      </c>
      <c r="BD1105" s="567" t="str">
        <f t="shared" si="635"/>
        <v/>
      </c>
      <c r="BE1105" s="467" t="str">
        <f t="shared" si="636"/>
        <v/>
      </c>
      <c r="BF1105" s="469" t="str">
        <f t="shared" ca="1" si="637"/>
        <v/>
      </c>
      <c r="BG1105" s="469" t="str">
        <f t="shared" ca="1" si="638"/>
        <v/>
      </c>
      <c r="BH1105" s="467" t="str">
        <f t="shared" si="639"/>
        <v/>
      </c>
      <c r="BI1105" s="467" t="str">
        <f t="shared" ca="1" si="640"/>
        <v/>
      </c>
      <c r="BJ1105" s="469" t="str">
        <f t="shared" si="641"/>
        <v/>
      </c>
      <c r="BK1105" s="470" t="str">
        <f t="shared" si="625"/>
        <v/>
      </c>
      <c r="BL1105" s="775" t="str">
        <f t="shared" si="642"/>
        <v/>
      </c>
      <c r="BM1105" s="775" t="str">
        <f t="shared" si="643"/>
        <v/>
      </c>
    </row>
    <row r="1106" spans="1:65">
      <c r="A1106" s="473">
        <v>1050</v>
      </c>
      <c r="B1106" s="132"/>
      <c r="C1106" s="332"/>
      <c r="D1106" s="333"/>
      <c r="E1106" s="333"/>
      <c r="F1106" s="334"/>
      <c r="G1106" s="337"/>
      <c r="H1106" s="131"/>
      <c r="I1106" s="337"/>
      <c r="J1106" s="131"/>
      <c r="K1106" s="458" t="str">
        <f t="shared" si="606"/>
        <v/>
      </c>
      <c r="L1106" s="458">
        <f t="shared" si="607"/>
        <v>0</v>
      </c>
      <c r="M1106" s="458">
        <f t="shared" si="608"/>
        <v>0</v>
      </c>
      <c r="N1106" s="459" t="str">
        <f t="shared" si="619"/>
        <v/>
      </c>
      <c r="O1106" s="459" t="str">
        <f t="shared" si="620"/>
        <v/>
      </c>
      <c r="P1106" s="459" t="str">
        <f t="shared" si="621"/>
        <v/>
      </c>
      <c r="Q1106" s="459" t="str">
        <f t="shared" si="622"/>
        <v/>
      </c>
      <c r="R1106" s="459" t="str">
        <f t="shared" si="623"/>
        <v/>
      </c>
      <c r="S1106" s="459" t="str">
        <f t="shared" si="624"/>
        <v/>
      </c>
      <c r="T1106" s="566" t="str">
        <f t="shared" si="609"/>
        <v/>
      </c>
      <c r="U1106" s="702"/>
      <c r="V1106" s="132"/>
      <c r="W1106" s="133"/>
      <c r="X1106" s="134"/>
      <c r="Y1106" s="135"/>
      <c r="Z1106" s="137"/>
      <c r="AA1106" s="136"/>
      <c r="AB1106" s="566" t="str">
        <f t="shared" si="610"/>
        <v/>
      </c>
      <c r="AC1106" s="568" t="str">
        <f t="shared" si="611"/>
        <v/>
      </c>
      <c r="AD1106" s="137"/>
      <c r="AE1106" s="137"/>
      <c r="AF1106" s="138"/>
      <c r="AG1106" s="138"/>
      <c r="AH1106" s="592" t="str">
        <f t="shared" si="612"/>
        <v/>
      </c>
      <c r="AI1106" s="592" t="str">
        <f t="shared" si="613"/>
        <v/>
      </c>
      <c r="AJ1106" s="592" t="str">
        <f t="shared" si="614"/>
        <v/>
      </c>
      <c r="AK1106" s="460" t="str">
        <f>IF(AU1106="","",IF(OR(AZ1106=8,AZ1106=9),0,IF(OR(AW1106=3,AW1106=4,AW1106=5,AW1106=6),IF(LEFT(BF1106,1)="1",INDEX(係数_NOX・PM低減,MATCH(AY1106,【参考】排出係数!$AI$801:$AI$804,1),1),VLOOKUP(AU1106,INDEX((係数_バス貨物_ガソリン,係数_バス貨物_CNG,係数_バス貨物_軽油,係数_バス貨物_メタノール,係数_バス貨物_LPG),MATCH(AY1106,【参考】排出係数!$AI$4:$AI$671,1),1,BE1106):INDEX((係数_バス貨物_ガソリン,係数_バス貨物_CNG,係数_バス貨物_軽油,係数_バス貨物_メタノール,係数_バス貨物_LPG),MATCH(AY1106+1,【参考】排出係数!$AI$4:$AI$671,1)-1,5,BE1106),4,FALSE)),IF(AND(BE1106=3,LEFT(BF1106,1)="1"),0.48,VLOOKUP(AU1106,INDEX((係数_乗用_ガソリン,係数_乗用_CNG,係数_乗用_軽油,係数_乗用_メタノール,係数_乗用_LPG),1,1,BE1106):INDEX((係数_乗用_ガソリン,係数_乗用_CNG,係数_乗用_軽油,係数_乗用_メタノール,係数_乗用_LPG),125,5,BE1106),4,FALSE)))))</f>
        <v/>
      </c>
      <c r="AL1106" s="461" t="str">
        <f t="shared" si="615"/>
        <v/>
      </c>
      <c r="AM1106" s="460" t="str">
        <f>IF(AU1106="","",IF(OR(AZ1106=8,AZ1106=9),0,IF(OR(AW1106=3,AW1106=4,AW1106=5,AW1106=6),IF(LEFT(BH1106,1)="1",INDEX(係数_PM低減,MATCH(AY1106,【参考】排出係数!$AI$801:$AI$804,1),MATCH(BI1106,【参考】排出係数!$AL$798:$AO$798,1)),VLOOKUP(AU1106,INDEX((係数_バス貨物_ガソリン,係数_バス貨物_CNG,係数_バス貨物_軽油,係数_バス貨物_メタノール,係数_バス貨物_LPG),MATCH(AY1106,【参考】排出係数!$AI$4:$AI$671,1),1,BE1106):INDEX((係数_バス貨物_ガソリン,係数_バス貨物_CNG,係数_バス貨物_軽油,係数_バス貨物_メタノール,係数_バス貨物_LPG),MATCH(AY1106+1,【参考】排出係数!$AI$4:$AI$671,1)-1,5,BE1106),5,FALSE)),IF(AND(BE1106=3,LEFT(BF1106,1)="1"),0.055,VLOOKUP(AU1106,INDEX((係数_乗用_ガソリン,係数_乗用_CNG,係数_乗用_軽油,係数_乗用_メタノール,係数_乗用_LPG),1,1,BE1106):INDEX((係数_乗用_ガソリン,係数_乗用_CNG,係数_乗用_軽油,係数_乗用_メタノール,係数_乗用_LPG),125,5,BE1106),5,FALSE)))))</f>
        <v/>
      </c>
      <c r="AN1106" s="461" t="str">
        <f t="shared" si="616"/>
        <v/>
      </c>
      <c r="AO1106" s="462" t="str">
        <f t="shared" si="617"/>
        <v/>
      </c>
      <c r="AP1106" s="463" t="str">
        <f t="shared" si="618"/>
        <v/>
      </c>
      <c r="AQ1106" s="464"/>
      <c r="AR1106" s="619"/>
      <c r="AS1106" s="465" t="str">
        <f t="shared" si="626"/>
        <v/>
      </c>
      <c r="AT1106" s="465" t="str">
        <f t="shared" si="627"/>
        <v/>
      </c>
      <c r="AU1106" s="466" t="str">
        <f t="shared" si="628"/>
        <v/>
      </c>
      <c r="AV1106" s="467" t="str">
        <f t="shared" si="629"/>
        <v/>
      </c>
      <c r="AW1106" s="467" t="str">
        <f t="shared" si="630"/>
        <v/>
      </c>
      <c r="AX1106" s="467" t="str">
        <f t="shared" si="631"/>
        <v/>
      </c>
      <c r="AY1106" s="467" t="str">
        <f t="shared" si="632"/>
        <v/>
      </c>
      <c r="AZ1106" s="467" t="str">
        <f t="shared" si="633"/>
        <v/>
      </c>
      <c r="BA1106" s="468" t="str">
        <f>IF(AS1106="","",IF(OR(AU1106="",AU1106="-"),"－",IF(OR(AZ1106=8,AZ1106=9),"",IF(OR(AW1106=3,AW1106=4,AW1106=5,AW1106=6),VLOOKUP(AU1106,INDEX((係数_バス貨物_ガソリン,係数_バス貨物_CNG,係数_バス貨物_軽油,係数_バス貨物_メタノール,係数_バス貨物_LPG),MATCH(AY1106,【参考】排出係数!$AI$4:$AI$671,1),1,BE1106):INDEX((係数_バス貨物_ガソリン,係数_バス貨物_CNG,係数_バス貨物_軽油,係数_バス貨物_メタノール,係数_バス貨物_LPG),MATCH(AY1106+1,【参考】排出係数!$AI$4:$AI$671,1)-1,5,BE1106),2,FALSE),IF(OR(AW1106=1,AW1106=2),VLOOKUP(AU1106,INDEX((係数_乗用_ガソリン,係数_乗用_CNG,係数_乗用_軽油,係数_乗用_メタノール,係数_乗用_LPG),1,1,BE1106):INDEX((係数_乗用_ガソリン,係数_乗用_CNG,係数_乗用_軽油,係数_乗用_メタノール,係数_乗用_LPG),125,5,BE1106),2,FALSE))))))</f>
        <v/>
      </c>
      <c r="BB1106" s="468" t="str">
        <f>IF(T1106="","",IF(OR(AU1106="",AU1106="-"),"－",IF(OR(AZ1106=8,AZ1106=9),"",IF(OR(AW1106=3,AW1106=4,AW1106=5,AW1106=6),VLOOKUP(AU1106,INDEX((係数_バス貨物_ガソリン,係数_バス貨物_CNG,係数_バス貨物_軽油,係数_バス貨物_メタノール,係数_バス貨物_LPG),MATCH(AY1106,【参考】排出係数!$AI$4:$AI$671,1),1,BE1106):INDEX((係数_バス貨物_ガソリン,係数_バス貨物_CNG,係数_バス貨物_軽油,係数_バス貨物_メタノール,係数_バス貨物_LPG),MATCH(AY1106+1,【参考】排出係数!$AI$4:$AI$671,1)-1,5,BE1106),3,FALSE),IF(OR(AW1106=1,AW1106=2),VLOOKUP(AU1106,INDEX((係数_乗用_ガソリン,係数_乗用_CNG,係数_乗用_軽油,係数_乗用_メタノール,係数_乗用_LPG),1,1,BE1106):INDEX((係数_乗用_ガソリン,係数_乗用_CNG,係数_乗用_軽油,係数_乗用_メタノール,係数_乗用_LPG),125,5,BE1106),3,FALSE))))))</f>
        <v/>
      </c>
      <c r="BC1106" s="467" t="str">
        <f t="shared" si="634"/>
        <v/>
      </c>
      <c r="BD1106" s="567" t="str">
        <f t="shared" si="635"/>
        <v/>
      </c>
      <c r="BE1106" s="467" t="str">
        <f t="shared" si="636"/>
        <v/>
      </c>
      <c r="BF1106" s="469" t="str">
        <f t="shared" ca="1" si="637"/>
        <v/>
      </c>
      <c r="BG1106" s="469" t="str">
        <f t="shared" ca="1" si="638"/>
        <v/>
      </c>
      <c r="BH1106" s="467" t="str">
        <f t="shared" si="639"/>
        <v/>
      </c>
      <c r="BI1106" s="467" t="str">
        <f t="shared" ca="1" si="640"/>
        <v/>
      </c>
      <c r="BJ1106" s="469" t="str">
        <f t="shared" si="641"/>
        <v/>
      </c>
      <c r="BK1106" s="470" t="str">
        <f t="shared" si="625"/>
        <v/>
      </c>
      <c r="BL1106" s="775" t="str">
        <f t="shared" si="642"/>
        <v/>
      </c>
      <c r="BM1106" s="775" t="str">
        <f t="shared" si="643"/>
        <v/>
      </c>
    </row>
    <row r="1107" spans="1:65">
      <c r="A1107" s="473">
        <v>1051</v>
      </c>
      <c r="B1107" s="132"/>
      <c r="C1107" s="332"/>
      <c r="D1107" s="333"/>
      <c r="E1107" s="333"/>
      <c r="F1107" s="334"/>
      <c r="G1107" s="337"/>
      <c r="H1107" s="131"/>
      <c r="I1107" s="337"/>
      <c r="J1107" s="131"/>
      <c r="K1107" s="458" t="str">
        <f t="shared" si="606"/>
        <v/>
      </c>
      <c r="L1107" s="458">
        <f t="shared" si="607"/>
        <v>0</v>
      </c>
      <c r="M1107" s="458">
        <f t="shared" si="608"/>
        <v>0</v>
      </c>
      <c r="N1107" s="459" t="str">
        <f t="shared" si="619"/>
        <v/>
      </c>
      <c r="O1107" s="459" t="str">
        <f t="shared" si="620"/>
        <v/>
      </c>
      <c r="P1107" s="459" t="str">
        <f t="shared" si="621"/>
        <v/>
      </c>
      <c r="Q1107" s="459" t="str">
        <f t="shared" si="622"/>
        <v/>
      </c>
      <c r="R1107" s="459" t="str">
        <f t="shared" si="623"/>
        <v/>
      </c>
      <c r="S1107" s="459" t="str">
        <f t="shared" si="624"/>
        <v/>
      </c>
      <c r="T1107" s="566" t="str">
        <f t="shared" si="609"/>
        <v/>
      </c>
      <c r="U1107" s="702"/>
      <c r="V1107" s="132"/>
      <c r="W1107" s="133"/>
      <c r="X1107" s="134"/>
      <c r="Y1107" s="135"/>
      <c r="Z1107" s="137"/>
      <c r="AA1107" s="136"/>
      <c r="AB1107" s="566" t="str">
        <f t="shared" si="610"/>
        <v/>
      </c>
      <c r="AC1107" s="568" t="str">
        <f t="shared" si="611"/>
        <v/>
      </c>
      <c r="AD1107" s="137"/>
      <c r="AE1107" s="137"/>
      <c r="AF1107" s="138"/>
      <c r="AG1107" s="138"/>
      <c r="AH1107" s="592" t="str">
        <f t="shared" si="612"/>
        <v/>
      </c>
      <c r="AI1107" s="592" t="str">
        <f t="shared" si="613"/>
        <v/>
      </c>
      <c r="AJ1107" s="592" t="str">
        <f t="shared" si="614"/>
        <v/>
      </c>
      <c r="AK1107" s="460" t="str">
        <f>IF(AU1107="","",IF(OR(AZ1107=8,AZ1107=9),0,IF(OR(AW1107=3,AW1107=4,AW1107=5,AW1107=6),IF(LEFT(BF1107,1)="1",INDEX(係数_NOX・PM低減,MATCH(AY1107,【参考】排出係数!$AI$801:$AI$804,1),1),VLOOKUP(AU1107,INDEX((係数_バス貨物_ガソリン,係数_バス貨物_CNG,係数_バス貨物_軽油,係数_バス貨物_メタノール,係数_バス貨物_LPG),MATCH(AY1107,【参考】排出係数!$AI$4:$AI$671,1),1,BE1107):INDEX((係数_バス貨物_ガソリン,係数_バス貨物_CNG,係数_バス貨物_軽油,係数_バス貨物_メタノール,係数_バス貨物_LPG),MATCH(AY1107+1,【参考】排出係数!$AI$4:$AI$671,1)-1,5,BE1107),4,FALSE)),IF(AND(BE1107=3,LEFT(BF1107,1)="1"),0.48,VLOOKUP(AU1107,INDEX((係数_乗用_ガソリン,係数_乗用_CNG,係数_乗用_軽油,係数_乗用_メタノール,係数_乗用_LPG),1,1,BE1107):INDEX((係数_乗用_ガソリン,係数_乗用_CNG,係数_乗用_軽油,係数_乗用_メタノール,係数_乗用_LPG),125,5,BE1107),4,FALSE)))))</f>
        <v/>
      </c>
      <c r="AL1107" s="461" t="str">
        <f t="shared" si="615"/>
        <v/>
      </c>
      <c r="AM1107" s="460" t="str">
        <f>IF(AU1107="","",IF(OR(AZ1107=8,AZ1107=9),0,IF(OR(AW1107=3,AW1107=4,AW1107=5,AW1107=6),IF(LEFT(BH1107,1)="1",INDEX(係数_PM低減,MATCH(AY1107,【参考】排出係数!$AI$801:$AI$804,1),MATCH(BI1107,【参考】排出係数!$AL$798:$AO$798,1)),VLOOKUP(AU1107,INDEX((係数_バス貨物_ガソリン,係数_バス貨物_CNG,係数_バス貨物_軽油,係数_バス貨物_メタノール,係数_バス貨物_LPG),MATCH(AY1107,【参考】排出係数!$AI$4:$AI$671,1),1,BE1107):INDEX((係数_バス貨物_ガソリン,係数_バス貨物_CNG,係数_バス貨物_軽油,係数_バス貨物_メタノール,係数_バス貨物_LPG),MATCH(AY1107+1,【参考】排出係数!$AI$4:$AI$671,1)-1,5,BE1107),5,FALSE)),IF(AND(BE1107=3,LEFT(BF1107,1)="1"),0.055,VLOOKUP(AU1107,INDEX((係数_乗用_ガソリン,係数_乗用_CNG,係数_乗用_軽油,係数_乗用_メタノール,係数_乗用_LPG),1,1,BE1107):INDEX((係数_乗用_ガソリン,係数_乗用_CNG,係数_乗用_軽油,係数_乗用_メタノール,係数_乗用_LPG),125,5,BE1107),5,FALSE)))))</f>
        <v/>
      </c>
      <c r="AN1107" s="461" t="str">
        <f t="shared" si="616"/>
        <v/>
      </c>
      <c r="AO1107" s="462" t="str">
        <f t="shared" si="617"/>
        <v/>
      </c>
      <c r="AP1107" s="463" t="str">
        <f t="shared" si="618"/>
        <v/>
      </c>
      <c r="AQ1107" s="464"/>
      <c r="AR1107" s="619"/>
      <c r="AS1107" s="465" t="str">
        <f t="shared" si="626"/>
        <v/>
      </c>
      <c r="AT1107" s="465" t="str">
        <f t="shared" si="627"/>
        <v/>
      </c>
      <c r="AU1107" s="466" t="str">
        <f t="shared" si="628"/>
        <v/>
      </c>
      <c r="AV1107" s="467" t="str">
        <f t="shared" si="629"/>
        <v/>
      </c>
      <c r="AW1107" s="467" t="str">
        <f t="shared" si="630"/>
        <v/>
      </c>
      <c r="AX1107" s="467" t="str">
        <f t="shared" si="631"/>
        <v/>
      </c>
      <c r="AY1107" s="467" t="str">
        <f t="shared" si="632"/>
        <v/>
      </c>
      <c r="AZ1107" s="467" t="str">
        <f t="shared" si="633"/>
        <v/>
      </c>
      <c r="BA1107" s="468" t="str">
        <f>IF(AS1107="","",IF(OR(AU1107="",AU1107="-"),"－",IF(OR(AZ1107=8,AZ1107=9),"",IF(OR(AW1107=3,AW1107=4,AW1107=5,AW1107=6),VLOOKUP(AU1107,INDEX((係数_バス貨物_ガソリン,係数_バス貨物_CNG,係数_バス貨物_軽油,係数_バス貨物_メタノール,係数_バス貨物_LPG),MATCH(AY1107,【参考】排出係数!$AI$4:$AI$671,1),1,BE1107):INDEX((係数_バス貨物_ガソリン,係数_バス貨物_CNG,係数_バス貨物_軽油,係数_バス貨物_メタノール,係数_バス貨物_LPG),MATCH(AY1107+1,【参考】排出係数!$AI$4:$AI$671,1)-1,5,BE1107),2,FALSE),IF(OR(AW1107=1,AW1107=2),VLOOKUP(AU1107,INDEX((係数_乗用_ガソリン,係数_乗用_CNG,係数_乗用_軽油,係数_乗用_メタノール,係数_乗用_LPG),1,1,BE1107):INDEX((係数_乗用_ガソリン,係数_乗用_CNG,係数_乗用_軽油,係数_乗用_メタノール,係数_乗用_LPG),125,5,BE1107),2,FALSE))))))</f>
        <v/>
      </c>
      <c r="BB1107" s="468" t="str">
        <f>IF(T1107="","",IF(OR(AU1107="",AU1107="-"),"－",IF(OR(AZ1107=8,AZ1107=9),"",IF(OR(AW1107=3,AW1107=4,AW1107=5,AW1107=6),VLOOKUP(AU1107,INDEX((係数_バス貨物_ガソリン,係数_バス貨物_CNG,係数_バス貨物_軽油,係数_バス貨物_メタノール,係数_バス貨物_LPG),MATCH(AY1107,【参考】排出係数!$AI$4:$AI$671,1),1,BE1107):INDEX((係数_バス貨物_ガソリン,係数_バス貨物_CNG,係数_バス貨物_軽油,係数_バス貨物_メタノール,係数_バス貨物_LPG),MATCH(AY1107+1,【参考】排出係数!$AI$4:$AI$671,1)-1,5,BE1107),3,FALSE),IF(OR(AW1107=1,AW1107=2),VLOOKUP(AU1107,INDEX((係数_乗用_ガソリン,係数_乗用_CNG,係数_乗用_軽油,係数_乗用_メタノール,係数_乗用_LPG),1,1,BE1107):INDEX((係数_乗用_ガソリン,係数_乗用_CNG,係数_乗用_軽油,係数_乗用_メタノール,係数_乗用_LPG),125,5,BE1107),3,FALSE))))))</f>
        <v/>
      </c>
      <c r="BC1107" s="467" t="str">
        <f t="shared" si="634"/>
        <v/>
      </c>
      <c r="BD1107" s="567" t="str">
        <f t="shared" si="635"/>
        <v/>
      </c>
      <c r="BE1107" s="467" t="str">
        <f t="shared" si="636"/>
        <v/>
      </c>
      <c r="BF1107" s="469" t="str">
        <f t="shared" ca="1" si="637"/>
        <v/>
      </c>
      <c r="BG1107" s="469" t="str">
        <f t="shared" ca="1" si="638"/>
        <v/>
      </c>
      <c r="BH1107" s="467" t="str">
        <f t="shared" si="639"/>
        <v/>
      </c>
      <c r="BI1107" s="467" t="str">
        <f t="shared" ca="1" si="640"/>
        <v/>
      </c>
      <c r="BJ1107" s="469" t="str">
        <f t="shared" si="641"/>
        <v/>
      </c>
      <c r="BK1107" s="470" t="str">
        <f t="shared" si="625"/>
        <v/>
      </c>
      <c r="BL1107" s="775" t="str">
        <f t="shared" si="642"/>
        <v/>
      </c>
      <c r="BM1107" s="775" t="str">
        <f t="shared" si="643"/>
        <v/>
      </c>
    </row>
    <row r="1108" spans="1:65">
      <c r="A1108" s="473">
        <v>1052</v>
      </c>
      <c r="B1108" s="132"/>
      <c r="C1108" s="332"/>
      <c r="D1108" s="333"/>
      <c r="E1108" s="333"/>
      <c r="F1108" s="334"/>
      <c r="G1108" s="337"/>
      <c r="H1108" s="131"/>
      <c r="I1108" s="337"/>
      <c r="J1108" s="131"/>
      <c r="K1108" s="458" t="str">
        <f t="shared" si="606"/>
        <v/>
      </c>
      <c r="L1108" s="458">
        <f t="shared" si="607"/>
        <v>0</v>
      </c>
      <c r="M1108" s="458">
        <f t="shared" si="608"/>
        <v>0</v>
      </c>
      <c r="N1108" s="459" t="str">
        <f t="shared" si="619"/>
        <v/>
      </c>
      <c r="O1108" s="459" t="str">
        <f t="shared" si="620"/>
        <v/>
      </c>
      <c r="P1108" s="459" t="str">
        <f t="shared" si="621"/>
        <v/>
      </c>
      <c r="Q1108" s="459" t="str">
        <f t="shared" si="622"/>
        <v/>
      </c>
      <c r="R1108" s="459" t="str">
        <f t="shared" si="623"/>
        <v/>
      </c>
      <c r="S1108" s="459" t="str">
        <f t="shared" si="624"/>
        <v/>
      </c>
      <c r="T1108" s="566" t="str">
        <f t="shared" si="609"/>
        <v/>
      </c>
      <c r="U1108" s="702"/>
      <c r="V1108" s="132"/>
      <c r="W1108" s="133"/>
      <c r="X1108" s="134"/>
      <c r="Y1108" s="135"/>
      <c r="Z1108" s="137"/>
      <c r="AA1108" s="136"/>
      <c r="AB1108" s="566" t="str">
        <f t="shared" si="610"/>
        <v/>
      </c>
      <c r="AC1108" s="568" t="str">
        <f t="shared" si="611"/>
        <v/>
      </c>
      <c r="AD1108" s="137"/>
      <c r="AE1108" s="137"/>
      <c r="AF1108" s="138"/>
      <c r="AG1108" s="138"/>
      <c r="AH1108" s="592" t="str">
        <f t="shared" si="612"/>
        <v/>
      </c>
      <c r="AI1108" s="592" t="str">
        <f t="shared" si="613"/>
        <v/>
      </c>
      <c r="AJ1108" s="592" t="str">
        <f t="shared" si="614"/>
        <v/>
      </c>
      <c r="AK1108" s="460" t="str">
        <f>IF(AU1108="","",IF(OR(AZ1108=8,AZ1108=9),0,IF(OR(AW1108=3,AW1108=4,AW1108=5,AW1108=6),IF(LEFT(BF1108,1)="1",INDEX(係数_NOX・PM低減,MATCH(AY1108,【参考】排出係数!$AI$801:$AI$804,1),1),VLOOKUP(AU1108,INDEX((係数_バス貨物_ガソリン,係数_バス貨物_CNG,係数_バス貨物_軽油,係数_バス貨物_メタノール,係数_バス貨物_LPG),MATCH(AY1108,【参考】排出係数!$AI$4:$AI$671,1),1,BE1108):INDEX((係数_バス貨物_ガソリン,係数_バス貨物_CNG,係数_バス貨物_軽油,係数_バス貨物_メタノール,係数_バス貨物_LPG),MATCH(AY1108+1,【参考】排出係数!$AI$4:$AI$671,1)-1,5,BE1108),4,FALSE)),IF(AND(BE1108=3,LEFT(BF1108,1)="1"),0.48,VLOOKUP(AU1108,INDEX((係数_乗用_ガソリン,係数_乗用_CNG,係数_乗用_軽油,係数_乗用_メタノール,係数_乗用_LPG),1,1,BE1108):INDEX((係数_乗用_ガソリン,係数_乗用_CNG,係数_乗用_軽油,係数_乗用_メタノール,係数_乗用_LPG),125,5,BE1108),4,FALSE)))))</f>
        <v/>
      </c>
      <c r="AL1108" s="461" t="str">
        <f t="shared" si="615"/>
        <v/>
      </c>
      <c r="AM1108" s="460" t="str">
        <f>IF(AU1108="","",IF(OR(AZ1108=8,AZ1108=9),0,IF(OR(AW1108=3,AW1108=4,AW1108=5,AW1108=6),IF(LEFT(BH1108,1)="1",INDEX(係数_PM低減,MATCH(AY1108,【参考】排出係数!$AI$801:$AI$804,1),MATCH(BI1108,【参考】排出係数!$AL$798:$AO$798,1)),VLOOKUP(AU1108,INDEX((係数_バス貨物_ガソリン,係数_バス貨物_CNG,係数_バス貨物_軽油,係数_バス貨物_メタノール,係数_バス貨物_LPG),MATCH(AY1108,【参考】排出係数!$AI$4:$AI$671,1),1,BE1108):INDEX((係数_バス貨物_ガソリン,係数_バス貨物_CNG,係数_バス貨物_軽油,係数_バス貨物_メタノール,係数_バス貨物_LPG),MATCH(AY1108+1,【参考】排出係数!$AI$4:$AI$671,1)-1,5,BE1108),5,FALSE)),IF(AND(BE1108=3,LEFT(BF1108,1)="1"),0.055,VLOOKUP(AU1108,INDEX((係数_乗用_ガソリン,係数_乗用_CNG,係数_乗用_軽油,係数_乗用_メタノール,係数_乗用_LPG),1,1,BE1108):INDEX((係数_乗用_ガソリン,係数_乗用_CNG,係数_乗用_軽油,係数_乗用_メタノール,係数_乗用_LPG),125,5,BE1108),5,FALSE)))))</f>
        <v/>
      </c>
      <c r="AN1108" s="461" t="str">
        <f t="shared" si="616"/>
        <v/>
      </c>
      <c r="AO1108" s="462" t="str">
        <f t="shared" si="617"/>
        <v/>
      </c>
      <c r="AP1108" s="463" t="str">
        <f t="shared" si="618"/>
        <v/>
      </c>
      <c r="AQ1108" s="464"/>
      <c r="AR1108" s="619"/>
      <c r="AS1108" s="465" t="str">
        <f t="shared" si="626"/>
        <v/>
      </c>
      <c r="AT1108" s="465" t="str">
        <f t="shared" si="627"/>
        <v/>
      </c>
      <c r="AU1108" s="466" t="str">
        <f t="shared" si="628"/>
        <v/>
      </c>
      <c r="AV1108" s="467" t="str">
        <f t="shared" si="629"/>
        <v/>
      </c>
      <c r="AW1108" s="467" t="str">
        <f t="shared" si="630"/>
        <v/>
      </c>
      <c r="AX1108" s="467" t="str">
        <f t="shared" si="631"/>
        <v/>
      </c>
      <c r="AY1108" s="467" t="str">
        <f t="shared" si="632"/>
        <v/>
      </c>
      <c r="AZ1108" s="467" t="str">
        <f t="shared" si="633"/>
        <v/>
      </c>
      <c r="BA1108" s="468" t="str">
        <f>IF(AS1108="","",IF(OR(AU1108="",AU1108="-"),"－",IF(OR(AZ1108=8,AZ1108=9),"",IF(OR(AW1108=3,AW1108=4,AW1108=5,AW1108=6),VLOOKUP(AU1108,INDEX((係数_バス貨物_ガソリン,係数_バス貨物_CNG,係数_バス貨物_軽油,係数_バス貨物_メタノール,係数_バス貨物_LPG),MATCH(AY1108,【参考】排出係数!$AI$4:$AI$671,1),1,BE1108):INDEX((係数_バス貨物_ガソリン,係数_バス貨物_CNG,係数_バス貨物_軽油,係数_バス貨物_メタノール,係数_バス貨物_LPG),MATCH(AY1108+1,【参考】排出係数!$AI$4:$AI$671,1)-1,5,BE1108),2,FALSE),IF(OR(AW1108=1,AW1108=2),VLOOKUP(AU1108,INDEX((係数_乗用_ガソリン,係数_乗用_CNG,係数_乗用_軽油,係数_乗用_メタノール,係数_乗用_LPG),1,1,BE1108):INDEX((係数_乗用_ガソリン,係数_乗用_CNG,係数_乗用_軽油,係数_乗用_メタノール,係数_乗用_LPG),125,5,BE1108),2,FALSE))))))</f>
        <v/>
      </c>
      <c r="BB1108" s="468" t="str">
        <f>IF(T1108="","",IF(OR(AU1108="",AU1108="-"),"－",IF(OR(AZ1108=8,AZ1108=9),"",IF(OR(AW1108=3,AW1108=4,AW1108=5,AW1108=6),VLOOKUP(AU1108,INDEX((係数_バス貨物_ガソリン,係数_バス貨物_CNG,係数_バス貨物_軽油,係数_バス貨物_メタノール,係数_バス貨物_LPG),MATCH(AY1108,【参考】排出係数!$AI$4:$AI$671,1),1,BE1108):INDEX((係数_バス貨物_ガソリン,係数_バス貨物_CNG,係数_バス貨物_軽油,係数_バス貨物_メタノール,係数_バス貨物_LPG),MATCH(AY1108+1,【参考】排出係数!$AI$4:$AI$671,1)-1,5,BE1108),3,FALSE),IF(OR(AW1108=1,AW1108=2),VLOOKUP(AU1108,INDEX((係数_乗用_ガソリン,係数_乗用_CNG,係数_乗用_軽油,係数_乗用_メタノール,係数_乗用_LPG),1,1,BE1108):INDEX((係数_乗用_ガソリン,係数_乗用_CNG,係数_乗用_軽油,係数_乗用_メタノール,係数_乗用_LPG),125,5,BE1108),3,FALSE))))))</f>
        <v/>
      </c>
      <c r="BC1108" s="467" t="str">
        <f t="shared" si="634"/>
        <v/>
      </c>
      <c r="BD1108" s="567" t="str">
        <f t="shared" si="635"/>
        <v/>
      </c>
      <c r="BE1108" s="467" t="str">
        <f t="shared" si="636"/>
        <v/>
      </c>
      <c r="BF1108" s="469" t="str">
        <f t="shared" ca="1" si="637"/>
        <v/>
      </c>
      <c r="BG1108" s="469" t="str">
        <f t="shared" ca="1" si="638"/>
        <v/>
      </c>
      <c r="BH1108" s="467" t="str">
        <f t="shared" si="639"/>
        <v/>
      </c>
      <c r="BI1108" s="467" t="str">
        <f t="shared" ca="1" si="640"/>
        <v/>
      </c>
      <c r="BJ1108" s="469" t="str">
        <f t="shared" si="641"/>
        <v/>
      </c>
      <c r="BK1108" s="470" t="str">
        <f t="shared" si="625"/>
        <v/>
      </c>
      <c r="BL1108" s="775" t="str">
        <f t="shared" si="642"/>
        <v/>
      </c>
      <c r="BM1108" s="775" t="str">
        <f t="shared" si="643"/>
        <v/>
      </c>
    </row>
    <row r="1109" spans="1:65">
      <c r="A1109" s="473">
        <v>1053</v>
      </c>
      <c r="B1109" s="132"/>
      <c r="C1109" s="332"/>
      <c r="D1109" s="333"/>
      <c r="E1109" s="333"/>
      <c r="F1109" s="334"/>
      <c r="G1109" s="337"/>
      <c r="H1109" s="131"/>
      <c r="I1109" s="337"/>
      <c r="J1109" s="131"/>
      <c r="K1109" s="458" t="str">
        <f t="shared" si="606"/>
        <v/>
      </c>
      <c r="L1109" s="458">
        <f t="shared" si="607"/>
        <v>0</v>
      </c>
      <c r="M1109" s="458">
        <f t="shared" si="608"/>
        <v>0</v>
      </c>
      <c r="N1109" s="459" t="str">
        <f t="shared" si="619"/>
        <v/>
      </c>
      <c r="O1109" s="459" t="str">
        <f t="shared" si="620"/>
        <v/>
      </c>
      <c r="P1109" s="459" t="str">
        <f t="shared" si="621"/>
        <v/>
      </c>
      <c r="Q1109" s="459" t="str">
        <f t="shared" si="622"/>
        <v/>
      </c>
      <c r="R1109" s="459" t="str">
        <f t="shared" si="623"/>
        <v/>
      </c>
      <c r="S1109" s="459" t="str">
        <f t="shared" si="624"/>
        <v/>
      </c>
      <c r="T1109" s="566" t="str">
        <f t="shared" si="609"/>
        <v/>
      </c>
      <c r="U1109" s="702"/>
      <c r="V1109" s="132"/>
      <c r="W1109" s="133"/>
      <c r="X1109" s="134"/>
      <c r="Y1109" s="135"/>
      <c r="Z1109" s="137"/>
      <c r="AA1109" s="136"/>
      <c r="AB1109" s="566" t="str">
        <f t="shared" si="610"/>
        <v/>
      </c>
      <c r="AC1109" s="568" t="str">
        <f t="shared" si="611"/>
        <v/>
      </c>
      <c r="AD1109" s="137"/>
      <c r="AE1109" s="137"/>
      <c r="AF1109" s="138"/>
      <c r="AG1109" s="138"/>
      <c r="AH1109" s="592" t="str">
        <f t="shared" si="612"/>
        <v/>
      </c>
      <c r="AI1109" s="592" t="str">
        <f t="shared" si="613"/>
        <v/>
      </c>
      <c r="AJ1109" s="592" t="str">
        <f t="shared" si="614"/>
        <v/>
      </c>
      <c r="AK1109" s="460" t="str">
        <f>IF(AU1109="","",IF(OR(AZ1109=8,AZ1109=9),0,IF(OR(AW1109=3,AW1109=4,AW1109=5,AW1109=6),IF(LEFT(BF1109,1)="1",INDEX(係数_NOX・PM低減,MATCH(AY1109,【参考】排出係数!$AI$801:$AI$804,1),1),VLOOKUP(AU1109,INDEX((係数_バス貨物_ガソリン,係数_バス貨物_CNG,係数_バス貨物_軽油,係数_バス貨物_メタノール,係数_バス貨物_LPG),MATCH(AY1109,【参考】排出係数!$AI$4:$AI$671,1),1,BE1109):INDEX((係数_バス貨物_ガソリン,係数_バス貨物_CNG,係数_バス貨物_軽油,係数_バス貨物_メタノール,係数_バス貨物_LPG),MATCH(AY1109+1,【参考】排出係数!$AI$4:$AI$671,1)-1,5,BE1109),4,FALSE)),IF(AND(BE1109=3,LEFT(BF1109,1)="1"),0.48,VLOOKUP(AU1109,INDEX((係数_乗用_ガソリン,係数_乗用_CNG,係数_乗用_軽油,係数_乗用_メタノール,係数_乗用_LPG),1,1,BE1109):INDEX((係数_乗用_ガソリン,係数_乗用_CNG,係数_乗用_軽油,係数_乗用_メタノール,係数_乗用_LPG),125,5,BE1109),4,FALSE)))))</f>
        <v/>
      </c>
      <c r="AL1109" s="461" t="str">
        <f t="shared" si="615"/>
        <v/>
      </c>
      <c r="AM1109" s="460" t="str">
        <f>IF(AU1109="","",IF(OR(AZ1109=8,AZ1109=9),0,IF(OR(AW1109=3,AW1109=4,AW1109=5,AW1109=6),IF(LEFT(BH1109,1)="1",INDEX(係数_PM低減,MATCH(AY1109,【参考】排出係数!$AI$801:$AI$804,1),MATCH(BI1109,【参考】排出係数!$AL$798:$AO$798,1)),VLOOKUP(AU1109,INDEX((係数_バス貨物_ガソリン,係数_バス貨物_CNG,係数_バス貨物_軽油,係数_バス貨物_メタノール,係数_バス貨物_LPG),MATCH(AY1109,【参考】排出係数!$AI$4:$AI$671,1),1,BE1109):INDEX((係数_バス貨物_ガソリン,係数_バス貨物_CNG,係数_バス貨物_軽油,係数_バス貨物_メタノール,係数_バス貨物_LPG),MATCH(AY1109+1,【参考】排出係数!$AI$4:$AI$671,1)-1,5,BE1109),5,FALSE)),IF(AND(BE1109=3,LEFT(BF1109,1)="1"),0.055,VLOOKUP(AU1109,INDEX((係数_乗用_ガソリン,係数_乗用_CNG,係数_乗用_軽油,係数_乗用_メタノール,係数_乗用_LPG),1,1,BE1109):INDEX((係数_乗用_ガソリン,係数_乗用_CNG,係数_乗用_軽油,係数_乗用_メタノール,係数_乗用_LPG),125,5,BE1109),5,FALSE)))))</f>
        <v/>
      </c>
      <c r="AN1109" s="461" t="str">
        <f t="shared" si="616"/>
        <v/>
      </c>
      <c r="AO1109" s="462" t="str">
        <f t="shared" si="617"/>
        <v/>
      </c>
      <c r="AP1109" s="463" t="str">
        <f t="shared" si="618"/>
        <v/>
      </c>
      <c r="AQ1109" s="464"/>
      <c r="AR1109" s="619"/>
      <c r="AS1109" s="465" t="str">
        <f t="shared" si="626"/>
        <v/>
      </c>
      <c r="AT1109" s="465" t="str">
        <f t="shared" si="627"/>
        <v/>
      </c>
      <c r="AU1109" s="466" t="str">
        <f t="shared" si="628"/>
        <v/>
      </c>
      <c r="AV1109" s="467" t="str">
        <f t="shared" si="629"/>
        <v/>
      </c>
      <c r="AW1109" s="467" t="str">
        <f t="shared" si="630"/>
        <v/>
      </c>
      <c r="AX1109" s="467" t="str">
        <f t="shared" si="631"/>
        <v/>
      </c>
      <c r="AY1109" s="467" t="str">
        <f t="shared" si="632"/>
        <v/>
      </c>
      <c r="AZ1109" s="467" t="str">
        <f t="shared" si="633"/>
        <v/>
      </c>
      <c r="BA1109" s="468" t="str">
        <f>IF(AS1109="","",IF(OR(AU1109="",AU1109="-"),"－",IF(OR(AZ1109=8,AZ1109=9),"",IF(OR(AW1109=3,AW1109=4,AW1109=5,AW1109=6),VLOOKUP(AU1109,INDEX((係数_バス貨物_ガソリン,係数_バス貨物_CNG,係数_バス貨物_軽油,係数_バス貨物_メタノール,係数_バス貨物_LPG),MATCH(AY1109,【参考】排出係数!$AI$4:$AI$671,1),1,BE1109):INDEX((係数_バス貨物_ガソリン,係数_バス貨物_CNG,係数_バス貨物_軽油,係数_バス貨物_メタノール,係数_バス貨物_LPG),MATCH(AY1109+1,【参考】排出係数!$AI$4:$AI$671,1)-1,5,BE1109),2,FALSE),IF(OR(AW1109=1,AW1109=2),VLOOKUP(AU1109,INDEX((係数_乗用_ガソリン,係数_乗用_CNG,係数_乗用_軽油,係数_乗用_メタノール,係数_乗用_LPG),1,1,BE1109):INDEX((係数_乗用_ガソリン,係数_乗用_CNG,係数_乗用_軽油,係数_乗用_メタノール,係数_乗用_LPG),125,5,BE1109),2,FALSE))))))</f>
        <v/>
      </c>
      <c r="BB1109" s="468" t="str">
        <f>IF(T1109="","",IF(OR(AU1109="",AU1109="-"),"－",IF(OR(AZ1109=8,AZ1109=9),"",IF(OR(AW1109=3,AW1109=4,AW1109=5,AW1109=6),VLOOKUP(AU1109,INDEX((係数_バス貨物_ガソリン,係数_バス貨物_CNG,係数_バス貨物_軽油,係数_バス貨物_メタノール,係数_バス貨物_LPG),MATCH(AY1109,【参考】排出係数!$AI$4:$AI$671,1),1,BE1109):INDEX((係数_バス貨物_ガソリン,係数_バス貨物_CNG,係数_バス貨物_軽油,係数_バス貨物_メタノール,係数_バス貨物_LPG),MATCH(AY1109+1,【参考】排出係数!$AI$4:$AI$671,1)-1,5,BE1109),3,FALSE),IF(OR(AW1109=1,AW1109=2),VLOOKUP(AU1109,INDEX((係数_乗用_ガソリン,係数_乗用_CNG,係数_乗用_軽油,係数_乗用_メタノール,係数_乗用_LPG),1,1,BE1109):INDEX((係数_乗用_ガソリン,係数_乗用_CNG,係数_乗用_軽油,係数_乗用_メタノール,係数_乗用_LPG),125,5,BE1109),3,FALSE))))))</f>
        <v/>
      </c>
      <c r="BC1109" s="467" t="str">
        <f t="shared" si="634"/>
        <v/>
      </c>
      <c r="BD1109" s="567" t="str">
        <f t="shared" si="635"/>
        <v/>
      </c>
      <c r="BE1109" s="467" t="str">
        <f t="shared" si="636"/>
        <v/>
      </c>
      <c r="BF1109" s="469" t="str">
        <f t="shared" ca="1" si="637"/>
        <v/>
      </c>
      <c r="BG1109" s="469" t="str">
        <f t="shared" ca="1" si="638"/>
        <v/>
      </c>
      <c r="BH1109" s="467" t="str">
        <f t="shared" si="639"/>
        <v/>
      </c>
      <c r="BI1109" s="467" t="str">
        <f t="shared" ca="1" si="640"/>
        <v/>
      </c>
      <c r="BJ1109" s="469" t="str">
        <f t="shared" si="641"/>
        <v/>
      </c>
      <c r="BK1109" s="470" t="str">
        <f t="shared" si="625"/>
        <v/>
      </c>
      <c r="BL1109" s="775" t="str">
        <f t="shared" si="642"/>
        <v/>
      </c>
      <c r="BM1109" s="775" t="str">
        <f t="shared" si="643"/>
        <v/>
      </c>
    </row>
    <row r="1110" spans="1:65">
      <c r="A1110" s="473">
        <v>1054</v>
      </c>
      <c r="B1110" s="132"/>
      <c r="C1110" s="332"/>
      <c r="D1110" s="333"/>
      <c r="E1110" s="333"/>
      <c r="F1110" s="334"/>
      <c r="G1110" s="337"/>
      <c r="H1110" s="131"/>
      <c r="I1110" s="337"/>
      <c r="J1110" s="131"/>
      <c r="K1110" s="458" t="str">
        <f t="shared" si="606"/>
        <v/>
      </c>
      <c r="L1110" s="458">
        <f t="shared" si="607"/>
        <v>0</v>
      </c>
      <c r="M1110" s="458">
        <f t="shared" si="608"/>
        <v>0</v>
      </c>
      <c r="N1110" s="459" t="str">
        <f t="shared" si="619"/>
        <v/>
      </c>
      <c r="O1110" s="459" t="str">
        <f t="shared" si="620"/>
        <v/>
      </c>
      <c r="P1110" s="459" t="str">
        <f t="shared" si="621"/>
        <v/>
      </c>
      <c r="Q1110" s="459" t="str">
        <f t="shared" si="622"/>
        <v/>
      </c>
      <c r="R1110" s="459" t="str">
        <f t="shared" si="623"/>
        <v/>
      </c>
      <c r="S1110" s="459" t="str">
        <f t="shared" si="624"/>
        <v/>
      </c>
      <c r="T1110" s="566" t="str">
        <f t="shared" si="609"/>
        <v/>
      </c>
      <c r="U1110" s="702"/>
      <c r="V1110" s="132"/>
      <c r="W1110" s="133"/>
      <c r="X1110" s="134"/>
      <c r="Y1110" s="135"/>
      <c r="Z1110" s="137"/>
      <c r="AA1110" s="136"/>
      <c r="AB1110" s="566" t="str">
        <f t="shared" si="610"/>
        <v/>
      </c>
      <c r="AC1110" s="568" t="str">
        <f t="shared" si="611"/>
        <v/>
      </c>
      <c r="AD1110" s="137"/>
      <c r="AE1110" s="137"/>
      <c r="AF1110" s="138"/>
      <c r="AG1110" s="138"/>
      <c r="AH1110" s="592" t="str">
        <f t="shared" si="612"/>
        <v/>
      </c>
      <c r="AI1110" s="592" t="str">
        <f t="shared" si="613"/>
        <v/>
      </c>
      <c r="AJ1110" s="592" t="str">
        <f t="shared" si="614"/>
        <v/>
      </c>
      <c r="AK1110" s="460" t="str">
        <f>IF(AU1110="","",IF(OR(AZ1110=8,AZ1110=9),0,IF(OR(AW1110=3,AW1110=4,AW1110=5,AW1110=6),IF(LEFT(BF1110,1)="1",INDEX(係数_NOX・PM低減,MATCH(AY1110,【参考】排出係数!$AI$801:$AI$804,1),1),VLOOKUP(AU1110,INDEX((係数_バス貨物_ガソリン,係数_バス貨物_CNG,係数_バス貨物_軽油,係数_バス貨物_メタノール,係数_バス貨物_LPG),MATCH(AY1110,【参考】排出係数!$AI$4:$AI$671,1),1,BE1110):INDEX((係数_バス貨物_ガソリン,係数_バス貨物_CNG,係数_バス貨物_軽油,係数_バス貨物_メタノール,係数_バス貨物_LPG),MATCH(AY1110+1,【参考】排出係数!$AI$4:$AI$671,1)-1,5,BE1110),4,FALSE)),IF(AND(BE1110=3,LEFT(BF1110,1)="1"),0.48,VLOOKUP(AU1110,INDEX((係数_乗用_ガソリン,係数_乗用_CNG,係数_乗用_軽油,係数_乗用_メタノール,係数_乗用_LPG),1,1,BE1110):INDEX((係数_乗用_ガソリン,係数_乗用_CNG,係数_乗用_軽油,係数_乗用_メタノール,係数_乗用_LPG),125,5,BE1110),4,FALSE)))))</f>
        <v/>
      </c>
      <c r="AL1110" s="461" t="str">
        <f t="shared" si="615"/>
        <v/>
      </c>
      <c r="AM1110" s="460" t="str">
        <f>IF(AU1110="","",IF(OR(AZ1110=8,AZ1110=9),0,IF(OR(AW1110=3,AW1110=4,AW1110=5,AW1110=6),IF(LEFT(BH1110,1)="1",INDEX(係数_PM低減,MATCH(AY1110,【参考】排出係数!$AI$801:$AI$804,1),MATCH(BI1110,【参考】排出係数!$AL$798:$AO$798,1)),VLOOKUP(AU1110,INDEX((係数_バス貨物_ガソリン,係数_バス貨物_CNG,係数_バス貨物_軽油,係数_バス貨物_メタノール,係数_バス貨物_LPG),MATCH(AY1110,【参考】排出係数!$AI$4:$AI$671,1),1,BE1110):INDEX((係数_バス貨物_ガソリン,係数_バス貨物_CNG,係数_バス貨物_軽油,係数_バス貨物_メタノール,係数_バス貨物_LPG),MATCH(AY1110+1,【参考】排出係数!$AI$4:$AI$671,1)-1,5,BE1110),5,FALSE)),IF(AND(BE1110=3,LEFT(BF1110,1)="1"),0.055,VLOOKUP(AU1110,INDEX((係数_乗用_ガソリン,係数_乗用_CNG,係数_乗用_軽油,係数_乗用_メタノール,係数_乗用_LPG),1,1,BE1110):INDEX((係数_乗用_ガソリン,係数_乗用_CNG,係数_乗用_軽油,係数_乗用_メタノール,係数_乗用_LPG),125,5,BE1110),5,FALSE)))))</f>
        <v/>
      </c>
      <c r="AN1110" s="461" t="str">
        <f t="shared" si="616"/>
        <v/>
      </c>
      <c r="AO1110" s="462" t="str">
        <f t="shared" si="617"/>
        <v/>
      </c>
      <c r="AP1110" s="463" t="str">
        <f t="shared" si="618"/>
        <v/>
      </c>
      <c r="AQ1110" s="464"/>
      <c r="AR1110" s="619"/>
      <c r="AS1110" s="465" t="str">
        <f t="shared" si="626"/>
        <v/>
      </c>
      <c r="AT1110" s="465" t="str">
        <f t="shared" si="627"/>
        <v/>
      </c>
      <c r="AU1110" s="466" t="str">
        <f t="shared" si="628"/>
        <v/>
      </c>
      <c r="AV1110" s="467" t="str">
        <f t="shared" si="629"/>
        <v/>
      </c>
      <c r="AW1110" s="467" t="str">
        <f t="shared" si="630"/>
        <v/>
      </c>
      <c r="AX1110" s="467" t="str">
        <f t="shared" si="631"/>
        <v/>
      </c>
      <c r="AY1110" s="467" t="str">
        <f t="shared" si="632"/>
        <v/>
      </c>
      <c r="AZ1110" s="467" t="str">
        <f t="shared" si="633"/>
        <v/>
      </c>
      <c r="BA1110" s="468" t="str">
        <f>IF(AS1110="","",IF(OR(AU1110="",AU1110="-"),"－",IF(OR(AZ1110=8,AZ1110=9),"",IF(OR(AW1110=3,AW1110=4,AW1110=5,AW1110=6),VLOOKUP(AU1110,INDEX((係数_バス貨物_ガソリン,係数_バス貨物_CNG,係数_バス貨物_軽油,係数_バス貨物_メタノール,係数_バス貨物_LPG),MATCH(AY1110,【参考】排出係数!$AI$4:$AI$671,1),1,BE1110):INDEX((係数_バス貨物_ガソリン,係数_バス貨物_CNG,係数_バス貨物_軽油,係数_バス貨物_メタノール,係数_バス貨物_LPG),MATCH(AY1110+1,【参考】排出係数!$AI$4:$AI$671,1)-1,5,BE1110),2,FALSE),IF(OR(AW1110=1,AW1110=2),VLOOKUP(AU1110,INDEX((係数_乗用_ガソリン,係数_乗用_CNG,係数_乗用_軽油,係数_乗用_メタノール,係数_乗用_LPG),1,1,BE1110):INDEX((係数_乗用_ガソリン,係数_乗用_CNG,係数_乗用_軽油,係数_乗用_メタノール,係数_乗用_LPG),125,5,BE1110),2,FALSE))))))</f>
        <v/>
      </c>
      <c r="BB1110" s="468" t="str">
        <f>IF(T1110="","",IF(OR(AU1110="",AU1110="-"),"－",IF(OR(AZ1110=8,AZ1110=9),"",IF(OR(AW1110=3,AW1110=4,AW1110=5,AW1110=6),VLOOKUP(AU1110,INDEX((係数_バス貨物_ガソリン,係数_バス貨物_CNG,係数_バス貨物_軽油,係数_バス貨物_メタノール,係数_バス貨物_LPG),MATCH(AY1110,【参考】排出係数!$AI$4:$AI$671,1),1,BE1110):INDEX((係数_バス貨物_ガソリン,係数_バス貨物_CNG,係数_バス貨物_軽油,係数_バス貨物_メタノール,係数_バス貨物_LPG),MATCH(AY1110+1,【参考】排出係数!$AI$4:$AI$671,1)-1,5,BE1110),3,FALSE),IF(OR(AW1110=1,AW1110=2),VLOOKUP(AU1110,INDEX((係数_乗用_ガソリン,係数_乗用_CNG,係数_乗用_軽油,係数_乗用_メタノール,係数_乗用_LPG),1,1,BE1110):INDEX((係数_乗用_ガソリン,係数_乗用_CNG,係数_乗用_軽油,係数_乗用_メタノール,係数_乗用_LPG),125,5,BE1110),3,FALSE))))))</f>
        <v/>
      </c>
      <c r="BC1110" s="467" t="str">
        <f t="shared" si="634"/>
        <v/>
      </c>
      <c r="BD1110" s="567" t="str">
        <f t="shared" si="635"/>
        <v/>
      </c>
      <c r="BE1110" s="467" t="str">
        <f t="shared" si="636"/>
        <v/>
      </c>
      <c r="BF1110" s="469" t="str">
        <f t="shared" ca="1" si="637"/>
        <v/>
      </c>
      <c r="BG1110" s="469" t="str">
        <f t="shared" ca="1" si="638"/>
        <v/>
      </c>
      <c r="BH1110" s="467" t="str">
        <f t="shared" si="639"/>
        <v/>
      </c>
      <c r="BI1110" s="467" t="str">
        <f t="shared" ca="1" si="640"/>
        <v/>
      </c>
      <c r="BJ1110" s="469" t="str">
        <f t="shared" si="641"/>
        <v/>
      </c>
      <c r="BK1110" s="470" t="str">
        <f t="shared" si="625"/>
        <v/>
      </c>
      <c r="BL1110" s="775" t="str">
        <f t="shared" si="642"/>
        <v/>
      </c>
      <c r="BM1110" s="775" t="str">
        <f t="shared" si="643"/>
        <v/>
      </c>
    </row>
    <row r="1111" spans="1:65">
      <c r="A1111" s="473">
        <v>1055</v>
      </c>
      <c r="B1111" s="132"/>
      <c r="C1111" s="332"/>
      <c r="D1111" s="333"/>
      <c r="E1111" s="333"/>
      <c r="F1111" s="334"/>
      <c r="G1111" s="337"/>
      <c r="H1111" s="131"/>
      <c r="I1111" s="337"/>
      <c r="J1111" s="131"/>
      <c r="K1111" s="458" t="str">
        <f t="shared" si="606"/>
        <v/>
      </c>
      <c r="L1111" s="458">
        <f t="shared" si="607"/>
        <v>0</v>
      </c>
      <c r="M1111" s="458">
        <f t="shared" si="608"/>
        <v>0</v>
      </c>
      <c r="N1111" s="459" t="str">
        <f t="shared" si="619"/>
        <v/>
      </c>
      <c r="O1111" s="459" t="str">
        <f t="shared" si="620"/>
        <v/>
      </c>
      <c r="P1111" s="459" t="str">
        <f t="shared" si="621"/>
        <v/>
      </c>
      <c r="Q1111" s="459" t="str">
        <f t="shared" si="622"/>
        <v/>
      </c>
      <c r="R1111" s="459" t="str">
        <f t="shared" si="623"/>
        <v/>
      </c>
      <c r="S1111" s="459" t="str">
        <f t="shared" si="624"/>
        <v/>
      </c>
      <c r="T1111" s="566" t="str">
        <f t="shared" si="609"/>
        <v/>
      </c>
      <c r="U1111" s="702"/>
      <c r="V1111" s="132"/>
      <c r="W1111" s="133"/>
      <c r="X1111" s="134"/>
      <c r="Y1111" s="135"/>
      <c r="Z1111" s="137"/>
      <c r="AA1111" s="136"/>
      <c r="AB1111" s="566" t="str">
        <f t="shared" si="610"/>
        <v/>
      </c>
      <c r="AC1111" s="568" t="str">
        <f t="shared" si="611"/>
        <v/>
      </c>
      <c r="AD1111" s="137"/>
      <c r="AE1111" s="137"/>
      <c r="AF1111" s="138"/>
      <c r="AG1111" s="138"/>
      <c r="AH1111" s="592" t="str">
        <f t="shared" si="612"/>
        <v/>
      </c>
      <c r="AI1111" s="592" t="str">
        <f t="shared" si="613"/>
        <v/>
      </c>
      <c r="AJ1111" s="592" t="str">
        <f t="shared" si="614"/>
        <v/>
      </c>
      <c r="AK1111" s="460" t="str">
        <f>IF(AU1111="","",IF(OR(AZ1111=8,AZ1111=9),0,IF(OR(AW1111=3,AW1111=4,AW1111=5,AW1111=6),IF(LEFT(BF1111,1)="1",INDEX(係数_NOX・PM低減,MATCH(AY1111,【参考】排出係数!$AI$801:$AI$804,1),1),VLOOKUP(AU1111,INDEX((係数_バス貨物_ガソリン,係数_バス貨物_CNG,係数_バス貨物_軽油,係数_バス貨物_メタノール,係数_バス貨物_LPG),MATCH(AY1111,【参考】排出係数!$AI$4:$AI$671,1),1,BE1111):INDEX((係数_バス貨物_ガソリン,係数_バス貨物_CNG,係数_バス貨物_軽油,係数_バス貨物_メタノール,係数_バス貨物_LPG),MATCH(AY1111+1,【参考】排出係数!$AI$4:$AI$671,1)-1,5,BE1111),4,FALSE)),IF(AND(BE1111=3,LEFT(BF1111,1)="1"),0.48,VLOOKUP(AU1111,INDEX((係数_乗用_ガソリン,係数_乗用_CNG,係数_乗用_軽油,係数_乗用_メタノール,係数_乗用_LPG),1,1,BE1111):INDEX((係数_乗用_ガソリン,係数_乗用_CNG,係数_乗用_軽油,係数_乗用_メタノール,係数_乗用_LPG),125,5,BE1111),4,FALSE)))))</f>
        <v/>
      </c>
      <c r="AL1111" s="461" t="str">
        <f t="shared" si="615"/>
        <v/>
      </c>
      <c r="AM1111" s="460" t="str">
        <f>IF(AU1111="","",IF(OR(AZ1111=8,AZ1111=9),0,IF(OR(AW1111=3,AW1111=4,AW1111=5,AW1111=6),IF(LEFT(BH1111,1)="1",INDEX(係数_PM低減,MATCH(AY1111,【参考】排出係数!$AI$801:$AI$804,1),MATCH(BI1111,【参考】排出係数!$AL$798:$AO$798,1)),VLOOKUP(AU1111,INDEX((係数_バス貨物_ガソリン,係数_バス貨物_CNG,係数_バス貨物_軽油,係数_バス貨物_メタノール,係数_バス貨物_LPG),MATCH(AY1111,【参考】排出係数!$AI$4:$AI$671,1),1,BE1111):INDEX((係数_バス貨物_ガソリン,係数_バス貨物_CNG,係数_バス貨物_軽油,係数_バス貨物_メタノール,係数_バス貨物_LPG),MATCH(AY1111+1,【参考】排出係数!$AI$4:$AI$671,1)-1,5,BE1111),5,FALSE)),IF(AND(BE1111=3,LEFT(BF1111,1)="1"),0.055,VLOOKUP(AU1111,INDEX((係数_乗用_ガソリン,係数_乗用_CNG,係数_乗用_軽油,係数_乗用_メタノール,係数_乗用_LPG),1,1,BE1111):INDEX((係数_乗用_ガソリン,係数_乗用_CNG,係数_乗用_軽油,係数_乗用_メタノール,係数_乗用_LPG),125,5,BE1111),5,FALSE)))))</f>
        <v/>
      </c>
      <c r="AN1111" s="461" t="str">
        <f t="shared" si="616"/>
        <v/>
      </c>
      <c r="AO1111" s="462" t="str">
        <f t="shared" si="617"/>
        <v/>
      </c>
      <c r="AP1111" s="463" t="str">
        <f t="shared" si="618"/>
        <v/>
      </c>
      <c r="AQ1111" s="464"/>
      <c r="AR1111" s="619"/>
      <c r="AS1111" s="465" t="str">
        <f t="shared" si="626"/>
        <v/>
      </c>
      <c r="AT1111" s="465" t="str">
        <f t="shared" si="627"/>
        <v/>
      </c>
      <c r="AU1111" s="466" t="str">
        <f t="shared" si="628"/>
        <v/>
      </c>
      <c r="AV1111" s="467" t="str">
        <f t="shared" si="629"/>
        <v/>
      </c>
      <c r="AW1111" s="467" t="str">
        <f t="shared" si="630"/>
        <v/>
      </c>
      <c r="AX1111" s="467" t="str">
        <f t="shared" si="631"/>
        <v/>
      </c>
      <c r="AY1111" s="467" t="str">
        <f t="shared" si="632"/>
        <v/>
      </c>
      <c r="AZ1111" s="467" t="str">
        <f t="shared" si="633"/>
        <v/>
      </c>
      <c r="BA1111" s="468" t="str">
        <f>IF(AS1111="","",IF(OR(AU1111="",AU1111="-"),"－",IF(OR(AZ1111=8,AZ1111=9),"",IF(OR(AW1111=3,AW1111=4,AW1111=5,AW1111=6),VLOOKUP(AU1111,INDEX((係数_バス貨物_ガソリン,係数_バス貨物_CNG,係数_バス貨物_軽油,係数_バス貨物_メタノール,係数_バス貨物_LPG),MATCH(AY1111,【参考】排出係数!$AI$4:$AI$671,1),1,BE1111):INDEX((係数_バス貨物_ガソリン,係数_バス貨物_CNG,係数_バス貨物_軽油,係数_バス貨物_メタノール,係数_バス貨物_LPG),MATCH(AY1111+1,【参考】排出係数!$AI$4:$AI$671,1)-1,5,BE1111),2,FALSE),IF(OR(AW1111=1,AW1111=2),VLOOKUP(AU1111,INDEX((係数_乗用_ガソリン,係数_乗用_CNG,係数_乗用_軽油,係数_乗用_メタノール,係数_乗用_LPG),1,1,BE1111):INDEX((係数_乗用_ガソリン,係数_乗用_CNG,係数_乗用_軽油,係数_乗用_メタノール,係数_乗用_LPG),125,5,BE1111),2,FALSE))))))</f>
        <v/>
      </c>
      <c r="BB1111" s="468" t="str">
        <f>IF(T1111="","",IF(OR(AU1111="",AU1111="-"),"－",IF(OR(AZ1111=8,AZ1111=9),"",IF(OR(AW1111=3,AW1111=4,AW1111=5,AW1111=6),VLOOKUP(AU1111,INDEX((係数_バス貨物_ガソリン,係数_バス貨物_CNG,係数_バス貨物_軽油,係数_バス貨物_メタノール,係数_バス貨物_LPG),MATCH(AY1111,【参考】排出係数!$AI$4:$AI$671,1),1,BE1111):INDEX((係数_バス貨物_ガソリン,係数_バス貨物_CNG,係数_バス貨物_軽油,係数_バス貨物_メタノール,係数_バス貨物_LPG),MATCH(AY1111+1,【参考】排出係数!$AI$4:$AI$671,1)-1,5,BE1111),3,FALSE),IF(OR(AW1111=1,AW1111=2),VLOOKUP(AU1111,INDEX((係数_乗用_ガソリン,係数_乗用_CNG,係数_乗用_軽油,係数_乗用_メタノール,係数_乗用_LPG),1,1,BE1111):INDEX((係数_乗用_ガソリン,係数_乗用_CNG,係数_乗用_軽油,係数_乗用_メタノール,係数_乗用_LPG),125,5,BE1111),3,FALSE))))))</f>
        <v/>
      </c>
      <c r="BC1111" s="467" t="str">
        <f t="shared" si="634"/>
        <v/>
      </c>
      <c r="BD1111" s="567" t="str">
        <f t="shared" si="635"/>
        <v/>
      </c>
      <c r="BE1111" s="467" t="str">
        <f t="shared" si="636"/>
        <v/>
      </c>
      <c r="BF1111" s="469" t="str">
        <f t="shared" ca="1" si="637"/>
        <v/>
      </c>
      <c r="BG1111" s="469" t="str">
        <f t="shared" ca="1" si="638"/>
        <v/>
      </c>
      <c r="BH1111" s="467" t="str">
        <f t="shared" si="639"/>
        <v/>
      </c>
      <c r="BI1111" s="467" t="str">
        <f t="shared" ca="1" si="640"/>
        <v/>
      </c>
      <c r="BJ1111" s="469" t="str">
        <f t="shared" si="641"/>
        <v/>
      </c>
      <c r="BK1111" s="470" t="str">
        <f t="shared" si="625"/>
        <v/>
      </c>
      <c r="BL1111" s="775" t="str">
        <f t="shared" si="642"/>
        <v/>
      </c>
      <c r="BM1111" s="775" t="str">
        <f t="shared" si="643"/>
        <v/>
      </c>
    </row>
    <row r="1112" spans="1:65">
      <c r="A1112" s="473">
        <v>1056</v>
      </c>
      <c r="B1112" s="132"/>
      <c r="C1112" s="332"/>
      <c r="D1112" s="333"/>
      <c r="E1112" s="333"/>
      <c r="F1112" s="334"/>
      <c r="G1112" s="337"/>
      <c r="H1112" s="131"/>
      <c r="I1112" s="337"/>
      <c r="J1112" s="131"/>
      <c r="K1112" s="458" t="str">
        <f t="shared" si="606"/>
        <v/>
      </c>
      <c r="L1112" s="458">
        <f t="shared" si="607"/>
        <v>0</v>
      </c>
      <c r="M1112" s="458">
        <f t="shared" si="608"/>
        <v>0</v>
      </c>
      <c r="N1112" s="459" t="str">
        <f t="shared" si="619"/>
        <v/>
      </c>
      <c r="O1112" s="459" t="str">
        <f t="shared" si="620"/>
        <v/>
      </c>
      <c r="P1112" s="459" t="str">
        <f t="shared" si="621"/>
        <v/>
      </c>
      <c r="Q1112" s="459" t="str">
        <f t="shared" si="622"/>
        <v/>
      </c>
      <c r="R1112" s="459" t="str">
        <f t="shared" si="623"/>
        <v/>
      </c>
      <c r="S1112" s="459" t="str">
        <f t="shared" si="624"/>
        <v/>
      </c>
      <c r="T1112" s="566" t="str">
        <f t="shared" si="609"/>
        <v/>
      </c>
      <c r="U1112" s="702"/>
      <c r="V1112" s="132"/>
      <c r="W1112" s="133"/>
      <c r="X1112" s="134"/>
      <c r="Y1112" s="135"/>
      <c r="Z1112" s="137"/>
      <c r="AA1112" s="136"/>
      <c r="AB1112" s="566" t="str">
        <f t="shared" si="610"/>
        <v/>
      </c>
      <c r="AC1112" s="568" t="str">
        <f t="shared" si="611"/>
        <v/>
      </c>
      <c r="AD1112" s="137"/>
      <c r="AE1112" s="137"/>
      <c r="AF1112" s="138"/>
      <c r="AG1112" s="138"/>
      <c r="AH1112" s="592" t="str">
        <f t="shared" si="612"/>
        <v/>
      </c>
      <c r="AI1112" s="592" t="str">
        <f t="shared" si="613"/>
        <v/>
      </c>
      <c r="AJ1112" s="592" t="str">
        <f t="shared" si="614"/>
        <v/>
      </c>
      <c r="AK1112" s="460" t="str">
        <f>IF(AU1112="","",IF(OR(AZ1112=8,AZ1112=9),0,IF(OR(AW1112=3,AW1112=4,AW1112=5,AW1112=6),IF(LEFT(BF1112,1)="1",INDEX(係数_NOX・PM低減,MATCH(AY1112,【参考】排出係数!$AI$801:$AI$804,1),1),VLOOKUP(AU1112,INDEX((係数_バス貨物_ガソリン,係数_バス貨物_CNG,係数_バス貨物_軽油,係数_バス貨物_メタノール,係数_バス貨物_LPG),MATCH(AY1112,【参考】排出係数!$AI$4:$AI$671,1),1,BE1112):INDEX((係数_バス貨物_ガソリン,係数_バス貨物_CNG,係数_バス貨物_軽油,係数_バス貨物_メタノール,係数_バス貨物_LPG),MATCH(AY1112+1,【参考】排出係数!$AI$4:$AI$671,1)-1,5,BE1112),4,FALSE)),IF(AND(BE1112=3,LEFT(BF1112,1)="1"),0.48,VLOOKUP(AU1112,INDEX((係数_乗用_ガソリン,係数_乗用_CNG,係数_乗用_軽油,係数_乗用_メタノール,係数_乗用_LPG),1,1,BE1112):INDEX((係数_乗用_ガソリン,係数_乗用_CNG,係数_乗用_軽油,係数_乗用_メタノール,係数_乗用_LPG),125,5,BE1112),4,FALSE)))))</f>
        <v/>
      </c>
      <c r="AL1112" s="461" t="str">
        <f t="shared" si="615"/>
        <v/>
      </c>
      <c r="AM1112" s="460" t="str">
        <f>IF(AU1112="","",IF(OR(AZ1112=8,AZ1112=9),0,IF(OR(AW1112=3,AW1112=4,AW1112=5,AW1112=6),IF(LEFT(BH1112,1)="1",INDEX(係数_PM低減,MATCH(AY1112,【参考】排出係数!$AI$801:$AI$804,1),MATCH(BI1112,【参考】排出係数!$AL$798:$AO$798,1)),VLOOKUP(AU1112,INDEX((係数_バス貨物_ガソリン,係数_バス貨物_CNG,係数_バス貨物_軽油,係数_バス貨物_メタノール,係数_バス貨物_LPG),MATCH(AY1112,【参考】排出係数!$AI$4:$AI$671,1),1,BE1112):INDEX((係数_バス貨物_ガソリン,係数_バス貨物_CNG,係数_バス貨物_軽油,係数_バス貨物_メタノール,係数_バス貨物_LPG),MATCH(AY1112+1,【参考】排出係数!$AI$4:$AI$671,1)-1,5,BE1112),5,FALSE)),IF(AND(BE1112=3,LEFT(BF1112,1)="1"),0.055,VLOOKUP(AU1112,INDEX((係数_乗用_ガソリン,係数_乗用_CNG,係数_乗用_軽油,係数_乗用_メタノール,係数_乗用_LPG),1,1,BE1112):INDEX((係数_乗用_ガソリン,係数_乗用_CNG,係数_乗用_軽油,係数_乗用_メタノール,係数_乗用_LPG),125,5,BE1112),5,FALSE)))))</f>
        <v/>
      </c>
      <c r="AN1112" s="461" t="str">
        <f t="shared" si="616"/>
        <v/>
      </c>
      <c r="AO1112" s="462" t="str">
        <f t="shared" si="617"/>
        <v/>
      </c>
      <c r="AP1112" s="463" t="str">
        <f t="shared" si="618"/>
        <v/>
      </c>
      <c r="AQ1112" s="464"/>
      <c r="AR1112" s="619"/>
      <c r="AS1112" s="465" t="str">
        <f t="shared" si="626"/>
        <v/>
      </c>
      <c r="AT1112" s="465" t="str">
        <f t="shared" si="627"/>
        <v/>
      </c>
      <c r="AU1112" s="466" t="str">
        <f t="shared" si="628"/>
        <v/>
      </c>
      <c r="AV1112" s="467" t="str">
        <f t="shared" si="629"/>
        <v/>
      </c>
      <c r="AW1112" s="467" t="str">
        <f t="shared" si="630"/>
        <v/>
      </c>
      <c r="AX1112" s="467" t="str">
        <f t="shared" si="631"/>
        <v/>
      </c>
      <c r="AY1112" s="467" t="str">
        <f t="shared" si="632"/>
        <v/>
      </c>
      <c r="AZ1112" s="467" t="str">
        <f t="shared" si="633"/>
        <v/>
      </c>
      <c r="BA1112" s="468" t="str">
        <f>IF(AS1112="","",IF(OR(AU1112="",AU1112="-"),"－",IF(OR(AZ1112=8,AZ1112=9),"",IF(OR(AW1112=3,AW1112=4,AW1112=5,AW1112=6),VLOOKUP(AU1112,INDEX((係数_バス貨物_ガソリン,係数_バス貨物_CNG,係数_バス貨物_軽油,係数_バス貨物_メタノール,係数_バス貨物_LPG),MATCH(AY1112,【参考】排出係数!$AI$4:$AI$671,1),1,BE1112):INDEX((係数_バス貨物_ガソリン,係数_バス貨物_CNG,係数_バス貨物_軽油,係数_バス貨物_メタノール,係数_バス貨物_LPG),MATCH(AY1112+1,【参考】排出係数!$AI$4:$AI$671,1)-1,5,BE1112),2,FALSE),IF(OR(AW1112=1,AW1112=2),VLOOKUP(AU1112,INDEX((係数_乗用_ガソリン,係数_乗用_CNG,係数_乗用_軽油,係数_乗用_メタノール,係数_乗用_LPG),1,1,BE1112):INDEX((係数_乗用_ガソリン,係数_乗用_CNG,係数_乗用_軽油,係数_乗用_メタノール,係数_乗用_LPG),125,5,BE1112),2,FALSE))))))</f>
        <v/>
      </c>
      <c r="BB1112" s="468" t="str">
        <f>IF(T1112="","",IF(OR(AU1112="",AU1112="-"),"－",IF(OR(AZ1112=8,AZ1112=9),"",IF(OR(AW1112=3,AW1112=4,AW1112=5,AW1112=6),VLOOKUP(AU1112,INDEX((係数_バス貨物_ガソリン,係数_バス貨物_CNG,係数_バス貨物_軽油,係数_バス貨物_メタノール,係数_バス貨物_LPG),MATCH(AY1112,【参考】排出係数!$AI$4:$AI$671,1),1,BE1112):INDEX((係数_バス貨物_ガソリン,係数_バス貨物_CNG,係数_バス貨物_軽油,係数_バス貨物_メタノール,係数_バス貨物_LPG),MATCH(AY1112+1,【参考】排出係数!$AI$4:$AI$671,1)-1,5,BE1112),3,FALSE),IF(OR(AW1112=1,AW1112=2),VLOOKUP(AU1112,INDEX((係数_乗用_ガソリン,係数_乗用_CNG,係数_乗用_軽油,係数_乗用_メタノール,係数_乗用_LPG),1,1,BE1112):INDEX((係数_乗用_ガソリン,係数_乗用_CNG,係数_乗用_軽油,係数_乗用_メタノール,係数_乗用_LPG),125,5,BE1112),3,FALSE))))))</f>
        <v/>
      </c>
      <c r="BC1112" s="467" t="str">
        <f t="shared" si="634"/>
        <v/>
      </c>
      <c r="BD1112" s="567" t="str">
        <f t="shared" si="635"/>
        <v/>
      </c>
      <c r="BE1112" s="467" t="str">
        <f t="shared" si="636"/>
        <v/>
      </c>
      <c r="BF1112" s="469" t="str">
        <f t="shared" ca="1" si="637"/>
        <v/>
      </c>
      <c r="BG1112" s="469" t="str">
        <f t="shared" ca="1" si="638"/>
        <v/>
      </c>
      <c r="BH1112" s="467" t="str">
        <f t="shared" si="639"/>
        <v/>
      </c>
      <c r="BI1112" s="467" t="str">
        <f t="shared" ca="1" si="640"/>
        <v/>
      </c>
      <c r="BJ1112" s="469" t="str">
        <f t="shared" si="641"/>
        <v/>
      </c>
      <c r="BK1112" s="470" t="str">
        <f t="shared" si="625"/>
        <v/>
      </c>
      <c r="BL1112" s="775" t="str">
        <f t="shared" si="642"/>
        <v/>
      </c>
      <c r="BM1112" s="775" t="str">
        <f t="shared" si="643"/>
        <v/>
      </c>
    </row>
    <row r="1113" spans="1:65">
      <c r="A1113" s="473">
        <v>1057</v>
      </c>
      <c r="B1113" s="132"/>
      <c r="C1113" s="332"/>
      <c r="D1113" s="333"/>
      <c r="E1113" s="333"/>
      <c r="F1113" s="334"/>
      <c r="G1113" s="337"/>
      <c r="H1113" s="131"/>
      <c r="I1113" s="337"/>
      <c r="J1113" s="131"/>
      <c r="K1113" s="458" t="str">
        <f t="shared" si="606"/>
        <v/>
      </c>
      <c r="L1113" s="458">
        <f t="shared" si="607"/>
        <v>0</v>
      </c>
      <c r="M1113" s="458">
        <f t="shared" si="608"/>
        <v>0</v>
      </c>
      <c r="N1113" s="459" t="str">
        <f t="shared" si="619"/>
        <v/>
      </c>
      <c r="O1113" s="459" t="str">
        <f t="shared" si="620"/>
        <v/>
      </c>
      <c r="P1113" s="459" t="str">
        <f t="shared" si="621"/>
        <v/>
      </c>
      <c r="Q1113" s="459" t="str">
        <f t="shared" si="622"/>
        <v/>
      </c>
      <c r="R1113" s="459" t="str">
        <f t="shared" si="623"/>
        <v/>
      </c>
      <c r="S1113" s="459" t="str">
        <f t="shared" si="624"/>
        <v/>
      </c>
      <c r="T1113" s="566" t="str">
        <f t="shared" si="609"/>
        <v/>
      </c>
      <c r="U1113" s="702"/>
      <c r="V1113" s="132"/>
      <c r="W1113" s="133"/>
      <c r="X1113" s="134"/>
      <c r="Y1113" s="135"/>
      <c r="Z1113" s="137"/>
      <c r="AA1113" s="136"/>
      <c r="AB1113" s="566" t="str">
        <f t="shared" si="610"/>
        <v/>
      </c>
      <c r="AC1113" s="568" t="str">
        <f t="shared" si="611"/>
        <v/>
      </c>
      <c r="AD1113" s="137"/>
      <c r="AE1113" s="137"/>
      <c r="AF1113" s="138"/>
      <c r="AG1113" s="138"/>
      <c r="AH1113" s="592" t="str">
        <f t="shared" si="612"/>
        <v/>
      </c>
      <c r="AI1113" s="592" t="str">
        <f t="shared" si="613"/>
        <v/>
      </c>
      <c r="AJ1113" s="592" t="str">
        <f t="shared" si="614"/>
        <v/>
      </c>
      <c r="AK1113" s="460" t="str">
        <f>IF(AU1113="","",IF(OR(AZ1113=8,AZ1113=9),0,IF(OR(AW1113=3,AW1113=4,AW1113=5,AW1113=6),IF(LEFT(BF1113,1)="1",INDEX(係数_NOX・PM低減,MATCH(AY1113,【参考】排出係数!$AI$801:$AI$804,1),1),VLOOKUP(AU1113,INDEX((係数_バス貨物_ガソリン,係数_バス貨物_CNG,係数_バス貨物_軽油,係数_バス貨物_メタノール,係数_バス貨物_LPG),MATCH(AY1113,【参考】排出係数!$AI$4:$AI$671,1),1,BE1113):INDEX((係数_バス貨物_ガソリン,係数_バス貨物_CNG,係数_バス貨物_軽油,係数_バス貨物_メタノール,係数_バス貨物_LPG),MATCH(AY1113+1,【参考】排出係数!$AI$4:$AI$671,1)-1,5,BE1113),4,FALSE)),IF(AND(BE1113=3,LEFT(BF1113,1)="1"),0.48,VLOOKUP(AU1113,INDEX((係数_乗用_ガソリン,係数_乗用_CNG,係数_乗用_軽油,係数_乗用_メタノール,係数_乗用_LPG),1,1,BE1113):INDEX((係数_乗用_ガソリン,係数_乗用_CNG,係数_乗用_軽油,係数_乗用_メタノール,係数_乗用_LPG),125,5,BE1113),4,FALSE)))))</f>
        <v/>
      </c>
      <c r="AL1113" s="461" t="str">
        <f t="shared" si="615"/>
        <v/>
      </c>
      <c r="AM1113" s="460" t="str">
        <f>IF(AU1113="","",IF(OR(AZ1113=8,AZ1113=9),0,IF(OR(AW1113=3,AW1113=4,AW1113=5,AW1113=6),IF(LEFT(BH1113,1)="1",INDEX(係数_PM低減,MATCH(AY1113,【参考】排出係数!$AI$801:$AI$804,1),MATCH(BI1113,【参考】排出係数!$AL$798:$AO$798,1)),VLOOKUP(AU1113,INDEX((係数_バス貨物_ガソリン,係数_バス貨物_CNG,係数_バス貨物_軽油,係数_バス貨物_メタノール,係数_バス貨物_LPG),MATCH(AY1113,【参考】排出係数!$AI$4:$AI$671,1),1,BE1113):INDEX((係数_バス貨物_ガソリン,係数_バス貨物_CNG,係数_バス貨物_軽油,係数_バス貨物_メタノール,係数_バス貨物_LPG),MATCH(AY1113+1,【参考】排出係数!$AI$4:$AI$671,1)-1,5,BE1113),5,FALSE)),IF(AND(BE1113=3,LEFT(BF1113,1)="1"),0.055,VLOOKUP(AU1113,INDEX((係数_乗用_ガソリン,係数_乗用_CNG,係数_乗用_軽油,係数_乗用_メタノール,係数_乗用_LPG),1,1,BE1113):INDEX((係数_乗用_ガソリン,係数_乗用_CNG,係数_乗用_軽油,係数_乗用_メタノール,係数_乗用_LPG),125,5,BE1113),5,FALSE)))))</f>
        <v/>
      </c>
      <c r="AN1113" s="461" t="str">
        <f t="shared" si="616"/>
        <v/>
      </c>
      <c r="AO1113" s="462" t="str">
        <f t="shared" si="617"/>
        <v/>
      </c>
      <c r="AP1113" s="463" t="str">
        <f t="shared" si="618"/>
        <v/>
      </c>
      <c r="AQ1113" s="464"/>
      <c r="AR1113" s="619"/>
      <c r="AS1113" s="465" t="str">
        <f t="shared" si="626"/>
        <v/>
      </c>
      <c r="AT1113" s="465" t="str">
        <f t="shared" si="627"/>
        <v/>
      </c>
      <c r="AU1113" s="466" t="str">
        <f t="shared" si="628"/>
        <v/>
      </c>
      <c r="AV1113" s="467" t="str">
        <f t="shared" si="629"/>
        <v/>
      </c>
      <c r="AW1113" s="467" t="str">
        <f t="shared" si="630"/>
        <v/>
      </c>
      <c r="AX1113" s="467" t="str">
        <f t="shared" si="631"/>
        <v/>
      </c>
      <c r="AY1113" s="467" t="str">
        <f t="shared" si="632"/>
        <v/>
      </c>
      <c r="AZ1113" s="467" t="str">
        <f t="shared" si="633"/>
        <v/>
      </c>
      <c r="BA1113" s="468" t="str">
        <f>IF(AS1113="","",IF(OR(AU1113="",AU1113="-"),"－",IF(OR(AZ1113=8,AZ1113=9),"",IF(OR(AW1113=3,AW1113=4,AW1113=5,AW1113=6),VLOOKUP(AU1113,INDEX((係数_バス貨物_ガソリン,係数_バス貨物_CNG,係数_バス貨物_軽油,係数_バス貨物_メタノール,係数_バス貨物_LPG),MATCH(AY1113,【参考】排出係数!$AI$4:$AI$671,1),1,BE1113):INDEX((係数_バス貨物_ガソリン,係数_バス貨物_CNG,係数_バス貨物_軽油,係数_バス貨物_メタノール,係数_バス貨物_LPG),MATCH(AY1113+1,【参考】排出係数!$AI$4:$AI$671,1)-1,5,BE1113),2,FALSE),IF(OR(AW1113=1,AW1113=2),VLOOKUP(AU1113,INDEX((係数_乗用_ガソリン,係数_乗用_CNG,係数_乗用_軽油,係数_乗用_メタノール,係数_乗用_LPG),1,1,BE1113):INDEX((係数_乗用_ガソリン,係数_乗用_CNG,係数_乗用_軽油,係数_乗用_メタノール,係数_乗用_LPG),125,5,BE1113),2,FALSE))))))</f>
        <v/>
      </c>
      <c r="BB1113" s="468" t="str">
        <f>IF(T1113="","",IF(OR(AU1113="",AU1113="-"),"－",IF(OR(AZ1113=8,AZ1113=9),"",IF(OR(AW1113=3,AW1113=4,AW1113=5,AW1113=6),VLOOKUP(AU1113,INDEX((係数_バス貨物_ガソリン,係数_バス貨物_CNG,係数_バス貨物_軽油,係数_バス貨物_メタノール,係数_バス貨物_LPG),MATCH(AY1113,【参考】排出係数!$AI$4:$AI$671,1),1,BE1113):INDEX((係数_バス貨物_ガソリン,係数_バス貨物_CNG,係数_バス貨物_軽油,係数_バス貨物_メタノール,係数_バス貨物_LPG),MATCH(AY1113+1,【参考】排出係数!$AI$4:$AI$671,1)-1,5,BE1113),3,FALSE),IF(OR(AW1113=1,AW1113=2),VLOOKUP(AU1113,INDEX((係数_乗用_ガソリン,係数_乗用_CNG,係数_乗用_軽油,係数_乗用_メタノール,係数_乗用_LPG),1,1,BE1113):INDEX((係数_乗用_ガソリン,係数_乗用_CNG,係数_乗用_軽油,係数_乗用_メタノール,係数_乗用_LPG),125,5,BE1113),3,FALSE))))))</f>
        <v/>
      </c>
      <c r="BC1113" s="467" t="str">
        <f t="shared" si="634"/>
        <v/>
      </c>
      <c r="BD1113" s="567" t="str">
        <f t="shared" si="635"/>
        <v/>
      </c>
      <c r="BE1113" s="467" t="str">
        <f t="shared" si="636"/>
        <v/>
      </c>
      <c r="BF1113" s="469" t="str">
        <f t="shared" ca="1" si="637"/>
        <v/>
      </c>
      <c r="BG1113" s="469" t="str">
        <f t="shared" ca="1" si="638"/>
        <v/>
      </c>
      <c r="BH1113" s="467" t="str">
        <f t="shared" si="639"/>
        <v/>
      </c>
      <c r="BI1113" s="467" t="str">
        <f t="shared" ca="1" si="640"/>
        <v/>
      </c>
      <c r="BJ1113" s="469" t="str">
        <f t="shared" si="641"/>
        <v/>
      </c>
      <c r="BK1113" s="470" t="str">
        <f t="shared" si="625"/>
        <v/>
      </c>
      <c r="BL1113" s="775" t="str">
        <f t="shared" si="642"/>
        <v/>
      </c>
      <c r="BM1113" s="775" t="str">
        <f t="shared" si="643"/>
        <v/>
      </c>
    </row>
    <row r="1114" spans="1:65">
      <c r="A1114" s="473">
        <v>1058</v>
      </c>
      <c r="B1114" s="132"/>
      <c r="C1114" s="332"/>
      <c r="D1114" s="333"/>
      <c r="E1114" s="333"/>
      <c r="F1114" s="334"/>
      <c r="G1114" s="337"/>
      <c r="H1114" s="131"/>
      <c r="I1114" s="337"/>
      <c r="J1114" s="131"/>
      <c r="K1114" s="458" t="str">
        <f t="shared" si="606"/>
        <v/>
      </c>
      <c r="L1114" s="458">
        <f t="shared" si="607"/>
        <v>0</v>
      </c>
      <c r="M1114" s="458">
        <f t="shared" si="608"/>
        <v>0</v>
      </c>
      <c r="N1114" s="459" t="str">
        <f t="shared" si="619"/>
        <v/>
      </c>
      <c r="O1114" s="459" t="str">
        <f t="shared" si="620"/>
        <v/>
      </c>
      <c r="P1114" s="459" t="str">
        <f t="shared" si="621"/>
        <v/>
      </c>
      <c r="Q1114" s="459" t="str">
        <f t="shared" si="622"/>
        <v/>
      </c>
      <c r="R1114" s="459" t="str">
        <f t="shared" si="623"/>
        <v/>
      </c>
      <c r="S1114" s="459" t="str">
        <f t="shared" si="624"/>
        <v/>
      </c>
      <c r="T1114" s="566" t="str">
        <f t="shared" si="609"/>
        <v/>
      </c>
      <c r="U1114" s="702"/>
      <c r="V1114" s="132"/>
      <c r="W1114" s="133"/>
      <c r="X1114" s="134"/>
      <c r="Y1114" s="135"/>
      <c r="Z1114" s="137"/>
      <c r="AA1114" s="136"/>
      <c r="AB1114" s="566" t="str">
        <f t="shared" si="610"/>
        <v/>
      </c>
      <c r="AC1114" s="568" t="str">
        <f t="shared" si="611"/>
        <v/>
      </c>
      <c r="AD1114" s="137"/>
      <c r="AE1114" s="137"/>
      <c r="AF1114" s="138"/>
      <c r="AG1114" s="138"/>
      <c r="AH1114" s="592" t="str">
        <f t="shared" si="612"/>
        <v/>
      </c>
      <c r="AI1114" s="592" t="str">
        <f t="shared" si="613"/>
        <v/>
      </c>
      <c r="AJ1114" s="592" t="str">
        <f t="shared" si="614"/>
        <v/>
      </c>
      <c r="AK1114" s="460" t="str">
        <f>IF(AU1114="","",IF(OR(AZ1114=8,AZ1114=9),0,IF(OR(AW1114=3,AW1114=4,AW1114=5,AW1114=6),IF(LEFT(BF1114,1)="1",INDEX(係数_NOX・PM低減,MATCH(AY1114,【参考】排出係数!$AI$801:$AI$804,1),1),VLOOKUP(AU1114,INDEX((係数_バス貨物_ガソリン,係数_バス貨物_CNG,係数_バス貨物_軽油,係数_バス貨物_メタノール,係数_バス貨物_LPG),MATCH(AY1114,【参考】排出係数!$AI$4:$AI$671,1),1,BE1114):INDEX((係数_バス貨物_ガソリン,係数_バス貨物_CNG,係数_バス貨物_軽油,係数_バス貨物_メタノール,係数_バス貨物_LPG),MATCH(AY1114+1,【参考】排出係数!$AI$4:$AI$671,1)-1,5,BE1114),4,FALSE)),IF(AND(BE1114=3,LEFT(BF1114,1)="1"),0.48,VLOOKUP(AU1114,INDEX((係数_乗用_ガソリン,係数_乗用_CNG,係数_乗用_軽油,係数_乗用_メタノール,係数_乗用_LPG),1,1,BE1114):INDEX((係数_乗用_ガソリン,係数_乗用_CNG,係数_乗用_軽油,係数_乗用_メタノール,係数_乗用_LPG),125,5,BE1114),4,FALSE)))))</f>
        <v/>
      </c>
      <c r="AL1114" s="461" t="str">
        <f t="shared" si="615"/>
        <v/>
      </c>
      <c r="AM1114" s="460" t="str">
        <f>IF(AU1114="","",IF(OR(AZ1114=8,AZ1114=9),0,IF(OR(AW1114=3,AW1114=4,AW1114=5,AW1114=6),IF(LEFT(BH1114,1)="1",INDEX(係数_PM低減,MATCH(AY1114,【参考】排出係数!$AI$801:$AI$804,1),MATCH(BI1114,【参考】排出係数!$AL$798:$AO$798,1)),VLOOKUP(AU1114,INDEX((係数_バス貨物_ガソリン,係数_バス貨物_CNG,係数_バス貨物_軽油,係数_バス貨物_メタノール,係数_バス貨物_LPG),MATCH(AY1114,【参考】排出係数!$AI$4:$AI$671,1),1,BE1114):INDEX((係数_バス貨物_ガソリン,係数_バス貨物_CNG,係数_バス貨物_軽油,係数_バス貨物_メタノール,係数_バス貨物_LPG),MATCH(AY1114+1,【参考】排出係数!$AI$4:$AI$671,1)-1,5,BE1114),5,FALSE)),IF(AND(BE1114=3,LEFT(BF1114,1)="1"),0.055,VLOOKUP(AU1114,INDEX((係数_乗用_ガソリン,係数_乗用_CNG,係数_乗用_軽油,係数_乗用_メタノール,係数_乗用_LPG),1,1,BE1114):INDEX((係数_乗用_ガソリン,係数_乗用_CNG,係数_乗用_軽油,係数_乗用_メタノール,係数_乗用_LPG),125,5,BE1114),5,FALSE)))))</f>
        <v/>
      </c>
      <c r="AN1114" s="461" t="str">
        <f t="shared" si="616"/>
        <v/>
      </c>
      <c r="AO1114" s="462" t="str">
        <f t="shared" si="617"/>
        <v/>
      </c>
      <c r="AP1114" s="463" t="str">
        <f t="shared" si="618"/>
        <v/>
      </c>
      <c r="AQ1114" s="464"/>
      <c r="AR1114" s="619"/>
      <c r="AS1114" s="465" t="str">
        <f t="shared" si="626"/>
        <v/>
      </c>
      <c r="AT1114" s="465" t="str">
        <f t="shared" si="627"/>
        <v/>
      </c>
      <c r="AU1114" s="466" t="str">
        <f t="shared" si="628"/>
        <v/>
      </c>
      <c r="AV1114" s="467" t="str">
        <f t="shared" si="629"/>
        <v/>
      </c>
      <c r="AW1114" s="467" t="str">
        <f t="shared" si="630"/>
        <v/>
      </c>
      <c r="AX1114" s="467" t="str">
        <f t="shared" si="631"/>
        <v/>
      </c>
      <c r="AY1114" s="467" t="str">
        <f t="shared" si="632"/>
        <v/>
      </c>
      <c r="AZ1114" s="467" t="str">
        <f t="shared" si="633"/>
        <v/>
      </c>
      <c r="BA1114" s="468" t="str">
        <f>IF(AS1114="","",IF(OR(AU1114="",AU1114="-"),"－",IF(OR(AZ1114=8,AZ1114=9),"",IF(OR(AW1114=3,AW1114=4,AW1114=5,AW1114=6),VLOOKUP(AU1114,INDEX((係数_バス貨物_ガソリン,係数_バス貨物_CNG,係数_バス貨物_軽油,係数_バス貨物_メタノール,係数_バス貨物_LPG),MATCH(AY1114,【参考】排出係数!$AI$4:$AI$671,1),1,BE1114):INDEX((係数_バス貨物_ガソリン,係数_バス貨物_CNG,係数_バス貨物_軽油,係数_バス貨物_メタノール,係数_バス貨物_LPG),MATCH(AY1114+1,【参考】排出係数!$AI$4:$AI$671,1)-1,5,BE1114),2,FALSE),IF(OR(AW1114=1,AW1114=2),VLOOKUP(AU1114,INDEX((係数_乗用_ガソリン,係数_乗用_CNG,係数_乗用_軽油,係数_乗用_メタノール,係数_乗用_LPG),1,1,BE1114):INDEX((係数_乗用_ガソリン,係数_乗用_CNG,係数_乗用_軽油,係数_乗用_メタノール,係数_乗用_LPG),125,5,BE1114),2,FALSE))))))</f>
        <v/>
      </c>
      <c r="BB1114" s="468" t="str">
        <f>IF(T1114="","",IF(OR(AU1114="",AU1114="-"),"－",IF(OR(AZ1114=8,AZ1114=9),"",IF(OR(AW1114=3,AW1114=4,AW1114=5,AW1114=6),VLOOKUP(AU1114,INDEX((係数_バス貨物_ガソリン,係数_バス貨物_CNG,係数_バス貨物_軽油,係数_バス貨物_メタノール,係数_バス貨物_LPG),MATCH(AY1114,【参考】排出係数!$AI$4:$AI$671,1),1,BE1114):INDEX((係数_バス貨物_ガソリン,係数_バス貨物_CNG,係数_バス貨物_軽油,係数_バス貨物_メタノール,係数_バス貨物_LPG),MATCH(AY1114+1,【参考】排出係数!$AI$4:$AI$671,1)-1,5,BE1114),3,FALSE),IF(OR(AW1114=1,AW1114=2),VLOOKUP(AU1114,INDEX((係数_乗用_ガソリン,係数_乗用_CNG,係数_乗用_軽油,係数_乗用_メタノール,係数_乗用_LPG),1,1,BE1114):INDEX((係数_乗用_ガソリン,係数_乗用_CNG,係数_乗用_軽油,係数_乗用_メタノール,係数_乗用_LPG),125,5,BE1114),3,FALSE))))))</f>
        <v/>
      </c>
      <c r="BC1114" s="467" t="str">
        <f t="shared" si="634"/>
        <v/>
      </c>
      <c r="BD1114" s="567" t="str">
        <f t="shared" si="635"/>
        <v/>
      </c>
      <c r="BE1114" s="467" t="str">
        <f t="shared" si="636"/>
        <v/>
      </c>
      <c r="BF1114" s="469" t="str">
        <f t="shared" ca="1" si="637"/>
        <v/>
      </c>
      <c r="BG1114" s="469" t="str">
        <f t="shared" ca="1" si="638"/>
        <v/>
      </c>
      <c r="BH1114" s="467" t="str">
        <f t="shared" si="639"/>
        <v/>
      </c>
      <c r="BI1114" s="467" t="str">
        <f t="shared" ca="1" si="640"/>
        <v/>
      </c>
      <c r="BJ1114" s="469" t="str">
        <f t="shared" si="641"/>
        <v/>
      </c>
      <c r="BK1114" s="470" t="str">
        <f t="shared" si="625"/>
        <v/>
      </c>
      <c r="BL1114" s="775" t="str">
        <f t="shared" si="642"/>
        <v/>
      </c>
      <c r="BM1114" s="775" t="str">
        <f t="shared" si="643"/>
        <v/>
      </c>
    </row>
    <row r="1115" spans="1:65">
      <c r="A1115" s="473">
        <v>1059</v>
      </c>
      <c r="B1115" s="132"/>
      <c r="C1115" s="332"/>
      <c r="D1115" s="333"/>
      <c r="E1115" s="333"/>
      <c r="F1115" s="334"/>
      <c r="G1115" s="337"/>
      <c r="H1115" s="131"/>
      <c r="I1115" s="337"/>
      <c r="J1115" s="131"/>
      <c r="K1115" s="458" t="str">
        <f t="shared" si="606"/>
        <v/>
      </c>
      <c r="L1115" s="458">
        <f t="shared" si="607"/>
        <v>0</v>
      </c>
      <c r="M1115" s="458">
        <f t="shared" si="608"/>
        <v>0</v>
      </c>
      <c r="N1115" s="459" t="str">
        <f t="shared" si="619"/>
        <v/>
      </c>
      <c r="O1115" s="459" t="str">
        <f t="shared" si="620"/>
        <v/>
      </c>
      <c r="P1115" s="459" t="str">
        <f t="shared" si="621"/>
        <v/>
      </c>
      <c r="Q1115" s="459" t="str">
        <f t="shared" si="622"/>
        <v/>
      </c>
      <c r="R1115" s="459" t="str">
        <f t="shared" si="623"/>
        <v/>
      </c>
      <c r="S1115" s="459" t="str">
        <f t="shared" si="624"/>
        <v/>
      </c>
      <c r="T1115" s="566" t="str">
        <f t="shared" si="609"/>
        <v/>
      </c>
      <c r="U1115" s="702"/>
      <c r="V1115" s="132"/>
      <c r="W1115" s="133"/>
      <c r="X1115" s="134"/>
      <c r="Y1115" s="135"/>
      <c r="Z1115" s="137"/>
      <c r="AA1115" s="136"/>
      <c r="AB1115" s="566" t="str">
        <f t="shared" si="610"/>
        <v/>
      </c>
      <c r="AC1115" s="568" t="str">
        <f t="shared" si="611"/>
        <v/>
      </c>
      <c r="AD1115" s="137"/>
      <c r="AE1115" s="137"/>
      <c r="AF1115" s="138"/>
      <c r="AG1115" s="138"/>
      <c r="AH1115" s="592" t="str">
        <f t="shared" si="612"/>
        <v/>
      </c>
      <c r="AI1115" s="592" t="str">
        <f t="shared" si="613"/>
        <v/>
      </c>
      <c r="AJ1115" s="592" t="str">
        <f t="shared" si="614"/>
        <v/>
      </c>
      <c r="AK1115" s="460" t="str">
        <f>IF(AU1115="","",IF(OR(AZ1115=8,AZ1115=9),0,IF(OR(AW1115=3,AW1115=4,AW1115=5,AW1115=6),IF(LEFT(BF1115,1)="1",INDEX(係数_NOX・PM低減,MATCH(AY1115,【参考】排出係数!$AI$801:$AI$804,1),1),VLOOKUP(AU1115,INDEX((係数_バス貨物_ガソリン,係数_バス貨物_CNG,係数_バス貨物_軽油,係数_バス貨物_メタノール,係数_バス貨物_LPG),MATCH(AY1115,【参考】排出係数!$AI$4:$AI$671,1),1,BE1115):INDEX((係数_バス貨物_ガソリン,係数_バス貨物_CNG,係数_バス貨物_軽油,係数_バス貨物_メタノール,係数_バス貨物_LPG),MATCH(AY1115+1,【参考】排出係数!$AI$4:$AI$671,1)-1,5,BE1115),4,FALSE)),IF(AND(BE1115=3,LEFT(BF1115,1)="1"),0.48,VLOOKUP(AU1115,INDEX((係数_乗用_ガソリン,係数_乗用_CNG,係数_乗用_軽油,係数_乗用_メタノール,係数_乗用_LPG),1,1,BE1115):INDEX((係数_乗用_ガソリン,係数_乗用_CNG,係数_乗用_軽油,係数_乗用_メタノール,係数_乗用_LPG),125,5,BE1115),4,FALSE)))))</f>
        <v/>
      </c>
      <c r="AL1115" s="461" t="str">
        <f t="shared" si="615"/>
        <v/>
      </c>
      <c r="AM1115" s="460" t="str">
        <f>IF(AU1115="","",IF(OR(AZ1115=8,AZ1115=9),0,IF(OR(AW1115=3,AW1115=4,AW1115=5,AW1115=6),IF(LEFT(BH1115,1)="1",INDEX(係数_PM低減,MATCH(AY1115,【参考】排出係数!$AI$801:$AI$804,1),MATCH(BI1115,【参考】排出係数!$AL$798:$AO$798,1)),VLOOKUP(AU1115,INDEX((係数_バス貨物_ガソリン,係数_バス貨物_CNG,係数_バス貨物_軽油,係数_バス貨物_メタノール,係数_バス貨物_LPG),MATCH(AY1115,【参考】排出係数!$AI$4:$AI$671,1),1,BE1115):INDEX((係数_バス貨物_ガソリン,係数_バス貨物_CNG,係数_バス貨物_軽油,係数_バス貨物_メタノール,係数_バス貨物_LPG),MATCH(AY1115+1,【参考】排出係数!$AI$4:$AI$671,1)-1,5,BE1115),5,FALSE)),IF(AND(BE1115=3,LEFT(BF1115,1)="1"),0.055,VLOOKUP(AU1115,INDEX((係数_乗用_ガソリン,係数_乗用_CNG,係数_乗用_軽油,係数_乗用_メタノール,係数_乗用_LPG),1,1,BE1115):INDEX((係数_乗用_ガソリン,係数_乗用_CNG,係数_乗用_軽油,係数_乗用_メタノール,係数_乗用_LPG),125,5,BE1115),5,FALSE)))))</f>
        <v/>
      </c>
      <c r="AN1115" s="461" t="str">
        <f t="shared" si="616"/>
        <v/>
      </c>
      <c r="AO1115" s="462" t="str">
        <f t="shared" si="617"/>
        <v/>
      </c>
      <c r="AP1115" s="463" t="str">
        <f t="shared" si="618"/>
        <v/>
      </c>
      <c r="AQ1115" s="464"/>
      <c r="AR1115" s="619"/>
      <c r="AS1115" s="465" t="str">
        <f t="shared" si="626"/>
        <v/>
      </c>
      <c r="AT1115" s="465" t="str">
        <f t="shared" si="627"/>
        <v/>
      </c>
      <c r="AU1115" s="466" t="str">
        <f t="shared" si="628"/>
        <v/>
      </c>
      <c r="AV1115" s="467" t="str">
        <f t="shared" si="629"/>
        <v/>
      </c>
      <c r="AW1115" s="467" t="str">
        <f t="shared" si="630"/>
        <v/>
      </c>
      <c r="AX1115" s="467" t="str">
        <f t="shared" si="631"/>
        <v/>
      </c>
      <c r="AY1115" s="467" t="str">
        <f t="shared" si="632"/>
        <v/>
      </c>
      <c r="AZ1115" s="467" t="str">
        <f t="shared" si="633"/>
        <v/>
      </c>
      <c r="BA1115" s="468" t="str">
        <f>IF(AS1115="","",IF(OR(AU1115="",AU1115="-"),"－",IF(OR(AZ1115=8,AZ1115=9),"",IF(OR(AW1115=3,AW1115=4,AW1115=5,AW1115=6),VLOOKUP(AU1115,INDEX((係数_バス貨物_ガソリン,係数_バス貨物_CNG,係数_バス貨物_軽油,係数_バス貨物_メタノール,係数_バス貨物_LPG),MATCH(AY1115,【参考】排出係数!$AI$4:$AI$671,1),1,BE1115):INDEX((係数_バス貨物_ガソリン,係数_バス貨物_CNG,係数_バス貨物_軽油,係数_バス貨物_メタノール,係数_バス貨物_LPG),MATCH(AY1115+1,【参考】排出係数!$AI$4:$AI$671,1)-1,5,BE1115),2,FALSE),IF(OR(AW1115=1,AW1115=2),VLOOKUP(AU1115,INDEX((係数_乗用_ガソリン,係数_乗用_CNG,係数_乗用_軽油,係数_乗用_メタノール,係数_乗用_LPG),1,1,BE1115):INDEX((係数_乗用_ガソリン,係数_乗用_CNG,係数_乗用_軽油,係数_乗用_メタノール,係数_乗用_LPG),125,5,BE1115),2,FALSE))))))</f>
        <v/>
      </c>
      <c r="BB1115" s="468" t="str">
        <f>IF(T1115="","",IF(OR(AU1115="",AU1115="-"),"－",IF(OR(AZ1115=8,AZ1115=9),"",IF(OR(AW1115=3,AW1115=4,AW1115=5,AW1115=6),VLOOKUP(AU1115,INDEX((係数_バス貨物_ガソリン,係数_バス貨物_CNG,係数_バス貨物_軽油,係数_バス貨物_メタノール,係数_バス貨物_LPG),MATCH(AY1115,【参考】排出係数!$AI$4:$AI$671,1),1,BE1115):INDEX((係数_バス貨物_ガソリン,係数_バス貨物_CNG,係数_バス貨物_軽油,係数_バス貨物_メタノール,係数_バス貨物_LPG),MATCH(AY1115+1,【参考】排出係数!$AI$4:$AI$671,1)-1,5,BE1115),3,FALSE),IF(OR(AW1115=1,AW1115=2),VLOOKUP(AU1115,INDEX((係数_乗用_ガソリン,係数_乗用_CNG,係数_乗用_軽油,係数_乗用_メタノール,係数_乗用_LPG),1,1,BE1115):INDEX((係数_乗用_ガソリン,係数_乗用_CNG,係数_乗用_軽油,係数_乗用_メタノール,係数_乗用_LPG),125,5,BE1115),3,FALSE))))))</f>
        <v/>
      </c>
      <c r="BC1115" s="467" t="str">
        <f t="shared" si="634"/>
        <v/>
      </c>
      <c r="BD1115" s="567" t="str">
        <f t="shared" si="635"/>
        <v/>
      </c>
      <c r="BE1115" s="467" t="str">
        <f t="shared" si="636"/>
        <v/>
      </c>
      <c r="BF1115" s="469" t="str">
        <f t="shared" ca="1" si="637"/>
        <v/>
      </c>
      <c r="BG1115" s="469" t="str">
        <f t="shared" ca="1" si="638"/>
        <v/>
      </c>
      <c r="BH1115" s="467" t="str">
        <f t="shared" si="639"/>
        <v/>
      </c>
      <c r="BI1115" s="467" t="str">
        <f t="shared" ca="1" si="640"/>
        <v/>
      </c>
      <c r="BJ1115" s="469" t="str">
        <f t="shared" si="641"/>
        <v/>
      </c>
      <c r="BK1115" s="470" t="str">
        <f t="shared" si="625"/>
        <v/>
      </c>
      <c r="BL1115" s="775" t="str">
        <f t="shared" si="642"/>
        <v/>
      </c>
      <c r="BM1115" s="775" t="str">
        <f t="shared" si="643"/>
        <v/>
      </c>
    </row>
    <row r="1116" spans="1:65">
      <c r="A1116" s="473">
        <v>1060</v>
      </c>
      <c r="B1116" s="132"/>
      <c r="C1116" s="332"/>
      <c r="D1116" s="333"/>
      <c r="E1116" s="333"/>
      <c r="F1116" s="334"/>
      <c r="G1116" s="337"/>
      <c r="H1116" s="131"/>
      <c r="I1116" s="337"/>
      <c r="J1116" s="131"/>
      <c r="K1116" s="458" t="str">
        <f t="shared" si="606"/>
        <v/>
      </c>
      <c r="L1116" s="458">
        <f t="shared" si="607"/>
        <v>0</v>
      </c>
      <c r="M1116" s="458">
        <f t="shared" si="608"/>
        <v>0</v>
      </c>
      <c r="N1116" s="459" t="str">
        <f t="shared" si="619"/>
        <v/>
      </c>
      <c r="O1116" s="459" t="str">
        <f t="shared" si="620"/>
        <v/>
      </c>
      <c r="P1116" s="459" t="str">
        <f t="shared" si="621"/>
        <v/>
      </c>
      <c r="Q1116" s="459" t="str">
        <f t="shared" si="622"/>
        <v/>
      </c>
      <c r="R1116" s="459" t="str">
        <f t="shared" si="623"/>
        <v/>
      </c>
      <c r="S1116" s="459" t="str">
        <f t="shared" si="624"/>
        <v/>
      </c>
      <c r="T1116" s="566" t="str">
        <f t="shared" si="609"/>
        <v/>
      </c>
      <c r="U1116" s="702"/>
      <c r="V1116" s="132"/>
      <c r="W1116" s="133"/>
      <c r="X1116" s="134"/>
      <c r="Y1116" s="135"/>
      <c r="Z1116" s="137"/>
      <c r="AA1116" s="136"/>
      <c r="AB1116" s="566" t="str">
        <f t="shared" si="610"/>
        <v/>
      </c>
      <c r="AC1116" s="568" t="str">
        <f t="shared" si="611"/>
        <v/>
      </c>
      <c r="AD1116" s="137"/>
      <c r="AE1116" s="137"/>
      <c r="AF1116" s="138"/>
      <c r="AG1116" s="138"/>
      <c r="AH1116" s="592" t="str">
        <f t="shared" si="612"/>
        <v/>
      </c>
      <c r="AI1116" s="592" t="str">
        <f t="shared" si="613"/>
        <v/>
      </c>
      <c r="AJ1116" s="592" t="str">
        <f t="shared" si="614"/>
        <v/>
      </c>
      <c r="AK1116" s="460" t="str">
        <f>IF(AU1116="","",IF(OR(AZ1116=8,AZ1116=9),0,IF(OR(AW1116=3,AW1116=4,AW1116=5,AW1116=6),IF(LEFT(BF1116,1)="1",INDEX(係数_NOX・PM低減,MATCH(AY1116,【参考】排出係数!$AI$801:$AI$804,1),1),VLOOKUP(AU1116,INDEX((係数_バス貨物_ガソリン,係数_バス貨物_CNG,係数_バス貨物_軽油,係数_バス貨物_メタノール,係数_バス貨物_LPG),MATCH(AY1116,【参考】排出係数!$AI$4:$AI$671,1),1,BE1116):INDEX((係数_バス貨物_ガソリン,係数_バス貨物_CNG,係数_バス貨物_軽油,係数_バス貨物_メタノール,係数_バス貨物_LPG),MATCH(AY1116+1,【参考】排出係数!$AI$4:$AI$671,1)-1,5,BE1116),4,FALSE)),IF(AND(BE1116=3,LEFT(BF1116,1)="1"),0.48,VLOOKUP(AU1116,INDEX((係数_乗用_ガソリン,係数_乗用_CNG,係数_乗用_軽油,係数_乗用_メタノール,係数_乗用_LPG),1,1,BE1116):INDEX((係数_乗用_ガソリン,係数_乗用_CNG,係数_乗用_軽油,係数_乗用_メタノール,係数_乗用_LPG),125,5,BE1116),4,FALSE)))))</f>
        <v/>
      </c>
      <c r="AL1116" s="461" t="str">
        <f t="shared" si="615"/>
        <v/>
      </c>
      <c r="AM1116" s="460" t="str">
        <f>IF(AU1116="","",IF(OR(AZ1116=8,AZ1116=9),0,IF(OR(AW1116=3,AW1116=4,AW1116=5,AW1116=6),IF(LEFT(BH1116,1)="1",INDEX(係数_PM低減,MATCH(AY1116,【参考】排出係数!$AI$801:$AI$804,1),MATCH(BI1116,【参考】排出係数!$AL$798:$AO$798,1)),VLOOKUP(AU1116,INDEX((係数_バス貨物_ガソリン,係数_バス貨物_CNG,係数_バス貨物_軽油,係数_バス貨物_メタノール,係数_バス貨物_LPG),MATCH(AY1116,【参考】排出係数!$AI$4:$AI$671,1),1,BE1116):INDEX((係数_バス貨物_ガソリン,係数_バス貨物_CNG,係数_バス貨物_軽油,係数_バス貨物_メタノール,係数_バス貨物_LPG),MATCH(AY1116+1,【参考】排出係数!$AI$4:$AI$671,1)-1,5,BE1116),5,FALSE)),IF(AND(BE1116=3,LEFT(BF1116,1)="1"),0.055,VLOOKUP(AU1116,INDEX((係数_乗用_ガソリン,係数_乗用_CNG,係数_乗用_軽油,係数_乗用_メタノール,係数_乗用_LPG),1,1,BE1116):INDEX((係数_乗用_ガソリン,係数_乗用_CNG,係数_乗用_軽油,係数_乗用_メタノール,係数_乗用_LPG),125,5,BE1116),5,FALSE)))))</f>
        <v/>
      </c>
      <c r="AN1116" s="461" t="str">
        <f t="shared" si="616"/>
        <v/>
      </c>
      <c r="AO1116" s="462" t="str">
        <f t="shared" si="617"/>
        <v/>
      </c>
      <c r="AP1116" s="463" t="str">
        <f t="shared" si="618"/>
        <v/>
      </c>
      <c r="AQ1116" s="464"/>
      <c r="AR1116" s="619"/>
      <c r="AS1116" s="465" t="str">
        <f t="shared" si="626"/>
        <v/>
      </c>
      <c r="AT1116" s="465" t="str">
        <f t="shared" si="627"/>
        <v/>
      </c>
      <c r="AU1116" s="466" t="str">
        <f t="shared" si="628"/>
        <v/>
      </c>
      <c r="AV1116" s="467" t="str">
        <f t="shared" si="629"/>
        <v/>
      </c>
      <c r="AW1116" s="467" t="str">
        <f t="shared" si="630"/>
        <v/>
      </c>
      <c r="AX1116" s="467" t="str">
        <f t="shared" si="631"/>
        <v/>
      </c>
      <c r="AY1116" s="467" t="str">
        <f t="shared" si="632"/>
        <v/>
      </c>
      <c r="AZ1116" s="467" t="str">
        <f t="shared" si="633"/>
        <v/>
      </c>
      <c r="BA1116" s="468" t="str">
        <f>IF(AS1116="","",IF(OR(AU1116="",AU1116="-"),"－",IF(OR(AZ1116=8,AZ1116=9),"",IF(OR(AW1116=3,AW1116=4,AW1116=5,AW1116=6),VLOOKUP(AU1116,INDEX((係数_バス貨物_ガソリン,係数_バス貨物_CNG,係数_バス貨物_軽油,係数_バス貨物_メタノール,係数_バス貨物_LPG),MATCH(AY1116,【参考】排出係数!$AI$4:$AI$671,1),1,BE1116):INDEX((係数_バス貨物_ガソリン,係数_バス貨物_CNG,係数_バス貨物_軽油,係数_バス貨物_メタノール,係数_バス貨物_LPG),MATCH(AY1116+1,【参考】排出係数!$AI$4:$AI$671,1)-1,5,BE1116),2,FALSE),IF(OR(AW1116=1,AW1116=2),VLOOKUP(AU1116,INDEX((係数_乗用_ガソリン,係数_乗用_CNG,係数_乗用_軽油,係数_乗用_メタノール,係数_乗用_LPG),1,1,BE1116):INDEX((係数_乗用_ガソリン,係数_乗用_CNG,係数_乗用_軽油,係数_乗用_メタノール,係数_乗用_LPG),125,5,BE1116),2,FALSE))))))</f>
        <v/>
      </c>
      <c r="BB1116" s="468" t="str">
        <f>IF(T1116="","",IF(OR(AU1116="",AU1116="-"),"－",IF(OR(AZ1116=8,AZ1116=9),"",IF(OR(AW1116=3,AW1116=4,AW1116=5,AW1116=6),VLOOKUP(AU1116,INDEX((係数_バス貨物_ガソリン,係数_バス貨物_CNG,係数_バス貨物_軽油,係数_バス貨物_メタノール,係数_バス貨物_LPG),MATCH(AY1116,【参考】排出係数!$AI$4:$AI$671,1),1,BE1116):INDEX((係数_バス貨物_ガソリン,係数_バス貨物_CNG,係数_バス貨物_軽油,係数_バス貨物_メタノール,係数_バス貨物_LPG),MATCH(AY1116+1,【参考】排出係数!$AI$4:$AI$671,1)-1,5,BE1116),3,FALSE),IF(OR(AW1116=1,AW1116=2),VLOOKUP(AU1116,INDEX((係数_乗用_ガソリン,係数_乗用_CNG,係数_乗用_軽油,係数_乗用_メタノール,係数_乗用_LPG),1,1,BE1116):INDEX((係数_乗用_ガソリン,係数_乗用_CNG,係数_乗用_軽油,係数_乗用_メタノール,係数_乗用_LPG),125,5,BE1116),3,FALSE))))))</f>
        <v/>
      </c>
      <c r="BC1116" s="467" t="str">
        <f t="shared" si="634"/>
        <v/>
      </c>
      <c r="BD1116" s="567" t="str">
        <f t="shared" si="635"/>
        <v/>
      </c>
      <c r="BE1116" s="467" t="str">
        <f t="shared" si="636"/>
        <v/>
      </c>
      <c r="BF1116" s="469" t="str">
        <f t="shared" ca="1" si="637"/>
        <v/>
      </c>
      <c r="BG1116" s="469" t="str">
        <f t="shared" ca="1" si="638"/>
        <v/>
      </c>
      <c r="BH1116" s="467" t="str">
        <f t="shared" si="639"/>
        <v/>
      </c>
      <c r="BI1116" s="467" t="str">
        <f t="shared" ca="1" si="640"/>
        <v/>
      </c>
      <c r="BJ1116" s="469" t="str">
        <f t="shared" si="641"/>
        <v/>
      </c>
      <c r="BK1116" s="470" t="str">
        <f t="shared" si="625"/>
        <v/>
      </c>
      <c r="BL1116" s="775" t="str">
        <f t="shared" si="642"/>
        <v/>
      </c>
      <c r="BM1116" s="775" t="str">
        <f t="shared" si="643"/>
        <v/>
      </c>
    </row>
    <row r="1117" spans="1:65">
      <c r="A1117" s="473">
        <v>1061</v>
      </c>
      <c r="B1117" s="132"/>
      <c r="C1117" s="332"/>
      <c r="D1117" s="333"/>
      <c r="E1117" s="333"/>
      <c r="F1117" s="334"/>
      <c r="G1117" s="337"/>
      <c r="H1117" s="131"/>
      <c r="I1117" s="337"/>
      <c r="J1117" s="131"/>
      <c r="K1117" s="458" t="str">
        <f t="shared" si="606"/>
        <v/>
      </c>
      <c r="L1117" s="458">
        <f t="shared" si="607"/>
        <v>0</v>
      </c>
      <c r="M1117" s="458">
        <f t="shared" si="608"/>
        <v>0</v>
      </c>
      <c r="N1117" s="459" t="str">
        <f t="shared" si="619"/>
        <v/>
      </c>
      <c r="O1117" s="459" t="str">
        <f t="shared" si="620"/>
        <v/>
      </c>
      <c r="P1117" s="459" t="str">
        <f t="shared" si="621"/>
        <v/>
      </c>
      <c r="Q1117" s="459" t="str">
        <f t="shared" si="622"/>
        <v/>
      </c>
      <c r="R1117" s="459" t="str">
        <f t="shared" si="623"/>
        <v/>
      </c>
      <c r="S1117" s="459" t="str">
        <f t="shared" si="624"/>
        <v/>
      </c>
      <c r="T1117" s="566" t="str">
        <f t="shared" si="609"/>
        <v/>
      </c>
      <c r="U1117" s="702"/>
      <c r="V1117" s="132"/>
      <c r="W1117" s="133"/>
      <c r="X1117" s="134"/>
      <c r="Y1117" s="135"/>
      <c r="Z1117" s="137"/>
      <c r="AA1117" s="136"/>
      <c r="AB1117" s="566" t="str">
        <f t="shared" si="610"/>
        <v/>
      </c>
      <c r="AC1117" s="568" t="str">
        <f t="shared" si="611"/>
        <v/>
      </c>
      <c r="AD1117" s="137"/>
      <c r="AE1117" s="137"/>
      <c r="AF1117" s="138"/>
      <c r="AG1117" s="138"/>
      <c r="AH1117" s="592" t="str">
        <f t="shared" si="612"/>
        <v/>
      </c>
      <c r="AI1117" s="592" t="str">
        <f t="shared" si="613"/>
        <v/>
      </c>
      <c r="AJ1117" s="592" t="str">
        <f t="shared" si="614"/>
        <v/>
      </c>
      <c r="AK1117" s="460" t="str">
        <f>IF(AU1117="","",IF(OR(AZ1117=8,AZ1117=9),0,IF(OR(AW1117=3,AW1117=4,AW1117=5,AW1117=6),IF(LEFT(BF1117,1)="1",INDEX(係数_NOX・PM低減,MATCH(AY1117,【参考】排出係数!$AI$801:$AI$804,1),1),VLOOKUP(AU1117,INDEX((係数_バス貨物_ガソリン,係数_バス貨物_CNG,係数_バス貨物_軽油,係数_バス貨物_メタノール,係数_バス貨物_LPG),MATCH(AY1117,【参考】排出係数!$AI$4:$AI$671,1),1,BE1117):INDEX((係数_バス貨物_ガソリン,係数_バス貨物_CNG,係数_バス貨物_軽油,係数_バス貨物_メタノール,係数_バス貨物_LPG),MATCH(AY1117+1,【参考】排出係数!$AI$4:$AI$671,1)-1,5,BE1117),4,FALSE)),IF(AND(BE1117=3,LEFT(BF1117,1)="1"),0.48,VLOOKUP(AU1117,INDEX((係数_乗用_ガソリン,係数_乗用_CNG,係数_乗用_軽油,係数_乗用_メタノール,係数_乗用_LPG),1,1,BE1117):INDEX((係数_乗用_ガソリン,係数_乗用_CNG,係数_乗用_軽油,係数_乗用_メタノール,係数_乗用_LPG),125,5,BE1117),4,FALSE)))))</f>
        <v/>
      </c>
      <c r="AL1117" s="461" t="str">
        <f t="shared" si="615"/>
        <v/>
      </c>
      <c r="AM1117" s="460" t="str">
        <f>IF(AU1117="","",IF(OR(AZ1117=8,AZ1117=9),0,IF(OR(AW1117=3,AW1117=4,AW1117=5,AW1117=6),IF(LEFT(BH1117,1)="1",INDEX(係数_PM低減,MATCH(AY1117,【参考】排出係数!$AI$801:$AI$804,1),MATCH(BI1117,【参考】排出係数!$AL$798:$AO$798,1)),VLOOKUP(AU1117,INDEX((係数_バス貨物_ガソリン,係数_バス貨物_CNG,係数_バス貨物_軽油,係数_バス貨物_メタノール,係数_バス貨物_LPG),MATCH(AY1117,【参考】排出係数!$AI$4:$AI$671,1),1,BE1117):INDEX((係数_バス貨物_ガソリン,係数_バス貨物_CNG,係数_バス貨物_軽油,係数_バス貨物_メタノール,係数_バス貨物_LPG),MATCH(AY1117+1,【参考】排出係数!$AI$4:$AI$671,1)-1,5,BE1117),5,FALSE)),IF(AND(BE1117=3,LEFT(BF1117,1)="1"),0.055,VLOOKUP(AU1117,INDEX((係数_乗用_ガソリン,係数_乗用_CNG,係数_乗用_軽油,係数_乗用_メタノール,係数_乗用_LPG),1,1,BE1117):INDEX((係数_乗用_ガソリン,係数_乗用_CNG,係数_乗用_軽油,係数_乗用_メタノール,係数_乗用_LPG),125,5,BE1117),5,FALSE)))))</f>
        <v/>
      </c>
      <c r="AN1117" s="461" t="str">
        <f t="shared" si="616"/>
        <v/>
      </c>
      <c r="AO1117" s="462" t="str">
        <f t="shared" si="617"/>
        <v/>
      </c>
      <c r="AP1117" s="463" t="str">
        <f t="shared" si="618"/>
        <v/>
      </c>
      <c r="AQ1117" s="464"/>
      <c r="AR1117" s="619"/>
      <c r="AS1117" s="465" t="str">
        <f t="shared" si="626"/>
        <v/>
      </c>
      <c r="AT1117" s="465" t="str">
        <f t="shared" si="627"/>
        <v/>
      </c>
      <c r="AU1117" s="466" t="str">
        <f t="shared" si="628"/>
        <v/>
      </c>
      <c r="AV1117" s="467" t="str">
        <f t="shared" si="629"/>
        <v/>
      </c>
      <c r="AW1117" s="467" t="str">
        <f t="shared" si="630"/>
        <v/>
      </c>
      <c r="AX1117" s="467" t="str">
        <f t="shared" si="631"/>
        <v/>
      </c>
      <c r="AY1117" s="467" t="str">
        <f t="shared" si="632"/>
        <v/>
      </c>
      <c r="AZ1117" s="467" t="str">
        <f t="shared" si="633"/>
        <v/>
      </c>
      <c r="BA1117" s="468" t="str">
        <f>IF(AS1117="","",IF(OR(AU1117="",AU1117="-"),"－",IF(OR(AZ1117=8,AZ1117=9),"",IF(OR(AW1117=3,AW1117=4,AW1117=5,AW1117=6),VLOOKUP(AU1117,INDEX((係数_バス貨物_ガソリン,係数_バス貨物_CNG,係数_バス貨物_軽油,係数_バス貨物_メタノール,係数_バス貨物_LPG),MATCH(AY1117,【参考】排出係数!$AI$4:$AI$671,1),1,BE1117):INDEX((係数_バス貨物_ガソリン,係数_バス貨物_CNG,係数_バス貨物_軽油,係数_バス貨物_メタノール,係数_バス貨物_LPG),MATCH(AY1117+1,【参考】排出係数!$AI$4:$AI$671,1)-1,5,BE1117),2,FALSE),IF(OR(AW1117=1,AW1117=2),VLOOKUP(AU1117,INDEX((係数_乗用_ガソリン,係数_乗用_CNG,係数_乗用_軽油,係数_乗用_メタノール,係数_乗用_LPG),1,1,BE1117):INDEX((係数_乗用_ガソリン,係数_乗用_CNG,係数_乗用_軽油,係数_乗用_メタノール,係数_乗用_LPG),125,5,BE1117),2,FALSE))))))</f>
        <v/>
      </c>
      <c r="BB1117" s="468" t="str">
        <f>IF(T1117="","",IF(OR(AU1117="",AU1117="-"),"－",IF(OR(AZ1117=8,AZ1117=9),"",IF(OR(AW1117=3,AW1117=4,AW1117=5,AW1117=6),VLOOKUP(AU1117,INDEX((係数_バス貨物_ガソリン,係数_バス貨物_CNG,係数_バス貨物_軽油,係数_バス貨物_メタノール,係数_バス貨物_LPG),MATCH(AY1117,【参考】排出係数!$AI$4:$AI$671,1),1,BE1117):INDEX((係数_バス貨物_ガソリン,係数_バス貨物_CNG,係数_バス貨物_軽油,係数_バス貨物_メタノール,係数_バス貨物_LPG),MATCH(AY1117+1,【参考】排出係数!$AI$4:$AI$671,1)-1,5,BE1117),3,FALSE),IF(OR(AW1117=1,AW1117=2),VLOOKUP(AU1117,INDEX((係数_乗用_ガソリン,係数_乗用_CNG,係数_乗用_軽油,係数_乗用_メタノール,係数_乗用_LPG),1,1,BE1117):INDEX((係数_乗用_ガソリン,係数_乗用_CNG,係数_乗用_軽油,係数_乗用_メタノール,係数_乗用_LPG),125,5,BE1117),3,FALSE))))))</f>
        <v/>
      </c>
      <c r="BC1117" s="467" t="str">
        <f t="shared" si="634"/>
        <v/>
      </c>
      <c r="BD1117" s="567" t="str">
        <f t="shared" si="635"/>
        <v/>
      </c>
      <c r="BE1117" s="467" t="str">
        <f t="shared" si="636"/>
        <v/>
      </c>
      <c r="BF1117" s="469" t="str">
        <f t="shared" ca="1" si="637"/>
        <v/>
      </c>
      <c r="BG1117" s="469" t="str">
        <f t="shared" ca="1" si="638"/>
        <v/>
      </c>
      <c r="BH1117" s="467" t="str">
        <f t="shared" si="639"/>
        <v/>
      </c>
      <c r="BI1117" s="467" t="str">
        <f t="shared" ca="1" si="640"/>
        <v/>
      </c>
      <c r="BJ1117" s="469" t="str">
        <f t="shared" si="641"/>
        <v/>
      </c>
      <c r="BK1117" s="470" t="str">
        <f t="shared" si="625"/>
        <v/>
      </c>
      <c r="BL1117" s="775" t="str">
        <f t="shared" si="642"/>
        <v/>
      </c>
      <c r="BM1117" s="775" t="str">
        <f t="shared" si="643"/>
        <v/>
      </c>
    </row>
    <row r="1118" spans="1:65">
      <c r="A1118" s="473">
        <v>1062</v>
      </c>
      <c r="B1118" s="132"/>
      <c r="C1118" s="332"/>
      <c r="D1118" s="333"/>
      <c r="E1118" s="333"/>
      <c r="F1118" s="334"/>
      <c r="G1118" s="337"/>
      <c r="H1118" s="131"/>
      <c r="I1118" s="337"/>
      <c r="J1118" s="131"/>
      <c r="K1118" s="458" t="str">
        <f t="shared" si="606"/>
        <v/>
      </c>
      <c r="L1118" s="458">
        <f t="shared" si="607"/>
        <v>0</v>
      </c>
      <c r="M1118" s="458">
        <f t="shared" si="608"/>
        <v>0</v>
      </c>
      <c r="N1118" s="459" t="str">
        <f t="shared" si="619"/>
        <v/>
      </c>
      <c r="O1118" s="459" t="str">
        <f t="shared" si="620"/>
        <v/>
      </c>
      <c r="P1118" s="459" t="str">
        <f t="shared" si="621"/>
        <v/>
      </c>
      <c r="Q1118" s="459" t="str">
        <f t="shared" si="622"/>
        <v/>
      </c>
      <c r="R1118" s="459" t="str">
        <f t="shared" si="623"/>
        <v/>
      </c>
      <c r="S1118" s="459" t="str">
        <f t="shared" si="624"/>
        <v/>
      </c>
      <c r="T1118" s="566" t="str">
        <f t="shared" si="609"/>
        <v/>
      </c>
      <c r="U1118" s="702"/>
      <c r="V1118" s="132"/>
      <c r="W1118" s="133"/>
      <c r="X1118" s="134"/>
      <c r="Y1118" s="135"/>
      <c r="Z1118" s="137"/>
      <c r="AA1118" s="136"/>
      <c r="AB1118" s="566" t="str">
        <f t="shared" si="610"/>
        <v/>
      </c>
      <c r="AC1118" s="568" t="str">
        <f t="shared" si="611"/>
        <v/>
      </c>
      <c r="AD1118" s="137"/>
      <c r="AE1118" s="137"/>
      <c r="AF1118" s="138"/>
      <c r="AG1118" s="138"/>
      <c r="AH1118" s="592" t="str">
        <f t="shared" si="612"/>
        <v/>
      </c>
      <c r="AI1118" s="592" t="str">
        <f t="shared" si="613"/>
        <v/>
      </c>
      <c r="AJ1118" s="592" t="str">
        <f t="shared" si="614"/>
        <v/>
      </c>
      <c r="AK1118" s="460" t="str">
        <f>IF(AU1118="","",IF(OR(AZ1118=8,AZ1118=9),0,IF(OR(AW1118=3,AW1118=4,AW1118=5,AW1118=6),IF(LEFT(BF1118,1)="1",INDEX(係数_NOX・PM低減,MATCH(AY1118,【参考】排出係数!$AI$801:$AI$804,1),1),VLOOKUP(AU1118,INDEX((係数_バス貨物_ガソリン,係数_バス貨物_CNG,係数_バス貨物_軽油,係数_バス貨物_メタノール,係数_バス貨物_LPG),MATCH(AY1118,【参考】排出係数!$AI$4:$AI$671,1),1,BE1118):INDEX((係数_バス貨物_ガソリン,係数_バス貨物_CNG,係数_バス貨物_軽油,係数_バス貨物_メタノール,係数_バス貨物_LPG),MATCH(AY1118+1,【参考】排出係数!$AI$4:$AI$671,1)-1,5,BE1118),4,FALSE)),IF(AND(BE1118=3,LEFT(BF1118,1)="1"),0.48,VLOOKUP(AU1118,INDEX((係数_乗用_ガソリン,係数_乗用_CNG,係数_乗用_軽油,係数_乗用_メタノール,係数_乗用_LPG),1,1,BE1118):INDEX((係数_乗用_ガソリン,係数_乗用_CNG,係数_乗用_軽油,係数_乗用_メタノール,係数_乗用_LPG),125,5,BE1118),4,FALSE)))))</f>
        <v/>
      </c>
      <c r="AL1118" s="461" t="str">
        <f t="shared" si="615"/>
        <v/>
      </c>
      <c r="AM1118" s="460" t="str">
        <f>IF(AU1118="","",IF(OR(AZ1118=8,AZ1118=9),0,IF(OR(AW1118=3,AW1118=4,AW1118=5,AW1118=6),IF(LEFT(BH1118,1)="1",INDEX(係数_PM低減,MATCH(AY1118,【参考】排出係数!$AI$801:$AI$804,1),MATCH(BI1118,【参考】排出係数!$AL$798:$AO$798,1)),VLOOKUP(AU1118,INDEX((係数_バス貨物_ガソリン,係数_バス貨物_CNG,係数_バス貨物_軽油,係数_バス貨物_メタノール,係数_バス貨物_LPG),MATCH(AY1118,【参考】排出係数!$AI$4:$AI$671,1),1,BE1118):INDEX((係数_バス貨物_ガソリン,係数_バス貨物_CNG,係数_バス貨物_軽油,係数_バス貨物_メタノール,係数_バス貨物_LPG),MATCH(AY1118+1,【参考】排出係数!$AI$4:$AI$671,1)-1,5,BE1118),5,FALSE)),IF(AND(BE1118=3,LEFT(BF1118,1)="1"),0.055,VLOOKUP(AU1118,INDEX((係数_乗用_ガソリン,係数_乗用_CNG,係数_乗用_軽油,係数_乗用_メタノール,係数_乗用_LPG),1,1,BE1118):INDEX((係数_乗用_ガソリン,係数_乗用_CNG,係数_乗用_軽油,係数_乗用_メタノール,係数_乗用_LPG),125,5,BE1118),5,FALSE)))))</f>
        <v/>
      </c>
      <c r="AN1118" s="461" t="str">
        <f t="shared" si="616"/>
        <v/>
      </c>
      <c r="AO1118" s="462" t="str">
        <f t="shared" si="617"/>
        <v/>
      </c>
      <c r="AP1118" s="463" t="str">
        <f t="shared" si="618"/>
        <v/>
      </c>
      <c r="AQ1118" s="464"/>
      <c r="AR1118" s="619"/>
      <c r="AS1118" s="465" t="str">
        <f t="shared" si="626"/>
        <v/>
      </c>
      <c r="AT1118" s="465" t="str">
        <f t="shared" si="627"/>
        <v/>
      </c>
      <c r="AU1118" s="466" t="str">
        <f t="shared" si="628"/>
        <v/>
      </c>
      <c r="AV1118" s="467" t="str">
        <f t="shared" si="629"/>
        <v/>
      </c>
      <c r="AW1118" s="467" t="str">
        <f t="shared" si="630"/>
        <v/>
      </c>
      <c r="AX1118" s="467" t="str">
        <f t="shared" si="631"/>
        <v/>
      </c>
      <c r="AY1118" s="467" t="str">
        <f t="shared" si="632"/>
        <v/>
      </c>
      <c r="AZ1118" s="467" t="str">
        <f t="shared" si="633"/>
        <v/>
      </c>
      <c r="BA1118" s="468" t="str">
        <f>IF(AS1118="","",IF(OR(AU1118="",AU1118="-"),"－",IF(OR(AZ1118=8,AZ1118=9),"",IF(OR(AW1118=3,AW1118=4,AW1118=5,AW1118=6),VLOOKUP(AU1118,INDEX((係数_バス貨物_ガソリン,係数_バス貨物_CNG,係数_バス貨物_軽油,係数_バス貨物_メタノール,係数_バス貨物_LPG),MATCH(AY1118,【参考】排出係数!$AI$4:$AI$671,1),1,BE1118):INDEX((係数_バス貨物_ガソリン,係数_バス貨物_CNG,係数_バス貨物_軽油,係数_バス貨物_メタノール,係数_バス貨物_LPG),MATCH(AY1118+1,【参考】排出係数!$AI$4:$AI$671,1)-1,5,BE1118),2,FALSE),IF(OR(AW1118=1,AW1118=2),VLOOKUP(AU1118,INDEX((係数_乗用_ガソリン,係数_乗用_CNG,係数_乗用_軽油,係数_乗用_メタノール,係数_乗用_LPG),1,1,BE1118):INDEX((係数_乗用_ガソリン,係数_乗用_CNG,係数_乗用_軽油,係数_乗用_メタノール,係数_乗用_LPG),125,5,BE1118),2,FALSE))))))</f>
        <v/>
      </c>
      <c r="BB1118" s="468" t="str">
        <f>IF(T1118="","",IF(OR(AU1118="",AU1118="-"),"－",IF(OR(AZ1118=8,AZ1118=9),"",IF(OR(AW1118=3,AW1118=4,AW1118=5,AW1118=6),VLOOKUP(AU1118,INDEX((係数_バス貨物_ガソリン,係数_バス貨物_CNG,係数_バス貨物_軽油,係数_バス貨物_メタノール,係数_バス貨物_LPG),MATCH(AY1118,【参考】排出係数!$AI$4:$AI$671,1),1,BE1118):INDEX((係数_バス貨物_ガソリン,係数_バス貨物_CNG,係数_バス貨物_軽油,係数_バス貨物_メタノール,係数_バス貨物_LPG),MATCH(AY1118+1,【参考】排出係数!$AI$4:$AI$671,1)-1,5,BE1118),3,FALSE),IF(OR(AW1118=1,AW1118=2),VLOOKUP(AU1118,INDEX((係数_乗用_ガソリン,係数_乗用_CNG,係数_乗用_軽油,係数_乗用_メタノール,係数_乗用_LPG),1,1,BE1118):INDEX((係数_乗用_ガソリン,係数_乗用_CNG,係数_乗用_軽油,係数_乗用_メタノール,係数_乗用_LPG),125,5,BE1118),3,FALSE))))))</f>
        <v/>
      </c>
      <c r="BC1118" s="467" t="str">
        <f t="shared" si="634"/>
        <v/>
      </c>
      <c r="BD1118" s="567" t="str">
        <f t="shared" si="635"/>
        <v/>
      </c>
      <c r="BE1118" s="467" t="str">
        <f t="shared" si="636"/>
        <v/>
      </c>
      <c r="BF1118" s="469" t="str">
        <f t="shared" ca="1" si="637"/>
        <v/>
      </c>
      <c r="BG1118" s="469" t="str">
        <f t="shared" ca="1" si="638"/>
        <v/>
      </c>
      <c r="BH1118" s="467" t="str">
        <f t="shared" si="639"/>
        <v/>
      </c>
      <c r="BI1118" s="467" t="str">
        <f t="shared" ca="1" si="640"/>
        <v/>
      </c>
      <c r="BJ1118" s="469" t="str">
        <f t="shared" si="641"/>
        <v/>
      </c>
      <c r="BK1118" s="470" t="str">
        <f t="shared" si="625"/>
        <v/>
      </c>
      <c r="BL1118" s="775" t="str">
        <f t="shared" si="642"/>
        <v/>
      </c>
      <c r="BM1118" s="775" t="str">
        <f t="shared" si="643"/>
        <v/>
      </c>
    </row>
    <row r="1119" spans="1:65">
      <c r="A1119" s="473">
        <v>1063</v>
      </c>
      <c r="B1119" s="132"/>
      <c r="C1119" s="332"/>
      <c r="D1119" s="333"/>
      <c r="E1119" s="333"/>
      <c r="F1119" s="334"/>
      <c r="G1119" s="337"/>
      <c r="H1119" s="131"/>
      <c r="I1119" s="337"/>
      <c r="J1119" s="131"/>
      <c r="K1119" s="458" t="str">
        <f t="shared" si="606"/>
        <v/>
      </c>
      <c r="L1119" s="458">
        <f t="shared" si="607"/>
        <v>0</v>
      </c>
      <c r="M1119" s="458">
        <f t="shared" si="608"/>
        <v>0</v>
      </c>
      <c r="N1119" s="459" t="str">
        <f t="shared" si="619"/>
        <v/>
      </c>
      <c r="O1119" s="459" t="str">
        <f t="shared" si="620"/>
        <v/>
      </c>
      <c r="P1119" s="459" t="str">
        <f t="shared" si="621"/>
        <v/>
      </c>
      <c r="Q1119" s="459" t="str">
        <f t="shared" si="622"/>
        <v/>
      </c>
      <c r="R1119" s="459" t="str">
        <f t="shared" si="623"/>
        <v/>
      </c>
      <c r="S1119" s="459" t="str">
        <f t="shared" si="624"/>
        <v/>
      </c>
      <c r="T1119" s="566" t="str">
        <f t="shared" si="609"/>
        <v/>
      </c>
      <c r="U1119" s="702"/>
      <c r="V1119" s="132"/>
      <c r="W1119" s="133"/>
      <c r="X1119" s="134"/>
      <c r="Y1119" s="135"/>
      <c r="Z1119" s="137"/>
      <c r="AA1119" s="136"/>
      <c r="AB1119" s="566" t="str">
        <f t="shared" si="610"/>
        <v/>
      </c>
      <c r="AC1119" s="568" t="str">
        <f t="shared" si="611"/>
        <v/>
      </c>
      <c r="AD1119" s="137"/>
      <c r="AE1119" s="137"/>
      <c r="AF1119" s="138"/>
      <c r="AG1119" s="138"/>
      <c r="AH1119" s="592" t="str">
        <f t="shared" si="612"/>
        <v/>
      </c>
      <c r="AI1119" s="592" t="str">
        <f t="shared" si="613"/>
        <v/>
      </c>
      <c r="AJ1119" s="592" t="str">
        <f t="shared" si="614"/>
        <v/>
      </c>
      <c r="AK1119" s="460" t="str">
        <f>IF(AU1119="","",IF(OR(AZ1119=8,AZ1119=9),0,IF(OR(AW1119=3,AW1119=4,AW1119=5,AW1119=6),IF(LEFT(BF1119,1)="1",INDEX(係数_NOX・PM低減,MATCH(AY1119,【参考】排出係数!$AI$801:$AI$804,1),1),VLOOKUP(AU1119,INDEX((係数_バス貨物_ガソリン,係数_バス貨物_CNG,係数_バス貨物_軽油,係数_バス貨物_メタノール,係数_バス貨物_LPG),MATCH(AY1119,【参考】排出係数!$AI$4:$AI$671,1),1,BE1119):INDEX((係数_バス貨物_ガソリン,係数_バス貨物_CNG,係数_バス貨物_軽油,係数_バス貨物_メタノール,係数_バス貨物_LPG),MATCH(AY1119+1,【参考】排出係数!$AI$4:$AI$671,1)-1,5,BE1119),4,FALSE)),IF(AND(BE1119=3,LEFT(BF1119,1)="1"),0.48,VLOOKUP(AU1119,INDEX((係数_乗用_ガソリン,係数_乗用_CNG,係数_乗用_軽油,係数_乗用_メタノール,係数_乗用_LPG),1,1,BE1119):INDEX((係数_乗用_ガソリン,係数_乗用_CNG,係数_乗用_軽油,係数_乗用_メタノール,係数_乗用_LPG),125,5,BE1119),4,FALSE)))))</f>
        <v/>
      </c>
      <c r="AL1119" s="461" t="str">
        <f t="shared" si="615"/>
        <v/>
      </c>
      <c r="AM1119" s="460" t="str">
        <f>IF(AU1119="","",IF(OR(AZ1119=8,AZ1119=9),0,IF(OR(AW1119=3,AW1119=4,AW1119=5,AW1119=6),IF(LEFT(BH1119,1)="1",INDEX(係数_PM低減,MATCH(AY1119,【参考】排出係数!$AI$801:$AI$804,1),MATCH(BI1119,【参考】排出係数!$AL$798:$AO$798,1)),VLOOKUP(AU1119,INDEX((係数_バス貨物_ガソリン,係数_バス貨物_CNG,係数_バス貨物_軽油,係数_バス貨物_メタノール,係数_バス貨物_LPG),MATCH(AY1119,【参考】排出係数!$AI$4:$AI$671,1),1,BE1119):INDEX((係数_バス貨物_ガソリン,係数_バス貨物_CNG,係数_バス貨物_軽油,係数_バス貨物_メタノール,係数_バス貨物_LPG),MATCH(AY1119+1,【参考】排出係数!$AI$4:$AI$671,1)-1,5,BE1119),5,FALSE)),IF(AND(BE1119=3,LEFT(BF1119,1)="1"),0.055,VLOOKUP(AU1119,INDEX((係数_乗用_ガソリン,係数_乗用_CNG,係数_乗用_軽油,係数_乗用_メタノール,係数_乗用_LPG),1,1,BE1119):INDEX((係数_乗用_ガソリン,係数_乗用_CNG,係数_乗用_軽油,係数_乗用_メタノール,係数_乗用_LPG),125,5,BE1119),5,FALSE)))))</f>
        <v/>
      </c>
      <c r="AN1119" s="461" t="str">
        <f t="shared" si="616"/>
        <v/>
      </c>
      <c r="AO1119" s="462" t="str">
        <f t="shared" si="617"/>
        <v/>
      </c>
      <c r="AP1119" s="463" t="str">
        <f t="shared" si="618"/>
        <v/>
      </c>
      <c r="AQ1119" s="464"/>
      <c r="AR1119" s="619"/>
      <c r="AS1119" s="465" t="str">
        <f t="shared" si="626"/>
        <v/>
      </c>
      <c r="AT1119" s="465" t="str">
        <f t="shared" si="627"/>
        <v/>
      </c>
      <c r="AU1119" s="466" t="str">
        <f t="shared" si="628"/>
        <v/>
      </c>
      <c r="AV1119" s="467" t="str">
        <f t="shared" si="629"/>
        <v/>
      </c>
      <c r="AW1119" s="467" t="str">
        <f t="shared" si="630"/>
        <v/>
      </c>
      <c r="AX1119" s="467" t="str">
        <f t="shared" si="631"/>
        <v/>
      </c>
      <c r="AY1119" s="467" t="str">
        <f t="shared" si="632"/>
        <v/>
      </c>
      <c r="AZ1119" s="467" t="str">
        <f t="shared" si="633"/>
        <v/>
      </c>
      <c r="BA1119" s="468" t="str">
        <f>IF(AS1119="","",IF(OR(AU1119="",AU1119="-"),"－",IF(OR(AZ1119=8,AZ1119=9),"",IF(OR(AW1119=3,AW1119=4,AW1119=5,AW1119=6),VLOOKUP(AU1119,INDEX((係数_バス貨物_ガソリン,係数_バス貨物_CNG,係数_バス貨物_軽油,係数_バス貨物_メタノール,係数_バス貨物_LPG),MATCH(AY1119,【参考】排出係数!$AI$4:$AI$671,1),1,BE1119):INDEX((係数_バス貨物_ガソリン,係数_バス貨物_CNG,係数_バス貨物_軽油,係数_バス貨物_メタノール,係数_バス貨物_LPG),MATCH(AY1119+1,【参考】排出係数!$AI$4:$AI$671,1)-1,5,BE1119),2,FALSE),IF(OR(AW1119=1,AW1119=2),VLOOKUP(AU1119,INDEX((係数_乗用_ガソリン,係数_乗用_CNG,係数_乗用_軽油,係数_乗用_メタノール,係数_乗用_LPG),1,1,BE1119):INDEX((係数_乗用_ガソリン,係数_乗用_CNG,係数_乗用_軽油,係数_乗用_メタノール,係数_乗用_LPG),125,5,BE1119),2,FALSE))))))</f>
        <v/>
      </c>
      <c r="BB1119" s="468" t="str">
        <f>IF(T1119="","",IF(OR(AU1119="",AU1119="-"),"－",IF(OR(AZ1119=8,AZ1119=9),"",IF(OR(AW1119=3,AW1119=4,AW1119=5,AW1119=6),VLOOKUP(AU1119,INDEX((係数_バス貨物_ガソリン,係数_バス貨物_CNG,係数_バス貨物_軽油,係数_バス貨物_メタノール,係数_バス貨物_LPG),MATCH(AY1119,【参考】排出係数!$AI$4:$AI$671,1),1,BE1119):INDEX((係数_バス貨物_ガソリン,係数_バス貨物_CNG,係数_バス貨物_軽油,係数_バス貨物_メタノール,係数_バス貨物_LPG),MATCH(AY1119+1,【参考】排出係数!$AI$4:$AI$671,1)-1,5,BE1119),3,FALSE),IF(OR(AW1119=1,AW1119=2),VLOOKUP(AU1119,INDEX((係数_乗用_ガソリン,係数_乗用_CNG,係数_乗用_軽油,係数_乗用_メタノール,係数_乗用_LPG),1,1,BE1119):INDEX((係数_乗用_ガソリン,係数_乗用_CNG,係数_乗用_軽油,係数_乗用_メタノール,係数_乗用_LPG),125,5,BE1119),3,FALSE))))))</f>
        <v/>
      </c>
      <c r="BC1119" s="467" t="str">
        <f t="shared" si="634"/>
        <v/>
      </c>
      <c r="BD1119" s="567" t="str">
        <f t="shared" si="635"/>
        <v/>
      </c>
      <c r="BE1119" s="467" t="str">
        <f t="shared" si="636"/>
        <v/>
      </c>
      <c r="BF1119" s="469" t="str">
        <f t="shared" ca="1" si="637"/>
        <v/>
      </c>
      <c r="BG1119" s="469" t="str">
        <f t="shared" ca="1" si="638"/>
        <v/>
      </c>
      <c r="BH1119" s="467" t="str">
        <f t="shared" si="639"/>
        <v/>
      </c>
      <c r="BI1119" s="467" t="str">
        <f t="shared" ca="1" si="640"/>
        <v/>
      </c>
      <c r="BJ1119" s="469" t="str">
        <f t="shared" si="641"/>
        <v/>
      </c>
      <c r="BK1119" s="470" t="str">
        <f t="shared" si="625"/>
        <v/>
      </c>
      <c r="BL1119" s="775" t="str">
        <f t="shared" si="642"/>
        <v/>
      </c>
      <c r="BM1119" s="775" t="str">
        <f t="shared" si="643"/>
        <v/>
      </c>
    </row>
    <row r="1120" spans="1:65">
      <c r="A1120" s="473">
        <v>1064</v>
      </c>
      <c r="B1120" s="132"/>
      <c r="C1120" s="332"/>
      <c r="D1120" s="333"/>
      <c r="E1120" s="333"/>
      <c r="F1120" s="334"/>
      <c r="G1120" s="337"/>
      <c r="H1120" s="131"/>
      <c r="I1120" s="337"/>
      <c r="J1120" s="131"/>
      <c r="K1120" s="458" t="str">
        <f t="shared" si="606"/>
        <v/>
      </c>
      <c r="L1120" s="458">
        <f t="shared" si="607"/>
        <v>0</v>
      </c>
      <c r="M1120" s="458">
        <f t="shared" si="608"/>
        <v>0</v>
      </c>
      <c r="N1120" s="459" t="str">
        <f t="shared" si="619"/>
        <v/>
      </c>
      <c r="O1120" s="459" t="str">
        <f t="shared" si="620"/>
        <v/>
      </c>
      <c r="P1120" s="459" t="str">
        <f t="shared" si="621"/>
        <v/>
      </c>
      <c r="Q1120" s="459" t="str">
        <f t="shared" si="622"/>
        <v/>
      </c>
      <c r="R1120" s="459" t="str">
        <f t="shared" si="623"/>
        <v/>
      </c>
      <c r="S1120" s="459" t="str">
        <f t="shared" si="624"/>
        <v/>
      </c>
      <c r="T1120" s="566" t="str">
        <f t="shared" si="609"/>
        <v/>
      </c>
      <c r="U1120" s="702"/>
      <c r="V1120" s="132"/>
      <c r="W1120" s="133"/>
      <c r="X1120" s="134"/>
      <c r="Y1120" s="135"/>
      <c r="Z1120" s="137"/>
      <c r="AA1120" s="136"/>
      <c r="AB1120" s="566" t="str">
        <f t="shared" si="610"/>
        <v/>
      </c>
      <c r="AC1120" s="568" t="str">
        <f t="shared" si="611"/>
        <v/>
      </c>
      <c r="AD1120" s="137"/>
      <c r="AE1120" s="137"/>
      <c r="AF1120" s="138"/>
      <c r="AG1120" s="138"/>
      <c r="AH1120" s="592" t="str">
        <f t="shared" si="612"/>
        <v/>
      </c>
      <c r="AI1120" s="592" t="str">
        <f t="shared" si="613"/>
        <v/>
      </c>
      <c r="AJ1120" s="592" t="str">
        <f t="shared" si="614"/>
        <v/>
      </c>
      <c r="AK1120" s="460" t="str">
        <f>IF(AU1120="","",IF(OR(AZ1120=8,AZ1120=9),0,IF(OR(AW1120=3,AW1120=4,AW1120=5,AW1120=6),IF(LEFT(BF1120,1)="1",INDEX(係数_NOX・PM低減,MATCH(AY1120,【参考】排出係数!$AI$801:$AI$804,1),1),VLOOKUP(AU1120,INDEX((係数_バス貨物_ガソリン,係数_バス貨物_CNG,係数_バス貨物_軽油,係数_バス貨物_メタノール,係数_バス貨物_LPG),MATCH(AY1120,【参考】排出係数!$AI$4:$AI$671,1),1,BE1120):INDEX((係数_バス貨物_ガソリン,係数_バス貨物_CNG,係数_バス貨物_軽油,係数_バス貨物_メタノール,係数_バス貨物_LPG),MATCH(AY1120+1,【参考】排出係数!$AI$4:$AI$671,1)-1,5,BE1120),4,FALSE)),IF(AND(BE1120=3,LEFT(BF1120,1)="1"),0.48,VLOOKUP(AU1120,INDEX((係数_乗用_ガソリン,係数_乗用_CNG,係数_乗用_軽油,係数_乗用_メタノール,係数_乗用_LPG),1,1,BE1120):INDEX((係数_乗用_ガソリン,係数_乗用_CNG,係数_乗用_軽油,係数_乗用_メタノール,係数_乗用_LPG),125,5,BE1120),4,FALSE)))))</f>
        <v/>
      </c>
      <c r="AL1120" s="461" t="str">
        <f t="shared" si="615"/>
        <v/>
      </c>
      <c r="AM1120" s="460" t="str">
        <f>IF(AU1120="","",IF(OR(AZ1120=8,AZ1120=9),0,IF(OR(AW1120=3,AW1120=4,AW1120=5,AW1120=6),IF(LEFT(BH1120,1)="1",INDEX(係数_PM低減,MATCH(AY1120,【参考】排出係数!$AI$801:$AI$804,1),MATCH(BI1120,【参考】排出係数!$AL$798:$AO$798,1)),VLOOKUP(AU1120,INDEX((係数_バス貨物_ガソリン,係数_バス貨物_CNG,係数_バス貨物_軽油,係数_バス貨物_メタノール,係数_バス貨物_LPG),MATCH(AY1120,【参考】排出係数!$AI$4:$AI$671,1),1,BE1120):INDEX((係数_バス貨物_ガソリン,係数_バス貨物_CNG,係数_バス貨物_軽油,係数_バス貨物_メタノール,係数_バス貨物_LPG),MATCH(AY1120+1,【参考】排出係数!$AI$4:$AI$671,1)-1,5,BE1120),5,FALSE)),IF(AND(BE1120=3,LEFT(BF1120,1)="1"),0.055,VLOOKUP(AU1120,INDEX((係数_乗用_ガソリン,係数_乗用_CNG,係数_乗用_軽油,係数_乗用_メタノール,係数_乗用_LPG),1,1,BE1120):INDEX((係数_乗用_ガソリン,係数_乗用_CNG,係数_乗用_軽油,係数_乗用_メタノール,係数_乗用_LPG),125,5,BE1120),5,FALSE)))))</f>
        <v/>
      </c>
      <c r="AN1120" s="461" t="str">
        <f t="shared" si="616"/>
        <v/>
      </c>
      <c r="AO1120" s="462" t="str">
        <f t="shared" si="617"/>
        <v/>
      </c>
      <c r="AP1120" s="463" t="str">
        <f t="shared" si="618"/>
        <v/>
      </c>
      <c r="AQ1120" s="464"/>
      <c r="AR1120" s="619"/>
      <c r="AS1120" s="465" t="str">
        <f t="shared" si="626"/>
        <v/>
      </c>
      <c r="AT1120" s="465" t="str">
        <f t="shared" si="627"/>
        <v/>
      </c>
      <c r="AU1120" s="466" t="str">
        <f t="shared" si="628"/>
        <v/>
      </c>
      <c r="AV1120" s="467" t="str">
        <f t="shared" si="629"/>
        <v/>
      </c>
      <c r="AW1120" s="467" t="str">
        <f t="shared" si="630"/>
        <v/>
      </c>
      <c r="AX1120" s="467" t="str">
        <f t="shared" si="631"/>
        <v/>
      </c>
      <c r="AY1120" s="467" t="str">
        <f t="shared" si="632"/>
        <v/>
      </c>
      <c r="AZ1120" s="467" t="str">
        <f t="shared" si="633"/>
        <v/>
      </c>
      <c r="BA1120" s="468" t="str">
        <f>IF(AS1120="","",IF(OR(AU1120="",AU1120="-"),"－",IF(OR(AZ1120=8,AZ1120=9),"",IF(OR(AW1120=3,AW1120=4,AW1120=5,AW1120=6),VLOOKUP(AU1120,INDEX((係数_バス貨物_ガソリン,係数_バス貨物_CNG,係数_バス貨物_軽油,係数_バス貨物_メタノール,係数_バス貨物_LPG),MATCH(AY1120,【参考】排出係数!$AI$4:$AI$671,1),1,BE1120):INDEX((係数_バス貨物_ガソリン,係数_バス貨物_CNG,係数_バス貨物_軽油,係数_バス貨物_メタノール,係数_バス貨物_LPG),MATCH(AY1120+1,【参考】排出係数!$AI$4:$AI$671,1)-1,5,BE1120),2,FALSE),IF(OR(AW1120=1,AW1120=2),VLOOKUP(AU1120,INDEX((係数_乗用_ガソリン,係数_乗用_CNG,係数_乗用_軽油,係数_乗用_メタノール,係数_乗用_LPG),1,1,BE1120):INDEX((係数_乗用_ガソリン,係数_乗用_CNG,係数_乗用_軽油,係数_乗用_メタノール,係数_乗用_LPG),125,5,BE1120),2,FALSE))))))</f>
        <v/>
      </c>
      <c r="BB1120" s="468" t="str">
        <f>IF(T1120="","",IF(OR(AU1120="",AU1120="-"),"－",IF(OR(AZ1120=8,AZ1120=9),"",IF(OR(AW1120=3,AW1120=4,AW1120=5,AW1120=6),VLOOKUP(AU1120,INDEX((係数_バス貨物_ガソリン,係数_バス貨物_CNG,係数_バス貨物_軽油,係数_バス貨物_メタノール,係数_バス貨物_LPG),MATCH(AY1120,【参考】排出係数!$AI$4:$AI$671,1),1,BE1120):INDEX((係数_バス貨物_ガソリン,係数_バス貨物_CNG,係数_バス貨物_軽油,係数_バス貨物_メタノール,係数_バス貨物_LPG),MATCH(AY1120+1,【参考】排出係数!$AI$4:$AI$671,1)-1,5,BE1120),3,FALSE),IF(OR(AW1120=1,AW1120=2),VLOOKUP(AU1120,INDEX((係数_乗用_ガソリン,係数_乗用_CNG,係数_乗用_軽油,係数_乗用_メタノール,係数_乗用_LPG),1,1,BE1120):INDEX((係数_乗用_ガソリン,係数_乗用_CNG,係数_乗用_軽油,係数_乗用_メタノール,係数_乗用_LPG),125,5,BE1120),3,FALSE))))))</f>
        <v/>
      </c>
      <c r="BC1120" s="467" t="str">
        <f t="shared" si="634"/>
        <v/>
      </c>
      <c r="BD1120" s="567" t="str">
        <f t="shared" si="635"/>
        <v/>
      </c>
      <c r="BE1120" s="467" t="str">
        <f t="shared" si="636"/>
        <v/>
      </c>
      <c r="BF1120" s="469" t="str">
        <f t="shared" ca="1" si="637"/>
        <v/>
      </c>
      <c r="BG1120" s="469" t="str">
        <f t="shared" ca="1" si="638"/>
        <v/>
      </c>
      <c r="BH1120" s="467" t="str">
        <f t="shared" si="639"/>
        <v/>
      </c>
      <c r="BI1120" s="467" t="str">
        <f t="shared" ca="1" si="640"/>
        <v/>
      </c>
      <c r="BJ1120" s="469" t="str">
        <f t="shared" si="641"/>
        <v/>
      </c>
      <c r="BK1120" s="470" t="str">
        <f t="shared" si="625"/>
        <v/>
      </c>
      <c r="BL1120" s="775" t="str">
        <f t="shared" si="642"/>
        <v/>
      </c>
      <c r="BM1120" s="775" t="str">
        <f t="shared" si="643"/>
        <v/>
      </c>
    </row>
    <row r="1121" spans="1:65">
      <c r="A1121" s="473">
        <v>1065</v>
      </c>
      <c r="B1121" s="132"/>
      <c r="C1121" s="332"/>
      <c r="D1121" s="333"/>
      <c r="E1121" s="333"/>
      <c r="F1121" s="334"/>
      <c r="G1121" s="337"/>
      <c r="H1121" s="131"/>
      <c r="I1121" s="337"/>
      <c r="J1121" s="131"/>
      <c r="K1121" s="458" t="str">
        <f t="shared" si="606"/>
        <v/>
      </c>
      <c r="L1121" s="458">
        <f t="shared" si="607"/>
        <v>0</v>
      </c>
      <c r="M1121" s="458">
        <f t="shared" si="608"/>
        <v>0</v>
      </c>
      <c r="N1121" s="459" t="str">
        <f t="shared" si="619"/>
        <v/>
      </c>
      <c r="O1121" s="459" t="str">
        <f t="shared" si="620"/>
        <v/>
      </c>
      <c r="P1121" s="459" t="str">
        <f t="shared" si="621"/>
        <v/>
      </c>
      <c r="Q1121" s="459" t="str">
        <f t="shared" si="622"/>
        <v/>
      </c>
      <c r="R1121" s="459" t="str">
        <f t="shared" si="623"/>
        <v/>
      </c>
      <c r="S1121" s="459" t="str">
        <f t="shared" si="624"/>
        <v/>
      </c>
      <c r="T1121" s="566" t="str">
        <f t="shared" si="609"/>
        <v/>
      </c>
      <c r="U1121" s="702"/>
      <c r="V1121" s="132"/>
      <c r="W1121" s="133"/>
      <c r="X1121" s="134"/>
      <c r="Y1121" s="135"/>
      <c r="Z1121" s="137"/>
      <c r="AA1121" s="136"/>
      <c r="AB1121" s="566" t="str">
        <f t="shared" si="610"/>
        <v/>
      </c>
      <c r="AC1121" s="568" t="str">
        <f t="shared" si="611"/>
        <v/>
      </c>
      <c r="AD1121" s="137"/>
      <c r="AE1121" s="137"/>
      <c r="AF1121" s="138"/>
      <c r="AG1121" s="138"/>
      <c r="AH1121" s="592" t="str">
        <f t="shared" si="612"/>
        <v/>
      </c>
      <c r="AI1121" s="592" t="str">
        <f t="shared" si="613"/>
        <v/>
      </c>
      <c r="AJ1121" s="592" t="str">
        <f t="shared" si="614"/>
        <v/>
      </c>
      <c r="AK1121" s="460" t="str">
        <f>IF(AU1121="","",IF(OR(AZ1121=8,AZ1121=9),0,IF(OR(AW1121=3,AW1121=4,AW1121=5,AW1121=6),IF(LEFT(BF1121,1)="1",INDEX(係数_NOX・PM低減,MATCH(AY1121,【参考】排出係数!$AI$801:$AI$804,1),1),VLOOKUP(AU1121,INDEX((係数_バス貨物_ガソリン,係数_バス貨物_CNG,係数_バス貨物_軽油,係数_バス貨物_メタノール,係数_バス貨物_LPG),MATCH(AY1121,【参考】排出係数!$AI$4:$AI$671,1),1,BE1121):INDEX((係数_バス貨物_ガソリン,係数_バス貨物_CNG,係数_バス貨物_軽油,係数_バス貨物_メタノール,係数_バス貨物_LPG),MATCH(AY1121+1,【参考】排出係数!$AI$4:$AI$671,1)-1,5,BE1121),4,FALSE)),IF(AND(BE1121=3,LEFT(BF1121,1)="1"),0.48,VLOOKUP(AU1121,INDEX((係数_乗用_ガソリン,係数_乗用_CNG,係数_乗用_軽油,係数_乗用_メタノール,係数_乗用_LPG),1,1,BE1121):INDEX((係数_乗用_ガソリン,係数_乗用_CNG,係数_乗用_軽油,係数_乗用_メタノール,係数_乗用_LPG),125,5,BE1121),4,FALSE)))))</f>
        <v/>
      </c>
      <c r="AL1121" s="461" t="str">
        <f t="shared" si="615"/>
        <v/>
      </c>
      <c r="AM1121" s="460" t="str">
        <f>IF(AU1121="","",IF(OR(AZ1121=8,AZ1121=9),0,IF(OR(AW1121=3,AW1121=4,AW1121=5,AW1121=6),IF(LEFT(BH1121,1)="1",INDEX(係数_PM低減,MATCH(AY1121,【参考】排出係数!$AI$801:$AI$804,1),MATCH(BI1121,【参考】排出係数!$AL$798:$AO$798,1)),VLOOKUP(AU1121,INDEX((係数_バス貨物_ガソリン,係数_バス貨物_CNG,係数_バス貨物_軽油,係数_バス貨物_メタノール,係数_バス貨物_LPG),MATCH(AY1121,【参考】排出係数!$AI$4:$AI$671,1),1,BE1121):INDEX((係数_バス貨物_ガソリン,係数_バス貨物_CNG,係数_バス貨物_軽油,係数_バス貨物_メタノール,係数_バス貨物_LPG),MATCH(AY1121+1,【参考】排出係数!$AI$4:$AI$671,1)-1,5,BE1121),5,FALSE)),IF(AND(BE1121=3,LEFT(BF1121,1)="1"),0.055,VLOOKUP(AU1121,INDEX((係数_乗用_ガソリン,係数_乗用_CNG,係数_乗用_軽油,係数_乗用_メタノール,係数_乗用_LPG),1,1,BE1121):INDEX((係数_乗用_ガソリン,係数_乗用_CNG,係数_乗用_軽油,係数_乗用_メタノール,係数_乗用_LPG),125,5,BE1121),5,FALSE)))))</f>
        <v/>
      </c>
      <c r="AN1121" s="461" t="str">
        <f t="shared" si="616"/>
        <v/>
      </c>
      <c r="AO1121" s="462" t="str">
        <f t="shared" si="617"/>
        <v/>
      </c>
      <c r="AP1121" s="463" t="str">
        <f t="shared" si="618"/>
        <v/>
      </c>
      <c r="AQ1121" s="464"/>
      <c r="AR1121" s="619"/>
      <c r="AS1121" s="465" t="str">
        <f t="shared" si="626"/>
        <v/>
      </c>
      <c r="AT1121" s="465" t="str">
        <f t="shared" si="627"/>
        <v/>
      </c>
      <c r="AU1121" s="466" t="str">
        <f t="shared" si="628"/>
        <v/>
      </c>
      <c r="AV1121" s="467" t="str">
        <f t="shared" si="629"/>
        <v/>
      </c>
      <c r="AW1121" s="467" t="str">
        <f t="shared" si="630"/>
        <v/>
      </c>
      <c r="AX1121" s="467" t="str">
        <f t="shared" si="631"/>
        <v/>
      </c>
      <c r="AY1121" s="467" t="str">
        <f t="shared" si="632"/>
        <v/>
      </c>
      <c r="AZ1121" s="467" t="str">
        <f t="shared" si="633"/>
        <v/>
      </c>
      <c r="BA1121" s="468" t="str">
        <f>IF(AS1121="","",IF(OR(AU1121="",AU1121="-"),"－",IF(OR(AZ1121=8,AZ1121=9),"",IF(OR(AW1121=3,AW1121=4,AW1121=5,AW1121=6),VLOOKUP(AU1121,INDEX((係数_バス貨物_ガソリン,係数_バス貨物_CNG,係数_バス貨物_軽油,係数_バス貨物_メタノール,係数_バス貨物_LPG),MATCH(AY1121,【参考】排出係数!$AI$4:$AI$671,1),1,BE1121):INDEX((係数_バス貨物_ガソリン,係数_バス貨物_CNG,係数_バス貨物_軽油,係数_バス貨物_メタノール,係数_バス貨物_LPG),MATCH(AY1121+1,【参考】排出係数!$AI$4:$AI$671,1)-1,5,BE1121),2,FALSE),IF(OR(AW1121=1,AW1121=2),VLOOKUP(AU1121,INDEX((係数_乗用_ガソリン,係数_乗用_CNG,係数_乗用_軽油,係数_乗用_メタノール,係数_乗用_LPG),1,1,BE1121):INDEX((係数_乗用_ガソリン,係数_乗用_CNG,係数_乗用_軽油,係数_乗用_メタノール,係数_乗用_LPG),125,5,BE1121),2,FALSE))))))</f>
        <v/>
      </c>
      <c r="BB1121" s="468" t="str">
        <f>IF(T1121="","",IF(OR(AU1121="",AU1121="-"),"－",IF(OR(AZ1121=8,AZ1121=9),"",IF(OR(AW1121=3,AW1121=4,AW1121=5,AW1121=6),VLOOKUP(AU1121,INDEX((係数_バス貨物_ガソリン,係数_バス貨物_CNG,係数_バス貨物_軽油,係数_バス貨物_メタノール,係数_バス貨物_LPG),MATCH(AY1121,【参考】排出係数!$AI$4:$AI$671,1),1,BE1121):INDEX((係数_バス貨物_ガソリン,係数_バス貨物_CNG,係数_バス貨物_軽油,係数_バス貨物_メタノール,係数_バス貨物_LPG),MATCH(AY1121+1,【参考】排出係数!$AI$4:$AI$671,1)-1,5,BE1121),3,FALSE),IF(OR(AW1121=1,AW1121=2),VLOOKUP(AU1121,INDEX((係数_乗用_ガソリン,係数_乗用_CNG,係数_乗用_軽油,係数_乗用_メタノール,係数_乗用_LPG),1,1,BE1121):INDEX((係数_乗用_ガソリン,係数_乗用_CNG,係数_乗用_軽油,係数_乗用_メタノール,係数_乗用_LPG),125,5,BE1121),3,FALSE))))))</f>
        <v/>
      </c>
      <c r="BC1121" s="467" t="str">
        <f t="shared" si="634"/>
        <v/>
      </c>
      <c r="BD1121" s="567" t="str">
        <f t="shared" si="635"/>
        <v/>
      </c>
      <c r="BE1121" s="467" t="str">
        <f t="shared" si="636"/>
        <v/>
      </c>
      <c r="BF1121" s="469" t="str">
        <f t="shared" ca="1" si="637"/>
        <v/>
      </c>
      <c r="BG1121" s="469" t="str">
        <f t="shared" ca="1" si="638"/>
        <v/>
      </c>
      <c r="BH1121" s="467" t="str">
        <f t="shared" si="639"/>
        <v/>
      </c>
      <c r="BI1121" s="467" t="str">
        <f t="shared" ca="1" si="640"/>
        <v/>
      </c>
      <c r="BJ1121" s="469" t="str">
        <f t="shared" si="641"/>
        <v/>
      </c>
      <c r="BK1121" s="470" t="str">
        <f t="shared" si="625"/>
        <v/>
      </c>
      <c r="BL1121" s="775" t="str">
        <f t="shared" si="642"/>
        <v/>
      </c>
      <c r="BM1121" s="775" t="str">
        <f t="shared" si="643"/>
        <v/>
      </c>
    </row>
    <row r="1122" spans="1:65">
      <c r="A1122" s="473">
        <v>1066</v>
      </c>
      <c r="B1122" s="132"/>
      <c r="C1122" s="332"/>
      <c r="D1122" s="333"/>
      <c r="E1122" s="333"/>
      <c r="F1122" s="334"/>
      <c r="G1122" s="337"/>
      <c r="H1122" s="131"/>
      <c r="I1122" s="337"/>
      <c r="J1122" s="131"/>
      <c r="K1122" s="458" t="str">
        <f t="shared" si="606"/>
        <v/>
      </c>
      <c r="L1122" s="458">
        <f t="shared" si="607"/>
        <v>0</v>
      </c>
      <c r="M1122" s="458">
        <f t="shared" si="608"/>
        <v>0</v>
      </c>
      <c r="N1122" s="459" t="str">
        <f t="shared" si="619"/>
        <v/>
      </c>
      <c r="O1122" s="459" t="str">
        <f t="shared" si="620"/>
        <v/>
      </c>
      <c r="P1122" s="459" t="str">
        <f t="shared" si="621"/>
        <v/>
      </c>
      <c r="Q1122" s="459" t="str">
        <f t="shared" si="622"/>
        <v/>
      </c>
      <c r="R1122" s="459" t="str">
        <f t="shared" si="623"/>
        <v/>
      </c>
      <c r="S1122" s="459" t="str">
        <f t="shared" si="624"/>
        <v/>
      </c>
      <c r="T1122" s="566" t="str">
        <f t="shared" si="609"/>
        <v/>
      </c>
      <c r="U1122" s="702"/>
      <c r="V1122" s="132"/>
      <c r="W1122" s="133"/>
      <c r="X1122" s="134"/>
      <c r="Y1122" s="135"/>
      <c r="Z1122" s="137"/>
      <c r="AA1122" s="136"/>
      <c r="AB1122" s="566" t="str">
        <f t="shared" si="610"/>
        <v/>
      </c>
      <c r="AC1122" s="568" t="str">
        <f t="shared" si="611"/>
        <v/>
      </c>
      <c r="AD1122" s="137"/>
      <c r="AE1122" s="137"/>
      <c r="AF1122" s="138"/>
      <c r="AG1122" s="138"/>
      <c r="AH1122" s="592" t="str">
        <f t="shared" si="612"/>
        <v/>
      </c>
      <c r="AI1122" s="592" t="str">
        <f t="shared" si="613"/>
        <v/>
      </c>
      <c r="AJ1122" s="592" t="str">
        <f t="shared" si="614"/>
        <v/>
      </c>
      <c r="AK1122" s="460" t="str">
        <f>IF(AU1122="","",IF(OR(AZ1122=8,AZ1122=9),0,IF(OR(AW1122=3,AW1122=4,AW1122=5,AW1122=6),IF(LEFT(BF1122,1)="1",INDEX(係数_NOX・PM低減,MATCH(AY1122,【参考】排出係数!$AI$801:$AI$804,1),1),VLOOKUP(AU1122,INDEX((係数_バス貨物_ガソリン,係数_バス貨物_CNG,係数_バス貨物_軽油,係数_バス貨物_メタノール,係数_バス貨物_LPG),MATCH(AY1122,【参考】排出係数!$AI$4:$AI$671,1),1,BE1122):INDEX((係数_バス貨物_ガソリン,係数_バス貨物_CNG,係数_バス貨物_軽油,係数_バス貨物_メタノール,係数_バス貨物_LPG),MATCH(AY1122+1,【参考】排出係数!$AI$4:$AI$671,1)-1,5,BE1122),4,FALSE)),IF(AND(BE1122=3,LEFT(BF1122,1)="1"),0.48,VLOOKUP(AU1122,INDEX((係数_乗用_ガソリン,係数_乗用_CNG,係数_乗用_軽油,係数_乗用_メタノール,係数_乗用_LPG),1,1,BE1122):INDEX((係数_乗用_ガソリン,係数_乗用_CNG,係数_乗用_軽油,係数_乗用_メタノール,係数_乗用_LPG),125,5,BE1122),4,FALSE)))))</f>
        <v/>
      </c>
      <c r="AL1122" s="461" t="str">
        <f t="shared" si="615"/>
        <v/>
      </c>
      <c r="AM1122" s="460" t="str">
        <f>IF(AU1122="","",IF(OR(AZ1122=8,AZ1122=9),0,IF(OR(AW1122=3,AW1122=4,AW1122=5,AW1122=6),IF(LEFT(BH1122,1)="1",INDEX(係数_PM低減,MATCH(AY1122,【参考】排出係数!$AI$801:$AI$804,1),MATCH(BI1122,【参考】排出係数!$AL$798:$AO$798,1)),VLOOKUP(AU1122,INDEX((係数_バス貨物_ガソリン,係数_バス貨物_CNG,係数_バス貨物_軽油,係数_バス貨物_メタノール,係数_バス貨物_LPG),MATCH(AY1122,【参考】排出係数!$AI$4:$AI$671,1),1,BE1122):INDEX((係数_バス貨物_ガソリン,係数_バス貨物_CNG,係数_バス貨物_軽油,係数_バス貨物_メタノール,係数_バス貨物_LPG),MATCH(AY1122+1,【参考】排出係数!$AI$4:$AI$671,1)-1,5,BE1122),5,FALSE)),IF(AND(BE1122=3,LEFT(BF1122,1)="1"),0.055,VLOOKUP(AU1122,INDEX((係数_乗用_ガソリン,係数_乗用_CNG,係数_乗用_軽油,係数_乗用_メタノール,係数_乗用_LPG),1,1,BE1122):INDEX((係数_乗用_ガソリン,係数_乗用_CNG,係数_乗用_軽油,係数_乗用_メタノール,係数_乗用_LPG),125,5,BE1122),5,FALSE)))))</f>
        <v/>
      </c>
      <c r="AN1122" s="461" t="str">
        <f t="shared" si="616"/>
        <v/>
      </c>
      <c r="AO1122" s="462" t="str">
        <f t="shared" si="617"/>
        <v/>
      </c>
      <c r="AP1122" s="463" t="str">
        <f t="shared" si="618"/>
        <v/>
      </c>
      <c r="AQ1122" s="464"/>
      <c r="AR1122" s="619"/>
      <c r="AS1122" s="465" t="str">
        <f t="shared" si="626"/>
        <v/>
      </c>
      <c r="AT1122" s="465" t="str">
        <f t="shared" si="627"/>
        <v/>
      </c>
      <c r="AU1122" s="466" t="str">
        <f t="shared" si="628"/>
        <v/>
      </c>
      <c r="AV1122" s="467" t="str">
        <f t="shared" si="629"/>
        <v/>
      </c>
      <c r="AW1122" s="467" t="str">
        <f t="shared" si="630"/>
        <v/>
      </c>
      <c r="AX1122" s="467" t="str">
        <f t="shared" si="631"/>
        <v/>
      </c>
      <c r="AY1122" s="467" t="str">
        <f t="shared" si="632"/>
        <v/>
      </c>
      <c r="AZ1122" s="467" t="str">
        <f t="shared" si="633"/>
        <v/>
      </c>
      <c r="BA1122" s="468" t="str">
        <f>IF(AS1122="","",IF(OR(AU1122="",AU1122="-"),"－",IF(OR(AZ1122=8,AZ1122=9),"",IF(OR(AW1122=3,AW1122=4,AW1122=5,AW1122=6),VLOOKUP(AU1122,INDEX((係数_バス貨物_ガソリン,係数_バス貨物_CNG,係数_バス貨物_軽油,係数_バス貨物_メタノール,係数_バス貨物_LPG),MATCH(AY1122,【参考】排出係数!$AI$4:$AI$671,1),1,BE1122):INDEX((係数_バス貨物_ガソリン,係数_バス貨物_CNG,係数_バス貨物_軽油,係数_バス貨物_メタノール,係数_バス貨物_LPG),MATCH(AY1122+1,【参考】排出係数!$AI$4:$AI$671,1)-1,5,BE1122),2,FALSE),IF(OR(AW1122=1,AW1122=2),VLOOKUP(AU1122,INDEX((係数_乗用_ガソリン,係数_乗用_CNG,係数_乗用_軽油,係数_乗用_メタノール,係数_乗用_LPG),1,1,BE1122):INDEX((係数_乗用_ガソリン,係数_乗用_CNG,係数_乗用_軽油,係数_乗用_メタノール,係数_乗用_LPG),125,5,BE1122),2,FALSE))))))</f>
        <v/>
      </c>
      <c r="BB1122" s="468" t="str">
        <f>IF(T1122="","",IF(OR(AU1122="",AU1122="-"),"－",IF(OR(AZ1122=8,AZ1122=9),"",IF(OR(AW1122=3,AW1122=4,AW1122=5,AW1122=6),VLOOKUP(AU1122,INDEX((係数_バス貨物_ガソリン,係数_バス貨物_CNG,係数_バス貨物_軽油,係数_バス貨物_メタノール,係数_バス貨物_LPG),MATCH(AY1122,【参考】排出係数!$AI$4:$AI$671,1),1,BE1122):INDEX((係数_バス貨物_ガソリン,係数_バス貨物_CNG,係数_バス貨物_軽油,係数_バス貨物_メタノール,係数_バス貨物_LPG),MATCH(AY1122+1,【参考】排出係数!$AI$4:$AI$671,1)-1,5,BE1122),3,FALSE),IF(OR(AW1122=1,AW1122=2),VLOOKUP(AU1122,INDEX((係数_乗用_ガソリン,係数_乗用_CNG,係数_乗用_軽油,係数_乗用_メタノール,係数_乗用_LPG),1,1,BE1122):INDEX((係数_乗用_ガソリン,係数_乗用_CNG,係数_乗用_軽油,係数_乗用_メタノール,係数_乗用_LPG),125,5,BE1122),3,FALSE))))))</f>
        <v/>
      </c>
      <c r="BC1122" s="467" t="str">
        <f t="shared" si="634"/>
        <v/>
      </c>
      <c r="BD1122" s="567" t="str">
        <f t="shared" si="635"/>
        <v/>
      </c>
      <c r="BE1122" s="467" t="str">
        <f t="shared" si="636"/>
        <v/>
      </c>
      <c r="BF1122" s="469" t="str">
        <f t="shared" ca="1" si="637"/>
        <v/>
      </c>
      <c r="BG1122" s="469" t="str">
        <f t="shared" ca="1" si="638"/>
        <v/>
      </c>
      <c r="BH1122" s="467" t="str">
        <f t="shared" si="639"/>
        <v/>
      </c>
      <c r="BI1122" s="467" t="str">
        <f t="shared" ca="1" si="640"/>
        <v/>
      </c>
      <c r="BJ1122" s="469" t="str">
        <f t="shared" si="641"/>
        <v/>
      </c>
      <c r="BK1122" s="470" t="str">
        <f t="shared" si="625"/>
        <v/>
      </c>
      <c r="BL1122" s="775" t="str">
        <f t="shared" si="642"/>
        <v/>
      </c>
      <c r="BM1122" s="775" t="str">
        <f t="shared" si="643"/>
        <v/>
      </c>
    </row>
    <row r="1123" spans="1:65">
      <c r="A1123" s="473">
        <v>1067</v>
      </c>
      <c r="B1123" s="132"/>
      <c r="C1123" s="332"/>
      <c r="D1123" s="333"/>
      <c r="E1123" s="333"/>
      <c r="F1123" s="334"/>
      <c r="G1123" s="337"/>
      <c r="H1123" s="131"/>
      <c r="I1123" s="337"/>
      <c r="J1123" s="131"/>
      <c r="K1123" s="458" t="str">
        <f t="shared" si="606"/>
        <v/>
      </c>
      <c r="L1123" s="458">
        <f t="shared" si="607"/>
        <v>0</v>
      </c>
      <c r="M1123" s="458">
        <f t="shared" si="608"/>
        <v>0</v>
      </c>
      <c r="N1123" s="459" t="str">
        <f t="shared" si="619"/>
        <v/>
      </c>
      <c r="O1123" s="459" t="str">
        <f t="shared" si="620"/>
        <v/>
      </c>
      <c r="P1123" s="459" t="str">
        <f t="shared" si="621"/>
        <v/>
      </c>
      <c r="Q1123" s="459" t="str">
        <f t="shared" si="622"/>
        <v/>
      </c>
      <c r="R1123" s="459" t="str">
        <f t="shared" si="623"/>
        <v/>
      </c>
      <c r="S1123" s="459" t="str">
        <f t="shared" si="624"/>
        <v/>
      </c>
      <c r="T1123" s="566" t="str">
        <f t="shared" si="609"/>
        <v/>
      </c>
      <c r="U1123" s="702"/>
      <c r="V1123" s="132"/>
      <c r="W1123" s="133"/>
      <c r="X1123" s="134"/>
      <c r="Y1123" s="135"/>
      <c r="Z1123" s="137"/>
      <c r="AA1123" s="136"/>
      <c r="AB1123" s="566" t="str">
        <f t="shared" si="610"/>
        <v/>
      </c>
      <c r="AC1123" s="568" t="str">
        <f t="shared" si="611"/>
        <v/>
      </c>
      <c r="AD1123" s="137"/>
      <c r="AE1123" s="137"/>
      <c r="AF1123" s="138"/>
      <c r="AG1123" s="138"/>
      <c r="AH1123" s="592" t="str">
        <f t="shared" si="612"/>
        <v/>
      </c>
      <c r="AI1123" s="592" t="str">
        <f t="shared" si="613"/>
        <v/>
      </c>
      <c r="AJ1123" s="592" t="str">
        <f t="shared" si="614"/>
        <v/>
      </c>
      <c r="AK1123" s="460" t="str">
        <f>IF(AU1123="","",IF(OR(AZ1123=8,AZ1123=9),0,IF(OR(AW1123=3,AW1123=4,AW1123=5,AW1123=6),IF(LEFT(BF1123,1)="1",INDEX(係数_NOX・PM低減,MATCH(AY1123,【参考】排出係数!$AI$801:$AI$804,1),1),VLOOKUP(AU1123,INDEX((係数_バス貨物_ガソリン,係数_バス貨物_CNG,係数_バス貨物_軽油,係数_バス貨物_メタノール,係数_バス貨物_LPG),MATCH(AY1123,【参考】排出係数!$AI$4:$AI$671,1),1,BE1123):INDEX((係数_バス貨物_ガソリン,係数_バス貨物_CNG,係数_バス貨物_軽油,係数_バス貨物_メタノール,係数_バス貨物_LPG),MATCH(AY1123+1,【参考】排出係数!$AI$4:$AI$671,1)-1,5,BE1123),4,FALSE)),IF(AND(BE1123=3,LEFT(BF1123,1)="1"),0.48,VLOOKUP(AU1123,INDEX((係数_乗用_ガソリン,係数_乗用_CNG,係数_乗用_軽油,係数_乗用_メタノール,係数_乗用_LPG),1,1,BE1123):INDEX((係数_乗用_ガソリン,係数_乗用_CNG,係数_乗用_軽油,係数_乗用_メタノール,係数_乗用_LPG),125,5,BE1123),4,FALSE)))))</f>
        <v/>
      </c>
      <c r="AL1123" s="461" t="str">
        <f t="shared" si="615"/>
        <v/>
      </c>
      <c r="AM1123" s="460" t="str">
        <f>IF(AU1123="","",IF(OR(AZ1123=8,AZ1123=9),0,IF(OR(AW1123=3,AW1123=4,AW1123=5,AW1123=6),IF(LEFT(BH1123,1)="1",INDEX(係数_PM低減,MATCH(AY1123,【参考】排出係数!$AI$801:$AI$804,1),MATCH(BI1123,【参考】排出係数!$AL$798:$AO$798,1)),VLOOKUP(AU1123,INDEX((係数_バス貨物_ガソリン,係数_バス貨物_CNG,係数_バス貨物_軽油,係数_バス貨物_メタノール,係数_バス貨物_LPG),MATCH(AY1123,【参考】排出係数!$AI$4:$AI$671,1),1,BE1123):INDEX((係数_バス貨物_ガソリン,係数_バス貨物_CNG,係数_バス貨物_軽油,係数_バス貨物_メタノール,係数_バス貨物_LPG),MATCH(AY1123+1,【参考】排出係数!$AI$4:$AI$671,1)-1,5,BE1123),5,FALSE)),IF(AND(BE1123=3,LEFT(BF1123,1)="1"),0.055,VLOOKUP(AU1123,INDEX((係数_乗用_ガソリン,係数_乗用_CNG,係数_乗用_軽油,係数_乗用_メタノール,係数_乗用_LPG),1,1,BE1123):INDEX((係数_乗用_ガソリン,係数_乗用_CNG,係数_乗用_軽油,係数_乗用_メタノール,係数_乗用_LPG),125,5,BE1123),5,FALSE)))))</f>
        <v/>
      </c>
      <c r="AN1123" s="461" t="str">
        <f t="shared" si="616"/>
        <v/>
      </c>
      <c r="AO1123" s="462" t="str">
        <f t="shared" si="617"/>
        <v/>
      </c>
      <c r="AP1123" s="463" t="str">
        <f t="shared" si="618"/>
        <v/>
      </c>
      <c r="AQ1123" s="464"/>
      <c r="AR1123" s="619"/>
      <c r="AS1123" s="465" t="str">
        <f t="shared" si="626"/>
        <v/>
      </c>
      <c r="AT1123" s="465" t="str">
        <f t="shared" si="627"/>
        <v/>
      </c>
      <c r="AU1123" s="466" t="str">
        <f t="shared" si="628"/>
        <v/>
      </c>
      <c r="AV1123" s="467" t="str">
        <f t="shared" si="629"/>
        <v/>
      </c>
      <c r="AW1123" s="467" t="str">
        <f t="shared" si="630"/>
        <v/>
      </c>
      <c r="AX1123" s="467" t="str">
        <f t="shared" si="631"/>
        <v/>
      </c>
      <c r="AY1123" s="467" t="str">
        <f t="shared" si="632"/>
        <v/>
      </c>
      <c r="AZ1123" s="467" t="str">
        <f t="shared" si="633"/>
        <v/>
      </c>
      <c r="BA1123" s="468" t="str">
        <f>IF(AS1123="","",IF(OR(AU1123="",AU1123="-"),"－",IF(OR(AZ1123=8,AZ1123=9),"",IF(OR(AW1123=3,AW1123=4,AW1123=5,AW1123=6),VLOOKUP(AU1123,INDEX((係数_バス貨物_ガソリン,係数_バス貨物_CNG,係数_バス貨物_軽油,係数_バス貨物_メタノール,係数_バス貨物_LPG),MATCH(AY1123,【参考】排出係数!$AI$4:$AI$671,1),1,BE1123):INDEX((係数_バス貨物_ガソリン,係数_バス貨物_CNG,係数_バス貨物_軽油,係数_バス貨物_メタノール,係数_バス貨物_LPG),MATCH(AY1123+1,【参考】排出係数!$AI$4:$AI$671,1)-1,5,BE1123),2,FALSE),IF(OR(AW1123=1,AW1123=2),VLOOKUP(AU1123,INDEX((係数_乗用_ガソリン,係数_乗用_CNG,係数_乗用_軽油,係数_乗用_メタノール,係数_乗用_LPG),1,1,BE1123):INDEX((係数_乗用_ガソリン,係数_乗用_CNG,係数_乗用_軽油,係数_乗用_メタノール,係数_乗用_LPG),125,5,BE1123),2,FALSE))))))</f>
        <v/>
      </c>
      <c r="BB1123" s="468" t="str">
        <f>IF(T1123="","",IF(OR(AU1123="",AU1123="-"),"－",IF(OR(AZ1123=8,AZ1123=9),"",IF(OR(AW1123=3,AW1123=4,AW1123=5,AW1123=6),VLOOKUP(AU1123,INDEX((係数_バス貨物_ガソリン,係数_バス貨物_CNG,係数_バス貨物_軽油,係数_バス貨物_メタノール,係数_バス貨物_LPG),MATCH(AY1123,【参考】排出係数!$AI$4:$AI$671,1),1,BE1123):INDEX((係数_バス貨物_ガソリン,係数_バス貨物_CNG,係数_バス貨物_軽油,係数_バス貨物_メタノール,係数_バス貨物_LPG),MATCH(AY1123+1,【参考】排出係数!$AI$4:$AI$671,1)-1,5,BE1123),3,FALSE),IF(OR(AW1123=1,AW1123=2),VLOOKUP(AU1123,INDEX((係数_乗用_ガソリン,係数_乗用_CNG,係数_乗用_軽油,係数_乗用_メタノール,係数_乗用_LPG),1,1,BE1123):INDEX((係数_乗用_ガソリン,係数_乗用_CNG,係数_乗用_軽油,係数_乗用_メタノール,係数_乗用_LPG),125,5,BE1123),3,FALSE))))))</f>
        <v/>
      </c>
      <c r="BC1123" s="467" t="str">
        <f t="shared" si="634"/>
        <v/>
      </c>
      <c r="BD1123" s="567" t="str">
        <f t="shared" si="635"/>
        <v/>
      </c>
      <c r="BE1123" s="467" t="str">
        <f t="shared" si="636"/>
        <v/>
      </c>
      <c r="BF1123" s="469" t="str">
        <f t="shared" ca="1" si="637"/>
        <v/>
      </c>
      <c r="BG1123" s="469" t="str">
        <f t="shared" ca="1" si="638"/>
        <v/>
      </c>
      <c r="BH1123" s="467" t="str">
        <f t="shared" si="639"/>
        <v/>
      </c>
      <c r="BI1123" s="467" t="str">
        <f t="shared" ca="1" si="640"/>
        <v/>
      </c>
      <c r="BJ1123" s="469" t="str">
        <f t="shared" si="641"/>
        <v/>
      </c>
      <c r="BK1123" s="470" t="str">
        <f t="shared" si="625"/>
        <v/>
      </c>
      <c r="BL1123" s="775" t="str">
        <f t="shared" si="642"/>
        <v/>
      </c>
      <c r="BM1123" s="775" t="str">
        <f t="shared" si="643"/>
        <v/>
      </c>
    </row>
    <row r="1124" spans="1:65">
      <c r="A1124" s="473">
        <v>1068</v>
      </c>
      <c r="B1124" s="132"/>
      <c r="C1124" s="332"/>
      <c r="D1124" s="333"/>
      <c r="E1124" s="333"/>
      <c r="F1124" s="334"/>
      <c r="G1124" s="337"/>
      <c r="H1124" s="131"/>
      <c r="I1124" s="337"/>
      <c r="J1124" s="131"/>
      <c r="K1124" s="458" t="str">
        <f t="shared" si="606"/>
        <v/>
      </c>
      <c r="L1124" s="458">
        <f t="shared" si="607"/>
        <v>0</v>
      </c>
      <c r="M1124" s="458">
        <f t="shared" si="608"/>
        <v>0</v>
      </c>
      <c r="N1124" s="459" t="str">
        <f t="shared" si="619"/>
        <v/>
      </c>
      <c r="O1124" s="459" t="str">
        <f t="shared" si="620"/>
        <v/>
      </c>
      <c r="P1124" s="459" t="str">
        <f t="shared" si="621"/>
        <v/>
      </c>
      <c r="Q1124" s="459" t="str">
        <f t="shared" si="622"/>
        <v/>
      </c>
      <c r="R1124" s="459" t="str">
        <f t="shared" si="623"/>
        <v/>
      </c>
      <c r="S1124" s="459" t="str">
        <f t="shared" si="624"/>
        <v/>
      </c>
      <c r="T1124" s="566" t="str">
        <f t="shared" si="609"/>
        <v/>
      </c>
      <c r="U1124" s="702"/>
      <c r="V1124" s="132"/>
      <c r="W1124" s="133"/>
      <c r="X1124" s="134"/>
      <c r="Y1124" s="135"/>
      <c r="Z1124" s="137"/>
      <c r="AA1124" s="136"/>
      <c r="AB1124" s="566" t="str">
        <f t="shared" si="610"/>
        <v/>
      </c>
      <c r="AC1124" s="568" t="str">
        <f t="shared" si="611"/>
        <v/>
      </c>
      <c r="AD1124" s="137"/>
      <c r="AE1124" s="137"/>
      <c r="AF1124" s="138"/>
      <c r="AG1124" s="138"/>
      <c r="AH1124" s="592" t="str">
        <f t="shared" si="612"/>
        <v/>
      </c>
      <c r="AI1124" s="592" t="str">
        <f t="shared" si="613"/>
        <v/>
      </c>
      <c r="AJ1124" s="592" t="str">
        <f t="shared" si="614"/>
        <v/>
      </c>
      <c r="AK1124" s="460" t="str">
        <f>IF(AU1124="","",IF(OR(AZ1124=8,AZ1124=9),0,IF(OR(AW1124=3,AW1124=4,AW1124=5,AW1124=6),IF(LEFT(BF1124,1)="1",INDEX(係数_NOX・PM低減,MATCH(AY1124,【参考】排出係数!$AI$801:$AI$804,1),1),VLOOKUP(AU1124,INDEX((係数_バス貨物_ガソリン,係数_バス貨物_CNG,係数_バス貨物_軽油,係数_バス貨物_メタノール,係数_バス貨物_LPG),MATCH(AY1124,【参考】排出係数!$AI$4:$AI$671,1),1,BE1124):INDEX((係数_バス貨物_ガソリン,係数_バス貨物_CNG,係数_バス貨物_軽油,係数_バス貨物_メタノール,係数_バス貨物_LPG),MATCH(AY1124+1,【参考】排出係数!$AI$4:$AI$671,1)-1,5,BE1124),4,FALSE)),IF(AND(BE1124=3,LEFT(BF1124,1)="1"),0.48,VLOOKUP(AU1124,INDEX((係数_乗用_ガソリン,係数_乗用_CNG,係数_乗用_軽油,係数_乗用_メタノール,係数_乗用_LPG),1,1,BE1124):INDEX((係数_乗用_ガソリン,係数_乗用_CNG,係数_乗用_軽油,係数_乗用_メタノール,係数_乗用_LPG),125,5,BE1124),4,FALSE)))))</f>
        <v/>
      </c>
      <c r="AL1124" s="461" t="str">
        <f t="shared" si="615"/>
        <v/>
      </c>
      <c r="AM1124" s="460" t="str">
        <f>IF(AU1124="","",IF(OR(AZ1124=8,AZ1124=9),0,IF(OR(AW1124=3,AW1124=4,AW1124=5,AW1124=6),IF(LEFT(BH1124,1)="1",INDEX(係数_PM低減,MATCH(AY1124,【参考】排出係数!$AI$801:$AI$804,1),MATCH(BI1124,【参考】排出係数!$AL$798:$AO$798,1)),VLOOKUP(AU1124,INDEX((係数_バス貨物_ガソリン,係数_バス貨物_CNG,係数_バス貨物_軽油,係数_バス貨物_メタノール,係数_バス貨物_LPG),MATCH(AY1124,【参考】排出係数!$AI$4:$AI$671,1),1,BE1124):INDEX((係数_バス貨物_ガソリン,係数_バス貨物_CNG,係数_バス貨物_軽油,係数_バス貨物_メタノール,係数_バス貨物_LPG),MATCH(AY1124+1,【参考】排出係数!$AI$4:$AI$671,1)-1,5,BE1124),5,FALSE)),IF(AND(BE1124=3,LEFT(BF1124,1)="1"),0.055,VLOOKUP(AU1124,INDEX((係数_乗用_ガソリン,係数_乗用_CNG,係数_乗用_軽油,係数_乗用_メタノール,係数_乗用_LPG),1,1,BE1124):INDEX((係数_乗用_ガソリン,係数_乗用_CNG,係数_乗用_軽油,係数_乗用_メタノール,係数_乗用_LPG),125,5,BE1124),5,FALSE)))))</f>
        <v/>
      </c>
      <c r="AN1124" s="461" t="str">
        <f t="shared" si="616"/>
        <v/>
      </c>
      <c r="AO1124" s="462" t="str">
        <f t="shared" si="617"/>
        <v/>
      </c>
      <c r="AP1124" s="463" t="str">
        <f t="shared" si="618"/>
        <v/>
      </c>
      <c r="AQ1124" s="464"/>
      <c r="AR1124" s="619"/>
      <c r="AS1124" s="465" t="str">
        <f t="shared" si="626"/>
        <v/>
      </c>
      <c r="AT1124" s="465" t="str">
        <f t="shared" si="627"/>
        <v/>
      </c>
      <c r="AU1124" s="466" t="str">
        <f t="shared" si="628"/>
        <v/>
      </c>
      <c r="AV1124" s="467" t="str">
        <f t="shared" si="629"/>
        <v/>
      </c>
      <c r="AW1124" s="467" t="str">
        <f t="shared" si="630"/>
        <v/>
      </c>
      <c r="AX1124" s="467" t="str">
        <f t="shared" si="631"/>
        <v/>
      </c>
      <c r="AY1124" s="467" t="str">
        <f t="shared" si="632"/>
        <v/>
      </c>
      <c r="AZ1124" s="467" t="str">
        <f t="shared" si="633"/>
        <v/>
      </c>
      <c r="BA1124" s="468" t="str">
        <f>IF(AS1124="","",IF(OR(AU1124="",AU1124="-"),"－",IF(OR(AZ1124=8,AZ1124=9),"",IF(OR(AW1124=3,AW1124=4,AW1124=5,AW1124=6),VLOOKUP(AU1124,INDEX((係数_バス貨物_ガソリン,係数_バス貨物_CNG,係数_バス貨物_軽油,係数_バス貨物_メタノール,係数_バス貨物_LPG),MATCH(AY1124,【参考】排出係数!$AI$4:$AI$671,1),1,BE1124):INDEX((係数_バス貨物_ガソリン,係数_バス貨物_CNG,係数_バス貨物_軽油,係数_バス貨物_メタノール,係数_バス貨物_LPG),MATCH(AY1124+1,【参考】排出係数!$AI$4:$AI$671,1)-1,5,BE1124),2,FALSE),IF(OR(AW1124=1,AW1124=2),VLOOKUP(AU1124,INDEX((係数_乗用_ガソリン,係数_乗用_CNG,係数_乗用_軽油,係数_乗用_メタノール,係数_乗用_LPG),1,1,BE1124):INDEX((係数_乗用_ガソリン,係数_乗用_CNG,係数_乗用_軽油,係数_乗用_メタノール,係数_乗用_LPG),125,5,BE1124),2,FALSE))))))</f>
        <v/>
      </c>
      <c r="BB1124" s="468" t="str">
        <f>IF(T1124="","",IF(OR(AU1124="",AU1124="-"),"－",IF(OR(AZ1124=8,AZ1124=9),"",IF(OR(AW1124=3,AW1124=4,AW1124=5,AW1124=6),VLOOKUP(AU1124,INDEX((係数_バス貨物_ガソリン,係数_バス貨物_CNG,係数_バス貨物_軽油,係数_バス貨物_メタノール,係数_バス貨物_LPG),MATCH(AY1124,【参考】排出係数!$AI$4:$AI$671,1),1,BE1124):INDEX((係数_バス貨物_ガソリン,係数_バス貨物_CNG,係数_バス貨物_軽油,係数_バス貨物_メタノール,係数_バス貨物_LPG),MATCH(AY1124+1,【参考】排出係数!$AI$4:$AI$671,1)-1,5,BE1124),3,FALSE),IF(OR(AW1124=1,AW1124=2),VLOOKUP(AU1124,INDEX((係数_乗用_ガソリン,係数_乗用_CNG,係数_乗用_軽油,係数_乗用_メタノール,係数_乗用_LPG),1,1,BE1124):INDEX((係数_乗用_ガソリン,係数_乗用_CNG,係数_乗用_軽油,係数_乗用_メタノール,係数_乗用_LPG),125,5,BE1124),3,FALSE))))))</f>
        <v/>
      </c>
      <c r="BC1124" s="467" t="str">
        <f t="shared" si="634"/>
        <v/>
      </c>
      <c r="BD1124" s="567" t="str">
        <f t="shared" si="635"/>
        <v/>
      </c>
      <c r="BE1124" s="467" t="str">
        <f t="shared" si="636"/>
        <v/>
      </c>
      <c r="BF1124" s="469" t="str">
        <f t="shared" ca="1" si="637"/>
        <v/>
      </c>
      <c r="BG1124" s="469" t="str">
        <f t="shared" ca="1" si="638"/>
        <v/>
      </c>
      <c r="BH1124" s="467" t="str">
        <f t="shared" si="639"/>
        <v/>
      </c>
      <c r="BI1124" s="467" t="str">
        <f t="shared" ca="1" si="640"/>
        <v/>
      </c>
      <c r="BJ1124" s="469" t="str">
        <f t="shared" si="641"/>
        <v/>
      </c>
      <c r="BK1124" s="470" t="str">
        <f t="shared" si="625"/>
        <v/>
      </c>
      <c r="BL1124" s="775" t="str">
        <f t="shared" si="642"/>
        <v/>
      </c>
      <c r="BM1124" s="775" t="str">
        <f t="shared" si="643"/>
        <v/>
      </c>
    </row>
    <row r="1125" spans="1:65">
      <c r="A1125" s="473">
        <v>1069</v>
      </c>
      <c r="B1125" s="132"/>
      <c r="C1125" s="332"/>
      <c r="D1125" s="333"/>
      <c r="E1125" s="333"/>
      <c r="F1125" s="334"/>
      <c r="G1125" s="337"/>
      <c r="H1125" s="131"/>
      <c r="I1125" s="337"/>
      <c r="J1125" s="131"/>
      <c r="K1125" s="458" t="str">
        <f t="shared" si="606"/>
        <v/>
      </c>
      <c r="L1125" s="458">
        <f t="shared" si="607"/>
        <v>0</v>
      </c>
      <c r="M1125" s="458">
        <f t="shared" si="608"/>
        <v>0</v>
      </c>
      <c r="N1125" s="459" t="str">
        <f t="shared" si="619"/>
        <v/>
      </c>
      <c r="O1125" s="459" t="str">
        <f t="shared" si="620"/>
        <v/>
      </c>
      <c r="P1125" s="459" t="str">
        <f t="shared" si="621"/>
        <v/>
      </c>
      <c r="Q1125" s="459" t="str">
        <f t="shared" si="622"/>
        <v/>
      </c>
      <c r="R1125" s="459" t="str">
        <f t="shared" si="623"/>
        <v/>
      </c>
      <c r="S1125" s="459" t="str">
        <f t="shared" si="624"/>
        <v/>
      </c>
      <c r="T1125" s="566" t="str">
        <f t="shared" si="609"/>
        <v/>
      </c>
      <c r="U1125" s="702"/>
      <c r="V1125" s="132"/>
      <c r="W1125" s="133"/>
      <c r="X1125" s="134"/>
      <c r="Y1125" s="135"/>
      <c r="Z1125" s="137"/>
      <c r="AA1125" s="136"/>
      <c r="AB1125" s="566" t="str">
        <f t="shared" si="610"/>
        <v/>
      </c>
      <c r="AC1125" s="568" t="str">
        <f t="shared" si="611"/>
        <v/>
      </c>
      <c r="AD1125" s="137"/>
      <c r="AE1125" s="137"/>
      <c r="AF1125" s="138"/>
      <c r="AG1125" s="138"/>
      <c r="AH1125" s="592" t="str">
        <f t="shared" si="612"/>
        <v/>
      </c>
      <c r="AI1125" s="592" t="str">
        <f t="shared" si="613"/>
        <v/>
      </c>
      <c r="AJ1125" s="592" t="str">
        <f t="shared" si="614"/>
        <v/>
      </c>
      <c r="AK1125" s="460" t="str">
        <f>IF(AU1125="","",IF(OR(AZ1125=8,AZ1125=9),0,IF(OR(AW1125=3,AW1125=4,AW1125=5,AW1125=6),IF(LEFT(BF1125,1)="1",INDEX(係数_NOX・PM低減,MATCH(AY1125,【参考】排出係数!$AI$801:$AI$804,1),1),VLOOKUP(AU1125,INDEX((係数_バス貨物_ガソリン,係数_バス貨物_CNG,係数_バス貨物_軽油,係数_バス貨物_メタノール,係数_バス貨物_LPG),MATCH(AY1125,【参考】排出係数!$AI$4:$AI$671,1),1,BE1125):INDEX((係数_バス貨物_ガソリン,係数_バス貨物_CNG,係数_バス貨物_軽油,係数_バス貨物_メタノール,係数_バス貨物_LPG),MATCH(AY1125+1,【参考】排出係数!$AI$4:$AI$671,1)-1,5,BE1125),4,FALSE)),IF(AND(BE1125=3,LEFT(BF1125,1)="1"),0.48,VLOOKUP(AU1125,INDEX((係数_乗用_ガソリン,係数_乗用_CNG,係数_乗用_軽油,係数_乗用_メタノール,係数_乗用_LPG),1,1,BE1125):INDEX((係数_乗用_ガソリン,係数_乗用_CNG,係数_乗用_軽油,係数_乗用_メタノール,係数_乗用_LPG),125,5,BE1125),4,FALSE)))))</f>
        <v/>
      </c>
      <c r="AL1125" s="461" t="str">
        <f t="shared" si="615"/>
        <v/>
      </c>
      <c r="AM1125" s="460" t="str">
        <f>IF(AU1125="","",IF(OR(AZ1125=8,AZ1125=9),0,IF(OR(AW1125=3,AW1125=4,AW1125=5,AW1125=6),IF(LEFT(BH1125,1)="1",INDEX(係数_PM低減,MATCH(AY1125,【参考】排出係数!$AI$801:$AI$804,1),MATCH(BI1125,【参考】排出係数!$AL$798:$AO$798,1)),VLOOKUP(AU1125,INDEX((係数_バス貨物_ガソリン,係数_バス貨物_CNG,係数_バス貨物_軽油,係数_バス貨物_メタノール,係数_バス貨物_LPG),MATCH(AY1125,【参考】排出係数!$AI$4:$AI$671,1),1,BE1125):INDEX((係数_バス貨物_ガソリン,係数_バス貨物_CNG,係数_バス貨物_軽油,係数_バス貨物_メタノール,係数_バス貨物_LPG),MATCH(AY1125+1,【参考】排出係数!$AI$4:$AI$671,1)-1,5,BE1125),5,FALSE)),IF(AND(BE1125=3,LEFT(BF1125,1)="1"),0.055,VLOOKUP(AU1125,INDEX((係数_乗用_ガソリン,係数_乗用_CNG,係数_乗用_軽油,係数_乗用_メタノール,係数_乗用_LPG),1,1,BE1125):INDEX((係数_乗用_ガソリン,係数_乗用_CNG,係数_乗用_軽油,係数_乗用_メタノール,係数_乗用_LPG),125,5,BE1125),5,FALSE)))))</f>
        <v/>
      </c>
      <c r="AN1125" s="461" t="str">
        <f t="shared" si="616"/>
        <v/>
      </c>
      <c r="AO1125" s="462" t="str">
        <f t="shared" si="617"/>
        <v/>
      </c>
      <c r="AP1125" s="463" t="str">
        <f t="shared" si="618"/>
        <v/>
      </c>
      <c r="AQ1125" s="464"/>
      <c r="AR1125" s="619"/>
      <c r="AS1125" s="465" t="str">
        <f t="shared" si="626"/>
        <v/>
      </c>
      <c r="AT1125" s="465" t="str">
        <f t="shared" si="627"/>
        <v/>
      </c>
      <c r="AU1125" s="466" t="str">
        <f t="shared" si="628"/>
        <v/>
      </c>
      <c r="AV1125" s="467" t="str">
        <f t="shared" si="629"/>
        <v/>
      </c>
      <c r="AW1125" s="467" t="str">
        <f t="shared" si="630"/>
        <v/>
      </c>
      <c r="AX1125" s="467" t="str">
        <f t="shared" si="631"/>
        <v/>
      </c>
      <c r="AY1125" s="467" t="str">
        <f t="shared" si="632"/>
        <v/>
      </c>
      <c r="AZ1125" s="467" t="str">
        <f t="shared" si="633"/>
        <v/>
      </c>
      <c r="BA1125" s="468" t="str">
        <f>IF(AS1125="","",IF(OR(AU1125="",AU1125="-"),"－",IF(OR(AZ1125=8,AZ1125=9),"",IF(OR(AW1125=3,AW1125=4,AW1125=5,AW1125=6),VLOOKUP(AU1125,INDEX((係数_バス貨物_ガソリン,係数_バス貨物_CNG,係数_バス貨物_軽油,係数_バス貨物_メタノール,係数_バス貨物_LPG),MATCH(AY1125,【参考】排出係数!$AI$4:$AI$671,1),1,BE1125):INDEX((係数_バス貨物_ガソリン,係数_バス貨物_CNG,係数_バス貨物_軽油,係数_バス貨物_メタノール,係数_バス貨物_LPG),MATCH(AY1125+1,【参考】排出係数!$AI$4:$AI$671,1)-1,5,BE1125),2,FALSE),IF(OR(AW1125=1,AW1125=2),VLOOKUP(AU1125,INDEX((係数_乗用_ガソリン,係数_乗用_CNG,係数_乗用_軽油,係数_乗用_メタノール,係数_乗用_LPG),1,1,BE1125):INDEX((係数_乗用_ガソリン,係数_乗用_CNG,係数_乗用_軽油,係数_乗用_メタノール,係数_乗用_LPG),125,5,BE1125),2,FALSE))))))</f>
        <v/>
      </c>
      <c r="BB1125" s="468" t="str">
        <f>IF(T1125="","",IF(OR(AU1125="",AU1125="-"),"－",IF(OR(AZ1125=8,AZ1125=9),"",IF(OR(AW1125=3,AW1125=4,AW1125=5,AW1125=6),VLOOKUP(AU1125,INDEX((係数_バス貨物_ガソリン,係数_バス貨物_CNG,係数_バス貨物_軽油,係数_バス貨物_メタノール,係数_バス貨物_LPG),MATCH(AY1125,【参考】排出係数!$AI$4:$AI$671,1),1,BE1125):INDEX((係数_バス貨物_ガソリン,係数_バス貨物_CNG,係数_バス貨物_軽油,係数_バス貨物_メタノール,係数_バス貨物_LPG),MATCH(AY1125+1,【参考】排出係数!$AI$4:$AI$671,1)-1,5,BE1125),3,FALSE),IF(OR(AW1125=1,AW1125=2),VLOOKUP(AU1125,INDEX((係数_乗用_ガソリン,係数_乗用_CNG,係数_乗用_軽油,係数_乗用_メタノール,係数_乗用_LPG),1,1,BE1125):INDEX((係数_乗用_ガソリン,係数_乗用_CNG,係数_乗用_軽油,係数_乗用_メタノール,係数_乗用_LPG),125,5,BE1125),3,FALSE))))))</f>
        <v/>
      </c>
      <c r="BC1125" s="467" t="str">
        <f t="shared" si="634"/>
        <v/>
      </c>
      <c r="BD1125" s="567" t="str">
        <f t="shared" si="635"/>
        <v/>
      </c>
      <c r="BE1125" s="467" t="str">
        <f t="shared" si="636"/>
        <v/>
      </c>
      <c r="BF1125" s="469" t="str">
        <f t="shared" ca="1" si="637"/>
        <v/>
      </c>
      <c r="BG1125" s="469" t="str">
        <f t="shared" ca="1" si="638"/>
        <v/>
      </c>
      <c r="BH1125" s="467" t="str">
        <f t="shared" si="639"/>
        <v/>
      </c>
      <c r="BI1125" s="467" t="str">
        <f t="shared" ca="1" si="640"/>
        <v/>
      </c>
      <c r="BJ1125" s="469" t="str">
        <f t="shared" si="641"/>
        <v/>
      </c>
      <c r="BK1125" s="470" t="str">
        <f t="shared" si="625"/>
        <v/>
      </c>
      <c r="BL1125" s="775" t="str">
        <f t="shared" si="642"/>
        <v/>
      </c>
      <c r="BM1125" s="775" t="str">
        <f t="shared" si="643"/>
        <v/>
      </c>
    </row>
    <row r="1126" spans="1:65">
      <c r="A1126" s="473">
        <v>1070</v>
      </c>
      <c r="B1126" s="132"/>
      <c r="C1126" s="332"/>
      <c r="D1126" s="333"/>
      <c r="E1126" s="333"/>
      <c r="F1126" s="334"/>
      <c r="G1126" s="337"/>
      <c r="H1126" s="131"/>
      <c r="I1126" s="337"/>
      <c r="J1126" s="131"/>
      <c r="K1126" s="458" t="str">
        <f t="shared" si="606"/>
        <v/>
      </c>
      <c r="L1126" s="458">
        <f t="shared" si="607"/>
        <v>0</v>
      </c>
      <c r="M1126" s="458">
        <f t="shared" si="608"/>
        <v>0</v>
      </c>
      <c r="N1126" s="459" t="str">
        <f t="shared" si="619"/>
        <v/>
      </c>
      <c r="O1126" s="459" t="str">
        <f t="shared" si="620"/>
        <v/>
      </c>
      <c r="P1126" s="459" t="str">
        <f t="shared" si="621"/>
        <v/>
      </c>
      <c r="Q1126" s="459" t="str">
        <f t="shared" si="622"/>
        <v/>
      </c>
      <c r="R1126" s="459" t="str">
        <f t="shared" si="623"/>
        <v/>
      </c>
      <c r="S1126" s="459" t="str">
        <f t="shared" si="624"/>
        <v/>
      </c>
      <c r="T1126" s="566" t="str">
        <f t="shared" si="609"/>
        <v/>
      </c>
      <c r="U1126" s="702"/>
      <c r="V1126" s="132"/>
      <c r="W1126" s="133"/>
      <c r="X1126" s="134"/>
      <c r="Y1126" s="135"/>
      <c r="Z1126" s="137"/>
      <c r="AA1126" s="136"/>
      <c r="AB1126" s="566" t="str">
        <f t="shared" si="610"/>
        <v/>
      </c>
      <c r="AC1126" s="568" t="str">
        <f t="shared" si="611"/>
        <v/>
      </c>
      <c r="AD1126" s="137"/>
      <c r="AE1126" s="137"/>
      <c r="AF1126" s="138"/>
      <c r="AG1126" s="138"/>
      <c r="AH1126" s="592" t="str">
        <f t="shared" si="612"/>
        <v/>
      </c>
      <c r="AI1126" s="592" t="str">
        <f t="shared" si="613"/>
        <v/>
      </c>
      <c r="AJ1126" s="592" t="str">
        <f t="shared" si="614"/>
        <v/>
      </c>
      <c r="AK1126" s="460" t="str">
        <f>IF(AU1126="","",IF(OR(AZ1126=8,AZ1126=9),0,IF(OR(AW1126=3,AW1126=4,AW1126=5,AW1126=6),IF(LEFT(BF1126,1)="1",INDEX(係数_NOX・PM低減,MATCH(AY1126,【参考】排出係数!$AI$801:$AI$804,1),1),VLOOKUP(AU1126,INDEX((係数_バス貨物_ガソリン,係数_バス貨物_CNG,係数_バス貨物_軽油,係数_バス貨物_メタノール,係数_バス貨物_LPG),MATCH(AY1126,【参考】排出係数!$AI$4:$AI$671,1),1,BE1126):INDEX((係数_バス貨物_ガソリン,係数_バス貨物_CNG,係数_バス貨物_軽油,係数_バス貨物_メタノール,係数_バス貨物_LPG),MATCH(AY1126+1,【参考】排出係数!$AI$4:$AI$671,1)-1,5,BE1126),4,FALSE)),IF(AND(BE1126=3,LEFT(BF1126,1)="1"),0.48,VLOOKUP(AU1126,INDEX((係数_乗用_ガソリン,係数_乗用_CNG,係数_乗用_軽油,係数_乗用_メタノール,係数_乗用_LPG),1,1,BE1126):INDEX((係数_乗用_ガソリン,係数_乗用_CNG,係数_乗用_軽油,係数_乗用_メタノール,係数_乗用_LPG),125,5,BE1126),4,FALSE)))))</f>
        <v/>
      </c>
      <c r="AL1126" s="461" t="str">
        <f t="shared" si="615"/>
        <v/>
      </c>
      <c r="AM1126" s="460" t="str">
        <f>IF(AU1126="","",IF(OR(AZ1126=8,AZ1126=9),0,IF(OR(AW1126=3,AW1126=4,AW1126=5,AW1126=6),IF(LEFT(BH1126,1)="1",INDEX(係数_PM低減,MATCH(AY1126,【参考】排出係数!$AI$801:$AI$804,1),MATCH(BI1126,【参考】排出係数!$AL$798:$AO$798,1)),VLOOKUP(AU1126,INDEX((係数_バス貨物_ガソリン,係数_バス貨物_CNG,係数_バス貨物_軽油,係数_バス貨物_メタノール,係数_バス貨物_LPG),MATCH(AY1126,【参考】排出係数!$AI$4:$AI$671,1),1,BE1126):INDEX((係数_バス貨物_ガソリン,係数_バス貨物_CNG,係数_バス貨物_軽油,係数_バス貨物_メタノール,係数_バス貨物_LPG),MATCH(AY1126+1,【参考】排出係数!$AI$4:$AI$671,1)-1,5,BE1126),5,FALSE)),IF(AND(BE1126=3,LEFT(BF1126,1)="1"),0.055,VLOOKUP(AU1126,INDEX((係数_乗用_ガソリン,係数_乗用_CNG,係数_乗用_軽油,係数_乗用_メタノール,係数_乗用_LPG),1,1,BE1126):INDEX((係数_乗用_ガソリン,係数_乗用_CNG,係数_乗用_軽油,係数_乗用_メタノール,係数_乗用_LPG),125,5,BE1126),5,FALSE)))))</f>
        <v/>
      </c>
      <c r="AN1126" s="461" t="str">
        <f t="shared" si="616"/>
        <v/>
      </c>
      <c r="AO1126" s="462" t="str">
        <f t="shared" si="617"/>
        <v/>
      </c>
      <c r="AP1126" s="463" t="str">
        <f t="shared" si="618"/>
        <v/>
      </c>
      <c r="AQ1126" s="464"/>
      <c r="AR1126" s="619"/>
      <c r="AS1126" s="465" t="str">
        <f t="shared" si="626"/>
        <v/>
      </c>
      <c r="AT1126" s="465" t="str">
        <f t="shared" si="627"/>
        <v/>
      </c>
      <c r="AU1126" s="466" t="str">
        <f t="shared" si="628"/>
        <v/>
      </c>
      <c r="AV1126" s="467" t="str">
        <f t="shared" si="629"/>
        <v/>
      </c>
      <c r="AW1126" s="467" t="str">
        <f t="shared" si="630"/>
        <v/>
      </c>
      <c r="AX1126" s="467" t="str">
        <f t="shared" si="631"/>
        <v/>
      </c>
      <c r="AY1126" s="467" t="str">
        <f t="shared" si="632"/>
        <v/>
      </c>
      <c r="AZ1126" s="467" t="str">
        <f t="shared" si="633"/>
        <v/>
      </c>
      <c r="BA1126" s="468" t="str">
        <f>IF(AS1126="","",IF(OR(AU1126="",AU1126="-"),"－",IF(OR(AZ1126=8,AZ1126=9),"",IF(OR(AW1126=3,AW1126=4,AW1126=5,AW1126=6),VLOOKUP(AU1126,INDEX((係数_バス貨物_ガソリン,係数_バス貨物_CNG,係数_バス貨物_軽油,係数_バス貨物_メタノール,係数_バス貨物_LPG),MATCH(AY1126,【参考】排出係数!$AI$4:$AI$671,1),1,BE1126):INDEX((係数_バス貨物_ガソリン,係数_バス貨物_CNG,係数_バス貨物_軽油,係数_バス貨物_メタノール,係数_バス貨物_LPG),MATCH(AY1126+1,【参考】排出係数!$AI$4:$AI$671,1)-1,5,BE1126),2,FALSE),IF(OR(AW1126=1,AW1126=2),VLOOKUP(AU1126,INDEX((係数_乗用_ガソリン,係数_乗用_CNG,係数_乗用_軽油,係数_乗用_メタノール,係数_乗用_LPG),1,1,BE1126):INDEX((係数_乗用_ガソリン,係数_乗用_CNG,係数_乗用_軽油,係数_乗用_メタノール,係数_乗用_LPG),125,5,BE1126),2,FALSE))))))</f>
        <v/>
      </c>
      <c r="BB1126" s="468" t="str">
        <f>IF(T1126="","",IF(OR(AU1126="",AU1126="-"),"－",IF(OR(AZ1126=8,AZ1126=9),"",IF(OR(AW1126=3,AW1126=4,AW1126=5,AW1126=6),VLOOKUP(AU1126,INDEX((係数_バス貨物_ガソリン,係数_バス貨物_CNG,係数_バス貨物_軽油,係数_バス貨物_メタノール,係数_バス貨物_LPG),MATCH(AY1126,【参考】排出係数!$AI$4:$AI$671,1),1,BE1126):INDEX((係数_バス貨物_ガソリン,係数_バス貨物_CNG,係数_バス貨物_軽油,係数_バス貨物_メタノール,係数_バス貨物_LPG),MATCH(AY1126+1,【参考】排出係数!$AI$4:$AI$671,1)-1,5,BE1126),3,FALSE),IF(OR(AW1126=1,AW1126=2),VLOOKUP(AU1126,INDEX((係数_乗用_ガソリン,係数_乗用_CNG,係数_乗用_軽油,係数_乗用_メタノール,係数_乗用_LPG),1,1,BE1126):INDEX((係数_乗用_ガソリン,係数_乗用_CNG,係数_乗用_軽油,係数_乗用_メタノール,係数_乗用_LPG),125,5,BE1126),3,FALSE))))))</f>
        <v/>
      </c>
      <c r="BC1126" s="467" t="str">
        <f t="shared" si="634"/>
        <v/>
      </c>
      <c r="BD1126" s="567" t="str">
        <f t="shared" si="635"/>
        <v/>
      </c>
      <c r="BE1126" s="467" t="str">
        <f t="shared" si="636"/>
        <v/>
      </c>
      <c r="BF1126" s="469" t="str">
        <f t="shared" ca="1" si="637"/>
        <v/>
      </c>
      <c r="BG1126" s="469" t="str">
        <f t="shared" ca="1" si="638"/>
        <v/>
      </c>
      <c r="BH1126" s="467" t="str">
        <f t="shared" si="639"/>
        <v/>
      </c>
      <c r="BI1126" s="467" t="str">
        <f t="shared" ca="1" si="640"/>
        <v/>
      </c>
      <c r="BJ1126" s="469" t="str">
        <f t="shared" si="641"/>
        <v/>
      </c>
      <c r="BK1126" s="470" t="str">
        <f t="shared" si="625"/>
        <v/>
      </c>
      <c r="BL1126" s="775" t="str">
        <f t="shared" si="642"/>
        <v/>
      </c>
      <c r="BM1126" s="775" t="str">
        <f t="shared" si="643"/>
        <v/>
      </c>
    </row>
    <row r="1127" spans="1:65">
      <c r="A1127" s="473">
        <v>1071</v>
      </c>
      <c r="B1127" s="132"/>
      <c r="C1127" s="332"/>
      <c r="D1127" s="333"/>
      <c r="E1127" s="333"/>
      <c r="F1127" s="334"/>
      <c r="G1127" s="337"/>
      <c r="H1127" s="131"/>
      <c r="I1127" s="337"/>
      <c r="J1127" s="131"/>
      <c r="K1127" s="458" t="str">
        <f t="shared" si="606"/>
        <v/>
      </c>
      <c r="L1127" s="458">
        <f t="shared" si="607"/>
        <v>0</v>
      </c>
      <c r="M1127" s="458">
        <f t="shared" si="608"/>
        <v>0</v>
      </c>
      <c r="N1127" s="459" t="str">
        <f t="shared" si="619"/>
        <v/>
      </c>
      <c r="O1127" s="459" t="str">
        <f t="shared" si="620"/>
        <v/>
      </c>
      <c r="P1127" s="459" t="str">
        <f t="shared" si="621"/>
        <v/>
      </c>
      <c r="Q1127" s="459" t="str">
        <f t="shared" si="622"/>
        <v/>
      </c>
      <c r="R1127" s="459" t="str">
        <f t="shared" si="623"/>
        <v/>
      </c>
      <c r="S1127" s="459" t="str">
        <f t="shared" si="624"/>
        <v/>
      </c>
      <c r="T1127" s="566" t="str">
        <f t="shared" si="609"/>
        <v/>
      </c>
      <c r="U1127" s="702"/>
      <c r="V1127" s="132"/>
      <c r="W1127" s="133"/>
      <c r="X1127" s="134"/>
      <c r="Y1127" s="135"/>
      <c r="Z1127" s="137"/>
      <c r="AA1127" s="136"/>
      <c r="AB1127" s="566" t="str">
        <f t="shared" si="610"/>
        <v/>
      </c>
      <c r="AC1127" s="568" t="str">
        <f t="shared" si="611"/>
        <v/>
      </c>
      <c r="AD1127" s="137"/>
      <c r="AE1127" s="137"/>
      <c r="AF1127" s="138"/>
      <c r="AG1127" s="138"/>
      <c r="AH1127" s="592" t="str">
        <f t="shared" si="612"/>
        <v/>
      </c>
      <c r="AI1127" s="592" t="str">
        <f t="shared" si="613"/>
        <v/>
      </c>
      <c r="AJ1127" s="592" t="str">
        <f t="shared" si="614"/>
        <v/>
      </c>
      <c r="AK1127" s="460" t="str">
        <f>IF(AU1127="","",IF(OR(AZ1127=8,AZ1127=9),0,IF(OR(AW1127=3,AW1127=4,AW1127=5,AW1127=6),IF(LEFT(BF1127,1)="1",INDEX(係数_NOX・PM低減,MATCH(AY1127,【参考】排出係数!$AI$801:$AI$804,1),1),VLOOKUP(AU1127,INDEX((係数_バス貨物_ガソリン,係数_バス貨物_CNG,係数_バス貨物_軽油,係数_バス貨物_メタノール,係数_バス貨物_LPG),MATCH(AY1127,【参考】排出係数!$AI$4:$AI$671,1),1,BE1127):INDEX((係数_バス貨物_ガソリン,係数_バス貨物_CNG,係数_バス貨物_軽油,係数_バス貨物_メタノール,係数_バス貨物_LPG),MATCH(AY1127+1,【参考】排出係数!$AI$4:$AI$671,1)-1,5,BE1127),4,FALSE)),IF(AND(BE1127=3,LEFT(BF1127,1)="1"),0.48,VLOOKUP(AU1127,INDEX((係数_乗用_ガソリン,係数_乗用_CNG,係数_乗用_軽油,係数_乗用_メタノール,係数_乗用_LPG),1,1,BE1127):INDEX((係数_乗用_ガソリン,係数_乗用_CNG,係数_乗用_軽油,係数_乗用_メタノール,係数_乗用_LPG),125,5,BE1127),4,FALSE)))))</f>
        <v/>
      </c>
      <c r="AL1127" s="461" t="str">
        <f t="shared" si="615"/>
        <v/>
      </c>
      <c r="AM1127" s="460" t="str">
        <f>IF(AU1127="","",IF(OR(AZ1127=8,AZ1127=9),0,IF(OR(AW1127=3,AW1127=4,AW1127=5,AW1127=6),IF(LEFT(BH1127,1)="1",INDEX(係数_PM低減,MATCH(AY1127,【参考】排出係数!$AI$801:$AI$804,1),MATCH(BI1127,【参考】排出係数!$AL$798:$AO$798,1)),VLOOKUP(AU1127,INDEX((係数_バス貨物_ガソリン,係数_バス貨物_CNG,係数_バス貨物_軽油,係数_バス貨物_メタノール,係数_バス貨物_LPG),MATCH(AY1127,【参考】排出係数!$AI$4:$AI$671,1),1,BE1127):INDEX((係数_バス貨物_ガソリン,係数_バス貨物_CNG,係数_バス貨物_軽油,係数_バス貨物_メタノール,係数_バス貨物_LPG),MATCH(AY1127+1,【参考】排出係数!$AI$4:$AI$671,1)-1,5,BE1127),5,FALSE)),IF(AND(BE1127=3,LEFT(BF1127,1)="1"),0.055,VLOOKUP(AU1127,INDEX((係数_乗用_ガソリン,係数_乗用_CNG,係数_乗用_軽油,係数_乗用_メタノール,係数_乗用_LPG),1,1,BE1127):INDEX((係数_乗用_ガソリン,係数_乗用_CNG,係数_乗用_軽油,係数_乗用_メタノール,係数_乗用_LPG),125,5,BE1127),5,FALSE)))))</f>
        <v/>
      </c>
      <c r="AN1127" s="461" t="str">
        <f t="shared" si="616"/>
        <v/>
      </c>
      <c r="AO1127" s="462" t="str">
        <f t="shared" si="617"/>
        <v/>
      </c>
      <c r="AP1127" s="463" t="str">
        <f t="shared" si="618"/>
        <v/>
      </c>
      <c r="AQ1127" s="464"/>
      <c r="AR1127" s="619"/>
      <c r="AS1127" s="465" t="str">
        <f t="shared" si="626"/>
        <v/>
      </c>
      <c r="AT1127" s="465" t="str">
        <f t="shared" si="627"/>
        <v/>
      </c>
      <c r="AU1127" s="466" t="str">
        <f t="shared" si="628"/>
        <v/>
      </c>
      <c r="AV1127" s="467" t="str">
        <f t="shared" si="629"/>
        <v/>
      </c>
      <c r="AW1127" s="467" t="str">
        <f t="shared" si="630"/>
        <v/>
      </c>
      <c r="AX1127" s="467" t="str">
        <f t="shared" si="631"/>
        <v/>
      </c>
      <c r="AY1127" s="467" t="str">
        <f t="shared" si="632"/>
        <v/>
      </c>
      <c r="AZ1127" s="467" t="str">
        <f t="shared" si="633"/>
        <v/>
      </c>
      <c r="BA1127" s="468" t="str">
        <f>IF(AS1127="","",IF(OR(AU1127="",AU1127="-"),"－",IF(OR(AZ1127=8,AZ1127=9),"",IF(OR(AW1127=3,AW1127=4,AW1127=5,AW1127=6),VLOOKUP(AU1127,INDEX((係数_バス貨物_ガソリン,係数_バス貨物_CNG,係数_バス貨物_軽油,係数_バス貨物_メタノール,係数_バス貨物_LPG),MATCH(AY1127,【参考】排出係数!$AI$4:$AI$671,1),1,BE1127):INDEX((係数_バス貨物_ガソリン,係数_バス貨物_CNG,係数_バス貨物_軽油,係数_バス貨物_メタノール,係数_バス貨物_LPG),MATCH(AY1127+1,【参考】排出係数!$AI$4:$AI$671,1)-1,5,BE1127),2,FALSE),IF(OR(AW1127=1,AW1127=2),VLOOKUP(AU1127,INDEX((係数_乗用_ガソリン,係数_乗用_CNG,係数_乗用_軽油,係数_乗用_メタノール,係数_乗用_LPG),1,1,BE1127):INDEX((係数_乗用_ガソリン,係数_乗用_CNG,係数_乗用_軽油,係数_乗用_メタノール,係数_乗用_LPG),125,5,BE1127),2,FALSE))))))</f>
        <v/>
      </c>
      <c r="BB1127" s="468" t="str">
        <f>IF(T1127="","",IF(OR(AU1127="",AU1127="-"),"－",IF(OR(AZ1127=8,AZ1127=9),"",IF(OR(AW1127=3,AW1127=4,AW1127=5,AW1127=6),VLOOKUP(AU1127,INDEX((係数_バス貨物_ガソリン,係数_バス貨物_CNG,係数_バス貨物_軽油,係数_バス貨物_メタノール,係数_バス貨物_LPG),MATCH(AY1127,【参考】排出係数!$AI$4:$AI$671,1),1,BE1127):INDEX((係数_バス貨物_ガソリン,係数_バス貨物_CNG,係数_バス貨物_軽油,係数_バス貨物_メタノール,係数_バス貨物_LPG),MATCH(AY1127+1,【参考】排出係数!$AI$4:$AI$671,1)-1,5,BE1127),3,FALSE),IF(OR(AW1127=1,AW1127=2),VLOOKUP(AU1127,INDEX((係数_乗用_ガソリン,係数_乗用_CNG,係数_乗用_軽油,係数_乗用_メタノール,係数_乗用_LPG),1,1,BE1127):INDEX((係数_乗用_ガソリン,係数_乗用_CNG,係数_乗用_軽油,係数_乗用_メタノール,係数_乗用_LPG),125,5,BE1127),3,FALSE))))))</f>
        <v/>
      </c>
      <c r="BC1127" s="467" t="str">
        <f t="shared" si="634"/>
        <v/>
      </c>
      <c r="BD1127" s="567" t="str">
        <f t="shared" si="635"/>
        <v/>
      </c>
      <c r="BE1127" s="467" t="str">
        <f t="shared" si="636"/>
        <v/>
      </c>
      <c r="BF1127" s="469" t="str">
        <f t="shared" ca="1" si="637"/>
        <v/>
      </c>
      <c r="BG1127" s="469" t="str">
        <f t="shared" ca="1" si="638"/>
        <v/>
      </c>
      <c r="BH1127" s="467" t="str">
        <f t="shared" si="639"/>
        <v/>
      </c>
      <c r="BI1127" s="467" t="str">
        <f t="shared" ca="1" si="640"/>
        <v/>
      </c>
      <c r="BJ1127" s="469" t="str">
        <f t="shared" si="641"/>
        <v/>
      </c>
      <c r="BK1127" s="470" t="str">
        <f t="shared" si="625"/>
        <v/>
      </c>
      <c r="BL1127" s="775" t="str">
        <f t="shared" si="642"/>
        <v/>
      </c>
      <c r="BM1127" s="775" t="str">
        <f t="shared" si="643"/>
        <v/>
      </c>
    </row>
    <row r="1128" spans="1:65">
      <c r="A1128" s="473">
        <v>1072</v>
      </c>
      <c r="B1128" s="132"/>
      <c r="C1128" s="332"/>
      <c r="D1128" s="333"/>
      <c r="E1128" s="333"/>
      <c r="F1128" s="334"/>
      <c r="G1128" s="337"/>
      <c r="H1128" s="131"/>
      <c r="I1128" s="337"/>
      <c r="J1128" s="131"/>
      <c r="K1128" s="458" t="str">
        <f t="shared" si="606"/>
        <v/>
      </c>
      <c r="L1128" s="458">
        <f t="shared" si="607"/>
        <v>0</v>
      </c>
      <c r="M1128" s="458">
        <f t="shared" si="608"/>
        <v>0</v>
      </c>
      <c r="N1128" s="459" t="str">
        <f t="shared" si="619"/>
        <v/>
      </c>
      <c r="O1128" s="459" t="str">
        <f t="shared" si="620"/>
        <v/>
      </c>
      <c r="P1128" s="459" t="str">
        <f t="shared" si="621"/>
        <v/>
      </c>
      <c r="Q1128" s="459" t="str">
        <f t="shared" si="622"/>
        <v/>
      </c>
      <c r="R1128" s="459" t="str">
        <f t="shared" si="623"/>
        <v/>
      </c>
      <c r="S1128" s="459" t="str">
        <f t="shared" si="624"/>
        <v/>
      </c>
      <c r="T1128" s="566" t="str">
        <f t="shared" si="609"/>
        <v/>
      </c>
      <c r="U1128" s="702"/>
      <c r="V1128" s="132"/>
      <c r="W1128" s="133"/>
      <c r="X1128" s="134"/>
      <c r="Y1128" s="135"/>
      <c r="Z1128" s="137"/>
      <c r="AA1128" s="136"/>
      <c r="AB1128" s="566" t="str">
        <f t="shared" si="610"/>
        <v/>
      </c>
      <c r="AC1128" s="568" t="str">
        <f t="shared" si="611"/>
        <v/>
      </c>
      <c r="AD1128" s="137"/>
      <c r="AE1128" s="137"/>
      <c r="AF1128" s="138"/>
      <c r="AG1128" s="138"/>
      <c r="AH1128" s="592" t="str">
        <f t="shared" si="612"/>
        <v/>
      </c>
      <c r="AI1128" s="592" t="str">
        <f t="shared" si="613"/>
        <v/>
      </c>
      <c r="AJ1128" s="592" t="str">
        <f t="shared" si="614"/>
        <v/>
      </c>
      <c r="AK1128" s="460" t="str">
        <f>IF(AU1128="","",IF(OR(AZ1128=8,AZ1128=9),0,IF(OR(AW1128=3,AW1128=4,AW1128=5,AW1128=6),IF(LEFT(BF1128,1)="1",INDEX(係数_NOX・PM低減,MATCH(AY1128,【参考】排出係数!$AI$801:$AI$804,1),1),VLOOKUP(AU1128,INDEX((係数_バス貨物_ガソリン,係数_バス貨物_CNG,係数_バス貨物_軽油,係数_バス貨物_メタノール,係数_バス貨物_LPG),MATCH(AY1128,【参考】排出係数!$AI$4:$AI$671,1),1,BE1128):INDEX((係数_バス貨物_ガソリン,係数_バス貨物_CNG,係数_バス貨物_軽油,係数_バス貨物_メタノール,係数_バス貨物_LPG),MATCH(AY1128+1,【参考】排出係数!$AI$4:$AI$671,1)-1,5,BE1128),4,FALSE)),IF(AND(BE1128=3,LEFT(BF1128,1)="1"),0.48,VLOOKUP(AU1128,INDEX((係数_乗用_ガソリン,係数_乗用_CNG,係数_乗用_軽油,係数_乗用_メタノール,係数_乗用_LPG),1,1,BE1128):INDEX((係数_乗用_ガソリン,係数_乗用_CNG,係数_乗用_軽油,係数_乗用_メタノール,係数_乗用_LPG),125,5,BE1128),4,FALSE)))))</f>
        <v/>
      </c>
      <c r="AL1128" s="461" t="str">
        <f t="shared" si="615"/>
        <v/>
      </c>
      <c r="AM1128" s="460" t="str">
        <f>IF(AU1128="","",IF(OR(AZ1128=8,AZ1128=9),0,IF(OR(AW1128=3,AW1128=4,AW1128=5,AW1128=6),IF(LEFT(BH1128,1)="1",INDEX(係数_PM低減,MATCH(AY1128,【参考】排出係数!$AI$801:$AI$804,1),MATCH(BI1128,【参考】排出係数!$AL$798:$AO$798,1)),VLOOKUP(AU1128,INDEX((係数_バス貨物_ガソリン,係数_バス貨物_CNG,係数_バス貨物_軽油,係数_バス貨物_メタノール,係数_バス貨物_LPG),MATCH(AY1128,【参考】排出係数!$AI$4:$AI$671,1),1,BE1128):INDEX((係数_バス貨物_ガソリン,係数_バス貨物_CNG,係数_バス貨物_軽油,係数_バス貨物_メタノール,係数_バス貨物_LPG),MATCH(AY1128+1,【参考】排出係数!$AI$4:$AI$671,1)-1,5,BE1128),5,FALSE)),IF(AND(BE1128=3,LEFT(BF1128,1)="1"),0.055,VLOOKUP(AU1128,INDEX((係数_乗用_ガソリン,係数_乗用_CNG,係数_乗用_軽油,係数_乗用_メタノール,係数_乗用_LPG),1,1,BE1128):INDEX((係数_乗用_ガソリン,係数_乗用_CNG,係数_乗用_軽油,係数_乗用_メタノール,係数_乗用_LPG),125,5,BE1128),5,FALSE)))))</f>
        <v/>
      </c>
      <c r="AN1128" s="461" t="str">
        <f t="shared" si="616"/>
        <v/>
      </c>
      <c r="AO1128" s="462" t="str">
        <f t="shared" si="617"/>
        <v/>
      </c>
      <c r="AP1128" s="463" t="str">
        <f t="shared" si="618"/>
        <v/>
      </c>
      <c r="AQ1128" s="464"/>
      <c r="AR1128" s="619"/>
      <c r="AS1128" s="465" t="str">
        <f t="shared" si="626"/>
        <v/>
      </c>
      <c r="AT1128" s="465" t="str">
        <f t="shared" si="627"/>
        <v/>
      </c>
      <c r="AU1128" s="466" t="str">
        <f t="shared" si="628"/>
        <v/>
      </c>
      <c r="AV1128" s="467" t="str">
        <f t="shared" si="629"/>
        <v/>
      </c>
      <c r="AW1128" s="467" t="str">
        <f t="shared" si="630"/>
        <v/>
      </c>
      <c r="AX1128" s="467" t="str">
        <f t="shared" si="631"/>
        <v/>
      </c>
      <c r="AY1128" s="467" t="str">
        <f t="shared" si="632"/>
        <v/>
      </c>
      <c r="AZ1128" s="467" t="str">
        <f t="shared" si="633"/>
        <v/>
      </c>
      <c r="BA1128" s="468" t="str">
        <f>IF(AS1128="","",IF(OR(AU1128="",AU1128="-"),"－",IF(OR(AZ1128=8,AZ1128=9),"",IF(OR(AW1128=3,AW1128=4,AW1128=5,AW1128=6),VLOOKUP(AU1128,INDEX((係数_バス貨物_ガソリン,係数_バス貨物_CNG,係数_バス貨物_軽油,係数_バス貨物_メタノール,係数_バス貨物_LPG),MATCH(AY1128,【参考】排出係数!$AI$4:$AI$671,1),1,BE1128):INDEX((係数_バス貨物_ガソリン,係数_バス貨物_CNG,係数_バス貨物_軽油,係数_バス貨物_メタノール,係数_バス貨物_LPG),MATCH(AY1128+1,【参考】排出係数!$AI$4:$AI$671,1)-1,5,BE1128),2,FALSE),IF(OR(AW1128=1,AW1128=2),VLOOKUP(AU1128,INDEX((係数_乗用_ガソリン,係数_乗用_CNG,係数_乗用_軽油,係数_乗用_メタノール,係数_乗用_LPG),1,1,BE1128):INDEX((係数_乗用_ガソリン,係数_乗用_CNG,係数_乗用_軽油,係数_乗用_メタノール,係数_乗用_LPG),125,5,BE1128),2,FALSE))))))</f>
        <v/>
      </c>
      <c r="BB1128" s="468" t="str">
        <f>IF(T1128="","",IF(OR(AU1128="",AU1128="-"),"－",IF(OR(AZ1128=8,AZ1128=9),"",IF(OR(AW1128=3,AW1128=4,AW1128=5,AW1128=6),VLOOKUP(AU1128,INDEX((係数_バス貨物_ガソリン,係数_バス貨物_CNG,係数_バス貨物_軽油,係数_バス貨物_メタノール,係数_バス貨物_LPG),MATCH(AY1128,【参考】排出係数!$AI$4:$AI$671,1),1,BE1128):INDEX((係数_バス貨物_ガソリン,係数_バス貨物_CNG,係数_バス貨物_軽油,係数_バス貨物_メタノール,係数_バス貨物_LPG),MATCH(AY1128+1,【参考】排出係数!$AI$4:$AI$671,1)-1,5,BE1128),3,FALSE),IF(OR(AW1128=1,AW1128=2),VLOOKUP(AU1128,INDEX((係数_乗用_ガソリン,係数_乗用_CNG,係数_乗用_軽油,係数_乗用_メタノール,係数_乗用_LPG),1,1,BE1128):INDEX((係数_乗用_ガソリン,係数_乗用_CNG,係数_乗用_軽油,係数_乗用_メタノール,係数_乗用_LPG),125,5,BE1128),3,FALSE))))))</f>
        <v/>
      </c>
      <c r="BC1128" s="467" t="str">
        <f t="shared" si="634"/>
        <v/>
      </c>
      <c r="BD1128" s="567" t="str">
        <f t="shared" si="635"/>
        <v/>
      </c>
      <c r="BE1128" s="467" t="str">
        <f t="shared" si="636"/>
        <v/>
      </c>
      <c r="BF1128" s="469" t="str">
        <f t="shared" ca="1" si="637"/>
        <v/>
      </c>
      <c r="BG1128" s="469" t="str">
        <f t="shared" ca="1" si="638"/>
        <v/>
      </c>
      <c r="BH1128" s="467" t="str">
        <f t="shared" si="639"/>
        <v/>
      </c>
      <c r="BI1128" s="467" t="str">
        <f t="shared" ca="1" si="640"/>
        <v/>
      </c>
      <c r="BJ1128" s="469" t="str">
        <f t="shared" si="641"/>
        <v/>
      </c>
      <c r="BK1128" s="470" t="str">
        <f t="shared" si="625"/>
        <v/>
      </c>
      <c r="BL1128" s="775" t="str">
        <f t="shared" si="642"/>
        <v/>
      </c>
      <c r="BM1128" s="775" t="str">
        <f t="shared" si="643"/>
        <v/>
      </c>
    </row>
    <row r="1129" spans="1:65">
      <c r="A1129" s="473">
        <v>1073</v>
      </c>
      <c r="B1129" s="132"/>
      <c r="C1129" s="332"/>
      <c r="D1129" s="333"/>
      <c r="E1129" s="333"/>
      <c r="F1129" s="334"/>
      <c r="G1129" s="337"/>
      <c r="H1129" s="131"/>
      <c r="I1129" s="337"/>
      <c r="J1129" s="131"/>
      <c r="K1129" s="458" t="str">
        <f t="shared" si="606"/>
        <v/>
      </c>
      <c r="L1129" s="458">
        <f t="shared" si="607"/>
        <v>0</v>
      </c>
      <c r="M1129" s="458">
        <f t="shared" si="608"/>
        <v>0</v>
      </c>
      <c r="N1129" s="459" t="str">
        <f t="shared" si="619"/>
        <v/>
      </c>
      <c r="O1129" s="459" t="str">
        <f t="shared" si="620"/>
        <v/>
      </c>
      <c r="P1129" s="459" t="str">
        <f t="shared" si="621"/>
        <v/>
      </c>
      <c r="Q1129" s="459" t="str">
        <f t="shared" si="622"/>
        <v/>
      </c>
      <c r="R1129" s="459" t="str">
        <f t="shared" si="623"/>
        <v/>
      </c>
      <c r="S1129" s="459" t="str">
        <f t="shared" si="624"/>
        <v/>
      </c>
      <c r="T1129" s="566" t="str">
        <f t="shared" si="609"/>
        <v/>
      </c>
      <c r="U1129" s="702"/>
      <c r="V1129" s="132"/>
      <c r="W1129" s="133"/>
      <c r="X1129" s="134"/>
      <c r="Y1129" s="135"/>
      <c r="Z1129" s="137"/>
      <c r="AA1129" s="136"/>
      <c r="AB1129" s="566" t="str">
        <f t="shared" si="610"/>
        <v/>
      </c>
      <c r="AC1129" s="568" t="str">
        <f t="shared" si="611"/>
        <v/>
      </c>
      <c r="AD1129" s="137"/>
      <c r="AE1129" s="137"/>
      <c r="AF1129" s="138"/>
      <c r="AG1129" s="138"/>
      <c r="AH1129" s="592" t="str">
        <f t="shared" si="612"/>
        <v/>
      </c>
      <c r="AI1129" s="592" t="str">
        <f t="shared" si="613"/>
        <v/>
      </c>
      <c r="AJ1129" s="592" t="str">
        <f t="shared" si="614"/>
        <v/>
      </c>
      <c r="AK1129" s="460" t="str">
        <f>IF(AU1129="","",IF(OR(AZ1129=8,AZ1129=9),0,IF(OR(AW1129=3,AW1129=4,AW1129=5,AW1129=6),IF(LEFT(BF1129,1)="1",INDEX(係数_NOX・PM低減,MATCH(AY1129,【参考】排出係数!$AI$801:$AI$804,1),1),VLOOKUP(AU1129,INDEX((係数_バス貨物_ガソリン,係数_バス貨物_CNG,係数_バス貨物_軽油,係数_バス貨物_メタノール,係数_バス貨物_LPG),MATCH(AY1129,【参考】排出係数!$AI$4:$AI$671,1),1,BE1129):INDEX((係数_バス貨物_ガソリン,係数_バス貨物_CNG,係数_バス貨物_軽油,係数_バス貨物_メタノール,係数_バス貨物_LPG),MATCH(AY1129+1,【参考】排出係数!$AI$4:$AI$671,1)-1,5,BE1129),4,FALSE)),IF(AND(BE1129=3,LEFT(BF1129,1)="1"),0.48,VLOOKUP(AU1129,INDEX((係数_乗用_ガソリン,係数_乗用_CNG,係数_乗用_軽油,係数_乗用_メタノール,係数_乗用_LPG),1,1,BE1129):INDEX((係数_乗用_ガソリン,係数_乗用_CNG,係数_乗用_軽油,係数_乗用_メタノール,係数_乗用_LPG),125,5,BE1129),4,FALSE)))))</f>
        <v/>
      </c>
      <c r="AL1129" s="461" t="str">
        <f t="shared" si="615"/>
        <v/>
      </c>
      <c r="AM1129" s="460" t="str">
        <f>IF(AU1129="","",IF(OR(AZ1129=8,AZ1129=9),0,IF(OR(AW1129=3,AW1129=4,AW1129=5,AW1129=6),IF(LEFT(BH1129,1)="1",INDEX(係数_PM低減,MATCH(AY1129,【参考】排出係数!$AI$801:$AI$804,1),MATCH(BI1129,【参考】排出係数!$AL$798:$AO$798,1)),VLOOKUP(AU1129,INDEX((係数_バス貨物_ガソリン,係数_バス貨物_CNG,係数_バス貨物_軽油,係数_バス貨物_メタノール,係数_バス貨物_LPG),MATCH(AY1129,【参考】排出係数!$AI$4:$AI$671,1),1,BE1129):INDEX((係数_バス貨物_ガソリン,係数_バス貨物_CNG,係数_バス貨物_軽油,係数_バス貨物_メタノール,係数_バス貨物_LPG),MATCH(AY1129+1,【参考】排出係数!$AI$4:$AI$671,1)-1,5,BE1129),5,FALSE)),IF(AND(BE1129=3,LEFT(BF1129,1)="1"),0.055,VLOOKUP(AU1129,INDEX((係数_乗用_ガソリン,係数_乗用_CNG,係数_乗用_軽油,係数_乗用_メタノール,係数_乗用_LPG),1,1,BE1129):INDEX((係数_乗用_ガソリン,係数_乗用_CNG,係数_乗用_軽油,係数_乗用_メタノール,係数_乗用_LPG),125,5,BE1129),5,FALSE)))))</f>
        <v/>
      </c>
      <c r="AN1129" s="461" t="str">
        <f t="shared" si="616"/>
        <v/>
      </c>
      <c r="AO1129" s="462" t="str">
        <f t="shared" si="617"/>
        <v/>
      </c>
      <c r="AP1129" s="463" t="str">
        <f t="shared" si="618"/>
        <v/>
      </c>
      <c r="AQ1129" s="464"/>
      <c r="AR1129" s="619"/>
      <c r="AS1129" s="465" t="str">
        <f t="shared" si="626"/>
        <v/>
      </c>
      <c r="AT1129" s="465" t="str">
        <f t="shared" si="627"/>
        <v/>
      </c>
      <c r="AU1129" s="466" t="str">
        <f t="shared" si="628"/>
        <v/>
      </c>
      <c r="AV1129" s="467" t="str">
        <f t="shared" si="629"/>
        <v/>
      </c>
      <c r="AW1129" s="467" t="str">
        <f t="shared" si="630"/>
        <v/>
      </c>
      <c r="AX1129" s="467" t="str">
        <f t="shared" si="631"/>
        <v/>
      </c>
      <c r="AY1129" s="467" t="str">
        <f t="shared" si="632"/>
        <v/>
      </c>
      <c r="AZ1129" s="467" t="str">
        <f t="shared" si="633"/>
        <v/>
      </c>
      <c r="BA1129" s="468" t="str">
        <f>IF(AS1129="","",IF(OR(AU1129="",AU1129="-"),"－",IF(OR(AZ1129=8,AZ1129=9),"",IF(OR(AW1129=3,AW1129=4,AW1129=5,AW1129=6),VLOOKUP(AU1129,INDEX((係数_バス貨物_ガソリン,係数_バス貨物_CNG,係数_バス貨物_軽油,係数_バス貨物_メタノール,係数_バス貨物_LPG),MATCH(AY1129,【参考】排出係数!$AI$4:$AI$671,1),1,BE1129):INDEX((係数_バス貨物_ガソリン,係数_バス貨物_CNG,係数_バス貨物_軽油,係数_バス貨物_メタノール,係数_バス貨物_LPG),MATCH(AY1129+1,【参考】排出係数!$AI$4:$AI$671,1)-1,5,BE1129),2,FALSE),IF(OR(AW1129=1,AW1129=2),VLOOKUP(AU1129,INDEX((係数_乗用_ガソリン,係数_乗用_CNG,係数_乗用_軽油,係数_乗用_メタノール,係数_乗用_LPG),1,1,BE1129):INDEX((係数_乗用_ガソリン,係数_乗用_CNG,係数_乗用_軽油,係数_乗用_メタノール,係数_乗用_LPG),125,5,BE1129),2,FALSE))))))</f>
        <v/>
      </c>
      <c r="BB1129" s="468" t="str">
        <f>IF(T1129="","",IF(OR(AU1129="",AU1129="-"),"－",IF(OR(AZ1129=8,AZ1129=9),"",IF(OR(AW1129=3,AW1129=4,AW1129=5,AW1129=6),VLOOKUP(AU1129,INDEX((係数_バス貨物_ガソリン,係数_バス貨物_CNG,係数_バス貨物_軽油,係数_バス貨物_メタノール,係数_バス貨物_LPG),MATCH(AY1129,【参考】排出係数!$AI$4:$AI$671,1),1,BE1129):INDEX((係数_バス貨物_ガソリン,係数_バス貨物_CNG,係数_バス貨物_軽油,係数_バス貨物_メタノール,係数_バス貨物_LPG),MATCH(AY1129+1,【参考】排出係数!$AI$4:$AI$671,1)-1,5,BE1129),3,FALSE),IF(OR(AW1129=1,AW1129=2),VLOOKUP(AU1129,INDEX((係数_乗用_ガソリン,係数_乗用_CNG,係数_乗用_軽油,係数_乗用_メタノール,係数_乗用_LPG),1,1,BE1129):INDEX((係数_乗用_ガソリン,係数_乗用_CNG,係数_乗用_軽油,係数_乗用_メタノール,係数_乗用_LPG),125,5,BE1129),3,FALSE))))))</f>
        <v/>
      </c>
      <c r="BC1129" s="467" t="str">
        <f t="shared" si="634"/>
        <v/>
      </c>
      <c r="BD1129" s="567" t="str">
        <f t="shared" si="635"/>
        <v/>
      </c>
      <c r="BE1129" s="467" t="str">
        <f t="shared" si="636"/>
        <v/>
      </c>
      <c r="BF1129" s="469" t="str">
        <f t="shared" ca="1" si="637"/>
        <v/>
      </c>
      <c r="BG1129" s="469" t="str">
        <f t="shared" ca="1" si="638"/>
        <v/>
      </c>
      <c r="BH1129" s="467" t="str">
        <f t="shared" si="639"/>
        <v/>
      </c>
      <c r="BI1129" s="467" t="str">
        <f t="shared" ca="1" si="640"/>
        <v/>
      </c>
      <c r="BJ1129" s="469" t="str">
        <f t="shared" si="641"/>
        <v/>
      </c>
      <c r="BK1129" s="470" t="str">
        <f t="shared" si="625"/>
        <v/>
      </c>
      <c r="BL1129" s="775" t="str">
        <f t="shared" si="642"/>
        <v/>
      </c>
      <c r="BM1129" s="775" t="str">
        <f t="shared" si="643"/>
        <v/>
      </c>
    </row>
    <row r="1130" spans="1:65">
      <c r="A1130" s="473">
        <v>1074</v>
      </c>
      <c r="B1130" s="132"/>
      <c r="C1130" s="332"/>
      <c r="D1130" s="333"/>
      <c r="E1130" s="333"/>
      <c r="F1130" s="334"/>
      <c r="G1130" s="337"/>
      <c r="H1130" s="131"/>
      <c r="I1130" s="337"/>
      <c r="J1130" s="131"/>
      <c r="K1130" s="458" t="str">
        <f t="shared" si="606"/>
        <v/>
      </c>
      <c r="L1130" s="458">
        <f t="shared" si="607"/>
        <v>0</v>
      </c>
      <c r="M1130" s="458">
        <f t="shared" si="608"/>
        <v>0</v>
      </c>
      <c r="N1130" s="459" t="str">
        <f t="shared" si="619"/>
        <v/>
      </c>
      <c r="O1130" s="459" t="str">
        <f t="shared" si="620"/>
        <v/>
      </c>
      <c r="P1130" s="459" t="str">
        <f t="shared" si="621"/>
        <v/>
      </c>
      <c r="Q1130" s="459" t="str">
        <f t="shared" si="622"/>
        <v/>
      </c>
      <c r="R1130" s="459" t="str">
        <f t="shared" si="623"/>
        <v/>
      </c>
      <c r="S1130" s="459" t="str">
        <f t="shared" si="624"/>
        <v/>
      </c>
      <c r="T1130" s="566" t="str">
        <f t="shared" si="609"/>
        <v/>
      </c>
      <c r="U1130" s="702"/>
      <c r="V1130" s="132"/>
      <c r="W1130" s="133"/>
      <c r="X1130" s="134"/>
      <c r="Y1130" s="135"/>
      <c r="Z1130" s="137"/>
      <c r="AA1130" s="136"/>
      <c r="AB1130" s="566" t="str">
        <f t="shared" si="610"/>
        <v/>
      </c>
      <c r="AC1130" s="568" t="str">
        <f t="shared" si="611"/>
        <v/>
      </c>
      <c r="AD1130" s="137"/>
      <c r="AE1130" s="137"/>
      <c r="AF1130" s="138"/>
      <c r="AG1130" s="138"/>
      <c r="AH1130" s="592" t="str">
        <f t="shared" si="612"/>
        <v/>
      </c>
      <c r="AI1130" s="592" t="str">
        <f t="shared" si="613"/>
        <v/>
      </c>
      <c r="AJ1130" s="592" t="str">
        <f t="shared" si="614"/>
        <v/>
      </c>
      <c r="AK1130" s="460" t="str">
        <f>IF(AU1130="","",IF(OR(AZ1130=8,AZ1130=9),0,IF(OR(AW1130=3,AW1130=4,AW1130=5,AW1130=6),IF(LEFT(BF1130,1)="1",INDEX(係数_NOX・PM低減,MATCH(AY1130,【参考】排出係数!$AI$801:$AI$804,1),1),VLOOKUP(AU1130,INDEX((係数_バス貨物_ガソリン,係数_バス貨物_CNG,係数_バス貨物_軽油,係数_バス貨物_メタノール,係数_バス貨物_LPG),MATCH(AY1130,【参考】排出係数!$AI$4:$AI$671,1),1,BE1130):INDEX((係数_バス貨物_ガソリン,係数_バス貨物_CNG,係数_バス貨物_軽油,係数_バス貨物_メタノール,係数_バス貨物_LPG),MATCH(AY1130+1,【参考】排出係数!$AI$4:$AI$671,1)-1,5,BE1130),4,FALSE)),IF(AND(BE1130=3,LEFT(BF1130,1)="1"),0.48,VLOOKUP(AU1130,INDEX((係数_乗用_ガソリン,係数_乗用_CNG,係数_乗用_軽油,係数_乗用_メタノール,係数_乗用_LPG),1,1,BE1130):INDEX((係数_乗用_ガソリン,係数_乗用_CNG,係数_乗用_軽油,係数_乗用_メタノール,係数_乗用_LPG),125,5,BE1130),4,FALSE)))))</f>
        <v/>
      </c>
      <c r="AL1130" s="461" t="str">
        <f t="shared" si="615"/>
        <v/>
      </c>
      <c r="AM1130" s="460" t="str">
        <f>IF(AU1130="","",IF(OR(AZ1130=8,AZ1130=9),0,IF(OR(AW1130=3,AW1130=4,AW1130=5,AW1130=6),IF(LEFT(BH1130,1)="1",INDEX(係数_PM低減,MATCH(AY1130,【参考】排出係数!$AI$801:$AI$804,1),MATCH(BI1130,【参考】排出係数!$AL$798:$AO$798,1)),VLOOKUP(AU1130,INDEX((係数_バス貨物_ガソリン,係数_バス貨物_CNG,係数_バス貨物_軽油,係数_バス貨物_メタノール,係数_バス貨物_LPG),MATCH(AY1130,【参考】排出係数!$AI$4:$AI$671,1),1,BE1130):INDEX((係数_バス貨物_ガソリン,係数_バス貨物_CNG,係数_バス貨物_軽油,係数_バス貨物_メタノール,係数_バス貨物_LPG),MATCH(AY1130+1,【参考】排出係数!$AI$4:$AI$671,1)-1,5,BE1130),5,FALSE)),IF(AND(BE1130=3,LEFT(BF1130,1)="1"),0.055,VLOOKUP(AU1130,INDEX((係数_乗用_ガソリン,係数_乗用_CNG,係数_乗用_軽油,係数_乗用_メタノール,係数_乗用_LPG),1,1,BE1130):INDEX((係数_乗用_ガソリン,係数_乗用_CNG,係数_乗用_軽油,係数_乗用_メタノール,係数_乗用_LPG),125,5,BE1130),5,FALSE)))))</f>
        <v/>
      </c>
      <c r="AN1130" s="461" t="str">
        <f t="shared" si="616"/>
        <v/>
      </c>
      <c r="AO1130" s="462" t="str">
        <f t="shared" si="617"/>
        <v/>
      </c>
      <c r="AP1130" s="463" t="str">
        <f t="shared" si="618"/>
        <v/>
      </c>
      <c r="AQ1130" s="464"/>
      <c r="AR1130" s="619"/>
      <c r="AS1130" s="465" t="str">
        <f t="shared" si="626"/>
        <v/>
      </c>
      <c r="AT1130" s="465" t="str">
        <f t="shared" si="627"/>
        <v/>
      </c>
      <c r="AU1130" s="466" t="str">
        <f t="shared" si="628"/>
        <v/>
      </c>
      <c r="AV1130" s="467" t="str">
        <f t="shared" si="629"/>
        <v/>
      </c>
      <c r="AW1130" s="467" t="str">
        <f t="shared" si="630"/>
        <v/>
      </c>
      <c r="AX1130" s="467" t="str">
        <f t="shared" si="631"/>
        <v/>
      </c>
      <c r="AY1130" s="467" t="str">
        <f t="shared" si="632"/>
        <v/>
      </c>
      <c r="AZ1130" s="467" t="str">
        <f t="shared" si="633"/>
        <v/>
      </c>
      <c r="BA1130" s="468" t="str">
        <f>IF(AS1130="","",IF(OR(AU1130="",AU1130="-"),"－",IF(OR(AZ1130=8,AZ1130=9),"",IF(OR(AW1130=3,AW1130=4,AW1130=5,AW1130=6),VLOOKUP(AU1130,INDEX((係数_バス貨物_ガソリン,係数_バス貨物_CNG,係数_バス貨物_軽油,係数_バス貨物_メタノール,係数_バス貨物_LPG),MATCH(AY1130,【参考】排出係数!$AI$4:$AI$671,1),1,BE1130):INDEX((係数_バス貨物_ガソリン,係数_バス貨物_CNG,係数_バス貨物_軽油,係数_バス貨物_メタノール,係数_バス貨物_LPG),MATCH(AY1130+1,【参考】排出係数!$AI$4:$AI$671,1)-1,5,BE1130),2,FALSE),IF(OR(AW1130=1,AW1130=2),VLOOKUP(AU1130,INDEX((係数_乗用_ガソリン,係数_乗用_CNG,係数_乗用_軽油,係数_乗用_メタノール,係数_乗用_LPG),1,1,BE1130):INDEX((係数_乗用_ガソリン,係数_乗用_CNG,係数_乗用_軽油,係数_乗用_メタノール,係数_乗用_LPG),125,5,BE1130),2,FALSE))))))</f>
        <v/>
      </c>
      <c r="BB1130" s="468" t="str">
        <f>IF(T1130="","",IF(OR(AU1130="",AU1130="-"),"－",IF(OR(AZ1130=8,AZ1130=9),"",IF(OR(AW1130=3,AW1130=4,AW1130=5,AW1130=6),VLOOKUP(AU1130,INDEX((係数_バス貨物_ガソリン,係数_バス貨物_CNG,係数_バス貨物_軽油,係数_バス貨物_メタノール,係数_バス貨物_LPG),MATCH(AY1130,【参考】排出係数!$AI$4:$AI$671,1),1,BE1130):INDEX((係数_バス貨物_ガソリン,係数_バス貨物_CNG,係数_バス貨物_軽油,係数_バス貨物_メタノール,係数_バス貨物_LPG),MATCH(AY1130+1,【参考】排出係数!$AI$4:$AI$671,1)-1,5,BE1130),3,FALSE),IF(OR(AW1130=1,AW1130=2),VLOOKUP(AU1130,INDEX((係数_乗用_ガソリン,係数_乗用_CNG,係数_乗用_軽油,係数_乗用_メタノール,係数_乗用_LPG),1,1,BE1130):INDEX((係数_乗用_ガソリン,係数_乗用_CNG,係数_乗用_軽油,係数_乗用_メタノール,係数_乗用_LPG),125,5,BE1130),3,FALSE))))))</f>
        <v/>
      </c>
      <c r="BC1130" s="467" t="str">
        <f t="shared" si="634"/>
        <v/>
      </c>
      <c r="BD1130" s="567" t="str">
        <f t="shared" si="635"/>
        <v/>
      </c>
      <c r="BE1130" s="467" t="str">
        <f t="shared" si="636"/>
        <v/>
      </c>
      <c r="BF1130" s="469" t="str">
        <f t="shared" ca="1" si="637"/>
        <v/>
      </c>
      <c r="BG1130" s="469" t="str">
        <f t="shared" ca="1" si="638"/>
        <v/>
      </c>
      <c r="BH1130" s="467" t="str">
        <f t="shared" si="639"/>
        <v/>
      </c>
      <c r="BI1130" s="467" t="str">
        <f t="shared" ca="1" si="640"/>
        <v/>
      </c>
      <c r="BJ1130" s="469" t="str">
        <f t="shared" si="641"/>
        <v/>
      </c>
      <c r="BK1130" s="470" t="str">
        <f t="shared" si="625"/>
        <v/>
      </c>
      <c r="BL1130" s="775" t="str">
        <f t="shared" si="642"/>
        <v/>
      </c>
      <c r="BM1130" s="775" t="str">
        <f t="shared" si="643"/>
        <v/>
      </c>
    </row>
    <row r="1131" spans="1:65">
      <c r="A1131" s="473">
        <v>1075</v>
      </c>
      <c r="B1131" s="132"/>
      <c r="C1131" s="332"/>
      <c r="D1131" s="333"/>
      <c r="E1131" s="333"/>
      <c r="F1131" s="334"/>
      <c r="G1131" s="337"/>
      <c r="H1131" s="131"/>
      <c r="I1131" s="337"/>
      <c r="J1131" s="131"/>
      <c r="K1131" s="458" t="str">
        <f t="shared" si="606"/>
        <v/>
      </c>
      <c r="L1131" s="458">
        <f t="shared" si="607"/>
        <v>0</v>
      </c>
      <c r="M1131" s="458">
        <f t="shared" si="608"/>
        <v>0</v>
      </c>
      <c r="N1131" s="459" t="str">
        <f t="shared" si="619"/>
        <v/>
      </c>
      <c r="O1131" s="459" t="str">
        <f t="shared" si="620"/>
        <v/>
      </c>
      <c r="P1131" s="459" t="str">
        <f t="shared" si="621"/>
        <v/>
      </c>
      <c r="Q1131" s="459" t="str">
        <f t="shared" si="622"/>
        <v/>
      </c>
      <c r="R1131" s="459" t="str">
        <f t="shared" si="623"/>
        <v/>
      </c>
      <c r="S1131" s="459" t="str">
        <f t="shared" si="624"/>
        <v/>
      </c>
      <c r="T1131" s="566" t="str">
        <f t="shared" si="609"/>
        <v/>
      </c>
      <c r="U1131" s="702"/>
      <c r="V1131" s="132"/>
      <c r="W1131" s="133"/>
      <c r="X1131" s="134"/>
      <c r="Y1131" s="135"/>
      <c r="Z1131" s="137"/>
      <c r="AA1131" s="136"/>
      <c r="AB1131" s="566" t="str">
        <f t="shared" si="610"/>
        <v/>
      </c>
      <c r="AC1131" s="568" t="str">
        <f t="shared" si="611"/>
        <v/>
      </c>
      <c r="AD1131" s="137"/>
      <c r="AE1131" s="137"/>
      <c r="AF1131" s="138"/>
      <c r="AG1131" s="138"/>
      <c r="AH1131" s="592" t="str">
        <f t="shared" si="612"/>
        <v/>
      </c>
      <c r="AI1131" s="592" t="str">
        <f t="shared" si="613"/>
        <v/>
      </c>
      <c r="AJ1131" s="592" t="str">
        <f t="shared" si="614"/>
        <v/>
      </c>
      <c r="AK1131" s="460" t="str">
        <f>IF(AU1131="","",IF(OR(AZ1131=8,AZ1131=9),0,IF(OR(AW1131=3,AW1131=4,AW1131=5,AW1131=6),IF(LEFT(BF1131,1)="1",INDEX(係数_NOX・PM低減,MATCH(AY1131,【参考】排出係数!$AI$801:$AI$804,1),1),VLOOKUP(AU1131,INDEX((係数_バス貨物_ガソリン,係数_バス貨物_CNG,係数_バス貨物_軽油,係数_バス貨物_メタノール,係数_バス貨物_LPG),MATCH(AY1131,【参考】排出係数!$AI$4:$AI$671,1),1,BE1131):INDEX((係数_バス貨物_ガソリン,係数_バス貨物_CNG,係数_バス貨物_軽油,係数_バス貨物_メタノール,係数_バス貨物_LPG),MATCH(AY1131+1,【参考】排出係数!$AI$4:$AI$671,1)-1,5,BE1131),4,FALSE)),IF(AND(BE1131=3,LEFT(BF1131,1)="1"),0.48,VLOOKUP(AU1131,INDEX((係数_乗用_ガソリン,係数_乗用_CNG,係数_乗用_軽油,係数_乗用_メタノール,係数_乗用_LPG),1,1,BE1131):INDEX((係数_乗用_ガソリン,係数_乗用_CNG,係数_乗用_軽油,係数_乗用_メタノール,係数_乗用_LPG),125,5,BE1131),4,FALSE)))))</f>
        <v/>
      </c>
      <c r="AL1131" s="461" t="str">
        <f t="shared" si="615"/>
        <v/>
      </c>
      <c r="AM1131" s="460" t="str">
        <f>IF(AU1131="","",IF(OR(AZ1131=8,AZ1131=9),0,IF(OR(AW1131=3,AW1131=4,AW1131=5,AW1131=6),IF(LEFT(BH1131,1)="1",INDEX(係数_PM低減,MATCH(AY1131,【参考】排出係数!$AI$801:$AI$804,1),MATCH(BI1131,【参考】排出係数!$AL$798:$AO$798,1)),VLOOKUP(AU1131,INDEX((係数_バス貨物_ガソリン,係数_バス貨物_CNG,係数_バス貨物_軽油,係数_バス貨物_メタノール,係数_バス貨物_LPG),MATCH(AY1131,【参考】排出係数!$AI$4:$AI$671,1),1,BE1131):INDEX((係数_バス貨物_ガソリン,係数_バス貨物_CNG,係数_バス貨物_軽油,係数_バス貨物_メタノール,係数_バス貨物_LPG),MATCH(AY1131+1,【参考】排出係数!$AI$4:$AI$671,1)-1,5,BE1131),5,FALSE)),IF(AND(BE1131=3,LEFT(BF1131,1)="1"),0.055,VLOOKUP(AU1131,INDEX((係数_乗用_ガソリン,係数_乗用_CNG,係数_乗用_軽油,係数_乗用_メタノール,係数_乗用_LPG),1,1,BE1131):INDEX((係数_乗用_ガソリン,係数_乗用_CNG,係数_乗用_軽油,係数_乗用_メタノール,係数_乗用_LPG),125,5,BE1131),5,FALSE)))))</f>
        <v/>
      </c>
      <c r="AN1131" s="461" t="str">
        <f t="shared" si="616"/>
        <v/>
      </c>
      <c r="AO1131" s="462" t="str">
        <f t="shared" si="617"/>
        <v/>
      </c>
      <c r="AP1131" s="463" t="str">
        <f t="shared" si="618"/>
        <v/>
      </c>
      <c r="AQ1131" s="464"/>
      <c r="AR1131" s="619"/>
      <c r="AS1131" s="465" t="str">
        <f t="shared" si="626"/>
        <v/>
      </c>
      <c r="AT1131" s="465" t="str">
        <f t="shared" si="627"/>
        <v/>
      </c>
      <c r="AU1131" s="466" t="str">
        <f t="shared" si="628"/>
        <v/>
      </c>
      <c r="AV1131" s="467" t="str">
        <f t="shared" si="629"/>
        <v/>
      </c>
      <c r="AW1131" s="467" t="str">
        <f t="shared" si="630"/>
        <v/>
      </c>
      <c r="AX1131" s="467" t="str">
        <f t="shared" si="631"/>
        <v/>
      </c>
      <c r="AY1131" s="467" t="str">
        <f t="shared" si="632"/>
        <v/>
      </c>
      <c r="AZ1131" s="467" t="str">
        <f t="shared" si="633"/>
        <v/>
      </c>
      <c r="BA1131" s="468" t="str">
        <f>IF(AS1131="","",IF(OR(AU1131="",AU1131="-"),"－",IF(OR(AZ1131=8,AZ1131=9),"",IF(OR(AW1131=3,AW1131=4,AW1131=5,AW1131=6),VLOOKUP(AU1131,INDEX((係数_バス貨物_ガソリン,係数_バス貨物_CNG,係数_バス貨物_軽油,係数_バス貨物_メタノール,係数_バス貨物_LPG),MATCH(AY1131,【参考】排出係数!$AI$4:$AI$671,1),1,BE1131):INDEX((係数_バス貨物_ガソリン,係数_バス貨物_CNG,係数_バス貨物_軽油,係数_バス貨物_メタノール,係数_バス貨物_LPG),MATCH(AY1131+1,【参考】排出係数!$AI$4:$AI$671,1)-1,5,BE1131),2,FALSE),IF(OR(AW1131=1,AW1131=2),VLOOKUP(AU1131,INDEX((係数_乗用_ガソリン,係数_乗用_CNG,係数_乗用_軽油,係数_乗用_メタノール,係数_乗用_LPG),1,1,BE1131):INDEX((係数_乗用_ガソリン,係数_乗用_CNG,係数_乗用_軽油,係数_乗用_メタノール,係数_乗用_LPG),125,5,BE1131),2,FALSE))))))</f>
        <v/>
      </c>
      <c r="BB1131" s="468" t="str">
        <f>IF(T1131="","",IF(OR(AU1131="",AU1131="-"),"－",IF(OR(AZ1131=8,AZ1131=9),"",IF(OR(AW1131=3,AW1131=4,AW1131=5,AW1131=6),VLOOKUP(AU1131,INDEX((係数_バス貨物_ガソリン,係数_バス貨物_CNG,係数_バス貨物_軽油,係数_バス貨物_メタノール,係数_バス貨物_LPG),MATCH(AY1131,【参考】排出係数!$AI$4:$AI$671,1),1,BE1131):INDEX((係数_バス貨物_ガソリン,係数_バス貨物_CNG,係数_バス貨物_軽油,係数_バス貨物_メタノール,係数_バス貨物_LPG),MATCH(AY1131+1,【参考】排出係数!$AI$4:$AI$671,1)-1,5,BE1131),3,FALSE),IF(OR(AW1131=1,AW1131=2),VLOOKUP(AU1131,INDEX((係数_乗用_ガソリン,係数_乗用_CNG,係数_乗用_軽油,係数_乗用_メタノール,係数_乗用_LPG),1,1,BE1131):INDEX((係数_乗用_ガソリン,係数_乗用_CNG,係数_乗用_軽油,係数_乗用_メタノール,係数_乗用_LPG),125,5,BE1131),3,FALSE))))))</f>
        <v/>
      </c>
      <c r="BC1131" s="467" t="str">
        <f t="shared" si="634"/>
        <v/>
      </c>
      <c r="BD1131" s="567" t="str">
        <f t="shared" si="635"/>
        <v/>
      </c>
      <c r="BE1131" s="467" t="str">
        <f t="shared" si="636"/>
        <v/>
      </c>
      <c r="BF1131" s="469" t="str">
        <f t="shared" ca="1" si="637"/>
        <v/>
      </c>
      <c r="BG1131" s="469" t="str">
        <f t="shared" ca="1" si="638"/>
        <v/>
      </c>
      <c r="BH1131" s="467" t="str">
        <f t="shared" si="639"/>
        <v/>
      </c>
      <c r="BI1131" s="467" t="str">
        <f t="shared" ca="1" si="640"/>
        <v/>
      </c>
      <c r="BJ1131" s="469" t="str">
        <f t="shared" si="641"/>
        <v/>
      </c>
      <c r="BK1131" s="470" t="str">
        <f t="shared" si="625"/>
        <v/>
      </c>
      <c r="BL1131" s="775" t="str">
        <f t="shared" si="642"/>
        <v/>
      </c>
      <c r="BM1131" s="775" t="str">
        <f t="shared" si="643"/>
        <v/>
      </c>
    </row>
    <row r="1132" spans="1:65">
      <c r="A1132" s="473">
        <v>1076</v>
      </c>
      <c r="B1132" s="132"/>
      <c r="C1132" s="332"/>
      <c r="D1132" s="333"/>
      <c r="E1132" s="333"/>
      <c r="F1132" s="334"/>
      <c r="G1132" s="337"/>
      <c r="H1132" s="131"/>
      <c r="I1132" s="337"/>
      <c r="J1132" s="131"/>
      <c r="K1132" s="458" t="str">
        <f t="shared" ref="K1132:K1195" si="644">C1132&amp;D1132&amp;E1132&amp;F1132</f>
        <v/>
      </c>
      <c r="L1132" s="458">
        <f t="shared" ref="L1132:L1195" si="645">IF(G1132&gt;0,DATE((G1132),(H1132+1),0),0)</f>
        <v>0</v>
      </c>
      <c r="M1132" s="458">
        <f t="shared" ref="M1132:M1195" si="646">IF(I1132&gt;0,DATE((I1132),(J1132+1),0),0)</f>
        <v>0</v>
      </c>
      <c r="N1132" s="459" t="str">
        <f t="shared" si="619"/>
        <v/>
      </c>
      <c r="O1132" s="459" t="str">
        <f t="shared" si="620"/>
        <v/>
      </c>
      <c r="P1132" s="459" t="str">
        <f t="shared" si="621"/>
        <v/>
      </c>
      <c r="Q1132" s="459" t="str">
        <f t="shared" si="622"/>
        <v/>
      </c>
      <c r="R1132" s="459" t="str">
        <f t="shared" si="623"/>
        <v/>
      </c>
      <c r="S1132" s="459" t="str">
        <f t="shared" si="624"/>
        <v/>
      </c>
      <c r="T1132" s="566" t="str">
        <f t="shared" ref="T1132:T1195" si="647">N1132&amp;O1132&amp;P1132&amp;Q1132&amp;R1132&amp;S1132</f>
        <v/>
      </c>
      <c r="U1132" s="702"/>
      <c r="V1132" s="132"/>
      <c r="W1132" s="133"/>
      <c r="X1132" s="134"/>
      <c r="Y1132" s="135"/>
      <c r="Z1132" s="137"/>
      <c r="AA1132" s="136"/>
      <c r="AB1132" s="566" t="str">
        <f t="shared" ref="AB1132:AB1195" si="648">IF(AS1132="","",IF(AZ1132=1,VLOOKUP(BA1132,低公害車判別,2,FALSE),IF(AZ1132=3,VLOOKUP(BA1132,低公害車判別,2,FALSE),IF(AZ1132=4,VLOOKUP(BB1132,低公害車判別,2,FALSE),"低公害車"))))</f>
        <v/>
      </c>
      <c r="AC1132" s="568" t="str">
        <f t="shared" ref="AC1132:AC1195" si="649">IF(AS1132="","",IF((BA1132="")+(BA1132="－"),IF((BB1132="")+(BB1132=0),"－",BB1132),IF((BA1132="PM☆☆☆")+(BA1132="☆及びPM☆☆☆")+(BA1132="☆☆及びPM☆☆☆")+(BA1132="☆☆☆及びPM☆☆☆"),"PM☆☆☆",IF((BA1132="PM☆☆☆☆")+(BA1132="☆及びPM☆☆☆☆")+(BA1132="☆☆及びPM☆☆☆☆")+(BA1132="☆☆☆及びPM☆☆☆☆"),"PM☆☆☆☆",IF((BA1132="新☆")+(BA1132="新NOx☆")+(BA1132="新PM☆"),"新☆（新長期）",BA1132)))))</f>
        <v/>
      </c>
      <c r="AD1132" s="137"/>
      <c r="AE1132" s="137"/>
      <c r="AF1132" s="138"/>
      <c r="AG1132" s="138"/>
      <c r="AH1132" s="592" t="str">
        <f t="shared" ref="AH1132:AH1195" si="650">IF(C1132="","",IF(LEFT(C1132,2)="横浜","○",""))</f>
        <v/>
      </c>
      <c r="AI1132" s="592" t="str">
        <f t="shared" ref="AI1132:AI1195" si="651">IF(C1132="","",IF(LEFT(C1132,2)="川崎","○",""))</f>
        <v/>
      </c>
      <c r="AJ1132" s="592" t="str">
        <f t="shared" ref="AJ1132:AJ1195" si="652">IF(C1132="","",IF(OR(AH1132="○",AI1132="○"),"","○"))</f>
        <v/>
      </c>
      <c r="AK1132" s="460" t="str">
        <f>IF(AU1132="","",IF(OR(AZ1132=8,AZ1132=9),0,IF(OR(AW1132=3,AW1132=4,AW1132=5,AW1132=6),IF(LEFT(BF1132,1)="1",INDEX(係数_NOX・PM低減,MATCH(AY1132,【参考】排出係数!$AI$801:$AI$804,1),1),VLOOKUP(AU1132,INDEX((係数_バス貨物_ガソリン,係数_バス貨物_CNG,係数_バス貨物_軽油,係数_バス貨物_メタノール,係数_バス貨物_LPG),MATCH(AY1132,【参考】排出係数!$AI$4:$AI$671,1),1,BE1132):INDEX((係数_バス貨物_ガソリン,係数_バス貨物_CNG,係数_バス貨物_軽油,係数_バス貨物_メタノール,係数_バス貨物_LPG),MATCH(AY1132+1,【参考】排出係数!$AI$4:$AI$671,1)-1,5,BE1132),4,FALSE)),IF(AND(BE1132=3,LEFT(BF1132,1)="1"),0.48,VLOOKUP(AU1132,INDEX((係数_乗用_ガソリン,係数_乗用_CNG,係数_乗用_軽油,係数_乗用_メタノール,係数_乗用_LPG),1,1,BE1132):INDEX((係数_乗用_ガソリン,係数_乗用_CNG,係数_乗用_軽油,係数_乗用_メタノール,係数_乗用_LPG),125,5,BE1132),4,FALSE)))))</f>
        <v/>
      </c>
      <c r="AL1132" s="461" t="str">
        <f t="shared" ref="AL1132:AL1195" si="653">IF(AU1132="","",IF(Z1132&lt;=3.5*1000,AD1132*AK1132/1000,IF(Z1132&gt;3.5*1000,AD1132*Z1132*AK1132/1000/1000)))</f>
        <v/>
      </c>
      <c r="AM1132" s="460" t="str">
        <f>IF(AU1132="","",IF(OR(AZ1132=8,AZ1132=9),0,IF(OR(AW1132=3,AW1132=4,AW1132=5,AW1132=6),IF(LEFT(BH1132,1)="1",INDEX(係数_PM低減,MATCH(AY1132,【参考】排出係数!$AI$801:$AI$804,1),MATCH(BI1132,【参考】排出係数!$AL$798:$AO$798,1)),VLOOKUP(AU1132,INDEX((係数_バス貨物_ガソリン,係数_バス貨物_CNG,係数_バス貨物_軽油,係数_バス貨物_メタノール,係数_バス貨物_LPG),MATCH(AY1132,【参考】排出係数!$AI$4:$AI$671,1),1,BE1132):INDEX((係数_バス貨物_ガソリン,係数_バス貨物_CNG,係数_バス貨物_軽油,係数_バス貨物_メタノール,係数_バス貨物_LPG),MATCH(AY1132+1,【参考】排出係数!$AI$4:$AI$671,1)-1,5,BE1132),5,FALSE)),IF(AND(BE1132=3,LEFT(BF1132,1)="1"),0.055,VLOOKUP(AU1132,INDEX((係数_乗用_ガソリン,係数_乗用_CNG,係数_乗用_軽油,係数_乗用_メタノール,係数_乗用_LPG),1,1,BE1132):INDEX((係数_乗用_ガソリン,係数_乗用_CNG,係数_乗用_軽油,係数_乗用_メタノール,係数_乗用_LPG),125,5,BE1132),5,FALSE)))))</f>
        <v/>
      </c>
      <c r="AN1132" s="461" t="str">
        <f t="shared" ref="AN1132:AN1195" si="654">IF(AU1132="","",IF(Z1132&lt;=3.5*1000,AD1132*AM1132/1000,IF(Z1132&gt;3.5*1000,AD1132*Z1132*AM1132/1000/1000)))</f>
        <v/>
      </c>
      <c r="AO1132" s="462" t="str">
        <f t="shared" ref="AO1132:AO1195" si="655">IF(AU1132="","",IF(Z1132&lt;500,"車両重量",IF(OR(AZ1132=8,AZ1132=9),0,IF(OR(AZ1132=1,AZ1132=2,AZ1132=11),2.32,IF(OR(AZ1132=4,AZ1132=5,AZ1132=11),2.58,IF(AZ1132=3,3,IF(AZ1132=6,2.23,IF(AZ1132=7,1.37,0))))))))</f>
        <v/>
      </c>
      <c r="AP1132" s="463" t="str">
        <f t="shared" ref="AP1132:AP1195" si="656">IF(AU1132="","",AE1132*AO1132/1000)</f>
        <v/>
      </c>
      <c r="AQ1132" s="464"/>
      <c r="AR1132" s="619"/>
      <c r="AS1132" s="465" t="str">
        <f t="shared" si="626"/>
        <v/>
      </c>
      <c r="AT1132" s="465" t="str">
        <f t="shared" si="627"/>
        <v/>
      </c>
      <c r="AU1132" s="466" t="str">
        <f t="shared" si="628"/>
        <v/>
      </c>
      <c r="AV1132" s="467" t="str">
        <f t="shared" si="629"/>
        <v/>
      </c>
      <c r="AW1132" s="467" t="str">
        <f t="shared" si="630"/>
        <v/>
      </c>
      <c r="AX1132" s="467" t="str">
        <f t="shared" si="631"/>
        <v/>
      </c>
      <c r="AY1132" s="467" t="str">
        <f t="shared" si="632"/>
        <v/>
      </c>
      <c r="AZ1132" s="467" t="str">
        <f t="shared" si="633"/>
        <v/>
      </c>
      <c r="BA1132" s="468" t="str">
        <f>IF(AS1132="","",IF(OR(AU1132="",AU1132="-"),"－",IF(OR(AZ1132=8,AZ1132=9),"",IF(OR(AW1132=3,AW1132=4,AW1132=5,AW1132=6),VLOOKUP(AU1132,INDEX((係数_バス貨物_ガソリン,係数_バス貨物_CNG,係数_バス貨物_軽油,係数_バス貨物_メタノール,係数_バス貨物_LPG),MATCH(AY1132,【参考】排出係数!$AI$4:$AI$671,1),1,BE1132):INDEX((係数_バス貨物_ガソリン,係数_バス貨物_CNG,係数_バス貨物_軽油,係数_バス貨物_メタノール,係数_バス貨物_LPG),MATCH(AY1132+1,【参考】排出係数!$AI$4:$AI$671,1)-1,5,BE1132),2,FALSE),IF(OR(AW1132=1,AW1132=2),VLOOKUP(AU1132,INDEX((係数_乗用_ガソリン,係数_乗用_CNG,係数_乗用_軽油,係数_乗用_メタノール,係数_乗用_LPG),1,1,BE1132):INDEX((係数_乗用_ガソリン,係数_乗用_CNG,係数_乗用_軽油,係数_乗用_メタノール,係数_乗用_LPG),125,5,BE1132),2,FALSE))))))</f>
        <v/>
      </c>
      <c r="BB1132" s="468" t="str">
        <f>IF(T1132="","",IF(OR(AU1132="",AU1132="-"),"－",IF(OR(AZ1132=8,AZ1132=9),"",IF(OR(AW1132=3,AW1132=4,AW1132=5,AW1132=6),VLOOKUP(AU1132,INDEX((係数_バス貨物_ガソリン,係数_バス貨物_CNG,係数_バス貨物_軽油,係数_バス貨物_メタノール,係数_バス貨物_LPG),MATCH(AY1132,【参考】排出係数!$AI$4:$AI$671,1),1,BE1132):INDEX((係数_バス貨物_ガソリン,係数_バス貨物_CNG,係数_バス貨物_軽油,係数_バス貨物_メタノール,係数_バス貨物_LPG),MATCH(AY1132+1,【参考】排出係数!$AI$4:$AI$671,1)-1,5,BE1132),3,FALSE),IF(OR(AW1132=1,AW1132=2),VLOOKUP(AU1132,INDEX((係数_乗用_ガソリン,係数_乗用_CNG,係数_乗用_軽油,係数_乗用_メタノール,係数_乗用_LPG),1,1,BE1132):INDEX((係数_乗用_ガソリン,係数_乗用_CNG,係数_乗用_軽油,係数_乗用_メタノール,係数_乗用_LPG),125,5,BE1132),3,FALSE))))))</f>
        <v/>
      </c>
      <c r="BC1132" s="467" t="str">
        <f t="shared" si="634"/>
        <v/>
      </c>
      <c r="BD1132" s="567" t="str">
        <f t="shared" si="635"/>
        <v/>
      </c>
      <c r="BE1132" s="467" t="str">
        <f t="shared" si="636"/>
        <v/>
      </c>
      <c r="BF1132" s="469" t="str">
        <f t="shared" ca="1" si="637"/>
        <v/>
      </c>
      <c r="BG1132" s="469" t="str">
        <f t="shared" ca="1" si="638"/>
        <v/>
      </c>
      <c r="BH1132" s="467" t="str">
        <f t="shared" si="639"/>
        <v/>
      </c>
      <c r="BI1132" s="467" t="str">
        <f t="shared" ca="1" si="640"/>
        <v/>
      </c>
      <c r="BJ1132" s="469" t="str">
        <f t="shared" si="641"/>
        <v/>
      </c>
      <c r="BK1132" s="470" t="str">
        <f t="shared" si="625"/>
        <v/>
      </c>
      <c r="BL1132" s="775" t="str">
        <f t="shared" si="642"/>
        <v/>
      </c>
      <c r="BM1132" s="775" t="str">
        <f t="shared" si="643"/>
        <v/>
      </c>
    </row>
    <row r="1133" spans="1:65">
      <c r="A1133" s="473">
        <v>1077</v>
      </c>
      <c r="B1133" s="132"/>
      <c r="C1133" s="332"/>
      <c r="D1133" s="333"/>
      <c r="E1133" s="333"/>
      <c r="F1133" s="334"/>
      <c r="G1133" s="337"/>
      <c r="H1133" s="131"/>
      <c r="I1133" s="337"/>
      <c r="J1133" s="131"/>
      <c r="K1133" s="458" t="str">
        <f t="shared" si="644"/>
        <v/>
      </c>
      <c r="L1133" s="458">
        <f t="shared" si="645"/>
        <v>0</v>
      </c>
      <c r="M1133" s="458">
        <f t="shared" si="646"/>
        <v>0</v>
      </c>
      <c r="N1133" s="459" t="str">
        <f t="shared" si="619"/>
        <v/>
      </c>
      <c r="O1133" s="459" t="str">
        <f t="shared" si="620"/>
        <v/>
      </c>
      <c r="P1133" s="459" t="str">
        <f t="shared" si="621"/>
        <v/>
      </c>
      <c r="Q1133" s="459" t="str">
        <f t="shared" si="622"/>
        <v/>
      </c>
      <c r="R1133" s="459" t="str">
        <f t="shared" si="623"/>
        <v/>
      </c>
      <c r="S1133" s="459" t="str">
        <f t="shared" si="624"/>
        <v/>
      </c>
      <c r="T1133" s="566" t="str">
        <f t="shared" si="647"/>
        <v/>
      </c>
      <c r="U1133" s="702"/>
      <c r="V1133" s="132"/>
      <c r="W1133" s="133"/>
      <c r="X1133" s="134"/>
      <c r="Y1133" s="135"/>
      <c r="Z1133" s="137"/>
      <c r="AA1133" s="136"/>
      <c r="AB1133" s="566" t="str">
        <f t="shared" si="648"/>
        <v/>
      </c>
      <c r="AC1133" s="568" t="str">
        <f t="shared" si="649"/>
        <v/>
      </c>
      <c r="AD1133" s="137"/>
      <c r="AE1133" s="137"/>
      <c r="AF1133" s="138"/>
      <c r="AG1133" s="138"/>
      <c r="AH1133" s="592" t="str">
        <f t="shared" si="650"/>
        <v/>
      </c>
      <c r="AI1133" s="592" t="str">
        <f t="shared" si="651"/>
        <v/>
      </c>
      <c r="AJ1133" s="592" t="str">
        <f t="shared" si="652"/>
        <v/>
      </c>
      <c r="AK1133" s="460" t="str">
        <f>IF(AU1133="","",IF(OR(AZ1133=8,AZ1133=9),0,IF(OR(AW1133=3,AW1133=4,AW1133=5,AW1133=6),IF(LEFT(BF1133,1)="1",INDEX(係数_NOX・PM低減,MATCH(AY1133,【参考】排出係数!$AI$801:$AI$804,1),1),VLOOKUP(AU1133,INDEX((係数_バス貨物_ガソリン,係数_バス貨物_CNG,係数_バス貨物_軽油,係数_バス貨物_メタノール,係数_バス貨物_LPG),MATCH(AY1133,【参考】排出係数!$AI$4:$AI$671,1),1,BE1133):INDEX((係数_バス貨物_ガソリン,係数_バス貨物_CNG,係数_バス貨物_軽油,係数_バス貨物_メタノール,係数_バス貨物_LPG),MATCH(AY1133+1,【参考】排出係数!$AI$4:$AI$671,1)-1,5,BE1133),4,FALSE)),IF(AND(BE1133=3,LEFT(BF1133,1)="1"),0.48,VLOOKUP(AU1133,INDEX((係数_乗用_ガソリン,係数_乗用_CNG,係数_乗用_軽油,係数_乗用_メタノール,係数_乗用_LPG),1,1,BE1133):INDEX((係数_乗用_ガソリン,係数_乗用_CNG,係数_乗用_軽油,係数_乗用_メタノール,係数_乗用_LPG),125,5,BE1133),4,FALSE)))))</f>
        <v/>
      </c>
      <c r="AL1133" s="461" t="str">
        <f t="shared" si="653"/>
        <v/>
      </c>
      <c r="AM1133" s="460" t="str">
        <f>IF(AU1133="","",IF(OR(AZ1133=8,AZ1133=9),0,IF(OR(AW1133=3,AW1133=4,AW1133=5,AW1133=6),IF(LEFT(BH1133,1)="1",INDEX(係数_PM低減,MATCH(AY1133,【参考】排出係数!$AI$801:$AI$804,1),MATCH(BI1133,【参考】排出係数!$AL$798:$AO$798,1)),VLOOKUP(AU1133,INDEX((係数_バス貨物_ガソリン,係数_バス貨物_CNG,係数_バス貨物_軽油,係数_バス貨物_メタノール,係数_バス貨物_LPG),MATCH(AY1133,【参考】排出係数!$AI$4:$AI$671,1),1,BE1133):INDEX((係数_バス貨物_ガソリン,係数_バス貨物_CNG,係数_バス貨物_軽油,係数_バス貨物_メタノール,係数_バス貨物_LPG),MATCH(AY1133+1,【参考】排出係数!$AI$4:$AI$671,1)-1,5,BE1133),5,FALSE)),IF(AND(BE1133=3,LEFT(BF1133,1)="1"),0.055,VLOOKUP(AU1133,INDEX((係数_乗用_ガソリン,係数_乗用_CNG,係数_乗用_軽油,係数_乗用_メタノール,係数_乗用_LPG),1,1,BE1133):INDEX((係数_乗用_ガソリン,係数_乗用_CNG,係数_乗用_軽油,係数_乗用_メタノール,係数_乗用_LPG),125,5,BE1133),5,FALSE)))))</f>
        <v/>
      </c>
      <c r="AN1133" s="461" t="str">
        <f t="shared" si="654"/>
        <v/>
      </c>
      <c r="AO1133" s="462" t="str">
        <f t="shared" si="655"/>
        <v/>
      </c>
      <c r="AP1133" s="463" t="str">
        <f t="shared" si="656"/>
        <v/>
      </c>
      <c r="AQ1133" s="464"/>
      <c r="AR1133" s="619"/>
      <c r="AS1133" s="465" t="str">
        <f t="shared" si="626"/>
        <v/>
      </c>
      <c r="AT1133" s="465" t="str">
        <f t="shared" si="627"/>
        <v/>
      </c>
      <c r="AU1133" s="466" t="str">
        <f t="shared" si="628"/>
        <v/>
      </c>
      <c r="AV1133" s="467" t="str">
        <f t="shared" si="629"/>
        <v/>
      </c>
      <c r="AW1133" s="467" t="str">
        <f t="shared" si="630"/>
        <v/>
      </c>
      <c r="AX1133" s="467" t="str">
        <f t="shared" si="631"/>
        <v/>
      </c>
      <c r="AY1133" s="467" t="str">
        <f t="shared" si="632"/>
        <v/>
      </c>
      <c r="AZ1133" s="467" t="str">
        <f t="shared" si="633"/>
        <v/>
      </c>
      <c r="BA1133" s="468" t="str">
        <f>IF(AS1133="","",IF(OR(AU1133="",AU1133="-"),"－",IF(OR(AZ1133=8,AZ1133=9),"",IF(OR(AW1133=3,AW1133=4,AW1133=5,AW1133=6),VLOOKUP(AU1133,INDEX((係数_バス貨物_ガソリン,係数_バス貨物_CNG,係数_バス貨物_軽油,係数_バス貨物_メタノール,係数_バス貨物_LPG),MATCH(AY1133,【参考】排出係数!$AI$4:$AI$671,1),1,BE1133):INDEX((係数_バス貨物_ガソリン,係数_バス貨物_CNG,係数_バス貨物_軽油,係数_バス貨物_メタノール,係数_バス貨物_LPG),MATCH(AY1133+1,【参考】排出係数!$AI$4:$AI$671,1)-1,5,BE1133),2,FALSE),IF(OR(AW1133=1,AW1133=2),VLOOKUP(AU1133,INDEX((係数_乗用_ガソリン,係数_乗用_CNG,係数_乗用_軽油,係数_乗用_メタノール,係数_乗用_LPG),1,1,BE1133):INDEX((係数_乗用_ガソリン,係数_乗用_CNG,係数_乗用_軽油,係数_乗用_メタノール,係数_乗用_LPG),125,5,BE1133),2,FALSE))))))</f>
        <v/>
      </c>
      <c r="BB1133" s="468" t="str">
        <f>IF(T1133="","",IF(OR(AU1133="",AU1133="-"),"－",IF(OR(AZ1133=8,AZ1133=9),"",IF(OR(AW1133=3,AW1133=4,AW1133=5,AW1133=6),VLOOKUP(AU1133,INDEX((係数_バス貨物_ガソリン,係数_バス貨物_CNG,係数_バス貨物_軽油,係数_バス貨物_メタノール,係数_バス貨物_LPG),MATCH(AY1133,【参考】排出係数!$AI$4:$AI$671,1),1,BE1133):INDEX((係数_バス貨物_ガソリン,係数_バス貨物_CNG,係数_バス貨物_軽油,係数_バス貨物_メタノール,係数_バス貨物_LPG),MATCH(AY1133+1,【参考】排出係数!$AI$4:$AI$671,1)-1,5,BE1133),3,FALSE),IF(OR(AW1133=1,AW1133=2),VLOOKUP(AU1133,INDEX((係数_乗用_ガソリン,係数_乗用_CNG,係数_乗用_軽油,係数_乗用_メタノール,係数_乗用_LPG),1,1,BE1133):INDEX((係数_乗用_ガソリン,係数_乗用_CNG,係数_乗用_軽油,係数_乗用_メタノール,係数_乗用_LPG),125,5,BE1133),3,FALSE))))))</f>
        <v/>
      </c>
      <c r="BC1133" s="467" t="str">
        <f t="shared" si="634"/>
        <v/>
      </c>
      <c r="BD1133" s="567" t="str">
        <f t="shared" si="635"/>
        <v/>
      </c>
      <c r="BE1133" s="467" t="str">
        <f t="shared" si="636"/>
        <v/>
      </c>
      <c r="BF1133" s="469" t="str">
        <f t="shared" ca="1" si="637"/>
        <v/>
      </c>
      <c r="BG1133" s="469" t="str">
        <f t="shared" ca="1" si="638"/>
        <v/>
      </c>
      <c r="BH1133" s="467" t="str">
        <f t="shared" si="639"/>
        <v/>
      </c>
      <c r="BI1133" s="467" t="str">
        <f t="shared" ca="1" si="640"/>
        <v/>
      </c>
      <c r="BJ1133" s="469" t="str">
        <f t="shared" si="641"/>
        <v/>
      </c>
      <c r="BK1133" s="470" t="str">
        <f t="shared" si="625"/>
        <v/>
      </c>
      <c r="BL1133" s="775" t="str">
        <f t="shared" si="642"/>
        <v/>
      </c>
      <c r="BM1133" s="775" t="str">
        <f t="shared" si="643"/>
        <v/>
      </c>
    </row>
    <row r="1134" spans="1:65">
      <c r="A1134" s="473">
        <v>1078</v>
      </c>
      <c r="B1134" s="132"/>
      <c r="C1134" s="332"/>
      <c r="D1134" s="333"/>
      <c r="E1134" s="333"/>
      <c r="F1134" s="334"/>
      <c r="G1134" s="337"/>
      <c r="H1134" s="131"/>
      <c r="I1134" s="337"/>
      <c r="J1134" s="131"/>
      <c r="K1134" s="458" t="str">
        <f t="shared" si="644"/>
        <v/>
      </c>
      <c r="L1134" s="458">
        <f t="shared" si="645"/>
        <v>0</v>
      </c>
      <c r="M1134" s="458">
        <f t="shared" si="646"/>
        <v>0</v>
      </c>
      <c r="N1134" s="459" t="str">
        <f t="shared" si="619"/>
        <v/>
      </c>
      <c r="O1134" s="459" t="str">
        <f t="shared" si="620"/>
        <v/>
      </c>
      <c r="P1134" s="459" t="str">
        <f t="shared" si="621"/>
        <v/>
      </c>
      <c r="Q1134" s="459" t="str">
        <f t="shared" si="622"/>
        <v/>
      </c>
      <c r="R1134" s="459" t="str">
        <f t="shared" si="623"/>
        <v/>
      </c>
      <c r="S1134" s="459" t="str">
        <f t="shared" si="624"/>
        <v/>
      </c>
      <c r="T1134" s="566" t="str">
        <f t="shared" si="647"/>
        <v/>
      </c>
      <c r="U1134" s="702"/>
      <c r="V1134" s="132"/>
      <c r="W1134" s="133"/>
      <c r="X1134" s="134"/>
      <c r="Y1134" s="135"/>
      <c r="Z1134" s="137"/>
      <c r="AA1134" s="136"/>
      <c r="AB1134" s="566" t="str">
        <f t="shared" si="648"/>
        <v/>
      </c>
      <c r="AC1134" s="568" t="str">
        <f t="shared" si="649"/>
        <v/>
      </c>
      <c r="AD1134" s="137"/>
      <c r="AE1134" s="137"/>
      <c r="AF1134" s="138"/>
      <c r="AG1134" s="138"/>
      <c r="AH1134" s="592" t="str">
        <f t="shared" si="650"/>
        <v/>
      </c>
      <c r="AI1134" s="592" t="str">
        <f t="shared" si="651"/>
        <v/>
      </c>
      <c r="AJ1134" s="592" t="str">
        <f t="shared" si="652"/>
        <v/>
      </c>
      <c r="AK1134" s="460" t="str">
        <f>IF(AU1134="","",IF(OR(AZ1134=8,AZ1134=9),0,IF(OR(AW1134=3,AW1134=4,AW1134=5,AW1134=6),IF(LEFT(BF1134,1)="1",INDEX(係数_NOX・PM低減,MATCH(AY1134,【参考】排出係数!$AI$801:$AI$804,1),1),VLOOKUP(AU1134,INDEX((係数_バス貨物_ガソリン,係数_バス貨物_CNG,係数_バス貨物_軽油,係数_バス貨物_メタノール,係数_バス貨物_LPG),MATCH(AY1134,【参考】排出係数!$AI$4:$AI$671,1),1,BE1134):INDEX((係数_バス貨物_ガソリン,係数_バス貨物_CNG,係数_バス貨物_軽油,係数_バス貨物_メタノール,係数_バス貨物_LPG),MATCH(AY1134+1,【参考】排出係数!$AI$4:$AI$671,1)-1,5,BE1134),4,FALSE)),IF(AND(BE1134=3,LEFT(BF1134,1)="1"),0.48,VLOOKUP(AU1134,INDEX((係数_乗用_ガソリン,係数_乗用_CNG,係数_乗用_軽油,係数_乗用_メタノール,係数_乗用_LPG),1,1,BE1134):INDEX((係数_乗用_ガソリン,係数_乗用_CNG,係数_乗用_軽油,係数_乗用_メタノール,係数_乗用_LPG),125,5,BE1134),4,FALSE)))))</f>
        <v/>
      </c>
      <c r="AL1134" s="461" t="str">
        <f t="shared" si="653"/>
        <v/>
      </c>
      <c r="AM1134" s="460" t="str">
        <f>IF(AU1134="","",IF(OR(AZ1134=8,AZ1134=9),0,IF(OR(AW1134=3,AW1134=4,AW1134=5,AW1134=6),IF(LEFT(BH1134,1)="1",INDEX(係数_PM低減,MATCH(AY1134,【参考】排出係数!$AI$801:$AI$804,1),MATCH(BI1134,【参考】排出係数!$AL$798:$AO$798,1)),VLOOKUP(AU1134,INDEX((係数_バス貨物_ガソリン,係数_バス貨物_CNG,係数_バス貨物_軽油,係数_バス貨物_メタノール,係数_バス貨物_LPG),MATCH(AY1134,【参考】排出係数!$AI$4:$AI$671,1),1,BE1134):INDEX((係数_バス貨物_ガソリン,係数_バス貨物_CNG,係数_バス貨物_軽油,係数_バス貨物_メタノール,係数_バス貨物_LPG),MATCH(AY1134+1,【参考】排出係数!$AI$4:$AI$671,1)-1,5,BE1134),5,FALSE)),IF(AND(BE1134=3,LEFT(BF1134,1)="1"),0.055,VLOOKUP(AU1134,INDEX((係数_乗用_ガソリン,係数_乗用_CNG,係数_乗用_軽油,係数_乗用_メタノール,係数_乗用_LPG),1,1,BE1134):INDEX((係数_乗用_ガソリン,係数_乗用_CNG,係数_乗用_軽油,係数_乗用_メタノール,係数_乗用_LPG),125,5,BE1134),5,FALSE)))))</f>
        <v/>
      </c>
      <c r="AN1134" s="461" t="str">
        <f t="shared" si="654"/>
        <v/>
      </c>
      <c r="AO1134" s="462" t="str">
        <f t="shared" si="655"/>
        <v/>
      </c>
      <c r="AP1134" s="463" t="str">
        <f t="shared" si="656"/>
        <v/>
      </c>
      <c r="AQ1134" s="464"/>
      <c r="AR1134" s="619"/>
      <c r="AS1134" s="465" t="str">
        <f t="shared" si="626"/>
        <v/>
      </c>
      <c r="AT1134" s="465" t="str">
        <f t="shared" si="627"/>
        <v/>
      </c>
      <c r="AU1134" s="466" t="str">
        <f t="shared" si="628"/>
        <v/>
      </c>
      <c r="AV1134" s="467" t="str">
        <f t="shared" si="629"/>
        <v/>
      </c>
      <c r="AW1134" s="467" t="str">
        <f t="shared" si="630"/>
        <v/>
      </c>
      <c r="AX1134" s="467" t="str">
        <f t="shared" si="631"/>
        <v/>
      </c>
      <c r="AY1134" s="467" t="str">
        <f t="shared" si="632"/>
        <v/>
      </c>
      <c r="AZ1134" s="467" t="str">
        <f t="shared" si="633"/>
        <v/>
      </c>
      <c r="BA1134" s="468" t="str">
        <f>IF(AS1134="","",IF(OR(AU1134="",AU1134="-"),"－",IF(OR(AZ1134=8,AZ1134=9),"",IF(OR(AW1134=3,AW1134=4,AW1134=5,AW1134=6),VLOOKUP(AU1134,INDEX((係数_バス貨物_ガソリン,係数_バス貨物_CNG,係数_バス貨物_軽油,係数_バス貨物_メタノール,係数_バス貨物_LPG),MATCH(AY1134,【参考】排出係数!$AI$4:$AI$671,1),1,BE1134):INDEX((係数_バス貨物_ガソリン,係数_バス貨物_CNG,係数_バス貨物_軽油,係数_バス貨物_メタノール,係数_バス貨物_LPG),MATCH(AY1134+1,【参考】排出係数!$AI$4:$AI$671,1)-1,5,BE1134),2,FALSE),IF(OR(AW1134=1,AW1134=2),VLOOKUP(AU1134,INDEX((係数_乗用_ガソリン,係数_乗用_CNG,係数_乗用_軽油,係数_乗用_メタノール,係数_乗用_LPG),1,1,BE1134):INDEX((係数_乗用_ガソリン,係数_乗用_CNG,係数_乗用_軽油,係数_乗用_メタノール,係数_乗用_LPG),125,5,BE1134),2,FALSE))))))</f>
        <v/>
      </c>
      <c r="BB1134" s="468" t="str">
        <f>IF(T1134="","",IF(OR(AU1134="",AU1134="-"),"－",IF(OR(AZ1134=8,AZ1134=9),"",IF(OR(AW1134=3,AW1134=4,AW1134=5,AW1134=6),VLOOKUP(AU1134,INDEX((係数_バス貨物_ガソリン,係数_バス貨物_CNG,係数_バス貨物_軽油,係数_バス貨物_メタノール,係数_バス貨物_LPG),MATCH(AY1134,【参考】排出係数!$AI$4:$AI$671,1),1,BE1134):INDEX((係数_バス貨物_ガソリン,係数_バス貨物_CNG,係数_バス貨物_軽油,係数_バス貨物_メタノール,係数_バス貨物_LPG),MATCH(AY1134+1,【参考】排出係数!$AI$4:$AI$671,1)-1,5,BE1134),3,FALSE),IF(OR(AW1134=1,AW1134=2),VLOOKUP(AU1134,INDEX((係数_乗用_ガソリン,係数_乗用_CNG,係数_乗用_軽油,係数_乗用_メタノール,係数_乗用_LPG),1,1,BE1134):INDEX((係数_乗用_ガソリン,係数_乗用_CNG,係数_乗用_軽油,係数_乗用_メタノール,係数_乗用_LPG),125,5,BE1134),3,FALSE))))))</f>
        <v/>
      </c>
      <c r="BC1134" s="467" t="str">
        <f t="shared" si="634"/>
        <v/>
      </c>
      <c r="BD1134" s="567" t="str">
        <f t="shared" si="635"/>
        <v/>
      </c>
      <c r="BE1134" s="467" t="str">
        <f t="shared" si="636"/>
        <v/>
      </c>
      <c r="BF1134" s="469" t="str">
        <f t="shared" ca="1" si="637"/>
        <v/>
      </c>
      <c r="BG1134" s="469" t="str">
        <f t="shared" ca="1" si="638"/>
        <v/>
      </c>
      <c r="BH1134" s="467" t="str">
        <f t="shared" si="639"/>
        <v/>
      </c>
      <c r="BI1134" s="467" t="str">
        <f t="shared" ca="1" si="640"/>
        <v/>
      </c>
      <c r="BJ1134" s="469" t="str">
        <f t="shared" si="641"/>
        <v/>
      </c>
      <c r="BK1134" s="470" t="str">
        <f t="shared" si="625"/>
        <v/>
      </c>
      <c r="BL1134" s="775" t="str">
        <f t="shared" si="642"/>
        <v/>
      </c>
      <c r="BM1134" s="775" t="str">
        <f t="shared" si="643"/>
        <v/>
      </c>
    </row>
    <row r="1135" spans="1:65">
      <c r="A1135" s="473">
        <v>1079</v>
      </c>
      <c r="B1135" s="132"/>
      <c r="C1135" s="332"/>
      <c r="D1135" s="333"/>
      <c r="E1135" s="333"/>
      <c r="F1135" s="334"/>
      <c r="G1135" s="337"/>
      <c r="H1135" s="131"/>
      <c r="I1135" s="337"/>
      <c r="J1135" s="131"/>
      <c r="K1135" s="458" t="str">
        <f t="shared" si="644"/>
        <v/>
      </c>
      <c r="L1135" s="458">
        <f t="shared" si="645"/>
        <v>0</v>
      </c>
      <c r="M1135" s="458">
        <f t="shared" si="646"/>
        <v>0</v>
      </c>
      <c r="N1135" s="459" t="str">
        <f t="shared" si="619"/>
        <v/>
      </c>
      <c r="O1135" s="459" t="str">
        <f t="shared" si="620"/>
        <v/>
      </c>
      <c r="P1135" s="459" t="str">
        <f t="shared" si="621"/>
        <v/>
      </c>
      <c r="Q1135" s="459" t="str">
        <f t="shared" si="622"/>
        <v/>
      </c>
      <c r="R1135" s="459" t="str">
        <f t="shared" si="623"/>
        <v/>
      </c>
      <c r="S1135" s="459" t="str">
        <f t="shared" si="624"/>
        <v/>
      </c>
      <c r="T1135" s="566" t="str">
        <f t="shared" si="647"/>
        <v/>
      </c>
      <c r="U1135" s="702"/>
      <c r="V1135" s="132"/>
      <c r="W1135" s="133"/>
      <c r="X1135" s="134"/>
      <c r="Y1135" s="135"/>
      <c r="Z1135" s="137"/>
      <c r="AA1135" s="136"/>
      <c r="AB1135" s="566" t="str">
        <f t="shared" si="648"/>
        <v/>
      </c>
      <c r="AC1135" s="568" t="str">
        <f t="shared" si="649"/>
        <v/>
      </c>
      <c r="AD1135" s="137"/>
      <c r="AE1135" s="137"/>
      <c r="AF1135" s="138"/>
      <c r="AG1135" s="138"/>
      <c r="AH1135" s="592" t="str">
        <f t="shared" si="650"/>
        <v/>
      </c>
      <c r="AI1135" s="592" t="str">
        <f t="shared" si="651"/>
        <v/>
      </c>
      <c r="AJ1135" s="592" t="str">
        <f t="shared" si="652"/>
        <v/>
      </c>
      <c r="AK1135" s="460" t="str">
        <f>IF(AU1135="","",IF(OR(AZ1135=8,AZ1135=9),0,IF(OR(AW1135=3,AW1135=4,AW1135=5,AW1135=6),IF(LEFT(BF1135,1)="1",INDEX(係数_NOX・PM低減,MATCH(AY1135,【参考】排出係数!$AI$801:$AI$804,1),1),VLOOKUP(AU1135,INDEX((係数_バス貨物_ガソリン,係数_バス貨物_CNG,係数_バス貨物_軽油,係数_バス貨物_メタノール,係数_バス貨物_LPG),MATCH(AY1135,【参考】排出係数!$AI$4:$AI$671,1),1,BE1135):INDEX((係数_バス貨物_ガソリン,係数_バス貨物_CNG,係数_バス貨物_軽油,係数_バス貨物_メタノール,係数_バス貨物_LPG),MATCH(AY1135+1,【参考】排出係数!$AI$4:$AI$671,1)-1,5,BE1135),4,FALSE)),IF(AND(BE1135=3,LEFT(BF1135,1)="1"),0.48,VLOOKUP(AU1135,INDEX((係数_乗用_ガソリン,係数_乗用_CNG,係数_乗用_軽油,係数_乗用_メタノール,係数_乗用_LPG),1,1,BE1135):INDEX((係数_乗用_ガソリン,係数_乗用_CNG,係数_乗用_軽油,係数_乗用_メタノール,係数_乗用_LPG),125,5,BE1135),4,FALSE)))))</f>
        <v/>
      </c>
      <c r="AL1135" s="461" t="str">
        <f t="shared" si="653"/>
        <v/>
      </c>
      <c r="AM1135" s="460" t="str">
        <f>IF(AU1135="","",IF(OR(AZ1135=8,AZ1135=9),0,IF(OR(AW1135=3,AW1135=4,AW1135=5,AW1135=6),IF(LEFT(BH1135,1)="1",INDEX(係数_PM低減,MATCH(AY1135,【参考】排出係数!$AI$801:$AI$804,1),MATCH(BI1135,【参考】排出係数!$AL$798:$AO$798,1)),VLOOKUP(AU1135,INDEX((係数_バス貨物_ガソリン,係数_バス貨物_CNG,係数_バス貨物_軽油,係数_バス貨物_メタノール,係数_バス貨物_LPG),MATCH(AY1135,【参考】排出係数!$AI$4:$AI$671,1),1,BE1135):INDEX((係数_バス貨物_ガソリン,係数_バス貨物_CNG,係数_バス貨物_軽油,係数_バス貨物_メタノール,係数_バス貨物_LPG),MATCH(AY1135+1,【参考】排出係数!$AI$4:$AI$671,1)-1,5,BE1135),5,FALSE)),IF(AND(BE1135=3,LEFT(BF1135,1)="1"),0.055,VLOOKUP(AU1135,INDEX((係数_乗用_ガソリン,係数_乗用_CNG,係数_乗用_軽油,係数_乗用_メタノール,係数_乗用_LPG),1,1,BE1135):INDEX((係数_乗用_ガソリン,係数_乗用_CNG,係数_乗用_軽油,係数_乗用_メタノール,係数_乗用_LPG),125,5,BE1135),5,FALSE)))))</f>
        <v/>
      </c>
      <c r="AN1135" s="461" t="str">
        <f t="shared" si="654"/>
        <v/>
      </c>
      <c r="AO1135" s="462" t="str">
        <f t="shared" si="655"/>
        <v/>
      </c>
      <c r="AP1135" s="463" t="str">
        <f t="shared" si="656"/>
        <v/>
      </c>
      <c r="AQ1135" s="464"/>
      <c r="AR1135" s="619"/>
      <c r="AS1135" s="465" t="str">
        <f t="shared" si="626"/>
        <v/>
      </c>
      <c r="AT1135" s="465" t="str">
        <f t="shared" si="627"/>
        <v/>
      </c>
      <c r="AU1135" s="466" t="str">
        <f t="shared" si="628"/>
        <v/>
      </c>
      <c r="AV1135" s="467" t="str">
        <f t="shared" si="629"/>
        <v/>
      </c>
      <c r="AW1135" s="467" t="str">
        <f t="shared" si="630"/>
        <v/>
      </c>
      <c r="AX1135" s="467" t="str">
        <f t="shared" si="631"/>
        <v/>
      </c>
      <c r="AY1135" s="467" t="str">
        <f t="shared" si="632"/>
        <v/>
      </c>
      <c r="AZ1135" s="467" t="str">
        <f t="shared" si="633"/>
        <v/>
      </c>
      <c r="BA1135" s="468" t="str">
        <f>IF(AS1135="","",IF(OR(AU1135="",AU1135="-"),"－",IF(OR(AZ1135=8,AZ1135=9),"",IF(OR(AW1135=3,AW1135=4,AW1135=5,AW1135=6),VLOOKUP(AU1135,INDEX((係数_バス貨物_ガソリン,係数_バス貨物_CNG,係数_バス貨物_軽油,係数_バス貨物_メタノール,係数_バス貨物_LPG),MATCH(AY1135,【参考】排出係数!$AI$4:$AI$671,1),1,BE1135):INDEX((係数_バス貨物_ガソリン,係数_バス貨物_CNG,係数_バス貨物_軽油,係数_バス貨物_メタノール,係数_バス貨物_LPG),MATCH(AY1135+1,【参考】排出係数!$AI$4:$AI$671,1)-1,5,BE1135),2,FALSE),IF(OR(AW1135=1,AW1135=2),VLOOKUP(AU1135,INDEX((係数_乗用_ガソリン,係数_乗用_CNG,係数_乗用_軽油,係数_乗用_メタノール,係数_乗用_LPG),1,1,BE1135):INDEX((係数_乗用_ガソリン,係数_乗用_CNG,係数_乗用_軽油,係数_乗用_メタノール,係数_乗用_LPG),125,5,BE1135),2,FALSE))))))</f>
        <v/>
      </c>
      <c r="BB1135" s="468" t="str">
        <f>IF(T1135="","",IF(OR(AU1135="",AU1135="-"),"－",IF(OR(AZ1135=8,AZ1135=9),"",IF(OR(AW1135=3,AW1135=4,AW1135=5,AW1135=6),VLOOKUP(AU1135,INDEX((係数_バス貨物_ガソリン,係数_バス貨物_CNG,係数_バス貨物_軽油,係数_バス貨物_メタノール,係数_バス貨物_LPG),MATCH(AY1135,【参考】排出係数!$AI$4:$AI$671,1),1,BE1135):INDEX((係数_バス貨物_ガソリン,係数_バス貨物_CNG,係数_バス貨物_軽油,係数_バス貨物_メタノール,係数_バス貨物_LPG),MATCH(AY1135+1,【参考】排出係数!$AI$4:$AI$671,1)-1,5,BE1135),3,FALSE),IF(OR(AW1135=1,AW1135=2),VLOOKUP(AU1135,INDEX((係数_乗用_ガソリン,係数_乗用_CNG,係数_乗用_軽油,係数_乗用_メタノール,係数_乗用_LPG),1,1,BE1135):INDEX((係数_乗用_ガソリン,係数_乗用_CNG,係数_乗用_軽油,係数_乗用_メタノール,係数_乗用_LPG),125,5,BE1135),3,FALSE))))))</f>
        <v/>
      </c>
      <c r="BC1135" s="467" t="str">
        <f t="shared" si="634"/>
        <v/>
      </c>
      <c r="BD1135" s="567" t="str">
        <f t="shared" si="635"/>
        <v/>
      </c>
      <c r="BE1135" s="467" t="str">
        <f t="shared" si="636"/>
        <v/>
      </c>
      <c r="BF1135" s="469" t="str">
        <f t="shared" ca="1" si="637"/>
        <v/>
      </c>
      <c r="BG1135" s="469" t="str">
        <f t="shared" ca="1" si="638"/>
        <v/>
      </c>
      <c r="BH1135" s="467" t="str">
        <f t="shared" si="639"/>
        <v/>
      </c>
      <c r="BI1135" s="467" t="str">
        <f t="shared" ca="1" si="640"/>
        <v/>
      </c>
      <c r="BJ1135" s="469" t="str">
        <f t="shared" si="641"/>
        <v/>
      </c>
      <c r="BK1135" s="470" t="str">
        <f t="shared" si="625"/>
        <v/>
      </c>
      <c r="BL1135" s="775" t="str">
        <f t="shared" si="642"/>
        <v/>
      </c>
      <c r="BM1135" s="775" t="str">
        <f t="shared" si="643"/>
        <v/>
      </c>
    </row>
    <row r="1136" spans="1:65">
      <c r="A1136" s="473">
        <v>1080</v>
      </c>
      <c r="B1136" s="132"/>
      <c r="C1136" s="332"/>
      <c r="D1136" s="333"/>
      <c r="E1136" s="333"/>
      <c r="F1136" s="334"/>
      <c r="G1136" s="337"/>
      <c r="H1136" s="131"/>
      <c r="I1136" s="337"/>
      <c r="J1136" s="131"/>
      <c r="K1136" s="458" t="str">
        <f t="shared" si="644"/>
        <v/>
      </c>
      <c r="L1136" s="458">
        <f t="shared" si="645"/>
        <v>0</v>
      </c>
      <c r="M1136" s="458">
        <f t="shared" si="646"/>
        <v>0</v>
      </c>
      <c r="N1136" s="459" t="str">
        <f t="shared" si="619"/>
        <v/>
      </c>
      <c r="O1136" s="459" t="str">
        <f t="shared" si="620"/>
        <v/>
      </c>
      <c r="P1136" s="459" t="str">
        <f t="shared" si="621"/>
        <v/>
      </c>
      <c r="Q1136" s="459" t="str">
        <f t="shared" si="622"/>
        <v/>
      </c>
      <c r="R1136" s="459" t="str">
        <f t="shared" si="623"/>
        <v/>
      </c>
      <c r="S1136" s="459" t="str">
        <f t="shared" si="624"/>
        <v/>
      </c>
      <c r="T1136" s="566" t="str">
        <f t="shared" si="647"/>
        <v/>
      </c>
      <c r="U1136" s="702"/>
      <c r="V1136" s="132"/>
      <c r="W1136" s="133"/>
      <c r="X1136" s="134"/>
      <c r="Y1136" s="135"/>
      <c r="Z1136" s="137"/>
      <c r="AA1136" s="136"/>
      <c r="AB1136" s="566" t="str">
        <f t="shared" si="648"/>
        <v/>
      </c>
      <c r="AC1136" s="568" t="str">
        <f t="shared" si="649"/>
        <v/>
      </c>
      <c r="AD1136" s="137"/>
      <c r="AE1136" s="137"/>
      <c r="AF1136" s="138"/>
      <c r="AG1136" s="138"/>
      <c r="AH1136" s="592" t="str">
        <f t="shared" si="650"/>
        <v/>
      </c>
      <c r="AI1136" s="592" t="str">
        <f t="shared" si="651"/>
        <v/>
      </c>
      <c r="AJ1136" s="592" t="str">
        <f t="shared" si="652"/>
        <v/>
      </c>
      <c r="AK1136" s="460" t="str">
        <f>IF(AU1136="","",IF(OR(AZ1136=8,AZ1136=9),0,IF(OR(AW1136=3,AW1136=4,AW1136=5,AW1136=6),IF(LEFT(BF1136,1)="1",INDEX(係数_NOX・PM低減,MATCH(AY1136,【参考】排出係数!$AI$801:$AI$804,1),1),VLOOKUP(AU1136,INDEX((係数_バス貨物_ガソリン,係数_バス貨物_CNG,係数_バス貨物_軽油,係数_バス貨物_メタノール,係数_バス貨物_LPG),MATCH(AY1136,【参考】排出係数!$AI$4:$AI$671,1),1,BE1136):INDEX((係数_バス貨物_ガソリン,係数_バス貨物_CNG,係数_バス貨物_軽油,係数_バス貨物_メタノール,係数_バス貨物_LPG),MATCH(AY1136+1,【参考】排出係数!$AI$4:$AI$671,1)-1,5,BE1136),4,FALSE)),IF(AND(BE1136=3,LEFT(BF1136,1)="1"),0.48,VLOOKUP(AU1136,INDEX((係数_乗用_ガソリン,係数_乗用_CNG,係数_乗用_軽油,係数_乗用_メタノール,係数_乗用_LPG),1,1,BE1136):INDEX((係数_乗用_ガソリン,係数_乗用_CNG,係数_乗用_軽油,係数_乗用_メタノール,係数_乗用_LPG),125,5,BE1136),4,FALSE)))))</f>
        <v/>
      </c>
      <c r="AL1136" s="461" t="str">
        <f t="shared" si="653"/>
        <v/>
      </c>
      <c r="AM1136" s="460" t="str">
        <f>IF(AU1136="","",IF(OR(AZ1136=8,AZ1136=9),0,IF(OR(AW1136=3,AW1136=4,AW1136=5,AW1136=6),IF(LEFT(BH1136,1)="1",INDEX(係数_PM低減,MATCH(AY1136,【参考】排出係数!$AI$801:$AI$804,1),MATCH(BI1136,【参考】排出係数!$AL$798:$AO$798,1)),VLOOKUP(AU1136,INDEX((係数_バス貨物_ガソリン,係数_バス貨物_CNG,係数_バス貨物_軽油,係数_バス貨物_メタノール,係数_バス貨物_LPG),MATCH(AY1136,【参考】排出係数!$AI$4:$AI$671,1),1,BE1136):INDEX((係数_バス貨物_ガソリン,係数_バス貨物_CNG,係数_バス貨物_軽油,係数_バス貨物_メタノール,係数_バス貨物_LPG),MATCH(AY1136+1,【参考】排出係数!$AI$4:$AI$671,1)-1,5,BE1136),5,FALSE)),IF(AND(BE1136=3,LEFT(BF1136,1)="1"),0.055,VLOOKUP(AU1136,INDEX((係数_乗用_ガソリン,係数_乗用_CNG,係数_乗用_軽油,係数_乗用_メタノール,係数_乗用_LPG),1,1,BE1136):INDEX((係数_乗用_ガソリン,係数_乗用_CNG,係数_乗用_軽油,係数_乗用_メタノール,係数_乗用_LPG),125,5,BE1136),5,FALSE)))))</f>
        <v/>
      </c>
      <c r="AN1136" s="461" t="str">
        <f t="shared" si="654"/>
        <v/>
      </c>
      <c r="AO1136" s="462" t="str">
        <f t="shared" si="655"/>
        <v/>
      </c>
      <c r="AP1136" s="463" t="str">
        <f t="shared" si="656"/>
        <v/>
      </c>
      <c r="AQ1136" s="464"/>
      <c r="AR1136" s="619"/>
      <c r="AS1136" s="465" t="str">
        <f t="shared" si="626"/>
        <v/>
      </c>
      <c r="AT1136" s="465" t="str">
        <f t="shared" si="627"/>
        <v/>
      </c>
      <c r="AU1136" s="466" t="str">
        <f t="shared" si="628"/>
        <v/>
      </c>
      <c r="AV1136" s="467" t="str">
        <f t="shared" si="629"/>
        <v/>
      </c>
      <c r="AW1136" s="467" t="str">
        <f t="shared" si="630"/>
        <v/>
      </c>
      <c r="AX1136" s="467" t="str">
        <f t="shared" si="631"/>
        <v/>
      </c>
      <c r="AY1136" s="467" t="str">
        <f t="shared" si="632"/>
        <v/>
      </c>
      <c r="AZ1136" s="467" t="str">
        <f t="shared" si="633"/>
        <v/>
      </c>
      <c r="BA1136" s="468" t="str">
        <f>IF(AS1136="","",IF(OR(AU1136="",AU1136="-"),"－",IF(OR(AZ1136=8,AZ1136=9),"",IF(OR(AW1136=3,AW1136=4,AW1136=5,AW1136=6),VLOOKUP(AU1136,INDEX((係数_バス貨物_ガソリン,係数_バス貨物_CNG,係数_バス貨物_軽油,係数_バス貨物_メタノール,係数_バス貨物_LPG),MATCH(AY1136,【参考】排出係数!$AI$4:$AI$671,1),1,BE1136):INDEX((係数_バス貨物_ガソリン,係数_バス貨物_CNG,係数_バス貨物_軽油,係数_バス貨物_メタノール,係数_バス貨物_LPG),MATCH(AY1136+1,【参考】排出係数!$AI$4:$AI$671,1)-1,5,BE1136),2,FALSE),IF(OR(AW1136=1,AW1136=2),VLOOKUP(AU1136,INDEX((係数_乗用_ガソリン,係数_乗用_CNG,係数_乗用_軽油,係数_乗用_メタノール,係数_乗用_LPG),1,1,BE1136):INDEX((係数_乗用_ガソリン,係数_乗用_CNG,係数_乗用_軽油,係数_乗用_メタノール,係数_乗用_LPG),125,5,BE1136),2,FALSE))))))</f>
        <v/>
      </c>
      <c r="BB1136" s="468" t="str">
        <f>IF(T1136="","",IF(OR(AU1136="",AU1136="-"),"－",IF(OR(AZ1136=8,AZ1136=9),"",IF(OR(AW1136=3,AW1136=4,AW1136=5,AW1136=6),VLOOKUP(AU1136,INDEX((係数_バス貨物_ガソリン,係数_バス貨物_CNG,係数_バス貨物_軽油,係数_バス貨物_メタノール,係数_バス貨物_LPG),MATCH(AY1136,【参考】排出係数!$AI$4:$AI$671,1),1,BE1136):INDEX((係数_バス貨物_ガソリン,係数_バス貨物_CNG,係数_バス貨物_軽油,係数_バス貨物_メタノール,係数_バス貨物_LPG),MATCH(AY1136+1,【参考】排出係数!$AI$4:$AI$671,1)-1,5,BE1136),3,FALSE),IF(OR(AW1136=1,AW1136=2),VLOOKUP(AU1136,INDEX((係数_乗用_ガソリン,係数_乗用_CNG,係数_乗用_軽油,係数_乗用_メタノール,係数_乗用_LPG),1,1,BE1136):INDEX((係数_乗用_ガソリン,係数_乗用_CNG,係数_乗用_軽油,係数_乗用_メタノール,係数_乗用_LPG),125,5,BE1136),3,FALSE))))))</f>
        <v/>
      </c>
      <c r="BC1136" s="467" t="str">
        <f t="shared" si="634"/>
        <v/>
      </c>
      <c r="BD1136" s="567" t="str">
        <f t="shared" si="635"/>
        <v/>
      </c>
      <c r="BE1136" s="467" t="str">
        <f t="shared" si="636"/>
        <v/>
      </c>
      <c r="BF1136" s="469" t="str">
        <f t="shared" ca="1" si="637"/>
        <v/>
      </c>
      <c r="BG1136" s="469" t="str">
        <f t="shared" ca="1" si="638"/>
        <v/>
      </c>
      <c r="BH1136" s="467" t="str">
        <f t="shared" si="639"/>
        <v/>
      </c>
      <c r="BI1136" s="467" t="str">
        <f t="shared" ca="1" si="640"/>
        <v/>
      </c>
      <c r="BJ1136" s="469" t="str">
        <f t="shared" si="641"/>
        <v/>
      </c>
      <c r="BK1136" s="470" t="str">
        <f t="shared" si="625"/>
        <v/>
      </c>
      <c r="BL1136" s="775" t="str">
        <f t="shared" si="642"/>
        <v/>
      </c>
      <c r="BM1136" s="775" t="str">
        <f t="shared" si="643"/>
        <v/>
      </c>
    </row>
    <row r="1137" spans="1:65">
      <c r="A1137" s="473">
        <v>1081</v>
      </c>
      <c r="B1137" s="132"/>
      <c r="C1137" s="332"/>
      <c r="D1137" s="333"/>
      <c r="E1137" s="333"/>
      <c r="F1137" s="334"/>
      <c r="G1137" s="337"/>
      <c r="H1137" s="131"/>
      <c r="I1137" s="337"/>
      <c r="J1137" s="131"/>
      <c r="K1137" s="458" t="str">
        <f t="shared" si="644"/>
        <v/>
      </c>
      <c r="L1137" s="458">
        <f t="shared" si="645"/>
        <v>0</v>
      </c>
      <c r="M1137" s="458">
        <f t="shared" si="646"/>
        <v>0</v>
      </c>
      <c r="N1137" s="459" t="str">
        <f t="shared" si="619"/>
        <v/>
      </c>
      <c r="O1137" s="459" t="str">
        <f t="shared" si="620"/>
        <v/>
      </c>
      <c r="P1137" s="459" t="str">
        <f t="shared" si="621"/>
        <v/>
      </c>
      <c r="Q1137" s="459" t="str">
        <f t="shared" si="622"/>
        <v/>
      </c>
      <c r="R1137" s="459" t="str">
        <f t="shared" si="623"/>
        <v/>
      </c>
      <c r="S1137" s="459" t="str">
        <f t="shared" si="624"/>
        <v/>
      </c>
      <c r="T1137" s="566" t="str">
        <f t="shared" si="647"/>
        <v/>
      </c>
      <c r="U1137" s="702"/>
      <c r="V1137" s="132"/>
      <c r="W1137" s="133"/>
      <c r="X1137" s="134"/>
      <c r="Y1137" s="135"/>
      <c r="Z1137" s="137"/>
      <c r="AA1137" s="136"/>
      <c r="AB1137" s="566" t="str">
        <f t="shared" si="648"/>
        <v/>
      </c>
      <c r="AC1137" s="568" t="str">
        <f t="shared" si="649"/>
        <v/>
      </c>
      <c r="AD1137" s="137"/>
      <c r="AE1137" s="137"/>
      <c r="AF1137" s="138"/>
      <c r="AG1137" s="138"/>
      <c r="AH1137" s="592" t="str">
        <f t="shared" si="650"/>
        <v/>
      </c>
      <c r="AI1137" s="592" t="str">
        <f t="shared" si="651"/>
        <v/>
      </c>
      <c r="AJ1137" s="592" t="str">
        <f t="shared" si="652"/>
        <v/>
      </c>
      <c r="AK1137" s="460" t="str">
        <f>IF(AU1137="","",IF(OR(AZ1137=8,AZ1137=9),0,IF(OR(AW1137=3,AW1137=4,AW1137=5,AW1137=6),IF(LEFT(BF1137,1)="1",INDEX(係数_NOX・PM低減,MATCH(AY1137,【参考】排出係数!$AI$801:$AI$804,1),1),VLOOKUP(AU1137,INDEX((係数_バス貨物_ガソリン,係数_バス貨物_CNG,係数_バス貨物_軽油,係数_バス貨物_メタノール,係数_バス貨物_LPG),MATCH(AY1137,【参考】排出係数!$AI$4:$AI$671,1),1,BE1137):INDEX((係数_バス貨物_ガソリン,係数_バス貨物_CNG,係数_バス貨物_軽油,係数_バス貨物_メタノール,係数_バス貨物_LPG),MATCH(AY1137+1,【参考】排出係数!$AI$4:$AI$671,1)-1,5,BE1137),4,FALSE)),IF(AND(BE1137=3,LEFT(BF1137,1)="1"),0.48,VLOOKUP(AU1137,INDEX((係数_乗用_ガソリン,係数_乗用_CNG,係数_乗用_軽油,係数_乗用_メタノール,係数_乗用_LPG),1,1,BE1137):INDEX((係数_乗用_ガソリン,係数_乗用_CNG,係数_乗用_軽油,係数_乗用_メタノール,係数_乗用_LPG),125,5,BE1137),4,FALSE)))))</f>
        <v/>
      </c>
      <c r="AL1137" s="461" t="str">
        <f t="shared" si="653"/>
        <v/>
      </c>
      <c r="AM1137" s="460" t="str">
        <f>IF(AU1137="","",IF(OR(AZ1137=8,AZ1137=9),0,IF(OR(AW1137=3,AW1137=4,AW1137=5,AW1137=6),IF(LEFT(BH1137,1)="1",INDEX(係数_PM低減,MATCH(AY1137,【参考】排出係数!$AI$801:$AI$804,1),MATCH(BI1137,【参考】排出係数!$AL$798:$AO$798,1)),VLOOKUP(AU1137,INDEX((係数_バス貨物_ガソリン,係数_バス貨物_CNG,係数_バス貨物_軽油,係数_バス貨物_メタノール,係数_バス貨物_LPG),MATCH(AY1137,【参考】排出係数!$AI$4:$AI$671,1),1,BE1137):INDEX((係数_バス貨物_ガソリン,係数_バス貨物_CNG,係数_バス貨物_軽油,係数_バス貨物_メタノール,係数_バス貨物_LPG),MATCH(AY1137+1,【参考】排出係数!$AI$4:$AI$671,1)-1,5,BE1137),5,FALSE)),IF(AND(BE1137=3,LEFT(BF1137,1)="1"),0.055,VLOOKUP(AU1137,INDEX((係数_乗用_ガソリン,係数_乗用_CNG,係数_乗用_軽油,係数_乗用_メタノール,係数_乗用_LPG),1,1,BE1137):INDEX((係数_乗用_ガソリン,係数_乗用_CNG,係数_乗用_軽油,係数_乗用_メタノール,係数_乗用_LPG),125,5,BE1137),5,FALSE)))))</f>
        <v/>
      </c>
      <c r="AN1137" s="461" t="str">
        <f t="shared" si="654"/>
        <v/>
      </c>
      <c r="AO1137" s="462" t="str">
        <f t="shared" si="655"/>
        <v/>
      </c>
      <c r="AP1137" s="463" t="str">
        <f t="shared" si="656"/>
        <v/>
      </c>
      <c r="AQ1137" s="464"/>
      <c r="AR1137" s="619"/>
      <c r="AS1137" s="465" t="str">
        <f t="shared" si="626"/>
        <v/>
      </c>
      <c r="AT1137" s="465" t="str">
        <f t="shared" si="627"/>
        <v/>
      </c>
      <c r="AU1137" s="466" t="str">
        <f t="shared" si="628"/>
        <v/>
      </c>
      <c r="AV1137" s="467" t="str">
        <f t="shared" si="629"/>
        <v/>
      </c>
      <c r="AW1137" s="467" t="str">
        <f t="shared" si="630"/>
        <v/>
      </c>
      <c r="AX1137" s="467" t="str">
        <f t="shared" si="631"/>
        <v/>
      </c>
      <c r="AY1137" s="467" t="str">
        <f t="shared" si="632"/>
        <v/>
      </c>
      <c r="AZ1137" s="467" t="str">
        <f t="shared" si="633"/>
        <v/>
      </c>
      <c r="BA1137" s="468" t="str">
        <f>IF(AS1137="","",IF(OR(AU1137="",AU1137="-"),"－",IF(OR(AZ1137=8,AZ1137=9),"",IF(OR(AW1137=3,AW1137=4,AW1137=5,AW1137=6),VLOOKUP(AU1137,INDEX((係数_バス貨物_ガソリン,係数_バス貨物_CNG,係数_バス貨物_軽油,係数_バス貨物_メタノール,係数_バス貨物_LPG),MATCH(AY1137,【参考】排出係数!$AI$4:$AI$671,1),1,BE1137):INDEX((係数_バス貨物_ガソリン,係数_バス貨物_CNG,係数_バス貨物_軽油,係数_バス貨物_メタノール,係数_バス貨物_LPG),MATCH(AY1137+1,【参考】排出係数!$AI$4:$AI$671,1)-1,5,BE1137),2,FALSE),IF(OR(AW1137=1,AW1137=2),VLOOKUP(AU1137,INDEX((係数_乗用_ガソリン,係数_乗用_CNG,係数_乗用_軽油,係数_乗用_メタノール,係数_乗用_LPG),1,1,BE1137):INDEX((係数_乗用_ガソリン,係数_乗用_CNG,係数_乗用_軽油,係数_乗用_メタノール,係数_乗用_LPG),125,5,BE1137),2,FALSE))))))</f>
        <v/>
      </c>
      <c r="BB1137" s="468" t="str">
        <f>IF(T1137="","",IF(OR(AU1137="",AU1137="-"),"－",IF(OR(AZ1137=8,AZ1137=9),"",IF(OR(AW1137=3,AW1137=4,AW1137=5,AW1137=6),VLOOKUP(AU1137,INDEX((係数_バス貨物_ガソリン,係数_バス貨物_CNG,係数_バス貨物_軽油,係数_バス貨物_メタノール,係数_バス貨物_LPG),MATCH(AY1137,【参考】排出係数!$AI$4:$AI$671,1),1,BE1137):INDEX((係数_バス貨物_ガソリン,係数_バス貨物_CNG,係数_バス貨物_軽油,係数_バス貨物_メタノール,係数_バス貨物_LPG),MATCH(AY1137+1,【参考】排出係数!$AI$4:$AI$671,1)-1,5,BE1137),3,FALSE),IF(OR(AW1137=1,AW1137=2),VLOOKUP(AU1137,INDEX((係数_乗用_ガソリン,係数_乗用_CNG,係数_乗用_軽油,係数_乗用_メタノール,係数_乗用_LPG),1,1,BE1137):INDEX((係数_乗用_ガソリン,係数_乗用_CNG,係数_乗用_軽油,係数_乗用_メタノール,係数_乗用_LPG),125,5,BE1137),3,FALSE))))))</f>
        <v/>
      </c>
      <c r="BC1137" s="467" t="str">
        <f t="shared" si="634"/>
        <v/>
      </c>
      <c r="BD1137" s="567" t="str">
        <f t="shared" si="635"/>
        <v/>
      </c>
      <c r="BE1137" s="467" t="str">
        <f t="shared" si="636"/>
        <v/>
      </c>
      <c r="BF1137" s="469" t="str">
        <f t="shared" ca="1" si="637"/>
        <v/>
      </c>
      <c r="BG1137" s="469" t="str">
        <f t="shared" ca="1" si="638"/>
        <v/>
      </c>
      <c r="BH1137" s="467" t="str">
        <f t="shared" si="639"/>
        <v/>
      </c>
      <c r="BI1137" s="467" t="str">
        <f t="shared" ca="1" si="640"/>
        <v/>
      </c>
      <c r="BJ1137" s="469" t="str">
        <f t="shared" si="641"/>
        <v/>
      </c>
      <c r="BK1137" s="470" t="str">
        <f t="shared" si="625"/>
        <v/>
      </c>
      <c r="BL1137" s="775" t="str">
        <f t="shared" si="642"/>
        <v/>
      </c>
      <c r="BM1137" s="775" t="str">
        <f t="shared" si="643"/>
        <v/>
      </c>
    </row>
    <row r="1138" spans="1:65">
      <c r="A1138" s="473">
        <v>1082</v>
      </c>
      <c r="B1138" s="132"/>
      <c r="C1138" s="332"/>
      <c r="D1138" s="333"/>
      <c r="E1138" s="333"/>
      <c r="F1138" s="334"/>
      <c r="G1138" s="337"/>
      <c r="H1138" s="131"/>
      <c r="I1138" s="337"/>
      <c r="J1138" s="131"/>
      <c r="K1138" s="458" t="str">
        <f t="shared" si="644"/>
        <v/>
      </c>
      <c r="L1138" s="458">
        <f t="shared" si="645"/>
        <v>0</v>
      </c>
      <c r="M1138" s="458">
        <f t="shared" si="646"/>
        <v>0</v>
      </c>
      <c r="N1138" s="459" t="str">
        <f t="shared" si="619"/>
        <v/>
      </c>
      <c r="O1138" s="459" t="str">
        <f t="shared" si="620"/>
        <v/>
      </c>
      <c r="P1138" s="459" t="str">
        <f t="shared" si="621"/>
        <v/>
      </c>
      <c r="Q1138" s="459" t="str">
        <f t="shared" si="622"/>
        <v/>
      </c>
      <c r="R1138" s="459" t="str">
        <f t="shared" si="623"/>
        <v/>
      </c>
      <c r="S1138" s="459" t="str">
        <f t="shared" si="624"/>
        <v/>
      </c>
      <c r="T1138" s="566" t="str">
        <f t="shared" si="647"/>
        <v/>
      </c>
      <c r="U1138" s="702"/>
      <c r="V1138" s="132"/>
      <c r="W1138" s="133"/>
      <c r="X1138" s="134"/>
      <c r="Y1138" s="135"/>
      <c r="Z1138" s="137"/>
      <c r="AA1138" s="136"/>
      <c r="AB1138" s="566" t="str">
        <f t="shared" si="648"/>
        <v/>
      </c>
      <c r="AC1138" s="568" t="str">
        <f t="shared" si="649"/>
        <v/>
      </c>
      <c r="AD1138" s="137"/>
      <c r="AE1138" s="137"/>
      <c r="AF1138" s="138"/>
      <c r="AG1138" s="138"/>
      <c r="AH1138" s="592" t="str">
        <f t="shared" si="650"/>
        <v/>
      </c>
      <c r="AI1138" s="592" t="str">
        <f t="shared" si="651"/>
        <v/>
      </c>
      <c r="AJ1138" s="592" t="str">
        <f t="shared" si="652"/>
        <v/>
      </c>
      <c r="AK1138" s="460" t="str">
        <f>IF(AU1138="","",IF(OR(AZ1138=8,AZ1138=9),0,IF(OR(AW1138=3,AW1138=4,AW1138=5,AW1138=6),IF(LEFT(BF1138,1)="1",INDEX(係数_NOX・PM低減,MATCH(AY1138,【参考】排出係数!$AI$801:$AI$804,1),1),VLOOKUP(AU1138,INDEX((係数_バス貨物_ガソリン,係数_バス貨物_CNG,係数_バス貨物_軽油,係数_バス貨物_メタノール,係数_バス貨物_LPG),MATCH(AY1138,【参考】排出係数!$AI$4:$AI$671,1),1,BE1138):INDEX((係数_バス貨物_ガソリン,係数_バス貨物_CNG,係数_バス貨物_軽油,係数_バス貨物_メタノール,係数_バス貨物_LPG),MATCH(AY1138+1,【参考】排出係数!$AI$4:$AI$671,1)-1,5,BE1138),4,FALSE)),IF(AND(BE1138=3,LEFT(BF1138,1)="1"),0.48,VLOOKUP(AU1138,INDEX((係数_乗用_ガソリン,係数_乗用_CNG,係数_乗用_軽油,係数_乗用_メタノール,係数_乗用_LPG),1,1,BE1138):INDEX((係数_乗用_ガソリン,係数_乗用_CNG,係数_乗用_軽油,係数_乗用_メタノール,係数_乗用_LPG),125,5,BE1138),4,FALSE)))))</f>
        <v/>
      </c>
      <c r="AL1138" s="461" t="str">
        <f t="shared" si="653"/>
        <v/>
      </c>
      <c r="AM1138" s="460" t="str">
        <f>IF(AU1138="","",IF(OR(AZ1138=8,AZ1138=9),0,IF(OR(AW1138=3,AW1138=4,AW1138=5,AW1138=6),IF(LEFT(BH1138,1)="1",INDEX(係数_PM低減,MATCH(AY1138,【参考】排出係数!$AI$801:$AI$804,1),MATCH(BI1138,【参考】排出係数!$AL$798:$AO$798,1)),VLOOKUP(AU1138,INDEX((係数_バス貨物_ガソリン,係数_バス貨物_CNG,係数_バス貨物_軽油,係数_バス貨物_メタノール,係数_バス貨物_LPG),MATCH(AY1138,【参考】排出係数!$AI$4:$AI$671,1),1,BE1138):INDEX((係数_バス貨物_ガソリン,係数_バス貨物_CNG,係数_バス貨物_軽油,係数_バス貨物_メタノール,係数_バス貨物_LPG),MATCH(AY1138+1,【参考】排出係数!$AI$4:$AI$671,1)-1,5,BE1138),5,FALSE)),IF(AND(BE1138=3,LEFT(BF1138,1)="1"),0.055,VLOOKUP(AU1138,INDEX((係数_乗用_ガソリン,係数_乗用_CNG,係数_乗用_軽油,係数_乗用_メタノール,係数_乗用_LPG),1,1,BE1138):INDEX((係数_乗用_ガソリン,係数_乗用_CNG,係数_乗用_軽油,係数_乗用_メタノール,係数_乗用_LPG),125,5,BE1138),5,FALSE)))))</f>
        <v/>
      </c>
      <c r="AN1138" s="461" t="str">
        <f t="shared" si="654"/>
        <v/>
      </c>
      <c r="AO1138" s="462" t="str">
        <f t="shared" si="655"/>
        <v/>
      </c>
      <c r="AP1138" s="463" t="str">
        <f t="shared" si="656"/>
        <v/>
      </c>
      <c r="AQ1138" s="464"/>
      <c r="AR1138" s="619"/>
      <c r="AS1138" s="465" t="str">
        <f t="shared" si="626"/>
        <v/>
      </c>
      <c r="AT1138" s="465" t="str">
        <f t="shared" si="627"/>
        <v/>
      </c>
      <c r="AU1138" s="466" t="str">
        <f t="shared" si="628"/>
        <v/>
      </c>
      <c r="AV1138" s="467" t="str">
        <f t="shared" si="629"/>
        <v/>
      </c>
      <c r="AW1138" s="467" t="str">
        <f t="shared" si="630"/>
        <v/>
      </c>
      <c r="AX1138" s="467" t="str">
        <f t="shared" si="631"/>
        <v/>
      </c>
      <c r="AY1138" s="467" t="str">
        <f t="shared" si="632"/>
        <v/>
      </c>
      <c r="AZ1138" s="467" t="str">
        <f t="shared" si="633"/>
        <v/>
      </c>
      <c r="BA1138" s="468" t="str">
        <f>IF(AS1138="","",IF(OR(AU1138="",AU1138="-"),"－",IF(OR(AZ1138=8,AZ1138=9),"",IF(OR(AW1138=3,AW1138=4,AW1138=5,AW1138=6),VLOOKUP(AU1138,INDEX((係数_バス貨物_ガソリン,係数_バス貨物_CNG,係数_バス貨物_軽油,係数_バス貨物_メタノール,係数_バス貨物_LPG),MATCH(AY1138,【参考】排出係数!$AI$4:$AI$671,1),1,BE1138):INDEX((係数_バス貨物_ガソリン,係数_バス貨物_CNG,係数_バス貨物_軽油,係数_バス貨物_メタノール,係数_バス貨物_LPG),MATCH(AY1138+1,【参考】排出係数!$AI$4:$AI$671,1)-1,5,BE1138),2,FALSE),IF(OR(AW1138=1,AW1138=2),VLOOKUP(AU1138,INDEX((係数_乗用_ガソリン,係数_乗用_CNG,係数_乗用_軽油,係数_乗用_メタノール,係数_乗用_LPG),1,1,BE1138):INDEX((係数_乗用_ガソリン,係数_乗用_CNG,係数_乗用_軽油,係数_乗用_メタノール,係数_乗用_LPG),125,5,BE1138),2,FALSE))))))</f>
        <v/>
      </c>
      <c r="BB1138" s="468" t="str">
        <f>IF(T1138="","",IF(OR(AU1138="",AU1138="-"),"－",IF(OR(AZ1138=8,AZ1138=9),"",IF(OR(AW1138=3,AW1138=4,AW1138=5,AW1138=6),VLOOKUP(AU1138,INDEX((係数_バス貨物_ガソリン,係数_バス貨物_CNG,係数_バス貨物_軽油,係数_バス貨物_メタノール,係数_バス貨物_LPG),MATCH(AY1138,【参考】排出係数!$AI$4:$AI$671,1),1,BE1138):INDEX((係数_バス貨物_ガソリン,係数_バス貨物_CNG,係数_バス貨物_軽油,係数_バス貨物_メタノール,係数_バス貨物_LPG),MATCH(AY1138+1,【参考】排出係数!$AI$4:$AI$671,1)-1,5,BE1138),3,FALSE),IF(OR(AW1138=1,AW1138=2),VLOOKUP(AU1138,INDEX((係数_乗用_ガソリン,係数_乗用_CNG,係数_乗用_軽油,係数_乗用_メタノール,係数_乗用_LPG),1,1,BE1138):INDEX((係数_乗用_ガソリン,係数_乗用_CNG,係数_乗用_軽油,係数_乗用_メタノール,係数_乗用_LPG),125,5,BE1138),3,FALSE))))))</f>
        <v/>
      </c>
      <c r="BC1138" s="467" t="str">
        <f t="shared" si="634"/>
        <v/>
      </c>
      <c r="BD1138" s="567" t="str">
        <f t="shared" si="635"/>
        <v/>
      </c>
      <c r="BE1138" s="467" t="str">
        <f t="shared" si="636"/>
        <v/>
      </c>
      <c r="BF1138" s="469" t="str">
        <f t="shared" ca="1" si="637"/>
        <v/>
      </c>
      <c r="BG1138" s="469" t="str">
        <f t="shared" ca="1" si="638"/>
        <v/>
      </c>
      <c r="BH1138" s="467" t="str">
        <f t="shared" si="639"/>
        <v/>
      </c>
      <c r="BI1138" s="467" t="str">
        <f t="shared" ca="1" si="640"/>
        <v/>
      </c>
      <c r="BJ1138" s="469" t="str">
        <f t="shared" si="641"/>
        <v/>
      </c>
      <c r="BK1138" s="470" t="str">
        <f t="shared" si="625"/>
        <v/>
      </c>
      <c r="BL1138" s="775" t="str">
        <f t="shared" si="642"/>
        <v/>
      </c>
      <c r="BM1138" s="775" t="str">
        <f t="shared" si="643"/>
        <v/>
      </c>
    </row>
    <row r="1139" spans="1:65">
      <c r="A1139" s="473">
        <v>1083</v>
      </c>
      <c r="B1139" s="132"/>
      <c r="C1139" s="332"/>
      <c r="D1139" s="333"/>
      <c r="E1139" s="333"/>
      <c r="F1139" s="334"/>
      <c r="G1139" s="337"/>
      <c r="H1139" s="131"/>
      <c r="I1139" s="337"/>
      <c r="J1139" s="131"/>
      <c r="K1139" s="458" t="str">
        <f t="shared" si="644"/>
        <v/>
      </c>
      <c r="L1139" s="458">
        <f t="shared" si="645"/>
        <v>0</v>
      </c>
      <c r="M1139" s="458">
        <f t="shared" si="646"/>
        <v>0</v>
      </c>
      <c r="N1139" s="459" t="str">
        <f t="shared" si="619"/>
        <v/>
      </c>
      <c r="O1139" s="459" t="str">
        <f t="shared" si="620"/>
        <v/>
      </c>
      <c r="P1139" s="459" t="str">
        <f t="shared" si="621"/>
        <v/>
      </c>
      <c r="Q1139" s="459" t="str">
        <f t="shared" si="622"/>
        <v/>
      </c>
      <c r="R1139" s="459" t="str">
        <f t="shared" si="623"/>
        <v/>
      </c>
      <c r="S1139" s="459" t="str">
        <f t="shared" si="624"/>
        <v/>
      </c>
      <c r="T1139" s="566" t="str">
        <f t="shared" si="647"/>
        <v/>
      </c>
      <c r="U1139" s="702"/>
      <c r="V1139" s="132"/>
      <c r="W1139" s="133"/>
      <c r="X1139" s="134"/>
      <c r="Y1139" s="135"/>
      <c r="Z1139" s="137"/>
      <c r="AA1139" s="136"/>
      <c r="AB1139" s="566" t="str">
        <f t="shared" si="648"/>
        <v/>
      </c>
      <c r="AC1139" s="568" t="str">
        <f t="shared" si="649"/>
        <v/>
      </c>
      <c r="AD1139" s="137"/>
      <c r="AE1139" s="137"/>
      <c r="AF1139" s="138"/>
      <c r="AG1139" s="138"/>
      <c r="AH1139" s="592" t="str">
        <f t="shared" si="650"/>
        <v/>
      </c>
      <c r="AI1139" s="592" t="str">
        <f t="shared" si="651"/>
        <v/>
      </c>
      <c r="AJ1139" s="592" t="str">
        <f t="shared" si="652"/>
        <v/>
      </c>
      <c r="AK1139" s="460" t="str">
        <f>IF(AU1139="","",IF(OR(AZ1139=8,AZ1139=9),0,IF(OR(AW1139=3,AW1139=4,AW1139=5,AW1139=6),IF(LEFT(BF1139,1)="1",INDEX(係数_NOX・PM低減,MATCH(AY1139,【参考】排出係数!$AI$801:$AI$804,1),1),VLOOKUP(AU1139,INDEX((係数_バス貨物_ガソリン,係数_バス貨物_CNG,係数_バス貨物_軽油,係数_バス貨物_メタノール,係数_バス貨物_LPG),MATCH(AY1139,【参考】排出係数!$AI$4:$AI$671,1),1,BE1139):INDEX((係数_バス貨物_ガソリン,係数_バス貨物_CNG,係数_バス貨物_軽油,係数_バス貨物_メタノール,係数_バス貨物_LPG),MATCH(AY1139+1,【参考】排出係数!$AI$4:$AI$671,1)-1,5,BE1139),4,FALSE)),IF(AND(BE1139=3,LEFT(BF1139,1)="1"),0.48,VLOOKUP(AU1139,INDEX((係数_乗用_ガソリン,係数_乗用_CNG,係数_乗用_軽油,係数_乗用_メタノール,係数_乗用_LPG),1,1,BE1139):INDEX((係数_乗用_ガソリン,係数_乗用_CNG,係数_乗用_軽油,係数_乗用_メタノール,係数_乗用_LPG),125,5,BE1139),4,FALSE)))))</f>
        <v/>
      </c>
      <c r="AL1139" s="461" t="str">
        <f t="shared" si="653"/>
        <v/>
      </c>
      <c r="AM1139" s="460" t="str">
        <f>IF(AU1139="","",IF(OR(AZ1139=8,AZ1139=9),0,IF(OR(AW1139=3,AW1139=4,AW1139=5,AW1139=6),IF(LEFT(BH1139,1)="1",INDEX(係数_PM低減,MATCH(AY1139,【参考】排出係数!$AI$801:$AI$804,1),MATCH(BI1139,【参考】排出係数!$AL$798:$AO$798,1)),VLOOKUP(AU1139,INDEX((係数_バス貨物_ガソリン,係数_バス貨物_CNG,係数_バス貨物_軽油,係数_バス貨物_メタノール,係数_バス貨物_LPG),MATCH(AY1139,【参考】排出係数!$AI$4:$AI$671,1),1,BE1139):INDEX((係数_バス貨物_ガソリン,係数_バス貨物_CNG,係数_バス貨物_軽油,係数_バス貨物_メタノール,係数_バス貨物_LPG),MATCH(AY1139+1,【参考】排出係数!$AI$4:$AI$671,1)-1,5,BE1139),5,FALSE)),IF(AND(BE1139=3,LEFT(BF1139,1)="1"),0.055,VLOOKUP(AU1139,INDEX((係数_乗用_ガソリン,係数_乗用_CNG,係数_乗用_軽油,係数_乗用_メタノール,係数_乗用_LPG),1,1,BE1139):INDEX((係数_乗用_ガソリン,係数_乗用_CNG,係数_乗用_軽油,係数_乗用_メタノール,係数_乗用_LPG),125,5,BE1139),5,FALSE)))))</f>
        <v/>
      </c>
      <c r="AN1139" s="461" t="str">
        <f t="shared" si="654"/>
        <v/>
      </c>
      <c r="AO1139" s="462" t="str">
        <f t="shared" si="655"/>
        <v/>
      </c>
      <c r="AP1139" s="463" t="str">
        <f t="shared" si="656"/>
        <v/>
      </c>
      <c r="AQ1139" s="464"/>
      <c r="AR1139" s="619"/>
      <c r="AS1139" s="465" t="str">
        <f t="shared" si="626"/>
        <v/>
      </c>
      <c r="AT1139" s="465" t="str">
        <f t="shared" si="627"/>
        <v/>
      </c>
      <c r="AU1139" s="466" t="str">
        <f t="shared" si="628"/>
        <v/>
      </c>
      <c r="AV1139" s="467" t="str">
        <f t="shared" si="629"/>
        <v/>
      </c>
      <c r="AW1139" s="467" t="str">
        <f t="shared" si="630"/>
        <v/>
      </c>
      <c r="AX1139" s="467" t="str">
        <f t="shared" si="631"/>
        <v/>
      </c>
      <c r="AY1139" s="467" t="str">
        <f t="shared" si="632"/>
        <v/>
      </c>
      <c r="AZ1139" s="467" t="str">
        <f t="shared" si="633"/>
        <v/>
      </c>
      <c r="BA1139" s="468" t="str">
        <f>IF(AS1139="","",IF(OR(AU1139="",AU1139="-"),"－",IF(OR(AZ1139=8,AZ1139=9),"",IF(OR(AW1139=3,AW1139=4,AW1139=5,AW1139=6),VLOOKUP(AU1139,INDEX((係数_バス貨物_ガソリン,係数_バス貨物_CNG,係数_バス貨物_軽油,係数_バス貨物_メタノール,係数_バス貨物_LPG),MATCH(AY1139,【参考】排出係数!$AI$4:$AI$671,1),1,BE1139):INDEX((係数_バス貨物_ガソリン,係数_バス貨物_CNG,係数_バス貨物_軽油,係数_バス貨物_メタノール,係数_バス貨物_LPG),MATCH(AY1139+1,【参考】排出係数!$AI$4:$AI$671,1)-1,5,BE1139),2,FALSE),IF(OR(AW1139=1,AW1139=2),VLOOKUP(AU1139,INDEX((係数_乗用_ガソリン,係数_乗用_CNG,係数_乗用_軽油,係数_乗用_メタノール,係数_乗用_LPG),1,1,BE1139):INDEX((係数_乗用_ガソリン,係数_乗用_CNG,係数_乗用_軽油,係数_乗用_メタノール,係数_乗用_LPG),125,5,BE1139),2,FALSE))))))</f>
        <v/>
      </c>
      <c r="BB1139" s="468" t="str">
        <f>IF(T1139="","",IF(OR(AU1139="",AU1139="-"),"－",IF(OR(AZ1139=8,AZ1139=9),"",IF(OR(AW1139=3,AW1139=4,AW1139=5,AW1139=6),VLOOKUP(AU1139,INDEX((係数_バス貨物_ガソリン,係数_バス貨物_CNG,係数_バス貨物_軽油,係数_バス貨物_メタノール,係数_バス貨物_LPG),MATCH(AY1139,【参考】排出係数!$AI$4:$AI$671,1),1,BE1139):INDEX((係数_バス貨物_ガソリン,係数_バス貨物_CNG,係数_バス貨物_軽油,係数_バス貨物_メタノール,係数_バス貨物_LPG),MATCH(AY1139+1,【参考】排出係数!$AI$4:$AI$671,1)-1,5,BE1139),3,FALSE),IF(OR(AW1139=1,AW1139=2),VLOOKUP(AU1139,INDEX((係数_乗用_ガソリン,係数_乗用_CNG,係数_乗用_軽油,係数_乗用_メタノール,係数_乗用_LPG),1,1,BE1139):INDEX((係数_乗用_ガソリン,係数_乗用_CNG,係数_乗用_軽油,係数_乗用_メタノール,係数_乗用_LPG),125,5,BE1139),3,FALSE))))))</f>
        <v/>
      </c>
      <c r="BC1139" s="467" t="str">
        <f t="shared" si="634"/>
        <v/>
      </c>
      <c r="BD1139" s="567" t="str">
        <f t="shared" si="635"/>
        <v/>
      </c>
      <c r="BE1139" s="467" t="str">
        <f t="shared" si="636"/>
        <v/>
      </c>
      <c r="BF1139" s="469" t="str">
        <f t="shared" ca="1" si="637"/>
        <v/>
      </c>
      <c r="BG1139" s="469" t="str">
        <f t="shared" ca="1" si="638"/>
        <v/>
      </c>
      <c r="BH1139" s="467" t="str">
        <f t="shared" si="639"/>
        <v/>
      </c>
      <c r="BI1139" s="467" t="str">
        <f t="shared" ca="1" si="640"/>
        <v/>
      </c>
      <c r="BJ1139" s="469" t="str">
        <f t="shared" si="641"/>
        <v/>
      </c>
      <c r="BK1139" s="470" t="str">
        <f t="shared" si="625"/>
        <v/>
      </c>
      <c r="BL1139" s="775" t="str">
        <f t="shared" si="642"/>
        <v/>
      </c>
      <c r="BM1139" s="775" t="str">
        <f t="shared" si="643"/>
        <v/>
      </c>
    </row>
    <row r="1140" spans="1:65">
      <c r="A1140" s="473">
        <v>1084</v>
      </c>
      <c r="B1140" s="132"/>
      <c r="C1140" s="332"/>
      <c r="D1140" s="333"/>
      <c r="E1140" s="333"/>
      <c r="F1140" s="334"/>
      <c r="G1140" s="337"/>
      <c r="H1140" s="131"/>
      <c r="I1140" s="337"/>
      <c r="J1140" s="131"/>
      <c r="K1140" s="458" t="str">
        <f t="shared" si="644"/>
        <v/>
      </c>
      <c r="L1140" s="458">
        <f t="shared" si="645"/>
        <v>0</v>
      </c>
      <c r="M1140" s="458">
        <f t="shared" si="646"/>
        <v>0</v>
      </c>
      <c r="N1140" s="459" t="str">
        <f t="shared" si="619"/>
        <v/>
      </c>
      <c r="O1140" s="459" t="str">
        <f t="shared" si="620"/>
        <v/>
      </c>
      <c r="P1140" s="459" t="str">
        <f t="shared" si="621"/>
        <v/>
      </c>
      <c r="Q1140" s="459" t="str">
        <f t="shared" si="622"/>
        <v/>
      </c>
      <c r="R1140" s="459" t="str">
        <f t="shared" si="623"/>
        <v/>
      </c>
      <c r="S1140" s="459" t="str">
        <f t="shared" si="624"/>
        <v/>
      </c>
      <c r="T1140" s="566" t="str">
        <f t="shared" si="647"/>
        <v/>
      </c>
      <c r="U1140" s="702"/>
      <c r="V1140" s="132"/>
      <c r="W1140" s="133"/>
      <c r="X1140" s="134"/>
      <c r="Y1140" s="135"/>
      <c r="Z1140" s="137"/>
      <c r="AA1140" s="136"/>
      <c r="AB1140" s="566" t="str">
        <f t="shared" si="648"/>
        <v/>
      </c>
      <c r="AC1140" s="568" t="str">
        <f t="shared" si="649"/>
        <v/>
      </c>
      <c r="AD1140" s="137"/>
      <c r="AE1140" s="137"/>
      <c r="AF1140" s="138"/>
      <c r="AG1140" s="138"/>
      <c r="AH1140" s="592" t="str">
        <f t="shared" si="650"/>
        <v/>
      </c>
      <c r="AI1140" s="592" t="str">
        <f t="shared" si="651"/>
        <v/>
      </c>
      <c r="AJ1140" s="592" t="str">
        <f t="shared" si="652"/>
        <v/>
      </c>
      <c r="AK1140" s="460" t="str">
        <f>IF(AU1140="","",IF(OR(AZ1140=8,AZ1140=9),0,IF(OR(AW1140=3,AW1140=4,AW1140=5,AW1140=6),IF(LEFT(BF1140,1)="1",INDEX(係数_NOX・PM低減,MATCH(AY1140,【参考】排出係数!$AI$801:$AI$804,1),1),VLOOKUP(AU1140,INDEX((係数_バス貨物_ガソリン,係数_バス貨物_CNG,係数_バス貨物_軽油,係数_バス貨物_メタノール,係数_バス貨物_LPG),MATCH(AY1140,【参考】排出係数!$AI$4:$AI$671,1),1,BE1140):INDEX((係数_バス貨物_ガソリン,係数_バス貨物_CNG,係数_バス貨物_軽油,係数_バス貨物_メタノール,係数_バス貨物_LPG),MATCH(AY1140+1,【参考】排出係数!$AI$4:$AI$671,1)-1,5,BE1140),4,FALSE)),IF(AND(BE1140=3,LEFT(BF1140,1)="1"),0.48,VLOOKUP(AU1140,INDEX((係数_乗用_ガソリン,係数_乗用_CNG,係数_乗用_軽油,係数_乗用_メタノール,係数_乗用_LPG),1,1,BE1140):INDEX((係数_乗用_ガソリン,係数_乗用_CNG,係数_乗用_軽油,係数_乗用_メタノール,係数_乗用_LPG),125,5,BE1140),4,FALSE)))))</f>
        <v/>
      </c>
      <c r="AL1140" s="461" t="str">
        <f t="shared" si="653"/>
        <v/>
      </c>
      <c r="AM1140" s="460" t="str">
        <f>IF(AU1140="","",IF(OR(AZ1140=8,AZ1140=9),0,IF(OR(AW1140=3,AW1140=4,AW1140=5,AW1140=6),IF(LEFT(BH1140,1)="1",INDEX(係数_PM低減,MATCH(AY1140,【参考】排出係数!$AI$801:$AI$804,1),MATCH(BI1140,【参考】排出係数!$AL$798:$AO$798,1)),VLOOKUP(AU1140,INDEX((係数_バス貨物_ガソリン,係数_バス貨物_CNG,係数_バス貨物_軽油,係数_バス貨物_メタノール,係数_バス貨物_LPG),MATCH(AY1140,【参考】排出係数!$AI$4:$AI$671,1),1,BE1140):INDEX((係数_バス貨物_ガソリン,係数_バス貨物_CNG,係数_バス貨物_軽油,係数_バス貨物_メタノール,係数_バス貨物_LPG),MATCH(AY1140+1,【参考】排出係数!$AI$4:$AI$671,1)-1,5,BE1140),5,FALSE)),IF(AND(BE1140=3,LEFT(BF1140,1)="1"),0.055,VLOOKUP(AU1140,INDEX((係数_乗用_ガソリン,係数_乗用_CNG,係数_乗用_軽油,係数_乗用_メタノール,係数_乗用_LPG),1,1,BE1140):INDEX((係数_乗用_ガソリン,係数_乗用_CNG,係数_乗用_軽油,係数_乗用_メタノール,係数_乗用_LPG),125,5,BE1140),5,FALSE)))))</f>
        <v/>
      </c>
      <c r="AN1140" s="461" t="str">
        <f t="shared" si="654"/>
        <v/>
      </c>
      <c r="AO1140" s="462" t="str">
        <f t="shared" si="655"/>
        <v/>
      </c>
      <c r="AP1140" s="463" t="str">
        <f t="shared" si="656"/>
        <v/>
      </c>
      <c r="AQ1140" s="464"/>
      <c r="AR1140" s="619"/>
      <c r="AS1140" s="465" t="str">
        <f t="shared" si="626"/>
        <v/>
      </c>
      <c r="AT1140" s="465" t="str">
        <f t="shared" si="627"/>
        <v/>
      </c>
      <c r="AU1140" s="466" t="str">
        <f t="shared" si="628"/>
        <v/>
      </c>
      <c r="AV1140" s="467" t="str">
        <f t="shared" si="629"/>
        <v/>
      </c>
      <c r="AW1140" s="467" t="str">
        <f t="shared" si="630"/>
        <v/>
      </c>
      <c r="AX1140" s="467" t="str">
        <f t="shared" si="631"/>
        <v/>
      </c>
      <c r="AY1140" s="467" t="str">
        <f t="shared" si="632"/>
        <v/>
      </c>
      <c r="AZ1140" s="467" t="str">
        <f t="shared" si="633"/>
        <v/>
      </c>
      <c r="BA1140" s="468" t="str">
        <f>IF(AS1140="","",IF(OR(AU1140="",AU1140="-"),"－",IF(OR(AZ1140=8,AZ1140=9),"",IF(OR(AW1140=3,AW1140=4,AW1140=5,AW1140=6),VLOOKUP(AU1140,INDEX((係数_バス貨物_ガソリン,係数_バス貨物_CNG,係数_バス貨物_軽油,係数_バス貨物_メタノール,係数_バス貨物_LPG),MATCH(AY1140,【参考】排出係数!$AI$4:$AI$671,1),1,BE1140):INDEX((係数_バス貨物_ガソリン,係数_バス貨物_CNG,係数_バス貨物_軽油,係数_バス貨物_メタノール,係数_バス貨物_LPG),MATCH(AY1140+1,【参考】排出係数!$AI$4:$AI$671,1)-1,5,BE1140),2,FALSE),IF(OR(AW1140=1,AW1140=2),VLOOKUP(AU1140,INDEX((係数_乗用_ガソリン,係数_乗用_CNG,係数_乗用_軽油,係数_乗用_メタノール,係数_乗用_LPG),1,1,BE1140):INDEX((係数_乗用_ガソリン,係数_乗用_CNG,係数_乗用_軽油,係数_乗用_メタノール,係数_乗用_LPG),125,5,BE1140),2,FALSE))))))</f>
        <v/>
      </c>
      <c r="BB1140" s="468" t="str">
        <f>IF(T1140="","",IF(OR(AU1140="",AU1140="-"),"－",IF(OR(AZ1140=8,AZ1140=9),"",IF(OR(AW1140=3,AW1140=4,AW1140=5,AW1140=6),VLOOKUP(AU1140,INDEX((係数_バス貨物_ガソリン,係数_バス貨物_CNG,係数_バス貨物_軽油,係数_バス貨物_メタノール,係数_バス貨物_LPG),MATCH(AY1140,【参考】排出係数!$AI$4:$AI$671,1),1,BE1140):INDEX((係数_バス貨物_ガソリン,係数_バス貨物_CNG,係数_バス貨物_軽油,係数_バス貨物_メタノール,係数_バス貨物_LPG),MATCH(AY1140+1,【参考】排出係数!$AI$4:$AI$671,1)-1,5,BE1140),3,FALSE),IF(OR(AW1140=1,AW1140=2),VLOOKUP(AU1140,INDEX((係数_乗用_ガソリン,係数_乗用_CNG,係数_乗用_軽油,係数_乗用_メタノール,係数_乗用_LPG),1,1,BE1140):INDEX((係数_乗用_ガソリン,係数_乗用_CNG,係数_乗用_軽油,係数_乗用_メタノール,係数_乗用_LPG),125,5,BE1140),3,FALSE))))))</f>
        <v/>
      </c>
      <c r="BC1140" s="467" t="str">
        <f t="shared" si="634"/>
        <v/>
      </c>
      <c r="BD1140" s="567" t="str">
        <f t="shared" si="635"/>
        <v/>
      </c>
      <c r="BE1140" s="467" t="str">
        <f t="shared" si="636"/>
        <v/>
      </c>
      <c r="BF1140" s="469" t="str">
        <f t="shared" ca="1" si="637"/>
        <v/>
      </c>
      <c r="BG1140" s="469" t="str">
        <f t="shared" ca="1" si="638"/>
        <v/>
      </c>
      <c r="BH1140" s="467" t="str">
        <f t="shared" si="639"/>
        <v/>
      </c>
      <c r="BI1140" s="467" t="str">
        <f t="shared" ca="1" si="640"/>
        <v/>
      </c>
      <c r="BJ1140" s="469" t="str">
        <f t="shared" si="641"/>
        <v/>
      </c>
      <c r="BK1140" s="470" t="str">
        <f t="shared" si="625"/>
        <v/>
      </c>
      <c r="BL1140" s="775" t="str">
        <f t="shared" si="642"/>
        <v/>
      </c>
      <c r="BM1140" s="775" t="str">
        <f t="shared" si="643"/>
        <v/>
      </c>
    </row>
    <row r="1141" spans="1:65">
      <c r="A1141" s="473">
        <v>1085</v>
      </c>
      <c r="B1141" s="132"/>
      <c r="C1141" s="332"/>
      <c r="D1141" s="333"/>
      <c r="E1141" s="333"/>
      <c r="F1141" s="334"/>
      <c r="G1141" s="337"/>
      <c r="H1141" s="131"/>
      <c r="I1141" s="337"/>
      <c r="J1141" s="131"/>
      <c r="K1141" s="458" t="str">
        <f t="shared" si="644"/>
        <v/>
      </c>
      <c r="L1141" s="458">
        <f t="shared" si="645"/>
        <v>0</v>
      </c>
      <c r="M1141" s="458">
        <f t="shared" si="646"/>
        <v>0</v>
      </c>
      <c r="N1141" s="459" t="str">
        <f t="shared" si="619"/>
        <v/>
      </c>
      <c r="O1141" s="459" t="str">
        <f t="shared" si="620"/>
        <v/>
      </c>
      <c r="P1141" s="459" t="str">
        <f t="shared" si="621"/>
        <v/>
      </c>
      <c r="Q1141" s="459" t="str">
        <f t="shared" si="622"/>
        <v/>
      </c>
      <c r="R1141" s="459" t="str">
        <f t="shared" si="623"/>
        <v/>
      </c>
      <c r="S1141" s="459" t="str">
        <f t="shared" si="624"/>
        <v/>
      </c>
      <c r="T1141" s="566" t="str">
        <f t="shared" si="647"/>
        <v/>
      </c>
      <c r="U1141" s="702"/>
      <c r="V1141" s="132"/>
      <c r="W1141" s="133"/>
      <c r="X1141" s="134"/>
      <c r="Y1141" s="135"/>
      <c r="Z1141" s="137"/>
      <c r="AA1141" s="136"/>
      <c r="AB1141" s="566" t="str">
        <f t="shared" si="648"/>
        <v/>
      </c>
      <c r="AC1141" s="568" t="str">
        <f t="shared" si="649"/>
        <v/>
      </c>
      <c r="AD1141" s="137"/>
      <c r="AE1141" s="137"/>
      <c r="AF1141" s="138"/>
      <c r="AG1141" s="138"/>
      <c r="AH1141" s="592" t="str">
        <f t="shared" si="650"/>
        <v/>
      </c>
      <c r="AI1141" s="592" t="str">
        <f t="shared" si="651"/>
        <v/>
      </c>
      <c r="AJ1141" s="592" t="str">
        <f t="shared" si="652"/>
        <v/>
      </c>
      <c r="AK1141" s="460" t="str">
        <f>IF(AU1141="","",IF(OR(AZ1141=8,AZ1141=9),0,IF(OR(AW1141=3,AW1141=4,AW1141=5,AW1141=6),IF(LEFT(BF1141,1)="1",INDEX(係数_NOX・PM低減,MATCH(AY1141,【参考】排出係数!$AI$801:$AI$804,1),1),VLOOKUP(AU1141,INDEX((係数_バス貨物_ガソリン,係数_バス貨物_CNG,係数_バス貨物_軽油,係数_バス貨物_メタノール,係数_バス貨物_LPG),MATCH(AY1141,【参考】排出係数!$AI$4:$AI$671,1),1,BE1141):INDEX((係数_バス貨物_ガソリン,係数_バス貨物_CNG,係数_バス貨物_軽油,係数_バス貨物_メタノール,係数_バス貨物_LPG),MATCH(AY1141+1,【参考】排出係数!$AI$4:$AI$671,1)-1,5,BE1141),4,FALSE)),IF(AND(BE1141=3,LEFT(BF1141,1)="1"),0.48,VLOOKUP(AU1141,INDEX((係数_乗用_ガソリン,係数_乗用_CNG,係数_乗用_軽油,係数_乗用_メタノール,係数_乗用_LPG),1,1,BE1141):INDEX((係数_乗用_ガソリン,係数_乗用_CNG,係数_乗用_軽油,係数_乗用_メタノール,係数_乗用_LPG),125,5,BE1141),4,FALSE)))))</f>
        <v/>
      </c>
      <c r="AL1141" s="461" t="str">
        <f t="shared" si="653"/>
        <v/>
      </c>
      <c r="AM1141" s="460" t="str">
        <f>IF(AU1141="","",IF(OR(AZ1141=8,AZ1141=9),0,IF(OR(AW1141=3,AW1141=4,AW1141=5,AW1141=6),IF(LEFT(BH1141,1)="1",INDEX(係数_PM低減,MATCH(AY1141,【参考】排出係数!$AI$801:$AI$804,1),MATCH(BI1141,【参考】排出係数!$AL$798:$AO$798,1)),VLOOKUP(AU1141,INDEX((係数_バス貨物_ガソリン,係数_バス貨物_CNG,係数_バス貨物_軽油,係数_バス貨物_メタノール,係数_バス貨物_LPG),MATCH(AY1141,【参考】排出係数!$AI$4:$AI$671,1),1,BE1141):INDEX((係数_バス貨物_ガソリン,係数_バス貨物_CNG,係数_バス貨物_軽油,係数_バス貨物_メタノール,係数_バス貨物_LPG),MATCH(AY1141+1,【参考】排出係数!$AI$4:$AI$671,1)-1,5,BE1141),5,FALSE)),IF(AND(BE1141=3,LEFT(BF1141,1)="1"),0.055,VLOOKUP(AU1141,INDEX((係数_乗用_ガソリン,係数_乗用_CNG,係数_乗用_軽油,係数_乗用_メタノール,係数_乗用_LPG),1,1,BE1141):INDEX((係数_乗用_ガソリン,係数_乗用_CNG,係数_乗用_軽油,係数_乗用_メタノール,係数_乗用_LPG),125,5,BE1141),5,FALSE)))))</f>
        <v/>
      </c>
      <c r="AN1141" s="461" t="str">
        <f t="shared" si="654"/>
        <v/>
      </c>
      <c r="AO1141" s="462" t="str">
        <f t="shared" si="655"/>
        <v/>
      </c>
      <c r="AP1141" s="463" t="str">
        <f t="shared" si="656"/>
        <v/>
      </c>
      <c r="AQ1141" s="464"/>
      <c r="AR1141" s="619"/>
      <c r="AS1141" s="465" t="str">
        <f t="shared" si="626"/>
        <v/>
      </c>
      <c r="AT1141" s="465" t="str">
        <f t="shared" si="627"/>
        <v/>
      </c>
      <c r="AU1141" s="466" t="str">
        <f t="shared" si="628"/>
        <v/>
      </c>
      <c r="AV1141" s="467" t="str">
        <f t="shared" si="629"/>
        <v/>
      </c>
      <c r="AW1141" s="467" t="str">
        <f t="shared" si="630"/>
        <v/>
      </c>
      <c r="AX1141" s="467" t="str">
        <f t="shared" si="631"/>
        <v/>
      </c>
      <c r="AY1141" s="467" t="str">
        <f t="shared" si="632"/>
        <v/>
      </c>
      <c r="AZ1141" s="467" t="str">
        <f t="shared" si="633"/>
        <v/>
      </c>
      <c r="BA1141" s="468" t="str">
        <f>IF(AS1141="","",IF(OR(AU1141="",AU1141="-"),"－",IF(OR(AZ1141=8,AZ1141=9),"",IF(OR(AW1141=3,AW1141=4,AW1141=5,AW1141=6),VLOOKUP(AU1141,INDEX((係数_バス貨物_ガソリン,係数_バス貨物_CNG,係数_バス貨物_軽油,係数_バス貨物_メタノール,係数_バス貨物_LPG),MATCH(AY1141,【参考】排出係数!$AI$4:$AI$671,1),1,BE1141):INDEX((係数_バス貨物_ガソリン,係数_バス貨物_CNG,係数_バス貨物_軽油,係数_バス貨物_メタノール,係数_バス貨物_LPG),MATCH(AY1141+1,【参考】排出係数!$AI$4:$AI$671,1)-1,5,BE1141),2,FALSE),IF(OR(AW1141=1,AW1141=2),VLOOKUP(AU1141,INDEX((係数_乗用_ガソリン,係数_乗用_CNG,係数_乗用_軽油,係数_乗用_メタノール,係数_乗用_LPG),1,1,BE1141):INDEX((係数_乗用_ガソリン,係数_乗用_CNG,係数_乗用_軽油,係数_乗用_メタノール,係数_乗用_LPG),125,5,BE1141),2,FALSE))))))</f>
        <v/>
      </c>
      <c r="BB1141" s="468" t="str">
        <f>IF(T1141="","",IF(OR(AU1141="",AU1141="-"),"－",IF(OR(AZ1141=8,AZ1141=9),"",IF(OR(AW1141=3,AW1141=4,AW1141=5,AW1141=6),VLOOKUP(AU1141,INDEX((係数_バス貨物_ガソリン,係数_バス貨物_CNG,係数_バス貨物_軽油,係数_バス貨物_メタノール,係数_バス貨物_LPG),MATCH(AY1141,【参考】排出係数!$AI$4:$AI$671,1),1,BE1141):INDEX((係数_バス貨物_ガソリン,係数_バス貨物_CNG,係数_バス貨物_軽油,係数_バス貨物_メタノール,係数_バス貨物_LPG),MATCH(AY1141+1,【参考】排出係数!$AI$4:$AI$671,1)-1,5,BE1141),3,FALSE),IF(OR(AW1141=1,AW1141=2),VLOOKUP(AU1141,INDEX((係数_乗用_ガソリン,係数_乗用_CNG,係数_乗用_軽油,係数_乗用_メタノール,係数_乗用_LPG),1,1,BE1141):INDEX((係数_乗用_ガソリン,係数_乗用_CNG,係数_乗用_軽油,係数_乗用_メタノール,係数_乗用_LPG),125,5,BE1141),3,FALSE))))))</f>
        <v/>
      </c>
      <c r="BC1141" s="467" t="str">
        <f t="shared" si="634"/>
        <v/>
      </c>
      <c r="BD1141" s="567" t="str">
        <f t="shared" si="635"/>
        <v/>
      </c>
      <c r="BE1141" s="467" t="str">
        <f t="shared" si="636"/>
        <v/>
      </c>
      <c r="BF1141" s="469" t="str">
        <f t="shared" ca="1" si="637"/>
        <v/>
      </c>
      <c r="BG1141" s="469" t="str">
        <f t="shared" ca="1" si="638"/>
        <v/>
      </c>
      <c r="BH1141" s="467" t="str">
        <f t="shared" si="639"/>
        <v/>
      </c>
      <c r="BI1141" s="467" t="str">
        <f t="shared" ca="1" si="640"/>
        <v/>
      </c>
      <c r="BJ1141" s="469" t="str">
        <f t="shared" si="641"/>
        <v/>
      </c>
      <c r="BK1141" s="470" t="str">
        <f t="shared" si="625"/>
        <v/>
      </c>
      <c r="BL1141" s="775" t="str">
        <f t="shared" si="642"/>
        <v/>
      </c>
      <c r="BM1141" s="775" t="str">
        <f t="shared" si="643"/>
        <v/>
      </c>
    </row>
    <row r="1142" spans="1:65">
      <c r="A1142" s="473">
        <v>1086</v>
      </c>
      <c r="B1142" s="132"/>
      <c r="C1142" s="332"/>
      <c r="D1142" s="333"/>
      <c r="E1142" s="333"/>
      <c r="F1142" s="334"/>
      <c r="G1142" s="337"/>
      <c r="H1142" s="131"/>
      <c r="I1142" s="337"/>
      <c r="J1142" s="131"/>
      <c r="K1142" s="458" t="str">
        <f t="shared" si="644"/>
        <v/>
      </c>
      <c r="L1142" s="458">
        <f t="shared" si="645"/>
        <v>0</v>
      </c>
      <c r="M1142" s="458">
        <f t="shared" si="646"/>
        <v>0</v>
      </c>
      <c r="N1142" s="459" t="str">
        <f t="shared" si="619"/>
        <v/>
      </c>
      <c r="O1142" s="459" t="str">
        <f t="shared" si="620"/>
        <v/>
      </c>
      <c r="P1142" s="459" t="str">
        <f t="shared" si="621"/>
        <v/>
      </c>
      <c r="Q1142" s="459" t="str">
        <f t="shared" si="622"/>
        <v/>
      </c>
      <c r="R1142" s="459" t="str">
        <f t="shared" si="623"/>
        <v/>
      </c>
      <c r="S1142" s="459" t="str">
        <f t="shared" si="624"/>
        <v/>
      </c>
      <c r="T1142" s="566" t="str">
        <f t="shared" si="647"/>
        <v/>
      </c>
      <c r="U1142" s="702"/>
      <c r="V1142" s="132"/>
      <c r="W1142" s="133"/>
      <c r="X1142" s="134"/>
      <c r="Y1142" s="135"/>
      <c r="Z1142" s="137"/>
      <c r="AA1142" s="136"/>
      <c r="AB1142" s="566" t="str">
        <f t="shared" si="648"/>
        <v/>
      </c>
      <c r="AC1142" s="568" t="str">
        <f t="shared" si="649"/>
        <v/>
      </c>
      <c r="AD1142" s="137"/>
      <c r="AE1142" s="137"/>
      <c r="AF1142" s="138"/>
      <c r="AG1142" s="138"/>
      <c r="AH1142" s="592" t="str">
        <f t="shared" si="650"/>
        <v/>
      </c>
      <c r="AI1142" s="592" t="str">
        <f t="shared" si="651"/>
        <v/>
      </c>
      <c r="AJ1142" s="592" t="str">
        <f t="shared" si="652"/>
        <v/>
      </c>
      <c r="AK1142" s="460" t="str">
        <f>IF(AU1142="","",IF(OR(AZ1142=8,AZ1142=9),0,IF(OR(AW1142=3,AW1142=4,AW1142=5,AW1142=6),IF(LEFT(BF1142,1)="1",INDEX(係数_NOX・PM低減,MATCH(AY1142,【参考】排出係数!$AI$801:$AI$804,1),1),VLOOKUP(AU1142,INDEX((係数_バス貨物_ガソリン,係数_バス貨物_CNG,係数_バス貨物_軽油,係数_バス貨物_メタノール,係数_バス貨物_LPG),MATCH(AY1142,【参考】排出係数!$AI$4:$AI$671,1),1,BE1142):INDEX((係数_バス貨物_ガソリン,係数_バス貨物_CNG,係数_バス貨物_軽油,係数_バス貨物_メタノール,係数_バス貨物_LPG),MATCH(AY1142+1,【参考】排出係数!$AI$4:$AI$671,1)-1,5,BE1142),4,FALSE)),IF(AND(BE1142=3,LEFT(BF1142,1)="1"),0.48,VLOOKUP(AU1142,INDEX((係数_乗用_ガソリン,係数_乗用_CNG,係数_乗用_軽油,係数_乗用_メタノール,係数_乗用_LPG),1,1,BE1142):INDEX((係数_乗用_ガソリン,係数_乗用_CNG,係数_乗用_軽油,係数_乗用_メタノール,係数_乗用_LPG),125,5,BE1142),4,FALSE)))))</f>
        <v/>
      </c>
      <c r="AL1142" s="461" t="str">
        <f t="shared" si="653"/>
        <v/>
      </c>
      <c r="AM1142" s="460" t="str">
        <f>IF(AU1142="","",IF(OR(AZ1142=8,AZ1142=9),0,IF(OR(AW1142=3,AW1142=4,AW1142=5,AW1142=6),IF(LEFT(BH1142,1)="1",INDEX(係数_PM低減,MATCH(AY1142,【参考】排出係数!$AI$801:$AI$804,1),MATCH(BI1142,【参考】排出係数!$AL$798:$AO$798,1)),VLOOKUP(AU1142,INDEX((係数_バス貨物_ガソリン,係数_バス貨物_CNG,係数_バス貨物_軽油,係数_バス貨物_メタノール,係数_バス貨物_LPG),MATCH(AY1142,【参考】排出係数!$AI$4:$AI$671,1),1,BE1142):INDEX((係数_バス貨物_ガソリン,係数_バス貨物_CNG,係数_バス貨物_軽油,係数_バス貨物_メタノール,係数_バス貨物_LPG),MATCH(AY1142+1,【参考】排出係数!$AI$4:$AI$671,1)-1,5,BE1142),5,FALSE)),IF(AND(BE1142=3,LEFT(BF1142,1)="1"),0.055,VLOOKUP(AU1142,INDEX((係数_乗用_ガソリン,係数_乗用_CNG,係数_乗用_軽油,係数_乗用_メタノール,係数_乗用_LPG),1,1,BE1142):INDEX((係数_乗用_ガソリン,係数_乗用_CNG,係数_乗用_軽油,係数_乗用_メタノール,係数_乗用_LPG),125,5,BE1142),5,FALSE)))))</f>
        <v/>
      </c>
      <c r="AN1142" s="461" t="str">
        <f t="shared" si="654"/>
        <v/>
      </c>
      <c r="AO1142" s="462" t="str">
        <f t="shared" si="655"/>
        <v/>
      </c>
      <c r="AP1142" s="463" t="str">
        <f t="shared" si="656"/>
        <v/>
      </c>
      <c r="AQ1142" s="464"/>
      <c r="AR1142" s="619"/>
      <c r="AS1142" s="465" t="str">
        <f t="shared" si="626"/>
        <v/>
      </c>
      <c r="AT1142" s="465" t="str">
        <f t="shared" si="627"/>
        <v/>
      </c>
      <c r="AU1142" s="466" t="str">
        <f t="shared" si="628"/>
        <v/>
      </c>
      <c r="AV1142" s="467" t="str">
        <f t="shared" si="629"/>
        <v/>
      </c>
      <c r="AW1142" s="467" t="str">
        <f t="shared" si="630"/>
        <v/>
      </c>
      <c r="AX1142" s="467" t="str">
        <f t="shared" si="631"/>
        <v/>
      </c>
      <c r="AY1142" s="467" t="str">
        <f t="shared" si="632"/>
        <v/>
      </c>
      <c r="AZ1142" s="467" t="str">
        <f t="shared" si="633"/>
        <v/>
      </c>
      <c r="BA1142" s="468" t="str">
        <f>IF(AS1142="","",IF(OR(AU1142="",AU1142="-"),"－",IF(OR(AZ1142=8,AZ1142=9),"",IF(OR(AW1142=3,AW1142=4,AW1142=5,AW1142=6),VLOOKUP(AU1142,INDEX((係数_バス貨物_ガソリン,係数_バス貨物_CNG,係数_バス貨物_軽油,係数_バス貨物_メタノール,係数_バス貨物_LPG),MATCH(AY1142,【参考】排出係数!$AI$4:$AI$671,1),1,BE1142):INDEX((係数_バス貨物_ガソリン,係数_バス貨物_CNG,係数_バス貨物_軽油,係数_バス貨物_メタノール,係数_バス貨物_LPG),MATCH(AY1142+1,【参考】排出係数!$AI$4:$AI$671,1)-1,5,BE1142),2,FALSE),IF(OR(AW1142=1,AW1142=2),VLOOKUP(AU1142,INDEX((係数_乗用_ガソリン,係数_乗用_CNG,係数_乗用_軽油,係数_乗用_メタノール,係数_乗用_LPG),1,1,BE1142):INDEX((係数_乗用_ガソリン,係数_乗用_CNG,係数_乗用_軽油,係数_乗用_メタノール,係数_乗用_LPG),125,5,BE1142),2,FALSE))))))</f>
        <v/>
      </c>
      <c r="BB1142" s="468" t="str">
        <f>IF(T1142="","",IF(OR(AU1142="",AU1142="-"),"－",IF(OR(AZ1142=8,AZ1142=9),"",IF(OR(AW1142=3,AW1142=4,AW1142=5,AW1142=6),VLOOKUP(AU1142,INDEX((係数_バス貨物_ガソリン,係数_バス貨物_CNG,係数_バス貨物_軽油,係数_バス貨物_メタノール,係数_バス貨物_LPG),MATCH(AY1142,【参考】排出係数!$AI$4:$AI$671,1),1,BE1142):INDEX((係数_バス貨物_ガソリン,係数_バス貨物_CNG,係数_バス貨物_軽油,係数_バス貨物_メタノール,係数_バス貨物_LPG),MATCH(AY1142+1,【参考】排出係数!$AI$4:$AI$671,1)-1,5,BE1142),3,FALSE),IF(OR(AW1142=1,AW1142=2),VLOOKUP(AU1142,INDEX((係数_乗用_ガソリン,係数_乗用_CNG,係数_乗用_軽油,係数_乗用_メタノール,係数_乗用_LPG),1,1,BE1142):INDEX((係数_乗用_ガソリン,係数_乗用_CNG,係数_乗用_軽油,係数_乗用_メタノール,係数_乗用_LPG),125,5,BE1142),3,FALSE))))))</f>
        <v/>
      </c>
      <c r="BC1142" s="467" t="str">
        <f t="shared" si="634"/>
        <v/>
      </c>
      <c r="BD1142" s="567" t="str">
        <f t="shared" si="635"/>
        <v/>
      </c>
      <c r="BE1142" s="467" t="str">
        <f t="shared" si="636"/>
        <v/>
      </c>
      <c r="BF1142" s="469" t="str">
        <f t="shared" ca="1" si="637"/>
        <v/>
      </c>
      <c r="BG1142" s="469" t="str">
        <f t="shared" ca="1" si="638"/>
        <v/>
      </c>
      <c r="BH1142" s="467" t="str">
        <f t="shared" si="639"/>
        <v/>
      </c>
      <c r="BI1142" s="467" t="str">
        <f t="shared" ca="1" si="640"/>
        <v/>
      </c>
      <c r="BJ1142" s="469" t="str">
        <f t="shared" si="641"/>
        <v/>
      </c>
      <c r="BK1142" s="470" t="str">
        <f t="shared" si="625"/>
        <v/>
      </c>
      <c r="BL1142" s="775" t="str">
        <f t="shared" si="642"/>
        <v/>
      </c>
      <c r="BM1142" s="775" t="str">
        <f t="shared" si="643"/>
        <v/>
      </c>
    </row>
    <row r="1143" spans="1:65">
      <c r="A1143" s="473">
        <v>1087</v>
      </c>
      <c r="B1143" s="132"/>
      <c r="C1143" s="332"/>
      <c r="D1143" s="333"/>
      <c r="E1143" s="333"/>
      <c r="F1143" s="334"/>
      <c r="G1143" s="337"/>
      <c r="H1143" s="131"/>
      <c r="I1143" s="337"/>
      <c r="J1143" s="131"/>
      <c r="K1143" s="458" t="str">
        <f t="shared" si="644"/>
        <v/>
      </c>
      <c r="L1143" s="458">
        <f t="shared" si="645"/>
        <v>0</v>
      </c>
      <c r="M1143" s="458">
        <f t="shared" si="646"/>
        <v>0</v>
      </c>
      <c r="N1143" s="459" t="str">
        <f t="shared" ref="N1143:N1206" si="657">IF(OR($L1143&gt;$U$48,$M1143&gt;$U$48,AND($L1143&gt;$M1143,$M1143&lt;&gt;0),AND($L1143=0,$M1143&lt;&gt;0)),"ERROR","")</f>
        <v/>
      </c>
      <c r="O1143" s="459" t="str">
        <f t="shared" ref="O1143:O1206" si="658">IF(AND($N1143&lt;&gt;"ERROR",$L1143&lt;=$U$49,$M1143&lt;=$U$49,$M1143&lt;&gt;0),"(減車済)","")</f>
        <v/>
      </c>
      <c r="P1143" s="459" t="str">
        <f t="shared" ref="P1143:P1206" si="659">IF(AND($N1143&lt;&gt;"ERROR",$L1143&lt;$U$49,AND($M1143&gt;$U$49,$M1143&lt;=$W$49),$M1143&lt;&gt;0),"減車","")</f>
        <v/>
      </c>
      <c r="Q1143" s="459" t="str">
        <f t="shared" ref="Q1143:Q1206" si="660">IF(AND($N1143&lt;&gt;"ERROR",$L1143&gt;$U$49,$M1143&lt;=$W$49,$M1143&lt;&gt;0),"一時使用","")</f>
        <v/>
      </c>
      <c r="R1143" s="459" t="str">
        <f t="shared" ref="R1143:R1206" si="661">IF(AND($N1143&lt;&gt;"ERROR",AND($L1143&gt;0,$L1143&lt;=$U$49),$M1143=0),"継続","")</f>
        <v/>
      </c>
      <c r="S1143" s="459" t="str">
        <f t="shared" ref="S1143:S1206" si="662">IF(AND($N1143&lt;&gt;"ERROR",AND($L1143&gt;$U$49),$M1143=0),"新規","")</f>
        <v/>
      </c>
      <c r="T1143" s="566" t="str">
        <f t="shared" si="647"/>
        <v/>
      </c>
      <c r="U1143" s="702"/>
      <c r="V1143" s="132"/>
      <c r="W1143" s="133"/>
      <c r="X1143" s="134"/>
      <c r="Y1143" s="135"/>
      <c r="Z1143" s="137"/>
      <c r="AA1143" s="136"/>
      <c r="AB1143" s="566" t="str">
        <f t="shared" si="648"/>
        <v/>
      </c>
      <c r="AC1143" s="568" t="str">
        <f t="shared" si="649"/>
        <v/>
      </c>
      <c r="AD1143" s="137"/>
      <c r="AE1143" s="137"/>
      <c r="AF1143" s="138"/>
      <c r="AG1143" s="138"/>
      <c r="AH1143" s="592" t="str">
        <f t="shared" si="650"/>
        <v/>
      </c>
      <c r="AI1143" s="592" t="str">
        <f t="shared" si="651"/>
        <v/>
      </c>
      <c r="AJ1143" s="592" t="str">
        <f t="shared" si="652"/>
        <v/>
      </c>
      <c r="AK1143" s="460" t="str">
        <f>IF(AU1143="","",IF(OR(AZ1143=8,AZ1143=9),0,IF(OR(AW1143=3,AW1143=4,AW1143=5,AW1143=6),IF(LEFT(BF1143,1)="1",INDEX(係数_NOX・PM低減,MATCH(AY1143,【参考】排出係数!$AI$801:$AI$804,1),1),VLOOKUP(AU1143,INDEX((係数_バス貨物_ガソリン,係数_バス貨物_CNG,係数_バス貨物_軽油,係数_バス貨物_メタノール,係数_バス貨物_LPG),MATCH(AY1143,【参考】排出係数!$AI$4:$AI$671,1),1,BE1143):INDEX((係数_バス貨物_ガソリン,係数_バス貨物_CNG,係数_バス貨物_軽油,係数_バス貨物_メタノール,係数_バス貨物_LPG),MATCH(AY1143+1,【参考】排出係数!$AI$4:$AI$671,1)-1,5,BE1143),4,FALSE)),IF(AND(BE1143=3,LEFT(BF1143,1)="1"),0.48,VLOOKUP(AU1143,INDEX((係数_乗用_ガソリン,係数_乗用_CNG,係数_乗用_軽油,係数_乗用_メタノール,係数_乗用_LPG),1,1,BE1143):INDEX((係数_乗用_ガソリン,係数_乗用_CNG,係数_乗用_軽油,係数_乗用_メタノール,係数_乗用_LPG),125,5,BE1143),4,FALSE)))))</f>
        <v/>
      </c>
      <c r="AL1143" s="461" t="str">
        <f t="shared" si="653"/>
        <v/>
      </c>
      <c r="AM1143" s="460" t="str">
        <f>IF(AU1143="","",IF(OR(AZ1143=8,AZ1143=9),0,IF(OR(AW1143=3,AW1143=4,AW1143=5,AW1143=6),IF(LEFT(BH1143,1)="1",INDEX(係数_PM低減,MATCH(AY1143,【参考】排出係数!$AI$801:$AI$804,1),MATCH(BI1143,【参考】排出係数!$AL$798:$AO$798,1)),VLOOKUP(AU1143,INDEX((係数_バス貨物_ガソリン,係数_バス貨物_CNG,係数_バス貨物_軽油,係数_バス貨物_メタノール,係数_バス貨物_LPG),MATCH(AY1143,【参考】排出係数!$AI$4:$AI$671,1),1,BE1143):INDEX((係数_バス貨物_ガソリン,係数_バス貨物_CNG,係数_バス貨物_軽油,係数_バス貨物_メタノール,係数_バス貨物_LPG),MATCH(AY1143+1,【参考】排出係数!$AI$4:$AI$671,1)-1,5,BE1143),5,FALSE)),IF(AND(BE1143=3,LEFT(BF1143,1)="1"),0.055,VLOOKUP(AU1143,INDEX((係数_乗用_ガソリン,係数_乗用_CNG,係数_乗用_軽油,係数_乗用_メタノール,係数_乗用_LPG),1,1,BE1143):INDEX((係数_乗用_ガソリン,係数_乗用_CNG,係数_乗用_軽油,係数_乗用_メタノール,係数_乗用_LPG),125,5,BE1143),5,FALSE)))))</f>
        <v/>
      </c>
      <c r="AN1143" s="461" t="str">
        <f t="shared" si="654"/>
        <v/>
      </c>
      <c r="AO1143" s="462" t="str">
        <f t="shared" si="655"/>
        <v/>
      </c>
      <c r="AP1143" s="463" t="str">
        <f t="shared" si="656"/>
        <v/>
      </c>
      <c r="AQ1143" s="464"/>
      <c r="AR1143" s="619"/>
      <c r="AS1143" s="465" t="str">
        <f t="shared" si="626"/>
        <v/>
      </c>
      <c r="AT1143" s="465" t="str">
        <f t="shared" si="627"/>
        <v/>
      </c>
      <c r="AU1143" s="466" t="str">
        <f t="shared" si="628"/>
        <v/>
      </c>
      <c r="AV1143" s="467" t="str">
        <f t="shared" si="629"/>
        <v/>
      </c>
      <c r="AW1143" s="467" t="str">
        <f t="shared" si="630"/>
        <v/>
      </c>
      <c r="AX1143" s="467" t="str">
        <f t="shared" si="631"/>
        <v/>
      </c>
      <c r="AY1143" s="467" t="str">
        <f t="shared" si="632"/>
        <v/>
      </c>
      <c r="AZ1143" s="467" t="str">
        <f t="shared" si="633"/>
        <v/>
      </c>
      <c r="BA1143" s="468" t="str">
        <f>IF(AS1143="","",IF(OR(AU1143="",AU1143="-"),"－",IF(OR(AZ1143=8,AZ1143=9),"",IF(OR(AW1143=3,AW1143=4,AW1143=5,AW1143=6),VLOOKUP(AU1143,INDEX((係数_バス貨物_ガソリン,係数_バス貨物_CNG,係数_バス貨物_軽油,係数_バス貨物_メタノール,係数_バス貨物_LPG),MATCH(AY1143,【参考】排出係数!$AI$4:$AI$671,1),1,BE1143):INDEX((係数_バス貨物_ガソリン,係数_バス貨物_CNG,係数_バス貨物_軽油,係数_バス貨物_メタノール,係数_バス貨物_LPG),MATCH(AY1143+1,【参考】排出係数!$AI$4:$AI$671,1)-1,5,BE1143),2,FALSE),IF(OR(AW1143=1,AW1143=2),VLOOKUP(AU1143,INDEX((係数_乗用_ガソリン,係数_乗用_CNG,係数_乗用_軽油,係数_乗用_メタノール,係数_乗用_LPG),1,1,BE1143):INDEX((係数_乗用_ガソリン,係数_乗用_CNG,係数_乗用_軽油,係数_乗用_メタノール,係数_乗用_LPG),125,5,BE1143),2,FALSE))))))</f>
        <v/>
      </c>
      <c r="BB1143" s="468" t="str">
        <f>IF(T1143="","",IF(OR(AU1143="",AU1143="-"),"－",IF(OR(AZ1143=8,AZ1143=9),"",IF(OR(AW1143=3,AW1143=4,AW1143=5,AW1143=6),VLOOKUP(AU1143,INDEX((係数_バス貨物_ガソリン,係数_バス貨物_CNG,係数_バス貨物_軽油,係数_バス貨物_メタノール,係数_バス貨物_LPG),MATCH(AY1143,【参考】排出係数!$AI$4:$AI$671,1),1,BE1143):INDEX((係数_バス貨物_ガソリン,係数_バス貨物_CNG,係数_バス貨物_軽油,係数_バス貨物_メタノール,係数_バス貨物_LPG),MATCH(AY1143+1,【参考】排出係数!$AI$4:$AI$671,1)-1,5,BE1143),3,FALSE),IF(OR(AW1143=1,AW1143=2),VLOOKUP(AU1143,INDEX((係数_乗用_ガソリン,係数_乗用_CNG,係数_乗用_軽油,係数_乗用_メタノール,係数_乗用_LPG),1,1,BE1143):INDEX((係数_乗用_ガソリン,係数_乗用_CNG,係数_乗用_軽油,係数_乗用_メタノール,係数_乗用_LPG),125,5,BE1143),3,FALSE))))))</f>
        <v/>
      </c>
      <c r="BC1143" s="467" t="str">
        <f t="shared" si="634"/>
        <v/>
      </c>
      <c r="BD1143" s="567" t="str">
        <f t="shared" si="635"/>
        <v/>
      </c>
      <c r="BE1143" s="467" t="str">
        <f t="shared" si="636"/>
        <v/>
      </c>
      <c r="BF1143" s="469" t="str">
        <f t="shared" ca="1" si="637"/>
        <v/>
      </c>
      <c r="BG1143" s="469" t="str">
        <f t="shared" ca="1" si="638"/>
        <v/>
      </c>
      <c r="BH1143" s="467" t="str">
        <f t="shared" si="639"/>
        <v/>
      </c>
      <c r="BI1143" s="467" t="str">
        <f t="shared" ca="1" si="640"/>
        <v/>
      </c>
      <c r="BJ1143" s="469" t="str">
        <f t="shared" si="641"/>
        <v/>
      </c>
      <c r="BK1143" s="470" t="str">
        <f t="shared" si="625"/>
        <v/>
      </c>
      <c r="BL1143" s="775" t="str">
        <f t="shared" si="642"/>
        <v/>
      </c>
      <c r="BM1143" s="775" t="str">
        <f t="shared" si="643"/>
        <v/>
      </c>
    </row>
    <row r="1144" spans="1:65">
      <c r="A1144" s="473">
        <v>1088</v>
      </c>
      <c r="B1144" s="132"/>
      <c r="C1144" s="332"/>
      <c r="D1144" s="333"/>
      <c r="E1144" s="333"/>
      <c r="F1144" s="334"/>
      <c r="G1144" s="337"/>
      <c r="H1144" s="131"/>
      <c r="I1144" s="337"/>
      <c r="J1144" s="131"/>
      <c r="K1144" s="458" t="str">
        <f t="shared" si="644"/>
        <v/>
      </c>
      <c r="L1144" s="458">
        <f t="shared" si="645"/>
        <v>0</v>
      </c>
      <c r="M1144" s="458">
        <f t="shared" si="646"/>
        <v>0</v>
      </c>
      <c r="N1144" s="459" t="str">
        <f t="shared" si="657"/>
        <v/>
      </c>
      <c r="O1144" s="459" t="str">
        <f t="shared" si="658"/>
        <v/>
      </c>
      <c r="P1144" s="459" t="str">
        <f t="shared" si="659"/>
        <v/>
      </c>
      <c r="Q1144" s="459" t="str">
        <f t="shared" si="660"/>
        <v/>
      </c>
      <c r="R1144" s="459" t="str">
        <f t="shared" si="661"/>
        <v/>
      </c>
      <c r="S1144" s="459" t="str">
        <f t="shared" si="662"/>
        <v/>
      </c>
      <c r="T1144" s="566" t="str">
        <f t="shared" si="647"/>
        <v/>
      </c>
      <c r="U1144" s="702"/>
      <c r="V1144" s="132"/>
      <c r="W1144" s="133"/>
      <c r="X1144" s="134"/>
      <c r="Y1144" s="135"/>
      <c r="Z1144" s="137"/>
      <c r="AA1144" s="136"/>
      <c r="AB1144" s="566" t="str">
        <f t="shared" si="648"/>
        <v/>
      </c>
      <c r="AC1144" s="568" t="str">
        <f t="shared" si="649"/>
        <v/>
      </c>
      <c r="AD1144" s="137"/>
      <c r="AE1144" s="137"/>
      <c r="AF1144" s="138"/>
      <c r="AG1144" s="138"/>
      <c r="AH1144" s="592" t="str">
        <f t="shared" si="650"/>
        <v/>
      </c>
      <c r="AI1144" s="592" t="str">
        <f t="shared" si="651"/>
        <v/>
      </c>
      <c r="AJ1144" s="592" t="str">
        <f t="shared" si="652"/>
        <v/>
      </c>
      <c r="AK1144" s="460" t="str">
        <f>IF(AU1144="","",IF(OR(AZ1144=8,AZ1144=9),0,IF(OR(AW1144=3,AW1144=4,AW1144=5,AW1144=6),IF(LEFT(BF1144,1)="1",INDEX(係数_NOX・PM低減,MATCH(AY1144,【参考】排出係数!$AI$801:$AI$804,1),1),VLOOKUP(AU1144,INDEX((係数_バス貨物_ガソリン,係数_バス貨物_CNG,係数_バス貨物_軽油,係数_バス貨物_メタノール,係数_バス貨物_LPG),MATCH(AY1144,【参考】排出係数!$AI$4:$AI$671,1),1,BE1144):INDEX((係数_バス貨物_ガソリン,係数_バス貨物_CNG,係数_バス貨物_軽油,係数_バス貨物_メタノール,係数_バス貨物_LPG),MATCH(AY1144+1,【参考】排出係数!$AI$4:$AI$671,1)-1,5,BE1144),4,FALSE)),IF(AND(BE1144=3,LEFT(BF1144,1)="1"),0.48,VLOOKUP(AU1144,INDEX((係数_乗用_ガソリン,係数_乗用_CNG,係数_乗用_軽油,係数_乗用_メタノール,係数_乗用_LPG),1,1,BE1144):INDEX((係数_乗用_ガソリン,係数_乗用_CNG,係数_乗用_軽油,係数_乗用_メタノール,係数_乗用_LPG),125,5,BE1144),4,FALSE)))))</f>
        <v/>
      </c>
      <c r="AL1144" s="461" t="str">
        <f t="shared" si="653"/>
        <v/>
      </c>
      <c r="AM1144" s="460" t="str">
        <f>IF(AU1144="","",IF(OR(AZ1144=8,AZ1144=9),0,IF(OR(AW1144=3,AW1144=4,AW1144=5,AW1144=6),IF(LEFT(BH1144,1)="1",INDEX(係数_PM低減,MATCH(AY1144,【参考】排出係数!$AI$801:$AI$804,1),MATCH(BI1144,【参考】排出係数!$AL$798:$AO$798,1)),VLOOKUP(AU1144,INDEX((係数_バス貨物_ガソリン,係数_バス貨物_CNG,係数_バス貨物_軽油,係数_バス貨物_メタノール,係数_バス貨物_LPG),MATCH(AY1144,【参考】排出係数!$AI$4:$AI$671,1),1,BE1144):INDEX((係数_バス貨物_ガソリン,係数_バス貨物_CNG,係数_バス貨物_軽油,係数_バス貨物_メタノール,係数_バス貨物_LPG),MATCH(AY1144+1,【参考】排出係数!$AI$4:$AI$671,1)-1,5,BE1144),5,FALSE)),IF(AND(BE1144=3,LEFT(BF1144,1)="1"),0.055,VLOOKUP(AU1144,INDEX((係数_乗用_ガソリン,係数_乗用_CNG,係数_乗用_軽油,係数_乗用_メタノール,係数_乗用_LPG),1,1,BE1144):INDEX((係数_乗用_ガソリン,係数_乗用_CNG,係数_乗用_軽油,係数_乗用_メタノール,係数_乗用_LPG),125,5,BE1144),5,FALSE)))))</f>
        <v/>
      </c>
      <c r="AN1144" s="461" t="str">
        <f t="shared" si="654"/>
        <v/>
      </c>
      <c r="AO1144" s="462" t="str">
        <f t="shared" si="655"/>
        <v/>
      </c>
      <c r="AP1144" s="463" t="str">
        <f t="shared" si="656"/>
        <v/>
      </c>
      <c r="AQ1144" s="464"/>
      <c r="AR1144" s="619"/>
      <c r="AS1144" s="465" t="str">
        <f t="shared" si="626"/>
        <v/>
      </c>
      <c r="AT1144" s="465" t="str">
        <f t="shared" si="627"/>
        <v/>
      </c>
      <c r="AU1144" s="466" t="str">
        <f t="shared" si="628"/>
        <v/>
      </c>
      <c r="AV1144" s="467" t="str">
        <f t="shared" si="629"/>
        <v/>
      </c>
      <c r="AW1144" s="467" t="str">
        <f t="shared" si="630"/>
        <v/>
      </c>
      <c r="AX1144" s="467" t="str">
        <f t="shared" si="631"/>
        <v/>
      </c>
      <c r="AY1144" s="467" t="str">
        <f t="shared" si="632"/>
        <v/>
      </c>
      <c r="AZ1144" s="467" t="str">
        <f t="shared" si="633"/>
        <v/>
      </c>
      <c r="BA1144" s="468" t="str">
        <f>IF(AS1144="","",IF(OR(AU1144="",AU1144="-"),"－",IF(OR(AZ1144=8,AZ1144=9),"",IF(OR(AW1144=3,AW1144=4,AW1144=5,AW1144=6),VLOOKUP(AU1144,INDEX((係数_バス貨物_ガソリン,係数_バス貨物_CNG,係数_バス貨物_軽油,係数_バス貨物_メタノール,係数_バス貨物_LPG),MATCH(AY1144,【参考】排出係数!$AI$4:$AI$671,1),1,BE1144):INDEX((係数_バス貨物_ガソリン,係数_バス貨物_CNG,係数_バス貨物_軽油,係数_バス貨物_メタノール,係数_バス貨物_LPG),MATCH(AY1144+1,【参考】排出係数!$AI$4:$AI$671,1)-1,5,BE1144),2,FALSE),IF(OR(AW1144=1,AW1144=2),VLOOKUP(AU1144,INDEX((係数_乗用_ガソリン,係数_乗用_CNG,係数_乗用_軽油,係数_乗用_メタノール,係数_乗用_LPG),1,1,BE1144):INDEX((係数_乗用_ガソリン,係数_乗用_CNG,係数_乗用_軽油,係数_乗用_メタノール,係数_乗用_LPG),125,5,BE1144),2,FALSE))))))</f>
        <v/>
      </c>
      <c r="BB1144" s="468" t="str">
        <f>IF(T1144="","",IF(OR(AU1144="",AU1144="-"),"－",IF(OR(AZ1144=8,AZ1144=9),"",IF(OR(AW1144=3,AW1144=4,AW1144=5,AW1144=6),VLOOKUP(AU1144,INDEX((係数_バス貨物_ガソリン,係数_バス貨物_CNG,係数_バス貨物_軽油,係数_バス貨物_メタノール,係数_バス貨物_LPG),MATCH(AY1144,【参考】排出係数!$AI$4:$AI$671,1),1,BE1144):INDEX((係数_バス貨物_ガソリン,係数_バス貨物_CNG,係数_バス貨物_軽油,係数_バス貨物_メタノール,係数_バス貨物_LPG),MATCH(AY1144+1,【参考】排出係数!$AI$4:$AI$671,1)-1,5,BE1144),3,FALSE),IF(OR(AW1144=1,AW1144=2),VLOOKUP(AU1144,INDEX((係数_乗用_ガソリン,係数_乗用_CNG,係数_乗用_軽油,係数_乗用_メタノール,係数_乗用_LPG),1,1,BE1144):INDEX((係数_乗用_ガソリン,係数_乗用_CNG,係数_乗用_軽油,係数_乗用_メタノール,係数_乗用_LPG),125,5,BE1144),3,FALSE))))))</f>
        <v/>
      </c>
      <c r="BC1144" s="467" t="str">
        <f t="shared" si="634"/>
        <v/>
      </c>
      <c r="BD1144" s="567" t="str">
        <f t="shared" si="635"/>
        <v/>
      </c>
      <c r="BE1144" s="467" t="str">
        <f t="shared" si="636"/>
        <v/>
      </c>
      <c r="BF1144" s="469" t="str">
        <f t="shared" ca="1" si="637"/>
        <v/>
      </c>
      <c r="BG1144" s="469" t="str">
        <f t="shared" ca="1" si="638"/>
        <v/>
      </c>
      <c r="BH1144" s="467" t="str">
        <f t="shared" si="639"/>
        <v/>
      </c>
      <c r="BI1144" s="467" t="str">
        <f t="shared" ca="1" si="640"/>
        <v/>
      </c>
      <c r="BJ1144" s="469" t="str">
        <f t="shared" si="641"/>
        <v/>
      </c>
      <c r="BK1144" s="470" t="str">
        <f t="shared" si="625"/>
        <v/>
      </c>
      <c r="BL1144" s="775" t="str">
        <f t="shared" si="642"/>
        <v/>
      </c>
      <c r="BM1144" s="775" t="str">
        <f t="shared" si="643"/>
        <v/>
      </c>
    </row>
    <row r="1145" spans="1:65">
      <c r="A1145" s="473">
        <v>1089</v>
      </c>
      <c r="B1145" s="132"/>
      <c r="C1145" s="332"/>
      <c r="D1145" s="333"/>
      <c r="E1145" s="333"/>
      <c r="F1145" s="334"/>
      <c r="G1145" s="337"/>
      <c r="H1145" s="131"/>
      <c r="I1145" s="337"/>
      <c r="J1145" s="131"/>
      <c r="K1145" s="458" t="str">
        <f t="shared" si="644"/>
        <v/>
      </c>
      <c r="L1145" s="458">
        <f t="shared" si="645"/>
        <v>0</v>
      </c>
      <c r="M1145" s="458">
        <f t="shared" si="646"/>
        <v>0</v>
      </c>
      <c r="N1145" s="459" t="str">
        <f t="shared" si="657"/>
        <v/>
      </c>
      <c r="O1145" s="459" t="str">
        <f t="shared" si="658"/>
        <v/>
      </c>
      <c r="P1145" s="459" t="str">
        <f t="shared" si="659"/>
        <v/>
      </c>
      <c r="Q1145" s="459" t="str">
        <f t="shared" si="660"/>
        <v/>
      </c>
      <c r="R1145" s="459" t="str">
        <f t="shared" si="661"/>
        <v/>
      </c>
      <c r="S1145" s="459" t="str">
        <f t="shared" si="662"/>
        <v/>
      </c>
      <c r="T1145" s="566" t="str">
        <f t="shared" si="647"/>
        <v/>
      </c>
      <c r="U1145" s="702"/>
      <c r="V1145" s="132"/>
      <c r="W1145" s="133"/>
      <c r="X1145" s="134"/>
      <c r="Y1145" s="135"/>
      <c r="Z1145" s="137"/>
      <c r="AA1145" s="136"/>
      <c r="AB1145" s="566" t="str">
        <f t="shared" si="648"/>
        <v/>
      </c>
      <c r="AC1145" s="568" t="str">
        <f t="shared" si="649"/>
        <v/>
      </c>
      <c r="AD1145" s="137"/>
      <c r="AE1145" s="137"/>
      <c r="AF1145" s="138"/>
      <c r="AG1145" s="138"/>
      <c r="AH1145" s="592" t="str">
        <f t="shared" si="650"/>
        <v/>
      </c>
      <c r="AI1145" s="592" t="str">
        <f t="shared" si="651"/>
        <v/>
      </c>
      <c r="AJ1145" s="592" t="str">
        <f t="shared" si="652"/>
        <v/>
      </c>
      <c r="AK1145" s="460" t="str">
        <f>IF(AU1145="","",IF(OR(AZ1145=8,AZ1145=9),0,IF(OR(AW1145=3,AW1145=4,AW1145=5,AW1145=6),IF(LEFT(BF1145,1)="1",INDEX(係数_NOX・PM低減,MATCH(AY1145,【参考】排出係数!$AI$801:$AI$804,1),1),VLOOKUP(AU1145,INDEX((係数_バス貨物_ガソリン,係数_バス貨物_CNG,係数_バス貨物_軽油,係数_バス貨物_メタノール,係数_バス貨物_LPG),MATCH(AY1145,【参考】排出係数!$AI$4:$AI$671,1),1,BE1145):INDEX((係数_バス貨物_ガソリン,係数_バス貨物_CNG,係数_バス貨物_軽油,係数_バス貨物_メタノール,係数_バス貨物_LPG),MATCH(AY1145+1,【参考】排出係数!$AI$4:$AI$671,1)-1,5,BE1145),4,FALSE)),IF(AND(BE1145=3,LEFT(BF1145,1)="1"),0.48,VLOOKUP(AU1145,INDEX((係数_乗用_ガソリン,係数_乗用_CNG,係数_乗用_軽油,係数_乗用_メタノール,係数_乗用_LPG),1,1,BE1145):INDEX((係数_乗用_ガソリン,係数_乗用_CNG,係数_乗用_軽油,係数_乗用_メタノール,係数_乗用_LPG),125,5,BE1145),4,FALSE)))))</f>
        <v/>
      </c>
      <c r="AL1145" s="461" t="str">
        <f t="shared" si="653"/>
        <v/>
      </c>
      <c r="AM1145" s="460" t="str">
        <f>IF(AU1145="","",IF(OR(AZ1145=8,AZ1145=9),0,IF(OR(AW1145=3,AW1145=4,AW1145=5,AW1145=6),IF(LEFT(BH1145,1)="1",INDEX(係数_PM低減,MATCH(AY1145,【参考】排出係数!$AI$801:$AI$804,1),MATCH(BI1145,【参考】排出係数!$AL$798:$AO$798,1)),VLOOKUP(AU1145,INDEX((係数_バス貨物_ガソリン,係数_バス貨物_CNG,係数_バス貨物_軽油,係数_バス貨物_メタノール,係数_バス貨物_LPG),MATCH(AY1145,【参考】排出係数!$AI$4:$AI$671,1),1,BE1145):INDEX((係数_バス貨物_ガソリン,係数_バス貨物_CNG,係数_バス貨物_軽油,係数_バス貨物_メタノール,係数_バス貨物_LPG),MATCH(AY1145+1,【参考】排出係数!$AI$4:$AI$671,1)-1,5,BE1145),5,FALSE)),IF(AND(BE1145=3,LEFT(BF1145,1)="1"),0.055,VLOOKUP(AU1145,INDEX((係数_乗用_ガソリン,係数_乗用_CNG,係数_乗用_軽油,係数_乗用_メタノール,係数_乗用_LPG),1,1,BE1145):INDEX((係数_乗用_ガソリン,係数_乗用_CNG,係数_乗用_軽油,係数_乗用_メタノール,係数_乗用_LPG),125,5,BE1145),5,FALSE)))))</f>
        <v/>
      </c>
      <c r="AN1145" s="461" t="str">
        <f t="shared" si="654"/>
        <v/>
      </c>
      <c r="AO1145" s="462" t="str">
        <f t="shared" si="655"/>
        <v/>
      </c>
      <c r="AP1145" s="463" t="str">
        <f t="shared" si="656"/>
        <v/>
      </c>
      <c r="AQ1145" s="464"/>
      <c r="AR1145" s="619"/>
      <c r="AS1145" s="465" t="str">
        <f t="shared" si="626"/>
        <v/>
      </c>
      <c r="AT1145" s="465" t="str">
        <f t="shared" si="627"/>
        <v/>
      </c>
      <c r="AU1145" s="466" t="str">
        <f t="shared" si="628"/>
        <v/>
      </c>
      <c r="AV1145" s="467" t="str">
        <f t="shared" si="629"/>
        <v/>
      </c>
      <c r="AW1145" s="467" t="str">
        <f t="shared" si="630"/>
        <v/>
      </c>
      <c r="AX1145" s="467" t="str">
        <f t="shared" si="631"/>
        <v/>
      </c>
      <c r="AY1145" s="467" t="str">
        <f t="shared" si="632"/>
        <v/>
      </c>
      <c r="AZ1145" s="467" t="str">
        <f t="shared" si="633"/>
        <v/>
      </c>
      <c r="BA1145" s="468" t="str">
        <f>IF(AS1145="","",IF(OR(AU1145="",AU1145="-"),"－",IF(OR(AZ1145=8,AZ1145=9),"",IF(OR(AW1145=3,AW1145=4,AW1145=5,AW1145=6),VLOOKUP(AU1145,INDEX((係数_バス貨物_ガソリン,係数_バス貨物_CNG,係数_バス貨物_軽油,係数_バス貨物_メタノール,係数_バス貨物_LPG),MATCH(AY1145,【参考】排出係数!$AI$4:$AI$671,1),1,BE1145):INDEX((係数_バス貨物_ガソリン,係数_バス貨物_CNG,係数_バス貨物_軽油,係数_バス貨物_メタノール,係数_バス貨物_LPG),MATCH(AY1145+1,【参考】排出係数!$AI$4:$AI$671,1)-1,5,BE1145),2,FALSE),IF(OR(AW1145=1,AW1145=2),VLOOKUP(AU1145,INDEX((係数_乗用_ガソリン,係数_乗用_CNG,係数_乗用_軽油,係数_乗用_メタノール,係数_乗用_LPG),1,1,BE1145):INDEX((係数_乗用_ガソリン,係数_乗用_CNG,係数_乗用_軽油,係数_乗用_メタノール,係数_乗用_LPG),125,5,BE1145),2,FALSE))))))</f>
        <v/>
      </c>
      <c r="BB1145" s="468" t="str">
        <f>IF(T1145="","",IF(OR(AU1145="",AU1145="-"),"－",IF(OR(AZ1145=8,AZ1145=9),"",IF(OR(AW1145=3,AW1145=4,AW1145=5,AW1145=6),VLOOKUP(AU1145,INDEX((係数_バス貨物_ガソリン,係数_バス貨物_CNG,係数_バス貨物_軽油,係数_バス貨物_メタノール,係数_バス貨物_LPG),MATCH(AY1145,【参考】排出係数!$AI$4:$AI$671,1),1,BE1145):INDEX((係数_バス貨物_ガソリン,係数_バス貨物_CNG,係数_バス貨物_軽油,係数_バス貨物_メタノール,係数_バス貨物_LPG),MATCH(AY1145+1,【参考】排出係数!$AI$4:$AI$671,1)-1,5,BE1145),3,FALSE),IF(OR(AW1145=1,AW1145=2),VLOOKUP(AU1145,INDEX((係数_乗用_ガソリン,係数_乗用_CNG,係数_乗用_軽油,係数_乗用_メタノール,係数_乗用_LPG),1,1,BE1145):INDEX((係数_乗用_ガソリン,係数_乗用_CNG,係数_乗用_軽油,係数_乗用_メタノール,係数_乗用_LPG),125,5,BE1145),3,FALSE))))))</f>
        <v/>
      </c>
      <c r="BC1145" s="467" t="str">
        <f t="shared" si="634"/>
        <v/>
      </c>
      <c r="BD1145" s="567" t="str">
        <f t="shared" si="635"/>
        <v/>
      </c>
      <c r="BE1145" s="467" t="str">
        <f t="shared" si="636"/>
        <v/>
      </c>
      <c r="BF1145" s="469" t="str">
        <f t="shared" ca="1" si="637"/>
        <v/>
      </c>
      <c r="BG1145" s="469" t="str">
        <f t="shared" ca="1" si="638"/>
        <v/>
      </c>
      <c r="BH1145" s="467" t="str">
        <f t="shared" si="639"/>
        <v/>
      </c>
      <c r="BI1145" s="467" t="str">
        <f t="shared" ca="1" si="640"/>
        <v/>
      </c>
      <c r="BJ1145" s="469" t="str">
        <f t="shared" si="641"/>
        <v/>
      </c>
      <c r="BK1145" s="470" t="str">
        <f t="shared" ref="BK1145:BK1208" si="663">IF(AS1145="","",VLOOKUP(T1145,車両の増減,2,FALSE))</f>
        <v/>
      </c>
      <c r="BL1145" s="775" t="str">
        <f t="shared" si="642"/>
        <v/>
      </c>
      <c r="BM1145" s="775" t="str">
        <f t="shared" si="643"/>
        <v/>
      </c>
    </row>
    <row r="1146" spans="1:65">
      <c r="A1146" s="473">
        <v>1090</v>
      </c>
      <c r="B1146" s="132"/>
      <c r="C1146" s="332"/>
      <c r="D1146" s="333"/>
      <c r="E1146" s="333"/>
      <c r="F1146" s="334"/>
      <c r="G1146" s="337"/>
      <c r="H1146" s="131"/>
      <c r="I1146" s="337"/>
      <c r="J1146" s="131"/>
      <c r="K1146" s="458" t="str">
        <f t="shared" si="644"/>
        <v/>
      </c>
      <c r="L1146" s="458">
        <f t="shared" si="645"/>
        <v>0</v>
      </c>
      <c r="M1146" s="458">
        <f t="shared" si="646"/>
        <v>0</v>
      </c>
      <c r="N1146" s="459" t="str">
        <f t="shared" si="657"/>
        <v/>
      </c>
      <c r="O1146" s="459" t="str">
        <f t="shared" si="658"/>
        <v/>
      </c>
      <c r="P1146" s="459" t="str">
        <f t="shared" si="659"/>
        <v/>
      </c>
      <c r="Q1146" s="459" t="str">
        <f t="shared" si="660"/>
        <v/>
      </c>
      <c r="R1146" s="459" t="str">
        <f t="shared" si="661"/>
        <v/>
      </c>
      <c r="S1146" s="459" t="str">
        <f t="shared" si="662"/>
        <v/>
      </c>
      <c r="T1146" s="566" t="str">
        <f t="shared" si="647"/>
        <v/>
      </c>
      <c r="U1146" s="702"/>
      <c r="V1146" s="132"/>
      <c r="W1146" s="133"/>
      <c r="X1146" s="134"/>
      <c r="Y1146" s="135"/>
      <c r="Z1146" s="137"/>
      <c r="AA1146" s="136"/>
      <c r="AB1146" s="566" t="str">
        <f t="shared" si="648"/>
        <v/>
      </c>
      <c r="AC1146" s="568" t="str">
        <f t="shared" si="649"/>
        <v/>
      </c>
      <c r="AD1146" s="137"/>
      <c r="AE1146" s="137"/>
      <c r="AF1146" s="138"/>
      <c r="AG1146" s="138"/>
      <c r="AH1146" s="592" t="str">
        <f t="shared" si="650"/>
        <v/>
      </c>
      <c r="AI1146" s="592" t="str">
        <f t="shared" si="651"/>
        <v/>
      </c>
      <c r="AJ1146" s="592" t="str">
        <f t="shared" si="652"/>
        <v/>
      </c>
      <c r="AK1146" s="460" t="str">
        <f>IF(AU1146="","",IF(OR(AZ1146=8,AZ1146=9),0,IF(OR(AW1146=3,AW1146=4,AW1146=5,AW1146=6),IF(LEFT(BF1146,1)="1",INDEX(係数_NOX・PM低減,MATCH(AY1146,【参考】排出係数!$AI$801:$AI$804,1),1),VLOOKUP(AU1146,INDEX((係数_バス貨物_ガソリン,係数_バス貨物_CNG,係数_バス貨物_軽油,係数_バス貨物_メタノール,係数_バス貨物_LPG),MATCH(AY1146,【参考】排出係数!$AI$4:$AI$671,1),1,BE1146):INDEX((係数_バス貨物_ガソリン,係数_バス貨物_CNG,係数_バス貨物_軽油,係数_バス貨物_メタノール,係数_バス貨物_LPG),MATCH(AY1146+1,【参考】排出係数!$AI$4:$AI$671,1)-1,5,BE1146),4,FALSE)),IF(AND(BE1146=3,LEFT(BF1146,1)="1"),0.48,VLOOKUP(AU1146,INDEX((係数_乗用_ガソリン,係数_乗用_CNG,係数_乗用_軽油,係数_乗用_メタノール,係数_乗用_LPG),1,1,BE1146):INDEX((係数_乗用_ガソリン,係数_乗用_CNG,係数_乗用_軽油,係数_乗用_メタノール,係数_乗用_LPG),125,5,BE1146),4,FALSE)))))</f>
        <v/>
      </c>
      <c r="AL1146" s="461" t="str">
        <f t="shared" si="653"/>
        <v/>
      </c>
      <c r="AM1146" s="460" t="str">
        <f>IF(AU1146="","",IF(OR(AZ1146=8,AZ1146=9),0,IF(OR(AW1146=3,AW1146=4,AW1146=5,AW1146=6),IF(LEFT(BH1146,1)="1",INDEX(係数_PM低減,MATCH(AY1146,【参考】排出係数!$AI$801:$AI$804,1),MATCH(BI1146,【参考】排出係数!$AL$798:$AO$798,1)),VLOOKUP(AU1146,INDEX((係数_バス貨物_ガソリン,係数_バス貨物_CNG,係数_バス貨物_軽油,係数_バス貨物_メタノール,係数_バス貨物_LPG),MATCH(AY1146,【参考】排出係数!$AI$4:$AI$671,1),1,BE1146):INDEX((係数_バス貨物_ガソリン,係数_バス貨物_CNG,係数_バス貨物_軽油,係数_バス貨物_メタノール,係数_バス貨物_LPG),MATCH(AY1146+1,【参考】排出係数!$AI$4:$AI$671,1)-1,5,BE1146),5,FALSE)),IF(AND(BE1146=3,LEFT(BF1146,1)="1"),0.055,VLOOKUP(AU1146,INDEX((係数_乗用_ガソリン,係数_乗用_CNG,係数_乗用_軽油,係数_乗用_メタノール,係数_乗用_LPG),1,1,BE1146):INDEX((係数_乗用_ガソリン,係数_乗用_CNG,係数_乗用_軽油,係数_乗用_メタノール,係数_乗用_LPG),125,5,BE1146),5,FALSE)))))</f>
        <v/>
      </c>
      <c r="AN1146" s="461" t="str">
        <f t="shared" si="654"/>
        <v/>
      </c>
      <c r="AO1146" s="462" t="str">
        <f t="shared" si="655"/>
        <v/>
      </c>
      <c r="AP1146" s="463" t="str">
        <f t="shared" si="656"/>
        <v/>
      </c>
      <c r="AQ1146" s="464"/>
      <c r="AR1146" s="619"/>
      <c r="AS1146" s="465" t="str">
        <f t="shared" ref="AS1146:AS1209" si="664">IF(OR(T1146="(減車済)",T1146=""),"",1)</f>
        <v/>
      </c>
      <c r="AT1146" s="465" t="str">
        <f t="shared" ref="AT1146:AT1209" si="665">IF(OR(T1146="継続",T1146="新規"),1,"")</f>
        <v/>
      </c>
      <c r="AU1146" s="466" t="str">
        <f t="shared" ref="AU1146:AU1209" si="666">IF(AS1146="","",UPPER(ASC(X1146)))</f>
        <v/>
      </c>
      <c r="AV1146" s="467" t="str">
        <f t="shared" ref="AV1146:AV1209" si="667">IF(AS1146="","",IF(V1146="","",IF(V1146="普通",1,IF(V1146="小型",2,0))))</f>
        <v/>
      </c>
      <c r="AW1146" s="467" t="str">
        <f t="shared" ref="AW1146:AW1209" si="668">IF(AS1146="","",IF(W1146="","",VLOOKUP(W1146,用途,2,FALSE)))</f>
        <v/>
      </c>
      <c r="AX1146" s="467" t="str">
        <f t="shared" ref="AX1146:AX1209" si="669">IF(AS1146="","",IF(Y1146="","",IF(Y1146&lt;=10,1,IF(Y1146&lt;30,2,IF(Y1146&gt;=30,3,0)))))</f>
        <v/>
      </c>
      <c r="AY1146" s="467" t="str">
        <f t="shared" ref="AY1146:AY1209" si="670">IF(AS1146="","",IF(Z1146="","",IF(Z1146&lt;=1.7*1000,1,IF(Z1146&lt;=2.5*1000,2,IF(Z1146&lt;=3.5*1000,3,IF(Z1146&lt;8*1000,4,IF(Z1146&gt;=8*1000,5,"")))))))</f>
        <v/>
      </c>
      <c r="AZ1146" s="467" t="str">
        <f t="shared" ref="AZ1146:AZ1209" si="671">IF(AS1146="","",IF(AA1146="","",VLOOKUP(AA1146,燃料の種類,2,FALSE)))</f>
        <v/>
      </c>
      <c r="BA1146" s="468" t="str">
        <f>IF(AS1146="","",IF(OR(AU1146="",AU1146="-"),"－",IF(OR(AZ1146=8,AZ1146=9),"",IF(OR(AW1146=3,AW1146=4,AW1146=5,AW1146=6),VLOOKUP(AU1146,INDEX((係数_バス貨物_ガソリン,係数_バス貨物_CNG,係数_バス貨物_軽油,係数_バス貨物_メタノール,係数_バス貨物_LPG),MATCH(AY1146,【参考】排出係数!$AI$4:$AI$671,1),1,BE1146):INDEX((係数_バス貨物_ガソリン,係数_バス貨物_CNG,係数_バス貨物_軽油,係数_バス貨物_メタノール,係数_バス貨物_LPG),MATCH(AY1146+1,【参考】排出係数!$AI$4:$AI$671,1)-1,5,BE1146),2,FALSE),IF(OR(AW1146=1,AW1146=2),VLOOKUP(AU1146,INDEX((係数_乗用_ガソリン,係数_乗用_CNG,係数_乗用_軽油,係数_乗用_メタノール,係数_乗用_LPG),1,1,BE1146):INDEX((係数_乗用_ガソリン,係数_乗用_CNG,係数_乗用_軽油,係数_乗用_メタノール,係数_乗用_LPG),125,5,BE1146),2,FALSE))))))</f>
        <v/>
      </c>
      <c r="BB1146" s="468" t="str">
        <f>IF(T1146="","",IF(OR(AU1146="",AU1146="-"),"－",IF(OR(AZ1146=8,AZ1146=9),"",IF(OR(AW1146=3,AW1146=4,AW1146=5,AW1146=6),VLOOKUP(AU1146,INDEX((係数_バス貨物_ガソリン,係数_バス貨物_CNG,係数_バス貨物_軽油,係数_バス貨物_メタノール,係数_バス貨物_LPG),MATCH(AY1146,【参考】排出係数!$AI$4:$AI$671,1),1,BE1146):INDEX((係数_バス貨物_ガソリン,係数_バス貨物_CNG,係数_バス貨物_軽油,係数_バス貨物_メタノール,係数_バス貨物_LPG),MATCH(AY1146+1,【参考】排出係数!$AI$4:$AI$671,1)-1,5,BE1146),3,FALSE),IF(OR(AW1146=1,AW1146=2),VLOOKUP(AU1146,INDEX((係数_乗用_ガソリン,係数_乗用_CNG,係数_乗用_軽油,係数_乗用_メタノール,係数_乗用_LPG),1,1,BE1146):INDEX((係数_乗用_ガソリン,係数_乗用_CNG,係数_乗用_軽油,係数_乗用_メタノール,係数_乗用_LPG),125,5,BE1146),3,FALSE))))))</f>
        <v/>
      </c>
      <c r="BC1146" s="467" t="str">
        <f t="shared" ref="BC1146:BC1209" si="672">IF((AS1146="")+(AC1146=""),"",IF(燃料区分1=4,VLOOKUP(BB1146,排ガス低減レベル,2,FALSE),VLOOKUP(AC1146,排ガス低減レベル,2,FALSE)))</f>
        <v/>
      </c>
      <c r="BD1146" s="567" t="str">
        <f t="shared" ref="BD1146:BD1209" si="673">IF(AT1146="","",IF(AW1146=3,B1146&amp;"-"&amp;SUM(AW1146*100,AX1146*10,AY1146)&amp;"A",IF(OR(AW1146=2,AW1146=4,AW1146=6),B1146&amp;"-"&amp;AY1146*10&amp;"A",IF(AW1146=1,B1146&amp;"-"&amp;AW1146&amp;"A",IF(AW1146=5,B1146&amp;"-"&amp;SUM(AW1146*100,AV1146*10,AY1146)&amp;"A","")))))</f>
        <v/>
      </c>
      <c r="BE1146" s="467" t="str">
        <f t="shared" ref="BE1146:BE1209" si="674">IF(OR(AZ1146=1,AZ1146=2,AZ1146=11),1,IF(AZ1146=6,2,IF(OR(AZ1146=4,AZ1146=5,AZ1146=10),3,IF(AZ1146=7,4,IF(AZ1146=3,5, IF(OR(AZ1146=8,AZ1146=9),6,""))))))</f>
        <v/>
      </c>
      <c r="BF1146" s="469" t="str">
        <f t="shared" ref="BF1146:BF1209" ca="1" si="675">(IF(OR(AZ1146=4,AZ1146=5),OFFSET($CH$1,MATCH($AF1146,$CG$2:$CG$4,0),0)&amp;BK1146,""))</f>
        <v/>
      </c>
      <c r="BG1146" s="469" t="str">
        <f t="shared" ref="BG1146:BG1209" ca="1" si="676">(IF(OR(AZ1146=4,AZ1146=5),OFFSET($CJ$1,MATCH($AG1146,$CI$2:$CI$5,0),0)&amp;BK1146,""))</f>
        <v/>
      </c>
      <c r="BH1146" s="467" t="str">
        <f t="shared" ref="BH1146:BH1209" si="677">IF(OR(AZ1146=4,AZ1146=5),IF(OR(LEFT(BF1146,1)="1",LEFT(BG1146,1)="2",LEFT(BG1146,1)="3"),1,2)&amp;BK1146,"")</f>
        <v/>
      </c>
      <c r="BI1146" s="467" t="str">
        <f t="shared" ref="BI1146:BI1209" ca="1" si="678">IF(LEFT(BF1146)="1",1,IF(LEFT(BG1146,1)="2",2,IF(LEFT(BG1146,1)="3",3,"")))</f>
        <v/>
      </c>
      <c r="BJ1146" s="469" t="str">
        <f t="shared" ref="BJ1146:BJ1209" si="679">IF(AT1146="","",B1146&amp;"-"&amp;AZ1146)</f>
        <v/>
      </c>
      <c r="BK1146" s="470" t="str">
        <f t="shared" si="663"/>
        <v/>
      </c>
      <c r="BL1146" s="775" t="str">
        <f t="shared" ref="BL1146:BL1209" si="680">IF(AND(OR($T1146="新規",$T1146="継続"),ISBLANK($AD1146)),1,"")</f>
        <v/>
      </c>
      <c r="BM1146" s="775" t="str">
        <f t="shared" ref="BM1146:BM1209" si="681">IF(AND(OR($T1146="新規",$T1146="継続"),ISBLANK($AE1146)),1,"")</f>
        <v/>
      </c>
    </row>
    <row r="1147" spans="1:65">
      <c r="A1147" s="473">
        <v>1091</v>
      </c>
      <c r="B1147" s="132"/>
      <c r="C1147" s="332"/>
      <c r="D1147" s="333"/>
      <c r="E1147" s="333"/>
      <c r="F1147" s="334"/>
      <c r="G1147" s="337"/>
      <c r="H1147" s="131"/>
      <c r="I1147" s="337"/>
      <c r="J1147" s="131"/>
      <c r="K1147" s="458" t="str">
        <f t="shared" si="644"/>
        <v/>
      </c>
      <c r="L1147" s="458">
        <f t="shared" si="645"/>
        <v>0</v>
      </c>
      <c r="M1147" s="458">
        <f t="shared" si="646"/>
        <v>0</v>
      </c>
      <c r="N1147" s="459" t="str">
        <f t="shared" si="657"/>
        <v/>
      </c>
      <c r="O1147" s="459" t="str">
        <f t="shared" si="658"/>
        <v/>
      </c>
      <c r="P1147" s="459" t="str">
        <f t="shared" si="659"/>
        <v/>
      </c>
      <c r="Q1147" s="459" t="str">
        <f t="shared" si="660"/>
        <v/>
      </c>
      <c r="R1147" s="459" t="str">
        <f t="shared" si="661"/>
        <v/>
      </c>
      <c r="S1147" s="459" t="str">
        <f t="shared" si="662"/>
        <v/>
      </c>
      <c r="T1147" s="566" t="str">
        <f t="shared" si="647"/>
        <v/>
      </c>
      <c r="U1147" s="702"/>
      <c r="V1147" s="132"/>
      <c r="W1147" s="133"/>
      <c r="X1147" s="134"/>
      <c r="Y1147" s="135"/>
      <c r="Z1147" s="137"/>
      <c r="AA1147" s="136"/>
      <c r="AB1147" s="566" t="str">
        <f t="shared" si="648"/>
        <v/>
      </c>
      <c r="AC1147" s="568" t="str">
        <f t="shared" si="649"/>
        <v/>
      </c>
      <c r="AD1147" s="137"/>
      <c r="AE1147" s="137"/>
      <c r="AF1147" s="138"/>
      <c r="AG1147" s="138"/>
      <c r="AH1147" s="592" t="str">
        <f t="shared" si="650"/>
        <v/>
      </c>
      <c r="AI1147" s="592" t="str">
        <f t="shared" si="651"/>
        <v/>
      </c>
      <c r="AJ1147" s="592" t="str">
        <f t="shared" si="652"/>
        <v/>
      </c>
      <c r="AK1147" s="460" t="str">
        <f>IF(AU1147="","",IF(OR(AZ1147=8,AZ1147=9),0,IF(OR(AW1147=3,AW1147=4,AW1147=5,AW1147=6),IF(LEFT(BF1147,1)="1",INDEX(係数_NOX・PM低減,MATCH(AY1147,【参考】排出係数!$AI$801:$AI$804,1),1),VLOOKUP(AU1147,INDEX((係数_バス貨物_ガソリン,係数_バス貨物_CNG,係数_バス貨物_軽油,係数_バス貨物_メタノール,係数_バス貨物_LPG),MATCH(AY1147,【参考】排出係数!$AI$4:$AI$671,1),1,BE1147):INDEX((係数_バス貨物_ガソリン,係数_バス貨物_CNG,係数_バス貨物_軽油,係数_バス貨物_メタノール,係数_バス貨物_LPG),MATCH(AY1147+1,【参考】排出係数!$AI$4:$AI$671,1)-1,5,BE1147),4,FALSE)),IF(AND(BE1147=3,LEFT(BF1147,1)="1"),0.48,VLOOKUP(AU1147,INDEX((係数_乗用_ガソリン,係数_乗用_CNG,係数_乗用_軽油,係数_乗用_メタノール,係数_乗用_LPG),1,1,BE1147):INDEX((係数_乗用_ガソリン,係数_乗用_CNG,係数_乗用_軽油,係数_乗用_メタノール,係数_乗用_LPG),125,5,BE1147),4,FALSE)))))</f>
        <v/>
      </c>
      <c r="AL1147" s="461" t="str">
        <f t="shared" si="653"/>
        <v/>
      </c>
      <c r="AM1147" s="460" t="str">
        <f>IF(AU1147="","",IF(OR(AZ1147=8,AZ1147=9),0,IF(OR(AW1147=3,AW1147=4,AW1147=5,AW1147=6),IF(LEFT(BH1147,1)="1",INDEX(係数_PM低減,MATCH(AY1147,【参考】排出係数!$AI$801:$AI$804,1),MATCH(BI1147,【参考】排出係数!$AL$798:$AO$798,1)),VLOOKUP(AU1147,INDEX((係数_バス貨物_ガソリン,係数_バス貨物_CNG,係数_バス貨物_軽油,係数_バス貨物_メタノール,係数_バス貨物_LPG),MATCH(AY1147,【参考】排出係数!$AI$4:$AI$671,1),1,BE1147):INDEX((係数_バス貨物_ガソリン,係数_バス貨物_CNG,係数_バス貨物_軽油,係数_バス貨物_メタノール,係数_バス貨物_LPG),MATCH(AY1147+1,【参考】排出係数!$AI$4:$AI$671,1)-1,5,BE1147),5,FALSE)),IF(AND(BE1147=3,LEFT(BF1147,1)="1"),0.055,VLOOKUP(AU1147,INDEX((係数_乗用_ガソリン,係数_乗用_CNG,係数_乗用_軽油,係数_乗用_メタノール,係数_乗用_LPG),1,1,BE1147):INDEX((係数_乗用_ガソリン,係数_乗用_CNG,係数_乗用_軽油,係数_乗用_メタノール,係数_乗用_LPG),125,5,BE1147),5,FALSE)))))</f>
        <v/>
      </c>
      <c r="AN1147" s="461" t="str">
        <f t="shared" si="654"/>
        <v/>
      </c>
      <c r="AO1147" s="462" t="str">
        <f t="shared" si="655"/>
        <v/>
      </c>
      <c r="AP1147" s="463" t="str">
        <f t="shared" si="656"/>
        <v/>
      </c>
      <c r="AQ1147" s="464"/>
      <c r="AR1147" s="619"/>
      <c r="AS1147" s="465" t="str">
        <f t="shared" si="664"/>
        <v/>
      </c>
      <c r="AT1147" s="465" t="str">
        <f t="shared" si="665"/>
        <v/>
      </c>
      <c r="AU1147" s="466" t="str">
        <f t="shared" si="666"/>
        <v/>
      </c>
      <c r="AV1147" s="467" t="str">
        <f t="shared" si="667"/>
        <v/>
      </c>
      <c r="AW1147" s="467" t="str">
        <f t="shared" si="668"/>
        <v/>
      </c>
      <c r="AX1147" s="467" t="str">
        <f t="shared" si="669"/>
        <v/>
      </c>
      <c r="AY1147" s="467" t="str">
        <f t="shared" si="670"/>
        <v/>
      </c>
      <c r="AZ1147" s="467" t="str">
        <f t="shared" si="671"/>
        <v/>
      </c>
      <c r="BA1147" s="468" t="str">
        <f>IF(AS1147="","",IF(OR(AU1147="",AU1147="-"),"－",IF(OR(AZ1147=8,AZ1147=9),"",IF(OR(AW1147=3,AW1147=4,AW1147=5,AW1147=6),VLOOKUP(AU1147,INDEX((係数_バス貨物_ガソリン,係数_バス貨物_CNG,係数_バス貨物_軽油,係数_バス貨物_メタノール,係数_バス貨物_LPG),MATCH(AY1147,【参考】排出係数!$AI$4:$AI$671,1),1,BE1147):INDEX((係数_バス貨物_ガソリン,係数_バス貨物_CNG,係数_バス貨物_軽油,係数_バス貨物_メタノール,係数_バス貨物_LPG),MATCH(AY1147+1,【参考】排出係数!$AI$4:$AI$671,1)-1,5,BE1147),2,FALSE),IF(OR(AW1147=1,AW1147=2),VLOOKUP(AU1147,INDEX((係数_乗用_ガソリン,係数_乗用_CNG,係数_乗用_軽油,係数_乗用_メタノール,係数_乗用_LPG),1,1,BE1147):INDEX((係数_乗用_ガソリン,係数_乗用_CNG,係数_乗用_軽油,係数_乗用_メタノール,係数_乗用_LPG),125,5,BE1147),2,FALSE))))))</f>
        <v/>
      </c>
      <c r="BB1147" s="468" t="str">
        <f>IF(T1147="","",IF(OR(AU1147="",AU1147="-"),"－",IF(OR(AZ1147=8,AZ1147=9),"",IF(OR(AW1147=3,AW1147=4,AW1147=5,AW1147=6),VLOOKUP(AU1147,INDEX((係数_バス貨物_ガソリン,係数_バス貨物_CNG,係数_バス貨物_軽油,係数_バス貨物_メタノール,係数_バス貨物_LPG),MATCH(AY1147,【参考】排出係数!$AI$4:$AI$671,1),1,BE1147):INDEX((係数_バス貨物_ガソリン,係数_バス貨物_CNG,係数_バス貨物_軽油,係数_バス貨物_メタノール,係数_バス貨物_LPG),MATCH(AY1147+1,【参考】排出係数!$AI$4:$AI$671,1)-1,5,BE1147),3,FALSE),IF(OR(AW1147=1,AW1147=2),VLOOKUP(AU1147,INDEX((係数_乗用_ガソリン,係数_乗用_CNG,係数_乗用_軽油,係数_乗用_メタノール,係数_乗用_LPG),1,1,BE1147):INDEX((係数_乗用_ガソリン,係数_乗用_CNG,係数_乗用_軽油,係数_乗用_メタノール,係数_乗用_LPG),125,5,BE1147),3,FALSE))))))</f>
        <v/>
      </c>
      <c r="BC1147" s="467" t="str">
        <f t="shared" si="672"/>
        <v/>
      </c>
      <c r="BD1147" s="567" t="str">
        <f t="shared" si="673"/>
        <v/>
      </c>
      <c r="BE1147" s="467" t="str">
        <f t="shared" si="674"/>
        <v/>
      </c>
      <c r="BF1147" s="469" t="str">
        <f t="shared" ca="1" si="675"/>
        <v/>
      </c>
      <c r="BG1147" s="469" t="str">
        <f t="shared" ca="1" si="676"/>
        <v/>
      </c>
      <c r="BH1147" s="467" t="str">
        <f t="shared" si="677"/>
        <v/>
      </c>
      <c r="BI1147" s="467" t="str">
        <f t="shared" ca="1" si="678"/>
        <v/>
      </c>
      <c r="BJ1147" s="469" t="str">
        <f t="shared" si="679"/>
        <v/>
      </c>
      <c r="BK1147" s="470" t="str">
        <f t="shared" si="663"/>
        <v/>
      </c>
      <c r="BL1147" s="775" t="str">
        <f t="shared" si="680"/>
        <v/>
      </c>
      <c r="BM1147" s="775" t="str">
        <f t="shared" si="681"/>
        <v/>
      </c>
    </row>
    <row r="1148" spans="1:65">
      <c r="A1148" s="473">
        <v>1092</v>
      </c>
      <c r="B1148" s="132"/>
      <c r="C1148" s="332"/>
      <c r="D1148" s="333"/>
      <c r="E1148" s="333"/>
      <c r="F1148" s="334"/>
      <c r="G1148" s="337"/>
      <c r="H1148" s="131"/>
      <c r="I1148" s="337"/>
      <c r="J1148" s="131"/>
      <c r="K1148" s="458" t="str">
        <f t="shared" si="644"/>
        <v/>
      </c>
      <c r="L1148" s="458">
        <f t="shared" si="645"/>
        <v>0</v>
      </c>
      <c r="M1148" s="458">
        <f t="shared" si="646"/>
        <v>0</v>
      </c>
      <c r="N1148" s="459" t="str">
        <f t="shared" si="657"/>
        <v/>
      </c>
      <c r="O1148" s="459" t="str">
        <f t="shared" si="658"/>
        <v/>
      </c>
      <c r="P1148" s="459" t="str">
        <f t="shared" si="659"/>
        <v/>
      </c>
      <c r="Q1148" s="459" t="str">
        <f t="shared" si="660"/>
        <v/>
      </c>
      <c r="R1148" s="459" t="str">
        <f t="shared" si="661"/>
        <v/>
      </c>
      <c r="S1148" s="459" t="str">
        <f t="shared" si="662"/>
        <v/>
      </c>
      <c r="T1148" s="566" t="str">
        <f t="shared" si="647"/>
        <v/>
      </c>
      <c r="U1148" s="702"/>
      <c r="V1148" s="132"/>
      <c r="W1148" s="133"/>
      <c r="X1148" s="134"/>
      <c r="Y1148" s="135"/>
      <c r="Z1148" s="137"/>
      <c r="AA1148" s="136"/>
      <c r="AB1148" s="566" t="str">
        <f t="shared" si="648"/>
        <v/>
      </c>
      <c r="AC1148" s="568" t="str">
        <f t="shared" si="649"/>
        <v/>
      </c>
      <c r="AD1148" s="137"/>
      <c r="AE1148" s="137"/>
      <c r="AF1148" s="138"/>
      <c r="AG1148" s="138"/>
      <c r="AH1148" s="592" t="str">
        <f t="shared" si="650"/>
        <v/>
      </c>
      <c r="AI1148" s="592" t="str">
        <f t="shared" si="651"/>
        <v/>
      </c>
      <c r="AJ1148" s="592" t="str">
        <f t="shared" si="652"/>
        <v/>
      </c>
      <c r="AK1148" s="460" t="str">
        <f>IF(AU1148="","",IF(OR(AZ1148=8,AZ1148=9),0,IF(OR(AW1148=3,AW1148=4,AW1148=5,AW1148=6),IF(LEFT(BF1148,1)="1",INDEX(係数_NOX・PM低減,MATCH(AY1148,【参考】排出係数!$AI$801:$AI$804,1),1),VLOOKUP(AU1148,INDEX((係数_バス貨物_ガソリン,係数_バス貨物_CNG,係数_バス貨物_軽油,係数_バス貨物_メタノール,係数_バス貨物_LPG),MATCH(AY1148,【参考】排出係数!$AI$4:$AI$671,1),1,BE1148):INDEX((係数_バス貨物_ガソリン,係数_バス貨物_CNG,係数_バス貨物_軽油,係数_バス貨物_メタノール,係数_バス貨物_LPG),MATCH(AY1148+1,【参考】排出係数!$AI$4:$AI$671,1)-1,5,BE1148),4,FALSE)),IF(AND(BE1148=3,LEFT(BF1148,1)="1"),0.48,VLOOKUP(AU1148,INDEX((係数_乗用_ガソリン,係数_乗用_CNG,係数_乗用_軽油,係数_乗用_メタノール,係数_乗用_LPG),1,1,BE1148):INDEX((係数_乗用_ガソリン,係数_乗用_CNG,係数_乗用_軽油,係数_乗用_メタノール,係数_乗用_LPG),125,5,BE1148),4,FALSE)))))</f>
        <v/>
      </c>
      <c r="AL1148" s="461" t="str">
        <f t="shared" si="653"/>
        <v/>
      </c>
      <c r="AM1148" s="460" t="str">
        <f>IF(AU1148="","",IF(OR(AZ1148=8,AZ1148=9),0,IF(OR(AW1148=3,AW1148=4,AW1148=5,AW1148=6),IF(LEFT(BH1148,1)="1",INDEX(係数_PM低減,MATCH(AY1148,【参考】排出係数!$AI$801:$AI$804,1),MATCH(BI1148,【参考】排出係数!$AL$798:$AO$798,1)),VLOOKUP(AU1148,INDEX((係数_バス貨物_ガソリン,係数_バス貨物_CNG,係数_バス貨物_軽油,係数_バス貨物_メタノール,係数_バス貨物_LPG),MATCH(AY1148,【参考】排出係数!$AI$4:$AI$671,1),1,BE1148):INDEX((係数_バス貨物_ガソリン,係数_バス貨物_CNG,係数_バス貨物_軽油,係数_バス貨物_メタノール,係数_バス貨物_LPG),MATCH(AY1148+1,【参考】排出係数!$AI$4:$AI$671,1)-1,5,BE1148),5,FALSE)),IF(AND(BE1148=3,LEFT(BF1148,1)="1"),0.055,VLOOKUP(AU1148,INDEX((係数_乗用_ガソリン,係数_乗用_CNG,係数_乗用_軽油,係数_乗用_メタノール,係数_乗用_LPG),1,1,BE1148):INDEX((係数_乗用_ガソリン,係数_乗用_CNG,係数_乗用_軽油,係数_乗用_メタノール,係数_乗用_LPG),125,5,BE1148),5,FALSE)))))</f>
        <v/>
      </c>
      <c r="AN1148" s="461" t="str">
        <f t="shared" si="654"/>
        <v/>
      </c>
      <c r="AO1148" s="462" t="str">
        <f t="shared" si="655"/>
        <v/>
      </c>
      <c r="AP1148" s="463" t="str">
        <f t="shared" si="656"/>
        <v/>
      </c>
      <c r="AQ1148" s="464"/>
      <c r="AR1148" s="619"/>
      <c r="AS1148" s="465" t="str">
        <f t="shared" si="664"/>
        <v/>
      </c>
      <c r="AT1148" s="465" t="str">
        <f t="shared" si="665"/>
        <v/>
      </c>
      <c r="AU1148" s="466" t="str">
        <f t="shared" si="666"/>
        <v/>
      </c>
      <c r="AV1148" s="467" t="str">
        <f t="shared" si="667"/>
        <v/>
      </c>
      <c r="AW1148" s="467" t="str">
        <f t="shared" si="668"/>
        <v/>
      </c>
      <c r="AX1148" s="467" t="str">
        <f t="shared" si="669"/>
        <v/>
      </c>
      <c r="AY1148" s="467" t="str">
        <f t="shared" si="670"/>
        <v/>
      </c>
      <c r="AZ1148" s="467" t="str">
        <f t="shared" si="671"/>
        <v/>
      </c>
      <c r="BA1148" s="468" t="str">
        <f>IF(AS1148="","",IF(OR(AU1148="",AU1148="-"),"－",IF(OR(AZ1148=8,AZ1148=9),"",IF(OR(AW1148=3,AW1148=4,AW1148=5,AW1148=6),VLOOKUP(AU1148,INDEX((係数_バス貨物_ガソリン,係数_バス貨物_CNG,係数_バス貨物_軽油,係数_バス貨物_メタノール,係数_バス貨物_LPG),MATCH(AY1148,【参考】排出係数!$AI$4:$AI$671,1),1,BE1148):INDEX((係数_バス貨物_ガソリン,係数_バス貨物_CNG,係数_バス貨物_軽油,係数_バス貨物_メタノール,係数_バス貨物_LPG),MATCH(AY1148+1,【参考】排出係数!$AI$4:$AI$671,1)-1,5,BE1148),2,FALSE),IF(OR(AW1148=1,AW1148=2),VLOOKUP(AU1148,INDEX((係数_乗用_ガソリン,係数_乗用_CNG,係数_乗用_軽油,係数_乗用_メタノール,係数_乗用_LPG),1,1,BE1148):INDEX((係数_乗用_ガソリン,係数_乗用_CNG,係数_乗用_軽油,係数_乗用_メタノール,係数_乗用_LPG),125,5,BE1148),2,FALSE))))))</f>
        <v/>
      </c>
      <c r="BB1148" s="468" t="str">
        <f>IF(T1148="","",IF(OR(AU1148="",AU1148="-"),"－",IF(OR(AZ1148=8,AZ1148=9),"",IF(OR(AW1148=3,AW1148=4,AW1148=5,AW1148=6),VLOOKUP(AU1148,INDEX((係数_バス貨物_ガソリン,係数_バス貨物_CNG,係数_バス貨物_軽油,係数_バス貨物_メタノール,係数_バス貨物_LPG),MATCH(AY1148,【参考】排出係数!$AI$4:$AI$671,1),1,BE1148):INDEX((係数_バス貨物_ガソリン,係数_バス貨物_CNG,係数_バス貨物_軽油,係数_バス貨物_メタノール,係数_バス貨物_LPG),MATCH(AY1148+1,【参考】排出係数!$AI$4:$AI$671,1)-1,5,BE1148),3,FALSE),IF(OR(AW1148=1,AW1148=2),VLOOKUP(AU1148,INDEX((係数_乗用_ガソリン,係数_乗用_CNG,係数_乗用_軽油,係数_乗用_メタノール,係数_乗用_LPG),1,1,BE1148):INDEX((係数_乗用_ガソリン,係数_乗用_CNG,係数_乗用_軽油,係数_乗用_メタノール,係数_乗用_LPG),125,5,BE1148),3,FALSE))))))</f>
        <v/>
      </c>
      <c r="BC1148" s="467" t="str">
        <f t="shared" si="672"/>
        <v/>
      </c>
      <c r="BD1148" s="567" t="str">
        <f t="shared" si="673"/>
        <v/>
      </c>
      <c r="BE1148" s="467" t="str">
        <f t="shared" si="674"/>
        <v/>
      </c>
      <c r="BF1148" s="469" t="str">
        <f t="shared" ca="1" si="675"/>
        <v/>
      </c>
      <c r="BG1148" s="469" t="str">
        <f t="shared" ca="1" si="676"/>
        <v/>
      </c>
      <c r="BH1148" s="467" t="str">
        <f t="shared" si="677"/>
        <v/>
      </c>
      <c r="BI1148" s="467" t="str">
        <f t="shared" ca="1" si="678"/>
        <v/>
      </c>
      <c r="BJ1148" s="469" t="str">
        <f t="shared" si="679"/>
        <v/>
      </c>
      <c r="BK1148" s="470" t="str">
        <f t="shared" si="663"/>
        <v/>
      </c>
      <c r="BL1148" s="775" t="str">
        <f t="shared" si="680"/>
        <v/>
      </c>
      <c r="BM1148" s="775" t="str">
        <f t="shared" si="681"/>
        <v/>
      </c>
    </row>
    <row r="1149" spans="1:65">
      <c r="A1149" s="473">
        <v>1093</v>
      </c>
      <c r="B1149" s="132"/>
      <c r="C1149" s="332"/>
      <c r="D1149" s="333"/>
      <c r="E1149" s="333"/>
      <c r="F1149" s="334"/>
      <c r="G1149" s="337"/>
      <c r="H1149" s="131"/>
      <c r="I1149" s="337"/>
      <c r="J1149" s="131"/>
      <c r="K1149" s="458" t="str">
        <f t="shared" si="644"/>
        <v/>
      </c>
      <c r="L1149" s="458">
        <f t="shared" si="645"/>
        <v>0</v>
      </c>
      <c r="M1149" s="458">
        <f t="shared" si="646"/>
        <v>0</v>
      </c>
      <c r="N1149" s="459" t="str">
        <f t="shared" si="657"/>
        <v/>
      </c>
      <c r="O1149" s="459" t="str">
        <f t="shared" si="658"/>
        <v/>
      </c>
      <c r="P1149" s="459" t="str">
        <f t="shared" si="659"/>
        <v/>
      </c>
      <c r="Q1149" s="459" t="str">
        <f t="shared" si="660"/>
        <v/>
      </c>
      <c r="R1149" s="459" t="str">
        <f t="shared" si="661"/>
        <v/>
      </c>
      <c r="S1149" s="459" t="str">
        <f t="shared" si="662"/>
        <v/>
      </c>
      <c r="T1149" s="566" t="str">
        <f t="shared" si="647"/>
        <v/>
      </c>
      <c r="U1149" s="702"/>
      <c r="V1149" s="132"/>
      <c r="W1149" s="133"/>
      <c r="X1149" s="134"/>
      <c r="Y1149" s="135"/>
      <c r="Z1149" s="137"/>
      <c r="AA1149" s="136"/>
      <c r="AB1149" s="566" t="str">
        <f t="shared" si="648"/>
        <v/>
      </c>
      <c r="AC1149" s="568" t="str">
        <f t="shared" si="649"/>
        <v/>
      </c>
      <c r="AD1149" s="137"/>
      <c r="AE1149" s="137"/>
      <c r="AF1149" s="138"/>
      <c r="AG1149" s="138"/>
      <c r="AH1149" s="592" t="str">
        <f t="shared" si="650"/>
        <v/>
      </c>
      <c r="AI1149" s="592" t="str">
        <f t="shared" si="651"/>
        <v/>
      </c>
      <c r="AJ1149" s="592" t="str">
        <f t="shared" si="652"/>
        <v/>
      </c>
      <c r="AK1149" s="460" t="str">
        <f>IF(AU1149="","",IF(OR(AZ1149=8,AZ1149=9),0,IF(OR(AW1149=3,AW1149=4,AW1149=5,AW1149=6),IF(LEFT(BF1149,1)="1",INDEX(係数_NOX・PM低減,MATCH(AY1149,【参考】排出係数!$AI$801:$AI$804,1),1),VLOOKUP(AU1149,INDEX((係数_バス貨物_ガソリン,係数_バス貨物_CNG,係数_バス貨物_軽油,係数_バス貨物_メタノール,係数_バス貨物_LPG),MATCH(AY1149,【参考】排出係数!$AI$4:$AI$671,1),1,BE1149):INDEX((係数_バス貨物_ガソリン,係数_バス貨物_CNG,係数_バス貨物_軽油,係数_バス貨物_メタノール,係数_バス貨物_LPG),MATCH(AY1149+1,【参考】排出係数!$AI$4:$AI$671,1)-1,5,BE1149),4,FALSE)),IF(AND(BE1149=3,LEFT(BF1149,1)="1"),0.48,VLOOKUP(AU1149,INDEX((係数_乗用_ガソリン,係数_乗用_CNG,係数_乗用_軽油,係数_乗用_メタノール,係数_乗用_LPG),1,1,BE1149):INDEX((係数_乗用_ガソリン,係数_乗用_CNG,係数_乗用_軽油,係数_乗用_メタノール,係数_乗用_LPG),125,5,BE1149),4,FALSE)))))</f>
        <v/>
      </c>
      <c r="AL1149" s="461" t="str">
        <f t="shared" si="653"/>
        <v/>
      </c>
      <c r="AM1149" s="460" t="str">
        <f>IF(AU1149="","",IF(OR(AZ1149=8,AZ1149=9),0,IF(OR(AW1149=3,AW1149=4,AW1149=5,AW1149=6),IF(LEFT(BH1149,1)="1",INDEX(係数_PM低減,MATCH(AY1149,【参考】排出係数!$AI$801:$AI$804,1),MATCH(BI1149,【参考】排出係数!$AL$798:$AO$798,1)),VLOOKUP(AU1149,INDEX((係数_バス貨物_ガソリン,係数_バス貨物_CNG,係数_バス貨物_軽油,係数_バス貨物_メタノール,係数_バス貨物_LPG),MATCH(AY1149,【参考】排出係数!$AI$4:$AI$671,1),1,BE1149):INDEX((係数_バス貨物_ガソリン,係数_バス貨物_CNG,係数_バス貨物_軽油,係数_バス貨物_メタノール,係数_バス貨物_LPG),MATCH(AY1149+1,【参考】排出係数!$AI$4:$AI$671,1)-1,5,BE1149),5,FALSE)),IF(AND(BE1149=3,LEFT(BF1149,1)="1"),0.055,VLOOKUP(AU1149,INDEX((係数_乗用_ガソリン,係数_乗用_CNG,係数_乗用_軽油,係数_乗用_メタノール,係数_乗用_LPG),1,1,BE1149):INDEX((係数_乗用_ガソリン,係数_乗用_CNG,係数_乗用_軽油,係数_乗用_メタノール,係数_乗用_LPG),125,5,BE1149),5,FALSE)))))</f>
        <v/>
      </c>
      <c r="AN1149" s="461" t="str">
        <f t="shared" si="654"/>
        <v/>
      </c>
      <c r="AO1149" s="462" t="str">
        <f t="shared" si="655"/>
        <v/>
      </c>
      <c r="AP1149" s="463" t="str">
        <f t="shared" si="656"/>
        <v/>
      </c>
      <c r="AQ1149" s="464"/>
      <c r="AR1149" s="619"/>
      <c r="AS1149" s="465" t="str">
        <f t="shared" si="664"/>
        <v/>
      </c>
      <c r="AT1149" s="465" t="str">
        <f t="shared" si="665"/>
        <v/>
      </c>
      <c r="AU1149" s="466" t="str">
        <f t="shared" si="666"/>
        <v/>
      </c>
      <c r="AV1149" s="467" t="str">
        <f t="shared" si="667"/>
        <v/>
      </c>
      <c r="AW1149" s="467" t="str">
        <f t="shared" si="668"/>
        <v/>
      </c>
      <c r="AX1149" s="467" t="str">
        <f t="shared" si="669"/>
        <v/>
      </c>
      <c r="AY1149" s="467" t="str">
        <f t="shared" si="670"/>
        <v/>
      </c>
      <c r="AZ1149" s="467" t="str">
        <f t="shared" si="671"/>
        <v/>
      </c>
      <c r="BA1149" s="468" t="str">
        <f>IF(AS1149="","",IF(OR(AU1149="",AU1149="-"),"－",IF(OR(AZ1149=8,AZ1149=9),"",IF(OR(AW1149=3,AW1149=4,AW1149=5,AW1149=6),VLOOKUP(AU1149,INDEX((係数_バス貨物_ガソリン,係数_バス貨物_CNG,係数_バス貨物_軽油,係数_バス貨物_メタノール,係数_バス貨物_LPG),MATCH(AY1149,【参考】排出係数!$AI$4:$AI$671,1),1,BE1149):INDEX((係数_バス貨物_ガソリン,係数_バス貨物_CNG,係数_バス貨物_軽油,係数_バス貨物_メタノール,係数_バス貨物_LPG),MATCH(AY1149+1,【参考】排出係数!$AI$4:$AI$671,1)-1,5,BE1149),2,FALSE),IF(OR(AW1149=1,AW1149=2),VLOOKUP(AU1149,INDEX((係数_乗用_ガソリン,係数_乗用_CNG,係数_乗用_軽油,係数_乗用_メタノール,係数_乗用_LPG),1,1,BE1149):INDEX((係数_乗用_ガソリン,係数_乗用_CNG,係数_乗用_軽油,係数_乗用_メタノール,係数_乗用_LPG),125,5,BE1149),2,FALSE))))))</f>
        <v/>
      </c>
      <c r="BB1149" s="468" t="str">
        <f>IF(T1149="","",IF(OR(AU1149="",AU1149="-"),"－",IF(OR(AZ1149=8,AZ1149=9),"",IF(OR(AW1149=3,AW1149=4,AW1149=5,AW1149=6),VLOOKUP(AU1149,INDEX((係数_バス貨物_ガソリン,係数_バス貨物_CNG,係数_バス貨物_軽油,係数_バス貨物_メタノール,係数_バス貨物_LPG),MATCH(AY1149,【参考】排出係数!$AI$4:$AI$671,1),1,BE1149):INDEX((係数_バス貨物_ガソリン,係数_バス貨物_CNG,係数_バス貨物_軽油,係数_バス貨物_メタノール,係数_バス貨物_LPG),MATCH(AY1149+1,【参考】排出係数!$AI$4:$AI$671,1)-1,5,BE1149),3,FALSE),IF(OR(AW1149=1,AW1149=2),VLOOKUP(AU1149,INDEX((係数_乗用_ガソリン,係数_乗用_CNG,係数_乗用_軽油,係数_乗用_メタノール,係数_乗用_LPG),1,1,BE1149):INDEX((係数_乗用_ガソリン,係数_乗用_CNG,係数_乗用_軽油,係数_乗用_メタノール,係数_乗用_LPG),125,5,BE1149),3,FALSE))))))</f>
        <v/>
      </c>
      <c r="BC1149" s="467" t="str">
        <f t="shared" si="672"/>
        <v/>
      </c>
      <c r="BD1149" s="567" t="str">
        <f t="shared" si="673"/>
        <v/>
      </c>
      <c r="BE1149" s="467" t="str">
        <f t="shared" si="674"/>
        <v/>
      </c>
      <c r="BF1149" s="469" t="str">
        <f t="shared" ca="1" si="675"/>
        <v/>
      </c>
      <c r="BG1149" s="469" t="str">
        <f t="shared" ca="1" si="676"/>
        <v/>
      </c>
      <c r="BH1149" s="467" t="str">
        <f t="shared" si="677"/>
        <v/>
      </c>
      <c r="BI1149" s="467" t="str">
        <f t="shared" ca="1" si="678"/>
        <v/>
      </c>
      <c r="BJ1149" s="469" t="str">
        <f t="shared" si="679"/>
        <v/>
      </c>
      <c r="BK1149" s="470" t="str">
        <f t="shared" si="663"/>
        <v/>
      </c>
      <c r="BL1149" s="775" t="str">
        <f t="shared" si="680"/>
        <v/>
      </c>
      <c r="BM1149" s="775" t="str">
        <f t="shared" si="681"/>
        <v/>
      </c>
    </row>
    <row r="1150" spans="1:65">
      <c r="A1150" s="473">
        <v>1094</v>
      </c>
      <c r="B1150" s="132"/>
      <c r="C1150" s="332"/>
      <c r="D1150" s="333"/>
      <c r="E1150" s="333"/>
      <c r="F1150" s="334"/>
      <c r="G1150" s="337"/>
      <c r="H1150" s="131"/>
      <c r="I1150" s="337"/>
      <c r="J1150" s="131"/>
      <c r="K1150" s="458" t="str">
        <f t="shared" si="644"/>
        <v/>
      </c>
      <c r="L1150" s="458">
        <f t="shared" si="645"/>
        <v>0</v>
      </c>
      <c r="M1150" s="458">
        <f t="shared" si="646"/>
        <v>0</v>
      </c>
      <c r="N1150" s="459" t="str">
        <f t="shared" si="657"/>
        <v/>
      </c>
      <c r="O1150" s="459" t="str">
        <f t="shared" si="658"/>
        <v/>
      </c>
      <c r="P1150" s="459" t="str">
        <f t="shared" si="659"/>
        <v/>
      </c>
      <c r="Q1150" s="459" t="str">
        <f t="shared" si="660"/>
        <v/>
      </c>
      <c r="R1150" s="459" t="str">
        <f t="shared" si="661"/>
        <v/>
      </c>
      <c r="S1150" s="459" t="str">
        <f t="shared" si="662"/>
        <v/>
      </c>
      <c r="T1150" s="566" t="str">
        <f t="shared" si="647"/>
        <v/>
      </c>
      <c r="U1150" s="702"/>
      <c r="V1150" s="132"/>
      <c r="W1150" s="133"/>
      <c r="X1150" s="134"/>
      <c r="Y1150" s="135"/>
      <c r="Z1150" s="137"/>
      <c r="AA1150" s="136"/>
      <c r="AB1150" s="566" t="str">
        <f t="shared" si="648"/>
        <v/>
      </c>
      <c r="AC1150" s="568" t="str">
        <f t="shared" si="649"/>
        <v/>
      </c>
      <c r="AD1150" s="137"/>
      <c r="AE1150" s="137"/>
      <c r="AF1150" s="138"/>
      <c r="AG1150" s="138"/>
      <c r="AH1150" s="592" t="str">
        <f t="shared" si="650"/>
        <v/>
      </c>
      <c r="AI1150" s="592" t="str">
        <f t="shared" si="651"/>
        <v/>
      </c>
      <c r="AJ1150" s="592" t="str">
        <f t="shared" si="652"/>
        <v/>
      </c>
      <c r="AK1150" s="460" t="str">
        <f>IF(AU1150="","",IF(OR(AZ1150=8,AZ1150=9),0,IF(OR(AW1150=3,AW1150=4,AW1150=5,AW1150=6),IF(LEFT(BF1150,1)="1",INDEX(係数_NOX・PM低減,MATCH(AY1150,【参考】排出係数!$AI$801:$AI$804,1),1),VLOOKUP(AU1150,INDEX((係数_バス貨物_ガソリン,係数_バス貨物_CNG,係数_バス貨物_軽油,係数_バス貨物_メタノール,係数_バス貨物_LPG),MATCH(AY1150,【参考】排出係数!$AI$4:$AI$671,1),1,BE1150):INDEX((係数_バス貨物_ガソリン,係数_バス貨物_CNG,係数_バス貨物_軽油,係数_バス貨物_メタノール,係数_バス貨物_LPG),MATCH(AY1150+1,【参考】排出係数!$AI$4:$AI$671,1)-1,5,BE1150),4,FALSE)),IF(AND(BE1150=3,LEFT(BF1150,1)="1"),0.48,VLOOKUP(AU1150,INDEX((係数_乗用_ガソリン,係数_乗用_CNG,係数_乗用_軽油,係数_乗用_メタノール,係数_乗用_LPG),1,1,BE1150):INDEX((係数_乗用_ガソリン,係数_乗用_CNG,係数_乗用_軽油,係数_乗用_メタノール,係数_乗用_LPG),125,5,BE1150),4,FALSE)))))</f>
        <v/>
      </c>
      <c r="AL1150" s="461" t="str">
        <f t="shared" si="653"/>
        <v/>
      </c>
      <c r="AM1150" s="460" t="str">
        <f>IF(AU1150="","",IF(OR(AZ1150=8,AZ1150=9),0,IF(OR(AW1150=3,AW1150=4,AW1150=5,AW1150=6),IF(LEFT(BH1150,1)="1",INDEX(係数_PM低減,MATCH(AY1150,【参考】排出係数!$AI$801:$AI$804,1),MATCH(BI1150,【参考】排出係数!$AL$798:$AO$798,1)),VLOOKUP(AU1150,INDEX((係数_バス貨物_ガソリン,係数_バス貨物_CNG,係数_バス貨物_軽油,係数_バス貨物_メタノール,係数_バス貨物_LPG),MATCH(AY1150,【参考】排出係数!$AI$4:$AI$671,1),1,BE1150):INDEX((係数_バス貨物_ガソリン,係数_バス貨物_CNG,係数_バス貨物_軽油,係数_バス貨物_メタノール,係数_バス貨物_LPG),MATCH(AY1150+1,【参考】排出係数!$AI$4:$AI$671,1)-1,5,BE1150),5,FALSE)),IF(AND(BE1150=3,LEFT(BF1150,1)="1"),0.055,VLOOKUP(AU1150,INDEX((係数_乗用_ガソリン,係数_乗用_CNG,係数_乗用_軽油,係数_乗用_メタノール,係数_乗用_LPG),1,1,BE1150):INDEX((係数_乗用_ガソリン,係数_乗用_CNG,係数_乗用_軽油,係数_乗用_メタノール,係数_乗用_LPG),125,5,BE1150),5,FALSE)))))</f>
        <v/>
      </c>
      <c r="AN1150" s="461" t="str">
        <f t="shared" si="654"/>
        <v/>
      </c>
      <c r="AO1150" s="462" t="str">
        <f t="shared" si="655"/>
        <v/>
      </c>
      <c r="AP1150" s="463" t="str">
        <f t="shared" si="656"/>
        <v/>
      </c>
      <c r="AQ1150" s="464"/>
      <c r="AR1150" s="619"/>
      <c r="AS1150" s="465" t="str">
        <f t="shared" si="664"/>
        <v/>
      </c>
      <c r="AT1150" s="465" t="str">
        <f t="shared" si="665"/>
        <v/>
      </c>
      <c r="AU1150" s="466" t="str">
        <f t="shared" si="666"/>
        <v/>
      </c>
      <c r="AV1150" s="467" t="str">
        <f t="shared" si="667"/>
        <v/>
      </c>
      <c r="AW1150" s="467" t="str">
        <f t="shared" si="668"/>
        <v/>
      </c>
      <c r="AX1150" s="467" t="str">
        <f t="shared" si="669"/>
        <v/>
      </c>
      <c r="AY1150" s="467" t="str">
        <f t="shared" si="670"/>
        <v/>
      </c>
      <c r="AZ1150" s="467" t="str">
        <f t="shared" si="671"/>
        <v/>
      </c>
      <c r="BA1150" s="468" t="str">
        <f>IF(AS1150="","",IF(OR(AU1150="",AU1150="-"),"－",IF(OR(AZ1150=8,AZ1150=9),"",IF(OR(AW1150=3,AW1150=4,AW1150=5,AW1150=6),VLOOKUP(AU1150,INDEX((係数_バス貨物_ガソリン,係数_バス貨物_CNG,係数_バス貨物_軽油,係数_バス貨物_メタノール,係数_バス貨物_LPG),MATCH(AY1150,【参考】排出係数!$AI$4:$AI$671,1),1,BE1150):INDEX((係数_バス貨物_ガソリン,係数_バス貨物_CNG,係数_バス貨物_軽油,係数_バス貨物_メタノール,係数_バス貨物_LPG),MATCH(AY1150+1,【参考】排出係数!$AI$4:$AI$671,1)-1,5,BE1150),2,FALSE),IF(OR(AW1150=1,AW1150=2),VLOOKUP(AU1150,INDEX((係数_乗用_ガソリン,係数_乗用_CNG,係数_乗用_軽油,係数_乗用_メタノール,係数_乗用_LPG),1,1,BE1150):INDEX((係数_乗用_ガソリン,係数_乗用_CNG,係数_乗用_軽油,係数_乗用_メタノール,係数_乗用_LPG),125,5,BE1150),2,FALSE))))))</f>
        <v/>
      </c>
      <c r="BB1150" s="468" t="str">
        <f>IF(T1150="","",IF(OR(AU1150="",AU1150="-"),"－",IF(OR(AZ1150=8,AZ1150=9),"",IF(OR(AW1150=3,AW1150=4,AW1150=5,AW1150=6),VLOOKUP(AU1150,INDEX((係数_バス貨物_ガソリン,係数_バス貨物_CNG,係数_バス貨物_軽油,係数_バス貨物_メタノール,係数_バス貨物_LPG),MATCH(AY1150,【参考】排出係数!$AI$4:$AI$671,1),1,BE1150):INDEX((係数_バス貨物_ガソリン,係数_バス貨物_CNG,係数_バス貨物_軽油,係数_バス貨物_メタノール,係数_バス貨物_LPG),MATCH(AY1150+1,【参考】排出係数!$AI$4:$AI$671,1)-1,5,BE1150),3,FALSE),IF(OR(AW1150=1,AW1150=2),VLOOKUP(AU1150,INDEX((係数_乗用_ガソリン,係数_乗用_CNG,係数_乗用_軽油,係数_乗用_メタノール,係数_乗用_LPG),1,1,BE1150):INDEX((係数_乗用_ガソリン,係数_乗用_CNG,係数_乗用_軽油,係数_乗用_メタノール,係数_乗用_LPG),125,5,BE1150),3,FALSE))))))</f>
        <v/>
      </c>
      <c r="BC1150" s="467" t="str">
        <f t="shared" si="672"/>
        <v/>
      </c>
      <c r="BD1150" s="567" t="str">
        <f t="shared" si="673"/>
        <v/>
      </c>
      <c r="BE1150" s="467" t="str">
        <f t="shared" si="674"/>
        <v/>
      </c>
      <c r="BF1150" s="469" t="str">
        <f t="shared" ca="1" si="675"/>
        <v/>
      </c>
      <c r="BG1150" s="469" t="str">
        <f t="shared" ca="1" si="676"/>
        <v/>
      </c>
      <c r="BH1150" s="467" t="str">
        <f t="shared" si="677"/>
        <v/>
      </c>
      <c r="BI1150" s="467" t="str">
        <f t="shared" ca="1" si="678"/>
        <v/>
      </c>
      <c r="BJ1150" s="469" t="str">
        <f t="shared" si="679"/>
        <v/>
      </c>
      <c r="BK1150" s="470" t="str">
        <f t="shared" si="663"/>
        <v/>
      </c>
      <c r="BL1150" s="775" t="str">
        <f t="shared" si="680"/>
        <v/>
      </c>
      <c r="BM1150" s="775" t="str">
        <f t="shared" si="681"/>
        <v/>
      </c>
    </row>
    <row r="1151" spans="1:65">
      <c r="A1151" s="473">
        <v>1095</v>
      </c>
      <c r="B1151" s="132"/>
      <c r="C1151" s="332"/>
      <c r="D1151" s="333"/>
      <c r="E1151" s="333"/>
      <c r="F1151" s="334"/>
      <c r="G1151" s="337"/>
      <c r="H1151" s="131"/>
      <c r="I1151" s="337"/>
      <c r="J1151" s="131"/>
      <c r="K1151" s="458" t="str">
        <f t="shared" si="644"/>
        <v/>
      </c>
      <c r="L1151" s="458">
        <f t="shared" si="645"/>
        <v>0</v>
      </c>
      <c r="M1151" s="458">
        <f t="shared" si="646"/>
        <v>0</v>
      </c>
      <c r="N1151" s="459" t="str">
        <f t="shared" si="657"/>
        <v/>
      </c>
      <c r="O1151" s="459" t="str">
        <f t="shared" si="658"/>
        <v/>
      </c>
      <c r="P1151" s="459" t="str">
        <f t="shared" si="659"/>
        <v/>
      </c>
      <c r="Q1151" s="459" t="str">
        <f t="shared" si="660"/>
        <v/>
      </c>
      <c r="R1151" s="459" t="str">
        <f t="shared" si="661"/>
        <v/>
      </c>
      <c r="S1151" s="459" t="str">
        <f t="shared" si="662"/>
        <v/>
      </c>
      <c r="T1151" s="566" t="str">
        <f t="shared" si="647"/>
        <v/>
      </c>
      <c r="U1151" s="702"/>
      <c r="V1151" s="132"/>
      <c r="W1151" s="133"/>
      <c r="X1151" s="134"/>
      <c r="Y1151" s="135"/>
      <c r="Z1151" s="137"/>
      <c r="AA1151" s="136"/>
      <c r="AB1151" s="566" t="str">
        <f t="shared" si="648"/>
        <v/>
      </c>
      <c r="AC1151" s="568" t="str">
        <f t="shared" si="649"/>
        <v/>
      </c>
      <c r="AD1151" s="137"/>
      <c r="AE1151" s="137"/>
      <c r="AF1151" s="138"/>
      <c r="AG1151" s="138"/>
      <c r="AH1151" s="592" t="str">
        <f t="shared" si="650"/>
        <v/>
      </c>
      <c r="AI1151" s="592" t="str">
        <f t="shared" si="651"/>
        <v/>
      </c>
      <c r="AJ1151" s="592" t="str">
        <f t="shared" si="652"/>
        <v/>
      </c>
      <c r="AK1151" s="460" t="str">
        <f>IF(AU1151="","",IF(OR(AZ1151=8,AZ1151=9),0,IF(OR(AW1151=3,AW1151=4,AW1151=5,AW1151=6),IF(LEFT(BF1151,1)="1",INDEX(係数_NOX・PM低減,MATCH(AY1151,【参考】排出係数!$AI$801:$AI$804,1),1),VLOOKUP(AU1151,INDEX((係数_バス貨物_ガソリン,係数_バス貨物_CNG,係数_バス貨物_軽油,係数_バス貨物_メタノール,係数_バス貨物_LPG),MATCH(AY1151,【参考】排出係数!$AI$4:$AI$671,1),1,BE1151):INDEX((係数_バス貨物_ガソリン,係数_バス貨物_CNG,係数_バス貨物_軽油,係数_バス貨物_メタノール,係数_バス貨物_LPG),MATCH(AY1151+1,【参考】排出係数!$AI$4:$AI$671,1)-1,5,BE1151),4,FALSE)),IF(AND(BE1151=3,LEFT(BF1151,1)="1"),0.48,VLOOKUP(AU1151,INDEX((係数_乗用_ガソリン,係数_乗用_CNG,係数_乗用_軽油,係数_乗用_メタノール,係数_乗用_LPG),1,1,BE1151):INDEX((係数_乗用_ガソリン,係数_乗用_CNG,係数_乗用_軽油,係数_乗用_メタノール,係数_乗用_LPG),125,5,BE1151),4,FALSE)))))</f>
        <v/>
      </c>
      <c r="AL1151" s="461" t="str">
        <f t="shared" si="653"/>
        <v/>
      </c>
      <c r="AM1151" s="460" t="str">
        <f>IF(AU1151="","",IF(OR(AZ1151=8,AZ1151=9),0,IF(OR(AW1151=3,AW1151=4,AW1151=5,AW1151=6),IF(LEFT(BH1151,1)="1",INDEX(係数_PM低減,MATCH(AY1151,【参考】排出係数!$AI$801:$AI$804,1),MATCH(BI1151,【参考】排出係数!$AL$798:$AO$798,1)),VLOOKUP(AU1151,INDEX((係数_バス貨物_ガソリン,係数_バス貨物_CNG,係数_バス貨物_軽油,係数_バス貨物_メタノール,係数_バス貨物_LPG),MATCH(AY1151,【参考】排出係数!$AI$4:$AI$671,1),1,BE1151):INDEX((係数_バス貨物_ガソリン,係数_バス貨物_CNG,係数_バス貨物_軽油,係数_バス貨物_メタノール,係数_バス貨物_LPG),MATCH(AY1151+1,【参考】排出係数!$AI$4:$AI$671,1)-1,5,BE1151),5,FALSE)),IF(AND(BE1151=3,LEFT(BF1151,1)="1"),0.055,VLOOKUP(AU1151,INDEX((係数_乗用_ガソリン,係数_乗用_CNG,係数_乗用_軽油,係数_乗用_メタノール,係数_乗用_LPG),1,1,BE1151):INDEX((係数_乗用_ガソリン,係数_乗用_CNG,係数_乗用_軽油,係数_乗用_メタノール,係数_乗用_LPG),125,5,BE1151),5,FALSE)))))</f>
        <v/>
      </c>
      <c r="AN1151" s="461" t="str">
        <f t="shared" si="654"/>
        <v/>
      </c>
      <c r="AO1151" s="462" t="str">
        <f t="shared" si="655"/>
        <v/>
      </c>
      <c r="AP1151" s="463" t="str">
        <f t="shared" si="656"/>
        <v/>
      </c>
      <c r="AQ1151" s="464"/>
      <c r="AR1151" s="619"/>
      <c r="AS1151" s="465" t="str">
        <f t="shared" si="664"/>
        <v/>
      </c>
      <c r="AT1151" s="465" t="str">
        <f t="shared" si="665"/>
        <v/>
      </c>
      <c r="AU1151" s="466" t="str">
        <f t="shared" si="666"/>
        <v/>
      </c>
      <c r="AV1151" s="467" t="str">
        <f t="shared" si="667"/>
        <v/>
      </c>
      <c r="AW1151" s="467" t="str">
        <f t="shared" si="668"/>
        <v/>
      </c>
      <c r="AX1151" s="467" t="str">
        <f t="shared" si="669"/>
        <v/>
      </c>
      <c r="AY1151" s="467" t="str">
        <f t="shared" si="670"/>
        <v/>
      </c>
      <c r="AZ1151" s="467" t="str">
        <f t="shared" si="671"/>
        <v/>
      </c>
      <c r="BA1151" s="468" t="str">
        <f>IF(AS1151="","",IF(OR(AU1151="",AU1151="-"),"－",IF(OR(AZ1151=8,AZ1151=9),"",IF(OR(AW1151=3,AW1151=4,AW1151=5,AW1151=6),VLOOKUP(AU1151,INDEX((係数_バス貨物_ガソリン,係数_バス貨物_CNG,係数_バス貨物_軽油,係数_バス貨物_メタノール,係数_バス貨物_LPG),MATCH(AY1151,【参考】排出係数!$AI$4:$AI$671,1),1,BE1151):INDEX((係数_バス貨物_ガソリン,係数_バス貨物_CNG,係数_バス貨物_軽油,係数_バス貨物_メタノール,係数_バス貨物_LPG),MATCH(AY1151+1,【参考】排出係数!$AI$4:$AI$671,1)-1,5,BE1151),2,FALSE),IF(OR(AW1151=1,AW1151=2),VLOOKUP(AU1151,INDEX((係数_乗用_ガソリン,係数_乗用_CNG,係数_乗用_軽油,係数_乗用_メタノール,係数_乗用_LPG),1,1,BE1151):INDEX((係数_乗用_ガソリン,係数_乗用_CNG,係数_乗用_軽油,係数_乗用_メタノール,係数_乗用_LPG),125,5,BE1151),2,FALSE))))))</f>
        <v/>
      </c>
      <c r="BB1151" s="468" t="str">
        <f>IF(T1151="","",IF(OR(AU1151="",AU1151="-"),"－",IF(OR(AZ1151=8,AZ1151=9),"",IF(OR(AW1151=3,AW1151=4,AW1151=5,AW1151=6),VLOOKUP(AU1151,INDEX((係数_バス貨物_ガソリン,係数_バス貨物_CNG,係数_バス貨物_軽油,係数_バス貨物_メタノール,係数_バス貨物_LPG),MATCH(AY1151,【参考】排出係数!$AI$4:$AI$671,1),1,BE1151):INDEX((係数_バス貨物_ガソリン,係数_バス貨物_CNG,係数_バス貨物_軽油,係数_バス貨物_メタノール,係数_バス貨物_LPG),MATCH(AY1151+1,【参考】排出係数!$AI$4:$AI$671,1)-1,5,BE1151),3,FALSE),IF(OR(AW1151=1,AW1151=2),VLOOKUP(AU1151,INDEX((係数_乗用_ガソリン,係数_乗用_CNG,係数_乗用_軽油,係数_乗用_メタノール,係数_乗用_LPG),1,1,BE1151):INDEX((係数_乗用_ガソリン,係数_乗用_CNG,係数_乗用_軽油,係数_乗用_メタノール,係数_乗用_LPG),125,5,BE1151),3,FALSE))))))</f>
        <v/>
      </c>
      <c r="BC1151" s="467" t="str">
        <f t="shared" si="672"/>
        <v/>
      </c>
      <c r="BD1151" s="567" t="str">
        <f t="shared" si="673"/>
        <v/>
      </c>
      <c r="BE1151" s="467" t="str">
        <f t="shared" si="674"/>
        <v/>
      </c>
      <c r="BF1151" s="469" t="str">
        <f t="shared" ca="1" si="675"/>
        <v/>
      </c>
      <c r="BG1151" s="469" t="str">
        <f t="shared" ca="1" si="676"/>
        <v/>
      </c>
      <c r="BH1151" s="467" t="str">
        <f t="shared" si="677"/>
        <v/>
      </c>
      <c r="BI1151" s="467" t="str">
        <f t="shared" ca="1" si="678"/>
        <v/>
      </c>
      <c r="BJ1151" s="469" t="str">
        <f t="shared" si="679"/>
        <v/>
      </c>
      <c r="BK1151" s="470" t="str">
        <f t="shared" si="663"/>
        <v/>
      </c>
      <c r="BL1151" s="775" t="str">
        <f t="shared" si="680"/>
        <v/>
      </c>
      <c r="BM1151" s="775" t="str">
        <f t="shared" si="681"/>
        <v/>
      </c>
    </row>
    <row r="1152" spans="1:65">
      <c r="A1152" s="473">
        <v>1096</v>
      </c>
      <c r="B1152" s="132"/>
      <c r="C1152" s="332"/>
      <c r="D1152" s="333"/>
      <c r="E1152" s="333"/>
      <c r="F1152" s="334"/>
      <c r="G1152" s="337"/>
      <c r="H1152" s="131"/>
      <c r="I1152" s="337"/>
      <c r="J1152" s="131"/>
      <c r="K1152" s="458" t="str">
        <f t="shared" si="644"/>
        <v/>
      </c>
      <c r="L1152" s="458">
        <f t="shared" si="645"/>
        <v>0</v>
      </c>
      <c r="M1152" s="458">
        <f t="shared" si="646"/>
        <v>0</v>
      </c>
      <c r="N1152" s="459" t="str">
        <f t="shared" si="657"/>
        <v/>
      </c>
      <c r="O1152" s="459" t="str">
        <f t="shared" si="658"/>
        <v/>
      </c>
      <c r="P1152" s="459" t="str">
        <f t="shared" si="659"/>
        <v/>
      </c>
      <c r="Q1152" s="459" t="str">
        <f t="shared" si="660"/>
        <v/>
      </c>
      <c r="R1152" s="459" t="str">
        <f t="shared" si="661"/>
        <v/>
      </c>
      <c r="S1152" s="459" t="str">
        <f t="shared" si="662"/>
        <v/>
      </c>
      <c r="T1152" s="566" t="str">
        <f t="shared" si="647"/>
        <v/>
      </c>
      <c r="U1152" s="702"/>
      <c r="V1152" s="132"/>
      <c r="W1152" s="133"/>
      <c r="X1152" s="134"/>
      <c r="Y1152" s="135"/>
      <c r="Z1152" s="137"/>
      <c r="AA1152" s="136"/>
      <c r="AB1152" s="566" t="str">
        <f t="shared" si="648"/>
        <v/>
      </c>
      <c r="AC1152" s="568" t="str">
        <f t="shared" si="649"/>
        <v/>
      </c>
      <c r="AD1152" s="137"/>
      <c r="AE1152" s="137"/>
      <c r="AF1152" s="138"/>
      <c r="AG1152" s="138"/>
      <c r="AH1152" s="592" t="str">
        <f t="shared" si="650"/>
        <v/>
      </c>
      <c r="AI1152" s="592" t="str">
        <f t="shared" si="651"/>
        <v/>
      </c>
      <c r="AJ1152" s="592" t="str">
        <f t="shared" si="652"/>
        <v/>
      </c>
      <c r="AK1152" s="460" t="str">
        <f>IF(AU1152="","",IF(OR(AZ1152=8,AZ1152=9),0,IF(OR(AW1152=3,AW1152=4,AW1152=5,AW1152=6),IF(LEFT(BF1152,1)="1",INDEX(係数_NOX・PM低減,MATCH(AY1152,【参考】排出係数!$AI$801:$AI$804,1),1),VLOOKUP(AU1152,INDEX((係数_バス貨物_ガソリン,係数_バス貨物_CNG,係数_バス貨物_軽油,係数_バス貨物_メタノール,係数_バス貨物_LPG),MATCH(AY1152,【参考】排出係数!$AI$4:$AI$671,1),1,BE1152):INDEX((係数_バス貨物_ガソリン,係数_バス貨物_CNG,係数_バス貨物_軽油,係数_バス貨物_メタノール,係数_バス貨物_LPG),MATCH(AY1152+1,【参考】排出係数!$AI$4:$AI$671,1)-1,5,BE1152),4,FALSE)),IF(AND(BE1152=3,LEFT(BF1152,1)="1"),0.48,VLOOKUP(AU1152,INDEX((係数_乗用_ガソリン,係数_乗用_CNG,係数_乗用_軽油,係数_乗用_メタノール,係数_乗用_LPG),1,1,BE1152):INDEX((係数_乗用_ガソリン,係数_乗用_CNG,係数_乗用_軽油,係数_乗用_メタノール,係数_乗用_LPG),125,5,BE1152),4,FALSE)))))</f>
        <v/>
      </c>
      <c r="AL1152" s="461" t="str">
        <f t="shared" si="653"/>
        <v/>
      </c>
      <c r="AM1152" s="460" t="str">
        <f>IF(AU1152="","",IF(OR(AZ1152=8,AZ1152=9),0,IF(OR(AW1152=3,AW1152=4,AW1152=5,AW1152=6),IF(LEFT(BH1152,1)="1",INDEX(係数_PM低減,MATCH(AY1152,【参考】排出係数!$AI$801:$AI$804,1),MATCH(BI1152,【参考】排出係数!$AL$798:$AO$798,1)),VLOOKUP(AU1152,INDEX((係数_バス貨物_ガソリン,係数_バス貨物_CNG,係数_バス貨物_軽油,係数_バス貨物_メタノール,係数_バス貨物_LPG),MATCH(AY1152,【参考】排出係数!$AI$4:$AI$671,1),1,BE1152):INDEX((係数_バス貨物_ガソリン,係数_バス貨物_CNG,係数_バス貨物_軽油,係数_バス貨物_メタノール,係数_バス貨物_LPG),MATCH(AY1152+1,【参考】排出係数!$AI$4:$AI$671,1)-1,5,BE1152),5,FALSE)),IF(AND(BE1152=3,LEFT(BF1152,1)="1"),0.055,VLOOKUP(AU1152,INDEX((係数_乗用_ガソリン,係数_乗用_CNG,係数_乗用_軽油,係数_乗用_メタノール,係数_乗用_LPG),1,1,BE1152):INDEX((係数_乗用_ガソリン,係数_乗用_CNG,係数_乗用_軽油,係数_乗用_メタノール,係数_乗用_LPG),125,5,BE1152),5,FALSE)))))</f>
        <v/>
      </c>
      <c r="AN1152" s="461" t="str">
        <f t="shared" si="654"/>
        <v/>
      </c>
      <c r="AO1152" s="462" t="str">
        <f t="shared" si="655"/>
        <v/>
      </c>
      <c r="AP1152" s="463" t="str">
        <f t="shared" si="656"/>
        <v/>
      </c>
      <c r="AQ1152" s="464"/>
      <c r="AR1152" s="619"/>
      <c r="AS1152" s="465" t="str">
        <f t="shared" si="664"/>
        <v/>
      </c>
      <c r="AT1152" s="465" t="str">
        <f t="shared" si="665"/>
        <v/>
      </c>
      <c r="AU1152" s="466" t="str">
        <f t="shared" si="666"/>
        <v/>
      </c>
      <c r="AV1152" s="467" t="str">
        <f t="shared" si="667"/>
        <v/>
      </c>
      <c r="AW1152" s="467" t="str">
        <f t="shared" si="668"/>
        <v/>
      </c>
      <c r="AX1152" s="467" t="str">
        <f t="shared" si="669"/>
        <v/>
      </c>
      <c r="AY1152" s="467" t="str">
        <f t="shared" si="670"/>
        <v/>
      </c>
      <c r="AZ1152" s="467" t="str">
        <f t="shared" si="671"/>
        <v/>
      </c>
      <c r="BA1152" s="468" t="str">
        <f>IF(AS1152="","",IF(OR(AU1152="",AU1152="-"),"－",IF(OR(AZ1152=8,AZ1152=9),"",IF(OR(AW1152=3,AW1152=4,AW1152=5,AW1152=6),VLOOKUP(AU1152,INDEX((係数_バス貨物_ガソリン,係数_バス貨物_CNG,係数_バス貨物_軽油,係数_バス貨物_メタノール,係数_バス貨物_LPG),MATCH(AY1152,【参考】排出係数!$AI$4:$AI$671,1),1,BE1152):INDEX((係数_バス貨物_ガソリン,係数_バス貨物_CNG,係数_バス貨物_軽油,係数_バス貨物_メタノール,係数_バス貨物_LPG),MATCH(AY1152+1,【参考】排出係数!$AI$4:$AI$671,1)-1,5,BE1152),2,FALSE),IF(OR(AW1152=1,AW1152=2),VLOOKUP(AU1152,INDEX((係数_乗用_ガソリン,係数_乗用_CNG,係数_乗用_軽油,係数_乗用_メタノール,係数_乗用_LPG),1,1,BE1152):INDEX((係数_乗用_ガソリン,係数_乗用_CNG,係数_乗用_軽油,係数_乗用_メタノール,係数_乗用_LPG),125,5,BE1152),2,FALSE))))))</f>
        <v/>
      </c>
      <c r="BB1152" s="468" t="str">
        <f>IF(T1152="","",IF(OR(AU1152="",AU1152="-"),"－",IF(OR(AZ1152=8,AZ1152=9),"",IF(OR(AW1152=3,AW1152=4,AW1152=5,AW1152=6),VLOOKUP(AU1152,INDEX((係数_バス貨物_ガソリン,係数_バス貨物_CNG,係数_バス貨物_軽油,係数_バス貨物_メタノール,係数_バス貨物_LPG),MATCH(AY1152,【参考】排出係数!$AI$4:$AI$671,1),1,BE1152):INDEX((係数_バス貨物_ガソリン,係数_バス貨物_CNG,係数_バス貨物_軽油,係数_バス貨物_メタノール,係数_バス貨物_LPG),MATCH(AY1152+1,【参考】排出係数!$AI$4:$AI$671,1)-1,5,BE1152),3,FALSE),IF(OR(AW1152=1,AW1152=2),VLOOKUP(AU1152,INDEX((係数_乗用_ガソリン,係数_乗用_CNG,係数_乗用_軽油,係数_乗用_メタノール,係数_乗用_LPG),1,1,BE1152):INDEX((係数_乗用_ガソリン,係数_乗用_CNG,係数_乗用_軽油,係数_乗用_メタノール,係数_乗用_LPG),125,5,BE1152),3,FALSE))))))</f>
        <v/>
      </c>
      <c r="BC1152" s="467" t="str">
        <f t="shared" si="672"/>
        <v/>
      </c>
      <c r="BD1152" s="567" t="str">
        <f t="shared" si="673"/>
        <v/>
      </c>
      <c r="BE1152" s="467" t="str">
        <f t="shared" si="674"/>
        <v/>
      </c>
      <c r="BF1152" s="469" t="str">
        <f t="shared" ca="1" si="675"/>
        <v/>
      </c>
      <c r="BG1152" s="469" t="str">
        <f t="shared" ca="1" si="676"/>
        <v/>
      </c>
      <c r="BH1152" s="467" t="str">
        <f t="shared" si="677"/>
        <v/>
      </c>
      <c r="BI1152" s="467" t="str">
        <f t="shared" ca="1" si="678"/>
        <v/>
      </c>
      <c r="BJ1152" s="469" t="str">
        <f t="shared" si="679"/>
        <v/>
      </c>
      <c r="BK1152" s="470" t="str">
        <f t="shared" si="663"/>
        <v/>
      </c>
      <c r="BL1152" s="775" t="str">
        <f t="shared" si="680"/>
        <v/>
      </c>
      <c r="BM1152" s="775" t="str">
        <f t="shared" si="681"/>
        <v/>
      </c>
    </row>
    <row r="1153" spans="1:65">
      <c r="A1153" s="473">
        <v>1097</v>
      </c>
      <c r="B1153" s="132"/>
      <c r="C1153" s="332"/>
      <c r="D1153" s="333"/>
      <c r="E1153" s="333"/>
      <c r="F1153" s="334"/>
      <c r="G1153" s="337"/>
      <c r="H1153" s="131"/>
      <c r="I1153" s="337"/>
      <c r="J1153" s="131"/>
      <c r="K1153" s="458" t="str">
        <f t="shared" si="644"/>
        <v/>
      </c>
      <c r="L1153" s="458">
        <f t="shared" si="645"/>
        <v>0</v>
      </c>
      <c r="M1153" s="458">
        <f t="shared" si="646"/>
        <v>0</v>
      </c>
      <c r="N1153" s="459" t="str">
        <f t="shared" si="657"/>
        <v/>
      </c>
      <c r="O1153" s="459" t="str">
        <f t="shared" si="658"/>
        <v/>
      </c>
      <c r="P1153" s="459" t="str">
        <f t="shared" si="659"/>
        <v/>
      </c>
      <c r="Q1153" s="459" t="str">
        <f t="shared" si="660"/>
        <v/>
      </c>
      <c r="R1153" s="459" t="str">
        <f t="shared" si="661"/>
        <v/>
      </c>
      <c r="S1153" s="459" t="str">
        <f t="shared" si="662"/>
        <v/>
      </c>
      <c r="T1153" s="566" t="str">
        <f t="shared" si="647"/>
        <v/>
      </c>
      <c r="U1153" s="702"/>
      <c r="V1153" s="132"/>
      <c r="W1153" s="133"/>
      <c r="X1153" s="134"/>
      <c r="Y1153" s="135"/>
      <c r="Z1153" s="137"/>
      <c r="AA1153" s="136"/>
      <c r="AB1153" s="566" t="str">
        <f t="shared" si="648"/>
        <v/>
      </c>
      <c r="AC1153" s="568" t="str">
        <f t="shared" si="649"/>
        <v/>
      </c>
      <c r="AD1153" s="137"/>
      <c r="AE1153" s="137"/>
      <c r="AF1153" s="138"/>
      <c r="AG1153" s="138"/>
      <c r="AH1153" s="592" t="str">
        <f t="shared" si="650"/>
        <v/>
      </c>
      <c r="AI1153" s="592" t="str">
        <f t="shared" si="651"/>
        <v/>
      </c>
      <c r="AJ1153" s="592" t="str">
        <f t="shared" si="652"/>
        <v/>
      </c>
      <c r="AK1153" s="460" t="str">
        <f>IF(AU1153="","",IF(OR(AZ1153=8,AZ1153=9),0,IF(OR(AW1153=3,AW1153=4,AW1153=5,AW1153=6),IF(LEFT(BF1153,1)="1",INDEX(係数_NOX・PM低減,MATCH(AY1153,【参考】排出係数!$AI$801:$AI$804,1),1),VLOOKUP(AU1153,INDEX((係数_バス貨物_ガソリン,係数_バス貨物_CNG,係数_バス貨物_軽油,係数_バス貨物_メタノール,係数_バス貨物_LPG),MATCH(AY1153,【参考】排出係数!$AI$4:$AI$671,1),1,BE1153):INDEX((係数_バス貨物_ガソリン,係数_バス貨物_CNG,係数_バス貨物_軽油,係数_バス貨物_メタノール,係数_バス貨物_LPG),MATCH(AY1153+1,【参考】排出係数!$AI$4:$AI$671,1)-1,5,BE1153),4,FALSE)),IF(AND(BE1153=3,LEFT(BF1153,1)="1"),0.48,VLOOKUP(AU1153,INDEX((係数_乗用_ガソリン,係数_乗用_CNG,係数_乗用_軽油,係数_乗用_メタノール,係数_乗用_LPG),1,1,BE1153):INDEX((係数_乗用_ガソリン,係数_乗用_CNG,係数_乗用_軽油,係数_乗用_メタノール,係数_乗用_LPG),125,5,BE1153),4,FALSE)))))</f>
        <v/>
      </c>
      <c r="AL1153" s="461" t="str">
        <f t="shared" si="653"/>
        <v/>
      </c>
      <c r="AM1153" s="460" t="str">
        <f>IF(AU1153="","",IF(OR(AZ1153=8,AZ1153=9),0,IF(OR(AW1153=3,AW1153=4,AW1153=5,AW1153=6),IF(LEFT(BH1153,1)="1",INDEX(係数_PM低減,MATCH(AY1153,【参考】排出係数!$AI$801:$AI$804,1),MATCH(BI1153,【参考】排出係数!$AL$798:$AO$798,1)),VLOOKUP(AU1153,INDEX((係数_バス貨物_ガソリン,係数_バス貨物_CNG,係数_バス貨物_軽油,係数_バス貨物_メタノール,係数_バス貨物_LPG),MATCH(AY1153,【参考】排出係数!$AI$4:$AI$671,1),1,BE1153):INDEX((係数_バス貨物_ガソリン,係数_バス貨物_CNG,係数_バス貨物_軽油,係数_バス貨物_メタノール,係数_バス貨物_LPG),MATCH(AY1153+1,【参考】排出係数!$AI$4:$AI$671,1)-1,5,BE1153),5,FALSE)),IF(AND(BE1153=3,LEFT(BF1153,1)="1"),0.055,VLOOKUP(AU1153,INDEX((係数_乗用_ガソリン,係数_乗用_CNG,係数_乗用_軽油,係数_乗用_メタノール,係数_乗用_LPG),1,1,BE1153):INDEX((係数_乗用_ガソリン,係数_乗用_CNG,係数_乗用_軽油,係数_乗用_メタノール,係数_乗用_LPG),125,5,BE1153),5,FALSE)))))</f>
        <v/>
      </c>
      <c r="AN1153" s="461" t="str">
        <f t="shared" si="654"/>
        <v/>
      </c>
      <c r="AO1153" s="462" t="str">
        <f t="shared" si="655"/>
        <v/>
      </c>
      <c r="AP1153" s="463" t="str">
        <f t="shared" si="656"/>
        <v/>
      </c>
      <c r="AQ1153" s="464"/>
      <c r="AR1153" s="619"/>
      <c r="AS1153" s="465" t="str">
        <f t="shared" si="664"/>
        <v/>
      </c>
      <c r="AT1153" s="465" t="str">
        <f t="shared" si="665"/>
        <v/>
      </c>
      <c r="AU1153" s="466" t="str">
        <f t="shared" si="666"/>
        <v/>
      </c>
      <c r="AV1153" s="467" t="str">
        <f t="shared" si="667"/>
        <v/>
      </c>
      <c r="AW1153" s="467" t="str">
        <f t="shared" si="668"/>
        <v/>
      </c>
      <c r="AX1153" s="467" t="str">
        <f t="shared" si="669"/>
        <v/>
      </c>
      <c r="AY1153" s="467" t="str">
        <f t="shared" si="670"/>
        <v/>
      </c>
      <c r="AZ1153" s="467" t="str">
        <f t="shared" si="671"/>
        <v/>
      </c>
      <c r="BA1153" s="468" t="str">
        <f>IF(AS1153="","",IF(OR(AU1153="",AU1153="-"),"－",IF(OR(AZ1153=8,AZ1153=9),"",IF(OR(AW1153=3,AW1153=4,AW1153=5,AW1153=6),VLOOKUP(AU1153,INDEX((係数_バス貨物_ガソリン,係数_バス貨物_CNG,係数_バス貨物_軽油,係数_バス貨物_メタノール,係数_バス貨物_LPG),MATCH(AY1153,【参考】排出係数!$AI$4:$AI$671,1),1,BE1153):INDEX((係数_バス貨物_ガソリン,係数_バス貨物_CNG,係数_バス貨物_軽油,係数_バス貨物_メタノール,係数_バス貨物_LPG),MATCH(AY1153+1,【参考】排出係数!$AI$4:$AI$671,1)-1,5,BE1153),2,FALSE),IF(OR(AW1153=1,AW1153=2),VLOOKUP(AU1153,INDEX((係数_乗用_ガソリン,係数_乗用_CNG,係数_乗用_軽油,係数_乗用_メタノール,係数_乗用_LPG),1,1,BE1153):INDEX((係数_乗用_ガソリン,係数_乗用_CNG,係数_乗用_軽油,係数_乗用_メタノール,係数_乗用_LPG),125,5,BE1153),2,FALSE))))))</f>
        <v/>
      </c>
      <c r="BB1153" s="468" t="str">
        <f>IF(T1153="","",IF(OR(AU1153="",AU1153="-"),"－",IF(OR(AZ1153=8,AZ1153=9),"",IF(OR(AW1153=3,AW1153=4,AW1153=5,AW1153=6),VLOOKUP(AU1153,INDEX((係数_バス貨物_ガソリン,係数_バス貨物_CNG,係数_バス貨物_軽油,係数_バス貨物_メタノール,係数_バス貨物_LPG),MATCH(AY1153,【参考】排出係数!$AI$4:$AI$671,1),1,BE1153):INDEX((係数_バス貨物_ガソリン,係数_バス貨物_CNG,係数_バス貨物_軽油,係数_バス貨物_メタノール,係数_バス貨物_LPG),MATCH(AY1153+1,【参考】排出係数!$AI$4:$AI$671,1)-1,5,BE1153),3,FALSE),IF(OR(AW1153=1,AW1153=2),VLOOKUP(AU1153,INDEX((係数_乗用_ガソリン,係数_乗用_CNG,係数_乗用_軽油,係数_乗用_メタノール,係数_乗用_LPG),1,1,BE1153):INDEX((係数_乗用_ガソリン,係数_乗用_CNG,係数_乗用_軽油,係数_乗用_メタノール,係数_乗用_LPG),125,5,BE1153),3,FALSE))))))</f>
        <v/>
      </c>
      <c r="BC1153" s="467" t="str">
        <f t="shared" si="672"/>
        <v/>
      </c>
      <c r="BD1153" s="567" t="str">
        <f t="shared" si="673"/>
        <v/>
      </c>
      <c r="BE1153" s="467" t="str">
        <f t="shared" si="674"/>
        <v/>
      </c>
      <c r="BF1153" s="469" t="str">
        <f t="shared" ca="1" si="675"/>
        <v/>
      </c>
      <c r="BG1153" s="469" t="str">
        <f t="shared" ca="1" si="676"/>
        <v/>
      </c>
      <c r="BH1153" s="467" t="str">
        <f t="shared" si="677"/>
        <v/>
      </c>
      <c r="BI1153" s="467" t="str">
        <f t="shared" ca="1" si="678"/>
        <v/>
      </c>
      <c r="BJ1153" s="469" t="str">
        <f t="shared" si="679"/>
        <v/>
      </c>
      <c r="BK1153" s="470" t="str">
        <f t="shared" si="663"/>
        <v/>
      </c>
      <c r="BL1153" s="775" t="str">
        <f t="shared" si="680"/>
        <v/>
      </c>
      <c r="BM1153" s="775" t="str">
        <f t="shared" si="681"/>
        <v/>
      </c>
    </row>
    <row r="1154" spans="1:65">
      <c r="A1154" s="473">
        <v>1098</v>
      </c>
      <c r="B1154" s="132"/>
      <c r="C1154" s="332"/>
      <c r="D1154" s="333"/>
      <c r="E1154" s="333"/>
      <c r="F1154" s="334"/>
      <c r="G1154" s="337"/>
      <c r="H1154" s="131"/>
      <c r="I1154" s="337"/>
      <c r="J1154" s="131"/>
      <c r="K1154" s="458" t="str">
        <f t="shared" si="644"/>
        <v/>
      </c>
      <c r="L1154" s="458">
        <f t="shared" si="645"/>
        <v>0</v>
      </c>
      <c r="M1154" s="458">
        <f t="shared" si="646"/>
        <v>0</v>
      </c>
      <c r="N1154" s="459" t="str">
        <f t="shared" si="657"/>
        <v/>
      </c>
      <c r="O1154" s="459" t="str">
        <f t="shared" si="658"/>
        <v/>
      </c>
      <c r="P1154" s="459" t="str">
        <f t="shared" si="659"/>
        <v/>
      </c>
      <c r="Q1154" s="459" t="str">
        <f t="shared" si="660"/>
        <v/>
      </c>
      <c r="R1154" s="459" t="str">
        <f t="shared" si="661"/>
        <v/>
      </c>
      <c r="S1154" s="459" t="str">
        <f t="shared" si="662"/>
        <v/>
      </c>
      <c r="T1154" s="566" t="str">
        <f t="shared" si="647"/>
        <v/>
      </c>
      <c r="U1154" s="702"/>
      <c r="V1154" s="132"/>
      <c r="W1154" s="133"/>
      <c r="X1154" s="134"/>
      <c r="Y1154" s="135"/>
      <c r="Z1154" s="137"/>
      <c r="AA1154" s="136"/>
      <c r="AB1154" s="566" t="str">
        <f t="shared" si="648"/>
        <v/>
      </c>
      <c r="AC1154" s="568" t="str">
        <f t="shared" si="649"/>
        <v/>
      </c>
      <c r="AD1154" s="137"/>
      <c r="AE1154" s="137"/>
      <c r="AF1154" s="138"/>
      <c r="AG1154" s="138"/>
      <c r="AH1154" s="592" t="str">
        <f t="shared" si="650"/>
        <v/>
      </c>
      <c r="AI1154" s="592" t="str">
        <f t="shared" si="651"/>
        <v/>
      </c>
      <c r="AJ1154" s="592" t="str">
        <f t="shared" si="652"/>
        <v/>
      </c>
      <c r="AK1154" s="460" t="str">
        <f>IF(AU1154="","",IF(OR(AZ1154=8,AZ1154=9),0,IF(OR(AW1154=3,AW1154=4,AW1154=5,AW1154=6),IF(LEFT(BF1154,1)="1",INDEX(係数_NOX・PM低減,MATCH(AY1154,【参考】排出係数!$AI$801:$AI$804,1),1),VLOOKUP(AU1154,INDEX((係数_バス貨物_ガソリン,係数_バス貨物_CNG,係数_バス貨物_軽油,係数_バス貨物_メタノール,係数_バス貨物_LPG),MATCH(AY1154,【参考】排出係数!$AI$4:$AI$671,1),1,BE1154):INDEX((係数_バス貨物_ガソリン,係数_バス貨物_CNG,係数_バス貨物_軽油,係数_バス貨物_メタノール,係数_バス貨物_LPG),MATCH(AY1154+1,【参考】排出係数!$AI$4:$AI$671,1)-1,5,BE1154),4,FALSE)),IF(AND(BE1154=3,LEFT(BF1154,1)="1"),0.48,VLOOKUP(AU1154,INDEX((係数_乗用_ガソリン,係数_乗用_CNG,係数_乗用_軽油,係数_乗用_メタノール,係数_乗用_LPG),1,1,BE1154):INDEX((係数_乗用_ガソリン,係数_乗用_CNG,係数_乗用_軽油,係数_乗用_メタノール,係数_乗用_LPG),125,5,BE1154),4,FALSE)))))</f>
        <v/>
      </c>
      <c r="AL1154" s="461" t="str">
        <f t="shared" si="653"/>
        <v/>
      </c>
      <c r="AM1154" s="460" t="str">
        <f>IF(AU1154="","",IF(OR(AZ1154=8,AZ1154=9),0,IF(OR(AW1154=3,AW1154=4,AW1154=5,AW1154=6),IF(LEFT(BH1154,1)="1",INDEX(係数_PM低減,MATCH(AY1154,【参考】排出係数!$AI$801:$AI$804,1),MATCH(BI1154,【参考】排出係数!$AL$798:$AO$798,1)),VLOOKUP(AU1154,INDEX((係数_バス貨物_ガソリン,係数_バス貨物_CNG,係数_バス貨物_軽油,係数_バス貨物_メタノール,係数_バス貨物_LPG),MATCH(AY1154,【参考】排出係数!$AI$4:$AI$671,1),1,BE1154):INDEX((係数_バス貨物_ガソリン,係数_バス貨物_CNG,係数_バス貨物_軽油,係数_バス貨物_メタノール,係数_バス貨物_LPG),MATCH(AY1154+1,【参考】排出係数!$AI$4:$AI$671,1)-1,5,BE1154),5,FALSE)),IF(AND(BE1154=3,LEFT(BF1154,1)="1"),0.055,VLOOKUP(AU1154,INDEX((係数_乗用_ガソリン,係数_乗用_CNG,係数_乗用_軽油,係数_乗用_メタノール,係数_乗用_LPG),1,1,BE1154):INDEX((係数_乗用_ガソリン,係数_乗用_CNG,係数_乗用_軽油,係数_乗用_メタノール,係数_乗用_LPG),125,5,BE1154),5,FALSE)))))</f>
        <v/>
      </c>
      <c r="AN1154" s="461" t="str">
        <f t="shared" si="654"/>
        <v/>
      </c>
      <c r="AO1154" s="462" t="str">
        <f t="shared" si="655"/>
        <v/>
      </c>
      <c r="AP1154" s="463" t="str">
        <f t="shared" si="656"/>
        <v/>
      </c>
      <c r="AQ1154" s="464"/>
      <c r="AR1154" s="619"/>
      <c r="AS1154" s="465" t="str">
        <f t="shared" si="664"/>
        <v/>
      </c>
      <c r="AT1154" s="465" t="str">
        <f t="shared" si="665"/>
        <v/>
      </c>
      <c r="AU1154" s="466" t="str">
        <f t="shared" si="666"/>
        <v/>
      </c>
      <c r="AV1154" s="467" t="str">
        <f t="shared" si="667"/>
        <v/>
      </c>
      <c r="AW1154" s="467" t="str">
        <f t="shared" si="668"/>
        <v/>
      </c>
      <c r="AX1154" s="467" t="str">
        <f t="shared" si="669"/>
        <v/>
      </c>
      <c r="AY1154" s="467" t="str">
        <f t="shared" si="670"/>
        <v/>
      </c>
      <c r="AZ1154" s="467" t="str">
        <f t="shared" si="671"/>
        <v/>
      </c>
      <c r="BA1154" s="468" t="str">
        <f>IF(AS1154="","",IF(OR(AU1154="",AU1154="-"),"－",IF(OR(AZ1154=8,AZ1154=9),"",IF(OR(AW1154=3,AW1154=4,AW1154=5,AW1154=6),VLOOKUP(AU1154,INDEX((係数_バス貨物_ガソリン,係数_バス貨物_CNG,係数_バス貨物_軽油,係数_バス貨物_メタノール,係数_バス貨物_LPG),MATCH(AY1154,【参考】排出係数!$AI$4:$AI$671,1),1,BE1154):INDEX((係数_バス貨物_ガソリン,係数_バス貨物_CNG,係数_バス貨物_軽油,係数_バス貨物_メタノール,係数_バス貨物_LPG),MATCH(AY1154+1,【参考】排出係数!$AI$4:$AI$671,1)-1,5,BE1154),2,FALSE),IF(OR(AW1154=1,AW1154=2),VLOOKUP(AU1154,INDEX((係数_乗用_ガソリン,係数_乗用_CNG,係数_乗用_軽油,係数_乗用_メタノール,係数_乗用_LPG),1,1,BE1154):INDEX((係数_乗用_ガソリン,係数_乗用_CNG,係数_乗用_軽油,係数_乗用_メタノール,係数_乗用_LPG),125,5,BE1154),2,FALSE))))))</f>
        <v/>
      </c>
      <c r="BB1154" s="468" t="str">
        <f>IF(T1154="","",IF(OR(AU1154="",AU1154="-"),"－",IF(OR(AZ1154=8,AZ1154=9),"",IF(OR(AW1154=3,AW1154=4,AW1154=5,AW1154=6),VLOOKUP(AU1154,INDEX((係数_バス貨物_ガソリン,係数_バス貨物_CNG,係数_バス貨物_軽油,係数_バス貨物_メタノール,係数_バス貨物_LPG),MATCH(AY1154,【参考】排出係数!$AI$4:$AI$671,1),1,BE1154):INDEX((係数_バス貨物_ガソリン,係数_バス貨物_CNG,係数_バス貨物_軽油,係数_バス貨物_メタノール,係数_バス貨物_LPG),MATCH(AY1154+1,【参考】排出係数!$AI$4:$AI$671,1)-1,5,BE1154),3,FALSE),IF(OR(AW1154=1,AW1154=2),VLOOKUP(AU1154,INDEX((係数_乗用_ガソリン,係数_乗用_CNG,係数_乗用_軽油,係数_乗用_メタノール,係数_乗用_LPG),1,1,BE1154):INDEX((係数_乗用_ガソリン,係数_乗用_CNG,係数_乗用_軽油,係数_乗用_メタノール,係数_乗用_LPG),125,5,BE1154),3,FALSE))))))</f>
        <v/>
      </c>
      <c r="BC1154" s="467" t="str">
        <f t="shared" si="672"/>
        <v/>
      </c>
      <c r="BD1154" s="567" t="str">
        <f t="shared" si="673"/>
        <v/>
      </c>
      <c r="BE1154" s="467" t="str">
        <f t="shared" si="674"/>
        <v/>
      </c>
      <c r="BF1154" s="469" t="str">
        <f t="shared" ca="1" si="675"/>
        <v/>
      </c>
      <c r="BG1154" s="469" t="str">
        <f t="shared" ca="1" si="676"/>
        <v/>
      </c>
      <c r="BH1154" s="467" t="str">
        <f t="shared" si="677"/>
        <v/>
      </c>
      <c r="BI1154" s="467" t="str">
        <f t="shared" ca="1" si="678"/>
        <v/>
      </c>
      <c r="BJ1154" s="469" t="str">
        <f t="shared" si="679"/>
        <v/>
      </c>
      <c r="BK1154" s="470" t="str">
        <f t="shared" si="663"/>
        <v/>
      </c>
      <c r="BL1154" s="775" t="str">
        <f t="shared" si="680"/>
        <v/>
      </c>
      <c r="BM1154" s="775" t="str">
        <f t="shared" si="681"/>
        <v/>
      </c>
    </row>
    <row r="1155" spans="1:65">
      <c r="A1155" s="473">
        <v>1099</v>
      </c>
      <c r="B1155" s="132"/>
      <c r="C1155" s="332"/>
      <c r="D1155" s="333"/>
      <c r="E1155" s="333"/>
      <c r="F1155" s="334"/>
      <c r="G1155" s="337"/>
      <c r="H1155" s="131"/>
      <c r="I1155" s="337"/>
      <c r="J1155" s="131"/>
      <c r="K1155" s="458" t="str">
        <f t="shared" si="644"/>
        <v/>
      </c>
      <c r="L1155" s="458">
        <f t="shared" si="645"/>
        <v>0</v>
      </c>
      <c r="M1155" s="458">
        <f t="shared" si="646"/>
        <v>0</v>
      </c>
      <c r="N1155" s="459" t="str">
        <f t="shared" si="657"/>
        <v/>
      </c>
      <c r="O1155" s="459" t="str">
        <f t="shared" si="658"/>
        <v/>
      </c>
      <c r="P1155" s="459" t="str">
        <f t="shared" si="659"/>
        <v/>
      </c>
      <c r="Q1155" s="459" t="str">
        <f t="shared" si="660"/>
        <v/>
      </c>
      <c r="R1155" s="459" t="str">
        <f t="shared" si="661"/>
        <v/>
      </c>
      <c r="S1155" s="459" t="str">
        <f t="shared" si="662"/>
        <v/>
      </c>
      <c r="T1155" s="566" t="str">
        <f t="shared" si="647"/>
        <v/>
      </c>
      <c r="U1155" s="702"/>
      <c r="V1155" s="132"/>
      <c r="W1155" s="133"/>
      <c r="X1155" s="134"/>
      <c r="Y1155" s="135"/>
      <c r="Z1155" s="137"/>
      <c r="AA1155" s="136"/>
      <c r="AB1155" s="566" t="str">
        <f t="shared" si="648"/>
        <v/>
      </c>
      <c r="AC1155" s="568" t="str">
        <f t="shared" si="649"/>
        <v/>
      </c>
      <c r="AD1155" s="137"/>
      <c r="AE1155" s="137"/>
      <c r="AF1155" s="138"/>
      <c r="AG1155" s="138"/>
      <c r="AH1155" s="592" t="str">
        <f t="shared" si="650"/>
        <v/>
      </c>
      <c r="AI1155" s="592" t="str">
        <f t="shared" si="651"/>
        <v/>
      </c>
      <c r="AJ1155" s="592" t="str">
        <f t="shared" si="652"/>
        <v/>
      </c>
      <c r="AK1155" s="460" t="str">
        <f>IF(AU1155="","",IF(OR(AZ1155=8,AZ1155=9),0,IF(OR(AW1155=3,AW1155=4,AW1155=5,AW1155=6),IF(LEFT(BF1155,1)="1",INDEX(係数_NOX・PM低減,MATCH(AY1155,【参考】排出係数!$AI$801:$AI$804,1),1),VLOOKUP(AU1155,INDEX((係数_バス貨物_ガソリン,係数_バス貨物_CNG,係数_バス貨物_軽油,係数_バス貨物_メタノール,係数_バス貨物_LPG),MATCH(AY1155,【参考】排出係数!$AI$4:$AI$671,1),1,BE1155):INDEX((係数_バス貨物_ガソリン,係数_バス貨物_CNG,係数_バス貨物_軽油,係数_バス貨物_メタノール,係数_バス貨物_LPG),MATCH(AY1155+1,【参考】排出係数!$AI$4:$AI$671,1)-1,5,BE1155),4,FALSE)),IF(AND(BE1155=3,LEFT(BF1155,1)="1"),0.48,VLOOKUP(AU1155,INDEX((係数_乗用_ガソリン,係数_乗用_CNG,係数_乗用_軽油,係数_乗用_メタノール,係数_乗用_LPG),1,1,BE1155):INDEX((係数_乗用_ガソリン,係数_乗用_CNG,係数_乗用_軽油,係数_乗用_メタノール,係数_乗用_LPG),125,5,BE1155),4,FALSE)))))</f>
        <v/>
      </c>
      <c r="AL1155" s="461" t="str">
        <f t="shared" si="653"/>
        <v/>
      </c>
      <c r="AM1155" s="460" t="str">
        <f>IF(AU1155="","",IF(OR(AZ1155=8,AZ1155=9),0,IF(OR(AW1155=3,AW1155=4,AW1155=5,AW1155=6),IF(LEFT(BH1155,1)="1",INDEX(係数_PM低減,MATCH(AY1155,【参考】排出係数!$AI$801:$AI$804,1),MATCH(BI1155,【参考】排出係数!$AL$798:$AO$798,1)),VLOOKUP(AU1155,INDEX((係数_バス貨物_ガソリン,係数_バス貨物_CNG,係数_バス貨物_軽油,係数_バス貨物_メタノール,係数_バス貨物_LPG),MATCH(AY1155,【参考】排出係数!$AI$4:$AI$671,1),1,BE1155):INDEX((係数_バス貨物_ガソリン,係数_バス貨物_CNG,係数_バス貨物_軽油,係数_バス貨物_メタノール,係数_バス貨物_LPG),MATCH(AY1155+1,【参考】排出係数!$AI$4:$AI$671,1)-1,5,BE1155),5,FALSE)),IF(AND(BE1155=3,LEFT(BF1155,1)="1"),0.055,VLOOKUP(AU1155,INDEX((係数_乗用_ガソリン,係数_乗用_CNG,係数_乗用_軽油,係数_乗用_メタノール,係数_乗用_LPG),1,1,BE1155):INDEX((係数_乗用_ガソリン,係数_乗用_CNG,係数_乗用_軽油,係数_乗用_メタノール,係数_乗用_LPG),125,5,BE1155),5,FALSE)))))</f>
        <v/>
      </c>
      <c r="AN1155" s="461" t="str">
        <f t="shared" si="654"/>
        <v/>
      </c>
      <c r="AO1155" s="462" t="str">
        <f t="shared" si="655"/>
        <v/>
      </c>
      <c r="AP1155" s="463" t="str">
        <f t="shared" si="656"/>
        <v/>
      </c>
      <c r="AQ1155" s="464"/>
      <c r="AR1155" s="619"/>
      <c r="AS1155" s="465" t="str">
        <f t="shared" si="664"/>
        <v/>
      </c>
      <c r="AT1155" s="465" t="str">
        <f t="shared" si="665"/>
        <v/>
      </c>
      <c r="AU1155" s="466" t="str">
        <f t="shared" si="666"/>
        <v/>
      </c>
      <c r="AV1155" s="467" t="str">
        <f t="shared" si="667"/>
        <v/>
      </c>
      <c r="AW1155" s="467" t="str">
        <f t="shared" si="668"/>
        <v/>
      </c>
      <c r="AX1155" s="467" t="str">
        <f t="shared" si="669"/>
        <v/>
      </c>
      <c r="AY1155" s="467" t="str">
        <f t="shared" si="670"/>
        <v/>
      </c>
      <c r="AZ1155" s="467" t="str">
        <f t="shared" si="671"/>
        <v/>
      </c>
      <c r="BA1155" s="468" t="str">
        <f>IF(AS1155="","",IF(OR(AU1155="",AU1155="-"),"－",IF(OR(AZ1155=8,AZ1155=9),"",IF(OR(AW1155=3,AW1155=4,AW1155=5,AW1155=6),VLOOKUP(AU1155,INDEX((係数_バス貨物_ガソリン,係数_バス貨物_CNG,係数_バス貨物_軽油,係数_バス貨物_メタノール,係数_バス貨物_LPG),MATCH(AY1155,【参考】排出係数!$AI$4:$AI$671,1),1,BE1155):INDEX((係数_バス貨物_ガソリン,係数_バス貨物_CNG,係数_バス貨物_軽油,係数_バス貨物_メタノール,係数_バス貨物_LPG),MATCH(AY1155+1,【参考】排出係数!$AI$4:$AI$671,1)-1,5,BE1155),2,FALSE),IF(OR(AW1155=1,AW1155=2),VLOOKUP(AU1155,INDEX((係数_乗用_ガソリン,係数_乗用_CNG,係数_乗用_軽油,係数_乗用_メタノール,係数_乗用_LPG),1,1,BE1155):INDEX((係数_乗用_ガソリン,係数_乗用_CNG,係数_乗用_軽油,係数_乗用_メタノール,係数_乗用_LPG),125,5,BE1155),2,FALSE))))))</f>
        <v/>
      </c>
      <c r="BB1155" s="468" t="str">
        <f>IF(T1155="","",IF(OR(AU1155="",AU1155="-"),"－",IF(OR(AZ1155=8,AZ1155=9),"",IF(OR(AW1155=3,AW1155=4,AW1155=5,AW1155=6),VLOOKUP(AU1155,INDEX((係数_バス貨物_ガソリン,係数_バス貨物_CNG,係数_バス貨物_軽油,係数_バス貨物_メタノール,係数_バス貨物_LPG),MATCH(AY1155,【参考】排出係数!$AI$4:$AI$671,1),1,BE1155):INDEX((係数_バス貨物_ガソリン,係数_バス貨物_CNG,係数_バス貨物_軽油,係数_バス貨物_メタノール,係数_バス貨物_LPG),MATCH(AY1155+1,【参考】排出係数!$AI$4:$AI$671,1)-1,5,BE1155),3,FALSE),IF(OR(AW1155=1,AW1155=2),VLOOKUP(AU1155,INDEX((係数_乗用_ガソリン,係数_乗用_CNG,係数_乗用_軽油,係数_乗用_メタノール,係数_乗用_LPG),1,1,BE1155):INDEX((係数_乗用_ガソリン,係数_乗用_CNG,係数_乗用_軽油,係数_乗用_メタノール,係数_乗用_LPG),125,5,BE1155),3,FALSE))))))</f>
        <v/>
      </c>
      <c r="BC1155" s="467" t="str">
        <f t="shared" si="672"/>
        <v/>
      </c>
      <c r="BD1155" s="567" t="str">
        <f t="shared" si="673"/>
        <v/>
      </c>
      <c r="BE1155" s="467" t="str">
        <f t="shared" si="674"/>
        <v/>
      </c>
      <c r="BF1155" s="469" t="str">
        <f t="shared" ca="1" si="675"/>
        <v/>
      </c>
      <c r="BG1155" s="469" t="str">
        <f t="shared" ca="1" si="676"/>
        <v/>
      </c>
      <c r="BH1155" s="467" t="str">
        <f t="shared" si="677"/>
        <v/>
      </c>
      <c r="BI1155" s="467" t="str">
        <f t="shared" ca="1" si="678"/>
        <v/>
      </c>
      <c r="BJ1155" s="469" t="str">
        <f t="shared" si="679"/>
        <v/>
      </c>
      <c r="BK1155" s="470" t="str">
        <f t="shared" si="663"/>
        <v/>
      </c>
      <c r="BL1155" s="775" t="str">
        <f t="shared" si="680"/>
        <v/>
      </c>
      <c r="BM1155" s="775" t="str">
        <f t="shared" si="681"/>
        <v/>
      </c>
    </row>
    <row r="1156" spans="1:65">
      <c r="A1156" s="473">
        <v>1100</v>
      </c>
      <c r="B1156" s="132"/>
      <c r="C1156" s="332"/>
      <c r="D1156" s="333"/>
      <c r="E1156" s="333"/>
      <c r="F1156" s="334"/>
      <c r="G1156" s="337"/>
      <c r="H1156" s="131"/>
      <c r="I1156" s="337"/>
      <c r="J1156" s="131"/>
      <c r="K1156" s="458" t="str">
        <f t="shared" si="644"/>
        <v/>
      </c>
      <c r="L1156" s="458">
        <f t="shared" si="645"/>
        <v>0</v>
      </c>
      <c r="M1156" s="458">
        <f t="shared" si="646"/>
        <v>0</v>
      </c>
      <c r="N1156" s="459" t="str">
        <f t="shared" si="657"/>
        <v/>
      </c>
      <c r="O1156" s="459" t="str">
        <f t="shared" si="658"/>
        <v/>
      </c>
      <c r="P1156" s="459" t="str">
        <f t="shared" si="659"/>
        <v/>
      </c>
      <c r="Q1156" s="459" t="str">
        <f t="shared" si="660"/>
        <v/>
      </c>
      <c r="R1156" s="459" t="str">
        <f t="shared" si="661"/>
        <v/>
      </c>
      <c r="S1156" s="459" t="str">
        <f t="shared" si="662"/>
        <v/>
      </c>
      <c r="T1156" s="566" t="str">
        <f t="shared" si="647"/>
        <v/>
      </c>
      <c r="U1156" s="702"/>
      <c r="V1156" s="132"/>
      <c r="W1156" s="133"/>
      <c r="X1156" s="134"/>
      <c r="Y1156" s="135"/>
      <c r="Z1156" s="137"/>
      <c r="AA1156" s="136"/>
      <c r="AB1156" s="566" t="str">
        <f t="shared" si="648"/>
        <v/>
      </c>
      <c r="AC1156" s="568" t="str">
        <f t="shared" si="649"/>
        <v/>
      </c>
      <c r="AD1156" s="137"/>
      <c r="AE1156" s="137"/>
      <c r="AF1156" s="138"/>
      <c r="AG1156" s="138"/>
      <c r="AH1156" s="592" t="str">
        <f t="shared" si="650"/>
        <v/>
      </c>
      <c r="AI1156" s="592" t="str">
        <f t="shared" si="651"/>
        <v/>
      </c>
      <c r="AJ1156" s="592" t="str">
        <f t="shared" si="652"/>
        <v/>
      </c>
      <c r="AK1156" s="460" t="str">
        <f>IF(AU1156="","",IF(OR(AZ1156=8,AZ1156=9),0,IF(OR(AW1156=3,AW1156=4,AW1156=5,AW1156=6),IF(LEFT(BF1156,1)="1",INDEX(係数_NOX・PM低減,MATCH(AY1156,【参考】排出係数!$AI$801:$AI$804,1),1),VLOOKUP(AU1156,INDEX((係数_バス貨物_ガソリン,係数_バス貨物_CNG,係数_バス貨物_軽油,係数_バス貨物_メタノール,係数_バス貨物_LPG),MATCH(AY1156,【参考】排出係数!$AI$4:$AI$671,1),1,BE1156):INDEX((係数_バス貨物_ガソリン,係数_バス貨物_CNG,係数_バス貨物_軽油,係数_バス貨物_メタノール,係数_バス貨物_LPG),MATCH(AY1156+1,【参考】排出係数!$AI$4:$AI$671,1)-1,5,BE1156),4,FALSE)),IF(AND(BE1156=3,LEFT(BF1156,1)="1"),0.48,VLOOKUP(AU1156,INDEX((係数_乗用_ガソリン,係数_乗用_CNG,係数_乗用_軽油,係数_乗用_メタノール,係数_乗用_LPG),1,1,BE1156):INDEX((係数_乗用_ガソリン,係数_乗用_CNG,係数_乗用_軽油,係数_乗用_メタノール,係数_乗用_LPG),125,5,BE1156),4,FALSE)))))</f>
        <v/>
      </c>
      <c r="AL1156" s="461" t="str">
        <f t="shared" si="653"/>
        <v/>
      </c>
      <c r="AM1156" s="460" t="str">
        <f>IF(AU1156="","",IF(OR(AZ1156=8,AZ1156=9),0,IF(OR(AW1156=3,AW1156=4,AW1156=5,AW1156=6),IF(LEFT(BH1156,1)="1",INDEX(係数_PM低減,MATCH(AY1156,【参考】排出係数!$AI$801:$AI$804,1),MATCH(BI1156,【参考】排出係数!$AL$798:$AO$798,1)),VLOOKUP(AU1156,INDEX((係数_バス貨物_ガソリン,係数_バス貨物_CNG,係数_バス貨物_軽油,係数_バス貨物_メタノール,係数_バス貨物_LPG),MATCH(AY1156,【参考】排出係数!$AI$4:$AI$671,1),1,BE1156):INDEX((係数_バス貨物_ガソリン,係数_バス貨物_CNG,係数_バス貨物_軽油,係数_バス貨物_メタノール,係数_バス貨物_LPG),MATCH(AY1156+1,【参考】排出係数!$AI$4:$AI$671,1)-1,5,BE1156),5,FALSE)),IF(AND(BE1156=3,LEFT(BF1156,1)="1"),0.055,VLOOKUP(AU1156,INDEX((係数_乗用_ガソリン,係数_乗用_CNG,係数_乗用_軽油,係数_乗用_メタノール,係数_乗用_LPG),1,1,BE1156):INDEX((係数_乗用_ガソリン,係数_乗用_CNG,係数_乗用_軽油,係数_乗用_メタノール,係数_乗用_LPG),125,5,BE1156),5,FALSE)))))</f>
        <v/>
      </c>
      <c r="AN1156" s="461" t="str">
        <f t="shared" si="654"/>
        <v/>
      </c>
      <c r="AO1156" s="462" t="str">
        <f t="shared" si="655"/>
        <v/>
      </c>
      <c r="AP1156" s="463" t="str">
        <f t="shared" si="656"/>
        <v/>
      </c>
      <c r="AQ1156" s="464"/>
      <c r="AR1156" s="619"/>
      <c r="AS1156" s="465" t="str">
        <f t="shared" si="664"/>
        <v/>
      </c>
      <c r="AT1156" s="465" t="str">
        <f t="shared" si="665"/>
        <v/>
      </c>
      <c r="AU1156" s="466" t="str">
        <f t="shared" si="666"/>
        <v/>
      </c>
      <c r="AV1156" s="467" t="str">
        <f t="shared" si="667"/>
        <v/>
      </c>
      <c r="AW1156" s="467" t="str">
        <f t="shared" si="668"/>
        <v/>
      </c>
      <c r="AX1156" s="467" t="str">
        <f t="shared" si="669"/>
        <v/>
      </c>
      <c r="AY1156" s="467" t="str">
        <f t="shared" si="670"/>
        <v/>
      </c>
      <c r="AZ1156" s="467" t="str">
        <f t="shared" si="671"/>
        <v/>
      </c>
      <c r="BA1156" s="468" t="str">
        <f>IF(AS1156="","",IF(OR(AU1156="",AU1156="-"),"－",IF(OR(AZ1156=8,AZ1156=9),"",IF(OR(AW1156=3,AW1156=4,AW1156=5,AW1156=6),VLOOKUP(AU1156,INDEX((係数_バス貨物_ガソリン,係数_バス貨物_CNG,係数_バス貨物_軽油,係数_バス貨物_メタノール,係数_バス貨物_LPG),MATCH(AY1156,【参考】排出係数!$AI$4:$AI$671,1),1,BE1156):INDEX((係数_バス貨物_ガソリン,係数_バス貨物_CNG,係数_バス貨物_軽油,係数_バス貨物_メタノール,係数_バス貨物_LPG),MATCH(AY1156+1,【参考】排出係数!$AI$4:$AI$671,1)-1,5,BE1156),2,FALSE),IF(OR(AW1156=1,AW1156=2),VLOOKUP(AU1156,INDEX((係数_乗用_ガソリン,係数_乗用_CNG,係数_乗用_軽油,係数_乗用_メタノール,係数_乗用_LPG),1,1,BE1156):INDEX((係数_乗用_ガソリン,係数_乗用_CNG,係数_乗用_軽油,係数_乗用_メタノール,係数_乗用_LPG),125,5,BE1156),2,FALSE))))))</f>
        <v/>
      </c>
      <c r="BB1156" s="468" t="str">
        <f>IF(T1156="","",IF(OR(AU1156="",AU1156="-"),"－",IF(OR(AZ1156=8,AZ1156=9),"",IF(OR(AW1156=3,AW1156=4,AW1156=5,AW1156=6),VLOOKUP(AU1156,INDEX((係数_バス貨物_ガソリン,係数_バス貨物_CNG,係数_バス貨物_軽油,係数_バス貨物_メタノール,係数_バス貨物_LPG),MATCH(AY1156,【参考】排出係数!$AI$4:$AI$671,1),1,BE1156):INDEX((係数_バス貨物_ガソリン,係数_バス貨物_CNG,係数_バス貨物_軽油,係数_バス貨物_メタノール,係数_バス貨物_LPG),MATCH(AY1156+1,【参考】排出係数!$AI$4:$AI$671,1)-1,5,BE1156),3,FALSE),IF(OR(AW1156=1,AW1156=2),VLOOKUP(AU1156,INDEX((係数_乗用_ガソリン,係数_乗用_CNG,係数_乗用_軽油,係数_乗用_メタノール,係数_乗用_LPG),1,1,BE1156):INDEX((係数_乗用_ガソリン,係数_乗用_CNG,係数_乗用_軽油,係数_乗用_メタノール,係数_乗用_LPG),125,5,BE1156),3,FALSE))))))</f>
        <v/>
      </c>
      <c r="BC1156" s="467" t="str">
        <f t="shared" si="672"/>
        <v/>
      </c>
      <c r="BD1156" s="567" t="str">
        <f t="shared" si="673"/>
        <v/>
      </c>
      <c r="BE1156" s="467" t="str">
        <f t="shared" si="674"/>
        <v/>
      </c>
      <c r="BF1156" s="469" t="str">
        <f t="shared" ca="1" si="675"/>
        <v/>
      </c>
      <c r="BG1156" s="469" t="str">
        <f t="shared" ca="1" si="676"/>
        <v/>
      </c>
      <c r="BH1156" s="467" t="str">
        <f t="shared" si="677"/>
        <v/>
      </c>
      <c r="BI1156" s="467" t="str">
        <f t="shared" ca="1" si="678"/>
        <v/>
      </c>
      <c r="BJ1156" s="469" t="str">
        <f t="shared" si="679"/>
        <v/>
      </c>
      <c r="BK1156" s="470" t="str">
        <f t="shared" si="663"/>
        <v/>
      </c>
      <c r="BL1156" s="775" t="str">
        <f t="shared" si="680"/>
        <v/>
      </c>
      <c r="BM1156" s="775" t="str">
        <f t="shared" si="681"/>
        <v/>
      </c>
    </row>
    <row r="1157" spans="1:65">
      <c r="A1157" s="473">
        <v>1101</v>
      </c>
      <c r="B1157" s="132"/>
      <c r="C1157" s="332"/>
      <c r="D1157" s="333"/>
      <c r="E1157" s="333"/>
      <c r="F1157" s="334"/>
      <c r="G1157" s="337"/>
      <c r="H1157" s="131"/>
      <c r="I1157" s="337"/>
      <c r="J1157" s="131"/>
      <c r="K1157" s="458" t="str">
        <f t="shared" si="644"/>
        <v/>
      </c>
      <c r="L1157" s="458">
        <f t="shared" si="645"/>
        <v>0</v>
      </c>
      <c r="M1157" s="458">
        <f t="shared" si="646"/>
        <v>0</v>
      </c>
      <c r="N1157" s="459" t="str">
        <f t="shared" si="657"/>
        <v/>
      </c>
      <c r="O1157" s="459" t="str">
        <f t="shared" si="658"/>
        <v/>
      </c>
      <c r="P1157" s="459" t="str">
        <f t="shared" si="659"/>
        <v/>
      </c>
      <c r="Q1157" s="459" t="str">
        <f t="shared" si="660"/>
        <v/>
      </c>
      <c r="R1157" s="459" t="str">
        <f t="shared" si="661"/>
        <v/>
      </c>
      <c r="S1157" s="459" t="str">
        <f t="shared" si="662"/>
        <v/>
      </c>
      <c r="T1157" s="566" t="str">
        <f t="shared" si="647"/>
        <v/>
      </c>
      <c r="U1157" s="702"/>
      <c r="V1157" s="132"/>
      <c r="W1157" s="133"/>
      <c r="X1157" s="134"/>
      <c r="Y1157" s="135"/>
      <c r="Z1157" s="137"/>
      <c r="AA1157" s="136"/>
      <c r="AB1157" s="566" t="str">
        <f t="shared" si="648"/>
        <v/>
      </c>
      <c r="AC1157" s="568" t="str">
        <f t="shared" si="649"/>
        <v/>
      </c>
      <c r="AD1157" s="137"/>
      <c r="AE1157" s="137"/>
      <c r="AF1157" s="138"/>
      <c r="AG1157" s="138"/>
      <c r="AH1157" s="592" t="str">
        <f t="shared" si="650"/>
        <v/>
      </c>
      <c r="AI1157" s="592" t="str">
        <f t="shared" si="651"/>
        <v/>
      </c>
      <c r="AJ1157" s="592" t="str">
        <f t="shared" si="652"/>
        <v/>
      </c>
      <c r="AK1157" s="460" t="str">
        <f>IF(AU1157="","",IF(OR(AZ1157=8,AZ1157=9),0,IF(OR(AW1157=3,AW1157=4,AW1157=5,AW1157=6),IF(LEFT(BF1157,1)="1",INDEX(係数_NOX・PM低減,MATCH(AY1157,【参考】排出係数!$AI$801:$AI$804,1),1),VLOOKUP(AU1157,INDEX((係数_バス貨物_ガソリン,係数_バス貨物_CNG,係数_バス貨物_軽油,係数_バス貨物_メタノール,係数_バス貨物_LPG),MATCH(AY1157,【参考】排出係数!$AI$4:$AI$671,1),1,BE1157):INDEX((係数_バス貨物_ガソリン,係数_バス貨物_CNG,係数_バス貨物_軽油,係数_バス貨物_メタノール,係数_バス貨物_LPG),MATCH(AY1157+1,【参考】排出係数!$AI$4:$AI$671,1)-1,5,BE1157),4,FALSE)),IF(AND(BE1157=3,LEFT(BF1157,1)="1"),0.48,VLOOKUP(AU1157,INDEX((係数_乗用_ガソリン,係数_乗用_CNG,係数_乗用_軽油,係数_乗用_メタノール,係数_乗用_LPG),1,1,BE1157):INDEX((係数_乗用_ガソリン,係数_乗用_CNG,係数_乗用_軽油,係数_乗用_メタノール,係数_乗用_LPG),125,5,BE1157),4,FALSE)))))</f>
        <v/>
      </c>
      <c r="AL1157" s="461" t="str">
        <f t="shared" si="653"/>
        <v/>
      </c>
      <c r="AM1157" s="460" t="str">
        <f>IF(AU1157="","",IF(OR(AZ1157=8,AZ1157=9),0,IF(OR(AW1157=3,AW1157=4,AW1157=5,AW1157=6),IF(LEFT(BH1157,1)="1",INDEX(係数_PM低減,MATCH(AY1157,【参考】排出係数!$AI$801:$AI$804,1),MATCH(BI1157,【参考】排出係数!$AL$798:$AO$798,1)),VLOOKUP(AU1157,INDEX((係数_バス貨物_ガソリン,係数_バス貨物_CNG,係数_バス貨物_軽油,係数_バス貨物_メタノール,係数_バス貨物_LPG),MATCH(AY1157,【参考】排出係数!$AI$4:$AI$671,1),1,BE1157):INDEX((係数_バス貨物_ガソリン,係数_バス貨物_CNG,係数_バス貨物_軽油,係数_バス貨物_メタノール,係数_バス貨物_LPG),MATCH(AY1157+1,【参考】排出係数!$AI$4:$AI$671,1)-1,5,BE1157),5,FALSE)),IF(AND(BE1157=3,LEFT(BF1157,1)="1"),0.055,VLOOKUP(AU1157,INDEX((係数_乗用_ガソリン,係数_乗用_CNG,係数_乗用_軽油,係数_乗用_メタノール,係数_乗用_LPG),1,1,BE1157):INDEX((係数_乗用_ガソリン,係数_乗用_CNG,係数_乗用_軽油,係数_乗用_メタノール,係数_乗用_LPG),125,5,BE1157),5,FALSE)))))</f>
        <v/>
      </c>
      <c r="AN1157" s="461" t="str">
        <f t="shared" si="654"/>
        <v/>
      </c>
      <c r="AO1157" s="462" t="str">
        <f t="shared" si="655"/>
        <v/>
      </c>
      <c r="AP1157" s="463" t="str">
        <f t="shared" si="656"/>
        <v/>
      </c>
      <c r="AQ1157" s="464"/>
      <c r="AR1157" s="619"/>
      <c r="AS1157" s="465" t="str">
        <f t="shared" si="664"/>
        <v/>
      </c>
      <c r="AT1157" s="465" t="str">
        <f t="shared" si="665"/>
        <v/>
      </c>
      <c r="AU1157" s="466" t="str">
        <f t="shared" si="666"/>
        <v/>
      </c>
      <c r="AV1157" s="467" t="str">
        <f t="shared" si="667"/>
        <v/>
      </c>
      <c r="AW1157" s="467" t="str">
        <f t="shared" si="668"/>
        <v/>
      </c>
      <c r="AX1157" s="467" t="str">
        <f t="shared" si="669"/>
        <v/>
      </c>
      <c r="AY1157" s="467" t="str">
        <f t="shared" si="670"/>
        <v/>
      </c>
      <c r="AZ1157" s="467" t="str">
        <f t="shared" si="671"/>
        <v/>
      </c>
      <c r="BA1157" s="468" t="str">
        <f>IF(AS1157="","",IF(OR(AU1157="",AU1157="-"),"－",IF(OR(AZ1157=8,AZ1157=9),"",IF(OR(AW1157=3,AW1157=4,AW1157=5,AW1157=6),VLOOKUP(AU1157,INDEX((係数_バス貨物_ガソリン,係数_バス貨物_CNG,係数_バス貨物_軽油,係数_バス貨物_メタノール,係数_バス貨物_LPG),MATCH(AY1157,【参考】排出係数!$AI$4:$AI$671,1),1,BE1157):INDEX((係数_バス貨物_ガソリン,係数_バス貨物_CNG,係数_バス貨物_軽油,係数_バス貨物_メタノール,係数_バス貨物_LPG),MATCH(AY1157+1,【参考】排出係数!$AI$4:$AI$671,1)-1,5,BE1157),2,FALSE),IF(OR(AW1157=1,AW1157=2),VLOOKUP(AU1157,INDEX((係数_乗用_ガソリン,係数_乗用_CNG,係数_乗用_軽油,係数_乗用_メタノール,係数_乗用_LPG),1,1,BE1157):INDEX((係数_乗用_ガソリン,係数_乗用_CNG,係数_乗用_軽油,係数_乗用_メタノール,係数_乗用_LPG),125,5,BE1157),2,FALSE))))))</f>
        <v/>
      </c>
      <c r="BB1157" s="468" t="str">
        <f>IF(T1157="","",IF(OR(AU1157="",AU1157="-"),"－",IF(OR(AZ1157=8,AZ1157=9),"",IF(OR(AW1157=3,AW1157=4,AW1157=5,AW1157=6),VLOOKUP(AU1157,INDEX((係数_バス貨物_ガソリン,係数_バス貨物_CNG,係数_バス貨物_軽油,係数_バス貨物_メタノール,係数_バス貨物_LPG),MATCH(AY1157,【参考】排出係数!$AI$4:$AI$671,1),1,BE1157):INDEX((係数_バス貨物_ガソリン,係数_バス貨物_CNG,係数_バス貨物_軽油,係数_バス貨物_メタノール,係数_バス貨物_LPG),MATCH(AY1157+1,【参考】排出係数!$AI$4:$AI$671,1)-1,5,BE1157),3,FALSE),IF(OR(AW1157=1,AW1157=2),VLOOKUP(AU1157,INDEX((係数_乗用_ガソリン,係数_乗用_CNG,係数_乗用_軽油,係数_乗用_メタノール,係数_乗用_LPG),1,1,BE1157):INDEX((係数_乗用_ガソリン,係数_乗用_CNG,係数_乗用_軽油,係数_乗用_メタノール,係数_乗用_LPG),125,5,BE1157),3,FALSE))))))</f>
        <v/>
      </c>
      <c r="BC1157" s="467" t="str">
        <f t="shared" si="672"/>
        <v/>
      </c>
      <c r="BD1157" s="567" t="str">
        <f t="shared" si="673"/>
        <v/>
      </c>
      <c r="BE1157" s="467" t="str">
        <f t="shared" si="674"/>
        <v/>
      </c>
      <c r="BF1157" s="469" t="str">
        <f t="shared" ca="1" si="675"/>
        <v/>
      </c>
      <c r="BG1157" s="469" t="str">
        <f t="shared" ca="1" si="676"/>
        <v/>
      </c>
      <c r="BH1157" s="467" t="str">
        <f t="shared" si="677"/>
        <v/>
      </c>
      <c r="BI1157" s="467" t="str">
        <f t="shared" ca="1" si="678"/>
        <v/>
      </c>
      <c r="BJ1157" s="469" t="str">
        <f t="shared" si="679"/>
        <v/>
      </c>
      <c r="BK1157" s="470" t="str">
        <f t="shared" si="663"/>
        <v/>
      </c>
      <c r="BL1157" s="775" t="str">
        <f t="shared" si="680"/>
        <v/>
      </c>
      <c r="BM1157" s="775" t="str">
        <f t="shared" si="681"/>
        <v/>
      </c>
    </row>
    <row r="1158" spans="1:65">
      <c r="A1158" s="473">
        <v>1102</v>
      </c>
      <c r="B1158" s="132"/>
      <c r="C1158" s="332"/>
      <c r="D1158" s="333"/>
      <c r="E1158" s="333"/>
      <c r="F1158" s="334"/>
      <c r="G1158" s="337"/>
      <c r="H1158" s="131"/>
      <c r="I1158" s="337"/>
      <c r="J1158" s="131"/>
      <c r="K1158" s="458" t="str">
        <f t="shared" si="644"/>
        <v/>
      </c>
      <c r="L1158" s="458">
        <f t="shared" si="645"/>
        <v>0</v>
      </c>
      <c r="M1158" s="458">
        <f t="shared" si="646"/>
        <v>0</v>
      </c>
      <c r="N1158" s="459" t="str">
        <f t="shared" si="657"/>
        <v/>
      </c>
      <c r="O1158" s="459" t="str">
        <f t="shared" si="658"/>
        <v/>
      </c>
      <c r="P1158" s="459" t="str">
        <f t="shared" si="659"/>
        <v/>
      </c>
      <c r="Q1158" s="459" t="str">
        <f t="shared" si="660"/>
        <v/>
      </c>
      <c r="R1158" s="459" t="str">
        <f t="shared" si="661"/>
        <v/>
      </c>
      <c r="S1158" s="459" t="str">
        <f t="shared" si="662"/>
        <v/>
      </c>
      <c r="T1158" s="566" t="str">
        <f t="shared" si="647"/>
        <v/>
      </c>
      <c r="U1158" s="702"/>
      <c r="V1158" s="132"/>
      <c r="W1158" s="133"/>
      <c r="X1158" s="134"/>
      <c r="Y1158" s="135"/>
      <c r="Z1158" s="137"/>
      <c r="AA1158" s="136"/>
      <c r="AB1158" s="566" t="str">
        <f t="shared" si="648"/>
        <v/>
      </c>
      <c r="AC1158" s="568" t="str">
        <f t="shared" si="649"/>
        <v/>
      </c>
      <c r="AD1158" s="137"/>
      <c r="AE1158" s="137"/>
      <c r="AF1158" s="138"/>
      <c r="AG1158" s="138"/>
      <c r="AH1158" s="592" t="str">
        <f t="shared" si="650"/>
        <v/>
      </c>
      <c r="AI1158" s="592" t="str">
        <f t="shared" si="651"/>
        <v/>
      </c>
      <c r="AJ1158" s="592" t="str">
        <f t="shared" si="652"/>
        <v/>
      </c>
      <c r="AK1158" s="460" t="str">
        <f>IF(AU1158="","",IF(OR(AZ1158=8,AZ1158=9),0,IF(OR(AW1158=3,AW1158=4,AW1158=5,AW1158=6),IF(LEFT(BF1158,1)="1",INDEX(係数_NOX・PM低減,MATCH(AY1158,【参考】排出係数!$AI$801:$AI$804,1),1),VLOOKUP(AU1158,INDEX((係数_バス貨物_ガソリン,係数_バス貨物_CNG,係数_バス貨物_軽油,係数_バス貨物_メタノール,係数_バス貨物_LPG),MATCH(AY1158,【参考】排出係数!$AI$4:$AI$671,1),1,BE1158):INDEX((係数_バス貨物_ガソリン,係数_バス貨物_CNG,係数_バス貨物_軽油,係数_バス貨物_メタノール,係数_バス貨物_LPG),MATCH(AY1158+1,【参考】排出係数!$AI$4:$AI$671,1)-1,5,BE1158),4,FALSE)),IF(AND(BE1158=3,LEFT(BF1158,1)="1"),0.48,VLOOKUP(AU1158,INDEX((係数_乗用_ガソリン,係数_乗用_CNG,係数_乗用_軽油,係数_乗用_メタノール,係数_乗用_LPG),1,1,BE1158):INDEX((係数_乗用_ガソリン,係数_乗用_CNG,係数_乗用_軽油,係数_乗用_メタノール,係数_乗用_LPG),125,5,BE1158),4,FALSE)))))</f>
        <v/>
      </c>
      <c r="AL1158" s="461" t="str">
        <f t="shared" si="653"/>
        <v/>
      </c>
      <c r="AM1158" s="460" t="str">
        <f>IF(AU1158="","",IF(OR(AZ1158=8,AZ1158=9),0,IF(OR(AW1158=3,AW1158=4,AW1158=5,AW1158=6),IF(LEFT(BH1158,1)="1",INDEX(係数_PM低減,MATCH(AY1158,【参考】排出係数!$AI$801:$AI$804,1),MATCH(BI1158,【参考】排出係数!$AL$798:$AO$798,1)),VLOOKUP(AU1158,INDEX((係数_バス貨物_ガソリン,係数_バス貨物_CNG,係数_バス貨物_軽油,係数_バス貨物_メタノール,係数_バス貨物_LPG),MATCH(AY1158,【参考】排出係数!$AI$4:$AI$671,1),1,BE1158):INDEX((係数_バス貨物_ガソリン,係数_バス貨物_CNG,係数_バス貨物_軽油,係数_バス貨物_メタノール,係数_バス貨物_LPG),MATCH(AY1158+1,【参考】排出係数!$AI$4:$AI$671,1)-1,5,BE1158),5,FALSE)),IF(AND(BE1158=3,LEFT(BF1158,1)="1"),0.055,VLOOKUP(AU1158,INDEX((係数_乗用_ガソリン,係数_乗用_CNG,係数_乗用_軽油,係数_乗用_メタノール,係数_乗用_LPG),1,1,BE1158):INDEX((係数_乗用_ガソリン,係数_乗用_CNG,係数_乗用_軽油,係数_乗用_メタノール,係数_乗用_LPG),125,5,BE1158),5,FALSE)))))</f>
        <v/>
      </c>
      <c r="AN1158" s="461" t="str">
        <f t="shared" si="654"/>
        <v/>
      </c>
      <c r="AO1158" s="462" t="str">
        <f t="shared" si="655"/>
        <v/>
      </c>
      <c r="AP1158" s="463" t="str">
        <f t="shared" si="656"/>
        <v/>
      </c>
      <c r="AQ1158" s="464"/>
      <c r="AR1158" s="619"/>
      <c r="AS1158" s="465" t="str">
        <f t="shared" si="664"/>
        <v/>
      </c>
      <c r="AT1158" s="465" t="str">
        <f t="shared" si="665"/>
        <v/>
      </c>
      <c r="AU1158" s="466" t="str">
        <f t="shared" si="666"/>
        <v/>
      </c>
      <c r="AV1158" s="467" t="str">
        <f t="shared" si="667"/>
        <v/>
      </c>
      <c r="AW1158" s="467" t="str">
        <f t="shared" si="668"/>
        <v/>
      </c>
      <c r="AX1158" s="467" t="str">
        <f t="shared" si="669"/>
        <v/>
      </c>
      <c r="AY1158" s="467" t="str">
        <f t="shared" si="670"/>
        <v/>
      </c>
      <c r="AZ1158" s="467" t="str">
        <f t="shared" si="671"/>
        <v/>
      </c>
      <c r="BA1158" s="468" t="str">
        <f>IF(AS1158="","",IF(OR(AU1158="",AU1158="-"),"－",IF(OR(AZ1158=8,AZ1158=9),"",IF(OR(AW1158=3,AW1158=4,AW1158=5,AW1158=6),VLOOKUP(AU1158,INDEX((係数_バス貨物_ガソリン,係数_バス貨物_CNG,係数_バス貨物_軽油,係数_バス貨物_メタノール,係数_バス貨物_LPG),MATCH(AY1158,【参考】排出係数!$AI$4:$AI$671,1),1,BE1158):INDEX((係数_バス貨物_ガソリン,係数_バス貨物_CNG,係数_バス貨物_軽油,係数_バス貨物_メタノール,係数_バス貨物_LPG),MATCH(AY1158+1,【参考】排出係数!$AI$4:$AI$671,1)-1,5,BE1158),2,FALSE),IF(OR(AW1158=1,AW1158=2),VLOOKUP(AU1158,INDEX((係数_乗用_ガソリン,係数_乗用_CNG,係数_乗用_軽油,係数_乗用_メタノール,係数_乗用_LPG),1,1,BE1158):INDEX((係数_乗用_ガソリン,係数_乗用_CNG,係数_乗用_軽油,係数_乗用_メタノール,係数_乗用_LPG),125,5,BE1158),2,FALSE))))))</f>
        <v/>
      </c>
      <c r="BB1158" s="468" t="str">
        <f>IF(T1158="","",IF(OR(AU1158="",AU1158="-"),"－",IF(OR(AZ1158=8,AZ1158=9),"",IF(OR(AW1158=3,AW1158=4,AW1158=5,AW1158=6),VLOOKUP(AU1158,INDEX((係数_バス貨物_ガソリン,係数_バス貨物_CNG,係数_バス貨物_軽油,係数_バス貨物_メタノール,係数_バス貨物_LPG),MATCH(AY1158,【参考】排出係数!$AI$4:$AI$671,1),1,BE1158):INDEX((係数_バス貨物_ガソリン,係数_バス貨物_CNG,係数_バス貨物_軽油,係数_バス貨物_メタノール,係数_バス貨物_LPG),MATCH(AY1158+1,【参考】排出係数!$AI$4:$AI$671,1)-1,5,BE1158),3,FALSE),IF(OR(AW1158=1,AW1158=2),VLOOKUP(AU1158,INDEX((係数_乗用_ガソリン,係数_乗用_CNG,係数_乗用_軽油,係数_乗用_メタノール,係数_乗用_LPG),1,1,BE1158):INDEX((係数_乗用_ガソリン,係数_乗用_CNG,係数_乗用_軽油,係数_乗用_メタノール,係数_乗用_LPG),125,5,BE1158),3,FALSE))))))</f>
        <v/>
      </c>
      <c r="BC1158" s="467" t="str">
        <f t="shared" si="672"/>
        <v/>
      </c>
      <c r="BD1158" s="567" t="str">
        <f t="shared" si="673"/>
        <v/>
      </c>
      <c r="BE1158" s="467" t="str">
        <f t="shared" si="674"/>
        <v/>
      </c>
      <c r="BF1158" s="469" t="str">
        <f t="shared" ca="1" si="675"/>
        <v/>
      </c>
      <c r="BG1158" s="469" t="str">
        <f t="shared" ca="1" si="676"/>
        <v/>
      </c>
      <c r="BH1158" s="467" t="str">
        <f t="shared" si="677"/>
        <v/>
      </c>
      <c r="BI1158" s="467" t="str">
        <f t="shared" ca="1" si="678"/>
        <v/>
      </c>
      <c r="BJ1158" s="469" t="str">
        <f t="shared" si="679"/>
        <v/>
      </c>
      <c r="BK1158" s="470" t="str">
        <f t="shared" si="663"/>
        <v/>
      </c>
      <c r="BL1158" s="775" t="str">
        <f t="shared" si="680"/>
        <v/>
      </c>
      <c r="BM1158" s="775" t="str">
        <f t="shared" si="681"/>
        <v/>
      </c>
    </row>
    <row r="1159" spans="1:65">
      <c r="A1159" s="473">
        <v>1103</v>
      </c>
      <c r="B1159" s="132"/>
      <c r="C1159" s="332"/>
      <c r="D1159" s="333"/>
      <c r="E1159" s="333"/>
      <c r="F1159" s="334"/>
      <c r="G1159" s="337"/>
      <c r="H1159" s="131"/>
      <c r="I1159" s="337"/>
      <c r="J1159" s="131"/>
      <c r="K1159" s="458" t="str">
        <f t="shared" si="644"/>
        <v/>
      </c>
      <c r="L1159" s="458">
        <f t="shared" si="645"/>
        <v>0</v>
      </c>
      <c r="M1159" s="458">
        <f t="shared" si="646"/>
        <v>0</v>
      </c>
      <c r="N1159" s="459" t="str">
        <f t="shared" si="657"/>
        <v/>
      </c>
      <c r="O1159" s="459" t="str">
        <f t="shared" si="658"/>
        <v/>
      </c>
      <c r="P1159" s="459" t="str">
        <f t="shared" si="659"/>
        <v/>
      </c>
      <c r="Q1159" s="459" t="str">
        <f t="shared" si="660"/>
        <v/>
      </c>
      <c r="R1159" s="459" t="str">
        <f t="shared" si="661"/>
        <v/>
      </c>
      <c r="S1159" s="459" t="str">
        <f t="shared" si="662"/>
        <v/>
      </c>
      <c r="T1159" s="566" t="str">
        <f t="shared" si="647"/>
        <v/>
      </c>
      <c r="U1159" s="702"/>
      <c r="V1159" s="132"/>
      <c r="W1159" s="133"/>
      <c r="X1159" s="134"/>
      <c r="Y1159" s="135"/>
      <c r="Z1159" s="137"/>
      <c r="AA1159" s="136"/>
      <c r="AB1159" s="566" t="str">
        <f t="shared" si="648"/>
        <v/>
      </c>
      <c r="AC1159" s="568" t="str">
        <f t="shared" si="649"/>
        <v/>
      </c>
      <c r="AD1159" s="137"/>
      <c r="AE1159" s="137"/>
      <c r="AF1159" s="138"/>
      <c r="AG1159" s="138"/>
      <c r="AH1159" s="592" t="str">
        <f t="shared" si="650"/>
        <v/>
      </c>
      <c r="AI1159" s="592" t="str">
        <f t="shared" si="651"/>
        <v/>
      </c>
      <c r="AJ1159" s="592" t="str">
        <f t="shared" si="652"/>
        <v/>
      </c>
      <c r="AK1159" s="460" t="str">
        <f>IF(AU1159="","",IF(OR(AZ1159=8,AZ1159=9),0,IF(OR(AW1159=3,AW1159=4,AW1159=5,AW1159=6),IF(LEFT(BF1159,1)="1",INDEX(係数_NOX・PM低減,MATCH(AY1159,【参考】排出係数!$AI$801:$AI$804,1),1),VLOOKUP(AU1159,INDEX((係数_バス貨物_ガソリン,係数_バス貨物_CNG,係数_バス貨物_軽油,係数_バス貨物_メタノール,係数_バス貨物_LPG),MATCH(AY1159,【参考】排出係数!$AI$4:$AI$671,1),1,BE1159):INDEX((係数_バス貨物_ガソリン,係数_バス貨物_CNG,係数_バス貨物_軽油,係数_バス貨物_メタノール,係数_バス貨物_LPG),MATCH(AY1159+1,【参考】排出係数!$AI$4:$AI$671,1)-1,5,BE1159),4,FALSE)),IF(AND(BE1159=3,LEFT(BF1159,1)="1"),0.48,VLOOKUP(AU1159,INDEX((係数_乗用_ガソリン,係数_乗用_CNG,係数_乗用_軽油,係数_乗用_メタノール,係数_乗用_LPG),1,1,BE1159):INDEX((係数_乗用_ガソリン,係数_乗用_CNG,係数_乗用_軽油,係数_乗用_メタノール,係数_乗用_LPG),125,5,BE1159),4,FALSE)))))</f>
        <v/>
      </c>
      <c r="AL1159" s="461" t="str">
        <f t="shared" si="653"/>
        <v/>
      </c>
      <c r="AM1159" s="460" t="str">
        <f>IF(AU1159="","",IF(OR(AZ1159=8,AZ1159=9),0,IF(OR(AW1159=3,AW1159=4,AW1159=5,AW1159=6),IF(LEFT(BH1159,1)="1",INDEX(係数_PM低減,MATCH(AY1159,【参考】排出係数!$AI$801:$AI$804,1),MATCH(BI1159,【参考】排出係数!$AL$798:$AO$798,1)),VLOOKUP(AU1159,INDEX((係数_バス貨物_ガソリン,係数_バス貨物_CNG,係数_バス貨物_軽油,係数_バス貨物_メタノール,係数_バス貨物_LPG),MATCH(AY1159,【参考】排出係数!$AI$4:$AI$671,1),1,BE1159):INDEX((係数_バス貨物_ガソリン,係数_バス貨物_CNG,係数_バス貨物_軽油,係数_バス貨物_メタノール,係数_バス貨物_LPG),MATCH(AY1159+1,【参考】排出係数!$AI$4:$AI$671,1)-1,5,BE1159),5,FALSE)),IF(AND(BE1159=3,LEFT(BF1159,1)="1"),0.055,VLOOKUP(AU1159,INDEX((係数_乗用_ガソリン,係数_乗用_CNG,係数_乗用_軽油,係数_乗用_メタノール,係数_乗用_LPG),1,1,BE1159):INDEX((係数_乗用_ガソリン,係数_乗用_CNG,係数_乗用_軽油,係数_乗用_メタノール,係数_乗用_LPG),125,5,BE1159),5,FALSE)))))</f>
        <v/>
      </c>
      <c r="AN1159" s="461" t="str">
        <f t="shared" si="654"/>
        <v/>
      </c>
      <c r="AO1159" s="462" t="str">
        <f t="shared" si="655"/>
        <v/>
      </c>
      <c r="AP1159" s="463" t="str">
        <f t="shared" si="656"/>
        <v/>
      </c>
      <c r="AQ1159" s="464"/>
      <c r="AR1159" s="619"/>
      <c r="AS1159" s="465" t="str">
        <f t="shared" si="664"/>
        <v/>
      </c>
      <c r="AT1159" s="465" t="str">
        <f t="shared" si="665"/>
        <v/>
      </c>
      <c r="AU1159" s="466" t="str">
        <f t="shared" si="666"/>
        <v/>
      </c>
      <c r="AV1159" s="467" t="str">
        <f t="shared" si="667"/>
        <v/>
      </c>
      <c r="AW1159" s="467" t="str">
        <f t="shared" si="668"/>
        <v/>
      </c>
      <c r="AX1159" s="467" t="str">
        <f t="shared" si="669"/>
        <v/>
      </c>
      <c r="AY1159" s="467" t="str">
        <f t="shared" si="670"/>
        <v/>
      </c>
      <c r="AZ1159" s="467" t="str">
        <f t="shared" si="671"/>
        <v/>
      </c>
      <c r="BA1159" s="468" t="str">
        <f>IF(AS1159="","",IF(OR(AU1159="",AU1159="-"),"－",IF(OR(AZ1159=8,AZ1159=9),"",IF(OR(AW1159=3,AW1159=4,AW1159=5,AW1159=6),VLOOKUP(AU1159,INDEX((係数_バス貨物_ガソリン,係数_バス貨物_CNG,係数_バス貨物_軽油,係数_バス貨物_メタノール,係数_バス貨物_LPG),MATCH(AY1159,【参考】排出係数!$AI$4:$AI$671,1),1,BE1159):INDEX((係数_バス貨物_ガソリン,係数_バス貨物_CNG,係数_バス貨物_軽油,係数_バス貨物_メタノール,係数_バス貨物_LPG),MATCH(AY1159+1,【参考】排出係数!$AI$4:$AI$671,1)-1,5,BE1159),2,FALSE),IF(OR(AW1159=1,AW1159=2),VLOOKUP(AU1159,INDEX((係数_乗用_ガソリン,係数_乗用_CNG,係数_乗用_軽油,係数_乗用_メタノール,係数_乗用_LPG),1,1,BE1159):INDEX((係数_乗用_ガソリン,係数_乗用_CNG,係数_乗用_軽油,係数_乗用_メタノール,係数_乗用_LPG),125,5,BE1159),2,FALSE))))))</f>
        <v/>
      </c>
      <c r="BB1159" s="468" t="str">
        <f>IF(T1159="","",IF(OR(AU1159="",AU1159="-"),"－",IF(OR(AZ1159=8,AZ1159=9),"",IF(OR(AW1159=3,AW1159=4,AW1159=5,AW1159=6),VLOOKUP(AU1159,INDEX((係数_バス貨物_ガソリン,係数_バス貨物_CNG,係数_バス貨物_軽油,係数_バス貨物_メタノール,係数_バス貨物_LPG),MATCH(AY1159,【参考】排出係数!$AI$4:$AI$671,1),1,BE1159):INDEX((係数_バス貨物_ガソリン,係数_バス貨物_CNG,係数_バス貨物_軽油,係数_バス貨物_メタノール,係数_バス貨物_LPG),MATCH(AY1159+1,【参考】排出係数!$AI$4:$AI$671,1)-1,5,BE1159),3,FALSE),IF(OR(AW1159=1,AW1159=2),VLOOKUP(AU1159,INDEX((係数_乗用_ガソリン,係数_乗用_CNG,係数_乗用_軽油,係数_乗用_メタノール,係数_乗用_LPG),1,1,BE1159):INDEX((係数_乗用_ガソリン,係数_乗用_CNG,係数_乗用_軽油,係数_乗用_メタノール,係数_乗用_LPG),125,5,BE1159),3,FALSE))))))</f>
        <v/>
      </c>
      <c r="BC1159" s="467" t="str">
        <f t="shared" si="672"/>
        <v/>
      </c>
      <c r="BD1159" s="567" t="str">
        <f t="shared" si="673"/>
        <v/>
      </c>
      <c r="BE1159" s="467" t="str">
        <f t="shared" si="674"/>
        <v/>
      </c>
      <c r="BF1159" s="469" t="str">
        <f t="shared" ca="1" si="675"/>
        <v/>
      </c>
      <c r="BG1159" s="469" t="str">
        <f t="shared" ca="1" si="676"/>
        <v/>
      </c>
      <c r="BH1159" s="467" t="str">
        <f t="shared" si="677"/>
        <v/>
      </c>
      <c r="BI1159" s="467" t="str">
        <f t="shared" ca="1" si="678"/>
        <v/>
      </c>
      <c r="BJ1159" s="469" t="str">
        <f t="shared" si="679"/>
        <v/>
      </c>
      <c r="BK1159" s="470" t="str">
        <f t="shared" si="663"/>
        <v/>
      </c>
      <c r="BL1159" s="775" t="str">
        <f t="shared" si="680"/>
        <v/>
      </c>
      <c r="BM1159" s="775" t="str">
        <f t="shared" si="681"/>
        <v/>
      </c>
    </row>
    <row r="1160" spans="1:65">
      <c r="A1160" s="473">
        <v>1104</v>
      </c>
      <c r="B1160" s="132"/>
      <c r="C1160" s="332"/>
      <c r="D1160" s="333"/>
      <c r="E1160" s="333"/>
      <c r="F1160" s="334"/>
      <c r="G1160" s="337"/>
      <c r="H1160" s="131"/>
      <c r="I1160" s="337"/>
      <c r="J1160" s="131"/>
      <c r="K1160" s="458" t="str">
        <f t="shared" si="644"/>
        <v/>
      </c>
      <c r="L1160" s="458">
        <f t="shared" si="645"/>
        <v>0</v>
      </c>
      <c r="M1160" s="458">
        <f t="shared" si="646"/>
        <v>0</v>
      </c>
      <c r="N1160" s="459" t="str">
        <f t="shared" si="657"/>
        <v/>
      </c>
      <c r="O1160" s="459" t="str">
        <f t="shared" si="658"/>
        <v/>
      </c>
      <c r="P1160" s="459" t="str">
        <f t="shared" si="659"/>
        <v/>
      </c>
      <c r="Q1160" s="459" t="str">
        <f t="shared" si="660"/>
        <v/>
      </c>
      <c r="R1160" s="459" t="str">
        <f t="shared" si="661"/>
        <v/>
      </c>
      <c r="S1160" s="459" t="str">
        <f t="shared" si="662"/>
        <v/>
      </c>
      <c r="T1160" s="566" t="str">
        <f t="shared" si="647"/>
        <v/>
      </c>
      <c r="U1160" s="702"/>
      <c r="V1160" s="132"/>
      <c r="W1160" s="133"/>
      <c r="X1160" s="134"/>
      <c r="Y1160" s="135"/>
      <c r="Z1160" s="137"/>
      <c r="AA1160" s="136"/>
      <c r="AB1160" s="566" t="str">
        <f t="shared" si="648"/>
        <v/>
      </c>
      <c r="AC1160" s="568" t="str">
        <f t="shared" si="649"/>
        <v/>
      </c>
      <c r="AD1160" s="137"/>
      <c r="AE1160" s="137"/>
      <c r="AF1160" s="138"/>
      <c r="AG1160" s="138"/>
      <c r="AH1160" s="592" t="str">
        <f t="shared" si="650"/>
        <v/>
      </c>
      <c r="AI1160" s="592" t="str">
        <f t="shared" si="651"/>
        <v/>
      </c>
      <c r="AJ1160" s="592" t="str">
        <f t="shared" si="652"/>
        <v/>
      </c>
      <c r="AK1160" s="460" t="str">
        <f>IF(AU1160="","",IF(OR(AZ1160=8,AZ1160=9),0,IF(OR(AW1160=3,AW1160=4,AW1160=5,AW1160=6),IF(LEFT(BF1160,1)="1",INDEX(係数_NOX・PM低減,MATCH(AY1160,【参考】排出係数!$AI$801:$AI$804,1),1),VLOOKUP(AU1160,INDEX((係数_バス貨物_ガソリン,係数_バス貨物_CNG,係数_バス貨物_軽油,係数_バス貨物_メタノール,係数_バス貨物_LPG),MATCH(AY1160,【参考】排出係数!$AI$4:$AI$671,1),1,BE1160):INDEX((係数_バス貨物_ガソリン,係数_バス貨物_CNG,係数_バス貨物_軽油,係数_バス貨物_メタノール,係数_バス貨物_LPG),MATCH(AY1160+1,【参考】排出係数!$AI$4:$AI$671,1)-1,5,BE1160),4,FALSE)),IF(AND(BE1160=3,LEFT(BF1160,1)="1"),0.48,VLOOKUP(AU1160,INDEX((係数_乗用_ガソリン,係数_乗用_CNG,係数_乗用_軽油,係数_乗用_メタノール,係数_乗用_LPG),1,1,BE1160):INDEX((係数_乗用_ガソリン,係数_乗用_CNG,係数_乗用_軽油,係数_乗用_メタノール,係数_乗用_LPG),125,5,BE1160),4,FALSE)))))</f>
        <v/>
      </c>
      <c r="AL1160" s="461" t="str">
        <f t="shared" si="653"/>
        <v/>
      </c>
      <c r="AM1160" s="460" t="str">
        <f>IF(AU1160="","",IF(OR(AZ1160=8,AZ1160=9),0,IF(OR(AW1160=3,AW1160=4,AW1160=5,AW1160=6),IF(LEFT(BH1160,1)="1",INDEX(係数_PM低減,MATCH(AY1160,【参考】排出係数!$AI$801:$AI$804,1),MATCH(BI1160,【参考】排出係数!$AL$798:$AO$798,1)),VLOOKUP(AU1160,INDEX((係数_バス貨物_ガソリン,係数_バス貨物_CNG,係数_バス貨物_軽油,係数_バス貨物_メタノール,係数_バス貨物_LPG),MATCH(AY1160,【参考】排出係数!$AI$4:$AI$671,1),1,BE1160):INDEX((係数_バス貨物_ガソリン,係数_バス貨物_CNG,係数_バス貨物_軽油,係数_バス貨物_メタノール,係数_バス貨物_LPG),MATCH(AY1160+1,【参考】排出係数!$AI$4:$AI$671,1)-1,5,BE1160),5,FALSE)),IF(AND(BE1160=3,LEFT(BF1160,1)="1"),0.055,VLOOKUP(AU1160,INDEX((係数_乗用_ガソリン,係数_乗用_CNG,係数_乗用_軽油,係数_乗用_メタノール,係数_乗用_LPG),1,1,BE1160):INDEX((係数_乗用_ガソリン,係数_乗用_CNG,係数_乗用_軽油,係数_乗用_メタノール,係数_乗用_LPG),125,5,BE1160),5,FALSE)))))</f>
        <v/>
      </c>
      <c r="AN1160" s="461" t="str">
        <f t="shared" si="654"/>
        <v/>
      </c>
      <c r="AO1160" s="462" t="str">
        <f t="shared" si="655"/>
        <v/>
      </c>
      <c r="AP1160" s="463" t="str">
        <f t="shared" si="656"/>
        <v/>
      </c>
      <c r="AQ1160" s="464"/>
      <c r="AR1160" s="619"/>
      <c r="AS1160" s="465" t="str">
        <f t="shared" si="664"/>
        <v/>
      </c>
      <c r="AT1160" s="465" t="str">
        <f t="shared" si="665"/>
        <v/>
      </c>
      <c r="AU1160" s="466" t="str">
        <f t="shared" si="666"/>
        <v/>
      </c>
      <c r="AV1160" s="467" t="str">
        <f t="shared" si="667"/>
        <v/>
      </c>
      <c r="AW1160" s="467" t="str">
        <f t="shared" si="668"/>
        <v/>
      </c>
      <c r="AX1160" s="467" t="str">
        <f t="shared" si="669"/>
        <v/>
      </c>
      <c r="AY1160" s="467" t="str">
        <f t="shared" si="670"/>
        <v/>
      </c>
      <c r="AZ1160" s="467" t="str">
        <f t="shared" si="671"/>
        <v/>
      </c>
      <c r="BA1160" s="468" t="str">
        <f>IF(AS1160="","",IF(OR(AU1160="",AU1160="-"),"－",IF(OR(AZ1160=8,AZ1160=9),"",IF(OR(AW1160=3,AW1160=4,AW1160=5,AW1160=6),VLOOKUP(AU1160,INDEX((係数_バス貨物_ガソリン,係数_バス貨物_CNG,係数_バス貨物_軽油,係数_バス貨物_メタノール,係数_バス貨物_LPG),MATCH(AY1160,【参考】排出係数!$AI$4:$AI$671,1),1,BE1160):INDEX((係数_バス貨物_ガソリン,係数_バス貨物_CNG,係数_バス貨物_軽油,係数_バス貨物_メタノール,係数_バス貨物_LPG),MATCH(AY1160+1,【参考】排出係数!$AI$4:$AI$671,1)-1,5,BE1160),2,FALSE),IF(OR(AW1160=1,AW1160=2),VLOOKUP(AU1160,INDEX((係数_乗用_ガソリン,係数_乗用_CNG,係数_乗用_軽油,係数_乗用_メタノール,係数_乗用_LPG),1,1,BE1160):INDEX((係数_乗用_ガソリン,係数_乗用_CNG,係数_乗用_軽油,係数_乗用_メタノール,係数_乗用_LPG),125,5,BE1160),2,FALSE))))))</f>
        <v/>
      </c>
      <c r="BB1160" s="468" t="str">
        <f>IF(T1160="","",IF(OR(AU1160="",AU1160="-"),"－",IF(OR(AZ1160=8,AZ1160=9),"",IF(OR(AW1160=3,AW1160=4,AW1160=5,AW1160=6),VLOOKUP(AU1160,INDEX((係数_バス貨物_ガソリン,係数_バス貨物_CNG,係数_バス貨物_軽油,係数_バス貨物_メタノール,係数_バス貨物_LPG),MATCH(AY1160,【参考】排出係数!$AI$4:$AI$671,1),1,BE1160):INDEX((係数_バス貨物_ガソリン,係数_バス貨物_CNG,係数_バス貨物_軽油,係数_バス貨物_メタノール,係数_バス貨物_LPG),MATCH(AY1160+1,【参考】排出係数!$AI$4:$AI$671,1)-1,5,BE1160),3,FALSE),IF(OR(AW1160=1,AW1160=2),VLOOKUP(AU1160,INDEX((係数_乗用_ガソリン,係数_乗用_CNG,係数_乗用_軽油,係数_乗用_メタノール,係数_乗用_LPG),1,1,BE1160):INDEX((係数_乗用_ガソリン,係数_乗用_CNG,係数_乗用_軽油,係数_乗用_メタノール,係数_乗用_LPG),125,5,BE1160),3,FALSE))))))</f>
        <v/>
      </c>
      <c r="BC1160" s="467" t="str">
        <f t="shared" si="672"/>
        <v/>
      </c>
      <c r="BD1160" s="567" t="str">
        <f t="shared" si="673"/>
        <v/>
      </c>
      <c r="BE1160" s="467" t="str">
        <f t="shared" si="674"/>
        <v/>
      </c>
      <c r="BF1160" s="469" t="str">
        <f t="shared" ca="1" si="675"/>
        <v/>
      </c>
      <c r="BG1160" s="469" t="str">
        <f t="shared" ca="1" si="676"/>
        <v/>
      </c>
      <c r="BH1160" s="467" t="str">
        <f t="shared" si="677"/>
        <v/>
      </c>
      <c r="BI1160" s="467" t="str">
        <f t="shared" ca="1" si="678"/>
        <v/>
      </c>
      <c r="BJ1160" s="469" t="str">
        <f t="shared" si="679"/>
        <v/>
      </c>
      <c r="BK1160" s="470" t="str">
        <f t="shared" si="663"/>
        <v/>
      </c>
      <c r="BL1160" s="775" t="str">
        <f t="shared" si="680"/>
        <v/>
      </c>
      <c r="BM1160" s="775" t="str">
        <f t="shared" si="681"/>
        <v/>
      </c>
    </row>
    <row r="1161" spans="1:65">
      <c r="A1161" s="473">
        <v>1105</v>
      </c>
      <c r="B1161" s="132"/>
      <c r="C1161" s="332"/>
      <c r="D1161" s="333"/>
      <c r="E1161" s="333"/>
      <c r="F1161" s="334"/>
      <c r="G1161" s="337"/>
      <c r="H1161" s="131"/>
      <c r="I1161" s="337"/>
      <c r="J1161" s="131"/>
      <c r="K1161" s="458" t="str">
        <f t="shared" si="644"/>
        <v/>
      </c>
      <c r="L1161" s="458">
        <f t="shared" si="645"/>
        <v>0</v>
      </c>
      <c r="M1161" s="458">
        <f t="shared" si="646"/>
        <v>0</v>
      </c>
      <c r="N1161" s="459" t="str">
        <f t="shared" si="657"/>
        <v/>
      </c>
      <c r="O1161" s="459" t="str">
        <f t="shared" si="658"/>
        <v/>
      </c>
      <c r="P1161" s="459" t="str">
        <f t="shared" si="659"/>
        <v/>
      </c>
      <c r="Q1161" s="459" t="str">
        <f t="shared" si="660"/>
        <v/>
      </c>
      <c r="R1161" s="459" t="str">
        <f t="shared" si="661"/>
        <v/>
      </c>
      <c r="S1161" s="459" t="str">
        <f t="shared" si="662"/>
        <v/>
      </c>
      <c r="T1161" s="566" t="str">
        <f t="shared" si="647"/>
        <v/>
      </c>
      <c r="U1161" s="702"/>
      <c r="V1161" s="132"/>
      <c r="W1161" s="133"/>
      <c r="X1161" s="134"/>
      <c r="Y1161" s="135"/>
      <c r="Z1161" s="137"/>
      <c r="AA1161" s="136"/>
      <c r="AB1161" s="566" t="str">
        <f t="shared" si="648"/>
        <v/>
      </c>
      <c r="AC1161" s="568" t="str">
        <f t="shared" si="649"/>
        <v/>
      </c>
      <c r="AD1161" s="137"/>
      <c r="AE1161" s="137"/>
      <c r="AF1161" s="138"/>
      <c r="AG1161" s="138"/>
      <c r="AH1161" s="592" t="str">
        <f t="shared" si="650"/>
        <v/>
      </c>
      <c r="AI1161" s="592" t="str">
        <f t="shared" si="651"/>
        <v/>
      </c>
      <c r="AJ1161" s="592" t="str">
        <f t="shared" si="652"/>
        <v/>
      </c>
      <c r="AK1161" s="460" t="str">
        <f>IF(AU1161="","",IF(OR(AZ1161=8,AZ1161=9),0,IF(OR(AW1161=3,AW1161=4,AW1161=5,AW1161=6),IF(LEFT(BF1161,1)="1",INDEX(係数_NOX・PM低減,MATCH(AY1161,【参考】排出係数!$AI$801:$AI$804,1),1),VLOOKUP(AU1161,INDEX((係数_バス貨物_ガソリン,係数_バス貨物_CNG,係数_バス貨物_軽油,係数_バス貨物_メタノール,係数_バス貨物_LPG),MATCH(AY1161,【参考】排出係数!$AI$4:$AI$671,1),1,BE1161):INDEX((係数_バス貨物_ガソリン,係数_バス貨物_CNG,係数_バス貨物_軽油,係数_バス貨物_メタノール,係数_バス貨物_LPG),MATCH(AY1161+1,【参考】排出係数!$AI$4:$AI$671,1)-1,5,BE1161),4,FALSE)),IF(AND(BE1161=3,LEFT(BF1161,1)="1"),0.48,VLOOKUP(AU1161,INDEX((係数_乗用_ガソリン,係数_乗用_CNG,係数_乗用_軽油,係数_乗用_メタノール,係数_乗用_LPG),1,1,BE1161):INDEX((係数_乗用_ガソリン,係数_乗用_CNG,係数_乗用_軽油,係数_乗用_メタノール,係数_乗用_LPG),125,5,BE1161),4,FALSE)))))</f>
        <v/>
      </c>
      <c r="AL1161" s="461" t="str">
        <f t="shared" si="653"/>
        <v/>
      </c>
      <c r="AM1161" s="460" t="str">
        <f>IF(AU1161="","",IF(OR(AZ1161=8,AZ1161=9),0,IF(OR(AW1161=3,AW1161=4,AW1161=5,AW1161=6),IF(LEFT(BH1161,1)="1",INDEX(係数_PM低減,MATCH(AY1161,【参考】排出係数!$AI$801:$AI$804,1),MATCH(BI1161,【参考】排出係数!$AL$798:$AO$798,1)),VLOOKUP(AU1161,INDEX((係数_バス貨物_ガソリン,係数_バス貨物_CNG,係数_バス貨物_軽油,係数_バス貨物_メタノール,係数_バス貨物_LPG),MATCH(AY1161,【参考】排出係数!$AI$4:$AI$671,1),1,BE1161):INDEX((係数_バス貨物_ガソリン,係数_バス貨物_CNG,係数_バス貨物_軽油,係数_バス貨物_メタノール,係数_バス貨物_LPG),MATCH(AY1161+1,【参考】排出係数!$AI$4:$AI$671,1)-1,5,BE1161),5,FALSE)),IF(AND(BE1161=3,LEFT(BF1161,1)="1"),0.055,VLOOKUP(AU1161,INDEX((係数_乗用_ガソリン,係数_乗用_CNG,係数_乗用_軽油,係数_乗用_メタノール,係数_乗用_LPG),1,1,BE1161):INDEX((係数_乗用_ガソリン,係数_乗用_CNG,係数_乗用_軽油,係数_乗用_メタノール,係数_乗用_LPG),125,5,BE1161),5,FALSE)))))</f>
        <v/>
      </c>
      <c r="AN1161" s="461" t="str">
        <f t="shared" si="654"/>
        <v/>
      </c>
      <c r="AO1161" s="462" t="str">
        <f t="shared" si="655"/>
        <v/>
      </c>
      <c r="AP1161" s="463" t="str">
        <f t="shared" si="656"/>
        <v/>
      </c>
      <c r="AQ1161" s="464"/>
      <c r="AR1161" s="619"/>
      <c r="AS1161" s="465" t="str">
        <f t="shared" si="664"/>
        <v/>
      </c>
      <c r="AT1161" s="465" t="str">
        <f t="shared" si="665"/>
        <v/>
      </c>
      <c r="AU1161" s="466" t="str">
        <f t="shared" si="666"/>
        <v/>
      </c>
      <c r="AV1161" s="467" t="str">
        <f t="shared" si="667"/>
        <v/>
      </c>
      <c r="AW1161" s="467" t="str">
        <f t="shared" si="668"/>
        <v/>
      </c>
      <c r="AX1161" s="467" t="str">
        <f t="shared" si="669"/>
        <v/>
      </c>
      <c r="AY1161" s="467" t="str">
        <f t="shared" si="670"/>
        <v/>
      </c>
      <c r="AZ1161" s="467" t="str">
        <f t="shared" si="671"/>
        <v/>
      </c>
      <c r="BA1161" s="468" t="str">
        <f>IF(AS1161="","",IF(OR(AU1161="",AU1161="-"),"－",IF(OR(AZ1161=8,AZ1161=9),"",IF(OR(AW1161=3,AW1161=4,AW1161=5,AW1161=6),VLOOKUP(AU1161,INDEX((係数_バス貨物_ガソリン,係数_バス貨物_CNG,係数_バス貨物_軽油,係数_バス貨物_メタノール,係数_バス貨物_LPG),MATCH(AY1161,【参考】排出係数!$AI$4:$AI$671,1),1,BE1161):INDEX((係数_バス貨物_ガソリン,係数_バス貨物_CNG,係数_バス貨物_軽油,係数_バス貨物_メタノール,係数_バス貨物_LPG),MATCH(AY1161+1,【参考】排出係数!$AI$4:$AI$671,1)-1,5,BE1161),2,FALSE),IF(OR(AW1161=1,AW1161=2),VLOOKUP(AU1161,INDEX((係数_乗用_ガソリン,係数_乗用_CNG,係数_乗用_軽油,係数_乗用_メタノール,係数_乗用_LPG),1,1,BE1161):INDEX((係数_乗用_ガソリン,係数_乗用_CNG,係数_乗用_軽油,係数_乗用_メタノール,係数_乗用_LPG),125,5,BE1161),2,FALSE))))))</f>
        <v/>
      </c>
      <c r="BB1161" s="468" t="str">
        <f>IF(T1161="","",IF(OR(AU1161="",AU1161="-"),"－",IF(OR(AZ1161=8,AZ1161=9),"",IF(OR(AW1161=3,AW1161=4,AW1161=5,AW1161=6),VLOOKUP(AU1161,INDEX((係数_バス貨物_ガソリン,係数_バス貨物_CNG,係数_バス貨物_軽油,係数_バス貨物_メタノール,係数_バス貨物_LPG),MATCH(AY1161,【参考】排出係数!$AI$4:$AI$671,1),1,BE1161):INDEX((係数_バス貨物_ガソリン,係数_バス貨物_CNG,係数_バス貨物_軽油,係数_バス貨物_メタノール,係数_バス貨物_LPG),MATCH(AY1161+1,【参考】排出係数!$AI$4:$AI$671,1)-1,5,BE1161),3,FALSE),IF(OR(AW1161=1,AW1161=2),VLOOKUP(AU1161,INDEX((係数_乗用_ガソリン,係数_乗用_CNG,係数_乗用_軽油,係数_乗用_メタノール,係数_乗用_LPG),1,1,BE1161):INDEX((係数_乗用_ガソリン,係数_乗用_CNG,係数_乗用_軽油,係数_乗用_メタノール,係数_乗用_LPG),125,5,BE1161),3,FALSE))))))</f>
        <v/>
      </c>
      <c r="BC1161" s="467" t="str">
        <f t="shared" si="672"/>
        <v/>
      </c>
      <c r="BD1161" s="567" t="str">
        <f t="shared" si="673"/>
        <v/>
      </c>
      <c r="BE1161" s="467" t="str">
        <f t="shared" si="674"/>
        <v/>
      </c>
      <c r="BF1161" s="469" t="str">
        <f t="shared" ca="1" si="675"/>
        <v/>
      </c>
      <c r="BG1161" s="469" t="str">
        <f t="shared" ca="1" si="676"/>
        <v/>
      </c>
      <c r="BH1161" s="467" t="str">
        <f t="shared" si="677"/>
        <v/>
      </c>
      <c r="BI1161" s="467" t="str">
        <f t="shared" ca="1" si="678"/>
        <v/>
      </c>
      <c r="BJ1161" s="469" t="str">
        <f t="shared" si="679"/>
        <v/>
      </c>
      <c r="BK1161" s="470" t="str">
        <f t="shared" si="663"/>
        <v/>
      </c>
      <c r="BL1161" s="775" t="str">
        <f t="shared" si="680"/>
        <v/>
      </c>
      <c r="BM1161" s="775" t="str">
        <f t="shared" si="681"/>
        <v/>
      </c>
    </row>
    <row r="1162" spans="1:65">
      <c r="A1162" s="473">
        <v>1106</v>
      </c>
      <c r="B1162" s="132"/>
      <c r="C1162" s="332"/>
      <c r="D1162" s="333"/>
      <c r="E1162" s="333"/>
      <c r="F1162" s="334"/>
      <c r="G1162" s="337"/>
      <c r="H1162" s="131"/>
      <c r="I1162" s="337"/>
      <c r="J1162" s="131"/>
      <c r="K1162" s="458" t="str">
        <f t="shared" si="644"/>
        <v/>
      </c>
      <c r="L1162" s="458">
        <f t="shared" si="645"/>
        <v>0</v>
      </c>
      <c r="M1162" s="458">
        <f t="shared" si="646"/>
        <v>0</v>
      </c>
      <c r="N1162" s="459" t="str">
        <f t="shared" si="657"/>
        <v/>
      </c>
      <c r="O1162" s="459" t="str">
        <f t="shared" si="658"/>
        <v/>
      </c>
      <c r="P1162" s="459" t="str">
        <f t="shared" si="659"/>
        <v/>
      </c>
      <c r="Q1162" s="459" t="str">
        <f t="shared" si="660"/>
        <v/>
      </c>
      <c r="R1162" s="459" t="str">
        <f t="shared" si="661"/>
        <v/>
      </c>
      <c r="S1162" s="459" t="str">
        <f t="shared" si="662"/>
        <v/>
      </c>
      <c r="T1162" s="566" t="str">
        <f t="shared" si="647"/>
        <v/>
      </c>
      <c r="U1162" s="702"/>
      <c r="V1162" s="132"/>
      <c r="W1162" s="133"/>
      <c r="X1162" s="134"/>
      <c r="Y1162" s="135"/>
      <c r="Z1162" s="137"/>
      <c r="AA1162" s="136"/>
      <c r="AB1162" s="566" t="str">
        <f t="shared" si="648"/>
        <v/>
      </c>
      <c r="AC1162" s="568" t="str">
        <f t="shared" si="649"/>
        <v/>
      </c>
      <c r="AD1162" s="137"/>
      <c r="AE1162" s="137"/>
      <c r="AF1162" s="138"/>
      <c r="AG1162" s="138"/>
      <c r="AH1162" s="592" t="str">
        <f t="shared" si="650"/>
        <v/>
      </c>
      <c r="AI1162" s="592" t="str">
        <f t="shared" si="651"/>
        <v/>
      </c>
      <c r="AJ1162" s="592" t="str">
        <f t="shared" si="652"/>
        <v/>
      </c>
      <c r="AK1162" s="460" t="str">
        <f>IF(AU1162="","",IF(OR(AZ1162=8,AZ1162=9),0,IF(OR(AW1162=3,AW1162=4,AW1162=5,AW1162=6),IF(LEFT(BF1162,1)="1",INDEX(係数_NOX・PM低減,MATCH(AY1162,【参考】排出係数!$AI$801:$AI$804,1),1),VLOOKUP(AU1162,INDEX((係数_バス貨物_ガソリン,係数_バス貨物_CNG,係数_バス貨物_軽油,係数_バス貨物_メタノール,係数_バス貨物_LPG),MATCH(AY1162,【参考】排出係数!$AI$4:$AI$671,1),1,BE1162):INDEX((係数_バス貨物_ガソリン,係数_バス貨物_CNG,係数_バス貨物_軽油,係数_バス貨物_メタノール,係数_バス貨物_LPG),MATCH(AY1162+1,【参考】排出係数!$AI$4:$AI$671,1)-1,5,BE1162),4,FALSE)),IF(AND(BE1162=3,LEFT(BF1162,1)="1"),0.48,VLOOKUP(AU1162,INDEX((係数_乗用_ガソリン,係数_乗用_CNG,係数_乗用_軽油,係数_乗用_メタノール,係数_乗用_LPG),1,1,BE1162):INDEX((係数_乗用_ガソリン,係数_乗用_CNG,係数_乗用_軽油,係数_乗用_メタノール,係数_乗用_LPG),125,5,BE1162),4,FALSE)))))</f>
        <v/>
      </c>
      <c r="AL1162" s="461" t="str">
        <f t="shared" si="653"/>
        <v/>
      </c>
      <c r="AM1162" s="460" t="str">
        <f>IF(AU1162="","",IF(OR(AZ1162=8,AZ1162=9),0,IF(OR(AW1162=3,AW1162=4,AW1162=5,AW1162=6),IF(LEFT(BH1162,1)="1",INDEX(係数_PM低減,MATCH(AY1162,【参考】排出係数!$AI$801:$AI$804,1),MATCH(BI1162,【参考】排出係数!$AL$798:$AO$798,1)),VLOOKUP(AU1162,INDEX((係数_バス貨物_ガソリン,係数_バス貨物_CNG,係数_バス貨物_軽油,係数_バス貨物_メタノール,係数_バス貨物_LPG),MATCH(AY1162,【参考】排出係数!$AI$4:$AI$671,1),1,BE1162):INDEX((係数_バス貨物_ガソリン,係数_バス貨物_CNG,係数_バス貨物_軽油,係数_バス貨物_メタノール,係数_バス貨物_LPG),MATCH(AY1162+1,【参考】排出係数!$AI$4:$AI$671,1)-1,5,BE1162),5,FALSE)),IF(AND(BE1162=3,LEFT(BF1162,1)="1"),0.055,VLOOKUP(AU1162,INDEX((係数_乗用_ガソリン,係数_乗用_CNG,係数_乗用_軽油,係数_乗用_メタノール,係数_乗用_LPG),1,1,BE1162):INDEX((係数_乗用_ガソリン,係数_乗用_CNG,係数_乗用_軽油,係数_乗用_メタノール,係数_乗用_LPG),125,5,BE1162),5,FALSE)))))</f>
        <v/>
      </c>
      <c r="AN1162" s="461" t="str">
        <f t="shared" si="654"/>
        <v/>
      </c>
      <c r="AO1162" s="462" t="str">
        <f t="shared" si="655"/>
        <v/>
      </c>
      <c r="AP1162" s="463" t="str">
        <f t="shared" si="656"/>
        <v/>
      </c>
      <c r="AQ1162" s="464"/>
      <c r="AR1162" s="619"/>
      <c r="AS1162" s="465" t="str">
        <f t="shared" si="664"/>
        <v/>
      </c>
      <c r="AT1162" s="465" t="str">
        <f t="shared" si="665"/>
        <v/>
      </c>
      <c r="AU1162" s="466" t="str">
        <f t="shared" si="666"/>
        <v/>
      </c>
      <c r="AV1162" s="467" t="str">
        <f t="shared" si="667"/>
        <v/>
      </c>
      <c r="AW1162" s="467" t="str">
        <f t="shared" si="668"/>
        <v/>
      </c>
      <c r="AX1162" s="467" t="str">
        <f t="shared" si="669"/>
        <v/>
      </c>
      <c r="AY1162" s="467" t="str">
        <f t="shared" si="670"/>
        <v/>
      </c>
      <c r="AZ1162" s="467" t="str">
        <f t="shared" si="671"/>
        <v/>
      </c>
      <c r="BA1162" s="468" t="str">
        <f>IF(AS1162="","",IF(OR(AU1162="",AU1162="-"),"－",IF(OR(AZ1162=8,AZ1162=9),"",IF(OR(AW1162=3,AW1162=4,AW1162=5,AW1162=6),VLOOKUP(AU1162,INDEX((係数_バス貨物_ガソリン,係数_バス貨物_CNG,係数_バス貨物_軽油,係数_バス貨物_メタノール,係数_バス貨物_LPG),MATCH(AY1162,【参考】排出係数!$AI$4:$AI$671,1),1,BE1162):INDEX((係数_バス貨物_ガソリン,係数_バス貨物_CNG,係数_バス貨物_軽油,係数_バス貨物_メタノール,係数_バス貨物_LPG),MATCH(AY1162+1,【参考】排出係数!$AI$4:$AI$671,1)-1,5,BE1162),2,FALSE),IF(OR(AW1162=1,AW1162=2),VLOOKUP(AU1162,INDEX((係数_乗用_ガソリン,係数_乗用_CNG,係数_乗用_軽油,係数_乗用_メタノール,係数_乗用_LPG),1,1,BE1162):INDEX((係数_乗用_ガソリン,係数_乗用_CNG,係数_乗用_軽油,係数_乗用_メタノール,係数_乗用_LPG),125,5,BE1162),2,FALSE))))))</f>
        <v/>
      </c>
      <c r="BB1162" s="468" t="str">
        <f>IF(T1162="","",IF(OR(AU1162="",AU1162="-"),"－",IF(OR(AZ1162=8,AZ1162=9),"",IF(OR(AW1162=3,AW1162=4,AW1162=5,AW1162=6),VLOOKUP(AU1162,INDEX((係数_バス貨物_ガソリン,係数_バス貨物_CNG,係数_バス貨物_軽油,係数_バス貨物_メタノール,係数_バス貨物_LPG),MATCH(AY1162,【参考】排出係数!$AI$4:$AI$671,1),1,BE1162):INDEX((係数_バス貨物_ガソリン,係数_バス貨物_CNG,係数_バス貨物_軽油,係数_バス貨物_メタノール,係数_バス貨物_LPG),MATCH(AY1162+1,【参考】排出係数!$AI$4:$AI$671,1)-1,5,BE1162),3,FALSE),IF(OR(AW1162=1,AW1162=2),VLOOKUP(AU1162,INDEX((係数_乗用_ガソリン,係数_乗用_CNG,係数_乗用_軽油,係数_乗用_メタノール,係数_乗用_LPG),1,1,BE1162):INDEX((係数_乗用_ガソリン,係数_乗用_CNG,係数_乗用_軽油,係数_乗用_メタノール,係数_乗用_LPG),125,5,BE1162),3,FALSE))))))</f>
        <v/>
      </c>
      <c r="BC1162" s="467" t="str">
        <f t="shared" si="672"/>
        <v/>
      </c>
      <c r="BD1162" s="567" t="str">
        <f t="shared" si="673"/>
        <v/>
      </c>
      <c r="BE1162" s="467" t="str">
        <f t="shared" si="674"/>
        <v/>
      </c>
      <c r="BF1162" s="469" t="str">
        <f t="shared" ca="1" si="675"/>
        <v/>
      </c>
      <c r="BG1162" s="469" t="str">
        <f t="shared" ca="1" si="676"/>
        <v/>
      </c>
      <c r="BH1162" s="467" t="str">
        <f t="shared" si="677"/>
        <v/>
      </c>
      <c r="BI1162" s="467" t="str">
        <f t="shared" ca="1" si="678"/>
        <v/>
      </c>
      <c r="BJ1162" s="469" t="str">
        <f t="shared" si="679"/>
        <v/>
      </c>
      <c r="BK1162" s="470" t="str">
        <f t="shared" si="663"/>
        <v/>
      </c>
      <c r="BL1162" s="775" t="str">
        <f t="shared" si="680"/>
        <v/>
      </c>
      <c r="BM1162" s="775" t="str">
        <f t="shared" si="681"/>
        <v/>
      </c>
    </row>
    <row r="1163" spans="1:65">
      <c r="A1163" s="473">
        <v>1107</v>
      </c>
      <c r="B1163" s="132"/>
      <c r="C1163" s="332"/>
      <c r="D1163" s="333"/>
      <c r="E1163" s="333"/>
      <c r="F1163" s="334"/>
      <c r="G1163" s="337"/>
      <c r="H1163" s="131"/>
      <c r="I1163" s="337"/>
      <c r="J1163" s="131"/>
      <c r="K1163" s="458" t="str">
        <f t="shared" si="644"/>
        <v/>
      </c>
      <c r="L1163" s="458">
        <f t="shared" si="645"/>
        <v>0</v>
      </c>
      <c r="M1163" s="458">
        <f t="shared" si="646"/>
        <v>0</v>
      </c>
      <c r="N1163" s="459" t="str">
        <f t="shared" si="657"/>
        <v/>
      </c>
      <c r="O1163" s="459" t="str">
        <f t="shared" si="658"/>
        <v/>
      </c>
      <c r="P1163" s="459" t="str">
        <f t="shared" si="659"/>
        <v/>
      </c>
      <c r="Q1163" s="459" t="str">
        <f t="shared" si="660"/>
        <v/>
      </c>
      <c r="R1163" s="459" t="str">
        <f t="shared" si="661"/>
        <v/>
      </c>
      <c r="S1163" s="459" t="str">
        <f t="shared" si="662"/>
        <v/>
      </c>
      <c r="T1163" s="566" t="str">
        <f t="shared" si="647"/>
        <v/>
      </c>
      <c r="U1163" s="702"/>
      <c r="V1163" s="132"/>
      <c r="W1163" s="133"/>
      <c r="X1163" s="134"/>
      <c r="Y1163" s="135"/>
      <c r="Z1163" s="137"/>
      <c r="AA1163" s="136"/>
      <c r="AB1163" s="566" t="str">
        <f t="shared" si="648"/>
        <v/>
      </c>
      <c r="AC1163" s="568" t="str">
        <f t="shared" si="649"/>
        <v/>
      </c>
      <c r="AD1163" s="137"/>
      <c r="AE1163" s="137"/>
      <c r="AF1163" s="138"/>
      <c r="AG1163" s="138"/>
      <c r="AH1163" s="592" t="str">
        <f t="shared" si="650"/>
        <v/>
      </c>
      <c r="AI1163" s="592" t="str">
        <f t="shared" si="651"/>
        <v/>
      </c>
      <c r="AJ1163" s="592" t="str">
        <f t="shared" si="652"/>
        <v/>
      </c>
      <c r="AK1163" s="460" t="str">
        <f>IF(AU1163="","",IF(OR(AZ1163=8,AZ1163=9),0,IF(OR(AW1163=3,AW1163=4,AW1163=5,AW1163=6),IF(LEFT(BF1163,1)="1",INDEX(係数_NOX・PM低減,MATCH(AY1163,【参考】排出係数!$AI$801:$AI$804,1),1),VLOOKUP(AU1163,INDEX((係数_バス貨物_ガソリン,係数_バス貨物_CNG,係数_バス貨物_軽油,係数_バス貨物_メタノール,係数_バス貨物_LPG),MATCH(AY1163,【参考】排出係数!$AI$4:$AI$671,1),1,BE1163):INDEX((係数_バス貨物_ガソリン,係数_バス貨物_CNG,係数_バス貨物_軽油,係数_バス貨物_メタノール,係数_バス貨物_LPG),MATCH(AY1163+1,【参考】排出係数!$AI$4:$AI$671,1)-1,5,BE1163),4,FALSE)),IF(AND(BE1163=3,LEFT(BF1163,1)="1"),0.48,VLOOKUP(AU1163,INDEX((係数_乗用_ガソリン,係数_乗用_CNG,係数_乗用_軽油,係数_乗用_メタノール,係数_乗用_LPG),1,1,BE1163):INDEX((係数_乗用_ガソリン,係数_乗用_CNG,係数_乗用_軽油,係数_乗用_メタノール,係数_乗用_LPG),125,5,BE1163),4,FALSE)))))</f>
        <v/>
      </c>
      <c r="AL1163" s="461" t="str">
        <f t="shared" si="653"/>
        <v/>
      </c>
      <c r="AM1163" s="460" t="str">
        <f>IF(AU1163="","",IF(OR(AZ1163=8,AZ1163=9),0,IF(OR(AW1163=3,AW1163=4,AW1163=5,AW1163=6),IF(LEFT(BH1163,1)="1",INDEX(係数_PM低減,MATCH(AY1163,【参考】排出係数!$AI$801:$AI$804,1),MATCH(BI1163,【参考】排出係数!$AL$798:$AO$798,1)),VLOOKUP(AU1163,INDEX((係数_バス貨物_ガソリン,係数_バス貨物_CNG,係数_バス貨物_軽油,係数_バス貨物_メタノール,係数_バス貨物_LPG),MATCH(AY1163,【参考】排出係数!$AI$4:$AI$671,1),1,BE1163):INDEX((係数_バス貨物_ガソリン,係数_バス貨物_CNG,係数_バス貨物_軽油,係数_バス貨物_メタノール,係数_バス貨物_LPG),MATCH(AY1163+1,【参考】排出係数!$AI$4:$AI$671,1)-1,5,BE1163),5,FALSE)),IF(AND(BE1163=3,LEFT(BF1163,1)="1"),0.055,VLOOKUP(AU1163,INDEX((係数_乗用_ガソリン,係数_乗用_CNG,係数_乗用_軽油,係数_乗用_メタノール,係数_乗用_LPG),1,1,BE1163):INDEX((係数_乗用_ガソリン,係数_乗用_CNG,係数_乗用_軽油,係数_乗用_メタノール,係数_乗用_LPG),125,5,BE1163),5,FALSE)))))</f>
        <v/>
      </c>
      <c r="AN1163" s="461" t="str">
        <f t="shared" si="654"/>
        <v/>
      </c>
      <c r="AO1163" s="462" t="str">
        <f t="shared" si="655"/>
        <v/>
      </c>
      <c r="AP1163" s="463" t="str">
        <f t="shared" si="656"/>
        <v/>
      </c>
      <c r="AQ1163" s="464"/>
      <c r="AR1163" s="619"/>
      <c r="AS1163" s="465" t="str">
        <f t="shared" si="664"/>
        <v/>
      </c>
      <c r="AT1163" s="465" t="str">
        <f t="shared" si="665"/>
        <v/>
      </c>
      <c r="AU1163" s="466" t="str">
        <f t="shared" si="666"/>
        <v/>
      </c>
      <c r="AV1163" s="467" t="str">
        <f t="shared" si="667"/>
        <v/>
      </c>
      <c r="AW1163" s="467" t="str">
        <f t="shared" si="668"/>
        <v/>
      </c>
      <c r="AX1163" s="467" t="str">
        <f t="shared" si="669"/>
        <v/>
      </c>
      <c r="AY1163" s="467" t="str">
        <f t="shared" si="670"/>
        <v/>
      </c>
      <c r="AZ1163" s="467" t="str">
        <f t="shared" si="671"/>
        <v/>
      </c>
      <c r="BA1163" s="468" t="str">
        <f>IF(AS1163="","",IF(OR(AU1163="",AU1163="-"),"－",IF(OR(AZ1163=8,AZ1163=9),"",IF(OR(AW1163=3,AW1163=4,AW1163=5,AW1163=6),VLOOKUP(AU1163,INDEX((係数_バス貨物_ガソリン,係数_バス貨物_CNG,係数_バス貨物_軽油,係数_バス貨物_メタノール,係数_バス貨物_LPG),MATCH(AY1163,【参考】排出係数!$AI$4:$AI$671,1),1,BE1163):INDEX((係数_バス貨物_ガソリン,係数_バス貨物_CNG,係数_バス貨物_軽油,係数_バス貨物_メタノール,係数_バス貨物_LPG),MATCH(AY1163+1,【参考】排出係数!$AI$4:$AI$671,1)-1,5,BE1163),2,FALSE),IF(OR(AW1163=1,AW1163=2),VLOOKUP(AU1163,INDEX((係数_乗用_ガソリン,係数_乗用_CNG,係数_乗用_軽油,係数_乗用_メタノール,係数_乗用_LPG),1,1,BE1163):INDEX((係数_乗用_ガソリン,係数_乗用_CNG,係数_乗用_軽油,係数_乗用_メタノール,係数_乗用_LPG),125,5,BE1163),2,FALSE))))))</f>
        <v/>
      </c>
      <c r="BB1163" s="468" t="str">
        <f>IF(T1163="","",IF(OR(AU1163="",AU1163="-"),"－",IF(OR(AZ1163=8,AZ1163=9),"",IF(OR(AW1163=3,AW1163=4,AW1163=5,AW1163=6),VLOOKUP(AU1163,INDEX((係数_バス貨物_ガソリン,係数_バス貨物_CNG,係数_バス貨物_軽油,係数_バス貨物_メタノール,係数_バス貨物_LPG),MATCH(AY1163,【参考】排出係数!$AI$4:$AI$671,1),1,BE1163):INDEX((係数_バス貨物_ガソリン,係数_バス貨物_CNG,係数_バス貨物_軽油,係数_バス貨物_メタノール,係数_バス貨物_LPG),MATCH(AY1163+1,【参考】排出係数!$AI$4:$AI$671,1)-1,5,BE1163),3,FALSE),IF(OR(AW1163=1,AW1163=2),VLOOKUP(AU1163,INDEX((係数_乗用_ガソリン,係数_乗用_CNG,係数_乗用_軽油,係数_乗用_メタノール,係数_乗用_LPG),1,1,BE1163):INDEX((係数_乗用_ガソリン,係数_乗用_CNG,係数_乗用_軽油,係数_乗用_メタノール,係数_乗用_LPG),125,5,BE1163),3,FALSE))))))</f>
        <v/>
      </c>
      <c r="BC1163" s="467" t="str">
        <f t="shared" si="672"/>
        <v/>
      </c>
      <c r="BD1163" s="567" t="str">
        <f t="shared" si="673"/>
        <v/>
      </c>
      <c r="BE1163" s="467" t="str">
        <f t="shared" si="674"/>
        <v/>
      </c>
      <c r="BF1163" s="469" t="str">
        <f t="shared" ca="1" si="675"/>
        <v/>
      </c>
      <c r="BG1163" s="469" t="str">
        <f t="shared" ca="1" si="676"/>
        <v/>
      </c>
      <c r="BH1163" s="467" t="str">
        <f t="shared" si="677"/>
        <v/>
      </c>
      <c r="BI1163" s="467" t="str">
        <f t="shared" ca="1" si="678"/>
        <v/>
      </c>
      <c r="BJ1163" s="469" t="str">
        <f t="shared" si="679"/>
        <v/>
      </c>
      <c r="BK1163" s="470" t="str">
        <f t="shared" si="663"/>
        <v/>
      </c>
      <c r="BL1163" s="775" t="str">
        <f t="shared" si="680"/>
        <v/>
      </c>
      <c r="BM1163" s="775" t="str">
        <f t="shared" si="681"/>
        <v/>
      </c>
    </row>
    <row r="1164" spans="1:65">
      <c r="A1164" s="473">
        <v>1108</v>
      </c>
      <c r="B1164" s="132"/>
      <c r="C1164" s="332"/>
      <c r="D1164" s="333"/>
      <c r="E1164" s="333"/>
      <c r="F1164" s="334"/>
      <c r="G1164" s="337"/>
      <c r="H1164" s="131"/>
      <c r="I1164" s="337"/>
      <c r="J1164" s="131"/>
      <c r="K1164" s="458" t="str">
        <f t="shared" si="644"/>
        <v/>
      </c>
      <c r="L1164" s="458">
        <f t="shared" si="645"/>
        <v>0</v>
      </c>
      <c r="M1164" s="458">
        <f t="shared" si="646"/>
        <v>0</v>
      </c>
      <c r="N1164" s="459" t="str">
        <f t="shared" si="657"/>
        <v/>
      </c>
      <c r="O1164" s="459" t="str">
        <f t="shared" si="658"/>
        <v/>
      </c>
      <c r="P1164" s="459" t="str">
        <f t="shared" si="659"/>
        <v/>
      </c>
      <c r="Q1164" s="459" t="str">
        <f t="shared" si="660"/>
        <v/>
      </c>
      <c r="R1164" s="459" t="str">
        <f t="shared" si="661"/>
        <v/>
      </c>
      <c r="S1164" s="459" t="str">
        <f t="shared" si="662"/>
        <v/>
      </c>
      <c r="T1164" s="566" t="str">
        <f t="shared" si="647"/>
        <v/>
      </c>
      <c r="U1164" s="702"/>
      <c r="V1164" s="132"/>
      <c r="W1164" s="133"/>
      <c r="X1164" s="134"/>
      <c r="Y1164" s="135"/>
      <c r="Z1164" s="137"/>
      <c r="AA1164" s="136"/>
      <c r="AB1164" s="566" t="str">
        <f t="shared" si="648"/>
        <v/>
      </c>
      <c r="AC1164" s="568" t="str">
        <f t="shared" si="649"/>
        <v/>
      </c>
      <c r="AD1164" s="137"/>
      <c r="AE1164" s="137"/>
      <c r="AF1164" s="138"/>
      <c r="AG1164" s="138"/>
      <c r="AH1164" s="592" t="str">
        <f t="shared" si="650"/>
        <v/>
      </c>
      <c r="AI1164" s="592" t="str">
        <f t="shared" si="651"/>
        <v/>
      </c>
      <c r="AJ1164" s="592" t="str">
        <f t="shared" si="652"/>
        <v/>
      </c>
      <c r="AK1164" s="460" t="str">
        <f>IF(AU1164="","",IF(OR(AZ1164=8,AZ1164=9),0,IF(OR(AW1164=3,AW1164=4,AW1164=5,AW1164=6),IF(LEFT(BF1164,1)="1",INDEX(係数_NOX・PM低減,MATCH(AY1164,【参考】排出係数!$AI$801:$AI$804,1),1),VLOOKUP(AU1164,INDEX((係数_バス貨物_ガソリン,係数_バス貨物_CNG,係数_バス貨物_軽油,係数_バス貨物_メタノール,係数_バス貨物_LPG),MATCH(AY1164,【参考】排出係数!$AI$4:$AI$671,1),1,BE1164):INDEX((係数_バス貨物_ガソリン,係数_バス貨物_CNG,係数_バス貨物_軽油,係数_バス貨物_メタノール,係数_バス貨物_LPG),MATCH(AY1164+1,【参考】排出係数!$AI$4:$AI$671,1)-1,5,BE1164),4,FALSE)),IF(AND(BE1164=3,LEFT(BF1164,1)="1"),0.48,VLOOKUP(AU1164,INDEX((係数_乗用_ガソリン,係数_乗用_CNG,係数_乗用_軽油,係数_乗用_メタノール,係数_乗用_LPG),1,1,BE1164):INDEX((係数_乗用_ガソリン,係数_乗用_CNG,係数_乗用_軽油,係数_乗用_メタノール,係数_乗用_LPG),125,5,BE1164),4,FALSE)))))</f>
        <v/>
      </c>
      <c r="AL1164" s="461" t="str">
        <f t="shared" si="653"/>
        <v/>
      </c>
      <c r="AM1164" s="460" t="str">
        <f>IF(AU1164="","",IF(OR(AZ1164=8,AZ1164=9),0,IF(OR(AW1164=3,AW1164=4,AW1164=5,AW1164=6),IF(LEFT(BH1164,1)="1",INDEX(係数_PM低減,MATCH(AY1164,【参考】排出係数!$AI$801:$AI$804,1),MATCH(BI1164,【参考】排出係数!$AL$798:$AO$798,1)),VLOOKUP(AU1164,INDEX((係数_バス貨物_ガソリン,係数_バス貨物_CNG,係数_バス貨物_軽油,係数_バス貨物_メタノール,係数_バス貨物_LPG),MATCH(AY1164,【参考】排出係数!$AI$4:$AI$671,1),1,BE1164):INDEX((係数_バス貨物_ガソリン,係数_バス貨物_CNG,係数_バス貨物_軽油,係数_バス貨物_メタノール,係数_バス貨物_LPG),MATCH(AY1164+1,【参考】排出係数!$AI$4:$AI$671,1)-1,5,BE1164),5,FALSE)),IF(AND(BE1164=3,LEFT(BF1164,1)="1"),0.055,VLOOKUP(AU1164,INDEX((係数_乗用_ガソリン,係数_乗用_CNG,係数_乗用_軽油,係数_乗用_メタノール,係数_乗用_LPG),1,1,BE1164):INDEX((係数_乗用_ガソリン,係数_乗用_CNG,係数_乗用_軽油,係数_乗用_メタノール,係数_乗用_LPG),125,5,BE1164),5,FALSE)))))</f>
        <v/>
      </c>
      <c r="AN1164" s="461" t="str">
        <f t="shared" si="654"/>
        <v/>
      </c>
      <c r="AO1164" s="462" t="str">
        <f t="shared" si="655"/>
        <v/>
      </c>
      <c r="AP1164" s="463" t="str">
        <f t="shared" si="656"/>
        <v/>
      </c>
      <c r="AQ1164" s="464"/>
      <c r="AR1164" s="619"/>
      <c r="AS1164" s="465" t="str">
        <f t="shared" si="664"/>
        <v/>
      </c>
      <c r="AT1164" s="465" t="str">
        <f t="shared" si="665"/>
        <v/>
      </c>
      <c r="AU1164" s="466" t="str">
        <f t="shared" si="666"/>
        <v/>
      </c>
      <c r="AV1164" s="467" t="str">
        <f t="shared" si="667"/>
        <v/>
      </c>
      <c r="AW1164" s="467" t="str">
        <f t="shared" si="668"/>
        <v/>
      </c>
      <c r="AX1164" s="467" t="str">
        <f t="shared" si="669"/>
        <v/>
      </c>
      <c r="AY1164" s="467" t="str">
        <f t="shared" si="670"/>
        <v/>
      </c>
      <c r="AZ1164" s="467" t="str">
        <f t="shared" si="671"/>
        <v/>
      </c>
      <c r="BA1164" s="468" t="str">
        <f>IF(AS1164="","",IF(OR(AU1164="",AU1164="-"),"－",IF(OR(AZ1164=8,AZ1164=9),"",IF(OR(AW1164=3,AW1164=4,AW1164=5,AW1164=6),VLOOKUP(AU1164,INDEX((係数_バス貨物_ガソリン,係数_バス貨物_CNG,係数_バス貨物_軽油,係数_バス貨物_メタノール,係数_バス貨物_LPG),MATCH(AY1164,【参考】排出係数!$AI$4:$AI$671,1),1,BE1164):INDEX((係数_バス貨物_ガソリン,係数_バス貨物_CNG,係数_バス貨物_軽油,係数_バス貨物_メタノール,係数_バス貨物_LPG),MATCH(AY1164+1,【参考】排出係数!$AI$4:$AI$671,1)-1,5,BE1164),2,FALSE),IF(OR(AW1164=1,AW1164=2),VLOOKUP(AU1164,INDEX((係数_乗用_ガソリン,係数_乗用_CNG,係数_乗用_軽油,係数_乗用_メタノール,係数_乗用_LPG),1,1,BE1164):INDEX((係数_乗用_ガソリン,係数_乗用_CNG,係数_乗用_軽油,係数_乗用_メタノール,係数_乗用_LPG),125,5,BE1164),2,FALSE))))))</f>
        <v/>
      </c>
      <c r="BB1164" s="468" t="str">
        <f>IF(T1164="","",IF(OR(AU1164="",AU1164="-"),"－",IF(OR(AZ1164=8,AZ1164=9),"",IF(OR(AW1164=3,AW1164=4,AW1164=5,AW1164=6),VLOOKUP(AU1164,INDEX((係数_バス貨物_ガソリン,係数_バス貨物_CNG,係数_バス貨物_軽油,係数_バス貨物_メタノール,係数_バス貨物_LPG),MATCH(AY1164,【参考】排出係数!$AI$4:$AI$671,1),1,BE1164):INDEX((係数_バス貨物_ガソリン,係数_バス貨物_CNG,係数_バス貨物_軽油,係数_バス貨物_メタノール,係数_バス貨物_LPG),MATCH(AY1164+1,【参考】排出係数!$AI$4:$AI$671,1)-1,5,BE1164),3,FALSE),IF(OR(AW1164=1,AW1164=2),VLOOKUP(AU1164,INDEX((係数_乗用_ガソリン,係数_乗用_CNG,係数_乗用_軽油,係数_乗用_メタノール,係数_乗用_LPG),1,1,BE1164):INDEX((係数_乗用_ガソリン,係数_乗用_CNG,係数_乗用_軽油,係数_乗用_メタノール,係数_乗用_LPG),125,5,BE1164),3,FALSE))))))</f>
        <v/>
      </c>
      <c r="BC1164" s="467" t="str">
        <f t="shared" si="672"/>
        <v/>
      </c>
      <c r="BD1164" s="567" t="str">
        <f t="shared" si="673"/>
        <v/>
      </c>
      <c r="BE1164" s="467" t="str">
        <f t="shared" si="674"/>
        <v/>
      </c>
      <c r="BF1164" s="469" t="str">
        <f t="shared" ca="1" si="675"/>
        <v/>
      </c>
      <c r="BG1164" s="469" t="str">
        <f t="shared" ca="1" si="676"/>
        <v/>
      </c>
      <c r="BH1164" s="467" t="str">
        <f t="shared" si="677"/>
        <v/>
      </c>
      <c r="BI1164" s="467" t="str">
        <f t="shared" ca="1" si="678"/>
        <v/>
      </c>
      <c r="BJ1164" s="469" t="str">
        <f t="shared" si="679"/>
        <v/>
      </c>
      <c r="BK1164" s="470" t="str">
        <f t="shared" si="663"/>
        <v/>
      </c>
      <c r="BL1164" s="775" t="str">
        <f t="shared" si="680"/>
        <v/>
      </c>
      <c r="BM1164" s="775" t="str">
        <f t="shared" si="681"/>
        <v/>
      </c>
    </row>
    <row r="1165" spans="1:65">
      <c r="A1165" s="473">
        <v>1109</v>
      </c>
      <c r="B1165" s="132"/>
      <c r="C1165" s="332"/>
      <c r="D1165" s="333"/>
      <c r="E1165" s="333"/>
      <c r="F1165" s="334"/>
      <c r="G1165" s="337"/>
      <c r="H1165" s="131"/>
      <c r="I1165" s="337"/>
      <c r="J1165" s="131"/>
      <c r="K1165" s="458" t="str">
        <f t="shared" si="644"/>
        <v/>
      </c>
      <c r="L1165" s="458">
        <f t="shared" si="645"/>
        <v>0</v>
      </c>
      <c r="M1165" s="458">
        <f t="shared" si="646"/>
        <v>0</v>
      </c>
      <c r="N1165" s="459" t="str">
        <f t="shared" si="657"/>
        <v/>
      </c>
      <c r="O1165" s="459" t="str">
        <f t="shared" si="658"/>
        <v/>
      </c>
      <c r="P1165" s="459" t="str">
        <f t="shared" si="659"/>
        <v/>
      </c>
      <c r="Q1165" s="459" t="str">
        <f t="shared" si="660"/>
        <v/>
      </c>
      <c r="R1165" s="459" t="str">
        <f t="shared" si="661"/>
        <v/>
      </c>
      <c r="S1165" s="459" t="str">
        <f t="shared" si="662"/>
        <v/>
      </c>
      <c r="T1165" s="566" t="str">
        <f t="shared" si="647"/>
        <v/>
      </c>
      <c r="U1165" s="702"/>
      <c r="V1165" s="132"/>
      <c r="W1165" s="133"/>
      <c r="X1165" s="134"/>
      <c r="Y1165" s="135"/>
      <c r="Z1165" s="137"/>
      <c r="AA1165" s="136"/>
      <c r="AB1165" s="566" t="str">
        <f t="shared" si="648"/>
        <v/>
      </c>
      <c r="AC1165" s="568" t="str">
        <f t="shared" si="649"/>
        <v/>
      </c>
      <c r="AD1165" s="137"/>
      <c r="AE1165" s="137"/>
      <c r="AF1165" s="138"/>
      <c r="AG1165" s="138"/>
      <c r="AH1165" s="592" t="str">
        <f t="shared" si="650"/>
        <v/>
      </c>
      <c r="AI1165" s="592" t="str">
        <f t="shared" si="651"/>
        <v/>
      </c>
      <c r="AJ1165" s="592" t="str">
        <f t="shared" si="652"/>
        <v/>
      </c>
      <c r="AK1165" s="460" t="str">
        <f>IF(AU1165="","",IF(OR(AZ1165=8,AZ1165=9),0,IF(OR(AW1165=3,AW1165=4,AW1165=5,AW1165=6),IF(LEFT(BF1165,1)="1",INDEX(係数_NOX・PM低減,MATCH(AY1165,【参考】排出係数!$AI$801:$AI$804,1),1),VLOOKUP(AU1165,INDEX((係数_バス貨物_ガソリン,係数_バス貨物_CNG,係数_バス貨物_軽油,係数_バス貨物_メタノール,係数_バス貨物_LPG),MATCH(AY1165,【参考】排出係数!$AI$4:$AI$671,1),1,BE1165):INDEX((係数_バス貨物_ガソリン,係数_バス貨物_CNG,係数_バス貨物_軽油,係数_バス貨物_メタノール,係数_バス貨物_LPG),MATCH(AY1165+1,【参考】排出係数!$AI$4:$AI$671,1)-1,5,BE1165),4,FALSE)),IF(AND(BE1165=3,LEFT(BF1165,1)="1"),0.48,VLOOKUP(AU1165,INDEX((係数_乗用_ガソリン,係数_乗用_CNG,係数_乗用_軽油,係数_乗用_メタノール,係数_乗用_LPG),1,1,BE1165):INDEX((係数_乗用_ガソリン,係数_乗用_CNG,係数_乗用_軽油,係数_乗用_メタノール,係数_乗用_LPG),125,5,BE1165),4,FALSE)))))</f>
        <v/>
      </c>
      <c r="AL1165" s="461" t="str">
        <f t="shared" si="653"/>
        <v/>
      </c>
      <c r="AM1165" s="460" t="str">
        <f>IF(AU1165="","",IF(OR(AZ1165=8,AZ1165=9),0,IF(OR(AW1165=3,AW1165=4,AW1165=5,AW1165=6),IF(LEFT(BH1165,1)="1",INDEX(係数_PM低減,MATCH(AY1165,【参考】排出係数!$AI$801:$AI$804,1),MATCH(BI1165,【参考】排出係数!$AL$798:$AO$798,1)),VLOOKUP(AU1165,INDEX((係数_バス貨物_ガソリン,係数_バス貨物_CNG,係数_バス貨物_軽油,係数_バス貨物_メタノール,係数_バス貨物_LPG),MATCH(AY1165,【参考】排出係数!$AI$4:$AI$671,1),1,BE1165):INDEX((係数_バス貨物_ガソリン,係数_バス貨物_CNG,係数_バス貨物_軽油,係数_バス貨物_メタノール,係数_バス貨物_LPG),MATCH(AY1165+1,【参考】排出係数!$AI$4:$AI$671,1)-1,5,BE1165),5,FALSE)),IF(AND(BE1165=3,LEFT(BF1165,1)="1"),0.055,VLOOKUP(AU1165,INDEX((係数_乗用_ガソリン,係数_乗用_CNG,係数_乗用_軽油,係数_乗用_メタノール,係数_乗用_LPG),1,1,BE1165):INDEX((係数_乗用_ガソリン,係数_乗用_CNG,係数_乗用_軽油,係数_乗用_メタノール,係数_乗用_LPG),125,5,BE1165),5,FALSE)))))</f>
        <v/>
      </c>
      <c r="AN1165" s="461" t="str">
        <f t="shared" si="654"/>
        <v/>
      </c>
      <c r="AO1165" s="462" t="str">
        <f t="shared" si="655"/>
        <v/>
      </c>
      <c r="AP1165" s="463" t="str">
        <f t="shared" si="656"/>
        <v/>
      </c>
      <c r="AQ1165" s="464"/>
      <c r="AR1165" s="619"/>
      <c r="AS1165" s="465" t="str">
        <f t="shared" si="664"/>
        <v/>
      </c>
      <c r="AT1165" s="465" t="str">
        <f t="shared" si="665"/>
        <v/>
      </c>
      <c r="AU1165" s="466" t="str">
        <f t="shared" si="666"/>
        <v/>
      </c>
      <c r="AV1165" s="467" t="str">
        <f t="shared" si="667"/>
        <v/>
      </c>
      <c r="AW1165" s="467" t="str">
        <f t="shared" si="668"/>
        <v/>
      </c>
      <c r="AX1165" s="467" t="str">
        <f t="shared" si="669"/>
        <v/>
      </c>
      <c r="AY1165" s="467" t="str">
        <f t="shared" si="670"/>
        <v/>
      </c>
      <c r="AZ1165" s="467" t="str">
        <f t="shared" si="671"/>
        <v/>
      </c>
      <c r="BA1165" s="468" t="str">
        <f>IF(AS1165="","",IF(OR(AU1165="",AU1165="-"),"－",IF(OR(AZ1165=8,AZ1165=9),"",IF(OR(AW1165=3,AW1165=4,AW1165=5,AW1165=6),VLOOKUP(AU1165,INDEX((係数_バス貨物_ガソリン,係数_バス貨物_CNG,係数_バス貨物_軽油,係数_バス貨物_メタノール,係数_バス貨物_LPG),MATCH(AY1165,【参考】排出係数!$AI$4:$AI$671,1),1,BE1165):INDEX((係数_バス貨物_ガソリン,係数_バス貨物_CNG,係数_バス貨物_軽油,係数_バス貨物_メタノール,係数_バス貨物_LPG),MATCH(AY1165+1,【参考】排出係数!$AI$4:$AI$671,1)-1,5,BE1165),2,FALSE),IF(OR(AW1165=1,AW1165=2),VLOOKUP(AU1165,INDEX((係数_乗用_ガソリン,係数_乗用_CNG,係数_乗用_軽油,係数_乗用_メタノール,係数_乗用_LPG),1,1,BE1165):INDEX((係数_乗用_ガソリン,係数_乗用_CNG,係数_乗用_軽油,係数_乗用_メタノール,係数_乗用_LPG),125,5,BE1165),2,FALSE))))))</f>
        <v/>
      </c>
      <c r="BB1165" s="468" t="str">
        <f>IF(T1165="","",IF(OR(AU1165="",AU1165="-"),"－",IF(OR(AZ1165=8,AZ1165=9),"",IF(OR(AW1165=3,AW1165=4,AW1165=5,AW1165=6),VLOOKUP(AU1165,INDEX((係数_バス貨物_ガソリン,係数_バス貨物_CNG,係数_バス貨物_軽油,係数_バス貨物_メタノール,係数_バス貨物_LPG),MATCH(AY1165,【参考】排出係数!$AI$4:$AI$671,1),1,BE1165):INDEX((係数_バス貨物_ガソリン,係数_バス貨物_CNG,係数_バス貨物_軽油,係数_バス貨物_メタノール,係数_バス貨物_LPG),MATCH(AY1165+1,【参考】排出係数!$AI$4:$AI$671,1)-1,5,BE1165),3,FALSE),IF(OR(AW1165=1,AW1165=2),VLOOKUP(AU1165,INDEX((係数_乗用_ガソリン,係数_乗用_CNG,係数_乗用_軽油,係数_乗用_メタノール,係数_乗用_LPG),1,1,BE1165):INDEX((係数_乗用_ガソリン,係数_乗用_CNG,係数_乗用_軽油,係数_乗用_メタノール,係数_乗用_LPG),125,5,BE1165),3,FALSE))))))</f>
        <v/>
      </c>
      <c r="BC1165" s="467" t="str">
        <f t="shared" si="672"/>
        <v/>
      </c>
      <c r="BD1165" s="567" t="str">
        <f t="shared" si="673"/>
        <v/>
      </c>
      <c r="BE1165" s="467" t="str">
        <f t="shared" si="674"/>
        <v/>
      </c>
      <c r="BF1165" s="469" t="str">
        <f t="shared" ca="1" si="675"/>
        <v/>
      </c>
      <c r="BG1165" s="469" t="str">
        <f t="shared" ca="1" si="676"/>
        <v/>
      </c>
      <c r="BH1165" s="467" t="str">
        <f t="shared" si="677"/>
        <v/>
      </c>
      <c r="BI1165" s="467" t="str">
        <f t="shared" ca="1" si="678"/>
        <v/>
      </c>
      <c r="BJ1165" s="469" t="str">
        <f t="shared" si="679"/>
        <v/>
      </c>
      <c r="BK1165" s="470" t="str">
        <f t="shared" si="663"/>
        <v/>
      </c>
      <c r="BL1165" s="775" t="str">
        <f t="shared" si="680"/>
        <v/>
      </c>
      <c r="BM1165" s="775" t="str">
        <f t="shared" si="681"/>
        <v/>
      </c>
    </row>
    <row r="1166" spans="1:65">
      <c r="A1166" s="473">
        <v>1110</v>
      </c>
      <c r="B1166" s="132"/>
      <c r="C1166" s="332"/>
      <c r="D1166" s="333"/>
      <c r="E1166" s="333"/>
      <c r="F1166" s="334"/>
      <c r="G1166" s="337"/>
      <c r="H1166" s="131"/>
      <c r="I1166" s="337"/>
      <c r="J1166" s="131"/>
      <c r="K1166" s="458" t="str">
        <f t="shared" si="644"/>
        <v/>
      </c>
      <c r="L1166" s="458">
        <f t="shared" si="645"/>
        <v>0</v>
      </c>
      <c r="M1166" s="458">
        <f t="shared" si="646"/>
        <v>0</v>
      </c>
      <c r="N1166" s="459" t="str">
        <f t="shared" si="657"/>
        <v/>
      </c>
      <c r="O1166" s="459" t="str">
        <f t="shared" si="658"/>
        <v/>
      </c>
      <c r="P1166" s="459" t="str">
        <f t="shared" si="659"/>
        <v/>
      </c>
      <c r="Q1166" s="459" t="str">
        <f t="shared" si="660"/>
        <v/>
      </c>
      <c r="R1166" s="459" t="str">
        <f t="shared" si="661"/>
        <v/>
      </c>
      <c r="S1166" s="459" t="str">
        <f t="shared" si="662"/>
        <v/>
      </c>
      <c r="T1166" s="566" t="str">
        <f t="shared" si="647"/>
        <v/>
      </c>
      <c r="U1166" s="702"/>
      <c r="V1166" s="132"/>
      <c r="W1166" s="133"/>
      <c r="X1166" s="134"/>
      <c r="Y1166" s="135"/>
      <c r="Z1166" s="137"/>
      <c r="AA1166" s="136"/>
      <c r="AB1166" s="566" t="str">
        <f t="shared" si="648"/>
        <v/>
      </c>
      <c r="AC1166" s="568" t="str">
        <f t="shared" si="649"/>
        <v/>
      </c>
      <c r="AD1166" s="137"/>
      <c r="AE1166" s="137"/>
      <c r="AF1166" s="138"/>
      <c r="AG1166" s="138"/>
      <c r="AH1166" s="592" t="str">
        <f t="shared" si="650"/>
        <v/>
      </c>
      <c r="AI1166" s="592" t="str">
        <f t="shared" si="651"/>
        <v/>
      </c>
      <c r="AJ1166" s="592" t="str">
        <f t="shared" si="652"/>
        <v/>
      </c>
      <c r="AK1166" s="460" t="str">
        <f>IF(AU1166="","",IF(OR(AZ1166=8,AZ1166=9),0,IF(OR(AW1166=3,AW1166=4,AW1166=5,AW1166=6),IF(LEFT(BF1166,1)="1",INDEX(係数_NOX・PM低減,MATCH(AY1166,【参考】排出係数!$AI$801:$AI$804,1),1),VLOOKUP(AU1166,INDEX((係数_バス貨物_ガソリン,係数_バス貨物_CNG,係数_バス貨物_軽油,係数_バス貨物_メタノール,係数_バス貨物_LPG),MATCH(AY1166,【参考】排出係数!$AI$4:$AI$671,1),1,BE1166):INDEX((係数_バス貨物_ガソリン,係数_バス貨物_CNG,係数_バス貨物_軽油,係数_バス貨物_メタノール,係数_バス貨物_LPG),MATCH(AY1166+1,【参考】排出係数!$AI$4:$AI$671,1)-1,5,BE1166),4,FALSE)),IF(AND(BE1166=3,LEFT(BF1166,1)="1"),0.48,VLOOKUP(AU1166,INDEX((係数_乗用_ガソリン,係数_乗用_CNG,係数_乗用_軽油,係数_乗用_メタノール,係数_乗用_LPG),1,1,BE1166):INDEX((係数_乗用_ガソリン,係数_乗用_CNG,係数_乗用_軽油,係数_乗用_メタノール,係数_乗用_LPG),125,5,BE1166),4,FALSE)))))</f>
        <v/>
      </c>
      <c r="AL1166" s="461" t="str">
        <f t="shared" si="653"/>
        <v/>
      </c>
      <c r="AM1166" s="460" t="str">
        <f>IF(AU1166="","",IF(OR(AZ1166=8,AZ1166=9),0,IF(OR(AW1166=3,AW1166=4,AW1166=5,AW1166=6),IF(LEFT(BH1166,1)="1",INDEX(係数_PM低減,MATCH(AY1166,【参考】排出係数!$AI$801:$AI$804,1),MATCH(BI1166,【参考】排出係数!$AL$798:$AO$798,1)),VLOOKUP(AU1166,INDEX((係数_バス貨物_ガソリン,係数_バス貨物_CNG,係数_バス貨物_軽油,係数_バス貨物_メタノール,係数_バス貨物_LPG),MATCH(AY1166,【参考】排出係数!$AI$4:$AI$671,1),1,BE1166):INDEX((係数_バス貨物_ガソリン,係数_バス貨物_CNG,係数_バス貨物_軽油,係数_バス貨物_メタノール,係数_バス貨物_LPG),MATCH(AY1166+1,【参考】排出係数!$AI$4:$AI$671,1)-1,5,BE1166),5,FALSE)),IF(AND(BE1166=3,LEFT(BF1166,1)="1"),0.055,VLOOKUP(AU1166,INDEX((係数_乗用_ガソリン,係数_乗用_CNG,係数_乗用_軽油,係数_乗用_メタノール,係数_乗用_LPG),1,1,BE1166):INDEX((係数_乗用_ガソリン,係数_乗用_CNG,係数_乗用_軽油,係数_乗用_メタノール,係数_乗用_LPG),125,5,BE1166),5,FALSE)))))</f>
        <v/>
      </c>
      <c r="AN1166" s="461" t="str">
        <f t="shared" si="654"/>
        <v/>
      </c>
      <c r="AO1166" s="462" t="str">
        <f t="shared" si="655"/>
        <v/>
      </c>
      <c r="AP1166" s="463" t="str">
        <f t="shared" si="656"/>
        <v/>
      </c>
      <c r="AQ1166" s="464"/>
      <c r="AR1166" s="619"/>
      <c r="AS1166" s="465" t="str">
        <f t="shared" si="664"/>
        <v/>
      </c>
      <c r="AT1166" s="465" t="str">
        <f t="shared" si="665"/>
        <v/>
      </c>
      <c r="AU1166" s="466" t="str">
        <f t="shared" si="666"/>
        <v/>
      </c>
      <c r="AV1166" s="467" t="str">
        <f t="shared" si="667"/>
        <v/>
      </c>
      <c r="AW1166" s="467" t="str">
        <f t="shared" si="668"/>
        <v/>
      </c>
      <c r="AX1166" s="467" t="str">
        <f t="shared" si="669"/>
        <v/>
      </c>
      <c r="AY1166" s="467" t="str">
        <f t="shared" si="670"/>
        <v/>
      </c>
      <c r="AZ1166" s="467" t="str">
        <f t="shared" si="671"/>
        <v/>
      </c>
      <c r="BA1166" s="468" t="str">
        <f>IF(AS1166="","",IF(OR(AU1166="",AU1166="-"),"－",IF(OR(AZ1166=8,AZ1166=9),"",IF(OR(AW1166=3,AW1166=4,AW1166=5,AW1166=6),VLOOKUP(AU1166,INDEX((係数_バス貨物_ガソリン,係数_バス貨物_CNG,係数_バス貨物_軽油,係数_バス貨物_メタノール,係数_バス貨物_LPG),MATCH(AY1166,【参考】排出係数!$AI$4:$AI$671,1),1,BE1166):INDEX((係数_バス貨物_ガソリン,係数_バス貨物_CNG,係数_バス貨物_軽油,係数_バス貨物_メタノール,係数_バス貨物_LPG),MATCH(AY1166+1,【参考】排出係数!$AI$4:$AI$671,1)-1,5,BE1166),2,FALSE),IF(OR(AW1166=1,AW1166=2),VLOOKUP(AU1166,INDEX((係数_乗用_ガソリン,係数_乗用_CNG,係数_乗用_軽油,係数_乗用_メタノール,係数_乗用_LPG),1,1,BE1166):INDEX((係数_乗用_ガソリン,係数_乗用_CNG,係数_乗用_軽油,係数_乗用_メタノール,係数_乗用_LPG),125,5,BE1166),2,FALSE))))))</f>
        <v/>
      </c>
      <c r="BB1166" s="468" t="str">
        <f>IF(T1166="","",IF(OR(AU1166="",AU1166="-"),"－",IF(OR(AZ1166=8,AZ1166=9),"",IF(OR(AW1166=3,AW1166=4,AW1166=5,AW1166=6),VLOOKUP(AU1166,INDEX((係数_バス貨物_ガソリン,係数_バス貨物_CNG,係数_バス貨物_軽油,係数_バス貨物_メタノール,係数_バス貨物_LPG),MATCH(AY1166,【参考】排出係数!$AI$4:$AI$671,1),1,BE1166):INDEX((係数_バス貨物_ガソリン,係数_バス貨物_CNG,係数_バス貨物_軽油,係数_バス貨物_メタノール,係数_バス貨物_LPG),MATCH(AY1166+1,【参考】排出係数!$AI$4:$AI$671,1)-1,5,BE1166),3,FALSE),IF(OR(AW1166=1,AW1166=2),VLOOKUP(AU1166,INDEX((係数_乗用_ガソリン,係数_乗用_CNG,係数_乗用_軽油,係数_乗用_メタノール,係数_乗用_LPG),1,1,BE1166):INDEX((係数_乗用_ガソリン,係数_乗用_CNG,係数_乗用_軽油,係数_乗用_メタノール,係数_乗用_LPG),125,5,BE1166),3,FALSE))))))</f>
        <v/>
      </c>
      <c r="BC1166" s="467" t="str">
        <f t="shared" si="672"/>
        <v/>
      </c>
      <c r="BD1166" s="567" t="str">
        <f t="shared" si="673"/>
        <v/>
      </c>
      <c r="BE1166" s="467" t="str">
        <f t="shared" si="674"/>
        <v/>
      </c>
      <c r="BF1166" s="469" t="str">
        <f t="shared" ca="1" si="675"/>
        <v/>
      </c>
      <c r="BG1166" s="469" t="str">
        <f t="shared" ca="1" si="676"/>
        <v/>
      </c>
      <c r="BH1166" s="467" t="str">
        <f t="shared" si="677"/>
        <v/>
      </c>
      <c r="BI1166" s="467" t="str">
        <f t="shared" ca="1" si="678"/>
        <v/>
      </c>
      <c r="BJ1166" s="469" t="str">
        <f t="shared" si="679"/>
        <v/>
      </c>
      <c r="BK1166" s="470" t="str">
        <f t="shared" si="663"/>
        <v/>
      </c>
      <c r="BL1166" s="775" t="str">
        <f t="shared" si="680"/>
        <v/>
      </c>
      <c r="BM1166" s="775" t="str">
        <f t="shared" si="681"/>
        <v/>
      </c>
    </row>
    <row r="1167" spans="1:65">
      <c r="A1167" s="473">
        <v>1111</v>
      </c>
      <c r="B1167" s="132"/>
      <c r="C1167" s="332"/>
      <c r="D1167" s="333"/>
      <c r="E1167" s="333"/>
      <c r="F1167" s="334"/>
      <c r="G1167" s="337"/>
      <c r="H1167" s="131"/>
      <c r="I1167" s="337"/>
      <c r="J1167" s="131"/>
      <c r="K1167" s="458" t="str">
        <f t="shared" si="644"/>
        <v/>
      </c>
      <c r="L1167" s="458">
        <f t="shared" si="645"/>
        <v>0</v>
      </c>
      <c r="M1167" s="458">
        <f t="shared" si="646"/>
        <v>0</v>
      </c>
      <c r="N1167" s="459" t="str">
        <f t="shared" si="657"/>
        <v/>
      </c>
      <c r="O1167" s="459" t="str">
        <f t="shared" si="658"/>
        <v/>
      </c>
      <c r="P1167" s="459" t="str">
        <f t="shared" si="659"/>
        <v/>
      </c>
      <c r="Q1167" s="459" t="str">
        <f t="shared" si="660"/>
        <v/>
      </c>
      <c r="R1167" s="459" t="str">
        <f t="shared" si="661"/>
        <v/>
      </c>
      <c r="S1167" s="459" t="str">
        <f t="shared" si="662"/>
        <v/>
      </c>
      <c r="T1167" s="566" t="str">
        <f t="shared" si="647"/>
        <v/>
      </c>
      <c r="U1167" s="702"/>
      <c r="V1167" s="132"/>
      <c r="W1167" s="133"/>
      <c r="X1167" s="134"/>
      <c r="Y1167" s="135"/>
      <c r="Z1167" s="137"/>
      <c r="AA1167" s="136"/>
      <c r="AB1167" s="566" t="str">
        <f t="shared" si="648"/>
        <v/>
      </c>
      <c r="AC1167" s="568" t="str">
        <f t="shared" si="649"/>
        <v/>
      </c>
      <c r="AD1167" s="137"/>
      <c r="AE1167" s="137"/>
      <c r="AF1167" s="138"/>
      <c r="AG1167" s="138"/>
      <c r="AH1167" s="592" t="str">
        <f t="shared" si="650"/>
        <v/>
      </c>
      <c r="AI1167" s="592" t="str">
        <f t="shared" si="651"/>
        <v/>
      </c>
      <c r="AJ1167" s="592" t="str">
        <f t="shared" si="652"/>
        <v/>
      </c>
      <c r="AK1167" s="460" t="str">
        <f>IF(AU1167="","",IF(OR(AZ1167=8,AZ1167=9),0,IF(OR(AW1167=3,AW1167=4,AW1167=5,AW1167=6),IF(LEFT(BF1167,1)="1",INDEX(係数_NOX・PM低減,MATCH(AY1167,【参考】排出係数!$AI$801:$AI$804,1),1),VLOOKUP(AU1167,INDEX((係数_バス貨物_ガソリン,係数_バス貨物_CNG,係数_バス貨物_軽油,係数_バス貨物_メタノール,係数_バス貨物_LPG),MATCH(AY1167,【参考】排出係数!$AI$4:$AI$671,1),1,BE1167):INDEX((係数_バス貨物_ガソリン,係数_バス貨物_CNG,係数_バス貨物_軽油,係数_バス貨物_メタノール,係数_バス貨物_LPG),MATCH(AY1167+1,【参考】排出係数!$AI$4:$AI$671,1)-1,5,BE1167),4,FALSE)),IF(AND(BE1167=3,LEFT(BF1167,1)="1"),0.48,VLOOKUP(AU1167,INDEX((係数_乗用_ガソリン,係数_乗用_CNG,係数_乗用_軽油,係数_乗用_メタノール,係数_乗用_LPG),1,1,BE1167):INDEX((係数_乗用_ガソリン,係数_乗用_CNG,係数_乗用_軽油,係数_乗用_メタノール,係数_乗用_LPG),125,5,BE1167),4,FALSE)))))</f>
        <v/>
      </c>
      <c r="AL1167" s="461" t="str">
        <f t="shared" si="653"/>
        <v/>
      </c>
      <c r="AM1167" s="460" t="str">
        <f>IF(AU1167="","",IF(OR(AZ1167=8,AZ1167=9),0,IF(OR(AW1167=3,AW1167=4,AW1167=5,AW1167=6),IF(LEFT(BH1167,1)="1",INDEX(係数_PM低減,MATCH(AY1167,【参考】排出係数!$AI$801:$AI$804,1),MATCH(BI1167,【参考】排出係数!$AL$798:$AO$798,1)),VLOOKUP(AU1167,INDEX((係数_バス貨物_ガソリン,係数_バス貨物_CNG,係数_バス貨物_軽油,係数_バス貨物_メタノール,係数_バス貨物_LPG),MATCH(AY1167,【参考】排出係数!$AI$4:$AI$671,1),1,BE1167):INDEX((係数_バス貨物_ガソリン,係数_バス貨物_CNG,係数_バス貨物_軽油,係数_バス貨物_メタノール,係数_バス貨物_LPG),MATCH(AY1167+1,【参考】排出係数!$AI$4:$AI$671,1)-1,5,BE1167),5,FALSE)),IF(AND(BE1167=3,LEFT(BF1167,1)="1"),0.055,VLOOKUP(AU1167,INDEX((係数_乗用_ガソリン,係数_乗用_CNG,係数_乗用_軽油,係数_乗用_メタノール,係数_乗用_LPG),1,1,BE1167):INDEX((係数_乗用_ガソリン,係数_乗用_CNG,係数_乗用_軽油,係数_乗用_メタノール,係数_乗用_LPG),125,5,BE1167),5,FALSE)))))</f>
        <v/>
      </c>
      <c r="AN1167" s="461" t="str">
        <f t="shared" si="654"/>
        <v/>
      </c>
      <c r="AO1167" s="462" t="str">
        <f t="shared" si="655"/>
        <v/>
      </c>
      <c r="AP1167" s="463" t="str">
        <f t="shared" si="656"/>
        <v/>
      </c>
      <c r="AQ1167" s="464"/>
      <c r="AR1167" s="619"/>
      <c r="AS1167" s="465" t="str">
        <f t="shared" si="664"/>
        <v/>
      </c>
      <c r="AT1167" s="465" t="str">
        <f t="shared" si="665"/>
        <v/>
      </c>
      <c r="AU1167" s="466" t="str">
        <f t="shared" si="666"/>
        <v/>
      </c>
      <c r="AV1167" s="467" t="str">
        <f t="shared" si="667"/>
        <v/>
      </c>
      <c r="AW1167" s="467" t="str">
        <f t="shared" si="668"/>
        <v/>
      </c>
      <c r="AX1167" s="467" t="str">
        <f t="shared" si="669"/>
        <v/>
      </c>
      <c r="AY1167" s="467" t="str">
        <f t="shared" si="670"/>
        <v/>
      </c>
      <c r="AZ1167" s="467" t="str">
        <f t="shared" si="671"/>
        <v/>
      </c>
      <c r="BA1167" s="468" t="str">
        <f>IF(AS1167="","",IF(OR(AU1167="",AU1167="-"),"－",IF(OR(AZ1167=8,AZ1167=9),"",IF(OR(AW1167=3,AW1167=4,AW1167=5,AW1167=6),VLOOKUP(AU1167,INDEX((係数_バス貨物_ガソリン,係数_バス貨物_CNG,係数_バス貨物_軽油,係数_バス貨物_メタノール,係数_バス貨物_LPG),MATCH(AY1167,【参考】排出係数!$AI$4:$AI$671,1),1,BE1167):INDEX((係数_バス貨物_ガソリン,係数_バス貨物_CNG,係数_バス貨物_軽油,係数_バス貨物_メタノール,係数_バス貨物_LPG),MATCH(AY1167+1,【参考】排出係数!$AI$4:$AI$671,1)-1,5,BE1167),2,FALSE),IF(OR(AW1167=1,AW1167=2),VLOOKUP(AU1167,INDEX((係数_乗用_ガソリン,係数_乗用_CNG,係数_乗用_軽油,係数_乗用_メタノール,係数_乗用_LPG),1,1,BE1167):INDEX((係数_乗用_ガソリン,係数_乗用_CNG,係数_乗用_軽油,係数_乗用_メタノール,係数_乗用_LPG),125,5,BE1167),2,FALSE))))))</f>
        <v/>
      </c>
      <c r="BB1167" s="468" t="str">
        <f>IF(T1167="","",IF(OR(AU1167="",AU1167="-"),"－",IF(OR(AZ1167=8,AZ1167=9),"",IF(OR(AW1167=3,AW1167=4,AW1167=5,AW1167=6),VLOOKUP(AU1167,INDEX((係数_バス貨物_ガソリン,係数_バス貨物_CNG,係数_バス貨物_軽油,係数_バス貨物_メタノール,係数_バス貨物_LPG),MATCH(AY1167,【参考】排出係数!$AI$4:$AI$671,1),1,BE1167):INDEX((係数_バス貨物_ガソリン,係数_バス貨物_CNG,係数_バス貨物_軽油,係数_バス貨物_メタノール,係数_バス貨物_LPG),MATCH(AY1167+1,【参考】排出係数!$AI$4:$AI$671,1)-1,5,BE1167),3,FALSE),IF(OR(AW1167=1,AW1167=2),VLOOKUP(AU1167,INDEX((係数_乗用_ガソリン,係数_乗用_CNG,係数_乗用_軽油,係数_乗用_メタノール,係数_乗用_LPG),1,1,BE1167):INDEX((係数_乗用_ガソリン,係数_乗用_CNG,係数_乗用_軽油,係数_乗用_メタノール,係数_乗用_LPG),125,5,BE1167),3,FALSE))))))</f>
        <v/>
      </c>
      <c r="BC1167" s="467" t="str">
        <f t="shared" si="672"/>
        <v/>
      </c>
      <c r="BD1167" s="567" t="str">
        <f t="shared" si="673"/>
        <v/>
      </c>
      <c r="BE1167" s="467" t="str">
        <f t="shared" si="674"/>
        <v/>
      </c>
      <c r="BF1167" s="469" t="str">
        <f t="shared" ca="1" si="675"/>
        <v/>
      </c>
      <c r="BG1167" s="469" t="str">
        <f t="shared" ca="1" si="676"/>
        <v/>
      </c>
      <c r="BH1167" s="467" t="str">
        <f t="shared" si="677"/>
        <v/>
      </c>
      <c r="BI1167" s="467" t="str">
        <f t="shared" ca="1" si="678"/>
        <v/>
      </c>
      <c r="BJ1167" s="469" t="str">
        <f t="shared" si="679"/>
        <v/>
      </c>
      <c r="BK1167" s="470" t="str">
        <f t="shared" si="663"/>
        <v/>
      </c>
      <c r="BL1167" s="775" t="str">
        <f t="shared" si="680"/>
        <v/>
      </c>
      <c r="BM1167" s="775" t="str">
        <f t="shared" si="681"/>
        <v/>
      </c>
    </row>
    <row r="1168" spans="1:65">
      <c r="A1168" s="473">
        <v>1112</v>
      </c>
      <c r="B1168" s="132"/>
      <c r="C1168" s="332"/>
      <c r="D1168" s="333"/>
      <c r="E1168" s="333"/>
      <c r="F1168" s="334"/>
      <c r="G1168" s="337"/>
      <c r="H1168" s="131"/>
      <c r="I1168" s="337"/>
      <c r="J1168" s="131"/>
      <c r="K1168" s="458" t="str">
        <f t="shared" si="644"/>
        <v/>
      </c>
      <c r="L1168" s="458">
        <f t="shared" si="645"/>
        <v>0</v>
      </c>
      <c r="M1168" s="458">
        <f t="shared" si="646"/>
        <v>0</v>
      </c>
      <c r="N1168" s="459" t="str">
        <f t="shared" si="657"/>
        <v/>
      </c>
      <c r="O1168" s="459" t="str">
        <f t="shared" si="658"/>
        <v/>
      </c>
      <c r="P1168" s="459" t="str">
        <f t="shared" si="659"/>
        <v/>
      </c>
      <c r="Q1168" s="459" t="str">
        <f t="shared" si="660"/>
        <v/>
      </c>
      <c r="R1168" s="459" t="str">
        <f t="shared" si="661"/>
        <v/>
      </c>
      <c r="S1168" s="459" t="str">
        <f t="shared" si="662"/>
        <v/>
      </c>
      <c r="T1168" s="566" t="str">
        <f t="shared" si="647"/>
        <v/>
      </c>
      <c r="U1168" s="702"/>
      <c r="V1168" s="132"/>
      <c r="W1168" s="133"/>
      <c r="X1168" s="134"/>
      <c r="Y1168" s="135"/>
      <c r="Z1168" s="137"/>
      <c r="AA1168" s="136"/>
      <c r="AB1168" s="566" t="str">
        <f t="shared" si="648"/>
        <v/>
      </c>
      <c r="AC1168" s="568" t="str">
        <f t="shared" si="649"/>
        <v/>
      </c>
      <c r="AD1168" s="137"/>
      <c r="AE1168" s="137"/>
      <c r="AF1168" s="138"/>
      <c r="AG1168" s="138"/>
      <c r="AH1168" s="592" t="str">
        <f t="shared" si="650"/>
        <v/>
      </c>
      <c r="AI1168" s="592" t="str">
        <f t="shared" si="651"/>
        <v/>
      </c>
      <c r="AJ1168" s="592" t="str">
        <f t="shared" si="652"/>
        <v/>
      </c>
      <c r="AK1168" s="460" t="str">
        <f>IF(AU1168="","",IF(OR(AZ1168=8,AZ1168=9),0,IF(OR(AW1168=3,AW1168=4,AW1168=5,AW1168=6),IF(LEFT(BF1168,1)="1",INDEX(係数_NOX・PM低減,MATCH(AY1168,【参考】排出係数!$AI$801:$AI$804,1),1),VLOOKUP(AU1168,INDEX((係数_バス貨物_ガソリン,係数_バス貨物_CNG,係数_バス貨物_軽油,係数_バス貨物_メタノール,係数_バス貨物_LPG),MATCH(AY1168,【参考】排出係数!$AI$4:$AI$671,1),1,BE1168):INDEX((係数_バス貨物_ガソリン,係数_バス貨物_CNG,係数_バス貨物_軽油,係数_バス貨物_メタノール,係数_バス貨物_LPG),MATCH(AY1168+1,【参考】排出係数!$AI$4:$AI$671,1)-1,5,BE1168),4,FALSE)),IF(AND(BE1168=3,LEFT(BF1168,1)="1"),0.48,VLOOKUP(AU1168,INDEX((係数_乗用_ガソリン,係数_乗用_CNG,係数_乗用_軽油,係数_乗用_メタノール,係数_乗用_LPG),1,1,BE1168):INDEX((係数_乗用_ガソリン,係数_乗用_CNG,係数_乗用_軽油,係数_乗用_メタノール,係数_乗用_LPG),125,5,BE1168),4,FALSE)))))</f>
        <v/>
      </c>
      <c r="AL1168" s="461" t="str">
        <f t="shared" si="653"/>
        <v/>
      </c>
      <c r="AM1168" s="460" t="str">
        <f>IF(AU1168="","",IF(OR(AZ1168=8,AZ1168=9),0,IF(OR(AW1168=3,AW1168=4,AW1168=5,AW1168=6),IF(LEFT(BH1168,1)="1",INDEX(係数_PM低減,MATCH(AY1168,【参考】排出係数!$AI$801:$AI$804,1),MATCH(BI1168,【参考】排出係数!$AL$798:$AO$798,1)),VLOOKUP(AU1168,INDEX((係数_バス貨物_ガソリン,係数_バス貨物_CNG,係数_バス貨物_軽油,係数_バス貨物_メタノール,係数_バス貨物_LPG),MATCH(AY1168,【参考】排出係数!$AI$4:$AI$671,1),1,BE1168):INDEX((係数_バス貨物_ガソリン,係数_バス貨物_CNG,係数_バス貨物_軽油,係数_バス貨物_メタノール,係数_バス貨物_LPG),MATCH(AY1168+1,【参考】排出係数!$AI$4:$AI$671,1)-1,5,BE1168),5,FALSE)),IF(AND(BE1168=3,LEFT(BF1168,1)="1"),0.055,VLOOKUP(AU1168,INDEX((係数_乗用_ガソリン,係数_乗用_CNG,係数_乗用_軽油,係数_乗用_メタノール,係数_乗用_LPG),1,1,BE1168):INDEX((係数_乗用_ガソリン,係数_乗用_CNG,係数_乗用_軽油,係数_乗用_メタノール,係数_乗用_LPG),125,5,BE1168),5,FALSE)))))</f>
        <v/>
      </c>
      <c r="AN1168" s="461" t="str">
        <f t="shared" si="654"/>
        <v/>
      </c>
      <c r="AO1168" s="462" t="str">
        <f t="shared" si="655"/>
        <v/>
      </c>
      <c r="AP1168" s="463" t="str">
        <f t="shared" si="656"/>
        <v/>
      </c>
      <c r="AQ1168" s="464"/>
      <c r="AR1168" s="619"/>
      <c r="AS1168" s="465" t="str">
        <f t="shared" si="664"/>
        <v/>
      </c>
      <c r="AT1168" s="465" t="str">
        <f t="shared" si="665"/>
        <v/>
      </c>
      <c r="AU1168" s="466" t="str">
        <f t="shared" si="666"/>
        <v/>
      </c>
      <c r="AV1168" s="467" t="str">
        <f t="shared" si="667"/>
        <v/>
      </c>
      <c r="AW1168" s="467" t="str">
        <f t="shared" si="668"/>
        <v/>
      </c>
      <c r="AX1168" s="467" t="str">
        <f t="shared" si="669"/>
        <v/>
      </c>
      <c r="AY1168" s="467" t="str">
        <f t="shared" si="670"/>
        <v/>
      </c>
      <c r="AZ1168" s="467" t="str">
        <f t="shared" si="671"/>
        <v/>
      </c>
      <c r="BA1168" s="468" t="str">
        <f>IF(AS1168="","",IF(OR(AU1168="",AU1168="-"),"－",IF(OR(AZ1168=8,AZ1168=9),"",IF(OR(AW1168=3,AW1168=4,AW1168=5,AW1168=6),VLOOKUP(AU1168,INDEX((係数_バス貨物_ガソリン,係数_バス貨物_CNG,係数_バス貨物_軽油,係数_バス貨物_メタノール,係数_バス貨物_LPG),MATCH(AY1168,【参考】排出係数!$AI$4:$AI$671,1),1,BE1168):INDEX((係数_バス貨物_ガソリン,係数_バス貨物_CNG,係数_バス貨物_軽油,係数_バス貨物_メタノール,係数_バス貨物_LPG),MATCH(AY1168+1,【参考】排出係数!$AI$4:$AI$671,1)-1,5,BE1168),2,FALSE),IF(OR(AW1168=1,AW1168=2),VLOOKUP(AU1168,INDEX((係数_乗用_ガソリン,係数_乗用_CNG,係数_乗用_軽油,係数_乗用_メタノール,係数_乗用_LPG),1,1,BE1168):INDEX((係数_乗用_ガソリン,係数_乗用_CNG,係数_乗用_軽油,係数_乗用_メタノール,係数_乗用_LPG),125,5,BE1168),2,FALSE))))))</f>
        <v/>
      </c>
      <c r="BB1168" s="468" t="str">
        <f>IF(T1168="","",IF(OR(AU1168="",AU1168="-"),"－",IF(OR(AZ1168=8,AZ1168=9),"",IF(OR(AW1168=3,AW1168=4,AW1168=5,AW1168=6),VLOOKUP(AU1168,INDEX((係数_バス貨物_ガソリン,係数_バス貨物_CNG,係数_バス貨物_軽油,係数_バス貨物_メタノール,係数_バス貨物_LPG),MATCH(AY1168,【参考】排出係数!$AI$4:$AI$671,1),1,BE1168):INDEX((係数_バス貨物_ガソリン,係数_バス貨物_CNG,係数_バス貨物_軽油,係数_バス貨物_メタノール,係数_バス貨物_LPG),MATCH(AY1168+1,【参考】排出係数!$AI$4:$AI$671,1)-1,5,BE1168),3,FALSE),IF(OR(AW1168=1,AW1168=2),VLOOKUP(AU1168,INDEX((係数_乗用_ガソリン,係数_乗用_CNG,係数_乗用_軽油,係数_乗用_メタノール,係数_乗用_LPG),1,1,BE1168):INDEX((係数_乗用_ガソリン,係数_乗用_CNG,係数_乗用_軽油,係数_乗用_メタノール,係数_乗用_LPG),125,5,BE1168),3,FALSE))))))</f>
        <v/>
      </c>
      <c r="BC1168" s="467" t="str">
        <f t="shared" si="672"/>
        <v/>
      </c>
      <c r="BD1168" s="567" t="str">
        <f t="shared" si="673"/>
        <v/>
      </c>
      <c r="BE1168" s="467" t="str">
        <f t="shared" si="674"/>
        <v/>
      </c>
      <c r="BF1168" s="469" t="str">
        <f t="shared" ca="1" si="675"/>
        <v/>
      </c>
      <c r="BG1168" s="469" t="str">
        <f t="shared" ca="1" si="676"/>
        <v/>
      </c>
      <c r="BH1168" s="467" t="str">
        <f t="shared" si="677"/>
        <v/>
      </c>
      <c r="BI1168" s="467" t="str">
        <f t="shared" ca="1" si="678"/>
        <v/>
      </c>
      <c r="BJ1168" s="469" t="str">
        <f t="shared" si="679"/>
        <v/>
      </c>
      <c r="BK1168" s="470" t="str">
        <f t="shared" si="663"/>
        <v/>
      </c>
      <c r="BL1168" s="775" t="str">
        <f t="shared" si="680"/>
        <v/>
      </c>
      <c r="BM1168" s="775" t="str">
        <f t="shared" si="681"/>
        <v/>
      </c>
    </row>
    <row r="1169" spans="1:65">
      <c r="A1169" s="473">
        <v>1113</v>
      </c>
      <c r="B1169" s="132"/>
      <c r="C1169" s="332"/>
      <c r="D1169" s="333"/>
      <c r="E1169" s="333"/>
      <c r="F1169" s="334"/>
      <c r="G1169" s="337"/>
      <c r="H1169" s="131"/>
      <c r="I1169" s="337"/>
      <c r="J1169" s="131"/>
      <c r="K1169" s="458" t="str">
        <f t="shared" si="644"/>
        <v/>
      </c>
      <c r="L1169" s="458">
        <f t="shared" si="645"/>
        <v>0</v>
      </c>
      <c r="M1169" s="458">
        <f t="shared" si="646"/>
        <v>0</v>
      </c>
      <c r="N1169" s="459" t="str">
        <f t="shared" si="657"/>
        <v/>
      </c>
      <c r="O1169" s="459" t="str">
        <f t="shared" si="658"/>
        <v/>
      </c>
      <c r="P1169" s="459" t="str">
        <f t="shared" si="659"/>
        <v/>
      </c>
      <c r="Q1169" s="459" t="str">
        <f t="shared" si="660"/>
        <v/>
      </c>
      <c r="R1169" s="459" t="str">
        <f t="shared" si="661"/>
        <v/>
      </c>
      <c r="S1169" s="459" t="str">
        <f t="shared" si="662"/>
        <v/>
      </c>
      <c r="T1169" s="566" t="str">
        <f t="shared" si="647"/>
        <v/>
      </c>
      <c r="U1169" s="702"/>
      <c r="V1169" s="132"/>
      <c r="W1169" s="133"/>
      <c r="X1169" s="134"/>
      <c r="Y1169" s="135"/>
      <c r="Z1169" s="137"/>
      <c r="AA1169" s="136"/>
      <c r="AB1169" s="566" t="str">
        <f t="shared" si="648"/>
        <v/>
      </c>
      <c r="AC1169" s="568" t="str">
        <f t="shared" si="649"/>
        <v/>
      </c>
      <c r="AD1169" s="137"/>
      <c r="AE1169" s="137"/>
      <c r="AF1169" s="138"/>
      <c r="AG1169" s="138"/>
      <c r="AH1169" s="592" t="str">
        <f t="shared" si="650"/>
        <v/>
      </c>
      <c r="AI1169" s="592" t="str">
        <f t="shared" si="651"/>
        <v/>
      </c>
      <c r="AJ1169" s="592" t="str">
        <f t="shared" si="652"/>
        <v/>
      </c>
      <c r="AK1169" s="460" t="str">
        <f>IF(AU1169="","",IF(OR(AZ1169=8,AZ1169=9),0,IF(OR(AW1169=3,AW1169=4,AW1169=5,AW1169=6),IF(LEFT(BF1169,1)="1",INDEX(係数_NOX・PM低減,MATCH(AY1169,【参考】排出係数!$AI$801:$AI$804,1),1),VLOOKUP(AU1169,INDEX((係数_バス貨物_ガソリン,係数_バス貨物_CNG,係数_バス貨物_軽油,係数_バス貨物_メタノール,係数_バス貨物_LPG),MATCH(AY1169,【参考】排出係数!$AI$4:$AI$671,1),1,BE1169):INDEX((係数_バス貨物_ガソリン,係数_バス貨物_CNG,係数_バス貨物_軽油,係数_バス貨物_メタノール,係数_バス貨物_LPG),MATCH(AY1169+1,【参考】排出係数!$AI$4:$AI$671,1)-1,5,BE1169),4,FALSE)),IF(AND(BE1169=3,LEFT(BF1169,1)="1"),0.48,VLOOKUP(AU1169,INDEX((係数_乗用_ガソリン,係数_乗用_CNG,係数_乗用_軽油,係数_乗用_メタノール,係数_乗用_LPG),1,1,BE1169):INDEX((係数_乗用_ガソリン,係数_乗用_CNG,係数_乗用_軽油,係数_乗用_メタノール,係数_乗用_LPG),125,5,BE1169),4,FALSE)))))</f>
        <v/>
      </c>
      <c r="AL1169" s="461" t="str">
        <f t="shared" si="653"/>
        <v/>
      </c>
      <c r="AM1169" s="460" t="str">
        <f>IF(AU1169="","",IF(OR(AZ1169=8,AZ1169=9),0,IF(OR(AW1169=3,AW1169=4,AW1169=5,AW1169=6),IF(LEFT(BH1169,1)="1",INDEX(係数_PM低減,MATCH(AY1169,【参考】排出係数!$AI$801:$AI$804,1),MATCH(BI1169,【参考】排出係数!$AL$798:$AO$798,1)),VLOOKUP(AU1169,INDEX((係数_バス貨物_ガソリン,係数_バス貨物_CNG,係数_バス貨物_軽油,係数_バス貨物_メタノール,係数_バス貨物_LPG),MATCH(AY1169,【参考】排出係数!$AI$4:$AI$671,1),1,BE1169):INDEX((係数_バス貨物_ガソリン,係数_バス貨物_CNG,係数_バス貨物_軽油,係数_バス貨物_メタノール,係数_バス貨物_LPG),MATCH(AY1169+1,【参考】排出係数!$AI$4:$AI$671,1)-1,5,BE1169),5,FALSE)),IF(AND(BE1169=3,LEFT(BF1169,1)="1"),0.055,VLOOKUP(AU1169,INDEX((係数_乗用_ガソリン,係数_乗用_CNG,係数_乗用_軽油,係数_乗用_メタノール,係数_乗用_LPG),1,1,BE1169):INDEX((係数_乗用_ガソリン,係数_乗用_CNG,係数_乗用_軽油,係数_乗用_メタノール,係数_乗用_LPG),125,5,BE1169),5,FALSE)))))</f>
        <v/>
      </c>
      <c r="AN1169" s="461" t="str">
        <f t="shared" si="654"/>
        <v/>
      </c>
      <c r="AO1169" s="462" t="str">
        <f t="shared" si="655"/>
        <v/>
      </c>
      <c r="AP1169" s="463" t="str">
        <f t="shared" si="656"/>
        <v/>
      </c>
      <c r="AQ1169" s="464"/>
      <c r="AR1169" s="619"/>
      <c r="AS1169" s="465" t="str">
        <f t="shared" si="664"/>
        <v/>
      </c>
      <c r="AT1169" s="465" t="str">
        <f t="shared" si="665"/>
        <v/>
      </c>
      <c r="AU1169" s="466" t="str">
        <f t="shared" si="666"/>
        <v/>
      </c>
      <c r="AV1169" s="467" t="str">
        <f t="shared" si="667"/>
        <v/>
      </c>
      <c r="AW1169" s="467" t="str">
        <f t="shared" si="668"/>
        <v/>
      </c>
      <c r="AX1169" s="467" t="str">
        <f t="shared" si="669"/>
        <v/>
      </c>
      <c r="AY1169" s="467" t="str">
        <f t="shared" si="670"/>
        <v/>
      </c>
      <c r="AZ1169" s="467" t="str">
        <f t="shared" si="671"/>
        <v/>
      </c>
      <c r="BA1169" s="468" t="str">
        <f>IF(AS1169="","",IF(OR(AU1169="",AU1169="-"),"－",IF(OR(AZ1169=8,AZ1169=9),"",IF(OR(AW1169=3,AW1169=4,AW1169=5,AW1169=6),VLOOKUP(AU1169,INDEX((係数_バス貨物_ガソリン,係数_バス貨物_CNG,係数_バス貨物_軽油,係数_バス貨物_メタノール,係数_バス貨物_LPG),MATCH(AY1169,【参考】排出係数!$AI$4:$AI$671,1),1,BE1169):INDEX((係数_バス貨物_ガソリン,係数_バス貨物_CNG,係数_バス貨物_軽油,係数_バス貨物_メタノール,係数_バス貨物_LPG),MATCH(AY1169+1,【参考】排出係数!$AI$4:$AI$671,1)-1,5,BE1169),2,FALSE),IF(OR(AW1169=1,AW1169=2),VLOOKUP(AU1169,INDEX((係数_乗用_ガソリン,係数_乗用_CNG,係数_乗用_軽油,係数_乗用_メタノール,係数_乗用_LPG),1,1,BE1169):INDEX((係数_乗用_ガソリン,係数_乗用_CNG,係数_乗用_軽油,係数_乗用_メタノール,係数_乗用_LPG),125,5,BE1169),2,FALSE))))))</f>
        <v/>
      </c>
      <c r="BB1169" s="468" t="str">
        <f>IF(T1169="","",IF(OR(AU1169="",AU1169="-"),"－",IF(OR(AZ1169=8,AZ1169=9),"",IF(OR(AW1169=3,AW1169=4,AW1169=5,AW1169=6),VLOOKUP(AU1169,INDEX((係数_バス貨物_ガソリン,係数_バス貨物_CNG,係数_バス貨物_軽油,係数_バス貨物_メタノール,係数_バス貨物_LPG),MATCH(AY1169,【参考】排出係数!$AI$4:$AI$671,1),1,BE1169):INDEX((係数_バス貨物_ガソリン,係数_バス貨物_CNG,係数_バス貨物_軽油,係数_バス貨物_メタノール,係数_バス貨物_LPG),MATCH(AY1169+1,【参考】排出係数!$AI$4:$AI$671,1)-1,5,BE1169),3,FALSE),IF(OR(AW1169=1,AW1169=2),VLOOKUP(AU1169,INDEX((係数_乗用_ガソリン,係数_乗用_CNG,係数_乗用_軽油,係数_乗用_メタノール,係数_乗用_LPG),1,1,BE1169):INDEX((係数_乗用_ガソリン,係数_乗用_CNG,係数_乗用_軽油,係数_乗用_メタノール,係数_乗用_LPG),125,5,BE1169),3,FALSE))))))</f>
        <v/>
      </c>
      <c r="BC1169" s="467" t="str">
        <f t="shared" si="672"/>
        <v/>
      </c>
      <c r="BD1169" s="567" t="str">
        <f t="shared" si="673"/>
        <v/>
      </c>
      <c r="BE1169" s="467" t="str">
        <f t="shared" si="674"/>
        <v/>
      </c>
      <c r="BF1169" s="469" t="str">
        <f t="shared" ca="1" si="675"/>
        <v/>
      </c>
      <c r="BG1169" s="469" t="str">
        <f t="shared" ca="1" si="676"/>
        <v/>
      </c>
      <c r="BH1169" s="467" t="str">
        <f t="shared" si="677"/>
        <v/>
      </c>
      <c r="BI1169" s="467" t="str">
        <f t="shared" ca="1" si="678"/>
        <v/>
      </c>
      <c r="BJ1169" s="469" t="str">
        <f t="shared" si="679"/>
        <v/>
      </c>
      <c r="BK1169" s="470" t="str">
        <f t="shared" si="663"/>
        <v/>
      </c>
      <c r="BL1169" s="775" t="str">
        <f t="shared" si="680"/>
        <v/>
      </c>
      <c r="BM1169" s="775" t="str">
        <f t="shared" si="681"/>
        <v/>
      </c>
    </row>
    <row r="1170" spans="1:65">
      <c r="A1170" s="473">
        <v>1114</v>
      </c>
      <c r="B1170" s="132"/>
      <c r="C1170" s="332"/>
      <c r="D1170" s="333"/>
      <c r="E1170" s="333"/>
      <c r="F1170" s="334"/>
      <c r="G1170" s="337"/>
      <c r="H1170" s="131"/>
      <c r="I1170" s="337"/>
      <c r="J1170" s="131"/>
      <c r="K1170" s="458" t="str">
        <f t="shared" si="644"/>
        <v/>
      </c>
      <c r="L1170" s="458">
        <f t="shared" si="645"/>
        <v>0</v>
      </c>
      <c r="M1170" s="458">
        <f t="shared" si="646"/>
        <v>0</v>
      </c>
      <c r="N1170" s="459" t="str">
        <f t="shared" si="657"/>
        <v/>
      </c>
      <c r="O1170" s="459" t="str">
        <f t="shared" si="658"/>
        <v/>
      </c>
      <c r="P1170" s="459" t="str">
        <f t="shared" si="659"/>
        <v/>
      </c>
      <c r="Q1170" s="459" t="str">
        <f t="shared" si="660"/>
        <v/>
      </c>
      <c r="R1170" s="459" t="str">
        <f t="shared" si="661"/>
        <v/>
      </c>
      <c r="S1170" s="459" t="str">
        <f t="shared" si="662"/>
        <v/>
      </c>
      <c r="T1170" s="566" t="str">
        <f t="shared" si="647"/>
        <v/>
      </c>
      <c r="U1170" s="702"/>
      <c r="V1170" s="132"/>
      <c r="W1170" s="133"/>
      <c r="X1170" s="134"/>
      <c r="Y1170" s="135"/>
      <c r="Z1170" s="137"/>
      <c r="AA1170" s="136"/>
      <c r="AB1170" s="566" t="str">
        <f t="shared" si="648"/>
        <v/>
      </c>
      <c r="AC1170" s="568" t="str">
        <f t="shared" si="649"/>
        <v/>
      </c>
      <c r="AD1170" s="137"/>
      <c r="AE1170" s="137"/>
      <c r="AF1170" s="138"/>
      <c r="AG1170" s="138"/>
      <c r="AH1170" s="592" t="str">
        <f t="shared" si="650"/>
        <v/>
      </c>
      <c r="AI1170" s="592" t="str">
        <f t="shared" si="651"/>
        <v/>
      </c>
      <c r="AJ1170" s="592" t="str">
        <f t="shared" si="652"/>
        <v/>
      </c>
      <c r="AK1170" s="460" t="str">
        <f>IF(AU1170="","",IF(OR(AZ1170=8,AZ1170=9),0,IF(OR(AW1170=3,AW1170=4,AW1170=5,AW1170=6),IF(LEFT(BF1170,1)="1",INDEX(係数_NOX・PM低減,MATCH(AY1170,【参考】排出係数!$AI$801:$AI$804,1),1),VLOOKUP(AU1170,INDEX((係数_バス貨物_ガソリン,係数_バス貨物_CNG,係数_バス貨物_軽油,係数_バス貨物_メタノール,係数_バス貨物_LPG),MATCH(AY1170,【参考】排出係数!$AI$4:$AI$671,1),1,BE1170):INDEX((係数_バス貨物_ガソリン,係数_バス貨物_CNG,係数_バス貨物_軽油,係数_バス貨物_メタノール,係数_バス貨物_LPG),MATCH(AY1170+1,【参考】排出係数!$AI$4:$AI$671,1)-1,5,BE1170),4,FALSE)),IF(AND(BE1170=3,LEFT(BF1170,1)="1"),0.48,VLOOKUP(AU1170,INDEX((係数_乗用_ガソリン,係数_乗用_CNG,係数_乗用_軽油,係数_乗用_メタノール,係数_乗用_LPG),1,1,BE1170):INDEX((係数_乗用_ガソリン,係数_乗用_CNG,係数_乗用_軽油,係数_乗用_メタノール,係数_乗用_LPG),125,5,BE1170),4,FALSE)))))</f>
        <v/>
      </c>
      <c r="AL1170" s="461" t="str">
        <f t="shared" si="653"/>
        <v/>
      </c>
      <c r="AM1170" s="460" t="str">
        <f>IF(AU1170="","",IF(OR(AZ1170=8,AZ1170=9),0,IF(OR(AW1170=3,AW1170=4,AW1170=5,AW1170=6),IF(LEFT(BH1170,1)="1",INDEX(係数_PM低減,MATCH(AY1170,【参考】排出係数!$AI$801:$AI$804,1),MATCH(BI1170,【参考】排出係数!$AL$798:$AO$798,1)),VLOOKUP(AU1170,INDEX((係数_バス貨物_ガソリン,係数_バス貨物_CNG,係数_バス貨物_軽油,係数_バス貨物_メタノール,係数_バス貨物_LPG),MATCH(AY1170,【参考】排出係数!$AI$4:$AI$671,1),1,BE1170):INDEX((係数_バス貨物_ガソリン,係数_バス貨物_CNG,係数_バス貨物_軽油,係数_バス貨物_メタノール,係数_バス貨物_LPG),MATCH(AY1170+1,【参考】排出係数!$AI$4:$AI$671,1)-1,5,BE1170),5,FALSE)),IF(AND(BE1170=3,LEFT(BF1170,1)="1"),0.055,VLOOKUP(AU1170,INDEX((係数_乗用_ガソリン,係数_乗用_CNG,係数_乗用_軽油,係数_乗用_メタノール,係数_乗用_LPG),1,1,BE1170):INDEX((係数_乗用_ガソリン,係数_乗用_CNG,係数_乗用_軽油,係数_乗用_メタノール,係数_乗用_LPG),125,5,BE1170),5,FALSE)))))</f>
        <v/>
      </c>
      <c r="AN1170" s="461" t="str">
        <f t="shared" si="654"/>
        <v/>
      </c>
      <c r="AO1170" s="462" t="str">
        <f t="shared" si="655"/>
        <v/>
      </c>
      <c r="AP1170" s="463" t="str">
        <f t="shared" si="656"/>
        <v/>
      </c>
      <c r="AQ1170" s="464"/>
      <c r="AR1170" s="619"/>
      <c r="AS1170" s="465" t="str">
        <f t="shared" si="664"/>
        <v/>
      </c>
      <c r="AT1170" s="465" t="str">
        <f t="shared" si="665"/>
        <v/>
      </c>
      <c r="AU1170" s="466" t="str">
        <f t="shared" si="666"/>
        <v/>
      </c>
      <c r="AV1170" s="467" t="str">
        <f t="shared" si="667"/>
        <v/>
      </c>
      <c r="AW1170" s="467" t="str">
        <f t="shared" si="668"/>
        <v/>
      </c>
      <c r="AX1170" s="467" t="str">
        <f t="shared" si="669"/>
        <v/>
      </c>
      <c r="AY1170" s="467" t="str">
        <f t="shared" si="670"/>
        <v/>
      </c>
      <c r="AZ1170" s="467" t="str">
        <f t="shared" si="671"/>
        <v/>
      </c>
      <c r="BA1170" s="468" t="str">
        <f>IF(AS1170="","",IF(OR(AU1170="",AU1170="-"),"－",IF(OR(AZ1170=8,AZ1170=9),"",IF(OR(AW1170=3,AW1170=4,AW1170=5,AW1170=6),VLOOKUP(AU1170,INDEX((係数_バス貨物_ガソリン,係数_バス貨物_CNG,係数_バス貨物_軽油,係数_バス貨物_メタノール,係数_バス貨物_LPG),MATCH(AY1170,【参考】排出係数!$AI$4:$AI$671,1),1,BE1170):INDEX((係数_バス貨物_ガソリン,係数_バス貨物_CNG,係数_バス貨物_軽油,係数_バス貨物_メタノール,係数_バス貨物_LPG),MATCH(AY1170+1,【参考】排出係数!$AI$4:$AI$671,1)-1,5,BE1170),2,FALSE),IF(OR(AW1170=1,AW1170=2),VLOOKUP(AU1170,INDEX((係数_乗用_ガソリン,係数_乗用_CNG,係数_乗用_軽油,係数_乗用_メタノール,係数_乗用_LPG),1,1,BE1170):INDEX((係数_乗用_ガソリン,係数_乗用_CNG,係数_乗用_軽油,係数_乗用_メタノール,係数_乗用_LPG),125,5,BE1170),2,FALSE))))))</f>
        <v/>
      </c>
      <c r="BB1170" s="468" t="str">
        <f>IF(T1170="","",IF(OR(AU1170="",AU1170="-"),"－",IF(OR(AZ1170=8,AZ1170=9),"",IF(OR(AW1170=3,AW1170=4,AW1170=5,AW1170=6),VLOOKUP(AU1170,INDEX((係数_バス貨物_ガソリン,係数_バス貨物_CNG,係数_バス貨物_軽油,係数_バス貨物_メタノール,係数_バス貨物_LPG),MATCH(AY1170,【参考】排出係数!$AI$4:$AI$671,1),1,BE1170):INDEX((係数_バス貨物_ガソリン,係数_バス貨物_CNG,係数_バス貨物_軽油,係数_バス貨物_メタノール,係数_バス貨物_LPG),MATCH(AY1170+1,【参考】排出係数!$AI$4:$AI$671,1)-1,5,BE1170),3,FALSE),IF(OR(AW1170=1,AW1170=2),VLOOKUP(AU1170,INDEX((係数_乗用_ガソリン,係数_乗用_CNG,係数_乗用_軽油,係数_乗用_メタノール,係数_乗用_LPG),1,1,BE1170):INDEX((係数_乗用_ガソリン,係数_乗用_CNG,係数_乗用_軽油,係数_乗用_メタノール,係数_乗用_LPG),125,5,BE1170),3,FALSE))))))</f>
        <v/>
      </c>
      <c r="BC1170" s="467" t="str">
        <f t="shared" si="672"/>
        <v/>
      </c>
      <c r="BD1170" s="567" t="str">
        <f t="shared" si="673"/>
        <v/>
      </c>
      <c r="BE1170" s="467" t="str">
        <f t="shared" si="674"/>
        <v/>
      </c>
      <c r="BF1170" s="469" t="str">
        <f t="shared" ca="1" si="675"/>
        <v/>
      </c>
      <c r="BG1170" s="469" t="str">
        <f t="shared" ca="1" si="676"/>
        <v/>
      </c>
      <c r="BH1170" s="467" t="str">
        <f t="shared" si="677"/>
        <v/>
      </c>
      <c r="BI1170" s="467" t="str">
        <f t="shared" ca="1" si="678"/>
        <v/>
      </c>
      <c r="BJ1170" s="469" t="str">
        <f t="shared" si="679"/>
        <v/>
      </c>
      <c r="BK1170" s="470" t="str">
        <f t="shared" si="663"/>
        <v/>
      </c>
      <c r="BL1170" s="775" t="str">
        <f t="shared" si="680"/>
        <v/>
      </c>
      <c r="BM1170" s="775" t="str">
        <f t="shared" si="681"/>
        <v/>
      </c>
    </row>
    <row r="1171" spans="1:65">
      <c r="A1171" s="473">
        <v>1115</v>
      </c>
      <c r="B1171" s="132"/>
      <c r="C1171" s="332"/>
      <c r="D1171" s="333"/>
      <c r="E1171" s="333"/>
      <c r="F1171" s="334"/>
      <c r="G1171" s="337"/>
      <c r="H1171" s="131"/>
      <c r="I1171" s="337"/>
      <c r="J1171" s="131"/>
      <c r="K1171" s="458" t="str">
        <f t="shared" si="644"/>
        <v/>
      </c>
      <c r="L1171" s="458">
        <f t="shared" si="645"/>
        <v>0</v>
      </c>
      <c r="M1171" s="458">
        <f t="shared" si="646"/>
        <v>0</v>
      </c>
      <c r="N1171" s="459" t="str">
        <f t="shared" si="657"/>
        <v/>
      </c>
      <c r="O1171" s="459" t="str">
        <f t="shared" si="658"/>
        <v/>
      </c>
      <c r="P1171" s="459" t="str">
        <f t="shared" si="659"/>
        <v/>
      </c>
      <c r="Q1171" s="459" t="str">
        <f t="shared" si="660"/>
        <v/>
      </c>
      <c r="R1171" s="459" t="str">
        <f t="shared" si="661"/>
        <v/>
      </c>
      <c r="S1171" s="459" t="str">
        <f t="shared" si="662"/>
        <v/>
      </c>
      <c r="T1171" s="566" t="str">
        <f t="shared" si="647"/>
        <v/>
      </c>
      <c r="U1171" s="702"/>
      <c r="V1171" s="132"/>
      <c r="W1171" s="133"/>
      <c r="X1171" s="134"/>
      <c r="Y1171" s="135"/>
      <c r="Z1171" s="137"/>
      <c r="AA1171" s="136"/>
      <c r="AB1171" s="566" t="str">
        <f t="shared" si="648"/>
        <v/>
      </c>
      <c r="AC1171" s="568" t="str">
        <f t="shared" si="649"/>
        <v/>
      </c>
      <c r="AD1171" s="137"/>
      <c r="AE1171" s="137"/>
      <c r="AF1171" s="138"/>
      <c r="AG1171" s="138"/>
      <c r="AH1171" s="592" t="str">
        <f t="shared" si="650"/>
        <v/>
      </c>
      <c r="AI1171" s="592" t="str">
        <f t="shared" si="651"/>
        <v/>
      </c>
      <c r="AJ1171" s="592" t="str">
        <f t="shared" si="652"/>
        <v/>
      </c>
      <c r="AK1171" s="460" t="str">
        <f>IF(AU1171="","",IF(OR(AZ1171=8,AZ1171=9),0,IF(OR(AW1171=3,AW1171=4,AW1171=5,AW1171=6),IF(LEFT(BF1171,1)="1",INDEX(係数_NOX・PM低減,MATCH(AY1171,【参考】排出係数!$AI$801:$AI$804,1),1),VLOOKUP(AU1171,INDEX((係数_バス貨物_ガソリン,係数_バス貨物_CNG,係数_バス貨物_軽油,係数_バス貨物_メタノール,係数_バス貨物_LPG),MATCH(AY1171,【参考】排出係数!$AI$4:$AI$671,1),1,BE1171):INDEX((係数_バス貨物_ガソリン,係数_バス貨物_CNG,係数_バス貨物_軽油,係数_バス貨物_メタノール,係数_バス貨物_LPG),MATCH(AY1171+1,【参考】排出係数!$AI$4:$AI$671,1)-1,5,BE1171),4,FALSE)),IF(AND(BE1171=3,LEFT(BF1171,1)="1"),0.48,VLOOKUP(AU1171,INDEX((係数_乗用_ガソリン,係数_乗用_CNG,係数_乗用_軽油,係数_乗用_メタノール,係数_乗用_LPG),1,1,BE1171):INDEX((係数_乗用_ガソリン,係数_乗用_CNG,係数_乗用_軽油,係数_乗用_メタノール,係数_乗用_LPG),125,5,BE1171),4,FALSE)))))</f>
        <v/>
      </c>
      <c r="AL1171" s="461" t="str">
        <f t="shared" si="653"/>
        <v/>
      </c>
      <c r="AM1171" s="460" t="str">
        <f>IF(AU1171="","",IF(OR(AZ1171=8,AZ1171=9),0,IF(OR(AW1171=3,AW1171=4,AW1171=5,AW1171=6),IF(LEFT(BH1171,1)="1",INDEX(係数_PM低減,MATCH(AY1171,【参考】排出係数!$AI$801:$AI$804,1),MATCH(BI1171,【参考】排出係数!$AL$798:$AO$798,1)),VLOOKUP(AU1171,INDEX((係数_バス貨物_ガソリン,係数_バス貨物_CNG,係数_バス貨物_軽油,係数_バス貨物_メタノール,係数_バス貨物_LPG),MATCH(AY1171,【参考】排出係数!$AI$4:$AI$671,1),1,BE1171):INDEX((係数_バス貨物_ガソリン,係数_バス貨物_CNG,係数_バス貨物_軽油,係数_バス貨物_メタノール,係数_バス貨物_LPG),MATCH(AY1171+1,【参考】排出係数!$AI$4:$AI$671,1)-1,5,BE1171),5,FALSE)),IF(AND(BE1171=3,LEFT(BF1171,1)="1"),0.055,VLOOKUP(AU1171,INDEX((係数_乗用_ガソリン,係数_乗用_CNG,係数_乗用_軽油,係数_乗用_メタノール,係数_乗用_LPG),1,1,BE1171):INDEX((係数_乗用_ガソリン,係数_乗用_CNG,係数_乗用_軽油,係数_乗用_メタノール,係数_乗用_LPG),125,5,BE1171),5,FALSE)))))</f>
        <v/>
      </c>
      <c r="AN1171" s="461" t="str">
        <f t="shared" si="654"/>
        <v/>
      </c>
      <c r="AO1171" s="462" t="str">
        <f t="shared" si="655"/>
        <v/>
      </c>
      <c r="AP1171" s="463" t="str">
        <f t="shared" si="656"/>
        <v/>
      </c>
      <c r="AQ1171" s="464"/>
      <c r="AR1171" s="619"/>
      <c r="AS1171" s="465" t="str">
        <f t="shared" si="664"/>
        <v/>
      </c>
      <c r="AT1171" s="465" t="str">
        <f t="shared" si="665"/>
        <v/>
      </c>
      <c r="AU1171" s="466" t="str">
        <f t="shared" si="666"/>
        <v/>
      </c>
      <c r="AV1171" s="467" t="str">
        <f t="shared" si="667"/>
        <v/>
      </c>
      <c r="AW1171" s="467" t="str">
        <f t="shared" si="668"/>
        <v/>
      </c>
      <c r="AX1171" s="467" t="str">
        <f t="shared" si="669"/>
        <v/>
      </c>
      <c r="AY1171" s="467" t="str">
        <f t="shared" si="670"/>
        <v/>
      </c>
      <c r="AZ1171" s="467" t="str">
        <f t="shared" si="671"/>
        <v/>
      </c>
      <c r="BA1171" s="468" t="str">
        <f>IF(AS1171="","",IF(OR(AU1171="",AU1171="-"),"－",IF(OR(AZ1171=8,AZ1171=9),"",IF(OR(AW1171=3,AW1171=4,AW1171=5,AW1171=6),VLOOKUP(AU1171,INDEX((係数_バス貨物_ガソリン,係数_バス貨物_CNG,係数_バス貨物_軽油,係数_バス貨物_メタノール,係数_バス貨物_LPG),MATCH(AY1171,【参考】排出係数!$AI$4:$AI$671,1),1,BE1171):INDEX((係数_バス貨物_ガソリン,係数_バス貨物_CNG,係数_バス貨物_軽油,係数_バス貨物_メタノール,係数_バス貨物_LPG),MATCH(AY1171+1,【参考】排出係数!$AI$4:$AI$671,1)-1,5,BE1171),2,FALSE),IF(OR(AW1171=1,AW1171=2),VLOOKUP(AU1171,INDEX((係数_乗用_ガソリン,係数_乗用_CNG,係数_乗用_軽油,係数_乗用_メタノール,係数_乗用_LPG),1,1,BE1171):INDEX((係数_乗用_ガソリン,係数_乗用_CNG,係数_乗用_軽油,係数_乗用_メタノール,係数_乗用_LPG),125,5,BE1171),2,FALSE))))))</f>
        <v/>
      </c>
      <c r="BB1171" s="468" t="str">
        <f>IF(T1171="","",IF(OR(AU1171="",AU1171="-"),"－",IF(OR(AZ1171=8,AZ1171=9),"",IF(OR(AW1171=3,AW1171=4,AW1171=5,AW1171=6),VLOOKUP(AU1171,INDEX((係数_バス貨物_ガソリン,係数_バス貨物_CNG,係数_バス貨物_軽油,係数_バス貨物_メタノール,係数_バス貨物_LPG),MATCH(AY1171,【参考】排出係数!$AI$4:$AI$671,1),1,BE1171):INDEX((係数_バス貨物_ガソリン,係数_バス貨物_CNG,係数_バス貨物_軽油,係数_バス貨物_メタノール,係数_バス貨物_LPG),MATCH(AY1171+1,【参考】排出係数!$AI$4:$AI$671,1)-1,5,BE1171),3,FALSE),IF(OR(AW1171=1,AW1171=2),VLOOKUP(AU1171,INDEX((係数_乗用_ガソリン,係数_乗用_CNG,係数_乗用_軽油,係数_乗用_メタノール,係数_乗用_LPG),1,1,BE1171):INDEX((係数_乗用_ガソリン,係数_乗用_CNG,係数_乗用_軽油,係数_乗用_メタノール,係数_乗用_LPG),125,5,BE1171),3,FALSE))))))</f>
        <v/>
      </c>
      <c r="BC1171" s="467" t="str">
        <f t="shared" si="672"/>
        <v/>
      </c>
      <c r="BD1171" s="567" t="str">
        <f t="shared" si="673"/>
        <v/>
      </c>
      <c r="BE1171" s="467" t="str">
        <f t="shared" si="674"/>
        <v/>
      </c>
      <c r="BF1171" s="469" t="str">
        <f t="shared" ca="1" si="675"/>
        <v/>
      </c>
      <c r="BG1171" s="469" t="str">
        <f t="shared" ca="1" si="676"/>
        <v/>
      </c>
      <c r="BH1171" s="467" t="str">
        <f t="shared" si="677"/>
        <v/>
      </c>
      <c r="BI1171" s="467" t="str">
        <f t="shared" ca="1" si="678"/>
        <v/>
      </c>
      <c r="BJ1171" s="469" t="str">
        <f t="shared" si="679"/>
        <v/>
      </c>
      <c r="BK1171" s="470" t="str">
        <f t="shared" si="663"/>
        <v/>
      </c>
      <c r="BL1171" s="775" t="str">
        <f t="shared" si="680"/>
        <v/>
      </c>
      <c r="BM1171" s="775" t="str">
        <f t="shared" si="681"/>
        <v/>
      </c>
    </row>
    <row r="1172" spans="1:65">
      <c r="A1172" s="473">
        <v>1116</v>
      </c>
      <c r="B1172" s="132"/>
      <c r="C1172" s="332"/>
      <c r="D1172" s="333"/>
      <c r="E1172" s="333"/>
      <c r="F1172" s="334"/>
      <c r="G1172" s="337"/>
      <c r="H1172" s="131"/>
      <c r="I1172" s="337"/>
      <c r="J1172" s="131"/>
      <c r="K1172" s="458" t="str">
        <f t="shared" si="644"/>
        <v/>
      </c>
      <c r="L1172" s="458">
        <f t="shared" si="645"/>
        <v>0</v>
      </c>
      <c r="M1172" s="458">
        <f t="shared" si="646"/>
        <v>0</v>
      </c>
      <c r="N1172" s="459" t="str">
        <f t="shared" si="657"/>
        <v/>
      </c>
      <c r="O1172" s="459" t="str">
        <f t="shared" si="658"/>
        <v/>
      </c>
      <c r="P1172" s="459" t="str">
        <f t="shared" si="659"/>
        <v/>
      </c>
      <c r="Q1172" s="459" t="str">
        <f t="shared" si="660"/>
        <v/>
      </c>
      <c r="R1172" s="459" t="str">
        <f t="shared" si="661"/>
        <v/>
      </c>
      <c r="S1172" s="459" t="str">
        <f t="shared" si="662"/>
        <v/>
      </c>
      <c r="T1172" s="566" t="str">
        <f t="shared" si="647"/>
        <v/>
      </c>
      <c r="U1172" s="702"/>
      <c r="V1172" s="132"/>
      <c r="W1172" s="133"/>
      <c r="X1172" s="134"/>
      <c r="Y1172" s="135"/>
      <c r="Z1172" s="137"/>
      <c r="AA1172" s="136"/>
      <c r="AB1172" s="566" t="str">
        <f t="shared" si="648"/>
        <v/>
      </c>
      <c r="AC1172" s="568" t="str">
        <f t="shared" si="649"/>
        <v/>
      </c>
      <c r="AD1172" s="137"/>
      <c r="AE1172" s="137"/>
      <c r="AF1172" s="138"/>
      <c r="AG1172" s="138"/>
      <c r="AH1172" s="592" t="str">
        <f t="shared" si="650"/>
        <v/>
      </c>
      <c r="AI1172" s="592" t="str">
        <f t="shared" si="651"/>
        <v/>
      </c>
      <c r="AJ1172" s="592" t="str">
        <f t="shared" si="652"/>
        <v/>
      </c>
      <c r="AK1172" s="460" t="str">
        <f>IF(AU1172="","",IF(OR(AZ1172=8,AZ1172=9),0,IF(OR(AW1172=3,AW1172=4,AW1172=5,AW1172=6),IF(LEFT(BF1172,1)="1",INDEX(係数_NOX・PM低減,MATCH(AY1172,【参考】排出係数!$AI$801:$AI$804,1),1),VLOOKUP(AU1172,INDEX((係数_バス貨物_ガソリン,係数_バス貨物_CNG,係数_バス貨物_軽油,係数_バス貨物_メタノール,係数_バス貨物_LPG),MATCH(AY1172,【参考】排出係数!$AI$4:$AI$671,1),1,BE1172):INDEX((係数_バス貨物_ガソリン,係数_バス貨物_CNG,係数_バス貨物_軽油,係数_バス貨物_メタノール,係数_バス貨物_LPG),MATCH(AY1172+1,【参考】排出係数!$AI$4:$AI$671,1)-1,5,BE1172),4,FALSE)),IF(AND(BE1172=3,LEFT(BF1172,1)="1"),0.48,VLOOKUP(AU1172,INDEX((係数_乗用_ガソリン,係数_乗用_CNG,係数_乗用_軽油,係数_乗用_メタノール,係数_乗用_LPG),1,1,BE1172):INDEX((係数_乗用_ガソリン,係数_乗用_CNG,係数_乗用_軽油,係数_乗用_メタノール,係数_乗用_LPG),125,5,BE1172),4,FALSE)))))</f>
        <v/>
      </c>
      <c r="AL1172" s="461" t="str">
        <f t="shared" si="653"/>
        <v/>
      </c>
      <c r="AM1172" s="460" t="str">
        <f>IF(AU1172="","",IF(OR(AZ1172=8,AZ1172=9),0,IF(OR(AW1172=3,AW1172=4,AW1172=5,AW1172=6),IF(LEFT(BH1172,1)="1",INDEX(係数_PM低減,MATCH(AY1172,【参考】排出係数!$AI$801:$AI$804,1),MATCH(BI1172,【参考】排出係数!$AL$798:$AO$798,1)),VLOOKUP(AU1172,INDEX((係数_バス貨物_ガソリン,係数_バス貨物_CNG,係数_バス貨物_軽油,係数_バス貨物_メタノール,係数_バス貨物_LPG),MATCH(AY1172,【参考】排出係数!$AI$4:$AI$671,1),1,BE1172):INDEX((係数_バス貨物_ガソリン,係数_バス貨物_CNG,係数_バス貨物_軽油,係数_バス貨物_メタノール,係数_バス貨物_LPG),MATCH(AY1172+1,【参考】排出係数!$AI$4:$AI$671,1)-1,5,BE1172),5,FALSE)),IF(AND(BE1172=3,LEFT(BF1172,1)="1"),0.055,VLOOKUP(AU1172,INDEX((係数_乗用_ガソリン,係数_乗用_CNG,係数_乗用_軽油,係数_乗用_メタノール,係数_乗用_LPG),1,1,BE1172):INDEX((係数_乗用_ガソリン,係数_乗用_CNG,係数_乗用_軽油,係数_乗用_メタノール,係数_乗用_LPG),125,5,BE1172),5,FALSE)))))</f>
        <v/>
      </c>
      <c r="AN1172" s="461" t="str">
        <f t="shared" si="654"/>
        <v/>
      </c>
      <c r="AO1172" s="462" t="str">
        <f t="shared" si="655"/>
        <v/>
      </c>
      <c r="AP1172" s="463" t="str">
        <f t="shared" si="656"/>
        <v/>
      </c>
      <c r="AQ1172" s="464"/>
      <c r="AR1172" s="619"/>
      <c r="AS1172" s="465" t="str">
        <f t="shared" si="664"/>
        <v/>
      </c>
      <c r="AT1172" s="465" t="str">
        <f t="shared" si="665"/>
        <v/>
      </c>
      <c r="AU1172" s="466" t="str">
        <f t="shared" si="666"/>
        <v/>
      </c>
      <c r="AV1172" s="467" t="str">
        <f t="shared" si="667"/>
        <v/>
      </c>
      <c r="AW1172" s="467" t="str">
        <f t="shared" si="668"/>
        <v/>
      </c>
      <c r="AX1172" s="467" t="str">
        <f t="shared" si="669"/>
        <v/>
      </c>
      <c r="AY1172" s="467" t="str">
        <f t="shared" si="670"/>
        <v/>
      </c>
      <c r="AZ1172" s="467" t="str">
        <f t="shared" si="671"/>
        <v/>
      </c>
      <c r="BA1172" s="468" t="str">
        <f>IF(AS1172="","",IF(OR(AU1172="",AU1172="-"),"－",IF(OR(AZ1172=8,AZ1172=9),"",IF(OR(AW1172=3,AW1172=4,AW1172=5,AW1172=6),VLOOKUP(AU1172,INDEX((係数_バス貨物_ガソリン,係数_バス貨物_CNG,係数_バス貨物_軽油,係数_バス貨物_メタノール,係数_バス貨物_LPG),MATCH(AY1172,【参考】排出係数!$AI$4:$AI$671,1),1,BE1172):INDEX((係数_バス貨物_ガソリン,係数_バス貨物_CNG,係数_バス貨物_軽油,係数_バス貨物_メタノール,係数_バス貨物_LPG),MATCH(AY1172+1,【参考】排出係数!$AI$4:$AI$671,1)-1,5,BE1172),2,FALSE),IF(OR(AW1172=1,AW1172=2),VLOOKUP(AU1172,INDEX((係数_乗用_ガソリン,係数_乗用_CNG,係数_乗用_軽油,係数_乗用_メタノール,係数_乗用_LPG),1,1,BE1172):INDEX((係数_乗用_ガソリン,係数_乗用_CNG,係数_乗用_軽油,係数_乗用_メタノール,係数_乗用_LPG),125,5,BE1172),2,FALSE))))))</f>
        <v/>
      </c>
      <c r="BB1172" s="468" t="str">
        <f>IF(T1172="","",IF(OR(AU1172="",AU1172="-"),"－",IF(OR(AZ1172=8,AZ1172=9),"",IF(OR(AW1172=3,AW1172=4,AW1172=5,AW1172=6),VLOOKUP(AU1172,INDEX((係数_バス貨物_ガソリン,係数_バス貨物_CNG,係数_バス貨物_軽油,係数_バス貨物_メタノール,係数_バス貨物_LPG),MATCH(AY1172,【参考】排出係数!$AI$4:$AI$671,1),1,BE1172):INDEX((係数_バス貨物_ガソリン,係数_バス貨物_CNG,係数_バス貨物_軽油,係数_バス貨物_メタノール,係数_バス貨物_LPG),MATCH(AY1172+1,【参考】排出係数!$AI$4:$AI$671,1)-1,5,BE1172),3,FALSE),IF(OR(AW1172=1,AW1172=2),VLOOKUP(AU1172,INDEX((係数_乗用_ガソリン,係数_乗用_CNG,係数_乗用_軽油,係数_乗用_メタノール,係数_乗用_LPG),1,1,BE1172):INDEX((係数_乗用_ガソリン,係数_乗用_CNG,係数_乗用_軽油,係数_乗用_メタノール,係数_乗用_LPG),125,5,BE1172),3,FALSE))))))</f>
        <v/>
      </c>
      <c r="BC1172" s="467" t="str">
        <f t="shared" si="672"/>
        <v/>
      </c>
      <c r="BD1172" s="567" t="str">
        <f t="shared" si="673"/>
        <v/>
      </c>
      <c r="BE1172" s="467" t="str">
        <f t="shared" si="674"/>
        <v/>
      </c>
      <c r="BF1172" s="469" t="str">
        <f t="shared" ca="1" si="675"/>
        <v/>
      </c>
      <c r="BG1172" s="469" t="str">
        <f t="shared" ca="1" si="676"/>
        <v/>
      </c>
      <c r="BH1172" s="467" t="str">
        <f t="shared" si="677"/>
        <v/>
      </c>
      <c r="BI1172" s="467" t="str">
        <f t="shared" ca="1" si="678"/>
        <v/>
      </c>
      <c r="BJ1172" s="469" t="str">
        <f t="shared" si="679"/>
        <v/>
      </c>
      <c r="BK1172" s="470" t="str">
        <f t="shared" si="663"/>
        <v/>
      </c>
      <c r="BL1172" s="775" t="str">
        <f t="shared" si="680"/>
        <v/>
      </c>
      <c r="BM1172" s="775" t="str">
        <f t="shared" si="681"/>
        <v/>
      </c>
    </row>
    <row r="1173" spans="1:65">
      <c r="A1173" s="473">
        <v>1117</v>
      </c>
      <c r="B1173" s="132"/>
      <c r="C1173" s="332"/>
      <c r="D1173" s="333"/>
      <c r="E1173" s="333"/>
      <c r="F1173" s="334"/>
      <c r="G1173" s="337"/>
      <c r="H1173" s="131"/>
      <c r="I1173" s="337"/>
      <c r="J1173" s="131"/>
      <c r="K1173" s="458" t="str">
        <f t="shared" si="644"/>
        <v/>
      </c>
      <c r="L1173" s="458">
        <f t="shared" si="645"/>
        <v>0</v>
      </c>
      <c r="M1173" s="458">
        <f t="shared" si="646"/>
        <v>0</v>
      </c>
      <c r="N1173" s="459" t="str">
        <f t="shared" si="657"/>
        <v/>
      </c>
      <c r="O1173" s="459" t="str">
        <f t="shared" si="658"/>
        <v/>
      </c>
      <c r="P1173" s="459" t="str">
        <f t="shared" si="659"/>
        <v/>
      </c>
      <c r="Q1173" s="459" t="str">
        <f t="shared" si="660"/>
        <v/>
      </c>
      <c r="R1173" s="459" t="str">
        <f t="shared" si="661"/>
        <v/>
      </c>
      <c r="S1173" s="459" t="str">
        <f t="shared" si="662"/>
        <v/>
      </c>
      <c r="T1173" s="566" t="str">
        <f t="shared" si="647"/>
        <v/>
      </c>
      <c r="U1173" s="702"/>
      <c r="V1173" s="132"/>
      <c r="W1173" s="133"/>
      <c r="X1173" s="134"/>
      <c r="Y1173" s="135"/>
      <c r="Z1173" s="137"/>
      <c r="AA1173" s="136"/>
      <c r="AB1173" s="566" t="str">
        <f t="shared" si="648"/>
        <v/>
      </c>
      <c r="AC1173" s="568" t="str">
        <f t="shared" si="649"/>
        <v/>
      </c>
      <c r="AD1173" s="137"/>
      <c r="AE1173" s="137"/>
      <c r="AF1173" s="138"/>
      <c r="AG1173" s="138"/>
      <c r="AH1173" s="592" t="str">
        <f t="shared" si="650"/>
        <v/>
      </c>
      <c r="AI1173" s="592" t="str">
        <f t="shared" si="651"/>
        <v/>
      </c>
      <c r="AJ1173" s="592" t="str">
        <f t="shared" si="652"/>
        <v/>
      </c>
      <c r="AK1173" s="460" t="str">
        <f>IF(AU1173="","",IF(OR(AZ1173=8,AZ1173=9),0,IF(OR(AW1173=3,AW1173=4,AW1173=5,AW1173=6),IF(LEFT(BF1173,1)="1",INDEX(係数_NOX・PM低減,MATCH(AY1173,【参考】排出係数!$AI$801:$AI$804,1),1),VLOOKUP(AU1173,INDEX((係数_バス貨物_ガソリン,係数_バス貨物_CNG,係数_バス貨物_軽油,係数_バス貨物_メタノール,係数_バス貨物_LPG),MATCH(AY1173,【参考】排出係数!$AI$4:$AI$671,1),1,BE1173):INDEX((係数_バス貨物_ガソリン,係数_バス貨物_CNG,係数_バス貨物_軽油,係数_バス貨物_メタノール,係数_バス貨物_LPG),MATCH(AY1173+1,【参考】排出係数!$AI$4:$AI$671,1)-1,5,BE1173),4,FALSE)),IF(AND(BE1173=3,LEFT(BF1173,1)="1"),0.48,VLOOKUP(AU1173,INDEX((係数_乗用_ガソリン,係数_乗用_CNG,係数_乗用_軽油,係数_乗用_メタノール,係数_乗用_LPG),1,1,BE1173):INDEX((係数_乗用_ガソリン,係数_乗用_CNG,係数_乗用_軽油,係数_乗用_メタノール,係数_乗用_LPG),125,5,BE1173),4,FALSE)))))</f>
        <v/>
      </c>
      <c r="AL1173" s="461" t="str">
        <f t="shared" si="653"/>
        <v/>
      </c>
      <c r="AM1173" s="460" t="str">
        <f>IF(AU1173="","",IF(OR(AZ1173=8,AZ1173=9),0,IF(OR(AW1173=3,AW1173=4,AW1173=5,AW1173=6),IF(LEFT(BH1173,1)="1",INDEX(係数_PM低減,MATCH(AY1173,【参考】排出係数!$AI$801:$AI$804,1),MATCH(BI1173,【参考】排出係数!$AL$798:$AO$798,1)),VLOOKUP(AU1173,INDEX((係数_バス貨物_ガソリン,係数_バス貨物_CNG,係数_バス貨物_軽油,係数_バス貨物_メタノール,係数_バス貨物_LPG),MATCH(AY1173,【参考】排出係数!$AI$4:$AI$671,1),1,BE1173):INDEX((係数_バス貨物_ガソリン,係数_バス貨物_CNG,係数_バス貨物_軽油,係数_バス貨物_メタノール,係数_バス貨物_LPG),MATCH(AY1173+1,【参考】排出係数!$AI$4:$AI$671,1)-1,5,BE1173),5,FALSE)),IF(AND(BE1173=3,LEFT(BF1173,1)="1"),0.055,VLOOKUP(AU1173,INDEX((係数_乗用_ガソリン,係数_乗用_CNG,係数_乗用_軽油,係数_乗用_メタノール,係数_乗用_LPG),1,1,BE1173):INDEX((係数_乗用_ガソリン,係数_乗用_CNG,係数_乗用_軽油,係数_乗用_メタノール,係数_乗用_LPG),125,5,BE1173),5,FALSE)))))</f>
        <v/>
      </c>
      <c r="AN1173" s="461" t="str">
        <f t="shared" si="654"/>
        <v/>
      </c>
      <c r="AO1173" s="462" t="str">
        <f t="shared" si="655"/>
        <v/>
      </c>
      <c r="AP1173" s="463" t="str">
        <f t="shared" si="656"/>
        <v/>
      </c>
      <c r="AQ1173" s="464"/>
      <c r="AR1173" s="619"/>
      <c r="AS1173" s="465" t="str">
        <f t="shared" si="664"/>
        <v/>
      </c>
      <c r="AT1173" s="465" t="str">
        <f t="shared" si="665"/>
        <v/>
      </c>
      <c r="AU1173" s="466" t="str">
        <f t="shared" si="666"/>
        <v/>
      </c>
      <c r="AV1173" s="467" t="str">
        <f t="shared" si="667"/>
        <v/>
      </c>
      <c r="AW1173" s="467" t="str">
        <f t="shared" si="668"/>
        <v/>
      </c>
      <c r="AX1173" s="467" t="str">
        <f t="shared" si="669"/>
        <v/>
      </c>
      <c r="AY1173" s="467" t="str">
        <f t="shared" si="670"/>
        <v/>
      </c>
      <c r="AZ1173" s="467" t="str">
        <f t="shared" si="671"/>
        <v/>
      </c>
      <c r="BA1173" s="468" t="str">
        <f>IF(AS1173="","",IF(OR(AU1173="",AU1173="-"),"－",IF(OR(AZ1173=8,AZ1173=9),"",IF(OR(AW1173=3,AW1173=4,AW1173=5,AW1173=6),VLOOKUP(AU1173,INDEX((係数_バス貨物_ガソリン,係数_バス貨物_CNG,係数_バス貨物_軽油,係数_バス貨物_メタノール,係数_バス貨物_LPG),MATCH(AY1173,【参考】排出係数!$AI$4:$AI$671,1),1,BE1173):INDEX((係数_バス貨物_ガソリン,係数_バス貨物_CNG,係数_バス貨物_軽油,係数_バス貨物_メタノール,係数_バス貨物_LPG),MATCH(AY1173+1,【参考】排出係数!$AI$4:$AI$671,1)-1,5,BE1173),2,FALSE),IF(OR(AW1173=1,AW1173=2),VLOOKUP(AU1173,INDEX((係数_乗用_ガソリン,係数_乗用_CNG,係数_乗用_軽油,係数_乗用_メタノール,係数_乗用_LPG),1,1,BE1173):INDEX((係数_乗用_ガソリン,係数_乗用_CNG,係数_乗用_軽油,係数_乗用_メタノール,係数_乗用_LPG),125,5,BE1173),2,FALSE))))))</f>
        <v/>
      </c>
      <c r="BB1173" s="468" t="str">
        <f>IF(T1173="","",IF(OR(AU1173="",AU1173="-"),"－",IF(OR(AZ1173=8,AZ1173=9),"",IF(OR(AW1173=3,AW1173=4,AW1173=5,AW1173=6),VLOOKUP(AU1173,INDEX((係数_バス貨物_ガソリン,係数_バス貨物_CNG,係数_バス貨物_軽油,係数_バス貨物_メタノール,係数_バス貨物_LPG),MATCH(AY1173,【参考】排出係数!$AI$4:$AI$671,1),1,BE1173):INDEX((係数_バス貨物_ガソリン,係数_バス貨物_CNG,係数_バス貨物_軽油,係数_バス貨物_メタノール,係数_バス貨物_LPG),MATCH(AY1173+1,【参考】排出係数!$AI$4:$AI$671,1)-1,5,BE1173),3,FALSE),IF(OR(AW1173=1,AW1173=2),VLOOKUP(AU1173,INDEX((係数_乗用_ガソリン,係数_乗用_CNG,係数_乗用_軽油,係数_乗用_メタノール,係数_乗用_LPG),1,1,BE1173):INDEX((係数_乗用_ガソリン,係数_乗用_CNG,係数_乗用_軽油,係数_乗用_メタノール,係数_乗用_LPG),125,5,BE1173),3,FALSE))))))</f>
        <v/>
      </c>
      <c r="BC1173" s="467" t="str">
        <f t="shared" si="672"/>
        <v/>
      </c>
      <c r="BD1173" s="567" t="str">
        <f t="shared" si="673"/>
        <v/>
      </c>
      <c r="BE1173" s="467" t="str">
        <f t="shared" si="674"/>
        <v/>
      </c>
      <c r="BF1173" s="469" t="str">
        <f t="shared" ca="1" si="675"/>
        <v/>
      </c>
      <c r="BG1173" s="469" t="str">
        <f t="shared" ca="1" si="676"/>
        <v/>
      </c>
      <c r="BH1173" s="467" t="str">
        <f t="shared" si="677"/>
        <v/>
      </c>
      <c r="BI1173" s="467" t="str">
        <f t="shared" ca="1" si="678"/>
        <v/>
      </c>
      <c r="BJ1173" s="469" t="str">
        <f t="shared" si="679"/>
        <v/>
      </c>
      <c r="BK1173" s="470" t="str">
        <f t="shared" si="663"/>
        <v/>
      </c>
      <c r="BL1173" s="775" t="str">
        <f t="shared" si="680"/>
        <v/>
      </c>
      <c r="BM1173" s="775" t="str">
        <f t="shared" si="681"/>
        <v/>
      </c>
    </row>
    <row r="1174" spans="1:65">
      <c r="A1174" s="473">
        <v>1118</v>
      </c>
      <c r="B1174" s="132"/>
      <c r="C1174" s="332"/>
      <c r="D1174" s="333"/>
      <c r="E1174" s="333"/>
      <c r="F1174" s="334"/>
      <c r="G1174" s="337"/>
      <c r="H1174" s="131"/>
      <c r="I1174" s="337"/>
      <c r="J1174" s="131"/>
      <c r="K1174" s="458" t="str">
        <f t="shared" si="644"/>
        <v/>
      </c>
      <c r="L1174" s="458">
        <f t="shared" si="645"/>
        <v>0</v>
      </c>
      <c r="M1174" s="458">
        <f t="shared" si="646"/>
        <v>0</v>
      </c>
      <c r="N1174" s="459" t="str">
        <f t="shared" si="657"/>
        <v/>
      </c>
      <c r="O1174" s="459" t="str">
        <f t="shared" si="658"/>
        <v/>
      </c>
      <c r="P1174" s="459" t="str">
        <f t="shared" si="659"/>
        <v/>
      </c>
      <c r="Q1174" s="459" t="str">
        <f t="shared" si="660"/>
        <v/>
      </c>
      <c r="R1174" s="459" t="str">
        <f t="shared" si="661"/>
        <v/>
      </c>
      <c r="S1174" s="459" t="str">
        <f t="shared" si="662"/>
        <v/>
      </c>
      <c r="T1174" s="566" t="str">
        <f t="shared" si="647"/>
        <v/>
      </c>
      <c r="U1174" s="702"/>
      <c r="V1174" s="132"/>
      <c r="W1174" s="133"/>
      <c r="X1174" s="134"/>
      <c r="Y1174" s="135"/>
      <c r="Z1174" s="137"/>
      <c r="AA1174" s="136"/>
      <c r="AB1174" s="566" t="str">
        <f t="shared" si="648"/>
        <v/>
      </c>
      <c r="AC1174" s="568" t="str">
        <f t="shared" si="649"/>
        <v/>
      </c>
      <c r="AD1174" s="137"/>
      <c r="AE1174" s="137"/>
      <c r="AF1174" s="138"/>
      <c r="AG1174" s="138"/>
      <c r="AH1174" s="592" t="str">
        <f t="shared" si="650"/>
        <v/>
      </c>
      <c r="AI1174" s="592" t="str">
        <f t="shared" si="651"/>
        <v/>
      </c>
      <c r="AJ1174" s="592" t="str">
        <f t="shared" si="652"/>
        <v/>
      </c>
      <c r="AK1174" s="460" t="str">
        <f>IF(AU1174="","",IF(OR(AZ1174=8,AZ1174=9),0,IF(OR(AW1174=3,AW1174=4,AW1174=5,AW1174=6),IF(LEFT(BF1174,1)="1",INDEX(係数_NOX・PM低減,MATCH(AY1174,【参考】排出係数!$AI$801:$AI$804,1),1),VLOOKUP(AU1174,INDEX((係数_バス貨物_ガソリン,係数_バス貨物_CNG,係数_バス貨物_軽油,係数_バス貨物_メタノール,係数_バス貨物_LPG),MATCH(AY1174,【参考】排出係数!$AI$4:$AI$671,1),1,BE1174):INDEX((係数_バス貨物_ガソリン,係数_バス貨物_CNG,係数_バス貨物_軽油,係数_バス貨物_メタノール,係数_バス貨物_LPG),MATCH(AY1174+1,【参考】排出係数!$AI$4:$AI$671,1)-1,5,BE1174),4,FALSE)),IF(AND(BE1174=3,LEFT(BF1174,1)="1"),0.48,VLOOKUP(AU1174,INDEX((係数_乗用_ガソリン,係数_乗用_CNG,係数_乗用_軽油,係数_乗用_メタノール,係数_乗用_LPG),1,1,BE1174):INDEX((係数_乗用_ガソリン,係数_乗用_CNG,係数_乗用_軽油,係数_乗用_メタノール,係数_乗用_LPG),125,5,BE1174),4,FALSE)))))</f>
        <v/>
      </c>
      <c r="AL1174" s="461" t="str">
        <f t="shared" si="653"/>
        <v/>
      </c>
      <c r="AM1174" s="460" t="str">
        <f>IF(AU1174="","",IF(OR(AZ1174=8,AZ1174=9),0,IF(OR(AW1174=3,AW1174=4,AW1174=5,AW1174=6),IF(LEFT(BH1174,1)="1",INDEX(係数_PM低減,MATCH(AY1174,【参考】排出係数!$AI$801:$AI$804,1),MATCH(BI1174,【参考】排出係数!$AL$798:$AO$798,1)),VLOOKUP(AU1174,INDEX((係数_バス貨物_ガソリン,係数_バス貨物_CNG,係数_バス貨物_軽油,係数_バス貨物_メタノール,係数_バス貨物_LPG),MATCH(AY1174,【参考】排出係数!$AI$4:$AI$671,1),1,BE1174):INDEX((係数_バス貨物_ガソリン,係数_バス貨物_CNG,係数_バス貨物_軽油,係数_バス貨物_メタノール,係数_バス貨物_LPG),MATCH(AY1174+1,【参考】排出係数!$AI$4:$AI$671,1)-1,5,BE1174),5,FALSE)),IF(AND(BE1174=3,LEFT(BF1174,1)="1"),0.055,VLOOKUP(AU1174,INDEX((係数_乗用_ガソリン,係数_乗用_CNG,係数_乗用_軽油,係数_乗用_メタノール,係数_乗用_LPG),1,1,BE1174):INDEX((係数_乗用_ガソリン,係数_乗用_CNG,係数_乗用_軽油,係数_乗用_メタノール,係数_乗用_LPG),125,5,BE1174),5,FALSE)))))</f>
        <v/>
      </c>
      <c r="AN1174" s="461" t="str">
        <f t="shared" si="654"/>
        <v/>
      </c>
      <c r="AO1174" s="462" t="str">
        <f t="shared" si="655"/>
        <v/>
      </c>
      <c r="AP1174" s="463" t="str">
        <f t="shared" si="656"/>
        <v/>
      </c>
      <c r="AQ1174" s="464"/>
      <c r="AR1174" s="619"/>
      <c r="AS1174" s="465" t="str">
        <f t="shared" si="664"/>
        <v/>
      </c>
      <c r="AT1174" s="465" t="str">
        <f t="shared" si="665"/>
        <v/>
      </c>
      <c r="AU1174" s="466" t="str">
        <f t="shared" si="666"/>
        <v/>
      </c>
      <c r="AV1174" s="467" t="str">
        <f t="shared" si="667"/>
        <v/>
      </c>
      <c r="AW1174" s="467" t="str">
        <f t="shared" si="668"/>
        <v/>
      </c>
      <c r="AX1174" s="467" t="str">
        <f t="shared" si="669"/>
        <v/>
      </c>
      <c r="AY1174" s="467" t="str">
        <f t="shared" si="670"/>
        <v/>
      </c>
      <c r="AZ1174" s="467" t="str">
        <f t="shared" si="671"/>
        <v/>
      </c>
      <c r="BA1174" s="468" t="str">
        <f>IF(AS1174="","",IF(OR(AU1174="",AU1174="-"),"－",IF(OR(AZ1174=8,AZ1174=9),"",IF(OR(AW1174=3,AW1174=4,AW1174=5,AW1174=6),VLOOKUP(AU1174,INDEX((係数_バス貨物_ガソリン,係数_バス貨物_CNG,係数_バス貨物_軽油,係数_バス貨物_メタノール,係数_バス貨物_LPG),MATCH(AY1174,【参考】排出係数!$AI$4:$AI$671,1),1,BE1174):INDEX((係数_バス貨物_ガソリン,係数_バス貨物_CNG,係数_バス貨物_軽油,係数_バス貨物_メタノール,係数_バス貨物_LPG),MATCH(AY1174+1,【参考】排出係数!$AI$4:$AI$671,1)-1,5,BE1174),2,FALSE),IF(OR(AW1174=1,AW1174=2),VLOOKUP(AU1174,INDEX((係数_乗用_ガソリン,係数_乗用_CNG,係数_乗用_軽油,係数_乗用_メタノール,係数_乗用_LPG),1,1,BE1174):INDEX((係数_乗用_ガソリン,係数_乗用_CNG,係数_乗用_軽油,係数_乗用_メタノール,係数_乗用_LPG),125,5,BE1174),2,FALSE))))))</f>
        <v/>
      </c>
      <c r="BB1174" s="468" t="str">
        <f>IF(T1174="","",IF(OR(AU1174="",AU1174="-"),"－",IF(OR(AZ1174=8,AZ1174=9),"",IF(OR(AW1174=3,AW1174=4,AW1174=5,AW1174=6),VLOOKUP(AU1174,INDEX((係数_バス貨物_ガソリン,係数_バス貨物_CNG,係数_バス貨物_軽油,係数_バス貨物_メタノール,係数_バス貨物_LPG),MATCH(AY1174,【参考】排出係数!$AI$4:$AI$671,1),1,BE1174):INDEX((係数_バス貨物_ガソリン,係数_バス貨物_CNG,係数_バス貨物_軽油,係数_バス貨物_メタノール,係数_バス貨物_LPG),MATCH(AY1174+1,【参考】排出係数!$AI$4:$AI$671,1)-1,5,BE1174),3,FALSE),IF(OR(AW1174=1,AW1174=2),VLOOKUP(AU1174,INDEX((係数_乗用_ガソリン,係数_乗用_CNG,係数_乗用_軽油,係数_乗用_メタノール,係数_乗用_LPG),1,1,BE1174):INDEX((係数_乗用_ガソリン,係数_乗用_CNG,係数_乗用_軽油,係数_乗用_メタノール,係数_乗用_LPG),125,5,BE1174),3,FALSE))))))</f>
        <v/>
      </c>
      <c r="BC1174" s="467" t="str">
        <f t="shared" si="672"/>
        <v/>
      </c>
      <c r="BD1174" s="567" t="str">
        <f t="shared" si="673"/>
        <v/>
      </c>
      <c r="BE1174" s="467" t="str">
        <f t="shared" si="674"/>
        <v/>
      </c>
      <c r="BF1174" s="469" t="str">
        <f t="shared" ca="1" si="675"/>
        <v/>
      </c>
      <c r="BG1174" s="469" t="str">
        <f t="shared" ca="1" si="676"/>
        <v/>
      </c>
      <c r="BH1174" s="467" t="str">
        <f t="shared" si="677"/>
        <v/>
      </c>
      <c r="BI1174" s="467" t="str">
        <f t="shared" ca="1" si="678"/>
        <v/>
      </c>
      <c r="BJ1174" s="469" t="str">
        <f t="shared" si="679"/>
        <v/>
      </c>
      <c r="BK1174" s="470" t="str">
        <f t="shared" si="663"/>
        <v/>
      </c>
      <c r="BL1174" s="775" t="str">
        <f t="shared" si="680"/>
        <v/>
      </c>
      <c r="BM1174" s="775" t="str">
        <f t="shared" si="681"/>
        <v/>
      </c>
    </row>
    <row r="1175" spans="1:65">
      <c r="A1175" s="473">
        <v>1119</v>
      </c>
      <c r="B1175" s="132"/>
      <c r="C1175" s="332"/>
      <c r="D1175" s="333"/>
      <c r="E1175" s="333"/>
      <c r="F1175" s="334"/>
      <c r="G1175" s="337"/>
      <c r="H1175" s="131"/>
      <c r="I1175" s="337"/>
      <c r="J1175" s="131"/>
      <c r="K1175" s="458" t="str">
        <f t="shared" si="644"/>
        <v/>
      </c>
      <c r="L1175" s="458">
        <f t="shared" si="645"/>
        <v>0</v>
      </c>
      <c r="M1175" s="458">
        <f t="shared" si="646"/>
        <v>0</v>
      </c>
      <c r="N1175" s="459" t="str">
        <f t="shared" si="657"/>
        <v/>
      </c>
      <c r="O1175" s="459" t="str">
        <f t="shared" si="658"/>
        <v/>
      </c>
      <c r="P1175" s="459" t="str">
        <f t="shared" si="659"/>
        <v/>
      </c>
      <c r="Q1175" s="459" t="str">
        <f t="shared" si="660"/>
        <v/>
      </c>
      <c r="R1175" s="459" t="str">
        <f t="shared" si="661"/>
        <v/>
      </c>
      <c r="S1175" s="459" t="str">
        <f t="shared" si="662"/>
        <v/>
      </c>
      <c r="T1175" s="566" t="str">
        <f t="shared" si="647"/>
        <v/>
      </c>
      <c r="U1175" s="702"/>
      <c r="V1175" s="132"/>
      <c r="W1175" s="133"/>
      <c r="X1175" s="134"/>
      <c r="Y1175" s="135"/>
      <c r="Z1175" s="137"/>
      <c r="AA1175" s="136"/>
      <c r="AB1175" s="566" t="str">
        <f t="shared" si="648"/>
        <v/>
      </c>
      <c r="AC1175" s="568" t="str">
        <f t="shared" si="649"/>
        <v/>
      </c>
      <c r="AD1175" s="137"/>
      <c r="AE1175" s="137"/>
      <c r="AF1175" s="138"/>
      <c r="AG1175" s="138"/>
      <c r="AH1175" s="592" t="str">
        <f t="shared" si="650"/>
        <v/>
      </c>
      <c r="AI1175" s="592" t="str">
        <f t="shared" si="651"/>
        <v/>
      </c>
      <c r="AJ1175" s="592" t="str">
        <f t="shared" si="652"/>
        <v/>
      </c>
      <c r="AK1175" s="460" t="str">
        <f>IF(AU1175="","",IF(OR(AZ1175=8,AZ1175=9),0,IF(OR(AW1175=3,AW1175=4,AW1175=5,AW1175=6),IF(LEFT(BF1175,1)="1",INDEX(係数_NOX・PM低減,MATCH(AY1175,【参考】排出係数!$AI$801:$AI$804,1),1),VLOOKUP(AU1175,INDEX((係数_バス貨物_ガソリン,係数_バス貨物_CNG,係数_バス貨物_軽油,係数_バス貨物_メタノール,係数_バス貨物_LPG),MATCH(AY1175,【参考】排出係数!$AI$4:$AI$671,1),1,BE1175):INDEX((係数_バス貨物_ガソリン,係数_バス貨物_CNG,係数_バス貨物_軽油,係数_バス貨物_メタノール,係数_バス貨物_LPG),MATCH(AY1175+1,【参考】排出係数!$AI$4:$AI$671,1)-1,5,BE1175),4,FALSE)),IF(AND(BE1175=3,LEFT(BF1175,1)="1"),0.48,VLOOKUP(AU1175,INDEX((係数_乗用_ガソリン,係数_乗用_CNG,係数_乗用_軽油,係数_乗用_メタノール,係数_乗用_LPG),1,1,BE1175):INDEX((係数_乗用_ガソリン,係数_乗用_CNG,係数_乗用_軽油,係数_乗用_メタノール,係数_乗用_LPG),125,5,BE1175),4,FALSE)))))</f>
        <v/>
      </c>
      <c r="AL1175" s="461" t="str">
        <f t="shared" si="653"/>
        <v/>
      </c>
      <c r="AM1175" s="460" t="str">
        <f>IF(AU1175="","",IF(OR(AZ1175=8,AZ1175=9),0,IF(OR(AW1175=3,AW1175=4,AW1175=5,AW1175=6),IF(LEFT(BH1175,1)="1",INDEX(係数_PM低減,MATCH(AY1175,【参考】排出係数!$AI$801:$AI$804,1),MATCH(BI1175,【参考】排出係数!$AL$798:$AO$798,1)),VLOOKUP(AU1175,INDEX((係数_バス貨物_ガソリン,係数_バス貨物_CNG,係数_バス貨物_軽油,係数_バス貨物_メタノール,係数_バス貨物_LPG),MATCH(AY1175,【参考】排出係数!$AI$4:$AI$671,1),1,BE1175):INDEX((係数_バス貨物_ガソリン,係数_バス貨物_CNG,係数_バス貨物_軽油,係数_バス貨物_メタノール,係数_バス貨物_LPG),MATCH(AY1175+1,【参考】排出係数!$AI$4:$AI$671,1)-1,5,BE1175),5,FALSE)),IF(AND(BE1175=3,LEFT(BF1175,1)="1"),0.055,VLOOKUP(AU1175,INDEX((係数_乗用_ガソリン,係数_乗用_CNG,係数_乗用_軽油,係数_乗用_メタノール,係数_乗用_LPG),1,1,BE1175):INDEX((係数_乗用_ガソリン,係数_乗用_CNG,係数_乗用_軽油,係数_乗用_メタノール,係数_乗用_LPG),125,5,BE1175),5,FALSE)))))</f>
        <v/>
      </c>
      <c r="AN1175" s="461" t="str">
        <f t="shared" si="654"/>
        <v/>
      </c>
      <c r="AO1175" s="462" t="str">
        <f t="shared" si="655"/>
        <v/>
      </c>
      <c r="AP1175" s="463" t="str">
        <f t="shared" si="656"/>
        <v/>
      </c>
      <c r="AQ1175" s="464"/>
      <c r="AR1175" s="619"/>
      <c r="AS1175" s="465" t="str">
        <f t="shared" si="664"/>
        <v/>
      </c>
      <c r="AT1175" s="465" t="str">
        <f t="shared" si="665"/>
        <v/>
      </c>
      <c r="AU1175" s="466" t="str">
        <f t="shared" si="666"/>
        <v/>
      </c>
      <c r="AV1175" s="467" t="str">
        <f t="shared" si="667"/>
        <v/>
      </c>
      <c r="AW1175" s="467" t="str">
        <f t="shared" si="668"/>
        <v/>
      </c>
      <c r="AX1175" s="467" t="str">
        <f t="shared" si="669"/>
        <v/>
      </c>
      <c r="AY1175" s="467" t="str">
        <f t="shared" si="670"/>
        <v/>
      </c>
      <c r="AZ1175" s="467" t="str">
        <f t="shared" si="671"/>
        <v/>
      </c>
      <c r="BA1175" s="468" t="str">
        <f>IF(AS1175="","",IF(OR(AU1175="",AU1175="-"),"－",IF(OR(AZ1175=8,AZ1175=9),"",IF(OR(AW1175=3,AW1175=4,AW1175=5,AW1175=6),VLOOKUP(AU1175,INDEX((係数_バス貨物_ガソリン,係数_バス貨物_CNG,係数_バス貨物_軽油,係数_バス貨物_メタノール,係数_バス貨物_LPG),MATCH(AY1175,【参考】排出係数!$AI$4:$AI$671,1),1,BE1175):INDEX((係数_バス貨物_ガソリン,係数_バス貨物_CNG,係数_バス貨物_軽油,係数_バス貨物_メタノール,係数_バス貨物_LPG),MATCH(AY1175+1,【参考】排出係数!$AI$4:$AI$671,1)-1,5,BE1175),2,FALSE),IF(OR(AW1175=1,AW1175=2),VLOOKUP(AU1175,INDEX((係数_乗用_ガソリン,係数_乗用_CNG,係数_乗用_軽油,係数_乗用_メタノール,係数_乗用_LPG),1,1,BE1175):INDEX((係数_乗用_ガソリン,係数_乗用_CNG,係数_乗用_軽油,係数_乗用_メタノール,係数_乗用_LPG),125,5,BE1175),2,FALSE))))))</f>
        <v/>
      </c>
      <c r="BB1175" s="468" t="str">
        <f>IF(T1175="","",IF(OR(AU1175="",AU1175="-"),"－",IF(OR(AZ1175=8,AZ1175=9),"",IF(OR(AW1175=3,AW1175=4,AW1175=5,AW1175=6),VLOOKUP(AU1175,INDEX((係数_バス貨物_ガソリン,係数_バス貨物_CNG,係数_バス貨物_軽油,係数_バス貨物_メタノール,係数_バス貨物_LPG),MATCH(AY1175,【参考】排出係数!$AI$4:$AI$671,1),1,BE1175):INDEX((係数_バス貨物_ガソリン,係数_バス貨物_CNG,係数_バス貨物_軽油,係数_バス貨物_メタノール,係数_バス貨物_LPG),MATCH(AY1175+1,【参考】排出係数!$AI$4:$AI$671,1)-1,5,BE1175),3,FALSE),IF(OR(AW1175=1,AW1175=2),VLOOKUP(AU1175,INDEX((係数_乗用_ガソリン,係数_乗用_CNG,係数_乗用_軽油,係数_乗用_メタノール,係数_乗用_LPG),1,1,BE1175):INDEX((係数_乗用_ガソリン,係数_乗用_CNG,係数_乗用_軽油,係数_乗用_メタノール,係数_乗用_LPG),125,5,BE1175),3,FALSE))))))</f>
        <v/>
      </c>
      <c r="BC1175" s="467" t="str">
        <f t="shared" si="672"/>
        <v/>
      </c>
      <c r="BD1175" s="567" t="str">
        <f t="shared" si="673"/>
        <v/>
      </c>
      <c r="BE1175" s="467" t="str">
        <f t="shared" si="674"/>
        <v/>
      </c>
      <c r="BF1175" s="469" t="str">
        <f t="shared" ca="1" si="675"/>
        <v/>
      </c>
      <c r="BG1175" s="469" t="str">
        <f t="shared" ca="1" si="676"/>
        <v/>
      </c>
      <c r="BH1175" s="467" t="str">
        <f t="shared" si="677"/>
        <v/>
      </c>
      <c r="BI1175" s="467" t="str">
        <f t="shared" ca="1" si="678"/>
        <v/>
      </c>
      <c r="BJ1175" s="469" t="str">
        <f t="shared" si="679"/>
        <v/>
      </c>
      <c r="BK1175" s="470" t="str">
        <f t="shared" si="663"/>
        <v/>
      </c>
      <c r="BL1175" s="775" t="str">
        <f t="shared" si="680"/>
        <v/>
      </c>
      <c r="BM1175" s="775" t="str">
        <f t="shared" si="681"/>
        <v/>
      </c>
    </row>
    <row r="1176" spans="1:65">
      <c r="A1176" s="473">
        <v>1120</v>
      </c>
      <c r="B1176" s="132"/>
      <c r="C1176" s="332"/>
      <c r="D1176" s="333"/>
      <c r="E1176" s="333"/>
      <c r="F1176" s="334"/>
      <c r="G1176" s="337"/>
      <c r="H1176" s="131"/>
      <c r="I1176" s="337"/>
      <c r="J1176" s="131"/>
      <c r="K1176" s="458" t="str">
        <f t="shared" si="644"/>
        <v/>
      </c>
      <c r="L1176" s="458">
        <f t="shared" si="645"/>
        <v>0</v>
      </c>
      <c r="M1176" s="458">
        <f t="shared" si="646"/>
        <v>0</v>
      </c>
      <c r="N1176" s="459" t="str">
        <f t="shared" si="657"/>
        <v/>
      </c>
      <c r="O1176" s="459" t="str">
        <f t="shared" si="658"/>
        <v/>
      </c>
      <c r="P1176" s="459" t="str">
        <f t="shared" si="659"/>
        <v/>
      </c>
      <c r="Q1176" s="459" t="str">
        <f t="shared" si="660"/>
        <v/>
      </c>
      <c r="R1176" s="459" t="str">
        <f t="shared" si="661"/>
        <v/>
      </c>
      <c r="S1176" s="459" t="str">
        <f t="shared" si="662"/>
        <v/>
      </c>
      <c r="T1176" s="566" t="str">
        <f t="shared" si="647"/>
        <v/>
      </c>
      <c r="U1176" s="702"/>
      <c r="V1176" s="132"/>
      <c r="W1176" s="133"/>
      <c r="X1176" s="134"/>
      <c r="Y1176" s="135"/>
      <c r="Z1176" s="137"/>
      <c r="AA1176" s="136"/>
      <c r="AB1176" s="566" t="str">
        <f t="shared" si="648"/>
        <v/>
      </c>
      <c r="AC1176" s="568" t="str">
        <f t="shared" si="649"/>
        <v/>
      </c>
      <c r="AD1176" s="137"/>
      <c r="AE1176" s="137"/>
      <c r="AF1176" s="138"/>
      <c r="AG1176" s="138"/>
      <c r="AH1176" s="592" t="str">
        <f t="shared" si="650"/>
        <v/>
      </c>
      <c r="AI1176" s="592" t="str">
        <f t="shared" si="651"/>
        <v/>
      </c>
      <c r="AJ1176" s="592" t="str">
        <f t="shared" si="652"/>
        <v/>
      </c>
      <c r="AK1176" s="460" t="str">
        <f>IF(AU1176="","",IF(OR(AZ1176=8,AZ1176=9),0,IF(OR(AW1176=3,AW1176=4,AW1176=5,AW1176=6),IF(LEFT(BF1176,1)="1",INDEX(係数_NOX・PM低減,MATCH(AY1176,【参考】排出係数!$AI$801:$AI$804,1),1),VLOOKUP(AU1176,INDEX((係数_バス貨物_ガソリン,係数_バス貨物_CNG,係数_バス貨物_軽油,係数_バス貨物_メタノール,係数_バス貨物_LPG),MATCH(AY1176,【参考】排出係数!$AI$4:$AI$671,1),1,BE1176):INDEX((係数_バス貨物_ガソリン,係数_バス貨物_CNG,係数_バス貨物_軽油,係数_バス貨物_メタノール,係数_バス貨物_LPG),MATCH(AY1176+1,【参考】排出係数!$AI$4:$AI$671,1)-1,5,BE1176),4,FALSE)),IF(AND(BE1176=3,LEFT(BF1176,1)="1"),0.48,VLOOKUP(AU1176,INDEX((係数_乗用_ガソリン,係数_乗用_CNG,係数_乗用_軽油,係数_乗用_メタノール,係数_乗用_LPG),1,1,BE1176):INDEX((係数_乗用_ガソリン,係数_乗用_CNG,係数_乗用_軽油,係数_乗用_メタノール,係数_乗用_LPG),125,5,BE1176),4,FALSE)))))</f>
        <v/>
      </c>
      <c r="AL1176" s="461" t="str">
        <f t="shared" si="653"/>
        <v/>
      </c>
      <c r="AM1176" s="460" t="str">
        <f>IF(AU1176="","",IF(OR(AZ1176=8,AZ1176=9),0,IF(OR(AW1176=3,AW1176=4,AW1176=5,AW1176=6),IF(LEFT(BH1176,1)="1",INDEX(係数_PM低減,MATCH(AY1176,【参考】排出係数!$AI$801:$AI$804,1),MATCH(BI1176,【参考】排出係数!$AL$798:$AO$798,1)),VLOOKUP(AU1176,INDEX((係数_バス貨物_ガソリン,係数_バス貨物_CNG,係数_バス貨物_軽油,係数_バス貨物_メタノール,係数_バス貨物_LPG),MATCH(AY1176,【参考】排出係数!$AI$4:$AI$671,1),1,BE1176):INDEX((係数_バス貨物_ガソリン,係数_バス貨物_CNG,係数_バス貨物_軽油,係数_バス貨物_メタノール,係数_バス貨物_LPG),MATCH(AY1176+1,【参考】排出係数!$AI$4:$AI$671,1)-1,5,BE1176),5,FALSE)),IF(AND(BE1176=3,LEFT(BF1176,1)="1"),0.055,VLOOKUP(AU1176,INDEX((係数_乗用_ガソリン,係数_乗用_CNG,係数_乗用_軽油,係数_乗用_メタノール,係数_乗用_LPG),1,1,BE1176):INDEX((係数_乗用_ガソリン,係数_乗用_CNG,係数_乗用_軽油,係数_乗用_メタノール,係数_乗用_LPG),125,5,BE1176),5,FALSE)))))</f>
        <v/>
      </c>
      <c r="AN1176" s="461" t="str">
        <f t="shared" si="654"/>
        <v/>
      </c>
      <c r="AO1176" s="462" t="str">
        <f t="shared" si="655"/>
        <v/>
      </c>
      <c r="AP1176" s="463" t="str">
        <f t="shared" si="656"/>
        <v/>
      </c>
      <c r="AQ1176" s="464"/>
      <c r="AR1176" s="619"/>
      <c r="AS1176" s="465" t="str">
        <f t="shared" si="664"/>
        <v/>
      </c>
      <c r="AT1176" s="465" t="str">
        <f t="shared" si="665"/>
        <v/>
      </c>
      <c r="AU1176" s="466" t="str">
        <f t="shared" si="666"/>
        <v/>
      </c>
      <c r="AV1176" s="467" t="str">
        <f t="shared" si="667"/>
        <v/>
      </c>
      <c r="AW1176" s="467" t="str">
        <f t="shared" si="668"/>
        <v/>
      </c>
      <c r="AX1176" s="467" t="str">
        <f t="shared" si="669"/>
        <v/>
      </c>
      <c r="AY1176" s="467" t="str">
        <f t="shared" si="670"/>
        <v/>
      </c>
      <c r="AZ1176" s="467" t="str">
        <f t="shared" si="671"/>
        <v/>
      </c>
      <c r="BA1176" s="468" t="str">
        <f>IF(AS1176="","",IF(OR(AU1176="",AU1176="-"),"－",IF(OR(AZ1176=8,AZ1176=9),"",IF(OR(AW1176=3,AW1176=4,AW1176=5,AW1176=6),VLOOKUP(AU1176,INDEX((係数_バス貨物_ガソリン,係数_バス貨物_CNG,係数_バス貨物_軽油,係数_バス貨物_メタノール,係数_バス貨物_LPG),MATCH(AY1176,【参考】排出係数!$AI$4:$AI$671,1),1,BE1176):INDEX((係数_バス貨物_ガソリン,係数_バス貨物_CNG,係数_バス貨物_軽油,係数_バス貨物_メタノール,係数_バス貨物_LPG),MATCH(AY1176+1,【参考】排出係数!$AI$4:$AI$671,1)-1,5,BE1176),2,FALSE),IF(OR(AW1176=1,AW1176=2),VLOOKUP(AU1176,INDEX((係数_乗用_ガソリン,係数_乗用_CNG,係数_乗用_軽油,係数_乗用_メタノール,係数_乗用_LPG),1,1,BE1176):INDEX((係数_乗用_ガソリン,係数_乗用_CNG,係数_乗用_軽油,係数_乗用_メタノール,係数_乗用_LPG),125,5,BE1176),2,FALSE))))))</f>
        <v/>
      </c>
      <c r="BB1176" s="468" t="str">
        <f>IF(T1176="","",IF(OR(AU1176="",AU1176="-"),"－",IF(OR(AZ1176=8,AZ1176=9),"",IF(OR(AW1176=3,AW1176=4,AW1176=5,AW1176=6),VLOOKUP(AU1176,INDEX((係数_バス貨物_ガソリン,係数_バス貨物_CNG,係数_バス貨物_軽油,係数_バス貨物_メタノール,係数_バス貨物_LPG),MATCH(AY1176,【参考】排出係数!$AI$4:$AI$671,1),1,BE1176):INDEX((係数_バス貨物_ガソリン,係数_バス貨物_CNG,係数_バス貨物_軽油,係数_バス貨物_メタノール,係数_バス貨物_LPG),MATCH(AY1176+1,【参考】排出係数!$AI$4:$AI$671,1)-1,5,BE1176),3,FALSE),IF(OR(AW1176=1,AW1176=2),VLOOKUP(AU1176,INDEX((係数_乗用_ガソリン,係数_乗用_CNG,係数_乗用_軽油,係数_乗用_メタノール,係数_乗用_LPG),1,1,BE1176):INDEX((係数_乗用_ガソリン,係数_乗用_CNG,係数_乗用_軽油,係数_乗用_メタノール,係数_乗用_LPG),125,5,BE1176),3,FALSE))))))</f>
        <v/>
      </c>
      <c r="BC1176" s="467" t="str">
        <f t="shared" si="672"/>
        <v/>
      </c>
      <c r="BD1176" s="567" t="str">
        <f t="shared" si="673"/>
        <v/>
      </c>
      <c r="BE1176" s="467" t="str">
        <f t="shared" si="674"/>
        <v/>
      </c>
      <c r="BF1176" s="469" t="str">
        <f t="shared" ca="1" si="675"/>
        <v/>
      </c>
      <c r="BG1176" s="469" t="str">
        <f t="shared" ca="1" si="676"/>
        <v/>
      </c>
      <c r="BH1176" s="467" t="str">
        <f t="shared" si="677"/>
        <v/>
      </c>
      <c r="BI1176" s="467" t="str">
        <f t="shared" ca="1" si="678"/>
        <v/>
      </c>
      <c r="BJ1176" s="469" t="str">
        <f t="shared" si="679"/>
        <v/>
      </c>
      <c r="BK1176" s="470" t="str">
        <f t="shared" si="663"/>
        <v/>
      </c>
      <c r="BL1176" s="775" t="str">
        <f t="shared" si="680"/>
        <v/>
      </c>
      <c r="BM1176" s="775" t="str">
        <f t="shared" si="681"/>
        <v/>
      </c>
    </row>
    <row r="1177" spans="1:65">
      <c r="A1177" s="473">
        <v>1121</v>
      </c>
      <c r="B1177" s="132"/>
      <c r="C1177" s="332"/>
      <c r="D1177" s="333"/>
      <c r="E1177" s="333"/>
      <c r="F1177" s="334"/>
      <c r="G1177" s="337"/>
      <c r="H1177" s="131"/>
      <c r="I1177" s="337"/>
      <c r="J1177" s="131"/>
      <c r="K1177" s="458" t="str">
        <f t="shared" si="644"/>
        <v/>
      </c>
      <c r="L1177" s="458">
        <f t="shared" si="645"/>
        <v>0</v>
      </c>
      <c r="M1177" s="458">
        <f t="shared" si="646"/>
        <v>0</v>
      </c>
      <c r="N1177" s="459" t="str">
        <f t="shared" si="657"/>
        <v/>
      </c>
      <c r="O1177" s="459" t="str">
        <f t="shared" si="658"/>
        <v/>
      </c>
      <c r="P1177" s="459" t="str">
        <f t="shared" si="659"/>
        <v/>
      </c>
      <c r="Q1177" s="459" t="str">
        <f t="shared" si="660"/>
        <v/>
      </c>
      <c r="R1177" s="459" t="str">
        <f t="shared" si="661"/>
        <v/>
      </c>
      <c r="S1177" s="459" t="str">
        <f t="shared" si="662"/>
        <v/>
      </c>
      <c r="T1177" s="566" t="str">
        <f t="shared" si="647"/>
        <v/>
      </c>
      <c r="U1177" s="702"/>
      <c r="V1177" s="132"/>
      <c r="W1177" s="133"/>
      <c r="X1177" s="134"/>
      <c r="Y1177" s="135"/>
      <c r="Z1177" s="137"/>
      <c r="AA1177" s="136"/>
      <c r="AB1177" s="566" t="str">
        <f t="shared" si="648"/>
        <v/>
      </c>
      <c r="AC1177" s="568" t="str">
        <f t="shared" si="649"/>
        <v/>
      </c>
      <c r="AD1177" s="137"/>
      <c r="AE1177" s="137"/>
      <c r="AF1177" s="138"/>
      <c r="AG1177" s="138"/>
      <c r="AH1177" s="592" t="str">
        <f t="shared" si="650"/>
        <v/>
      </c>
      <c r="AI1177" s="592" t="str">
        <f t="shared" si="651"/>
        <v/>
      </c>
      <c r="AJ1177" s="592" t="str">
        <f t="shared" si="652"/>
        <v/>
      </c>
      <c r="AK1177" s="460" t="str">
        <f>IF(AU1177="","",IF(OR(AZ1177=8,AZ1177=9),0,IF(OR(AW1177=3,AW1177=4,AW1177=5,AW1177=6),IF(LEFT(BF1177,1)="1",INDEX(係数_NOX・PM低減,MATCH(AY1177,【参考】排出係数!$AI$801:$AI$804,1),1),VLOOKUP(AU1177,INDEX((係数_バス貨物_ガソリン,係数_バス貨物_CNG,係数_バス貨物_軽油,係数_バス貨物_メタノール,係数_バス貨物_LPG),MATCH(AY1177,【参考】排出係数!$AI$4:$AI$671,1),1,BE1177):INDEX((係数_バス貨物_ガソリン,係数_バス貨物_CNG,係数_バス貨物_軽油,係数_バス貨物_メタノール,係数_バス貨物_LPG),MATCH(AY1177+1,【参考】排出係数!$AI$4:$AI$671,1)-1,5,BE1177),4,FALSE)),IF(AND(BE1177=3,LEFT(BF1177,1)="1"),0.48,VLOOKUP(AU1177,INDEX((係数_乗用_ガソリン,係数_乗用_CNG,係数_乗用_軽油,係数_乗用_メタノール,係数_乗用_LPG),1,1,BE1177):INDEX((係数_乗用_ガソリン,係数_乗用_CNG,係数_乗用_軽油,係数_乗用_メタノール,係数_乗用_LPG),125,5,BE1177),4,FALSE)))))</f>
        <v/>
      </c>
      <c r="AL1177" s="461" t="str">
        <f t="shared" si="653"/>
        <v/>
      </c>
      <c r="AM1177" s="460" t="str">
        <f>IF(AU1177="","",IF(OR(AZ1177=8,AZ1177=9),0,IF(OR(AW1177=3,AW1177=4,AW1177=5,AW1177=6),IF(LEFT(BH1177,1)="1",INDEX(係数_PM低減,MATCH(AY1177,【参考】排出係数!$AI$801:$AI$804,1),MATCH(BI1177,【参考】排出係数!$AL$798:$AO$798,1)),VLOOKUP(AU1177,INDEX((係数_バス貨物_ガソリン,係数_バス貨物_CNG,係数_バス貨物_軽油,係数_バス貨物_メタノール,係数_バス貨物_LPG),MATCH(AY1177,【参考】排出係数!$AI$4:$AI$671,1),1,BE1177):INDEX((係数_バス貨物_ガソリン,係数_バス貨物_CNG,係数_バス貨物_軽油,係数_バス貨物_メタノール,係数_バス貨物_LPG),MATCH(AY1177+1,【参考】排出係数!$AI$4:$AI$671,1)-1,5,BE1177),5,FALSE)),IF(AND(BE1177=3,LEFT(BF1177,1)="1"),0.055,VLOOKUP(AU1177,INDEX((係数_乗用_ガソリン,係数_乗用_CNG,係数_乗用_軽油,係数_乗用_メタノール,係数_乗用_LPG),1,1,BE1177):INDEX((係数_乗用_ガソリン,係数_乗用_CNG,係数_乗用_軽油,係数_乗用_メタノール,係数_乗用_LPG),125,5,BE1177),5,FALSE)))))</f>
        <v/>
      </c>
      <c r="AN1177" s="461" t="str">
        <f t="shared" si="654"/>
        <v/>
      </c>
      <c r="AO1177" s="462" t="str">
        <f t="shared" si="655"/>
        <v/>
      </c>
      <c r="AP1177" s="463" t="str">
        <f t="shared" si="656"/>
        <v/>
      </c>
      <c r="AQ1177" s="464"/>
      <c r="AR1177" s="619"/>
      <c r="AS1177" s="465" t="str">
        <f t="shared" si="664"/>
        <v/>
      </c>
      <c r="AT1177" s="465" t="str">
        <f t="shared" si="665"/>
        <v/>
      </c>
      <c r="AU1177" s="466" t="str">
        <f t="shared" si="666"/>
        <v/>
      </c>
      <c r="AV1177" s="467" t="str">
        <f t="shared" si="667"/>
        <v/>
      </c>
      <c r="AW1177" s="467" t="str">
        <f t="shared" si="668"/>
        <v/>
      </c>
      <c r="AX1177" s="467" t="str">
        <f t="shared" si="669"/>
        <v/>
      </c>
      <c r="AY1177" s="467" t="str">
        <f t="shared" si="670"/>
        <v/>
      </c>
      <c r="AZ1177" s="467" t="str">
        <f t="shared" si="671"/>
        <v/>
      </c>
      <c r="BA1177" s="468" t="str">
        <f>IF(AS1177="","",IF(OR(AU1177="",AU1177="-"),"－",IF(OR(AZ1177=8,AZ1177=9),"",IF(OR(AW1177=3,AW1177=4,AW1177=5,AW1177=6),VLOOKUP(AU1177,INDEX((係数_バス貨物_ガソリン,係数_バス貨物_CNG,係数_バス貨物_軽油,係数_バス貨物_メタノール,係数_バス貨物_LPG),MATCH(AY1177,【参考】排出係数!$AI$4:$AI$671,1),1,BE1177):INDEX((係数_バス貨物_ガソリン,係数_バス貨物_CNG,係数_バス貨物_軽油,係数_バス貨物_メタノール,係数_バス貨物_LPG),MATCH(AY1177+1,【参考】排出係数!$AI$4:$AI$671,1)-1,5,BE1177),2,FALSE),IF(OR(AW1177=1,AW1177=2),VLOOKUP(AU1177,INDEX((係数_乗用_ガソリン,係数_乗用_CNG,係数_乗用_軽油,係数_乗用_メタノール,係数_乗用_LPG),1,1,BE1177):INDEX((係数_乗用_ガソリン,係数_乗用_CNG,係数_乗用_軽油,係数_乗用_メタノール,係数_乗用_LPG),125,5,BE1177),2,FALSE))))))</f>
        <v/>
      </c>
      <c r="BB1177" s="468" t="str">
        <f>IF(T1177="","",IF(OR(AU1177="",AU1177="-"),"－",IF(OR(AZ1177=8,AZ1177=9),"",IF(OR(AW1177=3,AW1177=4,AW1177=5,AW1177=6),VLOOKUP(AU1177,INDEX((係数_バス貨物_ガソリン,係数_バス貨物_CNG,係数_バス貨物_軽油,係数_バス貨物_メタノール,係数_バス貨物_LPG),MATCH(AY1177,【参考】排出係数!$AI$4:$AI$671,1),1,BE1177):INDEX((係数_バス貨物_ガソリン,係数_バス貨物_CNG,係数_バス貨物_軽油,係数_バス貨物_メタノール,係数_バス貨物_LPG),MATCH(AY1177+1,【参考】排出係数!$AI$4:$AI$671,1)-1,5,BE1177),3,FALSE),IF(OR(AW1177=1,AW1177=2),VLOOKUP(AU1177,INDEX((係数_乗用_ガソリン,係数_乗用_CNG,係数_乗用_軽油,係数_乗用_メタノール,係数_乗用_LPG),1,1,BE1177):INDEX((係数_乗用_ガソリン,係数_乗用_CNG,係数_乗用_軽油,係数_乗用_メタノール,係数_乗用_LPG),125,5,BE1177),3,FALSE))))))</f>
        <v/>
      </c>
      <c r="BC1177" s="467" t="str">
        <f t="shared" si="672"/>
        <v/>
      </c>
      <c r="BD1177" s="567" t="str">
        <f t="shared" si="673"/>
        <v/>
      </c>
      <c r="BE1177" s="467" t="str">
        <f t="shared" si="674"/>
        <v/>
      </c>
      <c r="BF1177" s="469" t="str">
        <f t="shared" ca="1" si="675"/>
        <v/>
      </c>
      <c r="BG1177" s="469" t="str">
        <f t="shared" ca="1" si="676"/>
        <v/>
      </c>
      <c r="BH1177" s="467" t="str">
        <f t="shared" si="677"/>
        <v/>
      </c>
      <c r="BI1177" s="467" t="str">
        <f t="shared" ca="1" si="678"/>
        <v/>
      </c>
      <c r="BJ1177" s="469" t="str">
        <f t="shared" si="679"/>
        <v/>
      </c>
      <c r="BK1177" s="470" t="str">
        <f t="shared" si="663"/>
        <v/>
      </c>
      <c r="BL1177" s="775" t="str">
        <f t="shared" si="680"/>
        <v/>
      </c>
      <c r="BM1177" s="775" t="str">
        <f t="shared" si="681"/>
        <v/>
      </c>
    </row>
    <row r="1178" spans="1:65">
      <c r="A1178" s="473">
        <v>1122</v>
      </c>
      <c r="B1178" s="132"/>
      <c r="C1178" s="332"/>
      <c r="D1178" s="333"/>
      <c r="E1178" s="333"/>
      <c r="F1178" s="334"/>
      <c r="G1178" s="337"/>
      <c r="H1178" s="131"/>
      <c r="I1178" s="337"/>
      <c r="J1178" s="131"/>
      <c r="K1178" s="458" t="str">
        <f t="shared" si="644"/>
        <v/>
      </c>
      <c r="L1178" s="458">
        <f t="shared" si="645"/>
        <v>0</v>
      </c>
      <c r="M1178" s="458">
        <f t="shared" si="646"/>
        <v>0</v>
      </c>
      <c r="N1178" s="459" t="str">
        <f t="shared" si="657"/>
        <v/>
      </c>
      <c r="O1178" s="459" t="str">
        <f t="shared" si="658"/>
        <v/>
      </c>
      <c r="P1178" s="459" t="str">
        <f t="shared" si="659"/>
        <v/>
      </c>
      <c r="Q1178" s="459" t="str">
        <f t="shared" si="660"/>
        <v/>
      </c>
      <c r="R1178" s="459" t="str">
        <f t="shared" si="661"/>
        <v/>
      </c>
      <c r="S1178" s="459" t="str">
        <f t="shared" si="662"/>
        <v/>
      </c>
      <c r="T1178" s="566" t="str">
        <f t="shared" si="647"/>
        <v/>
      </c>
      <c r="U1178" s="702"/>
      <c r="V1178" s="132"/>
      <c r="W1178" s="133"/>
      <c r="X1178" s="134"/>
      <c r="Y1178" s="135"/>
      <c r="Z1178" s="137"/>
      <c r="AA1178" s="136"/>
      <c r="AB1178" s="566" t="str">
        <f t="shared" si="648"/>
        <v/>
      </c>
      <c r="AC1178" s="568" t="str">
        <f t="shared" si="649"/>
        <v/>
      </c>
      <c r="AD1178" s="137"/>
      <c r="AE1178" s="137"/>
      <c r="AF1178" s="138"/>
      <c r="AG1178" s="138"/>
      <c r="AH1178" s="592" t="str">
        <f t="shared" si="650"/>
        <v/>
      </c>
      <c r="AI1178" s="592" t="str">
        <f t="shared" si="651"/>
        <v/>
      </c>
      <c r="AJ1178" s="592" t="str">
        <f t="shared" si="652"/>
        <v/>
      </c>
      <c r="AK1178" s="460" t="str">
        <f>IF(AU1178="","",IF(OR(AZ1178=8,AZ1178=9),0,IF(OR(AW1178=3,AW1178=4,AW1178=5,AW1178=6),IF(LEFT(BF1178,1)="1",INDEX(係数_NOX・PM低減,MATCH(AY1178,【参考】排出係数!$AI$801:$AI$804,1),1),VLOOKUP(AU1178,INDEX((係数_バス貨物_ガソリン,係数_バス貨物_CNG,係数_バス貨物_軽油,係数_バス貨物_メタノール,係数_バス貨物_LPG),MATCH(AY1178,【参考】排出係数!$AI$4:$AI$671,1),1,BE1178):INDEX((係数_バス貨物_ガソリン,係数_バス貨物_CNG,係数_バス貨物_軽油,係数_バス貨物_メタノール,係数_バス貨物_LPG),MATCH(AY1178+1,【参考】排出係数!$AI$4:$AI$671,1)-1,5,BE1178),4,FALSE)),IF(AND(BE1178=3,LEFT(BF1178,1)="1"),0.48,VLOOKUP(AU1178,INDEX((係数_乗用_ガソリン,係数_乗用_CNG,係数_乗用_軽油,係数_乗用_メタノール,係数_乗用_LPG),1,1,BE1178):INDEX((係数_乗用_ガソリン,係数_乗用_CNG,係数_乗用_軽油,係数_乗用_メタノール,係数_乗用_LPG),125,5,BE1178),4,FALSE)))))</f>
        <v/>
      </c>
      <c r="AL1178" s="461" t="str">
        <f t="shared" si="653"/>
        <v/>
      </c>
      <c r="AM1178" s="460" t="str">
        <f>IF(AU1178="","",IF(OR(AZ1178=8,AZ1178=9),0,IF(OR(AW1178=3,AW1178=4,AW1178=5,AW1178=6),IF(LEFT(BH1178,1)="1",INDEX(係数_PM低減,MATCH(AY1178,【参考】排出係数!$AI$801:$AI$804,1),MATCH(BI1178,【参考】排出係数!$AL$798:$AO$798,1)),VLOOKUP(AU1178,INDEX((係数_バス貨物_ガソリン,係数_バス貨物_CNG,係数_バス貨物_軽油,係数_バス貨物_メタノール,係数_バス貨物_LPG),MATCH(AY1178,【参考】排出係数!$AI$4:$AI$671,1),1,BE1178):INDEX((係数_バス貨物_ガソリン,係数_バス貨物_CNG,係数_バス貨物_軽油,係数_バス貨物_メタノール,係数_バス貨物_LPG),MATCH(AY1178+1,【参考】排出係数!$AI$4:$AI$671,1)-1,5,BE1178),5,FALSE)),IF(AND(BE1178=3,LEFT(BF1178,1)="1"),0.055,VLOOKUP(AU1178,INDEX((係数_乗用_ガソリン,係数_乗用_CNG,係数_乗用_軽油,係数_乗用_メタノール,係数_乗用_LPG),1,1,BE1178):INDEX((係数_乗用_ガソリン,係数_乗用_CNG,係数_乗用_軽油,係数_乗用_メタノール,係数_乗用_LPG),125,5,BE1178),5,FALSE)))))</f>
        <v/>
      </c>
      <c r="AN1178" s="461" t="str">
        <f t="shared" si="654"/>
        <v/>
      </c>
      <c r="AO1178" s="462" t="str">
        <f t="shared" si="655"/>
        <v/>
      </c>
      <c r="AP1178" s="463" t="str">
        <f t="shared" si="656"/>
        <v/>
      </c>
      <c r="AQ1178" s="464"/>
      <c r="AR1178" s="619"/>
      <c r="AS1178" s="465" t="str">
        <f t="shared" si="664"/>
        <v/>
      </c>
      <c r="AT1178" s="465" t="str">
        <f t="shared" si="665"/>
        <v/>
      </c>
      <c r="AU1178" s="466" t="str">
        <f t="shared" si="666"/>
        <v/>
      </c>
      <c r="AV1178" s="467" t="str">
        <f t="shared" si="667"/>
        <v/>
      </c>
      <c r="AW1178" s="467" t="str">
        <f t="shared" si="668"/>
        <v/>
      </c>
      <c r="AX1178" s="467" t="str">
        <f t="shared" si="669"/>
        <v/>
      </c>
      <c r="AY1178" s="467" t="str">
        <f t="shared" si="670"/>
        <v/>
      </c>
      <c r="AZ1178" s="467" t="str">
        <f t="shared" si="671"/>
        <v/>
      </c>
      <c r="BA1178" s="468" t="str">
        <f>IF(AS1178="","",IF(OR(AU1178="",AU1178="-"),"－",IF(OR(AZ1178=8,AZ1178=9),"",IF(OR(AW1178=3,AW1178=4,AW1178=5,AW1178=6),VLOOKUP(AU1178,INDEX((係数_バス貨物_ガソリン,係数_バス貨物_CNG,係数_バス貨物_軽油,係数_バス貨物_メタノール,係数_バス貨物_LPG),MATCH(AY1178,【参考】排出係数!$AI$4:$AI$671,1),1,BE1178):INDEX((係数_バス貨物_ガソリン,係数_バス貨物_CNG,係数_バス貨物_軽油,係数_バス貨物_メタノール,係数_バス貨物_LPG),MATCH(AY1178+1,【参考】排出係数!$AI$4:$AI$671,1)-1,5,BE1178),2,FALSE),IF(OR(AW1178=1,AW1178=2),VLOOKUP(AU1178,INDEX((係数_乗用_ガソリン,係数_乗用_CNG,係数_乗用_軽油,係数_乗用_メタノール,係数_乗用_LPG),1,1,BE1178):INDEX((係数_乗用_ガソリン,係数_乗用_CNG,係数_乗用_軽油,係数_乗用_メタノール,係数_乗用_LPG),125,5,BE1178),2,FALSE))))))</f>
        <v/>
      </c>
      <c r="BB1178" s="468" t="str">
        <f>IF(T1178="","",IF(OR(AU1178="",AU1178="-"),"－",IF(OR(AZ1178=8,AZ1178=9),"",IF(OR(AW1178=3,AW1178=4,AW1178=5,AW1178=6),VLOOKUP(AU1178,INDEX((係数_バス貨物_ガソリン,係数_バス貨物_CNG,係数_バス貨物_軽油,係数_バス貨物_メタノール,係数_バス貨物_LPG),MATCH(AY1178,【参考】排出係数!$AI$4:$AI$671,1),1,BE1178):INDEX((係数_バス貨物_ガソリン,係数_バス貨物_CNG,係数_バス貨物_軽油,係数_バス貨物_メタノール,係数_バス貨物_LPG),MATCH(AY1178+1,【参考】排出係数!$AI$4:$AI$671,1)-1,5,BE1178),3,FALSE),IF(OR(AW1178=1,AW1178=2),VLOOKUP(AU1178,INDEX((係数_乗用_ガソリン,係数_乗用_CNG,係数_乗用_軽油,係数_乗用_メタノール,係数_乗用_LPG),1,1,BE1178):INDEX((係数_乗用_ガソリン,係数_乗用_CNG,係数_乗用_軽油,係数_乗用_メタノール,係数_乗用_LPG),125,5,BE1178),3,FALSE))))))</f>
        <v/>
      </c>
      <c r="BC1178" s="467" t="str">
        <f t="shared" si="672"/>
        <v/>
      </c>
      <c r="BD1178" s="567" t="str">
        <f t="shared" si="673"/>
        <v/>
      </c>
      <c r="BE1178" s="467" t="str">
        <f t="shared" si="674"/>
        <v/>
      </c>
      <c r="BF1178" s="469" t="str">
        <f t="shared" ca="1" si="675"/>
        <v/>
      </c>
      <c r="BG1178" s="469" t="str">
        <f t="shared" ca="1" si="676"/>
        <v/>
      </c>
      <c r="BH1178" s="467" t="str">
        <f t="shared" si="677"/>
        <v/>
      </c>
      <c r="BI1178" s="467" t="str">
        <f t="shared" ca="1" si="678"/>
        <v/>
      </c>
      <c r="BJ1178" s="469" t="str">
        <f t="shared" si="679"/>
        <v/>
      </c>
      <c r="BK1178" s="470" t="str">
        <f t="shared" si="663"/>
        <v/>
      </c>
      <c r="BL1178" s="775" t="str">
        <f t="shared" si="680"/>
        <v/>
      </c>
      <c r="BM1178" s="775" t="str">
        <f t="shared" si="681"/>
        <v/>
      </c>
    </row>
    <row r="1179" spans="1:65">
      <c r="A1179" s="473">
        <v>1123</v>
      </c>
      <c r="B1179" s="132"/>
      <c r="C1179" s="332"/>
      <c r="D1179" s="333"/>
      <c r="E1179" s="333"/>
      <c r="F1179" s="334"/>
      <c r="G1179" s="337"/>
      <c r="H1179" s="131"/>
      <c r="I1179" s="337"/>
      <c r="J1179" s="131"/>
      <c r="K1179" s="458" t="str">
        <f t="shared" si="644"/>
        <v/>
      </c>
      <c r="L1179" s="458">
        <f t="shared" si="645"/>
        <v>0</v>
      </c>
      <c r="M1179" s="458">
        <f t="shared" si="646"/>
        <v>0</v>
      </c>
      <c r="N1179" s="459" t="str">
        <f t="shared" si="657"/>
        <v/>
      </c>
      <c r="O1179" s="459" t="str">
        <f t="shared" si="658"/>
        <v/>
      </c>
      <c r="P1179" s="459" t="str">
        <f t="shared" si="659"/>
        <v/>
      </c>
      <c r="Q1179" s="459" t="str">
        <f t="shared" si="660"/>
        <v/>
      </c>
      <c r="R1179" s="459" t="str">
        <f t="shared" si="661"/>
        <v/>
      </c>
      <c r="S1179" s="459" t="str">
        <f t="shared" si="662"/>
        <v/>
      </c>
      <c r="T1179" s="566" t="str">
        <f t="shared" si="647"/>
        <v/>
      </c>
      <c r="U1179" s="702"/>
      <c r="V1179" s="132"/>
      <c r="W1179" s="133"/>
      <c r="X1179" s="134"/>
      <c r="Y1179" s="135"/>
      <c r="Z1179" s="137"/>
      <c r="AA1179" s="136"/>
      <c r="AB1179" s="566" t="str">
        <f t="shared" si="648"/>
        <v/>
      </c>
      <c r="AC1179" s="568" t="str">
        <f t="shared" si="649"/>
        <v/>
      </c>
      <c r="AD1179" s="137"/>
      <c r="AE1179" s="137"/>
      <c r="AF1179" s="138"/>
      <c r="AG1179" s="138"/>
      <c r="AH1179" s="592" t="str">
        <f t="shared" si="650"/>
        <v/>
      </c>
      <c r="AI1179" s="592" t="str">
        <f t="shared" si="651"/>
        <v/>
      </c>
      <c r="AJ1179" s="592" t="str">
        <f t="shared" si="652"/>
        <v/>
      </c>
      <c r="AK1179" s="460" t="str">
        <f>IF(AU1179="","",IF(OR(AZ1179=8,AZ1179=9),0,IF(OR(AW1179=3,AW1179=4,AW1179=5,AW1179=6),IF(LEFT(BF1179,1)="1",INDEX(係数_NOX・PM低減,MATCH(AY1179,【参考】排出係数!$AI$801:$AI$804,1),1),VLOOKUP(AU1179,INDEX((係数_バス貨物_ガソリン,係数_バス貨物_CNG,係数_バス貨物_軽油,係数_バス貨物_メタノール,係数_バス貨物_LPG),MATCH(AY1179,【参考】排出係数!$AI$4:$AI$671,1),1,BE1179):INDEX((係数_バス貨物_ガソリン,係数_バス貨物_CNG,係数_バス貨物_軽油,係数_バス貨物_メタノール,係数_バス貨物_LPG),MATCH(AY1179+1,【参考】排出係数!$AI$4:$AI$671,1)-1,5,BE1179),4,FALSE)),IF(AND(BE1179=3,LEFT(BF1179,1)="1"),0.48,VLOOKUP(AU1179,INDEX((係数_乗用_ガソリン,係数_乗用_CNG,係数_乗用_軽油,係数_乗用_メタノール,係数_乗用_LPG),1,1,BE1179):INDEX((係数_乗用_ガソリン,係数_乗用_CNG,係数_乗用_軽油,係数_乗用_メタノール,係数_乗用_LPG),125,5,BE1179),4,FALSE)))))</f>
        <v/>
      </c>
      <c r="AL1179" s="461" t="str">
        <f t="shared" si="653"/>
        <v/>
      </c>
      <c r="AM1179" s="460" t="str">
        <f>IF(AU1179="","",IF(OR(AZ1179=8,AZ1179=9),0,IF(OR(AW1179=3,AW1179=4,AW1179=5,AW1179=6),IF(LEFT(BH1179,1)="1",INDEX(係数_PM低減,MATCH(AY1179,【参考】排出係数!$AI$801:$AI$804,1),MATCH(BI1179,【参考】排出係数!$AL$798:$AO$798,1)),VLOOKUP(AU1179,INDEX((係数_バス貨物_ガソリン,係数_バス貨物_CNG,係数_バス貨物_軽油,係数_バス貨物_メタノール,係数_バス貨物_LPG),MATCH(AY1179,【参考】排出係数!$AI$4:$AI$671,1),1,BE1179):INDEX((係数_バス貨物_ガソリン,係数_バス貨物_CNG,係数_バス貨物_軽油,係数_バス貨物_メタノール,係数_バス貨物_LPG),MATCH(AY1179+1,【参考】排出係数!$AI$4:$AI$671,1)-1,5,BE1179),5,FALSE)),IF(AND(BE1179=3,LEFT(BF1179,1)="1"),0.055,VLOOKUP(AU1179,INDEX((係数_乗用_ガソリン,係数_乗用_CNG,係数_乗用_軽油,係数_乗用_メタノール,係数_乗用_LPG),1,1,BE1179):INDEX((係数_乗用_ガソリン,係数_乗用_CNG,係数_乗用_軽油,係数_乗用_メタノール,係数_乗用_LPG),125,5,BE1179),5,FALSE)))))</f>
        <v/>
      </c>
      <c r="AN1179" s="461" t="str">
        <f t="shared" si="654"/>
        <v/>
      </c>
      <c r="AO1179" s="462" t="str">
        <f t="shared" si="655"/>
        <v/>
      </c>
      <c r="AP1179" s="463" t="str">
        <f t="shared" si="656"/>
        <v/>
      </c>
      <c r="AQ1179" s="464"/>
      <c r="AR1179" s="619"/>
      <c r="AS1179" s="465" t="str">
        <f t="shared" si="664"/>
        <v/>
      </c>
      <c r="AT1179" s="465" t="str">
        <f t="shared" si="665"/>
        <v/>
      </c>
      <c r="AU1179" s="466" t="str">
        <f t="shared" si="666"/>
        <v/>
      </c>
      <c r="AV1179" s="467" t="str">
        <f t="shared" si="667"/>
        <v/>
      </c>
      <c r="AW1179" s="467" t="str">
        <f t="shared" si="668"/>
        <v/>
      </c>
      <c r="AX1179" s="467" t="str">
        <f t="shared" si="669"/>
        <v/>
      </c>
      <c r="AY1179" s="467" t="str">
        <f t="shared" si="670"/>
        <v/>
      </c>
      <c r="AZ1179" s="467" t="str">
        <f t="shared" si="671"/>
        <v/>
      </c>
      <c r="BA1179" s="468" t="str">
        <f>IF(AS1179="","",IF(OR(AU1179="",AU1179="-"),"－",IF(OR(AZ1179=8,AZ1179=9),"",IF(OR(AW1179=3,AW1179=4,AW1179=5,AW1179=6),VLOOKUP(AU1179,INDEX((係数_バス貨物_ガソリン,係数_バス貨物_CNG,係数_バス貨物_軽油,係数_バス貨物_メタノール,係数_バス貨物_LPG),MATCH(AY1179,【参考】排出係数!$AI$4:$AI$671,1),1,BE1179):INDEX((係数_バス貨物_ガソリン,係数_バス貨物_CNG,係数_バス貨物_軽油,係数_バス貨物_メタノール,係数_バス貨物_LPG),MATCH(AY1179+1,【参考】排出係数!$AI$4:$AI$671,1)-1,5,BE1179),2,FALSE),IF(OR(AW1179=1,AW1179=2),VLOOKUP(AU1179,INDEX((係数_乗用_ガソリン,係数_乗用_CNG,係数_乗用_軽油,係数_乗用_メタノール,係数_乗用_LPG),1,1,BE1179):INDEX((係数_乗用_ガソリン,係数_乗用_CNG,係数_乗用_軽油,係数_乗用_メタノール,係数_乗用_LPG),125,5,BE1179),2,FALSE))))))</f>
        <v/>
      </c>
      <c r="BB1179" s="468" t="str">
        <f>IF(T1179="","",IF(OR(AU1179="",AU1179="-"),"－",IF(OR(AZ1179=8,AZ1179=9),"",IF(OR(AW1179=3,AW1179=4,AW1179=5,AW1179=6),VLOOKUP(AU1179,INDEX((係数_バス貨物_ガソリン,係数_バス貨物_CNG,係数_バス貨物_軽油,係数_バス貨物_メタノール,係数_バス貨物_LPG),MATCH(AY1179,【参考】排出係数!$AI$4:$AI$671,1),1,BE1179):INDEX((係数_バス貨物_ガソリン,係数_バス貨物_CNG,係数_バス貨物_軽油,係数_バス貨物_メタノール,係数_バス貨物_LPG),MATCH(AY1179+1,【参考】排出係数!$AI$4:$AI$671,1)-1,5,BE1179),3,FALSE),IF(OR(AW1179=1,AW1179=2),VLOOKUP(AU1179,INDEX((係数_乗用_ガソリン,係数_乗用_CNG,係数_乗用_軽油,係数_乗用_メタノール,係数_乗用_LPG),1,1,BE1179):INDEX((係数_乗用_ガソリン,係数_乗用_CNG,係数_乗用_軽油,係数_乗用_メタノール,係数_乗用_LPG),125,5,BE1179),3,FALSE))))))</f>
        <v/>
      </c>
      <c r="BC1179" s="467" t="str">
        <f t="shared" si="672"/>
        <v/>
      </c>
      <c r="BD1179" s="567" t="str">
        <f t="shared" si="673"/>
        <v/>
      </c>
      <c r="BE1179" s="467" t="str">
        <f t="shared" si="674"/>
        <v/>
      </c>
      <c r="BF1179" s="469" t="str">
        <f t="shared" ca="1" si="675"/>
        <v/>
      </c>
      <c r="BG1179" s="469" t="str">
        <f t="shared" ca="1" si="676"/>
        <v/>
      </c>
      <c r="BH1179" s="467" t="str">
        <f t="shared" si="677"/>
        <v/>
      </c>
      <c r="BI1179" s="467" t="str">
        <f t="shared" ca="1" si="678"/>
        <v/>
      </c>
      <c r="BJ1179" s="469" t="str">
        <f t="shared" si="679"/>
        <v/>
      </c>
      <c r="BK1179" s="470" t="str">
        <f t="shared" si="663"/>
        <v/>
      </c>
      <c r="BL1179" s="775" t="str">
        <f t="shared" si="680"/>
        <v/>
      </c>
      <c r="BM1179" s="775" t="str">
        <f t="shared" si="681"/>
        <v/>
      </c>
    </row>
    <row r="1180" spans="1:65">
      <c r="A1180" s="473">
        <v>1124</v>
      </c>
      <c r="B1180" s="132"/>
      <c r="C1180" s="332"/>
      <c r="D1180" s="333"/>
      <c r="E1180" s="333"/>
      <c r="F1180" s="334"/>
      <c r="G1180" s="337"/>
      <c r="H1180" s="131"/>
      <c r="I1180" s="337"/>
      <c r="J1180" s="131"/>
      <c r="K1180" s="458" t="str">
        <f t="shared" si="644"/>
        <v/>
      </c>
      <c r="L1180" s="458">
        <f t="shared" si="645"/>
        <v>0</v>
      </c>
      <c r="M1180" s="458">
        <f t="shared" si="646"/>
        <v>0</v>
      </c>
      <c r="N1180" s="459" t="str">
        <f t="shared" si="657"/>
        <v/>
      </c>
      <c r="O1180" s="459" t="str">
        <f t="shared" si="658"/>
        <v/>
      </c>
      <c r="P1180" s="459" t="str">
        <f t="shared" si="659"/>
        <v/>
      </c>
      <c r="Q1180" s="459" t="str">
        <f t="shared" si="660"/>
        <v/>
      </c>
      <c r="R1180" s="459" t="str">
        <f t="shared" si="661"/>
        <v/>
      </c>
      <c r="S1180" s="459" t="str">
        <f t="shared" si="662"/>
        <v/>
      </c>
      <c r="T1180" s="566" t="str">
        <f t="shared" si="647"/>
        <v/>
      </c>
      <c r="U1180" s="702"/>
      <c r="V1180" s="132"/>
      <c r="W1180" s="133"/>
      <c r="X1180" s="134"/>
      <c r="Y1180" s="135"/>
      <c r="Z1180" s="137"/>
      <c r="AA1180" s="136"/>
      <c r="AB1180" s="566" t="str">
        <f t="shared" si="648"/>
        <v/>
      </c>
      <c r="AC1180" s="568" t="str">
        <f t="shared" si="649"/>
        <v/>
      </c>
      <c r="AD1180" s="137"/>
      <c r="AE1180" s="137"/>
      <c r="AF1180" s="138"/>
      <c r="AG1180" s="138"/>
      <c r="AH1180" s="592" t="str">
        <f t="shared" si="650"/>
        <v/>
      </c>
      <c r="AI1180" s="592" t="str">
        <f t="shared" si="651"/>
        <v/>
      </c>
      <c r="AJ1180" s="592" t="str">
        <f t="shared" si="652"/>
        <v/>
      </c>
      <c r="AK1180" s="460" t="str">
        <f>IF(AU1180="","",IF(OR(AZ1180=8,AZ1180=9),0,IF(OR(AW1180=3,AW1180=4,AW1180=5,AW1180=6),IF(LEFT(BF1180,1)="1",INDEX(係数_NOX・PM低減,MATCH(AY1180,【参考】排出係数!$AI$801:$AI$804,1),1),VLOOKUP(AU1180,INDEX((係数_バス貨物_ガソリン,係数_バス貨物_CNG,係数_バス貨物_軽油,係数_バス貨物_メタノール,係数_バス貨物_LPG),MATCH(AY1180,【参考】排出係数!$AI$4:$AI$671,1),1,BE1180):INDEX((係数_バス貨物_ガソリン,係数_バス貨物_CNG,係数_バス貨物_軽油,係数_バス貨物_メタノール,係数_バス貨物_LPG),MATCH(AY1180+1,【参考】排出係数!$AI$4:$AI$671,1)-1,5,BE1180),4,FALSE)),IF(AND(BE1180=3,LEFT(BF1180,1)="1"),0.48,VLOOKUP(AU1180,INDEX((係数_乗用_ガソリン,係数_乗用_CNG,係数_乗用_軽油,係数_乗用_メタノール,係数_乗用_LPG),1,1,BE1180):INDEX((係数_乗用_ガソリン,係数_乗用_CNG,係数_乗用_軽油,係数_乗用_メタノール,係数_乗用_LPG),125,5,BE1180),4,FALSE)))))</f>
        <v/>
      </c>
      <c r="AL1180" s="461" t="str">
        <f t="shared" si="653"/>
        <v/>
      </c>
      <c r="AM1180" s="460" t="str">
        <f>IF(AU1180="","",IF(OR(AZ1180=8,AZ1180=9),0,IF(OR(AW1180=3,AW1180=4,AW1180=5,AW1180=6),IF(LEFT(BH1180,1)="1",INDEX(係数_PM低減,MATCH(AY1180,【参考】排出係数!$AI$801:$AI$804,1),MATCH(BI1180,【参考】排出係数!$AL$798:$AO$798,1)),VLOOKUP(AU1180,INDEX((係数_バス貨物_ガソリン,係数_バス貨物_CNG,係数_バス貨物_軽油,係数_バス貨物_メタノール,係数_バス貨物_LPG),MATCH(AY1180,【参考】排出係数!$AI$4:$AI$671,1),1,BE1180):INDEX((係数_バス貨物_ガソリン,係数_バス貨物_CNG,係数_バス貨物_軽油,係数_バス貨物_メタノール,係数_バス貨物_LPG),MATCH(AY1180+1,【参考】排出係数!$AI$4:$AI$671,1)-1,5,BE1180),5,FALSE)),IF(AND(BE1180=3,LEFT(BF1180,1)="1"),0.055,VLOOKUP(AU1180,INDEX((係数_乗用_ガソリン,係数_乗用_CNG,係数_乗用_軽油,係数_乗用_メタノール,係数_乗用_LPG),1,1,BE1180):INDEX((係数_乗用_ガソリン,係数_乗用_CNG,係数_乗用_軽油,係数_乗用_メタノール,係数_乗用_LPG),125,5,BE1180),5,FALSE)))))</f>
        <v/>
      </c>
      <c r="AN1180" s="461" t="str">
        <f t="shared" si="654"/>
        <v/>
      </c>
      <c r="AO1180" s="462" t="str">
        <f t="shared" si="655"/>
        <v/>
      </c>
      <c r="AP1180" s="463" t="str">
        <f t="shared" si="656"/>
        <v/>
      </c>
      <c r="AQ1180" s="464"/>
      <c r="AR1180" s="619"/>
      <c r="AS1180" s="465" t="str">
        <f t="shared" si="664"/>
        <v/>
      </c>
      <c r="AT1180" s="465" t="str">
        <f t="shared" si="665"/>
        <v/>
      </c>
      <c r="AU1180" s="466" t="str">
        <f t="shared" si="666"/>
        <v/>
      </c>
      <c r="AV1180" s="467" t="str">
        <f t="shared" si="667"/>
        <v/>
      </c>
      <c r="AW1180" s="467" t="str">
        <f t="shared" si="668"/>
        <v/>
      </c>
      <c r="AX1180" s="467" t="str">
        <f t="shared" si="669"/>
        <v/>
      </c>
      <c r="AY1180" s="467" t="str">
        <f t="shared" si="670"/>
        <v/>
      </c>
      <c r="AZ1180" s="467" t="str">
        <f t="shared" si="671"/>
        <v/>
      </c>
      <c r="BA1180" s="468" t="str">
        <f>IF(AS1180="","",IF(OR(AU1180="",AU1180="-"),"－",IF(OR(AZ1180=8,AZ1180=9),"",IF(OR(AW1180=3,AW1180=4,AW1180=5,AW1180=6),VLOOKUP(AU1180,INDEX((係数_バス貨物_ガソリン,係数_バス貨物_CNG,係数_バス貨物_軽油,係数_バス貨物_メタノール,係数_バス貨物_LPG),MATCH(AY1180,【参考】排出係数!$AI$4:$AI$671,1),1,BE1180):INDEX((係数_バス貨物_ガソリン,係数_バス貨物_CNG,係数_バス貨物_軽油,係数_バス貨物_メタノール,係数_バス貨物_LPG),MATCH(AY1180+1,【参考】排出係数!$AI$4:$AI$671,1)-1,5,BE1180),2,FALSE),IF(OR(AW1180=1,AW1180=2),VLOOKUP(AU1180,INDEX((係数_乗用_ガソリン,係数_乗用_CNG,係数_乗用_軽油,係数_乗用_メタノール,係数_乗用_LPG),1,1,BE1180):INDEX((係数_乗用_ガソリン,係数_乗用_CNG,係数_乗用_軽油,係数_乗用_メタノール,係数_乗用_LPG),125,5,BE1180),2,FALSE))))))</f>
        <v/>
      </c>
      <c r="BB1180" s="468" t="str">
        <f>IF(T1180="","",IF(OR(AU1180="",AU1180="-"),"－",IF(OR(AZ1180=8,AZ1180=9),"",IF(OR(AW1180=3,AW1180=4,AW1180=5,AW1180=6),VLOOKUP(AU1180,INDEX((係数_バス貨物_ガソリン,係数_バス貨物_CNG,係数_バス貨物_軽油,係数_バス貨物_メタノール,係数_バス貨物_LPG),MATCH(AY1180,【参考】排出係数!$AI$4:$AI$671,1),1,BE1180):INDEX((係数_バス貨物_ガソリン,係数_バス貨物_CNG,係数_バス貨物_軽油,係数_バス貨物_メタノール,係数_バス貨物_LPG),MATCH(AY1180+1,【参考】排出係数!$AI$4:$AI$671,1)-1,5,BE1180),3,FALSE),IF(OR(AW1180=1,AW1180=2),VLOOKUP(AU1180,INDEX((係数_乗用_ガソリン,係数_乗用_CNG,係数_乗用_軽油,係数_乗用_メタノール,係数_乗用_LPG),1,1,BE1180):INDEX((係数_乗用_ガソリン,係数_乗用_CNG,係数_乗用_軽油,係数_乗用_メタノール,係数_乗用_LPG),125,5,BE1180),3,FALSE))))))</f>
        <v/>
      </c>
      <c r="BC1180" s="467" t="str">
        <f t="shared" si="672"/>
        <v/>
      </c>
      <c r="BD1180" s="567" t="str">
        <f t="shared" si="673"/>
        <v/>
      </c>
      <c r="BE1180" s="467" t="str">
        <f t="shared" si="674"/>
        <v/>
      </c>
      <c r="BF1180" s="469" t="str">
        <f t="shared" ca="1" si="675"/>
        <v/>
      </c>
      <c r="BG1180" s="469" t="str">
        <f t="shared" ca="1" si="676"/>
        <v/>
      </c>
      <c r="BH1180" s="467" t="str">
        <f t="shared" si="677"/>
        <v/>
      </c>
      <c r="BI1180" s="467" t="str">
        <f t="shared" ca="1" si="678"/>
        <v/>
      </c>
      <c r="BJ1180" s="469" t="str">
        <f t="shared" si="679"/>
        <v/>
      </c>
      <c r="BK1180" s="470" t="str">
        <f t="shared" si="663"/>
        <v/>
      </c>
      <c r="BL1180" s="775" t="str">
        <f t="shared" si="680"/>
        <v/>
      </c>
      <c r="BM1180" s="775" t="str">
        <f t="shared" si="681"/>
        <v/>
      </c>
    </row>
    <row r="1181" spans="1:65">
      <c r="A1181" s="473">
        <v>1125</v>
      </c>
      <c r="B1181" s="132"/>
      <c r="C1181" s="332"/>
      <c r="D1181" s="333"/>
      <c r="E1181" s="333"/>
      <c r="F1181" s="334"/>
      <c r="G1181" s="337"/>
      <c r="H1181" s="131"/>
      <c r="I1181" s="337"/>
      <c r="J1181" s="131"/>
      <c r="K1181" s="458" t="str">
        <f t="shared" si="644"/>
        <v/>
      </c>
      <c r="L1181" s="458">
        <f t="shared" si="645"/>
        <v>0</v>
      </c>
      <c r="M1181" s="458">
        <f t="shared" si="646"/>
        <v>0</v>
      </c>
      <c r="N1181" s="459" t="str">
        <f t="shared" si="657"/>
        <v/>
      </c>
      <c r="O1181" s="459" t="str">
        <f t="shared" si="658"/>
        <v/>
      </c>
      <c r="P1181" s="459" t="str">
        <f t="shared" si="659"/>
        <v/>
      </c>
      <c r="Q1181" s="459" t="str">
        <f t="shared" si="660"/>
        <v/>
      </c>
      <c r="R1181" s="459" t="str">
        <f t="shared" si="661"/>
        <v/>
      </c>
      <c r="S1181" s="459" t="str">
        <f t="shared" si="662"/>
        <v/>
      </c>
      <c r="T1181" s="566" t="str">
        <f t="shared" si="647"/>
        <v/>
      </c>
      <c r="U1181" s="702"/>
      <c r="V1181" s="132"/>
      <c r="W1181" s="133"/>
      <c r="X1181" s="134"/>
      <c r="Y1181" s="135"/>
      <c r="Z1181" s="137"/>
      <c r="AA1181" s="136"/>
      <c r="AB1181" s="566" t="str">
        <f t="shared" si="648"/>
        <v/>
      </c>
      <c r="AC1181" s="568" t="str">
        <f t="shared" si="649"/>
        <v/>
      </c>
      <c r="AD1181" s="137"/>
      <c r="AE1181" s="137"/>
      <c r="AF1181" s="138"/>
      <c r="AG1181" s="138"/>
      <c r="AH1181" s="592" t="str">
        <f t="shared" si="650"/>
        <v/>
      </c>
      <c r="AI1181" s="592" t="str">
        <f t="shared" si="651"/>
        <v/>
      </c>
      <c r="AJ1181" s="592" t="str">
        <f t="shared" si="652"/>
        <v/>
      </c>
      <c r="AK1181" s="460" t="str">
        <f>IF(AU1181="","",IF(OR(AZ1181=8,AZ1181=9),0,IF(OR(AW1181=3,AW1181=4,AW1181=5,AW1181=6),IF(LEFT(BF1181,1)="1",INDEX(係数_NOX・PM低減,MATCH(AY1181,【参考】排出係数!$AI$801:$AI$804,1),1),VLOOKUP(AU1181,INDEX((係数_バス貨物_ガソリン,係数_バス貨物_CNG,係数_バス貨物_軽油,係数_バス貨物_メタノール,係数_バス貨物_LPG),MATCH(AY1181,【参考】排出係数!$AI$4:$AI$671,1),1,BE1181):INDEX((係数_バス貨物_ガソリン,係数_バス貨物_CNG,係数_バス貨物_軽油,係数_バス貨物_メタノール,係数_バス貨物_LPG),MATCH(AY1181+1,【参考】排出係数!$AI$4:$AI$671,1)-1,5,BE1181),4,FALSE)),IF(AND(BE1181=3,LEFT(BF1181,1)="1"),0.48,VLOOKUP(AU1181,INDEX((係数_乗用_ガソリン,係数_乗用_CNG,係数_乗用_軽油,係数_乗用_メタノール,係数_乗用_LPG),1,1,BE1181):INDEX((係数_乗用_ガソリン,係数_乗用_CNG,係数_乗用_軽油,係数_乗用_メタノール,係数_乗用_LPG),125,5,BE1181),4,FALSE)))))</f>
        <v/>
      </c>
      <c r="AL1181" s="461" t="str">
        <f t="shared" si="653"/>
        <v/>
      </c>
      <c r="AM1181" s="460" t="str">
        <f>IF(AU1181="","",IF(OR(AZ1181=8,AZ1181=9),0,IF(OR(AW1181=3,AW1181=4,AW1181=5,AW1181=6),IF(LEFT(BH1181,1)="1",INDEX(係数_PM低減,MATCH(AY1181,【参考】排出係数!$AI$801:$AI$804,1),MATCH(BI1181,【参考】排出係数!$AL$798:$AO$798,1)),VLOOKUP(AU1181,INDEX((係数_バス貨物_ガソリン,係数_バス貨物_CNG,係数_バス貨物_軽油,係数_バス貨物_メタノール,係数_バス貨物_LPG),MATCH(AY1181,【参考】排出係数!$AI$4:$AI$671,1),1,BE1181):INDEX((係数_バス貨物_ガソリン,係数_バス貨物_CNG,係数_バス貨物_軽油,係数_バス貨物_メタノール,係数_バス貨物_LPG),MATCH(AY1181+1,【参考】排出係数!$AI$4:$AI$671,1)-1,5,BE1181),5,FALSE)),IF(AND(BE1181=3,LEFT(BF1181,1)="1"),0.055,VLOOKUP(AU1181,INDEX((係数_乗用_ガソリン,係数_乗用_CNG,係数_乗用_軽油,係数_乗用_メタノール,係数_乗用_LPG),1,1,BE1181):INDEX((係数_乗用_ガソリン,係数_乗用_CNG,係数_乗用_軽油,係数_乗用_メタノール,係数_乗用_LPG),125,5,BE1181),5,FALSE)))))</f>
        <v/>
      </c>
      <c r="AN1181" s="461" t="str">
        <f t="shared" si="654"/>
        <v/>
      </c>
      <c r="AO1181" s="462" t="str">
        <f t="shared" si="655"/>
        <v/>
      </c>
      <c r="AP1181" s="463" t="str">
        <f t="shared" si="656"/>
        <v/>
      </c>
      <c r="AQ1181" s="464"/>
      <c r="AR1181" s="619"/>
      <c r="AS1181" s="465" t="str">
        <f t="shared" si="664"/>
        <v/>
      </c>
      <c r="AT1181" s="465" t="str">
        <f t="shared" si="665"/>
        <v/>
      </c>
      <c r="AU1181" s="466" t="str">
        <f t="shared" si="666"/>
        <v/>
      </c>
      <c r="AV1181" s="467" t="str">
        <f t="shared" si="667"/>
        <v/>
      </c>
      <c r="AW1181" s="467" t="str">
        <f t="shared" si="668"/>
        <v/>
      </c>
      <c r="AX1181" s="467" t="str">
        <f t="shared" si="669"/>
        <v/>
      </c>
      <c r="AY1181" s="467" t="str">
        <f t="shared" si="670"/>
        <v/>
      </c>
      <c r="AZ1181" s="467" t="str">
        <f t="shared" si="671"/>
        <v/>
      </c>
      <c r="BA1181" s="468" t="str">
        <f>IF(AS1181="","",IF(OR(AU1181="",AU1181="-"),"－",IF(OR(AZ1181=8,AZ1181=9),"",IF(OR(AW1181=3,AW1181=4,AW1181=5,AW1181=6),VLOOKUP(AU1181,INDEX((係数_バス貨物_ガソリン,係数_バス貨物_CNG,係数_バス貨物_軽油,係数_バス貨物_メタノール,係数_バス貨物_LPG),MATCH(AY1181,【参考】排出係数!$AI$4:$AI$671,1),1,BE1181):INDEX((係数_バス貨物_ガソリン,係数_バス貨物_CNG,係数_バス貨物_軽油,係数_バス貨物_メタノール,係数_バス貨物_LPG),MATCH(AY1181+1,【参考】排出係数!$AI$4:$AI$671,1)-1,5,BE1181),2,FALSE),IF(OR(AW1181=1,AW1181=2),VLOOKUP(AU1181,INDEX((係数_乗用_ガソリン,係数_乗用_CNG,係数_乗用_軽油,係数_乗用_メタノール,係数_乗用_LPG),1,1,BE1181):INDEX((係数_乗用_ガソリン,係数_乗用_CNG,係数_乗用_軽油,係数_乗用_メタノール,係数_乗用_LPG),125,5,BE1181),2,FALSE))))))</f>
        <v/>
      </c>
      <c r="BB1181" s="468" t="str">
        <f>IF(T1181="","",IF(OR(AU1181="",AU1181="-"),"－",IF(OR(AZ1181=8,AZ1181=9),"",IF(OR(AW1181=3,AW1181=4,AW1181=5,AW1181=6),VLOOKUP(AU1181,INDEX((係数_バス貨物_ガソリン,係数_バス貨物_CNG,係数_バス貨物_軽油,係数_バス貨物_メタノール,係数_バス貨物_LPG),MATCH(AY1181,【参考】排出係数!$AI$4:$AI$671,1),1,BE1181):INDEX((係数_バス貨物_ガソリン,係数_バス貨物_CNG,係数_バス貨物_軽油,係数_バス貨物_メタノール,係数_バス貨物_LPG),MATCH(AY1181+1,【参考】排出係数!$AI$4:$AI$671,1)-1,5,BE1181),3,FALSE),IF(OR(AW1181=1,AW1181=2),VLOOKUP(AU1181,INDEX((係数_乗用_ガソリン,係数_乗用_CNG,係数_乗用_軽油,係数_乗用_メタノール,係数_乗用_LPG),1,1,BE1181):INDEX((係数_乗用_ガソリン,係数_乗用_CNG,係数_乗用_軽油,係数_乗用_メタノール,係数_乗用_LPG),125,5,BE1181),3,FALSE))))))</f>
        <v/>
      </c>
      <c r="BC1181" s="467" t="str">
        <f t="shared" si="672"/>
        <v/>
      </c>
      <c r="BD1181" s="567" t="str">
        <f t="shared" si="673"/>
        <v/>
      </c>
      <c r="BE1181" s="467" t="str">
        <f t="shared" si="674"/>
        <v/>
      </c>
      <c r="BF1181" s="469" t="str">
        <f t="shared" ca="1" si="675"/>
        <v/>
      </c>
      <c r="BG1181" s="469" t="str">
        <f t="shared" ca="1" si="676"/>
        <v/>
      </c>
      <c r="BH1181" s="467" t="str">
        <f t="shared" si="677"/>
        <v/>
      </c>
      <c r="BI1181" s="467" t="str">
        <f t="shared" ca="1" si="678"/>
        <v/>
      </c>
      <c r="BJ1181" s="469" t="str">
        <f t="shared" si="679"/>
        <v/>
      </c>
      <c r="BK1181" s="470" t="str">
        <f t="shared" si="663"/>
        <v/>
      </c>
      <c r="BL1181" s="775" t="str">
        <f t="shared" si="680"/>
        <v/>
      </c>
      <c r="BM1181" s="775" t="str">
        <f t="shared" si="681"/>
        <v/>
      </c>
    </row>
    <row r="1182" spans="1:65">
      <c r="A1182" s="473">
        <v>1126</v>
      </c>
      <c r="B1182" s="132"/>
      <c r="C1182" s="332"/>
      <c r="D1182" s="333"/>
      <c r="E1182" s="333"/>
      <c r="F1182" s="334"/>
      <c r="G1182" s="337"/>
      <c r="H1182" s="131"/>
      <c r="I1182" s="337"/>
      <c r="J1182" s="131"/>
      <c r="K1182" s="458" t="str">
        <f t="shared" si="644"/>
        <v/>
      </c>
      <c r="L1182" s="458">
        <f t="shared" si="645"/>
        <v>0</v>
      </c>
      <c r="M1182" s="458">
        <f t="shared" si="646"/>
        <v>0</v>
      </c>
      <c r="N1182" s="459" t="str">
        <f t="shared" si="657"/>
        <v/>
      </c>
      <c r="O1182" s="459" t="str">
        <f t="shared" si="658"/>
        <v/>
      </c>
      <c r="P1182" s="459" t="str">
        <f t="shared" si="659"/>
        <v/>
      </c>
      <c r="Q1182" s="459" t="str">
        <f t="shared" si="660"/>
        <v/>
      </c>
      <c r="R1182" s="459" t="str">
        <f t="shared" si="661"/>
        <v/>
      </c>
      <c r="S1182" s="459" t="str">
        <f t="shared" si="662"/>
        <v/>
      </c>
      <c r="T1182" s="566" t="str">
        <f t="shared" si="647"/>
        <v/>
      </c>
      <c r="U1182" s="702"/>
      <c r="V1182" s="132"/>
      <c r="W1182" s="133"/>
      <c r="X1182" s="134"/>
      <c r="Y1182" s="135"/>
      <c r="Z1182" s="137"/>
      <c r="AA1182" s="136"/>
      <c r="AB1182" s="566" t="str">
        <f t="shared" si="648"/>
        <v/>
      </c>
      <c r="AC1182" s="568" t="str">
        <f t="shared" si="649"/>
        <v/>
      </c>
      <c r="AD1182" s="137"/>
      <c r="AE1182" s="137"/>
      <c r="AF1182" s="138"/>
      <c r="AG1182" s="138"/>
      <c r="AH1182" s="592" t="str">
        <f t="shared" si="650"/>
        <v/>
      </c>
      <c r="AI1182" s="592" t="str">
        <f t="shared" si="651"/>
        <v/>
      </c>
      <c r="AJ1182" s="592" t="str">
        <f t="shared" si="652"/>
        <v/>
      </c>
      <c r="AK1182" s="460" t="str">
        <f>IF(AU1182="","",IF(OR(AZ1182=8,AZ1182=9),0,IF(OR(AW1182=3,AW1182=4,AW1182=5,AW1182=6),IF(LEFT(BF1182,1)="1",INDEX(係数_NOX・PM低減,MATCH(AY1182,【参考】排出係数!$AI$801:$AI$804,1),1),VLOOKUP(AU1182,INDEX((係数_バス貨物_ガソリン,係数_バス貨物_CNG,係数_バス貨物_軽油,係数_バス貨物_メタノール,係数_バス貨物_LPG),MATCH(AY1182,【参考】排出係数!$AI$4:$AI$671,1),1,BE1182):INDEX((係数_バス貨物_ガソリン,係数_バス貨物_CNG,係数_バス貨物_軽油,係数_バス貨物_メタノール,係数_バス貨物_LPG),MATCH(AY1182+1,【参考】排出係数!$AI$4:$AI$671,1)-1,5,BE1182),4,FALSE)),IF(AND(BE1182=3,LEFT(BF1182,1)="1"),0.48,VLOOKUP(AU1182,INDEX((係数_乗用_ガソリン,係数_乗用_CNG,係数_乗用_軽油,係数_乗用_メタノール,係数_乗用_LPG),1,1,BE1182):INDEX((係数_乗用_ガソリン,係数_乗用_CNG,係数_乗用_軽油,係数_乗用_メタノール,係数_乗用_LPG),125,5,BE1182),4,FALSE)))))</f>
        <v/>
      </c>
      <c r="AL1182" s="461" t="str">
        <f t="shared" si="653"/>
        <v/>
      </c>
      <c r="AM1182" s="460" t="str">
        <f>IF(AU1182="","",IF(OR(AZ1182=8,AZ1182=9),0,IF(OR(AW1182=3,AW1182=4,AW1182=5,AW1182=6),IF(LEFT(BH1182,1)="1",INDEX(係数_PM低減,MATCH(AY1182,【参考】排出係数!$AI$801:$AI$804,1),MATCH(BI1182,【参考】排出係数!$AL$798:$AO$798,1)),VLOOKUP(AU1182,INDEX((係数_バス貨物_ガソリン,係数_バス貨物_CNG,係数_バス貨物_軽油,係数_バス貨物_メタノール,係数_バス貨物_LPG),MATCH(AY1182,【参考】排出係数!$AI$4:$AI$671,1),1,BE1182):INDEX((係数_バス貨物_ガソリン,係数_バス貨物_CNG,係数_バス貨物_軽油,係数_バス貨物_メタノール,係数_バス貨物_LPG),MATCH(AY1182+1,【参考】排出係数!$AI$4:$AI$671,1)-1,5,BE1182),5,FALSE)),IF(AND(BE1182=3,LEFT(BF1182,1)="1"),0.055,VLOOKUP(AU1182,INDEX((係数_乗用_ガソリン,係数_乗用_CNG,係数_乗用_軽油,係数_乗用_メタノール,係数_乗用_LPG),1,1,BE1182):INDEX((係数_乗用_ガソリン,係数_乗用_CNG,係数_乗用_軽油,係数_乗用_メタノール,係数_乗用_LPG),125,5,BE1182),5,FALSE)))))</f>
        <v/>
      </c>
      <c r="AN1182" s="461" t="str">
        <f t="shared" si="654"/>
        <v/>
      </c>
      <c r="AO1182" s="462" t="str">
        <f t="shared" si="655"/>
        <v/>
      </c>
      <c r="AP1182" s="463" t="str">
        <f t="shared" si="656"/>
        <v/>
      </c>
      <c r="AQ1182" s="464"/>
      <c r="AR1182" s="619"/>
      <c r="AS1182" s="465" t="str">
        <f t="shared" si="664"/>
        <v/>
      </c>
      <c r="AT1182" s="465" t="str">
        <f t="shared" si="665"/>
        <v/>
      </c>
      <c r="AU1182" s="466" t="str">
        <f t="shared" si="666"/>
        <v/>
      </c>
      <c r="AV1182" s="467" t="str">
        <f t="shared" si="667"/>
        <v/>
      </c>
      <c r="AW1182" s="467" t="str">
        <f t="shared" si="668"/>
        <v/>
      </c>
      <c r="AX1182" s="467" t="str">
        <f t="shared" si="669"/>
        <v/>
      </c>
      <c r="AY1182" s="467" t="str">
        <f t="shared" si="670"/>
        <v/>
      </c>
      <c r="AZ1182" s="467" t="str">
        <f t="shared" si="671"/>
        <v/>
      </c>
      <c r="BA1182" s="468" t="str">
        <f>IF(AS1182="","",IF(OR(AU1182="",AU1182="-"),"－",IF(OR(AZ1182=8,AZ1182=9),"",IF(OR(AW1182=3,AW1182=4,AW1182=5,AW1182=6),VLOOKUP(AU1182,INDEX((係数_バス貨物_ガソリン,係数_バス貨物_CNG,係数_バス貨物_軽油,係数_バス貨物_メタノール,係数_バス貨物_LPG),MATCH(AY1182,【参考】排出係数!$AI$4:$AI$671,1),1,BE1182):INDEX((係数_バス貨物_ガソリン,係数_バス貨物_CNG,係数_バス貨物_軽油,係数_バス貨物_メタノール,係数_バス貨物_LPG),MATCH(AY1182+1,【参考】排出係数!$AI$4:$AI$671,1)-1,5,BE1182),2,FALSE),IF(OR(AW1182=1,AW1182=2),VLOOKUP(AU1182,INDEX((係数_乗用_ガソリン,係数_乗用_CNG,係数_乗用_軽油,係数_乗用_メタノール,係数_乗用_LPG),1,1,BE1182):INDEX((係数_乗用_ガソリン,係数_乗用_CNG,係数_乗用_軽油,係数_乗用_メタノール,係数_乗用_LPG),125,5,BE1182),2,FALSE))))))</f>
        <v/>
      </c>
      <c r="BB1182" s="468" t="str">
        <f>IF(T1182="","",IF(OR(AU1182="",AU1182="-"),"－",IF(OR(AZ1182=8,AZ1182=9),"",IF(OR(AW1182=3,AW1182=4,AW1182=5,AW1182=6),VLOOKUP(AU1182,INDEX((係数_バス貨物_ガソリン,係数_バス貨物_CNG,係数_バス貨物_軽油,係数_バス貨物_メタノール,係数_バス貨物_LPG),MATCH(AY1182,【参考】排出係数!$AI$4:$AI$671,1),1,BE1182):INDEX((係数_バス貨物_ガソリン,係数_バス貨物_CNG,係数_バス貨物_軽油,係数_バス貨物_メタノール,係数_バス貨物_LPG),MATCH(AY1182+1,【参考】排出係数!$AI$4:$AI$671,1)-1,5,BE1182),3,FALSE),IF(OR(AW1182=1,AW1182=2),VLOOKUP(AU1182,INDEX((係数_乗用_ガソリン,係数_乗用_CNG,係数_乗用_軽油,係数_乗用_メタノール,係数_乗用_LPG),1,1,BE1182):INDEX((係数_乗用_ガソリン,係数_乗用_CNG,係数_乗用_軽油,係数_乗用_メタノール,係数_乗用_LPG),125,5,BE1182),3,FALSE))))))</f>
        <v/>
      </c>
      <c r="BC1182" s="467" t="str">
        <f t="shared" si="672"/>
        <v/>
      </c>
      <c r="BD1182" s="567" t="str">
        <f t="shared" si="673"/>
        <v/>
      </c>
      <c r="BE1182" s="467" t="str">
        <f t="shared" si="674"/>
        <v/>
      </c>
      <c r="BF1182" s="469" t="str">
        <f t="shared" ca="1" si="675"/>
        <v/>
      </c>
      <c r="BG1182" s="469" t="str">
        <f t="shared" ca="1" si="676"/>
        <v/>
      </c>
      <c r="BH1182" s="467" t="str">
        <f t="shared" si="677"/>
        <v/>
      </c>
      <c r="BI1182" s="467" t="str">
        <f t="shared" ca="1" si="678"/>
        <v/>
      </c>
      <c r="BJ1182" s="469" t="str">
        <f t="shared" si="679"/>
        <v/>
      </c>
      <c r="BK1182" s="470" t="str">
        <f t="shared" si="663"/>
        <v/>
      </c>
      <c r="BL1182" s="775" t="str">
        <f t="shared" si="680"/>
        <v/>
      </c>
      <c r="BM1182" s="775" t="str">
        <f t="shared" si="681"/>
        <v/>
      </c>
    </row>
    <row r="1183" spans="1:65">
      <c r="A1183" s="473">
        <v>1127</v>
      </c>
      <c r="B1183" s="132"/>
      <c r="C1183" s="332"/>
      <c r="D1183" s="333"/>
      <c r="E1183" s="333"/>
      <c r="F1183" s="334"/>
      <c r="G1183" s="337"/>
      <c r="H1183" s="131"/>
      <c r="I1183" s="337"/>
      <c r="J1183" s="131"/>
      <c r="K1183" s="458" t="str">
        <f t="shared" si="644"/>
        <v/>
      </c>
      <c r="L1183" s="458">
        <f t="shared" si="645"/>
        <v>0</v>
      </c>
      <c r="M1183" s="458">
        <f t="shared" si="646"/>
        <v>0</v>
      </c>
      <c r="N1183" s="459" t="str">
        <f t="shared" si="657"/>
        <v/>
      </c>
      <c r="O1183" s="459" t="str">
        <f t="shared" si="658"/>
        <v/>
      </c>
      <c r="P1183" s="459" t="str">
        <f t="shared" si="659"/>
        <v/>
      </c>
      <c r="Q1183" s="459" t="str">
        <f t="shared" si="660"/>
        <v/>
      </c>
      <c r="R1183" s="459" t="str">
        <f t="shared" si="661"/>
        <v/>
      </c>
      <c r="S1183" s="459" t="str">
        <f t="shared" si="662"/>
        <v/>
      </c>
      <c r="T1183" s="566" t="str">
        <f t="shared" si="647"/>
        <v/>
      </c>
      <c r="U1183" s="702"/>
      <c r="V1183" s="132"/>
      <c r="W1183" s="133"/>
      <c r="X1183" s="134"/>
      <c r="Y1183" s="135"/>
      <c r="Z1183" s="137"/>
      <c r="AA1183" s="136"/>
      <c r="AB1183" s="566" t="str">
        <f t="shared" si="648"/>
        <v/>
      </c>
      <c r="AC1183" s="568" t="str">
        <f t="shared" si="649"/>
        <v/>
      </c>
      <c r="AD1183" s="137"/>
      <c r="AE1183" s="137"/>
      <c r="AF1183" s="138"/>
      <c r="AG1183" s="138"/>
      <c r="AH1183" s="592" t="str">
        <f t="shared" si="650"/>
        <v/>
      </c>
      <c r="AI1183" s="592" t="str">
        <f t="shared" si="651"/>
        <v/>
      </c>
      <c r="AJ1183" s="592" t="str">
        <f t="shared" si="652"/>
        <v/>
      </c>
      <c r="AK1183" s="460" t="str">
        <f>IF(AU1183="","",IF(OR(AZ1183=8,AZ1183=9),0,IF(OR(AW1183=3,AW1183=4,AW1183=5,AW1183=6),IF(LEFT(BF1183,1)="1",INDEX(係数_NOX・PM低減,MATCH(AY1183,【参考】排出係数!$AI$801:$AI$804,1),1),VLOOKUP(AU1183,INDEX((係数_バス貨物_ガソリン,係数_バス貨物_CNG,係数_バス貨物_軽油,係数_バス貨物_メタノール,係数_バス貨物_LPG),MATCH(AY1183,【参考】排出係数!$AI$4:$AI$671,1),1,BE1183):INDEX((係数_バス貨物_ガソリン,係数_バス貨物_CNG,係数_バス貨物_軽油,係数_バス貨物_メタノール,係数_バス貨物_LPG),MATCH(AY1183+1,【参考】排出係数!$AI$4:$AI$671,1)-1,5,BE1183),4,FALSE)),IF(AND(BE1183=3,LEFT(BF1183,1)="1"),0.48,VLOOKUP(AU1183,INDEX((係数_乗用_ガソリン,係数_乗用_CNG,係数_乗用_軽油,係数_乗用_メタノール,係数_乗用_LPG),1,1,BE1183):INDEX((係数_乗用_ガソリン,係数_乗用_CNG,係数_乗用_軽油,係数_乗用_メタノール,係数_乗用_LPG),125,5,BE1183),4,FALSE)))))</f>
        <v/>
      </c>
      <c r="AL1183" s="461" t="str">
        <f t="shared" si="653"/>
        <v/>
      </c>
      <c r="AM1183" s="460" t="str">
        <f>IF(AU1183="","",IF(OR(AZ1183=8,AZ1183=9),0,IF(OR(AW1183=3,AW1183=4,AW1183=5,AW1183=6),IF(LEFT(BH1183,1)="1",INDEX(係数_PM低減,MATCH(AY1183,【参考】排出係数!$AI$801:$AI$804,1),MATCH(BI1183,【参考】排出係数!$AL$798:$AO$798,1)),VLOOKUP(AU1183,INDEX((係数_バス貨物_ガソリン,係数_バス貨物_CNG,係数_バス貨物_軽油,係数_バス貨物_メタノール,係数_バス貨物_LPG),MATCH(AY1183,【参考】排出係数!$AI$4:$AI$671,1),1,BE1183):INDEX((係数_バス貨物_ガソリン,係数_バス貨物_CNG,係数_バス貨物_軽油,係数_バス貨物_メタノール,係数_バス貨物_LPG),MATCH(AY1183+1,【参考】排出係数!$AI$4:$AI$671,1)-1,5,BE1183),5,FALSE)),IF(AND(BE1183=3,LEFT(BF1183,1)="1"),0.055,VLOOKUP(AU1183,INDEX((係数_乗用_ガソリン,係数_乗用_CNG,係数_乗用_軽油,係数_乗用_メタノール,係数_乗用_LPG),1,1,BE1183):INDEX((係数_乗用_ガソリン,係数_乗用_CNG,係数_乗用_軽油,係数_乗用_メタノール,係数_乗用_LPG),125,5,BE1183),5,FALSE)))))</f>
        <v/>
      </c>
      <c r="AN1183" s="461" t="str">
        <f t="shared" si="654"/>
        <v/>
      </c>
      <c r="AO1183" s="462" t="str">
        <f t="shared" si="655"/>
        <v/>
      </c>
      <c r="AP1183" s="463" t="str">
        <f t="shared" si="656"/>
        <v/>
      </c>
      <c r="AQ1183" s="464"/>
      <c r="AR1183" s="619"/>
      <c r="AS1183" s="465" t="str">
        <f t="shared" si="664"/>
        <v/>
      </c>
      <c r="AT1183" s="465" t="str">
        <f t="shared" si="665"/>
        <v/>
      </c>
      <c r="AU1183" s="466" t="str">
        <f t="shared" si="666"/>
        <v/>
      </c>
      <c r="AV1183" s="467" t="str">
        <f t="shared" si="667"/>
        <v/>
      </c>
      <c r="AW1183" s="467" t="str">
        <f t="shared" si="668"/>
        <v/>
      </c>
      <c r="AX1183" s="467" t="str">
        <f t="shared" si="669"/>
        <v/>
      </c>
      <c r="AY1183" s="467" t="str">
        <f t="shared" si="670"/>
        <v/>
      </c>
      <c r="AZ1183" s="467" t="str">
        <f t="shared" si="671"/>
        <v/>
      </c>
      <c r="BA1183" s="468" t="str">
        <f>IF(AS1183="","",IF(OR(AU1183="",AU1183="-"),"－",IF(OR(AZ1183=8,AZ1183=9),"",IF(OR(AW1183=3,AW1183=4,AW1183=5,AW1183=6),VLOOKUP(AU1183,INDEX((係数_バス貨物_ガソリン,係数_バス貨物_CNG,係数_バス貨物_軽油,係数_バス貨物_メタノール,係数_バス貨物_LPG),MATCH(AY1183,【参考】排出係数!$AI$4:$AI$671,1),1,BE1183):INDEX((係数_バス貨物_ガソリン,係数_バス貨物_CNG,係数_バス貨物_軽油,係数_バス貨物_メタノール,係数_バス貨物_LPG),MATCH(AY1183+1,【参考】排出係数!$AI$4:$AI$671,1)-1,5,BE1183),2,FALSE),IF(OR(AW1183=1,AW1183=2),VLOOKUP(AU1183,INDEX((係数_乗用_ガソリン,係数_乗用_CNG,係数_乗用_軽油,係数_乗用_メタノール,係数_乗用_LPG),1,1,BE1183):INDEX((係数_乗用_ガソリン,係数_乗用_CNG,係数_乗用_軽油,係数_乗用_メタノール,係数_乗用_LPG),125,5,BE1183),2,FALSE))))))</f>
        <v/>
      </c>
      <c r="BB1183" s="468" t="str">
        <f>IF(T1183="","",IF(OR(AU1183="",AU1183="-"),"－",IF(OR(AZ1183=8,AZ1183=9),"",IF(OR(AW1183=3,AW1183=4,AW1183=5,AW1183=6),VLOOKUP(AU1183,INDEX((係数_バス貨物_ガソリン,係数_バス貨物_CNG,係数_バス貨物_軽油,係数_バス貨物_メタノール,係数_バス貨物_LPG),MATCH(AY1183,【参考】排出係数!$AI$4:$AI$671,1),1,BE1183):INDEX((係数_バス貨物_ガソリン,係数_バス貨物_CNG,係数_バス貨物_軽油,係数_バス貨物_メタノール,係数_バス貨物_LPG),MATCH(AY1183+1,【参考】排出係数!$AI$4:$AI$671,1)-1,5,BE1183),3,FALSE),IF(OR(AW1183=1,AW1183=2),VLOOKUP(AU1183,INDEX((係数_乗用_ガソリン,係数_乗用_CNG,係数_乗用_軽油,係数_乗用_メタノール,係数_乗用_LPG),1,1,BE1183):INDEX((係数_乗用_ガソリン,係数_乗用_CNG,係数_乗用_軽油,係数_乗用_メタノール,係数_乗用_LPG),125,5,BE1183),3,FALSE))))))</f>
        <v/>
      </c>
      <c r="BC1183" s="467" t="str">
        <f t="shared" si="672"/>
        <v/>
      </c>
      <c r="BD1183" s="567" t="str">
        <f t="shared" si="673"/>
        <v/>
      </c>
      <c r="BE1183" s="467" t="str">
        <f t="shared" si="674"/>
        <v/>
      </c>
      <c r="BF1183" s="469" t="str">
        <f t="shared" ca="1" si="675"/>
        <v/>
      </c>
      <c r="BG1183" s="469" t="str">
        <f t="shared" ca="1" si="676"/>
        <v/>
      </c>
      <c r="BH1183" s="467" t="str">
        <f t="shared" si="677"/>
        <v/>
      </c>
      <c r="BI1183" s="467" t="str">
        <f t="shared" ca="1" si="678"/>
        <v/>
      </c>
      <c r="BJ1183" s="469" t="str">
        <f t="shared" si="679"/>
        <v/>
      </c>
      <c r="BK1183" s="470" t="str">
        <f t="shared" si="663"/>
        <v/>
      </c>
      <c r="BL1183" s="775" t="str">
        <f t="shared" si="680"/>
        <v/>
      </c>
      <c r="BM1183" s="775" t="str">
        <f t="shared" si="681"/>
        <v/>
      </c>
    </row>
    <row r="1184" spans="1:65">
      <c r="A1184" s="473">
        <v>1128</v>
      </c>
      <c r="B1184" s="132"/>
      <c r="C1184" s="332"/>
      <c r="D1184" s="333"/>
      <c r="E1184" s="333"/>
      <c r="F1184" s="334"/>
      <c r="G1184" s="337"/>
      <c r="H1184" s="131"/>
      <c r="I1184" s="337"/>
      <c r="J1184" s="131"/>
      <c r="K1184" s="458" t="str">
        <f t="shared" si="644"/>
        <v/>
      </c>
      <c r="L1184" s="458">
        <f t="shared" si="645"/>
        <v>0</v>
      </c>
      <c r="M1184" s="458">
        <f t="shared" si="646"/>
        <v>0</v>
      </c>
      <c r="N1184" s="459" t="str">
        <f t="shared" si="657"/>
        <v/>
      </c>
      <c r="O1184" s="459" t="str">
        <f t="shared" si="658"/>
        <v/>
      </c>
      <c r="P1184" s="459" t="str">
        <f t="shared" si="659"/>
        <v/>
      </c>
      <c r="Q1184" s="459" t="str">
        <f t="shared" si="660"/>
        <v/>
      </c>
      <c r="R1184" s="459" t="str">
        <f t="shared" si="661"/>
        <v/>
      </c>
      <c r="S1184" s="459" t="str">
        <f t="shared" si="662"/>
        <v/>
      </c>
      <c r="T1184" s="566" t="str">
        <f t="shared" si="647"/>
        <v/>
      </c>
      <c r="U1184" s="702"/>
      <c r="V1184" s="132"/>
      <c r="W1184" s="133"/>
      <c r="X1184" s="134"/>
      <c r="Y1184" s="135"/>
      <c r="Z1184" s="137"/>
      <c r="AA1184" s="136"/>
      <c r="AB1184" s="566" t="str">
        <f t="shared" si="648"/>
        <v/>
      </c>
      <c r="AC1184" s="568" t="str">
        <f t="shared" si="649"/>
        <v/>
      </c>
      <c r="AD1184" s="137"/>
      <c r="AE1184" s="137"/>
      <c r="AF1184" s="138"/>
      <c r="AG1184" s="138"/>
      <c r="AH1184" s="592" t="str">
        <f t="shared" si="650"/>
        <v/>
      </c>
      <c r="AI1184" s="592" t="str">
        <f t="shared" si="651"/>
        <v/>
      </c>
      <c r="AJ1184" s="592" t="str">
        <f t="shared" si="652"/>
        <v/>
      </c>
      <c r="AK1184" s="460" t="str">
        <f>IF(AU1184="","",IF(OR(AZ1184=8,AZ1184=9),0,IF(OR(AW1184=3,AW1184=4,AW1184=5,AW1184=6),IF(LEFT(BF1184,1)="1",INDEX(係数_NOX・PM低減,MATCH(AY1184,【参考】排出係数!$AI$801:$AI$804,1),1),VLOOKUP(AU1184,INDEX((係数_バス貨物_ガソリン,係数_バス貨物_CNG,係数_バス貨物_軽油,係数_バス貨物_メタノール,係数_バス貨物_LPG),MATCH(AY1184,【参考】排出係数!$AI$4:$AI$671,1),1,BE1184):INDEX((係数_バス貨物_ガソリン,係数_バス貨物_CNG,係数_バス貨物_軽油,係数_バス貨物_メタノール,係数_バス貨物_LPG),MATCH(AY1184+1,【参考】排出係数!$AI$4:$AI$671,1)-1,5,BE1184),4,FALSE)),IF(AND(BE1184=3,LEFT(BF1184,1)="1"),0.48,VLOOKUP(AU1184,INDEX((係数_乗用_ガソリン,係数_乗用_CNG,係数_乗用_軽油,係数_乗用_メタノール,係数_乗用_LPG),1,1,BE1184):INDEX((係数_乗用_ガソリン,係数_乗用_CNG,係数_乗用_軽油,係数_乗用_メタノール,係数_乗用_LPG),125,5,BE1184),4,FALSE)))))</f>
        <v/>
      </c>
      <c r="AL1184" s="461" t="str">
        <f t="shared" si="653"/>
        <v/>
      </c>
      <c r="AM1184" s="460" t="str">
        <f>IF(AU1184="","",IF(OR(AZ1184=8,AZ1184=9),0,IF(OR(AW1184=3,AW1184=4,AW1184=5,AW1184=6),IF(LEFT(BH1184,1)="1",INDEX(係数_PM低減,MATCH(AY1184,【参考】排出係数!$AI$801:$AI$804,1),MATCH(BI1184,【参考】排出係数!$AL$798:$AO$798,1)),VLOOKUP(AU1184,INDEX((係数_バス貨物_ガソリン,係数_バス貨物_CNG,係数_バス貨物_軽油,係数_バス貨物_メタノール,係数_バス貨物_LPG),MATCH(AY1184,【参考】排出係数!$AI$4:$AI$671,1),1,BE1184):INDEX((係数_バス貨物_ガソリン,係数_バス貨物_CNG,係数_バス貨物_軽油,係数_バス貨物_メタノール,係数_バス貨物_LPG),MATCH(AY1184+1,【参考】排出係数!$AI$4:$AI$671,1)-1,5,BE1184),5,FALSE)),IF(AND(BE1184=3,LEFT(BF1184,1)="1"),0.055,VLOOKUP(AU1184,INDEX((係数_乗用_ガソリン,係数_乗用_CNG,係数_乗用_軽油,係数_乗用_メタノール,係数_乗用_LPG),1,1,BE1184):INDEX((係数_乗用_ガソリン,係数_乗用_CNG,係数_乗用_軽油,係数_乗用_メタノール,係数_乗用_LPG),125,5,BE1184),5,FALSE)))))</f>
        <v/>
      </c>
      <c r="AN1184" s="461" t="str">
        <f t="shared" si="654"/>
        <v/>
      </c>
      <c r="AO1184" s="462" t="str">
        <f t="shared" si="655"/>
        <v/>
      </c>
      <c r="AP1184" s="463" t="str">
        <f t="shared" si="656"/>
        <v/>
      </c>
      <c r="AQ1184" s="464"/>
      <c r="AR1184" s="619"/>
      <c r="AS1184" s="465" t="str">
        <f t="shared" si="664"/>
        <v/>
      </c>
      <c r="AT1184" s="465" t="str">
        <f t="shared" si="665"/>
        <v/>
      </c>
      <c r="AU1184" s="466" t="str">
        <f t="shared" si="666"/>
        <v/>
      </c>
      <c r="AV1184" s="467" t="str">
        <f t="shared" si="667"/>
        <v/>
      </c>
      <c r="AW1184" s="467" t="str">
        <f t="shared" si="668"/>
        <v/>
      </c>
      <c r="AX1184" s="467" t="str">
        <f t="shared" si="669"/>
        <v/>
      </c>
      <c r="AY1184" s="467" t="str">
        <f t="shared" si="670"/>
        <v/>
      </c>
      <c r="AZ1184" s="467" t="str">
        <f t="shared" si="671"/>
        <v/>
      </c>
      <c r="BA1184" s="468" t="str">
        <f>IF(AS1184="","",IF(OR(AU1184="",AU1184="-"),"－",IF(OR(AZ1184=8,AZ1184=9),"",IF(OR(AW1184=3,AW1184=4,AW1184=5,AW1184=6),VLOOKUP(AU1184,INDEX((係数_バス貨物_ガソリン,係数_バス貨物_CNG,係数_バス貨物_軽油,係数_バス貨物_メタノール,係数_バス貨物_LPG),MATCH(AY1184,【参考】排出係数!$AI$4:$AI$671,1),1,BE1184):INDEX((係数_バス貨物_ガソリン,係数_バス貨物_CNG,係数_バス貨物_軽油,係数_バス貨物_メタノール,係数_バス貨物_LPG),MATCH(AY1184+1,【参考】排出係数!$AI$4:$AI$671,1)-1,5,BE1184),2,FALSE),IF(OR(AW1184=1,AW1184=2),VLOOKUP(AU1184,INDEX((係数_乗用_ガソリン,係数_乗用_CNG,係数_乗用_軽油,係数_乗用_メタノール,係数_乗用_LPG),1,1,BE1184):INDEX((係数_乗用_ガソリン,係数_乗用_CNG,係数_乗用_軽油,係数_乗用_メタノール,係数_乗用_LPG),125,5,BE1184),2,FALSE))))))</f>
        <v/>
      </c>
      <c r="BB1184" s="468" t="str">
        <f>IF(T1184="","",IF(OR(AU1184="",AU1184="-"),"－",IF(OR(AZ1184=8,AZ1184=9),"",IF(OR(AW1184=3,AW1184=4,AW1184=5,AW1184=6),VLOOKUP(AU1184,INDEX((係数_バス貨物_ガソリン,係数_バス貨物_CNG,係数_バス貨物_軽油,係数_バス貨物_メタノール,係数_バス貨物_LPG),MATCH(AY1184,【参考】排出係数!$AI$4:$AI$671,1),1,BE1184):INDEX((係数_バス貨物_ガソリン,係数_バス貨物_CNG,係数_バス貨物_軽油,係数_バス貨物_メタノール,係数_バス貨物_LPG),MATCH(AY1184+1,【参考】排出係数!$AI$4:$AI$671,1)-1,5,BE1184),3,FALSE),IF(OR(AW1184=1,AW1184=2),VLOOKUP(AU1184,INDEX((係数_乗用_ガソリン,係数_乗用_CNG,係数_乗用_軽油,係数_乗用_メタノール,係数_乗用_LPG),1,1,BE1184):INDEX((係数_乗用_ガソリン,係数_乗用_CNG,係数_乗用_軽油,係数_乗用_メタノール,係数_乗用_LPG),125,5,BE1184),3,FALSE))))))</f>
        <v/>
      </c>
      <c r="BC1184" s="467" t="str">
        <f t="shared" si="672"/>
        <v/>
      </c>
      <c r="BD1184" s="567" t="str">
        <f t="shared" si="673"/>
        <v/>
      </c>
      <c r="BE1184" s="467" t="str">
        <f t="shared" si="674"/>
        <v/>
      </c>
      <c r="BF1184" s="469" t="str">
        <f t="shared" ca="1" si="675"/>
        <v/>
      </c>
      <c r="BG1184" s="469" t="str">
        <f t="shared" ca="1" si="676"/>
        <v/>
      </c>
      <c r="BH1184" s="467" t="str">
        <f t="shared" si="677"/>
        <v/>
      </c>
      <c r="BI1184" s="467" t="str">
        <f t="shared" ca="1" si="678"/>
        <v/>
      </c>
      <c r="BJ1184" s="469" t="str">
        <f t="shared" si="679"/>
        <v/>
      </c>
      <c r="BK1184" s="470" t="str">
        <f t="shared" si="663"/>
        <v/>
      </c>
      <c r="BL1184" s="775" t="str">
        <f t="shared" si="680"/>
        <v/>
      </c>
      <c r="BM1184" s="775" t="str">
        <f t="shared" si="681"/>
        <v/>
      </c>
    </row>
    <row r="1185" spans="1:65">
      <c r="A1185" s="473">
        <v>1129</v>
      </c>
      <c r="B1185" s="132"/>
      <c r="C1185" s="332"/>
      <c r="D1185" s="333"/>
      <c r="E1185" s="333"/>
      <c r="F1185" s="334"/>
      <c r="G1185" s="337"/>
      <c r="H1185" s="131"/>
      <c r="I1185" s="337"/>
      <c r="J1185" s="131"/>
      <c r="K1185" s="458" t="str">
        <f t="shared" si="644"/>
        <v/>
      </c>
      <c r="L1185" s="458">
        <f t="shared" si="645"/>
        <v>0</v>
      </c>
      <c r="M1185" s="458">
        <f t="shared" si="646"/>
        <v>0</v>
      </c>
      <c r="N1185" s="459" t="str">
        <f t="shared" si="657"/>
        <v/>
      </c>
      <c r="O1185" s="459" t="str">
        <f t="shared" si="658"/>
        <v/>
      </c>
      <c r="P1185" s="459" t="str">
        <f t="shared" si="659"/>
        <v/>
      </c>
      <c r="Q1185" s="459" t="str">
        <f t="shared" si="660"/>
        <v/>
      </c>
      <c r="R1185" s="459" t="str">
        <f t="shared" si="661"/>
        <v/>
      </c>
      <c r="S1185" s="459" t="str">
        <f t="shared" si="662"/>
        <v/>
      </c>
      <c r="T1185" s="566" t="str">
        <f t="shared" si="647"/>
        <v/>
      </c>
      <c r="U1185" s="702"/>
      <c r="V1185" s="132"/>
      <c r="W1185" s="133"/>
      <c r="X1185" s="134"/>
      <c r="Y1185" s="135"/>
      <c r="Z1185" s="137"/>
      <c r="AA1185" s="136"/>
      <c r="AB1185" s="566" t="str">
        <f t="shared" si="648"/>
        <v/>
      </c>
      <c r="AC1185" s="568" t="str">
        <f t="shared" si="649"/>
        <v/>
      </c>
      <c r="AD1185" s="137"/>
      <c r="AE1185" s="137"/>
      <c r="AF1185" s="138"/>
      <c r="AG1185" s="138"/>
      <c r="AH1185" s="592" t="str">
        <f t="shared" si="650"/>
        <v/>
      </c>
      <c r="AI1185" s="592" t="str">
        <f t="shared" si="651"/>
        <v/>
      </c>
      <c r="AJ1185" s="592" t="str">
        <f t="shared" si="652"/>
        <v/>
      </c>
      <c r="AK1185" s="460" t="str">
        <f>IF(AU1185="","",IF(OR(AZ1185=8,AZ1185=9),0,IF(OR(AW1185=3,AW1185=4,AW1185=5,AW1185=6),IF(LEFT(BF1185,1)="1",INDEX(係数_NOX・PM低減,MATCH(AY1185,【参考】排出係数!$AI$801:$AI$804,1),1),VLOOKUP(AU1185,INDEX((係数_バス貨物_ガソリン,係数_バス貨物_CNG,係数_バス貨物_軽油,係数_バス貨物_メタノール,係数_バス貨物_LPG),MATCH(AY1185,【参考】排出係数!$AI$4:$AI$671,1),1,BE1185):INDEX((係数_バス貨物_ガソリン,係数_バス貨物_CNG,係数_バス貨物_軽油,係数_バス貨物_メタノール,係数_バス貨物_LPG),MATCH(AY1185+1,【参考】排出係数!$AI$4:$AI$671,1)-1,5,BE1185),4,FALSE)),IF(AND(BE1185=3,LEFT(BF1185,1)="1"),0.48,VLOOKUP(AU1185,INDEX((係数_乗用_ガソリン,係数_乗用_CNG,係数_乗用_軽油,係数_乗用_メタノール,係数_乗用_LPG),1,1,BE1185):INDEX((係数_乗用_ガソリン,係数_乗用_CNG,係数_乗用_軽油,係数_乗用_メタノール,係数_乗用_LPG),125,5,BE1185),4,FALSE)))))</f>
        <v/>
      </c>
      <c r="AL1185" s="461" t="str">
        <f t="shared" si="653"/>
        <v/>
      </c>
      <c r="AM1185" s="460" t="str">
        <f>IF(AU1185="","",IF(OR(AZ1185=8,AZ1185=9),0,IF(OR(AW1185=3,AW1185=4,AW1185=5,AW1185=6),IF(LEFT(BH1185,1)="1",INDEX(係数_PM低減,MATCH(AY1185,【参考】排出係数!$AI$801:$AI$804,1),MATCH(BI1185,【参考】排出係数!$AL$798:$AO$798,1)),VLOOKUP(AU1185,INDEX((係数_バス貨物_ガソリン,係数_バス貨物_CNG,係数_バス貨物_軽油,係数_バス貨物_メタノール,係数_バス貨物_LPG),MATCH(AY1185,【参考】排出係数!$AI$4:$AI$671,1),1,BE1185):INDEX((係数_バス貨物_ガソリン,係数_バス貨物_CNG,係数_バス貨物_軽油,係数_バス貨物_メタノール,係数_バス貨物_LPG),MATCH(AY1185+1,【参考】排出係数!$AI$4:$AI$671,1)-1,5,BE1185),5,FALSE)),IF(AND(BE1185=3,LEFT(BF1185,1)="1"),0.055,VLOOKUP(AU1185,INDEX((係数_乗用_ガソリン,係数_乗用_CNG,係数_乗用_軽油,係数_乗用_メタノール,係数_乗用_LPG),1,1,BE1185):INDEX((係数_乗用_ガソリン,係数_乗用_CNG,係数_乗用_軽油,係数_乗用_メタノール,係数_乗用_LPG),125,5,BE1185),5,FALSE)))))</f>
        <v/>
      </c>
      <c r="AN1185" s="461" t="str">
        <f t="shared" si="654"/>
        <v/>
      </c>
      <c r="AO1185" s="462" t="str">
        <f t="shared" si="655"/>
        <v/>
      </c>
      <c r="AP1185" s="463" t="str">
        <f t="shared" si="656"/>
        <v/>
      </c>
      <c r="AQ1185" s="464"/>
      <c r="AR1185" s="619"/>
      <c r="AS1185" s="465" t="str">
        <f t="shared" si="664"/>
        <v/>
      </c>
      <c r="AT1185" s="465" t="str">
        <f t="shared" si="665"/>
        <v/>
      </c>
      <c r="AU1185" s="466" t="str">
        <f t="shared" si="666"/>
        <v/>
      </c>
      <c r="AV1185" s="467" t="str">
        <f t="shared" si="667"/>
        <v/>
      </c>
      <c r="AW1185" s="467" t="str">
        <f t="shared" si="668"/>
        <v/>
      </c>
      <c r="AX1185" s="467" t="str">
        <f t="shared" si="669"/>
        <v/>
      </c>
      <c r="AY1185" s="467" t="str">
        <f t="shared" si="670"/>
        <v/>
      </c>
      <c r="AZ1185" s="467" t="str">
        <f t="shared" si="671"/>
        <v/>
      </c>
      <c r="BA1185" s="468" t="str">
        <f>IF(AS1185="","",IF(OR(AU1185="",AU1185="-"),"－",IF(OR(AZ1185=8,AZ1185=9),"",IF(OR(AW1185=3,AW1185=4,AW1185=5,AW1185=6),VLOOKUP(AU1185,INDEX((係数_バス貨物_ガソリン,係数_バス貨物_CNG,係数_バス貨物_軽油,係数_バス貨物_メタノール,係数_バス貨物_LPG),MATCH(AY1185,【参考】排出係数!$AI$4:$AI$671,1),1,BE1185):INDEX((係数_バス貨物_ガソリン,係数_バス貨物_CNG,係数_バス貨物_軽油,係数_バス貨物_メタノール,係数_バス貨物_LPG),MATCH(AY1185+1,【参考】排出係数!$AI$4:$AI$671,1)-1,5,BE1185),2,FALSE),IF(OR(AW1185=1,AW1185=2),VLOOKUP(AU1185,INDEX((係数_乗用_ガソリン,係数_乗用_CNG,係数_乗用_軽油,係数_乗用_メタノール,係数_乗用_LPG),1,1,BE1185):INDEX((係数_乗用_ガソリン,係数_乗用_CNG,係数_乗用_軽油,係数_乗用_メタノール,係数_乗用_LPG),125,5,BE1185),2,FALSE))))))</f>
        <v/>
      </c>
      <c r="BB1185" s="468" t="str">
        <f>IF(T1185="","",IF(OR(AU1185="",AU1185="-"),"－",IF(OR(AZ1185=8,AZ1185=9),"",IF(OR(AW1185=3,AW1185=4,AW1185=5,AW1185=6),VLOOKUP(AU1185,INDEX((係数_バス貨物_ガソリン,係数_バス貨物_CNG,係数_バス貨物_軽油,係数_バス貨物_メタノール,係数_バス貨物_LPG),MATCH(AY1185,【参考】排出係数!$AI$4:$AI$671,1),1,BE1185):INDEX((係数_バス貨物_ガソリン,係数_バス貨物_CNG,係数_バス貨物_軽油,係数_バス貨物_メタノール,係数_バス貨物_LPG),MATCH(AY1185+1,【参考】排出係数!$AI$4:$AI$671,1)-1,5,BE1185),3,FALSE),IF(OR(AW1185=1,AW1185=2),VLOOKUP(AU1185,INDEX((係数_乗用_ガソリン,係数_乗用_CNG,係数_乗用_軽油,係数_乗用_メタノール,係数_乗用_LPG),1,1,BE1185):INDEX((係数_乗用_ガソリン,係数_乗用_CNG,係数_乗用_軽油,係数_乗用_メタノール,係数_乗用_LPG),125,5,BE1185),3,FALSE))))))</f>
        <v/>
      </c>
      <c r="BC1185" s="467" t="str">
        <f t="shared" si="672"/>
        <v/>
      </c>
      <c r="BD1185" s="567" t="str">
        <f t="shared" si="673"/>
        <v/>
      </c>
      <c r="BE1185" s="467" t="str">
        <f t="shared" si="674"/>
        <v/>
      </c>
      <c r="BF1185" s="469" t="str">
        <f t="shared" ca="1" si="675"/>
        <v/>
      </c>
      <c r="BG1185" s="469" t="str">
        <f t="shared" ca="1" si="676"/>
        <v/>
      </c>
      <c r="BH1185" s="467" t="str">
        <f t="shared" si="677"/>
        <v/>
      </c>
      <c r="BI1185" s="467" t="str">
        <f t="shared" ca="1" si="678"/>
        <v/>
      </c>
      <c r="BJ1185" s="469" t="str">
        <f t="shared" si="679"/>
        <v/>
      </c>
      <c r="BK1185" s="470" t="str">
        <f t="shared" si="663"/>
        <v/>
      </c>
      <c r="BL1185" s="775" t="str">
        <f t="shared" si="680"/>
        <v/>
      </c>
      <c r="BM1185" s="775" t="str">
        <f t="shared" si="681"/>
        <v/>
      </c>
    </row>
    <row r="1186" spans="1:65">
      <c r="A1186" s="473">
        <v>1130</v>
      </c>
      <c r="B1186" s="132"/>
      <c r="C1186" s="332"/>
      <c r="D1186" s="333"/>
      <c r="E1186" s="333"/>
      <c r="F1186" s="334"/>
      <c r="G1186" s="337"/>
      <c r="H1186" s="131"/>
      <c r="I1186" s="337"/>
      <c r="J1186" s="131"/>
      <c r="K1186" s="458" t="str">
        <f t="shared" si="644"/>
        <v/>
      </c>
      <c r="L1186" s="458">
        <f t="shared" si="645"/>
        <v>0</v>
      </c>
      <c r="M1186" s="458">
        <f t="shared" si="646"/>
        <v>0</v>
      </c>
      <c r="N1186" s="459" t="str">
        <f t="shared" si="657"/>
        <v/>
      </c>
      <c r="O1186" s="459" t="str">
        <f t="shared" si="658"/>
        <v/>
      </c>
      <c r="P1186" s="459" t="str">
        <f t="shared" si="659"/>
        <v/>
      </c>
      <c r="Q1186" s="459" t="str">
        <f t="shared" si="660"/>
        <v/>
      </c>
      <c r="R1186" s="459" t="str">
        <f t="shared" si="661"/>
        <v/>
      </c>
      <c r="S1186" s="459" t="str">
        <f t="shared" si="662"/>
        <v/>
      </c>
      <c r="T1186" s="566" t="str">
        <f t="shared" si="647"/>
        <v/>
      </c>
      <c r="U1186" s="702"/>
      <c r="V1186" s="132"/>
      <c r="W1186" s="133"/>
      <c r="X1186" s="134"/>
      <c r="Y1186" s="135"/>
      <c r="Z1186" s="137"/>
      <c r="AA1186" s="136"/>
      <c r="AB1186" s="566" t="str">
        <f t="shared" si="648"/>
        <v/>
      </c>
      <c r="AC1186" s="568" t="str">
        <f t="shared" si="649"/>
        <v/>
      </c>
      <c r="AD1186" s="137"/>
      <c r="AE1186" s="137"/>
      <c r="AF1186" s="138"/>
      <c r="AG1186" s="138"/>
      <c r="AH1186" s="592" t="str">
        <f t="shared" si="650"/>
        <v/>
      </c>
      <c r="AI1186" s="592" t="str">
        <f t="shared" si="651"/>
        <v/>
      </c>
      <c r="AJ1186" s="592" t="str">
        <f t="shared" si="652"/>
        <v/>
      </c>
      <c r="AK1186" s="460" t="str">
        <f>IF(AU1186="","",IF(OR(AZ1186=8,AZ1186=9),0,IF(OR(AW1186=3,AW1186=4,AW1186=5,AW1186=6),IF(LEFT(BF1186,1)="1",INDEX(係数_NOX・PM低減,MATCH(AY1186,【参考】排出係数!$AI$801:$AI$804,1),1),VLOOKUP(AU1186,INDEX((係数_バス貨物_ガソリン,係数_バス貨物_CNG,係数_バス貨物_軽油,係数_バス貨物_メタノール,係数_バス貨物_LPG),MATCH(AY1186,【参考】排出係数!$AI$4:$AI$671,1),1,BE1186):INDEX((係数_バス貨物_ガソリン,係数_バス貨物_CNG,係数_バス貨物_軽油,係数_バス貨物_メタノール,係数_バス貨物_LPG),MATCH(AY1186+1,【参考】排出係数!$AI$4:$AI$671,1)-1,5,BE1186),4,FALSE)),IF(AND(BE1186=3,LEFT(BF1186,1)="1"),0.48,VLOOKUP(AU1186,INDEX((係数_乗用_ガソリン,係数_乗用_CNG,係数_乗用_軽油,係数_乗用_メタノール,係数_乗用_LPG),1,1,BE1186):INDEX((係数_乗用_ガソリン,係数_乗用_CNG,係数_乗用_軽油,係数_乗用_メタノール,係数_乗用_LPG),125,5,BE1186),4,FALSE)))))</f>
        <v/>
      </c>
      <c r="AL1186" s="461" t="str">
        <f t="shared" si="653"/>
        <v/>
      </c>
      <c r="AM1186" s="460" t="str">
        <f>IF(AU1186="","",IF(OR(AZ1186=8,AZ1186=9),0,IF(OR(AW1186=3,AW1186=4,AW1186=5,AW1186=6),IF(LEFT(BH1186,1)="1",INDEX(係数_PM低減,MATCH(AY1186,【参考】排出係数!$AI$801:$AI$804,1),MATCH(BI1186,【参考】排出係数!$AL$798:$AO$798,1)),VLOOKUP(AU1186,INDEX((係数_バス貨物_ガソリン,係数_バス貨物_CNG,係数_バス貨物_軽油,係数_バス貨物_メタノール,係数_バス貨物_LPG),MATCH(AY1186,【参考】排出係数!$AI$4:$AI$671,1),1,BE1186):INDEX((係数_バス貨物_ガソリン,係数_バス貨物_CNG,係数_バス貨物_軽油,係数_バス貨物_メタノール,係数_バス貨物_LPG),MATCH(AY1186+1,【参考】排出係数!$AI$4:$AI$671,1)-1,5,BE1186),5,FALSE)),IF(AND(BE1186=3,LEFT(BF1186,1)="1"),0.055,VLOOKUP(AU1186,INDEX((係数_乗用_ガソリン,係数_乗用_CNG,係数_乗用_軽油,係数_乗用_メタノール,係数_乗用_LPG),1,1,BE1186):INDEX((係数_乗用_ガソリン,係数_乗用_CNG,係数_乗用_軽油,係数_乗用_メタノール,係数_乗用_LPG),125,5,BE1186),5,FALSE)))))</f>
        <v/>
      </c>
      <c r="AN1186" s="461" t="str">
        <f t="shared" si="654"/>
        <v/>
      </c>
      <c r="AO1186" s="462" t="str">
        <f t="shared" si="655"/>
        <v/>
      </c>
      <c r="AP1186" s="463" t="str">
        <f t="shared" si="656"/>
        <v/>
      </c>
      <c r="AQ1186" s="464"/>
      <c r="AR1186" s="619"/>
      <c r="AS1186" s="465" t="str">
        <f t="shared" si="664"/>
        <v/>
      </c>
      <c r="AT1186" s="465" t="str">
        <f t="shared" si="665"/>
        <v/>
      </c>
      <c r="AU1186" s="466" t="str">
        <f t="shared" si="666"/>
        <v/>
      </c>
      <c r="AV1186" s="467" t="str">
        <f t="shared" si="667"/>
        <v/>
      </c>
      <c r="AW1186" s="467" t="str">
        <f t="shared" si="668"/>
        <v/>
      </c>
      <c r="AX1186" s="467" t="str">
        <f t="shared" si="669"/>
        <v/>
      </c>
      <c r="AY1186" s="467" t="str">
        <f t="shared" si="670"/>
        <v/>
      </c>
      <c r="AZ1186" s="467" t="str">
        <f t="shared" si="671"/>
        <v/>
      </c>
      <c r="BA1186" s="468" t="str">
        <f>IF(AS1186="","",IF(OR(AU1186="",AU1186="-"),"－",IF(OR(AZ1186=8,AZ1186=9),"",IF(OR(AW1186=3,AW1186=4,AW1186=5,AW1186=6),VLOOKUP(AU1186,INDEX((係数_バス貨物_ガソリン,係数_バス貨物_CNG,係数_バス貨物_軽油,係数_バス貨物_メタノール,係数_バス貨物_LPG),MATCH(AY1186,【参考】排出係数!$AI$4:$AI$671,1),1,BE1186):INDEX((係数_バス貨物_ガソリン,係数_バス貨物_CNG,係数_バス貨物_軽油,係数_バス貨物_メタノール,係数_バス貨物_LPG),MATCH(AY1186+1,【参考】排出係数!$AI$4:$AI$671,1)-1,5,BE1186),2,FALSE),IF(OR(AW1186=1,AW1186=2),VLOOKUP(AU1186,INDEX((係数_乗用_ガソリン,係数_乗用_CNG,係数_乗用_軽油,係数_乗用_メタノール,係数_乗用_LPG),1,1,BE1186):INDEX((係数_乗用_ガソリン,係数_乗用_CNG,係数_乗用_軽油,係数_乗用_メタノール,係数_乗用_LPG),125,5,BE1186),2,FALSE))))))</f>
        <v/>
      </c>
      <c r="BB1186" s="468" t="str">
        <f>IF(T1186="","",IF(OR(AU1186="",AU1186="-"),"－",IF(OR(AZ1186=8,AZ1186=9),"",IF(OR(AW1186=3,AW1186=4,AW1186=5,AW1186=6),VLOOKUP(AU1186,INDEX((係数_バス貨物_ガソリン,係数_バス貨物_CNG,係数_バス貨物_軽油,係数_バス貨物_メタノール,係数_バス貨物_LPG),MATCH(AY1186,【参考】排出係数!$AI$4:$AI$671,1),1,BE1186):INDEX((係数_バス貨物_ガソリン,係数_バス貨物_CNG,係数_バス貨物_軽油,係数_バス貨物_メタノール,係数_バス貨物_LPG),MATCH(AY1186+1,【参考】排出係数!$AI$4:$AI$671,1)-1,5,BE1186),3,FALSE),IF(OR(AW1186=1,AW1186=2),VLOOKUP(AU1186,INDEX((係数_乗用_ガソリン,係数_乗用_CNG,係数_乗用_軽油,係数_乗用_メタノール,係数_乗用_LPG),1,1,BE1186):INDEX((係数_乗用_ガソリン,係数_乗用_CNG,係数_乗用_軽油,係数_乗用_メタノール,係数_乗用_LPG),125,5,BE1186),3,FALSE))))))</f>
        <v/>
      </c>
      <c r="BC1186" s="467" t="str">
        <f t="shared" si="672"/>
        <v/>
      </c>
      <c r="BD1186" s="567" t="str">
        <f t="shared" si="673"/>
        <v/>
      </c>
      <c r="BE1186" s="467" t="str">
        <f t="shared" si="674"/>
        <v/>
      </c>
      <c r="BF1186" s="469" t="str">
        <f t="shared" ca="1" si="675"/>
        <v/>
      </c>
      <c r="BG1186" s="469" t="str">
        <f t="shared" ca="1" si="676"/>
        <v/>
      </c>
      <c r="BH1186" s="467" t="str">
        <f t="shared" si="677"/>
        <v/>
      </c>
      <c r="BI1186" s="467" t="str">
        <f t="shared" ca="1" si="678"/>
        <v/>
      </c>
      <c r="BJ1186" s="469" t="str">
        <f t="shared" si="679"/>
        <v/>
      </c>
      <c r="BK1186" s="470" t="str">
        <f t="shared" si="663"/>
        <v/>
      </c>
      <c r="BL1186" s="775" t="str">
        <f t="shared" si="680"/>
        <v/>
      </c>
      <c r="BM1186" s="775" t="str">
        <f t="shared" si="681"/>
        <v/>
      </c>
    </row>
    <row r="1187" spans="1:65">
      <c r="A1187" s="473">
        <v>1131</v>
      </c>
      <c r="B1187" s="132"/>
      <c r="C1187" s="332"/>
      <c r="D1187" s="333"/>
      <c r="E1187" s="333"/>
      <c r="F1187" s="334"/>
      <c r="G1187" s="337"/>
      <c r="H1187" s="131"/>
      <c r="I1187" s="337"/>
      <c r="J1187" s="131"/>
      <c r="K1187" s="458" t="str">
        <f t="shared" si="644"/>
        <v/>
      </c>
      <c r="L1187" s="458">
        <f t="shared" si="645"/>
        <v>0</v>
      </c>
      <c r="M1187" s="458">
        <f t="shared" si="646"/>
        <v>0</v>
      </c>
      <c r="N1187" s="459" t="str">
        <f t="shared" si="657"/>
        <v/>
      </c>
      <c r="O1187" s="459" t="str">
        <f t="shared" si="658"/>
        <v/>
      </c>
      <c r="P1187" s="459" t="str">
        <f t="shared" si="659"/>
        <v/>
      </c>
      <c r="Q1187" s="459" t="str">
        <f t="shared" si="660"/>
        <v/>
      </c>
      <c r="R1187" s="459" t="str">
        <f t="shared" si="661"/>
        <v/>
      </c>
      <c r="S1187" s="459" t="str">
        <f t="shared" si="662"/>
        <v/>
      </c>
      <c r="T1187" s="566" t="str">
        <f t="shared" si="647"/>
        <v/>
      </c>
      <c r="U1187" s="702"/>
      <c r="V1187" s="132"/>
      <c r="W1187" s="133"/>
      <c r="X1187" s="134"/>
      <c r="Y1187" s="135"/>
      <c r="Z1187" s="137"/>
      <c r="AA1187" s="136"/>
      <c r="AB1187" s="566" t="str">
        <f t="shared" si="648"/>
        <v/>
      </c>
      <c r="AC1187" s="568" t="str">
        <f t="shared" si="649"/>
        <v/>
      </c>
      <c r="AD1187" s="137"/>
      <c r="AE1187" s="137"/>
      <c r="AF1187" s="138"/>
      <c r="AG1187" s="138"/>
      <c r="AH1187" s="592" t="str">
        <f t="shared" si="650"/>
        <v/>
      </c>
      <c r="AI1187" s="592" t="str">
        <f t="shared" si="651"/>
        <v/>
      </c>
      <c r="AJ1187" s="592" t="str">
        <f t="shared" si="652"/>
        <v/>
      </c>
      <c r="AK1187" s="460" t="str">
        <f>IF(AU1187="","",IF(OR(AZ1187=8,AZ1187=9),0,IF(OR(AW1187=3,AW1187=4,AW1187=5,AW1187=6),IF(LEFT(BF1187,1)="1",INDEX(係数_NOX・PM低減,MATCH(AY1187,【参考】排出係数!$AI$801:$AI$804,1),1),VLOOKUP(AU1187,INDEX((係数_バス貨物_ガソリン,係数_バス貨物_CNG,係数_バス貨物_軽油,係数_バス貨物_メタノール,係数_バス貨物_LPG),MATCH(AY1187,【参考】排出係数!$AI$4:$AI$671,1),1,BE1187):INDEX((係数_バス貨物_ガソリン,係数_バス貨物_CNG,係数_バス貨物_軽油,係数_バス貨物_メタノール,係数_バス貨物_LPG),MATCH(AY1187+1,【参考】排出係数!$AI$4:$AI$671,1)-1,5,BE1187),4,FALSE)),IF(AND(BE1187=3,LEFT(BF1187,1)="1"),0.48,VLOOKUP(AU1187,INDEX((係数_乗用_ガソリン,係数_乗用_CNG,係数_乗用_軽油,係数_乗用_メタノール,係数_乗用_LPG),1,1,BE1187):INDEX((係数_乗用_ガソリン,係数_乗用_CNG,係数_乗用_軽油,係数_乗用_メタノール,係数_乗用_LPG),125,5,BE1187),4,FALSE)))))</f>
        <v/>
      </c>
      <c r="AL1187" s="461" t="str">
        <f t="shared" si="653"/>
        <v/>
      </c>
      <c r="AM1187" s="460" t="str">
        <f>IF(AU1187="","",IF(OR(AZ1187=8,AZ1187=9),0,IF(OR(AW1187=3,AW1187=4,AW1187=5,AW1187=6),IF(LEFT(BH1187,1)="1",INDEX(係数_PM低減,MATCH(AY1187,【参考】排出係数!$AI$801:$AI$804,1),MATCH(BI1187,【参考】排出係数!$AL$798:$AO$798,1)),VLOOKUP(AU1187,INDEX((係数_バス貨物_ガソリン,係数_バス貨物_CNG,係数_バス貨物_軽油,係数_バス貨物_メタノール,係数_バス貨物_LPG),MATCH(AY1187,【参考】排出係数!$AI$4:$AI$671,1),1,BE1187):INDEX((係数_バス貨物_ガソリン,係数_バス貨物_CNG,係数_バス貨物_軽油,係数_バス貨物_メタノール,係数_バス貨物_LPG),MATCH(AY1187+1,【参考】排出係数!$AI$4:$AI$671,1)-1,5,BE1187),5,FALSE)),IF(AND(BE1187=3,LEFT(BF1187,1)="1"),0.055,VLOOKUP(AU1187,INDEX((係数_乗用_ガソリン,係数_乗用_CNG,係数_乗用_軽油,係数_乗用_メタノール,係数_乗用_LPG),1,1,BE1187):INDEX((係数_乗用_ガソリン,係数_乗用_CNG,係数_乗用_軽油,係数_乗用_メタノール,係数_乗用_LPG),125,5,BE1187),5,FALSE)))))</f>
        <v/>
      </c>
      <c r="AN1187" s="461" t="str">
        <f t="shared" si="654"/>
        <v/>
      </c>
      <c r="AO1187" s="462" t="str">
        <f t="shared" si="655"/>
        <v/>
      </c>
      <c r="AP1187" s="463" t="str">
        <f t="shared" si="656"/>
        <v/>
      </c>
      <c r="AQ1187" s="464"/>
      <c r="AR1187" s="619"/>
      <c r="AS1187" s="465" t="str">
        <f t="shared" si="664"/>
        <v/>
      </c>
      <c r="AT1187" s="465" t="str">
        <f t="shared" si="665"/>
        <v/>
      </c>
      <c r="AU1187" s="466" t="str">
        <f t="shared" si="666"/>
        <v/>
      </c>
      <c r="AV1187" s="467" t="str">
        <f t="shared" si="667"/>
        <v/>
      </c>
      <c r="AW1187" s="467" t="str">
        <f t="shared" si="668"/>
        <v/>
      </c>
      <c r="AX1187" s="467" t="str">
        <f t="shared" si="669"/>
        <v/>
      </c>
      <c r="AY1187" s="467" t="str">
        <f t="shared" si="670"/>
        <v/>
      </c>
      <c r="AZ1187" s="467" t="str">
        <f t="shared" si="671"/>
        <v/>
      </c>
      <c r="BA1187" s="468" t="str">
        <f>IF(AS1187="","",IF(OR(AU1187="",AU1187="-"),"－",IF(OR(AZ1187=8,AZ1187=9),"",IF(OR(AW1187=3,AW1187=4,AW1187=5,AW1187=6),VLOOKUP(AU1187,INDEX((係数_バス貨物_ガソリン,係数_バス貨物_CNG,係数_バス貨物_軽油,係数_バス貨物_メタノール,係数_バス貨物_LPG),MATCH(AY1187,【参考】排出係数!$AI$4:$AI$671,1),1,BE1187):INDEX((係数_バス貨物_ガソリン,係数_バス貨物_CNG,係数_バス貨物_軽油,係数_バス貨物_メタノール,係数_バス貨物_LPG),MATCH(AY1187+1,【参考】排出係数!$AI$4:$AI$671,1)-1,5,BE1187),2,FALSE),IF(OR(AW1187=1,AW1187=2),VLOOKUP(AU1187,INDEX((係数_乗用_ガソリン,係数_乗用_CNG,係数_乗用_軽油,係数_乗用_メタノール,係数_乗用_LPG),1,1,BE1187):INDEX((係数_乗用_ガソリン,係数_乗用_CNG,係数_乗用_軽油,係数_乗用_メタノール,係数_乗用_LPG),125,5,BE1187),2,FALSE))))))</f>
        <v/>
      </c>
      <c r="BB1187" s="468" t="str">
        <f>IF(T1187="","",IF(OR(AU1187="",AU1187="-"),"－",IF(OR(AZ1187=8,AZ1187=9),"",IF(OR(AW1187=3,AW1187=4,AW1187=5,AW1187=6),VLOOKUP(AU1187,INDEX((係数_バス貨物_ガソリン,係数_バス貨物_CNG,係数_バス貨物_軽油,係数_バス貨物_メタノール,係数_バス貨物_LPG),MATCH(AY1187,【参考】排出係数!$AI$4:$AI$671,1),1,BE1187):INDEX((係数_バス貨物_ガソリン,係数_バス貨物_CNG,係数_バス貨物_軽油,係数_バス貨物_メタノール,係数_バス貨物_LPG),MATCH(AY1187+1,【参考】排出係数!$AI$4:$AI$671,1)-1,5,BE1187),3,FALSE),IF(OR(AW1187=1,AW1187=2),VLOOKUP(AU1187,INDEX((係数_乗用_ガソリン,係数_乗用_CNG,係数_乗用_軽油,係数_乗用_メタノール,係数_乗用_LPG),1,1,BE1187):INDEX((係数_乗用_ガソリン,係数_乗用_CNG,係数_乗用_軽油,係数_乗用_メタノール,係数_乗用_LPG),125,5,BE1187),3,FALSE))))))</f>
        <v/>
      </c>
      <c r="BC1187" s="467" t="str">
        <f t="shared" si="672"/>
        <v/>
      </c>
      <c r="BD1187" s="567" t="str">
        <f t="shared" si="673"/>
        <v/>
      </c>
      <c r="BE1187" s="467" t="str">
        <f t="shared" si="674"/>
        <v/>
      </c>
      <c r="BF1187" s="469" t="str">
        <f t="shared" ca="1" si="675"/>
        <v/>
      </c>
      <c r="BG1187" s="469" t="str">
        <f t="shared" ca="1" si="676"/>
        <v/>
      </c>
      <c r="BH1187" s="467" t="str">
        <f t="shared" si="677"/>
        <v/>
      </c>
      <c r="BI1187" s="467" t="str">
        <f t="shared" ca="1" si="678"/>
        <v/>
      </c>
      <c r="BJ1187" s="469" t="str">
        <f t="shared" si="679"/>
        <v/>
      </c>
      <c r="BK1187" s="470" t="str">
        <f t="shared" si="663"/>
        <v/>
      </c>
      <c r="BL1187" s="775" t="str">
        <f t="shared" si="680"/>
        <v/>
      </c>
      <c r="BM1187" s="775" t="str">
        <f t="shared" si="681"/>
        <v/>
      </c>
    </row>
    <row r="1188" spans="1:65">
      <c r="A1188" s="473">
        <v>1132</v>
      </c>
      <c r="B1188" s="132"/>
      <c r="C1188" s="332"/>
      <c r="D1188" s="333"/>
      <c r="E1188" s="333"/>
      <c r="F1188" s="334"/>
      <c r="G1188" s="337"/>
      <c r="H1188" s="131"/>
      <c r="I1188" s="337"/>
      <c r="J1188" s="131"/>
      <c r="K1188" s="458" t="str">
        <f t="shared" si="644"/>
        <v/>
      </c>
      <c r="L1188" s="458">
        <f t="shared" si="645"/>
        <v>0</v>
      </c>
      <c r="M1188" s="458">
        <f t="shared" si="646"/>
        <v>0</v>
      </c>
      <c r="N1188" s="459" t="str">
        <f t="shared" si="657"/>
        <v/>
      </c>
      <c r="O1188" s="459" t="str">
        <f t="shared" si="658"/>
        <v/>
      </c>
      <c r="P1188" s="459" t="str">
        <f t="shared" si="659"/>
        <v/>
      </c>
      <c r="Q1188" s="459" t="str">
        <f t="shared" si="660"/>
        <v/>
      </c>
      <c r="R1188" s="459" t="str">
        <f t="shared" si="661"/>
        <v/>
      </c>
      <c r="S1188" s="459" t="str">
        <f t="shared" si="662"/>
        <v/>
      </c>
      <c r="T1188" s="566" t="str">
        <f t="shared" si="647"/>
        <v/>
      </c>
      <c r="U1188" s="702"/>
      <c r="V1188" s="132"/>
      <c r="W1188" s="133"/>
      <c r="X1188" s="134"/>
      <c r="Y1188" s="135"/>
      <c r="Z1188" s="137"/>
      <c r="AA1188" s="136"/>
      <c r="AB1188" s="566" t="str">
        <f t="shared" si="648"/>
        <v/>
      </c>
      <c r="AC1188" s="568" t="str">
        <f t="shared" si="649"/>
        <v/>
      </c>
      <c r="AD1188" s="137"/>
      <c r="AE1188" s="137"/>
      <c r="AF1188" s="138"/>
      <c r="AG1188" s="138"/>
      <c r="AH1188" s="592" t="str">
        <f t="shared" si="650"/>
        <v/>
      </c>
      <c r="AI1188" s="592" t="str">
        <f t="shared" si="651"/>
        <v/>
      </c>
      <c r="AJ1188" s="592" t="str">
        <f t="shared" si="652"/>
        <v/>
      </c>
      <c r="AK1188" s="460" t="str">
        <f>IF(AU1188="","",IF(OR(AZ1188=8,AZ1188=9),0,IF(OR(AW1188=3,AW1188=4,AW1188=5,AW1188=6),IF(LEFT(BF1188,1)="1",INDEX(係数_NOX・PM低減,MATCH(AY1188,【参考】排出係数!$AI$801:$AI$804,1),1),VLOOKUP(AU1188,INDEX((係数_バス貨物_ガソリン,係数_バス貨物_CNG,係数_バス貨物_軽油,係数_バス貨物_メタノール,係数_バス貨物_LPG),MATCH(AY1188,【参考】排出係数!$AI$4:$AI$671,1),1,BE1188):INDEX((係数_バス貨物_ガソリン,係数_バス貨物_CNG,係数_バス貨物_軽油,係数_バス貨物_メタノール,係数_バス貨物_LPG),MATCH(AY1188+1,【参考】排出係数!$AI$4:$AI$671,1)-1,5,BE1188),4,FALSE)),IF(AND(BE1188=3,LEFT(BF1188,1)="1"),0.48,VLOOKUP(AU1188,INDEX((係数_乗用_ガソリン,係数_乗用_CNG,係数_乗用_軽油,係数_乗用_メタノール,係数_乗用_LPG),1,1,BE1188):INDEX((係数_乗用_ガソリン,係数_乗用_CNG,係数_乗用_軽油,係数_乗用_メタノール,係数_乗用_LPG),125,5,BE1188),4,FALSE)))))</f>
        <v/>
      </c>
      <c r="AL1188" s="461" t="str">
        <f t="shared" si="653"/>
        <v/>
      </c>
      <c r="AM1188" s="460" t="str">
        <f>IF(AU1188="","",IF(OR(AZ1188=8,AZ1188=9),0,IF(OR(AW1188=3,AW1188=4,AW1188=5,AW1188=6),IF(LEFT(BH1188,1)="1",INDEX(係数_PM低減,MATCH(AY1188,【参考】排出係数!$AI$801:$AI$804,1),MATCH(BI1188,【参考】排出係数!$AL$798:$AO$798,1)),VLOOKUP(AU1188,INDEX((係数_バス貨物_ガソリン,係数_バス貨物_CNG,係数_バス貨物_軽油,係数_バス貨物_メタノール,係数_バス貨物_LPG),MATCH(AY1188,【参考】排出係数!$AI$4:$AI$671,1),1,BE1188):INDEX((係数_バス貨物_ガソリン,係数_バス貨物_CNG,係数_バス貨物_軽油,係数_バス貨物_メタノール,係数_バス貨物_LPG),MATCH(AY1188+1,【参考】排出係数!$AI$4:$AI$671,1)-1,5,BE1188),5,FALSE)),IF(AND(BE1188=3,LEFT(BF1188,1)="1"),0.055,VLOOKUP(AU1188,INDEX((係数_乗用_ガソリン,係数_乗用_CNG,係数_乗用_軽油,係数_乗用_メタノール,係数_乗用_LPG),1,1,BE1188):INDEX((係数_乗用_ガソリン,係数_乗用_CNG,係数_乗用_軽油,係数_乗用_メタノール,係数_乗用_LPG),125,5,BE1188),5,FALSE)))))</f>
        <v/>
      </c>
      <c r="AN1188" s="461" t="str">
        <f t="shared" si="654"/>
        <v/>
      </c>
      <c r="AO1188" s="462" t="str">
        <f t="shared" si="655"/>
        <v/>
      </c>
      <c r="AP1188" s="463" t="str">
        <f t="shared" si="656"/>
        <v/>
      </c>
      <c r="AQ1188" s="464"/>
      <c r="AR1188" s="619"/>
      <c r="AS1188" s="465" t="str">
        <f t="shared" si="664"/>
        <v/>
      </c>
      <c r="AT1188" s="465" t="str">
        <f t="shared" si="665"/>
        <v/>
      </c>
      <c r="AU1188" s="466" t="str">
        <f t="shared" si="666"/>
        <v/>
      </c>
      <c r="AV1188" s="467" t="str">
        <f t="shared" si="667"/>
        <v/>
      </c>
      <c r="AW1188" s="467" t="str">
        <f t="shared" si="668"/>
        <v/>
      </c>
      <c r="AX1188" s="467" t="str">
        <f t="shared" si="669"/>
        <v/>
      </c>
      <c r="AY1188" s="467" t="str">
        <f t="shared" si="670"/>
        <v/>
      </c>
      <c r="AZ1188" s="467" t="str">
        <f t="shared" si="671"/>
        <v/>
      </c>
      <c r="BA1188" s="468" t="str">
        <f>IF(AS1188="","",IF(OR(AU1188="",AU1188="-"),"－",IF(OR(AZ1188=8,AZ1188=9),"",IF(OR(AW1188=3,AW1188=4,AW1188=5,AW1188=6),VLOOKUP(AU1188,INDEX((係数_バス貨物_ガソリン,係数_バス貨物_CNG,係数_バス貨物_軽油,係数_バス貨物_メタノール,係数_バス貨物_LPG),MATCH(AY1188,【参考】排出係数!$AI$4:$AI$671,1),1,BE1188):INDEX((係数_バス貨物_ガソリン,係数_バス貨物_CNG,係数_バス貨物_軽油,係数_バス貨物_メタノール,係数_バス貨物_LPG),MATCH(AY1188+1,【参考】排出係数!$AI$4:$AI$671,1)-1,5,BE1188),2,FALSE),IF(OR(AW1188=1,AW1188=2),VLOOKUP(AU1188,INDEX((係数_乗用_ガソリン,係数_乗用_CNG,係数_乗用_軽油,係数_乗用_メタノール,係数_乗用_LPG),1,1,BE1188):INDEX((係数_乗用_ガソリン,係数_乗用_CNG,係数_乗用_軽油,係数_乗用_メタノール,係数_乗用_LPG),125,5,BE1188),2,FALSE))))))</f>
        <v/>
      </c>
      <c r="BB1188" s="468" t="str">
        <f>IF(T1188="","",IF(OR(AU1188="",AU1188="-"),"－",IF(OR(AZ1188=8,AZ1188=9),"",IF(OR(AW1188=3,AW1188=4,AW1188=5,AW1188=6),VLOOKUP(AU1188,INDEX((係数_バス貨物_ガソリン,係数_バス貨物_CNG,係数_バス貨物_軽油,係数_バス貨物_メタノール,係数_バス貨物_LPG),MATCH(AY1188,【参考】排出係数!$AI$4:$AI$671,1),1,BE1188):INDEX((係数_バス貨物_ガソリン,係数_バス貨物_CNG,係数_バス貨物_軽油,係数_バス貨物_メタノール,係数_バス貨物_LPG),MATCH(AY1188+1,【参考】排出係数!$AI$4:$AI$671,1)-1,5,BE1188),3,FALSE),IF(OR(AW1188=1,AW1188=2),VLOOKUP(AU1188,INDEX((係数_乗用_ガソリン,係数_乗用_CNG,係数_乗用_軽油,係数_乗用_メタノール,係数_乗用_LPG),1,1,BE1188):INDEX((係数_乗用_ガソリン,係数_乗用_CNG,係数_乗用_軽油,係数_乗用_メタノール,係数_乗用_LPG),125,5,BE1188),3,FALSE))))))</f>
        <v/>
      </c>
      <c r="BC1188" s="467" t="str">
        <f t="shared" si="672"/>
        <v/>
      </c>
      <c r="BD1188" s="567" t="str">
        <f t="shared" si="673"/>
        <v/>
      </c>
      <c r="BE1188" s="467" t="str">
        <f t="shared" si="674"/>
        <v/>
      </c>
      <c r="BF1188" s="469" t="str">
        <f t="shared" ca="1" si="675"/>
        <v/>
      </c>
      <c r="BG1188" s="469" t="str">
        <f t="shared" ca="1" si="676"/>
        <v/>
      </c>
      <c r="BH1188" s="467" t="str">
        <f t="shared" si="677"/>
        <v/>
      </c>
      <c r="BI1188" s="467" t="str">
        <f t="shared" ca="1" si="678"/>
        <v/>
      </c>
      <c r="BJ1188" s="469" t="str">
        <f t="shared" si="679"/>
        <v/>
      </c>
      <c r="BK1188" s="470" t="str">
        <f t="shared" si="663"/>
        <v/>
      </c>
      <c r="BL1188" s="775" t="str">
        <f t="shared" si="680"/>
        <v/>
      </c>
      <c r="BM1188" s="775" t="str">
        <f t="shared" si="681"/>
        <v/>
      </c>
    </row>
    <row r="1189" spans="1:65">
      <c r="A1189" s="473">
        <v>1133</v>
      </c>
      <c r="B1189" s="132"/>
      <c r="C1189" s="332"/>
      <c r="D1189" s="333"/>
      <c r="E1189" s="333"/>
      <c r="F1189" s="334"/>
      <c r="G1189" s="337"/>
      <c r="H1189" s="131"/>
      <c r="I1189" s="337"/>
      <c r="J1189" s="131"/>
      <c r="K1189" s="458" t="str">
        <f t="shared" si="644"/>
        <v/>
      </c>
      <c r="L1189" s="458">
        <f t="shared" si="645"/>
        <v>0</v>
      </c>
      <c r="M1189" s="458">
        <f t="shared" si="646"/>
        <v>0</v>
      </c>
      <c r="N1189" s="459" t="str">
        <f t="shared" si="657"/>
        <v/>
      </c>
      <c r="O1189" s="459" t="str">
        <f t="shared" si="658"/>
        <v/>
      </c>
      <c r="P1189" s="459" t="str">
        <f t="shared" si="659"/>
        <v/>
      </c>
      <c r="Q1189" s="459" t="str">
        <f t="shared" si="660"/>
        <v/>
      </c>
      <c r="R1189" s="459" t="str">
        <f t="shared" si="661"/>
        <v/>
      </c>
      <c r="S1189" s="459" t="str">
        <f t="shared" si="662"/>
        <v/>
      </c>
      <c r="T1189" s="566" t="str">
        <f t="shared" si="647"/>
        <v/>
      </c>
      <c r="U1189" s="702"/>
      <c r="V1189" s="132"/>
      <c r="W1189" s="133"/>
      <c r="X1189" s="134"/>
      <c r="Y1189" s="135"/>
      <c r="Z1189" s="137"/>
      <c r="AA1189" s="136"/>
      <c r="AB1189" s="566" t="str">
        <f t="shared" si="648"/>
        <v/>
      </c>
      <c r="AC1189" s="568" t="str">
        <f t="shared" si="649"/>
        <v/>
      </c>
      <c r="AD1189" s="137"/>
      <c r="AE1189" s="137"/>
      <c r="AF1189" s="138"/>
      <c r="AG1189" s="138"/>
      <c r="AH1189" s="592" t="str">
        <f t="shared" si="650"/>
        <v/>
      </c>
      <c r="AI1189" s="592" t="str">
        <f t="shared" si="651"/>
        <v/>
      </c>
      <c r="AJ1189" s="592" t="str">
        <f t="shared" si="652"/>
        <v/>
      </c>
      <c r="AK1189" s="460" t="str">
        <f>IF(AU1189="","",IF(OR(AZ1189=8,AZ1189=9),0,IF(OR(AW1189=3,AW1189=4,AW1189=5,AW1189=6),IF(LEFT(BF1189,1)="1",INDEX(係数_NOX・PM低減,MATCH(AY1189,【参考】排出係数!$AI$801:$AI$804,1),1),VLOOKUP(AU1189,INDEX((係数_バス貨物_ガソリン,係数_バス貨物_CNG,係数_バス貨物_軽油,係数_バス貨物_メタノール,係数_バス貨物_LPG),MATCH(AY1189,【参考】排出係数!$AI$4:$AI$671,1),1,BE1189):INDEX((係数_バス貨物_ガソリン,係数_バス貨物_CNG,係数_バス貨物_軽油,係数_バス貨物_メタノール,係数_バス貨物_LPG),MATCH(AY1189+1,【参考】排出係数!$AI$4:$AI$671,1)-1,5,BE1189),4,FALSE)),IF(AND(BE1189=3,LEFT(BF1189,1)="1"),0.48,VLOOKUP(AU1189,INDEX((係数_乗用_ガソリン,係数_乗用_CNG,係数_乗用_軽油,係数_乗用_メタノール,係数_乗用_LPG),1,1,BE1189):INDEX((係数_乗用_ガソリン,係数_乗用_CNG,係数_乗用_軽油,係数_乗用_メタノール,係数_乗用_LPG),125,5,BE1189),4,FALSE)))))</f>
        <v/>
      </c>
      <c r="AL1189" s="461" t="str">
        <f t="shared" si="653"/>
        <v/>
      </c>
      <c r="AM1189" s="460" t="str">
        <f>IF(AU1189="","",IF(OR(AZ1189=8,AZ1189=9),0,IF(OR(AW1189=3,AW1189=4,AW1189=5,AW1189=6),IF(LEFT(BH1189,1)="1",INDEX(係数_PM低減,MATCH(AY1189,【参考】排出係数!$AI$801:$AI$804,1),MATCH(BI1189,【参考】排出係数!$AL$798:$AO$798,1)),VLOOKUP(AU1189,INDEX((係数_バス貨物_ガソリン,係数_バス貨物_CNG,係数_バス貨物_軽油,係数_バス貨物_メタノール,係数_バス貨物_LPG),MATCH(AY1189,【参考】排出係数!$AI$4:$AI$671,1),1,BE1189):INDEX((係数_バス貨物_ガソリン,係数_バス貨物_CNG,係数_バス貨物_軽油,係数_バス貨物_メタノール,係数_バス貨物_LPG),MATCH(AY1189+1,【参考】排出係数!$AI$4:$AI$671,1)-1,5,BE1189),5,FALSE)),IF(AND(BE1189=3,LEFT(BF1189,1)="1"),0.055,VLOOKUP(AU1189,INDEX((係数_乗用_ガソリン,係数_乗用_CNG,係数_乗用_軽油,係数_乗用_メタノール,係数_乗用_LPG),1,1,BE1189):INDEX((係数_乗用_ガソリン,係数_乗用_CNG,係数_乗用_軽油,係数_乗用_メタノール,係数_乗用_LPG),125,5,BE1189),5,FALSE)))))</f>
        <v/>
      </c>
      <c r="AN1189" s="461" t="str">
        <f t="shared" si="654"/>
        <v/>
      </c>
      <c r="AO1189" s="462" t="str">
        <f t="shared" si="655"/>
        <v/>
      </c>
      <c r="AP1189" s="463" t="str">
        <f t="shared" si="656"/>
        <v/>
      </c>
      <c r="AQ1189" s="464"/>
      <c r="AR1189" s="619"/>
      <c r="AS1189" s="465" t="str">
        <f t="shared" si="664"/>
        <v/>
      </c>
      <c r="AT1189" s="465" t="str">
        <f t="shared" si="665"/>
        <v/>
      </c>
      <c r="AU1189" s="466" t="str">
        <f t="shared" si="666"/>
        <v/>
      </c>
      <c r="AV1189" s="467" t="str">
        <f t="shared" si="667"/>
        <v/>
      </c>
      <c r="AW1189" s="467" t="str">
        <f t="shared" si="668"/>
        <v/>
      </c>
      <c r="AX1189" s="467" t="str">
        <f t="shared" si="669"/>
        <v/>
      </c>
      <c r="AY1189" s="467" t="str">
        <f t="shared" si="670"/>
        <v/>
      </c>
      <c r="AZ1189" s="467" t="str">
        <f t="shared" si="671"/>
        <v/>
      </c>
      <c r="BA1189" s="468" t="str">
        <f>IF(AS1189="","",IF(OR(AU1189="",AU1189="-"),"－",IF(OR(AZ1189=8,AZ1189=9),"",IF(OR(AW1189=3,AW1189=4,AW1189=5,AW1189=6),VLOOKUP(AU1189,INDEX((係数_バス貨物_ガソリン,係数_バス貨物_CNG,係数_バス貨物_軽油,係数_バス貨物_メタノール,係数_バス貨物_LPG),MATCH(AY1189,【参考】排出係数!$AI$4:$AI$671,1),1,BE1189):INDEX((係数_バス貨物_ガソリン,係数_バス貨物_CNG,係数_バス貨物_軽油,係数_バス貨物_メタノール,係数_バス貨物_LPG),MATCH(AY1189+1,【参考】排出係数!$AI$4:$AI$671,1)-1,5,BE1189),2,FALSE),IF(OR(AW1189=1,AW1189=2),VLOOKUP(AU1189,INDEX((係数_乗用_ガソリン,係数_乗用_CNG,係数_乗用_軽油,係数_乗用_メタノール,係数_乗用_LPG),1,1,BE1189):INDEX((係数_乗用_ガソリン,係数_乗用_CNG,係数_乗用_軽油,係数_乗用_メタノール,係数_乗用_LPG),125,5,BE1189),2,FALSE))))))</f>
        <v/>
      </c>
      <c r="BB1189" s="468" t="str">
        <f>IF(T1189="","",IF(OR(AU1189="",AU1189="-"),"－",IF(OR(AZ1189=8,AZ1189=9),"",IF(OR(AW1189=3,AW1189=4,AW1189=5,AW1189=6),VLOOKUP(AU1189,INDEX((係数_バス貨物_ガソリン,係数_バス貨物_CNG,係数_バス貨物_軽油,係数_バス貨物_メタノール,係数_バス貨物_LPG),MATCH(AY1189,【参考】排出係数!$AI$4:$AI$671,1),1,BE1189):INDEX((係数_バス貨物_ガソリン,係数_バス貨物_CNG,係数_バス貨物_軽油,係数_バス貨物_メタノール,係数_バス貨物_LPG),MATCH(AY1189+1,【参考】排出係数!$AI$4:$AI$671,1)-1,5,BE1189),3,FALSE),IF(OR(AW1189=1,AW1189=2),VLOOKUP(AU1189,INDEX((係数_乗用_ガソリン,係数_乗用_CNG,係数_乗用_軽油,係数_乗用_メタノール,係数_乗用_LPG),1,1,BE1189):INDEX((係数_乗用_ガソリン,係数_乗用_CNG,係数_乗用_軽油,係数_乗用_メタノール,係数_乗用_LPG),125,5,BE1189),3,FALSE))))))</f>
        <v/>
      </c>
      <c r="BC1189" s="467" t="str">
        <f t="shared" si="672"/>
        <v/>
      </c>
      <c r="BD1189" s="567" t="str">
        <f t="shared" si="673"/>
        <v/>
      </c>
      <c r="BE1189" s="467" t="str">
        <f t="shared" si="674"/>
        <v/>
      </c>
      <c r="BF1189" s="469" t="str">
        <f t="shared" ca="1" si="675"/>
        <v/>
      </c>
      <c r="BG1189" s="469" t="str">
        <f t="shared" ca="1" si="676"/>
        <v/>
      </c>
      <c r="BH1189" s="467" t="str">
        <f t="shared" si="677"/>
        <v/>
      </c>
      <c r="BI1189" s="467" t="str">
        <f t="shared" ca="1" si="678"/>
        <v/>
      </c>
      <c r="BJ1189" s="469" t="str">
        <f t="shared" si="679"/>
        <v/>
      </c>
      <c r="BK1189" s="470" t="str">
        <f t="shared" si="663"/>
        <v/>
      </c>
      <c r="BL1189" s="775" t="str">
        <f t="shared" si="680"/>
        <v/>
      </c>
      <c r="BM1189" s="775" t="str">
        <f t="shared" si="681"/>
        <v/>
      </c>
    </row>
    <row r="1190" spans="1:65">
      <c r="A1190" s="473">
        <v>1134</v>
      </c>
      <c r="B1190" s="132"/>
      <c r="C1190" s="332"/>
      <c r="D1190" s="333"/>
      <c r="E1190" s="333"/>
      <c r="F1190" s="334"/>
      <c r="G1190" s="337"/>
      <c r="H1190" s="131"/>
      <c r="I1190" s="337"/>
      <c r="J1190" s="131"/>
      <c r="K1190" s="458" t="str">
        <f t="shared" si="644"/>
        <v/>
      </c>
      <c r="L1190" s="458">
        <f t="shared" si="645"/>
        <v>0</v>
      </c>
      <c r="M1190" s="458">
        <f t="shared" si="646"/>
        <v>0</v>
      </c>
      <c r="N1190" s="459" t="str">
        <f t="shared" si="657"/>
        <v/>
      </c>
      <c r="O1190" s="459" t="str">
        <f t="shared" si="658"/>
        <v/>
      </c>
      <c r="P1190" s="459" t="str">
        <f t="shared" si="659"/>
        <v/>
      </c>
      <c r="Q1190" s="459" t="str">
        <f t="shared" si="660"/>
        <v/>
      </c>
      <c r="R1190" s="459" t="str">
        <f t="shared" si="661"/>
        <v/>
      </c>
      <c r="S1190" s="459" t="str">
        <f t="shared" si="662"/>
        <v/>
      </c>
      <c r="T1190" s="566" t="str">
        <f t="shared" si="647"/>
        <v/>
      </c>
      <c r="U1190" s="702"/>
      <c r="V1190" s="132"/>
      <c r="W1190" s="133"/>
      <c r="X1190" s="134"/>
      <c r="Y1190" s="135"/>
      <c r="Z1190" s="137"/>
      <c r="AA1190" s="136"/>
      <c r="AB1190" s="566" t="str">
        <f t="shared" si="648"/>
        <v/>
      </c>
      <c r="AC1190" s="568" t="str">
        <f t="shared" si="649"/>
        <v/>
      </c>
      <c r="AD1190" s="137"/>
      <c r="AE1190" s="137"/>
      <c r="AF1190" s="138"/>
      <c r="AG1190" s="138"/>
      <c r="AH1190" s="592" t="str">
        <f t="shared" si="650"/>
        <v/>
      </c>
      <c r="AI1190" s="592" t="str">
        <f t="shared" si="651"/>
        <v/>
      </c>
      <c r="AJ1190" s="592" t="str">
        <f t="shared" si="652"/>
        <v/>
      </c>
      <c r="AK1190" s="460" t="str">
        <f>IF(AU1190="","",IF(OR(AZ1190=8,AZ1190=9),0,IF(OR(AW1190=3,AW1190=4,AW1190=5,AW1190=6),IF(LEFT(BF1190,1)="1",INDEX(係数_NOX・PM低減,MATCH(AY1190,【参考】排出係数!$AI$801:$AI$804,1),1),VLOOKUP(AU1190,INDEX((係数_バス貨物_ガソリン,係数_バス貨物_CNG,係数_バス貨物_軽油,係数_バス貨物_メタノール,係数_バス貨物_LPG),MATCH(AY1190,【参考】排出係数!$AI$4:$AI$671,1),1,BE1190):INDEX((係数_バス貨物_ガソリン,係数_バス貨物_CNG,係数_バス貨物_軽油,係数_バス貨物_メタノール,係数_バス貨物_LPG),MATCH(AY1190+1,【参考】排出係数!$AI$4:$AI$671,1)-1,5,BE1190),4,FALSE)),IF(AND(BE1190=3,LEFT(BF1190,1)="1"),0.48,VLOOKUP(AU1190,INDEX((係数_乗用_ガソリン,係数_乗用_CNG,係数_乗用_軽油,係数_乗用_メタノール,係数_乗用_LPG),1,1,BE1190):INDEX((係数_乗用_ガソリン,係数_乗用_CNG,係数_乗用_軽油,係数_乗用_メタノール,係数_乗用_LPG),125,5,BE1190),4,FALSE)))))</f>
        <v/>
      </c>
      <c r="AL1190" s="461" t="str">
        <f t="shared" si="653"/>
        <v/>
      </c>
      <c r="AM1190" s="460" t="str">
        <f>IF(AU1190="","",IF(OR(AZ1190=8,AZ1190=9),0,IF(OR(AW1190=3,AW1190=4,AW1190=5,AW1190=6),IF(LEFT(BH1190,1)="1",INDEX(係数_PM低減,MATCH(AY1190,【参考】排出係数!$AI$801:$AI$804,1),MATCH(BI1190,【参考】排出係数!$AL$798:$AO$798,1)),VLOOKUP(AU1190,INDEX((係数_バス貨物_ガソリン,係数_バス貨物_CNG,係数_バス貨物_軽油,係数_バス貨物_メタノール,係数_バス貨物_LPG),MATCH(AY1190,【参考】排出係数!$AI$4:$AI$671,1),1,BE1190):INDEX((係数_バス貨物_ガソリン,係数_バス貨物_CNG,係数_バス貨物_軽油,係数_バス貨物_メタノール,係数_バス貨物_LPG),MATCH(AY1190+1,【参考】排出係数!$AI$4:$AI$671,1)-1,5,BE1190),5,FALSE)),IF(AND(BE1190=3,LEFT(BF1190,1)="1"),0.055,VLOOKUP(AU1190,INDEX((係数_乗用_ガソリン,係数_乗用_CNG,係数_乗用_軽油,係数_乗用_メタノール,係数_乗用_LPG),1,1,BE1190):INDEX((係数_乗用_ガソリン,係数_乗用_CNG,係数_乗用_軽油,係数_乗用_メタノール,係数_乗用_LPG),125,5,BE1190),5,FALSE)))))</f>
        <v/>
      </c>
      <c r="AN1190" s="461" t="str">
        <f t="shared" si="654"/>
        <v/>
      </c>
      <c r="AO1190" s="462" t="str">
        <f t="shared" si="655"/>
        <v/>
      </c>
      <c r="AP1190" s="463" t="str">
        <f t="shared" si="656"/>
        <v/>
      </c>
      <c r="AQ1190" s="464"/>
      <c r="AR1190" s="619"/>
      <c r="AS1190" s="465" t="str">
        <f t="shared" si="664"/>
        <v/>
      </c>
      <c r="AT1190" s="465" t="str">
        <f t="shared" si="665"/>
        <v/>
      </c>
      <c r="AU1190" s="466" t="str">
        <f t="shared" si="666"/>
        <v/>
      </c>
      <c r="AV1190" s="467" t="str">
        <f t="shared" si="667"/>
        <v/>
      </c>
      <c r="AW1190" s="467" t="str">
        <f t="shared" si="668"/>
        <v/>
      </c>
      <c r="AX1190" s="467" t="str">
        <f t="shared" si="669"/>
        <v/>
      </c>
      <c r="AY1190" s="467" t="str">
        <f t="shared" si="670"/>
        <v/>
      </c>
      <c r="AZ1190" s="467" t="str">
        <f t="shared" si="671"/>
        <v/>
      </c>
      <c r="BA1190" s="468" t="str">
        <f>IF(AS1190="","",IF(OR(AU1190="",AU1190="-"),"－",IF(OR(AZ1190=8,AZ1190=9),"",IF(OR(AW1190=3,AW1190=4,AW1190=5,AW1190=6),VLOOKUP(AU1190,INDEX((係数_バス貨物_ガソリン,係数_バス貨物_CNG,係数_バス貨物_軽油,係数_バス貨物_メタノール,係数_バス貨物_LPG),MATCH(AY1190,【参考】排出係数!$AI$4:$AI$671,1),1,BE1190):INDEX((係数_バス貨物_ガソリン,係数_バス貨物_CNG,係数_バス貨物_軽油,係数_バス貨物_メタノール,係数_バス貨物_LPG),MATCH(AY1190+1,【参考】排出係数!$AI$4:$AI$671,1)-1,5,BE1190),2,FALSE),IF(OR(AW1190=1,AW1190=2),VLOOKUP(AU1190,INDEX((係数_乗用_ガソリン,係数_乗用_CNG,係数_乗用_軽油,係数_乗用_メタノール,係数_乗用_LPG),1,1,BE1190):INDEX((係数_乗用_ガソリン,係数_乗用_CNG,係数_乗用_軽油,係数_乗用_メタノール,係数_乗用_LPG),125,5,BE1190),2,FALSE))))))</f>
        <v/>
      </c>
      <c r="BB1190" s="468" t="str">
        <f>IF(T1190="","",IF(OR(AU1190="",AU1190="-"),"－",IF(OR(AZ1190=8,AZ1190=9),"",IF(OR(AW1190=3,AW1190=4,AW1190=5,AW1190=6),VLOOKUP(AU1190,INDEX((係数_バス貨物_ガソリン,係数_バス貨物_CNG,係数_バス貨物_軽油,係数_バス貨物_メタノール,係数_バス貨物_LPG),MATCH(AY1190,【参考】排出係数!$AI$4:$AI$671,1),1,BE1190):INDEX((係数_バス貨物_ガソリン,係数_バス貨物_CNG,係数_バス貨物_軽油,係数_バス貨物_メタノール,係数_バス貨物_LPG),MATCH(AY1190+1,【参考】排出係数!$AI$4:$AI$671,1)-1,5,BE1190),3,FALSE),IF(OR(AW1190=1,AW1190=2),VLOOKUP(AU1190,INDEX((係数_乗用_ガソリン,係数_乗用_CNG,係数_乗用_軽油,係数_乗用_メタノール,係数_乗用_LPG),1,1,BE1190):INDEX((係数_乗用_ガソリン,係数_乗用_CNG,係数_乗用_軽油,係数_乗用_メタノール,係数_乗用_LPG),125,5,BE1190),3,FALSE))))))</f>
        <v/>
      </c>
      <c r="BC1190" s="467" t="str">
        <f t="shared" si="672"/>
        <v/>
      </c>
      <c r="BD1190" s="567" t="str">
        <f t="shared" si="673"/>
        <v/>
      </c>
      <c r="BE1190" s="467" t="str">
        <f t="shared" si="674"/>
        <v/>
      </c>
      <c r="BF1190" s="469" t="str">
        <f t="shared" ca="1" si="675"/>
        <v/>
      </c>
      <c r="BG1190" s="469" t="str">
        <f t="shared" ca="1" si="676"/>
        <v/>
      </c>
      <c r="BH1190" s="467" t="str">
        <f t="shared" si="677"/>
        <v/>
      </c>
      <c r="BI1190" s="467" t="str">
        <f t="shared" ca="1" si="678"/>
        <v/>
      </c>
      <c r="BJ1190" s="469" t="str">
        <f t="shared" si="679"/>
        <v/>
      </c>
      <c r="BK1190" s="470" t="str">
        <f t="shared" si="663"/>
        <v/>
      </c>
      <c r="BL1190" s="775" t="str">
        <f t="shared" si="680"/>
        <v/>
      </c>
      <c r="BM1190" s="775" t="str">
        <f t="shared" si="681"/>
        <v/>
      </c>
    </row>
    <row r="1191" spans="1:65">
      <c r="A1191" s="473">
        <v>1135</v>
      </c>
      <c r="B1191" s="132"/>
      <c r="C1191" s="332"/>
      <c r="D1191" s="333"/>
      <c r="E1191" s="333"/>
      <c r="F1191" s="334"/>
      <c r="G1191" s="337"/>
      <c r="H1191" s="131"/>
      <c r="I1191" s="337"/>
      <c r="J1191" s="131"/>
      <c r="K1191" s="458" t="str">
        <f t="shared" si="644"/>
        <v/>
      </c>
      <c r="L1191" s="458">
        <f t="shared" si="645"/>
        <v>0</v>
      </c>
      <c r="M1191" s="458">
        <f t="shared" si="646"/>
        <v>0</v>
      </c>
      <c r="N1191" s="459" t="str">
        <f t="shared" si="657"/>
        <v/>
      </c>
      <c r="O1191" s="459" t="str">
        <f t="shared" si="658"/>
        <v/>
      </c>
      <c r="P1191" s="459" t="str">
        <f t="shared" si="659"/>
        <v/>
      </c>
      <c r="Q1191" s="459" t="str">
        <f t="shared" si="660"/>
        <v/>
      </c>
      <c r="R1191" s="459" t="str">
        <f t="shared" si="661"/>
        <v/>
      </c>
      <c r="S1191" s="459" t="str">
        <f t="shared" si="662"/>
        <v/>
      </c>
      <c r="T1191" s="566" t="str">
        <f t="shared" si="647"/>
        <v/>
      </c>
      <c r="U1191" s="702"/>
      <c r="V1191" s="132"/>
      <c r="W1191" s="133"/>
      <c r="X1191" s="134"/>
      <c r="Y1191" s="135"/>
      <c r="Z1191" s="137"/>
      <c r="AA1191" s="136"/>
      <c r="AB1191" s="566" t="str">
        <f t="shared" si="648"/>
        <v/>
      </c>
      <c r="AC1191" s="568" t="str">
        <f t="shared" si="649"/>
        <v/>
      </c>
      <c r="AD1191" s="137"/>
      <c r="AE1191" s="137"/>
      <c r="AF1191" s="138"/>
      <c r="AG1191" s="138"/>
      <c r="AH1191" s="592" t="str">
        <f t="shared" si="650"/>
        <v/>
      </c>
      <c r="AI1191" s="592" t="str">
        <f t="shared" si="651"/>
        <v/>
      </c>
      <c r="AJ1191" s="592" t="str">
        <f t="shared" si="652"/>
        <v/>
      </c>
      <c r="AK1191" s="460" t="str">
        <f>IF(AU1191="","",IF(OR(AZ1191=8,AZ1191=9),0,IF(OR(AW1191=3,AW1191=4,AW1191=5,AW1191=6),IF(LEFT(BF1191,1)="1",INDEX(係数_NOX・PM低減,MATCH(AY1191,【参考】排出係数!$AI$801:$AI$804,1),1),VLOOKUP(AU1191,INDEX((係数_バス貨物_ガソリン,係数_バス貨物_CNG,係数_バス貨物_軽油,係数_バス貨物_メタノール,係数_バス貨物_LPG),MATCH(AY1191,【参考】排出係数!$AI$4:$AI$671,1),1,BE1191):INDEX((係数_バス貨物_ガソリン,係数_バス貨物_CNG,係数_バス貨物_軽油,係数_バス貨物_メタノール,係数_バス貨物_LPG),MATCH(AY1191+1,【参考】排出係数!$AI$4:$AI$671,1)-1,5,BE1191),4,FALSE)),IF(AND(BE1191=3,LEFT(BF1191,1)="1"),0.48,VLOOKUP(AU1191,INDEX((係数_乗用_ガソリン,係数_乗用_CNG,係数_乗用_軽油,係数_乗用_メタノール,係数_乗用_LPG),1,1,BE1191):INDEX((係数_乗用_ガソリン,係数_乗用_CNG,係数_乗用_軽油,係数_乗用_メタノール,係数_乗用_LPG),125,5,BE1191),4,FALSE)))))</f>
        <v/>
      </c>
      <c r="AL1191" s="461" t="str">
        <f t="shared" si="653"/>
        <v/>
      </c>
      <c r="AM1191" s="460" t="str">
        <f>IF(AU1191="","",IF(OR(AZ1191=8,AZ1191=9),0,IF(OR(AW1191=3,AW1191=4,AW1191=5,AW1191=6),IF(LEFT(BH1191,1)="1",INDEX(係数_PM低減,MATCH(AY1191,【参考】排出係数!$AI$801:$AI$804,1),MATCH(BI1191,【参考】排出係数!$AL$798:$AO$798,1)),VLOOKUP(AU1191,INDEX((係数_バス貨物_ガソリン,係数_バス貨物_CNG,係数_バス貨物_軽油,係数_バス貨物_メタノール,係数_バス貨物_LPG),MATCH(AY1191,【参考】排出係数!$AI$4:$AI$671,1),1,BE1191):INDEX((係数_バス貨物_ガソリン,係数_バス貨物_CNG,係数_バス貨物_軽油,係数_バス貨物_メタノール,係数_バス貨物_LPG),MATCH(AY1191+1,【参考】排出係数!$AI$4:$AI$671,1)-1,5,BE1191),5,FALSE)),IF(AND(BE1191=3,LEFT(BF1191,1)="1"),0.055,VLOOKUP(AU1191,INDEX((係数_乗用_ガソリン,係数_乗用_CNG,係数_乗用_軽油,係数_乗用_メタノール,係数_乗用_LPG),1,1,BE1191):INDEX((係数_乗用_ガソリン,係数_乗用_CNG,係数_乗用_軽油,係数_乗用_メタノール,係数_乗用_LPG),125,5,BE1191),5,FALSE)))))</f>
        <v/>
      </c>
      <c r="AN1191" s="461" t="str">
        <f t="shared" si="654"/>
        <v/>
      </c>
      <c r="AO1191" s="462" t="str">
        <f t="shared" si="655"/>
        <v/>
      </c>
      <c r="AP1191" s="463" t="str">
        <f t="shared" si="656"/>
        <v/>
      </c>
      <c r="AQ1191" s="464"/>
      <c r="AR1191" s="619"/>
      <c r="AS1191" s="465" t="str">
        <f t="shared" si="664"/>
        <v/>
      </c>
      <c r="AT1191" s="465" t="str">
        <f t="shared" si="665"/>
        <v/>
      </c>
      <c r="AU1191" s="466" t="str">
        <f t="shared" si="666"/>
        <v/>
      </c>
      <c r="AV1191" s="467" t="str">
        <f t="shared" si="667"/>
        <v/>
      </c>
      <c r="AW1191" s="467" t="str">
        <f t="shared" si="668"/>
        <v/>
      </c>
      <c r="AX1191" s="467" t="str">
        <f t="shared" si="669"/>
        <v/>
      </c>
      <c r="AY1191" s="467" t="str">
        <f t="shared" si="670"/>
        <v/>
      </c>
      <c r="AZ1191" s="467" t="str">
        <f t="shared" si="671"/>
        <v/>
      </c>
      <c r="BA1191" s="468" t="str">
        <f>IF(AS1191="","",IF(OR(AU1191="",AU1191="-"),"－",IF(OR(AZ1191=8,AZ1191=9),"",IF(OR(AW1191=3,AW1191=4,AW1191=5,AW1191=6),VLOOKUP(AU1191,INDEX((係数_バス貨物_ガソリン,係数_バス貨物_CNG,係数_バス貨物_軽油,係数_バス貨物_メタノール,係数_バス貨物_LPG),MATCH(AY1191,【参考】排出係数!$AI$4:$AI$671,1),1,BE1191):INDEX((係数_バス貨物_ガソリン,係数_バス貨物_CNG,係数_バス貨物_軽油,係数_バス貨物_メタノール,係数_バス貨物_LPG),MATCH(AY1191+1,【参考】排出係数!$AI$4:$AI$671,1)-1,5,BE1191),2,FALSE),IF(OR(AW1191=1,AW1191=2),VLOOKUP(AU1191,INDEX((係数_乗用_ガソリン,係数_乗用_CNG,係数_乗用_軽油,係数_乗用_メタノール,係数_乗用_LPG),1,1,BE1191):INDEX((係数_乗用_ガソリン,係数_乗用_CNG,係数_乗用_軽油,係数_乗用_メタノール,係数_乗用_LPG),125,5,BE1191),2,FALSE))))))</f>
        <v/>
      </c>
      <c r="BB1191" s="468" t="str">
        <f>IF(T1191="","",IF(OR(AU1191="",AU1191="-"),"－",IF(OR(AZ1191=8,AZ1191=9),"",IF(OR(AW1191=3,AW1191=4,AW1191=5,AW1191=6),VLOOKUP(AU1191,INDEX((係数_バス貨物_ガソリン,係数_バス貨物_CNG,係数_バス貨物_軽油,係数_バス貨物_メタノール,係数_バス貨物_LPG),MATCH(AY1191,【参考】排出係数!$AI$4:$AI$671,1),1,BE1191):INDEX((係数_バス貨物_ガソリン,係数_バス貨物_CNG,係数_バス貨物_軽油,係数_バス貨物_メタノール,係数_バス貨物_LPG),MATCH(AY1191+1,【参考】排出係数!$AI$4:$AI$671,1)-1,5,BE1191),3,FALSE),IF(OR(AW1191=1,AW1191=2),VLOOKUP(AU1191,INDEX((係数_乗用_ガソリン,係数_乗用_CNG,係数_乗用_軽油,係数_乗用_メタノール,係数_乗用_LPG),1,1,BE1191):INDEX((係数_乗用_ガソリン,係数_乗用_CNG,係数_乗用_軽油,係数_乗用_メタノール,係数_乗用_LPG),125,5,BE1191),3,FALSE))))))</f>
        <v/>
      </c>
      <c r="BC1191" s="467" t="str">
        <f t="shared" si="672"/>
        <v/>
      </c>
      <c r="BD1191" s="567" t="str">
        <f t="shared" si="673"/>
        <v/>
      </c>
      <c r="BE1191" s="467" t="str">
        <f t="shared" si="674"/>
        <v/>
      </c>
      <c r="BF1191" s="469" t="str">
        <f t="shared" ca="1" si="675"/>
        <v/>
      </c>
      <c r="BG1191" s="469" t="str">
        <f t="shared" ca="1" si="676"/>
        <v/>
      </c>
      <c r="BH1191" s="467" t="str">
        <f t="shared" si="677"/>
        <v/>
      </c>
      <c r="BI1191" s="467" t="str">
        <f t="shared" ca="1" si="678"/>
        <v/>
      </c>
      <c r="BJ1191" s="469" t="str">
        <f t="shared" si="679"/>
        <v/>
      </c>
      <c r="BK1191" s="470" t="str">
        <f t="shared" si="663"/>
        <v/>
      </c>
      <c r="BL1191" s="775" t="str">
        <f t="shared" si="680"/>
        <v/>
      </c>
      <c r="BM1191" s="775" t="str">
        <f t="shared" si="681"/>
        <v/>
      </c>
    </row>
    <row r="1192" spans="1:65">
      <c r="A1192" s="473">
        <v>1136</v>
      </c>
      <c r="B1192" s="132"/>
      <c r="C1192" s="332"/>
      <c r="D1192" s="333"/>
      <c r="E1192" s="333"/>
      <c r="F1192" s="334"/>
      <c r="G1192" s="337"/>
      <c r="H1192" s="131"/>
      <c r="I1192" s="337"/>
      <c r="J1192" s="131"/>
      <c r="K1192" s="458" t="str">
        <f t="shared" si="644"/>
        <v/>
      </c>
      <c r="L1192" s="458">
        <f t="shared" si="645"/>
        <v>0</v>
      </c>
      <c r="M1192" s="458">
        <f t="shared" si="646"/>
        <v>0</v>
      </c>
      <c r="N1192" s="459" t="str">
        <f t="shared" si="657"/>
        <v/>
      </c>
      <c r="O1192" s="459" t="str">
        <f t="shared" si="658"/>
        <v/>
      </c>
      <c r="P1192" s="459" t="str">
        <f t="shared" si="659"/>
        <v/>
      </c>
      <c r="Q1192" s="459" t="str">
        <f t="shared" si="660"/>
        <v/>
      </c>
      <c r="R1192" s="459" t="str">
        <f t="shared" si="661"/>
        <v/>
      </c>
      <c r="S1192" s="459" t="str">
        <f t="shared" si="662"/>
        <v/>
      </c>
      <c r="T1192" s="566" t="str">
        <f t="shared" si="647"/>
        <v/>
      </c>
      <c r="U1192" s="702"/>
      <c r="V1192" s="132"/>
      <c r="W1192" s="133"/>
      <c r="X1192" s="134"/>
      <c r="Y1192" s="135"/>
      <c r="Z1192" s="137"/>
      <c r="AA1192" s="136"/>
      <c r="AB1192" s="566" t="str">
        <f t="shared" si="648"/>
        <v/>
      </c>
      <c r="AC1192" s="568" t="str">
        <f t="shared" si="649"/>
        <v/>
      </c>
      <c r="AD1192" s="137"/>
      <c r="AE1192" s="137"/>
      <c r="AF1192" s="138"/>
      <c r="AG1192" s="138"/>
      <c r="AH1192" s="592" t="str">
        <f t="shared" si="650"/>
        <v/>
      </c>
      <c r="AI1192" s="592" t="str">
        <f t="shared" si="651"/>
        <v/>
      </c>
      <c r="AJ1192" s="592" t="str">
        <f t="shared" si="652"/>
        <v/>
      </c>
      <c r="AK1192" s="460" t="str">
        <f>IF(AU1192="","",IF(OR(AZ1192=8,AZ1192=9),0,IF(OR(AW1192=3,AW1192=4,AW1192=5,AW1192=6),IF(LEFT(BF1192,1)="1",INDEX(係数_NOX・PM低減,MATCH(AY1192,【参考】排出係数!$AI$801:$AI$804,1),1),VLOOKUP(AU1192,INDEX((係数_バス貨物_ガソリン,係数_バス貨物_CNG,係数_バス貨物_軽油,係数_バス貨物_メタノール,係数_バス貨物_LPG),MATCH(AY1192,【参考】排出係数!$AI$4:$AI$671,1),1,BE1192):INDEX((係数_バス貨物_ガソリン,係数_バス貨物_CNG,係数_バス貨物_軽油,係数_バス貨物_メタノール,係数_バス貨物_LPG),MATCH(AY1192+1,【参考】排出係数!$AI$4:$AI$671,1)-1,5,BE1192),4,FALSE)),IF(AND(BE1192=3,LEFT(BF1192,1)="1"),0.48,VLOOKUP(AU1192,INDEX((係数_乗用_ガソリン,係数_乗用_CNG,係数_乗用_軽油,係数_乗用_メタノール,係数_乗用_LPG),1,1,BE1192):INDEX((係数_乗用_ガソリン,係数_乗用_CNG,係数_乗用_軽油,係数_乗用_メタノール,係数_乗用_LPG),125,5,BE1192),4,FALSE)))))</f>
        <v/>
      </c>
      <c r="AL1192" s="461" t="str">
        <f t="shared" si="653"/>
        <v/>
      </c>
      <c r="AM1192" s="460" t="str">
        <f>IF(AU1192="","",IF(OR(AZ1192=8,AZ1192=9),0,IF(OR(AW1192=3,AW1192=4,AW1192=5,AW1192=6),IF(LEFT(BH1192,1)="1",INDEX(係数_PM低減,MATCH(AY1192,【参考】排出係数!$AI$801:$AI$804,1),MATCH(BI1192,【参考】排出係数!$AL$798:$AO$798,1)),VLOOKUP(AU1192,INDEX((係数_バス貨物_ガソリン,係数_バス貨物_CNG,係数_バス貨物_軽油,係数_バス貨物_メタノール,係数_バス貨物_LPG),MATCH(AY1192,【参考】排出係数!$AI$4:$AI$671,1),1,BE1192):INDEX((係数_バス貨物_ガソリン,係数_バス貨物_CNG,係数_バス貨物_軽油,係数_バス貨物_メタノール,係数_バス貨物_LPG),MATCH(AY1192+1,【参考】排出係数!$AI$4:$AI$671,1)-1,5,BE1192),5,FALSE)),IF(AND(BE1192=3,LEFT(BF1192,1)="1"),0.055,VLOOKUP(AU1192,INDEX((係数_乗用_ガソリン,係数_乗用_CNG,係数_乗用_軽油,係数_乗用_メタノール,係数_乗用_LPG),1,1,BE1192):INDEX((係数_乗用_ガソリン,係数_乗用_CNG,係数_乗用_軽油,係数_乗用_メタノール,係数_乗用_LPG),125,5,BE1192),5,FALSE)))))</f>
        <v/>
      </c>
      <c r="AN1192" s="461" t="str">
        <f t="shared" si="654"/>
        <v/>
      </c>
      <c r="AO1192" s="462" t="str">
        <f t="shared" si="655"/>
        <v/>
      </c>
      <c r="AP1192" s="463" t="str">
        <f t="shared" si="656"/>
        <v/>
      </c>
      <c r="AQ1192" s="464"/>
      <c r="AR1192" s="619"/>
      <c r="AS1192" s="465" t="str">
        <f t="shared" si="664"/>
        <v/>
      </c>
      <c r="AT1192" s="465" t="str">
        <f t="shared" si="665"/>
        <v/>
      </c>
      <c r="AU1192" s="466" t="str">
        <f t="shared" si="666"/>
        <v/>
      </c>
      <c r="AV1192" s="467" t="str">
        <f t="shared" si="667"/>
        <v/>
      </c>
      <c r="AW1192" s="467" t="str">
        <f t="shared" si="668"/>
        <v/>
      </c>
      <c r="AX1192" s="467" t="str">
        <f t="shared" si="669"/>
        <v/>
      </c>
      <c r="AY1192" s="467" t="str">
        <f t="shared" si="670"/>
        <v/>
      </c>
      <c r="AZ1192" s="467" t="str">
        <f t="shared" si="671"/>
        <v/>
      </c>
      <c r="BA1192" s="468" t="str">
        <f>IF(AS1192="","",IF(OR(AU1192="",AU1192="-"),"－",IF(OR(AZ1192=8,AZ1192=9),"",IF(OR(AW1192=3,AW1192=4,AW1192=5,AW1192=6),VLOOKUP(AU1192,INDEX((係数_バス貨物_ガソリン,係数_バス貨物_CNG,係数_バス貨物_軽油,係数_バス貨物_メタノール,係数_バス貨物_LPG),MATCH(AY1192,【参考】排出係数!$AI$4:$AI$671,1),1,BE1192):INDEX((係数_バス貨物_ガソリン,係数_バス貨物_CNG,係数_バス貨物_軽油,係数_バス貨物_メタノール,係数_バス貨物_LPG),MATCH(AY1192+1,【参考】排出係数!$AI$4:$AI$671,1)-1,5,BE1192),2,FALSE),IF(OR(AW1192=1,AW1192=2),VLOOKUP(AU1192,INDEX((係数_乗用_ガソリン,係数_乗用_CNG,係数_乗用_軽油,係数_乗用_メタノール,係数_乗用_LPG),1,1,BE1192):INDEX((係数_乗用_ガソリン,係数_乗用_CNG,係数_乗用_軽油,係数_乗用_メタノール,係数_乗用_LPG),125,5,BE1192),2,FALSE))))))</f>
        <v/>
      </c>
      <c r="BB1192" s="468" t="str">
        <f>IF(T1192="","",IF(OR(AU1192="",AU1192="-"),"－",IF(OR(AZ1192=8,AZ1192=9),"",IF(OR(AW1192=3,AW1192=4,AW1192=5,AW1192=6),VLOOKUP(AU1192,INDEX((係数_バス貨物_ガソリン,係数_バス貨物_CNG,係数_バス貨物_軽油,係数_バス貨物_メタノール,係数_バス貨物_LPG),MATCH(AY1192,【参考】排出係数!$AI$4:$AI$671,1),1,BE1192):INDEX((係数_バス貨物_ガソリン,係数_バス貨物_CNG,係数_バス貨物_軽油,係数_バス貨物_メタノール,係数_バス貨物_LPG),MATCH(AY1192+1,【参考】排出係数!$AI$4:$AI$671,1)-1,5,BE1192),3,FALSE),IF(OR(AW1192=1,AW1192=2),VLOOKUP(AU1192,INDEX((係数_乗用_ガソリン,係数_乗用_CNG,係数_乗用_軽油,係数_乗用_メタノール,係数_乗用_LPG),1,1,BE1192):INDEX((係数_乗用_ガソリン,係数_乗用_CNG,係数_乗用_軽油,係数_乗用_メタノール,係数_乗用_LPG),125,5,BE1192),3,FALSE))))))</f>
        <v/>
      </c>
      <c r="BC1192" s="467" t="str">
        <f t="shared" si="672"/>
        <v/>
      </c>
      <c r="BD1192" s="567" t="str">
        <f t="shared" si="673"/>
        <v/>
      </c>
      <c r="BE1192" s="467" t="str">
        <f t="shared" si="674"/>
        <v/>
      </c>
      <c r="BF1192" s="469" t="str">
        <f t="shared" ca="1" si="675"/>
        <v/>
      </c>
      <c r="BG1192" s="469" t="str">
        <f t="shared" ca="1" si="676"/>
        <v/>
      </c>
      <c r="BH1192" s="467" t="str">
        <f t="shared" si="677"/>
        <v/>
      </c>
      <c r="BI1192" s="467" t="str">
        <f t="shared" ca="1" si="678"/>
        <v/>
      </c>
      <c r="BJ1192" s="469" t="str">
        <f t="shared" si="679"/>
        <v/>
      </c>
      <c r="BK1192" s="470" t="str">
        <f t="shared" si="663"/>
        <v/>
      </c>
      <c r="BL1192" s="775" t="str">
        <f t="shared" si="680"/>
        <v/>
      </c>
      <c r="BM1192" s="775" t="str">
        <f t="shared" si="681"/>
        <v/>
      </c>
    </row>
    <row r="1193" spans="1:65">
      <c r="A1193" s="473">
        <v>1137</v>
      </c>
      <c r="B1193" s="132"/>
      <c r="C1193" s="332"/>
      <c r="D1193" s="333"/>
      <c r="E1193" s="333"/>
      <c r="F1193" s="334"/>
      <c r="G1193" s="337"/>
      <c r="H1193" s="131"/>
      <c r="I1193" s="337"/>
      <c r="J1193" s="131"/>
      <c r="K1193" s="458" t="str">
        <f t="shared" si="644"/>
        <v/>
      </c>
      <c r="L1193" s="458">
        <f t="shared" si="645"/>
        <v>0</v>
      </c>
      <c r="M1193" s="458">
        <f t="shared" si="646"/>
        <v>0</v>
      </c>
      <c r="N1193" s="459" t="str">
        <f t="shared" si="657"/>
        <v/>
      </c>
      <c r="O1193" s="459" t="str">
        <f t="shared" si="658"/>
        <v/>
      </c>
      <c r="P1193" s="459" t="str">
        <f t="shared" si="659"/>
        <v/>
      </c>
      <c r="Q1193" s="459" t="str">
        <f t="shared" si="660"/>
        <v/>
      </c>
      <c r="R1193" s="459" t="str">
        <f t="shared" si="661"/>
        <v/>
      </c>
      <c r="S1193" s="459" t="str">
        <f t="shared" si="662"/>
        <v/>
      </c>
      <c r="T1193" s="566" t="str">
        <f t="shared" si="647"/>
        <v/>
      </c>
      <c r="U1193" s="702"/>
      <c r="V1193" s="132"/>
      <c r="W1193" s="133"/>
      <c r="X1193" s="134"/>
      <c r="Y1193" s="135"/>
      <c r="Z1193" s="137"/>
      <c r="AA1193" s="136"/>
      <c r="AB1193" s="566" t="str">
        <f t="shared" si="648"/>
        <v/>
      </c>
      <c r="AC1193" s="568" t="str">
        <f t="shared" si="649"/>
        <v/>
      </c>
      <c r="AD1193" s="137"/>
      <c r="AE1193" s="137"/>
      <c r="AF1193" s="138"/>
      <c r="AG1193" s="138"/>
      <c r="AH1193" s="592" t="str">
        <f t="shared" si="650"/>
        <v/>
      </c>
      <c r="AI1193" s="592" t="str">
        <f t="shared" si="651"/>
        <v/>
      </c>
      <c r="AJ1193" s="592" t="str">
        <f t="shared" si="652"/>
        <v/>
      </c>
      <c r="AK1193" s="460" t="str">
        <f>IF(AU1193="","",IF(OR(AZ1193=8,AZ1193=9),0,IF(OR(AW1193=3,AW1193=4,AW1193=5,AW1193=6),IF(LEFT(BF1193,1)="1",INDEX(係数_NOX・PM低減,MATCH(AY1193,【参考】排出係数!$AI$801:$AI$804,1),1),VLOOKUP(AU1193,INDEX((係数_バス貨物_ガソリン,係数_バス貨物_CNG,係数_バス貨物_軽油,係数_バス貨物_メタノール,係数_バス貨物_LPG),MATCH(AY1193,【参考】排出係数!$AI$4:$AI$671,1),1,BE1193):INDEX((係数_バス貨物_ガソリン,係数_バス貨物_CNG,係数_バス貨物_軽油,係数_バス貨物_メタノール,係数_バス貨物_LPG),MATCH(AY1193+1,【参考】排出係数!$AI$4:$AI$671,1)-1,5,BE1193),4,FALSE)),IF(AND(BE1193=3,LEFT(BF1193,1)="1"),0.48,VLOOKUP(AU1193,INDEX((係数_乗用_ガソリン,係数_乗用_CNG,係数_乗用_軽油,係数_乗用_メタノール,係数_乗用_LPG),1,1,BE1193):INDEX((係数_乗用_ガソリン,係数_乗用_CNG,係数_乗用_軽油,係数_乗用_メタノール,係数_乗用_LPG),125,5,BE1193),4,FALSE)))))</f>
        <v/>
      </c>
      <c r="AL1193" s="461" t="str">
        <f t="shared" si="653"/>
        <v/>
      </c>
      <c r="AM1193" s="460" t="str">
        <f>IF(AU1193="","",IF(OR(AZ1193=8,AZ1193=9),0,IF(OR(AW1193=3,AW1193=4,AW1193=5,AW1193=6),IF(LEFT(BH1193,1)="1",INDEX(係数_PM低減,MATCH(AY1193,【参考】排出係数!$AI$801:$AI$804,1),MATCH(BI1193,【参考】排出係数!$AL$798:$AO$798,1)),VLOOKUP(AU1193,INDEX((係数_バス貨物_ガソリン,係数_バス貨物_CNG,係数_バス貨物_軽油,係数_バス貨物_メタノール,係数_バス貨物_LPG),MATCH(AY1193,【参考】排出係数!$AI$4:$AI$671,1),1,BE1193):INDEX((係数_バス貨物_ガソリン,係数_バス貨物_CNG,係数_バス貨物_軽油,係数_バス貨物_メタノール,係数_バス貨物_LPG),MATCH(AY1193+1,【参考】排出係数!$AI$4:$AI$671,1)-1,5,BE1193),5,FALSE)),IF(AND(BE1193=3,LEFT(BF1193,1)="1"),0.055,VLOOKUP(AU1193,INDEX((係数_乗用_ガソリン,係数_乗用_CNG,係数_乗用_軽油,係数_乗用_メタノール,係数_乗用_LPG),1,1,BE1193):INDEX((係数_乗用_ガソリン,係数_乗用_CNG,係数_乗用_軽油,係数_乗用_メタノール,係数_乗用_LPG),125,5,BE1193),5,FALSE)))))</f>
        <v/>
      </c>
      <c r="AN1193" s="461" t="str">
        <f t="shared" si="654"/>
        <v/>
      </c>
      <c r="AO1193" s="462" t="str">
        <f t="shared" si="655"/>
        <v/>
      </c>
      <c r="AP1193" s="463" t="str">
        <f t="shared" si="656"/>
        <v/>
      </c>
      <c r="AQ1193" s="464"/>
      <c r="AR1193" s="619"/>
      <c r="AS1193" s="465" t="str">
        <f t="shared" si="664"/>
        <v/>
      </c>
      <c r="AT1193" s="465" t="str">
        <f t="shared" si="665"/>
        <v/>
      </c>
      <c r="AU1193" s="466" t="str">
        <f t="shared" si="666"/>
        <v/>
      </c>
      <c r="AV1193" s="467" t="str">
        <f t="shared" si="667"/>
        <v/>
      </c>
      <c r="AW1193" s="467" t="str">
        <f t="shared" si="668"/>
        <v/>
      </c>
      <c r="AX1193" s="467" t="str">
        <f t="shared" si="669"/>
        <v/>
      </c>
      <c r="AY1193" s="467" t="str">
        <f t="shared" si="670"/>
        <v/>
      </c>
      <c r="AZ1193" s="467" t="str">
        <f t="shared" si="671"/>
        <v/>
      </c>
      <c r="BA1193" s="468" t="str">
        <f>IF(AS1193="","",IF(OR(AU1193="",AU1193="-"),"－",IF(OR(AZ1193=8,AZ1193=9),"",IF(OR(AW1193=3,AW1193=4,AW1193=5,AW1193=6),VLOOKUP(AU1193,INDEX((係数_バス貨物_ガソリン,係数_バス貨物_CNG,係数_バス貨物_軽油,係数_バス貨物_メタノール,係数_バス貨物_LPG),MATCH(AY1193,【参考】排出係数!$AI$4:$AI$671,1),1,BE1193):INDEX((係数_バス貨物_ガソリン,係数_バス貨物_CNG,係数_バス貨物_軽油,係数_バス貨物_メタノール,係数_バス貨物_LPG),MATCH(AY1193+1,【参考】排出係数!$AI$4:$AI$671,1)-1,5,BE1193),2,FALSE),IF(OR(AW1193=1,AW1193=2),VLOOKUP(AU1193,INDEX((係数_乗用_ガソリン,係数_乗用_CNG,係数_乗用_軽油,係数_乗用_メタノール,係数_乗用_LPG),1,1,BE1193):INDEX((係数_乗用_ガソリン,係数_乗用_CNG,係数_乗用_軽油,係数_乗用_メタノール,係数_乗用_LPG),125,5,BE1193),2,FALSE))))))</f>
        <v/>
      </c>
      <c r="BB1193" s="468" t="str">
        <f>IF(T1193="","",IF(OR(AU1193="",AU1193="-"),"－",IF(OR(AZ1193=8,AZ1193=9),"",IF(OR(AW1193=3,AW1193=4,AW1193=5,AW1193=6),VLOOKUP(AU1193,INDEX((係数_バス貨物_ガソリン,係数_バス貨物_CNG,係数_バス貨物_軽油,係数_バス貨物_メタノール,係数_バス貨物_LPG),MATCH(AY1193,【参考】排出係数!$AI$4:$AI$671,1),1,BE1193):INDEX((係数_バス貨物_ガソリン,係数_バス貨物_CNG,係数_バス貨物_軽油,係数_バス貨物_メタノール,係数_バス貨物_LPG),MATCH(AY1193+1,【参考】排出係数!$AI$4:$AI$671,1)-1,5,BE1193),3,FALSE),IF(OR(AW1193=1,AW1193=2),VLOOKUP(AU1193,INDEX((係数_乗用_ガソリン,係数_乗用_CNG,係数_乗用_軽油,係数_乗用_メタノール,係数_乗用_LPG),1,1,BE1193):INDEX((係数_乗用_ガソリン,係数_乗用_CNG,係数_乗用_軽油,係数_乗用_メタノール,係数_乗用_LPG),125,5,BE1193),3,FALSE))))))</f>
        <v/>
      </c>
      <c r="BC1193" s="467" t="str">
        <f t="shared" si="672"/>
        <v/>
      </c>
      <c r="BD1193" s="567" t="str">
        <f t="shared" si="673"/>
        <v/>
      </c>
      <c r="BE1193" s="467" t="str">
        <f t="shared" si="674"/>
        <v/>
      </c>
      <c r="BF1193" s="469" t="str">
        <f t="shared" ca="1" si="675"/>
        <v/>
      </c>
      <c r="BG1193" s="469" t="str">
        <f t="shared" ca="1" si="676"/>
        <v/>
      </c>
      <c r="BH1193" s="467" t="str">
        <f t="shared" si="677"/>
        <v/>
      </c>
      <c r="BI1193" s="467" t="str">
        <f t="shared" ca="1" si="678"/>
        <v/>
      </c>
      <c r="BJ1193" s="469" t="str">
        <f t="shared" si="679"/>
        <v/>
      </c>
      <c r="BK1193" s="470" t="str">
        <f t="shared" si="663"/>
        <v/>
      </c>
      <c r="BL1193" s="775" t="str">
        <f t="shared" si="680"/>
        <v/>
      </c>
      <c r="BM1193" s="775" t="str">
        <f t="shared" si="681"/>
        <v/>
      </c>
    </row>
    <row r="1194" spans="1:65">
      <c r="A1194" s="473">
        <v>1138</v>
      </c>
      <c r="B1194" s="132"/>
      <c r="C1194" s="332"/>
      <c r="D1194" s="333"/>
      <c r="E1194" s="333"/>
      <c r="F1194" s="334"/>
      <c r="G1194" s="337"/>
      <c r="H1194" s="131"/>
      <c r="I1194" s="337"/>
      <c r="J1194" s="131"/>
      <c r="K1194" s="458" t="str">
        <f t="shared" si="644"/>
        <v/>
      </c>
      <c r="L1194" s="458">
        <f t="shared" si="645"/>
        <v>0</v>
      </c>
      <c r="M1194" s="458">
        <f t="shared" si="646"/>
        <v>0</v>
      </c>
      <c r="N1194" s="459" t="str">
        <f t="shared" si="657"/>
        <v/>
      </c>
      <c r="O1194" s="459" t="str">
        <f t="shared" si="658"/>
        <v/>
      </c>
      <c r="P1194" s="459" t="str">
        <f t="shared" si="659"/>
        <v/>
      </c>
      <c r="Q1194" s="459" t="str">
        <f t="shared" si="660"/>
        <v/>
      </c>
      <c r="R1194" s="459" t="str">
        <f t="shared" si="661"/>
        <v/>
      </c>
      <c r="S1194" s="459" t="str">
        <f t="shared" si="662"/>
        <v/>
      </c>
      <c r="T1194" s="566" t="str">
        <f t="shared" si="647"/>
        <v/>
      </c>
      <c r="U1194" s="702"/>
      <c r="V1194" s="132"/>
      <c r="W1194" s="133"/>
      <c r="X1194" s="134"/>
      <c r="Y1194" s="135"/>
      <c r="Z1194" s="137"/>
      <c r="AA1194" s="136"/>
      <c r="AB1194" s="566" t="str">
        <f t="shared" si="648"/>
        <v/>
      </c>
      <c r="AC1194" s="568" t="str">
        <f t="shared" si="649"/>
        <v/>
      </c>
      <c r="AD1194" s="137"/>
      <c r="AE1194" s="137"/>
      <c r="AF1194" s="138"/>
      <c r="AG1194" s="138"/>
      <c r="AH1194" s="592" t="str">
        <f t="shared" si="650"/>
        <v/>
      </c>
      <c r="AI1194" s="592" t="str">
        <f t="shared" si="651"/>
        <v/>
      </c>
      <c r="AJ1194" s="592" t="str">
        <f t="shared" si="652"/>
        <v/>
      </c>
      <c r="AK1194" s="460" t="str">
        <f>IF(AU1194="","",IF(OR(AZ1194=8,AZ1194=9),0,IF(OR(AW1194=3,AW1194=4,AW1194=5,AW1194=6),IF(LEFT(BF1194,1)="1",INDEX(係数_NOX・PM低減,MATCH(AY1194,【参考】排出係数!$AI$801:$AI$804,1),1),VLOOKUP(AU1194,INDEX((係数_バス貨物_ガソリン,係数_バス貨物_CNG,係数_バス貨物_軽油,係数_バス貨物_メタノール,係数_バス貨物_LPG),MATCH(AY1194,【参考】排出係数!$AI$4:$AI$671,1),1,BE1194):INDEX((係数_バス貨物_ガソリン,係数_バス貨物_CNG,係数_バス貨物_軽油,係数_バス貨物_メタノール,係数_バス貨物_LPG),MATCH(AY1194+1,【参考】排出係数!$AI$4:$AI$671,1)-1,5,BE1194),4,FALSE)),IF(AND(BE1194=3,LEFT(BF1194,1)="1"),0.48,VLOOKUP(AU1194,INDEX((係数_乗用_ガソリン,係数_乗用_CNG,係数_乗用_軽油,係数_乗用_メタノール,係数_乗用_LPG),1,1,BE1194):INDEX((係数_乗用_ガソリン,係数_乗用_CNG,係数_乗用_軽油,係数_乗用_メタノール,係数_乗用_LPG),125,5,BE1194),4,FALSE)))))</f>
        <v/>
      </c>
      <c r="AL1194" s="461" t="str">
        <f t="shared" si="653"/>
        <v/>
      </c>
      <c r="AM1194" s="460" t="str">
        <f>IF(AU1194="","",IF(OR(AZ1194=8,AZ1194=9),0,IF(OR(AW1194=3,AW1194=4,AW1194=5,AW1194=6),IF(LEFT(BH1194,1)="1",INDEX(係数_PM低減,MATCH(AY1194,【参考】排出係数!$AI$801:$AI$804,1),MATCH(BI1194,【参考】排出係数!$AL$798:$AO$798,1)),VLOOKUP(AU1194,INDEX((係数_バス貨物_ガソリン,係数_バス貨物_CNG,係数_バス貨物_軽油,係数_バス貨物_メタノール,係数_バス貨物_LPG),MATCH(AY1194,【参考】排出係数!$AI$4:$AI$671,1),1,BE1194):INDEX((係数_バス貨物_ガソリン,係数_バス貨物_CNG,係数_バス貨物_軽油,係数_バス貨物_メタノール,係数_バス貨物_LPG),MATCH(AY1194+1,【参考】排出係数!$AI$4:$AI$671,1)-1,5,BE1194),5,FALSE)),IF(AND(BE1194=3,LEFT(BF1194,1)="1"),0.055,VLOOKUP(AU1194,INDEX((係数_乗用_ガソリン,係数_乗用_CNG,係数_乗用_軽油,係数_乗用_メタノール,係数_乗用_LPG),1,1,BE1194):INDEX((係数_乗用_ガソリン,係数_乗用_CNG,係数_乗用_軽油,係数_乗用_メタノール,係数_乗用_LPG),125,5,BE1194),5,FALSE)))))</f>
        <v/>
      </c>
      <c r="AN1194" s="461" t="str">
        <f t="shared" si="654"/>
        <v/>
      </c>
      <c r="AO1194" s="462" t="str">
        <f t="shared" si="655"/>
        <v/>
      </c>
      <c r="AP1194" s="463" t="str">
        <f t="shared" si="656"/>
        <v/>
      </c>
      <c r="AQ1194" s="464"/>
      <c r="AR1194" s="619"/>
      <c r="AS1194" s="465" t="str">
        <f t="shared" si="664"/>
        <v/>
      </c>
      <c r="AT1194" s="465" t="str">
        <f t="shared" si="665"/>
        <v/>
      </c>
      <c r="AU1194" s="466" t="str">
        <f t="shared" si="666"/>
        <v/>
      </c>
      <c r="AV1194" s="467" t="str">
        <f t="shared" si="667"/>
        <v/>
      </c>
      <c r="AW1194" s="467" t="str">
        <f t="shared" si="668"/>
        <v/>
      </c>
      <c r="AX1194" s="467" t="str">
        <f t="shared" si="669"/>
        <v/>
      </c>
      <c r="AY1194" s="467" t="str">
        <f t="shared" si="670"/>
        <v/>
      </c>
      <c r="AZ1194" s="467" t="str">
        <f t="shared" si="671"/>
        <v/>
      </c>
      <c r="BA1194" s="468" t="str">
        <f>IF(AS1194="","",IF(OR(AU1194="",AU1194="-"),"－",IF(OR(AZ1194=8,AZ1194=9),"",IF(OR(AW1194=3,AW1194=4,AW1194=5,AW1194=6),VLOOKUP(AU1194,INDEX((係数_バス貨物_ガソリン,係数_バス貨物_CNG,係数_バス貨物_軽油,係数_バス貨物_メタノール,係数_バス貨物_LPG),MATCH(AY1194,【参考】排出係数!$AI$4:$AI$671,1),1,BE1194):INDEX((係数_バス貨物_ガソリン,係数_バス貨物_CNG,係数_バス貨物_軽油,係数_バス貨物_メタノール,係数_バス貨物_LPG),MATCH(AY1194+1,【参考】排出係数!$AI$4:$AI$671,1)-1,5,BE1194),2,FALSE),IF(OR(AW1194=1,AW1194=2),VLOOKUP(AU1194,INDEX((係数_乗用_ガソリン,係数_乗用_CNG,係数_乗用_軽油,係数_乗用_メタノール,係数_乗用_LPG),1,1,BE1194):INDEX((係数_乗用_ガソリン,係数_乗用_CNG,係数_乗用_軽油,係数_乗用_メタノール,係数_乗用_LPG),125,5,BE1194),2,FALSE))))))</f>
        <v/>
      </c>
      <c r="BB1194" s="468" t="str">
        <f>IF(T1194="","",IF(OR(AU1194="",AU1194="-"),"－",IF(OR(AZ1194=8,AZ1194=9),"",IF(OR(AW1194=3,AW1194=4,AW1194=5,AW1194=6),VLOOKUP(AU1194,INDEX((係数_バス貨物_ガソリン,係数_バス貨物_CNG,係数_バス貨物_軽油,係数_バス貨物_メタノール,係数_バス貨物_LPG),MATCH(AY1194,【参考】排出係数!$AI$4:$AI$671,1),1,BE1194):INDEX((係数_バス貨物_ガソリン,係数_バス貨物_CNG,係数_バス貨物_軽油,係数_バス貨物_メタノール,係数_バス貨物_LPG),MATCH(AY1194+1,【参考】排出係数!$AI$4:$AI$671,1)-1,5,BE1194),3,FALSE),IF(OR(AW1194=1,AW1194=2),VLOOKUP(AU1194,INDEX((係数_乗用_ガソリン,係数_乗用_CNG,係数_乗用_軽油,係数_乗用_メタノール,係数_乗用_LPG),1,1,BE1194):INDEX((係数_乗用_ガソリン,係数_乗用_CNG,係数_乗用_軽油,係数_乗用_メタノール,係数_乗用_LPG),125,5,BE1194),3,FALSE))))))</f>
        <v/>
      </c>
      <c r="BC1194" s="467" t="str">
        <f t="shared" si="672"/>
        <v/>
      </c>
      <c r="BD1194" s="567" t="str">
        <f t="shared" si="673"/>
        <v/>
      </c>
      <c r="BE1194" s="467" t="str">
        <f t="shared" si="674"/>
        <v/>
      </c>
      <c r="BF1194" s="469" t="str">
        <f t="shared" ca="1" si="675"/>
        <v/>
      </c>
      <c r="BG1194" s="469" t="str">
        <f t="shared" ca="1" si="676"/>
        <v/>
      </c>
      <c r="BH1194" s="467" t="str">
        <f t="shared" si="677"/>
        <v/>
      </c>
      <c r="BI1194" s="467" t="str">
        <f t="shared" ca="1" si="678"/>
        <v/>
      </c>
      <c r="BJ1194" s="469" t="str">
        <f t="shared" si="679"/>
        <v/>
      </c>
      <c r="BK1194" s="470" t="str">
        <f t="shared" si="663"/>
        <v/>
      </c>
      <c r="BL1194" s="775" t="str">
        <f t="shared" si="680"/>
        <v/>
      </c>
      <c r="BM1194" s="775" t="str">
        <f t="shared" si="681"/>
        <v/>
      </c>
    </row>
    <row r="1195" spans="1:65">
      <c r="A1195" s="473">
        <v>1139</v>
      </c>
      <c r="B1195" s="132"/>
      <c r="C1195" s="332"/>
      <c r="D1195" s="333"/>
      <c r="E1195" s="333"/>
      <c r="F1195" s="334"/>
      <c r="G1195" s="337"/>
      <c r="H1195" s="131"/>
      <c r="I1195" s="337"/>
      <c r="J1195" s="131"/>
      <c r="K1195" s="458" t="str">
        <f t="shared" si="644"/>
        <v/>
      </c>
      <c r="L1195" s="458">
        <f t="shared" si="645"/>
        <v>0</v>
      </c>
      <c r="M1195" s="458">
        <f t="shared" si="646"/>
        <v>0</v>
      </c>
      <c r="N1195" s="459" t="str">
        <f t="shared" si="657"/>
        <v/>
      </c>
      <c r="O1195" s="459" t="str">
        <f t="shared" si="658"/>
        <v/>
      </c>
      <c r="P1195" s="459" t="str">
        <f t="shared" si="659"/>
        <v/>
      </c>
      <c r="Q1195" s="459" t="str">
        <f t="shared" si="660"/>
        <v/>
      </c>
      <c r="R1195" s="459" t="str">
        <f t="shared" si="661"/>
        <v/>
      </c>
      <c r="S1195" s="459" t="str">
        <f t="shared" si="662"/>
        <v/>
      </c>
      <c r="T1195" s="566" t="str">
        <f t="shared" si="647"/>
        <v/>
      </c>
      <c r="U1195" s="702"/>
      <c r="V1195" s="132"/>
      <c r="W1195" s="133"/>
      <c r="X1195" s="134"/>
      <c r="Y1195" s="135"/>
      <c r="Z1195" s="137"/>
      <c r="AA1195" s="136"/>
      <c r="AB1195" s="566" t="str">
        <f t="shared" si="648"/>
        <v/>
      </c>
      <c r="AC1195" s="568" t="str">
        <f t="shared" si="649"/>
        <v/>
      </c>
      <c r="AD1195" s="137"/>
      <c r="AE1195" s="137"/>
      <c r="AF1195" s="138"/>
      <c r="AG1195" s="138"/>
      <c r="AH1195" s="592" t="str">
        <f t="shared" si="650"/>
        <v/>
      </c>
      <c r="AI1195" s="592" t="str">
        <f t="shared" si="651"/>
        <v/>
      </c>
      <c r="AJ1195" s="592" t="str">
        <f t="shared" si="652"/>
        <v/>
      </c>
      <c r="AK1195" s="460" t="str">
        <f>IF(AU1195="","",IF(OR(AZ1195=8,AZ1195=9),0,IF(OR(AW1195=3,AW1195=4,AW1195=5,AW1195=6),IF(LEFT(BF1195,1)="1",INDEX(係数_NOX・PM低減,MATCH(AY1195,【参考】排出係数!$AI$801:$AI$804,1),1),VLOOKUP(AU1195,INDEX((係数_バス貨物_ガソリン,係数_バス貨物_CNG,係数_バス貨物_軽油,係数_バス貨物_メタノール,係数_バス貨物_LPG),MATCH(AY1195,【参考】排出係数!$AI$4:$AI$671,1),1,BE1195):INDEX((係数_バス貨物_ガソリン,係数_バス貨物_CNG,係数_バス貨物_軽油,係数_バス貨物_メタノール,係数_バス貨物_LPG),MATCH(AY1195+1,【参考】排出係数!$AI$4:$AI$671,1)-1,5,BE1195),4,FALSE)),IF(AND(BE1195=3,LEFT(BF1195,1)="1"),0.48,VLOOKUP(AU1195,INDEX((係数_乗用_ガソリン,係数_乗用_CNG,係数_乗用_軽油,係数_乗用_メタノール,係数_乗用_LPG),1,1,BE1195):INDEX((係数_乗用_ガソリン,係数_乗用_CNG,係数_乗用_軽油,係数_乗用_メタノール,係数_乗用_LPG),125,5,BE1195),4,FALSE)))))</f>
        <v/>
      </c>
      <c r="AL1195" s="461" t="str">
        <f t="shared" si="653"/>
        <v/>
      </c>
      <c r="AM1195" s="460" t="str">
        <f>IF(AU1195="","",IF(OR(AZ1195=8,AZ1195=9),0,IF(OR(AW1195=3,AW1195=4,AW1195=5,AW1195=6),IF(LEFT(BH1195,1)="1",INDEX(係数_PM低減,MATCH(AY1195,【参考】排出係数!$AI$801:$AI$804,1),MATCH(BI1195,【参考】排出係数!$AL$798:$AO$798,1)),VLOOKUP(AU1195,INDEX((係数_バス貨物_ガソリン,係数_バス貨物_CNG,係数_バス貨物_軽油,係数_バス貨物_メタノール,係数_バス貨物_LPG),MATCH(AY1195,【参考】排出係数!$AI$4:$AI$671,1),1,BE1195):INDEX((係数_バス貨物_ガソリン,係数_バス貨物_CNG,係数_バス貨物_軽油,係数_バス貨物_メタノール,係数_バス貨物_LPG),MATCH(AY1195+1,【参考】排出係数!$AI$4:$AI$671,1)-1,5,BE1195),5,FALSE)),IF(AND(BE1195=3,LEFT(BF1195,1)="1"),0.055,VLOOKUP(AU1195,INDEX((係数_乗用_ガソリン,係数_乗用_CNG,係数_乗用_軽油,係数_乗用_メタノール,係数_乗用_LPG),1,1,BE1195):INDEX((係数_乗用_ガソリン,係数_乗用_CNG,係数_乗用_軽油,係数_乗用_メタノール,係数_乗用_LPG),125,5,BE1195),5,FALSE)))))</f>
        <v/>
      </c>
      <c r="AN1195" s="461" t="str">
        <f t="shared" si="654"/>
        <v/>
      </c>
      <c r="AO1195" s="462" t="str">
        <f t="shared" si="655"/>
        <v/>
      </c>
      <c r="AP1195" s="463" t="str">
        <f t="shared" si="656"/>
        <v/>
      </c>
      <c r="AQ1195" s="464"/>
      <c r="AR1195" s="619"/>
      <c r="AS1195" s="465" t="str">
        <f t="shared" si="664"/>
        <v/>
      </c>
      <c r="AT1195" s="465" t="str">
        <f t="shared" si="665"/>
        <v/>
      </c>
      <c r="AU1195" s="466" t="str">
        <f t="shared" si="666"/>
        <v/>
      </c>
      <c r="AV1195" s="467" t="str">
        <f t="shared" si="667"/>
        <v/>
      </c>
      <c r="AW1195" s="467" t="str">
        <f t="shared" si="668"/>
        <v/>
      </c>
      <c r="AX1195" s="467" t="str">
        <f t="shared" si="669"/>
        <v/>
      </c>
      <c r="AY1195" s="467" t="str">
        <f t="shared" si="670"/>
        <v/>
      </c>
      <c r="AZ1195" s="467" t="str">
        <f t="shared" si="671"/>
        <v/>
      </c>
      <c r="BA1195" s="468" t="str">
        <f>IF(AS1195="","",IF(OR(AU1195="",AU1195="-"),"－",IF(OR(AZ1195=8,AZ1195=9),"",IF(OR(AW1195=3,AW1195=4,AW1195=5,AW1195=6),VLOOKUP(AU1195,INDEX((係数_バス貨物_ガソリン,係数_バス貨物_CNG,係数_バス貨物_軽油,係数_バス貨物_メタノール,係数_バス貨物_LPG),MATCH(AY1195,【参考】排出係数!$AI$4:$AI$671,1),1,BE1195):INDEX((係数_バス貨物_ガソリン,係数_バス貨物_CNG,係数_バス貨物_軽油,係数_バス貨物_メタノール,係数_バス貨物_LPG),MATCH(AY1195+1,【参考】排出係数!$AI$4:$AI$671,1)-1,5,BE1195),2,FALSE),IF(OR(AW1195=1,AW1195=2),VLOOKUP(AU1195,INDEX((係数_乗用_ガソリン,係数_乗用_CNG,係数_乗用_軽油,係数_乗用_メタノール,係数_乗用_LPG),1,1,BE1195):INDEX((係数_乗用_ガソリン,係数_乗用_CNG,係数_乗用_軽油,係数_乗用_メタノール,係数_乗用_LPG),125,5,BE1195),2,FALSE))))))</f>
        <v/>
      </c>
      <c r="BB1195" s="468" t="str">
        <f>IF(T1195="","",IF(OR(AU1195="",AU1195="-"),"－",IF(OR(AZ1195=8,AZ1195=9),"",IF(OR(AW1195=3,AW1195=4,AW1195=5,AW1195=6),VLOOKUP(AU1195,INDEX((係数_バス貨物_ガソリン,係数_バス貨物_CNG,係数_バス貨物_軽油,係数_バス貨物_メタノール,係数_バス貨物_LPG),MATCH(AY1195,【参考】排出係数!$AI$4:$AI$671,1),1,BE1195):INDEX((係数_バス貨物_ガソリン,係数_バス貨物_CNG,係数_バス貨物_軽油,係数_バス貨物_メタノール,係数_バス貨物_LPG),MATCH(AY1195+1,【参考】排出係数!$AI$4:$AI$671,1)-1,5,BE1195),3,FALSE),IF(OR(AW1195=1,AW1195=2),VLOOKUP(AU1195,INDEX((係数_乗用_ガソリン,係数_乗用_CNG,係数_乗用_軽油,係数_乗用_メタノール,係数_乗用_LPG),1,1,BE1195):INDEX((係数_乗用_ガソリン,係数_乗用_CNG,係数_乗用_軽油,係数_乗用_メタノール,係数_乗用_LPG),125,5,BE1195),3,FALSE))))))</f>
        <v/>
      </c>
      <c r="BC1195" s="467" t="str">
        <f t="shared" si="672"/>
        <v/>
      </c>
      <c r="BD1195" s="567" t="str">
        <f t="shared" si="673"/>
        <v/>
      </c>
      <c r="BE1195" s="467" t="str">
        <f t="shared" si="674"/>
        <v/>
      </c>
      <c r="BF1195" s="469" t="str">
        <f t="shared" ca="1" si="675"/>
        <v/>
      </c>
      <c r="BG1195" s="469" t="str">
        <f t="shared" ca="1" si="676"/>
        <v/>
      </c>
      <c r="BH1195" s="467" t="str">
        <f t="shared" si="677"/>
        <v/>
      </c>
      <c r="BI1195" s="467" t="str">
        <f t="shared" ca="1" si="678"/>
        <v/>
      </c>
      <c r="BJ1195" s="469" t="str">
        <f t="shared" si="679"/>
        <v/>
      </c>
      <c r="BK1195" s="470" t="str">
        <f t="shared" si="663"/>
        <v/>
      </c>
      <c r="BL1195" s="775" t="str">
        <f t="shared" si="680"/>
        <v/>
      </c>
      <c r="BM1195" s="775" t="str">
        <f t="shared" si="681"/>
        <v/>
      </c>
    </row>
    <row r="1196" spans="1:65">
      <c r="A1196" s="473">
        <v>1140</v>
      </c>
      <c r="B1196" s="132"/>
      <c r="C1196" s="332"/>
      <c r="D1196" s="333"/>
      <c r="E1196" s="333"/>
      <c r="F1196" s="334"/>
      <c r="G1196" s="337"/>
      <c r="H1196" s="131"/>
      <c r="I1196" s="337"/>
      <c r="J1196" s="131"/>
      <c r="K1196" s="458" t="str">
        <f t="shared" ref="K1196:K1259" si="682">C1196&amp;D1196&amp;E1196&amp;F1196</f>
        <v/>
      </c>
      <c r="L1196" s="458">
        <f t="shared" ref="L1196:L1259" si="683">IF(G1196&gt;0,DATE((G1196),(H1196+1),0),0)</f>
        <v>0</v>
      </c>
      <c r="M1196" s="458">
        <f t="shared" ref="M1196:M1259" si="684">IF(I1196&gt;0,DATE((I1196),(J1196+1),0),0)</f>
        <v>0</v>
      </c>
      <c r="N1196" s="459" t="str">
        <f t="shared" si="657"/>
        <v/>
      </c>
      <c r="O1196" s="459" t="str">
        <f t="shared" si="658"/>
        <v/>
      </c>
      <c r="P1196" s="459" t="str">
        <f t="shared" si="659"/>
        <v/>
      </c>
      <c r="Q1196" s="459" t="str">
        <f t="shared" si="660"/>
        <v/>
      </c>
      <c r="R1196" s="459" t="str">
        <f t="shared" si="661"/>
        <v/>
      </c>
      <c r="S1196" s="459" t="str">
        <f t="shared" si="662"/>
        <v/>
      </c>
      <c r="T1196" s="566" t="str">
        <f t="shared" ref="T1196:T1259" si="685">N1196&amp;O1196&amp;P1196&amp;Q1196&amp;R1196&amp;S1196</f>
        <v/>
      </c>
      <c r="U1196" s="702"/>
      <c r="V1196" s="132"/>
      <c r="W1196" s="133"/>
      <c r="X1196" s="134"/>
      <c r="Y1196" s="135"/>
      <c r="Z1196" s="137"/>
      <c r="AA1196" s="136"/>
      <c r="AB1196" s="566" t="str">
        <f t="shared" ref="AB1196:AB1259" si="686">IF(AS1196="","",IF(AZ1196=1,VLOOKUP(BA1196,低公害車判別,2,FALSE),IF(AZ1196=3,VLOOKUP(BA1196,低公害車判別,2,FALSE),IF(AZ1196=4,VLOOKUP(BB1196,低公害車判別,2,FALSE),"低公害車"))))</f>
        <v/>
      </c>
      <c r="AC1196" s="568" t="str">
        <f t="shared" ref="AC1196:AC1259" si="687">IF(AS1196="","",IF((BA1196="")+(BA1196="－"),IF((BB1196="")+(BB1196=0),"－",BB1196),IF((BA1196="PM☆☆☆")+(BA1196="☆及びPM☆☆☆")+(BA1196="☆☆及びPM☆☆☆")+(BA1196="☆☆☆及びPM☆☆☆"),"PM☆☆☆",IF((BA1196="PM☆☆☆☆")+(BA1196="☆及びPM☆☆☆☆")+(BA1196="☆☆及びPM☆☆☆☆")+(BA1196="☆☆☆及びPM☆☆☆☆"),"PM☆☆☆☆",IF((BA1196="新☆")+(BA1196="新NOx☆")+(BA1196="新PM☆"),"新☆（新長期）",BA1196)))))</f>
        <v/>
      </c>
      <c r="AD1196" s="137"/>
      <c r="AE1196" s="137"/>
      <c r="AF1196" s="138"/>
      <c r="AG1196" s="138"/>
      <c r="AH1196" s="592" t="str">
        <f t="shared" ref="AH1196:AH1259" si="688">IF(C1196="","",IF(LEFT(C1196,2)="横浜","○",""))</f>
        <v/>
      </c>
      <c r="AI1196" s="592" t="str">
        <f t="shared" ref="AI1196:AI1259" si="689">IF(C1196="","",IF(LEFT(C1196,2)="川崎","○",""))</f>
        <v/>
      </c>
      <c r="AJ1196" s="592" t="str">
        <f t="shared" ref="AJ1196:AJ1259" si="690">IF(C1196="","",IF(OR(AH1196="○",AI1196="○"),"","○"))</f>
        <v/>
      </c>
      <c r="AK1196" s="460" t="str">
        <f>IF(AU1196="","",IF(OR(AZ1196=8,AZ1196=9),0,IF(OR(AW1196=3,AW1196=4,AW1196=5,AW1196=6),IF(LEFT(BF1196,1)="1",INDEX(係数_NOX・PM低減,MATCH(AY1196,【参考】排出係数!$AI$801:$AI$804,1),1),VLOOKUP(AU1196,INDEX((係数_バス貨物_ガソリン,係数_バス貨物_CNG,係数_バス貨物_軽油,係数_バス貨物_メタノール,係数_バス貨物_LPG),MATCH(AY1196,【参考】排出係数!$AI$4:$AI$671,1),1,BE1196):INDEX((係数_バス貨物_ガソリン,係数_バス貨物_CNG,係数_バス貨物_軽油,係数_バス貨物_メタノール,係数_バス貨物_LPG),MATCH(AY1196+1,【参考】排出係数!$AI$4:$AI$671,1)-1,5,BE1196),4,FALSE)),IF(AND(BE1196=3,LEFT(BF1196,1)="1"),0.48,VLOOKUP(AU1196,INDEX((係数_乗用_ガソリン,係数_乗用_CNG,係数_乗用_軽油,係数_乗用_メタノール,係数_乗用_LPG),1,1,BE1196):INDEX((係数_乗用_ガソリン,係数_乗用_CNG,係数_乗用_軽油,係数_乗用_メタノール,係数_乗用_LPG),125,5,BE1196),4,FALSE)))))</f>
        <v/>
      </c>
      <c r="AL1196" s="461" t="str">
        <f t="shared" ref="AL1196:AL1259" si="691">IF(AU1196="","",IF(Z1196&lt;=3.5*1000,AD1196*AK1196/1000,IF(Z1196&gt;3.5*1000,AD1196*Z1196*AK1196/1000/1000)))</f>
        <v/>
      </c>
      <c r="AM1196" s="460" t="str">
        <f>IF(AU1196="","",IF(OR(AZ1196=8,AZ1196=9),0,IF(OR(AW1196=3,AW1196=4,AW1196=5,AW1196=6),IF(LEFT(BH1196,1)="1",INDEX(係数_PM低減,MATCH(AY1196,【参考】排出係数!$AI$801:$AI$804,1),MATCH(BI1196,【参考】排出係数!$AL$798:$AO$798,1)),VLOOKUP(AU1196,INDEX((係数_バス貨物_ガソリン,係数_バス貨物_CNG,係数_バス貨物_軽油,係数_バス貨物_メタノール,係数_バス貨物_LPG),MATCH(AY1196,【参考】排出係数!$AI$4:$AI$671,1),1,BE1196):INDEX((係数_バス貨物_ガソリン,係数_バス貨物_CNG,係数_バス貨物_軽油,係数_バス貨物_メタノール,係数_バス貨物_LPG),MATCH(AY1196+1,【参考】排出係数!$AI$4:$AI$671,1)-1,5,BE1196),5,FALSE)),IF(AND(BE1196=3,LEFT(BF1196,1)="1"),0.055,VLOOKUP(AU1196,INDEX((係数_乗用_ガソリン,係数_乗用_CNG,係数_乗用_軽油,係数_乗用_メタノール,係数_乗用_LPG),1,1,BE1196):INDEX((係数_乗用_ガソリン,係数_乗用_CNG,係数_乗用_軽油,係数_乗用_メタノール,係数_乗用_LPG),125,5,BE1196),5,FALSE)))))</f>
        <v/>
      </c>
      <c r="AN1196" s="461" t="str">
        <f t="shared" ref="AN1196:AN1259" si="692">IF(AU1196="","",IF(Z1196&lt;=3.5*1000,AD1196*AM1196/1000,IF(Z1196&gt;3.5*1000,AD1196*Z1196*AM1196/1000/1000)))</f>
        <v/>
      </c>
      <c r="AO1196" s="462" t="str">
        <f t="shared" ref="AO1196:AO1259" si="693">IF(AU1196="","",IF(Z1196&lt;500,"車両重量",IF(OR(AZ1196=8,AZ1196=9),0,IF(OR(AZ1196=1,AZ1196=2,AZ1196=11),2.32,IF(OR(AZ1196=4,AZ1196=5,AZ1196=11),2.58,IF(AZ1196=3,3,IF(AZ1196=6,2.23,IF(AZ1196=7,1.37,0))))))))</f>
        <v/>
      </c>
      <c r="AP1196" s="463" t="str">
        <f t="shared" ref="AP1196:AP1259" si="694">IF(AU1196="","",AE1196*AO1196/1000)</f>
        <v/>
      </c>
      <c r="AQ1196" s="464"/>
      <c r="AR1196" s="619"/>
      <c r="AS1196" s="465" t="str">
        <f t="shared" si="664"/>
        <v/>
      </c>
      <c r="AT1196" s="465" t="str">
        <f t="shared" si="665"/>
        <v/>
      </c>
      <c r="AU1196" s="466" t="str">
        <f t="shared" si="666"/>
        <v/>
      </c>
      <c r="AV1196" s="467" t="str">
        <f t="shared" si="667"/>
        <v/>
      </c>
      <c r="AW1196" s="467" t="str">
        <f t="shared" si="668"/>
        <v/>
      </c>
      <c r="AX1196" s="467" t="str">
        <f t="shared" si="669"/>
        <v/>
      </c>
      <c r="AY1196" s="467" t="str">
        <f t="shared" si="670"/>
        <v/>
      </c>
      <c r="AZ1196" s="467" t="str">
        <f t="shared" si="671"/>
        <v/>
      </c>
      <c r="BA1196" s="468" t="str">
        <f>IF(AS1196="","",IF(OR(AU1196="",AU1196="-"),"－",IF(OR(AZ1196=8,AZ1196=9),"",IF(OR(AW1196=3,AW1196=4,AW1196=5,AW1196=6),VLOOKUP(AU1196,INDEX((係数_バス貨物_ガソリン,係数_バス貨物_CNG,係数_バス貨物_軽油,係数_バス貨物_メタノール,係数_バス貨物_LPG),MATCH(AY1196,【参考】排出係数!$AI$4:$AI$671,1),1,BE1196):INDEX((係数_バス貨物_ガソリン,係数_バス貨物_CNG,係数_バス貨物_軽油,係数_バス貨物_メタノール,係数_バス貨物_LPG),MATCH(AY1196+1,【参考】排出係数!$AI$4:$AI$671,1)-1,5,BE1196),2,FALSE),IF(OR(AW1196=1,AW1196=2),VLOOKUP(AU1196,INDEX((係数_乗用_ガソリン,係数_乗用_CNG,係数_乗用_軽油,係数_乗用_メタノール,係数_乗用_LPG),1,1,BE1196):INDEX((係数_乗用_ガソリン,係数_乗用_CNG,係数_乗用_軽油,係数_乗用_メタノール,係数_乗用_LPG),125,5,BE1196),2,FALSE))))))</f>
        <v/>
      </c>
      <c r="BB1196" s="468" t="str">
        <f>IF(T1196="","",IF(OR(AU1196="",AU1196="-"),"－",IF(OR(AZ1196=8,AZ1196=9),"",IF(OR(AW1196=3,AW1196=4,AW1196=5,AW1196=6),VLOOKUP(AU1196,INDEX((係数_バス貨物_ガソリン,係数_バス貨物_CNG,係数_バス貨物_軽油,係数_バス貨物_メタノール,係数_バス貨物_LPG),MATCH(AY1196,【参考】排出係数!$AI$4:$AI$671,1),1,BE1196):INDEX((係数_バス貨物_ガソリン,係数_バス貨物_CNG,係数_バス貨物_軽油,係数_バス貨物_メタノール,係数_バス貨物_LPG),MATCH(AY1196+1,【参考】排出係数!$AI$4:$AI$671,1)-1,5,BE1196),3,FALSE),IF(OR(AW1196=1,AW1196=2),VLOOKUP(AU1196,INDEX((係数_乗用_ガソリン,係数_乗用_CNG,係数_乗用_軽油,係数_乗用_メタノール,係数_乗用_LPG),1,1,BE1196):INDEX((係数_乗用_ガソリン,係数_乗用_CNG,係数_乗用_軽油,係数_乗用_メタノール,係数_乗用_LPG),125,5,BE1196),3,FALSE))))))</f>
        <v/>
      </c>
      <c r="BC1196" s="467" t="str">
        <f t="shared" si="672"/>
        <v/>
      </c>
      <c r="BD1196" s="567" t="str">
        <f t="shared" si="673"/>
        <v/>
      </c>
      <c r="BE1196" s="467" t="str">
        <f t="shared" si="674"/>
        <v/>
      </c>
      <c r="BF1196" s="469" t="str">
        <f t="shared" ca="1" si="675"/>
        <v/>
      </c>
      <c r="BG1196" s="469" t="str">
        <f t="shared" ca="1" si="676"/>
        <v/>
      </c>
      <c r="BH1196" s="467" t="str">
        <f t="shared" si="677"/>
        <v/>
      </c>
      <c r="BI1196" s="467" t="str">
        <f t="shared" ca="1" si="678"/>
        <v/>
      </c>
      <c r="BJ1196" s="469" t="str">
        <f t="shared" si="679"/>
        <v/>
      </c>
      <c r="BK1196" s="470" t="str">
        <f t="shared" si="663"/>
        <v/>
      </c>
      <c r="BL1196" s="775" t="str">
        <f t="shared" si="680"/>
        <v/>
      </c>
      <c r="BM1196" s="775" t="str">
        <f t="shared" si="681"/>
        <v/>
      </c>
    </row>
    <row r="1197" spans="1:65">
      <c r="A1197" s="473">
        <v>1141</v>
      </c>
      <c r="B1197" s="132"/>
      <c r="C1197" s="332"/>
      <c r="D1197" s="333"/>
      <c r="E1197" s="333"/>
      <c r="F1197" s="334"/>
      <c r="G1197" s="337"/>
      <c r="H1197" s="131"/>
      <c r="I1197" s="337"/>
      <c r="J1197" s="131"/>
      <c r="K1197" s="458" t="str">
        <f t="shared" si="682"/>
        <v/>
      </c>
      <c r="L1197" s="458">
        <f t="shared" si="683"/>
        <v>0</v>
      </c>
      <c r="M1197" s="458">
        <f t="shared" si="684"/>
        <v>0</v>
      </c>
      <c r="N1197" s="459" t="str">
        <f t="shared" si="657"/>
        <v/>
      </c>
      <c r="O1197" s="459" t="str">
        <f t="shared" si="658"/>
        <v/>
      </c>
      <c r="P1197" s="459" t="str">
        <f t="shared" si="659"/>
        <v/>
      </c>
      <c r="Q1197" s="459" t="str">
        <f t="shared" si="660"/>
        <v/>
      </c>
      <c r="R1197" s="459" t="str">
        <f t="shared" si="661"/>
        <v/>
      </c>
      <c r="S1197" s="459" t="str">
        <f t="shared" si="662"/>
        <v/>
      </c>
      <c r="T1197" s="566" t="str">
        <f t="shared" si="685"/>
        <v/>
      </c>
      <c r="U1197" s="702"/>
      <c r="V1197" s="132"/>
      <c r="W1197" s="133"/>
      <c r="X1197" s="134"/>
      <c r="Y1197" s="135"/>
      <c r="Z1197" s="137"/>
      <c r="AA1197" s="136"/>
      <c r="AB1197" s="566" t="str">
        <f t="shared" si="686"/>
        <v/>
      </c>
      <c r="AC1197" s="568" t="str">
        <f t="shared" si="687"/>
        <v/>
      </c>
      <c r="AD1197" s="137"/>
      <c r="AE1197" s="137"/>
      <c r="AF1197" s="138"/>
      <c r="AG1197" s="138"/>
      <c r="AH1197" s="592" t="str">
        <f t="shared" si="688"/>
        <v/>
      </c>
      <c r="AI1197" s="592" t="str">
        <f t="shared" si="689"/>
        <v/>
      </c>
      <c r="AJ1197" s="592" t="str">
        <f t="shared" si="690"/>
        <v/>
      </c>
      <c r="AK1197" s="460" t="str">
        <f>IF(AU1197="","",IF(OR(AZ1197=8,AZ1197=9),0,IF(OR(AW1197=3,AW1197=4,AW1197=5,AW1197=6),IF(LEFT(BF1197,1)="1",INDEX(係数_NOX・PM低減,MATCH(AY1197,【参考】排出係数!$AI$801:$AI$804,1),1),VLOOKUP(AU1197,INDEX((係数_バス貨物_ガソリン,係数_バス貨物_CNG,係数_バス貨物_軽油,係数_バス貨物_メタノール,係数_バス貨物_LPG),MATCH(AY1197,【参考】排出係数!$AI$4:$AI$671,1),1,BE1197):INDEX((係数_バス貨物_ガソリン,係数_バス貨物_CNG,係数_バス貨物_軽油,係数_バス貨物_メタノール,係数_バス貨物_LPG),MATCH(AY1197+1,【参考】排出係数!$AI$4:$AI$671,1)-1,5,BE1197),4,FALSE)),IF(AND(BE1197=3,LEFT(BF1197,1)="1"),0.48,VLOOKUP(AU1197,INDEX((係数_乗用_ガソリン,係数_乗用_CNG,係数_乗用_軽油,係数_乗用_メタノール,係数_乗用_LPG),1,1,BE1197):INDEX((係数_乗用_ガソリン,係数_乗用_CNG,係数_乗用_軽油,係数_乗用_メタノール,係数_乗用_LPG),125,5,BE1197),4,FALSE)))))</f>
        <v/>
      </c>
      <c r="AL1197" s="461" t="str">
        <f t="shared" si="691"/>
        <v/>
      </c>
      <c r="AM1197" s="460" t="str">
        <f>IF(AU1197="","",IF(OR(AZ1197=8,AZ1197=9),0,IF(OR(AW1197=3,AW1197=4,AW1197=5,AW1197=6),IF(LEFT(BH1197,1)="1",INDEX(係数_PM低減,MATCH(AY1197,【参考】排出係数!$AI$801:$AI$804,1),MATCH(BI1197,【参考】排出係数!$AL$798:$AO$798,1)),VLOOKUP(AU1197,INDEX((係数_バス貨物_ガソリン,係数_バス貨物_CNG,係数_バス貨物_軽油,係数_バス貨物_メタノール,係数_バス貨物_LPG),MATCH(AY1197,【参考】排出係数!$AI$4:$AI$671,1),1,BE1197):INDEX((係数_バス貨物_ガソリン,係数_バス貨物_CNG,係数_バス貨物_軽油,係数_バス貨物_メタノール,係数_バス貨物_LPG),MATCH(AY1197+1,【参考】排出係数!$AI$4:$AI$671,1)-1,5,BE1197),5,FALSE)),IF(AND(BE1197=3,LEFT(BF1197,1)="1"),0.055,VLOOKUP(AU1197,INDEX((係数_乗用_ガソリン,係数_乗用_CNG,係数_乗用_軽油,係数_乗用_メタノール,係数_乗用_LPG),1,1,BE1197):INDEX((係数_乗用_ガソリン,係数_乗用_CNG,係数_乗用_軽油,係数_乗用_メタノール,係数_乗用_LPG),125,5,BE1197),5,FALSE)))))</f>
        <v/>
      </c>
      <c r="AN1197" s="461" t="str">
        <f t="shared" si="692"/>
        <v/>
      </c>
      <c r="AO1197" s="462" t="str">
        <f t="shared" si="693"/>
        <v/>
      </c>
      <c r="AP1197" s="463" t="str">
        <f t="shared" si="694"/>
        <v/>
      </c>
      <c r="AQ1197" s="464"/>
      <c r="AR1197" s="619"/>
      <c r="AS1197" s="465" t="str">
        <f t="shared" si="664"/>
        <v/>
      </c>
      <c r="AT1197" s="465" t="str">
        <f t="shared" si="665"/>
        <v/>
      </c>
      <c r="AU1197" s="466" t="str">
        <f t="shared" si="666"/>
        <v/>
      </c>
      <c r="AV1197" s="467" t="str">
        <f t="shared" si="667"/>
        <v/>
      </c>
      <c r="AW1197" s="467" t="str">
        <f t="shared" si="668"/>
        <v/>
      </c>
      <c r="AX1197" s="467" t="str">
        <f t="shared" si="669"/>
        <v/>
      </c>
      <c r="AY1197" s="467" t="str">
        <f t="shared" si="670"/>
        <v/>
      </c>
      <c r="AZ1197" s="467" t="str">
        <f t="shared" si="671"/>
        <v/>
      </c>
      <c r="BA1197" s="468" t="str">
        <f>IF(AS1197="","",IF(OR(AU1197="",AU1197="-"),"－",IF(OR(AZ1197=8,AZ1197=9),"",IF(OR(AW1197=3,AW1197=4,AW1197=5,AW1197=6),VLOOKUP(AU1197,INDEX((係数_バス貨物_ガソリン,係数_バス貨物_CNG,係数_バス貨物_軽油,係数_バス貨物_メタノール,係数_バス貨物_LPG),MATCH(AY1197,【参考】排出係数!$AI$4:$AI$671,1),1,BE1197):INDEX((係数_バス貨物_ガソリン,係数_バス貨物_CNG,係数_バス貨物_軽油,係数_バス貨物_メタノール,係数_バス貨物_LPG),MATCH(AY1197+1,【参考】排出係数!$AI$4:$AI$671,1)-1,5,BE1197),2,FALSE),IF(OR(AW1197=1,AW1197=2),VLOOKUP(AU1197,INDEX((係数_乗用_ガソリン,係数_乗用_CNG,係数_乗用_軽油,係数_乗用_メタノール,係数_乗用_LPG),1,1,BE1197):INDEX((係数_乗用_ガソリン,係数_乗用_CNG,係数_乗用_軽油,係数_乗用_メタノール,係数_乗用_LPG),125,5,BE1197),2,FALSE))))))</f>
        <v/>
      </c>
      <c r="BB1197" s="468" t="str">
        <f>IF(T1197="","",IF(OR(AU1197="",AU1197="-"),"－",IF(OR(AZ1197=8,AZ1197=9),"",IF(OR(AW1197=3,AW1197=4,AW1197=5,AW1197=6),VLOOKUP(AU1197,INDEX((係数_バス貨物_ガソリン,係数_バス貨物_CNG,係数_バス貨物_軽油,係数_バス貨物_メタノール,係数_バス貨物_LPG),MATCH(AY1197,【参考】排出係数!$AI$4:$AI$671,1),1,BE1197):INDEX((係数_バス貨物_ガソリン,係数_バス貨物_CNG,係数_バス貨物_軽油,係数_バス貨物_メタノール,係数_バス貨物_LPG),MATCH(AY1197+1,【参考】排出係数!$AI$4:$AI$671,1)-1,5,BE1197),3,FALSE),IF(OR(AW1197=1,AW1197=2),VLOOKUP(AU1197,INDEX((係数_乗用_ガソリン,係数_乗用_CNG,係数_乗用_軽油,係数_乗用_メタノール,係数_乗用_LPG),1,1,BE1197):INDEX((係数_乗用_ガソリン,係数_乗用_CNG,係数_乗用_軽油,係数_乗用_メタノール,係数_乗用_LPG),125,5,BE1197),3,FALSE))))))</f>
        <v/>
      </c>
      <c r="BC1197" s="467" t="str">
        <f t="shared" si="672"/>
        <v/>
      </c>
      <c r="BD1197" s="567" t="str">
        <f t="shared" si="673"/>
        <v/>
      </c>
      <c r="BE1197" s="467" t="str">
        <f t="shared" si="674"/>
        <v/>
      </c>
      <c r="BF1197" s="469" t="str">
        <f t="shared" ca="1" si="675"/>
        <v/>
      </c>
      <c r="BG1197" s="469" t="str">
        <f t="shared" ca="1" si="676"/>
        <v/>
      </c>
      <c r="BH1197" s="467" t="str">
        <f t="shared" si="677"/>
        <v/>
      </c>
      <c r="BI1197" s="467" t="str">
        <f t="shared" ca="1" si="678"/>
        <v/>
      </c>
      <c r="BJ1197" s="469" t="str">
        <f t="shared" si="679"/>
        <v/>
      </c>
      <c r="BK1197" s="470" t="str">
        <f t="shared" si="663"/>
        <v/>
      </c>
      <c r="BL1197" s="775" t="str">
        <f t="shared" si="680"/>
        <v/>
      </c>
      <c r="BM1197" s="775" t="str">
        <f t="shared" si="681"/>
        <v/>
      </c>
    </row>
    <row r="1198" spans="1:65">
      <c r="A1198" s="473">
        <v>1142</v>
      </c>
      <c r="B1198" s="132"/>
      <c r="C1198" s="332"/>
      <c r="D1198" s="333"/>
      <c r="E1198" s="333"/>
      <c r="F1198" s="334"/>
      <c r="G1198" s="337"/>
      <c r="H1198" s="131"/>
      <c r="I1198" s="337"/>
      <c r="J1198" s="131"/>
      <c r="K1198" s="458" t="str">
        <f t="shared" si="682"/>
        <v/>
      </c>
      <c r="L1198" s="458">
        <f t="shared" si="683"/>
        <v>0</v>
      </c>
      <c r="M1198" s="458">
        <f t="shared" si="684"/>
        <v>0</v>
      </c>
      <c r="N1198" s="459" t="str">
        <f t="shared" si="657"/>
        <v/>
      </c>
      <c r="O1198" s="459" t="str">
        <f t="shared" si="658"/>
        <v/>
      </c>
      <c r="P1198" s="459" t="str">
        <f t="shared" si="659"/>
        <v/>
      </c>
      <c r="Q1198" s="459" t="str">
        <f t="shared" si="660"/>
        <v/>
      </c>
      <c r="R1198" s="459" t="str">
        <f t="shared" si="661"/>
        <v/>
      </c>
      <c r="S1198" s="459" t="str">
        <f t="shared" si="662"/>
        <v/>
      </c>
      <c r="T1198" s="566" t="str">
        <f t="shared" si="685"/>
        <v/>
      </c>
      <c r="U1198" s="702"/>
      <c r="V1198" s="132"/>
      <c r="W1198" s="133"/>
      <c r="X1198" s="134"/>
      <c r="Y1198" s="135"/>
      <c r="Z1198" s="137"/>
      <c r="AA1198" s="136"/>
      <c r="AB1198" s="566" t="str">
        <f t="shared" si="686"/>
        <v/>
      </c>
      <c r="AC1198" s="568" t="str">
        <f t="shared" si="687"/>
        <v/>
      </c>
      <c r="AD1198" s="137"/>
      <c r="AE1198" s="137"/>
      <c r="AF1198" s="138"/>
      <c r="AG1198" s="138"/>
      <c r="AH1198" s="592" t="str">
        <f t="shared" si="688"/>
        <v/>
      </c>
      <c r="AI1198" s="592" t="str">
        <f t="shared" si="689"/>
        <v/>
      </c>
      <c r="AJ1198" s="592" t="str">
        <f t="shared" si="690"/>
        <v/>
      </c>
      <c r="AK1198" s="460" t="str">
        <f>IF(AU1198="","",IF(OR(AZ1198=8,AZ1198=9),0,IF(OR(AW1198=3,AW1198=4,AW1198=5,AW1198=6),IF(LEFT(BF1198,1)="1",INDEX(係数_NOX・PM低減,MATCH(AY1198,【参考】排出係数!$AI$801:$AI$804,1),1),VLOOKUP(AU1198,INDEX((係数_バス貨物_ガソリン,係数_バス貨物_CNG,係数_バス貨物_軽油,係数_バス貨物_メタノール,係数_バス貨物_LPG),MATCH(AY1198,【参考】排出係数!$AI$4:$AI$671,1),1,BE1198):INDEX((係数_バス貨物_ガソリン,係数_バス貨物_CNG,係数_バス貨物_軽油,係数_バス貨物_メタノール,係数_バス貨物_LPG),MATCH(AY1198+1,【参考】排出係数!$AI$4:$AI$671,1)-1,5,BE1198),4,FALSE)),IF(AND(BE1198=3,LEFT(BF1198,1)="1"),0.48,VLOOKUP(AU1198,INDEX((係数_乗用_ガソリン,係数_乗用_CNG,係数_乗用_軽油,係数_乗用_メタノール,係数_乗用_LPG),1,1,BE1198):INDEX((係数_乗用_ガソリン,係数_乗用_CNG,係数_乗用_軽油,係数_乗用_メタノール,係数_乗用_LPG),125,5,BE1198),4,FALSE)))))</f>
        <v/>
      </c>
      <c r="AL1198" s="461" t="str">
        <f t="shared" si="691"/>
        <v/>
      </c>
      <c r="AM1198" s="460" t="str">
        <f>IF(AU1198="","",IF(OR(AZ1198=8,AZ1198=9),0,IF(OR(AW1198=3,AW1198=4,AW1198=5,AW1198=6),IF(LEFT(BH1198,1)="1",INDEX(係数_PM低減,MATCH(AY1198,【参考】排出係数!$AI$801:$AI$804,1),MATCH(BI1198,【参考】排出係数!$AL$798:$AO$798,1)),VLOOKUP(AU1198,INDEX((係数_バス貨物_ガソリン,係数_バス貨物_CNG,係数_バス貨物_軽油,係数_バス貨物_メタノール,係数_バス貨物_LPG),MATCH(AY1198,【参考】排出係数!$AI$4:$AI$671,1),1,BE1198):INDEX((係数_バス貨物_ガソリン,係数_バス貨物_CNG,係数_バス貨物_軽油,係数_バス貨物_メタノール,係数_バス貨物_LPG),MATCH(AY1198+1,【参考】排出係数!$AI$4:$AI$671,1)-1,5,BE1198),5,FALSE)),IF(AND(BE1198=3,LEFT(BF1198,1)="1"),0.055,VLOOKUP(AU1198,INDEX((係数_乗用_ガソリン,係数_乗用_CNG,係数_乗用_軽油,係数_乗用_メタノール,係数_乗用_LPG),1,1,BE1198):INDEX((係数_乗用_ガソリン,係数_乗用_CNG,係数_乗用_軽油,係数_乗用_メタノール,係数_乗用_LPG),125,5,BE1198),5,FALSE)))))</f>
        <v/>
      </c>
      <c r="AN1198" s="461" t="str">
        <f t="shared" si="692"/>
        <v/>
      </c>
      <c r="AO1198" s="462" t="str">
        <f t="shared" si="693"/>
        <v/>
      </c>
      <c r="AP1198" s="463" t="str">
        <f t="shared" si="694"/>
        <v/>
      </c>
      <c r="AQ1198" s="464"/>
      <c r="AR1198" s="619"/>
      <c r="AS1198" s="465" t="str">
        <f t="shared" si="664"/>
        <v/>
      </c>
      <c r="AT1198" s="465" t="str">
        <f t="shared" si="665"/>
        <v/>
      </c>
      <c r="AU1198" s="466" t="str">
        <f t="shared" si="666"/>
        <v/>
      </c>
      <c r="AV1198" s="467" t="str">
        <f t="shared" si="667"/>
        <v/>
      </c>
      <c r="AW1198" s="467" t="str">
        <f t="shared" si="668"/>
        <v/>
      </c>
      <c r="AX1198" s="467" t="str">
        <f t="shared" si="669"/>
        <v/>
      </c>
      <c r="AY1198" s="467" t="str">
        <f t="shared" si="670"/>
        <v/>
      </c>
      <c r="AZ1198" s="467" t="str">
        <f t="shared" si="671"/>
        <v/>
      </c>
      <c r="BA1198" s="468" t="str">
        <f>IF(AS1198="","",IF(OR(AU1198="",AU1198="-"),"－",IF(OR(AZ1198=8,AZ1198=9),"",IF(OR(AW1198=3,AW1198=4,AW1198=5,AW1198=6),VLOOKUP(AU1198,INDEX((係数_バス貨物_ガソリン,係数_バス貨物_CNG,係数_バス貨物_軽油,係数_バス貨物_メタノール,係数_バス貨物_LPG),MATCH(AY1198,【参考】排出係数!$AI$4:$AI$671,1),1,BE1198):INDEX((係数_バス貨物_ガソリン,係数_バス貨物_CNG,係数_バス貨物_軽油,係数_バス貨物_メタノール,係数_バス貨物_LPG),MATCH(AY1198+1,【参考】排出係数!$AI$4:$AI$671,1)-1,5,BE1198),2,FALSE),IF(OR(AW1198=1,AW1198=2),VLOOKUP(AU1198,INDEX((係数_乗用_ガソリン,係数_乗用_CNG,係数_乗用_軽油,係数_乗用_メタノール,係数_乗用_LPG),1,1,BE1198):INDEX((係数_乗用_ガソリン,係数_乗用_CNG,係数_乗用_軽油,係数_乗用_メタノール,係数_乗用_LPG),125,5,BE1198),2,FALSE))))))</f>
        <v/>
      </c>
      <c r="BB1198" s="468" t="str">
        <f>IF(T1198="","",IF(OR(AU1198="",AU1198="-"),"－",IF(OR(AZ1198=8,AZ1198=9),"",IF(OR(AW1198=3,AW1198=4,AW1198=5,AW1198=6),VLOOKUP(AU1198,INDEX((係数_バス貨物_ガソリン,係数_バス貨物_CNG,係数_バス貨物_軽油,係数_バス貨物_メタノール,係数_バス貨物_LPG),MATCH(AY1198,【参考】排出係数!$AI$4:$AI$671,1),1,BE1198):INDEX((係数_バス貨物_ガソリン,係数_バス貨物_CNG,係数_バス貨物_軽油,係数_バス貨物_メタノール,係数_バス貨物_LPG),MATCH(AY1198+1,【参考】排出係数!$AI$4:$AI$671,1)-1,5,BE1198),3,FALSE),IF(OR(AW1198=1,AW1198=2),VLOOKUP(AU1198,INDEX((係数_乗用_ガソリン,係数_乗用_CNG,係数_乗用_軽油,係数_乗用_メタノール,係数_乗用_LPG),1,1,BE1198):INDEX((係数_乗用_ガソリン,係数_乗用_CNG,係数_乗用_軽油,係数_乗用_メタノール,係数_乗用_LPG),125,5,BE1198),3,FALSE))))))</f>
        <v/>
      </c>
      <c r="BC1198" s="467" t="str">
        <f t="shared" si="672"/>
        <v/>
      </c>
      <c r="BD1198" s="567" t="str">
        <f t="shared" si="673"/>
        <v/>
      </c>
      <c r="BE1198" s="467" t="str">
        <f t="shared" si="674"/>
        <v/>
      </c>
      <c r="BF1198" s="469" t="str">
        <f t="shared" ca="1" si="675"/>
        <v/>
      </c>
      <c r="BG1198" s="469" t="str">
        <f t="shared" ca="1" si="676"/>
        <v/>
      </c>
      <c r="BH1198" s="467" t="str">
        <f t="shared" si="677"/>
        <v/>
      </c>
      <c r="BI1198" s="467" t="str">
        <f t="shared" ca="1" si="678"/>
        <v/>
      </c>
      <c r="BJ1198" s="469" t="str">
        <f t="shared" si="679"/>
        <v/>
      </c>
      <c r="BK1198" s="470" t="str">
        <f t="shared" si="663"/>
        <v/>
      </c>
      <c r="BL1198" s="775" t="str">
        <f t="shared" si="680"/>
        <v/>
      </c>
      <c r="BM1198" s="775" t="str">
        <f t="shared" si="681"/>
        <v/>
      </c>
    </row>
    <row r="1199" spans="1:65">
      <c r="A1199" s="473">
        <v>1143</v>
      </c>
      <c r="B1199" s="132"/>
      <c r="C1199" s="332"/>
      <c r="D1199" s="333"/>
      <c r="E1199" s="333"/>
      <c r="F1199" s="334"/>
      <c r="G1199" s="337"/>
      <c r="H1199" s="131"/>
      <c r="I1199" s="337"/>
      <c r="J1199" s="131"/>
      <c r="K1199" s="458" t="str">
        <f t="shared" si="682"/>
        <v/>
      </c>
      <c r="L1199" s="458">
        <f t="shared" si="683"/>
        <v>0</v>
      </c>
      <c r="M1199" s="458">
        <f t="shared" si="684"/>
        <v>0</v>
      </c>
      <c r="N1199" s="459" t="str">
        <f t="shared" si="657"/>
        <v/>
      </c>
      <c r="O1199" s="459" t="str">
        <f t="shared" si="658"/>
        <v/>
      </c>
      <c r="P1199" s="459" t="str">
        <f t="shared" si="659"/>
        <v/>
      </c>
      <c r="Q1199" s="459" t="str">
        <f t="shared" si="660"/>
        <v/>
      </c>
      <c r="R1199" s="459" t="str">
        <f t="shared" si="661"/>
        <v/>
      </c>
      <c r="S1199" s="459" t="str">
        <f t="shared" si="662"/>
        <v/>
      </c>
      <c r="T1199" s="566" t="str">
        <f t="shared" si="685"/>
        <v/>
      </c>
      <c r="U1199" s="702"/>
      <c r="V1199" s="132"/>
      <c r="W1199" s="133"/>
      <c r="X1199" s="134"/>
      <c r="Y1199" s="135"/>
      <c r="Z1199" s="137"/>
      <c r="AA1199" s="136"/>
      <c r="AB1199" s="566" t="str">
        <f t="shared" si="686"/>
        <v/>
      </c>
      <c r="AC1199" s="568" t="str">
        <f t="shared" si="687"/>
        <v/>
      </c>
      <c r="AD1199" s="137"/>
      <c r="AE1199" s="137"/>
      <c r="AF1199" s="138"/>
      <c r="AG1199" s="138"/>
      <c r="AH1199" s="592" t="str">
        <f t="shared" si="688"/>
        <v/>
      </c>
      <c r="AI1199" s="592" t="str">
        <f t="shared" si="689"/>
        <v/>
      </c>
      <c r="AJ1199" s="592" t="str">
        <f t="shared" si="690"/>
        <v/>
      </c>
      <c r="AK1199" s="460" t="str">
        <f>IF(AU1199="","",IF(OR(AZ1199=8,AZ1199=9),0,IF(OR(AW1199=3,AW1199=4,AW1199=5,AW1199=6),IF(LEFT(BF1199,1)="1",INDEX(係数_NOX・PM低減,MATCH(AY1199,【参考】排出係数!$AI$801:$AI$804,1),1),VLOOKUP(AU1199,INDEX((係数_バス貨物_ガソリン,係数_バス貨物_CNG,係数_バス貨物_軽油,係数_バス貨物_メタノール,係数_バス貨物_LPG),MATCH(AY1199,【参考】排出係数!$AI$4:$AI$671,1),1,BE1199):INDEX((係数_バス貨物_ガソリン,係数_バス貨物_CNG,係数_バス貨物_軽油,係数_バス貨物_メタノール,係数_バス貨物_LPG),MATCH(AY1199+1,【参考】排出係数!$AI$4:$AI$671,1)-1,5,BE1199),4,FALSE)),IF(AND(BE1199=3,LEFT(BF1199,1)="1"),0.48,VLOOKUP(AU1199,INDEX((係数_乗用_ガソリン,係数_乗用_CNG,係数_乗用_軽油,係数_乗用_メタノール,係数_乗用_LPG),1,1,BE1199):INDEX((係数_乗用_ガソリン,係数_乗用_CNG,係数_乗用_軽油,係数_乗用_メタノール,係数_乗用_LPG),125,5,BE1199),4,FALSE)))))</f>
        <v/>
      </c>
      <c r="AL1199" s="461" t="str">
        <f t="shared" si="691"/>
        <v/>
      </c>
      <c r="AM1199" s="460" t="str">
        <f>IF(AU1199="","",IF(OR(AZ1199=8,AZ1199=9),0,IF(OR(AW1199=3,AW1199=4,AW1199=5,AW1199=6),IF(LEFT(BH1199,1)="1",INDEX(係数_PM低減,MATCH(AY1199,【参考】排出係数!$AI$801:$AI$804,1),MATCH(BI1199,【参考】排出係数!$AL$798:$AO$798,1)),VLOOKUP(AU1199,INDEX((係数_バス貨物_ガソリン,係数_バス貨物_CNG,係数_バス貨物_軽油,係数_バス貨物_メタノール,係数_バス貨物_LPG),MATCH(AY1199,【参考】排出係数!$AI$4:$AI$671,1),1,BE1199):INDEX((係数_バス貨物_ガソリン,係数_バス貨物_CNG,係数_バス貨物_軽油,係数_バス貨物_メタノール,係数_バス貨物_LPG),MATCH(AY1199+1,【参考】排出係数!$AI$4:$AI$671,1)-1,5,BE1199),5,FALSE)),IF(AND(BE1199=3,LEFT(BF1199,1)="1"),0.055,VLOOKUP(AU1199,INDEX((係数_乗用_ガソリン,係数_乗用_CNG,係数_乗用_軽油,係数_乗用_メタノール,係数_乗用_LPG),1,1,BE1199):INDEX((係数_乗用_ガソリン,係数_乗用_CNG,係数_乗用_軽油,係数_乗用_メタノール,係数_乗用_LPG),125,5,BE1199),5,FALSE)))))</f>
        <v/>
      </c>
      <c r="AN1199" s="461" t="str">
        <f t="shared" si="692"/>
        <v/>
      </c>
      <c r="AO1199" s="462" t="str">
        <f t="shared" si="693"/>
        <v/>
      </c>
      <c r="AP1199" s="463" t="str">
        <f t="shared" si="694"/>
        <v/>
      </c>
      <c r="AQ1199" s="464"/>
      <c r="AR1199" s="619"/>
      <c r="AS1199" s="465" t="str">
        <f t="shared" si="664"/>
        <v/>
      </c>
      <c r="AT1199" s="465" t="str">
        <f t="shared" si="665"/>
        <v/>
      </c>
      <c r="AU1199" s="466" t="str">
        <f t="shared" si="666"/>
        <v/>
      </c>
      <c r="AV1199" s="467" t="str">
        <f t="shared" si="667"/>
        <v/>
      </c>
      <c r="AW1199" s="467" t="str">
        <f t="shared" si="668"/>
        <v/>
      </c>
      <c r="AX1199" s="467" t="str">
        <f t="shared" si="669"/>
        <v/>
      </c>
      <c r="AY1199" s="467" t="str">
        <f t="shared" si="670"/>
        <v/>
      </c>
      <c r="AZ1199" s="467" t="str">
        <f t="shared" si="671"/>
        <v/>
      </c>
      <c r="BA1199" s="468" t="str">
        <f>IF(AS1199="","",IF(OR(AU1199="",AU1199="-"),"－",IF(OR(AZ1199=8,AZ1199=9),"",IF(OR(AW1199=3,AW1199=4,AW1199=5,AW1199=6),VLOOKUP(AU1199,INDEX((係数_バス貨物_ガソリン,係数_バス貨物_CNG,係数_バス貨物_軽油,係数_バス貨物_メタノール,係数_バス貨物_LPG),MATCH(AY1199,【参考】排出係数!$AI$4:$AI$671,1),1,BE1199):INDEX((係数_バス貨物_ガソリン,係数_バス貨物_CNG,係数_バス貨物_軽油,係数_バス貨物_メタノール,係数_バス貨物_LPG),MATCH(AY1199+1,【参考】排出係数!$AI$4:$AI$671,1)-1,5,BE1199),2,FALSE),IF(OR(AW1199=1,AW1199=2),VLOOKUP(AU1199,INDEX((係数_乗用_ガソリン,係数_乗用_CNG,係数_乗用_軽油,係数_乗用_メタノール,係数_乗用_LPG),1,1,BE1199):INDEX((係数_乗用_ガソリン,係数_乗用_CNG,係数_乗用_軽油,係数_乗用_メタノール,係数_乗用_LPG),125,5,BE1199),2,FALSE))))))</f>
        <v/>
      </c>
      <c r="BB1199" s="468" t="str">
        <f>IF(T1199="","",IF(OR(AU1199="",AU1199="-"),"－",IF(OR(AZ1199=8,AZ1199=9),"",IF(OR(AW1199=3,AW1199=4,AW1199=5,AW1199=6),VLOOKUP(AU1199,INDEX((係数_バス貨物_ガソリン,係数_バス貨物_CNG,係数_バス貨物_軽油,係数_バス貨物_メタノール,係数_バス貨物_LPG),MATCH(AY1199,【参考】排出係数!$AI$4:$AI$671,1),1,BE1199):INDEX((係数_バス貨物_ガソリン,係数_バス貨物_CNG,係数_バス貨物_軽油,係数_バス貨物_メタノール,係数_バス貨物_LPG),MATCH(AY1199+1,【参考】排出係数!$AI$4:$AI$671,1)-1,5,BE1199),3,FALSE),IF(OR(AW1199=1,AW1199=2),VLOOKUP(AU1199,INDEX((係数_乗用_ガソリン,係数_乗用_CNG,係数_乗用_軽油,係数_乗用_メタノール,係数_乗用_LPG),1,1,BE1199):INDEX((係数_乗用_ガソリン,係数_乗用_CNG,係数_乗用_軽油,係数_乗用_メタノール,係数_乗用_LPG),125,5,BE1199),3,FALSE))))))</f>
        <v/>
      </c>
      <c r="BC1199" s="467" t="str">
        <f t="shared" si="672"/>
        <v/>
      </c>
      <c r="BD1199" s="567" t="str">
        <f t="shared" si="673"/>
        <v/>
      </c>
      <c r="BE1199" s="467" t="str">
        <f t="shared" si="674"/>
        <v/>
      </c>
      <c r="BF1199" s="469" t="str">
        <f t="shared" ca="1" si="675"/>
        <v/>
      </c>
      <c r="BG1199" s="469" t="str">
        <f t="shared" ca="1" si="676"/>
        <v/>
      </c>
      <c r="BH1199" s="467" t="str">
        <f t="shared" si="677"/>
        <v/>
      </c>
      <c r="BI1199" s="467" t="str">
        <f t="shared" ca="1" si="678"/>
        <v/>
      </c>
      <c r="BJ1199" s="469" t="str">
        <f t="shared" si="679"/>
        <v/>
      </c>
      <c r="BK1199" s="470" t="str">
        <f t="shared" si="663"/>
        <v/>
      </c>
      <c r="BL1199" s="775" t="str">
        <f t="shared" si="680"/>
        <v/>
      </c>
      <c r="BM1199" s="775" t="str">
        <f t="shared" si="681"/>
        <v/>
      </c>
    </row>
    <row r="1200" spans="1:65">
      <c r="A1200" s="473">
        <v>1144</v>
      </c>
      <c r="B1200" s="132"/>
      <c r="C1200" s="332"/>
      <c r="D1200" s="333"/>
      <c r="E1200" s="333"/>
      <c r="F1200" s="334"/>
      <c r="G1200" s="337"/>
      <c r="H1200" s="131"/>
      <c r="I1200" s="337"/>
      <c r="J1200" s="131"/>
      <c r="K1200" s="458" t="str">
        <f t="shared" si="682"/>
        <v/>
      </c>
      <c r="L1200" s="458">
        <f t="shared" si="683"/>
        <v>0</v>
      </c>
      <c r="M1200" s="458">
        <f t="shared" si="684"/>
        <v>0</v>
      </c>
      <c r="N1200" s="459" t="str">
        <f t="shared" si="657"/>
        <v/>
      </c>
      <c r="O1200" s="459" t="str">
        <f t="shared" si="658"/>
        <v/>
      </c>
      <c r="P1200" s="459" t="str">
        <f t="shared" si="659"/>
        <v/>
      </c>
      <c r="Q1200" s="459" t="str">
        <f t="shared" si="660"/>
        <v/>
      </c>
      <c r="R1200" s="459" t="str">
        <f t="shared" si="661"/>
        <v/>
      </c>
      <c r="S1200" s="459" t="str">
        <f t="shared" si="662"/>
        <v/>
      </c>
      <c r="T1200" s="566" t="str">
        <f t="shared" si="685"/>
        <v/>
      </c>
      <c r="U1200" s="702"/>
      <c r="V1200" s="132"/>
      <c r="W1200" s="133"/>
      <c r="X1200" s="134"/>
      <c r="Y1200" s="135"/>
      <c r="Z1200" s="137"/>
      <c r="AA1200" s="136"/>
      <c r="AB1200" s="566" t="str">
        <f t="shared" si="686"/>
        <v/>
      </c>
      <c r="AC1200" s="568" t="str">
        <f t="shared" si="687"/>
        <v/>
      </c>
      <c r="AD1200" s="137"/>
      <c r="AE1200" s="137"/>
      <c r="AF1200" s="138"/>
      <c r="AG1200" s="138"/>
      <c r="AH1200" s="592" t="str">
        <f t="shared" si="688"/>
        <v/>
      </c>
      <c r="AI1200" s="592" t="str">
        <f t="shared" si="689"/>
        <v/>
      </c>
      <c r="AJ1200" s="592" t="str">
        <f t="shared" si="690"/>
        <v/>
      </c>
      <c r="AK1200" s="460" t="str">
        <f>IF(AU1200="","",IF(OR(AZ1200=8,AZ1200=9),0,IF(OR(AW1200=3,AW1200=4,AW1200=5,AW1200=6),IF(LEFT(BF1200,1)="1",INDEX(係数_NOX・PM低減,MATCH(AY1200,【参考】排出係数!$AI$801:$AI$804,1),1),VLOOKUP(AU1200,INDEX((係数_バス貨物_ガソリン,係数_バス貨物_CNG,係数_バス貨物_軽油,係数_バス貨物_メタノール,係数_バス貨物_LPG),MATCH(AY1200,【参考】排出係数!$AI$4:$AI$671,1),1,BE1200):INDEX((係数_バス貨物_ガソリン,係数_バス貨物_CNG,係数_バス貨物_軽油,係数_バス貨物_メタノール,係数_バス貨物_LPG),MATCH(AY1200+1,【参考】排出係数!$AI$4:$AI$671,1)-1,5,BE1200),4,FALSE)),IF(AND(BE1200=3,LEFT(BF1200,1)="1"),0.48,VLOOKUP(AU1200,INDEX((係数_乗用_ガソリン,係数_乗用_CNG,係数_乗用_軽油,係数_乗用_メタノール,係数_乗用_LPG),1,1,BE1200):INDEX((係数_乗用_ガソリン,係数_乗用_CNG,係数_乗用_軽油,係数_乗用_メタノール,係数_乗用_LPG),125,5,BE1200),4,FALSE)))))</f>
        <v/>
      </c>
      <c r="AL1200" s="461" t="str">
        <f t="shared" si="691"/>
        <v/>
      </c>
      <c r="AM1200" s="460" t="str">
        <f>IF(AU1200="","",IF(OR(AZ1200=8,AZ1200=9),0,IF(OR(AW1200=3,AW1200=4,AW1200=5,AW1200=6),IF(LEFT(BH1200,1)="1",INDEX(係数_PM低減,MATCH(AY1200,【参考】排出係数!$AI$801:$AI$804,1),MATCH(BI1200,【参考】排出係数!$AL$798:$AO$798,1)),VLOOKUP(AU1200,INDEX((係数_バス貨物_ガソリン,係数_バス貨物_CNG,係数_バス貨物_軽油,係数_バス貨物_メタノール,係数_バス貨物_LPG),MATCH(AY1200,【参考】排出係数!$AI$4:$AI$671,1),1,BE1200):INDEX((係数_バス貨物_ガソリン,係数_バス貨物_CNG,係数_バス貨物_軽油,係数_バス貨物_メタノール,係数_バス貨物_LPG),MATCH(AY1200+1,【参考】排出係数!$AI$4:$AI$671,1)-1,5,BE1200),5,FALSE)),IF(AND(BE1200=3,LEFT(BF1200,1)="1"),0.055,VLOOKUP(AU1200,INDEX((係数_乗用_ガソリン,係数_乗用_CNG,係数_乗用_軽油,係数_乗用_メタノール,係数_乗用_LPG),1,1,BE1200):INDEX((係数_乗用_ガソリン,係数_乗用_CNG,係数_乗用_軽油,係数_乗用_メタノール,係数_乗用_LPG),125,5,BE1200),5,FALSE)))))</f>
        <v/>
      </c>
      <c r="AN1200" s="461" t="str">
        <f t="shared" si="692"/>
        <v/>
      </c>
      <c r="AO1200" s="462" t="str">
        <f t="shared" si="693"/>
        <v/>
      </c>
      <c r="AP1200" s="463" t="str">
        <f t="shared" si="694"/>
        <v/>
      </c>
      <c r="AQ1200" s="464"/>
      <c r="AR1200" s="619"/>
      <c r="AS1200" s="465" t="str">
        <f t="shared" si="664"/>
        <v/>
      </c>
      <c r="AT1200" s="465" t="str">
        <f t="shared" si="665"/>
        <v/>
      </c>
      <c r="AU1200" s="466" t="str">
        <f t="shared" si="666"/>
        <v/>
      </c>
      <c r="AV1200" s="467" t="str">
        <f t="shared" si="667"/>
        <v/>
      </c>
      <c r="AW1200" s="467" t="str">
        <f t="shared" si="668"/>
        <v/>
      </c>
      <c r="AX1200" s="467" t="str">
        <f t="shared" si="669"/>
        <v/>
      </c>
      <c r="AY1200" s="467" t="str">
        <f t="shared" si="670"/>
        <v/>
      </c>
      <c r="AZ1200" s="467" t="str">
        <f t="shared" si="671"/>
        <v/>
      </c>
      <c r="BA1200" s="468" t="str">
        <f>IF(AS1200="","",IF(OR(AU1200="",AU1200="-"),"－",IF(OR(AZ1200=8,AZ1200=9),"",IF(OR(AW1200=3,AW1200=4,AW1200=5,AW1200=6),VLOOKUP(AU1200,INDEX((係数_バス貨物_ガソリン,係数_バス貨物_CNG,係数_バス貨物_軽油,係数_バス貨物_メタノール,係数_バス貨物_LPG),MATCH(AY1200,【参考】排出係数!$AI$4:$AI$671,1),1,BE1200):INDEX((係数_バス貨物_ガソリン,係数_バス貨物_CNG,係数_バス貨物_軽油,係数_バス貨物_メタノール,係数_バス貨物_LPG),MATCH(AY1200+1,【参考】排出係数!$AI$4:$AI$671,1)-1,5,BE1200),2,FALSE),IF(OR(AW1200=1,AW1200=2),VLOOKUP(AU1200,INDEX((係数_乗用_ガソリン,係数_乗用_CNG,係数_乗用_軽油,係数_乗用_メタノール,係数_乗用_LPG),1,1,BE1200):INDEX((係数_乗用_ガソリン,係数_乗用_CNG,係数_乗用_軽油,係数_乗用_メタノール,係数_乗用_LPG),125,5,BE1200),2,FALSE))))))</f>
        <v/>
      </c>
      <c r="BB1200" s="468" t="str">
        <f>IF(T1200="","",IF(OR(AU1200="",AU1200="-"),"－",IF(OR(AZ1200=8,AZ1200=9),"",IF(OR(AW1200=3,AW1200=4,AW1200=5,AW1200=6),VLOOKUP(AU1200,INDEX((係数_バス貨物_ガソリン,係数_バス貨物_CNG,係数_バス貨物_軽油,係数_バス貨物_メタノール,係数_バス貨物_LPG),MATCH(AY1200,【参考】排出係数!$AI$4:$AI$671,1),1,BE1200):INDEX((係数_バス貨物_ガソリン,係数_バス貨物_CNG,係数_バス貨物_軽油,係数_バス貨物_メタノール,係数_バス貨物_LPG),MATCH(AY1200+1,【参考】排出係数!$AI$4:$AI$671,1)-1,5,BE1200),3,FALSE),IF(OR(AW1200=1,AW1200=2),VLOOKUP(AU1200,INDEX((係数_乗用_ガソリン,係数_乗用_CNG,係数_乗用_軽油,係数_乗用_メタノール,係数_乗用_LPG),1,1,BE1200):INDEX((係数_乗用_ガソリン,係数_乗用_CNG,係数_乗用_軽油,係数_乗用_メタノール,係数_乗用_LPG),125,5,BE1200),3,FALSE))))))</f>
        <v/>
      </c>
      <c r="BC1200" s="467" t="str">
        <f t="shared" si="672"/>
        <v/>
      </c>
      <c r="BD1200" s="567" t="str">
        <f t="shared" si="673"/>
        <v/>
      </c>
      <c r="BE1200" s="467" t="str">
        <f t="shared" si="674"/>
        <v/>
      </c>
      <c r="BF1200" s="469" t="str">
        <f t="shared" ca="1" si="675"/>
        <v/>
      </c>
      <c r="BG1200" s="469" t="str">
        <f t="shared" ca="1" si="676"/>
        <v/>
      </c>
      <c r="BH1200" s="467" t="str">
        <f t="shared" si="677"/>
        <v/>
      </c>
      <c r="BI1200" s="467" t="str">
        <f t="shared" ca="1" si="678"/>
        <v/>
      </c>
      <c r="BJ1200" s="469" t="str">
        <f t="shared" si="679"/>
        <v/>
      </c>
      <c r="BK1200" s="470" t="str">
        <f t="shared" si="663"/>
        <v/>
      </c>
      <c r="BL1200" s="775" t="str">
        <f t="shared" si="680"/>
        <v/>
      </c>
      <c r="BM1200" s="775" t="str">
        <f t="shared" si="681"/>
        <v/>
      </c>
    </row>
    <row r="1201" spans="1:65">
      <c r="A1201" s="473">
        <v>1145</v>
      </c>
      <c r="B1201" s="132"/>
      <c r="C1201" s="332"/>
      <c r="D1201" s="333"/>
      <c r="E1201" s="333"/>
      <c r="F1201" s="334"/>
      <c r="G1201" s="337"/>
      <c r="H1201" s="131"/>
      <c r="I1201" s="337"/>
      <c r="J1201" s="131"/>
      <c r="K1201" s="458" t="str">
        <f t="shared" si="682"/>
        <v/>
      </c>
      <c r="L1201" s="458">
        <f t="shared" si="683"/>
        <v>0</v>
      </c>
      <c r="M1201" s="458">
        <f t="shared" si="684"/>
        <v>0</v>
      </c>
      <c r="N1201" s="459" t="str">
        <f t="shared" si="657"/>
        <v/>
      </c>
      <c r="O1201" s="459" t="str">
        <f t="shared" si="658"/>
        <v/>
      </c>
      <c r="P1201" s="459" t="str">
        <f t="shared" si="659"/>
        <v/>
      </c>
      <c r="Q1201" s="459" t="str">
        <f t="shared" si="660"/>
        <v/>
      </c>
      <c r="R1201" s="459" t="str">
        <f t="shared" si="661"/>
        <v/>
      </c>
      <c r="S1201" s="459" t="str">
        <f t="shared" si="662"/>
        <v/>
      </c>
      <c r="T1201" s="566" t="str">
        <f t="shared" si="685"/>
        <v/>
      </c>
      <c r="U1201" s="702"/>
      <c r="V1201" s="132"/>
      <c r="W1201" s="133"/>
      <c r="X1201" s="134"/>
      <c r="Y1201" s="135"/>
      <c r="Z1201" s="137"/>
      <c r="AA1201" s="136"/>
      <c r="AB1201" s="566" t="str">
        <f t="shared" si="686"/>
        <v/>
      </c>
      <c r="AC1201" s="568" t="str">
        <f t="shared" si="687"/>
        <v/>
      </c>
      <c r="AD1201" s="137"/>
      <c r="AE1201" s="137"/>
      <c r="AF1201" s="138"/>
      <c r="AG1201" s="138"/>
      <c r="AH1201" s="592" t="str">
        <f t="shared" si="688"/>
        <v/>
      </c>
      <c r="AI1201" s="592" t="str">
        <f t="shared" si="689"/>
        <v/>
      </c>
      <c r="AJ1201" s="592" t="str">
        <f t="shared" si="690"/>
        <v/>
      </c>
      <c r="AK1201" s="460" t="str">
        <f>IF(AU1201="","",IF(OR(AZ1201=8,AZ1201=9),0,IF(OR(AW1201=3,AW1201=4,AW1201=5,AW1201=6),IF(LEFT(BF1201,1)="1",INDEX(係数_NOX・PM低減,MATCH(AY1201,【参考】排出係数!$AI$801:$AI$804,1),1),VLOOKUP(AU1201,INDEX((係数_バス貨物_ガソリン,係数_バス貨物_CNG,係数_バス貨物_軽油,係数_バス貨物_メタノール,係数_バス貨物_LPG),MATCH(AY1201,【参考】排出係数!$AI$4:$AI$671,1),1,BE1201):INDEX((係数_バス貨物_ガソリン,係数_バス貨物_CNG,係数_バス貨物_軽油,係数_バス貨物_メタノール,係数_バス貨物_LPG),MATCH(AY1201+1,【参考】排出係数!$AI$4:$AI$671,1)-1,5,BE1201),4,FALSE)),IF(AND(BE1201=3,LEFT(BF1201,1)="1"),0.48,VLOOKUP(AU1201,INDEX((係数_乗用_ガソリン,係数_乗用_CNG,係数_乗用_軽油,係数_乗用_メタノール,係数_乗用_LPG),1,1,BE1201):INDEX((係数_乗用_ガソリン,係数_乗用_CNG,係数_乗用_軽油,係数_乗用_メタノール,係数_乗用_LPG),125,5,BE1201),4,FALSE)))))</f>
        <v/>
      </c>
      <c r="AL1201" s="461" t="str">
        <f t="shared" si="691"/>
        <v/>
      </c>
      <c r="AM1201" s="460" t="str">
        <f>IF(AU1201="","",IF(OR(AZ1201=8,AZ1201=9),0,IF(OR(AW1201=3,AW1201=4,AW1201=5,AW1201=6),IF(LEFT(BH1201,1)="1",INDEX(係数_PM低減,MATCH(AY1201,【参考】排出係数!$AI$801:$AI$804,1),MATCH(BI1201,【参考】排出係数!$AL$798:$AO$798,1)),VLOOKUP(AU1201,INDEX((係数_バス貨物_ガソリン,係数_バス貨物_CNG,係数_バス貨物_軽油,係数_バス貨物_メタノール,係数_バス貨物_LPG),MATCH(AY1201,【参考】排出係数!$AI$4:$AI$671,1),1,BE1201):INDEX((係数_バス貨物_ガソリン,係数_バス貨物_CNG,係数_バス貨物_軽油,係数_バス貨物_メタノール,係数_バス貨物_LPG),MATCH(AY1201+1,【参考】排出係数!$AI$4:$AI$671,1)-1,5,BE1201),5,FALSE)),IF(AND(BE1201=3,LEFT(BF1201,1)="1"),0.055,VLOOKUP(AU1201,INDEX((係数_乗用_ガソリン,係数_乗用_CNG,係数_乗用_軽油,係数_乗用_メタノール,係数_乗用_LPG),1,1,BE1201):INDEX((係数_乗用_ガソリン,係数_乗用_CNG,係数_乗用_軽油,係数_乗用_メタノール,係数_乗用_LPG),125,5,BE1201),5,FALSE)))))</f>
        <v/>
      </c>
      <c r="AN1201" s="461" t="str">
        <f t="shared" si="692"/>
        <v/>
      </c>
      <c r="AO1201" s="462" t="str">
        <f t="shared" si="693"/>
        <v/>
      </c>
      <c r="AP1201" s="463" t="str">
        <f t="shared" si="694"/>
        <v/>
      </c>
      <c r="AQ1201" s="464"/>
      <c r="AR1201" s="619"/>
      <c r="AS1201" s="465" t="str">
        <f t="shared" si="664"/>
        <v/>
      </c>
      <c r="AT1201" s="465" t="str">
        <f t="shared" si="665"/>
        <v/>
      </c>
      <c r="AU1201" s="466" t="str">
        <f t="shared" si="666"/>
        <v/>
      </c>
      <c r="AV1201" s="467" t="str">
        <f t="shared" si="667"/>
        <v/>
      </c>
      <c r="AW1201" s="467" t="str">
        <f t="shared" si="668"/>
        <v/>
      </c>
      <c r="AX1201" s="467" t="str">
        <f t="shared" si="669"/>
        <v/>
      </c>
      <c r="AY1201" s="467" t="str">
        <f t="shared" si="670"/>
        <v/>
      </c>
      <c r="AZ1201" s="467" t="str">
        <f t="shared" si="671"/>
        <v/>
      </c>
      <c r="BA1201" s="468" t="str">
        <f>IF(AS1201="","",IF(OR(AU1201="",AU1201="-"),"－",IF(OR(AZ1201=8,AZ1201=9),"",IF(OR(AW1201=3,AW1201=4,AW1201=5,AW1201=6),VLOOKUP(AU1201,INDEX((係数_バス貨物_ガソリン,係数_バス貨物_CNG,係数_バス貨物_軽油,係数_バス貨物_メタノール,係数_バス貨物_LPG),MATCH(AY1201,【参考】排出係数!$AI$4:$AI$671,1),1,BE1201):INDEX((係数_バス貨物_ガソリン,係数_バス貨物_CNG,係数_バス貨物_軽油,係数_バス貨物_メタノール,係数_バス貨物_LPG),MATCH(AY1201+1,【参考】排出係数!$AI$4:$AI$671,1)-1,5,BE1201),2,FALSE),IF(OR(AW1201=1,AW1201=2),VLOOKUP(AU1201,INDEX((係数_乗用_ガソリン,係数_乗用_CNG,係数_乗用_軽油,係数_乗用_メタノール,係数_乗用_LPG),1,1,BE1201):INDEX((係数_乗用_ガソリン,係数_乗用_CNG,係数_乗用_軽油,係数_乗用_メタノール,係数_乗用_LPG),125,5,BE1201),2,FALSE))))))</f>
        <v/>
      </c>
      <c r="BB1201" s="468" t="str">
        <f>IF(T1201="","",IF(OR(AU1201="",AU1201="-"),"－",IF(OR(AZ1201=8,AZ1201=9),"",IF(OR(AW1201=3,AW1201=4,AW1201=5,AW1201=6),VLOOKUP(AU1201,INDEX((係数_バス貨物_ガソリン,係数_バス貨物_CNG,係数_バス貨物_軽油,係数_バス貨物_メタノール,係数_バス貨物_LPG),MATCH(AY1201,【参考】排出係数!$AI$4:$AI$671,1),1,BE1201):INDEX((係数_バス貨物_ガソリン,係数_バス貨物_CNG,係数_バス貨物_軽油,係数_バス貨物_メタノール,係数_バス貨物_LPG),MATCH(AY1201+1,【参考】排出係数!$AI$4:$AI$671,1)-1,5,BE1201),3,FALSE),IF(OR(AW1201=1,AW1201=2),VLOOKUP(AU1201,INDEX((係数_乗用_ガソリン,係数_乗用_CNG,係数_乗用_軽油,係数_乗用_メタノール,係数_乗用_LPG),1,1,BE1201):INDEX((係数_乗用_ガソリン,係数_乗用_CNG,係数_乗用_軽油,係数_乗用_メタノール,係数_乗用_LPG),125,5,BE1201),3,FALSE))))))</f>
        <v/>
      </c>
      <c r="BC1201" s="467" t="str">
        <f t="shared" si="672"/>
        <v/>
      </c>
      <c r="BD1201" s="567" t="str">
        <f t="shared" si="673"/>
        <v/>
      </c>
      <c r="BE1201" s="467" t="str">
        <f t="shared" si="674"/>
        <v/>
      </c>
      <c r="BF1201" s="469" t="str">
        <f t="shared" ca="1" si="675"/>
        <v/>
      </c>
      <c r="BG1201" s="469" t="str">
        <f t="shared" ca="1" si="676"/>
        <v/>
      </c>
      <c r="BH1201" s="467" t="str">
        <f t="shared" si="677"/>
        <v/>
      </c>
      <c r="BI1201" s="467" t="str">
        <f t="shared" ca="1" si="678"/>
        <v/>
      </c>
      <c r="BJ1201" s="469" t="str">
        <f t="shared" si="679"/>
        <v/>
      </c>
      <c r="BK1201" s="470" t="str">
        <f t="shared" si="663"/>
        <v/>
      </c>
      <c r="BL1201" s="775" t="str">
        <f t="shared" si="680"/>
        <v/>
      </c>
      <c r="BM1201" s="775" t="str">
        <f t="shared" si="681"/>
        <v/>
      </c>
    </row>
    <row r="1202" spans="1:65">
      <c r="A1202" s="473">
        <v>1146</v>
      </c>
      <c r="B1202" s="132"/>
      <c r="C1202" s="332"/>
      <c r="D1202" s="333"/>
      <c r="E1202" s="333"/>
      <c r="F1202" s="334"/>
      <c r="G1202" s="337"/>
      <c r="H1202" s="131"/>
      <c r="I1202" s="337"/>
      <c r="J1202" s="131"/>
      <c r="K1202" s="458" t="str">
        <f t="shared" si="682"/>
        <v/>
      </c>
      <c r="L1202" s="458">
        <f t="shared" si="683"/>
        <v>0</v>
      </c>
      <c r="M1202" s="458">
        <f t="shared" si="684"/>
        <v>0</v>
      </c>
      <c r="N1202" s="459" t="str">
        <f t="shared" si="657"/>
        <v/>
      </c>
      <c r="O1202" s="459" t="str">
        <f t="shared" si="658"/>
        <v/>
      </c>
      <c r="P1202" s="459" t="str">
        <f t="shared" si="659"/>
        <v/>
      </c>
      <c r="Q1202" s="459" t="str">
        <f t="shared" si="660"/>
        <v/>
      </c>
      <c r="R1202" s="459" t="str">
        <f t="shared" si="661"/>
        <v/>
      </c>
      <c r="S1202" s="459" t="str">
        <f t="shared" si="662"/>
        <v/>
      </c>
      <c r="T1202" s="566" t="str">
        <f t="shared" si="685"/>
        <v/>
      </c>
      <c r="U1202" s="702"/>
      <c r="V1202" s="132"/>
      <c r="W1202" s="133"/>
      <c r="X1202" s="134"/>
      <c r="Y1202" s="135"/>
      <c r="Z1202" s="137"/>
      <c r="AA1202" s="136"/>
      <c r="AB1202" s="566" t="str">
        <f t="shared" si="686"/>
        <v/>
      </c>
      <c r="AC1202" s="568" t="str">
        <f t="shared" si="687"/>
        <v/>
      </c>
      <c r="AD1202" s="137"/>
      <c r="AE1202" s="137"/>
      <c r="AF1202" s="138"/>
      <c r="AG1202" s="138"/>
      <c r="AH1202" s="592" t="str">
        <f t="shared" si="688"/>
        <v/>
      </c>
      <c r="AI1202" s="592" t="str">
        <f t="shared" si="689"/>
        <v/>
      </c>
      <c r="AJ1202" s="592" t="str">
        <f t="shared" si="690"/>
        <v/>
      </c>
      <c r="AK1202" s="460" t="str">
        <f>IF(AU1202="","",IF(OR(AZ1202=8,AZ1202=9),0,IF(OR(AW1202=3,AW1202=4,AW1202=5,AW1202=6),IF(LEFT(BF1202,1)="1",INDEX(係数_NOX・PM低減,MATCH(AY1202,【参考】排出係数!$AI$801:$AI$804,1),1),VLOOKUP(AU1202,INDEX((係数_バス貨物_ガソリン,係数_バス貨物_CNG,係数_バス貨物_軽油,係数_バス貨物_メタノール,係数_バス貨物_LPG),MATCH(AY1202,【参考】排出係数!$AI$4:$AI$671,1),1,BE1202):INDEX((係数_バス貨物_ガソリン,係数_バス貨物_CNG,係数_バス貨物_軽油,係数_バス貨物_メタノール,係数_バス貨物_LPG),MATCH(AY1202+1,【参考】排出係数!$AI$4:$AI$671,1)-1,5,BE1202),4,FALSE)),IF(AND(BE1202=3,LEFT(BF1202,1)="1"),0.48,VLOOKUP(AU1202,INDEX((係数_乗用_ガソリン,係数_乗用_CNG,係数_乗用_軽油,係数_乗用_メタノール,係数_乗用_LPG),1,1,BE1202):INDEX((係数_乗用_ガソリン,係数_乗用_CNG,係数_乗用_軽油,係数_乗用_メタノール,係数_乗用_LPG),125,5,BE1202),4,FALSE)))))</f>
        <v/>
      </c>
      <c r="AL1202" s="461" t="str">
        <f t="shared" si="691"/>
        <v/>
      </c>
      <c r="AM1202" s="460" t="str">
        <f>IF(AU1202="","",IF(OR(AZ1202=8,AZ1202=9),0,IF(OR(AW1202=3,AW1202=4,AW1202=5,AW1202=6),IF(LEFT(BH1202,1)="1",INDEX(係数_PM低減,MATCH(AY1202,【参考】排出係数!$AI$801:$AI$804,1),MATCH(BI1202,【参考】排出係数!$AL$798:$AO$798,1)),VLOOKUP(AU1202,INDEX((係数_バス貨物_ガソリン,係数_バス貨物_CNG,係数_バス貨物_軽油,係数_バス貨物_メタノール,係数_バス貨物_LPG),MATCH(AY1202,【参考】排出係数!$AI$4:$AI$671,1),1,BE1202):INDEX((係数_バス貨物_ガソリン,係数_バス貨物_CNG,係数_バス貨物_軽油,係数_バス貨物_メタノール,係数_バス貨物_LPG),MATCH(AY1202+1,【参考】排出係数!$AI$4:$AI$671,1)-1,5,BE1202),5,FALSE)),IF(AND(BE1202=3,LEFT(BF1202,1)="1"),0.055,VLOOKUP(AU1202,INDEX((係数_乗用_ガソリン,係数_乗用_CNG,係数_乗用_軽油,係数_乗用_メタノール,係数_乗用_LPG),1,1,BE1202):INDEX((係数_乗用_ガソリン,係数_乗用_CNG,係数_乗用_軽油,係数_乗用_メタノール,係数_乗用_LPG),125,5,BE1202),5,FALSE)))))</f>
        <v/>
      </c>
      <c r="AN1202" s="461" t="str">
        <f t="shared" si="692"/>
        <v/>
      </c>
      <c r="AO1202" s="462" t="str">
        <f t="shared" si="693"/>
        <v/>
      </c>
      <c r="AP1202" s="463" t="str">
        <f t="shared" si="694"/>
        <v/>
      </c>
      <c r="AQ1202" s="464"/>
      <c r="AR1202" s="619"/>
      <c r="AS1202" s="465" t="str">
        <f t="shared" si="664"/>
        <v/>
      </c>
      <c r="AT1202" s="465" t="str">
        <f t="shared" si="665"/>
        <v/>
      </c>
      <c r="AU1202" s="466" t="str">
        <f t="shared" si="666"/>
        <v/>
      </c>
      <c r="AV1202" s="467" t="str">
        <f t="shared" si="667"/>
        <v/>
      </c>
      <c r="AW1202" s="467" t="str">
        <f t="shared" si="668"/>
        <v/>
      </c>
      <c r="AX1202" s="467" t="str">
        <f t="shared" si="669"/>
        <v/>
      </c>
      <c r="AY1202" s="467" t="str">
        <f t="shared" si="670"/>
        <v/>
      </c>
      <c r="AZ1202" s="467" t="str">
        <f t="shared" si="671"/>
        <v/>
      </c>
      <c r="BA1202" s="468" t="str">
        <f>IF(AS1202="","",IF(OR(AU1202="",AU1202="-"),"－",IF(OR(AZ1202=8,AZ1202=9),"",IF(OR(AW1202=3,AW1202=4,AW1202=5,AW1202=6),VLOOKUP(AU1202,INDEX((係数_バス貨物_ガソリン,係数_バス貨物_CNG,係数_バス貨物_軽油,係数_バス貨物_メタノール,係数_バス貨物_LPG),MATCH(AY1202,【参考】排出係数!$AI$4:$AI$671,1),1,BE1202):INDEX((係数_バス貨物_ガソリン,係数_バス貨物_CNG,係数_バス貨物_軽油,係数_バス貨物_メタノール,係数_バス貨物_LPG),MATCH(AY1202+1,【参考】排出係数!$AI$4:$AI$671,1)-1,5,BE1202),2,FALSE),IF(OR(AW1202=1,AW1202=2),VLOOKUP(AU1202,INDEX((係数_乗用_ガソリン,係数_乗用_CNG,係数_乗用_軽油,係数_乗用_メタノール,係数_乗用_LPG),1,1,BE1202):INDEX((係数_乗用_ガソリン,係数_乗用_CNG,係数_乗用_軽油,係数_乗用_メタノール,係数_乗用_LPG),125,5,BE1202),2,FALSE))))))</f>
        <v/>
      </c>
      <c r="BB1202" s="468" t="str">
        <f>IF(T1202="","",IF(OR(AU1202="",AU1202="-"),"－",IF(OR(AZ1202=8,AZ1202=9),"",IF(OR(AW1202=3,AW1202=4,AW1202=5,AW1202=6),VLOOKUP(AU1202,INDEX((係数_バス貨物_ガソリン,係数_バス貨物_CNG,係数_バス貨物_軽油,係数_バス貨物_メタノール,係数_バス貨物_LPG),MATCH(AY1202,【参考】排出係数!$AI$4:$AI$671,1),1,BE1202):INDEX((係数_バス貨物_ガソリン,係数_バス貨物_CNG,係数_バス貨物_軽油,係数_バス貨物_メタノール,係数_バス貨物_LPG),MATCH(AY1202+1,【参考】排出係数!$AI$4:$AI$671,1)-1,5,BE1202),3,FALSE),IF(OR(AW1202=1,AW1202=2),VLOOKUP(AU1202,INDEX((係数_乗用_ガソリン,係数_乗用_CNG,係数_乗用_軽油,係数_乗用_メタノール,係数_乗用_LPG),1,1,BE1202):INDEX((係数_乗用_ガソリン,係数_乗用_CNG,係数_乗用_軽油,係数_乗用_メタノール,係数_乗用_LPG),125,5,BE1202),3,FALSE))))))</f>
        <v/>
      </c>
      <c r="BC1202" s="467" t="str">
        <f t="shared" si="672"/>
        <v/>
      </c>
      <c r="BD1202" s="567" t="str">
        <f t="shared" si="673"/>
        <v/>
      </c>
      <c r="BE1202" s="467" t="str">
        <f t="shared" si="674"/>
        <v/>
      </c>
      <c r="BF1202" s="469" t="str">
        <f t="shared" ca="1" si="675"/>
        <v/>
      </c>
      <c r="BG1202" s="469" t="str">
        <f t="shared" ca="1" si="676"/>
        <v/>
      </c>
      <c r="BH1202" s="467" t="str">
        <f t="shared" si="677"/>
        <v/>
      </c>
      <c r="BI1202" s="467" t="str">
        <f t="shared" ca="1" si="678"/>
        <v/>
      </c>
      <c r="BJ1202" s="469" t="str">
        <f t="shared" si="679"/>
        <v/>
      </c>
      <c r="BK1202" s="470" t="str">
        <f t="shared" si="663"/>
        <v/>
      </c>
      <c r="BL1202" s="775" t="str">
        <f t="shared" si="680"/>
        <v/>
      </c>
      <c r="BM1202" s="775" t="str">
        <f t="shared" si="681"/>
        <v/>
      </c>
    </row>
    <row r="1203" spans="1:65">
      <c r="A1203" s="473">
        <v>1147</v>
      </c>
      <c r="B1203" s="132"/>
      <c r="C1203" s="332"/>
      <c r="D1203" s="333"/>
      <c r="E1203" s="333"/>
      <c r="F1203" s="334"/>
      <c r="G1203" s="337"/>
      <c r="H1203" s="131"/>
      <c r="I1203" s="337"/>
      <c r="J1203" s="131"/>
      <c r="K1203" s="458" t="str">
        <f t="shared" si="682"/>
        <v/>
      </c>
      <c r="L1203" s="458">
        <f t="shared" si="683"/>
        <v>0</v>
      </c>
      <c r="M1203" s="458">
        <f t="shared" si="684"/>
        <v>0</v>
      </c>
      <c r="N1203" s="459" t="str">
        <f t="shared" si="657"/>
        <v/>
      </c>
      <c r="O1203" s="459" t="str">
        <f t="shared" si="658"/>
        <v/>
      </c>
      <c r="P1203" s="459" t="str">
        <f t="shared" si="659"/>
        <v/>
      </c>
      <c r="Q1203" s="459" t="str">
        <f t="shared" si="660"/>
        <v/>
      </c>
      <c r="R1203" s="459" t="str">
        <f t="shared" si="661"/>
        <v/>
      </c>
      <c r="S1203" s="459" t="str">
        <f t="shared" si="662"/>
        <v/>
      </c>
      <c r="T1203" s="566" t="str">
        <f t="shared" si="685"/>
        <v/>
      </c>
      <c r="U1203" s="702"/>
      <c r="V1203" s="132"/>
      <c r="W1203" s="133"/>
      <c r="X1203" s="134"/>
      <c r="Y1203" s="135"/>
      <c r="Z1203" s="137"/>
      <c r="AA1203" s="136"/>
      <c r="AB1203" s="566" t="str">
        <f t="shared" si="686"/>
        <v/>
      </c>
      <c r="AC1203" s="568" t="str">
        <f t="shared" si="687"/>
        <v/>
      </c>
      <c r="AD1203" s="137"/>
      <c r="AE1203" s="137"/>
      <c r="AF1203" s="138"/>
      <c r="AG1203" s="138"/>
      <c r="AH1203" s="592" t="str">
        <f t="shared" si="688"/>
        <v/>
      </c>
      <c r="AI1203" s="592" t="str">
        <f t="shared" si="689"/>
        <v/>
      </c>
      <c r="AJ1203" s="592" t="str">
        <f t="shared" si="690"/>
        <v/>
      </c>
      <c r="AK1203" s="460" t="str">
        <f>IF(AU1203="","",IF(OR(AZ1203=8,AZ1203=9),0,IF(OR(AW1203=3,AW1203=4,AW1203=5,AW1203=6),IF(LEFT(BF1203,1)="1",INDEX(係数_NOX・PM低減,MATCH(AY1203,【参考】排出係数!$AI$801:$AI$804,1),1),VLOOKUP(AU1203,INDEX((係数_バス貨物_ガソリン,係数_バス貨物_CNG,係数_バス貨物_軽油,係数_バス貨物_メタノール,係数_バス貨物_LPG),MATCH(AY1203,【参考】排出係数!$AI$4:$AI$671,1),1,BE1203):INDEX((係数_バス貨物_ガソリン,係数_バス貨物_CNG,係数_バス貨物_軽油,係数_バス貨物_メタノール,係数_バス貨物_LPG),MATCH(AY1203+1,【参考】排出係数!$AI$4:$AI$671,1)-1,5,BE1203),4,FALSE)),IF(AND(BE1203=3,LEFT(BF1203,1)="1"),0.48,VLOOKUP(AU1203,INDEX((係数_乗用_ガソリン,係数_乗用_CNG,係数_乗用_軽油,係数_乗用_メタノール,係数_乗用_LPG),1,1,BE1203):INDEX((係数_乗用_ガソリン,係数_乗用_CNG,係数_乗用_軽油,係数_乗用_メタノール,係数_乗用_LPG),125,5,BE1203),4,FALSE)))))</f>
        <v/>
      </c>
      <c r="AL1203" s="461" t="str">
        <f t="shared" si="691"/>
        <v/>
      </c>
      <c r="AM1203" s="460" t="str">
        <f>IF(AU1203="","",IF(OR(AZ1203=8,AZ1203=9),0,IF(OR(AW1203=3,AW1203=4,AW1203=5,AW1203=6),IF(LEFT(BH1203,1)="1",INDEX(係数_PM低減,MATCH(AY1203,【参考】排出係数!$AI$801:$AI$804,1),MATCH(BI1203,【参考】排出係数!$AL$798:$AO$798,1)),VLOOKUP(AU1203,INDEX((係数_バス貨物_ガソリン,係数_バス貨物_CNG,係数_バス貨物_軽油,係数_バス貨物_メタノール,係数_バス貨物_LPG),MATCH(AY1203,【参考】排出係数!$AI$4:$AI$671,1),1,BE1203):INDEX((係数_バス貨物_ガソリン,係数_バス貨物_CNG,係数_バス貨物_軽油,係数_バス貨物_メタノール,係数_バス貨物_LPG),MATCH(AY1203+1,【参考】排出係数!$AI$4:$AI$671,1)-1,5,BE1203),5,FALSE)),IF(AND(BE1203=3,LEFT(BF1203,1)="1"),0.055,VLOOKUP(AU1203,INDEX((係数_乗用_ガソリン,係数_乗用_CNG,係数_乗用_軽油,係数_乗用_メタノール,係数_乗用_LPG),1,1,BE1203):INDEX((係数_乗用_ガソリン,係数_乗用_CNG,係数_乗用_軽油,係数_乗用_メタノール,係数_乗用_LPG),125,5,BE1203),5,FALSE)))))</f>
        <v/>
      </c>
      <c r="AN1203" s="461" t="str">
        <f t="shared" si="692"/>
        <v/>
      </c>
      <c r="AO1203" s="462" t="str">
        <f t="shared" si="693"/>
        <v/>
      </c>
      <c r="AP1203" s="463" t="str">
        <f t="shared" si="694"/>
        <v/>
      </c>
      <c r="AQ1203" s="464"/>
      <c r="AR1203" s="619"/>
      <c r="AS1203" s="465" t="str">
        <f t="shared" si="664"/>
        <v/>
      </c>
      <c r="AT1203" s="465" t="str">
        <f t="shared" si="665"/>
        <v/>
      </c>
      <c r="AU1203" s="466" t="str">
        <f t="shared" si="666"/>
        <v/>
      </c>
      <c r="AV1203" s="467" t="str">
        <f t="shared" si="667"/>
        <v/>
      </c>
      <c r="AW1203" s="467" t="str">
        <f t="shared" si="668"/>
        <v/>
      </c>
      <c r="AX1203" s="467" t="str">
        <f t="shared" si="669"/>
        <v/>
      </c>
      <c r="AY1203" s="467" t="str">
        <f t="shared" si="670"/>
        <v/>
      </c>
      <c r="AZ1203" s="467" t="str">
        <f t="shared" si="671"/>
        <v/>
      </c>
      <c r="BA1203" s="468" t="str">
        <f>IF(AS1203="","",IF(OR(AU1203="",AU1203="-"),"－",IF(OR(AZ1203=8,AZ1203=9),"",IF(OR(AW1203=3,AW1203=4,AW1203=5,AW1203=6),VLOOKUP(AU1203,INDEX((係数_バス貨物_ガソリン,係数_バス貨物_CNG,係数_バス貨物_軽油,係数_バス貨物_メタノール,係数_バス貨物_LPG),MATCH(AY1203,【参考】排出係数!$AI$4:$AI$671,1),1,BE1203):INDEX((係数_バス貨物_ガソリン,係数_バス貨物_CNG,係数_バス貨物_軽油,係数_バス貨物_メタノール,係数_バス貨物_LPG),MATCH(AY1203+1,【参考】排出係数!$AI$4:$AI$671,1)-1,5,BE1203),2,FALSE),IF(OR(AW1203=1,AW1203=2),VLOOKUP(AU1203,INDEX((係数_乗用_ガソリン,係数_乗用_CNG,係数_乗用_軽油,係数_乗用_メタノール,係数_乗用_LPG),1,1,BE1203):INDEX((係数_乗用_ガソリン,係数_乗用_CNG,係数_乗用_軽油,係数_乗用_メタノール,係数_乗用_LPG),125,5,BE1203),2,FALSE))))))</f>
        <v/>
      </c>
      <c r="BB1203" s="468" t="str">
        <f>IF(T1203="","",IF(OR(AU1203="",AU1203="-"),"－",IF(OR(AZ1203=8,AZ1203=9),"",IF(OR(AW1203=3,AW1203=4,AW1203=5,AW1203=6),VLOOKUP(AU1203,INDEX((係数_バス貨物_ガソリン,係数_バス貨物_CNG,係数_バス貨物_軽油,係数_バス貨物_メタノール,係数_バス貨物_LPG),MATCH(AY1203,【参考】排出係数!$AI$4:$AI$671,1),1,BE1203):INDEX((係数_バス貨物_ガソリン,係数_バス貨物_CNG,係数_バス貨物_軽油,係数_バス貨物_メタノール,係数_バス貨物_LPG),MATCH(AY1203+1,【参考】排出係数!$AI$4:$AI$671,1)-1,5,BE1203),3,FALSE),IF(OR(AW1203=1,AW1203=2),VLOOKUP(AU1203,INDEX((係数_乗用_ガソリン,係数_乗用_CNG,係数_乗用_軽油,係数_乗用_メタノール,係数_乗用_LPG),1,1,BE1203):INDEX((係数_乗用_ガソリン,係数_乗用_CNG,係数_乗用_軽油,係数_乗用_メタノール,係数_乗用_LPG),125,5,BE1203),3,FALSE))))))</f>
        <v/>
      </c>
      <c r="BC1203" s="467" t="str">
        <f t="shared" si="672"/>
        <v/>
      </c>
      <c r="BD1203" s="567" t="str">
        <f t="shared" si="673"/>
        <v/>
      </c>
      <c r="BE1203" s="467" t="str">
        <f t="shared" si="674"/>
        <v/>
      </c>
      <c r="BF1203" s="469" t="str">
        <f t="shared" ca="1" si="675"/>
        <v/>
      </c>
      <c r="BG1203" s="469" t="str">
        <f t="shared" ca="1" si="676"/>
        <v/>
      </c>
      <c r="BH1203" s="467" t="str">
        <f t="shared" si="677"/>
        <v/>
      </c>
      <c r="BI1203" s="467" t="str">
        <f t="shared" ca="1" si="678"/>
        <v/>
      </c>
      <c r="BJ1203" s="469" t="str">
        <f t="shared" si="679"/>
        <v/>
      </c>
      <c r="BK1203" s="470" t="str">
        <f t="shared" si="663"/>
        <v/>
      </c>
      <c r="BL1203" s="775" t="str">
        <f t="shared" si="680"/>
        <v/>
      </c>
      <c r="BM1203" s="775" t="str">
        <f t="shared" si="681"/>
        <v/>
      </c>
    </row>
    <row r="1204" spans="1:65">
      <c r="A1204" s="473">
        <v>1148</v>
      </c>
      <c r="B1204" s="132"/>
      <c r="C1204" s="332"/>
      <c r="D1204" s="333"/>
      <c r="E1204" s="333"/>
      <c r="F1204" s="334"/>
      <c r="G1204" s="337"/>
      <c r="H1204" s="131"/>
      <c r="I1204" s="337"/>
      <c r="J1204" s="131"/>
      <c r="K1204" s="458" t="str">
        <f t="shared" si="682"/>
        <v/>
      </c>
      <c r="L1204" s="458">
        <f t="shared" si="683"/>
        <v>0</v>
      </c>
      <c r="M1204" s="458">
        <f t="shared" si="684"/>
        <v>0</v>
      </c>
      <c r="N1204" s="459" t="str">
        <f t="shared" si="657"/>
        <v/>
      </c>
      <c r="O1204" s="459" t="str">
        <f t="shared" si="658"/>
        <v/>
      </c>
      <c r="P1204" s="459" t="str">
        <f t="shared" si="659"/>
        <v/>
      </c>
      <c r="Q1204" s="459" t="str">
        <f t="shared" si="660"/>
        <v/>
      </c>
      <c r="R1204" s="459" t="str">
        <f t="shared" si="661"/>
        <v/>
      </c>
      <c r="S1204" s="459" t="str">
        <f t="shared" si="662"/>
        <v/>
      </c>
      <c r="T1204" s="566" t="str">
        <f t="shared" si="685"/>
        <v/>
      </c>
      <c r="U1204" s="702"/>
      <c r="V1204" s="132"/>
      <c r="W1204" s="133"/>
      <c r="X1204" s="134"/>
      <c r="Y1204" s="135"/>
      <c r="Z1204" s="137"/>
      <c r="AA1204" s="136"/>
      <c r="AB1204" s="566" t="str">
        <f t="shared" si="686"/>
        <v/>
      </c>
      <c r="AC1204" s="568" t="str">
        <f t="shared" si="687"/>
        <v/>
      </c>
      <c r="AD1204" s="137"/>
      <c r="AE1204" s="137"/>
      <c r="AF1204" s="138"/>
      <c r="AG1204" s="138"/>
      <c r="AH1204" s="592" t="str">
        <f t="shared" si="688"/>
        <v/>
      </c>
      <c r="AI1204" s="592" t="str">
        <f t="shared" si="689"/>
        <v/>
      </c>
      <c r="AJ1204" s="592" t="str">
        <f t="shared" si="690"/>
        <v/>
      </c>
      <c r="AK1204" s="460" t="str">
        <f>IF(AU1204="","",IF(OR(AZ1204=8,AZ1204=9),0,IF(OR(AW1204=3,AW1204=4,AW1204=5,AW1204=6),IF(LEFT(BF1204,1)="1",INDEX(係数_NOX・PM低減,MATCH(AY1204,【参考】排出係数!$AI$801:$AI$804,1),1),VLOOKUP(AU1204,INDEX((係数_バス貨物_ガソリン,係数_バス貨物_CNG,係数_バス貨物_軽油,係数_バス貨物_メタノール,係数_バス貨物_LPG),MATCH(AY1204,【参考】排出係数!$AI$4:$AI$671,1),1,BE1204):INDEX((係数_バス貨物_ガソリン,係数_バス貨物_CNG,係数_バス貨物_軽油,係数_バス貨物_メタノール,係数_バス貨物_LPG),MATCH(AY1204+1,【参考】排出係数!$AI$4:$AI$671,1)-1,5,BE1204),4,FALSE)),IF(AND(BE1204=3,LEFT(BF1204,1)="1"),0.48,VLOOKUP(AU1204,INDEX((係数_乗用_ガソリン,係数_乗用_CNG,係数_乗用_軽油,係数_乗用_メタノール,係数_乗用_LPG),1,1,BE1204):INDEX((係数_乗用_ガソリン,係数_乗用_CNG,係数_乗用_軽油,係数_乗用_メタノール,係数_乗用_LPG),125,5,BE1204),4,FALSE)))))</f>
        <v/>
      </c>
      <c r="AL1204" s="461" t="str">
        <f t="shared" si="691"/>
        <v/>
      </c>
      <c r="AM1204" s="460" t="str">
        <f>IF(AU1204="","",IF(OR(AZ1204=8,AZ1204=9),0,IF(OR(AW1204=3,AW1204=4,AW1204=5,AW1204=6),IF(LEFT(BH1204,1)="1",INDEX(係数_PM低減,MATCH(AY1204,【参考】排出係数!$AI$801:$AI$804,1),MATCH(BI1204,【参考】排出係数!$AL$798:$AO$798,1)),VLOOKUP(AU1204,INDEX((係数_バス貨物_ガソリン,係数_バス貨物_CNG,係数_バス貨物_軽油,係数_バス貨物_メタノール,係数_バス貨物_LPG),MATCH(AY1204,【参考】排出係数!$AI$4:$AI$671,1),1,BE1204):INDEX((係数_バス貨物_ガソリン,係数_バス貨物_CNG,係数_バス貨物_軽油,係数_バス貨物_メタノール,係数_バス貨物_LPG),MATCH(AY1204+1,【参考】排出係数!$AI$4:$AI$671,1)-1,5,BE1204),5,FALSE)),IF(AND(BE1204=3,LEFT(BF1204,1)="1"),0.055,VLOOKUP(AU1204,INDEX((係数_乗用_ガソリン,係数_乗用_CNG,係数_乗用_軽油,係数_乗用_メタノール,係数_乗用_LPG),1,1,BE1204):INDEX((係数_乗用_ガソリン,係数_乗用_CNG,係数_乗用_軽油,係数_乗用_メタノール,係数_乗用_LPG),125,5,BE1204),5,FALSE)))))</f>
        <v/>
      </c>
      <c r="AN1204" s="461" t="str">
        <f t="shared" si="692"/>
        <v/>
      </c>
      <c r="AO1204" s="462" t="str">
        <f t="shared" si="693"/>
        <v/>
      </c>
      <c r="AP1204" s="463" t="str">
        <f t="shared" si="694"/>
        <v/>
      </c>
      <c r="AQ1204" s="464"/>
      <c r="AR1204" s="619"/>
      <c r="AS1204" s="465" t="str">
        <f t="shared" si="664"/>
        <v/>
      </c>
      <c r="AT1204" s="465" t="str">
        <f t="shared" si="665"/>
        <v/>
      </c>
      <c r="AU1204" s="466" t="str">
        <f t="shared" si="666"/>
        <v/>
      </c>
      <c r="AV1204" s="467" t="str">
        <f t="shared" si="667"/>
        <v/>
      </c>
      <c r="AW1204" s="467" t="str">
        <f t="shared" si="668"/>
        <v/>
      </c>
      <c r="AX1204" s="467" t="str">
        <f t="shared" si="669"/>
        <v/>
      </c>
      <c r="AY1204" s="467" t="str">
        <f t="shared" si="670"/>
        <v/>
      </c>
      <c r="AZ1204" s="467" t="str">
        <f t="shared" si="671"/>
        <v/>
      </c>
      <c r="BA1204" s="468" t="str">
        <f>IF(AS1204="","",IF(OR(AU1204="",AU1204="-"),"－",IF(OR(AZ1204=8,AZ1204=9),"",IF(OR(AW1204=3,AW1204=4,AW1204=5,AW1204=6),VLOOKUP(AU1204,INDEX((係数_バス貨物_ガソリン,係数_バス貨物_CNG,係数_バス貨物_軽油,係数_バス貨物_メタノール,係数_バス貨物_LPG),MATCH(AY1204,【参考】排出係数!$AI$4:$AI$671,1),1,BE1204):INDEX((係数_バス貨物_ガソリン,係数_バス貨物_CNG,係数_バス貨物_軽油,係数_バス貨物_メタノール,係数_バス貨物_LPG),MATCH(AY1204+1,【参考】排出係数!$AI$4:$AI$671,1)-1,5,BE1204),2,FALSE),IF(OR(AW1204=1,AW1204=2),VLOOKUP(AU1204,INDEX((係数_乗用_ガソリン,係数_乗用_CNG,係数_乗用_軽油,係数_乗用_メタノール,係数_乗用_LPG),1,1,BE1204):INDEX((係数_乗用_ガソリン,係数_乗用_CNG,係数_乗用_軽油,係数_乗用_メタノール,係数_乗用_LPG),125,5,BE1204),2,FALSE))))))</f>
        <v/>
      </c>
      <c r="BB1204" s="468" t="str">
        <f>IF(T1204="","",IF(OR(AU1204="",AU1204="-"),"－",IF(OR(AZ1204=8,AZ1204=9),"",IF(OR(AW1204=3,AW1204=4,AW1204=5,AW1204=6),VLOOKUP(AU1204,INDEX((係数_バス貨物_ガソリン,係数_バス貨物_CNG,係数_バス貨物_軽油,係数_バス貨物_メタノール,係数_バス貨物_LPG),MATCH(AY1204,【参考】排出係数!$AI$4:$AI$671,1),1,BE1204):INDEX((係数_バス貨物_ガソリン,係数_バス貨物_CNG,係数_バス貨物_軽油,係数_バス貨物_メタノール,係数_バス貨物_LPG),MATCH(AY1204+1,【参考】排出係数!$AI$4:$AI$671,1)-1,5,BE1204),3,FALSE),IF(OR(AW1204=1,AW1204=2),VLOOKUP(AU1204,INDEX((係数_乗用_ガソリン,係数_乗用_CNG,係数_乗用_軽油,係数_乗用_メタノール,係数_乗用_LPG),1,1,BE1204):INDEX((係数_乗用_ガソリン,係数_乗用_CNG,係数_乗用_軽油,係数_乗用_メタノール,係数_乗用_LPG),125,5,BE1204),3,FALSE))))))</f>
        <v/>
      </c>
      <c r="BC1204" s="467" t="str">
        <f t="shared" si="672"/>
        <v/>
      </c>
      <c r="BD1204" s="567" t="str">
        <f t="shared" si="673"/>
        <v/>
      </c>
      <c r="BE1204" s="467" t="str">
        <f t="shared" si="674"/>
        <v/>
      </c>
      <c r="BF1204" s="469" t="str">
        <f t="shared" ca="1" si="675"/>
        <v/>
      </c>
      <c r="BG1204" s="469" t="str">
        <f t="shared" ca="1" si="676"/>
        <v/>
      </c>
      <c r="BH1204" s="467" t="str">
        <f t="shared" si="677"/>
        <v/>
      </c>
      <c r="BI1204" s="467" t="str">
        <f t="shared" ca="1" si="678"/>
        <v/>
      </c>
      <c r="BJ1204" s="469" t="str">
        <f t="shared" si="679"/>
        <v/>
      </c>
      <c r="BK1204" s="470" t="str">
        <f t="shared" si="663"/>
        <v/>
      </c>
      <c r="BL1204" s="775" t="str">
        <f t="shared" si="680"/>
        <v/>
      </c>
      <c r="BM1204" s="775" t="str">
        <f t="shared" si="681"/>
        <v/>
      </c>
    </row>
    <row r="1205" spans="1:65">
      <c r="A1205" s="473">
        <v>1149</v>
      </c>
      <c r="B1205" s="132"/>
      <c r="C1205" s="332"/>
      <c r="D1205" s="333"/>
      <c r="E1205" s="333"/>
      <c r="F1205" s="334"/>
      <c r="G1205" s="337"/>
      <c r="H1205" s="131"/>
      <c r="I1205" s="337"/>
      <c r="J1205" s="131"/>
      <c r="K1205" s="458" t="str">
        <f t="shared" si="682"/>
        <v/>
      </c>
      <c r="L1205" s="458">
        <f t="shared" si="683"/>
        <v>0</v>
      </c>
      <c r="M1205" s="458">
        <f t="shared" si="684"/>
        <v>0</v>
      </c>
      <c r="N1205" s="459" t="str">
        <f t="shared" si="657"/>
        <v/>
      </c>
      <c r="O1205" s="459" t="str">
        <f t="shared" si="658"/>
        <v/>
      </c>
      <c r="P1205" s="459" t="str">
        <f t="shared" si="659"/>
        <v/>
      </c>
      <c r="Q1205" s="459" t="str">
        <f t="shared" si="660"/>
        <v/>
      </c>
      <c r="R1205" s="459" t="str">
        <f t="shared" si="661"/>
        <v/>
      </c>
      <c r="S1205" s="459" t="str">
        <f t="shared" si="662"/>
        <v/>
      </c>
      <c r="T1205" s="566" t="str">
        <f t="shared" si="685"/>
        <v/>
      </c>
      <c r="U1205" s="702"/>
      <c r="V1205" s="132"/>
      <c r="W1205" s="133"/>
      <c r="X1205" s="134"/>
      <c r="Y1205" s="135"/>
      <c r="Z1205" s="137"/>
      <c r="AA1205" s="136"/>
      <c r="AB1205" s="566" t="str">
        <f t="shared" si="686"/>
        <v/>
      </c>
      <c r="AC1205" s="568" t="str">
        <f t="shared" si="687"/>
        <v/>
      </c>
      <c r="AD1205" s="137"/>
      <c r="AE1205" s="137"/>
      <c r="AF1205" s="138"/>
      <c r="AG1205" s="138"/>
      <c r="AH1205" s="592" t="str">
        <f t="shared" si="688"/>
        <v/>
      </c>
      <c r="AI1205" s="592" t="str">
        <f t="shared" si="689"/>
        <v/>
      </c>
      <c r="AJ1205" s="592" t="str">
        <f t="shared" si="690"/>
        <v/>
      </c>
      <c r="AK1205" s="460" t="str">
        <f>IF(AU1205="","",IF(OR(AZ1205=8,AZ1205=9),0,IF(OR(AW1205=3,AW1205=4,AW1205=5,AW1205=6),IF(LEFT(BF1205,1)="1",INDEX(係数_NOX・PM低減,MATCH(AY1205,【参考】排出係数!$AI$801:$AI$804,1),1),VLOOKUP(AU1205,INDEX((係数_バス貨物_ガソリン,係数_バス貨物_CNG,係数_バス貨物_軽油,係数_バス貨物_メタノール,係数_バス貨物_LPG),MATCH(AY1205,【参考】排出係数!$AI$4:$AI$671,1),1,BE1205):INDEX((係数_バス貨物_ガソリン,係数_バス貨物_CNG,係数_バス貨物_軽油,係数_バス貨物_メタノール,係数_バス貨物_LPG),MATCH(AY1205+1,【参考】排出係数!$AI$4:$AI$671,1)-1,5,BE1205),4,FALSE)),IF(AND(BE1205=3,LEFT(BF1205,1)="1"),0.48,VLOOKUP(AU1205,INDEX((係数_乗用_ガソリン,係数_乗用_CNG,係数_乗用_軽油,係数_乗用_メタノール,係数_乗用_LPG),1,1,BE1205):INDEX((係数_乗用_ガソリン,係数_乗用_CNG,係数_乗用_軽油,係数_乗用_メタノール,係数_乗用_LPG),125,5,BE1205),4,FALSE)))))</f>
        <v/>
      </c>
      <c r="AL1205" s="461" t="str">
        <f t="shared" si="691"/>
        <v/>
      </c>
      <c r="AM1205" s="460" t="str">
        <f>IF(AU1205="","",IF(OR(AZ1205=8,AZ1205=9),0,IF(OR(AW1205=3,AW1205=4,AW1205=5,AW1205=6),IF(LEFT(BH1205,1)="1",INDEX(係数_PM低減,MATCH(AY1205,【参考】排出係数!$AI$801:$AI$804,1),MATCH(BI1205,【参考】排出係数!$AL$798:$AO$798,1)),VLOOKUP(AU1205,INDEX((係数_バス貨物_ガソリン,係数_バス貨物_CNG,係数_バス貨物_軽油,係数_バス貨物_メタノール,係数_バス貨物_LPG),MATCH(AY1205,【参考】排出係数!$AI$4:$AI$671,1),1,BE1205):INDEX((係数_バス貨物_ガソリン,係数_バス貨物_CNG,係数_バス貨物_軽油,係数_バス貨物_メタノール,係数_バス貨物_LPG),MATCH(AY1205+1,【参考】排出係数!$AI$4:$AI$671,1)-1,5,BE1205),5,FALSE)),IF(AND(BE1205=3,LEFT(BF1205,1)="1"),0.055,VLOOKUP(AU1205,INDEX((係数_乗用_ガソリン,係数_乗用_CNG,係数_乗用_軽油,係数_乗用_メタノール,係数_乗用_LPG),1,1,BE1205):INDEX((係数_乗用_ガソリン,係数_乗用_CNG,係数_乗用_軽油,係数_乗用_メタノール,係数_乗用_LPG),125,5,BE1205),5,FALSE)))))</f>
        <v/>
      </c>
      <c r="AN1205" s="461" t="str">
        <f t="shared" si="692"/>
        <v/>
      </c>
      <c r="AO1205" s="462" t="str">
        <f t="shared" si="693"/>
        <v/>
      </c>
      <c r="AP1205" s="463" t="str">
        <f t="shared" si="694"/>
        <v/>
      </c>
      <c r="AQ1205" s="464"/>
      <c r="AR1205" s="619"/>
      <c r="AS1205" s="465" t="str">
        <f t="shared" si="664"/>
        <v/>
      </c>
      <c r="AT1205" s="465" t="str">
        <f t="shared" si="665"/>
        <v/>
      </c>
      <c r="AU1205" s="466" t="str">
        <f t="shared" si="666"/>
        <v/>
      </c>
      <c r="AV1205" s="467" t="str">
        <f t="shared" si="667"/>
        <v/>
      </c>
      <c r="AW1205" s="467" t="str">
        <f t="shared" si="668"/>
        <v/>
      </c>
      <c r="AX1205" s="467" t="str">
        <f t="shared" si="669"/>
        <v/>
      </c>
      <c r="AY1205" s="467" t="str">
        <f t="shared" si="670"/>
        <v/>
      </c>
      <c r="AZ1205" s="467" t="str">
        <f t="shared" si="671"/>
        <v/>
      </c>
      <c r="BA1205" s="468" t="str">
        <f>IF(AS1205="","",IF(OR(AU1205="",AU1205="-"),"－",IF(OR(AZ1205=8,AZ1205=9),"",IF(OR(AW1205=3,AW1205=4,AW1205=5,AW1205=6),VLOOKUP(AU1205,INDEX((係数_バス貨物_ガソリン,係数_バス貨物_CNG,係数_バス貨物_軽油,係数_バス貨物_メタノール,係数_バス貨物_LPG),MATCH(AY1205,【参考】排出係数!$AI$4:$AI$671,1),1,BE1205):INDEX((係数_バス貨物_ガソリン,係数_バス貨物_CNG,係数_バス貨物_軽油,係数_バス貨物_メタノール,係数_バス貨物_LPG),MATCH(AY1205+1,【参考】排出係数!$AI$4:$AI$671,1)-1,5,BE1205),2,FALSE),IF(OR(AW1205=1,AW1205=2),VLOOKUP(AU1205,INDEX((係数_乗用_ガソリン,係数_乗用_CNG,係数_乗用_軽油,係数_乗用_メタノール,係数_乗用_LPG),1,1,BE1205):INDEX((係数_乗用_ガソリン,係数_乗用_CNG,係数_乗用_軽油,係数_乗用_メタノール,係数_乗用_LPG),125,5,BE1205),2,FALSE))))))</f>
        <v/>
      </c>
      <c r="BB1205" s="468" t="str">
        <f>IF(T1205="","",IF(OR(AU1205="",AU1205="-"),"－",IF(OR(AZ1205=8,AZ1205=9),"",IF(OR(AW1205=3,AW1205=4,AW1205=5,AW1205=6),VLOOKUP(AU1205,INDEX((係数_バス貨物_ガソリン,係数_バス貨物_CNG,係数_バス貨物_軽油,係数_バス貨物_メタノール,係数_バス貨物_LPG),MATCH(AY1205,【参考】排出係数!$AI$4:$AI$671,1),1,BE1205):INDEX((係数_バス貨物_ガソリン,係数_バス貨物_CNG,係数_バス貨物_軽油,係数_バス貨物_メタノール,係数_バス貨物_LPG),MATCH(AY1205+1,【参考】排出係数!$AI$4:$AI$671,1)-1,5,BE1205),3,FALSE),IF(OR(AW1205=1,AW1205=2),VLOOKUP(AU1205,INDEX((係数_乗用_ガソリン,係数_乗用_CNG,係数_乗用_軽油,係数_乗用_メタノール,係数_乗用_LPG),1,1,BE1205):INDEX((係数_乗用_ガソリン,係数_乗用_CNG,係数_乗用_軽油,係数_乗用_メタノール,係数_乗用_LPG),125,5,BE1205),3,FALSE))))))</f>
        <v/>
      </c>
      <c r="BC1205" s="467" t="str">
        <f t="shared" si="672"/>
        <v/>
      </c>
      <c r="BD1205" s="567" t="str">
        <f t="shared" si="673"/>
        <v/>
      </c>
      <c r="BE1205" s="467" t="str">
        <f t="shared" si="674"/>
        <v/>
      </c>
      <c r="BF1205" s="469" t="str">
        <f t="shared" ca="1" si="675"/>
        <v/>
      </c>
      <c r="BG1205" s="469" t="str">
        <f t="shared" ca="1" si="676"/>
        <v/>
      </c>
      <c r="BH1205" s="467" t="str">
        <f t="shared" si="677"/>
        <v/>
      </c>
      <c r="BI1205" s="467" t="str">
        <f t="shared" ca="1" si="678"/>
        <v/>
      </c>
      <c r="BJ1205" s="469" t="str">
        <f t="shared" si="679"/>
        <v/>
      </c>
      <c r="BK1205" s="470" t="str">
        <f t="shared" si="663"/>
        <v/>
      </c>
      <c r="BL1205" s="775" t="str">
        <f t="shared" si="680"/>
        <v/>
      </c>
      <c r="BM1205" s="775" t="str">
        <f t="shared" si="681"/>
        <v/>
      </c>
    </row>
    <row r="1206" spans="1:65">
      <c r="A1206" s="473">
        <v>1150</v>
      </c>
      <c r="B1206" s="132"/>
      <c r="C1206" s="332"/>
      <c r="D1206" s="333"/>
      <c r="E1206" s="333"/>
      <c r="F1206" s="334"/>
      <c r="G1206" s="337"/>
      <c r="H1206" s="131"/>
      <c r="I1206" s="337"/>
      <c r="J1206" s="131"/>
      <c r="K1206" s="458" t="str">
        <f t="shared" si="682"/>
        <v/>
      </c>
      <c r="L1206" s="458">
        <f t="shared" si="683"/>
        <v>0</v>
      </c>
      <c r="M1206" s="458">
        <f t="shared" si="684"/>
        <v>0</v>
      </c>
      <c r="N1206" s="459" t="str">
        <f t="shared" si="657"/>
        <v/>
      </c>
      <c r="O1206" s="459" t="str">
        <f t="shared" si="658"/>
        <v/>
      </c>
      <c r="P1206" s="459" t="str">
        <f t="shared" si="659"/>
        <v/>
      </c>
      <c r="Q1206" s="459" t="str">
        <f t="shared" si="660"/>
        <v/>
      </c>
      <c r="R1206" s="459" t="str">
        <f t="shared" si="661"/>
        <v/>
      </c>
      <c r="S1206" s="459" t="str">
        <f t="shared" si="662"/>
        <v/>
      </c>
      <c r="T1206" s="566" t="str">
        <f t="shared" si="685"/>
        <v/>
      </c>
      <c r="U1206" s="702"/>
      <c r="V1206" s="132"/>
      <c r="W1206" s="133"/>
      <c r="X1206" s="134"/>
      <c r="Y1206" s="135"/>
      <c r="Z1206" s="137"/>
      <c r="AA1206" s="136"/>
      <c r="AB1206" s="566" t="str">
        <f t="shared" si="686"/>
        <v/>
      </c>
      <c r="AC1206" s="568" t="str">
        <f t="shared" si="687"/>
        <v/>
      </c>
      <c r="AD1206" s="137"/>
      <c r="AE1206" s="137"/>
      <c r="AF1206" s="138"/>
      <c r="AG1206" s="138"/>
      <c r="AH1206" s="592" t="str">
        <f t="shared" si="688"/>
        <v/>
      </c>
      <c r="AI1206" s="592" t="str">
        <f t="shared" si="689"/>
        <v/>
      </c>
      <c r="AJ1206" s="592" t="str">
        <f t="shared" si="690"/>
        <v/>
      </c>
      <c r="AK1206" s="460" t="str">
        <f>IF(AU1206="","",IF(OR(AZ1206=8,AZ1206=9),0,IF(OR(AW1206=3,AW1206=4,AW1206=5,AW1206=6),IF(LEFT(BF1206,1)="1",INDEX(係数_NOX・PM低減,MATCH(AY1206,【参考】排出係数!$AI$801:$AI$804,1),1),VLOOKUP(AU1206,INDEX((係数_バス貨物_ガソリン,係数_バス貨物_CNG,係数_バス貨物_軽油,係数_バス貨物_メタノール,係数_バス貨物_LPG),MATCH(AY1206,【参考】排出係数!$AI$4:$AI$671,1),1,BE1206):INDEX((係数_バス貨物_ガソリン,係数_バス貨物_CNG,係数_バス貨物_軽油,係数_バス貨物_メタノール,係数_バス貨物_LPG),MATCH(AY1206+1,【参考】排出係数!$AI$4:$AI$671,1)-1,5,BE1206),4,FALSE)),IF(AND(BE1206=3,LEFT(BF1206,1)="1"),0.48,VLOOKUP(AU1206,INDEX((係数_乗用_ガソリン,係数_乗用_CNG,係数_乗用_軽油,係数_乗用_メタノール,係数_乗用_LPG),1,1,BE1206):INDEX((係数_乗用_ガソリン,係数_乗用_CNG,係数_乗用_軽油,係数_乗用_メタノール,係数_乗用_LPG),125,5,BE1206),4,FALSE)))))</f>
        <v/>
      </c>
      <c r="AL1206" s="461" t="str">
        <f t="shared" si="691"/>
        <v/>
      </c>
      <c r="AM1206" s="460" t="str">
        <f>IF(AU1206="","",IF(OR(AZ1206=8,AZ1206=9),0,IF(OR(AW1206=3,AW1206=4,AW1206=5,AW1206=6),IF(LEFT(BH1206,1)="1",INDEX(係数_PM低減,MATCH(AY1206,【参考】排出係数!$AI$801:$AI$804,1),MATCH(BI1206,【参考】排出係数!$AL$798:$AO$798,1)),VLOOKUP(AU1206,INDEX((係数_バス貨物_ガソリン,係数_バス貨物_CNG,係数_バス貨物_軽油,係数_バス貨物_メタノール,係数_バス貨物_LPG),MATCH(AY1206,【参考】排出係数!$AI$4:$AI$671,1),1,BE1206):INDEX((係数_バス貨物_ガソリン,係数_バス貨物_CNG,係数_バス貨物_軽油,係数_バス貨物_メタノール,係数_バス貨物_LPG),MATCH(AY1206+1,【参考】排出係数!$AI$4:$AI$671,1)-1,5,BE1206),5,FALSE)),IF(AND(BE1206=3,LEFT(BF1206,1)="1"),0.055,VLOOKUP(AU1206,INDEX((係数_乗用_ガソリン,係数_乗用_CNG,係数_乗用_軽油,係数_乗用_メタノール,係数_乗用_LPG),1,1,BE1206):INDEX((係数_乗用_ガソリン,係数_乗用_CNG,係数_乗用_軽油,係数_乗用_メタノール,係数_乗用_LPG),125,5,BE1206),5,FALSE)))))</f>
        <v/>
      </c>
      <c r="AN1206" s="461" t="str">
        <f t="shared" si="692"/>
        <v/>
      </c>
      <c r="AO1206" s="462" t="str">
        <f t="shared" si="693"/>
        <v/>
      </c>
      <c r="AP1206" s="463" t="str">
        <f t="shared" si="694"/>
        <v/>
      </c>
      <c r="AQ1206" s="464"/>
      <c r="AR1206" s="619"/>
      <c r="AS1206" s="465" t="str">
        <f t="shared" si="664"/>
        <v/>
      </c>
      <c r="AT1206" s="465" t="str">
        <f t="shared" si="665"/>
        <v/>
      </c>
      <c r="AU1206" s="466" t="str">
        <f t="shared" si="666"/>
        <v/>
      </c>
      <c r="AV1206" s="467" t="str">
        <f t="shared" si="667"/>
        <v/>
      </c>
      <c r="AW1206" s="467" t="str">
        <f t="shared" si="668"/>
        <v/>
      </c>
      <c r="AX1206" s="467" t="str">
        <f t="shared" si="669"/>
        <v/>
      </c>
      <c r="AY1206" s="467" t="str">
        <f t="shared" si="670"/>
        <v/>
      </c>
      <c r="AZ1206" s="467" t="str">
        <f t="shared" si="671"/>
        <v/>
      </c>
      <c r="BA1206" s="468" t="str">
        <f>IF(AS1206="","",IF(OR(AU1206="",AU1206="-"),"－",IF(OR(AZ1206=8,AZ1206=9),"",IF(OR(AW1206=3,AW1206=4,AW1206=5,AW1206=6),VLOOKUP(AU1206,INDEX((係数_バス貨物_ガソリン,係数_バス貨物_CNG,係数_バス貨物_軽油,係数_バス貨物_メタノール,係数_バス貨物_LPG),MATCH(AY1206,【参考】排出係数!$AI$4:$AI$671,1),1,BE1206):INDEX((係数_バス貨物_ガソリン,係数_バス貨物_CNG,係数_バス貨物_軽油,係数_バス貨物_メタノール,係数_バス貨物_LPG),MATCH(AY1206+1,【参考】排出係数!$AI$4:$AI$671,1)-1,5,BE1206),2,FALSE),IF(OR(AW1206=1,AW1206=2),VLOOKUP(AU1206,INDEX((係数_乗用_ガソリン,係数_乗用_CNG,係数_乗用_軽油,係数_乗用_メタノール,係数_乗用_LPG),1,1,BE1206):INDEX((係数_乗用_ガソリン,係数_乗用_CNG,係数_乗用_軽油,係数_乗用_メタノール,係数_乗用_LPG),125,5,BE1206),2,FALSE))))))</f>
        <v/>
      </c>
      <c r="BB1206" s="468" t="str">
        <f>IF(T1206="","",IF(OR(AU1206="",AU1206="-"),"－",IF(OR(AZ1206=8,AZ1206=9),"",IF(OR(AW1206=3,AW1206=4,AW1206=5,AW1206=6),VLOOKUP(AU1206,INDEX((係数_バス貨物_ガソリン,係数_バス貨物_CNG,係数_バス貨物_軽油,係数_バス貨物_メタノール,係数_バス貨物_LPG),MATCH(AY1206,【参考】排出係数!$AI$4:$AI$671,1),1,BE1206):INDEX((係数_バス貨物_ガソリン,係数_バス貨物_CNG,係数_バス貨物_軽油,係数_バス貨物_メタノール,係数_バス貨物_LPG),MATCH(AY1206+1,【参考】排出係数!$AI$4:$AI$671,1)-1,5,BE1206),3,FALSE),IF(OR(AW1206=1,AW1206=2),VLOOKUP(AU1206,INDEX((係数_乗用_ガソリン,係数_乗用_CNG,係数_乗用_軽油,係数_乗用_メタノール,係数_乗用_LPG),1,1,BE1206):INDEX((係数_乗用_ガソリン,係数_乗用_CNG,係数_乗用_軽油,係数_乗用_メタノール,係数_乗用_LPG),125,5,BE1206),3,FALSE))))))</f>
        <v/>
      </c>
      <c r="BC1206" s="467" t="str">
        <f t="shared" si="672"/>
        <v/>
      </c>
      <c r="BD1206" s="567" t="str">
        <f t="shared" si="673"/>
        <v/>
      </c>
      <c r="BE1206" s="467" t="str">
        <f t="shared" si="674"/>
        <v/>
      </c>
      <c r="BF1206" s="469" t="str">
        <f t="shared" ca="1" si="675"/>
        <v/>
      </c>
      <c r="BG1206" s="469" t="str">
        <f t="shared" ca="1" si="676"/>
        <v/>
      </c>
      <c r="BH1206" s="467" t="str">
        <f t="shared" si="677"/>
        <v/>
      </c>
      <c r="BI1206" s="467" t="str">
        <f t="shared" ca="1" si="678"/>
        <v/>
      </c>
      <c r="BJ1206" s="469" t="str">
        <f t="shared" si="679"/>
        <v/>
      </c>
      <c r="BK1206" s="470" t="str">
        <f t="shared" si="663"/>
        <v/>
      </c>
      <c r="BL1206" s="775" t="str">
        <f t="shared" si="680"/>
        <v/>
      </c>
      <c r="BM1206" s="775" t="str">
        <f t="shared" si="681"/>
        <v/>
      </c>
    </row>
    <row r="1207" spans="1:65">
      <c r="A1207" s="473">
        <v>1151</v>
      </c>
      <c r="B1207" s="132"/>
      <c r="C1207" s="332"/>
      <c r="D1207" s="333"/>
      <c r="E1207" s="333"/>
      <c r="F1207" s="334"/>
      <c r="G1207" s="337"/>
      <c r="H1207" s="131"/>
      <c r="I1207" s="337"/>
      <c r="J1207" s="131"/>
      <c r="K1207" s="458" t="str">
        <f t="shared" si="682"/>
        <v/>
      </c>
      <c r="L1207" s="458">
        <f t="shared" si="683"/>
        <v>0</v>
      </c>
      <c r="M1207" s="458">
        <f t="shared" si="684"/>
        <v>0</v>
      </c>
      <c r="N1207" s="459" t="str">
        <f t="shared" ref="N1207:N1270" si="695">IF(OR($L1207&gt;$U$48,$M1207&gt;$U$48,AND($L1207&gt;$M1207,$M1207&lt;&gt;0),AND($L1207=0,$M1207&lt;&gt;0)),"ERROR","")</f>
        <v/>
      </c>
      <c r="O1207" s="459" t="str">
        <f t="shared" ref="O1207:O1270" si="696">IF(AND($N1207&lt;&gt;"ERROR",$L1207&lt;=$U$49,$M1207&lt;=$U$49,$M1207&lt;&gt;0),"(減車済)","")</f>
        <v/>
      </c>
      <c r="P1207" s="459" t="str">
        <f t="shared" ref="P1207:P1270" si="697">IF(AND($N1207&lt;&gt;"ERROR",$L1207&lt;$U$49,AND($M1207&gt;$U$49,$M1207&lt;=$W$49),$M1207&lt;&gt;0),"減車","")</f>
        <v/>
      </c>
      <c r="Q1207" s="459" t="str">
        <f t="shared" ref="Q1207:Q1270" si="698">IF(AND($N1207&lt;&gt;"ERROR",$L1207&gt;$U$49,$M1207&lt;=$W$49,$M1207&lt;&gt;0),"一時使用","")</f>
        <v/>
      </c>
      <c r="R1207" s="459" t="str">
        <f t="shared" ref="R1207:R1270" si="699">IF(AND($N1207&lt;&gt;"ERROR",AND($L1207&gt;0,$L1207&lt;=$U$49),$M1207=0),"継続","")</f>
        <v/>
      </c>
      <c r="S1207" s="459" t="str">
        <f t="shared" ref="S1207:S1270" si="700">IF(AND($N1207&lt;&gt;"ERROR",AND($L1207&gt;$U$49),$M1207=0),"新規","")</f>
        <v/>
      </c>
      <c r="T1207" s="566" t="str">
        <f t="shared" si="685"/>
        <v/>
      </c>
      <c r="U1207" s="702"/>
      <c r="V1207" s="132"/>
      <c r="W1207" s="133"/>
      <c r="X1207" s="134"/>
      <c r="Y1207" s="135"/>
      <c r="Z1207" s="137"/>
      <c r="AA1207" s="136"/>
      <c r="AB1207" s="566" t="str">
        <f t="shared" si="686"/>
        <v/>
      </c>
      <c r="AC1207" s="568" t="str">
        <f t="shared" si="687"/>
        <v/>
      </c>
      <c r="AD1207" s="137"/>
      <c r="AE1207" s="137"/>
      <c r="AF1207" s="138"/>
      <c r="AG1207" s="138"/>
      <c r="AH1207" s="592" t="str">
        <f t="shared" si="688"/>
        <v/>
      </c>
      <c r="AI1207" s="592" t="str">
        <f t="shared" si="689"/>
        <v/>
      </c>
      <c r="AJ1207" s="592" t="str">
        <f t="shared" si="690"/>
        <v/>
      </c>
      <c r="AK1207" s="460" t="str">
        <f>IF(AU1207="","",IF(OR(AZ1207=8,AZ1207=9),0,IF(OR(AW1207=3,AW1207=4,AW1207=5,AW1207=6),IF(LEFT(BF1207,1)="1",INDEX(係数_NOX・PM低減,MATCH(AY1207,【参考】排出係数!$AI$801:$AI$804,1),1),VLOOKUP(AU1207,INDEX((係数_バス貨物_ガソリン,係数_バス貨物_CNG,係数_バス貨物_軽油,係数_バス貨物_メタノール,係数_バス貨物_LPG),MATCH(AY1207,【参考】排出係数!$AI$4:$AI$671,1),1,BE1207):INDEX((係数_バス貨物_ガソリン,係数_バス貨物_CNG,係数_バス貨物_軽油,係数_バス貨物_メタノール,係数_バス貨物_LPG),MATCH(AY1207+1,【参考】排出係数!$AI$4:$AI$671,1)-1,5,BE1207),4,FALSE)),IF(AND(BE1207=3,LEFT(BF1207,1)="1"),0.48,VLOOKUP(AU1207,INDEX((係数_乗用_ガソリン,係数_乗用_CNG,係数_乗用_軽油,係数_乗用_メタノール,係数_乗用_LPG),1,1,BE1207):INDEX((係数_乗用_ガソリン,係数_乗用_CNG,係数_乗用_軽油,係数_乗用_メタノール,係数_乗用_LPG),125,5,BE1207),4,FALSE)))))</f>
        <v/>
      </c>
      <c r="AL1207" s="461" t="str">
        <f t="shared" si="691"/>
        <v/>
      </c>
      <c r="AM1207" s="460" t="str">
        <f>IF(AU1207="","",IF(OR(AZ1207=8,AZ1207=9),0,IF(OR(AW1207=3,AW1207=4,AW1207=5,AW1207=6),IF(LEFT(BH1207,1)="1",INDEX(係数_PM低減,MATCH(AY1207,【参考】排出係数!$AI$801:$AI$804,1),MATCH(BI1207,【参考】排出係数!$AL$798:$AO$798,1)),VLOOKUP(AU1207,INDEX((係数_バス貨物_ガソリン,係数_バス貨物_CNG,係数_バス貨物_軽油,係数_バス貨物_メタノール,係数_バス貨物_LPG),MATCH(AY1207,【参考】排出係数!$AI$4:$AI$671,1),1,BE1207):INDEX((係数_バス貨物_ガソリン,係数_バス貨物_CNG,係数_バス貨物_軽油,係数_バス貨物_メタノール,係数_バス貨物_LPG),MATCH(AY1207+1,【参考】排出係数!$AI$4:$AI$671,1)-1,5,BE1207),5,FALSE)),IF(AND(BE1207=3,LEFT(BF1207,1)="1"),0.055,VLOOKUP(AU1207,INDEX((係数_乗用_ガソリン,係数_乗用_CNG,係数_乗用_軽油,係数_乗用_メタノール,係数_乗用_LPG),1,1,BE1207):INDEX((係数_乗用_ガソリン,係数_乗用_CNG,係数_乗用_軽油,係数_乗用_メタノール,係数_乗用_LPG),125,5,BE1207),5,FALSE)))))</f>
        <v/>
      </c>
      <c r="AN1207" s="461" t="str">
        <f t="shared" si="692"/>
        <v/>
      </c>
      <c r="AO1207" s="462" t="str">
        <f t="shared" si="693"/>
        <v/>
      </c>
      <c r="AP1207" s="463" t="str">
        <f t="shared" si="694"/>
        <v/>
      </c>
      <c r="AQ1207" s="464"/>
      <c r="AR1207" s="619"/>
      <c r="AS1207" s="465" t="str">
        <f t="shared" si="664"/>
        <v/>
      </c>
      <c r="AT1207" s="465" t="str">
        <f t="shared" si="665"/>
        <v/>
      </c>
      <c r="AU1207" s="466" t="str">
        <f t="shared" si="666"/>
        <v/>
      </c>
      <c r="AV1207" s="467" t="str">
        <f t="shared" si="667"/>
        <v/>
      </c>
      <c r="AW1207" s="467" t="str">
        <f t="shared" si="668"/>
        <v/>
      </c>
      <c r="AX1207" s="467" t="str">
        <f t="shared" si="669"/>
        <v/>
      </c>
      <c r="AY1207" s="467" t="str">
        <f t="shared" si="670"/>
        <v/>
      </c>
      <c r="AZ1207" s="467" t="str">
        <f t="shared" si="671"/>
        <v/>
      </c>
      <c r="BA1207" s="468" t="str">
        <f>IF(AS1207="","",IF(OR(AU1207="",AU1207="-"),"－",IF(OR(AZ1207=8,AZ1207=9),"",IF(OR(AW1207=3,AW1207=4,AW1207=5,AW1207=6),VLOOKUP(AU1207,INDEX((係数_バス貨物_ガソリン,係数_バス貨物_CNG,係数_バス貨物_軽油,係数_バス貨物_メタノール,係数_バス貨物_LPG),MATCH(AY1207,【参考】排出係数!$AI$4:$AI$671,1),1,BE1207):INDEX((係数_バス貨物_ガソリン,係数_バス貨物_CNG,係数_バス貨物_軽油,係数_バス貨物_メタノール,係数_バス貨物_LPG),MATCH(AY1207+1,【参考】排出係数!$AI$4:$AI$671,1)-1,5,BE1207),2,FALSE),IF(OR(AW1207=1,AW1207=2),VLOOKUP(AU1207,INDEX((係数_乗用_ガソリン,係数_乗用_CNG,係数_乗用_軽油,係数_乗用_メタノール,係数_乗用_LPG),1,1,BE1207):INDEX((係数_乗用_ガソリン,係数_乗用_CNG,係数_乗用_軽油,係数_乗用_メタノール,係数_乗用_LPG),125,5,BE1207),2,FALSE))))))</f>
        <v/>
      </c>
      <c r="BB1207" s="468" t="str">
        <f>IF(T1207="","",IF(OR(AU1207="",AU1207="-"),"－",IF(OR(AZ1207=8,AZ1207=9),"",IF(OR(AW1207=3,AW1207=4,AW1207=5,AW1207=6),VLOOKUP(AU1207,INDEX((係数_バス貨物_ガソリン,係数_バス貨物_CNG,係数_バス貨物_軽油,係数_バス貨物_メタノール,係数_バス貨物_LPG),MATCH(AY1207,【参考】排出係数!$AI$4:$AI$671,1),1,BE1207):INDEX((係数_バス貨物_ガソリン,係数_バス貨物_CNG,係数_バス貨物_軽油,係数_バス貨物_メタノール,係数_バス貨物_LPG),MATCH(AY1207+1,【参考】排出係数!$AI$4:$AI$671,1)-1,5,BE1207),3,FALSE),IF(OR(AW1207=1,AW1207=2),VLOOKUP(AU1207,INDEX((係数_乗用_ガソリン,係数_乗用_CNG,係数_乗用_軽油,係数_乗用_メタノール,係数_乗用_LPG),1,1,BE1207):INDEX((係数_乗用_ガソリン,係数_乗用_CNG,係数_乗用_軽油,係数_乗用_メタノール,係数_乗用_LPG),125,5,BE1207),3,FALSE))))))</f>
        <v/>
      </c>
      <c r="BC1207" s="467" t="str">
        <f t="shared" si="672"/>
        <v/>
      </c>
      <c r="BD1207" s="567" t="str">
        <f t="shared" si="673"/>
        <v/>
      </c>
      <c r="BE1207" s="467" t="str">
        <f t="shared" si="674"/>
        <v/>
      </c>
      <c r="BF1207" s="469" t="str">
        <f t="shared" ca="1" si="675"/>
        <v/>
      </c>
      <c r="BG1207" s="469" t="str">
        <f t="shared" ca="1" si="676"/>
        <v/>
      </c>
      <c r="BH1207" s="467" t="str">
        <f t="shared" si="677"/>
        <v/>
      </c>
      <c r="BI1207" s="467" t="str">
        <f t="shared" ca="1" si="678"/>
        <v/>
      </c>
      <c r="BJ1207" s="469" t="str">
        <f t="shared" si="679"/>
        <v/>
      </c>
      <c r="BK1207" s="470" t="str">
        <f t="shared" si="663"/>
        <v/>
      </c>
      <c r="BL1207" s="775" t="str">
        <f t="shared" si="680"/>
        <v/>
      </c>
      <c r="BM1207" s="775" t="str">
        <f t="shared" si="681"/>
        <v/>
      </c>
    </row>
    <row r="1208" spans="1:65">
      <c r="A1208" s="473">
        <v>1152</v>
      </c>
      <c r="B1208" s="132"/>
      <c r="C1208" s="332"/>
      <c r="D1208" s="333"/>
      <c r="E1208" s="333"/>
      <c r="F1208" s="334"/>
      <c r="G1208" s="337"/>
      <c r="H1208" s="131"/>
      <c r="I1208" s="337"/>
      <c r="J1208" s="131"/>
      <c r="K1208" s="458" t="str">
        <f t="shared" si="682"/>
        <v/>
      </c>
      <c r="L1208" s="458">
        <f t="shared" si="683"/>
        <v>0</v>
      </c>
      <c r="M1208" s="458">
        <f t="shared" si="684"/>
        <v>0</v>
      </c>
      <c r="N1208" s="459" t="str">
        <f t="shared" si="695"/>
        <v/>
      </c>
      <c r="O1208" s="459" t="str">
        <f t="shared" si="696"/>
        <v/>
      </c>
      <c r="P1208" s="459" t="str">
        <f t="shared" si="697"/>
        <v/>
      </c>
      <c r="Q1208" s="459" t="str">
        <f t="shared" si="698"/>
        <v/>
      </c>
      <c r="R1208" s="459" t="str">
        <f t="shared" si="699"/>
        <v/>
      </c>
      <c r="S1208" s="459" t="str">
        <f t="shared" si="700"/>
        <v/>
      </c>
      <c r="T1208" s="566" t="str">
        <f t="shared" si="685"/>
        <v/>
      </c>
      <c r="U1208" s="702"/>
      <c r="V1208" s="132"/>
      <c r="W1208" s="133"/>
      <c r="X1208" s="134"/>
      <c r="Y1208" s="135"/>
      <c r="Z1208" s="137"/>
      <c r="AA1208" s="136"/>
      <c r="AB1208" s="566" t="str">
        <f t="shared" si="686"/>
        <v/>
      </c>
      <c r="AC1208" s="568" t="str">
        <f t="shared" si="687"/>
        <v/>
      </c>
      <c r="AD1208" s="137"/>
      <c r="AE1208" s="137"/>
      <c r="AF1208" s="138"/>
      <c r="AG1208" s="138"/>
      <c r="AH1208" s="592" t="str">
        <f t="shared" si="688"/>
        <v/>
      </c>
      <c r="AI1208" s="592" t="str">
        <f t="shared" si="689"/>
        <v/>
      </c>
      <c r="AJ1208" s="592" t="str">
        <f t="shared" si="690"/>
        <v/>
      </c>
      <c r="AK1208" s="460" t="str">
        <f>IF(AU1208="","",IF(OR(AZ1208=8,AZ1208=9),0,IF(OR(AW1208=3,AW1208=4,AW1208=5,AW1208=6),IF(LEFT(BF1208,1)="1",INDEX(係数_NOX・PM低減,MATCH(AY1208,【参考】排出係数!$AI$801:$AI$804,1),1),VLOOKUP(AU1208,INDEX((係数_バス貨物_ガソリン,係数_バス貨物_CNG,係数_バス貨物_軽油,係数_バス貨物_メタノール,係数_バス貨物_LPG),MATCH(AY1208,【参考】排出係数!$AI$4:$AI$671,1),1,BE1208):INDEX((係数_バス貨物_ガソリン,係数_バス貨物_CNG,係数_バス貨物_軽油,係数_バス貨物_メタノール,係数_バス貨物_LPG),MATCH(AY1208+1,【参考】排出係数!$AI$4:$AI$671,1)-1,5,BE1208),4,FALSE)),IF(AND(BE1208=3,LEFT(BF1208,1)="1"),0.48,VLOOKUP(AU1208,INDEX((係数_乗用_ガソリン,係数_乗用_CNG,係数_乗用_軽油,係数_乗用_メタノール,係数_乗用_LPG),1,1,BE1208):INDEX((係数_乗用_ガソリン,係数_乗用_CNG,係数_乗用_軽油,係数_乗用_メタノール,係数_乗用_LPG),125,5,BE1208),4,FALSE)))))</f>
        <v/>
      </c>
      <c r="AL1208" s="461" t="str">
        <f t="shared" si="691"/>
        <v/>
      </c>
      <c r="AM1208" s="460" t="str">
        <f>IF(AU1208="","",IF(OR(AZ1208=8,AZ1208=9),0,IF(OR(AW1208=3,AW1208=4,AW1208=5,AW1208=6),IF(LEFT(BH1208,1)="1",INDEX(係数_PM低減,MATCH(AY1208,【参考】排出係数!$AI$801:$AI$804,1),MATCH(BI1208,【参考】排出係数!$AL$798:$AO$798,1)),VLOOKUP(AU1208,INDEX((係数_バス貨物_ガソリン,係数_バス貨物_CNG,係数_バス貨物_軽油,係数_バス貨物_メタノール,係数_バス貨物_LPG),MATCH(AY1208,【参考】排出係数!$AI$4:$AI$671,1),1,BE1208):INDEX((係数_バス貨物_ガソリン,係数_バス貨物_CNG,係数_バス貨物_軽油,係数_バス貨物_メタノール,係数_バス貨物_LPG),MATCH(AY1208+1,【参考】排出係数!$AI$4:$AI$671,1)-1,5,BE1208),5,FALSE)),IF(AND(BE1208=3,LEFT(BF1208,1)="1"),0.055,VLOOKUP(AU1208,INDEX((係数_乗用_ガソリン,係数_乗用_CNG,係数_乗用_軽油,係数_乗用_メタノール,係数_乗用_LPG),1,1,BE1208):INDEX((係数_乗用_ガソリン,係数_乗用_CNG,係数_乗用_軽油,係数_乗用_メタノール,係数_乗用_LPG),125,5,BE1208),5,FALSE)))))</f>
        <v/>
      </c>
      <c r="AN1208" s="461" t="str">
        <f t="shared" si="692"/>
        <v/>
      </c>
      <c r="AO1208" s="462" t="str">
        <f t="shared" si="693"/>
        <v/>
      </c>
      <c r="AP1208" s="463" t="str">
        <f t="shared" si="694"/>
        <v/>
      </c>
      <c r="AQ1208" s="464"/>
      <c r="AR1208" s="619"/>
      <c r="AS1208" s="465" t="str">
        <f t="shared" si="664"/>
        <v/>
      </c>
      <c r="AT1208" s="465" t="str">
        <f t="shared" si="665"/>
        <v/>
      </c>
      <c r="AU1208" s="466" t="str">
        <f t="shared" si="666"/>
        <v/>
      </c>
      <c r="AV1208" s="467" t="str">
        <f t="shared" si="667"/>
        <v/>
      </c>
      <c r="AW1208" s="467" t="str">
        <f t="shared" si="668"/>
        <v/>
      </c>
      <c r="AX1208" s="467" t="str">
        <f t="shared" si="669"/>
        <v/>
      </c>
      <c r="AY1208" s="467" t="str">
        <f t="shared" si="670"/>
        <v/>
      </c>
      <c r="AZ1208" s="467" t="str">
        <f t="shared" si="671"/>
        <v/>
      </c>
      <c r="BA1208" s="468" t="str">
        <f>IF(AS1208="","",IF(OR(AU1208="",AU1208="-"),"－",IF(OR(AZ1208=8,AZ1208=9),"",IF(OR(AW1208=3,AW1208=4,AW1208=5,AW1208=6),VLOOKUP(AU1208,INDEX((係数_バス貨物_ガソリン,係数_バス貨物_CNG,係数_バス貨物_軽油,係数_バス貨物_メタノール,係数_バス貨物_LPG),MATCH(AY1208,【参考】排出係数!$AI$4:$AI$671,1),1,BE1208):INDEX((係数_バス貨物_ガソリン,係数_バス貨物_CNG,係数_バス貨物_軽油,係数_バス貨物_メタノール,係数_バス貨物_LPG),MATCH(AY1208+1,【参考】排出係数!$AI$4:$AI$671,1)-1,5,BE1208),2,FALSE),IF(OR(AW1208=1,AW1208=2),VLOOKUP(AU1208,INDEX((係数_乗用_ガソリン,係数_乗用_CNG,係数_乗用_軽油,係数_乗用_メタノール,係数_乗用_LPG),1,1,BE1208):INDEX((係数_乗用_ガソリン,係数_乗用_CNG,係数_乗用_軽油,係数_乗用_メタノール,係数_乗用_LPG),125,5,BE1208),2,FALSE))))))</f>
        <v/>
      </c>
      <c r="BB1208" s="468" t="str">
        <f>IF(T1208="","",IF(OR(AU1208="",AU1208="-"),"－",IF(OR(AZ1208=8,AZ1208=9),"",IF(OR(AW1208=3,AW1208=4,AW1208=5,AW1208=6),VLOOKUP(AU1208,INDEX((係数_バス貨物_ガソリン,係数_バス貨物_CNG,係数_バス貨物_軽油,係数_バス貨物_メタノール,係数_バス貨物_LPG),MATCH(AY1208,【参考】排出係数!$AI$4:$AI$671,1),1,BE1208):INDEX((係数_バス貨物_ガソリン,係数_バス貨物_CNG,係数_バス貨物_軽油,係数_バス貨物_メタノール,係数_バス貨物_LPG),MATCH(AY1208+1,【参考】排出係数!$AI$4:$AI$671,1)-1,5,BE1208),3,FALSE),IF(OR(AW1208=1,AW1208=2),VLOOKUP(AU1208,INDEX((係数_乗用_ガソリン,係数_乗用_CNG,係数_乗用_軽油,係数_乗用_メタノール,係数_乗用_LPG),1,1,BE1208):INDEX((係数_乗用_ガソリン,係数_乗用_CNG,係数_乗用_軽油,係数_乗用_メタノール,係数_乗用_LPG),125,5,BE1208),3,FALSE))))))</f>
        <v/>
      </c>
      <c r="BC1208" s="467" t="str">
        <f t="shared" si="672"/>
        <v/>
      </c>
      <c r="BD1208" s="567" t="str">
        <f t="shared" si="673"/>
        <v/>
      </c>
      <c r="BE1208" s="467" t="str">
        <f t="shared" si="674"/>
        <v/>
      </c>
      <c r="BF1208" s="469" t="str">
        <f t="shared" ca="1" si="675"/>
        <v/>
      </c>
      <c r="BG1208" s="469" t="str">
        <f t="shared" ca="1" si="676"/>
        <v/>
      </c>
      <c r="BH1208" s="467" t="str">
        <f t="shared" si="677"/>
        <v/>
      </c>
      <c r="BI1208" s="467" t="str">
        <f t="shared" ca="1" si="678"/>
        <v/>
      </c>
      <c r="BJ1208" s="469" t="str">
        <f t="shared" si="679"/>
        <v/>
      </c>
      <c r="BK1208" s="470" t="str">
        <f t="shared" si="663"/>
        <v/>
      </c>
      <c r="BL1208" s="775" t="str">
        <f t="shared" si="680"/>
        <v/>
      </c>
      <c r="BM1208" s="775" t="str">
        <f t="shared" si="681"/>
        <v/>
      </c>
    </row>
    <row r="1209" spans="1:65">
      <c r="A1209" s="473">
        <v>1153</v>
      </c>
      <c r="B1209" s="132"/>
      <c r="C1209" s="332"/>
      <c r="D1209" s="333"/>
      <c r="E1209" s="333"/>
      <c r="F1209" s="334"/>
      <c r="G1209" s="337"/>
      <c r="H1209" s="131"/>
      <c r="I1209" s="337"/>
      <c r="J1209" s="131"/>
      <c r="K1209" s="458" t="str">
        <f t="shared" si="682"/>
        <v/>
      </c>
      <c r="L1209" s="458">
        <f t="shared" si="683"/>
        <v>0</v>
      </c>
      <c r="M1209" s="458">
        <f t="shared" si="684"/>
        <v>0</v>
      </c>
      <c r="N1209" s="459" t="str">
        <f t="shared" si="695"/>
        <v/>
      </c>
      <c r="O1209" s="459" t="str">
        <f t="shared" si="696"/>
        <v/>
      </c>
      <c r="P1209" s="459" t="str">
        <f t="shared" si="697"/>
        <v/>
      </c>
      <c r="Q1209" s="459" t="str">
        <f t="shared" si="698"/>
        <v/>
      </c>
      <c r="R1209" s="459" t="str">
        <f t="shared" si="699"/>
        <v/>
      </c>
      <c r="S1209" s="459" t="str">
        <f t="shared" si="700"/>
        <v/>
      </c>
      <c r="T1209" s="566" t="str">
        <f t="shared" si="685"/>
        <v/>
      </c>
      <c r="U1209" s="702"/>
      <c r="V1209" s="132"/>
      <c r="W1209" s="133"/>
      <c r="X1209" s="134"/>
      <c r="Y1209" s="135"/>
      <c r="Z1209" s="137"/>
      <c r="AA1209" s="136"/>
      <c r="AB1209" s="566" t="str">
        <f t="shared" si="686"/>
        <v/>
      </c>
      <c r="AC1209" s="568" t="str">
        <f t="shared" si="687"/>
        <v/>
      </c>
      <c r="AD1209" s="137"/>
      <c r="AE1209" s="137"/>
      <c r="AF1209" s="138"/>
      <c r="AG1209" s="138"/>
      <c r="AH1209" s="592" t="str">
        <f t="shared" si="688"/>
        <v/>
      </c>
      <c r="AI1209" s="592" t="str">
        <f t="shared" si="689"/>
        <v/>
      </c>
      <c r="AJ1209" s="592" t="str">
        <f t="shared" si="690"/>
        <v/>
      </c>
      <c r="AK1209" s="460" t="str">
        <f>IF(AU1209="","",IF(OR(AZ1209=8,AZ1209=9),0,IF(OR(AW1209=3,AW1209=4,AW1209=5,AW1209=6),IF(LEFT(BF1209,1)="1",INDEX(係数_NOX・PM低減,MATCH(AY1209,【参考】排出係数!$AI$801:$AI$804,1),1),VLOOKUP(AU1209,INDEX((係数_バス貨物_ガソリン,係数_バス貨物_CNG,係数_バス貨物_軽油,係数_バス貨物_メタノール,係数_バス貨物_LPG),MATCH(AY1209,【参考】排出係数!$AI$4:$AI$671,1),1,BE1209):INDEX((係数_バス貨物_ガソリン,係数_バス貨物_CNG,係数_バス貨物_軽油,係数_バス貨物_メタノール,係数_バス貨物_LPG),MATCH(AY1209+1,【参考】排出係数!$AI$4:$AI$671,1)-1,5,BE1209),4,FALSE)),IF(AND(BE1209=3,LEFT(BF1209,1)="1"),0.48,VLOOKUP(AU1209,INDEX((係数_乗用_ガソリン,係数_乗用_CNG,係数_乗用_軽油,係数_乗用_メタノール,係数_乗用_LPG),1,1,BE1209):INDEX((係数_乗用_ガソリン,係数_乗用_CNG,係数_乗用_軽油,係数_乗用_メタノール,係数_乗用_LPG),125,5,BE1209),4,FALSE)))))</f>
        <v/>
      </c>
      <c r="AL1209" s="461" t="str">
        <f t="shared" si="691"/>
        <v/>
      </c>
      <c r="AM1209" s="460" t="str">
        <f>IF(AU1209="","",IF(OR(AZ1209=8,AZ1209=9),0,IF(OR(AW1209=3,AW1209=4,AW1209=5,AW1209=6),IF(LEFT(BH1209,1)="1",INDEX(係数_PM低減,MATCH(AY1209,【参考】排出係数!$AI$801:$AI$804,1),MATCH(BI1209,【参考】排出係数!$AL$798:$AO$798,1)),VLOOKUP(AU1209,INDEX((係数_バス貨物_ガソリン,係数_バス貨物_CNG,係数_バス貨物_軽油,係数_バス貨物_メタノール,係数_バス貨物_LPG),MATCH(AY1209,【参考】排出係数!$AI$4:$AI$671,1),1,BE1209):INDEX((係数_バス貨物_ガソリン,係数_バス貨物_CNG,係数_バス貨物_軽油,係数_バス貨物_メタノール,係数_バス貨物_LPG),MATCH(AY1209+1,【参考】排出係数!$AI$4:$AI$671,1)-1,5,BE1209),5,FALSE)),IF(AND(BE1209=3,LEFT(BF1209,1)="1"),0.055,VLOOKUP(AU1209,INDEX((係数_乗用_ガソリン,係数_乗用_CNG,係数_乗用_軽油,係数_乗用_メタノール,係数_乗用_LPG),1,1,BE1209):INDEX((係数_乗用_ガソリン,係数_乗用_CNG,係数_乗用_軽油,係数_乗用_メタノール,係数_乗用_LPG),125,5,BE1209),5,FALSE)))))</f>
        <v/>
      </c>
      <c r="AN1209" s="461" t="str">
        <f t="shared" si="692"/>
        <v/>
      </c>
      <c r="AO1209" s="462" t="str">
        <f t="shared" si="693"/>
        <v/>
      </c>
      <c r="AP1209" s="463" t="str">
        <f t="shared" si="694"/>
        <v/>
      </c>
      <c r="AQ1209" s="464"/>
      <c r="AR1209" s="619"/>
      <c r="AS1209" s="465" t="str">
        <f t="shared" si="664"/>
        <v/>
      </c>
      <c r="AT1209" s="465" t="str">
        <f t="shared" si="665"/>
        <v/>
      </c>
      <c r="AU1209" s="466" t="str">
        <f t="shared" si="666"/>
        <v/>
      </c>
      <c r="AV1209" s="467" t="str">
        <f t="shared" si="667"/>
        <v/>
      </c>
      <c r="AW1209" s="467" t="str">
        <f t="shared" si="668"/>
        <v/>
      </c>
      <c r="AX1209" s="467" t="str">
        <f t="shared" si="669"/>
        <v/>
      </c>
      <c r="AY1209" s="467" t="str">
        <f t="shared" si="670"/>
        <v/>
      </c>
      <c r="AZ1209" s="467" t="str">
        <f t="shared" si="671"/>
        <v/>
      </c>
      <c r="BA1209" s="468" t="str">
        <f>IF(AS1209="","",IF(OR(AU1209="",AU1209="-"),"－",IF(OR(AZ1209=8,AZ1209=9),"",IF(OR(AW1209=3,AW1209=4,AW1209=5,AW1209=6),VLOOKUP(AU1209,INDEX((係数_バス貨物_ガソリン,係数_バス貨物_CNG,係数_バス貨物_軽油,係数_バス貨物_メタノール,係数_バス貨物_LPG),MATCH(AY1209,【参考】排出係数!$AI$4:$AI$671,1),1,BE1209):INDEX((係数_バス貨物_ガソリン,係数_バス貨物_CNG,係数_バス貨物_軽油,係数_バス貨物_メタノール,係数_バス貨物_LPG),MATCH(AY1209+1,【参考】排出係数!$AI$4:$AI$671,1)-1,5,BE1209),2,FALSE),IF(OR(AW1209=1,AW1209=2),VLOOKUP(AU1209,INDEX((係数_乗用_ガソリン,係数_乗用_CNG,係数_乗用_軽油,係数_乗用_メタノール,係数_乗用_LPG),1,1,BE1209):INDEX((係数_乗用_ガソリン,係数_乗用_CNG,係数_乗用_軽油,係数_乗用_メタノール,係数_乗用_LPG),125,5,BE1209),2,FALSE))))))</f>
        <v/>
      </c>
      <c r="BB1209" s="468" t="str">
        <f>IF(T1209="","",IF(OR(AU1209="",AU1209="-"),"－",IF(OR(AZ1209=8,AZ1209=9),"",IF(OR(AW1209=3,AW1209=4,AW1209=5,AW1209=6),VLOOKUP(AU1209,INDEX((係数_バス貨物_ガソリン,係数_バス貨物_CNG,係数_バス貨物_軽油,係数_バス貨物_メタノール,係数_バス貨物_LPG),MATCH(AY1209,【参考】排出係数!$AI$4:$AI$671,1),1,BE1209):INDEX((係数_バス貨物_ガソリン,係数_バス貨物_CNG,係数_バス貨物_軽油,係数_バス貨物_メタノール,係数_バス貨物_LPG),MATCH(AY1209+1,【参考】排出係数!$AI$4:$AI$671,1)-1,5,BE1209),3,FALSE),IF(OR(AW1209=1,AW1209=2),VLOOKUP(AU1209,INDEX((係数_乗用_ガソリン,係数_乗用_CNG,係数_乗用_軽油,係数_乗用_メタノール,係数_乗用_LPG),1,1,BE1209):INDEX((係数_乗用_ガソリン,係数_乗用_CNG,係数_乗用_軽油,係数_乗用_メタノール,係数_乗用_LPG),125,5,BE1209),3,FALSE))))))</f>
        <v/>
      </c>
      <c r="BC1209" s="467" t="str">
        <f t="shared" si="672"/>
        <v/>
      </c>
      <c r="BD1209" s="567" t="str">
        <f t="shared" si="673"/>
        <v/>
      </c>
      <c r="BE1209" s="467" t="str">
        <f t="shared" si="674"/>
        <v/>
      </c>
      <c r="BF1209" s="469" t="str">
        <f t="shared" ca="1" si="675"/>
        <v/>
      </c>
      <c r="BG1209" s="469" t="str">
        <f t="shared" ca="1" si="676"/>
        <v/>
      </c>
      <c r="BH1209" s="467" t="str">
        <f t="shared" si="677"/>
        <v/>
      </c>
      <c r="BI1209" s="467" t="str">
        <f t="shared" ca="1" si="678"/>
        <v/>
      </c>
      <c r="BJ1209" s="469" t="str">
        <f t="shared" si="679"/>
        <v/>
      </c>
      <c r="BK1209" s="470" t="str">
        <f t="shared" ref="BK1209:BK1272" si="701">IF(AS1209="","",VLOOKUP(T1209,車両の増減,2,FALSE))</f>
        <v/>
      </c>
      <c r="BL1209" s="775" t="str">
        <f t="shared" si="680"/>
        <v/>
      </c>
      <c r="BM1209" s="775" t="str">
        <f t="shared" si="681"/>
        <v/>
      </c>
    </row>
    <row r="1210" spans="1:65">
      <c r="A1210" s="473">
        <v>1154</v>
      </c>
      <c r="B1210" s="132"/>
      <c r="C1210" s="332"/>
      <c r="D1210" s="333"/>
      <c r="E1210" s="333"/>
      <c r="F1210" s="334"/>
      <c r="G1210" s="337"/>
      <c r="H1210" s="131"/>
      <c r="I1210" s="337"/>
      <c r="J1210" s="131"/>
      <c r="K1210" s="458" t="str">
        <f t="shared" si="682"/>
        <v/>
      </c>
      <c r="L1210" s="458">
        <f t="shared" si="683"/>
        <v>0</v>
      </c>
      <c r="M1210" s="458">
        <f t="shared" si="684"/>
        <v>0</v>
      </c>
      <c r="N1210" s="459" t="str">
        <f t="shared" si="695"/>
        <v/>
      </c>
      <c r="O1210" s="459" t="str">
        <f t="shared" si="696"/>
        <v/>
      </c>
      <c r="P1210" s="459" t="str">
        <f t="shared" si="697"/>
        <v/>
      </c>
      <c r="Q1210" s="459" t="str">
        <f t="shared" si="698"/>
        <v/>
      </c>
      <c r="R1210" s="459" t="str">
        <f t="shared" si="699"/>
        <v/>
      </c>
      <c r="S1210" s="459" t="str">
        <f t="shared" si="700"/>
        <v/>
      </c>
      <c r="T1210" s="566" t="str">
        <f t="shared" si="685"/>
        <v/>
      </c>
      <c r="U1210" s="702"/>
      <c r="V1210" s="132"/>
      <c r="W1210" s="133"/>
      <c r="X1210" s="134"/>
      <c r="Y1210" s="135"/>
      <c r="Z1210" s="137"/>
      <c r="AA1210" s="136"/>
      <c r="AB1210" s="566" t="str">
        <f t="shared" si="686"/>
        <v/>
      </c>
      <c r="AC1210" s="568" t="str">
        <f t="shared" si="687"/>
        <v/>
      </c>
      <c r="AD1210" s="137"/>
      <c r="AE1210" s="137"/>
      <c r="AF1210" s="138"/>
      <c r="AG1210" s="138"/>
      <c r="AH1210" s="592" t="str">
        <f t="shared" si="688"/>
        <v/>
      </c>
      <c r="AI1210" s="592" t="str">
        <f t="shared" si="689"/>
        <v/>
      </c>
      <c r="AJ1210" s="592" t="str">
        <f t="shared" si="690"/>
        <v/>
      </c>
      <c r="AK1210" s="460" t="str">
        <f>IF(AU1210="","",IF(OR(AZ1210=8,AZ1210=9),0,IF(OR(AW1210=3,AW1210=4,AW1210=5,AW1210=6),IF(LEFT(BF1210,1)="1",INDEX(係数_NOX・PM低減,MATCH(AY1210,【参考】排出係数!$AI$801:$AI$804,1),1),VLOOKUP(AU1210,INDEX((係数_バス貨物_ガソリン,係数_バス貨物_CNG,係数_バス貨物_軽油,係数_バス貨物_メタノール,係数_バス貨物_LPG),MATCH(AY1210,【参考】排出係数!$AI$4:$AI$671,1),1,BE1210):INDEX((係数_バス貨物_ガソリン,係数_バス貨物_CNG,係数_バス貨物_軽油,係数_バス貨物_メタノール,係数_バス貨物_LPG),MATCH(AY1210+1,【参考】排出係数!$AI$4:$AI$671,1)-1,5,BE1210),4,FALSE)),IF(AND(BE1210=3,LEFT(BF1210,1)="1"),0.48,VLOOKUP(AU1210,INDEX((係数_乗用_ガソリン,係数_乗用_CNG,係数_乗用_軽油,係数_乗用_メタノール,係数_乗用_LPG),1,1,BE1210):INDEX((係数_乗用_ガソリン,係数_乗用_CNG,係数_乗用_軽油,係数_乗用_メタノール,係数_乗用_LPG),125,5,BE1210),4,FALSE)))))</f>
        <v/>
      </c>
      <c r="AL1210" s="461" t="str">
        <f t="shared" si="691"/>
        <v/>
      </c>
      <c r="AM1210" s="460" t="str">
        <f>IF(AU1210="","",IF(OR(AZ1210=8,AZ1210=9),0,IF(OR(AW1210=3,AW1210=4,AW1210=5,AW1210=6),IF(LEFT(BH1210,1)="1",INDEX(係数_PM低減,MATCH(AY1210,【参考】排出係数!$AI$801:$AI$804,1),MATCH(BI1210,【参考】排出係数!$AL$798:$AO$798,1)),VLOOKUP(AU1210,INDEX((係数_バス貨物_ガソリン,係数_バス貨物_CNG,係数_バス貨物_軽油,係数_バス貨物_メタノール,係数_バス貨物_LPG),MATCH(AY1210,【参考】排出係数!$AI$4:$AI$671,1),1,BE1210):INDEX((係数_バス貨物_ガソリン,係数_バス貨物_CNG,係数_バス貨物_軽油,係数_バス貨物_メタノール,係数_バス貨物_LPG),MATCH(AY1210+1,【参考】排出係数!$AI$4:$AI$671,1)-1,5,BE1210),5,FALSE)),IF(AND(BE1210=3,LEFT(BF1210,1)="1"),0.055,VLOOKUP(AU1210,INDEX((係数_乗用_ガソリン,係数_乗用_CNG,係数_乗用_軽油,係数_乗用_メタノール,係数_乗用_LPG),1,1,BE1210):INDEX((係数_乗用_ガソリン,係数_乗用_CNG,係数_乗用_軽油,係数_乗用_メタノール,係数_乗用_LPG),125,5,BE1210),5,FALSE)))))</f>
        <v/>
      </c>
      <c r="AN1210" s="461" t="str">
        <f t="shared" si="692"/>
        <v/>
      </c>
      <c r="AO1210" s="462" t="str">
        <f t="shared" si="693"/>
        <v/>
      </c>
      <c r="AP1210" s="463" t="str">
        <f t="shared" si="694"/>
        <v/>
      </c>
      <c r="AQ1210" s="464"/>
      <c r="AR1210" s="619"/>
      <c r="AS1210" s="465" t="str">
        <f t="shared" ref="AS1210:AS1273" si="702">IF(OR(T1210="(減車済)",T1210=""),"",1)</f>
        <v/>
      </c>
      <c r="AT1210" s="465" t="str">
        <f t="shared" ref="AT1210:AT1273" si="703">IF(OR(T1210="継続",T1210="新規"),1,"")</f>
        <v/>
      </c>
      <c r="AU1210" s="466" t="str">
        <f t="shared" ref="AU1210:AU1273" si="704">IF(AS1210="","",UPPER(ASC(X1210)))</f>
        <v/>
      </c>
      <c r="AV1210" s="467" t="str">
        <f t="shared" ref="AV1210:AV1273" si="705">IF(AS1210="","",IF(V1210="","",IF(V1210="普通",1,IF(V1210="小型",2,0))))</f>
        <v/>
      </c>
      <c r="AW1210" s="467" t="str">
        <f t="shared" ref="AW1210:AW1273" si="706">IF(AS1210="","",IF(W1210="","",VLOOKUP(W1210,用途,2,FALSE)))</f>
        <v/>
      </c>
      <c r="AX1210" s="467" t="str">
        <f t="shared" ref="AX1210:AX1273" si="707">IF(AS1210="","",IF(Y1210="","",IF(Y1210&lt;=10,1,IF(Y1210&lt;30,2,IF(Y1210&gt;=30,3,0)))))</f>
        <v/>
      </c>
      <c r="AY1210" s="467" t="str">
        <f t="shared" ref="AY1210:AY1273" si="708">IF(AS1210="","",IF(Z1210="","",IF(Z1210&lt;=1.7*1000,1,IF(Z1210&lt;=2.5*1000,2,IF(Z1210&lt;=3.5*1000,3,IF(Z1210&lt;8*1000,4,IF(Z1210&gt;=8*1000,5,"")))))))</f>
        <v/>
      </c>
      <c r="AZ1210" s="467" t="str">
        <f t="shared" ref="AZ1210:AZ1273" si="709">IF(AS1210="","",IF(AA1210="","",VLOOKUP(AA1210,燃料の種類,2,FALSE)))</f>
        <v/>
      </c>
      <c r="BA1210" s="468" t="str">
        <f>IF(AS1210="","",IF(OR(AU1210="",AU1210="-"),"－",IF(OR(AZ1210=8,AZ1210=9),"",IF(OR(AW1210=3,AW1210=4,AW1210=5,AW1210=6),VLOOKUP(AU1210,INDEX((係数_バス貨物_ガソリン,係数_バス貨物_CNG,係数_バス貨物_軽油,係数_バス貨物_メタノール,係数_バス貨物_LPG),MATCH(AY1210,【参考】排出係数!$AI$4:$AI$671,1),1,BE1210):INDEX((係数_バス貨物_ガソリン,係数_バス貨物_CNG,係数_バス貨物_軽油,係数_バス貨物_メタノール,係数_バス貨物_LPG),MATCH(AY1210+1,【参考】排出係数!$AI$4:$AI$671,1)-1,5,BE1210),2,FALSE),IF(OR(AW1210=1,AW1210=2),VLOOKUP(AU1210,INDEX((係数_乗用_ガソリン,係数_乗用_CNG,係数_乗用_軽油,係数_乗用_メタノール,係数_乗用_LPG),1,1,BE1210):INDEX((係数_乗用_ガソリン,係数_乗用_CNG,係数_乗用_軽油,係数_乗用_メタノール,係数_乗用_LPG),125,5,BE1210),2,FALSE))))))</f>
        <v/>
      </c>
      <c r="BB1210" s="468" t="str">
        <f>IF(T1210="","",IF(OR(AU1210="",AU1210="-"),"－",IF(OR(AZ1210=8,AZ1210=9),"",IF(OR(AW1210=3,AW1210=4,AW1210=5,AW1210=6),VLOOKUP(AU1210,INDEX((係数_バス貨物_ガソリン,係数_バス貨物_CNG,係数_バス貨物_軽油,係数_バス貨物_メタノール,係数_バス貨物_LPG),MATCH(AY1210,【参考】排出係数!$AI$4:$AI$671,1),1,BE1210):INDEX((係数_バス貨物_ガソリン,係数_バス貨物_CNG,係数_バス貨物_軽油,係数_バス貨物_メタノール,係数_バス貨物_LPG),MATCH(AY1210+1,【参考】排出係数!$AI$4:$AI$671,1)-1,5,BE1210),3,FALSE),IF(OR(AW1210=1,AW1210=2),VLOOKUP(AU1210,INDEX((係数_乗用_ガソリン,係数_乗用_CNG,係数_乗用_軽油,係数_乗用_メタノール,係数_乗用_LPG),1,1,BE1210):INDEX((係数_乗用_ガソリン,係数_乗用_CNG,係数_乗用_軽油,係数_乗用_メタノール,係数_乗用_LPG),125,5,BE1210),3,FALSE))))))</f>
        <v/>
      </c>
      <c r="BC1210" s="467" t="str">
        <f t="shared" ref="BC1210:BC1273" si="710">IF((AS1210="")+(AC1210=""),"",IF(燃料区分1=4,VLOOKUP(BB1210,排ガス低減レベル,2,FALSE),VLOOKUP(AC1210,排ガス低減レベル,2,FALSE)))</f>
        <v/>
      </c>
      <c r="BD1210" s="567" t="str">
        <f t="shared" ref="BD1210:BD1273" si="711">IF(AT1210="","",IF(AW1210=3,B1210&amp;"-"&amp;SUM(AW1210*100,AX1210*10,AY1210)&amp;"A",IF(OR(AW1210=2,AW1210=4,AW1210=6),B1210&amp;"-"&amp;AY1210*10&amp;"A",IF(AW1210=1,B1210&amp;"-"&amp;AW1210&amp;"A",IF(AW1210=5,B1210&amp;"-"&amp;SUM(AW1210*100,AV1210*10,AY1210)&amp;"A","")))))</f>
        <v/>
      </c>
      <c r="BE1210" s="467" t="str">
        <f t="shared" ref="BE1210:BE1273" si="712">IF(OR(AZ1210=1,AZ1210=2,AZ1210=11),1,IF(AZ1210=6,2,IF(OR(AZ1210=4,AZ1210=5,AZ1210=10),3,IF(AZ1210=7,4,IF(AZ1210=3,5, IF(OR(AZ1210=8,AZ1210=9),6,""))))))</f>
        <v/>
      </c>
      <c r="BF1210" s="469" t="str">
        <f t="shared" ref="BF1210:BF1273" ca="1" si="713">(IF(OR(AZ1210=4,AZ1210=5),OFFSET($CH$1,MATCH($AF1210,$CG$2:$CG$4,0),0)&amp;BK1210,""))</f>
        <v/>
      </c>
      <c r="BG1210" s="469" t="str">
        <f t="shared" ref="BG1210:BG1273" ca="1" si="714">(IF(OR(AZ1210=4,AZ1210=5),OFFSET($CJ$1,MATCH($AG1210,$CI$2:$CI$5,0),0)&amp;BK1210,""))</f>
        <v/>
      </c>
      <c r="BH1210" s="467" t="str">
        <f t="shared" ref="BH1210:BH1273" si="715">IF(OR(AZ1210=4,AZ1210=5),IF(OR(LEFT(BF1210,1)="1",LEFT(BG1210,1)="2",LEFT(BG1210,1)="3"),1,2)&amp;BK1210,"")</f>
        <v/>
      </c>
      <c r="BI1210" s="467" t="str">
        <f t="shared" ref="BI1210:BI1273" ca="1" si="716">IF(LEFT(BF1210)="1",1,IF(LEFT(BG1210,1)="2",2,IF(LEFT(BG1210,1)="3",3,"")))</f>
        <v/>
      </c>
      <c r="BJ1210" s="469" t="str">
        <f t="shared" ref="BJ1210:BJ1273" si="717">IF(AT1210="","",B1210&amp;"-"&amp;AZ1210)</f>
        <v/>
      </c>
      <c r="BK1210" s="470" t="str">
        <f t="shared" si="701"/>
        <v/>
      </c>
      <c r="BL1210" s="775" t="str">
        <f t="shared" ref="BL1210:BL1273" si="718">IF(AND(OR($T1210="新規",$T1210="継続"),ISBLANK($AD1210)),1,"")</f>
        <v/>
      </c>
      <c r="BM1210" s="775" t="str">
        <f t="shared" ref="BM1210:BM1273" si="719">IF(AND(OR($T1210="新規",$T1210="継続"),ISBLANK($AE1210)),1,"")</f>
        <v/>
      </c>
    </row>
    <row r="1211" spans="1:65">
      <c r="A1211" s="473">
        <v>1155</v>
      </c>
      <c r="B1211" s="132"/>
      <c r="C1211" s="332"/>
      <c r="D1211" s="333"/>
      <c r="E1211" s="333"/>
      <c r="F1211" s="334"/>
      <c r="G1211" s="337"/>
      <c r="H1211" s="131"/>
      <c r="I1211" s="337"/>
      <c r="J1211" s="131"/>
      <c r="K1211" s="458" t="str">
        <f t="shared" si="682"/>
        <v/>
      </c>
      <c r="L1211" s="458">
        <f t="shared" si="683"/>
        <v>0</v>
      </c>
      <c r="M1211" s="458">
        <f t="shared" si="684"/>
        <v>0</v>
      </c>
      <c r="N1211" s="459" t="str">
        <f t="shared" si="695"/>
        <v/>
      </c>
      <c r="O1211" s="459" t="str">
        <f t="shared" si="696"/>
        <v/>
      </c>
      <c r="P1211" s="459" t="str">
        <f t="shared" si="697"/>
        <v/>
      </c>
      <c r="Q1211" s="459" t="str">
        <f t="shared" si="698"/>
        <v/>
      </c>
      <c r="R1211" s="459" t="str">
        <f t="shared" si="699"/>
        <v/>
      </c>
      <c r="S1211" s="459" t="str">
        <f t="shared" si="700"/>
        <v/>
      </c>
      <c r="T1211" s="566" t="str">
        <f t="shared" si="685"/>
        <v/>
      </c>
      <c r="U1211" s="702"/>
      <c r="V1211" s="132"/>
      <c r="W1211" s="133"/>
      <c r="X1211" s="134"/>
      <c r="Y1211" s="135"/>
      <c r="Z1211" s="137"/>
      <c r="AA1211" s="136"/>
      <c r="AB1211" s="566" t="str">
        <f t="shared" si="686"/>
        <v/>
      </c>
      <c r="AC1211" s="568" t="str">
        <f t="shared" si="687"/>
        <v/>
      </c>
      <c r="AD1211" s="137"/>
      <c r="AE1211" s="137"/>
      <c r="AF1211" s="138"/>
      <c r="AG1211" s="138"/>
      <c r="AH1211" s="592" t="str">
        <f t="shared" si="688"/>
        <v/>
      </c>
      <c r="AI1211" s="592" t="str">
        <f t="shared" si="689"/>
        <v/>
      </c>
      <c r="AJ1211" s="592" t="str">
        <f t="shared" si="690"/>
        <v/>
      </c>
      <c r="AK1211" s="460" t="str">
        <f>IF(AU1211="","",IF(OR(AZ1211=8,AZ1211=9),0,IF(OR(AW1211=3,AW1211=4,AW1211=5,AW1211=6),IF(LEFT(BF1211,1)="1",INDEX(係数_NOX・PM低減,MATCH(AY1211,【参考】排出係数!$AI$801:$AI$804,1),1),VLOOKUP(AU1211,INDEX((係数_バス貨物_ガソリン,係数_バス貨物_CNG,係数_バス貨物_軽油,係数_バス貨物_メタノール,係数_バス貨物_LPG),MATCH(AY1211,【参考】排出係数!$AI$4:$AI$671,1),1,BE1211):INDEX((係数_バス貨物_ガソリン,係数_バス貨物_CNG,係数_バス貨物_軽油,係数_バス貨物_メタノール,係数_バス貨物_LPG),MATCH(AY1211+1,【参考】排出係数!$AI$4:$AI$671,1)-1,5,BE1211),4,FALSE)),IF(AND(BE1211=3,LEFT(BF1211,1)="1"),0.48,VLOOKUP(AU1211,INDEX((係数_乗用_ガソリン,係数_乗用_CNG,係数_乗用_軽油,係数_乗用_メタノール,係数_乗用_LPG),1,1,BE1211):INDEX((係数_乗用_ガソリン,係数_乗用_CNG,係数_乗用_軽油,係数_乗用_メタノール,係数_乗用_LPG),125,5,BE1211),4,FALSE)))))</f>
        <v/>
      </c>
      <c r="AL1211" s="461" t="str">
        <f t="shared" si="691"/>
        <v/>
      </c>
      <c r="AM1211" s="460" t="str">
        <f>IF(AU1211="","",IF(OR(AZ1211=8,AZ1211=9),0,IF(OR(AW1211=3,AW1211=4,AW1211=5,AW1211=6),IF(LEFT(BH1211,1)="1",INDEX(係数_PM低減,MATCH(AY1211,【参考】排出係数!$AI$801:$AI$804,1),MATCH(BI1211,【参考】排出係数!$AL$798:$AO$798,1)),VLOOKUP(AU1211,INDEX((係数_バス貨物_ガソリン,係数_バス貨物_CNG,係数_バス貨物_軽油,係数_バス貨物_メタノール,係数_バス貨物_LPG),MATCH(AY1211,【参考】排出係数!$AI$4:$AI$671,1),1,BE1211):INDEX((係数_バス貨物_ガソリン,係数_バス貨物_CNG,係数_バス貨物_軽油,係数_バス貨物_メタノール,係数_バス貨物_LPG),MATCH(AY1211+1,【参考】排出係数!$AI$4:$AI$671,1)-1,5,BE1211),5,FALSE)),IF(AND(BE1211=3,LEFT(BF1211,1)="1"),0.055,VLOOKUP(AU1211,INDEX((係数_乗用_ガソリン,係数_乗用_CNG,係数_乗用_軽油,係数_乗用_メタノール,係数_乗用_LPG),1,1,BE1211):INDEX((係数_乗用_ガソリン,係数_乗用_CNG,係数_乗用_軽油,係数_乗用_メタノール,係数_乗用_LPG),125,5,BE1211),5,FALSE)))))</f>
        <v/>
      </c>
      <c r="AN1211" s="461" t="str">
        <f t="shared" si="692"/>
        <v/>
      </c>
      <c r="AO1211" s="462" t="str">
        <f t="shared" si="693"/>
        <v/>
      </c>
      <c r="AP1211" s="463" t="str">
        <f t="shared" si="694"/>
        <v/>
      </c>
      <c r="AQ1211" s="464"/>
      <c r="AR1211" s="619"/>
      <c r="AS1211" s="465" t="str">
        <f t="shared" si="702"/>
        <v/>
      </c>
      <c r="AT1211" s="465" t="str">
        <f t="shared" si="703"/>
        <v/>
      </c>
      <c r="AU1211" s="466" t="str">
        <f t="shared" si="704"/>
        <v/>
      </c>
      <c r="AV1211" s="467" t="str">
        <f t="shared" si="705"/>
        <v/>
      </c>
      <c r="AW1211" s="467" t="str">
        <f t="shared" si="706"/>
        <v/>
      </c>
      <c r="AX1211" s="467" t="str">
        <f t="shared" si="707"/>
        <v/>
      </c>
      <c r="AY1211" s="467" t="str">
        <f t="shared" si="708"/>
        <v/>
      </c>
      <c r="AZ1211" s="467" t="str">
        <f t="shared" si="709"/>
        <v/>
      </c>
      <c r="BA1211" s="468" t="str">
        <f>IF(AS1211="","",IF(OR(AU1211="",AU1211="-"),"－",IF(OR(AZ1211=8,AZ1211=9),"",IF(OR(AW1211=3,AW1211=4,AW1211=5,AW1211=6),VLOOKUP(AU1211,INDEX((係数_バス貨物_ガソリン,係数_バス貨物_CNG,係数_バス貨物_軽油,係数_バス貨物_メタノール,係数_バス貨物_LPG),MATCH(AY1211,【参考】排出係数!$AI$4:$AI$671,1),1,BE1211):INDEX((係数_バス貨物_ガソリン,係数_バス貨物_CNG,係数_バス貨物_軽油,係数_バス貨物_メタノール,係数_バス貨物_LPG),MATCH(AY1211+1,【参考】排出係数!$AI$4:$AI$671,1)-1,5,BE1211),2,FALSE),IF(OR(AW1211=1,AW1211=2),VLOOKUP(AU1211,INDEX((係数_乗用_ガソリン,係数_乗用_CNG,係数_乗用_軽油,係数_乗用_メタノール,係数_乗用_LPG),1,1,BE1211):INDEX((係数_乗用_ガソリン,係数_乗用_CNG,係数_乗用_軽油,係数_乗用_メタノール,係数_乗用_LPG),125,5,BE1211),2,FALSE))))))</f>
        <v/>
      </c>
      <c r="BB1211" s="468" t="str">
        <f>IF(T1211="","",IF(OR(AU1211="",AU1211="-"),"－",IF(OR(AZ1211=8,AZ1211=9),"",IF(OR(AW1211=3,AW1211=4,AW1211=5,AW1211=6),VLOOKUP(AU1211,INDEX((係数_バス貨物_ガソリン,係数_バス貨物_CNG,係数_バス貨物_軽油,係数_バス貨物_メタノール,係数_バス貨物_LPG),MATCH(AY1211,【参考】排出係数!$AI$4:$AI$671,1),1,BE1211):INDEX((係数_バス貨物_ガソリン,係数_バス貨物_CNG,係数_バス貨物_軽油,係数_バス貨物_メタノール,係数_バス貨物_LPG),MATCH(AY1211+1,【参考】排出係数!$AI$4:$AI$671,1)-1,5,BE1211),3,FALSE),IF(OR(AW1211=1,AW1211=2),VLOOKUP(AU1211,INDEX((係数_乗用_ガソリン,係数_乗用_CNG,係数_乗用_軽油,係数_乗用_メタノール,係数_乗用_LPG),1,1,BE1211):INDEX((係数_乗用_ガソリン,係数_乗用_CNG,係数_乗用_軽油,係数_乗用_メタノール,係数_乗用_LPG),125,5,BE1211),3,FALSE))))))</f>
        <v/>
      </c>
      <c r="BC1211" s="467" t="str">
        <f t="shared" si="710"/>
        <v/>
      </c>
      <c r="BD1211" s="567" t="str">
        <f t="shared" si="711"/>
        <v/>
      </c>
      <c r="BE1211" s="467" t="str">
        <f t="shared" si="712"/>
        <v/>
      </c>
      <c r="BF1211" s="469" t="str">
        <f t="shared" ca="1" si="713"/>
        <v/>
      </c>
      <c r="BG1211" s="469" t="str">
        <f t="shared" ca="1" si="714"/>
        <v/>
      </c>
      <c r="BH1211" s="467" t="str">
        <f t="shared" si="715"/>
        <v/>
      </c>
      <c r="BI1211" s="467" t="str">
        <f t="shared" ca="1" si="716"/>
        <v/>
      </c>
      <c r="BJ1211" s="469" t="str">
        <f t="shared" si="717"/>
        <v/>
      </c>
      <c r="BK1211" s="470" t="str">
        <f t="shared" si="701"/>
        <v/>
      </c>
      <c r="BL1211" s="775" t="str">
        <f t="shared" si="718"/>
        <v/>
      </c>
      <c r="BM1211" s="775" t="str">
        <f t="shared" si="719"/>
        <v/>
      </c>
    </row>
    <row r="1212" spans="1:65">
      <c r="A1212" s="473">
        <v>1156</v>
      </c>
      <c r="B1212" s="132"/>
      <c r="C1212" s="332"/>
      <c r="D1212" s="333"/>
      <c r="E1212" s="333"/>
      <c r="F1212" s="334"/>
      <c r="G1212" s="337"/>
      <c r="H1212" s="131"/>
      <c r="I1212" s="337"/>
      <c r="J1212" s="131"/>
      <c r="K1212" s="458" t="str">
        <f t="shared" si="682"/>
        <v/>
      </c>
      <c r="L1212" s="458">
        <f t="shared" si="683"/>
        <v>0</v>
      </c>
      <c r="M1212" s="458">
        <f t="shared" si="684"/>
        <v>0</v>
      </c>
      <c r="N1212" s="459" t="str">
        <f t="shared" si="695"/>
        <v/>
      </c>
      <c r="O1212" s="459" t="str">
        <f t="shared" si="696"/>
        <v/>
      </c>
      <c r="P1212" s="459" t="str">
        <f t="shared" si="697"/>
        <v/>
      </c>
      <c r="Q1212" s="459" t="str">
        <f t="shared" si="698"/>
        <v/>
      </c>
      <c r="R1212" s="459" t="str">
        <f t="shared" si="699"/>
        <v/>
      </c>
      <c r="S1212" s="459" t="str">
        <f t="shared" si="700"/>
        <v/>
      </c>
      <c r="T1212" s="566" t="str">
        <f t="shared" si="685"/>
        <v/>
      </c>
      <c r="U1212" s="702"/>
      <c r="V1212" s="132"/>
      <c r="W1212" s="133"/>
      <c r="X1212" s="134"/>
      <c r="Y1212" s="135"/>
      <c r="Z1212" s="137"/>
      <c r="AA1212" s="136"/>
      <c r="AB1212" s="566" t="str">
        <f t="shared" si="686"/>
        <v/>
      </c>
      <c r="AC1212" s="568" t="str">
        <f t="shared" si="687"/>
        <v/>
      </c>
      <c r="AD1212" s="137"/>
      <c r="AE1212" s="137"/>
      <c r="AF1212" s="138"/>
      <c r="AG1212" s="138"/>
      <c r="AH1212" s="592" t="str">
        <f t="shared" si="688"/>
        <v/>
      </c>
      <c r="AI1212" s="592" t="str">
        <f t="shared" si="689"/>
        <v/>
      </c>
      <c r="AJ1212" s="592" t="str">
        <f t="shared" si="690"/>
        <v/>
      </c>
      <c r="AK1212" s="460" t="str">
        <f>IF(AU1212="","",IF(OR(AZ1212=8,AZ1212=9),0,IF(OR(AW1212=3,AW1212=4,AW1212=5,AW1212=6),IF(LEFT(BF1212,1)="1",INDEX(係数_NOX・PM低減,MATCH(AY1212,【参考】排出係数!$AI$801:$AI$804,1),1),VLOOKUP(AU1212,INDEX((係数_バス貨物_ガソリン,係数_バス貨物_CNG,係数_バス貨物_軽油,係数_バス貨物_メタノール,係数_バス貨物_LPG),MATCH(AY1212,【参考】排出係数!$AI$4:$AI$671,1),1,BE1212):INDEX((係数_バス貨物_ガソリン,係数_バス貨物_CNG,係数_バス貨物_軽油,係数_バス貨物_メタノール,係数_バス貨物_LPG),MATCH(AY1212+1,【参考】排出係数!$AI$4:$AI$671,1)-1,5,BE1212),4,FALSE)),IF(AND(BE1212=3,LEFT(BF1212,1)="1"),0.48,VLOOKUP(AU1212,INDEX((係数_乗用_ガソリン,係数_乗用_CNG,係数_乗用_軽油,係数_乗用_メタノール,係数_乗用_LPG),1,1,BE1212):INDEX((係数_乗用_ガソリン,係数_乗用_CNG,係数_乗用_軽油,係数_乗用_メタノール,係数_乗用_LPG),125,5,BE1212),4,FALSE)))))</f>
        <v/>
      </c>
      <c r="AL1212" s="461" t="str">
        <f t="shared" si="691"/>
        <v/>
      </c>
      <c r="AM1212" s="460" t="str">
        <f>IF(AU1212="","",IF(OR(AZ1212=8,AZ1212=9),0,IF(OR(AW1212=3,AW1212=4,AW1212=5,AW1212=6),IF(LEFT(BH1212,1)="1",INDEX(係数_PM低減,MATCH(AY1212,【参考】排出係数!$AI$801:$AI$804,1),MATCH(BI1212,【参考】排出係数!$AL$798:$AO$798,1)),VLOOKUP(AU1212,INDEX((係数_バス貨物_ガソリン,係数_バス貨物_CNG,係数_バス貨物_軽油,係数_バス貨物_メタノール,係数_バス貨物_LPG),MATCH(AY1212,【参考】排出係数!$AI$4:$AI$671,1),1,BE1212):INDEX((係数_バス貨物_ガソリン,係数_バス貨物_CNG,係数_バス貨物_軽油,係数_バス貨物_メタノール,係数_バス貨物_LPG),MATCH(AY1212+1,【参考】排出係数!$AI$4:$AI$671,1)-1,5,BE1212),5,FALSE)),IF(AND(BE1212=3,LEFT(BF1212,1)="1"),0.055,VLOOKUP(AU1212,INDEX((係数_乗用_ガソリン,係数_乗用_CNG,係数_乗用_軽油,係数_乗用_メタノール,係数_乗用_LPG),1,1,BE1212):INDEX((係数_乗用_ガソリン,係数_乗用_CNG,係数_乗用_軽油,係数_乗用_メタノール,係数_乗用_LPG),125,5,BE1212),5,FALSE)))))</f>
        <v/>
      </c>
      <c r="AN1212" s="461" t="str">
        <f t="shared" si="692"/>
        <v/>
      </c>
      <c r="AO1212" s="462" t="str">
        <f t="shared" si="693"/>
        <v/>
      </c>
      <c r="AP1212" s="463" t="str">
        <f t="shared" si="694"/>
        <v/>
      </c>
      <c r="AQ1212" s="464"/>
      <c r="AR1212" s="619"/>
      <c r="AS1212" s="465" t="str">
        <f t="shared" si="702"/>
        <v/>
      </c>
      <c r="AT1212" s="465" t="str">
        <f t="shared" si="703"/>
        <v/>
      </c>
      <c r="AU1212" s="466" t="str">
        <f t="shared" si="704"/>
        <v/>
      </c>
      <c r="AV1212" s="467" t="str">
        <f t="shared" si="705"/>
        <v/>
      </c>
      <c r="AW1212" s="467" t="str">
        <f t="shared" si="706"/>
        <v/>
      </c>
      <c r="AX1212" s="467" t="str">
        <f t="shared" si="707"/>
        <v/>
      </c>
      <c r="AY1212" s="467" t="str">
        <f t="shared" si="708"/>
        <v/>
      </c>
      <c r="AZ1212" s="467" t="str">
        <f t="shared" si="709"/>
        <v/>
      </c>
      <c r="BA1212" s="468" t="str">
        <f>IF(AS1212="","",IF(OR(AU1212="",AU1212="-"),"－",IF(OR(AZ1212=8,AZ1212=9),"",IF(OR(AW1212=3,AW1212=4,AW1212=5,AW1212=6),VLOOKUP(AU1212,INDEX((係数_バス貨物_ガソリン,係数_バス貨物_CNG,係数_バス貨物_軽油,係数_バス貨物_メタノール,係数_バス貨物_LPG),MATCH(AY1212,【参考】排出係数!$AI$4:$AI$671,1),1,BE1212):INDEX((係数_バス貨物_ガソリン,係数_バス貨物_CNG,係数_バス貨物_軽油,係数_バス貨物_メタノール,係数_バス貨物_LPG),MATCH(AY1212+1,【参考】排出係数!$AI$4:$AI$671,1)-1,5,BE1212),2,FALSE),IF(OR(AW1212=1,AW1212=2),VLOOKUP(AU1212,INDEX((係数_乗用_ガソリン,係数_乗用_CNG,係数_乗用_軽油,係数_乗用_メタノール,係数_乗用_LPG),1,1,BE1212):INDEX((係数_乗用_ガソリン,係数_乗用_CNG,係数_乗用_軽油,係数_乗用_メタノール,係数_乗用_LPG),125,5,BE1212),2,FALSE))))))</f>
        <v/>
      </c>
      <c r="BB1212" s="468" t="str">
        <f>IF(T1212="","",IF(OR(AU1212="",AU1212="-"),"－",IF(OR(AZ1212=8,AZ1212=9),"",IF(OR(AW1212=3,AW1212=4,AW1212=5,AW1212=6),VLOOKUP(AU1212,INDEX((係数_バス貨物_ガソリン,係数_バス貨物_CNG,係数_バス貨物_軽油,係数_バス貨物_メタノール,係数_バス貨物_LPG),MATCH(AY1212,【参考】排出係数!$AI$4:$AI$671,1),1,BE1212):INDEX((係数_バス貨物_ガソリン,係数_バス貨物_CNG,係数_バス貨物_軽油,係数_バス貨物_メタノール,係数_バス貨物_LPG),MATCH(AY1212+1,【参考】排出係数!$AI$4:$AI$671,1)-1,5,BE1212),3,FALSE),IF(OR(AW1212=1,AW1212=2),VLOOKUP(AU1212,INDEX((係数_乗用_ガソリン,係数_乗用_CNG,係数_乗用_軽油,係数_乗用_メタノール,係数_乗用_LPG),1,1,BE1212):INDEX((係数_乗用_ガソリン,係数_乗用_CNG,係数_乗用_軽油,係数_乗用_メタノール,係数_乗用_LPG),125,5,BE1212),3,FALSE))))))</f>
        <v/>
      </c>
      <c r="BC1212" s="467" t="str">
        <f t="shared" si="710"/>
        <v/>
      </c>
      <c r="BD1212" s="567" t="str">
        <f t="shared" si="711"/>
        <v/>
      </c>
      <c r="BE1212" s="467" t="str">
        <f t="shared" si="712"/>
        <v/>
      </c>
      <c r="BF1212" s="469" t="str">
        <f t="shared" ca="1" si="713"/>
        <v/>
      </c>
      <c r="BG1212" s="469" t="str">
        <f t="shared" ca="1" si="714"/>
        <v/>
      </c>
      <c r="BH1212" s="467" t="str">
        <f t="shared" si="715"/>
        <v/>
      </c>
      <c r="BI1212" s="467" t="str">
        <f t="shared" ca="1" si="716"/>
        <v/>
      </c>
      <c r="BJ1212" s="469" t="str">
        <f t="shared" si="717"/>
        <v/>
      </c>
      <c r="BK1212" s="470" t="str">
        <f t="shared" si="701"/>
        <v/>
      </c>
      <c r="BL1212" s="775" t="str">
        <f t="shared" si="718"/>
        <v/>
      </c>
      <c r="BM1212" s="775" t="str">
        <f t="shared" si="719"/>
        <v/>
      </c>
    </row>
    <row r="1213" spans="1:65">
      <c r="A1213" s="473">
        <v>1157</v>
      </c>
      <c r="B1213" s="132"/>
      <c r="C1213" s="332"/>
      <c r="D1213" s="333"/>
      <c r="E1213" s="333"/>
      <c r="F1213" s="334"/>
      <c r="G1213" s="337"/>
      <c r="H1213" s="131"/>
      <c r="I1213" s="337"/>
      <c r="J1213" s="131"/>
      <c r="K1213" s="458" t="str">
        <f t="shared" si="682"/>
        <v/>
      </c>
      <c r="L1213" s="458">
        <f t="shared" si="683"/>
        <v>0</v>
      </c>
      <c r="M1213" s="458">
        <f t="shared" si="684"/>
        <v>0</v>
      </c>
      <c r="N1213" s="459" t="str">
        <f t="shared" si="695"/>
        <v/>
      </c>
      <c r="O1213" s="459" t="str">
        <f t="shared" si="696"/>
        <v/>
      </c>
      <c r="P1213" s="459" t="str">
        <f t="shared" si="697"/>
        <v/>
      </c>
      <c r="Q1213" s="459" t="str">
        <f t="shared" si="698"/>
        <v/>
      </c>
      <c r="R1213" s="459" t="str">
        <f t="shared" si="699"/>
        <v/>
      </c>
      <c r="S1213" s="459" t="str">
        <f t="shared" si="700"/>
        <v/>
      </c>
      <c r="T1213" s="566" t="str">
        <f t="shared" si="685"/>
        <v/>
      </c>
      <c r="U1213" s="702"/>
      <c r="V1213" s="132"/>
      <c r="W1213" s="133"/>
      <c r="X1213" s="134"/>
      <c r="Y1213" s="135"/>
      <c r="Z1213" s="137"/>
      <c r="AA1213" s="136"/>
      <c r="AB1213" s="566" t="str">
        <f t="shared" si="686"/>
        <v/>
      </c>
      <c r="AC1213" s="568" t="str">
        <f t="shared" si="687"/>
        <v/>
      </c>
      <c r="AD1213" s="137"/>
      <c r="AE1213" s="137"/>
      <c r="AF1213" s="138"/>
      <c r="AG1213" s="138"/>
      <c r="AH1213" s="592" t="str">
        <f t="shared" si="688"/>
        <v/>
      </c>
      <c r="AI1213" s="592" t="str">
        <f t="shared" si="689"/>
        <v/>
      </c>
      <c r="AJ1213" s="592" t="str">
        <f t="shared" si="690"/>
        <v/>
      </c>
      <c r="AK1213" s="460" t="str">
        <f>IF(AU1213="","",IF(OR(AZ1213=8,AZ1213=9),0,IF(OR(AW1213=3,AW1213=4,AW1213=5,AW1213=6),IF(LEFT(BF1213,1)="1",INDEX(係数_NOX・PM低減,MATCH(AY1213,【参考】排出係数!$AI$801:$AI$804,1),1),VLOOKUP(AU1213,INDEX((係数_バス貨物_ガソリン,係数_バス貨物_CNG,係数_バス貨物_軽油,係数_バス貨物_メタノール,係数_バス貨物_LPG),MATCH(AY1213,【参考】排出係数!$AI$4:$AI$671,1),1,BE1213):INDEX((係数_バス貨物_ガソリン,係数_バス貨物_CNG,係数_バス貨物_軽油,係数_バス貨物_メタノール,係数_バス貨物_LPG),MATCH(AY1213+1,【参考】排出係数!$AI$4:$AI$671,1)-1,5,BE1213),4,FALSE)),IF(AND(BE1213=3,LEFT(BF1213,1)="1"),0.48,VLOOKUP(AU1213,INDEX((係数_乗用_ガソリン,係数_乗用_CNG,係数_乗用_軽油,係数_乗用_メタノール,係数_乗用_LPG),1,1,BE1213):INDEX((係数_乗用_ガソリン,係数_乗用_CNG,係数_乗用_軽油,係数_乗用_メタノール,係数_乗用_LPG),125,5,BE1213),4,FALSE)))))</f>
        <v/>
      </c>
      <c r="AL1213" s="461" t="str">
        <f t="shared" si="691"/>
        <v/>
      </c>
      <c r="AM1213" s="460" t="str">
        <f>IF(AU1213="","",IF(OR(AZ1213=8,AZ1213=9),0,IF(OR(AW1213=3,AW1213=4,AW1213=5,AW1213=6),IF(LEFT(BH1213,1)="1",INDEX(係数_PM低減,MATCH(AY1213,【参考】排出係数!$AI$801:$AI$804,1),MATCH(BI1213,【参考】排出係数!$AL$798:$AO$798,1)),VLOOKUP(AU1213,INDEX((係数_バス貨物_ガソリン,係数_バス貨物_CNG,係数_バス貨物_軽油,係数_バス貨物_メタノール,係数_バス貨物_LPG),MATCH(AY1213,【参考】排出係数!$AI$4:$AI$671,1),1,BE1213):INDEX((係数_バス貨物_ガソリン,係数_バス貨物_CNG,係数_バス貨物_軽油,係数_バス貨物_メタノール,係数_バス貨物_LPG),MATCH(AY1213+1,【参考】排出係数!$AI$4:$AI$671,1)-1,5,BE1213),5,FALSE)),IF(AND(BE1213=3,LEFT(BF1213,1)="1"),0.055,VLOOKUP(AU1213,INDEX((係数_乗用_ガソリン,係数_乗用_CNG,係数_乗用_軽油,係数_乗用_メタノール,係数_乗用_LPG),1,1,BE1213):INDEX((係数_乗用_ガソリン,係数_乗用_CNG,係数_乗用_軽油,係数_乗用_メタノール,係数_乗用_LPG),125,5,BE1213),5,FALSE)))))</f>
        <v/>
      </c>
      <c r="AN1213" s="461" t="str">
        <f t="shared" si="692"/>
        <v/>
      </c>
      <c r="AO1213" s="462" t="str">
        <f t="shared" si="693"/>
        <v/>
      </c>
      <c r="AP1213" s="463" t="str">
        <f t="shared" si="694"/>
        <v/>
      </c>
      <c r="AQ1213" s="464"/>
      <c r="AR1213" s="619"/>
      <c r="AS1213" s="465" t="str">
        <f t="shared" si="702"/>
        <v/>
      </c>
      <c r="AT1213" s="465" t="str">
        <f t="shared" si="703"/>
        <v/>
      </c>
      <c r="AU1213" s="466" t="str">
        <f t="shared" si="704"/>
        <v/>
      </c>
      <c r="AV1213" s="467" t="str">
        <f t="shared" si="705"/>
        <v/>
      </c>
      <c r="AW1213" s="467" t="str">
        <f t="shared" si="706"/>
        <v/>
      </c>
      <c r="AX1213" s="467" t="str">
        <f t="shared" si="707"/>
        <v/>
      </c>
      <c r="AY1213" s="467" t="str">
        <f t="shared" si="708"/>
        <v/>
      </c>
      <c r="AZ1213" s="467" t="str">
        <f t="shared" si="709"/>
        <v/>
      </c>
      <c r="BA1213" s="468" t="str">
        <f>IF(AS1213="","",IF(OR(AU1213="",AU1213="-"),"－",IF(OR(AZ1213=8,AZ1213=9),"",IF(OR(AW1213=3,AW1213=4,AW1213=5,AW1213=6),VLOOKUP(AU1213,INDEX((係数_バス貨物_ガソリン,係数_バス貨物_CNG,係数_バス貨物_軽油,係数_バス貨物_メタノール,係数_バス貨物_LPG),MATCH(AY1213,【参考】排出係数!$AI$4:$AI$671,1),1,BE1213):INDEX((係数_バス貨物_ガソリン,係数_バス貨物_CNG,係数_バス貨物_軽油,係数_バス貨物_メタノール,係数_バス貨物_LPG),MATCH(AY1213+1,【参考】排出係数!$AI$4:$AI$671,1)-1,5,BE1213),2,FALSE),IF(OR(AW1213=1,AW1213=2),VLOOKUP(AU1213,INDEX((係数_乗用_ガソリン,係数_乗用_CNG,係数_乗用_軽油,係数_乗用_メタノール,係数_乗用_LPG),1,1,BE1213):INDEX((係数_乗用_ガソリン,係数_乗用_CNG,係数_乗用_軽油,係数_乗用_メタノール,係数_乗用_LPG),125,5,BE1213),2,FALSE))))))</f>
        <v/>
      </c>
      <c r="BB1213" s="468" t="str">
        <f>IF(T1213="","",IF(OR(AU1213="",AU1213="-"),"－",IF(OR(AZ1213=8,AZ1213=9),"",IF(OR(AW1213=3,AW1213=4,AW1213=5,AW1213=6),VLOOKUP(AU1213,INDEX((係数_バス貨物_ガソリン,係数_バス貨物_CNG,係数_バス貨物_軽油,係数_バス貨物_メタノール,係数_バス貨物_LPG),MATCH(AY1213,【参考】排出係数!$AI$4:$AI$671,1),1,BE1213):INDEX((係数_バス貨物_ガソリン,係数_バス貨物_CNG,係数_バス貨物_軽油,係数_バス貨物_メタノール,係数_バス貨物_LPG),MATCH(AY1213+1,【参考】排出係数!$AI$4:$AI$671,1)-1,5,BE1213),3,FALSE),IF(OR(AW1213=1,AW1213=2),VLOOKUP(AU1213,INDEX((係数_乗用_ガソリン,係数_乗用_CNG,係数_乗用_軽油,係数_乗用_メタノール,係数_乗用_LPG),1,1,BE1213):INDEX((係数_乗用_ガソリン,係数_乗用_CNG,係数_乗用_軽油,係数_乗用_メタノール,係数_乗用_LPG),125,5,BE1213),3,FALSE))))))</f>
        <v/>
      </c>
      <c r="BC1213" s="467" t="str">
        <f t="shared" si="710"/>
        <v/>
      </c>
      <c r="BD1213" s="567" t="str">
        <f t="shared" si="711"/>
        <v/>
      </c>
      <c r="BE1213" s="467" t="str">
        <f t="shared" si="712"/>
        <v/>
      </c>
      <c r="BF1213" s="469" t="str">
        <f t="shared" ca="1" si="713"/>
        <v/>
      </c>
      <c r="BG1213" s="469" t="str">
        <f t="shared" ca="1" si="714"/>
        <v/>
      </c>
      <c r="BH1213" s="467" t="str">
        <f t="shared" si="715"/>
        <v/>
      </c>
      <c r="BI1213" s="467" t="str">
        <f t="shared" ca="1" si="716"/>
        <v/>
      </c>
      <c r="BJ1213" s="469" t="str">
        <f t="shared" si="717"/>
        <v/>
      </c>
      <c r="BK1213" s="470" t="str">
        <f t="shared" si="701"/>
        <v/>
      </c>
      <c r="BL1213" s="775" t="str">
        <f t="shared" si="718"/>
        <v/>
      </c>
      <c r="BM1213" s="775" t="str">
        <f t="shared" si="719"/>
        <v/>
      </c>
    </row>
    <row r="1214" spans="1:65">
      <c r="A1214" s="473">
        <v>1158</v>
      </c>
      <c r="B1214" s="132"/>
      <c r="C1214" s="332"/>
      <c r="D1214" s="333"/>
      <c r="E1214" s="333"/>
      <c r="F1214" s="334"/>
      <c r="G1214" s="337"/>
      <c r="H1214" s="131"/>
      <c r="I1214" s="337"/>
      <c r="J1214" s="131"/>
      <c r="K1214" s="458" t="str">
        <f t="shared" si="682"/>
        <v/>
      </c>
      <c r="L1214" s="458">
        <f t="shared" si="683"/>
        <v>0</v>
      </c>
      <c r="M1214" s="458">
        <f t="shared" si="684"/>
        <v>0</v>
      </c>
      <c r="N1214" s="459" t="str">
        <f t="shared" si="695"/>
        <v/>
      </c>
      <c r="O1214" s="459" t="str">
        <f t="shared" si="696"/>
        <v/>
      </c>
      <c r="P1214" s="459" t="str">
        <f t="shared" si="697"/>
        <v/>
      </c>
      <c r="Q1214" s="459" t="str">
        <f t="shared" si="698"/>
        <v/>
      </c>
      <c r="R1214" s="459" t="str">
        <f t="shared" si="699"/>
        <v/>
      </c>
      <c r="S1214" s="459" t="str">
        <f t="shared" si="700"/>
        <v/>
      </c>
      <c r="T1214" s="566" t="str">
        <f t="shared" si="685"/>
        <v/>
      </c>
      <c r="U1214" s="702"/>
      <c r="V1214" s="132"/>
      <c r="W1214" s="133"/>
      <c r="X1214" s="134"/>
      <c r="Y1214" s="135"/>
      <c r="Z1214" s="137"/>
      <c r="AA1214" s="136"/>
      <c r="AB1214" s="566" t="str">
        <f t="shared" si="686"/>
        <v/>
      </c>
      <c r="AC1214" s="568" t="str">
        <f t="shared" si="687"/>
        <v/>
      </c>
      <c r="AD1214" s="137"/>
      <c r="AE1214" s="137"/>
      <c r="AF1214" s="138"/>
      <c r="AG1214" s="138"/>
      <c r="AH1214" s="592" t="str">
        <f t="shared" si="688"/>
        <v/>
      </c>
      <c r="AI1214" s="592" t="str">
        <f t="shared" si="689"/>
        <v/>
      </c>
      <c r="AJ1214" s="592" t="str">
        <f t="shared" si="690"/>
        <v/>
      </c>
      <c r="AK1214" s="460" t="str">
        <f>IF(AU1214="","",IF(OR(AZ1214=8,AZ1214=9),0,IF(OR(AW1214=3,AW1214=4,AW1214=5,AW1214=6),IF(LEFT(BF1214,1)="1",INDEX(係数_NOX・PM低減,MATCH(AY1214,【参考】排出係数!$AI$801:$AI$804,1),1),VLOOKUP(AU1214,INDEX((係数_バス貨物_ガソリン,係数_バス貨物_CNG,係数_バス貨物_軽油,係数_バス貨物_メタノール,係数_バス貨物_LPG),MATCH(AY1214,【参考】排出係数!$AI$4:$AI$671,1),1,BE1214):INDEX((係数_バス貨物_ガソリン,係数_バス貨物_CNG,係数_バス貨物_軽油,係数_バス貨物_メタノール,係数_バス貨物_LPG),MATCH(AY1214+1,【参考】排出係数!$AI$4:$AI$671,1)-1,5,BE1214),4,FALSE)),IF(AND(BE1214=3,LEFT(BF1214,1)="1"),0.48,VLOOKUP(AU1214,INDEX((係数_乗用_ガソリン,係数_乗用_CNG,係数_乗用_軽油,係数_乗用_メタノール,係数_乗用_LPG),1,1,BE1214):INDEX((係数_乗用_ガソリン,係数_乗用_CNG,係数_乗用_軽油,係数_乗用_メタノール,係数_乗用_LPG),125,5,BE1214),4,FALSE)))))</f>
        <v/>
      </c>
      <c r="AL1214" s="461" t="str">
        <f t="shared" si="691"/>
        <v/>
      </c>
      <c r="AM1214" s="460" t="str">
        <f>IF(AU1214="","",IF(OR(AZ1214=8,AZ1214=9),0,IF(OR(AW1214=3,AW1214=4,AW1214=5,AW1214=6),IF(LEFT(BH1214,1)="1",INDEX(係数_PM低減,MATCH(AY1214,【参考】排出係数!$AI$801:$AI$804,1),MATCH(BI1214,【参考】排出係数!$AL$798:$AO$798,1)),VLOOKUP(AU1214,INDEX((係数_バス貨物_ガソリン,係数_バス貨物_CNG,係数_バス貨物_軽油,係数_バス貨物_メタノール,係数_バス貨物_LPG),MATCH(AY1214,【参考】排出係数!$AI$4:$AI$671,1),1,BE1214):INDEX((係数_バス貨物_ガソリン,係数_バス貨物_CNG,係数_バス貨物_軽油,係数_バス貨物_メタノール,係数_バス貨物_LPG),MATCH(AY1214+1,【参考】排出係数!$AI$4:$AI$671,1)-1,5,BE1214),5,FALSE)),IF(AND(BE1214=3,LEFT(BF1214,1)="1"),0.055,VLOOKUP(AU1214,INDEX((係数_乗用_ガソリン,係数_乗用_CNG,係数_乗用_軽油,係数_乗用_メタノール,係数_乗用_LPG),1,1,BE1214):INDEX((係数_乗用_ガソリン,係数_乗用_CNG,係数_乗用_軽油,係数_乗用_メタノール,係数_乗用_LPG),125,5,BE1214),5,FALSE)))))</f>
        <v/>
      </c>
      <c r="AN1214" s="461" t="str">
        <f t="shared" si="692"/>
        <v/>
      </c>
      <c r="AO1214" s="462" t="str">
        <f t="shared" si="693"/>
        <v/>
      </c>
      <c r="AP1214" s="463" t="str">
        <f t="shared" si="694"/>
        <v/>
      </c>
      <c r="AQ1214" s="464"/>
      <c r="AR1214" s="619"/>
      <c r="AS1214" s="465" t="str">
        <f t="shared" si="702"/>
        <v/>
      </c>
      <c r="AT1214" s="465" t="str">
        <f t="shared" si="703"/>
        <v/>
      </c>
      <c r="AU1214" s="466" t="str">
        <f t="shared" si="704"/>
        <v/>
      </c>
      <c r="AV1214" s="467" t="str">
        <f t="shared" si="705"/>
        <v/>
      </c>
      <c r="AW1214" s="467" t="str">
        <f t="shared" si="706"/>
        <v/>
      </c>
      <c r="AX1214" s="467" t="str">
        <f t="shared" si="707"/>
        <v/>
      </c>
      <c r="AY1214" s="467" t="str">
        <f t="shared" si="708"/>
        <v/>
      </c>
      <c r="AZ1214" s="467" t="str">
        <f t="shared" si="709"/>
        <v/>
      </c>
      <c r="BA1214" s="468" t="str">
        <f>IF(AS1214="","",IF(OR(AU1214="",AU1214="-"),"－",IF(OR(AZ1214=8,AZ1214=9),"",IF(OR(AW1214=3,AW1214=4,AW1214=5,AW1214=6),VLOOKUP(AU1214,INDEX((係数_バス貨物_ガソリン,係数_バス貨物_CNG,係数_バス貨物_軽油,係数_バス貨物_メタノール,係数_バス貨物_LPG),MATCH(AY1214,【参考】排出係数!$AI$4:$AI$671,1),1,BE1214):INDEX((係数_バス貨物_ガソリン,係数_バス貨物_CNG,係数_バス貨物_軽油,係数_バス貨物_メタノール,係数_バス貨物_LPG),MATCH(AY1214+1,【参考】排出係数!$AI$4:$AI$671,1)-1,5,BE1214),2,FALSE),IF(OR(AW1214=1,AW1214=2),VLOOKUP(AU1214,INDEX((係数_乗用_ガソリン,係数_乗用_CNG,係数_乗用_軽油,係数_乗用_メタノール,係数_乗用_LPG),1,1,BE1214):INDEX((係数_乗用_ガソリン,係数_乗用_CNG,係数_乗用_軽油,係数_乗用_メタノール,係数_乗用_LPG),125,5,BE1214),2,FALSE))))))</f>
        <v/>
      </c>
      <c r="BB1214" s="468" t="str">
        <f>IF(T1214="","",IF(OR(AU1214="",AU1214="-"),"－",IF(OR(AZ1214=8,AZ1214=9),"",IF(OR(AW1214=3,AW1214=4,AW1214=5,AW1214=6),VLOOKUP(AU1214,INDEX((係数_バス貨物_ガソリン,係数_バス貨物_CNG,係数_バス貨物_軽油,係数_バス貨物_メタノール,係数_バス貨物_LPG),MATCH(AY1214,【参考】排出係数!$AI$4:$AI$671,1),1,BE1214):INDEX((係数_バス貨物_ガソリン,係数_バス貨物_CNG,係数_バス貨物_軽油,係数_バス貨物_メタノール,係数_バス貨物_LPG),MATCH(AY1214+1,【参考】排出係数!$AI$4:$AI$671,1)-1,5,BE1214),3,FALSE),IF(OR(AW1214=1,AW1214=2),VLOOKUP(AU1214,INDEX((係数_乗用_ガソリン,係数_乗用_CNG,係数_乗用_軽油,係数_乗用_メタノール,係数_乗用_LPG),1,1,BE1214):INDEX((係数_乗用_ガソリン,係数_乗用_CNG,係数_乗用_軽油,係数_乗用_メタノール,係数_乗用_LPG),125,5,BE1214),3,FALSE))))))</f>
        <v/>
      </c>
      <c r="BC1214" s="467" t="str">
        <f t="shared" si="710"/>
        <v/>
      </c>
      <c r="BD1214" s="567" t="str">
        <f t="shared" si="711"/>
        <v/>
      </c>
      <c r="BE1214" s="467" t="str">
        <f t="shared" si="712"/>
        <v/>
      </c>
      <c r="BF1214" s="469" t="str">
        <f t="shared" ca="1" si="713"/>
        <v/>
      </c>
      <c r="BG1214" s="469" t="str">
        <f t="shared" ca="1" si="714"/>
        <v/>
      </c>
      <c r="BH1214" s="467" t="str">
        <f t="shared" si="715"/>
        <v/>
      </c>
      <c r="BI1214" s="467" t="str">
        <f t="shared" ca="1" si="716"/>
        <v/>
      </c>
      <c r="BJ1214" s="469" t="str">
        <f t="shared" si="717"/>
        <v/>
      </c>
      <c r="BK1214" s="470" t="str">
        <f t="shared" si="701"/>
        <v/>
      </c>
      <c r="BL1214" s="775" t="str">
        <f t="shared" si="718"/>
        <v/>
      </c>
      <c r="BM1214" s="775" t="str">
        <f t="shared" si="719"/>
        <v/>
      </c>
    </row>
    <row r="1215" spans="1:65">
      <c r="A1215" s="473">
        <v>1159</v>
      </c>
      <c r="B1215" s="132"/>
      <c r="C1215" s="332"/>
      <c r="D1215" s="333"/>
      <c r="E1215" s="333"/>
      <c r="F1215" s="334"/>
      <c r="G1215" s="337"/>
      <c r="H1215" s="131"/>
      <c r="I1215" s="337"/>
      <c r="J1215" s="131"/>
      <c r="K1215" s="458" t="str">
        <f t="shared" si="682"/>
        <v/>
      </c>
      <c r="L1215" s="458">
        <f t="shared" si="683"/>
        <v>0</v>
      </c>
      <c r="M1215" s="458">
        <f t="shared" si="684"/>
        <v>0</v>
      </c>
      <c r="N1215" s="459" t="str">
        <f t="shared" si="695"/>
        <v/>
      </c>
      <c r="O1215" s="459" t="str">
        <f t="shared" si="696"/>
        <v/>
      </c>
      <c r="P1215" s="459" t="str">
        <f t="shared" si="697"/>
        <v/>
      </c>
      <c r="Q1215" s="459" t="str">
        <f t="shared" si="698"/>
        <v/>
      </c>
      <c r="R1215" s="459" t="str">
        <f t="shared" si="699"/>
        <v/>
      </c>
      <c r="S1215" s="459" t="str">
        <f t="shared" si="700"/>
        <v/>
      </c>
      <c r="T1215" s="566" t="str">
        <f t="shared" si="685"/>
        <v/>
      </c>
      <c r="U1215" s="702"/>
      <c r="V1215" s="132"/>
      <c r="W1215" s="133"/>
      <c r="X1215" s="134"/>
      <c r="Y1215" s="135"/>
      <c r="Z1215" s="137"/>
      <c r="AA1215" s="136"/>
      <c r="AB1215" s="566" t="str">
        <f t="shared" si="686"/>
        <v/>
      </c>
      <c r="AC1215" s="568" t="str">
        <f t="shared" si="687"/>
        <v/>
      </c>
      <c r="AD1215" s="137"/>
      <c r="AE1215" s="137"/>
      <c r="AF1215" s="138"/>
      <c r="AG1215" s="138"/>
      <c r="AH1215" s="592" t="str">
        <f t="shared" si="688"/>
        <v/>
      </c>
      <c r="AI1215" s="592" t="str">
        <f t="shared" si="689"/>
        <v/>
      </c>
      <c r="AJ1215" s="592" t="str">
        <f t="shared" si="690"/>
        <v/>
      </c>
      <c r="AK1215" s="460" t="str">
        <f>IF(AU1215="","",IF(OR(AZ1215=8,AZ1215=9),0,IF(OR(AW1215=3,AW1215=4,AW1215=5,AW1215=6),IF(LEFT(BF1215,1)="1",INDEX(係数_NOX・PM低減,MATCH(AY1215,【参考】排出係数!$AI$801:$AI$804,1),1),VLOOKUP(AU1215,INDEX((係数_バス貨物_ガソリン,係数_バス貨物_CNG,係数_バス貨物_軽油,係数_バス貨物_メタノール,係数_バス貨物_LPG),MATCH(AY1215,【参考】排出係数!$AI$4:$AI$671,1),1,BE1215):INDEX((係数_バス貨物_ガソリン,係数_バス貨物_CNG,係数_バス貨物_軽油,係数_バス貨物_メタノール,係数_バス貨物_LPG),MATCH(AY1215+1,【参考】排出係数!$AI$4:$AI$671,1)-1,5,BE1215),4,FALSE)),IF(AND(BE1215=3,LEFT(BF1215,1)="1"),0.48,VLOOKUP(AU1215,INDEX((係数_乗用_ガソリン,係数_乗用_CNG,係数_乗用_軽油,係数_乗用_メタノール,係数_乗用_LPG),1,1,BE1215):INDEX((係数_乗用_ガソリン,係数_乗用_CNG,係数_乗用_軽油,係数_乗用_メタノール,係数_乗用_LPG),125,5,BE1215),4,FALSE)))))</f>
        <v/>
      </c>
      <c r="AL1215" s="461" t="str">
        <f t="shared" si="691"/>
        <v/>
      </c>
      <c r="AM1215" s="460" t="str">
        <f>IF(AU1215="","",IF(OR(AZ1215=8,AZ1215=9),0,IF(OR(AW1215=3,AW1215=4,AW1215=5,AW1215=6),IF(LEFT(BH1215,1)="1",INDEX(係数_PM低減,MATCH(AY1215,【参考】排出係数!$AI$801:$AI$804,1),MATCH(BI1215,【参考】排出係数!$AL$798:$AO$798,1)),VLOOKUP(AU1215,INDEX((係数_バス貨物_ガソリン,係数_バス貨物_CNG,係数_バス貨物_軽油,係数_バス貨物_メタノール,係数_バス貨物_LPG),MATCH(AY1215,【参考】排出係数!$AI$4:$AI$671,1),1,BE1215):INDEX((係数_バス貨物_ガソリン,係数_バス貨物_CNG,係数_バス貨物_軽油,係数_バス貨物_メタノール,係数_バス貨物_LPG),MATCH(AY1215+1,【参考】排出係数!$AI$4:$AI$671,1)-1,5,BE1215),5,FALSE)),IF(AND(BE1215=3,LEFT(BF1215,1)="1"),0.055,VLOOKUP(AU1215,INDEX((係数_乗用_ガソリン,係数_乗用_CNG,係数_乗用_軽油,係数_乗用_メタノール,係数_乗用_LPG),1,1,BE1215):INDEX((係数_乗用_ガソリン,係数_乗用_CNG,係数_乗用_軽油,係数_乗用_メタノール,係数_乗用_LPG),125,5,BE1215),5,FALSE)))))</f>
        <v/>
      </c>
      <c r="AN1215" s="461" t="str">
        <f t="shared" si="692"/>
        <v/>
      </c>
      <c r="AO1215" s="462" t="str">
        <f t="shared" si="693"/>
        <v/>
      </c>
      <c r="AP1215" s="463" t="str">
        <f t="shared" si="694"/>
        <v/>
      </c>
      <c r="AQ1215" s="464"/>
      <c r="AR1215" s="619"/>
      <c r="AS1215" s="465" t="str">
        <f t="shared" si="702"/>
        <v/>
      </c>
      <c r="AT1215" s="465" t="str">
        <f t="shared" si="703"/>
        <v/>
      </c>
      <c r="AU1215" s="466" t="str">
        <f t="shared" si="704"/>
        <v/>
      </c>
      <c r="AV1215" s="467" t="str">
        <f t="shared" si="705"/>
        <v/>
      </c>
      <c r="AW1215" s="467" t="str">
        <f t="shared" si="706"/>
        <v/>
      </c>
      <c r="AX1215" s="467" t="str">
        <f t="shared" si="707"/>
        <v/>
      </c>
      <c r="AY1215" s="467" t="str">
        <f t="shared" si="708"/>
        <v/>
      </c>
      <c r="AZ1215" s="467" t="str">
        <f t="shared" si="709"/>
        <v/>
      </c>
      <c r="BA1215" s="468" t="str">
        <f>IF(AS1215="","",IF(OR(AU1215="",AU1215="-"),"－",IF(OR(AZ1215=8,AZ1215=9),"",IF(OR(AW1215=3,AW1215=4,AW1215=5,AW1215=6),VLOOKUP(AU1215,INDEX((係数_バス貨物_ガソリン,係数_バス貨物_CNG,係数_バス貨物_軽油,係数_バス貨物_メタノール,係数_バス貨物_LPG),MATCH(AY1215,【参考】排出係数!$AI$4:$AI$671,1),1,BE1215):INDEX((係数_バス貨物_ガソリン,係数_バス貨物_CNG,係数_バス貨物_軽油,係数_バス貨物_メタノール,係数_バス貨物_LPG),MATCH(AY1215+1,【参考】排出係数!$AI$4:$AI$671,1)-1,5,BE1215),2,FALSE),IF(OR(AW1215=1,AW1215=2),VLOOKUP(AU1215,INDEX((係数_乗用_ガソリン,係数_乗用_CNG,係数_乗用_軽油,係数_乗用_メタノール,係数_乗用_LPG),1,1,BE1215):INDEX((係数_乗用_ガソリン,係数_乗用_CNG,係数_乗用_軽油,係数_乗用_メタノール,係数_乗用_LPG),125,5,BE1215),2,FALSE))))))</f>
        <v/>
      </c>
      <c r="BB1215" s="468" t="str">
        <f>IF(T1215="","",IF(OR(AU1215="",AU1215="-"),"－",IF(OR(AZ1215=8,AZ1215=9),"",IF(OR(AW1215=3,AW1215=4,AW1215=5,AW1215=6),VLOOKUP(AU1215,INDEX((係数_バス貨物_ガソリン,係数_バス貨物_CNG,係数_バス貨物_軽油,係数_バス貨物_メタノール,係数_バス貨物_LPG),MATCH(AY1215,【参考】排出係数!$AI$4:$AI$671,1),1,BE1215):INDEX((係数_バス貨物_ガソリン,係数_バス貨物_CNG,係数_バス貨物_軽油,係数_バス貨物_メタノール,係数_バス貨物_LPG),MATCH(AY1215+1,【参考】排出係数!$AI$4:$AI$671,1)-1,5,BE1215),3,FALSE),IF(OR(AW1215=1,AW1215=2),VLOOKUP(AU1215,INDEX((係数_乗用_ガソリン,係数_乗用_CNG,係数_乗用_軽油,係数_乗用_メタノール,係数_乗用_LPG),1,1,BE1215):INDEX((係数_乗用_ガソリン,係数_乗用_CNG,係数_乗用_軽油,係数_乗用_メタノール,係数_乗用_LPG),125,5,BE1215),3,FALSE))))))</f>
        <v/>
      </c>
      <c r="BC1215" s="467" t="str">
        <f t="shared" si="710"/>
        <v/>
      </c>
      <c r="BD1215" s="567" t="str">
        <f t="shared" si="711"/>
        <v/>
      </c>
      <c r="BE1215" s="467" t="str">
        <f t="shared" si="712"/>
        <v/>
      </c>
      <c r="BF1215" s="469" t="str">
        <f t="shared" ca="1" si="713"/>
        <v/>
      </c>
      <c r="BG1215" s="469" t="str">
        <f t="shared" ca="1" si="714"/>
        <v/>
      </c>
      <c r="BH1215" s="467" t="str">
        <f t="shared" si="715"/>
        <v/>
      </c>
      <c r="BI1215" s="467" t="str">
        <f t="shared" ca="1" si="716"/>
        <v/>
      </c>
      <c r="BJ1215" s="469" t="str">
        <f t="shared" si="717"/>
        <v/>
      </c>
      <c r="BK1215" s="470" t="str">
        <f t="shared" si="701"/>
        <v/>
      </c>
      <c r="BL1215" s="775" t="str">
        <f t="shared" si="718"/>
        <v/>
      </c>
      <c r="BM1215" s="775" t="str">
        <f t="shared" si="719"/>
        <v/>
      </c>
    </row>
    <row r="1216" spans="1:65">
      <c r="A1216" s="473">
        <v>1160</v>
      </c>
      <c r="B1216" s="132"/>
      <c r="C1216" s="332"/>
      <c r="D1216" s="333"/>
      <c r="E1216" s="333"/>
      <c r="F1216" s="334"/>
      <c r="G1216" s="337"/>
      <c r="H1216" s="131"/>
      <c r="I1216" s="337"/>
      <c r="J1216" s="131"/>
      <c r="K1216" s="458" t="str">
        <f t="shared" si="682"/>
        <v/>
      </c>
      <c r="L1216" s="458">
        <f t="shared" si="683"/>
        <v>0</v>
      </c>
      <c r="M1216" s="458">
        <f t="shared" si="684"/>
        <v>0</v>
      </c>
      <c r="N1216" s="459" t="str">
        <f t="shared" si="695"/>
        <v/>
      </c>
      <c r="O1216" s="459" t="str">
        <f t="shared" si="696"/>
        <v/>
      </c>
      <c r="P1216" s="459" t="str">
        <f t="shared" si="697"/>
        <v/>
      </c>
      <c r="Q1216" s="459" t="str">
        <f t="shared" si="698"/>
        <v/>
      </c>
      <c r="R1216" s="459" t="str">
        <f t="shared" si="699"/>
        <v/>
      </c>
      <c r="S1216" s="459" t="str">
        <f t="shared" si="700"/>
        <v/>
      </c>
      <c r="T1216" s="566" t="str">
        <f t="shared" si="685"/>
        <v/>
      </c>
      <c r="U1216" s="702"/>
      <c r="V1216" s="132"/>
      <c r="W1216" s="133"/>
      <c r="X1216" s="134"/>
      <c r="Y1216" s="135"/>
      <c r="Z1216" s="137"/>
      <c r="AA1216" s="136"/>
      <c r="AB1216" s="566" t="str">
        <f t="shared" si="686"/>
        <v/>
      </c>
      <c r="AC1216" s="568" t="str">
        <f t="shared" si="687"/>
        <v/>
      </c>
      <c r="AD1216" s="137"/>
      <c r="AE1216" s="137"/>
      <c r="AF1216" s="138"/>
      <c r="AG1216" s="138"/>
      <c r="AH1216" s="592" t="str">
        <f t="shared" si="688"/>
        <v/>
      </c>
      <c r="AI1216" s="592" t="str">
        <f t="shared" si="689"/>
        <v/>
      </c>
      <c r="AJ1216" s="592" t="str">
        <f t="shared" si="690"/>
        <v/>
      </c>
      <c r="AK1216" s="460" t="str">
        <f>IF(AU1216="","",IF(OR(AZ1216=8,AZ1216=9),0,IF(OR(AW1216=3,AW1216=4,AW1216=5,AW1216=6),IF(LEFT(BF1216,1)="1",INDEX(係数_NOX・PM低減,MATCH(AY1216,【参考】排出係数!$AI$801:$AI$804,1),1),VLOOKUP(AU1216,INDEX((係数_バス貨物_ガソリン,係数_バス貨物_CNG,係数_バス貨物_軽油,係数_バス貨物_メタノール,係数_バス貨物_LPG),MATCH(AY1216,【参考】排出係数!$AI$4:$AI$671,1),1,BE1216):INDEX((係数_バス貨物_ガソリン,係数_バス貨物_CNG,係数_バス貨物_軽油,係数_バス貨物_メタノール,係数_バス貨物_LPG),MATCH(AY1216+1,【参考】排出係数!$AI$4:$AI$671,1)-1,5,BE1216),4,FALSE)),IF(AND(BE1216=3,LEFT(BF1216,1)="1"),0.48,VLOOKUP(AU1216,INDEX((係数_乗用_ガソリン,係数_乗用_CNG,係数_乗用_軽油,係数_乗用_メタノール,係数_乗用_LPG),1,1,BE1216):INDEX((係数_乗用_ガソリン,係数_乗用_CNG,係数_乗用_軽油,係数_乗用_メタノール,係数_乗用_LPG),125,5,BE1216),4,FALSE)))))</f>
        <v/>
      </c>
      <c r="AL1216" s="461" t="str">
        <f t="shared" si="691"/>
        <v/>
      </c>
      <c r="AM1216" s="460" t="str">
        <f>IF(AU1216="","",IF(OR(AZ1216=8,AZ1216=9),0,IF(OR(AW1216=3,AW1216=4,AW1216=5,AW1216=6),IF(LEFT(BH1216,1)="1",INDEX(係数_PM低減,MATCH(AY1216,【参考】排出係数!$AI$801:$AI$804,1),MATCH(BI1216,【参考】排出係数!$AL$798:$AO$798,1)),VLOOKUP(AU1216,INDEX((係数_バス貨物_ガソリン,係数_バス貨物_CNG,係数_バス貨物_軽油,係数_バス貨物_メタノール,係数_バス貨物_LPG),MATCH(AY1216,【参考】排出係数!$AI$4:$AI$671,1),1,BE1216):INDEX((係数_バス貨物_ガソリン,係数_バス貨物_CNG,係数_バス貨物_軽油,係数_バス貨物_メタノール,係数_バス貨物_LPG),MATCH(AY1216+1,【参考】排出係数!$AI$4:$AI$671,1)-1,5,BE1216),5,FALSE)),IF(AND(BE1216=3,LEFT(BF1216,1)="1"),0.055,VLOOKUP(AU1216,INDEX((係数_乗用_ガソリン,係数_乗用_CNG,係数_乗用_軽油,係数_乗用_メタノール,係数_乗用_LPG),1,1,BE1216):INDEX((係数_乗用_ガソリン,係数_乗用_CNG,係数_乗用_軽油,係数_乗用_メタノール,係数_乗用_LPG),125,5,BE1216),5,FALSE)))))</f>
        <v/>
      </c>
      <c r="AN1216" s="461" t="str">
        <f t="shared" si="692"/>
        <v/>
      </c>
      <c r="AO1216" s="462" t="str">
        <f t="shared" si="693"/>
        <v/>
      </c>
      <c r="AP1216" s="463" t="str">
        <f t="shared" si="694"/>
        <v/>
      </c>
      <c r="AQ1216" s="464"/>
      <c r="AR1216" s="619"/>
      <c r="AS1216" s="465" t="str">
        <f t="shared" si="702"/>
        <v/>
      </c>
      <c r="AT1216" s="465" t="str">
        <f t="shared" si="703"/>
        <v/>
      </c>
      <c r="AU1216" s="466" t="str">
        <f t="shared" si="704"/>
        <v/>
      </c>
      <c r="AV1216" s="467" t="str">
        <f t="shared" si="705"/>
        <v/>
      </c>
      <c r="AW1216" s="467" t="str">
        <f t="shared" si="706"/>
        <v/>
      </c>
      <c r="AX1216" s="467" t="str">
        <f t="shared" si="707"/>
        <v/>
      </c>
      <c r="AY1216" s="467" t="str">
        <f t="shared" si="708"/>
        <v/>
      </c>
      <c r="AZ1216" s="467" t="str">
        <f t="shared" si="709"/>
        <v/>
      </c>
      <c r="BA1216" s="468" t="str">
        <f>IF(AS1216="","",IF(OR(AU1216="",AU1216="-"),"－",IF(OR(AZ1216=8,AZ1216=9),"",IF(OR(AW1216=3,AW1216=4,AW1216=5,AW1216=6),VLOOKUP(AU1216,INDEX((係数_バス貨物_ガソリン,係数_バス貨物_CNG,係数_バス貨物_軽油,係数_バス貨物_メタノール,係数_バス貨物_LPG),MATCH(AY1216,【参考】排出係数!$AI$4:$AI$671,1),1,BE1216):INDEX((係数_バス貨物_ガソリン,係数_バス貨物_CNG,係数_バス貨物_軽油,係数_バス貨物_メタノール,係数_バス貨物_LPG),MATCH(AY1216+1,【参考】排出係数!$AI$4:$AI$671,1)-1,5,BE1216),2,FALSE),IF(OR(AW1216=1,AW1216=2),VLOOKUP(AU1216,INDEX((係数_乗用_ガソリン,係数_乗用_CNG,係数_乗用_軽油,係数_乗用_メタノール,係数_乗用_LPG),1,1,BE1216):INDEX((係数_乗用_ガソリン,係数_乗用_CNG,係数_乗用_軽油,係数_乗用_メタノール,係数_乗用_LPG),125,5,BE1216),2,FALSE))))))</f>
        <v/>
      </c>
      <c r="BB1216" s="468" t="str">
        <f>IF(T1216="","",IF(OR(AU1216="",AU1216="-"),"－",IF(OR(AZ1216=8,AZ1216=9),"",IF(OR(AW1216=3,AW1216=4,AW1216=5,AW1216=6),VLOOKUP(AU1216,INDEX((係数_バス貨物_ガソリン,係数_バス貨物_CNG,係数_バス貨物_軽油,係数_バス貨物_メタノール,係数_バス貨物_LPG),MATCH(AY1216,【参考】排出係数!$AI$4:$AI$671,1),1,BE1216):INDEX((係数_バス貨物_ガソリン,係数_バス貨物_CNG,係数_バス貨物_軽油,係数_バス貨物_メタノール,係数_バス貨物_LPG),MATCH(AY1216+1,【参考】排出係数!$AI$4:$AI$671,1)-1,5,BE1216),3,FALSE),IF(OR(AW1216=1,AW1216=2),VLOOKUP(AU1216,INDEX((係数_乗用_ガソリン,係数_乗用_CNG,係数_乗用_軽油,係数_乗用_メタノール,係数_乗用_LPG),1,1,BE1216):INDEX((係数_乗用_ガソリン,係数_乗用_CNG,係数_乗用_軽油,係数_乗用_メタノール,係数_乗用_LPG),125,5,BE1216),3,FALSE))))))</f>
        <v/>
      </c>
      <c r="BC1216" s="467" t="str">
        <f t="shared" si="710"/>
        <v/>
      </c>
      <c r="BD1216" s="567" t="str">
        <f t="shared" si="711"/>
        <v/>
      </c>
      <c r="BE1216" s="467" t="str">
        <f t="shared" si="712"/>
        <v/>
      </c>
      <c r="BF1216" s="469" t="str">
        <f t="shared" ca="1" si="713"/>
        <v/>
      </c>
      <c r="BG1216" s="469" t="str">
        <f t="shared" ca="1" si="714"/>
        <v/>
      </c>
      <c r="BH1216" s="467" t="str">
        <f t="shared" si="715"/>
        <v/>
      </c>
      <c r="BI1216" s="467" t="str">
        <f t="shared" ca="1" si="716"/>
        <v/>
      </c>
      <c r="BJ1216" s="469" t="str">
        <f t="shared" si="717"/>
        <v/>
      </c>
      <c r="BK1216" s="470" t="str">
        <f t="shared" si="701"/>
        <v/>
      </c>
      <c r="BL1216" s="775" t="str">
        <f t="shared" si="718"/>
        <v/>
      </c>
      <c r="BM1216" s="775" t="str">
        <f t="shared" si="719"/>
        <v/>
      </c>
    </row>
    <row r="1217" spans="1:65">
      <c r="A1217" s="473">
        <v>1161</v>
      </c>
      <c r="B1217" s="132"/>
      <c r="C1217" s="332"/>
      <c r="D1217" s="333"/>
      <c r="E1217" s="333"/>
      <c r="F1217" s="334"/>
      <c r="G1217" s="337"/>
      <c r="H1217" s="131"/>
      <c r="I1217" s="337"/>
      <c r="J1217" s="131"/>
      <c r="K1217" s="458" t="str">
        <f t="shared" si="682"/>
        <v/>
      </c>
      <c r="L1217" s="458">
        <f t="shared" si="683"/>
        <v>0</v>
      </c>
      <c r="M1217" s="458">
        <f t="shared" si="684"/>
        <v>0</v>
      </c>
      <c r="N1217" s="459" t="str">
        <f t="shared" si="695"/>
        <v/>
      </c>
      <c r="O1217" s="459" t="str">
        <f t="shared" si="696"/>
        <v/>
      </c>
      <c r="P1217" s="459" t="str">
        <f t="shared" si="697"/>
        <v/>
      </c>
      <c r="Q1217" s="459" t="str">
        <f t="shared" si="698"/>
        <v/>
      </c>
      <c r="R1217" s="459" t="str">
        <f t="shared" si="699"/>
        <v/>
      </c>
      <c r="S1217" s="459" t="str">
        <f t="shared" si="700"/>
        <v/>
      </c>
      <c r="T1217" s="566" t="str">
        <f t="shared" si="685"/>
        <v/>
      </c>
      <c r="U1217" s="702"/>
      <c r="V1217" s="132"/>
      <c r="W1217" s="133"/>
      <c r="X1217" s="134"/>
      <c r="Y1217" s="135"/>
      <c r="Z1217" s="137"/>
      <c r="AA1217" s="136"/>
      <c r="AB1217" s="566" t="str">
        <f t="shared" si="686"/>
        <v/>
      </c>
      <c r="AC1217" s="568" t="str">
        <f t="shared" si="687"/>
        <v/>
      </c>
      <c r="AD1217" s="137"/>
      <c r="AE1217" s="137"/>
      <c r="AF1217" s="138"/>
      <c r="AG1217" s="138"/>
      <c r="AH1217" s="592" t="str">
        <f t="shared" si="688"/>
        <v/>
      </c>
      <c r="AI1217" s="592" t="str">
        <f t="shared" si="689"/>
        <v/>
      </c>
      <c r="AJ1217" s="592" t="str">
        <f t="shared" si="690"/>
        <v/>
      </c>
      <c r="AK1217" s="460" t="str">
        <f>IF(AU1217="","",IF(OR(AZ1217=8,AZ1217=9),0,IF(OR(AW1217=3,AW1217=4,AW1217=5,AW1217=6),IF(LEFT(BF1217,1)="1",INDEX(係数_NOX・PM低減,MATCH(AY1217,【参考】排出係数!$AI$801:$AI$804,1),1),VLOOKUP(AU1217,INDEX((係数_バス貨物_ガソリン,係数_バス貨物_CNG,係数_バス貨物_軽油,係数_バス貨物_メタノール,係数_バス貨物_LPG),MATCH(AY1217,【参考】排出係数!$AI$4:$AI$671,1),1,BE1217):INDEX((係数_バス貨物_ガソリン,係数_バス貨物_CNG,係数_バス貨物_軽油,係数_バス貨物_メタノール,係数_バス貨物_LPG),MATCH(AY1217+1,【参考】排出係数!$AI$4:$AI$671,1)-1,5,BE1217),4,FALSE)),IF(AND(BE1217=3,LEFT(BF1217,1)="1"),0.48,VLOOKUP(AU1217,INDEX((係数_乗用_ガソリン,係数_乗用_CNG,係数_乗用_軽油,係数_乗用_メタノール,係数_乗用_LPG),1,1,BE1217):INDEX((係数_乗用_ガソリン,係数_乗用_CNG,係数_乗用_軽油,係数_乗用_メタノール,係数_乗用_LPG),125,5,BE1217),4,FALSE)))))</f>
        <v/>
      </c>
      <c r="AL1217" s="461" t="str">
        <f t="shared" si="691"/>
        <v/>
      </c>
      <c r="AM1217" s="460" t="str">
        <f>IF(AU1217="","",IF(OR(AZ1217=8,AZ1217=9),0,IF(OR(AW1217=3,AW1217=4,AW1217=5,AW1217=6),IF(LEFT(BH1217,1)="1",INDEX(係数_PM低減,MATCH(AY1217,【参考】排出係数!$AI$801:$AI$804,1),MATCH(BI1217,【参考】排出係数!$AL$798:$AO$798,1)),VLOOKUP(AU1217,INDEX((係数_バス貨物_ガソリン,係数_バス貨物_CNG,係数_バス貨物_軽油,係数_バス貨物_メタノール,係数_バス貨物_LPG),MATCH(AY1217,【参考】排出係数!$AI$4:$AI$671,1),1,BE1217):INDEX((係数_バス貨物_ガソリン,係数_バス貨物_CNG,係数_バス貨物_軽油,係数_バス貨物_メタノール,係数_バス貨物_LPG),MATCH(AY1217+1,【参考】排出係数!$AI$4:$AI$671,1)-1,5,BE1217),5,FALSE)),IF(AND(BE1217=3,LEFT(BF1217,1)="1"),0.055,VLOOKUP(AU1217,INDEX((係数_乗用_ガソリン,係数_乗用_CNG,係数_乗用_軽油,係数_乗用_メタノール,係数_乗用_LPG),1,1,BE1217):INDEX((係数_乗用_ガソリン,係数_乗用_CNG,係数_乗用_軽油,係数_乗用_メタノール,係数_乗用_LPG),125,5,BE1217),5,FALSE)))))</f>
        <v/>
      </c>
      <c r="AN1217" s="461" t="str">
        <f t="shared" si="692"/>
        <v/>
      </c>
      <c r="AO1217" s="462" t="str">
        <f t="shared" si="693"/>
        <v/>
      </c>
      <c r="AP1217" s="463" t="str">
        <f t="shared" si="694"/>
        <v/>
      </c>
      <c r="AQ1217" s="464"/>
      <c r="AR1217" s="619"/>
      <c r="AS1217" s="465" t="str">
        <f t="shared" si="702"/>
        <v/>
      </c>
      <c r="AT1217" s="465" t="str">
        <f t="shared" si="703"/>
        <v/>
      </c>
      <c r="AU1217" s="466" t="str">
        <f t="shared" si="704"/>
        <v/>
      </c>
      <c r="AV1217" s="467" t="str">
        <f t="shared" si="705"/>
        <v/>
      </c>
      <c r="AW1217" s="467" t="str">
        <f t="shared" si="706"/>
        <v/>
      </c>
      <c r="AX1217" s="467" t="str">
        <f t="shared" si="707"/>
        <v/>
      </c>
      <c r="AY1217" s="467" t="str">
        <f t="shared" si="708"/>
        <v/>
      </c>
      <c r="AZ1217" s="467" t="str">
        <f t="shared" si="709"/>
        <v/>
      </c>
      <c r="BA1217" s="468" t="str">
        <f>IF(AS1217="","",IF(OR(AU1217="",AU1217="-"),"－",IF(OR(AZ1217=8,AZ1217=9),"",IF(OR(AW1217=3,AW1217=4,AW1217=5,AW1217=6),VLOOKUP(AU1217,INDEX((係数_バス貨物_ガソリン,係数_バス貨物_CNG,係数_バス貨物_軽油,係数_バス貨物_メタノール,係数_バス貨物_LPG),MATCH(AY1217,【参考】排出係数!$AI$4:$AI$671,1),1,BE1217):INDEX((係数_バス貨物_ガソリン,係数_バス貨物_CNG,係数_バス貨物_軽油,係数_バス貨物_メタノール,係数_バス貨物_LPG),MATCH(AY1217+1,【参考】排出係数!$AI$4:$AI$671,1)-1,5,BE1217),2,FALSE),IF(OR(AW1217=1,AW1217=2),VLOOKUP(AU1217,INDEX((係数_乗用_ガソリン,係数_乗用_CNG,係数_乗用_軽油,係数_乗用_メタノール,係数_乗用_LPG),1,1,BE1217):INDEX((係数_乗用_ガソリン,係数_乗用_CNG,係数_乗用_軽油,係数_乗用_メタノール,係数_乗用_LPG),125,5,BE1217),2,FALSE))))))</f>
        <v/>
      </c>
      <c r="BB1217" s="468" t="str">
        <f>IF(T1217="","",IF(OR(AU1217="",AU1217="-"),"－",IF(OR(AZ1217=8,AZ1217=9),"",IF(OR(AW1217=3,AW1217=4,AW1217=5,AW1217=6),VLOOKUP(AU1217,INDEX((係数_バス貨物_ガソリン,係数_バス貨物_CNG,係数_バス貨物_軽油,係数_バス貨物_メタノール,係数_バス貨物_LPG),MATCH(AY1217,【参考】排出係数!$AI$4:$AI$671,1),1,BE1217):INDEX((係数_バス貨物_ガソリン,係数_バス貨物_CNG,係数_バス貨物_軽油,係数_バス貨物_メタノール,係数_バス貨物_LPG),MATCH(AY1217+1,【参考】排出係数!$AI$4:$AI$671,1)-1,5,BE1217),3,FALSE),IF(OR(AW1217=1,AW1217=2),VLOOKUP(AU1217,INDEX((係数_乗用_ガソリン,係数_乗用_CNG,係数_乗用_軽油,係数_乗用_メタノール,係数_乗用_LPG),1,1,BE1217):INDEX((係数_乗用_ガソリン,係数_乗用_CNG,係数_乗用_軽油,係数_乗用_メタノール,係数_乗用_LPG),125,5,BE1217),3,FALSE))))))</f>
        <v/>
      </c>
      <c r="BC1217" s="467" t="str">
        <f t="shared" si="710"/>
        <v/>
      </c>
      <c r="BD1217" s="567" t="str">
        <f t="shared" si="711"/>
        <v/>
      </c>
      <c r="BE1217" s="467" t="str">
        <f t="shared" si="712"/>
        <v/>
      </c>
      <c r="BF1217" s="469" t="str">
        <f t="shared" ca="1" si="713"/>
        <v/>
      </c>
      <c r="BG1217" s="469" t="str">
        <f t="shared" ca="1" si="714"/>
        <v/>
      </c>
      <c r="BH1217" s="467" t="str">
        <f t="shared" si="715"/>
        <v/>
      </c>
      <c r="BI1217" s="467" t="str">
        <f t="shared" ca="1" si="716"/>
        <v/>
      </c>
      <c r="BJ1217" s="469" t="str">
        <f t="shared" si="717"/>
        <v/>
      </c>
      <c r="BK1217" s="470" t="str">
        <f t="shared" si="701"/>
        <v/>
      </c>
      <c r="BL1217" s="775" t="str">
        <f t="shared" si="718"/>
        <v/>
      </c>
      <c r="BM1217" s="775" t="str">
        <f t="shared" si="719"/>
        <v/>
      </c>
    </row>
    <row r="1218" spans="1:65">
      <c r="A1218" s="473">
        <v>1162</v>
      </c>
      <c r="B1218" s="132"/>
      <c r="C1218" s="332"/>
      <c r="D1218" s="333"/>
      <c r="E1218" s="333"/>
      <c r="F1218" s="334"/>
      <c r="G1218" s="337"/>
      <c r="H1218" s="131"/>
      <c r="I1218" s="337"/>
      <c r="J1218" s="131"/>
      <c r="K1218" s="458" t="str">
        <f t="shared" si="682"/>
        <v/>
      </c>
      <c r="L1218" s="458">
        <f t="shared" si="683"/>
        <v>0</v>
      </c>
      <c r="M1218" s="458">
        <f t="shared" si="684"/>
        <v>0</v>
      </c>
      <c r="N1218" s="459" t="str">
        <f t="shared" si="695"/>
        <v/>
      </c>
      <c r="O1218" s="459" t="str">
        <f t="shared" si="696"/>
        <v/>
      </c>
      <c r="P1218" s="459" t="str">
        <f t="shared" si="697"/>
        <v/>
      </c>
      <c r="Q1218" s="459" t="str">
        <f t="shared" si="698"/>
        <v/>
      </c>
      <c r="R1218" s="459" t="str">
        <f t="shared" si="699"/>
        <v/>
      </c>
      <c r="S1218" s="459" t="str">
        <f t="shared" si="700"/>
        <v/>
      </c>
      <c r="T1218" s="566" t="str">
        <f t="shared" si="685"/>
        <v/>
      </c>
      <c r="U1218" s="702"/>
      <c r="V1218" s="132"/>
      <c r="W1218" s="133"/>
      <c r="X1218" s="134"/>
      <c r="Y1218" s="135"/>
      <c r="Z1218" s="137"/>
      <c r="AA1218" s="136"/>
      <c r="AB1218" s="566" t="str">
        <f t="shared" si="686"/>
        <v/>
      </c>
      <c r="AC1218" s="568" t="str">
        <f t="shared" si="687"/>
        <v/>
      </c>
      <c r="AD1218" s="137"/>
      <c r="AE1218" s="137"/>
      <c r="AF1218" s="138"/>
      <c r="AG1218" s="138"/>
      <c r="AH1218" s="592" t="str">
        <f t="shared" si="688"/>
        <v/>
      </c>
      <c r="AI1218" s="592" t="str">
        <f t="shared" si="689"/>
        <v/>
      </c>
      <c r="AJ1218" s="592" t="str">
        <f t="shared" si="690"/>
        <v/>
      </c>
      <c r="AK1218" s="460" t="str">
        <f>IF(AU1218="","",IF(OR(AZ1218=8,AZ1218=9),0,IF(OR(AW1218=3,AW1218=4,AW1218=5,AW1218=6),IF(LEFT(BF1218,1)="1",INDEX(係数_NOX・PM低減,MATCH(AY1218,【参考】排出係数!$AI$801:$AI$804,1),1),VLOOKUP(AU1218,INDEX((係数_バス貨物_ガソリン,係数_バス貨物_CNG,係数_バス貨物_軽油,係数_バス貨物_メタノール,係数_バス貨物_LPG),MATCH(AY1218,【参考】排出係数!$AI$4:$AI$671,1),1,BE1218):INDEX((係数_バス貨物_ガソリン,係数_バス貨物_CNG,係数_バス貨物_軽油,係数_バス貨物_メタノール,係数_バス貨物_LPG),MATCH(AY1218+1,【参考】排出係数!$AI$4:$AI$671,1)-1,5,BE1218),4,FALSE)),IF(AND(BE1218=3,LEFT(BF1218,1)="1"),0.48,VLOOKUP(AU1218,INDEX((係数_乗用_ガソリン,係数_乗用_CNG,係数_乗用_軽油,係数_乗用_メタノール,係数_乗用_LPG),1,1,BE1218):INDEX((係数_乗用_ガソリン,係数_乗用_CNG,係数_乗用_軽油,係数_乗用_メタノール,係数_乗用_LPG),125,5,BE1218),4,FALSE)))))</f>
        <v/>
      </c>
      <c r="AL1218" s="461" t="str">
        <f t="shared" si="691"/>
        <v/>
      </c>
      <c r="AM1218" s="460" t="str">
        <f>IF(AU1218="","",IF(OR(AZ1218=8,AZ1218=9),0,IF(OR(AW1218=3,AW1218=4,AW1218=5,AW1218=6),IF(LEFT(BH1218,1)="1",INDEX(係数_PM低減,MATCH(AY1218,【参考】排出係数!$AI$801:$AI$804,1),MATCH(BI1218,【参考】排出係数!$AL$798:$AO$798,1)),VLOOKUP(AU1218,INDEX((係数_バス貨物_ガソリン,係数_バス貨物_CNG,係数_バス貨物_軽油,係数_バス貨物_メタノール,係数_バス貨物_LPG),MATCH(AY1218,【参考】排出係数!$AI$4:$AI$671,1),1,BE1218):INDEX((係数_バス貨物_ガソリン,係数_バス貨物_CNG,係数_バス貨物_軽油,係数_バス貨物_メタノール,係数_バス貨物_LPG),MATCH(AY1218+1,【参考】排出係数!$AI$4:$AI$671,1)-1,5,BE1218),5,FALSE)),IF(AND(BE1218=3,LEFT(BF1218,1)="1"),0.055,VLOOKUP(AU1218,INDEX((係数_乗用_ガソリン,係数_乗用_CNG,係数_乗用_軽油,係数_乗用_メタノール,係数_乗用_LPG),1,1,BE1218):INDEX((係数_乗用_ガソリン,係数_乗用_CNG,係数_乗用_軽油,係数_乗用_メタノール,係数_乗用_LPG),125,5,BE1218),5,FALSE)))))</f>
        <v/>
      </c>
      <c r="AN1218" s="461" t="str">
        <f t="shared" si="692"/>
        <v/>
      </c>
      <c r="AO1218" s="462" t="str">
        <f t="shared" si="693"/>
        <v/>
      </c>
      <c r="AP1218" s="463" t="str">
        <f t="shared" si="694"/>
        <v/>
      </c>
      <c r="AQ1218" s="464"/>
      <c r="AR1218" s="619"/>
      <c r="AS1218" s="465" t="str">
        <f t="shared" si="702"/>
        <v/>
      </c>
      <c r="AT1218" s="465" t="str">
        <f t="shared" si="703"/>
        <v/>
      </c>
      <c r="AU1218" s="466" t="str">
        <f t="shared" si="704"/>
        <v/>
      </c>
      <c r="AV1218" s="467" t="str">
        <f t="shared" si="705"/>
        <v/>
      </c>
      <c r="AW1218" s="467" t="str">
        <f t="shared" si="706"/>
        <v/>
      </c>
      <c r="AX1218" s="467" t="str">
        <f t="shared" si="707"/>
        <v/>
      </c>
      <c r="AY1218" s="467" t="str">
        <f t="shared" si="708"/>
        <v/>
      </c>
      <c r="AZ1218" s="467" t="str">
        <f t="shared" si="709"/>
        <v/>
      </c>
      <c r="BA1218" s="468" t="str">
        <f>IF(AS1218="","",IF(OR(AU1218="",AU1218="-"),"－",IF(OR(AZ1218=8,AZ1218=9),"",IF(OR(AW1218=3,AW1218=4,AW1218=5,AW1218=6),VLOOKUP(AU1218,INDEX((係数_バス貨物_ガソリン,係数_バス貨物_CNG,係数_バス貨物_軽油,係数_バス貨物_メタノール,係数_バス貨物_LPG),MATCH(AY1218,【参考】排出係数!$AI$4:$AI$671,1),1,BE1218):INDEX((係数_バス貨物_ガソリン,係数_バス貨物_CNG,係数_バス貨物_軽油,係数_バス貨物_メタノール,係数_バス貨物_LPG),MATCH(AY1218+1,【参考】排出係数!$AI$4:$AI$671,1)-1,5,BE1218),2,FALSE),IF(OR(AW1218=1,AW1218=2),VLOOKUP(AU1218,INDEX((係数_乗用_ガソリン,係数_乗用_CNG,係数_乗用_軽油,係数_乗用_メタノール,係数_乗用_LPG),1,1,BE1218):INDEX((係数_乗用_ガソリン,係数_乗用_CNG,係数_乗用_軽油,係数_乗用_メタノール,係数_乗用_LPG),125,5,BE1218),2,FALSE))))))</f>
        <v/>
      </c>
      <c r="BB1218" s="468" t="str">
        <f>IF(T1218="","",IF(OR(AU1218="",AU1218="-"),"－",IF(OR(AZ1218=8,AZ1218=9),"",IF(OR(AW1218=3,AW1218=4,AW1218=5,AW1218=6),VLOOKUP(AU1218,INDEX((係数_バス貨物_ガソリン,係数_バス貨物_CNG,係数_バス貨物_軽油,係数_バス貨物_メタノール,係数_バス貨物_LPG),MATCH(AY1218,【参考】排出係数!$AI$4:$AI$671,1),1,BE1218):INDEX((係数_バス貨物_ガソリン,係数_バス貨物_CNG,係数_バス貨物_軽油,係数_バス貨物_メタノール,係数_バス貨物_LPG),MATCH(AY1218+1,【参考】排出係数!$AI$4:$AI$671,1)-1,5,BE1218),3,FALSE),IF(OR(AW1218=1,AW1218=2),VLOOKUP(AU1218,INDEX((係数_乗用_ガソリン,係数_乗用_CNG,係数_乗用_軽油,係数_乗用_メタノール,係数_乗用_LPG),1,1,BE1218):INDEX((係数_乗用_ガソリン,係数_乗用_CNG,係数_乗用_軽油,係数_乗用_メタノール,係数_乗用_LPG),125,5,BE1218),3,FALSE))))))</f>
        <v/>
      </c>
      <c r="BC1218" s="467" t="str">
        <f t="shared" si="710"/>
        <v/>
      </c>
      <c r="BD1218" s="567" t="str">
        <f t="shared" si="711"/>
        <v/>
      </c>
      <c r="BE1218" s="467" t="str">
        <f t="shared" si="712"/>
        <v/>
      </c>
      <c r="BF1218" s="469" t="str">
        <f t="shared" ca="1" si="713"/>
        <v/>
      </c>
      <c r="BG1218" s="469" t="str">
        <f t="shared" ca="1" si="714"/>
        <v/>
      </c>
      <c r="BH1218" s="467" t="str">
        <f t="shared" si="715"/>
        <v/>
      </c>
      <c r="BI1218" s="467" t="str">
        <f t="shared" ca="1" si="716"/>
        <v/>
      </c>
      <c r="BJ1218" s="469" t="str">
        <f t="shared" si="717"/>
        <v/>
      </c>
      <c r="BK1218" s="470" t="str">
        <f t="shared" si="701"/>
        <v/>
      </c>
      <c r="BL1218" s="775" t="str">
        <f t="shared" si="718"/>
        <v/>
      </c>
      <c r="BM1218" s="775" t="str">
        <f t="shared" si="719"/>
        <v/>
      </c>
    </row>
    <row r="1219" spans="1:65">
      <c r="A1219" s="473">
        <v>1163</v>
      </c>
      <c r="B1219" s="132"/>
      <c r="C1219" s="332"/>
      <c r="D1219" s="333"/>
      <c r="E1219" s="333"/>
      <c r="F1219" s="334"/>
      <c r="G1219" s="337"/>
      <c r="H1219" s="131"/>
      <c r="I1219" s="337"/>
      <c r="J1219" s="131"/>
      <c r="K1219" s="458" t="str">
        <f t="shared" si="682"/>
        <v/>
      </c>
      <c r="L1219" s="458">
        <f t="shared" si="683"/>
        <v>0</v>
      </c>
      <c r="M1219" s="458">
        <f t="shared" si="684"/>
        <v>0</v>
      </c>
      <c r="N1219" s="459" t="str">
        <f t="shared" si="695"/>
        <v/>
      </c>
      <c r="O1219" s="459" t="str">
        <f t="shared" si="696"/>
        <v/>
      </c>
      <c r="P1219" s="459" t="str">
        <f t="shared" si="697"/>
        <v/>
      </c>
      <c r="Q1219" s="459" t="str">
        <f t="shared" si="698"/>
        <v/>
      </c>
      <c r="R1219" s="459" t="str">
        <f t="shared" si="699"/>
        <v/>
      </c>
      <c r="S1219" s="459" t="str">
        <f t="shared" si="700"/>
        <v/>
      </c>
      <c r="T1219" s="566" t="str">
        <f t="shared" si="685"/>
        <v/>
      </c>
      <c r="U1219" s="702"/>
      <c r="V1219" s="132"/>
      <c r="W1219" s="133"/>
      <c r="X1219" s="134"/>
      <c r="Y1219" s="135"/>
      <c r="Z1219" s="137"/>
      <c r="AA1219" s="136"/>
      <c r="AB1219" s="566" t="str">
        <f t="shared" si="686"/>
        <v/>
      </c>
      <c r="AC1219" s="568" t="str">
        <f t="shared" si="687"/>
        <v/>
      </c>
      <c r="AD1219" s="137"/>
      <c r="AE1219" s="137"/>
      <c r="AF1219" s="138"/>
      <c r="AG1219" s="138"/>
      <c r="AH1219" s="592" t="str">
        <f t="shared" si="688"/>
        <v/>
      </c>
      <c r="AI1219" s="592" t="str">
        <f t="shared" si="689"/>
        <v/>
      </c>
      <c r="AJ1219" s="592" t="str">
        <f t="shared" si="690"/>
        <v/>
      </c>
      <c r="AK1219" s="460" t="str">
        <f>IF(AU1219="","",IF(OR(AZ1219=8,AZ1219=9),0,IF(OR(AW1219=3,AW1219=4,AW1219=5,AW1219=6),IF(LEFT(BF1219,1)="1",INDEX(係数_NOX・PM低減,MATCH(AY1219,【参考】排出係数!$AI$801:$AI$804,1),1),VLOOKUP(AU1219,INDEX((係数_バス貨物_ガソリン,係数_バス貨物_CNG,係数_バス貨物_軽油,係数_バス貨物_メタノール,係数_バス貨物_LPG),MATCH(AY1219,【参考】排出係数!$AI$4:$AI$671,1),1,BE1219):INDEX((係数_バス貨物_ガソリン,係数_バス貨物_CNG,係数_バス貨物_軽油,係数_バス貨物_メタノール,係数_バス貨物_LPG),MATCH(AY1219+1,【参考】排出係数!$AI$4:$AI$671,1)-1,5,BE1219),4,FALSE)),IF(AND(BE1219=3,LEFT(BF1219,1)="1"),0.48,VLOOKUP(AU1219,INDEX((係数_乗用_ガソリン,係数_乗用_CNG,係数_乗用_軽油,係数_乗用_メタノール,係数_乗用_LPG),1,1,BE1219):INDEX((係数_乗用_ガソリン,係数_乗用_CNG,係数_乗用_軽油,係数_乗用_メタノール,係数_乗用_LPG),125,5,BE1219),4,FALSE)))))</f>
        <v/>
      </c>
      <c r="AL1219" s="461" t="str">
        <f t="shared" si="691"/>
        <v/>
      </c>
      <c r="AM1219" s="460" t="str">
        <f>IF(AU1219="","",IF(OR(AZ1219=8,AZ1219=9),0,IF(OR(AW1219=3,AW1219=4,AW1219=5,AW1219=6),IF(LEFT(BH1219,1)="1",INDEX(係数_PM低減,MATCH(AY1219,【参考】排出係数!$AI$801:$AI$804,1),MATCH(BI1219,【参考】排出係数!$AL$798:$AO$798,1)),VLOOKUP(AU1219,INDEX((係数_バス貨物_ガソリン,係数_バス貨物_CNG,係数_バス貨物_軽油,係数_バス貨物_メタノール,係数_バス貨物_LPG),MATCH(AY1219,【参考】排出係数!$AI$4:$AI$671,1),1,BE1219):INDEX((係数_バス貨物_ガソリン,係数_バス貨物_CNG,係数_バス貨物_軽油,係数_バス貨物_メタノール,係数_バス貨物_LPG),MATCH(AY1219+1,【参考】排出係数!$AI$4:$AI$671,1)-1,5,BE1219),5,FALSE)),IF(AND(BE1219=3,LEFT(BF1219,1)="1"),0.055,VLOOKUP(AU1219,INDEX((係数_乗用_ガソリン,係数_乗用_CNG,係数_乗用_軽油,係数_乗用_メタノール,係数_乗用_LPG),1,1,BE1219):INDEX((係数_乗用_ガソリン,係数_乗用_CNG,係数_乗用_軽油,係数_乗用_メタノール,係数_乗用_LPG),125,5,BE1219),5,FALSE)))))</f>
        <v/>
      </c>
      <c r="AN1219" s="461" t="str">
        <f t="shared" si="692"/>
        <v/>
      </c>
      <c r="AO1219" s="462" t="str">
        <f t="shared" si="693"/>
        <v/>
      </c>
      <c r="AP1219" s="463" t="str">
        <f t="shared" si="694"/>
        <v/>
      </c>
      <c r="AQ1219" s="464"/>
      <c r="AR1219" s="619"/>
      <c r="AS1219" s="465" t="str">
        <f t="shared" si="702"/>
        <v/>
      </c>
      <c r="AT1219" s="465" t="str">
        <f t="shared" si="703"/>
        <v/>
      </c>
      <c r="AU1219" s="466" t="str">
        <f t="shared" si="704"/>
        <v/>
      </c>
      <c r="AV1219" s="467" t="str">
        <f t="shared" si="705"/>
        <v/>
      </c>
      <c r="AW1219" s="467" t="str">
        <f t="shared" si="706"/>
        <v/>
      </c>
      <c r="AX1219" s="467" t="str">
        <f t="shared" si="707"/>
        <v/>
      </c>
      <c r="AY1219" s="467" t="str">
        <f t="shared" si="708"/>
        <v/>
      </c>
      <c r="AZ1219" s="467" t="str">
        <f t="shared" si="709"/>
        <v/>
      </c>
      <c r="BA1219" s="468" t="str">
        <f>IF(AS1219="","",IF(OR(AU1219="",AU1219="-"),"－",IF(OR(AZ1219=8,AZ1219=9),"",IF(OR(AW1219=3,AW1219=4,AW1219=5,AW1219=6),VLOOKUP(AU1219,INDEX((係数_バス貨物_ガソリン,係数_バス貨物_CNG,係数_バス貨物_軽油,係数_バス貨物_メタノール,係数_バス貨物_LPG),MATCH(AY1219,【参考】排出係数!$AI$4:$AI$671,1),1,BE1219):INDEX((係数_バス貨物_ガソリン,係数_バス貨物_CNG,係数_バス貨物_軽油,係数_バス貨物_メタノール,係数_バス貨物_LPG),MATCH(AY1219+1,【参考】排出係数!$AI$4:$AI$671,1)-1,5,BE1219),2,FALSE),IF(OR(AW1219=1,AW1219=2),VLOOKUP(AU1219,INDEX((係数_乗用_ガソリン,係数_乗用_CNG,係数_乗用_軽油,係数_乗用_メタノール,係数_乗用_LPG),1,1,BE1219):INDEX((係数_乗用_ガソリン,係数_乗用_CNG,係数_乗用_軽油,係数_乗用_メタノール,係数_乗用_LPG),125,5,BE1219),2,FALSE))))))</f>
        <v/>
      </c>
      <c r="BB1219" s="468" t="str">
        <f>IF(T1219="","",IF(OR(AU1219="",AU1219="-"),"－",IF(OR(AZ1219=8,AZ1219=9),"",IF(OR(AW1219=3,AW1219=4,AW1219=5,AW1219=6),VLOOKUP(AU1219,INDEX((係数_バス貨物_ガソリン,係数_バス貨物_CNG,係数_バス貨物_軽油,係数_バス貨物_メタノール,係数_バス貨物_LPG),MATCH(AY1219,【参考】排出係数!$AI$4:$AI$671,1),1,BE1219):INDEX((係数_バス貨物_ガソリン,係数_バス貨物_CNG,係数_バス貨物_軽油,係数_バス貨物_メタノール,係数_バス貨物_LPG),MATCH(AY1219+1,【参考】排出係数!$AI$4:$AI$671,1)-1,5,BE1219),3,FALSE),IF(OR(AW1219=1,AW1219=2),VLOOKUP(AU1219,INDEX((係数_乗用_ガソリン,係数_乗用_CNG,係数_乗用_軽油,係数_乗用_メタノール,係数_乗用_LPG),1,1,BE1219):INDEX((係数_乗用_ガソリン,係数_乗用_CNG,係数_乗用_軽油,係数_乗用_メタノール,係数_乗用_LPG),125,5,BE1219),3,FALSE))))))</f>
        <v/>
      </c>
      <c r="BC1219" s="467" t="str">
        <f t="shared" si="710"/>
        <v/>
      </c>
      <c r="BD1219" s="567" t="str">
        <f t="shared" si="711"/>
        <v/>
      </c>
      <c r="BE1219" s="467" t="str">
        <f t="shared" si="712"/>
        <v/>
      </c>
      <c r="BF1219" s="469" t="str">
        <f t="shared" ca="1" si="713"/>
        <v/>
      </c>
      <c r="BG1219" s="469" t="str">
        <f t="shared" ca="1" si="714"/>
        <v/>
      </c>
      <c r="BH1219" s="467" t="str">
        <f t="shared" si="715"/>
        <v/>
      </c>
      <c r="BI1219" s="467" t="str">
        <f t="shared" ca="1" si="716"/>
        <v/>
      </c>
      <c r="BJ1219" s="469" t="str">
        <f t="shared" si="717"/>
        <v/>
      </c>
      <c r="BK1219" s="470" t="str">
        <f t="shared" si="701"/>
        <v/>
      </c>
      <c r="BL1219" s="775" t="str">
        <f t="shared" si="718"/>
        <v/>
      </c>
      <c r="BM1219" s="775" t="str">
        <f t="shared" si="719"/>
        <v/>
      </c>
    </row>
    <row r="1220" spans="1:65">
      <c r="A1220" s="473">
        <v>1164</v>
      </c>
      <c r="B1220" s="132"/>
      <c r="C1220" s="332"/>
      <c r="D1220" s="333"/>
      <c r="E1220" s="333"/>
      <c r="F1220" s="334"/>
      <c r="G1220" s="337"/>
      <c r="H1220" s="131"/>
      <c r="I1220" s="337"/>
      <c r="J1220" s="131"/>
      <c r="K1220" s="458" t="str">
        <f t="shared" si="682"/>
        <v/>
      </c>
      <c r="L1220" s="458">
        <f t="shared" si="683"/>
        <v>0</v>
      </c>
      <c r="M1220" s="458">
        <f t="shared" si="684"/>
        <v>0</v>
      </c>
      <c r="N1220" s="459" t="str">
        <f t="shared" si="695"/>
        <v/>
      </c>
      <c r="O1220" s="459" t="str">
        <f t="shared" si="696"/>
        <v/>
      </c>
      <c r="P1220" s="459" t="str">
        <f t="shared" si="697"/>
        <v/>
      </c>
      <c r="Q1220" s="459" t="str">
        <f t="shared" si="698"/>
        <v/>
      </c>
      <c r="R1220" s="459" t="str">
        <f t="shared" si="699"/>
        <v/>
      </c>
      <c r="S1220" s="459" t="str">
        <f t="shared" si="700"/>
        <v/>
      </c>
      <c r="T1220" s="566" t="str">
        <f t="shared" si="685"/>
        <v/>
      </c>
      <c r="U1220" s="702"/>
      <c r="V1220" s="132"/>
      <c r="W1220" s="133"/>
      <c r="X1220" s="134"/>
      <c r="Y1220" s="135"/>
      <c r="Z1220" s="137"/>
      <c r="AA1220" s="136"/>
      <c r="AB1220" s="566" t="str">
        <f t="shared" si="686"/>
        <v/>
      </c>
      <c r="AC1220" s="568" t="str">
        <f t="shared" si="687"/>
        <v/>
      </c>
      <c r="AD1220" s="137"/>
      <c r="AE1220" s="137"/>
      <c r="AF1220" s="138"/>
      <c r="AG1220" s="138"/>
      <c r="AH1220" s="592" t="str">
        <f t="shared" si="688"/>
        <v/>
      </c>
      <c r="AI1220" s="592" t="str">
        <f t="shared" si="689"/>
        <v/>
      </c>
      <c r="AJ1220" s="592" t="str">
        <f t="shared" si="690"/>
        <v/>
      </c>
      <c r="AK1220" s="460" t="str">
        <f>IF(AU1220="","",IF(OR(AZ1220=8,AZ1220=9),0,IF(OR(AW1220=3,AW1220=4,AW1220=5,AW1220=6),IF(LEFT(BF1220,1)="1",INDEX(係数_NOX・PM低減,MATCH(AY1220,【参考】排出係数!$AI$801:$AI$804,1),1),VLOOKUP(AU1220,INDEX((係数_バス貨物_ガソリン,係数_バス貨物_CNG,係数_バス貨物_軽油,係数_バス貨物_メタノール,係数_バス貨物_LPG),MATCH(AY1220,【参考】排出係数!$AI$4:$AI$671,1),1,BE1220):INDEX((係数_バス貨物_ガソリン,係数_バス貨物_CNG,係数_バス貨物_軽油,係数_バス貨物_メタノール,係数_バス貨物_LPG),MATCH(AY1220+1,【参考】排出係数!$AI$4:$AI$671,1)-1,5,BE1220),4,FALSE)),IF(AND(BE1220=3,LEFT(BF1220,1)="1"),0.48,VLOOKUP(AU1220,INDEX((係数_乗用_ガソリン,係数_乗用_CNG,係数_乗用_軽油,係数_乗用_メタノール,係数_乗用_LPG),1,1,BE1220):INDEX((係数_乗用_ガソリン,係数_乗用_CNG,係数_乗用_軽油,係数_乗用_メタノール,係数_乗用_LPG),125,5,BE1220),4,FALSE)))))</f>
        <v/>
      </c>
      <c r="AL1220" s="461" t="str">
        <f t="shared" si="691"/>
        <v/>
      </c>
      <c r="AM1220" s="460" t="str">
        <f>IF(AU1220="","",IF(OR(AZ1220=8,AZ1220=9),0,IF(OR(AW1220=3,AW1220=4,AW1220=5,AW1220=6),IF(LEFT(BH1220,1)="1",INDEX(係数_PM低減,MATCH(AY1220,【参考】排出係数!$AI$801:$AI$804,1),MATCH(BI1220,【参考】排出係数!$AL$798:$AO$798,1)),VLOOKUP(AU1220,INDEX((係数_バス貨物_ガソリン,係数_バス貨物_CNG,係数_バス貨物_軽油,係数_バス貨物_メタノール,係数_バス貨物_LPG),MATCH(AY1220,【参考】排出係数!$AI$4:$AI$671,1),1,BE1220):INDEX((係数_バス貨物_ガソリン,係数_バス貨物_CNG,係数_バス貨物_軽油,係数_バス貨物_メタノール,係数_バス貨物_LPG),MATCH(AY1220+1,【参考】排出係数!$AI$4:$AI$671,1)-1,5,BE1220),5,FALSE)),IF(AND(BE1220=3,LEFT(BF1220,1)="1"),0.055,VLOOKUP(AU1220,INDEX((係数_乗用_ガソリン,係数_乗用_CNG,係数_乗用_軽油,係数_乗用_メタノール,係数_乗用_LPG),1,1,BE1220):INDEX((係数_乗用_ガソリン,係数_乗用_CNG,係数_乗用_軽油,係数_乗用_メタノール,係数_乗用_LPG),125,5,BE1220),5,FALSE)))))</f>
        <v/>
      </c>
      <c r="AN1220" s="461" t="str">
        <f t="shared" si="692"/>
        <v/>
      </c>
      <c r="AO1220" s="462" t="str">
        <f t="shared" si="693"/>
        <v/>
      </c>
      <c r="AP1220" s="463" t="str">
        <f t="shared" si="694"/>
        <v/>
      </c>
      <c r="AQ1220" s="464"/>
      <c r="AR1220" s="619"/>
      <c r="AS1220" s="465" t="str">
        <f t="shared" si="702"/>
        <v/>
      </c>
      <c r="AT1220" s="465" t="str">
        <f t="shared" si="703"/>
        <v/>
      </c>
      <c r="AU1220" s="466" t="str">
        <f t="shared" si="704"/>
        <v/>
      </c>
      <c r="AV1220" s="467" t="str">
        <f t="shared" si="705"/>
        <v/>
      </c>
      <c r="AW1220" s="467" t="str">
        <f t="shared" si="706"/>
        <v/>
      </c>
      <c r="AX1220" s="467" t="str">
        <f t="shared" si="707"/>
        <v/>
      </c>
      <c r="AY1220" s="467" t="str">
        <f t="shared" si="708"/>
        <v/>
      </c>
      <c r="AZ1220" s="467" t="str">
        <f t="shared" si="709"/>
        <v/>
      </c>
      <c r="BA1220" s="468" t="str">
        <f>IF(AS1220="","",IF(OR(AU1220="",AU1220="-"),"－",IF(OR(AZ1220=8,AZ1220=9),"",IF(OR(AW1220=3,AW1220=4,AW1220=5,AW1220=6),VLOOKUP(AU1220,INDEX((係数_バス貨物_ガソリン,係数_バス貨物_CNG,係数_バス貨物_軽油,係数_バス貨物_メタノール,係数_バス貨物_LPG),MATCH(AY1220,【参考】排出係数!$AI$4:$AI$671,1),1,BE1220):INDEX((係数_バス貨物_ガソリン,係数_バス貨物_CNG,係数_バス貨物_軽油,係数_バス貨物_メタノール,係数_バス貨物_LPG),MATCH(AY1220+1,【参考】排出係数!$AI$4:$AI$671,1)-1,5,BE1220),2,FALSE),IF(OR(AW1220=1,AW1220=2),VLOOKUP(AU1220,INDEX((係数_乗用_ガソリン,係数_乗用_CNG,係数_乗用_軽油,係数_乗用_メタノール,係数_乗用_LPG),1,1,BE1220):INDEX((係数_乗用_ガソリン,係数_乗用_CNG,係数_乗用_軽油,係数_乗用_メタノール,係数_乗用_LPG),125,5,BE1220),2,FALSE))))))</f>
        <v/>
      </c>
      <c r="BB1220" s="468" t="str">
        <f>IF(T1220="","",IF(OR(AU1220="",AU1220="-"),"－",IF(OR(AZ1220=8,AZ1220=9),"",IF(OR(AW1220=3,AW1220=4,AW1220=5,AW1220=6),VLOOKUP(AU1220,INDEX((係数_バス貨物_ガソリン,係数_バス貨物_CNG,係数_バス貨物_軽油,係数_バス貨物_メタノール,係数_バス貨物_LPG),MATCH(AY1220,【参考】排出係数!$AI$4:$AI$671,1),1,BE1220):INDEX((係数_バス貨物_ガソリン,係数_バス貨物_CNG,係数_バス貨物_軽油,係数_バス貨物_メタノール,係数_バス貨物_LPG),MATCH(AY1220+1,【参考】排出係数!$AI$4:$AI$671,1)-1,5,BE1220),3,FALSE),IF(OR(AW1220=1,AW1220=2),VLOOKUP(AU1220,INDEX((係数_乗用_ガソリン,係数_乗用_CNG,係数_乗用_軽油,係数_乗用_メタノール,係数_乗用_LPG),1,1,BE1220):INDEX((係数_乗用_ガソリン,係数_乗用_CNG,係数_乗用_軽油,係数_乗用_メタノール,係数_乗用_LPG),125,5,BE1220),3,FALSE))))))</f>
        <v/>
      </c>
      <c r="BC1220" s="467" t="str">
        <f t="shared" si="710"/>
        <v/>
      </c>
      <c r="BD1220" s="567" t="str">
        <f t="shared" si="711"/>
        <v/>
      </c>
      <c r="BE1220" s="467" t="str">
        <f t="shared" si="712"/>
        <v/>
      </c>
      <c r="BF1220" s="469" t="str">
        <f t="shared" ca="1" si="713"/>
        <v/>
      </c>
      <c r="BG1220" s="469" t="str">
        <f t="shared" ca="1" si="714"/>
        <v/>
      </c>
      <c r="BH1220" s="467" t="str">
        <f t="shared" si="715"/>
        <v/>
      </c>
      <c r="BI1220" s="467" t="str">
        <f t="shared" ca="1" si="716"/>
        <v/>
      </c>
      <c r="BJ1220" s="469" t="str">
        <f t="shared" si="717"/>
        <v/>
      </c>
      <c r="BK1220" s="470" t="str">
        <f t="shared" si="701"/>
        <v/>
      </c>
      <c r="BL1220" s="775" t="str">
        <f t="shared" si="718"/>
        <v/>
      </c>
      <c r="BM1220" s="775" t="str">
        <f t="shared" si="719"/>
        <v/>
      </c>
    </row>
    <row r="1221" spans="1:65">
      <c r="A1221" s="473">
        <v>1165</v>
      </c>
      <c r="B1221" s="132"/>
      <c r="C1221" s="332"/>
      <c r="D1221" s="333"/>
      <c r="E1221" s="333"/>
      <c r="F1221" s="334"/>
      <c r="G1221" s="337"/>
      <c r="H1221" s="131"/>
      <c r="I1221" s="337"/>
      <c r="J1221" s="131"/>
      <c r="K1221" s="458" t="str">
        <f t="shared" si="682"/>
        <v/>
      </c>
      <c r="L1221" s="458">
        <f t="shared" si="683"/>
        <v>0</v>
      </c>
      <c r="M1221" s="458">
        <f t="shared" si="684"/>
        <v>0</v>
      </c>
      <c r="N1221" s="459" t="str">
        <f t="shared" si="695"/>
        <v/>
      </c>
      <c r="O1221" s="459" t="str">
        <f t="shared" si="696"/>
        <v/>
      </c>
      <c r="P1221" s="459" t="str">
        <f t="shared" si="697"/>
        <v/>
      </c>
      <c r="Q1221" s="459" t="str">
        <f t="shared" si="698"/>
        <v/>
      </c>
      <c r="R1221" s="459" t="str">
        <f t="shared" si="699"/>
        <v/>
      </c>
      <c r="S1221" s="459" t="str">
        <f t="shared" si="700"/>
        <v/>
      </c>
      <c r="T1221" s="566" t="str">
        <f t="shared" si="685"/>
        <v/>
      </c>
      <c r="U1221" s="702"/>
      <c r="V1221" s="132"/>
      <c r="W1221" s="133"/>
      <c r="X1221" s="134"/>
      <c r="Y1221" s="135"/>
      <c r="Z1221" s="137"/>
      <c r="AA1221" s="136"/>
      <c r="AB1221" s="566" t="str">
        <f t="shared" si="686"/>
        <v/>
      </c>
      <c r="AC1221" s="568" t="str">
        <f t="shared" si="687"/>
        <v/>
      </c>
      <c r="AD1221" s="137"/>
      <c r="AE1221" s="137"/>
      <c r="AF1221" s="138"/>
      <c r="AG1221" s="138"/>
      <c r="AH1221" s="592" t="str">
        <f t="shared" si="688"/>
        <v/>
      </c>
      <c r="AI1221" s="592" t="str">
        <f t="shared" si="689"/>
        <v/>
      </c>
      <c r="AJ1221" s="592" t="str">
        <f t="shared" si="690"/>
        <v/>
      </c>
      <c r="AK1221" s="460" t="str">
        <f>IF(AU1221="","",IF(OR(AZ1221=8,AZ1221=9),0,IF(OR(AW1221=3,AW1221=4,AW1221=5,AW1221=6),IF(LEFT(BF1221,1)="1",INDEX(係数_NOX・PM低減,MATCH(AY1221,【参考】排出係数!$AI$801:$AI$804,1),1),VLOOKUP(AU1221,INDEX((係数_バス貨物_ガソリン,係数_バス貨物_CNG,係数_バス貨物_軽油,係数_バス貨物_メタノール,係数_バス貨物_LPG),MATCH(AY1221,【参考】排出係数!$AI$4:$AI$671,1),1,BE1221):INDEX((係数_バス貨物_ガソリン,係数_バス貨物_CNG,係数_バス貨物_軽油,係数_バス貨物_メタノール,係数_バス貨物_LPG),MATCH(AY1221+1,【参考】排出係数!$AI$4:$AI$671,1)-1,5,BE1221),4,FALSE)),IF(AND(BE1221=3,LEFT(BF1221,1)="1"),0.48,VLOOKUP(AU1221,INDEX((係数_乗用_ガソリン,係数_乗用_CNG,係数_乗用_軽油,係数_乗用_メタノール,係数_乗用_LPG),1,1,BE1221):INDEX((係数_乗用_ガソリン,係数_乗用_CNG,係数_乗用_軽油,係数_乗用_メタノール,係数_乗用_LPG),125,5,BE1221),4,FALSE)))))</f>
        <v/>
      </c>
      <c r="AL1221" s="461" t="str">
        <f t="shared" si="691"/>
        <v/>
      </c>
      <c r="AM1221" s="460" t="str">
        <f>IF(AU1221="","",IF(OR(AZ1221=8,AZ1221=9),0,IF(OR(AW1221=3,AW1221=4,AW1221=5,AW1221=6),IF(LEFT(BH1221,1)="1",INDEX(係数_PM低減,MATCH(AY1221,【参考】排出係数!$AI$801:$AI$804,1),MATCH(BI1221,【参考】排出係数!$AL$798:$AO$798,1)),VLOOKUP(AU1221,INDEX((係数_バス貨物_ガソリン,係数_バス貨物_CNG,係数_バス貨物_軽油,係数_バス貨物_メタノール,係数_バス貨物_LPG),MATCH(AY1221,【参考】排出係数!$AI$4:$AI$671,1),1,BE1221):INDEX((係数_バス貨物_ガソリン,係数_バス貨物_CNG,係数_バス貨物_軽油,係数_バス貨物_メタノール,係数_バス貨物_LPG),MATCH(AY1221+1,【参考】排出係数!$AI$4:$AI$671,1)-1,5,BE1221),5,FALSE)),IF(AND(BE1221=3,LEFT(BF1221,1)="1"),0.055,VLOOKUP(AU1221,INDEX((係数_乗用_ガソリン,係数_乗用_CNG,係数_乗用_軽油,係数_乗用_メタノール,係数_乗用_LPG),1,1,BE1221):INDEX((係数_乗用_ガソリン,係数_乗用_CNG,係数_乗用_軽油,係数_乗用_メタノール,係数_乗用_LPG),125,5,BE1221),5,FALSE)))))</f>
        <v/>
      </c>
      <c r="AN1221" s="461" t="str">
        <f t="shared" si="692"/>
        <v/>
      </c>
      <c r="AO1221" s="462" t="str">
        <f t="shared" si="693"/>
        <v/>
      </c>
      <c r="AP1221" s="463" t="str">
        <f t="shared" si="694"/>
        <v/>
      </c>
      <c r="AQ1221" s="464"/>
      <c r="AR1221" s="619"/>
      <c r="AS1221" s="465" t="str">
        <f t="shared" si="702"/>
        <v/>
      </c>
      <c r="AT1221" s="465" t="str">
        <f t="shared" si="703"/>
        <v/>
      </c>
      <c r="AU1221" s="466" t="str">
        <f t="shared" si="704"/>
        <v/>
      </c>
      <c r="AV1221" s="467" t="str">
        <f t="shared" si="705"/>
        <v/>
      </c>
      <c r="AW1221" s="467" t="str">
        <f t="shared" si="706"/>
        <v/>
      </c>
      <c r="AX1221" s="467" t="str">
        <f t="shared" si="707"/>
        <v/>
      </c>
      <c r="AY1221" s="467" t="str">
        <f t="shared" si="708"/>
        <v/>
      </c>
      <c r="AZ1221" s="467" t="str">
        <f t="shared" si="709"/>
        <v/>
      </c>
      <c r="BA1221" s="468" t="str">
        <f>IF(AS1221="","",IF(OR(AU1221="",AU1221="-"),"－",IF(OR(AZ1221=8,AZ1221=9),"",IF(OR(AW1221=3,AW1221=4,AW1221=5,AW1221=6),VLOOKUP(AU1221,INDEX((係数_バス貨物_ガソリン,係数_バス貨物_CNG,係数_バス貨物_軽油,係数_バス貨物_メタノール,係数_バス貨物_LPG),MATCH(AY1221,【参考】排出係数!$AI$4:$AI$671,1),1,BE1221):INDEX((係数_バス貨物_ガソリン,係数_バス貨物_CNG,係数_バス貨物_軽油,係数_バス貨物_メタノール,係数_バス貨物_LPG),MATCH(AY1221+1,【参考】排出係数!$AI$4:$AI$671,1)-1,5,BE1221),2,FALSE),IF(OR(AW1221=1,AW1221=2),VLOOKUP(AU1221,INDEX((係数_乗用_ガソリン,係数_乗用_CNG,係数_乗用_軽油,係数_乗用_メタノール,係数_乗用_LPG),1,1,BE1221):INDEX((係数_乗用_ガソリン,係数_乗用_CNG,係数_乗用_軽油,係数_乗用_メタノール,係数_乗用_LPG),125,5,BE1221),2,FALSE))))))</f>
        <v/>
      </c>
      <c r="BB1221" s="468" t="str">
        <f>IF(T1221="","",IF(OR(AU1221="",AU1221="-"),"－",IF(OR(AZ1221=8,AZ1221=9),"",IF(OR(AW1221=3,AW1221=4,AW1221=5,AW1221=6),VLOOKUP(AU1221,INDEX((係数_バス貨物_ガソリン,係数_バス貨物_CNG,係数_バス貨物_軽油,係数_バス貨物_メタノール,係数_バス貨物_LPG),MATCH(AY1221,【参考】排出係数!$AI$4:$AI$671,1),1,BE1221):INDEX((係数_バス貨物_ガソリン,係数_バス貨物_CNG,係数_バス貨物_軽油,係数_バス貨物_メタノール,係数_バス貨物_LPG),MATCH(AY1221+1,【参考】排出係数!$AI$4:$AI$671,1)-1,5,BE1221),3,FALSE),IF(OR(AW1221=1,AW1221=2),VLOOKUP(AU1221,INDEX((係数_乗用_ガソリン,係数_乗用_CNG,係数_乗用_軽油,係数_乗用_メタノール,係数_乗用_LPG),1,1,BE1221):INDEX((係数_乗用_ガソリン,係数_乗用_CNG,係数_乗用_軽油,係数_乗用_メタノール,係数_乗用_LPG),125,5,BE1221),3,FALSE))))))</f>
        <v/>
      </c>
      <c r="BC1221" s="467" t="str">
        <f t="shared" si="710"/>
        <v/>
      </c>
      <c r="BD1221" s="567" t="str">
        <f t="shared" si="711"/>
        <v/>
      </c>
      <c r="BE1221" s="467" t="str">
        <f t="shared" si="712"/>
        <v/>
      </c>
      <c r="BF1221" s="469" t="str">
        <f t="shared" ca="1" si="713"/>
        <v/>
      </c>
      <c r="BG1221" s="469" t="str">
        <f t="shared" ca="1" si="714"/>
        <v/>
      </c>
      <c r="BH1221" s="467" t="str">
        <f t="shared" si="715"/>
        <v/>
      </c>
      <c r="BI1221" s="467" t="str">
        <f t="shared" ca="1" si="716"/>
        <v/>
      </c>
      <c r="BJ1221" s="469" t="str">
        <f t="shared" si="717"/>
        <v/>
      </c>
      <c r="BK1221" s="470" t="str">
        <f t="shared" si="701"/>
        <v/>
      </c>
      <c r="BL1221" s="775" t="str">
        <f t="shared" si="718"/>
        <v/>
      </c>
      <c r="BM1221" s="775" t="str">
        <f t="shared" si="719"/>
        <v/>
      </c>
    </row>
    <row r="1222" spans="1:65">
      <c r="A1222" s="473">
        <v>1166</v>
      </c>
      <c r="B1222" s="132"/>
      <c r="C1222" s="332"/>
      <c r="D1222" s="333"/>
      <c r="E1222" s="333"/>
      <c r="F1222" s="334"/>
      <c r="G1222" s="337"/>
      <c r="H1222" s="131"/>
      <c r="I1222" s="337"/>
      <c r="J1222" s="131"/>
      <c r="K1222" s="458" t="str">
        <f t="shared" si="682"/>
        <v/>
      </c>
      <c r="L1222" s="458">
        <f t="shared" si="683"/>
        <v>0</v>
      </c>
      <c r="M1222" s="458">
        <f t="shared" si="684"/>
        <v>0</v>
      </c>
      <c r="N1222" s="459" t="str">
        <f t="shared" si="695"/>
        <v/>
      </c>
      <c r="O1222" s="459" t="str">
        <f t="shared" si="696"/>
        <v/>
      </c>
      <c r="P1222" s="459" t="str">
        <f t="shared" si="697"/>
        <v/>
      </c>
      <c r="Q1222" s="459" t="str">
        <f t="shared" si="698"/>
        <v/>
      </c>
      <c r="R1222" s="459" t="str">
        <f t="shared" si="699"/>
        <v/>
      </c>
      <c r="S1222" s="459" t="str">
        <f t="shared" si="700"/>
        <v/>
      </c>
      <c r="T1222" s="566" t="str">
        <f t="shared" si="685"/>
        <v/>
      </c>
      <c r="U1222" s="702"/>
      <c r="V1222" s="132"/>
      <c r="W1222" s="133"/>
      <c r="X1222" s="134"/>
      <c r="Y1222" s="135"/>
      <c r="Z1222" s="137"/>
      <c r="AA1222" s="136"/>
      <c r="AB1222" s="566" t="str">
        <f t="shared" si="686"/>
        <v/>
      </c>
      <c r="AC1222" s="568" t="str">
        <f t="shared" si="687"/>
        <v/>
      </c>
      <c r="AD1222" s="137"/>
      <c r="AE1222" s="137"/>
      <c r="AF1222" s="138"/>
      <c r="AG1222" s="138"/>
      <c r="AH1222" s="592" t="str">
        <f t="shared" si="688"/>
        <v/>
      </c>
      <c r="AI1222" s="592" t="str">
        <f t="shared" si="689"/>
        <v/>
      </c>
      <c r="AJ1222" s="592" t="str">
        <f t="shared" si="690"/>
        <v/>
      </c>
      <c r="AK1222" s="460" t="str">
        <f>IF(AU1222="","",IF(OR(AZ1222=8,AZ1222=9),0,IF(OR(AW1222=3,AW1222=4,AW1222=5,AW1222=6),IF(LEFT(BF1222,1)="1",INDEX(係数_NOX・PM低減,MATCH(AY1222,【参考】排出係数!$AI$801:$AI$804,1),1),VLOOKUP(AU1222,INDEX((係数_バス貨物_ガソリン,係数_バス貨物_CNG,係数_バス貨物_軽油,係数_バス貨物_メタノール,係数_バス貨物_LPG),MATCH(AY1222,【参考】排出係数!$AI$4:$AI$671,1),1,BE1222):INDEX((係数_バス貨物_ガソリン,係数_バス貨物_CNG,係数_バス貨物_軽油,係数_バス貨物_メタノール,係数_バス貨物_LPG),MATCH(AY1222+1,【参考】排出係数!$AI$4:$AI$671,1)-1,5,BE1222),4,FALSE)),IF(AND(BE1222=3,LEFT(BF1222,1)="1"),0.48,VLOOKUP(AU1222,INDEX((係数_乗用_ガソリン,係数_乗用_CNG,係数_乗用_軽油,係数_乗用_メタノール,係数_乗用_LPG),1,1,BE1222):INDEX((係数_乗用_ガソリン,係数_乗用_CNG,係数_乗用_軽油,係数_乗用_メタノール,係数_乗用_LPG),125,5,BE1222),4,FALSE)))))</f>
        <v/>
      </c>
      <c r="AL1222" s="461" t="str">
        <f t="shared" si="691"/>
        <v/>
      </c>
      <c r="AM1222" s="460" t="str">
        <f>IF(AU1222="","",IF(OR(AZ1222=8,AZ1222=9),0,IF(OR(AW1222=3,AW1222=4,AW1222=5,AW1222=6),IF(LEFT(BH1222,1)="1",INDEX(係数_PM低減,MATCH(AY1222,【参考】排出係数!$AI$801:$AI$804,1),MATCH(BI1222,【参考】排出係数!$AL$798:$AO$798,1)),VLOOKUP(AU1222,INDEX((係数_バス貨物_ガソリン,係数_バス貨物_CNG,係数_バス貨物_軽油,係数_バス貨物_メタノール,係数_バス貨物_LPG),MATCH(AY1222,【参考】排出係数!$AI$4:$AI$671,1),1,BE1222):INDEX((係数_バス貨物_ガソリン,係数_バス貨物_CNG,係数_バス貨物_軽油,係数_バス貨物_メタノール,係数_バス貨物_LPG),MATCH(AY1222+1,【参考】排出係数!$AI$4:$AI$671,1)-1,5,BE1222),5,FALSE)),IF(AND(BE1222=3,LEFT(BF1222,1)="1"),0.055,VLOOKUP(AU1222,INDEX((係数_乗用_ガソリン,係数_乗用_CNG,係数_乗用_軽油,係数_乗用_メタノール,係数_乗用_LPG),1,1,BE1222):INDEX((係数_乗用_ガソリン,係数_乗用_CNG,係数_乗用_軽油,係数_乗用_メタノール,係数_乗用_LPG),125,5,BE1222),5,FALSE)))))</f>
        <v/>
      </c>
      <c r="AN1222" s="461" t="str">
        <f t="shared" si="692"/>
        <v/>
      </c>
      <c r="AO1222" s="462" t="str">
        <f t="shared" si="693"/>
        <v/>
      </c>
      <c r="AP1222" s="463" t="str">
        <f t="shared" si="694"/>
        <v/>
      </c>
      <c r="AQ1222" s="464"/>
      <c r="AR1222" s="619"/>
      <c r="AS1222" s="465" t="str">
        <f t="shared" si="702"/>
        <v/>
      </c>
      <c r="AT1222" s="465" t="str">
        <f t="shared" si="703"/>
        <v/>
      </c>
      <c r="AU1222" s="466" t="str">
        <f t="shared" si="704"/>
        <v/>
      </c>
      <c r="AV1222" s="467" t="str">
        <f t="shared" si="705"/>
        <v/>
      </c>
      <c r="AW1222" s="467" t="str">
        <f t="shared" si="706"/>
        <v/>
      </c>
      <c r="AX1222" s="467" t="str">
        <f t="shared" si="707"/>
        <v/>
      </c>
      <c r="AY1222" s="467" t="str">
        <f t="shared" si="708"/>
        <v/>
      </c>
      <c r="AZ1222" s="467" t="str">
        <f t="shared" si="709"/>
        <v/>
      </c>
      <c r="BA1222" s="468" t="str">
        <f>IF(AS1222="","",IF(OR(AU1222="",AU1222="-"),"－",IF(OR(AZ1222=8,AZ1222=9),"",IF(OR(AW1222=3,AW1222=4,AW1222=5,AW1222=6),VLOOKUP(AU1222,INDEX((係数_バス貨物_ガソリン,係数_バス貨物_CNG,係数_バス貨物_軽油,係数_バス貨物_メタノール,係数_バス貨物_LPG),MATCH(AY1222,【参考】排出係数!$AI$4:$AI$671,1),1,BE1222):INDEX((係数_バス貨物_ガソリン,係数_バス貨物_CNG,係数_バス貨物_軽油,係数_バス貨物_メタノール,係数_バス貨物_LPG),MATCH(AY1222+1,【参考】排出係数!$AI$4:$AI$671,1)-1,5,BE1222),2,FALSE),IF(OR(AW1222=1,AW1222=2),VLOOKUP(AU1222,INDEX((係数_乗用_ガソリン,係数_乗用_CNG,係数_乗用_軽油,係数_乗用_メタノール,係数_乗用_LPG),1,1,BE1222):INDEX((係数_乗用_ガソリン,係数_乗用_CNG,係数_乗用_軽油,係数_乗用_メタノール,係数_乗用_LPG),125,5,BE1222),2,FALSE))))))</f>
        <v/>
      </c>
      <c r="BB1222" s="468" t="str">
        <f>IF(T1222="","",IF(OR(AU1222="",AU1222="-"),"－",IF(OR(AZ1222=8,AZ1222=9),"",IF(OR(AW1222=3,AW1222=4,AW1222=5,AW1222=6),VLOOKUP(AU1222,INDEX((係数_バス貨物_ガソリン,係数_バス貨物_CNG,係数_バス貨物_軽油,係数_バス貨物_メタノール,係数_バス貨物_LPG),MATCH(AY1222,【参考】排出係数!$AI$4:$AI$671,1),1,BE1222):INDEX((係数_バス貨物_ガソリン,係数_バス貨物_CNG,係数_バス貨物_軽油,係数_バス貨物_メタノール,係数_バス貨物_LPG),MATCH(AY1222+1,【参考】排出係数!$AI$4:$AI$671,1)-1,5,BE1222),3,FALSE),IF(OR(AW1222=1,AW1222=2),VLOOKUP(AU1222,INDEX((係数_乗用_ガソリン,係数_乗用_CNG,係数_乗用_軽油,係数_乗用_メタノール,係数_乗用_LPG),1,1,BE1222):INDEX((係数_乗用_ガソリン,係数_乗用_CNG,係数_乗用_軽油,係数_乗用_メタノール,係数_乗用_LPG),125,5,BE1222),3,FALSE))))))</f>
        <v/>
      </c>
      <c r="BC1222" s="467" t="str">
        <f t="shared" si="710"/>
        <v/>
      </c>
      <c r="BD1222" s="567" t="str">
        <f t="shared" si="711"/>
        <v/>
      </c>
      <c r="BE1222" s="467" t="str">
        <f t="shared" si="712"/>
        <v/>
      </c>
      <c r="BF1222" s="469" t="str">
        <f t="shared" ca="1" si="713"/>
        <v/>
      </c>
      <c r="BG1222" s="469" t="str">
        <f t="shared" ca="1" si="714"/>
        <v/>
      </c>
      <c r="BH1222" s="467" t="str">
        <f t="shared" si="715"/>
        <v/>
      </c>
      <c r="BI1222" s="467" t="str">
        <f t="shared" ca="1" si="716"/>
        <v/>
      </c>
      <c r="BJ1222" s="469" t="str">
        <f t="shared" si="717"/>
        <v/>
      </c>
      <c r="BK1222" s="470" t="str">
        <f t="shared" si="701"/>
        <v/>
      </c>
      <c r="BL1222" s="775" t="str">
        <f t="shared" si="718"/>
        <v/>
      </c>
      <c r="BM1222" s="775" t="str">
        <f t="shared" si="719"/>
        <v/>
      </c>
    </row>
    <row r="1223" spans="1:65">
      <c r="A1223" s="473">
        <v>1167</v>
      </c>
      <c r="B1223" s="132"/>
      <c r="C1223" s="332"/>
      <c r="D1223" s="333"/>
      <c r="E1223" s="333"/>
      <c r="F1223" s="334"/>
      <c r="G1223" s="337"/>
      <c r="H1223" s="131"/>
      <c r="I1223" s="337"/>
      <c r="J1223" s="131"/>
      <c r="K1223" s="458" t="str">
        <f t="shared" si="682"/>
        <v/>
      </c>
      <c r="L1223" s="458">
        <f t="shared" si="683"/>
        <v>0</v>
      </c>
      <c r="M1223" s="458">
        <f t="shared" si="684"/>
        <v>0</v>
      </c>
      <c r="N1223" s="459" t="str">
        <f t="shared" si="695"/>
        <v/>
      </c>
      <c r="O1223" s="459" t="str">
        <f t="shared" si="696"/>
        <v/>
      </c>
      <c r="P1223" s="459" t="str">
        <f t="shared" si="697"/>
        <v/>
      </c>
      <c r="Q1223" s="459" t="str">
        <f t="shared" si="698"/>
        <v/>
      </c>
      <c r="R1223" s="459" t="str">
        <f t="shared" si="699"/>
        <v/>
      </c>
      <c r="S1223" s="459" t="str">
        <f t="shared" si="700"/>
        <v/>
      </c>
      <c r="T1223" s="566" t="str">
        <f t="shared" si="685"/>
        <v/>
      </c>
      <c r="U1223" s="702"/>
      <c r="V1223" s="132"/>
      <c r="W1223" s="133"/>
      <c r="X1223" s="134"/>
      <c r="Y1223" s="135"/>
      <c r="Z1223" s="137"/>
      <c r="AA1223" s="136"/>
      <c r="AB1223" s="566" t="str">
        <f t="shared" si="686"/>
        <v/>
      </c>
      <c r="AC1223" s="568" t="str">
        <f t="shared" si="687"/>
        <v/>
      </c>
      <c r="AD1223" s="137"/>
      <c r="AE1223" s="137"/>
      <c r="AF1223" s="138"/>
      <c r="AG1223" s="138"/>
      <c r="AH1223" s="592" t="str">
        <f t="shared" si="688"/>
        <v/>
      </c>
      <c r="AI1223" s="592" t="str">
        <f t="shared" si="689"/>
        <v/>
      </c>
      <c r="AJ1223" s="592" t="str">
        <f t="shared" si="690"/>
        <v/>
      </c>
      <c r="AK1223" s="460" t="str">
        <f>IF(AU1223="","",IF(OR(AZ1223=8,AZ1223=9),0,IF(OR(AW1223=3,AW1223=4,AW1223=5,AW1223=6),IF(LEFT(BF1223,1)="1",INDEX(係数_NOX・PM低減,MATCH(AY1223,【参考】排出係数!$AI$801:$AI$804,1),1),VLOOKUP(AU1223,INDEX((係数_バス貨物_ガソリン,係数_バス貨物_CNG,係数_バス貨物_軽油,係数_バス貨物_メタノール,係数_バス貨物_LPG),MATCH(AY1223,【参考】排出係数!$AI$4:$AI$671,1),1,BE1223):INDEX((係数_バス貨物_ガソリン,係数_バス貨物_CNG,係数_バス貨物_軽油,係数_バス貨物_メタノール,係数_バス貨物_LPG),MATCH(AY1223+1,【参考】排出係数!$AI$4:$AI$671,1)-1,5,BE1223),4,FALSE)),IF(AND(BE1223=3,LEFT(BF1223,1)="1"),0.48,VLOOKUP(AU1223,INDEX((係数_乗用_ガソリン,係数_乗用_CNG,係数_乗用_軽油,係数_乗用_メタノール,係数_乗用_LPG),1,1,BE1223):INDEX((係数_乗用_ガソリン,係数_乗用_CNG,係数_乗用_軽油,係数_乗用_メタノール,係数_乗用_LPG),125,5,BE1223),4,FALSE)))))</f>
        <v/>
      </c>
      <c r="AL1223" s="461" t="str">
        <f t="shared" si="691"/>
        <v/>
      </c>
      <c r="AM1223" s="460" t="str">
        <f>IF(AU1223="","",IF(OR(AZ1223=8,AZ1223=9),0,IF(OR(AW1223=3,AW1223=4,AW1223=5,AW1223=6),IF(LEFT(BH1223,1)="1",INDEX(係数_PM低減,MATCH(AY1223,【参考】排出係数!$AI$801:$AI$804,1),MATCH(BI1223,【参考】排出係数!$AL$798:$AO$798,1)),VLOOKUP(AU1223,INDEX((係数_バス貨物_ガソリン,係数_バス貨物_CNG,係数_バス貨物_軽油,係数_バス貨物_メタノール,係数_バス貨物_LPG),MATCH(AY1223,【参考】排出係数!$AI$4:$AI$671,1),1,BE1223):INDEX((係数_バス貨物_ガソリン,係数_バス貨物_CNG,係数_バス貨物_軽油,係数_バス貨物_メタノール,係数_バス貨物_LPG),MATCH(AY1223+1,【参考】排出係数!$AI$4:$AI$671,1)-1,5,BE1223),5,FALSE)),IF(AND(BE1223=3,LEFT(BF1223,1)="1"),0.055,VLOOKUP(AU1223,INDEX((係数_乗用_ガソリン,係数_乗用_CNG,係数_乗用_軽油,係数_乗用_メタノール,係数_乗用_LPG),1,1,BE1223):INDEX((係数_乗用_ガソリン,係数_乗用_CNG,係数_乗用_軽油,係数_乗用_メタノール,係数_乗用_LPG),125,5,BE1223),5,FALSE)))))</f>
        <v/>
      </c>
      <c r="AN1223" s="461" t="str">
        <f t="shared" si="692"/>
        <v/>
      </c>
      <c r="AO1223" s="462" t="str">
        <f t="shared" si="693"/>
        <v/>
      </c>
      <c r="AP1223" s="463" t="str">
        <f t="shared" si="694"/>
        <v/>
      </c>
      <c r="AQ1223" s="464"/>
      <c r="AR1223" s="619"/>
      <c r="AS1223" s="465" t="str">
        <f t="shared" si="702"/>
        <v/>
      </c>
      <c r="AT1223" s="465" t="str">
        <f t="shared" si="703"/>
        <v/>
      </c>
      <c r="AU1223" s="466" t="str">
        <f t="shared" si="704"/>
        <v/>
      </c>
      <c r="AV1223" s="467" t="str">
        <f t="shared" si="705"/>
        <v/>
      </c>
      <c r="AW1223" s="467" t="str">
        <f t="shared" si="706"/>
        <v/>
      </c>
      <c r="AX1223" s="467" t="str">
        <f t="shared" si="707"/>
        <v/>
      </c>
      <c r="AY1223" s="467" t="str">
        <f t="shared" si="708"/>
        <v/>
      </c>
      <c r="AZ1223" s="467" t="str">
        <f t="shared" si="709"/>
        <v/>
      </c>
      <c r="BA1223" s="468" t="str">
        <f>IF(AS1223="","",IF(OR(AU1223="",AU1223="-"),"－",IF(OR(AZ1223=8,AZ1223=9),"",IF(OR(AW1223=3,AW1223=4,AW1223=5,AW1223=6),VLOOKUP(AU1223,INDEX((係数_バス貨物_ガソリン,係数_バス貨物_CNG,係数_バス貨物_軽油,係数_バス貨物_メタノール,係数_バス貨物_LPG),MATCH(AY1223,【参考】排出係数!$AI$4:$AI$671,1),1,BE1223):INDEX((係数_バス貨物_ガソリン,係数_バス貨物_CNG,係数_バス貨物_軽油,係数_バス貨物_メタノール,係数_バス貨物_LPG),MATCH(AY1223+1,【参考】排出係数!$AI$4:$AI$671,1)-1,5,BE1223),2,FALSE),IF(OR(AW1223=1,AW1223=2),VLOOKUP(AU1223,INDEX((係数_乗用_ガソリン,係数_乗用_CNG,係数_乗用_軽油,係数_乗用_メタノール,係数_乗用_LPG),1,1,BE1223):INDEX((係数_乗用_ガソリン,係数_乗用_CNG,係数_乗用_軽油,係数_乗用_メタノール,係数_乗用_LPG),125,5,BE1223),2,FALSE))))))</f>
        <v/>
      </c>
      <c r="BB1223" s="468" t="str">
        <f>IF(T1223="","",IF(OR(AU1223="",AU1223="-"),"－",IF(OR(AZ1223=8,AZ1223=9),"",IF(OR(AW1223=3,AW1223=4,AW1223=5,AW1223=6),VLOOKUP(AU1223,INDEX((係数_バス貨物_ガソリン,係数_バス貨物_CNG,係数_バス貨物_軽油,係数_バス貨物_メタノール,係数_バス貨物_LPG),MATCH(AY1223,【参考】排出係数!$AI$4:$AI$671,1),1,BE1223):INDEX((係数_バス貨物_ガソリン,係数_バス貨物_CNG,係数_バス貨物_軽油,係数_バス貨物_メタノール,係数_バス貨物_LPG),MATCH(AY1223+1,【参考】排出係数!$AI$4:$AI$671,1)-1,5,BE1223),3,FALSE),IF(OR(AW1223=1,AW1223=2),VLOOKUP(AU1223,INDEX((係数_乗用_ガソリン,係数_乗用_CNG,係数_乗用_軽油,係数_乗用_メタノール,係数_乗用_LPG),1,1,BE1223):INDEX((係数_乗用_ガソリン,係数_乗用_CNG,係数_乗用_軽油,係数_乗用_メタノール,係数_乗用_LPG),125,5,BE1223),3,FALSE))))))</f>
        <v/>
      </c>
      <c r="BC1223" s="467" t="str">
        <f t="shared" si="710"/>
        <v/>
      </c>
      <c r="BD1223" s="567" t="str">
        <f t="shared" si="711"/>
        <v/>
      </c>
      <c r="BE1223" s="467" t="str">
        <f t="shared" si="712"/>
        <v/>
      </c>
      <c r="BF1223" s="469" t="str">
        <f t="shared" ca="1" si="713"/>
        <v/>
      </c>
      <c r="BG1223" s="469" t="str">
        <f t="shared" ca="1" si="714"/>
        <v/>
      </c>
      <c r="BH1223" s="467" t="str">
        <f t="shared" si="715"/>
        <v/>
      </c>
      <c r="BI1223" s="467" t="str">
        <f t="shared" ca="1" si="716"/>
        <v/>
      </c>
      <c r="BJ1223" s="469" t="str">
        <f t="shared" si="717"/>
        <v/>
      </c>
      <c r="BK1223" s="470" t="str">
        <f t="shared" si="701"/>
        <v/>
      </c>
      <c r="BL1223" s="775" t="str">
        <f t="shared" si="718"/>
        <v/>
      </c>
      <c r="BM1223" s="775" t="str">
        <f t="shared" si="719"/>
        <v/>
      </c>
    </row>
    <row r="1224" spans="1:65">
      <c r="A1224" s="473">
        <v>1168</v>
      </c>
      <c r="B1224" s="132"/>
      <c r="C1224" s="332"/>
      <c r="D1224" s="333"/>
      <c r="E1224" s="333"/>
      <c r="F1224" s="334"/>
      <c r="G1224" s="337"/>
      <c r="H1224" s="131"/>
      <c r="I1224" s="337"/>
      <c r="J1224" s="131"/>
      <c r="K1224" s="458" t="str">
        <f t="shared" si="682"/>
        <v/>
      </c>
      <c r="L1224" s="458">
        <f t="shared" si="683"/>
        <v>0</v>
      </c>
      <c r="M1224" s="458">
        <f t="shared" si="684"/>
        <v>0</v>
      </c>
      <c r="N1224" s="459" t="str">
        <f t="shared" si="695"/>
        <v/>
      </c>
      <c r="O1224" s="459" t="str">
        <f t="shared" si="696"/>
        <v/>
      </c>
      <c r="P1224" s="459" t="str">
        <f t="shared" si="697"/>
        <v/>
      </c>
      <c r="Q1224" s="459" t="str">
        <f t="shared" si="698"/>
        <v/>
      </c>
      <c r="R1224" s="459" t="str">
        <f t="shared" si="699"/>
        <v/>
      </c>
      <c r="S1224" s="459" t="str">
        <f t="shared" si="700"/>
        <v/>
      </c>
      <c r="T1224" s="566" t="str">
        <f t="shared" si="685"/>
        <v/>
      </c>
      <c r="U1224" s="702"/>
      <c r="V1224" s="132"/>
      <c r="W1224" s="133"/>
      <c r="X1224" s="134"/>
      <c r="Y1224" s="135"/>
      <c r="Z1224" s="137"/>
      <c r="AA1224" s="136"/>
      <c r="AB1224" s="566" t="str">
        <f t="shared" si="686"/>
        <v/>
      </c>
      <c r="AC1224" s="568" t="str">
        <f t="shared" si="687"/>
        <v/>
      </c>
      <c r="AD1224" s="137"/>
      <c r="AE1224" s="137"/>
      <c r="AF1224" s="138"/>
      <c r="AG1224" s="138"/>
      <c r="AH1224" s="592" t="str">
        <f t="shared" si="688"/>
        <v/>
      </c>
      <c r="AI1224" s="592" t="str">
        <f t="shared" si="689"/>
        <v/>
      </c>
      <c r="AJ1224" s="592" t="str">
        <f t="shared" si="690"/>
        <v/>
      </c>
      <c r="AK1224" s="460" t="str">
        <f>IF(AU1224="","",IF(OR(AZ1224=8,AZ1224=9),0,IF(OR(AW1224=3,AW1224=4,AW1224=5,AW1224=6),IF(LEFT(BF1224,1)="1",INDEX(係数_NOX・PM低減,MATCH(AY1224,【参考】排出係数!$AI$801:$AI$804,1),1),VLOOKUP(AU1224,INDEX((係数_バス貨物_ガソリン,係数_バス貨物_CNG,係数_バス貨物_軽油,係数_バス貨物_メタノール,係数_バス貨物_LPG),MATCH(AY1224,【参考】排出係数!$AI$4:$AI$671,1),1,BE1224):INDEX((係数_バス貨物_ガソリン,係数_バス貨物_CNG,係数_バス貨物_軽油,係数_バス貨物_メタノール,係数_バス貨物_LPG),MATCH(AY1224+1,【参考】排出係数!$AI$4:$AI$671,1)-1,5,BE1224),4,FALSE)),IF(AND(BE1224=3,LEFT(BF1224,1)="1"),0.48,VLOOKUP(AU1224,INDEX((係数_乗用_ガソリン,係数_乗用_CNG,係数_乗用_軽油,係数_乗用_メタノール,係数_乗用_LPG),1,1,BE1224):INDEX((係数_乗用_ガソリン,係数_乗用_CNG,係数_乗用_軽油,係数_乗用_メタノール,係数_乗用_LPG),125,5,BE1224),4,FALSE)))))</f>
        <v/>
      </c>
      <c r="AL1224" s="461" t="str">
        <f t="shared" si="691"/>
        <v/>
      </c>
      <c r="AM1224" s="460" t="str">
        <f>IF(AU1224="","",IF(OR(AZ1224=8,AZ1224=9),0,IF(OR(AW1224=3,AW1224=4,AW1224=5,AW1224=6),IF(LEFT(BH1224,1)="1",INDEX(係数_PM低減,MATCH(AY1224,【参考】排出係数!$AI$801:$AI$804,1),MATCH(BI1224,【参考】排出係数!$AL$798:$AO$798,1)),VLOOKUP(AU1224,INDEX((係数_バス貨物_ガソリン,係数_バス貨物_CNG,係数_バス貨物_軽油,係数_バス貨物_メタノール,係数_バス貨物_LPG),MATCH(AY1224,【参考】排出係数!$AI$4:$AI$671,1),1,BE1224):INDEX((係数_バス貨物_ガソリン,係数_バス貨物_CNG,係数_バス貨物_軽油,係数_バス貨物_メタノール,係数_バス貨物_LPG),MATCH(AY1224+1,【参考】排出係数!$AI$4:$AI$671,1)-1,5,BE1224),5,FALSE)),IF(AND(BE1224=3,LEFT(BF1224,1)="1"),0.055,VLOOKUP(AU1224,INDEX((係数_乗用_ガソリン,係数_乗用_CNG,係数_乗用_軽油,係数_乗用_メタノール,係数_乗用_LPG),1,1,BE1224):INDEX((係数_乗用_ガソリン,係数_乗用_CNG,係数_乗用_軽油,係数_乗用_メタノール,係数_乗用_LPG),125,5,BE1224),5,FALSE)))))</f>
        <v/>
      </c>
      <c r="AN1224" s="461" t="str">
        <f t="shared" si="692"/>
        <v/>
      </c>
      <c r="AO1224" s="462" t="str">
        <f t="shared" si="693"/>
        <v/>
      </c>
      <c r="AP1224" s="463" t="str">
        <f t="shared" si="694"/>
        <v/>
      </c>
      <c r="AQ1224" s="464"/>
      <c r="AR1224" s="619"/>
      <c r="AS1224" s="465" t="str">
        <f t="shared" si="702"/>
        <v/>
      </c>
      <c r="AT1224" s="465" t="str">
        <f t="shared" si="703"/>
        <v/>
      </c>
      <c r="AU1224" s="466" t="str">
        <f t="shared" si="704"/>
        <v/>
      </c>
      <c r="AV1224" s="467" t="str">
        <f t="shared" si="705"/>
        <v/>
      </c>
      <c r="AW1224" s="467" t="str">
        <f t="shared" si="706"/>
        <v/>
      </c>
      <c r="AX1224" s="467" t="str">
        <f t="shared" si="707"/>
        <v/>
      </c>
      <c r="AY1224" s="467" t="str">
        <f t="shared" si="708"/>
        <v/>
      </c>
      <c r="AZ1224" s="467" t="str">
        <f t="shared" si="709"/>
        <v/>
      </c>
      <c r="BA1224" s="468" t="str">
        <f>IF(AS1224="","",IF(OR(AU1224="",AU1224="-"),"－",IF(OR(AZ1224=8,AZ1224=9),"",IF(OR(AW1224=3,AW1224=4,AW1224=5,AW1224=6),VLOOKUP(AU1224,INDEX((係数_バス貨物_ガソリン,係数_バス貨物_CNG,係数_バス貨物_軽油,係数_バス貨物_メタノール,係数_バス貨物_LPG),MATCH(AY1224,【参考】排出係数!$AI$4:$AI$671,1),1,BE1224):INDEX((係数_バス貨物_ガソリン,係数_バス貨物_CNG,係数_バス貨物_軽油,係数_バス貨物_メタノール,係数_バス貨物_LPG),MATCH(AY1224+1,【参考】排出係数!$AI$4:$AI$671,1)-1,5,BE1224),2,FALSE),IF(OR(AW1224=1,AW1224=2),VLOOKUP(AU1224,INDEX((係数_乗用_ガソリン,係数_乗用_CNG,係数_乗用_軽油,係数_乗用_メタノール,係数_乗用_LPG),1,1,BE1224):INDEX((係数_乗用_ガソリン,係数_乗用_CNG,係数_乗用_軽油,係数_乗用_メタノール,係数_乗用_LPG),125,5,BE1224),2,FALSE))))))</f>
        <v/>
      </c>
      <c r="BB1224" s="468" t="str">
        <f>IF(T1224="","",IF(OR(AU1224="",AU1224="-"),"－",IF(OR(AZ1224=8,AZ1224=9),"",IF(OR(AW1224=3,AW1224=4,AW1224=5,AW1224=6),VLOOKUP(AU1224,INDEX((係数_バス貨物_ガソリン,係数_バス貨物_CNG,係数_バス貨物_軽油,係数_バス貨物_メタノール,係数_バス貨物_LPG),MATCH(AY1224,【参考】排出係数!$AI$4:$AI$671,1),1,BE1224):INDEX((係数_バス貨物_ガソリン,係数_バス貨物_CNG,係数_バス貨物_軽油,係数_バス貨物_メタノール,係数_バス貨物_LPG),MATCH(AY1224+1,【参考】排出係数!$AI$4:$AI$671,1)-1,5,BE1224),3,FALSE),IF(OR(AW1224=1,AW1224=2),VLOOKUP(AU1224,INDEX((係数_乗用_ガソリン,係数_乗用_CNG,係数_乗用_軽油,係数_乗用_メタノール,係数_乗用_LPG),1,1,BE1224):INDEX((係数_乗用_ガソリン,係数_乗用_CNG,係数_乗用_軽油,係数_乗用_メタノール,係数_乗用_LPG),125,5,BE1224),3,FALSE))))))</f>
        <v/>
      </c>
      <c r="BC1224" s="467" t="str">
        <f t="shared" si="710"/>
        <v/>
      </c>
      <c r="BD1224" s="567" t="str">
        <f t="shared" si="711"/>
        <v/>
      </c>
      <c r="BE1224" s="467" t="str">
        <f t="shared" si="712"/>
        <v/>
      </c>
      <c r="BF1224" s="469" t="str">
        <f t="shared" ca="1" si="713"/>
        <v/>
      </c>
      <c r="BG1224" s="469" t="str">
        <f t="shared" ca="1" si="714"/>
        <v/>
      </c>
      <c r="BH1224" s="467" t="str">
        <f t="shared" si="715"/>
        <v/>
      </c>
      <c r="BI1224" s="467" t="str">
        <f t="shared" ca="1" si="716"/>
        <v/>
      </c>
      <c r="BJ1224" s="469" t="str">
        <f t="shared" si="717"/>
        <v/>
      </c>
      <c r="BK1224" s="470" t="str">
        <f t="shared" si="701"/>
        <v/>
      </c>
      <c r="BL1224" s="775" t="str">
        <f t="shared" si="718"/>
        <v/>
      </c>
      <c r="BM1224" s="775" t="str">
        <f t="shared" si="719"/>
        <v/>
      </c>
    </row>
    <row r="1225" spans="1:65">
      <c r="A1225" s="473">
        <v>1169</v>
      </c>
      <c r="B1225" s="132"/>
      <c r="C1225" s="332"/>
      <c r="D1225" s="333"/>
      <c r="E1225" s="333"/>
      <c r="F1225" s="334"/>
      <c r="G1225" s="337"/>
      <c r="H1225" s="131"/>
      <c r="I1225" s="337"/>
      <c r="J1225" s="131"/>
      <c r="K1225" s="458" t="str">
        <f t="shared" si="682"/>
        <v/>
      </c>
      <c r="L1225" s="458">
        <f t="shared" si="683"/>
        <v>0</v>
      </c>
      <c r="M1225" s="458">
        <f t="shared" si="684"/>
        <v>0</v>
      </c>
      <c r="N1225" s="459" t="str">
        <f t="shared" si="695"/>
        <v/>
      </c>
      <c r="O1225" s="459" t="str">
        <f t="shared" si="696"/>
        <v/>
      </c>
      <c r="P1225" s="459" t="str">
        <f t="shared" si="697"/>
        <v/>
      </c>
      <c r="Q1225" s="459" t="str">
        <f t="shared" si="698"/>
        <v/>
      </c>
      <c r="R1225" s="459" t="str">
        <f t="shared" si="699"/>
        <v/>
      </c>
      <c r="S1225" s="459" t="str">
        <f t="shared" si="700"/>
        <v/>
      </c>
      <c r="T1225" s="566" t="str">
        <f t="shared" si="685"/>
        <v/>
      </c>
      <c r="U1225" s="702"/>
      <c r="V1225" s="132"/>
      <c r="W1225" s="133"/>
      <c r="X1225" s="134"/>
      <c r="Y1225" s="135"/>
      <c r="Z1225" s="137"/>
      <c r="AA1225" s="136"/>
      <c r="AB1225" s="566" t="str">
        <f t="shared" si="686"/>
        <v/>
      </c>
      <c r="AC1225" s="568" t="str">
        <f t="shared" si="687"/>
        <v/>
      </c>
      <c r="AD1225" s="137"/>
      <c r="AE1225" s="137"/>
      <c r="AF1225" s="138"/>
      <c r="AG1225" s="138"/>
      <c r="AH1225" s="592" t="str">
        <f t="shared" si="688"/>
        <v/>
      </c>
      <c r="AI1225" s="592" t="str">
        <f t="shared" si="689"/>
        <v/>
      </c>
      <c r="AJ1225" s="592" t="str">
        <f t="shared" si="690"/>
        <v/>
      </c>
      <c r="AK1225" s="460" t="str">
        <f>IF(AU1225="","",IF(OR(AZ1225=8,AZ1225=9),0,IF(OR(AW1225=3,AW1225=4,AW1225=5,AW1225=6),IF(LEFT(BF1225,1)="1",INDEX(係数_NOX・PM低減,MATCH(AY1225,【参考】排出係数!$AI$801:$AI$804,1),1),VLOOKUP(AU1225,INDEX((係数_バス貨物_ガソリン,係数_バス貨物_CNG,係数_バス貨物_軽油,係数_バス貨物_メタノール,係数_バス貨物_LPG),MATCH(AY1225,【参考】排出係数!$AI$4:$AI$671,1),1,BE1225):INDEX((係数_バス貨物_ガソリン,係数_バス貨物_CNG,係数_バス貨物_軽油,係数_バス貨物_メタノール,係数_バス貨物_LPG),MATCH(AY1225+1,【参考】排出係数!$AI$4:$AI$671,1)-1,5,BE1225),4,FALSE)),IF(AND(BE1225=3,LEFT(BF1225,1)="1"),0.48,VLOOKUP(AU1225,INDEX((係数_乗用_ガソリン,係数_乗用_CNG,係数_乗用_軽油,係数_乗用_メタノール,係数_乗用_LPG),1,1,BE1225):INDEX((係数_乗用_ガソリン,係数_乗用_CNG,係数_乗用_軽油,係数_乗用_メタノール,係数_乗用_LPG),125,5,BE1225),4,FALSE)))))</f>
        <v/>
      </c>
      <c r="AL1225" s="461" t="str">
        <f t="shared" si="691"/>
        <v/>
      </c>
      <c r="AM1225" s="460" t="str">
        <f>IF(AU1225="","",IF(OR(AZ1225=8,AZ1225=9),0,IF(OR(AW1225=3,AW1225=4,AW1225=5,AW1225=6),IF(LEFT(BH1225,1)="1",INDEX(係数_PM低減,MATCH(AY1225,【参考】排出係数!$AI$801:$AI$804,1),MATCH(BI1225,【参考】排出係数!$AL$798:$AO$798,1)),VLOOKUP(AU1225,INDEX((係数_バス貨物_ガソリン,係数_バス貨物_CNG,係数_バス貨物_軽油,係数_バス貨物_メタノール,係数_バス貨物_LPG),MATCH(AY1225,【参考】排出係数!$AI$4:$AI$671,1),1,BE1225):INDEX((係数_バス貨物_ガソリン,係数_バス貨物_CNG,係数_バス貨物_軽油,係数_バス貨物_メタノール,係数_バス貨物_LPG),MATCH(AY1225+1,【参考】排出係数!$AI$4:$AI$671,1)-1,5,BE1225),5,FALSE)),IF(AND(BE1225=3,LEFT(BF1225,1)="1"),0.055,VLOOKUP(AU1225,INDEX((係数_乗用_ガソリン,係数_乗用_CNG,係数_乗用_軽油,係数_乗用_メタノール,係数_乗用_LPG),1,1,BE1225):INDEX((係数_乗用_ガソリン,係数_乗用_CNG,係数_乗用_軽油,係数_乗用_メタノール,係数_乗用_LPG),125,5,BE1225),5,FALSE)))))</f>
        <v/>
      </c>
      <c r="AN1225" s="461" t="str">
        <f t="shared" si="692"/>
        <v/>
      </c>
      <c r="AO1225" s="462" t="str">
        <f t="shared" si="693"/>
        <v/>
      </c>
      <c r="AP1225" s="463" t="str">
        <f t="shared" si="694"/>
        <v/>
      </c>
      <c r="AQ1225" s="464"/>
      <c r="AR1225" s="619"/>
      <c r="AS1225" s="465" t="str">
        <f t="shared" si="702"/>
        <v/>
      </c>
      <c r="AT1225" s="465" t="str">
        <f t="shared" si="703"/>
        <v/>
      </c>
      <c r="AU1225" s="466" t="str">
        <f t="shared" si="704"/>
        <v/>
      </c>
      <c r="AV1225" s="467" t="str">
        <f t="shared" si="705"/>
        <v/>
      </c>
      <c r="AW1225" s="467" t="str">
        <f t="shared" si="706"/>
        <v/>
      </c>
      <c r="AX1225" s="467" t="str">
        <f t="shared" si="707"/>
        <v/>
      </c>
      <c r="AY1225" s="467" t="str">
        <f t="shared" si="708"/>
        <v/>
      </c>
      <c r="AZ1225" s="467" t="str">
        <f t="shared" si="709"/>
        <v/>
      </c>
      <c r="BA1225" s="468" t="str">
        <f>IF(AS1225="","",IF(OR(AU1225="",AU1225="-"),"－",IF(OR(AZ1225=8,AZ1225=9),"",IF(OR(AW1225=3,AW1225=4,AW1225=5,AW1225=6),VLOOKUP(AU1225,INDEX((係数_バス貨物_ガソリン,係数_バス貨物_CNG,係数_バス貨物_軽油,係数_バス貨物_メタノール,係数_バス貨物_LPG),MATCH(AY1225,【参考】排出係数!$AI$4:$AI$671,1),1,BE1225):INDEX((係数_バス貨物_ガソリン,係数_バス貨物_CNG,係数_バス貨物_軽油,係数_バス貨物_メタノール,係数_バス貨物_LPG),MATCH(AY1225+1,【参考】排出係数!$AI$4:$AI$671,1)-1,5,BE1225),2,FALSE),IF(OR(AW1225=1,AW1225=2),VLOOKUP(AU1225,INDEX((係数_乗用_ガソリン,係数_乗用_CNG,係数_乗用_軽油,係数_乗用_メタノール,係数_乗用_LPG),1,1,BE1225):INDEX((係数_乗用_ガソリン,係数_乗用_CNG,係数_乗用_軽油,係数_乗用_メタノール,係数_乗用_LPG),125,5,BE1225),2,FALSE))))))</f>
        <v/>
      </c>
      <c r="BB1225" s="468" t="str">
        <f>IF(T1225="","",IF(OR(AU1225="",AU1225="-"),"－",IF(OR(AZ1225=8,AZ1225=9),"",IF(OR(AW1225=3,AW1225=4,AW1225=5,AW1225=6),VLOOKUP(AU1225,INDEX((係数_バス貨物_ガソリン,係数_バス貨物_CNG,係数_バス貨物_軽油,係数_バス貨物_メタノール,係数_バス貨物_LPG),MATCH(AY1225,【参考】排出係数!$AI$4:$AI$671,1),1,BE1225):INDEX((係数_バス貨物_ガソリン,係数_バス貨物_CNG,係数_バス貨物_軽油,係数_バス貨物_メタノール,係数_バス貨物_LPG),MATCH(AY1225+1,【参考】排出係数!$AI$4:$AI$671,1)-1,5,BE1225),3,FALSE),IF(OR(AW1225=1,AW1225=2),VLOOKUP(AU1225,INDEX((係数_乗用_ガソリン,係数_乗用_CNG,係数_乗用_軽油,係数_乗用_メタノール,係数_乗用_LPG),1,1,BE1225):INDEX((係数_乗用_ガソリン,係数_乗用_CNG,係数_乗用_軽油,係数_乗用_メタノール,係数_乗用_LPG),125,5,BE1225),3,FALSE))))))</f>
        <v/>
      </c>
      <c r="BC1225" s="467" t="str">
        <f t="shared" si="710"/>
        <v/>
      </c>
      <c r="BD1225" s="567" t="str">
        <f t="shared" si="711"/>
        <v/>
      </c>
      <c r="BE1225" s="467" t="str">
        <f t="shared" si="712"/>
        <v/>
      </c>
      <c r="BF1225" s="469" t="str">
        <f t="shared" ca="1" si="713"/>
        <v/>
      </c>
      <c r="BG1225" s="469" t="str">
        <f t="shared" ca="1" si="714"/>
        <v/>
      </c>
      <c r="BH1225" s="467" t="str">
        <f t="shared" si="715"/>
        <v/>
      </c>
      <c r="BI1225" s="467" t="str">
        <f t="shared" ca="1" si="716"/>
        <v/>
      </c>
      <c r="BJ1225" s="469" t="str">
        <f t="shared" si="717"/>
        <v/>
      </c>
      <c r="BK1225" s="470" t="str">
        <f t="shared" si="701"/>
        <v/>
      </c>
      <c r="BL1225" s="775" t="str">
        <f t="shared" si="718"/>
        <v/>
      </c>
      <c r="BM1225" s="775" t="str">
        <f t="shared" si="719"/>
        <v/>
      </c>
    </row>
    <row r="1226" spans="1:65">
      <c r="A1226" s="473">
        <v>1170</v>
      </c>
      <c r="B1226" s="132"/>
      <c r="C1226" s="332"/>
      <c r="D1226" s="333"/>
      <c r="E1226" s="333"/>
      <c r="F1226" s="334"/>
      <c r="G1226" s="337"/>
      <c r="H1226" s="131"/>
      <c r="I1226" s="337"/>
      <c r="J1226" s="131"/>
      <c r="K1226" s="458" t="str">
        <f t="shared" si="682"/>
        <v/>
      </c>
      <c r="L1226" s="458">
        <f t="shared" si="683"/>
        <v>0</v>
      </c>
      <c r="M1226" s="458">
        <f t="shared" si="684"/>
        <v>0</v>
      </c>
      <c r="N1226" s="459" t="str">
        <f t="shared" si="695"/>
        <v/>
      </c>
      <c r="O1226" s="459" t="str">
        <f t="shared" si="696"/>
        <v/>
      </c>
      <c r="P1226" s="459" t="str">
        <f t="shared" si="697"/>
        <v/>
      </c>
      <c r="Q1226" s="459" t="str">
        <f t="shared" si="698"/>
        <v/>
      </c>
      <c r="R1226" s="459" t="str">
        <f t="shared" si="699"/>
        <v/>
      </c>
      <c r="S1226" s="459" t="str">
        <f t="shared" si="700"/>
        <v/>
      </c>
      <c r="T1226" s="566" t="str">
        <f t="shared" si="685"/>
        <v/>
      </c>
      <c r="U1226" s="702"/>
      <c r="V1226" s="132"/>
      <c r="W1226" s="133"/>
      <c r="X1226" s="134"/>
      <c r="Y1226" s="135"/>
      <c r="Z1226" s="137"/>
      <c r="AA1226" s="136"/>
      <c r="AB1226" s="566" t="str">
        <f t="shared" si="686"/>
        <v/>
      </c>
      <c r="AC1226" s="568" t="str">
        <f t="shared" si="687"/>
        <v/>
      </c>
      <c r="AD1226" s="137"/>
      <c r="AE1226" s="137"/>
      <c r="AF1226" s="138"/>
      <c r="AG1226" s="138"/>
      <c r="AH1226" s="592" t="str">
        <f t="shared" si="688"/>
        <v/>
      </c>
      <c r="AI1226" s="592" t="str">
        <f t="shared" si="689"/>
        <v/>
      </c>
      <c r="AJ1226" s="592" t="str">
        <f t="shared" si="690"/>
        <v/>
      </c>
      <c r="AK1226" s="460" t="str">
        <f>IF(AU1226="","",IF(OR(AZ1226=8,AZ1226=9),0,IF(OR(AW1226=3,AW1226=4,AW1226=5,AW1226=6),IF(LEFT(BF1226,1)="1",INDEX(係数_NOX・PM低減,MATCH(AY1226,【参考】排出係数!$AI$801:$AI$804,1),1),VLOOKUP(AU1226,INDEX((係数_バス貨物_ガソリン,係数_バス貨物_CNG,係数_バス貨物_軽油,係数_バス貨物_メタノール,係数_バス貨物_LPG),MATCH(AY1226,【参考】排出係数!$AI$4:$AI$671,1),1,BE1226):INDEX((係数_バス貨物_ガソリン,係数_バス貨物_CNG,係数_バス貨物_軽油,係数_バス貨物_メタノール,係数_バス貨物_LPG),MATCH(AY1226+1,【参考】排出係数!$AI$4:$AI$671,1)-1,5,BE1226),4,FALSE)),IF(AND(BE1226=3,LEFT(BF1226,1)="1"),0.48,VLOOKUP(AU1226,INDEX((係数_乗用_ガソリン,係数_乗用_CNG,係数_乗用_軽油,係数_乗用_メタノール,係数_乗用_LPG),1,1,BE1226):INDEX((係数_乗用_ガソリン,係数_乗用_CNG,係数_乗用_軽油,係数_乗用_メタノール,係数_乗用_LPG),125,5,BE1226),4,FALSE)))))</f>
        <v/>
      </c>
      <c r="AL1226" s="461" t="str">
        <f t="shared" si="691"/>
        <v/>
      </c>
      <c r="AM1226" s="460" t="str">
        <f>IF(AU1226="","",IF(OR(AZ1226=8,AZ1226=9),0,IF(OR(AW1226=3,AW1226=4,AW1226=5,AW1226=6),IF(LEFT(BH1226,1)="1",INDEX(係数_PM低減,MATCH(AY1226,【参考】排出係数!$AI$801:$AI$804,1),MATCH(BI1226,【参考】排出係数!$AL$798:$AO$798,1)),VLOOKUP(AU1226,INDEX((係数_バス貨物_ガソリン,係数_バス貨物_CNG,係数_バス貨物_軽油,係数_バス貨物_メタノール,係数_バス貨物_LPG),MATCH(AY1226,【参考】排出係数!$AI$4:$AI$671,1),1,BE1226):INDEX((係数_バス貨物_ガソリン,係数_バス貨物_CNG,係数_バス貨物_軽油,係数_バス貨物_メタノール,係数_バス貨物_LPG),MATCH(AY1226+1,【参考】排出係数!$AI$4:$AI$671,1)-1,5,BE1226),5,FALSE)),IF(AND(BE1226=3,LEFT(BF1226,1)="1"),0.055,VLOOKUP(AU1226,INDEX((係数_乗用_ガソリン,係数_乗用_CNG,係数_乗用_軽油,係数_乗用_メタノール,係数_乗用_LPG),1,1,BE1226):INDEX((係数_乗用_ガソリン,係数_乗用_CNG,係数_乗用_軽油,係数_乗用_メタノール,係数_乗用_LPG),125,5,BE1226),5,FALSE)))))</f>
        <v/>
      </c>
      <c r="AN1226" s="461" t="str">
        <f t="shared" si="692"/>
        <v/>
      </c>
      <c r="AO1226" s="462" t="str">
        <f t="shared" si="693"/>
        <v/>
      </c>
      <c r="AP1226" s="463" t="str">
        <f t="shared" si="694"/>
        <v/>
      </c>
      <c r="AQ1226" s="464"/>
      <c r="AR1226" s="619"/>
      <c r="AS1226" s="465" t="str">
        <f t="shared" si="702"/>
        <v/>
      </c>
      <c r="AT1226" s="465" t="str">
        <f t="shared" si="703"/>
        <v/>
      </c>
      <c r="AU1226" s="466" t="str">
        <f t="shared" si="704"/>
        <v/>
      </c>
      <c r="AV1226" s="467" t="str">
        <f t="shared" si="705"/>
        <v/>
      </c>
      <c r="AW1226" s="467" t="str">
        <f t="shared" si="706"/>
        <v/>
      </c>
      <c r="AX1226" s="467" t="str">
        <f t="shared" si="707"/>
        <v/>
      </c>
      <c r="AY1226" s="467" t="str">
        <f t="shared" si="708"/>
        <v/>
      </c>
      <c r="AZ1226" s="467" t="str">
        <f t="shared" si="709"/>
        <v/>
      </c>
      <c r="BA1226" s="468" t="str">
        <f>IF(AS1226="","",IF(OR(AU1226="",AU1226="-"),"－",IF(OR(AZ1226=8,AZ1226=9),"",IF(OR(AW1226=3,AW1226=4,AW1226=5,AW1226=6),VLOOKUP(AU1226,INDEX((係数_バス貨物_ガソリン,係数_バス貨物_CNG,係数_バス貨物_軽油,係数_バス貨物_メタノール,係数_バス貨物_LPG),MATCH(AY1226,【参考】排出係数!$AI$4:$AI$671,1),1,BE1226):INDEX((係数_バス貨物_ガソリン,係数_バス貨物_CNG,係数_バス貨物_軽油,係数_バス貨物_メタノール,係数_バス貨物_LPG),MATCH(AY1226+1,【参考】排出係数!$AI$4:$AI$671,1)-1,5,BE1226),2,FALSE),IF(OR(AW1226=1,AW1226=2),VLOOKUP(AU1226,INDEX((係数_乗用_ガソリン,係数_乗用_CNG,係数_乗用_軽油,係数_乗用_メタノール,係数_乗用_LPG),1,1,BE1226):INDEX((係数_乗用_ガソリン,係数_乗用_CNG,係数_乗用_軽油,係数_乗用_メタノール,係数_乗用_LPG),125,5,BE1226),2,FALSE))))))</f>
        <v/>
      </c>
      <c r="BB1226" s="468" t="str">
        <f>IF(T1226="","",IF(OR(AU1226="",AU1226="-"),"－",IF(OR(AZ1226=8,AZ1226=9),"",IF(OR(AW1226=3,AW1226=4,AW1226=5,AW1226=6),VLOOKUP(AU1226,INDEX((係数_バス貨物_ガソリン,係数_バス貨物_CNG,係数_バス貨物_軽油,係数_バス貨物_メタノール,係数_バス貨物_LPG),MATCH(AY1226,【参考】排出係数!$AI$4:$AI$671,1),1,BE1226):INDEX((係数_バス貨物_ガソリン,係数_バス貨物_CNG,係数_バス貨物_軽油,係数_バス貨物_メタノール,係数_バス貨物_LPG),MATCH(AY1226+1,【参考】排出係数!$AI$4:$AI$671,1)-1,5,BE1226),3,FALSE),IF(OR(AW1226=1,AW1226=2),VLOOKUP(AU1226,INDEX((係数_乗用_ガソリン,係数_乗用_CNG,係数_乗用_軽油,係数_乗用_メタノール,係数_乗用_LPG),1,1,BE1226):INDEX((係数_乗用_ガソリン,係数_乗用_CNG,係数_乗用_軽油,係数_乗用_メタノール,係数_乗用_LPG),125,5,BE1226),3,FALSE))))))</f>
        <v/>
      </c>
      <c r="BC1226" s="467" t="str">
        <f t="shared" si="710"/>
        <v/>
      </c>
      <c r="BD1226" s="567" t="str">
        <f t="shared" si="711"/>
        <v/>
      </c>
      <c r="BE1226" s="467" t="str">
        <f t="shared" si="712"/>
        <v/>
      </c>
      <c r="BF1226" s="469" t="str">
        <f t="shared" ca="1" si="713"/>
        <v/>
      </c>
      <c r="BG1226" s="469" t="str">
        <f t="shared" ca="1" si="714"/>
        <v/>
      </c>
      <c r="BH1226" s="467" t="str">
        <f t="shared" si="715"/>
        <v/>
      </c>
      <c r="BI1226" s="467" t="str">
        <f t="shared" ca="1" si="716"/>
        <v/>
      </c>
      <c r="BJ1226" s="469" t="str">
        <f t="shared" si="717"/>
        <v/>
      </c>
      <c r="BK1226" s="470" t="str">
        <f t="shared" si="701"/>
        <v/>
      </c>
      <c r="BL1226" s="775" t="str">
        <f t="shared" si="718"/>
        <v/>
      </c>
      <c r="BM1226" s="775" t="str">
        <f t="shared" si="719"/>
        <v/>
      </c>
    </row>
    <row r="1227" spans="1:65">
      <c r="A1227" s="473">
        <v>1171</v>
      </c>
      <c r="B1227" s="132"/>
      <c r="C1227" s="332"/>
      <c r="D1227" s="333"/>
      <c r="E1227" s="333"/>
      <c r="F1227" s="334"/>
      <c r="G1227" s="337"/>
      <c r="H1227" s="131"/>
      <c r="I1227" s="337"/>
      <c r="J1227" s="131"/>
      <c r="K1227" s="458" t="str">
        <f t="shared" si="682"/>
        <v/>
      </c>
      <c r="L1227" s="458">
        <f t="shared" si="683"/>
        <v>0</v>
      </c>
      <c r="M1227" s="458">
        <f t="shared" si="684"/>
        <v>0</v>
      </c>
      <c r="N1227" s="459" t="str">
        <f t="shared" si="695"/>
        <v/>
      </c>
      <c r="O1227" s="459" t="str">
        <f t="shared" si="696"/>
        <v/>
      </c>
      <c r="P1227" s="459" t="str">
        <f t="shared" si="697"/>
        <v/>
      </c>
      <c r="Q1227" s="459" t="str">
        <f t="shared" si="698"/>
        <v/>
      </c>
      <c r="R1227" s="459" t="str">
        <f t="shared" si="699"/>
        <v/>
      </c>
      <c r="S1227" s="459" t="str">
        <f t="shared" si="700"/>
        <v/>
      </c>
      <c r="T1227" s="566" t="str">
        <f t="shared" si="685"/>
        <v/>
      </c>
      <c r="U1227" s="702"/>
      <c r="V1227" s="132"/>
      <c r="W1227" s="133"/>
      <c r="X1227" s="134"/>
      <c r="Y1227" s="135"/>
      <c r="Z1227" s="137"/>
      <c r="AA1227" s="136"/>
      <c r="AB1227" s="566" t="str">
        <f t="shared" si="686"/>
        <v/>
      </c>
      <c r="AC1227" s="568" t="str">
        <f t="shared" si="687"/>
        <v/>
      </c>
      <c r="AD1227" s="137"/>
      <c r="AE1227" s="137"/>
      <c r="AF1227" s="138"/>
      <c r="AG1227" s="138"/>
      <c r="AH1227" s="592" t="str">
        <f t="shared" si="688"/>
        <v/>
      </c>
      <c r="AI1227" s="592" t="str">
        <f t="shared" si="689"/>
        <v/>
      </c>
      <c r="AJ1227" s="592" t="str">
        <f t="shared" si="690"/>
        <v/>
      </c>
      <c r="AK1227" s="460" t="str">
        <f>IF(AU1227="","",IF(OR(AZ1227=8,AZ1227=9),0,IF(OR(AW1227=3,AW1227=4,AW1227=5,AW1227=6),IF(LEFT(BF1227,1)="1",INDEX(係数_NOX・PM低減,MATCH(AY1227,【参考】排出係数!$AI$801:$AI$804,1),1),VLOOKUP(AU1227,INDEX((係数_バス貨物_ガソリン,係数_バス貨物_CNG,係数_バス貨物_軽油,係数_バス貨物_メタノール,係数_バス貨物_LPG),MATCH(AY1227,【参考】排出係数!$AI$4:$AI$671,1),1,BE1227):INDEX((係数_バス貨物_ガソリン,係数_バス貨物_CNG,係数_バス貨物_軽油,係数_バス貨物_メタノール,係数_バス貨物_LPG),MATCH(AY1227+1,【参考】排出係数!$AI$4:$AI$671,1)-1,5,BE1227),4,FALSE)),IF(AND(BE1227=3,LEFT(BF1227,1)="1"),0.48,VLOOKUP(AU1227,INDEX((係数_乗用_ガソリン,係数_乗用_CNG,係数_乗用_軽油,係数_乗用_メタノール,係数_乗用_LPG),1,1,BE1227):INDEX((係数_乗用_ガソリン,係数_乗用_CNG,係数_乗用_軽油,係数_乗用_メタノール,係数_乗用_LPG),125,5,BE1227),4,FALSE)))))</f>
        <v/>
      </c>
      <c r="AL1227" s="461" t="str">
        <f t="shared" si="691"/>
        <v/>
      </c>
      <c r="AM1227" s="460" t="str">
        <f>IF(AU1227="","",IF(OR(AZ1227=8,AZ1227=9),0,IF(OR(AW1227=3,AW1227=4,AW1227=5,AW1227=6),IF(LEFT(BH1227,1)="1",INDEX(係数_PM低減,MATCH(AY1227,【参考】排出係数!$AI$801:$AI$804,1),MATCH(BI1227,【参考】排出係数!$AL$798:$AO$798,1)),VLOOKUP(AU1227,INDEX((係数_バス貨物_ガソリン,係数_バス貨物_CNG,係数_バス貨物_軽油,係数_バス貨物_メタノール,係数_バス貨物_LPG),MATCH(AY1227,【参考】排出係数!$AI$4:$AI$671,1),1,BE1227):INDEX((係数_バス貨物_ガソリン,係数_バス貨物_CNG,係数_バス貨物_軽油,係数_バス貨物_メタノール,係数_バス貨物_LPG),MATCH(AY1227+1,【参考】排出係数!$AI$4:$AI$671,1)-1,5,BE1227),5,FALSE)),IF(AND(BE1227=3,LEFT(BF1227,1)="1"),0.055,VLOOKUP(AU1227,INDEX((係数_乗用_ガソリン,係数_乗用_CNG,係数_乗用_軽油,係数_乗用_メタノール,係数_乗用_LPG),1,1,BE1227):INDEX((係数_乗用_ガソリン,係数_乗用_CNG,係数_乗用_軽油,係数_乗用_メタノール,係数_乗用_LPG),125,5,BE1227),5,FALSE)))))</f>
        <v/>
      </c>
      <c r="AN1227" s="461" t="str">
        <f t="shared" si="692"/>
        <v/>
      </c>
      <c r="AO1227" s="462" t="str">
        <f t="shared" si="693"/>
        <v/>
      </c>
      <c r="AP1227" s="463" t="str">
        <f t="shared" si="694"/>
        <v/>
      </c>
      <c r="AQ1227" s="464"/>
      <c r="AR1227" s="619"/>
      <c r="AS1227" s="465" t="str">
        <f t="shared" si="702"/>
        <v/>
      </c>
      <c r="AT1227" s="465" t="str">
        <f t="shared" si="703"/>
        <v/>
      </c>
      <c r="AU1227" s="466" t="str">
        <f t="shared" si="704"/>
        <v/>
      </c>
      <c r="AV1227" s="467" t="str">
        <f t="shared" si="705"/>
        <v/>
      </c>
      <c r="AW1227" s="467" t="str">
        <f t="shared" si="706"/>
        <v/>
      </c>
      <c r="AX1227" s="467" t="str">
        <f t="shared" si="707"/>
        <v/>
      </c>
      <c r="AY1227" s="467" t="str">
        <f t="shared" si="708"/>
        <v/>
      </c>
      <c r="AZ1227" s="467" t="str">
        <f t="shared" si="709"/>
        <v/>
      </c>
      <c r="BA1227" s="468" t="str">
        <f>IF(AS1227="","",IF(OR(AU1227="",AU1227="-"),"－",IF(OR(AZ1227=8,AZ1227=9),"",IF(OR(AW1227=3,AW1227=4,AW1227=5,AW1227=6),VLOOKUP(AU1227,INDEX((係数_バス貨物_ガソリン,係数_バス貨物_CNG,係数_バス貨物_軽油,係数_バス貨物_メタノール,係数_バス貨物_LPG),MATCH(AY1227,【参考】排出係数!$AI$4:$AI$671,1),1,BE1227):INDEX((係数_バス貨物_ガソリン,係数_バス貨物_CNG,係数_バス貨物_軽油,係数_バス貨物_メタノール,係数_バス貨物_LPG),MATCH(AY1227+1,【参考】排出係数!$AI$4:$AI$671,1)-1,5,BE1227),2,FALSE),IF(OR(AW1227=1,AW1227=2),VLOOKUP(AU1227,INDEX((係数_乗用_ガソリン,係数_乗用_CNG,係数_乗用_軽油,係数_乗用_メタノール,係数_乗用_LPG),1,1,BE1227):INDEX((係数_乗用_ガソリン,係数_乗用_CNG,係数_乗用_軽油,係数_乗用_メタノール,係数_乗用_LPG),125,5,BE1227),2,FALSE))))))</f>
        <v/>
      </c>
      <c r="BB1227" s="468" t="str">
        <f>IF(T1227="","",IF(OR(AU1227="",AU1227="-"),"－",IF(OR(AZ1227=8,AZ1227=9),"",IF(OR(AW1227=3,AW1227=4,AW1227=5,AW1227=6),VLOOKUP(AU1227,INDEX((係数_バス貨物_ガソリン,係数_バス貨物_CNG,係数_バス貨物_軽油,係数_バス貨物_メタノール,係数_バス貨物_LPG),MATCH(AY1227,【参考】排出係数!$AI$4:$AI$671,1),1,BE1227):INDEX((係数_バス貨物_ガソリン,係数_バス貨物_CNG,係数_バス貨物_軽油,係数_バス貨物_メタノール,係数_バス貨物_LPG),MATCH(AY1227+1,【参考】排出係数!$AI$4:$AI$671,1)-1,5,BE1227),3,FALSE),IF(OR(AW1227=1,AW1227=2),VLOOKUP(AU1227,INDEX((係数_乗用_ガソリン,係数_乗用_CNG,係数_乗用_軽油,係数_乗用_メタノール,係数_乗用_LPG),1,1,BE1227):INDEX((係数_乗用_ガソリン,係数_乗用_CNG,係数_乗用_軽油,係数_乗用_メタノール,係数_乗用_LPG),125,5,BE1227),3,FALSE))))))</f>
        <v/>
      </c>
      <c r="BC1227" s="467" t="str">
        <f t="shared" si="710"/>
        <v/>
      </c>
      <c r="BD1227" s="567" t="str">
        <f t="shared" si="711"/>
        <v/>
      </c>
      <c r="BE1227" s="467" t="str">
        <f t="shared" si="712"/>
        <v/>
      </c>
      <c r="BF1227" s="469" t="str">
        <f t="shared" ca="1" si="713"/>
        <v/>
      </c>
      <c r="BG1227" s="469" t="str">
        <f t="shared" ca="1" si="714"/>
        <v/>
      </c>
      <c r="BH1227" s="467" t="str">
        <f t="shared" si="715"/>
        <v/>
      </c>
      <c r="BI1227" s="467" t="str">
        <f t="shared" ca="1" si="716"/>
        <v/>
      </c>
      <c r="BJ1227" s="469" t="str">
        <f t="shared" si="717"/>
        <v/>
      </c>
      <c r="BK1227" s="470" t="str">
        <f t="shared" si="701"/>
        <v/>
      </c>
      <c r="BL1227" s="775" t="str">
        <f t="shared" si="718"/>
        <v/>
      </c>
      <c r="BM1227" s="775" t="str">
        <f t="shared" si="719"/>
        <v/>
      </c>
    </row>
    <row r="1228" spans="1:65">
      <c r="A1228" s="473">
        <v>1172</v>
      </c>
      <c r="B1228" s="132"/>
      <c r="C1228" s="332"/>
      <c r="D1228" s="333"/>
      <c r="E1228" s="333"/>
      <c r="F1228" s="334"/>
      <c r="G1228" s="337"/>
      <c r="H1228" s="131"/>
      <c r="I1228" s="337"/>
      <c r="J1228" s="131"/>
      <c r="K1228" s="458" t="str">
        <f t="shared" si="682"/>
        <v/>
      </c>
      <c r="L1228" s="458">
        <f t="shared" si="683"/>
        <v>0</v>
      </c>
      <c r="M1228" s="458">
        <f t="shared" si="684"/>
        <v>0</v>
      </c>
      <c r="N1228" s="459" t="str">
        <f t="shared" si="695"/>
        <v/>
      </c>
      <c r="O1228" s="459" t="str">
        <f t="shared" si="696"/>
        <v/>
      </c>
      <c r="P1228" s="459" t="str">
        <f t="shared" si="697"/>
        <v/>
      </c>
      <c r="Q1228" s="459" t="str">
        <f t="shared" si="698"/>
        <v/>
      </c>
      <c r="R1228" s="459" t="str">
        <f t="shared" si="699"/>
        <v/>
      </c>
      <c r="S1228" s="459" t="str">
        <f t="shared" si="700"/>
        <v/>
      </c>
      <c r="T1228" s="566" t="str">
        <f t="shared" si="685"/>
        <v/>
      </c>
      <c r="U1228" s="702"/>
      <c r="V1228" s="132"/>
      <c r="W1228" s="133"/>
      <c r="X1228" s="134"/>
      <c r="Y1228" s="135"/>
      <c r="Z1228" s="137"/>
      <c r="AA1228" s="136"/>
      <c r="AB1228" s="566" t="str">
        <f t="shared" si="686"/>
        <v/>
      </c>
      <c r="AC1228" s="568" t="str">
        <f t="shared" si="687"/>
        <v/>
      </c>
      <c r="AD1228" s="137"/>
      <c r="AE1228" s="137"/>
      <c r="AF1228" s="138"/>
      <c r="AG1228" s="138"/>
      <c r="AH1228" s="592" t="str">
        <f t="shared" si="688"/>
        <v/>
      </c>
      <c r="AI1228" s="592" t="str">
        <f t="shared" si="689"/>
        <v/>
      </c>
      <c r="AJ1228" s="592" t="str">
        <f t="shared" si="690"/>
        <v/>
      </c>
      <c r="AK1228" s="460" t="str">
        <f>IF(AU1228="","",IF(OR(AZ1228=8,AZ1228=9),0,IF(OR(AW1228=3,AW1228=4,AW1228=5,AW1228=6),IF(LEFT(BF1228,1)="1",INDEX(係数_NOX・PM低減,MATCH(AY1228,【参考】排出係数!$AI$801:$AI$804,1),1),VLOOKUP(AU1228,INDEX((係数_バス貨物_ガソリン,係数_バス貨物_CNG,係数_バス貨物_軽油,係数_バス貨物_メタノール,係数_バス貨物_LPG),MATCH(AY1228,【参考】排出係数!$AI$4:$AI$671,1),1,BE1228):INDEX((係数_バス貨物_ガソリン,係数_バス貨物_CNG,係数_バス貨物_軽油,係数_バス貨物_メタノール,係数_バス貨物_LPG),MATCH(AY1228+1,【参考】排出係数!$AI$4:$AI$671,1)-1,5,BE1228),4,FALSE)),IF(AND(BE1228=3,LEFT(BF1228,1)="1"),0.48,VLOOKUP(AU1228,INDEX((係数_乗用_ガソリン,係数_乗用_CNG,係数_乗用_軽油,係数_乗用_メタノール,係数_乗用_LPG),1,1,BE1228):INDEX((係数_乗用_ガソリン,係数_乗用_CNG,係数_乗用_軽油,係数_乗用_メタノール,係数_乗用_LPG),125,5,BE1228),4,FALSE)))))</f>
        <v/>
      </c>
      <c r="AL1228" s="461" t="str">
        <f t="shared" si="691"/>
        <v/>
      </c>
      <c r="AM1228" s="460" t="str">
        <f>IF(AU1228="","",IF(OR(AZ1228=8,AZ1228=9),0,IF(OR(AW1228=3,AW1228=4,AW1228=5,AW1228=6),IF(LEFT(BH1228,1)="1",INDEX(係数_PM低減,MATCH(AY1228,【参考】排出係数!$AI$801:$AI$804,1),MATCH(BI1228,【参考】排出係数!$AL$798:$AO$798,1)),VLOOKUP(AU1228,INDEX((係数_バス貨物_ガソリン,係数_バス貨物_CNG,係数_バス貨物_軽油,係数_バス貨物_メタノール,係数_バス貨物_LPG),MATCH(AY1228,【参考】排出係数!$AI$4:$AI$671,1),1,BE1228):INDEX((係数_バス貨物_ガソリン,係数_バス貨物_CNG,係数_バス貨物_軽油,係数_バス貨物_メタノール,係数_バス貨物_LPG),MATCH(AY1228+1,【参考】排出係数!$AI$4:$AI$671,1)-1,5,BE1228),5,FALSE)),IF(AND(BE1228=3,LEFT(BF1228,1)="1"),0.055,VLOOKUP(AU1228,INDEX((係数_乗用_ガソリン,係数_乗用_CNG,係数_乗用_軽油,係数_乗用_メタノール,係数_乗用_LPG),1,1,BE1228):INDEX((係数_乗用_ガソリン,係数_乗用_CNG,係数_乗用_軽油,係数_乗用_メタノール,係数_乗用_LPG),125,5,BE1228),5,FALSE)))))</f>
        <v/>
      </c>
      <c r="AN1228" s="461" t="str">
        <f t="shared" si="692"/>
        <v/>
      </c>
      <c r="AO1228" s="462" t="str">
        <f t="shared" si="693"/>
        <v/>
      </c>
      <c r="AP1228" s="463" t="str">
        <f t="shared" si="694"/>
        <v/>
      </c>
      <c r="AQ1228" s="464"/>
      <c r="AR1228" s="619"/>
      <c r="AS1228" s="465" t="str">
        <f t="shared" si="702"/>
        <v/>
      </c>
      <c r="AT1228" s="465" t="str">
        <f t="shared" si="703"/>
        <v/>
      </c>
      <c r="AU1228" s="466" t="str">
        <f t="shared" si="704"/>
        <v/>
      </c>
      <c r="AV1228" s="467" t="str">
        <f t="shared" si="705"/>
        <v/>
      </c>
      <c r="AW1228" s="467" t="str">
        <f t="shared" si="706"/>
        <v/>
      </c>
      <c r="AX1228" s="467" t="str">
        <f t="shared" si="707"/>
        <v/>
      </c>
      <c r="AY1228" s="467" t="str">
        <f t="shared" si="708"/>
        <v/>
      </c>
      <c r="AZ1228" s="467" t="str">
        <f t="shared" si="709"/>
        <v/>
      </c>
      <c r="BA1228" s="468" t="str">
        <f>IF(AS1228="","",IF(OR(AU1228="",AU1228="-"),"－",IF(OR(AZ1228=8,AZ1228=9),"",IF(OR(AW1228=3,AW1228=4,AW1228=5,AW1228=6),VLOOKUP(AU1228,INDEX((係数_バス貨物_ガソリン,係数_バス貨物_CNG,係数_バス貨物_軽油,係数_バス貨物_メタノール,係数_バス貨物_LPG),MATCH(AY1228,【参考】排出係数!$AI$4:$AI$671,1),1,BE1228):INDEX((係数_バス貨物_ガソリン,係数_バス貨物_CNG,係数_バス貨物_軽油,係数_バス貨物_メタノール,係数_バス貨物_LPG),MATCH(AY1228+1,【参考】排出係数!$AI$4:$AI$671,1)-1,5,BE1228),2,FALSE),IF(OR(AW1228=1,AW1228=2),VLOOKUP(AU1228,INDEX((係数_乗用_ガソリン,係数_乗用_CNG,係数_乗用_軽油,係数_乗用_メタノール,係数_乗用_LPG),1,1,BE1228):INDEX((係数_乗用_ガソリン,係数_乗用_CNG,係数_乗用_軽油,係数_乗用_メタノール,係数_乗用_LPG),125,5,BE1228),2,FALSE))))))</f>
        <v/>
      </c>
      <c r="BB1228" s="468" t="str">
        <f>IF(T1228="","",IF(OR(AU1228="",AU1228="-"),"－",IF(OR(AZ1228=8,AZ1228=9),"",IF(OR(AW1228=3,AW1228=4,AW1228=5,AW1228=6),VLOOKUP(AU1228,INDEX((係数_バス貨物_ガソリン,係数_バス貨物_CNG,係数_バス貨物_軽油,係数_バス貨物_メタノール,係数_バス貨物_LPG),MATCH(AY1228,【参考】排出係数!$AI$4:$AI$671,1),1,BE1228):INDEX((係数_バス貨物_ガソリン,係数_バス貨物_CNG,係数_バス貨物_軽油,係数_バス貨物_メタノール,係数_バス貨物_LPG),MATCH(AY1228+1,【参考】排出係数!$AI$4:$AI$671,1)-1,5,BE1228),3,FALSE),IF(OR(AW1228=1,AW1228=2),VLOOKUP(AU1228,INDEX((係数_乗用_ガソリン,係数_乗用_CNG,係数_乗用_軽油,係数_乗用_メタノール,係数_乗用_LPG),1,1,BE1228):INDEX((係数_乗用_ガソリン,係数_乗用_CNG,係数_乗用_軽油,係数_乗用_メタノール,係数_乗用_LPG),125,5,BE1228),3,FALSE))))))</f>
        <v/>
      </c>
      <c r="BC1228" s="467" t="str">
        <f t="shared" si="710"/>
        <v/>
      </c>
      <c r="BD1228" s="567" t="str">
        <f t="shared" si="711"/>
        <v/>
      </c>
      <c r="BE1228" s="467" t="str">
        <f t="shared" si="712"/>
        <v/>
      </c>
      <c r="BF1228" s="469" t="str">
        <f t="shared" ca="1" si="713"/>
        <v/>
      </c>
      <c r="BG1228" s="469" t="str">
        <f t="shared" ca="1" si="714"/>
        <v/>
      </c>
      <c r="BH1228" s="467" t="str">
        <f t="shared" si="715"/>
        <v/>
      </c>
      <c r="BI1228" s="467" t="str">
        <f t="shared" ca="1" si="716"/>
        <v/>
      </c>
      <c r="BJ1228" s="469" t="str">
        <f t="shared" si="717"/>
        <v/>
      </c>
      <c r="BK1228" s="470" t="str">
        <f t="shared" si="701"/>
        <v/>
      </c>
      <c r="BL1228" s="775" t="str">
        <f t="shared" si="718"/>
        <v/>
      </c>
      <c r="BM1228" s="775" t="str">
        <f t="shared" si="719"/>
        <v/>
      </c>
    </row>
    <row r="1229" spans="1:65">
      <c r="A1229" s="473">
        <v>1173</v>
      </c>
      <c r="B1229" s="132"/>
      <c r="C1229" s="332"/>
      <c r="D1229" s="333"/>
      <c r="E1229" s="333"/>
      <c r="F1229" s="334"/>
      <c r="G1229" s="337"/>
      <c r="H1229" s="131"/>
      <c r="I1229" s="337"/>
      <c r="J1229" s="131"/>
      <c r="K1229" s="458" t="str">
        <f t="shared" si="682"/>
        <v/>
      </c>
      <c r="L1229" s="458">
        <f t="shared" si="683"/>
        <v>0</v>
      </c>
      <c r="M1229" s="458">
        <f t="shared" si="684"/>
        <v>0</v>
      </c>
      <c r="N1229" s="459" t="str">
        <f t="shared" si="695"/>
        <v/>
      </c>
      <c r="O1229" s="459" t="str">
        <f t="shared" si="696"/>
        <v/>
      </c>
      <c r="P1229" s="459" t="str">
        <f t="shared" si="697"/>
        <v/>
      </c>
      <c r="Q1229" s="459" t="str">
        <f t="shared" si="698"/>
        <v/>
      </c>
      <c r="R1229" s="459" t="str">
        <f t="shared" si="699"/>
        <v/>
      </c>
      <c r="S1229" s="459" t="str">
        <f t="shared" si="700"/>
        <v/>
      </c>
      <c r="T1229" s="566" t="str">
        <f t="shared" si="685"/>
        <v/>
      </c>
      <c r="U1229" s="702"/>
      <c r="V1229" s="132"/>
      <c r="W1229" s="133"/>
      <c r="X1229" s="134"/>
      <c r="Y1229" s="135"/>
      <c r="Z1229" s="137"/>
      <c r="AA1229" s="136"/>
      <c r="AB1229" s="566" t="str">
        <f t="shared" si="686"/>
        <v/>
      </c>
      <c r="AC1229" s="568" t="str">
        <f t="shared" si="687"/>
        <v/>
      </c>
      <c r="AD1229" s="137"/>
      <c r="AE1229" s="137"/>
      <c r="AF1229" s="138"/>
      <c r="AG1229" s="138"/>
      <c r="AH1229" s="592" t="str">
        <f t="shared" si="688"/>
        <v/>
      </c>
      <c r="AI1229" s="592" t="str">
        <f t="shared" si="689"/>
        <v/>
      </c>
      <c r="AJ1229" s="592" t="str">
        <f t="shared" si="690"/>
        <v/>
      </c>
      <c r="AK1229" s="460" t="str">
        <f>IF(AU1229="","",IF(OR(AZ1229=8,AZ1229=9),0,IF(OR(AW1229=3,AW1229=4,AW1229=5,AW1229=6),IF(LEFT(BF1229,1)="1",INDEX(係数_NOX・PM低減,MATCH(AY1229,【参考】排出係数!$AI$801:$AI$804,1),1),VLOOKUP(AU1229,INDEX((係数_バス貨物_ガソリン,係数_バス貨物_CNG,係数_バス貨物_軽油,係数_バス貨物_メタノール,係数_バス貨物_LPG),MATCH(AY1229,【参考】排出係数!$AI$4:$AI$671,1),1,BE1229):INDEX((係数_バス貨物_ガソリン,係数_バス貨物_CNG,係数_バス貨物_軽油,係数_バス貨物_メタノール,係数_バス貨物_LPG),MATCH(AY1229+1,【参考】排出係数!$AI$4:$AI$671,1)-1,5,BE1229),4,FALSE)),IF(AND(BE1229=3,LEFT(BF1229,1)="1"),0.48,VLOOKUP(AU1229,INDEX((係数_乗用_ガソリン,係数_乗用_CNG,係数_乗用_軽油,係数_乗用_メタノール,係数_乗用_LPG),1,1,BE1229):INDEX((係数_乗用_ガソリン,係数_乗用_CNG,係数_乗用_軽油,係数_乗用_メタノール,係数_乗用_LPG),125,5,BE1229),4,FALSE)))))</f>
        <v/>
      </c>
      <c r="AL1229" s="461" t="str">
        <f t="shared" si="691"/>
        <v/>
      </c>
      <c r="AM1229" s="460" t="str">
        <f>IF(AU1229="","",IF(OR(AZ1229=8,AZ1229=9),0,IF(OR(AW1229=3,AW1229=4,AW1229=5,AW1229=6),IF(LEFT(BH1229,1)="1",INDEX(係数_PM低減,MATCH(AY1229,【参考】排出係数!$AI$801:$AI$804,1),MATCH(BI1229,【参考】排出係数!$AL$798:$AO$798,1)),VLOOKUP(AU1229,INDEX((係数_バス貨物_ガソリン,係数_バス貨物_CNG,係数_バス貨物_軽油,係数_バス貨物_メタノール,係数_バス貨物_LPG),MATCH(AY1229,【参考】排出係数!$AI$4:$AI$671,1),1,BE1229):INDEX((係数_バス貨物_ガソリン,係数_バス貨物_CNG,係数_バス貨物_軽油,係数_バス貨物_メタノール,係数_バス貨物_LPG),MATCH(AY1229+1,【参考】排出係数!$AI$4:$AI$671,1)-1,5,BE1229),5,FALSE)),IF(AND(BE1229=3,LEFT(BF1229,1)="1"),0.055,VLOOKUP(AU1229,INDEX((係数_乗用_ガソリン,係数_乗用_CNG,係数_乗用_軽油,係数_乗用_メタノール,係数_乗用_LPG),1,1,BE1229):INDEX((係数_乗用_ガソリン,係数_乗用_CNG,係数_乗用_軽油,係数_乗用_メタノール,係数_乗用_LPG),125,5,BE1229),5,FALSE)))))</f>
        <v/>
      </c>
      <c r="AN1229" s="461" t="str">
        <f t="shared" si="692"/>
        <v/>
      </c>
      <c r="AO1229" s="462" t="str">
        <f t="shared" si="693"/>
        <v/>
      </c>
      <c r="AP1229" s="463" t="str">
        <f t="shared" si="694"/>
        <v/>
      </c>
      <c r="AQ1229" s="464"/>
      <c r="AR1229" s="619"/>
      <c r="AS1229" s="465" t="str">
        <f t="shared" si="702"/>
        <v/>
      </c>
      <c r="AT1229" s="465" t="str">
        <f t="shared" si="703"/>
        <v/>
      </c>
      <c r="AU1229" s="466" t="str">
        <f t="shared" si="704"/>
        <v/>
      </c>
      <c r="AV1229" s="467" t="str">
        <f t="shared" si="705"/>
        <v/>
      </c>
      <c r="AW1229" s="467" t="str">
        <f t="shared" si="706"/>
        <v/>
      </c>
      <c r="AX1229" s="467" t="str">
        <f t="shared" si="707"/>
        <v/>
      </c>
      <c r="AY1229" s="467" t="str">
        <f t="shared" si="708"/>
        <v/>
      </c>
      <c r="AZ1229" s="467" t="str">
        <f t="shared" si="709"/>
        <v/>
      </c>
      <c r="BA1229" s="468" t="str">
        <f>IF(AS1229="","",IF(OR(AU1229="",AU1229="-"),"－",IF(OR(AZ1229=8,AZ1229=9),"",IF(OR(AW1229=3,AW1229=4,AW1229=5,AW1229=6),VLOOKUP(AU1229,INDEX((係数_バス貨物_ガソリン,係数_バス貨物_CNG,係数_バス貨物_軽油,係数_バス貨物_メタノール,係数_バス貨物_LPG),MATCH(AY1229,【参考】排出係数!$AI$4:$AI$671,1),1,BE1229):INDEX((係数_バス貨物_ガソリン,係数_バス貨物_CNG,係数_バス貨物_軽油,係数_バス貨物_メタノール,係数_バス貨物_LPG),MATCH(AY1229+1,【参考】排出係数!$AI$4:$AI$671,1)-1,5,BE1229),2,FALSE),IF(OR(AW1229=1,AW1229=2),VLOOKUP(AU1229,INDEX((係数_乗用_ガソリン,係数_乗用_CNG,係数_乗用_軽油,係数_乗用_メタノール,係数_乗用_LPG),1,1,BE1229):INDEX((係数_乗用_ガソリン,係数_乗用_CNG,係数_乗用_軽油,係数_乗用_メタノール,係数_乗用_LPG),125,5,BE1229),2,FALSE))))))</f>
        <v/>
      </c>
      <c r="BB1229" s="468" t="str">
        <f>IF(T1229="","",IF(OR(AU1229="",AU1229="-"),"－",IF(OR(AZ1229=8,AZ1229=9),"",IF(OR(AW1229=3,AW1229=4,AW1229=5,AW1229=6),VLOOKUP(AU1229,INDEX((係数_バス貨物_ガソリン,係数_バス貨物_CNG,係数_バス貨物_軽油,係数_バス貨物_メタノール,係数_バス貨物_LPG),MATCH(AY1229,【参考】排出係数!$AI$4:$AI$671,1),1,BE1229):INDEX((係数_バス貨物_ガソリン,係数_バス貨物_CNG,係数_バス貨物_軽油,係数_バス貨物_メタノール,係数_バス貨物_LPG),MATCH(AY1229+1,【参考】排出係数!$AI$4:$AI$671,1)-1,5,BE1229),3,FALSE),IF(OR(AW1229=1,AW1229=2),VLOOKUP(AU1229,INDEX((係数_乗用_ガソリン,係数_乗用_CNG,係数_乗用_軽油,係数_乗用_メタノール,係数_乗用_LPG),1,1,BE1229):INDEX((係数_乗用_ガソリン,係数_乗用_CNG,係数_乗用_軽油,係数_乗用_メタノール,係数_乗用_LPG),125,5,BE1229),3,FALSE))))))</f>
        <v/>
      </c>
      <c r="BC1229" s="467" t="str">
        <f t="shared" si="710"/>
        <v/>
      </c>
      <c r="BD1229" s="567" t="str">
        <f t="shared" si="711"/>
        <v/>
      </c>
      <c r="BE1229" s="467" t="str">
        <f t="shared" si="712"/>
        <v/>
      </c>
      <c r="BF1229" s="469" t="str">
        <f t="shared" ca="1" si="713"/>
        <v/>
      </c>
      <c r="BG1229" s="469" t="str">
        <f t="shared" ca="1" si="714"/>
        <v/>
      </c>
      <c r="BH1229" s="467" t="str">
        <f t="shared" si="715"/>
        <v/>
      </c>
      <c r="BI1229" s="467" t="str">
        <f t="shared" ca="1" si="716"/>
        <v/>
      </c>
      <c r="BJ1229" s="469" t="str">
        <f t="shared" si="717"/>
        <v/>
      </c>
      <c r="BK1229" s="470" t="str">
        <f t="shared" si="701"/>
        <v/>
      </c>
      <c r="BL1229" s="775" t="str">
        <f t="shared" si="718"/>
        <v/>
      </c>
      <c r="BM1229" s="775" t="str">
        <f t="shared" si="719"/>
        <v/>
      </c>
    </row>
    <row r="1230" spans="1:65">
      <c r="A1230" s="473">
        <v>1174</v>
      </c>
      <c r="B1230" s="132"/>
      <c r="C1230" s="332"/>
      <c r="D1230" s="333"/>
      <c r="E1230" s="333"/>
      <c r="F1230" s="334"/>
      <c r="G1230" s="337"/>
      <c r="H1230" s="131"/>
      <c r="I1230" s="337"/>
      <c r="J1230" s="131"/>
      <c r="K1230" s="458" t="str">
        <f t="shared" si="682"/>
        <v/>
      </c>
      <c r="L1230" s="458">
        <f t="shared" si="683"/>
        <v>0</v>
      </c>
      <c r="M1230" s="458">
        <f t="shared" si="684"/>
        <v>0</v>
      </c>
      <c r="N1230" s="459" t="str">
        <f t="shared" si="695"/>
        <v/>
      </c>
      <c r="O1230" s="459" t="str">
        <f t="shared" si="696"/>
        <v/>
      </c>
      <c r="P1230" s="459" t="str">
        <f t="shared" si="697"/>
        <v/>
      </c>
      <c r="Q1230" s="459" t="str">
        <f t="shared" si="698"/>
        <v/>
      </c>
      <c r="R1230" s="459" t="str">
        <f t="shared" si="699"/>
        <v/>
      </c>
      <c r="S1230" s="459" t="str">
        <f t="shared" si="700"/>
        <v/>
      </c>
      <c r="T1230" s="566" t="str">
        <f t="shared" si="685"/>
        <v/>
      </c>
      <c r="U1230" s="702"/>
      <c r="V1230" s="132"/>
      <c r="W1230" s="133"/>
      <c r="X1230" s="134"/>
      <c r="Y1230" s="135"/>
      <c r="Z1230" s="137"/>
      <c r="AA1230" s="136"/>
      <c r="AB1230" s="566" t="str">
        <f t="shared" si="686"/>
        <v/>
      </c>
      <c r="AC1230" s="568" t="str">
        <f t="shared" si="687"/>
        <v/>
      </c>
      <c r="AD1230" s="137"/>
      <c r="AE1230" s="137"/>
      <c r="AF1230" s="138"/>
      <c r="AG1230" s="138"/>
      <c r="AH1230" s="592" t="str">
        <f t="shared" si="688"/>
        <v/>
      </c>
      <c r="AI1230" s="592" t="str">
        <f t="shared" si="689"/>
        <v/>
      </c>
      <c r="AJ1230" s="592" t="str">
        <f t="shared" si="690"/>
        <v/>
      </c>
      <c r="AK1230" s="460" t="str">
        <f>IF(AU1230="","",IF(OR(AZ1230=8,AZ1230=9),0,IF(OR(AW1230=3,AW1230=4,AW1230=5,AW1230=6),IF(LEFT(BF1230,1)="1",INDEX(係数_NOX・PM低減,MATCH(AY1230,【参考】排出係数!$AI$801:$AI$804,1),1),VLOOKUP(AU1230,INDEX((係数_バス貨物_ガソリン,係数_バス貨物_CNG,係数_バス貨物_軽油,係数_バス貨物_メタノール,係数_バス貨物_LPG),MATCH(AY1230,【参考】排出係数!$AI$4:$AI$671,1),1,BE1230):INDEX((係数_バス貨物_ガソリン,係数_バス貨物_CNG,係数_バス貨物_軽油,係数_バス貨物_メタノール,係数_バス貨物_LPG),MATCH(AY1230+1,【参考】排出係数!$AI$4:$AI$671,1)-1,5,BE1230),4,FALSE)),IF(AND(BE1230=3,LEFT(BF1230,1)="1"),0.48,VLOOKUP(AU1230,INDEX((係数_乗用_ガソリン,係数_乗用_CNG,係数_乗用_軽油,係数_乗用_メタノール,係数_乗用_LPG),1,1,BE1230):INDEX((係数_乗用_ガソリン,係数_乗用_CNG,係数_乗用_軽油,係数_乗用_メタノール,係数_乗用_LPG),125,5,BE1230),4,FALSE)))))</f>
        <v/>
      </c>
      <c r="AL1230" s="461" t="str">
        <f t="shared" si="691"/>
        <v/>
      </c>
      <c r="AM1230" s="460" t="str">
        <f>IF(AU1230="","",IF(OR(AZ1230=8,AZ1230=9),0,IF(OR(AW1230=3,AW1230=4,AW1230=5,AW1230=6),IF(LEFT(BH1230,1)="1",INDEX(係数_PM低減,MATCH(AY1230,【参考】排出係数!$AI$801:$AI$804,1),MATCH(BI1230,【参考】排出係数!$AL$798:$AO$798,1)),VLOOKUP(AU1230,INDEX((係数_バス貨物_ガソリン,係数_バス貨物_CNG,係数_バス貨物_軽油,係数_バス貨物_メタノール,係数_バス貨物_LPG),MATCH(AY1230,【参考】排出係数!$AI$4:$AI$671,1),1,BE1230):INDEX((係数_バス貨物_ガソリン,係数_バス貨物_CNG,係数_バス貨物_軽油,係数_バス貨物_メタノール,係数_バス貨物_LPG),MATCH(AY1230+1,【参考】排出係数!$AI$4:$AI$671,1)-1,5,BE1230),5,FALSE)),IF(AND(BE1230=3,LEFT(BF1230,1)="1"),0.055,VLOOKUP(AU1230,INDEX((係数_乗用_ガソリン,係数_乗用_CNG,係数_乗用_軽油,係数_乗用_メタノール,係数_乗用_LPG),1,1,BE1230):INDEX((係数_乗用_ガソリン,係数_乗用_CNG,係数_乗用_軽油,係数_乗用_メタノール,係数_乗用_LPG),125,5,BE1230),5,FALSE)))))</f>
        <v/>
      </c>
      <c r="AN1230" s="461" t="str">
        <f t="shared" si="692"/>
        <v/>
      </c>
      <c r="AO1230" s="462" t="str">
        <f t="shared" si="693"/>
        <v/>
      </c>
      <c r="AP1230" s="463" t="str">
        <f t="shared" si="694"/>
        <v/>
      </c>
      <c r="AQ1230" s="464"/>
      <c r="AR1230" s="619"/>
      <c r="AS1230" s="465" t="str">
        <f t="shared" si="702"/>
        <v/>
      </c>
      <c r="AT1230" s="465" t="str">
        <f t="shared" si="703"/>
        <v/>
      </c>
      <c r="AU1230" s="466" t="str">
        <f t="shared" si="704"/>
        <v/>
      </c>
      <c r="AV1230" s="467" t="str">
        <f t="shared" si="705"/>
        <v/>
      </c>
      <c r="AW1230" s="467" t="str">
        <f t="shared" si="706"/>
        <v/>
      </c>
      <c r="AX1230" s="467" t="str">
        <f t="shared" si="707"/>
        <v/>
      </c>
      <c r="AY1230" s="467" t="str">
        <f t="shared" si="708"/>
        <v/>
      </c>
      <c r="AZ1230" s="467" t="str">
        <f t="shared" si="709"/>
        <v/>
      </c>
      <c r="BA1230" s="468" t="str">
        <f>IF(AS1230="","",IF(OR(AU1230="",AU1230="-"),"－",IF(OR(AZ1230=8,AZ1230=9),"",IF(OR(AW1230=3,AW1230=4,AW1230=5,AW1230=6),VLOOKUP(AU1230,INDEX((係数_バス貨物_ガソリン,係数_バス貨物_CNG,係数_バス貨物_軽油,係数_バス貨物_メタノール,係数_バス貨物_LPG),MATCH(AY1230,【参考】排出係数!$AI$4:$AI$671,1),1,BE1230):INDEX((係数_バス貨物_ガソリン,係数_バス貨物_CNG,係数_バス貨物_軽油,係数_バス貨物_メタノール,係数_バス貨物_LPG),MATCH(AY1230+1,【参考】排出係数!$AI$4:$AI$671,1)-1,5,BE1230),2,FALSE),IF(OR(AW1230=1,AW1230=2),VLOOKUP(AU1230,INDEX((係数_乗用_ガソリン,係数_乗用_CNG,係数_乗用_軽油,係数_乗用_メタノール,係数_乗用_LPG),1,1,BE1230):INDEX((係数_乗用_ガソリン,係数_乗用_CNG,係数_乗用_軽油,係数_乗用_メタノール,係数_乗用_LPG),125,5,BE1230),2,FALSE))))))</f>
        <v/>
      </c>
      <c r="BB1230" s="468" t="str">
        <f>IF(T1230="","",IF(OR(AU1230="",AU1230="-"),"－",IF(OR(AZ1230=8,AZ1230=9),"",IF(OR(AW1230=3,AW1230=4,AW1230=5,AW1230=6),VLOOKUP(AU1230,INDEX((係数_バス貨物_ガソリン,係数_バス貨物_CNG,係数_バス貨物_軽油,係数_バス貨物_メタノール,係数_バス貨物_LPG),MATCH(AY1230,【参考】排出係数!$AI$4:$AI$671,1),1,BE1230):INDEX((係数_バス貨物_ガソリン,係数_バス貨物_CNG,係数_バス貨物_軽油,係数_バス貨物_メタノール,係数_バス貨物_LPG),MATCH(AY1230+1,【参考】排出係数!$AI$4:$AI$671,1)-1,5,BE1230),3,FALSE),IF(OR(AW1230=1,AW1230=2),VLOOKUP(AU1230,INDEX((係数_乗用_ガソリン,係数_乗用_CNG,係数_乗用_軽油,係数_乗用_メタノール,係数_乗用_LPG),1,1,BE1230):INDEX((係数_乗用_ガソリン,係数_乗用_CNG,係数_乗用_軽油,係数_乗用_メタノール,係数_乗用_LPG),125,5,BE1230),3,FALSE))))))</f>
        <v/>
      </c>
      <c r="BC1230" s="467" t="str">
        <f t="shared" si="710"/>
        <v/>
      </c>
      <c r="BD1230" s="567" t="str">
        <f t="shared" si="711"/>
        <v/>
      </c>
      <c r="BE1230" s="467" t="str">
        <f t="shared" si="712"/>
        <v/>
      </c>
      <c r="BF1230" s="469" t="str">
        <f t="shared" ca="1" si="713"/>
        <v/>
      </c>
      <c r="BG1230" s="469" t="str">
        <f t="shared" ca="1" si="714"/>
        <v/>
      </c>
      <c r="BH1230" s="467" t="str">
        <f t="shared" si="715"/>
        <v/>
      </c>
      <c r="BI1230" s="467" t="str">
        <f t="shared" ca="1" si="716"/>
        <v/>
      </c>
      <c r="BJ1230" s="469" t="str">
        <f t="shared" si="717"/>
        <v/>
      </c>
      <c r="BK1230" s="470" t="str">
        <f t="shared" si="701"/>
        <v/>
      </c>
      <c r="BL1230" s="775" t="str">
        <f t="shared" si="718"/>
        <v/>
      </c>
      <c r="BM1230" s="775" t="str">
        <f t="shared" si="719"/>
        <v/>
      </c>
    </row>
    <row r="1231" spans="1:65">
      <c r="A1231" s="473">
        <v>1175</v>
      </c>
      <c r="B1231" s="132"/>
      <c r="C1231" s="332"/>
      <c r="D1231" s="333"/>
      <c r="E1231" s="333"/>
      <c r="F1231" s="334"/>
      <c r="G1231" s="337"/>
      <c r="H1231" s="131"/>
      <c r="I1231" s="337"/>
      <c r="J1231" s="131"/>
      <c r="K1231" s="458" t="str">
        <f t="shared" si="682"/>
        <v/>
      </c>
      <c r="L1231" s="458">
        <f t="shared" si="683"/>
        <v>0</v>
      </c>
      <c r="M1231" s="458">
        <f t="shared" si="684"/>
        <v>0</v>
      </c>
      <c r="N1231" s="459" t="str">
        <f t="shared" si="695"/>
        <v/>
      </c>
      <c r="O1231" s="459" t="str">
        <f t="shared" si="696"/>
        <v/>
      </c>
      <c r="P1231" s="459" t="str">
        <f t="shared" si="697"/>
        <v/>
      </c>
      <c r="Q1231" s="459" t="str">
        <f t="shared" si="698"/>
        <v/>
      </c>
      <c r="R1231" s="459" t="str">
        <f t="shared" si="699"/>
        <v/>
      </c>
      <c r="S1231" s="459" t="str">
        <f t="shared" si="700"/>
        <v/>
      </c>
      <c r="T1231" s="566" t="str">
        <f t="shared" si="685"/>
        <v/>
      </c>
      <c r="U1231" s="702"/>
      <c r="V1231" s="132"/>
      <c r="W1231" s="133"/>
      <c r="X1231" s="134"/>
      <c r="Y1231" s="135"/>
      <c r="Z1231" s="137"/>
      <c r="AA1231" s="136"/>
      <c r="AB1231" s="566" t="str">
        <f t="shared" si="686"/>
        <v/>
      </c>
      <c r="AC1231" s="568" t="str">
        <f t="shared" si="687"/>
        <v/>
      </c>
      <c r="AD1231" s="137"/>
      <c r="AE1231" s="137"/>
      <c r="AF1231" s="138"/>
      <c r="AG1231" s="138"/>
      <c r="AH1231" s="592" t="str">
        <f t="shared" si="688"/>
        <v/>
      </c>
      <c r="AI1231" s="592" t="str">
        <f t="shared" si="689"/>
        <v/>
      </c>
      <c r="AJ1231" s="592" t="str">
        <f t="shared" si="690"/>
        <v/>
      </c>
      <c r="AK1231" s="460" t="str">
        <f>IF(AU1231="","",IF(OR(AZ1231=8,AZ1231=9),0,IF(OR(AW1231=3,AW1231=4,AW1231=5,AW1231=6),IF(LEFT(BF1231,1)="1",INDEX(係数_NOX・PM低減,MATCH(AY1231,【参考】排出係数!$AI$801:$AI$804,1),1),VLOOKUP(AU1231,INDEX((係数_バス貨物_ガソリン,係数_バス貨物_CNG,係数_バス貨物_軽油,係数_バス貨物_メタノール,係数_バス貨物_LPG),MATCH(AY1231,【参考】排出係数!$AI$4:$AI$671,1),1,BE1231):INDEX((係数_バス貨物_ガソリン,係数_バス貨物_CNG,係数_バス貨物_軽油,係数_バス貨物_メタノール,係数_バス貨物_LPG),MATCH(AY1231+1,【参考】排出係数!$AI$4:$AI$671,1)-1,5,BE1231),4,FALSE)),IF(AND(BE1231=3,LEFT(BF1231,1)="1"),0.48,VLOOKUP(AU1231,INDEX((係数_乗用_ガソリン,係数_乗用_CNG,係数_乗用_軽油,係数_乗用_メタノール,係数_乗用_LPG),1,1,BE1231):INDEX((係数_乗用_ガソリン,係数_乗用_CNG,係数_乗用_軽油,係数_乗用_メタノール,係数_乗用_LPG),125,5,BE1231),4,FALSE)))))</f>
        <v/>
      </c>
      <c r="AL1231" s="461" t="str">
        <f t="shared" si="691"/>
        <v/>
      </c>
      <c r="AM1231" s="460" t="str">
        <f>IF(AU1231="","",IF(OR(AZ1231=8,AZ1231=9),0,IF(OR(AW1231=3,AW1231=4,AW1231=5,AW1231=6),IF(LEFT(BH1231,1)="1",INDEX(係数_PM低減,MATCH(AY1231,【参考】排出係数!$AI$801:$AI$804,1),MATCH(BI1231,【参考】排出係数!$AL$798:$AO$798,1)),VLOOKUP(AU1231,INDEX((係数_バス貨物_ガソリン,係数_バス貨物_CNG,係数_バス貨物_軽油,係数_バス貨物_メタノール,係数_バス貨物_LPG),MATCH(AY1231,【参考】排出係数!$AI$4:$AI$671,1),1,BE1231):INDEX((係数_バス貨物_ガソリン,係数_バス貨物_CNG,係数_バス貨物_軽油,係数_バス貨物_メタノール,係数_バス貨物_LPG),MATCH(AY1231+1,【参考】排出係数!$AI$4:$AI$671,1)-1,5,BE1231),5,FALSE)),IF(AND(BE1231=3,LEFT(BF1231,1)="1"),0.055,VLOOKUP(AU1231,INDEX((係数_乗用_ガソリン,係数_乗用_CNG,係数_乗用_軽油,係数_乗用_メタノール,係数_乗用_LPG),1,1,BE1231):INDEX((係数_乗用_ガソリン,係数_乗用_CNG,係数_乗用_軽油,係数_乗用_メタノール,係数_乗用_LPG),125,5,BE1231),5,FALSE)))))</f>
        <v/>
      </c>
      <c r="AN1231" s="461" t="str">
        <f t="shared" si="692"/>
        <v/>
      </c>
      <c r="AO1231" s="462" t="str">
        <f t="shared" si="693"/>
        <v/>
      </c>
      <c r="AP1231" s="463" t="str">
        <f t="shared" si="694"/>
        <v/>
      </c>
      <c r="AQ1231" s="464"/>
      <c r="AR1231" s="619"/>
      <c r="AS1231" s="465" t="str">
        <f t="shared" si="702"/>
        <v/>
      </c>
      <c r="AT1231" s="465" t="str">
        <f t="shared" si="703"/>
        <v/>
      </c>
      <c r="AU1231" s="466" t="str">
        <f t="shared" si="704"/>
        <v/>
      </c>
      <c r="AV1231" s="467" t="str">
        <f t="shared" si="705"/>
        <v/>
      </c>
      <c r="AW1231" s="467" t="str">
        <f t="shared" si="706"/>
        <v/>
      </c>
      <c r="AX1231" s="467" t="str">
        <f t="shared" si="707"/>
        <v/>
      </c>
      <c r="AY1231" s="467" t="str">
        <f t="shared" si="708"/>
        <v/>
      </c>
      <c r="AZ1231" s="467" t="str">
        <f t="shared" si="709"/>
        <v/>
      </c>
      <c r="BA1231" s="468" t="str">
        <f>IF(AS1231="","",IF(OR(AU1231="",AU1231="-"),"－",IF(OR(AZ1231=8,AZ1231=9),"",IF(OR(AW1231=3,AW1231=4,AW1231=5,AW1231=6),VLOOKUP(AU1231,INDEX((係数_バス貨物_ガソリン,係数_バス貨物_CNG,係数_バス貨物_軽油,係数_バス貨物_メタノール,係数_バス貨物_LPG),MATCH(AY1231,【参考】排出係数!$AI$4:$AI$671,1),1,BE1231):INDEX((係数_バス貨物_ガソリン,係数_バス貨物_CNG,係数_バス貨物_軽油,係数_バス貨物_メタノール,係数_バス貨物_LPG),MATCH(AY1231+1,【参考】排出係数!$AI$4:$AI$671,1)-1,5,BE1231),2,FALSE),IF(OR(AW1231=1,AW1231=2),VLOOKUP(AU1231,INDEX((係数_乗用_ガソリン,係数_乗用_CNG,係数_乗用_軽油,係数_乗用_メタノール,係数_乗用_LPG),1,1,BE1231):INDEX((係数_乗用_ガソリン,係数_乗用_CNG,係数_乗用_軽油,係数_乗用_メタノール,係数_乗用_LPG),125,5,BE1231),2,FALSE))))))</f>
        <v/>
      </c>
      <c r="BB1231" s="468" t="str">
        <f>IF(T1231="","",IF(OR(AU1231="",AU1231="-"),"－",IF(OR(AZ1231=8,AZ1231=9),"",IF(OR(AW1231=3,AW1231=4,AW1231=5,AW1231=6),VLOOKUP(AU1231,INDEX((係数_バス貨物_ガソリン,係数_バス貨物_CNG,係数_バス貨物_軽油,係数_バス貨物_メタノール,係数_バス貨物_LPG),MATCH(AY1231,【参考】排出係数!$AI$4:$AI$671,1),1,BE1231):INDEX((係数_バス貨物_ガソリン,係数_バス貨物_CNG,係数_バス貨物_軽油,係数_バス貨物_メタノール,係数_バス貨物_LPG),MATCH(AY1231+1,【参考】排出係数!$AI$4:$AI$671,1)-1,5,BE1231),3,FALSE),IF(OR(AW1231=1,AW1231=2),VLOOKUP(AU1231,INDEX((係数_乗用_ガソリン,係数_乗用_CNG,係数_乗用_軽油,係数_乗用_メタノール,係数_乗用_LPG),1,1,BE1231):INDEX((係数_乗用_ガソリン,係数_乗用_CNG,係数_乗用_軽油,係数_乗用_メタノール,係数_乗用_LPG),125,5,BE1231),3,FALSE))))))</f>
        <v/>
      </c>
      <c r="BC1231" s="467" t="str">
        <f t="shared" si="710"/>
        <v/>
      </c>
      <c r="BD1231" s="567" t="str">
        <f t="shared" si="711"/>
        <v/>
      </c>
      <c r="BE1231" s="467" t="str">
        <f t="shared" si="712"/>
        <v/>
      </c>
      <c r="BF1231" s="469" t="str">
        <f t="shared" ca="1" si="713"/>
        <v/>
      </c>
      <c r="BG1231" s="469" t="str">
        <f t="shared" ca="1" si="714"/>
        <v/>
      </c>
      <c r="BH1231" s="467" t="str">
        <f t="shared" si="715"/>
        <v/>
      </c>
      <c r="BI1231" s="467" t="str">
        <f t="shared" ca="1" si="716"/>
        <v/>
      </c>
      <c r="BJ1231" s="469" t="str">
        <f t="shared" si="717"/>
        <v/>
      </c>
      <c r="BK1231" s="470" t="str">
        <f t="shared" si="701"/>
        <v/>
      </c>
      <c r="BL1231" s="775" t="str">
        <f t="shared" si="718"/>
        <v/>
      </c>
      <c r="BM1231" s="775" t="str">
        <f t="shared" si="719"/>
        <v/>
      </c>
    </row>
    <row r="1232" spans="1:65">
      <c r="A1232" s="473">
        <v>1176</v>
      </c>
      <c r="B1232" s="132"/>
      <c r="C1232" s="332"/>
      <c r="D1232" s="333"/>
      <c r="E1232" s="333"/>
      <c r="F1232" s="334"/>
      <c r="G1232" s="337"/>
      <c r="H1232" s="131"/>
      <c r="I1232" s="337"/>
      <c r="J1232" s="131"/>
      <c r="K1232" s="458" t="str">
        <f t="shared" si="682"/>
        <v/>
      </c>
      <c r="L1232" s="458">
        <f t="shared" si="683"/>
        <v>0</v>
      </c>
      <c r="M1232" s="458">
        <f t="shared" si="684"/>
        <v>0</v>
      </c>
      <c r="N1232" s="459" t="str">
        <f t="shared" si="695"/>
        <v/>
      </c>
      <c r="O1232" s="459" t="str">
        <f t="shared" si="696"/>
        <v/>
      </c>
      <c r="P1232" s="459" t="str">
        <f t="shared" si="697"/>
        <v/>
      </c>
      <c r="Q1232" s="459" t="str">
        <f t="shared" si="698"/>
        <v/>
      </c>
      <c r="R1232" s="459" t="str">
        <f t="shared" si="699"/>
        <v/>
      </c>
      <c r="S1232" s="459" t="str">
        <f t="shared" si="700"/>
        <v/>
      </c>
      <c r="T1232" s="566" t="str">
        <f t="shared" si="685"/>
        <v/>
      </c>
      <c r="U1232" s="702"/>
      <c r="V1232" s="132"/>
      <c r="W1232" s="133"/>
      <c r="X1232" s="134"/>
      <c r="Y1232" s="135"/>
      <c r="Z1232" s="137"/>
      <c r="AA1232" s="136"/>
      <c r="AB1232" s="566" t="str">
        <f t="shared" si="686"/>
        <v/>
      </c>
      <c r="AC1232" s="568" t="str">
        <f t="shared" si="687"/>
        <v/>
      </c>
      <c r="AD1232" s="137"/>
      <c r="AE1232" s="137"/>
      <c r="AF1232" s="138"/>
      <c r="AG1232" s="138"/>
      <c r="AH1232" s="592" t="str">
        <f t="shared" si="688"/>
        <v/>
      </c>
      <c r="AI1232" s="592" t="str">
        <f t="shared" si="689"/>
        <v/>
      </c>
      <c r="AJ1232" s="592" t="str">
        <f t="shared" si="690"/>
        <v/>
      </c>
      <c r="AK1232" s="460" t="str">
        <f>IF(AU1232="","",IF(OR(AZ1232=8,AZ1232=9),0,IF(OR(AW1232=3,AW1232=4,AW1232=5,AW1232=6),IF(LEFT(BF1232,1)="1",INDEX(係数_NOX・PM低減,MATCH(AY1232,【参考】排出係数!$AI$801:$AI$804,1),1),VLOOKUP(AU1232,INDEX((係数_バス貨物_ガソリン,係数_バス貨物_CNG,係数_バス貨物_軽油,係数_バス貨物_メタノール,係数_バス貨物_LPG),MATCH(AY1232,【参考】排出係数!$AI$4:$AI$671,1),1,BE1232):INDEX((係数_バス貨物_ガソリン,係数_バス貨物_CNG,係数_バス貨物_軽油,係数_バス貨物_メタノール,係数_バス貨物_LPG),MATCH(AY1232+1,【参考】排出係数!$AI$4:$AI$671,1)-1,5,BE1232),4,FALSE)),IF(AND(BE1232=3,LEFT(BF1232,1)="1"),0.48,VLOOKUP(AU1232,INDEX((係数_乗用_ガソリン,係数_乗用_CNG,係数_乗用_軽油,係数_乗用_メタノール,係数_乗用_LPG),1,1,BE1232):INDEX((係数_乗用_ガソリン,係数_乗用_CNG,係数_乗用_軽油,係数_乗用_メタノール,係数_乗用_LPG),125,5,BE1232),4,FALSE)))))</f>
        <v/>
      </c>
      <c r="AL1232" s="461" t="str">
        <f t="shared" si="691"/>
        <v/>
      </c>
      <c r="AM1232" s="460" t="str">
        <f>IF(AU1232="","",IF(OR(AZ1232=8,AZ1232=9),0,IF(OR(AW1232=3,AW1232=4,AW1232=5,AW1232=6),IF(LEFT(BH1232,1)="1",INDEX(係数_PM低減,MATCH(AY1232,【参考】排出係数!$AI$801:$AI$804,1),MATCH(BI1232,【参考】排出係数!$AL$798:$AO$798,1)),VLOOKUP(AU1232,INDEX((係数_バス貨物_ガソリン,係数_バス貨物_CNG,係数_バス貨物_軽油,係数_バス貨物_メタノール,係数_バス貨物_LPG),MATCH(AY1232,【参考】排出係数!$AI$4:$AI$671,1),1,BE1232):INDEX((係数_バス貨物_ガソリン,係数_バス貨物_CNG,係数_バス貨物_軽油,係数_バス貨物_メタノール,係数_バス貨物_LPG),MATCH(AY1232+1,【参考】排出係数!$AI$4:$AI$671,1)-1,5,BE1232),5,FALSE)),IF(AND(BE1232=3,LEFT(BF1232,1)="1"),0.055,VLOOKUP(AU1232,INDEX((係数_乗用_ガソリン,係数_乗用_CNG,係数_乗用_軽油,係数_乗用_メタノール,係数_乗用_LPG),1,1,BE1232):INDEX((係数_乗用_ガソリン,係数_乗用_CNG,係数_乗用_軽油,係数_乗用_メタノール,係数_乗用_LPG),125,5,BE1232),5,FALSE)))))</f>
        <v/>
      </c>
      <c r="AN1232" s="461" t="str">
        <f t="shared" si="692"/>
        <v/>
      </c>
      <c r="AO1232" s="462" t="str">
        <f t="shared" si="693"/>
        <v/>
      </c>
      <c r="AP1232" s="463" t="str">
        <f t="shared" si="694"/>
        <v/>
      </c>
      <c r="AQ1232" s="464"/>
      <c r="AR1232" s="619"/>
      <c r="AS1232" s="465" t="str">
        <f t="shared" si="702"/>
        <v/>
      </c>
      <c r="AT1232" s="465" t="str">
        <f t="shared" si="703"/>
        <v/>
      </c>
      <c r="AU1232" s="466" t="str">
        <f t="shared" si="704"/>
        <v/>
      </c>
      <c r="AV1232" s="467" t="str">
        <f t="shared" si="705"/>
        <v/>
      </c>
      <c r="AW1232" s="467" t="str">
        <f t="shared" si="706"/>
        <v/>
      </c>
      <c r="AX1232" s="467" t="str">
        <f t="shared" si="707"/>
        <v/>
      </c>
      <c r="AY1232" s="467" t="str">
        <f t="shared" si="708"/>
        <v/>
      </c>
      <c r="AZ1232" s="467" t="str">
        <f t="shared" si="709"/>
        <v/>
      </c>
      <c r="BA1232" s="468" t="str">
        <f>IF(AS1232="","",IF(OR(AU1232="",AU1232="-"),"－",IF(OR(AZ1232=8,AZ1232=9),"",IF(OR(AW1232=3,AW1232=4,AW1232=5,AW1232=6),VLOOKUP(AU1232,INDEX((係数_バス貨物_ガソリン,係数_バス貨物_CNG,係数_バス貨物_軽油,係数_バス貨物_メタノール,係数_バス貨物_LPG),MATCH(AY1232,【参考】排出係数!$AI$4:$AI$671,1),1,BE1232):INDEX((係数_バス貨物_ガソリン,係数_バス貨物_CNG,係数_バス貨物_軽油,係数_バス貨物_メタノール,係数_バス貨物_LPG),MATCH(AY1232+1,【参考】排出係数!$AI$4:$AI$671,1)-1,5,BE1232),2,FALSE),IF(OR(AW1232=1,AW1232=2),VLOOKUP(AU1232,INDEX((係数_乗用_ガソリン,係数_乗用_CNG,係数_乗用_軽油,係数_乗用_メタノール,係数_乗用_LPG),1,1,BE1232):INDEX((係数_乗用_ガソリン,係数_乗用_CNG,係数_乗用_軽油,係数_乗用_メタノール,係数_乗用_LPG),125,5,BE1232),2,FALSE))))))</f>
        <v/>
      </c>
      <c r="BB1232" s="468" t="str">
        <f>IF(T1232="","",IF(OR(AU1232="",AU1232="-"),"－",IF(OR(AZ1232=8,AZ1232=9),"",IF(OR(AW1232=3,AW1232=4,AW1232=5,AW1232=6),VLOOKUP(AU1232,INDEX((係数_バス貨物_ガソリン,係数_バス貨物_CNG,係数_バス貨物_軽油,係数_バス貨物_メタノール,係数_バス貨物_LPG),MATCH(AY1232,【参考】排出係数!$AI$4:$AI$671,1),1,BE1232):INDEX((係数_バス貨物_ガソリン,係数_バス貨物_CNG,係数_バス貨物_軽油,係数_バス貨物_メタノール,係数_バス貨物_LPG),MATCH(AY1232+1,【参考】排出係数!$AI$4:$AI$671,1)-1,5,BE1232),3,FALSE),IF(OR(AW1232=1,AW1232=2),VLOOKUP(AU1232,INDEX((係数_乗用_ガソリン,係数_乗用_CNG,係数_乗用_軽油,係数_乗用_メタノール,係数_乗用_LPG),1,1,BE1232):INDEX((係数_乗用_ガソリン,係数_乗用_CNG,係数_乗用_軽油,係数_乗用_メタノール,係数_乗用_LPG),125,5,BE1232),3,FALSE))))))</f>
        <v/>
      </c>
      <c r="BC1232" s="467" t="str">
        <f t="shared" si="710"/>
        <v/>
      </c>
      <c r="BD1232" s="567" t="str">
        <f t="shared" si="711"/>
        <v/>
      </c>
      <c r="BE1232" s="467" t="str">
        <f t="shared" si="712"/>
        <v/>
      </c>
      <c r="BF1232" s="469" t="str">
        <f t="shared" ca="1" si="713"/>
        <v/>
      </c>
      <c r="BG1232" s="469" t="str">
        <f t="shared" ca="1" si="714"/>
        <v/>
      </c>
      <c r="BH1232" s="467" t="str">
        <f t="shared" si="715"/>
        <v/>
      </c>
      <c r="BI1232" s="467" t="str">
        <f t="shared" ca="1" si="716"/>
        <v/>
      </c>
      <c r="BJ1232" s="469" t="str">
        <f t="shared" si="717"/>
        <v/>
      </c>
      <c r="BK1232" s="470" t="str">
        <f t="shared" si="701"/>
        <v/>
      </c>
      <c r="BL1232" s="775" t="str">
        <f t="shared" si="718"/>
        <v/>
      </c>
      <c r="BM1232" s="775" t="str">
        <f t="shared" si="719"/>
        <v/>
      </c>
    </row>
    <row r="1233" spans="1:65">
      <c r="A1233" s="473">
        <v>1177</v>
      </c>
      <c r="B1233" s="132"/>
      <c r="C1233" s="332"/>
      <c r="D1233" s="333"/>
      <c r="E1233" s="333"/>
      <c r="F1233" s="334"/>
      <c r="G1233" s="337"/>
      <c r="H1233" s="131"/>
      <c r="I1233" s="337"/>
      <c r="J1233" s="131"/>
      <c r="K1233" s="458" t="str">
        <f t="shared" si="682"/>
        <v/>
      </c>
      <c r="L1233" s="458">
        <f t="shared" si="683"/>
        <v>0</v>
      </c>
      <c r="M1233" s="458">
        <f t="shared" si="684"/>
        <v>0</v>
      </c>
      <c r="N1233" s="459" t="str">
        <f t="shared" si="695"/>
        <v/>
      </c>
      <c r="O1233" s="459" t="str">
        <f t="shared" si="696"/>
        <v/>
      </c>
      <c r="P1233" s="459" t="str">
        <f t="shared" si="697"/>
        <v/>
      </c>
      <c r="Q1233" s="459" t="str">
        <f t="shared" si="698"/>
        <v/>
      </c>
      <c r="R1233" s="459" t="str">
        <f t="shared" si="699"/>
        <v/>
      </c>
      <c r="S1233" s="459" t="str">
        <f t="shared" si="700"/>
        <v/>
      </c>
      <c r="T1233" s="566" t="str">
        <f t="shared" si="685"/>
        <v/>
      </c>
      <c r="U1233" s="702"/>
      <c r="V1233" s="132"/>
      <c r="W1233" s="133"/>
      <c r="X1233" s="134"/>
      <c r="Y1233" s="135"/>
      <c r="Z1233" s="137"/>
      <c r="AA1233" s="136"/>
      <c r="AB1233" s="566" t="str">
        <f t="shared" si="686"/>
        <v/>
      </c>
      <c r="AC1233" s="568" t="str">
        <f t="shared" si="687"/>
        <v/>
      </c>
      <c r="AD1233" s="137"/>
      <c r="AE1233" s="137"/>
      <c r="AF1233" s="138"/>
      <c r="AG1233" s="138"/>
      <c r="AH1233" s="592" t="str">
        <f t="shared" si="688"/>
        <v/>
      </c>
      <c r="AI1233" s="592" t="str">
        <f t="shared" si="689"/>
        <v/>
      </c>
      <c r="AJ1233" s="592" t="str">
        <f t="shared" si="690"/>
        <v/>
      </c>
      <c r="AK1233" s="460" t="str">
        <f>IF(AU1233="","",IF(OR(AZ1233=8,AZ1233=9),0,IF(OR(AW1233=3,AW1233=4,AW1233=5,AW1233=6),IF(LEFT(BF1233,1)="1",INDEX(係数_NOX・PM低減,MATCH(AY1233,【参考】排出係数!$AI$801:$AI$804,1),1),VLOOKUP(AU1233,INDEX((係数_バス貨物_ガソリン,係数_バス貨物_CNG,係数_バス貨物_軽油,係数_バス貨物_メタノール,係数_バス貨物_LPG),MATCH(AY1233,【参考】排出係数!$AI$4:$AI$671,1),1,BE1233):INDEX((係数_バス貨物_ガソリン,係数_バス貨物_CNG,係数_バス貨物_軽油,係数_バス貨物_メタノール,係数_バス貨物_LPG),MATCH(AY1233+1,【参考】排出係数!$AI$4:$AI$671,1)-1,5,BE1233),4,FALSE)),IF(AND(BE1233=3,LEFT(BF1233,1)="1"),0.48,VLOOKUP(AU1233,INDEX((係数_乗用_ガソリン,係数_乗用_CNG,係数_乗用_軽油,係数_乗用_メタノール,係数_乗用_LPG),1,1,BE1233):INDEX((係数_乗用_ガソリン,係数_乗用_CNG,係数_乗用_軽油,係数_乗用_メタノール,係数_乗用_LPG),125,5,BE1233),4,FALSE)))))</f>
        <v/>
      </c>
      <c r="AL1233" s="461" t="str">
        <f t="shared" si="691"/>
        <v/>
      </c>
      <c r="AM1233" s="460" t="str">
        <f>IF(AU1233="","",IF(OR(AZ1233=8,AZ1233=9),0,IF(OR(AW1233=3,AW1233=4,AW1233=5,AW1233=6),IF(LEFT(BH1233,1)="1",INDEX(係数_PM低減,MATCH(AY1233,【参考】排出係数!$AI$801:$AI$804,1),MATCH(BI1233,【参考】排出係数!$AL$798:$AO$798,1)),VLOOKUP(AU1233,INDEX((係数_バス貨物_ガソリン,係数_バス貨物_CNG,係数_バス貨物_軽油,係数_バス貨物_メタノール,係数_バス貨物_LPG),MATCH(AY1233,【参考】排出係数!$AI$4:$AI$671,1),1,BE1233):INDEX((係数_バス貨物_ガソリン,係数_バス貨物_CNG,係数_バス貨物_軽油,係数_バス貨物_メタノール,係数_バス貨物_LPG),MATCH(AY1233+1,【参考】排出係数!$AI$4:$AI$671,1)-1,5,BE1233),5,FALSE)),IF(AND(BE1233=3,LEFT(BF1233,1)="1"),0.055,VLOOKUP(AU1233,INDEX((係数_乗用_ガソリン,係数_乗用_CNG,係数_乗用_軽油,係数_乗用_メタノール,係数_乗用_LPG),1,1,BE1233):INDEX((係数_乗用_ガソリン,係数_乗用_CNG,係数_乗用_軽油,係数_乗用_メタノール,係数_乗用_LPG),125,5,BE1233),5,FALSE)))))</f>
        <v/>
      </c>
      <c r="AN1233" s="461" t="str">
        <f t="shared" si="692"/>
        <v/>
      </c>
      <c r="AO1233" s="462" t="str">
        <f t="shared" si="693"/>
        <v/>
      </c>
      <c r="AP1233" s="463" t="str">
        <f t="shared" si="694"/>
        <v/>
      </c>
      <c r="AQ1233" s="464"/>
      <c r="AR1233" s="619"/>
      <c r="AS1233" s="465" t="str">
        <f t="shared" si="702"/>
        <v/>
      </c>
      <c r="AT1233" s="465" t="str">
        <f t="shared" si="703"/>
        <v/>
      </c>
      <c r="AU1233" s="466" t="str">
        <f t="shared" si="704"/>
        <v/>
      </c>
      <c r="AV1233" s="467" t="str">
        <f t="shared" si="705"/>
        <v/>
      </c>
      <c r="AW1233" s="467" t="str">
        <f t="shared" si="706"/>
        <v/>
      </c>
      <c r="AX1233" s="467" t="str">
        <f t="shared" si="707"/>
        <v/>
      </c>
      <c r="AY1233" s="467" t="str">
        <f t="shared" si="708"/>
        <v/>
      </c>
      <c r="AZ1233" s="467" t="str">
        <f t="shared" si="709"/>
        <v/>
      </c>
      <c r="BA1233" s="468" t="str">
        <f>IF(AS1233="","",IF(OR(AU1233="",AU1233="-"),"－",IF(OR(AZ1233=8,AZ1233=9),"",IF(OR(AW1233=3,AW1233=4,AW1233=5,AW1233=6),VLOOKUP(AU1233,INDEX((係数_バス貨物_ガソリン,係数_バス貨物_CNG,係数_バス貨物_軽油,係数_バス貨物_メタノール,係数_バス貨物_LPG),MATCH(AY1233,【参考】排出係数!$AI$4:$AI$671,1),1,BE1233):INDEX((係数_バス貨物_ガソリン,係数_バス貨物_CNG,係数_バス貨物_軽油,係数_バス貨物_メタノール,係数_バス貨物_LPG),MATCH(AY1233+1,【参考】排出係数!$AI$4:$AI$671,1)-1,5,BE1233),2,FALSE),IF(OR(AW1233=1,AW1233=2),VLOOKUP(AU1233,INDEX((係数_乗用_ガソリン,係数_乗用_CNG,係数_乗用_軽油,係数_乗用_メタノール,係数_乗用_LPG),1,1,BE1233):INDEX((係数_乗用_ガソリン,係数_乗用_CNG,係数_乗用_軽油,係数_乗用_メタノール,係数_乗用_LPG),125,5,BE1233),2,FALSE))))))</f>
        <v/>
      </c>
      <c r="BB1233" s="468" t="str">
        <f>IF(T1233="","",IF(OR(AU1233="",AU1233="-"),"－",IF(OR(AZ1233=8,AZ1233=9),"",IF(OR(AW1233=3,AW1233=4,AW1233=5,AW1233=6),VLOOKUP(AU1233,INDEX((係数_バス貨物_ガソリン,係数_バス貨物_CNG,係数_バス貨物_軽油,係数_バス貨物_メタノール,係数_バス貨物_LPG),MATCH(AY1233,【参考】排出係数!$AI$4:$AI$671,1),1,BE1233):INDEX((係数_バス貨物_ガソリン,係数_バス貨物_CNG,係数_バス貨物_軽油,係数_バス貨物_メタノール,係数_バス貨物_LPG),MATCH(AY1233+1,【参考】排出係数!$AI$4:$AI$671,1)-1,5,BE1233),3,FALSE),IF(OR(AW1233=1,AW1233=2),VLOOKUP(AU1233,INDEX((係数_乗用_ガソリン,係数_乗用_CNG,係数_乗用_軽油,係数_乗用_メタノール,係数_乗用_LPG),1,1,BE1233):INDEX((係数_乗用_ガソリン,係数_乗用_CNG,係数_乗用_軽油,係数_乗用_メタノール,係数_乗用_LPG),125,5,BE1233),3,FALSE))))))</f>
        <v/>
      </c>
      <c r="BC1233" s="467" t="str">
        <f t="shared" si="710"/>
        <v/>
      </c>
      <c r="BD1233" s="567" t="str">
        <f t="shared" si="711"/>
        <v/>
      </c>
      <c r="BE1233" s="467" t="str">
        <f t="shared" si="712"/>
        <v/>
      </c>
      <c r="BF1233" s="469" t="str">
        <f t="shared" ca="1" si="713"/>
        <v/>
      </c>
      <c r="BG1233" s="469" t="str">
        <f t="shared" ca="1" si="714"/>
        <v/>
      </c>
      <c r="BH1233" s="467" t="str">
        <f t="shared" si="715"/>
        <v/>
      </c>
      <c r="BI1233" s="467" t="str">
        <f t="shared" ca="1" si="716"/>
        <v/>
      </c>
      <c r="BJ1233" s="469" t="str">
        <f t="shared" si="717"/>
        <v/>
      </c>
      <c r="BK1233" s="470" t="str">
        <f t="shared" si="701"/>
        <v/>
      </c>
      <c r="BL1233" s="775" t="str">
        <f t="shared" si="718"/>
        <v/>
      </c>
      <c r="BM1233" s="775" t="str">
        <f t="shared" si="719"/>
        <v/>
      </c>
    </row>
    <row r="1234" spans="1:65">
      <c r="A1234" s="473">
        <v>1178</v>
      </c>
      <c r="B1234" s="132"/>
      <c r="C1234" s="332"/>
      <c r="D1234" s="333"/>
      <c r="E1234" s="333"/>
      <c r="F1234" s="334"/>
      <c r="G1234" s="337"/>
      <c r="H1234" s="131"/>
      <c r="I1234" s="337"/>
      <c r="J1234" s="131"/>
      <c r="K1234" s="458" t="str">
        <f t="shared" si="682"/>
        <v/>
      </c>
      <c r="L1234" s="458">
        <f t="shared" si="683"/>
        <v>0</v>
      </c>
      <c r="M1234" s="458">
        <f t="shared" si="684"/>
        <v>0</v>
      </c>
      <c r="N1234" s="459" t="str">
        <f t="shared" si="695"/>
        <v/>
      </c>
      <c r="O1234" s="459" t="str">
        <f t="shared" si="696"/>
        <v/>
      </c>
      <c r="P1234" s="459" t="str">
        <f t="shared" si="697"/>
        <v/>
      </c>
      <c r="Q1234" s="459" t="str">
        <f t="shared" si="698"/>
        <v/>
      </c>
      <c r="R1234" s="459" t="str">
        <f t="shared" si="699"/>
        <v/>
      </c>
      <c r="S1234" s="459" t="str">
        <f t="shared" si="700"/>
        <v/>
      </c>
      <c r="T1234" s="566" t="str">
        <f t="shared" si="685"/>
        <v/>
      </c>
      <c r="U1234" s="702"/>
      <c r="V1234" s="132"/>
      <c r="W1234" s="133"/>
      <c r="X1234" s="134"/>
      <c r="Y1234" s="135"/>
      <c r="Z1234" s="137"/>
      <c r="AA1234" s="136"/>
      <c r="AB1234" s="566" t="str">
        <f t="shared" si="686"/>
        <v/>
      </c>
      <c r="AC1234" s="568" t="str">
        <f t="shared" si="687"/>
        <v/>
      </c>
      <c r="AD1234" s="137"/>
      <c r="AE1234" s="137"/>
      <c r="AF1234" s="138"/>
      <c r="AG1234" s="138"/>
      <c r="AH1234" s="592" t="str">
        <f t="shared" si="688"/>
        <v/>
      </c>
      <c r="AI1234" s="592" t="str">
        <f t="shared" si="689"/>
        <v/>
      </c>
      <c r="AJ1234" s="592" t="str">
        <f t="shared" si="690"/>
        <v/>
      </c>
      <c r="AK1234" s="460" t="str">
        <f>IF(AU1234="","",IF(OR(AZ1234=8,AZ1234=9),0,IF(OR(AW1234=3,AW1234=4,AW1234=5,AW1234=6),IF(LEFT(BF1234,1)="1",INDEX(係数_NOX・PM低減,MATCH(AY1234,【参考】排出係数!$AI$801:$AI$804,1),1),VLOOKUP(AU1234,INDEX((係数_バス貨物_ガソリン,係数_バス貨物_CNG,係数_バス貨物_軽油,係数_バス貨物_メタノール,係数_バス貨物_LPG),MATCH(AY1234,【参考】排出係数!$AI$4:$AI$671,1),1,BE1234):INDEX((係数_バス貨物_ガソリン,係数_バス貨物_CNG,係数_バス貨物_軽油,係数_バス貨物_メタノール,係数_バス貨物_LPG),MATCH(AY1234+1,【参考】排出係数!$AI$4:$AI$671,1)-1,5,BE1234),4,FALSE)),IF(AND(BE1234=3,LEFT(BF1234,1)="1"),0.48,VLOOKUP(AU1234,INDEX((係数_乗用_ガソリン,係数_乗用_CNG,係数_乗用_軽油,係数_乗用_メタノール,係数_乗用_LPG),1,1,BE1234):INDEX((係数_乗用_ガソリン,係数_乗用_CNG,係数_乗用_軽油,係数_乗用_メタノール,係数_乗用_LPG),125,5,BE1234),4,FALSE)))))</f>
        <v/>
      </c>
      <c r="AL1234" s="461" t="str">
        <f t="shared" si="691"/>
        <v/>
      </c>
      <c r="AM1234" s="460" t="str">
        <f>IF(AU1234="","",IF(OR(AZ1234=8,AZ1234=9),0,IF(OR(AW1234=3,AW1234=4,AW1234=5,AW1234=6),IF(LEFT(BH1234,1)="1",INDEX(係数_PM低減,MATCH(AY1234,【参考】排出係数!$AI$801:$AI$804,1),MATCH(BI1234,【参考】排出係数!$AL$798:$AO$798,1)),VLOOKUP(AU1234,INDEX((係数_バス貨物_ガソリン,係数_バス貨物_CNG,係数_バス貨物_軽油,係数_バス貨物_メタノール,係数_バス貨物_LPG),MATCH(AY1234,【参考】排出係数!$AI$4:$AI$671,1),1,BE1234):INDEX((係数_バス貨物_ガソリン,係数_バス貨物_CNG,係数_バス貨物_軽油,係数_バス貨物_メタノール,係数_バス貨物_LPG),MATCH(AY1234+1,【参考】排出係数!$AI$4:$AI$671,1)-1,5,BE1234),5,FALSE)),IF(AND(BE1234=3,LEFT(BF1234,1)="1"),0.055,VLOOKUP(AU1234,INDEX((係数_乗用_ガソリン,係数_乗用_CNG,係数_乗用_軽油,係数_乗用_メタノール,係数_乗用_LPG),1,1,BE1234):INDEX((係数_乗用_ガソリン,係数_乗用_CNG,係数_乗用_軽油,係数_乗用_メタノール,係数_乗用_LPG),125,5,BE1234),5,FALSE)))))</f>
        <v/>
      </c>
      <c r="AN1234" s="461" t="str">
        <f t="shared" si="692"/>
        <v/>
      </c>
      <c r="AO1234" s="462" t="str">
        <f t="shared" si="693"/>
        <v/>
      </c>
      <c r="AP1234" s="463" t="str">
        <f t="shared" si="694"/>
        <v/>
      </c>
      <c r="AQ1234" s="464"/>
      <c r="AR1234" s="619"/>
      <c r="AS1234" s="465" t="str">
        <f t="shared" si="702"/>
        <v/>
      </c>
      <c r="AT1234" s="465" t="str">
        <f t="shared" si="703"/>
        <v/>
      </c>
      <c r="AU1234" s="466" t="str">
        <f t="shared" si="704"/>
        <v/>
      </c>
      <c r="AV1234" s="467" t="str">
        <f t="shared" si="705"/>
        <v/>
      </c>
      <c r="AW1234" s="467" t="str">
        <f t="shared" si="706"/>
        <v/>
      </c>
      <c r="AX1234" s="467" t="str">
        <f t="shared" si="707"/>
        <v/>
      </c>
      <c r="AY1234" s="467" t="str">
        <f t="shared" si="708"/>
        <v/>
      </c>
      <c r="AZ1234" s="467" t="str">
        <f t="shared" si="709"/>
        <v/>
      </c>
      <c r="BA1234" s="468" t="str">
        <f>IF(AS1234="","",IF(OR(AU1234="",AU1234="-"),"－",IF(OR(AZ1234=8,AZ1234=9),"",IF(OR(AW1234=3,AW1234=4,AW1234=5,AW1234=6),VLOOKUP(AU1234,INDEX((係数_バス貨物_ガソリン,係数_バス貨物_CNG,係数_バス貨物_軽油,係数_バス貨物_メタノール,係数_バス貨物_LPG),MATCH(AY1234,【参考】排出係数!$AI$4:$AI$671,1),1,BE1234):INDEX((係数_バス貨物_ガソリン,係数_バス貨物_CNG,係数_バス貨物_軽油,係数_バス貨物_メタノール,係数_バス貨物_LPG),MATCH(AY1234+1,【参考】排出係数!$AI$4:$AI$671,1)-1,5,BE1234),2,FALSE),IF(OR(AW1234=1,AW1234=2),VLOOKUP(AU1234,INDEX((係数_乗用_ガソリン,係数_乗用_CNG,係数_乗用_軽油,係数_乗用_メタノール,係数_乗用_LPG),1,1,BE1234):INDEX((係数_乗用_ガソリン,係数_乗用_CNG,係数_乗用_軽油,係数_乗用_メタノール,係数_乗用_LPG),125,5,BE1234),2,FALSE))))))</f>
        <v/>
      </c>
      <c r="BB1234" s="468" t="str">
        <f>IF(T1234="","",IF(OR(AU1234="",AU1234="-"),"－",IF(OR(AZ1234=8,AZ1234=9),"",IF(OR(AW1234=3,AW1234=4,AW1234=5,AW1234=6),VLOOKUP(AU1234,INDEX((係数_バス貨物_ガソリン,係数_バス貨物_CNG,係数_バス貨物_軽油,係数_バス貨物_メタノール,係数_バス貨物_LPG),MATCH(AY1234,【参考】排出係数!$AI$4:$AI$671,1),1,BE1234):INDEX((係数_バス貨物_ガソリン,係数_バス貨物_CNG,係数_バス貨物_軽油,係数_バス貨物_メタノール,係数_バス貨物_LPG),MATCH(AY1234+1,【参考】排出係数!$AI$4:$AI$671,1)-1,5,BE1234),3,FALSE),IF(OR(AW1234=1,AW1234=2),VLOOKUP(AU1234,INDEX((係数_乗用_ガソリン,係数_乗用_CNG,係数_乗用_軽油,係数_乗用_メタノール,係数_乗用_LPG),1,1,BE1234):INDEX((係数_乗用_ガソリン,係数_乗用_CNG,係数_乗用_軽油,係数_乗用_メタノール,係数_乗用_LPG),125,5,BE1234),3,FALSE))))))</f>
        <v/>
      </c>
      <c r="BC1234" s="467" t="str">
        <f t="shared" si="710"/>
        <v/>
      </c>
      <c r="BD1234" s="567" t="str">
        <f t="shared" si="711"/>
        <v/>
      </c>
      <c r="BE1234" s="467" t="str">
        <f t="shared" si="712"/>
        <v/>
      </c>
      <c r="BF1234" s="469" t="str">
        <f t="shared" ca="1" si="713"/>
        <v/>
      </c>
      <c r="BG1234" s="469" t="str">
        <f t="shared" ca="1" si="714"/>
        <v/>
      </c>
      <c r="BH1234" s="467" t="str">
        <f t="shared" si="715"/>
        <v/>
      </c>
      <c r="BI1234" s="467" t="str">
        <f t="shared" ca="1" si="716"/>
        <v/>
      </c>
      <c r="BJ1234" s="469" t="str">
        <f t="shared" si="717"/>
        <v/>
      </c>
      <c r="BK1234" s="470" t="str">
        <f t="shared" si="701"/>
        <v/>
      </c>
      <c r="BL1234" s="775" t="str">
        <f t="shared" si="718"/>
        <v/>
      </c>
      <c r="BM1234" s="775" t="str">
        <f t="shared" si="719"/>
        <v/>
      </c>
    </row>
    <row r="1235" spans="1:65">
      <c r="A1235" s="473">
        <v>1179</v>
      </c>
      <c r="B1235" s="132"/>
      <c r="C1235" s="332"/>
      <c r="D1235" s="333"/>
      <c r="E1235" s="333"/>
      <c r="F1235" s="334"/>
      <c r="G1235" s="337"/>
      <c r="H1235" s="131"/>
      <c r="I1235" s="337"/>
      <c r="J1235" s="131"/>
      <c r="K1235" s="458" t="str">
        <f t="shared" si="682"/>
        <v/>
      </c>
      <c r="L1235" s="458">
        <f t="shared" si="683"/>
        <v>0</v>
      </c>
      <c r="M1235" s="458">
        <f t="shared" si="684"/>
        <v>0</v>
      </c>
      <c r="N1235" s="459" t="str">
        <f t="shared" si="695"/>
        <v/>
      </c>
      <c r="O1235" s="459" t="str">
        <f t="shared" si="696"/>
        <v/>
      </c>
      <c r="P1235" s="459" t="str">
        <f t="shared" si="697"/>
        <v/>
      </c>
      <c r="Q1235" s="459" t="str">
        <f t="shared" si="698"/>
        <v/>
      </c>
      <c r="R1235" s="459" t="str">
        <f t="shared" si="699"/>
        <v/>
      </c>
      <c r="S1235" s="459" t="str">
        <f t="shared" si="700"/>
        <v/>
      </c>
      <c r="T1235" s="566" t="str">
        <f t="shared" si="685"/>
        <v/>
      </c>
      <c r="U1235" s="702"/>
      <c r="V1235" s="132"/>
      <c r="W1235" s="133"/>
      <c r="X1235" s="134"/>
      <c r="Y1235" s="135"/>
      <c r="Z1235" s="137"/>
      <c r="AA1235" s="136"/>
      <c r="AB1235" s="566" t="str">
        <f t="shared" si="686"/>
        <v/>
      </c>
      <c r="AC1235" s="568" t="str">
        <f t="shared" si="687"/>
        <v/>
      </c>
      <c r="AD1235" s="137"/>
      <c r="AE1235" s="137"/>
      <c r="AF1235" s="138"/>
      <c r="AG1235" s="138"/>
      <c r="AH1235" s="592" t="str">
        <f t="shared" si="688"/>
        <v/>
      </c>
      <c r="AI1235" s="592" t="str">
        <f t="shared" si="689"/>
        <v/>
      </c>
      <c r="AJ1235" s="592" t="str">
        <f t="shared" si="690"/>
        <v/>
      </c>
      <c r="AK1235" s="460" t="str">
        <f>IF(AU1235="","",IF(OR(AZ1235=8,AZ1235=9),0,IF(OR(AW1235=3,AW1235=4,AW1235=5,AW1235=6),IF(LEFT(BF1235,1)="1",INDEX(係数_NOX・PM低減,MATCH(AY1235,【参考】排出係数!$AI$801:$AI$804,1),1),VLOOKUP(AU1235,INDEX((係数_バス貨物_ガソリン,係数_バス貨物_CNG,係数_バス貨物_軽油,係数_バス貨物_メタノール,係数_バス貨物_LPG),MATCH(AY1235,【参考】排出係数!$AI$4:$AI$671,1),1,BE1235):INDEX((係数_バス貨物_ガソリン,係数_バス貨物_CNG,係数_バス貨物_軽油,係数_バス貨物_メタノール,係数_バス貨物_LPG),MATCH(AY1235+1,【参考】排出係数!$AI$4:$AI$671,1)-1,5,BE1235),4,FALSE)),IF(AND(BE1235=3,LEFT(BF1235,1)="1"),0.48,VLOOKUP(AU1235,INDEX((係数_乗用_ガソリン,係数_乗用_CNG,係数_乗用_軽油,係数_乗用_メタノール,係数_乗用_LPG),1,1,BE1235):INDEX((係数_乗用_ガソリン,係数_乗用_CNG,係数_乗用_軽油,係数_乗用_メタノール,係数_乗用_LPG),125,5,BE1235),4,FALSE)))))</f>
        <v/>
      </c>
      <c r="AL1235" s="461" t="str">
        <f t="shared" si="691"/>
        <v/>
      </c>
      <c r="AM1235" s="460" t="str">
        <f>IF(AU1235="","",IF(OR(AZ1235=8,AZ1235=9),0,IF(OR(AW1235=3,AW1235=4,AW1235=5,AW1235=6),IF(LEFT(BH1235,1)="1",INDEX(係数_PM低減,MATCH(AY1235,【参考】排出係数!$AI$801:$AI$804,1),MATCH(BI1235,【参考】排出係数!$AL$798:$AO$798,1)),VLOOKUP(AU1235,INDEX((係数_バス貨物_ガソリン,係数_バス貨物_CNG,係数_バス貨物_軽油,係数_バス貨物_メタノール,係数_バス貨物_LPG),MATCH(AY1235,【参考】排出係数!$AI$4:$AI$671,1),1,BE1235):INDEX((係数_バス貨物_ガソリン,係数_バス貨物_CNG,係数_バス貨物_軽油,係数_バス貨物_メタノール,係数_バス貨物_LPG),MATCH(AY1235+1,【参考】排出係数!$AI$4:$AI$671,1)-1,5,BE1235),5,FALSE)),IF(AND(BE1235=3,LEFT(BF1235,1)="1"),0.055,VLOOKUP(AU1235,INDEX((係数_乗用_ガソリン,係数_乗用_CNG,係数_乗用_軽油,係数_乗用_メタノール,係数_乗用_LPG),1,1,BE1235):INDEX((係数_乗用_ガソリン,係数_乗用_CNG,係数_乗用_軽油,係数_乗用_メタノール,係数_乗用_LPG),125,5,BE1235),5,FALSE)))))</f>
        <v/>
      </c>
      <c r="AN1235" s="461" t="str">
        <f t="shared" si="692"/>
        <v/>
      </c>
      <c r="AO1235" s="462" t="str">
        <f t="shared" si="693"/>
        <v/>
      </c>
      <c r="AP1235" s="463" t="str">
        <f t="shared" si="694"/>
        <v/>
      </c>
      <c r="AQ1235" s="464"/>
      <c r="AR1235" s="619"/>
      <c r="AS1235" s="465" t="str">
        <f t="shared" si="702"/>
        <v/>
      </c>
      <c r="AT1235" s="465" t="str">
        <f t="shared" si="703"/>
        <v/>
      </c>
      <c r="AU1235" s="466" t="str">
        <f t="shared" si="704"/>
        <v/>
      </c>
      <c r="AV1235" s="467" t="str">
        <f t="shared" si="705"/>
        <v/>
      </c>
      <c r="AW1235" s="467" t="str">
        <f t="shared" si="706"/>
        <v/>
      </c>
      <c r="AX1235" s="467" t="str">
        <f t="shared" si="707"/>
        <v/>
      </c>
      <c r="AY1235" s="467" t="str">
        <f t="shared" si="708"/>
        <v/>
      </c>
      <c r="AZ1235" s="467" t="str">
        <f t="shared" si="709"/>
        <v/>
      </c>
      <c r="BA1235" s="468" t="str">
        <f>IF(AS1235="","",IF(OR(AU1235="",AU1235="-"),"－",IF(OR(AZ1235=8,AZ1235=9),"",IF(OR(AW1235=3,AW1235=4,AW1235=5,AW1235=6),VLOOKUP(AU1235,INDEX((係数_バス貨物_ガソリン,係数_バス貨物_CNG,係数_バス貨物_軽油,係数_バス貨物_メタノール,係数_バス貨物_LPG),MATCH(AY1235,【参考】排出係数!$AI$4:$AI$671,1),1,BE1235):INDEX((係数_バス貨物_ガソリン,係数_バス貨物_CNG,係数_バス貨物_軽油,係数_バス貨物_メタノール,係数_バス貨物_LPG),MATCH(AY1235+1,【参考】排出係数!$AI$4:$AI$671,1)-1,5,BE1235),2,FALSE),IF(OR(AW1235=1,AW1235=2),VLOOKUP(AU1235,INDEX((係数_乗用_ガソリン,係数_乗用_CNG,係数_乗用_軽油,係数_乗用_メタノール,係数_乗用_LPG),1,1,BE1235):INDEX((係数_乗用_ガソリン,係数_乗用_CNG,係数_乗用_軽油,係数_乗用_メタノール,係数_乗用_LPG),125,5,BE1235),2,FALSE))))))</f>
        <v/>
      </c>
      <c r="BB1235" s="468" t="str">
        <f>IF(T1235="","",IF(OR(AU1235="",AU1235="-"),"－",IF(OR(AZ1235=8,AZ1235=9),"",IF(OR(AW1235=3,AW1235=4,AW1235=5,AW1235=6),VLOOKUP(AU1235,INDEX((係数_バス貨物_ガソリン,係数_バス貨物_CNG,係数_バス貨物_軽油,係数_バス貨物_メタノール,係数_バス貨物_LPG),MATCH(AY1235,【参考】排出係数!$AI$4:$AI$671,1),1,BE1235):INDEX((係数_バス貨物_ガソリン,係数_バス貨物_CNG,係数_バス貨物_軽油,係数_バス貨物_メタノール,係数_バス貨物_LPG),MATCH(AY1235+1,【参考】排出係数!$AI$4:$AI$671,1)-1,5,BE1235),3,FALSE),IF(OR(AW1235=1,AW1235=2),VLOOKUP(AU1235,INDEX((係数_乗用_ガソリン,係数_乗用_CNG,係数_乗用_軽油,係数_乗用_メタノール,係数_乗用_LPG),1,1,BE1235):INDEX((係数_乗用_ガソリン,係数_乗用_CNG,係数_乗用_軽油,係数_乗用_メタノール,係数_乗用_LPG),125,5,BE1235),3,FALSE))))))</f>
        <v/>
      </c>
      <c r="BC1235" s="467" t="str">
        <f t="shared" si="710"/>
        <v/>
      </c>
      <c r="BD1235" s="567" t="str">
        <f t="shared" si="711"/>
        <v/>
      </c>
      <c r="BE1235" s="467" t="str">
        <f t="shared" si="712"/>
        <v/>
      </c>
      <c r="BF1235" s="469" t="str">
        <f t="shared" ca="1" si="713"/>
        <v/>
      </c>
      <c r="BG1235" s="469" t="str">
        <f t="shared" ca="1" si="714"/>
        <v/>
      </c>
      <c r="BH1235" s="467" t="str">
        <f t="shared" si="715"/>
        <v/>
      </c>
      <c r="BI1235" s="467" t="str">
        <f t="shared" ca="1" si="716"/>
        <v/>
      </c>
      <c r="BJ1235" s="469" t="str">
        <f t="shared" si="717"/>
        <v/>
      </c>
      <c r="BK1235" s="470" t="str">
        <f t="shared" si="701"/>
        <v/>
      </c>
      <c r="BL1235" s="775" t="str">
        <f t="shared" si="718"/>
        <v/>
      </c>
      <c r="BM1235" s="775" t="str">
        <f t="shared" si="719"/>
        <v/>
      </c>
    </row>
    <row r="1236" spans="1:65">
      <c r="A1236" s="473">
        <v>1180</v>
      </c>
      <c r="B1236" s="132"/>
      <c r="C1236" s="332"/>
      <c r="D1236" s="333"/>
      <c r="E1236" s="333"/>
      <c r="F1236" s="334"/>
      <c r="G1236" s="337"/>
      <c r="H1236" s="131"/>
      <c r="I1236" s="337"/>
      <c r="J1236" s="131"/>
      <c r="K1236" s="458" t="str">
        <f t="shared" si="682"/>
        <v/>
      </c>
      <c r="L1236" s="458">
        <f t="shared" si="683"/>
        <v>0</v>
      </c>
      <c r="M1236" s="458">
        <f t="shared" si="684"/>
        <v>0</v>
      </c>
      <c r="N1236" s="459" t="str">
        <f t="shared" si="695"/>
        <v/>
      </c>
      <c r="O1236" s="459" t="str">
        <f t="shared" si="696"/>
        <v/>
      </c>
      <c r="P1236" s="459" t="str">
        <f t="shared" si="697"/>
        <v/>
      </c>
      <c r="Q1236" s="459" t="str">
        <f t="shared" si="698"/>
        <v/>
      </c>
      <c r="R1236" s="459" t="str">
        <f t="shared" si="699"/>
        <v/>
      </c>
      <c r="S1236" s="459" t="str">
        <f t="shared" si="700"/>
        <v/>
      </c>
      <c r="T1236" s="566" t="str">
        <f t="shared" si="685"/>
        <v/>
      </c>
      <c r="U1236" s="702"/>
      <c r="V1236" s="132"/>
      <c r="W1236" s="133"/>
      <c r="X1236" s="134"/>
      <c r="Y1236" s="135"/>
      <c r="Z1236" s="137"/>
      <c r="AA1236" s="136"/>
      <c r="AB1236" s="566" t="str">
        <f t="shared" si="686"/>
        <v/>
      </c>
      <c r="AC1236" s="568" t="str">
        <f t="shared" si="687"/>
        <v/>
      </c>
      <c r="AD1236" s="137"/>
      <c r="AE1236" s="137"/>
      <c r="AF1236" s="138"/>
      <c r="AG1236" s="138"/>
      <c r="AH1236" s="592" t="str">
        <f t="shared" si="688"/>
        <v/>
      </c>
      <c r="AI1236" s="592" t="str">
        <f t="shared" si="689"/>
        <v/>
      </c>
      <c r="AJ1236" s="592" t="str">
        <f t="shared" si="690"/>
        <v/>
      </c>
      <c r="AK1236" s="460" t="str">
        <f>IF(AU1236="","",IF(OR(AZ1236=8,AZ1236=9),0,IF(OR(AW1236=3,AW1236=4,AW1236=5,AW1236=6),IF(LEFT(BF1236,1)="1",INDEX(係数_NOX・PM低減,MATCH(AY1236,【参考】排出係数!$AI$801:$AI$804,1),1),VLOOKUP(AU1236,INDEX((係数_バス貨物_ガソリン,係数_バス貨物_CNG,係数_バス貨物_軽油,係数_バス貨物_メタノール,係数_バス貨物_LPG),MATCH(AY1236,【参考】排出係数!$AI$4:$AI$671,1),1,BE1236):INDEX((係数_バス貨物_ガソリン,係数_バス貨物_CNG,係数_バス貨物_軽油,係数_バス貨物_メタノール,係数_バス貨物_LPG),MATCH(AY1236+1,【参考】排出係数!$AI$4:$AI$671,1)-1,5,BE1236),4,FALSE)),IF(AND(BE1236=3,LEFT(BF1236,1)="1"),0.48,VLOOKUP(AU1236,INDEX((係数_乗用_ガソリン,係数_乗用_CNG,係数_乗用_軽油,係数_乗用_メタノール,係数_乗用_LPG),1,1,BE1236):INDEX((係数_乗用_ガソリン,係数_乗用_CNG,係数_乗用_軽油,係数_乗用_メタノール,係数_乗用_LPG),125,5,BE1236),4,FALSE)))))</f>
        <v/>
      </c>
      <c r="AL1236" s="461" t="str">
        <f t="shared" si="691"/>
        <v/>
      </c>
      <c r="AM1236" s="460" t="str">
        <f>IF(AU1236="","",IF(OR(AZ1236=8,AZ1236=9),0,IF(OR(AW1236=3,AW1236=4,AW1236=5,AW1236=6),IF(LEFT(BH1236,1)="1",INDEX(係数_PM低減,MATCH(AY1236,【参考】排出係数!$AI$801:$AI$804,1),MATCH(BI1236,【参考】排出係数!$AL$798:$AO$798,1)),VLOOKUP(AU1236,INDEX((係数_バス貨物_ガソリン,係数_バス貨物_CNG,係数_バス貨物_軽油,係数_バス貨物_メタノール,係数_バス貨物_LPG),MATCH(AY1236,【参考】排出係数!$AI$4:$AI$671,1),1,BE1236):INDEX((係数_バス貨物_ガソリン,係数_バス貨物_CNG,係数_バス貨物_軽油,係数_バス貨物_メタノール,係数_バス貨物_LPG),MATCH(AY1236+1,【参考】排出係数!$AI$4:$AI$671,1)-1,5,BE1236),5,FALSE)),IF(AND(BE1236=3,LEFT(BF1236,1)="1"),0.055,VLOOKUP(AU1236,INDEX((係数_乗用_ガソリン,係数_乗用_CNG,係数_乗用_軽油,係数_乗用_メタノール,係数_乗用_LPG),1,1,BE1236):INDEX((係数_乗用_ガソリン,係数_乗用_CNG,係数_乗用_軽油,係数_乗用_メタノール,係数_乗用_LPG),125,5,BE1236),5,FALSE)))))</f>
        <v/>
      </c>
      <c r="AN1236" s="461" t="str">
        <f t="shared" si="692"/>
        <v/>
      </c>
      <c r="AO1236" s="462" t="str">
        <f t="shared" si="693"/>
        <v/>
      </c>
      <c r="AP1236" s="463" t="str">
        <f t="shared" si="694"/>
        <v/>
      </c>
      <c r="AQ1236" s="464"/>
      <c r="AR1236" s="619"/>
      <c r="AS1236" s="465" t="str">
        <f t="shared" si="702"/>
        <v/>
      </c>
      <c r="AT1236" s="465" t="str">
        <f t="shared" si="703"/>
        <v/>
      </c>
      <c r="AU1236" s="466" t="str">
        <f t="shared" si="704"/>
        <v/>
      </c>
      <c r="AV1236" s="467" t="str">
        <f t="shared" si="705"/>
        <v/>
      </c>
      <c r="AW1236" s="467" t="str">
        <f t="shared" si="706"/>
        <v/>
      </c>
      <c r="AX1236" s="467" t="str">
        <f t="shared" si="707"/>
        <v/>
      </c>
      <c r="AY1236" s="467" t="str">
        <f t="shared" si="708"/>
        <v/>
      </c>
      <c r="AZ1236" s="467" t="str">
        <f t="shared" si="709"/>
        <v/>
      </c>
      <c r="BA1236" s="468" t="str">
        <f>IF(AS1236="","",IF(OR(AU1236="",AU1236="-"),"－",IF(OR(AZ1236=8,AZ1236=9),"",IF(OR(AW1236=3,AW1236=4,AW1236=5,AW1236=6),VLOOKUP(AU1236,INDEX((係数_バス貨物_ガソリン,係数_バス貨物_CNG,係数_バス貨物_軽油,係数_バス貨物_メタノール,係数_バス貨物_LPG),MATCH(AY1236,【参考】排出係数!$AI$4:$AI$671,1),1,BE1236):INDEX((係数_バス貨物_ガソリン,係数_バス貨物_CNG,係数_バス貨物_軽油,係数_バス貨物_メタノール,係数_バス貨物_LPG),MATCH(AY1236+1,【参考】排出係数!$AI$4:$AI$671,1)-1,5,BE1236),2,FALSE),IF(OR(AW1236=1,AW1236=2),VLOOKUP(AU1236,INDEX((係数_乗用_ガソリン,係数_乗用_CNG,係数_乗用_軽油,係数_乗用_メタノール,係数_乗用_LPG),1,1,BE1236):INDEX((係数_乗用_ガソリン,係数_乗用_CNG,係数_乗用_軽油,係数_乗用_メタノール,係数_乗用_LPG),125,5,BE1236),2,FALSE))))))</f>
        <v/>
      </c>
      <c r="BB1236" s="468" t="str">
        <f>IF(T1236="","",IF(OR(AU1236="",AU1236="-"),"－",IF(OR(AZ1236=8,AZ1236=9),"",IF(OR(AW1236=3,AW1236=4,AW1236=5,AW1236=6),VLOOKUP(AU1236,INDEX((係数_バス貨物_ガソリン,係数_バス貨物_CNG,係数_バス貨物_軽油,係数_バス貨物_メタノール,係数_バス貨物_LPG),MATCH(AY1236,【参考】排出係数!$AI$4:$AI$671,1),1,BE1236):INDEX((係数_バス貨物_ガソリン,係数_バス貨物_CNG,係数_バス貨物_軽油,係数_バス貨物_メタノール,係数_バス貨物_LPG),MATCH(AY1236+1,【参考】排出係数!$AI$4:$AI$671,1)-1,5,BE1236),3,FALSE),IF(OR(AW1236=1,AW1236=2),VLOOKUP(AU1236,INDEX((係数_乗用_ガソリン,係数_乗用_CNG,係数_乗用_軽油,係数_乗用_メタノール,係数_乗用_LPG),1,1,BE1236):INDEX((係数_乗用_ガソリン,係数_乗用_CNG,係数_乗用_軽油,係数_乗用_メタノール,係数_乗用_LPG),125,5,BE1236),3,FALSE))))))</f>
        <v/>
      </c>
      <c r="BC1236" s="467" t="str">
        <f t="shared" si="710"/>
        <v/>
      </c>
      <c r="BD1236" s="567" t="str">
        <f t="shared" si="711"/>
        <v/>
      </c>
      <c r="BE1236" s="467" t="str">
        <f t="shared" si="712"/>
        <v/>
      </c>
      <c r="BF1236" s="469" t="str">
        <f t="shared" ca="1" si="713"/>
        <v/>
      </c>
      <c r="BG1236" s="469" t="str">
        <f t="shared" ca="1" si="714"/>
        <v/>
      </c>
      <c r="BH1236" s="467" t="str">
        <f t="shared" si="715"/>
        <v/>
      </c>
      <c r="BI1236" s="467" t="str">
        <f t="shared" ca="1" si="716"/>
        <v/>
      </c>
      <c r="BJ1236" s="469" t="str">
        <f t="shared" si="717"/>
        <v/>
      </c>
      <c r="BK1236" s="470" t="str">
        <f t="shared" si="701"/>
        <v/>
      </c>
      <c r="BL1236" s="775" t="str">
        <f t="shared" si="718"/>
        <v/>
      </c>
      <c r="BM1236" s="775" t="str">
        <f t="shared" si="719"/>
        <v/>
      </c>
    </row>
    <row r="1237" spans="1:65">
      <c r="A1237" s="473">
        <v>1181</v>
      </c>
      <c r="B1237" s="132"/>
      <c r="C1237" s="332"/>
      <c r="D1237" s="333"/>
      <c r="E1237" s="333"/>
      <c r="F1237" s="334"/>
      <c r="G1237" s="337"/>
      <c r="H1237" s="131"/>
      <c r="I1237" s="337"/>
      <c r="J1237" s="131"/>
      <c r="K1237" s="458" t="str">
        <f t="shared" si="682"/>
        <v/>
      </c>
      <c r="L1237" s="458">
        <f t="shared" si="683"/>
        <v>0</v>
      </c>
      <c r="M1237" s="458">
        <f t="shared" si="684"/>
        <v>0</v>
      </c>
      <c r="N1237" s="459" t="str">
        <f t="shared" si="695"/>
        <v/>
      </c>
      <c r="O1237" s="459" t="str">
        <f t="shared" si="696"/>
        <v/>
      </c>
      <c r="P1237" s="459" t="str">
        <f t="shared" si="697"/>
        <v/>
      </c>
      <c r="Q1237" s="459" t="str">
        <f t="shared" si="698"/>
        <v/>
      </c>
      <c r="R1237" s="459" t="str">
        <f t="shared" si="699"/>
        <v/>
      </c>
      <c r="S1237" s="459" t="str">
        <f t="shared" si="700"/>
        <v/>
      </c>
      <c r="T1237" s="566" t="str">
        <f t="shared" si="685"/>
        <v/>
      </c>
      <c r="U1237" s="702"/>
      <c r="V1237" s="132"/>
      <c r="W1237" s="133"/>
      <c r="X1237" s="134"/>
      <c r="Y1237" s="135"/>
      <c r="Z1237" s="137"/>
      <c r="AA1237" s="136"/>
      <c r="AB1237" s="566" t="str">
        <f t="shared" si="686"/>
        <v/>
      </c>
      <c r="AC1237" s="568" t="str">
        <f t="shared" si="687"/>
        <v/>
      </c>
      <c r="AD1237" s="137"/>
      <c r="AE1237" s="137"/>
      <c r="AF1237" s="138"/>
      <c r="AG1237" s="138"/>
      <c r="AH1237" s="592" t="str">
        <f t="shared" si="688"/>
        <v/>
      </c>
      <c r="AI1237" s="592" t="str">
        <f t="shared" si="689"/>
        <v/>
      </c>
      <c r="AJ1237" s="592" t="str">
        <f t="shared" si="690"/>
        <v/>
      </c>
      <c r="AK1237" s="460" t="str">
        <f>IF(AU1237="","",IF(OR(AZ1237=8,AZ1237=9),0,IF(OR(AW1237=3,AW1237=4,AW1237=5,AW1237=6),IF(LEFT(BF1237,1)="1",INDEX(係数_NOX・PM低減,MATCH(AY1237,【参考】排出係数!$AI$801:$AI$804,1),1),VLOOKUP(AU1237,INDEX((係数_バス貨物_ガソリン,係数_バス貨物_CNG,係数_バス貨物_軽油,係数_バス貨物_メタノール,係数_バス貨物_LPG),MATCH(AY1237,【参考】排出係数!$AI$4:$AI$671,1),1,BE1237):INDEX((係数_バス貨物_ガソリン,係数_バス貨物_CNG,係数_バス貨物_軽油,係数_バス貨物_メタノール,係数_バス貨物_LPG),MATCH(AY1237+1,【参考】排出係数!$AI$4:$AI$671,1)-1,5,BE1237),4,FALSE)),IF(AND(BE1237=3,LEFT(BF1237,1)="1"),0.48,VLOOKUP(AU1237,INDEX((係数_乗用_ガソリン,係数_乗用_CNG,係数_乗用_軽油,係数_乗用_メタノール,係数_乗用_LPG),1,1,BE1237):INDEX((係数_乗用_ガソリン,係数_乗用_CNG,係数_乗用_軽油,係数_乗用_メタノール,係数_乗用_LPG),125,5,BE1237),4,FALSE)))))</f>
        <v/>
      </c>
      <c r="AL1237" s="461" t="str">
        <f t="shared" si="691"/>
        <v/>
      </c>
      <c r="AM1237" s="460" t="str">
        <f>IF(AU1237="","",IF(OR(AZ1237=8,AZ1237=9),0,IF(OR(AW1237=3,AW1237=4,AW1237=5,AW1237=6),IF(LEFT(BH1237,1)="1",INDEX(係数_PM低減,MATCH(AY1237,【参考】排出係数!$AI$801:$AI$804,1),MATCH(BI1237,【参考】排出係数!$AL$798:$AO$798,1)),VLOOKUP(AU1237,INDEX((係数_バス貨物_ガソリン,係数_バス貨物_CNG,係数_バス貨物_軽油,係数_バス貨物_メタノール,係数_バス貨物_LPG),MATCH(AY1237,【参考】排出係数!$AI$4:$AI$671,1),1,BE1237):INDEX((係数_バス貨物_ガソリン,係数_バス貨物_CNG,係数_バス貨物_軽油,係数_バス貨物_メタノール,係数_バス貨物_LPG),MATCH(AY1237+1,【参考】排出係数!$AI$4:$AI$671,1)-1,5,BE1237),5,FALSE)),IF(AND(BE1237=3,LEFT(BF1237,1)="1"),0.055,VLOOKUP(AU1237,INDEX((係数_乗用_ガソリン,係数_乗用_CNG,係数_乗用_軽油,係数_乗用_メタノール,係数_乗用_LPG),1,1,BE1237):INDEX((係数_乗用_ガソリン,係数_乗用_CNG,係数_乗用_軽油,係数_乗用_メタノール,係数_乗用_LPG),125,5,BE1237),5,FALSE)))))</f>
        <v/>
      </c>
      <c r="AN1237" s="461" t="str">
        <f t="shared" si="692"/>
        <v/>
      </c>
      <c r="AO1237" s="462" t="str">
        <f t="shared" si="693"/>
        <v/>
      </c>
      <c r="AP1237" s="463" t="str">
        <f t="shared" si="694"/>
        <v/>
      </c>
      <c r="AQ1237" s="464"/>
      <c r="AR1237" s="619"/>
      <c r="AS1237" s="465" t="str">
        <f t="shared" si="702"/>
        <v/>
      </c>
      <c r="AT1237" s="465" t="str">
        <f t="shared" si="703"/>
        <v/>
      </c>
      <c r="AU1237" s="466" t="str">
        <f t="shared" si="704"/>
        <v/>
      </c>
      <c r="AV1237" s="467" t="str">
        <f t="shared" si="705"/>
        <v/>
      </c>
      <c r="AW1237" s="467" t="str">
        <f t="shared" si="706"/>
        <v/>
      </c>
      <c r="AX1237" s="467" t="str">
        <f t="shared" si="707"/>
        <v/>
      </c>
      <c r="AY1237" s="467" t="str">
        <f t="shared" si="708"/>
        <v/>
      </c>
      <c r="AZ1237" s="467" t="str">
        <f t="shared" si="709"/>
        <v/>
      </c>
      <c r="BA1237" s="468" t="str">
        <f>IF(AS1237="","",IF(OR(AU1237="",AU1237="-"),"－",IF(OR(AZ1237=8,AZ1237=9),"",IF(OR(AW1237=3,AW1237=4,AW1237=5,AW1237=6),VLOOKUP(AU1237,INDEX((係数_バス貨物_ガソリン,係数_バス貨物_CNG,係数_バス貨物_軽油,係数_バス貨物_メタノール,係数_バス貨物_LPG),MATCH(AY1237,【参考】排出係数!$AI$4:$AI$671,1),1,BE1237):INDEX((係数_バス貨物_ガソリン,係数_バス貨物_CNG,係数_バス貨物_軽油,係数_バス貨物_メタノール,係数_バス貨物_LPG),MATCH(AY1237+1,【参考】排出係数!$AI$4:$AI$671,1)-1,5,BE1237),2,FALSE),IF(OR(AW1237=1,AW1237=2),VLOOKUP(AU1237,INDEX((係数_乗用_ガソリン,係数_乗用_CNG,係数_乗用_軽油,係数_乗用_メタノール,係数_乗用_LPG),1,1,BE1237):INDEX((係数_乗用_ガソリン,係数_乗用_CNG,係数_乗用_軽油,係数_乗用_メタノール,係数_乗用_LPG),125,5,BE1237),2,FALSE))))))</f>
        <v/>
      </c>
      <c r="BB1237" s="468" t="str">
        <f>IF(T1237="","",IF(OR(AU1237="",AU1237="-"),"－",IF(OR(AZ1237=8,AZ1237=9),"",IF(OR(AW1237=3,AW1237=4,AW1237=5,AW1237=6),VLOOKUP(AU1237,INDEX((係数_バス貨物_ガソリン,係数_バス貨物_CNG,係数_バス貨物_軽油,係数_バス貨物_メタノール,係数_バス貨物_LPG),MATCH(AY1237,【参考】排出係数!$AI$4:$AI$671,1),1,BE1237):INDEX((係数_バス貨物_ガソリン,係数_バス貨物_CNG,係数_バス貨物_軽油,係数_バス貨物_メタノール,係数_バス貨物_LPG),MATCH(AY1237+1,【参考】排出係数!$AI$4:$AI$671,1)-1,5,BE1237),3,FALSE),IF(OR(AW1237=1,AW1237=2),VLOOKUP(AU1237,INDEX((係数_乗用_ガソリン,係数_乗用_CNG,係数_乗用_軽油,係数_乗用_メタノール,係数_乗用_LPG),1,1,BE1237):INDEX((係数_乗用_ガソリン,係数_乗用_CNG,係数_乗用_軽油,係数_乗用_メタノール,係数_乗用_LPG),125,5,BE1237),3,FALSE))))))</f>
        <v/>
      </c>
      <c r="BC1237" s="467" t="str">
        <f t="shared" si="710"/>
        <v/>
      </c>
      <c r="BD1237" s="567" t="str">
        <f t="shared" si="711"/>
        <v/>
      </c>
      <c r="BE1237" s="467" t="str">
        <f t="shared" si="712"/>
        <v/>
      </c>
      <c r="BF1237" s="469" t="str">
        <f t="shared" ca="1" si="713"/>
        <v/>
      </c>
      <c r="BG1237" s="469" t="str">
        <f t="shared" ca="1" si="714"/>
        <v/>
      </c>
      <c r="BH1237" s="467" t="str">
        <f t="shared" si="715"/>
        <v/>
      </c>
      <c r="BI1237" s="467" t="str">
        <f t="shared" ca="1" si="716"/>
        <v/>
      </c>
      <c r="BJ1237" s="469" t="str">
        <f t="shared" si="717"/>
        <v/>
      </c>
      <c r="BK1237" s="470" t="str">
        <f t="shared" si="701"/>
        <v/>
      </c>
      <c r="BL1237" s="775" t="str">
        <f t="shared" si="718"/>
        <v/>
      </c>
      <c r="BM1237" s="775" t="str">
        <f t="shared" si="719"/>
        <v/>
      </c>
    </row>
    <row r="1238" spans="1:65">
      <c r="A1238" s="473">
        <v>1182</v>
      </c>
      <c r="B1238" s="132"/>
      <c r="C1238" s="332"/>
      <c r="D1238" s="333"/>
      <c r="E1238" s="333"/>
      <c r="F1238" s="334"/>
      <c r="G1238" s="337"/>
      <c r="H1238" s="131"/>
      <c r="I1238" s="337"/>
      <c r="J1238" s="131"/>
      <c r="K1238" s="458" t="str">
        <f t="shared" si="682"/>
        <v/>
      </c>
      <c r="L1238" s="458">
        <f t="shared" si="683"/>
        <v>0</v>
      </c>
      <c r="M1238" s="458">
        <f t="shared" si="684"/>
        <v>0</v>
      </c>
      <c r="N1238" s="459" t="str">
        <f t="shared" si="695"/>
        <v/>
      </c>
      <c r="O1238" s="459" t="str">
        <f t="shared" si="696"/>
        <v/>
      </c>
      <c r="P1238" s="459" t="str">
        <f t="shared" si="697"/>
        <v/>
      </c>
      <c r="Q1238" s="459" t="str">
        <f t="shared" si="698"/>
        <v/>
      </c>
      <c r="R1238" s="459" t="str">
        <f t="shared" si="699"/>
        <v/>
      </c>
      <c r="S1238" s="459" t="str">
        <f t="shared" si="700"/>
        <v/>
      </c>
      <c r="T1238" s="566" t="str">
        <f t="shared" si="685"/>
        <v/>
      </c>
      <c r="U1238" s="702"/>
      <c r="V1238" s="132"/>
      <c r="W1238" s="133"/>
      <c r="X1238" s="134"/>
      <c r="Y1238" s="135"/>
      <c r="Z1238" s="137"/>
      <c r="AA1238" s="136"/>
      <c r="AB1238" s="566" t="str">
        <f t="shared" si="686"/>
        <v/>
      </c>
      <c r="AC1238" s="568" t="str">
        <f t="shared" si="687"/>
        <v/>
      </c>
      <c r="AD1238" s="137"/>
      <c r="AE1238" s="137"/>
      <c r="AF1238" s="138"/>
      <c r="AG1238" s="138"/>
      <c r="AH1238" s="592" t="str">
        <f t="shared" si="688"/>
        <v/>
      </c>
      <c r="AI1238" s="592" t="str">
        <f t="shared" si="689"/>
        <v/>
      </c>
      <c r="AJ1238" s="592" t="str">
        <f t="shared" si="690"/>
        <v/>
      </c>
      <c r="AK1238" s="460" t="str">
        <f>IF(AU1238="","",IF(OR(AZ1238=8,AZ1238=9),0,IF(OR(AW1238=3,AW1238=4,AW1238=5,AW1238=6),IF(LEFT(BF1238,1)="1",INDEX(係数_NOX・PM低減,MATCH(AY1238,【参考】排出係数!$AI$801:$AI$804,1),1),VLOOKUP(AU1238,INDEX((係数_バス貨物_ガソリン,係数_バス貨物_CNG,係数_バス貨物_軽油,係数_バス貨物_メタノール,係数_バス貨物_LPG),MATCH(AY1238,【参考】排出係数!$AI$4:$AI$671,1),1,BE1238):INDEX((係数_バス貨物_ガソリン,係数_バス貨物_CNG,係数_バス貨物_軽油,係数_バス貨物_メタノール,係数_バス貨物_LPG),MATCH(AY1238+1,【参考】排出係数!$AI$4:$AI$671,1)-1,5,BE1238),4,FALSE)),IF(AND(BE1238=3,LEFT(BF1238,1)="1"),0.48,VLOOKUP(AU1238,INDEX((係数_乗用_ガソリン,係数_乗用_CNG,係数_乗用_軽油,係数_乗用_メタノール,係数_乗用_LPG),1,1,BE1238):INDEX((係数_乗用_ガソリン,係数_乗用_CNG,係数_乗用_軽油,係数_乗用_メタノール,係数_乗用_LPG),125,5,BE1238),4,FALSE)))))</f>
        <v/>
      </c>
      <c r="AL1238" s="461" t="str">
        <f t="shared" si="691"/>
        <v/>
      </c>
      <c r="AM1238" s="460" t="str">
        <f>IF(AU1238="","",IF(OR(AZ1238=8,AZ1238=9),0,IF(OR(AW1238=3,AW1238=4,AW1238=5,AW1238=6),IF(LEFT(BH1238,1)="1",INDEX(係数_PM低減,MATCH(AY1238,【参考】排出係数!$AI$801:$AI$804,1),MATCH(BI1238,【参考】排出係数!$AL$798:$AO$798,1)),VLOOKUP(AU1238,INDEX((係数_バス貨物_ガソリン,係数_バス貨物_CNG,係数_バス貨物_軽油,係数_バス貨物_メタノール,係数_バス貨物_LPG),MATCH(AY1238,【参考】排出係数!$AI$4:$AI$671,1),1,BE1238):INDEX((係数_バス貨物_ガソリン,係数_バス貨物_CNG,係数_バス貨物_軽油,係数_バス貨物_メタノール,係数_バス貨物_LPG),MATCH(AY1238+1,【参考】排出係数!$AI$4:$AI$671,1)-1,5,BE1238),5,FALSE)),IF(AND(BE1238=3,LEFT(BF1238,1)="1"),0.055,VLOOKUP(AU1238,INDEX((係数_乗用_ガソリン,係数_乗用_CNG,係数_乗用_軽油,係数_乗用_メタノール,係数_乗用_LPG),1,1,BE1238):INDEX((係数_乗用_ガソリン,係数_乗用_CNG,係数_乗用_軽油,係数_乗用_メタノール,係数_乗用_LPG),125,5,BE1238),5,FALSE)))))</f>
        <v/>
      </c>
      <c r="AN1238" s="461" t="str">
        <f t="shared" si="692"/>
        <v/>
      </c>
      <c r="AO1238" s="462" t="str">
        <f t="shared" si="693"/>
        <v/>
      </c>
      <c r="AP1238" s="463" t="str">
        <f t="shared" si="694"/>
        <v/>
      </c>
      <c r="AQ1238" s="464"/>
      <c r="AR1238" s="619"/>
      <c r="AS1238" s="465" t="str">
        <f t="shared" si="702"/>
        <v/>
      </c>
      <c r="AT1238" s="465" t="str">
        <f t="shared" si="703"/>
        <v/>
      </c>
      <c r="AU1238" s="466" t="str">
        <f t="shared" si="704"/>
        <v/>
      </c>
      <c r="AV1238" s="467" t="str">
        <f t="shared" si="705"/>
        <v/>
      </c>
      <c r="AW1238" s="467" t="str">
        <f t="shared" si="706"/>
        <v/>
      </c>
      <c r="AX1238" s="467" t="str">
        <f t="shared" si="707"/>
        <v/>
      </c>
      <c r="AY1238" s="467" t="str">
        <f t="shared" si="708"/>
        <v/>
      </c>
      <c r="AZ1238" s="467" t="str">
        <f t="shared" si="709"/>
        <v/>
      </c>
      <c r="BA1238" s="468" t="str">
        <f>IF(AS1238="","",IF(OR(AU1238="",AU1238="-"),"－",IF(OR(AZ1238=8,AZ1238=9),"",IF(OR(AW1238=3,AW1238=4,AW1238=5,AW1238=6),VLOOKUP(AU1238,INDEX((係数_バス貨物_ガソリン,係数_バス貨物_CNG,係数_バス貨物_軽油,係数_バス貨物_メタノール,係数_バス貨物_LPG),MATCH(AY1238,【参考】排出係数!$AI$4:$AI$671,1),1,BE1238):INDEX((係数_バス貨物_ガソリン,係数_バス貨物_CNG,係数_バス貨物_軽油,係数_バス貨物_メタノール,係数_バス貨物_LPG),MATCH(AY1238+1,【参考】排出係数!$AI$4:$AI$671,1)-1,5,BE1238),2,FALSE),IF(OR(AW1238=1,AW1238=2),VLOOKUP(AU1238,INDEX((係数_乗用_ガソリン,係数_乗用_CNG,係数_乗用_軽油,係数_乗用_メタノール,係数_乗用_LPG),1,1,BE1238):INDEX((係数_乗用_ガソリン,係数_乗用_CNG,係数_乗用_軽油,係数_乗用_メタノール,係数_乗用_LPG),125,5,BE1238),2,FALSE))))))</f>
        <v/>
      </c>
      <c r="BB1238" s="468" t="str">
        <f>IF(T1238="","",IF(OR(AU1238="",AU1238="-"),"－",IF(OR(AZ1238=8,AZ1238=9),"",IF(OR(AW1238=3,AW1238=4,AW1238=5,AW1238=6),VLOOKUP(AU1238,INDEX((係数_バス貨物_ガソリン,係数_バス貨物_CNG,係数_バス貨物_軽油,係数_バス貨物_メタノール,係数_バス貨物_LPG),MATCH(AY1238,【参考】排出係数!$AI$4:$AI$671,1),1,BE1238):INDEX((係数_バス貨物_ガソリン,係数_バス貨物_CNG,係数_バス貨物_軽油,係数_バス貨物_メタノール,係数_バス貨物_LPG),MATCH(AY1238+1,【参考】排出係数!$AI$4:$AI$671,1)-1,5,BE1238),3,FALSE),IF(OR(AW1238=1,AW1238=2),VLOOKUP(AU1238,INDEX((係数_乗用_ガソリン,係数_乗用_CNG,係数_乗用_軽油,係数_乗用_メタノール,係数_乗用_LPG),1,1,BE1238):INDEX((係数_乗用_ガソリン,係数_乗用_CNG,係数_乗用_軽油,係数_乗用_メタノール,係数_乗用_LPG),125,5,BE1238),3,FALSE))))))</f>
        <v/>
      </c>
      <c r="BC1238" s="467" t="str">
        <f t="shared" si="710"/>
        <v/>
      </c>
      <c r="BD1238" s="567" t="str">
        <f t="shared" si="711"/>
        <v/>
      </c>
      <c r="BE1238" s="467" t="str">
        <f t="shared" si="712"/>
        <v/>
      </c>
      <c r="BF1238" s="469" t="str">
        <f t="shared" ca="1" si="713"/>
        <v/>
      </c>
      <c r="BG1238" s="469" t="str">
        <f t="shared" ca="1" si="714"/>
        <v/>
      </c>
      <c r="BH1238" s="467" t="str">
        <f t="shared" si="715"/>
        <v/>
      </c>
      <c r="BI1238" s="467" t="str">
        <f t="shared" ca="1" si="716"/>
        <v/>
      </c>
      <c r="BJ1238" s="469" t="str">
        <f t="shared" si="717"/>
        <v/>
      </c>
      <c r="BK1238" s="470" t="str">
        <f t="shared" si="701"/>
        <v/>
      </c>
      <c r="BL1238" s="775" t="str">
        <f t="shared" si="718"/>
        <v/>
      </c>
      <c r="BM1238" s="775" t="str">
        <f t="shared" si="719"/>
        <v/>
      </c>
    </row>
    <row r="1239" spans="1:65">
      <c r="A1239" s="473">
        <v>1183</v>
      </c>
      <c r="B1239" s="132"/>
      <c r="C1239" s="332"/>
      <c r="D1239" s="333"/>
      <c r="E1239" s="333"/>
      <c r="F1239" s="334"/>
      <c r="G1239" s="337"/>
      <c r="H1239" s="131"/>
      <c r="I1239" s="337"/>
      <c r="J1239" s="131"/>
      <c r="K1239" s="458" t="str">
        <f t="shared" si="682"/>
        <v/>
      </c>
      <c r="L1239" s="458">
        <f t="shared" si="683"/>
        <v>0</v>
      </c>
      <c r="M1239" s="458">
        <f t="shared" si="684"/>
        <v>0</v>
      </c>
      <c r="N1239" s="459" t="str">
        <f t="shared" si="695"/>
        <v/>
      </c>
      <c r="O1239" s="459" t="str">
        <f t="shared" si="696"/>
        <v/>
      </c>
      <c r="P1239" s="459" t="str">
        <f t="shared" si="697"/>
        <v/>
      </c>
      <c r="Q1239" s="459" t="str">
        <f t="shared" si="698"/>
        <v/>
      </c>
      <c r="R1239" s="459" t="str">
        <f t="shared" si="699"/>
        <v/>
      </c>
      <c r="S1239" s="459" t="str">
        <f t="shared" si="700"/>
        <v/>
      </c>
      <c r="T1239" s="566" t="str">
        <f t="shared" si="685"/>
        <v/>
      </c>
      <c r="U1239" s="702"/>
      <c r="V1239" s="132"/>
      <c r="W1239" s="133"/>
      <c r="X1239" s="134"/>
      <c r="Y1239" s="135"/>
      <c r="Z1239" s="137"/>
      <c r="AA1239" s="136"/>
      <c r="AB1239" s="566" t="str">
        <f t="shared" si="686"/>
        <v/>
      </c>
      <c r="AC1239" s="568" t="str">
        <f t="shared" si="687"/>
        <v/>
      </c>
      <c r="AD1239" s="137"/>
      <c r="AE1239" s="137"/>
      <c r="AF1239" s="138"/>
      <c r="AG1239" s="138"/>
      <c r="AH1239" s="592" t="str">
        <f t="shared" si="688"/>
        <v/>
      </c>
      <c r="AI1239" s="592" t="str">
        <f t="shared" si="689"/>
        <v/>
      </c>
      <c r="AJ1239" s="592" t="str">
        <f t="shared" si="690"/>
        <v/>
      </c>
      <c r="AK1239" s="460" t="str">
        <f>IF(AU1239="","",IF(OR(AZ1239=8,AZ1239=9),0,IF(OR(AW1239=3,AW1239=4,AW1239=5,AW1239=6),IF(LEFT(BF1239,1)="1",INDEX(係数_NOX・PM低減,MATCH(AY1239,【参考】排出係数!$AI$801:$AI$804,1),1),VLOOKUP(AU1239,INDEX((係数_バス貨物_ガソリン,係数_バス貨物_CNG,係数_バス貨物_軽油,係数_バス貨物_メタノール,係数_バス貨物_LPG),MATCH(AY1239,【参考】排出係数!$AI$4:$AI$671,1),1,BE1239):INDEX((係数_バス貨物_ガソリン,係数_バス貨物_CNG,係数_バス貨物_軽油,係数_バス貨物_メタノール,係数_バス貨物_LPG),MATCH(AY1239+1,【参考】排出係数!$AI$4:$AI$671,1)-1,5,BE1239),4,FALSE)),IF(AND(BE1239=3,LEFT(BF1239,1)="1"),0.48,VLOOKUP(AU1239,INDEX((係数_乗用_ガソリン,係数_乗用_CNG,係数_乗用_軽油,係数_乗用_メタノール,係数_乗用_LPG),1,1,BE1239):INDEX((係数_乗用_ガソリン,係数_乗用_CNG,係数_乗用_軽油,係数_乗用_メタノール,係数_乗用_LPG),125,5,BE1239),4,FALSE)))))</f>
        <v/>
      </c>
      <c r="AL1239" s="461" t="str">
        <f t="shared" si="691"/>
        <v/>
      </c>
      <c r="AM1239" s="460" t="str">
        <f>IF(AU1239="","",IF(OR(AZ1239=8,AZ1239=9),0,IF(OR(AW1239=3,AW1239=4,AW1239=5,AW1239=6),IF(LEFT(BH1239,1)="1",INDEX(係数_PM低減,MATCH(AY1239,【参考】排出係数!$AI$801:$AI$804,1),MATCH(BI1239,【参考】排出係数!$AL$798:$AO$798,1)),VLOOKUP(AU1239,INDEX((係数_バス貨物_ガソリン,係数_バス貨物_CNG,係数_バス貨物_軽油,係数_バス貨物_メタノール,係数_バス貨物_LPG),MATCH(AY1239,【参考】排出係数!$AI$4:$AI$671,1),1,BE1239):INDEX((係数_バス貨物_ガソリン,係数_バス貨物_CNG,係数_バス貨物_軽油,係数_バス貨物_メタノール,係数_バス貨物_LPG),MATCH(AY1239+1,【参考】排出係数!$AI$4:$AI$671,1)-1,5,BE1239),5,FALSE)),IF(AND(BE1239=3,LEFT(BF1239,1)="1"),0.055,VLOOKUP(AU1239,INDEX((係数_乗用_ガソリン,係数_乗用_CNG,係数_乗用_軽油,係数_乗用_メタノール,係数_乗用_LPG),1,1,BE1239):INDEX((係数_乗用_ガソリン,係数_乗用_CNG,係数_乗用_軽油,係数_乗用_メタノール,係数_乗用_LPG),125,5,BE1239),5,FALSE)))))</f>
        <v/>
      </c>
      <c r="AN1239" s="461" t="str">
        <f t="shared" si="692"/>
        <v/>
      </c>
      <c r="AO1239" s="462" t="str">
        <f t="shared" si="693"/>
        <v/>
      </c>
      <c r="AP1239" s="463" t="str">
        <f t="shared" si="694"/>
        <v/>
      </c>
      <c r="AQ1239" s="464"/>
      <c r="AR1239" s="619"/>
      <c r="AS1239" s="465" t="str">
        <f t="shared" si="702"/>
        <v/>
      </c>
      <c r="AT1239" s="465" t="str">
        <f t="shared" si="703"/>
        <v/>
      </c>
      <c r="AU1239" s="466" t="str">
        <f t="shared" si="704"/>
        <v/>
      </c>
      <c r="AV1239" s="467" t="str">
        <f t="shared" si="705"/>
        <v/>
      </c>
      <c r="AW1239" s="467" t="str">
        <f t="shared" si="706"/>
        <v/>
      </c>
      <c r="AX1239" s="467" t="str">
        <f t="shared" si="707"/>
        <v/>
      </c>
      <c r="AY1239" s="467" t="str">
        <f t="shared" si="708"/>
        <v/>
      </c>
      <c r="AZ1239" s="467" t="str">
        <f t="shared" si="709"/>
        <v/>
      </c>
      <c r="BA1239" s="468" t="str">
        <f>IF(AS1239="","",IF(OR(AU1239="",AU1239="-"),"－",IF(OR(AZ1239=8,AZ1239=9),"",IF(OR(AW1239=3,AW1239=4,AW1239=5,AW1239=6),VLOOKUP(AU1239,INDEX((係数_バス貨物_ガソリン,係数_バス貨物_CNG,係数_バス貨物_軽油,係数_バス貨物_メタノール,係数_バス貨物_LPG),MATCH(AY1239,【参考】排出係数!$AI$4:$AI$671,1),1,BE1239):INDEX((係数_バス貨物_ガソリン,係数_バス貨物_CNG,係数_バス貨物_軽油,係数_バス貨物_メタノール,係数_バス貨物_LPG),MATCH(AY1239+1,【参考】排出係数!$AI$4:$AI$671,1)-1,5,BE1239),2,FALSE),IF(OR(AW1239=1,AW1239=2),VLOOKUP(AU1239,INDEX((係数_乗用_ガソリン,係数_乗用_CNG,係数_乗用_軽油,係数_乗用_メタノール,係数_乗用_LPG),1,1,BE1239):INDEX((係数_乗用_ガソリン,係数_乗用_CNG,係数_乗用_軽油,係数_乗用_メタノール,係数_乗用_LPG),125,5,BE1239),2,FALSE))))))</f>
        <v/>
      </c>
      <c r="BB1239" s="468" t="str">
        <f>IF(T1239="","",IF(OR(AU1239="",AU1239="-"),"－",IF(OR(AZ1239=8,AZ1239=9),"",IF(OR(AW1239=3,AW1239=4,AW1239=5,AW1239=6),VLOOKUP(AU1239,INDEX((係数_バス貨物_ガソリン,係数_バス貨物_CNG,係数_バス貨物_軽油,係数_バス貨物_メタノール,係数_バス貨物_LPG),MATCH(AY1239,【参考】排出係数!$AI$4:$AI$671,1),1,BE1239):INDEX((係数_バス貨物_ガソリン,係数_バス貨物_CNG,係数_バス貨物_軽油,係数_バス貨物_メタノール,係数_バス貨物_LPG),MATCH(AY1239+1,【参考】排出係数!$AI$4:$AI$671,1)-1,5,BE1239),3,FALSE),IF(OR(AW1239=1,AW1239=2),VLOOKUP(AU1239,INDEX((係数_乗用_ガソリン,係数_乗用_CNG,係数_乗用_軽油,係数_乗用_メタノール,係数_乗用_LPG),1,1,BE1239):INDEX((係数_乗用_ガソリン,係数_乗用_CNG,係数_乗用_軽油,係数_乗用_メタノール,係数_乗用_LPG),125,5,BE1239),3,FALSE))))))</f>
        <v/>
      </c>
      <c r="BC1239" s="467" t="str">
        <f t="shared" si="710"/>
        <v/>
      </c>
      <c r="BD1239" s="567" t="str">
        <f t="shared" si="711"/>
        <v/>
      </c>
      <c r="BE1239" s="467" t="str">
        <f t="shared" si="712"/>
        <v/>
      </c>
      <c r="BF1239" s="469" t="str">
        <f t="shared" ca="1" si="713"/>
        <v/>
      </c>
      <c r="BG1239" s="469" t="str">
        <f t="shared" ca="1" si="714"/>
        <v/>
      </c>
      <c r="BH1239" s="467" t="str">
        <f t="shared" si="715"/>
        <v/>
      </c>
      <c r="BI1239" s="467" t="str">
        <f t="shared" ca="1" si="716"/>
        <v/>
      </c>
      <c r="BJ1239" s="469" t="str">
        <f t="shared" si="717"/>
        <v/>
      </c>
      <c r="BK1239" s="470" t="str">
        <f t="shared" si="701"/>
        <v/>
      </c>
      <c r="BL1239" s="775" t="str">
        <f t="shared" si="718"/>
        <v/>
      </c>
      <c r="BM1239" s="775" t="str">
        <f t="shared" si="719"/>
        <v/>
      </c>
    </row>
    <row r="1240" spans="1:65">
      <c r="A1240" s="473">
        <v>1184</v>
      </c>
      <c r="B1240" s="132"/>
      <c r="C1240" s="332"/>
      <c r="D1240" s="333"/>
      <c r="E1240" s="333"/>
      <c r="F1240" s="334"/>
      <c r="G1240" s="337"/>
      <c r="H1240" s="131"/>
      <c r="I1240" s="337"/>
      <c r="J1240" s="131"/>
      <c r="K1240" s="458" t="str">
        <f t="shared" si="682"/>
        <v/>
      </c>
      <c r="L1240" s="458">
        <f t="shared" si="683"/>
        <v>0</v>
      </c>
      <c r="M1240" s="458">
        <f t="shared" si="684"/>
        <v>0</v>
      </c>
      <c r="N1240" s="459" t="str">
        <f t="shared" si="695"/>
        <v/>
      </c>
      <c r="O1240" s="459" t="str">
        <f t="shared" si="696"/>
        <v/>
      </c>
      <c r="P1240" s="459" t="str">
        <f t="shared" si="697"/>
        <v/>
      </c>
      <c r="Q1240" s="459" t="str">
        <f t="shared" si="698"/>
        <v/>
      </c>
      <c r="R1240" s="459" t="str">
        <f t="shared" si="699"/>
        <v/>
      </c>
      <c r="S1240" s="459" t="str">
        <f t="shared" si="700"/>
        <v/>
      </c>
      <c r="T1240" s="566" t="str">
        <f t="shared" si="685"/>
        <v/>
      </c>
      <c r="U1240" s="702"/>
      <c r="V1240" s="132"/>
      <c r="W1240" s="133"/>
      <c r="X1240" s="134"/>
      <c r="Y1240" s="135"/>
      <c r="Z1240" s="137"/>
      <c r="AA1240" s="136"/>
      <c r="AB1240" s="566" t="str">
        <f t="shared" si="686"/>
        <v/>
      </c>
      <c r="AC1240" s="568" t="str">
        <f t="shared" si="687"/>
        <v/>
      </c>
      <c r="AD1240" s="137"/>
      <c r="AE1240" s="137"/>
      <c r="AF1240" s="138"/>
      <c r="AG1240" s="138"/>
      <c r="AH1240" s="592" t="str">
        <f t="shared" si="688"/>
        <v/>
      </c>
      <c r="AI1240" s="592" t="str">
        <f t="shared" si="689"/>
        <v/>
      </c>
      <c r="AJ1240" s="592" t="str">
        <f t="shared" si="690"/>
        <v/>
      </c>
      <c r="AK1240" s="460" t="str">
        <f>IF(AU1240="","",IF(OR(AZ1240=8,AZ1240=9),0,IF(OR(AW1240=3,AW1240=4,AW1240=5,AW1240=6),IF(LEFT(BF1240,1)="1",INDEX(係数_NOX・PM低減,MATCH(AY1240,【参考】排出係数!$AI$801:$AI$804,1),1),VLOOKUP(AU1240,INDEX((係数_バス貨物_ガソリン,係数_バス貨物_CNG,係数_バス貨物_軽油,係数_バス貨物_メタノール,係数_バス貨物_LPG),MATCH(AY1240,【参考】排出係数!$AI$4:$AI$671,1),1,BE1240):INDEX((係数_バス貨物_ガソリン,係数_バス貨物_CNG,係数_バス貨物_軽油,係数_バス貨物_メタノール,係数_バス貨物_LPG),MATCH(AY1240+1,【参考】排出係数!$AI$4:$AI$671,1)-1,5,BE1240),4,FALSE)),IF(AND(BE1240=3,LEFT(BF1240,1)="1"),0.48,VLOOKUP(AU1240,INDEX((係数_乗用_ガソリン,係数_乗用_CNG,係数_乗用_軽油,係数_乗用_メタノール,係数_乗用_LPG),1,1,BE1240):INDEX((係数_乗用_ガソリン,係数_乗用_CNG,係数_乗用_軽油,係数_乗用_メタノール,係数_乗用_LPG),125,5,BE1240),4,FALSE)))))</f>
        <v/>
      </c>
      <c r="AL1240" s="461" t="str">
        <f t="shared" si="691"/>
        <v/>
      </c>
      <c r="AM1240" s="460" t="str">
        <f>IF(AU1240="","",IF(OR(AZ1240=8,AZ1240=9),0,IF(OR(AW1240=3,AW1240=4,AW1240=5,AW1240=6),IF(LEFT(BH1240,1)="1",INDEX(係数_PM低減,MATCH(AY1240,【参考】排出係数!$AI$801:$AI$804,1),MATCH(BI1240,【参考】排出係数!$AL$798:$AO$798,1)),VLOOKUP(AU1240,INDEX((係数_バス貨物_ガソリン,係数_バス貨物_CNG,係数_バス貨物_軽油,係数_バス貨物_メタノール,係数_バス貨物_LPG),MATCH(AY1240,【参考】排出係数!$AI$4:$AI$671,1),1,BE1240):INDEX((係数_バス貨物_ガソリン,係数_バス貨物_CNG,係数_バス貨物_軽油,係数_バス貨物_メタノール,係数_バス貨物_LPG),MATCH(AY1240+1,【参考】排出係数!$AI$4:$AI$671,1)-1,5,BE1240),5,FALSE)),IF(AND(BE1240=3,LEFT(BF1240,1)="1"),0.055,VLOOKUP(AU1240,INDEX((係数_乗用_ガソリン,係数_乗用_CNG,係数_乗用_軽油,係数_乗用_メタノール,係数_乗用_LPG),1,1,BE1240):INDEX((係数_乗用_ガソリン,係数_乗用_CNG,係数_乗用_軽油,係数_乗用_メタノール,係数_乗用_LPG),125,5,BE1240),5,FALSE)))))</f>
        <v/>
      </c>
      <c r="AN1240" s="461" t="str">
        <f t="shared" si="692"/>
        <v/>
      </c>
      <c r="AO1240" s="462" t="str">
        <f t="shared" si="693"/>
        <v/>
      </c>
      <c r="AP1240" s="463" t="str">
        <f t="shared" si="694"/>
        <v/>
      </c>
      <c r="AQ1240" s="464"/>
      <c r="AR1240" s="619"/>
      <c r="AS1240" s="465" t="str">
        <f t="shared" si="702"/>
        <v/>
      </c>
      <c r="AT1240" s="465" t="str">
        <f t="shared" si="703"/>
        <v/>
      </c>
      <c r="AU1240" s="466" t="str">
        <f t="shared" si="704"/>
        <v/>
      </c>
      <c r="AV1240" s="467" t="str">
        <f t="shared" si="705"/>
        <v/>
      </c>
      <c r="AW1240" s="467" t="str">
        <f t="shared" si="706"/>
        <v/>
      </c>
      <c r="AX1240" s="467" t="str">
        <f t="shared" si="707"/>
        <v/>
      </c>
      <c r="AY1240" s="467" t="str">
        <f t="shared" si="708"/>
        <v/>
      </c>
      <c r="AZ1240" s="467" t="str">
        <f t="shared" si="709"/>
        <v/>
      </c>
      <c r="BA1240" s="468" t="str">
        <f>IF(AS1240="","",IF(OR(AU1240="",AU1240="-"),"－",IF(OR(AZ1240=8,AZ1240=9),"",IF(OR(AW1240=3,AW1240=4,AW1240=5,AW1240=6),VLOOKUP(AU1240,INDEX((係数_バス貨物_ガソリン,係数_バス貨物_CNG,係数_バス貨物_軽油,係数_バス貨物_メタノール,係数_バス貨物_LPG),MATCH(AY1240,【参考】排出係数!$AI$4:$AI$671,1),1,BE1240):INDEX((係数_バス貨物_ガソリン,係数_バス貨物_CNG,係数_バス貨物_軽油,係数_バス貨物_メタノール,係数_バス貨物_LPG),MATCH(AY1240+1,【参考】排出係数!$AI$4:$AI$671,1)-1,5,BE1240),2,FALSE),IF(OR(AW1240=1,AW1240=2),VLOOKUP(AU1240,INDEX((係数_乗用_ガソリン,係数_乗用_CNG,係数_乗用_軽油,係数_乗用_メタノール,係数_乗用_LPG),1,1,BE1240):INDEX((係数_乗用_ガソリン,係数_乗用_CNG,係数_乗用_軽油,係数_乗用_メタノール,係数_乗用_LPG),125,5,BE1240),2,FALSE))))))</f>
        <v/>
      </c>
      <c r="BB1240" s="468" t="str">
        <f>IF(T1240="","",IF(OR(AU1240="",AU1240="-"),"－",IF(OR(AZ1240=8,AZ1240=9),"",IF(OR(AW1240=3,AW1240=4,AW1240=5,AW1240=6),VLOOKUP(AU1240,INDEX((係数_バス貨物_ガソリン,係数_バス貨物_CNG,係数_バス貨物_軽油,係数_バス貨物_メタノール,係数_バス貨物_LPG),MATCH(AY1240,【参考】排出係数!$AI$4:$AI$671,1),1,BE1240):INDEX((係数_バス貨物_ガソリン,係数_バス貨物_CNG,係数_バス貨物_軽油,係数_バス貨物_メタノール,係数_バス貨物_LPG),MATCH(AY1240+1,【参考】排出係数!$AI$4:$AI$671,1)-1,5,BE1240),3,FALSE),IF(OR(AW1240=1,AW1240=2),VLOOKUP(AU1240,INDEX((係数_乗用_ガソリン,係数_乗用_CNG,係数_乗用_軽油,係数_乗用_メタノール,係数_乗用_LPG),1,1,BE1240):INDEX((係数_乗用_ガソリン,係数_乗用_CNG,係数_乗用_軽油,係数_乗用_メタノール,係数_乗用_LPG),125,5,BE1240),3,FALSE))))))</f>
        <v/>
      </c>
      <c r="BC1240" s="467" t="str">
        <f t="shared" si="710"/>
        <v/>
      </c>
      <c r="BD1240" s="567" t="str">
        <f t="shared" si="711"/>
        <v/>
      </c>
      <c r="BE1240" s="467" t="str">
        <f t="shared" si="712"/>
        <v/>
      </c>
      <c r="BF1240" s="469" t="str">
        <f t="shared" ca="1" si="713"/>
        <v/>
      </c>
      <c r="BG1240" s="469" t="str">
        <f t="shared" ca="1" si="714"/>
        <v/>
      </c>
      <c r="BH1240" s="467" t="str">
        <f t="shared" si="715"/>
        <v/>
      </c>
      <c r="BI1240" s="467" t="str">
        <f t="shared" ca="1" si="716"/>
        <v/>
      </c>
      <c r="BJ1240" s="469" t="str">
        <f t="shared" si="717"/>
        <v/>
      </c>
      <c r="BK1240" s="470" t="str">
        <f t="shared" si="701"/>
        <v/>
      </c>
      <c r="BL1240" s="775" t="str">
        <f t="shared" si="718"/>
        <v/>
      </c>
      <c r="BM1240" s="775" t="str">
        <f t="shared" si="719"/>
        <v/>
      </c>
    </row>
    <row r="1241" spans="1:65">
      <c r="A1241" s="473">
        <v>1185</v>
      </c>
      <c r="B1241" s="132"/>
      <c r="C1241" s="332"/>
      <c r="D1241" s="333"/>
      <c r="E1241" s="333"/>
      <c r="F1241" s="334"/>
      <c r="G1241" s="337"/>
      <c r="H1241" s="131"/>
      <c r="I1241" s="337"/>
      <c r="J1241" s="131"/>
      <c r="K1241" s="458" t="str">
        <f t="shared" si="682"/>
        <v/>
      </c>
      <c r="L1241" s="458">
        <f t="shared" si="683"/>
        <v>0</v>
      </c>
      <c r="M1241" s="458">
        <f t="shared" si="684"/>
        <v>0</v>
      </c>
      <c r="N1241" s="459" t="str">
        <f t="shared" si="695"/>
        <v/>
      </c>
      <c r="O1241" s="459" t="str">
        <f t="shared" si="696"/>
        <v/>
      </c>
      <c r="P1241" s="459" t="str">
        <f t="shared" si="697"/>
        <v/>
      </c>
      <c r="Q1241" s="459" t="str">
        <f t="shared" si="698"/>
        <v/>
      </c>
      <c r="R1241" s="459" t="str">
        <f t="shared" si="699"/>
        <v/>
      </c>
      <c r="S1241" s="459" t="str">
        <f t="shared" si="700"/>
        <v/>
      </c>
      <c r="T1241" s="566" t="str">
        <f t="shared" si="685"/>
        <v/>
      </c>
      <c r="U1241" s="702"/>
      <c r="V1241" s="132"/>
      <c r="W1241" s="133"/>
      <c r="X1241" s="134"/>
      <c r="Y1241" s="135"/>
      <c r="Z1241" s="137"/>
      <c r="AA1241" s="136"/>
      <c r="AB1241" s="566" t="str">
        <f t="shared" si="686"/>
        <v/>
      </c>
      <c r="AC1241" s="568" t="str">
        <f t="shared" si="687"/>
        <v/>
      </c>
      <c r="AD1241" s="137"/>
      <c r="AE1241" s="137"/>
      <c r="AF1241" s="138"/>
      <c r="AG1241" s="138"/>
      <c r="AH1241" s="592" t="str">
        <f t="shared" si="688"/>
        <v/>
      </c>
      <c r="AI1241" s="592" t="str">
        <f t="shared" si="689"/>
        <v/>
      </c>
      <c r="AJ1241" s="592" t="str">
        <f t="shared" si="690"/>
        <v/>
      </c>
      <c r="AK1241" s="460" t="str">
        <f>IF(AU1241="","",IF(OR(AZ1241=8,AZ1241=9),0,IF(OR(AW1241=3,AW1241=4,AW1241=5,AW1241=6),IF(LEFT(BF1241,1)="1",INDEX(係数_NOX・PM低減,MATCH(AY1241,【参考】排出係数!$AI$801:$AI$804,1),1),VLOOKUP(AU1241,INDEX((係数_バス貨物_ガソリン,係数_バス貨物_CNG,係数_バス貨物_軽油,係数_バス貨物_メタノール,係数_バス貨物_LPG),MATCH(AY1241,【参考】排出係数!$AI$4:$AI$671,1),1,BE1241):INDEX((係数_バス貨物_ガソリン,係数_バス貨物_CNG,係数_バス貨物_軽油,係数_バス貨物_メタノール,係数_バス貨物_LPG),MATCH(AY1241+1,【参考】排出係数!$AI$4:$AI$671,1)-1,5,BE1241),4,FALSE)),IF(AND(BE1241=3,LEFT(BF1241,1)="1"),0.48,VLOOKUP(AU1241,INDEX((係数_乗用_ガソリン,係数_乗用_CNG,係数_乗用_軽油,係数_乗用_メタノール,係数_乗用_LPG),1,1,BE1241):INDEX((係数_乗用_ガソリン,係数_乗用_CNG,係数_乗用_軽油,係数_乗用_メタノール,係数_乗用_LPG),125,5,BE1241),4,FALSE)))))</f>
        <v/>
      </c>
      <c r="AL1241" s="461" t="str">
        <f t="shared" si="691"/>
        <v/>
      </c>
      <c r="AM1241" s="460" t="str">
        <f>IF(AU1241="","",IF(OR(AZ1241=8,AZ1241=9),0,IF(OR(AW1241=3,AW1241=4,AW1241=5,AW1241=6),IF(LEFT(BH1241,1)="1",INDEX(係数_PM低減,MATCH(AY1241,【参考】排出係数!$AI$801:$AI$804,1),MATCH(BI1241,【参考】排出係数!$AL$798:$AO$798,1)),VLOOKUP(AU1241,INDEX((係数_バス貨物_ガソリン,係数_バス貨物_CNG,係数_バス貨物_軽油,係数_バス貨物_メタノール,係数_バス貨物_LPG),MATCH(AY1241,【参考】排出係数!$AI$4:$AI$671,1),1,BE1241):INDEX((係数_バス貨物_ガソリン,係数_バス貨物_CNG,係数_バス貨物_軽油,係数_バス貨物_メタノール,係数_バス貨物_LPG),MATCH(AY1241+1,【参考】排出係数!$AI$4:$AI$671,1)-1,5,BE1241),5,FALSE)),IF(AND(BE1241=3,LEFT(BF1241,1)="1"),0.055,VLOOKUP(AU1241,INDEX((係数_乗用_ガソリン,係数_乗用_CNG,係数_乗用_軽油,係数_乗用_メタノール,係数_乗用_LPG),1,1,BE1241):INDEX((係数_乗用_ガソリン,係数_乗用_CNG,係数_乗用_軽油,係数_乗用_メタノール,係数_乗用_LPG),125,5,BE1241),5,FALSE)))))</f>
        <v/>
      </c>
      <c r="AN1241" s="461" t="str">
        <f t="shared" si="692"/>
        <v/>
      </c>
      <c r="AO1241" s="462" t="str">
        <f t="shared" si="693"/>
        <v/>
      </c>
      <c r="AP1241" s="463" t="str">
        <f t="shared" si="694"/>
        <v/>
      </c>
      <c r="AQ1241" s="464"/>
      <c r="AR1241" s="619"/>
      <c r="AS1241" s="465" t="str">
        <f t="shared" si="702"/>
        <v/>
      </c>
      <c r="AT1241" s="465" t="str">
        <f t="shared" si="703"/>
        <v/>
      </c>
      <c r="AU1241" s="466" t="str">
        <f t="shared" si="704"/>
        <v/>
      </c>
      <c r="AV1241" s="467" t="str">
        <f t="shared" si="705"/>
        <v/>
      </c>
      <c r="AW1241" s="467" t="str">
        <f t="shared" si="706"/>
        <v/>
      </c>
      <c r="AX1241" s="467" t="str">
        <f t="shared" si="707"/>
        <v/>
      </c>
      <c r="AY1241" s="467" t="str">
        <f t="shared" si="708"/>
        <v/>
      </c>
      <c r="AZ1241" s="467" t="str">
        <f t="shared" si="709"/>
        <v/>
      </c>
      <c r="BA1241" s="468" t="str">
        <f>IF(AS1241="","",IF(OR(AU1241="",AU1241="-"),"－",IF(OR(AZ1241=8,AZ1241=9),"",IF(OR(AW1241=3,AW1241=4,AW1241=5,AW1241=6),VLOOKUP(AU1241,INDEX((係数_バス貨物_ガソリン,係数_バス貨物_CNG,係数_バス貨物_軽油,係数_バス貨物_メタノール,係数_バス貨物_LPG),MATCH(AY1241,【参考】排出係数!$AI$4:$AI$671,1),1,BE1241):INDEX((係数_バス貨物_ガソリン,係数_バス貨物_CNG,係数_バス貨物_軽油,係数_バス貨物_メタノール,係数_バス貨物_LPG),MATCH(AY1241+1,【参考】排出係数!$AI$4:$AI$671,1)-1,5,BE1241),2,FALSE),IF(OR(AW1241=1,AW1241=2),VLOOKUP(AU1241,INDEX((係数_乗用_ガソリン,係数_乗用_CNG,係数_乗用_軽油,係数_乗用_メタノール,係数_乗用_LPG),1,1,BE1241):INDEX((係数_乗用_ガソリン,係数_乗用_CNG,係数_乗用_軽油,係数_乗用_メタノール,係数_乗用_LPG),125,5,BE1241),2,FALSE))))))</f>
        <v/>
      </c>
      <c r="BB1241" s="468" t="str">
        <f>IF(T1241="","",IF(OR(AU1241="",AU1241="-"),"－",IF(OR(AZ1241=8,AZ1241=9),"",IF(OR(AW1241=3,AW1241=4,AW1241=5,AW1241=6),VLOOKUP(AU1241,INDEX((係数_バス貨物_ガソリン,係数_バス貨物_CNG,係数_バス貨物_軽油,係数_バス貨物_メタノール,係数_バス貨物_LPG),MATCH(AY1241,【参考】排出係数!$AI$4:$AI$671,1),1,BE1241):INDEX((係数_バス貨物_ガソリン,係数_バス貨物_CNG,係数_バス貨物_軽油,係数_バス貨物_メタノール,係数_バス貨物_LPG),MATCH(AY1241+1,【参考】排出係数!$AI$4:$AI$671,1)-1,5,BE1241),3,FALSE),IF(OR(AW1241=1,AW1241=2),VLOOKUP(AU1241,INDEX((係数_乗用_ガソリン,係数_乗用_CNG,係数_乗用_軽油,係数_乗用_メタノール,係数_乗用_LPG),1,1,BE1241):INDEX((係数_乗用_ガソリン,係数_乗用_CNG,係数_乗用_軽油,係数_乗用_メタノール,係数_乗用_LPG),125,5,BE1241),3,FALSE))))))</f>
        <v/>
      </c>
      <c r="BC1241" s="467" t="str">
        <f t="shared" si="710"/>
        <v/>
      </c>
      <c r="BD1241" s="567" t="str">
        <f t="shared" si="711"/>
        <v/>
      </c>
      <c r="BE1241" s="467" t="str">
        <f t="shared" si="712"/>
        <v/>
      </c>
      <c r="BF1241" s="469" t="str">
        <f t="shared" ca="1" si="713"/>
        <v/>
      </c>
      <c r="BG1241" s="469" t="str">
        <f t="shared" ca="1" si="714"/>
        <v/>
      </c>
      <c r="BH1241" s="467" t="str">
        <f t="shared" si="715"/>
        <v/>
      </c>
      <c r="BI1241" s="467" t="str">
        <f t="shared" ca="1" si="716"/>
        <v/>
      </c>
      <c r="BJ1241" s="469" t="str">
        <f t="shared" si="717"/>
        <v/>
      </c>
      <c r="BK1241" s="470" t="str">
        <f t="shared" si="701"/>
        <v/>
      </c>
      <c r="BL1241" s="775" t="str">
        <f t="shared" si="718"/>
        <v/>
      </c>
      <c r="BM1241" s="775" t="str">
        <f t="shared" si="719"/>
        <v/>
      </c>
    </row>
    <row r="1242" spans="1:65">
      <c r="A1242" s="473">
        <v>1186</v>
      </c>
      <c r="B1242" s="132"/>
      <c r="C1242" s="332"/>
      <c r="D1242" s="333"/>
      <c r="E1242" s="333"/>
      <c r="F1242" s="334"/>
      <c r="G1242" s="337"/>
      <c r="H1242" s="131"/>
      <c r="I1242" s="337"/>
      <c r="J1242" s="131"/>
      <c r="K1242" s="458" t="str">
        <f t="shared" si="682"/>
        <v/>
      </c>
      <c r="L1242" s="458">
        <f t="shared" si="683"/>
        <v>0</v>
      </c>
      <c r="M1242" s="458">
        <f t="shared" si="684"/>
        <v>0</v>
      </c>
      <c r="N1242" s="459" t="str">
        <f t="shared" si="695"/>
        <v/>
      </c>
      <c r="O1242" s="459" t="str">
        <f t="shared" si="696"/>
        <v/>
      </c>
      <c r="P1242" s="459" t="str">
        <f t="shared" si="697"/>
        <v/>
      </c>
      <c r="Q1242" s="459" t="str">
        <f t="shared" si="698"/>
        <v/>
      </c>
      <c r="R1242" s="459" t="str">
        <f t="shared" si="699"/>
        <v/>
      </c>
      <c r="S1242" s="459" t="str">
        <f t="shared" si="700"/>
        <v/>
      </c>
      <c r="T1242" s="566" t="str">
        <f t="shared" si="685"/>
        <v/>
      </c>
      <c r="U1242" s="702"/>
      <c r="V1242" s="132"/>
      <c r="W1242" s="133"/>
      <c r="X1242" s="134"/>
      <c r="Y1242" s="135"/>
      <c r="Z1242" s="137"/>
      <c r="AA1242" s="136"/>
      <c r="AB1242" s="566" t="str">
        <f t="shared" si="686"/>
        <v/>
      </c>
      <c r="AC1242" s="568" t="str">
        <f t="shared" si="687"/>
        <v/>
      </c>
      <c r="AD1242" s="137"/>
      <c r="AE1242" s="137"/>
      <c r="AF1242" s="138"/>
      <c r="AG1242" s="138"/>
      <c r="AH1242" s="592" t="str">
        <f t="shared" si="688"/>
        <v/>
      </c>
      <c r="AI1242" s="592" t="str">
        <f t="shared" si="689"/>
        <v/>
      </c>
      <c r="AJ1242" s="592" t="str">
        <f t="shared" si="690"/>
        <v/>
      </c>
      <c r="AK1242" s="460" t="str">
        <f>IF(AU1242="","",IF(OR(AZ1242=8,AZ1242=9),0,IF(OR(AW1242=3,AW1242=4,AW1242=5,AW1242=6),IF(LEFT(BF1242,1)="1",INDEX(係数_NOX・PM低減,MATCH(AY1242,【参考】排出係数!$AI$801:$AI$804,1),1),VLOOKUP(AU1242,INDEX((係数_バス貨物_ガソリン,係数_バス貨物_CNG,係数_バス貨物_軽油,係数_バス貨物_メタノール,係数_バス貨物_LPG),MATCH(AY1242,【参考】排出係数!$AI$4:$AI$671,1),1,BE1242):INDEX((係数_バス貨物_ガソリン,係数_バス貨物_CNG,係数_バス貨物_軽油,係数_バス貨物_メタノール,係数_バス貨物_LPG),MATCH(AY1242+1,【参考】排出係数!$AI$4:$AI$671,1)-1,5,BE1242),4,FALSE)),IF(AND(BE1242=3,LEFT(BF1242,1)="1"),0.48,VLOOKUP(AU1242,INDEX((係数_乗用_ガソリン,係数_乗用_CNG,係数_乗用_軽油,係数_乗用_メタノール,係数_乗用_LPG),1,1,BE1242):INDEX((係数_乗用_ガソリン,係数_乗用_CNG,係数_乗用_軽油,係数_乗用_メタノール,係数_乗用_LPG),125,5,BE1242),4,FALSE)))))</f>
        <v/>
      </c>
      <c r="AL1242" s="461" t="str">
        <f t="shared" si="691"/>
        <v/>
      </c>
      <c r="AM1242" s="460" t="str">
        <f>IF(AU1242="","",IF(OR(AZ1242=8,AZ1242=9),0,IF(OR(AW1242=3,AW1242=4,AW1242=5,AW1242=6),IF(LEFT(BH1242,1)="1",INDEX(係数_PM低減,MATCH(AY1242,【参考】排出係数!$AI$801:$AI$804,1),MATCH(BI1242,【参考】排出係数!$AL$798:$AO$798,1)),VLOOKUP(AU1242,INDEX((係数_バス貨物_ガソリン,係数_バス貨物_CNG,係数_バス貨物_軽油,係数_バス貨物_メタノール,係数_バス貨物_LPG),MATCH(AY1242,【参考】排出係数!$AI$4:$AI$671,1),1,BE1242):INDEX((係数_バス貨物_ガソリン,係数_バス貨物_CNG,係数_バス貨物_軽油,係数_バス貨物_メタノール,係数_バス貨物_LPG),MATCH(AY1242+1,【参考】排出係数!$AI$4:$AI$671,1)-1,5,BE1242),5,FALSE)),IF(AND(BE1242=3,LEFT(BF1242,1)="1"),0.055,VLOOKUP(AU1242,INDEX((係数_乗用_ガソリン,係数_乗用_CNG,係数_乗用_軽油,係数_乗用_メタノール,係数_乗用_LPG),1,1,BE1242):INDEX((係数_乗用_ガソリン,係数_乗用_CNG,係数_乗用_軽油,係数_乗用_メタノール,係数_乗用_LPG),125,5,BE1242),5,FALSE)))))</f>
        <v/>
      </c>
      <c r="AN1242" s="461" t="str">
        <f t="shared" si="692"/>
        <v/>
      </c>
      <c r="AO1242" s="462" t="str">
        <f t="shared" si="693"/>
        <v/>
      </c>
      <c r="AP1242" s="463" t="str">
        <f t="shared" si="694"/>
        <v/>
      </c>
      <c r="AQ1242" s="464"/>
      <c r="AR1242" s="619"/>
      <c r="AS1242" s="465" t="str">
        <f t="shared" si="702"/>
        <v/>
      </c>
      <c r="AT1242" s="465" t="str">
        <f t="shared" si="703"/>
        <v/>
      </c>
      <c r="AU1242" s="466" t="str">
        <f t="shared" si="704"/>
        <v/>
      </c>
      <c r="AV1242" s="467" t="str">
        <f t="shared" si="705"/>
        <v/>
      </c>
      <c r="AW1242" s="467" t="str">
        <f t="shared" si="706"/>
        <v/>
      </c>
      <c r="AX1242" s="467" t="str">
        <f t="shared" si="707"/>
        <v/>
      </c>
      <c r="AY1242" s="467" t="str">
        <f t="shared" si="708"/>
        <v/>
      </c>
      <c r="AZ1242" s="467" t="str">
        <f t="shared" si="709"/>
        <v/>
      </c>
      <c r="BA1242" s="468" t="str">
        <f>IF(AS1242="","",IF(OR(AU1242="",AU1242="-"),"－",IF(OR(AZ1242=8,AZ1242=9),"",IF(OR(AW1242=3,AW1242=4,AW1242=5,AW1242=6),VLOOKUP(AU1242,INDEX((係数_バス貨物_ガソリン,係数_バス貨物_CNG,係数_バス貨物_軽油,係数_バス貨物_メタノール,係数_バス貨物_LPG),MATCH(AY1242,【参考】排出係数!$AI$4:$AI$671,1),1,BE1242):INDEX((係数_バス貨物_ガソリン,係数_バス貨物_CNG,係数_バス貨物_軽油,係数_バス貨物_メタノール,係数_バス貨物_LPG),MATCH(AY1242+1,【参考】排出係数!$AI$4:$AI$671,1)-1,5,BE1242),2,FALSE),IF(OR(AW1242=1,AW1242=2),VLOOKUP(AU1242,INDEX((係数_乗用_ガソリン,係数_乗用_CNG,係数_乗用_軽油,係数_乗用_メタノール,係数_乗用_LPG),1,1,BE1242):INDEX((係数_乗用_ガソリン,係数_乗用_CNG,係数_乗用_軽油,係数_乗用_メタノール,係数_乗用_LPG),125,5,BE1242),2,FALSE))))))</f>
        <v/>
      </c>
      <c r="BB1242" s="468" t="str">
        <f>IF(T1242="","",IF(OR(AU1242="",AU1242="-"),"－",IF(OR(AZ1242=8,AZ1242=9),"",IF(OR(AW1242=3,AW1242=4,AW1242=5,AW1242=6),VLOOKUP(AU1242,INDEX((係数_バス貨物_ガソリン,係数_バス貨物_CNG,係数_バス貨物_軽油,係数_バス貨物_メタノール,係数_バス貨物_LPG),MATCH(AY1242,【参考】排出係数!$AI$4:$AI$671,1),1,BE1242):INDEX((係数_バス貨物_ガソリン,係数_バス貨物_CNG,係数_バス貨物_軽油,係数_バス貨物_メタノール,係数_バス貨物_LPG),MATCH(AY1242+1,【参考】排出係数!$AI$4:$AI$671,1)-1,5,BE1242),3,FALSE),IF(OR(AW1242=1,AW1242=2),VLOOKUP(AU1242,INDEX((係数_乗用_ガソリン,係数_乗用_CNG,係数_乗用_軽油,係数_乗用_メタノール,係数_乗用_LPG),1,1,BE1242):INDEX((係数_乗用_ガソリン,係数_乗用_CNG,係数_乗用_軽油,係数_乗用_メタノール,係数_乗用_LPG),125,5,BE1242),3,FALSE))))))</f>
        <v/>
      </c>
      <c r="BC1242" s="467" t="str">
        <f t="shared" si="710"/>
        <v/>
      </c>
      <c r="BD1242" s="567" t="str">
        <f t="shared" si="711"/>
        <v/>
      </c>
      <c r="BE1242" s="467" t="str">
        <f t="shared" si="712"/>
        <v/>
      </c>
      <c r="BF1242" s="469" t="str">
        <f t="shared" ca="1" si="713"/>
        <v/>
      </c>
      <c r="BG1242" s="469" t="str">
        <f t="shared" ca="1" si="714"/>
        <v/>
      </c>
      <c r="BH1242" s="467" t="str">
        <f t="shared" si="715"/>
        <v/>
      </c>
      <c r="BI1242" s="467" t="str">
        <f t="shared" ca="1" si="716"/>
        <v/>
      </c>
      <c r="BJ1242" s="469" t="str">
        <f t="shared" si="717"/>
        <v/>
      </c>
      <c r="BK1242" s="470" t="str">
        <f t="shared" si="701"/>
        <v/>
      </c>
      <c r="BL1242" s="775" t="str">
        <f t="shared" si="718"/>
        <v/>
      </c>
      <c r="BM1242" s="775" t="str">
        <f t="shared" si="719"/>
        <v/>
      </c>
    </row>
    <row r="1243" spans="1:65">
      <c r="A1243" s="473">
        <v>1187</v>
      </c>
      <c r="B1243" s="132"/>
      <c r="C1243" s="332"/>
      <c r="D1243" s="333"/>
      <c r="E1243" s="333"/>
      <c r="F1243" s="334"/>
      <c r="G1243" s="337"/>
      <c r="H1243" s="131"/>
      <c r="I1243" s="337"/>
      <c r="J1243" s="131"/>
      <c r="K1243" s="458" t="str">
        <f t="shared" si="682"/>
        <v/>
      </c>
      <c r="L1243" s="458">
        <f t="shared" si="683"/>
        <v>0</v>
      </c>
      <c r="M1243" s="458">
        <f t="shared" si="684"/>
        <v>0</v>
      </c>
      <c r="N1243" s="459" t="str">
        <f t="shared" si="695"/>
        <v/>
      </c>
      <c r="O1243" s="459" t="str">
        <f t="shared" si="696"/>
        <v/>
      </c>
      <c r="P1243" s="459" t="str">
        <f t="shared" si="697"/>
        <v/>
      </c>
      <c r="Q1243" s="459" t="str">
        <f t="shared" si="698"/>
        <v/>
      </c>
      <c r="R1243" s="459" t="str">
        <f t="shared" si="699"/>
        <v/>
      </c>
      <c r="S1243" s="459" t="str">
        <f t="shared" si="700"/>
        <v/>
      </c>
      <c r="T1243" s="566" t="str">
        <f t="shared" si="685"/>
        <v/>
      </c>
      <c r="U1243" s="702"/>
      <c r="V1243" s="132"/>
      <c r="W1243" s="133"/>
      <c r="X1243" s="134"/>
      <c r="Y1243" s="135"/>
      <c r="Z1243" s="137"/>
      <c r="AA1243" s="136"/>
      <c r="AB1243" s="566" t="str">
        <f t="shared" si="686"/>
        <v/>
      </c>
      <c r="AC1243" s="568" t="str">
        <f t="shared" si="687"/>
        <v/>
      </c>
      <c r="AD1243" s="137"/>
      <c r="AE1243" s="137"/>
      <c r="AF1243" s="138"/>
      <c r="AG1243" s="138"/>
      <c r="AH1243" s="592" t="str">
        <f t="shared" si="688"/>
        <v/>
      </c>
      <c r="AI1243" s="592" t="str">
        <f t="shared" si="689"/>
        <v/>
      </c>
      <c r="AJ1243" s="592" t="str">
        <f t="shared" si="690"/>
        <v/>
      </c>
      <c r="AK1243" s="460" t="str">
        <f>IF(AU1243="","",IF(OR(AZ1243=8,AZ1243=9),0,IF(OR(AW1243=3,AW1243=4,AW1243=5,AW1243=6),IF(LEFT(BF1243,1)="1",INDEX(係数_NOX・PM低減,MATCH(AY1243,【参考】排出係数!$AI$801:$AI$804,1),1),VLOOKUP(AU1243,INDEX((係数_バス貨物_ガソリン,係数_バス貨物_CNG,係数_バス貨物_軽油,係数_バス貨物_メタノール,係数_バス貨物_LPG),MATCH(AY1243,【参考】排出係数!$AI$4:$AI$671,1),1,BE1243):INDEX((係数_バス貨物_ガソリン,係数_バス貨物_CNG,係数_バス貨物_軽油,係数_バス貨物_メタノール,係数_バス貨物_LPG),MATCH(AY1243+1,【参考】排出係数!$AI$4:$AI$671,1)-1,5,BE1243),4,FALSE)),IF(AND(BE1243=3,LEFT(BF1243,1)="1"),0.48,VLOOKUP(AU1243,INDEX((係数_乗用_ガソリン,係数_乗用_CNG,係数_乗用_軽油,係数_乗用_メタノール,係数_乗用_LPG),1,1,BE1243):INDEX((係数_乗用_ガソリン,係数_乗用_CNG,係数_乗用_軽油,係数_乗用_メタノール,係数_乗用_LPG),125,5,BE1243),4,FALSE)))))</f>
        <v/>
      </c>
      <c r="AL1243" s="461" t="str">
        <f t="shared" si="691"/>
        <v/>
      </c>
      <c r="AM1243" s="460" t="str">
        <f>IF(AU1243="","",IF(OR(AZ1243=8,AZ1243=9),0,IF(OR(AW1243=3,AW1243=4,AW1243=5,AW1243=6),IF(LEFT(BH1243,1)="1",INDEX(係数_PM低減,MATCH(AY1243,【参考】排出係数!$AI$801:$AI$804,1),MATCH(BI1243,【参考】排出係数!$AL$798:$AO$798,1)),VLOOKUP(AU1243,INDEX((係数_バス貨物_ガソリン,係数_バス貨物_CNG,係数_バス貨物_軽油,係数_バス貨物_メタノール,係数_バス貨物_LPG),MATCH(AY1243,【参考】排出係数!$AI$4:$AI$671,1),1,BE1243):INDEX((係数_バス貨物_ガソリン,係数_バス貨物_CNG,係数_バス貨物_軽油,係数_バス貨物_メタノール,係数_バス貨物_LPG),MATCH(AY1243+1,【参考】排出係数!$AI$4:$AI$671,1)-1,5,BE1243),5,FALSE)),IF(AND(BE1243=3,LEFT(BF1243,1)="1"),0.055,VLOOKUP(AU1243,INDEX((係数_乗用_ガソリン,係数_乗用_CNG,係数_乗用_軽油,係数_乗用_メタノール,係数_乗用_LPG),1,1,BE1243):INDEX((係数_乗用_ガソリン,係数_乗用_CNG,係数_乗用_軽油,係数_乗用_メタノール,係数_乗用_LPG),125,5,BE1243),5,FALSE)))))</f>
        <v/>
      </c>
      <c r="AN1243" s="461" t="str">
        <f t="shared" si="692"/>
        <v/>
      </c>
      <c r="AO1243" s="462" t="str">
        <f t="shared" si="693"/>
        <v/>
      </c>
      <c r="AP1243" s="463" t="str">
        <f t="shared" si="694"/>
        <v/>
      </c>
      <c r="AQ1243" s="464"/>
      <c r="AR1243" s="619"/>
      <c r="AS1243" s="465" t="str">
        <f t="shared" si="702"/>
        <v/>
      </c>
      <c r="AT1243" s="465" t="str">
        <f t="shared" si="703"/>
        <v/>
      </c>
      <c r="AU1243" s="466" t="str">
        <f t="shared" si="704"/>
        <v/>
      </c>
      <c r="AV1243" s="467" t="str">
        <f t="shared" si="705"/>
        <v/>
      </c>
      <c r="AW1243" s="467" t="str">
        <f t="shared" si="706"/>
        <v/>
      </c>
      <c r="AX1243" s="467" t="str">
        <f t="shared" si="707"/>
        <v/>
      </c>
      <c r="AY1243" s="467" t="str">
        <f t="shared" si="708"/>
        <v/>
      </c>
      <c r="AZ1243" s="467" t="str">
        <f t="shared" si="709"/>
        <v/>
      </c>
      <c r="BA1243" s="468" t="str">
        <f>IF(AS1243="","",IF(OR(AU1243="",AU1243="-"),"－",IF(OR(AZ1243=8,AZ1243=9),"",IF(OR(AW1243=3,AW1243=4,AW1243=5,AW1243=6),VLOOKUP(AU1243,INDEX((係数_バス貨物_ガソリン,係数_バス貨物_CNG,係数_バス貨物_軽油,係数_バス貨物_メタノール,係数_バス貨物_LPG),MATCH(AY1243,【参考】排出係数!$AI$4:$AI$671,1),1,BE1243):INDEX((係数_バス貨物_ガソリン,係数_バス貨物_CNG,係数_バス貨物_軽油,係数_バス貨物_メタノール,係数_バス貨物_LPG),MATCH(AY1243+1,【参考】排出係数!$AI$4:$AI$671,1)-1,5,BE1243),2,FALSE),IF(OR(AW1243=1,AW1243=2),VLOOKUP(AU1243,INDEX((係数_乗用_ガソリン,係数_乗用_CNG,係数_乗用_軽油,係数_乗用_メタノール,係数_乗用_LPG),1,1,BE1243):INDEX((係数_乗用_ガソリン,係数_乗用_CNG,係数_乗用_軽油,係数_乗用_メタノール,係数_乗用_LPG),125,5,BE1243),2,FALSE))))))</f>
        <v/>
      </c>
      <c r="BB1243" s="468" t="str">
        <f>IF(T1243="","",IF(OR(AU1243="",AU1243="-"),"－",IF(OR(AZ1243=8,AZ1243=9),"",IF(OR(AW1243=3,AW1243=4,AW1243=5,AW1243=6),VLOOKUP(AU1243,INDEX((係数_バス貨物_ガソリン,係数_バス貨物_CNG,係数_バス貨物_軽油,係数_バス貨物_メタノール,係数_バス貨物_LPG),MATCH(AY1243,【参考】排出係数!$AI$4:$AI$671,1),1,BE1243):INDEX((係数_バス貨物_ガソリン,係数_バス貨物_CNG,係数_バス貨物_軽油,係数_バス貨物_メタノール,係数_バス貨物_LPG),MATCH(AY1243+1,【参考】排出係数!$AI$4:$AI$671,1)-1,5,BE1243),3,FALSE),IF(OR(AW1243=1,AW1243=2),VLOOKUP(AU1243,INDEX((係数_乗用_ガソリン,係数_乗用_CNG,係数_乗用_軽油,係数_乗用_メタノール,係数_乗用_LPG),1,1,BE1243):INDEX((係数_乗用_ガソリン,係数_乗用_CNG,係数_乗用_軽油,係数_乗用_メタノール,係数_乗用_LPG),125,5,BE1243),3,FALSE))))))</f>
        <v/>
      </c>
      <c r="BC1243" s="467" t="str">
        <f t="shared" si="710"/>
        <v/>
      </c>
      <c r="BD1243" s="567" t="str">
        <f t="shared" si="711"/>
        <v/>
      </c>
      <c r="BE1243" s="467" t="str">
        <f t="shared" si="712"/>
        <v/>
      </c>
      <c r="BF1243" s="469" t="str">
        <f t="shared" ca="1" si="713"/>
        <v/>
      </c>
      <c r="BG1243" s="469" t="str">
        <f t="shared" ca="1" si="714"/>
        <v/>
      </c>
      <c r="BH1243" s="467" t="str">
        <f t="shared" si="715"/>
        <v/>
      </c>
      <c r="BI1243" s="467" t="str">
        <f t="shared" ca="1" si="716"/>
        <v/>
      </c>
      <c r="BJ1243" s="469" t="str">
        <f t="shared" si="717"/>
        <v/>
      </c>
      <c r="BK1243" s="470" t="str">
        <f t="shared" si="701"/>
        <v/>
      </c>
      <c r="BL1243" s="775" t="str">
        <f t="shared" si="718"/>
        <v/>
      </c>
      <c r="BM1243" s="775" t="str">
        <f t="shared" si="719"/>
        <v/>
      </c>
    </row>
    <row r="1244" spans="1:65">
      <c r="A1244" s="473">
        <v>1188</v>
      </c>
      <c r="B1244" s="132"/>
      <c r="C1244" s="332"/>
      <c r="D1244" s="333"/>
      <c r="E1244" s="333"/>
      <c r="F1244" s="334"/>
      <c r="G1244" s="337"/>
      <c r="H1244" s="131"/>
      <c r="I1244" s="337"/>
      <c r="J1244" s="131"/>
      <c r="K1244" s="458" t="str">
        <f t="shared" si="682"/>
        <v/>
      </c>
      <c r="L1244" s="458">
        <f t="shared" si="683"/>
        <v>0</v>
      </c>
      <c r="M1244" s="458">
        <f t="shared" si="684"/>
        <v>0</v>
      </c>
      <c r="N1244" s="459" t="str">
        <f t="shared" si="695"/>
        <v/>
      </c>
      <c r="O1244" s="459" t="str">
        <f t="shared" si="696"/>
        <v/>
      </c>
      <c r="P1244" s="459" t="str">
        <f t="shared" si="697"/>
        <v/>
      </c>
      <c r="Q1244" s="459" t="str">
        <f t="shared" si="698"/>
        <v/>
      </c>
      <c r="R1244" s="459" t="str">
        <f t="shared" si="699"/>
        <v/>
      </c>
      <c r="S1244" s="459" t="str">
        <f t="shared" si="700"/>
        <v/>
      </c>
      <c r="T1244" s="566" t="str">
        <f t="shared" si="685"/>
        <v/>
      </c>
      <c r="U1244" s="702"/>
      <c r="V1244" s="132"/>
      <c r="W1244" s="133"/>
      <c r="X1244" s="134"/>
      <c r="Y1244" s="135"/>
      <c r="Z1244" s="137"/>
      <c r="AA1244" s="136"/>
      <c r="AB1244" s="566" t="str">
        <f t="shared" si="686"/>
        <v/>
      </c>
      <c r="AC1244" s="568" t="str">
        <f t="shared" si="687"/>
        <v/>
      </c>
      <c r="AD1244" s="137"/>
      <c r="AE1244" s="137"/>
      <c r="AF1244" s="138"/>
      <c r="AG1244" s="138"/>
      <c r="AH1244" s="592" t="str">
        <f t="shared" si="688"/>
        <v/>
      </c>
      <c r="AI1244" s="592" t="str">
        <f t="shared" si="689"/>
        <v/>
      </c>
      <c r="AJ1244" s="592" t="str">
        <f t="shared" si="690"/>
        <v/>
      </c>
      <c r="AK1244" s="460" t="str">
        <f>IF(AU1244="","",IF(OR(AZ1244=8,AZ1244=9),0,IF(OR(AW1244=3,AW1244=4,AW1244=5,AW1244=6),IF(LEFT(BF1244,1)="1",INDEX(係数_NOX・PM低減,MATCH(AY1244,【参考】排出係数!$AI$801:$AI$804,1),1),VLOOKUP(AU1244,INDEX((係数_バス貨物_ガソリン,係数_バス貨物_CNG,係数_バス貨物_軽油,係数_バス貨物_メタノール,係数_バス貨物_LPG),MATCH(AY1244,【参考】排出係数!$AI$4:$AI$671,1),1,BE1244):INDEX((係数_バス貨物_ガソリン,係数_バス貨物_CNG,係数_バス貨物_軽油,係数_バス貨物_メタノール,係数_バス貨物_LPG),MATCH(AY1244+1,【参考】排出係数!$AI$4:$AI$671,1)-1,5,BE1244),4,FALSE)),IF(AND(BE1244=3,LEFT(BF1244,1)="1"),0.48,VLOOKUP(AU1244,INDEX((係数_乗用_ガソリン,係数_乗用_CNG,係数_乗用_軽油,係数_乗用_メタノール,係数_乗用_LPG),1,1,BE1244):INDEX((係数_乗用_ガソリン,係数_乗用_CNG,係数_乗用_軽油,係数_乗用_メタノール,係数_乗用_LPG),125,5,BE1244),4,FALSE)))))</f>
        <v/>
      </c>
      <c r="AL1244" s="461" t="str">
        <f t="shared" si="691"/>
        <v/>
      </c>
      <c r="AM1244" s="460" t="str">
        <f>IF(AU1244="","",IF(OR(AZ1244=8,AZ1244=9),0,IF(OR(AW1244=3,AW1244=4,AW1244=5,AW1244=6),IF(LEFT(BH1244,1)="1",INDEX(係数_PM低減,MATCH(AY1244,【参考】排出係数!$AI$801:$AI$804,1),MATCH(BI1244,【参考】排出係数!$AL$798:$AO$798,1)),VLOOKUP(AU1244,INDEX((係数_バス貨物_ガソリン,係数_バス貨物_CNG,係数_バス貨物_軽油,係数_バス貨物_メタノール,係数_バス貨物_LPG),MATCH(AY1244,【参考】排出係数!$AI$4:$AI$671,1),1,BE1244):INDEX((係数_バス貨物_ガソリン,係数_バス貨物_CNG,係数_バス貨物_軽油,係数_バス貨物_メタノール,係数_バス貨物_LPG),MATCH(AY1244+1,【参考】排出係数!$AI$4:$AI$671,1)-1,5,BE1244),5,FALSE)),IF(AND(BE1244=3,LEFT(BF1244,1)="1"),0.055,VLOOKUP(AU1244,INDEX((係数_乗用_ガソリン,係数_乗用_CNG,係数_乗用_軽油,係数_乗用_メタノール,係数_乗用_LPG),1,1,BE1244):INDEX((係数_乗用_ガソリン,係数_乗用_CNG,係数_乗用_軽油,係数_乗用_メタノール,係数_乗用_LPG),125,5,BE1244),5,FALSE)))))</f>
        <v/>
      </c>
      <c r="AN1244" s="461" t="str">
        <f t="shared" si="692"/>
        <v/>
      </c>
      <c r="AO1244" s="462" t="str">
        <f t="shared" si="693"/>
        <v/>
      </c>
      <c r="AP1244" s="463" t="str">
        <f t="shared" si="694"/>
        <v/>
      </c>
      <c r="AQ1244" s="464"/>
      <c r="AR1244" s="619"/>
      <c r="AS1244" s="465" t="str">
        <f t="shared" si="702"/>
        <v/>
      </c>
      <c r="AT1244" s="465" t="str">
        <f t="shared" si="703"/>
        <v/>
      </c>
      <c r="AU1244" s="466" t="str">
        <f t="shared" si="704"/>
        <v/>
      </c>
      <c r="AV1244" s="467" t="str">
        <f t="shared" si="705"/>
        <v/>
      </c>
      <c r="AW1244" s="467" t="str">
        <f t="shared" si="706"/>
        <v/>
      </c>
      <c r="AX1244" s="467" t="str">
        <f t="shared" si="707"/>
        <v/>
      </c>
      <c r="AY1244" s="467" t="str">
        <f t="shared" si="708"/>
        <v/>
      </c>
      <c r="AZ1244" s="467" t="str">
        <f t="shared" si="709"/>
        <v/>
      </c>
      <c r="BA1244" s="468" t="str">
        <f>IF(AS1244="","",IF(OR(AU1244="",AU1244="-"),"－",IF(OR(AZ1244=8,AZ1244=9),"",IF(OR(AW1244=3,AW1244=4,AW1244=5,AW1244=6),VLOOKUP(AU1244,INDEX((係数_バス貨物_ガソリン,係数_バス貨物_CNG,係数_バス貨物_軽油,係数_バス貨物_メタノール,係数_バス貨物_LPG),MATCH(AY1244,【参考】排出係数!$AI$4:$AI$671,1),1,BE1244):INDEX((係数_バス貨物_ガソリン,係数_バス貨物_CNG,係数_バス貨物_軽油,係数_バス貨物_メタノール,係数_バス貨物_LPG),MATCH(AY1244+1,【参考】排出係数!$AI$4:$AI$671,1)-1,5,BE1244),2,FALSE),IF(OR(AW1244=1,AW1244=2),VLOOKUP(AU1244,INDEX((係数_乗用_ガソリン,係数_乗用_CNG,係数_乗用_軽油,係数_乗用_メタノール,係数_乗用_LPG),1,1,BE1244):INDEX((係数_乗用_ガソリン,係数_乗用_CNG,係数_乗用_軽油,係数_乗用_メタノール,係数_乗用_LPG),125,5,BE1244),2,FALSE))))))</f>
        <v/>
      </c>
      <c r="BB1244" s="468" t="str">
        <f>IF(T1244="","",IF(OR(AU1244="",AU1244="-"),"－",IF(OR(AZ1244=8,AZ1244=9),"",IF(OR(AW1244=3,AW1244=4,AW1244=5,AW1244=6),VLOOKUP(AU1244,INDEX((係数_バス貨物_ガソリン,係数_バス貨物_CNG,係数_バス貨物_軽油,係数_バス貨物_メタノール,係数_バス貨物_LPG),MATCH(AY1244,【参考】排出係数!$AI$4:$AI$671,1),1,BE1244):INDEX((係数_バス貨物_ガソリン,係数_バス貨物_CNG,係数_バス貨物_軽油,係数_バス貨物_メタノール,係数_バス貨物_LPG),MATCH(AY1244+1,【参考】排出係数!$AI$4:$AI$671,1)-1,5,BE1244),3,FALSE),IF(OR(AW1244=1,AW1244=2),VLOOKUP(AU1244,INDEX((係数_乗用_ガソリン,係数_乗用_CNG,係数_乗用_軽油,係数_乗用_メタノール,係数_乗用_LPG),1,1,BE1244):INDEX((係数_乗用_ガソリン,係数_乗用_CNG,係数_乗用_軽油,係数_乗用_メタノール,係数_乗用_LPG),125,5,BE1244),3,FALSE))))))</f>
        <v/>
      </c>
      <c r="BC1244" s="467" t="str">
        <f t="shared" si="710"/>
        <v/>
      </c>
      <c r="BD1244" s="567" t="str">
        <f t="shared" si="711"/>
        <v/>
      </c>
      <c r="BE1244" s="467" t="str">
        <f t="shared" si="712"/>
        <v/>
      </c>
      <c r="BF1244" s="469" t="str">
        <f t="shared" ca="1" si="713"/>
        <v/>
      </c>
      <c r="BG1244" s="469" t="str">
        <f t="shared" ca="1" si="714"/>
        <v/>
      </c>
      <c r="BH1244" s="467" t="str">
        <f t="shared" si="715"/>
        <v/>
      </c>
      <c r="BI1244" s="467" t="str">
        <f t="shared" ca="1" si="716"/>
        <v/>
      </c>
      <c r="BJ1244" s="469" t="str">
        <f t="shared" si="717"/>
        <v/>
      </c>
      <c r="BK1244" s="470" t="str">
        <f t="shared" si="701"/>
        <v/>
      </c>
      <c r="BL1244" s="775" t="str">
        <f t="shared" si="718"/>
        <v/>
      </c>
      <c r="BM1244" s="775" t="str">
        <f t="shared" si="719"/>
        <v/>
      </c>
    </row>
    <row r="1245" spans="1:65">
      <c r="A1245" s="473">
        <v>1189</v>
      </c>
      <c r="B1245" s="132"/>
      <c r="C1245" s="332"/>
      <c r="D1245" s="333"/>
      <c r="E1245" s="333"/>
      <c r="F1245" s="334"/>
      <c r="G1245" s="337"/>
      <c r="H1245" s="131"/>
      <c r="I1245" s="337"/>
      <c r="J1245" s="131"/>
      <c r="K1245" s="458" t="str">
        <f t="shared" si="682"/>
        <v/>
      </c>
      <c r="L1245" s="458">
        <f t="shared" si="683"/>
        <v>0</v>
      </c>
      <c r="M1245" s="458">
        <f t="shared" si="684"/>
        <v>0</v>
      </c>
      <c r="N1245" s="459" t="str">
        <f t="shared" si="695"/>
        <v/>
      </c>
      <c r="O1245" s="459" t="str">
        <f t="shared" si="696"/>
        <v/>
      </c>
      <c r="P1245" s="459" t="str">
        <f t="shared" si="697"/>
        <v/>
      </c>
      <c r="Q1245" s="459" t="str">
        <f t="shared" si="698"/>
        <v/>
      </c>
      <c r="R1245" s="459" t="str">
        <f t="shared" si="699"/>
        <v/>
      </c>
      <c r="S1245" s="459" t="str">
        <f t="shared" si="700"/>
        <v/>
      </c>
      <c r="T1245" s="566" t="str">
        <f t="shared" si="685"/>
        <v/>
      </c>
      <c r="U1245" s="702"/>
      <c r="V1245" s="132"/>
      <c r="W1245" s="133"/>
      <c r="X1245" s="134"/>
      <c r="Y1245" s="135"/>
      <c r="Z1245" s="137"/>
      <c r="AA1245" s="136"/>
      <c r="AB1245" s="566" t="str">
        <f t="shared" si="686"/>
        <v/>
      </c>
      <c r="AC1245" s="568" t="str">
        <f t="shared" si="687"/>
        <v/>
      </c>
      <c r="AD1245" s="137"/>
      <c r="AE1245" s="137"/>
      <c r="AF1245" s="138"/>
      <c r="AG1245" s="138"/>
      <c r="AH1245" s="592" t="str">
        <f t="shared" si="688"/>
        <v/>
      </c>
      <c r="AI1245" s="592" t="str">
        <f t="shared" si="689"/>
        <v/>
      </c>
      <c r="AJ1245" s="592" t="str">
        <f t="shared" si="690"/>
        <v/>
      </c>
      <c r="AK1245" s="460" t="str">
        <f>IF(AU1245="","",IF(OR(AZ1245=8,AZ1245=9),0,IF(OR(AW1245=3,AW1245=4,AW1245=5,AW1245=6),IF(LEFT(BF1245,1)="1",INDEX(係数_NOX・PM低減,MATCH(AY1245,【参考】排出係数!$AI$801:$AI$804,1),1),VLOOKUP(AU1245,INDEX((係数_バス貨物_ガソリン,係数_バス貨物_CNG,係数_バス貨物_軽油,係数_バス貨物_メタノール,係数_バス貨物_LPG),MATCH(AY1245,【参考】排出係数!$AI$4:$AI$671,1),1,BE1245):INDEX((係数_バス貨物_ガソリン,係数_バス貨物_CNG,係数_バス貨物_軽油,係数_バス貨物_メタノール,係数_バス貨物_LPG),MATCH(AY1245+1,【参考】排出係数!$AI$4:$AI$671,1)-1,5,BE1245),4,FALSE)),IF(AND(BE1245=3,LEFT(BF1245,1)="1"),0.48,VLOOKUP(AU1245,INDEX((係数_乗用_ガソリン,係数_乗用_CNG,係数_乗用_軽油,係数_乗用_メタノール,係数_乗用_LPG),1,1,BE1245):INDEX((係数_乗用_ガソリン,係数_乗用_CNG,係数_乗用_軽油,係数_乗用_メタノール,係数_乗用_LPG),125,5,BE1245),4,FALSE)))))</f>
        <v/>
      </c>
      <c r="AL1245" s="461" t="str">
        <f t="shared" si="691"/>
        <v/>
      </c>
      <c r="AM1245" s="460" t="str">
        <f>IF(AU1245="","",IF(OR(AZ1245=8,AZ1245=9),0,IF(OR(AW1245=3,AW1245=4,AW1245=5,AW1245=6),IF(LEFT(BH1245,1)="1",INDEX(係数_PM低減,MATCH(AY1245,【参考】排出係数!$AI$801:$AI$804,1),MATCH(BI1245,【参考】排出係数!$AL$798:$AO$798,1)),VLOOKUP(AU1245,INDEX((係数_バス貨物_ガソリン,係数_バス貨物_CNG,係数_バス貨物_軽油,係数_バス貨物_メタノール,係数_バス貨物_LPG),MATCH(AY1245,【参考】排出係数!$AI$4:$AI$671,1),1,BE1245):INDEX((係数_バス貨物_ガソリン,係数_バス貨物_CNG,係数_バス貨物_軽油,係数_バス貨物_メタノール,係数_バス貨物_LPG),MATCH(AY1245+1,【参考】排出係数!$AI$4:$AI$671,1)-1,5,BE1245),5,FALSE)),IF(AND(BE1245=3,LEFT(BF1245,1)="1"),0.055,VLOOKUP(AU1245,INDEX((係数_乗用_ガソリン,係数_乗用_CNG,係数_乗用_軽油,係数_乗用_メタノール,係数_乗用_LPG),1,1,BE1245):INDEX((係数_乗用_ガソリン,係数_乗用_CNG,係数_乗用_軽油,係数_乗用_メタノール,係数_乗用_LPG),125,5,BE1245),5,FALSE)))))</f>
        <v/>
      </c>
      <c r="AN1245" s="461" t="str">
        <f t="shared" si="692"/>
        <v/>
      </c>
      <c r="AO1245" s="462" t="str">
        <f t="shared" si="693"/>
        <v/>
      </c>
      <c r="AP1245" s="463" t="str">
        <f t="shared" si="694"/>
        <v/>
      </c>
      <c r="AQ1245" s="464"/>
      <c r="AR1245" s="619"/>
      <c r="AS1245" s="465" t="str">
        <f t="shared" si="702"/>
        <v/>
      </c>
      <c r="AT1245" s="465" t="str">
        <f t="shared" si="703"/>
        <v/>
      </c>
      <c r="AU1245" s="466" t="str">
        <f t="shared" si="704"/>
        <v/>
      </c>
      <c r="AV1245" s="467" t="str">
        <f t="shared" si="705"/>
        <v/>
      </c>
      <c r="AW1245" s="467" t="str">
        <f t="shared" si="706"/>
        <v/>
      </c>
      <c r="AX1245" s="467" t="str">
        <f t="shared" si="707"/>
        <v/>
      </c>
      <c r="AY1245" s="467" t="str">
        <f t="shared" si="708"/>
        <v/>
      </c>
      <c r="AZ1245" s="467" t="str">
        <f t="shared" si="709"/>
        <v/>
      </c>
      <c r="BA1245" s="468" t="str">
        <f>IF(AS1245="","",IF(OR(AU1245="",AU1245="-"),"－",IF(OR(AZ1245=8,AZ1245=9),"",IF(OR(AW1245=3,AW1245=4,AW1245=5,AW1245=6),VLOOKUP(AU1245,INDEX((係数_バス貨物_ガソリン,係数_バス貨物_CNG,係数_バス貨物_軽油,係数_バス貨物_メタノール,係数_バス貨物_LPG),MATCH(AY1245,【参考】排出係数!$AI$4:$AI$671,1),1,BE1245):INDEX((係数_バス貨物_ガソリン,係数_バス貨物_CNG,係数_バス貨物_軽油,係数_バス貨物_メタノール,係数_バス貨物_LPG),MATCH(AY1245+1,【参考】排出係数!$AI$4:$AI$671,1)-1,5,BE1245),2,FALSE),IF(OR(AW1245=1,AW1245=2),VLOOKUP(AU1245,INDEX((係数_乗用_ガソリン,係数_乗用_CNG,係数_乗用_軽油,係数_乗用_メタノール,係数_乗用_LPG),1,1,BE1245):INDEX((係数_乗用_ガソリン,係数_乗用_CNG,係数_乗用_軽油,係数_乗用_メタノール,係数_乗用_LPG),125,5,BE1245),2,FALSE))))))</f>
        <v/>
      </c>
      <c r="BB1245" s="468" t="str">
        <f>IF(T1245="","",IF(OR(AU1245="",AU1245="-"),"－",IF(OR(AZ1245=8,AZ1245=9),"",IF(OR(AW1245=3,AW1245=4,AW1245=5,AW1245=6),VLOOKUP(AU1245,INDEX((係数_バス貨物_ガソリン,係数_バス貨物_CNG,係数_バス貨物_軽油,係数_バス貨物_メタノール,係数_バス貨物_LPG),MATCH(AY1245,【参考】排出係数!$AI$4:$AI$671,1),1,BE1245):INDEX((係数_バス貨物_ガソリン,係数_バス貨物_CNG,係数_バス貨物_軽油,係数_バス貨物_メタノール,係数_バス貨物_LPG),MATCH(AY1245+1,【参考】排出係数!$AI$4:$AI$671,1)-1,5,BE1245),3,FALSE),IF(OR(AW1245=1,AW1245=2),VLOOKUP(AU1245,INDEX((係数_乗用_ガソリン,係数_乗用_CNG,係数_乗用_軽油,係数_乗用_メタノール,係数_乗用_LPG),1,1,BE1245):INDEX((係数_乗用_ガソリン,係数_乗用_CNG,係数_乗用_軽油,係数_乗用_メタノール,係数_乗用_LPG),125,5,BE1245),3,FALSE))))))</f>
        <v/>
      </c>
      <c r="BC1245" s="467" t="str">
        <f t="shared" si="710"/>
        <v/>
      </c>
      <c r="BD1245" s="567" t="str">
        <f t="shared" si="711"/>
        <v/>
      </c>
      <c r="BE1245" s="467" t="str">
        <f t="shared" si="712"/>
        <v/>
      </c>
      <c r="BF1245" s="469" t="str">
        <f t="shared" ca="1" si="713"/>
        <v/>
      </c>
      <c r="BG1245" s="469" t="str">
        <f t="shared" ca="1" si="714"/>
        <v/>
      </c>
      <c r="BH1245" s="467" t="str">
        <f t="shared" si="715"/>
        <v/>
      </c>
      <c r="BI1245" s="467" t="str">
        <f t="shared" ca="1" si="716"/>
        <v/>
      </c>
      <c r="BJ1245" s="469" t="str">
        <f t="shared" si="717"/>
        <v/>
      </c>
      <c r="BK1245" s="470" t="str">
        <f t="shared" si="701"/>
        <v/>
      </c>
      <c r="BL1245" s="775" t="str">
        <f t="shared" si="718"/>
        <v/>
      </c>
      <c r="BM1245" s="775" t="str">
        <f t="shared" si="719"/>
        <v/>
      </c>
    </row>
    <row r="1246" spans="1:65">
      <c r="A1246" s="473">
        <v>1190</v>
      </c>
      <c r="B1246" s="132"/>
      <c r="C1246" s="332"/>
      <c r="D1246" s="333"/>
      <c r="E1246" s="333"/>
      <c r="F1246" s="334"/>
      <c r="G1246" s="337"/>
      <c r="H1246" s="131"/>
      <c r="I1246" s="337"/>
      <c r="J1246" s="131"/>
      <c r="K1246" s="458" t="str">
        <f t="shared" si="682"/>
        <v/>
      </c>
      <c r="L1246" s="458">
        <f t="shared" si="683"/>
        <v>0</v>
      </c>
      <c r="M1246" s="458">
        <f t="shared" si="684"/>
        <v>0</v>
      </c>
      <c r="N1246" s="459" t="str">
        <f t="shared" si="695"/>
        <v/>
      </c>
      <c r="O1246" s="459" t="str">
        <f t="shared" si="696"/>
        <v/>
      </c>
      <c r="P1246" s="459" t="str">
        <f t="shared" si="697"/>
        <v/>
      </c>
      <c r="Q1246" s="459" t="str">
        <f t="shared" si="698"/>
        <v/>
      </c>
      <c r="R1246" s="459" t="str">
        <f t="shared" si="699"/>
        <v/>
      </c>
      <c r="S1246" s="459" t="str">
        <f t="shared" si="700"/>
        <v/>
      </c>
      <c r="T1246" s="566" t="str">
        <f t="shared" si="685"/>
        <v/>
      </c>
      <c r="U1246" s="702"/>
      <c r="V1246" s="132"/>
      <c r="W1246" s="133"/>
      <c r="X1246" s="134"/>
      <c r="Y1246" s="135"/>
      <c r="Z1246" s="137"/>
      <c r="AA1246" s="136"/>
      <c r="AB1246" s="566" t="str">
        <f t="shared" si="686"/>
        <v/>
      </c>
      <c r="AC1246" s="568" t="str">
        <f t="shared" si="687"/>
        <v/>
      </c>
      <c r="AD1246" s="137"/>
      <c r="AE1246" s="137"/>
      <c r="AF1246" s="138"/>
      <c r="AG1246" s="138"/>
      <c r="AH1246" s="592" t="str">
        <f t="shared" si="688"/>
        <v/>
      </c>
      <c r="AI1246" s="592" t="str">
        <f t="shared" si="689"/>
        <v/>
      </c>
      <c r="AJ1246" s="592" t="str">
        <f t="shared" si="690"/>
        <v/>
      </c>
      <c r="AK1246" s="460" t="str">
        <f>IF(AU1246="","",IF(OR(AZ1246=8,AZ1246=9),0,IF(OR(AW1246=3,AW1246=4,AW1246=5,AW1246=6),IF(LEFT(BF1246,1)="1",INDEX(係数_NOX・PM低減,MATCH(AY1246,【参考】排出係数!$AI$801:$AI$804,1),1),VLOOKUP(AU1246,INDEX((係数_バス貨物_ガソリン,係数_バス貨物_CNG,係数_バス貨物_軽油,係数_バス貨物_メタノール,係数_バス貨物_LPG),MATCH(AY1246,【参考】排出係数!$AI$4:$AI$671,1),1,BE1246):INDEX((係数_バス貨物_ガソリン,係数_バス貨物_CNG,係数_バス貨物_軽油,係数_バス貨物_メタノール,係数_バス貨物_LPG),MATCH(AY1246+1,【参考】排出係数!$AI$4:$AI$671,1)-1,5,BE1246),4,FALSE)),IF(AND(BE1246=3,LEFT(BF1246,1)="1"),0.48,VLOOKUP(AU1246,INDEX((係数_乗用_ガソリン,係数_乗用_CNG,係数_乗用_軽油,係数_乗用_メタノール,係数_乗用_LPG),1,1,BE1246):INDEX((係数_乗用_ガソリン,係数_乗用_CNG,係数_乗用_軽油,係数_乗用_メタノール,係数_乗用_LPG),125,5,BE1246),4,FALSE)))))</f>
        <v/>
      </c>
      <c r="AL1246" s="461" t="str">
        <f t="shared" si="691"/>
        <v/>
      </c>
      <c r="AM1246" s="460" t="str">
        <f>IF(AU1246="","",IF(OR(AZ1246=8,AZ1246=9),0,IF(OR(AW1246=3,AW1246=4,AW1246=5,AW1246=6),IF(LEFT(BH1246,1)="1",INDEX(係数_PM低減,MATCH(AY1246,【参考】排出係数!$AI$801:$AI$804,1),MATCH(BI1246,【参考】排出係数!$AL$798:$AO$798,1)),VLOOKUP(AU1246,INDEX((係数_バス貨物_ガソリン,係数_バス貨物_CNG,係数_バス貨物_軽油,係数_バス貨物_メタノール,係数_バス貨物_LPG),MATCH(AY1246,【参考】排出係数!$AI$4:$AI$671,1),1,BE1246):INDEX((係数_バス貨物_ガソリン,係数_バス貨物_CNG,係数_バス貨物_軽油,係数_バス貨物_メタノール,係数_バス貨物_LPG),MATCH(AY1246+1,【参考】排出係数!$AI$4:$AI$671,1)-1,5,BE1246),5,FALSE)),IF(AND(BE1246=3,LEFT(BF1246,1)="1"),0.055,VLOOKUP(AU1246,INDEX((係数_乗用_ガソリン,係数_乗用_CNG,係数_乗用_軽油,係数_乗用_メタノール,係数_乗用_LPG),1,1,BE1246):INDEX((係数_乗用_ガソリン,係数_乗用_CNG,係数_乗用_軽油,係数_乗用_メタノール,係数_乗用_LPG),125,5,BE1246),5,FALSE)))))</f>
        <v/>
      </c>
      <c r="AN1246" s="461" t="str">
        <f t="shared" si="692"/>
        <v/>
      </c>
      <c r="AO1246" s="462" t="str">
        <f t="shared" si="693"/>
        <v/>
      </c>
      <c r="AP1246" s="463" t="str">
        <f t="shared" si="694"/>
        <v/>
      </c>
      <c r="AQ1246" s="464"/>
      <c r="AR1246" s="619"/>
      <c r="AS1246" s="465" t="str">
        <f t="shared" si="702"/>
        <v/>
      </c>
      <c r="AT1246" s="465" t="str">
        <f t="shared" si="703"/>
        <v/>
      </c>
      <c r="AU1246" s="466" t="str">
        <f t="shared" si="704"/>
        <v/>
      </c>
      <c r="AV1246" s="467" t="str">
        <f t="shared" si="705"/>
        <v/>
      </c>
      <c r="AW1246" s="467" t="str">
        <f t="shared" si="706"/>
        <v/>
      </c>
      <c r="AX1246" s="467" t="str">
        <f t="shared" si="707"/>
        <v/>
      </c>
      <c r="AY1246" s="467" t="str">
        <f t="shared" si="708"/>
        <v/>
      </c>
      <c r="AZ1246" s="467" t="str">
        <f t="shared" si="709"/>
        <v/>
      </c>
      <c r="BA1246" s="468" t="str">
        <f>IF(AS1246="","",IF(OR(AU1246="",AU1246="-"),"－",IF(OR(AZ1246=8,AZ1246=9),"",IF(OR(AW1246=3,AW1246=4,AW1246=5,AW1246=6),VLOOKUP(AU1246,INDEX((係数_バス貨物_ガソリン,係数_バス貨物_CNG,係数_バス貨物_軽油,係数_バス貨物_メタノール,係数_バス貨物_LPG),MATCH(AY1246,【参考】排出係数!$AI$4:$AI$671,1),1,BE1246):INDEX((係数_バス貨物_ガソリン,係数_バス貨物_CNG,係数_バス貨物_軽油,係数_バス貨物_メタノール,係数_バス貨物_LPG),MATCH(AY1246+1,【参考】排出係数!$AI$4:$AI$671,1)-1,5,BE1246),2,FALSE),IF(OR(AW1246=1,AW1246=2),VLOOKUP(AU1246,INDEX((係数_乗用_ガソリン,係数_乗用_CNG,係数_乗用_軽油,係数_乗用_メタノール,係数_乗用_LPG),1,1,BE1246):INDEX((係数_乗用_ガソリン,係数_乗用_CNG,係数_乗用_軽油,係数_乗用_メタノール,係数_乗用_LPG),125,5,BE1246),2,FALSE))))))</f>
        <v/>
      </c>
      <c r="BB1246" s="468" t="str">
        <f>IF(T1246="","",IF(OR(AU1246="",AU1246="-"),"－",IF(OR(AZ1246=8,AZ1246=9),"",IF(OR(AW1246=3,AW1246=4,AW1246=5,AW1246=6),VLOOKUP(AU1246,INDEX((係数_バス貨物_ガソリン,係数_バス貨物_CNG,係数_バス貨物_軽油,係数_バス貨物_メタノール,係数_バス貨物_LPG),MATCH(AY1246,【参考】排出係数!$AI$4:$AI$671,1),1,BE1246):INDEX((係数_バス貨物_ガソリン,係数_バス貨物_CNG,係数_バス貨物_軽油,係数_バス貨物_メタノール,係数_バス貨物_LPG),MATCH(AY1246+1,【参考】排出係数!$AI$4:$AI$671,1)-1,5,BE1246),3,FALSE),IF(OR(AW1246=1,AW1246=2),VLOOKUP(AU1246,INDEX((係数_乗用_ガソリン,係数_乗用_CNG,係数_乗用_軽油,係数_乗用_メタノール,係数_乗用_LPG),1,1,BE1246):INDEX((係数_乗用_ガソリン,係数_乗用_CNG,係数_乗用_軽油,係数_乗用_メタノール,係数_乗用_LPG),125,5,BE1246),3,FALSE))))))</f>
        <v/>
      </c>
      <c r="BC1246" s="467" t="str">
        <f t="shared" si="710"/>
        <v/>
      </c>
      <c r="BD1246" s="567" t="str">
        <f t="shared" si="711"/>
        <v/>
      </c>
      <c r="BE1246" s="467" t="str">
        <f t="shared" si="712"/>
        <v/>
      </c>
      <c r="BF1246" s="469" t="str">
        <f t="shared" ca="1" si="713"/>
        <v/>
      </c>
      <c r="BG1246" s="469" t="str">
        <f t="shared" ca="1" si="714"/>
        <v/>
      </c>
      <c r="BH1246" s="467" t="str">
        <f t="shared" si="715"/>
        <v/>
      </c>
      <c r="BI1246" s="467" t="str">
        <f t="shared" ca="1" si="716"/>
        <v/>
      </c>
      <c r="BJ1246" s="469" t="str">
        <f t="shared" si="717"/>
        <v/>
      </c>
      <c r="BK1246" s="470" t="str">
        <f t="shared" si="701"/>
        <v/>
      </c>
      <c r="BL1246" s="775" t="str">
        <f t="shared" si="718"/>
        <v/>
      </c>
      <c r="BM1246" s="775" t="str">
        <f t="shared" si="719"/>
        <v/>
      </c>
    </row>
    <row r="1247" spans="1:65">
      <c r="A1247" s="473">
        <v>1191</v>
      </c>
      <c r="B1247" s="132"/>
      <c r="C1247" s="332"/>
      <c r="D1247" s="333"/>
      <c r="E1247" s="333"/>
      <c r="F1247" s="334"/>
      <c r="G1247" s="337"/>
      <c r="H1247" s="131"/>
      <c r="I1247" s="337"/>
      <c r="J1247" s="131"/>
      <c r="K1247" s="458" t="str">
        <f t="shared" si="682"/>
        <v/>
      </c>
      <c r="L1247" s="458">
        <f t="shared" si="683"/>
        <v>0</v>
      </c>
      <c r="M1247" s="458">
        <f t="shared" si="684"/>
        <v>0</v>
      </c>
      <c r="N1247" s="459" t="str">
        <f t="shared" si="695"/>
        <v/>
      </c>
      <c r="O1247" s="459" t="str">
        <f t="shared" si="696"/>
        <v/>
      </c>
      <c r="P1247" s="459" t="str">
        <f t="shared" si="697"/>
        <v/>
      </c>
      <c r="Q1247" s="459" t="str">
        <f t="shared" si="698"/>
        <v/>
      </c>
      <c r="R1247" s="459" t="str">
        <f t="shared" si="699"/>
        <v/>
      </c>
      <c r="S1247" s="459" t="str">
        <f t="shared" si="700"/>
        <v/>
      </c>
      <c r="T1247" s="566" t="str">
        <f t="shared" si="685"/>
        <v/>
      </c>
      <c r="U1247" s="702"/>
      <c r="V1247" s="132"/>
      <c r="W1247" s="133"/>
      <c r="X1247" s="134"/>
      <c r="Y1247" s="135"/>
      <c r="Z1247" s="137"/>
      <c r="AA1247" s="136"/>
      <c r="AB1247" s="566" t="str">
        <f t="shared" si="686"/>
        <v/>
      </c>
      <c r="AC1247" s="568" t="str">
        <f t="shared" si="687"/>
        <v/>
      </c>
      <c r="AD1247" s="137"/>
      <c r="AE1247" s="137"/>
      <c r="AF1247" s="138"/>
      <c r="AG1247" s="138"/>
      <c r="AH1247" s="592" t="str">
        <f t="shared" si="688"/>
        <v/>
      </c>
      <c r="AI1247" s="592" t="str">
        <f t="shared" si="689"/>
        <v/>
      </c>
      <c r="AJ1247" s="592" t="str">
        <f t="shared" si="690"/>
        <v/>
      </c>
      <c r="AK1247" s="460" t="str">
        <f>IF(AU1247="","",IF(OR(AZ1247=8,AZ1247=9),0,IF(OR(AW1247=3,AW1247=4,AW1247=5,AW1247=6),IF(LEFT(BF1247,1)="1",INDEX(係数_NOX・PM低減,MATCH(AY1247,【参考】排出係数!$AI$801:$AI$804,1),1),VLOOKUP(AU1247,INDEX((係数_バス貨物_ガソリン,係数_バス貨物_CNG,係数_バス貨物_軽油,係数_バス貨物_メタノール,係数_バス貨物_LPG),MATCH(AY1247,【参考】排出係数!$AI$4:$AI$671,1),1,BE1247):INDEX((係数_バス貨物_ガソリン,係数_バス貨物_CNG,係数_バス貨物_軽油,係数_バス貨物_メタノール,係数_バス貨物_LPG),MATCH(AY1247+1,【参考】排出係数!$AI$4:$AI$671,1)-1,5,BE1247),4,FALSE)),IF(AND(BE1247=3,LEFT(BF1247,1)="1"),0.48,VLOOKUP(AU1247,INDEX((係数_乗用_ガソリン,係数_乗用_CNG,係数_乗用_軽油,係数_乗用_メタノール,係数_乗用_LPG),1,1,BE1247):INDEX((係数_乗用_ガソリン,係数_乗用_CNG,係数_乗用_軽油,係数_乗用_メタノール,係数_乗用_LPG),125,5,BE1247),4,FALSE)))))</f>
        <v/>
      </c>
      <c r="AL1247" s="461" t="str">
        <f t="shared" si="691"/>
        <v/>
      </c>
      <c r="AM1247" s="460" t="str">
        <f>IF(AU1247="","",IF(OR(AZ1247=8,AZ1247=9),0,IF(OR(AW1247=3,AW1247=4,AW1247=5,AW1247=6),IF(LEFT(BH1247,1)="1",INDEX(係数_PM低減,MATCH(AY1247,【参考】排出係数!$AI$801:$AI$804,1),MATCH(BI1247,【参考】排出係数!$AL$798:$AO$798,1)),VLOOKUP(AU1247,INDEX((係数_バス貨物_ガソリン,係数_バス貨物_CNG,係数_バス貨物_軽油,係数_バス貨物_メタノール,係数_バス貨物_LPG),MATCH(AY1247,【参考】排出係数!$AI$4:$AI$671,1),1,BE1247):INDEX((係数_バス貨物_ガソリン,係数_バス貨物_CNG,係数_バス貨物_軽油,係数_バス貨物_メタノール,係数_バス貨物_LPG),MATCH(AY1247+1,【参考】排出係数!$AI$4:$AI$671,1)-1,5,BE1247),5,FALSE)),IF(AND(BE1247=3,LEFT(BF1247,1)="1"),0.055,VLOOKUP(AU1247,INDEX((係数_乗用_ガソリン,係数_乗用_CNG,係数_乗用_軽油,係数_乗用_メタノール,係数_乗用_LPG),1,1,BE1247):INDEX((係数_乗用_ガソリン,係数_乗用_CNG,係数_乗用_軽油,係数_乗用_メタノール,係数_乗用_LPG),125,5,BE1247),5,FALSE)))))</f>
        <v/>
      </c>
      <c r="AN1247" s="461" t="str">
        <f t="shared" si="692"/>
        <v/>
      </c>
      <c r="AO1247" s="462" t="str">
        <f t="shared" si="693"/>
        <v/>
      </c>
      <c r="AP1247" s="463" t="str">
        <f t="shared" si="694"/>
        <v/>
      </c>
      <c r="AQ1247" s="464"/>
      <c r="AR1247" s="619"/>
      <c r="AS1247" s="465" t="str">
        <f t="shared" si="702"/>
        <v/>
      </c>
      <c r="AT1247" s="465" t="str">
        <f t="shared" si="703"/>
        <v/>
      </c>
      <c r="AU1247" s="466" t="str">
        <f t="shared" si="704"/>
        <v/>
      </c>
      <c r="AV1247" s="467" t="str">
        <f t="shared" si="705"/>
        <v/>
      </c>
      <c r="AW1247" s="467" t="str">
        <f t="shared" si="706"/>
        <v/>
      </c>
      <c r="AX1247" s="467" t="str">
        <f t="shared" si="707"/>
        <v/>
      </c>
      <c r="AY1247" s="467" t="str">
        <f t="shared" si="708"/>
        <v/>
      </c>
      <c r="AZ1247" s="467" t="str">
        <f t="shared" si="709"/>
        <v/>
      </c>
      <c r="BA1247" s="468" t="str">
        <f>IF(AS1247="","",IF(OR(AU1247="",AU1247="-"),"－",IF(OR(AZ1247=8,AZ1247=9),"",IF(OR(AW1247=3,AW1247=4,AW1247=5,AW1247=6),VLOOKUP(AU1247,INDEX((係数_バス貨物_ガソリン,係数_バス貨物_CNG,係数_バス貨物_軽油,係数_バス貨物_メタノール,係数_バス貨物_LPG),MATCH(AY1247,【参考】排出係数!$AI$4:$AI$671,1),1,BE1247):INDEX((係数_バス貨物_ガソリン,係数_バス貨物_CNG,係数_バス貨物_軽油,係数_バス貨物_メタノール,係数_バス貨物_LPG),MATCH(AY1247+1,【参考】排出係数!$AI$4:$AI$671,1)-1,5,BE1247),2,FALSE),IF(OR(AW1247=1,AW1247=2),VLOOKUP(AU1247,INDEX((係数_乗用_ガソリン,係数_乗用_CNG,係数_乗用_軽油,係数_乗用_メタノール,係数_乗用_LPG),1,1,BE1247):INDEX((係数_乗用_ガソリン,係数_乗用_CNG,係数_乗用_軽油,係数_乗用_メタノール,係数_乗用_LPG),125,5,BE1247),2,FALSE))))))</f>
        <v/>
      </c>
      <c r="BB1247" s="468" t="str">
        <f>IF(T1247="","",IF(OR(AU1247="",AU1247="-"),"－",IF(OR(AZ1247=8,AZ1247=9),"",IF(OR(AW1247=3,AW1247=4,AW1247=5,AW1247=6),VLOOKUP(AU1247,INDEX((係数_バス貨物_ガソリン,係数_バス貨物_CNG,係数_バス貨物_軽油,係数_バス貨物_メタノール,係数_バス貨物_LPG),MATCH(AY1247,【参考】排出係数!$AI$4:$AI$671,1),1,BE1247):INDEX((係数_バス貨物_ガソリン,係数_バス貨物_CNG,係数_バス貨物_軽油,係数_バス貨物_メタノール,係数_バス貨物_LPG),MATCH(AY1247+1,【参考】排出係数!$AI$4:$AI$671,1)-1,5,BE1247),3,FALSE),IF(OR(AW1247=1,AW1247=2),VLOOKUP(AU1247,INDEX((係数_乗用_ガソリン,係数_乗用_CNG,係数_乗用_軽油,係数_乗用_メタノール,係数_乗用_LPG),1,1,BE1247):INDEX((係数_乗用_ガソリン,係数_乗用_CNG,係数_乗用_軽油,係数_乗用_メタノール,係数_乗用_LPG),125,5,BE1247),3,FALSE))))))</f>
        <v/>
      </c>
      <c r="BC1247" s="467" t="str">
        <f t="shared" si="710"/>
        <v/>
      </c>
      <c r="BD1247" s="567" t="str">
        <f t="shared" si="711"/>
        <v/>
      </c>
      <c r="BE1247" s="467" t="str">
        <f t="shared" si="712"/>
        <v/>
      </c>
      <c r="BF1247" s="469" t="str">
        <f t="shared" ca="1" si="713"/>
        <v/>
      </c>
      <c r="BG1247" s="469" t="str">
        <f t="shared" ca="1" si="714"/>
        <v/>
      </c>
      <c r="BH1247" s="467" t="str">
        <f t="shared" si="715"/>
        <v/>
      </c>
      <c r="BI1247" s="467" t="str">
        <f t="shared" ca="1" si="716"/>
        <v/>
      </c>
      <c r="BJ1247" s="469" t="str">
        <f t="shared" si="717"/>
        <v/>
      </c>
      <c r="BK1247" s="470" t="str">
        <f t="shared" si="701"/>
        <v/>
      </c>
      <c r="BL1247" s="775" t="str">
        <f t="shared" si="718"/>
        <v/>
      </c>
      <c r="BM1247" s="775" t="str">
        <f t="shared" si="719"/>
        <v/>
      </c>
    </row>
    <row r="1248" spans="1:65">
      <c r="A1248" s="473">
        <v>1192</v>
      </c>
      <c r="B1248" s="132"/>
      <c r="C1248" s="332"/>
      <c r="D1248" s="333"/>
      <c r="E1248" s="333"/>
      <c r="F1248" s="334"/>
      <c r="G1248" s="337"/>
      <c r="H1248" s="131"/>
      <c r="I1248" s="337"/>
      <c r="J1248" s="131"/>
      <c r="K1248" s="458" t="str">
        <f t="shared" si="682"/>
        <v/>
      </c>
      <c r="L1248" s="458">
        <f t="shared" si="683"/>
        <v>0</v>
      </c>
      <c r="M1248" s="458">
        <f t="shared" si="684"/>
        <v>0</v>
      </c>
      <c r="N1248" s="459" t="str">
        <f t="shared" si="695"/>
        <v/>
      </c>
      <c r="O1248" s="459" t="str">
        <f t="shared" si="696"/>
        <v/>
      </c>
      <c r="P1248" s="459" t="str">
        <f t="shared" si="697"/>
        <v/>
      </c>
      <c r="Q1248" s="459" t="str">
        <f t="shared" si="698"/>
        <v/>
      </c>
      <c r="R1248" s="459" t="str">
        <f t="shared" si="699"/>
        <v/>
      </c>
      <c r="S1248" s="459" t="str">
        <f t="shared" si="700"/>
        <v/>
      </c>
      <c r="T1248" s="566" t="str">
        <f t="shared" si="685"/>
        <v/>
      </c>
      <c r="U1248" s="702"/>
      <c r="V1248" s="132"/>
      <c r="W1248" s="133"/>
      <c r="X1248" s="134"/>
      <c r="Y1248" s="135"/>
      <c r="Z1248" s="137"/>
      <c r="AA1248" s="136"/>
      <c r="AB1248" s="566" t="str">
        <f t="shared" si="686"/>
        <v/>
      </c>
      <c r="AC1248" s="568" t="str">
        <f t="shared" si="687"/>
        <v/>
      </c>
      <c r="AD1248" s="137"/>
      <c r="AE1248" s="137"/>
      <c r="AF1248" s="138"/>
      <c r="AG1248" s="138"/>
      <c r="AH1248" s="592" t="str">
        <f t="shared" si="688"/>
        <v/>
      </c>
      <c r="AI1248" s="592" t="str">
        <f t="shared" si="689"/>
        <v/>
      </c>
      <c r="AJ1248" s="592" t="str">
        <f t="shared" si="690"/>
        <v/>
      </c>
      <c r="AK1248" s="460" t="str">
        <f>IF(AU1248="","",IF(OR(AZ1248=8,AZ1248=9),0,IF(OR(AW1248=3,AW1248=4,AW1248=5,AW1248=6),IF(LEFT(BF1248,1)="1",INDEX(係数_NOX・PM低減,MATCH(AY1248,【参考】排出係数!$AI$801:$AI$804,1),1),VLOOKUP(AU1248,INDEX((係数_バス貨物_ガソリン,係数_バス貨物_CNG,係数_バス貨物_軽油,係数_バス貨物_メタノール,係数_バス貨物_LPG),MATCH(AY1248,【参考】排出係数!$AI$4:$AI$671,1),1,BE1248):INDEX((係数_バス貨物_ガソリン,係数_バス貨物_CNG,係数_バス貨物_軽油,係数_バス貨物_メタノール,係数_バス貨物_LPG),MATCH(AY1248+1,【参考】排出係数!$AI$4:$AI$671,1)-1,5,BE1248),4,FALSE)),IF(AND(BE1248=3,LEFT(BF1248,1)="1"),0.48,VLOOKUP(AU1248,INDEX((係数_乗用_ガソリン,係数_乗用_CNG,係数_乗用_軽油,係数_乗用_メタノール,係数_乗用_LPG),1,1,BE1248):INDEX((係数_乗用_ガソリン,係数_乗用_CNG,係数_乗用_軽油,係数_乗用_メタノール,係数_乗用_LPG),125,5,BE1248),4,FALSE)))))</f>
        <v/>
      </c>
      <c r="AL1248" s="461" t="str">
        <f t="shared" si="691"/>
        <v/>
      </c>
      <c r="AM1248" s="460" t="str">
        <f>IF(AU1248="","",IF(OR(AZ1248=8,AZ1248=9),0,IF(OR(AW1248=3,AW1248=4,AW1248=5,AW1248=6),IF(LEFT(BH1248,1)="1",INDEX(係数_PM低減,MATCH(AY1248,【参考】排出係数!$AI$801:$AI$804,1),MATCH(BI1248,【参考】排出係数!$AL$798:$AO$798,1)),VLOOKUP(AU1248,INDEX((係数_バス貨物_ガソリン,係数_バス貨物_CNG,係数_バス貨物_軽油,係数_バス貨物_メタノール,係数_バス貨物_LPG),MATCH(AY1248,【参考】排出係数!$AI$4:$AI$671,1),1,BE1248):INDEX((係数_バス貨物_ガソリン,係数_バス貨物_CNG,係数_バス貨物_軽油,係数_バス貨物_メタノール,係数_バス貨物_LPG),MATCH(AY1248+1,【参考】排出係数!$AI$4:$AI$671,1)-1,5,BE1248),5,FALSE)),IF(AND(BE1248=3,LEFT(BF1248,1)="1"),0.055,VLOOKUP(AU1248,INDEX((係数_乗用_ガソリン,係数_乗用_CNG,係数_乗用_軽油,係数_乗用_メタノール,係数_乗用_LPG),1,1,BE1248):INDEX((係数_乗用_ガソリン,係数_乗用_CNG,係数_乗用_軽油,係数_乗用_メタノール,係数_乗用_LPG),125,5,BE1248),5,FALSE)))))</f>
        <v/>
      </c>
      <c r="AN1248" s="461" t="str">
        <f t="shared" si="692"/>
        <v/>
      </c>
      <c r="AO1248" s="462" t="str">
        <f t="shared" si="693"/>
        <v/>
      </c>
      <c r="AP1248" s="463" t="str">
        <f t="shared" si="694"/>
        <v/>
      </c>
      <c r="AQ1248" s="464"/>
      <c r="AR1248" s="619"/>
      <c r="AS1248" s="465" t="str">
        <f t="shared" si="702"/>
        <v/>
      </c>
      <c r="AT1248" s="465" t="str">
        <f t="shared" si="703"/>
        <v/>
      </c>
      <c r="AU1248" s="466" t="str">
        <f t="shared" si="704"/>
        <v/>
      </c>
      <c r="AV1248" s="467" t="str">
        <f t="shared" si="705"/>
        <v/>
      </c>
      <c r="AW1248" s="467" t="str">
        <f t="shared" si="706"/>
        <v/>
      </c>
      <c r="AX1248" s="467" t="str">
        <f t="shared" si="707"/>
        <v/>
      </c>
      <c r="AY1248" s="467" t="str">
        <f t="shared" si="708"/>
        <v/>
      </c>
      <c r="AZ1248" s="467" t="str">
        <f t="shared" si="709"/>
        <v/>
      </c>
      <c r="BA1248" s="468" t="str">
        <f>IF(AS1248="","",IF(OR(AU1248="",AU1248="-"),"－",IF(OR(AZ1248=8,AZ1248=9),"",IF(OR(AW1248=3,AW1248=4,AW1248=5,AW1248=6),VLOOKUP(AU1248,INDEX((係数_バス貨物_ガソリン,係数_バス貨物_CNG,係数_バス貨物_軽油,係数_バス貨物_メタノール,係数_バス貨物_LPG),MATCH(AY1248,【参考】排出係数!$AI$4:$AI$671,1),1,BE1248):INDEX((係数_バス貨物_ガソリン,係数_バス貨物_CNG,係数_バス貨物_軽油,係数_バス貨物_メタノール,係数_バス貨物_LPG),MATCH(AY1248+1,【参考】排出係数!$AI$4:$AI$671,1)-1,5,BE1248),2,FALSE),IF(OR(AW1248=1,AW1248=2),VLOOKUP(AU1248,INDEX((係数_乗用_ガソリン,係数_乗用_CNG,係数_乗用_軽油,係数_乗用_メタノール,係数_乗用_LPG),1,1,BE1248):INDEX((係数_乗用_ガソリン,係数_乗用_CNG,係数_乗用_軽油,係数_乗用_メタノール,係数_乗用_LPG),125,5,BE1248),2,FALSE))))))</f>
        <v/>
      </c>
      <c r="BB1248" s="468" t="str">
        <f>IF(T1248="","",IF(OR(AU1248="",AU1248="-"),"－",IF(OR(AZ1248=8,AZ1248=9),"",IF(OR(AW1248=3,AW1248=4,AW1248=5,AW1248=6),VLOOKUP(AU1248,INDEX((係数_バス貨物_ガソリン,係数_バス貨物_CNG,係数_バス貨物_軽油,係数_バス貨物_メタノール,係数_バス貨物_LPG),MATCH(AY1248,【参考】排出係数!$AI$4:$AI$671,1),1,BE1248):INDEX((係数_バス貨物_ガソリン,係数_バス貨物_CNG,係数_バス貨物_軽油,係数_バス貨物_メタノール,係数_バス貨物_LPG),MATCH(AY1248+1,【参考】排出係数!$AI$4:$AI$671,1)-1,5,BE1248),3,FALSE),IF(OR(AW1248=1,AW1248=2),VLOOKUP(AU1248,INDEX((係数_乗用_ガソリン,係数_乗用_CNG,係数_乗用_軽油,係数_乗用_メタノール,係数_乗用_LPG),1,1,BE1248):INDEX((係数_乗用_ガソリン,係数_乗用_CNG,係数_乗用_軽油,係数_乗用_メタノール,係数_乗用_LPG),125,5,BE1248),3,FALSE))))))</f>
        <v/>
      </c>
      <c r="BC1248" s="467" t="str">
        <f t="shared" si="710"/>
        <v/>
      </c>
      <c r="BD1248" s="567" t="str">
        <f t="shared" si="711"/>
        <v/>
      </c>
      <c r="BE1248" s="467" t="str">
        <f t="shared" si="712"/>
        <v/>
      </c>
      <c r="BF1248" s="469" t="str">
        <f t="shared" ca="1" si="713"/>
        <v/>
      </c>
      <c r="BG1248" s="469" t="str">
        <f t="shared" ca="1" si="714"/>
        <v/>
      </c>
      <c r="BH1248" s="467" t="str">
        <f t="shared" si="715"/>
        <v/>
      </c>
      <c r="BI1248" s="467" t="str">
        <f t="shared" ca="1" si="716"/>
        <v/>
      </c>
      <c r="BJ1248" s="469" t="str">
        <f t="shared" si="717"/>
        <v/>
      </c>
      <c r="BK1248" s="470" t="str">
        <f t="shared" si="701"/>
        <v/>
      </c>
      <c r="BL1248" s="775" t="str">
        <f t="shared" si="718"/>
        <v/>
      </c>
      <c r="BM1248" s="775" t="str">
        <f t="shared" si="719"/>
        <v/>
      </c>
    </row>
    <row r="1249" spans="1:65">
      <c r="A1249" s="473">
        <v>1193</v>
      </c>
      <c r="B1249" s="132"/>
      <c r="C1249" s="332"/>
      <c r="D1249" s="333"/>
      <c r="E1249" s="333"/>
      <c r="F1249" s="334"/>
      <c r="G1249" s="337"/>
      <c r="H1249" s="131"/>
      <c r="I1249" s="337"/>
      <c r="J1249" s="131"/>
      <c r="K1249" s="458" t="str">
        <f t="shared" si="682"/>
        <v/>
      </c>
      <c r="L1249" s="458">
        <f t="shared" si="683"/>
        <v>0</v>
      </c>
      <c r="M1249" s="458">
        <f t="shared" si="684"/>
        <v>0</v>
      </c>
      <c r="N1249" s="459" t="str">
        <f t="shared" si="695"/>
        <v/>
      </c>
      <c r="O1249" s="459" t="str">
        <f t="shared" si="696"/>
        <v/>
      </c>
      <c r="P1249" s="459" t="str">
        <f t="shared" si="697"/>
        <v/>
      </c>
      <c r="Q1249" s="459" t="str">
        <f t="shared" si="698"/>
        <v/>
      </c>
      <c r="R1249" s="459" t="str">
        <f t="shared" si="699"/>
        <v/>
      </c>
      <c r="S1249" s="459" t="str">
        <f t="shared" si="700"/>
        <v/>
      </c>
      <c r="T1249" s="566" t="str">
        <f t="shared" si="685"/>
        <v/>
      </c>
      <c r="U1249" s="702"/>
      <c r="V1249" s="132"/>
      <c r="W1249" s="133"/>
      <c r="X1249" s="134"/>
      <c r="Y1249" s="135"/>
      <c r="Z1249" s="137"/>
      <c r="AA1249" s="136"/>
      <c r="AB1249" s="566" t="str">
        <f t="shared" si="686"/>
        <v/>
      </c>
      <c r="AC1249" s="568" t="str">
        <f t="shared" si="687"/>
        <v/>
      </c>
      <c r="AD1249" s="137"/>
      <c r="AE1249" s="137"/>
      <c r="AF1249" s="138"/>
      <c r="AG1249" s="138"/>
      <c r="AH1249" s="592" t="str">
        <f t="shared" si="688"/>
        <v/>
      </c>
      <c r="AI1249" s="592" t="str">
        <f t="shared" si="689"/>
        <v/>
      </c>
      <c r="AJ1249" s="592" t="str">
        <f t="shared" si="690"/>
        <v/>
      </c>
      <c r="AK1249" s="460" t="str">
        <f>IF(AU1249="","",IF(OR(AZ1249=8,AZ1249=9),0,IF(OR(AW1249=3,AW1249=4,AW1249=5,AW1249=6),IF(LEFT(BF1249,1)="1",INDEX(係数_NOX・PM低減,MATCH(AY1249,【参考】排出係数!$AI$801:$AI$804,1),1),VLOOKUP(AU1249,INDEX((係数_バス貨物_ガソリン,係数_バス貨物_CNG,係数_バス貨物_軽油,係数_バス貨物_メタノール,係数_バス貨物_LPG),MATCH(AY1249,【参考】排出係数!$AI$4:$AI$671,1),1,BE1249):INDEX((係数_バス貨物_ガソリン,係数_バス貨物_CNG,係数_バス貨物_軽油,係数_バス貨物_メタノール,係数_バス貨物_LPG),MATCH(AY1249+1,【参考】排出係数!$AI$4:$AI$671,1)-1,5,BE1249),4,FALSE)),IF(AND(BE1249=3,LEFT(BF1249,1)="1"),0.48,VLOOKUP(AU1249,INDEX((係数_乗用_ガソリン,係数_乗用_CNG,係数_乗用_軽油,係数_乗用_メタノール,係数_乗用_LPG),1,1,BE1249):INDEX((係数_乗用_ガソリン,係数_乗用_CNG,係数_乗用_軽油,係数_乗用_メタノール,係数_乗用_LPG),125,5,BE1249),4,FALSE)))))</f>
        <v/>
      </c>
      <c r="AL1249" s="461" t="str">
        <f t="shared" si="691"/>
        <v/>
      </c>
      <c r="AM1249" s="460" t="str">
        <f>IF(AU1249="","",IF(OR(AZ1249=8,AZ1249=9),0,IF(OR(AW1249=3,AW1249=4,AW1249=5,AW1249=6),IF(LEFT(BH1249,1)="1",INDEX(係数_PM低減,MATCH(AY1249,【参考】排出係数!$AI$801:$AI$804,1),MATCH(BI1249,【参考】排出係数!$AL$798:$AO$798,1)),VLOOKUP(AU1249,INDEX((係数_バス貨物_ガソリン,係数_バス貨物_CNG,係数_バス貨物_軽油,係数_バス貨物_メタノール,係数_バス貨物_LPG),MATCH(AY1249,【参考】排出係数!$AI$4:$AI$671,1),1,BE1249):INDEX((係数_バス貨物_ガソリン,係数_バス貨物_CNG,係数_バス貨物_軽油,係数_バス貨物_メタノール,係数_バス貨物_LPG),MATCH(AY1249+1,【参考】排出係数!$AI$4:$AI$671,1)-1,5,BE1249),5,FALSE)),IF(AND(BE1249=3,LEFT(BF1249,1)="1"),0.055,VLOOKUP(AU1249,INDEX((係数_乗用_ガソリン,係数_乗用_CNG,係数_乗用_軽油,係数_乗用_メタノール,係数_乗用_LPG),1,1,BE1249):INDEX((係数_乗用_ガソリン,係数_乗用_CNG,係数_乗用_軽油,係数_乗用_メタノール,係数_乗用_LPG),125,5,BE1249),5,FALSE)))))</f>
        <v/>
      </c>
      <c r="AN1249" s="461" t="str">
        <f t="shared" si="692"/>
        <v/>
      </c>
      <c r="AO1249" s="462" t="str">
        <f t="shared" si="693"/>
        <v/>
      </c>
      <c r="AP1249" s="463" t="str">
        <f t="shared" si="694"/>
        <v/>
      </c>
      <c r="AQ1249" s="464"/>
      <c r="AR1249" s="619"/>
      <c r="AS1249" s="465" t="str">
        <f t="shared" si="702"/>
        <v/>
      </c>
      <c r="AT1249" s="465" t="str">
        <f t="shared" si="703"/>
        <v/>
      </c>
      <c r="AU1249" s="466" t="str">
        <f t="shared" si="704"/>
        <v/>
      </c>
      <c r="AV1249" s="467" t="str">
        <f t="shared" si="705"/>
        <v/>
      </c>
      <c r="AW1249" s="467" t="str">
        <f t="shared" si="706"/>
        <v/>
      </c>
      <c r="AX1249" s="467" t="str">
        <f t="shared" si="707"/>
        <v/>
      </c>
      <c r="AY1249" s="467" t="str">
        <f t="shared" si="708"/>
        <v/>
      </c>
      <c r="AZ1249" s="467" t="str">
        <f t="shared" si="709"/>
        <v/>
      </c>
      <c r="BA1249" s="468" t="str">
        <f>IF(AS1249="","",IF(OR(AU1249="",AU1249="-"),"－",IF(OR(AZ1249=8,AZ1249=9),"",IF(OR(AW1249=3,AW1249=4,AW1249=5,AW1249=6),VLOOKUP(AU1249,INDEX((係数_バス貨物_ガソリン,係数_バス貨物_CNG,係数_バス貨物_軽油,係数_バス貨物_メタノール,係数_バス貨物_LPG),MATCH(AY1249,【参考】排出係数!$AI$4:$AI$671,1),1,BE1249):INDEX((係数_バス貨物_ガソリン,係数_バス貨物_CNG,係数_バス貨物_軽油,係数_バス貨物_メタノール,係数_バス貨物_LPG),MATCH(AY1249+1,【参考】排出係数!$AI$4:$AI$671,1)-1,5,BE1249),2,FALSE),IF(OR(AW1249=1,AW1249=2),VLOOKUP(AU1249,INDEX((係数_乗用_ガソリン,係数_乗用_CNG,係数_乗用_軽油,係数_乗用_メタノール,係数_乗用_LPG),1,1,BE1249):INDEX((係数_乗用_ガソリン,係数_乗用_CNG,係数_乗用_軽油,係数_乗用_メタノール,係数_乗用_LPG),125,5,BE1249),2,FALSE))))))</f>
        <v/>
      </c>
      <c r="BB1249" s="468" t="str">
        <f>IF(T1249="","",IF(OR(AU1249="",AU1249="-"),"－",IF(OR(AZ1249=8,AZ1249=9),"",IF(OR(AW1249=3,AW1249=4,AW1249=5,AW1249=6),VLOOKUP(AU1249,INDEX((係数_バス貨物_ガソリン,係数_バス貨物_CNG,係数_バス貨物_軽油,係数_バス貨物_メタノール,係数_バス貨物_LPG),MATCH(AY1249,【参考】排出係数!$AI$4:$AI$671,1),1,BE1249):INDEX((係数_バス貨物_ガソリン,係数_バス貨物_CNG,係数_バス貨物_軽油,係数_バス貨物_メタノール,係数_バス貨物_LPG),MATCH(AY1249+1,【参考】排出係数!$AI$4:$AI$671,1)-1,5,BE1249),3,FALSE),IF(OR(AW1249=1,AW1249=2),VLOOKUP(AU1249,INDEX((係数_乗用_ガソリン,係数_乗用_CNG,係数_乗用_軽油,係数_乗用_メタノール,係数_乗用_LPG),1,1,BE1249):INDEX((係数_乗用_ガソリン,係数_乗用_CNG,係数_乗用_軽油,係数_乗用_メタノール,係数_乗用_LPG),125,5,BE1249),3,FALSE))))))</f>
        <v/>
      </c>
      <c r="BC1249" s="467" t="str">
        <f t="shared" si="710"/>
        <v/>
      </c>
      <c r="BD1249" s="567" t="str">
        <f t="shared" si="711"/>
        <v/>
      </c>
      <c r="BE1249" s="467" t="str">
        <f t="shared" si="712"/>
        <v/>
      </c>
      <c r="BF1249" s="469" t="str">
        <f t="shared" ca="1" si="713"/>
        <v/>
      </c>
      <c r="BG1249" s="469" t="str">
        <f t="shared" ca="1" si="714"/>
        <v/>
      </c>
      <c r="BH1249" s="467" t="str">
        <f t="shared" si="715"/>
        <v/>
      </c>
      <c r="BI1249" s="467" t="str">
        <f t="shared" ca="1" si="716"/>
        <v/>
      </c>
      <c r="BJ1249" s="469" t="str">
        <f t="shared" si="717"/>
        <v/>
      </c>
      <c r="BK1249" s="470" t="str">
        <f t="shared" si="701"/>
        <v/>
      </c>
      <c r="BL1249" s="775" t="str">
        <f t="shared" si="718"/>
        <v/>
      </c>
      <c r="BM1249" s="775" t="str">
        <f t="shared" si="719"/>
        <v/>
      </c>
    </row>
    <row r="1250" spans="1:65">
      <c r="A1250" s="473">
        <v>1194</v>
      </c>
      <c r="B1250" s="132"/>
      <c r="C1250" s="332"/>
      <c r="D1250" s="333"/>
      <c r="E1250" s="333"/>
      <c r="F1250" s="334"/>
      <c r="G1250" s="337"/>
      <c r="H1250" s="131"/>
      <c r="I1250" s="337"/>
      <c r="J1250" s="131"/>
      <c r="K1250" s="458" t="str">
        <f t="shared" si="682"/>
        <v/>
      </c>
      <c r="L1250" s="458">
        <f t="shared" si="683"/>
        <v>0</v>
      </c>
      <c r="M1250" s="458">
        <f t="shared" si="684"/>
        <v>0</v>
      </c>
      <c r="N1250" s="459" t="str">
        <f t="shared" si="695"/>
        <v/>
      </c>
      <c r="O1250" s="459" t="str">
        <f t="shared" si="696"/>
        <v/>
      </c>
      <c r="P1250" s="459" t="str">
        <f t="shared" si="697"/>
        <v/>
      </c>
      <c r="Q1250" s="459" t="str">
        <f t="shared" si="698"/>
        <v/>
      </c>
      <c r="R1250" s="459" t="str">
        <f t="shared" si="699"/>
        <v/>
      </c>
      <c r="S1250" s="459" t="str">
        <f t="shared" si="700"/>
        <v/>
      </c>
      <c r="T1250" s="566" t="str">
        <f t="shared" si="685"/>
        <v/>
      </c>
      <c r="U1250" s="702"/>
      <c r="V1250" s="132"/>
      <c r="W1250" s="133"/>
      <c r="X1250" s="134"/>
      <c r="Y1250" s="135"/>
      <c r="Z1250" s="137"/>
      <c r="AA1250" s="136"/>
      <c r="AB1250" s="566" t="str">
        <f t="shared" si="686"/>
        <v/>
      </c>
      <c r="AC1250" s="568" t="str">
        <f t="shared" si="687"/>
        <v/>
      </c>
      <c r="AD1250" s="137"/>
      <c r="AE1250" s="137"/>
      <c r="AF1250" s="138"/>
      <c r="AG1250" s="138"/>
      <c r="AH1250" s="592" t="str">
        <f t="shared" si="688"/>
        <v/>
      </c>
      <c r="AI1250" s="592" t="str">
        <f t="shared" si="689"/>
        <v/>
      </c>
      <c r="AJ1250" s="592" t="str">
        <f t="shared" si="690"/>
        <v/>
      </c>
      <c r="AK1250" s="460" t="str">
        <f>IF(AU1250="","",IF(OR(AZ1250=8,AZ1250=9),0,IF(OR(AW1250=3,AW1250=4,AW1250=5,AW1250=6),IF(LEFT(BF1250,1)="1",INDEX(係数_NOX・PM低減,MATCH(AY1250,【参考】排出係数!$AI$801:$AI$804,1),1),VLOOKUP(AU1250,INDEX((係数_バス貨物_ガソリン,係数_バス貨物_CNG,係数_バス貨物_軽油,係数_バス貨物_メタノール,係数_バス貨物_LPG),MATCH(AY1250,【参考】排出係数!$AI$4:$AI$671,1),1,BE1250):INDEX((係数_バス貨物_ガソリン,係数_バス貨物_CNG,係数_バス貨物_軽油,係数_バス貨物_メタノール,係数_バス貨物_LPG),MATCH(AY1250+1,【参考】排出係数!$AI$4:$AI$671,1)-1,5,BE1250),4,FALSE)),IF(AND(BE1250=3,LEFT(BF1250,1)="1"),0.48,VLOOKUP(AU1250,INDEX((係数_乗用_ガソリン,係数_乗用_CNG,係数_乗用_軽油,係数_乗用_メタノール,係数_乗用_LPG),1,1,BE1250):INDEX((係数_乗用_ガソリン,係数_乗用_CNG,係数_乗用_軽油,係数_乗用_メタノール,係数_乗用_LPG),125,5,BE1250),4,FALSE)))))</f>
        <v/>
      </c>
      <c r="AL1250" s="461" t="str">
        <f t="shared" si="691"/>
        <v/>
      </c>
      <c r="AM1250" s="460" t="str">
        <f>IF(AU1250="","",IF(OR(AZ1250=8,AZ1250=9),0,IF(OR(AW1250=3,AW1250=4,AW1250=5,AW1250=6),IF(LEFT(BH1250,1)="1",INDEX(係数_PM低減,MATCH(AY1250,【参考】排出係数!$AI$801:$AI$804,1),MATCH(BI1250,【参考】排出係数!$AL$798:$AO$798,1)),VLOOKUP(AU1250,INDEX((係数_バス貨物_ガソリン,係数_バス貨物_CNG,係数_バス貨物_軽油,係数_バス貨物_メタノール,係数_バス貨物_LPG),MATCH(AY1250,【参考】排出係数!$AI$4:$AI$671,1),1,BE1250):INDEX((係数_バス貨物_ガソリン,係数_バス貨物_CNG,係数_バス貨物_軽油,係数_バス貨物_メタノール,係数_バス貨物_LPG),MATCH(AY1250+1,【参考】排出係数!$AI$4:$AI$671,1)-1,5,BE1250),5,FALSE)),IF(AND(BE1250=3,LEFT(BF1250,1)="1"),0.055,VLOOKUP(AU1250,INDEX((係数_乗用_ガソリン,係数_乗用_CNG,係数_乗用_軽油,係数_乗用_メタノール,係数_乗用_LPG),1,1,BE1250):INDEX((係数_乗用_ガソリン,係数_乗用_CNG,係数_乗用_軽油,係数_乗用_メタノール,係数_乗用_LPG),125,5,BE1250),5,FALSE)))))</f>
        <v/>
      </c>
      <c r="AN1250" s="461" t="str">
        <f t="shared" si="692"/>
        <v/>
      </c>
      <c r="AO1250" s="462" t="str">
        <f t="shared" si="693"/>
        <v/>
      </c>
      <c r="AP1250" s="463" t="str">
        <f t="shared" si="694"/>
        <v/>
      </c>
      <c r="AQ1250" s="464"/>
      <c r="AR1250" s="619"/>
      <c r="AS1250" s="465" t="str">
        <f t="shared" si="702"/>
        <v/>
      </c>
      <c r="AT1250" s="465" t="str">
        <f t="shared" si="703"/>
        <v/>
      </c>
      <c r="AU1250" s="466" t="str">
        <f t="shared" si="704"/>
        <v/>
      </c>
      <c r="AV1250" s="467" t="str">
        <f t="shared" si="705"/>
        <v/>
      </c>
      <c r="AW1250" s="467" t="str">
        <f t="shared" si="706"/>
        <v/>
      </c>
      <c r="AX1250" s="467" t="str">
        <f t="shared" si="707"/>
        <v/>
      </c>
      <c r="AY1250" s="467" t="str">
        <f t="shared" si="708"/>
        <v/>
      </c>
      <c r="AZ1250" s="467" t="str">
        <f t="shared" si="709"/>
        <v/>
      </c>
      <c r="BA1250" s="468" t="str">
        <f>IF(AS1250="","",IF(OR(AU1250="",AU1250="-"),"－",IF(OR(AZ1250=8,AZ1250=9),"",IF(OR(AW1250=3,AW1250=4,AW1250=5,AW1250=6),VLOOKUP(AU1250,INDEX((係数_バス貨物_ガソリン,係数_バス貨物_CNG,係数_バス貨物_軽油,係数_バス貨物_メタノール,係数_バス貨物_LPG),MATCH(AY1250,【参考】排出係数!$AI$4:$AI$671,1),1,BE1250):INDEX((係数_バス貨物_ガソリン,係数_バス貨物_CNG,係数_バス貨物_軽油,係数_バス貨物_メタノール,係数_バス貨物_LPG),MATCH(AY1250+1,【参考】排出係数!$AI$4:$AI$671,1)-1,5,BE1250),2,FALSE),IF(OR(AW1250=1,AW1250=2),VLOOKUP(AU1250,INDEX((係数_乗用_ガソリン,係数_乗用_CNG,係数_乗用_軽油,係数_乗用_メタノール,係数_乗用_LPG),1,1,BE1250):INDEX((係数_乗用_ガソリン,係数_乗用_CNG,係数_乗用_軽油,係数_乗用_メタノール,係数_乗用_LPG),125,5,BE1250),2,FALSE))))))</f>
        <v/>
      </c>
      <c r="BB1250" s="468" t="str">
        <f>IF(T1250="","",IF(OR(AU1250="",AU1250="-"),"－",IF(OR(AZ1250=8,AZ1250=9),"",IF(OR(AW1250=3,AW1250=4,AW1250=5,AW1250=6),VLOOKUP(AU1250,INDEX((係数_バス貨物_ガソリン,係数_バス貨物_CNG,係数_バス貨物_軽油,係数_バス貨物_メタノール,係数_バス貨物_LPG),MATCH(AY1250,【参考】排出係数!$AI$4:$AI$671,1),1,BE1250):INDEX((係数_バス貨物_ガソリン,係数_バス貨物_CNG,係数_バス貨物_軽油,係数_バス貨物_メタノール,係数_バス貨物_LPG),MATCH(AY1250+1,【参考】排出係数!$AI$4:$AI$671,1)-1,5,BE1250),3,FALSE),IF(OR(AW1250=1,AW1250=2),VLOOKUP(AU1250,INDEX((係数_乗用_ガソリン,係数_乗用_CNG,係数_乗用_軽油,係数_乗用_メタノール,係数_乗用_LPG),1,1,BE1250):INDEX((係数_乗用_ガソリン,係数_乗用_CNG,係数_乗用_軽油,係数_乗用_メタノール,係数_乗用_LPG),125,5,BE1250),3,FALSE))))))</f>
        <v/>
      </c>
      <c r="BC1250" s="467" t="str">
        <f t="shared" si="710"/>
        <v/>
      </c>
      <c r="BD1250" s="567" t="str">
        <f t="shared" si="711"/>
        <v/>
      </c>
      <c r="BE1250" s="467" t="str">
        <f t="shared" si="712"/>
        <v/>
      </c>
      <c r="BF1250" s="469" t="str">
        <f t="shared" ca="1" si="713"/>
        <v/>
      </c>
      <c r="BG1250" s="469" t="str">
        <f t="shared" ca="1" si="714"/>
        <v/>
      </c>
      <c r="BH1250" s="467" t="str">
        <f t="shared" si="715"/>
        <v/>
      </c>
      <c r="BI1250" s="467" t="str">
        <f t="shared" ca="1" si="716"/>
        <v/>
      </c>
      <c r="BJ1250" s="469" t="str">
        <f t="shared" si="717"/>
        <v/>
      </c>
      <c r="BK1250" s="470" t="str">
        <f t="shared" si="701"/>
        <v/>
      </c>
      <c r="BL1250" s="775" t="str">
        <f t="shared" si="718"/>
        <v/>
      </c>
      <c r="BM1250" s="775" t="str">
        <f t="shared" si="719"/>
        <v/>
      </c>
    </row>
    <row r="1251" spans="1:65">
      <c r="A1251" s="473">
        <v>1195</v>
      </c>
      <c r="B1251" s="132"/>
      <c r="C1251" s="332"/>
      <c r="D1251" s="333"/>
      <c r="E1251" s="333"/>
      <c r="F1251" s="334"/>
      <c r="G1251" s="337"/>
      <c r="H1251" s="131"/>
      <c r="I1251" s="337"/>
      <c r="J1251" s="131"/>
      <c r="K1251" s="458" t="str">
        <f t="shared" si="682"/>
        <v/>
      </c>
      <c r="L1251" s="458">
        <f t="shared" si="683"/>
        <v>0</v>
      </c>
      <c r="M1251" s="458">
        <f t="shared" si="684"/>
        <v>0</v>
      </c>
      <c r="N1251" s="459" t="str">
        <f t="shared" si="695"/>
        <v/>
      </c>
      <c r="O1251" s="459" t="str">
        <f t="shared" si="696"/>
        <v/>
      </c>
      <c r="P1251" s="459" t="str">
        <f t="shared" si="697"/>
        <v/>
      </c>
      <c r="Q1251" s="459" t="str">
        <f t="shared" si="698"/>
        <v/>
      </c>
      <c r="R1251" s="459" t="str">
        <f t="shared" si="699"/>
        <v/>
      </c>
      <c r="S1251" s="459" t="str">
        <f t="shared" si="700"/>
        <v/>
      </c>
      <c r="T1251" s="566" t="str">
        <f t="shared" si="685"/>
        <v/>
      </c>
      <c r="U1251" s="702"/>
      <c r="V1251" s="132"/>
      <c r="W1251" s="133"/>
      <c r="X1251" s="134"/>
      <c r="Y1251" s="135"/>
      <c r="Z1251" s="137"/>
      <c r="AA1251" s="136"/>
      <c r="AB1251" s="566" t="str">
        <f t="shared" si="686"/>
        <v/>
      </c>
      <c r="AC1251" s="568" t="str">
        <f t="shared" si="687"/>
        <v/>
      </c>
      <c r="AD1251" s="137"/>
      <c r="AE1251" s="137"/>
      <c r="AF1251" s="138"/>
      <c r="AG1251" s="138"/>
      <c r="AH1251" s="592" t="str">
        <f t="shared" si="688"/>
        <v/>
      </c>
      <c r="AI1251" s="592" t="str">
        <f t="shared" si="689"/>
        <v/>
      </c>
      <c r="AJ1251" s="592" t="str">
        <f t="shared" si="690"/>
        <v/>
      </c>
      <c r="AK1251" s="460" t="str">
        <f>IF(AU1251="","",IF(OR(AZ1251=8,AZ1251=9),0,IF(OR(AW1251=3,AW1251=4,AW1251=5,AW1251=6),IF(LEFT(BF1251,1)="1",INDEX(係数_NOX・PM低減,MATCH(AY1251,【参考】排出係数!$AI$801:$AI$804,1),1),VLOOKUP(AU1251,INDEX((係数_バス貨物_ガソリン,係数_バス貨物_CNG,係数_バス貨物_軽油,係数_バス貨物_メタノール,係数_バス貨物_LPG),MATCH(AY1251,【参考】排出係数!$AI$4:$AI$671,1),1,BE1251):INDEX((係数_バス貨物_ガソリン,係数_バス貨物_CNG,係数_バス貨物_軽油,係数_バス貨物_メタノール,係数_バス貨物_LPG),MATCH(AY1251+1,【参考】排出係数!$AI$4:$AI$671,1)-1,5,BE1251),4,FALSE)),IF(AND(BE1251=3,LEFT(BF1251,1)="1"),0.48,VLOOKUP(AU1251,INDEX((係数_乗用_ガソリン,係数_乗用_CNG,係数_乗用_軽油,係数_乗用_メタノール,係数_乗用_LPG),1,1,BE1251):INDEX((係数_乗用_ガソリン,係数_乗用_CNG,係数_乗用_軽油,係数_乗用_メタノール,係数_乗用_LPG),125,5,BE1251),4,FALSE)))))</f>
        <v/>
      </c>
      <c r="AL1251" s="461" t="str">
        <f t="shared" si="691"/>
        <v/>
      </c>
      <c r="AM1251" s="460" t="str">
        <f>IF(AU1251="","",IF(OR(AZ1251=8,AZ1251=9),0,IF(OR(AW1251=3,AW1251=4,AW1251=5,AW1251=6),IF(LEFT(BH1251,1)="1",INDEX(係数_PM低減,MATCH(AY1251,【参考】排出係数!$AI$801:$AI$804,1),MATCH(BI1251,【参考】排出係数!$AL$798:$AO$798,1)),VLOOKUP(AU1251,INDEX((係数_バス貨物_ガソリン,係数_バス貨物_CNG,係数_バス貨物_軽油,係数_バス貨物_メタノール,係数_バス貨物_LPG),MATCH(AY1251,【参考】排出係数!$AI$4:$AI$671,1),1,BE1251):INDEX((係数_バス貨物_ガソリン,係数_バス貨物_CNG,係数_バス貨物_軽油,係数_バス貨物_メタノール,係数_バス貨物_LPG),MATCH(AY1251+1,【参考】排出係数!$AI$4:$AI$671,1)-1,5,BE1251),5,FALSE)),IF(AND(BE1251=3,LEFT(BF1251,1)="1"),0.055,VLOOKUP(AU1251,INDEX((係数_乗用_ガソリン,係数_乗用_CNG,係数_乗用_軽油,係数_乗用_メタノール,係数_乗用_LPG),1,1,BE1251):INDEX((係数_乗用_ガソリン,係数_乗用_CNG,係数_乗用_軽油,係数_乗用_メタノール,係数_乗用_LPG),125,5,BE1251),5,FALSE)))))</f>
        <v/>
      </c>
      <c r="AN1251" s="461" t="str">
        <f t="shared" si="692"/>
        <v/>
      </c>
      <c r="AO1251" s="462" t="str">
        <f t="shared" si="693"/>
        <v/>
      </c>
      <c r="AP1251" s="463" t="str">
        <f t="shared" si="694"/>
        <v/>
      </c>
      <c r="AQ1251" s="464"/>
      <c r="AR1251" s="619"/>
      <c r="AS1251" s="465" t="str">
        <f t="shared" si="702"/>
        <v/>
      </c>
      <c r="AT1251" s="465" t="str">
        <f t="shared" si="703"/>
        <v/>
      </c>
      <c r="AU1251" s="466" t="str">
        <f t="shared" si="704"/>
        <v/>
      </c>
      <c r="AV1251" s="467" t="str">
        <f t="shared" si="705"/>
        <v/>
      </c>
      <c r="AW1251" s="467" t="str">
        <f t="shared" si="706"/>
        <v/>
      </c>
      <c r="AX1251" s="467" t="str">
        <f t="shared" si="707"/>
        <v/>
      </c>
      <c r="AY1251" s="467" t="str">
        <f t="shared" si="708"/>
        <v/>
      </c>
      <c r="AZ1251" s="467" t="str">
        <f t="shared" si="709"/>
        <v/>
      </c>
      <c r="BA1251" s="468" t="str">
        <f>IF(AS1251="","",IF(OR(AU1251="",AU1251="-"),"－",IF(OR(AZ1251=8,AZ1251=9),"",IF(OR(AW1251=3,AW1251=4,AW1251=5,AW1251=6),VLOOKUP(AU1251,INDEX((係数_バス貨物_ガソリン,係数_バス貨物_CNG,係数_バス貨物_軽油,係数_バス貨物_メタノール,係数_バス貨物_LPG),MATCH(AY1251,【参考】排出係数!$AI$4:$AI$671,1),1,BE1251):INDEX((係数_バス貨物_ガソリン,係数_バス貨物_CNG,係数_バス貨物_軽油,係数_バス貨物_メタノール,係数_バス貨物_LPG),MATCH(AY1251+1,【参考】排出係数!$AI$4:$AI$671,1)-1,5,BE1251),2,FALSE),IF(OR(AW1251=1,AW1251=2),VLOOKUP(AU1251,INDEX((係数_乗用_ガソリン,係数_乗用_CNG,係数_乗用_軽油,係数_乗用_メタノール,係数_乗用_LPG),1,1,BE1251):INDEX((係数_乗用_ガソリン,係数_乗用_CNG,係数_乗用_軽油,係数_乗用_メタノール,係数_乗用_LPG),125,5,BE1251),2,FALSE))))))</f>
        <v/>
      </c>
      <c r="BB1251" s="468" t="str">
        <f>IF(T1251="","",IF(OR(AU1251="",AU1251="-"),"－",IF(OR(AZ1251=8,AZ1251=9),"",IF(OR(AW1251=3,AW1251=4,AW1251=5,AW1251=6),VLOOKUP(AU1251,INDEX((係数_バス貨物_ガソリン,係数_バス貨物_CNG,係数_バス貨物_軽油,係数_バス貨物_メタノール,係数_バス貨物_LPG),MATCH(AY1251,【参考】排出係数!$AI$4:$AI$671,1),1,BE1251):INDEX((係数_バス貨物_ガソリン,係数_バス貨物_CNG,係数_バス貨物_軽油,係数_バス貨物_メタノール,係数_バス貨物_LPG),MATCH(AY1251+1,【参考】排出係数!$AI$4:$AI$671,1)-1,5,BE1251),3,FALSE),IF(OR(AW1251=1,AW1251=2),VLOOKUP(AU1251,INDEX((係数_乗用_ガソリン,係数_乗用_CNG,係数_乗用_軽油,係数_乗用_メタノール,係数_乗用_LPG),1,1,BE1251):INDEX((係数_乗用_ガソリン,係数_乗用_CNG,係数_乗用_軽油,係数_乗用_メタノール,係数_乗用_LPG),125,5,BE1251),3,FALSE))))))</f>
        <v/>
      </c>
      <c r="BC1251" s="467" t="str">
        <f t="shared" si="710"/>
        <v/>
      </c>
      <c r="BD1251" s="567" t="str">
        <f t="shared" si="711"/>
        <v/>
      </c>
      <c r="BE1251" s="467" t="str">
        <f t="shared" si="712"/>
        <v/>
      </c>
      <c r="BF1251" s="469" t="str">
        <f t="shared" ca="1" si="713"/>
        <v/>
      </c>
      <c r="BG1251" s="469" t="str">
        <f t="shared" ca="1" si="714"/>
        <v/>
      </c>
      <c r="BH1251" s="467" t="str">
        <f t="shared" si="715"/>
        <v/>
      </c>
      <c r="BI1251" s="467" t="str">
        <f t="shared" ca="1" si="716"/>
        <v/>
      </c>
      <c r="BJ1251" s="469" t="str">
        <f t="shared" si="717"/>
        <v/>
      </c>
      <c r="BK1251" s="470" t="str">
        <f t="shared" si="701"/>
        <v/>
      </c>
      <c r="BL1251" s="775" t="str">
        <f t="shared" si="718"/>
        <v/>
      </c>
      <c r="BM1251" s="775" t="str">
        <f t="shared" si="719"/>
        <v/>
      </c>
    </row>
    <row r="1252" spans="1:65">
      <c r="A1252" s="473">
        <v>1196</v>
      </c>
      <c r="B1252" s="132"/>
      <c r="C1252" s="332"/>
      <c r="D1252" s="333"/>
      <c r="E1252" s="333"/>
      <c r="F1252" s="334"/>
      <c r="G1252" s="337"/>
      <c r="H1252" s="131"/>
      <c r="I1252" s="337"/>
      <c r="J1252" s="131"/>
      <c r="K1252" s="458" t="str">
        <f t="shared" si="682"/>
        <v/>
      </c>
      <c r="L1252" s="458">
        <f t="shared" si="683"/>
        <v>0</v>
      </c>
      <c r="M1252" s="458">
        <f t="shared" si="684"/>
        <v>0</v>
      </c>
      <c r="N1252" s="459" t="str">
        <f t="shared" si="695"/>
        <v/>
      </c>
      <c r="O1252" s="459" t="str">
        <f t="shared" si="696"/>
        <v/>
      </c>
      <c r="P1252" s="459" t="str">
        <f t="shared" si="697"/>
        <v/>
      </c>
      <c r="Q1252" s="459" t="str">
        <f t="shared" si="698"/>
        <v/>
      </c>
      <c r="R1252" s="459" t="str">
        <f t="shared" si="699"/>
        <v/>
      </c>
      <c r="S1252" s="459" t="str">
        <f t="shared" si="700"/>
        <v/>
      </c>
      <c r="T1252" s="566" t="str">
        <f t="shared" si="685"/>
        <v/>
      </c>
      <c r="U1252" s="702"/>
      <c r="V1252" s="132"/>
      <c r="W1252" s="133"/>
      <c r="X1252" s="134"/>
      <c r="Y1252" s="135"/>
      <c r="Z1252" s="137"/>
      <c r="AA1252" s="136"/>
      <c r="AB1252" s="566" t="str">
        <f t="shared" si="686"/>
        <v/>
      </c>
      <c r="AC1252" s="568" t="str">
        <f t="shared" si="687"/>
        <v/>
      </c>
      <c r="AD1252" s="137"/>
      <c r="AE1252" s="137"/>
      <c r="AF1252" s="138"/>
      <c r="AG1252" s="138"/>
      <c r="AH1252" s="592" t="str">
        <f t="shared" si="688"/>
        <v/>
      </c>
      <c r="AI1252" s="592" t="str">
        <f t="shared" si="689"/>
        <v/>
      </c>
      <c r="AJ1252" s="592" t="str">
        <f t="shared" si="690"/>
        <v/>
      </c>
      <c r="AK1252" s="460" t="str">
        <f>IF(AU1252="","",IF(OR(AZ1252=8,AZ1252=9),0,IF(OR(AW1252=3,AW1252=4,AW1252=5,AW1252=6),IF(LEFT(BF1252,1)="1",INDEX(係数_NOX・PM低減,MATCH(AY1252,【参考】排出係数!$AI$801:$AI$804,1),1),VLOOKUP(AU1252,INDEX((係数_バス貨物_ガソリン,係数_バス貨物_CNG,係数_バス貨物_軽油,係数_バス貨物_メタノール,係数_バス貨物_LPG),MATCH(AY1252,【参考】排出係数!$AI$4:$AI$671,1),1,BE1252):INDEX((係数_バス貨物_ガソリン,係数_バス貨物_CNG,係数_バス貨物_軽油,係数_バス貨物_メタノール,係数_バス貨物_LPG),MATCH(AY1252+1,【参考】排出係数!$AI$4:$AI$671,1)-1,5,BE1252),4,FALSE)),IF(AND(BE1252=3,LEFT(BF1252,1)="1"),0.48,VLOOKUP(AU1252,INDEX((係数_乗用_ガソリン,係数_乗用_CNG,係数_乗用_軽油,係数_乗用_メタノール,係数_乗用_LPG),1,1,BE1252):INDEX((係数_乗用_ガソリン,係数_乗用_CNG,係数_乗用_軽油,係数_乗用_メタノール,係数_乗用_LPG),125,5,BE1252),4,FALSE)))))</f>
        <v/>
      </c>
      <c r="AL1252" s="461" t="str">
        <f t="shared" si="691"/>
        <v/>
      </c>
      <c r="AM1252" s="460" t="str">
        <f>IF(AU1252="","",IF(OR(AZ1252=8,AZ1252=9),0,IF(OR(AW1252=3,AW1252=4,AW1252=5,AW1252=6),IF(LEFT(BH1252,1)="1",INDEX(係数_PM低減,MATCH(AY1252,【参考】排出係数!$AI$801:$AI$804,1),MATCH(BI1252,【参考】排出係数!$AL$798:$AO$798,1)),VLOOKUP(AU1252,INDEX((係数_バス貨物_ガソリン,係数_バス貨物_CNG,係数_バス貨物_軽油,係数_バス貨物_メタノール,係数_バス貨物_LPG),MATCH(AY1252,【参考】排出係数!$AI$4:$AI$671,1),1,BE1252):INDEX((係数_バス貨物_ガソリン,係数_バス貨物_CNG,係数_バス貨物_軽油,係数_バス貨物_メタノール,係数_バス貨物_LPG),MATCH(AY1252+1,【参考】排出係数!$AI$4:$AI$671,1)-1,5,BE1252),5,FALSE)),IF(AND(BE1252=3,LEFT(BF1252,1)="1"),0.055,VLOOKUP(AU1252,INDEX((係数_乗用_ガソリン,係数_乗用_CNG,係数_乗用_軽油,係数_乗用_メタノール,係数_乗用_LPG),1,1,BE1252):INDEX((係数_乗用_ガソリン,係数_乗用_CNG,係数_乗用_軽油,係数_乗用_メタノール,係数_乗用_LPG),125,5,BE1252),5,FALSE)))))</f>
        <v/>
      </c>
      <c r="AN1252" s="461" t="str">
        <f t="shared" si="692"/>
        <v/>
      </c>
      <c r="AO1252" s="462" t="str">
        <f t="shared" si="693"/>
        <v/>
      </c>
      <c r="AP1252" s="463" t="str">
        <f t="shared" si="694"/>
        <v/>
      </c>
      <c r="AQ1252" s="464"/>
      <c r="AR1252" s="619"/>
      <c r="AS1252" s="465" t="str">
        <f t="shared" si="702"/>
        <v/>
      </c>
      <c r="AT1252" s="465" t="str">
        <f t="shared" si="703"/>
        <v/>
      </c>
      <c r="AU1252" s="466" t="str">
        <f t="shared" si="704"/>
        <v/>
      </c>
      <c r="AV1252" s="467" t="str">
        <f t="shared" si="705"/>
        <v/>
      </c>
      <c r="AW1252" s="467" t="str">
        <f t="shared" si="706"/>
        <v/>
      </c>
      <c r="AX1252" s="467" t="str">
        <f t="shared" si="707"/>
        <v/>
      </c>
      <c r="AY1252" s="467" t="str">
        <f t="shared" si="708"/>
        <v/>
      </c>
      <c r="AZ1252" s="467" t="str">
        <f t="shared" si="709"/>
        <v/>
      </c>
      <c r="BA1252" s="468" t="str">
        <f>IF(AS1252="","",IF(OR(AU1252="",AU1252="-"),"－",IF(OR(AZ1252=8,AZ1252=9),"",IF(OR(AW1252=3,AW1252=4,AW1252=5,AW1252=6),VLOOKUP(AU1252,INDEX((係数_バス貨物_ガソリン,係数_バス貨物_CNG,係数_バス貨物_軽油,係数_バス貨物_メタノール,係数_バス貨物_LPG),MATCH(AY1252,【参考】排出係数!$AI$4:$AI$671,1),1,BE1252):INDEX((係数_バス貨物_ガソリン,係数_バス貨物_CNG,係数_バス貨物_軽油,係数_バス貨物_メタノール,係数_バス貨物_LPG),MATCH(AY1252+1,【参考】排出係数!$AI$4:$AI$671,1)-1,5,BE1252),2,FALSE),IF(OR(AW1252=1,AW1252=2),VLOOKUP(AU1252,INDEX((係数_乗用_ガソリン,係数_乗用_CNG,係数_乗用_軽油,係数_乗用_メタノール,係数_乗用_LPG),1,1,BE1252):INDEX((係数_乗用_ガソリン,係数_乗用_CNG,係数_乗用_軽油,係数_乗用_メタノール,係数_乗用_LPG),125,5,BE1252),2,FALSE))))))</f>
        <v/>
      </c>
      <c r="BB1252" s="468" t="str">
        <f>IF(T1252="","",IF(OR(AU1252="",AU1252="-"),"－",IF(OR(AZ1252=8,AZ1252=9),"",IF(OR(AW1252=3,AW1252=4,AW1252=5,AW1252=6),VLOOKUP(AU1252,INDEX((係数_バス貨物_ガソリン,係数_バス貨物_CNG,係数_バス貨物_軽油,係数_バス貨物_メタノール,係数_バス貨物_LPG),MATCH(AY1252,【参考】排出係数!$AI$4:$AI$671,1),1,BE1252):INDEX((係数_バス貨物_ガソリン,係数_バス貨物_CNG,係数_バス貨物_軽油,係数_バス貨物_メタノール,係数_バス貨物_LPG),MATCH(AY1252+1,【参考】排出係数!$AI$4:$AI$671,1)-1,5,BE1252),3,FALSE),IF(OR(AW1252=1,AW1252=2),VLOOKUP(AU1252,INDEX((係数_乗用_ガソリン,係数_乗用_CNG,係数_乗用_軽油,係数_乗用_メタノール,係数_乗用_LPG),1,1,BE1252):INDEX((係数_乗用_ガソリン,係数_乗用_CNG,係数_乗用_軽油,係数_乗用_メタノール,係数_乗用_LPG),125,5,BE1252),3,FALSE))))))</f>
        <v/>
      </c>
      <c r="BC1252" s="467" t="str">
        <f t="shared" si="710"/>
        <v/>
      </c>
      <c r="BD1252" s="567" t="str">
        <f t="shared" si="711"/>
        <v/>
      </c>
      <c r="BE1252" s="467" t="str">
        <f t="shared" si="712"/>
        <v/>
      </c>
      <c r="BF1252" s="469" t="str">
        <f t="shared" ca="1" si="713"/>
        <v/>
      </c>
      <c r="BG1252" s="469" t="str">
        <f t="shared" ca="1" si="714"/>
        <v/>
      </c>
      <c r="BH1252" s="467" t="str">
        <f t="shared" si="715"/>
        <v/>
      </c>
      <c r="BI1252" s="467" t="str">
        <f t="shared" ca="1" si="716"/>
        <v/>
      </c>
      <c r="BJ1252" s="469" t="str">
        <f t="shared" si="717"/>
        <v/>
      </c>
      <c r="BK1252" s="470" t="str">
        <f t="shared" si="701"/>
        <v/>
      </c>
      <c r="BL1252" s="775" t="str">
        <f t="shared" si="718"/>
        <v/>
      </c>
      <c r="BM1252" s="775" t="str">
        <f t="shared" si="719"/>
        <v/>
      </c>
    </row>
    <row r="1253" spans="1:65">
      <c r="A1253" s="473">
        <v>1197</v>
      </c>
      <c r="B1253" s="132"/>
      <c r="C1253" s="332"/>
      <c r="D1253" s="333"/>
      <c r="E1253" s="333"/>
      <c r="F1253" s="334"/>
      <c r="G1253" s="337"/>
      <c r="H1253" s="131"/>
      <c r="I1253" s="337"/>
      <c r="J1253" s="131"/>
      <c r="K1253" s="458" t="str">
        <f t="shared" si="682"/>
        <v/>
      </c>
      <c r="L1253" s="458">
        <f t="shared" si="683"/>
        <v>0</v>
      </c>
      <c r="M1253" s="458">
        <f t="shared" si="684"/>
        <v>0</v>
      </c>
      <c r="N1253" s="459" t="str">
        <f t="shared" si="695"/>
        <v/>
      </c>
      <c r="O1253" s="459" t="str">
        <f t="shared" si="696"/>
        <v/>
      </c>
      <c r="P1253" s="459" t="str">
        <f t="shared" si="697"/>
        <v/>
      </c>
      <c r="Q1253" s="459" t="str">
        <f t="shared" si="698"/>
        <v/>
      </c>
      <c r="R1253" s="459" t="str">
        <f t="shared" si="699"/>
        <v/>
      </c>
      <c r="S1253" s="459" t="str">
        <f t="shared" si="700"/>
        <v/>
      </c>
      <c r="T1253" s="566" t="str">
        <f t="shared" si="685"/>
        <v/>
      </c>
      <c r="U1253" s="702"/>
      <c r="V1253" s="132"/>
      <c r="W1253" s="133"/>
      <c r="X1253" s="134"/>
      <c r="Y1253" s="135"/>
      <c r="Z1253" s="137"/>
      <c r="AA1253" s="136"/>
      <c r="AB1253" s="566" t="str">
        <f t="shared" si="686"/>
        <v/>
      </c>
      <c r="AC1253" s="568" t="str">
        <f t="shared" si="687"/>
        <v/>
      </c>
      <c r="AD1253" s="137"/>
      <c r="AE1253" s="137"/>
      <c r="AF1253" s="138"/>
      <c r="AG1253" s="138"/>
      <c r="AH1253" s="592" t="str">
        <f t="shared" si="688"/>
        <v/>
      </c>
      <c r="AI1253" s="592" t="str">
        <f t="shared" si="689"/>
        <v/>
      </c>
      <c r="AJ1253" s="592" t="str">
        <f t="shared" si="690"/>
        <v/>
      </c>
      <c r="AK1253" s="460" t="str">
        <f>IF(AU1253="","",IF(OR(AZ1253=8,AZ1253=9),0,IF(OR(AW1253=3,AW1253=4,AW1253=5,AW1253=6),IF(LEFT(BF1253,1)="1",INDEX(係数_NOX・PM低減,MATCH(AY1253,【参考】排出係数!$AI$801:$AI$804,1),1),VLOOKUP(AU1253,INDEX((係数_バス貨物_ガソリン,係数_バス貨物_CNG,係数_バス貨物_軽油,係数_バス貨物_メタノール,係数_バス貨物_LPG),MATCH(AY1253,【参考】排出係数!$AI$4:$AI$671,1),1,BE1253):INDEX((係数_バス貨物_ガソリン,係数_バス貨物_CNG,係数_バス貨物_軽油,係数_バス貨物_メタノール,係数_バス貨物_LPG),MATCH(AY1253+1,【参考】排出係数!$AI$4:$AI$671,1)-1,5,BE1253),4,FALSE)),IF(AND(BE1253=3,LEFT(BF1253,1)="1"),0.48,VLOOKUP(AU1253,INDEX((係数_乗用_ガソリン,係数_乗用_CNG,係数_乗用_軽油,係数_乗用_メタノール,係数_乗用_LPG),1,1,BE1253):INDEX((係数_乗用_ガソリン,係数_乗用_CNG,係数_乗用_軽油,係数_乗用_メタノール,係数_乗用_LPG),125,5,BE1253),4,FALSE)))))</f>
        <v/>
      </c>
      <c r="AL1253" s="461" t="str">
        <f t="shared" si="691"/>
        <v/>
      </c>
      <c r="AM1253" s="460" t="str">
        <f>IF(AU1253="","",IF(OR(AZ1253=8,AZ1253=9),0,IF(OR(AW1253=3,AW1253=4,AW1253=5,AW1253=6),IF(LEFT(BH1253,1)="1",INDEX(係数_PM低減,MATCH(AY1253,【参考】排出係数!$AI$801:$AI$804,1),MATCH(BI1253,【参考】排出係数!$AL$798:$AO$798,1)),VLOOKUP(AU1253,INDEX((係数_バス貨物_ガソリン,係数_バス貨物_CNG,係数_バス貨物_軽油,係数_バス貨物_メタノール,係数_バス貨物_LPG),MATCH(AY1253,【参考】排出係数!$AI$4:$AI$671,1),1,BE1253):INDEX((係数_バス貨物_ガソリン,係数_バス貨物_CNG,係数_バス貨物_軽油,係数_バス貨物_メタノール,係数_バス貨物_LPG),MATCH(AY1253+1,【参考】排出係数!$AI$4:$AI$671,1)-1,5,BE1253),5,FALSE)),IF(AND(BE1253=3,LEFT(BF1253,1)="1"),0.055,VLOOKUP(AU1253,INDEX((係数_乗用_ガソリン,係数_乗用_CNG,係数_乗用_軽油,係数_乗用_メタノール,係数_乗用_LPG),1,1,BE1253):INDEX((係数_乗用_ガソリン,係数_乗用_CNG,係数_乗用_軽油,係数_乗用_メタノール,係数_乗用_LPG),125,5,BE1253),5,FALSE)))))</f>
        <v/>
      </c>
      <c r="AN1253" s="461" t="str">
        <f t="shared" si="692"/>
        <v/>
      </c>
      <c r="AO1253" s="462" t="str">
        <f t="shared" si="693"/>
        <v/>
      </c>
      <c r="AP1253" s="463" t="str">
        <f t="shared" si="694"/>
        <v/>
      </c>
      <c r="AQ1253" s="464"/>
      <c r="AR1253" s="619"/>
      <c r="AS1253" s="465" t="str">
        <f t="shared" si="702"/>
        <v/>
      </c>
      <c r="AT1253" s="465" t="str">
        <f t="shared" si="703"/>
        <v/>
      </c>
      <c r="AU1253" s="466" t="str">
        <f t="shared" si="704"/>
        <v/>
      </c>
      <c r="AV1253" s="467" t="str">
        <f t="shared" si="705"/>
        <v/>
      </c>
      <c r="AW1253" s="467" t="str">
        <f t="shared" si="706"/>
        <v/>
      </c>
      <c r="AX1253" s="467" t="str">
        <f t="shared" si="707"/>
        <v/>
      </c>
      <c r="AY1253" s="467" t="str">
        <f t="shared" si="708"/>
        <v/>
      </c>
      <c r="AZ1253" s="467" t="str">
        <f t="shared" si="709"/>
        <v/>
      </c>
      <c r="BA1253" s="468" t="str">
        <f>IF(AS1253="","",IF(OR(AU1253="",AU1253="-"),"－",IF(OR(AZ1253=8,AZ1253=9),"",IF(OR(AW1253=3,AW1253=4,AW1253=5,AW1253=6),VLOOKUP(AU1253,INDEX((係数_バス貨物_ガソリン,係数_バス貨物_CNG,係数_バス貨物_軽油,係数_バス貨物_メタノール,係数_バス貨物_LPG),MATCH(AY1253,【参考】排出係数!$AI$4:$AI$671,1),1,BE1253):INDEX((係数_バス貨物_ガソリン,係数_バス貨物_CNG,係数_バス貨物_軽油,係数_バス貨物_メタノール,係数_バス貨物_LPG),MATCH(AY1253+1,【参考】排出係数!$AI$4:$AI$671,1)-1,5,BE1253),2,FALSE),IF(OR(AW1253=1,AW1253=2),VLOOKUP(AU1253,INDEX((係数_乗用_ガソリン,係数_乗用_CNG,係数_乗用_軽油,係数_乗用_メタノール,係数_乗用_LPG),1,1,BE1253):INDEX((係数_乗用_ガソリン,係数_乗用_CNG,係数_乗用_軽油,係数_乗用_メタノール,係数_乗用_LPG),125,5,BE1253),2,FALSE))))))</f>
        <v/>
      </c>
      <c r="BB1253" s="468" t="str">
        <f>IF(T1253="","",IF(OR(AU1253="",AU1253="-"),"－",IF(OR(AZ1253=8,AZ1253=9),"",IF(OR(AW1253=3,AW1253=4,AW1253=5,AW1253=6),VLOOKUP(AU1253,INDEX((係数_バス貨物_ガソリン,係数_バス貨物_CNG,係数_バス貨物_軽油,係数_バス貨物_メタノール,係数_バス貨物_LPG),MATCH(AY1253,【参考】排出係数!$AI$4:$AI$671,1),1,BE1253):INDEX((係数_バス貨物_ガソリン,係数_バス貨物_CNG,係数_バス貨物_軽油,係数_バス貨物_メタノール,係数_バス貨物_LPG),MATCH(AY1253+1,【参考】排出係数!$AI$4:$AI$671,1)-1,5,BE1253),3,FALSE),IF(OR(AW1253=1,AW1253=2),VLOOKUP(AU1253,INDEX((係数_乗用_ガソリン,係数_乗用_CNG,係数_乗用_軽油,係数_乗用_メタノール,係数_乗用_LPG),1,1,BE1253):INDEX((係数_乗用_ガソリン,係数_乗用_CNG,係数_乗用_軽油,係数_乗用_メタノール,係数_乗用_LPG),125,5,BE1253),3,FALSE))))))</f>
        <v/>
      </c>
      <c r="BC1253" s="467" t="str">
        <f t="shared" si="710"/>
        <v/>
      </c>
      <c r="BD1253" s="567" t="str">
        <f t="shared" si="711"/>
        <v/>
      </c>
      <c r="BE1253" s="467" t="str">
        <f t="shared" si="712"/>
        <v/>
      </c>
      <c r="BF1253" s="469" t="str">
        <f t="shared" ca="1" si="713"/>
        <v/>
      </c>
      <c r="BG1253" s="469" t="str">
        <f t="shared" ca="1" si="714"/>
        <v/>
      </c>
      <c r="BH1253" s="467" t="str">
        <f t="shared" si="715"/>
        <v/>
      </c>
      <c r="BI1253" s="467" t="str">
        <f t="shared" ca="1" si="716"/>
        <v/>
      </c>
      <c r="BJ1253" s="469" t="str">
        <f t="shared" si="717"/>
        <v/>
      </c>
      <c r="BK1253" s="470" t="str">
        <f t="shared" si="701"/>
        <v/>
      </c>
      <c r="BL1253" s="775" t="str">
        <f t="shared" si="718"/>
        <v/>
      </c>
      <c r="BM1253" s="775" t="str">
        <f t="shared" si="719"/>
        <v/>
      </c>
    </row>
    <row r="1254" spans="1:65">
      <c r="A1254" s="473">
        <v>1198</v>
      </c>
      <c r="B1254" s="132"/>
      <c r="C1254" s="332"/>
      <c r="D1254" s="333"/>
      <c r="E1254" s="333"/>
      <c r="F1254" s="334"/>
      <c r="G1254" s="337"/>
      <c r="H1254" s="131"/>
      <c r="I1254" s="337"/>
      <c r="J1254" s="131"/>
      <c r="K1254" s="458" t="str">
        <f t="shared" si="682"/>
        <v/>
      </c>
      <c r="L1254" s="458">
        <f t="shared" si="683"/>
        <v>0</v>
      </c>
      <c r="M1254" s="458">
        <f t="shared" si="684"/>
        <v>0</v>
      </c>
      <c r="N1254" s="459" t="str">
        <f t="shared" si="695"/>
        <v/>
      </c>
      <c r="O1254" s="459" t="str">
        <f t="shared" si="696"/>
        <v/>
      </c>
      <c r="P1254" s="459" t="str">
        <f t="shared" si="697"/>
        <v/>
      </c>
      <c r="Q1254" s="459" t="str">
        <f t="shared" si="698"/>
        <v/>
      </c>
      <c r="R1254" s="459" t="str">
        <f t="shared" si="699"/>
        <v/>
      </c>
      <c r="S1254" s="459" t="str">
        <f t="shared" si="700"/>
        <v/>
      </c>
      <c r="T1254" s="566" t="str">
        <f t="shared" si="685"/>
        <v/>
      </c>
      <c r="U1254" s="702"/>
      <c r="V1254" s="132"/>
      <c r="W1254" s="133"/>
      <c r="X1254" s="134"/>
      <c r="Y1254" s="135"/>
      <c r="Z1254" s="137"/>
      <c r="AA1254" s="136"/>
      <c r="AB1254" s="566" t="str">
        <f t="shared" si="686"/>
        <v/>
      </c>
      <c r="AC1254" s="568" t="str">
        <f t="shared" si="687"/>
        <v/>
      </c>
      <c r="AD1254" s="137"/>
      <c r="AE1254" s="137"/>
      <c r="AF1254" s="138"/>
      <c r="AG1254" s="138"/>
      <c r="AH1254" s="592" t="str">
        <f t="shared" si="688"/>
        <v/>
      </c>
      <c r="AI1254" s="592" t="str">
        <f t="shared" si="689"/>
        <v/>
      </c>
      <c r="AJ1254" s="592" t="str">
        <f t="shared" si="690"/>
        <v/>
      </c>
      <c r="AK1254" s="460" t="str">
        <f>IF(AU1254="","",IF(OR(AZ1254=8,AZ1254=9),0,IF(OR(AW1254=3,AW1254=4,AW1254=5,AW1254=6),IF(LEFT(BF1254,1)="1",INDEX(係数_NOX・PM低減,MATCH(AY1254,【参考】排出係数!$AI$801:$AI$804,1),1),VLOOKUP(AU1254,INDEX((係数_バス貨物_ガソリン,係数_バス貨物_CNG,係数_バス貨物_軽油,係数_バス貨物_メタノール,係数_バス貨物_LPG),MATCH(AY1254,【参考】排出係数!$AI$4:$AI$671,1),1,BE1254):INDEX((係数_バス貨物_ガソリン,係数_バス貨物_CNG,係数_バス貨物_軽油,係数_バス貨物_メタノール,係数_バス貨物_LPG),MATCH(AY1254+1,【参考】排出係数!$AI$4:$AI$671,1)-1,5,BE1254),4,FALSE)),IF(AND(BE1254=3,LEFT(BF1254,1)="1"),0.48,VLOOKUP(AU1254,INDEX((係数_乗用_ガソリン,係数_乗用_CNG,係数_乗用_軽油,係数_乗用_メタノール,係数_乗用_LPG),1,1,BE1254):INDEX((係数_乗用_ガソリン,係数_乗用_CNG,係数_乗用_軽油,係数_乗用_メタノール,係数_乗用_LPG),125,5,BE1254),4,FALSE)))))</f>
        <v/>
      </c>
      <c r="AL1254" s="461" t="str">
        <f t="shared" si="691"/>
        <v/>
      </c>
      <c r="AM1254" s="460" t="str">
        <f>IF(AU1254="","",IF(OR(AZ1254=8,AZ1254=9),0,IF(OR(AW1254=3,AW1254=4,AW1254=5,AW1254=6),IF(LEFT(BH1254,1)="1",INDEX(係数_PM低減,MATCH(AY1254,【参考】排出係数!$AI$801:$AI$804,1),MATCH(BI1254,【参考】排出係数!$AL$798:$AO$798,1)),VLOOKUP(AU1254,INDEX((係数_バス貨物_ガソリン,係数_バス貨物_CNG,係数_バス貨物_軽油,係数_バス貨物_メタノール,係数_バス貨物_LPG),MATCH(AY1254,【参考】排出係数!$AI$4:$AI$671,1),1,BE1254):INDEX((係数_バス貨物_ガソリン,係数_バス貨物_CNG,係数_バス貨物_軽油,係数_バス貨物_メタノール,係数_バス貨物_LPG),MATCH(AY1254+1,【参考】排出係数!$AI$4:$AI$671,1)-1,5,BE1254),5,FALSE)),IF(AND(BE1254=3,LEFT(BF1254,1)="1"),0.055,VLOOKUP(AU1254,INDEX((係数_乗用_ガソリン,係数_乗用_CNG,係数_乗用_軽油,係数_乗用_メタノール,係数_乗用_LPG),1,1,BE1254):INDEX((係数_乗用_ガソリン,係数_乗用_CNG,係数_乗用_軽油,係数_乗用_メタノール,係数_乗用_LPG),125,5,BE1254),5,FALSE)))))</f>
        <v/>
      </c>
      <c r="AN1254" s="461" t="str">
        <f t="shared" si="692"/>
        <v/>
      </c>
      <c r="AO1254" s="462" t="str">
        <f t="shared" si="693"/>
        <v/>
      </c>
      <c r="AP1254" s="463" t="str">
        <f t="shared" si="694"/>
        <v/>
      </c>
      <c r="AQ1254" s="464"/>
      <c r="AR1254" s="619"/>
      <c r="AS1254" s="465" t="str">
        <f t="shared" si="702"/>
        <v/>
      </c>
      <c r="AT1254" s="465" t="str">
        <f t="shared" si="703"/>
        <v/>
      </c>
      <c r="AU1254" s="466" t="str">
        <f t="shared" si="704"/>
        <v/>
      </c>
      <c r="AV1254" s="467" t="str">
        <f t="shared" si="705"/>
        <v/>
      </c>
      <c r="AW1254" s="467" t="str">
        <f t="shared" si="706"/>
        <v/>
      </c>
      <c r="AX1254" s="467" t="str">
        <f t="shared" si="707"/>
        <v/>
      </c>
      <c r="AY1254" s="467" t="str">
        <f t="shared" si="708"/>
        <v/>
      </c>
      <c r="AZ1254" s="467" t="str">
        <f t="shared" si="709"/>
        <v/>
      </c>
      <c r="BA1254" s="468" t="str">
        <f>IF(AS1254="","",IF(OR(AU1254="",AU1254="-"),"－",IF(OR(AZ1254=8,AZ1254=9),"",IF(OR(AW1254=3,AW1254=4,AW1254=5,AW1254=6),VLOOKUP(AU1254,INDEX((係数_バス貨物_ガソリン,係数_バス貨物_CNG,係数_バス貨物_軽油,係数_バス貨物_メタノール,係数_バス貨物_LPG),MATCH(AY1254,【参考】排出係数!$AI$4:$AI$671,1),1,BE1254):INDEX((係数_バス貨物_ガソリン,係数_バス貨物_CNG,係数_バス貨物_軽油,係数_バス貨物_メタノール,係数_バス貨物_LPG),MATCH(AY1254+1,【参考】排出係数!$AI$4:$AI$671,1)-1,5,BE1254),2,FALSE),IF(OR(AW1254=1,AW1254=2),VLOOKUP(AU1254,INDEX((係数_乗用_ガソリン,係数_乗用_CNG,係数_乗用_軽油,係数_乗用_メタノール,係数_乗用_LPG),1,1,BE1254):INDEX((係数_乗用_ガソリン,係数_乗用_CNG,係数_乗用_軽油,係数_乗用_メタノール,係数_乗用_LPG),125,5,BE1254),2,FALSE))))))</f>
        <v/>
      </c>
      <c r="BB1254" s="468" t="str">
        <f>IF(T1254="","",IF(OR(AU1254="",AU1254="-"),"－",IF(OR(AZ1254=8,AZ1254=9),"",IF(OR(AW1254=3,AW1254=4,AW1254=5,AW1254=6),VLOOKUP(AU1254,INDEX((係数_バス貨物_ガソリン,係数_バス貨物_CNG,係数_バス貨物_軽油,係数_バス貨物_メタノール,係数_バス貨物_LPG),MATCH(AY1254,【参考】排出係数!$AI$4:$AI$671,1),1,BE1254):INDEX((係数_バス貨物_ガソリン,係数_バス貨物_CNG,係数_バス貨物_軽油,係数_バス貨物_メタノール,係数_バス貨物_LPG),MATCH(AY1254+1,【参考】排出係数!$AI$4:$AI$671,1)-1,5,BE1254),3,FALSE),IF(OR(AW1254=1,AW1254=2),VLOOKUP(AU1254,INDEX((係数_乗用_ガソリン,係数_乗用_CNG,係数_乗用_軽油,係数_乗用_メタノール,係数_乗用_LPG),1,1,BE1254):INDEX((係数_乗用_ガソリン,係数_乗用_CNG,係数_乗用_軽油,係数_乗用_メタノール,係数_乗用_LPG),125,5,BE1254),3,FALSE))))))</f>
        <v/>
      </c>
      <c r="BC1254" s="467" t="str">
        <f t="shared" si="710"/>
        <v/>
      </c>
      <c r="BD1254" s="567" t="str">
        <f t="shared" si="711"/>
        <v/>
      </c>
      <c r="BE1254" s="467" t="str">
        <f t="shared" si="712"/>
        <v/>
      </c>
      <c r="BF1254" s="469" t="str">
        <f t="shared" ca="1" si="713"/>
        <v/>
      </c>
      <c r="BG1254" s="469" t="str">
        <f t="shared" ca="1" si="714"/>
        <v/>
      </c>
      <c r="BH1254" s="467" t="str">
        <f t="shared" si="715"/>
        <v/>
      </c>
      <c r="BI1254" s="467" t="str">
        <f t="shared" ca="1" si="716"/>
        <v/>
      </c>
      <c r="BJ1254" s="469" t="str">
        <f t="shared" si="717"/>
        <v/>
      </c>
      <c r="BK1254" s="470" t="str">
        <f t="shared" si="701"/>
        <v/>
      </c>
      <c r="BL1254" s="775" t="str">
        <f t="shared" si="718"/>
        <v/>
      </c>
      <c r="BM1254" s="775" t="str">
        <f t="shared" si="719"/>
        <v/>
      </c>
    </row>
    <row r="1255" spans="1:65">
      <c r="A1255" s="473">
        <v>1199</v>
      </c>
      <c r="B1255" s="132"/>
      <c r="C1255" s="332"/>
      <c r="D1255" s="333"/>
      <c r="E1255" s="333"/>
      <c r="F1255" s="334"/>
      <c r="G1255" s="337"/>
      <c r="H1255" s="131"/>
      <c r="I1255" s="337"/>
      <c r="J1255" s="131"/>
      <c r="K1255" s="458" t="str">
        <f t="shared" si="682"/>
        <v/>
      </c>
      <c r="L1255" s="458">
        <f t="shared" si="683"/>
        <v>0</v>
      </c>
      <c r="M1255" s="458">
        <f t="shared" si="684"/>
        <v>0</v>
      </c>
      <c r="N1255" s="459" t="str">
        <f t="shared" si="695"/>
        <v/>
      </c>
      <c r="O1255" s="459" t="str">
        <f t="shared" si="696"/>
        <v/>
      </c>
      <c r="P1255" s="459" t="str">
        <f t="shared" si="697"/>
        <v/>
      </c>
      <c r="Q1255" s="459" t="str">
        <f t="shared" si="698"/>
        <v/>
      </c>
      <c r="R1255" s="459" t="str">
        <f t="shared" si="699"/>
        <v/>
      </c>
      <c r="S1255" s="459" t="str">
        <f t="shared" si="700"/>
        <v/>
      </c>
      <c r="T1255" s="566" t="str">
        <f t="shared" si="685"/>
        <v/>
      </c>
      <c r="U1255" s="702"/>
      <c r="V1255" s="132"/>
      <c r="W1255" s="133"/>
      <c r="X1255" s="134"/>
      <c r="Y1255" s="135"/>
      <c r="Z1255" s="137"/>
      <c r="AA1255" s="136"/>
      <c r="AB1255" s="566" t="str">
        <f t="shared" si="686"/>
        <v/>
      </c>
      <c r="AC1255" s="568" t="str">
        <f t="shared" si="687"/>
        <v/>
      </c>
      <c r="AD1255" s="137"/>
      <c r="AE1255" s="137"/>
      <c r="AF1255" s="138"/>
      <c r="AG1255" s="138"/>
      <c r="AH1255" s="592" t="str">
        <f t="shared" si="688"/>
        <v/>
      </c>
      <c r="AI1255" s="592" t="str">
        <f t="shared" si="689"/>
        <v/>
      </c>
      <c r="AJ1255" s="592" t="str">
        <f t="shared" si="690"/>
        <v/>
      </c>
      <c r="AK1255" s="460" t="str">
        <f>IF(AU1255="","",IF(OR(AZ1255=8,AZ1255=9),0,IF(OR(AW1255=3,AW1255=4,AW1255=5,AW1255=6),IF(LEFT(BF1255,1)="1",INDEX(係数_NOX・PM低減,MATCH(AY1255,【参考】排出係数!$AI$801:$AI$804,1),1),VLOOKUP(AU1255,INDEX((係数_バス貨物_ガソリン,係数_バス貨物_CNG,係数_バス貨物_軽油,係数_バス貨物_メタノール,係数_バス貨物_LPG),MATCH(AY1255,【参考】排出係数!$AI$4:$AI$671,1),1,BE1255):INDEX((係数_バス貨物_ガソリン,係数_バス貨物_CNG,係数_バス貨物_軽油,係数_バス貨物_メタノール,係数_バス貨物_LPG),MATCH(AY1255+1,【参考】排出係数!$AI$4:$AI$671,1)-1,5,BE1255),4,FALSE)),IF(AND(BE1255=3,LEFT(BF1255,1)="1"),0.48,VLOOKUP(AU1255,INDEX((係数_乗用_ガソリン,係数_乗用_CNG,係数_乗用_軽油,係数_乗用_メタノール,係数_乗用_LPG),1,1,BE1255):INDEX((係数_乗用_ガソリン,係数_乗用_CNG,係数_乗用_軽油,係数_乗用_メタノール,係数_乗用_LPG),125,5,BE1255),4,FALSE)))))</f>
        <v/>
      </c>
      <c r="AL1255" s="461" t="str">
        <f t="shared" si="691"/>
        <v/>
      </c>
      <c r="AM1255" s="460" t="str">
        <f>IF(AU1255="","",IF(OR(AZ1255=8,AZ1255=9),0,IF(OR(AW1255=3,AW1255=4,AW1255=5,AW1255=6),IF(LEFT(BH1255,1)="1",INDEX(係数_PM低減,MATCH(AY1255,【参考】排出係数!$AI$801:$AI$804,1),MATCH(BI1255,【参考】排出係数!$AL$798:$AO$798,1)),VLOOKUP(AU1255,INDEX((係数_バス貨物_ガソリン,係数_バス貨物_CNG,係数_バス貨物_軽油,係数_バス貨物_メタノール,係数_バス貨物_LPG),MATCH(AY1255,【参考】排出係数!$AI$4:$AI$671,1),1,BE1255):INDEX((係数_バス貨物_ガソリン,係数_バス貨物_CNG,係数_バス貨物_軽油,係数_バス貨物_メタノール,係数_バス貨物_LPG),MATCH(AY1255+1,【参考】排出係数!$AI$4:$AI$671,1)-1,5,BE1255),5,FALSE)),IF(AND(BE1255=3,LEFT(BF1255,1)="1"),0.055,VLOOKUP(AU1255,INDEX((係数_乗用_ガソリン,係数_乗用_CNG,係数_乗用_軽油,係数_乗用_メタノール,係数_乗用_LPG),1,1,BE1255):INDEX((係数_乗用_ガソリン,係数_乗用_CNG,係数_乗用_軽油,係数_乗用_メタノール,係数_乗用_LPG),125,5,BE1255),5,FALSE)))))</f>
        <v/>
      </c>
      <c r="AN1255" s="461" t="str">
        <f t="shared" si="692"/>
        <v/>
      </c>
      <c r="AO1255" s="462" t="str">
        <f t="shared" si="693"/>
        <v/>
      </c>
      <c r="AP1255" s="463" t="str">
        <f t="shared" si="694"/>
        <v/>
      </c>
      <c r="AQ1255" s="464"/>
      <c r="AR1255" s="619"/>
      <c r="AS1255" s="465" t="str">
        <f t="shared" si="702"/>
        <v/>
      </c>
      <c r="AT1255" s="465" t="str">
        <f t="shared" si="703"/>
        <v/>
      </c>
      <c r="AU1255" s="466" t="str">
        <f t="shared" si="704"/>
        <v/>
      </c>
      <c r="AV1255" s="467" t="str">
        <f t="shared" si="705"/>
        <v/>
      </c>
      <c r="AW1255" s="467" t="str">
        <f t="shared" si="706"/>
        <v/>
      </c>
      <c r="AX1255" s="467" t="str">
        <f t="shared" si="707"/>
        <v/>
      </c>
      <c r="AY1255" s="467" t="str">
        <f t="shared" si="708"/>
        <v/>
      </c>
      <c r="AZ1255" s="467" t="str">
        <f t="shared" si="709"/>
        <v/>
      </c>
      <c r="BA1255" s="468" t="str">
        <f>IF(AS1255="","",IF(OR(AU1255="",AU1255="-"),"－",IF(OR(AZ1255=8,AZ1255=9),"",IF(OR(AW1255=3,AW1255=4,AW1255=5,AW1255=6),VLOOKUP(AU1255,INDEX((係数_バス貨物_ガソリン,係数_バス貨物_CNG,係数_バス貨物_軽油,係数_バス貨物_メタノール,係数_バス貨物_LPG),MATCH(AY1255,【参考】排出係数!$AI$4:$AI$671,1),1,BE1255):INDEX((係数_バス貨物_ガソリン,係数_バス貨物_CNG,係数_バス貨物_軽油,係数_バス貨物_メタノール,係数_バス貨物_LPG),MATCH(AY1255+1,【参考】排出係数!$AI$4:$AI$671,1)-1,5,BE1255),2,FALSE),IF(OR(AW1255=1,AW1255=2),VLOOKUP(AU1255,INDEX((係数_乗用_ガソリン,係数_乗用_CNG,係数_乗用_軽油,係数_乗用_メタノール,係数_乗用_LPG),1,1,BE1255):INDEX((係数_乗用_ガソリン,係数_乗用_CNG,係数_乗用_軽油,係数_乗用_メタノール,係数_乗用_LPG),125,5,BE1255),2,FALSE))))))</f>
        <v/>
      </c>
      <c r="BB1255" s="468" t="str">
        <f>IF(T1255="","",IF(OR(AU1255="",AU1255="-"),"－",IF(OR(AZ1255=8,AZ1255=9),"",IF(OR(AW1255=3,AW1255=4,AW1255=5,AW1255=6),VLOOKUP(AU1255,INDEX((係数_バス貨物_ガソリン,係数_バス貨物_CNG,係数_バス貨物_軽油,係数_バス貨物_メタノール,係数_バス貨物_LPG),MATCH(AY1255,【参考】排出係数!$AI$4:$AI$671,1),1,BE1255):INDEX((係数_バス貨物_ガソリン,係数_バス貨物_CNG,係数_バス貨物_軽油,係数_バス貨物_メタノール,係数_バス貨物_LPG),MATCH(AY1255+1,【参考】排出係数!$AI$4:$AI$671,1)-1,5,BE1255),3,FALSE),IF(OR(AW1255=1,AW1255=2),VLOOKUP(AU1255,INDEX((係数_乗用_ガソリン,係数_乗用_CNG,係数_乗用_軽油,係数_乗用_メタノール,係数_乗用_LPG),1,1,BE1255):INDEX((係数_乗用_ガソリン,係数_乗用_CNG,係数_乗用_軽油,係数_乗用_メタノール,係数_乗用_LPG),125,5,BE1255),3,FALSE))))))</f>
        <v/>
      </c>
      <c r="BC1255" s="467" t="str">
        <f t="shared" si="710"/>
        <v/>
      </c>
      <c r="BD1255" s="567" t="str">
        <f t="shared" si="711"/>
        <v/>
      </c>
      <c r="BE1255" s="467" t="str">
        <f t="shared" si="712"/>
        <v/>
      </c>
      <c r="BF1255" s="469" t="str">
        <f t="shared" ca="1" si="713"/>
        <v/>
      </c>
      <c r="BG1255" s="469" t="str">
        <f t="shared" ca="1" si="714"/>
        <v/>
      </c>
      <c r="BH1255" s="467" t="str">
        <f t="shared" si="715"/>
        <v/>
      </c>
      <c r="BI1255" s="467" t="str">
        <f t="shared" ca="1" si="716"/>
        <v/>
      </c>
      <c r="BJ1255" s="469" t="str">
        <f t="shared" si="717"/>
        <v/>
      </c>
      <c r="BK1255" s="470" t="str">
        <f t="shared" si="701"/>
        <v/>
      </c>
      <c r="BL1255" s="775" t="str">
        <f t="shared" si="718"/>
        <v/>
      </c>
      <c r="BM1255" s="775" t="str">
        <f t="shared" si="719"/>
        <v/>
      </c>
    </row>
    <row r="1256" spans="1:65">
      <c r="A1256" s="473">
        <v>1200</v>
      </c>
      <c r="B1256" s="132"/>
      <c r="C1256" s="332"/>
      <c r="D1256" s="333"/>
      <c r="E1256" s="333"/>
      <c r="F1256" s="334"/>
      <c r="G1256" s="337"/>
      <c r="H1256" s="131"/>
      <c r="I1256" s="337"/>
      <c r="J1256" s="131"/>
      <c r="K1256" s="458" t="str">
        <f t="shared" si="682"/>
        <v/>
      </c>
      <c r="L1256" s="458">
        <f t="shared" si="683"/>
        <v>0</v>
      </c>
      <c r="M1256" s="458">
        <f t="shared" si="684"/>
        <v>0</v>
      </c>
      <c r="N1256" s="459" t="str">
        <f t="shared" si="695"/>
        <v/>
      </c>
      <c r="O1256" s="459" t="str">
        <f t="shared" si="696"/>
        <v/>
      </c>
      <c r="P1256" s="459" t="str">
        <f t="shared" si="697"/>
        <v/>
      </c>
      <c r="Q1256" s="459" t="str">
        <f t="shared" si="698"/>
        <v/>
      </c>
      <c r="R1256" s="459" t="str">
        <f t="shared" si="699"/>
        <v/>
      </c>
      <c r="S1256" s="459" t="str">
        <f t="shared" si="700"/>
        <v/>
      </c>
      <c r="T1256" s="566" t="str">
        <f t="shared" si="685"/>
        <v/>
      </c>
      <c r="U1256" s="702"/>
      <c r="V1256" s="132"/>
      <c r="W1256" s="133"/>
      <c r="X1256" s="134"/>
      <c r="Y1256" s="135"/>
      <c r="Z1256" s="137"/>
      <c r="AA1256" s="136"/>
      <c r="AB1256" s="566" t="str">
        <f t="shared" si="686"/>
        <v/>
      </c>
      <c r="AC1256" s="568" t="str">
        <f t="shared" si="687"/>
        <v/>
      </c>
      <c r="AD1256" s="137"/>
      <c r="AE1256" s="137"/>
      <c r="AF1256" s="138"/>
      <c r="AG1256" s="138"/>
      <c r="AH1256" s="592" t="str">
        <f t="shared" si="688"/>
        <v/>
      </c>
      <c r="AI1256" s="592" t="str">
        <f t="shared" si="689"/>
        <v/>
      </c>
      <c r="AJ1256" s="592" t="str">
        <f t="shared" si="690"/>
        <v/>
      </c>
      <c r="AK1256" s="460" t="str">
        <f>IF(AU1256="","",IF(OR(AZ1256=8,AZ1256=9),0,IF(OR(AW1256=3,AW1256=4,AW1256=5,AW1256=6),IF(LEFT(BF1256,1)="1",INDEX(係数_NOX・PM低減,MATCH(AY1256,【参考】排出係数!$AI$801:$AI$804,1),1),VLOOKUP(AU1256,INDEX((係数_バス貨物_ガソリン,係数_バス貨物_CNG,係数_バス貨物_軽油,係数_バス貨物_メタノール,係数_バス貨物_LPG),MATCH(AY1256,【参考】排出係数!$AI$4:$AI$671,1),1,BE1256):INDEX((係数_バス貨物_ガソリン,係数_バス貨物_CNG,係数_バス貨物_軽油,係数_バス貨物_メタノール,係数_バス貨物_LPG),MATCH(AY1256+1,【参考】排出係数!$AI$4:$AI$671,1)-1,5,BE1256),4,FALSE)),IF(AND(BE1256=3,LEFT(BF1256,1)="1"),0.48,VLOOKUP(AU1256,INDEX((係数_乗用_ガソリン,係数_乗用_CNG,係数_乗用_軽油,係数_乗用_メタノール,係数_乗用_LPG),1,1,BE1256):INDEX((係数_乗用_ガソリン,係数_乗用_CNG,係数_乗用_軽油,係数_乗用_メタノール,係数_乗用_LPG),125,5,BE1256),4,FALSE)))))</f>
        <v/>
      </c>
      <c r="AL1256" s="461" t="str">
        <f t="shared" si="691"/>
        <v/>
      </c>
      <c r="AM1256" s="460" t="str">
        <f>IF(AU1256="","",IF(OR(AZ1256=8,AZ1256=9),0,IF(OR(AW1256=3,AW1256=4,AW1256=5,AW1256=6),IF(LEFT(BH1256,1)="1",INDEX(係数_PM低減,MATCH(AY1256,【参考】排出係数!$AI$801:$AI$804,1),MATCH(BI1256,【参考】排出係数!$AL$798:$AO$798,1)),VLOOKUP(AU1256,INDEX((係数_バス貨物_ガソリン,係数_バス貨物_CNG,係数_バス貨物_軽油,係数_バス貨物_メタノール,係数_バス貨物_LPG),MATCH(AY1256,【参考】排出係数!$AI$4:$AI$671,1),1,BE1256):INDEX((係数_バス貨物_ガソリン,係数_バス貨物_CNG,係数_バス貨物_軽油,係数_バス貨物_メタノール,係数_バス貨物_LPG),MATCH(AY1256+1,【参考】排出係数!$AI$4:$AI$671,1)-1,5,BE1256),5,FALSE)),IF(AND(BE1256=3,LEFT(BF1256,1)="1"),0.055,VLOOKUP(AU1256,INDEX((係数_乗用_ガソリン,係数_乗用_CNG,係数_乗用_軽油,係数_乗用_メタノール,係数_乗用_LPG),1,1,BE1256):INDEX((係数_乗用_ガソリン,係数_乗用_CNG,係数_乗用_軽油,係数_乗用_メタノール,係数_乗用_LPG),125,5,BE1256),5,FALSE)))))</f>
        <v/>
      </c>
      <c r="AN1256" s="461" t="str">
        <f t="shared" si="692"/>
        <v/>
      </c>
      <c r="AO1256" s="462" t="str">
        <f t="shared" si="693"/>
        <v/>
      </c>
      <c r="AP1256" s="463" t="str">
        <f t="shared" si="694"/>
        <v/>
      </c>
      <c r="AQ1256" s="464"/>
      <c r="AR1256" s="619"/>
      <c r="AS1256" s="465" t="str">
        <f t="shared" si="702"/>
        <v/>
      </c>
      <c r="AT1256" s="465" t="str">
        <f t="shared" si="703"/>
        <v/>
      </c>
      <c r="AU1256" s="466" t="str">
        <f t="shared" si="704"/>
        <v/>
      </c>
      <c r="AV1256" s="467" t="str">
        <f t="shared" si="705"/>
        <v/>
      </c>
      <c r="AW1256" s="467" t="str">
        <f t="shared" si="706"/>
        <v/>
      </c>
      <c r="AX1256" s="467" t="str">
        <f t="shared" si="707"/>
        <v/>
      </c>
      <c r="AY1256" s="467" t="str">
        <f t="shared" si="708"/>
        <v/>
      </c>
      <c r="AZ1256" s="467" t="str">
        <f t="shared" si="709"/>
        <v/>
      </c>
      <c r="BA1256" s="468" t="str">
        <f>IF(AS1256="","",IF(OR(AU1256="",AU1256="-"),"－",IF(OR(AZ1256=8,AZ1256=9),"",IF(OR(AW1256=3,AW1256=4,AW1256=5,AW1256=6),VLOOKUP(AU1256,INDEX((係数_バス貨物_ガソリン,係数_バス貨物_CNG,係数_バス貨物_軽油,係数_バス貨物_メタノール,係数_バス貨物_LPG),MATCH(AY1256,【参考】排出係数!$AI$4:$AI$671,1),1,BE1256):INDEX((係数_バス貨物_ガソリン,係数_バス貨物_CNG,係数_バス貨物_軽油,係数_バス貨物_メタノール,係数_バス貨物_LPG),MATCH(AY1256+1,【参考】排出係数!$AI$4:$AI$671,1)-1,5,BE1256),2,FALSE),IF(OR(AW1256=1,AW1256=2),VLOOKUP(AU1256,INDEX((係数_乗用_ガソリン,係数_乗用_CNG,係数_乗用_軽油,係数_乗用_メタノール,係数_乗用_LPG),1,1,BE1256):INDEX((係数_乗用_ガソリン,係数_乗用_CNG,係数_乗用_軽油,係数_乗用_メタノール,係数_乗用_LPG),125,5,BE1256),2,FALSE))))))</f>
        <v/>
      </c>
      <c r="BB1256" s="468" t="str">
        <f>IF(T1256="","",IF(OR(AU1256="",AU1256="-"),"－",IF(OR(AZ1256=8,AZ1256=9),"",IF(OR(AW1256=3,AW1256=4,AW1256=5,AW1256=6),VLOOKUP(AU1256,INDEX((係数_バス貨物_ガソリン,係数_バス貨物_CNG,係数_バス貨物_軽油,係数_バス貨物_メタノール,係数_バス貨物_LPG),MATCH(AY1256,【参考】排出係数!$AI$4:$AI$671,1),1,BE1256):INDEX((係数_バス貨物_ガソリン,係数_バス貨物_CNG,係数_バス貨物_軽油,係数_バス貨物_メタノール,係数_バス貨物_LPG),MATCH(AY1256+1,【参考】排出係数!$AI$4:$AI$671,1)-1,5,BE1256),3,FALSE),IF(OR(AW1256=1,AW1256=2),VLOOKUP(AU1256,INDEX((係数_乗用_ガソリン,係数_乗用_CNG,係数_乗用_軽油,係数_乗用_メタノール,係数_乗用_LPG),1,1,BE1256):INDEX((係数_乗用_ガソリン,係数_乗用_CNG,係数_乗用_軽油,係数_乗用_メタノール,係数_乗用_LPG),125,5,BE1256),3,FALSE))))))</f>
        <v/>
      </c>
      <c r="BC1256" s="467" t="str">
        <f t="shared" si="710"/>
        <v/>
      </c>
      <c r="BD1256" s="567" t="str">
        <f t="shared" si="711"/>
        <v/>
      </c>
      <c r="BE1256" s="467" t="str">
        <f t="shared" si="712"/>
        <v/>
      </c>
      <c r="BF1256" s="469" t="str">
        <f t="shared" ca="1" si="713"/>
        <v/>
      </c>
      <c r="BG1256" s="469" t="str">
        <f t="shared" ca="1" si="714"/>
        <v/>
      </c>
      <c r="BH1256" s="467" t="str">
        <f t="shared" si="715"/>
        <v/>
      </c>
      <c r="BI1256" s="467" t="str">
        <f t="shared" ca="1" si="716"/>
        <v/>
      </c>
      <c r="BJ1256" s="469" t="str">
        <f t="shared" si="717"/>
        <v/>
      </c>
      <c r="BK1256" s="470" t="str">
        <f t="shared" si="701"/>
        <v/>
      </c>
      <c r="BL1256" s="775" t="str">
        <f t="shared" si="718"/>
        <v/>
      </c>
      <c r="BM1256" s="775" t="str">
        <f t="shared" si="719"/>
        <v/>
      </c>
    </row>
    <row r="1257" spans="1:65">
      <c r="A1257" s="473">
        <v>1201</v>
      </c>
      <c r="B1257" s="132"/>
      <c r="C1257" s="332"/>
      <c r="D1257" s="333"/>
      <c r="E1257" s="333"/>
      <c r="F1257" s="334"/>
      <c r="G1257" s="337"/>
      <c r="H1257" s="131"/>
      <c r="I1257" s="337"/>
      <c r="J1257" s="131"/>
      <c r="K1257" s="458" t="str">
        <f t="shared" si="682"/>
        <v/>
      </c>
      <c r="L1257" s="458">
        <f t="shared" si="683"/>
        <v>0</v>
      </c>
      <c r="M1257" s="458">
        <f t="shared" si="684"/>
        <v>0</v>
      </c>
      <c r="N1257" s="459" t="str">
        <f t="shared" si="695"/>
        <v/>
      </c>
      <c r="O1257" s="459" t="str">
        <f t="shared" si="696"/>
        <v/>
      </c>
      <c r="P1257" s="459" t="str">
        <f t="shared" si="697"/>
        <v/>
      </c>
      <c r="Q1257" s="459" t="str">
        <f t="shared" si="698"/>
        <v/>
      </c>
      <c r="R1257" s="459" t="str">
        <f t="shared" si="699"/>
        <v/>
      </c>
      <c r="S1257" s="459" t="str">
        <f t="shared" si="700"/>
        <v/>
      </c>
      <c r="T1257" s="566" t="str">
        <f t="shared" si="685"/>
        <v/>
      </c>
      <c r="U1257" s="702"/>
      <c r="V1257" s="132"/>
      <c r="W1257" s="133"/>
      <c r="X1257" s="134"/>
      <c r="Y1257" s="135"/>
      <c r="Z1257" s="137"/>
      <c r="AA1257" s="136"/>
      <c r="AB1257" s="566" t="str">
        <f t="shared" si="686"/>
        <v/>
      </c>
      <c r="AC1257" s="568" t="str">
        <f t="shared" si="687"/>
        <v/>
      </c>
      <c r="AD1257" s="137"/>
      <c r="AE1257" s="137"/>
      <c r="AF1257" s="138"/>
      <c r="AG1257" s="138"/>
      <c r="AH1257" s="592" t="str">
        <f t="shared" si="688"/>
        <v/>
      </c>
      <c r="AI1257" s="592" t="str">
        <f t="shared" si="689"/>
        <v/>
      </c>
      <c r="AJ1257" s="592" t="str">
        <f t="shared" si="690"/>
        <v/>
      </c>
      <c r="AK1257" s="460" t="str">
        <f>IF(AU1257="","",IF(OR(AZ1257=8,AZ1257=9),0,IF(OR(AW1257=3,AW1257=4,AW1257=5,AW1257=6),IF(LEFT(BF1257,1)="1",INDEX(係数_NOX・PM低減,MATCH(AY1257,【参考】排出係数!$AI$801:$AI$804,1),1),VLOOKUP(AU1257,INDEX((係数_バス貨物_ガソリン,係数_バス貨物_CNG,係数_バス貨物_軽油,係数_バス貨物_メタノール,係数_バス貨物_LPG),MATCH(AY1257,【参考】排出係数!$AI$4:$AI$671,1),1,BE1257):INDEX((係数_バス貨物_ガソリン,係数_バス貨物_CNG,係数_バス貨物_軽油,係数_バス貨物_メタノール,係数_バス貨物_LPG),MATCH(AY1257+1,【参考】排出係数!$AI$4:$AI$671,1)-1,5,BE1257),4,FALSE)),IF(AND(BE1257=3,LEFT(BF1257,1)="1"),0.48,VLOOKUP(AU1257,INDEX((係数_乗用_ガソリン,係数_乗用_CNG,係数_乗用_軽油,係数_乗用_メタノール,係数_乗用_LPG),1,1,BE1257):INDEX((係数_乗用_ガソリン,係数_乗用_CNG,係数_乗用_軽油,係数_乗用_メタノール,係数_乗用_LPG),125,5,BE1257),4,FALSE)))))</f>
        <v/>
      </c>
      <c r="AL1257" s="461" t="str">
        <f t="shared" si="691"/>
        <v/>
      </c>
      <c r="AM1257" s="460" t="str">
        <f>IF(AU1257="","",IF(OR(AZ1257=8,AZ1257=9),0,IF(OR(AW1257=3,AW1257=4,AW1257=5,AW1257=6),IF(LEFT(BH1257,1)="1",INDEX(係数_PM低減,MATCH(AY1257,【参考】排出係数!$AI$801:$AI$804,1),MATCH(BI1257,【参考】排出係数!$AL$798:$AO$798,1)),VLOOKUP(AU1257,INDEX((係数_バス貨物_ガソリン,係数_バス貨物_CNG,係数_バス貨物_軽油,係数_バス貨物_メタノール,係数_バス貨物_LPG),MATCH(AY1257,【参考】排出係数!$AI$4:$AI$671,1),1,BE1257):INDEX((係数_バス貨物_ガソリン,係数_バス貨物_CNG,係数_バス貨物_軽油,係数_バス貨物_メタノール,係数_バス貨物_LPG),MATCH(AY1257+1,【参考】排出係数!$AI$4:$AI$671,1)-1,5,BE1257),5,FALSE)),IF(AND(BE1257=3,LEFT(BF1257,1)="1"),0.055,VLOOKUP(AU1257,INDEX((係数_乗用_ガソリン,係数_乗用_CNG,係数_乗用_軽油,係数_乗用_メタノール,係数_乗用_LPG),1,1,BE1257):INDEX((係数_乗用_ガソリン,係数_乗用_CNG,係数_乗用_軽油,係数_乗用_メタノール,係数_乗用_LPG),125,5,BE1257),5,FALSE)))))</f>
        <v/>
      </c>
      <c r="AN1257" s="461" t="str">
        <f t="shared" si="692"/>
        <v/>
      </c>
      <c r="AO1257" s="462" t="str">
        <f t="shared" si="693"/>
        <v/>
      </c>
      <c r="AP1257" s="463" t="str">
        <f t="shared" si="694"/>
        <v/>
      </c>
      <c r="AQ1257" s="464"/>
      <c r="AR1257" s="619"/>
      <c r="AS1257" s="465" t="str">
        <f t="shared" si="702"/>
        <v/>
      </c>
      <c r="AT1257" s="465" t="str">
        <f t="shared" si="703"/>
        <v/>
      </c>
      <c r="AU1257" s="466" t="str">
        <f t="shared" si="704"/>
        <v/>
      </c>
      <c r="AV1257" s="467" t="str">
        <f t="shared" si="705"/>
        <v/>
      </c>
      <c r="AW1257" s="467" t="str">
        <f t="shared" si="706"/>
        <v/>
      </c>
      <c r="AX1257" s="467" t="str">
        <f t="shared" si="707"/>
        <v/>
      </c>
      <c r="AY1257" s="467" t="str">
        <f t="shared" si="708"/>
        <v/>
      </c>
      <c r="AZ1257" s="467" t="str">
        <f t="shared" si="709"/>
        <v/>
      </c>
      <c r="BA1257" s="468" t="str">
        <f>IF(AS1257="","",IF(OR(AU1257="",AU1257="-"),"－",IF(OR(AZ1257=8,AZ1257=9),"",IF(OR(AW1257=3,AW1257=4,AW1257=5,AW1257=6),VLOOKUP(AU1257,INDEX((係数_バス貨物_ガソリン,係数_バス貨物_CNG,係数_バス貨物_軽油,係数_バス貨物_メタノール,係数_バス貨物_LPG),MATCH(AY1257,【参考】排出係数!$AI$4:$AI$671,1),1,BE1257):INDEX((係数_バス貨物_ガソリン,係数_バス貨物_CNG,係数_バス貨物_軽油,係数_バス貨物_メタノール,係数_バス貨物_LPG),MATCH(AY1257+1,【参考】排出係数!$AI$4:$AI$671,1)-1,5,BE1257),2,FALSE),IF(OR(AW1257=1,AW1257=2),VLOOKUP(AU1257,INDEX((係数_乗用_ガソリン,係数_乗用_CNG,係数_乗用_軽油,係数_乗用_メタノール,係数_乗用_LPG),1,1,BE1257):INDEX((係数_乗用_ガソリン,係数_乗用_CNG,係数_乗用_軽油,係数_乗用_メタノール,係数_乗用_LPG),125,5,BE1257),2,FALSE))))))</f>
        <v/>
      </c>
      <c r="BB1257" s="468" t="str">
        <f>IF(T1257="","",IF(OR(AU1257="",AU1257="-"),"－",IF(OR(AZ1257=8,AZ1257=9),"",IF(OR(AW1257=3,AW1257=4,AW1257=5,AW1257=6),VLOOKUP(AU1257,INDEX((係数_バス貨物_ガソリン,係数_バス貨物_CNG,係数_バス貨物_軽油,係数_バス貨物_メタノール,係数_バス貨物_LPG),MATCH(AY1257,【参考】排出係数!$AI$4:$AI$671,1),1,BE1257):INDEX((係数_バス貨物_ガソリン,係数_バス貨物_CNG,係数_バス貨物_軽油,係数_バス貨物_メタノール,係数_バス貨物_LPG),MATCH(AY1257+1,【参考】排出係数!$AI$4:$AI$671,1)-1,5,BE1257),3,FALSE),IF(OR(AW1257=1,AW1257=2),VLOOKUP(AU1257,INDEX((係数_乗用_ガソリン,係数_乗用_CNG,係数_乗用_軽油,係数_乗用_メタノール,係数_乗用_LPG),1,1,BE1257):INDEX((係数_乗用_ガソリン,係数_乗用_CNG,係数_乗用_軽油,係数_乗用_メタノール,係数_乗用_LPG),125,5,BE1257),3,FALSE))))))</f>
        <v/>
      </c>
      <c r="BC1257" s="467" t="str">
        <f t="shared" si="710"/>
        <v/>
      </c>
      <c r="BD1257" s="567" t="str">
        <f t="shared" si="711"/>
        <v/>
      </c>
      <c r="BE1257" s="467" t="str">
        <f t="shared" si="712"/>
        <v/>
      </c>
      <c r="BF1257" s="469" t="str">
        <f t="shared" ca="1" si="713"/>
        <v/>
      </c>
      <c r="BG1257" s="469" t="str">
        <f t="shared" ca="1" si="714"/>
        <v/>
      </c>
      <c r="BH1257" s="467" t="str">
        <f t="shared" si="715"/>
        <v/>
      </c>
      <c r="BI1257" s="467" t="str">
        <f t="shared" ca="1" si="716"/>
        <v/>
      </c>
      <c r="BJ1257" s="469" t="str">
        <f t="shared" si="717"/>
        <v/>
      </c>
      <c r="BK1257" s="470" t="str">
        <f t="shared" si="701"/>
        <v/>
      </c>
      <c r="BL1257" s="775" t="str">
        <f t="shared" si="718"/>
        <v/>
      </c>
      <c r="BM1257" s="775" t="str">
        <f t="shared" si="719"/>
        <v/>
      </c>
    </row>
    <row r="1258" spans="1:65">
      <c r="A1258" s="473">
        <v>1202</v>
      </c>
      <c r="B1258" s="132"/>
      <c r="C1258" s="332"/>
      <c r="D1258" s="333"/>
      <c r="E1258" s="333"/>
      <c r="F1258" s="334"/>
      <c r="G1258" s="337"/>
      <c r="H1258" s="131"/>
      <c r="I1258" s="337"/>
      <c r="J1258" s="131"/>
      <c r="K1258" s="458" t="str">
        <f t="shared" si="682"/>
        <v/>
      </c>
      <c r="L1258" s="458">
        <f t="shared" si="683"/>
        <v>0</v>
      </c>
      <c r="M1258" s="458">
        <f t="shared" si="684"/>
        <v>0</v>
      </c>
      <c r="N1258" s="459" t="str">
        <f t="shared" si="695"/>
        <v/>
      </c>
      <c r="O1258" s="459" t="str">
        <f t="shared" si="696"/>
        <v/>
      </c>
      <c r="P1258" s="459" t="str">
        <f t="shared" si="697"/>
        <v/>
      </c>
      <c r="Q1258" s="459" t="str">
        <f t="shared" si="698"/>
        <v/>
      </c>
      <c r="R1258" s="459" t="str">
        <f t="shared" si="699"/>
        <v/>
      </c>
      <c r="S1258" s="459" t="str">
        <f t="shared" si="700"/>
        <v/>
      </c>
      <c r="T1258" s="566" t="str">
        <f t="shared" si="685"/>
        <v/>
      </c>
      <c r="U1258" s="702"/>
      <c r="V1258" s="132"/>
      <c r="W1258" s="133"/>
      <c r="X1258" s="134"/>
      <c r="Y1258" s="135"/>
      <c r="Z1258" s="137"/>
      <c r="AA1258" s="136"/>
      <c r="AB1258" s="566" t="str">
        <f t="shared" si="686"/>
        <v/>
      </c>
      <c r="AC1258" s="568" t="str">
        <f t="shared" si="687"/>
        <v/>
      </c>
      <c r="AD1258" s="137"/>
      <c r="AE1258" s="137"/>
      <c r="AF1258" s="138"/>
      <c r="AG1258" s="138"/>
      <c r="AH1258" s="592" t="str">
        <f t="shared" si="688"/>
        <v/>
      </c>
      <c r="AI1258" s="592" t="str">
        <f t="shared" si="689"/>
        <v/>
      </c>
      <c r="AJ1258" s="592" t="str">
        <f t="shared" si="690"/>
        <v/>
      </c>
      <c r="AK1258" s="460" t="str">
        <f>IF(AU1258="","",IF(OR(AZ1258=8,AZ1258=9),0,IF(OR(AW1258=3,AW1258=4,AW1258=5,AW1258=6),IF(LEFT(BF1258,1)="1",INDEX(係数_NOX・PM低減,MATCH(AY1258,【参考】排出係数!$AI$801:$AI$804,1),1),VLOOKUP(AU1258,INDEX((係数_バス貨物_ガソリン,係数_バス貨物_CNG,係数_バス貨物_軽油,係数_バス貨物_メタノール,係数_バス貨物_LPG),MATCH(AY1258,【参考】排出係数!$AI$4:$AI$671,1),1,BE1258):INDEX((係数_バス貨物_ガソリン,係数_バス貨物_CNG,係数_バス貨物_軽油,係数_バス貨物_メタノール,係数_バス貨物_LPG),MATCH(AY1258+1,【参考】排出係数!$AI$4:$AI$671,1)-1,5,BE1258),4,FALSE)),IF(AND(BE1258=3,LEFT(BF1258,1)="1"),0.48,VLOOKUP(AU1258,INDEX((係数_乗用_ガソリン,係数_乗用_CNG,係数_乗用_軽油,係数_乗用_メタノール,係数_乗用_LPG),1,1,BE1258):INDEX((係数_乗用_ガソリン,係数_乗用_CNG,係数_乗用_軽油,係数_乗用_メタノール,係数_乗用_LPG),125,5,BE1258),4,FALSE)))))</f>
        <v/>
      </c>
      <c r="AL1258" s="461" t="str">
        <f t="shared" si="691"/>
        <v/>
      </c>
      <c r="AM1258" s="460" t="str">
        <f>IF(AU1258="","",IF(OR(AZ1258=8,AZ1258=9),0,IF(OR(AW1258=3,AW1258=4,AW1258=5,AW1258=6),IF(LEFT(BH1258,1)="1",INDEX(係数_PM低減,MATCH(AY1258,【参考】排出係数!$AI$801:$AI$804,1),MATCH(BI1258,【参考】排出係数!$AL$798:$AO$798,1)),VLOOKUP(AU1258,INDEX((係数_バス貨物_ガソリン,係数_バス貨物_CNG,係数_バス貨物_軽油,係数_バス貨物_メタノール,係数_バス貨物_LPG),MATCH(AY1258,【参考】排出係数!$AI$4:$AI$671,1),1,BE1258):INDEX((係数_バス貨物_ガソリン,係数_バス貨物_CNG,係数_バス貨物_軽油,係数_バス貨物_メタノール,係数_バス貨物_LPG),MATCH(AY1258+1,【参考】排出係数!$AI$4:$AI$671,1)-1,5,BE1258),5,FALSE)),IF(AND(BE1258=3,LEFT(BF1258,1)="1"),0.055,VLOOKUP(AU1258,INDEX((係数_乗用_ガソリン,係数_乗用_CNG,係数_乗用_軽油,係数_乗用_メタノール,係数_乗用_LPG),1,1,BE1258):INDEX((係数_乗用_ガソリン,係数_乗用_CNG,係数_乗用_軽油,係数_乗用_メタノール,係数_乗用_LPG),125,5,BE1258),5,FALSE)))))</f>
        <v/>
      </c>
      <c r="AN1258" s="461" t="str">
        <f t="shared" si="692"/>
        <v/>
      </c>
      <c r="AO1258" s="462" t="str">
        <f t="shared" si="693"/>
        <v/>
      </c>
      <c r="AP1258" s="463" t="str">
        <f t="shared" si="694"/>
        <v/>
      </c>
      <c r="AQ1258" s="464"/>
      <c r="AR1258" s="619"/>
      <c r="AS1258" s="465" t="str">
        <f t="shared" si="702"/>
        <v/>
      </c>
      <c r="AT1258" s="465" t="str">
        <f t="shared" si="703"/>
        <v/>
      </c>
      <c r="AU1258" s="466" t="str">
        <f t="shared" si="704"/>
        <v/>
      </c>
      <c r="AV1258" s="467" t="str">
        <f t="shared" si="705"/>
        <v/>
      </c>
      <c r="AW1258" s="467" t="str">
        <f t="shared" si="706"/>
        <v/>
      </c>
      <c r="AX1258" s="467" t="str">
        <f t="shared" si="707"/>
        <v/>
      </c>
      <c r="AY1258" s="467" t="str">
        <f t="shared" si="708"/>
        <v/>
      </c>
      <c r="AZ1258" s="467" t="str">
        <f t="shared" si="709"/>
        <v/>
      </c>
      <c r="BA1258" s="468" t="str">
        <f>IF(AS1258="","",IF(OR(AU1258="",AU1258="-"),"－",IF(OR(AZ1258=8,AZ1258=9),"",IF(OR(AW1258=3,AW1258=4,AW1258=5,AW1258=6),VLOOKUP(AU1258,INDEX((係数_バス貨物_ガソリン,係数_バス貨物_CNG,係数_バス貨物_軽油,係数_バス貨物_メタノール,係数_バス貨物_LPG),MATCH(AY1258,【参考】排出係数!$AI$4:$AI$671,1),1,BE1258):INDEX((係数_バス貨物_ガソリン,係数_バス貨物_CNG,係数_バス貨物_軽油,係数_バス貨物_メタノール,係数_バス貨物_LPG),MATCH(AY1258+1,【参考】排出係数!$AI$4:$AI$671,1)-1,5,BE1258),2,FALSE),IF(OR(AW1258=1,AW1258=2),VLOOKUP(AU1258,INDEX((係数_乗用_ガソリン,係数_乗用_CNG,係数_乗用_軽油,係数_乗用_メタノール,係数_乗用_LPG),1,1,BE1258):INDEX((係数_乗用_ガソリン,係数_乗用_CNG,係数_乗用_軽油,係数_乗用_メタノール,係数_乗用_LPG),125,5,BE1258),2,FALSE))))))</f>
        <v/>
      </c>
      <c r="BB1258" s="468" t="str">
        <f>IF(T1258="","",IF(OR(AU1258="",AU1258="-"),"－",IF(OR(AZ1258=8,AZ1258=9),"",IF(OR(AW1258=3,AW1258=4,AW1258=5,AW1258=6),VLOOKUP(AU1258,INDEX((係数_バス貨物_ガソリン,係数_バス貨物_CNG,係数_バス貨物_軽油,係数_バス貨物_メタノール,係数_バス貨物_LPG),MATCH(AY1258,【参考】排出係数!$AI$4:$AI$671,1),1,BE1258):INDEX((係数_バス貨物_ガソリン,係数_バス貨物_CNG,係数_バス貨物_軽油,係数_バス貨物_メタノール,係数_バス貨物_LPG),MATCH(AY1258+1,【参考】排出係数!$AI$4:$AI$671,1)-1,5,BE1258),3,FALSE),IF(OR(AW1258=1,AW1258=2),VLOOKUP(AU1258,INDEX((係数_乗用_ガソリン,係数_乗用_CNG,係数_乗用_軽油,係数_乗用_メタノール,係数_乗用_LPG),1,1,BE1258):INDEX((係数_乗用_ガソリン,係数_乗用_CNG,係数_乗用_軽油,係数_乗用_メタノール,係数_乗用_LPG),125,5,BE1258),3,FALSE))))))</f>
        <v/>
      </c>
      <c r="BC1258" s="467" t="str">
        <f t="shared" si="710"/>
        <v/>
      </c>
      <c r="BD1258" s="567" t="str">
        <f t="shared" si="711"/>
        <v/>
      </c>
      <c r="BE1258" s="467" t="str">
        <f t="shared" si="712"/>
        <v/>
      </c>
      <c r="BF1258" s="469" t="str">
        <f t="shared" ca="1" si="713"/>
        <v/>
      </c>
      <c r="BG1258" s="469" t="str">
        <f t="shared" ca="1" si="714"/>
        <v/>
      </c>
      <c r="BH1258" s="467" t="str">
        <f t="shared" si="715"/>
        <v/>
      </c>
      <c r="BI1258" s="467" t="str">
        <f t="shared" ca="1" si="716"/>
        <v/>
      </c>
      <c r="BJ1258" s="469" t="str">
        <f t="shared" si="717"/>
        <v/>
      </c>
      <c r="BK1258" s="470" t="str">
        <f t="shared" si="701"/>
        <v/>
      </c>
      <c r="BL1258" s="775" t="str">
        <f t="shared" si="718"/>
        <v/>
      </c>
      <c r="BM1258" s="775" t="str">
        <f t="shared" si="719"/>
        <v/>
      </c>
    </row>
    <row r="1259" spans="1:65">
      <c r="A1259" s="473">
        <v>1203</v>
      </c>
      <c r="B1259" s="132"/>
      <c r="C1259" s="332"/>
      <c r="D1259" s="333"/>
      <c r="E1259" s="333"/>
      <c r="F1259" s="334"/>
      <c r="G1259" s="337"/>
      <c r="H1259" s="131"/>
      <c r="I1259" s="337"/>
      <c r="J1259" s="131"/>
      <c r="K1259" s="458" t="str">
        <f t="shared" si="682"/>
        <v/>
      </c>
      <c r="L1259" s="458">
        <f t="shared" si="683"/>
        <v>0</v>
      </c>
      <c r="M1259" s="458">
        <f t="shared" si="684"/>
        <v>0</v>
      </c>
      <c r="N1259" s="459" t="str">
        <f t="shared" si="695"/>
        <v/>
      </c>
      <c r="O1259" s="459" t="str">
        <f t="shared" si="696"/>
        <v/>
      </c>
      <c r="P1259" s="459" t="str">
        <f t="shared" si="697"/>
        <v/>
      </c>
      <c r="Q1259" s="459" t="str">
        <f t="shared" si="698"/>
        <v/>
      </c>
      <c r="R1259" s="459" t="str">
        <f t="shared" si="699"/>
        <v/>
      </c>
      <c r="S1259" s="459" t="str">
        <f t="shared" si="700"/>
        <v/>
      </c>
      <c r="T1259" s="566" t="str">
        <f t="shared" si="685"/>
        <v/>
      </c>
      <c r="U1259" s="702"/>
      <c r="V1259" s="132"/>
      <c r="W1259" s="133"/>
      <c r="X1259" s="134"/>
      <c r="Y1259" s="135"/>
      <c r="Z1259" s="137"/>
      <c r="AA1259" s="136"/>
      <c r="AB1259" s="566" t="str">
        <f t="shared" si="686"/>
        <v/>
      </c>
      <c r="AC1259" s="568" t="str">
        <f t="shared" si="687"/>
        <v/>
      </c>
      <c r="AD1259" s="137"/>
      <c r="AE1259" s="137"/>
      <c r="AF1259" s="138"/>
      <c r="AG1259" s="138"/>
      <c r="AH1259" s="592" t="str">
        <f t="shared" si="688"/>
        <v/>
      </c>
      <c r="AI1259" s="592" t="str">
        <f t="shared" si="689"/>
        <v/>
      </c>
      <c r="AJ1259" s="592" t="str">
        <f t="shared" si="690"/>
        <v/>
      </c>
      <c r="AK1259" s="460" t="str">
        <f>IF(AU1259="","",IF(OR(AZ1259=8,AZ1259=9),0,IF(OR(AW1259=3,AW1259=4,AW1259=5,AW1259=6),IF(LEFT(BF1259,1)="1",INDEX(係数_NOX・PM低減,MATCH(AY1259,【参考】排出係数!$AI$801:$AI$804,1),1),VLOOKUP(AU1259,INDEX((係数_バス貨物_ガソリン,係数_バス貨物_CNG,係数_バス貨物_軽油,係数_バス貨物_メタノール,係数_バス貨物_LPG),MATCH(AY1259,【参考】排出係数!$AI$4:$AI$671,1),1,BE1259):INDEX((係数_バス貨物_ガソリン,係数_バス貨物_CNG,係数_バス貨物_軽油,係数_バス貨物_メタノール,係数_バス貨物_LPG),MATCH(AY1259+1,【参考】排出係数!$AI$4:$AI$671,1)-1,5,BE1259),4,FALSE)),IF(AND(BE1259=3,LEFT(BF1259,1)="1"),0.48,VLOOKUP(AU1259,INDEX((係数_乗用_ガソリン,係数_乗用_CNG,係数_乗用_軽油,係数_乗用_メタノール,係数_乗用_LPG),1,1,BE1259):INDEX((係数_乗用_ガソリン,係数_乗用_CNG,係数_乗用_軽油,係数_乗用_メタノール,係数_乗用_LPG),125,5,BE1259),4,FALSE)))))</f>
        <v/>
      </c>
      <c r="AL1259" s="461" t="str">
        <f t="shared" si="691"/>
        <v/>
      </c>
      <c r="AM1259" s="460" t="str">
        <f>IF(AU1259="","",IF(OR(AZ1259=8,AZ1259=9),0,IF(OR(AW1259=3,AW1259=4,AW1259=5,AW1259=6),IF(LEFT(BH1259,1)="1",INDEX(係数_PM低減,MATCH(AY1259,【参考】排出係数!$AI$801:$AI$804,1),MATCH(BI1259,【参考】排出係数!$AL$798:$AO$798,1)),VLOOKUP(AU1259,INDEX((係数_バス貨物_ガソリン,係数_バス貨物_CNG,係数_バス貨物_軽油,係数_バス貨物_メタノール,係数_バス貨物_LPG),MATCH(AY1259,【参考】排出係数!$AI$4:$AI$671,1),1,BE1259):INDEX((係数_バス貨物_ガソリン,係数_バス貨物_CNG,係数_バス貨物_軽油,係数_バス貨物_メタノール,係数_バス貨物_LPG),MATCH(AY1259+1,【参考】排出係数!$AI$4:$AI$671,1)-1,5,BE1259),5,FALSE)),IF(AND(BE1259=3,LEFT(BF1259,1)="1"),0.055,VLOOKUP(AU1259,INDEX((係数_乗用_ガソリン,係数_乗用_CNG,係数_乗用_軽油,係数_乗用_メタノール,係数_乗用_LPG),1,1,BE1259):INDEX((係数_乗用_ガソリン,係数_乗用_CNG,係数_乗用_軽油,係数_乗用_メタノール,係数_乗用_LPG),125,5,BE1259),5,FALSE)))))</f>
        <v/>
      </c>
      <c r="AN1259" s="461" t="str">
        <f t="shared" si="692"/>
        <v/>
      </c>
      <c r="AO1259" s="462" t="str">
        <f t="shared" si="693"/>
        <v/>
      </c>
      <c r="AP1259" s="463" t="str">
        <f t="shared" si="694"/>
        <v/>
      </c>
      <c r="AQ1259" s="464"/>
      <c r="AR1259" s="619"/>
      <c r="AS1259" s="465" t="str">
        <f t="shared" si="702"/>
        <v/>
      </c>
      <c r="AT1259" s="465" t="str">
        <f t="shared" si="703"/>
        <v/>
      </c>
      <c r="AU1259" s="466" t="str">
        <f t="shared" si="704"/>
        <v/>
      </c>
      <c r="AV1259" s="467" t="str">
        <f t="shared" si="705"/>
        <v/>
      </c>
      <c r="AW1259" s="467" t="str">
        <f t="shared" si="706"/>
        <v/>
      </c>
      <c r="AX1259" s="467" t="str">
        <f t="shared" si="707"/>
        <v/>
      </c>
      <c r="AY1259" s="467" t="str">
        <f t="shared" si="708"/>
        <v/>
      </c>
      <c r="AZ1259" s="467" t="str">
        <f t="shared" si="709"/>
        <v/>
      </c>
      <c r="BA1259" s="468" t="str">
        <f>IF(AS1259="","",IF(OR(AU1259="",AU1259="-"),"－",IF(OR(AZ1259=8,AZ1259=9),"",IF(OR(AW1259=3,AW1259=4,AW1259=5,AW1259=6),VLOOKUP(AU1259,INDEX((係数_バス貨物_ガソリン,係数_バス貨物_CNG,係数_バス貨物_軽油,係数_バス貨物_メタノール,係数_バス貨物_LPG),MATCH(AY1259,【参考】排出係数!$AI$4:$AI$671,1),1,BE1259):INDEX((係数_バス貨物_ガソリン,係数_バス貨物_CNG,係数_バス貨物_軽油,係数_バス貨物_メタノール,係数_バス貨物_LPG),MATCH(AY1259+1,【参考】排出係数!$AI$4:$AI$671,1)-1,5,BE1259),2,FALSE),IF(OR(AW1259=1,AW1259=2),VLOOKUP(AU1259,INDEX((係数_乗用_ガソリン,係数_乗用_CNG,係数_乗用_軽油,係数_乗用_メタノール,係数_乗用_LPG),1,1,BE1259):INDEX((係数_乗用_ガソリン,係数_乗用_CNG,係数_乗用_軽油,係数_乗用_メタノール,係数_乗用_LPG),125,5,BE1259),2,FALSE))))))</f>
        <v/>
      </c>
      <c r="BB1259" s="468" t="str">
        <f>IF(T1259="","",IF(OR(AU1259="",AU1259="-"),"－",IF(OR(AZ1259=8,AZ1259=9),"",IF(OR(AW1259=3,AW1259=4,AW1259=5,AW1259=6),VLOOKUP(AU1259,INDEX((係数_バス貨物_ガソリン,係数_バス貨物_CNG,係数_バス貨物_軽油,係数_バス貨物_メタノール,係数_バス貨物_LPG),MATCH(AY1259,【参考】排出係数!$AI$4:$AI$671,1),1,BE1259):INDEX((係数_バス貨物_ガソリン,係数_バス貨物_CNG,係数_バス貨物_軽油,係数_バス貨物_メタノール,係数_バス貨物_LPG),MATCH(AY1259+1,【参考】排出係数!$AI$4:$AI$671,1)-1,5,BE1259),3,FALSE),IF(OR(AW1259=1,AW1259=2),VLOOKUP(AU1259,INDEX((係数_乗用_ガソリン,係数_乗用_CNG,係数_乗用_軽油,係数_乗用_メタノール,係数_乗用_LPG),1,1,BE1259):INDEX((係数_乗用_ガソリン,係数_乗用_CNG,係数_乗用_軽油,係数_乗用_メタノール,係数_乗用_LPG),125,5,BE1259),3,FALSE))))))</f>
        <v/>
      </c>
      <c r="BC1259" s="467" t="str">
        <f t="shared" si="710"/>
        <v/>
      </c>
      <c r="BD1259" s="567" t="str">
        <f t="shared" si="711"/>
        <v/>
      </c>
      <c r="BE1259" s="467" t="str">
        <f t="shared" si="712"/>
        <v/>
      </c>
      <c r="BF1259" s="469" t="str">
        <f t="shared" ca="1" si="713"/>
        <v/>
      </c>
      <c r="BG1259" s="469" t="str">
        <f t="shared" ca="1" si="714"/>
        <v/>
      </c>
      <c r="BH1259" s="467" t="str">
        <f t="shared" si="715"/>
        <v/>
      </c>
      <c r="BI1259" s="467" t="str">
        <f t="shared" ca="1" si="716"/>
        <v/>
      </c>
      <c r="BJ1259" s="469" t="str">
        <f t="shared" si="717"/>
        <v/>
      </c>
      <c r="BK1259" s="470" t="str">
        <f t="shared" si="701"/>
        <v/>
      </c>
      <c r="BL1259" s="775" t="str">
        <f t="shared" si="718"/>
        <v/>
      </c>
      <c r="BM1259" s="775" t="str">
        <f t="shared" si="719"/>
        <v/>
      </c>
    </row>
    <row r="1260" spans="1:65">
      <c r="A1260" s="473">
        <v>1204</v>
      </c>
      <c r="B1260" s="132"/>
      <c r="C1260" s="332"/>
      <c r="D1260" s="333"/>
      <c r="E1260" s="333"/>
      <c r="F1260" s="334"/>
      <c r="G1260" s="337"/>
      <c r="H1260" s="131"/>
      <c r="I1260" s="337"/>
      <c r="J1260" s="131"/>
      <c r="K1260" s="458" t="str">
        <f t="shared" ref="K1260:K1323" si="720">C1260&amp;D1260&amp;E1260&amp;F1260</f>
        <v/>
      </c>
      <c r="L1260" s="458">
        <f t="shared" ref="L1260:L1323" si="721">IF(G1260&gt;0,DATE((G1260),(H1260+1),0),0)</f>
        <v>0</v>
      </c>
      <c r="M1260" s="458">
        <f t="shared" ref="M1260:M1323" si="722">IF(I1260&gt;0,DATE((I1260),(J1260+1),0),0)</f>
        <v>0</v>
      </c>
      <c r="N1260" s="459" t="str">
        <f t="shared" si="695"/>
        <v/>
      </c>
      <c r="O1260" s="459" t="str">
        <f t="shared" si="696"/>
        <v/>
      </c>
      <c r="P1260" s="459" t="str">
        <f t="shared" si="697"/>
        <v/>
      </c>
      <c r="Q1260" s="459" t="str">
        <f t="shared" si="698"/>
        <v/>
      </c>
      <c r="R1260" s="459" t="str">
        <f t="shared" si="699"/>
        <v/>
      </c>
      <c r="S1260" s="459" t="str">
        <f t="shared" si="700"/>
        <v/>
      </c>
      <c r="T1260" s="566" t="str">
        <f t="shared" ref="T1260:T1323" si="723">N1260&amp;O1260&amp;P1260&amp;Q1260&amp;R1260&amp;S1260</f>
        <v/>
      </c>
      <c r="U1260" s="702"/>
      <c r="V1260" s="132"/>
      <c r="W1260" s="133"/>
      <c r="X1260" s="134"/>
      <c r="Y1260" s="135"/>
      <c r="Z1260" s="137"/>
      <c r="AA1260" s="136"/>
      <c r="AB1260" s="566" t="str">
        <f t="shared" ref="AB1260:AB1323" si="724">IF(AS1260="","",IF(AZ1260=1,VLOOKUP(BA1260,低公害車判別,2,FALSE),IF(AZ1260=3,VLOOKUP(BA1260,低公害車判別,2,FALSE),IF(AZ1260=4,VLOOKUP(BB1260,低公害車判別,2,FALSE),"低公害車"))))</f>
        <v/>
      </c>
      <c r="AC1260" s="568" t="str">
        <f t="shared" ref="AC1260:AC1323" si="725">IF(AS1260="","",IF((BA1260="")+(BA1260="－"),IF((BB1260="")+(BB1260=0),"－",BB1260),IF((BA1260="PM☆☆☆")+(BA1260="☆及びPM☆☆☆")+(BA1260="☆☆及びPM☆☆☆")+(BA1260="☆☆☆及びPM☆☆☆"),"PM☆☆☆",IF((BA1260="PM☆☆☆☆")+(BA1260="☆及びPM☆☆☆☆")+(BA1260="☆☆及びPM☆☆☆☆")+(BA1260="☆☆☆及びPM☆☆☆☆"),"PM☆☆☆☆",IF((BA1260="新☆")+(BA1260="新NOx☆")+(BA1260="新PM☆"),"新☆（新長期）",BA1260)))))</f>
        <v/>
      </c>
      <c r="AD1260" s="137"/>
      <c r="AE1260" s="137"/>
      <c r="AF1260" s="138"/>
      <c r="AG1260" s="138"/>
      <c r="AH1260" s="592" t="str">
        <f t="shared" ref="AH1260:AH1323" si="726">IF(C1260="","",IF(LEFT(C1260,2)="横浜","○",""))</f>
        <v/>
      </c>
      <c r="AI1260" s="592" t="str">
        <f t="shared" ref="AI1260:AI1323" si="727">IF(C1260="","",IF(LEFT(C1260,2)="川崎","○",""))</f>
        <v/>
      </c>
      <c r="AJ1260" s="592" t="str">
        <f t="shared" ref="AJ1260:AJ1323" si="728">IF(C1260="","",IF(OR(AH1260="○",AI1260="○"),"","○"))</f>
        <v/>
      </c>
      <c r="AK1260" s="460" t="str">
        <f>IF(AU1260="","",IF(OR(AZ1260=8,AZ1260=9),0,IF(OR(AW1260=3,AW1260=4,AW1260=5,AW1260=6),IF(LEFT(BF1260,1)="1",INDEX(係数_NOX・PM低減,MATCH(AY1260,【参考】排出係数!$AI$801:$AI$804,1),1),VLOOKUP(AU1260,INDEX((係数_バス貨物_ガソリン,係数_バス貨物_CNG,係数_バス貨物_軽油,係数_バス貨物_メタノール,係数_バス貨物_LPG),MATCH(AY1260,【参考】排出係数!$AI$4:$AI$671,1),1,BE1260):INDEX((係数_バス貨物_ガソリン,係数_バス貨物_CNG,係数_バス貨物_軽油,係数_バス貨物_メタノール,係数_バス貨物_LPG),MATCH(AY1260+1,【参考】排出係数!$AI$4:$AI$671,1)-1,5,BE1260),4,FALSE)),IF(AND(BE1260=3,LEFT(BF1260,1)="1"),0.48,VLOOKUP(AU1260,INDEX((係数_乗用_ガソリン,係数_乗用_CNG,係数_乗用_軽油,係数_乗用_メタノール,係数_乗用_LPG),1,1,BE1260):INDEX((係数_乗用_ガソリン,係数_乗用_CNG,係数_乗用_軽油,係数_乗用_メタノール,係数_乗用_LPG),125,5,BE1260),4,FALSE)))))</f>
        <v/>
      </c>
      <c r="AL1260" s="461" t="str">
        <f t="shared" ref="AL1260:AL1323" si="729">IF(AU1260="","",IF(Z1260&lt;=3.5*1000,AD1260*AK1260/1000,IF(Z1260&gt;3.5*1000,AD1260*Z1260*AK1260/1000/1000)))</f>
        <v/>
      </c>
      <c r="AM1260" s="460" t="str">
        <f>IF(AU1260="","",IF(OR(AZ1260=8,AZ1260=9),0,IF(OR(AW1260=3,AW1260=4,AW1260=5,AW1260=6),IF(LEFT(BH1260,1)="1",INDEX(係数_PM低減,MATCH(AY1260,【参考】排出係数!$AI$801:$AI$804,1),MATCH(BI1260,【参考】排出係数!$AL$798:$AO$798,1)),VLOOKUP(AU1260,INDEX((係数_バス貨物_ガソリン,係数_バス貨物_CNG,係数_バス貨物_軽油,係数_バス貨物_メタノール,係数_バス貨物_LPG),MATCH(AY1260,【参考】排出係数!$AI$4:$AI$671,1),1,BE1260):INDEX((係数_バス貨物_ガソリン,係数_バス貨物_CNG,係数_バス貨物_軽油,係数_バス貨物_メタノール,係数_バス貨物_LPG),MATCH(AY1260+1,【参考】排出係数!$AI$4:$AI$671,1)-1,5,BE1260),5,FALSE)),IF(AND(BE1260=3,LEFT(BF1260,1)="1"),0.055,VLOOKUP(AU1260,INDEX((係数_乗用_ガソリン,係数_乗用_CNG,係数_乗用_軽油,係数_乗用_メタノール,係数_乗用_LPG),1,1,BE1260):INDEX((係数_乗用_ガソリン,係数_乗用_CNG,係数_乗用_軽油,係数_乗用_メタノール,係数_乗用_LPG),125,5,BE1260),5,FALSE)))))</f>
        <v/>
      </c>
      <c r="AN1260" s="461" t="str">
        <f t="shared" ref="AN1260:AN1323" si="730">IF(AU1260="","",IF(Z1260&lt;=3.5*1000,AD1260*AM1260/1000,IF(Z1260&gt;3.5*1000,AD1260*Z1260*AM1260/1000/1000)))</f>
        <v/>
      </c>
      <c r="AO1260" s="462" t="str">
        <f t="shared" ref="AO1260:AO1323" si="731">IF(AU1260="","",IF(Z1260&lt;500,"車両重量",IF(OR(AZ1260=8,AZ1260=9),0,IF(OR(AZ1260=1,AZ1260=2,AZ1260=11),2.32,IF(OR(AZ1260=4,AZ1260=5,AZ1260=11),2.58,IF(AZ1260=3,3,IF(AZ1260=6,2.23,IF(AZ1260=7,1.37,0))))))))</f>
        <v/>
      </c>
      <c r="AP1260" s="463" t="str">
        <f t="shared" ref="AP1260:AP1323" si="732">IF(AU1260="","",AE1260*AO1260/1000)</f>
        <v/>
      </c>
      <c r="AQ1260" s="464"/>
      <c r="AR1260" s="619"/>
      <c r="AS1260" s="465" t="str">
        <f t="shared" si="702"/>
        <v/>
      </c>
      <c r="AT1260" s="465" t="str">
        <f t="shared" si="703"/>
        <v/>
      </c>
      <c r="AU1260" s="466" t="str">
        <f t="shared" si="704"/>
        <v/>
      </c>
      <c r="AV1260" s="467" t="str">
        <f t="shared" si="705"/>
        <v/>
      </c>
      <c r="AW1260" s="467" t="str">
        <f t="shared" si="706"/>
        <v/>
      </c>
      <c r="AX1260" s="467" t="str">
        <f t="shared" si="707"/>
        <v/>
      </c>
      <c r="AY1260" s="467" t="str">
        <f t="shared" si="708"/>
        <v/>
      </c>
      <c r="AZ1260" s="467" t="str">
        <f t="shared" si="709"/>
        <v/>
      </c>
      <c r="BA1260" s="468" t="str">
        <f>IF(AS1260="","",IF(OR(AU1260="",AU1260="-"),"－",IF(OR(AZ1260=8,AZ1260=9),"",IF(OR(AW1260=3,AW1260=4,AW1260=5,AW1260=6),VLOOKUP(AU1260,INDEX((係数_バス貨物_ガソリン,係数_バス貨物_CNG,係数_バス貨物_軽油,係数_バス貨物_メタノール,係数_バス貨物_LPG),MATCH(AY1260,【参考】排出係数!$AI$4:$AI$671,1),1,BE1260):INDEX((係数_バス貨物_ガソリン,係数_バス貨物_CNG,係数_バス貨物_軽油,係数_バス貨物_メタノール,係数_バス貨物_LPG),MATCH(AY1260+1,【参考】排出係数!$AI$4:$AI$671,1)-1,5,BE1260),2,FALSE),IF(OR(AW1260=1,AW1260=2),VLOOKUP(AU1260,INDEX((係数_乗用_ガソリン,係数_乗用_CNG,係数_乗用_軽油,係数_乗用_メタノール,係数_乗用_LPG),1,1,BE1260):INDEX((係数_乗用_ガソリン,係数_乗用_CNG,係数_乗用_軽油,係数_乗用_メタノール,係数_乗用_LPG),125,5,BE1260),2,FALSE))))))</f>
        <v/>
      </c>
      <c r="BB1260" s="468" t="str">
        <f>IF(T1260="","",IF(OR(AU1260="",AU1260="-"),"－",IF(OR(AZ1260=8,AZ1260=9),"",IF(OR(AW1260=3,AW1260=4,AW1260=5,AW1260=6),VLOOKUP(AU1260,INDEX((係数_バス貨物_ガソリン,係数_バス貨物_CNG,係数_バス貨物_軽油,係数_バス貨物_メタノール,係数_バス貨物_LPG),MATCH(AY1260,【参考】排出係数!$AI$4:$AI$671,1),1,BE1260):INDEX((係数_バス貨物_ガソリン,係数_バス貨物_CNG,係数_バス貨物_軽油,係数_バス貨物_メタノール,係数_バス貨物_LPG),MATCH(AY1260+1,【参考】排出係数!$AI$4:$AI$671,1)-1,5,BE1260),3,FALSE),IF(OR(AW1260=1,AW1260=2),VLOOKUP(AU1260,INDEX((係数_乗用_ガソリン,係数_乗用_CNG,係数_乗用_軽油,係数_乗用_メタノール,係数_乗用_LPG),1,1,BE1260):INDEX((係数_乗用_ガソリン,係数_乗用_CNG,係数_乗用_軽油,係数_乗用_メタノール,係数_乗用_LPG),125,5,BE1260),3,FALSE))))))</f>
        <v/>
      </c>
      <c r="BC1260" s="467" t="str">
        <f t="shared" si="710"/>
        <v/>
      </c>
      <c r="BD1260" s="567" t="str">
        <f t="shared" si="711"/>
        <v/>
      </c>
      <c r="BE1260" s="467" t="str">
        <f t="shared" si="712"/>
        <v/>
      </c>
      <c r="BF1260" s="469" t="str">
        <f t="shared" ca="1" si="713"/>
        <v/>
      </c>
      <c r="BG1260" s="469" t="str">
        <f t="shared" ca="1" si="714"/>
        <v/>
      </c>
      <c r="BH1260" s="467" t="str">
        <f t="shared" si="715"/>
        <v/>
      </c>
      <c r="BI1260" s="467" t="str">
        <f t="shared" ca="1" si="716"/>
        <v/>
      </c>
      <c r="BJ1260" s="469" t="str">
        <f t="shared" si="717"/>
        <v/>
      </c>
      <c r="BK1260" s="470" t="str">
        <f t="shared" si="701"/>
        <v/>
      </c>
      <c r="BL1260" s="775" t="str">
        <f t="shared" si="718"/>
        <v/>
      </c>
      <c r="BM1260" s="775" t="str">
        <f t="shared" si="719"/>
        <v/>
      </c>
    </row>
    <row r="1261" spans="1:65">
      <c r="A1261" s="473">
        <v>1205</v>
      </c>
      <c r="B1261" s="132"/>
      <c r="C1261" s="332"/>
      <c r="D1261" s="333"/>
      <c r="E1261" s="333"/>
      <c r="F1261" s="334"/>
      <c r="G1261" s="337"/>
      <c r="H1261" s="131"/>
      <c r="I1261" s="337"/>
      <c r="J1261" s="131"/>
      <c r="K1261" s="458" t="str">
        <f t="shared" si="720"/>
        <v/>
      </c>
      <c r="L1261" s="458">
        <f t="shared" si="721"/>
        <v>0</v>
      </c>
      <c r="M1261" s="458">
        <f t="shared" si="722"/>
        <v>0</v>
      </c>
      <c r="N1261" s="459" t="str">
        <f t="shared" si="695"/>
        <v/>
      </c>
      <c r="O1261" s="459" t="str">
        <f t="shared" si="696"/>
        <v/>
      </c>
      <c r="P1261" s="459" t="str">
        <f t="shared" si="697"/>
        <v/>
      </c>
      <c r="Q1261" s="459" t="str">
        <f t="shared" si="698"/>
        <v/>
      </c>
      <c r="R1261" s="459" t="str">
        <f t="shared" si="699"/>
        <v/>
      </c>
      <c r="S1261" s="459" t="str">
        <f t="shared" si="700"/>
        <v/>
      </c>
      <c r="T1261" s="566" t="str">
        <f t="shared" si="723"/>
        <v/>
      </c>
      <c r="U1261" s="702"/>
      <c r="V1261" s="132"/>
      <c r="W1261" s="133"/>
      <c r="X1261" s="134"/>
      <c r="Y1261" s="135"/>
      <c r="Z1261" s="137"/>
      <c r="AA1261" s="136"/>
      <c r="AB1261" s="566" t="str">
        <f t="shared" si="724"/>
        <v/>
      </c>
      <c r="AC1261" s="568" t="str">
        <f t="shared" si="725"/>
        <v/>
      </c>
      <c r="AD1261" s="137"/>
      <c r="AE1261" s="137"/>
      <c r="AF1261" s="138"/>
      <c r="AG1261" s="138"/>
      <c r="AH1261" s="592" t="str">
        <f t="shared" si="726"/>
        <v/>
      </c>
      <c r="AI1261" s="592" t="str">
        <f t="shared" si="727"/>
        <v/>
      </c>
      <c r="AJ1261" s="592" t="str">
        <f t="shared" si="728"/>
        <v/>
      </c>
      <c r="AK1261" s="460" t="str">
        <f>IF(AU1261="","",IF(OR(AZ1261=8,AZ1261=9),0,IF(OR(AW1261=3,AW1261=4,AW1261=5,AW1261=6),IF(LEFT(BF1261,1)="1",INDEX(係数_NOX・PM低減,MATCH(AY1261,【参考】排出係数!$AI$801:$AI$804,1),1),VLOOKUP(AU1261,INDEX((係数_バス貨物_ガソリン,係数_バス貨物_CNG,係数_バス貨物_軽油,係数_バス貨物_メタノール,係数_バス貨物_LPG),MATCH(AY1261,【参考】排出係数!$AI$4:$AI$671,1),1,BE1261):INDEX((係数_バス貨物_ガソリン,係数_バス貨物_CNG,係数_バス貨物_軽油,係数_バス貨物_メタノール,係数_バス貨物_LPG),MATCH(AY1261+1,【参考】排出係数!$AI$4:$AI$671,1)-1,5,BE1261),4,FALSE)),IF(AND(BE1261=3,LEFT(BF1261,1)="1"),0.48,VLOOKUP(AU1261,INDEX((係数_乗用_ガソリン,係数_乗用_CNG,係数_乗用_軽油,係数_乗用_メタノール,係数_乗用_LPG),1,1,BE1261):INDEX((係数_乗用_ガソリン,係数_乗用_CNG,係数_乗用_軽油,係数_乗用_メタノール,係数_乗用_LPG),125,5,BE1261),4,FALSE)))))</f>
        <v/>
      </c>
      <c r="AL1261" s="461" t="str">
        <f t="shared" si="729"/>
        <v/>
      </c>
      <c r="AM1261" s="460" t="str">
        <f>IF(AU1261="","",IF(OR(AZ1261=8,AZ1261=9),0,IF(OR(AW1261=3,AW1261=4,AW1261=5,AW1261=6),IF(LEFT(BH1261,1)="1",INDEX(係数_PM低減,MATCH(AY1261,【参考】排出係数!$AI$801:$AI$804,1),MATCH(BI1261,【参考】排出係数!$AL$798:$AO$798,1)),VLOOKUP(AU1261,INDEX((係数_バス貨物_ガソリン,係数_バス貨物_CNG,係数_バス貨物_軽油,係数_バス貨物_メタノール,係数_バス貨物_LPG),MATCH(AY1261,【参考】排出係数!$AI$4:$AI$671,1),1,BE1261):INDEX((係数_バス貨物_ガソリン,係数_バス貨物_CNG,係数_バス貨物_軽油,係数_バス貨物_メタノール,係数_バス貨物_LPG),MATCH(AY1261+1,【参考】排出係数!$AI$4:$AI$671,1)-1,5,BE1261),5,FALSE)),IF(AND(BE1261=3,LEFT(BF1261,1)="1"),0.055,VLOOKUP(AU1261,INDEX((係数_乗用_ガソリン,係数_乗用_CNG,係数_乗用_軽油,係数_乗用_メタノール,係数_乗用_LPG),1,1,BE1261):INDEX((係数_乗用_ガソリン,係数_乗用_CNG,係数_乗用_軽油,係数_乗用_メタノール,係数_乗用_LPG),125,5,BE1261),5,FALSE)))))</f>
        <v/>
      </c>
      <c r="AN1261" s="461" t="str">
        <f t="shared" si="730"/>
        <v/>
      </c>
      <c r="AO1261" s="462" t="str">
        <f t="shared" si="731"/>
        <v/>
      </c>
      <c r="AP1261" s="463" t="str">
        <f t="shared" si="732"/>
        <v/>
      </c>
      <c r="AQ1261" s="464"/>
      <c r="AR1261" s="619"/>
      <c r="AS1261" s="465" t="str">
        <f t="shared" si="702"/>
        <v/>
      </c>
      <c r="AT1261" s="465" t="str">
        <f t="shared" si="703"/>
        <v/>
      </c>
      <c r="AU1261" s="466" t="str">
        <f t="shared" si="704"/>
        <v/>
      </c>
      <c r="AV1261" s="467" t="str">
        <f t="shared" si="705"/>
        <v/>
      </c>
      <c r="AW1261" s="467" t="str">
        <f t="shared" si="706"/>
        <v/>
      </c>
      <c r="AX1261" s="467" t="str">
        <f t="shared" si="707"/>
        <v/>
      </c>
      <c r="AY1261" s="467" t="str">
        <f t="shared" si="708"/>
        <v/>
      </c>
      <c r="AZ1261" s="467" t="str">
        <f t="shared" si="709"/>
        <v/>
      </c>
      <c r="BA1261" s="468" t="str">
        <f>IF(AS1261="","",IF(OR(AU1261="",AU1261="-"),"－",IF(OR(AZ1261=8,AZ1261=9),"",IF(OR(AW1261=3,AW1261=4,AW1261=5,AW1261=6),VLOOKUP(AU1261,INDEX((係数_バス貨物_ガソリン,係数_バス貨物_CNG,係数_バス貨物_軽油,係数_バス貨物_メタノール,係数_バス貨物_LPG),MATCH(AY1261,【参考】排出係数!$AI$4:$AI$671,1),1,BE1261):INDEX((係数_バス貨物_ガソリン,係数_バス貨物_CNG,係数_バス貨物_軽油,係数_バス貨物_メタノール,係数_バス貨物_LPG),MATCH(AY1261+1,【参考】排出係数!$AI$4:$AI$671,1)-1,5,BE1261),2,FALSE),IF(OR(AW1261=1,AW1261=2),VLOOKUP(AU1261,INDEX((係数_乗用_ガソリン,係数_乗用_CNG,係数_乗用_軽油,係数_乗用_メタノール,係数_乗用_LPG),1,1,BE1261):INDEX((係数_乗用_ガソリン,係数_乗用_CNG,係数_乗用_軽油,係数_乗用_メタノール,係数_乗用_LPG),125,5,BE1261),2,FALSE))))))</f>
        <v/>
      </c>
      <c r="BB1261" s="468" t="str">
        <f>IF(T1261="","",IF(OR(AU1261="",AU1261="-"),"－",IF(OR(AZ1261=8,AZ1261=9),"",IF(OR(AW1261=3,AW1261=4,AW1261=5,AW1261=6),VLOOKUP(AU1261,INDEX((係数_バス貨物_ガソリン,係数_バス貨物_CNG,係数_バス貨物_軽油,係数_バス貨物_メタノール,係数_バス貨物_LPG),MATCH(AY1261,【参考】排出係数!$AI$4:$AI$671,1),1,BE1261):INDEX((係数_バス貨物_ガソリン,係数_バス貨物_CNG,係数_バス貨物_軽油,係数_バス貨物_メタノール,係数_バス貨物_LPG),MATCH(AY1261+1,【参考】排出係数!$AI$4:$AI$671,1)-1,5,BE1261),3,FALSE),IF(OR(AW1261=1,AW1261=2),VLOOKUP(AU1261,INDEX((係数_乗用_ガソリン,係数_乗用_CNG,係数_乗用_軽油,係数_乗用_メタノール,係数_乗用_LPG),1,1,BE1261):INDEX((係数_乗用_ガソリン,係数_乗用_CNG,係数_乗用_軽油,係数_乗用_メタノール,係数_乗用_LPG),125,5,BE1261),3,FALSE))))))</f>
        <v/>
      </c>
      <c r="BC1261" s="467" t="str">
        <f t="shared" si="710"/>
        <v/>
      </c>
      <c r="BD1261" s="567" t="str">
        <f t="shared" si="711"/>
        <v/>
      </c>
      <c r="BE1261" s="467" t="str">
        <f t="shared" si="712"/>
        <v/>
      </c>
      <c r="BF1261" s="469" t="str">
        <f t="shared" ca="1" si="713"/>
        <v/>
      </c>
      <c r="BG1261" s="469" t="str">
        <f t="shared" ca="1" si="714"/>
        <v/>
      </c>
      <c r="BH1261" s="467" t="str">
        <f t="shared" si="715"/>
        <v/>
      </c>
      <c r="BI1261" s="467" t="str">
        <f t="shared" ca="1" si="716"/>
        <v/>
      </c>
      <c r="BJ1261" s="469" t="str">
        <f t="shared" si="717"/>
        <v/>
      </c>
      <c r="BK1261" s="470" t="str">
        <f t="shared" si="701"/>
        <v/>
      </c>
      <c r="BL1261" s="775" t="str">
        <f t="shared" si="718"/>
        <v/>
      </c>
      <c r="BM1261" s="775" t="str">
        <f t="shared" si="719"/>
        <v/>
      </c>
    </row>
    <row r="1262" spans="1:65">
      <c r="A1262" s="473">
        <v>1206</v>
      </c>
      <c r="B1262" s="132"/>
      <c r="C1262" s="332"/>
      <c r="D1262" s="333"/>
      <c r="E1262" s="333"/>
      <c r="F1262" s="334"/>
      <c r="G1262" s="337"/>
      <c r="H1262" s="131"/>
      <c r="I1262" s="337"/>
      <c r="J1262" s="131"/>
      <c r="K1262" s="458" t="str">
        <f t="shared" si="720"/>
        <v/>
      </c>
      <c r="L1262" s="458">
        <f t="shared" si="721"/>
        <v>0</v>
      </c>
      <c r="M1262" s="458">
        <f t="shared" si="722"/>
        <v>0</v>
      </c>
      <c r="N1262" s="459" t="str">
        <f t="shared" si="695"/>
        <v/>
      </c>
      <c r="O1262" s="459" t="str">
        <f t="shared" si="696"/>
        <v/>
      </c>
      <c r="P1262" s="459" t="str">
        <f t="shared" si="697"/>
        <v/>
      </c>
      <c r="Q1262" s="459" t="str">
        <f t="shared" si="698"/>
        <v/>
      </c>
      <c r="R1262" s="459" t="str">
        <f t="shared" si="699"/>
        <v/>
      </c>
      <c r="S1262" s="459" t="str">
        <f t="shared" si="700"/>
        <v/>
      </c>
      <c r="T1262" s="566" t="str">
        <f t="shared" si="723"/>
        <v/>
      </c>
      <c r="U1262" s="702"/>
      <c r="V1262" s="132"/>
      <c r="W1262" s="133"/>
      <c r="X1262" s="134"/>
      <c r="Y1262" s="135"/>
      <c r="Z1262" s="137"/>
      <c r="AA1262" s="136"/>
      <c r="AB1262" s="566" t="str">
        <f t="shared" si="724"/>
        <v/>
      </c>
      <c r="AC1262" s="568" t="str">
        <f t="shared" si="725"/>
        <v/>
      </c>
      <c r="AD1262" s="137"/>
      <c r="AE1262" s="137"/>
      <c r="AF1262" s="138"/>
      <c r="AG1262" s="138"/>
      <c r="AH1262" s="592" t="str">
        <f t="shared" si="726"/>
        <v/>
      </c>
      <c r="AI1262" s="592" t="str">
        <f t="shared" si="727"/>
        <v/>
      </c>
      <c r="AJ1262" s="592" t="str">
        <f t="shared" si="728"/>
        <v/>
      </c>
      <c r="AK1262" s="460" t="str">
        <f>IF(AU1262="","",IF(OR(AZ1262=8,AZ1262=9),0,IF(OR(AW1262=3,AW1262=4,AW1262=5,AW1262=6),IF(LEFT(BF1262,1)="1",INDEX(係数_NOX・PM低減,MATCH(AY1262,【参考】排出係数!$AI$801:$AI$804,1),1),VLOOKUP(AU1262,INDEX((係数_バス貨物_ガソリン,係数_バス貨物_CNG,係数_バス貨物_軽油,係数_バス貨物_メタノール,係数_バス貨物_LPG),MATCH(AY1262,【参考】排出係数!$AI$4:$AI$671,1),1,BE1262):INDEX((係数_バス貨物_ガソリン,係数_バス貨物_CNG,係数_バス貨物_軽油,係数_バス貨物_メタノール,係数_バス貨物_LPG),MATCH(AY1262+1,【参考】排出係数!$AI$4:$AI$671,1)-1,5,BE1262),4,FALSE)),IF(AND(BE1262=3,LEFT(BF1262,1)="1"),0.48,VLOOKUP(AU1262,INDEX((係数_乗用_ガソリン,係数_乗用_CNG,係数_乗用_軽油,係数_乗用_メタノール,係数_乗用_LPG),1,1,BE1262):INDEX((係数_乗用_ガソリン,係数_乗用_CNG,係数_乗用_軽油,係数_乗用_メタノール,係数_乗用_LPG),125,5,BE1262),4,FALSE)))))</f>
        <v/>
      </c>
      <c r="AL1262" s="461" t="str">
        <f t="shared" si="729"/>
        <v/>
      </c>
      <c r="AM1262" s="460" t="str">
        <f>IF(AU1262="","",IF(OR(AZ1262=8,AZ1262=9),0,IF(OR(AW1262=3,AW1262=4,AW1262=5,AW1262=6),IF(LEFT(BH1262,1)="1",INDEX(係数_PM低減,MATCH(AY1262,【参考】排出係数!$AI$801:$AI$804,1),MATCH(BI1262,【参考】排出係数!$AL$798:$AO$798,1)),VLOOKUP(AU1262,INDEX((係数_バス貨物_ガソリン,係数_バス貨物_CNG,係数_バス貨物_軽油,係数_バス貨物_メタノール,係数_バス貨物_LPG),MATCH(AY1262,【参考】排出係数!$AI$4:$AI$671,1),1,BE1262):INDEX((係数_バス貨物_ガソリン,係数_バス貨物_CNG,係数_バス貨物_軽油,係数_バス貨物_メタノール,係数_バス貨物_LPG),MATCH(AY1262+1,【参考】排出係数!$AI$4:$AI$671,1)-1,5,BE1262),5,FALSE)),IF(AND(BE1262=3,LEFT(BF1262,1)="1"),0.055,VLOOKUP(AU1262,INDEX((係数_乗用_ガソリン,係数_乗用_CNG,係数_乗用_軽油,係数_乗用_メタノール,係数_乗用_LPG),1,1,BE1262):INDEX((係数_乗用_ガソリン,係数_乗用_CNG,係数_乗用_軽油,係数_乗用_メタノール,係数_乗用_LPG),125,5,BE1262),5,FALSE)))))</f>
        <v/>
      </c>
      <c r="AN1262" s="461" t="str">
        <f t="shared" si="730"/>
        <v/>
      </c>
      <c r="AO1262" s="462" t="str">
        <f t="shared" si="731"/>
        <v/>
      </c>
      <c r="AP1262" s="463" t="str">
        <f t="shared" si="732"/>
        <v/>
      </c>
      <c r="AQ1262" s="464"/>
      <c r="AR1262" s="619"/>
      <c r="AS1262" s="465" t="str">
        <f t="shared" si="702"/>
        <v/>
      </c>
      <c r="AT1262" s="465" t="str">
        <f t="shared" si="703"/>
        <v/>
      </c>
      <c r="AU1262" s="466" t="str">
        <f t="shared" si="704"/>
        <v/>
      </c>
      <c r="AV1262" s="467" t="str">
        <f t="shared" si="705"/>
        <v/>
      </c>
      <c r="AW1262" s="467" t="str">
        <f t="shared" si="706"/>
        <v/>
      </c>
      <c r="AX1262" s="467" t="str">
        <f t="shared" si="707"/>
        <v/>
      </c>
      <c r="AY1262" s="467" t="str">
        <f t="shared" si="708"/>
        <v/>
      </c>
      <c r="AZ1262" s="467" t="str">
        <f t="shared" si="709"/>
        <v/>
      </c>
      <c r="BA1262" s="468" t="str">
        <f>IF(AS1262="","",IF(OR(AU1262="",AU1262="-"),"－",IF(OR(AZ1262=8,AZ1262=9),"",IF(OR(AW1262=3,AW1262=4,AW1262=5,AW1262=6),VLOOKUP(AU1262,INDEX((係数_バス貨物_ガソリン,係数_バス貨物_CNG,係数_バス貨物_軽油,係数_バス貨物_メタノール,係数_バス貨物_LPG),MATCH(AY1262,【参考】排出係数!$AI$4:$AI$671,1),1,BE1262):INDEX((係数_バス貨物_ガソリン,係数_バス貨物_CNG,係数_バス貨物_軽油,係数_バス貨物_メタノール,係数_バス貨物_LPG),MATCH(AY1262+1,【参考】排出係数!$AI$4:$AI$671,1)-1,5,BE1262),2,FALSE),IF(OR(AW1262=1,AW1262=2),VLOOKUP(AU1262,INDEX((係数_乗用_ガソリン,係数_乗用_CNG,係数_乗用_軽油,係数_乗用_メタノール,係数_乗用_LPG),1,1,BE1262):INDEX((係数_乗用_ガソリン,係数_乗用_CNG,係数_乗用_軽油,係数_乗用_メタノール,係数_乗用_LPG),125,5,BE1262),2,FALSE))))))</f>
        <v/>
      </c>
      <c r="BB1262" s="468" t="str">
        <f>IF(T1262="","",IF(OR(AU1262="",AU1262="-"),"－",IF(OR(AZ1262=8,AZ1262=9),"",IF(OR(AW1262=3,AW1262=4,AW1262=5,AW1262=6),VLOOKUP(AU1262,INDEX((係数_バス貨物_ガソリン,係数_バス貨物_CNG,係数_バス貨物_軽油,係数_バス貨物_メタノール,係数_バス貨物_LPG),MATCH(AY1262,【参考】排出係数!$AI$4:$AI$671,1),1,BE1262):INDEX((係数_バス貨物_ガソリン,係数_バス貨物_CNG,係数_バス貨物_軽油,係数_バス貨物_メタノール,係数_バス貨物_LPG),MATCH(AY1262+1,【参考】排出係数!$AI$4:$AI$671,1)-1,5,BE1262),3,FALSE),IF(OR(AW1262=1,AW1262=2),VLOOKUP(AU1262,INDEX((係数_乗用_ガソリン,係数_乗用_CNG,係数_乗用_軽油,係数_乗用_メタノール,係数_乗用_LPG),1,1,BE1262):INDEX((係数_乗用_ガソリン,係数_乗用_CNG,係数_乗用_軽油,係数_乗用_メタノール,係数_乗用_LPG),125,5,BE1262),3,FALSE))))))</f>
        <v/>
      </c>
      <c r="BC1262" s="467" t="str">
        <f t="shared" si="710"/>
        <v/>
      </c>
      <c r="BD1262" s="567" t="str">
        <f t="shared" si="711"/>
        <v/>
      </c>
      <c r="BE1262" s="467" t="str">
        <f t="shared" si="712"/>
        <v/>
      </c>
      <c r="BF1262" s="469" t="str">
        <f t="shared" ca="1" si="713"/>
        <v/>
      </c>
      <c r="BG1262" s="469" t="str">
        <f t="shared" ca="1" si="714"/>
        <v/>
      </c>
      <c r="BH1262" s="467" t="str">
        <f t="shared" si="715"/>
        <v/>
      </c>
      <c r="BI1262" s="467" t="str">
        <f t="shared" ca="1" si="716"/>
        <v/>
      </c>
      <c r="BJ1262" s="469" t="str">
        <f t="shared" si="717"/>
        <v/>
      </c>
      <c r="BK1262" s="470" t="str">
        <f t="shared" si="701"/>
        <v/>
      </c>
      <c r="BL1262" s="775" t="str">
        <f t="shared" si="718"/>
        <v/>
      </c>
      <c r="BM1262" s="775" t="str">
        <f t="shared" si="719"/>
        <v/>
      </c>
    </row>
    <row r="1263" spans="1:65">
      <c r="A1263" s="473">
        <v>1207</v>
      </c>
      <c r="B1263" s="132"/>
      <c r="C1263" s="332"/>
      <c r="D1263" s="333"/>
      <c r="E1263" s="333"/>
      <c r="F1263" s="334"/>
      <c r="G1263" s="337"/>
      <c r="H1263" s="131"/>
      <c r="I1263" s="337"/>
      <c r="J1263" s="131"/>
      <c r="K1263" s="458" t="str">
        <f t="shared" si="720"/>
        <v/>
      </c>
      <c r="L1263" s="458">
        <f t="shared" si="721"/>
        <v>0</v>
      </c>
      <c r="M1263" s="458">
        <f t="shared" si="722"/>
        <v>0</v>
      </c>
      <c r="N1263" s="459" t="str">
        <f t="shared" si="695"/>
        <v/>
      </c>
      <c r="O1263" s="459" t="str">
        <f t="shared" si="696"/>
        <v/>
      </c>
      <c r="P1263" s="459" t="str">
        <f t="shared" si="697"/>
        <v/>
      </c>
      <c r="Q1263" s="459" t="str">
        <f t="shared" si="698"/>
        <v/>
      </c>
      <c r="R1263" s="459" t="str">
        <f t="shared" si="699"/>
        <v/>
      </c>
      <c r="S1263" s="459" t="str">
        <f t="shared" si="700"/>
        <v/>
      </c>
      <c r="T1263" s="566" t="str">
        <f t="shared" si="723"/>
        <v/>
      </c>
      <c r="U1263" s="702"/>
      <c r="V1263" s="132"/>
      <c r="W1263" s="133"/>
      <c r="X1263" s="134"/>
      <c r="Y1263" s="135"/>
      <c r="Z1263" s="137"/>
      <c r="AA1263" s="136"/>
      <c r="AB1263" s="566" t="str">
        <f t="shared" si="724"/>
        <v/>
      </c>
      <c r="AC1263" s="568" t="str">
        <f t="shared" si="725"/>
        <v/>
      </c>
      <c r="AD1263" s="137"/>
      <c r="AE1263" s="137"/>
      <c r="AF1263" s="138"/>
      <c r="AG1263" s="138"/>
      <c r="AH1263" s="592" t="str">
        <f t="shared" si="726"/>
        <v/>
      </c>
      <c r="AI1263" s="592" t="str">
        <f t="shared" si="727"/>
        <v/>
      </c>
      <c r="AJ1263" s="592" t="str">
        <f t="shared" si="728"/>
        <v/>
      </c>
      <c r="AK1263" s="460" t="str">
        <f>IF(AU1263="","",IF(OR(AZ1263=8,AZ1263=9),0,IF(OR(AW1263=3,AW1263=4,AW1263=5,AW1263=6),IF(LEFT(BF1263,1)="1",INDEX(係数_NOX・PM低減,MATCH(AY1263,【参考】排出係数!$AI$801:$AI$804,1),1),VLOOKUP(AU1263,INDEX((係数_バス貨物_ガソリン,係数_バス貨物_CNG,係数_バス貨物_軽油,係数_バス貨物_メタノール,係数_バス貨物_LPG),MATCH(AY1263,【参考】排出係数!$AI$4:$AI$671,1),1,BE1263):INDEX((係数_バス貨物_ガソリン,係数_バス貨物_CNG,係数_バス貨物_軽油,係数_バス貨物_メタノール,係数_バス貨物_LPG),MATCH(AY1263+1,【参考】排出係数!$AI$4:$AI$671,1)-1,5,BE1263),4,FALSE)),IF(AND(BE1263=3,LEFT(BF1263,1)="1"),0.48,VLOOKUP(AU1263,INDEX((係数_乗用_ガソリン,係数_乗用_CNG,係数_乗用_軽油,係数_乗用_メタノール,係数_乗用_LPG),1,1,BE1263):INDEX((係数_乗用_ガソリン,係数_乗用_CNG,係数_乗用_軽油,係数_乗用_メタノール,係数_乗用_LPG),125,5,BE1263),4,FALSE)))))</f>
        <v/>
      </c>
      <c r="AL1263" s="461" t="str">
        <f t="shared" si="729"/>
        <v/>
      </c>
      <c r="AM1263" s="460" t="str">
        <f>IF(AU1263="","",IF(OR(AZ1263=8,AZ1263=9),0,IF(OR(AW1263=3,AW1263=4,AW1263=5,AW1263=6),IF(LEFT(BH1263,1)="1",INDEX(係数_PM低減,MATCH(AY1263,【参考】排出係数!$AI$801:$AI$804,1),MATCH(BI1263,【参考】排出係数!$AL$798:$AO$798,1)),VLOOKUP(AU1263,INDEX((係数_バス貨物_ガソリン,係数_バス貨物_CNG,係数_バス貨物_軽油,係数_バス貨物_メタノール,係数_バス貨物_LPG),MATCH(AY1263,【参考】排出係数!$AI$4:$AI$671,1),1,BE1263):INDEX((係数_バス貨物_ガソリン,係数_バス貨物_CNG,係数_バス貨物_軽油,係数_バス貨物_メタノール,係数_バス貨物_LPG),MATCH(AY1263+1,【参考】排出係数!$AI$4:$AI$671,1)-1,5,BE1263),5,FALSE)),IF(AND(BE1263=3,LEFT(BF1263,1)="1"),0.055,VLOOKUP(AU1263,INDEX((係数_乗用_ガソリン,係数_乗用_CNG,係数_乗用_軽油,係数_乗用_メタノール,係数_乗用_LPG),1,1,BE1263):INDEX((係数_乗用_ガソリン,係数_乗用_CNG,係数_乗用_軽油,係数_乗用_メタノール,係数_乗用_LPG),125,5,BE1263),5,FALSE)))))</f>
        <v/>
      </c>
      <c r="AN1263" s="461" t="str">
        <f t="shared" si="730"/>
        <v/>
      </c>
      <c r="AO1263" s="462" t="str">
        <f t="shared" si="731"/>
        <v/>
      </c>
      <c r="AP1263" s="463" t="str">
        <f t="shared" si="732"/>
        <v/>
      </c>
      <c r="AQ1263" s="464"/>
      <c r="AR1263" s="619"/>
      <c r="AS1263" s="465" t="str">
        <f t="shared" si="702"/>
        <v/>
      </c>
      <c r="AT1263" s="465" t="str">
        <f t="shared" si="703"/>
        <v/>
      </c>
      <c r="AU1263" s="466" t="str">
        <f t="shared" si="704"/>
        <v/>
      </c>
      <c r="AV1263" s="467" t="str">
        <f t="shared" si="705"/>
        <v/>
      </c>
      <c r="AW1263" s="467" t="str">
        <f t="shared" si="706"/>
        <v/>
      </c>
      <c r="AX1263" s="467" t="str">
        <f t="shared" si="707"/>
        <v/>
      </c>
      <c r="AY1263" s="467" t="str">
        <f t="shared" si="708"/>
        <v/>
      </c>
      <c r="AZ1263" s="467" t="str">
        <f t="shared" si="709"/>
        <v/>
      </c>
      <c r="BA1263" s="468" t="str">
        <f>IF(AS1263="","",IF(OR(AU1263="",AU1263="-"),"－",IF(OR(AZ1263=8,AZ1263=9),"",IF(OR(AW1263=3,AW1263=4,AW1263=5,AW1263=6),VLOOKUP(AU1263,INDEX((係数_バス貨物_ガソリン,係数_バス貨物_CNG,係数_バス貨物_軽油,係数_バス貨物_メタノール,係数_バス貨物_LPG),MATCH(AY1263,【参考】排出係数!$AI$4:$AI$671,1),1,BE1263):INDEX((係数_バス貨物_ガソリン,係数_バス貨物_CNG,係数_バス貨物_軽油,係数_バス貨物_メタノール,係数_バス貨物_LPG),MATCH(AY1263+1,【参考】排出係数!$AI$4:$AI$671,1)-1,5,BE1263),2,FALSE),IF(OR(AW1263=1,AW1263=2),VLOOKUP(AU1263,INDEX((係数_乗用_ガソリン,係数_乗用_CNG,係数_乗用_軽油,係数_乗用_メタノール,係数_乗用_LPG),1,1,BE1263):INDEX((係数_乗用_ガソリン,係数_乗用_CNG,係数_乗用_軽油,係数_乗用_メタノール,係数_乗用_LPG),125,5,BE1263),2,FALSE))))))</f>
        <v/>
      </c>
      <c r="BB1263" s="468" t="str">
        <f>IF(T1263="","",IF(OR(AU1263="",AU1263="-"),"－",IF(OR(AZ1263=8,AZ1263=9),"",IF(OR(AW1263=3,AW1263=4,AW1263=5,AW1263=6),VLOOKUP(AU1263,INDEX((係数_バス貨物_ガソリン,係数_バス貨物_CNG,係数_バス貨物_軽油,係数_バス貨物_メタノール,係数_バス貨物_LPG),MATCH(AY1263,【参考】排出係数!$AI$4:$AI$671,1),1,BE1263):INDEX((係数_バス貨物_ガソリン,係数_バス貨物_CNG,係数_バス貨物_軽油,係数_バス貨物_メタノール,係数_バス貨物_LPG),MATCH(AY1263+1,【参考】排出係数!$AI$4:$AI$671,1)-1,5,BE1263),3,FALSE),IF(OR(AW1263=1,AW1263=2),VLOOKUP(AU1263,INDEX((係数_乗用_ガソリン,係数_乗用_CNG,係数_乗用_軽油,係数_乗用_メタノール,係数_乗用_LPG),1,1,BE1263):INDEX((係数_乗用_ガソリン,係数_乗用_CNG,係数_乗用_軽油,係数_乗用_メタノール,係数_乗用_LPG),125,5,BE1263),3,FALSE))))))</f>
        <v/>
      </c>
      <c r="BC1263" s="467" t="str">
        <f t="shared" si="710"/>
        <v/>
      </c>
      <c r="BD1263" s="567" t="str">
        <f t="shared" si="711"/>
        <v/>
      </c>
      <c r="BE1263" s="467" t="str">
        <f t="shared" si="712"/>
        <v/>
      </c>
      <c r="BF1263" s="469" t="str">
        <f t="shared" ca="1" si="713"/>
        <v/>
      </c>
      <c r="BG1263" s="469" t="str">
        <f t="shared" ca="1" si="714"/>
        <v/>
      </c>
      <c r="BH1263" s="467" t="str">
        <f t="shared" si="715"/>
        <v/>
      </c>
      <c r="BI1263" s="467" t="str">
        <f t="shared" ca="1" si="716"/>
        <v/>
      </c>
      <c r="BJ1263" s="469" t="str">
        <f t="shared" si="717"/>
        <v/>
      </c>
      <c r="BK1263" s="470" t="str">
        <f t="shared" si="701"/>
        <v/>
      </c>
      <c r="BL1263" s="775" t="str">
        <f t="shared" si="718"/>
        <v/>
      </c>
      <c r="BM1263" s="775" t="str">
        <f t="shared" si="719"/>
        <v/>
      </c>
    </row>
    <row r="1264" spans="1:65">
      <c r="A1264" s="473">
        <v>1208</v>
      </c>
      <c r="B1264" s="132"/>
      <c r="C1264" s="332"/>
      <c r="D1264" s="333"/>
      <c r="E1264" s="333"/>
      <c r="F1264" s="334"/>
      <c r="G1264" s="337"/>
      <c r="H1264" s="131"/>
      <c r="I1264" s="337"/>
      <c r="J1264" s="131"/>
      <c r="K1264" s="458" t="str">
        <f t="shared" si="720"/>
        <v/>
      </c>
      <c r="L1264" s="458">
        <f t="shared" si="721"/>
        <v>0</v>
      </c>
      <c r="M1264" s="458">
        <f t="shared" si="722"/>
        <v>0</v>
      </c>
      <c r="N1264" s="459" t="str">
        <f t="shared" si="695"/>
        <v/>
      </c>
      <c r="O1264" s="459" t="str">
        <f t="shared" si="696"/>
        <v/>
      </c>
      <c r="P1264" s="459" t="str">
        <f t="shared" si="697"/>
        <v/>
      </c>
      <c r="Q1264" s="459" t="str">
        <f t="shared" si="698"/>
        <v/>
      </c>
      <c r="R1264" s="459" t="str">
        <f t="shared" si="699"/>
        <v/>
      </c>
      <c r="S1264" s="459" t="str">
        <f t="shared" si="700"/>
        <v/>
      </c>
      <c r="T1264" s="566" t="str">
        <f t="shared" si="723"/>
        <v/>
      </c>
      <c r="U1264" s="702"/>
      <c r="V1264" s="132"/>
      <c r="W1264" s="133"/>
      <c r="X1264" s="134"/>
      <c r="Y1264" s="135"/>
      <c r="Z1264" s="137"/>
      <c r="AA1264" s="136"/>
      <c r="AB1264" s="566" t="str">
        <f t="shared" si="724"/>
        <v/>
      </c>
      <c r="AC1264" s="568" t="str">
        <f t="shared" si="725"/>
        <v/>
      </c>
      <c r="AD1264" s="137"/>
      <c r="AE1264" s="137"/>
      <c r="AF1264" s="138"/>
      <c r="AG1264" s="138"/>
      <c r="AH1264" s="592" t="str">
        <f t="shared" si="726"/>
        <v/>
      </c>
      <c r="AI1264" s="592" t="str">
        <f t="shared" si="727"/>
        <v/>
      </c>
      <c r="AJ1264" s="592" t="str">
        <f t="shared" si="728"/>
        <v/>
      </c>
      <c r="AK1264" s="460" t="str">
        <f>IF(AU1264="","",IF(OR(AZ1264=8,AZ1264=9),0,IF(OR(AW1264=3,AW1264=4,AW1264=5,AW1264=6),IF(LEFT(BF1264,1)="1",INDEX(係数_NOX・PM低減,MATCH(AY1264,【参考】排出係数!$AI$801:$AI$804,1),1),VLOOKUP(AU1264,INDEX((係数_バス貨物_ガソリン,係数_バス貨物_CNG,係数_バス貨物_軽油,係数_バス貨物_メタノール,係数_バス貨物_LPG),MATCH(AY1264,【参考】排出係数!$AI$4:$AI$671,1),1,BE1264):INDEX((係数_バス貨物_ガソリン,係数_バス貨物_CNG,係数_バス貨物_軽油,係数_バス貨物_メタノール,係数_バス貨物_LPG),MATCH(AY1264+1,【参考】排出係数!$AI$4:$AI$671,1)-1,5,BE1264),4,FALSE)),IF(AND(BE1264=3,LEFT(BF1264,1)="1"),0.48,VLOOKUP(AU1264,INDEX((係数_乗用_ガソリン,係数_乗用_CNG,係数_乗用_軽油,係数_乗用_メタノール,係数_乗用_LPG),1,1,BE1264):INDEX((係数_乗用_ガソリン,係数_乗用_CNG,係数_乗用_軽油,係数_乗用_メタノール,係数_乗用_LPG),125,5,BE1264),4,FALSE)))))</f>
        <v/>
      </c>
      <c r="AL1264" s="461" t="str">
        <f t="shared" si="729"/>
        <v/>
      </c>
      <c r="AM1264" s="460" t="str">
        <f>IF(AU1264="","",IF(OR(AZ1264=8,AZ1264=9),0,IF(OR(AW1264=3,AW1264=4,AW1264=5,AW1264=6),IF(LEFT(BH1264,1)="1",INDEX(係数_PM低減,MATCH(AY1264,【参考】排出係数!$AI$801:$AI$804,1),MATCH(BI1264,【参考】排出係数!$AL$798:$AO$798,1)),VLOOKUP(AU1264,INDEX((係数_バス貨物_ガソリン,係数_バス貨物_CNG,係数_バス貨物_軽油,係数_バス貨物_メタノール,係数_バス貨物_LPG),MATCH(AY1264,【参考】排出係数!$AI$4:$AI$671,1),1,BE1264):INDEX((係数_バス貨物_ガソリン,係数_バス貨物_CNG,係数_バス貨物_軽油,係数_バス貨物_メタノール,係数_バス貨物_LPG),MATCH(AY1264+1,【参考】排出係数!$AI$4:$AI$671,1)-1,5,BE1264),5,FALSE)),IF(AND(BE1264=3,LEFT(BF1264,1)="1"),0.055,VLOOKUP(AU1264,INDEX((係数_乗用_ガソリン,係数_乗用_CNG,係数_乗用_軽油,係数_乗用_メタノール,係数_乗用_LPG),1,1,BE1264):INDEX((係数_乗用_ガソリン,係数_乗用_CNG,係数_乗用_軽油,係数_乗用_メタノール,係数_乗用_LPG),125,5,BE1264),5,FALSE)))))</f>
        <v/>
      </c>
      <c r="AN1264" s="461" t="str">
        <f t="shared" si="730"/>
        <v/>
      </c>
      <c r="AO1264" s="462" t="str">
        <f t="shared" si="731"/>
        <v/>
      </c>
      <c r="AP1264" s="463" t="str">
        <f t="shared" si="732"/>
        <v/>
      </c>
      <c r="AQ1264" s="464"/>
      <c r="AR1264" s="619"/>
      <c r="AS1264" s="465" t="str">
        <f t="shared" si="702"/>
        <v/>
      </c>
      <c r="AT1264" s="465" t="str">
        <f t="shared" si="703"/>
        <v/>
      </c>
      <c r="AU1264" s="466" t="str">
        <f t="shared" si="704"/>
        <v/>
      </c>
      <c r="AV1264" s="467" t="str">
        <f t="shared" si="705"/>
        <v/>
      </c>
      <c r="AW1264" s="467" t="str">
        <f t="shared" si="706"/>
        <v/>
      </c>
      <c r="AX1264" s="467" t="str">
        <f t="shared" si="707"/>
        <v/>
      </c>
      <c r="AY1264" s="467" t="str">
        <f t="shared" si="708"/>
        <v/>
      </c>
      <c r="AZ1264" s="467" t="str">
        <f t="shared" si="709"/>
        <v/>
      </c>
      <c r="BA1264" s="468" t="str">
        <f>IF(AS1264="","",IF(OR(AU1264="",AU1264="-"),"－",IF(OR(AZ1264=8,AZ1264=9),"",IF(OR(AW1264=3,AW1264=4,AW1264=5,AW1264=6),VLOOKUP(AU1264,INDEX((係数_バス貨物_ガソリン,係数_バス貨物_CNG,係数_バス貨物_軽油,係数_バス貨物_メタノール,係数_バス貨物_LPG),MATCH(AY1264,【参考】排出係数!$AI$4:$AI$671,1),1,BE1264):INDEX((係数_バス貨物_ガソリン,係数_バス貨物_CNG,係数_バス貨物_軽油,係数_バス貨物_メタノール,係数_バス貨物_LPG),MATCH(AY1264+1,【参考】排出係数!$AI$4:$AI$671,1)-1,5,BE1264),2,FALSE),IF(OR(AW1264=1,AW1264=2),VLOOKUP(AU1264,INDEX((係数_乗用_ガソリン,係数_乗用_CNG,係数_乗用_軽油,係数_乗用_メタノール,係数_乗用_LPG),1,1,BE1264):INDEX((係数_乗用_ガソリン,係数_乗用_CNG,係数_乗用_軽油,係数_乗用_メタノール,係数_乗用_LPG),125,5,BE1264),2,FALSE))))))</f>
        <v/>
      </c>
      <c r="BB1264" s="468" t="str">
        <f>IF(T1264="","",IF(OR(AU1264="",AU1264="-"),"－",IF(OR(AZ1264=8,AZ1264=9),"",IF(OR(AW1264=3,AW1264=4,AW1264=5,AW1264=6),VLOOKUP(AU1264,INDEX((係数_バス貨物_ガソリン,係数_バス貨物_CNG,係数_バス貨物_軽油,係数_バス貨物_メタノール,係数_バス貨物_LPG),MATCH(AY1264,【参考】排出係数!$AI$4:$AI$671,1),1,BE1264):INDEX((係数_バス貨物_ガソリン,係数_バス貨物_CNG,係数_バス貨物_軽油,係数_バス貨物_メタノール,係数_バス貨物_LPG),MATCH(AY1264+1,【参考】排出係数!$AI$4:$AI$671,1)-1,5,BE1264),3,FALSE),IF(OR(AW1264=1,AW1264=2),VLOOKUP(AU1264,INDEX((係数_乗用_ガソリン,係数_乗用_CNG,係数_乗用_軽油,係数_乗用_メタノール,係数_乗用_LPG),1,1,BE1264):INDEX((係数_乗用_ガソリン,係数_乗用_CNG,係数_乗用_軽油,係数_乗用_メタノール,係数_乗用_LPG),125,5,BE1264),3,FALSE))))))</f>
        <v/>
      </c>
      <c r="BC1264" s="467" t="str">
        <f t="shared" si="710"/>
        <v/>
      </c>
      <c r="BD1264" s="567" t="str">
        <f t="shared" si="711"/>
        <v/>
      </c>
      <c r="BE1264" s="467" t="str">
        <f t="shared" si="712"/>
        <v/>
      </c>
      <c r="BF1264" s="469" t="str">
        <f t="shared" ca="1" si="713"/>
        <v/>
      </c>
      <c r="BG1264" s="469" t="str">
        <f t="shared" ca="1" si="714"/>
        <v/>
      </c>
      <c r="BH1264" s="467" t="str">
        <f t="shared" si="715"/>
        <v/>
      </c>
      <c r="BI1264" s="467" t="str">
        <f t="shared" ca="1" si="716"/>
        <v/>
      </c>
      <c r="BJ1264" s="469" t="str">
        <f t="shared" si="717"/>
        <v/>
      </c>
      <c r="BK1264" s="470" t="str">
        <f t="shared" si="701"/>
        <v/>
      </c>
      <c r="BL1264" s="775" t="str">
        <f t="shared" si="718"/>
        <v/>
      </c>
      <c r="BM1264" s="775" t="str">
        <f t="shared" si="719"/>
        <v/>
      </c>
    </row>
    <row r="1265" spans="1:65">
      <c r="A1265" s="473">
        <v>1209</v>
      </c>
      <c r="B1265" s="132"/>
      <c r="C1265" s="332"/>
      <c r="D1265" s="333"/>
      <c r="E1265" s="333"/>
      <c r="F1265" s="334"/>
      <c r="G1265" s="337"/>
      <c r="H1265" s="131"/>
      <c r="I1265" s="337"/>
      <c r="J1265" s="131"/>
      <c r="K1265" s="458" t="str">
        <f t="shared" si="720"/>
        <v/>
      </c>
      <c r="L1265" s="458">
        <f t="shared" si="721"/>
        <v>0</v>
      </c>
      <c r="M1265" s="458">
        <f t="shared" si="722"/>
        <v>0</v>
      </c>
      <c r="N1265" s="459" t="str">
        <f t="shared" si="695"/>
        <v/>
      </c>
      <c r="O1265" s="459" t="str">
        <f t="shared" si="696"/>
        <v/>
      </c>
      <c r="P1265" s="459" t="str">
        <f t="shared" si="697"/>
        <v/>
      </c>
      <c r="Q1265" s="459" t="str">
        <f t="shared" si="698"/>
        <v/>
      </c>
      <c r="R1265" s="459" t="str">
        <f t="shared" si="699"/>
        <v/>
      </c>
      <c r="S1265" s="459" t="str">
        <f t="shared" si="700"/>
        <v/>
      </c>
      <c r="T1265" s="566" t="str">
        <f t="shared" si="723"/>
        <v/>
      </c>
      <c r="U1265" s="702"/>
      <c r="V1265" s="132"/>
      <c r="W1265" s="133"/>
      <c r="X1265" s="134"/>
      <c r="Y1265" s="135"/>
      <c r="Z1265" s="137"/>
      <c r="AA1265" s="136"/>
      <c r="AB1265" s="566" t="str">
        <f t="shared" si="724"/>
        <v/>
      </c>
      <c r="AC1265" s="568" t="str">
        <f t="shared" si="725"/>
        <v/>
      </c>
      <c r="AD1265" s="137"/>
      <c r="AE1265" s="137"/>
      <c r="AF1265" s="138"/>
      <c r="AG1265" s="138"/>
      <c r="AH1265" s="592" t="str">
        <f t="shared" si="726"/>
        <v/>
      </c>
      <c r="AI1265" s="592" t="str">
        <f t="shared" si="727"/>
        <v/>
      </c>
      <c r="AJ1265" s="592" t="str">
        <f t="shared" si="728"/>
        <v/>
      </c>
      <c r="AK1265" s="460" t="str">
        <f>IF(AU1265="","",IF(OR(AZ1265=8,AZ1265=9),0,IF(OR(AW1265=3,AW1265=4,AW1265=5,AW1265=6),IF(LEFT(BF1265,1)="1",INDEX(係数_NOX・PM低減,MATCH(AY1265,【参考】排出係数!$AI$801:$AI$804,1),1),VLOOKUP(AU1265,INDEX((係数_バス貨物_ガソリン,係数_バス貨物_CNG,係数_バス貨物_軽油,係数_バス貨物_メタノール,係数_バス貨物_LPG),MATCH(AY1265,【参考】排出係数!$AI$4:$AI$671,1),1,BE1265):INDEX((係数_バス貨物_ガソリン,係数_バス貨物_CNG,係数_バス貨物_軽油,係数_バス貨物_メタノール,係数_バス貨物_LPG),MATCH(AY1265+1,【参考】排出係数!$AI$4:$AI$671,1)-1,5,BE1265),4,FALSE)),IF(AND(BE1265=3,LEFT(BF1265,1)="1"),0.48,VLOOKUP(AU1265,INDEX((係数_乗用_ガソリン,係数_乗用_CNG,係数_乗用_軽油,係数_乗用_メタノール,係数_乗用_LPG),1,1,BE1265):INDEX((係数_乗用_ガソリン,係数_乗用_CNG,係数_乗用_軽油,係数_乗用_メタノール,係数_乗用_LPG),125,5,BE1265),4,FALSE)))))</f>
        <v/>
      </c>
      <c r="AL1265" s="461" t="str">
        <f t="shared" si="729"/>
        <v/>
      </c>
      <c r="AM1265" s="460" t="str">
        <f>IF(AU1265="","",IF(OR(AZ1265=8,AZ1265=9),0,IF(OR(AW1265=3,AW1265=4,AW1265=5,AW1265=6),IF(LEFT(BH1265,1)="1",INDEX(係数_PM低減,MATCH(AY1265,【参考】排出係数!$AI$801:$AI$804,1),MATCH(BI1265,【参考】排出係数!$AL$798:$AO$798,1)),VLOOKUP(AU1265,INDEX((係数_バス貨物_ガソリン,係数_バス貨物_CNG,係数_バス貨物_軽油,係数_バス貨物_メタノール,係数_バス貨物_LPG),MATCH(AY1265,【参考】排出係数!$AI$4:$AI$671,1),1,BE1265):INDEX((係数_バス貨物_ガソリン,係数_バス貨物_CNG,係数_バス貨物_軽油,係数_バス貨物_メタノール,係数_バス貨物_LPG),MATCH(AY1265+1,【参考】排出係数!$AI$4:$AI$671,1)-1,5,BE1265),5,FALSE)),IF(AND(BE1265=3,LEFT(BF1265,1)="1"),0.055,VLOOKUP(AU1265,INDEX((係数_乗用_ガソリン,係数_乗用_CNG,係数_乗用_軽油,係数_乗用_メタノール,係数_乗用_LPG),1,1,BE1265):INDEX((係数_乗用_ガソリン,係数_乗用_CNG,係数_乗用_軽油,係数_乗用_メタノール,係数_乗用_LPG),125,5,BE1265),5,FALSE)))))</f>
        <v/>
      </c>
      <c r="AN1265" s="461" t="str">
        <f t="shared" si="730"/>
        <v/>
      </c>
      <c r="AO1265" s="462" t="str">
        <f t="shared" si="731"/>
        <v/>
      </c>
      <c r="AP1265" s="463" t="str">
        <f t="shared" si="732"/>
        <v/>
      </c>
      <c r="AQ1265" s="464"/>
      <c r="AR1265" s="619"/>
      <c r="AS1265" s="465" t="str">
        <f t="shared" si="702"/>
        <v/>
      </c>
      <c r="AT1265" s="465" t="str">
        <f t="shared" si="703"/>
        <v/>
      </c>
      <c r="AU1265" s="466" t="str">
        <f t="shared" si="704"/>
        <v/>
      </c>
      <c r="AV1265" s="467" t="str">
        <f t="shared" si="705"/>
        <v/>
      </c>
      <c r="AW1265" s="467" t="str">
        <f t="shared" si="706"/>
        <v/>
      </c>
      <c r="AX1265" s="467" t="str">
        <f t="shared" si="707"/>
        <v/>
      </c>
      <c r="AY1265" s="467" t="str">
        <f t="shared" si="708"/>
        <v/>
      </c>
      <c r="AZ1265" s="467" t="str">
        <f t="shared" si="709"/>
        <v/>
      </c>
      <c r="BA1265" s="468" t="str">
        <f>IF(AS1265="","",IF(OR(AU1265="",AU1265="-"),"－",IF(OR(AZ1265=8,AZ1265=9),"",IF(OR(AW1265=3,AW1265=4,AW1265=5,AW1265=6),VLOOKUP(AU1265,INDEX((係数_バス貨物_ガソリン,係数_バス貨物_CNG,係数_バス貨物_軽油,係数_バス貨物_メタノール,係数_バス貨物_LPG),MATCH(AY1265,【参考】排出係数!$AI$4:$AI$671,1),1,BE1265):INDEX((係数_バス貨物_ガソリン,係数_バス貨物_CNG,係数_バス貨物_軽油,係数_バス貨物_メタノール,係数_バス貨物_LPG),MATCH(AY1265+1,【参考】排出係数!$AI$4:$AI$671,1)-1,5,BE1265),2,FALSE),IF(OR(AW1265=1,AW1265=2),VLOOKUP(AU1265,INDEX((係数_乗用_ガソリン,係数_乗用_CNG,係数_乗用_軽油,係数_乗用_メタノール,係数_乗用_LPG),1,1,BE1265):INDEX((係数_乗用_ガソリン,係数_乗用_CNG,係数_乗用_軽油,係数_乗用_メタノール,係数_乗用_LPG),125,5,BE1265),2,FALSE))))))</f>
        <v/>
      </c>
      <c r="BB1265" s="468" t="str">
        <f>IF(T1265="","",IF(OR(AU1265="",AU1265="-"),"－",IF(OR(AZ1265=8,AZ1265=9),"",IF(OR(AW1265=3,AW1265=4,AW1265=5,AW1265=6),VLOOKUP(AU1265,INDEX((係数_バス貨物_ガソリン,係数_バス貨物_CNG,係数_バス貨物_軽油,係数_バス貨物_メタノール,係数_バス貨物_LPG),MATCH(AY1265,【参考】排出係数!$AI$4:$AI$671,1),1,BE1265):INDEX((係数_バス貨物_ガソリン,係数_バス貨物_CNG,係数_バス貨物_軽油,係数_バス貨物_メタノール,係数_バス貨物_LPG),MATCH(AY1265+1,【参考】排出係数!$AI$4:$AI$671,1)-1,5,BE1265),3,FALSE),IF(OR(AW1265=1,AW1265=2),VLOOKUP(AU1265,INDEX((係数_乗用_ガソリン,係数_乗用_CNG,係数_乗用_軽油,係数_乗用_メタノール,係数_乗用_LPG),1,1,BE1265):INDEX((係数_乗用_ガソリン,係数_乗用_CNG,係数_乗用_軽油,係数_乗用_メタノール,係数_乗用_LPG),125,5,BE1265),3,FALSE))))))</f>
        <v/>
      </c>
      <c r="BC1265" s="467" t="str">
        <f t="shared" si="710"/>
        <v/>
      </c>
      <c r="BD1265" s="567" t="str">
        <f t="shared" si="711"/>
        <v/>
      </c>
      <c r="BE1265" s="467" t="str">
        <f t="shared" si="712"/>
        <v/>
      </c>
      <c r="BF1265" s="469" t="str">
        <f t="shared" ca="1" si="713"/>
        <v/>
      </c>
      <c r="BG1265" s="469" t="str">
        <f t="shared" ca="1" si="714"/>
        <v/>
      </c>
      <c r="BH1265" s="467" t="str">
        <f t="shared" si="715"/>
        <v/>
      </c>
      <c r="BI1265" s="467" t="str">
        <f t="shared" ca="1" si="716"/>
        <v/>
      </c>
      <c r="BJ1265" s="469" t="str">
        <f t="shared" si="717"/>
        <v/>
      </c>
      <c r="BK1265" s="470" t="str">
        <f t="shared" si="701"/>
        <v/>
      </c>
      <c r="BL1265" s="775" t="str">
        <f t="shared" si="718"/>
        <v/>
      </c>
      <c r="BM1265" s="775" t="str">
        <f t="shared" si="719"/>
        <v/>
      </c>
    </row>
    <row r="1266" spans="1:65">
      <c r="A1266" s="473">
        <v>1210</v>
      </c>
      <c r="B1266" s="132"/>
      <c r="C1266" s="332"/>
      <c r="D1266" s="333"/>
      <c r="E1266" s="333"/>
      <c r="F1266" s="334"/>
      <c r="G1266" s="337"/>
      <c r="H1266" s="131"/>
      <c r="I1266" s="337"/>
      <c r="J1266" s="131"/>
      <c r="K1266" s="458" t="str">
        <f t="shared" si="720"/>
        <v/>
      </c>
      <c r="L1266" s="458">
        <f t="shared" si="721"/>
        <v>0</v>
      </c>
      <c r="M1266" s="458">
        <f t="shared" si="722"/>
        <v>0</v>
      </c>
      <c r="N1266" s="459" t="str">
        <f t="shared" si="695"/>
        <v/>
      </c>
      <c r="O1266" s="459" t="str">
        <f t="shared" si="696"/>
        <v/>
      </c>
      <c r="P1266" s="459" t="str">
        <f t="shared" si="697"/>
        <v/>
      </c>
      <c r="Q1266" s="459" t="str">
        <f t="shared" si="698"/>
        <v/>
      </c>
      <c r="R1266" s="459" t="str">
        <f t="shared" si="699"/>
        <v/>
      </c>
      <c r="S1266" s="459" t="str">
        <f t="shared" si="700"/>
        <v/>
      </c>
      <c r="T1266" s="566" t="str">
        <f t="shared" si="723"/>
        <v/>
      </c>
      <c r="U1266" s="702"/>
      <c r="V1266" s="132"/>
      <c r="W1266" s="133"/>
      <c r="X1266" s="134"/>
      <c r="Y1266" s="135"/>
      <c r="Z1266" s="137"/>
      <c r="AA1266" s="136"/>
      <c r="AB1266" s="566" t="str">
        <f t="shared" si="724"/>
        <v/>
      </c>
      <c r="AC1266" s="568" t="str">
        <f t="shared" si="725"/>
        <v/>
      </c>
      <c r="AD1266" s="137"/>
      <c r="AE1266" s="137"/>
      <c r="AF1266" s="138"/>
      <c r="AG1266" s="138"/>
      <c r="AH1266" s="592" t="str">
        <f t="shared" si="726"/>
        <v/>
      </c>
      <c r="AI1266" s="592" t="str">
        <f t="shared" si="727"/>
        <v/>
      </c>
      <c r="AJ1266" s="592" t="str">
        <f t="shared" si="728"/>
        <v/>
      </c>
      <c r="AK1266" s="460" t="str">
        <f>IF(AU1266="","",IF(OR(AZ1266=8,AZ1266=9),0,IF(OR(AW1266=3,AW1266=4,AW1266=5,AW1266=6),IF(LEFT(BF1266,1)="1",INDEX(係数_NOX・PM低減,MATCH(AY1266,【参考】排出係数!$AI$801:$AI$804,1),1),VLOOKUP(AU1266,INDEX((係数_バス貨物_ガソリン,係数_バス貨物_CNG,係数_バス貨物_軽油,係数_バス貨物_メタノール,係数_バス貨物_LPG),MATCH(AY1266,【参考】排出係数!$AI$4:$AI$671,1),1,BE1266):INDEX((係数_バス貨物_ガソリン,係数_バス貨物_CNG,係数_バス貨物_軽油,係数_バス貨物_メタノール,係数_バス貨物_LPG),MATCH(AY1266+1,【参考】排出係数!$AI$4:$AI$671,1)-1,5,BE1266),4,FALSE)),IF(AND(BE1266=3,LEFT(BF1266,1)="1"),0.48,VLOOKUP(AU1266,INDEX((係数_乗用_ガソリン,係数_乗用_CNG,係数_乗用_軽油,係数_乗用_メタノール,係数_乗用_LPG),1,1,BE1266):INDEX((係数_乗用_ガソリン,係数_乗用_CNG,係数_乗用_軽油,係数_乗用_メタノール,係数_乗用_LPG),125,5,BE1266),4,FALSE)))))</f>
        <v/>
      </c>
      <c r="AL1266" s="461" t="str">
        <f t="shared" si="729"/>
        <v/>
      </c>
      <c r="AM1266" s="460" t="str">
        <f>IF(AU1266="","",IF(OR(AZ1266=8,AZ1266=9),0,IF(OR(AW1266=3,AW1266=4,AW1266=5,AW1266=6),IF(LEFT(BH1266,1)="1",INDEX(係数_PM低減,MATCH(AY1266,【参考】排出係数!$AI$801:$AI$804,1),MATCH(BI1266,【参考】排出係数!$AL$798:$AO$798,1)),VLOOKUP(AU1266,INDEX((係数_バス貨物_ガソリン,係数_バス貨物_CNG,係数_バス貨物_軽油,係数_バス貨物_メタノール,係数_バス貨物_LPG),MATCH(AY1266,【参考】排出係数!$AI$4:$AI$671,1),1,BE1266):INDEX((係数_バス貨物_ガソリン,係数_バス貨物_CNG,係数_バス貨物_軽油,係数_バス貨物_メタノール,係数_バス貨物_LPG),MATCH(AY1266+1,【参考】排出係数!$AI$4:$AI$671,1)-1,5,BE1266),5,FALSE)),IF(AND(BE1266=3,LEFT(BF1266,1)="1"),0.055,VLOOKUP(AU1266,INDEX((係数_乗用_ガソリン,係数_乗用_CNG,係数_乗用_軽油,係数_乗用_メタノール,係数_乗用_LPG),1,1,BE1266):INDEX((係数_乗用_ガソリン,係数_乗用_CNG,係数_乗用_軽油,係数_乗用_メタノール,係数_乗用_LPG),125,5,BE1266),5,FALSE)))))</f>
        <v/>
      </c>
      <c r="AN1266" s="461" t="str">
        <f t="shared" si="730"/>
        <v/>
      </c>
      <c r="AO1266" s="462" t="str">
        <f t="shared" si="731"/>
        <v/>
      </c>
      <c r="AP1266" s="463" t="str">
        <f t="shared" si="732"/>
        <v/>
      </c>
      <c r="AQ1266" s="464"/>
      <c r="AR1266" s="619"/>
      <c r="AS1266" s="465" t="str">
        <f t="shared" si="702"/>
        <v/>
      </c>
      <c r="AT1266" s="465" t="str">
        <f t="shared" si="703"/>
        <v/>
      </c>
      <c r="AU1266" s="466" t="str">
        <f t="shared" si="704"/>
        <v/>
      </c>
      <c r="AV1266" s="467" t="str">
        <f t="shared" si="705"/>
        <v/>
      </c>
      <c r="AW1266" s="467" t="str">
        <f t="shared" si="706"/>
        <v/>
      </c>
      <c r="AX1266" s="467" t="str">
        <f t="shared" si="707"/>
        <v/>
      </c>
      <c r="AY1266" s="467" t="str">
        <f t="shared" si="708"/>
        <v/>
      </c>
      <c r="AZ1266" s="467" t="str">
        <f t="shared" si="709"/>
        <v/>
      </c>
      <c r="BA1266" s="468" t="str">
        <f>IF(AS1266="","",IF(OR(AU1266="",AU1266="-"),"－",IF(OR(AZ1266=8,AZ1266=9),"",IF(OR(AW1266=3,AW1266=4,AW1266=5,AW1266=6),VLOOKUP(AU1266,INDEX((係数_バス貨物_ガソリン,係数_バス貨物_CNG,係数_バス貨物_軽油,係数_バス貨物_メタノール,係数_バス貨物_LPG),MATCH(AY1266,【参考】排出係数!$AI$4:$AI$671,1),1,BE1266):INDEX((係数_バス貨物_ガソリン,係数_バス貨物_CNG,係数_バス貨物_軽油,係数_バス貨物_メタノール,係数_バス貨物_LPG),MATCH(AY1266+1,【参考】排出係数!$AI$4:$AI$671,1)-1,5,BE1266),2,FALSE),IF(OR(AW1266=1,AW1266=2),VLOOKUP(AU1266,INDEX((係数_乗用_ガソリン,係数_乗用_CNG,係数_乗用_軽油,係数_乗用_メタノール,係数_乗用_LPG),1,1,BE1266):INDEX((係数_乗用_ガソリン,係数_乗用_CNG,係数_乗用_軽油,係数_乗用_メタノール,係数_乗用_LPG),125,5,BE1266),2,FALSE))))))</f>
        <v/>
      </c>
      <c r="BB1266" s="468" t="str">
        <f>IF(T1266="","",IF(OR(AU1266="",AU1266="-"),"－",IF(OR(AZ1266=8,AZ1266=9),"",IF(OR(AW1266=3,AW1266=4,AW1266=5,AW1266=6),VLOOKUP(AU1266,INDEX((係数_バス貨物_ガソリン,係数_バス貨物_CNG,係数_バス貨物_軽油,係数_バス貨物_メタノール,係数_バス貨物_LPG),MATCH(AY1266,【参考】排出係数!$AI$4:$AI$671,1),1,BE1266):INDEX((係数_バス貨物_ガソリン,係数_バス貨物_CNG,係数_バス貨物_軽油,係数_バス貨物_メタノール,係数_バス貨物_LPG),MATCH(AY1266+1,【参考】排出係数!$AI$4:$AI$671,1)-1,5,BE1266),3,FALSE),IF(OR(AW1266=1,AW1266=2),VLOOKUP(AU1266,INDEX((係数_乗用_ガソリン,係数_乗用_CNG,係数_乗用_軽油,係数_乗用_メタノール,係数_乗用_LPG),1,1,BE1266):INDEX((係数_乗用_ガソリン,係数_乗用_CNG,係数_乗用_軽油,係数_乗用_メタノール,係数_乗用_LPG),125,5,BE1266),3,FALSE))))))</f>
        <v/>
      </c>
      <c r="BC1266" s="467" t="str">
        <f t="shared" si="710"/>
        <v/>
      </c>
      <c r="BD1266" s="567" t="str">
        <f t="shared" si="711"/>
        <v/>
      </c>
      <c r="BE1266" s="467" t="str">
        <f t="shared" si="712"/>
        <v/>
      </c>
      <c r="BF1266" s="469" t="str">
        <f t="shared" ca="1" si="713"/>
        <v/>
      </c>
      <c r="BG1266" s="469" t="str">
        <f t="shared" ca="1" si="714"/>
        <v/>
      </c>
      <c r="BH1266" s="467" t="str">
        <f t="shared" si="715"/>
        <v/>
      </c>
      <c r="BI1266" s="467" t="str">
        <f t="shared" ca="1" si="716"/>
        <v/>
      </c>
      <c r="BJ1266" s="469" t="str">
        <f t="shared" si="717"/>
        <v/>
      </c>
      <c r="BK1266" s="470" t="str">
        <f t="shared" si="701"/>
        <v/>
      </c>
      <c r="BL1266" s="775" t="str">
        <f t="shared" si="718"/>
        <v/>
      </c>
      <c r="BM1266" s="775" t="str">
        <f t="shared" si="719"/>
        <v/>
      </c>
    </row>
    <row r="1267" spans="1:65">
      <c r="A1267" s="473">
        <v>1211</v>
      </c>
      <c r="B1267" s="132"/>
      <c r="C1267" s="332"/>
      <c r="D1267" s="333"/>
      <c r="E1267" s="333"/>
      <c r="F1267" s="334"/>
      <c r="G1267" s="337"/>
      <c r="H1267" s="131"/>
      <c r="I1267" s="337"/>
      <c r="J1267" s="131"/>
      <c r="K1267" s="458" t="str">
        <f t="shared" si="720"/>
        <v/>
      </c>
      <c r="L1267" s="458">
        <f t="shared" si="721"/>
        <v>0</v>
      </c>
      <c r="M1267" s="458">
        <f t="shared" si="722"/>
        <v>0</v>
      </c>
      <c r="N1267" s="459" t="str">
        <f t="shared" si="695"/>
        <v/>
      </c>
      <c r="O1267" s="459" t="str">
        <f t="shared" si="696"/>
        <v/>
      </c>
      <c r="P1267" s="459" t="str">
        <f t="shared" si="697"/>
        <v/>
      </c>
      <c r="Q1267" s="459" t="str">
        <f t="shared" si="698"/>
        <v/>
      </c>
      <c r="R1267" s="459" t="str">
        <f t="shared" si="699"/>
        <v/>
      </c>
      <c r="S1267" s="459" t="str">
        <f t="shared" si="700"/>
        <v/>
      </c>
      <c r="T1267" s="566" t="str">
        <f t="shared" si="723"/>
        <v/>
      </c>
      <c r="U1267" s="702"/>
      <c r="V1267" s="132"/>
      <c r="W1267" s="133"/>
      <c r="X1267" s="134"/>
      <c r="Y1267" s="135"/>
      <c r="Z1267" s="137"/>
      <c r="AA1267" s="136"/>
      <c r="AB1267" s="566" t="str">
        <f t="shared" si="724"/>
        <v/>
      </c>
      <c r="AC1267" s="568" t="str">
        <f t="shared" si="725"/>
        <v/>
      </c>
      <c r="AD1267" s="137"/>
      <c r="AE1267" s="137"/>
      <c r="AF1267" s="138"/>
      <c r="AG1267" s="138"/>
      <c r="AH1267" s="592" t="str">
        <f t="shared" si="726"/>
        <v/>
      </c>
      <c r="AI1267" s="592" t="str">
        <f t="shared" si="727"/>
        <v/>
      </c>
      <c r="AJ1267" s="592" t="str">
        <f t="shared" si="728"/>
        <v/>
      </c>
      <c r="AK1267" s="460" t="str">
        <f>IF(AU1267="","",IF(OR(AZ1267=8,AZ1267=9),0,IF(OR(AW1267=3,AW1267=4,AW1267=5,AW1267=6),IF(LEFT(BF1267,1)="1",INDEX(係数_NOX・PM低減,MATCH(AY1267,【参考】排出係数!$AI$801:$AI$804,1),1),VLOOKUP(AU1267,INDEX((係数_バス貨物_ガソリン,係数_バス貨物_CNG,係数_バス貨物_軽油,係数_バス貨物_メタノール,係数_バス貨物_LPG),MATCH(AY1267,【参考】排出係数!$AI$4:$AI$671,1),1,BE1267):INDEX((係数_バス貨物_ガソリン,係数_バス貨物_CNG,係数_バス貨物_軽油,係数_バス貨物_メタノール,係数_バス貨物_LPG),MATCH(AY1267+1,【参考】排出係数!$AI$4:$AI$671,1)-1,5,BE1267),4,FALSE)),IF(AND(BE1267=3,LEFT(BF1267,1)="1"),0.48,VLOOKUP(AU1267,INDEX((係数_乗用_ガソリン,係数_乗用_CNG,係数_乗用_軽油,係数_乗用_メタノール,係数_乗用_LPG),1,1,BE1267):INDEX((係数_乗用_ガソリン,係数_乗用_CNG,係数_乗用_軽油,係数_乗用_メタノール,係数_乗用_LPG),125,5,BE1267),4,FALSE)))))</f>
        <v/>
      </c>
      <c r="AL1267" s="461" t="str">
        <f t="shared" si="729"/>
        <v/>
      </c>
      <c r="AM1267" s="460" t="str">
        <f>IF(AU1267="","",IF(OR(AZ1267=8,AZ1267=9),0,IF(OR(AW1267=3,AW1267=4,AW1267=5,AW1267=6),IF(LEFT(BH1267,1)="1",INDEX(係数_PM低減,MATCH(AY1267,【参考】排出係数!$AI$801:$AI$804,1),MATCH(BI1267,【参考】排出係数!$AL$798:$AO$798,1)),VLOOKUP(AU1267,INDEX((係数_バス貨物_ガソリン,係数_バス貨物_CNG,係数_バス貨物_軽油,係数_バス貨物_メタノール,係数_バス貨物_LPG),MATCH(AY1267,【参考】排出係数!$AI$4:$AI$671,1),1,BE1267):INDEX((係数_バス貨物_ガソリン,係数_バス貨物_CNG,係数_バス貨物_軽油,係数_バス貨物_メタノール,係数_バス貨物_LPG),MATCH(AY1267+1,【参考】排出係数!$AI$4:$AI$671,1)-1,5,BE1267),5,FALSE)),IF(AND(BE1267=3,LEFT(BF1267,1)="1"),0.055,VLOOKUP(AU1267,INDEX((係数_乗用_ガソリン,係数_乗用_CNG,係数_乗用_軽油,係数_乗用_メタノール,係数_乗用_LPG),1,1,BE1267):INDEX((係数_乗用_ガソリン,係数_乗用_CNG,係数_乗用_軽油,係数_乗用_メタノール,係数_乗用_LPG),125,5,BE1267),5,FALSE)))))</f>
        <v/>
      </c>
      <c r="AN1267" s="461" t="str">
        <f t="shared" si="730"/>
        <v/>
      </c>
      <c r="AO1267" s="462" t="str">
        <f t="shared" si="731"/>
        <v/>
      </c>
      <c r="AP1267" s="463" t="str">
        <f t="shared" si="732"/>
        <v/>
      </c>
      <c r="AQ1267" s="464"/>
      <c r="AR1267" s="619"/>
      <c r="AS1267" s="465" t="str">
        <f t="shared" si="702"/>
        <v/>
      </c>
      <c r="AT1267" s="465" t="str">
        <f t="shared" si="703"/>
        <v/>
      </c>
      <c r="AU1267" s="466" t="str">
        <f t="shared" si="704"/>
        <v/>
      </c>
      <c r="AV1267" s="467" t="str">
        <f t="shared" si="705"/>
        <v/>
      </c>
      <c r="AW1267" s="467" t="str">
        <f t="shared" si="706"/>
        <v/>
      </c>
      <c r="AX1267" s="467" t="str">
        <f t="shared" si="707"/>
        <v/>
      </c>
      <c r="AY1267" s="467" t="str">
        <f t="shared" si="708"/>
        <v/>
      </c>
      <c r="AZ1267" s="467" t="str">
        <f t="shared" si="709"/>
        <v/>
      </c>
      <c r="BA1267" s="468" t="str">
        <f>IF(AS1267="","",IF(OR(AU1267="",AU1267="-"),"－",IF(OR(AZ1267=8,AZ1267=9),"",IF(OR(AW1267=3,AW1267=4,AW1267=5,AW1267=6),VLOOKUP(AU1267,INDEX((係数_バス貨物_ガソリン,係数_バス貨物_CNG,係数_バス貨物_軽油,係数_バス貨物_メタノール,係数_バス貨物_LPG),MATCH(AY1267,【参考】排出係数!$AI$4:$AI$671,1),1,BE1267):INDEX((係数_バス貨物_ガソリン,係数_バス貨物_CNG,係数_バス貨物_軽油,係数_バス貨物_メタノール,係数_バス貨物_LPG),MATCH(AY1267+1,【参考】排出係数!$AI$4:$AI$671,1)-1,5,BE1267),2,FALSE),IF(OR(AW1267=1,AW1267=2),VLOOKUP(AU1267,INDEX((係数_乗用_ガソリン,係数_乗用_CNG,係数_乗用_軽油,係数_乗用_メタノール,係数_乗用_LPG),1,1,BE1267):INDEX((係数_乗用_ガソリン,係数_乗用_CNG,係数_乗用_軽油,係数_乗用_メタノール,係数_乗用_LPG),125,5,BE1267),2,FALSE))))))</f>
        <v/>
      </c>
      <c r="BB1267" s="468" t="str">
        <f>IF(T1267="","",IF(OR(AU1267="",AU1267="-"),"－",IF(OR(AZ1267=8,AZ1267=9),"",IF(OR(AW1267=3,AW1267=4,AW1267=5,AW1267=6),VLOOKUP(AU1267,INDEX((係数_バス貨物_ガソリン,係数_バス貨物_CNG,係数_バス貨物_軽油,係数_バス貨物_メタノール,係数_バス貨物_LPG),MATCH(AY1267,【参考】排出係数!$AI$4:$AI$671,1),1,BE1267):INDEX((係数_バス貨物_ガソリン,係数_バス貨物_CNG,係数_バス貨物_軽油,係数_バス貨物_メタノール,係数_バス貨物_LPG),MATCH(AY1267+1,【参考】排出係数!$AI$4:$AI$671,1)-1,5,BE1267),3,FALSE),IF(OR(AW1267=1,AW1267=2),VLOOKUP(AU1267,INDEX((係数_乗用_ガソリン,係数_乗用_CNG,係数_乗用_軽油,係数_乗用_メタノール,係数_乗用_LPG),1,1,BE1267):INDEX((係数_乗用_ガソリン,係数_乗用_CNG,係数_乗用_軽油,係数_乗用_メタノール,係数_乗用_LPG),125,5,BE1267),3,FALSE))))))</f>
        <v/>
      </c>
      <c r="BC1267" s="467" t="str">
        <f t="shared" si="710"/>
        <v/>
      </c>
      <c r="BD1267" s="567" t="str">
        <f t="shared" si="711"/>
        <v/>
      </c>
      <c r="BE1267" s="467" t="str">
        <f t="shared" si="712"/>
        <v/>
      </c>
      <c r="BF1267" s="469" t="str">
        <f t="shared" ca="1" si="713"/>
        <v/>
      </c>
      <c r="BG1267" s="469" t="str">
        <f t="shared" ca="1" si="714"/>
        <v/>
      </c>
      <c r="BH1267" s="467" t="str">
        <f t="shared" si="715"/>
        <v/>
      </c>
      <c r="BI1267" s="467" t="str">
        <f t="shared" ca="1" si="716"/>
        <v/>
      </c>
      <c r="BJ1267" s="469" t="str">
        <f t="shared" si="717"/>
        <v/>
      </c>
      <c r="BK1267" s="470" t="str">
        <f t="shared" si="701"/>
        <v/>
      </c>
      <c r="BL1267" s="775" t="str">
        <f t="shared" si="718"/>
        <v/>
      </c>
      <c r="BM1267" s="775" t="str">
        <f t="shared" si="719"/>
        <v/>
      </c>
    </row>
    <row r="1268" spans="1:65">
      <c r="A1268" s="473">
        <v>1212</v>
      </c>
      <c r="B1268" s="132"/>
      <c r="C1268" s="332"/>
      <c r="D1268" s="333"/>
      <c r="E1268" s="333"/>
      <c r="F1268" s="334"/>
      <c r="G1268" s="337"/>
      <c r="H1268" s="131"/>
      <c r="I1268" s="337"/>
      <c r="J1268" s="131"/>
      <c r="K1268" s="458" t="str">
        <f t="shared" si="720"/>
        <v/>
      </c>
      <c r="L1268" s="458">
        <f t="shared" si="721"/>
        <v>0</v>
      </c>
      <c r="M1268" s="458">
        <f t="shared" si="722"/>
        <v>0</v>
      </c>
      <c r="N1268" s="459" t="str">
        <f t="shared" si="695"/>
        <v/>
      </c>
      <c r="O1268" s="459" t="str">
        <f t="shared" si="696"/>
        <v/>
      </c>
      <c r="P1268" s="459" t="str">
        <f t="shared" si="697"/>
        <v/>
      </c>
      <c r="Q1268" s="459" t="str">
        <f t="shared" si="698"/>
        <v/>
      </c>
      <c r="R1268" s="459" t="str">
        <f t="shared" si="699"/>
        <v/>
      </c>
      <c r="S1268" s="459" t="str">
        <f t="shared" si="700"/>
        <v/>
      </c>
      <c r="T1268" s="566" t="str">
        <f t="shared" si="723"/>
        <v/>
      </c>
      <c r="U1268" s="702"/>
      <c r="V1268" s="132"/>
      <c r="W1268" s="133"/>
      <c r="X1268" s="134"/>
      <c r="Y1268" s="135"/>
      <c r="Z1268" s="137"/>
      <c r="AA1268" s="136"/>
      <c r="AB1268" s="566" t="str">
        <f t="shared" si="724"/>
        <v/>
      </c>
      <c r="AC1268" s="568" t="str">
        <f t="shared" si="725"/>
        <v/>
      </c>
      <c r="AD1268" s="137"/>
      <c r="AE1268" s="137"/>
      <c r="AF1268" s="138"/>
      <c r="AG1268" s="138"/>
      <c r="AH1268" s="592" t="str">
        <f t="shared" si="726"/>
        <v/>
      </c>
      <c r="AI1268" s="592" t="str">
        <f t="shared" si="727"/>
        <v/>
      </c>
      <c r="AJ1268" s="592" t="str">
        <f t="shared" si="728"/>
        <v/>
      </c>
      <c r="AK1268" s="460" t="str">
        <f>IF(AU1268="","",IF(OR(AZ1268=8,AZ1268=9),0,IF(OR(AW1268=3,AW1268=4,AW1268=5,AW1268=6),IF(LEFT(BF1268,1)="1",INDEX(係数_NOX・PM低減,MATCH(AY1268,【参考】排出係数!$AI$801:$AI$804,1),1),VLOOKUP(AU1268,INDEX((係数_バス貨物_ガソリン,係数_バス貨物_CNG,係数_バス貨物_軽油,係数_バス貨物_メタノール,係数_バス貨物_LPG),MATCH(AY1268,【参考】排出係数!$AI$4:$AI$671,1),1,BE1268):INDEX((係数_バス貨物_ガソリン,係数_バス貨物_CNG,係数_バス貨物_軽油,係数_バス貨物_メタノール,係数_バス貨物_LPG),MATCH(AY1268+1,【参考】排出係数!$AI$4:$AI$671,1)-1,5,BE1268),4,FALSE)),IF(AND(BE1268=3,LEFT(BF1268,1)="1"),0.48,VLOOKUP(AU1268,INDEX((係数_乗用_ガソリン,係数_乗用_CNG,係数_乗用_軽油,係数_乗用_メタノール,係数_乗用_LPG),1,1,BE1268):INDEX((係数_乗用_ガソリン,係数_乗用_CNG,係数_乗用_軽油,係数_乗用_メタノール,係数_乗用_LPG),125,5,BE1268),4,FALSE)))))</f>
        <v/>
      </c>
      <c r="AL1268" s="461" t="str">
        <f t="shared" si="729"/>
        <v/>
      </c>
      <c r="AM1268" s="460" t="str">
        <f>IF(AU1268="","",IF(OR(AZ1268=8,AZ1268=9),0,IF(OR(AW1268=3,AW1268=4,AW1268=5,AW1268=6),IF(LEFT(BH1268,1)="1",INDEX(係数_PM低減,MATCH(AY1268,【参考】排出係数!$AI$801:$AI$804,1),MATCH(BI1268,【参考】排出係数!$AL$798:$AO$798,1)),VLOOKUP(AU1268,INDEX((係数_バス貨物_ガソリン,係数_バス貨物_CNG,係数_バス貨物_軽油,係数_バス貨物_メタノール,係数_バス貨物_LPG),MATCH(AY1268,【参考】排出係数!$AI$4:$AI$671,1),1,BE1268):INDEX((係数_バス貨物_ガソリン,係数_バス貨物_CNG,係数_バス貨物_軽油,係数_バス貨物_メタノール,係数_バス貨物_LPG),MATCH(AY1268+1,【参考】排出係数!$AI$4:$AI$671,1)-1,5,BE1268),5,FALSE)),IF(AND(BE1268=3,LEFT(BF1268,1)="1"),0.055,VLOOKUP(AU1268,INDEX((係数_乗用_ガソリン,係数_乗用_CNG,係数_乗用_軽油,係数_乗用_メタノール,係数_乗用_LPG),1,1,BE1268):INDEX((係数_乗用_ガソリン,係数_乗用_CNG,係数_乗用_軽油,係数_乗用_メタノール,係数_乗用_LPG),125,5,BE1268),5,FALSE)))))</f>
        <v/>
      </c>
      <c r="AN1268" s="461" t="str">
        <f t="shared" si="730"/>
        <v/>
      </c>
      <c r="AO1268" s="462" t="str">
        <f t="shared" si="731"/>
        <v/>
      </c>
      <c r="AP1268" s="463" t="str">
        <f t="shared" si="732"/>
        <v/>
      </c>
      <c r="AQ1268" s="464"/>
      <c r="AR1268" s="619"/>
      <c r="AS1268" s="465" t="str">
        <f t="shared" si="702"/>
        <v/>
      </c>
      <c r="AT1268" s="465" t="str">
        <f t="shared" si="703"/>
        <v/>
      </c>
      <c r="AU1268" s="466" t="str">
        <f t="shared" si="704"/>
        <v/>
      </c>
      <c r="AV1268" s="467" t="str">
        <f t="shared" si="705"/>
        <v/>
      </c>
      <c r="AW1268" s="467" t="str">
        <f t="shared" si="706"/>
        <v/>
      </c>
      <c r="AX1268" s="467" t="str">
        <f t="shared" si="707"/>
        <v/>
      </c>
      <c r="AY1268" s="467" t="str">
        <f t="shared" si="708"/>
        <v/>
      </c>
      <c r="AZ1268" s="467" t="str">
        <f t="shared" si="709"/>
        <v/>
      </c>
      <c r="BA1268" s="468" t="str">
        <f>IF(AS1268="","",IF(OR(AU1268="",AU1268="-"),"－",IF(OR(AZ1268=8,AZ1268=9),"",IF(OR(AW1268=3,AW1268=4,AW1268=5,AW1268=6),VLOOKUP(AU1268,INDEX((係数_バス貨物_ガソリン,係数_バス貨物_CNG,係数_バス貨物_軽油,係数_バス貨物_メタノール,係数_バス貨物_LPG),MATCH(AY1268,【参考】排出係数!$AI$4:$AI$671,1),1,BE1268):INDEX((係数_バス貨物_ガソリン,係数_バス貨物_CNG,係数_バス貨物_軽油,係数_バス貨物_メタノール,係数_バス貨物_LPG),MATCH(AY1268+1,【参考】排出係数!$AI$4:$AI$671,1)-1,5,BE1268),2,FALSE),IF(OR(AW1268=1,AW1268=2),VLOOKUP(AU1268,INDEX((係数_乗用_ガソリン,係数_乗用_CNG,係数_乗用_軽油,係数_乗用_メタノール,係数_乗用_LPG),1,1,BE1268):INDEX((係数_乗用_ガソリン,係数_乗用_CNG,係数_乗用_軽油,係数_乗用_メタノール,係数_乗用_LPG),125,5,BE1268),2,FALSE))))))</f>
        <v/>
      </c>
      <c r="BB1268" s="468" t="str">
        <f>IF(T1268="","",IF(OR(AU1268="",AU1268="-"),"－",IF(OR(AZ1268=8,AZ1268=9),"",IF(OR(AW1268=3,AW1268=4,AW1268=5,AW1268=6),VLOOKUP(AU1268,INDEX((係数_バス貨物_ガソリン,係数_バス貨物_CNG,係数_バス貨物_軽油,係数_バス貨物_メタノール,係数_バス貨物_LPG),MATCH(AY1268,【参考】排出係数!$AI$4:$AI$671,1),1,BE1268):INDEX((係数_バス貨物_ガソリン,係数_バス貨物_CNG,係数_バス貨物_軽油,係数_バス貨物_メタノール,係数_バス貨物_LPG),MATCH(AY1268+1,【参考】排出係数!$AI$4:$AI$671,1)-1,5,BE1268),3,FALSE),IF(OR(AW1268=1,AW1268=2),VLOOKUP(AU1268,INDEX((係数_乗用_ガソリン,係数_乗用_CNG,係数_乗用_軽油,係数_乗用_メタノール,係数_乗用_LPG),1,1,BE1268):INDEX((係数_乗用_ガソリン,係数_乗用_CNG,係数_乗用_軽油,係数_乗用_メタノール,係数_乗用_LPG),125,5,BE1268),3,FALSE))))))</f>
        <v/>
      </c>
      <c r="BC1268" s="467" t="str">
        <f t="shared" si="710"/>
        <v/>
      </c>
      <c r="BD1268" s="567" t="str">
        <f t="shared" si="711"/>
        <v/>
      </c>
      <c r="BE1268" s="467" t="str">
        <f t="shared" si="712"/>
        <v/>
      </c>
      <c r="BF1268" s="469" t="str">
        <f t="shared" ca="1" si="713"/>
        <v/>
      </c>
      <c r="BG1268" s="469" t="str">
        <f t="shared" ca="1" si="714"/>
        <v/>
      </c>
      <c r="BH1268" s="467" t="str">
        <f t="shared" si="715"/>
        <v/>
      </c>
      <c r="BI1268" s="467" t="str">
        <f t="shared" ca="1" si="716"/>
        <v/>
      </c>
      <c r="BJ1268" s="469" t="str">
        <f t="shared" si="717"/>
        <v/>
      </c>
      <c r="BK1268" s="470" t="str">
        <f t="shared" si="701"/>
        <v/>
      </c>
      <c r="BL1268" s="775" t="str">
        <f t="shared" si="718"/>
        <v/>
      </c>
      <c r="BM1268" s="775" t="str">
        <f t="shared" si="719"/>
        <v/>
      </c>
    </row>
    <row r="1269" spans="1:65">
      <c r="A1269" s="473">
        <v>1213</v>
      </c>
      <c r="B1269" s="132"/>
      <c r="C1269" s="332"/>
      <c r="D1269" s="333"/>
      <c r="E1269" s="333"/>
      <c r="F1269" s="334"/>
      <c r="G1269" s="337"/>
      <c r="H1269" s="131"/>
      <c r="I1269" s="337"/>
      <c r="J1269" s="131"/>
      <c r="K1269" s="458" t="str">
        <f t="shared" si="720"/>
        <v/>
      </c>
      <c r="L1269" s="458">
        <f t="shared" si="721"/>
        <v>0</v>
      </c>
      <c r="M1269" s="458">
        <f t="shared" si="722"/>
        <v>0</v>
      </c>
      <c r="N1269" s="459" t="str">
        <f t="shared" si="695"/>
        <v/>
      </c>
      <c r="O1269" s="459" t="str">
        <f t="shared" si="696"/>
        <v/>
      </c>
      <c r="P1269" s="459" t="str">
        <f t="shared" si="697"/>
        <v/>
      </c>
      <c r="Q1269" s="459" t="str">
        <f t="shared" si="698"/>
        <v/>
      </c>
      <c r="R1269" s="459" t="str">
        <f t="shared" si="699"/>
        <v/>
      </c>
      <c r="S1269" s="459" t="str">
        <f t="shared" si="700"/>
        <v/>
      </c>
      <c r="T1269" s="566" t="str">
        <f t="shared" si="723"/>
        <v/>
      </c>
      <c r="U1269" s="702"/>
      <c r="V1269" s="132"/>
      <c r="W1269" s="133"/>
      <c r="X1269" s="134"/>
      <c r="Y1269" s="135"/>
      <c r="Z1269" s="137"/>
      <c r="AA1269" s="136"/>
      <c r="AB1269" s="566" t="str">
        <f t="shared" si="724"/>
        <v/>
      </c>
      <c r="AC1269" s="568" t="str">
        <f t="shared" si="725"/>
        <v/>
      </c>
      <c r="AD1269" s="137"/>
      <c r="AE1269" s="137"/>
      <c r="AF1269" s="138"/>
      <c r="AG1269" s="138"/>
      <c r="AH1269" s="592" t="str">
        <f t="shared" si="726"/>
        <v/>
      </c>
      <c r="AI1269" s="592" t="str">
        <f t="shared" si="727"/>
        <v/>
      </c>
      <c r="AJ1269" s="592" t="str">
        <f t="shared" si="728"/>
        <v/>
      </c>
      <c r="AK1269" s="460" t="str">
        <f>IF(AU1269="","",IF(OR(AZ1269=8,AZ1269=9),0,IF(OR(AW1269=3,AW1269=4,AW1269=5,AW1269=6),IF(LEFT(BF1269,1)="1",INDEX(係数_NOX・PM低減,MATCH(AY1269,【参考】排出係数!$AI$801:$AI$804,1),1),VLOOKUP(AU1269,INDEX((係数_バス貨物_ガソリン,係数_バス貨物_CNG,係数_バス貨物_軽油,係数_バス貨物_メタノール,係数_バス貨物_LPG),MATCH(AY1269,【参考】排出係数!$AI$4:$AI$671,1),1,BE1269):INDEX((係数_バス貨物_ガソリン,係数_バス貨物_CNG,係数_バス貨物_軽油,係数_バス貨物_メタノール,係数_バス貨物_LPG),MATCH(AY1269+1,【参考】排出係数!$AI$4:$AI$671,1)-1,5,BE1269),4,FALSE)),IF(AND(BE1269=3,LEFT(BF1269,1)="1"),0.48,VLOOKUP(AU1269,INDEX((係数_乗用_ガソリン,係数_乗用_CNG,係数_乗用_軽油,係数_乗用_メタノール,係数_乗用_LPG),1,1,BE1269):INDEX((係数_乗用_ガソリン,係数_乗用_CNG,係数_乗用_軽油,係数_乗用_メタノール,係数_乗用_LPG),125,5,BE1269),4,FALSE)))))</f>
        <v/>
      </c>
      <c r="AL1269" s="461" t="str">
        <f t="shared" si="729"/>
        <v/>
      </c>
      <c r="AM1269" s="460" t="str">
        <f>IF(AU1269="","",IF(OR(AZ1269=8,AZ1269=9),0,IF(OR(AW1269=3,AW1269=4,AW1269=5,AW1269=6),IF(LEFT(BH1269,1)="1",INDEX(係数_PM低減,MATCH(AY1269,【参考】排出係数!$AI$801:$AI$804,1),MATCH(BI1269,【参考】排出係数!$AL$798:$AO$798,1)),VLOOKUP(AU1269,INDEX((係数_バス貨物_ガソリン,係数_バス貨物_CNG,係数_バス貨物_軽油,係数_バス貨物_メタノール,係数_バス貨物_LPG),MATCH(AY1269,【参考】排出係数!$AI$4:$AI$671,1),1,BE1269):INDEX((係数_バス貨物_ガソリン,係数_バス貨物_CNG,係数_バス貨物_軽油,係数_バス貨物_メタノール,係数_バス貨物_LPG),MATCH(AY1269+1,【参考】排出係数!$AI$4:$AI$671,1)-1,5,BE1269),5,FALSE)),IF(AND(BE1269=3,LEFT(BF1269,1)="1"),0.055,VLOOKUP(AU1269,INDEX((係数_乗用_ガソリン,係数_乗用_CNG,係数_乗用_軽油,係数_乗用_メタノール,係数_乗用_LPG),1,1,BE1269):INDEX((係数_乗用_ガソリン,係数_乗用_CNG,係数_乗用_軽油,係数_乗用_メタノール,係数_乗用_LPG),125,5,BE1269),5,FALSE)))))</f>
        <v/>
      </c>
      <c r="AN1269" s="461" t="str">
        <f t="shared" si="730"/>
        <v/>
      </c>
      <c r="AO1269" s="462" t="str">
        <f t="shared" si="731"/>
        <v/>
      </c>
      <c r="AP1269" s="463" t="str">
        <f t="shared" si="732"/>
        <v/>
      </c>
      <c r="AQ1269" s="464"/>
      <c r="AR1269" s="619"/>
      <c r="AS1269" s="465" t="str">
        <f t="shared" si="702"/>
        <v/>
      </c>
      <c r="AT1269" s="465" t="str">
        <f t="shared" si="703"/>
        <v/>
      </c>
      <c r="AU1269" s="466" t="str">
        <f t="shared" si="704"/>
        <v/>
      </c>
      <c r="AV1269" s="467" t="str">
        <f t="shared" si="705"/>
        <v/>
      </c>
      <c r="AW1269" s="467" t="str">
        <f t="shared" si="706"/>
        <v/>
      </c>
      <c r="AX1269" s="467" t="str">
        <f t="shared" si="707"/>
        <v/>
      </c>
      <c r="AY1269" s="467" t="str">
        <f t="shared" si="708"/>
        <v/>
      </c>
      <c r="AZ1269" s="467" t="str">
        <f t="shared" si="709"/>
        <v/>
      </c>
      <c r="BA1269" s="468" t="str">
        <f>IF(AS1269="","",IF(OR(AU1269="",AU1269="-"),"－",IF(OR(AZ1269=8,AZ1269=9),"",IF(OR(AW1269=3,AW1269=4,AW1269=5,AW1269=6),VLOOKUP(AU1269,INDEX((係数_バス貨物_ガソリン,係数_バス貨物_CNG,係数_バス貨物_軽油,係数_バス貨物_メタノール,係数_バス貨物_LPG),MATCH(AY1269,【参考】排出係数!$AI$4:$AI$671,1),1,BE1269):INDEX((係数_バス貨物_ガソリン,係数_バス貨物_CNG,係数_バス貨物_軽油,係数_バス貨物_メタノール,係数_バス貨物_LPG),MATCH(AY1269+1,【参考】排出係数!$AI$4:$AI$671,1)-1,5,BE1269),2,FALSE),IF(OR(AW1269=1,AW1269=2),VLOOKUP(AU1269,INDEX((係数_乗用_ガソリン,係数_乗用_CNG,係数_乗用_軽油,係数_乗用_メタノール,係数_乗用_LPG),1,1,BE1269):INDEX((係数_乗用_ガソリン,係数_乗用_CNG,係数_乗用_軽油,係数_乗用_メタノール,係数_乗用_LPG),125,5,BE1269),2,FALSE))))))</f>
        <v/>
      </c>
      <c r="BB1269" s="468" t="str">
        <f>IF(T1269="","",IF(OR(AU1269="",AU1269="-"),"－",IF(OR(AZ1269=8,AZ1269=9),"",IF(OR(AW1269=3,AW1269=4,AW1269=5,AW1269=6),VLOOKUP(AU1269,INDEX((係数_バス貨物_ガソリン,係数_バス貨物_CNG,係数_バス貨物_軽油,係数_バス貨物_メタノール,係数_バス貨物_LPG),MATCH(AY1269,【参考】排出係数!$AI$4:$AI$671,1),1,BE1269):INDEX((係数_バス貨物_ガソリン,係数_バス貨物_CNG,係数_バス貨物_軽油,係数_バス貨物_メタノール,係数_バス貨物_LPG),MATCH(AY1269+1,【参考】排出係数!$AI$4:$AI$671,1)-1,5,BE1269),3,FALSE),IF(OR(AW1269=1,AW1269=2),VLOOKUP(AU1269,INDEX((係数_乗用_ガソリン,係数_乗用_CNG,係数_乗用_軽油,係数_乗用_メタノール,係数_乗用_LPG),1,1,BE1269):INDEX((係数_乗用_ガソリン,係数_乗用_CNG,係数_乗用_軽油,係数_乗用_メタノール,係数_乗用_LPG),125,5,BE1269),3,FALSE))))))</f>
        <v/>
      </c>
      <c r="BC1269" s="467" t="str">
        <f t="shared" si="710"/>
        <v/>
      </c>
      <c r="BD1269" s="567" t="str">
        <f t="shared" si="711"/>
        <v/>
      </c>
      <c r="BE1269" s="467" t="str">
        <f t="shared" si="712"/>
        <v/>
      </c>
      <c r="BF1269" s="469" t="str">
        <f t="shared" ca="1" si="713"/>
        <v/>
      </c>
      <c r="BG1269" s="469" t="str">
        <f t="shared" ca="1" si="714"/>
        <v/>
      </c>
      <c r="BH1269" s="467" t="str">
        <f t="shared" si="715"/>
        <v/>
      </c>
      <c r="BI1269" s="467" t="str">
        <f t="shared" ca="1" si="716"/>
        <v/>
      </c>
      <c r="BJ1269" s="469" t="str">
        <f t="shared" si="717"/>
        <v/>
      </c>
      <c r="BK1269" s="470" t="str">
        <f t="shared" si="701"/>
        <v/>
      </c>
      <c r="BL1269" s="775" t="str">
        <f t="shared" si="718"/>
        <v/>
      </c>
      <c r="BM1269" s="775" t="str">
        <f t="shared" si="719"/>
        <v/>
      </c>
    </row>
    <row r="1270" spans="1:65">
      <c r="A1270" s="473">
        <v>1214</v>
      </c>
      <c r="B1270" s="132"/>
      <c r="C1270" s="332"/>
      <c r="D1270" s="333"/>
      <c r="E1270" s="333"/>
      <c r="F1270" s="334"/>
      <c r="G1270" s="337"/>
      <c r="H1270" s="131"/>
      <c r="I1270" s="337"/>
      <c r="J1270" s="131"/>
      <c r="K1270" s="458" t="str">
        <f t="shared" si="720"/>
        <v/>
      </c>
      <c r="L1270" s="458">
        <f t="shared" si="721"/>
        <v>0</v>
      </c>
      <c r="M1270" s="458">
        <f t="shared" si="722"/>
        <v>0</v>
      </c>
      <c r="N1270" s="459" t="str">
        <f t="shared" si="695"/>
        <v/>
      </c>
      <c r="O1270" s="459" t="str">
        <f t="shared" si="696"/>
        <v/>
      </c>
      <c r="P1270" s="459" t="str">
        <f t="shared" si="697"/>
        <v/>
      </c>
      <c r="Q1270" s="459" t="str">
        <f t="shared" si="698"/>
        <v/>
      </c>
      <c r="R1270" s="459" t="str">
        <f t="shared" si="699"/>
        <v/>
      </c>
      <c r="S1270" s="459" t="str">
        <f t="shared" si="700"/>
        <v/>
      </c>
      <c r="T1270" s="566" t="str">
        <f t="shared" si="723"/>
        <v/>
      </c>
      <c r="U1270" s="702"/>
      <c r="V1270" s="132"/>
      <c r="W1270" s="133"/>
      <c r="X1270" s="134"/>
      <c r="Y1270" s="135"/>
      <c r="Z1270" s="137"/>
      <c r="AA1270" s="136"/>
      <c r="AB1270" s="566" t="str">
        <f t="shared" si="724"/>
        <v/>
      </c>
      <c r="AC1270" s="568" t="str">
        <f t="shared" si="725"/>
        <v/>
      </c>
      <c r="AD1270" s="137"/>
      <c r="AE1270" s="137"/>
      <c r="AF1270" s="138"/>
      <c r="AG1270" s="138"/>
      <c r="AH1270" s="592" t="str">
        <f t="shared" si="726"/>
        <v/>
      </c>
      <c r="AI1270" s="592" t="str">
        <f t="shared" si="727"/>
        <v/>
      </c>
      <c r="AJ1270" s="592" t="str">
        <f t="shared" si="728"/>
        <v/>
      </c>
      <c r="AK1270" s="460" t="str">
        <f>IF(AU1270="","",IF(OR(AZ1270=8,AZ1270=9),0,IF(OR(AW1270=3,AW1270=4,AW1270=5,AW1270=6),IF(LEFT(BF1270,1)="1",INDEX(係数_NOX・PM低減,MATCH(AY1270,【参考】排出係数!$AI$801:$AI$804,1),1),VLOOKUP(AU1270,INDEX((係数_バス貨物_ガソリン,係数_バス貨物_CNG,係数_バス貨物_軽油,係数_バス貨物_メタノール,係数_バス貨物_LPG),MATCH(AY1270,【参考】排出係数!$AI$4:$AI$671,1),1,BE1270):INDEX((係数_バス貨物_ガソリン,係数_バス貨物_CNG,係数_バス貨物_軽油,係数_バス貨物_メタノール,係数_バス貨物_LPG),MATCH(AY1270+1,【参考】排出係数!$AI$4:$AI$671,1)-1,5,BE1270),4,FALSE)),IF(AND(BE1270=3,LEFT(BF1270,1)="1"),0.48,VLOOKUP(AU1270,INDEX((係数_乗用_ガソリン,係数_乗用_CNG,係数_乗用_軽油,係数_乗用_メタノール,係数_乗用_LPG),1,1,BE1270):INDEX((係数_乗用_ガソリン,係数_乗用_CNG,係数_乗用_軽油,係数_乗用_メタノール,係数_乗用_LPG),125,5,BE1270),4,FALSE)))))</f>
        <v/>
      </c>
      <c r="AL1270" s="461" t="str">
        <f t="shared" si="729"/>
        <v/>
      </c>
      <c r="AM1270" s="460" t="str">
        <f>IF(AU1270="","",IF(OR(AZ1270=8,AZ1270=9),0,IF(OR(AW1270=3,AW1270=4,AW1270=5,AW1270=6),IF(LEFT(BH1270,1)="1",INDEX(係数_PM低減,MATCH(AY1270,【参考】排出係数!$AI$801:$AI$804,1),MATCH(BI1270,【参考】排出係数!$AL$798:$AO$798,1)),VLOOKUP(AU1270,INDEX((係数_バス貨物_ガソリン,係数_バス貨物_CNG,係数_バス貨物_軽油,係数_バス貨物_メタノール,係数_バス貨物_LPG),MATCH(AY1270,【参考】排出係数!$AI$4:$AI$671,1),1,BE1270):INDEX((係数_バス貨物_ガソリン,係数_バス貨物_CNG,係数_バス貨物_軽油,係数_バス貨物_メタノール,係数_バス貨物_LPG),MATCH(AY1270+1,【参考】排出係数!$AI$4:$AI$671,1)-1,5,BE1270),5,FALSE)),IF(AND(BE1270=3,LEFT(BF1270,1)="1"),0.055,VLOOKUP(AU1270,INDEX((係数_乗用_ガソリン,係数_乗用_CNG,係数_乗用_軽油,係数_乗用_メタノール,係数_乗用_LPG),1,1,BE1270):INDEX((係数_乗用_ガソリン,係数_乗用_CNG,係数_乗用_軽油,係数_乗用_メタノール,係数_乗用_LPG),125,5,BE1270),5,FALSE)))))</f>
        <v/>
      </c>
      <c r="AN1270" s="461" t="str">
        <f t="shared" si="730"/>
        <v/>
      </c>
      <c r="AO1270" s="462" t="str">
        <f t="shared" si="731"/>
        <v/>
      </c>
      <c r="AP1270" s="463" t="str">
        <f t="shared" si="732"/>
        <v/>
      </c>
      <c r="AQ1270" s="464"/>
      <c r="AR1270" s="619"/>
      <c r="AS1270" s="465" t="str">
        <f t="shared" si="702"/>
        <v/>
      </c>
      <c r="AT1270" s="465" t="str">
        <f t="shared" si="703"/>
        <v/>
      </c>
      <c r="AU1270" s="466" t="str">
        <f t="shared" si="704"/>
        <v/>
      </c>
      <c r="AV1270" s="467" t="str">
        <f t="shared" si="705"/>
        <v/>
      </c>
      <c r="AW1270" s="467" t="str">
        <f t="shared" si="706"/>
        <v/>
      </c>
      <c r="AX1270" s="467" t="str">
        <f t="shared" si="707"/>
        <v/>
      </c>
      <c r="AY1270" s="467" t="str">
        <f t="shared" si="708"/>
        <v/>
      </c>
      <c r="AZ1270" s="467" t="str">
        <f t="shared" si="709"/>
        <v/>
      </c>
      <c r="BA1270" s="468" t="str">
        <f>IF(AS1270="","",IF(OR(AU1270="",AU1270="-"),"－",IF(OR(AZ1270=8,AZ1270=9),"",IF(OR(AW1270=3,AW1270=4,AW1270=5,AW1270=6),VLOOKUP(AU1270,INDEX((係数_バス貨物_ガソリン,係数_バス貨物_CNG,係数_バス貨物_軽油,係数_バス貨物_メタノール,係数_バス貨物_LPG),MATCH(AY1270,【参考】排出係数!$AI$4:$AI$671,1),1,BE1270):INDEX((係数_バス貨物_ガソリン,係数_バス貨物_CNG,係数_バス貨物_軽油,係数_バス貨物_メタノール,係数_バス貨物_LPG),MATCH(AY1270+1,【参考】排出係数!$AI$4:$AI$671,1)-1,5,BE1270),2,FALSE),IF(OR(AW1270=1,AW1270=2),VLOOKUP(AU1270,INDEX((係数_乗用_ガソリン,係数_乗用_CNG,係数_乗用_軽油,係数_乗用_メタノール,係数_乗用_LPG),1,1,BE1270):INDEX((係数_乗用_ガソリン,係数_乗用_CNG,係数_乗用_軽油,係数_乗用_メタノール,係数_乗用_LPG),125,5,BE1270),2,FALSE))))))</f>
        <v/>
      </c>
      <c r="BB1270" s="468" t="str">
        <f>IF(T1270="","",IF(OR(AU1270="",AU1270="-"),"－",IF(OR(AZ1270=8,AZ1270=9),"",IF(OR(AW1270=3,AW1270=4,AW1270=5,AW1270=6),VLOOKUP(AU1270,INDEX((係数_バス貨物_ガソリン,係数_バス貨物_CNG,係数_バス貨物_軽油,係数_バス貨物_メタノール,係数_バス貨物_LPG),MATCH(AY1270,【参考】排出係数!$AI$4:$AI$671,1),1,BE1270):INDEX((係数_バス貨物_ガソリン,係数_バス貨物_CNG,係数_バス貨物_軽油,係数_バス貨物_メタノール,係数_バス貨物_LPG),MATCH(AY1270+1,【参考】排出係数!$AI$4:$AI$671,1)-1,5,BE1270),3,FALSE),IF(OR(AW1270=1,AW1270=2),VLOOKUP(AU1270,INDEX((係数_乗用_ガソリン,係数_乗用_CNG,係数_乗用_軽油,係数_乗用_メタノール,係数_乗用_LPG),1,1,BE1270):INDEX((係数_乗用_ガソリン,係数_乗用_CNG,係数_乗用_軽油,係数_乗用_メタノール,係数_乗用_LPG),125,5,BE1270),3,FALSE))))))</f>
        <v/>
      </c>
      <c r="BC1270" s="467" t="str">
        <f t="shared" si="710"/>
        <v/>
      </c>
      <c r="BD1270" s="567" t="str">
        <f t="shared" si="711"/>
        <v/>
      </c>
      <c r="BE1270" s="467" t="str">
        <f t="shared" si="712"/>
        <v/>
      </c>
      <c r="BF1270" s="469" t="str">
        <f t="shared" ca="1" si="713"/>
        <v/>
      </c>
      <c r="BG1270" s="469" t="str">
        <f t="shared" ca="1" si="714"/>
        <v/>
      </c>
      <c r="BH1270" s="467" t="str">
        <f t="shared" si="715"/>
        <v/>
      </c>
      <c r="BI1270" s="467" t="str">
        <f t="shared" ca="1" si="716"/>
        <v/>
      </c>
      <c r="BJ1270" s="469" t="str">
        <f t="shared" si="717"/>
        <v/>
      </c>
      <c r="BK1270" s="470" t="str">
        <f t="shared" si="701"/>
        <v/>
      </c>
      <c r="BL1270" s="775" t="str">
        <f t="shared" si="718"/>
        <v/>
      </c>
      <c r="BM1270" s="775" t="str">
        <f t="shared" si="719"/>
        <v/>
      </c>
    </row>
    <row r="1271" spans="1:65">
      <c r="A1271" s="473">
        <v>1215</v>
      </c>
      <c r="B1271" s="132"/>
      <c r="C1271" s="332"/>
      <c r="D1271" s="333"/>
      <c r="E1271" s="333"/>
      <c r="F1271" s="334"/>
      <c r="G1271" s="337"/>
      <c r="H1271" s="131"/>
      <c r="I1271" s="337"/>
      <c r="J1271" s="131"/>
      <c r="K1271" s="458" t="str">
        <f t="shared" si="720"/>
        <v/>
      </c>
      <c r="L1271" s="458">
        <f t="shared" si="721"/>
        <v>0</v>
      </c>
      <c r="M1271" s="458">
        <f t="shared" si="722"/>
        <v>0</v>
      </c>
      <c r="N1271" s="459" t="str">
        <f t="shared" ref="N1271:N1334" si="733">IF(OR($L1271&gt;$U$48,$M1271&gt;$U$48,AND($L1271&gt;$M1271,$M1271&lt;&gt;0),AND($L1271=0,$M1271&lt;&gt;0)),"ERROR","")</f>
        <v/>
      </c>
      <c r="O1271" s="459" t="str">
        <f t="shared" ref="O1271:O1334" si="734">IF(AND($N1271&lt;&gt;"ERROR",$L1271&lt;=$U$49,$M1271&lt;=$U$49,$M1271&lt;&gt;0),"(減車済)","")</f>
        <v/>
      </c>
      <c r="P1271" s="459" t="str">
        <f t="shared" ref="P1271:P1334" si="735">IF(AND($N1271&lt;&gt;"ERROR",$L1271&lt;$U$49,AND($M1271&gt;$U$49,$M1271&lt;=$W$49),$M1271&lt;&gt;0),"減車","")</f>
        <v/>
      </c>
      <c r="Q1271" s="459" t="str">
        <f t="shared" ref="Q1271:Q1334" si="736">IF(AND($N1271&lt;&gt;"ERROR",$L1271&gt;$U$49,$M1271&lt;=$W$49,$M1271&lt;&gt;0),"一時使用","")</f>
        <v/>
      </c>
      <c r="R1271" s="459" t="str">
        <f t="shared" ref="R1271:R1334" si="737">IF(AND($N1271&lt;&gt;"ERROR",AND($L1271&gt;0,$L1271&lt;=$U$49),$M1271=0),"継続","")</f>
        <v/>
      </c>
      <c r="S1271" s="459" t="str">
        <f t="shared" ref="S1271:S1334" si="738">IF(AND($N1271&lt;&gt;"ERROR",AND($L1271&gt;$U$49),$M1271=0),"新規","")</f>
        <v/>
      </c>
      <c r="T1271" s="566" t="str">
        <f t="shared" si="723"/>
        <v/>
      </c>
      <c r="U1271" s="702"/>
      <c r="V1271" s="132"/>
      <c r="W1271" s="133"/>
      <c r="X1271" s="134"/>
      <c r="Y1271" s="135"/>
      <c r="Z1271" s="137"/>
      <c r="AA1271" s="136"/>
      <c r="AB1271" s="566" t="str">
        <f t="shared" si="724"/>
        <v/>
      </c>
      <c r="AC1271" s="568" t="str">
        <f t="shared" si="725"/>
        <v/>
      </c>
      <c r="AD1271" s="137"/>
      <c r="AE1271" s="137"/>
      <c r="AF1271" s="138"/>
      <c r="AG1271" s="138"/>
      <c r="AH1271" s="592" t="str">
        <f t="shared" si="726"/>
        <v/>
      </c>
      <c r="AI1271" s="592" t="str">
        <f t="shared" si="727"/>
        <v/>
      </c>
      <c r="AJ1271" s="592" t="str">
        <f t="shared" si="728"/>
        <v/>
      </c>
      <c r="AK1271" s="460" t="str">
        <f>IF(AU1271="","",IF(OR(AZ1271=8,AZ1271=9),0,IF(OR(AW1271=3,AW1271=4,AW1271=5,AW1271=6),IF(LEFT(BF1271,1)="1",INDEX(係数_NOX・PM低減,MATCH(AY1271,【参考】排出係数!$AI$801:$AI$804,1),1),VLOOKUP(AU1271,INDEX((係数_バス貨物_ガソリン,係数_バス貨物_CNG,係数_バス貨物_軽油,係数_バス貨物_メタノール,係数_バス貨物_LPG),MATCH(AY1271,【参考】排出係数!$AI$4:$AI$671,1),1,BE1271):INDEX((係数_バス貨物_ガソリン,係数_バス貨物_CNG,係数_バス貨物_軽油,係数_バス貨物_メタノール,係数_バス貨物_LPG),MATCH(AY1271+1,【参考】排出係数!$AI$4:$AI$671,1)-1,5,BE1271),4,FALSE)),IF(AND(BE1271=3,LEFT(BF1271,1)="1"),0.48,VLOOKUP(AU1271,INDEX((係数_乗用_ガソリン,係数_乗用_CNG,係数_乗用_軽油,係数_乗用_メタノール,係数_乗用_LPG),1,1,BE1271):INDEX((係数_乗用_ガソリン,係数_乗用_CNG,係数_乗用_軽油,係数_乗用_メタノール,係数_乗用_LPG),125,5,BE1271),4,FALSE)))))</f>
        <v/>
      </c>
      <c r="AL1271" s="461" t="str">
        <f t="shared" si="729"/>
        <v/>
      </c>
      <c r="AM1271" s="460" t="str">
        <f>IF(AU1271="","",IF(OR(AZ1271=8,AZ1271=9),0,IF(OR(AW1271=3,AW1271=4,AW1271=5,AW1271=6),IF(LEFT(BH1271,1)="1",INDEX(係数_PM低減,MATCH(AY1271,【参考】排出係数!$AI$801:$AI$804,1),MATCH(BI1271,【参考】排出係数!$AL$798:$AO$798,1)),VLOOKUP(AU1271,INDEX((係数_バス貨物_ガソリン,係数_バス貨物_CNG,係数_バス貨物_軽油,係数_バス貨物_メタノール,係数_バス貨物_LPG),MATCH(AY1271,【参考】排出係数!$AI$4:$AI$671,1),1,BE1271):INDEX((係数_バス貨物_ガソリン,係数_バス貨物_CNG,係数_バス貨物_軽油,係数_バス貨物_メタノール,係数_バス貨物_LPG),MATCH(AY1271+1,【参考】排出係数!$AI$4:$AI$671,1)-1,5,BE1271),5,FALSE)),IF(AND(BE1271=3,LEFT(BF1271,1)="1"),0.055,VLOOKUP(AU1271,INDEX((係数_乗用_ガソリン,係数_乗用_CNG,係数_乗用_軽油,係数_乗用_メタノール,係数_乗用_LPG),1,1,BE1271):INDEX((係数_乗用_ガソリン,係数_乗用_CNG,係数_乗用_軽油,係数_乗用_メタノール,係数_乗用_LPG),125,5,BE1271),5,FALSE)))))</f>
        <v/>
      </c>
      <c r="AN1271" s="461" t="str">
        <f t="shared" si="730"/>
        <v/>
      </c>
      <c r="AO1271" s="462" t="str">
        <f t="shared" si="731"/>
        <v/>
      </c>
      <c r="AP1271" s="463" t="str">
        <f t="shared" si="732"/>
        <v/>
      </c>
      <c r="AQ1271" s="464"/>
      <c r="AR1271" s="619"/>
      <c r="AS1271" s="465" t="str">
        <f t="shared" si="702"/>
        <v/>
      </c>
      <c r="AT1271" s="465" t="str">
        <f t="shared" si="703"/>
        <v/>
      </c>
      <c r="AU1271" s="466" t="str">
        <f t="shared" si="704"/>
        <v/>
      </c>
      <c r="AV1271" s="467" t="str">
        <f t="shared" si="705"/>
        <v/>
      </c>
      <c r="AW1271" s="467" t="str">
        <f t="shared" si="706"/>
        <v/>
      </c>
      <c r="AX1271" s="467" t="str">
        <f t="shared" si="707"/>
        <v/>
      </c>
      <c r="AY1271" s="467" t="str">
        <f t="shared" si="708"/>
        <v/>
      </c>
      <c r="AZ1271" s="467" t="str">
        <f t="shared" si="709"/>
        <v/>
      </c>
      <c r="BA1271" s="468" t="str">
        <f>IF(AS1271="","",IF(OR(AU1271="",AU1271="-"),"－",IF(OR(AZ1271=8,AZ1271=9),"",IF(OR(AW1271=3,AW1271=4,AW1271=5,AW1271=6),VLOOKUP(AU1271,INDEX((係数_バス貨物_ガソリン,係数_バス貨物_CNG,係数_バス貨物_軽油,係数_バス貨物_メタノール,係数_バス貨物_LPG),MATCH(AY1271,【参考】排出係数!$AI$4:$AI$671,1),1,BE1271):INDEX((係数_バス貨物_ガソリン,係数_バス貨物_CNG,係数_バス貨物_軽油,係数_バス貨物_メタノール,係数_バス貨物_LPG),MATCH(AY1271+1,【参考】排出係数!$AI$4:$AI$671,1)-1,5,BE1271),2,FALSE),IF(OR(AW1271=1,AW1271=2),VLOOKUP(AU1271,INDEX((係数_乗用_ガソリン,係数_乗用_CNG,係数_乗用_軽油,係数_乗用_メタノール,係数_乗用_LPG),1,1,BE1271):INDEX((係数_乗用_ガソリン,係数_乗用_CNG,係数_乗用_軽油,係数_乗用_メタノール,係数_乗用_LPG),125,5,BE1271),2,FALSE))))))</f>
        <v/>
      </c>
      <c r="BB1271" s="468" t="str">
        <f>IF(T1271="","",IF(OR(AU1271="",AU1271="-"),"－",IF(OR(AZ1271=8,AZ1271=9),"",IF(OR(AW1271=3,AW1271=4,AW1271=5,AW1271=6),VLOOKUP(AU1271,INDEX((係数_バス貨物_ガソリン,係数_バス貨物_CNG,係数_バス貨物_軽油,係数_バス貨物_メタノール,係数_バス貨物_LPG),MATCH(AY1271,【参考】排出係数!$AI$4:$AI$671,1),1,BE1271):INDEX((係数_バス貨物_ガソリン,係数_バス貨物_CNG,係数_バス貨物_軽油,係数_バス貨物_メタノール,係数_バス貨物_LPG),MATCH(AY1271+1,【参考】排出係数!$AI$4:$AI$671,1)-1,5,BE1271),3,FALSE),IF(OR(AW1271=1,AW1271=2),VLOOKUP(AU1271,INDEX((係数_乗用_ガソリン,係数_乗用_CNG,係数_乗用_軽油,係数_乗用_メタノール,係数_乗用_LPG),1,1,BE1271):INDEX((係数_乗用_ガソリン,係数_乗用_CNG,係数_乗用_軽油,係数_乗用_メタノール,係数_乗用_LPG),125,5,BE1271),3,FALSE))))))</f>
        <v/>
      </c>
      <c r="BC1271" s="467" t="str">
        <f t="shared" si="710"/>
        <v/>
      </c>
      <c r="BD1271" s="567" t="str">
        <f t="shared" si="711"/>
        <v/>
      </c>
      <c r="BE1271" s="467" t="str">
        <f t="shared" si="712"/>
        <v/>
      </c>
      <c r="BF1271" s="469" t="str">
        <f t="shared" ca="1" si="713"/>
        <v/>
      </c>
      <c r="BG1271" s="469" t="str">
        <f t="shared" ca="1" si="714"/>
        <v/>
      </c>
      <c r="BH1271" s="467" t="str">
        <f t="shared" si="715"/>
        <v/>
      </c>
      <c r="BI1271" s="467" t="str">
        <f t="shared" ca="1" si="716"/>
        <v/>
      </c>
      <c r="BJ1271" s="469" t="str">
        <f t="shared" si="717"/>
        <v/>
      </c>
      <c r="BK1271" s="470" t="str">
        <f t="shared" si="701"/>
        <v/>
      </c>
      <c r="BL1271" s="775" t="str">
        <f t="shared" si="718"/>
        <v/>
      </c>
      <c r="BM1271" s="775" t="str">
        <f t="shared" si="719"/>
        <v/>
      </c>
    </row>
    <row r="1272" spans="1:65">
      <c r="A1272" s="473">
        <v>1216</v>
      </c>
      <c r="B1272" s="132"/>
      <c r="C1272" s="332"/>
      <c r="D1272" s="333"/>
      <c r="E1272" s="333"/>
      <c r="F1272" s="334"/>
      <c r="G1272" s="337"/>
      <c r="H1272" s="131"/>
      <c r="I1272" s="337"/>
      <c r="J1272" s="131"/>
      <c r="K1272" s="458" t="str">
        <f t="shared" si="720"/>
        <v/>
      </c>
      <c r="L1272" s="458">
        <f t="shared" si="721"/>
        <v>0</v>
      </c>
      <c r="M1272" s="458">
        <f t="shared" si="722"/>
        <v>0</v>
      </c>
      <c r="N1272" s="459" t="str">
        <f t="shared" si="733"/>
        <v/>
      </c>
      <c r="O1272" s="459" t="str">
        <f t="shared" si="734"/>
        <v/>
      </c>
      <c r="P1272" s="459" t="str">
        <f t="shared" si="735"/>
        <v/>
      </c>
      <c r="Q1272" s="459" t="str">
        <f t="shared" si="736"/>
        <v/>
      </c>
      <c r="R1272" s="459" t="str">
        <f t="shared" si="737"/>
        <v/>
      </c>
      <c r="S1272" s="459" t="str">
        <f t="shared" si="738"/>
        <v/>
      </c>
      <c r="T1272" s="566" t="str">
        <f t="shared" si="723"/>
        <v/>
      </c>
      <c r="U1272" s="702"/>
      <c r="V1272" s="132"/>
      <c r="W1272" s="133"/>
      <c r="X1272" s="134"/>
      <c r="Y1272" s="135"/>
      <c r="Z1272" s="137"/>
      <c r="AA1272" s="136"/>
      <c r="AB1272" s="566" t="str">
        <f t="shared" si="724"/>
        <v/>
      </c>
      <c r="AC1272" s="568" t="str">
        <f t="shared" si="725"/>
        <v/>
      </c>
      <c r="AD1272" s="137"/>
      <c r="AE1272" s="137"/>
      <c r="AF1272" s="138"/>
      <c r="AG1272" s="138"/>
      <c r="AH1272" s="592" t="str">
        <f t="shared" si="726"/>
        <v/>
      </c>
      <c r="AI1272" s="592" t="str">
        <f t="shared" si="727"/>
        <v/>
      </c>
      <c r="AJ1272" s="592" t="str">
        <f t="shared" si="728"/>
        <v/>
      </c>
      <c r="AK1272" s="460" t="str">
        <f>IF(AU1272="","",IF(OR(AZ1272=8,AZ1272=9),0,IF(OR(AW1272=3,AW1272=4,AW1272=5,AW1272=6),IF(LEFT(BF1272,1)="1",INDEX(係数_NOX・PM低減,MATCH(AY1272,【参考】排出係数!$AI$801:$AI$804,1),1),VLOOKUP(AU1272,INDEX((係数_バス貨物_ガソリン,係数_バス貨物_CNG,係数_バス貨物_軽油,係数_バス貨物_メタノール,係数_バス貨物_LPG),MATCH(AY1272,【参考】排出係数!$AI$4:$AI$671,1),1,BE1272):INDEX((係数_バス貨物_ガソリン,係数_バス貨物_CNG,係数_バス貨物_軽油,係数_バス貨物_メタノール,係数_バス貨物_LPG),MATCH(AY1272+1,【参考】排出係数!$AI$4:$AI$671,1)-1,5,BE1272),4,FALSE)),IF(AND(BE1272=3,LEFT(BF1272,1)="1"),0.48,VLOOKUP(AU1272,INDEX((係数_乗用_ガソリン,係数_乗用_CNG,係数_乗用_軽油,係数_乗用_メタノール,係数_乗用_LPG),1,1,BE1272):INDEX((係数_乗用_ガソリン,係数_乗用_CNG,係数_乗用_軽油,係数_乗用_メタノール,係数_乗用_LPG),125,5,BE1272),4,FALSE)))))</f>
        <v/>
      </c>
      <c r="AL1272" s="461" t="str">
        <f t="shared" si="729"/>
        <v/>
      </c>
      <c r="AM1272" s="460" t="str">
        <f>IF(AU1272="","",IF(OR(AZ1272=8,AZ1272=9),0,IF(OR(AW1272=3,AW1272=4,AW1272=5,AW1272=6),IF(LEFT(BH1272,1)="1",INDEX(係数_PM低減,MATCH(AY1272,【参考】排出係数!$AI$801:$AI$804,1),MATCH(BI1272,【参考】排出係数!$AL$798:$AO$798,1)),VLOOKUP(AU1272,INDEX((係数_バス貨物_ガソリン,係数_バス貨物_CNG,係数_バス貨物_軽油,係数_バス貨物_メタノール,係数_バス貨物_LPG),MATCH(AY1272,【参考】排出係数!$AI$4:$AI$671,1),1,BE1272):INDEX((係数_バス貨物_ガソリン,係数_バス貨物_CNG,係数_バス貨物_軽油,係数_バス貨物_メタノール,係数_バス貨物_LPG),MATCH(AY1272+1,【参考】排出係数!$AI$4:$AI$671,1)-1,5,BE1272),5,FALSE)),IF(AND(BE1272=3,LEFT(BF1272,1)="1"),0.055,VLOOKUP(AU1272,INDEX((係数_乗用_ガソリン,係数_乗用_CNG,係数_乗用_軽油,係数_乗用_メタノール,係数_乗用_LPG),1,1,BE1272):INDEX((係数_乗用_ガソリン,係数_乗用_CNG,係数_乗用_軽油,係数_乗用_メタノール,係数_乗用_LPG),125,5,BE1272),5,FALSE)))))</f>
        <v/>
      </c>
      <c r="AN1272" s="461" t="str">
        <f t="shared" si="730"/>
        <v/>
      </c>
      <c r="AO1272" s="462" t="str">
        <f t="shared" si="731"/>
        <v/>
      </c>
      <c r="AP1272" s="463" t="str">
        <f t="shared" si="732"/>
        <v/>
      </c>
      <c r="AQ1272" s="464"/>
      <c r="AR1272" s="619"/>
      <c r="AS1272" s="465" t="str">
        <f t="shared" si="702"/>
        <v/>
      </c>
      <c r="AT1272" s="465" t="str">
        <f t="shared" si="703"/>
        <v/>
      </c>
      <c r="AU1272" s="466" t="str">
        <f t="shared" si="704"/>
        <v/>
      </c>
      <c r="AV1272" s="467" t="str">
        <f t="shared" si="705"/>
        <v/>
      </c>
      <c r="AW1272" s="467" t="str">
        <f t="shared" si="706"/>
        <v/>
      </c>
      <c r="AX1272" s="467" t="str">
        <f t="shared" si="707"/>
        <v/>
      </c>
      <c r="AY1272" s="467" t="str">
        <f t="shared" si="708"/>
        <v/>
      </c>
      <c r="AZ1272" s="467" t="str">
        <f t="shared" si="709"/>
        <v/>
      </c>
      <c r="BA1272" s="468" t="str">
        <f>IF(AS1272="","",IF(OR(AU1272="",AU1272="-"),"－",IF(OR(AZ1272=8,AZ1272=9),"",IF(OR(AW1272=3,AW1272=4,AW1272=5,AW1272=6),VLOOKUP(AU1272,INDEX((係数_バス貨物_ガソリン,係数_バス貨物_CNG,係数_バス貨物_軽油,係数_バス貨物_メタノール,係数_バス貨物_LPG),MATCH(AY1272,【参考】排出係数!$AI$4:$AI$671,1),1,BE1272):INDEX((係数_バス貨物_ガソリン,係数_バス貨物_CNG,係数_バス貨物_軽油,係数_バス貨物_メタノール,係数_バス貨物_LPG),MATCH(AY1272+1,【参考】排出係数!$AI$4:$AI$671,1)-1,5,BE1272),2,FALSE),IF(OR(AW1272=1,AW1272=2),VLOOKUP(AU1272,INDEX((係数_乗用_ガソリン,係数_乗用_CNG,係数_乗用_軽油,係数_乗用_メタノール,係数_乗用_LPG),1,1,BE1272):INDEX((係数_乗用_ガソリン,係数_乗用_CNG,係数_乗用_軽油,係数_乗用_メタノール,係数_乗用_LPG),125,5,BE1272),2,FALSE))))))</f>
        <v/>
      </c>
      <c r="BB1272" s="468" t="str">
        <f>IF(T1272="","",IF(OR(AU1272="",AU1272="-"),"－",IF(OR(AZ1272=8,AZ1272=9),"",IF(OR(AW1272=3,AW1272=4,AW1272=5,AW1272=6),VLOOKUP(AU1272,INDEX((係数_バス貨物_ガソリン,係数_バス貨物_CNG,係数_バス貨物_軽油,係数_バス貨物_メタノール,係数_バス貨物_LPG),MATCH(AY1272,【参考】排出係数!$AI$4:$AI$671,1),1,BE1272):INDEX((係数_バス貨物_ガソリン,係数_バス貨物_CNG,係数_バス貨物_軽油,係数_バス貨物_メタノール,係数_バス貨物_LPG),MATCH(AY1272+1,【参考】排出係数!$AI$4:$AI$671,1)-1,5,BE1272),3,FALSE),IF(OR(AW1272=1,AW1272=2),VLOOKUP(AU1272,INDEX((係数_乗用_ガソリン,係数_乗用_CNG,係数_乗用_軽油,係数_乗用_メタノール,係数_乗用_LPG),1,1,BE1272):INDEX((係数_乗用_ガソリン,係数_乗用_CNG,係数_乗用_軽油,係数_乗用_メタノール,係数_乗用_LPG),125,5,BE1272),3,FALSE))))))</f>
        <v/>
      </c>
      <c r="BC1272" s="467" t="str">
        <f t="shared" si="710"/>
        <v/>
      </c>
      <c r="BD1272" s="567" t="str">
        <f t="shared" si="711"/>
        <v/>
      </c>
      <c r="BE1272" s="467" t="str">
        <f t="shared" si="712"/>
        <v/>
      </c>
      <c r="BF1272" s="469" t="str">
        <f t="shared" ca="1" si="713"/>
        <v/>
      </c>
      <c r="BG1272" s="469" t="str">
        <f t="shared" ca="1" si="714"/>
        <v/>
      </c>
      <c r="BH1272" s="467" t="str">
        <f t="shared" si="715"/>
        <v/>
      </c>
      <c r="BI1272" s="467" t="str">
        <f t="shared" ca="1" si="716"/>
        <v/>
      </c>
      <c r="BJ1272" s="469" t="str">
        <f t="shared" si="717"/>
        <v/>
      </c>
      <c r="BK1272" s="470" t="str">
        <f t="shared" si="701"/>
        <v/>
      </c>
      <c r="BL1272" s="775" t="str">
        <f t="shared" si="718"/>
        <v/>
      </c>
      <c r="BM1272" s="775" t="str">
        <f t="shared" si="719"/>
        <v/>
      </c>
    </row>
    <row r="1273" spans="1:65">
      <c r="A1273" s="473">
        <v>1217</v>
      </c>
      <c r="B1273" s="132"/>
      <c r="C1273" s="332"/>
      <c r="D1273" s="333"/>
      <c r="E1273" s="333"/>
      <c r="F1273" s="334"/>
      <c r="G1273" s="337"/>
      <c r="H1273" s="131"/>
      <c r="I1273" s="337"/>
      <c r="J1273" s="131"/>
      <c r="K1273" s="458" t="str">
        <f t="shared" si="720"/>
        <v/>
      </c>
      <c r="L1273" s="458">
        <f t="shared" si="721"/>
        <v>0</v>
      </c>
      <c r="M1273" s="458">
        <f t="shared" si="722"/>
        <v>0</v>
      </c>
      <c r="N1273" s="459" t="str">
        <f t="shared" si="733"/>
        <v/>
      </c>
      <c r="O1273" s="459" t="str">
        <f t="shared" si="734"/>
        <v/>
      </c>
      <c r="P1273" s="459" t="str">
        <f t="shared" si="735"/>
        <v/>
      </c>
      <c r="Q1273" s="459" t="str">
        <f t="shared" si="736"/>
        <v/>
      </c>
      <c r="R1273" s="459" t="str">
        <f t="shared" si="737"/>
        <v/>
      </c>
      <c r="S1273" s="459" t="str">
        <f t="shared" si="738"/>
        <v/>
      </c>
      <c r="T1273" s="566" t="str">
        <f t="shared" si="723"/>
        <v/>
      </c>
      <c r="U1273" s="702"/>
      <c r="V1273" s="132"/>
      <c r="W1273" s="133"/>
      <c r="X1273" s="134"/>
      <c r="Y1273" s="135"/>
      <c r="Z1273" s="137"/>
      <c r="AA1273" s="136"/>
      <c r="AB1273" s="566" t="str">
        <f t="shared" si="724"/>
        <v/>
      </c>
      <c r="AC1273" s="568" t="str">
        <f t="shared" si="725"/>
        <v/>
      </c>
      <c r="AD1273" s="137"/>
      <c r="AE1273" s="137"/>
      <c r="AF1273" s="138"/>
      <c r="AG1273" s="138"/>
      <c r="AH1273" s="592" t="str">
        <f t="shared" si="726"/>
        <v/>
      </c>
      <c r="AI1273" s="592" t="str">
        <f t="shared" si="727"/>
        <v/>
      </c>
      <c r="AJ1273" s="592" t="str">
        <f t="shared" si="728"/>
        <v/>
      </c>
      <c r="AK1273" s="460" t="str">
        <f>IF(AU1273="","",IF(OR(AZ1273=8,AZ1273=9),0,IF(OR(AW1273=3,AW1273=4,AW1273=5,AW1273=6),IF(LEFT(BF1273,1)="1",INDEX(係数_NOX・PM低減,MATCH(AY1273,【参考】排出係数!$AI$801:$AI$804,1),1),VLOOKUP(AU1273,INDEX((係数_バス貨物_ガソリン,係数_バス貨物_CNG,係数_バス貨物_軽油,係数_バス貨物_メタノール,係数_バス貨物_LPG),MATCH(AY1273,【参考】排出係数!$AI$4:$AI$671,1),1,BE1273):INDEX((係数_バス貨物_ガソリン,係数_バス貨物_CNG,係数_バス貨物_軽油,係数_バス貨物_メタノール,係数_バス貨物_LPG),MATCH(AY1273+1,【参考】排出係数!$AI$4:$AI$671,1)-1,5,BE1273),4,FALSE)),IF(AND(BE1273=3,LEFT(BF1273,1)="1"),0.48,VLOOKUP(AU1273,INDEX((係数_乗用_ガソリン,係数_乗用_CNG,係数_乗用_軽油,係数_乗用_メタノール,係数_乗用_LPG),1,1,BE1273):INDEX((係数_乗用_ガソリン,係数_乗用_CNG,係数_乗用_軽油,係数_乗用_メタノール,係数_乗用_LPG),125,5,BE1273),4,FALSE)))))</f>
        <v/>
      </c>
      <c r="AL1273" s="461" t="str">
        <f t="shared" si="729"/>
        <v/>
      </c>
      <c r="AM1273" s="460" t="str">
        <f>IF(AU1273="","",IF(OR(AZ1273=8,AZ1273=9),0,IF(OR(AW1273=3,AW1273=4,AW1273=5,AW1273=6),IF(LEFT(BH1273,1)="1",INDEX(係数_PM低減,MATCH(AY1273,【参考】排出係数!$AI$801:$AI$804,1),MATCH(BI1273,【参考】排出係数!$AL$798:$AO$798,1)),VLOOKUP(AU1273,INDEX((係数_バス貨物_ガソリン,係数_バス貨物_CNG,係数_バス貨物_軽油,係数_バス貨物_メタノール,係数_バス貨物_LPG),MATCH(AY1273,【参考】排出係数!$AI$4:$AI$671,1),1,BE1273):INDEX((係数_バス貨物_ガソリン,係数_バス貨物_CNG,係数_バス貨物_軽油,係数_バス貨物_メタノール,係数_バス貨物_LPG),MATCH(AY1273+1,【参考】排出係数!$AI$4:$AI$671,1)-1,5,BE1273),5,FALSE)),IF(AND(BE1273=3,LEFT(BF1273,1)="1"),0.055,VLOOKUP(AU1273,INDEX((係数_乗用_ガソリン,係数_乗用_CNG,係数_乗用_軽油,係数_乗用_メタノール,係数_乗用_LPG),1,1,BE1273):INDEX((係数_乗用_ガソリン,係数_乗用_CNG,係数_乗用_軽油,係数_乗用_メタノール,係数_乗用_LPG),125,5,BE1273),5,FALSE)))))</f>
        <v/>
      </c>
      <c r="AN1273" s="461" t="str">
        <f t="shared" si="730"/>
        <v/>
      </c>
      <c r="AO1273" s="462" t="str">
        <f t="shared" si="731"/>
        <v/>
      </c>
      <c r="AP1273" s="463" t="str">
        <f t="shared" si="732"/>
        <v/>
      </c>
      <c r="AQ1273" s="464"/>
      <c r="AR1273" s="619"/>
      <c r="AS1273" s="465" t="str">
        <f t="shared" si="702"/>
        <v/>
      </c>
      <c r="AT1273" s="465" t="str">
        <f t="shared" si="703"/>
        <v/>
      </c>
      <c r="AU1273" s="466" t="str">
        <f t="shared" si="704"/>
        <v/>
      </c>
      <c r="AV1273" s="467" t="str">
        <f t="shared" si="705"/>
        <v/>
      </c>
      <c r="AW1273" s="467" t="str">
        <f t="shared" si="706"/>
        <v/>
      </c>
      <c r="AX1273" s="467" t="str">
        <f t="shared" si="707"/>
        <v/>
      </c>
      <c r="AY1273" s="467" t="str">
        <f t="shared" si="708"/>
        <v/>
      </c>
      <c r="AZ1273" s="467" t="str">
        <f t="shared" si="709"/>
        <v/>
      </c>
      <c r="BA1273" s="468" t="str">
        <f>IF(AS1273="","",IF(OR(AU1273="",AU1273="-"),"－",IF(OR(AZ1273=8,AZ1273=9),"",IF(OR(AW1273=3,AW1273=4,AW1273=5,AW1273=6),VLOOKUP(AU1273,INDEX((係数_バス貨物_ガソリン,係数_バス貨物_CNG,係数_バス貨物_軽油,係数_バス貨物_メタノール,係数_バス貨物_LPG),MATCH(AY1273,【参考】排出係数!$AI$4:$AI$671,1),1,BE1273):INDEX((係数_バス貨物_ガソリン,係数_バス貨物_CNG,係数_バス貨物_軽油,係数_バス貨物_メタノール,係数_バス貨物_LPG),MATCH(AY1273+1,【参考】排出係数!$AI$4:$AI$671,1)-1,5,BE1273),2,FALSE),IF(OR(AW1273=1,AW1273=2),VLOOKUP(AU1273,INDEX((係数_乗用_ガソリン,係数_乗用_CNG,係数_乗用_軽油,係数_乗用_メタノール,係数_乗用_LPG),1,1,BE1273):INDEX((係数_乗用_ガソリン,係数_乗用_CNG,係数_乗用_軽油,係数_乗用_メタノール,係数_乗用_LPG),125,5,BE1273),2,FALSE))))))</f>
        <v/>
      </c>
      <c r="BB1273" s="468" t="str">
        <f>IF(T1273="","",IF(OR(AU1273="",AU1273="-"),"－",IF(OR(AZ1273=8,AZ1273=9),"",IF(OR(AW1273=3,AW1273=4,AW1273=5,AW1273=6),VLOOKUP(AU1273,INDEX((係数_バス貨物_ガソリン,係数_バス貨物_CNG,係数_バス貨物_軽油,係数_バス貨物_メタノール,係数_バス貨物_LPG),MATCH(AY1273,【参考】排出係数!$AI$4:$AI$671,1),1,BE1273):INDEX((係数_バス貨物_ガソリン,係数_バス貨物_CNG,係数_バス貨物_軽油,係数_バス貨物_メタノール,係数_バス貨物_LPG),MATCH(AY1273+1,【参考】排出係数!$AI$4:$AI$671,1)-1,5,BE1273),3,FALSE),IF(OR(AW1273=1,AW1273=2),VLOOKUP(AU1273,INDEX((係数_乗用_ガソリン,係数_乗用_CNG,係数_乗用_軽油,係数_乗用_メタノール,係数_乗用_LPG),1,1,BE1273):INDEX((係数_乗用_ガソリン,係数_乗用_CNG,係数_乗用_軽油,係数_乗用_メタノール,係数_乗用_LPG),125,5,BE1273),3,FALSE))))))</f>
        <v/>
      </c>
      <c r="BC1273" s="467" t="str">
        <f t="shared" si="710"/>
        <v/>
      </c>
      <c r="BD1273" s="567" t="str">
        <f t="shared" si="711"/>
        <v/>
      </c>
      <c r="BE1273" s="467" t="str">
        <f t="shared" si="712"/>
        <v/>
      </c>
      <c r="BF1273" s="469" t="str">
        <f t="shared" ca="1" si="713"/>
        <v/>
      </c>
      <c r="BG1273" s="469" t="str">
        <f t="shared" ca="1" si="714"/>
        <v/>
      </c>
      <c r="BH1273" s="467" t="str">
        <f t="shared" si="715"/>
        <v/>
      </c>
      <c r="BI1273" s="467" t="str">
        <f t="shared" ca="1" si="716"/>
        <v/>
      </c>
      <c r="BJ1273" s="469" t="str">
        <f t="shared" si="717"/>
        <v/>
      </c>
      <c r="BK1273" s="470" t="str">
        <f t="shared" ref="BK1273:BK1336" si="739">IF(AS1273="","",VLOOKUP(T1273,車両の増減,2,FALSE))</f>
        <v/>
      </c>
      <c r="BL1273" s="775" t="str">
        <f t="shared" si="718"/>
        <v/>
      </c>
      <c r="BM1273" s="775" t="str">
        <f t="shared" si="719"/>
        <v/>
      </c>
    </row>
    <row r="1274" spans="1:65">
      <c r="A1274" s="473">
        <v>1218</v>
      </c>
      <c r="B1274" s="132"/>
      <c r="C1274" s="332"/>
      <c r="D1274" s="333"/>
      <c r="E1274" s="333"/>
      <c r="F1274" s="334"/>
      <c r="G1274" s="337"/>
      <c r="H1274" s="131"/>
      <c r="I1274" s="337"/>
      <c r="J1274" s="131"/>
      <c r="K1274" s="458" t="str">
        <f t="shared" si="720"/>
        <v/>
      </c>
      <c r="L1274" s="458">
        <f t="shared" si="721"/>
        <v>0</v>
      </c>
      <c r="M1274" s="458">
        <f t="shared" si="722"/>
        <v>0</v>
      </c>
      <c r="N1274" s="459" t="str">
        <f t="shared" si="733"/>
        <v/>
      </c>
      <c r="O1274" s="459" t="str">
        <f t="shared" si="734"/>
        <v/>
      </c>
      <c r="P1274" s="459" t="str">
        <f t="shared" si="735"/>
        <v/>
      </c>
      <c r="Q1274" s="459" t="str">
        <f t="shared" si="736"/>
        <v/>
      </c>
      <c r="R1274" s="459" t="str">
        <f t="shared" si="737"/>
        <v/>
      </c>
      <c r="S1274" s="459" t="str">
        <f t="shared" si="738"/>
        <v/>
      </c>
      <c r="T1274" s="566" t="str">
        <f t="shared" si="723"/>
        <v/>
      </c>
      <c r="U1274" s="702"/>
      <c r="V1274" s="132"/>
      <c r="W1274" s="133"/>
      <c r="X1274" s="134"/>
      <c r="Y1274" s="135"/>
      <c r="Z1274" s="137"/>
      <c r="AA1274" s="136"/>
      <c r="AB1274" s="566" t="str">
        <f t="shared" si="724"/>
        <v/>
      </c>
      <c r="AC1274" s="568" t="str">
        <f t="shared" si="725"/>
        <v/>
      </c>
      <c r="AD1274" s="137"/>
      <c r="AE1274" s="137"/>
      <c r="AF1274" s="138"/>
      <c r="AG1274" s="138"/>
      <c r="AH1274" s="592" t="str">
        <f t="shared" si="726"/>
        <v/>
      </c>
      <c r="AI1274" s="592" t="str">
        <f t="shared" si="727"/>
        <v/>
      </c>
      <c r="AJ1274" s="592" t="str">
        <f t="shared" si="728"/>
        <v/>
      </c>
      <c r="AK1274" s="460" t="str">
        <f>IF(AU1274="","",IF(OR(AZ1274=8,AZ1274=9),0,IF(OR(AW1274=3,AW1274=4,AW1274=5,AW1274=6),IF(LEFT(BF1274,1)="1",INDEX(係数_NOX・PM低減,MATCH(AY1274,【参考】排出係数!$AI$801:$AI$804,1),1),VLOOKUP(AU1274,INDEX((係数_バス貨物_ガソリン,係数_バス貨物_CNG,係数_バス貨物_軽油,係数_バス貨物_メタノール,係数_バス貨物_LPG),MATCH(AY1274,【参考】排出係数!$AI$4:$AI$671,1),1,BE1274):INDEX((係数_バス貨物_ガソリン,係数_バス貨物_CNG,係数_バス貨物_軽油,係数_バス貨物_メタノール,係数_バス貨物_LPG),MATCH(AY1274+1,【参考】排出係数!$AI$4:$AI$671,1)-1,5,BE1274),4,FALSE)),IF(AND(BE1274=3,LEFT(BF1274,1)="1"),0.48,VLOOKUP(AU1274,INDEX((係数_乗用_ガソリン,係数_乗用_CNG,係数_乗用_軽油,係数_乗用_メタノール,係数_乗用_LPG),1,1,BE1274):INDEX((係数_乗用_ガソリン,係数_乗用_CNG,係数_乗用_軽油,係数_乗用_メタノール,係数_乗用_LPG),125,5,BE1274),4,FALSE)))))</f>
        <v/>
      </c>
      <c r="AL1274" s="461" t="str">
        <f t="shared" si="729"/>
        <v/>
      </c>
      <c r="AM1274" s="460" t="str">
        <f>IF(AU1274="","",IF(OR(AZ1274=8,AZ1274=9),0,IF(OR(AW1274=3,AW1274=4,AW1274=5,AW1274=6),IF(LEFT(BH1274,1)="1",INDEX(係数_PM低減,MATCH(AY1274,【参考】排出係数!$AI$801:$AI$804,1),MATCH(BI1274,【参考】排出係数!$AL$798:$AO$798,1)),VLOOKUP(AU1274,INDEX((係数_バス貨物_ガソリン,係数_バス貨物_CNG,係数_バス貨物_軽油,係数_バス貨物_メタノール,係数_バス貨物_LPG),MATCH(AY1274,【参考】排出係数!$AI$4:$AI$671,1),1,BE1274):INDEX((係数_バス貨物_ガソリン,係数_バス貨物_CNG,係数_バス貨物_軽油,係数_バス貨物_メタノール,係数_バス貨物_LPG),MATCH(AY1274+1,【参考】排出係数!$AI$4:$AI$671,1)-1,5,BE1274),5,FALSE)),IF(AND(BE1274=3,LEFT(BF1274,1)="1"),0.055,VLOOKUP(AU1274,INDEX((係数_乗用_ガソリン,係数_乗用_CNG,係数_乗用_軽油,係数_乗用_メタノール,係数_乗用_LPG),1,1,BE1274):INDEX((係数_乗用_ガソリン,係数_乗用_CNG,係数_乗用_軽油,係数_乗用_メタノール,係数_乗用_LPG),125,5,BE1274),5,FALSE)))))</f>
        <v/>
      </c>
      <c r="AN1274" s="461" t="str">
        <f t="shared" si="730"/>
        <v/>
      </c>
      <c r="AO1274" s="462" t="str">
        <f t="shared" si="731"/>
        <v/>
      </c>
      <c r="AP1274" s="463" t="str">
        <f t="shared" si="732"/>
        <v/>
      </c>
      <c r="AQ1274" s="464"/>
      <c r="AR1274" s="619"/>
      <c r="AS1274" s="465" t="str">
        <f t="shared" ref="AS1274:AS1337" si="740">IF(OR(T1274="(減車済)",T1274=""),"",1)</f>
        <v/>
      </c>
      <c r="AT1274" s="465" t="str">
        <f t="shared" ref="AT1274:AT1337" si="741">IF(OR(T1274="継続",T1274="新規"),1,"")</f>
        <v/>
      </c>
      <c r="AU1274" s="466" t="str">
        <f t="shared" ref="AU1274:AU1337" si="742">IF(AS1274="","",UPPER(ASC(X1274)))</f>
        <v/>
      </c>
      <c r="AV1274" s="467" t="str">
        <f t="shared" ref="AV1274:AV1337" si="743">IF(AS1274="","",IF(V1274="","",IF(V1274="普通",1,IF(V1274="小型",2,0))))</f>
        <v/>
      </c>
      <c r="AW1274" s="467" t="str">
        <f t="shared" ref="AW1274:AW1337" si="744">IF(AS1274="","",IF(W1274="","",VLOOKUP(W1274,用途,2,FALSE)))</f>
        <v/>
      </c>
      <c r="AX1274" s="467" t="str">
        <f t="shared" ref="AX1274:AX1337" si="745">IF(AS1274="","",IF(Y1274="","",IF(Y1274&lt;=10,1,IF(Y1274&lt;30,2,IF(Y1274&gt;=30,3,0)))))</f>
        <v/>
      </c>
      <c r="AY1274" s="467" t="str">
        <f t="shared" ref="AY1274:AY1337" si="746">IF(AS1274="","",IF(Z1274="","",IF(Z1274&lt;=1.7*1000,1,IF(Z1274&lt;=2.5*1000,2,IF(Z1274&lt;=3.5*1000,3,IF(Z1274&lt;8*1000,4,IF(Z1274&gt;=8*1000,5,"")))))))</f>
        <v/>
      </c>
      <c r="AZ1274" s="467" t="str">
        <f t="shared" ref="AZ1274:AZ1337" si="747">IF(AS1274="","",IF(AA1274="","",VLOOKUP(AA1274,燃料の種類,2,FALSE)))</f>
        <v/>
      </c>
      <c r="BA1274" s="468" t="str">
        <f>IF(AS1274="","",IF(OR(AU1274="",AU1274="-"),"－",IF(OR(AZ1274=8,AZ1274=9),"",IF(OR(AW1274=3,AW1274=4,AW1274=5,AW1274=6),VLOOKUP(AU1274,INDEX((係数_バス貨物_ガソリン,係数_バス貨物_CNG,係数_バス貨物_軽油,係数_バス貨物_メタノール,係数_バス貨物_LPG),MATCH(AY1274,【参考】排出係数!$AI$4:$AI$671,1),1,BE1274):INDEX((係数_バス貨物_ガソリン,係数_バス貨物_CNG,係数_バス貨物_軽油,係数_バス貨物_メタノール,係数_バス貨物_LPG),MATCH(AY1274+1,【参考】排出係数!$AI$4:$AI$671,1)-1,5,BE1274),2,FALSE),IF(OR(AW1274=1,AW1274=2),VLOOKUP(AU1274,INDEX((係数_乗用_ガソリン,係数_乗用_CNG,係数_乗用_軽油,係数_乗用_メタノール,係数_乗用_LPG),1,1,BE1274):INDEX((係数_乗用_ガソリン,係数_乗用_CNG,係数_乗用_軽油,係数_乗用_メタノール,係数_乗用_LPG),125,5,BE1274),2,FALSE))))))</f>
        <v/>
      </c>
      <c r="BB1274" s="468" t="str">
        <f>IF(T1274="","",IF(OR(AU1274="",AU1274="-"),"－",IF(OR(AZ1274=8,AZ1274=9),"",IF(OR(AW1274=3,AW1274=4,AW1274=5,AW1274=6),VLOOKUP(AU1274,INDEX((係数_バス貨物_ガソリン,係数_バス貨物_CNG,係数_バス貨物_軽油,係数_バス貨物_メタノール,係数_バス貨物_LPG),MATCH(AY1274,【参考】排出係数!$AI$4:$AI$671,1),1,BE1274):INDEX((係数_バス貨物_ガソリン,係数_バス貨物_CNG,係数_バス貨物_軽油,係数_バス貨物_メタノール,係数_バス貨物_LPG),MATCH(AY1274+1,【参考】排出係数!$AI$4:$AI$671,1)-1,5,BE1274),3,FALSE),IF(OR(AW1274=1,AW1274=2),VLOOKUP(AU1274,INDEX((係数_乗用_ガソリン,係数_乗用_CNG,係数_乗用_軽油,係数_乗用_メタノール,係数_乗用_LPG),1,1,BE1274):INDEX((係数_乗用_ガソリン,係数_乗用_CNG,係数_乗用_軽油,係数_乗用_メタノール,係数_乗用_LPG),125,5,BE1274),3,FALSE))))))</f>
        <v/>
      </c>
      <c r="BC1274" s="467" t="str">
        <f t="shared" ref="BC1274:BC1337" si="748">IF((AS1274="")+(AC1274=""),"",IF(燃料区分1=4,VLOOKUP(BB1274,排ガス低減レベル,2,FALSE),VLOOKUP(AC1274,排ガス低減レベル,2,FALSE)))</f>
        <v/>
      </c>
      <c r="BD1274" s="567" t="str">
        <f t="shared" ref="BD1274:BD1337" si="749">IF(AT1274="","",IF(AW1274=3,B1274&amp;"-"&amp;SUM(AW1274*100,AX1274*10,AY1274)&amp;"A",IF(OR(AW1274=2,AW1274=4,AW1274=6),B1274&amp;"-"&amp;AY1274*10&amp;"A",IF(AW1274=1,B1274&amp;"-"&amp;AW1274&amp;"A",IF(AW1274=5,B1274&amp;"-"&amp;SUM(AW1274*100,AV1274*10,AY1274)&amp;"A","")))))</f>
        <v/>
      </c>
      <c r="BE1274" s="467" t="str">
        <f t="shared" ref="BE1274:BE1337" si="750">IF(OR(AZ1274=1,AZ1274=2,AZ1274=11),1,IF(AZ1274=6,2,IF(OR(AZ1274=4,AZ1274=5,AZ1274=10),3,IF(AZ1274=7,4,IF(AZ1274=3,5, IF(OR(AZ1274=8,AZ1274=9),6,""))))))</f>
        <v/>
      </c>
      <c r="BF1274" s="469" t="str">
        <f t="shared" ref="BF1274:BF1337" ca="1" si="751">(IF(OR(AZ1274=4,AZ1274=5),OFFSET($CH$1,MATCH($AF1274,$CG$2:$CG$4,0),0)&amp;BK1274,""))</f>
        <v/>
      </c>
      <c r="BG1274" s="469" t="str">
        <f t="shared" ref="BG1274:BG1337" ca="1" si="752">(IF(OR(AZ1274=4,AZ1274=5),OFFSET($CJ$1,MATCH($AG1274,$CI$2:$CI$5,0),0)&amp;BK1274,""))</f>
        <v/>
      </c>
      <c r="BH1274" s="467" t="str">
        <f t="shared" ref="BH1274:BH1337" si="753">IF(OR(AZ1274=4,AZ1274=5),IF(OR(LEFT(BF1274,1)="1",LEFT(BG1274,1)="2",LEFT(BG1274,1)="3"),1,2)&amp;BK1274,"")</f>
        <v/>
      </c>
      <c r="BI1274" s="467" t="str">
        <f t="shared" ref="BI1274:BI1337" ca="1" si="754">IF(LEFT(BF1274)="1",1,IF(LEFT(BG1274,1)="2",2,IF(LEFT(BG1274,1)="3",3,"")))</f>
        <v/>
      </c>
      <c r="BJ1274" s="469" t="str">
        <f t="shared" ref="BJ1274:BJ1337" si="755">IF(AT1274="","",B1274&amp;"-"&amp;AZ1274)</f>
        <v/>
      </c>
      <c r="BK1274" s="470" t="str">
        <f t="shared" si="739"/>
        <v/>
      </c>
      <c r="BL1274" s="775" t="str">
        <f t="shared" ref="BL1274:BL1337" si="756">IF(AND(OR($T1274="新規",$T1274="継続"),ISBLANK($AD1274)),1,"")</f>
        <v/>
      </c>
      <c r="BM1274" s="775" t="str">
        <f t="shared" ref="BM1274:BM1337" si="757">IF(AND(OR($T1274="新規",$T1274="継続"),ISBLANK($AE1274)),1,"")</f>
        <v/>
      </c>
    </row>
    <row r="1275" spans="1:65">
      <c r="A1275" s="473">
        <v>1219</v>
      </c>
      <c r="B1275" s="132"/>
      <c r="C1275" s="332"/>
      <c r="D1275" s="333"/>
      <c r="E1275" s="333"/>
      <c r="F1275" s="334"/>
      <c r="G1275" s="337"/>
      <c r="H1275" s="131"/>
      <c r="I1275" s="337"/>
      <c r="J1275" s="131"/>
      <c r="K1275" s="458" t="str">
        <f t="shared" si="720"/>
        <v/>
      </c>
      <c r="L1275" s="458">
        <f t="shared" si="721"/>
        <v>0</v>
      </c>
      <c r="M1275" s="458">
        <f t="shared" si="722"/>
        <v>0</v>
      </c>
      <c r="N1275" s="459" t="str">
        <f t="shared" si="733"/>
        <v/>
      </c>
      <c r="O1275" s="459" t="str">
        <f t="shared" si="734"/>
        <v/>
      </c>
      <c r="P1275" s="459" t="str">
        <f t="shared" si="735"/>
        <v/>
      </c>
      <c r="Q1275" s="459" t="str">
        <f t="shared" si="736"/>
        <v/>
      </c>
      <c r="R1275" s="459" t="str">
        <f t="shared" si="737"/>
        <v/>
      </c>
      <c r="S1275" s="459" t="str">
        <f t="shared" si="738"/>
        <v/>
      </c>
      <c r="T1275" s="566" t="str">
        <f t="shared" si="723"/>
        <v/>
      </c>
      <c r="U1275" s="702"/>
      <c r="V1275" s="132"/>
      <c r="W1275" s="133"/>
      <c r="X1275" s="134"/>
      <c r="Y1275" s="135"/>
      <c r="Z1275" s="137"/>
      <c r="AA1275" s="136"/>
      <c r="AB1275" s="566" t="str">
        <f t="shared" si="724"/>
        <v/>
      </c>
      <c r="AC1275" s="568" t="str">
        <f t="shared" si="725"/>
        <v/>
      </c>
      <c r="AD1275" s="137"/>
      <c r="AE1275" s="137"/>
      <c r="AF1275" s="138"/>
      <c r="AG1275" s="138"/>
      <c r="AH1275" s="592" t="str">
        <f t="shared" si="726"/>
        <v/>
      </c>
      <c r="AI1275" s="592" t="str">
        <f t="shared" si="727"/>
        <v/>
      </c>
      <c r="AJ1275" s="592" t="str">
        <f t="shared" si="728"/>
        <v/>
      </c>
      <c r="AK1275" s="460" t="str">
        <f>IF(AU1275="","",IF(OR(AZ1275=8,AZ1275=9),0,IF(OR(AW1275=3,AW1275=4,AW1275=5,AW1275=6),IF(LEFT(BF1275,1)="1",INDEX(係数_NOX・PM低減,MATCH(AY1275,【参考】排出係数!$AI$801:$AI$804,1),1),VLOOKUP(AU1275,INDEX((係数_バス貨物_ガソリン,係数_バス貨物_CNG,係数_バス貨物_軽油,係数_バス貨物_メタノール,係数_バス貨物_LPG),MATCH(AY1275,【参考】排出係数!$AI$4:$AI$671,1),1,BE1275):INDEX((係数_バス貨物_ガソリン,係数_バス貨物_CNG,係数_バス貨物_軽油,係数_バス貨物_メタノール,係数_バス貨物_LPG),MATCH(AY1275+1,【参考】排出係数!$AI$4:$AI$671,1)-1,5,BE1275),4,FALSE)),IF(AND(BE1275=3,LEFT(BF1275,1)="1"),0.48,VLOOKUP(AU1275,INDEX((係数_乗用_ガソリン,係数_乗用_CNG,係数_乗用_軽油,係数_乗用_メタノール,係数_乗用_LPG),1,1,BE1275):INDEX((係数_乗用_ガソリン,係数_乗用_CNG,係数_乗用_軽油,係数_乗用_メタノール,係数_乗用_LPG),125,5,BE1275),4,FALSE)))))</f>
        <v/>
      </c>
      <c r="AL1275" s="461" t="str">
        <f t="shared" si="729"/>
        <v/>
      </c>
      <c r="AM1275" s="460" t="str">
        <f>IF(AU1275="","",IF(OR(AZ1275=8,AZ1275=9),0,IF(OR(AW1275=3,AW1275=4,AW1275=5,AW1275=6),IF(LEFT(BH1275,1)="1",INDEX(係数_PM低減,MATCH(AY1275,【参考】排出係数!$AI$801:$AI$804,1),MATCH(BI1275,【参考】排出係数!$AL$798:$AO$798,1)),VLOOKUP(AU1275,INDEX((係数_バス貨物_ガソリン,係数_バス貨物_CNG,係数_バス貨物_軽油,係数_バス貨物_メタノール,係数_バス貨物_LPG),MATCH(AY1275,【参考】排出係数!$AI$4:$AI$671,1),1,BE1275):INDEX((係数_バス貨物_ガソリン,係数_バス貨物_CNG,係数_バス貨物_軽油,係数_バス貨物_メタノール,係数_バス貨物_LPG),MATCH(AY1275+1,【参考】排出係数!$AI$4:$AI$671,1)-1,5,BE1275),5,FALSE)),IF(AND(BE1275=3,LEFT(BF1275,1)="1"),0.055,VLOOKUP(AU1275,INDEX((係数_乗用_ガソリン,係数_乗用_CNG,係数_乗用_軽油,係数_乗用_メタノール,係数_乗用_LPG),1,1,BE1275):INDEX((係数_乗用_ガソリン,係数_乗用_CNG,係数_乗用_軽油,係数_乗用_メタノール,係数_乗用_LPG),125,5,BE1275),5,FALSE)))))</f>
        <v/>
      </c>
      <c r="AN1275" s="461" t="str">
        <f t="shared" si="730"/>
        <v/>
      </c>
      <c r="AO1275" s="462" t="str">
        <f t="shared" si="731"/>
        <v/>
      </c>
      <c r="AP1275" s="463" t="str">
        <f t="shared" si="732"/>
        <v/>
      </c>
      <c r="AQ1275" s="464"/>
      <c r="AR1275" s="619"/>
      <c r="AS1275" s="465" t="str">
        <f t="shared" si="740"/>
        <v/>
      </c>
      <c r="AT1275" s="465" t="str">
        <f t="shared" si="741"/>
        <v/>
      </c>
      <c r="AU1275" s="466" t="str">
        <f t="shared" si="742"/>
        <v/>
      </c>
      <c r="AV1275" s="467" t="str">
        <f t="shared" si="743"/>
        <v/>
      </c>
      <c r="AW1275" s="467" t="str">
        <f t="shared" si="744"/>
        <v/>
      </c>
      <c r="AX1275" s="467" t="str">
        <f t="shared" si="745"/>
        <v/>
      </c>
      <c r="AY1275" s="467" t="str">
        <f t="shared" si="746"/>
        <v/>
      </c>
      <c r="AZ1275" s="467" t="str">
        <f t="shared" si="747"/>
        <v/>
      </c>
      <c r="BA1275" s="468" t="str">
        <f>IF(AS1275="","",IF(OR(AU1275="",AU1275="-"),"－",IF(OR(AZ1275=8,AZ1275=9),"",IF(OR(AW1275=3,AW1275=4,AW1275=5,AW1275=6),VLOOKUP(AU1275,INDEX((係数_バス貨物_ガソリン,係数_バス貨物_CNG,係数_バス貨物_軽油,係数_バス貨物_メタノール,係数_バス貨物_LPG),MATCH(AY1275,【参考】排出係数!$AI$4:$AI$671,1),1,BE1275):INDEX((係数_バス貨物_ガソリン,係数_バス貨物_CNG,係数_バス貨物_軽油,係数_バス貨物_メタノール,係数_バス貨物_LPG),MATCH(AY1275+1,【参考】排出係数!$AI$4:$AI$671,1)-1,5,BE1275),2,FALSE),IF(OR(AW1275=1,AW1275=2),VLOOKUP(AU1275,INDEX((係数_乗用_ガソリン,係数_乗用_CNG,係数_乗用_軽油,係数_乗用_メタノール,係数_乗用_LPG),1,1,BE1275):INDEX((係数_乗用_ガソリン,係数_乗用_CNG,係数_乗用_軽油,係数_乗用_メタノール,係数_乗用_LPG),125,5,BE1275),2,FALSE))))))</f>
        <v/>
      </c>
      <c r="BB1275" s="468" t="str">
        <f>IF(T1275="","",IF(OR(AU1275="",AU1275="-"),"－",IF(OR(AZ1275=8,AZ1275=9),"",IF(OR(AW1275=3,AW1275=4,AW1275=5,AW1275=6),VLOOKUP(AU1275,INDEX((係数_バス貨物_ガソリン,係数_バス貨物_CNG,係数_バス貨物_軽油,係数_バス貨物_メタノール,係数_バス貨物_LPG),MATCH(AY1275,【参考】排出係数!$AI$4:$AI$671,1),1,BE1275):INDEX((係数_バス貨物_ガソリン,係数_バス貨物_CNG,係数_バス貨物_軽油,係数_バス貨物_メタノール,係数_バス貨物_LPG),MATCH(AY1275+1,【参考】排出係数!$AI$4:$AI$671,1)-1,5,BE1275),3,FALSE),IF(OR(AW1275=1,AW1275=2),VLOOKUP(AU1275,INDEX((係数_乗用_ガソリン,係数_乗用_CNG,係数_乗用_軽油,係数_乗用_メタノール,係数_乗用_LPG),1,1,BE1275):INDEX((係数_乗用_ガソリン,係数_乗用_CNG,係数_乗用_軽油,係数_乗用_メタノール,係数_乗用_LPG),125,5,BE1275),3,FALSE))))))</f>
        <v/>
      </c>
      <c r="BC1275" s="467" t="str">
        <f t="shared" si="748"/>
        <v/>
      </c>
      <c r="BD1275" s="567" t="str">
        <f t="shared" si="749"/>
        <v/>
      </c>
      <c r="BE1275" s="467" t="str">
        <f t="shared" si="750"/>
        <v/>
      </c>
      <c r="BF1275" s="469" t="str">
        <f t="shared" ca="1" si="751"/>
        <v/>
      </c>
      <c r="BG1275" s="469" t="str">
        <f t="shared" ca="1" si="752"/>
        <v/>
      </c>
      <c r="BH1275" s="467" t="str">
        <f t="shared" si="753"/>
        <v/>
      </c>
      <c r="BI1275" s="467" t="str">
        <f t="shared" ca="1" si="754"/>
        <v/>
      </c>
      <c r="BJ1275" s="469" t="str">
        <f t="shared" si="755"/>
        <v/>
      </c>
      <c r="BK1275" s="470" t="str">
        <f t="shared" si="739"/>
        <v/>
      </c>
      <c r="BL1275" s="775" t="str">
        <f t="shared" si="756"/>
        <v/>
      </c>
      <c r="BM1275" s="775" t="str">
        <f t="shared" si="757"/>
        <v/>
      </c>
    </row>
    <row r="1276" spans="1:65">
      <c r="A1276" s="473">
        <v>1220</v>
      </c>
      <c r="B1276" s="132"/>
      <c r="C1276" s="332"/>
      <c r="D1276" s="333"/>
      <c r="E1276" s="333"/>
      <c r="F1276" s="334"/>
      <c r="G1276" s="337"/>
      <c r="H1276" s="131"/>
      <c r="I1276" s="337"/>
      <c r="J1276" s="131"/>
      <c r="K1276" s="458" t="str">
        <f t="shared" si="720"/>
        <v/>
      </c>
      <c r="L1276" s="458">
        <f t="shared" si="721"/>
        <v>0</v>
      </c>
      <c r="M1276" s="458">
        <f t="shared" si="722"/>
        <v>0</v>
      </c>
      <c r="N1276" s="459" t="str">
        <f t="shared" si="733"/>
        <v/>
      </c>
      <c r="O1276" s="459" t="str">
        <f t="shared" si="734"/>
        <v/>
      </c>
      <c r="P1276" s="459" t="str">
        <f t="shared" si="735"/>
        <v/>
      </c>
      <c r="Q1276" s="459" t="str">
        <f t="shared" si="736"/>
        <v/>
      </c>
      <c r="R1276" s="459" t="str">
        <f t="shared" si="737"/>
        <v/>
      </c>
      <c r="S1276" s="459" t="str">
        <f t="shared" si="738"/>
        <v/>
      </c>
      <c r="T1276" s="566" t="str">
        <f t="shared" si="723"/>
        <v/>
      </c>
      <c r="U1276" s="702"/>
      <c r="V1276" s="132"/>
      <c r="W1276" s="133"/>
      <c r="X1276" s="134"/>
      <c r="Y1276" s="135"/>
      <c r="Z1276" s="137"/>
      <c r="AA1276" s="136"/>
      <c r="AB1276" s="566" t="str">
        <f t="shared" si="724"/>
        <v/>
      </c>
      <c r="AC1276" s="568" t="str">
        <f t="shared" si="725"/>
        <v/>
      </c>
      <c r="AD1276" s="137"/>
      <c r="AE1276" s="137"/>
      <c r="AF1276" s="138"/>
      <c r="AG1276" s="138"/>
      <c r="AH1276" s="592" t="str">
        <f t="shared" si="726"/>
        <v/>
      </c>
      <c r="AI1276" s="592" t="str">
        <f t="shared" si="727"/>
        <v/>
      </c>
      <c r="AJ1276" s="592" t="str">
        <f t="shared" si="728"/>
        <v/>
      </c>
      <c r="AK1276" s="460" t="str">
        <f>IF(AU1276="","",IF(OR(AZ1276=8,AZ1276=9),0,IF(OR(AW1276=3,AW1276=4,AW1276=5,AW1276=6),IF(LEFT(BF1276,1)="1",INDEX(係数_NOX・PM低減,MATCH(AY1276,【参考】排出係数!$AI$801:$AI$804,1),1),VLOOKUP(AU1276,INDEX((係数_バス貨物_ガソリン,係数_バス貨物_CNG,係数_バス貨物_軽油,係数_バス貨物_メタノール,係数_バス貨物_LPG),MATCH(AY1276,【参考】排出係数!$AI$4:$AI$671,1),1,BE1276):INDEX((係数_バス貨物_ガソリン,係数_バス貨物_CNG,係数_バス貨物_軽油,係数_バス貨物_メタノール,係数_バス貨物_LPG),MATCH(AY1276+1,【参考】排出係数!$AI$4:$AI$671,1)-1,5,BE1276),4,FALSE)),IF(AND(BE1276=3,LEFT(BF1276,1)="1"),0.48,VLOOKUP(AU1276,INDEX((係数_乗用_ガソリン,係数_乗用_CNG,係数_乗用_軽油,係数_乗用_メタノール,係数_乗用_LPG),1,1,BE1276):INDEX((係数_乗用_ガソリン,係数_乗用_CNG,係数_乗用_軽油,係数_乗用_メタノール,係数_乗用_LPG),125,5,BE1276),4,FALSE)))))</f>
        <v/>
      </c>
      <c r="AL1276" s="461" t="str">
        <f t="shared" si="729"/>
        <v/>
      </c>
      <c r="AM1276" s="460" t="str">
        <f>IF(AU1276="","",IF(OR(AZ1276=8,AZ1276=9),0,IF(OR(AW1276=3,AW1276=4,AW1276=5,AW1276=6),IF(LEFT(BH1276,1)="1",INDEX(係数_PM低減,MATCH(AY1276,【参考】排出係数!$AI$801:$AI$804,1),MATCH(BI1276,【参考】排出係数!$AL$798:$AO$798,1)),VLOOKUP(AU1276,INDEX((係数_バス貨物_ガソリン,係数_バス貨物_CNG,係数_バス貨物_軽油,係数_バス貨物_メタノール,係数_バス貨物_LPG),MATCH(AY1276,【参考】排出係数!$AI$4:$AI$671,1),1,BE1276):INDEX((係数_バス貨物_ガソリン,係数_バス貨物_CNG,係数_バス貨物_軽油,係数_バス貨物_メタノール,係数_バス貨物_LPG),MATCH(AY1276+1,【参考】排出係数!$AI$4:$AI$671,1)-1,5,BE1276),5,FALSE)),IF(AND(BE1276=3,LEFT(BF1276,1)="1"),0.055,VLOOKUP(AU1276,INDEX((係数_乗用_ガソリン,係数_乗用_CNG,係数_乗用_軽油,係数_乗用_メタノール,係数_乗用_LPG),1,1,BE1276):INDEX((係数_乗用_ガソリン,係数_乗用_CNG,係数_乗用_軽油,係数_乗用_メタノール,係数_乗用_LPG),125,5,BE1276),5,FALSE)))))</f>
        <v/>
      </c>
      <c r="AN1276" s="461" t="str">
        <f t="shared" si="730"/>
        <v/>
      </c>
      <c r="AO1276" s="462" t="str">
        <f t="shared" si="731"/>
        <v/>
      </c>
      <c r="AP1276" s="463" t="str">
        <f t="shared" si="732"/>
        <v/>
      </c>
      <c r="AQ1276" s="464"/>
      <c r="AR1276" s="619"/>
      <c r="AS1276" s="465" t="str">
        <f t="shared" si="740"/>
        <v/>
      </c>
      <c r="AT1276" s="465" t="str">
        <f t="shared" si="741"/>
        <v/>
      </c>
      <c r="AU1276" s="466" t="str">
        <f t="shared" si="742"/>
        <v/>
      </c>
      <c r="AV1276" s="467" t="str">
        <f t="shared" si="743"/>
        <v/>
      </c>
      <c r="AW1276" s="467" t="str">
        <f t="shared" si="744"/>
        <v/>
      </c>
      <c r="AX1276" s="467" t="str">
        <f t="shared" si="745"/>
        <v/>
      </c>
      <c r="AY1276" s="467" t="str">
        <f t="shared" si="746"/>
        <v/>
      </c>
      <c r="AZ1276" s="467" t="str">
        <f t="shared" si="747"/>
        <v/>
      </c>
      <c r="BA1276" s="468" t="str">
        <f>IF(AS1276="","",IF(OR(AU1276="",AU1276="-"),"－",IF(OR(AZ1276=8,AZ1276=9),"",IF(OR(AW1276=3,AW1276=4,AW1276=5,AW1276=6),VLOOKUP(AU1276,INDEX((係数_バス貨物_ガソリン,係数_バス貨物_CNG,係数_バス貨物_軽油,係数_バス貨物_メタノール,係数_バス貨物_LPG),MATCH(AY1276,【参考】排出係数!$AI$4:$AI$671,1),1,BE1276):INDEX((係数_バス貨物_ガソリン,係数_バス貨物_CNG,係数_バス貨物_軽油,係数_バス貨物_メタノール,係数_バス貨物_LPG),MATCH(AY1276+1,【参考】排出係数!$AI$4:$AI$671,1)-1,5,BE1276),2,FALSE),IF(OR(AW1276=1,AW1276=2),VLOOKUP(AU1276,INDEX((係数_乗用_ガソリン,係数_乗用_CNG,係数_乗用_軽油,係数_乗用_メタノール,係数_乗用_LPG),1,1,BE1276):INDEX((係数_乗用_ガソリン,係数_乗用_CNG,係数_乗用_軽油,係数_乗用_メタノール,係数_乗用_LPG),125,5,BE1276),2,FALSE))))))</f>
        <v/>
      </c>
      <c r="BB1276" s="468" t="str">
        <f>IF(T1276="","",IF(OR(AU1276="",AU1276="-"),"－",IF(OR(AZ1276=8,AZ1276=9),"",IF(OR(AW1276=3,AW1276=4,AW1276=5,AW1276=6),VLOOKUP(AU1276,INDEX((係数_バス貨物_ガソリン,係数_バス貨物_CNG,係数_バス貨物_軽油,係数_バス貨物_メタノール,係数_バス貨物_LPG),MATCH(AY1276,【参考】排出係数!$AI$4:$AI$671,1),1,BE1276):INDEX((係数_バス貨物_ガソリン,係数_バス貨物_CNG,係数_バス貨物_軽油,係数_バス貨物_メタノール,係数_バス貨物_LPG),MATCH(AY1276+1,【参考】排出係数!$AI$4:$AI$671,1)-1,5,BE1276),3,FALSE),IF(OR(AW1276=1,AW1276=2),VLOOKUP(AU1276,INDEX((係数_乗用_ガソリン,係数_乗用_CNG,係数_乗用_軽油,係数_乗用_メタノール,係数_乗用_LPG),1,1,BE1276):INDEX((係数_乗用_ガソリン,係数_乗用_CNG,係数_乗用_軽油,係数_乗用_メタノール,係数_乗用_LPG),125,5,BE1276),3,FALSE))))))</f>
        <v/>
      </c>
      <c r="BC1276" s="467" t="str">
        <f t="shared" si="748"/>
        <v/>
      </c>
      <c r="BD1276" s="567" t="str">
        <f t="shared" si="749"/>
        <v/>
      </c>
      <c r="BE1276" s="467" t="str">
        <f t="shared" si="750"/>
        <v/>
      </c>
      <c r="BF1276" s="469" t="str">
        <f t="shared" ca="1" si="751"/>
        <v/>
      </c>
      <c r="BG1276" s="469" t="str">
        <f t="shared" ca="1" si="752"/>
        <v/>
      </c>
      <c r="BH1276" s="467" t="str">
        <f t="shared" si="753"/>
        <v/>
      </c>
      <c r="BI1276" s="467" t="str">
        <f t="shared" ca="1" si="754"/>
        <v/>
      </c>
      <c r="BJ1276" s="469" t="str">
        <f t="shared" si="755"/>
        <v/>
      </c>
      <c r="BK1276" s="470" t="str">
        <f t="shared" si="739"/>
        <v/>
      </c>
      <c r="BL1276" s="775" t="str">
        <f t="shared" si="756"/>
        <v/>
      </c>
      <c r="BM1276" s="775" t="str">
        <f t="shared" si="757"/>
        <v/>
      </c>
    </row>
    <row r="1277" spans="1:65">
      <c r="A1277" s="473">
        <v>1221</v>
      </c>
      <c r="B1277" s="132"/>
      <c r="C1277" s="332"/>
      <c r="D1277" s="333"/>
      <c r="E1277" s="333"/>
      <c r="F1277" s="334"/>
      <c r="G1277" s="337"/>
      <c r="H1277" s="131"/>
      <c r="I1277" s="337"/>
      <c r="J1277" s="131"/>
      <c r="K1277" s="458" t="str">
        <f t="shared" si="720"/>
        <v/>
      </c>
      <c r="L1277" s="458">
        <f t="shared" si="721"/>
        <v>0</v>
      </c>
      <c r="M1277" s="458">
        <f t="shared" si="722"/>
        <v>0</v>
      </c>
      <c r="N1277" s="459" t="str">
        <f t="shared" si="733"/>
        <v/>
      </c>
      <c r="O1277" s="459" t="str">
        <f t="shared" si="734"/>
        <v/>
      </c>
      <c r="P1277" s="459" t="str">
        <f t="shared" si="735"/>
        <v/>
      </c>
      <c r="Q1277" s="459" t="str">
        <f t="shared" si="736"/>
        <v/>
      </c>
      <c r="R1277" s="459" t="str">
        <f t="shared" si="737"/>
        <v/>
      </c>
      <c r="S1277" s="459" t="str">
        <f t="shared" si="738"/>
        <v/>
      </c>
      <c r="T1277" s="566" t="str">
        <f t="shared" si="723"/>
        <v/>
      </c>
      <c r="U1277" s="702"/>
      <c r="V1277" s="132"/>
      <c r="W1277" s="133"/>
      <c r="X1277" s="134"/>
      <c r="Y1277" s="135"/>
      <c r="Z1277" s="137"/>
      <c r="AA1277" s="136"/>
      <c r="AB1277" s="566" t="str">
        <f t="shared" si="724"/>
        <v/>
      </c>
      <c r="AC1277" s="568" t="str">
        <f t="shared" si="725"/>
        <v/>
      </c>
      <c r="AD1277" s="137"/>
      <c r="AE1277" s="137"/>
      <c r="AF1277" s="138"/>
      <c r="AG1277" s="138"/>
      <c r="AH1277" s="592" t="str">
        <f t="shared" si="726"/>
        <v/>
      </c>
      <c r="AI1277" s="592" t="str">
        <f t="shared" si="727"/>
        <v/>
      </c>
      <c r="AJ1277" s="592" t="str">
        <f t="shared" si="728"/>
        <v/>
      </c>
      <c r="AK1277" s="460" t="str">
        <f>IF(AU1277="","",IF(OR(AZ1277=8,AZ1277=9),0,IF(OR(AW1277=3,AW1277=4,AW1277=5,AW1277=6),IF(LEFT(BF1277,1)="1",INDEX(係数_NOX・PM低減,MATCH(AY1277,【参考】排出係数!$AI$801:$AI$804,1),1),VLOOKUP(AU1277,INDEX((係数_バス貨物_ガソリン,係数_バス貨物_CNG,係数_バス貨物_軽油,係数_バス貨物_メタノール,係数_バス貨物_LPG),MATCH(AY1277,【参考】排出係数!$AI$4:$AI$671,1),1,BE1277):INDEX((係数_バス貨物_ガソリン,係数_バス貨物_CNG,係数_バス貨物_軽油,係数_バス貨物_メタノール,係数_バス貨物_LPG),MATCH(AY1277+1,【参考】排出係数!$AI$4:$AI$671,1)-1,5,BE1277),4,FALSE)),IF(AND(BE1277=3,LEFT(BF1277,1)="1"),0.48,VLOOKUP(AU1277,INDEX((係数_乗用_ガソリン,係数_乗用_CNG,係数_乗用_軽油,係数_乗用_メタノール,係数_乗用_LPG),1,1,BE1277):INDEX((係数_乗用_ガソリン,係数_乗用_CNG,係数_乗用_軽油,係数_乗用_メタノール,係数_乗用_LPG),125,5,BE1277),4,FALSE)))))</f>
        <v/>
      </c>
      <c r="AL1277" s="461" t="str">
        <f t="shared" si="729"/>
        <v/>
      </c>
      <c r="AM1277" s="460" t="str">
        <f>IF(AU1277="","",IF(OR(AZ1277=8,AZ1277=9),0,IF(OR(AW1277=3,AW1277=4,AW1277=5,AW1277=6),IF(LEFT(BH1277,1)="1",INDEX(係数_PM低減,MATCH(AY1277,【参考】排出係数!$AI$801:$AI$804,1),MATCH(BI1277,【参考】排出係数!$AL$798:$AO$798,1)),VLOOKUP(AU1277,INDEX((係数_バス貨物_ガソリン,係数_バス貨物_CNG,係数_バス貨物_軽油,係数_バス貨物_メタノール,係数_バス貨物_LPG),MATCH(AY1277,【参考】排出係数!$AI$4:$AI$671,1),1,BE1277):INDEX((係数_バス貨物_ガソリン,係数_バス貨物_CNG,係数_バス貨物_軽油,係数_バス貨物_メタノール,係数_バス貨物_LPG),MATCH(AY1277+1,【参考】排出係数!$AI$4:$AI$671,1)-1,5,BE1277),5,FALSE)),IF(AND(BE1277=3,LEFT(BF1277,1)="1"),0.055,VLOOKUP(AU1277,INDEX((係数_乗用_ガソリン,係数_乗用_CNG,係数_乗用_軽油,係数_乗用_メタノール,係数_乗用_LPG),1,1,BE1277):INDEX((係数_乗用_ガソリン,係数_乗用_CNG,係数_乗用_軽油,係数_乗用_メタノール,係数_乗用_LPG),125,5,BE1277),5,FALSE)))))</f>
        <v/>
      </c>
      <c r="AN1277" s="461" t="str">
        <f t="shared" si="730"/>
        <v/>
      </c>
      <c r="AO1277" s="462" t="str">
        <f t="shared" si="731"/>
        <v/>
      </c>
      <c r="AP1277" s="463" t="str">
        <f t="shared" si="732"/>
        <v/>
      </c>
      <c r="AQ1277" s="464"/>
      <c r="AR1277" s="619"/>
      <c r="AS1277" s="465" t="str">
        <f t="shared" si="740"/>
        <v/>
      </c>
      <c r="AT1277" s="465" t="str">
        <f t="shared" si="741"/>
        <v/>
      </c>
      <c r="AU1277" s="466" t="str">
        <f t="shared" si="742"/>
        <v/>
      </c>
      <c r="AV1277" s="467" t="str">
        <f t="shared" si="743"/>
        <v/>
      </c>
      <c r="AW1277" s="467" t="str">
        <f t="shared" si="744"/>
        <v/>
      </c>
      <c r="AX1277" s="467" t="str">
        <f t="shared" si="745"/>
        <v/>
      </c>
      <c r="AY1277" s="467" t="str">
        <f t="shared" si="746"/>
        <v/>
      </c>
      <c r="AZ1277" s="467" t="str">
        <f t="shared" si="747"/>
        <v/>
      </c>
      <c r="BA1277" s="468" t="str">
        <f>IF(AS1277="","",IF(OR(AU1277="",AU1277="-"),"－",IF(OR(AZ1277=8,AZ1277=9),"",IF(OR(AW1277=3,AW1277=4,AW1277=5,AW1277=6),VLOOKUP(AU1277,INDEX((係数_バス貨物_ガソリン,係数_バス貨物_CNG,係数_バス貨物_軽油,係数_バス貨物_メタノール,係数_バス貨物_LPG),MATCH(AY1277,【参考】排出係数!$AI$4:$AI$671,1),1,BE1277):INDEX((係数_バス貨物_ガソリン,係数_バス貨物_CNG,係数_バス貨物_軽油,係数_バス貨物_メタノール,係数_バス貨物_LPG),MATCH(AY1277+1,【参考】排出係数!$AI$4:$AI$671,1)-1,5,BE1277),2,FALSE),IF(OR(AW1277=1,AW1277=2),VLOOKUP(AU1277,INDEX((係数_乗用_ガソリン,係数_乗用_CNG,係数_乗用_軽油,係数_乗用_メタノール,係数_乗用_LPG),1,1,BE1277):INDEX((係数_乗用_ガソリン,係数_乗用_CNG,係数_乗用_軽油,係数_乗用_メタノール,係数_乗用_LPG),125,5,BE1277),2,FALSE))))))</f>
        <v/>
      </c>
      <c r="BB1277" s="468" t="str">
        <f>IF(T1277="","",IF(OR(AU1277="",AU1277="-"),"－",IF(OR(AZ1277=8,AZ1277=9),"",IF(OR(AW1277=3,AW1277=4,AW1277=5,AW1277=6),VLOOKUP(AU1277,INDEX((係数_バス貨物_ガソリン,係数_バス貨物_CNG,係数_バス貨物_軽油,係数_バス貨物_メタノール,係数_バス貨物_LPG),MATCH(AY1277,【参考】排出係数!$AI$4:$AI$671,1),1,BE1277):INDEX((係数_バス貨物_ガソリン,係数_バス貨物_CNG,係数_バス貨物_軽油,係数_バス貨物_メタノール,係数_バス貨物_LPG),MATCH(AY1277+1,【参考】排出係数!$AI$4:$AI$671,1)-1,5,BE1277),3,FALSE),IF(OR(AW1277=1,AW1277=2),VLOOKUP(AU1277,INDEX((係数_乗用_ガソリン,係数_乗用_CNG,係数_乗用_軽油,係数_乗用_メタノール,係数_乗用_LPG),1,1,BE1277):INDEX((係数_乗用_ガソリン,係数_乗用_CNG,係数_乗用_軽油,係数_乗用_メタノール,係数_乗用_LPG),125,5,BE1277),3,FALSE))))))</f>
        <v/>
      </c>
      <c r="BC1277" s="467" t="str">
        <f t="shared" si="748"/>
        <v/>
      </c>
      <c r="BD1277" s="567" t="str">
        <f t="shared" si="749"/>
        <v/>
      </c>
      <c r="BE1277" s="467" t="str">
        <f t="shared" si="750"/>
        <v/>
      </c>
      <c r="BF1277" s="469" t="str">
        <f t="shared" ca="1" si="751"/>
        <v/>
      </c>
      <c r="BG1277" s="469" t="str">
        <f t="shared" ca="1" si="752"/>
        <v/>
      </c>
      <c r="BH1277" s="467" t="str">
        <f t="shared" si="753"/>
        <v/>
      </c>
      <c r="BI1277" s="467" t="str">
        <f t="shared" ca="1" si="754"/>
        <v/>
      </c>
      <c r="BJ1277" s="469" t="str">
        <f t="shared" si="755"/>
        <v/>
      </c>
      <c r="BK1277" s="470" t="str">
        <f t="shared" si="739"/>
        <v/>
      </c>
      <c r="BL1277" s="775" t="str">
        <f t="shared" si="756"/>
        <v/>
      </c>
      <c r="BM1277" s="775" t="str">
        <f t="shared" si="757"/>
        <v/>
      </c>
    </row>
    <row r="1278" spans="1:65">
      <c r="A1278" s="473">
        <v>1222</v>
      </c>
      <c r="B1278" s="132"/>
      <c r="C1278" s="332"/>
      <c r="D1278" s="333"/>
      <c r="E1278" s="333"/>
      <c r="F1278" s="334"/>
      <c r="G1278" s="337"/>
      <c r="H1278" s="131"/>
      <c r="I1278" s="337"/>
      <c r="J1278" s="131"/>
      <c r="K1278" s="458" t="str">
        <f t="shared" si="720"/>
        <v/>
      </c>
      <c r="L1278" s="458">
        <f t="shared" si="721"/>
        <v>0</v>
      </c>
      <c r="M1278" s="458">
        <f t="shared" si="722"/>
        <v>0</v>
      </c>
      <c r="N1278" s="459" t="str">
        <f t="shared" si="733"/>
        <v/>
      </c>
      <c r="O1278" s="459" t="str">
        <f t="shared" si="734"/>
        <v/>
      </c>
      <c r="P1278" s="459" t="str">
        <f t="shared" si="735"/>
        <v/>
      </c>
      <c r="Q1278" s="459" t="str">
        <f t="shared" si="736"/>
        <v/>
      </c>
      <c r="R1278" s="459" t="str">
        <f t="shared" si="737"/>
        <v/>
      </c>
      <c r="S1278" s="459" t="str">
        <f t="shared" si="738"/>
        <v/>
      </c>
      <c r="T1278" s="566" t="str">
        <f t="shared" si="723"/>
        <v/>
      </c>
      <c r="U1278" s="702"/>
      <c r="V1278" s="132"/>
      <c r="W1278" s="133"/>
      <c r="X1278" s="134"/>
      <c r="Y1278" s="135"/>
      <c r="Z1278" s="137"/>
      <c r="AA1278" s="136"/>
      <c r="AB1278" s="566" t="str">
        <f t="shared" si="724"/>
        <v/>
      </c>
      <c r="AC1278" s="568" t="str">
        <f t="shared" si="725"/>
        <v/>
      </c>
      <c r="AD1278" s="137"/>
      <c r="AE1278" s="137"/>
      <c r="AF1278" s="138"/>
      <c r="AG1278" s="138"/>
      <c r="AH1278" s="592" t="str">
        <f t="shared" si="726"/>
        <v/>
      </c>
      <c r="AI1278" s="592" t="str">
        <f t="shared" si="727"/>
        <v/>
      </c>
      <c r="AJ1278" s="592" t="str">
        <f t="shared" si="728"/>
        <v/>
      </c>
      <c r="AK1278" s="460" t="str">
        <f>IF(AU1278="","",IF(OR(AZ1278=8,AZ1278=9),0,IF(OR(AW1278=3,AW1278=4,AW1278=5,AW1278=6),IF(LEFT(BF1278,1)="1",INDEX(係数_NOX・PM低減,MATCH(AY1278,【参考】排出係数!$AI$801:$AI$804,1),1),VLOOKUP(AU1278,INDEX((係数_バス貨物_ガソリン,係数_バス貨物_CNG,係数_バス貨物_軽油,係数_バス貨物_メタノール,係数_バス貨物_LPG),MATCH(AY1278,【参考】排出係数!$AI$4:$AI$671,1),1,BE1278):INDEX((係数_バス貨物_ガソリン,係数_バス貨物_CNG,係数_バス貨物_軽油,係数_バス貨物_メタノール,係数_バス貨物_LPG),MATCH(AY1278+1,【参考】排出係数!$AI$4:$AI$671,1)-1,5,BE1278),4,FALSE)),IF(AND(BE1278=3,LEFT(BF1278,1)="1"),0.48,VLOOKUP(AU1278,INDEX((係数_乗用_ガソリン,係数_乗用_CNG,係数_乗用_軽油,係数_乗用_メタノール,係数_乗用_LPG),1,1,BE1278):INDEX((係数_乗用_ガソリン,係数_乗用_CNG,係数_乗用_軽油,係数_乗用_メタノール,係数_乗用_LPG),125,5,BE1278),4,FALSE)))))</f>
        <v/>
      </c>
      <c r="AL1278" s="461" t="str">
        <f t="shared" si="729"/>
        <v/>
      </c>
      <c r="AM1278" s="460" t="str">
        <f>IF(AU1278="","",IF(OR(AZ1278=8,AZ1278=9),0,IF(OR(AW1278=3,AW1278=4,AW1278=5,AW1278=6),IF(LEFT(BH1278,1)="1",INDEX(係数_PM低減,MATCH(AY1278,【参考】排出係数!$AI$801:$AI$804,1),MATCH(BI1278,【参考】排出係数!$AL$798:$AO$798,1)),VLOOKUP(AU1278,INDEX((係数_バス貨物_ガソリン,係数_バス貨物_CNG,係数_バス貨物_軽油,係数_バス貨物_メタノール,係数_バス貨物_LPG),MATCH(AY1278,【参考】排出係数!$AI$4:$AI$671,1),1,BE1278):INDEX((係数_バス貨物_ガソリン,係数_バス貨物_CNG,係数_バス貨物_軽油,係数_バス貨物_メタノール,係数_バス貨物_LPG),MATCH(AY1278+1,【参考】排出係数!$AI$4:$AI$671,1)-1,5,BE1278),5,FALSE)),IF(AND(BE1278=3,LEFT(BF1278,1)="1"),0.055,VLOOKUP(AU1278,INDEX((係数_乗用_ガソリン,係数_乗用_CNG,係数_乗用_軽油,係数_乗用_メタノール,係数_乗用_LPG),1,1,BE1278):INDEX((係数_乗用_ガソリン,係数_乗用_CNG,係数_乗用_軽油,係数_乗用_メタノール,係数_乗用_LPG),125,5,BE1278),5,FALSE)))))</f>
        <v/>
      </c>
      <c r="AN1278" s="461" t="str">
        <f t="shared" si="730"/>
        <v/>
      </c>
      <c r="AO1278" s="462" t="str">
        <f t="shared" si="731"/>
        <v/>
      </c>
      <c r="AP1278" s="463" t="str">
        <f t="shared" si="732"/>
        <v/>
      </c>
      <c r="AQ1278" s="464"/>
      <c r="AR1278" s="619"/>
      <c r="AS1278" s="465" t="str">
        <f t="shared" si="740"/>
        <v/>
      </c>
      <c r="AT1278" s="465" t="str">
        <f t="shared" si="741"/>
        <v/>
      </c>
      <c r="AU1278" s="466" t="str">
        <f t="shared" si="742"/>
        <v/>
      </c>
      <c r="AV1278" s="467" t="str">
        <f t="shared" si="743"/>
        <v/>
      </c>
      <c r="AW1278" s="467" t="str">
        <f t="shared" si="744"/>
        <v/>
      </c>
      <c r="AX1278" s="467" t="str">
        <f t="shared" si="745"/>
        <v/>
      </c>
      <c r="AY1278" s="467" t="str">
        <f t="shared" si="746"/>
        <v/>
      </c>
      <c r="AZ1278" s="467" t="str">
        <f t="shared" si="747"/>
        <v/>
      </c>
      <c r="BA1278" s="468" t="str">
        <f>IF(AS1278="","",IF(OR(AU1278="",AU1278="-"),"－",IF(OR(AZ1278=8,AZ1278=9),"",IF(OR(AW1278=3,AW1278=4,AW1278=5,AW1278=6),VLOOKUP(AU1278,INDEX((係数_バス貨物_ガソリン,係数_バス貨物_CNG,係数_バス貨物_軽油,係数_バス貨物_メタノール,係数_バス貨物_LPG),MATCH(AY1278,【参考】排出係数!$AI$4:$AI$671,1),1,BE1278):INDEX((係数_バス貨物_ガソリン,係数_バス貨物_CNG,係数_バス貨物_軽油,係数_バス貨物_メタノール,係数_バス貨物_LPG),MATCH(AY1278+1,【参考】排出係数!$AI$4:$AI$671,1)-1,5,BE1278),2,FALSE),IF(OR(AW1278=1,AW1278=2),VLOOKUP(AU1278,INDEX((係数_乗用_ガソリン,係数_乗用_CNG,係数_乗用_軽油,係数_乗用_メタノール,係数_乗用_LPG),1,1,BE1278):INDEX((係数_乗用_ガソリン,係数_乗用_CNG,係数_乗用_軽油,係数_乗用_メタノール,係数_乗用_LPG),125,5,BE1278),2,FALSE))))))</f>
        <v/>
      </c>
      <c r="BB1278" s="468" t="str">
        <f>IF(T1278="","",IF(OR(AU1278="",AU1278="-"),"－",IF(OR(AZ1278=8,AZ1278=9),"",IF(OR(AW1278=3,AW1278=4,AW1278=5,AW1278=6),VLOOKUP(AU1278,INDEX((係数_バス貨物_ガソリン,係数_バス貨物_CNG,係数_バス貨物_軽油,係数_バス貨物_メタノール,係数_バス貨物_LPG),MATCH(AY1278,【参考】排出係数!$AI$4:$AI$671,1),1,BE1278):INDEX((係数_バス貨物_ガソリン,係数_バス貨物_CNG,係数_バス貨物_軽油,係数_バス貨物_メタノール,係数_バス貨物_LPG),MATCH(AY1278+1,【参考】排出係数!$AI$4:$AI$671,1)-1,5,BE1278),3,FALSE),IF(OR(AW1278=1,AW1278=2),VLOOKUP(AU1278,INDEX((係数_乗用_ガソリン,係数_乗用_CNG,係数_乗用_軽油,係数_乗用_メタノール,係数_乗用_LPG),1,1,BE1278):INDEX((係数_乗用_ガソリン,係数_乗用_CNG,係数_乗用_軽油,係数_乗用_メタノール,係数_乗用_LPG),125,5,BE1278),3,FALSE))))))</f>
        <v/>
      </c>
      <c r="BC1278" s="467" t="str">
        <f t="shared" si="748"/>
        <v/>
      </c>
      <c r="BD1278" s="567" t="str">
        <f t="shared" si="749"/>
        <v/>
      </c>
      <c r="BE1278" s="467" t="str">
        <f t="shared" si="750"/>
        <v/>
      </c>
      <c r="BF1278" s="469" t="str">
        <f t="shared" ca="1" si="751"/>
        <v/>
      </c>
      <c r="BG1278" s="469" t="str">
        <f t="shared" ca="1" si="752"/>
        <v/>
      </c>
      <c r="BH1278" s="467" t="str">
        <f t="shared" si="753"/>
        <v/>
      </c>
      <c r="BI1278" s="467" t="str">
        <f t="shared" ca="1" si="754"/>
        <v/>
      </c>
      <c r="BJ1278" s="469" t="str">
        <f t="shared" si="755"/>
        <v/>
      </c>
      <c r="BK1278" s="470" t="str">
        <f t="shared" si="739"/>
        <v/>
      </c>
      <c r="BL1278" s="775" t="str">
        <f t="shared" si="756"/>
        <v/>
      </c>
      <c r="BM1278" s="775" t="str">
        <f t="shared" si="757"/>
        <v/>
      </c>
    </row>
    <row r="1279" spans="1:65">
      <c r="A1279" s="473">
        <v>1223</v>
      </c>
      <c r="B1279" s="132"/>
      <c r="C1279" s="332"/>
      <c r="D1279" s="333"/>
      <c r="E1279" s="333"/>
      <c r="F1279" s="334"/>
      <c r="G1279" s="337"/>
      <c r="H1279" s="131"/>
      <c r="I1279" s="337"/>
      <c r="J1279" s="131"/>
      <c r="K1279" s="458" t="str">
        <f t="shared" si="720"/>
        <v/>
      </c>
      <c r="L1279" s="458">
        <f t="shared" si="721"/>
        <v>0</v>
      </c>
      <c r="M1279" s="458">
        <f t="shared" si="722"/>
        <v>0</v>
      </c>
      <c r="N1279" s="459" t="str">
        <f t="shared" si="733"/>
        <v/>
      </c>
      <c r="O1279" s="459" t="str">
        <f t="shared" si="734"/>
        <v/>
      </c>
      <c r="P1279" s="459" t="str">
        <f t="shared" si="735"/>
        <v/>
      </c>
      <c r="Q1279" s="459" t="str">
        <f t="shared" si="736"/>
        <v/>
      </c>
      <c r="R1279" s="459" t="str">
        <f t="shared" si="737"/>
        <v/>
      </c>
      <c r="S1279" s="459" t="str">
        <f t="shared" si="738"/>
        <v/>
      </c>
      <c r="T1279" s="566" t="str">
        <f t="shared" si="723"/>
        <v/>
      </c>
      <c r="U1279" s="702"/>
      <c r="V1279" s="132"/>
      <c r="W1279" s="133"/>
      <c r="X1279" s="134"/>
      <c r="Y1279" s="135"/>
      <c r="Z1279" s="137"/>
      <c r="AA1279" s="136"/>
      <c r="AB1279" s="566" t="str">
        <f t="shared" si="724"/>
        <v/>
      </c>
      <c r="AC1279" s="568" t="str">
        <f t="shared" si="725"/>
        <v/>
      </c>
      <c r="AD1279" s="137"/>
      <c r="AE1279" s="137"/>
      <c r="AF1279" s="138"/>
      <c r="AG1279" s="138"/>
      <c r="AH1279" s="592" t="str">
        <f t="shared" si="726"/>
        <v/>
      </c>
      <c r="AI1279" s="592" t="str">
        <f t="shared" si="727"/>
        <v/>
      </c>
      <c r="AJ1279" s="592" t="str">
        <f t="shared" si="728"/>
        <v/>
      </c>
      <c r="AK1279" s="460" t="str">
        <f>IF(AU1279="","",IF(OR(AZ1279=8,AZ1279=9),0,IF(OR(AW1279=3,AW1279=4,AW1279=5,AW1279=6),IF(LEFT(BF1279,1)="1",INDEX(係数_NOX・PM低減,MATCH(AY1279,【参考】排出係数!$AI$801:$AI$804,1),1),VLOOKUP(AU1279,INDEX((係数_バス貨物_ガソリン,係数_バス貨物_CNG,係数_バス貨物_軽油,係数_バス貨物_メタノール,係数_バス貨物_LPG),MATCH(AY1279,【参考】排出係数!$AI$4:$AI$671,1),1,BE1279):INDEX((係数_バス貨物_ガソリン,係数_バス貨物_CNG,係数_バス貨物_軽油,係数_バス貨物_メタノール,係数_バス貨物_LPG),MATCH(AY1279+1,【参考】排出係数!$AI$4:$AI$671,1)-1,5,BE1279),4,FALSE)),IF(AND(BE1279=3,LEFT(BF1279,1)="1"),0.48,VLOOKUP(AU1279,INDEX((係数_乗用_ガソリン,係数_乗用_CNG,係数_乗用_軽油,係数_乗用_メタノール,係数_乗用_LPG),1,1,BE1279):INDEX((係数_乗用_ガソリン,係数_乗用_CNG,係数_乗用_軽油,係数_乗用_メタノール,係数_乗用_LPG),125,5,BE1279),4,FALSE)))))</f>
        <v/>
      </c>
      <c r="AL1279" s="461" t="str">
        <f t="shared" si="729"/>
        <v/>
      </c>
      <c r="AM1279" s="460" t="str">
        <f>IF(AU1279="","",IF(OR(AZ1279=8,AZ1279=9),0,IF(OR(AW1279=3,AW1279=4,AW1279=5,AW1279=6),IF(LEFT(BH1279,1)="1",INDEX(係数_PM低減,MATCH(AY1279,【参考】排出係数!$AI$801:$AI$804,1),MATCH(BI1279,【参考】排出係数!$AL$798:$AO$798,1)),VLOOKUP(AU1279,INDEX((係数_バス貨物_ガソリン,係数_バス貨物_CNG,係数_バス貨物_軽油,係数_バス貨物_メタノール,係数_バス貨物_LPG),MATCH(AY1279,【参考】排出係数!$AI$4:$AI$671,1),1,BE1279):INDEX((係数_バス貨物_ガソリン,係数_バス貨物_CNG,係数_バス貨物_軽油,係数_バス貨物_メタノール,係数_バス貨物_LPG),MATCH(AY1279+1,【参考】排出係数!$AI$4:$AI$671,1)-1,5,BE1279),5,FALSE)),IF(AND(BE1279=3,LEFT(BF1279,1)="1"),0.055,VLOOKUP(AU1279,INDEX((係数_乗用_ガソリン,係数_乗用_CNG,係数_乗用_軽油,係数_乗用_メタノール,係数_乗用_LPG),1,1,BE1279):INDEX((係数_乗用_ガソリン,係数_乗用_CNG,係数_乗用_軽油,係数_乗用_メタノール,係数_乗用_LPG),125,5,BE1279),5,FALSE)))))</f>
        <v/>
      </c>
      <c r="AN1279" s="461" t="str">
        <f t="shared" si="730"/>
        <v/>
      </c>
      <c r="AO1279" s="462" t="str">
        <f t="shared" si="731"/>
        <v/>
      </c>
      <c r="AP1279" s="463" t="str">
        <f t="shared" si="732"/>
        <v/>
      </c>
      <c r="AQ1279" s="464"/>
      <c r="AR1279" s="619"/>
      <c r="AS1279" s="465" t="str">
        <f t="shared" si="740"/>
        <v/>
      </c>
      <c r="AT1279" s="465" t="str">
        <f t="shared" si="741"/>
        <v/>
      </c>
      <c r="AU1279" s="466" t="str">
        <f t="shared" si="742"/>
        <v/>
      </c>
      <c r="AV1279" s="467" t="str">
        <f t="shared" si="743"/>
        <v/>
      </c>
      <c r="AW1279" s="467" t="str">
        <f t="shared" si="744"/>
        <v/>
      </c>
      <c r="AX1279" s="467" t="str">
        <f t="shared" si="745"/>
        <v/>
      </c>
      <c r="AY1279" s="467" t="str">
        <f t="shared" si="746"/>
        <v/>
      </c>
      <c r="AZ1279" s="467" t="str">
        <f t="shared" si="747"/>
        <v/>
      </c>
      <c r="BA1279" s="468" t="str">
        <f>IF(AS1279="","",IF(OR(AU1279="",AU1279="-"),"－",IF(OR(AZ1279=8,AZ1279=9),"",IF(OR(AW1279=3,AW1279=4,AW1279=5,AW1279=6),VLOOKUP(AU1279,INDEX((係数_バス貨物_ガソリン,係数_バス貨物_CNG,係数_バス貨物_軽油,係数_バス貨物_メタノール,係数_バス貨物_LPG),MATCH(AY1279,【参考】排出係数!$AI$4:$AI$671,1),1,BE1279):INDEX((係数_バス貨物_ガソリン,係数_バス貨物_CNG,係数_バス貨物_軽油,係数_バス貨物_メタノール,係数_バス貨物_LPG),MATCH(AY1279+1,【参考】排出係数!$AI$4:$AI$671,1)-1,5,BE1279),2,FALSE),IF(OR(AW1279=1,AW1279=2),VLOOKUP(AU1279,INDEX((係数_乗用_ガソリン,係数_乗用_CNG,係数_乗用_軽油,係数_乗用_メタノール,係数_乗用_LPG),1,1,BE1279):INDEX((係数_乗用_ガソリン,係数_乗用_CNG,係数_乗用_軽油,係数_乗用_メタノール,係数_乗用_LPG),125,5,BE1279),2,FALSE))))))</f>
        <v/>
      </c>
      <c r="BB1279" s="468" t="str">
        <f>IF(T1279="","",IF(OR(AU1279="",AU1279="-"),"－",IF(OR(AZ1279=8,AZ1279=9),"",IF(OR(AW1279=3,AW1279=4,AW1279=5,AW1279=6),VLOOKUP(AU1279,INDEX((係数_バス貨物_ガソリン,係数_バス貨物_CNG,係数_バス貨物_軽油,係数_バス貨物_メタノール,係数_バス貨物_LPG),MATCH(AY1279,【参考】排出係数!$AI$4:$AI$671,1),1,BE1279):INDEX((係数_バス貨物_ガソリン,係数_バス貨物_CNG,係数_バス貨物_軽油,係数_バス貨物_メタノール,係数_バス貨物_LPG),MATCH(AY1279+1,【参考】排出係数!$AI$4:$AI$671,1)-1,5,BE1279),3,FALSE),IF(OR(AW1279=1,AW1279=2),VLOOKUP(AU1279,INDEX((係数_乗用_ガソリン,係数_乗用_CNG,係数_乗用_軽油,係数_乗用_メタノール,係数_乗用_LPG),1,1,BE1279):INDEX((係数_乗用_ガソリン,係数_乗用_CNG,係数_乗用_軽油,係数_乗用_メタノール,係数_乗用_LPG),125,5,BE1279),3,FALSE))))))</f>
        <v/>
      </c>
      <c r="BC1279" s="467" t="str">
        <f t="shared" si="748"/>
        <v/>
      </c>
      <c r="BD1279" s="567" t="str">
        <f t="shared" si="749"/>
        <v/>
      </c>
      <c r="BE1279" s="467" t="str">
        <f t="shared" si="750"/>
        <v/>
      </c>
      <c r="BF1279" s="469" t="str">
        <f t="shared" ca="1" si="751"/>
        <v/>
      </c>
      <c r="BG1279" s="469" t="str">
        <f t="shared" ca="1" si="752"/>
        <v/>
      </c>
      <c r="BH1279" s="467" t="str">
        <f t="shared" si="753"/>
        <v/>
      </c>
      <c r="BI1279" s="467" t="str">
        <f t="shared" ca="1" si="754"/>
        <v/>
      </c>
      <c r="BJ1279" s="469" t="str">
        <f t="shared" si="755"/>
        <v/>
      </c>
      <c r="BK1279" s="470" t="str">
        <f t="shared" si="739"/>
        <v/>
      </c>
      <c r="BL1279" s="775" t="str">
        <f t="shared" si="756"/>
        <v/>
      </c>
      <c r="BM1279" s="775" t="str">
        <f t="shared" si="757"/>
        <v/>
      </c>
    </row>
    <row r="1280" spans="1:65">
      <c r="A1280" s="473">
        <v>1224</v>
      </c>
      <c r="B1280" s="132"/>
      <c r="C1280" s="332"/>
      <c r="D1280" s="333"/>
      <c r="E1280" s="333"/>
      <c r="F1280" s="334"/>
      <c r="G1280" s="337"/>
      <c r="H1280" s="131"/>
      <c r="I1280" s="337"/>
      <c r="J1280" s="131"/>
      <c r="K1280" s="458" t="str">
        <f t="shared" si="720"/>
        <v/>
      </c>
      <c r="L1280" s="458">
        <f t="shared" si="721"/>
        <v>0</v>
      </c>
      <c r="M1280" s="458">
        <f t="shared" si="722"/>
        <v>0</v>
      </c>
      <c r="N1280" s="459" t="str">
        <f t="shared" si="733"/>
        <v/>
      </c>
      <c r="O1280" s="459" t="str">
        <f t="shared" si="734"/>
        <v/>
      </c>
      <c r="P1280" s="459" t="str">
        <f t="shared" si="735"/>
        <v/>
      </c>
      <c r="Q1280" s="459" t="str">
        <f t="shared" si="736"/>
        <v/>
      </c>
      <c r="R1280" s="459" t="str">
        <f t="shared" si="737"/>
        <v/>
      </c>
      <c r="S1280" s="459" t="str">
        <f t="shared" si="738"/>
        <v/>
      </c>
      <c r="T1280" s="566" t="str">
        <f t="shared" si="723"/>
        <v/>
      </c>
      <c r="U1280" s="702"/>
      <c r="V1280" s="132"/>
      <c r="W1280" s="133"/>
      <c r="X1280" s="134"/>
      <c r="Y1280" s="135"/>
      <c r="Z1280" s="137"/>
      <c r="AA1280" s="136"/>
      <c r="AB1280" s="566" t="str">
        <f t="shared" si="724"/>
        <v/>
      </c>
      <c r="AC1280" s="568" t="str">
        <f t="shared" si="725"/>
        <v/>
      </c>
      <c r="AD1280" s="137"/>
      <c r="AE1280" s="137"/>
      <c r="AF1280" s="138"/>
      <c r="AG1280" s="138"/>
      <c r="AH1280" s="592" t="str">
        <f t="shared" si="726"/>
        <v/>
      </c>
      <c r="AI1280" s="592" t="str">
        <f t="shared" si="727"/>
        <v/>
      </c>
      <c r="AJ1280" s="592" t="str">
        <f t="shared" si="728"/>
        <v/>
      </c>
      <c r="AK1280" s="460" t="str">
        <f>IF(AU1280="","",IF(OR(AZ1280=8,AZ1280=9),0,IF(OR(AW1280=3,AW1280=4,AW1280=5,AW1280=6),IF(LEFT(BF1280,1)="1",INDEX(係数_NOX・PM低減,MATCH(AY1280,【参考】排出係数!$AI$801:$AI$804,1),1),VLOOKUP(AU1280,INDEX((係数_バス貨物_ガソリン,係数_バス貨物_CNG,係数_バス貨物_軽油,係数_バス貨物_メタノール,係数_バス貨物_LPG),MATCH(AY1280,【参考】排出係数!$AI$4:$AI$671,1),1,BE1280):INDEX((係数_バス貨物_ガソリン,係数_バス貨物_CNG,係数_バス貨物_軽油,係数_バス貨物_メタノール,係数_バス貨物_LPG),MATCH(AY1280+1,【参考】排出係数!$AI$4:$AI$671,1)-1,5,BE1280),4,FALSE)),IF(AND(BE1280=3,LEFT(BF1280,1)="1"),0.48,VLOOKUP(AU1280,INDEX((係数_乗用_ガソリン,係数_乗用_CNG,係数_乗用_軽油,係数_乗用_メタノール,係数_乗用_LPG),1,1,BE1280):INDEX((係数_乗用_ガソリン,係数_乗用_CNG,係数_乗用_軽油,係数_乗用_メタノール,係数_乗用_LPG),125,5,BE1280),4,FALSE)))))</f>
        <v/>
      </c>
      <c r="AL1280" s="461" t="str">
        <f t="shared" si="729"/>
        <v/>
      </c>
      <c r="AM1280" s="460" t="str">
        <f>IF(AU1280="","",IF(OR(AZ1280=8,AZ1280=9),0,IF(OR(AW1280=3,AW1280=4,AW1280=5,AW1280=6),IF(LEFT(BH1280,1)="1",INDEX(係数_PM低減,MATCH(AY1280,【参考】排出係数!$AI$801:$AI$804,1),MATCH(BI1280,【参考】排出係数!$AL$798:$AO$798,1)),VLOOKUP(AU1280,INDEX((係数_バス貨物_ガソリン,係数_バス貨物_CNG,係数_バス貨物_軽油,係数_バス貨物_メタノール,係数_バス貨物_LPG),MATCH(AY1280,【参考】排出係数!$AI$4:$AI$671,1),1,BE1280):INDEX((係数_バス貨物_ガソリン,係数_バス貨物_CNG,係数_バス貨物_軽油,係数_バス貨物_メタノール,係数_バス貨物_LPG),MATCH(AY1280+1,【参考】排出係数!$AI$4:$AI$671,1)-1,5,BE1280),5,FALSE)),IF(AND(BE1280=3,LEFT(BF1280,1)="1"),0.055,VLOOKUP(AU1280,INDEX((係数_乗用_ガソリン,係数_乗用_CNG,係数_乗用_軽油,係数_乗用_メタノール,係数_乗用_LPG),1,1,BE1280):INDEX((係数_乗用_ガソリン,係数_乗用_CNG,係数_乗用_軽油,係数_乗用_メタノール,係数_乗用_LPG),125,5,BE1280),5,FALSE)))))</f>
        <v/>
      </c>
      <c r="AN1280" s="461" t="str">
        <f t="shared" si="730"/>
        <v/>
      </c>
      <c r="AO1280" s="462" t="str">
        <f t="shared" si="731"/>
        <v/>
      </c>
      <c r="AP1280" s="463" t="str">
        <f t="shared" si="732"/>
        <v/>
      </c>
      <c r="AQ1280" s="464"/>
      <c r="AR1280" s="619"/>
      <c r="AS1280" s="465" t="str">
        <f t="shared" si="740"/>
        <v/>
      </c>
      <c r="AT1280" s="465" t="str">
        <f t="shared" si="741"/>
        <v/>
      </c>
      <c r="AU1280" s="466" t="str">
        <f t="shared" si="742"/>
        <v/>
      </c>
      <c r="AV1280" s="467" t="str">
        <f t="shared" si="743"/>
        <v/>
      </c>
      <c r="AW1280" s="467" t="str">
        <f t="shared" si="744"/>
        <v/>
      </c>
      <c r="AX1280" s="467" t="str">
        <f t="shared" si="745"/>
        <v/>
      </c>
      <c r="AY1280" s="467" t="str">
        <f t="shared" si="746"/>
        <v/>
      </c>
      <c r="AZ1280" s="467" t="str">
        <f t="shared" si="747"/>
        <v/>
      </c>
      <c r="BA1280" s="468" t="str">
        <f>IF(AS1280="","",IF(OR(AU1280="",AU1280="-"),"－",IF(OR(AZ1280=8,AZ1280=9),"",IF(OR(AW1280=3,AW1280=4,AW1280=5,AW1280=6),VLOOKUP(AU1280,INDEX((係数_バス貨物_ガソリン,係数_バス貨物_CNG,係数_バス貨物_軽油,係数_バス貨物_メタノール,係数_バス貨物_LPG),MATCH(AY1280,【参考】排出係数!$AI$4:$AI$671,1),1,BE1280):INDEX((係数_バス貨物_ガソリン,係数_バス貨物_CNG,係数_バス貨物_軽油,係数_バス貨物_メタノール,係数_バス貨物_LPG),MATCH(AY1280+1,【参考】排出係数!$AI$4:$AI$671,1)-1,5,BE1280),2,FALSE),IF(OR(AW1280=1,AW1280=2),VLOOKUP(AU1280,INDEX((係数_乗用_ガソリン,係数_乗用_CNG,係数_乗用_軽油,係数_乗用_メタノール,係数_乗用_LPG),1,1,BE1280):INDEX((係数_乗用_ガソリン,係数_乗用_CNG,係数_乗用_軽油,係数_乗用_メタノール,係数_乗用_LPG),125,5,BE1280),2,FALSE))))))</f>
        <v/>
      </c>
      <c r="BB1280" s="468" t="str">
        <f>IF(T1280="","",IF(OR(AU1280="",AU1280="-"),"－",IF(OR(AZ1280=8,AZ1280=9),"",IF(OR(AW1280=3,AW1280=4,AW1280=5,AW1280=6),VLOOKUP(AU1280,INDEX((係数_バス貨物_ガソリン,係数_バス貨物_CNG,係数_バス貨物_軽油,係数_バス貨物_メタノール,係数_バス貨物_LPG),MATCH(AY1280,【参考】排出係数!$AI$4:$AI$671,1),1,BE1280):INDEX((係数_バス貨物_ガソリン,係数_バス貨物_CNG,係数_バス貨物_軽油,係数_バス貨物_メタノール,係数_バス貨物_LPG),MATCH(AY1280+1,【参考】排出係数!$AI$4:$AI$671,1)-1,5,BE1280),3,FALSE),IF(OR(AW1280=1,AW1280=2),VLOOKUP(AU1280,INDEX((係数_乗用_ガソリン,係数_乗用_CNG,係数_乗用_軽油,係数_乗用_メタノール,係数_乗用_LPG),1,1,BE1280):INDEX((係数_乗用_ガソリン,係数_乗用_CNG,係数_乗用_軽油,係数_乗用_メタノール,係数_乗用_LPG),125,5,BE1280),3,FALSE))))))</f>
        <v/>
      </c>
      <c r="BC1280" s="467" t="str">
        <f t="shared" si="748"/>
        <v/>
      </c>
      <c r="BD1280" s="567" t="str">
        <f t="shared" si="749"/>
        <v/>
      </c>
      <c r="BE1280" s="467" t="str">
        <f t="shared" si="750"/>
        <v/>
      </c>
      <c r="BF1280" s="469" t="str">
        <f t="shared" ca="1" si="751"/>
        <v/>
      </c>
      <c r="BG1280" s="469" t="str">
        <f t="shared" ca="1" si="752"/>
        <v/>
      </c>
      <c r="BH1280" s="467" t="str">
        <f t="shared" si="753"/>
        <v/>
      </c>
      <c r="BI1280" s="467" t="str">
        <f t="shared" ca="1" si="754"/>
        <v/>
      </c>
      <c r="BJ1280" s="469" t="str">
        <f t="shared" si="755"/>
        <v/>
      </c>
      <c r="BK1280" s="470" t="str">
        <f t="shared" si="739"/>
        <v/>
      </c>
      <c r="BL1280" s="775" t="str">
        <f t="shared" si="756"/>
        <v/>
      </c>
      <c r="BM1280" s="775" t="str">
        <f t="shared" si="757"/>
        <v/>
      </c>
    </row>
    <row r="1281" spans="1:65">
      <c r="A1281" s="473">
        <v>1225</v>
      </c>
      <c r="B1281" s="132"/>
      <c r="C1281" s="332"/>
      <c r="D1281" s="333"/>
      <c r="E1281" s="333"/>
      <c r="F1281" s="334"/>
      <c r="G1281" s="337"/>
      <c r="H1281" s="131"/>
      <c r="I1281" s="337"/>
      <c r="J1281" s="131"/>
      <c r="K1281" s="458" t="str">
        <f t="shared" si="720"/>
        <v/>
      </c>
      <c r="L1281" s="458">
        <f t="shared" si="721"/>
        <v>0</v>
      </c>
      <c r="M1281" s="458">
        <f t="shared" si="722"/>
        <v>0</v>
      </c>
      <c r="N1281" s="459" t="str">
        <f t="shared" si="733"/>
        <v/>
      </c>
      <c r="O1281" s="459" t="str">
        <f t="shared" si="734"/>
        <v/>
      </c>
      <c r="P1281" s="459" t="str">
        <f t="shared" si="735"/>
        <v/>
      </c>
      <c r="Q1281" s="459" t="str">
        <f t="shared" si="736"/>
        <v/>
      </c>
      <c r="R1281" s="459" t="str">
        <f t="shared" si="737"/>
        <v/>
      </c>
      <c r="S1281" s="459" t="str">
        <f t="shared" si="738"/>
        <v/>
      </c>
      <c r="T1281" s="566" t="str">
        <f t="shared" si="723"/>
        <v/>
      </c>
      <c r="U1281" s="702"/>
      <c r="V1281" s="132"/>
      <c r="W1281" s="133"/>
      <c r="X1281" s="134"/>
      <c r="Y1281" s="135"/>
      <c r="Z1281" s="137"/>
      <c r="AA1281" s="136"/>
      <c r="AB1281" s="566" t="str">
        <f t="shared" si="724"/>
        <v/>
      </c>
      <c r="AC1281" s="568" t="str">
        <f t="shared" si="725"/>
        <v/>
      </c>
      <c r="AD1281" s="137"/>
      <c r="AE1281" s="137"/>
      <c r="AF1281" s="138"/>
      <c r="AG1281" s="138"/>
      <c r="AH1281" s="592" t="str">
        <f t="shared" si="726"/>
        <v/>
      </c>
      <c r="AI1281" s="592" t="str">
        <f t="shared" si="727"/>
        <v/>
      </c>
      <c r="AJ1281" s="592" t="str">
        <f t="shared" si="728"/>
        <v/>
      </c>
      <c r="AK1281" s="460" t="str">
        <f>IF(AU1281="","",IF(OR(AZ1281=8,AZ1281=9),0,IF(OR(AW1281=3,AW1281=4,AW1281=5,AW1281=6),IF(LEFT(BF1281,1)="1",INDEX(係数_NOX・PM低減,MATCH(AY1281,【参考】排出係数!$AI$801:$AI$804,1),1),VLOOKUP(AU1281,INDEX((係数_バス貨物_ガソリン,係数_バス貨物_CNG,係数_バス貨物_軽油,係数_バス貨物_メタノール,係数_バス貨物_LPG),MATCH(AY1281,【参考】排出係数!$AI$4:$AI$671,1),1,BE1281):INDEX((係数_バス貨物_ガソリン,係数_バス貨物_CNG,係数_バス貨物_軽油,係数_バス貨物_メタノール,係数_バス貨物_LPG),MATCH(AY1281+1,【参考】排出係数!$AI$4:$AI$671,1)-1,5,BE1281),4,FALSE)),IF(AND(BE1281=3,LEFT(BF1281,1)="1"),0.48,VLOOKUP(AU1281,INDEX((係数_乗用_ガソリン,係数_乗用_CNG,係数_乗用_軽油,係数_乗用_メタノール,係数_乗用_LPG),1,1,BE1281):INDEX((係数_乗用_ガソリン,係数_乗用_CNG,係数_乗用_軽油,係数_乗用_メタノール,係数_乗用_LPG),125,5,BE1281),4,FALSE)))))</f>
        <v/>
      </c>
      <c r="AL1281" s="461" t="str">
        <f t="shared" si="729"/>
        <v/>
      </c>
      <c r="AM1281" s="460" t="str">
        <f>IF(AU1281="","",IF(OR(AZ1281=8,AZ1281=9),0,IF(OR(AW1281=3,AW1281=4,AW1281=5,AW1281=6),IF(LEFT(BH1281,1)="1",INDEX(係数_PM低減,MATCH(AY1281,【参考】排出係数!$AI$801:$AI$804,1),MATCH(BI1281,【参考】排出係数!$AL$798:$AO$798,1)),VLOOKUP(AU1281,INDEX((係数_バス貨物_ガソリン,係数_バス貨物_CNG,係数_バス貨物_軽油,係数_バス貨物_メタノール,係数_バス貨物_LPG),MATCH(AY1281,【参考】排出係数!$AI$4:$AI$671,1),1,BE1281):INDEX((係数_バス貨物_ガソリン,係数_バス貨物_CNG,係数_バス貨物_軽油,係数_バス貨物_メタノール,係数_バス貨物_LPG),MATCH(AY1281+1,【参考】排出係数!$AI$4:$AI$671,1)-1,5,BE1281),5,FALSE)),IF(AND(BE1281=3,LEFT(BF1281,1)="1"),0.055,VLOOKUP(AU1281,INDEX((係数_乗用_ガソリン,係数_乗用_CNG,係数_乗用_軽油,係数_乗用_メタノール,係数_乗用_LPG),1,1,BE1281):INDEX((係数_乗用_ガソリン,係数_乗用_CNG,係数_乗用_軽油,係数_乗用_メタノール,係数_乗用_LPG),125,5,BE1281),5,FALSE)))))</f>
        <v/>
      </c>
      <c r="AN1281" s="461" t="str">
        <f t="shared" si="730"/>
        <v/>
      </c>
      <c r="AO1281" s="462" t="str">
        <f t="shared" si="731"/>
        <v/>
      </c>
      <c r="AP1281" s="463" t="str">
        <f t="shared" si="732"/>
        <v/>
      </c>
      <c r="AQ1281" s="464"/>
      <c r="AR1281" s="619"/>
      <c r="AS1281" s="465" t="str">
        <f t="shared" si="740"/>
        <v/>
      </c>
      <c r="AT1281" s="465" t="str">
        <f t="shared" si="741"/>
        <v/>
      </c>
      <c r="AU1281" s="466" t="str">
        <f t="shared" si="742"/>
        <v/>
      </c>
      <c r="AV1281" s="467" t="str">
        <f t="shared" si="743"/>
        <v/>
      </c>
      <c r="AW1281" s="467" t="str">
        <f t="shared" si="744"/>
        <v/>
      </c>
      <c r="AX1281" s="467" t="str">
        <f t="shared" si="745"/>
        <v/>
      </c>
      <c r="AY1281" s="467" t="str">
        <f t="shared" si="746"/>
        <v/>
      </c>
      <c r="AZ1281" s="467" t="str">
        <f t="shared" si="747"/>
        <v/>
      </c>
      <c r="BA1281" s="468" t="str">
        <f>IF(AS1281="","",IF(OR(AU1281="",AU1281="-"),"－",IF(OR(AZ1281=8,AZ1281=9),"",IF(OR(AW1281=3,AW1281=4,AW1281=5,AW1281=6),VLOOKUP(AU1281,INDEX((係数_バス貨物_ガソリン,係数_バス貨物_CNG,係数_バス貨物_軽油,係数_バス貨物_メタノール,係数_バス貨物_LPG),MATCH(AY1281,【参考】排出係数!$AI$4:$AI$671,1),1,BE1281):INDEX((係数_バス貨物_ガソリン,係数_バス貨物_CNG,係数_バス貨物_軽油,係数_バス貨物_メタノール,係数_バス貨物_LPG),MATCH(AY1281+1,【参考】排出係数!$AI$4:$AI$671,1)-1,5,BE1281),2,FALSE),IF(OR(AW1281=1,AW1281=2),VLOOKUP(AU1281,INDEX((係数_乗用_ガソリン,係数_乗用_CNG,係数_乗用_軽油,係数_乗用_メタノール,係数_乗用_LPG),1,1,BE1281):INDEX((係数_乗用_ガソリン,係数_乗用_CNG,係数_乗用_軽油,係数_乗用_メタノール,係数_乗用_LPG),125,5,BE1281),2,FALSE))))))</f>
        <v/>
      </c>
      <c r="BB1281" s="468" t="str">
        <f>IF(T1281="","",IF(OR(AU1281="",AU1281="-"),"－",IF(OR(AZ1281=8,AZ1281=9),"",IF(OR(AW1281=3,AW1281=4,AW1281=5,AW1281=6),VLOOKUP(AU1281,INDEX((係数_バス貨物_ガソリン,係数_バス貨物_CNG,係数_バス貨物_軽油,係数_バス貨物_メタノール,係数_バス貨物_LPG),MATCH(AY1281,【参考】排出係数!$AI$4:$AI$671,1),1,BE1281):INDEX((係数_バス貨物_ガソリン,係数_バス貨物_CNG,係数_バス貨物_軽油,係数_バス貨物_メタノール,係数_バス貨物_LPG),MATCH(AY1281+1,【参考】排出係数!$AI$4:$AI$671,1)-1,5,BE1281),3,FALSE),IF(OR(AW1281=1,AW1281=2),VLOOKUP(AU1281,INDEX((係数_乗用_ガソリン,係数_乗用_CNG,係数_乗用_軽油,係数_乗用_メタノール,係数_乗用_LPG),1,1,BE1281):INDEX((係数_乗用_ガソリン,係数_乗用_CNG,係数_乗用_軽油,係数_乗用_メタノール,係数_乗用_LPG),125,5,BE1281),3,FALSE))))))</f>
        <v/>
      </c>
      <c r="BC1281" s="467" t="str">
        <f t="shared" si="748"/>
        <v/>
      </c>
      <c r="BD1281" s="567" t="str">
        <f t="shared" si="749"/>
        <v/>
      </c>
      <c r="BE1281" s="467" t="str">
        <f t="shared" si="750"/>
        <v/>
      </c>
      <c r="BF1281" s="469" t="str">
        <f t="shared" ca="1" si="751"/>
        <v/>
      </c>
      <c r="BG1281" s="469" t="str">
        <f t="shared" ca="1" si="752"/>
        <v/>
      </c>
      <c r="BH1281" s="467" t="str">
        <f t="shared" si="753"/>
        <v/>
      </c>
      <c r="BI1281" s="467" t="str">
        <f t="shared" ca="1" si="754"/>
        <v/>
      </c>
      <c r="BJ1281" s="469" t="str">
        <f t="shared" si="755"/>
        <v/>
      </c>
      <c r="BK1281" s="470" t="str">
        <f t="shared" si="739"/>
        <v/>
      </c>
      <c r="BL1281" s="775" t="str">
        <f t="shared" si="756"/>
        <v/>
      </c>
      <c r="BM1281" s="775" t="str">
        <f t="shared" si="757"/>
        <v/>
      </c>
    </row>
    <row r="1282" spans="1:65">
      <c r="A1282" s="473">
        <v>1226</v>
      </c>
      <c r="B1282" s="132"/>
      <c r="C1282" s="332"/>
      <c r="D1282" s="333"/>
      <c r="E1282" s="333"/>
      <c r="F1282" s="334"/>
      <c r="G1282" s="337"/>
      <c r="H1282" s="131"/>
      <c r="I1282" s="337"/>
      <c r="J1282" s="131"/>
      <c r="K1282" s="458" t="str">
        <f t="shared" si="720"/>
        <v/>
      </c>
      <c r="L1282" s="458">
        <f t="shared" si="721"/>
        <v>0</v>
      </c>
      <c r="M1282" s="458">
        <f t="shared" si="722"/>
        <v>0</v>
      </c>
      <c r="N1282" s="459" t="str">
        <f t="shared" si="733"/>
        <v/>
      </c>
      <c r="O1282" s="459" t="str">
        <f t="shared" si="734"/>
        <v/>
      </c>
      <c r="P1282" s="459" t="str">
        <f t="shared" si="735"/>
        <v/>
      </c>
      <c r="Q1282" s="459" t="str">
        <f t="shared" si="736"/>
        <v/>
      </c>
      <c r="R1282" s="459" t="str">
        <f t="shared" si="737"/>
        <v/>
      </c>
      <c r="S1282" s="459" t="str">
        <f t="shared" si="738"/>
        <v/>
      </c>
      <c r="T1282" s="566" t="str">
        <f t="shared" si="723"/>
        <v/>
      </c>
      <c r="U1282" s="702"/>
      <c r="V1282" s="132"/>
      <c r="W1282" s="133"/>
      <c r="X1282" s="134"/>
      <c r="Y1282" s="135"/>
      <c r="Z1282" s="137"/>
      <c r="AA1282" s="136"/>
      <c r="AB1282" s="566" t="str">
        <f t="shared" si="724"/>
        <v/>
      </c>
      <c r="AC1282" s="568" t="str">
        <f t="shared" si="725"/>
        <v/>
      </c>
      <c r="AD1282" s="137"/>
      <c r="AE1282" s="137"/>
      <c r="AF1282" s="138"/>
      <c r="AG1282" s="138"/>
      <c r="AH1282" s="592" t="str">
        <f t="shared" si="726"/>
        <v/>
      </c>
      <c r="AI1282" s="592" t="str">
        <f t="shared" si="727"/>
        <v/>
      </c>
      <c r="AJ1282" s="592" t="str">
        <f t="shared" si="728"/>
        <v/>
      </c>
      <c r="AK1282" s="460" t="str">
        <f>IF(AU1282="","",IF(OR(AZ1282=8,AZ1282=9),0,IF(OR(AW1282=3,AW1282=4,AW1282=5,AW1282=6),IF(LEFT(BF1282,1)="1",INDEX(係数_NOX・PM低減,MATCH(AY1282,【参考】排出係数!$AI$801:$AI$804,1),1),VLOOKUP(AU1282,INDEX((係数_バス貨物_ガソリン,係数_バス貨物_CNG,係数_バス貨物_軽油,係数_バス貨物_メタノール,係数_バス貨物_LPG),MATCH(AY1282,【参考】排出係数!$AI$4:$AI$671,1),1,BE1282):INDEX((係数_バス貨物_ガソリン,係数_バス貨物_CNG,係数_バス貨物_軽油,係数_バス貨物_メタノール,係数_バス貨物_LPG),MATCH(AY1282+1,【参考】排出係数!$AI$4:$AI$671,1)-1,5,BE1282),4,FALSE)),IF(AND(BE1282=3,LEFT(BF1282,1)="1"),0.48,VLOOKUP(AU1282,INDEX((係数_乗用_ガソリン,係数_乗用_CNG,係数_乗用_軽油,係数_乗用_メタノール,係数_乗用_LPG),1,1,BE1282):INDEX((係数_乗用_ガソリン,係数_乗用_CNG,係数_乗用_軽油,係数_乗用_メタノール,係数_乗用_LPG),125,5,BE1282),4,FALSE)))))</f>
        <v/>
      </c>
      <c r="AL1282" s="461" t="str">
        <f t="shared" si="729"/>
        <v/>
      </c>
      <c r="AM1282" s="460" t="str">
        <f>IF(AU1282="","",IF(OR(AZ1282=8,AZ1282=9),0,IF(OR(AW1282=3,AW1282=4,AW1282=5,AW1282=6),IF(LEFT(BH1282,1)="1",INDEX(係数_PM低減,MATCH(AY1282,【参考】排出係数!$AI$801:$AI$804,1),MATCH(BI1282,【参考】排出係数!$AL$798:$AO$798,1)),VLOOKUP(AU1282,INDEX((係数_バス貨物_ガソリン,係数_バス貨物_CNG,係数_バス貨物_軽油,係数_バス貨物_メタノール,係数_バス貨物_LPG),MATCH(AY1282,【参考】排出係数!$AI$4:$AI$671,1),1,BE1282):INDEX((係数_バス貨物_ガソリン,係数_バス貨物_CNG,係数_バス貨物_軽油,係数_バス貨物_メタノール,係数_バス貨物_LPG),MATCH(AY1282+1,【参考】排出係数!$AI$4:$AI$671,1)-1,5,BE1282),5,FALSE)),IF(AND(BE1282=3,LEFT(BF1282,1)="1"),0.055,VLOOKUP(AU1282,INDEX((係数_乗用_ガソリン,係数_乗用_CNG,係数_乗用_軽油,係数_乗用_メタノール,係数_乗用_LPG),1,1,BE1282):INDEX((係数_乗用_ガソリン,係数_乗用_CNG,係数_乗用_軽油,係数_乗用_メタノール,係数_乗用_LPG),125,5,BE1282),5,FALSE)))))</f>
        <v/>
      </c>
      <c r="AN1282" s="461" t="str">
        <f t="shared" si="730"/>
        <v/>
      </c>
      <c r="AO1282" s="462" t="str">
        <f t="shared" si="731"/>
        <v/>
      </c>
      <c r="AP1282" s="463" t="str">
        <f t="shared" si="732"/>
        <v/>
      </c>
      <c r="AQ1282" s="464"/>
      <c r="AR1282" s="619"/>
      <c r="AS1282" s="465" t="str">
        <f t="shared" si="740"/>
        <v/>
      </c>
      <c r="AT1282" s="465" t="str">
        <f t="shared" si="741"/>
        <v/>
      </c>
      <c r="AU1282" s="466" t="str">
        <f t="shared" si="742"/>
        <v/>
      </c>
      <c r="AV1282" s="467" t="str">
        <f t="shared" si="743"/>
        <v/>
      </c>
      <c r="AW1282" s="467" t="str">
        <f t="shared" si="744"/>
        <v/>
      </c>
      <c r="AX1282" s="467" t="str">
        <f t="shared" si="745"/>
        <v/>
      </c>
      <c r="AY1282" s="467" t="str">
        <f t="shared" si="746"/>
        <v/>
      </c>
      <c r="AZ1282" s="467" t="str">
        <f t="shared" si="747"/>
        <v/>
      </c>
      <c r="BA1282" s="468" t="str">
        <f>IF(AS1282="","",IF(OR(AU1282="",AU1282="-"),"－",IF(OR(AZ1282=8,AZ1282=9),"",IF(OR(AW1282=3,AW1282=4,AW1282=5,AW1282=6),VLOOKUP(AU1282,INDEX((係数_バス貨物_ガソリン,係数_バス貨物_CNG,係数_バス貨物_軽油,係数_バス貨物_メタノール,係数_バス貨物_LPG),MATCH(AY1282,【参考】排出係数!$AI$4:$AI$671,1),1,BE1282):INDEX((係数_バス貨物_ガソリン,係数_バス貨物_CNG,係数_バス貨物_軽油,係数_バス貨物_メタノール,係数_バス貨物_LPG),MATCH(AY1282+1,【参考】排出係数!$AI$4:$AI$671,1)-1,5,BE1282),2,FALSE),IF(OR(AW1282=1,AW1282=2),VLOOKUP(AU1282,INDEX((係数_乗用_ガソリン,係数_乗用_CNG,係数_乗用_軽油,係数_乗用_メタノール,係数_乗用_LPG),1,1,BE1282):INDEX((係数_乗用_ガソリン,係数_乗用_CNG,係数_乗用_軽油,係数_乗用_メタノール,係数_乗用_LPG),125,5,BE1282),2,FALSE))))))</f>
        <v/>
      </c>
      <c r="BB1282" s="468" t="str">
        <f>IF(T1282="","",IF(OR(AU1282="",AU1282="-"),"－",IF(OR(AZ1282=8,AZ1282=9),"",IF(OR(AW1282=3,AW1282=4,AW1282=5,AW1282=6),VLOOKUP(AU1282,INDEX((係数_バス貨物_ガソリン,係数_バス貨物_CNG,係数_バス貨物_軽油,係数_バス貨物_メタノール,係数_バス貨物_LPG),MATCH(AY1282,【参考】排出係数!$AI$4:$AI$671,1),1,BE1282):INDEX((係数_バス貨物_ガソリン,係数_バス貨物_CNG,係数_バス貨物_軽油,係数_バス貨物_メタノール,係数_バス貨物_LPG),MATCH(AY1282+1,【参考】排出係数!$AI$4:$AI$671,1)-1,5,BE1282),3,FALSE),IF(OR(AW1282=1,AW1282=2),VLOOKUP(AU1282,INDEX((係数_乗用_ガソリン,係数_乗用_CNG,係数_乗用_軽油,係数_乗用_メタノール,係数_乗用_LPG),1,1,BE1282):INDEX((係数_乗用_ガソリン,係数_乗用_CNG,係数_乗用_軽油,係数_乗用_メタノール,係数_乗用_LPG),125,5,BE1282),3,FALSE))))))</f>
        <v/>
      </c>
      <c r="BC1282" s="467" t="str">
        <f t="shared" si="748"/>
        <v/>
      </c>
      <c r="BD1282" s="567" t="str">
        <f t="shared" si="749"/>
        <v/>
      </c>
      <c r="BE1282" s="467" t="str">
        <f t="shared" si="750"/>
        <v/>
      </c>
      <c r="BF1282" s="469" t="str">
        <f t="shared" ca="1" si="751"/>
        <v/>
      </c>
      <c r="BG1282" s="469" t="str">
        <f t="shared" ca="1" si="752"/>
        <v/>
      </c>
      <c r="BH1282" s="467" t="str">
        <f t="shared" si="753"/>
        <v/>
      </c>
      <c r="BI1282" s="467" t="str">
        <f t="shared" ca="1" si="754"/>
        <v/>
      </c>
      <c r="BJ1282" s="469" t="str">
        <f t="shared" si="755"/>
        <v/>
      </c>
      <c r="BK1282" s="470" t="str">
        <f t="shared" si="739"/>
        <v/>
      </c>
      <c r="BL1282" s="775" t="str">
        <f t="shared" si="756"/>
        <v/>
      </c>
      <c r="BM1282" s="775" t="str">
        <f t="shared" si="757"/>
        <v/>
      </c>
    </row>
    <row r="1283" spans="1:65">
      <c r="A1283" s="473">
        <v>1227</v>
      </c>
      <c r="B1283" s="132"/>
      <c r="C1283" s="332"/>
      <c r="D1283" s="333"/>
      <c r="E1283" s="333"/>
      <c r="F1283" s="334"/>
      <c r="G1283" s="337"/>
      <c r="H1283" s="131"/>
      <c r="I1283" s="337"/>
      <c r="J1283" s="131"/>
      <c r="K1283" s="458" t="str">
        <f t="shared" si="720"/>
        <v/>
      </c>
      <c r="L1283" s="458">
        <f t="shared" si="721"/>
        <v>0</v>
      </c>
      <c r="M1283" s="458">
        <f t="shared" si="722"/>
        <v>0</v>
      </c>
      <c r="N1283" s="459" t="str">
        <f t="shared" si="733"/>
        <v/>
      </c>
      <c r="O1283" s="459" t="str">
        <f t="shared" si="734"/>
        <v/>
      </c>
      <c r="P1283" s="459" t="str">
        <f t="shared" si="735"/>
        <v/>
      </c>
      <c r="Q1283" s="459" t="str">
        <f t="shared" si="736"/>
        <v/>
      </c>
      <c r="R1283" s="459" t="str">
        <f t="shared" si="737"/>
        <v/>
      </c>
      <c r="S1283" s="459" t="str">
        <f t="shared" si="738"/>
        <v/>
      </c>
      <c r="T1283" s="566" t="str">
        <f t="shared" si="723"/>
        <v/>
      </c>
      <c r="U1283" s="702"/>
      <c r="V1283" s="132"/>
      <c r="W1283" s="133"/>
      <c r="X1283" s="134"/>
      <c r="Y1283" s="135"/>
      <c r="Z1283" s="137"/>
      <c r="AA1283" s="136"/>
      <c r="AB1283" s="566" t="str">
        <f t="shared" si="724"/>
        <v/>
      </c>
      <c r="AC1283" s="568" t="str">
        <f t="shared" si="725"/>
        <v/>
      </c>
      <c r="AD1283" s="137"/>
      <c r="AE1283" s="137"/>
      <c r="AF1283" s="138"/>
      <c r="AG1283" s="138"/>
      <c r="AH1283" s="592" t="str">
        <f t="shared" si="726"/>
        <v/>
      </c>
      <c r="AI1283" s="592" t="str">
        <f t="shared" si="727"/>
        <v/>
      </c>
      <c r="AJ1283" s="592" t="str">
        <f t="shared" si="728"/>
        <v/>
      </c>
      <c r="AK1283" s="460" t="str">
        <f>IF(AU1283="","",IF(OR(AZ1283=8,AZ1283=9),0,IF(OR(AW1283=3,AW1283=4,AW1283=5,AW1283=6),IF(LEFT(BF1283,1)="1",INDEX(係数_NOX・PM低減,MATCH(AY1283,【参考】排出係数!$AI$801:$AI$804,1),1),VLOOKUP(AU1283,INDEX((係数_バス貨物_ガソリン,係数_バス貨物_CNG,係数_バス貨物_軽油,係数_バス貨物_メタノール,係数_バス貨物_LPG),MATCH(AY1283,【参考】排出係数!$AI$4:$AI$671,1),1,BE1283):INDEX((係数_バス貨物_ガソリン,係数_バス貨物_CNG,係数_バス貨物_軽油,係数_バス貨物_メタノール,係数_バス貨物_LPG),MATCH(AY1283+1,【参考】排出係数!$AI$4:$AI$671,1)-1,5,BE1283),4,FALSE)),IF(AND(BE1283=3,LEFT(BF1283,1)="1"),0.48,VLOOKUP(AU1283,INDEX((係数_乗用_ガソリン,係数_乗用_CNG,係数_乗用_軽油,係数_乗用_メタノール,係数_乗用_LPG),1,1,BE1283):INDEX((係数_乗用_ガソリン,係数_乗用_CNG,係数_乗用_軽油,係数_乗用_メタノール,係数_乗用_LPG),125,5,BE1283),4,FALSE)))))</f>
        <v/>
      </c>
      <c r="AL1283" s="461" t="str">
        <f t="shared" si="729"/>
        <v/>
      </c>
      <c r="AM1283" s="460" t="str">
        <f>IF(AU1283="","",IF(OR(AZ1283=8,AZ1283=9),0,IF(OR(AW1283=3,AW1283=4,AW1283=5,AW1283=6),IF(LEFT(BH1283,1)="1",INDEX(係数_PM低減,MATCH(AY1283,【参考】排出係数!$AI$801:$AI$804,1),MATCH(BI1283,【参考】排出係数!$AL$798:$AO$798,1)),VLOOKUP(AU1283,INDEX((係数_バス貨物_ガソリン,係数_バス貨物_CNG,係数_バス貨物_軽油,係数_バス貨物_メタノール,係数_バス貨物_LPG),MATCH(AY1283,【参考】排出係数!$AI$4:$AI$671,1),1,BE1283):INDEX((係数_バス貨物_ガソリン,係数_バス貨物_CNG,係数_バス貨物_軽油,係数_バス貨物_メタノール,係数_バス貨物_LPG),MATCH(AY1283+1,【参考】排出係数!$AI$4:$AI$671,1)-1,5,BE1283),5,FALSE)),IF(AND(BE1283=3,LEFT(BF1283,1)="1"),0.055,VLOOKUP(AU1283,INDEX((係数_乗用_ガソリン,係数_乗用_CNG,係数_乗用_軽油,係数_乗用_メタノール,係数_乗用_LPG),1,1,BE1283):INDEX((係数_乗用_ガソリン,係数_乗用_CNG,係数_乗用_軽油,係数_乗用_メタノール,係数_乗用_LPG),125,5,BE1283),5,FALSE)))))</f>
        <v/>
      </c>
      <c r="AN1283" s="461" t="str">
        <f t="shared" si="730"/>
        <v/>
      </c>
      <c r="AO1283" s="462" t="str">
        <f t="shared" si="731"/>
        <v/>
      </c>
      <c r="AP1283" s="463" t="str">
        <f t="shared" si="732"/>
        <v/>
      </c>
      <c r="AQ1283" s="464"/>
      <c r="AR1283" s="619"/>
      <c r="AS1283" s="465" t="str">
        <f t="shared" si="740"/>
        <v/>
      </c>
      <c r="AT1283" s="465" t="str">
        <f t="shared" si="741"/>
        <v/>
      </c>
      <c r="AU1283" s="466" t="str">
        <f t="shared" si="742"/>
        <v/>
      </c>
      <c r="AV1283" s="467" t="str">
        <f t="shared" si="743"/>
        <v/>
      </c>
      <c r="AW1283" s="467" t="str">
        <f t="shared" si="744"/>
        <v/>
      </c>
      <c r="AX1283" s="467" t="str">
        <f t="shared" si="745"/>
        <v/>
      </c>
      <c r="AY1283" s="467" t="str">
        <f t="shared" si="746"/>
        <v/>
      </c>
      <c r="AZ1283" s="467" t="str">
        <f t="shared" si="747"/>
        <v/>
      </c>
      <c r="BA1283" s="468" t="str">
        <f>IF(AS1283="","",IF(OR(AU1283="",AU1283="-"),"－",IF(OR(AZ1283=8,AZ1283=9),"",IF(OR(AW1283=3,AW1283=4,AW1283=5,AW1283=6),VLOOKUP(AU1283,INDEX((係数_バス貨物_ガソリン,係数_バス貨物_CNG,係数_バス貨物_軽油,係数_バス貨物_メタノール,係数_バス貨物_LPG),MATCH(AY1283,【参考】排出係数!$AI$4:$AI$671,1),1,BE1283):INDEX((係数_バス貨物_ガソリン,係数_バス貨物_CNG,係数_バス貨物_軽油,係数_バス貨物_メタノール,係数_バス貨物_LPG),MATCH(AY1283+1,【参考】排出係数!$AI$4:$AI$671,1)-1,5,BE1283),2,FALSE),IF(OR(AW1283=1,AW1283=2),VLOOKUP(AU1283,INDEX((係数_乗用_ガソリン,係数_乗用_CNG,係数_乗用_軽油,係数_乗用_メタノール,係数_乗用_LPG),1,1,BE1283):INDEX((係数_乗用_ガソリン,係数_乗用_CNG,係数_乗用_軽油,係数_乗用_メタノール,係数_乗用_LPG),125,5,BE1283),2,FALSE))))))</f>
        <v/>
      </c>
      <c r="BB1283" s="468" t="str">
        <f>IF(T1283="","",IF(OR(AU1283="",AU1283="-"),"－",IF(OR(AZ1283=8,AZ1283=9),"",IF(OR(AW1283=3,AW1283=4,AW1283=5,AW1283=6),VLOOKUP(AU1283,INDEX((係数_バス貨物_ガソリン,係数_バス貨物_CNG,係数_バス貨物_軽油,係数_バス貨物_メタノール,係数_バス貨物_LPG),MATCH(AY1283,【参考】排出係数!$AI$4:$AI$671,1),1,BE1283):INDEX((係数_バス貨物_ガソリン,係数_バス貨物_CNG,係数_バス貨物_軽油,係数_バス貨物_メタノール,係数_バス貨物_LPG),MATCH(AY1283+1,【参考】排出係数!$AI$4:$AI$671,1)-1,5,BE1283),3,FALSE),IF(OR(AW1283=1,AW1283=2),VLOOKUP(AU1283,INDEX((係数_乗用_ガソリン,係数_乗用_CNG,係数_乗用_軽油,係数_乗用_メタノール,係数_乗用_LPG),1,1,BE1283):INDEX((係数_乗用_ガソリン,係数_乗用_CNG,係数_乗用_軽油,係数_乗用_メタノール,係数_乗用_LPG),125,5,BE1283),3,FALSE))))))</f>
        <v/>
      </c>
      <c r="BC1283" s="467" t="str">
        <f t="shared" si="748"/>
        <v/>
      </c>
      <c r="BD1283" s="567" t="str">
        <f t="shared" si="749"/>
        <v/>
      </c>
      <c r="BE1283" s="467" t="str">
        <f t="shared" si="750"/>
        <v/>
      </c>
      <c r="BF1283" s="469" t="str">
        <f t="shared" ca="1" si="751"/>
        <v/>
      </c>
      <c r="BG1283" s="469" t="str">
        <f t="shared" ca="1" si="752"/>
        <v/>
      </c>
      <c r="BH1283" s="467" t="str">
        <f t="shared" si="753"/>
        <v/>
      </c>
      <c r="BI1283" s="467" t="str">
        <f t="shared" ca="1" si="754"/>
        <v/>
      </c>
      <c r="BJ1283" s="469" t="str">
        <f t="shared" si="755"/>
        <v/>
      </c>
      <c r="BK1283" s="470" t="str">
        <f t="shared" si="739"/>
        <v/>
      </c>
      <c r="BL1283" s="775" t="str">
        <f t="shared" si="756"/>
        <v/>
      </c>
      <c r="BM1283" s="775" t="str">
        <f t="shared" si="757"/>
        <v/>
      </c>
    </row>
    <row r="1284" spans="1:65">
      <c r="A1284" s="473">
        <v>1228</v>
      </c>
      <c r="B1284" s="132"/>
      <c r="C1284" s="332"/>
      <c r="D1284" s="333"/>
      <c r="E1284" s="333"/>
      <c r="F1284" s="334"/>
      <c r="G1284" s="337"/>
      <c r="H1284" s="131"/>
      <c r="I1284" s="337"/>
      <c r="J1284" s="131"/>
      <c r="K1284" s="458" t="str">
        <f t="shared" si="720"/>
        <v/>
      </c>
      <c r="L1284" s="458">
        <f t="shared" si="721"/>
        <v>0</v>
      </c>
      <c r="M1284" s="458">
        <f t="shared" si="722"/>
        <v>0</v>
      </c>
      <c r="N1284" s="459" t="str">
        <f t="shared" si="733"/>
        <v/>
      </c>
      <c r="O1284" s="459" t="str">
        <f t="shared" si="734"/>
        <v/>
      </c>
      <c r="P1284" s="459" t="str">
        <f t="shared" si="735"/>
        <v/>
      </c>
      <c r="Q1284" s="459" t="str">
        <f t="shared" si="736"/>
        <v/>
      </c>
      <c r="R1284" s="459" t="str">
        <f t="shared" si="737"/>
        <v/>
      </c>
      <c r="S1284" s="459" t="str">
        <f t="shared" si="738"/>
        <v/>
      </c>
      <c r="T1284" s="566" t="str">
        <f t="shared" si="723"/>
        <v/>
      </c>
      <c r="U1284" s="702"/>
      <c r="V1284" s="132"/>
      <c r="W1284" s="133"/>
      <c r="X1284" s="134"/>
      <c r="Y1284" s="135"/>
      <c r="Z1284" s="137"/>
      <c r="AA1284" s="136"/>
      <c r="AB1284" s="566" t="str">
        <f t="shared" si="724"/>
        <v/>
      </c>
      <c r="AC1284" s="568" t="str">
        <f t="shared" si="725"/>
        <v/>
      </c>
      <c r="AD1284" s="137"/>
      <c r="AE1284" s="137"/>
      <c r="AF1284" s="138"/>
      <c r="AG1284" s="138"/>
      <c r="AH1284" s="592" t="str">
        <f t="shared" si="726"/>
        <v/>
      </c>
      <c r="AI1284" s="592" t="str">
        <f t="shared" si="727"/>
        <v/>
      </c>
      <c r="AJ1284" s="592" t="str">
        <f t="shared" si="728"/>
        <v/>
      </c>
      <c r="AK1284" s="460" t="str">
        <f>IF(AU1284="","",IF(OR(AZ1284=8,AZ1284=9),0,IF(OR(AW1284=3,AW1284=4,AW1284=5,AW1284=6),IF(LEFT(BF1284,1)="1",INDEX(係数_NOX・PM低減,MATCH(AY1284,【参考】排出係数!$AI$801:$AI$804,1),1),VLOOKUP(AU1284,INDEX((係数_バス貨物_ガソリン,係数_バス貨物_CNG,係数_バス貨物_軽油,係数_バス貨物_メタノール,係数_バス貨物_LPG),MATCH(AY1284,【参考】排出係数!$AI$4:$AI$671,1),1,BE1284):INDEX((係数_バス貨物_ガソリン,係数_バス貨物_CNG,係数_バス貨物_軽油,係数_バス貨物_メタノール,係数_バス貨物_LPG),MATCH(AY1284+1,【参考】排出係数!$AI$4:$AI$671,1)-1,5,BE1284),4,FALSE)),IF(AND(BE1284=3,LEFT(BF1284,1)="1"),0.48,VLOOKUP(AU1284,INDEX((係数_乗用_ガソリン,係数_乗用_CNG,係数_乗用_軽油,係数_乗用_メタノール,係数_乗用_LPG),1,1,BE1284):INDEX((係数_乗用_ガソリン,係数_乗用_CNG,係数_乗用_軽油,係数_乗用_メタノール,係数_乗用_LPG),125,5,BE1284),4,FALSE)))))</f>
        <v/>
      </c>
      <c r="AL1284" s="461" t="str">
        <f t="shared" si="729"/>
        <v/>
      </c>
      <c r="AM1284" s="460" t="str">
        <f>IF(AU1284="","",IF(OR(AZ1284=8,AZ1284=9),0,IF(OR(AW1284=3,AW1284=4,AW1284=5,AW1284=6),IF(LEFT(BH1284,1)="1",INDEX(係数_PM低減,MATCH(AY1284,【参考】排出係数!$AI$801:$AI$804,1),MATCH(BI1284,【参考】排出係数!$AL$798:$AO$798,1)),VLOOKUP(AU1284,INDEX((係数_バス貨物_ガソリン,係数_バス貨物_CNG,係数_バス貨物_軽油,係数_バス貨物_メタノール,係数_バス貨物_LPG),MATCH(AY1284,【参考】排出係数!$AI$4:$AI$671,1),1,BE1284):INDEX((係数_バス貨物_ガソリン,係数_バス貨物_CNG,係数_バス貨物_軽油,係数_バス貨物_メタノール,係数_バス貨物_LPG),MATCH(AY1284+1,【参考】排出係数!$AI$4:$AI$671,1)-1,5,BE1284),5,FALSE)),IF(AND(BE1284=3,LEFT(BF1284,1)="1"),0.055,VLOOKUP(AU1284,INDEX((係数_乗用_ガソリン,係数_乗用_CNG,係数_乗用_軽油,係数_乗用_メタノール,係数_乗用_LPG),1,1,BE1284):INDEX((係数_乗用_ガソリン,係数_乗用_CNG,係数_乗用_軽油,係数_乗用_メタノール,係数_乗用_LPG),125,5,BE1284),5,FALSE)))))</f>
        <v/>
      </c>
      <c r="AN1284" s="461" t="str">
        <f t="shared" si="730"/>
        <v/>
      </c>
      <c r="AO1284" s="462" t="str">
        <f t="shared" si="731"/>
        <v/>
      </c>
      <c r="AP1284" s="463" t="str">
        <f t="shared" si="732"/>
        <v/>
      </c>
      <c r="AQ1284" s="464"/>
      <c r="AR1284" s="619"/>
      <c r="AS1284" s="465" t="str">
        <f t="shared" si="740"/>
        <v/>
      </c>
      <c r="AT1284" s="465" t="str">
        <f t="shared" si="741"/>
        <v/>
      </c>
      <c r="AU1284" s="466" t="str">
        <f t="shared" si="742"/>
        <v/>
      </c>
      <c r="AV1284" s="467" t="str">
        <f t="shared" si="743"/>
        <v/>
      </c>
      <c r="AW1284" s="467" t="str">
        <f t="shared" si="744"/>
        <v/>
      </c>
      <c r="AX1284" s="467" t="str">
        <f t="shared" si="745"/>
        <v/>
      </c>
      <c r="AY1284" s="467" t="str">
        <f t="shared" si="746"/>
        <v/>
      </c>
      <c r="AZ1284" s="467" t="str">
        <f t="shared" si="747"/>
        <v/>
      </c>
      <c r="BA1284" s="468" t="str">
        <f>IF(AS1284="","",IF(OR(AU1284="",AU1284="-"),"－",IF(OR(AZ1284=8,AZ1284=9),"",IF(OR(AW1284=3,AW1284=4,AW1284=5,AW1284=6),VLOOKUP(AU1284,INDEX((係数_バス貨物_ガソリン,係数_バス貨物_CNG,係数_バス貨物_軽油,係数_バス貨物_メタノール,係数_バス貨物_LPG),MATCH(AY1284,【参考】排出係数!$AI$4:$AI$671,1),1,BE1284):INDEX((係数_バス貨物_ガソリン,係数_バス貨物_CNG,係数_バス貨物_軽油,係数_バス貨物_メタノール,係数_バス貨物_LPG),MATCH(AY1284+1,【参考】排出係数!$AI$4:$AI$671,1)-1,5,BE1284),2,FALSE),IF(OR(AW1284=1,AW1284=2),VLOOKUP(AU1284,INDEX((係数_乗用_ガソリン,係数_乗用_CNG,係数_乗用_軽油,係数_乗用_メタノール,係数_乗用_LPG),1,1,BE1284):INDEX((係数_乗用_ガソリン,係数_乗用_CNG,係数_乗用_軽油,係数_乗用_メタノール,係数_乗用_LPG),125,5,BE1284),2,FALSE))))))</f>
        <v/>
      </c>
      <c r="BB1284" s="468" t="str">
        <f>IF(T1284="","",IF(OR(AU1284="",AU1284="-"),"－",IF(OR(AZ1284=8,AZ1284=9),"",IF(OR(AW1284=3,AW1284=4,AW1284=5,AW1284=6),VLOOKUP(AU1284,INDEX((係数_バス貨物_ガソリン,係数_バス貨物_CNG,係数_バス貨物_軽油,係数_バス貨物_メタノール,係数_バス貨物_LPG),MATCH(AY1284,【参考】排出係数!$AI$4:$AI$671,1),1,BE1284):INDEX((係数_バス貨物_ガソリン,係数_バス貨物_CNG,係数_バス貨物_軽油,係数_バス貨物_メタノール,係数_バス貨物_LPG),MATCH(AY1284+1,【参考】排出係数!$AI$4:$AI$671,1)-1,5,BE1284),3,FALSE),IF(OR(AW1284=1,AW1284=2),VLOOKUP(AU1284,INDEX((係数_乗用_ガソリン,係数_乗用_CNG,係数_乗用_軽油,係数_乗用_メタノール,係数_乗用_LPG),1,1,BE1284):INDEX((係数_乗用_ガソリン,係数_乗用_CNG,係数_乗用_軽油,係数_乗用_メタノール,係数_乗用_LPG),125,5,BE1284),3,FALSE))))))</f>
        <v/>
      </c>
      <c r="BC1284" s="467" t="str">
        <f t="shared" si="748"/>
        <v/>
      </c>
      <c r="BD1284" s="567" t="str">
        <f t="shared" si="749"/>
        <v/>
      </c>
      <c r="BE1284" s="467" t="str">
        <f t="shared" si="750"/>
        <v/>
      </c>
      <c r="BF1284" s="469" t="str">
        <f t="shared" ca="1" si="751"/>
        <v/>
      </c>
      <c r="BG1284" s="469" t="str">
        <f t="shared" ca="1" si="752"/>
        <v/>
      </c>
      <c r="BH1284" s="467" t="str">
        <f t="shared" si="753"/>
        <v/>
      </c>
      <c r="BI1284" s="467" t="str">
        <f t="shared" ca="1" si="754"/>
        <v/>
      </c>
      <c r="BJ1284" s="469" t="str">
        <f t="shared" si="755"/>
        <v/>
      </c>
      <c r="BK1284" s="470" t="str">
        <f t="shared" si="739"/>
        <v/>
      </c>
      <c r="BL1284" s="775" t="str">
        <f t="shared" si="756"/>
        <v/>
      </c>
      <c r="BM1284" s="775" t="str">
        <f t="shared" si="757"/>
        <v/>
      </c>
    </row>
    <row r="1285" spans="1:65">
      <c r="A1285" s="473">
        <v>1229</v>
      </c>
      <c r="B1285" s="132"/>
      <c r="C1285" s="332"/>
      <c r="D1285" s="333"/>
      <c r="E1285" s="333"/>
      <c r="F1285" s="334"/>
      <c r="G1285" s="337"/>
      <c r="H1285" s="131"/>
      <c r="I1285" s="337"/>
      <c r="J1285" s="131"/>
      <c r="K1285" s="458" t="str">
        <f t="shared" si="720"/>
        <v/>
      </c>
      <c r="L1285" s="458">
        <f t="shared" si="721"/>
        <v>0</v>
      </c>
      <c r="M1285" s="458">
        <f t="shared" si="722"/>
        <v>0</v>
      </c>
      <c r="N1285" s="459" t="str">
        <f t="shared" si="733"/>
        <v/>
      </c>
      <c r="O1285" s="459" t="str">
        <f t="shared" si="734"/>
        <v/>
      </c>
      <c r="P1285" s="459" t="str">
        <f t="shared" si="735"/>
        <v/>
      </c>
      <c r="Q1285" s="459" t="str">
        <f t="shared" si="736"/>
        <v/>
      </c>
      <c r="R1285" s="459" t="str">
        <f t="shared" si="737"/>
        <v/>
      </c>
      <c r="S1285" s="459" t="str">
        <f t="shared" si="738"/>
        <v/>
      </c>
      <c r="T1285" s="566" t="str">
        <f t="shared" si="723"/>
        <v/>
      </c>
      <c r="U1285" s="702"/>
      <c r="V1285" s="132"/>
      <c r="W1285" s="133"/>
      <c r="X1285" s="134"/>
      <c r="Y1285" s="135"/>
      <c r="Z1285" s="137"/>
      <c r="AA1285" s="136"/>
      <c r="AB1285" s="566" t="str">
        <f t="shared" si="724"/>
        <v/>
      </c>
      <c r="AC1285" s="568" t="str">
        <f t="shared" si="725"/>
        <v/>
      </c>
      <c r="AD1285" s="137"/>
      <c r="AE1285" s="137"/>
      <c r="AF1285" s="138"/>
      <c r="AG1285" s="138"/>
      <c r="AH1285" s="592" t="str">
        <f t="shared" si="726"/>
        <v/>
      </c>
      <c r="AI1285" s="592" t="str">
        <f t="shared" si="727"/>
        <v/>
      </c>
      <c r="AJ1285" s="592" t="str">
        <f t="shared" si="728"/>
        <v/>
      </c>
      <c r="AK1285" s="460" t="str">
        <f>IF(AU1285="","",IF(OR(AZ1285=8,AZ1285=9),0,IF(OR(AW1285=3,AW1285=4,AW1285=5,AW1285=6),IF(LEFT(BF1285,1)="1",INDEX(係数_NOX・PM低減,MATCH(AY1285,【参考】排出係数!$AI$801:$AI$804,1),1),VLOOKUP(AU1285,INDEX((係数_バス貨物_ガソリン,係数_バス貨物_CNG,係数_バス貨物_軽油,係数_バス貨物_メタノール,係数_バス貨物_LPG),MATCH(AY1285,【参考】排出係数!$AI$4:$AI$671,1),1,BE1285):INDEX((係数_バス貨物_ガソリン,係数_バス貨物_CNG,係数_バス貨物_軽油,係数_バス貨物_メタノール,係数_バス貨物_LPG),MATCH(AY1285+1,【参考】排出係数!$AI$4:$AI$671,1)-1,5,BE1285),4,FALSE)),IF(AND(BE1285=3,LEFT(BF1285,1)="1"),0.48,VLOOKUP(AU1285,INDEX((係数_乗用_ガソリン,係数_乗用_CNG,係数_乗用_軽油,係数_乗用_メタノール,係数_乗用_LPG),1,1,BE1285):INDEX((係数_乗用_ガソリン,係数_乗用_CNG,係数_乗用_軽油,係数_乗用_メタノール,係数_乗用_LPG),125,5,BE1285),4,FALSE)))))</f>
        <v/>
      </c>
      <c r="AL1285" s="461" t="str">
        <f t="shared" si="729"/>
        <v/>
      </c>
      <c r="AM1285" s="460" t="str">
        <f>IF(AU1285="","",IF(OR(AZ1285=8,AZ1285=9),0,IF(OR(AW1285=3,AW1285=4,AW1285=5,AW1285=6),IF(LEFT(BH1285,1)="1",INDEX(係数_PM低減,MATCH(AY1285,【参考】排出係数!$AI$801:$AI$804,1),MATCH(BI1285,【参考】排出係数!$AL$798:$AO$798,1)),VLOOKUP(AU1285,INDEX((係数_バス貨物_ガソリン,係数_バス貨物_CNG,係数_バス貨物_軽油,係数_バス貨物_メタノール,係数_バス貨物_LPG),MATCH(AY1285,【参考】排出係数!$AI$4:$AI$671,1),1,BE1285):INDEX((係数_バス貨物_ガソリン,係数_バス貨物_CNG,係数_バス貨物_軽油,係数_バス貨物_メタノール,係数_バス貨物_LPG),MATCH(AY1285+1,【参考】排出係数!$AI$4:$AI$671,1)-1,5,BE1285),5,FALSE)),IF(AND(BE1285=3,LEFT(BF1285,1)="1"),0.055,VLOOKUP(AU1285,INDEX((係数_乗用_ガソリン,係数_乗用_CNG,係数_乗用_軽油,係数_乗用_メタノール,係数_乗用_LPG),1,1,BE1285):INDEX((係数_乗用_ガソリン,係数_乗用_CNG,係数_乗用_軽油,係数_乗用_メタノール,係数_乗用_LPG),125,5,BE1285),5,FALSE)))))</f>
        <v/>
      </c>
      <c r="AN1285" s="461" t="str">
        <f t="shared" si="730"/>
        <v/>
      </c>
      <c r="AO1285" s="462" t="str">
        <f t="shared" si="731"/>
        <v/>
      </c>
      <c r="AP1285" s="463" t="str">
        <f t="shared" si="732"/>
        <v/>
      </c>
      <c r="AQ1285" s="464"/>
      <c r="AR1285" s="619"/>
      <c r="AS1285" s="465" t="str">
        <f t="shared" si="740"/>
        <v/>
      </c>
      <c r="AT1285" s="465" t="str">
        <f t="shared" si="741"/>
        <v/>
      </c>
      <c r="AU1285" s="466" t="str">
        <f t="shared" si="742"/>
        <v/>
      </c>
      <c r="AV1285" s="467" t="str">
        <f t="shared" si="743"/>
        <v/>
      </c>
      <c r="AW1285" s="467" t="str">
        <f t="shared" si="744"/>
        <v/>
      </c>
      <c r="AX1285" s="467" t="str">
        <f t="shared" si="745"/>
        <v/>
      </c>
      <c r="AY1285" s="467" t="str">
        <f t="shared" si="746"/>
        <v/>
      </c>
      <c r="AZ1285" s="467" t="str">
        <f t="shared" si="747"/>
        <v/>
      </c>
      <c r="BA1285" s="468" t="str">
        <f>IF(AS1285="","",IF(OR(AU1285="",AU1285="-"),"－",IF(OR(AZ1285=8,AZ1285=9),"",IF(OR(AW1285=3,AW1285=4,AW1285=5,AW1285=6),VLOOKUP(AU1285,INDEX((係数_バス貨物_ガソリン,係数_バス貨物_CNG,係数_バス貨物_軽油,係数_バス貨物_メタノール,係数_バス貨物_LPG),MATCH(AY1285,【参考】排出係数!$AI$4:$AI$671,1),1,BE1285):INDEX((係数_バス貨物_ガソリン,係数_バス貨物_CNG,係数_バス貨物_軽油,係数_バス貨物_メタノール,係数_バス貨物_LPG),MATCH(AY1285+1,【参考】排出係数!$AI$4:$AI$671,1)-1,5,BE1285),2,FALSE),IF(OR(AW1285=1,AW1285=2),VLOOKUP(AU1285,INDEX((係数_乗用_ガソリン,係数_乗用_CNG,係数_乗用_軽油,係数_乗用_メタノール,係数_乗用_LPG),1,1,BE1285):INDEX((係数_乗用_ガソリン,係数_乗用_CNG,係数_乗用_軽油,係数_乗用_メタノール,係数_乗用_LPG),125,5,BE1285),2,FALSE))))))</f>
        <v/>
      </c>
      <c r="BB1285" s="468" t="str">
        <f>IF(T1285="","",IF(OR(AU1285="",AU1285="-"),"－",IF(OR(AZ1285=8,AZ1285=9),"",IF(OR(AW1285=3,AW1285=4,AW1285=5,AW1285=6),VLOOKUP(AU1285,INDEX((係数_バス貨物_ガソリン,係数_バス貨物_CNG,係数_バス貨物_軽油,係数_バス貨物_メタノール,係数_バス貨物_LPG),MATCH(AY1285,【参考】排出係数!$AI$4:$AI$671,1),1,BE1285):INDEX((係数_バス貨物_ガソリン,係数_バス貨物_CNG,係数_バス貨物_軽油,係数_バス貨物_メタノール,係数_バス貨物_LPG),MATCH(AY1285+1,【参考】排出係数!$AI$4:$AI$671,1)-1,5,BE1285),3,FALSE),IF(OR(AW1285=1,AW1285=2),VLOOKUP(AU1285,INDEX((係数_乗用_ガソリン,係数_乗用_CNG,係数_乗用_軽油,係数_乗用_メタノール,係数_乗用_LPG),1,1,BE1285):INDEX((係数_乗用_ガソリン,係数_乗用_CNG,係数_乗用_軽油,係数_乗用_メタノール,係数_乗用_LPG),125,5,BE1285),3,FALSE))))))</f>
        <v/>
      </c>
      <c r="BC1285" s="467" t="str">
        <f t="shared" si="748"/>
        <v/>
      </c>
      <c r="BD1285" s="567" t="str">
        <f t="shared" si="749"/>
        <v/>
      </c>
      <c r="BE1285" s="467" t="str">
        <f t="shared" si="750"/>
        <v/>
      </c>
      <c r="BF1285" s="469" t="str">
        <f t="shared" ca="1" si="751"/>
        <v/>
      </c>
      <c r="BG1285" s="469" t="str">
        <f t="shared" ca="1" si="752"/>
        <v/>
      </c>
      <c r="BH1285" s="467" t="str">
        <f t="shared" si="753"/>
        <v/>
      </c>
      <c r="BI1285" s="467" t="str">
        <f t="shared" ca="1" si="754"/>
        <v/>
      </c>
      <c r="BJ1285" s="469" t="str">
        <f t="shared" si="755"/>
        <v/>
      </c>
      <c r="BK1285" s="470" t="str">
        <f t="shared" si="739"/>
        <v/>
      </c>
      <c r="BL1285" s="775" t="str">
        <f t="shared" si="756"/>
        <v/>
      </c>
      <c r="BM1285" s="775" t="str">
        <f t="shared" si="757"/>
        <v/>
      </c>
    </row>
    <row r="1286" spans="1:65">
      <c r="A1286" s="473">
        <v>1230</v>
      </c>
      <c r="B1286" s="132"/>
      <c r="C1286" s="332"/>
      <c r="D1286" s="333"/>
      <c r="E1286" s="333"/>
      <c r="F1286" s="334"/>
      <c r="G1286" s="337"/>
      <c r="H1286" s="131"/>
      <c r="I1286" s="337"/>
      <c r="J1286" s="131"/>
      <c r="K1286" s="458" t="str">
        <f t="shared" si="720"/>
        <v/>
      </c>
      <c r="L1286" s="458">
        <f t="shared" si="721"/>
        <v>0</v>
      </c>
      <c r="M1286" s="458">
        <f t="shared" si="722"/>
        <v>0</v>
      </c>
      <c r="N1286" s="459" t="str">
        <f t="shared" si="733"/>
        <v/>
      </c>
      <c r="O1286" s="459" t="str">
        <f t="shared" si="734"/>
        <v/>
      </c>
      <c r="P1286" s="459" t="str">
        <f t="shared" si="735"/>
        <v/>
      </c>
      <c r="Q1286" s="459" t="str">
        <f t="shared" si="736"/>
        <v/>
      </c>
      <c r="R1286" s="459" t="str">
        <f t="shared" si="737"/>
        <v/>
      </c>
      <c r="S1286" s="459" t="str">
        <f t="shared" si="738"/>
        <v/>
      </c>
      <c r="T1286" s="566" t="str">
        <f t="shared" si="723"/>
        <v/>
      </c>
      <c r="U1286" s="702"/>
      <c r="V1286" s="132"/>
      <c r="W1286" s="133"/>
      <c r="X1286" s="134"/>
      <c r="Y1286" s="135"/>
      <c r="Z1286" s="137"/>
      <c r="AA1286" s="136"/>
      <c r="AB1286" s="566" t="str">
        <f t="shared" si="724"/>
        <v/>
      </c>
      <c r="AC1286" s="568" t="str">
        <f t="shared" si="725"/>
        <v/>
      </c>
      <c r="AD1286" s="137"/>
      <c r="AE1286" s="137"/>
      <c r="AF1286" s="138"/>
      <c r="AG1286" s="138"/>
      <c r="AH1286" s="592" t="str">
        <f t="shared" si="726"/>
        <v/>
      </c>
      <c r="AI1286" s="592" t="str">
        <f t="shared" si="727"/>
        <v/>
      </c>
      <c r="AJ1286" s="592" t="str">
        <f t="shared" si="728"/>
        <v/>
      </c>
      <c r="AK1286" s="460" t="str">
        <f>IF(AU1286="","",IF(OR(AZ1286=8,AZ1286=9),0,IF(OR(AW1286=3,AW1286=4,AW1286=5,AW1286=6),IF(LEFT(BF1286,1)="1",INDEX(係数_NOX・PM低減,MATCH(AY1286,【参考】排出係数!$AI$801:$AI$804,1),1),VLOOKUP(AU1286,INDEX((係数_バス貨物_ガソリン,係数_バス貨物_CNG,係数_バス貨物_軽油,係数_バス貨物_メタノール,係数_バス貨物_LPG),MATCH(AY1286,【参考】排出係数!$AI$4:$AI$671,1),1,BE1286):INDEX((係数_バス貨物_ガソリン,係数_バス貨物_CNG,係数_バス貨物_軽油,係数_バス貨物_メタノール,係数_バス貨物_LPG),MATCH(AY1286+1,【参考】排出係数!$AI$4:$AI$671,1)-1,5,BE1286),4,FALSE)),IF(AND(BE1286=3,LEFT(BF1286,1)="1"),0.48,VLOOKUP(AU1286,INDEX((係数_乗用_ガソリン,係数_乗用_CNG,係数_乗用_軽油,係数_乗用_メタノール,係数_乗用_LPG),1,1,BE1286):INDEX((係数_乗用_ガソリン,係数_乗用_CNG,係数_乗用_軽油,係数_乗用_メタノール,係数_乗用_LPG),125,5,BE1286),4,FALSE)))))</f>
        <v/>
      </c>
      <c r="AL1286" s="461" t="str">
        <f t="shared" si="729"/>
        <v/>
      </c>
      <c r="AM1286" s="460" t="str">
        <f>IF(AU1286="","",IF(OR(AZ1286=8,AZ1286=9),0,IF(OR(AW1286=3,AW1286=4,AW1286=5,AW1286=6),IF(LEFT(BH1286,1)="1",INDEX(係数_PM低減,MATCH(AY1286,【参考】排出係数!$AI$801:$AI$804,1),MATCH(BI1286,【参考】排出係数!$AL$798:$AO$798,1)),VLOOKUP(AU1286,INDEX((係数_バス貨物_ガソリン,係数_バス貨物_CNG,係数_バス貨物_軽油,係数_バス貨物_メタノール,係数_バス貨物_LPG),MATCH(AY1286,【参考】排出係数!$AI$4:$AI$671,1),1,BE1286):INDEX((係数_バス貨物_ガソリン,係数_バス貨物_CNG,係数_バス貨物_軽油,係数_バス貨物_メタノール,係数_バス貨物_LPG),MATCH(AY1286+1,【参考】排出係数!$AI$4:$AI$671,1)-1,5,BE1286),5,FALSE)),IF(AND(BE1286=3,LEFT(BF1286,1)="1"),0.055,VLOOKUP(AU1286,INDEX((係数_乗用_ガソリン,係数_乗用_CNG,係数_乗用_軽油,係数_乗用_メタノール,係数_乗用_LPG),1,1,BE1286):INDEX((係数_乗用_ガソリン,係数_乗用_CNG,係数_乗用_軽油,係数_乗用_メタノール,係数_乗用_LPG),125,5,BE1286),5,FALSE)))))</f>
        <v/>
      </c>
      <c r="AN1286" s="461" t="str">
        <f t="shared" si="730"/>
        <v/>
      </c>
      <c r="AO1286" s="462" t="str">
        <f t="shared" si="731"/>
        <v/>
      </c>
      <c r="AP1286" s="463" t="str">
        <f t="shared" si="732"/>
        <v/>
      </c>
      <c r="AQ1286" s="464"/>
      <c r="AR1286" s="619"/>
      <c r="AS1286" s="465" t="str">
        <f t="shared" si="740"/>
        <v/>
      </c>
      <c r="AT1286" s="465" t="str">
        <f t="shared" si="741"/>
        <v/>
      </c>
      <c r="AU1286" s="466" t="str">
        <f t="shared" si="742"/>
        <v/>
      </c>
      <c r="AV1286" s="467" t="str">
        <f t="shared" si="743"/>
        <v/>
      </c>
      <c r="AW1286" s="467" t="str">
        <f t="shared" si="744"/>
        <v/>
      </c>
      <c r="AX1286" s="467" t="str">
        <f t="shared" si="745"/>
        <v/>
      </c>
      <c r="AY1286" s="467" t="str">
        <f t="shared" si="746"/>
        <v/>
      </c>
      <c r="AZ1286" s="467" t="str">
        <f t="shared" si="747"/>
        <v/>
      </c>
      <c r="BA1286" s="468" t="str">
        <f>IF(AS1286="","",IF(OR(AU1286="",AU1286="-"),"－",IF(OR(AZ1286=8,AZ1286=9),"",IF(OR(AW1286=3,AW1286=4,AW1286=5,AW1286=6),VLOOKUP(AU1286,INDEX((係数_バス貨物_ガソリン,係数_バス貨物_CNG,係数_バス貨物_軽油,係数_バス貨物_メタノール,係数_バス貨物_LPG),MATCH(AY1286,【参考】排出係数!$AI$4:$AI$671,1),1,BE1286):INDEX((係数_バス貨物_ガソリン,係数_バス貨物_CNG,係数_バス貨物_軽油,係数_バス貨物_メタノール,係数_バス貨物_LPG),MATCH(AY1286+1,【参考】排出係数!$AI$4:$AI$671,1)-1,5,BE1286),2,FALSE),IF(OR(AW1286=1,AW1286=2),VLOOKUP(AU1286,INDEX((係数_乗用_ガソリン,係数_乗用_CNG,係数_乗用_軽油,係数_乗用_メタノール,係数_乗用_LPG),1,1,BE1286):INDEX((係数_乗用_ガソリン,係数_乗用_CNG,係数_乗用_軽油,係数_乗用_メタノール,係数_乗用_LPG),125,5,BE1286),2,FALSE))))))</f>
        <v/>
      </c>
      <c r="BB1286" s="468" t="str">
        <f>IF(T1286="","",IF(OR(AU1286="",AU1286="-"),"－",IF(OR(AZ1286=8,AZ1286=9),"",IF(OR(AW1286=3,AW1286=4,AW1286=5,AW1286=6),VLOOKUP(AU1286,INDEX((係数_バス貨物_ガソリン,係数_バス貨物_CNG,係数_バス貨物_軽油,係数_バス貨物_メタノール,係数_バス貨物_LPG),MATCH(AY1286,【参考】排出係数!$AI$4:$AI$671,1),1,BE1286):INDEX((係数_バス貨物_ガソリン,係数_バス貨物_CNG,係数_バス貨物_軽油,係数_バス貨物_メタノール,係数_バス貨物_LPG),MATCH(AY1286+1,【参考】排出係数!$AI$4:$AI$671,1)-1,5,BE1286),3,FALSE),IF(OR(AW1286=1,AW1286=2),VLOOKUP(AU1286,INDEX((係数_乗用_ガソリン,係数_乗用_CNG,係数_乗用_軽油,係数_乗用_メタノール,係数_乗用_LPG),1,1,BE1286):INDEX((係数_乗用_ガソリン,係数_乗用_CNG,係数_乗用_軽油,係数_乗用_メタノール,係数_乗用_LPG),125,5,BE1286),3,FALSE))))))</f>
        <v/>
      </c>
      <c r="BC1286" s="467" t="str">
        <f t="shared" si="748"/>
        <v/>
      </c>
      <c r="BD1286" s="567" t="str">
        <f t="shared" si="749"/>
        <v/>
      </c>
      <c r="BE1286" s="467" t="str">
        <f t="shared" si="750"/>
        <v/>
      </c>
      <c r="BF1286" s="469" t="str">
        <f t="shared" ca="1" si="751"/>
        <v/>
      </c>
      <c r="BG1286" s="469" t="str">
        <f t="shared" ca="1" si="752"/>
        <v/>
      </c>
      <c r="BH1286" s="467" t="str">
        <f t="shared" si="753"/>
        <v/>
      </c>
      <c r="BI1286" s="467" t="str">
        <f t="shared" ca="1" si="754"/>
        <v/>
      </c>
      <c r="BJ1286" s="469" t="str">
        <f t="shared" si="755"/>
        <v/>
      </c>
      <c r="BK1286" s="470" t="str">
        <f t="shared" si="739"/>
        <v/>
      </c>
      <c r="BL1286" s="775" t="str">
        <f t="shared" si="756"/>
        <v/>
      </c>
      <c r="BM1286" s="775" t="str">
        <f t="shared" si="757"/>
        <v/>
      </c>
    </row>
    <row r="1287" spans="1:65">
      <c r="A1287" s="473">
        <v>1231</v>
      </c>
      <c r="B1287" s="132"/>
      <c r="C1287" s="332"/>
      <c r="D1287" s="333"/>
      <c r="E1287" s="333"/>
      <c r="F1287" s="334"/>
      <c r="G1287" s="337"/>
      <c r="H1287" s="131"/>
      <c r="I1287" s="337"/>
      <c r="J1287" s="131"/>
      <c r="K1287" s="458" t="str">
        <f t="shared" si="720"/>
        <v/>
      </c>
      <c r="L1287" s="458">
        <f t="shared" si="721"/>
        <v>0</v>
      </c>
      <c r="M1287" s="458">
        <f t="shared" si="722"/>
        <v>0</v>
      </c>
      <c r="N1287" s="459" t="str">
        <f t="shared" si="733"/>
        <v/>
      </c>
      <c r="O1287" s="459" t="str">
        <f t="shared" si="734"/>
        <v/>
      </c>
      <c r="P1287" s="459" t="str">
        <f t="shared" si="735"/>
        <v/>
      </c>
      <c r="Q1287" s="459" t="str">
        <f t="shared" si="736"/>
        <v/>
      </c>
      <c r="R1287" s="459" t="str">
        <f t="shared" si="737"/>
        <v/>
      </c>
      <c r="S1287" s="459" t="str">
        <f t="shared" si="738"/>
        <v/>
      </c>
      <c r="T1287" s="566" t="str">
        <f t="shared" si="723"/>
        <v/>
      </c>
      <c r="U1287" s="702"/>
      <c r="V1287" s="132"/>
      <c r="W1287" s="133"/>
      <c r="X1287" s="134"/>
      <c r="Y1287" s="135"/>
      <c r="Z1287" s="137"/>
      <c r="AA1287" s="136"/>
      <c r="AB1287" s="566" t="str">
        <f t="shared" si="724"/>
        <v/>
      </c>
      <c r="AC1287" s="568" t="str">
        <f t="shared" si="725"/>
        <v/>
      </c>
      <c r="AD1287" s="137"/>
      <c r="AE1287" s="137"/>
      <c r="AF1287" s="138"/>
      <c r="AG1287" s="138"/>
      <c r="AH1287" s="592" t="str">
        <f t="shared" si="726"/>
        <v/>
      </c>
      <c r="AI1287" s="592" t="str">
        <f t="shared" si="727"/>
        <v/>
      </c>
      <c r="AJ1287" s="592" t="str">
        <f t="shared" si="728"/>
        <v/>
      </c>
      <c r="AK1287" s="460" t="str">
        <f>IF(AU1287="","",IF(OR(AZ1287=8,AZ1287=9),0,IF(OR(AW1287=3,AW1287=4,AW1287=5,AW1287=6),IF(LEFT(BF1287,1)="1",INDEX(係数_NOX・PM低減,MATCH(AY1287,【参考】排出係数!$AI$801:$AI$804,1),1),VLOOKUP(AU1287,INDEX((係数_バス貨物_ガソリン,係数_バス貨物_CNG,係数_バス貨物_軽油,係数_バス貨物_メタノール,係数_バス貨物_LPG),MATCH(AY1287,【参考】排出係数!$AI$4:$AI$671,1),1,BE1287):INDEX((係数_バス貨物_ガソリン,係数_バス貨物_CNG,係数_バス貨物_軽油,係数_バス貨物_メタノール,係数_バス貨物_LPG),MATCH(AY1287+1,【参考】排出係数!$AI$4:$AI$671,1)-1,5,BE1287),4,FALSE)),IF(AND(BE1287=3,LEFT(BF1287,1)="1"),0.48,VLOOKUP(AU1287,INDEX((係数_乗用_ガソリン,係数_乗用_CNG,係数_乗用_軽油,係数_乗用_メタノール,係数_乗用_LPG),1,1,BE1287):INDEX((係数_乗用_ガソリン,係数_乗用_CNG,係数_乗用_軽油,係数_乗用_メタノール,係数_乗用_LPG),125,5,BE1287),4,FALSE)))))</f>
        <v/>
      </c>
      <c r="AL1287" s="461" t="str">
        <f t="shared" si="729"/>
        <v/>
      </c>
      <c r="AM1287" s="460" t="str">
        <f>IF(AU1287="","",IF(OR(AZ1287=8,AZ1287=9),0,IF(OR(AW1287=3,AW1287=4,AW1287=5,AW1287=6),IF(LEFT(BH1287,1)="1",INDEX(係数_PM低減,MATCH(AY1287,【参考】排出係数!$AI$801:$AI$804,1),MATCH(BI1287,【参考】排出係数!$AL$798:$AO$798,1)),VLOOKUP(AU1287,INDEX((係数_バス貨物_ガソリン,係数_バス貨物_CNG,係数_バス貨物_軽油,係数_バス貨物_メタノール,係数_バス貨物_LPG),MATCH(AY1287,【参考】排出係数!$AI$4:$AI$671,1),1,BE1287):INDEX((係数_バス貨物_ガソリン,係数_バス貨物_CNG,係数_バス貨物_軽油,係数_バス貨物_メタノール,係数_バス貨物_LPG),MATCH(AY1287+1,【参考】排出係数!$AI$4:$AI$671,1)-1,5,BE1287),5,FALSE)),IF(AND(BE1287=3,LEFT(BF1287,1)="1"),0.055,VLOOKUP(AU1287,INDEX((係数_乗用_ガソリン,係数_乗用_CNG,係数_乗用_軽油,係数_乗用_メタノール,係数_乗用_LPG),1,1,BE1287):INDEX((係数_乗用_ガソリン,係数_乗用_CNG,係数_乗用_軽油,係数_乗用_メタノール,係数_乗用_LPG),125,5,BE1287),5,FALSE)))))</f>
        <v/>
      </c>
      <c r="AN1287" s="461" t="str">
        <f t="shared" si="730"/>
        <v/>
      </c>
      <c r="AO1287" s="462" t="str">
        <f t="shared" si="731"/>
        <v/>
      </c>
      <c r="AP1287" s="463" t="str">
        <f t="shared" si="732"/>
        <v/>
      </c>
      <c r="AQ1287" s="464"/>
      <c r="AR1287" s="619"/>
      <c r="AS1287" s="465" t="str">
        <f t="shared" si="740"/>
        <v/>
      </c>
      <c r="AT1287" s="465" t="str">
        <f t="shared" si="741"/>
        <v/>
      </c>
      <c r="AU1287" s="466" t="str">
        <f t="shared" si="742"/>
        <v/>
      </c>
      <c r="AV1287" s="467" t="str">
        <f t="shared" si="743"/>
        <v/>
      </c>
      <c r="AW1287" s="467" t="str">
        <f t="shared" si="744"/>
        <v/>
      </c>
      <c r="AX1287" s="467" t="str">
        <f t="shared" si="745"/>
        <v/>
      </c>
      <c r="AY1287" s="467" t="str">
        <f t="shared" si="746"/>
        <v/>
      </c>
      <c r="AZ1287" s="467" t="str">
        <f t="shared" si="747"/>
        <v/>
      </c>
      <c r="BA1287" s="468" t="str">
        <f>IF(AS1287="","",IF(OR(AU1287="",AU1287="-"),"－",IF(OR(AZ1287=8,AZ1287=9),"",IF(OR(AW1287=3,AW1287=4,AW1287=5,AW1287=6),VLOOKUP(AU1287,INDEX((係数_バス貨物_ガソリン,係数_バス貨物_CNG,係数_バス貨物_軽油,係数_バス貨物_メタノール,係数_バス貨物_LPG),MATCH(AY1287,【参考】排出係数!$AI$4:$AI$671,1),1,BE1287):INDEX((係数_バス貨物_ガソリン,係数_バス貨物_CNG,係数_バス貨物_軽油,係数_バス貨物_メタノール,係数_バス貨物_LPG),MATCH(AY1287+1,【参考】排出係数!$AI$4:$AI$671,1)-1,5,BE1287),2,FALSE),IF(OR(AW1287=1,AW1287=2),VLOOKUP(AU1287,INDEX((係数_乗用_ガソリン,係数_乗用_CNG,係数_乗用_軽油,係数_乗用_メタノール,係数_乗用_LPG),1,1,BE1287):INDEX((係数_乗用_ガソリン,係数_乗用_CNG,係数_乗用_軽油,係数_乗用_メタノール,係数_乗用_LPG),125,5,BE1287),2,FALSE))))))</f>
        <v/>
      </c>
      <c r="BB1287" s="468" t="str">
        <f>IF(T1287="","",IF(OR(AU1287="",AU1287="-"),"－",IF(OR(AZ1287=8,AZ1287=9),"",IF(OR(AW1287=3,AW1287=4,AW1287=5,AW1287=6),VLOOKUP(AU1287,INDEX((係数_バス貨物_ガソリン,係数_バス貨物_CNG,係数_バス貨物_軽油,係数_バス貨物_メタノール,係数_バス貨物_LPG),MATCH(AY1287,【参考】排出係数!$AI$4:$AI$671,1),1,BE1287):INDEX((係数_バス貨物_ガソリン,係数_バス貨物_CNG,係数_バス貨物_軽油,係数_バス貨物_メタノール,係数_バス貨物_LPG),MATCH(AY1287+1,【参考】排出係数!$AI$4:$AI$671,1)-1,5,BE1287),3,FALSE),IF(OR(AW1287=1,AW1287=2),VLOOKUP(AU1287,INDEX((係数_乗用_ガソリン,係数_乗用_CNG,係数_乗用_軽油,係数_乗用_メタノール,係数_乗用_LPG),1,1,BE1287):INDEX((係数_乗用_ガソリン,係数_乗用_CNG,係数_乗用_軽油,係数_乗用_メタノール,係数_乗用_LPG),125,5,BE1287),3,FALSE))))))</f>
        <v/>
      </c>
      <c r="BC1287" s="467" t="str">
        <f t="shared" si="748"/>
        <v/>
      </c>
      <c r="BD1287" s="567" t="str">
        <f t="shared" si="749"/>
        <v/>
      </c>
      <c r="BE1287" s="467" t="str">
        <f t="shared" si="750"/>
        <v/>
      </c>
      <c r="BF1287" s="469" t="str">
        <f t="shared" ca="1" si="751"/>
        <v/>
      </c>
      <c r="BG1287" s="469" t="str">
        <f t="shared" ca="1" si="752"/>
        <v/>
      </c>
      <c r="BH1287" s="467" t="str">
        <f t="shared" si="753"/>
        <v/>
      </c>
      <c r="BI1287" s="467" t="str">
        <f t="shared" ca="1" si="754"/>
        <v/>
      </c>
      <c r="BJ1287" s="469" t="str">
        <f t="shared" si="755"/>
        <v/>
      </c>
      <c r="BK1287" s="470" t="str">
        <f t="shared" si="739"/>
        <v/>
      </c>
      <c r="BL1287" s="775" t="str">
        <f t="shared" si="756"/>
        <v/>
      </c>
      <c r="BM1287" s="775" t="str">
        <f t="shared" si="757"/>
        <v/>
      </c>
    </row>
    <row r="1288" spans="1:65">
      <c r="A1288" s="473">
        <v>1232</v>
      </c>
      <c r="B1288" s="132"/>
      <c r="C1288" s="332"/>
      <c r="D1288" s="333"/>
      <c r="E1288" s="333"/>
      <c r="F1288" s="334"/>
      <c r="G1288" s="337"/>
      <c r="H1288" s="131"/>
      <c r="I1288" s="337"/>
      <c r="J1288" s="131"/>
      <c r="K1288" s="458" t="str">
        <f t="shared" si="720"/>
        <v/>
      </c>
      <c r="L1288" s="458">
        <f t="shared" si="721"/>
        <v>0</v>
      </c>
      <c r="M1288" s="458">
        <f t="shared" si="722"/>
        <v>0</v>
      </c>
      <c r="N1288" s="459" t="str">
        <f t="shared" si="733"/>
        <v/>
      </c>
      <c r="O1288" s="459" t="str">
        <f t="shared" si="734"/>
        <v/>
      </c>
      <c r="P1288" s="459" t="str">
        <f t="shared" si="735"/>
        <v/>
      </c>
      <c r="Q1288" s="459" t="str">
        <f t="shared" si="736"/>
        <v/>
      </c>
      <c r="R1288" s="459" t="str">
        <f t="shared" si="737"/>
        <v/>
      </c>
      <c r="S1288" s="459" t="str">
        <f t="shared" si="738"/>
        <v/>
      </c>
      <c r="T1288" s="566" t="str">
        <f t="shared" si="723"/>
        <v/>
      </c>
      <c r="U1288" s="702"/>
      <c r="V1288" s="132"/>
      <c r="W1288" s="133"/>
      <c r="X1288" s="134"/>
      <c r="Y1288" s="135"/>
      <c r="Z1288" s="137"/>
      <c r="AA1288" s="136"/>
      <c r="AB1288" s="566" t="str">
        <f t="shared" si="724"/>
        <v/>
      </c>
      <c r="AC1288" s="568" t="str">
        <f t="shared" si="725"/>
        <v/>
      </c>
      <c r="AD1288" s="137"/>
      <c r="AE1288" s="137"/>
      <c r="AF1288" s="138"/>
      <c r="AG1288" s="138"/>
      <c r="AH1288" s="592" t="str">
        <f t="shared" si="726"/>
        <v/>
      </c>
      <c r="AI1288" s="592" t="str">
        <f t="shared" si="727"/>
        <v/>
      </c>
      <c r="AJ1288" s="592" t="str">
        <f t="shared" si="728"/>
        <v/>
      </c>
      <c r="AK1288" s="460" t="str">
        <f>IF(AU1288="","",IF(OR(AZ1288=8,AZ1288=9),0,IF(OR(AW1288=3,AW1288=4,AW1288=5,AW1288=6),IF(LEFT(BF1288,1)="1",INDEX(係数_NOX・PM低減,MATCH(AY1288,【参考】排出係数!$AI$801:$AI$804,1),1),VLOOKUP(AU1288,INDEX((係数_バス貨物_ガソリン,係数_バス貨物_CNG,係数_バス貨物_軽油,係数_バス貨物_メタノール,係数_バス貨物_LPG),MATCH(AY1288,【参考】排出係数!$AI$4:$AI$671,1),1,BE1288):INDEX((係数_バス貨物_ガソリン,係数_バス貨物_CNG,係数_バス貨物_軽油,係数_バス貨物_メタノール,係数_バス貨物_LPG),MATCH(AY1288+1,【参考】排出係数!$AI$4:$AI$671,1)-1,5,BE1288),4,FALSE)),IF(AND(BE1288=3,LEFT(BF1288,1)="1"),0.48,VLOOKUP(AU1288,INDEX((係数_乗用_ガソリン,係数_乗用_CNG,係数_乗用_軽油,係数_乗用_メタノール,係数_乗用_LPG),1,1,BE1288):INDEX((係数_乗用_ガソリン,係数_乗用_CNG,係数_乗用_軽油,係数_乗用_メタノール,係数_乗用_LPG),125,5,BE1288),4,FALSE)))))</f>
        <v/>
      </c>
      <c r="AL1288" s="461" t="str">
        <f t="shared" si="729"/>
        <v/>
      </c>
      <c r="AM1288" s="460" t="str">
        <f>IF(AU1288="","",IF(OR(AZ1288=8,AZ1288=9),0,IF(OR(AW1288=3,AW1288=4,AW1288=5,AW1288=6),IF(LEFT(BH1288,1)="1",INDEX(係数_PM低減,MATCH(AY1288,【参考】排出係数!$AI$801:$AI$804,1),MATCH(BI1288,【参考】排出係数!$AL$798:$AO$798,1)),VLOOKUP(AU1288,INDEX((係数_バス貨物_ガソリン,係数_バス貨物_CNG,係数_バス貨物_軽油,係数_バス貨物_メタノール,係数_バス貨物_LPG),MATCH(AY1288,【参考】排出係数!$AI$4:$AI$671,1),1,BE1288):INDEX((係数_バス貨物_ガソリン,係数_バス貨物_CNG,係数_バス貨物_軽油,係数_バス貨物_メタノール,係数_バス貨物_LPG),MATCH(AY1288+1,【参考】排出係数!$AI$4:$AI$671,1)-1,5,BE1288),5,FALSE)),IF(AND(BE1288=3,LEFT(BF1288,1)="1"),0.055,VLOOKUP(AU1288,INDEX((係数_乗用_ガソリン,係数_乗用_CNG,係数_乗用_軽油,係数_乗用_メタノール,係数_乗用_LPG),1,1,BE1288):INDEX((係数_乗用_ガソリン,係数_乗用_CNG,係数_乗用_軽油,係数_乗用_メタノール,係数_乗用_LPG),125,5,BE1288),5,FALSE)))))</f>
        <v/>
      </c>
      <c r="AN1288" s="461" t="str">
        <f t="shared" si="730"/>
        <v/>
      </c>
      <c r="AO1288" s="462" t="str">
        <f t="shared" si="731"/>
        <v/>
      </c>
      <c r="AP1288" s="463" t="str">
        <f t="shared" si="732"/>
        <v/>
      </c>
      <c r="AQ1288" s="464"/>
      <c r="AR1288" s="619"/>
      <c r="AS1288" s="465" t="str">
        <f t="shared" si="740"/>
        <v/>
      </c>
      <c r="AT1288" s="465" t="str">
        <f t="shared" si="741"/>
        <v/>
      </c>
      <c r="AU1288" s="466" t="str">
        <f t="shared" si="742"/>
        <v/>
      </c>
      <c r="AV1288" s="467" t="str">
        <f t="shared" si="743"/>
        <v/>
      </c>
      <c r="AW1288" s="467" t="str">
        <f t="shared" si="744"/>
        <v/>
      </c>
      <c r="AX1288" s="467" t="str">
        <f t="shared" si="745"/>
        <v/>
      </c>
      <c r="AY1288" s="467" t="str">
        <f t="shared" si="746"/>
        <v/>
      </c>
      <c r="AZ1288" s="467" t="str">
        <f t="shared" si="747"/>
        <v/>
      </c>
      <c r="BA1288" s="468" t="str">
        <f>IF(AS1288="","",IF(OR(AU1288="",AU1288="-"),"－",IF(OR(AZ1288=8,AZ1288=9),"",IF(OR(AW1288=3,AW1288=4,AW1288=5,AW1288=6),VLOOKUP(AU1288,INDEX((係数_バス貨物_ガソリン,係数_バス貨物_CNG,係数_バス貨物_軽油,係数_バス貨物_メタノール,係数_バス貨物_LPG),MATCH(AY1288,【参考】排出係数!$AI$4:$AI$671,1),1,BE1288):INDEX((係数_バス貨物_ガソリン,係数_バス貨物_CNG,係数_バス貨物_軽油,係数_バス貨物_メタノール,係数_バス貨物_LPG),MATCH(AY1288+1,【参考】排出係数!$AI$4:$AI$671,1)-1,5,BE1288),2,FALSE),IF(OR(AW1288=1,AW1288=2),VLOOKUP(AU1288,INDEX((係数_乗用_ガソリン,係数_乗用_CNG,係数_乗用_軽油,係数_乗用_メタノール,係数_乗用_LPG),1,1,BE1288):INDEX((係数_乗用_ガソリン,係数_乗用_CNG,係数_乗用_軽油,係数_乗用_メタノール,係数_乗用_LPG),125,5,BE1288),2,FALSE))))))</f>
        <v/>
      </c>
      <c r="BB1288" s="468" t="str">
        <f>IF(T1288="","",IF(OR(AU1288="",AU1288="-"),"－",IF(OR(AZ1288=8,AZ1288=9),"",IF(OR(AW1288=3,AW1288=4,AW1288=5,AW1288=6),VLOOKUP(AU1288,INDEX((係数_バス貨物_ガソリン,係数_バス貨物_CNG,係数_バス貨物_軽油,係数_バス貨物_メタノール,係数_バス貨物_LPG),MATCH(AY1288,【参考】排出係数!$AI$4:$AI$671,1),1,BE1288):INDEX((係数_バス貨物_ガソリン,係数_バス貨物_CNG,係数_バス貨物_軽油,係数_バス貨物_メタノール,係数_バス貨物_LPG),MATCH(AY1288+1,【参考】排出係数!$AI$4:$AI$671,1)-1,5,BE1288),3,FALSE),IF(OR(AW1288=1,AW1288=2),VLOOKUP(AU1288,INDEX((係数_乗用_ガソリン,係数_乗用_CNG,係数_乗用_軽油,係数_乗用_メタノール,係数_乗用_LPG),1,1,BE1288):INDEX((係数_乗用_ガソリン,係数_乗用_CNG,係数_乗用_軽油,係数_乗用_メタノール,係数_乗用_LPG),125,5,BE1288),3,FALSE))))))</f>
        <v/>
      </c>
      <c r="BC1288" s="467" t="str">
        <f t="shared" si="748"/>
        <v/>
      </c>
      <c r="BD1288" s="567" t="str">
        <f t="shared" si="749"/>
        <v/>
      </c>
      <c r="BE1288" s="467" t="str">
        <f t="shared" si="750"/>
        <v/>
      </c>
      <c r="BF1288" s="469" t="str">
        <f t="shared" ca="1" si="751"/>
        <v/>
      </c>
      <c r="BG1288" s="469" t="str">
        <f t="shared" ca="1" si="752"/>
        <v/>
      </c>
      <c r="BH1288" s="467" t="str">
        <f t="shared" si="753"/>
        <v/>
      </c>
      <c r="BI1288" s="467" t="str">
        <f t="shared" ca="1" si="754"/>
        <v/>
      </c>
      <c r="BJ1288" s="469" t="str">
        <f t="shared" si="755"/>
        <v/>
      </c>
      <c r="BK1288" s="470" t="str">
        <f t="shared" si="739"/>
        <v/>
      </c>
      <c r="BL1288" s="775" t="str">
        <f t="shared" si="756"/>
        <v/>
      </c>
      <c r="BM1288" s="775" t="str">
        <f t="shared" si="757"/>
        <v/>
      </c>
    </row>
    <row r="1289" spans="1:65">
      <c r="A1289" s="473">
        <v>1233</v>
      </c>
      <c r="B1289" s="132"/>
      <c r="C1289" s="332"/>
      <c r="D1289" s="333"/>
      <c r="E1289" s="333"/>
      <c r="F1289" s="334"/>
      <c r="G1289" s="337"/>
      <c r="H1289" s="131"/>
      <c r="I1289" s="337"/>
      <c r="J1289" s="131"/>
      <c r="K1289" s="458" t="str">
        <f t="shared" si="720"/>
        <v/>
      </c>
      <c r="L1289" s="458">
        <f t="shared" si="721"/>
        <v>0</v>
      </c>
      <c r="M1289" s="458">
        <f t="shared" si="722"/>
        <v>0</v>
      </c>
      <c r="N1289" s="459" t="str">
        <f t="shared" si="733"/>
        <v/>
      </c>
      <c r="O1289" s="459" t="str">
        <f t="shared" si="734"/>
        <v/>
      </c>
      <c r="P1289" s="459" t="str">
        <f t="shared" si="735"/>
        <v/>
      </c>
      <c r="Q1289" s="459" t="str">
        <f t="shared" si="736"/>
        <v/>
      </c>
      <c r="R1289" s="459" t="str">
        <f t="shared" si="737"/>
        <v/>
      </c>
      <c r="S1289" s="459" t="str">
        <f t="shared" si="738"/>
        <v/>
      </c>
      <c r="T1289" s="566" t="str">
        <f t="shared" si="723"/>
        <v/>
      </c>
      <c r="U1289" s="702"/>
      <c r="V1289" s="132"/>
      <c r="W1289" s="133"/>
      <c r="X1289" s="134"/>
      <c r="Y1289" s="135"/>
      <c r="Z1289" s="137"/>
      <c r="AA1289" s="136"/>
      <c r="AB1289" s="566" t="str">
        <f t="shared" si="724"/>
        <v/>
      </c>
      <c r="AC1289" s="568" t="str">
        <f t="shared" si="725"/>
        <v/>
      </c>
      <c r="AD1289" s="137"/>
      <c r="AE1289" s="137"/>
      <c r="AF1289" s="138"/>
      <c r="AG1289" s="138"/>
      <c r="AH1289" s="592" t="str">
        <f t="shared" si="726"/>
        <v/>
      </c>
      <c r="AI1289" s="592" t="str">
        <f t="shared" si="727"/>
        <v/>
      </c>
      <c r="AJ1289" s="592" t="str">
        <f t="shared" si="728"/>
        <v/>
      </c>
      <c r="AK1289" s="460" t="str">
        <f>IF(AU1289="","",IF(OR(AZ1289=8,AZ1289=9),0,IF(OR(AW1289=3,AW1289=4,AW1289=5,AW1289=6),IF(LEFT(BF1289,1)="1",INDEX(係数_NOX・PM低減,MATCH(AY1289,【参考】排出係数!$AI$801:$AI$804,1),1),VLOOKUP(AU1289,INDEX((係数_バス貨物_ガソリン,係数_バス貨物_CNG,係数_バス貨物_軽油,係数_バス貨物_メタノール,係数_バス貨物_LPG),MATCH(AY1289,【参考】排出係数!$AI$4:$AI$671,1),1,BE1289):INDEX((係数_バス貨物_ガソリン,係数_バス貨物_CNG,係数_バス貨物_軽油,係数_バス貨物_メタノール,係数_バス貨物_LPG),MATCH(AY1289+1,【参考】排出係数!$AI$4:$AI$671,1)-1,5,BE1289),4,FALSE)),IF(AND(BE1289=3,LEFT(BF1289,1)="1"),0.48,VLOOKUP(AU1289,INDEX((係数_乗用_ガソリン,係数_乗用_CNG,係数_乗用_軽油,係数_乗用_メタノール,係数_乗用_LPG),1,1,BE1289):INDEX((係数_乗用_ガソリン,係数_乗用_CNG,係数_乗用_軽油,係数_乗用_メタノール,係数_乗用_LPG),125,5,BE1289),4,FALSE)))))</f>
        <v/>
      </c>
      <c r="AL1289" s="461" t="str">
        <f t="shared" si="729"/>
        <v/>
      </c>
      <c r="AM1289" s="460" t="str">
        <f>IF(AU1289="","",IF(OR(AZ1289=8,AZ1289=9),0,IF(OR(AW1289=3,AW1289=4,AW1289=5,AW1289=6),IF(LEFT(BH1289,1)="1",INDEX(係数_PM低減,MATCH(AY1289,【参考】排出係数!$AI$801:$AI$804,1),MATCH(BI1289,【参考】排出係数!$AL$798:$AO$798,1)),VLOOKUP(AU1289,INDEX((係数_バス貨物_ガソリン,係数_バス貨物_CNG,係数_バス貨物_軽油,係数_バス貨物_メタノール,係数_バス貨物_LPG),MATCH(AY1289,【参考】排出係数!$AI$4:$AI$671,1),1,BE1289):INDEX((係数_バス貨物_ガソリン,係数_バス貨物_CNG,係数_バス貨物_軽油,係数_バス貨物_メタノール,係数_バス貨物_LPG),MATCH(AY1289+1,【参考】排出係数!$AI$4:$AI$671,1)-1,5,BE1289),5,FALSE)),IF(AND(BE1289=3,LEFT(BF1289,1)="1"),0.055,VLOOKUP(AU1289,INDEX((係数_乗用_ガソリン,係数_乗用_CNG,係数_乗用_軽油,係数_乗用_メタノール,係数_乗用_LPG),1,1,BE1289):INDEX((係数_乗用_ガソリン,係数_乗用_CNG,係数_乗用_軽油,係数_乗用_メタノール,係数_乗用_LPG),125,5,BE1289),5,FALSE)))))</f>
        <v/>
      </c>
      <c r="AN1289" s="461" t="str">
        <f t="shared" si="730"/>
        <v/>
      </c>
      <c r="AO1289" s="462" t="str">
        <f t="shared" si="731"/>
        <v/>
      </c>
      <c r="AP1289" s="463" t="str">
        <f t="shared" si="732"/>
        <v/>
      </c>
      <c r="AQ1289" s="464"/>
      <c r="AR1289" s="619"/>
      <c r="AS1289" s="465" t="str">
        <f t="shared" si="740"/>
        <v/>
      </c>
      <c r="AT1289" s="465" t="str">
        <f t="shared" si="741"/>
        <v/>
      </c>
      <c r="AU1289" s="466" t="str">
        <f t="shared" si="742"/>
        <v/>
      </c>
      <c r="AV1289" s="467" t="str">
        <f t="shared" si="743"/>
        <v/>
      </c>
      <c r="AW1289" s="467" t="str">
        <f t="shared" si="744"/>
        <v/>
      </c>
      <c r="AX1289" s="467" t="str">
        <f t="shared" si="745"/>
        <v/>
      </c>
      <c r="AY1289" s="467" t="str">
        <f t="shared" si="746"/>
        <v/>
      </c>
      <c r="AZ1289" s="467" t="str">
        <f t="shared" si="747"/>
        <v/>
      </c>
      <c r="BA1289" s="468" t="str">
        <f>IF(AS1289="","",IF(OR(AU1289="",AU1289="-"),"－",IF(OR(AZ1289=8,AZ1289=9),"",IF(OR(AW1289=3,AW1289=4,AW1289=5,AW1289=6),VLOOKUP(AU1289,INDEX((係数_バス貨物_ガソリン,係数_バス貨物_CNG,係数_バス貨物_軽油,係数_バス貨物_メタノール,係数_バス貨物_LPG),MATCH(AY1289,【参考】排出係数!$AI$4:$AI$671,1),1,BE1289):INDEX((係数_バス貨物_ガソリン,係数_バス貨物_CNG,係数_バス貨物_軽油,係数_バス貨物_メタノール,係数_バス貨物_LPG),MATCH(AY1289+1,【参考】排出係数!$AI$4:$AI$671,1)-1,5,BE1289),2,FALSE),IF(OR(AW1289=1,AW1289=2),VLOOKUP(AU1289,INDEX((係数_乗用_ガソリン,係数_乗用_CNG,係数_乗用_軽油,係数_乗用_メタノール,係数_乗用_LPG),1,1,BE1289):INDEX((係数_乗用_ガソリン,係数_乗用_CNG,係数_乗用_軽油,係数_乗用_メタノール,係数_乗用_LPG),125,5,BE1289),2,FALSE))))))</f>
        <v/>
      </c>
      <c r="BB1289" s="468" t="str">
        <f>IF(T1289="","",IF(OR(AU1289="",AU1289="-"),"－",IF(OR(AZ1289=8,AZ1289=9),"",IF(OR(AW1289=3,AW1289=4,AW1289=5,AW1289=6),VLOOKUP(AU1289,INDEX((係数_バス貨物_ガソリン,係数_バス貨物_CNG,係数_バス貨物_軽油,係数_バス貨物_メタノール,係数_バス貨物_LPG),MATCH(AY1289,【参考】排出係数!$AI$4:$AI$671,1),1,BE1289):INDEX((係数_バス貨物_ガソリン,係数_バス貨物_CNG,係数_バス貨物_軽油,係数_バス貨物_メタノール,係数_バス貨物_LPG),MATCH(AY1289+1,【参考】排出係数!$AI$4:$AI$671,1)-1,5,BE1289),3,FALSE),IF(OR(AW1289=1,AW1289=2),VLOOKUP(AU1289,INDEX((係数_乗用_ガソリン,係数_乗用_CNG,係数_乗用_軽油,係数_乗用_メタノール,係数_乗用_LPG),1,1,BE1289):INDEX((係数_乗用_ガソリン,係数_乗用_CNG,係数_乗用_軽油,係数_乗用_メタノール,係数_乗用_LPG),125,5,BE1289),3,FALSE))))))</f>
        <v/>
      </c>
      <c r="BC1289" s="467" t="str">
        <f t="shared" si="748"/>
        <v/>
      </c>
      <c r="BD1289" s="567" t="str">
        <f t="shared" si="749"/>
        <v/>
      </c>
      <c r="BE1289" s="467" t="str">
        <f t="shared" si="750"/>
        <v/>
      </c>
      <c r="BF1289" s="469" t="str">
        <f t="shared" ca="1" si="751"/>
        <v/>
      </c>
      <c r="BG1289" s="469" t="str">
        <f t="shared" ca="1" si="752"/>
        <v/>
      </c>
      <c r="BH1289" s="467" t="str">
        <f t="shared" si="753"/>
        <v/>
      </c>
      <c r="BI1289" s="467" t="str">
        <f t="shared" ca="1" si="754"/>
        <v/>
      </c>
      <c r="BJ1289" s="469" t="str">
        <f t="shared" si="755"/>
        <v/>
      </c>
      <c r="BK1289" s="470" t="str">
        <f t="shared" si="739"/>
        <v/>
      </c>
      <c r="BL1289" s="775" t="str">
        <f t="shared" si="756"/>
        <v/>
      </c>
      <c r="BM1289" s="775" t="str">
        <f t="shared" si="757"/>
        <v/>
      </c>
    </row>
    <row r="1290" spans="1:65">
      <c r="A1290" s="473">
        <v>1234</v>
      </c>
      <c r="B1290" s="132"/>
      <c r="C1290" s="332"/>
      <c r="D1290" s="333"/>
      <c r="E1290" s="333"/>
      <c r="F1290" s="334"/>
      <c r="G1290" s="337"/>
      <c r="H1290" s="131"/>
      <c r="I1290" s="337"/>
      <c r="J1290" s="131"/>
      <c r="K1290" s="458" t="str">
        <f t="shared" si="720"/>
        <v/>
      </c>
      <c r="L1290" s="458">
        <f t="shared" si="721"/>
        <v>0</v>
      </c>
      <c r="M1290" s="458">
        <f t="shared" si="722"/>
        <v>0</v>
      </c>
      <c r="N1290" s="459" t="str">
        <f t="shared" si="733"/>
        <v/>
      </c>
      <c r="O1290" s="459" t="str">
        <f t="shared" si="734"/>
        <v/>
      </c>
      <c r="P1290" s="459" t="str">
        <f t="shared" si="735"/>
        <v/>
      </c>
      <c r="Q1290" s="459" t="str">
        <f t="shared" si="736"/>
        <v/>
      </c>
      <c r="R1290" s="459" t="str">
        <f t="shared" si="737"/>
        <v/>
      </c>
      <c r="S1290" s="459" t="str">
        <f t="shared" si="738"/>
        <v/>
      </c>
      <c r="T1290" s="566" t="str">
        <f t="shared" si="723"/>
        <v/>
      </c>
      <c r="U1290" s="702"/>
      <c r="V1290" s="132"/>
      <c r="W1290" s="133"/>
      <c r="X1290" s="134"/>
      <c r="Y1290" s="135"/>
      <c r="Z1290" s="137"/>
      <c r="AA1290" s="136"/>
      <c r="AB1290" s="566" t="str">
        <f t="shared" si="724"/>
        <v/>
      </c>
      <c r="AC1290" s="568" t="str">
        <f t="shared" si="725"/>
        <v/>
      </c>
      <c r="AD1290" s="137"/>
      <c r="AE1290" s="137"/>
      <c r="AF1290" s="138"/>
      <c r="AG1290" s="138"/>
      <c r="AH1290" s="592" t="str">
        <f t="shared" si="726"/>
        <v/>
      </c>
      <c r="AI1290" s="592" t="str">
        <f t="shared" si="727"/>
        <v/>
      </c>
      <c r="AJ1290" s="592" t="str">
        <f t="shared" si="728"/>
        <v/>
      </c>
      <c r="AK1290" s="460" t="str">
        <f>IF(AU1290="","",IF(OR(AZ1290=8,AZ1290=9),0,IF(OR(AW1290=3,AW1290=4,AW1290=5,AW1290=6),IF(LEFT(BF1290,1)="1",INDEX(係数_NOX・PM低減,MATCH(AY1290,【参考】排出係数!$AI$801:$AI$804,1),1),VLOOKUP(AU1290,INDEX((係数_バス貨物_ガソリン,係数_バス貨物_CNG,係数_バス貨物_軽油,係数_バス貨物_メタノール,係数_バス貨物_LPG),MATCH(AY1290,【参考】排出係数!$AI$4:$AI$671,1),1,BE1290):INDEX((係数_バス貨物_ガソリン,係数_バス貨物_CNG,係数_バス貨物_軽油,係数_バス貨物_メタノール,係数_バス貨物_LPG),MATCH(AY1290+1,【参考】排出係数!$AI$4:$AI$671,1)-1,5,BE1290),4,FALSE)),IF(AND(BE1290=3,LEFT(BF1290,1)="1"),0.48,VLOOKUP(AU1290,INDEX((係数_乗用_ガソリン,係数_乗用_CNG,係数_乗用_軽油,係数_乗用_メタノール,係数_乗用_LPG),1,1,BE1290):INDEX((係数_乗用_ガソリン,係数_乗用_CNG,係数_乗用_軽油,係数_乗用_メタノール,係数_乗用_LPG),125,5,BE1290),4,FALSE)))))</f>
        <v/>
      </c>
      <c r="AL1290" s="461" t="str">
        <f t="shared" si="729"/>
        <v/>
      </c>
      <c r="AM1290" s="460" t="str">
        <f>IF(AU1290="","",IF(OR(AZ1290=8,AZ1290=9),0,IF(OR(AW1290=3,AW1290=4,AW1290=5,AW1290=6),IF(LEFT(BH1290,1)="1",INDEX(係数_PM低減,MATCH(AY1290,【参考】排出係数!$AI$801:$AI$804,1),MATCH(BI1290,【参考】排出係数!$AL$798:$AO$798,1)),VLOOKUP(AU1290,INDEX((係数_バス貨物_ガソリン,係数_バス貨物_CNG,係数_バス貨物_軽油,係数_バス貨物_メタノール,係数_バス貨物_LPG),MATCH(AY1290,【参考】排出係数!$AI$4:$AI$671,1),1,BE1290):INDEX((係数_バス貨物_ガソリン,係数_バス貨物_CNG,係数_バス貨物_軽油,係数_バス貨物_メタノール,係数_バス貨物_LPG),MATCH(AY1290+1,【参考】排出係数!$AI$4:$AI$671,1)-1,5,BE1290),5,FALSE)),IF(AND(BE1290=3,LEFT(BF1290,1)="1"),0.055,VLOOKUP(AU1290,INDEX((係数_乗用_ガソリン,係数_乗用_CNG,係数_乗用_軽油,係数_乗用_メタノール,係数_乗用_LPG),1,1,BE1290):INDEX((係数_乗用_ガソリン,係数_乗用_CNG,係数_乗用_軽油,係数_乗用_メタノール,係数_乗用_LPG),125,5,BE1290),5,FALSE)))))</f>
        <v/>
      </c>
      <c r="AN1290" s="461" t="str">
        <f t="shared" si="730"/>
        <v/>
      </c>
      <c r="AO1290" s="462" t="str">
        <f t="shared" si="731"/>
        <v/>
      </c>
      <c r="AP1290" s="463" t="str">
        <f t="shared" si="732"/>
        <v/>
      </c>
      <c r="AQ1290" s="464"/>
      <c r="AR1290" s="619"/>
      <c r="AS1290" s="465" t="str">
        <f t="shared" si="740"/>
        <v/>
      </c>
      <c r="AT1290" s="465" t="str">
        <f t="shared" si="741"/>
        <v/>
      </c>
      <c r="AU1290" s="466" t="str">
        <f t="shared" si="742"/>
        <v/>
      </c>
      <c r="AV1290" s="467" t="str">
        <f t="shared" si="743"/>
        <v/>
      </c>
      <c r="AW1290" s="467" t="str">
        <f t="shared" si="744"/>
        <v/>
      </c>
      <c r="AX1290" s="467" t="str">
        <f t="shared" si="745"/>
        <v/>
      </c>
      <c r="AY1290" s="467" t="str">
        <f t="shared" si="746"/>
        <v/>
      </c>
      <c r="AZ1290" s="467" t="str">
        <f t="shared" si="747"/>
        <v/>
      </c>
      <c r="BA1290" s="468" t="str">
        <f>IF(AS1290="","",IF(OR(AU1290="",AU1290="-"),"－",IF(OR(AZ1290=8,AZ1290=9),"",IF(OR(AW1290=3,AW1290=4,AW1290=5,AW1290=6),VLOOKUP(AU1290,INDEX((係数_バス貨物_ガソリン,係数_バス貨物_CNG,係数_バス貨物_軽油,係数_バス貨物_メタノール,係数_バス貨物_LPG),MATCH(AY1290,【参考】排出係数!$AI$4:$AI$671,1),1,BE1290):INDEX((係数_バス貨物_ガソリン,係数_バス貨物_CNG,係数_バス貨物_軽油,係数_バス貨物_メタノール,係数_バス貨物_LPG),MATCH(AY1290+1,【参考】排出係数!$AI$4:$AI$671,1)-1,5,BE1290),2,FALSE),IF(OR(AW1290=1,AW1290=2),VLOOKUP(AU1290,INDEX((係数_乗用_ガソリン,係数_乗用_CNG,係数_乗用_軽油,係数_乗用_メタノール,係数_乗用_LPG),1,1,BE1290):INDEX((係数_乗用_ガソリン,係数_乗用_CNG,係数_乗用_軽油,係数_乗用_メタノール,係数_乗用_LPG),125,5,BE1290),2,FALSE))))))</f>
        <v/>
      </c>
      <c r="BB1290" s="468" t="str">
        <f>IF(T1290="","",IF(OR(AU1290="",AU1290="-"),"－",IF(OR(AZ1290=8,AZ1290=9),"",IF(OR(AW1290=3,AW1290=4,AW1290=5,AW1290=6),VLOOKUP(AU1290,INDEX((係数_バス貨物_ガソリン,係数_バス貨物_CNG,係数_バス貨物_軽油,係数_バス貨物_メタノール,係数_バス貨物_LPG),MATCH(AY1290,【参考】排出係数!$AI$4:$AI$671,1),1,BE1290):INDEX((係数_バス貨物_ガソリン,係数_バス貨物_CNG,係数_バス貨物_軽油,係数_バス貨物_メタノール,係数_バス貨物_LPG),MATCH(AY1290+1,【参考】排出係数!$AI$4:$AI$671,1)-1,5,BE1290),3,FALSE),IF(OR(AW1290=1,AW1290=2),VLOOKUP(AU1290,INDEX((係数_乗用_ガソリン,係数_乗用_CNG,係数_乗用_軽油,係数_乗用_メタノール,係数_乗用_LPG),1,1,BE1290):INDEX((係数_乗用_ガソリン,係数_乗用_CNG,係数_乗用_軽油,係数_乗用_メタノール,係数_乗用_LPG),125,5,BE1290),3,FALSE))))))</f>
        <v/>
      </c>
      <c r="BC1290" s="467" t="str">
        <f t="shared" si="748"/>
        <v/>
      </c>
      <c r="BD1290" s="567" t="str">
        <f t="shared" si="749"/>
        <v/>
      </c>
      <c r="BE1290" s="467" t="str">
        <f t="shared" si="750"/>
        <v/>
      </c>
      <c r="BF1290" s="469" t="str">
        <f t="shared" ca="1" si="751"/>
        <v/>
      </c>
      <c r="BG1290" s="469" t="str">
        <f t="shared" ca="1" si="752"/>
        <v/>
      </c>
      <c r="BH1290" s="467" t="str">
        <f t="shared" si="753"/>
        <v/>
      </c>
      <c r="BI1290" s="467" t="str">
        <f t="shared" ca="1" si="754"/>
        <v/>
      </c>
      <c r="BJ1290" s="469" t="str">
        <f t="shared" si="755"/>
        <v/>
      </c>
      <c r="BK1290" s="470" t="str">
        <f t="shared" si="739"/>
        <v/>
      </c>
      <c r="BL1290" s="775" t="str">
        <f t="shared" si="756"/>
        <v/>
      </c>
      <c r="BM1290" s="775" t="str">
        <f t="shared" si="757"/>
        <v/>
      </c>
    </row>
    <row r="1291" spans="1:65">
      <c r="A1291" s="473">
        <v>1235</v>
      </c>
      <c r="B1291" s="132"/>
      <c r="C1291" s="332"/>
      <c r="D1291" s="333"/>
      <c r="E1291" s="333"/>
      <c r="F1291" s="334"/>
      <c r="G1291" s="337"/>
      <c r="H1291" s="131"/>
      <c r="I1291" s="337"/>
      <c r="J1291" s="131"/>
      <c r="K1291" s="458" t="str">
        <f t="shared" si="720"/>
        <v/>
      </c>
      <c r="L1291" s="458">
        <f t="shared" si="721"/>
        <v>0</v>
      </c>
      <c r="M1291" s="458">
        <f t="shared" si="722"/>
        <v>0</v>
      </c>
      <c r="N1291" s="459" t="str">
        <f t="shared" si="733"/>
        <v/>
      </c>
      <c r="O1291" s="459" t="str">
        <f t="shared" si="734"/>
        <v/>
      </c>
      <c r="P1291" s="459" t="str">
        <f t="shared" si="735"/>
        <v/>
      </c>
      <c r="Q1291" s="459" t="str">
        <f t="shared" si="736"/>
        <v/>
      </c>
      <c r="R1291" s="459" t="str">
        <f t="shared" si="737"/>
        <v/>
      </c>
      <c r="S1291" s="459" t="str">
        <f t="shared" si="738"/>
        <v/>
      </c>
      <c r="T1291" s="566" t="str">
        <f t="shared" si="723"/>
        <v/>
      </c>
      <c r="U1291" s="702"/>
      <c r="V1291" s="132"/>
      <c r="W1291" s="133"/>
      <c r="X1291" s="134"/>
      <c r="Y1291" s="135"/>
      <c r="Z1291" s="137"/>
      <c r="AA1291" s="136"/>
      <c r="AB1291" s="566" t="str">
        <f t="shared" si="724"/>
        <v/>
      </c>
      <c r="AC1291" s="568" t="str">
        <f t="shared" si="725"/>
        <v/>
      </c>
      <c r="AD1291" s="137"/>
      <c r="AE1291" s="137"/>
      <c r="AF1291" s="138"/>
      <c r="AG1291" s="138"/>
      <c r="AH1291" s="592" t="str">
        <f t="shared" si="726"/>
        <v/>
      </c>
      <c r="AI1291" s="592" t="str">
        <f t="shared" si="727"/>
        <v/>
      </c>
      <c r="AJ1291" s="592" t="str">
        <f t="shared" si="728"/>
        <v/>
      </c>
      <c r="AK1291" s="460" t="str">
        <f>IF(AU1291="","",IF(OR(AZ1291=8,AZ1291=9),0,IF(OR(AW1291=3,AW1291=4,AW1291=5,AW1291=6),IF(LEFT(BF1291,1)="1",INDEX(係数_NOX・PM低減,MATCH(AY1291,【参考】排出係数!$AI$801:$AI$804,1),1),VLOOKUP(AU1291,INDEX((係数_バス貨物_ガソリン,係数_バス貨物_CNG,係数_バス貨物_軽油,係数_バス貨物_メタノール,係数_バス貨物_LPG),MATCH(AY1291,【参考】排出係数!$AI$4:$AI$671,1),1,BE1291):INDEX((係数_バス貨物_ガソリン,係数_バス貨物_CNG,係数_バス貨物_軽油,係数_バス貨物_メタノール,係数_バス貨物_LPG),MATCH(AY1291+1,【参考】排出係数!$AI$4:$AI$671,1)-1,5,BE1291),4,FALSE)),IF(AND(BE1291=3,LEFT(BF1291,1)="1"),0.48,VLOOKUP(AU1291,INDEX((係数_乗用_ガソリン,係数_乗用_CNG,係数_乗用_軽油,係数_乗用_メタノール,係数_乗用_LPG),1,1,BE1291):INDEX((係数_乗用_ガソリン,係数_乗用_CNG,係数_乗用_軽油,係数_乗用_メタノール,係数_乗用_LPG),125,5,BE1291),4,FALSE)))))</f>
        <v/>
      </c>
      <c r="AL1291" s="461" t="str">
        <f t="shared" si="729"/>
        <v/>
      </c>
      <c r="AM1291" s="460" t="str">
        <f>IF(AU1291="","",IF(OR(AZ1291=8,AZ1291=9),0,IF(OR(AW1291=3,AW1291=4,AW1291=5,AW1291=6),IF(LEFT(BH1291,1)="1",INDEX(係数_PM低減,MATCH(AY1291,【参考】排出係数!$AI$801:$AI$804,1),MATCH(BI1291,【参考】排出係数!$AL$798:$AO$798,1)),VLOOKUP(AU1291,INDEX((係数_バス貨物_ガソリン,係数_バス貨物_CNG,係数_バス貨物_軽油,係数_バス貨物_メタノール,係数_バス貨物_LPG),MATCH(AY1291,【参考】排出係数!$AI$4:$AI$671,1),1,BE1291):INDEX((係数_バス貨物_ガソリン,係数_バス貨物_CNG,係数_バス貨物_軽油,係数_バス貨物_メタノール,係数_バス貨物_LPG),MATCH(AY1291+1,【参考】排出係数!$AI$4:$AI$671,1)-1,5,BE1291),5,FALSE)),IF(AND(BE1291=3,LEFT(BF1291,1)="1"),0.055,VLOOKUP(AU1291,INDEX((係数_乗用_ガソリン,係数_乗用_CNG,係数_乗用_軽油,係数_乗用_メタノール,係数_乗用_LPG),1,1,BE1291):INDEX((係数_乗用_ガソリン,係数_乗用_CNG,係数_乗用_軽油,係数_乗用_メタノール,係数_乗用_LPG),125,5,BE1291),5,FALSE)))))</f>
        <v/>
      </c>
      <c r="AN1291" s="461" t="str">
        <f t="shared" si="730"/>
        <v/>
      </c>
      <c r="AO1291" s="462" t="str">
        <f t="shared" si="731"/>
        <v/>
      </c>
      <c r="AP1291" s="463" t="str">
        <f t="shared" si="732"/>
        <v/>
      </c>
      <c r="AQ1291" s="464"/>
      <c r="AR1291" s="619"/>
      <c r="AS1291" s="465" t="str">
        <f t="shared" si="740"/>
        <v/>
      </c>
      <c r="AT1291" s="465" t="str">
        <f t="shared" si="741"/>
        <v/>
      </c>
      <c r="AU1291" s="466" t="str">
        <f t="shared" si="742"/>
        <v/>
      </c>
      <c r="AV1291" s="467" t="str">
        <f t="shared" si="743"/>
        <v/>
      </c>
      <c r="AW1291" s="467" t="str">
        <f t="shared" si="744"/>
        <v/>
      </c>
      <c r="AX1291" s="467" t="str">
        <f t="shared" si="745"/>
        <v/>
      </c>
      <c r="AY1291" s="467" t="str">
        <f t="shared" si="746"/>
        <v/>
      </c>
      <c r="AZ1291" s="467" t="str">
        <f t="shared" si="747"/>
        <v/>
      </c>
      <c r="BA1291" s="468" t="str">
        <f>IF(AS1291="","",IF(OR(AU1291="",AU1291="-"),"－",IF(OR(AZ1291=8,AZ1291=9),"",IF(OR(AW1291=3,AW1291=4,AW1291=5,AW1291=6),VLOOKUP(AU1291,INDEX((係数_バス貨物_ガソリン,係数_バス貨物_CNG,係数_バス貨物_軽油,係数_バス貨物_メタノール,係数_バス貨物_LPG),MATCH(AY1291,【参考】排出係数!$AI$4:$AI$671,1),1,BE1291):INDEX((係数_バス貨物_ガソリン,係数_バス貨物_CNG,係数_バス貨物_軽油,係数_バス貨物_メタノール,係数_バス貨物_LPG),MATCH(AY1291+1,【参考】排出係数!$AI$4:$AI$671,1)-1,5,BE1291),2,FALSE),IF(OR(AW1291=1,AW1291=2),VLOOKUP(AU1291,INDEX((係数_乗用_ガソリン,係数_乗用_CNG,係数_乗用_軽油,係数_乗用_メタノール,係数_乗用_LPG),1,1,BE1291):INDEX((係数_乗用_ガソリン,係数_乗用_CNG,係数_乗用_軽油,係数_乗用_メタノール,係数_乗用_LPG),125,5,BE1291),2,FALSE))))))</f>
        <v/>
      </c>
      <c r="BB1291" s="468" t="str">
        <f>IF(T1291="","",IF(OR(AU1291="",AU1291="-"),"－",IF(OR(AZ1291=8,AZ1291=9),"",IF(OR(AW1291=3,AW1291=4,AW1291=5,AW1291=6),VLOOKUP(AU1291,INDEX((係数_バス貨物_ガソリン,係数_バス貨物_CNG,係数_バス貨物_軽油,係数_バス貨物_メタノール,係数_バス貨物_LPG),MATCH(AY1291,【参考】排出係数!$AI$4:$AI$671,1),1,BE1291):INDEX((係数_バス貨物_ガソリン,係数_バス貨物_CNG,係数_バス貨物_軽油,係数_バス貨物_メタノール,係数_バス貨物_LPG),MATCH(AY1291+1,【参考】排出係数!$AI$4:$AI$671,1)-1,5,BE1291),3,FALSE),IF(OR(AW1291=1,AW1291=2),VLOOKUP(AU1291,INDEX((係数_乗用_ガソリン,係数_乗用_CNG,係数_乗用_軽油,係数_乗用_メタノール,係数_乗用_LPG),1,1,BE1291):INDEX((係数_乗用_ガソリン,係数_乗用_CNG,係数_乗用_軽油,係数_乗用_メタノール,係数_乗用_LPG),125,5,BE1291),3,FALSE))))))</f>
        <v/>
      </c>
      <c r="BC1291" s="467" t="str">
        <f t="shared" si="748"/>
        <v/>
      </c>
      <c r="BD1291" s="567" t="str">
        <f t="shared" si="749"/>
        <v/>
      </c>
      <c r="BE1291" s="467" t="str">
        <f t="shared" si="750"/>
        <v/>
      </c>
      <c r="BF1291" s="469" t="str">
        <f t="shared" ca="1" si="751"/>
        <v/>
      </c>
      <c r="BG1291" s="469" t="str">
        <f t="shared" ca="1" si="752"/>
        <v/>
      </c>
      <c r="BH1291" s="467" t="str">
        <f t="shared" si="753"/>
        <v/>
      </c>
      <c r="BI1291" s="467" t="str">
        <f t="shared" ca="1" si="754"/>
        <v/>
      </c>
      <c r="BJ1291" s="469" t="str">
        <f t="shared" si="755"/>
        <v/>
      </c>
      <c r="BK1291" s="470" t="str">
        <f t="shared" si="739"/>
        <v/>
      </c>
      <c r="BL1291" s="775" t="str">
        <f t="shared" si="756"/>
        <v/>
      </c>
      <c r="BM1291" s="775" t="str">
        <f t="shared" si="757"/>
        <v/>
      </c>
    </row>
    <row r="1292" spans="1:65">
      <c r="A1292" s="473">
        <v>1236</v>
      </c>
      <c r="B1292" s="132"/>
      <c r="C1292" s="332"/>
      <c r="D1292" s="333"/>
      <c r="E1292" s="333"/>
      <c r="F1292" s="334"/>
      <c r="G1292" s="337"/>
      <c r="H1292" s="131"/>
      <c r="I1292" s="337"/>
      <c r="J1292" s="131"/>
      <c r="K1292" s="458" t="str">
        <f t="shared" si="720"/>
        <v/>
      </c>
      <c r="L1292" s="458">
        <f t="shared" si="721"/>
        <v>0</v>
      </c>
      <c r="M1292" s="458">
        <f t="shared" si="722"/>
        <v>0</v>
      </c>
      <c r="N1292" s="459" t="str">
        <f t="shared" si="733"/>
        <v/>
      </c>
      <c r="O1292" s="459" t="str">
        <f t="shared" si="734"/>
        <v/>
      </c>
      <c r="P1292" s="459" t="str">
        <f t="shared" si="735"/>
        <v/>
      </c>
      <c r="Q1292" s="459" t="str">
        <f t="shared" si="736"/>
        <v/>
      </c>
      <c r="R1292" s="459" t="str">
        <f t="shared" si="737"/>
        <v/>
      </c>
      <c r="S1292" s="459" t="str">
        <f t="shared" si="738"/>
        <v/>
      </c>
      <c r="T1292" s="566" t="str">
        <f t="shared" si="723"/>
        <v/>
      </c>
      <c r="U1292" s="702"/>
      <c r="V1292" s="132"/>
      <c r="W1292" s="133"/>
      <c r="X1292" s="134"/>
      <c r="Y1292" s="135"/>
      <c r="Z1292" s="137"/>
      <c r="AA1292" s="136"/>
      <c r="AB1292" s="566" t="str">
        <f t="shared" si="724"/>
        <v/>
      </c>
      <c r="AC1292" s="568" t="str">
        <f t="shared" si="725"/>
        <v/>
      </c>
      <c r="AD1292" s="137"/>
      <c r="AE1292" s="137"/>
      <c r="AF1292" s="138"/>
      <c r="AG1292" s="138"/>
      <c r="AH1292" s="592" t="str">
        <f t="shared" si="726"/>
        <v/>
      </c>
      <c r="AI1292" s="592" t="str">
        <f t="shared" si="727"/>
        <v/>
      </c>
      <c r="AJ1292" s="592" t="str">
        <f t="shared" si="728"/>
        <v/>
      </c>
      <c r="AK1292" s="460" t="str">
        <f>IF(AU1292="","",IF(OR(AZ1292=8,AZ1292=9),0,IF(OR(AW1292=3,AW1292=4,AW1292=5,AW1292=6),IF(LEFT(BF1292,1)="1",INDEX(係数_NOX・PM低減,MATCH(AY1292,【参考】排出係数!$AI$801:$AI$804,1),1),VLOOKUP(AU1292,INDEX((係数_バス貨物_ガソリン,係数_バス貨物_CNG,係数_バス貨物_軽油,係数_バス貨物_メタノール,係数_バス貨物_LPG),MATCH(AY1292,【参考】排出係数!$AI$4:$AI$671,1),1,BE1292):INDEX((係数_バス貨物_ガソリン,係数_バス貨物_CNG,係数_バス貨物_軽油,係数_バス貨物_メタノール,係数_バス貨物_LPG),MATCH(AY1292+1,【参考】排出係数!$AI$4:$AI$671,1)-1,5,BE1292),4,FALSE)),IF(AND(BE1292=3,LEFT(BF1292,1)="1"),0.48,VLOOKUP(AU1292,INDEX((係数_乗用_ガソリン,係数_乗用_CNG,係数_乗用_軽油,係数_乗用_メタノール,係数_乗用_LPG),1,1,BE1292):INDEX((係数_乗用_ガソリン,係数_乗用_CNG,係数_乗用_軽油,係数_乗用_メタノール,係数_乗用_LPG),125,5,BE1292),4,FALSE)))))</f>
        <v/>
      </c>
      <c r="AL1292" s="461" t="str">
        <f t="shared" si="729"/>
        <v/>
      </c>
      <c r="AM1292" s="460" t="str">
        <f>IF(AU1292="","",IF(OR(AZ1292=8,AZ1292=9),0,IF(OR(AW1292=3,AW1292=4,AW1292=5,AW1292=6),IF(LEFT(BH1292,1)="1",INDEX(係数_PM低減,MATCH(AY1292,【参考】排出係数!$AI$801:$AI$804,1),MATCH(BI1292,【参考】排出係数!$AL$798:$AO$798,1)),VLOOKUP(AU1292,INDEX((係数_バス貨物_ガソリン,係数_バス貨物_CNG,係数_バス貨物_軽油,係数_バス貨物_メタノール,係数_バス貨物_LPG),MATCH(AY1292,【参考】排出係数!$AI$4:$AI$671,1),1,BE1292):INDEX((係数_バス貨物_ガソリン,係数_バス貨物_CNG,係数_バス貨物_軽油,係数_バス貨物_メタノール,係数_バス貨物_LPG),MATCH(AY1292+1,【参考】排出係数!$AI$4:$AI$671,1)-1,5,BE1292),5,FALSE)),IF(AND(BE1292=3,LEFT(BF1292,1)="1"),0.055,VLOOKUP(AU1292,INDEX((係数_乗用_ガソリン,係数_乗用_CNG,係数_乗用_軽油,係数_乗用_メタノール,係数_乗用_LPG),1,1,BE1292):INDEX((係数_乗用_ガソリン,係数_乗用_CNG,係数_乗用_軽油,係数_乗用_メタノール,係数_乗用_LPG),125,5,BE1292),5,FALSE)))))</f>
        <v/>
      </c>
      <c r="AN1292" s="461" t="str">
        <f t="shared" si="730"/>
        <v/>
      </c>
      <c r="AO1292" s="462" t="str">
        <f t="shared" si="731"/>
        <v/>
      </c>
      <c r="AP1292" s="463" t="str">
        <f t="shared" si="732"/>
        <v/>
      </c>
      <c r="AQ1292" s="464"/>
      <c r="AR1292" s="619"/>
      <c r="AS1292" s="465" t="str">
        <f t="shared" si="740"/>
        <v/>
      </c>
      <c r="AT1292" s="465" t="str">
        <f t="shared" si="741"/>
        <v/>
      </c>
      <c r="AU1292" s="466" t="str">
        <f t="shared" si="742"/>
        <v/>
      </c>
      <c r="AV1292" s="467" t="str">
        <f t="shared" si="743"/>
        <v/>
      </c>
      <c r="AW1292" s="467" t="str">
        <f t="shared" si="744"/>
        <v/>
      </c>
      <c r="AX1292" s="467" t="str">
        <f t="shared" si="745"/>
        <v/>
      </c>
      <c r="AY1292" s="467" t="str">
        <f t="shared" si="746"/>
        <v/>
      </c>
      <c r="AZ1292" s="467" t="str">
        <f t="shared" si="747"/>
        <v/>
      </c>
      <c r="BA1292" s="468" t="str">
        <f>IF(AS1292="","",IF(OR(AU1292="",AU1292="-"),"－",IF(OR(AZ1292=8,AZ1292=9),"",IF(OR(AW1292=3,AW1292=4,AW1292=5,AW1292=6),VLOOKUP(AU1292,INDEX((係数_バス貨物_ガソリン,係数_バス貨物_CNG,係数_バス貨物_軽油,係数_バス貨物_メタノール,係数_バス貨物_LPG),MATCH(AY1292,【参考】排出係数!$AI$4:$AI$671,1),1,BE1292):INDEX((係数_バス貨物_ガソリン,係数_バス貨物_CNG,係数_バス貨物_軽油,係数_バス貨物_メタノール,係数_バス貨物_LPG),MATCH(AY1292+1,【参考】排出係数!$AI$4:$AI$671,1)-1,5,BE1292),2,FALSE),IF(OR(AW1292=1,AW1292=2),VLOOKUP(AU1292,INDEX((係数_乗用_ガソリン,係数_乗用_CNG,係数_乗用_軽油,係数_乗用_メタノール,係数_乗用_LPG),1,1,BE1292):INDEX((係数_乗用_ガソリン,係数_乗用_CNG,係数_乗用_軽油,係数_乗用_メタノール,係数_乗用_LPG),125,5,BE1292),2,FALSE))))))</f>
        <v/>
      </c>
      <c r="BB1292" s="468" t="str">
        <f>IF(T1292="","",IF(OR(AU1292="",AU1292="-"),"－",IF(OR(AZ1292=8,AZ1292=9),"",IF(OR(AW1292=3,AW1292=4,AW1292=5,AW1292=6),VLOOKUP(AU1292,INDEX((係数_バス貨物_ガソリン,係数_バス貨物_CNG,係数_バス貨物_軽油,係数_バス貨物_メタノール,係数_バス貨物_LPG),MATCH(AY1292,【参考】排出係数!$AI$4:$AI$671,1),1,BE1292):INDEX((係数_バス貨物_ガソリン,係数_バス貨物_CNG,係数_バス貨物_軽油,係数_バス貨物_メタノール,係数_バス貨物_LPG),MATCH(AY1292+1,【参考】排出係数!$AI$4:$AI$671,1)-1,5,BE1292),3,FALSE),IF(OR(AW1292=1,AW1292=2),VLOOKUP(AU1292,INDEX((係数_乗用_ガソリン,係数_乗用_CNG,係数_乗用_軽油,係数_乗用_メタノール,係数_乗用_LPG),1,1,BE1292):INDEX((係数_乗用_ガソリン,係数_乗用_CNG,係数_乗用_軽油,係数_乗用_メタノール,係数_乗用_LPG),125,5,BE1292),3,FALSE))))))</f>
        <v/>
      </c>
      <c r="BC1292" s="467" t="str">
        <f t="shared" si="748"/>
        <v/>
      </c>
      <c r="BD1292" s="567" t="str">
        <f t="shared" si="749"/>
        <v/>
      </c>
      <c r="BE1292" s="467" t="str">
        <f t="shared" si="750"/>
        <v/>
      </c>
      <c r="BF1292" s="469" t="str">
        <f t="shared" ca="1" si="751"/>
        <v/>
      </c>
      <c r="BG1292" s="469" t="str">
        <f t="shared" ca="1" si="752"/>
        <v/>
      </c>
      <c r="BH1292" s="467" t="str">
        <f t="shared" si="753"/>
        <v/>
      </c>
      <c r="BI1292" s="467" t="str">
        <f t="shared" ca="1" si="754"/>
        <v/>
      </c>
      <c r="BJ1292" s="469" t="str">
        <f t="shared" si="755"/>
        <v/>
      </c>
      <c r="BK1292" s="470" t="str">
        <f t="shared" si="739"/>
        <v/>
      </c>
      <c r="BL1292" s="775" t="str">
        <f t="shared" si="756"/>
        <v/>
      </c>
      <c r="BM1292" s="775" t="str">
        <f t="shared" si="757"/>
        <v/>
      </c>
    </row>
    <row r="1293" spans="1:65">
      <c r="A1293" s="473">
        <v>1237</v>
      </c>
      <c r="B1293" s="132"/>
      <c r="C1293" s="332"/>
      <c r="D1293" s="333"/>
      <c r="E1293" s="333"/>
      <c r="F1293" s="334"/>
      <c r="G1293" s="337"/>
      <c r="H1293" s="131"/>
      <c r="I1293" s="337"/>
      <c r="J1293" s="131"/>
      <c r="K1293" s="458" t="str">
        <f t="shared" si="720"/>
        <v/>
      </c>
      <c r="L1293" s="458">
        <f t="shared" si="721"/>
        <v>0</v>
      </c>
      <c r="M1293" s="458">
        <f t="shared" si="722"/>
        <v>0</v>
      </c>
      <c r="N1293" s="459" t="str">
        <f t="shared" si="733"/>
        <v/>
      </c>
      <c r="O1293" s="459" t="str">
        <f t="shared" si="734"/>
        <v/>
      </c>
      <c r="P1293" s="459" t="str">
        <f t="shared" si="735"/>
        <v/>
      </c>
      <c r="Q1293" s="459" t="str">
        <f t="shared" si="736"/>
        <v/>
      </c>
      <c r="R1293" s="459" t="str">
        <f t="shared" si="737"/>
        <v/>
      </c>
      <c r="S1293" s="459" t="str">
        <f t="shared" si="738"/>
        <v/>
      </c>
      <c r="T1293" s="566" t="str">
        <f t="shared" si="723"/>
        <v/>
      </c>
      <c r="U1293" s="702"/>
      <c r="V1293" s="132"/>
      <c r="W1293" s="133"/>
      <c r="X1293" s="134"/>
      <c r="Y1293" s="135"/>
      <c r="Z1293" s="137"/>
      <c r="AA1293" s="136"/>
      <c r="AB1293" s="566" t="str">
        <f t="shared" si="724"/>
        <v/>
      </c>
      <c r="AC1293" s="568" t="str">
        <f t="shared" si="725"/>
        <v/>
      </c>
      <c r="AD1293" s="137"/>
      <c r="AE1293" s="137"/>
      <c r="AF1293" s="138"/>
      <c r="AG1293" s="138"/>
      <c r="AH1293" s="592" t="str">
        <f t="shared" si="726"/>
        <v/>
      </c>
      <c r="AI1293" s="592" t="str">
        <f t="shared" si="727"/>
        <v/>
      </c>
      <c r="AJ1293" s="592" t="str">
        <f t="shared" si="728"/>
        <v/>
      </c>
      <c r="AK1293" s="460" t="str">
        <f>IF(AU1293="","",IF(OR(AZ1293=8,AZ1293=9),0,IF(OR(AW1293=3,AW1293=4,AW1293=5,AW1293=6),IF(LEFT(BF1293,1)="1",INDEX(係数_NOX・PM低減,MATCH(AY1293,【参考】排出係数!$AI$801:$AI$804,1),1),VLOOKUP(AU1293,INDEX((係数_バス貨物_ガソリン,係数_バス貨物_CNG,係数_バス貨物_軽油,係数_バス貨物_メタノール,係数_バス貨物_LPG),MATCH(AY1293,【参考】排出係数!$AI$4:$AI$671,1),1,BE1293):INDEX((係数_バス貨物_ガソリン,係数_バス貨物_CNG,係数_バス貨物_軽油,係数_バス貨物_メタノール,係数_バス貨物_LPG),MATCH(AY1293+1,【参考】排出係数!$AI$4:$AI$671,1)-1,5,BE1293),4,FALSE)),IF(AND(BE1293=3,LEFT(BF1293,1)="1"),0.48,VLOOKUP(AU1293,INDEX((係数_乗用_ガソリン,係数_乗用_CNG,係数_乗用_軽油,係数_乗用_メタノール,係数_乗用_LPG),1,1,BE1293):INDEX((係数_乗用_ガソリン,係数_乗用_CNG,係数_乗用_軽油,係数_乗用_メタノール,係数_乗用_LPG),125,5,BE1293),4,FALSE)))))</f>
        <v/>
      </c>
      <c r="AL1293" s="461" t="str">
        <f t="shared" si="729"/>
        <v/>
      </c>
      <c r="AM1293" s="460" t="str">
        <f>IF(AU1293="","",IF(OR(AZ1293=8,AZ1293=9),0,IF(OR(AW1293=3,AW1293=4,AW1293=5,AW1293=6),IF(LEFT(BH1293,1)="1",INDEX(係数_PM低減,MATCH(AY1293,【参考】排出係数!$AI$801:$AI$804,1),MATCH(BI1293,【参考】排出係数!$AL$798:$AO$798,1)),VLOOKUP(AU1293,INDEX((係数_バス貨物_ガソリン,係数_バス貨物_CNG,係数_バス貨物_軽油,係数_バス貨物_メタノール,係数_バス貨物_LPG),MATCH(AY1293,【参考】排出係数!$AI$4:$AI$671,1),1,BE1293):INDEX((係数_バス貨物_ガソリン,係数_バス貨物_CNG,係数_バス貨物_軽油,係数_バス貨物_メタノール,係数_バス貨物_LPG),MATCH(AY1293+1,【参考】排出係数!$AI$4:$AI$671,1)-1,5,BE1293),5,FALSE)),IF(AND(BE1293=3,LEFT(BF1293,1)="1"),0.055,VLOOKUP(AU1293,INDEX((係数_乗用_ガソリン,係数_乗用_CNG,係数_乗用_軽油,係数_乗用_メタノール,係数_乗用_LPG),1,1,BE1293):INDEX((係数_乗用_ガソリン,係数_乗用_CNG,係数_乗用_軽油,係数_乗用_メタノール,係数_乗用_LPG),125,5,BE1293),5,FALSE)))))</f>
        <v/>
      </c>
      <c r="AN1293" s="461" t="str">
        <f t="shared" si="730"/>
        <v/>
      </c>
      <c r="AO1293" s="462" t="str">
        <f t="shared" si="731"/>
        <v/>
      </c>
      <c r="AP1293" s="463" t="str">
        <f t="shared" si="732"/>
        <v/>
      </c>
      <c r="AQ1293" s="464"/>
      <c r="AR1293" s="619"/>
      <c r="AS1293" s="465" t="str">
        <f t="shared" si="740"/>
        <v/>
      </c>
      <c r="AT1293" s="465" t="str">
        <f t="shared" si="741"/>
        <v/>
      </c>
      <c r="AU1293" s="466" t="str">
        <f t="shared" si="742"/>
        <v/>
      </c>
      <c r="AV1293" s="467" t="str">
        <f t="shared" si="743"/>
        <v/>
      </c>
      <c r="AW1293" s="467" t="str">
        <f t="shared" si="744"/>
        <v/>
      </c>
      <c r="AX1293" s="467" t="str">
        <f t="shared" si="745"/>
        <v/>
      </c>
      <c r="AY1293" s="467" t="str">
        <f t="shared" si="746"/>
        <v/>
      </c>
      <c r="AZ1293" s="467" t="str">
        <f t="shared" si="747"/>
        <v/>
      </c>
      <c r="BA1293" s="468" t="str">
        <f>IF(AS1293="","",IF(OR(AU1293="",AU1293="-"),"－",IF(OR(AZ1293=8,AZ1293=9),"",IF(OR(AW1293=3,AW1293=4,AW1293=5,AW1293=6),VLOOKUP(AU1293,INDEX((係数_バス貨物_ガソリン,係数_バス貨物_CNG,係数_バス貨物_軽油,係数_バス貨物_メタノール,係数_バス貨物_LPG),MATCH(AY1293,【参考】排出係数!$AI$4:$AI$671,1),1,BE1293):INDEX((係数_バス貨物_ガソリン,係数_バス貨物_CNG,係数_バス貨物_軽油,係数_バス貨物_メタノール,係数_バス貨物_LPG),MATCH(AY1293+1,【参考】排出係数!$AI$4:$AI$671,1)-1,5,BE1293),2,FALSE),IF(OR(AW1293=1,AW1293=2),VLOOKUP(AU1293,INDEX((係数_乗用_ガソリン,係数_乗用_CNG,係数_乗用_軽油,係数_乗用_メタノール,係数_乗用_LPG),1,1,BE1293):INDEX((係数_乗用_ガソリン,係数_乗用_CNG,係数_乗用_軽油,係数_乗用_メタノール,係数_乗用_LPG),125,5,BE1293),2,FALSE))))))</f>
        <v/>
      </c>
      <c r="BB1293" s="468" t="str">
        <f>IF(T1293="","",IF(OR(AU1293="",AU1293="-"),"－",IF(OR(AZ1293=8,AZ1293=9),"",IF(OR(AW1293=3,AW1293=4,AW1293=5,AW1293=6),VLOOKUP(AU1293,INDEX((係数_バス貨物_ガソリン,係数_バス貨物_CNG,係数_バス貨物_軽油,係数_バス貨物_メタノール,係数_バス貨物_LPG),MATCH(AY1293,【参考】排出係数!$AI$4:$AI$671,1),1,BE1293):INDEX((係数_バス貨物_ガソリン,係数_バス貨物_CNG,係数_バス貨物_軽油,係数_バス貨物_メタノール,係数_バス貨物_LPG),MATCH(AY1293+1,【参考】排出係数!$AI$4:$AI$671,1)-1,5,BE1293),3,FALSE),IF(OR(AW1293=1,AW1293=2),VLOOKUP(AU1293,INDEX((係数_乗用_ガソリン,係数_乗用_CNG,係数_乗用_軽油,係数_乗用_メタノール,係数_乗用_LPG),1,1,BE1293):INDEX((係数_乗用_ガソリン,係数_乗用_CNG,係数_乗用_軽油,係数_乗用_メタノール,係数_乗用_LPG),125,5,BE1293),3,FALSE))))))</f>
        <v/>
      </c>
      <c r="BC1293" s="467" t="str">
        <f t="shared" si="748"/>
        <v/>
      </c>
      <c r="BD1293" s="567" t="str">
        <f t="shared" si="749"/>
        <v/>
      </c>
      <c r="BE1293" s="467" t="str">
        <f t="shared" si="750"/>
        <v/>
      </c>
      <c r="BF1293" s="469" t="str">
        <f t="shared" ca="1" si="751"/>
        <v/>
      </c>
      <c r="BG1293" s="469" t="str">
        <f t="shared" ca="1" si="752"/>
        <v/>
      </c>
      <c r="BH1293" s="467" t="str">
        <f t="shared" si="753"/>
        <v/>
      </c>
      <c r="BI1293" s="467" t="str">
        <f t="shared" ca="1" si="754"/>
        <v/>
      </c>
      <c r="BJ1293" s="469" t="str">
        <f t="shared" si="755"/>
        <v/>
      </c>
      <c r="BK1293" s="470" t="str">
        <f t="shared" si="739"/>
        <v/>
      </c>
      <c r="BL1293" s="775" t="str">
        <f t="shared" si="756"/>
        <v/>
      </c>
      <c r="BM1293" s="775" t="str">
        <f t="shared" si="757"/>
        <v/>
      </c>
    </row>
    <row r="1294" spans="1:65">
      <c r="A1294" s="473">
        <v>1238</v>
      </c>
      <c r="B1294" s="132"/>
      <c r="C1294" s="332"/>
      <c r="D1294" s="333"/>
      <c r="E1294" s="333"/>
      <c r="F1294" s="334"/>
      <c r="G1294" s="337"/>
      <c r="H1294" s="131"/>
      <c r="I1294" s="337"/>
      <c r="J1294" s="131"/>
      <c r="K1294" s="458" t="str">
        <f t="shared" si="720"/>
        <v/>
      </c>
      <c r="L1294" s="458">
        <f t="shared" si="721"/>
        <v>0</v>
      </c>
      <c r="M1294" s="458">
        <f t="shared" si="722"/>
        <v>0</v>
      </c>
      <c r="N1294" s="459" t="str">
        <f t="shared" si="733"/>
        <v/>
      </c>
      <c r="O1294" s="459" t="str">
        <f t="shared" si="734"/>
        <v/>
      </c>
      <c r="P1294" s="459" t="str">
        <f t="shared" si="735"/>
        <v/>
      </c>
      <c r="Q1294" s="459" t="str">
        <f t="shared" si="736"/>
        <v/>
      </c>
      <c r="R1294" s="459" t="str">
        <f t="shared" si="737"/>
        <v/>
      </c>
      <c r="S1294" s="459" t="str">
        <f t="shared" si="738"/>
        <v/>
      </c>
      <c r="T1294" s="566" t="str">
        <f t="shared" si="723"/>
        <v/>
      </c>
      <c r="U1294" s="702"/>
      <c r="V1294" s="132"/>
      <c r="W1294" s="133"/>
      <c r="X1294" s="134"/>
      <c r="Y1294" s="135"/>
      <c r="Z1294" s="137"/>
      <c r="AA1294" s="136"/>
      <c r="AB1294" s="566" t="str">
        <f t="shared" si="724"/>
        <v/>
      </c>
      <c r="AC1294" s="568" t="str">
        <f t="shared" si="725"/>
        <v/>
      </c>
      <c r="AD1294" s="137"/>
      <c r="AE1294" s="137"/>
      <c r="AF1294" s="138"/>
      <c r="AG1294" s="138"/>
      <c r="AH1294" s="592" t="str">
        <f t="shared" si="726"/>
        <v/>
      </c>
      <c r="AI1294" s="592" t="str">
        <f t="shared" si="727"/>
        <v/>
      </c>
      <c r="AJ1294" s="592" t="str">
        <f t="shared" si="728"/>
        <v/>
      </c>
      <c r="AK1294" s="460" t="str">
        <f>IF(AU1294="","",IF(OR(AZ1294=8,AZ1294=9),0,IF(OR(AW1294=3,AW1294=4,AW1294=5,AW1294=6),IF(LEFT(BF1294,1)="1",INDEX(係数_NOX・PM低減,MATCH(AY1294,【参考】排出係数!$AI$801:$AI$804,1),1),VLOOKUP(AU1294,INDEX((係数_バス貨物_ガソリン,係数_バス貨物_CNG,係数_バス貨物_軽油,係数_バス貨物_メタノール,係数_バス貨物_LPG),MATCH(AY1294,【参考】排出係数!$AI$4:$AI$671,1),1,BE1294):INDEX((係数_バス貨物_ガソリン,係数_バス貨物_CNG,係数_バス貨物_軽油,係数_バス貨物_メタノール,係数_バス貨物_LPG),MATCH(AY1294+1,【参考】排出係数!$AI$4:$AI$671,1)-1,5,BE1294),4,FALSE)),IF(AND(BE1294=3,LEFT(BF1294,1)="1"),0.48,VLOOKUP(AU1294,INDEX((係数_乗用_ガソリン,係数_乗用_CNG,係数_乗用_軽油,係数_乗用_メタノール,係数_乗用_LPG),1,1,BE1294):INDEX((係数_乗用_ガソリン,係数_乗用_CNG,係数_乗用_軽油,係数_乗用_メタノール,係数_乗用_LPG),125,5,BE1294),4,FALSE)))))</f>
        <v/>
      </c>
      <c r="AL1294" s="461" t="str">
        <f t="shared" si="729"/>
        <v/>
      </c>
      <c r="AM1294" s="460" t="str">
        <f>IF(AU1294="","",IF(OR(AZ1294=8,AZ1294=9),0,IF(OR(AW1294=3,AW1294=4,AW1294=5,AW1294=6),IF(LEFT(BH1294,1)="1",INDEX(係数_PM低減,MATCH(AY1294,【参考】排出係数!$AI$801:$AI$804,1),MATCH(BI1294,【参考】排出係数!$AL$798:$AO$798,1)),VLOOKUP(AU1294,INDEX((係数_バス貨物_ガソリン,係数_バス貨物_CNG,係数_バス貨物_軽油,係数_バス貨物_メタノール,係数_バス貨物_LPG),MATCH(AY1294,【参考】排出係数!$AI$4:$AI$671,1),1,BE1294):INDEX((係数_バス貨物_ガソリン,係数_バス貨物_CNG,係数_バス貨物_軽油,係数_バス貨物_メタノール,係数_バス貨物_LPG),MATCH(AY1294+1,【参考】排出係数!$AI$4:$AI$671,1)-1,5,BE1294),5,FALSE)),IF(AND(BE1294=3,LEFT(BF1294,1)="1"),0.055,VLOOKUP(AU1294,INDEX((係数_乗用_ガソリン,係数_乗用_CNG,係数_乗用_軽油,係数_乗用_メタノール,係数_乗用_LPG),1,1,BE1294):INDEX((係数_乗用_ガソリン,係数_乗用_CNG,係数_乗用_軽油,係数_乗用_メタノール,係数_乗用_LPG),125,5,BE1294),5,FALSE)))))</f>
        <v/>
      </c>
      <c r="AN1294" s="461" t="str">
        <f t="shared" si="730"/>
        <v/>
      </c>
      <c r="AO1294" s="462" t="str">
        <f t="shared" si="731"/>
        <v/>
      </c>
      <c r="AP1294" s="463" t="str">
        <f t="shared" si="732"/>
        <v/>
      </c>
      <c r="AQ1294" s="464"/>
      <c r="AR1294" s="619"/>
      <c r="AS1294" s="465" t="str">
        <f t="shared" si="740"/>
        <v/>
      </c>
      <c r="AT1294" s="465" t="str">
        <f t="shared" si="741"/>
        <v/>
      </c>
      <c r="AU1294" s="466" t="str">
        <f t="shared" si="742"/>
        <v/>
      </c>
      <c r="AV1294" s="467" t="str">
        <f t="shared" si="743"/>
        <v/>
      </c>
      <c r="AW1294" s="467" t="str">
        <f t="shared" si="744"/>
        <v/>
      </c>
      <c r="AX1294" s="467" t="str">
        <f t="shared" si="745"/>
        <v/>
      </c>
      <c r="AY1294" s="467" t="str">
        <f t="shared" si="746"/>
        <v/>
      </c>
      <c r="AZ1294" s="467" t="str">
        <f t="shared" si="747"/>
        <v/>
      </c>
      <c r="BA1294" s="468" t="str">
        <f>IF(AS1294="","",IF(OR(AU1294="",AU1294="-"),"－",IF(OR(AZ1294=8,AZ1294=9),"",IF(OR(AW1294=3,AW1294=4,AW1294=5,AW1294=6),VLOOKUP(AU1294,INDEX((係数_バス貨物_ガソリン,係数_バス貨物_CNG,係数_バス貨物_軽油,係数_バス貨物_メタノール,係数_バス貨物_LPG),MATCH(AY1294,【参考】排出係数!$AI$4:$AI$671,1),1,BE1294):INDEX((係数_バス貨物_ガソリン,係数_バス貨物_CNG,係数_バス貨物_軽油,係数_バス貨物_メタノール,係数_バス貨物_LPG),MATCH(AY1294+1,【参考】排出係数!$AI$4:$AI$671,1)-1,5,BE1294),2,FALSE),IF(OR(AW1294=1,AW1294=2),VLOOKUP(AU1294,INDEX((係数_乗用_ガソリン,係数_乗用_CNG,係数_乗用_軽油,係数_乗用_メタノール,係数_乗用_LPG),1,1,BE1294):INDEX((係数_乗用_ガソリン,係数_乗用_CNG,係数_乗用_軽油,係数_乗用_メタノール,係数_乗用_LPG),125,5,BE1294),2,FALSE))))))</f>
        <v/>
      </c>
      <c r="BB1294" s="468" t="str">
        <f>IF(T1294="","",IF(OR(AU1294="",AU1294="-"),"－",IF(OR(AZ1294=8,AZ1294=9),"",IF(OR(AW1294=3,AW1294=4,AW1294=5,AW1294=6),VLOOKUP(AU1294,INDEX((係数_バス貨物_ガソリン,係数_バス貨物_CNG,係数_バス貨物_軽油,係数_バス貨物_メタノール,係数_バス貨物_LPG),MATCH(AY1294,【参考】排出係数!$AI$4:$AI$671,1),1,BE1294):INDEX((係数_バス貨物_ガソリン,係数_バス貨物_CNG,係数_バス貨物_軽油,係数_バス貨物_メタノール,係数_バス貨物_LPG),MATCH(AY1294+1,【参考】排出係数!$AI$4:$AI$671,1)-1,5,BE1294),3,FALSE),IF(OR(AW1294=1,AW1294=2),VLOOKUP(AU1294,INDEX((係数_乗用_ガソリン,係数_乗用_CNG,係数_乗用_軽油,係数_乗用_メタノール,係数_乗用_LPG),1,1,BE1294):INDEX((係数_乗用_ガソリン,係数_乗用_CNG,係数_乗用_軽油,係数_乗用_メタノール,係数_乗用_LPG),125,5,BE1294),3,FALSE))))))</f>
        <v/>
      </c>
      <c r="BC1294" s="467" t="str">
        <f t="shared" si="748"/>
        <v/>
      </c>
      <c r="BD1294" s="567" t="str">
        <f t="shared" si="749"/>
        <v/>
      </c>
      <c r="BE1294" s="467" t="str">
        <f t="shared" si="750"/>
        <v/>
      </c>
      <c r="BF1294" s="469" t="str">
        <f t="shared" ca="1" si="751"/>
        <v/>
      </c>
      <c r="BG1294" s="469" t="str">
        <f t="shared" ca="1" si="752"/>
        <v/>
      </c>
      <c r="BH1294" s="467" t="str">
        <f t="shared" si="753"/>
        <v/>
      </c>
      <c r="BI1294" s="467" t="str">
        <f t="shared" ca="1" si="754"/>
        <v/>
      </c>
      <c r="BJ1294" s="469" t="str">
        <f t="shared" si="755"/>
        <v/>
      </c>
      <c r="BK1294" s="470" t="str">
        <f t="shared" si="739"/>
        <v/>
      </c>
      <c r="BL1294" s="775" t="str">
        <f t="shared" si="756"/>
        <v/>
      </c>
      <c r="BM1294" s="775" t="str">
        <f t="shared" si="757"/>
        <v/>
      </c>
    </row>
    <row r="1295" spans="1:65">
      <c r="A1295" s="473">
        <v>1239</v>
      </c>
      <c r="B1295" s="132"/>
      <c r="C1295" s="332"/>
      <c r="D1295" s="333"/>
      <c r="E1295" s="333"/>
      <c r="F1295" s="334"/>
      <c r="G1295" s="337"/>
      <c r="H1295" s="131"/>
      <c r="I1295" s="337"/>
      <c r="J1295" s="131"/>
      <c r="K1295" s="458" t="str">
        <f t="shared" si="720"/>
        <v/>
      </c>
      <c r="L1295" s="458">
        <f t="shared" si="721"/>
        <v>0</v>
      </c>
      <c r="M1295" s="458">
        <f t="shared" si="722"/>
        <v>0</v>
      </c>
      <c r="N1295" s="459" t="str">
        <f t="shared" si="733"/>
        <v/>
      </c>
      <c r="O1295" s="459" t="str">
        <f t="shared" si="734"/>
        <v/>
      </c>
      <c r="P1295" s="459" t="str">
        <f t="shared" si="735"/>
        <v/>
      </c>
      <c r="Q1295" s="459" t="str">
        <f t="shared" si="736"/>
        <v/>
      </c>
      <c r="R1295" s="459" t="str">
        <f t="shared" si="737"/>
        <v/>
      </c>
      <c r="S1295" s="459" t="str">
        <f t="shared" si="738"/>
        <v/>
      </c>
      <c r="T1295" s="566" t="str">
        <f t="shared" si="723"/>
        <v/>
      </c>
      <c r="U1295" s="702"/>
      <c r="V1295" s="132"/>
      <c r="W1295" s="133"/>
      <c r="X1295" s="134"/>
      <c r="Y1295" s="135"/>
      <c r="Z1295" s="137"/>
      <c r="AA1295" s="136"/>
      <c r="AB1295" s="566" t="str">
        <f t="shared" si="724"/>
        <v/>
      </c>
      <c r="AC1295" s="568" t="str">
        <f t="shared" si="725"/>
        <v/>
      </c>
      <c r="AD1295" s="137"/>
      <c r="AE1295" s="137"/>
      <c r="AF1295" s="138"/>
      <c r="AG1295" s="138"/>
      <c r="AH1295" s="592" t="str">
        <f t="shared" si="726"/>
        <v/>
      </c>
      <c r="AI1295" s="592" t="str">
        <f t="shared" si="727"/>
        <v/>
      </c>
      <c r="AJ1295" s="592" t="str">
        <f t="shared" si="728"/>
        <v/>
      </c>
      <c r="AK1295" s="460" t="str">
        <f>IF(AU1295="","",IF(OR(AZ1295=8,AZ1295=9),0,IF(OR(AW1295=3,AW1295=4,AW1295=5,AW1295=6),IF(LEFT(BF1295,1)="1",INDEX(係数_NOX・PM低減,MATCH(AY1295,【参考】排出係数!$AI$801:$AI$804,1),1),VLOOKUP(AU1295,INDEX((係数_バス貨物_ガソリン,係数_バス貨物_CNG,係数_バス貨物_軽油,係数_バス貨物_メタノール,係数_バス貨物_LPG),MATCH(AY1295,【参考】排出係数!$AI$4:$AI$671,1),1,BE1295):INDEX((係数_バス貨物_ガソリン,係数_バス貨物_CNG,係数_バス貨物_軽油,係数_バス貨物_メタノール,係数_バス貨物_LPG),MATCH(AY1295+1,【参考】排出係数!$AI$4:$AI$671,1)-1,5,BE1295),4,FALSE)),IF(AND(BE1295=3,LEFT(BF1295,1)="1"),0.48,VLOOKUP(AU1295,INDEX((係数_乗用_ガソリン,係数_乗用_CNG,係数_乗用_軽油,係数_乗用_メタノール,係数_乗用_LPG),1,1,BE1295):INDEX((係数_乗用_ガソリン,係数_乗用_CNG,係数_乗用_軽油,係数_乗用_メタノール,係数_乗用_LPG),125,5,BE1295),4,FALSE)))))</f>
        <v/>
      </c>
      <c r="AL1295" s="461" t="str">
        <f t="shared" si="729"/>
        <v/>
      </c>
      <c r="AM1295" s="460" t="str">
        <f>IF(AU1295="","",IF(OR(AZ1295=8,AZ1295=9),0,IF(OR(AW1295=3,AW1295=4,AW1295=5,AW1295=6),IF(LEFT(BH1295,1)="1",INDEX(係数_PM低減,MATCH(AY1295,【参考】排出係数!$AI$801:$AI$804,1),MATCH(BI1295,【参考】排出係数!$AL$798:$AO$798,1)),VLOOKUP(AU1295,INDEX((係数_バス貨物_ガソリン,係数_バス貨物_CNG,係数_バス貨物_軽油,係数_バス貨物_メタノール,係数_バス貨物_LPG),MATCH(AY1295,【参考】排出係数!$AI$4:$AI$671,1),1,BE1295):INDEX((係数_バス貨物_ガソリン,係数_バス貨物_CNG,係数_バス貨物_軽油,係数_バス貨物_メタノール,係数_バス貨物_LPG),MATCH(AY1295+1,【参考】排出係数!$AI$4:$AI$671,1)-1,5,BE1295),5,FALSE)),IF(AND(BE1295=3,LEFT(BF1295,1)="1"),0.055,VLOOKUP(AU1295,INDEX((係数_乗用_ガソリン,係数_乗用_CNG,係数_乗用_軽油,係数_乗用_メタノール,係数_乗用_LPG),1,1,BE1295):INDEX((係数_乗用_ガソリン,係数_乗用_CNG,係数_乗用_軽油,係数_乗用_メタノール,係数_乗用_LPG),125,5,BE1295),5,FALSE)))))</f>
        <v/>
      </c>
      <c r="AN1295" s="461" t="str">
        <f t="shared" si="730"/>
        <v/>
      </c>
      <c r="AO1295" s="462" t="str">
        <f t="shared" si="731"/>
        <v/>
      </c>
      <c r="AP1295" s="463" t="str">
        <f t="shared" si="732"/>
        <v/>
      </c>
      <c r="AQ1295" s="464"/>
      <c r="AR1295" s="619"/>
      <c r="AS1295" s="465" t="str">
        <f t="shared" si="740"/>
        <v/>
      </c>
      <c r="AT1295" s="465" t="str">
        <f t="shared" si="741"/>
        <v/>
      </c>
      <c r="AU1295" s="466" t="str">
        <f t="shared" si="742"/>
        <v/>
      </c>
      <c r="AV1295" s="467" t="str">
        <f t="shared" si="743"/>
        <v/>
      </c>
      <c r="AW1295" s="467" t="str">
        <f t="shared" si="744"/>
        <v/>
      </c>
      <c r="AX1295" s="467" t="str">
        <f t="shared" si="745"/>
        <v/>
      </c>
      <c r="AY1295" s="467" t="str">
        <f t="shared" si="746"/>
        <v/>
      </c>
      <c r="AZ1295" s="467" t="str">
        <f t="shared" si="747"/>
        <v/>
      </c>
      <c r="BA1295" s="468" t="str">
        <f>IF(AS1295="","",IF(OR(AU1295="",AU1295="-"),"－",IF(OR(AZ1295=8,AZ1295=9),"",IF(OR(AW1295=3,AW1295=4,AW1295=5,AW1295=6),VLOOKUP(AU1295,INDEX((係数_バス貨物_ガソリン,係数_バス貨物_CNG,係数_バス貨物_軽油,係数_バス貨物_メタノール,係数_バス貨物_LPG),MATCH(AY1295,【参考】排出係数!$AI$4:$AI$671,1),1,BE1295):INDEX((係数_バス貨物_ガソリン,係数_バス貨物_CNG,係数_バス貨物_軽油,係数_バス貨物_メタノール,係数_バス貨物_LPG),MATCH(AY1295+1,【参考】排出係数!$AI$4:$AI$671,1)-1,5,BE1295),2,FALSE),IF(OR(AW1295=1,AW1295=2),VLOOKUP(AU1295,INDEX((係数_乗用_ガソリン,係数_乗用_CNG,係数_乗用_軽油,係数_乗用_メタノール,係数_乗用_LPG),1,1,BE1295):INDEX((係数_乗用_ガソリン,係数_乗用_CNG,係数_乗用_軽油,係数_乗用_メタノール,係数_乗用_LPG),125,5,BE1295),2,FALSE))))))</f>
        <v/>
      </c>
      <c r="BB1295" s="468" t="str">
        <f>IF(T1295="","",IF(OR(AU1295="",AU1295="-"),"－",IF(OR(AZ1295=8,AZ1295=9),"",IF(OR(AW1295=3,AW1295=4,AW1295=5,AW1295=6),VLOOKUP(AU1295,INDEX((係数_バス貨物_ガソリン,係数_バス貨物_CNG,係数_バス貨物_軽油,係数_バス貨物_メタノール,係数_バス貨物_LPG),MATCH(AY1295,【参考】排出係数!$AI$4:$AI$671,1),1,BE1295):INDEX((係数_バス貨物_ガソリン,係数_バス貨物_CNG,係数_バス貨物_軽油,係数_バス貨物_メタノール,係数_バス貨物_LPG),MATCH(AY1295+1,【参考】排出係数!$AI$4:$AI$671,1)-1,5,BE1295),3,FALSE),IF(OR(AW1295=1,AW1295=2),VLOOKUP(AU1295,INDEX((係数_乗用_ガソリン,係数_乗用_CNG,係数_乗用_軽油,係数_乗用_メタノール,係数_乗用_LPG),1,1,BE1295):INDEX((係数_乗用_ガソリン,係数_乗用_CNG,係数_乗用_軽油,係数_乗用_メタノール,係数_乗用_LPG),125,5,BE1295),3,FALSE))))))</f>
        <v/>
      </c>
      <c r="BC1295" s="467" t="str">
        <f t="shared" si="748"/>
        <v/>
      </c>
      <c r="BD1295" s="567" t="str">
        <f t="shared" si="749"/>
        <v/>
      </c>
      <c r="BE1295" s="467" t="str">
        <f t="shared" si="750"/>
        <v/>
      </c>
      <c r="BF1295" s="469" t="str">
        <f t="shared" ca="1" si="751"/>
        <v/>
      </c>
      <c r="BG1295" s="469" t="str">
        <f t="shared" ca="1" si="752"/>
        <v/>
      </c>
      <c r="BH1295" s="467" t="str">
        <f t="shared" si="753"/>
        <v/>
      </c>
      <c r="BI1295" s="467" t="str">
        <f t="shared" ca="1" si="754"/>
        <v/>
      </c>
      <c r="BJ1295" s="469" t="str">
        <f t="shared" si="755"/>
        <v/>
      </c>
      <c r="BK1295" s="470" t="str">
        <f t="shared" si="739"/>
        <v/>
      </c>
      <c r="BL1295" s="775" t="str">
        <f t="shared" si="756"/>
        <v/>
      </c>
      <c r="BM1295" s="775" t="str">
        <f t="shared" si="757"/>
        <v/>
      </c>
    </row>
    <row r="1296" spans="1:65">
      <c r="A1296" s="473">
        <v>1240</v>
      </c>
      <c r="B1296" s="132"/>
      <c r="C1296" s="332"/>
      <c r="D1296" s="333"/>
      <c r="E1296" s="333"/>
      <c r="F1296" s="334"/>
      <c r="G1296" s="337"/>
      <c r="H1296" s="131"/>
      <c r="I1296" s="337"/>
      <c r="J1296" s="131"/>
      <c r="K1296" s="458" t="str">
        <f t="shared" si="720"/>
        <v/>
      </c>
      <c r="L1296" s="458">
        <f t="shared" si="721"/>
        <v>0</v>
      </c>
      <c r="M1296" s="458">
        <f t="shared" si="722"/>
        <v>0</v>
      </c>
      <c r="N1296" s="459" t="str">
        <f t="shared" si="733"/>
        <v/>
      </c>
      <c r="O1296" s="459" t="str">
        <f t="shared" si="734"/>
        <v/>
      </c>
      <c r="P1296" s="459" t="str">
        <f t="shared" si="735"/>
        <v/>
      </c>
      <c r="Q1296" s="459" t="str">
        <f t="shared" si="736"/>
        <v/>
      </c>
      <c r="R1296" s="459" t="str">
        <f t="shared" si="737"/>
        <v/>
      </c>
      <c r="S1296" s="459" t="str">
        <f t="shared" si="738"/>
        <v/>
      </c>
      <c r="T1296" s="566" t="str">
        <f t="shared" si="723"/>
        <v/>
      </c>
      <c r="U1296" s="702"/>
      <c r="V1296" s="132"/>
      <c r="W1296" s="133"/>
      <c r="X1296" s="134"/>
      <c r="Y1296" s="135"/>
      <c r="Z1296" s="137"/>
      <c r="AA1296" s="136"/>
      <c r="AB1296" s="566" t="str">
        <f t="shared" si="724"/>
        <v/>
      </c>
      <c r="AC1296" s="568" t="str">
        <f t="shared" si="725"/>
        <v/>
      </c>
      <c r="AD1296" s="137"/>
      <c r="AE1296" s="137"/>
      <c r="AF1296" s="138"/>
      <c r="AG1296" s="138"/>
      <c r="AH1296" s="592" t="str">
        <f t="shared" si="726"/>
        <v/>
      </c>
      <c r="AI1296" s="592" t="str">
        <f t="shared" si="727"/>
        <v/>
      </c>
      <c r="AJ1296" s="592" t="str">
        <f t="shared" si="728"/>
        <v/>
      </c>
      <c r="AK1296" s="460" t="str">
        <f>IF(AU1296="","",IF(OR(AZ1296=8,AZ1296=9),0,IF(OR(AW1296=3,AW1296=4,AW1296=5,AW1296=6),IF(LEFT(BF1296,1)="1",INDEX(係数_NOX・PM低減,MATCH(AY1296,【参考】排出係数!$AI$801:$AI$804,1),1),VLOOKUP(AU1296,INDEX((係数_バス貨物_ガソリン,係数_バス貨物_CNG,係数_バス貨物_軽油,係数_バス貨物_メタノール,係数_バス貨物_LPG),MATCH(AY1296,【参考】排出係数!$AI$4:$AI$671,1),1,BE1296):INDEX((係数_バス貨物_ガソリン,係数_バス貨物_CNG,係数_バス貨物_軽油,係数_バス貨物_メタノール,係数_バス貨物_LPG),MATCH(AY1296+1,【参考】排出係数!$AI$4:$AI$671,1)-1,5,BE1296),4,FALSE)),IF(AND(BE1296=3,LEFT(BF1296,1)="1"),0.48,VLOOKUP(AU1296,INDEX((係数_乗用_ガソリン,係数_乗用_CNG,係数_乗用_軽油,係数_乗用_メタノール,係数_乗用_LPG),1,1,BE1296):INDEX((係数_乗用_ガソリン,係数_乗用_CNG,係数_乗用_軽油,係数_乗用_メタノール,係数_乗用_LPG),125,5,BE1296),4,FALSE)))))</f>
        <v/>
      </c>
      <c r="AL1296" s="461" t="str">
        <f t="shared" si="729"/>
        <v/>
      </c>
      <c r="AM1296" s="460" t="str">
        <f>IF(AU1296="","",IF(OR(AZ1296=8,AZ1296=9),0,IF(OR(AW1296=3,AW1296=4,AW1296=5,AW1296=6),IF(LEFT(BH1296,1)="1",INDEX(係数_PM低減,MATCH(AY1296,【参考】排出係数!$AI$801:$AI$804,1),MATCH(BI1296,【参考】排出係数!$AL$798:$AO$798,1)),VLOOKUP(AU1296,INDEX((係数_バス貨物_ガソリン,係数_バス貨物_CNG,係数_バス貨物_軽油,係数_バス貨物_メタノール,係数_バス貨物_LPG),MATCH(AY1296,【参考】排出係数!$AI$4:$AI$671,1),1,BE1296):INDEX((係数_バス貨物_ガソリン,係数_バス貨物_CNG,係数_バス貨物_軽油,係数_バス貨物_メタノール,係数_バス貨物_LPG),MATCH(AY1296+1,【参考】排出係数!$AI$4:$AI$671,1)-1,5,BE1296),5,FALSE)),IF(AND(BE1296=3,LEFT(BF1296,1)="1"),0.055,VLOOKUP(AU1296,INDEX((係数_乗用_ガソリン,係数_乗用_CNG,係数_乗用_軽油,係数_乗用_メタノール,係数_乗用_LPG),1,1,BE1296):INDEX((係数_乗用_ガソリン,係数_乗用_CNG,係数_乗用_軽油,係数_乗用_メタノール,係数_乗用_LPG),125,5,BE1296),5,FALSE)))))</f>
        <v/>
      </c>
      <c r="AN1296" s="461" t="str">
        <f t="shared" si="730"/>
        <v/>
      </c>
      <c r="AO1296" s="462" t="str">
        <f t="shared" si="731"/>
        <v/>
      </c>
      <c r="AP1296" s="463" t="str">
        <f t="shared" si="732"/>
        <v/>
      </c>
      <c r="AQ1296" s="464"/>
      <c r="AR1296" s="619"/>
      <c r="AS1296" s="465" t="str">
        <f t="shared" si="740"/>
        <v/>
      </c>
      <c r="AT1296" s="465" t="str">
        <f t="shared" si="741"/>
        <v/>
      </c>
      <c r="AU1296" s="466" t="str">
        <f t="shared" si="742"/>
        <v/>
      </c>
      <c r="AV1296" s="467" t="str">
        <f t="shared" si="743"/>
        <v/>
      </c>
      <c r="AW1296" s="467" t="str">
        <f t="shared" si="744"/>
        <v/>
      </c>
      <c r="AX1296" s="467" t="str">
        <f t="shared" si="745"/>
        <v/>
      </c>
      <c r="AY1296" s="467" t="str">
        <f t="shared" si="746"/>
        <v/>
      </c>
      <c r="AZ1296" s="467" t="str">
        <f t="shared" si="747"/>
        <v/>
      </c>
      <c r="BA1296" s="468" t="str">
        <f>IF(AS1296="","",IF(OR(AU1296="",AU1296="-"),"－",IF(OR(AZ1296=8,AZ1296=9),"",IF(OR(AW1296=3,AW1296=4,AW1296=5,AW1296=6),VLOOKUP(AU1296,INDEX((係数_バス貨物_ガソリン,係数_バス貨物_CNG,係数_バス貨物_軽油,係数_バス貨物_メタノール,係数_バス貨物_LPG),MATCH(AY1296,【参考】排出係数!$AI$4:$AI$671,1),1,BE1296):INDEX((係数_バス貨物_ガソリン,係数_バス貨物_CNG,係数_バス貨物_軽油,係数_バス貨物_メタノール,係数_バス貨物_LPG),MATCH(AY1296+1,【参考】排出係数!$AI$4:$AI$671,1)-1,5,BE1296),2,FALSE),IF(OR(AW1296=1,AW1296=2),VLOOKUP(AU1296,INDEX((係数_乗用_ガソリン,係数_乗用_CNG,係数_乗用_軽油,係数_乗用_メタノール,係数_乗用_LPG),1,1,BE1296):INDEX((係数_乗用_ガソリン,係数_乗用_CNG,係数_乗用_軽油,係数_乗用_メタノール,係数_乗用_LPG),125,5,BE1296),2,FALSE))))))</f>
        <v/>
      </c>
      <c r="BB1296" s="468" t="str">
        <f>IF(T1296="","",IF(OR(AU1296="",AU1296="-"),"－",IF(OR(AZ1296=8,AZ1296=9),"",IF(OR(AW1296=3,AW1296=4,AW1296=5,AW1296=6),VLOOKUP(AU1296,INDEX((係数_バス貨物_ガソリン,係数_バス貨物_CNG,係数_バス貨物_軽油,係数_バス貨物_メタノール,係数_バス貨物_LPG),MATCH(AY1296,【参考】排出係数!$AI$4:$AI$671,1),1,BE1296):INDEX((係数_バス貨物_ガソリン,係数_バス貨物_CNG,係数_バス貨物_軽油,係数_バス貨物_メタノール,係数_バス貨物_LPG),MATCH(AY1296+1,【参考】排出係数!$AI$4:$AI$671,1)-1,5,BE1296),3,FALSE),IF(OR(AW1296=1,AW1296=2),VLOOKUP(AU1296,INDEX((係数_乗用_ガソリン,係数_乗用_CNG,係数_乗用_軽油,係数_乗用_メタノール,係数_乗用_LPG),1,1,BE1296):INDEX((係数_乗用_ガソリン,係数_乗用_CNG,係数_乗用_軽油,係数_乗用_メタノール,係数_乗用_LPG),125,5,BE1296),3,FALSE))))))</f>
        <v/>
      </c>
      <c r="BC1296" s="467" t="str">
        <f t="shared" si="748"/>
        <v/>
      </c>
      <c r="BD1296" s="567" t="str">
        <f t="shared" si="749"/>
        <v/>
      </c>
      <c r="BE1296" s="467" t="str">
        <f t="shared" si="750"/>
        <v/>
      </c>
      <c r="BF1296" s="469" t="str">
        <f t="shared" ca="1" si="751"/>
        <v/>
      </c>
      <c r="BG1296" s="469" t="str">
        <f t="shared" ca="1" si="752"/>
        <v/>
      </c>
      <c r="BH1296" s="467" t="str">
        <f t="shared" si="753"/>
        <v/>
      </c>
      <c r="BI1296" s="467" t="str">
        <f t="shared" ca="1" si="754"/>
        <v/>
      </c>
      <c r="BJ1296" s="469" t="str">
        <f t="shared" si="755"/>
        <v/>
      </c>
      <c r="BK1296" s="470" t="str">
        <f t="shared" si="739"/>
        <v/>
      </c>
      <c r="BL1296" s="775" t="str">
        <f t="shared" si="756"/>
        <v/>
      </c>
      <c r="BM1296" s="775" t="str">
        <f t="shared" si="757"/>
        <v/>
      </c>
    </row>
    <row r="1297" spans="1:65">
      <c r="A1297" s="473">
        <v>1241</v>
      </c>
      <c r="B1297" s="132"/>
      <c r="C1297" s="332"/>
      <c r="D1297" s="333"/>
      <c r="E1297" s="333"/>
      <c r="F1297" s="334"/>
      <c r="G1297" s="337"/>
      <c r="H1297" s="131"/>
      <c r="I1297" s="337"/>
      <c r="J1297" s="131"/>
      <c r="K1297" s="458" t="str">
        <f t="shared" si="720"/>
        <v/>
      </c>
      <c r="L1297" s="458">
        <f t="shared" si="721"/>
        <v>0</v>
      </c>
      <c r="M1297" s="458">
        <f t="shared" si="722"/>
        <v>0</v>
      </c>
      <c r="N1297" s="459" t="str">
        <f t="shared" si="733"/>
        <v/>
      </c>
      <c r="O1297" s="459" t="str">
        <f t="shared" si="734"/>
        <v/>
      </c>
      <c r="P1297" s="459" t="str">
        <f t="shared" si="735"/>
        <v/>
      </c>
      <c r="Q1297" s="459" t="str">
        <f t="shared" si="736"/>
        <v/>
      </c>
      <c r="R1297" s="459" t="str">
        <f t="shared" si="737"/>
        <v/>
      </c>
      <c r="S1297" s="459" t="str">
        <f t="shared" si="738"/>
        <v/>
      </c>
      <c r="T1297" s="566" t="str">
        <f t="shared" si="723"/>
        <v/>
      </c>
      <c r="U1297" s="702"/>
      <c r="V1297" s="132"/>
      <c r="W1297" s="133"/>
      <c r="X1297" s="134"/>
      <c r="Y1297" s="135"/>
      <c r="Z1297" s="137"/>
      <c r="AA1297" s="136"/>
      <c r="AB1297" s="566" t="str">
        <f t="shared" si="724"/>
        <v/>
      </c>
      <c r="AC1297" s="568" t="str">
        <f t="shared" si="725"/>
        <v/>
      </c>
      <c r="AD1297" s="137"/>
      <c r="AE1297" s="137"/>
      <c r="AF1297" s="138"/>
      <c r="AG1297" s="138"/>
      <c r="AH1297" s="592" t="str">
        <f t="shared" si="726"/>
        <v/>
      </c>
      <c r="AI1297" s="592" t="str">
        <f t="shared" si="727"/>
        <v/>
      </c>
      <c r="AJ1297" s="592" t="str">
        <f t="shared" si="728"/>
        <v/>
      </c>
      <c r="AK1297" s="460" t="str">
        <f>IF(AU1297="","",IF(OR(AZ1297=8,AZ1297=9),0,IF(OR(AW1297=3,AW1297=4,AW1297=5,AW1297=6),IF(LEFT(BF1297,1)="1",INDEX(係数_NOX・PM低減,MATCH(AY1297,【参考】排出係数!$AI$801:$AI$804,1),1),VLOOKUP(AU1297,INDEX((係数_バス貨物_ガソリン,係数_バス貨物_CNG,係数_バス貨物_軽油,係数_バス貨物_メタノール,係数_バス貨物_LPG),MATCH(AY1297,【参考】排出係数!$AI$4:$AI$671,1),1,BE1297):INDEX((係数_バス貨物_ガソリン,係数_バス貨物_CNG,係数_バス貨物_軽油,係数_バス貨物_メタノール,係数_バス貨物_LPG),MATCH(AY1297+1,【参考】排出係数!$AI$4:$AI$671,1)-1,5,BE1297),4,FALSE)),IF(AND(BE1297=3,LEFT(BF1297,1)="1"),0.48,VLOOKUP(AU1297,INDEX((係数_乗用_ガソリン,係数_乗用_CNG,係数_乗用_軽油,係数_乗用_メタノール,係数_乗用_LPG),1,1,BE1297):INDEX((係数_乗用_ガソリン,係数_乗用_CNG,係数_乗用_軽油,係数_乗用_メタノール,係数_乗用_LPG),125,5,BE1297),4,FALSE)))))</f>
        <v/>
      </c>
      <c r="AL1297" s="461" t="str">
        <f t="shared" si="729"/>
        <v/>
      </c>
      <c r="AM1297" s="460" t="str">
        <f>IF(AU1297="","",IF(OR(AZ1297=8,AZ1297=9),0,IF(OR(AW1297=3,AW1297=4,AW1297=5,AW1297=6),IF(LEFT(BH1297,1)="1",INDEX(係数_PM低減,MATCH(AY1297,【参考】排出係数!$AI$801:$AI$804,1),MATCH(BI1297,【参考】排出係数!$AL$798:$AO$798,1)),VLOOKUP(AU1297,INDEX((係数_バス貨物_ガソリン,係数_バス貨物_CNG,係数_バス貨物_軽油,係数_バス貨物_メタノール,係数_バス貨物_LPG),MATCH(AY1297,【参考】排出係数!$AI$4:$AI$671,1),1,BE1297):INDEX((係数_バス貨物_ガソリン,係数_バス貨物_CNG,係数_バス貨物_軽油,係数_バス貨物_メタノール,係数_バス貨物_LPG),MATCH(AY1297+1,【参考】排出係数!$AI$4:$AI$671,1)-1,5,BE1297),5,FALSE)),IF(AND(BE1297=3,LEFT(BF1297,1)="1"),0.055,VLOOKUP(AU1297,INDEX((係数_乗用_ガソリン,係数_乗用_CNG,係数_乗用_軽油,係数_乗用_メタノール,係数_乗用_LPG),1,1,BE1297):INDEX((係数_乗用_ガソリン,係数_乗用_CNG,係数_乗用_軽油,係数_乗用_メタノール,係数_乗用_LPG),125,5,BE1297),5,FALSE)))))</f>
        <v/>
      </c>
      <c r="AN1297" s="461" t="str">
        <f t="shared" si="730"/>
        <v/>
      </c>
      <c r="AO1297" s="462" t="str">
        <f t="shared" si="731"/>
        <v/>
      </c>
      <c r="AP1297" s="463" t="str">
        <f t="shared" si="732"/>
        <v/>
      </c>
      <c r="AQ1297" s="464"/>
      <c r="AR1297" s="619"/>
      <c r="AS1297" s="465" t="str">
        <f t="shared" si="740"/>
        <v/>
      </c>
      <c r="AT1297" s="465" t="str">
        <f t="shared" si="741"/>
        <v/>
      </c>
      <c r="AU1297" s="466" t="str">
        <f t="shared" si="742"/>
        <v/>
      </c>
      <c r="AV1297" s="467" t="str">
        <f t="shared" si="743"/>
        <v/>
      </c>
      <c r="AW1297" s="467" t="str">
        <f t="shared" si="744"/>
        <v/>
      </c>
      <c r="AX1297" s="467" t="str">
        <f t="shared" si="745"/>
        <v/>
      </c>
      <c r="AY1297" s="467" t="str">
        <f t="shared" si="746"/>
        <v/>
      </c>
      <c r="AZ1297" s="467" t="str">
        <f t="shared" si="747"/>
        <v/>
      </c>
      <c r="BA1297" s="468" t="str">
        <f>IF(AS1297="","",IF(OR(AU1297="",AU1297="-"),"－",IF(OR(AZ1297=8,AZ1297=9),"",IF(OR(AW1297=3,AW1297=4,AW1297=5,AW1297=6),VLOOKUP(AU1297,INDEX((係数_バス貨物_ガソリン,係数_バス貨物_CNG,係数_バス貨物_軽油,係数_バス貨物_メタノール,係数_バス貨物_LPG),MATCH(AY1297,【参考】排出係数!$AI$4:$AI$671,1),1,BE1297):INDEX((係数_バス貨物_ガソリン,係数_バス貨物_CNG,係数_バス貨物_軽油,係数_バス貨物_メタノール,係数_バス貨物_LPG),MATCH(AY1297+1,【参考】排出係数!$AI$4:$AI$671,1)-1,5,BE1297),2,FALSE),IF(OR(AW1297=1,AW1297=2),VLOOKUP(AU1297,INDEX((係数_乗用_ガソリン,係数_乗用_CNG,係数_乗用_軽油,係数_乗用_メタノール,係数_乗用_LPG),1,1,BE1297):INDEX((係数_乗用_ガソリン,係数_乗用_CNG,係数_乗用_軽油,係数_乗用_メタノール,係数_乗用_LPG),125,5,BE1297),2,FALSE))))))</f>
        <v/>
      </c>
      <c r="BB1297" s="468" t="str">
        <f>IF(T1297="","",IF(OR(AU1297="",AU1297="-"),"－",IF(OR(AZ1297=8,AZ1297=9),"",IF(OR(AW1297=3,AW1297=4,AW1297=5,AW1297=6),VLOOKUP(AU1297,INDEX((係数_バス貨物_ガソリン,係数_バス貨物_CNG,係数_バス貨物_軽油,係数_バス貨物_メタノール,係数_バス貨物_LPG),MATCH(AY1297,【参考】排出係数!$AI$4:$AI$671,1),1,BE1297):INDEX((係数_バス貨物_ガソリン,係数_バス貨物_CNG,係数_バス貨物_軽油,係数_バス貨物_メタノール,係数_バス貨物_LPG),MATCH(AY1297+1,【参考】排出係数!$AI$4:$AI$671,1)-1,5,BE1297),3,FALSE),IF(OR(AW1297=1,AW1297=2),VLOOKUP(AU1297,INDEX((係数_乗用_ガソリン,係数_乗用_CNG,係数_乗用_軽油,係数_乗用_メタノール,係数_乗用_LPG),1,1,BE1297):INDEX((係数_乗用_ガソリン,係数_乗用_CNG,係数_乗用_軽油,係数_乗用_メタノール,係数_乗用_LPG),125,5,BE1297),3,FALSE))))))</f>
        <v/>
      </c>
      <c r="BC1297" s="467" t="str">
        <f t="shared" si="748"/>
        <v/>
      </c>
      <c r="BD1297" s="567" t="str">
        <f t="shared" si="749"/>
        <v/>
      </c>
      <c r="BE1297" s="467" t="str">
        <f t="shared" si="750"/>
        <v/>
      </c>
      <c r="BF1297" s="469" t="str">
        <f t="shared" ca="1" si="751"/>
        <v/>
      </c>
      <c r="BG1297" s="469" t="str">
        <f t="shared" ca="1" si="752"/>
        <v/>
      </c>
      <c r="BH1297" s="467" t="str">
        <f t="shared" si="753"/>
        <v/>
      </c>
      <c r="BI1297" s="467" t="str">
        <f t="shared" ca="1" si="754"/>
        <v/>
      </c>
      <c r="BJ1297" s="469" t="str">
        <f t="shared" si="755"/>
        <v/>
      </c>
      <c r="BK1297" s="470" t="str">
        <f t="shared" si="739"/>
        <v/>
      </c>
      <c r="BL1297" s="775" t="str">
        <f t="shared" si="756"/>
        <v/>
      </c>
      <c r="BM1297" s="775" t="str">
        <f t="shared" si="757"/>
        <v/>
      </c>
    </row>
    <row r="1298" spans="1:65">
      <c r="A1298" s="473">
        <v>1242</v>
      </c>
      <c r="B1298" s="132"/>
      <c r="C1298" s="332"/>
      <c r="D1298" s="333"/>
      <c r="E1298" s="333"/>
      <c r="F1298" s="334"/>
      <c r="G1298" s="337"/>
      <c r="H1298" s="131"/>
      <c r="I1298" s="337"/>
      <c r="J1298" s="131"/>
      <c r="K1298" s="458" t="str">
        <f t="shared" si="720"/>
        <v/>
      </c>
      <c r="L1298" s="458">
        <f t="shared" si="721"/>
        <v>0</v>
      </c>
      <c r="M1298" s="458">
        <f t="shared" si="722"/>
        <v>0</v>
      </c>
      <c r="N1298" s="459" t="str">
        <f t="shared" si="733"/>
        <v/>
      </c>
      <c r="O1298" s="459" t="str">
        <f t="shared" si="734"/>
        <v/>
      </c>
      <c r="P1298" s="459" t="str">
        <f t="shared" si="735"/>
        <v/>
      </c>
      <c r="Q1298" s="459" t="str">
        <f t="shared" si="736"/>
        <v/>
      </c>
      <c r="R1298" s="459" t="str">
        <f t="shared" si="737"/>
        <v/>
      </c>
      <c r="S1298" s="459" t="str">
        <f t="shared" si="738"/>
        <v/>
      </c>
      <c r="T1298" s="566" t="str">
        <f t="shared" si="723"/>
        <v/>
      </c>
      <c r="U1298" s="702"/>
      <c r="V1298" s="132"/>
      <c r="W1298" s="133"/>
      <c r="X1298" s="134"/>
      <c r="Y1298" s="135"/>
      <c r="Z1298" s="137"/>
      <c r="AA1298" s="136"/>
      <c r="AB1298" s="566" t="str">
        <f t="shared" si="724"/>
        <v/>
      </c>
      <c r="AC1298" s="568" t="str">
        <f t="shared" si="725"/>
        <v/>
      </c>
      <c r="AD1298" s="137"/>
      <c r="AE1298" s="137"/>
      <c r="AF1298" s="138"/>
      <c r="AG1298" s="138"/>
      <c r="AH1298" s="592" t="str">
        <f t="shared" si="726"/>
        <v/>
      </c>
      <c r="AI1298" s="592" t="str">
        <f t="shared" si="727"/>
        <v/>
      </c>
      <c r="AJ1298" s="592" t="str">
        <f t="shared" si="728"/>
        <v/>
      </c>
      <c r="AK1298" s="460" t="str">
        <f>IF(AU1298="","",IF(OR(AZ1298=8,AZ1298=9),0,IF(OR(AW1298=3,AW1298=4,AW1298=5,AW1298=6),IF(LEFT(BF1298,1)="1",INDEX(係数_NOX・PM低減,MATCH(AY1298,【参考】排出係数!$AI$801:$AI$804,1),1),VLOOKUP(AU1298,INDEX((係数_バス貨物_ガソリン,係数_バス貨物_CNG,係数_バス貨物_軽油,係数_バス貨物_メタノール,係数_バス貨物_LPG),MATCH(AY1298,【参考】排出係数!$AI$4:$AI$671,1),1,BE1298):INDEX((係数_バス貨物_ガソリン,係数_バス貨物_CNG,係数_バス貨物_軽油,係数_バス貨物_メタノール,係数_バス貨物_LPG),MATCH(AY1298+1,【参考】排出係数!$AI$4:$AI$671,1)-1,5,BE1298),4,FALSE)),IF(AND(BE1298=3,LEFT(BF1298,1)="1"),0.48,VLOOKUP(AU1298,INDEX((係数_乗用_ガソリン,係数_乗用_CNG,係数_乗用_軽油,係数_乗用_メタノール,係数_乗用_LPG),1,1,BE1298):INDEX((係数_乗用_ガソリン,係数_乗用_CNG,係数_乗用_軽油,係数_乗用_メタノール,係数_乗用_LPG),125,5,BE1298),4,FALSE)))))</f>
        <v/>
      </c>
      <c r="AL1298" s="461" t="str">
        <f t="shared" si="729"/>
        <v/>
      </c>
      <c r="AM1298" s="460" t="str">
        <f>IF(AU1298="","",IF(OR(AZ1298=8,AZ1298=9),0,IF(OR(AW1298=3,AW1298=4,AW1298=5,AW1298=6),IF(LEFT(BH1298,1)="1",INDEX(係数_PM低減,MATCH(AY1298,【参考】排出係数!$AI$801:$AI$804,1),MATCH(BI1298,【参考】排出係数!$AL$798:$AO$798,1)),VLOOKUP(AU1298,INDEX((係数_バス貨物_ガソリン,係数_バス貨物_CNG,係数_バス貨物_軽油,係数_バス貨物_メタノール,係数_バス貨物_LPG),MATCH(AY1298,【参考】排出係数!$AI$4:$AI$671,1),1,BE1298):INDEX((係数_バス貨物_ガソリン,係数_バス貨物_CNG,係数_バス貨物_軽油,係数_バス貨物_メタノール,係数_バス貨物_LPG),MATCH(AY1298+1,【参考】排出係数!$AI$4:$AI$671,1)-1,5,BE1298),5,FALSE)),IF(AND(BE1298=3,LEFT(BF1298,1)="1"),0.055,VLOOKUP(AU1298,INDEX((係数_乗用_ガソリン,係数_乗用_CNG,係数_乗用_軽油,係数_乗用_メタノール,係数_乗用_LPG),1,1,BE1298):INDEX((係数_乗用_ガソリン,係数_乗用_CNG,係数_乗用_軽油,係数_乗用_メタノール,係数_乗用_LPG),125,5,BE1298),5,FALSE)))))</f>
        <v/>
      </c>
      <c r="AN1298" s="461" t="str">
        <f t="shared" si="730"/>
        <v/>
      </c>
      <c r="AO1298" s="462" t="str">
        <f t="shared" si="731"/>
        <v/>
      </c>
      <c r="AP1298" s="463" t="str">
        <f t="shared" si="732"/>
        <v/>
      </c>
      <c r="AQ1298" s="464"/>
      <c r="AR1298" s="619"/>
      <c r="AS1298" s="465" t="str">
        <f t="shared" si="740"/>
        <v/>
      </c>
      <c r="AT1298" s="465" t="str">
        <f t="shared" si="741"/>
        <v/>
      </c>
      <c r="AU1298" s="466" t="str">
        <f t="shared" si="742"/>
        <v/>
      </c>
      <c r="AV1298" s="467" t="str">
        <f t="shared" si="743"/>
        <v/>
      </c>
      <c r="AW1298" s="467" t="str">
        <f t="shared" si="744"/>
        <v/>
      </c>
      <c r="AX1298" s="467" t="str">
        <f t="shared" si="745"/>
        <v/>
      </c>
      <c r="AY1298" s="467" t="str">
        <f t="shared" si="746"/>
        <v/>
      </c>
      <c r="AZ1298" s="467" t="str">
        <f t="shared" si="747"/>
        <v/>
      </c>
      <c r="BA1298" s="468" t="str">
        <f>IF(AS1298="","",IF(OR(AU1298="",AU1298="-"),"－",IF(OR(AZ1298=8,AZ1298=9),"",IF(OR(AW1298=3,AW1298=4,AW1298=5,AW1298=6),VLOOKUP(AU1298,INDEX((係数_バス貨物_ガソリン,係数_バス貨物_CNG,係数_バス貨物_軽油,係数_バス貨物_メタノール,係数_バス貨物_LPG),MATCH(AY1298,【参考】排出係数!$AI$4:$AI$671,1),1,BE1298):INDEX((係数_バス貨物_ガソリン,係数_バス貨物_CNG,係数_バス貨物_軽油,係数_バス貨物_メタノール,係数_バス貨物_LPG),MATCH(AY1298+1,【参考】排出係数!$AI$4:$AI$671,1)-1,5,BE1298),2,FALSE),IF(OR(AW1298=1,AW1298=2),VLOOKUP(AU1298,INDEX((係数_乗用_ガソリン,係数_乗用_CNG,係数_乗用_軽油,係数_乗用_メタノール,係数_乗用_LPG),1,1,BE1298):INDEX((係数_乗用_ガソリン,係数_乗用_CNG,係数_乗用_軽油,係数_乗用_メタノール,係数_乗用_LPG),125,5,BE1298),2,FALSE))))))</f>
        <v/>
      </c>
      <c r="BB1298" s="468" t="str">
        <f>IF(T1298="","",IF(OR(AU1298="",AU1298="-"),"－",IF(OR(AZ1298=8,AZ1298=9),"",IF(OR(AW1298=3,AW1298=4,AW1298=5,AW1298=6),VLOOKUP(AU1298,INDEX((係数_バス貨物_ガソリン,係数_バス貨物_CNG,係数_バス貨物_軽油,係数_バス貨物_メタノール,係数_バス貨物_LPG),MATCH(AY1298,【参考】排出係数!$AI$4:$AI$671,1),1,BE1298):INDEX((係数_バス貨物_ガソリン,係数_バス貨物_CNG,係数_バス貨物_軽油,係数_バス貨物_メタノール,係数_バス貨物_LPG),MATCH(AY1298+1,【参考】排出係数!$AI$4:$AI$671,1)-1,5,BE1298),3,FALSE),IF(OR(AW1298=1,AW1298=2),VLOOKUP(AU1298,INDEX((係数_乗用_ガソリン,係数_乗用_CNG,係数_乗用_軽油,係数_乗用_メタノール,係数_乗用_LPG),1,1,BE1298):INDEX((係数_乗用_ガソリン,係数_乗用_CNG,係数_乗用_軽油,係数_乗用_メタノール,係数_乗用_LPG),125,5,BE1298),3,FALSE))))))</f>
        <v/>
      </c>
      <c r="BC1298" s="467" t="str">
        <f t="shared" si="748"/>
        <v/>
      </c>
      <c r="BD1298" s="567" t="str">
        <f t="shared" si="749"/>
        <v/>
      </c>
      <c r="BE1298" s="467" t="str">
        <f t="shared" si="750"/>
        <v/>
      </c>
      <c r="BF1298" s="469" t="str">
        <f t="shared" ca="1" si="751"/>
        <v/>
      </c>
      <c r="BG1298" s="469" t="str">
        <f t="shared" ca="1" si="752"/>
        <v/>
      </c>
      <c r="BH1298" s="467" t="str">
        <f t="shared" si="753"/>
        <v/>
      </c>
      <c r="BI1298" s="467" t="str">
        <f t="shared" ca="1" si="754"/>
        <v/>
      </c>
      <c r="BJ1298" s="469" t="str">
        <f t="shared" si="755"/>
        <v/>
      </c>
      <c r="BK1298" s="470" t="str">
        <f t="shared" si="739"/>
        <v/>
      </c>
      <c r="BL1298" s="775" t="str">
        <f t="shared" si="756"/>
        <v/>
      </c>
      <c r="BM1298" s="775" t="str">
        <f t="shared" si="757"/>
        <v/>
      </c>
    </row>
    <row r="1299" spans="1:65">
      <c r="A1299" s="473">
        <v>1243</v>
      </c>
      <c r="B1299" s="132"/>
      <c r="C1299" s="332"/>
      <c r="D1299" s="333"/>
      <c r="E1299" s="333"/>
      <c r="F1299" s="334"/>
      <c r="G1299" s="337"/>
      <c r="H1299" s="131"/>
      <c r="I1299" s="337"/>
      <c r="J1299" s="131"/>
      <c r="K1299" s="458" t="str">
        <f t="shared" si="720"/>
        <v/>
      </c>
      <c r="L1299" s="458">
        <f t="shared" si="721"/>
        <v>0</v>
      </c>
      <c r="M1299" s="458">
        <f t="shared" si="722"/>
        <v>0</v>
      </c>
      <c r="N1299" s="459" t="str">
        <f t="shared" si="733"/>
        <v/>
      </c>
      <c r="O1299" s="459" t="str">
        <f t="shared" si="734"/>
        <v/>
      </c>
      <c r="P1299" s="459" t="str">
        <f t="shared" si="735"/>
        <v/>
      </c>
      <c r="Q1299" s="459" t="str">
        <f t="shared" si="736"/>
        <v/>
      </c>
      <c r="R1299" s="459" t="str">
        <f t="shared" si="737"/>
        <v/>
      </c>
      <c r="S1299" s="459" t="str">
        <f t="shared" si="738"/>
        <v/>
      </c>
      <c r="T1299" s="566" t="str">
        <f t="shared" si="723"/>
        <v/>
      </c>
      <c r="U1299" s="702"/>
      <c r="V1299" s="132"/>
      <c r="W1299" s="133"/>
      <c r="X1299" s="134"/>
      <c r="Y1299" s="135"/>
      <c r="Z1299" s="137"/>
      <c r="AA1299" s="136"/>
      <c r="AB1299" s="566" t="str">
        <f t="shared" si="724"/>
        <v/>
      </c>
      <c r="AC1299" s="568" t="str">
        <f t="shared" si="725"/>
        <v/>
      </c>
      <c r="AD1299" s="137"/>
      <c r="AE1299" s="137"/>
      <c r="AF1299" s="138"/>
      <c r="AG1299" s="138"/>
      <c r="AH1299" s="592" t="str">
        <f t="shared" si="726"/>
        <v/>
      </c>
      <c r="AI1299" s="592" t="str">
        <f t="shared" si="727"/>
        <v/>
      </c>
      <c r="AJ1299" s="592" t="str">
        <f t="shared" si="728"/>
        <v/>
      </c>
      <c r="AK1299" s="460" t="str">
        <f>IF(AU1299="","",IF(OR(AZ1299=8,AZ1299=9),0,IF(OR(AW1299=3,AW1299=4,AW1299=5,AW1299=6),IF(LEFT(BF1299,1)="1",INDEX(係数_NOX・PM低減,MATCH(AY1299,【参考】排出係数!$AI$801:$AI$804,1),1),VLOOKUP(AU1299,INDEX((係数_バス貨物_ガソリン,係数_バス貨物_CNG,係数_バス貨物_軽油,係数_バス貨物_メタノール,係数_バス貨物_LPG),MATCH(AY1299,【参考】排出係数!$AI$4:$AI$671,1),1,BE1299):INDEX((係数_バス貨物_ガソリン,係数_バス貨物_CNG,係数_バス貨物_軽油,係数_バス貨物_メタノール,係数_バス貨物_LPG),MATCH(AY1299+1,【参考】排出係数!$AI$4:$AI$671,1)-1,5,BE1299),4,FALSE)),IF(AND(BE1299=3,LEFT(BF1299,1)="1"),0.48,VLOOKUP(AU1299,INDEX((係数_乗用_ガソリン,係数_乗用_CNG,係数_乗用_軽油,係数_乗用_メタノール,係数_乗用_LPG),1,1,BE1299):INDEX((係数_乗用_ガソリン,係数_乗用_CNG,係数_乗用_軽油,係数_乗用_メタノール,係数_乗用_LPG),125,5,BE1299),4,FALSE)))))</f>
        <v/>
      </c>
      <c r="AL1299" s="461" t="str">
        <f t="shared" si="729"/>
        <v/>
      </c>
      <c r="AM1299" s="460" t="str">
        <f>IF(AU1299="","",IF(OR(AZ1299=8,AZ1299=9),0,IF(OR(AW1299=3,AW1299=4,AW1299=5,AW1299=6),IF(LEFT(BH1299,1)="1",INDEX(係数_PM低減,MATCH(AY1299,【参考】排出係数!$AI$801:$AI$804,1),MATCH(BI1299,【参考】排出係数!$AL$798:$AO$798,1)),VLOOKUP(AU1299,INDEX((係数_バス貨物_ガソリン,係数_バス貨物_CNG,係数_バス貨物_軽油,係数_バス貨物_メタノール,係数_バス貨物_LPG),MATCH(AY1299,【参考】排出係数!$AI$4:$AI$671,1),1,BE1299):INDEX((係数_バス貨物_ガソリン,係数_バス貨物_CNG,係数_バス貨物_軽油,係数_バス貨物_メタノール,係数_バス貨物_LPG),MATCH(AY1299+1,【参考】排出係数!$AI$4:$AI$671,1)-1,5,BE1299),5,FALSE)),IF(AND(BE1299=3,LEFT(BF1299,1)="1"),0.055,VLOOKUP(AU1299,INDEX((係数_乗用_ガソリン,係数_乗用_CNG,係数_乗用_軽油,係数_乗用_メタノール,係数_乗用_LPG),1,1,BE1299):INDEX((係数_乗用_ガソリン,係数_乗用_CNG,係数_乗用_軽油,係数_乗用_メタノール,係数_乗用_LPG),125,5,BE1299),5,FALSE)))))</f>
        <v/>
      </c>
      <c r="AN1299" s="461" t="str">
        <f t="shared" si="730"/>
        <v/>
      </c>
      <c r="AO1299" s="462" t="str">
        <f t="shared" si="731"/>
        <v/>
      </c>
      <c r="AP1299" s="463" t="str">
        <f t="shared" si="732"/>
        <v/>
      </c>
      <c r="AQ1299" s="464"/>
      <c r="AR1299" s="619"/>
      <c r="AS1299" s="465" t="str">
        <f t="shared" si="740"/>
        <v/>
      </c>
      <c r="AT1299" s="465" t="str">
        <f t="shared" si="741"/>
        <v/>
      </c>
      <c r="AU1299" s="466" t="str">
        <f t="shared" si="742"/>
        <v/>
      </c>
      <c r="AV1299" s="467" t="str">
        <f t="shared" si="743"/>
        <v/>
      </c>
      <c r="AW1299" s="467" t="str">
        <f t="shared" si="744"/>
        <v/>
      </c>
      <c r="AX1299" s="467" t="str">
        <f t="shared" si="745"/>
        <v/>
      </c>
      <c r="AY1299" s="467" t="str">
        <f t="shared" si="746"/>
        <v/>
      </c>
      <c r="AZ1299" s="467" t="str">
        <f t="shared" si="747"/>
        <v/>
      </c>
      <c r="BA1299" s="468" t="str">
        <f>IF(AS1299="","",IF(OR(AU1299="",AU1299="-"),"－",IF(OR(AZ1299=8,AZ1299=9),"",IF(OR(AW1299=3,AW1299=4,AW1299=5,AW1299=6),VLOOKUP(AU1299,INDEX((係数_バス貨物_ガソリン,係数_バス貨物_CNG,係数_バス貨物_軽油,係数_バス貨物_メタノール,係数_バス貨物_LPG),MATCH(AY1299,【参考】排出係数!$AI$4:$AI$671,1),1,BE1299):INDEX((係数_バス貨物_ガソリン,係数_バス貨物_CNG,係数_バス貨物_軽油,係数_バス貨物_メタノール,係数_バス貨物_LPG),MATCH(AY1299+1,【参考】排出係数!$AI$4:$AI$671,1)-1,5,BE1299),2,FALSE),IF(OR(AW1299=1,AW1299=2),VLOOKUP(AU1299,INDEX((係数_乗用_ガソリン,係数_乗用_CNG,係数_乗用_軽油,係数_乗用_メタノール,係数_乗用_LPG),1,1,BE1299):INDEX((係数_乗用_ガソリン,係数_乗用_CNG,係数_乗用_軽油,係数_乗用_メタノール,係数_乗用_LPG),125,5,BE1299),2,FALSE))))))</f>
        <v/>
      </c>
      <c r="BB1299" s="468" t="str">
        <f>IF(T1299="","",IF(OR(AU1299="",AU1299="-"),"－",IF(OR(AZ1299=8,AZ1299=9),"",IF(OR(AW1299=3,AW1299=4,AW1299=5,AW1299=6),VLOOKUP(AU1299,INDEX((係数_バス貨物_ガソリン,係数_バス貨物_CNG,係数_バス貨物_軽油,係数_バス貨物_メタノール,係数_バス貨物_LPG),MATCH(AY1299,【参考】排出係数!$AI$4:$AI$671,1),1,BE1299):INDEX((係数_バス貨物_ガソリン,係数_バス貨物_CNG,係数_バス貨物_軽油,係数_バス貨物_メタノール,係数_バス貨物_LPG),MATCH(AY1299+1,【参考】排出係数!$AI$4:$AI$671,1)-1,5,BE1299),3,FALSE),IF(OR(AW1299=1,AW1299=2),VLOOKUP(AU1299,INDEX((係数_乗用_ガソリン,係数_乗用_CNG,係数_乗用_軽油,係数_乗用_メタノール,係数_乗用_LPG),1,1,BE1299):INDEX((係数_乗用_ガソリン,係数_乗用_CNG,係数_乗用_軽油,係数_乗用_メタノール,係数_乗用_LPG),125,5,BE1299),3,FALSE))))))</f>
        <v/>
      </c>
      <c r="BC1299" s="467" t="str">
        <f t="shared" si="748"/>
        <v/>
      </c>
      <c r="BD1299" s="567" t="str">
        <f t="shared" si="749"/>
        <v/>
      </c>
      <c r="BE1299" s="467" t="str">
        <f t="shared" si="750"/>
        <v/>
      </c>
      <c r="BF1299" s="469" t="str">
        <f t="shared" ca="1" si="751"/>
        <v/>
      </c>
      <c r="BG1299" s="469" t="str">
        <f t="shared" ca="1" si="752"/>
        <v/>
      </c>
      <c r="BH1299" s="467" t="str">
        <f t="shared" si="753"/>
        <v/>
      </c>
      <c r="BI1299" s="467" t="str">
        <f t="shared" ca="1" si="754"/>
        <v/>
      </c>
      <c r="BJ1299" s="469" t="str">
        <f t="shared" si="755"/>
        <v/>
      </c>
      <c r="BK1299" s="470" t="str">
        <f t="shared" si="739"/>
        <v/>
      </c>
      <c r="BL1299" s="775" t="str">
        <f t="shared" si="756"/>
        <v/>
      </c>
      <c r="BM1299" s="775" t="str">
        <f t="shared" si="757"/>
        <v/>
      </c>
    </row>
    <row r="1300" spans="1:65">
      <c r="A1300" s="473">
        <v>1244</v>
      </c>
      <c r="B1300" s="132"/>
      <c r="C1300" s="332"/>
      <c r="D1300" s="333"/>
      <c r="E1300" s="333"/>
      <c r="F1300" s="334"/>
      <c r="G1300" s="337"/>
      <c r="H1300" s="131"/>
      <c r="I1300" s="337"/>
      <c r="J1300" s="131"/>
      <c r="K1300" s="458" t="str">
        <f t="shared" si="720"/>
        <v/>
      </c>
      <c r="L1300" s="458">
        <f t="shared" si="721"/>
        <v>0</v>
      </c>
      <c r="M1300" s="458">
        <f t="shared" si="722"/>
        <v>0</v>
      </c>
      <c r="N1300" s="459" t="str">
        <f t="shared" si="733"/>
        <v/>
      </c>
      <c r="O1300" s="459" t="str">
        <f t="shared" si="734"/>
        <v/>
      </c>
      <c r="P1300" s="459" t="str">
        <f t="shared" si="735"/>
        <v/>
      </c>
      <c r="Q1300" s="459" t="str">
        <f t="shared" si="736"/>
        <v/>
      </c>
      <c r="R1300" s="459" t="str">
        <f t="shared" si="737"/>
        <v/>
      </c>
      <c r="S1300" s="459" t="str">
        <f t="shared" si="738"/>
        <v/>
      </c>
      <c r="T1300" s="566" t="str">
        <f t="shared" si="723"/>
        <v/>
      </c>
      <c r="U1300" s="702"/>
      <c r="V1300" s="132"/>
      <c r="W1300" s="133"/>
      <c r="X1300" s="134"/>
      <c r="Y1300" s="135"/>
      <c r="Z1300" s="137"/>
      <c r="AA1300" s="136"/>
      <c r="AB1300" s="566" t="str">
        <f t="shared" si="724"/>
        <v/>
      </c>
      <c r="AC1300" s="568" t="str">
        <f t="shared" si="725"/>
        <v/>
      </c>
      <c r="AD1300" s="137"/>
      <c r="AE1300" s="137"/>
      <c r="AF1300" s="138"/>
      <c r="AG1300" s="138"/>
      <c r="AH1300" s="592" t="str">
        <f t="shared" si="726"/>
        <v/>
      </c>
      <c r="AI1300" s="592" t="str">
        <f t="shared" si="727"/>
        <v/>
      </c>
      <c r="AJ1300" s="592" t="str">
        <f t="shared" si="728"/>
        <v/>
      </c>
      <c r="AK1300" s="460" t="str">
        <f>IF(AU1300="","",IF(OR(AZ1300=8,AZ1300=9),0,IF(OR(AW1300=3,AW1300=4,AW1300=5,AW1300=6),IF(LEFT(BF1300,1)="1",INDEX(係数_NOX・PM低減,MATCH(AY1300,【参考】排出係数!$AI$801:$AI$804,1),1),VLOOKUP(AU1300,INDEX((係数_バス貨物_ガソリン,係数_バス貨物_CNG,係数_バス貨物_軽油,係数_バス貨物_メタノール,係数_バス貨物_LPG),MATCH(AY1300,【参考】排出係数!$AI$4:$AI$671,1),1,BE1300):INDEX((係数_バス貨物_ガソリン,係数_バス貨物_CNG,係数_バス貨物_軽油,係数_バス貨物_メタノール,係数_バス貨物_LPG),MATCH(AY1300+1,【参考】排出係数!$AI$4:$AI$671,1)-1,5,BE1300),4,FALSE)),IF(AND(BE1300=3,LEFT(BF1300,1)="1"),0.48,VLOOKUP(AU1300,INDEX((係数_乗用_ガソリン,係数_乗用_CNG,係数_乗用_軽油,係数_乗用_メタノール,係数_乗用_LPG),1,1,BE1300):INDEX((係数_乗用_ガソリン,係数_乗用_CNG,係数_乗用_軽油,係数_乗用_メタノール,係数_乗用_LPG),125,5,BE1300),4,FALSE)))))</f>
        <v/>
      </c>
      <c r="AL1300" s="461" t="str">
        <f t="shared" si="729"/>
        <v/>
      </c>
      <c r="AM1300" s="460" t="str">
        <f>IF(AU1300="","",IF(OR(AZ1300=8,AZ1300=9),0,IF(OR(AW1300=3,AW1300=4,AW1300=5,AW1300=6),IF(LEFT(BH1300,1)="1",INDEX(係数_PM低減,MATCH(AY1300,【参考】排出係数!$AI$801:$AI$804,1),MATCH(BI1300,【参考】排出係数!$AL$798:$AO$798,1)),VLOOKUP(AU1300,INDEX((係数_バス貨物_ガソリン,係数_バス貨物_CNG,係数_バス貨物_軽油,係数_バス貨物_メタノール,係数_バス貨物_LPG),MATCH(AY1300,【参考】排出係数!$AI$4:$AI$671,1),1,BE1300):INDEX((係数_バス貨物_ガソリン,係数_バス貨物_CNG,係数_バス貨物_軽油,係数_バス貨物_メタノール,係数_バス貨物_LPG),MATCH(AY1300+1,【参考】排出係数!$AI$4:$AI$671,1)-1,5,BE1300),5,FALSE)),IF(AND(BE1300=3,LEFT(BF1300,1)="1"),0.055,VLOOKUP(AU1300,INDEX((係数_乗用_ガソリン,係数_乗用_CNG,係数_乗用_軽油,係数_乗用_メタノール,係数_乗用_LPG),1,1,BE1300):INDEX((係数_乗用_ガソリン,係数_乗用_CNG,係数_乗用_軽油,係数_乗用_メタノール,係数_乗用_LPG),125,5,BE1300),5,FALSE)))))</f>
        <v/>
      </c>
      <c r="AN1300" s="461" t="str">
        <f t="shared" si="730"/>
        <v/>
      </c>
      <c r="AO1300" s="462" t="str">
        <f t="shared" si="731"/>
        <v/>
      </c>
      <c r="AP1300" s="463" t="str">
        <f t="shared" si="732"/>
        <v/>
      </c>
      <c r="AQ1300" s="464"/>
      <c r="AR1300" s="619"/>
      <c r="AS1300" s="465" t="str">
        <f t="shared" si="740"/>
        <v/>
      </c>
      <c r="AT1300" s="465" t="str">
        <f t="shared" si="741"/>
        <v/>
      </c>
      <c r="AU1300" s="466" t="str">
        <f t="shared" si="742"/>
        <v/>
      </c>
      <c r="AV1300" s="467" t="str">
        <f t="shared" si="743"/>
        <v/>
      </c>
      <c r="AW1300" s="467" t="str">
        <f t="shared" si="744"/>
        <v/>
      </c>
      <c r="AX1300" s="467" t="str">
        <f t="shared" si="745"/>
        <v/>
      </c>
      <c r="AY1300" s="467" t="str">
        <f t="shared" si="746"/>
        <v/>
      </c>
      <c r="AZ1300" s="467" t="str">
        <f t="shared" si="747"/>
        <v/>
      </c>
      <c r="BA1300" s="468" t="str">
        <f>IF(AS1300="","",IF(OR(AU1300="",AU1300="-"),"－",IF(OR(AZ1300=8,AZ1300=9),"",IF(OR(AW1300=3,AW1300=4,AW1300=5,AW1300=6),VLOOKUP(AU1300,INDEX((係数_バス貨物_ガソリン,係数_バス貨物_CNG,係数_バス貨物_軽油,係数_バス貨物_メタノール,係数_バス貨物_LPG),MATCH(AY1300,【参考】排出係数!$AI$4:$AI$671,1),1,BE1300):INDEX((係数_バス貨物_ガソリン,係数_バス貨物_CNG,係数_バス貨物_軽油,係数_バス貨物_メタノール,係数_バス貨物_LPG),MATCH(AY1300+1,【参考】排出係数!$AI$4:$AI$671,1)-1,5,BE1300),2,FALSE),IF(OR(AW1300=1,AW1300=2),VLOOKUP(AU1300,INDEX((係数_乗用_ガソリン,係数_乗用_CNG,係数_乗用_軽油,係数_乗用_メタノール,係数_乗用_LPG),1,1,BE1300):INDEX((係数_乗用_ガソリン,係数_乗用_CNG,係数_乗用_軽油,係数_乗用_メタノール,係数_乗用_LPG),125,5,BE1300),2,FALSE))))))</f>
        <v/>
      </c>
      <c r="BB1300" s="468" t="str">
        <f>IF(T1300="","",IF(OR(AU1300="",AU1300="-"),"－",IF(OR(AZ1300=8,AZ1300=9),"",IF(OR(AW1300=3,AW1300=4,AW1300=5,AW1300=6),VLOOKUP(AU1300,INDEX((係数_バス貨物_ガソリン,係数_バス貨物_CNG,係数_バス貨物_軽油,係数_バス貨物_メタノール,係数_バス貨物_LPG),MATCH(AY1300,【参考】排出係数!$AI$4:$AI$671,1),1,BE1300):INDEX((係数_バス貨物_ガソリン,係数_バス貨物_CNG,係数_バス貨物_軽油,係数_バス貨物_メタノール,係数_バス貨物_LPG),MATCH(AY1300+1,【参考】排出係数!$AI$4:$AI$671,1)-1,5,BE1300),3,FALSE),IF(OR(AW1300=1,AW1300=2),VLOOKUP(AU1300,INDEX((係数_乗用_ガソリン,係数_乗用_CNG,係数_乗用_軽油,係数_乗用_メタノール,係数_乗用_LPG),1,1,BE1300):INDEX((係数_乗用_ガソリン,係数_乗用_CNG,係数_乗用_軽油,係数_乗用_メタノール,係数_乗用_LPG),125,5,BE1300),3,FALSE))))))</f>
        <v/>
      </c>
      <c r="BC1300" s="467" t="str">
        <f t="shared" si="748"/>
        <v/>
      </c>
      <c r="BD1300" s="567" t="str">
        <f t="shared" si="749"/>
        <v/>
      </c>
      <c r="BE1300" s="467" t="str">
        <f t="shared" si="750"/>
        <v/>
      </c>
      <c r="BF1300" s="469" t="str">
        <f t="shared" ca="1" si="751"/>
        <v/>
      </c>
      <c r="BG1300" s="469" t="str">
        <f t="shared" ca="1" si="752"/>
        <v/>
      </c>
      <c r="BH1300" s="467" t="str">
        <f t="shared" si="753"/>
        <v/>
      </c>
      <c r="BI1300" s="467" t="str">
        <f t="shared" ca="1" si="754"/>
        <v/>
      </c>
      <c r="BJ1300" s="469" t="str">
        <f t="shared" si="755"/>
        <v/>
      </c>
      <c r="BK1300" s="470" t="str">
        <f t="shared" si="739"/>
        <v/>
      </c>
      <c r="BL1300" s="775" t="str">
        <f t="shared" si="756"/>
        <v/>
      </c>
      <c r="BM1300" s="775" t="str">
        <f t="shared" si="757"/>
        <v/>
      </c>
    </row>
    <row r="1301" spans="1:65">
      <c r="A1301" s="473">
        <v>1245</v>
      </c>
      <c r="B1301" s="132"/>
      <c r="C1301" s="332"/>
      <c r="D1301" s="333"/>
      <c r="E1301" s="333"/>
      <c r="F1301" s="334"/>
      <c r="G1301" s="337"/>
      <c r="H1301" s="131"/>
      <c r="I1301" s="337"/>
      <c r="J1301" s="131"/>
      <c r="K1301" s="458" t="str">
        <f t="shared" si="720"/>
        <v/>
      </c>
      <c r="L1301" s="458">
        <f t="shared" si="721"/>
        <v>0</v>
      </c>
      <c r="M1301" s="458">
        <f t="shared" si="722"/>
        <v>0</v>
      </c>
      <c r="N1301" s="459" t="str">
        <f t="shared" si="733"/>
        <v/>
      </c>
      <c r="O1301" s="459" t="str">
        <f t="shared" si="734"/>
        <v/>
      </c>
      <c r="P1301" s="459" t="str">
        <f t="shared" si="735"/>
        <v/>
      </c>
      <c r="Q1301" s="459" t="str">
        <f t="shared" si="736"/>
        <v/>
      </c>
      <c r="R1301" s="459" t="str">
        <f t="shared" si="737"/>
        <v/>
      </c>
      <c r="S1301" s="459" t="str">
        <f t="shared" si="738"/>
        <v/>
      </c>
      <c r="T1301" s="566" t="str">
        <f t="shared" si="723"/>
        <v/>
      </c>
      <c r="U1301" s="702"/>
      <c r="V1301" s="132"/>
      <c r="W1301" s="133"/>
      <c r="X1301" s="134"/>
      <c r="Y1301" s="135"/>
      <c r="Z1301" s="137"/>
      <c r="AA1301" s="136"/>
      <c r="AB1301" s="566" t="str">
        <f t="shared" si="724"/>
        <v/>
      </c>
      <c r="AC1301" s="568" t="str">
        <f t="shared" si="725"/>
        <v/>
      </c>
      <c r="AD1301" s="137"/>
      <c r="AE1301" s="137"/>
      <c r="AF1301" s="138"/>
      <c r="AG1301" s="138"/>
      <c r="AH1301" s="592" t="str">
        <f t="shared" si="726"/>
        <v/>
      </c>
      <c r="AI1301" s="592" t="str">
        <f t="shared" si="727"/>
        <v/>
      </c>
      <c r="AJ1301" s="592" t="str">
        <f t="shared" si="728"/>
        <v/>
      </c>
      <c r="AK1301" s="460" t="str">
        <f>IF(AU1301="","",IF(OR(AZ1301=8,AZ1301=9),0,IF(OR(AW1301=3,AW1301=4,AW1301=5,AW1301=6),IF(LEFT(BF1301,1)="1",INDEX(係数_NOX・PM低減,MATCH(AY1301,【参考】排出係数!$AI$801:$AI$804,1),1),VLOOKUP(AU1301,INDEX((係数_バス貨物_ガソリン,係数_バス貨物_CNG,係数_バス貨物_軽油,係数_バス貨物_メタノール,係数_バス貨物_LPG),MATCH(AY1301,【参考】排出係数!$AI$4:$AI$671,1),1,BE1301):INDEX((係数_バス貨物_ガソリン,係数_バス貨物_CNG,係数_バス貨物_軽油,係数_バス貨物_メタノール,係数_バス貨物_LPG),MATCH(AY1301+1,【参考】排出係数!$AI$4:$AI$671,1)-1,5,BE1301),4,FALSE)),IF(AND(BE1301=3,LEFT(BF1301,1)="1"),0.48,VLOOKUP(AU1301,INDEX((係数_乗用_ガソリン,係数_乗用_CNG,係数_乗用_軽油,係数_乗用_メタノール,係数_乗用_LPG),1,1,BE1301):INDEX((係数_乗用_ガソリン,係数_乗用_CNG,係数_乗用_軽油,係数_乗用_メタノール,係数_乗用_LPG),125,5,BE1301),4,FALSE)))))</f>
        <v/>
      </c>
      <c r="AL1301" s="461" t="str">
        <f t="shared" si="729"/>
        <v/>
      </c>
      <c r="AM1301" s="460" t="str">
        <f>IF(AU1301="","",IF(OR(AZ1301=8,AZ1301=9),0,IF(OR(AW1301=3,AW1301=4,AW1301=5,AW1301=6),IF(LEFT(BH1301,1)="1",INDEX(係数_PM低減,MATCH(AY1301,【参考】排出係数!$AI$801:$AI$804,1),MATCH(BI1301,【参考】排出係数!$AL$798:$AO$798,1)),VLOOKUP(AU1301,INDEX((係数_バス貨物_ガソリン,係数_バス貨物_CNG,係数_バス貨物_軽油,係数_バス貨物_メタノール,係数_バス貨物_LPG),MATCH(AY1301,【参考】排出係数!$AI$4:$AI$671,1),1,BE1301):INDEX((係数_バス貨物_ガソリン,係数_バス貨物_CNG,係数_バス貨物_軽油,係数_バス貨物_メタノール,係数_バス貨物_LPG),MATCH(AY1301+1,【参考】排出係数!$AI$4:$AI$671,1)-1,5,BE1301),5,FALSE)),IF(AND(BE1301=3,LEFT(BF1301,1)="1"),0.055,VLOOKUP(AU1301,INDEX((係数_乗用_ガソリン,係数_乗用_CNG,係数_乗用_軽油,係数_乗用_メタノール,係数_乗用_LPG),1,1,BE1301):INDEX((係数_乗用_ガソリン,係数_乗用_CNG,係数_乗用_軽油,係数_乗用_メタノール,係数_乗用_LPG),125,5,BE1301),5,FALSE)))))</f>
        <v/>
      </c>
      <c r="AN1301" s="461" t="str">
        <f t="shared" si="730"/>
        <v/>
      </c>
      <c r="AO1301" s="462" t="str">
        <f t="shared" si="731"/>
        <v/>
      </c>
      <c r="AP1301" s="463" t="str">
        <f t="shared" si="732"/>
        <v/>
      </c>
      <c r="AQ1301" s="464"/>
      <c r="AR1301" s="619"/>
      <c r="AS1301" s="465" t="str">
        <f t="shared" si="740"/>
        <v/>
      </c>
      <c r="AT1301" s="465" t="str">
        <f t="shared" si="741"/>
        <v/>
      </c>
      <c r="AU1301" s="466" t="str">
        <f t="shared" si="742"/>
        <v/>
      </c>
      <c r="AV1301" s="467" t="str">
        <f t="shared" si="743"/>
        <v/>
      </c>
      <c r="AW1301" s="467" t="str">
        <f t="shared" si="744"/>
        <v/>
      </c>
      <c r="AX1301" s="467" t="str">
        <f t="shared" si="745"/>
        <v/>
      </c>
      <c r="AY1301" s="467" t="str">
        <f t="shared" si="746"/>
        <v/>
      </c>
      <c r="AZ1301" s="467" t="str">
        <f t="shared" si="747"/>
        <v/>
      </c>
      <c r="BA1301" s="468" t="str">
        <f>IF(AS1301="","",IF(OR(AU1301="",AU1301="-"),"－",IF(OR(AZ1301=8,AZ1301=9),"",IF(OR(AW1301=3,AW1301=4,AW1301=5,AW1301=6),VLOOKUP(AU1301,INDEX((係数_バス貨物_ガソリン,係数_バス貨物_CNG,係数_バス貨物_軽油,係数_バス貨物_メタノール,係数_バス貨物_LPG),MATCH(AY1301,【参考】排出係数!$AI$4:$AI$671,1),1,BE1301):INDEX((係数_バス貨物_ガソリン,係数_バス貨物_CNG,係数_バス貨物_軽油,係数_バス貨物_メタノール,係数_バス貨物_LPG),MATCH(AY1301+1,【参考】排出係数!$AI$4:$AI$671,1)-1,5,BE1301),2,FALSE),IF(OR(AW1301=1,AW1301=2),VLOOKUP(AU1301,INDEX((係数_乗用_ガソリン,係数_乗用_CNG,係数_乗用_軽油,係数_乗用_メタノール,係数_乗用_LPG),1,1,BE1301):INDEX((係数_乗用_ガソリン,係数_乗用_CNG,係数_乗用_軽油,係数_乗用_メタノール,係数_乗用_LPG),125,5,BE1301),2,FALSE))))))</f>
        <v/>
      </c>
      <c r="BB1301" s="468" t="str">
        <f>IF(T1301="","",IF(OR(AU1301="",AU1301="-"),"－",IF(OR(AZ1301=8,AZ1301=9),"",IF(OR(AW1301=3,AW1301=4,AW1301=5,AW1301=6),VLOOKUP(AU1301,INDEX((係数_バス貨物_ガソリン,係数_バス貨物_CNG,係数_バス貨物_軽油,係数_バス貨物_メタノール,係数_バス貨物_LPG),MATCH(AY1301,【参考】排出係数!$AI$4:$AI$671,1),1,BE1301):INDEX((係数_バス貨物_ガソリン,係数_バス貨物_CNG,係数_バス貨物_軽油,係数_バス貨物_メタノール,係数_バス貨物_LPG),MATCH(AY1301+1,【参考】排出係数!$AI$4:$AI$671,1)-1,5,BE1301),3,FALSE),IF(OR(AW1301=1,AW1301=2),VLOOKUP(AU1301,INDEX((係数_乗用_ガソリン,係数_乗用_CNG,係数_乗用_軽油,係数_乗用_メタノール,係数_乗用_LPG),1,1,BE1301):INDEX((係数_乗用_ガソリン,係数_乗用_CNG,係数_乗用_軽油,係数_乗用_メタノール,係数_乗用_LPG),125,5,BE1301),3,FALSE))))))</f>
        <v/>
      </c>
      <c r="BC1301" s="467" t="str">
        <f t="shared" si="748"/>
        <v/>
      </c>
      <c r="BD1301" s="567" t="str">
        <f t="shared" si="749"/>
        <v/>
      </c>
      <c r="BE1301" s="467" t="str">
        <f t="shared" si="750"/>
        <v/>
      </c>
      <c r="BF1301" s="469" t="str">
        <f t="shared" ca="1" si="751"/>
        <v/>
      </c>
      <c r="BG1301" s="469" t="str">
        <f t="shared" ca="1" si="752"/>
        <v/>
      </c>
      <c r="BH1301" s="467" t="str">
        <f t="shared" si="753"/>
        <v/>
      </c>
      <c r="BI1301" s="467" t="str">
        <f t="shared" ca="1" si="754"/>
        <v/>
      </c>
      <c r="BJ1301" s="469" t="str">
        <f t="shared" si="755"/>
        <v/>
      </c>
      <c r="BK1301" s="470" t="str">
        <f t="shared" si="739"/>
        <v/>
      </c>
      <c r="BL1301" s="775" t="str">
        <f t="shared" si="756"/>
        <v/>
      </c>
      <c r="BM1301" s="775" t="str">
        <f t="shared" si="757"/>
        <v/>
      </c>
    </row>
    <row r="1302" spans="1:65">
      <c r="A1302" s="473">
        <v>1246</v>
      </c>
      <c r="B1302" s="132"/>
      <c r="C1302" s="332"/>
      <c r="D1302" s="333"/>
      <c r="E1302" s="333"/>
      <c r="F1302" s="334"/>
      <c r="G1302" s="337"/>
      <c r="H1302" s="131"/>
      <c r="I1302" s="337"/>
      <c r="J1302" s="131"/>
      <c r="K1302" s="458" t="str">
        <f t="shared" si="720"/>
        <v/>
      </c>
      <c r="L1302" s="458">
        <f t="shared" si="721"/>
        <v>0</v>
      </c>
      <c r="M1302" s="458">
        <f t="shared" si="722"/>
        <v>0</v>
      </c>
      <c r="N1302" s="459" t="str">
        <f t="shared" si="733"/>
        <v/>
      </c>
      <c r="O1302" s="459" t="str">
        <f t="shared" si="734"/>
        <v/>
      </c>
      <c r="P1302" s="459" t="str">
        <f t="shared" si="735"/>
        <v/>
      </c>
      <c r="Q1302" s="459" t="str">
        <f t="shared" si="736"/>
        <v/>
      </c>
      <c r="R1302" s="459" t="str">
        <f t="shared" si="737"/>
        <v/>
      </c>
      <c r="S1302" s="459" t="str">
        <f t="shared" si="738"/>
        <v/>
      </c>
      <c r="T1302" s="566" t="str">
        <f t="shared" si="723"/>
        <v/>
      </c>
      <c r="U1302" s="702"/>
      <c r="V1302" s="132"/>
      <c r="W1302" s="133"/>
      <c r="X1302" s="134"/>
      <c r="Y1302" s="135"/>
      <c r="Z1302" s="137"/>
      <c r="AA1302" s="136"/>
      <c r="AB1302" s="566" t="str">
        <f t="shared" si="724"/>
        <v/>
      </c>
      <c r="AC1302" s="568" t="str">
        <f t="shared" si="725"/>
        <v/>
      </c>
      <c r="AD1302" s="137"/>
      <c r="AE1302" s="137"/>
      <c r="AF1302" s="138"/>
      <c r="AG1302" s="138"/>
      <c r="AH1302" s="592" t="str">
        <f t="shared" si="726"/>
        <v/>
      </c>
      <c r="AI1302" s="592" t="str">
        <f t="shared" si="727"/>
        <v/>
      </c>
      <c r="AJ1302" s="592" t="str">
        <f t="shared" si="728"/>
        <v/>
      </c>
      <c r="AK1302" s="460" t="str">
        <f>IF(AU1302="","",IF(OR(AZ1302=8,AZ1302=9),0,IF(OR(AW1302=3,AW1302=4,AW1302=5,AW1302=6),IF(LEFT(BF1302,1)="1",INDEX(係数_NOX・PM低減,MATCH(AY1302,【参考】排出係数!$AI$801:$AI$804,1),1),VLOOKUP(AU1302,INDEX((係数_バス貨物_ガソリン,係数_バス貨物_CNG,係数_バス貨物_軽油,係数_バス貨物_メタノール,係数_バス貨物_LPG),MATCH(AY1302,【参考】排出係数!$AI$4:$AI$671,1),1,BE1302):INDEX((係数_バス貨物_ガソリン,係数_バス貨物_CNG,係数_バス貨物_軽油,係数_バス貨物_メタノール,係数_バス貨物_LPG),MATCH(AY1302+1,【参考】排出係数!$AI$4:$AI$671,1)-1,5,BE1302),4,FALSE)),IF(AND(BE1302=3,LEFT(BF1302,1)="1"),0.48,VLOOKUP(AU1302,INDEX((係数_乗用_ガソリン,係数_乗用_CNG,係数_乗用_軽油,係数_乗用_メタノール,係数_乗用_LPG),1,1,BE1302):INDEX((係数_乗用_ガソリン,係数_乗用_CNG,係数_乗用_軽油,係数_乗用_メタノール,係数_乗用_LPG),125,5,BE1302),4,FALSE)))))</f>
        <v/>
      </c>
      <c r="AL1302" s="461" t="str">
        <f t="shared" si="729"/>
        <v/>
      </c>
      <c r="AM1302" s="460" t="str">
        <f>IF(AU1302="","",IF(OR(AZ1302=8,AZ1302=9),0,IF(OR(AW1302=3,AW1302=4,AW1302=5,AW1302=6),IF(LEFT(BH1302,1)="1",INDEX(係数_PM低減,MATCH(AY1302,【参考】排出係数!$AI$801:$AI$804,1),MATCH(BI1302,【参考】排出係数!$AL$798:$AO$798,1)),VLOOKUP(AU1302,INDEX((係数_バス貨物_ガソリン,係数_バス貨物_CNG,係数_バス貨物_軽油,係数_バス貨物_メタノール,係数_バス貨物_LPG),MATCH(AY1302,【参考】排出係数!$AI$4:$AI$671,1),1,BE1302):INDEX((係数_バス貨物_ガソリン,係数_バス貨物_CNG,係数_バス貨物_軽油,係数_バス貨物_メタノール,係数_バス貨物_LPG),MATCH(AY1302+1,【参考】排出係数!$AI$4:$AI$671,1)-1,5,BE1302),5,FALSE)),IF(AND(BE1302=3,LEFT(BF1302,1)="1"),0.055,VLOOKUP(AU1302,INDEX((係数_乗用_ガソリン,係数_乗用_CNG,係数_乗用_軽油,係数_乗用_メタノール,係数_乗用_LPG),1,1,BE1302):INDEX((係数_乗用_ガソリン,係数_乗用_CNG,係数_乗用_軽油,係数_乗用_メタノール,係数_乗用_LPG),125,5,BE1302),5,FALSE)))))</f>
        <v/>
      </c>
      <c r="AN1302" s="461" t="str">
        <f t="shared" si="730"/>
        <v/>
      </c>
      <c r="AO1302" s="462" t="str">
        <f t="shared" si="731"/>
        <v/>
      </c>
      <c r="AP1302" s="463" t="str">
        <f t="shared" si="732"/>
        <v/>
      </c>
      <c r="AQ1302" s="464"/>
      <c r="AR1302" s="619"/>
      <c r="AS1302" s="465" t="str">
        <f t="shared" si="740"/>
        <v/>
      </c>
      <c r="AT1302" s="465" t="str">
        <f t="shared" si="741"/>
        <v/>
      </c>
      <c r="AU1302" s="466" t="str">
        <f t="shared" si="742"/>
        <v/>
      </c>
      <c r="AV1302" s="467" t="str">
        <f t="shared" si="743"/>
        <v/>
      </c>
      <c r="AW1302" s="467" t="str">
        <f t="shared" si="744"/>
        <v/>
      </c>
      <c r="AX1302" s="467" t="str">
        <f t="shared" si="745"/>
        <v/>
      </c>
      <c r="AY1302" s="467" t="str">
        <f t="shared" si="746"/>
        <v/>
      </c>
      <c r="AZ1302" s="467" t="str">
        <f t="shared" si="747"/>
        <v/>
      </c>
      <c r="BA1302" s="468" t="str">
        <f>IF(AS1302="","",IF(OR(AU1302="",AU1302="-"),"－",IF(OR(AZ1302=8,AZ1302=9),"",IF(OR(AW1302=3,AW1302=4,AW1302=5,AW1302=6),VLOOKUP(AU1302,INDEX((係数_バス貨物_ガソリン,係数_バス貨物_CNG,係数_バス貨物_軽油,係数_バス貨物_メタノール,係数_バス貨物_LPG),MATCH(AY1302,【参考】排出係数!$AI$4:$AI$671,1),1,BE1302):INDEX((係数_バス貨物_ガソリン,係数_バス貨物_CNG,係数_バス貨物_軽油,係数_バス貨物_メタノール,係数_バス貨物_LPG),MATCH(AY1302+1,【参考】排出係数!$AI$4:$AI$671,1)-1,5,BE1302),2,FALSE),IF(OR(AW1302=1,AW1302=2),VLOOKUP(AU1302,INDEX((係数_乗用_ガソリン,係数_乗用_CNG,係数_乗用_軽油,係数_乗用_メタノール,係数_乗用_LPG),1,1,BE1302):INDEX((係数_乗用_ガソリン,係数_乗用_CNG,係数_乗用_軽油,係数_乗用_メタノール,係数_乗用_LPG),125,5,BE1302),2,FALSE))))))</f>
        <v/>
      </c>
      <c r="BB1302" s="468" t="str">
        <f>IF(T1302="","",IF(OR(AU1302="",AU1302="-"),"－",IF(OR(AZ1302=8,AZ1302=9),"",IF(OR(AW1302=3,AW1302=4,AW1302=5,AW1302=6),VLOOKUP(AU1302,INDEX((係数_バス貨物_ガソリン,係数_バス貨物_CNG,係数_バス貨物_軽油,係数_バス貨物_メタノール,係数_バス貨物_LPG),MATCH(AY1302,【参考】排出係数!$AI$4:$AI$671,1),1,BE1302):INDEX((係数_バス貨物_ガソリン,係数_バス貨物_CNG,係数_バス貨物_軽油,係数_バス貨物_メタノール,係数_バス貨物_LPG),MATCH(AY1302+1,【参考】排出係数!$AI$4:$AI$671,1)-1,5,BE1302),3,FALSE),IF(OR(AW1302=1,AW1302=2),VLOOKUP(AU1302,INDEX((係数_乗用_ガソリン,係数_乗用_CNG,係数_乗用_軽油,係数_乗用_メタノール,係数_乗用_LPG),1,1,BE1302):INDEX((係数_乗用_ガソリン,係数_乗用_CNG,係数_乗用_軽油,係数_乗用_メタノール,係数_乗用_LPG),125,5,BE1302),3,FALSE))))))</f>
        <v/>
      </c>
      <c r="BC1302" s="467" t="str">
        <f t="shared" si="748"/>
        <v/>
      </c>
      <c r="BD1302" s="567" t="str">
        <f t="shared" si="749"/>
        <v/>
      </c>
      <c r="BE1302" s="467" t="str">
        <f t="shared" si="750"/>
        <v/>
      </c>
      <c r="BF1302" s="469" t="str">
        <f t="shared" ca="1" si="751"/>
        <v/>
      </c>
      <c r="BG1302" s="469" t="str">
        <f t="shared" ca="1" si="752"/>
        <v/>
      </c>
      <c r="BH1302" s="467" t="str">
        <f t="shared" si="753"/>
        <v/>
      </c>
      <c r="BI1302" s="467" t="str">
        <f t="shared" ca="1" si="754"/>
        <v/>
      </c>
      <c r="BJ1302" s="469" t="str">
        <f t="shared" si="755"/>
        <v/>
      </c>
      <c r="BK1302" s="470" t="str">
        <f t="shared" si="739"/>
        <v/>
      </c>
      <c r="BL1302" s="775" t="str">
        <f t="shared" si="756"/>
        <v/>
      </c>
      <c r="BM1302" s="775" t="str">
        <f t="shared" si="757"/>
        <v/>
      </c>
    </row>
    <row r="1303" spans="1:65">
      <c r="A1303" s="473">
        <v>1247</v>
      </c>
      <c r="B1303" s="132"/>
      <c r="C1303" s="332"/>
      <c r="D1303" s="333"/>
      <c r="E1303" s="333"/>
      <c r="F1303" s="334"/>
      <c r="G1303" s="337"/>
      <c r="H1303" s="131"/>
      <c r="I1303" s="337"/>
      <c r="J1303" s="131"/>
      <c r="K1303" s="458" t="str">
        <f t="shared" si="720"/>
        <v/>
      </c>
      <c r="L1303" s="458">
        <f t="shared" si="721"/>
        <v>0</v>
      </c>
      <c r="M1303" s="458">
        <f t="shared" si="722"/>
        <v>0</v>
      </c>
      <c r="N1303" s="459" t="str">
        <f t="shared" si="733"/>
        <v/>
      </c>
      <c r="O1303" s="459" t="str">
        <f t="shared" si="734"/>
        <v/>
      </c>
      <c r="P1303" s="459" t="str">
        <f t="shared" si="735"/>
        <v/>
      </c>
      <c r="Q1303" s="459" t="str">
        <f t="shared" si="736"/>
        <v/>
      </c>
      <c r="R1303" s="459" t="str">
        <f t="shared" si="737"/>
        <v/>
      </c>
      <c r="S1303" s="459" t="str">
        <f t="shared" si="738"/>
        <v/>
      </c>
      <c r="T1303" s="566" t="str">
        <f t="shared" si="723"/>
        <v/>
      </c>
      <c r="U1303" s="702"/>
      <c r="V1303" s="132"/>
      <c r="W1303" s="133"/>
      <c r="X1303" s="134"/>
      <c r="Y1303" s="135"/>
      <c r="Z1303" s="137"/>
      <c r="AA1303" s="136"/>
      <c r="AB1303" s="566" t="str">
        <f t="shared" si="724"/>
        <v/>
      </c>
      <c r="AC1303" s="568" t="str">
        <f t="shared" si="725"/>
        <v/>
      </c>
      <c r="AD1303" s="137"/>
      <c r="AE1303" s="137"/>
      <c r="AF1303" s="138"/>
      <c r="AG1303" s="138"/>
      <c r="AH1303" s="592" t="str">
        <f t="shared" si="726"/>
        <v/>
      </c>
      <c r="AI1303" s="592" t="str">
        <f t="shared" si="727"/>
        <v/>
      </c>
      <c r="AJ1303" s="592" t="str">
        <f t="shared" si="728"/>
        <v/>
      </c>
      <c r="AK1303" s="460" t="str">
        <f>IF(AU1303="","",IF(OR(AZ1303=8,AZ1303=9),0,IF(OR(AW1303=3,AW1303=4,AW1303=5,AW1303=6),IF(LEFT(BF1303,1)="1",INDEX(係数_NOX・PM低減,MATCH(AY1303,【参考】排出係数!$AI$801:$AI$804,1),1),VLOOKUP(AU1303,INDEX((係数_バス貨物_ガソリン,係数_バス貨物_CNG,係数_バス貨物_軽油,係数_バス貨物_メタノール,係数_バス貨物_LPG),MATCH(AY1303,【参考】排出係数!$AI$4:$AI$671,1),1,BE1303):INDEX((係数_バス貨物_ガソリン,係数_バス貨物_CNG,係数_バス貨物_軽油,係数_バス貨物_メタノール,係数_バス貨物_LPG),MATCH(AY1303+1,【参考】排出係数!$AI$4:$AI$671,1)-1,5,BE1303),4,FALSE)),IF(AND(BE1303=3,LEFT(BF1303,1)="1"),0.48,VLOOKUP(AU1303,INDEX((係数_乗用_ガソリン,係数_乗用_CNG,係数_乗用_軽油,係数_乗用_メタノール,係数_乗用_LPG),1,1,BE1303):INDEX((係数_乗用_ガソリン,係数_乗用_CNG,係数_乗用_軽油,係数_乗用_メタノール,係数_乗用_LPG),125,5,BE1303),4,FALSE)))))</f>
        <v/>
      </c>
      <c r="AL1303" s="461" t="str">
        <f t="shared" si="729"/>
        <v/>
      </c>
      <c r="AM1303" s="460" t="str">
        <f>IF(AU1303="","",IF(OR(AZ1303=8,AZ1303=9),0,IF(OR(AW1303=3,AW1303=4,AW1303=5,AW1303=6),IF(LEFT(BH1303,1)="1",INDEX(係数_PM低減,MATCH(AY1303,【参考】排出係数!$AI$801:$AI$804,1),MATCH(BI1303,【参考】排出係数!$AL$798:$AO$798,1)),VLOOKUP(AU1303,INDEX((係数_バス貨物_ガソリン,係数_バス貨物_CNG,係数_バス貨物_軽油,係数_バス貨物_メタノール,係数_バス貨物_LPG),MATCH(AY1303,【参考】排出係数!$AI$4:$AI$671,1),1,BE1303):INDEX((係数_バス貨物_ガソリン,係数_バス貨物_CNG,係数_バス貨物_軽油,係数_バス貨物_メタノール,係数_バス貨物_LPG),MATCH(AY1303+1,【参考】排出係数!$AI$4:$AI$671,1)-1,5,BE1303),5,FALSE)),IF(AND(BE1303=3,LEFT(BF1303,1)="1"),0.055,VLOOKUP(AU1303,INDEX((係数_乗用_ガソリン,係数_乗用_CNG,係数_乗用_軽油,係数_乗用_メタノール,係数_乗用_LPG),1,1,BE1303):INDEX((係数_乗用_ガソリン,係数_乗用_CNG,係数_乗用_軽油,係数_乗用_メタノール,係数_乗用_LPG),125,5,BE1303),5,FALSE)))))</f>
        <v/>
      </c>
      <c r="AN1303" s="461" t="str">
        <f t="shared" si="730"/>
        <v/>
      </c>
      <c r="AO1303" s="462" t="str">
        <f t="shared" si="731"/>
        <v/>
      </c>
      <c r="AP1303" s="463" t="str">
        <f t="shared" si="732"/>
        <v/>
      </c>
      <c r="AQ1303" s="464"/>
      <c r="AR1303" s="619"/>
      <c r="AS1303" s="465" t="str">
        <f t="shared" si="740"/>
        <v/>
      </c>
      <c r="AT1303" s="465" t="str">
        <f t="shared" si="741"/>
        <v/>
      </c>
      <c r="AU1303" s="466" t="str">
        <f t="shared" si="742"/>
        <v/>
      </c>
      <c r="AV1303" s="467" t="str">
        <f t="shared" si="743"/>
        <v/>
      </c>
      <c r="AW1303" s="467" t="str">
        <f t="shared" si="744"/>
        <v/>
      </c>
      <c r="AX1303" s="467" t="str">
        <f t="shared" si="745"/>
        <v/>
      </c>
      <c r="AY1303" s="467" t="str">
        <f t="shared" si="746"/>
        <v/>
      </c>
      <c r="AZ1303" s="467" t="str">
        <f t="shared" si="747"/>
        <v/>
      </c>
      <c r="BA1303" s="468" t="str">
        <f>IF(AS1303="","",IF(OR(AU1303="",AU1303="-"),"－",IF(OR(AZ1303=8,AZ1303=9),"",IF(OR(AW1303=3,AW1303=4,AW1303=5,AW1303=6),VLOOKUP(AU1303,INDEX((係数_バス貨物_ガソリン,係数_バス貨物_CNG,係数_バス貨物_軽油,係数_バス貨物_メタノール,係数_バス貨物_LPG),MATCH(AY1303,【参考】排出係数!$AI$4:$AI$671,1),1,BE1303):INDEX((係数_バス貨物_ガソリン,係数_バス貨物_CNG,係数_バス貨物_軽油,係数_バス貨物_メタノール,係数_バス貨物_LPG),MATCH(AY1303+1,【参考】排出係数!$AI$4:$AI$671,1)-1,5,BE1303),2,FALSE),IF(OR(AW1303=1,AW1303=2),VLOOKUP(AU1303,INDEX((係数_乗用_ガソリン,係数_乗用_CNG,係数_乗用_軽油,係数_乗用_メタノール,係数_乗用_LPG),1,1,BE1303):INDEX((係数_乗用_ガソリン,係数_乗用_CNG,係数_乗用_軽油,係数_乗用_メタノール,係数_乗用_LPG),125,5,BE1303),2,FALSE))))))</f>
        <v/>
      </c>
      <c r="BB1303" s="468" t="str">
        <f>IF(T1303="","",IF(OR(AU1303="",AU1303="-"),"－",IF(OR(AZ1303=8,AZ1303=9),"",IF(OR(AW1303=3,AW1303=4,AW1303=5,AW1303=6),VLOOKUP(AU1303,INDEX((係数_バス貨物_ガソリン,係数_バス貨物_CNG,係数_バス貨物_軽油,係数_バス貨物_メタノール,係数_バス貨物_LPG),MATCH(AY1303,【参考】排出係数!$AI$4:$AI$671,1),1,BE1303):INDEX((係数_バス貨物_ガソリン,係数_バス貨物_CNG,係数_バス貨物_軽油,係数_バス貨物_メタノール,係数_バス貨物_LPG),MATCH(AY1303+1,【参考】排出係数!$AI$4:$AI$671,1)-1,5,BE1303),3,FALSE),IF(OR(AW1303=1,AW1303=2),VLOOKUP(AU1303,INDEX((係数_乗用_ガソリン,係数_乗用_CNG,係数_乗用_軽油,係数_乗用_メタノール,係数_乗用_LPG),1,1,BE1303):INDEX((係数_乗用_ガソリン,係数_乗用_CNG,係数_乗用_軽油,係数_乗用_メタノール,係数_乗用_LPG),125,5,BE1303),3,FALSE))))))</f>
        <v/>
      </c>
      <c r="BC1303" s="467" t="str">
        <f t="shared" si="748"/>
        <v/>
      </c>
      <c r="BD1303" s="567" t="str">
        <f t="shared" si="749"/>
        <v/>
      </c>
      <c r="BE1303" s="467" t="str">
        <f t="shared" si="750"/>
        <v/>
      </c>
      <c r="BF1303" s="469" t="str">
        <f t="shared" ca="1" si="751"/>
        <v/>
      </c>
      <c r="BG1303" s="469" t="str">
        <f t="shared" ca="1" si="752"/>
        <v/>
      </c>
      <c r="BH1303" s="467" t="str">
        <f t="shared" si="753"/>
        <v/>
      </c>
      <c r="BI1303" s="467" t="str">
        <f t="shared" ca="1" si="754"/>
        <v/>
      </c>
      <c r="BJ1303" s="469" t="str">
        <f t="shared" si="755"/>
        <v/>
      </c>
      <c r="BK1303" s="470" t="str">
        <f t="shared" si="739"/>
        <v/>
      </c>
      <c r="BL1303" s="775" t="str">
        <f t="shared" si="756"/>
        <v/>
      </c>
      <c r="BM1303" s="775" t="str">
        <f t="shared" si="757"/>
        <v/>
      </c>
    </row>
    <row r="1304" spans="1:65">
      <c r="A1304" s="473">
        <v>1248</v>
      </c>
      <c r="B1304" s="132"/>
      <c r="C1304" s="332"/>
      <c r="D1304" s="333"/>
      <c r="E1304" s="333"/>
      <c r="F1304" s="334"/>
      <c r="G1304" s="337"/>
      <c r="H1304" s="131"/>
      <c r="I1304" s="337"/>
      <c r="J1304" s="131"/>
      <c r="K1304" s="458" t="str">
        <f t="shared" si="720"/>
        <v/>
      </c>
      <c r="L1304" s="458">
        <f t="shared" si="721"/>
        <v>0</v>
      </c>
      <c r="M1304" s="458">
        <f t="shared" si="722"/>
        <v>0</v>
      </c>
      <c r="N1304" s="459" t="str">
        <f t="shared" si="733"/>
        <v/>
      </c>
      <c r="O1304" s="459" t="str">
        <f t="shared" si="734"/>
        <v/>
      </c>
      <c r="P1304" s="459" t="str">
        <f t="shared" si="735"/>
        <v/>
      </c>
      <c r="Q1304" s="459" t="str">
        <f t="shared" si="736"/>
        <v/>
      </c>
      <c r="R1304" s="459" t="str">
        <f t="shared" si="737"/>
        <v/>
      </c>
      <c r="S1304" s="459" t="str">
        <f t="shared" si="738"/>
        <v/>
      </c>
      <c r="T1304" s="566" t="str">
        <f t="shared" si="723"/>
        <v/>
      </c>
      <c r="U1304" s="702"/>
      <c r="V1304" s="132"/>
      <c r="W1304" s="133"/>
      <c r="X1304" s="134"/>
      <c r="Y1304" s="135"/>
      <c r="Z1304" s="137"/>
      <c r="AA1304" s="136"/>
      <c r="AB1304" s="566" t="str">
        <f t="shared" si="724"/>
        <v/>
      </c>
      <c r="AC1304" s="568" t="str">
        <f t="shared" si="725"/>
        <v/>
      </c>
      <c r="AD1304" s="137"/>
      <c r="AE1304" s="137"/>
      <c r="AF1304" s="138"/>
      <c r="AG1304" s="138"/>
      <c r="AH1304" s="592" t="str">
        <f t="shared" si="726"/>
        <v/>
      </c>
      <c r="AI1304" s="592" t="str">
        <f t="shared" si="727"/>
        <v/>
      </c>
      <c r="AJ1304" s="592" t="str">
        <f t="shared" si="728"/>
        <v/>
      </c>
      <c r="AK1304" s="460" t="str">
        <f>IF(AU1304="","",IF(OR(AZ1304=8,AZ1304=9),0,IF(OR(AW1304=3,AW1304=4,AW1304=5,AW1304=6),IF(LEFT(BF1304,1)="1",INDEX(係数_NOX・PM低減,MATCH(AY1304,【参考】排出係数!$AI$801:$AI$804,1),1),VLOOKUP(AU1304,INDEX((係数_バス貨物_ガソリン,係数_バス貨物_CNG,係数_バス貨物_軽油,係数_バス貨物_メタノール,係数_バス貨物_LPG),MATCH(AY1304,【参考】排出係数!$AI$4:$AI$671,1),1,BE1304):INDEX((係数_バス貨物_ガソリン,係数_バス貨物_CNG,係数_バス貨物_軽油,係数_バス貨物_メタノール,係数_バス貨物_LPG),MATCH(AY1304+1,【参考】排出係数!$AI$4:$AI$671,1)-1,5,BE1304),4,FALSE)),IF(AND(BE1304=3,LEFT(BF1304,1)="1"),0.48,VLOOKUP(AU1304,INDEX((係数_乗用_ガソリン,係数_乗用_CNG,係数_乗用_軽油,係数_乗用_メタノール,係数_乗用_LPG),1,1,BE1304):INDEX((係数_乗用_ガソリン,係数_乗用_CNG,係数_乗用_軽油,係数_乗用_メタノール,係数_乗用_LPG),125,5,BE1304),4,FALSE)))))</f>
        <v/>
      </c>
      <c r="AL1304" s="461" t="str">
        <f t="shared" si="729"/>
        <v/>
      </c>
      <c r="AM1304" s="460" t="str">
        <f>IF(AU1304="","",IF(OR(AZ1304=8,AZ1304=9),0,IF(OR(AW1304=3,AW1304=4,AW1304=5,AW1304=6),IF(LEFT(BH1304,1)="1",INDEX(係数_PM低減,MATCH(AY1304,【参考】排出係数!$AI$801:$AI$804,1),MATCH(BI1304,【参考】排出係数!$AL$798:$AO$798,1)),VLOOKUP(AU1304,INDEX((係数_バス貨物_ガソリン,係数_バス貨物_CNG,係数_バス貨物_軽油,係数_バス貨物_メタノール,係数_バス貨物_LPG),MATCH(AY1304,【参考】排出係数!$AI$4:$AI$671,1),1,BE1304):INDEX((係数_バス貨物_ガソリン,係数_バス貨物_CNG,係数_バス貨物_軽油,係数_バス貨物_メタノール,係数_バス貨物_LPG),MATCH(AY1304+1,【参考】排出係数!$AI$4:$AI$671,1)-1,5,BE1304),5,FALSE)),IF(AND(BE1304=3,LEFT(BF1304,1)="1"),0.055,VLOOKUP(AU1304,INDEX((係数_乗用_ガソリン,係数_乗用_CNG,係数_乗用_軽油,係数_乗用_メタノール,係数_乗用_LPG),1,1,BE1304):INDEX((係数_乗用_ガソリン,係数_乗用_CNG,係数_乗用_軽油,係数_乗用_メタノール,係数_乗用_LPG),125,5,BE1304),5,FALSE)))))</f>
        <v/>
      </c>
      <c r="AN1304" s="461" t="str">
        <f t="shared" si="730"/>
        <v/>
      </c>
      <c r="AO1304" s="462" t="str">
        <f t="shared" si="731"/>
        <v/>
      </c>
      <c r="AP1304" s="463" t="str">
        <f t="shared" si="732"/>
        <v/>
      </c>
      <c r="AQ1304" s="464"/>
      <c r="AR1304" s="619"/>
      <c r="AS1304" s="465" t="str">
        <f t="shared" si="740"/>
        <v/>
      </c>
      <c r="AT1304" s="465" t="str">
        <f t="shared" si="741"/>
        <v/>
      </c>
      <c r="AU1304" s="466" t="str">
        <f t="shared" si="742"/>
        <v/>
      </c>
      <c r="AV1304" s="467" t="str">
        <f t="shared" si="743"/>
        <v/>
      </c>
      <c r="AW1304" s="467" t="str">
        <f t="shared" si="744"/>
        <v/>
      </c>
      <c r="AX1304" s="467" t="str">
        <f t="shared" si="745"/>
        <v/>
      </c>
      <c r="AY1304" s="467" t="str">
        <f t="shared" si="746"/>
        <v/>
      </c>
      <c r="AZ1304" s="467" t="str">
        <f t="shared" si="747"/>
        <v/>
      </c>
      <c r="BA1304" s="468" t="str">
        <f>IF(AS1304="","",IF(OR(AU1304="",AU1304="-"),"－",IF(OR(AZ1304=8,AZ1304=9),"",IF(OR(AW1304=3,AW1304=4,AW1304=5,AW1304=6),VLOOKUP(AU1304,INDEX((係数_バス貨物_ガソリン,係数_バス貨物_CNG,係数_バス貨物_軽油,係数_バス貨物_メタノール,係数_バス貨物_LPG),MATCH(AY1304,【参考】排出係数!$AI$4:$AI$671,1),1,BE1304):INDEX((係数_バス貨物_ガソリン,係数_バス貨物_CNG,係数_バス貨物_軽油,係数_バス貨物_メタノール,係数_バス貨物_LPG),MATCH(AY1304+1,【参考】排出係数!$AI$4:$AI$671,1)-1,5,BE1304),2,FALSE),IF(OR(AW1304=1,AW1304=2),VLOOKUP(AU1304,INDEX((係数_乗用_ガソリン,係数_乗用_CNG,係数_乗用_軽油,係数_乗用_メタノール,係数_乗用_LPG),1,1,BE1304):INDEX((係数_乗用_ガソリン,係数_乗用_CNG,係数_乗用_軽油,係数_乗用_メタノール,係数_乗用_LPG),125,5,BE1304),2,FALSE))))))</f>
        <v/>
      </c>
      <c r="BB1304" s="468" t="str">
        <f>IF(T1304="","",IF(OR(AU1304="",AU1304="-"),"－",IF(OR(AZ1304=8,AZ1304=9),"",IF(OR(AW1304=3,AW1304=4,AW1304=5,AW1304=6),VLOOKUP(AU1304,INDEX((係数_バス貨物_ガソリン,係数_バス貨物_CNG,係数_バス貨物_軽油,係数_バス貨物_メタノール,係数_バス貨物_LPG),MATCH(AY1304,【参考】排出係数!$AI$4:$AI$671,1),1,BE1304):INDEX((係数_バス貨物_ガソリン,係数_バス貨物_CNG,係数_バス貨物_軽油,係数_バス貨物_メタノール,係数_バス貨物_LPG),MATCH(AY1304+1,【参考】排出係数!$AI$4:$AI$671,1)-1,5,BE1304),3,FALSE),IF(OR(AW1304=1,AW1304=2),VLOOKUP(AU1304,INDEX((係数_乗用_ガソリン,係数_乗用_CNG,係数_乗用_軽油,係数_乗用_メタノール,係数_乗用_LPG),1,1,BE1304):INDEX((係数_乗用_ガソリン,係数_乗用_CNG,係数_乗用_軽油,係数_乗用_メタノール,係数_乗用_LPG),125,5,BE1304),3,FALSE))))))</f>
        <v/>
      </c>
      <c r="BC1304" s="467" t="str">
        <f t="shared" si="748"/>
        <v/>
      </c>
      <c r="BD1304" s="567" t="str">
        <f t="shared" si="749"/>
        <v/>
      </c>
      <c r="BE1304" s="467" t="str">
        <f t="shared" si="750"/>
        <v/>
      </c>
      <c r="BF1304" s="469" t="str">
        <f t="shared" ca="1" si="751"/>
        <v/>
      </c>
      <c r="BG1304" s="469" t="str">
        <f t="shared" ca="1" si="752"/>
        <v/>
      </c>
      <c r="BH1304" s="467" t="str">
        <f t="shared" si="753"/>
        <v/>
      </c>
      <c r="BI1304" s="467" t="str">
        <f t="shared" ca="1" si="754"/>
        <v/>
      </c>
      <c r="BJ1304" s="469" t="str">
        <f t="shared" si="755"/>
        <v/>
      </c>
      <c r="BK1304" s="470" t="str">
        <f t="shared" si="739"/>
        <v/>
      </c>
      <c r="BL1304" s="775" t="str">
        <f t="shared" si="756"/>
        <v/>
      </c>
      <c r="BM1304" s="775" t="str">
        <f t="shared" si="757"/>
        <v/>
      </c>
    </row>
    <row r="1305" spans="1:65">
      <c r="A1305" s="473">
        <v>1249</v>
      </c>
      <c r="B1305" s="132"/>
      <c r="C1305" s="332"/>
      <c r="D1305" s="333"/>
      <c r="E1305" s="333"/>
      <c r="F1305" s="334"/>
      <c r="G1305" s="337"/>
      <c r="H1305" s="131"/>
      <c r="I1305" s="337"/>
      <c r="J1305" s="131"/>
      <c r="K1305" s="458" t="str">
        <f t="shared" si="720"/>
        <v/>
      </c>
      <c r="L1305" s="458">
        <f t="shared" si="721"/>
        <v>0</v>
      </c>
      <c r="M1305" s="458">
        <f t="shared" si="722"/>
        <v>0</v>
      </c>
      <c r="N1305" s="459" t="str">
        <f t="shared" si="733"/>
        <v/>
      </c>
      <c r="O1305" s="459" t="str">
        <f t="shared" si="734"/>
        <v/>
      </c>
      <c r="P1305" s="459" t="str">
        <f t="shared" si="735"/>
        <v/>
      </c>
      <c r="Q1305" s="459" t="str">
        <f t="shared" si="736"/>
        <v/>
      </c>
      <c r="R1305" s="459" t="str">
        <f t="shared" si="737"/>
        <v/>
      </c>
      <c r="S1305" s="459" t="str">
        <f t="shared" si="738"/>
        <v/>
      </c>
      <c r="T1305" s="566" t="str">
        <f t="shared" si="723"/>
        <v/>
      </c>
      <c r="U1305" s="702"/>
      <c r="V1305" s="132"/>
      <c r="W1305" s="133"/>
      <c r="X1305" s="134"/>
      <c r="Y1305" s="135"/>
      <c r="Z1305" s="137"/>
      <c r="AA1305" s="136"/>
      <c r="AB1305" s="566" t="str">
        <f t="shared" si="724"/>
        <v/>
      </c>
      <c r="AC1305" s="568" t="str">
        <f t="shared" si="725"/>
        <v/>
      </c>
      <c r="AD1305" s="137"/>
      <c r="AE1305" s="137"/>
      <c r="AF1305" s="138"/>
      <c r="AG1305" s="138"/>
      <c r="AH1305" s="592" t="str">
        <f t="shared" si="726"/>
        <v/>
      </c>
      <c r="AI1305" s="592" t="str">
        <f t="shared" si="727"/>
        <v/>
      </c>
      <c r="AJ1305" s="592" t="str">
        <f t="shared" si="728"/>
        <v/>
      </c>
      <c r="AK1305" s="460" t="str">
        <f>IF(AU1305="","",IF(OR(AZ1305=8,AZ1305=9),0,IF(OR(AW1305=3,AW1305=4,AW1305=5,AW1305=6),IF(LEFT(BF1305,1)="1",INDEX(係数_NOX・PM低減,MATCH(AY1305,【参考】排出係数!$AI$801:$AI$804,1),1),VLOOKUP(AU1305,INDEX((係数_バス貨物_ガソリン,係数_バス貨物_CNG,係数_バス貨物_軽油,係数_バス貨物_メタノール,係数_バス貨物_LPG),MATCH(AY1305,【参考】排出係数!$AI$4:$AI$671,1),1,BE1305):INDEX((係数_バス貨物_ガソリン,係数_バス貨物_CNG,係数_バス貨物_軽油,係数_バス貨物_メタノール,係数_バス貨物_LPG),MATCH(AY1305+1,【参考】排出係数!$AI$4:$AI$671,1)-1,5,BE1305),4,FALSE)),IF(AND(BE1305=3,LEFT(BF1305,1)="1"),0.48,VLOOKUP(AU1305,INDEX((係数_乗用_ガソリン,係数_乗用_CNG,係数_乗用_軽油,係数_乗用_メタノール,係数_乗用_LPG),1,1,BE1305):INDEX((係数_乗用_ガソリン,係数_乗用_CNG,係数_乗用_軽油,係数_乗用_メタノール,係数_乗用_LPG),125,5,BE1305),4,FALSE)))))</f>
        <v/>
      </c>
      <c r="AL1305" s="461" t="str">
        <f t="shared" si="729"/>
        <v/>
      </c>
      <c r="AM1305" s="460" t="str">
        <f>IF(AU1305="","",IF(OR(AZ1305=8,AZ1305=9),0,IF(OR(AW1305=3,AW1305=4,AW1305=5,AW1305=6),IF(LEFT(BH1305,1)="1",INDEX(係数_PM低減,MATCH(AY1305,【参考】排出係数!$AI$801:$AI$804,1),MATCH(BI1305,【参考】排出係数!$AL$798:$AO$798,1)),VLOOKUP(AU1305,INDEX((係数_バス貨物_ガソリン,係数_バス貨物_CNG,係数_バス貨物_軽油,係数_バス貨物_メタノール,係数_バス貨物_LPG),MATCH(AY1305,【参考】排出係数!$AI$4:$AI$671,1),1,BE1305):INDEX((係数_バス貨物_ガソリン,係数_バス貨物_CNG,係数_バス貨物_軽油,係数_バス貨物_メタノール,係数_バス貨物_LPG),MATCH(AY1305+1,【参考】排出係数!$AI$4:$AI$671,1)-1,5,BE1305),5,FALSE)),IF(AND(BE1305=3,LEFT(BF1305,1)="1"),0.055,VLOOKUP(AU1305,INDEX((係数_乗用_ガソリン,係数_乗用_CNG,係数_乗用_軽油,係数_乗用_メタノール,係数_乗用_LPG),1,1,BE1305):INDEX((係数_乗用_ガソリン,係数_乗用_CNG,係数_乗用_軽油,係数_乗用_メタノール,係数_乗用_LPG),125,5,BE1305),5,FALSE)))))</f>
        <v/>
      </c>
      <c r="AN1305" s="461" t="str">
        <f t="shared" si="730"/>
        <v/>
      </c>
      <c r="AO1305" s="462" t="str">
        <f t="shared" si="731"/>
        <v/>
      </c>
      <c r="AP1305" s="463" t="str">
        <f t="shared" si="732"/>
        <v/>
      </c>
      <c r="AQ1305" s="464"/>
      <c r="AR1305" s="619"/>
      <c r="AS1305" s="465" t="str">
        <f t="shared" si="740"/>
        <v/>
      </c>
      <c r="AT1305" s="465" t="str">
        <f t="shared" si="741"/>
        <v/>
      </c>
      <c r="AU1305" s="466" t="str">
        <f t="shared" si="742"/>
        <v/>
      </c>
      <c r="AV1305" s="467" t="str">
        <f t="shared" si="743"/>
        <v/>
      </c>
      <c r="AW1305" s="467" t="str">
        <f t="shared" si="744"/>
        <v/>
      </c>
      <c r="AX1305" s="467" t="str">
        <f t="shared" si="745"/>
        <v/>
      </c>
      <c r="AY1305" s="467" t="str">
        <f t="shared" si="746"/>
        <v/>
      </c>
      <c r="AZ1305" s="467" t="str">
        <f t="shared" si="747"/>
        <v/>
      </c>
      <c r="BA1305" s="468" t="str">
        <f>IF(AS1305="","",IF(OR(AU1305="",AU1305="-"),"－",IF(OR(AZ1305=8,AZ1305=9),"",IF(OR(AW1305=3,AW1305=4,AW1305=5,AW1305=6),VLOOKUP(AU1305,INDEX((係数_バス貨物_ガソリン,係数_バス貨物_CNG,係数_バス貨物_軽油,係数_バス貨物_メタノール,係数_バス貨物_LPG),MATCH(AY1305,【参考】排出係数!$AI$4:$AI$671,1),1,BE1305):INDEX((係数_バス貨物_ガソリン,係数_バス貨物_CNG,係数_バス貨物_軽油,係数_バス貨物_メタノール,係数_バス貨物_LPG),MATCH(AY1305+1,【参考】排出係数!$AI$4:$AI$671,1)-1,5,BE1305),2,FALSE),IF(OR(AW1305=1,AW1305=2),VLOOKUP(AU1305,INDEX((係数_乗用_ガソリン,係数_乗用_CNG,係数_乗用_軽油,係数_乗用_メタノール,係数_乗用_LPG),1,1,BE1305):INDEX((係数_乗用_ガソリン,係数_乗用_CNG,係数_乗用_軽油,係数_乗用_メタノール,係数_乗用_LPG),125,5,BE1305),2,FALSE))))))</f>
        <v/>
      </c>
      <c r="BB1305" s="468" t="str">
        <f>IF(T1305="","",IF(OR(AU1305="",AU1305="-"),"－",IF(OR(AZ1305=8,AZ1305=9),"",IF(OR(AW1305=3,AW1305=4,AW1305=5,AW1305=6),VLOOKUP(AU1305,INDEX((係数_バス貨物_ガソリン,係数_バス貨物_CNG,係数_バス貨物_軽油,係数_バス貨物_メタノール,係数_バス貨物_LPG),MATCH(AY1305,【参考】排出係数!$AI$4:$AI$671,1),1,BE1305):INDEX((係数_バス貨物_ガソリン,係数_バス貨物_CNG,係数_バス貨物_軽油,係数_バス貨物_メタノール,係数_バス貨物_LPG),MATCH(AY1305+1,【参考】排出係数!$AI$4:$AI$671,1)-1,5,BE1305),3,FALSE),IF(OR(AW1305=1,AW1305=2),VLOOKUP(AU1305,INDEX((係数_乗用_ガソリン,係数_乗用_CNG,係数_乗用_軽油,係数_乗用_メタノール,係数_乗用_LPG),1,1,BE1305):INDEX((係数_乗用_ガソリン,係数_乗用_CNG,係数_乗用_軽油,係数_乗用_メタノール,係数_乗用_LPG),125,5,BE1305),3,FALSE))))))</f>
        <v/>
      </c>
      <c r="BC1305" s="467" t="str">
        <f t="shared" si="748"/>
        <v/>
      </c>
      <c r="BD1305" s="567" t="str">
        <f t="shared" si="749"/>
        <v/>
      </c>
      <c r="BE1305" s="467" t="str">
        <f t="shared" si="750"/>
        <v/>
      </c>
      <c r="BF1305" s="469" t="str">
        <f t="shared" ca="1" si="751"/>
        <v/>
      </c>
      <c r="BG1305" s="469" t="str">
        <f t="shared" ca="1" si="752"/>
        <v/>
      </c>
      <c r="BH1305" s="467" t="str">
        <f t="shared" si="753"/>
        <v/>
      </c>
      <c r="BI1305" s="467" t="str">
        <f t="shared" ca="1" si="754"/>
        <v/>
      </c>
      <c r="BJ1305" s="469" t="str">
        <f t="shared" si="755"/>
        <v/>
      </c>
      <c r="BK1305" s="470" t="str">
        <f t="shared" si="739"/>
        <v/>
      </c>
      <c r="BL1305" s="775" t="str">
        <f t="shared" si="756"/>
        <v/>
      </c>
      <c r="BM1305" s="775" t="str">
        <f t="shared" si="757"/>
        <v/>
      </c>
    </row>
    <row r="1306" spans="1:65">
      <c r="A1306" s="473">
        <v>1250</v>
      </c>
      <c r="B1306" s="132"/>
      <c r="C1306" s="332"/>
      <c r="D1306" s="333"/>
      <c r="E1306" s="333"/>
      <c r="F1306" s="334"/>
      <c r="G1306" s="337"/>
      <c r="H1306" s="131"/>
      <c r="I1306" s="337"/>
      <c r="J1306" s="131"/>
      <c r="K1306" s="458" t="str">
        <f t="shared" si="720"/>
        <v/>
      </c>
      <c r="L1306" s="458">
        <f t="shared" si="721"/>
        <v>0</v>
      </c>
      <c r="M1306" s="458">
        <f t="shared" si="722"/>
        <v>0</v>
      </c>
      <c r="N1306" s="459" t="str">
        <f t="shared" si="733"/>
        <v/>
      </c>
      <c r="O1306" s="459" t="str">
        <f t="shared" si="734"/>
        <v/>
      </c>
      <c r="P1306" s="459" t="str">
        <f t="shared" si="735"/>
        <v/>
      </c>
      <c r="Q1306" s="459" t="str">
        <f t="shared" si="736"/>
        <v/>
      </c>
      <c r="R1306" s="459" t="str">
        <f t="shared" si="737"/>
        <v/>
      </c>
      <c r="S1306" s="459" t="str">
        <f t="shared" si="738"/>
        <v/>
      </c>
      <c r="T1306" s="566" t="str">
        <f t="shared" si="723"/>
        <v/>
      </c>
      <c r="U1306" s="702"/>
      <c r="V1306" s="132"/>
      <c r="W1306" s="133"/>
      <c r="X1306" s="134"/>
      <c r="Y1306" s="135"/>
      <c r="Z1306" s="137"/>
      <c r="AA1306" s="136"/>
      <c r="AB1306" s="566" t="str">
        <f t="shared" si="724"/>
        <v/>
      </c>
      <c r="AC1306" s="568" t="str">
        <f t="shared" si="725"/>
        <v/>
      </c>
      <c r="AD1306" s="137"/>
      <c r="AE1306" s="137"/>
      <c r="AF1306" s="138"/>
      <c r="AG1306" s="138"/>
      <c r="AH1306" s="592" t="str">
        <f t="shared" si="726"/>
        <v/>
      </c>
      <c r="AI1306" s="592" t="str">
        <f t="shared" si="727"/>
        <v/>
      </c>
      <c r="AJ1306" s="592" t="str">
        <f t="shared" si="728"/>
        <v/>
      </c>
      <c r="AK1306" s="460" t="str">
        <f>IF(AU1306="","",IF(OR(AZ1306=8,AZ1306=9),0,IF(OR(AW1306=3,AW1306=4,AW1306=5,AW1306=6),IF(LEFT(BF1306,1)="1",INDEX(係数_NOX・PM低減,MATCH(AY1306,【参考】排出係数!$AI$801:$AI$804,1),1),VLOOKUP(AU1306,INDEX((係数_バス貨物_ガソリン,係数_バス貨物_CNG,係数_バス貨物_軽油,係数_バス貨物_メタノール,係数_バス貨物_LPG),MATCH(AY1306,【参考】排出係数!$AI$4:$AI$671,1),1,BE1306):INDEX((係数_バス貨物_ガソリン,係数_バス貨物_CNG,係数_バス貨物_軽油,係数_バス貨物_メタノール,係数_バス貨物_LPG),MATCH(AY1306+1,【参考】排出係数!$AI$4:$AI$671,1)-1,5,BE1306),4,FALSE)),IF(AND(BE1306=3,LEFT(BF1306,1)="1"),0.48,VLOOKUP(AU1306,INDEX((係数_乗用_ガソリン,係数_乗用_CNG,係数_乗用_軽油,係数_乗用_メタノール,係数_乗用_LPG),1,1,BE1306):INDEX((係数_乗用_ガソリン,係数_乗用_CNG,係数_乗用_軽油,係数_乗用_メタノール,係数_乗用_LPG),125,5,BE1306),4,FALSE)))))</f>
        <v/>
      </c>
      <c r="AL1306" s="461" t="str">
        <f t="shared" si="729"/>
        <v/>
      </c>
      <c r="AM1306" s="460" t="str">
        <f>IF(AU1306="","",IF(OR(AZ1306=8,AZ1306=9),0,IF(OR(AW1306=3,AW1306=4,AW1306=5,AW1306=6),IF(LEFT(BH1306,1)="1",INDEX(係数_PM低減,MATCH(AY1306,【参考】排出係数!$AI$801:$AI$804,1),MATCH(BI1306,【参考】排出係数!$AL$798:$AO$798,1)),VLOOKUP(AU1306,INDEX((係数_バス貨物_ガソリン,係数_バス貨物_CNG,係数_バス貨物_軽油,係数_バス貨物_メタノール,係数_バス貨物_LPG),MATCH(AY1306,【参考】排出係数!$AI$4:$AI$671,1),1,BE1306):INDEX((係数_バス貨物_ガソリン,係数_バス貨物_CNG,係数_バス貨物_軽油,係数_バス貨物_メタノール,係数_バス貨物_LPG),MATCH(AY1306+1,【参考】排出係数!$AI$4:$AI$671,1)-1,5,BE1306),5,FALSE)),IF(AND(BE1306=3,LEFT(BF1306,1)="1"),0.055,VLOOKUP(AU1306,INDEX((係数_乗用_ガソリン,係数_乗用_CNG,係数_乗用_軽油,係数_乗用_メタノール,係数_乗用_LPG),1,1,BE1306):INDEX((係数_乗用_ガソリン,係数_乗用_CNG,係数_乗用_軽油,係数_乗用_メタノール,係数_乗用_LPG),125,5,BE1306),5,FALSE)))))</f>
        <v/>
      </c>
      <c r="AN1306" s="461" t="str">
        <f t="shared" si="730"/>
        <v/>
      </c>
      <c r="AO1306" s="462" t="str">
        <f t="shared" si="731"/>
        <v/>
      </c>
      <c r="AP1306" s="463" t="str">
        <f t="shared" si="732"/>
        <v/>
      </c>
      <c r="AQ1306" s="464"/>
      <c r="AR1306" s="619"/>
      <c r="AS1306" s="465" t="str">
        <f t="shared" si="740"/>
        <v/>
      </c>
      <c r="AT1306" s="465" t="str">
        <f t="shared" si="741"/>
        <v/>
      </c>
      <c r="AU1306" s="466" t="str">
        <f t="shared" si="742"/>
        <v/>
      </c>
      <c r="AV1306" s="467" t="str">
        <f t="shared" si="743"/>
        <v/>
      </c>
      <c r="AW1306" s="467" t="str">
        <f t="shared" si="744"/>
        <v/>
      </c>
      <c r="AX1306" s="467" t="str">
        <f t="shared" si="745"/>
        <v/>
      </c>
      <c r="AY1306" s="467" t="str">
        <f t="shared" si="746"/>
        <v/>
      </c>
      <c r="AZ1306" s="467" t="str">
        <f t="shared" si="747"/>
        <v/>
      </c>
      <c r="BA1306" s="468" t="str">
        <f>IF(AS1306="","",IF(OR(AU1306="",AU1306="-"),"－",IF(OR(AZ1306=8,AZ1306=9),"",IF(OR(AW1306=3,AW1306=4,AW1306=5,AW1306=6),VLOOKUP(AU1306,INDEX((係数_バス貨物_ガソリン,係数_バス貨物_CNG,係数_バス貨物_軽油,係数_バス貨物_メタノール,係数_バス貨物_LPG),MATCH(AY1306,【参考】排出係数!$AI$4:$AI$671,1),1,BE1306):INDEX((係数_バス貨物_ガソリン,係数_バス貨物_CNG,係数_バス貨物_軽油,係数_バス貨物_メタノール,係数_バス貨物_LPG),MATCH(AY1306+1,【参考】排出係数!$AI$4:$AI$671,1)-1,5,BE1306),2,FALSE),IF(OR(AW1306=1,AW1306=2),VLOOKUP(AU1306,INDEX((係数_乗用_ガソリン,係数_乗用_CNG,係数_乗用_軽油,係数_乗用_メタノール,係数_乗用_LPG),1,1,BE1306):INDEX((係数_乗用_ガソリン,係数_乗用_CNG,係数_乗用_軽油,係数_乗用_メタノール,係数_乗用_LPG),125,5,BE1306),2,FALSE))))))</f>
        <v/>
      </c>
      <c r="BB1306" s="468" t="str">
        <f>IF(T1306="","",IF(OR(AU1306="",AU1306="-"),"－",IF(OR(AZ1306=8,AZ1306=9),"",IF(OR(AW1306=3,AW1306=4,AW1306=5,AW1306=6),VLOOKUP(AU1306,INDEX((係数_バス貨物_ガソリン,係数_バス貨物_CNG,係数_バス貨物_軽油,係数_バス貨物_メタノール,係数_バス貨物_LPG),MATCH(AY1306,【参考】排出係数!$AI$4:$AI$671,1),1,BE1306):INDEX((係数_バス貨物_ガソリン,係数_バス貨物_CNG,係数_バス貨物_軽油,係数_バス貨物_メタノール,係数_バス貨物_LPG),MATCH(AY1306+1,【参考】排出係数!$AI$4:$AI$671,1)-1,5,BE1306),3,FALSE),IF(OR(AW1306=1,AW1306=2),VLOOKUP(AU1306,INDEX((係数_乗用_ガソリン,係数_乗用_CNG,係数_乗用_軽油,係数_乗用_メタノール,係数_乗用_LPG),1,1,BE1306):INDEX((係数_乗用_ガソリン,係数_乗用_CNG,係数_乗用_軽油,係数_乗用_メタノール,係数_乗用_LPG),125,5,BE1306),3,FALSE))))))</f>
        <v/>
      </c>
      <c r="BC1306" s="467" t="str">
        <f t="shared" si="748"/>
        <v/>
      </c>
      <c r="BD1306" s="567" t="str">
        <f t="shared" si="749"/>
        <v/>
      </c>
      <c r="BE1306" s="467" t="str">
        <f t="shared" si="750"/>
        <v/>
      </c>
      <c r="BF1306" s="469" t="str">
        <f t="shared" ca="1" si="751"/>
        <v/>
      </c>
      <c r="BG1306" s="469" t="str">
        <f t="shared" ca="1" si="752"/>
        <v/>
      </c>
      <c r="BH1306" s="467" t="str">
        <f t="shared" si="753"/>
        <v/>
      </c>
      <c r="BI1306" s="467" t="str">
        <f t="shared" ca="1" si="754"/>
        <v/>
      </c>
      <c r="BJ1306" s="469" t="str">
        <f t="shared" si="755"/>
        <v/>
      </c>
      <c r="BK1306" s="470" t="str">
        <f t="shared" si="739"/>
        <v/>
      </c>
      <c r="BL1306" s="775" t="str">
        <f t="shared" si="756"/>
        <v/>
      </c>
      <c r="BM1306" s="775" t="str">
        <f t="shared" si="757"/>
        <v/>
      </c>
    </row>
    <row r="1307" spans="1:65">
      <c r="A1307" s="473">
        <v>1251</v>
      </c>
      <c r="B1307" s="132"/>
      <c r="C1307" s="332"/>
      <c r="D1307" s="333"/>
      <c r="E1307" s="333"/>
      <c r="F1307" s="334"/>
      <c r="G1307" s="337"/>
      <c r="H1307" s="131"/>
      <c r="I1307" s="337"/>
      <c r="J1307" s="131"/>
      <c r="K1307" s="458" t="str">
        <f t="shared" si="720"/>
        <v/>
      </c>
      <c r="L1307" s="458">
        <f t="shared" si="721"/>
        <v>0</v>
      </c>
      <c r="M1307" s="458">
        <f t="shared" si="722"/>
        <v>0</v>
      </c>
      <c r="N1307" s="459" t="str">
        <f t="shared" si="733"/>
        <v/>
      </c>
      <c r="O1307" s="459" t="str">
        <f t="shared" si="734"/>
        <v/>
      </c>
      <c r="P1307" s="459" t="str">
        <f t="shared" si="735"/>
        <v/>
      </c>
      <c r="Q1307" s="459" t="str">
        <f t="shared" si="736"/>
        <v/>
      </c>
      <c r="R1307" s="459" t="str">
        <f t="shared" si="737"/>
        <v/>
      </c>
      <c r="S1307" s="459" t="str">
        <f t="shared" si="738"/>
        <v/>
      </c>
      <c r="T1307" s="566" t="str">
        <f t="shared" si="723"/>
        <v/>
      </c>
      <c r="U1307" s="702"/>
      <c r="V1307" s="132"/>
      <c r="W1307" s="133"/>
      <c r="X1307" s="134"/>
      <c r="Y1307" s="135"/>
      <c r="Z1307" s="137"/>
      <c r="AA1307" s="136"/>
      <c r="AB1307" s="566" t="str">
        <f t="shared" si="724"/>
        <v/>
      </c>
      <c r="AC1307" s="568" t="str">
        <f t="shared" si="725"/>
        <v/>
      </c>
      <c r="AD1307" s="137"/>
      <c r="AE1307" s="137"/>
      <c r="AF1307" s="138"/>
      <c r="AG1307" s="138"/>
      <c r="AH1307" s="592" t="str">
        <f t="shared" si="726"/>
        <v/>
      </c>
      <c r="AI1307" s="592" t="str">
        <f t="shared" si="727"/>
        <v/>
      </c>
      <c r="AJ1307" s="592" t="str">
        <f t="shared" si="728"/>
        <v/>
      </c>
      <c r="AK1307" s="460" t="str">
        <f>IF(AU1307="","",IF(OR(AZ1307=8,AZ1307=9),0,IF(OR(AW1307=3,AW1307=4,AW1307=5,AW1307=6),IF(LEFT(BF1307,1)="1",INDEX(係数_NOX・PM低減,MATCH(AY1307,【参考】排出係数!$AI$801:$AI$804,1),1),VLOOKUP(AU1307,INDEX((係数_バス貨物_ガソリン,係数_バス貨物_CNG,係数_バス貨物_軽油,係数_バス貨物_メタノール,係数_バス貨物_LPG),MATCH(AY1307,【参考】排出係数!$AI$4:$AI$671,1),1,BE1307):INDEX((係数_バス貨物_ガソリン,係数_バス貨物_CNG,係数_バス貨物_軽油,係数_バス貨物_メタノール,係数_バス貨物_LPG),MATCH(AY1307+1,【参考】排出係数!$AI$4:$AI$671,1)-1,5,BE1307),4,FALSE)),IF(AND(BE1307=3,LEFT(BF1307,1)="1"),0.48,VLOOKUP(AU1307,INDEX((係数_乗用_ガソリン,係数_乗用_CNG,係数_乗用_軽油,係数_乗用_メタノール,係数_乗用_LPG),1,1,BE1307):INDEX((係数_乗用_ガソリン,係数_乗用_CNG,係数_乗用_軽油,係数_乗用_メタノール,係数_乗用_LPG),125,5,BE1307),4,FALSE)))))</f>
        <v/>
      </c>
      <c r="AL1307" s="461" t="str">
        <f t="shared" si="729"/>
        <v/>
      </c>
      <c r="AM1307" s="460" t="str">
        <f>IF(AU1307="","",IF(OR(AZ1307=8,AZ1307=9),0,IF(OR(AW1307=3,AW1307=4,AW1307=5,AW1307=6),IF(LEFT(BH1307,1)="1",INDEX(係数_PM低減,MATCH(AY1307,【参考】排出係数!$AI$801:$AI$804,1),MATCH(BI1307,【参考】排出係数!$AL$798:$AO$798,1)),VLOOKUP(AU1307,INDEX((係数_バス貨物_ガソリン,係数_バス貨物_CNG,係数_バス貨物_軽油,係数_バス貨物_メタノール,係数_バス貨物_LPG),MATCH(AY1307,【参考】排出係数!$AI$4:$AI$671,1),1,BE1307):INDEX((係数_バス貨物_ガソリン,係数_バス貨物_CNG,係数_バス貨物_軽油,係数_バス貨物_メタノール,係数_バス貨物_LPG),MATCH(AY1307+1,【参考】排出係数!$AI$4:$AI$671,1)-1,5,BE1307),5,FALSE)),IF(AND(BE1307=3,LEFT(BF1307,1)="1"),0.055,VLOOKUP(AU1307,INDEX((係数_乗用_ガソリン,係数_乗用_CNG,係数_乗用_軽油,係数_乗用_メタノール,係数_乗用_LPG),1,1,BE1307):INDEX((係数_乗用_ガソリン,係数_乗用_CNG,係数_乗用_軽油,係数_乗用_メタノール,係数_乗用_LPG),125,5,BE1307),5,FALSE)))))</f>
        <v/>
      </c>
      <c r="AN1307" s="461" t="str">
        <f t="shared" si="730"/>
        <v/>
      </c>
      <c r="AO1307" s="462" t="str">
        <f t="shared" si="731"/>
        <v/>
      </c>
      <c r="AP1307" s="463" t="str">
        <f t="shared" si="732"/>
        <v/>
      </c>
      <c r="AQ1307" s="464"/>
      <c r="AR1307" s="619"/>
      <c r="AS1307" s="465" t="str">
        <f t="shared" si="740"/>
        <v/>
      </c>
      <c r="AT1307" s="465" t="str">
        <f t="shared" si="741"/>
        <v/>
      </c>
      <c r="AU1307" s="466" t="str">
        <f t="shared" si="742"/>
        <v/>
      </c>
      <c r="AV1307" s="467" t="str">
        <f t="shared" si="743"/>
        <v/>
      </c>
      <c r="AW1307" s="467" t="str">
        <f t="shared" si="744"/>
        <v/>
      </c>
      <c r="AX1307" s="467" t="str">
        <f t="shared" si="745"/>
        <v/>
      </c>
      <c r="AY1307" s="467" t="str">
        <f t="shared" si="746"/>
        <v/>
      </c>
      <c r="AZ1307" s="467" t="str">
        <f t="shared" si="747"/>
        <v/>
      </c>
      <c r="BA1307" s="468" t="str">
        <f>IF(AS1307="","",IF(OR(AU1307="",AU1307="-"),"－",IF(OR(AZ1307=8,AZ1307=9),"",IF(OR(AW1307=3,AW1307=4,AW1307=5,AW1307=6),VLOOKUP(AU1307,INDEX((係数_バス貨物_ガソリン,係数_バス貨物_CNG,係数_バス貨物_軽油,係数_バス貨物_メタノール,係数_バス貨物_LPG),MATCH(AY1307,【参考】排出係数!$AI$4:$AI$671,1),1,BE1307):INDEX((係数_バス貨物_ガソリン,係数_バス貨物_CNG,係数_バス貨物_軽油,係数_バス貨物_メタノール,係数_バス貨物_LPG),MATCH(AY1307+1,【参考】排出係数!$AI$4:$AI$671,1)-1,5,BE1307),2,FALSE),IF(OR(AW1307=1,AW1307=2),VLOOKUP(AU1307,INDEX((係数_乗用_ガソリン,係数_乗用_CNG,係数_乗用_軽油,係数_乗用_メタノール,係数_乗用_LPG),1,1,BE1307):INDEX((係数_乗用_ガソリン,係数_乗用_CNG,係数_乗用_軽油,係数_乗用_メタノール,係数_乗用_LPG),125,5,BE1307),2,FALSE))))))</f>
        <v/>
      </c>
      <c r="BB1307" s="468" t="str">
        <f>IF(T1307="","",IF(OR(AU1307="",AU1307="-"),"－",IF(OR(AZ1307=8,AZ1307=9),"",IF(OR(AW1307=3,AW1307=4,AW1307=5,AW1307=6),VLOOKUP(AU1307,INDEX((係数_バス貨物_ガソリン,係数_バス貨物_CNG,係数_バス貨物_軽油,係数_バス貨物_メタノール,係数_バス貨物_LPG),MATCH(AY1307,【参考】排出係数!$AI$4:$AI$671,1),1,BE1307):INDEX((係数_バス貨物_ガソリン,係数_バス貨物_CNG,係数_バス貨物_軽油,係数_バス貨物_メタノール,係数_バス貨物_LPG),MATCH(AY1307+1,【参考】排出係数!$AI$4:$AI$671,1)-1,5,BE1307),3,FALSE),IF(OR(AW1307=1,AW1307=2),VLOOKUP(AU1307,INDEX((係数_乗用_ガソリン,係数_乗用_CNG,係数_乗用_軽油,係数_乗用_メタノール,係数_乗用_LPG),1,1,BE1307):INDEX((係数_乗用_ガソリン,係数_乗用_CNG,係数_乗用_軽油,係数_乗用_メタノール,係数_乗用_LPG),125,5,BE1307),3,FALSE))))))</f>
        <v/>
      </c>
      <c r="BC1307" s="467" t="str">
        <f t="shared" si="748"/>
        <v/>
      </c>
      <c r="BD1307" s="567" t="str">
        <f t="shared" si="749"/>
        <v/>
      </c>
      <c r="BE1307" s="467" t="str">
        <f t="shared" si="750"/>
        <v/>
      </c>
      <c r="BF1307" s="469" t="str">
        <f t="shared" ca="1" si="751"/>
        <v/>
      </c>
      <c r="BG1307" s="469" t="str">
        <f t="shared" ca="1" si="752"/>
        <v/>
      </c>
      <c r="BH1307" s="467" t="str">
        <f t="shared" si="753"/>
        <v/>
      </c>
      <c r="BI1307" s="467" t="str">
        <f t="shared" ca="1" si="754"/>
        <v/>
      </c>
      <c r="BJ1307" s="469" t="str">
        <f t="shared" si="755"/>
        <v/>
      </c>
      <c r="BK1307" s="470" t="str">
        <f t="shared" si="739"/>
        <v/>
      </c>
      <c r="BL1307" s="775" t="str">
        <f t="shared" si="756"/>
        <v/>
      </c>
      <c r="BM1307" s="775" t="str">
        <f t="shared" si="757"/>
        <v/>
      </c>
    </row>
    <row r="1308" spans="1:65">
      <c r="A1308" s="473">
        <v>1252</v>
      </c>
      <c r="B1308" s="132"/>
      <c r="C1308" s="332"/>
      <c r="D1308" s="333"/>
      <c r="E1308" s="333"/>
      <c r="F1308" s="334"/>
      <c r="G1308" s="337"/>
      <c r="H1308" s="131"/>
      <c r="I1308" s="337"/>
      <c r="J1308" s="131"/>
      <c r="K1308" s="458" t="str">
        <f t="shared" si="720"/>
        <v/>
      </c>
      <c r="L1308" s="458">
        <f t="shared" si="721"/>
        <v>0</v>
      </c>
      <c r="M1308" s="458">
        <f t="shared" si="722"/>
        <v>0</v>
      </c>
      <c r="N1308" s="459" t="str">
        <f t="shared" si="733"/>
        <v/>
      </c>
      <c r="O1308" s="459" t="str">
        <f t="shared" si="734"/>
        <v/>
      </c>
      <c r="P1308" s="459" t="str">
        <f t="shared" si="735"/>
        <v/>
      </c>
      <c r="Q1308" s="459" t="str">
        <f t="shared" si="736"/>
        <v/>
      </c>
      <c r="R1308" s="459" t="str">
        <f t="shared" si="737"/>
        <v/>
      </c>
      <c r="S1308" s="459" t="str">
        <f t="shared" si="738"/>
        <v/>
      </c>
      <c r="T1308" s="566" t="str">
        <f t="shared" si="723"/>
        <v/>
      </c>
      <c r="U1308" s="702"/>
      <c r="V1308" s="132"/>
      <c r="W1308" s="133"/>
      <c r="X1308" s="134"/>
      <c r="Y1308" s="135"/>
      <c r="Z1308" s="137"/>
      <c r="AA1308" s="136"/>
      <c r="AB1308" s="566" t="str">
        <f t="shared" si="724"/>
        <v/>
      </c>
      <c r="AC1308" s="568" t="str">
        <f t="shared" si="725"/>
        <v/>
      </c>
      <c r="AD1308" s="137"/>
      <c r="AE1308" s="137"/>
      <c r="AF1308" s="138"/>
      <c r="AG1308" s="138"/>
      <c r="AH1308" s="592" t="str">
        <f t="shared" si="726"/>
        <v/>
      </c>
      <c r="AI1308" s="592" t="str">
        <f t="shared" si="727"/>
        <v/>
      </c>
      <c r="AJ1308" s="592" t="str">
        <f t="shared" si="728"/>
        <v/>
      </c>
      <c r="AK1308" s="460" t="str">
        <f>IF(AU1308="","",IF(OR(AZ1308=8,AZ1308=9),0,IF(OR(AW1308=3,AW1308=4,AW1308=5,AW1308=6),IF(LEFT(BF1308,1)="1",INDEX(係数_NOX・PM低減,MATCH(AY1308,【参考】排出係数!$AI$801:$AI$804,1),1),VLOOKUP(AU1308,INDEX((係数_バス貨物_ガソリン,係数_バス貨物_CNG,係数_バス貨物_軽油,係数_バス貨物_メタノール,係数_バス貨物_LPG),MATCH(AY1308,【参考】排出係数!$AI$4:$AI$671,1),1,BE1308):INDEX((係数_バス貨物_ガソリン,係数_バス貨物_CNG,係数_バス貨物_軽油,係数_バス貨物_メタノール,係数_バス貨物_LPG),MATCH(AY1308+1,【参考】排出係数!$AI$4:$AI$671,1)-1,5,BE1308),4,FALSE)),IF(AND(BE1308=3,LEFT(BF1308,1)="1"),0.48,VLOOKUP(AU1308,INDEX((係数_乗用_ガソリン,係数_乗用_CNG,係数_乗用_軽油,係数_乗用_メタノール,係数_乗用_LPG),1,1,BE1308):INDEX((係数_乗用_ガソリン,係数_乗用_CNG,係数_乗用_軽油,係数_乗用_メタノール,係数_乗用_LPG),125,5,BE1308),4,FALSE)))))</f>
        <v/>
      </c>
      <c r="AL1308" s="461" t="str">
        <f t="shared" si="729"/>
        <v/>
      </c>
      <c r="AM1308" s="460" t="str">
        <f>IF(AU1308="","",IF(OR(AZ1308=8,AZ1308=9),0,IF(OR(AW1308=3,AW1308=4,AW1308=5,AW1308=6),IF(LEFT(BH1308,1)="1",INDEX(係数_PM低減,MATCH(AY1308,【参考】排出係数!$AI$801:$AI$804,1),MATCH(BI1308,【参考】排出係数!$AL$798:$AO$798,1)),VLOOKUP(AU1308,INDEX((係数_バス貨物_ガソリン,係数_バス貨物_CNG,係数_バス貨物_軽油,係数_バス貨物_メタノール,係数_バス貨物_LPG),MATCH(AY1308,【参考】排出係数!$AI$4:$AI$671,1),1,BE1308):INDEX((係数_バス貨物_ガソリン,係数_バス貨物_CNG,係数_バス貨物_軽油,係数_バス貨物_メタノール,係数_バス貨物_LPG),MATCH(AY1308+1,【参考】排出係数!$AI$4:$AI$671,1)-1,5,BE1308),5,FALSE)),IF(AND(BE1308=3,LEFT(BF1308,1)="1"),0.055,VLOOKUP(AU1308,INDEX((係数_乗用_ガソリン,係数_乗用_CNG,係数_乗用_軽油,係数_乗用_メタノール,係数_乗用_LPG),1,1,BE1308):INDEX((係数_乗用_ガソリン,係数_乗用_CNG,係数_乗用_軽油,係数_乗用_メタノール,係数_乗用_LPG),125,5,BE1308),5,FALSE)))))</f>
        <v/>
      </c>
      <c r="AN1308" s="461" t="str">
        <f t="shared" si="730"/>
        <v/>
      </c>
      <c r="AO1308" s="462" t="str">
        <f t="shared" si="731"/>
        <v/>
      </c>
      <c r="AP1308" s="463" t="str">
        <f t="shared" si="732"/>
        <v/>
      </c>
      <c r="AQ1308" s="464"/>
      <c r="AR1308" s="619"/>
      <c r="AS1308" s="465" t="str">
        <f t="shared" si="740"/>
        <v/>
      </c>
      <c r="AT1308" s="465" t="str">
        <f t="shared" si="741"/>
        <v/>
      </c>
      <c r="AU1308" s="466" t="str">
        <f t="shared" si="742"/>
        <v/>
      </c>
      <c r="AV1308" s="467" t="str">
        <f t="shared" si="743"/>
        <v/>
      </c>
      <c r="AW1308" s="467" t="str">
        <f t="shared" si="744"/>
        <v/>
      </c>
      <c r="AX1308" s="467" t="str">
        <f t="shared" si="745"/>
        <v/>
      </c>
      <c r="AY1308" s="467" t="str">
        <f t="shared" si="746"/>
        <v/>
      </c>
      <c r="AZ1308" s="467" t="str">
        <f t="shared" si="747"/>
        <v/>
      </c>
      <c r="BA1308" s="468" t="str">
        <f>IF(AS1308="","",IF(OR(AU1308="",AU1308="-"),"－",IF(OR(AZ1308=8,AZ1308=9),"",IF(OR(AW1308=3,AW1308=4,AW1308=5,AW1308=6),VLOOKUP(AU1308,INDEX((係数_バス貨物_ガソリン,係数_バス貨物_CNG,係数_バス貨物_軽油,係数_バス貨物_メタノール,係数_バス貨物_LPG),MATCH(AY1308,【参考】排出係数!$AI$4:$AI$671,1),1,BE1308):INDEX((係数_バス貨物_ガソリン,係数_バス貨物_CNG,係数_バス貨物_軽油,係数_バス貨物_メタノール,係数_バス貨物_LPG),MATCH(AY1308+1,【参考】排出係数!$AI$4:$AI$671,1)-1,5,BE1308),2,FALSE),IF(OR(AW1308=1,AW1308=2),VLOOKUP(AU1308,INDEX((係数_乗用_ガソリン,係数_乗用_CNG,係数_乗用_軽油,係数_乗用_メタノール,係数_乗用_LPG),1,1,BE1308):INDEX((係数_乗用_ガソリン,係数_乗用_CNG,係数_乗用_軽油,係数_乗用_メタノール,係数_乗用_LPG),125,5,BE1308),2,FALSE))))))</f>
        <v/>
      </c>
      <c r="BB1308" s="468" t="str">
        <f>IF(T1308="","",IF(OR(AU1308="",AU1308="-"),"－",IF(OR(AZ1308=8,AZ1308=9),"",IF(OR(AW1308=3,AW1308=4,AW1308=5,AW1308=6),VLOOKUP(AU1308,INDEX((係数_バス貨物_ガソリン,係数_バス貨物_CNG,係数_バス貨物_軽油,係数_バス貨物_メタノール,係数_バス貨物_LPG),MATCH(AY1308,【参考】排出係数!$AI$4:$AI$671,1),1,BE1308):INDEX((係数_バス貨物_ガソリン,係数_バス貨物_CNG,係数_バス貨物_軽油,係数_バス貨物_メタノール,係数_バス貨物_LPG),MATCH(AY1308+1,【参考】排出係数!$AI$4:$AI$671,1)-1,5,BE1308),3,FALSE),IF(OR(AW1308=1,AW1308=2),VLOOKUP(AU1308,INDEX((係数_乗用_ガソリン,係数_乗用_CNG,係数_乗用_軽油,係数_乗用_メタノール,係数_乗用_LPG),1,1,BE1308):INDEX((係数_乗用_ガソリン,係数_乗用_CNG,係数_乗用_軽油,係数_乗用_メタノール,係数_乗用_LPG),125,5,BE1308),3,FALSE))))))</f>
        <v/>
      </c>
      <c r="BC1308" s="467" t="str">
        <f t="shared" si="748"/>
        <v/>
      </c>
      <c r="BD1308" s="567" t="str">
        <f t="shared" si="749"/>
        <v/>
      </c>
      <c r="BE1308" s="467" t="str">
        <f t="shared" si="750"/>
        <v/>
      </c>
      <c r="BF1308" s="469" t="str">
        <f t="shared" ca="1" si="751"/>
        <v/>
      </c>
      <c r="BG1308" s="469" t="str">
        <f t="shared" ca="1" si="752"/>
        <v/>
      </c>
      <c r="BH1308" s="467" t="str">
        <f t="shared" si="753"/>
        <v/>
      </c>
      <c r="BI1308" s="467" t="str">
        <f t="shared" ca="1" si="754"/>
        <v/>
      </c>
      <c r="BJ1308" s="469" t="str">
        <f t="shared" si="755"/>
        <v/>
      </c>
      <c r="BK1308" s="470" t="str">
        <f t="shared" si="739"/>
        <v/>
      </c>
      <c r="BL1308" s="775" t="str">
        <f t="shared" si="756"/>
        <v/>
      </c>
      <c r="BM1308" s="775" t="str">
        <f t="shared" si="757"/>
        <v/>
      </c>
    </row>
    <row r="1309" spans="1:65">
      <c r="A1309" s="473">
        <v>1253</v>
      </c>
      <c r="B1309" s="132"/>
      <c r="C1309" s="332"/>
      <c r="D1309" s="333"/>
      <c r="E1309" s="333"/>
      <c r="F1309" s="334"/>
      <c r="G1309" s="337"/>
      <c r="H1309" s="131"/>
      <c r="I1309" s="337"/>
      <c r="J1309" s="131"/>
      <c r="K1309" s="458" t="str">
        <f t="shared" si="720"/>
        <v/>
      </c>
      <c r="L1309" s="458">
        <f t="shared" si="721"/>
        <v>0</v>
      </c>
      <c r="M1309" s="458">
        <f t="shared" si="722"/>
        <v>0</v>
      </c>
      <c r="N1309" s="459" t="str">
        <f t="shared" si="733"/>
        <v/>
      </c>
      <c r="O1309" s="459" t="str">
        <f t="shared" si="734"/>
        <v/>
      </c>
      <c r="P1309" s="459" t="str">
        <f t="shared" si="735"/>
        <v/>
      </c>
      <c r="Q1309" s="459" t="str">
        <f t="shared" si="736"/>
        <v/>
      </c>
      <c r="R1309" s="459" t="str">
        <f t="shared" si="737"/>
        <v/>
      </c>
      <c r="S1309" s="459" t="str">
        <f t="shared" si="738"/>
        <v/>
      </c>
      <c r="T1309" s="566" t="str">
        <f t="shared" si="723"/>
        <v/>
      </c>
      <c r="U1309" s="702"/>
      <c r="V1309" s="132"/>
      <c r="W1309" s="133"/>
      <c r="X1309" s="134"/>
      <c r="Y1309" s="135"/>
      <c r="Z1309" s="137"/>
      <c r="AA1309" s="136"/>
      <c r="AB1309" s="566" t="str">
        <f t="shared" si="724"/>
        <v/>
      </c>
      <c r="AC1309" s="568" t="str">
        <f t="shared" si="725"/>
        <v/>
      </c>
      <c r="AD1309" s="137"/>
      <c r="AE1309" s="137"/>
      <c r="AF1309" s="138"/>
      <c r="AG1309" s="138"/>
      <c r="AH1309" s="592" t="str">
        <f t="shared" si="726"/>
        <v/>
      </c>
      <c r="AI1309" s="592" t="str">
        <f t="shared" si="727"/>
        <v/>
      </c>
      <c r="AJ1309" s="592" t="str">
        <f t="shared" si="728"/>
        <v/>
      </c>
      <c r="AK1309" s="460" t="str">
        <f>IF(AU1309="","",IF(OR(AZ1309=8,AZ1309=9),0,IF(OR(AW1309=3,AW1309=4,AW1309=5,AW1309=6),IF(LEFT(BF1309,1)="1",INDEX(係数_NOX・PM低減,MATCH(AY1309,【参考】排出係数!$AI$801:$AI$804,1),1),VLOOKUP(AU1309,INDEX((係数_バス貨物_ガソリン,係数_バス貨物_CNG,係数_バス貨物_軽油,係数_バス貨物_メタノール,係数_バス貨物_LPG),MATCH(AY1309,【参考】排出係数!$AI$4:$AI$671,1),1,BE1309):INDEX((係数_バス貨物_ガソリン,係数_バス貨物_CNG,係数_バス貨物_軽油,係数_バス貨物_メタノール,係数_バス貨物_LPG),MATCH(AY1309+1,【参考】排出係数!$AI$4:$AI$671,1)-1,5,BE1309),4,FALSE)),IF(AND(BE1309=3,LEFT(BF1309,1)="1"),0.48,VLOOKUP(AU1309,INDEX((係数_乗用_ガソリン,係数_乗用_CNG,係数_乗用_軽油,係数_乗用_メタノール,係数_乗用_LPG),1,1,BE1309):INDEX((係数_乗用_ガソリン,係数_乗用_CNG,係数_乗用_軽油,係数_乗用_メタノール,係数_乗用_LPG),125,5,BE1309),4,FALSE)))))</f>
        <v/>
      </c>
      <c r="AL1309" s="461" t="str">
        <f t="shared" si="729"/>
        <v/>
      </c>
      <c r="AM1309" s="460" t="str">
        <f>IF(AU1309="","",IF(OR(AZ1309=8,AZ1309=9),0,IF(OR(AW1309=3,AW1309=4,AW1309=5,AW1309=6),IF(LEFT(BH1309,1)="1",INDEX(係数_PM低減,MATCH(AY1309,【参考】排出係数!$AI$801:$AI$804,1),MATCH(BI1309,【参考】排出係数!$AL$798:$AO$798,1)),VLOOKUP(AU1309,INDEX((係数_バス貨物_ガソリン,係数_バス貨物_CNG,係数_バス貨物_軽油,係数_バス貨物_メタノール,係数_バス貨物_LPG),MATCH(AY1309,【参考】排出係数!$AI$4:$AI$671,1),1,BE1309):INDEX((係数_バス貨物_ガソリン,係数_バス貨物_CNG,係数_バス貨物_軽油,係数_バス貨物_メタノール,係数_バス貨物_LPG),MATCH(AY1309+1,【参考】排出係数!$AI$4:$AI$671,1)-1,5,BE1309),5,FALSE)),IF(AND(BE1309=3,LEFT(BF1309,1)="1"),0.055,VLOOKUP(AU1309,INDEX((係数_乗用_ガソリン,係数_乗用_CNG,係数_乗用_軽油,係数_乗用_メタノール,係数_乗用_LPG),1,1,BE1309):INDEX((係数_乗用_ガソリン,係数_乗用_CNG,係数_乗用_軽油,係数_乗用_メタノール,係数_乗用_LPG),125,5,BE1309),5,FALSE)))))</f>
        <v/>
      </c>
      <c r="AN1309" s="461" t="str">
        <f t="shared" si="730"/>
        <v/>
      </c>
      <c r="AO1309" s="462" t="str">
        <f t="shared" si="731"/>
        <v/>
      </c>
      <c r="AP1309" s="463" t="str">
        <f t="shared" si="732"/>
        <v/>
      </c>
      <c r="AQ1309" s="464"/>
      <c r="AR1309" s="619"/>
      <c r="AS1309" s="465" t="str">
        <f t="shared" si="740"/>
        <v/>
      </c>
      <c r="AT1309" s="465" t="str">
        <f t="shared" si="741"/>
        <v/>
      </c>
      <c r="AU1309" s="466" t="str">
        <f t="shared" si="742"/>
        <v/>
      </c>
      <c r="AV1309" s="467" t="str">
        <f t="shared" si="743"/>
        <v/>
      </c>
      <c r="AW1309" s="467" t="str">
        <f t="shared" si="744"/>
        <v/>
      </c>
      <c r="AX1309" s="467" t="str">
        <f t="shared" si="745"/>
        <v/>
      </c>
      <c r="AY1309" s="467" t="str">
        <f t="shared" si="746"/>
        <v/>
      </c>
      <c r="AZ1309" s="467" t="str">
        <f t="shared" si="747"/>
        <v/>
      </c>
      <c r="BA1309" s="468" t="str">
        <f>IF(AS1309="","",IF(OR(AU1309="",AU1309="-"),"－",IF(OR(AZ1309=8,AZ1309=9),"",IF(OR(AW1309=3,AW1309=4,AW1309=5,AW1309=6),VLOOKUP(AU1309,INDEX((係数_バス貨物_ガソリン,係数_バス貨物_CNG,係数_バス貨物_軽油,係数_バス貨物_メタノール,係数_バス貨物_LPG),MATCH(AY1309,【参考】排出係数!$AI$4:$AI$671,1),1,BE1309):INDEX((係数_バス貨物_ガソリン,係数_バス貨物_CNG,係数_バス貨物_軽油,係数_バス貨物_メタノール,係数_バス貨物_LPG),MATCH(AY1309+1,【参考】排出係数!$AI$4:$AI$671,1)-1,5,BE1309),2,FALSE),IF(OR(AW1309=1,AW1309=2),VLOOKUP(AU1309,INDEX((係数_乗用_ガソリン,係数_乗用_CNG,係数_乗用_軽油,係数_乗用_メタノール,係数_乗用_LPG),1,1,BE1309):INDEX((係数_乗用_ガソリン,係数_乗用_CNG,係数_乗用_軽油,係数_乗用_メタノール,係数_乗用_LPG),125,5,BE1309),2,FALSE))))))</f>
        <v/>
      </c>
      <c r="BB1309" s="468" t="str">
        <f>IF(T1309="","",IF(OR(AU1309="",AU1309="-"),"－",IF(OR(AZ1309=8,AZ1309=9),"",IF(OR(AW1309=3,AW1309=4,AW1309=5,AW1309=6),VLOOKUP(AU1309,INDEX((係数_バス貨物_ガソリン,係数_バス貨物_CNG,係数_バス貨物_軽油,係数_バス貨物_メタノール,係数_バス貨物_LPG),MATCH(AY1309,【参考】排出係数!$AI$4:$AI$671,1),1,BE1309):INDEX((係数_バス貨物_ガソリン,係数_バス貨物_CNG,係数_バス貨物_軽油,係数_バス貨物_メタノール,係数_バス貨物_LPG),MATCH(AY1309+1,【参考】排出係数!$AI$4:$AI$671,1)-1,5,BE1309),3,FALSE),IF(OR(AW1309=1,AW1309=2),VLOOKUP(AU1309,INDEX((係数_乗用_ガソリン,係数_乗用_CNG,係数_乗用_軽油,係数_乗用_メタノール,係数_乗用_LPG),1,1,BE1309):INDEX((係数_乗用_ガソリン,係数_乗用_CNG,係数_乗用_軽油,係数_乗用_メタノール,係数_乗用_LPG),125,5,BE1309),3,FALSE))))))</f>
        <v/>
      </c>
      <c r="BC1309" s="467" t="str">
        <f t="shared" si="748"/>
        <v/>
      </c>
      <c r="BD1309" s="567" t="str">
        <f t="shared" si="749"/>
        <v/>
      </c>
      <c r="BE1309" s="467" t="str">
        <f t="shared" si="750"/>
        <v/>
      </c>
      <c r="BF1309" s="469" t="str">
        <f t="shared" ca="1" si="751"/>
        <v/>
      </c>
      <c r="BG1309" s="469" t="str">
        <f t="shared" ca="1" si="752"/>
        <v/>
      </c>
      <c r="BH1309" s="467" t="str">
        <f t="shared" si="753"/>
        <v/>
      </c>
      <c r="BI1309" s="467" t="str">
        <f t="shared" ca="1" si="754"/>
        <v/>
      </c>
      <c r="BJ1309" s="469" t="str">
        <f t="shared" si="755"/>
        <v/>
      </c>
      <c r="BK1309" s="470" t="str">
        <f t="shared" si="739"/>
        <v/>
      </c>
      <c r="BL1309" s="775" t="str">
        <f t="shared" si="756"/>
        <v/>
      </c>
      <c r="BM1309" s="775" t="str">
        <f t="shared" si="757"/>
        <v/>
      </c>
    </row>
    <row r="1310" spans="1:65">
      <c r="A1310" s="473">
        <v>1254</v>
      </c>
      <c r="B1310" s="132"/>
      <c r="C1310" s="332"/>
      <c r="D1310" s="333"/>
      <c r="E1310" s="333"/>
      <c r="F1310" s="334"/>
      <c r="G1310" s="337"/>
      <c r="H1310" s="131"/>
      <c r="I1310" s="337"/>
      <c r="J1310" s="131"/>
      <c r="K1310" s="458" t="str">
        <f t="shared" si="720"/>
        <v/>
      </c>
      <c r="L1310" s="458">
        <f t="shared" si="721"/>
        <v>0</v>
      </c>
      <c r="M1310" s="458">
        <f t="shared" si="722"/>
        <v>0</v>
      </c>
      <c r="N1310" s="459" t="str">
        <f t="shared" si="733"/>
        <v/>
      </c>
      <c r="O1310" s="459" t="str">
        <f t="shared" si="734"/>
        <v/>
      </c>
      <c r="P1310" s="459" t="str">
        <f t="shared" si="735"/>
        <v/>
      </c>
      <c r="Q1310" s="459" t="str">
        <f t="shared" si="736"/>
        <v/>
      </c>
      <c r="R1310" s="459" t="str">
        <f t="shared" si="737"/>
        <v/>
      </c>
      <c r="S1310" s="459" t="str">
        <f t="shared" si="738"/>
        <v/>
      </c>
      <c r="T1310" s="566" t="str">
        <f t="shared" si="723"/>
        <v/>
      </c>
      <c r="U1310" s="702"/>
      <c r="V1310" s="132"/>
      <c r="W1310" s="133"/>
      <c r="X1310" s="134"/>
      <c r="Y1310" s="135"/>
      <c r="Z1310" s="137"/>
      <c r="AA1310" s="136"/>
      <c r="AB1310" s="566" t="str">
        <f t="shared" si="724"/>
        <v/>
      </c>
      <c r="AC1310" s="568" t="str">
        <f t="shared" si="725"/>
        <v/>
      </c>
      <c r="AD1310" s="137"/>
      <c r="AE1310" s="137"/>
      <c r="AF1310" s="138"/>
      <c r="AG1310" s="138"/>
      <c r="AH1310" s="592" t="str">
        <f t="shared" si="726"/>
        <v/>
      </c>
      <c r="AI1310" s="592" t="str">
        <f t="shared" si="727"/>
        <v/>
      </c>
      <c r="AJ1310" s="592" t="str">
        <f t="shared" si="728"/>
        <v/>
      </c>
      <c r="AK1310" s="460" t="str">
        <f>IF(AU1310="","",IF(OR(AZ1310=8,AZ1310=9),0,IF(OR(AW1310=3,AW1310=4,AW1310=5,AW1310=6),IF(LEFT(BF1310,1)="1",INDEX(係数_NOX・PM低減,MATCH(AY1310,【参考】排出係数!$AI$801:$AI$804,1),1),VLOOKUP(AU1310,INDEX((係数_バス貨物_ガソリン,係数_バス貨物_CNG,係数_バス貨物_軽油,係数_バス貨物_メタノール,係数_バス貨物_LPG),MATCH(AY1310,【参考】排出係数!$AI$4:$AI$671,1),1,BE1310):INDEX((係数_バス貨物_ガソリン,係数_バス貨物_CNG,係数_バス貨物_軽油,係数_バス貨物_メタノール,係数_バス貨物_LPG),MATCH(AY1310+1,【参考】排出係数!$AI$4:$AI$671,1)-1,5,BE1310),4,FALSE)),IF(AND(BE1310=3,LEFT(BF1310,1)="1"),0.48,VLOOKUP(AU1310,INDEX((係数_乗用_ガソリン,係数_乗用_CNG,係数_乗用_軽油,係数_乗用_メタノール,係数_乗用_LPG),1,1,BE1310):INDEX((係数_乗用_ガソリン,係数_乗用_CNG,係数_乗用_軽油,係数_乗用_メタノール,係数_乗用_LPG),125,5,BE1310),4,FALSE)))))</f>
        <v/>
      </c>
      <c r="AL1310" s="461" t="str">
        <f t="shared" si="729"/>
        <v/>
      </c>
      <c r="AM1310" s="460" t="str">
        <f>IF(AU1310="","",IF(OR(AZ1310=8,AZ1310=9),0,IF(OR(AW1310=3,AW1310=4,AW1310=5,AW1310=6),IF(LEFT(BH1310,1)="1",INDEX(係数_PM低減,MATCH(AY1310,【参考】排出係数!$AI$801:$AI$804,1),MATCH(BI1310,【参考】排出係数!$AL$798:$AO$798,1)),VLOOKUP(AU1310,INDEX((係数_バス貨物_ガソリン,係数_バス貨物_CNG,係数_バス貨物_軽油,係数_バス貨物_メタノール,係数_バス貨物_LPG),MATCH(AY1310,【参考】排出係数!$AI$4:$AI$671,1),1,BE1310):INDEX((係数_バス貨物_ガソリン,係数_バス貨物_CNG,係数_バス貨物_軽油,係数_バス貨物_メタノール,係数_バス貨物_LPG),MATCH(AY1310+1,【参考】排出係数!$AI$4:$AI$671,1)-1,5,BE1310),5,FALSE)),IF(AND(BE1310=3,LEFT(BF1310,1)="1"),0.055,VLOOKUP(AU1310,INDEX((係数_乗用_ガソリン,係数_乗用_CNG,係数_乗用_軽油,係数_乗用_メタノール,係数_乗用_LPG),1,1,BE1310):INDEX((係数_乗用_ガソリン,係数_乗用_CNG,係数_乗用_軽油,係数_乗用_メタノール,係数_乗用_LPG),125,5,BE1310),5,FALSE)))))</f>
        <v/>
      </c>
      <c r="AN1310" s="461" t="str">
        <f t="shared" si="730"/>
        <v/>
      </c>
      <c r="AO1310" s="462" t="str">
        <f t="shared" si="731"/>
        <v/>
      </c>
      <c r="AP1310" s="463" t="str">
        <f t="shared" si="732"/>
        <v/>
      </c>
      <c r="AQ1310" s="464"/>
      <c r="AR1310" s="619"/>
      <c r="AS1310" s="465" t="str">
        <f t="shared" si="740"/>
        <v/>
      </c>
      <c r="AT1310" s="465" t="str">
        <f t="shared" si="741"/>
        <v/>
      </c>
      <c r="AU1310" s="466" t="str">
        <f t="shared" si="742"/>
        <v/>
      </c>
      <c r="AV1310" s="467" t="str">
        <f t="shared" si="743"/>
        <v/>
      </c>
      <c r="AW1310" s="467" t="str">
        <f t="shared" si="744"/>
        <v/>
      </c>
      <c r="AX1310" s="467" t="str">
        <f t="shared" si="745"/>
        <v/>
      </c>
      <c r="AY1310" s="467" t="str">
        <f t="shared" si="746"/>
        <v/>
      </c>
      <c r="AZ1310" s="467" t="str">
        <f t="shared" si="747"/>
        <v/>
      </c>
      <c r="BA1310" s="468" t="str">
        <f>IF(AS1310="","",IF(OR(AU1310="",AU1310="-"),"－",IF(OR(AZ1310=8,AZ1310=9),"",IF(OR(AW1310=3,AW1310=4,AW1310=5,AW1310=6),VLOOKUP(AU1310,INDEX((係数_バス貨物_ガソリン,係数_バス貨物_CNG,係数_バス貨物_軽油,係数_バス貨物_メタノール,係数_バス貨物_LPG),MATCH(AY1310,【参考】排出係数!$AI$4:$AI$671,1),1,BE1310):INDEX((係数_バス貨物_ガソリン,係数_バス貨物_CNG,係数_バス貨物_軽油,係数_バス貨物_メタノール,係数_バス貨物_LPG),MATCH(AY1310+1,【参考】排出係数!$AI$4:$AI$671,1)-1,5,BE1310),2,FALSE),IF(OR(AW1310=1,AW1310=2),VLOOKUP(AU1310,INDEX((係数_乗用_ガソリン,係数_乗用_CNG,係数_乗用_軽油,係数_乗用_メタノール,係数_乗用_LPG),1,1,BE1310):INDEX((係数_乗用_ガソリン,係数_乗用_CNG,係数_乗用_軽油,係数_乗用_メタノール,係数_乗用_LPG),125,5,BE1310),2,FALSE))))))</f>
        <v/>
      </c>
      <c r="BB1310" s="468" t="str">
        <f>IF(T1310="","",IF(OR(AU1310="",AU1310="-"),"－",IF(OR(AZ1310=8,AZ1310=9),"",IF(OR(AW1310=3,AW1310=4,AW1310=5,AW1310=6),VLOOKUP(AU1310,INDEX((係数_バス貨物_ガソリン,係数_バス貨物_CNG,係数_バス貨物_軽油,係数_バス貨物_メタノール,係数_バス貨物_LPG),MATCH(AY1310,【参考】排出係数!$AI$4:$AI$671,1),1,BE1310):INDEX((係数_バス貨物_ガソリン,係数_バス貨物_CNG,係数_バス貨物_軽油,係数_バス貨物_メタノール,係数_バス貨物_LPG),MATCH(AY1310+1,【参考】排出係数!$AI$4:$AI$671,1)-1,5,BE1310),3,FALSE),IF(OR(AW1310=1,AW1310=2),VLOOKUP(AU1310,INDEX((係数_乗用_ガソリン,係数_乗用_CNG,係数_乗用_軽油,係数_乗用_メタノール,係数_乗用_LPG),1,1,BE1310):INDEX((係数_乗用_ガソリン,係数_乗用_CNG,係数_乗用_軽油,係数_乗用_メタノール,係数_乗用_LPG),125,5,BE1310),3,FALSE))))))</f>
        <v/>
      </c>
      <c r="BC1310" s="467" t="str">
        <f t="shared" si="748"/>
        <v/>
      </c>
      <c r="BD1310" s="567" t="str">
        <f t="shared" si="749"/>
        <v/>
      </c>
      <c r="BE1310" s="467" t="str">
        <f t="shared" si="750"/>
        <v/>
      </c>
      <c r="BF1310" s="469" t="str">
        <f t="shared" ca="1" si="751"/>
        <v/>
      </c>
      <c r="BG1310" s="469" t="str">
        <f t="shared" ca="1" si="752"/>
        <v/>
      </c>
      <c r="BH1310" s="467" t="str">
        <f t="shared" si="753"/>
        <v/>
      </c>
      <c r="BI1310" s="467" t="str">
        <f t="shared" ca="1" si="754"/>
        <v/>
      </c>
      <c r="BJ1310" s="469" t="str">
        <f t="shared" si="755"/>
        <v/>
      </c>
      <c r="BK1310" s="470" t="str">
        <f t="shared" si="739"/>
        <v/>
      </c>
      <c r="BL1310" s="775" t="str">
        <f t="shared" si="756"/>
        <v/>
      </c>
      <c r="BM1310" s="775" t="str">
        <f t="shared" si="757"/>
        <v/>
      </c>
    </row>
    <row r="1311" spans="1:65">
      <c r="A1311" s="473">
        <v>1255</v>
      </c>
      <c r="B1311" s="132"/>
      <c r="C1311" s="332"/>
      <c r="D1311" s="333"/>
      <c r="E1311" s="333"/>
      <c r="F1311" s="334"/>
      <c r="G1311" s="337"/>
      <c r="H1311" s="131"/>
      <c r="I1311" s="337"/>
      <c r="J1311" s="131"/>
      <c r="K1311" s="458" t="str">
        <f t="shared" si="720"/>
        <v/>
      </c>
      <c r="L1311" s="458">
        <f t="shared" si="721"/>
        <v>0</v>
      </c>
      <c r="M1311" s="458">
        <f t="shared" si="722"/>
        <v>0</v>
      </c>
      <c r="N1311" s="459" t="str">
        <f t="shared" si="733"/>
        <v/>
      </c>
      <c r="O1311" s="459" t="str">
        <f t="shared" si="734"/>
        <v/>
      </c>
      <c r="P1311" s="459" t="str">
        <f t="shared" si="735"/>
        <v/>
      </c>
      <c r="Q1311" s="459" t="str">
        <f t="shared" si="736"/>
        <v/>
      </c>
      <c r="R1311" s="459" t="str">
        <f t="shared" si="737"/>
        <v/>
      </c>
      <c r="S1311" s="459" t="str">
        <f t="shared" si="738"/>
        <v/>
      </c>
      <c r="T1311" s="566" t="str">
        <f t="shared" si="723"/>
        <v/>
      </c>
      <c r="U1311" s="702"/>
      <c r="V1311" s="132"/>
      <c r="W1311" s="133"/>
      <c r="X1311" s="134"/>
      <c r="Y1311" s="135"/>
      <c r="Z1311" s="137"/>
      <c r="AA1311" s="136"/>
      <c r="AB1311" s="566" t="str">
        <f t="shared" si="724"/>
        <v/>
      </c>
      <c r="AC1311" s="568" t="str">
        <f t="shared" si="725"/>
        <v/>
      </c>
      <c r="AD1311" s="137"/>
      <c r="AE1311" s="137"/>
      <c r="AF1311" s="138"/>
      <c r="AG1311" s="138"/>
      <c r="AH1311" s="592" t="str">
        <f t="shared" si="726"/>
        <v/>
      </c>
      <c r="AI1311" s="592" t="str">
        <f t="shared" si="727"/>
        <v/>
      </c>
      <c r="AJ1311" s="592" t="str">
        <f t="shared" si="728"/>
        <v/>
      </c>
      <c r="AK1311" s="460" t="str">
        <f>IF(AU1311="","",IF(OR(AZ1311=8,AZ1311=9),0,IF(OR(AW1311=3,AW1311=4,AW1311=5,AW1311=6),IF(LEFT(BF1311,1)="1",INDEX(係数_NOX・PM低減,MATCH(AY1311,【参考】排出係数!$AI$801:$AI$804,1),1),VLOOKUP(AU1311,INDEX((係数_バス貨物_ガソリン,係数_バス貨物_CNG,係数_バス貨物_軽油,係数_バス貨物_メタノール,係数_バス貨物_LPG),MATCH(AY1311,【参考】排出係数!$AI$4:$AI$671,1),1,BE1311):INDEX((係数_バス貨物_ガソリン,係数_バス貨物_CNG,係数_バス貨物_軽油,係数_バス貨物_メタノール,係数_バス貨物_LPG),MATCH(AY1311+1,【参考】排出係数!$AI$4:$AI$671,1)-1,5,BE1311),4,FALSE)),IF(AND(BE1311=3,LEFT(BF1311,1)="1"),0.48,VLOOKUP(AU1311,INDEX((係数_乗用_ガソリン,係数_乗用_CNG,係数_乗用_軽油,係数_乗用_メタノール,係数_乗用_LPG),1,1,BE1311):INDEX((係数_乗用_ガソリン,係数_乗用_CNG,係数_乗用_軽油,係数_乗用_メタノール,係数_乗用_LPG),125,5,BE1311),4,FALSE)))))</f>
        <v/>
      </c>
      <c r="AL1311" s="461" t="str">
        <f t="shared" si="729"/>
        <v/>
      </c>
      <c r="AM1311" s="460" t="str">
        <f>IF(AU1311="","",IF(OR(AZ1311=8,AZ1311=9),0,IF(OR(AW1311=3,AW1311=4,AW1311=5,AW1311=6),IF(LEFT(BH1311,1)="1",INDEX(係数_PM低減,MATCH(AY1311,【参考】排出係数!$AI$801:$AI$804,1),MATCH(BI1311,【参考】排出係数!$AL$798:$AO$798,1)),VLOOKUP(AU1311,INDEX((係数_バス貨物_ガソリン,係数_バス貨物_CNG,係数_バス貨物_軽油,係数_バス貨物_メタノール,係数_バス貨物_LPG),MATCH(AY1311,【参考】排出係数!$AI$4:$AI$671,1),1,BE1311):INDEX((係数_バス貨物_ガソリン,係数_バス貨物_CNG,係数_バス貨物_軽油,係数_バス貨物_メタノール,係数_バス貨物_LPG),MATCH(AY1311+1,【参考】排出係数!$AI$4:$AI$671,1)-1,5,BE1311),5,FALSE)),IF(AND(BE1311=3,LEFT(BF1311,1)="1"),0.055,VLOOKUP(AU1311,INDEX((係数_乗用_ガソリン,係数_乗用_CNG,係数_乗用_軽油,係数_乗用_メタノール,係数_乗用_LPG),1,1,BE1311):INDEX((係数_乗用_ガソリン,係数_乗用_CNG,係数_乗用_軽油,係数_乗用_メタノール,係数_乗用_LPG),125,5,BE1311),5,FALSE)))))</f>
        <v/>
      </c>
      <c r="AN1311" s="461" t="str">
        <f t="shared" si="730"/>
        <v/>
      </c>
      <c r="AO1311" s="462" t="str">
        <f t="shared" si="731"/>
        <v/>
      </c>
      <c r="AP1311" s="463" t="str">
        <f t="shared" si="732"/>
        <v/>
      </c>
      <c r="AQ1311" s="464"/>
      <c r="AR1311" s="619"/>
      <c r="AS1311" s="465" t="str">
        <f t="shared" si="740"/>
        <v/>
      </c>
      <c r="AT1311" s="465" t="str">
        <f t="shared" si="741"/>
        <v/>
      </c>
      <c r="AU1311" s="466" t="str">
        <f t="shared" si="742"/>
        <v/>
      </c>
      <c r="AV1311" s="467" t="str">
        <f t="shared" si="743"/>
        <v/>
      </c>
      <c r="AW1311" s="467" t="str">
        <f t="shared" si="744"/>
        <v/>
      </c>
      <c r="AX1311" s="467" t="str">
        <f t="shared" si="745"/>
        <v/>
      </c>
      <c r="AY1311" s="467" t="str">
        <f t="shared" si="746"/>
        <v/>
      </c>
      <c r="AZ1311" s="467" t="str">
        <f t="shared" si="747"/>
        <v/>
      </c>
      <c r="BA1311" s="468" t="str">
        <f>IF(AS1311="","",IF(OR(AU1311="",AU1311="-"),"－",IF(OR(AZ1311=8,AZ1311=9),"",IF(OR(AW1311=3,AW1311=4,AW1311=5,AW1311=6),VLOOKUP(AU1311,INDEX((係数_バス貨物_ガソリン,係数_バス貨物_CNG,係数_バス貨物_軽油,係数_バス貨物_メタノール,係数_バス貨物_LPG),MATCH(AY1311,【参考】排出係数!$AI$4:$AI$671,1),1,BE1311):INDEX((係数_バス貨物_ガソリン,係数_バス貨物_CNG,係数_バス貨物_軽油,係数_バス貨物_メタノール,係数_バス貨物_LPG),MATCH(AY1311+1,【参考】排出係数!$AI$4:$AI$671,1)-1,5,BE1311),2,FALSE),IF(OR(AW1311=1,AW1311=2),VLOOKUP(AU1311,INDEX((係数_乗用_ガソリン,係数_乗用_CNG,係数_乗用_軽油,係数_乗用_メタノール,係数_乗用_LPG),1,1,BE1311):INDEX((係数_乗用_ガソリン,係数_乗用_CNG,係数_乗用_軽油,係数_乗用_メタノール,係数_乗用_LPG),125,5,BE1311),2,FALSE))))))</f>
        <v/>
      </c>
      <c r="BB1311" s="468" t="str">
        <f>IF(T1311="","",IF(OR(AU1311="",AU1311="-"),"－",IF(OR(AZ1311=8,AZ1311=9),"",IF(OR(AW1311=3,AW1311=4,AW1311=5,AW1311=6),VLOOKUP(AU1311,INDEX((係数_バス貨物_ガソリン,係数_バス貨物_CNG,係数_バス貨物_軽油,係数_バス貨物_メタノール,係数_バス貨物_LPG),MATCH(AY1311,【参考】排出係数!$AI$4:$AI$671,1),1,BE1311):INDEX((係数_バス貨物_ガソリン,係数_バス貨物_CNG,係数_バス貨物_軽油,係数_バス貨物_メタノール,係数_バス貨物_LPG),MATCH(AY1311+1,【参考】排出係数!$AI$4:$AI$671,1)-1,5,BE1311),3,FALSE),IF(OR(AW1311=1,AW1311=2),VLOOKUP(AU1311,INDEX((係数_乗用_ガソリン,係数_乗用_CNG,係数_乗用_軽油,係数_乗用_メタノール,係数_乗用_LPG),1,1,BE1311):INDEX((係数_乗用_ガソリン,係数_乗用_CNG,係数_乗用_軽油,係数_乗用_メタノール,係数_乗用_LPG),125,5,BE1311),3,FALSE))))))</f>
        <v/>
      </c>
      <c r="BC1311" s="467" t="str">
        <f t="shared" si="748"/>
        <v/>
      </c>
      <c r="BD1311" s="567" t="str">
        <f t="shared" si="749"/>
        <v/>
      </c>
      <c r="BE1311" s="467" t="str">
        <f t="shared" si="750"/>
        <v/>
      </c>
      <c r="BF1311" s="469" t="str">
        <f t="shared" ca="1" si="751"/>
        <v/>
      </c>
      <c r="BG1311" s="469" t="str">
        <f t="shared" ca="1" si="752"/>
        <v/>
      </c>
      <c r="BH1311" s="467" t="str">
        <f t="shared" si="753"/>
        <v/>
      </c>
      <c r="BI1311" s="467" t="str">
        <f t="shared" ca="1" si="754"/>
        <v/>
      </c>
      <c r="BJ1311" s="469" t="str">
        <f t="shared" si="755"/>
        <v/>
      </c>
      <c r="BK1311" s="470" t="str">
        <f t="shared" si="739"/>
        <v/>
      </c>
      <c r="BL1311" s="775" t="str">
        <f t="shared" si="756"/>
        <v/>
      </c>
      <c r="BM1311" s="775" t="str">
        <f t="shared" si="757"/>
        <v/>
      </c>
    </row>
    <row r="1312" spans="1:65">
      <c r="A1312" s="473">
        <v>1256</v>
      </c>
      <c r="B1312" s="132"/>
      <c r="C1312" s="332"/>
      <c r="D1312" s="333"/>
      <c r="E1312" s="333"/>
      <c r="F1312" s="334"/>
      <c r="G1312" s="337"/>
      <c r="H1312" s="131"/>
      <c r="I1312" s="337"/>
      <c r="J1312" s="131"/>
      <c r="K1312" s="458" t="str">
        <f t="shared" si="720"/>
        <v/>
      </c>
      <c r="L1312" s="458">
        <f t="shared" si="721"/>
        <v>0</v>
      </c>
      <c r="M1312" s="458">
        <f t="shared" si="722"/>
        <v>0</v>
      </c>
      <c r="N1312" s="459" t="str">
        <f t="shared" si="733"/>
        <v/>
      </c>
      <c r="O1312" s="459" t="str">
        <f t="shared" si="734"/>
        <v/>
      </c>
      <c r="P1312" s="459" t="str">
        <f t="shared" si="735"/>
        <v/>
      </c>
      <c r="Q1312" s="459" t="str">
        <f t="shared" si="736"/>
        <v/>
      </c>
      <c r="R1312" s="459" t="str">
        <f t="shared" si="737"/>
        <v/>
      </c>
      <c r="S1312" s="459" t="str">
        <f t="shared" si="738"/>
        <v/>
      </c>
      <c r="T1312" s="566" t="str">
        <f t="shared" si="723"/>
        <v/>
      </c>
      <c r="U1312" s="702"/>
      <c r="V1312" s="132"/>
      <c r="W1312" s="133"/>
      <c r="X1312" s="134"/>
      <c r="Y1312" s="135"/>
      <c r="Z1312" s="137"/>
      <c r="AA1312" s="136"/>
      <c r="AB1312" s="566" t="str">
        <f t="shared" si="724"/>
        <v/>
      </c>
      <c r="AC1312" s="568" t="str">
        <f t="shared" si="725"/>
        <v/>
      </c>
      <c r="AD1312" s="137"/>
      <c r="AE1312" s="137"/>
      <c r="AF1312" s="138"/>
      <c r="AG1312" s="138"/>
      <c r="AH1312" s="592" t="str">
        <f t="shared" si="726"/>
        <v/>
      </c>
      <c r="AI1312" s="592" t="str">
        <f t="shared" si="727"/>
        <v/>
      </c>
      <c r="AJ1312" s="592" t="str">
        <f t="shared" si="728"/>
        <v/>
      </c>
      <c r="AK1312" s="460" t="str">
        <f>IF(AU1312="","",IF(OR(AZ1312=8,AZ1312=9),0,IF(OR(AW1312=3,AW1312=4,AW1312=5,AW1312=6),IF(LEFT(BF1312,1)="1",INDEX(係数_NOX・PM低減,MATCH(AY1312,【参考】排出係数!$AI$801:$AI$804,1),1),VLOOKUP(AU1312,INDEX((係数_バス貨物_ガソリン,係数_バス貨物_CNG,係数_バス貨物_軽油,係数_バス貨物_メタノール,係数_バス貨物_LPG),MATCH(AY1312,【参考】排出係数!$AI$4:$AI$671,1),1,BE1312):INDEX((係数_バス貨物_ガソリン,係数_バス貨物_CNG,係数_バス貨物_軽油,係数_バス貨物_メタノール,係数_バス貨物_LPG),MATCH(AY1312+1,【参考】排出係数!$AI$4:$AI$671,1)-1,5,BE1312),4,FALSE)),IF(AND(BE1312=3,LEFT(BF1312,1)="1"),0.48,VLOOKUP(AU1312,INDEX((係数_乗用_ガソリン,係数_乗用_CNG,係数_乗用_軽油,係数_乗用_メタノール,係数_乗用_LPG),1,1,BE1312):INDEX((係数_乗用_ガソリン,係数_乗用_CNG,係数_乗用_軽油,係数_乗用_メタノール,係数_乗用_LPG),125,5,BE1312),4,FALSE)))))</f>
        <v/>
      </c>
      <c r="AL1312" s="461" t="str">
        <f t="shared" si="729"/>
        <v/>
      </c>
      <c r="AM1312" s="460" t="str">
        <f>IF(AU1312="","",IF(OR(AZ1312=8,AZ1312=9),0,IF(OR(AW1312=3,AW1312=4,AW1312=5,AW1312=6),IF(LEFT(BH1312,1)="1",INDEX(係数_PM低減,MATCH(AY1312,【参考】排出係数!$AI$801:$AI$804,1),MATCH(BI1312,【参考】排出係数!$AL$798:$AO$798,1)),VLOOKUP(AU1312,INDEX((係数_バス貨物_ガソリン,係数_バス貨物_CNG,係数_バス貨物_軽油,係数_バス貨物_メタノール,係数_バス貨物_LPG),MATCH(AY1312,【参考】排出係数!$AI$4:$AI$671,1),1,BE1312):INDEX((係数_バス貨物_ガソリン,係数_バス貨物_CNG,係数_バス貨物_軽油,係数_バス貨物_メタノール,係数_バス貨物_LPG),MATCH(AY1312+1,【参考】排出係数!$AI$4:$AI$671,1)-1,5,BE1312),5,FALSE)),IF(AND(BE1312=3,LEFT(BF1312,1)="1"),0.055,VLOOKUP(AU1312,INDEX((係数_乗用_ガソリン,係数_乗用_CNG,係数_乗用_軽油,係数_乗用_メタノール,係数_乗用_LPG),1,1,BE1312):INDEX((係数_乗用_ガソリン,係数_乗用_CNG,係数_乗用_軽油,係数_乗用_メタノール,係数_乗用_LPG),125,5,BE1312),5,FALSE)))))</f>
        <v/>
      </c>
      <c r="AN1312" s="461" t="str">
        <f t="shared" si="730"/>
        <v/>
      </c>
      <c r="AO1312" s="462" t="str">
        <f t="shared" si="731"/>
        <v/>
      </c>
      <c r="AP1312" s="463" t="str">
        <f t="shared" si="732"/>
        <v/>
      </c>
      <c r="AQ1312" s="464"/>
      <c r="AR1312" s="619"/>
      <c r="AS1312" s="465" t="str">
        <f t="shared" si="740"/>
        <v/>
      </c>
      <c r="AT1312" s="465" t="str">
        <f t="shared" si="741"/>
        <v/>
      </c>
      <c r="AU1312" s="466" t="str">
        <f t="shared" si="742"/>
        <v/>
      </c>
      <c r="AV1312" s="467" t="str">
        <f t="shared" si="743"/>
        <v/>
      </c>
      <c r="AW1312" s="467" t="str">
        <f t="shared" si="744"/>
        <v/>
      </c>
      <c r="AX1312" s="467" t="str">
        <f t="shared" si="745"/>
        <v/>
      </c>
      <c r="AY1312" s="467" t="str">
        <f t="shared" si="746"/>
        <v/>
      </c>
      <c r="AZ1312" s="467" t="str">
        <f t="shared" si="747"/>
        <v/>
      </c>
      <c r="BA1312" s="468" t="str">
        <f>IF(AS1312="","",IF(OR(AU1312="",AU1312="-"),"－",IF(OR(AZ1312=8,AZ1312=9),"",IF(OR(AW1312=3,AW1312=4,AW1312=5,AW1312=6),VLOOKUP(AU1312,INDEX((係数_バス貨物_ガソリン,係数_バス貨物_CNG,係数_バス貨物_軽油,係数_バス貨物_メタノール,係数_バス貨物_LPG),MATCH(AY1312,【参考】排出係数!$AI$4:$AI$671,1),1,BE1312):INDEX((係数_バス貨物_ガソリン,係数_バス貨物_CNG,係数_バス貨物_軽油,係数_バス貨物_メタノール,係数_バス貨物_LPG),MATCH(AY1312+1,【参考】排出係数!$AI$4:$AI$671,1)-1,5,BE1312),2,FALSE),IF(OR(AW1312=1,AW1312=2),VLOOKUP(AU1312,INDEX((係数_乗用_ガソリン,係数_乗用_CNG,係数_乗用_軽油,係数_乗用_メタノール,係数_乗用_LPG),1,1,BE1312):INDEX((係数_乗用_ガソリン,係数_乗用_CNG,係数_乗用_軽油,係数_乗用_メタノール,係数_乗用_LPG),125,5,BE1312),2,FALSE))))))</f>
        <v/>
      </c>
      <c r="BB1312" s="468" t="str">
        <f>IF(T1312="","",IF(OR(AU1312="",AU1312="-"),"－",IF(OR(AZ1312=8,AZ1312=9),"",IF(OR(AW1312=3,AW1312=4,AW1312=5,AW1312=6),VLOOKUP(AU1312,INDEX((係数_バス貨物_ガソリン,係数_バス貨物_CNG,係数_バス貨物_軽油,係数_バス貨物_メタノール,係数_バス貨物_LPG),MATCH(AY1312,【参考】排出係数!$AI$4:$AI$671,1),1,BE1312):INDEX((係数_バス貨物_ガソリン,係数_バス貨物_CNG,係数_バス貨物_軽油,係数_バス貨物_メタノール,係数_バス貨物_LPG),MATCH(AY1312+1,【参考】排出係数!$AI$4:$AI$671,1)-1,5,BE1312),3,FALSE),IF(OR(AW1312=1,AW1312=2),VLOOKUP(AU1312,INDEX((係数_乗用_ガソリン,係数_乗用_CNG,係数_乗用_軽油,係数_乗用_メタノール,係数_乗用_LPG),1,1,BE1312):INDEX((係数_乗用_ガソリン,係数_乗用_CNG,係数_乗用_軽油,係数_乗用_メタノール,係数_乗用_LPG),125,5,BE1312),3,FALSE))))))</f>
        <v/>
      </c>
      <c r="BC1312" s="467" t="str">
        <f t="shared" si="748"/>
        <v/>
      </c>
      <c r="BD1312" s="567" t="str">
        <f t="shared" si="749"/>
        <v/>
      </c>
      <c r="BE1312" s="467" t="str">
        <f t="shared" si="750"/>
        <v/>
      </c>
      <c r="BF1312" s="469" t="str">
        <f t="shared" ca="1" si="751"/>
        <v/>
      </c>
      <c r="BG1312" s="469" t="str">
        <f t="shared" ca="1" si="752"/>
        <v/>
      </c>
      <c r="BH1312" s="467" t="str">
        <f t="shared" si="753"/>
        <v/>
      </c>
      <c r="BI1312" s="467" t="str">
        <f t="shared" ca="1" si="754"/>
        <v/>
      </c>
      <c r="BJ1312" s="469" t="str">
        <f t="shared" si="755"/>
        <v/>
      </c>
      <c r="BK1312" s="470" t="str">
        <f t="shared" si="739"/>
        <v/>
      </c>
      <c r="BL1312" s="775" t="str">
        <f t="shared" si="756"/>
        <v/>
      </c>
      <c r="BM1312" s="775" t="str">
        <f t="shared" si="757"/>
        <v/>
      </c>
    </row>
    <row r="1313" spans="1:65">
      <c r="A1313" s="473">
        <v>1257</v>
      </c>
      <c r="B1313" s="132"/>
      <c r="C1313" s="332"/>
      <c r="D1313" s="333"/>
      <c r="E1313" s="333"/>
      <c r="F1313" s="334"/>
      <c r="G1313" s="337"/>
      <c r="H1313" s="131"/>
      <c r="I1313" s="337"/>
      <c r="J1313" s="131"/>
      <c r="K1313" s="458" t="str">
        <f t="shared" si="720"/>
        <v/>
      </c>
      <c r="L1313" s="458">
        <f t="shared" si="721"/>
        <v>0</v>
      </c>
      <c r="M1313" s="458">
        <f t="shared" si="722"/>
        <v>0</v>
      </c>
      <c r="N1313" s="459" t="str">
        <f t="shared" si="733"/>
        <v/>
      </c>
      <c r="O1313" s="459" t="str">
        <f t="shared" si="734"/>
        <v/>
      </c>
      <c r="P1313" s="459" t="str">
        <f t="shared" si="735"/>
        <v/>
      </c>
      <c r="Q1313" s="459" t="str">
        <f t="shared" si="736"/>
        <v/>
      </c>
      <c r="R1313" s="459" t="str">
        <f t="shared" si="737"/>
        <v/>
      </c>
      <c r="S1313" s="459" t="str">
        <f t="shared" si="738"/>
        <v/>
      </c>
      <c r="T1313" s="566" t="str">
        <f t="shared" si="723"/>
        <v/>
      </c>
      <c r="U1313" s="702"/>
      <c r="V1313" s="132"/>
      <c r="W1313" s="133"/>
      <c r="X1313" s="134"/>
      <c r="Y1313" s="135"/>
      <c r="Z1313" s="137"/>
      <c r="AA1313" s="136"/>
      <c r="AB1313" s="566" t="str">
        <f t="shared" si="724"/>
        <v/>
      </c>
      <c r="AC1313" s="568" t="str">
        <f t="shared" si="725"/>
        <v/>
      </c>
      <c r="AD1313" s="137"/>
      <c r="AE1313" s="137"/>
      <c r="AF1313" s="138"/>
      <c r="AG1313" s="138"/>
      <c r="AH1313" s="592" t="str">
        <f t="shared" si="726"/>
        <v/>
      </c>
      <c r="AI1313" s="592" t="str">
        <f t="shared" si="727"/>
        <v/>
      </c>
      <c r="AJ1313" s="592" t="str">
        <f t="shared" si="728"/>
        <v/>
      </c>
      <c r="AK1313" s="460" t="str">
        <f>IF(AU1313="","",IF(OR(AZ1313=8,AZ1313=9),0,IF(OR(AW1313=3,AW1313=4,AW1313=5,AW1313=6),IF(LEFT(BF1313,1)="1",INDEX(係数_NOX・PM低減,MATCH(AY1313,【参考】排出係数!$AI$801:$AI$804,1),1),VLOOKUP(AU1313,INDEX((係数_バス貨物_ガソリン,係数_バス貨物_CNG,係数_バス貨物_軽油,係数_バス貨物_メタノール,係数_バス貨物_LPG),MATCH(AY1313,【参考】排出係数!$AI$4:$AI$671,1),1,BE1313):INDEX((係数_バス貨物_ガソリン,係数_バス貨物_CNG,係数_バス貨物_軽油,係数_バス貨物_メタノール,係数_バス貨物_LPG),MATCH(AY1313+1,【参考】排出係数!$AI$4:$AI$671,1)-1,5,BE1313),4,FALSE)),IF(AND(BE1313=3,LEFT(BF1313,1)="1"),0.48,VLOOKUP(AU1313,INDEX((係数_乗用_ガソリン,係数_乗用_CNG,係数_乗用_軽油,係数_乗用_メタノール,係数_乗用_LPG),1,1,BE1313):INDEX((係数_乗用_ガソリン,係数_乗用_CNG,係数_乗用_軽油,係数_乗用_メタノール,係数_乗用_LPG),125,5,BE1313),4,FALSE)))))</f>
        <v/>
      </c>
      <c r="AL1313" s="461" t="str">
        <f t="shared" si="729"/>
        <v/>
      </c>
      <c r="AM1313" s="460" t="str">
        <f>IF(AU1313="","",IF(OR(AZ1313=8,AZ1313=9),0,IF(OR(AW1313=3,AW1313=4,AW1313=5,AW1313=6),IF(LEFT(BH1313,1)="1",INDEX(係数_PM低減,MATCH(AY1313,【参考】排出係数!$AI$801:$AI$804,1),MATCH(BI1313,【参考】排出係数!$AL$798:$AO$798,1)),VLOOKUP(AU1313,INDEX((係数_バス貨物_ガソリン,係数_バス貨物_CNG,係数_バス貨物_軽油,係数_バス貨物_メタノール,係数_バス貨物_LPG),MATCH(AY1313,【参考】排出係数!$AI$4:$AI$671,1),1,BE1313):INDEX((係数_バス貨物_ガソリン,係数_バス貨物_CNG,係数_バス貨物_軽油,係数_バス貨物_メタノール,係数_バス貨物_LPG),MATCH(AY1313+1,【参考】排出係数!$AI$4:$AI$671,1)-1,5,BE1313),5,FALSE)),IF(AND(BE1313=3,LEFT(BF1313,1)="1"),0.055,VLOOKUP(AU1313,INDEX((係数_乗用_ガソリン,係数_乗用_CNG,係数_乗用_軽油,係数_乗用_メタノール,係数_乗用_LPG),1,1,BE1313):INDEX((係数_乗用_ガソリン,係数_乗用_CNG,係数_乗用_軽油,係数_乗用_メタノール,係数_乗用_LPG),125,5,BE1313),5,FALSE)))))</f>
        <v/>
      </c>
      <c r="AN1313" s="461" t="str">
        <f t="shared" si="730"/>
        <v/>
      </c>
      <c r="AO1313" s="462" t="str">
        <f t="shared" si="731"/>
        <v/>
      </c>
      <c r="AP1313" s="463" t="str">
        <f t="shared" si="732"/>
        <v/>
      </c>
      <c r="AQ1313" s="464"/>
      <c r="AR1313" s="619"/>
      <c r="AS1313" s="465" t="str">
        <f t="shared" si="740"/>
        <v/>
      </c>
      <c r="AT1313" s="465" t="str">
        <f t="shared" si="741"/>
        <v/>
      </c>
      <c r="AU1313" s="466" t="str">
        <f t="shared" si="742"/>
        <v/>
      </c>
      <c r="AV1313" s="467" t="str">
        <f t="shared" si="743"/>
        <v/>
      </c>
      <c r="AW1313" s="467" t="str">
        <f t="shared" si="744"/>
        <v/>
      </c>
      <c r="AX1313" s="467" t="str">
        <f t="shared" si="745"/>
        <v/>
      </c>
      <c r="AY1313" s="467" t="str">
        <f t="shared" si="746"/>
        <v/>
      </c>
      <c r="AZ1313" s="467" t="str">
        <f t="shared" si="747"/>
        <v/>
      </c>
      <c r="BA1313" s="468" t="str">
        <f>IF(AS1313="","",IF(OR(AU1313="",AU1313="-"),"－",IF(OR(AZ1313=8,AZ1313=9),"",IF(OR(AW1313=3,AW1313=4,AW1313=5,AW1313=6),VLOOKUP(AU1313,INDEX((係数_バス貨物_ガソリン,係数_バス貨物_CNG,係数_バス貨物_軽油,係数_バス貨物_メタノール,係数_バス貨物_LPG),MATCH(AY1313,【参考】排出係数!$AI$4:$AI$671,1),1,BE1313):INDEX((係数_バス貨物_ガソリン,係数_バス貨物_CNG,係数_バス貨物_軽油,係数_バス貨物_メタノール,係数_バス貨物_LPG),MATCH(AY1313+1,【参考】排出係数!$AI$4:$AI$671,1)-1,5,BE1313),2,FALSE),IF(OR(AW1313=1,AW1313=2),VLOOKUP(AU1313,INDEX((係数_乗用_ガソリン,係数_乗用_CNG,係数_乗用_軽油,係数_乗用_メタノール,係数_乗用_LPG),1,1,BE1313):INDEX((係数_乗用_ガソリン,係数_乗用_CNG,係数_乗用_軽油,係数_乗用_メタノール,係数_乗用_LPG),125,5,BE1313),2,FALSE))))))</f>
        <v/>
      </c>
      <c r="BB1313" s="468" t="str">
        <f>IF(T1313="","",IF(OR(AU1313="",AU1313="-"),"－",IF(OR(AZ1313=8,AZ1313=9),"",IF(OR(AW1313=3,AW1313=4,AW1313=5,AW1313=6),VLOOKUP(AU1313,INDEX((係数_バス貨物_ガソリン,係数_バス貨物_CNG,係数_バス貨物_軽油,係数_バス貨物_メタノール,係数_バス貨物_LPG),MATCH(AY1313,【参考】排出係数!$AI$4:$AI$671,1),1,BE1313):INDEX((係数_バス貨物_ガソリン,係数_バス貨物_CNG,係数_バス貨物_軽油,係数_バス貨物_メタノール,係数_バス貨物_LPG),MATCH(AY1313+1,【参考】排出係数!$AI$4:$AI$671,1)-1,5,BE1313),3,FALSE),IF(OR(AW1313=1,AW1313=2),VLOOKUP(AU1313,INDEX((係数_乗用_ガソリン,係数_乗用_CNG,係数_乗用_軽油,係数_乗用_メタノール,係数_乗用_LPG),1,1,BE1313):INDEX((係数_乗用_ガソリン,係数_乗用_CNG,係数_乗用_軽油,係数_乗用_メタノール,係数_乗用_LPG),125,5,BE1313),3,FALSE))))))</f>
        <v/>
      </c>
      <c r="BC1313" s="467" t="str">
        <f t="shared" si="748"/>
        <v/>
      </c>
      <c r="BD1313" s="567" t="str">
        <f t="shared" si="749"/>
        <v/>
      </c>
      <c r="BE1313" s="467" t="str">
        <f t="shared" si="750"/>
        <v/>
      </c>
      <c r="BF1313" s="469" t="str">
        <f t="shared" ca="1" si="751"/>
        <v/>
      </c>
      <c r="BG1313" s="469" t="str">
        <f t="shared" ca="1" si="752"/>
        <v/>
      </c>
      <c r="BH1313" s="467" t="str">
        <f t="shared" si="753"/>
        <v/>
      </c>
      <c r="BI1313" s="467" t="str">
        <f t="shared" ca="1" si="754"/>
        <v/>
      </c>
      <c r="BJ1313" s="469" t="str">
        <f t="shared" si="755"/>
        <v/>
      </c>
      <c r="BK1313" s="470" t="str">
        <f t="shared" si="739"/>
        <v/>
      </c>
      <c r="BL1313" s="775" t="str">
        <f t="shared" si="756"/>
        <v/>
      </c>
      <c r="BM1313" s="775" t="str">
        <f t="shared" si="757"/>
        <v/>
      </c>
    </row>
    <row r="1314" spans="1:65">
      <c r="A1314" s="473">
        <v>1258</v>
      </c>
      <c r="B1314" s="132"/>
      <c r="C1314" s="332"/>
      <c r="D1314" s="333"/>
      <c r="E1314" s="333"/>
      <c r="F1314" s="334"/>
      <c r="G1314" s="337"/>
      <c r="H1314" s="131"/>
      <c r="I1314" s="337"/>
      <c r="J1314" s="131"/>
      <c r="K1314" s="458" t="str">
        <f t="shared" si="720"/>
        <v/>
      </c>
      <c r="L1314" s="458">
        <f t="shared" si="721"/>
        <v>0</v>
      </c>
      <c r="M1314" s="458">
        <f t="shared" si="722"/>
        <v>0</v>
      </c>
      <c r="N1314" s="459" t="str">
        <f t="shared" si="733"/>
        <v/>
      </c>
      <c r="O1314" s="459" t="str">
        <f t="shared" si="734"/>
        <v/>
      </c>
      <c r="P1314" s="459" t="str">
        <f t="shared" si="735"/>
        <v/>
      </c>
      <c r="Q1314" s="459" t="str">
        <f t="shared" si="736"/>
        <v/>
      </c>
      <c r="R1314" s="459" t="str">
        <f t="shared" si="737"/>
        <v/>
      </c>
      <c r="S1314" s="459" t="str">
        <f t="shared" si="738"/>
        <v/>
      </c>
      <c r="T1314" s="566" t="str">
        <f t="shared" si="723"/>
        <v/>
      </c>
      <c r="U1314" s="702"/>
      <c r="V1314" s="132"/>
      <c r="W1314" s="133"/>
      <c r="X1314" s="134"/>
      <c r="Y1314" s="135"/>
      <c r="Z1314" s="137"/>
      <c r="AA1314" s="136"/>
      <c r="AB1314" s="566" t="str">
        <f t="shared" si="724"/>
        <v/>
      </c>
      <c r="AC1314" s="568" t="str">
        <f t="shared" si="725"/>
        <v/>
      </c>
      <c r="AD1314" s="137"/>
      <c r="AE1314" s="137"/>
      <c r="AF1314" s="138"/>
      <c r="AG1314" s="138"/>
      <c r="AH1314" s="592" t="str">
        <f t="shared" si="726"/>
        <v/>
      </c>
      <c r="AI1314" s="592" t="str">
        <f t="shared" si="727"/>
        <v/>
      </c>
      <c r="AJ1314" s="592" t="str">
        <f t="shared" si="728"/>
        <v/>
      </c>
      <c r="AK1314" s="460" t="str">
        <f>IF(AU1314="","",IF(OR(AZ1314=8,AZ1314=9),0,IF(OR(AW1314=3,AW1314=4,AW1314=5,AW1314=6),IF(LEFT(BF1314,1)="1",INDEX(係数_NOX・PM低減,MATCH(AY1314,【参考】排出係数!$AI$801:$AI$804,1),1),VLOOKUP(AU1314,INDEX((係数_バス貨物_ガソリン,係数_バス貨物_CNG,係数_バス貨物_軽油,係数_バス貨物_メタノール,係数_バス貨物_LPG),MATCH(AY1314,【参考】排出係数!$AI$4:$AI$671,1),1,BE1314):INDEX((係数_バス貨物_ガソリン,係数_バス貨物_CNG,係数_バス貨物_軽油,係数_バス貨物_メタノール,係数_バス貨物_LPG),MATCH(AY1314+1,【参考】排出係数!$AI$4:$AI$671,1)-1,5,BE1314),4,FALSE)),IF(AND(BE1314=3,LEFT(BF1314,1)="1"),0.48,VLOOKUP(AU1314,INDEX((係数_乗用_ガソリン,係数_乗用_CNG,係数_乗用_軽油,係数_乗用_メタノール,係数_乗用_LPG),1,1,BE1314):INDEX((係数_乗用_ガソリン,係数_乗用_CNG,係数_乗用_軽油,係数_乗用_メタノール,係数_乗用_LPG),125,5,BE1314),4,FALSE)))))</f>
        <v/>
      </c>
      <c r="AL1314" s="461" t="str">
        <f t="shared" si="729"/>
        <v/>
      </c>
      <c r="AM1314" s="460" t="str">
        <f>IF(AU1314="","",IF(OR(AZ1314=8,AZ1314=9),0,IF(OR(AW1314=3,AW1314=4,AW1314=5,AW1314=6),IF(LEFT(BH1314,1)="1",INDEX(係数_PM低減,MATCH(AY1314,【参考】排出係数!$AI$801:$AI$804,1),MATCH(BI1314,【参考】排出係数!$AL$798:$AO$798,1)),VLOOKUP(AU1314,INDEX((係数_バス貨物_ガソリン,係数_バス貨物_CNG,係数_バス貨物_軽油,係数_バス貨物_メタノール,係数_バス貨物_LPG),MATCH(AY1314,【参考】排出係数!$AI$4:$AI$671,1),1,BE1314):INDEX((係数_バス貨物_ガソリン,係数_バス貨物_CNG,係数_バス貨物_軽油,係数_バス貨物_メタノール,係数_バス貨物_LPG),MATCH(AY1314+1,【参考】排出係数!$AI$4:$AI$671,1)-1,5,BE1314),5,FALSE)),IF(AND(BE1314=3,LEFT(BF1314,1)="1"),0.055,VLOOKUP(AU1314,INDEX((係数_乗用_ガソリン,係数_乗用_CNG,係数_乗用_軽油,係数_乗用_メタノール,係数_乗用_LPG),1,1,BE1314):INDEX((係数_乗用_ガソリン,係数_乗用_CNG,係数_乗用_軽油,係数_乗用_メタノール,係数_乗用_LPG),125,5,BE1314),5,FALSE)))))</f>
        <v/>
      </c>
      <c r="AN1314" s="461" t="str">
        <f t="shared" si="730"/>
        <v/>
      </c>
      <c r="AO1314" s="462" t="str">
        <f t="shared" si="731"/>
        <v/>
      </c>
      <c r="AP1314" s="463" t="str">
        <f t="shared" si="732"/>
        <v/>
      </c>
      <c r="AQ1314" s="464"/>
      <c r="AR1314" s="619"/>
      <c r="AS1314" s="465" t="str">
        <f t="shared" si="740"/>
        <v/>
      </c>
      <c r="AT1314" s="465" t="str">
        <f t="shared" si="741"/>
        <v/>
      </c>
      <c r="AU1314" s="466" t="str">
        <f t="shared" si="742"/>
        <v/>
      </c>
      <c r="AV1314" s="467" t="str">
        <f t="shared" si="743"/>
        <v/>
      </c>
      <c r="AW1314" s="467" t="str">
        <f t="shared" si="744"/>
        <v/>
      </c>
      <c r="AX1314" s="467" t="str">
        <f t="shared" si="745"/>
        <v/>
      </c>
      <c r="AY1314" s="467" t="str">
        <f t="shared" si="746"/>
        <v/>
      </c>
      <c r="AZ1314" s="467" t="str">
        <f t="shared" si="747"/>
        <v/>
      </c>
      <c r="BA1314" s="468" t="str">
        <f>IF(AS1314="","",IF(OR(AU1314="",AU1314="-"),"－",IF(OR(AZ1314=8,AZ1314=9),"",IF(OR(AW1314=3,AW1314=4,AW1314=5,AW1314=6),VLOOKUP(AU1314,INDEX((係数_バス貨物_ガソリン,係数_バス貨物_CNG,係数_バス貨物_軽油,係数_バス貨物_メタノール,係数_バス貨物_LPG),MATCH(AY1314,【参考】排出係数!$AI$4:$AI$671,1),1,BE1314):INDEX((係数_バス貨物_ガソリン,係数_バス貨物_CNG,係数_バス貨物_軽油,係数_バス貨物_メタノール,係数_バス貨物_LPG),MATCH(AY1314+1,【参考】排出係数!$AI$4:$AI$671,1)-1,5,BE1314),2,FALSE),IF(OR(AW1314=1,AW1314=2),VLOOKUP(AU1314,INDEX((係数_乗用_ガソリン,係数_乗用_CNG,係数_乗用_軽油,係数_乗用_メタノール,係数_乗用_LPG),1,1,BE1314):INDEX((係数_乗用_ガソリン,係数_乗用_CNG,係数_乗用_軽油,係数_乗用_メタノール,係数_乗用_LPG),125,5,BE1314),2,FALSE))))))</f>
        <v/>
      </c>
      <c r="BB1314" s="468" t="str">
        <f>IF(T1314="","",IF(OR(AU1314="",AU1314="-"),"－",IF(OR(AZ1314=8,AZ1314=9),"",IF(OR(AW1314=3,AW1314=4,AW1314=5,AW1314=6),VLOOKUP(AU1314,INDEX((係数_バス貨物_ガソリン,係数_バス貨物_CNG,係数_バス貨物_軽油,係数_バス貨物_メタノール,係数_バス貨物_LPG),MATCH(AY1314,【参考】排出係数!$AI$4:$AI$671,1),1,BE1314):INDEX((係数_バス貨物_ガソリン,係数_バス貨物_CNG,係数_バス貨物_軽油,係数_バス貨物_メタノール,係数_バス貨物_LPG),MATCH(AY1314+1,【参考】排出係数!$AI$4:$AI$671,1)-1,5,BE1314),3,FALSE),IF(OR(AW1314=1,AW1314=2),VLOOKUP(AU1314,INDEX((係数_乗用_ガソリン,係数_乗用_CNG,係数_乗用_軽油,係数_乗用_メタノール,係数_乗用_LPG),1,1,BE1314):INDEX((係数_乗用_ガソリン,係数_乗用_CNG,係数_乗用_軽油,係数_乗用_メタノール,係数_乗用_LPG),125,5,BE1314),3,FALSE))))))</f>
        <v/>
      </c>
      <c r="BC1314" s="467" t="str">
        <f t="shared" si="748"/>
        <v/>
      </c>
      <c r="BD1314" s="567" t="str">
        <f t="shared" si="749"/>
        <v/>
      </c>
      <c r="BE1314" s="467" t="str">
        <f t="shared" si="750"/>
        <v/>
      </c>
      <c r="BF1314" s="469" t="str">
        <f t="shared" ca="1" si="751"/>
        <v/>
      </c>
      <c r="BG1314" s="469" t="str">
        <f t="shared" ca="1" si="752"/>
        <v/>
      </c>
      <c r="BH1314" s="467" t="str">
        <f t="shared" si="753"/>
        <v/>
      </c>
      <c r="BI1314" s="467" t="str">
        <f t="shared" ca="1" si="754"/>
        <v/>
      </c>
      <c r="BJ1314" s="469" t="str">
        <f t="shared" si="755"/>
        <v/>
      </c>
      <c r="BK1314" s="470" t="str">
        <f t="shared" si="739"/>
        <v/>
      </c>
      <c r="BL1314" s="775" t="str">
        <f t="shared" si="756"/>
        <v/>
      </c>
      <c r="BM1314" s="775" t="str">
        <f t="shared" si="757"/>
        <v/>
      </c>
    </row>
    <row r="1315" spans="1:65">
      <c r="A1315" s="473">
        <v>1259</v>
      </c>
      <c r="B1315" s="132"/>
      <c r="C1315" s="332"/>
      <c r="D1315" s="333"/>
      <c r="E1315" s="333"/>
      <c r="F1315" s="334"/>
      <c r="G1315" s="337"/>
      <c r="H1315" s="131"/>
      <c r="I1315" s="337"/>
      <c r="J1315" s="131"/>
      <c r="K1315" s="458" t="str">
        <f t="shared" si="720"/>
        <v/>
      </c>
      <c r="L1315" s="458">
        <f t="shared" si="721"/>
        <v>0</v>
      </c>
      <c r="M1315" s="458">
        <f t="shared" si="722"/>
        <v>0</v>
      </c>
      <c r="N1315" s="459" t="str">
        <f t="shared" si="733"/>
        <v/>
      </c>
      <c r="O1315" s="459" t="str">
        <f t="shared" si="734"/>
        <v/>
      </c>
      <c r="P1315" s="459" t="str">
        <f t="shared" si="735"/>
        <v/>
      </c>
      <c r="Q1315" s="459" t="str">
        <f t="shared" si="736"/>
        <v/>
      </c>
      <c r="R1315" s="459" t="str">
        <f t="shared" si="737"/>
        <v/>
      </c>
      <c r="S1315" s="459" t="str">
        <f t="shared" si="738"/>
        <v/>
      </c>
      <c r="T1315" s="566" t="str">
        <f t="shared" si="723"/>
        <v/>
      </c>
      <c r="U1315" s="702"/>
      <c r="V1315" s="132"/>
      <c r="W1315" s="133"/>
      <c r="X1315" s="134"/>
      <c r="Y1315" s="135"/>
      <c r="Z1315" s="137"/>
      <c r="AA1315" s="136"/>
      <c r="AB1315" s="566" t="str">
        <f t="shared" si="724"/>
        <v/>
      </c>
      <c r="AC1315" s="568" t="str">
        <f t="shared" si="725"/>
        <v/>
      </c>
      <c r="AD1315" s="137"/>
      <c r="AE1315" s="137"/>
      <c r="AF1315" s="138"/>
      <c r="AG1315" s="138"/>
      <c r="AH1315" s="592" t="str">
        <f t="shared" si="726"/>
        <v/>
      </c>
      <c r="AI1315" s="592" t="str">
        <f t="shared" si="727"/>
        <v/>
      </c>
      <c r="AJ1315" s="592" t="str">
        <f t="shared" si="728"/>
        <v/>
      </c>
      <c r="AK1315" s="460" t="str">
        <f>IF(AU1315="","",IF(OR(AZ1315=8,AZ1315=9),0,IF(OR(AW1315=3,AW1315=4,AW1315=5,AW1315=6),IF(LEFT(BF1315,1)="1",INDEX(係数_NOX・PM低減,MATCH(AY1315,【参考】排出係数!$AI$801:$AI$804,1),1),VLOOKUP(AU1315,INDEX((係数_バス貨物_ガソリン,係数_バス貨物_CNG,係数_バス貨物_軽油,係数_バス貨物_メタノール,係数_バス貨物_LPG),MATCH(AY1315,【参考】排出係数!$AI$4:$AI$671,1),1,BE1315):INDEX((係数_バス貨物_ガソリン,係数_バス貨物_CNG,係数_バス貨物_軽油,係数_バス貨物_メタノール,係数_バス貨物_LPG),MATCH(AY1315+1,【参考】排出係数!$AI$4:$AI$671,1)-1,5,BE1315),4,FALSE)),IF(AND(BE1315=3,LEFT(BF1315,1)="1"),0.48,VLOOKUP(AU1315,INDEX((係数_乗用_ガソリン,係数_乗用_CNG,係数_乗用_軽油,係数_乗用_メタノール,係数_乗用_LPG),1,1,BE1315):INDEX((係数_乗用_ガソリン,係数_乗用_CNG,係数_乗用_軽油,係数_乗用_メタノール,係数_乗用_LPG),125,5,BE1315),4,FALSE)))))</f>
        <v/>
      </c>
      <c r="AL1315" s="461" t="str">
        <f t="shared" si="729"/>
        <v/>
      </c>
      <c r="AM1315" s="460" t="str">
        <f>IF(AU1315="","",IF(OR(AZ1315=8,AZ1315=9),0,IF(OR(AW1315=3,AW1315=4,AW1315=5,AW1315=6),IF(LEFT(BH1315,1)="1",INDEX(係数_PM低減,MATCH(AY1315,【参考】排出係数!$AI$801:$AI$804,1),MATCH(BI1315,【参考】排出係数!$AL$798:$AO$798,1)),VLOOKUP(AU1315,INDEX((係数_バス貨物_ガソリン,係数_バス貨物_CNG,係数_バス貨物_軽油,係数_バス貨物_メタノール,係数_バス貨物_LPG),MATCH(AY1315,【参考】排出係数!$AI$4:$AI$671,1),1,BE1315):INDEX((係数_バス貨物_ガソリン,係数_バス貨物_CNG,係数_バス貨物_軽油,係数_バス貨物_メタノール,係数_バス貨物_LPG),MATCH(AY1315+1,【参考】排出係数!$AI$4:$AI$671,1)-1,5,BE1315),5,FALSE)),IF(AND(BE1315=3,LEFT(BF1315,1)="1"),0.055,VLOOKUP(AU1315,INDEX((係数_乗用_ガソリン,係数_乗用_CNG,係数_乗用_軽油,係数_乗用_メタノール,係数_乗用_LPG),1,1,BE1315):INDEX((係数_乗用_ガソリン,係数_乗用_CNG,係数_乗用_軽油,係数_乗用_メタノール,係数_乗用_LPG),125,5,BE1315),5,FALSE)))))</f>
        <v/>
      </c>
      <c r="AN1315" s="461" t="str">
        <f t="shared" si="730"/>
        <v/>
      </c>
      <c r="AO1315" s="462" t="str">
        <f t="shared" si="731"/>
        <v/>
      </c>
      <c r="AP1315" s="463" t="str">
        <f t="shared" si="732"/>
        <v/>
      </c>
      <c r="AQ1315" s="464"/>
      <c r="AR1315" s="619"/>
      <c r="AS1315" s="465" t="str">
        <f t="shared" si="740"/>
        <v/>
      </c>
      <c r="AT1315" s="465" t="str">
        <f t="shared" si="741"/>
        <v/>
      </c>
      <c r="AU1315" s="466" t="str">
        <f t="shared" si="742"/>
        <v/>
      </c>
      <c r="AV1315" s="467" t="str">
        <f t="shared" si="743"/>
        <v/>
      </c>
      <c r="AW1315" s="467" t="str">
        <f t="shared" si="744"/>
        <v/>
      </c>
      <c r="AX1315" s="467" t="str">
        <f t="shared" si="745"/>
        <v/>
      </c>
      <c r="AY1315" s="467" t="str">
        <f t="shared" si="746"/>
        <v/>
      </c>
      <c r="AZ1315" s="467" t="str">
        <f t="shared" si="747"/>
        <v/>
      </c>
      <c r="BA1315" s="468" t="str">
        <f>IF(AS1315="","",IF(OR(AU1315="",AU1315="-"),"－",IF(OR(AZ1315=8,AZ1315=9),"",IF(OR(AW1315=3,AW1315=4,AW1315=5,AW1315=6),VLOOKUP(AU1315,INDEX((係数_バス貨物_ガソリン,係数_バス貨物_CNG,係数_バス貨物_軽油,係数_バス貨物_メタノール,係数_バス貨物_LPG),MATCH(AY1315,【参考】排出係数!$AI$4:$AI$671,1),1,BE1315):INDEX((係数_バス貨物_ガソリン,係数_バス貨物_CNG,係数_バス貨物_軽油,係数_バス貨物_メタノール,係数_バス貨物_LPG),MATCH(AY1315+1,【参考】排出係数!$AI$4:$AI$671,1)-1,5,BE1315),2,FALSE),IF(OR(AW1315=1,AW1315=2),VLOOKUP(AU1315,INDEX((係数_乗用_ガソリン,係数_乗用_CNG,係数_乗用_軽油,係数_乗用_メタノール,係数_乗用_LPG),1,1,BE1315):INDEX((係数_乗用_ガソリン,係数_乗用_CNG,係数_乗用_軽油,係数_乗用_メタノール,係数_乗用_LPG),125,5,BE1315),2,FALSE))))))</f>
        <v/>
      </c>
      <c r="BB1315" s="468" t="str">
        <f>IF(T1315="","",IF(OR(AU1315="",AU1315="-"),"－",IF(OR(AZ1315=8,AZ1315=9),"",IF(OR(AW1315=3,AW1315=4,AW1315=5,AW1315=6),VLOOKUP(AU1315,INDEX((係数_バス貨物_ガソリン,係数_バス貨物_CNG,係数_バス貨物_軽油,係数_バス貨物_メタノール,係数_バス貨物_LPG),MATCH(AY1315,【参考】排出係数!$AI$4:$AI$671,1),1,BE1315):INDEX((係数_バス貨物_ガソリン,係数_バス貨物_CNG,係数_バス貨物_軽油,係数_バス貨物_メタノール,係数_バス貨物_LPG),MATCH(AY1315+1,【参考】排出係数!$AI$4:$AI$671,1)-1,5,BE1315),3,FALSE),IF(OR(AW1315=1,AW1315=2),VLOOKUP(AU1315,INDEX((係数_乗用_ガソリン,係数_乗用_CNG,係数_乗用_軽油,係数_乗用_メタノール,係数_乗用_LPG),1,1,BE1315):INDEX((係数_乗用_ガソリン,係数_乗用_CNG,係数_乗用_軽油,係数_乗用_メタノール,係数_乗用_LPG),125,5,BE1315),3,FALSE))))))</f>
        <v/>
      </c>
      <c r="BC1315" s="467" t="str">
        <f t="shared" si="748"/>
        <v/>
      </c>
      <c r="BD1315" s="567" t="str">
        <f t="shared" si="749"/>
        <v/>
      </c>
      <c r="BE1315" s="467" t="str">
        <f t="shared" si="750"/>
        <v/>
      </c>
      <c r="BF1315" s="469" t="str">
        <f t="shared" ca="1" si="751"/>
        <v/>
      </c>
      <c r="BG1315" s="469" t="str">
        <f t="shared" ca="1" si="752"/>
        <v/>
      </c>
      <c r="BH1315" s="467" t="str">
        <f t="shared" si="753"/>
        <v/>
      </c>
      <c r="BI1315" s="467" t="str">
        <f t="shared" ca="1" si="754"/>
        <v/>
      </c>
      <c r="BJ1315" s="469" t="str">
        <f t="shared" si="755"/>
        <v/>
      </c>
      <c r="BK1315" s="470" t="str">
        <f t="shared" si="739"/>
        <v/>
      </c>
      <c r="BL1315" s="775" t="str">
        <f t="shared" si="756"/>
        <v/>
      </c>
      <c r="BM1315" s="775" t="str">
        <f t="shared" si="757"/>
        <v/>
      </c>
    </row>
    <row r="1316" spans="1:65">
      <c r="A1316" s="473">
        <v>1260</v>
      </c>
      <c r="B1316" s="132"/>
      <c r="C1316" s="332"/>
      <c r="D1316" s="333"/>
      <c r="E1316" s="333"/>
      <c r="F1316" s="334"/>
      <c r="G1316" s="337"/>
      <c r="H1316" s="131"/>
      <c r="I1316" s="337"/>
      <c r="J1316" s="131"/>
      <c r="K1316" s="458" t="str">
        <f t="shared" si="720"/>
        <v/>
      </c>
      <c r="L1316" s="458">
        <f t="shared" si="721"/>
        <v>0</v>
      </c>
      <c r="M1316" s="458">
        <f t="shared" si="722"/>
        <v>0</v>
      </c>
      <c r="N1316" s="459" t="str">
        <f t="shared" si="733"/>
        <v/>
      </c>
      <c r="O1316" s="459" t="str">
        <f t="shared" si="734"/>
        <v/>
      </c>
      <c r="P1316" s="459" t="str">
        <f t="shared" si="735"/>
        <v/>
      </c>
      <c r="Q1316" s="459" t="str">
        <f t="shared" si="736"/>
        <v/>
      </c>
      <c r="R1316" s="459" t="str">
        <f t="shared" si="737"/>
        <v/>
      </c>
      <c r="S1316" s="459" t="str">
        <f t="shared" si="738"/>
        <v/>
      </c>
      <c r="T1316" s="566" t="str">
        <f t="shared" si="723"/>
        <v/>
      </c>
      <c r="U1316" s="702"/>
      <c r="V1316" s="132"/>
      <c r="W1316" s="133"/>
      <c r="X1316" s="134"/>
      <c r="Y1316" s="135"/>
      <c r="Z1316" s="137"/>
      <c r="AA1316" s="136"/>
      <c r="AB1316" s="566" t="str">
        <f t="shared" si="724"/>
        <v/>
      </c>
      <c r="AC1316" s="568" t="str">
        <f t="shared" si="725"/>
        <v/>
      </c>
      <c r="AD1316" s="137"/>
      <c r="AE1316" s="137"/>
      <c r="AF1316" s="138"/>
      <c r="AG1316" s="138"/>
      <c r="AH1316" s="592" t="str">
        <f t="shared" si="726"/>
        <v/>
      </c>
      <c r="AI1316" s="592" t="str">
        <f t="shared" si="727"/>
        <v/>
      </c>
      <c r="AJ1316" s="592" t="str">
        <f t="shared" si="728"/>
        <v/>
      </c>
      <c r="AK1316" s="460" t="str">
        <f>IF(AU1316="","",IF(OR(AZ1316=8,AZ1316=9),0,IF(OR(AW1316=3,AW1316=4,AW1316=5,AW1316=6),IF(LEFT(BF1316,1)="1",INDEX(係数_NOX・PM低減,MATCH(AY1316,【参考】排出係数!$AI$801:$AI$804,1),1),VLOOKUP(AU1316,INDEX((係数_バス貨物_ガソリン,係数_バス貨物_CNG,係数_バス貨物_軽油,係数_バス貨物_メタノール,係数_バス貨物_LPG),MATCH(AY1316,【参考】排出係数!$AI$4:$AI$671,1),1,BE1316):INDEX((係数_バス貨物_ガソリン,係数_バス貨物_CNG,係数_バス貨物_軽油,係数_バス貨物_メタノール,係数_バス貨物_LPG),MATCH(AY1316+1,【参考】排出係数!$AI$4:$AI$671,1)-1,5,BE1316),4,FALSE)),IF(AND(BE1316=3,LEFT(BF1316,1)="1"),0.48,VLOOKUP(AU1316,INDEX((係数_乗用_ガソリン,係数_乗用_CNG,係数_乗用_軽油,係数_乗用_メタノール,係数_乗用_LPG),1,1,BE1316):INDEX((係数_乗用_ガソリン,係数_乗用_CNG,係数_乗用_軽油,係数_乗用_メタノール,係数_乗用_LPG),125,5,BE1316),4,FALSE)))))</f>
        <v/>
      </c>
      <c r="AL1316" s="461" t="str">
        <f t="shared" si="729"/>
        <v/>
      </c>
      <c r="AM1316" s="460" t="str">
        <f>IF(AU1316="","",IF(OR(AZ1316=8,AZ1316=9),0,IF(OR(AW1316=3,AW1316=4,AW1316=5,AW1316=6),IF(LEFT(BH1316,1)="1",INDEX(係数_PM低減,MATCH(AY1316,【参考】排出係数!$AI$801:$AI$804,1),MATCH(BI1316,【参考】排出係数!$AL$798:$AO$798,1)),VLOOKUP(AU1316,INDEX((係数_バス貨物_ガソリン,係数_バス貨物_CNG,係数_バス貨物_軽油,係数_バス貨物_メタノール,係数_バス貨物_LPG),MATCH(AY1316,【参考】排出係数!$AI$4:$AI$671,1),1,BE1316):INDEX((係数_バス貨物_ガソリン,係数_バス貨物_CNG,係数_バス貨物_軽油,係数_バス貨物_メタノール,係数_バス貨物_LPG),MATCH(AY1316+1,【参考】排出係数!$AI$4:$AI$671,1)-1,5,BE1316),5,FALSE)),IF(AND(BE1316=3,LEFT(BF1316,1)="1"),0.055,VLOOKUP(AU1316,INDEX((係数_乗用_ガソリン,係数_乗用_CNG,係数_乗用_軽油,係数_乗用_メタノール,係数_乗用_LPG),1,1,BE1316):INDEX((係数_乗用_ガソリン,係数_乗用_CNG,係数_乗用_軽油,係数_乗用_メタノール,係数_乗用_LPG),125,5,BE1316),5,FALSE)))))</f>
        <v/>
      </c>
      <c r="AN1316" s="461" t="str">
        <f t="shared" si="730"/>
        <v/>
      </c>
      <c r="AO1316" s="462" t="str">
        <f t="shared" si="731"/>
        <v/>
      </c>
      <c r="AP1316" s="463" t="str">
        <f t="shared" si="732"/>
        <v/>
      </c>
      <c r="AQ1316" s="464"/>
      <c r="AR1316" s="619"/>
      <c r="AS1316" s="465" t="str">
        <f t="shared" si="740"/>
        <v/>
      </c>
      <c r="AT1316" s="465" t="str">
        <f t="shared" si="741"/>
        <v/>
      </c>
      <c r="AU1316" s="466" t="str">
        <f t="shared" si="742"/>
        <v/>
      </c>
      <c r="AV1316" s="467" t="str">
        <f t="shared" si="743"/>
        <v/>
      </c>
      <c r="AW1316" s="467" t="str">
        <f t="shared" si="744"/>
        <v/>
      </c>
      <c r="AX1316" s="467" t="str">
        <f t="shared" si="745"/>
        <v/>
      </c>
      <c r="AY1316" s="467" t="str">
        <f t="shared" si="746"/>
        <v/>
      </c>
      <c r="AZ1316" s="467" t="str">
        <f t="shared" si="747"/>
        <v/>
      </c>
      <c r="BA1316" s="468" t="str">
        <f>IF(AS1316="","",IF(OR(AU1316="",AU1316="-"),"－",IF(OR(AZ1316=8,AZ1316=9),"",IF(OR(AW1316=3,AW1316=4,AW1316=5,AW1316=6),VLOOKUP(AU1316,INDEX((係数_バス貨物_ガソリン,係数_バス貨物_CNG,係数_バス貨物_軽油,係数_バス貨物_メタノール,係数_バス貨物_LPG),MATCH(AY1316,【参考】排出係数!$AI$4:$AI$671,1),1,BE1316):INDEX((係数_バス貨物_ガソリン,係数_バス貨物_CNG,係数_バス貨物_軽油,係数_バス貨物_メタノール,係数_バス貨物_LPG),MATCH(AY1316+1,【参考】排出係数!$AI$4:$AI$671,1)-1,5,BE1316),2,FALSE),IF(OR(AW1316=1,AW1316=2),VLOOKUP(AU1316,INDEX((係数_乗用_ガソリン,係数_乗用_CNG,係数_乗用_軽油,係数_乗用_メタノール,係数_乗用_LPG),1,1,BE1316):INDEX((係数_乗用_ガソリン,係数_乗用_CNG,係数_乗用_軽油,係数_乗用_メタノール,係数_乗用_LPG),125,5,BE1316),2,FALSE))))))</f>
        <v/>
      </c>
      <c r="BB1316" s="468" t="str">
        <f>IF(T1316="","",IF(OR(AU1316="",AU1316="-"),"－",IF(OR(AZ1316=8,AZ1316=9),"",IF(OR(AW1316=3,AW1316=4,AW1316=5,AW1316=6),VLOOKUP(AU1316,INDEX((係数_バス貨物_ガソリン,係数_バス貨物_CNG,係数_バス貨物_軽油,係数_バス貨物_メタノール,係数_バス貨物_LPG),MATCH(AY1316,【参考】排出係数!$AI$4:$AI$671,1),1,BE1316):INDEX((係数_バス貨物_ガソリン,係数_バス貨物_CNG,係数_バス貨物_軽油,係数_バス貨物_メタノール,係数_バス貨物_LPG),MATCH(AY1316+1,【参考】排出係数!$AI$4:$AI$671,1)-1,5,BE1316),3,FALSE),IF(OR(AW1316=1,AW1316=2),VLOOKUP(AU1316,INDEX((係数_乗用_ガソリン,係数_乗用_CNG,係数_乗用_軽油,係数_乗用_メタノール,係数_乗用_LPG),1,1,BE1316):INDEX((係数_乗用_ガソリン,係数_乗用_CNG,係数_乗用_軽油,係数_乗用_メタノール,係数_乗用_LPG),125,5,BE1316),3,FALSE))))))</f>
        <v/>
      </c>
      <c r="BC1316" s="467" t="str">
        <f t="shared" si="748"/>
        <v/>
      </c>
      <c r="BD1316" s="567" t="str">
        <f t="shared" si="749"/>
        <v/>
      </c>
      <c r="BE1316" s="467" t="str">
        <f t="shared" si="750"/>
        <v/>
      </c>
      <c r="BF1316" s="469" t="str">
        <f t="shared" ca="1" si="751"/>
        <v/>
      </c>
      <c r="BG1316" s="469" t="str">
        <f t="shared" ca="1" si="752"/>
        <v/>
      </c>
      <c r="BH1316" s="467" t="str">
        <f t="shared" si="753"/>
        <v/>
      </c>
      <c r="BI1316" s="467" t="str">
        <f t="shared" ca="1" si="754"/>
        <v/>
      </c>
      <c r="BJ1316" s="469" t="str">
        <f t="shared" si="755"/>
        <v/>
      </c>
      <c r="BK1316" s="470" t="str">
        <f t="shared" si="739"/>
        <v/>
      </c>
      <c r="BL1316" s="775" t="str">
        <f t="shared" si="756"/>
        <v/>
      </c>
      <c r="BM1316" s="775" t="str">
        <f t="shared" si="757"/>
        <v/>
      </c>
    </row>
    <row r="1317" spans="1:65">
      <c r="A1317" s="473">
        <v>1261</v>
      </c>
      <c r="B1317" s="132"/>
      <c r="C1317" s="332"/>
      <c r="D1317" s="333"/>
      <c r="E1317" s="333"/>
      <c r="F1317" s="334"/>
      <c r="G1317" s="337"/>
      <c r="H1317" s="131"/>
      <c r="I1317" s="337"/>
      <c r="J1317" s="131"/>
      <c r="K1317" s="458" t="str">
        <f t="shared" si="720"/>
        <v/>
      </c>
      <c r="L1317" s="458">
        <f t="shared" si="721"/>
        <v>0</v>
      </c>
      <c r="M1317" s="458">
        <f t="shared" si="722"/>
        <v>0</v>
      </c>
      <c r="N1317" s="459" t="str">
        <f t="shared" si="733"/>
        <v/>
      </c>
      <c r="O1317" s="459" t="str">
        <f t="shared" si="734"/>
        <v/>
      </c>
      <c r="P1317" s="459" t="str">
        <f t="shared" si="735"/>
        <v/>
      </c>
      <c r="Q1317" s="459" t="str">
        <f t="shared" si="736"/>
        <v/>
      </c>
      <c r="R1317" s="459" t="str">
        <f t="shared" si="737"/>
        <v/>
      </c>
      <c r="S1317" s="459" t="str">
        <f t="shared" si="738"/>
        <v/>
      </c>
      <c r="T1317" s="566" t="str">
        <f t="shared" si="723"/>
        <v/>
      </c>
      <c r="U1317" s="702"/>
      <c r="V1317" s="132"/>
      <c r="W1317" s="133"/>
      <c r="X1317" s="134"/>
      <c r="Y1317" s="135"/>
      <c r="Z1317" s="137"/>
      <c r="AA1317" s="136"/>
      <c r="AB1317" s="566" t="str">
        <f t="shared" si="724"/>
        <v/>
      </c>
      <c r="AC1317" s="568" t="str">
        <f t="shared" si="725"/>
        <v/>
      </c>
      <c r="AD1317" s="137"/>
      <c r="AE1317" s="137"/>
      <c r="AF1317" s="138"/>
      <c r="AG1317" s="138"/>
      <c r="AH1317" s="592" t="str">
        <f t="shared" si="726"/>
        <v/>
      </c>
      <c r="AI1317" s="592" t="str">
        <f t="shared" si="727"/>
        <v/>
      </c>
      <c r="AJ1317" s="592" t="str">
        <f t="shared" si="728"/>
        <v/>
      </c>
      <c r="AK1317" s="460" t="str">
        <f>IF(AU1317="","",IF(OR(AZ1317=8,AZ1317=9),0,IF(OR(AW1317=3,AW1317=4,AW1317=5,AW1317=6),IF(LEFT(BF1317,1)="1",INDEX(係数_NOX・PM低減,MATCH(AY1317,【参考】排出係数!$AI$801:$AI$804,1),1),VLOOKUP(AU1317,INDEX((係数_バス貨物_ガソリン,係数_バス貨物_CNG,係数_バス貨物_軽油,係数_バス貨物_メタノール,係数_バス貨物_LPG),MATCH(AY1317,【参考】排出係数!$AI$4:$AI$671,1),1,BE1317):INDEX((係数_バス貨物_ガソリン,係数_バス貨物_CNG,係数_バス貨物_軽油,係数_バス貨物_メタノール,係数_バス貨物_LPG),MATCH(AY1317+1,【参考】排出係数!$AI$4:$AI$671,1)-1,5,BE1317),4,FALSE)),IF(AND(BE1317=3,LEFT(BF1317,1)="1"),0.48,VLOOKUP(AU1317,INDEX((係数_乗用_ガソリン,係数_乗用_CNG,係数_乗用_軽油,係数_乗用_メタノール,係数_乗用_LPG),1,1,BE1317):INDEX((係数_乗用_ガソリン,係数_乗用_CNG,係数_乗用_軽油,係数_乗用_メタノール,係数_乗用_LPG),125,5,BE1317),4,FALSE)))))</f>
        <v/>
      </c>
      <c r="AL1317" s="461" t="str">
        <f t="shared" si="729"/>
        <v/>
      </c>
      <c r="AM1317" s="460" t="str">
        <f>IF(AU1317="","",IF(OR(AZ1317=8,AZ1317=9),0,IF(OR(AW1317=3,AW1317=4,AW1317=5,AW1317=6),IF(LEFT(BH1317,1)="1",INDEX(係数_PM低減,MATCH(AY1317,【参考】排出係数!$AI$801:$AI$804,1),MATCH(BI1317,【参考】排出係数!$AL$798:$AO$798,1)),VLOOKUP(AU1317,INDEX((係数_バス貨物_ガソリン,係数_バス貨物_CNG,係数_バス貨物_軽油,係数_バス貨物_メタノール,係数_バス貨物_LPG),MATCH(AY1317,【参考】排出係数!$AI$4:$AI$671,1),1,BE1317):INDEX((係数_バス貨物_ガソリン,係数_バス貨物_CNG,係数_バス貨物_軽油,係数_バス貨物_メタノール,係数_バス貨物_LPG),MATCH(AY1317+1,【参考】排出係数!$AI$4:$AI$671,1)-1,5,BE1317),5,FALSE)),IF(AND(BE1317=3,LEFT(BF1317,1)="1"),0.055,VLOOKUP(AU1317,INDEX((係数_乗用_ガソリン,係数_乗用_CNG,係数_乗用_軽油,係数_乗用_メタノール,係数_乗用_LPG),1,1,BE1317):INDEX((係数_乗用_ガソリン,係数_乗用_CNG,係数_乗用_軽油,係数_乗用_メタノール,係数_乗用_LPG),125,5,BE1317),5,FALSE)))))</f>
        <v/>
      </c>
      <c r="AN1317" s="461" t="str">
        <f t="shared" si="730"/>
        <v/>
      </c>
      <c r="AO1317" s="462" t="str">
        <f t="shared" si="731"/>
        <v/>
      </c>
      <c r="AP1317" s="463" t="str">
        <f t="shared" si="732"/>
        <v/>
      </c>
      <c r="AQ1317" s="464"/>
      <c r="AR1317" s="619"/>
      <c r="AS1317" s="465" t="str">
        <f t="shared" si="740"/>
        <v/>
      </c>
      <c r="AT1317" s="465" t="str">
        <f t="shared" si="741"/>
        <v/>
      </c>
      <c r="AU1317" s="466" t="str">
        <f t="shared" si="742"/>
        <v/>
      </c>
      <c r="AV1317" s="467" t="str">
        <f t="shared" si="743"/>
        <v/>
      </c>
      <c r="AW1317" s="467" t="str">
        <f t="shared" si="744"/>
        <v/>
      </c>
      <c r="AX1317" s="467" t="str">
        <f t="shared" si="745"/>
        <v/>
      </c>
      <c r="AY1317" s="467" t="str">
        <f t="shared" si="746"/>
        <v/>
      </c>
      <c r="AZ1317" s="467" t="str">
        <f t="shared" si="747"/>
        <v/>
      </c>
      <c r="BA1317" s="468" t="str">
        <f>IF(AS1317="","",IF(OR(AU1317="",AU1317="-"),"－",IF(OR(AZ1317=8,AZ1317=9),"",IF(OR(AW1317=3,AW1317=4,AW1317=5,AW1317=6),VLOOKUP(AU1317,INDEX((係数_バス貨物_ガソリン,係数_バス貨物_CNG,係数_バス貨物_軽油,係数_バス貨物_メタノール,係数_バス貨物_LPG),MATCH(AY1317,【参考】排出係数!$AI$4:$AI$671,1),1,BE1317):INDEX((係数_バス貨物_ガソリン,係数_バス貨物_CNG,係数_バス貨物_軽油,係数_バス貨物_メタノール,係数_バス貨物_LPG),MATCH(AY1317+1,【参考】排出係数!$AI$4:$AI$671,1)-1,5,BE1317),2,FALSE),IF(OR(AW1317=1,AW1317=2),VLOOKUP(AU1317,INDEX((係数_乗用_ガソリン,係数_乗用_CNG,係数_乗用_軽油,係数_乗用_メタノール,係数_乗用_LPG),1,1,BE1317):INDEX((係数_乗用_ガソリン,係数_乗用_CNG,係数_乗用_軽油,係数_乗用_メタノール,係数_乗用_LPG),125,5,BE1317),2,FALSE))))))</f>
        <v/>
      </c>
      <c r="BB1317" s="468" t="str">
        <f>IF(T1317="","",IF(OR(AU1317="",AU1317="-"),"－",IF(OR(AZ1317=8,AZ1317=9),"",IF(OR(AW1317=3,AW1317=4,AW1317=5,AW1317=6),VLOOKUP(AU1317,INDEX((係数_バス貨物_ガソリン,係数_バス貨物_CNG,係数_バス貨物_軽油,係数_バス貨物_メタノール,係数_バス貨物_LPG),MATCH(AY1317,【参考】排出係数!$AI$4:$AI$671,1),1,BE1317):INDEX((係数_バス貨物_ガソリン,係数_バス貨物_CNG,係数_バス貨物_軽油,係数_バス貨物_メタノール,係数_バス貨物_LPG),MATCH(AY1317+1,【参考】排出係数!$AI$4:$AI$671,1)-1,5,BE1317),3,FALSE),IF(OR(AW1317=1,AW1317=2),VLOOKUP(AU1317,INDEX((係数_乗用_ガソリン,係数_乗用_CNG,係数_乗用_軽油,係数_乗用_メタノール,係数_乗用_LPG),1,1,BE1317):INDEX((係数_乗用_ガソリン,係数_乗用_CNG,係数_乗用_軽油,係数_乗用_メタノール,係数_乗用_LPG),125,5,BE1317),3,FALSE))))))</f>
        <v/>
      </c>
      <c r="BC1317" s="467" t="str">
        <f t="shared" si="748"/>
        <v/>
      </c>
      <c r="BD1317" s="567" t="str">
        <f t="shared" si="749"/>
        <v/>
      </c>
      <c r="BE1317" s="467" t="str">
        <f t="shared" si="750"/>
        <v/>
      </c>
      <c r="BF1317" s="469" t="str">
        <f t="shared" ca="1" si="751"/>
        <v/>
      </c>
      <c r="BG1317" s="469" t="str">
        <f t="shared" ca="1" si="752"/>
        <v/>
      </c>
      <c r="BH1317" s="467" t="str">
        <f t="shared" si="753"/>
        <v/>
      </c>
      <c r="BI1317" s="467" t="str">
        <f t="shared" ca="1" si="754"/>
        <v/>
      </c>
      <c r="BJ1317" s="469" t="str">
        <f t="shared" si="755"/>
        <v/>
      </c>
      <c r="BK1317" s="470" t="str">
        <f t="shared" si="739"/>
        <v/>
      </c>
      <c r="BL1317" s="775" t="str">
        <f t="shared" si="756"/>
        <v/>
      </c>
      <c r="BM1317" s="775" t="str">
        <f t="shared" si="757"/>
        <v/>
      </c>
    </row>
    <row r="1318" spans="1:65">
      <c r="A1318" s="473">
        <v>1262</v>
      </c>
      <c r="B1318" s="132"/>
      <c r="C1318" s="332"/>
      <c r="D1318" s="333"/>
      <c r="E1318" s="333"/>
      <c r="F1318" s="334"/>
      <c r="G1318" s="337"/>
      <c r="H1318" s="131"/>
      <c r="I1318" s="337"/>
      <c r="J1318" s="131"/>
      <c r="K1318" s="458" t="str">
        <f t="shared" si="720"/>
        <v/>
      </c>
      <c r="L1318" s="458">
        <f t="shared" si="721"/>
        <v>0</v>
      </c>
      <c r="M1318" s="458">
        <f t="shared" si="722"/>
        <v>0</v>
      </c>
      <c r="N1318" s="459" t="str">
        <f t="shared" si="733"/>
        <v/>
      </c>
      <c r="O1318" s="459" t="str">
        <f t="shared" si="734"/>
        <v/>
      </c>
      <c r="P1318" s="459" t="str">
        <f t="shared" si="735"/>
        <v/>
      </c>
      <c r="Q1318" s="459" t="str">
        <f t="shared" si="736"/>
        <v/>
      </c>
      <c r="R1318" s="459" t="str">
        <f t="shared" si="737"/>
        <v/>
      </c>
      <c r="S1318" s="459" t="str">
        <f t="shared" si="738"/>
        <v/>
      </c>
      <c r="T1318" s="566" t="str">
        <f t="shared" si="723"/>
        <v/>
      </c>
      <c r="U1318" s="702"/>
      <c r="V1318" s="132"/>
      <c r="W1318" s="133"/>
      <c r="X1318" s="134"/>
      <c r="Y1318" s="135"/>
      <c r="Z1318" s="137"/>
      <c r="AA1318" s="136"/>
      <c r="AB1318" s="566" t="str">
        <f t="shared" si="724"/>
        <v/>
      </c>
      <c r="AC1318" s="568" t="str">
        <f t="shared" si="725"/>
        <v/>
      </c>
      <c r="AD1318" s="137"/>
      <c r="AE1318" s="137"/>
      <c r="AF1318" s="138"/>
      <c r="AG1318" s="138"/>
      <c r="AH1318" s="592" t="str">
        <f t="shared" si="726"/>
        <v/>
      </c>
      <c r="AI1318" s="592" t="str">
        <f t="shared" si="727"/>
        <v/>
      </c>
      <c r="AJ1318" s="592" t="str">
        <f t="shared" si="728"/>
        <v/>
      </c>
      <c r="AK1318" s="460" t="str">
        <f>IF(AU1318="","",IF(OR(AZ1318=8,AZ1318=9),0,IF(OR(AW1318=3,AW1318=4,AW1318=5,AW1318=6),IF(LEFT(BF1318,1)="1",INDEX(係数_NOX・PM低減,MATCH(AY1318,【参考】排出係数!$AI$801:$AI$804,1),1),VLOOKUP(AU1318,INDEX((係数_バス貨物_ガソリン,係数_バス貨物_CNG,係数_バス貨物_軽油,係数_バス貨物_メタノール,係数_バス貨物_LPG),MATCH(AY1318,【参考】排出係数!$AI$4:$AI$671,1),1,BE1318):INDEX((係数_バス貨物_ガソリン,係数_バス貨物_CNG,係数_バス貨物_軽油,係数_バス貨物_メタノール,係数_バス貨物_LPG),MATCH(AY1318+1,【参考】排出係数!$AI$4:$AI$671,1)-1,5,BE1318),4,FALSE)),IF(AND(BE1318=3,LEFT(BF1318,1)="1"),0.48,VLOOKUP(AU1318,INDEX((係数_乗用_ガソリン,係数_乗用_CNG,係数_乗用_軽油,係数_乗用_メタノール,係数_乗用_LPG),1,1,BE1318):INDEX((係数_乗用_ガソリン,係数_乗用_CNG,係数_乗用_軽油,係数_乗用_メタノール,係数_乗用_LPG),125,5,BE1318),4,FALSE)))))</f>
        <v/>
      </c>
      <c r="AL1318" s="461" t="str">
        <f t="shared" si="729"/>
        <v/>
      </c>
      <c r="AM1318" s="460" t="str">
        <f>IF(AU1318="","",IF(OR(AZ1318=8,AZ1318=9),0,IF(OR(AW1318=3,AW1318=4,AW1318=5,AW1318=6),IF(LEFT(BH1318,1)="1",INDEX(係数_PM低減,MATCH(AY1318,【参考】排出係数!$AI$801:$AI$804,1),MATCH(BI1318,【参考】排出係数!$AL$798:$AO$798,1)),VLOOKUP(AU1318,INDEX((係数_バス貨物_ガソリン,係数_バス貨物_CNG,係数_バス貨物_軽油,係数_バス貨物_メタノール,係数_バス貨物_LPG),MATCH(AY1318,【参考】排出係数!$AI$4:$AI$671,1),1,BE1318):INDEX((係数_バス貨物_ガソリン,係数_バス貨物_CNG,係数_バス貨物_軽油,係数_バス貨物_メタノール,係数_バス貨物_LPG),MATCH(AY1318+1,【参考】排出係数!$AI$4:$AI$671,1)-1,5,BE1318),5,FALSE)),IF(AND(BE1318=3,LEFT(BF1318,1)="1"),0.055,VLOOKUP(AU1318,INDEX((係数_乗用_ガソリン,係数_乗用_CNG,係数_乗用_軽油,係数_乗用_メタノール,係数_乗用_LPG),1,1,BE1318):INDEX((係数_乗用_ガソリン,係数_乗用_CNG,係数_乗用_軽油,係数_乗用_メタノール,係数_乗用_LPG),125,5,BE1318),5,FALSE)))))</f>
        <v/>
      </c>
      <c r="AN1318" s="461" t="str">
        <f t="shared" si="730"/>
        <v/>
      </c>
      <c r="AO1318" s="462" t="str">
        <f t="shared" si="731"/>
        <v/>
      </c>
      <c r="AP1318" s="463" t="str">
        <f t="shared" si="732"/>
        <v/>
      </c>
      <c r="AQ1318" s="464"/>
      <c r="AR1318" s="619"/>
      <c r="AS1318" s="465" t="str">
        <f t="shared" si="740"/>
        <v/>
      </c>
      <c r="AT1318" s="465" t="str">
        <f t="shared" si="741"/>
        <v/>
      </c>
      <c r="AU1318" s="466" t="str">
        <f t="shared" si="742"/>
        <v/>
      </c>
      <c r="AV1318" s="467" t="str">
        <f t="shared" si="743"/>
        <v/>
      </c>
      <c r="AW1318" s="467" t="str">
        <f t="shared" si="744"/>
        <v/>
      </c>
      <c r="AX1318" s="467" t="str">
        <f t="shared" si="745"/>
        <v/>
      </c>
      <c r="AY1318" s="467" t="str">
        <f t="shared" si="746"/>
        <v/>
      </c>
      <c r="AZ1318" s="467" t="str">
        <f t="shared" si="747"/>
        <v/>
      </c>
      <c r="BA1318" s="468" t="str">
        <f>IF(AS1318="","",IF(OR(AU1318="",AU1318="-"),"－",IF(OR(AZ1318=8,AZ1318=9),"",IF(OR(AW1318=3,AW1318=4,AW1318=5,AW1318=6),VLOOKUP(AU1318,INDEX((係数_バス貨物_ガソリン,係数_バス貨物_CNG,係数_バス貨物_軽油,係数_バス貨物_メタノール,係数_バス貨物_LPG),MATCH(AY1318,【参考】排出係数!$AI$4:$AI$671,1),1,BE1318):INDEX((係数_バス貨物_ガソリン,係数_バス貨物_CNG,係数_バス貨物_軽油,係数_バス貨物_メタノール,係数_バス貨物_LPG),MATCH(AY1318+1,【参考】排出係数!$AI$4:$AI$671,1)-1,5,BE1318),2,FALSE),IF(OR(AW1318=1,AW1318=2),VLOOKUP(AU1318,INDEX((係数_乗用_ガソリン,係数_乗用_CNG,係数_乗用_軽油,係数_乗用_メタノール,係数_乗用_LPG),1,1,BE1318):INDEX((係数_乗用_ガソリン,係数_乗用_CNG,係数_乗用_軽油,係数_乗用_メタノール,係数_乗用_LPG),125,5,BE1318),2,FALSE))))))</f>
        <v/>
      </c>
      <c r="BB1318" s="468" t="str">
        <f>IF(T1318="","",IF(OR(AU1318="",AU1318="-"),"－",IF(OR(AZ1318=8,AZ1318=9),"",IF(OR(AW1318=3,AW1318=4,AW1318=5,AW1318=6),VLOOKUP(AU1318,INDEX((係数_バス貨物_ガソリン,係数_バス貨物_CNG,係数_バス貨物_軽油,係数_バス貨物_メタノール,係数_バス貨物_LPG),MATCH(AY1318,【参考】排出係数!$AI$4:$AI$671,1),1,BE1318):INDEX((係数_バス貨物_ガソリン,係数_バス貨物_CNG,係数_バス貨物_軽油,係数_バス貨物_メタノール,係数_バス貨物_LPG),MATCH(AY1318+1,【参考】排出係数!$AI$4:$AI$671,1)-1,5,BE1318),3,FALSE),IF(OR(AW1318=1,AW1318=2),VLOOKUP(AU1318,INDEX((係数_乗用_ガソリン,係数_乗用_CNG,係数_乗用_軽油,係数_乗用_メタノール,係数_乗用_LPG),1,1,BE1318):INDEX((係数_乗用_ガソリン,係数_乗用_CNG,係数_乗用_軽油,係数_乗用_メタノール,係数_乗用_LPG),125,5,BE1318),3,FALSE))))))</f>
        <v/>
      </c>
      <c r="BC1318" s="467" t="str">
        <f t="shared" si="748"/>
        <v/>
      </c>
      <c r="BD1318" s="567" t="str">
        <f t="shared" si="749"/>
        <v/>
      </c>
      <c r="BE1318" s="467" t="str">
        <f t="shared" si="750"/>
        <v/>
      </c>
      <c r="BF1318" s="469" t="str">
        <f t="shared" ca="1" si="751"/>
        <v/>
      </c>
      <c r="BG1318" s="469" t="str">
        <f t="shared" ca="1" si="752"/>
        <v/>
      </c>
      <c r="BH1318" s="467" t="str">
        <f t="shared" si="753"/>
        <v/>
      </c>
      <c r="BI1318" s="467" t="str">
        <f t="shared" ca="1" si="754"/>
        <v/>
      </c>
      <c r="BJ1318" s="469" t="str">
        <f t="shared" si="755"/>
        <v/>
      </c>
      <c r="BK1318" s="470" t="str">
        <f t="shared" si="739"/>
        <v/>
      </c>
      <c r="BL1318" s="775" t="str">
        <f t="shared" si="756"/>
        <v/>
      </c>
      <c r="BM1318" s="775" t="str">
        <f t="shared" si="757"/>
        <v/>
      </c>
    </row>
    <row r="1319" spans="1:65">
      <c r="A1319" s="473">
        <v>1263</v>
      </c>
      <c r="B1319" s="132"/>
      <c r="C1319" s="332"/>
      <c r="D1319" s="333"/>
      <c r="E1319" s="333"/>
      <c r="F1319" s="334"/>
      <c r="G1319" s="337"/>
      <c r="H1319" s="131"/>
      <c r="I1319" s="337"/>
      <c r="J1319" s="131"/>
      <c r="K1319" s="458" t="str">
        <f t="shared" si="720"/>
        <v/>
      </c>
      <c r="L1319" s="458">
        <f t="shared" si="721"/>
        <v>0</v>
      </c>
      <c r="M1319" s="458">
        <f t="shared" si="722"/>
        <v>0</v>
      </c>
      <c r="N1319" s="459" t="str">
        <f t="shared" si="733"/>
        <v/>
      </c>
      <c r="O1319" s="459" t="str">
        <f t="shared" si="734"/>
        <v/>
      </c>
      <c r="P1319" s="459" t="str">
        <f t="shared" si="735"/>
        <v/>
      </c>
      <c r="Q1319" s="459" t="str">
        <f t="shared" si="736"/>
        <v/>
      </c>
      <c r="R1319" s="459" t="str">
        <f t="shared" si="737"/>
        <v/>
      </c>
      <c r="S1319" s="459" t="str">
        <f t="shared" si="738"/>
        <v/>
      </c>
      <c r="T1319" s="566" t="str">
        <f t="shared" si="723"/>
        <v/>
      </c>
      <c r="U1319" s="702"/>
      <c r="V1319" s="132"/>
      <c r="W1319" s="133"/>
      <c r="X1319" s="134"/>
      <c r="Y1319" s="135"/>
      <c r="Z1319" s="137"/>
      <c r="AA1319" s="136"/>
      <c r="AB1319" s="566" t="str">
        <f t="shared" si="724"/>
        <v/>
      </c>
      <c r="AC1319" s="568" t="str">
        <f t="shared" si="725"/>
        <v/>
      </c>
      <c r="AD1319" s="137"/>
      <c r="AE1319" s="137"/>
      <c r="AF1319" s="138"/>
      <c r="AG1319" s="138"/>
      <c r="AH1319" s="592" t="str">
        <f t="shared" si="726"/>
        <v/>
      </c>
      <c r="AI1319" s="592" t="str">
        <f t="shared" si="727"/>
        <v/>
      </c>
      <c r="AJ1319" s="592" t="str">
        <f t="shared" si="728"/>
        <v/>
      </c>
      <c r="AK1319" s="460" t="str">
        <f>IF(AU1319="","",IF(OR(AZ1319=8,AZ1319=9),0,IF(OR(AW1319=3,AW1319=4,AW1319=5,AW1319=6),IF(LEFT(BF1319,1)="1",INDEX(係数_NOX・PM低減,MATCH(AY1319,【参考】排出係数!$AI$801:$AI$804,1),1),VLOOKUP(AU1319,INDEX((係数_バス貨物_ガソリン,係数_バス貨物_CNG,係数_バス貨物_軽油,係数_バス貨物_メタノール,係数_バス貨物_LPG),MATCH(AY1319,【参考】排出係数!$AI$4:$AI$671,1),1,BE1319):INDEX((係数_バス貨物_ガソリン,係数_バス貨物_CNG,係数_バス貨物_軽油,係数_バス貨物_メタノール,係数_バス貨物_LPG),MATCH(AY1319+1,【参考】排出係数!$AI$4:$AI$671,1)-1,5,BE1319),4,FALSE)),IF(AND(BE1319=3,LEFT(BF1319,1)="1"),0.48,VLOOKUP(AU1319,INDEX((係数_乗用_ガソリン,係数_乗用_CNG,係数_乗用_軽油,係数_乗用_メタノール,係数_乗用_LPG),1,1,BE1319):INDEX((係数_乗用_ガソリン,係数_乗用_CNG,係数_乗用_軽油,係数_乗用_メタノール,係数_乗用_LPG),125,5,BE1319),4,FALSE)))))</f>
        <v/>
      </c>
      <c r="AL1319" s="461" t="str">
        <f t="shared" si="729"/>
        <v/>
      </c>
      <c r="AM1319" s="460" t="str">
        <f>IF(AU1319="","",IF(OR(AZ1319=8,AZ1319=9),0,IF(OR(AW1319=3,AW1319=4,AW1319=5,AW1319=6),IF(LEFT(BH1319,1)="1",INDEX(係数_PM低減,MATCH(AY1319,【参考】排出係数!$AI$801:$AI$804,1),MATCH(BI1319,【参考】排出係数!$AL$798:$AO$798,1)),VLOOKUP(AU1319,INDEX((係数_バス貨物_ガソリン,係数_バス貨物_CNG,係数_バス貨物_軽油,係数_バス貨物_メタノール,係数_バス貨物_LPG),MATCH(AY1319,【参考】排出係数!$AI$4:$AI$671,1),1,BE1319):INDEX((係数_バス貨物_ガソリン,係数_バス貨物_CNG,係数_バス貨物_軽油,係数_バス貨物_メタノール,係数_バス貨物_LPG),MATCH(AY1319+1,【参考】排出係数!$AI$4:$AI$671,1)-1,5,BE1319),5,FALSE)),IF(AND(BE1319=3,LEFT(BF1319,1)="1"),0.055,VLOOKUP(AU1319,INDEX((係数_乗用_ガソリン,係数_乗用_CNG,係数_乗用_軽油,係数_乗用_メタノール,係数_乗用_LPG),1,1,BE1319):INDEX((係数_乗用_ガソリン,係数_乗用_CNG,係数_乗用_軽油,係数_乗用_メタノール,係数_乗用_LPG),125,5,BE1319),5,FALSE)))))</f>
        <v/>
      </c>
      <c r="AN1319" s="461" t="str">
        <f t="shared" si="730"/>
        <v/>
      </c>
      <c r="AO1319" s="462" t="str">
        <f t="shared" si="731"/>
        <v/>
      </c>
      <c r="AP1319" s="463" t="str">
        <f t="shared" si="732"/>
        <v/>
      </c>
      <c r="AQ1319" s="464"/>
      <c r="AR1319" s="619"/>
      <c r="AS1319" s="465" t="str">
        <f t="shared" si="740"/>
        <v/>
      </c>
      <c r="AT1319" s="465" t="str">
        <f t="shared" si="741"/>
        <v/>
      </c>
      <c r="AU1319" s="466" t="str">
        <f t="shared" si="742"/>
        <v/>
      </c>
      <c r="AV1319" s="467" t="str">
        <f t="shared" si="743"/>
        <v/>
      </c>
      <c r="AW1319" s="467" t="str">
        <f t="shared" si="744"/>
        <v/>
      </c>
      <c r="AX1319" s="467" t="str">
        <f t="shared" si="745"/>
        <v/>
      </c>
      <c r="AY1319" s="467" t="str">
        <f t="shared" si="746"/>
        <v/>
      </c>
      <c r="AZ1319" s="467" t="str">
        <f t="shared" si="747"/>
        <v/>
      </c>
      <c r="BA1319" s="468" t="str">
        <f>IF(AS1319="","",IF(OR(AU1319="",AU1319="-"),"－",IF(OR(AZ1319=8,AZ1319=9),"",IF(OR(AW1319=3,AW1319=4,AW1319=5,AW1319=6),VLOOKUP(AU1319,INDEX((係数_バス貨物_ガソリン,係数_バス貨物_CNG,係数_バス貨物_軽油,係数_バス貨物_メタノール,係数_バス貨物_LPG),MATCH(AY1319,【参考】排出係数!$AI$4:$AI$671,1),1,BE1319):INDEX((係数_バス貨物_ガソリン,係数_バス貨物_CNG,係数_バス貨物_軽油,係数_バス貨物_メタノール,係数_バス貨物_LPG),MATCH(AY1319+1,【参考】排出係数!$AI$4:$AI$671,1)-1,5,BE1319),2,FALSE),IF(OR(AW1319=1,AW1319=2),VLOOKUP(AU1319,INDEX((係数_乗用_ガソリン,係数_乗用_CNG,係数_乗用_軽油,係数_乗用_メタノール,係数_乗用_LPG),1,1,BE1319):INDEX((係数_乗用_ガソリン,係数_乗用_CNG,係数_乗用_軽油,係数_乗用_メタノール,係数_乗用_LPG),125,5,BE1319),2,FALSE))))))</f>
        <v/>
      </c>
      <c r="BB1319" s="468" t="str">
        <f>IF(T1319="","",IF(OR(AU1319="",AU1319="-"),"－",IF(OR(AZ1319=8,AZ1319=9),"",IF(OR(AW1319=3,AW1319=4,AW1319=5,AW1319=6),VLOOKUP(AU1319,INDEX((係数_バス貨物_ガソリン,係数_バス貨物_CNG,係数_バス貨物_軽油,係数_バス貨物_メタノール,係数_バス貨物_LPG),MATCH(AY1319,【参考】排出係数!$AI$4:$AI$671,1),1,BE1319):INDEX((係数_バス貨物_ガソリン,係数_バス貨物_CNG,係数_バス貨物_軽油,係数_バス貨物_メタノール,係数_バス貨物_LPG),MATCH(AY1319+1,【参考】排出係数!$AI$4:$AI$671,1)-1,5,BE1319),3,FALSE),IF(OR(AW1319=1,AW1319=2),VLOOKUP(AU1319,INDEX((係数_乗用_ガソリン,係数_乗用_CNG,係数_乗用_軽油,係数_乗用_メタノール,係数_乗用_LPG),1,1,BE1319):INDEX((係数_乗用_ガソリン,係数_乗用_CNG,係数_乗用_軽油,係数_乗用_メタノール,係数_乗用_LPG),125,5,BE1319),3,FALSE))))))</f>
        <v/>
      </c>
      <c r="BC1319" s="467" t="str">
        <f t="shared" si="748"/>
        <v/>
      </c>
      <c r="BD1319" s="567" t="str">
        <f t="shared" si="749"/>
        <v/>
      </c>
      <c r="BE1319" s="467" t="str">
        <f t="shared" si="750"/>
        <v/>
      </c>
      <c r="BF1319" s="469" t="str">
        <f t="shared" ca="1" si="751"/>
        <v/>
      </c>
      <c r="BG1319" s="469" t="str">
        <f t="shared" ca="1" si="752"/>
        <v/>
      </c>
      <c r="BH1319" s="467" t="str">
        <f t="shared" si="753"/>
        <v/>
      </c>
      <c r="BI1319" s="467" t="str">
        <f t="shared" ca="1" si="754"/>
        <v/>
      </c>
      <c r="BJ1319" s="469" t="str">
        <f t="shared" si="755"/>
        <v/>
      </c>
      <c r="BK1319" s="470" t="str">
        <f t="shared" si="739"/>
        <v/>
      </c>
      <c r="BL1319" s="775" t="str">
        <f t="shared" si="756"/>
        <v/>
      </c>
      <c r="BM1319" s="775" t="str">
        <f t="shared" si="757"/>
        <v/>
      </c>
    </row>
    <row r="1320" spans="1:65">
      <c r="A1320" s="473">
        <v>1264</v>
      </c>
      <c r="B1320" s="132"/>
      <c r="C1320" s="332"/>
      <c r="D1320" s="333"/>
      <c r="E1320" s="333"/>
      <c r="F1320" s="334"/>
      <c r="G1320" s="337"/>
      <c r="H1320" s="131"/>
      <c r="I1320" s="337"/>
      <c r="J1320" s="131"/>
      <c r="K1320" s="458" t="str">
        <f t="shared" si="720"/>
        <v/>
      </c>
      <c r="L1320" s="458">
        <f t="shared" si="721"/>
        <v>0</v>
      </c>
      <c r="M1320" s="458">
        <f t="shared" si="722"/>
        <v>0</v>
      </c>
      <c r="N1320" s="459" t="str">
        <f t="shared" si="733"/>
        <v/>
      </c>
      <c r="O1320" s="459" t="str">
        <f t="shared" si="734"/>
        <v/>
      </c>
      <c r="P1320" s="459" t="str">
        <f t="shared" si="735"/>
        <v/>
      </c>
      <c r="Q1320" s="459" t="str">
        <f t="shared" si="736"/>
        <v/>
      </c>
      <c r="R1320" s="459" t="str">
        <f t="shared" si="737"/>
        <v/>
      </c>
      <c r="S1320" s="459" t="str">
        <f t="shared" si="738"/>
        <v/>
      </c>
      <c r="T1320" s="566" t="str">
        <f t="shared" si="723"/>
        <v/>
      </c>
      <c r="U1320" s="702"/>
      <c r="V1320" s="132"/>
      <c r="W1320" s="133"/>
      <c r="X1320" s="134"/>
      <c r="Y1320" s="135"/>
      <c r="Z1320" s="137"/>
      <c r="AA1320" s="136"/>
      <c r="AB1320" s="566" t="str">
        <f t="shared" si="724"/>
        <v/>
      </c>
      <c r="AC1320" s="568" t="str">
        <f t="shared" si="725"/>
        <v/>
      </c>
      <c r="AD1320" s="137"/>
      <c r="AE1320" s="137"/>
      <c r="AF1320" s="138"/>
      <c r="AG1320" s="138"/>
      <c r="AH1320" s="592" t="str">
        <f t="shared" si="726"/>
        <v/>
      </c>
      <c r="AI1320" s="592" t="str">
        <f t="shared" si="727"/>
        <v/>
      </c>
      <c r="AJ1320" s="592" t="str">
        <f t="shared" si="728"/>
        <v/>
      </c>
      <c r="AK1320" s="460" t="str">
        <f>IF(AU1320="","",IF(OR(AZ1320=8,AZ1320=9),0,IF(OR(AW1320=3,AW1320=4,AW1320=5,AW1320=6),IF(LEFT(BF1320,1)="1",INDEX(係数_NOX・PM低減,MATCH(AY1320,【参考】排出係数!$AI$801:$AI$804,1),1),VLOOKUP(AU1320,INDEX((係数_バス貨物_ガソリン,係数_バス貨物_CNG,係数_バス貨物_軽油,係数_バス貨物_メタノール,係数_バス貨物_LPG),MATCH(AY1320,【参考】排出係数!$AI$4:$AI$671,1),1,BE1320):INDEX((係数_バス貨物_ガソリン,係数_バス貨物_CNG,係数_バス貨物_軽油,係数_バス貨物_メタノール,係数_バス貨物_LPG),MATCH(AY1320+1,【参考】排出係数!$AI$4:$AI$671,1)-1,5,BE1320),4,FALSE)),IF(AND(BE1320=3,LEFT(BF1320,1)="1"),0.48,VLOOKUP(AU1320,INDEX((係数_乗用_ガソリン,係数_乗用_CNG,係数_乗用_軽油,係数_乗用_メタノール,係数_乗用_LPG),1,1,BE1320):INDEX((係数_乗用_ガソリン,係数_乗用_CNG,係数_乗用_軽油,係数_乗用_メタノール,係数_乗用_LPG),125,5,BE1320),4,FALSE)))))</f>
        <v/>
      </c>
      <c r="AL1320" s="461" t="str">
        <f t="shared" si="729"/>
        <v/>
      </c>
      <c r="AM1320" s="460" t="str">
        <f>IF(AU1320="","",IF(OR(AZ1320=8,AZ1320=9),0,IF(OR(AW1320=3,AW1320=4,AW1320=5,AW1320=6),IF(LEFT(BH1320,1)="1",INDEX(係数_PM低減,MATCH(AY1320,【参考】排出係数!$AI$801:$AI$804,1),MATCH(BI1320,【参考】排出係数!$AL$798:$AO$798,1)),VLOOKUP(AU1320,INDEX((係数_バス貨物_ガソリン,係数_バス貨物_CNG,係数_バス貨物_軽油,係数_バス貨物_メタノール,係数_バス貨物_LPG),MATCH(AY1320,【参考】排出係数!$AI$4:$AI$671,1),1,BE1320):INDEX((係数_バス貨物_ガソリン,係数_バス貨物_CNG,係数_バス貨物_軽油,係数_バス貨物_メタノール,係数_バス貨物_LPG),MATCH(AY1320+1,【参考】排出係数!$AI$4:$AI$671,1)-1,5,BE1320),5,FALSE)),IF(AND(BE1320=3,LEFT(BF1320,1)="1"),0.055,VLOOKUP(AU1320,INDEX((係数_乗用_ガソリン,係数_乗用_CNG,係数_乗用_軽油,係数_乗用_メタノール,係数_乗用_LPG),1,1,BE1320):INDEX((係数_乗用_ガソリン,係数_乗用_CNG,係数_乗用_軽油,係数_乗用_メタノール,係数_乗用_LPG),125,5,BE1320),5,FALSE)))))</f>
        <v/>
      </c>
      <c r="AN1320" s="461" t="str">
        <f t="shared" si="730"/>
        <v/>
      </c>
      <c r="AO1320" s="462" t="str">
        <f t="shared" si="731"/>
        <v/>
      </c>
      <c r="AP1320" s="463" t="str">
        <f t="shared" si="732"/>
        <v/>
      </c>
      <c r="AQ1320" s="464"/>
      <c r="AR1320" s="619"/>
      <c r="AS1320" s="465" t="str">
        <f t="shared" si="740"/>
        <v/>
      </c>
      <c r="AT1320" s="465" t="str">
        <f t="shared" si="741"/>
        <v/>
      </c>
      <c r="AU1320" s="466" t="str">
        <f t="shared" si="742"/>
        <v/>
      </c>
      <c r="AV1320" s="467" t="str">
        <f t="shared" si="743"/>
        <v/>
      </c>
      <c r="AW1320" s="467" t="str">
        <f t="shared" si="744"/>
        <v/>
      </c>
      <c r="AX1320" s="467" t="str">
        <f t="shared" si="745"/>
        <v/>
      </c>
      <c r="AY1320" s="467" t="str">
        <f t="shared" si="746"/>
        <v/>
      </c>
      <c r="AZ1320" s="467" t="str">
        <f t="shared" si="747"/>
        <v/>
      </c>
      <c r="BA1320" s="468" t="str">
        <f>IF(AS1320="","",IF(OR(AU1320="",AU1320="-"),"－",IF(OR(AZ1320=8,AZ1320=9),"",IF(OR(AW1320=3,AW1320=4,AW1320=5,AW1320=6),VLOOKUP(AU1320,INDEX((係数_バス貨物_ガソリン,係数_バス貨物_CNG,係数_バス貨物_軽油,係数_バス貨物_メタノール,係数_バス貨物_LPG),MATCH(AY1320,【参考】排出係数!$AI$4:$AI$671,1),1,BE1320):INDEX((係数_バス貨物_ガソリン,係数_バス貨物_CNG,係数_バス貨物_軽油,係数_バス貨物_メタノール,係数_バス貨物_LPG),MATCH(AY1320+1,【参考】排出係数!$AI$4:$AI$671,1)-1,5,BE1320),2,FALSE),IF(OR(AW1320=1,AW1320=2),VLOOKUP(AU1320,INDEX((係数_乗用_ガソリン,係数_乗用_CNG,係数_乗用_軽油,係数_乗用_メタノール,係数_乗用_LPG),1,1,BE1320):INDEX((係数_乗用_ガソリン,係数_乗用_CNG,係数_乗用_軽油,係数_乗用_メタノール,係数_乗用_LPG),125,5,BE1320),2,FALSE))))))</f>
        <v/>
      </c>
      <c r="BB1320" s="468" t="str">
        <f>IF(T1320="","",IF(OR(AU1320="",AU1320="-"),"－",IF(OR(AZ1320=8,AZ1320=9),"",IF(OR(AW1320=3,AW1320=4,AW1320=5,AW1320=6),VLOOKUP(AU1320,INDEX((係数_バス貨物_ガソリン,係数_バス貨物_CNG,係数_バス貨物_軽油,係数_バス貨物_メタノール,係数_バス貨物_LPG),MATCH(AY1320,【参考】排出係数!$AI$4:$AI$671,1),1,BE1320):INDEX((係数_バス貨物_ガソリン,係数_バス貨物_CNG,係数_バス貨物_軽油,係数_バス貨物_メタノール,係数_バス貨物_LPG),MATCH(AY1320+1,【参考】排出係数!$AI$4:$AI$671,1)-1,5,BE1320),3,FALSE),IF(OR(AW1320=1,AW1320=2),VLOOKUP(AU1320,INDEX((係数_乗用_ガソリン,係数_乗用_CNG,係数_乗用_軽油,係数_乗用_メタノール,係数_乗用_LPG),1,1,BE1320):INDEX((係数_乗用_ガソリン,係数_乗用_CNG,係数_乗用_軽油,係数_乗用_メタノール,係数_乗用_LPG),125,5,BE1320),3,FALSE))))))</f>
        <v/>
      </c>
      <c r="BC1320" s="467" t="str">
        <f t="shared" si="748"/>
        <v/>
      </c>
      <c r="BD1320" s="567" t="str">
        <f t="shared" si="749"/>
        <v/>
      </c>
      <c r="BE1320" s="467" t="str">
        <f t="shared" si="750"/>
        <v/>
      </c>
      <c r="BF1320" s="469" t="str">
        <f t="shared" ca="1" si="751"/>
        <v/>
      </c>
      <c r="BG1320" s="469" t="str">
        <f t="shared" ca="1" si="752"/>
        <v/>
      </c>
      <c r="BH1320" s="467" t="str">
        <f t="shared" si="753"/>
        <v/>
      </c>
      <c r="BI1320" s="467" t="str">
        <f t="shared" ca="1" si="754"/>
        <v/>
      </c>
      <c r="BJ1320" s="469" t="str">
        <f t="shared" si="755"/>
        <v/>
      </c>
      <c r="BK1320" s="470" t="str">
        <f t="shared" si="739"/>
        <v/>
      </c>
      <c r="BL1320" s="775" t="str">
        <f t="shared" si="756"/>
        <v/>
      </c>
      <c r="BM1320" s="775" t="str">
        <f t="shared" si="757"/>
        <v/>
      </c>
    </row>
    <row r="1321" spans="1:65">
      <c r="A1321" s="473">
        <v>1265</v>
      </c>
      <c r="B1321" s="132"/>
      <c r="C1321" s="332"/>
      <c r="D1321" s="333"/>
      <c r="E1321" s="333"/>
      <c r="F1321" s="334"/>
      <c r="G1321" s="337"/>
      <c r="H1321" s="131"/>
      <c r="I1321" s="337"/>
      <c r="J1321" s="131"/>
      <c r="K1321" s="458" t="str">
        <f t="shared" si="720"/>
        <v/>
      </c>
      <c r="L1321" s="458">
        <f t="shared" si="721"/>
        <v>0</v>
      </c>
      <c r="M1321" s="458">
        <f t="shared" si="722"/>
        <v>0</v>
      </c>
      <c r="N1321" s="459" t="str">
        <f t="shared" si="733"/>
        <v/>
      </c>
      <c r="O1321" s="459" t="str">
        <f t="shared" si="734"/>
        <v/>
      </c>
      <c r="P1321" s="459" t="str">
        <f t="shared" si="735"/>
        <v/>
      </c>
      <c r="Q1321" s="459" t="str">
        <f t="shared" si="736"/>
        <v/>
      </c>
      <c r="R1321" s="459" t="str">
        <f t="shared" si="737"/>
        <v/>
      </c>
      <c r="S1321" s="459" t="str">
        <f t="shared" si="738"/>
        <v/>
      </c>
      <c r="T1321" s="566" t="str">
        <f t="shared" si="723"/>
        <v/>
      </c>
      <c r="U1321" s="702"/>
      <c r="V1321" s="132"/>
      <c r="W1321" s="133"/>
      <c r="X1321" s="134"/>
      <c r="Y1321" s="135"/>
      <c r="Z1321" s="137"/>
      <c r="AA1321" s="136"/>
      <c r="AB1321" s="566" t="str">
        <f t="shared" si="724"/>
        <v/>
      </c>
      <c r="AC1321" s="568" t="str">
        <f t="shared" si="725"/>
        <v/>
      </c>
      <c r="AD1321" s="137"/>
      <c r="AE1321" s="137"/>
      <c r="AF1321" s="138"/>
      <c r="AG1321" s="138"/>
      <c r="AH1321" s="592" t="str">
        <f t="shared" si="726"/>
        <v/>
      </c>
      <c r="AI1321" s="592" t="str">
        <f t="shared" si="727"/>
        <v/>
      </c>
      <c r="AJ1321" s="592" t="str">
        <f t="shared" si="728"/>
        <v/>
      </c>
      <c r="AK1321" s="460" t="str">
        <f>IF(AU1321="","",IF(OR(AZ1321=8,AZ1321=9),0,IF(OR(AW1321=3,AW1321=4,AW1321=5,AW1321=6),IF(LEFT(BF1321,1)="1",INDEX(係数_NOX・PM低減,MATCH(AY1321,【参考】排出係数!$AI$801:$AI$804,1),1),VLOOKUP(AU1321,INDEX((係数_バス貨物_ガソリン,係数_バス貨物_CNG,係数_バス貨物_軽油,係数_バス貨物_メタノール,係数_バス貨物_LPG),MATCH(AY1321,【参考】排出係数!$AI$4:$AI$671,1),1,BE1321):INDEX((係数_バス貨物_ガソリン,係数_バス貨物_CNG,係数_バス貨物_軽油,係数_バス貨物_メタノール,係数_バス貨物_LPG),MATCH(AY1321+1,【参考】排出係数!$AI$4:$AI$671,1)-1,5,BE1321),4,FALSE)),IF(AND(BE1321=3,LEFT(BF1321,1)="1"),0.48,VLOOKUP(AU1321,INDEX((係数_乗用_ガソリン,係数_乗用_CNG,係数_乗用_軽油,係数_乗用_メタノール,係数_乗用_LPG),1,1,BE1321):INDEX((係数_乗用_ガソリン,係数_乗用_CNG,係数_乗用_軽油,係数_乗用_メタノール,係数_乗用_LPG),125,5,BE1321),4,FALSE)))))</f>
        <v/>
      </c>
      <c r="AL1321" s="461" t="str">
        <f t="shared" si="729"/>
        <v/>
      </c>
      <c r="AM1321" s="460" t="str">
        <f>IF(AU1321="","",IF(OR(AZ1321=8,AZ1321=9),0,IF(OR(AW1321=3,AW1321=4,AW1321=5,AW1321=6),IF(LEFT(BH1321,1)="1",INDEX(係数_PM低減,MATCH(AY1321,【参考】排出係数!$AI$801:$AI$804,1),MATCH(BI1321,【参考】排出係数!$AL$798:$AO$798,1)),VLOOKUP(AU1321,INDEX((係数_バス貨物_ガソリン,係数_バス貨物_CNG,係数_バス貨物_軽油,係数_バス貨物_メタノール,係数_バス貨物_LPG),MATCH(AY1321,【参考】排出係数!$AI$4:$AI$671,1),1,BE1321):INDEX((係数_バス貨物_ガソリン,係数_バス貨物_CNG,係数_バス貨物_軽油,係数_バス貨物_メタノール,係数_バス貨物_LPG),MATCH(AY1321+1,【参考】排出係数!$AI$4:$AI$671,1)-1,5,BE1321),5,FALSE)),IF(AND(BE1321=3,LEFT(BF1321,1)="1"),0.055,VLOOKUP(AU1321,INDEX((係数_乗用_ガソリン,係数_乗用_CNG,係数_乗用_軽油,係数_乗用_メタノール,係数_乗用_LPG),1,1,BE1321):INDEX((係数_乗用_ガソリン,係数_乗用_CNG,係数_乗用_軽油,係数_乗用_メタノール,係数_乗用_LPG),125,5,BE1321),5,FALSE)))))</f>
        <v/>
      </c>
      <c r="AN1321" s="461" t="str">
        <f t="shared" si="730"/>
        <v/>
      </c>
      <c r="AO1321" s="462" t="str">
        <f t="shared" si="731"/>
        <v/>
      </c>
      <c r="AP1321" s="463" t="str">
        <f t="shared" si="732"/>
        <v/>
      </c>
      <c r="AQ1321" s="464"/>
      <c r="AR1321" s="619"/>
      <c r="AS1321" s="465" t="str">
        <f t="shared" si="740"/>
        <v/>
      </c>
      <c r="AT1321" s="465" t="str">
        <f t="shared" si="741"/>
        <v/>
      </c>
      <c r="AU1321" s="466" t="str">
        <f t="shared" si="742"/>
        <v/>
      </c>
      <c r="AV1321" s="467" t="str">
        <f t="shared" si="743"/>
        <v/>
      </c>
      <c r="AW1321" s="467" t="str">
        <f t="shared" si="744"/>
        <v/>
      </c>
      <c r="AX1321" s="467" t="str">
        <f t="shared" si="745"/>
        <v/>
      </c>
      <c r="AY1321" s="467" t="str">
        <f t="shared" si="746"/>
        <v/>
      </c>
      <c r="AZ1321" s="467" t="str">
        <f t="shared" si="747"/>
        <v/>
      </c>
      <c r="BA1321" s="468" t="str">
        <f>IF(AS1321="","",IF(OR(AU1321="",AU1321="-"),"－",IF(OR(AZ1321=8,AZ1321=9),"",IF(OR(AW1321=3,AW1321=4,AW1321=5,AW1321=6),VLOOKUP(AU1321,INDEX((係数_バス貨物_ガソリン,係数_バス貨物_CNG,係数_バス貨物_軽油,係数_バス貨物_メタノール,係数_バス貨物_LPG),MATCH(AY1321,【参考】排出係数!$AI$4:$AI$671,1),1,BE1321):INDEX((係数_バス貨物_ガソリン,係数_バス貨物_CNG,係数_バス貨物_軽油,係数_バス貨物_メタノール,係数_バス貨物_LPG),MATCH(AY1321+1,【参考】排出係数!$AI$4:$AI$671,1)-1,5,BE1321),2,FALSE),IF(OR(AW1321=1,AW1321=2),VLOOKUP(AU1321,INDEX((係数_乗用_ガソリン,係数_乗用_CNG,係数_乗用_軽油,係数_乗用_メタノール,係数_乗用_LPG),1,1,BE1321):INDEX((係数_乗用_ガソリン,係数_乗用_CNG,係数_乗用_軽油,係数_乗用_メタノール,係数_乗用_LPG),125,5,BE1321),2,FALSE))))))</f>
        <v/>
      </c>
      <c r="BB1321" s="468" t="str">
        <f>IF(T1321="","",IF(OR(AU1321="",AU1321="-"),"－",IF(OR(AZ1321=8,AZ1321=9),"",IF(OR(AW1321=3,AW1321=4,AW1321=5,AW1321=6),VLOOKUP(AU1321,INDEX((係数_バス貨物_ガソリン,係数_バス貨物_CNG,係数_バス貨物_軽油,係数_バス貨物_メタノール,係数_バス貨物_LPG),MATCH(AY1321,【参考】排出係数!$AI$4:$AI$671,1),1,BE1321):INDEX((係数_バス貨物_ガソリン,係数_バス貨物_CNG,係数_バス貨物_軽油,係数_バス貨物_メタノール,係数_バス貨物_LPG),MATCH(AY1321+1,【参考】排出係数!$AI$4:$AI$671,1)-1,5,BE1321),3,FALSE),IF(OR(AW1321=1,AW1321=2),VLOOKUP(AU1321,INDEX((係数_乗用_ガソリン,係数_乗用_CNG,係数_乗用_軽油,係数_乗用_メタノール,係数_乗用_LPG),1,1,BE1321):INDEX((係数_乗用_ガソリン,係数_乗用_CNG,係数_乗用_軽油,係数_乗用_メタノール,係数_乗用_LPG),125,5,BE1321),3,FALSE))))))</f>
        <v/>
      </c>
      <c r="BC1321" s="467" t="str">
        <f t="shared" si="748"/>
        <v/>
      </c>
      <c r="BD1321" s="567" t="str">
        <f t="shared" si="749"/>
        <v/>
      </c>
      <c r="BE1321" s="467" t="str">
        <f t="shared" si="750"/>
        <v/>
      </c>
      <c r="BF1321" s="469" t="str">
        <f t="shared" ca="1" si="751"/>
        <v/>
      </c>
      <c r="BG1321" s="469" t="str">
        <f t="shared" ca="1" si="752"/>
        <v/>
      </c>
      <c r="BH1321" s="467" t="str">
        <f t="shared" si="753"/>
        <v/>
      </c>
      <c r="BI1321" s="467" t="str">
        <f t="shared" ca="1" si="754"/>
        <v/>
      </c>
      <c r="BJ1321" s="469" t="str">
        <f t="shared" si="755"/>
        <v/>
      </c>
      <c r="BK1321" s="470" t="str">
        <f t="shared" si="739"/>
        <v/>
      </c>
      <c r="BL1321" s="775" t="str">
        <f t="shared" si="756"/>
        <v/>
      </c>
      <c r="BM1321" s="775" t="str">
        <f t="shared" si="757"/>
        <v/>
      </c>
    </row>
    <row r="1322" spans="1:65">
      <c r="A1322" s="473">
        <v>1266</v>
      </c>
      <c r="B1322" s="132"/>
      <c r="C1322" s="332"/>
      <c r="D1322" s="333"/>
      <c r="E1322" s="333"/>
      <c r="F1322" s="334"/>
      <c r="G1322" s="337"/>
      <c r="H1322" s="131"/>
      <c r="I1322" s="337"/>
      <c r="J1322" s="131"/>
      <c r="K1322" s="458" t="str">
        <f t="shared" si="720"/>
        <v/>
      </c>
      <c r="L1322" s="458">
        <f t="shared" si="721"/>
        <v>0</v>
      </c>
      <c r="M1322" s="458">
        <f t="shared" si="722"/>
        <v>0</v>
      </c>
      <c r="N1322" s="459" t="str">
        <f t="shared" si="733"/>
        <v/>
      </c>
      <c r="O1322" s="459" t="str">
        <f t="shared" si="734"/>
        <v/>
      </c>
      <c r="P1322" s="459" t="str">
        <f t="shared" si="735"/>
        <v/>
      </c>
      <c r="Q1322" s="459" t="str">
        <f t="shared" si="736"/>
        <v/>
      </c>
      <c r="R1322" s="459" t="str">
        <f t="shared" si="737"/>
        <v/>
      </c>
      <c r="S1322" s="459" t="str">
        <f t="shared" si="738"/>
        <v/>
      </c>
      <c r="T1322" s="566" t="str">
        <f t="shared" si="723"/>
        <v/>
      </c>
      <c r="U1322" s="702"/>
      <c r="V1322" s="132"/>
      <c r="W1322" s="133"/>
      <c r="X1322" s="134"/>
      <c r="Y1322" s="135"/>
      <c r="Z1322" s="137"/>
      <c r="AA1322" s="136"/>
      <c r="AB1322" s="566" t="str">
        <f t="shared" si="724"/>
        <v/>
      </c>
      <c r="AC1322" s="568" t="str">
        <f t="shared" si="725"/>
        <v/>
      </c>
      <c r="AD1322" s="137"/>
      <c r="AE1322" s="137"/>
      <c r="AF1322" s="138"/>
      <c r="AG1322" s="138"/>
      <c r="AH1322" s="592" t="str">
        <f t="shared" si="726"/>
        <v/>
      </c>
      <c r="AI1322" s="592" t="str">
        <f t="shared" si="727"/>
        <v/>
      </c>
      <c r="AJ1322" s="592" t="str">
        <f t="shared" si="728"/>
        <v/>
      </c>
      <c r="AK1322" s="460" t="str">
        <f>IF(AU1322="","",IF(OR(AZ1322=8,AZ1322=9),0,IF(OR(AW1322=3,AW1322=4,AW1322=5,AW1322=6),IF(LEFT(BF1322,1)="1",INDEX(係数_NOX・PM低減,MATCH(AY1322,【参考】排出係数!$AI$801:$AI$804,1),1),VLOOKUP(AU1322,INDEX((係数_バス貨物_ガソリン,係数_バス貨物_CNG,係数_バス貨物_軽油,係数_バス貨物_メタノール,係数_バス貨物_LPG),MATCH(AY1322,【参考】排出係数!$AI$4:$AI$671,1),1,BE1322):INDEX((係数_バス貨物_ガソリン,係数_バス貨物_CNG,係数_バス貨物_軽油,係数_バス貨物_メタノール,係数_バス貨物_LPG),MATCH(AY1322+1,【参考】排出係数!$AI$4:$AI$671,1)-1,5,BE1322),4,FALSE)),IF(AND(BE1322=3,LEFT(BF1322,1)="1"),0.48,VLOOKUP(AU1322,INDEX((係数_乗用_ガソリン,係数_乗用_CNG,係数_乗用_軽油,係数_乗用_メタノール,係数_乗用_LPG),1,1,BE1322):INDEX((係数_乗用_ガソリン,係数_乗用_CNG,係数_乗用_軽油,係数_乗用_メタノール,係数_乗用_LPG),125,5,BE1322),4,FALSE)))))</f>
        <v/>
      </c>
      <c r="AL1322" s="461" t="str">
        <f t="shared" si="729"/>
        <v/>
      </c>
      <c r="AM1322" s="460" t="str">
        <f>IF(AU1322="","",IF(OR(AZ1322=8,AZ1322=9),0,IF(OR(AW1322=3,AW1322=4,AW1322=5,AW1322=6),IF(LEFT(BH1322,1)="1",INDEX(係数_PM低減,MATCH(AY1322,【参考】排出係数!$AI$801:$AI$804,1),MATCH(BI1322,【参考】排出係数!$AL$798:$AO$798,1)),VLOOKUP(AU1322,INDEX((係数_バス貨物_ガソリン,係数_バス貨物_CNG,係数_バス貨物_軽油,係数_バス貨物_メタノール,係数_バス貨物_LPG),MATCH(AY1322,【参考】排出係数!$AI$4:$AI$671,1),1,BE1322):INDEX((係数_バス貨物_ガソリン,係数_バス貨物_CNG,係数_バス貨物_軽油,係数_バス貨物_メタノール,係数_バス貨物_LPG),MATCH(AY1322+1,【参考】排出係数!$AI$4:$AI$671,1)-1,5,BE1322),5,FALSE)),IF(AND(BE1322=3,LEFT(BF1322,1)="1"),0.055,VLOOKUP(AU1322,INDEX((係数_乗用_ガソリン,係数_乗用_CNG,係数_乗用_軽油,係数_乗用_メタノール,係数_乗用_LPG),1,1,BE1322):INDEX((係数_乗用_ガソリン,係数_乗用_CNG,係数_乗用_軽油,係数_乗用_メタノール,係数_乗用_LPG),125,5,BE1322),5,FALSE)))))</f>
        <v/>
      </c>
      <c r="AN1322" s="461" t="str">
        <f t="shared" si="730"/>
        <v/>
      </c>
      <c r="AO1322" s="462" t="str">
        <f t="shared" si="731"/>
        <v/>
      </c>
      <c r="AP1322" s="463" t="str">
        <f t="shared" si="732"/>
        <v/>
      </c>
      <c r="AQ1322" s="464"/>
      <c r="AR1322" s="619"/>
      <c r="AS1322" s="465" t="str">
        <f t="shared" si="740"/>
        <v/>
      </c>
      <c r="AT1322" s="465" t="str">
        <f t="shared" si="741"/>
        <v/>
      </c>
      <c r="AU1322" s="466" t="str">
        <f t="shared" si="742"/>
        <v/>
      </c>
      <c r="AV1322" s="467" t="str">
        <f t="shared" si="743"/>
        <v/>
      </c>
      <c r="AW1322" s="467" t="str">
        <f t="shared" si="744"/>
        <v/>
      </c>
      <c r="AX1322" s="467" t="str">
        <f t="shared" si="745"/>
        <v/>
      </c>
      <c r="AY1322" s="467" t="str">
        <f t="shared" si="746"/>
        <v/>
      </c>
      <c r="AZ1322" s="467" t="str">
        <f t="shared" si="747"/>
        <v/>
      </c>
      <c r="BA1322" s="468" t="str">
        <f>IF(AS1322="","",IF(OR(AU1322="",AU1322="-"),"－",IF(OR(AZ1322=8,AZ1322=9),"",IF(OR(AW1322=3,AW1322=4,AW1322=5,AW1322=6),VLOOKUP(AU1322,INDEX((係数_バス貨物_ガソリン,係数_バス貨物_CNG,係数_バス貨物_軽油,係数_バス貨物_メタノール,係数_バス貨物_LPG),MATCH(AY1322,【参考】排出係数!$AI$4:$AI$671,1),1,BE1322):INDEX((係数_バス貨物_ガソリン,係数_バス貨物_CNG,係数_バス貨物_軽油,係数_バス貨物_メタノール,係数_バス貨物_LPG),MATCH(AY1322+1,【参考】排出係数!$AI$4:$AI$671,1)-1,5,BE1322),2,FALSE),IF(OR(AW1322=1,AW1322=2),VLOOKUP(AU1322,INDEX((係数_乗用_ガソリン,係数_乗用_CNG,係数_乗用_軽油,係数_乗用_メタノール,係数_乗用_LPG),1,1,BE1322):INDEX((係数_乗用_ガソリン,係数_乗用_CNG,係数_乗用_軽油,係数_乗用_メタノール,係数_乗用_LPG),125,5,BE1322),2,FALSE))))))</f>
        <v/>
      </c>
      <c r="BB1322" s="468" t="str">
        <f>IF(T1322="","",IF(OR(AU1322="",AU1322="-"),"－",IF(OR(AZ1322=8,AZ1322=9),"",IF(OR(AW1322=3,AW1322=4,AW1322=5,AW1322=6),VLOOKUP(AU1322,INDEX((係数_バス貨物_ガソリン,係数_バス貨物_CNG,係数_バス貨物_軽油,係数_バス貨物_メタノール,係数_バス貨物_LPG),MATCH(AY1322,【参考】排出係数!$AI$4:$AI$671,1),1,BE1322):INDEX((係数_バス貨物_ガソリン,係数_バス貨物_CNG,係数_バス貨物_軽油,係数_バス貨物_メタノール,係数_バス貨物_LPG),MATCH(AY1322+1,【参考】排出係数!$AI$4:$AI$671,1)-1,5,BE1322),3,FALSE),IF(OR(AW1322=1,AW1322=2),VLOOKUP(AU1322,INDEX((係数_乗用_ガソリン,係数_乗用_CNG,係数_乗用_軽油,係数_乗用_メタノール,係数_乗用_LPG),1,1,BE1322):INDEX((係数_乗用_ガソリン,係数_乗用_CNG,係数_乗用_軽油,係数_乗用_メタノール,係数_乗用_LPG),125,5,BE1322),3,FALSE))))))</f>
        <v/>
      </c>
      <c r="BC1322" s="467" t="str">
        <f t="shared" si="748"/>
        <v/>
      </c>
      <c r="BD1322" s="567" t="str">
        <f t="shared" si="749"/>
        <v/>
      </c>
      <c r="BE1322" s="467" t="str">
        <f t="shared" si="750"/>
        <v/>
      </c>
      <c r="BF1322" s="469" t="str">
        <f t="shared" ca="1" si="751"/>
        <v/>
      </c>
      <c r="BG1322" s="469" t="str">
        <f t="shared" ca="1" si="752"/>
        <v/>
      </c>
      <c r="BH1322" s="467" t="str">
        <f t="shared" si="753"/>
        <v/>
      </c>
      <c r="BI1322" s="467" t="str">
        <f t="shared" ca="1" si="754"/>
        <v/>
      </c>
      <c r="BJ1322" s="469" t="str">
        <f t="shared" si="755"/>
        <v/>
      </c>
      <c r="BK1322" s="470" t="str">
        <f t="shared" si="739"/>
        <v/>
      </c>
      <c r="BL1322" s="775" t="str">
        <f t="shared" si="756"/>
        <v/>
      </c>
      <c r="BM1322" s="775" t="str">
        <f t="shared" si="757"/>
        <v/>
      </c>
    </row>
    <row r="1323" spans="1:65">
      <c r="A1323" s="473">
        <v>1267</v>
      </c>
      <c r="B1323" s="132"/>
      <c r="C1323" s="332"/>
      <c r="D1323" s="333"/>
      <c r="E1323" s="333"/>
      <c r="F1323" s="334"/>
      <c r="G1323" s="337"/>
      <c r="H1323" s="131"/>
      <c r="I1323" s="337"/>
      <c r="J1323" s="131"/>
      <c r="K1323" s="458" t="str">
        <f t="shared" si="720"/>
        <v/>
      </c>
      <c r="L1323" s="458">
        <f t="shared" si="721"/>
        <v>0</v>
      </c>
      <c r="M1323" s="458">
        <f t="shared" si="722"/>
        <v>0</v>
      </c>
      <c r="N1323" s="459" t="str">
        <f t="shared" si="733"/>
        <v/>
      </c>
      <c r="O1323" s="459" t="str">
        <f t="shared" si="734"/>
        <v/>
      </c>
      <c r="P1323" s="459" t="str">
        <f t="shared" si="735"/>
        <v/>
      </c>
      <c r="Q1323" s="459" t="str">
        <f t="shared" si="736"/>
        <v/>
      </c>
      <c r="R1323" s="459" t="str">
        <f t="shared" si="737"/>
        <v/>
      </c>
      <c r="S1323" s="459" t="str">
        <f t="shared" si="738"/>
        <v/>
      </c>
      <c r="T1323" s="566" t="str">
        <f t="shared" si="723"/>
        <v/>
      </c>
      <c r="U1323" s="702"/>
      <c r="V1323" s="132"/>
      <c r="W1323" s="133"/>
      <c r="X1323" s="134"/>
      <c r="Y1323" s="135"/>
      <c r="Z1323" s="137"/>
      <c r="AA1323" s="136"/>
      <c r="AB1323" s="566" t="str">
        <f t="shared" si="724"/>
        <v/>
      </c>
      <c r="AC1323" s="568" t="str">
        <f t="shared" si="725"/>
        <v/>
      </c>
      <c r="AD1323" s="137"/>
      <c r="AE1323" s="137"/>
      <c r="AF1323" s="138"/>
      <c r="AG1323" s="138"/>
      <c r="AH1323" s="592" t="str">
        <f t="shared" si="726"/>
        <v/>
      </c>
      <c r="AI1323" s="592" t="str">
        <f t="shared" si="727"/>
        <v/>
      </c>
      <c r="AJ1323" s="592" t="str">
        <f t="shared" si="728"/>
        <v/>
      </c>
      <c r="AK1323" s="460" t="str">
        <f>IF(AU1323="","",IF(OR(AZ1323=8,AZ1323=9),0,IF(OR(AW1323=3,AW1323=4,AW1323=5,AW1323=6),IF(LEFT(BF1323,1)="1",INDEX(係数_NOX・PM低減,MATCH(AY1323,【参考】排出係数!$AI$801:$AI$804,1),1),VLOOKUP(AU1323,INDEX((係数_バス貨物_ガソリン,係数_バス貨物_CNG,係数_バス貨物_軽油,係数_バス貨物_メタノール,係数_バス貨物_LPG),MATCH(AY1323,【参考】排出係数!$AI$4:$AI$671,1),1,BE1323):INDEX((係数_バス貨物_ガソリン,係数_バス貨物_CNG,係数_バス貨物_軽油,係数_バス貨物_メタノール,係数_バス貨物_LPG),MATCH(AY1323+1,【参考】排出係数!$AI$4:$AI$671,1)-1,5,BE1323),4,FALSE)),IF(AND(BE1323=3,LEFT(BF1323,1)="1"),0.48,VLOOKUP(AU1323,INDEX((係数_乗用_ガソリン,係数_乗用_CNG,係数_乗用_軽油,係数_乗用_メタノール,係数_乗用_LPG),1,1,BE1323):INDEX((係数_乗用_ガソリン,係数_乗用_CNG,係数_乗用_軽油,係数_乗用_メタノール,係数_乗用_LPG),125,5,BE1323),4,FALSE)))))</f>
        <v/>
      </c>
      <c r="AL1323" s="461" t="str">
        <f t="shared" si="729"/>
        <v/>
      </c>
      <c r="AM1323" s="460" t="str">
        <f>IF(AU1323="","",IF(OR(AZ1323=8,AZ1323=9),0,IF(OR(AW1323=3,AW1323=4,AW1323=5,AW1323=6),IF(LEFT(BH1323,1)="1",INDEX(係数_PM低減,MATCH(AY1323,【参考】排出係数!$AI$801:$AI$804,1),MATCH(BI1323,【参考】排出係数!$AL$798:$AO$798,1)),VLOOKUP(AU1323,INDEX((係数_バス貨物_ガソリン,係数_バス貨物_CNG,係数_バス貨物_軽油,係数_バス貨物_メタノール,係数_バス貨物_LPG),MATCH(AY1323,【参考】排出係数!$AI$4:$AI$671,1),1,BE1323):INDEX((係数_バス貨物_ガソリン,係数_バス貨物_CNG,係数_バス貨物_軽油,係数_バス貨物_メタノール,係数_バス貨物_LPG),MATCH(AY1323+1,【参考】排出係数!$AI$4:$AI$671,1)-1,5,BE1323),5,FALSE)),IF(AND(BE1323=3,LEFT(BF1323,1)="1"),0.055,VLOOKUP(AU1323,INDEX((係数_乗用_ガソリン,係数_乗用_CNG,係数_乗用_軽油,係数_乗用_メタノール,係数_乗用_LPG),1,1,BE1323):INDEX((係数_乗用_ガソリン,係数_乗用_CNG,係数_乗用_軽油,係数_乗用_メタノール,係数_乗用_LPG),125,5,BE1323),5,FALSE)))))</f>
        <v/>
      </c>
      <c r="AN1323" s="461" t="str">
        <f t="shared" si="730"/>
        <v/>
      </c>
      <c r="AO1323" s="462" t="str">
        <f t="shared" si="731"/>
        <v/>
      </c>
      <c r="AP1323" s="463" t="str">
        <f t="shared" si="732"/>
        <v/>
      </c>
      <c r="AQ1323" s="464"/>
      <c r="AR1323" s="619"/>
      <c r="AS1323" s="465" t="str">
        <f t="shared" si="740"/>
        <v/>
      </c>
      <c r="AT1323" s="465" t="str">
        <f t="shared" si="741"/>
        <v/>
      </c>
      <c r="AU1323" s="466" t="str">
        <f t="shared" si="742"/>
        <v/>
      </c>
      <c r="AV1323" s="467" t="str">
        <f t="shared" si="743"/>
        <v/>
      </c>
      <c r="AW1323" s="467" t="str">
        <f t="shared" si="744"/>
        <v/>
      </c>
      <c r="AX1323" s="467" t="str">
        <f t="shared" si="745"/>
        <v/>
      </c>
      <c r="AY1323" s="467" t="str">
        <f t="shared" si="746"/>
        <v/>
      </c>
      <c r="AZ1323" s="467" t="str">
        <f t="shared" si="747"/>
        <v/>
      </c>
      <c r="BA1323" s="468" t="str">
        <f>IF(AS1323="","",IF(OR(AU1323="",AU1323="-"),"－",IF(OR(AZ1323=8,AZ1323=9),"",IF(OR(AW1323=3,AW1323=4,AW1323=5,AW1323=6),VLOOKUP(AU1323,INDEX((係数_バス貨物_ガソリン,係数_バス貨物_CNG,係数_バス貨物_軽油,係数_バス貨物_メタノール,係数_バス貨物_LPG),MATCH(AY1323,【参考】排出係数!$AI$4:$AI$671,1),1,BE1323):INDEX((係数_バス貨物_ガソリン,係数_バス貨物_CNG,係数_バス貨物_軽油,係数_バス貨物_メタノール,係数_バス貨物_LPG),MATCH(AY1323+1,【参考】排出係数!$AI$4:$AI$671,1)-1,5,BE1323),2,FALSE),IF(OR(AW1323=1,AW1323=2),VLOOKUP(AU1323,INDEX((係数_乗用_ガソリン,係数_乗用_CNG,係数_乗用_軽油,係数_乗用_メタノール,係数_乗用_LPG),1,1,BE1323):INDEX((係数_乗用_ガソリン,係数_乗用_CNG,係数_乗用_軽油,係数_乗用_メタノール,係数_乗用_LPG),125,5,BE1323),2,FALSE))))))</f>
        <v/>
      </c>
      <c r="BB1323" s="468" t="str">
        <f>IF(T1323="","",IF(OR(AU1323="",AU1323="-"),"－",IF(OR(AZ1323=8,AZ1323=9),"",IF(OR(AW1323=3,AW1323=4,AW1323=5,AW1323=6),VLOOKUP(AU1323,INDEX((係数_バス貨物_ガソリン,係数_バス貨物_CNG,係数_バス貨物_軽油,係数_バス貨物_メタノール,係数_バス貨物_LPG),MATCH(AY1323,【参考】排出係数!$AI$4:$AI$671,1),1,BE1323):INDEX((係数_バス貨物_ガソリン,係数_バス貨物_CNG,係数_バス貨物_軽油,係数_バス貨物_メタノール,係数_バス貨物_LPG),MATCH(AY1323+1,【参考】排出係数!$AI$4:$AI$671,1)-1,5,BE1323),3,FALSE),IF(OR(AW1323=1,AW1323=2),VLOOKUP(AU1323,INDEX((係数_乗用_ガソリン,係数_乗用_CNG,係数_乗用_軽油,係数_乗用_メタノール,係数_乗用_LPG),1,1,BE1323):INDEX((係数_乗用_ガソリン,係数_乗用_CNG,係数_乗用_軽油,係数_乗用_メタノール,係数_乗用_LPG),125,5,BE1323),3,FALSE))))))</f>
        <v/>
      </c>
      <c r="BC1323" s="467" t="str">
        <f t="shared" si="748"/>
        <v/>
      </c>
      <c r="BD1323" s="567" t="str">
        <f t="shared" si="749"/>
        <v/>
      </c>
      <c r="BE1323" s="467" t="str">
        <f t="shared" si="750"/>
        <v/>
      </c>
      <c r="BF1323" s="469" t="str">
        <f t="shared" ca="1" si="751"/>
        <v/>
      </c>
      <c r="BG1323" s="469" t="str">
        <f t="shared" ca="1" si="752"/>
        <v/>
      </c>
      <c r="BH1323" s="467" t="str">
        <f t="shared" si="753"/>
        <v/>
      </c>
      <c r="BI1323" s="467" t="str">
        <f t="shared" ca="1" si="754"/>
        <v/>
      </c>
      <c r="BJ1323" s="469" t="str">
        <f t="shared" si="755"/>
        <v/>
      </c>
      <c r="BK1323" s="470" t="str">
        <f t="shared" si="739"/>
        <v/>
      </c>
      <c r="BL1323" s="775" t="str">
        <f t="shared" si="756"/>
        <v/>
      </c>
      <c r="BM1323" s="775" t="str">
        <f t="shared" si="757"/>
        <v/>
      </c>
    </row>
    <row r="1324" spans="1:65">
      <c r="A1324" s="473">
        <v>1268</v>
      </c>
      <c r="B1324" s="132"/>
      <c r="C1324" s="332"/>
      <c r="D1324" s="333"/>
      <c r="E1324" s="333"/>
      <c r="F1324" s="334"/>
      <c r="G1324" s="337"/>
      <c r="H1324" s="131"/>
      <c r="I1324" s="337"/>
      <c r="J1324" s="131"/>
      <c r="K1324" s="458" t="str">
        <f t="shared" ref="K1324:K1387" si="758">C1324&amp;D1324&amp;E1324&amp;F1324</f>
        <v/>
      </c>
      <c r="L1324" s="458">
        <f t="shared" ref="L1324:L1387" si="759">IF(G1324&gt;0,DATE((G1324),(H1324+1),0),0)</f>
        <v>0</v>
      </c>
      <c r="M1324" s="458">
        <f t="shared" ref="M1324:M1387" si="760">IF(I1324&gt;0,DATE((I1324),(J1324+1),0),0)</f>
        <v>0</v>
      </c>
      <c r="N1324" s="459" t="str">
        <f t="shared" si="733"/>
        <v/>
      </c>
      <c r="O1324" s="459" t="str">
        <f t="shared" si="734"/>
        <v/>
      </c>
      <c r="P1324" s="459" t="str">
        <f t="shared" si="735"/>
        <v/>
      </c>
      <c r="Q1324" s="459" t="str">
        <f t="shared" si="736"/>
        <v/>
      </c>
      <c r="R1324" s="459" t="str">
        <f t="shared" si="737"/>
        <v/>
      </c>
      <c r="S1324" s="459" t="str">
        <f t="shared" si="738"/>
        <v/>
      </c>
      <c r="T1324" s="566" t="str">
        <f t="shared" ref="T1324:T1387" si="761">N1324&amp;O1324&amp;P1324&amp;Q1324&amp;R1324&amp;S1324</f>
        <v/>
      </c>
      <c r="U1324" s="702"/>
      <c r="V1324" s="132"/>
      <c r="W1324" s="133"/>
      <c r="X1324" s="134"/>
      <c r="Y1324" s="135"/>
      <c r="Z1324" s="137"/>
      <c r="AA1324" s="136"/>
      <c r="AB1324" s="566" t="str">
        <f t="shared" ref="AB1324:AB1387" si="762">IF(AS1324="","",IF(AZ1324=1,VLOOKUP(BA1324,低公害車判別,2,FALSE),IF(AZ1324=3,VLOOKUP(BA1324,低公害車判別,2,FALSE),IF(AZ1324=4,VLOOKUP(BB1324,低公害車判別,2,FALSE),"低公害車"))))</f>
        <v/>
      </c>
      <c r="AC1324" s="568" t="str">
        <f t="shared" ref="AC1324:AC1387" si="763">IF(AS1324="","",IF((BA1324="")+(BA1324="－"),IF((BB1324="")+(BB1324=0),"－",BB1324),IF((BA1324="PM☆☆☆")+(BA1324="☆及びPM☆☆☆")+(BA1324="☆☆及びPM☆☆☆")+(BA1324="☆☆☆及びPM☆☆☆"),"PM☆☆☆",IF((BA1324="PM☆☆☆☆")+(BA1324="☆及びPM☆☆☆☆")+(BA1324="☆☆及びPM☆☆☆☆")+(BA1324="☆☆☆及びPM☆☆☆☆"),"PM☆☆☆☆",IF((BA1324="新☆")+(BA1324="新NOx☆")+(BA1324="新PM☆"),"新☆（新長期）",BA1324)))))</f>
        <v/>
      </c>
      <c r="AD1324" s="137"/>
      <c r="AE1324" s="137"/>
      <c r="AF1324" s="138"/>
      <c r="AG1324" s="138"/>
      <c r="AH1324" s="592" t="str">
        <f t="shared" ref="AH1324:AH1387" si="764">IF(C1324="","",IF(LEFT(C1324,2)="横浜","○",""))</f>
        <v/>
      </c>
      <c r="AI1324" s="592" t="str">
        <f t="shared" ref="AI1324:AI1387" si="765">IF(C1324="","",IF(LEFT(C1324,2)="川崎","○",""))</f>
        <v/>
      </c>
      <c r="AJ1324" s="592" t="str">
        <f t="shared" ref="AJ1324:AJ1387" si="766">IF(C1324="","",IF(OR(AH1324="○",AI1324="○"),"","○"))</f>
        <v/>
      </c>
      <c r="AK1324" s="460" t="str">
        <f>IF(AU1324="","",IF(OR(AZ1324=8,AZ1324=9),0,IF(OR(AW1324=3,AW1324=4,AW1324=5,AW1324=6),IF(LEFT(BF1324,1)="1",INDEX(係数_NOX・PM低減,MATCH(AY1324,【参考】排出係数!$AI$801:$AI$804,1),1),VLOOKUP(AU1324,INDEX((係数_バス貨物_ガソリン,係数_バス貨物_CNG,係数_バス貨物_軽油,係数_バス貨物_メタノール,係数_バス貨物_LPG),MATCH(AY1324,【参考】排出係数!$AI$4:$AI$671,1),1,BE1324):INDEX((係数_バス貨物_ガソリン,係数_バス貨物_CNG,係数_バス貨物_軽油,係数_バス貨物_メタノール,係数_バス貨物_LPG),MATCH(AY1324+1,【参考】排出係数!$AI$4:$AI$671,1)-1,5,BE1324),4,FALSE)),IF(AND(BE1324=3,LEFT(BF1324,1)="1"),0.48,VLOOKUP(AU1324,INDEX((係数_乗用_ガソリン,係数_乗用_CNG,係数_乗用_軽油,係数_乗用_メタノール,係数_乗用_LPG),1,1,BE1324):INDEX((係数_乗用_ガソリン,係数_乗用_CNG,係数_乗用_軽油,係数_乗用_メタノール,係数_乗用_LPG),125,5,BE1324),4,FALSE)))))</f>
        <v/>
      </c>
      <c r="AL1324" s="461" t="str">
        <f t="shared" ref="AL1324:AL1387" si="767">IF(AU1324="","",IF(Z1324&lt;=3.5*1000,AD1324*AK1324/1000,IF(Z1324&gt;3.5*1000,AD1324*Z1324*AK1324/1000/1000)))</f>
        <v/>
      </c>
      <c r="AM1324" s="460" t="str">
        <f>IF(AU1324="","",IF(OR(AZ1324=8,AZ1324=9),0,IF(OR(AW1324=3,AW1324=4,AW1324=5,AW1324=6),IF(LEFT(BH1324,1)="1",INDEX(係数_PM低減,MATCH(AY1324,【参考】排出係数!$AI$801:$AI$804,1),MATCH(BI1324,【参考】排出係数!$AL$798:$AO$798,1)),VLOOKUP(AU1324,INDEX((係数_バス貨物_ガソリン,係数_バス貨物_CNG,係数_バス貨物_軽油,係数_バス貨物_メタノール,係数_バス貨物_LPG),MATCH(AY1324,【参考】排出係数!$AI$4:$AI$671,1),1,BE1324):INDEX((係数_バス貨物_ガソリン,係数_バス貨物_CNG,係数_バス貨物_軽油,係数_バス貨物_メタノール,係数_バス貨物_LPG),MATCH(AY1324+1,【参考】排出係数!$AI$4:$AI$671,1)-1,5,BE1324),5,FALSE)),IF(AND(BE1324=3,LEFT(BF1324,1)="1"),0.055,VLOOKUP(AU1324,INDEX((係数_乗用_ガソリン,係数_乗用_CNG,係数_乗用_軽油,係数_乗用_メタノール,係数_乗用_LPG),1,1,BE1324):INDEX((係数_乗用_ガソリン,係数_乗用_CNG,係数_乗用_軽油,係数_乗用_メタノール,係数_乗用_LPG),125,5,BE1324),5,FALSE)))))</f>
        <v/>
      </c>
      <c r="AN1324" s="461" t="str">
        <f t="shared" ref="AN1324:AN1387" si="768">IF(AU1324="","",IF(Z1324&lt;=3.5*1000,AD1324*AM1324/1000,IF(Z1324&gt;3.5*1000,AD1324*Z1324*AM1324/1000/1000)))</f>
        <v/>
      </c>
      <c r="AO1324" s="462" t="str">
        <f t="shared" ref="AO1324:AO1387" si="769">IF(AU1324="","",IF(Z1324&lt;500,"車両重量",IF(OR(AZ1324=8,AZ1324=9),0,IF(OR(AZ1324=1,AZ1324=2,AZ1324=11),2.32,IF(OR(AZ1324=4,AZ1324=5,AZ1324=11),2.58,IF(AZ1324=3,3,IF(AZ1324=6,2.23,IF(AZ1324=7,1.37,0))))))))</f>
        <v/>
      </c>
      <c r="AP1324" s="463" t="str">
        <f t="shared" ref="AP1324:AP1387" si="770">IF(AU1324="","",AE1324*AO1324/1000)</f>
        <v/>
      </c>
      <c r="AQ1324" s="464"/>
      <c r="AR1324" s="619"/>
      <c r="AS1324" s="465" t="str">
        <f t="shared" si="740"/>
        <v/>
      </c>
      <c r="AT1324" s="465" t="str">
        <f t="shared" si="741"/>
        <v/>
      </c>
      <c r="AU1324" s="466" t="str">
        <f t="shared" si="742"/>
        <v/>
      </c>
      <c r="AV1324" s="467" t="str">
        <f t="shared" si="743"/>
        <v/>
      </c>
      <c r="AW1324" s="467" t="str">
        <f t="shared" si="744"/>
        <v/>
      </c>
      <c r="AX1324" s="467" t="str">
        <f t="shared" si="745"/>
        <v/>
      </c>
      <c r="AY1324" s="467" t="str">
        <f t="shared" si="746"/>
        <v/>
      </c>
      <c r="AZ1324" s="467" t="str">
        <f t="shared" si="747"/>
        <v/>
      </c>
      <c r="BA1324" s="468" t="str">
        <f>IF(AS1324="","",IF(OR(AU1324="",AU1324="-"),"－",IF(OR(AZ1324=8,AZ1324=9),"",IF(OR(AW1324=3,AW1324=4,AW1324=5,AW1324=6),VLOOKUP(AU1324,INDEX((係数_バス貨物_ガソリン,係数_バス貨物_CNG,係数_バス貨物_軽油,係数_バス貨物_メタノール,係数_バス貨物_LPG),MATCH(AY1324,【参考】排出係数!$AI$4:$AI$671,1),1,BE1324):INDEX((係数_バス貨物_ガソリン,係数_バス貨物_CNG,係数_バス貨物_軽油,係数_バス貨物_メタノール,係数_バス貨物_LPG),MATCH(AY1324+1,【参考】排出係数!$AI$4:$AI$671,1)-1,5,BE1324),2,FALSE),IF(OR(AW1324=1,AW1324=2),VLOOKUP(AU1324,INDEX((係数_乗用_ガソリン,係数_乗用_CNG,係数_乗用_軽油,係数_乗用_メタノール,係数_乗用_LPG),1,1,BE1324):INDEX((係数_乗用_ガソリン,係数_乗用_CNG,係数_乗用_軽油,係数_乗用_メタノール,係数_乗用_LPG),125,5,BE1324),2,FALSE))))))</f>
        <v/>
      </c>
      <c r="BB1324" s="468" t="str">
        <f>IF(T1324="","",IF(OR(AU1324="",AU1324="-"),"－",IF(OR(AZ1324=8,AZ1324=9),"",IF(OR(AW1324=3,AW1324=4,AW1324=5,AW1324=6),VLOOKUP(AU1324,INDEX((係数_バス貨物_ガソリン,係数_バス貨物_CNG,係数_バス貨物_軽油,係数_バス貨物_メタノール,係数_バス貨物_LPG),MATCH(AY1324,【参考】排出係数!$AI$4:$AI$671,1),1,BE1324):INDEX((係数_バス貨物_ガソリン,係数_バス貨物_CNG,係数_バス貨物_軽油,係数_バス貨物_メタノール,係数_バス貨物_LPG),MATCH(AY1324+1,【参考】排出係数!$AI$4:$AI$671,1)-1,5,BE1324),3,FALSE),IF(OR(AW1324=1,AW1324=2),VLOOKUP(AU1324,INDEX((係数_乗用_ガソリン,係数_乗用_CNG,係数_乗用_軽油,係数_乗用_メタノール,係数_乗用_LPG),1,1,BE1324):INDEX((係数_乗用_ガソリン,係数_乗用_CNG,係数_乗用_軽油,係数_乗用_メタノール,係数_乗用_LPG),125,5,BE1324),3,FALSE))))))</f>
        <v/>
      </c>
      <c r="BC1324" s="467" t="str">
        <f t="shared" si="748"/>
        <v/>
      </c>
      <c r="BD1324" s="567" t="str">
        <f t="shared" si="749"/>
        <v/>
      </c>
      <c r="BE1324" s="467" t="str">
        <f t="shared" si="750"/>
        <v/>
      </c>
      <c r="BF1324" s="469" t="str">
        <f t="shared" ca="1" si="751"/>
        <v/>
      </c>
      <c r="BG1324" s="469" t="str">
        <f t="shared" ca="1" si="752"/>
        <v/>
      </c>
      <c r="BH1324" s="467" t="str">
        <f t="shared" si="753"/>
        <v/>
      </c>
      <c r="BI1324" s="467" t="str">
        <f t="shared" ca="1" si="754"/>
        <v/>
      </c>
      <c r="BJ1324" s="469" t="str">
        <f t="shared" si="755"/>
        <v/>
      </c>
      <c r="BK1324" s="470" t="str">
        <f t="shared" si="739"/>
        <v/>
      </c>
      <c r="BL1324" s="775" t="str">
        <f t="shared" si="756"/>
        <v/>
      </c>
      <c r="BM1324" s="775" t="str">
        <f t="shared" si="757"/>
        <v/>
      </c>
    </row>
    <row r="1325" spans="1:65">
      <c r="A1325" s="473">
        <v>1269</v>
      </c>
      <c r="B1325" s="132"/>
      <c r="C1325" s="332"/>
      <c r="D1325" s="333"/>
      <c r="E1325" s="333"/>
      <c r="F1325" s="334"/>
      <c r="G1325" s="337"/>
      <c r="H1325" s="131"/>
      <c r="I1325" s="337"/>
      <c r="J1325" s="131"/>
      <c r="K1325" s="458" t="str">
        <f t="shared" si="758"/>
        <v/>
      </c>
      <c r="L1325" s="458">
        <f t="shared" si="759"/>
        <v>0</v>
      </c>
      <c r="M1325" s="458">
        <f t="shared" si="760"/>
        <v>0</v>
      </c>
      <c r="N1325" s="459" t="str">
        <f t="shared" si="733"/>
        <v/>
      </c>
      <c r="O1325" s="459" t="str">
        <f t="shared" si="734"/>
        <v/>
      </c>
      <c r="P1325" s="459" t="str">
        <f t="shared" si="735"/>
        <v/>
      </c>
      <c r="Q1325" s="459" t="str">
        <f t="shared" si="736"/>
        <v/>
      </c>
      <c r="R1325" s="459" t="str">
        <f t="shared" si="737"/>
        <v/>
      </c>
      <c r="S1325" s="459" t="str">
        <f t="shared" si="738"/>
        <v/>
      </c>
      <c r="T1325" s="566" t="str">
        <f t="shared" si="761"/>
        <v/>
      </c>
      <c r="U1325" s="702"/>
      <c r="V1325" s="132"/>
      <c r="W1325" s="133"/>
      <c r="X1325" s="134"/>
      <c r="Y1325" s="135"/>
      <c r="Z1325" s="137"/>
      <c r="AA1325" s="136"/>
      <c r="AB1325" s="566" t="str">
        <f t="shared" si="762"/>
        <v/>
      </c>
      <c r="AC1325" s="568" t="str">
        <f t="shared" si="763"/>
        <v/>
      </c>
      <c r="AD1325" s="137"/>
      <c r="AE1325" s="137"/>
      <c r="AF1325" s="138"/>
      <c r="AG1325" s="138"/>
      <c r="AH1325" s="592" t="str">
        <f t="shared" si="764"/>
        <v/>
      </c>
      <c r="AI1325" s="592" t="str">
        <f t="shared" si="765"/>
        <v/>
      </c>
      <c r="AJ1325" s="592" t="str">
        <f t="shared" si="766"/>
        <v/>
      </c>
      <c r="AK1325" s="460" t="str">
        <f>IF(AU1325="","",IF(OR(AZ1325=8,AZ1325=9),0,IF(OR(AW1325=3,AW1325=4,AW1325=5,AW1325=6),IF(LEFT(BF1325,1)="1",INDEX(係数_NOX・PM低減,MATCH(AY1325,【参考】排出係数!$AI$801:$AI$804,1),1),VLOOKUP(AU1325,INDEX((係数_バス貨物_ガソリン,係数_バス貨物_CNG,係数_バス貨物_軽油,係数_バス貨物_メタノール,係数_バス貨物_LPG),MATCH(AY1325,【参考】排出係数!$AI$4:$AI$671,1),1,BE1325):INDEX((係数_バス貨物_ガソリン,係数_バス貨物_CNG,係数_バス貨物_軽油,係数_バス貨物_メタノール,係数_バス貨物_LPG),MATCH(AY1325+1,【参考】排出係数!$AI$4:$AI$671,1)-1,5,BE1325),4,FALSE)),IF(AND(BE1325=3,LEFT(BF1325,1)="1"),0.48,VLOOKUP(AU1325,INDEX((係数_乗用_ガソリン,係数_乗用_CNG,係数_乗用_軽油,係数_乗用_メタノール,係数_乗用_LPG),1,1,BE1325):INDEX((係数_乗用_ガソリン,係数_乗用_CNG,係数_乗用_軽油,係数_乗用_メタノール,係数_乗用_LPG),125,5,BE1325),4,FALSE)))))</f>
        <v/>
      </c>
      <c r="AL1325" s="461" t="str">
        <f t="shared" si="767"/>
        <v/>
      </c>
      <c r="AM1325" s="460" t="str">
        <f>IF(AU1325="","",IF(OR(AZ1325=8,AZ1325=9),0,IF(OR(AW1325=3,AW1325=4,AW1325=5,AW1325=6),IF(LEFT(BH1325,1)="1",INDEX(係数_PM低減,MATCH(AY1325,【参考】排出係数!$AI$801:$AI$804,1),MATCH(BI1325,【参考】排出係数!$AL$798:$AO$798,1)),VLOOKUP(AU1325,INDEX((係数_バス貨物_ガソリン,係数_バス貨物_CNG,係数_バス貨物_軽油,係数_バス貨物_メタノール,係数_バス貨物_LPG),MATCH(AY1325,【参考】排出係数!$AI$4:$AI$671,1),1,BE1325):INDEX((係数_バス貨物_ガソリン,係数_バス貨物_CNG,係数_バス貨物_軽油,係数_バス貨物_メタノール,係数_バス貨物_LPG),MATCH(AY1325+1,【参考】排出係数!$AI$4:$AI$671,1)-1,5,BE1325),5,FALSE)),IF(AND(BE1325=3,LEFT(BF1325,1)="1"),0.055,VLOOKUP(AU1325,INDEX((係数_乗用_ガソリン,係数_乗用_CNG,係数_乗用_軽油,係数_乗用_メタノール,係数_乗用_LPG),1,1,BE1325):INDEX((係数_乗用_ガソリン,係数_乗用_CNG,係数_乗用_軽油,係数_乗用_メタノール,係数_乗用_LPG),125,5,BE1325),5,FALSE)))))</f>
        <v/>
      </c>
      <c r="AN1325" s="461" t="str">
        <f t="shared" si="768"/>
        <v/>
      </c>
      <c r="AO1325" s="462" t="str">
        <f t="shared" si="769"/>
        <v/>
      </c>
      <c r="AP1325" s="463" t="str">
        <f t="shared" si="770"/>
        <v/>
      </c>
      <c r="AQ1325" s="464"/>
      <c r="AR1325" s="619"/>
      <c r="AS1325" s="465" t="str">
        <f t="shared" si="740"/>
        <v/>
      </c>
      <c r="AT1325" s="465" t="str">
        <f t="shared" si="741"/>
        <v/>
      </c>
      <c r="AU1325" s="466" t="str">
        <f t="shared" si="742"/>
        <v/>
      </c>
      <c r="AV1325" s="467" t="str">
        <f t="shared" si="743"/>
        <v/>
      </c>
      <c r="AW1325" s="467" t="str">
        <f t="shared" si="744"/>
        <v/>
      </c>
      <c r="AX1325" s="467" t="str">
        <f t="shared" si="745"/>
        <v/>
      </c>
      <c r="AY1325" s="467" t="str">
        <f t="shared" si="746"/>
        <v/>
      </c>
      <c r="AZ1325" s="467" t="str">
        <f t="shared" si="747"/>
        <v/>
      </c>
      <c r="BA1325" s="468" t="str">
        <f>IF(AS1325="","",IF(OR(AU1325="",AU1325="-"),"－",IF(OR(AZ1325=8,AZ1325=9),"",IF(OR(AW1325=3,AW1325=4,AW1325=5,AW1325=6),VLOOKUP(AU1325,INDEX((係数_バス貨物_ガソリン,係数_バス貨物_CNG,係数_バス貨物_軽油,係数_バス貨物_メタノール,係数_バス貨物_LPG),MATCH(AY1325,【参考】排出係数!$AI$4:$AI$671,1),1,BE1325):INDEX((係数_バス貨物_ガソリン,係数_バス貨物_CNG,係数_バス貨物_軽油,係数_バス貨物_メタノール,係数_バス貨物_LPG),MATCH(AY1325+1,【参考】排出係数!$AI$4:$AI$671,1)-1,5,BE1325),2,FALSE),IF(OR(AW1325=1,AW1325=2),VLOOKUP(AU1325,INDEX((係数_乗用_ガソリン,係数_乗用_CNG,係数_乗用_軽油,係数_乗用_メタノール,係数_乗用_LPG),1,1,BE1325):INDEX((係数_乗用_ガソリン,係数_乗用_CNG,係数_乗用_軽油,係数_乗用_メタノール,係数_乗用_LPG),125,5,BE1325),2,FALSE))))))</f>
        <v/>
      </c>
      <c r="BB1325" s="468" t="str">
        <f>IF(T1325="","",IF(OR(AU1325="",AU1325="-"),"－",IF(OR(AZ1325=8,AZ1325=9),"",IF(OR(AW1325=3,AW1325=4,AW1325=5,AW1325=6),VLOOKUP(AU1325,INDEX((係数_バス貨物_ガソリン,係数_バス貨物_CNG,係数_バス貨物_軽油,係数_バス貨物_メタノール,係数_バス貨物_LPG),MATCH(AY1325,【参考】排出係数!$AI$4:$AI$671,1),1,BE1325):INDEX((係数_バス貨物_ガソリン,係数_バス貨物_CNG,係数_バス貨物_軽油,係数_バス貨物_メタノール,係数_バス貨物_LPG),MATCH(AY1325+1,【参考】排出係数!$AI$4:$AI$671,1)-1,5,BE1325),3,FALSE),IF(OR(AW1325=1,AW1325=2),VLOOKUP(AU1325,INDEX((係数_乗用_ガソリン,係数_乗用_CNG,係数_乗用_軽油,係数_乗用_メタノール,係数_乗用_LPG),1,1,BE1325):INDEX((係数_乗用_ガソリン,係数_乗用_CNG,係数_乗用_軽油,係数_乗用_メタノール,係数_乗用_LPG),125,5,BE1325),3,FALSE))))))</f>
        <v/>
      </c>
      <c r="BC1325" s="467" t="str">
        <f t="shared" si="748"/>
        <v/>
      </c>
      <c r="BD1325" s="567" t="str">
        <f t="shared" si="749"/>
        <v/>
      </c>
      <c r="BE1325" s="467" t="str">
        <f t="shared" si="750"/>
        <v/>
      </c>
      <c r="BF1325" s="469" t="str">
        <f t="shared" ca="1" si="751"/>
        <v/>
      </c>
      <c r="BG1325" s="469" t="str">
        <f t="shared" ca="1" si="752"/>
        <v/>
      </c>
      <c r="BH1325" s="467" t="str">
        <f t="shared" si="753"/>
        <v/>
      </c>
      <c r="BI1325" s="467" t="str">
        <f t="shared" ca="1" si="754"/>
        <v/>
      </c>
      <c r="BJ1325" s="469" t="str">
        <f t="shared" si="755"/>
        <v/>
      </c>
      <c r="BK1325" s="470" t="str">
        <f t="shared" si="739"/>
        <v/>
      </c>
      <c r="BL1325" s="775" t="str">
        <f t="shared" si="756"/>
        <v/>
      </c>
      <c r="BM1325" s="775" t="str">
        <f t="shared" si="757"/>
        <v/>
      </c>
    </row>
    <row r="1326" spans="1:65">
      <c r="A1326" s="473">
        <v>1270</v>
      </c>
      <c r="B1326" s="132"/>
      <c r="C1326" s="332"/>
      <c r="D1326" s="333"/>
      <c r="E1326" s="333"/>
      <c r="F1326" s="334"/>
      <c r="G1326" s="337"/>
      <c r="H1326" s="131"/>
      <c r="I1326" s="337"/>
      <c r="J1326" s="131"/>
      <c r="K1326" s="458" t="str">
        <f t="shared" si="758"/>
        <v/>
      </c>
      <c r="L1326" s="458">
        <f t="shared" si="759"/>
        <v>0</v>
      </c>
      <c r="M1326" s="458">
        <f t="shared" si="760"/>
        <v>0</v>
      </c>
      <c r="N1326" s="459" t="str">
        <f t="shared" si="733"/>
        <v/>
      </c>
      <c r="O1326" s="459" t="str">
        <f t="shared" si="734"/>
        <v/>
      </c>
      <c r="P1326" s="459" t="str">
        <f t="shared" si="735"/>
        <v/>
      </c>
      <c r="Q1326" s="459" t="str">
        <f t="shared" si="736"/>
        <v/>
      </c>
      <c r="R1326" s="459" t="str">
        <f t="shared" si="737"/>
        <v/>
      </c>
      <c r="S1326" s="459" t="str">
        <f t="shared" si="738"/>
        <v/>
      </c>
      <c r="T1326" s="566" t="str">
        <f t="shared" si="761"/>
        <v/>
      </c>
      <c r="U1326" s="702"/>
      <c r="V1326" s="132"/>
      <c r="W1326" s="133"/>
      <c r="X1326" s="134"/>
      <c r="Y1326" s="135"/>
      <c r="Z1326" s="137"/>
      <c r="AA1326" s="136"/>
      <c r="AB1326" s="566" t="str">
        <f t="shared" si="762"/>
        <v/>
      </c>
      <c r="AC1326" s="568" t="str">
        <f t="shared" si="763"/>
        <v/>
      </c>
      <c r="AD1326" s="137"/>
      <c r="AE1326" s="137"/>
      <c r="AF1326" s="138"/>
      <c r="AG1326" s="138"/>
      <c r="AH1326" s="592" t="str">
        <f t="shared" si="764"/>
        <v/>
      </c>
      <c r="AI1326" s="592" t="str">
        <f t="shared" si="765"/>
        <v/>
      </c>
      <c r="AJ1326" s="592" t="str">
        <f t="shared" si="766"/>
        <v/>
      </c>
      <c r="AK1326" s="460" t="str">
        <f>IF(AU1326="","",IF(OR(AZ1326=8,AZ1326=9),0,IF(OR(AW1326=3,AW1326=4,AW1326=5,AW1326=6),IF(LEFT(BF1326,1)="1",INDEX(係数_NOX・PM低減,MATCH(AY1326,【参考】排出係数!$AI$801:$AI$804,1),1),VLOOKUP(AU1326,INDEX((係数_バス貨物_ガソリン,係数_バス貨物_CNG,係数_バス貨物_軽油,係数_バス貨物_メタノール,係数_バス貨物_LPG),MATCH(AY1326,【参考】排出係数!$AI$4:$AI$671,1),1,BE1326):INDEX((係数_バス貨物_ガソリン,係数_バス貨物_CNG,係数_バス貨物_軽油,係数_バス貨物_メタノール,係数_バス貨物_LPG),MATCH(AY1326+1,【参考】排出係数!$AI$4:$AI$671,1)-1,5,BE1326),4,FALSE)),IF(AND(BE1326=3,LEFT(BF1326,1)="1"),0.48,VLOOKUP(AU1326,INDEX((係数_乗用_ガソリン,係数_乗用_CNG,係数_乗用_軽油,係数_乗用_メタノール,係数_乗用_LPG),1,1,BE1326):INDEX((係数_乗用_ガソリン,係数_乗用_CNG,係数_乗用_軽油,係数_乗用_メタノール,係数_乗用_LPG),125,5,BE1326),4,FALSE)))))</f>
        <v/>
      </c>
      <c r="AL1326" s="461" t="str">
        <f t="shared" si="767"/>
        <v/>
      </c>
      <c r="AM1326" s="460" t="str">
        <f>IF(AU1326="","",IF(OR(AZ1326=8,AZ1326=9),0,IF(OR(AW1326=3,AW1326=4,AW1326=5,AW1326=6),IF(LEFT(BH1326,1)="1",INDEX(係数_PM低減,MATCH(AY1326,【参考】排出係数!$AI$801:$AI$804,1),MATCH(BI1326,【参考】排出係数!$AL$798:$AO$798,1)),VLOOKUP(AU1326,INDEX((係数_バス貨物_ガソリン,係数_バス貨物_CNG,係数_バス貨物_軽油,係数_バス貨物_メタノール,係数_バス貨物_LPG),MATCH(AY1326,【参考】排出係数!$AI$4:$AI$671,1),1,BE1326):INDEX((係数_バス貨物_ガソリン,係数_バス貨物_CNG,係数_バス貨物_軽油,係数_バス貨物_メタノール,係数_バス貨物_LPG),MATCH(AY1326+1,【参考】排出係数!$AI$4:$AI$671,1)-1,5,BE1326),5,FALSE)),IF(AND(BE1326=3,LEFT(BF1326,1)="1"),0.055,VLOOKUP(AU1326,INDEX((係数_乗用_ガソリン,係数_乗用_CNG,係数_乗用_軽油,係数_乗用_メタノール,係数_乗用_LPG),1,1,BE1326):INDEX((係数_乗用_ガソリン,係数_乗用_CNG,係数_乗用_軽油,係数_乗用_メタノール,係数_乗用_LPG),125,5,BE1326),5,FALSE)))))</f>
        <v/>
      </c>
      <c r="AN1326" s="461" t="str">
        <f t="shared" si="768"/>
        <v/>
      </c>
      <c r="AO1326" s="462" t="str">
        <f t="shared" si="769"/>
        <v/>
      </c>
      <c r="AP1326" s="463" t="str">
        <f t="shared" si="770"/>
        <v/>
      </c>
      <c r="AQ1326" s="464"/>
      <c r="AR1326" s="619"/>
      <c r="AS1326" s="465" t="str">
        <f t="shared" si="740"/>
        <v/>
      </c>
      <c r="AT1326" s="465" t="str">
        <f t="shared" si="741"/>
        <v/>
      </c>
      <c r="AU1326" s="466" t="str">
        <f t="shared" si="742"/>
        <v/>
      </c>
      <c r="AV1326" s="467" t="str">
        <f t="shared" si="743"/>
        <v/>
      </c>
      <c r="AW1326" s="467" t="str">
        <f t="shared" si="744"/>
        <v/>
      </c>
      <c r="AX1326" s="467" t="str">
        <f t="shared" si="745"/>
        <v/>
      </c>
      <c r="AY1326" s="467" t="str">
        <f t="shared" si="746"/>
        <v/>
      </c>
      <c r="AZ1326" s="467" t="str">
        <f t="shared" si="747"/>
        <v/>
      </c>
      <c r="BA1326" s="468" t="str">
        <f>IF(AS1326="","",IF(OR(AU1326="",AU1326="-"),"－",IF(OR(AZ1326=8,AZ1326=9),"",IF(OR(AW1326=3,AW1326=4,AW1326=5,AW1326=6),VLOOKUP(AU1326,INDEX((係数_バス貨物_ガソリン,係数_バス貨物_CNG,係数_バス貨物_軽油,係数_バス貨物_メタノール,係数_バス貨物_LPG),MATCH(AY1326,【参考】排出係数!$AI$4:$AI$671,1),1,BE1326):INDEX((係数_バス貨物_ガソリン,係数_バス貨物_CNG,係数_バス貨物_軽油,係数_バス貨物_メタノール,係数_バス貨物_LPG),MATCH(AY1326+1,【参考】排出係数!$AI$4:$AI$671,1)-1,5,BE1326),2,FALSE),IF(OR(AW1326=1,AW1326=2),VLOOKUP(AU1326,INDEX((係数_乗用_ガソリン,係数_乗用_CNG,係数_乗用_軽油,係数_乗用_メタノール,係数_乗用_LPG),1,1,BE1326):INDEX((係数_乗用_ガソリン,係数_乗用_CNG,係数_乗用_軽油,係数_乗用_メタノール,係数_乗用_LPG),125,5,BE1326),2,FALSE))))))</f>
        <v/>
      </c>
      <c r="BB1326" s="468" t="str">
        <f>IF(T1326="","",IF(OR(AU1326="",AU1326="-"),"－",IF(OR(AZ1326=8,AZ1326=9),"",IF(OR(AW1326=3,AW1326=4,AW1326=5,AW1326=6),VLOOKUP(AU1326,INDEX((係数_バス貨物_ガソリン,係数_バス貨物_CNG,係数_バス貨物_軽油,係数_バス貨物_メタノール,係数_バス貨物_LPG),MATCH(AY1326,【参考】排出係数!$AI$4:$AI$671,1),1,BE1326):INDEX((係数_バス貨物_ガソリン,係数_バス貨物_CNG,係数_バス貨物_軽油,係数_バス貨物_メタノール,係数_バス貨物_LPG),MATCH(AY1326+1,【参考】排出係数!$AI$4:$AI$671,1)-1,5,BE1326),3,FALSE),IF(OR(AW1326=1,AW1326=2),VLOOKUP(AU1326,INDEX((係数_乗用_ガソリン,係数_乗用_CNG,係数_乗用_軽油,係数_乗用_メタノール,係数_乗用_LPG),1,1,BE1326):INDEX((係数_乗用_ガソリン,係数_乗用_CNG,係数_乗用_軽油,係数_乗用_メタノール,係数_乗用_LPG),125,5,BE1326),3,FALSE))))))</f>
        <v/>
      </c>
      <c r="BC1326" s="467" t="str">
        <f t="shared" si="748"/>
        <v/>
      </c>
      <c r="BD1326" s="567" t="str">
        <f t="shared" si="749"/>
        <v/>
      </c>
      <c r="BE1326" s="467" t="str">
        <f t="shared" si="750"/>
        <v/>
      </c>
      <c r="BF1326" s="469" t="str">
        <f t="shared" ca="1" si="751"/>
        <v/>
      </c>
      <c r="BG1326" s="469" t="str">
        <f t="shared" ca="1" si="752"/>
        <v/>
      </c>
      <c r="BH1326" s="467" t="str">
        <f t="shared" si="753"/>
        <v/>
      </c>
      <c r="BI1326" s="467" t="str">
        <f t="shared" ca="1" si="754"/>
        <v/>
      </c>
      <c r="BJ1326" s="469" t="str">
        <f t="shared" si="755"/>
        <v/>
      </c>
      <c r="BK1326" s="470" t="str">
        <f t="shared" si="739"/>
        <v/>
      </c>
      <c r="BL1326" s="775" t="str">
        <f t="shared" si="756"/>
        <v/>
      </c>
      <c r="BM1326" s="775" t="str">
        <f t="shared" si="757"/>
        <v/>
      </c>
    </row>
    <row r="1327" spans="1:65">
      <c r="A1327" s="473">
        <v>1271</v>
      </c>
      <c r="B1327" s="132"/>
      <c r="C1327" s="332"/>
      <c r="D1327" s="333"/>
      <c r="E1327" s="333"/>
      <c r="F1327" s="334"/>
      <c r="G1327" s="337"/>
      <c r="H1327" s="131"/>
      <c r="I1327" s="337"/>
      <c r="J1327" s="131"/>
      <c r="K1327" s="458" t="str">
        <f t="shared" si="758"/>
        <v/>
      </c>
      <c r="L1327" s="458">
        <f t="shared" si="759"/>
        <v>0</v>
      </c>
      <c r="M1327" s="458">
        <f t="shared" si="760"/>
        <v>0</v>
      </c>
      <c r="N1327" s="459" t="str">
        <f t="shared" si="733"/>
        <v/>
      </c>
      <c r="O1327" s="459" t="str">
        <f t="shared" si="734"/>
        <v/>
      </c>
      <c r="P1327" s="459" t="str">
        <f t="shared" si="735"/>
        <v/>
      </c>
      <c r="Q1327" s="459" t="str">
        <f t="shared" si="736"/>
        <v/>
      </c>
      <c r="R1327" s="459" t="str">
        <f t="shared" si="737"/>
        <v/>
      </c>
      <c r="S1327" s="459" t="str">
        <f t="shared" si="738"/>
        <v/>
      </c>
      <c r="T1327" s="566" t="str">
        <f t="shared" si="761"/>
        <v/>
      </c>
      <c r="U1327" s="702"/>
      <c r="V1327" s="132"/>
      <c r="W1327" s="133"/>
      <c r="X1327" s="134"/>
      <c r="Y1327" s="135"/>
      <c r="Z1327" s="137"/>
      <c r="AA1327" s="136"/>
      <c r="AB1327" s="566" t="str">
        <f t="shared" si="762"/>
        <v/>
      </c>
      <c r="AC1327" s="568" t="str">
        <f t="shared" si="763"/>
        <v/>
      </c>
      <c r="AD1327" s="137"/>
      <c r="AE1327" s="137"/>
      <c r="AF1327" s="138"/>
      <c r="AG1327" s="138"/>
      <c r="AH1327" s="592" t="str">
        <f t="shared" si="764"/>
        <v/>
      </c>
      <c r="AI1327" s="592" t="str">
        <f t="shared" si="765"/>
        <v/>
      </c>
      <c r="AJ1327" s="592" t="str">
        <f t="shared" si="766"/>
        <v/>
      </c>
      <c r="AK1327" s="460" t="str">
        <f>IF(AU1327="","",IF(OR(AZ1327=8,AZ1327=9),0,IF(OR(AW1327=3,AW1327=4,AW1327=5,AW1327=6),IF(LEFT(BF1327,1)="1",INDEX(係数_NOX・PM低減,MATCH(AY1327,【参考】排出係数!$AI$801:$AI$804,1),1),VLOOKUP(AU1327,INDEX((係数_バス貨物_ガソリン,係数_バス貨物_CNG,係数_バス貨物_軽油,係数_バス貨物_メタノール,係数_バス貨物_LPG),MATCH(AY1327,【参考】排出係数!$AI$4:$AI$671,1),1,BE1327):INDEX((係数_バス貨物_ガソリン,係数_バス貨物_CNG,係数_バス貨物_軽油,係数_バス貨物_メタノール,係数_バス貨物_LPG),MATCH(AY1327+1,【参考】排出係数!$AI$4:$AI$671,1)-1,5,BE1327),4,FALSE)),IF(AND(BE1327=3,LEFT(BF1327,1)="1"),0.48,VLOOKUP(AU1327,INDEX((係数_乗用_ガソリン,係数_乗用_CNG,係数_乗用_軽油,係数_乗用_メタノール,係数_乗用_LPG),1,1,BE1327):INDEX((係数_乗用_ガソリン,係数_乗用_CNG,係数_乗用_軽油,係数_乗用_メタノール,係数_乗用_LPG),125,5,BE1327),4,FALSE)))))</f>
        <v/>
      </c>
      <c r="AL1327" s="461" t="str">
        <f t="shared" si="767"/>
        <v/>
      </c>
      <c r="AM1327" s="460" t="str">
        <f>IF(AU1327="","",IF(OR(AZ1327=8,AZ1327=9),0,IF(OR(AW1327=3,AW1327=4,AW1327=5,AW1327=6),IF(LEFT(BH1327,1)="1",INDEX(係数_PM低減,MATCH(AY1327,【参考】排出係数!$AI$801:$AI$804,1),MATCH(BI1327,【参考】排出係数!$AL$798:$AO$798,1)),VLOOKUP(AU1327,INDEX((係数_バス貨物_ガソリン,係数_バス貨物_CNG,係数_バス貨物_軽油,係数_バス貨物_メタノール,係数_バス貨物_LPG),MATCH(AY1327,【参考】排出係数!$AI$4:$AI$671,1),1,BE1327):INDEX((係数_バス貨物_ガソリン,係数_バス貨物_CNG,係数_バス貨物_軽油,係数_バス貨物_メタノール,係数_バス貨物_LPG),MATCH(AY1327+1,【参考】排出係数!$AI$4:$AI$671,1)-1,5,BE1327),5,FALSE)),IF(AND(BE1327=3,LEFT(BF1327,1)="1"),0.055,VLOOKUP(AU1327,INDEX((係数_乗用_ガソリン,係数_乗用_CNG,係数_乗用_軽油,係数_乗用_メタノール,係数_乗用_LPG),1,1,BE1327):INDEX((係数_乗用_ガソリン,係数_乗用_CNG,係数_乗用_軽油,係数_乗用_メタノール,係数_乗用_LPG),125,5,BE1327),5,FALSE)))))</f>
        <v/>
      </c>
      <c r="AN1327" s="461" t="str">
        <f t="shared" si="768"/>
        <v/>
      </c>
      <c r="AO1327" s="462" t="str">
        <f t="shared" si="769"/>
        <v/>
      </c>
      <c r="AP1327" s="463" t="str">
        <f t="shared" si="770"/>
        <v/>
      </c>
      <c r="AQ1327" s="464"/>
      <c r="AR1327" s="619"/>
      <c r="AS1327" s="465" t="str">
        <f t="shared" si="740"/>
        <v/>
      </c>
      <c r="AT1327" s="465" t="str">
        <f t="shared" si="741"/>
        <v/>
      </c>
      <c r="AU1327" s="466" t="str">
        <f t="shared" si="742"/>
        <v/>
      </c>
      <c r="AV1327" s="467" t="str">
        <f t="shared" si="743"/>
        <v/>
      </c>
      <c r="AW1327" s="467" t="str">
        <f t="shared" si="744"/>
        <v/>
      </c>
      <c r="AX1327" s="467" t="str">
        <f t="shared" si="745"/>
        <v/>
      </c>
      <c r="AY1327" s="467" t="str">
        <f t="shared" si="746"/>
        <v/>
      </c>
      <c r="AZ1327" s="467" t="str">
        <f t="shared" si="747"/>
        <v/>
      </c>
      <c r="BA1327" s="468" t="str">
        <f>IF(AS1327="","",IF(OR(AU1327="",AU1327="-"),"－",IF(OR(AZ1327=8,AZ1327=9),"",IF(OR(AW1327=3,AW1327=4,AW1327=5,AW1327=6),VLOOKUP(AU1327,INDEX((係数_バス貨物_ガソリン,係数_バス貨物_CNG,係数_バス貨物_軽油,係数_バス貨物_メタノール,係数_バス貨物_LPG),MATCH(AY1327,【参考】排出係数!$AI$4:$AI$671,1),1,BE1327):INDEX((係数_バス貨物_ガソリン,係数_バス貨物_CNG,係数_バス貨物_軽油,係数_バス貨物_メタノール,係数_バス貨物_LPG),MATCH(AY1327+1,【参考】排出係数!$AI$4:$AI$671,1)-1,5,BE1327),2,FALSE),IF(OR(AW1327=1,AW1327=2),VLOOKUP(AU1327,INDEX((係数_乗用_ガソリン,係数_乗用_CNG,係数_乗用_軽油,係数_乗用_メタノール,係数_乗用_LPG),1,1,BE1327):INDEX((係数_乗用_ガソリン,係数_乗用_CNG,係数_乗用_軽油,係数_乗用_メタノール,係数_乗用_LPG),125,5,BE1327),2,FALSE))))))</f>
        <v/>
      </c>
      <c r="BB1327" s="468" t="str">
        <f>IF(T1327="","",IF(OR(AU1327="",AU1327="-"),"－",IF(OR(AZ1327=8,AZ1327=9),"",IF(OR(AW1327=3,AW1327=4,AW1327=5,AW1327=6),VLOOKUP(AU1327,INDEX((係数_バス貨物_ガソリン,係数_バス貨物_CNG,係数_バス貨物_軽油,係数_バス貨物_メタノール,係数_バス貨物_LPG),MATCH(AY1327,【参考】排出係数!$AI$4:$AI$671,1),1,BE1327):INDEX((係数_バス貨物_ガソリン,係数_バス貨物_CNG,係数_バス貨物_軽油,係数_バス貨物_メタノール,係数_バス貨物_LPG),MATCH(AY1327+1,【参考】排出係数!$AI$4:$AI$671,1)-1,5,BE1327),3,FALSE),IF(OR(AW1327=1,AW1327=2),VLOOKUP(AU1327,INDEX((係数_乗用_ガソリン,係数_乗用_CNG,係数_乗用_軽油,係数_乗用_メタノール,係数_乗用_LPG),1,1,BE1327):INDEX((係数_乗用_ガソリン,係数_乗用_CNG,係数_乗用_軽油,係数_乗用_メタノール,係数_乗用_LPG),125,5,BE1327),3,FALSE))))))</f>
        <v/>
      </c>
      <c r="BC1327" s="467" t="str">
        <f t="shared" si="748"/>
        <v/>
      </c>
      <c r="BD1327" s="567" t="str">
        <f t="shared" si="749"/>
        <v/>
      </c>
      <c r="BE1327" s="467" t="str">
        <f t="shared" si="750"/>
        <v/>
      </c>
      <c r="BF1327" s="469" t="str">
        <f t="shared" ca="1" si="751"/>
        <v/>
      </c>
      <c r="BG1327" s="469" t="str">
        <f t="shared" ca="1" si="752"/>
        <v/>
      </c>
      <c r="BH1327" s="467" t="str">
        <f t="shared" si="753"/>
        <v/>
      </c>
      <c r="BI1327" s="467" t="str">
        <f t="shared" ca="1" si="754"/>
        <v/>
      </c>
      <c r="BJ1327" s="469" t="str">
        <f t="shared" si="755"/>
        <v/>
      </c>
      <c r="BK1327" s="470" t="str">
        <f t="shared" si="739"/>
        <v/>
      </c>
      <c r="BL1327" s="775" t="str">
        <f t="shared" si="756"/>
        <v/>
      </c>
      <c r="BM1327" s="775" t="str">
        <f t="shared" si="757"/>
        <v/>
      </c>
    </row>
    <row r="1328" spans="1:65">
      <c r="A1328" s="473">
        <v>1272</v>
      </c>
      <c r="B1328" s="132"/>
      <c r="C1328" s="332"/>
      <c r="D1328" s="333"/>
      <c r="E1328" s="333"/>
      <c r="F1328" s="334"/>
      <c r="G1328" s="337"/>
      <c r="H1328" s="131"/>
      <c r="I1328" s="337"/>
      <c r="J1328" s="131"/>
      <c r="K1328" s="458" t="str">
        <f t="shared" si="758"/>
        <v/>
      </c>
      <c r="L1328" s="458">
        <f t="shared" si="759"/>
        <v>0</v>
      </c>
      <c r="M1328" s="458">
        <f t="shared" si="760"/>
        <v>0</v>
      </c>
      <c r="N1328" s="459" t="str">
        <f t="shared" si="733"/>
        <v/>
      </c>
      <c r="O1328" s="459" t="str">
        <f t="shared" si="734"/>
        <v/>
      </c>
      <c r="P1328" s="459" t="str">
        <f t="shared" si="735"/>
        <v/>
      </c>
      <c r="Q1328" s="459" t="str">
        <f t="shared" si="736"/>
        <v/>
      </c>
      <c r="R1328" s="459" t="str">
        <f t="shared" si="737"/>
        <v/>
      </c>
      <c r="S1328" s="459" t="str">
        <f t="shared" si="738"/>
        <v/>
      </c>
      <c r="T1328" s="566" t="str">
        <f t="shared" si="761"/>
        <v/>
      </c>
      <c r="U1328" s="702"/>
      <c r="V1328" s="132"/>
      <c r="W1328" s="133"/>
      <c r="X1328" s="134"/>
      <c r="Y1328" s="135"/>
      <c r="Z1328" s="137"/>
      <c r="AA1328" s="136"/>
      <c r="AB1328" s="566" t="str">
        <f t="shared" si="762"/>
        <v/>
      </c>
      <c r="AC1328" s="568" t="str">
        <f t="shared" si="763"/>
        <v/>
      </c>
      <c r="AD1328" s="137"/>
      <c r="AE1328" s="137"/>
      <c r="AF1328" s="138"/>
      <c r="AG1328" s="138"/>
      <c r="AH1328" s="592" t="str">
        <f t="shared" si="764"/>
        <v/>
      </c>
      <c r="AI1328" s="592" t="str">
        <f t="shared" si="765"/>
        <v/>
      </c>
      <c r="AJ1328" s="592" t="str">
        <f t="shared" si="766"/>
        <v/>
      </c>
      <c r="AK1328" s="460" t="str">
        <f>IF(AU1328="","",IF(OR(AZ1328=8,AZ1328=9),0,IF(OR(AW1328=3,AW1328=4,AW1328=5,AW1328=6),IF(LEFT(BF1328,1)="1",INDEX(係数_NOX・PM低減,MATCH(AY1328,【参考】排出係数!$AI$801:$AI$804,1),1),VLOOKUP(AU1328,INDEX((係数_バス貨物_ガソリン,係数_バス貨物_CNG,係数_バス貨物_軽油,係数_バス貨物_メタノール,係数_バス貨物_LPG),MATCH(AY1328,【参考】排出係数!$AI$4:$AI$671,1),1,BE1328):INDEX((係数_バス貨物_ガソリン,係数_バス貨物_CNG,係数_バス貨物_軽油,係数_バス貨物_メタノール,係数_バス貨物_LPG),MATCH(AY1328+1,【参考】排出係数!$AI$4:$AI$671,1)-1,5,BE1328),4,FALSE)),IF(AND(BE1328=3,LEFT(BF1328,1)="1"),0.48,VLOOKUP(AU1328,INDEX((係数_乗用_ガソリン,係数_乗用_CNG,係数_乗用_軽油,係数_乗用_メタノール,係数_乗用_LPG),1,1,BE1328):INDEX((係数_乗用_ガソリン,係数_乗用_CNG,係数_乗用_軽油,係数_乗用_メタノール,係数_乗用_LPG),125,5,BE1328),4,FALSE)))))</f>
        <v/>
      </c>
      <c r="AL1328" s="461" t="str">
        <f t="shared" si="767"/>
        <v/>
      </c>
      <c r="AM1328" s="460" t="str">
        <f>IF(AU1328="","",IF(OR(AZ1328=8,AZ1328=9),0,IF(OR(AW1328=3,AW1328=4,AW1328=5,AW1328=6),IF(LEFT(BH1328,1)="1",INDEX(係数_PM低減,MATCH(AY1328,【参考】排出係数!$AI$801:$AI$804,1),MATCH(BI1328,【参考】排出係数!$AL$798:$AO$798,1)),VLOOKUP(AU1328,INDEX((係数_バス貨物_ガソリン,係数_バス貨物_CNG,係数_バス貨物_軽油,係数_バス貨物_メタノール,係数_バス貨物_LPG),MATCH(AY1328,【参考】排出係数!$AI$4:$AI$671,1),1,BE1328):INDEX((係数_バス貨物_ガソリン,係数_バス貨物_CNG,係数_バス貨物_軽油,係数_バス貨物_メタノール,係数_バス貨物_LPG),MATCH(AY1328+1,【参考】排出係数!$AI$4:$AI$671,1)-1,5,BE1328),5,FALSE)),IF(AND(BE1328=3,LEFT(BF1328,1)="1"),0.055,VLOOKUP(AU1328,INDEX((係数_乗用_ガソリン,係数_乗用_CNG,係数_乗用_軽油,係数_乗用_メタノール,係数_乗用_LPG),1,1,BE1328):INDEX((係数_乗用_ガソリン,係数_乗用_CNG,係数_乗用_軽油,係数_乗用_メタノール,係数_乗用_LPG),125,5,BE1328),5,FALSE)))))</f>
        <v/>
      </c>
      <c r="AN1328" s="461" t="str">
        <f t="shared" si="768"/>
        <v/>
      </c>
      <c r="AO1328" s="462" t="str">
        <f t="shared" si="769"/>
        <v/>
      </c>
      <c r="AP1328" s="463" t="str">
        <f t="shared" si="770"/>
        <v/>
      </c>
      <c r="AQ1328" s="464"/>
      <c r="AR1328" s="619"/>
      <c r="AS1328" s="465" t="str">
        <f t="shared" si="740"/>
        <v/>
      </c>
      <c r="AT1328" s="465" t="str">
        <f t="shared" si="741"/>
        <v/>
      </c>
      <c r="AU1328" s="466" t="str">
        <f t="shared" si="742"/>
        <v/>
      </c>
      <c r="AV1328" s="467" t="str">
        <f t="shared" si="743"/>
        <v/>
      </c>
      <c r="AW1328" s="467" t="str">
        <f t="shared" si="744"/>
        <v/>
      </c>
      <c r="AX1328" s="467" t="str">
        <f t="shared" si="745"/>
        <v/>
      </c>
      <c r="AY1328" s="467" t="str">
        <f t="shared" si="746"/>
        <v/>
      </c>
      <c r="AZ1328" s="467" t="str">
        <f t="shared" si="747"/>
        <v/>
      </c>
      <c r="BA1328" s="468" t="str">
        <f>IF(AS1328="","",IF(OR(AU1328="",AU1328="-"),"－",IF(OR(AZ1328=8,AZ1328=9),"",IF(OR(AW1328=3,AW1328=4,AW1328=5,AW1328=6),VLOOKUP(AU1328,INDEX((係数_バス貨物_ガソリン,係数_バス貨物_CNG,係数_バス貨物_軽油,係数_バス貨物_メタノール,係数_バス貨物_LPG),MATCH(AY1328,【参考】排出係数!$AI$4:$AI$671,1),1,BE1328):INDEX((係数_バス貨物_ガソリン,係数_バス貨物_CNG,係数_バス貨物_軽油,係数_バス貨物_メタノール,係数_バス貨物_LPG),MATCH(AY1328+1,【参考】排出係数!$AI$4:$AI$671,1)-1,5,BE1328),2,FALSE),IF(OR(AW1328=1,AW1328=2),VLOOKUP(AU1328,INDEX((係数_乗用_ガソリン,係数_乗用_CNG,係数_乗用_軽油,係数_乗用_メタノール,係数_乗用_LPG),1,1,BE1328):INDEX((係数_乗用_ガソリン,係数_乗用_CNG,係数_乗用_軽油,係数_乗用_メタノール,係数_乗用_LPG),125,5,BE1328),2,FALSE))))))</f>
        <v/>
      </c>
      <c r="BB1328" s="468" t="str">
        <f>IF(T1328="","",IF(OR(AU1328="",AU1328="-"),"－",IF(OR(AZ1328=8,AZ1328=9),"",IF(OR(AW1328=3,AW1328=4,AW1328=5,AW1328=6),VLOOKUP(AU1328,INDEX((係数_バス貨物_ガソリン,係数_バス貨物_CNG,係数_バス貨物_軽油,係数_バス貨物_メタノール,係数_バス貨物_LPG),MATCH(AY1328,【参考】排出係数!$AI$4:$AI$671,1),1,BE1328):INDEX((係数_バス貨物_ガソリン,係数_バス貨物_CNG,係数_バス貨物_軽油,係数_バス貨物_メタノール,係数_バス貨物_LPG),MATCH(AY1328+1,【参考】排出係数!$AI$4:$AI$671,1)-1,5,BE1328),3,FALSE),IF(OR(AW1328=1,AW1328=2),VLOOKUP(AU1328,INDEX((係数_乗用_ガソリン,係数_乗用_CNG,係数_乗用_軽油,係数_乗用_メタノール,係数_乗用_LPG),1,1,BE1328):INDEX((係数_乗用_ガソリン,係数_乗用_CNG,係数_乗用_軽油,係数_乗用_メタノール,係数_乗用_LPG),125,5,BE1328),3,FALSE))))))</f>
        <v/>
      </c>
      <c r="BC1328" s="467" t="str">
        <f t="shared" si="748"/>
        <v/>
      </c>
      <c r="BD1328" s="567" t="str">
        <f t="shared" si="749"/>
        <v/>
      </c>
      <c r="BE1328" s="467" t="str">
        <f t="shared" si="750"/>
        <v/>
      </c>
      <c r="BF1328" s="469" t="str">
        <f t="shared" ca="1" si="751"/>
        <v/>
      </c>
      <c r="BG1328" s="469" t="str">
        <f t="shared" ca="1" si="752"/>
        <v/>
      </c>
      <c r="BH1328" s="467" t="str">
        <f t="shared" si="753"/>
        <v/>
      </c>
      <c r="BI1328" s="467" t="str">
        <f t="shared" ca="1" si="754"/>
        <v/>
      </c>
      <c r="BJ1328" s="469" t="str">
        <f t="shared" si="755"/>
        <v/>
      </c>
      <c r="BK1328" s="470" t="str">
        <f t="shared" si="739"/>
        <v/>
      </c>
      <c r="BL1328" s="775" t="str">
        <f t="shared" si="756"/>
        <v/>
      </c>
      <c r="BM1328" s="775" t="str">
        <f t="shared" si="757"/>
        <v/>
      </c>
    </row>
    <row r="1329" spans="1:65">
      <c r="A1329" s="473">
        <v>1273</v>
      </c>
      <c r="B1329" s="132"/>
      <c r="C1329" s="332"/>
      <c r="D1329" s="333"/>
      <c r="E1329" s="333"/>
      <c r="F1329" s="334"/>
      <c r="G1329" s="337"/>
      <c r="H1329" s="131"/>
      <c r="I1329" s="337"/>
      <c r="J1329" s="131"/>
      <c r="K1329" s="458" t="str">
        <f t="shared" si="758"/>
        <v/>
      </c>
      <c r="L1329" s="458">
        <f t="shared" si="759"/>
        <v>0</v>
      </c>
      <c r="M1329" s="458">
        <f t="shared" si="760"/>
        <v>0</v>
      </c>
      <c r="N1329" s="459" t="str">
        <f t="shared" si="733"/>
        <v/>
      </c>
      <c r="O1329" s="459" t="str">
        <f t="shared" si="734"/>
        <v/>
      </c>
      <c r="P1329" s="459" t="str">
        <f t="shared" si="735"/>
        <v/>
      </c>
      <c r="Q1329" s="459" t="str">
        <f t="shared" si="736"/>
        <v/>
      </c>
      <c r="R1329" s="459" t="str">
        <f t="shared" si="737"/>
        <v/>
      </c>
      <c r="S1329" s="459" t="str">
        <f t="shared" si="738"/>
        <v/>
      </c>
      <c r="T1329" s="566" t="str">
        <f t="shared" si="761"/>
        <v/>
      </c>
      <c r="U1329" s="702"/>
      <c r="V1329" s="132"/>
      <c r="W1329" s="133"/>
      <c r="X1329" s="134"/>
      <c r="Y1329" s="135"/>
      <c r="Z1329" s="137"/>
      <c r="AA1329" s="136"/>
      <c r="AB1329" s="566" t="str">
        <f t="shared" si="762"/>
        <v/>
      </c>
      <c r="AC1329" s="568" t="str">
        <f t="shared" si="763"/>
        <v/>
      </c>
      <c r="AD1329" s="137"/>
      <c r="AE1329" s="137"/>
      <c r="AF1329" s="138"/>
      <c r="AG1329" s="138"/>
      <c r="AH1329" s="592" t="str">
        <f t="shared" si="764"/>
        <v/>
      </c>
      <c r="AI1329" s="592" t="str">
        <f t="shared" si="765"/>
        <v/>
      </c>
      <c r="AJ1329" s="592" t="str">
        <f t="shared" si="766"/>
        <v/>
      </c>
      <c r="AK1329" s="460" t="str">
        <f>IF(AU1329="","",IF(OR(AZ1329=8,AZ1329=9),0,IF(OR(AW1329=3,AW1329=4,AW1329=5,AW1329=6),IF(LEFT(BF1329,1)="1",INDEX(係数_NOX・PM低減,MATCH(AY1329,【参考】排出係数!$AI$801:$AI$804,1),1),VLOOKUP(AU1329,INDEX((係数_バス貨物_ガソリン,係数_バス貨物_CNG,係数_バス貨物_軽油,係数_バス貨物_メタノール,係数_バス貨物_LPG),MATCH(AY1329,【参考】排出係数!$AI$4:$AI$671,1),1,BE1329):INDEX((係数_バス貨物_ガソリン,係数_バス貨物_CNG,係数_バス貨物_軽油,係数_バス貨物_メタノール,係数_バス貨物_LPG),MATCH(AY1329+1,【参考】排出係数!$AI$4:$AI$671,1)-1,5,BE1329),4,FALSE)),IF(AND(BE1329=3,LEFT(BF1329,1)="1"),0.48,VLOOKUP(AU1329,INDEX((係数_乗用_ガソリン,係数_乗用_CNG,係数_乗用_軽油,係数_乗用_メタノール,係数_乗用_LPG),1,1,BE1329):INDEX((係数_乗用_ガソリン,係数_乗用_CNG,係数_乗用_軽油,係数_乗用_メタノール,係数_乗用_LPG),125,5,BE1329),4,FALSE)))))</f>
        <v/>
      </c>
      <c r="AL1329" s="461" t="str">
        <f t="shared" si="767"/>
        <v/>
      </c>
      <c r="AM1329" s="460" t="str">
        <f>IF(AU1329="","",IF(OR(AZ1329=8,AZ1329=9),0,IF(OR(AW1329=3,AW1329=4,AW1329=5,AW1329=6),IF(LEFT(BH1329,1)="1",INDEX(係数_PM低減,MATCH(AY1329,【参考】排出係数!$AI$801:$AI$804,1),MATCH(BI1329,【参考】排出係数!$AL$798:$AO$798,1)),VLOOKUP(AU1329,INDEX((係数_バス貨物_ガソリン,係数_バス貨物_CNG,係数_バス貨物_軽油,係数_バス貨物_メタノール,係数_バス貨物_LPG),MATCH(AY1329,【参考】排出係数!$AI$4:$AI$671,1),1,BE1329):INDEX((係数_バス貨物_ガソリン,係数_バス貨物_CNG,係数_バス貨物_軽油,係数_バス貨物_メタノール,係数_バス貨物_LPG),MATCH(AY1329+1,【参考】排出係数!$AI$4:$AI$671,1)-1,5,BE1329),5,FALSE)),IF(AND(BE1329=3,LEFT(BF1329,1)="1"),0.055,VLOOKUP(AU1329,INDEX((係数_乗用_ガソリン,係数_乗用_CNG,係数_乗用_軽油,係数_乗用_メタノール,係数_乗用_LPG),1,1,BE1329):INDEX((係数_乗用_ガソリン,係数_乗用_CNG,係数_乗用_軽油,係数_乗用_メタノール,係数_乗用_LPG),125,5,BE1329),5,FALSE)))))</f>
        <v/>
      </c>
      <c r="AN1329" s="461" t="str">
        <f t="shared" si="768"/>
        <v/>
      </c>
      <c r="AO1329" s="462" t="str">
        <f t="shared" si="769"/>
        <v/>
      </c>
      <c r="AP1329" s="463" t="str">
        <f t="shared" si="770"/>
        <v/>
      </c>
      <c r="AQ1329" s="464"/>
      <c r="AR1329" s="619"/>
      <c r="AS1329" s="465" t="str">
        <f t="shared" si="740"/>
        <v/>
      </c>
      <c r="AT1329" s="465" t="str">
        <f t="shared" si="741"/>
        <v/>
      </c>
      <c r="AU1329" s="466" t="str">
        <f t="shared" si="742"/>
        <v/>
      </c>
      <c r="AV1329" s="467" t="str">
        <f t="shared" si="743"/>
        <v/>
      </c>
      <c r="AW1329" s="467" t="str">
        <f t="shared" si="744"/>
        <v/>
      </c>
      <c r="AX1329" s="467" t="str">
        <f t="shared" si="745"/>
        <v/>
      </c>
      <c r="AY1329" s="467" t="str">
        <f t="shared" si="746"/>
        <v/>
      </c>
      <c r="AZ1329" s="467" t="str">
        <f t="shared" si="747"/>
        <v/>
      </c>
      <c r="BA1329" s="468" t="str">
        <f>IF(AS1329="","",IF(OR(AU1329="",AU1329="-"),"－",IF(OR(AZ1329=8,AZ1329=9),"",IF(OR(AW1329=3,AW1329=4,AW1329=5,AW1329=6),VLOOKUP(AU1329,INDEX((係数_バス貨物_ガソリン,係数_バス貨物_CNG,係数_バス貨物_軽油,係数_バス貨物_メタノール,係数_バス貨物_LPG),MATCH(AY1329,【参考】排出係数!$AI$4:$AI$671,1),1,BE1329):INDEX((係数_バス貨物_ガソリン,係数_バス貨物_CNG,係数_バス貨物_軽油,係数_バス貨物_メタノール,係数_バス貨物_LPG),MATCH(AY1329+1,【参考】排出係数!$AI$4:$AI$671,1)-1,5,BE1329),2,FALSE),IF(OR(AW1329=1,AW1329=2),VLOOKUP(AU1329,INDEX((係数_乗用_ガソリン,係数_乗用_CNG,係数_乗用_軽油,係数_乗用_メタノール,係数_乗用_LPG),1,1,BE1329):INDEX((係数_乗用_ガソリン,係数_乗用_CNG,係数_乗用_軽油,係数_乗用_メタノール,係数_乗用_LPG),125,5,BE1329),2,FALSE))))))</f>
        <v/>
      </c>
      <c r="BB1329" s="468" t="str">
        <f>IF(T1329="","",IF(OR(AU1329="",AU1329="-"),"－",IF(OR(AZ1329=8,AZ1329=9),"",IF(OR(AW1329=3,AW1329=4,AW1329=5,AW1329=6),VLOOKUP(AU1329,INDEX((係数_バス貨物_ガソリン,係数_バス貨物_CNG,係数_バス貨物_軽油,係数_バス貨物_メタノール,係数_バス貨物_LPG),MATCH(AY1329,【参考】排出係数!$AI$4:$AI$671,1),1,BE1329):INDEX((係数_バス貨物_ガソリン,係数_バス貨物_CNG,係数_バス貨物_軽油,係数_バス貨物_メタノール,係数_バス貨物_LPG),MATCH(AY1329+1,【参考】排出係数!$AI$4:$AI$671,1)-1,5,BE1329),3,FALSE),IF(OR(AW1329=1,AW1329=2),VLOOKUP(AU1329,INDEX((係数_乗用_ガソリン,係数_乗用_CNG,係数_乗用_軽油,係数_乗用_メタノール,係数_乗用_LPG),1,1,BE1329):INDEX((係数_乗用_ガソリン,係数_乗用_CNG,係数_乗用_軽油,係数_乗用_メタノール,係数_乗用_LPG),125,5,BE1329),3,FALSE))))))</f>
        <v/>
      </c>
      <c r="BC1329" s="467" t="str">
        <f t="shared" si="748"/>
        <v/>
      </c>
      <c r="BD1329" s="567" t="str">
        <f t="shared" si="749"/>
        <v/>
      </c>
      <c r="BE1329" s="467" t="str">
        <f t="shared" si="750"/>
        <v/>
      </c>
      <c r="BF1329" s="469" t="str">
        <f t="shared" ca="1" si="751"/>
        <v/>
      </c>
      <c r="BG1329" s="469" t="str">
        <f t="shared" ca="1" si="752"/>
        <v/>
      </c>
      <c r="BH1329" s="467" t="str">
        <f t="shared" si="753"/>
        <v/>
      </c>
      <c r="BI1329" s="467" t="str">
        <f t="shared" ca="1" si="754"/>
        <v/>
      </c>
      <c r="BJ1329" s="469" t="str">
        <f t="shared" si="755"/>
        <v/>
      </c>
      <c r="BK1329" s="470" t="str">
        <f t="shared" si="739"/>
        <v/>
      </c>
      <c r="BL1329" s="775" t="str">
        <f t="shared" si="756"/>
        <v/>
      </c>
      <c r="BM1329" s="775" t="str">
        <f t="shared" si="757"/>
        <v/>
      </c>
    </row>
    <row r="1330" spans="1:65">
      <c r="A1330" s="473">
        <v>1274</v>
      </c>
      <c r="B1330" s="132"/>
      <c r="C1330" s="332"/>
      <c r="D1330" s="333"/>
      <c r="E1330" s="333"/>
      <c r="F1330" s="334"/>
      <c r="G1330" s="337"/>
      <c r="H1330" s="131"/>
      <c r="I1330" s="337"/>
      <c r="J1330" s="131"/>
      <c r="K1330" s="458" t="str">
        <f t="shared" si="758"/>
        <v/>
      </c>
      <c r="L1330" s="458">
        <f t="shared" si="759"/>
        <v>0</v>
      </c>
      <c r="M1330" s="458">
        <f t="shared" si="760"/>
        <v>0</v>
      </c>
      <c r="N1330" s="459" t="str">
        <f t="shared" si="733"/>
        <v/>
      </c>
      <c r="O1330" s="459" t="str">
        <f t="shared" si="734"/>
        <v/>
      </c>
      <c r="P1330" s="459" t="str">
        <f t="shared" si="735"/>
        <v/>
      </c>
      <c r="Q1330" s="459" t="str">
        <f t="shared" si="736"/>
        <v/>
      </c>
      <c r="R1330" s="459" t="str">
        <f t="shared" si="737"/>
        <v/>
      </c>
      <c r="S1330" s="459" t="str">
        <f t="shared" si="738"/>
        <v/>
      </c>
      <c r="T1330" s="566" t="str">
        <f t="shared" si="761"/>
        <v/>
      </c>
      <c r="U1330" s="702"/>
      <c r="V1330" s="132"/>
      <c r="W1330" s="133"/>
      <c r="X1330" s="134"/>
      <c r="Y1330" s="135"/>
      <c r="Z1330" s="137"/>
      <c r="AA1330" s="136"/>
      <c r="AB1330" s="566" t="str">
        <f t="shared" si="762"/>
        <v/>
      </c>
      <c r="AC1330" s="568" t="str">
        <f t="shared" si="763"/>
        <v/>
      </c>
      <c r="AD1330" s="137"/>
      <c r="AE1330" s="137"/>
      <c r="AF1330" s="138"/>
      <c r="AG1330" s="138"/>
      <c r="AH1330" s="592" t="str">
        <f t="shared" si="764"/>
        <v/>
      </c>
      <c r="AI1330" s="592" t="str">
        <f t="shared" si="765"/>
        <v/>
      </c>
      <c r="AJ1330" s="592" t="str">
        <f t="shared" si="766"/>
        <v/>
      </c>
      <c r="AK1330" s="460" t="str">
        <f>IF(AU1330="","",IF(OR(AZ1330=8,AZ1330=9),0,IF(OR(AW1330=3,AW1330=4,AW1330=5,AW1330=6),IF(LEFT(BF1330,1)="1",INDEX(係数_NOX・PM低減,MATCH(AY1330,【参考】排出係数!$AI$801:$AI$804,1),1),VLOOKUP(AU1330,INDEX((係数_バス貨物_ガソリン,係数_バス貨物_CNG,係数_バス貨物_軽油,係数_バス貨物_メタノール,係数_バス貨物_LPG),MATCH(AY1330,【参考】排出係数!$AI$4:$AI$671,1),1,BE1330):INDEX((係数_バス貨物_ガソリン,係数_バス貨物_CNG,係数_バス貨物_軽油,係数_バス貨物_メタノール,係数_バス貨物_LPG),MATCH(AY1330+1,【参考】排出係数!$AI$4:$AI$671,1)-1,5,BE1330),4,FALSE)),IF(AND(BE1330=3,LEFT(BF1330,1)="1"),0.48,VLOOKUP(AU1330,INDEX((係数_乗用_ガソリン,係数_乗用_CNG,係数_乗用_軽油,係数_乗用_メタノール,係数_乗用_LPG),1,1,BE1330):INDEX((係数_乗用_ガソリン,係数_乗用_CNG,係数_乗用_軽油,係数_乗用_メタノール,係数_乗用_LPG),125,5,BE1330),4,FALSE)))))</f>
        <v/>
      </c>
      <c r="AL1330" s="461" t="str">
        <f t="shared" si="767"/>
        <v/>
      </c>
      <c r="AM1330" s="460" t="str">
        <f>IF(AU1330="","",IF(OR(AZ1330=8,AZ1330=9),0,IF(OR(AW1330=3,AW1330=4,AW1330=5,AW1330=6),IF(LEFT(BH1330,1)="1",INDEX(係数_PM低減,MATCH(AY1330,【参考】排出係数!$AI$801:$AI$804,1),MATCH(BI1330,【参考】排出係数!$AL$798:$AO$798,1)),VLOOKUP(AU1330,INDEX((係数_バス貨物_ガソリン,係数_バス貨物_CNG,係数_バス貨物_軽油,係数_バス貨物_メタノール,係数_バス貨物_LPG),MATCH(AY1330,【参考】排出係数!$AI$4:$AI$671,1),1,BE1330):INDEX((係数_バス貨物_ガソリン,係数_バス貨物_CNG,係数_バス貨物_軽油,係数_バス貨物_メタノール,係数_バス貨物_LPG),MATCH(AY1330+1,【参考】排出係数!$AI$4:$AI$671,1)-1,5,BE1330),5,FALSE)),IF(AND(BE1330=3,LEFT(BF1330,1)="1"),0.055,VLOOKUP(AU1330,INDEX((係数_乗用_ガソリン,係数_乗用_CNG,係数_乗用_軽油,係数_乗用_メタノール,係数_乗用_LPG),1,1,BE1330):INDEX((係数_乗用_ガソリン,係数_乗用_CNG,係数_乗用_軽油,係数_乗用_メタノール,係数_乗用_LPG),125,5,BE1330),5,FALSE)))))</f>
        <v/>
      </c>
      <c r="AN1330" s="461" t="str">
        <f t="shared" si="768"/>
        <v/>
      </c>
      <c r="AO1330" s="462" t="str">
        <f t="shared" si="769"/>
        <v/>
      </c>
      <c r="AP1330" s="463" t="str">
        <f t="shared" si="770"/>
        <v/>
      </c>
      <c r="AQ1330" s="464"/>
      <c r="AR1330" s="619"/>
      <c r="AS1330" s="465" t="str">
        <f t="shared" si="740"/>
        <v/>
      </c>
      <c r="AT1330" s="465" t="str">
        <f t="shared" si="741"/>
        <v/>
      </c>
      <c r="AU1330" s="466" t="str">
        <f t="shared" si="742"/>
        <v/>
      </c>
      <c r="AV1330" s="467" t="str">
        <f t="shared" si="743"/>
        <v/>
      </c>
      <c r="AW1330" s="467" t="str">
        <f t="shared" si="744"/>
        <v/>
      </c>
      <c r="AX1330" s="467" t="str">
        <f t="shared" si="745"/>
        <v/>
      </c>
      <c r="AY1330" s="467" t="str">
        <f t="shared" si="746"/>
        <v/>
      </c>
      <c r="AZ1330" s="467" t="str">
        <f t="shared" si="747"/>
        <v/>
      </c>
      <c r="BA1330" s="468" t="str">
        <f>IF(AS1330="","",IF(OR(AU1330="",AU1330="-"),"－",IF(OR(AZ1330=8,AZ1330=9),"",IF(OR(AW1330=3,AW1330=4,AW1330=5,AW1330=6),VLOOKUP(AU1330,INDEX((係数_バス貨物_ガソリン,係数_バス貨物_CNG,係数_バス貨物_軽油,係数_バス貨物_メタノール,係数_バス貨物_LPG),MATCH(AY1330,【参考】排出係数!$AI$4:$AI$671,1),1,BE1330):INDEX((係数_バス貨物_ガソリン,係数_バス貨物_CNG,係数_バス貨物_軽油,係数_バス貨物_メタノール,係数_バス貨物_LPG),MATCH(AY1330+1,【参考】排出係数!$AI$4:$AI$671,1)-1,5,BE1330),2,FALSE),IF(OR(AW1330=1,AW1330=2),VLOOKUP(AU1330,INDEX((係数_乗用_ガソリン,係数_乗用_CNG,係数_乗用_軽油,係数_乗用_メタノール,係数_乗用_LPG),1,1,BE1330):INDEX((係数_乗用_ガソリン,係数_乗用_CNG,係数_乗用_軽油,係数_乗用_メタノール,係数_乗用_LPG),125,5,BE1330),2,FALSE))))))</f>
        <v/>
      </c>
      <c r="BB1330" s="468" t="str">
        <f>IF(T1330="","",IF(OR(AU1330="",AU1330="-"),"－",IF(OR(AZ1330=8,AZ1330=9),"",IF(OR(AW1330=3,AW1330=4,AW1330=5,AW1330=6),VLOOKUP(AU1330,INDEX((係数_バス貨物_ガソリン,係数_バス貨物_CNG,係数_バス貨物_軽油,係数_バス貨物_メタノール,係数_バス貨物_LPG),MATCH(AY1330,【参考】排出係数!$AI$4:$AI$671,1),1,BE1330):INDEX((係数_バス貨物_ガソリン,係数_バス貨物_CNG,係数_バス貨物_軽油,係数_バス貨物_メタノール,係数_バス貨物_LPG),MATCH(AY1330+1,【参考】排出係数!$AI$4:$AI$671,1)-1,5,BE1330),3,FALSE),IF(OR(AW1330=1,AW1330=2),VLOOKUP(AU1330,INDEX((係数_乗用_ガソリン,係数_乗用_CNG,係数_乗用_軽油,係数_乗用_メタノール,係数_乗用_LPG),1,1,BE1330):INDEX((係数_乗用_ガソリン,係数_乗用_CNG,係数_乗用_軽油,係数_乗用_メタノール,係数_乗用_LPG),125,5,BE1330),3,FALSE))))))</f>
        <v/>
      </c>
      <c r="BC1330" s="467" t="str">
        <f t="shared" si="748"/>
        <v/>
      </c>
      <c r="BD1330" s="567" t="str">
        <f t="shared" si="749"/>
        <v/>
      </c>
      <c r="BE1330" s="467" t="str">
        <f t="shared" si="750"/>
        <v/>
      </c>
      <c r="BF1330" s="469" t="str">
        <f t="shared" ca="1" si="751"/>
        <v/>
      </c>
      <c r="BG1330" s="469" t="str">
        <f t="shared" ca="1" si="752"/>
        <v/>
      </c>
      <c r="BH1330" s="467" t="str">
        <f t="shared" si="753"/>
        <v/>
      </c>
      <c r="BI1330" s="467" t="str">
        <f t="shared" ca="1" si="754"/>
        <v/>
      </c>
      <c r="BJ1330" s="469" t="str">
        <f t="shared" si="755"/>
        <v/>
      </c>
      <c r="BK1330" s="470" t="str">
        <f t="shared" si="739"/>
        <v/>
      </c>
      <c r="BL1330" s="775" t="str">
        <f t="shared" si="756"/>
        <v/>
      </c>
      <c r="BM1330" s="775" t="str">
        <f t="shared" si="757"/>
        <v/>
      </c>
    </row>
    <row r="1331" spans="1:65">
      <c r="A1331" s="473">
        <v>1275</v>
      </c>
      <c r="B1331" s="132"/>
      <c r="C1331" s="332"/>
      <c r="D1331" s="333"/>
      <c r="E1331" s="333"/>
      <c r="F1331" s="334"/>
      <c r="G1331" s="337"/>
      <c r="H1331" s="131"/>
      <c r="I1331" s="337"/>
      <c r="J1331" s="131"/>
      <c r="K1331" s="458" t="str">
        <f t="shared" si="758"/>
        <v/>
      </c>
      <c r="L1331" s="458">
        <f t="shared" si="759"/>
        <v>0</v>
      </c>
      <c r="M1331" s="458">
        <f t="shared" si="760"/>
        <v>0</v>
      </c>
      <c r="N1331" s="459" t="str">
        <f t="shared" si="733"/>
        <v/>
      </c>
      <c r="O1331" s="459" t="str">
        <f t="shared" si="734"/>
        <v/>
      </c>
      <c r="P1331" s="459" t="str">
        <f t="shared" si="735"/>
        <v/>
      </c>
      <c r="Q1331" s="459" t="str">
        <f t="shared" si="736"/>
        <v/>
      </c>
      <c r="R1331" s="459" t="str">
        <f t="shared" si="737"/>
        <v/>
      </c>
      <c r="S1331" s="459" t="str">
        <f t="shared" si="738"/>
        <v/>
      </c>
      <c r="T1331" s="566" t="str">
        <f t="shared" si="761"/>
        <v/>
      </c>
      <c r="U1331" s="702"/>
      <c r="V1331" s="132"/>
      <c r="W1331" s="133"/>
      <c r="X1331" s="134"/>
      <c r="Y1331" s="135"/>
      <c r="Z1331" s="137"/>
      <c r="AA1331" s="136"/>
      <c r="AB1331" s="566" t="str">
        <f t="shared" si="762"/>
        <v/>
      </c>
      <c r="AC1331" s="568" t="str">
        <f t="shared" si="763"/>
        <v/>
      </c>
      <c r="AD1331" s="137"/>
      <c r="AE1331" s="137"/>
      <c r="AF1331" s="138"/>
      <c r="AG1331" s="138"/>
      <c r="AH1331" s="592" t="str">
        <f t="shared" si="764"/>
        <v/>
      </c>
      <c r="AI1331" s="592" t="str">
        <f t="shared" si="765"/>
        <v/>
      </c>
      <c r="AJ1331" s="592" t="str">
        <f t="shared" si="766"/>
        <v/>
      </c>
      <c r="AK1331" s="460" t="str">
        <f>IF(AU1331="","",IF(OR(AZ1331=8,AZ1331=9),0,IF(OR(AW1331=3,AW1331=4,AW1331=5,AW1331=6),IF(LEFT(BF1331,1)="1",INDEX(係数_NOX・PM低減,MATCH(AY1331,【参考】排出係数!$AI$801:$AI$804,1),1),VLOOKUP(AU1331,INDEX((係数_バス貨物_ガソリン,係数_バス貨物_CNG,係数_バス貨物_軽油,係数_バス貨物_メタノール,係数_バス貨物_LPG),MATCH(AY1331,【参考】排出係数!$AI$4:$AI$671,1),1,BE1331):INDEX((係数_バス貨物_ガソリン,係数_バス貨物_CNG,係数_バス貨物_軽油,係数_バス貨物_メタノール,係数_バス貨物_LPG),MATCH(AY1331+1,【参考】排出係数!$AI$4:$AI$671,1)-1,5,BE1331),4,FALSE)),IF(AND(BE1331=3,LEFT(BF1331,1)="1"),0.48,VLOOKUP(AU1331,INDEX((係数_乗用_ガソリン,係数_乗用_CNG,係数_乗用_軽油,係数_乗用_メタノール,係数_乗用_LPG),1,1,BE1331):INDEX((係数_乗用_ガソリン,係数_乗用_CNG,係数_乗用_軽油,係数_乗用_メタノール,係数_乗用_LPG),125,5,BE1331),4,FALSE)))))</f>
        <v/>
      </c>
      <c r="AL1331" s="461" t="str">
        <f t="shared" si="767"/>
        <v/>
      </c>
      <c r="AM1331" s="460" t="str">
        <f>IF(AU1331="","",IF(OR(AZ1331=8,AZ1331=9),0,IF(OR(AW1331=3,AW1331=4,AW1331=5,AW1331=6),IF(LEFT(BH1331,1)="1",INDEX(係数_PM低減,MATCH(AY1331,【参考】排出係数!$AI$801:$AI$804,1),MATCH(BI1331,【参考】排出係数!$AL$798:$AO$798,1)),VLOOKUP(AU1331,INDEX((係数_バス貨物_ガソリン,係数_バス貨物_CNG,係数_バス貨物_軽油,係数_バス貨物_メタノール,係数_バス貨物_LPG),MATCH(AY1331,【参考】排出係数!$AI$4:$AI$671,1),1,BE1331):INDEX((係数_バス貨物_ガソリン,係数_バス貨物_CNG,係数_バス貨物_軽油,係数_バス貨物_メタノール,係数_バス貨物_LPG),MATCH(AY1331+1,【参考】排出係数!$AI$4:$AI$671,1)-1,5,BE1331),5,FALSE)),IF(AND(BE1331=3,LEFT(BF1331,1)="1"),0.055,VLOOKUP(AU1331,INDEX((係数_乗用_ガソリン,係数_乗用_CNG,係数_乗用_軽油,係数_乗用_メタノール,係数_乗用_LPG),1,1,BE1331):INDEX((係数_乗用_ガソリン,係数_乗用_CNG,係数_乗用_軽油,係数_乗用_メタノール,係数_乗用_LPG),125,5,BE1331),5,FALSE)))))</f>
        <v/>
      </c>
      <c r="AN1331" s="461" t="str">
        <f t="shared" si="768"/>
        <v/>
      </c>
      <c r="AO1331" s="462" t="str">
        <f t="shared" si="769"/>
        <v/>
      </c>
      <c r="AP1331" s="463" t="str">
        <f t="shared" si="770"/>
        <v/>
      </c>
      <c r="AQ1331" s="464"/>
      <c r="AR1331" s="619"/>
      <c r="AS1331" s="465" t="str">
        <f t="shared" si="740"/>
        <v/>
      </c>
      <c r="AT1331" s="465" t="str">
        <f t="shared" si="741"/>
        <v/>
      </c>
      <c r="AU1331" s="466" t="str">
        <f t="shared" si="742"/>
        <v/>
      </c>
      <c r="AV1331" s="467" t="str">
        <f t="shared" si="743"/>
        <v/>
      </c>
      <c r="AW1331" s="467" t="str">
        <f t="shared" si="744"/>
        <v/>
      </c>
      <c r="AX1331" s="467" t="str">
        <f t="shared" si="745"/>
        <v/>
      </c>
      <c r="AY1331" s="467" t="str">
        <f t="shared" si="746"/>
        <v/>
      </c>
      <c r="AZ1331" s="467" t="str">
        <f t="shared" si="747"/>
        <v/>
      </c>
      <c r="BA1331" s="468" t="str">
        <f>IF(AS1331="","",IF(OR(AU1331="",AU1331="-"),"－",IF(OR(AZ1331=8,AZ1331=9),"",IF(OR(AW1331=3,AW1331=4,AW1331=5,AW1331=6),VLOOKUP(AU1331,INDEX((係数_バス貨物_ガソリン,係数_バス貨物_CNG,係数_バス貨物_軽油,係数_バス貨物_メタノール,係数_バス貨物_LPG),MATCH(AY1331,【参考】排出係数!$AI$4:$AI$671,1),1,BE1331):INDEX((係数_バス貨物_ガソリン,係数_バス貨物_CNG,係数_バス貨物_軽油,係数_バス貨物_メタノール,係数_バス貨物_LPG),MATCH(AY1331+1,【参考】排出係数!$AI$4:$AI$671,1)-1,5,BE1331),2,FALSE),IF(OR(AW1331=1,AW1331=2),VLOOKUP(AU1331,INDEX((係数_乗用_ガソリン,係数_乗用_CNG,係数_乗用_軽油,係数_乗用_メタノール,係数_乗用_LPG),1,1,BE1331):INDEX((係数_乗用_ガソリン,係数_乗用_CNG,係数_乗用_軽油,係数_乗用_メタノール,係数_乗用_LPG),125,5,BE1331),2,FALSE))))))</f>
        <v/>
      </c>
      <c r="BB1331" s="468" t="str">
        <f>IF(T1331="","",IF(OR(AU1331="",AU1331="-"),"－",IF(OR(AZ1331=8,AZ1331=9),"",IF(OR(AW1331=3,AW1331=4,AW1331=5,AW1331=6),VLOOKUP(AU1331,INDEX((係数_バス貨物_ガソリン,係数_バス貨物_CNG,係数_バス貨物_軽油,係数_バス貨物_メタノール,係数_バス貨物_LPG),MATCH(AY1331,【参考】排出係数!$AI$4:$AI$671,1),1,BE1331):INDEX((係数_バス貨物_ガソリン,係数_バス貨物_CNG,係数_バス貨物_軽油,係数_バス貨物_メタノール,係数_バス貨物_LPG),MATCH(AY1331+1,【参考】排出係数!$AI$4:$AI$671,1)-1,5,BE1331),3,FALSE),IF(OR(AW1331=1,AW1331=2),VLOOKUP(AU1331,INDEX((係数_乗用_ガソリン,係数_乗用_CNG,係数_乗用_軽油,係数_乗用_メタノール,係数_乗用_LPG),1,1,BE1331):INDEX((係数_乗用_ガソリン,係数_乗用_CNG,係数_乗用_軽油,係数_乗用_メタノール,係数_乗用_LPG),125,5,BE1331),3,FALSE))))))</f>
        <v/>
      </c>
      <c r="BC1331" s="467" t="str">
        <f t="shared" si="748"/>
        <v/>
      </c>
      <c r="BD1331" s="567" t="str">
        <f t="shared" si="749"/>
        <v/>
      </c>
      <c r="BE1331" s="467" t="str">
        <f t="shared" si="750"/>
        <v/>
      </c>
      <c r="BF1331" s="469" t="str">
        <f t="shared" ca="1" si="751"/>
        <v/>
      </c>
      <c r="BG1331" s="469" t="str">
        <f t="shared" ca="1" si="752"/>
        <v/>
      </c>
      <c r="BH1331" s="467" t="str">
        <f t="shared" si="753"/>
        <v/>
      </c>
      <c r="BI1331" s="467" t="str">
        <f t="shared" ca="1" si="754"/>
        <v/>
      </c>
      <c r="BJ1331" s="469" t="str">
        <f t="shared" si="755"/>
        <v/>
      </c>
      <c r="BK1331" s="470" t="str">
        <f t="shared" si="739"/>
        <v/>
      </c>
      <c r="BL1331" s="775" t="str">
        <f t="shared" si="756"/>
        <v/>
      </c>
      <c r="BM1331" s="775" t="str">
        <f t="shared" si="757"/>
        <v/>
      </c>
    </row>
    <row r="1332" spans="1:65">
      <c r="A1332" s="473">
        <v>1276</v>
      </c>
      <c r="B1332" s="132"/>
      <c r="C1332" s="332"/>
      <c r="D1332" s="333"/>
      <c r="E1332" s="333"/>
      <c r="F1332" s="334"/>
      <c r="G1332" s="337"/>
      <c r="H1332" s="131"/>
      <c r="I1332" s="337"/>
      <c r="J1332" s="131"/>
      <c r="K1332" s="458" t="str">
        <f t="shared" si="758"/>
        <v/>
      </c>
      <c r="L1332" s="458">
        <f t="shared" si="759"/>
        <v>0</v>
      </c>
      <c r="M1332" s="458">
        <f t="shared" si="760"/>
        <v>0</v>
      </c>
      <c r="N1332" s="459" t="str">
        <f t="shared" si="733"/>
        <v/>
      </c>
      <c r="O1332" s="459" t="str">
        <f t="shared" si="734"/>
        <v/>
      </c>
      <c r="P1332" s="459" t="str">
        <f t="shared" si="735"/>
        <v/>
      </c>
      <c r="Q1332" s="459" t="str">
        <f t="shared" si="736"/>
        <v/>
      </c>
      <c r="R1332" s="459" t="str">
        <f t="shared" si="737"/>
        <v/>
      </c>
      <c r="S1332" s="459" t="str">
        <f t="shared" si="738"/>
        <v/>
      </c>
      <c r="T1332" s="566" t="str">
        <f t="shared" si="761"/>
        <v/>
      </c>
      <c r="U1332" s="702"/>
      <c r="V1332" s="132"/>
      <c r="W1332" s="133"/>
      <c r="X1332" s="134"/>
      <c r="Y1332" s="135"/>
      <c r="Z1332" s="137"/>
      <c r="AA1332" s="136"/>
      <c r="AB1332" s="566" t="str">
        <f t="shared" si="762"/>
        <v/>
      </c>
      <c r="AC1332" s="568" t="str">
        <f t="shared" si="763"/>
        <v/>
      </c>
      <c r="AD1332" s="137"/>
      <c r="AE1332" s="137"/>
      <c r="AF1332" s="138"/>
      <c r="AG1332" s="138"/>
      <c r="AH1332" s="592" t="str">
        <f t="shared" si="764"/>
        <v/>
      </c>
      <c r="AI1332" s="592" t="str">
        <f t="shared" si="765"/>
        <v/>
      </c>
      <c r="AJ1332" s="592" t="str">
        <f t="shared" si="766"/>
        <v/>
      </c>
      <c r="AK1332" s="460" t="str">
        <f>IF(AU1332="","",IF(OR(AZ1332=8,AZ1332=9),0,IF(OR(AW1332=3,AW1332=4,AW1332=5,AW1332=6),IF(LEFT(BF1332,1)="1",INDEX(係数_NOX・PM低減,MATCH(AY1332,【参考】排出係数!$AI$801:$AI$804,1),1),VLOOKUP(AU1332,INDEX((係数_バス貨物_ガソリン,係数_バス貨物_CNG,係数_バス貨物_軽油,係数_バス貨物_メタノール,係数_バス貨物_LPG),MATCH(AY1332,【参考】排出係数!$AI$4:$AI$671,1),1,BE1332):INDEX((係数_バス貨物_ガソリン,係数_バス貨物_CNG,係数_バス貨物_軽油,係数_バス貨物_メタノール,係数_バス貨物_LPG),MATCH(AY1332+1,【参考】排出係数!$AI$4:$AI$671,1)-1,5,BE1332),4,FALSE)),IF(AND(BE1332=3,LEFT(BF1332,1)="1"),0.48,VLOOKUP(AU1332,INDEX((係数_乗用_ガソリン,係数_乗用_CNG,係数_乗用_軽油,係数_乗用_メタノール,係数_乗用_LPG),1,1,BE1332):INDEX((係数_乗用_ガソリン,係数_乗用_CNG,係数_乗用_軽油,係数_乗用_メタノール,係数_乗用_LPG),125,5,BE1332),4,FALSE)))))</f>
        <v/>
      </c>
      <c r="AL1332" s="461" t="str">
        <f t="shared" si="767"/>
        <v/>
      </c>
      <c r="AM1332" s="460" t="str">
        <f>IF(AU1332="","",IF(OR(AZ1332=8,AZ1332=9),0,IF(OR(AW1332=3,AW1332=4,AW1332=5,AW1332=6),IF(LEFT(BH1332,1)="1",INDEX(係数_PM低減,MATCH(AY1332,【参考】排出係数!$AI$801:$AI$804,1),MATCH(BI1332,【参考】排出係数!$AL$798:$AO$798,1)),VLOOKUP(AU1332,INDEX((係数_バス貨物_ガソリン,係数_バス貨物_CNG,係数_バス貨物_軽油,係数_バス貨物_メタノール,係数_バス貨物_LPG),MATCH(AY1332,【参考】排出係数!$AI$4:$AI$671,1),1,BE1332):INDEX((係数_バス貨物_ガソリン,係数_バス貨物_CNG,係数_バス貨物_軽油,係数_バス貨物_メタノール,係数_バス貨物_LPG),MATCH(AY1332+1,【参考】排出係数!$AI$4:$AI$671,1)-1,5,BE1332),5,FALSE)),IF(AND(BE1332=3,LEFT(BF1332,1)="1"),0.055,VLOOKUP(AU1332,INDEX((係数_乗用_ガソリン,係数_乗用_CNG,係数_乗用_軽油,係数_乗用_メタノール,係数_乗用_LPG),1,1,BE1332):INDEX((係数_乗用_ガソリン,係数_乗用_CNG,係数_乗用_軽油,係数_乗用_メタノール,係数_乗用_LPG),125,5,BE1332),5,FALSE)))))</f>
        <v/>
      </c>
      <c r="AN1332" s="461" t="str">
        <f t="shared" si="768"/>
        <v/>
      </c>
      <c r="AO1332" s="462" t="str">
        <f t="shared" si="769"/>
        <v/>
      </c>
      <c r="AP1332" s="463" t="str">
        <f t="shared" si="770"/>
        <v/>
      </c>
      <c r="AQ1332" s="464"/>
      <c r="AR1332" s="619"/>
      <c r="AS1332" s="465" t="str">
        <f t="shared" si="740"/>
        <v/>
      </c>
      <c r="AT1332" s="465" t="str">
        <f t="shared" si="741"/>
        <v/>
      </c>
      <c r="AU1332" s="466" t="str">
        <f t="shared" si="742"/>
        <v/>
      </c>
      <c r="AV1332" s="467" t="str">
        <f t="shared" si="743"/>
        <v/>
      </c>
      <c r="AW1332" s="467" t="str">
        <f t="shared" si="744"/>
        <v/>
      </c>
      <c r="AX1332" s="467" t="str">
        <f t="shared" si="745"/>
        <v/>
      </c>
      <c r="AY1332" s="467" t="str">
        <f t="shared" si="746"/>
        <v/>
      </c>
      <c r="AZ1332" s="467" t="str">
        <f t="shared" si="747"/>
        <v/>
      </c>
      <c r="BA1332" s="468" t="str">
        <f>IF(AS1332="","",IF(OR(AU1332="",AU1332="-"),"－",IF(OR(AZ1332=8,AZ1332=9),"",IF(OR(AW1332=3,AW1332=4,AW1332=5,AW1332=6),VLOOKUP(AU1332,INDEX((係数_バス貨物_ガソリン,係数_バス貨物_CNG,係数_バス貨物_軽油,係数_バス貨物_メタノール,係数_バス貨物_LPG),MATCH(AY1332,【参考】排出係数!$AI$4:$AI$671,1),1,BE1332):INDEX((係数_バス貨物_ガソリン,係数_バス貨物_CNG,係数_バス貨物_軽油,係数_バス貨物_メタノール,係数_バス貨物_LPG),MATCH(AY1332+1,【参考】排出係数!$AI$4:$AI$671,1)-1,5,BE1332),2,FALSE),IF(OR(AW1332=1,AW1332=2),VLOOKUP(AU1332,INDEX((係数_乗用_ガソリン,係数_乗用_CNG,係数_乗用_軽油,係数_乗用_メタノール,係数_乗用_LPG),1,1,BE1332):INDEX((係数_乗用_ガソリン,係数_乗用_CNG,係数_乗用_軽油,係数_乗用_メタノール,係数_乗用_LPG),125,5,BE1332),2,FALSE))))))</f>
        <v/>
      </c>
      <c r="BB1332" s="468" t="str">
        <f>IF(T1332="","",IF(OR(AU1332="",AU1332="-"),"－",IF(OR(AZ1332=8,AZ1332=9),"",IF(OR(AW1332=3,AW1332=4,AW1332=5,AW1332=6),VLOOKUP(AU1332,INDEX((係数_バス貨物_ガソリン,係数_バス貨物_CNG,係数_バス貨物_軽油,係数_バス貨物_メタノール,係数_バス貨物_LPG),MATCH(AY1332,【参考】排出係数!$AI$4:$AI$671,1),1,BE1332):INDEX((係数_バス貨物_ガソリン,係数_バス貨物_CNG,係数_バス貨物_軽油,係数_バス貨物_メタノール,係数_バス貨物_LPG),MATCH(AY1332+1,【参考】排出係数!$AI$4:$AI$671,1)-1,5,BE1332),3,FALSE),IF(OR(AW1332=1,AW1332=2),VLOOKUP(AU1332,INDEX((係数_乗用_ガソリン,係数_乗用_CNG,係数_乗用_軽油,係数_乗用_メタノール,係数_乗用_LPG),1,1,BE1332):INDEX((係数_乗用_ガソリン,係数_乗用_CNG,係数_乗用_軽油,係数_乗用_メタノール,係数_乗用_LPG),125,5,BE1332),3,FALSE))))))</f>
        <v/>
      </c>
      <c r="BC1332" s="467" t="str">
        <f t="shared" si="748"/>
        <v/>
      </c>
      <c r="BD1332" s="567" t="str">
        <f t="shared" si="749"/>
        <v/>
      </c>
      <c r="BE1332" s="467" t="str">
        <f t="shared" si="750"/>
        <v/>
      </c>
      <c r="BF1332" s="469" t="str">
        <f t="shared" ca="1" si="751"/>
        <v/>
      </c>
      <c r="BG1332" s="469" t="str">
        <f t="shared" ca="1" si="752"/>
        <v/>
      </c>
      <c r="BH1332" s="467" t="str">
        <f t="shared" si="753"/>
        <v/>
      </c>
      <c r="BI1332" s="467" t="str">
        <f t="shared" ca="1" si="754"/>
        <v/>
      </c>
      <c r="BJ1332" s="469" t="str">
        <f t="shared" si="755"/>
        <v/>
      </c>
      <c r="BK1332" s="470" t="str">
        <f t="shared" si="739"/>
        <v/>
      </c>
      <c r="BL1332" s="775" t="str">
        <f t="shared" si="756"/>
        <v/>
      </c>
      <c r="BM1332" s="775" t="str">
        <f t="shared" si="757"/>
        <v/>
      </c>
    </row>
    <row r="1333" spans="1:65">
      <c r="A1333" s="473">
        <v>1277</v>
      </c>
      <c r="B1333" s="132"/>
      <c r="C1333" s="332"/>
      <c r="D1333" s="333"/>
      <c r="E1333" s="333"/>
      <c r="F1333" s="334"/>
      <c r="G1333" s="337"/>
      <c r="H1333" s="131"/>
      <c r="I1333" s="337"/>
      <c r="J1333" s="131"/>
      <c r="K1333" s="458" t="str">
        <f t="shared" si="758"/>
        <v/>
      </c>
      <c r="L1333" s="458">
        <f t="shared" si="759"/>
        <v>0</v>
      </c>
      <c r="M1333" s="458">
        <f t="shared" si="760"/>
        <v>0</v>
      </c>
      <c r="N1333" s="459" t="str">
        <f t="shared" si="733"/>
        <v/>
      </c>
      <c r="O1333" s="459" t="str">
        <f t="shared" si="734"/>
        <v/>
      </c>
      <c r="P1333" s="459" t="str">
        <f t="shared" si="735"/>
        <v/>
      </c>
      <c r="Q1333" s="459" t="str">
        <f t="shared" si="736"/>
        <v/>
      </c>
      <c r="R1333" s="459" t="str">
        <f t="shared" si="737"/>
        <v/>
      </c>
      <c r="S1333" s="459" t="str">
        <f t="shared" si="738"/>
        <v/>
      </c>
      <c r="T1333" s="566" t="str">
        <f t="shared" si="761"/>
        <v/>
      </c>
      <c r="U1333" s="702"/>
      <c r="V1333" s="132"/>
      <c r="W1333" s="133"/>
      <c r="X1333" s="134"/>
      <c r="Y1333" s="135"/>
      <c r="Z1333" s="137"/>
      <c r="AA1333" s="136"/>
      <c r="AB1333" s="566" t="str">
        <f t="shared" si="762"/>
        <v/>
      </c>
      <c r="AC1333" s="568" t="str">
        <f t="shared" si="763"/>
        <v/>
      </c>
      <c r="AD1333" s="137"/>
      <c r="AE1333" s="137"/>
      <c r="AF1333" s="138"/>
      <c r="AG1333" s="138"/>
      <c r="AH1333" s="592" t="str">
        <f t="shared" si="764"/>
        <v/>
      </c>
      <c r="AI1333" s="592" t="str">
        <f t="shared" si="765"/>
        <v/>
      </c>
      <c r="AJ1333" s="592" t="str">
        <f t="shared" si="766"/>
        <v/>
      </c>
      <c r="AK1333" s="460" t="str">
        <f>IF(AU1333="","",IF(OR(AZ1333=8,AZ1333=9),0,IF(OR(AW1333=3,AW1333=4,AW1333=5,AW1333=6),IF(LEFT(BF1333,1)="1",INDEX(係数_NOX・PM低減,MATCH(AY1333,【参考】排出係数!$AI$801:$AI$804,1),1),VLOOKUP(AU1333,INDEX((係数_バス貨物_ガソリン,係数_バス貨物_CNG,係数_バス貨物_軽油,係数_バス貨物_メタノール,係数_バス貨物_LPG),MATCH(AY1333,【参考】排出係数!$AI$4:$AI$671,1),1,BE1333):INDEX((係数_バス貨物_ガソリン,係数_バス貨物_CNG,係数_バス貨物_軽油,係数_バス貨物_メタノール,係数_バス貨物_LPG),MATCH(AY1333+1,【参考】排出係数!$AI$4:$AI$671,1)-1,5,BE1333),4,FALSE)),IF(AND(BE1333=3,LEFT(BF1333,1)="1"),0.48,VLOOKUP(AU1333,INDEX((係数_乗用_ガソリン,係数_乗用_CNG,係数_乗用_軽油,係数_乗用_メタノール,係数_乗用_LPG),1,1,BE1333):INDEX((係数_乗用_ガソリン,係数_乗用_CNG,係数_乗用_軽油,係数_乗用_メタノール,係数_乗用_LPG),125,5,BE1333),4,FALSE)))))</f>
        <v/>
      </c>
      <c r="AL1333" s="461" t="str">
        <f t="shared" si="767"/>
        <v/>
      </c>
      <c r="AM1333" s="460" t="str">
        <f>IF(AU1333="","",IF(OR(AZ1333=8,AZ1333=9),0,IF(OR(AW1333=3,AW1333=4,AW1333=5,AW1333=6),IF(LEFT(BH1333,1)="1",INDEX(係数_PM低減,MATCH(AY1333,【参考】排出係数!$AI$801:$AI$804,1),MATCH(BI1333,【参考】排出係数!$AL$798:$AO$798,1)),VLOOKUP(AU1333,INDEX((係数_バス貨物_ガソリン,係数_バス貨物_CNG,係数_バス貨物_軽油,係数_バス貨物_メタノール,係数_バス貨物_LPG),MATCH(AY1333,【参考】排出係数!$AI$4:$AI$671,1),1,BE1333):INDEX((係数_バス貨物_ガソリン,係数_バス貨物_CNG,係数_バス貨物_軽油,係数_バス貨物_メタノール,係数_バス貨物_LPG),MATCH(AY1333+1,【参考】排出係数!$AI$4:$AI$671,1)-1,5,BE1333),5,FALSE)),IF(AND(BE1333=3,LEFT(BF1333,1)="1"),0.055,VLOOKUP(AU1333,INDEX((係数_乗用_ガソリン,係数_乗用_CNG,係数_乗用_軽油,係数_乗用_メタノール,係数_乗用_LPG),1,1,BE1333):INDEX((係数_乗用_ガソリン,係数_乗用_CNG,係数_乗用_軽油,係数_乗用_メタノール,係数_乗用_LPG),125,5,BE1333),5,FALSE)))))</f>
        <v/>
      </c>
      <c r="AN1333" s="461" t="str">
        <f t="shared" si="768"/>
        <v/>
      </c>
      <c r="AO1333" s="462" t="str">
        <f t="shared" si="769"/>
        <v/>
      </c>
      <c r="AP1333" s="463" t="str">
        <f t="shared" si="770"/>
        <v/>
      </c>
      <c r="AQ1333" s="464"/>
      <c r="AR1333" s="619"/>
      <c r="AS1333" s="465" t="str">
        <f t="shared" si="740"/>
        <v/>
      </c>
      <c r="AT1333" s="465" t="str">
        <f t="shared" si="741"/>
        <v/>
      </c>
      <c r="AU1333" s="466" t="str">
        <f t="shared" si="742"/>
        <v/>
      </c>
      <c r="AV1333" s="467" t="str">
        <f t="shared" si="743"/>
        <v/>
      </c>
      <c r="AW1333" s="467" t="str">
        <f t="shared" si="744"/>
        <v/>
      </c>
      <c r="AX1333" s="467" t="str">
        <f t="shared" si="745"/>
        <v/>
      </c>
      <c r="AY1333" s="467" t="str">
        <f t="shared" si="746"/>
        <v/>
      </c>
      <c r="AZ1333" s="467" t="str">
        <f t="shared" si="747"/>
        <v/>
      </c>
      <c r="BA1333" s="468" t="str">
        <f>IF(AS1333="","",IF(OR(AU1333="",AU1333="-"),"－",IF(OR(AZ1333=8,AZ1333=9),"",IF(OR(AW1333=3,AW1333=4,AW1333=5,AW1333=6),VLOOKUP(AU1333,INDEX((係数_バス貨物_ガソリン,係数_バス貨物_CNG,係数_バス貨物_軽油,係数_バス貨物_メタノール,係数_バス貨物_LPG),MATCH(AY1333,【参考】排出係数!$AI$4:$AI$671,1),1,BE1333):INDEX((係数_バス貨物_ガソリン,係数_バス貨物_CNG,係数_バス貨物_軽油,係数_バス貨物_メタノール,係数_バス貨物_LPG),MATCH(AY1333+1,【参考】排出係数!$AI$4:$AI$671,1)-1,5,BE1333),2,FALSE),IF(OR(AW1333=1,AW1333=2),VLOOKUP(AU1333,INDEX((係数_乗用_ガソリン,係数_乗用_CNG,係数_乗用_軽油,係数_乗用_メタノール,係数_乗用_LPG),1,1,BE1333):INDEX((係数_乗用_ガソリン,係数_乗用_CNG,係数_乗用_軽油,係数_乗用_メタノール,係数_乗用_LPG),125,5,BE1333),2,FALSE))))))</f>
        <v/>
      </c>
      <c r="BB1333" s="468" t="str">
        <f>IF(T1333="","",IF(OR(AU1333="",AU1333="-"),"－",IF(OR(AZ1333=8,AZ1333=9),"",IF(OR(AW1333=3,AW1333=4,AW1333=5,AW1333=6),VLOOKUP(AU1333,INDEX((係数_バス貨物_ガソリン,係数_バス貨物_CNG,係数_バス貨物_軽油,係数_バス貨物_メタノール,係数_バス貨物_LPG),MATCH(AY1333,【参考】排出係数!$AI$4:$AI$671,1),1,BE1333):INDEX((係数_バス貨物_ガソリン,係数_バス貨物_CNG,係数_バス貨物_軽油,係数_バス貨物_メタノール,係数_バス貨物_LPG),MATCH(AY1333+1,【参考】排出係数!$AI$4:$AI$671,1)-1,5,BE1333),3,FALSE),IF(OR(AW1333=1,AW1333=2),VLOOKUP(AU1333,INDEX((係数_乗用_ガソリン,係数_乗用_CNG,係数_乗用_軽油,係数_乗用_メタノール,係数_乗用_LPG),1,1,BE1333):INDEX((係数_乗用_ガソリン,係数_乗用_CNG,係数_乗用_軽油,係数_乗用_メタノール,係数_乗用_LPG),125,5,BE1333),3,FALSE))))))</f>
        <v/>
      </c>
      <c r="BC1333" s="467" t="str">
        <f t="shared" si="748"/>
        <v/>
      </c>
      <c r="BD1333" s="567" t="str">
        <f t="shared" si="749"/>
        <v/>
      </c>
      <c r="BE1333" s="467" t="str">
        <f t="shared" si="750"/>
        <v/>
      </c>
      <c r="BF1333" s="469" t="str">
        <f t="shared" ca="1" si="751"/>
        <v/>
      </c>
      <c r="BG1333" s="469" t="str">
        <f t="shared" ca="1" si="752"/>
        <v/>
      </c>
      <c r="BH1333" s="467" t="str">
        <f t="shared" si="753"/>
        <v/>
      </c>
      <c r="BI1333" s="467" t="str">
        <f t="shared" ca="1" si="754"/>
        <v/>
      </c>
      <c r="BJ1333" s="469" t="str">
        <f t="shared" si="755"/>
        <v/>
      </c>
      <c r="BK1333" s="470" t="str">
        <f t="shared" si="739"/>
        <v/>
      </c>
      <c r="BL1333" s="775" t="str">
        <f t="shared" si="756"/>
        <v/>
      </c>
      <c r="BM1333" s="775" t="str">
        <f t="shared" si="757"/>
        <v/>
      </c>
    </row>
    <row r="1334" spans="1:65">
      <c r="A1334" s="473">
        <v>1278</v>
      </c>
      <c r="B1334" s="132"/>
      <c r="C1334" s="332"/>
      <c r="D1334" s="333"/>
      <c r="E1334" s="333"/>
      <c r="F1334" s="334"/>
      <c r="G1334" s="337"/>
      <c r="H1334" s="131"/>
      <c r="I1334" s="337"/>
      <c r="J1334" s="131"/>
      <c r="K1334" s="458" t="str">
        <f t="shared" si="758"/>
        <v/>
      </c>
      <c r="L1334" s="458">
        <f t="shared" si="759"/>
        <v>0</v>
      </c>
      <c r="M1334" s="458">
        <f t="shared" si="760"/>
        <v>0</v>
      </c>
      <c r="N1334" s="459" t="str">
        <f t="shared" si="733"/>
        <v/>
      </c>
      <c r="O1334" s="459" t="str">
        <f t="shared" si="734"/>
        <v/>
      </c>
      <c r="P1334" s="459" t="str">
        <f t="shared" si="735"/>
        <v/>
      </c>
      <c r="Q1334" s="459" t="str">
        <f t="shared" si="736"/>
        <v/>
      </c>
      <c r="R1334" s="459" t="str">
        <f t="shared" si="737"/>
        <v/>
      </c>
      <c r="S1334" s="459" t="str">
        <f t="shared" si="738"/>
        <v/>
      </c>
      <c r="T1334" s="566" t="str">
        <f t="shared" si="761"/>
        <v/>
      </c>
      <c r="U1334" s="702"/>
      <c r="V1334" s="132"/>
      <c r="W1334" s="133"/>
      <c r="X1334" s="134"/>
      <c r="Y1334" s="135"/>
      <c r="Z1334" s="137"/>
      <c r="AA1334" s="136"/>
      <c r="AB1334" s="566" t="str">
        <f t="shared" si="762"/>
        <v/>
      </c>
      <c r="AC1334" s="568" t="str">
        <f t="shared" si="763"/>
        <v/>
      </c>
      <c r="AD1334" s="137"/>
      <c r="AE1334" s="137"/>
      <c r="AF1334" s="138"/>
      <c r="AG1334" s="138"/>
      <c r="AH1334" s="592" t="str">
        <f t="shared" si="764"/>
        <v/>
      </c>
      <c r="AI1334" s="592" t="str">
        <f t="shared" si="765"/>
        <v/>
      </c>
      <c r="AJ1334" s="592" t="str">
        <f t="shared" si="766"/>
        <v/>
      </c>
      <c r="AK1334" s="460" t="str">
        <f>IF(AU1334="","",IF(OR(AZ1334=8,AZ1334=9),0,IF(OR(AW1334=3,AW1334=4,AW1334=5,AW1334=6),IF(LEFT(BF1334,1)="1",INDEX(係数_NOX・PM低減,MATCH(AY1334,【参考】排出係数!$AI$801:$AI$804,1),1),VLOOKUP(AU1334,INDEX((係数_バス貨物_ガソリン,係数_バス貨物_CNG,係数_バス貨物_軽油,係数_バス貨物_メタノール,係数_バス貨物_LPG),MATCH(AY1334,【参考】排出係数!$AI$4:$AI$671,1),1,BE1334):INDEX((係数_バス貨物_ガソリン,係数_バス貨物_CNG,係数_バス貨物_軽油,係数_バス貨物_メタノール,係数_バス貨物_LPG),MATCH(AY1334+1,【参考】排出係数!$AI$4:$AI$671,1)-1,5,BE1334),4,FALSE)),IF(AND(BE1334=3,LEFT(BF1334,1)="1"),0.48,VLOOKUP(AU1334,INDEX((係数_乗用_ガソリン,係数_乗用_CNG,係数_乗用_軽油,係数_乗用_メタノール,係数_乗用_LPG),1,1,BE1334):INDEX((係数_乗用_ガソリン,係数_乗用_CNG,係数_乗用_軽油,係数_乗用_メタノール,係数_乗用_LPG),125,5,BE1334),4,FALSE)))))</f>
        <v/>
      </c>
      <c r="AL1334" s="461" t="str">
        <f t="shared" si="767"/>
        <v/>
      </c>
      <c r="AM1334" s="460" t="str">
        <f>IF(AU1334="","",IF(OR(AZ1334=8,AZ1334=9),0,IF(OR(AW1334=3,AW1334=4,AW1334=5,AW1334=6),IF(LEFT(BH1334,1)="1",INDEX(係数_PM低減,MATCH(AY1334,【参考】排出係数!$AI$801:$AI$804,1),MATCH(BI1334,【参考】排出係数!$AL$798:$AO$798,1)),VLOOKUP(AU1334,INDEX((係数_バス貨物_ガソリン,係数_バス貨物_CNG,係数_バス貨物_軽油,係数_バス貨物_メタノール,係数_バス貨物_LPG),MATCH(AY1334,【参考】排出係数!$AI$4:$AI$671,1),1,BE1334):INDEX((係数_バス貨物_ガソリン,係数_バス貨物_CNG,係数_バス貨物_軽油,係数_バス貨物_メタノール,係数_バス貨物_LPG),MATCH(AY1334+1,【参考】排出係数!$AI$4:$AI$671,1)-1,5,BE1334),5,FALSE)),IF(AND(BE1334=3,LEFT(BF1334,1)="1"),0.055,VLOOKUP(AU1334,INDEX((係数_乗用_ガソリン,係数_乗用_CNG,係数_乗用_軽油,係数_乗用_メタノール,係数_乗用_LPG),1,1,BE1334):INDEX((係数_乗用_ガソリン,係数_乗用_CNG,係数_乗用_軽油,係数_乗用_メタノール,係数_乗用_LPG),125,5,BE1334),5,FALSE)))))</f>
        <v/>
      </c>
      <c r="AN1334" s="461" t="str">
        <f t="shared" si="768"/>
        <v/>
      </c>
      <c r="AO1334" s="462" t="str">
        <f t="shared" si="769"/>
        <v/>
      </c>
      <c r="AP1334" s="463" t="str">
        <f t="shared" si="770"/>
        <v/>
      </c>
      <c r="AQ1334" s="464"/>
      <c r="AR1334" s="619"/>
      <c r="AS1334" s="465" t="str">
        <f t="shared" si="740"/>
        <v/>
      </c>
      <c r="AT1334" s="465" t="str">
        <f t="shared" si="741"/>
        <v/>
      </c>
      <c r="AU1334" s="466" t="str">
        <f t="shared" si="742"/>
        <v/>
      </c>
      <c r="AV1334" s="467" t="str">
        <f t="shared" si="743"/>
        <v/>
      </c>
      <c r="AW1334" s="467" t="str">
        <f t="shared" si="744"/>
        <v/>
      </c>
      <c r="AX1334" s="467" t="str">
        <f t="shared" si="745"/>
        <v/>
      </c>
      <c r="AY1334" s="467" t="str">
        <f t="shared" si="746"/>
        <v/>
      </c>
      <c r="AZ1334" s="467" t="str">
        <f t="shared" si="747"/>
        <v/>
      </c>
      <c r="BA1334" s="468" t="str">
        <f>IF(AS1334="","",IF(OR(AU1334="",AU1334="-"),"－",IF(OR(AZ1334=8,AZ1334=9),"",IF(OR(AW1334=3,AW1334=4,AW1334=5,AW1334=6),VLOOKUP(AU1334,INDEX((係数_バス貨物_ガソリン,係数_バス貨物_CNG,係数_バス貨物_軽油,係数_バス貨物_メタノール,係数_バス貨物_LPG),MATCH(AY1334,【参考】排出係数!$AI$4:$AI$671,1),1,BE1334):INDEX((係数_バス貨物_ガソリン,係数_バス貨物_CNG,係数_バス貨物_軽油,係数_バス貨物_メタノール,係数_バス貨物_LPG),MATCH(AY1334+1,【参考】排出係数!$AI$4:$AI$671,1)-1,5,BE1334),2,FALSE),IF(OR(AW1334=1,AW1334=2),VLOOKUP(AU1334,INDEX((係数_乗用_ガソリン,係数_乗用_CNG,係数_乗用_軽油,係数_乗用_メタノール,係数_乗用_LPG),1,1,BE1334):INDEX((係数_乗用_ガソリン,係数_乗用_CNG,係数_乗用_軽油,係数_乗用_メタノール,係数_乗用_LPG),125,5,BE1334),2,FALSE))))))</f>
        <v/>
      </c>
      <c r="BB1334" s="468" t="str">
        <f>IF(T1334="","",IF(OR(AU1334="",AU1334="-"),"－",IF(OR(AZ1334=8,AZ1334=9),"",IF(OR(AW1334=3,AW1334=4,AW1334=5,AW1334=6),VLOOKUP(AU1334,INDEX((係数_バス貨物_ガソリン,係数_バス貨物_CNG,係数_バス貨物_軽油,係数_バス貨物_メタノール,係数_バス貨物_LPG),MATCH(AY1334,【参考】排出係数!$AI$4:$AI$671,1),1,BE1334):INDEX((係数_バス貨物_ガソリン,係数_バス貨物_CNG,係数_バス貨物_軽油,係数_バス貨物_メタノール,係数_バス貨物_LPG),MATCH(AY1334+1,【参考】排出係数!$AI$4:$AI$671,1)-1,5,BE1334),3,FALSE),IF(OR(AW1334=1,AW1334=2),VLOOKUP(AU1334,INDEX((係数_乗用_ガソリン,係数_乗用_CNG,係数_乗用_軽油,係数_乗用_メタノール,係数_乗用_LPG),1,1,BE1334):INDEX((係数_乗用_ガソリン,係数_乗用_CNG,係数_乗用_軽油,係数_乗用_メタノール,係数_乗用_LPG),125,5,BE1334),3,FALSE))))))</f>
        <v/>
      </c>
      <c r="BC1334" s="467" t="str">
        <f t="shared" si="748"/>
        <v/>
      </c>
      <c r="BD1334" s="567" t="str">
        <f t="shared" si="749"/>
        <v/>
      </c>
      <c r="BE1334" s="467" t="str">
        <f t="shared" si="750"/>
        <v/>
      </c>
      <c r="BF1334" s="469" t="str">
        <f t="shared" ca="1" si="751"/>
        <v/>
      </c>
      <c r="BG1334" s="469" t="str">
        <f t="shared" ca="1" si="752"/>
        <v/>
      </c>
      <c r="BH1334" s="467" t="str">
        <f t="shared" si="753"/>
        <v/>
      </c>
      <c r="BI1334" s="467" t="str">
        <f t="shared" ca="1" si="754"/>
        <v/>
      </c>
      <c r="BJ1334" s="469" t="str">
        <f t="shared" si="755"/>
        <v/>
      </c>
      <c r="BK1334" s="470" t="str">
        <f t="shared" si="739"/>
        <v/>
      </c>
      <c r="BL1334" s="775" t="str">
        <f t="shared" si="756"/>
        <v/>
      </c>
      <c r="BM1334" s="775" t="str">
        <f t="shared" si="757"/>
        <v/>
      </c>
    </row>
    <row r="1335" spans="1:65">
      <c r="A1335" s="473">
        <v>1279</v>
      </c>
      <c r="B1335" s="132"/>
      <c r="C1335" s="332"/>
      <c r="D1335" s="333"/>
      <c r="E1335" s="333"/>
      <c r="F1335" s="334"/>
      <c r="G1335" s="337"/>
      <c r="H1335" s="131"/>
      <c r="I1335" s="337"/>
      <c r="J1335" s="131"/>
      <c r="K1335" s="458" t="str">
        <f t="shared" si="758"/>
        <v/>
      </c>
      <c r="L1335" s="458">
        <f t="shared" si="759"/>
        <v>0</v>
      </c>
      <c r="M1335" s="458">
        <f t="shared" si="760"/>
        <v>0</v>
      </c>
      <c r="N1335" s="459" t="str">
        <f t="shared" ref="N1335:N1398" si="771">IF(OR($L1335&gt;$U$48,$M1335&gt;$U$48,AND($L1335&gt;$M1335,$M1335&lt;&gt;0),AND($L1335=0,$M1335&lt;&gt;0)),"ERROR","")</f>
        <v/>
      </c>
      <c r="O1335" s="459" t="str">
        <f t="shared" ref="O1335:O1398" si="772">IF(AND($N1335&lt;&gt;"ERROR",$L1335&lt;=$U$49,$M1335&lt;=$U$49,$M1335&lt;&gt;0),"(減車済)","")</f>
        <v/>
      </c>
      <c r="P1335" s="459" t="str">
        <f t="shared" ref="P1335:P1398" si="773">IF(AND($N1335&lt;&gt;"ERROR",$L1335&lt;$U$49,AND($M1335&gt;$U$49,$M1335&lt;=$W$49),$M1335&lt;&gt;0),"減車","")</f>
        <v/>
      </c>
      <c r="Q1335" s="459" t="str">
        <f t="shared" ref="Q1335:Q1398" si="774">IF(AND($N1335&lt;&gt;"ERROR",$L1335&gt;$U$49,$M1335&lt;=$W$49,$M1335&lt;&gt;0),"一時使用","")</f>
        <v/>
      </c>
      <c r="R1335" s="459" t="str">
        <f t="shared" ref="R1335:R1398" si="775">IF(AND($N1335&lt;&gt;"ERROR",AND($L1335&gt;0,$L1335&lt;=$U$49),$M1335=0),"継続","")</f>
        <v/>
      </c>
      <c r="S1335" s="459" t="str">
        <f t="shared" ref="S1335:S1398" si="776">IF(AND($N1335&lt;&gt;"ERROR",AND($L1335&gt;$U$49),$M1335=0),"新規","")</f>
        <v/>
      </c>
      <c r="T1335" s="566" t="str">
        <f t="shared" si="761"/>
        <v/>
      </c>
      <c r="U1335" s="702"/>
      <c r="V1335" s="132"/>
      <c r="W1335" s="133"/>
      <c r="X1335" s="134"/>
      <c r="Y1335" s="135"/>
      <c r="Z1335" s="137"/>
      <c r="AA1335" s="136"/>
      <c r="AB1335" s="566" t="str">
        <f t="shared" si="762"/>
        <v/>
      </c>
      <c r="AC1335" s="568" t="str">
        <f t="shared" si="763"/>
        <v/>
      </c>
      <c r="AD1335" s="137"/>
      <c r="AE1335" s="137"/>
      <c r="AF1335" s="138"/>
      <c r="AG1335" s="138"/>
      <c r="AH1335" s="592" t="str">
        <f t="shared" si="764"/>
        <v/>
      </c>
      <c r="AI1335" s="592" t="str">
        <f t="shared" si="765"/>
        <v/>
      </c>
      <c r="AJ1335" s="592" t="str">
        <f t="shared" si="766"/>
        <v/>
      </c>
      <c r="AK1335" s="460" t="str">
        <f>IF(AU1335="","",IF(OR(AZ1335=8,AZ1335=9),0,IF(OR(AW1335=3,AW1335=4,AW1335=5,AW1335=6),IF(LEFT(BF1335,1)="1",INDEX(係数_NOX・PM低減,MATCH(AY1335,【参考】排出係数!$AI$801:$AI$804,1),1),VLOOKUP(AU1335,INDEX((係数_バス貨物_ガソリン,係数_バス貨物_CNG,係数_バス貨物_軽油,係数_バス貨物_メタノール,係数_バス貨物_LPG),MATCH(AY1335,【参考】排出係数!$AI$4:$AI$671,1),1,BE1335):INDEX((係数_バス貨物_ガソリン,係数_バス貨物_CNG,係数_バス貨物_軽油,係数_バス貨物_メタノール,係数_バス貨物_LPG),MATCH(AY1335+1,【参考】排出係数!$AI$4:$AI$671,1)-1,5,BE1335),4,FALSE)),IF(AND(BE1335=3,LEFT(BF1335,1)="1"),0.48,VLOOKUP(AU1335,INDEX((係数_乗用_ガソリン,係数_乗用_CNG,係数_乗用_軽油,係数_乗用_メタノール,係数_乗用_LPG),1,1,BE1335):INDEX((係数_乗用_ガソリン,係数_乗用_CNG,係数_乗用_軽油,係数_乗用_メタノール,係数_乗用_LPG),125,5,BE1335),4,FALSE)))))</f>
        <v/>
      </c>
      <c r="AL1335" s="461" t="str">
        <f t="shared" si="767"/>
        <v/>
      </c>
      <c r="AM1335" s="460" t="str">
        <f>IF(AU1335="","",IF(OR(AZ1335=8,AZ1335=9),0,IF(OR(AW1335=3,AW1335=4,AW1335=5,AW1335=6),IF(LEFT(BH1335,1)="1",INDEX(係数_PM低減,MATCH(AY1335,【参考】排出係数!$AI$801:$AI$804,1),MATCH(BI1335,【参考】排出係数!$AL$798:$AO$798,1)),VLOOKUP(AU1335,INDEX((係数_バス貨物_ガソリン,係数_バス貨物_CNG,係数_バス貨物_軽油,係数_バス貨物_メタノール,係数_バス貨物_LPG),MATCH(AY1335,【参考】排出係数!$AI$4:$AI$671,1),1,BE1335):INDEX((係数_バス貨物_ガソリン,係数_バス貨物_CNG,係数_バス貨物_軽油,係数_バス貨物_メタノール,係数_バス貨物_LPG),MATCH(AY1335+1,【参考】排出係数!$AI$4:$AI$671,1)-1,5,BE1335),5,FALSE)),IF(AND(BE1335=3,LEFT(BF1335,1)="1"),0.055,VLOOKUP(AU1335,INDEX((係数_乗用_ガソリン,係数_乗用_CNG,係数_乗用_軽油,係数_乗用_メタノール,係数_乗用_LPG),1,1,BE1335):INDEX((係数_乗用_ガソリン,係数_乗用_CNG,係数_乗用_軽油,係数_乗用_メタノール,係数_乗用_LPG),125,5,BE1335),5,FALSE)))))</f>
        <v/>
      </c>
      <c r="AN1335" s="461" t="str">
        <f t="shared" si="768"/>
        <v/>
      </c>
      <c r="AO1335" s="462" t="str">
        <f t="shared" si="769"/>
        <v/>
      </c>
      <c r="AP1335" s="463" t="str">
        <f t="shared" si="770"/>
        <v/>
      </c>
      <c r="AQ1335" s="464"/>
      <c r="AR1335" s="619"/>
      <c r="AS1335" s="465" t="str">
        <f t="shared" si="740"/>
        <v/>
      </c>
      <c r="AT1335" s="465" t="str">
        <f t="shared" si="741"/>
        <v/>
      </c>
      <c r="AU1335" s="466" t="str">
        <f t="shared" si="742"/>
        <v/>
      </c>
      <c r="AV1335" s="467" t="str">
        <f t="shared" si="743"/>
        <v/>
      </c>
      <c r="AW1335" s="467" t="str">
        <f t="shared" si="744"/>
        <v/>
      </c>
      <c r="AX1335" s="467" t="str">
        <f t="shared" si="745"/>
        <v/>
      </c>
      <c r="AY1335" s="467" t="str">
        <f t="shared" si="746"/>
        <v/>
      </c>
      <c r="AZ1335" s="467" t="str">
        <f t="shared" si="747"/>
        <v/>
      </c>
      <c r="BA1335" s="468" t="str">
        <f>IF(AS1335="","",IF(OR(AU1335="",AU1335="-"),"－",IF(OR(AZ1335=8,AZ1335=9),"",IF(OR(AW1335=3,AW1335=4,AW1335=5,AW1335=6),VLOOKUP(AU1335,INDEX((係数_バス貨物_ガソリン,係数_バス貨物_CNG,係数_バス貨物_軽油,係数_バス貨物_メタノール,係数_バス貨物_LPG),MATCH(AY1335,【参考】排出係数!$AI$4:$AI$671,1),1,BE1335):INDEX((係数_バス貨物_ガソリン,係数_バス貨物_CNG,係数_バス貨物_軽油,係数_バス貨物_メタノール,係数_バス貨物_LPG),MATCH(AY1335+1,【参考】排出係数!$AI$4:$AI$671,1)-1,5,BE1335),2,FALSE),IF(OR(AW1335=1,AW1335=2),VLOOKUP(AU1335,INDEX((係数_乗用_ガソリン,係数_乗用_CNG,係数_乗用_軽油,係数_乗用_メタノール,係数_乗用_LPG),1,1,BE1335):INDEX((係数_乗用_ガソリン,係数_乗用_CNG,係数_乗用_軽油,係数_乗用_メタノール,係数_乗用_LPG),125,5,BE1335),2,FALSE))))))</f>
        <v/>
      </c>
      <c r="BB1335" s="468" t="str">
        <f>IF(T1335="","",IF(OR(AU1335="",AU1335="-"),"－",IF(OR(AZ1335=8,AZ1335=9),"",IF(OR(AW1335=3,AW1335=4,AW1335=5,AW1335=6),VLOOKUP(AU1335,INDEX((係数_バス貨物_ガソリン,係数_バス貨物_CNG,係数_バス貨物_軽油,係数_バス貨物_メタノール,係数_バス貨物_LPG),MATCH(AY1335,【参考】排出係数!$AI$4:$AI$671,1),1,BE1335):INDEX((係数_バス貨物_ガソリン,係数_バス貨物_CNG,係数_バス貨物_軽油,係数_バス貨物_メタノール,係数_バス貨物_LPG),MATCH(AY1335+1,【参考】排出係数!$AI$4:$AI$671,1)-1,5,BE1335),3,FALSE),IF(OR(AW1335=1,AW1335=2),VLOOKUP(AU1335,INDEX((係数_乗用_ガソリン,係数_乗用_CNG,係数_乗用_軽油,係数_乗用_メタノール,係数_乗用_LPG),1,1,BE1335):INDEX((係数_乗用_ガソリン,係数_乗用_CNG,係数_乗用_軽油,係数_乗用_メタノール,係数_乗用_LPG),125,5,BE1335),3,FALSE))))))</f>
        <v/>
      </c>
      <c r="BC1335" s="467" t="str">
        <f t="shared" si="748"/>
        <v/>
      </c>
      <c r="BD1335" s="567" t="str">
        <f t="shared" si="749"/>
        <v/>
      </c>
      <c r="BE1335" s="467" t="str">
        <f t="shared" si="750"/>
        <v/>
      </c>
      <c r="BF1335" s="469" t="str">
        <f t="shared" ca="1" si="751"/>
        <v/>
      </c>
      <c r="BG1335" s="469" t="str">
        <f t="shared" ca="1" si="752"/>
        <v/>
      </c>
      <c r="BH1335" s="467" t="str">
        <f t="shared" si="753"/>
        <v/>
      </c>
      <c r="BI1335" s="467" t="str">
        <f t="shared" ca="1" si="754"/>
        <v/>
      </c>
      <c r="BJ1335" s="469" t="str">
        <f t="shared" si="755"/>
        <v/>
      </c>
      <c r="BK1335" s="470" t="str">
        <f t="shared" si="739"/>
        <v/>
      </c>
      <c r="BL1335" s="775" t="str">
        <f t="shared" si="756"/>
        <v/>
      </c>
      <c r="BM1335" s="775" t="str">
        <f t="shared" si="757"/>
        <v/>
      </c>
    </row>
    <row r="1336" spans="1:65">
      <c r="A1336" s="473">
        <v>1280</v>
      </c>
      <c r="B1336" s="132"/>
      <c r="C1336" s="332"/>
      <c r="D1336" s="333"/>
      <c r="E1336" s="333"/>
      <c r="F1336" s="334"/>
      <c r="G1336" s="337"/>
      <c r="H1336" s="131"/>
      <c r="I1336" s="337"/>
      <c r="J1336" s="131"/>
      <c r="K1336" s="458" t="str">
        <f t="shared" si="758"/>
        <v/>
      </c>
      <c r="L1336" s="458">
        <f t="shared" si="759"/>
        <v>0</v>
      </c>
      <c r="M1336" s="458">
        <f t="shared" si="760"/>
        <v>0</v>
      </c>
      <c r="N1336" s="459" t="str">
        <f t="shared" si="771"/>
        <v/>
      </c>
      <c r="O1336" s="459" t="str">
        <f t="shared" si="772"/>
        <v/>
      </c>
      <c r="P1336" s="459" t="str">
        <f t="shared" si="773"/>
        <v/>
      </c>
      <c r="Q1336" s="459" t="str">
        <f t="shared" si="774"/>
        <v/>
      </c>
      <c r="R1336" s="459" t="str">
        <f t="shared" si="775"/>
        <v/>
      </c>
      <c r="S1336" s="459" t="str">
        <f t="shared" si="776"/>
        <v/>
      </c>
      <c r="T1336" s="566" t="str">
        <f t="shared" si="761"/>
        <v/>
      </c>
      <c r="U1336" s="702"/>
      <c r="V1336" s="132"/>
      <c r="W1336" s="133"/>
      <c r="X1336" s="134"/>
      <c r="Y1336" s="135"/>
      <c r="Z1336" s="137"/>
      <c r="AA1336" s="136"/>
      <c r="AB1336" s="566" t="str">
        <f t="shared" si="762"/>
        <v/>
      </c>
      <c r="AC1336" s="568" t="str">
        <f t="shared" si="763"/>
        <v/>
      </c>
      <c r="AD1336" s="137"/>
      <c r="AE1336" s="137"/>
      <c r="AF1336" s="138"/>
      <c r="AG1336" s="138"/>
      <c r="AH1336" s="592" t="str">
        <f t="shared" si="764"/>
        <v/>
      </c>
      <c r="AI1336" s="592" t="str">
        <f t="shared" si="765"/>
        <v/>
      </c>
      <c r="AJ1336" s="592" t="str">
        <f t="shared" si="766"/>
        <v/>
      </c>
      <c r="AK1336" s="460" t="str">
        <f>IF(AU1336="","",IF(OR(AZ1336=8,AZ1336=9),0,IF(OR(AW1336=3,AW1336=4,AW1336=5,AW1336=6),IF(LEFT(BF1336,1)="1",INDEX(係数_NOX・PM低減,MATCH(AY1336,【参考】排出係数!$AI$801:$AI$804,1),1),VLOOKUP(AU1336,INDEX((係数_バス貨物_ガソリン,係数_バス貨物_CNG,係数_バス貨物_軽油,係数_バス貨物_メタノール,係数_バス貨物_LPG),MATCH(AY1336,【参考】排出係数!$AI$4:$AI$671,1),1,BE1336):INDEX((係数_バス貨物_ガソリン,係数_バス貨物_CNG,係数_バス貨物_軽油,係数_バス貨物_メタノール,係数_バス貨物_LPG),MATCH(AY1336+1,【参考】排出係数!$AI$4:$AI$671,1)-1,5,BE1336),4,FALSE)),IF(AND(BE1336=3,LEFT(BF1336,1)="1"),0.48,VLOOKUP(AU1336,INDEX((係数_乗用_ガソリン,係数_乗用_CNG,係数_乗用_軽油,係数_乗用_メタノール,係数_乗用_LPG),1,1,BE1336):INDEX((係数_乗用_ガソリン,係数_乗用_CNG,係数_乗用_軽油,係数_乗用_メタノール,係数_乗用_LPG),125,5,BE1336),4,FALSE)))))</f>
        <v/>
      </c>
      <c r="AL1336" s="461" t="str">
        <f t="shared" si="767"/>
        <v/>
      </c>
      <c r="AM1336" s="460" t="str">
        <f>IF(AU1336="","",IF(OR(AZ1336=8,AZ1336=9),0,IF(OR(AW1336=3,AW1336=4,AW1336=5,AW1336=6),IF(LEFT(BH1336,1)="1",INDEX(係数_PM低減,MATCH(AY1336,【参考】排出係数!$AI$801:$AI$804,1),MATCH(BI1336,【参考】排出係数!$AL$798:$AO$798,1)),VLOOKUP(AU1336,INDEX((係数_バス貨物_ガソリン,係数_バス貨物_CNG,係数_バス貨物_軽油,係数_バス貨物_メタノール,係数_バス貨物_LPG),MATCH(AY1336,【参考】排出係数!$AI$4:$AI$671,1),1,BE1336):INDEX((係数_バス貨物_ガソリン,係数_バス貨物_CNG,係数_バス貨物_軽油,係数_バス貨物_メタノール,係数_バス貨物_LPG),MATCH(AY1336+1,【参考】排出係数!$AI$4:$AI$671,1)-1,5,BE1336),5,FALSE)),IF(AND(BE1336=3,LEFT(BF1336,1)="1"),0.055,VLOOKUP(AU1336,INDEX((係数_乗用_ガソリン,係数_乗用_CNG,係数_乗用_軽油,係数_乗用_メタノール,係数_乗用_LPG),1,1,BE1336):INDEX((係数_乗用_ガソリン,係数_乗用_CNG,係数_乗用_軽油,係数_乗用_メタノール,係数_乗用_LPG),125,5,BE1336),5,FALSE)))))</f>
        <v/>
      </c>
      <c r="AN1336" s="461" t="str">
        <f t="shared" si="768"/>
        <v/>
      </c>
      <c r="AO1336" s="462" t="str">
        <f t="shared" si="769"/>
        <v/>
      </c>
      <c r="AP1336" s="463" t="str">
        <f t="shared" si="770"/>
        <v/>
      </c>
      <c r="AQ1336" s="464"/>
      <c r="AR1336" s="619"/>
      <c r="AS1336" s="465" t="str">
        <f t="shared" si="740"/>
        <v/>
      </c>
      <c r="AT1336" s="465" t="str">
        <f t="shared" si="741"/>
        <v/>
      </c>
      <c r="AU1336" s="466" t="str">
        <f t="shared" si="742"/>
        <v/>
      </c>
      <c r="AV1336" s="467" t="str">
        <f t="shared" si="743"/>
        <v/>
      </c>
      <c r="AW1336" s="467" t="str">
        <f t="shared" si="744"/>
        <v/>
      </c>
      <c r="AX1336" s="467" t="str">
        <f t="shared" si="745"/>
        <v/>
      </c>
      <c r="AY1336" s="467" t="str">
        <f t="shared" si="746"/>
        <v/>
      </c>
      <c r="AZ1336" s="467" t="str">
        <f t="shared" si="747"/>
        <v/>
      </c>
      <c r="BA1336" s="468" t="str">
        <f>IF(AS1336="","",IF(OR(AU1336="",AU1336="-"),"－",IF(OR(AZ1336=8,AZ1336=9),"",IF(OR(AW1336=3,AW1336=4,AW1336=5,AW1336=6),VLOOKUP(AU1336,INDEX((係数_バス貨物_ガソリン,係数_バス貨物_CNG,係数_バス貨物_軽油,係数_バス貨物_メタノール,係数_バス貨物_LPG),MATCH(AY1336,【参考】排出係数!$AI$4:$AI$671,1),1,BE1336):INDEX((係数_バス貨物_ガソリン,係数_バス貨物_CNG,係数_バス貨物_軽油,係数_バス貨物_メタノール,係数_バス貨物_LPG),MATCH(AY1336+1,【参考】排出係数!$AI$4:$AI$671,1)-1,5,BE1336),2,FALSE),IF(OR(AW1336=1,AW1336=2),VLOOKUP(AU1336,INDEX((係数_乗用_ガソリン,係数_乗用_CNG,係数_乗用_軽油,係数_乗用_メタノール,係数_乗用_LPG),1,1,BE1336):INDEX((係数_乗用_ガソリン,係数_乗用_CNG,係数_乗用_軽油,係数_乗用_メタノール,係数_乗用_LPG),125,5,BE1336),2,FALSE))))))</f>
        <v/>
      </c>
      <c r="BB1336" s="468" t="str">
        <f>IF(T1336="","",IF(OR(AU1336="",AU1336="-"),"－",IF(OR(AZ1336=8,AZ1336=9),"",IF(OR(AW1336=3,AW1336=4,AW1336=5,AW1336=6),VLOOKUP(AU1336,INDEX((係数_バス貨物_ガソリン,係数_バス貨物_CNG,係数_バス貨物_軽油,係数_バス貨物_メタノール,係数_バス貨物_LPG),MATCH(AY1336,【参考】排出係数!$AI$4:$AI$671,1),1,BE1336):INDEX((係数_バス貨物_ガソリン,係数_バス貨物_CNG,係数_バス貨物_軽油,係数_バス貨物_メタノール,係数_バス貨物_LPG),MATCH(AY1336+1,【参考】排出係数!$AI$4:$AI$671,1)-1,5,BE1336),3,FALSE),IF(OR(AW1336=1,AW1336=2),VLOOKUP(AU1336,INDEX((係数_乗用_ガソリン,係数_乗用_CNG,係数_乗用_軽油,係数_乗用_メタノール,係数_乗用_LPG),1,1,BE1336):INDEX((係数_乗用_ガソリン,係数_乗用_CNG,係数_乗用_軽油,係数_乗用_メタノール,係数_乗用_LPG),125,5,BE1336),3,FALSE))))))</f>
        <v/>
      </c>
      <c r="BC1336" s="467" t="str">
        <f t="shared" si="748"/>
        <v/>
      </c>
      <c r="BD1336" s="567" t="str">
        <f t="shared" si="749"/>
        <v/>
      </c>
      <c r="BE1336" s="467" t="str">
        <f t="shared" si="750"/>
        <v/>
      </c>
      <c r="BF1336" s="469" t="str">
        <f t="shared" ca="1" si="751"/>
        <v/>
      </c>
      <c r="BG1336" s="469" t="str">
        <f t="shared" ca="1" si="752"/>
        <v/>
      </c>
      <c r="BH1336" s="467" t="str">
        <f t="shared" si="753"/>
        <v/>
      </c>
      <c r="BI1336" s="467" t="str">
        <f t="shared" ca="1" si="754"/>
        <v/>
      </c>
      <c r="BJ1336" s="469" t="str">
        <f t="shared" si="755"/>
        <v/>
      </c>
      <c r="BK1336" s="470" t="str">
        <f t="shared" si="739"/>
        <v/>
      </c>
      <c r="BL1336" s="775" t="str">
        <f t="shared" si="756"/>
        <v/>
      </c>
      <c r="BM1336" s="775" t="str">
        <f t="shared" si="757"/>
        <v/>
      </c>
    </row>
    <row r="1337" spans="1:65">
      <c r="A1337" s="473">
        <v>1281</v>
      </c>
      <c r="B1337" s="132"/>
      <c r="C1337" s="332"/>
      <c r="D1337" s="333"/>
      <c r="E1337" s="333"/>
      <c r="F1337" s="334"/>
      <c r="G1337" s="337"/>
      <c r="H1337" s="131"/>
      <c r="I1337" s="337"/>
      <c r="J1337" s="131"/>
      <c r="K1337" s="458" t="str">
        <f t="shared" si="758"/>
        <v/>
      </c>
      <c r="L1337" s="458">
        <f t="shared" si="759"/>
        <v>0</v>
      </c>
      <c r="M1337" s="458">
        <f t="shared" si="760"/>
        <v>0</v>
      </c>
      <c r="N1337" s="459" t="str">
        <f t="shared" si="771"/>
        <v/>
      </c>
      <c r="O1337" s="459" t="str">
        <f t="shared" si="772"/>
        <v/>
      </c>
      <c r="P1337" s="459" t="str">
        <f t="shared" si="773"/>
        <v/>
      </c>
      <c r="Q1337" s="459" t="str">
        <f t="shared" si="774"/>
        <v/>
      </c>
      <c r="R1337" s="459" t="str">
        <f t="shared" si="775"/>
        <v/>
      </c>
      <c r="S1337" s="459" t="str">
        <f t="shared" si="776"/>
        <v/>
      </c>
      <c r="T1337" s="566" t="str">
        <f t="shared" si="761"/>
        <v/>
      </c>
      <c r="U1337" s="702"/>
      <c r="V1337" s="132"/>
      <c r="W1337" s="133"/>
      <c r="X1337" s="134"/>
      <c r="Y1337" s="135"/>
      <c r="Z1337" s="137"/>
      <c r="AA1337" s="136"/>
      <c r="AB1337" s="566" t="str">
        <f t="shared" si="762"/>
        <v/>
      </c>
      <c r="AC1337" s="568" t="str">
        <f t="shared" si="763"/>
        <v/>
      </c>
      <c r="AD1337" s="137"/>
      <c r="AE1337" s="137"/>
      <c r="AF1337" s="138"/>
      <c r="AG1337" s="138"/>
      <c r="AH1337" s="592" t="str">
        <f t="shared" si="764"/>
        <v/>
      </c>
      <c r="AI1337" s="592" t="str">
        <f t="shared" si="765"/>
        <v/>
      </c>
      <c r="AJ1337" s="592" t="str">
        <f t="shared" si="766"/>
        <v/>
      </c>
      <c r="AK1337" s="460" t="str">
        <f>IF(AU1337="","",IF(OR(AZ1337=8,AZ1337=9),0,IF(OR(AW1337=3,AW1337=4,AW1337=5,AW1337=6),IF(LEFT(BF1337,1)="1",INDEX(係数_NOX・PM低減,MATCH(AY1337,【参考】排出係数!$AI$801:$AI$804,1),1),VLOOKUP(AU1337,INDEX((係数_バス貨物_ガソリン,係数_バス貨物_CNG,係数_バス貨物_軽油,係数_バス貨物_メタノール,係数_バス貨物_LPG),MATCH(AY1337,【参考】排出係数!$AI$4:$AI$671,1),1,BE1337):INDEX((係数_バス貨物_ガソリン,係数_バス貨物_CNG,係数_バス貨物_軽油,係数_バス貨物_メタノール,係数_バス貨物_LPG),MATCH(AY1337+1,【参考】排出係数!$AI$4:$AI$671,1)-1,5,BE1337),4,FALSE)),IF(AND(BE1337=3,LEFT(BF1337,1)="1"),0.48,VLOOKUP(AU1337,INDEX((係数_乗用_ガソリン,係数_乗用_CNG,係数_乗用_軽油,係数_乗用_メタノール,係数_乗用_LPG),1,1,BE1337):INDEX((係数_乗用_ガソリン,係数_乗用_CNG,係数_乗用_軽油,係数_乗用_メタノール,係数_乗用_LPG),125,5,BE1337),4,FALSE)))))</f>
        <v/>
      </c>
      <c r="AL1337" s="461" t="str">
        <f t="shared" si="767"/>
        <v/>
      </c>
      <c r="AM1337" s="460" t="str">
        <f>IF(AU1337="","",IF(OR(AZ1337=8,AZ1337=9),0,IF(OR(AW1337=3,AW1337=4,AW1337=5,AW1337=6),IF(LEFT(BH1337,1)="1",INDEX(係数_PM低減,MATCH(AY1337,【参考】排出係数!$AI$801:$AI$804,1),MATCH(BI1337,【参考】排出係数!$AL$798:$AO$798,1)),VLOOKUP(AU1337,INDEX((係数_バス貨物_ガソリン,係数_バス貨物_CNG,係数_バス貨物_軽油,係数_バス貨物_メタノール,係数_バス貨物_LPG),MATCH(AY1337,【参考】排出係数!$AI$4:$AI$671,1),1,BE1337):INDEX((係数_バス貨物_ガソリン,係数_バス貨物_CNG,係数_バス貨物_軽油,係数_バス貨物_メタノール,係数_バス貨物_LPG),MATCH(AY1337+1,【参考】排出係数!$AI$4:$AI$671,1)-1,5,BE1337),5,FALSE)),IF(AND(BE1337=3,LEFT(BF1337,1)="1"),0.055,VLOOKUP(AU1337,INDEX((係数_乗用_ガソリン,係数_乗用_CNG,係数_乗用_軽油,係数_乗用_メタノール,係数_乗用_LPG),1,1,BE1337):INDEX((係数_乗用_ガソリン,係数_乗用_CNG,係数_乗用_軽油,係数_乗用_メタノール,係数_乗用_LPG),125,5,BE1337),5,FALSE)))))</f>
        <v/>
      </c>
      <c r="AN1337" s="461" t="str">
        <f t="shared" si="768"/>
        <v/>
      </c>
      <c r="AO1337" s="462" t="str">
        <f t="shared" si="769"/>
        <v/>
      </c>
      <c r="AP1337" s="463" t="str">
        <f t="shared" si="770"/>
        <v/>
      </c>
      <c r="AQ1337" s="464"/>
      <c r="AR1337" s="619"/>
      <c r="AS1337" s="465" t="str">
        <f t="shared" si="740"/>
        <v/>
      </c>
      <c r="AT1337" s="465" t="str">
        <f t="shared" si="741"/>
        <v/>
      </c>
      <c r="AU1337" s="466" t="str">
        <f t="shared" si="742"/>
        <v/>
      </c>
      <c r="AV1337" s="467" t="str">
        <f t="shared" si="743"/>
        <v/>
      </c>
      <c r="AW1337" s="467" t="str">
        <f t="shared" si="744"/>
        <v/>
      </c>
      <c r="AX1337" s="467" t="str">
        <f t="shared" si="745"/>
        <v/>
      </c>
      <c r="AY1337" s="467" t="str">
        <f t="shared" si="746"/>
        <v/>
      </c>
      <c r="AZ1337" s="467" t="str">
        <f t="shared" si="747"/>
        <v/>
      </c>
      <c r="BA1337" s="468" t="str">
        <f>IF(AS1337="","",IF(OR(AU1337="",AU1337="-"),"－",IF(OR(AZ1337=8,AZ1337=9),"",IF(OR(AW1337=3,AW1337=4,AW1337=5,AW1337=6),VLOOKUP(AU1337,INDEX((係数_バス貨物_ガソリン,係数_バス貨物_CNG,係数_バス貨物_軽油,係数_バス貨物_メタノール,係数_バス貨物_LPG),MATCH(AY1337,【参考】排出係数!$AI$4:$AI$671,1),1,BE1337):INDEX((係数_バス貨物_ガソリン,係数_バス貨物_CNG,係数_バス貨物_軽油,係数_バス貨物_メタノール,係数_バス貨物_LPG),MATCH(AY1337+1,【参考】排出係数!$AI$4:$AI$671,1)-1,5,BE1337),2,FALSE),IF(OR(AW1337=1,AW1337=2),VLOOKUP(AU1337,INDEX((係数_乗用_ガソリン,係数_乗用_CNG,係数_乗用_軽油,係数_乗用_メタノール,係数_乗用_LPG),1,1,BE1337):INDEX((係数_乗用_ガソリン,係数_乗用_CNG,係数_乗用_軽油,係数_乗用_メタノール,係数_乗用_LPG),125,5,BE1337),2,FALSE))))))</f>
        <v/>
      </c>
      <c r="BB1337" s="468" t="str">
        <f>IF(T1337="","",IF(OR(AU1337="",AU1337="-"),"－",IF(OR(AZ1337=8,AZ1337=9),"",IF(OR(AW1337=3,AW1337=4,AW1337=5,AW1337=6),VLOOKUP(AU1337,INDEX((係数_バス貨物_ガソリン,係数_バス貨物_CNG,係数_バス貨物_軽油,係数_バス貨物_メタノール,係数_バス貨物_LPG),MATCH(AY1337,【参考】排出係数!$AI$4:$AI$671,1),1,BE1337):INDEX((係数_バス貨物_ガソリン,係数_バス貨物_CNG,係数_バス貨物_軽油,係数_バス貨物_メタノール,係数_バス貨物_LPG),MATCH(AY1337+1,【参考】排出係数!$AI$4:$AI$671,1)-1,5,BE1337),3,FALSE),IF(OR(AW1337=1,AW1337=2),VLOOKUP(AU1337,INDEX((係数_乗用_ガソリン,係数_乗用_CNG,係数_乗用_軽油,係数_乗用_メタノール,係数_乗用_LPG),1,1,BE1337):INDEX((係数_乗用_ガソリン,係数_乗用_CNG,係数_乗用_軽油,係数_乗用_メタノール,係数_乗用_LPG),125,5,BE1337),3,FALSE))))))</f>
        <v/>
      </c>
      <c r="BC1337" s="467" t="str">
        <f t="shared" si="748"/>
        <v/>
      </c>
      <c r="BD1337" s="567" t="str">
        <f t="shared" si="749"/>
        <v/>
      </c>
      <c r="BE1337" s="467" t="str">
        <f t="shared" si="750"/>
        <v/>
      </c>
      <c r="BF1337" s="469" t="str">
        <f t="shared" ca="1" si="751"/>
        <v/>
      </c>
      <c r="BG1337" s="469" t="str">
        <f t="shared" ca="1" si="752"/>
        <v/>
      </c>
      <c r="BH1337" s="467" t="str">
        <f t="shared" si="753"/>
        <v/>
      </c>
      <c r="BI1337" s="467" t="str">
        <f t="shared" ca="1" si="754"/>
        <v/>
      </c>
      <c r="BJ1337" s="469" t="str">
        <f t="shared" si="755"/>
        <v/>
      </c>
      <c r="BK1337" s="470" t="str">
        <f t="shared" ref="BK1337:BK1400" si="777">IF(AS1337="","",VLOOKUP(T1337,車両の増減,2,FALSE))</f>
        <v/>
      </c>
      <c r="BL1337" s="775" t="str">
        <f t="shared" si="756"/>
        <v/>
      </c>
      <c r="BM1337" s="775" t="str">
        <f t="shared" si="757"/>
        <v/>
      </c>
    </row>
    <row r="1338" spans="1:65">
      <c r="A1338" s="473">
        <v>1282</v>
      </c>
      <c r="B1338" s="132"/>
      <c r="C1338" s="332"/>
      <c r="D1338" s="333"/>
      <c r="E1338" s="333"/>
      <c r="F1338" s="334"/>
      <c r="G1338" s="337"/>
      <c r="H1338" s="131"/>
      <c r="I1338" s="337"/>
      <c r="J1338" s="131"/>
      <c r="K1338" s="458" t="str">
        <f t="shared" si="758"/>
        <v/>
      </c>
      <c r="L1338" s="458">
        <f t="shared" si="759"/>
        <v>0</v>
      </c>
      <c r="M1338" s="458">
        <f t="shared" si="760"/>
        <v>0</v>
      </c>
      <c r="N1338" s="459" t="str">
        <f t="shared" si="771"/>
        <v/>
      </c>
      <c r="O1338" s="459" t="str">
        <f t="shared" si="772"/>
        <v/>
      </c>
      <c r="P1338" s="459" t="str">
        <f t="shared" si="773"/>
        <v/>
      </c>
      <c r="Q1338" s="459" t="str">
        <f t="shared" si="774"/>
        <v/>
      </c>
      <c r="R1338" s="459" t="str">
        <f t="shared" si="775"/>
        <v/>
      </c>
      <c r="S1338" s="459" t="str">
        <f t="shared" si="776"/>
        <v/>
      </c>
      <c r="T1338" s="566" t="str">
        <f t="shared" si="761"/>
        <v/>
      </c>
      <c r="U1338" s="702"/>
      <c r="V1338" s="132"/>
      <c r="W1338" s="133"/>
      <c r="X1338" s="134"/>
      <c r="Y1338" s="135"/>
      <c r="Z1338" s="137"/>
      <c r="AA1338" s="136"/>
      <c r="AB1338" s="566" t="str">
        <f t="shared" si="762"/>
        <v/>
      </c>
      <c r="AC1338" s="568" t="str">
        <f t="shared" si="763"/>
        <v/>
      </c>
      <c r="AD1338" s="137"/>
      <c r="AE1338" s="137"/>
      <c r="AF1338" s="138"/>
      <c r="AG1338" s="138"/>
      <c r="AH1338" s="592" t="str">
        <f t="shared" si="764"/>
        <v/>
      </c>
      <c r="AI1338" s="592" t="str">
        <f t="shared" si="765"/>
        <v/>
      </c>
      <c r="AJ1338" s="592" t="str">
        <f t="shared" si="766"/>
        <v/>
      </c>
      <c r="AK1338" s="460" t="str">
        <f>IF(AU1338="","",IF(OR(AZ1338=8,AZ1338=9),0,IF(OR(AW1338=3,AW1338=4,AW1338=5,AW1338=6),IF(LEFT(BF1338,1)="1",INDEX(係数_NOX・PM低減,MATCH(AY1338,【参考】排出係数!$AI$801:$AI$804,1),1),VLOOKUP(AU1338,INDEX((係数_バス貨物_ガソリン,係数_バス貨物_CNG,係数_バス貨物_軽油,係数_バス貨物_メタノール,係数_バス貨物_LPG),MATCH(AY1338,【参考】排出係数!$AI$4:$AI$671,1),1,BE1338):INDEX((係数_バス貨物_ガソリン,係数_バス貨物_CNG,係数_バス貨物_軽油,係数_バス貨物_メタノール,係数_バス貨物_LPG),MATCH(AY1338+1,【参考】排出係数!$AI$4:$AI$671,1)-1,5,BE1338),4,FALSE)),IF(AND(BE1338=3,LEFT(BF1338,1)="1"),0.48,VLOOKUP(AU1338,INDEX((係数_乗用_ガソリン,係数_乗用_CNG,係数_乗用_軽油,係数_乗用_メタノール,係数_乗用_LPG),1,1,BE1338):INDEX((係数_乗用_ガソリン,係数_乗用_CNG,係数_乗用_軽油,係数_乗用_メタノール,係数_乗用_LPG),125,5,BE1338),4,FALSE)))))</f>
        <v/>
      </c>
      <c r="AL1338" s="461" t="str">
        <f t="shared" si="767"/>
        <v/>
      </c>
      <c r="AM1338" s="460" t="str">
        <f>IF(AU1338="","",IF(OR(AZ1338=8,AZ1338=9),0,IF(OR(AW1338=3,AW1338=4,AW1338=5,AW1338=6),IF(LEFT(BH1338,1)="1",INDEX(係数_PM低減,MATCH(AY1338,【参考】排出係数!$AI$801:$AI$804,1),MATCH(BI1338,【参考】排出係数!$AL$798:$AO$798,1)),VLOOKUP(AU1338,INDEX((係数_バス貨物_ガソリン,係数_バス貨物_CNG,係数_バス貨物_軽油,係数_バス貨物_メタノール,係数_バス貨物_LPG),MATCH(AY1338,【参考】排出係数!$AI$4:$AI$671,1),1,BE1338):INDEX((係数_バス貨物_ガソリン,係数_バス貨物_CNG,係数_バス貨物_軽油,係数_バス貨物_メタノール,係数_バス貨物_LPG),MATCH(AY1338+1,【参考】排出係数!$AI$4:$AI$671,1)-1,5,BE1338),5,FALSE)),IF(AND(BE1338=3,LEFT(BF1338,1)="1"),0.055,VLOOKUP(AU1338,INDEX((係数_乗用_ガソリン,係数_乗用_CNG,係数_乗用_軽油,係数_乗用_メタノール,係数_乗用_LPG),1,1,BE1338):INDEX((係数_乗用_ガソリン,係数_乗用_CNG,係数_乗用_軽油,係数_乗用_メタノール,係数_乗用_LPG),125,5,BE1338),5,FALSE)))))</f>
        <v/>
      </c>
      <c r="AN1338" s="461" t="str">
        <f t="shared" si="768"/>
        <v/>
      </c>
      <c r="AO1338" s="462" t="str">
        <f t="shared" si="769"/>
        <v/>
      </c>
      <c r="AP1338" s="463" t="str">
        <f t="shared" si="770"/>
        <v/>
      </c>
      <c r="AQ1338" s="464"/>
      <c r="AR1338" s="619"/>
      <c r="AS1338" s="465" t="str">
        <f t="shared" ref="AS1338:AS1401" si="778">IF(OR(T1338="(減車済)",T1338=""),"",1)</f>
        <v/>
      </c>
      <c r="AT1338" s="465" t="str">
        <f t="shared" ref="AT1338:AT1401" si="779">IF(OR(T1338="継続",T1338="新規"),1,"")</f>
        <v/>
      </c>
      <c r="AU1338" s="466" t="str">
        <f t="shared" ref="AU1338:AU1401" si="780">IF(AS1338="","",UPPER(ASC(X1338)))</f>
        <v/>
      </c>
      <c r="AV1338" s="467" t="str">
        <f t="shared" ref="AV1338:AV1401" si="781">IF(AS1338="","",IF(V1338="","",IF(V1338="普通",1,IF(V1338="小型",2,0))))</f>
        <v/>
      </c>
      <c r="AW1338" s="467" t="str">
        <f t="shared" ref="AW1338:AW1401" si="782">IF(AS1338="","",IF(W1338="","",VLOOKUP(W1338,用途,2,FALSE)))</f>
        <v/>
      </c>
      <c r="AX1338" s="467" t="str">
        <f t="shared" ref="AX1338:AX1401" si="783">IF(AS1338="","",IF(Y1338="","",IF(Y1338&lt;=10,1,IF(Y1338&lt;30,2,IF(Y1338&gt;=30,3,0)))))</f>
        <v/>
      </c>
      <c r="AY1338" s="467" t="str">
        <f t="shared" ref="AY1338:AY1401" si="784">IF(AS1338="","",IF(Z1338="","",IF(Z1338&lt;=1.7*1000,1,IF(Z1338&lt;=2.5*1000,2,IF(Z1338&lt;=3.5*1000,3,IF(Z1338&lt;8*1000,4,IF(Z1338&gt;=8*1000,5,"")))))))</f>
        <v/>
      </c>
      <c r="AZ1338" s="467" t="str">
        <f t="shared" ref="AZ1338:AZ1401" si="785">IF(AS1338="","",IF(AA1338="","",VLOOKUP(AA1338,燃料の種類,2,FALSE)))</f>
        <v/>
      </c>
      <c r="BA1338" s="468" t="str">
        <f>IF(AS1338="","",IF(OR(AU1338="",AU1338="-"),"－",IF(OR(AZ1338=8,AZ1338=9),"",IF(OR(AW1338=3,AW1338=4,AW1338=5,AW1338=6),VLOOKUP(AU1338,INDEX((係数_バス貨物_ガソリン,係数_バス貨物_CNG,係数_バス貨物_軽油,係数_バス貨物_メタノール,係数_バス貨物_LPG),MATCH(AY1338,【参考】排出係数!$AI$4:$AI$671,1),1,BE1338):INDEX((係数_バス貨物_ガソリン,係数_バス貨物_CNG,係数_バス貨物_軽油,係数_バス貨物_メタノール,係数_バス貨物_LPG),MATCH(AY1338+1,【参考】排出係数!$AI$4:$AI$671,1)-1,5,BE1338),2,FALSE),IF(OR(AW1338=1,AW1338=2),VLOOKUP(AU1338,INDEX((係数_乗用_ガソリン,係数_乗用_CNG,係数_乗用_軽油,係数_乗用_メタノール,係数_乗用_LPG),1,1,BE1338):INDEX((係数_乗用_ガソリン,係数_乗用_CNG,係数_乗用_軽油,係数_乗用_メタノール,係数_乗用_LPG),125,5,BE1338),2,FALSE))))))</f>
        <v/>
      </c>
      <c r="BB1338" s="468" t="str">
        <f>IF(T1338="","",IF(OR(AU1338="",AU1338="-"),"－",IF(OR(AZ1338=8,AZ1338=9),"",IF(OR(AW1338=3,AW1338=4,AW1338=5,AW1338=6),VLOOKUP(AU1338,INDEX((係数_バス貨物_ガソリン,係数_バス貨物_CNG,係数_バス貨物_軽油,係数_バス貨物_メタノール,係数_バス貨物_LPG),MATCH(AY1338,【参考】排出係数!$AI$4:$AI$671,1),1,BE1338):INDEX((係数_バス貨物_ガソリン,係数_バス貨物_CNG,係数_バス貨物_軽油,係数_バス貨物_メタノール,係数_バス貨物_LPG),MATCH(AY1338+1,【参考】排出係数!$AI$4:$AI$671,1)-1,5,BE1338),3,FALSE),IF(OR(AW1338=1,AW1338=2),VLOOKUP(AU1338,INDEX((係数_乗用_ガソリン,係数_乗用_CNG,係数_乗用_軽油,係数_乗用_メタノール,係数_乗用_LPG),1,1,BE1338):INDEX((係数_乗用_ガソリン,係数_乗用_CNG,係数_乗用_軽油,係数_乗用_メタノール,係数_乗用_LPG),125,5,BE1338),3,FALSE))))))</f>
        <v/>
      </c>
      <c r="BC1338" s="467" t="str">
        <f t="shared" ref="BC1338:BC1401" si="786">IF((AS1338="")+(AC1338=""),"",IF(燃料区分1=4,VLOOKUP(BB1338,排ガス低減レベル,2,FALSE),VLOOKUP(AC1338,排ガス低減レベル,2,FALSE)))</f>
        <v/>
      </c>
      <c r="BD1338" s="567" t="str">
        <f t="shared" ref="BD1338:BD1401" si="787">IF(AT1338="","",IF(AW1338=3,B1338&amp;"-"&amp;SUM(AW1338*100,AX1338*10,AY1338)&amp;"A",IF(OR(AW1338=2,AW1338=4,AW1338=6),B1338&amp;"-"&amp;AY1338*10&amp;"A",IF(AW1338=1,B1338&amp;"-"&amp;AW1338&amp;"A",IF(AW1338=5,B1338&amp;"-"&amp;SUM(AW1338*100,AV1338*10,AY1338)&amp;"A","")))))</f>
        <v/>
      </c>
      <c r="BE1338" s="467" t="str">
        <f t="shared" ref="BE1338:BE1401" si="788">IF(OR(AZ1338=1,AZ1338=2,AZ1338=11),1,IF(AZ1338=6,2,IF(OR(AZ1338=4,AZ1338=5,AZ1338=10),3,IF(AZ1338=7,4,IF(AZ1338=3,5, IF(OR(AZ1338=8,AZ1338=9),6,""))))))</f>
        <v/>
      </c>
      <c r="BF1338" s="469" t="str">
        <f t="shared" ref="BF1338:BF1401" ca="1" si="789">(IF(OR(AZ1338=4,AZ1338=5),OFFSET($CH$1,MATCH($AF1338,$CG$2:$CG$4,0),0)&amp;BK1338,""))</f>
        <v/>
      </c>
      <c r="BG1338" s="469" t="str">
        <f t="shared" ref="BG1338:BG1401" ca="1" si="790">(IF(OR(AZ1338=4,AZ1338=5),OFFSET($CJ$1,MATCH($AG1338,$CI$2:$CI$5,0),0)&amp;BK1338,""))</f>
        <v/>
      </c>
      <c r="BH1338" s="467" t="str">
        <f t="shared" ref="BH1338:BH1401" si="791">IF(OR(AZ1338=4,AZ1338=5),IF(OR(LEFT(BF1338,1)="1",LEFT(BG1338,1)="2",LEFT(BG1338,1)="3"),1,2)&amp;BK1338,"")</f>
        <v/>
      </c>
      <c r="BI1338" s="467" t="str">
        <f t="shared" ref="BI1338:BI1401" ca="1" si="792">IF(LEFT(BF1338)="1",1,IF(LEFT(BG1338,1)="2",2,IF(LEFT(BG1338,1)="3",3,"")))</f>
        <v/>
      </c>
      <c r="BJ1338" s="469" t="str">
        <f t="shared" ref="BJ1338:BJ1401" si="793">IF(AT1338="","",B1338&amp;"-"&amp;AZ1338)</f>
        <v/>
      </c>
      <c r="BK1338" s="470" t="str">
        <f t="shared" si="777"/>
        <v/>
      </c>
      <c r="BL1338" s="775" t="str">
        <f t="shared" ref="BL1338:BL1401" si="794">IF(AND(OR($T1338="新規",$T1338="継続"),ISBLANK($AD1338)),1,"")</f>
        <v/>
      </c>
      <c r="BM1338" s="775" t="str">
        <f t="shared" ref="BM1338:BM1401" si="795">IF(AND(OR($T1338="新規",$T1338="継続"),ISBLANK($AE1338)),1,"")</f>
        <v/>
      </c>
    </row>
    <row r="1339" spans="1:65">
      <c r="A1339" s="473">
        <v>1283</v>
      </c>
      <c r="B1339" s="132"/>
      <c r="C1339" s="332"/>
      <c r="D1339" s="333"/>
      <c r="E1339" s="333"/>
      <c r="F1339" s="334"/>
      <c r="G1339" s="337"/>
      <c r="H1339" s="131"/>
      <c r="I1339" s="337"/>
      <c r="J1339" s="131"/>
      <c r="K1339" s="458" t="str">
        <f t="shared" si="758"/>
        <v/>
      </c>
      <c r="L1339" s="458">
        <f t="shared" si="759"/>
        <v>0</v>
      </c>
      <c r="M1339" s="458">
        <f t="shared" si="760"/>
        <v>0</v>
      </c>
      <c r="N1339" s="459" t="str">
        <f t="shared" si="771"/>
        <v/>
      </c>
      <c r="O1339" s="459" t="str">
        <f t="shared" si="772"/>
        <v/>
      </c>
      <c r="P1339" s="459" t="str">
        <f t="shared" si="773"/>
        <v/>
      </c>
      <c r="Q1339" s="459" t="str">
        <f t="shared" si="774"/>
        <v/>
      </c>
      <c r="R1339" s="459" t="str">
        <f t="shared" si="775"/>
        <v/>
      </c>
      <c r="S1339" s="459" t="str">
        <f t="shared" si="776"/>
        <v/>
      </c>
      <c r="T1339" s="566" t="str">
        <f t="shared" si="761"/>
        <v/>
      </c>
      <c r="U1339" s="702"/>
      <c r="V1339" s="132"/>
      <c r="W1339" s="133"/>
      <c r="X1339" s="134"/>
      <c r="Y1339" s="135"/>
      <c r="Z1339" s="137"/>
      <c r="AA1339" s="136"/>
      <c r="AB1339" s="566" t="str">
        <f t="shared" si="762"/>
        <v/>
      </c>
      <c r="AC1339" s="568" t="str">
        <f t="shared" si="763"/>
        <v/>
      </c>
      <c r="AD1339" s="137"/>
      <c r="AE1339" s="137"/>
      <c r="AF1339" s="138"/>
      <c r="AG1339" s="138"/>
      <c r="AH1339" s="592" t="str">
        <f t="shared" si="764"/>
        <v/>
      </c>
      <c r="AI1339" s="592" t="str">
        <f t="shared" si="765"/>
        <v/>
      </c>
      <c r="AJ1339" s="592" t="str">
        <f t="shared" si="766"/>
        <v/>
      </c>
      <c r="AK1339" s="460" t="str">
        <f>IF(AU1339="","",IF(OR(AZ1339=8,AZ1339=9),0,IF(OR(AW1339=3,AW1339=4,AW1339=5,AW1339=6),IF(LEFT(BF1339,1)="1",INDEX(係数_NOX・PM低減,MATCH(AY1339,【参考】排出係数!$AI$801:$AI$804,1),1),VLOOKUP(AU1339,INDEX((係数_バス貨物_ガソリン,係数_バス貨物_CNG,係数_バス貨物_軽油,係数_バス貨物_メタノール,係数_バス貨物_LPG),MATCH(AY1339,【参考】排出係数!$AI$4:$AI$671,1),1,BE1339):INDEX((係数_バス貨物_ガソリン,係数_バス貨物_CNG,係数_バス貨物_軽油,係数_バス貨物_メタノール,係数_バス貨物_LPG),MATCH(AY1339+1,【参考】排出係数!$AI$4:$AI$671,1)-1,5,BE1339),4,FALSE)),IF(AND(BE1339=3,LEFT(BF1339,1)="1"),0.48,VLOOKUP(AU1339,INDEX((係数_乗用_ガソリン,係数_乗用_CNG,係数_乗用_軽油,係数_乗用_メタノール,係数_乗用_LPG),1,1,BE1339):INDEX((係数_乗用_ガソリン,係数_乗用_CNG,係数_乗用_軽油,係数_乗用_メタノール,係数_乗用_LPG),125,5,BE1339),4,FALSE)))))</f>
        <v/>
      </c>
      <c r="AL1339" s="461" t="str">
        <f t="shared" si="767"/>
        <v/>
      </c>
      <c r="AM1339" s="460" t="str">
        <f>IF(AU1339="","",IF(OR(AZ1339=8,AZ1339=9),0,IF(OR(AW1339=3,AW1339=4,AW1339=5,AW1339=6),IF(LEFT(BH1339,1)="1",INDEX(係数_PM低減,MATCH(AY1339,【参考】排出係数!$AI$801:$AI$804,1),MATCH(BI1339,【参考】排出係数!$AL$798:$AO$798,1)),VLOOKUP(AU1339,INDEX((係数_バス貨物_ガソリン,係数_バス貨物_CNG,係数_バス貨物_軽油,係数_バス貨物_メタノール,係数_バス貨物_LPG),MATCH(AY1339,【参考】排出係数!$AI$4:$AI$671,1),1,BE1339):INDEX((係数_バス貨物_ガソリン,係数_バス貨物_CNG,係数_バス貨物_軽油,係数_バス貨物_メタノール,係数_バス貨物_LPG),MATCH(AY1339+1,【参考】排出係数!$AI$4:$AI$671,1)-1,5,BE1339),5,FALSE)),IF(AND(BE1339=3,LEFT(BF1339,1)="1"),0.055,VLOOKUP(AU1339,INDEX((係数_乗用_ガソリン,係数_乗用_CNG,係数_乗用_軽油,係数_乗用_メタノール,係数_乗用_LPG),1,1,BE1339):INDEX((係数_乗用_ガソリン,係数_乗用_CNG,係数_乗用_軽油,係数_乗用_メタノール,係数_乗用_LPG),125,5,BE1339),5,FALSE)))))</f>
        <v/>
      </c>
      <c r="AN1339" s="461" t="str">
        <f t="shared" si="768"/>
        <v/>
      </c>
      <c r="AO1339" s="462" t="str">
        <f t="shared" si="769"/>
        <v/>
      </c>
      <c r="AP1339" s="463" t="str">
        <f t="shared" si="770"/>
        <v/>
      </c>
      <c r="AQ1339" s="464"/>
      <c r="AR1339" s="619"/>
      <c r="AS1339" s="465" t="str">
        <f t="shared" si="778"/>
        <v/>
      </c>
      <c r="AT1339" s="465" t="str">
        <f t="shared" si="779"/>
        <v/>
      </c>
      <c r="AU1339" s="466" t="str">
        <f t="shared" si="780"/>
        <v/>
      </c>
      <c r="AV1339" s="467" t="str">
        <f t="shared" si="781"/>
        <v/>
      </c>
      <c r="AW1339" s="467" t="str">
        <f t="shared" si="782"/>
        <v/>
      </c>
      <c r="AX1339" s="467" t="str">
        <f t="shared" si="783"/>
        <v/>
      </c>
      <c r="AY1339" s="467" t="str">
        <f t="shared" si="784"/>
        <v/>
      </c>
      <c r="AZ1339" s="467" t="str">
        <f t="shared" si="785"/>
        <v/>
      </c>
      <c r="BA1339" s="468" t="str">
        <f>IF(AS1339="","",IF(OR(AU1339="",AU1339="-"),"－",IF(OR(AZ1339=8,AZ1339=9),"",IF(OR(AW1339=3,AW1339=4,AW1339=5,AW1339=6),VLOOKUP(AU1339,INDEX((係数_バス貨物_ガソリン,係数_バス貨物_CNG,係数_バス貨物_軽油,係数_バス貨物_メタノール,係数_バス貨物_LPG),MATCH(AY1339,【参考】排出係数!$AI$4:$AI$671,1),1,BE1339):INDEX((係数_バス貨物_ガソリン,係数_バス貨物_CNG,係数_バス貨物_軽油,係数_バス貨物_メタノール,係数_バス貨物_LPG),MATCH(AY1339+1,【参考】排出係数!$AI$4:$AI$671,1)-1,5,BE1339),2,FALSE),IF(OR(AW1339=1,AW1339=2),VLOOKUP(AU1339,INDEX((係数_乗用_ガソリン,係数_乗用_CNG,係数_乗用_軽油,係数_乗用_メタノール,係数_乗用_LPG),1,1,BE1339):INDEX((係数_乗用_ガソリン,係数_乗用_CNG,係数_乗用_軽油,係数_乗用_メタノール,係数_乗用_LPG),125,5,BE1339),2,FALSE))))))</f>
        <v/>
      </c>
      <c r="BB1339" s="468" t="str">
        <f>IF(T1339="","",IF(OR(AU1339="",AU1339="-"),"－",IF(OR(AZ1339=8,AZ1339=9),"",IF(OR(AW1339=3,AW1339=4,AW1339=5,AW1339=6),VLOOKUP(AU1339,INDEX((係数_バス貨物_ガソリン,係数_バス貨物_CNG,係数_バス貨物_軽油,係数_バス貨物_メタノール,係数_バス貨物_LPG),MATCH(AY1339,【参考】排出係数!$AI$4:$AI$671,1),1,BE1339):INDEX((係数_バス貨物_ガソリン,係数_バス貨物_CNG,係数_バス貨物_軽油,係数_バス貨物_メタノール,係数_バス貨物_LPG),MATCH(AY1339+1,【参考】排出係数!$AI$4:$AI$671,1)-1,5,BE1339),3,FALSE),IF(OR(AW1339=1,AW1339=2),VLOOKUP(AU1339,INDEX((係数_乗用_ガソリン,係数_乗用_CNG,係数_乗用_軽油,係数_乗用_メタノール,係数_乗用_LPG),1,1,BE1339):INDEX((係数_乗用_ガソリン,係数_乗用_CNG,係数_乗用_軽油,係数_乗用_メタノール,係数_乗用_LPG),125,5,BE1339),3,FALSE))))))</f>
        <v/>
      </c>
      <c r="BC1339" s="467" t="str">
        <f t="shared" si="786"/>
        <v/>
      </c>
      <c r="BD1339" s="567" t="str">
        <f t="shared" si="787"/>
        <v/>
      </c>
      <c r="BE1339" s="467" t="str">
        <f t="shared" si="788"/>
        <v/>
      </c>
      <c r="BF1339" s="469" t="str">
        <f t="shared" ca="1" si="789"/>
        <v/>
      </c>
      <c r="BG1339" s="469" t="str">
        <f t="shared" ca="1" si="790"/>
        <v/>
      </c>
      <c r="BH1339" s="467" t="str">
        <f t="shared" si="791"/>
        <v/>
      </c>
      <c r="BI1339" s="467" t="str">
        <f t="shared" ca="1" si="792"/>
        <v/>
      </c>
      <c r="BJ1339" s="469" t="str">
        <f t="shared" si="793"/>
        <v/>
      </c>
      <c r="BK1339" s="470" t="str">
        <f t="shared" si="777"/>
        <v/>
      </c>
      <c r="BL1339" s="775" t="str">
        <f t="shared" si="794"/>
        <v/>
      </c>
      <c r="BM1339" s="775" t="str">
        <f t="shared" si="795"/>
        <v/>
      </c>
    </row>
    <row r="1340" spans="1:65">
      <c r="A1340" s="473">
        <v>1284</v>
      </c>
      <c r="B1340" s="132"/>
      <c r="C1340" s="332"/>
      <c r="D1340" s="333"/>
      <c r="E1340" s="333"/>
      <c r="F1340" s="334"/>
      <c r="G1340" s="337"/>
      <c r="H1340" s="131"/>
      <c r="I1340" s="337"/>
      <c r="J1340" s="131"/>
      <c r="K1340" s="458" t="str">
        <f t="shared" si="758"/>
        <v/>
      </c>
      <c r="L1340" s="458">
        <f t="shared" si="759"/>
        <v>0</v>
      </c>
      <c r="M1340" s="458">
        <f t="shared" si="760"/>
        <v>0</v>
      </c>
      <c r="N1340" s="459" t="str">
        <f t="shared" si="771"/>
        <v/>
      </c>
      <c r="O1340" s="459" t="str">
        <f t="shared" si="772"/>
        <v/>
      </c>
      <c r="P1340" s="459" t="str">
        <f t="shared" si="773"/>
        <v/>
      </c>
      <c r="Q1340" s="459" t="str">
        <f t="shared" si="774"/>
        <v/>
      </c>
      <c r="R1340" s="459" t="str">
        <f t="shared" si="775"/>
        <v/>
      </c>
      <c r="S1340" s="459" t="str">
        <f t="shared" si="776"/>
        <v/>
      </c>
      <c r="T1340" s="566" t="str">
        <f t="shared" si="761"/>
        <v/>
      </c>
      <c r="U1340" s="702"/>
      <c r="V1340" s="132"/>
      <c r="W1340" s="133"/>
      <c r="X1340" s="134"/>
      <c r="Y1340" s="135"/>
      <c r="Z1340" s="137"/>
      <c r="AA1340" s="136"/>
      <c r="AB1340" s="566" t="str">
        <f t="shared" si="762"/>
        <v/>
      </c>
      <c r="AC1340" s="568" t="str">
        <f t="shared" si="763"/>
        <v/>
      </c>
      <c r="AD1340" s="137"/>
      <c r="AE1340" s="137"/>
      <c r="AF1340" s="138"/>
      <c r="AG1340" s="138"/>
      <c r="AH1340" s="592" t="str">
        <f t="shared" si="764"/>
        <v/>
      </c>
      <c r="AI1340" s="592" t="str">
        <f t="shared" si="765"/>
        <v/>
      </c>
      <c r="AJ1340" s="592" t="str">
        <f t="shared" si="766"/>
        <v/>
      </c>
      <c r="AK1340" s="460" t="str">
        <f>IF(AU1340="","",IF(OR(AZ1340=8,AZ1340=9),0,IF(OR(AW1340=3,AW1340=4,AW1340=5,AW1340=6),IF(LEFT(BF1340,1)="1",INDEX(係数_NOX・PM低減,MATCH(AY1340,【参考】排出係数!$AI$801:$AI$804,1),1),VLOOKUP(AU1340,INDEX((係数_バス貨物_ガソリン,係数_バス貨物_CNG,係数_バス貨物_軽油,係数_バス貨物_メタノール,係数_バス貨物_LPG),MATCH(AY1340,【参考】排出係数!$AI$4:$AI$671,1),1,BE1340):INDEX((係数_バス貨物_ガソリン,係数_バス貨物_CNG,係数_バス貨物_軽油,係数_バス貨物_メタノール,係数_バス貨物_LPG),MATCH(AY1340+1,【参考】排出係数!$AI$4:$AI$671,1)-1,5,BE1340),4,FALSE)),IF(AND(BE1340=3,LEFT(BF1340,1)="1"),0.48,VLOOKUP(AU1340,INDEX((係数_乗用_ガソリン,係数_乗用_CNG,係数_乗用_軽油,係数_乗用_メタノール,係数_乗用_LPG),1,1,BE1340):INDEX((係数_乗用_ガソリン,係数_乗用_CNG,係数_乗用_軽油,係数_乗用_メタノール,係数_乗用_LPG),125,5,BE1340),4,FALSE)))))</f>
        <v/>
      </c>
      <c r="AL1340" s="461" t="str">
        <f t="shared" si="767"/>
        <v/>
      </c>
      <c r="AM1340" s="460" t="str">
        <f>IF(AU1340="","",IF(OR(AZ1340=8,AZ1340=9),0,IF(OR(AW1340=3,AW1340=4,AW1340=5,AW1340=6),IF(LEFT(BH1340,1)="1",INDEX(係数_PM低減,MATCH(AY1340,【参考】排出係数!$AI$801:$AI$804,1),MATCH(BI1340,【参考】排出係数!$AL$798:$AO$798,1)),VLOOKUP(AU1340,INDEX((係数_バス貨物_ガソリン,係数_バス貨物_CNG,係数_バス貨物_軽油,係数_バス貨物_メタノール,係数_バス貨物_LPG),MATCH(AY1340,【参考】排出係数!$AI$4:$AI$671,1),1,BE1340):INDEX((係数_バス貨物_ガソリン,係数_バス貨物_CNG,係数_バス貨物_軽油,係数_バス貨物_メタノール,係数_バス貨物_LPG),MATCH(AY1340+1,【参考】排出係数!$AI$4:$AI$671,1)-1,5,BE1340),5,FALSE)),IF(AND(BE1340=3,LEFT(BF1340,1)="1"),0.055,VLOOKUP(AU1340,INDEX((係数_乗用_ガソリン,係数_乗用_CNG,係数_乗用_軽油,係数_乗用_メタノール,係数_乗用_LPG),1,1,BE1340):INDEX((係数_乗用_ガソリン,係数_乗用_CNG,係数_乗用_軽油,係数_乗用_メタノール,係数_乗用_LPG),125,5,BE1340),5,FALSE)))))</f>
        <v/>
      </c>
      <c r="AN1340" s="461" t="str">
        <f t="shared" si="768"/>
        <v/>
      </c>
      <c r="AO1340" s="462" t="str">
        <f t="shared" si="769"/>
        <v/>
      </c>
      <c r="AP1340" s="463" t="str">
        <f t="shared" si="770"/>
        <v/>
      </c>
      <c r="AQ1340" s="464"/>
      <c r="AR1340" s="619"/>
      <c r="AS1340" s="465" t="str">
        <f t="shared" si="778"/>
        <v/>
      </c>
      <c r="AT1340" s="465" t="str">
        <f t="shared" si="779"/>
        <v/>
      </c>
      <c r="AU1340" s="466" t="str">
        <f t="shared" si="780"/>
        <v/>
      </c>
      <c r="AV1340" s="467" t="str">
        <f t="shared" si="781"/>
        <v/>
      </c>
      <c r="AW1340" s="467" t="str">
        <f t="shared" si="782"/>
        <v/>
      </c>
      <c r="AX1340" s="467" t="str">
        <f t="shared" si="783"/>
        <v/>
      </c>
      <c r="AY1340" s="467" t="str">
        <f t="shared" si="784"/>
        <v/>
      </c>
      <c r="AZ1340" s="467" t="str">
        <f t="shared" si="785"/>
        <v/>
      </c>
      <c r="BA1340" s="468" t="str">
        <f>IF(AS1340="","",IF(OR(AU1340="",AU1340="-"),"－",IF(OR(AZ1340=8,AZ1340=9),"",IF(OR(AW1340=3,AW1340=4,AW1340=5,AW1340=6),VLOOKUP(AU1340,INDEX((係数_バス貨物_ガソリン,係数_バス貨物_CNG,係数_バス貨物_軽油,係数_バス貨物_メタノール,係数_バス貨物_LPG),MATCH(AY1340,【参考】排出係数!$AI$4:$AI$671,1),1,BE1340):INDEX((係数_バス貨物_ガソリン,係数_バス貨物_CNG,係数_バス貨物_軽油,係数_バス貨物_メタノール,係数_バス貨物_LPG),MATCH(AY1340+1,【参考】排出係数!$AI$4:$AI$671,1)-1,5,BE1340),2,FALSE),IF(OR(AW1340=1,AW1340=2),VLOOKUP(AU1340,INDEX((係数_乗用_ガソリン,係数_乗用_CNG,係数_乗用_軽油,係数_乗用_メタノール,係数_乗用_LPG),1,1,BE1340):INDEX((係数_乗用_ガソリン,係数_乗用_CNG,係数_乗用_軽油,係数_乗用_メタノール,係数_乗用_LPG),125,5,BE1340),2,FALSE))))))</f>
        <v/>
      </c>
      <c r="BB1340" s="468" t="str">
        <f>IF(T1340="","",IF(OR(AU1340="",AU1340="-"),"－",IF(OR(AZ1340=8,AZ1340=9),"",IF(OR(AW1340=3,AW1340=4,AW1340=5,AW1340=6),VLOOKUP(AU1340,INDEX((係数_バス貨物_ガソリン,係数_バス貨物_CNG,係数_バス貨物_軽油,係数_バス貨物_メタノール,係数_バス貨物_LPG),MATCH(AY1340,【参考】排出係数!$AI$4:$AI$671,1),1,BE1340):INDEX((係数_バス貨物_ガソリン,係数_バス貨物_CNG,係数_バス貨物_軽油,係数_バス貨物_メタノール,係数_バス貨物_LPG),MATCH(AY1340+1,【参考】排出係数!$AI$4:$AI$671,1)-1,5,BE1340),3,FALSE),IF(OR(AW1340=1,AW1340=2),VLOOKUP(AU1340,INDEX((係数_乗用_ガソリン,係数_乗用_CNG,係数_乗用_軽油,係数_乗用_メタノール,係数_乗用_LPG),1,1,BE1340):INDEX((係数_乗用_ガソリン,係数_乗用_CNG,係数_乗用_軽油,係数_乗用_メタノール,係数_乗用_LPG),125,5,BE1340),3,FALSE))))))</f>
        <v/>
      </c>
      <c r="BC1340" s="467" t="str">
        <f t="shared" si="786"/>
        <v/>
      </c>
      <c r="BD1340" s="567" t="str">
        <f t="shared" si="787"/>
        <v/>
      </c>
      <c r="BE1340" s="467" t="str">
        <f t="shared" si="788"/>
        <v/>
      </c>
      <c r="BF1340" s="469" t="str">
        <f t="shared" ca="1" si="789"/>
        <v/>
      </c>
      <c r="BG1340" s="469" t="str">
        <f t="shared" ca="1" si="790"/>
        <v/>
      </c>
      <c r="BH1340" s="467" t="str">
        <f t="shared" si="791"/>
        <v/>
      </c>
      <c r="BI1340" s="467" t="str">
        <f t="shared" ca="1" si="792"/>
        <v/>
      </c>
      <c r="BJ1340" s="469" t="str">
        <f t="shared" si="793"/>
        <v/>
      </c>
      <c r="BK1340" s="470" t="str">
        <f t="shared" si="777"/>
        <v/>
      </c>
      <c r="BL1340" s="775" t="str">
        <f t="shared" si="794"/>
        <v/>
      </c>
      <c r="BM1340" s="775" t="str">
        <f t="shared" si="795"/>
        <v/>
      </c>
    </row>
    <row r="1341" spans="1:65">
      <c r="A1341" s="473">
        <v>1285</v>
      </c>
      <c r="B1341" s="132"/>
      <c r="C1341" s="332"/>
      <c r="D1341" s="333"/>
      <c r="E1341" s="333"/>
      <c r="F1341" s="334"/>
      <c r="G1341" s="337"/>
      <c r="H1341" s="131"/>
      <c r="I1341" s="337"/>
      <c r="J1341" s="131"/>
      <c r="K1341" s="458" t="str">
        <f t="shared" si="758"/>
        <v/>
      </c>
      <c r="L1341" s="458">
        <f t="shared" si="759"/>
        <v>0</v>
      </c>
      <c r="M1341" s="458">
        <f t="shared" si="760"/>
        <v>0</v>
      </c>
      <c r="N1341" s="459" t="str">
        <f t="shared" si="771"/>
        <v/>
      </c>
      <c r="O1341" s="459" t="str">
        <f t="shared" si="772"/>
        <v/>
      </c>
      <c r="P1341" s="459" t="str">
        <f t="shared" si="773"/>
        <v/>
      </c>
      <c r="Q1341" s="459" t="str">
        <f t="shared" si="774"/>
        <v/>
      </c>
      <c r="R1341" s="459" t="str">
        <f t="shared" si="775"/>
        <v/>
      </c>
      <c r="S1341" s="459" t="str">
        <f t="shared" si="776"/>
        <v/>
      </c>
      <c r="T1341" s="566" t="str">
        <f t="shared" si="761"/>
        <v/>
      </c>
      <c r="U1341" s="702"/>
      <c r="V1341" s="132"/>
      <c r="W1341" s="133"/>
      <c r="X1341" s="134"/>
      <c r="Y1341" s="135"/>
      <c r="Z1341" s="137"/>
      <c r="AA1341" s="136"/>
      <c r="AB1341" s="566" t="str">
        <f t="shared" si="762"/>
        <v/>
      </c>
      <c r="AC1341" s="568" t="str">
        <f t="shared" si="763"/>
        <v/>
      </c>
      <c r="AD1341" s="137"/>
      <c r="AE1341" s="137"/>
      <c r="AF1341" s="138"/>
      <c r="AG1341" s="138"/>
      <c r="AH1341" s="592" t="str">
        <f t="shared" si="764"/>
        <v/>
      </c>
      <c r="AI1341" s="592" t="str">
        <f t="shared" si="765"/>
        <v/>
      </c>
      <c r="AJ1341" s="592" t="str">
        <f t="shared" si="766"/>
        <v/>
      </c>
      <c r="AK1341" s="460" t="str">
        <f>IF(AU1341="","",IF(OR(AZ1341=8,AZ1341=9),0,IF(OR(AW1341=3,AW1341=4,AW1341=5,AW1341=6),IF(LEFT(BF1341,1)="1",INDEX(係数_NOX・PM低減,MATCH(AY1341,【参考】排出係数!$AI$801:$AI$804,1),1),VLOOKUP(AU1341,INDEX((係数_バス貨物_ガソリン,係数_バス貨物_CNG,係数_バス貨物_軽油,係数_バス貨物_メタノール,係数_バス貨物_LPG),MATCH(AY1341,【参考】排出係数!$AI$4:$AI$671,1),1,BE1341):INDEX((係数_バス貨物_ガソリン,係数_バス貨物_CNG,係数_バス貨物_軽油,係数_バス貨物_メタノール,係数_バス貨物_LPG),MATCH(AY1341+1,【参考】排出係数!$AI$4:$AI$671,1)-1,5,BE1341),4,FALSE)),IF(AND(BE1341=3,LEFT(BF1341,1)="1"),0.48,VLOOKUP(AU1341,INDEX((係数_乗用_ガソリン,係数_乗用_CNG,係数_乗用_軽油,係数_乗用_メタノール,係数_乗用_LPG),1,1,BE1341):INDEX((係数_乗用_ガソリン,係数_乗用_CNG,係数_乗用_軽油,係数_乗用_メタノール,係数_乗用_LPG),125,5,BE1341),4,FALSE)))))</f>
        <v/>
      </c>
      <c r="AL1341" s="461" t="str">
        <f t="shared" si="767"/>
        <v/>
      </c>
      <c r="AM1341" s="460" t="str">
        <f>IF(AU1341="","",IF(OR(AZ1341=8,AZ1341=9),0,IF(OR(AW1341=3,AW1341=4,AW1341=5,AW1341=6),IF(LEFT(BH1341,1)="1",INDEX(係数_PM低減,MATCH(AY1341,【参考】排出係数!$AI$801:$AI$804,1),MATCH(BI1341,【参考】排出係数!$AL$798:$AO$798,1)),VLOOKUP(AU1341,INDEX((係数_バス貨物_ガソリン,係数_バス貨物_CNG,係数_バス貨物_軽油,係数_バス貨物_メタノール,係数_バス貨物_LPG),MATCH(AY1341,【参考】排出係数!$AI$4:$AI$671,1),1,BE1341):INDEX((係数_バス貨物_ガソリン,係数_バス貨物_CNG,係数_バス貨物_軽油,係数_バス貨物_メタノール,係数_バス貨物_LPG),MATCH(AY1341+1,【参考】排出係数!$AI$4:$AI$671,1)-1,5,BE1341),5,FALSE)),IF(AND(BE1341=3,LEFT(BF1341,1)="1"),0.055,VLOOKUP(AU1341,INDEX((係数_乗用_ガソリン,係数_乗用_CNG,係数_乗用_軽油,係数_乗用_メタノール,係数_乗用_LPG),1,1,BE1341):INDEX((係数_乗用_ガソリン,係数_乗用_CNG,係数_乗用_軽油,係数_乗用_メタノール,係数_乗用_LPG),125,5,BE1341),5,FALSE)))))</f>
        <v/>
      </c>
      <c r="AN1341" s="461" t="str">
        <f t="shared" si="768"/>
        <v/>
      </c>
      <c r="AO1341" s="462" t="str">
        <f t="shared" si="769"/>
        <v/>
      </c>
      <c r="AP1341" s="463" t="str">
        <f t="shared" si="770"/>
        <v/>
      </c>
      <c r="AQ1341" s="464"/>
      <c r="AR1341" s="619"/>
      <c r="AS1341" s="465" t="str">
        <f t="shared" si="778"/>
        <v/>
      </c>
      <c r="AT1341" s="465" t="str">
        <f t="shared" si="779"/>
        <v/>
      </c>
      <c r="AU1341" s="466" t="str">
        <f t="shared" si="780"/>
        <v/>
      </c>
      <c r="AV1341" s="467" t="str">
        <f t="shared" si="781"/>
        <v/>
      </c>
      <c r="AW1341" s="467" t="str">
        <f t="shared" si="782"/>
        <v/>
      </c>
      <c r="AX1341" s="467" t="str">
        <f t="shared" si="783"/>
        <v/>
      </c>
      <c r="AY1341" s="467" t="str">
        <f t="shared" si="784"/>
        <v/>
      </c>
      <c r="AZ1341" s="467" t="str">
        <f t="shared" si="785"/>
        <v/>
      </c>
      <c r="BA1341" s="468" t="str">
        <f>IF(AS1341="","",IF(OR(AU1341="",AU1341="-"),"－",IF(OR(AZ1341=8,AZ1341=9),"",IF(OR(AW1341=3,AW1341=4,AW1341=5,AW1341=6),VLOOKUP(AU1341,INDEX((係数_バス貨物_ガソリン,係数_バス貨物_CNG,係数_バス貨物_軽油,係数_バス貨物_メタノール,係数_バス貨物_LPG),MATCH(AY1341,【参考】排出係数!$AI$4:$AI$671,1),1,BE1341):INDEX((係数_バス貨物_ガソリン,係数_バス貨物_CNG,係数_バス貨物_軽油,係数_バス貨物_メタノール,係数_バス貨物_LPG),MATCH(AY1341+1,【参考】排出係数!$AI$4:$AI$671,1)-1,5,BE1341),2,FALSE),IF(OR(AW1341=1,AW1341=2),VLOOKUP(AU1341,INDEX((係数_乗用_ガソリン,係数_乗用_CNG,係数_乗用_軽油,係数_乗用_メタノール,係数_乗用_LPG),1,1,BE1341):INDEX((係数_乗用_ガソリン,係数_乗用_CNG,係数_乗用_軽油,係数_乗用_メタノール,係数_乗用_LPG),125,5,BE1341),2,FALSE))))))</f>
        <v/>
      </c>
      <c r="BB1341" s="468" t="str">
        <f>IF(T1341="","",IF(OR(AU1341="",AU1341="-"),"－",IF(OR(AZ1341=8,AZ1341=9),"",IF(OR(AW1341=3,AW1341=4,AW1341=5,AW1341=6),VLOOKUP(AU1341,INDEX((係数_バス貨物_ガソリン,係数_バス貨物_CNG,係数_バス貨物_軽油,係数_バス貨物_メタノール,係数_バス貨物_LPG),MATCH(AY1341,【参考】排出係数!$AI$4:$AI$671,1),1,BE1341):INDEX((係数_バス貨物_ガソリン,係数_バス貨物_CNG,係数_バス貨物_軽油,係数_バス貨物_メタノール,係数_バス貨物_LPG),MATCH(AY1341+1,【参考】排出係数!$AI$4:$AI$671,1)-1,5,BE1341),3,FALSE),IF(OR(AW1341=1,AW1341=2),VLOOKUP(AU1341,INDEX((係数_乗用_ガソリン,係数_乗用_CNG,係数_乗用_軽油,係数_乗用_メタノール,係数_乗用_LPG),1,1,BE1341):INDEX((係数_乗用_ガソリン,係数_乗用_CNG,係数_乗用_軽油,係数_乗用_メタノール,係数_乗用_LPG),125,5,BE1341),3,FALSE))))))</f>
        <v/>
      </c>
      <c r="BC1341" s="467" t="str">
        <f t="shared" si="786"/>
        <v/>
      </c>
      <c r="BD1341" s="567" t="str">
        <f t="shared" si="787"/>
        <v/>
      </c>
      <c r="BE1341" s="467" t="str">
        <f t="shared" si="788"/>
        <v/>
      </c>
      <c r="BF1341" s="469" t="str">
        <f t="shared" ca="1" si="789"/>
        <v/>
      </c>
      <c r="BG1341" s="469" t="str">
        <f t="shared" ca="1" si="790"/>
        <v/>
      </c>
      <c r="BH1341" s="467" t="str">
        <f t="shared" si="791"/>
        <v/>
      </c>
      <c r="BI1341" s="467" t="str">
        <f t="shared" ca="1" si="792"/>
        <v/>
      </c>
      <c r="BJ1341" s="469" t="str">
        <f t="shared" si="793"/>
        <v/>
      </c>
      <c r="BK1341" s="470" t="str">
        <f t="shared" si="777"/>
        <v/>
      </c>
      <c r="BL1341" s="775" t="str">
        <f t="shared" si="794"/>
        <v/>
      </c>
      <c r="BM1341" s="775" t="str">
        <f t="shared" si="795"/>
        <v/>
      </c>
    </row>
    <row r="1342" spans="1:65">
      <c r="A1342" s="473">
        <v>1286</v>
      </c>
      <c r="B1342" s="132"/>
      <c r="C1342" s="332"/>
      <c r="D1342" s="333"/>
      <c r="E1342" s="333"/>
      <c r="F1342" s="334"/>
      <c r="G1342" s="337"/>
      <c r="H1342" s="131"/>
      <c r="I1342" s="337"/>
      <c r="J1342" s="131"/>
      <c r="K1342" s="458" t="str">
        <f t="shared" si="758"/>
        <v/>
      </c>
      <c r="L1342" s="458">
        <f t="shared" si="759"/>
        <v>0</v>
      </c>
      <c r="M1342" s="458">
        <f t="shared" si="760"/>
        <v>0</v>
      </c>
      <c r="N1342" s="459" t="str">
        <f t="shared" si="771"/>
        <v/>
      </c>
      <c r="O1342" s="459" t="str">
        <f t="shared" si="772"/>
        <v/>
      </c>
      <c r="P1342" s="459" t="str">
        <f t="shared" si="773"/>
        <v/>
      </c>
      <c r="Q1342" s="459" t="str">
        <f t="shared" si="774"/>
        <v/>
      </c>
      <c r="R1342" s="459" t="str">
        <f t="shared" si="775"/>
        <v/>
      </c>
      <c r="S1342" s="459" t="str">
        <f t="shared" si="776"/>
        <v/>
      </c>
      <c r="T1342" s="566" t="str">
        <f t="shared" si="761"/>
        <v/>
      </c>
      <c r="U1342" s="702"/>
      <c r="V1342" s="132"/>
      <c r="W1342" s="133"/>
      <c r="X1342" s="134"/>
      <c r="Y1342" s="135"/>
      <c r="Z1342" s="137"/>
      <c r="AA1342" s="136"/>
      <c r="AB1342" s="566" t="str">
        <f t="shared" si="762"/>
        <v/>
      </c>
      <c r="AC1342" s="568" t="str">
        <f t="shared" si="763"/>
        <v/>
      </c>
      <c r="AD1342" s="137"/>
      <c r="AE1342" s="137"/>
      <c r="AF1342" s="138"/>
      <c r="AG1342" s="138"/>
      <c r="AH1342" s="592" t="str">
        <f t="shared" si="764"/>
        <v/>
      </c>
      <c r="AI1342" s="592" t="str">
        <f t="shared" si="765"/>
        <v/>
      </c>
      <c r="AJ1342" s="592" t="str">
        <f t="shared" si="766"/>
        <v/>
      </c>
      <c r="AK1342" s="460" t="str">
        <f>IF(AU1342="","",IF(OR(AZ1342=8,AZ1342=9),0,IF(OR(AW1342=3,AW1342=4,AW1342=5,AW1342=6),IF(LEFT(BF1342,1)="1",INDEX(係数_NOX・PM低減,MATCH(AY1342,【参考】排出係数!$AI$801:$AI$804,1),1),VLOOKUP(AU1342,INDEX((係数_バス貨物_ガソリン,係数_バス貨物_CNG,係数_バス貨物_軽油,係数_バス貨物_メタノール,係数_バス貨物_LPG),MATCH(AY1342,【参考】排出係数!$AI$4:$AI$671,1),1,BE1342):INDEX((係数_バス貨物_ガソリン,係数_バス貨物_CNG,係数_バス貨物_軽油,係数_バス貨物_メタノール,係数_バス貨物_LPG),MATCH(AY1342+1,【参考】排出係数!$AI$4:$AI$671,1)-1,5,BE1342),4,FALSE)),IF(AND(BE1342=3,LEFT(BF1342,1)="1"),0.48,VLOOKUP(AU1342,INDEX((係数_乗用_ガソリン,係数_乗用_CNG,係数_乗用_軽油,係数_乗用_メタノール,係数_乗用_LPG),1,1,BE1342):INDEX((係数_乗用_ガソリン,係数_乗用_CNG,係数_乗用_軽油,係数_乗用_メタノール,係数_乗用_LPG),125,5,BE1342),4,FALSE)))))</f>
        <v/>
      </c>
      <c r="AL1342" s="461" t="str">
        <f t="shared" si="767"/>
        <v/>
      </c>
      <c r="AM1342" s="460" t="str">
        <f>IF(AU1342="","",IF(OR(AZ1342=8,AZ1342=9),0,IF(OR(AW1342=3,AW1342=4,AW1342=5,AW1342=6),IF(LEFT(BH1342,1)="1",INDEX(係数_PM低減,MATCH(AY1342,【参考】排出係数!$AI$801:$AI$804,1),MATCH(BI1342,【参考】排出係数!$AL$798:$AO$798,1)),VLOOKUP(AU1342,INDEX((係数_バス貨物_ガソリン,係数_バス貨物_CNG,係数_バス貨物_軽油,係数_バス貨物_メタノール,係数_バス貨物_LPG),MATCH(AY1342,【参考】排出係数!$AI$4:$AI$671,1),1,BE1342):INDEX((係数_バス貨物_ガソリン,係数_バス貨物_CNG,係数_バス貨物_軽油,係数_バス貨物_メタノール,係数_バス貨物_LPG),MATCH(AY1342+1,【参考】排出係数!$AI$4:$AI$671,1)-1,5,BE1342),5,FALSE)),IF(AND(BE1342=3,LEFT(BF1342,1)="1"),0.055,VLOOKUP(AU1342,INDEX((係数_乗用_ガソリン,係数_乗用_CNG,係数_乗用_軽油,係数_乗用_メタノール,係数_乗用_LPG),1,1,BE1342):INDEX((係数_乗用_ガソリン,係数_乗用_CNG,係数_乗用_軽油,係数_乗用_メタノール,係数_乗用_LPG),125,5,BE1342),5,FALSE)))))</f>
        <v/>
      </c>
      <c r="AN1342" s="461" t="str">
        <f t="shared" si="768"/>
        <v/>
      </c>
      <c r="AO1342" s="462" t="str">
        <f t="shared" si="769"/>
        <v/>
      </c>
      <c r="AP1342" s="463" t="str">
        <f t="shared" si="770"/>
        <v/>
      </c>
      <c r="AQ1342" s="464"/>
      <c r="AR1342" s="619"/>
      <c r="AS1342" s="465" t="str">
        <f t="shared" si="778"/>
        <v/>
      </c>
      <c r="AT1342" s="465" t="str">
        <f t="shared" si="779"/>
        <v/>
      </c>
      <c r="AU1342" s="466" t="str">
        <f t="shared" si="780"/>
        <v/>
      </c>
      <c r="AV1342" s="467" t="str">
        <f t="shared" si="781"/>
        <v/>
      </c>
      <c r="AW1342" s="467" t="str">
        <f t="shared" si="782"/>
        <v/>
      </c>
      <c r="AX1342" s="467" t="str">
        <f t="shared" si="783"/>
        <v/>
      </c>
      <c r="AY1342" s="467" t="str">
        <f t="shared" si="784"/>
        <v/>
      </c>
      <c r="AZ1342" s="467" t="str">
        <f t="shared" si="785"/>
        <v/>
      </c>
      <c r="BA1342" s="468" t="str">
        <f>IF(AS1342="","",IF(OR(AU1342="",AU1342="-"),"－",IF(OR(AZ1342=8,AZ1342=9),"",IF(OR(AW1342=3,AW1342=4,AW1342=5,AW1342=6),VLOOKUP(AU1342,INDEX((係数_バス貨物_ガソリン,係数_バス貨物_CNG,係数_バス貨物_軽油,係数_バス貨物_メタノール,係数_バス貨物_LPG),MATCH(AY1342,【参考】排出係数!$AI$4:$AI$671,1),1,BE1342):INDEX((係数_バス貨物_ガソリン,係数_バス貨物_CNG,係数_バス貨物_軽油,係数_バス貨物_メタノール,係数_バス貨物_LPG),MATCH(AY1342+1,【参考】排出係数!$AI$4:$AI$671,1)-1,5,BE1342),2,FALSE),IF(OR(AW1342=1,AW1342=2),VLOOKUP(AU1342,INDEX((係数_乗用_ガソリン,係数_乗用_CNG,係数_乗用_軽油,係数_乗用_メタノール,係数_乗用_LPG),1,1,BE1342):INDEX((係数_乗用_ガソリン,係数_乗用_CNG,係数_乗用_軽油,係数_乗用_メタノール,係数_乗用_LPG),125,5,BE1342),2,FALSE))))))</f>
        <v/>
      </c>
      <c r="BB1342" s="468" t="str">
        <f>IF(T1342="","",IF(OR(AU1342="",AU1342="-"),"－",IF(OR(AZ1342=8,AZ1342=9),"",IF(OR(AW1342=3,AW1342=4,AW1342=5,AW1342=6),VLOOKUP(AU1342,INDEX((係数_バス貨物_ガソリン,係数_バス貨物_CNG,係数_バス貨物_軽油,係数_バス貨物_メタノール,係数_バス貨物_LPG),MATCH(AY1342,【参考】排出係数!$AI$4:$AI$671,1),1,BE1342):INDEX((係数_バス貨物_ガソリン,係数_バス貨物_CNG,係数_バス貨物_軽油,係数_バス貨物_メタノール,係数_バス貨物_LPG),MATCH(AY1342+1,【参考】排出係数!$AI$4:$AI$671,1)-1,5,BE1342),3,FALSE),IF(OR(AW1342=1,AW1342=2),VLOOKUP(AU1342,INDEX((係数_乗用_ガソリン,係数_乗用_CNG,係数_乗用_軽油,係数_乗用_メタノール,係数_乗用_LPG),1,1,BE1342):INDEX((係数_乗用_ガソリン,係数_乗用_CNG,係数_乗用_軽油,係数_乗用_メタノール,係数_乗用_LPG),125,5,BE1342),3,FALSE))))))</f>
        <v/>
      </c>
      <c r="BC1342" s="467" t="str">
        <f t="shared" si="786"/>
        <v/>
      </c>
      <c r="BD1342" s="567" t="str">
        <f t="shared" si="787"/>
        <v/>
      </c>
      <c r="BE1342" s="467" t="str">
        <f t="shared" si="788"/>
        <v/>
      </c>
      <c r="BF1342" s="469" t="str">
        <f t="shared" ca="1" si="789"/>
        <v/>
      </c>
      <c r="BG1342" s="469" t="str">
        <f t="shared" ca="1" si="790"/>
        <v/>
      </c>
      <c r="BH1342" s="467" t="str">
        <f t="shared" si="791"/>
        <v/>
      </c>
      <c r="BI1342" s="467" t="str">
        <f t="shared" ca="1" si="792"/>
        <v/>
      </c>
      <c r="BJ1342" s="469" t="str">
        <f t="shared" si="793"/>
        <v/>
      </c>
      <c r="BK1342" s="470" t="str">
        <f t="shared" si="777"/>
        <v/>
      </c>
      <c r="BL1342" s="775" t="str">
        <f t="shared" si="794"/>
        <v/>
      </c>
      <c r="BM1342" s="775" t="str">
        <f t="shared" si="795"/>
        <v/>
      </c>
    </row>
    <row r="1343" spans="1:65">
      <c r="A1343" s="473">
        <v>1287</v>
      </c>
      <c r="B1343" s="132"/>
      <c r="C1343" s="332"/>
      <c r="D1343" s="333"/>
      <c r="E1343" s="333"/>
      <c r="F1343" s="334"/>
      <c r="G1343" s="337"/>
      <c r="H1343" s="131"/>
      <c r="I1343" s="337"/>
      <c r="J1343" s="131"/>
      <c r="K1343" s="458" t="str">
        <f t="shared" si="758"/>
        <v/>
      </c>
      <c r="L1343" s="458">
        <f t="shared" si="759"/>
        <v>0</v>
      </c>
      <c r="M1343" s="458">
        <f t="shared" si="760"/>
        <v>0</v>
      </c>
      <c r="N1343" s="459" t="str">
        <f t="shared" si="771"/>
        <v/>
      </c>
      <c r="O1343" s="459" t="str">
        <f t="shared" si="772"/>
        <v/>
      </c>
      <c r="P1343" s="459" t="str">
        <f t="shared" si="773"/>
        <v/>
      </c>
      <c r="Q1343" s="459" t="str">
        <f t="shared" si="774"/>
        <v/>
      </c>
      <c r="R1343" s="459" t="str">
        <f t="shared" si="775"/>
        <v/>
      </c>
      <c r="S1343" s="459" t="str">
        <f t="shared" si="776"/>
        <v/>
      </c>
      <c r="T1343" s="566" t="str">
        <f t="shared" si="761"/>
        <v/>
      </c>
      <c r="U1343" s="702"/>
      <c r="V1343" s="132"/>
      <c r="W1343" s="133"/>
      <c r="X1343" s="134"/>
      <c r="Y1343" s="135"/>
      <c r="Z1343" s="137"/>
      <c r="AA1343" s="136"/>
      <c r="AB1343" s="566" t="str">
        <f t="shared" si="762"/>
        <v/>
      </c>
      <c r="AC1343" s="568" t="str">
        <f t="shared" si="763"/>
        <v/>
      </c>
      <c r="AD1343" s="137"/>
      <c r="AE1343" s="137"/>
      <c r="AF1343" s="138"/>
      <c r="AG1343" s="138"/>
      <c r="AH1343" s="592" t="str">
        <f t="shared" si="764"/>
        <v/>
      </c>
      <c r="AI1343" s="592" t="str">
        <f t="shared" si="765"/>
        <v/>
      </c>
      <c r="AJ1343" s="592" t="str">
        <f t="shared" si="766"/>
        <v/>
      </c>
      <c r="AK1343" s="460" t="str">
        <f>IF(AU1343="","",IF(OR(AZ1343=8,AZ1343=9),0,IF(OR(AW1343=3,AW1343=4,AW1343=5,AW1343=6),IF(LEFT(BF1343,1)="1",INDEX(係数_NOX・PM低減,MATCH(AY1343,【参考】排出係数!$AI$801:$AI$804,1),1),VLOOKUP(AU1343,INDEX((係数_バス貨物_ガソリン,係数_バス貨物_CNG,係数_バス貨物_軽油,係数_バス貨物_メタノール,係数_バス貨物_LPG),MATCH(AY1343,【参考】排出係数!$AI$4:$AI$671,1),1,BE1343):INDEX((係数_バス貨物_ガソリン,係数_バス貨物_CNG,係数_バス貨物_軽油,係数_バス貨物_メタノール,係数_バス貨物_LPG),MATCH(AY1343+1,【参考】排出係数!$AI$4:$AI$671,1)-1,5,BE1343),4,FALSE)),IF(AND(BE1343=3,LEFT(BF1343,1)="1"),0.48,VLOOKUP(AU1343,INDEX((係数_乗用_ガソリン,係数_乗用_CNG,係数_乗用_軽油,係数_乗用_メタノール,係数_乗用_LPG),1,1,BE1343):INDEX((係数_乗用_ガソリン,係数_乗用_CNG,係数_乗用_軽油,係数_乗用_メタノール,係数_乗用_LPG),125,5,BE1343),4,FALSE)))))</f>
        <v/>
      </c>
      <c r="AL1343" s="461" t="str">
        <f t="shared" si="767"/>
        <v/>
      </c>
      <c r="AM1343" s="460" t="str">
        <f>IF(AU1343="","",IF(OR(AZ1343=8,AZ1343=9),0,IF(OR(AW1343=3,AW1343=4,AW1343=5,AW1343=6),IF(LEFT(BH1343,1)="1",INDEX(係数_PM低減,MATCH(AY1343,【参考】排出係数!$AI$801:$AI$804,1),MATCH(BI1343,【参考】排出係数!$AL$798:$AO$798,1)),VLOOKUP(AU1343,INDEX((係数_バス貨物_ガソリン,係数_バス貨物_CNG,係数_バス貨物_軽油,係数_バス貨物_メタノール,係数_バス貨物_LPG),MATCH(AY1343,【参考】排出係数!$AI$4:$AI$671,1),1,BE1343):INDEX((係数_バス貨物_ガソリン,係数_バス貨物_CNG,係数_バス貨物_軽油,係数_バス貨物_メタノール,係数_バス貨物_LPG),MATCH(AY1343+1,【参考】排出係数!$AI$4:$AI$671,1)-1,5,BE1343),5,FALSE)),IF(AND(BE1343=3,LEFT(BF1343,1)="1"),0.055,VLOOKUP(AU1343,INDEX((係数_乗用_ガソリン,係数_乗用_CNG,係数_乗用_軽油,係数_乗用_メタノール,係数_乗用_LPG),1,1,BE1343):INDEX((係数_乗用_ガソリン,係数_乗用_CNG,係数_乗用_軽油,係数_乗用_メタノール,係数_乗用_LPG),125,5,BE1343),5,FALSE)))))</f>
        <v/>
      </c>
      <c r="AN1343" s="461" t="str">
        <f t="shared" si="768"/>
        <v/>
      </c>
      <c r="AO1343" s="462" t="str">
        <f t="shared" si="769"/>
        <v/>
      </c>
      <c r="AP1343" s="463" t="str">
        <f t="shared" si="770"/>
        <v/>
      </c>
      <c r="AQ1343" s="464"/>
      <c r="AR1343" s="619"/>
      <c r="AS1343" s="465" t="str">
        <f t="shared" si="778"/>
        <v/>
      </c>
      <c r="AT1343" s="465" t="str">
        <f t="shared" si="779"/>
        <v/>
      </c>
      <c r="AU1343" s="466" t="str">
        <f t="shared" si="780"/>
        <v/>
      </c>
      <c r="AV1343" s="467" t="str">
        <f t="shared" si="781"/>
        <v/>
      </c>
      <c r="AW1343" s="467" t="str">
        <f t="shared" si="782"/>
        <v/>
      </c>
      <c r="AX1343" s="467" t="str">
        <f t="shared" si="783"/>
        <v/>
      </c>
      <c r="AY1343" s="467" t="str">
        <f t="shared" si="784"/>
        <v/>
      </c>
      <c r="AZ1343" s="467" t="str">
        <f t="shared" si="785"/>
        <v/>
      </c>
      <c r="BA1343" s="468" t="str">
        <f>IF(AS1343="","",IF(OR(AU1343="",AU1343="-"),"－",IF(OR(AZ1343=8,AZ1343=9),"",IF(OR(AW1343=3,AW1343=4,AW1343=5,AW1343=6),VLOOKUP(AU1343,INDEX((係数_バス貨物_ガソリン,係数_バス貨物_CNG,係数_バス貨物_軽油,係数_バス貨物_メタノール,係数_バス貨物_LPG),MATCH(AY1343,【参考】排出係数!$AI$4:$AI$671,1),1,BE1343):INDEX((係数_バス貨物_ガソリン,係数_バス貨物_CNG,係数_バス貨物_軽油,係数_バス貨物_メタノール,係数_バス貨物_LPG),MATCH(AY1343+1,【参考】排出係数!$AI$4:$AI$671,1)-1,5,BE1343),2,FALSE),IF(OR(AW1343=1,AW1343=2),VLOOKUP(AU1343,INDEX((係数_乗用_ガソリン,係数_乗用_CNG,係数_乗用_軽油,係数_乗用_メタノール,係数_乗用_LPG),1,1,BE1343):INDEX((係数_乗用_ガソリン,係数_乗用_CNG,係数_乗用_軽油,係数_乗用_メタノール,係数_乗用_LPG),125,5,BE1343),2,FALSE))))))</f>
        <v/>
      </c>
      <c r="BB1343" s="468" t="str">
        <f>IF(T1343="","",IF(OR(AU1343="",AU1343="-"),"－",IF(OR(AZ1343=8,AZ1343=9),"",IF(OR(AW1343=3,AW1343=4,AW1343=5,AW1343=6),VLOOKUP(AU1343,INDEX((係数_バス貨物_ガソリン,係数_バス貨物_CNG,係数_バス貨物_軽油,係数_バス貨物_メタノール,係数_バス貨物_LPG),MATCH(AY1343,【参考】排出係数!$AI$4:$AI$671,1),1,BE1343):INDEX((係数_バス貨物_ガソリン,係数_バス貨物_CNG,係数_バス貨物_軽油,係数_バス貨物_メタノール,係数_バス貨物_LPG),MATCH(AY1343+1,【参考】排出係数!$AI$4:$AI$671,1)-1,5,BE1343),3,FALSE),IF(OR(AW1343=1,AW1343=2),VLOOKUP(AU1343,INDEX((係数_乗用_ガソリン,係数_乗用_CNG,係数_乗用_軽油,係数_乗用_メタノール,係数_乗用_LPG),1,1,BE1343):INDEX((係数_乗用_ガソリン,係数_乗用_CNG,係数_乗用_軽油,係数_乗用_メタノール,係数_乗用_LPG),125,5,BE1343),3,FALSE))))))</f>
        <v/>
      </c>
      <c r="BC1343" s="467" t="str">
        <f t="shared" si="786"/>
        <v/>
      </c>
      <c r="BD1343" s="567" t="str">
        <f t="shared" si="787"/>
        <v/>
      </c>
      <c r="BE1343" s="467" t="str">
        <f t="shared" si="788"/>
        <v/>
      </c>
      <c r="BF1343" s="469" t="str">
        <f t="shared" ca="1" si="789"/>
        <v/>
      </c>
      <c r="BG1343" s="469" t="str">
        <f t="shared" ca="1" si="790"/>
        <v/>
      </c>
      <c r="BH1343" s="467" t="str">
        <f t="shared" si="791"/>
        <v/>
      </c>
      <c r="BI1343" s="467" t="str">
        <f t="shared" ca="1" si="792"/>
        <v/>
      </c>
      <c r="BJ1343" s="469" t="str">
        <f t="shared" si="793"/>
        <v/>
      </c>
      <c r="BK1343" s="470" t="str">
        <f t="shared" si="777"/>
        <v/>
      </c>
      <c r="BL1343" s="775" t="str">
        <f t="shared" si="794"/>
        <v/>
      </c>
      <c r="BM1343" s="775" t="str">
        <f t="shared" si="795"/>
        <v/>
      </c>
    </row>
    <row r="1344" spans="1:65">
      <c r="A1344" s="473">
        <v>1288</v>
      </c>
      <c r="B1344" s="132"/>
      <c r="C1344" s="332"/>
      <c r="D1344" s="333"/>
      <c r="E1344" s="333"/>
      <c r="F1344" s="334"/>
      <c r="G1344" s="337"/>
      <c r="H1344" s="131"/>
      <c r="I1344" s="337"/>
      <c r="J1344" s="131"/>
      <c r="K1344" s="458" t="str">
        <f t="shared" si="758"/>
        <v/>
      </c>
      <c r="L1344" s="458">
        <f t="shared" si="759"/>
        <v>0</v>
      </c>
      <c r="M1344" s="458">
        <f t="shared" si="760"/>
        <v>0</v>
      </c>
      <c r="N1344" s="459" t="str">
        <f t="shared" si="771"/>
        <v/>
      </c>
      <c r="O1344" s="459" t="str">
        <f t="shared" si="772"/>
        <v/>
      </c>
      <c r="P1344" s="459" t="str">
        <f t="shared" si="773"/>
        <v/>
      </c>
      <c r="Q1344" s="459" t="str">
        <f t="shared" si="774"/>
        <v/>
      </c>
      <c r="R1344" s="459" t="str">
        <f t="shared" si="775"/>
        <v/>
      </c>
      <c r="S1344" s="459" t="str">
        <f t="shared" si="776"/>
        <v/>
      </c>
      <c r="T1344" s="566" t="str">
        <f t="shared" si="761"/>
        <v/>
      </c>
      <c r="U1344" s="702"/>
      <c r="V1344" s="132"/>
      <c r="W1344" s="133"/>
      <c r="X1344" s="134"/>
      <c r="Y1344" s="135"/>
      <c r="Z1344" s="137"/>
      <c r="AA1344" s="136"/>
      <c r="AB1344" s="566" t="str">
        <f t="shared" si="762"/>
        <v/>
      </c>
      <c r="AC1344" s="568" t="str">
        <f t="shared" si="763"/>
        <v/>
      </c>
      <c r="AD1344" s="137"/>
      <c r="AE1344" s="137"/>
      <c r="AF1344" s="138"/>
      <c r="AG1344" s="138"/>
      <c r="AH1344" s="592" t="str">
        <f t="shared" si="764"/>
        <v/>
      </c>
      <c r="AI1344" s="592" t="str">
        <f t="shared" si="765"/>
        <v/>
      </c>
      <c r="AJ1344" s="592" t="str">
        <f t="shared" si="766"/>
        <v/>
      </c>
      <c r="AK1344" s="460" t="str">
        <f>IF(AU1344="","",IF(OR(AZ1344=8,AZ1344=9),0,IF(OR(AW1344=3,AW1344=4,AW1344=5,AW1344=6),IF(LEFT(BF1344,1)="1",INDEX(係数_NOX・PM低減,MATCH(AY1344,【参考】排出係数!$AI$801:$AI$804,1),1),VLOOKUP(AU1344,INDEX((係数_バス貨物_ガソリン,係数_バス貨物_CNG,係数_バス貨物_軽油,係数_バス貨物_メタノール,係数_バス貨物_LPG),MATCH(AY1344,【参考】排出係数!$AI$4:$AI$671,1),1,BE1344):INDEX((係数_バス貨物_ガソリン,係数_バス貨物_CNG,係数_バス貨物_軽油,係数_バス貨物_メタノール,係数_バス貨物_LPG),MATCH(AY1344+1,【参考】排出係数!$AI$4:$AI$671,1)-1,5,BE1344),4,FALSE)),IF(AND(BE1344=3,LEFT(BF1344,1)="1"),0.48,VLOOKUP(AU1344,INDEX((係数_乗用_ガソリン,係数_乗用_CNG,係数_乗用_軽油,係数_乗用_メタノール,係数_乗用_LPG),1,1,BE1344):INDEX((係数_乗用_ガソリン,係数_乗用_CNG,係数_乗用_軽油,係数_乗用_メタノール,係数_乗用_LPG),125,5,BE1344),4,FALSE)))))</f>
        <v/>
      </c>
      <c r="AL1344" s="461" t="str">
        <f t="shared" si="767"/>
        <v/>
      </c>
      <c r="AM1344" s="460" t="str">
        <f>IF(AU1344="","",IF(OR(AZ1344=8,AZ1344=9),0,IF(OR(AW1344=3,AW1344=4,AW1344=5,AW1344=6),IF(LEFT(BH1344,1)="1",INDEX(係数_PM低減,MATCH(AY1344,【参考】排出係数!$AI$801:$AI$804,1),MATCH(BI1344,【参考】排出係数!$AL$798:$AO$798,1)),VLOOKUP(AU1344,INDEX((係数_バス貨物_ガソリン,係数_バス貨物_CNG,係数_バス貨物_軽油,係数_バス貨物_メタノール,係数_バス貨物_LPG),MATCH(AY1344,【参考】排出係数!$AI$4:$AI$671,1),1,BE1344):INDEX((係数_バス貨物_ガソリン,係数_バス貨物_CNG,係数_バス貨物_軽油,係数_バス貨物_メタノール,係数_バス貨物_LPG),MATCH(AY1344+1,【参考】排出係数!$AI$4:$AI$671,1)-1,5,BE1344),5,FALSE)),IF(AND(BE1344=3,LEFT(BF1344,1)="1"),0.055,VLOOKUP(AU1344,INDEX((係数_乗用_ガソリン,係数_乗用_CNG,係数_乗用_軽油,係数_乗用_メタノール,係数_乗用_LPG),1,1,BE1344):INDEX((係数_乗用_ガソリン,係数_乗用_CNG,係数_乗用_軽油,係数_乗用_メタノール,係数_乗用_LPG),125,5,BE1344),5,FALSE)))))</f>
        <v/>
      </c>
      <c r="AN1344" s="461" t="str">
        <f t="shared" si="768"/>
        <v/>
      </c>
      <c r="AO1344" s="462" t="str">
        <f t="shared" si="769"/>
        <v/>
      </c>
      <c r="AP1344" s="463" t="str">
        <f t="shared" si="770"/>
        <v/>
      </c>
      <c r="AQ1344" s="464"/>
      <c r="AR1344" s="619"/>
      <c r="AS1344" s="465" t="str">
        <f t="shared" si="778"/>
        <v/>
      </c>
      <c r="AT1344" s="465" t="str">
        <f t="shared" si="779"/>
        <v/>
      </c>
      <c r="AU1344" s="466" t="str">
        <f t="shared" si="780"/>
        <v/>
      </c>
      <c r="AV1344" s="467" t="str">
        <f t="shared" si="781"/>
        <v/>
      </c>
      <c r="AW1344" s="467" t="str">
        <f t="shared" si="782"/>
        <v/>
      </c>
      <c r="AX1344" s="467" t="str">
        <f t="shared" si="783"/>
        <v/>
      </c>
      <c r="AY1344" s="467" t="str">
        <f t="shared" si="784"/>
        <v/>
      </c>
      <c r="AZ1344" s="467" t="str">
        <f t="shared" si="785"/>
        <v/>
      </c>
      <c r="BA1344" s="468" t="str">
        <f>IF(AS1344="","",IF(OR(AU1344="",AU1344="-"),"－",IF(OR(AZ1344=8,AZ1344=9),"",IF(OR(AW1344=3,AW1344=4,AW1344=5,AW1344=6),VLOOKUP(AU1344,INDEX((係数_バス貨物_ガソリン,係数_バス貨物_CNG,係数_バス貨物_軽油,係数_バス貨物_メタノール,係数_バス貨物_LPG),MATCH(AY1344,【参考】排出係数!$AI$4:$AI$671,1),1,BE1344):INDEX((係数_バス貨物_ガソリン,係数_バス貨物_CNG,係数_バス貨物_軽油,係数_バス貨物_メタノール,係数_バス貨物_LPG),MATCH(AY1344+1,【参考】排出係数!$AI$4:$AI$671,1)-1,5,BE1344),2,FALSE),IF(OR(AW1344=1,AW1344=2),VLOOKUP(AU1344,INDEX((係数_乗用_ガソリン,係数_乗用_CNG,係数_乗用_軽油,係数_乗用_メタノール,係数_乗用_LPG),1,1,BE1344):INDEX((係数_乗用_ガソリン,係数_乗用_CNG,係数_乗用_軽油,係数_乗用_メタノール,係数_乗用_LPG),125,5,BE1344),2,FALSE))))))</f>
        <v/>
      </c>
      <c r="BB1344" s="468" t="str">
        <f>IF(T1344="","",IF(OR(AU1344="",AU1344="-"),"－",IF(OR(AZ1344=8,AZ1344=9),"",IF(OR(AW1344=3,AW1344=4,AW1344=5,AW1344=6),VLOOKUP(AU1344,INDEX((係数_バス貨物_ガソリン,係数_バス貨物_CNG,係数_バス貨物_軽油,係数_バス貨物_メタノール,係数_バス貨物_LPG),MATCH(AY1344,【参考】排出係数!$AI$4:$AI$671,1),1,BE1344):INDEX((係数_バス貨物_ガソリン,係数_バス貨物_CNG,係数_バス貨物_軽油,係数_バス貨物_メタノール,係数_バス貨物_LPG),MATCH(AY1344+1,【参考】排出係数!$AI$4:$AI$671,1)-1,5,BE1344),3,FALSE),IF(OR(AW1344=1,AW1344=2),VLOOKUP(AU1344,INDEX((係数_乗用_ガソリン,係数_乗用_CNG,係数_乗用_軽油,係数_乗用_メタノール,係数_乗用_LPG),1,1,BE1344):INDEX((係数_乗用_ガソリン,係数_乗用_CNG,係数_乗用_軽油,係数_乗用_メタノール,係数_乗用_LPG),125,5,BE1344),3,FALSE))))))</f>
        <v/>
      </c>
      <c r="BC1344" s="467" t="str">
        <f t="shared" si="786"/>
        <v/>
      </c>
      <c r="BD1344" s="567" t="str">
        <f t="shared" si="787"/>
        <v/>
      </c>
      <c r="BE1344" s="467" t="str">
        <f t="shared" si="788"/>
        <v/>
      </c>
      <c r="BF1344" s="469" t="str">
        <f t="shared" ca="1" si="789"/>
        <v/>
      </c>
      <c r="BG1344" s="469" t="str">
        <f t="shared" ca="1" si="790"/>
        <v/>
      </c>
      <c r="BH1344" s="467" t="str">
        <f t="shared" si="791"/>
        <v/>
      </c>
      <c r="BI1344" s="467" t="str">
        <f t="shared" ca="1" si="792"/>
        <v/>
      </c>
      <c r="BJ1344" s="469" t="str">
        <f t="shared" si="793"/>
        <v/>
      </c>
      <c r="BK1344" s="470" t="str">
        <f t="shared" si="777"/>
        <v/>
      </c>
      <c r="BL1344" s="775" t="str">
        <f t="shared" si="794"/>
        <v/>
      </c>
      <c r="BM1344" s="775" t="str">
        <f t="shared" si="795"/>
        <v/>
      </c>
    </row>
    <row r="1345" spans="1:65">
      <c r="A1345" s="473">
        <v>1289</v>
      </c>
      <c r="B1345" s="132"/>
      <c r="C1345" s="332"/>
      <c r="D1345" s="333"/>
      <c r="E1345" s="333"/>
      <c r="F1345" s="334"/>
      <c r="G1345" s="337"/>
      <c r="H1345" s="131"/>
      <c r="I1345" s="337"/>
      <c r="J1345" s="131"/>
      <c r="K1345" s="458" t="str">
        <f t="shared" si="758"/>
        <v/>
      </c>
      <c r="L1345" s="458">
        <f t="shared" si="759"/>
        <v>0</v>
      </c>
      <c r="M1345" s="458">
        <f t="shared" si="760"/>
        <v>0</v>
      </c>
      <c r="N1345" s="459" t="str">
        <f t="shared" si="771"/>
        <v/>
      </c>
      <c r="O1345" s="459" t="str">
        <f t="shared" si="772"/>
        <v/>
      </c>
      <c r="P1345" s="459" t="str">
        <f t="shared" si="773"/>
        <v/>
      </c>
      <c r="Q1345" s="459" t="str">
        <f t="shared" si="774"/>
        <v/>
      </c>
      <c r="R1345" s="459" t="str">
        <f t="shared" si="775"/>
        <v/>
      </c>
      <c r="S1345" s="459" t="str">
        <f t="shared" si="776"/>
        <v/>
      </c>
      <c r="T1345" s="566" t="str">
        <f t="shared" si="761"/>
        <v/>
      </c>
      <c r="U1345" s="702"/>
      <c r="V1345" s="132"/>
      <c r="W1345" s="133"/>
      <c r="X1345" s="134"/>
      <c r="Y1345" s="135"/>
      <c r="Z1345" s="137"/>
      <c r="AA1345" s="136"/>
      <c r="AB1345" s="566" t="str">
        <f t="shared" si="762"/>
        <v/>
      </c>
      <c r="AC1345" s="568" t="str">
        <f t="shared" si="763"/>
        <v/>
      </c>
      <c r="AD1345" s="137"/>
      <c r="AE1345" s="137"/>
      <c r="AF1345" s="138"/>
      <c r="AG1345" s="138"/>
      <c r="AH1345" s="592" t="str">
        <f t="shared" si="764"/>
        <v/>
      </c>
      <c r="AI1345" s="592" t="str">
        <f t="shared" si="765"/>
        <v/>
      </c>
      <c r="AJ1345" s="592" t="str">
        <f t="shared" si="766"/>
        <v/>
      </c>
      <c r="AK1345" s="460" t="str">
        <f>IF(AU1345="","",IF(OR(AZ1345=8,AZ1345=9),0,IF(OR(AW1345=3,AW1345=4,AW1345=5,AW1345=6),IF(LEFT(BF1345,1)="1",INDEX(係数_NOX・PM低減,MATCH(AY1345,【参考】排出係数!$AI$801:$AI$804,1),1),VLOOKUP(AU1345,INDEX((係数_バス貨物_ガソリン,係数_バス貨物_CNG,係数_バス貨物_軽油,係数_バス貨物_メタノール,係数_バス貨物_LPG),MATCH(AY1345,【参考】排出係数!$AI$4:$AI$671,1),1,BE1345):INDEX((係数_バス貨物_ガソリン,係数_バス貨物_CNG,係数_バス貨物_軽油,係数_バス貨物_メタノール,係数_バス貨物_LPG),MATCH(AY1345+1,【参考】排出係数!$AI$4:$AI$671,1)-1,5,BE1345),4,FALSE)),IF(AND(BE1345=3,LEFT(BF1345,1)="1"),0.48,VLOOKUP(AU1345,INDEX((係数_乗用_ガソリン,係数_乗用_CNG,係数_乗用_軽油,係数_乗用_メタノール,係数_乗用_LPG),1,1,BE1345):INDEX((係数_乗用_ガソリン,係数_乗用_CNG,係数_乗用_軽油,係数_乗用_メタノール,係数_乗用_LPG),125,5,BE1345),4,FALSE)))))</f>
        <v/>
      </c>
      <c r="AL1345" s="461" t="str">
        <f t="shared" si="767"/>
        <v/>
      </c>
      <c r="AM1345" s="460" t="str">
        <f>IF(AU1345="","",IF(OR(AZ1345=8,AZ1345=9),0,IF(OR(AW1345=3,AW1345=4,AW1345=5,AW1345=6),IF(LEFT(BH1345,1)="1",INDEX(係数_PM低減,MATCH(AY1345,【参考】排出係数!$AI$801:$AI$804,1),MATCH(BI1345,【参考】排出係数!$AL$798:$AO$798,1)),VLOOKUP(AU1345,INDEX((係数_バス貨物_ガソリン,係数_バス貨物_CNG,係数_バス貨物_軽油,係数_バス貨物_メタノール,係数_バス貨物_LPG),MATCH(AY1345,【参考】排出係数!$AI$4:$AI$671,1),1,BE1345):INDEX((係数_バス貨物_ガソリン,係数_バス貨物_CNG,係数_バス貨物_軽油,係数_バス貨物_メタノール,係数_バス貨物_LPG),MATCH(AY1345+1,【参考】排出係数!$AI$4:$AI$671,1)-1,5,BE1345),5,FALSE)),IF(AND(BE1345=3,LEFT(BF1345,1)="1"),0.055,VLOOKUP(AU1345,INDEX((係数_乗用_ガソリン,係数_乗用_CNG,係数_乗用_軽油,係数_乗用_メタノール,係数_乗用_LPG),1,1,BE1345):INDEX((係数_乗用_ガソリン,係数_乗用_CNG,係数_乗用_軽油,係数_乗用_メタノール,係数_乗用_LPG),125,5,BE1345),5,FALSE)))))</f>
        <v/>
      </c>
      <c r="AN1345" s="461" t="str">
        <f t="shared" si="768"/>
        <v/>
      </c>
      <c r="AO1345" s="462" t="str">
        <f t="shared" si="769"/>
        <v/>
      </c>
      <c r="AP1345" s="463" t="str">
        <f t="shared" si="770"/>
        <v/>
      </c>
      <c r="AQ1345" s="464"/>
      <c r="AR1345" s="619"/>
      <c r="AS1345" s="465" t="str">
        <f t="shared" si="778"/>
        <v/>
      </c>
      <c r="AT1345" s="465" t="str">
        <f t="shared" si="779"/>
        <v/>
      </c>
      <c r="AU1345" s="466" t="str">
        <f t="shared" si="780"/>
        <v/>
      </c>
      <c r="AV1345" s="467" t="str">
        <f t="shared" si="781"/>
        <v/>
      </c>
      <c r="AW1345" s="467" t="str">
        <f t="shared" si="782"/>
        <v/>
      </c>
      <c r="AX1345" s="467" t="str">
        <f t="shared" si="783"/>
        <v/>
      </c>
      <c r="AY1345" s="467" t="str">
        <f t="shared" si="784"/>
        <v/>
      </c>
      <c r="AZ1345" s="467" t="str">
        <f t="shared" si="785"/>
        <v/>
      </c>
      <c r="BA1345" s="468" t="str">
        <f>IF(AS1345="","",IF(OR(AU1345="",AU1345="-"),"－",IF(OR(AZ1345=8,AZ1345=9),"",IF(OR(AW1345=3,AW1345=4,AW1345=5,AW1345=6),VLOOKUP(AU1345,INDEX((係数_バス貨物_ガソリン,係数_バス貨物_CNG,係数_バス貨物_軽油,係数_バス貨物_メタノール,係数_バス貨物_LPG),MATCH(AY1345,【参考】排出係数!$AI$4:$AI$671,1),1,BE1345):INDEX((係数_バス貨物_ガソリン,係数_バス貨物_CNG,係数_バス貨物_軽油,係数_バス貨物_メタノール,係数_バス貨物_LPG),MATCH(AY1345+1,【参考】排出係数!$AI$4:$AI$671,1)-1,5,BE1345),2,FALSE),IF(OR(AW1345=1,AW1345=2),VLOOKUP(AU1345,INDEX((係数_乗用_ガソリン,係数_乗用_CNG,係数_乗用_軽油,係数_乗用_メタノール,係数_乗用_LPG),1,1,BE1345):INDEX((係数_乗用_ガソリン,係数_乗用_CNG,係数_乗用_軽油,係数_乗用_メタノール,係数_乗用_LPG),125,5,BE1345),2,FALSE))))))</f>
        <v/>
      </c>
      <c r="BB1345" s="468" t="str">
        <f>IF(T1345="","",IF(OR(AU1345="",AU1345="-"),"－",IF(OR(AZ1345=8,AZ1345=9),"",IF(OR(AW1345=3,AW1345=4,AW1345=5,AW1345=6),VLOOKUP(AU1345,INDEX((係数_バス貨物_ガソリン,係数_バス貨物_CNG,係数_バス貨物_軽油,係数_バス貨物_メタノール,係数_バス貨物_LPG),MATCH(AY1345,【参考】排出係数!$AI$4:$AI$671,1),1,BE1345):INDEX((係数_バス貨物_ガソリン,係数_バス貨物_CNG,係数_バス貨物_軽油,係数_バス貨物_メタノール,係数_バス貨物_LPG),MATCH(AY1345+1,【参考】排出係数!$AI$4:$AI$671,1)-1,5,BE1345),3,FALSE),IF(OR(AW1345=1,AW1345=2),VLOOKUP(AU1345,INDEX((係数_乗用_ガソリン,係数_乗用_CNG,係数_乗用_軽油,係数_乗用_メタノール,係数_乗用_LPG),1,1,BE1345):INDEX((係数_乗用_ガソリン,係数_乗用_CNG,係数_乗用_軽油,係数_乗用_メタノール,係数_乗用_LPG),125,5,BE1345),3,FALSE))))))</f>
        <v/>
      </c>
      <c r="BC1345" s="467" t="str">
        <f t="shared" si="786"/>
        <v/>
      </c>
      <c r="BD1345" s="567" t="str">
        <f t="shared" si="787"/>
        <v/>
      </c>
      <c r="BE1345" s="467" t="str">
        <f t="shared" si="788"/>
        <v/>
      </c>
      <c r="BF1345" s="469" t="str">
        <f t="shared" ca="1" si="789"/>
        <v/>
      </c>
      <c r="BG1345" s="469" t="str">
        <f t="shared" ca="1" si="790"/>
        <v/>
      </c>
      <c r="BH1345" s="467" t="str">
        <f t="shared" si="791"/>
        <v/>
      </c>
      <c r="BI1345" s="467" t="str">
        <f t="shared" ca="1" si="792"/>
        <v/>
      </c>
      <c r="BJ1345" s="469" t="str">
        <f t="shared" si="793"/>
        <v/>
      </c>
      <c r="BK1345" s="470" t="str">
        <f t="shared" si="777"/>
        <v/>
      </c>
      <c r="BL1345" s="775" t="str">
        <f t="shared" si="794"/>
        <v/>
      </c>
      <c r="BM1345" s="775" t="str">
        <f t="shared" si="795"/>
        <v/>
      </c>
    </row>
    <row r="1346" spans="1:65">
      <c r="A1346" s="473">
        <v>1290</v>
      </c>
      <c r="B1346" s="132"/>
      <c r="C1346" s="332"/>
      <c r="D1346" s="333"/>
      <c r="E1346" s="333"/>
      <c r="F1346" s="334"/>
      <c r="G1346" s="337"/>
      <c r="H1346" s="131"/>
      <c r="I1346" s="337"/>
      <c r="J1346" s="131"/>
      <c r="K1346" s="458" t="str">
        <f t="shared" si="758"/>
        <v/>
      </c>
      <c r="L1346" s="458">
        <f t="shared" si="759"/>
        <v>0</v>
      </c>
      <c r="M1346" s="458">
        <f t="shared" si="760"/>
        <v>0</v>
      </c>
      <c r="N1346" s="459" t="str">
        <f t="shared" si="771"/>
        <v/>
      </c>
      <c r="O1346" s="459" t="str">
        <f t="shared" si="772"/>
        <v/>
      </c>
      <c r="P1346" s="459" t="str">
        <f t="shared" si="773"/>
        <v/>
      </c>
      <c r="Q1346" s="459" t="str">
        <f t="shared" si="774"/>
        <v/>
      </c>
      <c r="R1346" s="459" t="str">
        <f t="shared" si="775"/>
        <v/>
      </c>
      <c r="S1346" s="459" t="str">
        <f t="shared" si="776"/>
        <v/>
      </c>
      <c r="T1346" s="566" t="str">
        <f t="shared" si="761"/>
        <v/>
      </c>
      <c r="U1346" s="702"/>
      <c r="V1346" s="132"/>
      <c r="W1346" s="133"/>
      <c r="X1346" s="134"/>
      <c r="Y1346" s="135"/>
      <c r="Z1346" s="137"/>
      <c r="AA1346" s="136"/>
      <c r="AB1346" s="566" t="str">
        <f t="shared" si="762"/>
        <v/>
      </c>
      <c r="AC1346" s="568" t="str">
        <f t="shared" si="763"/>
        <v/>
      </c>
      <c r="AD1346" s="137"/>
      <c r="AE1346" s="137"/>
      <c r="AF1346" s="138"/>
      <c r="AG1346" s="138"/>
      <c r="AH1346" s="592" t="str">
        <f t="shared" si="764"/>
        <v/>
      </c>
      <c r="AI1346" s="592" t="str">
        <f t="shared" si="765"/>
        <v/>
      </c>
      <c r="AJ1346" s="592" t="str">
        <f t="shared" si="766"/>
        <v/>
      </c>
      <c r="AK1346" s="460" t="str">
        <f>IF(AU1346="","",IF(OR(AZ1346=8,AZ1346=9),0,IF(OR(AW1346=3,AW1346=4,AW1346=5,AW1346=6),IF(LEFT(BF1346,1)="1",INDEX(係数_NOX・PM低減,MATCH(AY1346,【参考】排出係数!$AI$801:$AI$804,1),1),VLOOKUP(AU1346,INDEX((係数_バス貨物_ガソリン,係数_バス貨物_CNG,係数_バス貨物_軽油,係数_バス貨物_メタノール,係数_バス貨物_LPG),MATCH(AY1346,【参考】排出係数!$AI$4:$AI$671,1),1,BE1346):INDEX((係数_バス貨物_ガソリン,係数_バス貨物_CNG,係数_バス貨物_軽油,係数_バス貨物_メタノール,係数_バス貨物_LPG),MATCH(AY1346+1,【参考】排出係数!$AI$4:$AI$671,1)-1,5,BE1346),4,FALSE)),IF(AND(BE1346=3,LEFT(BF1346,1)="1"),0.48,VLOOKUP(AU1346,INDEX((係数_乗用_ガソリン,係数_乗用_CNG,係数_乗用_軽油,係数_乗用_メタノール,係数_乗用_LPG),1,1,BE1346):INDEX((係数_乗用_ガソリン,係数_乗用_CNG,係数_乗用_軽油,係数_乗用_メタノール,係数_乗用_LPG),125,5,BE1346),4,FALSE)))))</f>
        <v/>
      </c>
      <c r="AL1346" s="461" t="str">
        <f t="shared" si="767"/>
        <v/>
      </c>
      <c r="AM1346" s="460" t="str">
        <f>IF(AU1346="","",IF(OR(AZ1346=8,AZ1346=9),0,IF(OR(AW1346=3,AW1346=4,AW1346=5,AW1346=6),IF(LEFT(BH1346,1)="1",INDEX(係数_PM低減,MATCH(AY1346,【参考】排出係数!$AI$801:$AI$804,1),MATCH(BI1346,【参考】排出係数!$AL$798:$AO$798,1)),VLOOKUP(AU1346,INDEX((係数_バス貨物_ガソリン,係数_バス貨物_CNG,係数_バス貨物_軽油,係数_バス貨物_メタノール,係数_バス貨物_LPG),MATCH(AY1346,【参考】排出係数!$AI$4:$AI$671,1),1,BE1346):INDEX((係数_バス貨物_ガソリン,係数_バス貨物_CNG,係数_バス貨物_軽油,係数_バス貨物_メタノール,係数_バス貨物_LPG),MATCH(AY1346+1,【参考】排出係数!$AI$4:$AI$671,1)-1,5,BE1346),5,FALSE)),IF(AND(BE1346=3,LEFT(BF1346,1)="1"),0.055,VLOOKUP(AU1346,INDEX((係数_乗用_ガソリン,係数_乗用_CNG,係数_乗用_軽油,係数_乗用_メタノール,係数_乗用_LPG),1,1,BE1346):INDEX((係数_乗用_ガソリン,係数_乗用_CNG,係数_乗用_軽油,係数_乗用_メタノール,係数_乗用_LPG),125,5,BE1346),5,FALSE)))))</f>
        <v/>
      </c>
      <c r="AN1346" s="461" t="str">
        <f t="shared" si="768"/>
        <v/>
      </c>
      <c r="AO1346" s="462" t="str">
        <f t="shared" si="769"/>
        <v/>
      </c>
      <c r="AP1346" s="463" t="str">
        <f t="shared" si="770"/>
        <v/>
      </c>
      <c r="AQ1346" s="464"/>
      <c r="AR1346" s="619"/>
      <c r="AS1346" s="465" t="str">
        <f t="shared" si="778"/>
        <v/>
      </c>
      <c r="AT1346" s="465" t="str">
        <f t="shared" si="779"/>
        <v/>
      </c>
      <c r="AU1346" s="466" t="str">
        <f t="shared" si="780"/>
        <v/>
      </c>
      <c r="AV1346" s="467" t="str">
        <f t="shared" si="781"/>
        <v/>
      </c>
      <c r="AW1346" s="467" t="str">
        <f t="shared" si="782"/>
        <v/>
      </c>
      <c r="AX1346" s="467" t="str">
        <f t="shared" si="783"/>
        <v/>
      </c>
      <c r="AY1346" s="467" t="str">
        <f t="shared" si="784"/>
        <v/>
      </c>
      <c r="AZ1346" s="467" t="str">
        <f t="shared" si="785"/>
        <v/>
      </c>
      <c r="BA1346" s="468" t="str">
        <f>IF(AS1346="","",IF(OR(AU1346="",AU1346="-"),"－",IF(OR(AZ1346=8,AZ1346=9),"",IF(OR(AW1346=3,AW1346=4,AW1346=5,AW1346=6),VLOOKUP(AU1346,INDEX((係数_バス貨物_ガソリン,係数_バス貨物_CNG,係数_バス貨物_軽油,係数_バス貨物_メタノール,係数_バス貨物_LPG),MATCH(AY1346,【参考】排出係数!$AI$4:$AI$671,1),1,BE1346):INDEX((係数_バス貨物_ガソリン,係数_バス貨物_CNG,係数_バス貨物_軽油,係数_バス貨物_メタノール,係数_バス貨物_LPG),MATCH(AY1346+1,【参考】排出係数!$AI$4:$AI$671,1)-1,5,BE1346),2,FALSE),IF(OR(AW1346=1,AW1346=2),VLOOKUP(AU1346,INDEX((係数_乗用_ガソリン,係数_乗用_CNG,係数_乗用_軽油,係数_乗用_メタノール,係数_乗用_LPG),1,1,BE1346):INDEX((係数_乗用_ガソリン,係数_乗用_CNG,係数_乗用_軽油,係数_乗用_メタノール,係数_乗用_LPG),125,5,BE1346),2,FALSE))))))</f>
        <v/>
      </c>
      <c r="BB1346" s="468" t="str">
        <f>IF(T1346="","",IF(OR(AU1346="",AU1346="-"),"－",IF(OR(AZ1346=8,AZ1346=9),"",IF(OR(AW1346=3,AW1346=4,AW1346=5,AW1346=6),VLOOKUP(AU1346,INDEX((係数_バス貨物_ガソリン,係数_バス貨物_CNG,係数_バス貨物_軽油,係数_バス貨物_メタノール,係数_バス貨物_LPG),MATCH(AY1346,【参考】排出係数!$AI$4:$AI$671,1),1,BE1346):INDEX((係数_バス貨物_ガソリン,係数_バス貨物_CNG,係数_バス貨物_軽油,係数_バス貨物_メタノール,係数_バス貨物_LPG),MATCH(AY1346+1,【参考】排出係数!$AI$4:$AI$671,1)-1,5,BE1346),3,FALSE),IF(OR(AW1346=1,AW1346=2),VLOOKUP(AU1346,INDEX((係数_乗用_ガソリン,係数_乗用_CNG,係数_乗用_軽油,係数_乗用_メタノール,係数_乗用_LPG),1,1,BE1346):INDEX((係数_乗用_ガソリン,係数_乗用_CNG,係数_乗用_軽油,係数_乗用_メタノール,係数_乗用_LPG),125,5,BE1346),3,FALSE))))))</f>
        <v/>
      </c>
      <c r="BC1346" s="467" t="str">
        <f t="shared" si="786"/>
        <v/>
      </c>
      <c r="BD1346" s="567" t="str">
        <f t="shared" si="787"/>
        <v/>
      </c>
      <c r="BE1346" s="467" t="str">
        <f t="shared" si="788"/>
        <v/>
      </c>
      <c r="BF1346" s="469" t="str">
        <f t="shared" ca="1" si="789"/>
        <v/>
      </c>
      <c r="BG1346" s="469" t="str">
        <f t="shared" ca="1" si="790"/>
        <v/>
      </c>
      <c r="BH1346" s="467" t="str">
        <f t="shared" si="791"/>
        <v/>
      </c>
      <c r="BI1346" s="467" t="str">
        <f t="shared" ca="1" si="792"/>
        <v/>
      </c>
      <c r="BJ1346" s="469" t="str">
        <f t="shared" si="793"/>
        <v/>
      </c>
      <c r="BK1346" s="470" t="str">
        <f t="shared" si="777"/>
        <v/>
      </c>
      <c r="BL1346" s="775" t="str">
        <f t="shared" si="794"/>
        <v/>
      </c>
      <c r="BM1346" s="775" t="str">
        <f t="shared" si="795"/>
        <v/>
      </c>
    </row>
    <row r="1347" spans="1:65">
      <c r="A1347" s="473">
        <v>1291</v>
      </c>
      <c r="B1347" s="132"/>
      <c r="C1347" s="332"/>
      <c r="D1347" s="333"/>
      <c r="E1347" s="333"/>
      <c r="F1347" s="334"/>
      <c r="G1347" s="337"/>
      <c r="H1347" s="131"/>
      <c r="I1347" s="337"/>
      <c r="J1347" s="131"/>
      <c r="K1347" s="458" t="str">
        <f t="shared" si="758"/>
        <v/>
      </c>
      <c r="L1347" s="458">
        <f t="shared" si="759"/>
        <v>0</v>
      </c>
      <c r="M1347" s="458">
        <f t="shared" si="760"/>
        <v>0</v>
      </c>
      <c r="N1347" s="459" t="str">
        <f t="shared" si="771"/>
        <v/>
      </c>
      <c r="O1347" s="459" t="str">
        <f t="shared" si="772"/>
        <v/>
      </c>
      <c r="P1347" s="459" t="str">
        <f t="shared" si="773"/>
        <v/>
      </c>
      <c r="Q1347" s="459" t="str">
        <f t="shared" si="774"/>
        <v/>
      </c>
      <c r="R1347" s="459" t="str">
        <f t="shared" si="775"/>
        <v/>
      </c>
      <c r="S1347" s="459" t="str">
        <f t="shared" si="776"/>
        <v/>
      </c>
      <c r="T1347" s="566" t="str">
        <f t="shared" si="761"/>
        <v/>
      </c>
      <c r="U1347" s="702"/>
      <c r="V1347" s="132"/>
      <c r="W1347" s="133"/>
      <c r="X1347" s="134"/>
      <c r="Y1347" s="135"/>
      <c r="Z1347" s="137"/>
      <c r="AA1347" s="136"/>
      <c r="AB1347" s="566" t="str">
        <f t="shared" si="762"/>
        <v/>
      </c>
      <c r="AC1347" s="568" t="str">
        <f t="shared" si="763"/>
        <v/>
      </c>
      <c r="AD1347" s="137"/>
      <c r="AE1347" s="137"/>
      <c r="AF1347" s="138"/>
      <c r="AG1347" s="138"/>
      <c r="AH1347" s="592" t="str">
        <f t="shared" si="764"/>
        <v/>
      </c>
      <c r="AI1347" s="592" t="str">
        <f t="shared" si="765"/>
        <v/>
      </c>
      <c r="AJ1347" s="592" t="str">
        <f t="shared" si="766"/>
        <v/>
      </c>
      <c r="AK1347" s="460" t="str">
        <f>IF(AU1347="","",IF(OR(AZ1347=8,AZ1347=9),0,IF(OR(AW1347=3,AW1347=4,AW1347=5,AW1347=6),IF(LEFT(BF1347,1)="1",INDEX(係数_NOX・PM低減,MATCH(AY1347,【参考】排出係数!$AI$801:$AI$804,1),1),VLOOKUP(AU1347,INDEX((係数_バス貨物_ガソリン,係数_バス貨物_CNG,係数_バス貨物_軽油,係数_バス貨物_メタノール,係数_バス貨物_LPG),MATCH(AY1347,【参考】排出係数!$AI$4:$AI$671,1),1,BE1347):INDEX((係数_バス貨物_ガソリン,係数_バス貨物_CNG,係数_バス貨物_軽油,係数_バス貨物_メタノール,係数_バス貨物_LPG),MATCH(AY1347+1,【参考】排出係数!$AI$4:$AI$671,1)-1,5,BE1347),4,FALSE)),IF(AND(BE1347=3,LEFT(BF1347,1)="1"),0.48,VLOOKUP(AU1347,INDEX((係数_乗用_ガソリン,係数_乗用_CNG,係数_乗用_軽油,係数_乗用_メタノール,係数_乗用_LPG),1,1,BE1347):INDEX((係数_乗用_ガソリン,係数_乗用_CNG,係数_乗用_軽油,係数_乗用_メタノール,係数_乗用_LPG),125,5,BE1347),4,FALSE)))))</f>
        <v/>
      </c>
      <c r="AL1347" s="461" t="str">
        <f t="shared" si="767"/>
        <v/>
      </c>
      <c r="AM1347" s="460" t="str">
        <f>IF(AU1347="","",IF(OR(AZ1347=8,AZ1347=9),0,IF(OR(AW1347=3,AW1347=4,AW1347=5,AW1347=6),IF(LEFT(BH1347,1)="1",INDEX(係数_PM低減,MATCH(AY1347,【参考】排出係数!$AI$801:$AI$804,1),MATCH(BI1347,【参考】排出係数!$AL$798:$AO$798,1)),VLOOKUP(AU1347,INDEX((係数_バス貨物_ガソリン,係数_バス貨物_CNG,係数_バス貨物_軽油,係数_バス貨物_メタノール,係数_バス貨物_LPG),MATCH(AY1347,【参考】排出係数!$AI$4:$AI$671,1),1,BE1347):INDEX((係数_バス貨物_ガソリン,係数_バス貨物_CNG,係数_バス貨物_軽油,係数_バス貨物_メタノール,係数_バス貨物_LPG),MATCH(AY1347+1,【参考】排出係数!$AI$4:$AI$671,1)-1,5,BE1347),5,FALSE)),IF(AND(BE1347=3,LEFT(BF1347,1)="1"),0.055,VLOOKUP(AU1347,INDEX((係数_乗用_ガソリン,係数_乗用_CNG,係数_乗用_軽油,係数_乗用_メタノール,係数_乗用_LPG),1,1,BE1347):INDEX((係数_乗用_ガソリン,係数_乗用_CNG,係数_乗用_軽油,係数_乗用_メタノール,係数_乗用_LPG),125,5,BE1347),5,FALSE)))))</f>
        <v/>
      </c>
      <c r="AN1347" s="461" t="str">
        <f t="shared" si="768"/>
        <v/>
      </c>
      <c r="AO1347" s="462" t="str">
        <f t="shared" si="769"/>
        <v/>
      </c>
      <c r="AP1347" s="463" t="str">
        <f t="shared" si="770"/>
        <v/>
      </c>
      <c r="AQ1347" s="464"/>
      <c r="AR1347" s="619"/>
      <c r="AS1347" s="465" t="str">
        <f t="shared" si="778"/>
        <v/>
      </c>
      <c r="AT1347" s="465" t="str">
        <f t="shared" si="779"/>
        <v/>
      </c>
      <c r="AU1347" s="466" t="str">
        <f t="shared" si="780"/>
        <v/>
      </c>
      <c r="AV1347" s="467" t="str">
        <f t="shared" si="781"/>
        <v/>
      </c>
      <c r="AW1347" s="467" t="str">
        <f t="shared" si="782"/>
        <v/>
      </c>
      <c r="AX1347" s="467" t="str">
        <f t="shared" si="783"/>
        <v/>
      </c>
      <c r="AY1347" s="467" t="str">
        <f t="shared" si="784"/>
        <v/>
      </c>
      <c r="AZ1347" s="467" t="str">
        <f t="shared" si="785"/>
        <v/>
      </c>
      <c r="BA1347" s="468" t="str">
        <f>IF(AS1347="","",IF(OR(AU1347="",AU1347="-"),"－",IF(OR(AZ1347=8,AZ1347=9),"",IF(OR(AW1347=3,AW1347=4,AW1347=5,AW1347=6),VLOOKUP(AU1347,INDEX((係数_バス貨物_ガソリン,係数_バス貨物_CNG,係数_バス貨物_軽油,係数_バス貨物_メタノール,係数_バス貨物_LPG),MATCH(AY1347,【参考】排出係数!$AI$4:$AI$671,1),1,BE1347):INDEX((係数_バス貨物_ガソリン,係数_バス貨物_CNG,係数_バス貨物_軽油,係数_バス貨物_メタノール,係数_バス貨物_LPG),MATCH(AY1347+1,【参考】排出係数!$AI$4:$AI$671,1)-1,5,BE1347),2,FALSE),IF(OR(AW1347=1,AW1347=2),VLOOKUP(AU1347,INDEX((係数_乗用_ガソリン,係数_乗用_CNG,係数_乗用_軽油,係数_乗用_メタノール,係数_乗用_LPG),1,1,BE1347):INDEX((係数_乗用_ガソリン,係数_乗用_CNG,係数_乗用_軽油,係数_乗用_メタノール,係数_乗用_LPG),125,5,BE1347),2,FALSE))))))</f>
        <v/>
      </c>
      <c r="BB1347" s="468" t="str">
        <f>IF(T1347="","",IF(OR(AU1347="",AU1347="-"),"－",IF(OR(AZ1347=8,AZ1347=9),"",IF(OR(AW1347=3,AW1347=4,AW1347=5,AW1347=6),VLOOKUP(AU1347,INDEX((係数_バス貨物_ガソリン,係数_バス貨物_CNG,係数_バス貨物_軽油,係数_バス貨物_メタノール,係数_バス貨物_LPG),MATCH(AY1347,【参考】排出係数!$AI$4:$AI$671,1),1,BE1347):INDEX((係数_バス貨物_ガソリン,係数_バス貨物_CNG,係数_バス貨物_軽油,係数_バス貨物_メタノール,係数_バス貨物_LPG),MATCH(AY1347+1,【参考】排出係数!$AI$4:$AI$671,1)-1,5,BE1347),3,FALSE),IF(OR(AW1347=1,AW1347=2),VLOOKUP(AU1347,INDEX((係数_乗用_ガソリン,係数_乗用_CNG,係数_乗用_軽油,係数_乗用_メタノール,係数_乗用_LPG),1,1,BE1347):INDEX((係数_乗用_ガソリン,係数_乗用_CNG,係数_乗用_軽油,係数_乗用_メタノール,係数_乗用_LPG),125,5,BE1347),3,FALSE))))))</f>
        <v/>
      </c>
      <c r="BC1347" s="467" t="str">
        <f t="shared" si="786"/>
        <v/>
      </c>
      <c r="BD1347" s="567" t="str">
        <f t="shared" si="787"/>
        <v/>
      </c>
      <c r="BE1347" s="467" t="str">
        <f t="shared" si="788"/>
        <v/>
      </c>
      <c r="BF1347" s="469" t="str">
        <f t="shared" ca="1" si="789"/>
        <v/>
      </c>
      <c r="BG1347" s="469" t="str">
        <f t="shared" ca="1" si="790"/>
        <v/>
      </c>
      <c r="BH1347" s="467" t="str">
        <f t="shared" si="791"/>
        <v/>
      </c>
      <c r="BI1347" s="467" t="str">
        <f t="shared" ca="1" si="792"/>
        <v/>
      </c>
      <c r="BJ1347" s="469" t="str">
        <f t="shared" si="793"/>
        <v/>
      </c>
      <c r="BK1347" s="470" t="str">
        <f t="shared" si="777"/>
        <v/>
      </c>
      <c r="BL1347" s="775" t="str">
        <f t="shared" si="794"/>
        <v/>
      </c>
      <c r="BM1347" s="775" t="str">
        <f t="shared" si="795"/>
        <v/>
      </c>
    </row>
    <row r="1348" spans="1:65">
      <c r="A1348" s="473">
        <v>1292</v>
      </c>
      <c r="B1348" s="132"/>
      <c r="C1348" s="332"/>
      <c r="D1348" s="333"/>
      <c r="E1348" s="333"/>
      <c r="F1348" s="334"/>
      <c r="G1348" s="337"/>
      <c r="H1348" s="131"/>
      <c r="I1348" s="337"/>
      <c r="J1348" s="131"/>
      <c r="K1348" s="458" t="str">
        <f t="shared" si="758"/>
        <v/>
      </c>
      <c r="L1348" s="458">
        <f t="shared" si="759"/>
        <v>0</v>
      </c>
      <c r="M1348" s="458">
        <f t="shared" si="760"/>
        <v>0</v>
      </c>
      <c r="N1348" s="459" t="str">
        <f t="shared" si="771"/>
        <v/>
      </c>
      <c r="O1348" s="459" t="str">
        <f t="shared" si="772"/>
        <v/>
      </c>
      <c r="P1348" s="459" t="str">
        <f t="shared" si="773"/>
        <v/>
      </c>
      <c r="Q1348" s="459" t="str">
        <f t="shared" si="774"/>
        <v/>
      </c>
      <c r="R1348" s="459" t="str">
        <f t="shared" si="775"/>
        <v/>
      </c>
      <c r="S1348" s="459" t="str">
        <f t="shared" si="776"/>
        <v/>
      </c>
      <c r="T1348" s="566" t="str">
        <f t="shared" si="761"/>
        <v/>
      </c>
      <c r="U1348" s="702"/>
      <c r="V1348" s="132"/>
      <c r="W1348" s="133"/>
      <c r="X1348" s="134"/>
      <c r="Y1348" s="135"/>
      <c r="Z1348" s="137"/>
      <c r="AA1348" s="136"/>
      <c r="AB1348" s="566" t="str">
        <f t="shared" si="762"/>
        <v/>
      </c>
      <c r="AC1348" s="568" t="str">
        <f t="shared" si="763"/>
        <v/>
      </c>
      <c r="AD1348" s="137"/>
      <c r="AE1348" s="137"/>
      <c r="AF1348" s="138"/>
      <c r="AG1348" s="138"/>
      <c r="AH1348" s="592" t="str">
        <f t="shared" si="764"/>
        <v/>
      </c>
      <c r="AI1348" s="592" t="str">
        <f t="shared" si="765"/>
        <v/>
      </c>
      <c r="AJ1348" s="592" t="str">
        <f t="shared" si="766"/>
        <v/>
      </c>
      <c r="AK1348" s="460" t="str">
        <f>IF(AU1348="","",IF(OR(AZ1348=8,AZ1348=9),0,IF(OR(AW1348=3,AW1348=4,AW1348=5,AW1348=6),IF(LEFT(BF1348,1)="1",INDEX(係数_NOX・PM低減,MATCH(AY1348,【参考】排出係数!$AI$801:$AI$804,1),1),VLOOKUP(AU1348,INDEX((係数_バス貨物_ガソリン,係数_バス貨物_CNG,係数_バス貨物_軽油,係数_バス貨物_メタノール,係数_バス貨物_LPG),MATCH(AY1348,【参考】排出係数!$AI$4:$AI$671,1),1,BE1348):INDEX((係数_バス貨物_ガソリン,係数_バス貨物_CNG,係数_バス貨物_軽油,係数_バス貨物_メタノール,係数_バス貨物_LPG),MATCH(AY1348+1,【参考】排出係数!$AI$4:$AI$671,1)-1,5,BE1348),4,FALSE)),IF(AND(BE1348=3,LEFT(BF1348,1)="1"),0.48,VLOOKUP(AU1348,INDEX((係数_乗用_ガソリン,係数_乗用_CNG,係数_乗用_軽油,係数_乗用_メタノール,係数_乗用_LPG),1,1,BE1348):INDEX((係数_乗用_ガソリン,係数_乗用_CNG,係数_乗用_軽油,係数_乗用_メタノール,係数_乗用_LPG),125,5,BE1348),4,FALSE)))))</f>
        <v/>
      </c>
      <c r="AL1348" s="461" t="str">
        <f t="shared" si="767"/>
        <v/>
      </c>
      <c r="AM1348" s="460" t="str">
        <f>IF(AU1348="","",IF(OR(AZ1348=8,AZ1348=9),0,IF(OR(AW1348=3,AW1348=4,AW1348=5,AW1348=6),IF(LEFT(BH1348,1)="1",INDEX(係数_PM低減,MATCH(AY1348,【参考】排出係数!$AI$801:$AI$804,1),MATCH(BI1348,【参考】排出係数!$AL$798:$AO$798,1)),VLOOKUP(AU1348,INDEX((係数_バス貨物_ガソリン,係数_バス貨物_CNG,係数_バス貨物_軽油,係数_バス貨物_メタノール,係数_バス貨物_LPG),MATCH(AY1348,【参考】排出係数!$AI$4:$AI$671,1),1,BE1348):INDEX((係数_バス貨物_ガソリン,係数_バス貨物_CNG,係数_バス貨物_軽油,係数_バス貨物_メタノール,係数_バス貨物_LPG),MATCH(AY1348+1,【参考】排出係数!$AI$4:$AI$671,1)-1,5,BE1348),5,FALSE)),IF(AND(BE1348=3,LEFT(BF1348,1)="1"),0.055,VLOOKUP(AU1348,INDEX((係数_乗用_ガソリン,係数_乗用_CNG,係数_乗用_軽油,係数_乗用_メタノール,係数_乗用_LPG),1,1,BE1348):INDEX((係数_乗用_ガソリン,係数_乗用_CNG,係数_乗用_軽油,係数_乗用_メタノール,係数_乗用_LPG),125,5,BE1348),5,FALSE)))))</f>
        <v/>
      </c>
      <c r="AN1348" s="461" t="str">
        <f t="shared" si="768"/>
        <v/>
      </c>
      <c r="AO1348" s="462" t="str">
        <f t="shared" si="769"/>
        <v/>
      </c>
      <c r="AP1348" s="463" t="str">
        <f t="shared" si="770"/>
        <v/>
      </c>
      <c r="AQ1348" s="464"/>
      <c r="AR1348" s="619"/>
      <c r="AS1348" s="465" t="str">
        <f t="shared" si="778"/>
        <v/>
      </c>
      <c r="AT1348" s="465" t="str">
        <f t="shared" si="779"/>
        <v/>
      </c>
      <c r="AU1348" s="466" t="str">
        <f t="shared" si="780"/>
        <v/>
      </c>
      <c r="AV1348" s="467" t="str">
        <f t="shared" si="781"/>
        <v/>
      </c>
      <c r="AW1348" s="467" t="str">
        <f t="shared" si="782"/>
        <v/>
      </c>
      <c r="AX1348" s="467" t="str">
        <f t="shared" si="783"/>
        <v/>
      </c>
      <c r="AY1348" s="467" t="str">
        <f t="shared" si="784"/>
        <v/>
      </c>
      <c r="AZ1348" s="467" t="str">
        <f t="shared" si="785"/>
        <v/>
      </c>
      <c r="BA1348" s="468" t="str">
        <f>IF(AS1348="","",IF(OR(AU1348="",AU1348="-"),"－",IF(OR(AZ1348=8,AZ1348=9),"",IF(OR(AW1348=3,AW1348=4,AW1348=5,AW1348=6),VLOOKUP(AU1348,INDEX((係数_バス貨物_ガソリン,係数_バス貨物_CNG,係数_バス貨物_軽油,係数_バス貨物_メタノール,係数_バス貨物_LPG),MATCH(AY1348,【参考】排出係数!$AI$4:$AI$671,1),1,BE1348):INDEX((係数_バス貨物_ガソリン,係数_バス貨物_CNG,係数_バス貨物_軽油,係数_バス貨物_メタノール,係数_バス貨物_LPG),MATCH(AY1348+1,【参考】排出係数!$AI$4:$AI$671,1)-1,5,BE1348),2,FALSE),IF(OR(AW1348=1,AW1348=2),VLOOKUP(AU1348,INDEX((係数_乗用_ガソリン,係数_乗用_CNG,係数_乗用_軽油,係数_乗用_メタノール,係数_乗用_LPG),1,1,BE1348):INDEX((係数_乗用_ガソリン,係数_乗用_CNG,係数_乗用_軽油,係数_乗用_メタノール,係数_乗用_LPG),125,5,BE1348),2,FALSE))))))</f>
        <v/>
      </c>
      <c r="BB1348" s="468" t="str">
        <f>IF(T1348="","",IF(OR(AU1348="",AU1348="-"),"－",IF(OR(AZ1348=8,AZ1348=9),"",IF(OR(AW1348=3,AW1348=4,AW1348=5,AW1348=6),VLOOKUP(AU1348,INDEX((係数_バス貨物_ガソリン,係数_バス貨物_CNG,係数_バス貨物_軽油,係数_バス貨物_メタノール,係数_バス貨物_LPG),MATCH(AY1348,【参考】排出係数!$AI$4:$AI$671,1),1,BE1348):INDEX((係数_バス貨物_ガソリン,係数_バス貨物_CNG,係数_バス貨物_軽油,係数_バス貨物_メタノール,係数_バス貨物_LPG),MATCH(AY1348+1,【参考】排出係数!$AI$4:$AI$671,1)-1,5,BE1348),3,FALSE),IF(OR(AW1348=1,AW1348=2),VLOOKUP(AU1348,INDEX((係数_乗用_ガソリン,係数_乗用_CNG,係数_乗用_軽油,係数_乗用_メタノール,係数_乗用_LPG),1,1,BE1348):INDEX((係数_乗用_ガソリン,係数_乗用_CNG,係数_乗用_軽油,係数_乗用_メタノール,係数_乗用_LPG),125,5,BE1348),3,FALSE))))))</f>
        <v/>
      </c>
      <c r="BC1348" s="467" t="str">
        <f t="shared" si="786"/>
        <v/>
      </c>
      <c r="BD1348" s="567" t="str">
        <f t="shared" si="787"/>
        <v/>
      </c>
      <c r="BE1348" s="467" t="str">
        <f t="shared" si="788"/>
        <v/>
      </c>
      <c r="BF1348" s="469" t="str">
        <f t="shared" ca="1" si="789"/>
        <v/>
      </c>
      <c r="BG1348" s="469" t="str">
        <f t="shared" ca="1" si="790"/>
        <v/>
      </c>
      <c r="BH1348" s="467" t="str">
        <f t="shared" si="791"/>
        <v/>
      </c>
      <c r="BI1348" s="467" t="str">
        <f t="shared" ca="1" si="792"/>
        <v/>
      </c>
      <c r="BJ1348" s="469" t="str">
        <f t="shared" si="793"/>
        <v/>
      </c>
      <c r="BK1348" s="470" t="str">
        <f t="shared" si="777"/>
        <v/>
      </c>
      <c r="BL1348" s="775" t="str">
        <f t="shared" si="794"/>
        <v/>
      </c>
      <c r="BM1348" s="775" t="str">
        <f t="shared" si="795"/>
        <v/>
      </c>
    </row>
    <row r="1349" spans="1:65">
      <c r="A1349" s="473">
        <v>1293</v>
      </c>
      <c r="B1349" s="132"/>
      <c r="C1349" s="332"/>
      <c r="D1349" s="333"/>
      <c r="E1349" s="333"/>
      <c r="F1349" s="334"/>
      <c r="G1349" s="337"/>
      <c r="H1349" s="131"/>
      <c r="I1349" s="337"/>
      <c r="J1349" s="131"/>
      <c r="K1349" s="458" t="str">
        <f t="shared" si="758"/>
        <v/>
      </c>
      <c r="L1349" s="458">
        <f t="shared" si="759"/>
        <v>0</v>
      </c>
      <c r="M1349" s="458">
        <f t="shared" si="760"/>
        <v>0</v>
      </c>
      <c r="N1349" s="459" t="str">
        <f t="shared" si="771"/>
        <v/>
      </c>
      <c r="O1349" s="459" t="str">
        <f t="shared" si="772"/>
        <v/>
      </c>
      <c r="P1349" s="459" t="str">
        <f t="shared" si="773"/>
        <v/>
      </c>
      <c r="Q1349" s="459" t="str">
        <f t="shared" si="774"/>
        <v/>
      </c>
      <c r="R1349" s="459" t="str">
        <f t="shared" si="775"/>
        <v/>
      </c>
      <c r="S1349" s="459" t="str">
        <f t="shared" si="776"/>
        <v/>
      </c>
      <c r="T1349" s="566" t="str">
        <f t="shared" si="761"/>
        <v/>
      </c>
      <c r="U1349" s="702"/>
      <c r="V1349" s="132"/>
      <c r="W1349" s="133"/>
      <c r="X1349" s="134"/>
      <c r="Y1349" s="135"/>
      <c r="Z1349" s="137"/>
      <c r="AA1349" s="136"/>
      <c r="AB1349" s="566" t="str">
        <f t="shared" si="762"/>
        <v/>
      </c>
      <c r="AC1349" s="568" t="str">
        <f t="shared" si="763"/>
        <v/>
      </c>
      <c r="AD1349" s="137"/>
      <c r="AE1349" s="137"/>
      <c r="AF1349" s="138"/>
      <c r="AG1349" s="138"/>
      <c r="AH1349" s="592" t="str">
        <f t="shared" si="764"/>
        <v/>
      </c>
      <c r="AI1349" s="592" t="str">
        <f t="shared" si="765"/>
        <v/>
      </c>
      <c r="AJ1349" s="592" t="str">
        <f t="shared" si="766"/>
        <v/>
      </c>
      <c r="AK1349" s="460" t="str">
        <f>IF(AU1349="","",IF(OR(AZ1349=8,AZ1349=9),0,IF(OR(AW1349=3,AW1349=4,AW1349=5,AW1349=6),IF(LEFT(BF1349,1)="1",INDEX(係数_NOX・PM低減,MATCH(AY1349,【参考】排出係数!$AI$801:$AI$804,1),1),VLOOKUP(AU1349,INDEX((係数_バス貨物_ガソリン,係数_バス貨物_CNG,係数_バス貨物_軽油,係数_バス貨物_メタノール,係数_バス貨物_LPG),MATCH(AY1349,【参考】排出係数!$AI$4:$AI$671,1),1,BE1349):INDEX((係数_バス貨物_ガソリン,係数_バス貨物_CNG,係数_バス貨物_軽油,係数_バス貨物_メタノール,係数_バス貨物_LPG),MATCH(AY1349+1,【参考】排出係数!$AI$4:$AI$671,1)-1,5,BE1349),4,FALSE)),IF(AND(BE1349=3,LEFT(BF1349,1)="1"),0.48,VLOOKUP(AU1349,INDEX((係数_乗用_ガソリン,係数_乗用_CNG,係数_乗用_軽油,係数_乗用_メタノール,係数_乗用_LPG),1,1,BE1349):INDEX((係数_乗用_ガソリン,係数_乗用_CNG,係数_乗用_軽油,係数_乗用_メタノール,係数_乗用_LPG),125,5,BE1349),4,FALSE)))))</f>
        <v/>
      </c>
      <c r="AL1349" s="461" t="str">
        <f t="shared" si="767"/>
        <v/>
      </c>
      <c r="AM1349" s="460" t="str">
        <f>IF(AU1349="","",IF(OR(AZ1349=8,AZ1349=9),0,IF(OR(AW1349=3,AW1349=4,AW1349=5,AW1349=6),IF(LEFT(BH1349,1)="1",INDEX(係数_PM低減,MATCH(AY1349,【参考】排出係数!$AI$801:$AI$804,1),MATCH(BI1349,【参考】排出係数!$AL$798:$AO$798,1)),VLOOKUP(AU1349,INDEX((係数_バス貨物_ガソリン,係数_バス貨物_CNG,係数_バス貨物_軽油,係数_バス貨物_メタノール,係数_バス貨物_LPG),MATCH(AY1349,【参考】排出係数!$AI$4:$AI$671,1),1,BE1349):INDEX((係数_バス貨物_ガソリン,係数_バス貨物_CNG,係数_バス貨物_軽油,係数_バス貨物_メタノール,係数_バス貨物_LPG),MATCH(AY1349+1,【参考】排出係数!$AI$4:$AI$671,1)-1,5,BE1349),5,FALSE)),IF(AND(BE1349=3,LEFT(BF1349,1)="1"),0.055,VLOOKUP(AU1349,INDEX((係数_乗用_ガソリン,係数_乗用_CNG,係数_乗用_軽油,係数_乗用_メタノール,係数_乗用_LPG),1,1,BE1349):INDEX((係数_乗用_ガソリン,係数_乗用_CNG,係数_乗用_軽油,係数_乗用_メタノール,係数_乗用_LPG),125,5,BE1349),5,FALSE)))))</f>
        <v/>
      </c>
      <c r="AN1349" s="461" t="str">
        <f t="shared" si="768"/>
        <v/>
      </c>
      <c r="AO1349" s="462" t="str">
        <f t="shared" si="769"/>
        <v/>
      </c>
      <c r="AP1349" s="463" t="str">
        <f t="shared" si="770"/>
        <v/>
      </c>
      <c r="AQ1349" s="464"/>
      <c r="AR1349" s="619"/>
      <c r="AS1349" s="465" t="str">
        <f t="shared" si="778"/>
        <v/>
      </c>
      <c r="AT1349" s="465" t="str">
        <f t="shared" si="779"/>
        <v/>
      </c>
      <c r="AU1349" s="466" t="str">
        <f t="shared" si="780"/>
        <v/>
      </c>
      <c r="AV1349" s="467" t="str">
        <f t="shared" si="781"/>
        <v/>
      </c>
      <c r="AW1349" s="467" t="str">
        <f t="shared" si="782"/>
        <v/>
      </c>
      <c r="AX1349" s="467" t="str">
        <f t="shared" si="783"/>
        <v/>
      </c>
      <c r="AY1349" s="467" t="str">
        <f t="shared" si="784"/>
        <v/>
      </c>
      <c r="AZ1349" s="467" t="str">
        <f t="shared" si="785"/>
        <v/>
      </c>
      <c r="BA1349" s="468" t="str">
        <f>IF(AS1349="","",IF(OR(AU1349="",AU1349="-"),"－",IF(OR(AZ1349=8,AZ1349=9),"",IF(OR(AW1349=3,AW1349=4,AW1349=5,AW1349=6),VLOOKUP(AU1349,INDEX((係数_バス貨物_ガソリン,係数_バス貨物_CNG,係数_バス貨物_軽油,係数_バス貨物_メタノール,係数_バス貨物_LPG),MATCH(AY1349,【参考】排出係数!$AI$4:$AI$671,1),1,BE1349):INDEX((係数_バス貨物_ガソリン,係数_バス貨物_CNG,係数_バス貨物_軽油,係数_バス貨物_メタノール,係数_バス貨物_LPG),MATCH(AY1349+1,【参考】排出係数!$AI$4:$AI$671,1)-1,5,BE1349),2,FALSE),IF(OR(AW1349=1,AW1349=2),VLOOKUP(AU1349,INDEX((係数_乗用_ガソリン,係数_乗用_CNG,係数_乗用_軽油,係数_乗用_メタノール,係数_乗用_LPG),1,1,BE1349):INDEX((係数_乗用_ガソリン,係数_乗用_CNG,係数_乗用_軽油,係数_乗用_メタノール,係数_乗用_LPG),125,5,BE1349),2,FALSE))))))</f>
        <v/>
      </c>
      <c r="BB1349" s="468" t="str">
        <f>IF(T1349="","",IF(OR(AU1349="",AU1349="-"),"－",IF(OR(AZ1349=8,AZ1349=9),"",IF(OR(AW1349=3,AW1349=4,AW1349=5,AW1349=6),VLOOKUP(AU1349,INDEX((係数_バス貨物_ガソリン,係数_バス貨物_CNG,係数_バス貨物_軽油,係数_バス貨物_メタノール,係数_バス貨物_LPG),MATCH(AY1349,【参考】排出係数!$AI$4:$AI$671,1),1,BE1349):INDEX((係数_バス貨物_ガソリン,係数_バス貨物_CNG,係数_バス貨物_軽油,係数_バス貨物_メタノール,係数_バス貨物_LPG),MATCH(AY1349+1,【参考】排出係数!$AI$4:$AI$671,1)-1,5,BE1349),3,FALSE),IF(OR(AW1349=1,AW1349=2),VLOOKUP(AU1349,INDEX((係数_乗用_ガソリン,係数_乗用_CNG,係数_乗用_軽油,係数_乗用_メタノール,係数_乗用_LPG),1,1,BE1349):INDEX((係数_乗用_ガソリン,係数_乗用_CNG,係数_乗用_軽油,係数_乗用_メタノール,係数_乗用_LPG),125,5,BE1349),3,FALSE))))))</f>
        <v/>
      </c>
      <c r="BC1349" s="467" t="str">
        <f t="shared" si="786"/>
        <v/>
      </c>
      <c r="BD1349" s="567" t="str">
        <f t="shared" si="787"/>
        <v/>
      </c>
      <c r="BE1349" s="467" t="str">
        <f t="shared" si="788"/>
        <v/>
      </c>
      <c r="BF1349" s="469" t="str">
        <f t="shared" ca="1" si="789"/>
        <v/>
      </c>
      <c r="BG1349" s="469" t="str">
        <f t="shared" ca="1" si="790"/>
        <v/>
      </c>
      <c r="BH1349" s="467" t="str">
        <f t="shared" si="791"/>
        <v/>
      </c>
      <c r="BI1349" s="467" t="str">
        <f t="shared" ca="1" si="792"/>
        <v/>
      </c>
      <c r="BJ1349" s="469" t="str">
        <f t="shared" si="793"/>
        <v/>
      </c>
      <c r="BK1349" s="470" t="str">
        <f t="shared" si="777"/>
        <v/>
      </c>
      <c r="BL1349" s="775" t="str">
        <f t="shared" si="794"/>
        <v/>
      </c>
      <c r="BM1349" s="775" t="str">
        <f t="shared" si="795"/>
        <v/>
      </c>
    </row>
    <row r="1350" spans="1:65">
      <c r="A1350" s="473">
        <v>1294</v>
      </c>
      <c r="B1350" s="132"/>
      <c r="C1350" s="332"/>
      <c r="D1350" s="333"/>
      <c r="E1350" s="333"/>
      <c r="F1350" s="334"/>
      <c r="G1350" s="337"/>
      <c r="H1350" s="131"/>
      <c r="I1350" s="337"/>
      <c r="J1350" s="131"/>
      <c r="K1350" s="458" t="str">
        <f t="shared" si="758"/>
        <v/>
      </c>
      <c r="L1350" s="458">
        <f t="shared" si="759"/>
        <v>0</v>
      </c>
      <c r="M1350" s="458">
        <f t="shared" si="760"/>
        <v>0</v>
      </c>
      <c r="N1350" s="459" t="str">
        <f t="shared" si="771"/>
        <v/>
      </c>
      <c r="O1350" s="459" t="str">
        <f t="shared" si="772"/>
        <v/>
      </c>
      <c r="P1350" s="459" t="str">
        <f t="shared" si="773"/>
        <v/>
      </c>
      <c r="Q1350" s="459" t="str">
        <f t="shared" si="774"/>
        <v/>
      </c>
      <c r="R1350" s="459" t="str">
        <f t="shared" si="775"/>
        <v/>
      </c>
      <c r="S1350" s="459" t="str">
        <f t="shared" si="776"/>
        <v/>
      </c>
      <c r="T1350" s="566" t="str">
        <f t="shared" si="761"/>
        <v/>
      </c>
      <c r="U1350" s="702"/>
      <c r="V1350" s="132"/>
      <c r="W1350" s="133"/>
      <c r="X1350" s="134"/>
      <c r="Y1350" s="135"/>
      <c r="Z1350" s="137"/>
      <c r="AA1350" s="136"/>
      <c r="AB1350" s="566" t="str">
        <f t="shared" si="762"/>
        <v/>
      </c>
      <c r="AC1350" s="568" t="str">
        <f t="shared" si="763"/>
        <v/>
      </c>
      <c r="AD1350" s="137"/>
      <c r="AE1350" s="137"/>
      <c r="AF1350" s="138"/>
      <c r="AG1350" s="138"/>
      <c r="AH1350" s="592" t="str">
        <f t="shared" si="764"/>
        <v/>
      </c>
      <c r="AI1350" s="592" t="str">
        <f t="shared" si="765"/>
        <v/>
      </c>
      <c r="AJ1350" s="592" t="str">
        <f t="shared" si="766"/>
        <v/>
      </c>
      <c r="AK1350" s="460" t="str">
        <f>IF(AU1350="","",IF(OR(AZ1350=8,AZ1350=9),0,IF(OR(AW1350=3,AW1350=4,AW1350=5,AW1350=6),IF(LEFT(BF1350,1)="1",INDEX(係数_NOX・PM低減,MATCH(AY1350,【参考】排出係数!$AI$801:$AI$804,1),1),VLOOKUP(AU1350,INDEX((係数_バス貨物_ガソリン,係数_バス貨物_CNG,係数_バス貨物_軽油,係数_バス貨物_メタノール,係数_バス貨物_LPG),MATCH(AY1350,【参考】排出係数!$AI$4:$AI$671,1),1,BE1350):INDEX((係数_バス貨物_ガソリン,係数_バス貨物_CNG,係数_バス貨物_軽油,係数_バス貨物_メタノール,係数_バス貨物_LPG),MATCH(AY1350+1,【参考】排出係数!$AI$4:$AI$671,1)-1,5,BE1350),4,FALSE)),IF(AND(BE1350=3,LEFT(BF1350,1)="1"),0.48,VLOOKUP(AU1350,INDEX((係数_乗用_ガソリン,係数_乗用_CNG,係数_乗用_軽油,係数_乗用_メタノール,係数_乗用_LPG),1,1,BE1350):INDEX((係数_乗用_ガソリン,係数_乗用_CNG,係数_乗用_軽油,係数_乗用_メタノール,係数_乗用_LPG),125,5,BE1350),4,FALSE)))))</f>
        <v/>
      </c>
      <c r="AL1350" s="461" t="str">
        <f t="shared" si="767"/>
        <v/>
      </c>
      <c r="AM1350" s="460" t="str">
        <f>IF(AU1350="","",IF(OR(AZ1350=8,AZ1350=9),0,IF(OR(AW1350=3,AW1350=4,AW1350=5,AW1350=6),IF(LEFT(BH1350,1)="1",INDEX(係数_PM低減,MATCH(AY1350,【参考】排出係数!$AI$801:$AI$804,1),MATCH(BI1350,【参考】排出係数!$AL$798:$AO$798,1)),VLOOKUP(AU1350,INDEX((係数_バス貨物_ガソリン,係数_バス貨物_CNG,係数_バス貨物_軽油,係数_バス貨物_メタノール,係数_バス貨物_LPG),MATCH(AY1350,【参考】排出係数!$AI$4:$AI$671,1),1,BE1350):INDEX((係数_バス貨物_ガソリン,係数_バス貨物_CNG,係数_バス貨物_軽油,係数_バス貨物_メタノール,係数_バス貨物_LPG),MATCH(AY1350+1,【参考】排出係数!$AI$4:$AI$671,1)-1,5,BE1350),5,FALSE)),IF(AND(BE1350=3,LEFT(BF1350,1)="1"),0.055,VLOOKUP(AU1350,INDEX((係数_乗用_ガソリン,係数_乗用_CNG,係数_乗用_軽油,係数_乗用_メタノール,係数_乗用_LPG),1,1,BE1350):INDEX((係数_乗用_ガソリン,係数_乗用_CNG,係数_乗用_軽油,係数_乗用_メタノール,係数_乗用_LPG),125,5,BE1350),5,FALSE)))))</f>
        <v/>
      </c>
      <c r="AN1350" s="461" t="str">
        <f t="shared" si="768"/>
        <v/>
      </c>
      <c r="AO1350" s="462" t="str">
        <f t="shared" si="769"/>
        <v/>
      </c>
      <c r="AP1350" s="463" t="str">
        <f t="shared" si="770"/>
        <v/>
      </c>
      <c r="AQ1350" s="464"/>
      <c r="AR1350" s="619"/>
      <c r="AS1350" s="465" t="str">
        <f t="shared" si="778"/>
        <v/>
      </c>
      <c r="AT1350" s="465" t="str">
        <f t="shared" si="779"/>
        <v/>
      </c>
      <c r="AU1350" s="466" t="str">
        <f t="shared" si="780"/>
        <v/>
      </c>
      <c r="AV1350" s="467" t="str">
        <f t="shared" si="781"/>
        <v/>
      </c>
      <c r="AW1350" s="467" t="str">
        <f t="shared" si="782"/>
        <v/>
      </c>
      <c r="AX1350" s="467" t="str">
        <f t="shared" si="783"/>
        <v/>
      </c>
      <c r="AY1350" s="467" t="str">
        <f t="shared" si="784"/>
        <v/>
      </c>
      <c r="AZ1350" s="467" t="str">
        <f t="shared" si="785"/>
        <v/>
      </c>
      <c r="BA1350" s="468" t="str">
        <f>IF(AS1350="","",IF(OR(AU1350="",AU1350="-"),"－",IF(OR(AZ1350=8,AZ1350=9),"",IF(OR(AW1350=3,AW1350=4,AW1350=5,AW1350=6),VLOOKUP(AU1350,INDEX((係数_バス貨物_ガソリン,係数_バス貨物_CNG,係数_バス貨物_軽油,係数_バス貨物_メタノール,係数_バス貨物_LPG),MATCH(AY1350,【参考】排出係数!$AI$4:$AI$671,1),1,BE1350):INDEX((係数_バス貨物_ガソリン,係数_バス貨物_CNG,係数_バス貨物_軽油,係数_バス貨物_メタノール,係数_バス貨物_LPG),MATCH(AY1350+1,【参考】排出係数!$AI$4:$AI$671,1)-1,5,BE1350),2,FALSE),IF(OR(AW1350=1,AW1350=2),VLOOKUP(AU1350,INDEX((係数_乗用_ガソリン,係数_乗用_CNG,係数_乗用_軽油,係数_乗用_メタノール,係数_乗用_LPG),1,1,BE1350):INDEX((係数_乗用_ガソリン,係数_乗用_CNG,係数_乗用_軽油,係数_乗用_メタノール,係数_乗用_LPG),125,5,BE1350),2,FALSE))))))</f>
        <v/>
      </c>
      <c r="BB1350" s="468" t="str">
        <f>IF(T1350="","",IF(OR(AU1350="",AU1350="-"),"－",IF(OR(AZ1350=8,AZ1350=9),"",IF(OR(AW1350=3,AW1350=4,AW1350=5,AW1350=6),VLOOKUP(AU1350,INDEX((係数_バス貨物_ガソリン,係数_バス貨物_CNG,係数_バス貨物_軽油,係数_バス貨物_メタノール,係数_バス貨物_LPG),MATCH(AY1350,【参考】排出係数!$AI$4:$AI$671,1),1,BE1350):INDEX((係数_バス貨物_ガソリン,係数_バス貨物_CNG,係数_バス貨物_軽油,係数_バス貨物_メタノール,係数_バス貨物_LPG),MATCH(AY1350+1,【参考】排出係数!$AI$4:$AI$671,1)-1,5,BE1350),3,FALSE),IF(OR(AW1350=1,AW1350=2),VLOOKUP(AU1350,INDEX((係数_乗用_ガソリン,係数_乗用_CNG,係数_乗用_軽油,係数_乗用_メタノール,係数_乗用_LPG),1,1,BE1350):INDEX((係数_乗用_ガソリン,係数_乗用_CNG,係数_乗用_軽油,係数_乗用_メタノール,係数_乗用_LPG),125,5,BE1350),3,FALSE))))))</f>
        <v/>
      </c>
      <c r="BC1350" s="467" t="str">
        <f t="shared" si="786"/>
        <v/>
      </c>
      <c r="BD1350" s="567" t="str">
        <f t="shared" si="787"/>
        <v/>
      </c>
      <c r="BE1350" s="467" t="str">
        <f t="shared" si="788"/>
        <v/>
      </c>
      <c r="BF1350" s="469" t="str">
        <f t="shared" ca="1" si="789"/>
        <v/>
      </c>
      <c r="BG1350" s="469" t="str">
        <f t="shared" ca="1" si="790"/>
        <v/>
      </c>
      <c r="BH1350" s="467" t="str">
        <f t="shared" si="791"/>
        <v/>
      </c>
      <c r="BI1350" s="467" t="str">
        <f t="shared" ca="1" si="792"/>
        <v/>
      </c>
      <c r="BJ1350" s="469" t="str">
        <f t="shared" si="793"/>
        <v/>
      </c>
      <c r="BK1350" s="470" t="str">
        <f t="shared" si="777"/>
        <v/>
      </c>
      <c r="BL1350" s="775" t="str">
        <f t="shared" si="794"/>
        <v/>
      </c>
      <c r="BM1350" s="775" t="str">
        <f t="shared" si="795"/>
        <v/>
      </c>
    </row>
    <row r="1351" spans="1:65">
      <c r="A1351" s="473">
        <v>1295</v>
      </c>
      <c r="B1351" s="132"/>
      <c r="C1351" s="332"/>
      <c r="D1351" s="333"/>
      <c r="E1351" s="333"/>
      <c r="F1351" s="334"/>
      <c r="G1351" s="337"/>
      <c r="H1351" s="131"/>
      <c r="I1351" s="337"/>
      <c r="J1351" s="131"/>
      <c r="K1351" s="458" t="str">
        <f t="shared" si="758"/>
        <v/>
      </c>
      <c r="L1351" s="458">
        <f t="shared" si="759"/>
        <v>0</v>
      </c>
      <c r="M1351" s="458">
        <f t="shared" si="760"/>
        <v>0</v>
      </c>
      <c r="N1351" s="459" t="str">
        <f t="shared" si="771"/>
        <v/>
      </c>
      <c r="O1351" s="459" t="str">
        <f t="shared" si="772"/>
        <v/>
      </c>
      <c r="P1351" s="459" t="str">
        <f t="shared" si="773"/>
        <v/>
      </c>
      <c r="Q1351" s="459" t="str">
        <f t="shared" si="774"/>
        <v/>
      </c>
      <c r="R1351" s="459" t="str">
        <f t="shared" si="775"/>
        <v/>
      </c>
      <c r="S1351" s="459" t="str">
        <f t="shared" si="776"/>
        <v/>
      </c>
      <c r="T1351" s="566" t="str">
        <f t="shared" si="761"/>
        <v/>
      </c>
      <c r="U1351" s="702"/>
      <c r="V1351" s="132"/>
      <c r="W1351" s="133"/>
      <c r="X1351" s="134"/>
      <c r="Y1351" s="135"/>
      <c r="Z1351" s="137"/>
      <c r="AA1351" s="136"/>
      <c r="AB1351" s="566" t="str">
        <f t="shared" si="762"/>
        <v/>
      </c>
      <c r="AC1351" s="568" t="str">
        <f t="shared" si="763"/>
        <v/>
      </c>
      <c r="AD1351" s="137"/>
      <c r="AE1351" s="137"/>
      <c r="AF1351" s="138"/>
      <c r="AG1351" s="138"/>
      <c r="AH1351" s="592" t="str">
        <f t="shared" si="764"/>
        <v/>
      </c>
      <c r="AI1351" s="592" t="str">
        <f t="shared" si="765"/>
        <v/>
      </c>
      <c r="AJ1351" s="592" t="str">
        <f t="shared" si="766"/>
        <v/>
      </c>
      <c r="AK1351" s="460" t="str">
        <f>IF(AU1351="","",IF(OR(AZ1351=8,AZ1351=9),0,IF(OR(AW1351=3,AW1351=4,AW1351=5,AW1351=6),IF(LEFT(BF1351,1)="1",INDEX(係数_NOX・PM低減,MATCH(AY1351,【参考】排出係数!$AI$801:$AI$804,1),1),VLOOKUP(AU1351,INDEX((係数_バス貨物_ガソリン,係数_バス貨物_CNG,係数_バス貨物_軽油,係数_バス貨物_メタノール,係数_バス貨物_LPG),MATCH(AY1351,【参考】排出係数!$AI$4:$AI$671,1),1,BE1351):INDEX((係数_バス貨物_ガソリン,係数_バス貨物_CNG,係数_バス貨物_軽油,係数_バス貨物_メタノール,係数_バス貨物_LPG),MATCH(AY1351+1,【参考】排出係数!$AI$4:$AI$671,1)-1,5,BE1351),4,FALSE)),IF(AND(BE1351=3,LEFT(BF1351,1)="1"),0.48,VLOOKUP(AU1351,INDEX((係数_乗用_ガソリン,係数_乗用_CNG,係数_乗用_軽油,係数_乗用_メタノール,係数_乗用_LPG),1,1,BE1351):INDEX((係数_乗用_ガソリン,係数_乗用_CNG,係数_乗用_軽油,係数_乗用_メタノール,係数_乗用_LPG),125,5,BE1351),4,FALSE)))))</f>
        <v/>
      </c>
      <c r="AL1351" s="461" t="str">
        <f t="shared" si="767"/>
        <v/>
      </c>
      <c r="AM1351" s="460" t="str">
        <f>IF(AU1351="","",IF(OR(AZ1351=8,AZ1351=9),0,IF(OR(AW1351=3,AW1351=4,AW1351=5,AW1351=6),IF(LEFT(BH1351,1)="1",INDEX(係数_PM低減,MATCH(AY1351,【参考】排出係数!$AI$801:$AI$804,1),MATCH(BI1351,【参考】排出係数!$AL$798:$AO$798,1)),VLOOKUP(AU1351,INDEX((係数_バス貨物_ガソリン,係数_バス貨物_CNG,係数_バス貨物_軽油,係数_バス貨物_メタノール,係数_バス貨物_LPG),MATCH(AY1351,【参考】排出係数!$AI$4:$AI$671,1),1,BE1351):INDEX((係数_バス貨物_ガソリン,係数_バス貨物_CNG,係数_バス貨物_軽油,係数_バス貨物_メタノール,係数_バス貨物_LPG),MATCH(AY1351+1,【参考】排出係数!$AI$4:$AI$671,1)-1,5,BE1351),5,FALSE)),IF(AND(BE1351=3,LEFT(BF1351,1)="1"),0.055,VLOOKUP(AU1351,INDEX((係数_乗用_ガソリン,係数_乗用_CNG,係数_乗用_軽油,係数_乗用_メタノール,係数_乗用_LPG),1,1,BE1351):INDEX((係数_乗用_ガソリン,係数_乗用_CNG,係数_乗用_軽油,係数_乗用_メタノール,係数_乗用_LPG),125,5,BE1351),5,FALSE)))))</f>
        <v/>
      </c>
      <c r="AN1351" s="461" t="str">
        <f t="shared" si="768"/>
        <v/>
      </c>
      <c r="AO1351" s="462" t="str">
        <f t="shared" si="769"/>
        <v/>
      </c>
      <c r="AP1351" s="463" t="str">
        <f t="shared" si="770"/>
        <v/>
      </c>
      <c r="AQ1351" s="464"/>
      <c r="AR1351" s="619"/>
      <c r="AS1351" s="465" t="str">
        <f t="shared" si="778"/>
        <v/>
      </c>
      <c r="AT1351" s="465" t="str">
        <f t="shared" si="779"/>
        <v/>
      </c>
      <c r="AU1351" s="466" t="str">
        <f t="shared" si="780"/>
        <v/>
      </c>
      <c r="AV1351" s="467" t="str">
        <f t="shared" si="781"/>
        <v/>
      </c>
      <c r="AW1351" s="467" t="str">
        <f t="shared" si="782"/>
        <v/>
      </c>
      <c r="AX1351" s="467" t="str">
        <f t="shared" si="783"/>
        <v/>
      </c>
      <c r="AY1351" s="467" t="str">
        <f t="shared" si="784"/>
        <v/>
      </c>
      <c r="AZ1351" s="467" t="str">
        <f t="shared" si="785"/>
        <v/>
      </c>
      <c r="BA1351" s="468" t="str">
        <f>IF(AS1351="","",IF(OR(AU1351="",AU1351="-"),"－",IF(OR(AZ1351=8,AZ1351=9),"",IF(OR(AW1351=3,AW1351=4,AW1351=5,AW1351=6),VLOOKUP(AU1351,INDEX((係数_バス貨物_ガソリン,係数_バス貨物_CNG,係数_バス貨物_軽油,係数_バス貨物_メタノール,係数_バス貨物_LPG),MATCH(AY1351,【参考】排出係数!$AI$4:$AI$671,1),1,BE1351):INDEX((係数_バス貨物_ガソリン,係数_バス貨物_CNG,係数_バス貨物_軽油,係数_バス貨物_メタノール,係数_バス貨物_LPG),MATCH(AY1351+1,【参考】排出係数!$AI$4:$AI$671,1)-1,5,BE1351),2,FALSE),IF(OR(AW1351=1,AW1351=2),VLOOKUP(AU1351,INDEX((係数_乗用_ガソリン,係数_乗用_CNG,係数_乗用_軽油,係数_乗用_メタノール,係数_乗用_LPG),1,1,BE1351):INDEX((係数_乗用_ガソリン,係数_乗用_CNG,係数_乗用_軽油,係数_乗用_メタノール,係数_乗用_LPG),125,5,BE1351),2,FALSE))))))</f>
        <v/>
      </c>
      <c r="BB1351" s="468" t="str">
        <f>IF(T1351="","",IF(OR(AU1351="",AU1351="-"),"－",IF(OR(AZ1351=8,AZ1351=9),"",IF(OR(AW1351=3,AW1351=4,AW1351=5,AW1351=6),VLOOKUP(AU1351,INDEX((係数_バス貨物_ガソリン,係数_バス貨物_CNG,係数_バス貨物_軽油,係数_バス貨物_メタノール,係数_バス貨物_LPG),MATCH(AY1351,【参考】排出係数!$AI$4:$AI$671,1),1,BE1351):INDEX((係数_バス貨物_ガソリン,係数_バス貨物_CNG,係数_バス貨物_軽油,係数_バス貨物_メタノール,係数_バス貨物_LPG),MATCH(AY1351+1,【参考】排出係数!$AI$4:$AI$671,1)-1,5,BE1351),3,FALSE),IF(OR(AW1351=1,AW1351=2),VLOOKUP(AU1351,INDEX((係数_乗用_ガソリン,係数_乗用_CNG,係数_乗用_軽油,係数_乗用_メタノール,係数_乗用_LPG),1,1,BE1351):INDEX((係数_乗用_ガソリン,係数_乗用_CNG,係数_乗用_軽油,係数_乗用_メタノール,係数_乗用_LPG),125,5,BE1351),3,FALSE))))))</f>
        <v/>
      </c>
      <c r="BC1351" s="467" t="str">
        <f t="shared" si="786"/>
        <v/>
      </c>
      <c r="BD1351" s="567" t="str">
        <f t="shared" si="787"/>
        <v/>
      </c>
      <c r="BE1351" s="467" t="str">
        <f t="shared" si="788"/>
        <v/>
      </c>
      <c r="BF1351" s="469" t="str">
        <f t="shared" ca="1" si="789"/>
        <v/>
      </c>
      <c r="BG1351" s="469" t="str">
        <f t="shared" ca="1" si="790"/>
        <v/>
      </c>
      <c r="BH1351" s="467" t="str">
        <f t="shared" si="791"/>
        <v/>
      </c>
      <c r="BI1351" s="467" t="str">
        <f t="shared" ca="1" si="792"/>
        <v/>
      </c>
      <c r="BJ1351" s="469" t="str">
        <f t="shared" si="793"/>
        <v/>
      </c>
      <c r="BK1351" s="470" t="str">
        <f t="shared" si="777"/>
        <v/>
      </c>
      <c r="BL1351" s="775" t="str">
        <f t="shared" si="794"/>
        <v/>
      </c>
      <c r="BM1351" s="775" t="str">
        <f t="shared" si="795"/>
        <v/>
      </c>
    </row>
    <row r="1352" spans="1:65">
      <c r="A1352" s="473">
        <v>1296</v>
      </c>
      <c r="B1352" s="132"/>
      <c r="C1352" s="332"/>
      <c r="D1352" s="333"/>
      <c r="E1352" s="333"/>
      <c r="F1352" s="334"/>
      <c r="G1352" s="337"/>
      <c r="H1352" s="131"/>
      <c r="I1352" s="337"/>
      <c r="J1352" s="131"/>
      <c r="K1352" s="458" t="str">
        <f t="shared" si="758"/>
        <v/>
      </c>
      <c r="L1352" s="458">
        <f t="shared" si="759"/>
        <v>0</v>
      </c>
      <c r="M1352" s="458">
        <f t="shared" si="760"/>
        <v>0</v>
      </c>
      <c r="N1352" s="459" t="str">
        <f t="shared" si="771"/>
        <v/>
      </c>
      <c r="O1352" s="459" t="str">
        <f t="shared" si="772"/>
        <v/>
      </c>
      <c r="P1352" s="459" t="str">
        <f t="shared" si="773"/>
        <v/>
      </c>
      <c r="Q1352" s="459" t="str">
        <f t="shared" si="774"/>
        <v/>
      </c>
      <c r="R1352" s="459" t="str">
        <f t="shared" si="775"/>
        <v/>
      </c>
      <c r="S1352" s="459" t="str">
        <f t="shared" si="776"/>
        <v/>
      </c>
      <c r="T1352" s="566" t="str">
        <f t="shared" si="761"/>
        <v/>
      </c>
      <c r="U1352" s="702"/>
      <c r="V1352" s="132"/>
      <c r="W1352" s="133"/>
      <c r="X1352" s="134"/>
      <c r="Y1352" s="135"/>
      <c r="Z1352" s="137"/>
      <c r="AA1352" s="136"/>
      <c r="AB1352" s="566" t="str">
        <f t="shared" si="762"/>
        <v/>
      </c>
      <c r="AC1352" s="568" t="str">
        <f t="shared" si="763"/>
        <v/>
      </c>
      <c r="AD1352" s="137"/>
      <c r="AE1352" s="137"/>
      <c r="AF1352" s="138"/>
      <c r="AG1352" s="138"/>
      <c r="AH1352" s="592" t="str">
        <f t="shared" si="764"/>
        <v/>
      </c>
      <c r="AI1352" s="592" t="str">
        <f t="shared" si="765"/>
        <v/>
      </c>
      <c r="AJ1352" s="592" t="str">
        <f t="shared" si="766"/>
        <v/>
      </c>
      <c r="AK1352" s="460" t="str">
        <f>IF(AU1352="","",IF(OR(AZ1352=8,AZ1352=9),0,IF(OR(AW1352=3,AW1352=4,AW1352=5,AW1352=6),IF(LEFT(BF1352,1)="1",INDEX(係数_NOX・PM低減,MATCH(AY1352,【参考】排出係数!$AI$801:$AI$804,1),1),VLOOKUP(AU1352,INDEX((係数_バス貨物_ガソリン,係数_バス貨物_CNG,係数_バス貨物_軽油,係数_バス貨物_メタノール,係数_バス貨物_LPG),MATCH(AY1352,【参考】排出係数!$AI$4:$AI$671,1),1,BE1352):INDEX((係数_バス貨物_ガソリン,係数_バス貨物_CNG,係数_バス貨物_軽油,係数_バス貨物_メタノール,係数_バス貨物_LPG),MATCH(AY1352+1,【参考】排出係数!$AI$4:$AI$671,1)-1,5,BE1352),4,FALSE)),IF(AND(BE1352=3,LEFT(BF1352,1)="1"),0.48,VLOOKUP(AU1352,INDEX((係数_乗用_ガソリン,係数_乗用_CNG,係数_乗用_軽油,係数_乗用_メタノール,係数_乗用_LPG),1,1,BE1352):INDEX((係数_乗用_ガソリン,係数_乗用_CNG,係数_乗用_軽油,係数_乗用_メタノール,係数_乗用_LPG),125,5,BE1352),4,FALSE)))))</f>
        <v/>
      </c>
      <c r="AL1352" s="461" t="str">
        <f t="shared" si="767"/>
        <v/>
      </c>
      <c r="AM1352" s="460" t="str">
        <f>IF(AU1352="","",IF(OR(AZ1352=8,AZ1352=9),0,IF(OR(AW1352=3,AW1352=4,AW1352=5,AW1352=6),IF(LEFT(BH1352,1)="1",INDEX(係数_PM低減,MATCH(AY1352,【参考】排出係数!$AI$801:$AI$804,1),MATCH(BI1352,【参考】排出係数!$AL$798:$AO$798,1)),VLOOKUP(AU1352,INDEX((係数_バス貨物_ガソリン,係数_バス貨物_CNG,係数_バス貨物_軽油,係数_バス貨物_メタノール,係数_バス貨物_LPG),MATCH(AY1352,【参考】排出係数!$AI$4:$AI$671,1),1,BE1352):INDEX((係数_バス貨物_ガソリン,係数_バス貨物_CNG,係数_バス貨物_軽油,係数_バス貨物_メタノール,係数_バス貨物_LPG),MATCH(AY1352+1,【参考】排出係数!$AI$4:$AI$671,1)-1,5,BE1352),5,FALSE)),IF(AND(BE1352=3,LEFT(BF1352,1)="1"),0.055,VLOOKUP(AU1352,INDEX((係数_乗用_ガソリン,係数_乗用_CNG,係数_乗用_軽油,係数_乗用_メタノール,係数_乗用_LPG),1,1,BE1352):INDEX((係数_乗用_ガソリン,係数_乗用_CNG,係数_乗用_軽油,係数_乗用_メタノール,係数_乗用_LPG),125,5,BE1352),5,FALSE)))))</f>
        <v/>
      </c>
      <c r="AN1352" s="461" t="str">
        <f t="shared" si="768"/>
        <v/>
      </c>
      <c r="AO1352" s="462" t="str">
        <f t="shared" si="769"/>
        <v/>
      </c>
      <c r="AP1352" s="463" t="str">
        <f t="shared" si="770"/>
        <v/>
      </c>
      <c r="AQ1352" s="464"/>
      <c r="AR1352" s="619"/>
      <c r="AS1352" s="465" t="str">
        <f t="shared" si="778"/>
        <v/>
      </c>
      <c r="AT1352" s="465" t="str">
        <f t="shared" si="779"/>
        <v/>
      </c>
      <c r="AU1352" s="466" t="str">
        <f t="shared" si="780"/>
        <v/>
      </c>
      <c r="AV1352" s="467" t="str">
        <f t="shared" si="781"/>
        <v/>
      </c>
      <c r="AW1352" s="467" t="str">
        <f t="shared" si="782"/>
        <v/>
      </c>
      <c r="AX1352" s="467" t="str">
        <f t="shared" si="783"/>
        <v/>
      </c>
      <c r="AY1352" s="467" t="str">
        <f t="shared" si="784"/>
        <v/>
      </c>
      <c r="AZ1352" s="467" t="str">
        <f t="shared" si="785"/>
        <v/>
      </c>
      <c r="BA1352" s="468" t="str">
        <f>IF(AS1352="","",IF(OR(AU1352="",AU1352="-"),"－",IF(OR(AZ1352=8,AZ1352=9),"",IF(OR(AW1352=3,AW1352=4,AW1352=5,AW1352=6),VLOOKUP(AU1352,INDEX((係数_バス貨物_ガソリン,係数_バス貨物_CNG,係数_バス貨物_軽油,係数_バス貨物_メタノール,係数_バス貨物_LPG),MATCH(AY1352,【参考】排出係数!$AI$4:$AI$671,1),1,BE1352):INDEX((係数_バス貨物_ガソリン,係数_バス貨物_CNG,係数_バス貨物_軽油,係数_バス貨物_メタノール,係数_バス貨物_LPG),MATCH(AY1352+1,【参考】排出係数!$AI$4:$AI$671,1)-1,5,BE1352),2,FALSE),IF(OR(AW1352=1,AW1352=2),VLOOKUP(AU1352,INDEX((係数_乗用_ガソリン,係数_乗用_CNG,係数_乗用_軽油,係数_乗用_メタノール,係数_乗用_LPG),1,1,BE1352):INDEX((係数_乗用_ガソリン,係数_乗用_CNG,係数_乗用_軽油,係数_乗用_メタノール,係数_乗用_LPG),125,5,BE1352),2,FALSE))))))</f>
        <v/>
      </c>
      <c r="BB1352" s="468" t="str">
        <f>IF(T1352="","",IF(OR(AU1352="",AU1352="-"),"－",IF(OR(AZ1352=8,AZ1352=9),"",IF(OR(AW1352=3,AW1352=4,AW1352=5,AW1352=6),VLOOKUP(AU1352,INDEX((係数_バス貨物_ガソリン,係数_バス貨物_CNG,係数_バス貨物_軽油,係数_バス貨物_メタノール,係数_バス貨物_LPG),MATCH(AY1352,【参考】排出係数!$AI$4:$AI$671,1),1,BE1352):INDEX((係数_バス貨物_ガソリン,係数_バス貨物_CNG,係数_バス貨物_軽油,係数_バス貨物_メタノール,係数_バス貨物_LPG),MATCH(AY1352+1,【参考】排出係数!$AI$4:$AI$671,1)-1,5,BE1352),3,FALSE),IF(OR(AW1352=1,AW1352=2),VLOOKUP(AU1352,INDEX((係数_乗用_ガソリン,係数_乗用_CNG,係数_乗用_軽油,係数_乗用_メタノール,係数_乗用_LPG),1,1,BE1352):INDEX((係数_乗用_ガソリン,係数_乗用_CNG,係数_乗用_軽油,係数_乗用_メタノール,係数_乗用_LPG),125,5,BE1352),3,FALSE))))))</f>
        <v/>
      </c>
      <c r="BC1352" s="467" t="str">
        <f t="shared" si="786"/>
        <v/>
      </c>
      <c r="BD1352" s="567" t="str">
        <f t="shared" si="787"/>
        <v/>
      </c>
      <c r="BE1352" s="467" t="str">
        <f t="shared" si="788"/>
        <v/>
      </c>
      <c r="BF1352" s="469" t="str">
        <f t="shared" ca="1" si="789"/>
        <v/>
      </c>
      <c r="BG1352" s="469" t="str">
        <f t="shared" ca="1" si="790"/>
        <v/>
      </c>
      <c r="BH1352" s="467" t="str">
        <f t="shared" si="791"/>
        <v/>
      </c>
      <c r="BI1352" s="467" t="str">
        <f t="shared" ca="1" si="792"/>
        <v/>
      </c>
      <c r="BJ1352" s="469" t="str">
        <f t="shared" si="793"/>
        <v/>
      </c>
      <c r="BK1352" s="470" t="str">
        <f t="shared" si="777"/>
        <v/>
      </c>
      <c r="BL1352" s="775" t="str">
        <f t="shared" si="794"/>
        <v/>
      </c>
      <c r="BM1352" s="775" t="str">
        <f t="shared" si="795"/>
        <v/>
      </c>
    </row>
    <row r="1353" spans="1:65">
      <c r="A1353" s="473">
        <v>1297</v>
      </c>
      <c r="B1353" s="132"/>
      <c r="C1353" s="332"/>
      <c r="D1353" s="333"/>
      <c r="E1353" s="333"/>
      <c r="F1353" s="334"/>
      <c r="G1353" s="337"/>
      <c r="H1353" s="131"/>
      <c r="I1353" s="337"/>
      <c r="J1353" s="131"/>
      <c r="K1353" s="458" t="str">
        <f t="shared" si="758"/>
        <v/>
      </c>
      <c r="L1353" s="458">
        <f t="shared" si="759"/>
        <v>0</v>
      </c>
      <c r="M1353" s="458">
        <f t="shared" si="760"/>
        <v>0</v>
      </c>
      <c r="N1353" s="459" t="str">
        <f t="shared" si="771"/>
        <v/>
      </c>
      <c r="O1353" s="459" t="str">
        <f t="shared" si="772"/>
        <v/>
      </c>
      <c r="P1353" s="459" t="str">
        <f t="shared" si="773"/>
        <v/>
      </c>
      <c r="Q1353" s="459" t="str">
        <f t="shared" si="774"/>
        <v/>
      </c>
      <c r="R1353" s="459" t="str">
        <f t="shared" si="775"/>
        <v/>
      </c>
      <c r="S1353" s="459" t="str">
        <f t="shared" si="776"/>
        <v/>
      </c>
      <c r="T1353" s="566" t="str">
        <f t="shared" si="761"/>
        <v/>
      </c>
      <c r="U1353" s="702"/>
      <c r="V1353" s="132"/>
      <c r="W1353" s="133"/>
      <c r="X1353" s="134"/>
      <c r="Y1353" s="135"/>
      <c r="Z1353" s="137"/>
      <c r="AA1353" s="136"/>
      <c r="AB1353" s="566" t="str">
        <f t="shared" si="762"/>
        <v/>
      </c>
      <c r="AC1353" s="568" t="str">
        <f t="shared" si="763"/>
        <v/>
      </c>
      <c r="AD1353" s="137"/>
      <c r="AE1353" s="137"/>
      <c r="AF1353" s="138"/>
      <c r="AG1353" s="138"/>
      <c r="AH1353" s="592" t="str">
        <f t="shared" si="764"/>
        <v/>
      </c>
      <c r="AI1353" s="592" t="str">
        <f t="shared" si="765"/>
        <v/>
      </c>
      <c r="AJ1353" s="592" t="str">
        <f t="shared" si="766"/>
        <v/>
      </c>
      <c r="AK1353" s="460" t="str">
        <f>IF(AU1353="","",IF(OR(AZ1353=8,AZ1353=9),0,IF(OR(AW1353=3,AW1353=4,AW1353=5,AW1353=6),IF(LEFT(BF1353,1)="1",INDEX(係数_NOX・PM低減,MATCH(AY1353,【参考】排出係数!$AI$801:$AI$804,1),1),VLOOKUP(AU1353,INDEX((係数_バス貨物_ガソリン,係数_バス貨物_CNG,係数_バス貨物_軽油,係数_バス貨物_メタノール,係数_バス貨物_LPG),MATCH(AY1353,【参考】排出係数!$AI$4:$AI$671,1),1,BE1353):INDEX((係数_バス貨物_ガソリン,係数_バス貨物_CNG,係数_バス貨物_軽油,係数_バス貨物_メタノール,係数_バス貨物_LPG),MATCH(AY1353+1,【参考】排出係数!$AI$4:$AI$671,1)-1,5,BE1353),4,FALSE)),IF(AND(BE1353=3,LEFT(BF1353,1)="1"),0.48,VLOOKUP(AU1353,INDEX((係数_乗用_ガソリン,係数_乗用_CNG,係数_乗用_軽油,係数_乗用_メタノール,係数_乗用_LPG),1,1,BE1353):INDEX((係数_乗用_ガソリン,係数_乗用_CNG,係数_乗用_軽油,係数_乗用_メタノール,係数_乗用_LPG),125,5,BE1353),4,FALSE)))))</f>
        <v/>
      </c>
      <c r="AL1353" s="461" t="str">
        <f t="shared" si="767"/>
        <v/>
      </c>
      <c r="AM1353" s="460" t="str">
        <f>IF(AU1353="","",IF(OR(AZ1353=8,AZ1353=9),0,IF(OR(AW1353=3,AW1353=4,AW1353=5,AW1353=6),IF(LEFT(BH1353,1)="1",INDEX(係数_PM低減,MATCH(AY1353,【参考】排出係数!$AI$801:$AI$804,1),MATCH(BI1353,【参考】排出係数!$AL$798:$AO$798,1)),VLOOKUP(AU1353,INDEX((係数_バス貨物_ガソリン,係数_バス貨物_CNG,係数_バス貨物_軽油,係数_バス貨物_メタノール,係数_バス貨物_LPG),MATCH(AY1353,【参考】排出係数!$AI$4:$AI$671,1),1,BE1353):INDEX((係数_バス貨物_ガソリン,係数_バス貨物_CNG,係数_バス貨物_軽油,係数_バス貨物_メタノール,係数_バス貨物_LPG),MATCH(AY1353+1,【参考】排出係数!$AI$4:$AI$671,1)-1,5,BE1353),5,FALSE)),IF(AND(BE1353=3,LEFT(BF1353,1)="1"),0.055,VLOOKUP(AU1353,INDEX((係数_乗用_ガソリン,係数_乗用_CNG,係数_乗用_軽油,係数_乗用_メタノール,係数_乗用_LPG),1,1,BE1353):INDEX((係数_乗用_ガソリン,係数_乗用_CNG,係数_乗用_軽油,係数_乗用_メタノール,係数_乗用_LPG),125,5,BE1353),5,FALSE)))))</f>
        <v/>
      </c>
      <c r="AN1353" s="461" t="str">
        <f t="shared" si="768"/>
        <v/>
      </c>
      <c r="AO1353" s="462" t="str">
        <f t="shared" si="769"/>
        <v/>
      </c>
      <c r="AP1353" s="463" t="str">
        <f t="shared" si="770"/>
        <v/>
      </c>
      <c r="AQ1353" s="464"/>
      <c r="AR1353" s="619"/>
      <c r="AS1353" s="465" t="str">
        <f t="shared" si="778"/>
        <v/>
      </c>
      <c r="AT1353" s="465" t="str">
        <f t="shared" si="779"/>
        <v/>
      </c>
      <c r="AU1353" s="466" t="str">
        <f t="shared" si="780"/>
        <v/>
      </c>
      <c r="AV1353" s="467" t="str">
        <f t="shared" si="781"/>
        <v/>
      </c>
      <c r="AW1353" s="467" t="str">
        <f t="shared" si="782"/>
        <v/>
      </c>
      <c r="AX1353" s="467" t="str">
        <f t="shared" si="783"/>
        <v/>
      </c>
      <c r="AY1353" s="467" t="str">
        <f t="shared" si="784"/>
        <v/>
      </c>
      <c r="AZ1353" s="467" t="str">
        <f t="shared" si="785"/>
        <v/>
      </c>
      <c r="BA1353" s="468" t="str">
        <f>IF(AS1353="","",IF(OR(AU1353="",AU1353="-"),"－",IF(OR(AZ1353=8,AZ1353=9),"",IF(OR(AW1353=3,AW1353=4,AW1353=5,AW1353=6),VLOOKUP(AU1353,INDEX((係数_バス貨物_ガソリン,係数_バス貨物_CNG,係数_バス貨物_軽油,係数_バス貨物_メタノール,係数_バス貨物_LPG),MATCH(AY1353,【参考】排出係数!$AI$4:$AI$671,1),1,BE1353):INDEX((係数_バス貨物_ガソリン,係数_バス貨物_CNG,係数_バス貨物_軽油,係数_バス貨物_メタノール,係数_バス貨物_LPG),MATCH(AY1353+1,【参考】排出係数!$AI$4:$AI$671,1)-1,5,BE1353),2,FALSE),IF(OR(AW1353=1,AW1353=2),VLOOKUP(AU1353,INDEX((係数_乗用_ガソリン,係数_乗用_CNG,係数_乗用_軽油,係数_乗用_メタノール,係数_乗用_LPG),1,1,BE1353):INDEX((係数_乗用_ガソリン,係数_乗用_CNG,係数_乗用_軽油,係数_乗用_メタノール,係数_乗用_LPG),125,5,BE1353),2,FALSE))))))</f>
        <v/>
      </c>
      <c r="BB1353" s="468" t="str">
        <f>IF(T1353="","",IF(OR(AU1353="",AU1353="-"),"－",IF(OR(AZ1353=8,AZ1353=9),"",IF(OR(AW1353=3,AW1353=4,AW1353=5,AW1353=6),VLOOKUP(AU1353,INDEX((係数_バス貨物_ガソリン,係数_バス貨物_CNG,係数_バス貨物_軽油,係数_バス貨物_メタノール,係数_バス貨物_LPG),MATCH(AY1353,【参考】排出係数!$AI$4:$AI$671,1),1,BE1353):INDEX((係数_バス貨物_ガソリン,係数_バス貨物_CNG,係数_バス貨物_軽油,係数_バス貨物_メタノール,係数_バス貨物_LPG),MATCH(AY1353+1,【参考】排出係数!$AI$4:$AI$671,1)-1,5,BE1353),3,FALSE),IF(OR(AW1353=1,AW1353=2),VLOOKUP(AU1353,INDEX((係数_乗用_ガソリン,係数_乗用_CNG,係数_乗用_軽油,係数_乗用_メタノール,係数_乗用_LPG),1,1,BE1353):INDEX((係数_乗用_ガソリン,係数_乗用_CNG,係数_乗用_軽油,係数_乗用_メタノール,係数_乗用_LPG),125,5,BE1353),3,FALSE))))))</f>
        <v/>
      </c>
      <c r="BC1353" s="467" t="str">
        <f t="shared" si="786"/>
        <v/>
      </c>
      <c r="BD1353" s="567" t="str">
        <f t="shared" si="787"/>
        <v/>
      </c>
      <c r="BE1353" s="467" t="str">
        <f t="shared" si="788"/>
        <v/>
      </c>
      <c r="BF1353" s="469" t="str">
        <f t="shared" ca="1" si="789"/>
        <v/>
      </c>
      <c r="BG1353" s="469" t="str">
        <f t="shared" ca="1" si="790"/>
        <v/>
      </c>
      <c r="BH1353" s="467" t="str">
        <f t="shared" si="791"/>
        <v/>
      </c>
      <c r="BI1353" s="467" t="str">
        <f t="shared" ca="1" si="792"/>
        <v/>
      </c>
      <c r="BJ1353" s="469" t="str">
        <f t="shared" si="793"/>
        <v/>
      </c>
      <c r="BK1353" s="470" t="str">
        <f t="shared" si="777"/>
        <v/>
      </c>
      <c r="BL1353" s="775" t="str">
        <f t="shared" si="794"/>
        <v/>
      </c>
      <c r="BM1353" s="775" t="str">
        <f t="shared" si="795"/>
        <v/>
      </c>
    </row>
    <row r="1354" spans="1:65">
      <c r="A1354" s="473">
        <v>1298</v>
      </c>
      <c r="B1354" s="132"/>
      <c r="C1354" s="332"/>
      <c r="D1354" s="333"/>
      <c r="E1354" s="333"/>
      <c r="F1354" s="334"/>
      <c r="G1354" s="337"/>
      <c r="H1354" s="131"/>
      <c r="I1354" s="337"/>
      <c r="J1354" s="131"/>
      <c r="K1354" s="458" t="str">
        <f t="shared" si="758"/>
        <v/>
      </c>
      <c r="L1354" s="458">
        <f t="shared" si="759"/>
        <v>0</v>
      </c>
      <c r="M1354" s="458">
        <f t="shared" si="760"/>
        <v>0</v>
      </c>
      <c r="N1354" s="459" t="str">
        <f t="shared" si="771"/>
        <v/>
      </c>
      <c r="O1354" s="459" t="str">
        <f t="shared" si="772"/>
        <v/>
      </c>
      <c r="P1354" s="459" t="str">
        <f t="shared" si="773"/>
        <v/>
      </c>
      <c r="Q1354" s="459" t="str">
        <f t="shared" si="774"/>
        <v/>
      </c>
      <c r="R1354" s="459" t="str">
        <f t="shared" si="775"/>
        <v/>
      </c>
      <c r="S1354" s="459" t="str">
        <f t="shared" si="776"/>
        <v/>
      </c>
      <c r="T1354" s="566" t="str">
        <f t="shared" si="761"/>
        <v/>
      </c>
      <c r="U1354" s="702"/>
      <c r="V1354" s="132"/>
      <c r="W1354" s="133"/>
      <c r="X1354" s="134"/>
      <c r="Y1354" s="135"/>
      <c r="Z1354" s="137"/>
      <c r="AA1354" s="136"/>
      <c r="AB1354" s="566" t="str">
        <f t="shared" si="762"/>
        <v/>
      </c>
      <c r="AC1354" s="568" t="str">
        <f t="shared" si="763"/>
        <v/>
      </c>
      <c r="AD1354" s="137"/>
      <c r="AE1354" s="137"/>
      <c r="AF1354" s="138"/>
      <c r="AG1354" s="138"/>
      <c r="AH1354" s="592" t="str">
        <f t="shared" si="764"/>
        <v/>
      </c>
      <c r="AI1354" s="592" t="str">
        <f t="shared" si="765"/>
        <v/>
      </c>
      <c r="AJ1354" s="592" t="str">
        <f t="shared" si="766"/>
        <v/>
      </c>
      <c r="AK1354" s="460" t="str">
        <f>IF(AU1354="","",IF(OR(AZ1354=8,AZ1354=9),0,IF(OR(AW1354=3,AW1354=4,AW1354=5,AW1354=6),IF(LEFT(BF1354,1)="1",INDEX(係数_NOX・PM低減,MATCH(AY1354,【参考】排出係数!$AI$801:$AI$804,1),1),VLOOKUP(AU1354,INDEX((係数_バス貨物_ガソリン,係数_バス貨物_CNG,係数_バス貨物_軽油,係数_バス貨物_メタノール,係数_バス貨物_LPG),MATCH(AY1354,【参考】排出係数!$AI$4:$AI$671,1),1,BE1354):INDEX((係数_バス貨物_ガソリン,係数_バス貨物_CNG,係数_バス貨物_軽油,係数_バス貨物_メタノール,係数_バス貨物_LPG),MATCH(AY1354+1,【参考】排出係数!$AI$4:$AI$671,1)-1,5,BE1354),4,FALSE)),IF(AND(BE1354=3,LEFT(BF1354,1)="1"),0.48,VLOOKUP(AU1354,INDEX((係数_乗用_ガソリン,係数_乗用_CNG,係数_乗用_軽油,係数_乗用_メタノール,係数_乗用_LPG),1,1,BE1354):INDEX((係数_乗用_ガソリン,係数_乗用_CNG,係数_乗用_軽油,係数_乗用_メタノール,係数_乗用_LPG),125,5,BE1354),4,FALSE)))))</f>
        <v/>
      </c>
      <c r="AL1354" s="461" t="str">
        <f t="shared" si="767"/>
        <v/>
      </c>
      <c r="AM1354" s="460" t="str">
        <f>IF(AU1354="","",IF(OR(AZ1354=8,AZ1354=9),0,IF(OR(AW1354=3,AW1354=4,AW1354=5,AW1354=6),IF(LEFT(BH1354,1)="1",INDEX(係数_PM低減,MATCH(AY1354,【参考】排出係数!$AI$801:$AI$804,1),MATCH(BI1354,【参考】排出係数!$AL$798:$AO$798,1)),VLOOKUP(AU1354,INDEX((係数_バス貨物_ガソリン,係数_バス貨物_CNG,係数_バス貨物_軽油,係数_バス貨物_メタノール,係数_バス貨物_LPG),MATCH(AY1354,【参考】排出係数!$AI$4:$AI$671,1),1,BE1354):INDEX((係数_バス貨物_ガソリン,係数_バス貨物_CNG,係数_バス貨物_軽油,係数_バス貨物_メタノール,係数_バス貨物_LPG),MATCH(AY1354+1,【参考】排出係数!$AI$4:$AI$671,1)-1,5,BE1354),5,FALSE)),IF(AND(BE1354=3,LEFT(BF1354,1)="1"),0.055,VLOOKUP(AU1354,INDEX((係数_乗用_ガソリン,係数_乗用_CNG,係数_乗用_軽油,係数_乗用_メタノール,係数_乗用_LPG),1,1,BE1354):INDEX((係数_乗用_ガソリン,係数_乗用_CNG,係数_乗用_軽油,係数_乗用_メタノール,係数_乗用_LPG),125,5,BE1354),5,FALSE)))))</f>
        <v/>
      </c>
      <c r="AN1354" s="461" t="str">
        <f t="shared" si="768"/>
        <v/>
      </c>
      <c r="AO1354" s="462" t="str">
        <f t="shared" si="769"/>
        <v/>
      </c>
      <c r="AP1354" s="463" t="str">
        <f t="shared" si="770"/>
        <v/>
      </c>
      <c r="AQ1354" s="464"/>
      <c r="AR1354" s="619"/>
      <c r="AS1354" s="465" t="str">
        <f t="shared" si="778"/>
        <v/>
      </c>
      <c r="AT1354" s="465" t="str">
        <f t="shared" si="779"/>
        <v/>
      </c>
      <c r="AU1354" s="466" t="str">
        <f t="shared" si="780"/>
        <v/>
      </c>
      <c r="AV1354" s="467" t="str">
        <f t="shared" si="781"/>
        <v/>
      </c>
      <c r="AW1354" s="467" t="str">
        <f t="shared" si="782"/>
        <v/>
      </c>
      <c r="AX1354" s="467" t="str">
        <f t="shared" si="783"/>
        <v/>
      </c>
      <c r="AY1354" s="467" t="str">
        <f t="shared" si="784"/>
        <v/>
      </c>
      <c r="AZ1354" s="467" t="str">
        <f t="shared" si="785"/>
        <v/>
      </c>
      <c r="BA1354" s="468" t="str">
        <f>IF(AS1354="","",IF(OR(AU1354="",AU1354="-"),"－",IF(OR(AZ1354=8,AZ1354=9),"",IF(OR(AW1354=3,AW1354=4,AW1354=5,AW1354=6),VLOOKUP(AU1354,INDEX((係数_バス貨物_ガソリン,係数_バス貨物_CNG,係数_バス貨物_軽油,係数_バス貨物_メタノール,係数_バス貨物_LPG),MATCH(AY1354,【参考】排出係数!$AI$4:$AI$671,1),1,BE1354):INDEX((係数_バス貨物_ガソリン,係数_バス貨物_CNG,係数_バス貨物_軽油,係数_バス貨物_メタノール,係数_バス貨物_LPG),MATCH(AY1354+1,【参考】排出係数!$AI$4:$AI$671,1)-1,5,BE1354),2,FALSE),IF(OR(AW1354=1,AW1354=2),VLOOKUP(AU1354,INDEX((係数_乗用_ガソリン,係数_乗用_CNG,係数_乗用_軽油,係数_乗用_メタノール,係数_乗用_LPG),1,1,BE1354):INDEX((係数_乗用_ガソリン,係数_乗用_CNG,係数_乗用_軽油,係数_乗用_メタノール,係数_乗用_LPG),125,5,BE1354),2,FALSE))))))</f>
        <v/>
      </c>
      <c r="BB1354" s="468" t="str">
        <f>IF(T1354="","",IF(OR(AU1354="",AU1354="-"),"－",IF(OR(AZ1354=8,AZ1354=9),"",IF(OR(AW1354=3,AW1354=4,AW1354=5,AW1354=6),VLOOKUP(AU1354,INDEX((係数_バス貨物_ガソリン,係数_バス貨物_CNG,係数_バス貨物_軽油,係数_バス貨物_メタノール,係数_バス貨物_LPG),MATCH(AY1354,【参考】排出係数!$AI$4:$AI$671,1),1,BE1354):INDEX((係数_バス貨物_ガソリン,係数_バス貨物_CNG,係数_バス貨物_軽油,係数_バス貨物_メタノール,係数_バス貨物_LPG),MATCH(AY1354+1,【参考】排出係数!$AI$4:$AI$671,1)-1,5,BE1354),3,FALSE),IF(OR(AW1354=1,AW1354=2),VLOOKUP(AU1354,INDEX((係数_乗用_ガソリン,係数_乗用_CNG,係数_乗用_軽油,係数_乗用_メタノール,係数_乗用_LPG),1,1,BE1354):INDEX((係数_乗用_ガソリン,係数_乗用_CNG,係数_乗用_軽油,係数_乗用_メタノール,係数_乗用_LPG),125,5,BE1354),3,FALSE))))))</f>
        <v/>
      </c>
      <c r="BC1354" s="467" t="str">
        <f t="shared" si="786"/>
        <v/>
      </c>
      <c r="BD1354" s="567" t="str">
        <f t="shared" si="787"/>
        <v/>
      </c>
      <c r="BE1354" s="467" t="str">
        <f t="shared" si="788"/>
        <v/>
      </c>
      <c r="BF1354" s="469" t="str">
        <f t="shared" ca="1" si="789"/>
        <v/>
      </c>
      <c r="BG1354" s="469" t="str">
        <f t="shared" ca="1" si="790"/>
        <v/>
      </c>
      <c r="BH1354" s="467" t="str">
        <f t="shared" si="791"/>
        <v/>
      </c>
      <c r="BI1354" s="467" t="str">
        <f t="shared" ca="1" si="792"/>
        <v/>
      </c>
      <c r="BJ1354" s="469" t="str">
        <f t="shared" si="793"/>
        <v/>
      </c>
      <c r="BK1354" s="470" t="str">
        <f t="shared" si="777"/>
        <v/>
      </c>
      <c r="BL1354" s="775" t="str">
        <f t="shared" si="794"/>
        <v/>
      </c>
      <c r="BM1354" s="775" t="str">
        <f t="shared" si="795"/>
        <v/>
      </c>
    </row>
    <row r="1355" spans="1:65">
      <c r="A1355" s="473">
        <v>1299</v>
      </c>
      <c r="B1355" s="132"/>
      <c r="C1355" s="332"/>
      <c r="D1355" s="333"/>
      <c r="E1355" s="333"/>
      <c r="F1355" s="334"/>
      <c r="G1355" s="337"/>
      <c r="H1355" s="131"/>
      <c r="I1355" s="337"/>
      <c r="J1355" s="131"/>
      <c r="K1355" s="458" t="str">
        <f t="shared" si="758"/>
        <v/>
      </c>
      <c r="L1355" s="458">
        <f t="shared" si="759"/>
        <v>0</v>
      </c>
      <c r="M1355" s="458">
        <f t="shared" si="760"/>
        <v>0</v>
      </c>
      <c r="N1355" s="459" t="str">
        <f t="shared" si="771"/>
        <v/>
      </c>
      <c r="O1355" s="459" t="str">
        <f t="shared" si="772"/>
        <v/>
      </c>
      <c r="P1355" s="459" t="str">
        <f t="shared" si="773"/>
        <v/>
      </c>
      <c r="Q1355" s="459" t="str">
        <f t="shared" si="774"/>
        <v/>
      </c>
      <c r="R1355" s="459" t="str">
        <f t="shared" si="775"/>
        <v/>
      </c>
      <c r="S1355" s="459" t="str">
        <f t="shared" si="776"/>
        <v/>
      </c>
      <c r="T1355" s="566" t="str">
        <f t="shared" si="761"/>
        <v/>
      </c>
      <c r="U1355" s="702"/>
      <c r="V1355" s="132"/>
      <c r="W1355" s="133"/>
      <c r="X1355" s="134"/>
      <c r="Y1355" s="135"/>
      <c r="Z1355" s="137"/>
      <c r="AA1355" s="136"/>
      <c r="AB1355" s="566" t="str">
        <f t="shared" si="762"/>
        <v/>
      </c>
      <c r="AC1355" s="568" t="str">
        <f t="shared" si="763"/>
        <v/>
      </c>
      <c r="AD1355" s="137"/>
      <c r="AE1355" s="137"/>
      <c r="AF1355" s="138"/>
      <c r="AG1355" s="138"/>
      <c r="AH1355" s="592" t="str">
        <f t="shared" si="764"/>
        <v/>
      </c>
      <c r="AI1355" s="592" t="str">
        <f t="shared" si="765"/>
        <v/>
      </c>
      <c r="AJ1355" s="592" t="str">
        <f t="shared" si="766"/>
        <v/>
      </c>
      <c r="AK1355" s="460" t="str">
        <f>IF(AU1355="","",IF(OR(AZ1355=8,AZ1355=9),0,IF(OR(AW1355=3,AW1355=4,AW1355=5,AW1355=6),IF(LEFT(BF1355,1)="1",INDEX(係数_NOX・PM低減,MATCH(AY1355,【参考】排出係数!$AI$801:$AI$804,1),1),VLOOKUP(AU1355,INDEX((係数_バス貨物_ガソリン,係数_バス貨物_CNG,係数_バス貨物_軽油,係数_バス貨物_メタノール,係数_バス貨物_LPG),MATCH(AY1355,【参考】排出係数!$AI$4:$AI$671,1),1,BE1355):INDEX((係数_バス貨物_ガソリン,係数_バス貨物_CNG,係数_バス貨物_軽油,係数_バス貨物_メタノール,係数_バス貨物_LPG),MATCH(AY1355+1,【参考】排出係数!$AI$4:$AI$671,1)-1,5,BE1355),4,FALSE)),IF(AND(BE1355=3,LEFT(BF1355,1)="1"),0.48,VLOOKUP(AU1355,INDEX((係数_乗用_ガソリン,係数_乗用_CNG,係数_乗用_軽油,係数_乗用_メタノール,係数_乗用_LPG),1,1,BE1355):INDEX((係数_乗用_ガソリン,係数_乗用_CNG,係数_乗用_軽油,係数_乗用_メタノール,係数_乗用_LPG),125,5,BE1355),4,FALSE)))))</f>
        <v/>
      </c>
      <c r="AL1355" s="461" t="str">
        <f t="shared" si="767"/>
        <v/>
      </c>
      <c r="AM1355" s="460" t="str">
        <f>IF(AU1355="","",IF(OR(AZ1355=8,AZ1355=9),0,IF(OR(AW1355=3,AW1355=4,AW1355=5,AW1355=6),IF(LEFT(BH1355,1)="1",INDEX(係数_PM低減,MATCH(AY1355,【参考】排出係数!$AI$801:$AI$804,1),MATCH(BI1355,【参考】排出係数!$AL$798:$AO$798,1)),VLOOKUP(AU1355,INDEX((係数_バス貨物_ガソリン,係数_バス貨物_CNG,係数_バス貨物_軽油,係数_バス貨物_メタノール,係数_バス貨物_LPG),MATCH(AY1355,【参考】排出係数!$AI$4:$AI$671,1),1,BE1355):INDEX((係数_バス貨物_ガソリン,係数_バス貨物_CNG,係数_バス貨物_軽油,係数_バス貨物_メタノール,係数_バス貨物_LPG),MATCH(AY1355+1,【参考】排出係数!$AI$4:$AI$671,1)-1,5,BE1355),5,FALSE)),IF(AND(BE1355=3,LEFT(BF1355,1)="1"),0.055,VLOOKUP(AU1355,INDEX((係数_乗用_ガソリン,係数_乗用_CNG,係数_乗用_軽油,係数_乗用_メタノール,係数_乗用_LPG),1,1,BE1355):INDEX((係数_乗用_ガソリン,係数_乗用_CNG,係数_乗用_軽油,係数_乗用_メタノール,係数_乗用_LPG),125,5,BE1355),5,FALSE)))))</f>
        <v/>
      </c>
      <c r="AN1355" s="461" t="str">
        <f t="shared" si="768"/>
        <v/>
      </c>
      <c r="AO1355" s="462" t="str">
        <f t="shared" si="769"/>
        <v/>
      </c>
      <c r="AP1355" s="463" t="str">
        <f t="shared" si="770"/>
        <v/>
      </c>
      <c r="AQ1355" s="464"/>
      <c r="AR1355" s="619"/>
      <c r="AS1355" s="465" t="str">
        <f t="shared" si="778"/>
        <v/>
      </c>
      <c r="AT1355" s="465" t="str">
        <f t="shared" si="779"/>
        <v/>
      </c>
      <c r="AU1355" s="466" t="str">
        <f t="shared" si="780"/>
        <v/>
      </c>
      <c r="AV1355" s="467" t="str">
        <f t="shared" si="781"/>
        <v/>
      </c>
      <c r="AW1355" s="467" t="str">
        <f t="shared" si="782"/>
        <v/>
      </c>
      <c r="AX1355" s="467" t="str">
        <f t="shared" si="783"/>
        <v/>
      </c>
      <c r="AY1355" s="467" t="str">
        <f t="shared" si="784"/>
        <v/>
      </c>
      <c r="AZ1355" s="467" t="str">
        <f t="shared" si="785"/>
        <v/>
      </c>
      <c r="BA1355" s="468" t="str">
        <f>IF(AS1355="","",IF(OR(AU1355="",AU1355="-"),"－",IF(OR(AZ1355=8,AZ1355=9),"",IF(OR(AW1355=3,AW1355=4,AW1355=5,AW1355=6),VLOOKUP(AU1355,INDEX((係数_バス貨物_ガソリン,係数_バス貨物_CNG,係数_バス貨物_軽油,係数_バス貨物_メタノール,係数_バス貨物_LPG),MATCH(AY1355,【参考】排出係数!$AI$4:$AI$671,1),1,BE1355):INDEX((係数_バス貨物_ガソリン,係数_バス貨物_CNG,係数_バス貨物_軽油,係数_バス貨物_メタノール,係数_バス貨物_LPG),MATCH(AY1355+1,【参考】排出係数!$AI$4:$AI$671,1)-1,5,BE1355),2,FALSE),IF(OR(AW1355=1,AW1355=2),VLOOKUP(AU1355,INDEX((係数_乗用_ガソリン,係数_乗用_CNG,係数_乗用_軽油,係数_乗用_メタノール,係数_乗用_LPG),1,1,BE1355):INDEX((係数_乗用_ガソリン,係数_乗用_CNG,係数_乗用_軽油,係数_乗用_メタノール,係数_乗用_LPG),125,5,BE1355),2,FALSE))))))</f>
        <v/>
      </c>
      <c r="BB1355" s="468" t="str">
        <f>IF(T1355="","",IF(OR(AU1355="",AU1355="-"),"－",IF(OR(AZ1355=8,AZ1355=9),"",IF(OR(AW1355=3,AW1355=4,AW1355=5,AW1355=6),VLOOKUP(AU1355,INDEX((係数_バス貨物_ガソリン,係数_バス貨物_CNG,係数_バス貨物_軽油,係数_バス貨物_メタノール,係数_バス貨物_LPG),MATCH(AY1355,【参考】排出係数!$AI$4:$AI$671,1),1,BE1355):INDEX((係数_バス貨物_ガソリン,係数_バス貨物_CNG,係数_バス貨物_軽油,係数_バス貨物_メタノール,係数_バス貨物_LPG),MATCH(AY1355+1,【参考】排出係数!$AI$4:$AI$671,1)-1,5,BE1355),3,FALSE),IF(OR(AW1355=1,AW1355=2),VLOOKUP(AU1355,INDEX((係数_乗用_ガソリン,係数_乗用_CNG,係数_乗用_軽油,係数_乗用_メタノール,係数_乗用_LPG),1,1,BE1355):INDEX((係数_乗用_ガソリン,係数_乗用_CNG,係数_乗用_軽油,係数_乗用_メタノール,係数_乗用_LPG),125,5,BE1355),3,FALSE))))))</f>
        <v/>
      </c>
      <c r="BC1355" s="467" t="str">
        <f t="shared" si="786"/>
        <v/>
      </c>
      <c r="BD1355" s="567" t="str">
        <f t="shared" si="787"/>
        <v/>
      </c>
      <c r="BE1355" s="467" t="str">
        <f t="shared" si="788"/>
        <v/>
      </c>
      <c r="BF1355" s="469" t="str">
        <f t="shared" ca="1" si="789"/>
        <v/>
      </c>
      <c r="BG1355" s="469" t="str">
        <f t="shared" ca="1" si="790"/>
        <v/>
      </c>
      <c r="BH1355" s="467" t="str">
        <f t="shared" si="791"/>
        <v/>
      </c>
      <c r="BI1355" s="467" t="str">
        <f t="shared" ca="1" si="792"/>
        <v/>
      </c>
      <c r="BJ1355" s="469" t="str">
        <f t="shared" si="793"/>
        <v/>
      </c>
      <c r="BK1355" s="470" t="str">
        <f t="shared" si="777"/>
        <v/>
      </c>
      <c r="BL1355" s="775" t="str">
        <f t="shared" si="794"/>
        <v/>
      </c>
      <c r="BM1355" s="775" t="str">
        <f t="shared" si="795"/>
        <v/>
      </c>
    </row>
    <row r="1356" spans="1:65">
      <c r="A1356" s="473">
        <v>1300</v>
      </c>
      <c r="B1356" s="132"/>
      <c r="C1356" s="332"/>
      <c r="D1356" s="333"/>
      <c r="E1356" s="333"/>
      <c r="F1356" s="334"/>
      <c r="G1356" s="337"/>
      <c r="H1356" s="131"/>
      <c r="I1356" s="337"/>
      <c r="J1356" s="131"/>
      <c r="K1356" s="458" t="str">
        <f t="shared" si="758"/>
        <v/>
      </c>
      <c r="L1356" s="458">
        <f t="shared" si="759"/>
        <v>0</v>
      </c>
      <c r="M1356" s="458">
        <f t="shared" si="760"/>
        <v>0</v>
      </c>
      <c r="N1356" s="459" t="str">
        <f t="shared" si="771"/>
        <v/>
      </c>
      <c r="O1356" s="459" t="str">
        <f t="shared" si="772"/>
        <v/>
      </c>
      <c r="P1356" s="459" t="str">
        <f t="shared" si="773"/>
        <v/>
      </c>
      <c r="Q1356" s="459" t="str">
        <f t="shared" si="774"/>
        <v/>
      </c>
      <c r="R1356" s="459" t="str">
        <f t="shared" si="775"/>
        <v/>
      </c>
      <c r="S1356" s="459" t="str">
        <f t="shared" si="776"/>
        <v/>
      </c>
      <c r="T1356" s="566" t="str">
        <f t="shared" si="761"/>
        <v/>
      </c>
      <c r="U1356" s="702"/>
      <c r="V1356" s="132"/>
      <c r="W1356" s="133"/>
      <c r="X1356" s="134"/>
      <c r="Y1356" s="135"/>
      <c r="Z1356" s="137"/>
      <c r="AA1356" s="136"/>
      <c r="AB1356" s="566" t="str">
        <f t="shared" si="762"/>
        <v/>
      </c>
      <c r="AC1356" s="568" t="str">
        <f t="shared" si="763"/>
        <v/>
      </c>
      <c r="AD1356" s="137"/>
      <c r="AE1356" s="137"/>
      <c r="AF1356" s="138"/>
      <c r="AG1356" s="138"/>
      <c r="AH1356" s="592" t="str">
        <f t="shared" si="764"/>
        <v/>
      </c>
      <c r="AI1356" s="592" t="str">
        <f t="shared" si="765"/>
        <v/>
      </c>
      <c r="AJ1356" s="592" t="str">
        <f t="shared" si="766"/>
        <v/>
      </c>
      <c r="AK1356" s="460" t="str">
        <f>IF(AU1356="","",IF(OR(AZ1356=8,AZ1356=9),0,IF(OR(AW1356=3,AW1356=4,AW1356=5,AW1356=6),IF(LEFT(BF1356,1)="1",INDEX(係数_NOX・PM低減,MATCH(AY1356,【参考】排出係数!$AI$801:$AI$804,1),1),VLOOKUP(AU1356,INDEX((係数_バス貨物_ガソリン,係数_バス貨物_CNG,係数_バス貨物_軽油,係数_バス貨物_メタノール,係数_バス貨物_LPG),MATCH(AY1356,【参考】排出係数!$AI$4:$AI$671,1),1,BE1356):INDEX((係数_バス貨物_ガソリン,係数_バス貨物_CNG,係数_バス貨物_軽油,係数_バス貨物_メタノール,係数_バス貨物_LPG),MATCH(AY1356+1,【参考】排出係数!$AI$4:$AI$671,1)-1,5,BE1356),4,FALSE)),IF(AND(BE1356=3,LEFT(BF1356,1)="1"),0.48,VLOOKUP(AU1356,INDEX((係数_乗用_ガソリン,係数_乗用_CNG,係数_乗用_軽油,係数_乗用_メタノール,係数_乗用_LPG),1,1,BE1356):INDEX((係数_乗用_ガソリン,係数_乗用_CNG,係数_乗用_軽油,係数_乗用_メタノール,係数_乗用_LPG),125,5,BE1356),4,FALSE)))))</f>
        <v/>
      </c>
      <c r="AL1356" s="461" t="str">
        <f t="shared" si="767"/>
        <v/>
      </c>
      <c r="AM1356" s="460" t="str">
        <f>IF(AU1356="","",IF(OR(AZ1356=8,AZ1356=9),0,IF(OR(AW1356=3,AW1356=4,AW1356=5,AW1356=6),IF(LEFT(BH1356,1)="1",INDEX(係数_PM低減,MATCH(AY1356,【参考】排出係数!$AI$801:$AI$804,1),MATCH(BI1356,【参考】排出係数!$AL$798:$AO$798,1)),VLOOKUP(AU1356,INDEX((係数_バス貨物_ガソリン,係数_バス貨物_CNG,係数_バス貨物_軽油,係数_バス貨物_メタノール,係数_バス貨物_LPG),MATCH(AY1356,【参考】排出係数!$AI$4:$AI$671,1),1,BE1356):INDEX((係数_バス貨物_ガソリン,係数_バス貨物_CNG,係数_バス貨物_軽油,係数_バス貨物_メタノール,係数_バス貨物_LPG),MATCH(AY1356+1,【参考】排出係数!$AI$4:$AI$671,1)-1,5,BE1356),5,FALSE)),IF(AND(BE1356=3,LEFT(BF1356,1)="1"),0.055,VLOOKUP(AU1356,INDEX((係数_乗用_ガソリン,係数_乗用_CNG,係数_乗用_軽油,係数_乗用_メタノール,係数_乗用_LPG),1,1,BE1356):INDEX((係数_乗用_ガソリン,係数_乗用_CNG,係数_乗用_軽油,係数_乗用_メタノール,係数_乗用_LPG),125,5,BE1356),5,FALSE)))))</f>
        <v/>
      </c>
      <c r="AN1356" s="461" t="str">
        <f t="shared" si="768"/>
        <v/>
      </c>
      <c r="AO1356" s="462" t="str">
        <f t="shared" si="769"/>
        <v/>
      </c>
      <c r="AP1356" s="463" t="str">
        <f t="shared" si="770"/>
        <v/>
      </c>
      <c r="AQ1356" s="464"/>
      <c r="AR1356" s="619"/>
      <c r="AS1356" s="465" t="str">
        <f t="shared" si="778"/>
        <v/>
      </c>
      <c r="AT1356" s="465" t="str">
        <f t="shared" si="779"/>
        <v/>
      </c>
      <c r="AU1356" s="466" t="str">
        <f t="shared" si="780"/>
        <v/>
      </c>
      <c r="AV1356" s="467" t="str">
        <f t="shared" si="781"/>
        <v/>
      </c>
      <c r="AW1356" s="467" t="str">
        <f t="shared" si="782"/>
        <v/>
      </c>
      <c r="AX1356" s="467" t="str">
        <f t="shared" si="783"/>
        <v/>
      </c>
      <c r="AY1356" s="467" t="str">
        <f t="shared" si="784"/>
        <v/>
      </c>
      <c r="AZ1356" s="467" t="str">
        <f t="shared" si="785"/>
        <v/>
      </c>
      <c r="BA1356" s="468" t="str">
        <f>IF(AS1356="","",IF(OR(AU1356="",AU1356="-"),"－",IF(OR(AZ1356=8,AZ1356=9),"",IF(OR(AW1356=3,AW1356=4,AW1356=5,AW1356=6),VLOOKUP(AU1356,INDEX((係数_バス貨物_ガソリン,係数_バス貨物_CNG,係数_バス貨物_軽油,係数_バス貨物_メタノール,係数_バス貨物_LPG),MATCH(AY1356,【参考】排出係数!$AI$4:$AI$671,1),1,BE1356):INDEX((係数_バス貨物_ガソリン,係数_バス貨物_CNG,係数_バス貨物_軽油,係数_バス貨物_メタノール,係数_バス貨物_LPG),MATCH(AY1356+1,【参考】排出係数!$AI$4:$AI$671,1)-1,5,BE1356),2,FALSE),IF(OR(AW1356=1,AW1356=2),VLOOKUP(AU1356,INDEX((係数_乗用_ガソリン,係数_乗用_CNG,係数_乗用_軽油,係数_乗用_メタノール,係数_乗用_LPG),1,1,BE1356):INDEX((係数_乗用_ガソリン,係数_乗用_CNG,係数_乗用_軽油,係数_乗用_メタノール,係数_乗用_LPG),125,5,BE1356),2,FALSE))))))</f>
        <v/>
      </c>
      <c r="BB1356" s="468" t="str">
        <f>IF(T1356="","",IF(OR(AU1356="",AU1356="-"),"－",IF(OR(AZ1356=8,AZ1356=9),"",IF(OR(AW1356=3,AW1356=4,AW1356=5,AW1356=6),VLOOKUP(AU1356,INDEX((係数_バス貨物_ガソリン,係数_バス貨物_CNG,係数_バス貨物_軽油,係数_バス貨物_メタノール,係数_バス貨物_LPG),MATCH(AY1356,【参考】排出係数!$AI$4:$AI$671,1),1,BE1356):INDEX((係数_バス貨物_ガソリン,係数_バス貨物_CNG,係数_バス貨物_軽油,係数_バス貨物_メタノール,係数_バス貨物_LPG),MATCH(AY1356+1,【参考】排出係数!$AI$4:$AI$671,1)-1,5,BE1356),3,FALSE),IF(OR(AW1356=1,AW1356=2),VLOOKUP(AU1356,INDEX((係数_乗用_ガソリン,係数_乗用_CNG,係数_乗用_軽油,係数_乗用_メタノール,係数_乗用_LPG),1,1,BE1356):INDEX((係数_乗用_ガソリン,係数_乗用_CNG,係数_乗用_軽油,係数_乗用_メタノール,係数_乗用_LPG),125,5,BE1356),3,FALSE))))))</f>
        <v/>
      </c>
      <c r="BC1356" s="467" t="str">
        <f t="shared" si="786"/>
        <v/>
      </c>
      <c r="BD1356" s="567" t="str">
        <f t="shared" si="787"/>
        <v/>
      </c>
      <c r="BE1356" s="467" t="str">
        <f t="shared" si="788"/>
        <v/>
      </c>
      <c r="BF1356" s="469" t="str">
        <f t="shared" ca="1" si="789"/>
        <v/>
      </c>
      <c r="BG1356" s="469" t="str">
        <f t="shared" ca="1" si="790"/>
        <v/>
      </c>
      <c r="BH1356" s="467" t="str">
        <f t="shared" si="791"/>
        <v/>
      </c>
      <c r="BI1356" s="467" t="str">
        <f t="shared" ca="1" si="792"/>
        <v/>
      </c>
      <c r="BJ1356" s="469" t="str">
        <f t="shared" si="793"/>
        <v/>
      </c>
      <c r="BK1356" s="470" t="str">
        <f t="shared" si="777"/>
        <v/>
      </c>
      <c r="BL1356" s="775" t="str">
        <f t="shared" si="794"/>
        <v/>
      </c>
      <c r="BM1356" s="775" t="str">
        <f t="shared" si="795"/>
        <v/>
      </c>
    </row>
    <row r="1357" spans="1:65">
      <c r="A1357" s="473">
        <v>1301</v>
      </c>
      <c r="B1357" s="132"/>
      <c r="C1357" s="332"/>
      <c r="D1357" s="333"/>
      <c r="E1357" s="333"/>
      <c r="F1357" s="334"/>
      <c r="G1357" s="337"/>
      <c r="H1357" s="131"/>
      <c r="I1357" s="337"/>
      <c r="J1357" s="131"/>
      <c r="K1357" s="458" t="str">
        <f t="shared" si="758"/>
        <v/>
      </c>
      <c r="L1357" s="458">
        <f t="shared" si="759"/>
        <v>0</v>
      </c>
      <c r="M1357" s="458">
        <f t="shared" si="760"/>
        <v>0</v>
      </c>
      <c r="N1357" s="459" t="str">
        <f t="shared" si="771"/>
        <v/>
      </c>
      <c r="O1357" s="459" t="str">
        <f t="shared" si="772"/>
        <v/>
      </c>
      <c r="P1357" s="459" t="str">
        <f t="shared" si="773"/>
        <v/>
      </c>
      <c r="Q1357" s="459" t="str">
        <f t="shared" si="774"/>
        <v/>
      </c>
      <c r="R1357" s="459" t="str">
        <f t="shared" si="775"/>
        <v/>
      </c>
      <c r="S1357" s="459" t="str">
        <f t="shared" si="776"/>
        <v/>
      </c>
      <c r="T1357" s="566" t="str">
        <f t="shared" si="761"/>
        <v/>
      </c>
      <c r="U1357" s="702"/>
      <c r="V1357" s="132"/>
      <c r="W1357" s="133"/>
      <c r="X1357" s="134"/>
      <c r="Y1357" s="135"/>
      <c r="Z1357" s="137"/>
      <c r="AA1357" s="136"/>
      <c r="AB1357" s="566" t="str">
        <f t="shared" si="762"/>
        <v/>
      </c>
      <c r="AC1357" s="568" t="str">
        <f t="shared" si="763"/>
        <v/>
      </c>
      <c r="AD1357" s="137"/>
      <c r="AE1357" s="137"/>
      <c r="AF1357" s="138"/>
      <c r="AG1357" s="138"/>
      <c r="AH1357" s="592" t="str">
        <f t="shared" si="764"/>
        <v/>
      </c>
      <c r="AI1357" s="592" t="str">
        <f t="shared" si="765"/>
        <v/>
      </c>
      <c r="AJ1357" s="592" t="str">
        <f t="shared" si="766"/>
        <v/>
      </c>
      <c r="AK1357" s="460" t="str">
        <f>IF(AU1357="","",IF(OR(AZ1357=8,AZ1357=9),0,IF(OR(AW1357=3,AW1357=4,AW1357=5,AW1357=6),IF(LEFT(BF1357,1)="1",INDEX(係数_NOX・PM低減,MATCH(AY1357,【参考】排出係数!$AI$801:$AI$804,1),1),VLOOKUP(AU1357,INDEX((係数_バス貨物_ガソリン,係数_バス貨物_CNG,係数_バス貨物_軽油,係数_バス貨物_メタノール,係数_バス貨物_LPG),MATCH(AY1357,【参考】排出係数!$AI$4:$AI$671,1),1,BE1357):INDEX((係数_バス貨物_ガソリン,係数_バス貨物_CNG,係数_バス貨物_軽油,係数_バス貨物_メタノール,係数_バス貨物_LPG),MATCH(AY1357+1,【参考】排出係数!$AI$4:$AI$671,1)-1,5,BE1357),4,FALSE)),IF(AND(BE1357=3,LEFT(BF1357,1)="1"),0.48,VLOOKUP(AU1357,INDEX((係数_乗用_ガソリン,係数_乗用_CNG,係数_乗用_軽油,係数_乗用_メタノール,係数_乗用_LPG),1,1,BE1357):INDEX((係数_乗用_ガソリン,係数_乗用_CNG,係数_乗用_軽油,係数_乗用_メタノール,係数_乗用_LPG),125,5,BE1357),4,FALSE)))))</f>
        <v/>
      </c>
      <c r="AL1357" s="461" t="str">
        <f t="shared" si="767"/>
        <v/>
      </c>
      <c r="AM1357" s="460" t="str">
        <f>IF(AU1357="","",IF(OR(AZ1357=8,AZ1357=9),0,IF(OR(AW1357=3,AW1357=4,AW1357=5,AW1357=6),IF(LEFT(BH1357,1)="1",INDEX(係数_PM低減,MATCH(AY1357,【参考】排出係数!$AI$801:$AI$804,1),MATCH(BI1357,【参考】排出係数!$AL$798:$AO$798,1)),VLOOKUP(AU1357,INDEX((係数_バス貨物_ガソリン,係数_バス貨物_CNG,係数_バス貨物_軽油,係数_バス貨物_メタノール,係数_バス貨物_LPG),MATCH(AY1357,【参考】排出係数!$AI$4:$AI$671,1),1,BE1357):INDEX((係数_バス貨物_ガソリン,係数_バス貨物_CNG,係数_バス貨物_軽油,係数_バス貨物_メタノール,係数_バス貨物_LPG),MATCH(AY1357+1,【参考】排出係数!$AI$4:$AI$671,1)-1,5,BE1357),5,FALSE)),IF(AND(BE1357=3,LEFT(BF1357,1)="1"),0.055,VLOOKUP(AU1357,INDEX((係数_乗用_ガソリン,係数_乗用_CNG,係数_乗用_軽油,係数_乗用_メタノール,係数_乗用_LPG),1,1,BE1357):INDEX((係数_乗用_ガソリン,係数_乗用_CNG,係数_乗用_軽油,係数_乗用_メタノール,係数_乗用_LPG),125,5,BE1357),5,FALSE)))))</f>
        <v/>
      </c>
      <c r="AN1357" s="461" t="str">
        <f t="shared" si="768"/>
        <v/>
      </c>
      <c r="AO1357" s="462" t="str">
        <f t="shared" si="769"/>
        <v/>
      </c>
      <c r="AP1357" s="463" t="str">
        <f t="shared" si="770"/>
        <v/>
      </c>
      <c r="AQ1357" s="464"/>
      <c r="AR1357" s="619"/>
      <c r="AS1357" s="465" t="str">
        <f t="shared" si="778"/>
        <v/>
      </c>
      <c r="AT1357" s="465" t="str">
        <f t="shared" si="779"/>
        <v/>
      </c>
      <c r="AU1357" s="466" t="str">
        <f t="shared" si="780"/>
        <v/>
      </c>
      <c r="AV1357" s="467" t="str">
        <f t="shared" si="781"/>
        <v/>
      </c>
      <c r="AW1357" s="467" t="str">
        <f t="shared" si="782"/>
        <v/>
      </c>
      <c r="AX1357" s="467" t="str">
        <f t="shared" si="783"/>
        <v/>
      </c>
      <c r="AY1357" s="467" t="str">
        <f t="shared" si="784"/>
        <v/>
      </c>
      <c r="AZ1357" s="467" t="str">
        <f t="shared" si="785"/>
        <v/>
      </c>
      <c r="BA1357" s="468" t="str">
        <f>IF(AS1357="","",IF(OR(AU1357="",AU1357="-"),"－",IF(OR(AZ1357=8,AZ1357=9),"",IF(OR(AW1357=3,AW1357=4,AW1357=5,AW1357=6),VLOOKUP(AU1357,INDEX((係数_バス貨物_ガソリン,係数_バス貨物_CNG,係数_バス貨物_軽油,係数_バス貨物_メタノール,係数_バス貨物_LPG),MATCH(AY1357,【参考】排出係数!$AI$4:$AI$671,1),1,BE1357):INDEX((係数_バス貨物_ガソリン,係数_バス貨物_CNG,係数_バス貨物_軽油,係数_バス貨物_メタノール,係数_バス貨物_LPG),MATCH(AY1357+1,【参考】排出係数!$AI$4:$AI$671,1)-1,5,BE1357),2,FALSE),IF(OR(AW1357=1,AW1357=2),VLOOKUP(AU1357,INDEX((係数_乗用_ガソリン,係数_乗用_CNG,係数_乗用_軽油,係数_乗用_メタノール,係数_乗用_LPG),1,1,BE1357):INDEX((係数_乗用_ガソリン,係数_乗用_CNG,係数_乗用_軽油,係数_乗用_メタノール,係数_乗用_LPG),125,5,BE1357),2,FALSE))))))</f>
        <v/>
      </c>
      <c r="BB1357" s="468" t="str">
        <f>IF(T1357="","",IF(OR(AU1357="",AU1357="-"),"－",IF(OR(AZ1357=8,AZ1357=9),"",IF(OR(AW1357=3,AW1357=4,AW1357=5,AW1357=6),VLOOKUP(AU1357,INDEX((係数_バス貨物_ガソリン,係数_バス貨物_CNG,係数_バス貨物_軽油,係数_バス貨物_メタノール,係数_バス貨物_LPG),MATCH(AY1357,【参考】排出係数!$AI$4:$AI$671,1),1,BE1357):INDEX((係数_バス貨物_ガソリン,係数_バス貨物_CNG,係数_バス貨物_軽油,係数_バス貨物_メタノール,係数_バス貨物_LPG),MATCH(AY1357+1,【参考】排出係数!$AI$4:$AI$671,1)-1,5,BE1357),3,FALSE),IF(OR(AW1357=1,AW1357=2),VLOOKUP(AU1357,INDEX((係数_乗用_ガソリン,係数_乗用_CNG,係数_乗用_軽油,係数_乗用_メタノール,係数_乗用_LPG),1,1,BE1357):INDEX((係数_乗用_ガソリン,係数_乗用_CNG,係数_乗用_軽油,係数_乗用_メタノール,係数_乗用_LPG),125,5,BE1357),3,FALSE))))))</f>
        <v/>
      </c>
      <c r="BC1357" s="467" t="str">
        <f t="shared" si="786"/>
        <v/>
      </c>
      <c r="BD1357" s="567" t="str">
        <f t="shared" si="787"/>
        <v/>
      </c>
      <c r="BE1357" s="467" t="str">
        <f t="shared" si="788"/>
        <v/>
      </c>
      <c r="BF1357" s="469" t="str">
        <f t="shared" ca="1" si="789"/>
        <v/>
      </c>
      <c r="BG1357" s="469" t="str">
        <f t="shared" ca="1" si="790"/>
        <v/>
      </c>
      <c r="BH1357" s="467" t="str">
        <f t="shared" si="791"/>
        <v/>
      </c>
      <c r="BI1357" s="467" t="str">
        <f t="shared" ca="1" si="792"/>
        <v/>
      </c>
      <c r="BJ1357" s="469" t="str">
        <f t="shared" si="793"/>
        <v/>
      </c>
      <c r="BK1357" s="470" t="str">
        <f t="shared" si="777"/>
        <v/>
      </c>
      <c r="BL1357" s="775" t="str">
        <f t="shared" si="794"/>
        <v/>
      </c>
      <c r="BM1357" s="775" t="str">
        <f t="shared" si="795"/>
        <v/>
      </c>
    </row>
    <row r="1358" spans="1:65">
      <c r="A1358" s="473">
        <v>1302</v>
      </c>
      <c r="B1358" s="132"/>
      <c r="C1358" s="332"/>
      <c r="D1358" s="333"/>
      <c r="E1358" s="333"/>
      <c r="F1358" s="334"/>
      <c r="G1358" s="337"/>
      <c r="H1358" s="131"/>
      <c r="I1358" s="337"/>
      <c r="J1358" s="131"/>
      <c r="K1358" s="458" t="str">
        <f t="shared" si="758"/>
        <v/>
      </c>
      <c r="L1358" s="458">
        <f t="shared" si="759"/>
        <v>0</v>
      </c>
      <c r="M1358" s="458">
        <f t="shared" si="760"/>
        <v>0</v>
      </c>
      <c r="N1358" s="459" t="str">
        <f t="shared" si="771"/>
        <v/>
      </c>
      <c r="O1358" s="459" t="str">
        <f t="shared" si="772"/>
        <v/>
      </c>
      <c r="P1358" s="459" t="str">
        <f t="shared" si="773"/>
        <v/>
      </c>
      <c r="Q1358" s="459" t="str">
        <f t="shared" si="774"/>
        <v/>
      </c>
      <c r="R1358" s="459" t="str">
        <f t="shared" si="775"/>
        <v/>
      </c>
      <c r="S1358" s="459" t="str">
        <f t="shared" si="776"/>
        <v/>
      </c>
      <c r="T1358" s="566" t="str">
        <f t="shared" si="761"/>
        <v/>
      </c>
      <c r="U1358" s="702"/>
      <c r="V1358" s="132"/>
      <c r="W1358" s="133"/>
      <c r="X1358" s="134"/>
      <c r="Y1358" s="135"/>
      <c r="Z1358" s="137"/>
      <c r="AA1358" s="136"/>
      <c r="AB1358" s="566" t="str">
        <f t="shared" si="762"/>
        <v/>
      </c>
      <c r="AC1358" s="568" t="str">
        <f t="shared" si="763"/>
        <v/>
      </c>
      <c r="AD1358" s="137"/>
      <c r="AE1358" s="137"/>
      <c r="AF1358" s="138"/>
      <c r="AG1358" s="138"/>
      <c r="AH1358" s="592" t="str">
        <f t="shared" si="764"/>
        <v/>
      </c>
      <c r="AI1358" s="592" t="str">
        <f t="shared" si="765"/>
        <v/>
      </c>
      <c r="AJ1358" s="592" t="str">
        <f t="shared" si="766"/>
        <v/>
      </c>
      <c r="AK1358" s="460" t="str">
        <f>IF(AU1358="","",IF(OR(AZ1358=8,AZ1358=9),0,IF(OR(AW1358=3,AW1358=4,AW1358=5,AW1358=6),IF(LEFT(BF1358,1)="1",INDEX(係数_NOX・PM低減,MATCH(AY1358,【参考】排出係数!$AI$801:$AI$804,1),1),VLOOKUP(AU1358,INDEX((係数_バス貨物_ガソリン,係数_バス貨物_CNG,係数_バス貨物_軽油,係数_バス貨物_メタノール,係数_バス貨物_LPG),MATCH(AY1358,【参考】排出係数!$AI$4:$AI$671,1),1,BE1358):INDEX((係数_バス貨物_ガソリン,係数_バス貨物_CNG,係数_バス貨物_軽油,係数_バス貨物_メタノール,係数_バス貨物_LPG),MATCH(AY1358+1,【参考】排出係数!$AI$4:$AI$671,1)-1,5,BE1358),4,FALSE)),IF(AND(BE1358=3,LEFT(BF1358,1)="1"),0.48,VLOOKUP(AU1358,INDEX((係数_乗用_ガソリン,係数_乗用_CNG,係数_乗用_軽油,係数_乗用_メタノール,係数_乗用_LPG),1,1,BE1358):INDEX((係数_乗用_ガソリン,係数_乗用_CNG,係数_乗用_軽油,係数_乗用_メタノール,係数_乗用_LPG),125,5,BE1358),4,FALSE)))))</f>
        <v/>
      </c>
      <c r="AL1358" s="461" t="str">
        <f t="shared" si="767"/>
        <v/>
      </c>
      <c r="AM1358" s="460" t="str">
        <f>IF(AU1358="","",IF(OR(AZ1358=8,AZ1358=9),0,IF(OR(AW1358=3,AW1358=4,AW1358=5,AW1358=6),IF(LEFT(BH1358,1)="1",INDEX(係数_PM低減,MATCH(AY1358,【参考】排出係数!$AI$801:$AI$804,1),MATCH(BI1358,【参考】排出係数!$AL$798:$AO$798,1)),VLOOKUP(AU1358,INDEX((係数_バス貨物_ガソリン,係数_バス貨物_CNG,係数_バス貨物_軽油,係数_バス貨物_メタノール,係数_バス貨物_LPG),MATCH(AY1358,【参考】排出係数!$AI$4:$AI$671,1),1,BE1358):INDEX((係数_バス貨物_ガソリン,係数_バス貨物_CNG,係数_バス貨物_軽油,係数_バス貨物_メタノール,係数_バス貨物_LPG),MATCH(AY1358+1,【参考】排出係数!$AI$4:$AI$671,1)-1,5,BE1358),5,FALSE)),IF(AND(BE1358=3,LEFT(BF1358,1)="1"),0.055,VLOOKUP(AU1358,INDEX((係数_乗用_ガソリン,係数_乗用_CNG,係数_乗用_軽油,係数_乗用_メタノール,係数_乗用_LPG),1,1,BE1358):INDEX((係数_乗用_ガソリン,係数_乗用_CNG,係数_乗用_軽油,係数_乗用_メタノール,係数_乗用_LPG),125,5,BE1358),5,FALSE)))))</f>
        <v/>
      </c>
      <c r="AN1358" s="461" t="str">
        <f t="shared" si="768"/>
        <v/>
      </c>
      <c r="AO1358" s="462" t="str">
        <f t="shared" si="769"/>
        <v/>
      </c>
      <c r="AP1358" s="463" t="str">
        <f t="shared" si="770"/>
        <v/>
      </c>
      <c r="AQ1358" s="464"/>
      <c r="AR1358" s="619"/>
      <c r="AS1358" s="465" t="str">
        <f t="shared" si="778"/>
        <v/>
      </c>
      <c r="AT1358" s="465" t="str">
        <f t="shared" si="779"/>
        <v/>
      </c>
      <c r="AU1358" s="466" t="str">
        <f t="shared" si="780"/>
        <v/>
      </c>
      <c r="AV1358" s="467" t="str">
        <f t="shared" si="781"/>
        <v/>
      </c>
      <c r="AW1358" s="467" t="str">
        <f t="shared" si="782"/>
        <v/>
      </c>
      <c r="AX1358" s="467" t="str">
        <f t="shared" si="783"/>
        <v/>
      </c>
      <c r="AY1358" s="467" t="str">
        <f t="shared" si="784"/>
        <v/>
      </c>
      <c r="AZ1358" s="467" t="str">
        <f t="shared" si="785"/>
        <v/>
      </c>
      <c r="BA1358" s="468" t="str">
        <f>IF(AS1358="","",IF(OR(AU1358="",AU1358="-"),"－",IF(OR(AZ1358=8,AZ1358=9),"",IF(OR(AW1358=3,AW1358=4,AW1358=5,AW1358=6),VLOOKUP(AU1358,INDEX((係数_バス貨物_ガソリン,係数_バス貨物_CNG,係数_バス貨物_軽油,係数_バス貨物_メタノール,係数_バス貨物_LPG),MATCH(AY1358,【参考】排出係数!$AI$4:$AI$671,1),1,BE1358):INDEX((係数_バス貨物_ガソリン,係数_バス貨物_CNG,係数_バス貨物_軽油,係数_バス貨物_メタノール,係数_バス貨物_LPG),MATCH(AY1358+1,【参考】排出係数!$AI$4:$AI$671,1)-1,5,BE1358),2,FALSE),IF(OR(AW1358=1,AW1358=2),VLOOKUP(AU1358,INDEX((係数_乗用_ガソリン,係数_乗用_CNG,係数_乗用_軽油,係数_乗用_メタノール,係数_乗用_LPG),1,1,BE1358):INDEX((係数_乗用_ガソリン,係数_乗用_CNG,係数_乗用_軽油,係数_乗用_メタノール,係数_乗用_LPG),125,5,BE1358),2,FALSE))))))</f>
        <v/>
      </c>
      <c r="BB1358" s="468" t="str">
        <f>IF(T1358="","",IF(OR(AU1358="",AU1358="-"),"－",IF(OR(AZ1358=8,AZ1358=9),"",IF(OR(AW1358=3,AW1358=4,AW1358=5,AW1358=6),VLOOKUP(AU1358,INDEX((係数_バス貨物_ガソリン,係数_バス貨物_CNG,係数_バス貨物_軽油,係数_バス貨物_メタノール,係数_バス貨物_LPG),MATCH(AY1358,【参考】排出係数!$AI$4:$AI$671,1),1,BE1358):INDEX((係数_バス貨物_ガソリン,係数_バス貨物_CNG,係数_バス貨物_軽油,係数_バス貨物_メタノール,係数_バス貨物_LPG),MATCH(AY1358+1,【参考】排出係数!$AI$4:$AI$671,1)-1,5,BE1358),3,FALSE),IF(OR(AW1358=1,AW1358=2),VLOOKUP(AU1358,INDEX((係数_乗用_ガソリン,係数_乗用_CNG,係数_乗用_軽油,係数_乗用_メタノール,係数_乗用_LPG),1,1,BE1358):INDEX((係数_乗用_ガソリン,係数_乗用_CNG,係数_乗用_軽油,係数_乗用_メタノール,係数_乗用_LPG),125,5,BE1358),3,FALSE))))))</f>
        <v/>
      </c>
      <c r="BC1358" s="467" t="str">
        <f t="shared" si="786"/>
        <v/>
      </c>
      <c r="BD1358" s="567" t="str">
        <f t="shared" si="787"/>
        <v/>
      </c>
      <c r="BE1358" s="467" t="str">
        <f t="shared" si="788"/>
        <v/>
      </c>
      <c r="BF1358" s="469" t="str">
        <f t="shared" ca="1" si="789"/>
        <v/>
      </c>
      <c r="BG1358" s="469" t="str">
        <f t="shared" ca="1" si="790"/>
        <v/>
      </c>
      <c r="BH1358" s="467" t="str">
        <f t="shared" si="791"/>
        <v/>
      </c>
      <c r="BI1358" s="467" t="str">
        <f t="shared" ca="1" si="792"/>
        <v/>
      </c>
      <c r="BJ1358" s="469" t="str">
        <f t="shared" si="793"/>
        <v/>
      </c>
      <c r="BK1358" s="470" t="str">
        <f t="shared" si="777"/>
        <v/>
      </c>
      <c r="BL1358" s="775" t="str">
        <f t="shared" si="794"/>
        <v/>
      </c>
      <c r="BM1358" s="775" t="str">
        <f t="shared" si="795"/>
        <v/>
      </c>
    </row>
    <row r="1359" spans="1:65">
      <c r="A1359" s="473">
        <v>1303</v>
      </c>
      <c r="B1359" s="132"/>
      <c r="C1359" s="332"/>
      <c r="D1359" s="333"/>
      <c r="E1359" s="333"/>
      <c r="F1359" s="334"/>
      <c r="G1359" s="337"/>
      <c r="H1359" s="131"/>
      <c r="I1359" s="337"/>
      <c r="J1359" s="131"/>
      <c r="K1359" s="458" t="str">
        <f t="shared" si="758"/>
        <v/>
      </c>
      <c r="L1359" s="458">
        <f t="shared" si="759"/>
        <v>0</v>
      </c>
      <c r="M1359" s="458">
        <f t="shared" si="760"/>
        <v>0</v>
      </c>
      <c r="N1359" s="459" t="str">
        <f t="shared" si="771"/>
        <v/>
      </c>
      <c r="O1359" s="459" t="str">
        <f t="shared" si="772"/>
        <v/>
      </c>
      <c r="P1359" s="459" t="str">
        <f t="shared" si="773"/>
        <v/>
      </c>
      <c r="Q1359" s="459" t="str">
        <f t="shared" si="774"/>
        <v/>
      </c>
      <c r="R1359" s="459" t="str">
        <f t="shared" si="775"/>
        <v/>
      </c>
      <c r="S1359" s="459" t="str">
        <f t="shared" si="776"/>
        <v/>
      </c>
      <c r="T1359" s="566" t="str">
        <f t="shared" si="761"/>
        <v/>
      </c>
      <c r="U1359" s="702"/>
      <c r="V1359" s="132"/>
      <c r="W1359" s="133"/>
      <c r="X1359" s="134"/>
      <c r="Y1359" s="135"/>
      <c r="Z1359" s="137"/>
      <c r="AA1359" s="136"/>
      <c r="AB1359" s="566" t="str">
        <f t="shared" si="762"/>
        <v/>
      </c>
      <c r="AC1359" s="568" t="str">
        <f t="shared" si="763"/>
        <v/>
      </c>
      <c r="AD1359" s="137"/>
      <c r="AE1359" s="137"/>
      <c r="AF1359" s="138"/>
      <c r="AG1359" s="138"/>
      <c r="AH1359" s="592" t="str">
        <f t="shared" si="764"/>
        <v/>
      </c>
      <c r="AI1359" s="592" t="str">
        <f t="shared" si="765"/>
        <v/>
      </c>
      <c r="AJ1359" s="592" t="str">
        <f t="shared" si="766"/>
        <v/>
      </c>
      <c r="AK1359" s="460" t="str">
        <f>IF(AU1359="","",IF(OR(AZ1359=8,AZ1359=9),0,IF(OR(AW1359=3,AW1359=4,AW1359=5,AW1359=6),IF(LEFT(BF1359,1)="1",INDEX(係数_NOX・PM低減,MATCH(AY1359,【参考】排出係数!$AI$801:$AI$804,1),1),VLOOKUP(AU1359,INDEX((係数_バス貨物_ガソリン,係数_バス貨物_CNG,係数_バス貨物_軽油,係数_バス貨物_メタノール,係数_バス貨物_LPG),MATCH(AY1359,【参考】排出係数!$AI$4:$AI$671,1),1,BE1359):INDEX((係数_バス貨物_ガソリン,係数_バス貨物_CNG,係数_バス貨物_軽油,係数_バス貨物_メタノール,係数_バス貨物_LPG),MATCH(AY1359+1,【参考】排出係数!$AI$4:$AI$671,1)-1,5,BE1359),4,FALSE)),IF(AND(BE1359=3,LEFT(BF1359,1)="1"),0.48,VLOOKUP(AU1359,INDEX((係数_乗用_ガソリン,係数_乗用_CNG,係数_乗用_軽油,係数_乗用_メタノール,係数_乗用_LPG),1,1,BE1359):INDEX((係数_乗用_ガソリン,係数_乗用_CNG,係数_乗用_軽油,係数_乗用_メタノール,係数_乗用_LPG),125,5,BE1359),4,FALSE)))))</f>
        <v/>
      </c>
      <c r="AL1359" s="461" t="str">
        <f t="shared" si="767"/>
        <v/>
      </c>
      <c r="AM1359" s="460" t="str">
        <f>IF(AU1359="","",IF(OR(AZ1359=8,AZ1359=9),0,IF(OR(AW1359=3,AW1359=4,AW1359=5,AW1359=6),IF(LEFT(BH1359,1)="1",INDEX(係数_PM低減,MATCH(AY1359,【参考】排出係数!$AI$801:$AI$804,1),MATCH(BI1359,【参考】排出係数!$AL$798:$AO$798,1)),VLOOKUP(AU1359,INDEX((係数_バス貨物_ガソリン,係数_バス貨物_CNG,係数_バス貨物_軽油,係数_バス貨物_メタノール,係数_バス貨物_LPG),MATCH(AY1359,【参考】排出係数!$AI$4:$AI$671,1),1,BE1359):INDEX((係数_バス貨物_ガソリン,係数_バス貨物_CNG,係数_バス貨物_軽油,係数_バス貨物_メタノール,係数_バス貨物_LPG),MATCH(AY1359+1,【参考】排出係数!$AI$4:$AI$671,1)-1,5,BE1359),5,FALSE)),IF(AND(BE1359=3,LEFT(BF1359,1)="1"),0.055,VLOOKUP(AU1359,INDEX((係数_乗用_ガソリン,係数_乗用_CNG,係数_乗用_軽油,係数_乗用_メタノール,係数_乗用_LPG),1,1,BE1359):INDEX((係数_乗用_ガソリン,係数_乗用_CNG,係数_乗用_軽油,係数_乗用_メタノール,係数_乗用_LPG),125,5,BE1359),5,FALSE)))))</f>
        <v/>
      </c>
      <c r="AN1359" s="461" t="str">
        <f t="shared" si="768"/>
        <v/>
      </c>
      <c r="AO1359" s="462" t="str">
        <f t="shared" si="769"/>
        <v/>
      </c>
      <c r="AP1359" s="463" t="str">
        <f t="shared" si="770"/>
        <v/>
      </c>
      <c r="AQ1359" s="464"/>
      <c r="AR1359" s="619"/>
      <c r="AS1359" s="465" t="str">
        <f t="shared" si="778"/>
        <v/>
      </c>
      <c r="AT1359" s="465" t="str">
        <f t="shared" si="779"/>
        <v/>
      </c>
      <c r="AU1359" s="466" t="str">
        <f t="shared" si="780"/>
        <v/>
      </c>
      <c r="AV1359" s="467" t="str">
        <f t="shared" si="781"/>
        <v/>
      </c>
      <c r="AW1359" s="467" t="str">
        <f t="shared" si="782"/>
        <v/>
      </c>
      <c r="AX1359" s="467" t="str">
        <f t="shared" si="783"/>
        <v/>
      </c>
      <c r="AY1359" s="467" t="str">
        <f t="shared" si="784"/>
        <v/>
      </c>
      <c r="AZ1359" s="467" t="str">
        <f t="shared" si="785"/>
        <v/>
      </c>
      <c r="BA1359" s="468" t="str">
        <f>IF(AS1359="","",IF(OR(AU1359="",AU1359="-"),"－",IF(OR(AZ1359=8,AZ1359=9),"",IF(OR(AW1359=3,AW1359=4,AW1359=5,AW1359=6),VLOOKUP(AU1359,INDEX((係数_バス貨物_ガソリン,係数_バス貨物_CNG,係数_バス貨物_軽油,係数_バス貨物_メタノール,係数_バス貨物_LPG),MATCH(AY1359,【参考】排出係数!$AI$4:$AI$671,1),1,BE1359):INDEX((係数_バス貨物_ガソリン,係数_バス貨物_CNG,係数_バス貨物_軽油,係数_バス貨物_メタノール,係数_バス貨物_LPG),MATCH(AY1359+1,【参考】排出係数!$AI$4:$AI$671,1)-1,5,BE1359),2,FALSE),IF(OR(AW1359=1,AW1359=2),VLOOKUP(AU1359,INDEX((係数_乗用_ガソリン,係数_乗用_CNG,係数_乗用_軽油,係数_乗用_メタノール,係数_乗用_LPG),1,1,BE1359):INDEX((係数_乗用_ガソリン,係数_乗用_CNG,係数_乗用_軽油,係数_乗用_メタノール,係数_乗用_LPG),125,5,BE1359),2,FALSE))))))</f>
        <v/>
      </c>
      <c r="BB1359" s="468" t="str">
        <f>IF(T1359="","",IF(OR(AU1359="",AU1359="-"),"－",IF(OR(AZ1359=8,AZ1359=9),"",IF(OR(AW1359=3,AW1359=4,AW1359=5,AW1359=6),VLOOKUP(AU1359,INDEX((係数_バス貨物_ガソリン,係数_バス貨物_CNG,係数_バス貨物_軽油,係数_バス貨物_メタノール,係数_バス貨物_LPG),MATCH(AY1359,【参考】排出係数!$AI$4:$AI$671,1),1,BE1359):INDEX((係数_バス貨物_ガソリン,係数_バス貨物_CNG,係数_バス貨物_軽油,係数_バス貨物_メタノール,係数_バス貨物_LPG),MATCH(AY1359+1,【参考】排出係数!$AI$4:$AI$671,1)-1,5,BE1359),3,FALSE),IF(OR(AW1359=1,AW1359=2),VLOOKUP(AU1359,INDEX((係数_乗用_ガソリン,係数_乗用_CNG,係数_乗用_軽油,係数_乗用_メタノール,係数_乗用_LPG),1,1,BE1359):INDEX((係数_乗用_ガソリン,係数_乗用_CNG,係数_乗用_軽油,係数_乗用_メタノール,係数_乗用_LPG),125,5,BE1359),3,FALSE))))))</f>
        <v/>
      </c>
      <c r="BC1359" s="467" t="str">
        <f t="shared" si="786"/>
        <v/>
      </c>
      <c r="BD1359" s="567" t="str">
        <f t="shared" si="787"/>
        <v/>
      </c>
      <c r="BE1359" s="467" t="str">
        <f t="shared" si="788"/>
        <v/>
      </c>
      <c r="BF1359" s="469" t="str">
        <f t="shared" ca="1" si="789"/>
        <v/>
      </c>
      <c r="BG1359" s="469" t="str">
        <f t="shared" ca="1" si="790"/>
        <v/>
      </c>
      <c r="BH1359" s="467" t="str">
        <f t="shared" si="791"/>
        <v/>
      </c>
      <c r="BI1359" s="467" t="str">
        <f t="shared" ca="1" si="792"/>
        <v/>
      </c>
      <c r="BJ1359" s="469" t="str">
        <f t="shared" si="793"/>
        <v/>
      </c>
      <c r="BK1359" s="470" t="str">
        <f t="shared" si="777"/>
        <v/>
      </c>
      <c r="BL1359" s="775" t="str">
        <f t="shared" si="794"/>
        <v/>
      </c>
      <c r="BM1359" s="775" t="str">
        <f t="shared" si="795"/>
        <v/>
      </c>
    </row>
    <row r="1360" spans="1:65">
      <c r="A1360" s="473">
        <v>1304</v>
      </c>
      <c r="B1360" s="132"/>
      <c r="C1360" s="332"/>
      <c r="D1360" s="333"/>
      <c r="E1360" s="333"/>
      <c r="F1360" s="334"/>
      <c r="G1360" s="337"/>
      <c r="H1360" s="131"/>
      <c r="I1360" s="337"/>
      <c r="J1360" s="131"/>
      <c r="K1360" s="458" t="str">
        <f t="shared" si="758"/>
        <v/>
      </c>
      <c r="L1360" s="458">
        <f t="shared" si="759"/>
        <v>0</v>
      </c>
      <c r="M1360" s="458">
        <f t="shared" si="760"/>
        <v>0</v>
      </c>
      <c r="N1360" s="459" t="str">
        <f t="shared" si="771"/>
        <v/>
      </c>
      <c r="O1360" s="459" t="str">
        <f t="shared" si="772"/>
        <v/>
      </c>
      <c r="P1360" s="459" t="str">
        <f t="shared" si="773"/>
        <v/>
      </c>
      <c r="Q1360" s="459" t="str">
        <f t="shared" si="774"/>
        <v/>
      </c>
      <c r="R1360" s="459" t="str">
        <f t="shared" si="775"/>
        <v/>
      </c>
      <c r="S1360" s="459" t="str">
        <f t="shared" si="776"/>
        <v/>
      </c>
      <c r="T1360" s="566" t="str">
        <f t="shared" si="761"/>
        <v/>
      </c>
      <c r="U1360" s="702"/>
      <c r="V1360" s="132"/>
      <c r="W1360" s="133"/>
      <c r="X1360" s="134"/>
      <c r="Y1360" s="135"/>
      <c r="Z1360" s="137"/>
      <c r="AA1360" s="136"/>
      <c r="AB1360" s="566" t="str">
        <f t="shared" si="762"/>
        <v/>
      </c>
      <c r="AC1360" s="568" t="str">
        <f t="shared" si="763"/>
        <v/>
      </c>
      <c r="AD1360" s="137"/>
      <c r="AE1360" s="137"/>
      <c r="AF1360" s="138"/>
      <c r="AG1360" s="138"/>
      <c r="AH1360" s="592" t="str">
        <f t="shared" si="764"/>
        <v/>
      </c>
      <c r="AI1360" s="592" t="str">
        <f t="shared" si="765"/>
        <v/>
      </c>
      <c r="AJ1360" s="592" t="str">
        <f t="shared" si="766"/>
        <v/>
      </c>
      <c r="AK1360" s="460" t="str">
        <f>IF(AU1360="","",IF(OR(AZ1360=8,AZ1360=9),0,IF(OR(AW1360=3,AW1360=4,AW1360=5,AW1360=6),IF(LEFT(BF1360,1)="1",INDEX(係数_NOX・PM低減,MATCH(AY1360,【参考】排出係数!$AI$801:$AI$804,1),1),VLOOKUP(AU1360,INDEX((係数_バス貨物_ガソリン,係数_バス貨物_CNG,係数_バス貨物_軽油,係数_バス貨物_メタノール,係数_バス貨物_LPG),MATCH(AY1360,【参考】排出係数!$AI$4:$AI$671,1),1,BE1360):INDEX((係数_バス貨物_ガソリン,係数_バス貨物_CNG,係数_バス貨物_軽油,係数_バス貨物_メタノール,係数_バス貨物_LPG),MATCH(AY1360+1,【参考】排出係数!$AI$4:$AI$671,1)-1,5,BE1360),4,FALSE)),IF(AND(BE1360=3,LEFT(BF1360,1)="1"),0.48,VLOOKUP(AU1360,INDEX((係数_乗用_ガソリン,係数_乗用_CNG,係数_乗用_軽油,係数_乗用_メタノール,係数_乗用_LPG),1,1,BE1360):INDEX((係数_乗用_ガソリン,係数_乗用_CNG,係数_乗用_軽油,係数_乗用_メタノール,係数_乗用_LPG),125,5,BE1360),4,FALSE)))))</f>
        <v/>
      </c>
      <c r="AL1360" s="461" t="str">
        <f t="shared" si="767"/>
        <v/>
      </c>
      <c r="AM1360" s="460" t="str">
        <f>IF(AU1360="","",IF(OR(AZ1360=8,AZ1360=9),0,IF(OR(AW1360=3,AW1360=4,AW1360=5,AW1360=6),IF(LEFT(BH1360,1)="1",INDEX(係数_PM低減,MATCH(AY1360,【参考】排出係数!$AI$801:$AI$804,1),MATCH(BI1360,【参考】排出係数!$AL$798:$AO$798,1)),VLOOKUP(AU1360,INDEX((係数_バス貨物_ガソリン,係数_バス貨物_CNG,係数_バス貨物_軽油,係数_バス貨物_メタノール,係数_バス貨物_LPG),MATCH(AY1360,【参考】排出係数!$AI$4:$AI$671,1),1,BE1360):INDEX((係数_バス貨物_ガソリン,係数_バス貨物_CNG,係数_バス貨物_軽油,係数_バス貨物_メタノール,係数_バス貨物_LPG),MATCH(AY1360+1,【参考】排出係数!$AI$4:$AI$671,1)-1,5,BE1360),5,FALSE)),IF(AND(BE1360=3,LEFT(BF1360,1)="1"),0.055,VLOOKUP(AU1360,INDEX((係数_乗用_ガソリン,係数_乗用_CNG,係数_乗用_軽油,係数_乗用_メタノール,係数_乗用_LPG),1,1,BE1360):INDEX((係数_乗用_ガソリン,係数_乗用_CNG,係数_乗用_軽油,係数_乗用_メタノール,係数_乗用_LPG),125,5,BE1360),5,FALSE)))))</f>
        <v/>
      </c>
      <c r="AN1360" s="461" t="str">
        <f t="shared" si="768"/>
        <v/>
      </c>
      <c r="AO1360" s="462" t="str">
        <f t="shared" si="769"/>
        <v/>
      </c>
      <c r="AP1360" s="463" t="str">
        <f t="shared" si="770"/>
        <v/>
      </c>
      <c r="AQ1360" s="464"/>
      <c r="AR1360" s="619"/>
      <c r="AS1360" s="465" t="str">
        <f t="shared" si="778"/>
        <v/>
      </c>
      <c r="AT1360" s="465" t="str">
        <f t="shared" si="779"/>
        <v/>
      </c>
      <c r="AU1360" s="466" t="str">
        <f t="shared" si="780"/>
        <v/>
      </c>
      <c r="AV1360" s="467" t="str">
        <f t="shared" si="781"/>
        <v/>
      </c>
      <c r="AW1360" s="467" t="str">
        <f t="shared" si="782"/>
        <v/>
      </c>
      <c r="AX1360" s="467" t="str">
        <f t="shared" si="783"/>
        <v/>
      </c>
      <c r="AY1360" s="467" t="str">
        <f t="shared" si="784"/>
        <v/>
      </c>
      <c r="AZ1360" s="467" t="str">
        <f t="shared" si="785"/>
        <v/>
      </c>
      <c r="BA1360" s="468" t="str">
        <f>IF(AS1360="","",IF(OR(AU1360="",AU1360="-"),"－",IF(OR(AZ1360=8,AZ1360=9),"",IF(OR(AW1360=3,AW1360=4,AW1360=5,AW1360=6),VLOOKUP(AU1360,INDEX((係数_バス貨物_ガソリン,係数_バス貨物_CNG,係数_バス貨物_軽油,係数_バス貨物_メタノール,係数_バス貨物_LPG),MATCH(AY1360,【参考】排出係数!$AI$4:$AI$671,1),1,BE1360):INDEX((係数_バス貨物_ガソリン,係数_バス貨物_CNG,係数_バス貨物_軽油,係数_バス貨物_メタノール,係数_バス貨物_LPG),MATCH(AY1360+1,【参考】排出係数!$AI$4:$AI$671,1)-1,5,BE1360),2,FALSE),IF(OR(AW1360=1,AW1360=2),VLOOKUP(AU1360,INDEX((係数_乗用_ガソリン,係数_乗用_CNG,係数_乗用_軽油,係数_乗用_メタノール,係数_乗用_LPG),1,1,BE1360):INDEX((係数_乗用_ガソリン,係数_乗用_CNG,係数_乗用_軽油,係数_乗用_メタノール,係数_乗用_LPG),125,5,BE1360),2,FALSE))))))</f>
        <v/>
      </c>
      <c r="BB1360" s="468" t="str">
        <f>IF(T1360="","",IF(OR(AU1360="",AU1360="-"),"－",IF(OR(AZ1360=8,AZ1360=9),"",IF(OR(AW1360=3,AW1360=4,AW1360=5,AW1360=6),VLOOKUP(AU1360,INDEX((係数_バス貨物_ガソリン,係数_バス貨物_CNG,係数_バス貨物_軽油,係数_バス貨物_メタノール,係数_バス貨物_LPG),MATCH(AY1360,【参考】排出係数!$AI$4:$AI$671,1),1,BE1360):INDEX((係数_バス貨物_ガソリン,係数_バス貨物_CNG,係数_バス貨物_軽油,係数_バス貨物_メタノール,係数_バス貨物_LPG),MATCH(AY1360+1,【参考】排出係数!$AI$4:$AI$671,1)-1,5,BE1360),3,FALSE),IF(OR(AW1360=1,AW1360=2),VLOOKUP(AU1360,INDEX((係数_乗用_ガソリン,係数_乗用_CNG,係数_乗用_軽油,係数_乗用_メタノール,係数_乗用_LPG),1,1,BE1360):INDEX((係数_乗用_ガソリン,係数_乗用_CNG,係数_乗用_軽油,係数_乗用_メタノール,係数_乗用_LPG),125,5,BE1360),3,FALSE))))))</f>
        <v/>
      </c>
      <c r="BC1360" s="467" t="str">
        <f t="shared" si="786"/>
        <v/>
      </c>
      <c r="BD1360" s="567" t="str">
        <f t="shared" si="787"/>
        <v/>
      </c>
      <c r="BE1360" s="467" t="str">
        <f t="shared" si="788"/>
        <v/>
      </c>
      <c r="BF1360" s="469" t="str">
        <f t="shared" ca="1" si="789"/>
        <v/>
      </c>
      <c r="BG1360" s="469" t="str">
        <f t="shared" ca="1" si="790"/>
        <v/>
      </c>
      <c r="BH1360" s="467" t="str">
        <f t="shared" si="791"/>
        <v/>
      </c>
      <c r="BI1360" s="467" t="str">
        <f t="shared" ca="1" si="792"/>
        <v/>
      </c>
      <c r="BJ1360" s="469" t="str">
        <f t="shared" si="793"/>
        <v/>
      </c>
      <c r="BK1360" s="470" t="str">
        <f t="shared" si="777"/>
        <v/>
      </c>
      <c r="BL1360" s="775" t="str">
        <f t="shared" si="794"/>
        <v/>
      </c>
      <c r="BM1360" s="775" t="str">
        <f t="shared" si="795"/>
        <v/>
      </c>
    </row>
    <row r="1361" spans="1:65">
      <c r="A1361" s="473">
        <v>1305</v>
      </c>
      <c r="B1361" s="132"/>
      <c r="C1361" s="332"/>
      <c r="D1361" s="333"/>
      <c r="E1361" s="333"/>
      <c r="F1361" s="334"/>
      <c r="G1361" s="337"/>
      <c r="H1361" s="131"/>
      <c r="I1361" s="337"/>
      <c r="J1361" s="131"/>
      <c r="K1361" s="458" t="str">
        <f t="shared" si="758"/>
        <v/>
      </c>
      <c r="L1361" s="458">
        <f t="shared" si="759"/>
        <v>0</v>
      </c>
      <c r="M1361" s="458">
        <f t="shared" si="760"/>
        <v>0</v>
      </c>
      <c r="N1361" s="459" t="str">
        <f t="shared" si="771"/>
        <v/>
      </c>
      <c r="O1361" s="459" t="str">
        <f t="shared" si="772"/>
        <v/>
      </c>
      <c r="P1361" s="459" t="str">
        <f t="shared" si="773"/>
        <v/>
      </c>
      <c r="Q1361" s="459" t="str">
        <f t="shared" si="774"/>
        <v/>
      </c>
      <c r="R1361" s="459" t="str">
        <f t="shared" si="775"/>
        <v/>
      </c>
      <c r="S1361" s="459" t="str">
        <f t="shared" si="776"/>
        <v/>
      </c>
      <c r="T1361" s="566" t="str">
        <f t="shared" si="761"/>
        <v/>
      </c>
      <c r="U1361" s="702"/>
      <c r="V1361" s="132"/>
      <c r="W1361" s="133"/>
      <c r="X1361" s="134"/>
      <c r="Y1361" s="135"/>
      <c r="Z1361" s="137"/>
      <c r="AA1361" s="136"/>
      <c r="AB1361" s="566" t="str">
        <f t="shared" si="762"/>
        <v/>
      </c>
      <c r="AC1361" s="568" t="str">
        <f t="shared" si="763"/>
        <v/>
      </c>
      <c r="AD1361" s="137"/>
      <c r="AE1361" s="137"/>
      <c r="AF1361" s="138"/>
      <c r="AG1361" s="138"/>
      <c r="AH1361" s="592" t="str">
        <f t="shared" si="764"/>
        <v/>
      </c>
      <c r="AI1361" s="592" t="str">
        <f t="shared" si="765"/>
        <v/>
      </c>
      <c r="AJ1361" s="592" t="str">
        <f t="shared" si="766"/>
        <v/>
      </c>
      <c r="AK1361" s="460" t="str">
        <f>IF(AU1361="","",IF(OR(AZ1361=8,AZ1361=9),0,IF(OR(AW1361=3,AW1361=4,AW1361=5,AW1361=6),IF(LEFT(BF1361,1)="1",INDEX(係数_NOX・PM低減,MATCH(AY1361,【参考】排出係数!$AI$801:$AI$804,1),1),VLOOKUP(AU1361,INDEX((係数_バス貨物_ガソリン,係数_バス貨物_CNG,係数_バス貨物_軽油,係数_バス貨物_メタノール,係数_バス貨物_LPG),MATCH(AY1361,【参考】排出係数!$AI$4:$AI$671,1),1,BE1361):INDEX((係数_バス貨物_ガソリン,係数_バス貨物_CNG,係数_バス貨物_軽油,係数_バス貨物_メタノール,係数_バス貨物_LPG),MATCH(AY1361+1,【参考】排出係数!$AI$4:$AI$671,1)-1,5,BE1361),4,FALSE)),IF(AND(BE1361=3,LEFT(BF1361,1)="1"),0.48,VLOOKUP(AU1361,INDEX((係数_乗用_ガソリン,係数_乗用_CNG,係数_乗用_軽油,係数_乗用_メタノール,係数_乗用_LPG),1,1,BE1361):INDEX((係数_乗用_ガソリン,係数_乗用_CNG,係数_乗用_軽油,係数_乗用_メタノール,係数_乗用_LPG),125,5,BE1361),4,FALSE)))))</f>
        <v/>
      </c>
      <c r="AL1361" s="461" t="str">
        <f t="shared" si="767"/>
        <v/>
      </c>
      <c r="AM1361" s="460" t="str">
        <f>IF(AU1361="","",IF(OR(AZ1361=8,AZ1361=9),0,IF(OR(AW1361=3,AW1361=4,AW1361=5,AW1361=6),IF(LEFT(BH1361,1)="1",INDEX(係数_PM低減,MATCH(AY1361,【参考】排出係数!$AI$801:$AI$804,1),MATCH(BI1361,【参考】排出係数!$AL$798:$AO$798,1)),VLOOKUP(AU1361,INDEX((係数_バス貨物_ガソリン,係数_バス貨物_CNG,係数_バス貨物_軽油,係数_バス貨物_メタノール,係数_バス貨物_LPG),MATCH(AY1361,【参考】排出係数!$AI$4:$AI$671,1),1,BE1361):INDEX((係数_バス貨物_ガソリン,係数_バス貨物_CNG,係数_バス貨物_軽油,係数_バス貨物_メタノール,係数_バス貨物_LPG),MATCH(AY1361+1,【参考】排出係数!$AI$4:$AI$671,1)-1,5,BE1361),5,FALSE)),IF(AND(BE1361=3,LEFT(BF1361,1)="1"),0.055,VLOOKUP(AU1361,INDEX((係数_乗用_ガソリン,係数_乗用_CNG,係数_乗用_軽油,係数_乗用_メタノール,係数_乗用_LPG),1,1,BE1361):INDEX((係数_乗用_ガソリン,係数_乗用_CNG,係数_乗用_軽油,係数_乗用_メタノール,係数_乗用_LPG),125,5,BE1361),5,FALSE)))))</f>
        <v/>
      </c>
      <c r="AN1361" s="461" t="str">
        <f t="shared" si="768"/>
        <v/>
      </c>
      <c r="AO1361" s="462" t="str">
        <f t="shared" si="769"/>
        <v/>
      </c>
      <c r="AP1361" s="463" t="str">
        <f t="shared" si="770"/>
        <v/>
      </c>
      <c r="AQ1361" s="464"/>
      <c r="AR1361" s="619"/>
      <c r="AS1361" s="465" t="str">
        <f t="shared" si="778"/>
        <v/>
      </c>
      <c r="AT1361" s="465" t="str">
        <f t="shared" si="779"/>
        <v/>
      </c>
      <c r="AU1361" s="466" t="str">
        <f t="shared" si="780"/>
        <v/>
      </c>
      <c r="AV1361" s="467" t="str">
        <f t="shared" si="781"/>
        <v/>
      </c>
      <c r="AW1361" s="467" t="str">
        <f t="shared" si="782"/>
        <v/>
      </c>
      <c r="AX1361" s="467" t="str">
        <f t="shared" si="783"/>
        <v/>
      </c>
      <c r="AY1361" s="467" t="str">
        <f t="shared" si="784"/>
        <v/>
      </c>
      <c r="AZ1361" s="467" t="str">
        <f t="shared" si="785"/>
        <v/>
      </c>
      <c r="BA1361" s="468" t="str">
        <f>IF(AS1361="","",IF(OR(AU1361="",AU1361="-"),"－",IF(OR(AZ1361=8,AZ1361=9),"",IF(OR(AW1361=3,AW1361=4,AW1361=5,AW1361=6),VLOOKUP(AU1361,INDEX((係数_バス貨物_ガソリン,係数_バス貨物_CNG,係数_バス貨物_軽油,係数_バス貨物_メタノール,係数_バス貨物_LPG),MATCH(AY1361,【参考】排出係数!$AI$4:$AI$671,1),1,BE1361):INDEX((係数_バス貨物_ガソリン,係数_バス貨物_CNG,係数_バス貨物_軽油,係数_バス貨物_メタノール,係数_バス貨物_LPG),MATCH(AY1361+1,【参考】排出係数!$AI$4:$AI$671,1)-1,5,BE1361),2,FALSE),IF(OR(AW1361=1,AW1361=2),VLOOKUP(AU1361,INDEX((係数_乗用_ガソリン,係数_乗用_CNG,係数_乗用_軽油,係数_乗用_メタノール,係数_乗用_LPG),1,1,BE1361):INDEX((係数_乗用_ガソリン,係数_乗用_CNG,係数_乗用_軽油,係数_乗用_メタノール,係数_乗用_LPG),125,5,BE1361),2,FALSE))))))</f>
        <v/>
      </c>
      <c r="BB1361" s="468" t="str">
        <f>IF(T1361="","",IF(OR(AU1361="",AU1361="-"),"－",IF(OR(AZ1361=8,AZ1361=9),"",IF(OR(AW1361=3,AW1361=4,AW1361=5,AW1361=6),VLOOKUP(AU1361,INDEX((係数_バス貨物_ガソリン,係数_バス貨物_CNG,係数_バス貨物_軽油,係数_バス貨物_メタノール,係数_バス貨物_LPG),MATCH(AY1361,【参考】排出係数!$AI$4:$AI$671,1),1,BE1361):INDEX((係数_バス貨物_ガソリン,係数_バス貨物_CNG,係数_バス貨物_軽油,係数_バス貨物_メタノール,係数_バス貨物_LPG),MATCH(AY1361+1,【参考】排出係数!$AI$4:$AI$671,1)-1,5,BE1361),3,FALSE),IF(OR(AW1361=1,AW1361=2),VLOOKUP(AU1361,INDEX((係数_乗用_ガソリン,係数_乗用_CNG,係数_乗用_軽油,係数_乗用_メタノール,係数_乗用_LPG),1,1,BE1361):INDEX((係数_乗用_ガソリン,係数_乗用_CNG,係数_乗用_軽油,係数_乗用_メタノール,係数_乗用_LPG),125,5,BE1361),3,FALSE))))))</f>
        <v/>
      </c>
      <c r="BC1361" s="467" t="str">
        <f t="shared" si="786"/>
        <v/>
      </c>
      <c r="BD1361" s="567" t="str">
        <f t="shared" si="787"/>
        <v/>
      </c>
      <c r="BE1361" s="467" t="str">
        <f t="shared" si="788"/>
        <v/>
      </c>
      <c r="BF1361" s="469" t="str">
        <f t="shared" ca="1" si="789"/>
        <v/>
      </c>
      <c r="BG1361" s="469" t="str">
        <f t="shared" ca="1" si="790"/>
        <v/>
      </c>
      <c r="BH1361" s="467" t="str">
        <f t="shared" si="791"/>
        <v/>
      </c>
      <c r="BI1361" s="467" t="str">
        <f t="shared" ca="1" si="792"/>
        <v/>
      </c>
      <c r="BJ1361" s="469" t="str">
        <f t="shared" si="793"/>
        <v/>
      </c>
      <c r="BK1361" s="470" t="str">
        <f t="shared" si="777"/>
        <v/>
      </c>
      <c r="BL1361" s="775" t="str">
        <f t="shared" si="794"/>
        <v/>
      </c>
      <c r="BM1361" s="775" t="str">
        <f t="shared" si="795"/>
        <v/>
      </c>
    </row>
    <row r="1362" spans="1:65">
      <c r="A1362" s="473">
        <v>1306</v>
      </c>
      <c r="B1362" s="132"/>
      <c r="C1362" s="332"/>
      <c r="D1362" s="333"/>
      <c r="E1362" s="333"/>
      <c r="F1362" s="334"/>
      <c r="G1362" s="337"/>
      <c r="H1362" s="131"/>
      <c r="I1362" s="337"/>
      <c r="J1362" s="131"/>
      <c r="K1362" s="458" t="str">
        <f t="shared" si="758"/>
        <v/>
      </c>
      <c r="L1362" s="458">
        <f t="shared" si="759"/>
        <v>0</v>
      </c>
      <c r="M1362" s="458">
        <f t="shared" si="760"/>
        <v>0</v>
      </c>
      <c r="N1362" s="459" t="str">
        <f t="shared" si="771"/>
        <v/>
      </c>
      <c r="O1362" s="459" t="str">
        <f t="shared" si="772"/>
        <v/>
      </c>
      <c r="P1362" s="459" t="str">
        <f t="shared" si="773"/>
        <v/>
      </c>
      <c r="Q1362" s="459" t="str">
        <f t="shared" si="774"/>
        <v/>
      </c>
      <c r="R1362" s="459" t="str">
        <f t="shared" si="775"/>
        <v/>
      </c>
      <c r="S1362" s="459" t="str">
        <f t="shared" si="776"/>
        <v/>
      </c>
      <c r="T1362" s="566" t="str">
        <f t="shared" si="761"/>
        <v/>
      </c>
      <c r="U1362" s="702"/>
      <c r="V1362" s="132"/>
      <c r="W1362" s="133"/>
      <c r="X1362" s="134"/>
      <c r="Y1362" s="135"/>
      <c r="Z1362" s="137"/>
      <c r="AA1362" s="136"/>
      <c r="AB1362" s="566" t="str">
        <f t="shared" si="762"/>
        <v/>
      </c>
      <c r="AC1362" s="568" t="str">
        <f t="shared" si="763"/>
        <v/>
      </c>
      <c r="AD1362" s="137"/>
      <c r="AE1362" s="137"/>
      <c r="AF1362" s="138"/>
      <c r="AG1362" s="138"/>
      <c r="AH1362" s="592" t="str">
        <f t="shared" si="764"/>
        <v/>
      </c>
      <c r="AI1362" s="592" t="str">
        <f t="shared" si="765"/>
        <v/>
      </c>
      <c r="AJ1362" s="592" t="str">
        <f t="shared" si="766"/>
        <v/>
      </c>
      <c r="AK1362" s="460" t="str">
        <f>IF(AU1362="","",IF(OR(AZ1362=8,AZ1362=9),0,IF(OR(AW1362=3,AW1362=4,AW1362=5,AW1362=6),IF(LEFT(BF1362,1)="1",INDEX(係数_NOX・PM低減,MATCH(AY1362,【参考】排出係数!$AI$801:$AI$804,1),1),VLOOKUP(AU1362,INDEX((係数_バス貨物_ガソリン,係数_バス貨物_CNG,係数_バス貨物_軽油,係数_バス貨物_メタノール,係数_バス貨物_LPG),MATCH(AY1362,【参考】排出係数!$AI$4:$AI$671,1),1,BE1362):INDEX((係数_バス貨物_ガソリン,係数_バス貨物_CNG,係数_バス貨物_軽油,係数_バス貨物_メタノール,係数_バス貨物_LPG),MATCH(AY1362+1,【参考】排出係数!$AI$4:$AI$671,1)-1,5,BE1362),4,FALSE)),IF(AND(BE1362=3,LEFT(BF1362,1)="1"),0.48,VLOOKUP(AU1362,INDEX((係数_乗用_ガソリン,係数_乗用_CNG,係数_乗用_軽油,係数_乗用_メタノール,係数_乗用_LPG),1,1,BE1362):INDEX((係数_乗用_ガソリン,係数_乗用_CNG,係数_乗用_軽油,係数_乗用_メタノール,係数_乗用_LPG),125,5,BE1362),4,FALSE)))))</f>
        <v/>
      </c>
      <c r="AL1362" s="461" t="str">
        <f t="shared" si="767"/>
        <v/>
      </c>
      <c r="AM1362" s="460" t="str">
        <f>IF(AU1362="","",IF(OR(AZ1362=8,AZ1362=9),0,IF(OR(AW1362=3,AW1362=4,AW1362=5,AW1362=6),IF(LEFT(BH1362,1)="1",INDEX(係数_PM低減,MATCH(AY1362,【参考】排出係数!$AI$801:$AI$804,1),MATCH(BI1362,【参考】排出係数!$AL$798:$AO$798,1)),VLOOKUP(AU1362,INDEX((係数_バス貨物_ガソリン,係数_バス貨物_CNG,係数_バス貨物_軽油,係数_バス貨物_メタノール,係数_バス貨物_LPG),MATCH(AY1362,【参考】排出係数!$AI$4:$AI$671,1),1,BE1362):INDEX((係数_バス貨物_ガソリン,係数_バス貨物_CNG,係数_バス貨物_軽油,係数_バス貨物_メタノール,係数_バス貨物_LPG),MATCH(AY1362+1,【参考】排出係数!$AI$4:$AI$671,1)-1,5,BE1362),5,FALSE)),IF(AND(BE1362=3,LEFT(BF1362,1)="1"),0.055,VLOOKUP(AU1362,INDEX((係数_乗用_ガソリン,係数_乗用_CNG,係数_乗用_軽油,係数_乗用_メタノール,係数_乗用_LPG),1,1,BE1362):INDEX((係数_乗用_ガソリン,係数_乗用_CNG,係数_乗用_軽油,係数_乗用_メタノール,係数_乗用_LPG),125,5,BE1362),5,FALSE)))))</f>
        <v/>
      </c>
      <c r="AN1362" s="461" t="str">
        <f t="shared" si="768"/>
        <v/>
      </c>
      <c r="AO1362" s="462" t="str">
        <f t="shared" si="769"/>
        <v/>
      </c>
      <c r="AP1362" s="463" t="str">
        <f t="shared" si="770"/>
        <v/>
      </c>
      <c r="AQ1362" s="464"/>
      <c r="AR1362" s="619"/>
      <c r="AS1362" s="465" t="str">
        <f t="shared" si="778"/>
        <v/>
      </c>
      <c r="AT1362" s="465" t="str">
        <f t="shared" si="779"/>
        <v/>
      </c>
      <c r="AU1362" s="466" t="str">
        <f t="shared" si="780"/>
        <v/>
      </c>
      <c r="AV1362" s="467" t="str">
        <f t="shared" si="781"/>
        <v/>
      </c>
      <c r="AW1362" s="467" t="str">
        <f t="shared" si="782"/>
        <v/>
      </c>
      <c r="AX1362" s="467" t="str">
        <f t="shared" si="783"/>
        <v/>
      </c>
      <c r="AY1362" s="467" t="str">
        <f t="shared" si="784"/>
        <v/>
      </c>
      <c r="AZ1362" s="467" t="str">
        <f t="shared" si="785"/>
        <v/>
      </c>
      <c r="BA1362" s="468" t="str">
        <f>IF(AS1362="","",IF(OR(AU1362="",AU1362="-"),"－",IF(OR(AZ1362=8,AZ1362=9),"",IF(OR(AW1362=3,AW1362=4,AW1362=5,AW1362=6),VLOOKUP(AU1362,INDEX((係数_バス貨物_ガソリン,係数_バス貨物_CNG,係数_バス貨物_軽油,係数_バス貨物_メタノール,係数_バス貨物_LPG),MATCH(AY1362,【参考】排出係数!$AI$4:$AI$671,1),1,BE1362):INDEX((係数_バス貨物_ガソリン,係数_バス貨物_CNG,係数_バス貨物_軽油,係数_バス貨物_メタノール,係数_バス貨物_LPG),MATCH(AY1362+1,【参考】排出係数!$AI$4:$AI$671,1)-1,5,BE1362),2,FALSE),IF(OR(AW1362=1,AW1362=2),VLOOKUP(AU1362,INDEX((係数_乗用_ガソリン,係数_乗用_CNG,係数_乗用_軽油,係数_乗用_メタノール,係数_乗用_LPG),1,1,BE1362):INDEX((係数_乗用_ガソリン,係数_乗用_CNG,係数_乗用_軽油,係数_乗用_メタノール,係数_乗用_LPG),125,5,BE1362),2,FALSE))))))</f>
        <v/>
      </c>
      <c r="BB1362" s="468" t="str">
        <f>IF(T1362="","",IF(OR(AU1362="",AU1362="-"),"－",IF(OR(AZ1362=8,AZ1362=9),"",IF(OR(AW1362=3,AW1362=4,AW1362=5,AW1362=6),VLOOKUP(AU1362,INDEX((係数_バス貨物_ガソリン,係数_バス貨物_CNG,係数_バス貨物_軽油,係数_バス貨物_メタノール,係数_バス貨物_LPG),MATCH(AY1362,【参考】排出係数!$AI$4:$AI$671,1),1,BE1362):INDEX((係数_バス貨物_ガソリン,係数_バス貨物_CNG,係数_バス貨物_軽油,係数_バス貨物_メタノール,係数_バス貨物_LPG),MATCH(AY1362+1,【参考】排出係数!$AI$4:$AI$671,1)-1,5,BE1362),3,FALSE),IF(OR(AW1362=1,AW1362=2),VLOOKUP(AU1362,INDEX((係数_乗用_ガソリン,係数_乗用_CNG,係数_乗用_軽油,係数_乗用_メタノール,係数_乗用_LPG),1,1,BE1362):INDEX((係数_乗用_ガソリン,係数_乗用_CNG,係数_乗用_軽油,係数_乗用_メタノール,係数_乗用_LPG),125,5,BE1362),3,FALSE))))))</f>
        <v/>
      </c>
      <c r="BC1362" s="467" t="str">
        <f t="shared" si="786"/>
        <v/>
      </c>
      <c r="BD1362" s="567" t="str">
        <f t="shared" si="787"/>
        <v/>
      </c>
      <c r="BE1362" s="467" t="str">
        <f t="shared" si="788"/>
        <v/>
      </c>
      <c r="BF1362" s="469" t="str">
        <f t="shared" ca="1" si="789"/>
        <v/>
      </c>
      <c r="BG1362" s="469" t="str">
        <f t="shared" ca="1" si="790"/>
        <v/>
      </c>
      <c r="BH1362" s="467" t="str">
        <f t="shared" si="791"/>
        <v/>
      </c>
      <c r="BI1362" s="467" t="str">
        <f t="shared" ca="1" si="792"/>
        <v/>
      </c>
      <c r="BJ1362" s="469" t="str">
        <f t="shared" si="793"/>
        <v/>
      </c>
      <c r="BK1362" s="470" t="str">
        <f t="shared" si="777"/>
        <v/>
      </c>
      <c r="BL1362" s="775" t="str">
        <f t="shared" si="794"/>
        <v/>
      </c>
      <c r="BM1362" s="775" t="str">
        <f t="shared" si="795"/>
        <v/>
      </c>
    </row>
    <row r="1363" spans="1:65">
      <c r="A1363" s="473">
        <v>1307</v>
      </c>
      <c r="B1363" s="132"/>
      <c r="C1363" s="332"/>
      <c r="D1363" s="333"/>
      <c r="E1363" s="333"/>
      <c r="F1363" s="334"/>
      <c r="G1363" s="337"/>
      <c r="H1363" s="131"/>
      <c r="I1363" s="337"/>
      <c r="J1363" s="131"/>
      <c r="K1363" s="458" t="str">
        <f t="shared" si="758"/>
        <v/>
      </c>
      <c r="L1363" s="458">
        <f t="shared" si="759"/>
        <v>0</v>
      </c>
      <c r="M1363" s="458">
        <f t="shared" si="760"/>
        <v>0</v>
      </c>
      <c r="N1363" s="459" t="str">
        <f t="shared" si="771"/>
        <v/>
      </c>
      <c r="O1363" s="459" t="str">
        <f t="shared" si="772"/>
        <v/>
      </c>
      <c r="P1363" s="459" t="str">
        <f t="shared" si="773"/>
        <v/>
      </c>
      <c r="Q1363" s="459" t="str">
        <f t="shared" si="774"/>
        <v/>
      </c>
      <c r="R1363" s="459" t="str">
        <f t="shared" si="775"/>
        <v/>
      </c>
      <c r="S1363" s="459" t="str">
        <f t="shared" si="776"/>
        <v/>
      </c>
      <c r="T1363" s="566" t="str">
        <f t="shared" si="761"/>
        <v/>
      </c>
      <c r="U1363" s="702"/>
      <c r="V1363" s="132"/>
      <c r="W1363" s="133"/>
      <c r="X1363" s="134"/>
      <c r="Y1363" s="135"/>
      <c r="Z1363" s="137"/>
      <c r="AA1363" s="136"/>
      <c r="AB1363" s="566" t="str">
        <f t="shared" si="762"/>
        <v/>
      </c>
      <c r="AC1363" s="568" t="str">
        <f t="shared" si="763"/>
        <v/>
      </c>
      <c r="AD1363" s="137"/>
      <c r="AE1363" s="137"/>
      <c r="AF1363" s="138"/>
      <c r="AG1363" s="138"/>
      <c r="AH1363" s="592" t="str">
        <f t="shared" si="764"/>
        <v/>
      </c>
      <c r="AI1363" s="592" t="str">
        <f t="shared" si="765"/>
        <v/>
      </c>
      <c r="AJ1363" s="592" t="str">
        <f t="shared" si="766"/>
        <v/>
      </c>
      <c r="AK1363" s="460" t="str">
        <f>IF(AU1363="","",IF(OR(AZ1363=8,AZ1363=9),0,IF(OR(AW1363=3,AW1363=4,AW1363=5,AW1363=6),IF(LEFT(BF1363,1)="1",INDEX(係数_NOX・PM低減,MATCH(AY1363,【参考】排出係数!$AI$801:$AI$804,1),1),VLOOKUP(AU1363,INDEX((係数_バス貨物_ガソリン,係数_バス貨物_CNG,係数_バス貨物_軽油,係数_バス貨物_メタノール,係数_バス貨物_LPG),MATCH(AY1363,【参考】排出係数!$AI$4:$AI$671,1),1,BE1363):INDEX((係数_バス貨物_ガソリン,係数_バス貨物_CNG,係数_バス貨物_軽油,係数_バス貨物_メタノール,係数_バス貨物_LPG),MATCH(AY1363+1,【参考】排出係数!$AI$4:$AI$671,1)-1,5,BE1363),4,FALSE)),IF(AND(BE1363=3,LEFT(BF1363,1)="1"),0.48,VLOOKUP(AU1363,INDEX((係数_乗用_ガソリン,係数_乗用_CNG,係数_乗用_軽油,係数_乗用_メタノール,係数_乗用_LPG),1,1,BE1363):INDEX((係数_乗用_ガソリン,係数_乗用_CNG,係数_乗用_軽油,係数_乗用_メタノール,係数_乗用_LPG),125,5,BE1363),4,FALSE)))))</f>
        <v/>
      </c>
      <c r="AL1363" s="461" t="str">
        <f t="shared" si="767"/>
        <v/>
      </c>
      <c r="AM1363" s="460" t="str">
        <f>IF(AU1363="","",IF(OR(AZ1363=8,AZ1363=9),0,IF(OR(AW1363=3,AW1363=4,AW1363=5,AW1363=6),IF(LEFT(BH1363,1)="1",INDEX(係数_PM低減,MATCH(AY1363,【参考】排出係数!$AI$801:$AI$804,1),MATCH(BI1363,【参考】排出係数!$AL$798:$AO$798,1)),VLOOKUP(AU1363,INDEX((係数_バス貨物_ガソリン,係数_バス貨物_CNG,係数_バス貨物_軽油,係数_バス貨物_メタノール,係数_バス貨物_LPG),MATCH(AY1363,【参考】排出係数!$AI$4:$AI$671,1),1,BE1363):INDEX((係数_バス貨物_ガソリン,係数_バス貨物_CNG,係数_バス貨物_軽油,係数_バス貨物_メタノール,係数_バス貨物_LPG),MATCH(AY1363+1,【参考】排出係数!$AI$4:$AI$671,1)-1,5,BE1363),5,FALSE)),IF(AND(BE1363=3,LEFT(BF1363,1)="1"),0.055,VLOOKUP(AU1363,INDEX((係数_乗用_ガソリン,係数_乗用_CNG,係数_乗用_軽油,係数_乗用_メタノール,係数_乗用_LPG),1,1,BE1363):INDEX((係数_乗用_ガソリン,係数_乗用_CNG,係数_乗用_軽油,係数_乗用_メタノール,係数_乗用_LPG),125,5,BE1363),5,FALSE)))))</f>
        <v/>
      </c>
      <c r="AN1363" s="461" t="str">
        <f t="shared" si="768"/>
        <v/>
      </c>
      <c r="AO1363" s="462" t="str">
        <f t="shared" si="769"/>
        <v/>
      </c>
      <c r="AP1363" s="463" t="str">
        <f t="shared" si="770"/>
        <v/>
      </c>
      <c r="AQ1363" s="464"/>
      <c r="AR1363" s="619"/>
      <c r="AS1363" s="465" t="str">
        <f t="shared" si="778"/>
        <v/>
      </c>
      <c r="AT1363" s="465" t="str">
        <f t="shared" si="779"/>
        <v/>
      </c>
      <c r="AU1363" s="466" t="str">
        <f t="shared" si="780"/>
        <v/>
      </c>
      <c r="AV1363" s="467" t="str">
        <f t="shared" si="781"/>
        <v/>
      </c>
      <c r="AW1363" s="467" t="str">
        <f t="shared" si="782"/>
        <v/>
      </c>
      <c r="AX1363" s="467" t="str">
        <f t="shared" si="783"/>
        <v/>
      </c>
      <c r="AY1363" s="467" t="str">
        <f t="shared" si="784"/>
        <v/>
      </c>
      <c r="AZ1363" s="467" t="str">
        <f t="shared" si="785"/>
        <v/>
      </c>
      <c r="BA1363" s="468" t="str">
        <f>IF(AS1363="","",IF(OR(AU1363="",AU1363="-"),"－",IF(OR(AZ1363=8,AZ1363=9),"",IF(OR(AW1363=3,AW1363=4,AW1363=5,AW1363=6),VLOOKUP(AU1363,INDEX((係数_バス貨物_ガソリン,係数_バス貨物_CNG,係数_バス貨物_軽油,係数_バス貨物_メタノール,係数_バス貨物_LPG),MATCH(AY1363,【参考】排出係数!$AI$4:$AI$671,1),1,BE1363):INDEX((係数_バス貨物_ガソリン,係数_バス貨物_CNG,係数_バス貨物_軽油,係数_バス貨物_メタノール,係数_バス貨物_LPG),MATCH(AY1363+1,【参考】排出係数!$AI$4:$AI$671,1)-1,5,BE1363),2,FALSE),IF(OR(AW1363=1,AW1363=2),VLOOKUP(AU1363,INDEX((係数_乗用_ガソリン,係数_乗用_CNG,係数_乗用_軽油,係数_乗用_メタノール,係数_乗用_LPG),1,1,BE1363):INDEX((係数_乗用_ガソリン,係数_乗用_CNG,係数_乗用_軽油,係数_乗用_メタノール,係数_乗用_LPG),125,5,BE1363),2,FALSE))))))</f>
        <v/>
      </c>
      <c r="BB1363" s="468" t="str">
        <f>IF(T1363="","",IF(OR(AU1363="",AU1363="-"),"－",IF(OR(AZ1363=8,AZ1363=9),"",IF(OR(AW1363=3,AW1363=4,AW1363=5,AW1363=6),VLOOKUP(AU1363,INDEX((係数_バス貨物_ガソリン,係数_バス貨物_CNG,係数_バス貨物_軽油,係数_バス貨物_メタノール,係数_バス貨物_LPG),MATCH(AY1363,【参考】排出係数!$AI$4:$AI$671,1),1,BE1363):INDEX((係数_バス貨物_ガソリン,係数_バス貨物_CNG,係数_バス貨物_軽油,係数_バス貨物_メタノール,係数_バス貨物_LPG),MATCH(AY1363+1,【参考】排出係数!$AI$4:$AI$671,1)-1,5,BE1363),3,FALSE),IF(OR(AW1363=1,AW1363=2),VLOOKUP(AU1363,INDEX((係数_乗用_ガソリン,係数_乗用_CNG,係数_乗用_軽油,係数_乗用_メタノール,係数_乗用_LPG),1,1,BE1363):INDEX((係数_乗用_ガソリン,係数_乗用_CNG,係数_乗用_軽油,係数_乗用_メタノール,係数_乗用_LPG),125,5,BE1363),3,FALSE))))))</f>
        <v/>
      </c>
      <c r="BC1363" s="467" t="str">
        <f t="shared" si="786"/>
        <v/>
      </c>
      <c r="BD1363" s="567" t="str">
        <f t="shared" si="787"/>
        <v/>
      </c>
      <c r="BE1363" s="467" t="str">
        <f t="shared" si="788"/>
        <v/>
      </c>
      <c r="BF1363" s="469" t="str">
        <f t="shared" ca="1" si="789"/>
        <v/>
      </c>
      <c r="BG1363" s="469" t="str">
        <f t="shared" ca="1" si="790"/>
        <v/>
      </c>
      <c r="BH1363" s="467" t="str">
        <f t="shared" si="791"/>
        <v/>
      </c>
      <c r="BI1363" s="467" t="str">
        <f t="shared" ca="1" si="792"/>
        <v/>
      </c>
      <c r="BJ1363" s="469" t="str">
        <f t="shared" si="793"/>
        <v/>
      </c>
      <c r="BK1363" s="470" t="str">
        <f t="shared" si="777"/>
        <v/>
      </c>
      <c r="BL1363" s="775" t="str">
        <f t="shared" si="794"/>
        <v/>
      </c>
      <c r="BM1363" s="775" t="str">
        <f t="shared" si="795"/>
        <v/>
      </c>
    </row>
    <row r="1364" spans="1:65">
      <c r="A1364" s="473">
        <v>1308</v>
      </c>
      <c r="B1364" s="132"/>
      <c r="C1364" s="332"/>
      <c r="D1364" s="333"/>
      <c r="E1364" s="333"/>
      <c r="F1364" s="334"/>
      <c r="G1364" s="337"/>
      <c r="H1364" s="131"/>
      <c r="I1364" s="337"/>
      <c r="J1364" s="131"/>
      <c r="K1364" s="458" t="str">
        <f t="shared" si="758"/>
        <v/>
      </c>
      <c r="L1364" s="458">
        <f t="shared" si="759"/>
        <v>0</v>
      </c>
      <c r="M1364" s="458">
        <f t="shared" si="760"/>
        <v>0</v>
      </c>
      <c r="N1364" s="459" t="str">
        <f t="shared" si="771"/>
        <v/>
      </c>
      <c r="O1364" s="459" t="str">
        <f t="shared" si="772"/>
        <v/>
      </c>
      <c r="P1364" s="459" t="str">
        <f t="shared" si="773"/>
        <v/>
      </c>
      <c r="Q1364" s="459" t="str">
        <f t="shared" si="774"/>
        <v/>
      </c>
      <c r="R1364" s="459" t="str">
        <f t="shared" si="775"/>
        <v/>
      </c>
      <c r="S1364" s="459" t="str">
        <f t="shared" si="776"/>
        <v/>
      </c>
      <c r="T1364" s="566" t="str">
        <f t="shared" si="761"/>
        <v/>
      </c>
      <c r="U1364" s="702"/>
      <c r="V1364" s="132"/>
      <c r="W1364" s="133"/>
      <c r="X1364" s="134"/>
      <c r="Y1364" s="135"/>
      <c r="Z1364" s="137"/>
      <c r="AA1364" s="136"/>
      <c r="AB1364" s="566" t="str">
        <f t="shared" si="762"/>
        <v/>
      </c>
      <c r="AC1364" s="568" t="str">
        <f t="shared" si="763"/>
        <v/>
      </c>
      <c r="AD1364" s="137"/>
      <c r="AE1364" s="137"/>
      <c r="AF1364" s="138"/>
      <c r="AG1364" s="138"/>
      <c r="AH1364" s="592" t="str">
        <f t="shared" si="764"/>
        <v/>
      </c>
      <c r="AI1364" s="592" t="str">
        <f t="shared" si="765"/>
        <v/>
      </c>
      <c r="AJ1364" s="592" t="str">
        <f t="shared" si="766"/>
        <v/>
      </c>
      <c r="AK1364" s="460" t="str">
        <f>IF(AU1364="","",IF(OR(AZ1364=8,AZ1364=9),0,IF(OR(AW1364=3,AW1364=4,AW1364=5,AW1364=6),IF(LEFT(BF1364,1)="1",INDEX(係数_NOX・PM低減,MATCH(AY1364,【参考】排出係数!$AI$801:$AI$804,1),1),VLOOKUP(AU1364,INDEX((係数_バス貨物_ガソリン,係数_バス貨物_CNG,係数_バス貨物_軽油,係数_バス貨物_メタノール,係数_バス貨物_LPG),MATCH(AY1364,【参考】排出係数!$AI$4:$AI$671,1),1,BE1364):INDEX((係数_バス貨物_ガソリン,係数_バス貨物_CNG,係数_バス貨物_軽油,係数_バス貨物_メタノール,係数_バス貨物_LPG),MATCH(AY1364+1,【参考】排出係数!$AI$4:$AI$671,1)-1,5,BE1364),4,FALSE)),IF(AND(BE1364=3,LEFT(BF1364,1)="1"),0.48,VLOOKUP(AU1364,INDEX((係数_乗用_ガソリン,係数_乗用_CNG,係数_乗用_軽油,係数_乗用_メタノール,係数_乗用_LPG),1,1,BE1364):INDEX((係数_乗用_ガソリン,係数_乗用_CNG,係数_乗用_軽油,係数_乗用_メタノール,係数_乗用_LPG),125,5,BE1364),4,FALSE)))))</f>
        <v/>
      </c>
      <c r="AL1364" s="461" t="str">
        <f t="shared" si="767"/>
        <v/>
      </c>
      <c r="AM1364" s="460" t="str">
        <f>IF(AU1364="","",IF(OR(AZ1364=8,AZ1364=9),0,IF(OR(AW1364=3,AW1364=4,AW1364=5,AW1364=6),IF(LEFT(BH1364,1)="1",INDEX(係数_PM低減,MATCH(AY1364,【参考】排出係数!$AI$801:$AI$804,1),MATCH(BI1364,【参考】排出係数!$AL$798:$AO$798,1)),VLOOKUP(AU1364,INDEX((係数_バス貨物_ガソリン,係数_バス貨物_CNG,係数_バス貨物_軽油,係数_バス貨物_メタノール,係数_バス貨物_LPG),MATCH(AY1364,【参考】排出係数!$AI$4:$AI$671,1),1,BE1364):INDEX((係数_バス貨物_ガソリン,係数_バス貨物_CNG,係数_バス貨物_軽油,係数_バス貨物_メタノール,係数_バス貨物_LPG),MATCH(AY1364+1,【参考】排出係数!$AI$4:$AI$671,1)-1,5,BE1364),5,FALSE)),IF(AND(BE1364=3,LEFT(BF1364,1)="1"),0.055,VLOOKUP(AU1364,INDEX((係数_乗用_ガソリン,係数_乗用_CNG,係数_乗用_軽油,係数_乗用_メタノール,係数_乗用_LPG),1,1,BE1364):INDEX((係数_乗用_ガソリン,係数_乗用_CNG,係数_乗用_軽油,係数_乗用_メタノール,係数_乗用_LPG),125,5,BE1364),5,FALSE)))))</f>
        <v/>
      </c>
      <c r="AN1364" s="461" t="str">
        <f t="shared" si="768"/>
        <v/>
      </c>
      <c r="AO1364" s="462" t="str">
        <f t="shared" si="769"/>
        <v/>
      </c>
      <c r="AP1364" s="463" t="str">
        <f t="shared" si="770"/>
        <v/>
      </c>
      <c r="AQ1364" s="464"/>
      <c r="AR1364" s="619"/>
      <c r="AS1364" s="465" t="str">
        <f t="shared" si="778"/>
        <v/>
      </c>
      <c r="AT1364" s="465" t="str">
        <f t="shared" si="779"/>
        <v/>
      </c>
      <c r="AU1364" s="466" t="str">
        <f t="shared" si="780"/>
        <v/>
      </c>
      <c r="AV1364" s="467" t="str">
        <f t="shared" si="781"/>
        <v/>
      </c>
      <c r="AW1364" s="467" t="str">
        <f t="shared" si="782"/>
        <v/>
      </c>
      <c r="AX1364" s="467" t="str">
        <f t="shared" si="783"/>
        <v/>
      </c>
      <c r="AY1364" s="467" t="str">
        <f t="shared" si="784"/>
        <v/>
      </c>
      <c r="AZ1364" s="467" t="str">
        <f t="shared" si="785"/>
        <v/>
      </c>
      <c r="BA1364" s="468" t="str">
        <f>IF(AS1364="","",IF(OR(AU1364="",AU1364="-"),"－",IF(OR(AZ1364=8,AZ1364=9),"",IF(OR(AW1364=3,AW1364=4,AW1364=5,AW1364=6),VLOOKUP(AU1364,INDEX((係数_バス貨物_ガソリン,係数_バス貨物_CNG,係数_バス貨物_軽油,係数_バス貨物_メタノール,係数_バス貨物_LPG),MATCH(AY1364,【参考】排出係数!$AI$4:$AI$671,1),1,BE1364):INDEX((係数_バス貨物_ガソリン,係数_バス貨物_CNG,係数_バス貨物_軽油,係数_バス貨物_メタノール,係数_バス貨物_LPG),MATCH(AY1364+1,【参考】排出係数!$AI$4:$AI$671,1)-1,5,BE1364),2,FALSE),IF(OR(AW1364=1,AW1364=2),VLOOKUP(AU1364,INDEX((係数_乗用_ガソリン,係数_乗用_CNG,係数_乗用_軽油,係数_乗用_メタノール,係数_乗用_LPG),1,1,BE1364):INDEX((係数_乗用_ガソリン,係数_乗用_CNG,係数_乗用_軽油,係数_乗用_メタノール,係数_乗用_LPG),125,5,BE1364),2,FALSE))))))</f>
        <v/>
      </c>
      <c r="BB1364" s="468" t="str">
        <f>IF(T1364="","",IF(OR(AU1364="",AU1364="-"),"－",IF(OR(AZ1364=8,AZ1364=9),"",IF(OR(AW1364=3,AW1364=4,AW1364=5,AW1364=6),VLOOKUP(AU1364,INDEX((係数_バス貨物_ガソリン,係数_バス貨物_CNG,係数_バス貨物_軽油,係数_バス貨物_メタノール,係数_バス貨物_LPG),MATCH(AY1364,【参考】排出係数!$AI$4:$AI$671,1),1,BE1364):INDEX((係数_バス貨物_ガソリン,係数_バス貨物_CNG,係数_バス貨物_軽油,係数_バス貨物_メタノール,係数_バス貨物_LPG),MATCH(AY1364+1,【参考】排出係数!$AI$4:$AI$671,1)-1,5,BE1364),3,FALSE),IF(OR(AW1364=1,AW1364=2),VLOOKUP(AU1364,INDEX((係数_乗用_ガソリン,係数_乗用_CNG,係数_乗用_軽油,係数_乗用_メタノール,係数_乗用_LPG),1,1,BE1364):INDEX((係数_乗用_ガソリン,係数_乗用_CNG,係数_乗用_軽油,係数_乗用_メタノール,係数_乗用_LPG),125,5,BE1364),3,FALSE))))))</f>
        <v/>
      </c>
      <c r="BC1364" s="467" t="str">
        <f t="shared" si="786"/>
        <v/>
      </c>
      <c r="BD1364" s="567" t="str">
        <f t="shared" si="787"/>
        <v/>
      </c>
      <c r="BE1364" s="467" t="str">
        <f t="shared" si="788"/>
        <v/>
      </c>
      <c r="BF1364" s="469" t="str">
        <f t="shared" ca="1" si="789"/>
        <v/>
      </c>
      <c r="BG1364" s="469" t="str">
        <f t="shared" ca="1" si="790"/>
        <v/>
      </c>
      <c r="BH1364" s="467" t="str">
        <f t="shared" si="791"/>
        <v/>
      </c>
      <c r="BI1364" s="467" t="str">
        <f t="shared" ca="1" si="792"/>
        <v/>
      </c>
      <c r="BJ1364" s="469" t="str">
        <f t="shared" si="793"/>
        <v/>
      </c>
      <c r="BK1364" s="470" t="str">
        <f t="shared" si="777"/>
        <v/>
      </c>
      <c r="BL1364" s="775" t="str">
        <f t="shared" si="794"/>
        <v/>
      </c>
      <c r="BM1364" s="775" t="str">
        <f t="shared" si="795"/>
        <v/>
      </c>
    </row>
    <row r="1365" spans="1:65">
      <c r="A1365" s="473">
        <v>1309</v>
      </c>
      <c r="B1365" s="132"/>
      <c r="C1365" s="332"/>
      <c r="D1365" s="333"/>
      <c r="E1365" s="333"/>
      <c r="F1365" s="334"/>
      <c r="G1365" s="337"/>
      <c r="H1365" s="131"/>
      <c r="I1365" s="337"/>
      <c r="J1365" s="131"/>
      <c r="K1365" s="458" t="str">
        <f t="shared" si="758"/>
        <v/>
      </c>
      <c r="L1365" s="458">
        <f t="shared" si="759"/>
        <v>0</v>
      </c>
      <c r="M1365" s="458">
        <f t="shared" si="760"/>
        <v>0</v>
      </c>
      <c r="N1365" s="459" t="str">
        <f t="shared" si="771"/>
        <v/>
      </c>
      <c r="O1365" s="459" t="str">
        <f t="shared" si="772"/>
        <v/>
      </c>
      <c r="P1365" s="459" t="str">
        <f t="shared" si="773"/>
        <v/>
      </c>
      <c r="Q1365" s="459" t="str">
        <f t="shared" si="774"/>
        <v/>
      </c>
      <c r="R1365" s="459" t="str">
        <f t="shared" si="775"/>
        <v/>
      </c>
      <c r="S1365" s="459" t="str">
        <f t="shared" si="776"/>
        <v/>
      </c>
      <c r="T1365" s="566" t="str">
        <f t="shared" si="761"/>
        <v/>
      </c>
      <c r="U1365" s="702"/>
      <c r="V1365" s="132"/>
      <c r="W1365" s="133"/>
      <c r="X1365" s="134"/>
      <c r="Y1365" s="135"/>
      <c r="Z1365" s="137"/>
      <c r="AA1365" s="136"/>
      <c r="AB1365" s="566" t="str">
        <f t="shared" si="762"/>
        <v/>
      </c>
      <c r="AC1365" s="568" t="str">
        <f t="shared" si="763"/>
        <v/>
      </c>
      <c r="AD1365" s="137"/>
      <c r="AE1365" s="137"/>
      <c r="AF1365" s="138"/>
      <c r="AG1365" s="138"/>
      <c r="AH1365" s="592" t="str">
        <f t="shared" si="764"/>
        <v/>
      </c>
      <c r="AI1365" s="592" t="str">
        <f t="shared" si="765"/>
        <v/>
      </c>
      <c r="AJ1365" s="592" t="str">
        <f t="shared" si="766"/>
        <v/>
      </c>
      <c r="AK1365" s="460" t="str">
        <f>IF(AU1365="","",IF(OR(AZ1365=8,AZ1365=9),0,IF(OR(AW1365=3,AW1365=4,AW1365=5,AW1365=6),IF(LEFT(BF1365,1)="1",INDEX(係数_NOX・PM低減,MATCH(AY1365,【参考】排出係数!$AI$801:$AI$804,1),1),VLOOKUP(AU1365,INDEX((係数_バス貨物_ガソリン,係数_バス貨物_CNG,係数_バス貨物_軽油,係数_バス貨物_メタノール,係数_バス貨物_LPG),MATCH(AY1365,【参考】排出係数!$AI$4:$AI$671,1),1,BE1365):INDEX((係数_バス貨物_ガソリン,係数_バス貨物_CNG,係数_バス貨物_軽油,係数_バス貨物_メタノール,係数_バス貨物_LPG),MATCH(AY1365+1,【参考】排出係数!$AI$4:$AI$671,1)-1,5,BE1365),4,FALSE)),IF(AND(BE1365=3,LEFT(BF1365,1)="1"),0.48,VLOOKUP(AU1365,INDEX((係数_乗用_ガソリン,係数_乗用_CNG,係数_乗用_軽油,係数_乗用_メタノール,係数_乗用_LPG),1,1,BE1365):INDEX((係数_乗用_ガソリン,係数_乗用_CNG,係数_乗用_軽油,係数_乗用_メタノール,係数_乗用_LPG),125,5,BE1365),4,FALSE)))))</f>
        <v/>
      </c>
      <c r="AL1365" s="461" t="str">
        <f t="shared" si="767"/>
        <v/>
      </c>
      <c r="AM1365" s="460" t="str">
        <f>IF(AU1365="","",IF(OR(AZ1365=8,AZ1365=9),0,IF(OR(AW1365=3,AW1365=4,AW1365=5,AW1365=6),IF(LEFT(BH1365,1)="1",INDEX(係数_PM低減,MATCH(AY1365,【参考】排出係数!$AI$801:$AI$804,1),MATCH(BI1365,【参考】排出係数!$AL$798:$AO$798,1)),VLOOKUP(AU1365,INDEX((係数_バス貨物_ガソリン,係数_バス貨物_CNG,係数_バス貨物_軽油,係数_バス貨物_メタノール,係数_バス貨物_LPG),MATCH(AY1365,【参考】排出係数!$AI$4:$AI$671,1),1,BE1365):INDEX((係数_バス貨物_ガソリン,係数_バス貨物_CNG,係数_バス貨物_軽油,係数_バス貨物_メタノール,係数_バス貨物_LPG),MATCH(AY1365+1,【参考】排出係数!$AI$4:$AI$671,1)-1,5,BE1365),5,FALSE)),IF(AND(BE1365=3,LEFT(BF1365,1)="1"),0.055,VLOOKUP(AU1365,INDEX((係数_乗用_ガソリン,係数_乗用_CNG,係数_乗用_軽油,係数_乗用_メタノール,係数_乗用_LPG),1,1,BE1365):INDEX((係数_乗用_ガソリン,係数_乗用_CNG,係数_乗用_軽油,係数_乗用_メタノール,係数_乗用_LPG),125,5,BE1365),5,FALSE)))))</f>
        <v/>
      </c>
      <c r="AN1365" s="461" t="str">
        <f t="shared" si="768"/>
        <v/>
      </c>
      <c r="AO1365" s="462" t="str">
        <f t="shared" si="769"/>
        <v/>
      </c>
      <c r="AP1365" s="463" t="str">
        <f t="shared" si="770"/>
        <v/>
      </c>
      <c r="AQ1365" s="464"/>
      <c r="AR1365" s="619"/>
      <c r="AS1365" s="465" t="str">
        <f t="shared" si="778"/>
        <v/>
      </c>
      <c r="AT1365" s="465" t="str">
        <f t="shared" si="779"/>
        <v/>
      </c>
      <c r="AU1365" s="466" t="str">
        <f t="shared" si="780"/>
        <v/>
      </c>
      <c r="AV1365" s="467" t="str">
        <f t="shared" si="781"/>
        <v/>
      </c>
      <c r="AW1365" s="467" t="str">
        <f t="shared" si="782"/>
        <v/>
      </c>
      <c r="AX1365" s="467" t="str">
        <f t="shared" si="783"/>
        <v/>
      </c>
      <c r="AY1365" s="467" t="str">
        <f t="shared" si="784"/>
        <v/>
      </c>
      <c r="AZ1365" s="467" t="str">
        <f t="shared" si="785"/>
        <v/>
      </c>
      <c r="BA1365" s="468" t="str">
        <f>IF(AS1365="","",IF(OR(AU1365="",AU1365="-"),"－",IF(OR(AZ1365=8,AZ1365=9),"",IF(OR(AW1365=3,AW1365=4,AW1365=5,AW1365=6),VLOOKUP(AU1365,INDEX((係数_バス貨物_ガソリン,係数_バス貨物_CNG,係数_バス貨物_軽油,係数_バス貨物_メタノール,係数_バス貨物_LPG),MATCH(AY1365,【参考】排出係数!$AI$4:$AI$671,1),1,BE1365):INDEX((係数_バス貨物_ガソリン,係数_バス貨物_CNG,係数_バス貨物_軽油,係数_バス貨物_メタノール,係数_バス貨物_LPG),MATCH(AY1365+1,【参考】排出係数!$AI$4:$AI$671,1)-1,5,BE1365),2,FALSE),IF(OR(AW1365=1,AW1365=2),VLOOKUP(AU1365,INDEX((係数_乗用_ガソリン,係数_乗用_CNG,係数_乗用_軽油,係数_乗用_メタノール,係数_乗用_LPG),1,1,BE1365):INDEX((係数_乗用_ガソリン,係数_乗用_CNG,係数_乗用_軽油,係数_乗用_メタノール,係数_乗用_LPG),125,5,BE1365),2,FALSE))))))</f>
        <v/>
      </c>
      <c r="BB1365" s="468" t="str">
        <f>IF(T1365="","",IF(OR(AU1365="",AU1365="-"),"－",IF(OR(AZ1365=8,AZ1365=9),"",IF(OR(AW1365=3,AW1365=4,AW1365=5,AW1365=6),VLOOKUP(AU1365,INDEX((係数_バス貨物_ガソリン,係数_バス貨物_CNG,係数_バス貨物_軽油,係数_バス貨物_メタノール,係数_バス貨物_LPG),MATCH(AY1365,【参考】排出係数!$AI$4:$AI$671,1),1,BE1365):INDEX((係数_バス貨物_ガソリン,係数_バス貨物_CNG,係数_バス貨物_軽油,係数_バス貨物_メタノール,係数_バス貨物_LPG),MATCH(AY1365+1,【参考】排出係数!$AI$4:$AI$671,1)-1,5,BE1365),3,FALSE),IF(OR(AW1365=1,AW1365=2),VLOOKUP(AU1365,INDEX((係数_乗用_ガソリン,係数_乗用_CNG,係数_乗用_軽油,係数_乗用_メタノール,係数_乗用_LPG),1,1,BE1365):INDEX((係数_乗用_ガソリン,係数_乗用_CNG,係数_乗用_軽油,係数_乗用_メタノール,係数_乗用_LPG),125,5,BE1365),3,FALSE))))))</f>
        <v/>
      </c>
      <c r="BC1365" s="467" t="str">
        <f t="shared" si="786"/>
        <v/>
      </c>
      <c r="BD1365" s="567" t="str">
        <f t="shared" si="787"/>
        <v/>
      </c>
      <c r="BE1365" s="467" t="str">
        <f t="shared" si="788"/>
        <v/>
      </c>
      <c r="BF1365" s="469" t="str">
        <f t="shared" ca="1" si="789"/>
        <v/>
      </c>
      <c r="BG1365" s="469" t="str">
        <f t="shared" ca="1" si="790"/>
        <v/>
      </c>
      <c r="BH1365" s="467" t="str">
        <f t="shared" si="791"/>
        <v/>
      </c>
      <c r="BI1365" s="467" t="str">
        <f t="shared" ca="1" si="792"/>
        <v/>
      </c>
      <c r="BJ1365" s="469" t="str">
        <f t="shared" si="793"/>
        <v/>
      </c>
      <c r="BK1365" s="470" t="str">
        <f t="shared" si="777"/>
        <v/>
      </c>
      <c r="BL1365" s="775" t="str">
        <f t="shared" si="794"/>
        <v/>
      </c>
      <c r="BM1365" s="775" t="str">
        <f t="shared" si="795"/>
        <v/>
      </c>
    </row>
    <row r="1366" spans="1:65">
      <c r="A1366" s="473">
        <v>1310</v>
      </c>
      <c r="B1366" s="132"/>
      <c r="C1366" s="332"/>
      <c r="D1366" s="333"/>
      <c r="E1366" s="333"/>
      <c r="F1366" s="334"/>
      <c r="G1366" s="337"/>
      <c r="H1366" s="131"/>
      <c r="I1366" s="337"/>
      <c r="J1366" s="131"/>
      <c r="K1366" s="458" t="str">
        <f t="shared" si="758"/>
        <v/>
      </c>
      <c r="L1366" s="458">
        <f t="shared" si="759"/>
        <v>0</v>
      </c>
      <c r="M1366" s="458">
        <f t="shared" si="760"/>
        <v>0</v>
      </c>
      <c r="N1366" s="459" t="str">
        <f t="shared" si="771"/>
        <v/>
      </c>
      <c r="O1366" s="459" t="str">
        <f t="shared" si="772"/>
        <v/>
      </c>
      <c r="P1366" s="459" t="str">
        <f t="shared" si="773"/>
        <v/>
      </c>
      <c r="Q1366" s="459" t="str">
        <f t="shared" si="774"/>
        <v/>
      </c>
      <c r="R1366" s="459" t="str">
        <f t="shared" si="775"/>
        <v/>
      </c>
      <c r="S1366" s="459" t="str">
        <f t="shared" si="776"/>
        <v/>
      </c>
      <c r="T1366" s="566" t="str">
        <f t="shared" si="761"/>
        <v/>
      </c>
      <c r="U1366" s="702"/>
      <c r="V1366" s="132"/>
      <c r="W1366" s="133"/>
      <c r="X1366" s="134"/>
      <c r="Y1366" s="135"/>
      <c r="Z1366" s="137"/>
      <c r="AA1366" s="136"/>
      <c r="AB1366" s="566" t="str">
        <f t="shared" si="762"/>
        <v/>
      </c>
      <c r="AC1366" s="568" t="str">
        <f t="shared" si="763"/>
        <v/>
      </c>
      <c r="AD1366" s="137"/>
      <c r="AE1366" s="137"/>
      <c r="AF1366" s="138"/>
      <c r="AG1366" s="138"/>
      <c r="AH1366" s="592" t="str">
        <f t="shared" si="764"/>
        <v/>
      </c>
      <c r="AI1366" s="592" t="str">
        <f t="shared" si="765"/>
        <v/>
      </c>
      <c r="AJ1366" s="592" t="str">
        <f t="shared" si="766"/>
        <v/>
      </c>
      <c r="AK1366" s="460" t="str">
        <f>IF(AU1366="","",IF(OR(AZ1366=8,AZ1366=9),0,IF(OR(AW1366=3,AW1366=4,AW1366=5,AW1366=6),IF(LEFT(BF1366,1)="1",INDEX(係数_NOX・PM低減,MATCH(AY1366,【参考】排出係数!$AI$801:$AI$804,1),1),VLOOKUP(AU1366,INDEX((係数_バス貨物_ガソリン,係数_バス貨物_CNG,係数_バス貨物_軽油,係数_バス貨物_メタノール,係数_バス貨物_LPG),MATCH(AY1366,【参考】排出係数!$AI$4:$AI$671,1),1,BE1366):INDEX((係数_バス貨物_ガソリン,係数_バス貨物_CNG,係数_バス貨物_軽油,係数_バス貨物_メタノール,係数_バス貨物_LPG),MATCH(AY1366+1,【参考】排出係数!$AI$4:$AI$671,1)-1,5,BE1366),4,FALSE)),IF(AND(BE1366=3,LEFT(BF1366,1)="1"),0.48,VLOOKUP(AU1366,INDEX((係数_乗用_ガソリン,係数_乗用_CNG,係数_乗用_軽油,係数_乗用_メタノール,係数_乗用_LPG),1,1,BE1366):INDEX((係数_乗用_ガソリン,係数_乗用_CNG,係数_乗用_軽油,係数_乗用_メタノール,係数_乗用_LPG),125,5,BE1366),4,FALSE)))))</f>
        <v/>
      </c>
      <c r="AL1366" s="461" t="str">
        <f t="shared" si="767"/>
        <v/>
      </c>
      <c r="AM1366" s="460" t="str">
        <f>IF(AU1366="","",IF(OR(AZ1366=8,AZ1366=9),0,IF(OR(AW1366=3,AW1366=4,AW1366=5,AW1366=6),IF(LEFT(BH1366,1)="1",INDEX(係数_PM低減,MATCH(AY1366,【参考】排出係数!$AI$801:$AI$804,1),MATCH(BI1366,【参考】排出係数!$AL$798:$AO$798,1)),VLOOKUP(AU1366,INDEX((係数_バス貨物_ガソリン,係数_バス貨物_CNG,係数_バス貨物_軽油,係数_バス貨物_メタノール,係数_バス貨物_LPG),MATCH(AY1366,【参考】排出係数!$AI$4:$AI$671,1),1,BE1366):INDEX((係数_バス貨物_ガソリン,係数_バス貨物_CNG,係数_バス貨物_軽油,係数_バス貨物_メタノール,係数_バス貨物_LPG),MATCH(AY1366+1,【参考】排出係数!$AI$4:$AI$671,1)-1,5,BE1366),5,FALSE)),IF(AND(BE1366=3,LEFT(BF1366,1)="1"),0.055,VLOOKUP(AU1366,INDEX((係数_乗用_ガソリン,係数_乗用_CNG,係数_乗用_軽油,係数_乗用_メタノール,係数_乗用_LPG),1,1,BE1366):INDEX((係数_乗用_ガソリン,係数_乗用_CNG,係数_乗用_軽油,係数_乗用_メタノール,係数_乗用_LPG),125,5,BE1366),5,FALSE)))))</f>
        <v/>
      </c>
      <c r="AN1366" s="461" t="str">
        <f t="shared" si="768"/>
        <v/>
      </c>
      <c r="AO1366" s="462" t="str">
        <f t="shared" si="769"/>
        <v/>
      </c>
      <c r="AP1366" s="463" t="str">
        <f t="shared" si="770"/>
        <v/>
      </c>
      <c r="AQ1366" s="464"/>
      <c r="AR1366" s="619"/>
      <c r="AS1366" s="465" t="str">
        <f t="shared" si="778"/>
        <v/>
      </c>
      <c r="AT1366" s="465" t="str">
        <f t="shared" si="779"/>
        <v/>
      </c>
      <c r="AU1366" s="466" t="str">
        <f t="shared" si="780"/>
        <v/>
      </c>
      <c r="AV1366" s="467" t="str">
        <f t="shared" si="781"/>
        <v/>
      </c>
      <c r="AW1366" s="467" t="str">
        <f t="shared" si="782"/>
        <v/>
      </c>
      <c r="AX1366" s="467" t="str">
        <f t="shared" si="783"/>
        <v/>
      </c>
      <c r="AY1366" s="467" t="str">
        <f t="shared" si="784"/>
        <v/>
      </c>
      <c r="AZ1366" s="467" t="str">
        <f t="shared" si="785"/>
        <v/>
      </c>
      <c r="BA1366" s="468" t="str">
        <f>IF(AS1366="","",IF(OR(AU1366="",AU1366="-"),"－",IF(OR(AZ1366=8,AZ1366=9),"",IF(OR(AW1366=3,AW1366=4,AW1366=5,AW1366=6),VLOOKUP(AU1366,INDEX((係数_バス貨物_ガソリン,係数_バス貨物_CNG,係数_バス貨物_軽油,係数_バス貨物_メタノール,係数_バス貨物_LPG),MATCH(AY1366,【参考】排出係数!$AI$4:$AI$671,1),1,BE1366):INDEX((係数_バス貨物_ガソリン,係数_バス貨物_CNG,係数_バス貨物_軽油,係数_バス貨物_メタノール,係数_バス貨物_LPG),MATCH(AY1366+1,【参考】排出係数!$AI$4:$AI$671,1)-1,5,BE1366),2,FALSE),IF(OR(AW1366=1,AW1366=2),VLOOKUP(AU1366,INDEX((係数_乗用_ガソリン,係数_乗用_CNG,係数_乗用_軽油,係数_乗用_メタノール,係数_乗用_LPG),1,1,BE1366):INDEX((係数_乗用_ガソリン,係数_乗用_CNG,係数_乗用_軽油,係数_乗用_メタノール,係数_乗用_LPG),125,5,BE1366),2,FALSE))))))</f>
        <v/>
      </c>
      <c r="BB1366" s="468" t="str">
        <f>IF(T1366="","",IF(OR(AU1366="",AU1366="-"),"－",IF(OR(AZ1366=8,AZ1366=9),"",IF(OR(AW1366=3,AW1366=4,AW1366=5,AW1366=6),VLOOKUP(AU1366,INDEX((係数_バス貨物_ガソリン,係数_バス貨物_CNG,係数_バス貨物_軽油,係数_バス貨物_メタノール,係数_バス貨物_LPG),MATCH(AY1366,【参考】排出係数!$AI$4:$AI$671,1),1,BE1366):INDEX((係数_バス貨物_ガソリン,係数_バス貨物_CNG,係数_バス貨物_軽油,係数_バス貨物_メタノール,係数_バス貨物_LPG),MATCH(AY1366+1,【参考】排出係数!$AI$4:$AI$671,1)-1,5,BE1366),3,FALSE),IF(OR(AW1366=1,AW1366=2),VLOOKUP(AU1366,INDEX((係数_乗用_ガソリン,係数_乗用_CNG,係数_乗用_軽油,係数_乗用_メタノール,係数_乗用_LPG),1,1,BE1366):INDEX((係数_乗用_ガソリン,係数_乗用_CNG,係数_乗用_軽油,係数_乗用_メタノール,係数_乗用_LPG),125,5,BE1366),3,FALSE))))))</f>
        <v/>
      </c>
      <c r="BC1366" s="467" t="str">
        <f t="shared" si="786"/>
        <v/>
      </c>
      <c r="BD1366" s="567" t="str">
        <f t="shared" si="787"/>
        <v/>
      </c>
      <c r="BE1366" s="467" t="str">
        <f t="shared" si="788"/>
        <v/>
      </c>
      <c r="BF1366" s="469" t="str">
        <f t="shared" ca="1" si="789"/>
        <v/>
      </c>
      <c r="BG1366" s="469" t="str">
        <f t="shared" ca="1" si="790"/>
        <v/>
      </c>
      <c r="BH1366" s="467" t="str">
        <f t="shared" si="791"/>
        <v/>
      </c>
      <c r="BI1366" s="467" t="str">
        <f t="shared" ca="1" si="792"/>
        <v/>
      </c>
      <c r="BJ1366" s="469" t="str">
        <f t="shared" si="793"/>
        <v/>
      </c>
      <c r="BK1366" s="470" t="str">
        <f t="shared" si="777"/>
        <v/>
      </c>
      <c r="BL1366" s="775" t="str">
        <f t="shared" si="794"/>
        <v/>
      </c>
      <c r="BM1366" s="775" t="str">
        <f t="shared" si="795"/>
        <v/>
      </c>
    </row>
    <row r="1367" spans="1:65">
      <c r="A1367" s="473">
        <v>1311</v>
      </c>
      <c r="B1367" s="132"/>
      <c r="C1367" s="332"/>
      <c r="D1367" s="333"/>
      <c r="E1367" s="333"/>
      <c r="F1367" s="334"/>
      <c r="G1367" s="337"/>
      <c r="H1367" s="131"/>
      <c r="I1367" s="337"/>
      <c r="J1367" s="131"/>
      <c r="K1367" s="458" t="str">
        <f t="shared" si="758"/>
        <v/>
      </c>
      <c r="L1367" s="458">
        <f t="shared" si="759"/>
        <v>0</v>
      </c>
      <c r="M1367" s="458">
        <f t="shared" si="760"/>
        <v>0</v>
      </c>
      <c r="N1367" s="459" t="str">
        <f t="shared" si="771"/>
        <v/>
      </c>
      <c r="O1367" s="459" t="str">
        <f t="shared" si="772"/>
        <v/>
      </c>
      <c r="P1367" s="459" t="str">
        <f t="shared" si="773"/>
        <v/>
      </c>
      <c r="Q1367" s="459" t="str">
        <f t="shared" si="774"/>
        <v/>
      </c>
      <c r="R1367" s="459" t="str">
        <f t="shared" si="775"/>
        <v/>
      </c>
      <c r="S1367" s="459" t="str">
        <f t="shared" si="776"/>
        <v/>
      </c>
      <c r="T1367" s="566" t="str">
        <f t="shared" si="761"/>
        <v/>
      </c>
      <c r="U1367" s="702"/>
      <c r="V1367" s="132"/>
      <c r="W1367" s="133"/>
      <c r="X1367" s="134"/>
      <c r="Y1367" s="135"/>
      <c r="Z1367" s="137"/>
      <c r="AA1367" s="136"/>
      <c r="AB1367" s="566" t="str">
        <f t="shared" si="762"/>
        <v/>
      </c>
      <c r="AC1367" s="568" t="str">
        <f t="shared" si="763"/>
        <v/>
      </c>
      <c r="AD1367" s="137"/>
      <c r="AE1367" s="137"/>
      <c r="AF1367" s="138"/>
      <c r="AG1367" s="138"/>
      <c r="AH1367" s="592" t="str">
        <f t="shared" si="764"/>
        <v/>
      </c>
      <c r="AI1367" s="592" t="str">
        <f t="shared" si="765"/>
        <v/>
      </c>
      <c r="AJ1367" s="592" t="str">
        <f t="shared" si="766"/>
        <v/>
      </c>
      <c r="AK1367" s="460" t="str">
        <f>IF(AU1367="","",IF(OR(AZ1367=8,AZ1367=9),0,IF(OR(AW1367=3,AW1367=4,AW1367=5,AW1367=6),IF(LEFT(BF1367,1)="1",INDEX(係数_NOX・PM低減,MATCH(AY1367,【参考】排出係数!$AI$801:$AI$804,1),1),VLOOKUP(AU1367,INDEX((係数_バス貨物_ガソリン,係数_バス貨物_CNG,係数_バス貨物_軽油,係数_バス貨物_メタノール,係数_バス貨物_LPG),MATCH(AY1367,【参考】排出係数!$AI$4:$AI$671,1),1,BE1367):INDEX((係数_バス貨物_ガソリン,係数_バス貨物_CNG,係数_バス貨物_軽油,係数_バス貨物_メタノール,係数_バス貨物_LPG),MATCH(AY1367+1,【参考】排出係数!$AI$4:$AI$671,1)-1,5,BE1367),4,FALSE)),IF(AND(BE1367=3,LEFT(BF1367,1)="1"),0.48,VLOOKUP(AU1367,INDEX((係数_乗用_ガソリン,係数_乗用_CNG,係数_乗用_軽油,係数_乗用_メタノール,係数_乗用_LPG),1,1,BE1367):INDEX((係数_乗用_ガソリン,係数_乗用_CNG,係数_乗用_軽油,係数_乗用_メタノール,係数_乗用_LPG),125,5,BE1367),4,FALSE)))))</f>
        <v/>
      </c>
      <c r="AL1367" s="461" t="str">
        <f t="shared" si="767"/>
        <v/>
      </c>
      <c r="AM1367" s="460" t="str">
        <f>IF(AU1367="","",IF(OR(AZ1367=8,AZ1367=9),0,IF(OR(AW1367=3,AW1367=4,AW1367=5,AW1367=6),IF(LEFT(BH1367,1)="1",INDEX(係数_PM低減,MATCH(AY1367,【参考】排出係数!$AI$801:$AI$804,1),MATCH(BI1367,【参考】排出係数!$AL$798:$AO$798,1)),VLOOKUP(AU1367,INDEX((係数_バス貨物_ガソリン,係数_バス貨物_CNG,係数_バス貨物_軽油,係数_バス貨物_メタノール,係数_バス貨物_LPG),MATCH(AY1367,【参考】排出係数!$AI$4:$AI$671,1),1,BE1367):INDEX((係数_バス貨物_ガソリン,係数_バス貨物_CNG,係数_バス貨物_軽油,係数_バス貨物_メタノール,係数_バス貨物_LPG),MATCH(AY1367+1,【参考】排出係数!$AI$4:$AI$671,1)-1,5,BE1367),5,FALSE)),IF(AND(BE1367=3,LEFT(BF1367,1)="1"),0.055,VLOOKUP(AU1367,INDEX((係数_乗用_ガソリン,係数_乗用_CNG,係数_乗用_軽油,係数_乗用_メタノール,係数_乗用_LPG),1,1,BE1367):INDEX((係数_乗用_ガソリン,係数_乗用_CNG,係数_乗用_軽油,係数_乗用_メタノール,係数_乗用_LPG),125,5,BE1367),5,FALSE)))))</f>
        <v/>
      </c>
      <c r="AN1367" s="461" t="str">
        <f t="shared" si="768"/>
        <v/>
      </c>
      <c r="AO1367" s="462" t="str">
        <f t="shared" si="769"/>
        <v/>
      </c>
      <c r="AP1367" s="463" t="str">
        <f t="shared" si="770"/>
        <v/>
      </c>
      <c r="AQ1367" s="464"/>
      <c r="AR1367" s="619"/>
      <c r="AS1367" s="465" t="str">
        <f t="shared" si="778"/>
        <v/>
      </c>
      <c r="AT1367" s="465" t="str">
        <f t="shared" si="779"/>
        <v/>
      </c>
      <c r="AU1367" s="466" t="str">
        <f t="shared" si="780"/>
        <v/>
      </c>
      <c r="AV1367" s="467" t="str">
        <f t="shared" si="781"/>
        <v/>
      </c>
      <c r="AW1367" s="467" t="str">
        <f t="shared" si="782"/>
        <v/>
      </c>
      <c r="AX1367" s="467" t="str">
        <f t="shared" si="783"/>
        <v/>
      </c>
      <c r="AY1367" s="467" t="str">
        <f t="shared" si="784"/>
        <v/>
      </c>
      <c r="AZ1367" s="467" t="str">
        <f t="shared" si="785"/>
        <v/>
      </c>
      <c r="BA1367" s="468" t="str">
        <f>IF(AS1367="","",IF(OR(AU1367="",AU1367="-"),"－",IF(OR(AZ1367=8,AZ1367=9),"",IF(OR(AW1367=3,AW1367=4,AW1367=5,AW1367=6),VLOOKUP(AU1367,INDEX((係数_バス貨物_ガソリン,係数_バス貨物_CNG,係数_バス貨物_軽油,係数_バス貨物_メタノール,係数_バス貨物_LPG),MATCH(AY1367,【参考】排出係数!$AI$4:$AI$671,1),1,BE1367):INDEX((係数_バス貨物_ガソリン,係数_バス貨物_CNG,係数_バス貨物_軽油,係数_バス貨物_メタノール,係数_バス貨物_LPG),MATCH(AY1367+1,【参考】排出係数!$AI$4:$AI$671,1)-1,5,BE1367),2,FALSE),IF(OR(AW1367=1,AW1367=2),VLOOKUP(AU1367,INDEX((係数_乗用_ガソリン,係数_乗用_CNG,係数_乗用_軽油,係数_乗用_メタノール,係数_乗用_LPG),1,1,BE1367):INDEX((係数_乗用_ガソリン,係数_乗用_CNG,係数_乗用_軽油,係数_乗用_メタノール,係数_乗用_LPG),125,5,BE1367),2,FALSE))))))</f>
        <v/>
      </c>
      <c r="BB1367" s="468" t="str">
        <f>IF(T1367="","",IF(OR(AU1367="",AU1367="-"),"－",IF(OR(AZ1367=8,AZ1367=9),"",IF(OR(AW1367=3,AW1367=4,AW1367=5,AW1367=6),VLOOKUP(AU1367,INDEX((係数_バス貨物_ガソリン,係数_バス貨物_CNG,係数_バス貨物_軽油,係数_バス貨物_メタノール,係数_バス貨物_LPG),MATCH(AY1367,【参考】排出係数!$AI$4:$AI$671,1),1,BE1367):INDEX((係数_バス貨物_ガソリン,係数_バス貨物_CNG,係数_バス貨物_軽油,係数_バス貨物_メタノール,係数_バス貨物_LPG),MATCH(AY1367+1,【参考】排出係数!$AI$4:$AI$671,1)-1,5,BE1367),3,FALSE),IF(OR(AW1367=1,AW1367=2),VLOOKUP(AU1367,INDEX((係数_乗用_ガソリン,係数_乗用_CNG,係数_乗用_軽油,係数_乗用_メタノール,係数_乗用_LPG),1,1,BE1367):INDEX((係数_乗用_ガソリン,係数_乗用_CNG,係数_乗用_軽油,係数_乗用_メタノール,係数_乗用_LPG),125,5,BE1367),3,FALSE))))))</f>
        <v/>
      </c>
      <c r="BC1367" s="467" t="str">
        <f t="shared" si="786"/>
        <v/>
      </c>
      <c r="BD1367" s="567" t="str">
        <f t="shared" si="787"/>
        <v/>
      </c>
      <c r="BE1367" s="467" t="str">
        <f t="shared" si="788"/>
        <v/>
      </c>
      <c r="BF1367" s="469" t="str">
        <f t="shared" ca="1" si="789"/>
        <v/>
      </c>
      <c r="BG1367" s="469" t="str">
        <f t="shared" ca="1" si="790"/>
        <v/>
      </c>
      <c r="BH1367" s="467" t="str">
        <f t="shared" si="791"/>
        <v/>
      </c>
      <c r="BI1367" s="467" t="str">
        <f t="shared" ca="1" si="792"/>
        <v/>
      </c>
      <c r="BJ1367" s="469" t="str">
        <f t="shared" si="793"/>
        <v/>
      </c>
      <c r="BK1367" s="470" t="str">
        <f t="shared" si="777"/>
        <v/>
      </c>
      <c r="BL1367" s="775" t="str">
        <f t="shared" si="794"/>
        <v/>
      </c>
      <c r="BM1367" s="775" t="str">
        <f t="shared" si="795"/>
        <v/>
      </c>
    </row>
    <row r="1368" spans="1:65">
      <c r="A1368" s="473">
        <v>1312</v>
      </c>
      <c r="B1368" s="132"/>
      <c r="C1368" s="332"/>
      <c r="D1368" s="333"/>
      <c r="E1368" s="333"/>
      <c r="F1368" s="334"/>
      <c r="G1368" s="337"/>
      <c r="H1368" s="131"/>
      <c r="I1368" s="337"/>
      <c r="J1368" s="131"/>
      <c r="K1368" s="458" t="str">
        <f t="shared" si="758"/>
        <v/>
      </c>
      <c r="L1368" s="458">
        <f t="shared" si="759"/>
        <v>0</v>
      </c>
      <c r="M1368" s="458">
        <f t="shared" si="760"/>
        <v>0</v>
      </c>
      <c r="N1368" s="459" t="str">
        <f t="shared" si="771"/>
        <v/>
      </c>
      <c r="O1368" s="459" t="str">
        <f t="shared" si="772"/>
        <v/>
      </c>
      <c r="P1368" s="459" t="str">
        <f t="shared" si="773"/>
        <v/>
      </c>
      <c r="Q1368" s="459" t="str">
        <f t="shared" si="774"/>
        <v/>
      </c>
      <c r="R1368" s="459" t="str">
        <f t="shared" si="775"/>
        <v/>
      </c>
      <c r="S1368" s="459" t="str">
        <f t="shared" si="776"/>
        <v/>
      </c>
      <c r="T1368" s="566" t="str">
        <f t="shared" si="761"/>
        <v/>
      </c>
      <c r="U1368" s="702"/>
      <c r="V1368" s="132"/>
      <c r="W1368" s="133"/>
      <c r="X1368" s="134"/>
      <c r="Y1368" s="135"/>
      <c r="Z1368" s="137"/>
      <c r="AA1368" s="136"/>
      <c r="AB1368" s="566" t="str">
        <f t="shared" si="762"/>
        <v/>
      </c>
      <c r="AC1368" s="568" t="str">
        <f t="shared" si="763"/>
        <v/>
      </c>
      <c r="AD1368" s="137"/>
      <c r="AE1368" s="137"/>
      <c r="AF1368" s="138"/>
      <c r="AG1368" s="138"/>
      <c r="AH1368" s="592" t="str">
        <f t="shared" si="764"/>
        <v/>
      </c>
      <c r="AI1368" s="592" t="str">
        <f t="shared" si="765"/>
        <v/>
      </c>
      <c r="AJ1368" s="592" t="str">
        <f t="shared" si="766"/>
        <v/>
      </c>
      <c r="AK1368" s="460" t="str">
        <f>IF(AU1368="","",IF(OR(AZ1368=8,AZ1368=9),0,IF(OR(AW1368=3,AW1368=4,AW1368=5,AW1368=6),IF(LEFT(BF1368,1)="1",INDEX(係数_NOX・PM低減,MATCH(AY1368,【参考】排出係数!$AI$801:$AI$804,1),1),VLOOKUP(AU1368,INDEX((係数_バス貨物_ガソリン,係数_バス貨物_CNG,係数_バス貨物_軽油,係数_バス貨物_メタノール,係数_バス貨物_LPG),MATCH(AY1368,【参考】排出係数!$AI$4:$AI$671,1),1,BE1368):INDEX((係数_バス貨物_ガソリン,係数_バス貨物_CNG,係数_バス貨物_軽油,係数_バス貨物_メタノール,係数_バス貨物_LPG),MATCH(AY1368+1,【参考】排出係数!$AI$4:$AI$671,1)-1,5,BE1368),4,FALSE)),IF(AND(BE1368=3,LEFT(BF1368,1)="1"),0.48,VLOOKUP(AU1368,INDEX((係数_乗用_ガソリン,係数_乗用_CNG,係数_乗用_軽油,係数_乗用_メタノール,係数_乗用_LPG),1,1,BE1368):INDEX((係数_乗用_ガソリン,係数_乗用_CNG,係数_乗用_軽油,係数_乗用_メタノール,係数_乗用_LPG),125,5,BE1368),4,FALSE)))))</f>
        <v/>
      </c>
      <c r="AL1368" s="461" t="str">
        <f t="shared" si="767"/>
        <v/>
      </c>
      <c r="AM1368" s="460" t="str">
        <f>IF(AU1368="","",IF(OR(AZ1368=8,AZ1368=9),0,IF(OR(AW1368=3,AW1368=4,AW1368=5,AW1368=6),IF(LEFT(BH1368,1)="1",INDEX(係数_PM低減,MATCH(AY1368,【参考】排出係数!$AI$801:$AI$804,1),MATCH(BI1368,【参考】排出係数!$AL$798:$AO$798,1)),VLOOKUP(AU1368,INDEX((係数_バス貨物_ガソリン,係数_バス貨物_CNG,係数_バス貨物_軽油,係数_バス貨物_メタノール,係数_バス貨物_LPG),MATCH(AY1368,【参考】排出係数!$AI$4:$AI$671,1),1,BE1368):INDEX((係数_バス貨物_ガソリン,係数_バス貨物_CNG,係数_バス貨物_軽油,係数_バス貨物_メタノール,係数_バス貨物_LPG),MATCH(AY1368+1,【参考】排出係数!$AI$4:$AI$671,1)-1,5,BE1368),5,FALSE)),IF(AND(BE1368=3,LEFT(BF1368,1)="1"),0.055,VLOOKUP(AU1368,INDEX((係数_乗用_ガソリン,係数_乗用_CNG,係数_乗用_軽油,係数_乗用_メタノール,係数_乗用_LPG),1,1,BE1368):INDEX((係数_乗用_ガソリン,係数_乗用_CNG,係数_乗用_軽油,係数_乗用_メタノール,係数_乗用_LPG),125,5,BE1368),5,FALSE)))))</f>
        <v/>
      </c>
      <c r="AN1368" s="461" t="str">
        <f t="shared" si="768"/>
        <v/>
      </c>
      <c r="AO1368" s="462" t="str">
        <f t="shared" si="769"/>
        <v/>
      </c>
      <c r="AP1368" s="463" t="str">
        <f t="shared" si="770"/>
        <v/>
      </c>
      <c r="AQ1368" s="464"/>
      <c r="AR1368" s="619"/>
      <c r="AS1368" s="465" t="str">
        <f t="shared" si="778"/>
        <v/>
      </c>
      <c r="AT1368" s="465" t="str">
        <f t="shared" si="779"/>
        <v/>
      </c>
      <c r="AU1368" s="466" t="str">
        <f t="shared" si="780"/>
        <v/>
      </c>
      <c r="AV1368" s="467" t="str">
        <f t="shared" si="781"/>
        <v/>
      </c>
      <c r="AW1368" s="467" t="str">
        <f t="shared" si="782"/>
        <v/>
      </c>
      <c r="AX1368" s="467" t="str">
        <f t="shared" si="783"/>
        <v/>
      </c>
      <c r="AY1368" s="467" t="str">
        <f t="shared" si="784"/>
        <v/>
      </c>
      <c r="AZ1368" s="467" t="str">
        <f t="shared" si="785"/>
        <v/>
      </c>
      <c r="BA1368" s="468" t="str">
        <f>IF(AS1368="","",IF(OR(AU1368="",AU1368="-"),"－",IF(OR(AZ1368=8,AZ1368=9),"",IF(OR(AW1368=3,AW1368=4,AW1368=5,AW1368=6),VLOOKUP(AU1368,INDEX((係数_バス貨物_ガソリン,係数_バス貨物_CNG,係数_バス貨物_軽油,係数_バス貨物_メタノール,係数_バス貨物_LPG),MATCH(AY1368,【参考】排出係数!$AI$4:$AI$671,1),1,BE1368):INDEX((係数_バス貨物_ガソリン,係数_バス貨物_CNG,係数_バス貨物_軽油,係数_バス貨物_メタノール,係数_バス貨物_LPG),MATCH(AY1368+1,【参考】排出係数!$AI$4:$AI$671,1)-1,5,BE1368),2,FALSE),IF(OR(AW1368=1,AW1368=2),VLOOKUP(AU1368,INDEX((係数_乗用_ガソリン,係数_乗用_CNG,係数_乗用_軽油,係数_乗用_メタノール,係数_乗用_LPG),1,1,BE1368):INDEX((係数_乗用_ガソリン,係数_乗用_CNG,係数_乗用_軽油,係数_乗用_メタノール,係数_乗用_LPG),125,5,BE1368),2,FALSE))))))</f>
        <v/>
      </c>
      <c r="BB1368" s="468" t="str">
        <f>IF(T1368="","",IF(OR(AU1368="",AU1368="-"),"－",IF(OR(AZ1368=8,AZ1368=9),"",IF(OR(AW1368=3,AW1368=4,AW1368=5,AW1368=6),VLOOKUP(AU1368,INDEX((係数_バス貨物_ガソリン,係数_バス貨物_CNG,係数_バス貨物_軽油,係数_バス貨物_メタノール,係数_バス貨物_LPG),MATCH(AY1368,【参考】排出係数!$AI$4:$AI$671,1),1,BE1368):INDEX((係数_バス貨物_ガソリン,係数_バス貨物_CNG,係数_バス貨物_軽油,係数_バス貨物_メタノール,係数_バス貨物_LPG),MATCH(AY1368+1,【参考】排出係数!$AI$4:$AI$671,1)-1,5,BE1368),3,FALSE),IF(OR(AW1368=1,AW1368=2),VLOOKUP(AU1368,INDEX((係数_乗用_ガソリン,係数_乗用_CNG,係数_乗用_軽油,係数_乗用_メタノール,係数_乗用_LPG),1,1,BE1368):INDEX((係数_乗用_ガソリン,係数_乗用_CNG,係数_乗用_軽油,係数_乗用_メタノール,係数_乗用_LPG),125,5,BE1368),3,FALSE))))))</f>
        <v/>
      </c>
      <c r="BC1368" s="467" t="str">
        <f t="shared" si="786"/>
        <v/>
      </c>
      <c r="BD1368" s="567" t="str">
        <f t="shared" si="787"/>
        <v/>
      </c>
      <c r="BE1368" s="467" t="str">
        <f t="shared" si="788"/>
        <v/>
      </c>
      <c r="BF1368" s="469" t="str">
        <f t="shared" ca="1" si="789"/>
        <v/>
      </c>
      <c r="BG1368" s="469" t="str">
        <f t="shared" ca="1" si="790"/>
        <v/>
      </c>
      <c r="BH1368" s="467" t="str">
        <f t="shared" si="791"/>
        <v/>
      </c>
      <c r="BI1368" s="467" t="str">
        <f t="shared" ca="1" si="792"/>
        <v/>
      </c>
      <c r="BJ1368" s="469" t="str">
        <f t="shared" si="793"/>
        <v/>
      </c>
      <c r="BK1368" s="470" t="str">
        <f t="shared" si="777"/>
        <v/>
      </c>
      <c r="BL1368" s="775" t="str">
        <f t="shared" si="794"/>
        <v/>
      </c>
      <c r="BM1368" s="775" t="str">
        <f t="shared" si="795"/>
        <v/>
      </c>
    </row>
    <row r="1369" spans="1:65">
      <c r="A1369" s="473">
        <v>1313</v>
      </c>
      <c r="B1369" s="132"/>
      <c r="C1369" s="332"/>
      <c r="D1369" s="333"/>
      <c r="E1369" s="333"/>
      <c r="F1369" s="334"/>
      <c r="G1369" s="337"/>
      <c r="H1369" s="131"/>
      <c r="I1369" s="337"/>
      <c r="J1369" s="131"/>
      <c r="K1369" s="458" t="str">
        <f t="shared" si="758"/>
        <v/>
      </c>
      <c r="L1369" s="458">
        <f t="shared" si="759"/>
        <v>0</v>
      </c>
      <c r="M1369" s="458">
        <f t="shared" si="760"/>
        <v>0</v>
      </c>
      <c r="N1369" s="459" t="str">
        <f t="shared" si="771"/>
        <v/>
      </c>
      <c r="O1369" s="459" t="str">
        <f t="shared" si="772"/>
        <v/>
      </c>
      <c r="P1369" s="459" t="str">
        <f t="shared" si="773"/>
        <v/>
      </c>
      <c r="Q1369" s="459" t="str">
        <f t="shared" si="774"/>
        <v/>
      </c>
      <c r="R1369" s="459" t="str">
        <f t="shared" si="775"/>
        <v/>
      </c>
      <c r="S1369" s="459" t="str">
        <f t="shared" si="776"/>
        <v/>
      </c>
      <c r="T1369" s="566" t="str">
        <f t="shared" si="761"/>
        <v/>
      </c>
      <c r="U1369" s="702"/>
      <c r="V1369" s="132"/>
      <c r="W1369" s="133"/>
      <c r="X1369" s="134"/>
      <c r="Y1369" s="135"/>
      <c r="Z1369" s="137"/>
      <c r="AA1369" s="136"/>
      <c r="AB1369" s="566" t="str">
        <f t="shared" si="762"/>
        <v/>
      </c>
      <c r="AC1369" s="568" t="str">
        <f t="shared" si="763"/>
        <v/>
      </c>
      <c r="AD1369" s="137"/>
      <c r="AE1369" s="137"/>
      <c r="AF1369" s="138"/>
      <c r="AG1369" s="138"/>
      <c r="AH1369" s="592" t="str">
        <f t="shared" si="764"/>
        <v/>
      </c>
      <c r="AI1369" s="592" t="str">
        <f t="shared" si="765"/>
        <v/>
      </c>
      <c r="AJ1369" s="592" t="str">
        <f t="shared" si="766"/>
        <v/>
      </c>
      <c r="AK1369" s="460" t="str">
        <f>IF(AU1369="","",IF(OR(AZ1369=8,AZ1369=9),0,IF(OR(AW1369=3,AW1369=4,AW1369=5,AW1369=6),IF(LEFT(BF1369,1)="1",INDEX(係数_NOX・PM低減,MATCH(AY1369,【参考】排出係数!$AI$801:$AI$804,1),1),VLOOKUP(AU1369,INDEX((係数_バス貨物_ガソリン,係数_バス貨物_CNG,係数_バス貨物_軽油,係数_バス貨物_メタノール,係数_バス貨物_LPG),MATCH(AY1369,【参考】排出係数!$AI$4:$AI$671,1),1,BE1369):INDEX((係数_バス貨物_ガソリン,係数_バス貨物_CNG,係数_バス貨物_軽油,係数_バス貨物_メタノール,係数_バス貨物_LPG),MATCH(AY1369+1,【参考】排出係数!$AI$4:$AI$671,1)-1,5,BE1369),4,FALSE)),IF(AND(BE1369=3,LEFT(BF1369,1)="1"),0.48,VLOOKUP(AU1369,INDEX((係数_乗用_ガソリン,係数_乗用_CNG,係数_乗用_軽油,係数_乗用_メタノール,係数_乗用_LPG),1,1,BE1369):INDEX((係数_乗用_ガソリン,係数_乗用_CNG,係数_乗用_軽油,係数_乗用_メタノール,係数_乗用_LPG),125,5,BE1369),4,FALSE)))))</f>
        <v/>
      </c>
      <c r="AL1369" s="461" t="str">
        <f t="shared" si="767"/>
        <v/>
      </c>
      <c r="AM1369" s="460" t="str">
        <f>IF(AU1369="","",IF(OR(AZ1369=8,AZ1369=9),0,IF(OR(AW1369=3,AW1369=4,AW1369=5,AW1369=6),IF(LEFT(BH1369,1)="1",INDEX(係数_PM低減,MATCH(AY1369,【参考】排出係数!$AI$801:$AI$804,1),MATCH(BI1369,【参考】排出係数!$AL$798:$AO$798,1)),VLOOKUP(AU1369,INDEX((係数_バス貨物_ガソリン,係数_バス貨物_CNG,係数_バス貨物_軽油,係数_バス貨物_メタノール,係数_バス貨物_LPG),MATCH(AY1369,【参考】排出係数!$AI$4:$AI$671,1),1,BE1369):INDEX((係数_バス貨物_ガソリン,係数_バス貨物_CNG,係数_バス貨物_軽油,係数_バス貨物_メタノール,係数_バス貨物_LPG),MATCH(AY1369+1,【参考】排出係数!$AI$4:$AI$671,1)-1,5,BE1369),5,FALSE)),IF(AND(BE1369=3,LEFT(BF1369,1)="1"),0.055,VLOOKUP(AU1369,INDEX((係数_乗用_ガソリン,係数_乗用_CNG,係数_乗用_軽油,係数_乗用_メタノール,係数_乗用_LPG),1,1,BE1369):INDEX((係数_乗用_ガソリン,係数_乗用_CNG,係数_乗用_軽油,係数_乗用_メタノール,係数_乗用_LPG),125,5,BE1369),5,FALSE)))))</f>
        <v/>
      </c>
      <c r="AN1369" s="461" t="str">
        <f t="shared" si="768"/>
        <v/>
      </c>
      <c r="AO1369" s="462" t="str">
        <f t="shared" si="769"/>
        <v/>
      </c>
      <c r="AP1369" s="463" t="str">
        <f t="shared" si="770"/>
        <v/>
      </c>
      <c r="AQ1369" s="464"/>
      <c r="AR1369" s="619"/>
      <c r="AS1369" s="465" t="str">
        <f t="shared" si="778"/>
        <v/>
      </c>
      <c r="AT1369" s="465" t="str">
        <f t="shared" si="779"/>
        <v/>
      </c>
      <c r="AU1369" s="466" t="str">
        <f t="shared" si="780"/>
        <v/>
      </c>
      <c r="AV1369" s="467" t="str">
        <f t="shared" si="781"/>
        <v/>
      </c>
      <c r="AW1369" s="467" t="str">
        <f t="shared" si="782"/>
        <v/>
      </c>
      <c r="AX1369" s="467" t="str">
        <f t="shared" si="783"/>
        <v/>
      </c>
      <c r="AY1369" s="467" t="str">
        <f t="shared" si="784"/>
        <v/>
      </c>
      <c r="AZ1369" s="467" t="str">
        <f t="shared" si="785"/>
        <v/>
      </c>
      <c r="BA1369" s="468" t="str">
        <f>IF(AS1369="","",IF(OR(AU1369="",AU1369="-"),"－",IF(OR(AZ1369=8,AZ1369=9),"",IF(OR(AW1369=3,AW1369=4,AW1369=5,AW1369=6),VLOOKUP(AU1369,INDEX((係数_バス貨物_ガソリン,係数_バス貨物_CNG,係数_バス貨物_軽油,係数_バス貨物_メタノール,係数_バス貨物_LPG),MATCH(AY1369,【参考】排出係数!$AI$4:$AI$671,1),1,BE1369):INDEX((係数_バス貨物_ガソリン,係数_バス貨物_CNG,係数_バス貨物_軽油,係数_バス貨物_メタノール,係数_バス貨物_LPG),MATCH(AY1369+1,【参考】排出係数!$AI$4:$AI$671,1)-1,5,BE1369),2,FALSE),IF(OR(AW1369=1,AW1369=2),VLOOKUP(AU1369,INDEX((係数_乗用_ガソリン,係数_乗用_CNG,係数_乗用_軽油,係数_乗用_メタノール,係数_乗用_LPG),1,1,BE1369):INDEX((係数_乗用_ガソリン,係数_乗用_CNG,係数_乗用_軽油,係数_乗用_メタノール,係数_乗用_LPG),125,5,BE1369),2,FALSE))))))</f>
        <v/>
      </c>
      <c r="BB1369" s="468" t="str">
        <f>IF(T1369="","",IF(OR(AU1369="",AU1369="-"),"－",IF(OR(AZ1369=8,AZ1369=9),"",IF(OR(AW1369=3,AW1369=4,AW1369=5,AW1369=6),VLOOKUP(AU1369,INDEX((係数_バス貨物_ガソリン,係数_バス貨物_CNG,係数_バス貨物_軽油,係数_バス貨物_メタノール,係数_バス貨物_LPG),MATCH(AY1369,【参考】排出係数!$AI$4:$AI$671,1),1,BE1369):INDEX((係数_バス貨物_ガソリン,係数_バス貨物_CNG,係数_バス貨物_軽油,係数_バス貨物_メタノール,係数_バス貨物_LPG),MATCH(AY1369+1,【参考】排出係数!$AI$4:$AI$671,1)-1,5,BE1369),3,FALSE),IF(OR(AW1369=1,AW1369=2),VLOOKUP(AU1369,INDEX((係数_乗用_ガソリン,係数_乗用_CNG,係数_乗用_軽油,係数_乗用_メタノール,係数_乗用_LPG),1,1,BE1369):INDEX((係数_乗用_ガソリン,係数_乗用_CNG,係数_乗用_軽油,係数_乗用_メタノール,係数_乗用_LPG),125,5,BE1369),3,FALSE))))))</f>
        <v/>
      </c>
      <c r="BC1369" s="467" t="str">
        <f t="shared" si="786"/>
        <v/>
      </c>
      <c r="BD1369" s="567" t="str">
        <f t="shared" si="787"/>
        <v/>
      </c>
      <c r="BE1369" s="467" t="str">
        <f t="shared" si="788"/>
        <v/>
      </c>
      <c r="BF1369" s="469" t="str">
        <f t="shared" ca="1" si="789"/>
        <v/>
      </c>
      <c r="BG1369" s="469" t="str">
        <f t="shared" ca="1" si="790"/>
        <v/>
      </c>
      <c r="BH1369" s="467" t="str">
        <f t="shared" si="791"/>
        <v/>
      </c>
      <c r="BI1369" s="467" t="str">
        <f t="shared" ca="1" si="792"/>
        <v/>
      </c>
      <c r="BJ1369" s="469" t="str">
        <f t="shared" si="793"/>
        <v/>
      </c>
      <c r="BK1369" s="470" t="str">
        <f t="shared" si="777"/>
        <v/>
      </c>
      <c r="BL1369" s="775" t="str">
        <f t="shared" si="794"/>
        <v/>
      </c>
      <c r="BM1369" s="775" t="str">
        <f t="shared" si="795"/>
        <v/>
      </c>
    </row>
    <row r="1370" spans="1:65">
      <c r="A1370" s="473">
        <v>1314</v>
      </c>
      <c r="B1370" s="132"/>
      <c r="C1370" s="332"/>
      <c r="D1370" s="333"/>
      <c r="E1370" s="333"/>
      <c r="F1370" s="334"/>
      <c r="G1370" s="337"/>
      <c r="H1370" s="131"/>
      <c r="I1370" s="337"/>
      <c r="J1370" s="131"/>
      <c r="K1370" s="458" t="str">
        <f t="shared" si="758"/>
        <v/>
      </c>
      <c r="L1370" s="458">
        <f t="shared" si="759"/>
        <v>0</v>
      </c>
      <c r="M1370" s="458">
        <f t="shared" si="760"/>
        <v>0</v>
      </c>
      <c r="N1370" s="459" t="str">
        <f t="shared" si="771"/>
        <v/>
      </c>
      <c r="O1370" s="459" t="str">
        <f t="shared" si="772"/>
        <v/>
      </c>
      <c r="P1370" s="459" t="str">
        <f t="shared" si="773"/>
        <v/>
      </c>
      <c r="Q1370" s="459" t="str">
        <f t="shared" si="774"/>
        <v/>
      </c>
      <c r="R1370" s="459" t="str">
        <f t="shared" si="775"/>
        <v/>
      </c>
      <c r="S1370" s="459" t="str">
        <f t="shared" si="776"/>
        <v/>
      </c>
      <c r="T1370" s="566" t="str">
        <f t="shared" si="761"/>
        <v/>
      </c>
      <c r="U1370" s="702"/>
      <c r="V1370" s="132"/>
      <c r="W1370" s="133"/>
      <c r="X1370" s="134"/>
      <c r="Y1370" s="135"/>
      <c r="Z1370" s="137"/>
      <c r="AA1370" s="136"/>
      <c r="AB1370" s="566" t="str">
        <f t="shared" si="762"/>
        <v/>
      </c>
      <c r="AC1370" s="568" t="str">
        <f t="shared" si="763"/>
        <v/>
      </c>
      <c r="AD1370" s="137"/>
      <c r="AE1370" s="137"/>
      <c r="AF1370" s="138"/>
      <c r="AG1370" s="138"/>
      <c r="AH1370" s="592" t="str">
        <f t="shared" si="764"/>
        <v/>
      </c>
      <c r="AI1370" s="592" t="str">
        <f t="shared" si="765"/>
        <v/>
      </c>
      <c r="AJ1370" s="592" t="str">
        <f t="shared" si="766"/>
        <v/>
      </c>
      <c r="AK1370" s="460" t="str">
        <f>IF(AU1370="","",IF(OR(AZ1370=8,AZ1370=9),0,IF(OR(AW1370=3,AW1370=4,AW1370=5,AW1370=6),IF(LEFT(BF1370,1)="1",INDEX(係数_NOX・PM低減,MATCH(AY1370,【参考】排出係数!$AI$801:$AI$804,1),1),VLOOKUP(AU1370,INDEX((係数_バス貨物_ガソリン,係数_バス貨物_CNG,係数_バス貨物_軽油,係数_バス貨物_メタノール,係数_バス貨物_LPG),MATCH(AY1370,【参考】排出係数!$AI$4:$AI$671,1),1,BE1370):INDEX((係数_バス貨物_ガソリン,係数_バス貨物_CNG,係数_バス貨物_軽油,係数_バス貨物_メタノール,係数_バス貨物_LPG),MATCH(AY1370+1,【参考】排出係数!$AI$4:$AI$671,1)-1,5,BE1370),4,FALSE)),IF(AND(BE1370=3,LEFT(BF1370,1)="1"),0.48,VLOOKUP(AU1370,INDEX((係数_乗用_ガソリン,係数_乗用_CNG,係数_乗用_軽油,係数_乗用_メタノール,係数_乗用_LPG),1,1,BE1370):INDEX((係数_乗用_ガソリン,係数_乗用_CNG,係数_乗用_軽油,係数_乗用_メタノール,係数_乗用_LPG),125,5,BE1370),4,FALSE)))))</f>
        <v/>
      </c>
      <c r="AL1370" s="461" t="str">
        <f t="shared" si="767"/>
        <v/>
      </c>
      <c r="AM1370" s="460" t="str">
        <f>IF(AU1370="","",IF(OR(AZ1370=8,AZ1370=9),0,IF(OR(AW1370=3,AW1370=4,AW1370=5,AW1370=6),IF(LEFT(BH1370,1)="1",INDEX(係数_PM低減,MATCH(AY1370,【参考】排出係数!$AI$801:$AI$804,1),MATCH(BI1370,【参考】排出係数!$AL$798:$AO$798,1)),VLOOKUP(AU1370,INDEX((係数_バス貨物_ガソリン,係数_バス貨物_CNG,係数_バス貨物_軽油,係数_バス貨物_メタノール,係数_バス貨物_LPG),MATCH(AY1370,【参考】排出係数!$AI$4:$AI$671,1),1,BE1370):INDEX((係数_バス貨物_ガソリン,係数_バス貨物_CNG,係数_バス貨物_軽油,係数_バス貨物_メタノール,係数_バス貨物_LPG),MATCH(AY1370+1,【参考】排出係数!$AI$4:$AI$671,1)-1,5,BE1370),5,FALSE)),IF(AND(BE1370=3,LEFT(BF1370,1)="1"),0.055,VLOOKUP(AU1370,INDEX((係数_乗用_ガソリン,係数_乗用_CNG,係数_乗用_軽油,係数_乗用_メタノール,係数_乗用_LPG),1,1,BE1370):INDEX((係数_乗用_ガソリン,係数_乗用_CNG,係数_乗用_軽油,係数_乗用_メタノール,係数_乗用_LPG),125,5,BE1370),5,FALSE)))))</f>
        <v/>
      </c>
      <c r="AN1370" s="461" t="str">
        <f t="shared" si="768"/>
        <v/>
      </c>
      <c r="AO1370" s="462" t="str">
        <f t="shared" si="769"/>
        <v/>
      </c>
      <c r="AP1370" s="463" t="str">
        <f t="shared" si="770"/>
        <v/>
      </c>
      <c r="AQ1370" s="464"/>
      <c r="AR1370" s="619"/>
      <c r="AS1370" s="465" t="str">
        <f t="shared" si="778"/>
        <v/>
      </c>
      <c r="AT1370" s="465" t="str">
        <f t="shared" si="779"/>
        <v/>
      </c>
      <c r="AU1370" s="466" t="str">
        <f t="shared" si="780"/>
        <v/>
      </c>
      <c r="AV1370" s="467" t="str">
        <f t="shared" si="781"/>
        <v/>
      </c>
      <c r="AW1370" s="467" t="str">
        <f t="shared" si="782"/>
        <v/>
      </c>
      <c r="AX1370" s="467" t="str">
        <f t="shared" si="783"/>
        <v/>
      </c>
      <c r="AY1370" s="467" t="str">
        <f t="shared" si="784"/>
        <v/>
      </c>
      <c r="AZ1370" s="467" t="str">
        <f t="shared" si="785"/>
        <v/>
      </c>
      <c r="BA1370" s="468" t="str">
        <f>IF(AS1370="","",IF(OR(AU1370="",AU1370="-"),"－",IF(OR(AZ1370=8,AZ1370=9),"",IF(OR(AW1370=3,AW1370=4,AW1370=5,AW1370=6),VLOOKUP(AU1370,INDEX((係数_バス貨物_ガソリン,係数_バス貨物_CNG,係数_バス貨物_軽油,係数_バス貨物_メタノール,係数_バス貨物_LPG),MATCH(AY1370,【参考】排出係数!$AI$4:$AI$671,1),1,BE1370):INDEX((係数_バス貨物_ガソリン,係数_バス貨物_CNG,係数_バス貨物_軽油,係数_バス貨物_メタノール,係数_バス貨物_LPG),MATCH(AY1370+1,【参考】排出係数!$AI$4:$AI$671,1)-1,5,BE1370),2,FALSE),IF(OR(AW1370=1,AW1370=2),VLOOKUP(AU1370,INDEX((係数_乗用_ガソリン,係数_乗用_CNG,係数_乗用_軽油,係数_乗用_メタノール,係数_乗用_LPG),1,1,BE1370):INDEX((係数_乗用_ガソリン,係数_乗用_CNG,係数_乗用_軽油,係数_乗用_メタノール,係数_乗用_LPG),125,5,BE1370),2,FALSE))))))</f>
        <v/>
      </c>
      <c r="BB1370" s="468" t="str">
        <f>IF(T1370="","",IF(OR(AU1370="",AU1370="-"),"－",IF(OR(AZ1370=8,AZ1370=9),"",IF(OR(AW1370=3,AW1370=4,AW1370=5,AW1370=6),VLOOKUP(AU1370,INDEX((係数_バス貨物_ガソリン,係数_バス貨物_CNG,係数_バス貨物_軽油,係数_バス貨物_メタノール,係数_バス貨物_LPG),MATCH(AY1370,【参考】排出係数!$AI$4:$AI$671,1),1,BE1370):INDEX((係数_バス貨物_ガソリン,係数_バス貨物_CNG,係数_バス貨物_軽油,係数_バス貨物_メタノール,係数_バス貨物_LPG),MATCH(AY1370+1,【参考】排出係数!$AI$4:$AI$671,1)-1,5,BE1370),3,FALSE),IF(OR(AW1370=1,AW1370=2),VLOOKUP(AU1370,INDEX((係数_乗用_ガソリン,係数_乗用_CNG,係数_乗用_軽油,係数_乗用_メタノール,係数_乗用_LPG),1,1,BE1370):INDEX((係数_乗用_ガソリン,係数_乗用_CNG,係数_乗用_軽油,係数_乗用_メタノール,係数_乗用_LPG),125,5,BE1370),3,FALSE))))))</f>
        <v/>
      </c>
      <c r="BC1370" s="467" t="str">
        <f t="shared" si="786"/>
        <v/>
      </c>
      <c r="BD1370" s="567" t="str">
        <f t="shared" si="787"/>
        <v/>
      </c>
      <c r="BE1370" s="467" t="str">
        <f t="shared" si="788"/>
        <v/>
      </c>
      <c r="BF1370" s="469" t="str">
        <f t="shared" ca="1" si="789"/>
        <v/>
      </c>
      <c r="BG1370" s="469" t="str">
        <f t="shared" ca="1" si="790"/>
        <v/>
      </c>
      <c r="BH1370" s="467" t="str">
        <f t="shared" si="791"/>
        <v/>
      </c>
      <c r="BI1370" s="467" t="str">
        <f t="shared" ca="1" si="792"/>
        <v/>
      </c>
      <c r="BJ1370" s="469" t="str">
        <f t="shared" si="793"/>
        <v/>
      </c>
      <c r="BK1370" s="470" t="str">
        <f t="shared" si="777"/>
        <v/>
      </c>
      <c r="BL1370" s="775" t="str">
        <f t="shared" si="794"/>
        <v/>
      </c>
      <c r="BM1370" s="775" t="str">
        <f t="shared" si="795"/>
        <v/>
      </c>
    </row>
    <row r="1371" spans="1:65">
      <c r="A1371" s="473">
        <v>1315</v>
      </c>
      <c r="B1371" s="132"/>
      <c r="C1371" s="332"/>
      <c r="D1371" s="333"/>
      <c r="E1371" s="333"/>
      <c r="F1371" s="334"/>
      <c r="G1371" s="337"/>
      <c r="H1371" s="131"/>
      <c r="I1371" s="337"/>
      <c r="J1371" s="131"/>
      <c r="K1371" s="458" t="str">
        <f t="shared" si="758"/>
        <v/>
      </c>
      <c r="L1371" s="458">
        <f t="shared" si="759"/>
        <v>0</v>
      </c>
      <c r="M1371" s="458">
        <f t="shared" si="760"/>
        <v>0</v>
      </c>
      <c r="N1371" s="459" t="str">
        <f t="shared" si="771"/>
        <v/>
      </c>
      <c r="O1371" s="459" t="str">
        <f t="shared" si="772"/>
        <v/>
      </c>
      <c r="P1371" s="459" t="str">
        <f t="shared" si="773"/>
        <v/>
      </c>
      <c r="Q1371" s="459" t="str">
        <f t="shared" si="774"/>
        <v/>
      </c>
      <c r="R1371" s="459" t="str">
        <f t="shared" si="775"/>
        <v/>
      </c>
      <c r="S1371" s="459" t="str">
        <f t="shared" si="776"/>
        <v/>
      </c>
      <c r="T1371" s="566" t="str">
        <f t="shared" si="761"/>
        <v/>
      </c>
      <c r="U1371" s="702"/>
      <c r="V1371" s="132"/>
      <c r="W1371" s="133"/>
      <c r="X1371" s="134"/>
      <c r="Y1371" s="135"/>
      <c r="Z1371" s="137"/>
      <c r="AA1371" s="136"/>
      <c r="AB1371" s="566" t="str">
        <f t="shared" si="762"/>
        <v/>
      </c>
      <c r="AC1371" s="568" t="str">
        <f t="shared" si="763"/>
        <v/>
      </c>
      <c r="AD1371" s="137"/>
      <c r="AE1371" s="137"/>
      <c r="AF1371" s="138"/>
      <c r="AG1371" s="138"/>
      <c r="AH1371" s="592" t="str">
        <f t="shared" si="764"/>
        <v/>
      </c>
      <c r="AI1371" s="592" t="str">
        <f t="shared" si="765"/>
        <v/>
      </c>
      <c r="AJ1371" s="592" t="str">
        <f t="shared" si="766"/>
        <v/>
      </c>
      <c r="AK1371" s="460" t="str">
        <f>IF(AU1371="","",IF(OR(AZ1371=8,AZ1371=9),0,IF(OR(AW1371=3,AW1371=4,AW1371=5,AW1371=6),IF(LEFT(BF1371,1)="1",INDEX(係数_NOX・PM低減,MATCH(AY1371,【参考】排出係数!$AI$801:$AI$804,1),1),VLOOKUP(AU1371,INDEX((係数_バス貨物_ガソリン,係数_バス貨物_CNG,係数_バス貨物_軽油,係数_バス貨物_メタノール,係数_バス貨物_LPG),MATCH(AY1371,【参考】排出係数!$AI$4:$AI$671,1),1,BE1371):INDEX((係数_バス貨物_ガソリン,係数_バス貨物_CNG,係数_バス貨物_軽油,係数_バス貨物_メタノール,係数_バス貨物_LPG),MATCH(AY1371+1,【参考】排出係数!$AI$4:$AI$671,1)-1,5,BE1371),4,FALSE)),IF(AND(BE1371=3,LEFT(BF1371,1)="1"),0.48,VLOOKUP(AU1371,INDEX((係数_乗用_ガソリン,係数_乗用_CNG,係数_乗用_軽油,係数_乗用_メタノール,係数_乗用_LPG),1,1,BE1371):INDEX((係数_乗用_ガソリン,係数_乗用_CNG,係数_乗用_軽油,係数_乗用_メタノール,係数_乗用_LPG),125,5,BE1371),4,FALSE)))))</f>
        <v/>
      </c>
      <c r="AL1371" s="461" t="str">
        <f t="shared" si="767"/>
        <v/>
      </c>
      <c r="AM1371" s="460" t="str">
        <f>IF(AU1371="","",IF(OR(AZ1371=8,AZ1371=9),0,IF(OR(AW1371=3,AW1371=4,AW1371=5,AW1371=6),IF(LEFT(BH1371,1)="1",INDEX(係数_PM低減,MATCH(AY1371,【参考】排出係数!$AI$801:$AI$804,1),MATCH(BI1371,【参考】排出係数!$AL$798:$AO$798,1)),VLOOKUP(AU1371,INDEX((係数_バス貨物_ガソリン,係数_バス貨物_CNG,係数_バス貨物_軽油,係数_バス貨物_メタノール,係数_バス貨物_LPG),MATCH(AY1371,【参考】排出係数!$AI$4:$AI$671,1),1,BE1371):INDEX((係数_バス貨物_ガソリン,係数_バス貨物_CNG,係数_バス貨物_軽油,係数_バス貨物_メタノール,係数_バス貨物_LPG),MATCH(AY1371+1,【参考】排出係数!$AI$4:$AI$671,1)-1,5,BE1371),5,FALSE)),IF(AND(BE1371=3,LEFT(BF1371,1)="1"),0.055,VLOOKUP(AU1371,INDEX((係数_乗用_ガソリン,係数_乗用_CNG,係数_乗用_軽油,係数_乗用_メタノール,係数_乗用_LPG),1,1,BE1371):INDEX((係数_乗用_ガソリン,係数_乗用_CNG,係数_乗用_軽油,係数_乗用_メタノール,係数_乗用_LPG),125,5,BE1371),5,FALSE)))))</f>
        <v/>
      </c>
      <c r="AN1371" s="461" t="str">
        <f t="shared" si="768"/>
        <v/>
      </c>
      <c r="AO1371" s="462" t="str">
        <f t="shared" si="769"/>
        <v/>
      </c>
      <c r="AP1371" s="463" t="str">
        <f t="shared" si="770"/>
        <v/>
      </c>
      <c r="AQ1371" s="464"/>
      <c r="AR1371" s="619"/>
      <c r="AS1371" s="465" t="str">
        <f t="shared" si="778"/>
        <v/>
      </c>
      <c r="AT1371" s="465" t="str">
        <f t="shared" si="779"/>
        <v/>
      </c>
      <c r="AU1371" s="466" t="str">
        <f t="shared" si="780"/>
        <v/>
      </c>
      <c r="AV1371" s="467" t="str">
        <f t="shared" si="781"/>
        <v/>
      </c>
      <c r="AW1371" s="467" t="str">
        <f t="shared" si="782"/>
        <v/>
      </c>
      <c r="AX1371" s="467" t="str">
        <f t="shared" si="783"/>
        <v/>
      </c>
      <c r="AY1371" s="467" t="str">
        <f t="shared" si="784"/>
        <v/>
      </c>
      <c r="AZ1371" s="467" t="str">
        <f t="shared" si="785"/>
        <v/>
      </c>
      <c r="BA1371" s="468" t="str">
        <f>IF(AS1371="","",IF(OR(AU1371="",AU1371="-"),"－",IF(OR(AZ1371=8,AZ1371=9),"",IF(OR(AW1371=3,AW1371=4,AW1371=5,AW1371=6),VLOOKUP(AU1371,INDEX((係数_バス貨物_ガソリン,係数_バス貨物_CNG,係数_バス貨物_軽油,係数_バス貨物_メタノール,係数_バス貨物_LPG),MATCH(AY1371,【参考】排出係数!$AI$4:$AI$671,1),1,BE1371):INDEX((係数_バス貨物_ガソリン,係数_バス貨物_CNG,係数_バス貨物_軽油,係数_バス貨物_メタノール,係数_バス貨物_LPG),MATCH(AY1371+1,【参考】排出係数!$AI$4:$AI$671,1)-1,5,BE1371),2,FALSE),IF(OR(AW1371=1,AW1371=2),VLOOKUP(AU1371,INDEX((係数_乗用_ガソリン,係数_乗用_CNG,係数_乗用_軽油,係数_乗用_メタノール,係数_乗用_LPG),1,1,BE1371):INDEX((係数_乗用_ガソリン,係数_乗用_CNG,係数_乗用_軽油,係数_乗用_メタノール,係数_乗用_LPG),125,5,BE1371),2,FALSE))))))</f>
        <v/>
      </c>
      <c r="BB1371" s="468" t="str">
        <f>IF(T1371="","",IF(OR(AU1371="",AU1371="-"),"－",IF(OR(AZ1371=8,AZ1371=9),"",IF(OR(AW1371=3,AW1371=4,AW1371=5,AW1371=6),VLOOKUP(AU1371,INDEX((係数_バス貨物_ガソリン,係数_バス貨物_CNG,係数_バス貨物_軽油,係数_バス貨物_メタノール,係数_バス貨物_LPG),MATCH(AY1371,【参考】排出係数!$AI$4:$AI$671,1),1,BE1371):INDEX((係数_バス貨物_ガソリン,係数_バス貨物_CNG,係数_バス貨物_軽油,係数_バス貨物_メタノール,係数_バス貨物_LPG),MATCH(AY1371+1,【参考】排出係数!$AI$4:$AI$671,1)-1,5,BE1371),3,FALSE),IF(OR(AW1371=1,AW1371=2),VLOOKUP(AU1371,INDEX((係数_乗用_ガソリン,係数_乗用_CNG,係数_乗用_軽油,係数_乗用_メタノール,係数_乗用_LPG),1,1,BE1371):INDEX((係数_乗用_ガソリン,係数_乗用_CNG,係数_乗用_軽油,係数_乗用_メタノール,係数_乗用_LPG),125,5,BE1371),3,FALSE))))))</f>
        <v/>
      </c>
      <c r="BC1371" s="467" t="str">
        <f t="shared" si="786"/>
        <v/>
      </c>
      <c r="BD1371" s="567" t="str">
        <f t="shared" si="787"/>
        <v/>
      </c>
      <c r="BE1371" s="467" t="str">
        <f t="shared" si="788"/>
        <v/>
      </c>
      <c r="BF1371" s="469" t="str">
        <f t="shared" ca="1" si="789"/>
        <v/>
      </c>
      <c r="BG1371" s="469" t="str">
        <f t="shared" ca="1" si="790"/>
        <v/>
      </c>
      <c r="BH1371" s="467" t="str">
        <f t="shared" si="791"/>
        <v/>
      </c>
      <c r="BI1371" s="467" t="str">
        <f t="shared" ca="1" si="792"/>
        <v/>
      </c>
      <c r="BJ1371" s="469" t="str">
        <f t="shared" si="793"/>
        <v/>
      </c>
      <c r="BK1371" s="470" t="str">
        <f t="shared" si="777"/>
        <v/>
      </c>
      <c r="BL1371" s="775" t="str">
        <f t="shared" si="794"/>
        <v/>
      </c>
      <c r="BM1371" s="775" t="str">
        <f t="shared" si="795"/>
        <v/>
      </c>
    </row>
    <row r="1372" spans="1:65">
      <c r="A1372" s="473">
        <v>1316</v>
      </c>
      <c r="B1372" s="132"/>
      <c r="C1372" s="332"/>
      <c r="D1372" s="333"/>
      <c r="E1372" s="333"/>
      <c r="F1372" s="334"/>
      <c r="G1372" s="337"/>
      <c r="H1372" s="131"/>
      <c r="I1372" s="337"/>
      <c r="J1372" s="131"/>
      <c r="K1372" s="458" t="str">
        <f t="shared" si="758"/>
        <v/>
      </c>
      <c r="L1372" s="458">
        <f t="shared" si="759"/>
        <v>0</v>
      </c>
      <c r="M1372" s="458">
        <f t="shared" si="760"/>
        <v>0</v>
      </c>
      <c r="N1372" s="459" t="str">
        <f t="shared" si="771"/>
        <v/>
      </c>
      <c r="O1372" s="459" t="str">
        <f t="shared" si="772"/>
        <v/>
      </c>
      <c r="P1372" s="459" t="str">
        <f t="shared" si="773"/>
        <v/>
      </c>
      <c r="Q1372" s="459" t="str">
        <f t="shared" si="774"/>
        <v/>
      </c>
      <c r="R1372" s="459" t="str">
        <f t="shared" si="775"/>
        <v/>
      </c>
      <c r="S1372" s="459" t="str">
        <f t="shared" si="776"/>
        <v/>
      </c>
      <c r="T1372" s="566" t="str">
        <f t="shared" si="761"/>
        <v/>
      </c>
      <c r="U1372" s="702"/>
      <c r="V1372" s="132"/>
      <c r="W1372" s="133"/>
      <c r="X1372" s="134"/>
      <c r="Y1372" s="135"/>
      <c r="Z1372" s="137"/>
      <c r="AA1372" s="136"/>
      <c r="AB1372" s="566" t="str">
        <f t="shared" si="762"/>
        <v/>
      </c>
      <c r="AC1372" s="568" t="str">
        <f t="shared" si="763"/>
        <v/>
      </c>
      <c r="AD1372" s="137"/>
      <c r="AE1372" s="137"/>
      <c r="AF1372" s="138"/>
      <c r="AG1372" s="138"/>
      <c r="AH1372" s="592" t="str">
        <f t="shared" si="764"/>
        <v/>
      </c>
      <c r="AI1372" s="592" t="str">
        <f t="shared" si="765"/>
        <v/>
      </c>
      <c r="AJ1372" s="592" t="str">
        <f t="shared" si="766"/>
        <v/>
      </c>
      <c r="AK1372" s="460" t="str">
        <f>IF(AU1372="","",IF(OR(AZ1372=8,AZ1372=9),0,IF(OR(AW1372=3,AW1372=4,AW1372=5,AW1372=6),IF(LEFT(BF1372,1)="1",INDEX(係数_NOX・PM低減,MATCH(AY1372,【参考】排出係数!$AI$801:$AI$804,1),1),VLOOKUP(AU1372,INDEX((係数_バス貨物_ガソリン,係数_バス貨物_CNG,係数_バス貨物_軽油,係数_バス貨物_メタノール,係数_バス貨物_LPG),MATCH(AY1372,【参考】排出係数!$AI$4:$AI$671,1),1,BE1372):INDEX((係数_バス貨物_ガソリン,係数_バス貨物_CNG,係数_バス貨物_軽油,係数_バス貨物_メタノール,係数_バス貨物_LPG),MATCH(AY1372+1,【参考】排出係数!$AI$4:$AI$671,1)-1,5,BE1372),4,FALSE)),IF(AND(BE1372=3,LEFT(BF1372,1)="1"),0.48,VLOOKUP(AU1372,INDEX((係数_乗用_ガソリン,係数_乗用_CNG,係数_乗用_軽油,係数_乗用_メタノール,係数_乗用_LPG),1,1,BE1372):INDEX((係数_乗用_ガソリン,係数_乗用_CNG,係数_乗用_軽油,係数_乗用_メタノール,係数_乗用_LPG),125,5,BE1372),4,FALSE)))))</f>
        <v/>
      </c>
      <c r="AL1372" s="461" t="str">
        <f t="shared" si="767"/>
        <v/>
      </c>
      <c r="AM1372" s="460" t="str">
        <f>IF(AU1372="","",IF(OR(AZ1372=8,AZ1372=9),0,IF(OR(AW1372=3,AW1372=4,AW1372=5,AW1372=6),IF(LEFT(BH1372,1)="1",INDEX(係数_PM低減,MATCH(AY1372,【参考】排出係数!$AI$801:$AI$804,1),MATCH(BI1372,【参考】排出係数!$AL$798:$AO$798,1)),VLOOKUP(AU1372,INDEX((係数_バス貨物_ガソリン,係数_バス貨物_CNG,係数_バス貨物_軽油,係数_バス貨物_メタノール,係数_バス貨物_LPG),MATCH(AY1372,【参考】排出係数!$AI$4:$AI$671,1),1,BE1372):INDEX((係数_バス貨物_ガソリン,係数_バス貨物_CNG,係数_バス貨物_軽油,係数_バス貨物_メタノール,係数_バス貨物_LPG),MATCH(AY1372+1,【参考】排出係数!$AI$4:$AI$671,1)-1,5,BE1372),5,FALSE)),IF(AND(BE1372=3,LEFT(BF1372,1)="1"),0.055,VLOOKUP(AU1372,INDEX((係数_乗用_ガソリン,係数_乗用_CNG,係数_乗用_軽油,係数_乗用_メタノール,係数_乗用_LPG),1,1,BE1372):INDEX((係数_乗用_ガソリン,係数_乗用_CNG,係数_乗用_軽油,係数_乗用_メタノール,係数_乗用_LPG),125,5,BE1372),5,FALSE)))))</f>
        <v/>
      </c>
      <c r="AN1372" s="461" t="str">
        <f t="shared" si="768"/>
        <v/>
      </c>
      <c r="AO1372" s="462" t="str">
        <f t="shared" si="769"/>
        <v/>
      </c>
      <c r="AP1372" s="463" t="str">
        <f t="shared" si="770"/>
        <v/>
      </c>
      <c r="AQ1372" s="464"/>
      <c r="AR1372" s="619"/>
      <c r="AS1372" s="465" t="str">
        <f t="shared" si="778"/>
        <v/>
      </c>
      <c r="AT1372" s="465" t="str">
        <f t="shared" si="779"/>
        <v/>
      </c>
      <c r="AU1372" s="466" t="str">
        <f t="shared" si="780"/>
        <v/>
      </c>
      <c r="AV1372" s="467" t="str">
        <f t="shared" si="781"/>
        <v/>
      </c>
      <c r="AW1372" s="467" t="str">
        <f t="shared" si="782"/>
        <v/>
      </c>
      <c r="AX1372" s="467" t="str">
        <f t="shared" si="783"/>
        <v/>
      </c>
      <c r="AY1372" s="467" t="str">
        <f t="shared" si="784"/>
        <v/>
      </c>
      <c r="AZ1372" s="467" t="str">
        <f t="shared" si="785"/>
        <v/>
      </c>
      <c r="BA1372" s="468" t="str">
        <f>IF(AS1372="","",IF(OR(AU1372="",AU1372="-"),"－",IF(OR(AZ1372=8,AZ1372=9),"",IF(OR(AW1372=3,AW1372=4,AW1372=5,AW1372=6),VLOOKUP(AU1372,INDEX((係数_バス貨物_ガソリン,係数_バス貨物_CNG,係数_バス貨物_軽油,係数_バス貨物_メタノール,係数_バス貨物_LPG),MATCH(AY1372,【参考】排出係数!$AI$4:$AI$671,1),1,BE1372):INDEX((係数_バス貨物_ガソリン,係数_バス貨物_CNG,係数_バス貨物_軽油,係数_バス貨物_メタノール,係数_バス貨物_LPG),MATCH(AY1372+1,【参考】排出係数!$AI$4:$AI$671,1)-1,5,BE1372),2,FALSE),IF(OR(AW1372=1,AW1372=2),VLOOKUP(AU1372,INDEX((係数_乗用_ガソリン,係数_乗用_CNG,係数_乗用_軽油,係数_乗用_メタノール,係数_乗用_LPG),1,1,BE1372):INDEX((係数_乗用_ガソリン,係数_乗用_CNG,係数_乗用_軽油,係数_乗用_メタノール,係数_乗用_LPG),125,5,BE1372),2,FALSE))))))</f>
        <v/>
      </c>
      <c r="BB1372" s="468" t="str">
        <f>IF(T1372="","",IF(OR(AU1372="",AU1372="-"),"－",IF(OR(AZ1372=8,AZ1372=9),"",IF(OR(AW1372=3,AW1372=4,AW1372=5,AW1372=6),VLOOKUP(AU1372,INDEX((係数_バス貨物_ガソリン,係数_バス貨物_CNG,係数_バス貨物_軽油,係数_バス貨物_メタノール,係数_バス貨物_LPG),MATCH(AY1372,【参考】排出係数!$AI$4:$AI$671,1),1,BE1372):INDEX((係数_バス貨物_ガソリン,係数_バス貨物_CNG,係数_バス貨物_軽油,係数_バス貨物_メタノール,係数_バス貨物_LPG),MATCH(AY1372+1,【参考】排出係数!$AI$4:$AI$671,1)-1,5,BE1372),3,FALSE),IF(OR(AW1372=1,AW1372=2),VLOOKUP(AU1372,INDEX((係数_乗用_ガソリン,係数_乗用_CNG,係数_乗用_軽油,係数_乗用_メタノール,係数_乗用_LPG),1,1,BE1372):INDEX((係数_乗用_ガソリン,係数_乗用_CNG,係数_乗用_軽油,係数_乗用_メタノール,係数_乗用_LPG),125,5,BE1372),3,FALSE))))))</f>
        <v/>
      </c>
      <c r="BC1372" s="467" t="str">
        <f t="shared" si="786"/>
        <v/>
      </c>
      <c r="BD1372" s="567" t="str">
        <f t="shared" si="787"/>
        <v/>
      </c>
      <c r="BE1372" s="467" t="str">
        <f t="shared" si="788"/>
        <v/>
      </c>
      <c r="BF1372" s="469" t="str">
        <f t="shared" ca="1" si="789"/>
        <v/>
      </c>
      <c r="BG1372" s="469" t="str">
        <f t="shared" ca="1" si="790"/>
        <v/>
      </c>
      <c r="BH1372" s="467" t="str">
        <f t="shared" si="791"/>
        <v/>
      </c>
      <c r="BI1372" s="467" t="str">
        <f t="shared" ca="1" si="792"/>
        <v/>
      </c>
      <c r="BJ1372" s="469" t="str">
        <f t="shared" si="793"/>
        <v/>
      </c>
      <c r="BK1372" s="470" t="str">
        <f t="shared" si="777"/>
        <v/>
      </c>
      <c r="BL1372" s="775" t="str">
        <f t="shared" si="794"/>
        <v/>
      </c>
      <c r="BM1372" s="775" t="str">
        <f t="shared" si="795"/>
        <v/>
      </c>
    </row>
    <row r="1373" spans="1:65">
      <c r="A1373" s="473">
        <v>1317</v>
      </c>
      <c r="B1373" s="132"/>
      <c r="C1373" s="332"/>
      <c r="D1373" s="333"/>
      <c r="E1373" s="333"/>
      <c r="F1373" s="334"/>
      <c r="G1373" s="337"/>
      <c r="H1373" s="131"/>
      <c r="I1373" s="337"/>
      <c r="J1373" s="131"/>
      <c r="K1373" s="458" t="str">
        <f t="shared" si="758"/>
        <v/>
      </c>
      <c r="L1373" s="458">
        <f t="shared" si="759"/>
        <v>0</v>
      </c>
      <c r="M1373" s="458">
        <f t="shared" si="760"/>
        <v>0</v>
      </c>
      <c r="N1373" s="459" t="str">
        <f t="shared" si="771"/>
        <v/>
      </c>
      <c r="O1373" s="459" t="str">
        <f t="shared" si="772"/>
        <v/>
      </c>
      <c r="P1373" s="459" t="str">
        <f t="shared" si="773"/>
        <v/>
      </c>
      <c r="Q1373" s="459" t="str">
        <f t="shared" si="774"/>
        <v/>
      </c>
      <c r="R1373" s="459" t="str">
        <f t="shared" si="775"/>
        <v/>
      </c>
      <c r="S1373" s="459" t="str">
        <f t="shared" si="776"/>
        <v/>
      </c>
      <c r="T1373" s="566" t="str">
        <f t="shared" si="761"/>
        <v/>
      </c>
      <c r="U1373" s="702"/>
      <c r="V1373" s="132"/>
      <c r="W1373" s="133"/>
      <c r="X1373" s="134"/>
      <c r="Y1373" s="135"/>
      <c r="Z1373" s="137"/>
      <c r="AA1373" s="136"/>
      <c r="AB1373" s="566" t="str">
        <f t="shared" si="762"/>
        <v/>
      </c>
      <c r="AC1373" s="568" t="str">
        <f t="shared" si="763"/>
        <v/>
      </c>
      <c r="AD1373" s="137"/>
      <c r="AE1373" s="137"/>
      <c r="AF1373" s="138"/>
      <c r="AG1373" s="138"/>
      <c r="AH1373" s="592" t="str">
        <f t="shared" si="764"/>
        <v/>
      </c>
      <c r="AI1373" s="592" t="str">
        <f t="shared" si="765"/>
        <v/>
      </c>
      <c r="AJ1373" s="592" t="str">
        <f t="shared" si="766"/>
        <v/>
      </c>
      <c r="AK1373" s="460" t="str">
        <f>IF(AU1373="","",IF(OR(AZ1373=8,AZ1373=9),0,IF(OR(AW1373=3,AW1373=4,AW1373=5,AW1373=6),IF(LEFT(BF1373,1)="1",INDEX(係数_NOX・PM低減,MATCH(AY1373,【参考】排出係数!$AI$801:$AI$804,1),1),VLOOKUP(AU1373,INDEX((係数_バス貨物_ガソリン,係数_バス貨物_CNG,係数_バス貨物_軽油,係数_バス貨物_メタノール,係数_バス貨物_LPG),MATCH(AY1373,【参考】排出係数!$AI$4:$AI$671,1),1,BE1373):INDEX((係数_バス貨物_ガソリン,係数_バス貨物_CNG,係数_バス貨物_軽油,係数_バス貨物_メタノール,係数_バス貨物_LPG),MATCH(AY1373+1,【参考】排出係数!$AI$4:$AI$671,1)-1,5,BE1373),4,FALSE)),IF(AND(BE1373=3,LEFT(BF1373,1)="1"),0.48,VLOOKUP(AU1373,INDEX((係数_乗用_ガソリン,係数_乗用_CNG,係数_乗用_軽油,係数_乗用_メタノール,係数_乗用_LPG),1,1,BE1373):INDEX((係数_乗用_ガソリン,係数_乗用_CNG,係数_乗用_軽油,係数_乗用_メタノール,係数_乗用_LPG),125,5,BE1373),4,FALSE)))))</f>
        <v/>
      </c>
      <c r="AL1373" s="461" t="str">
        <f t="shared" si="767"/>
        <v/>
      </c>
      <c r="AM1373" s="460" t="str">
        <f>IF(AU1373="","",IF(OR(AZ1373=8,AZ1373=9),0,IF(OR(AW1373=3,AW1373=4,AW1373=5,AW1373=6),IF(LEFT(BH1373,1)="1",INDEX(係数_PM低減,MATCH(AY1373,【参考】排出係数!$AI$801:$AI$804,1),MATCH(BI1373,【参考】排出係数!$AL$798:$AO$798,1)),VLOOKUP(AU1373,INDEX((係数_バス貨物_ガソリン,係数_バス貨物_CNG,係数_バス貨物_軽油,係数_バス貨物_メタノール,係数_バス貨物_LPG),MATCH(AY1373,【参考】排出係数!$AI$4:$AI$671,1),1,BE1373):INDEX((係数_バス貨物_ガソリン,係数_バス貨物_CNG,係数_バス貨物_軽油,係数_バス貨物_メタノール,係数_バス貨物_LPG),MATCH(AY1373+1,【参考】排出係数!$AI$4:$AI$671,1)-1,5,BE1373),5,FALSE)),IF(AND(BE1373=3,LEFT(BF1373,1)="1"),0.055,VLOOKUP(AU1373,INDEX((係数_乗用_ガソリン,係数_乗用_CNG,係数_乗用_軽油,係数_乗用_メタノール,係数_乗用_LPG),1,1,BE1373):INDEX((係数_乗用_ガソリン,係数_乗用_CNG,係数_乗用_軽油,係数_乗用_メタノール,係数_乗用_LPG),125,5,BE1373),5,FALSE)))))</f>
        <v/>
      </c>
      <c r="AN1373" s="461" t="str">
        <f t="shared" si="768"/>
        <v/>
      </c>
      <c r="AO1373" s="462" t="str">
        <f t="shared" si="769"/>
        <v/>
      </c>
      <c r="AP1373" s="463" t="str">
        <f t="shared" si="770"/>
        <v/>
      </c>
      <c r="AQ1373" s="464"/>
      <c r="AR1373" s="619"/>
      <c r="AS1373" s="465" t="str">
        <f t="shared" si="778"/>
        <v/>
      </c>
      <c r="AT1373" s="465" t="str">
        <f t="shared" si="779"/>
        <v/>
      </c>
      <c r="AU1373" s="466" t="str">
        <f t="shared" si="780"/>
        <v/>
      </c>
      <c r="AV1373" s="467" t="str">
        <f t="shared" si="781"/>
        <v/>
      </c>
      <c r="AW1373" s="467" t="str">
        <f t="shared" si="782"/>
        <v/>
      </c>
      <c r="AX1373" s="467" t="str">
        <f t="shared" si="783"/>
        <v/>
      </c>
      <c r="AY1373" s="467" t="str">
        <f t="shared" si="784"/>
        <v/>
      </c>
      <c r="AZ1373" s="467" t="str">
        <f t="shared" si="785"/>
        <v/>
      </c>
      <c r="BA1373" s="468" t="str">
        <f>IF(AS1373="","",IF(OR(AU1373="",AU1373="-"),"－",IF(OR(AZ1373=8,AZ1373=9),"",IF(OR(AW1373=3,AW1373=4,AW1373=5,AW1373=6),VLOOKUP(AU1373,INDEX((係数_バス貨物_ガソリン,係数_バス貨物_CNG,係数_バス貨物_軽油,係数_バス貨物_メタノール,係数_バス貨物_LPG),MATCH(AY1373,【参考】排出係数!$AI$4:$AI$671,1),1,BE1373):INDEX((係数_バス貨物_ガソリン,係数_バス貨物_CNG,係数_バス貨物_軽油,係数_バス貨物_メタノール,係数_バス貨物_LPG),MATCH(AY1373+1,【参考】排出係数!$AI$4:$AI$671,1)-1,5,BE1373),2,FALSE),IF(OR(AW1373=1,AW1373=2),VLOOKUP(AU1373,INDEX((係数_乗用_ガソリン,係数_乗用_CNG,係数_乗用_軽油,係数_乗用_メタノール,係数_乗用_LPG),1,1,BE1373):INDEX((係数_乗用_ガソリン,係数_乗用_CNG,係数_乗用_軽油,係数_乗用_メタノール,係数_乗用_LPG),125,5,BE1373),2,FALSE))))))</f>
        <v/>
      </c>
      <c r="BB1373" s="468" t="str">
        <f>IF(T1373="","",IF(OR(AU1373="",AU1373="-"),"－",IF(OR(AZ1373=8,AZ1373=9),"",IF(OR(AW1373=3,AW1373=4,AW1373=5,AW1373=6),VLOOKUP(AU1373,INDEX((係数_バス貨物_ガソリン,係数_バス貨物_CNG,係数_バス貨物_軽油,係数_バス貨物_メタノール,係数_バス貨物_LPG),MATCH(AY1373,【参考】排出係数!$AI$4:$AI$671,1),1,BE1373):INDEX((係数_バス貨物_ガソリン,係数_バス貨物_CNG,係数_バス貨物_軽油,係数_バス貨物_メタノール,係数_バス貨物_LPG),MATCH(AY1373+1,【参考】排出係数!$AI$4:$AI$671,1)-1,5,BE1373),3,FALSE),IF(OR(AW1373=1,AW1373=2),VLOOKUP(AU1373,INDEX((係数_乗用_ガソリン,係数_乗用_CNG,係数_乗用_軽油,係数_乗用_メタノール,係数_乗用_LPG),1,1,BE1373):INDEX((係数_乗用_ガソリン,係数_乗用_CNG,係数_乗用_軽油,係数_乗用_メタノール,係数_乗用_LPG),125,5,BE1373),3,FALSE))))))</f>
        <v/>
      </c>
      <c r="BC1373" s="467" t="str">
        <f t="shared" si="786"/>
        <v/>
      </c>
      <c r="BD1373" s="567" t="str">
        <f t="shared" si="787"/>
        <v/>
      </c>
      <c r="BE1373" s="467" t="str">
        <f t="shared" si="788"/>
        <v/>
      </c>
      <c r="BF1373" s="469" t="str">
        <f t="shared" ca="1" si="789"/>
        <v/>
      </c>
      <c r="BG1373" s="469" t="str">
        <f t="shared" ca="1" si="790"/>
        <v/>
      </c>
      <c r="BH1373" s="467" t="str">
        <f t="shared" si="791"/>
        <v/>
      </c>
      <c r="BI1373" s="467" t="str">
        <f t="shared" ca="1" si="792"/>
        <v/>
      </c>
      <c r="BJ1373" s="469" t="str">
        <f t="shared" si="793"/>
        <v/>
      </c>
      <c r="BK1373" s="470" t="str">
        <f t="shared" si="777"/>
        <v/>
      </c>
      <c r="BL1373" s="775" t="str">
        <f t="shared" si="794"/>
        <v/>
      </c>
      <c r="BM1373" s="775" t="str">
        <f t="shared" si="795"/>
        <v/>
      </c>
    </row>
    <row r="1374" spans="1:65">
      <c r="A1374" s="473">
        <v>1318</v>
      </c>
      <c r="B1374" s="132"/>
      <c r="C1374" s="332"/>
      <c r="D1374" s="333"/>
      <c r="E1374" s="333"/>
      <c r="F1374" s="334"/>
      <c r="G1374" s="337"/>
      <c r="H1374" s="131"/>
      <c r="I1374" s="337"/>
      <c r="J1374" s="131"/>
      <c r="K1374" s="458" t="str">
        <f t="shared" si="758"/>
        <v/>
      </c>
      <c r="L1374" s="458">
        <f t="shared" si="759"/>
        <v>0</v>
      </c>
      <c r="M1374" s="458">
        <f t="shared" si="760"/>
        <v>0</v>
      </c>
      <c r="N1374" s="459" t="str">
        <f t="shared" si="771"/>
        <v/>
      </c>
      <c r="O1374" s="459" t="str">
        <f t="shared" si="772"/>
        <v/>
      </c>
      <c r="P1374" s="459" t="str">
        <f t="shared" si="773"/>
        <v/>
      </c>
      <c r="Q1374" s="459" t="str">
        <f t="shared" si="774"/>
        <v/>
      </c>
      <c r="R1374" s="459" t="str">
        <f t="shared" si="775"/>
        <v/>
      </c>
      <c r="S1374" s="459" t="str">
        <f t="shared" si="776"/>
        <v/>
      </c>
      <c r="T1374" s="566" t="str">
        <f t="shared" si="761"/>
        <v/>
      </c>
      <c r="U1374" s="702"/>
      <c r="V1374" s="132"/>
      <c r="W1374" s="133"/>
      <c r="X1374" s="134"/>
      <c r="Y1374" s="135"/>
      <c r="Z1374" s="137"/>
      <c r="AA1374" s="136"/>
      <c r="AB1374" s="566" t="str">
        <f t="shared" si="762"/>
        <v/>
      </c>
      <c r="AC1374" s="568" t="str">
        <f t="shared" si="763"/>
        <v/>
      </c>
      <c r="AD1374" s="137"/>
      <c r="AE1374" s="137"/>
      <c r="AF1374" s="138"/>
      <c r="AG1374" s="138"/>
      <c r="AH1374" s="592" t="str">
        <f t="shared" si="764"/>
        <v/>
      </c>
      <c r="AI1374" s="592" t="str">
        <f t="shared" si="765"/>
        <v/>
      </c>
      <c r="AJ1374" s="592" t="str">
        <f t="shared" si="766"/>
        <v/>
      </c>
      <c r="AK1374" s="460" t="str">
        <f>IF(AU1374="","",IF(OR(AZ1374=8,AZ1374=9),0,IF(OR(AW1374=3,AW1374=4,AW1374=5,AW1374=6),IF(LEFT(BF1374,1)="1",INDEX(係数_NOX・PM低減,MATCH(AY1374,【参考】排出係数!$AI$801:$AI$804,1),1),VLOOKUP(AU1374,INDEX((係数_バス貨物_ガソリン,係数_バス貨物_CNG,係数_バス貨物_軽油,係数_バス貨物_メタノール,係数_バス貨物_LPG),MATCH(AY1374,【参考】排出係数!$AI$4:$AI$671,1),1,BE1374):INDEX((係数_バス貨物_ガソリン,係数_バス貨物_CNG,係数_バス貨物_軽油,係数_バス貨物_メタノール,係数_バス貨物_LPG),MATCH(AY1374+1,【参考】排出係数!$AI$4:$AI$671,1)-1,5,BE1374),4,FALSE)),IF(AND(BE1374=3,LEFT(BF1374,1)="1"),0.48,VLOOKUP(AU1374,INDEX((係数_乗用_ガソリン,係数_乗用_CNG,係数_乗用_軽油,係数_乗用_メタノール,係数_乗用_LPG),1,1,BE1374):INDEX((係数_乗用_ガソリン,係数_乗用_CNG,係数_乗用_軽油,係数_乗用_メタノール,係数_乗用_LPG),125,5,BE1374),4,FALSE)))))</f>
        <v/>
      </c>
      <c r="AL1374" s="461" t="str">
        <f t="shared" si="767"/>
        <v/>
      </c>
      <c r="AM1374" s="460" t="str">
        <f>IF(AU1374="","",IF(OR(AZ1374=8,AZ1374=9),0,IF(OR(AW1374=3,AW1374=4,AW1374=5,AW1374=6),IF(LEFT(BH1374,1)="1",INDEX(係数_PM低減,MATCH(AY1374,【参考】排出係数!$AI$801:$AI$804,1),MATCH(BI1374,【参考】排出係数!$AL$798:$AO$798,1)),VLOOKUP(AU1374,INDEX((係数_バス貨物_ガソリン,係数_バス貨物_CNG,係数_バス貨物_軽油,係数_バス貨物_メタノール,係数_バス貨物_LPG),MATCH(AY1374,【参考】排出係数!$AI$4:$AI$671,1),1,BE1374):INDEX((係数_バス貨物_ガソリン,係数_バス貨物_CNG,係数_バス貨物_軽油,係数_バス貨物_メタノール,係数_バス貨物_LPG),MATCH(AY1374+1,【参考】排出係数!$AI$4:$AI$671,1)-1,5,BE1374),5,FALSE)),IF(AND(BE1374=3,LEFT(BF1374,1)="1"),0.055,VLOOKUP(AU1374,INDEX((係数_乗用_ガソリン,係数_乗用_CNG,係数_乗用_軽油,係数_乗用_メタノール,係数_乗用_LPG),1,1,BE1374):INDEX((係数_乗用_ガソリン,係数_乗用_CNG,係数_乗用_軽油,係数_乗用_メタノール,係数_乗用_LPG),125,5,BE1374),5,FALSE)))))</f>
        <v/>
      </c>
      <c r="AN1374" s="461" t="str">
        <f t="shared" si="768"/>
        <v/>
      </c>
      <c r="AO1374" s="462" t="str">
        <f t="shared" si="769"/>
        <v/>
      </c>
      <c r="AP1374" s="463" t="str">
        <f t="shared" si="770"/>
        <v/>
      </c>
      <c r="AQ1374" s="464"/>
      <c r="AR1374" s="619"/>
      <c r="AS1374" s="465" t="str">
        <f t="shared" si="778"/>
        <v/>
      </c>
      <c r="AT1374" s="465" t="str">
        <f t="shared" si="779"/>
        <v/>
      </c>
      <c r="AU1374" s="466" t="str">
        <f t="shared" si="780"/>
        <v/>
      </c>
      <c r="AV1374" s="467" t="str">
        <f t="shared" si="781"/>
        <v/>
      </c>
      <c r="AW1374" s="467" t="str">
        <f t="shared" si="782"/>
        <v/>
      </c>
      <c r="AX1374" s="467" t="str">
        <f t="shared" si="783"/>
        <v/>
      </c>
      <c r="AY1374" s="467" t="str">
        <f t="shared" si="784"/>
        <v/>
      </c>
      <c r="AZ1374" s="467" t="str">
        <f t="shared" si="785"/>
        <v/>
      </c>
      <c r="BA1374" s="468" t="str">
        <f>IF(AS1374="","",IF(OR(AU1374="",AU1374="-"),"－",IF(OR(AZ1374=8,AZ1374=9),"",IF(OR(AW1374=3,AW1374=4,AW1374=5,AW1374=6),VLOOKUP(AU1374,INDEX((係数_バス貨物_ガソリン,係数_バス貨物_CNG,係数_バス貨物_軽油,係数_バス貨物_メタノール,係数_バス貨物_LPG),MATCH(AY1374,【参考】排出係数!$AI$4:$AI$671,1),1,BE1374):INDEX((係数_バス貨物_ガソリン,係数_バス貨物_CNG,係数_バス貨物_軽油,係数_バス貨物_メタノール,係数_バス貨物_LPG),MATCH(AY1374+1,【参考】排出係数!$AI$4:$AI$671,1)-1,5,BE1374),2,FALSE),IF(OR(AW1374=1,AW1374=2),VLOOKUP(AU1374,INDEX((係数_乗用_ガソリン,係数_乗用_CNG,係数_乗用_軽油,係数_乗用_メタノール,係数_乗用_LPG),1,1,BE1374):INDEX((係数_乗用_ガソリン,係数_乗用_CNG,係数_乗用_軽油,係数_乗用_メタノール,係数_乗用_LPG),125,5,BE1374),2,FALSE))))))</f>
        <v/>
      </c>
      <c r="BB1374" s="468" t="str">
        <f>IF(T1374="","",IF(OR(AU1374="",AU1374="-"),"－",IF(OR(AZ1374=8,AZ1374=9),"",IF(OR(AW1374=3,AW1374=4,AW1374=5,AW1374=6),VLOOKUP(AU1374,INDEX((係数_バス貨物_ガソリン,係数_バス貨物_CNG,係数_バス貨物_軽油,係数_バス貨物_メタノール,係数_バス貨物_LPG),MATCH(AY1374,【参考】排出係数!$AI$4:$AI$671,1),1,BE1374):INDEX((係数_バス貨物_ガソリン,係数_バス貨物_CNG,係数_バス貨物_軽油,係数_バス貨物_メタノール,係数_バス貨物_LPG),MATCH(AY1374+1,【参考】排出係数!$AI$4:$AI$671,1)-1,5,BE1374),3,FALSE),IF(OR(AW1374=1,AW1374=2),VLOOKUP(AU1374,INDEX((係数_乗用_ガソリン,係数_乗用_CNG,係数_乗用_軽油,係数_乗用_メタノール,係数_乗用_LPG),1,1,BE1374):INDEX((係数_乗用_ガソリン,係数_乗用_CNG,係数_乗用_軽油,係数_乗用_メタノール,係数_乗用_LPG),125,5,BE1374),3,FALSE))))))</f>
        <v/>
      </c>
      <c r="BC1374" s="467" t="str">
        <f t="shared" si="786"/>
        <v/>
      </c>
      <c r="BD1374" s="567" t="str">
        <f t="shared" si="787"/>
        <v/>
      </c>
      <c r="BE1374" s="467" t="str">
        <f t="shared" si="788"/>
        <v/>
      </c>
      <c r="BF1374" s="469" t="str">
        <f t="shared" ca="1" si="789"/>
        <v/>
      </c>
      <c r="BG1374" s="469" t="str">
        <f t="shared" ca="1" si="790"/>
        <v/>
      </c>
      <c r="BH1374" s="467" t="str">
        <f t="shared" si="791"/>
        <v/>
      </c>
      <c r="BI1374" s="467" t="str">
        <f t="shared" ca="1" si="792"/>
        <v/>
      </c>
      <c r="BJ1374" s="469" t="str">
        <f t="shared" si="793"/>
        <v/>
      </c>
      <c r="BK1374" s="470" t="str">
        <f t="shared" si="777"/>
        <v/>
      </c>
      <c r="BL1374" s="775" t="str">
        <f t="shared" si="794"/>
        <v/>
      </c>
      <c r="BM1374" s="775" t="str">
        <f t="shared" si="795"/>
        <v/>
      </c>
    </row>
    <row r="1375" spans="1:65">
      <c r="A1375" s="473">
        <v>1319</v>
      </c>
      <c r="B1375" s="132"/>
      <c r="C1375" s="332"/>
      <c r="D1375" s="333"/>
      <c r="E1375" s="333"/>
      <c r="F1375" s="334"/>
      <c r="G1375" s="337"/>
      <c r="H1375" s="131"/>
      <c r="I1375" s="337"/>
      <c r="J1375" s="131"/>
      <c r="K1375" s="458" t="str">
        <f t="shared" si="758"/>
        <v/>
      </c>
      <c r="L1375" s="458">
        <f t="shared" si="759"/>
        <v>0</v>
      </c>
      <c r="M1375" s="458">
        <f t="shared" si="760"/>
        <v>0</v>
      </c>
      <c r="N1375" s="459" t="str">
        <f t="shared" si="771"/>
        <v/>
      </c>
      <c r="O1375" s="459" t="str">
        <f t="shared" si="772"/>
        <v/>
      </c>
      <c r="P1375" s="459" t="str">
        <f t="shared" si="773"/>
        <v/>
      </c>
      <c r="Q1375" s="459" t="str">
        <f t="shared" si="774"/>
        <v/>
      </c>
      <c r="R1375" s="459" t="str">
        <f t="shared" si="775"/>
        <v/>
      </c>
      <c r="S1375" s="459" t="str">
        <f t="shared" si="776"/>
        <v/>
      </c>
      <c r="T1375" s="566" t="str">
        <f t="shared" si="761"/>
        <v/>
      </c>
      <c r="U1375" s="702"/>
      <c r="V1375" s="132"/>
      <c r="W1375" s="133"/>
      <c r="X1375" s="134"/>
      <c r="Y1375" s="135"/>
      <c r="Z1375" s="137"/>
      <c r="AA1375" s="136"/>
      <c r="AB1375" s="566" t="str">
        <f t="shared" si="762"/>
        <v/>
      </c>
      <c r="AC1375" s="568" t="str">
        <f t="shared" si="763"/>
        <v/>
      </c>
      <c r="AD1375" s="137"/>
      <c r="AE1375" s="137"/>
      <c r="AF1375" s="138"/>
      <c r="AG1375" s="138"/>
      <c r="AH1375" s="592" t="str">
        <f t="shared" si="764"/>
        <v/>
      </c>
      <c r="AI1375" s="592" t="str">
        <f t="shared" si="765"/>
        <v/>
      </c>
      <c r="AJ1375" s="592" t="str">
        <f t="shared" si="766"/>
        <v/>
      </c>
      <c r="AK1375" s="460" t="str">
        <f>IF(AU1375="","",IF(OR(AZ1375=8,AZ1375=9),0,IF(OR(AW1375=3,AW1375=4,AW1375=5,AW1375=6),IF(LEFT(BF1375,1)="1",INDEX(係数_NOX・PM低減,MATCH(AY1375,【参考】排出係数!$AI$801:$AI$804,1),1),VLOOKUP(AU1375,INDEX((係数_バス貨物_ガソリン,係数_バス貨物_CNG,係数_バス貨物_軽油,係数_バス貨物_メタノール,係数_バス貨物_LPG),MATCH(AY1375,【参考】排出係数!$AI$4:$AI$671,1),1,BE1375):INDEX((係数_バス貨物_ガソリン,係数_バス貨物_CNG,係数_バス貨物_軽油,係数_バス貨物_メタノール,係数_バス貨物_LPG),MATCH(AY1375+1,【参考】排出係数!$AI$4:$AI$671,1)-1,5,BE1375),4,FALSE)),IF(AND(BE1375=3,LEFT(BF1375,1)="1"),0.48,VLOOKUP(AU1375,INDEX((係数_乗用_ガソリン,係数_乗用_CNG,係数_乗用_軽油,係数_乗用_メタノール,係数_乗用_LPG),1,1,BE1375):INDEX((係数_乗用_ガソリン,係数_乗用_CNG,係数_乗用_軽油,係数_乗用_メタノール,係数_乗用_LPG),125,5,BE1375),4,FALSE)))))</f>
        <v/>
      </c>
      <c r="AL1375" s="461" t="str">
        <f t="shared" si="767"/>
        <v/>
      </c>
      <c r="AM1375" s="460" t="str">
        <f>IF(AU1375="","",IF(OR(AZ1375=8,AZ1375=9),0,IF(OR(AW1375=3,AW1375=4,AW1375=5,AW1375=6),IF(LEFT(BH1375,1)="1",INDEX(係数_PM低減,MATCH(AY1375,【参考】排出係数!$AI$801:$AI$804,1),MATCH(BI1375,【参考】排出係数!$AL$798:$AO$798,1)),VLOOKUP(AU1375,INDEX((係数_バス貨物_ガソリン,係数_バス貨物_CNG,係数_バス貨物_軽油,係数_バス貨物_メタノール,係数_バス貨物_LPG),MATCH(AY1375,【参考】排出係数!$AI$4:$AI$671,1),1,BE1375):INDEX((係数_バス貨物_ガソリン,係数_バス貨物_CNG,係数_バス貨物_軽油,係数_バス貨物_メタノール,係数_バス貨物_LPG),MATCH(AY1375+1,【参考】排出係数!$AI$4:$AI$671,1)-1,5,BE1375),5,FALSE)),IF(AND(BE1375=3,LEFT(BF1375,1)="1"),0.055,VLOOKUP(AU1375,INDEX((係数_乗用_ガソリン,係数_乗用_CNG,係数_乗用_軽油,係数_乗用_メタノール,係数_乗用_LPG),1,1,BE1375):INDEX((係数_乗用_ガソリン,係数_乗用_CNG,係数_乗用_軽油,係数_乗用_メタノール,係数_乗用_LPG),125,5,BE1375),5,FALSE)))))</f>
        <v/>
      </c>
      <c r="AN1375" s="461" t="str">
        <f t="shared" si="768"/>
        <v/>
      </c>
      <c r="AO1375" s="462" t="str">
        <f t="shared" si="769"/>
        <v/>
      </c>
      <c r="AP1375" s="463" t="str">
        <f t="shared" si="770"/>
        <v/>
      </c>
      <c r="AQ1375" s="464"/>
      <c r="AR1375" s="619"/>
      <c r="AS1375" s="465" t="str">
        <f t="shared" si="778"/>
        <v/>
      </c>
      <c r="AT1375" s="465" t="str">
        <f t="shared" si="779"/>
        <v/>
      </c>
      <c r="AU1375" s="466" t="str">
        <f t="shared" si="780"/>
        <v/>
      </c>
      <c r="AV1375" s="467" t="str">
        <f t="shared" si="781"/>
        <v/>
      </c>
      <c r="AW1375" s="467" t="str">
        <f t="shared" si="782"/>
        <v/>
      </c>
      <c r="AX1375" s="467" t="str">
        <f t="shared" si="783"/>
        <v/>
      </c>
      <c r="AY1375" s="467" t="str">
        <f t="shared" si="784"/>
        <v/>
      </c>
      <c r="AZ1375" s="467" t="str">
        <f t="shared" si="785"/>
        <v/>
      </c>
      <c r="BA1375" s="468" t="str">
        <f>IF(AS1375="","",IF(OR(AU1375="",AU1375="-"),"－",IF(OR(AZ1375=8,AZ1375=9),"",IF(OR(AW1375=3,AW1375=4,AW1375=5,AW1375=6),VLOOKUP(AU1375,INDEX((係数_バス貨物_ガソリン,係数_バス貨物_CNG,係数_バス貨物_軽油,係数_バス貨物_メタノール,係数_バス貨物_LPG),MATCH(AY1375,【参考】排出係数!$AI$4:$AI$671,1),1,BE1375):INDEX((係数_バス貨物_ガソリン,係数_バス貨物_CNG,係数_バス貨物_軽油,係数_バス貨物_メタノール,係数_バス貨物_LPG),MATCH(AY1375+1,【参考】排出係数!$AI$4:$AI$671,1)-1,5,BE1375),2,FALSE),IF(OR(AW1375=1,AW1375=2),VLOOKUP(AU1375,INDEX((係数_乗用_ガソリン,係数_乗用_CNG,係数_乗用_軽油,係数_乗用_メタノール,係数_乗用_LPG),1,1,BE1375):INDEX((係数_乗用_ガソリン,係数_乗用_CNG,係数_乗用_軽油,係数_乗用_メタノール,係数_乗用_LPG),125,5,BE1375),2,FALSE))))))</f>
        <v/>
      </c>
      <c r="BB1375" s="468" t="str">
        <f>IF(T1375="","",IF(OR(AU1375="",AU1375="-"),"－",IF(OR(AZ1375=8,AZ1375=9),"",IF(OR(AW1375=3,AW1375=4,AW1375=5,AW1375=6),VLOOKUP(AU1375,INDEX((係数_バス貨物_ガソリン,係数_バス貨物_CNG,係数_バス貨物_軽油,係数_バス貨物_メタノール,係数_バス貨物_LPG),MATCH(AY1375,【参考】排出係数!$AI$4:$AI$671,1),1,BE1375):INDEX((係数_バス貨物_ガソリン,係数_バス貨物_CNG,係数_バス貨物_軽油,係数_バス貨物_メタノール,係数_バス貨物_LPG),MATCH(AY1375+1,【参考】排出係数!$AI$4:$AI$671,1)-1,5,BE1375),3,FALSE),IF(OR(AW1375=1,AW1375=2),VLOOKUP(AU1375,INDEX((係数_乗用_ガソリン,係数_乗用_CNG,係数_乗用_軽油,係数_乗用_メタノール,係数_乗用_LPG),1,1,BE1375):INDEX((係数_乗用_ガソリン,係数_乗用_CNG,係数_乗用_軽油,係数_乗用_メタノール,係数_乗用_LPG),125,5,BE1375),3,FALSE))))))</f>
        <v/>
      </c>
      <c r="BC1375" s="467" t="str">
        <f t="shared" si="786"/>
        <v/>
      </c>
      <c r="BD1375" s="567" t="str">
        <f t="shared" si="787"/>
        <v/>
      </c>
      <c r="BE1375" s="467" t="str">
        <f t="shared" si="788"/>
        <v/>
      </c>
      <c r="BF1375" s="469" t="str">
        <f t="shared" ca="1" si="789"/>
        <v/>
      </c>
      <c r="BG1375" s="469" t="str">
        <f t="shared" ca="1" si="790"/>
        <v/>
      </c>
      <c r="BH1375" s="467" t="str">
        <f t="shared" si="791"/>
        <v/>
      </c>
      <c r="BI1375" s="467" t="str">
        <f t="shared" ca="1" si="792"/>
        <v/>
      </c>
      <c r="BJ1375" s="469" t="str">
        <f t="shared" si="793"/>
        <v/>
      </c>
      <c r="BK1375" s="470" t="str">
        <f t="shared" si="777"/>
        <v/>
      </c>
      <c r="BL1375" s="775" t="str">
        <f t="shared" si="794"/>
        <v/>
      </c>
      <c r="BM1375" s="775" t="str">
        <f t="shared" si="795"/>
        <v/>
      </c>
    </row>
    <row r="1376" spans="1:65">
      <c r="A1376" s="473">
        <v>1320</v>
      </c>
      <c r="B1376" s="132"/>
      <c r="C1376" s="332"/>
      <c r="D1376" s="333"/>
      <c r="E1376" s="333"/>
      <c r="F1376" s="334"/>
      <c r="G1376" s="337"/>
      <c r="H1376" s="131"/>
      <c r="I1376" s="337"/>
      <c r="J1376" s="131"/>
      <c r="K1376" s="458" t="str">
        <f t="shared" si="758"/>
        <v/>
      </c>
      <c r="L1376" s="458">
        <f t="shared" si="759"/>
        <v>0</v>
      </c>
      <c r="M1376" s="458">
        <f t="shared" si="760"/>
        <v>0</v>
      </c>
      <c r="N1376" s="459" t="str">
        <f t="shared" si="771"/>
        <v/>
      </c>
      <c r="O1376" s="459" t="str">
        <f t="shared" si="772"/>
        <v/>
      </c>
      <c r="P1376" s="459" t="str">
        <f t="shared" si="773"/>
        <v/>
      </c>
      <c r="Q1376" s="459" t="str">
        <f t="shared" si="774"/>
        <v/>
      </c>
      <c r="R1376" s="459" t="str">
        <f t="shared" si="775"/>
        <v/>
      </c>
      <c r="S1376" s="459" t="str">
        <f t="shared" si="776"/>
        <v/>
      </c>
      <c r="T1376" s="566" t="str">
        <f t="shared" si="761"/>
        <v/>
      </c>
      <c r="U1376" s="702"/>
      <c r="V1376" s="132"/>
      <c r="W1376" s="133"/>
      <c r="X1376" s="134"/>
      <c r="Y1376" s="135"/>
      <c r="Z1376" s="137"/>
      <c r="AA1376" s="136"/>
      <c r="AB1376" s="566" t="str">
        <f t="shared" si="762"/>
        <v/>
      </c>
      <c r="AC1376" s="568" t="str">
        <f t="shared" si="763"/>
        <v/>
      </c>
      <c r="AD1376" s="137"/>
      <c r="AE1376" s="137"/>
      <c r="AF1376" s="138"/>
      <c r="AG1376" s="138"/>
      <c r="AH1376" s="592" t="str">
        <f t="shared" si="764"/>
        <v/>
      </c>
      <c r="AI1376" s="592" t="str">
        <f t="shared" si="765"/>
        <v/>
      </c>
      <c r="AJ1376" s="592" t="str">
        <f t="shared" si="766"/>
        <v/>
      </c>
      <c r="AK1376" s="460" t="str">
        <f>IF(AU1376="","",IF(OR(AZ1376=8,AZ1376=9),0,IF(OR(AW1376=3,AW1376=4,AW1376=5,AW1376=6),IF(LEFT(BF1376,1)="1",INDEX(係数_NOX・PM低減,MATCH(AY1376,【参考】排出係数!$AI$801:$AI$804,1),1),VLOOKUP(AU1376,INDEX((係数_バス貨物_ガソリン,係数_バス貨物_CNG,係数_バス貨物_軽油,係数_バス貨物_メタノール,係数_バス貨物_LPG),MATCH(AY1376,【参考】排出係数!$AI$4:$AI$671,1),1,BE1376):INDEX((係数_バス貨物_ガソリン,係数_バス貨物_CNG,係数_バス貨物_軽油,係数_バス貨物_メタノール,係数_バス貨物_LPG),MATCH(AY1376+1,【参考】排出係数!$AI$4:$AI$671,1)-1,5,BE1376),4,FALSE)),IF(AND(BE1376=3,LEFT(BF1376,1)="1"),0.48,VLOOKUP(AU1376,INDEX((係数_乗用_ガソリン,係数_乗用_CNG,係数_乗用_軽油,係数_乗用_メタノール,係数_乗用_LPG),1,1,BE1376):INDEX((係数_乗用_ガソリン,係数_乗用_CNG,係数_乗用_軽油,係数_乗用_メタノール,係数_乗用_LPG),125,5,BE1376),4,FALSE)))))</f>
        <v/>
      </c>
      <c r="AL1376" s="461" t="str">
        <f t="shared" si="767"/>
        <v/>
      </c>
      <c r="AM1376" s="460" t="str">
        <f>IF(AU1376="","",IF(OR(AZ1376=8,AZ1376=9),0,IF(OR(AW1376=3,AW1376=4,AW1376=5,AW1376=6),IF(LEFT(BH1376,1)="1",INDEX(係数_PM低減,MATCH(AY1376,【参考】排出係数!$AI$801:$AI$804,1),MATCH(BI1376,【参考】排出係数!$AL$798:$AO$798,1)),VLOOKUP(AU1376,INDEX((係数_バス貨物_ガソリン,係数_バス貨物_CNG,係数_バス貨物_軽油,係数_バス貨物_メタノール,係数_バス貨物_LPG),MATCH(AY1376,【参考】排出係数!$AI$4:$AI$671,1),1,BE1376):INDEX((係数_バス貨物_ガソリン,係数_バス貨物_CNG,係数_バス貨物_軽油,係数_バス貨物_メタノール,係数_バス貨物_LPG),MATCH(AY1376+1,【参考】排出係数!$AI$4:$AI$671,1)-1,5,BE1376),5,FALSE)),IF(AND(BE1376=3,LEFT(BF1376,1)="1"),0.055,VLOOKUP(AU1376,INDEX((係数_乗用_ガソリン,係数_乗用_CNG,係数_乗用_軽油,係数_乗用_メタノール,係数_乗用_LPG),1,1,BE1376):INDEX((係数_乗用_ガソリン,係数_乗用_CNG,係数_乗用_軽油,係数_乗用_メタノール,係数_乗用_LPG),125,5,BE1376),5,FALSE)))))</f>
        <v/>
      </c>
      <c r="AN1376" s="461" t="str">
        <f t="shared" si="768"/>
        <v/>
      </c>
      <c r="AO1376" s="462" t="str">
        <f t="shared" si="769"/>
        <v/>
      </c>
      <c r="AP1376" s="463" t="str">
        <f t="shared" si="770"/>
        <v/>
      </c>
      <c r="AQ1376" s="464"/>
      <c r="AR1376" s="619"/>
      <c r="AS1376" s="465" t="str">
        <f t="shared" si="778"/>
        <v/>
      </c>
      <c r="AT1376" s="465" t="str">
        <f t="shared" si="779"/>
        <v/>
      </c>
      <c r="AU1376" s="466" t="str">
        <f t="shared" si="780"/>
        <v/>
      </c>
      <c r="AV1376" s="467" t="str">
        <f t="shared" si="781"/>
        <v/>
      </c>
      <c r="AW1376" s="467" t="str">
        <f t="shared" si="782"/>
        <v/>
      </c>
      <c r="AX1376" s="467" t="str">
        <f t="shared" si="783"/>
        <v/>
      </c>
      <c r="AY1376" s="467" t="str">
        <f t="shared" si="784"/>
        <v/>
      </c>
      <c r="AZ1376" s="467" t="str">
        <f t="shared" si="785"/>
        <v/>
      </c>
      <c r="BA1376" s="468" t="str">
        <f>IF(AS1376="","",IF(OR(AU1376="",AU1376="-"),"－",IF(OR(AZ1376=8,AZ1376=9),"",IF(OR(AW1376=3,AW1376=4,AW1376=5,AW1376=6),VLOOKUP(AU1376,INDEX((係数_バス貨物_ガソリン,係数_バス貨物_CNG,係数_バス貨物_軽油,係数_バス貨物_メタノール,係数_バス貨物_LPG),MATCH(AY1376,【参考】排出係数!$AI$4:$AI$671,1),1,BE1376):INDEX((係数_バス貨物_ガソリン,係数_バス貨物_CNG,係数_バス貨物_軽油,係数_バス貨物_メタノール,係数_バス貨物_LPG),MATCH(AY1376+1,【参考】排出係数!$AI$4:$AI$671,1)-1,5,BE1376),2,FALSE),IF(OR(AW1376=1,AW1376=2),VLOOKUP(AU1376,INDEX((係数_乗用_ガソリン,係数_乗用_CNG,係数_乗用_軽油,係数_乗用_メタノール,係数_乗用_LPG),1,1,BE1376):INDEX((係数_乗用_ガソリン,係数_乗用_CNG,係数_乗用_軽油,係数_乗用_メタノール,係数_乗用_LPG),125,5,BE1376),2,FALSE))))))</f>
        <v/>
      </c>
      <c r="BB1376" s="468" t="str">
        <f>IF(T1376="","",IF(OR(AU1376="",AU1376="-"),"－",IF(OR(AZ1376=8,AZ1376=9),"",IF(OR(AW1376=3,AW1376=4,AW1376=5,AW1376=6),VLOOKUP(AU1376,INDEX((係数_バス貨物_ガソリン,係数_バス貨物_CNG,係数_バス貨物_軽油,係数_バス貨物_メタノール,係数_バス貨物_LPG),MATCH(AY1376,【参考】排出係数!$AI$4:$AI$671,1),1,BE1376):INDEX((係数_バス貨物_ガソリン,係数_バス貨物_CNG,係数_バス貨物_軽油,係数_バス貨物_メタノール,係数_バス貨物_LPG),MATCH(AY1376+1,【参考】排出係数!$AI$4:$AI$671,1)-1,5,BE1376),3,FALSE),IF(OR(AW1376=1,AW1376=2),VLOOKUP(AU1376,INDEX((係数_乗用_ガソリン,係数_乗用_CNG,係数_乗用_軽油,係数_乗用_メタノール,係数_乗用_LPG),1,1,BE1376):INDEX((係数_乗用_ガソリン,係数_乗用_CNG,係数_乗用_軽油,係数_乗用_メタノール,係数_乗用_LPG),125,5,BE1376),3,FALSE))))))</f>
        <v/>
      </c>
      <c r="BC1376" s="467" t="str">
        <f t="shared" si="786"/>
        <v/>
      </c>
      <c r="BD1376" s="567" t="str">
        <f t="shared" si="787"/>
        <v/>
      </c>
      <c r="BE1376" s="467" t="str">
        <f t="shared" si="788"/>
        <v/>
      </c>
      <c r="BF1376" s="469" t="str">
        <f t="shared" ca="1" si="789"/>
        <v/>
      </c>
      <c r="BG1376" s="469" t="str">
        <f t="shared" ca="1" si="790"/>
        <v/>
      </c>
      <c r="BH1376" s="467" t="str">
        <f t="shared" si="791"/>
        <v/>
      </c>
      <c r="BI1376" s="467" t="str">
        <f t="shared" ca="1" si="792"/>
        <v/>
      </c>
      <c r="BJ1376" s="469" t="str">
        <f t="shared" si="793"/>
        <v/>
      </c>
      <c r="BK1376" s="470" t="str">
        <f t="shared" si="777"/>
        <v/>
      </c>
      <c r="BL1376" s="775" t="str">
        <f t="shared" si="794"/>
        <v/>
      </c>
      <c r="BM1376" s="775" t="str">
        <f t="shared" si="795"/>
        <v/>
      </c>
    </row>
    <row r="1377" spans="1:65">
      <c r="A1377" s="473">
        <v>1321</v>
      </c>
      <c r="B1377" s="132"/>
      <c r="C1377" s="332"/>
      <c r="D1377" s="333"/>
      <c r="E1377" s="333"/>
      <c r="F1377" s="334"/>
      <c r="G1377" s="337"/>
      <c r="H1377" s="131"/>
      <c r="I1377" s="337"/>
      <c r="J1377" s="131"/>
      <c r="K1377" s="458" t="str">
        <f t="shared" si="758"/>
        <v/>
      </c>
      <c r="L1377" s="458">
        <f t="shared" si="759"/>
        <v>0</v>
      </c>
      <c r="M1377" s="458">
        <f t="shared" si="760"/>
        <v>0</v>
      </c>
      <c r="N1377" s="459" t="str">
        <f t="shared" si="771"/>
        <v/>
      </c>
      <c r="O1377" s="459" t="str">
        <f t="shared" si="772"/>
        <v/>
      </c>
      <c r="P1377" s="459" t="str">
        <f t="shared" si="773"/>
        <v/>
      </c>
      <c r="Q1377" s="459" t="str">
        <f t="shared" si="774"/>
        <v/>
      </c>
      <c r="R1377" s="459" t="str">
        <f t="shared" si="775"/>
        <v/>
      </c>
      <c r="S1377" s="459" t="str">
        <f t="shared" si="776"/>
        <v/>
      </c>
      <c r="T1377" s="566" t="str">
        <f t="shared" si="761"/>
        <v/>
      </c>
      <c r="U1377" s="702"/>
      <c r="V1377" s="132"/>
      <c r="W1377" s="133"/>
      <c r="X1377" s="134"/>
      <c r="Y1377" s="135"/>
      <c r="Z1377" s="137"/>
      <c r="AA1377" s="136"/>
      <c r="AB1377" s="566" t="str">
        <f t="shared" si="762"/>
        <v/>
      </c>
      <c r="AC1377" s="568" t="str">
        <f t="shared" si="763"/>
        <v/>
      </c>
      <c r="AD1377" s="137"/>
      <c r="AE1377" s="137"/>
      <c r="AF1377" s="138"/>
      <c r="AG1377" s="138"/>
      <c r="AH1377" s="592" t="str">
        <f t="shared" si="764"/>
        <v/>
      </c>
      <c r="AI1377" s="592" t="str">
        <f t="shared" si="765"/>
        <v/>
      </c>
      <c r="AJ1377" s="592" t="str">
        <f t="shared" si="766"/>
        <v/>
      </c>
      <c r="AK1377" s="460" t="str">
        <f>IF(AU1377="","",IF(OR(AZ1377=8,AZ1377=9),0,IF(OR(AW1377=3,AW1377=4,AW1377=5,AW1377=6),IF(LEFT(BF1377,1)="1",INDEX(係数_NOX・PM低減,MATCH(AY1377,【参考】排出係数!$AI$801:$AI$804,1),1),VLOOKUP(AU1377,INDEX((係数_バス貨物_ガソリン,係数_バス貨物_CNG,係数_バス貨物_軽油,係数_バス貨物_メタノール,係数_バス貨物_LPG),MATCH(AY1377,【参考】排出係数!$AI$4:$AI$671,1),1,BE1377):INDEX((係数_バス貨物_ガソリン,係数_バス貨物_CNG,係数_バス貨物_軽油,係数_バス貨物_メタノール,係数_バス貨物_LPG),MATCH(AY1377+1,【参考】排出係数!$AI$4:$AI$671,1)-1,5,BE1377),4,FALSE)),IF(AND(BE1377=3,LEFT(BF1377,1)="1"),0.48,VLOOKUP(AU1377,INDEX((係数_乗用_ガソリン,係数_乗用_CNG,係数_乗用_軽油,係数_乗用_メタノール,係数_乗用_LPG),1,1,BE1377):INDEX((係数_乗用_ガソリン,係数_乗用_CNG,係数_乗用_軽油,係数_乗用_メタノール,係数_乗用_LPG),125,5,BE1377),4,FALSE)))))</f>
        <v/>
      </c>
      <c r="AL1377" s="461" t="str">
        <f t="shared" si="767"/>
        <v/>
      </c>
      <c r="AM1377" s="460" t="str">
        <f>IF(AU1377="","",IF(OR(AZ1377=8,AZ1377=9),0,IF(OR(AW1377=3,AW1377=4,AW1377=5,AW1377=6),IF(LEFT(BH1377,1)="1",INDEX(係数_PM低減,MATCH(AY1377,【参考】排出係数!$AI$801:$AI$804,1),MATCH(BI1377,【参考】排出係数!$AL$798:$AO$798,1)),VLOOKUP(AU1377,INDEX((係数_バス貨物_ガソリン,係数_バス貨物_CNG,係数_バス貨物_軽油,係数_バス貨物_メタノール,係数_バス貨物_LPG),MATCH(AY1377,【参考】排出係数!$AI$4:$AI$671,1),1,BE1377):INDEX((係数_バス貨物_ガソリン,係数_バス貨物_CNG,係数_バス貨物_軽油,係数_バス貨物_メタノール,係数_バス貨物_LPG),MATCH(AY1377+1,【参考】排出係数!$AI$4:$AI$671,1)-1,5,BE1377),5,FALSE)),IF(AND(BE1377=3,LEFT(BF1377,1)="1"),0.055,VLOOKUP(AU1377,INDEX((係数_乗用_ガソリン,係数_乗用_CNG,係数_乗用_軽油,係数_乗用_メタノール,係数_乗用_LPG),1,1,BE1377):INDEX((係数_乗用_ガソリン,係数_乗用_CNG,係数_乗用_軽油,係数_乗用_メタノール,係数_乗用_LPG),125,5,BE1377),5,FALSE)))))</f>
        <v/>
      </c>
      <c r="AN1377" s="461" t="str">
        <f t="shared" si="768"/>
        <v/>
      </c>
      <c r="AO1377" s="462" t="str">
        <f t="shared" si="769"/>
        <v/>
      </c>
      <c r="AP1377" s="463" t="str">
        <f t="shared" si="770"/>
        <v/>
      </c>
      <c r="AQ1377" s="464"/>
      <c r="AR1377" s="619"/>
      <c r="AS1377" s="465" t="str">
        <f t="shared" si="778"/>
        <v/>
      </c>
      <c r="AT1377" s="465" t="str">
        <f t="shared" si="779"/>
        <v/>
      </c>
      <c r="AU1377" s="466" t="str">
        <f t="shared" si="780"/>
        <v/>
      </c>
      <c r="AV1377" s="467" t="str">
        <f t="shared" si="781"/>
        <v/>
      </c>
      <c r="AW1377" s="467" t="str">
        <f t="shared" si="782"/>
        <v/>
      </c>
      <c r="AX1377" s="467" t="str">
        <f t="shared" si="783"/>
        <v/>
      </c>
      <c r="AY1377" s="467" t="str">
        <f t="shared" si="784"/>
        <v/>
      </c>
      <c r="AZ1377" s="467" t="str">
        <f t="shared" si="785"/>
        <v/>
      </c>
      <c r="BA1377" s="468" t="str">
        <f>IF(AS1377="","",IF(OR(AU1377="",AU1377="-"),"－",IF(OR(AZ1377=8,AZ1377=9),"",IF(OR(AW1377=3,AW1377=4,AW1377=5,AW1377=6),VLOOKUP(AU1377,INDEX((係数_バス貨物_ガソリン,係数_バス貨物_CNG,係数_バス貨物_軽油,係数_バス貨物_メタノール,係数_バス貨物_LPG),MATCH(AY1377,【参考】排出係数!$AI$4:$AI$671,1),1,BE1377):INDEX((係数_バス貨物_ガソリン,係数_バス貨物_CNG,係数_バス貨物_軽油,係数_バス貨物_メタノール,係数_バス貨物_LPG),MATCH(AY1377+1,【参考】排出係数!$AI$4:$AI$671,1)-1,5,BE1377),2,FALSE),IF(OR(AW1377=1,AW1377=2),VLOOKUP(AU1377,INDEX((係数_乗用_ガソリン,係数_乗用_CNG,係数_乗用_軽油,係数_乗用_メタノール,係数_乗用_LPG),1,1,BE1377):INDEX((係数_乗用_ガソリン,係数_乗用_CNG,係数_乗用_軽油,係数_乗用_メタノール,係数_乗用_LPG),125,5,BE1377),2,FALSE))))))</f>
        <v/>
      </c>
      <c r="BB1377" s="468" t="str">
        <f>IF(T1377="","",IF(OR(AU1377="",AU1377="-"),"－",IF(OR(AZ1377=8,AZ1377=9),"",IF(OR(AW1377=3,AW1377=4,AW1377=5,AW1377=6),VLOOKUP(AU1377,INDEX((係数_バス貨物_ガソリン,係数_バス貨物_CNG,係数_バス貨物_軽油,係数_バス貨物_メタノール,係数_バス貨物_LPG),MATCH(AY1377,【参考】排出係数!$AI$4:$AI$671,1),1,BE1377):INDEX((係数_バス貨物_ガソリン,係数_バス貨物_CNG,係数_バス貨物_軽油,係数_バス貨物_メタノール,係数_バス貨物_LPG),MATCH(AY1377+1,【参考】排出係数!$AI$4:$AI$671,1)-1,5,BE1377),3,FALSE),IF(OR(AW1377=1,AW1377=2),VLOOKUP(AU1377,INDEX((係数_乗用_ガソリン,係数_乗用_CNG,係数_乗用_軽油,係数_乗用_メタノール,係数_乗用_LPG),1,1,BE1377):INDEX((係数_乗用_ガソリン,係数_乗用_CNG,係数_乗用_軽油,係数_乗用_メタノール,係数_乗用_LPG),125,5,BE1377),3,FALSE))))))</f>
        <v/>
      </c>
      <c r="BC1377" s="467" t="str">
        <f t="shared" si="786"/>
        <v/>
      </c>
      <c r="BD1377" s="567" t="str">
        <f t="shared" si="787"/>
        <v/>
      </c>
      <c r="BE1377" s="467" t="str">
        <f t="shared" si="788"/>
        <v/>
      </c>
      <c r="BF1377" s="469" t="str">
        <f t="shared" ca="1" si="789"/>
        <v/>
      </c>
      <c r="BG1377" s="469" t="str">
        <f t="shared" ca="1" si="790"/>
        <v/>
      </c>
      <c r="BH1377" s="467" t="str">
        <f t="shared" si="791"/>
        <v/>
      </c>
      <c r="BI1377" s="467" t="str">
        <f t="shared" ca="1" si="792"/>
        <v/>
      </c>
      <c r="BJ1377" s="469" t="str">
        <f t="shared" si="793"/>
        <v/>
      </c>
      <c r="BK1377" s="470" t="str">
        <f t="shared" si="777"/>
        <v/>
      </c>
      <c r="BL1377" s="775" t="str">
        <f t="shared" si="794"/>
        <v/>
      </c>
      <c r="BM1377" s="775" t="str">
        <f t="shared" si="795"/>
        <v/>
      </c>
    </row>
    <row r="1378" spans="1:65">
      <c r="A1378" s="473">
        <v>1322</v>
      </c>
      <c r="B1378" s="132"/>
      <c r="C1378" s="332"/>
      <c r="D1378" s="333"/>
      <c r="E1378" s="333"/>
      <c r="F1378" s="334"/>
      <c r="G1378" s="337"/>
      <c r="H1378" s="131"/>
      <c r="I1378" s="337"/>
      <c r="J1378" s="131"/>
      <c r="K1378" s="458" t="str">
        <f t="shared" si="758"/>
        <v/>
      </c>
      <c r="L1378" s="458">
        <f t="shared" si="759"/>
        <v>0</v>
      </c>
      <c r="M1378" s="458">
        <f t="shared" si="760"/>
        <v>0</v>
      </c>
      <c r="N1378" s="459" t="str">
        <f t="shared" si="771"/>
        <v/>
      </c>
      <c r="O1378" s="459" t="str">
        <f t="shared" si="772"/>
        <v/>
      </c>
      <c r="P1378" s="459" t="str">
        <f t="shared" si="773"/>
        <v/>
      </c>
      <c r="Q1378" s="459" t="str">
        <f t="shared" si="774"/>
        <v/>
      </c>
      <c r="R1378" s="459" t="str">
        <f t="shared" si="775"/>
        <v/>
      </c>
      <c r="S1378" s="459" t="str">
        <f t="shared" si="776"/>
        <v/>
      </c>
      <c r="T1378" s="566" t="str">
        <f t="shared" si="761"/>
        <v/>
      </c>
      <c r="U1378" s="702"/>
      <c r="V1378" s="132"/>
      <c r="W1378" s="133"/>
      <c r="X1378" s="134"/>
      <c r="Y1378" s="135"/>
      <c r="Z1378" s="137"/>
      <c r="AA1378" s="136"/>
      <c r="AB1378" s="566" t="str">
        <f t="shared" si="762"/>
        <v/>
      </c>
      <c r="AC1378" s="568" t="str">
        <f t="shared" si="763"/>
        <v/>
      </c>
      <c r="AD1378" s="137"/>
      <c r="AE1378" s="137"/>
      <c r="AF1378" s="138"/>
      <c r="AG1378" s="138"/>
      <c r="AH1378" s="592" t="str">
        <f t="shared" si="764"/>
        <v/>
      </c>
      <c r="AI1378" s="592" t="str">
        <f t="shared" si="765"/>
        <v/>
      </c>
      <c r="AJ1378" s="592" t="str">
        <f t="shared" si="766"/>
        <v/>
      </c>
      <c r="AK1378" s="460" t="str">
        <f>IF(AU1378="","",IF(OR(AZ1378=8,AZ1378=9),0,IF(OR(AW1378=3,AW1378=4,AW1378=5,AW1378=6),IF(LEFT(BF1378,1)="1",INDEX(係数_NOX・PM低減,MATCH(AY1378,【参考】排出係数!$AI$801:$AI$804,1),1),VLOOKUP(AU1378,INDEX((係数_バス貨物_ガソリン,係数_バス貨物_CNG,係数_バス貨物_軽油,係数_バス貨物_メタノール,係数_バス貨物_LPG),MATCH(AY1378,【参考】排出係数!$AI$4:$AI$671,1),1,BE1378):INDEX((係数_バス貨物_ガソリン,係数_バス貨物_CNG,係数_バス貨物_軽油,係数_バス貨物_メタノール,係数_バス貨物_LPG),MATCH(AY1378+1,【参考】排出係数!$AI$4:$AI$671,1)-1,5,BE1378),4,FALSE)),IF(AND(BE1378=3,LEFT(BF1378,1)="1"),0.48,VLOOKUP(AU1378,INDEX((係数_乗用_ガソリン,係数_乗用_CNG,係数_乗用_軽油,係数_乗用_メタノール,係数_乗用_LPG),1,1,BE1378):INDEX((係数_乗用_ガソリン,係数_乗用_CNG,係数_乗用_軽油,係数_乗用_メタノール,係数_乗用_LPG),125,5,BE1378),4,FALSE)))))</f>
        <v/>
      </c>
      <c r="AL1378" s="461" t="str">
        <f t="shared" si="767"/>
        <v/>
      </c>
      <c r="AM1378" s="460" t="str">
        <f>IF(AU1378="","",IF(OR(AZ1378=8,AZ1378=9),0,IF(OR(AW1378=3,AW1378=4,AW1378=5,AW1378=6),IF(LEFT(BH1378,1)="1",INDEX(係数_PM低減,MATCH(AY1378,【参考】排出係数!$AI$801:$AI$804,1),MATCH(BI1378,【参考】排出係数!$AL$798:$AO$798,1)),VLOOKUP(AU1378,INDEX((係数_バス貨物_ガソリン,係数_バス貨物_CNG,係数_バス貨物_軽油,係数_バス貨物_メタノール,係数_バス貨物_LPG),MATCH(AY1378,【参考】排出係数!$AI$4:$AI$671,1),1,BE1378):INDEX((係数_バス貨物_ガソリン,係数_バス貨物_CNG,係数_バス貨物_軽油,係数_バス貨物_メタノール,係数_バス貨物_LPG),MATCH(AY1378+1,【参考】排出係数!$AI$4:$AI$671,1)-1,5,BE1378),5,FALSE)),IF(AND(BE1378=3,LEFT(BF1378,1)="1"),0.055,VLOOKUP(AU1378,INDEX((係数_乗用_ガソリン,係数_乗用_CNG,係数_乗用_軽油,係数_乗用_メタノール,係数_乗用_LPG),1,1,BE1378):INDEX((係数_乗用_ガソリン,係数_乗用_CNG,係数_乗用_軽油,係数_乗用_メタノール,係数_乗用_LPG),125,5,BE1378),5,FALSE)))))</f>
        <v/>
      </c>
      <c r="AN1378" s="461" t="str">
        <f t="shared" si="768"/>
        <v/>
      </c>
      <c r="AO1378" s="462" t="str">
        <f t="shared" si="769"/>
        <v/>
      </c>
      <c r="AP1378" s="463" t="str">
        <f t="shared" si="770"/>
        <v/>
      </c>
      <c r="AQ1378" s="464"/>
      <c r="AR1378" s="619"/>
      <c r="AS1378" s="465" t="str">
        <f t="shared" si="778"/>
        <v/>
      </c>
      <c r="AT1378" s="465" t="str">
        <f t="shared" si="779"/>
        <v/>
      </c>
      <c r="AU1378" s="466" t="str">
        <f t="shared" si="780"/>
        <v/>
      </c>
      <c r="AV1378" s="467" t="str">
        <f t="shared" si="781"/>
        <v/>
      </c>
      <c r="AW1378" s="467" t="str">
        <f t="shared" si="782"/>
        <v/>
      </c>
      <c r="AX1378" s="467" t="str">
        <f t="shared" si="783"/>
        <v/>
      </c>
      <c r="AY1378" s="467" t="str">
        <f t="shared" si="784"/>
        <v/>
      </c>
      <c r="AZ1378" s="467" t="str">
        <f t="shared" si="785"/>
        <v/>
      </c>
      <c r="BA1378" s="468" t="str">
        <f>IF(AS1378="","",IF(OR(AU1378="",AU1378="-"),"－",IF(OR(AZ1378=8,AZ1378=9),"",IF(OR(AW1378=3,AW1378=4,AW1378=5,AW1378=6),VLOOKUP(AU1378,INDEX((係数_バス貨物_ガソリン,係数_バス貨物_CNG,係数_バス貨物_軽油,係数_バス貨物_メタノール,係数_バス貨物_LPG),MATCH(AY1378,【参考】排出係数!$AI$4:$AI$671,1),1,BE1378):INDEX((係数_バス貨物_ガソリン,係数_バス貨物_CNG,係数_バス貨物_軽油,係数_バス貨物_メタノール,係数_バス貨物_LPG),MATCH(AY1378+1,【参考】排出係数!$AI$4:$AI$671,1)-1,5,BE1378),2,FALSE),IF(OR(AW1378=1,AW1378=2),VLOOKUP(AU1378,INDEX((係数_乗用_ガソリン,係数_乗用_CNG,係数_乗用_軽油,係数_乗用_メタノール,係数_乗用_LPG),1,1,BE1378):INDEX((係数_乗用_ガソリン,係数_乗用_CNG,係数_乗用_軽油,係数_乗用_メタノール,係数_乗用_LPG),125,5,BE1378),2,FALSE))))))</f>
        <v/>
      </c>
      <c r="BB1378" s="468" t="str">
        <f>IF(T1378="","",IF(OR(AU1378="",AU1378="-"),"－",IF(OR(AZ1378=8,AZ1378=9),"",IF(OR(AW1378=3,AW1378=4,AW1378=5,AW1378=6),VLOOKUP(AU1378,INDEX((係数_バス貨物_ガソリン,係数_バス貨物_CNG,係数_バス貨物_軽油,係数_バス貨物_メタノール,係数_バス貨物_LPG),MATCH(AY1378,【参考】排出係数!$AI$4:$AI$671,1),1,BE1378):INDEX((係数_バス貨物_ガソリン,係数_バス貨物_CNG,係数_バス貨物_軽油,係数_バス貨物_メタノール,係数_バス貨物_LPG),MATCH(AY1378+1,【参考】排出係数!$AI$4:$AI$671,1)-1,5,BE1378),3,FALSE),IF(OR(AW1378=1,AW1378=2),VLOOKUP(AU1378,INDEX((係数_乗用_ガソリン,係数_乗用_CNG,係数_乗用_軽油,係数_乗用_メタノール,係数_乗用_LPG),1,1,BE1378):INDEX((係数_乗用_ガソリン,係数_乗用_CNG,係数_乗用_軽油,係数_乗用_メタノール,係数_乗用_LPG),125,5,BE1378),3,FALSE))))))</f>
        <v/>
      </c>
      <c r="BC1378" s="467" t="str">
        <f t="shared" si="786"/>
        <v/>
      </c>
      <c r="BD1378" s="567" t="str">
        <f t="shared" si="787"/>
        <v/>
      </c>
      <c r="BE1378" s="467" t="str">
        <f t="shared" si="788"/>
        <v/>
      </c>
      <c r="BF1378" s="469" t="str">
        <f t="shared" ca="1" si="789"/>
        <v/>
      </c>
      <c r="BG1378" s="469" t="str">
        <f t="shared" ca="1" si="790"/>
        <v/>
      </c>
      <c r="BH1378" s="467" t="str">
        <f t="shared" si="791"/>
        <v/>
      </c>
      <c r="BI1378" s="467" t="str">
        <f t="shared" ca="1" si="792"/>
        <v/>
      </c>
      <c r="BJ1378" s="469" t="str">
        <f t="shared" si="793"/>
        <v/>
      </c>
      <c r="BK1378" s="470" t="str">
        <f t="shared" si="777"/>
        <v/>
      </c>
      <c r="BL1378" s="775" t="str">
        <f t="shared" si="794"/>
        <v/>
      </c>
      <c r="BM1378" s="775" t="str">
        <f t="shared" si="795"/>
        <v/>
      </c>
    </row>
    <row r="1379" spans="1:65">
      <c r="A1379" s="473">
        <v>1323</v>
      </c>
      <c r="B1379" s="132"/>
      <c r="C1379" s="332"/>
      <c r="D1379" s="333"/>
      <c r="E1379" s="333"/>
      <c r="F1379" s="334"/>
      <c r="G1379" s="337"/>
      <c r="H1379" s="131"/>
      <c r="I1379" s="337"/>
      <c r="J1379" s="131"/>
      <c r="K1379" s="458" t="str">
        <f t="shared" si="758"/>
        <v/>
      </c>
      <c r="L1379" s="458">
        <f t="shared" si="759"/>
        <v>0</v>
      </c>
      <c r="M1379" s="458">
        <f t="shared" si="760"/>
        <v>0</v>
      </c>
      <c r="N1379" s="459" t="str">
        <f t="shared" si="771"/>
        <v/>
      </c>
      <c r="O1379" s="459" t="str">
        <f t="shared" si="772"/>
        <v/>
      </c>
      <c r="P1379" s="459" t="str">
        <f t="shared" si="773"/>
        <v/>
      </c>
      <c r="Q1379" s="459" t="str">
        <f t="shared" si="774"/>
        <v/>
      </c>
      <c r="R1379" s="459" t="str">
        <f t="shared" si="775"/>
        <v/>
      </c>
      <c r="S1379" s="459" t="str">
        <f t="shared" si="776"/>
        <v/>
      </c>
      <c r="T1379" s="566" t="str">
        <f t="shared" si="761"/>
        <v/>
      </c>
      <c r="U1379" s="702"/>
      <c r="V1379" s="132"/>
      <c r="W1379" s="133"/>
      <c r="X1379" s="134"/>
      <c r="Y1379" s="135"/>
      <c r="Z1379" s="137"/>
      <c r="AA1379" s="136"/>
      <c r="AB1379" s="566" t="str">
        <f t="shared" si="762"/>
        <v/>
      </c>
      <c r="AC1379" s="568" t="str">
        <f t="shared" si="763"/>
        <v/>
      </c>
      <c r="AD1379" s="137"/>
      <c r="AE1379" s="137"/>
      <c r="AF1379" s="138"/>
      <c r="AG1379" s="138"/>
      <c r="AH1379" s="592" t="str">
        <f t="shared" si="764"/>
        <v/>
      </c>
      <c r="AI1379" s="592" t="str">
        <f t="shared" si="765"/>
        <v/>
      </c>
      <c r="AJ1379" s="592" t="str">
        <f t="shared" si="766"/>
        <v/>
      </c>
      <c r="AK1379" s="460" t="str">
        <f>IF(AU1379="","",IF(OR(AZ1379=8,AZ1379=9),0,IF(OR(AW1379=3,AW1379=4,AW1379=5,AW1379=6),IF(LEFT(BF1379,1)="1",INDEX(係数_NOX・PM低減,MATCH(AY1379,【参考】排出係数!$AI$801:$AI$804,1),1),VLOOKUP(AU1379,INDEX((係数_バス貨物_ガソリン,係数_バス貨物_CNG,係数_バス貨物_軽油,係数_バス貨物_メタノール,係数_バス貨物_LPG),MATCH(AY1379,【参考】排出係数!$AI$4:$AI$671,1),1,BE1379):INDEX((係数_バス貨物_ガソリン,係数_バス貨物_CNG,係数_バス貨物_軽油,係数_バス貨物_メタノール,係数_バス貨物_LPG),MATCH(AY1379+1,【参考】排出係数!$AI$4:$AI$671,1)-1,5,BE1379),4,FALSE)),IF(AND(BE1379=3,LEFT(BF1379,1)="1"),0.48,VLOOKUP(AU1379,INDEX((係数_乗用_ガソリン,係数_乗用_CNG,係数_乗用_軽油,係数_乗用_メタノール,係数_乗用_LPG),1,1,BE1379):INDEX((係数_乗用_ガソリン,係数_乗用_CNG,係数_乗用_軽油,係数_乗用_メタノール,係数_乗用_LPG),125,5,BE1379),4,FALSE)))))</f>
        <v/>
      </c>
      <c r="AL1379" s="461" t="str">
        <f t="shared" si="767"/>
        <v/>
      </c>
      <c r="AM1379" s="460" t="str">
        <f>IF(AU1379="","",IF(OR(AZ1379=8,AZ1379=9),0,IF(OR(AW1379=3,AW1379=4,AW1379=5,AW1379=6),IF(LEFT(BH1379,1)="1",INDEX(係数_PM低減,MATCH(AY1379,【参考】排出係数!$AI$801:$AI$804,1),MATCH(BI1379,【参考】排出係数!$AL$798:$AO$798,1)),VLOOKUP(AU1379,INDEX((係数_バス貨物_ガソリン,係数_バス貨物_CNG,係数_バス貨物_軽油,係数_バス貨物_メタノール,係数_バス貨物_LPG),MATCH(AY1379,【参考】排出係数!$AI$4:$AI$671,1),1,BE1379):INDEX((係数_バス貨物_ガソリン,係数_バス貨物_CNG,係数_バス貨物_軽油,係数_バス貨物_メタノール,係数_バス貨物_LPG),MATCH(AY1379+1,【参考】排出係数!$AI$4:$AI$671,1)-1,5,BE1379),5,FALSE)),IF(AND(BE1379=3,LEFT(BF1379,1)="1"),0.055,VLOOKUP(AU1379,INDEX((係数_乗用_ガソリン,係数_乗用_CNG,係数_乗用_軽油,係数_乗用_メタノール,係数_乗用_LPG),1,1,BE1379):INDEX((係数_乗用_ガソリン,係数_乗用_CNG,係数_乗用_軽油,係数_乗用_メタノール,係数_乗用_LPG),125,5,BE1379),5,FALSE)))))</f>
        <v/>
      </c>
      <c r="AN1379" s="461" t="str">
        <f t="shared" si="768"/>
        <v/>
      </c>
      <c r="AO1379" s="462" t="str">
        <f t="shared" si="769"/>
        <v/>
      </c>
      <c r="AP1379" s="463" t="str">
        <f t="shared" si="770"/>
        <v/>
      </c>
      <c r="AQ1379" s="464"/>
      <c r="AR1379" s="619"/>
      <c r="AS1379" s="465" t="str">
        <f t="shared" si="778"/>
        <v/>
      </c>
      <c r="AT1379" s="465" t="str">
        <f t="shared" si="779"/>
        <v/>
      </c>
      <c r="AU1379" s="466" t="str">
        <f t="shared" si="780"/>
        <v/>
      </c>
      <c r="AV1379" s="467" t="str">
        <f t="shared" si="781"/>
        <v/>
      </c>
      <c r="AW1379" s="467" t="str">
        <f t="shared" si="782"/>
        <v/>
      </c>
      <c r="AX1379" s="467" t="str">
        <f t="shared" si="783"/>
        <v/>
      </c>
      <c r="AY1379" s="467" t="str">
        <f t="shared" si="784"/>
        <v/>
      </c>
      <c r="AZ1379" s="467" t="str">
        <f t="shared" si="785"/>
        <v/>
      </c>
      <c r="BA1379" s="468" t="str">
        <f>IF(AS1379="","",IF(OR(AU1379="",AU1379="-"),"－",IF(OR(AZ1379=8,AZ1379=9),"",IF(OR(AW1379=3,AW1379=4,AW1379=5,AW1379=6),VLOOKUP(AU1379,INDEX((係数_バス貨物_ガソリン,係数_バス貨物_CNG,係数_バス貨物_軽油,係数_バス貨物_メタノール,係数_バス貨物_LPG),MATCH(AY1379,【参考】排出係数!$AI$4:$AI$671,1),1,BE1379):INDEX((係数_バス貨物_ガソリン,係数_バス貨物_CNG,係数_バス貨物_軽油,係数_バス貨物_メタノール,係数_バス貨物_LPG),MATCH(AY1379+1,【参考】排出係数!$AI$4:$AI$671,1)-1,5,BE1379),2,FALSE),IF(OR(AW1379=1,AW1379=2),VLOOKUP(AU1379,INDEX((係数_乗用_ガソリン,係数_乗用_CNG,係数_乗用_軽油,係数_乗用_メタノール,係数_乗用_LPG),1,1,BE1379):INDEX((係数_乗用_ガソリン,係数_乗用_CNG,係数_乗用_軽油,係数_乗用_メタノール,係数_乗用_LPG),125,5,BE1379),2,FALSE))))))</f>
        <v/>
      </c>
      <c r="BB1379" s="468" t="str">
        <f>IF(T1379="","",IF(OR(AU1379="",AU1379="-"),"－",IF(OR(AZ1379=8,AZ1379=9),"",IF(OR(AW1379=3,AW1379=4,AW1379=5,AW1379=6),VLOOKUP(AU1379,INDEX((係数_バス貨物_ガソリン,係数_バス貨物_CNG,係数_バス貨物_軽油,係数_バス貨物_メタノール,係数_バス貨物_LPG),MATCH(AY1379,【参考】排出係数!$AI$4:$AI$671,1),1,BE1379):INDEX((係数_バス貨物_ガソリン,係数_バス貨物_CNG,係数_バス貨物_軽油,係数_バス貨物_メタノール,係数_バス貨物_LPG),MATCH(AY1379+1,【参考】排出係数!$AI$4:$AI$671,1)-1,5,BE1379),3,FALSE),IF(OR(AW1379=1,AW1379=2),VLOOKUP(AU1379,INDEX((係数_乗用_ガソリン,係数_乗用_CNG,係数_乗用_軽油,係数_乗用_メタノール,係数_乗用_LPG),1,1,BE1379):INDEX((係数_乗用_ガソリン,係数_乗用_CNG,係数_乗用_軽油,係数_乗用_メタノール,係数_乗用_LPG),125,5,BE1379),3,FALSE))))))</f>
        <v/>
      </c>
      <c r="BC1379" s="467" t="str">
        <f t="shared" si="786"/>
        <v/>
      </c>
      <c r="BD1379" s="567" t="str">
        <f t="shared" si="787"/>
        <v/>
      </c>
      <c r="BE1379" s="467" t="str">
        <f t="shared" si="788"/>
        <v/>
      </c>
      <c r="BF1379" s="469" t="str">
        <f t="shared" ca="1" si="789"/>
        <v/>
      </c>
      <c r="BG1379" s="469" t="str">
        <f t="shared" ca="1" si="790"/>
        <v/>
      </c>
      <c r="BH1379" s="467" t="str">
        <f t="shared" si="791"/>
        <v/>
      </c>
      <c r="BI1379" s="467" t="str">
        <f t="shared" ca="1" si="792"/>
        <v/>
      </c>
      <c r="BJ1379" s="469" t="str">
        <f t="shared" si="793"/>
        <v/>
      </c>
      <c r="BK1379" s="470" t="str">
        <f t="shared" si="777"/>
        <v/>
      </c>
      <c r="BL1379" s="775" t="str">
        <f t="shared" si="794"/>
        <v/>
      </c>
      <c r="BM1379" s="775" t="str">
        <f t="shared" si="795"/>
        <v/>
      </c>
    </row>
    <row r="1380" spans="1:65">
      <c r="A1380" s="473">
        <v>1324</v>
      </c>
      <c r="B1380" s="132"/>
      <c r="C1380" s="332"/>
      <c r="D1380" s="333"/>
      <c r="E1380" s="333"/>
      <c r="F1380" s="334"/>
      <c r="G1380" s="337"/>
      <c r="H1380" s="131"/>
      <c r="I1380" s="337"/>
      <c r="J1380" s="131"/>
      <c r="K1380" s="458" t="str">
        <f t="shared" si="758"/>
        <v/>
      </c>
      <c r="L1380" s="458">
        <f t="shared" si="759"/>
        <v>0</v>
      </c>
      <c r="M1380" s="458">
        <f t="shared" si="760"/>
        <v>0</v>
      </c>
      <c r="N1380" s="459" t="str">
        <f t="shared" si="771"/>
        <v/>
      </c>
      <c r="O1380" s="459" t="str">
        <f t="shared" si="772"/>
        <v/>
      </c>
      <c r="P1380" s="459" t="str">
        <f t="shared" si="773"/>
        <v/>
      </c>
      <c r="Q1380" s="459" t="str">
        <f t="shared" si="774"/>
        <v/>
      </c>
      <c r="R1380" s="459" t="str">
        <f t="shared" si="775"/>
        <v/>
      </c>
      <c r="S1380" s="459" t="str">
        <f t="shared" si="776"/>
        <v/>
      </c>
      <c r="T1380" s="566" t="str">
        <f t="shared" si="761"/>
        <v/>
      </c>
      <c r="U1380" s="702"/>
      <c r="V1380" s="132"/>
      <c r="W1380" s="133"/>
      <c r="X1380" s="134"/>
      <c r="Y1380" s="135"/>
      <c r="Z1380" s="137"/>
      <c r="AA1380" s="136"/>
      <c r="AB1380" s="566" t="str">
        <f t="shared" si="762"/>
        <v/>
      </c>
      <c r="AC1380" s="568" t="str">
        <f t="shared" si="763"/>
        <v/>
      </c>
      <c r="AD1380" s="137"/>
      <c r="AE1380" s="137"/>
      <c r="AF1380" s="138"/>
      <c r="AG1380" s="138"/>
      <c r="AH1380" s="592" t="str">
        <f t="shared" si="764"/>
        <v/>
      </c>
      <c r="AI1380" s="592" t="str">
        <f t="shared" si="765"/>
        <v/>
      </c>
      <c r="AJ1380" s="592" t="str">
        <f t="shared" si="766"/>
        <v/>
      </c>
      <c r="AK1380" s="460" t="str">
        <f>IF(AU1380="","",IF(OR(AZ1380=8,AZ1380=9),0,IF(OR(AW1380=3,AW1380=4,AW1380=5,AW1380=6),IF(LEFT(BF1380,1)="1",INDEX(係数_NOX・PM低減,MATCH(AY1380,【参考】排出係数!$AI$801:$AI$804,1),1),VLOOKUP(AU1380,INDEX((係数_バス貨物_ガソリン,係数_バス貨物_CNG,係数_バス貨物_軽油,係数_バス貨物_メタノール,係数_バス貨物_LPG),MATCH(AY1380,【参考】排出係数!$AI$4:$AI$671,1),1,BE1380):INDEX((係数_バス貨物_ガソリン,係数_バス貨物_CNG,係数_バス貨物_軽油,係数_バス貨物_メタノール,係数_バス貨物_LPG),MATCH(AY1380+1,【参考】排出係数!$AI$4:$AI$671,1)-1,5,BE1380),4,FALSE)),IF(AND(BE1380=3,LEFT(BF1380,1)="1"),0.48,VLOOKUP(AU1380,INDEX((係数_乗用_ガソリン,係数_乗用_CNG,係数_乗用_軽油,係数_乗用_メタノール,係数_乗用_LPG),1,1,BE1380):INDEX((係数_乗用_ガソリン,係数_乗用_CNG,係数_乗用_軽油,係数_乗用_メタノール,係数_乗用_LPG),125,5,BE1380),4,FALSE)))))</f>
        <v/>
      </c>
      <c r="AL1380" s="461" t="str">
        <f t="shared" si="767"/>
        <v/>
      </c>
      <c r="AM1380" s="460" t="str">
        <f>IF(AU1380="","",IF(OR(AZ1380=8,AZ1380=9),0,IF(OR(AW1380=3,AW1380=4,AW1380=5,AW1380=6),IF(LEFT(BH1380,1)="1",INDEX(係数_PM低減,MATCH(AY1380,【参考】排出係数!$AI$801:$AI$804,1),MATCH(BI1380,【参考】排出係数!$AL$798:$AO$798,1)),VLOOKUP(AU1380,INDEX((係数_バス貨物_ガソリン,係数_バス貨物_CNG,係数_バス貨物_軽油,係数_バス貨物_メタノール,係数_バス貨物_LPG),MATCH(AY1380,【参考】排出係数!$AI$4:$AI$671,1),1,BE1380):INDEX((係数_バス貨物_ガソリン,係数_バス貨物_CNG,係数_バス貨物_軽油,係数_バス貨物_メタノール,係数_バス貨物_LPG),MATCH(AY1380+1,【参考】排出係数!$AI$4:$AI$671,1)-1,5,BE1380),5,FALSE)),IF(AND(BE1380=3,LEFT(BF1380,1)="1"),0.055,VLOOKUP(AU1380,INDEX((係数_乗用_ガソリン,係数_乗用_CNG,係数_乗用_軽油,係数_乗用_メタノール,係数_乗用_LPG),1,1,BE1380):INDEX((係数_乗用_ガソリン,係数_乗用_CNG,係数_乗用_軽油,係数_乗用_メタノール,係数_乗用_LPG),125,5,BE1380),5,FALSE)))))</f>
        <v/>
      </c>
      <c r="AN1380" s="461" t="str">
        <f t="shared" si="768"/>
        <v/>
      </c>
      <c r="AO1380" s="462" t="str">
        <f t="shared" si="769"/>
        <v/>
      </c>
      <c r="AP1380" s="463" t="str">
        <f t="shared" si="770"/>
        <v/>
      </c>
      <c r="AQ1380" s="464"/>
      <c r="AR1380" s="619"/>
      <c r="AS1380" s="465" t="str">
        <f t="shared" si="778"/>
        <v/>
      </c>
      <c r="AT1380" s="465" t="str">
        <f t="shared" si="779"/>
        <v/>
      </c>
      <c r="AU1380" s="466" t="str">
        <f t="shared" si="780"/>
        <v/>
      </c>
      <c r="AV1380" s="467" t="str">
        <f t="shared" si="781"/>
        <v/>
      </c>
      <c r="AW1380" s="467" t="str">
        <f t="shared" si="782"/>
        <v/>
      </c>
      <c r="AX1380" s="467" t="str">
        <f t="shared" si="783"/>
        <v/>
      </c>
      <c r="AY1380" s="467" t="str">
        <f t="shared" si="784"/>
        <v/>
      </c>
      <c r="AZ1380" s="467" t="str">
        <f t="shared" si="785"/>
        <v/>
      </c>
      <c r="BA1380" s="468" t="str">
        <f>IF(AS1380="","",IF(OR(AU1380="",AU1380="-"),"－",IF(OR(AZ1380=8,AZ1380=9),"",IF(OR(AW1380=3,AW1380=4,AW1380=5,AW1380=6),VLOOKUP(AU1380,INDEX((係数_バス貨物_ガソリン,係数_バス貨物_CNG,係数_バス貨物_軽油,係数_バス貨物_メタノール,係数_バス貨物_LPG),MATCH(AY1380,【参考】排出係数!$AI$4:$AI$671,1),1,BE1380):INDEX((係数_バス貨物_ガソリン,係数_バス貨物_CNG,係数_バス貨物_軽油,係数_バス貨物_メタノール,係数_バス貨物_LPG),MATCH(AY1380+1,【参考】排出係数!$AI$4:$AI$671,1)-1,5,BE1380),2,FALSE),IF(OR(AW1380=1,AW1380=2),VLOOKUP(AU1380,INDEX((係数_乗用_ガソリン,係数_乗用_CNG,係数_乗用_軽油,係数_乗用_メタノール,係数_乗用_LPG),1,1,BE1380):INDEX((係数_乗用_ガソリン,係数_乗用_CNG,係数_乗用_軽油,係数_乗用_メタノール,係数_乗用_LPG),125,5,BE1380),2,FALSE))))))</f>
        <v/>
      </c>
      <c r="BB1380" s="468" t="str">
        <f>IF(T1380="","",IF(OR(AU1380="",AU1380="-"),"－",IF(OR(AZ1380=8,AZ1380=9),"",IF(OR(AW1380=3,AW1380=4,AW1380=5,AW1380=6),VLOOKUP(AU1380,INDEX((係数_バス貨物_ガソリン,係数_バス貨物_CNG,係数_バス貨物_軽油,係数_バス貨物_メタノール,係数_バス貨物_LPG),MATCH(AY1380,【参考】排出係数!$AI$4:$AI$671,1),1,BE1380):INDEX((係数_バス貨物_ガソリン,係数_バス貨物_CNG,係数_バス貨物_軽油,係数_バス貨物_メタノール,係数_バス貨物_LPG),MATCH(AY1380+1,【参考】排出係数!$AI$4:$AI$671,1)-1,5,BE1380),3,FALSE),IF(OR(AW1380=1,AW1380=2),VLOOKUP(AU1380,INDEX((係数_乗用_ガソリン,係数_乗用_CNG,係数_乗用_軽油,係数_乗用_メタノール,係数_乗用_LPG),1,1,BE1380):INDEX((係数_乗用_ガソリン,係数_乗用_CNG,係数_乗用_軽油,係数_乗用_メタノール,係数_乗用_LPG),125,5,BE1380),3,FALSE))))))</f>
        <v/>
      </c>
      <c r="BC1380" s="467" t="str">
        <f t="shared" si="786"/>
        <v/>
      </c>
      <c r="BD1380" s="567" t="str">
        <f t="shared" si="787"/>
        <v/>
      </c>
      <c r="BE1380" s="467" t="str">
        <f t="shared" si="788"/>
        <v/>
      </c>
      <c r="BF1380" s="469" t="str">
        <f t="shared" ca="1" si="789"/>
        <v/>
      </c>
      <c r="BG1380" s="469" t="str">
        <f t="shared" ca="1" si="790"/>
        <v/>
      </c>
      <c r="BH1380" s="467" t="str">
        <f t="shared" si="791"/>
        <v/>
      </c>
      <c r="BI1380" s="467" t="str">
        <f t="shared" ca="1" si="792"/>
        <v/>
      </c>
      <c r="BJ1380" s="469" t="str">
        <f t="shared" si="793"/>
        <v/>
      </c>
      <c r="BK1380" s="470" t="str">
        <f t="shared" si="777"/>
        <v/>
      </c>
      <c r="BL1380" s="775" t="str">
        <f t="shared" si="794"/>
        <v/>
      </c>
      <c r="BM1380" s="775" t="str">
        <f t="shared" si="795"/>
        <v/>
      </c>
    </row>
    <row r="1381" spans="1:65">
      <c r="A1381" s="473">
        <v>1325</v>
      </c>
      <c r="B1381" s="132"/>
      <c r="C1381" s="332"/>
      <c r="D1381" s="333"/>
      <c r="E1381" s="333"/>
      <c r="F1381" s="334"/>
      <c r="G1381" s="337"/>
      <c r="H1381" s="131"/>
      <c r="I1381" s="337"/>
      <c r="J1381" s="131"/>
      <c r="K1381" s="458" t="str">
        <f t="shared" si="758"/>
        <v/>
      </c>
      <c r="L1381" s="458">
        <f t="shared" si="759"/>
        <v>0</v>
      </c>
      <c r="M1381" s="458">
        <f t="shared" si="760"/>
        <v>0</v>
      </c>
      <c r="N1381" s="459" t="str">
        <f t="shared" si="771"/>
        <v/>
      </c>
      <c r="O1381" s="459" t="str">
        <f t="shared" si="772"/>
        <v/>
      </c>
      <c r="P1381" s="459" t="str">
        <f t="shared" si="773"/>
        <v/>
      </c>
      <c r="Q1381" s="459" t="str">
        <f t="shared" si="774"/>
        <v/>
      </c>
      <c r="R1381" s="459" t="str">
        <f t="shared" si="775"/>
        <v/>
      </c>
      <c r="S1381" s="459" t="str">
        <f t="shared" si="776"/>
        <v/>
      </c>
      <c r="T1381" s="566" t="str">
        <f t="shared" si="761"/>
        <v/>
      </c>
      <c r="U1381" s="702"/>
      <c r="V1381" s="132"/>
      <c r="W1381" s="133"/>
      <c r="X1381" s="134"/>
      <c r="Y1381" s="135"/>
      <c r="Z1381" s="137"/>
      <c r="AA1381" s="136"/>
      <c r="AB1381" s="566" t="str">
        <f t="shared" si="762"/>
        <v/>
      </c>
      <c r="AC1381" s="568" t="str">
        <f t="shared" si="763"/>
        <v/>
      </c>
      <c r="AD1381" s="137"/>
      <c r="AE1381" s="137"/>
      <c r="AF1381" s="138"/>
      <c r="AG1381" s="138"/>
      <c r="AH1381" s="592" t="str">
        <f t="shared" si="764"/>
        <v/>
      </c>
      <c r="AI1381" s="592" t="str">
        <f t="shared" si="765"/>
        <v/>
      </c>
      <c r="AJ1381" s="592" t="str">
        <f t="shared" si="766"/>
        <v/>
      </c>
      <c r="AK1381" s="460" t="str">
        <f>IF(AU1381="","",IF(OR(AZ1381=8,AZ1381=9),0,IF(OR(AW1381=3,AW1381=4,AW1381=5,AW1381=6),IF(LEFT(BF1381,1)="1",INDEX(係数_NOX・PM低減,MATCH(AY1381,【参考】排出係数!$AI$801:$AI$804,1),1),VLOOKUP(AU1381,INDEX((係数_バス貨物_ガソリン,係数_バス貨物_CNG,係数_バス貨物_軽油,係数_バス貨物_メタノール,係数_バス貨物_LPG),MATCH(AY1381,【参考】排出係数!$AI$4:$AI$671,1),1,BE1381):INDEX((係数_バス貨物_ガソリン,係数_バス貨物_CNG,係数_バス貨物_軽油,係数_バス貨物_メタノール,係数_バス貨物_LPG),MATCH(AY1381+1,【参考】排出係数!$AI$4:$AI$671,1)-1,5,BE1381),4,FALSE)),IF(AND(BE1381=3,LEFT(BF1381,1)="1"),0.48,VLOOKUP(AU1381,INDEX((係数_乗用_ガソリン,係数_乗用_CNG,係数_乗用_軽油,係数_乗用_メタノール,係数_乗用_LPG),1,1,BE1381):INDEX((係数_乗用_ガソリン,係数_乗用_CNG,係数_乗用_軽油,係数_乗用_メタノール,係数_乗用_LPG),125,5,BE1381),4,FALSE)))))</f>
        <v/>
      </c>
      <c r="AL1381" s="461" t="str">
        <f t="shared" si="767"/>
        <v/>
      </c>
      <c r="AM1381" s="460" t="str">
        <f>IF(AU1381="","",IF(OR(AZ1381=8,AZ1381=9),0,IF(OR(AW1381=3,AW1381=4,AW1381=5,AW1381=6),IF(LEFT(BH1381,1)="1",INDEX(係数_PM低減,MATCH(AY1381,【参考】排出係数!$AI$801:$AI$804,1),MATCH(BI1381,【参考】排出係数!$AL$798:$AO$798,1)),VLOOKUP(AU1381,INDEX((係数_バス貨物_ガソリン,係数_バス貨物_CNG,係数_バス貨物_軽油,係数_バス貨物_メタノール,係数_バス貨物_LPG),MATCH(AY1381,【参考】排出係数!$AI$4:$AI$671,1),1,BE1381):INDEX((係数_バス貨物_ガソリン,係数_バス貨物_CNG,係数_バス貨物_軽油,係数_バス貨物_メタノール,係数_バス貨物_LPG),MATCH(AY1381+1,【参考】排出係数!$AI$4:$AI$671,1)-1,5,BE1381),5,FALSE)),IF(AND(BE1381=3,LEFT(BF1381,1)="1"),0.055,VLOOKUP(AU1381,INDEX((係数_乗用_ガソリン,係数_乗用_CNG,係数_乗用_軽油,係数_乗用_メタノール,係数_乗用_LPG),1,1,BE1381):INDEX((係数_乗用_ガソリン,係数_乗用_CNG,係数_乗用_軽油,係数_乗用_メタノール,係数_乗用_LPG),125,5,BE1381),5,FALSE)))))</f>
        <v/>
      </c>
      <c r="AN1381" s="461" t="str">
        <f t="shared" si="768"/>
        <v/>
      </c>
      <c r="AO1381" s="462" t="str">
        <f t="shared" si="769"/>
        <v/>
      </c>
      <c r="AP1381" s="463" t="str">
        <f t="shared" si="770"/>
        <v/>
      </c>
      <c r="AQ1381" s="464"/>
      <c r="AR1381" s="619"/>
      <c r="AS1381" s="465" t="str">
        <f t="shared" si="778"/>
        <v/>
      </c>
      <c r="AT1381" s="465" t="str">
        <f t="shared" si="779"/>
        <v/>
      </c>
      <c r="AU1381" s="466" t="str">
        <f t="shared" si="780"/>
        <v/>
      </c>
      <c r="AV1381" s="467" t="str">
        <f t="shared" si="781"/>
        <v/>
      </c>
      <c r="AW1381" s="467" t="str">
        <f t="shared" si="782"/>
        <v/>
      </c>
      <c r="AX1381" s="467" t="str">
        <f t="shared" si="783"/>
        <v/>
      </c>
      <c r="AY1381" s="467" t="str">
        <f t="shared" si="784"/>
        <v/>
      </c>
      <c r="AZ1381" s="467" t="str">
        <f t="shared" si="785"/>
        <v/>
      </c>
      <c r="BA1381" s="468" t="str">
        <f>IF(AS1381="","",IF(OR(AU1381="",AU1381="-"),"－",IF(OR(AZ1381=8,AZ1381=9),"",IF(OR(AW1381=3,AW1381=4,AW1381=5,AW1381=6),VLOOKUP(AU1381,INDEX((係数_バス貨物_ガソリン,係数_バス貨物_CNG,係数_バス貨物_軽油,係数_バス貨物_メタノール,係数_バス貨物_LPG),MATCH(AY1381,【参考】排出係数!$AI$4:$AI$671,1),1,BE1381):INDEX((係数_バス貨物_ガソリン,係数_バス貨物_CNG,係数_バス貨物_軽油,係数_バス貨物_メタノール,係数_バス貨物_LPG),MATCH(AY1381+1,【参考】排出係数!$AI$4:$AI$671,1)-1,5,BE1381),2,FALSE),IF(OR(AW1381=1,AW1381=2),VLOOKUP(AU1381,INDEX((係数_乗用_ガソリン,係数_乗用_CNG,係数_乗用_軽油,係数_乗用_メタノール,係数_乗用_LPG),1,1,BE1381):INDEX((係数_乗用_ガソリン,係数_乗用_CNG,係数_乗用_軽油,係数_乗用_メタノール,係数_乗用_LPG),125,5,BE1381),2,FALSE))))))</f>
        <v/>
      </c>
      <c r="BB1381" s="468" t="str">
        <f>IF(T1381="","",IF(OR(AU1381="",AU1381="-"),"－",IF(OR(AZ1381=8,AZ1381=9),"",IF(OR(AW1381=3,AW1381=4,AW1381=5,AW1381=6),VLOOKUP(AU1381,INDEX((係数_バス貨物_ガソリン,係数_バス貨物_CNG,係数_バス貨物_軽油,係数_バス貨物_メタノール,係数_バス貨物_LPG),MATCH(AY1381,【参考】排出係数!$AI$4:$AI$671,1),1,BE1381):INDEX((係数_バス貨物_ガソリン,係数_バス貨物_CNG,係数_バス貨物_軽油,係数_バス貨物_メタノール,係数_バス貨物_LPG),MATCH(AY1381+1,【参考】排出係数!$AI$4:$AI$671,1)-1,5,BE1381),3,FALSE),IF(OR(AW1381=1,AW1381=2),VLOOKUP(AU1381,INDEX((係数_乗用_ガソリン,係数_乗用_CNG,係数_乗用_軽油,係数_乗用_メタノール,係数_乗用_LPG),1,1,BE1381):INDEX((係数_乗用_ガソリン,係数_乗用_CNG,係数_乗用_軽油,係数_乗用_メタノール,係数_乗用_LPG),125,5,BE1381),3,FALSE))))))</f>
        <v/>
      </c>
      <c r="BC1381" s="467" t="str">
        <f t="shared" si="786"/>
        <v/>
      </c>
      <c r="BD1381" s="567" t="str">
        <f t="shared" si="787"/>
        <v/>
      </c>
      <c r="BE1381" s="467" t="str">
        <f t="shared" si="788"/>
        <v/>
      </c>
      <c r="BF1381" s="469" t="str">
        <f t="shared" ca="1" si="789"/>
        <v/>
      </c>
      <c r="BG1381" s="469" t="str">
        <f t="shared" ca="1" si="790"/>
        <v/>
      </c>
      <c r="BH1381" s="467" t="str">
        <f t="shared" si="791"/>
        <v/>
      </c>
      <c r="BI1381" s="467" t="str">
        <f t="shared" ca="1" si="792"/>
        <v/>
      </c>
      <c r="BJ1381" s="469" t="str">
        <f t="shared" si="793"/>
        <v/>
      </c>
      <c r="BK1381" s="470" t="str">
        <f t="shared" si="777"/>
        <v/>
      </c>
      <c r="BL1381" s="775" t="str">
        <f t="shared" si="794"/>
        <v/>
      </c>
      <c r="BM1381" s="775" t="str">
        <f t="shared" si="795"/>
        <v/>
      </c>
    </row>
    <row r="1382" spans="1:65">
      <c r="A1382" s="473">
        <v>1326</v>
      </c>
      <c r="B1382" s="132"/>
      <c r="C1382" s="332"/>
      <c r="D1382" s="333"/>
      <c r="E1382" s="333"/>
      <c r="F1382" s="334"/>
      <c r="G1382" s="337"/>
      <c r="H1382" s="131"/>
      <c r="I1382" s="337"/>
      <c r="J1382" s="131"/>
      <c r="K1382" s="458" t="str">
        <f t="shared" si="758"/>
        <v/>
      </c>
      <c r="L1382" s="458">
        <f t="shared" si="759"/>
        <v>0</v>
      </c>
      <c r="M1382" s="458">
        <f t="shared" si="760"/>
        <v>0</v>
      </c>
      <c r="N1382" s="459" t="str">
        <f t="shared" si="771"/>
        <v/>
      </c>
      <c r="O1382" s="459" t="str">
        <f t="shared" si="772"/>
        <v/>
      </c>
      <c r="P1382" s="459" t="str">
        <f t="shared" si="773"/>
        <v/>
      </c>
      <c r="Q1382" s="459" t="str">
        <f t="shared" si="774"/>
        <v/>
      </c>
      <c r="R1382" s="459" t="str">
        <f t="shared" si="775"/>
        <v/>
      </c>
      <c r="S1382" s="459" t="str">
        <f t="shared" si="776"/>
        <v/>
      </c>
      <c r="T1382" s="566" t="str">
        <f t="shared" si="761"/>
        <v/>
      </c>
      <c r="U1382" s="702"/>
      <c r="V1382" s="132"/>
      <c r="W1382" s="133"/>
      <c r="X1382" s="134"/>
      <c r="Y1382" s="135"/>
      <c r="Z1382" s="137"/>
      <c r="AA1382" s="136"/>
      <c r="AB1382" s="566" t="str">
        <f t="shared" si="762"/>
        <v/>
      </c>
      <c r="AC1382" s="568" t="str">
        <f t="shared" si="763"/>
        <v/>
      </c>
      <c r="AD1382" s="137"/>
      <c r="AE1382" s="137"/>
      <c r="AF1382" s="138"/>
      <c r="AG1382" s="138"/>
      <c r="AH1382" s="592" t="str">
        <f t="shared" si="764"/>
        <v/>
      </c>
      <c r="AI1382" s="592" t="str">
        <f t="shared" si="765"/>
        <v/>
      </c>
      <c r="AJ1382" s="592" t="str">
        <f t="shared" si="766"/>
        <v/>
      </c>
      <c r="AK1382" s="460" t="str">
        <f>IF(AU1382="","",IF(OR(AZ1382=8,AZ1382=9),0,IF(OR(AW1382=3,AW1382=4,AW1382=5,AW1382=6),IF(LEFT(BF1382,1)="1",INDEX(係数_NOX・PM低減,MATCH(AY1382,【参考】排出係数!$AI$801:$AI$804,1),1),VLOOKUP(AU1382,INDEX((係数_バス貨物_ガソリン,係数_バス貨物_CNG,係数_バス貨物_軽油,係数_バス貨物_メタノール,係数_バス貨物_LPG),MATCH(AY1382,【参考】排出係数!$AI$4:$AI$671,1),1,BE1382):INDEX((係数_バス貨物_ガソリン,係数_バス貨物_CNG,係数_バス貨物_軽油,係数_バス貨物_メタノール,係数_バス貨物_LPG),MATCH(AY1382+1,【参考】排出係数!$AI$4:$AI$671,1)-1,5,BE1382),4,FALSE)),IF(AND(BE1382=3,LEFT(BF1382,1)="1"),0.48,VLOOKUP(AU1382,INDEX((係数_乗用_ガソリン,係数_乗用_CNG,係数_乗用_軽油,係数_乗用_メタノール,係数_乗用_LPG),1,1,BE1382):INDEX((係数_乗用_ガソリン,係数_乗用_CNG,係数_乗用_軽油,係数_乗用_メタノール,係数_乗用_LPG),125,5,BE1382),4,FALSE)))))</f>
        <v/>
      </c>
      <c r="AL1382" s="461" t="str">
        <f t="shared" si="767"/>
        <v/>
      </c>
      <c r="AM1382" s="460" t="str">
        <f>IF(AU1382="","",IF(OR(AZ1382=8,AZ1382=9),0,IF(OR(AW1382=3,AW1382=4,AW1382=5,AW1382=6),IF(LEFT(BH1382,1)="1",INDEX(係数_PM低減,MATCH(AY1382,【参考】排出係数!$AI$801:$AI$804,1),MATCH(BI1382,【参考】排出係数!$AL$798:$AO$798,1)),VLOOKUP(AU1382,INDEX((係数_バス貨物_ガソリン,係数_バス貨物_CNG,係数_バス貨物_軽油,係数_バス貨物_メタノール,係数_バス貨物_LPG),MATCH(AY1382,【参考】排出係数!$AI$4:$AI$671,1),1,BE1382):INDEX((係数_バス貨物_ガソリン,係数_バス貨物_CNG,係数_バス貨物_軽油,係数_バス貨物_メタノール,係数_バス貨物_LPG),MATCH(AY1382+1,【参考】排出係数!$AI$4:$AI$671,1)-1,5,BE1382),5,FALSE)),IF(AND(BE1382=3,LEFT(BF1382,1)="1"),0.055,VLOOKUP(AU1382,INDEX((係数_乗用_ガソリン,係数_乗用_CNG,係数_乗用_軽油,係数_乗用_メタノール,係数_乗用_LPG),1,1,BE1382):INDEX((係数_乗用_ガソリン,係数_乗用_CNG,係数_乗用_軽油,係数_乗用_メタノール,係数_乗用_LPG),125,5,BE1382),5,FALSE)))))</f>
        <v/>
      </c>
      <c r="AN1382" s="461" t="str">
        <f t="shared" si="768"/>
        <v/>
      </c>
      <c r="AO1382" s="462" t="str">
        <f t="shared" si="769"/>
        <v/>
      </c>
      <c r="AP1382" s="463" t="str">
        <f t="shared" si="770"/>
        <v/>
      </c>
      <c r="AQ1382" s="464"/>
      <c r="AR1382" s="619"/>
      <c r="AS1382" s="465" t="str">
        <f t="shared" si="778"/>
        <v/>
      </c>
      <c r="AT1382" s="465" t="str">
        <f t="shared" si="779"/>
        <v/>
      </c>
      <c r="AU1382" s="466" t="str">
        <f t="shared" si="780"/>
        <v/>
      </c>
      <c r="AV1382" s="467" t="str">
        <f t="shared" si="781"/>
        <v/>
      </c>
      <c r="AW1382" s="467" t="str">
        <f t="shared" si="782"/>
        <v/>
      </c>
      <c r="AX1382" s="467" t="str">
        <f t="shared" si="783"/>
        <v/>
      </c>
      <c r="AY1382" s="467" t="str">
        <f t="shared" si="784"/>
        <v/>
      </c>
      <c r="AZ1382" s="467" t="str">
        <f t="shared" si="785"/>
        <v/>
      </c>
      <c r="BA1382" s="468" t="str">
        <f>IF(AS1382="","",IF(OR(AU1382="",AU1382="-"),"－",IF(OR(AZ1382=8,AZ1382=9),"",IF(OR(AW1382=3,AW1382=4,AW1382=5,AW1382=6),VLOOKUP(AU1382,INDEX((係数_バス貨物_ガソリン,係数_バス貨物_CNG,係数_バス貨物_軽油,係数_バス貨物_メタノール,係数_バス貨物_LPG),MATCH(AY1382,【参考】排出係数!$AI$4:$AI$671,1),1,BE1382):INDEX((係数_バス貨物_ガソリン,係数_バス貨物_CNG,係数_バス貨物_軽油,係数_バス貨物_メタノール,係数_バス貨物_LPG),MATCH(AY1382+1,【参考】排出係数!$AI$4:$AI$671,1)-1,5,BE1382),2,FALSE),IF(OR(AW1382=1,AW1382=2),VLOOKUP(AU1382,INDEX((係数_乗用_ガソリン,係数_乗用_CNG,係数_乗用_軽油,係数_乗用_メタノール,係数_乗用_LPG),1,1,BE1382):INDEX((係数_乗用_ガソリン,係数_乗用_CNG,係数_乗用_軽油,係数_乗用_メタノール,係数_乗用_LPG),125,5,BE1382),2,FALSE))))))</f>
        <v/>
      </c>
      <c r="BB1382" s="468" t="str">
        <f>IF(T1382="","",IF(OR(AU1382="",AU1382="-"),"－",IF(OR(AZ1382=8,AZ1382=9),"",IF(OR(AW1382=3,AW1382=4,AW1382=5,AW1382=6),VLOOKUP(AU1382,INDEX((係数_バス貨物_ガソリン,係数_バス貨物_CNG,係数_バス貨物_軽油,係数_バス貨物_メタノール,係数_バス貨物_LPG),MATCH(AY1382,【参考】排出係数!$AI$4:$AI$671,1),1,BE1382):INDEX((係数_バス貨物_ガソリン,係数_バス貨物_CNG,係数_バス貨物_軽油,係数_バス貨物_メタノール,係数_バス貨物_LPG),MATCH(AY1382+1,【参考】排出係数!$AI$4:$AI$671,1)-1,5,BE1382),3,FALSE),IF(OR(AW1382=1,AW1382=2),VLOOKUP(AU1382,INDEX((係数_乗用_ガソリン,係数_乗用_CNG,係数_乗用_軽油,係数_乗用_メタノール,係数_乗用_LPG),1,1,BE1382):INDEX((係数_乗用_ガソリン,係数_乗用_CNG,係数_乗用_軽油,係数_乗用_メタノール,係数_乗用_LPG),125,5,BE1382),3,FALSE))))))</f>
        <v/>
      </c>
      <c r="BC1382" s="467" t="str">
        <f t="shared" si="786"/>
        <v/>
      </c>
      <c r="BD1382" s="567" t="str">
        <f t="shared" si="787"/>
        <v/>
      </c>
      <c r="BE1382" s="467" t="str">
        <f t="shared" si="788"/>
        <v/>
      </c>
      <c r="BF1382" s="469" t="str">
        <f t="shared" ca="1" si="789"/>
        <v/>
      </c>
      <c r="BG1382" s="469" t="str">
        <f t="shared" ca="1" si="790"/>
        <v/>
      </c>
      <c r="BH1382" s="467" t="str">
        <f t="shared" si="791"/>
        <v/>
      </c>
      <c r="BI1382" s="467" t="str">
        <f t="shared" ca="1" si="792"/>
        <v/>
      </c>
      <c r="BJ1382" s="469" t="str">
        <f t="shared" si="793"/>
        <v/>
      </c>
      <c r="BK1382" s="470" t="str">
        <f t="shared" si="777"/>
        <v/>
      </c>
      <c r="BL1382" s="775" t="str">
        <f t="shared" si="794"/>
        <v/>
      </c>
      <c r="BM1382" s="775" t="str">
        <f t="shared" si="795"/>
        <v/>
      </c>
    </row>
    <row r="1383" spans="1:65">
      <c r="A1383" s="473">
        <v>1327</v>
      </c>
      <c r="B1383" s="132"/>
      <c r="C1383" s="332"/>
      <c r="D1383" s="333"/>
      <c r="E1383" s="333"/>
      <c r="F1383" s="334"/>
      <c r="G1383" s="337"/>
      <c r="H1383" s="131"/>
      <c r="I1383" s="337"/>
      <c r="J1383" s="131"/>
      <c r="K1383" s="458" t="str">
        <f t="shared" si="758"/>
        <v/>
      </c>
      <c r="L1383" s="458">
        <f t="shared" si="759"/>
        <v>0</v>
      </c>
      <c r="M1383" s="458">
        <f t="shared" si="760"/>
        <v>0</v>
      </c>
      <c r="N1383" s="459" t="str">
        <f t="shared" si="771"/>
        <v/>
      </c>
      <c r="O1383" s="459" t="str">
        <f t="shared" si="772"/>
        <v/>
      </c>
      <c r="P1383" s="459" t="str">
        <f t="shared" si="773"/>
        <v/>
      </c>
      <c r="Q1383" s="459" t="str">
        <f t="shared" si="774"/>
        <v/>
      </c>
      <c r="R1383" s="459" t="str">
        <f t="shared" si="775"/>
        <v/>
      </c>
      <c r="S1383" s="459" t="str">
        <f t="shared" si="776"/>
        <v/>
      </c>
      <c r="T1383" s="566" t="str">
        <f t="shared" si="761"/>
        <v/>
      </c>
      <c r="U1383" s="702"/>
      <c r="V1383" s="132"/>
      <c r="W1383" s="133"/>
      <c r="X1383" s="134"/>
      <c r="Y1383" s="135"/>
      <c r="Z1383" s="137"/>
      <c r="AA1383" s="136"/>
      <c r="AB1383" s="566" t="str">
        <f t="shared" si="762"/>
        <v/>
      </c>
      <c r="AC1383" s="568" t="str">
        <f t="shared" si="763"/>
        <v/>
      </c>
      <c r="AD1383" s="137"/>
      <c r="AE1383" s="137"/>
      <c r="AF1383" s="138"/>
      <c r="AG1383" s="138"/>
      <c r="AH1383" s="592" t="str">
        <f t="shared" si="764"/>
        <v/>
      </c>
      <c r="AI1383" s="592" t="str">
        <f t="shared" si="765"/>
        <v/>
      </c>
      <c r="AJ1383" s="592" t="str">
        <f t="shared" si="766"/>
        <v/>
      </c>
      <c r="AK1383" s="460" t="str">
        <f>IF(AU1383="","",IF(OR(AZ1383=8,AZ1383=9),0,IF(OR(AW1383=3,AW1383=4,AW1383=5,AW1383=6),IF(LEFT(BF1383,1)="1",INDEX(係数_NOX・PM低減,MATCH(AY1383,【参考】排出係数!$AI$801:$AI$804,1),1),VLOOKUP(AU1383,INDEX((係数_バス貨物_ガソリン,係数_バス貨物_CNG,係数_バス貨物_軽油,係数_バス貨物_メタノール,係数_バス貨物_LPG),MATCH(AY1383,【参考】排出係数!$AI$4:$AI$671,1),1,BE1383):INDEX((係数_バス貨物_ガソリン,係数_バス貨物_CNG,係数_バス貨物_軽油,係数_バス貨物_メタノール,係数_バス貨物_LPG),MATCH(AY1383+1,【参考】排出係数!$AI$4:$AI$671,1)-1,5,BE1383),4,FALSE)),IF(AND(BE1383=3,LEFT(BF1383,1)="1"),0.48,VLOOKUP(AU1383,INDEX((係数_乗用_ガソリン,係数_乗用_CNG,係数_乗用_軽油,係数_乗用_メタノール,係数_乗用_LPG),1,1,BE1383):INDEX((係数_乗用_ガソリン,係数_乗用_CNG,係数_乗用_軽油,係数_乗用_メタノール,係数_乗用_LPG),125,5,BE1383),4,FALSE)))))</f>
        <v/>
      </c>
      <c r="AL1383" s="461" t="str">
        <f t="shared" si="767"/>
        <v/>
      </c>
      <c r="AM1383" s="460" t="str">
        <f>IF(AU1383="","",IF(OR(AZ1383=8,AZ1383=9),0,IF(OR(AW1383=3,AW1383=4,AW1383=5,AW1383=6),IF(LEFT(BH1383,1)="1",INDEX(係数_PM低減,MATCH(AY1383,【参考】排出係数!$AI$801:$AI$804,1),MATCH(BI1383,【参考】排出係数!$AL$798:$AO$798,1)),VLOOKUP(AU1383,INDEX((係数_バス貨物_ガソリン,係数_バス貨物_CNG,係数_バス貨物_軽油,係数_バス貨物_メタノール,係数_バス貨物_LPG),MATCH(AY1383,【参考】排出係数!$AI$4:$AI$671,1),1,BE1383):INDEX((係数_バス貨物_ガソリン,係数_バス貨物_CNG,係数_バス貨物_軽油,係数_バス貨物_メタノール,係数_バス貨物_LPG),MATCH(AY1383+1,【参考】排出係数!$AI$4:$AI$671,1)-1,5,BE1383),5,FALSE)),IF(AND(BE1383=3,LEFT(BF1383,1)="1"),0.055,VLOOKUP(AU1383,INDEX((係数_乗用_ガソリン,係数_乗用_CNG,係数_乗用_軽油,係数_乗用_メタノール,係数_乗用_LPG),1,1,BE1383):INDEX((係数_乗用_ガソリン,係数_乗用_CNG,係数_乗用_軽油,係数_乗用_メタノール,係数_乗用_LPG),125,5,BE1383),5,FALSE)))))</f>
        <v/>
      </c>
      <c r="AN1383" s="461" t="str">
        <f t="shared" si="768"/>
        <v/>
      </c>
      <c r="AO1383" s="462" t="str">
        <f t="shared" si="769"/>
        <v/>
      </c>
      <c r="AP1383" s="463" t="str">
        <f t="shared" si="770"/>
        <v/>
      </c>
      <c r="AQ1383" s="464"/>
      <c r="AR1383" s="619"/>
      <c r="AS1383" s="465" t="str">
        <f t="shared" si="778"/>
        <v/>
      </c>
      <c r="AT1383" s="465" t="str">
        <f t="shared" si="779"/>
        <v/>
      </c>
      <c r="AU1383" s="466" t="str">
        <f t="shared" si="780"/>
        <v/>
      </c>
      <c r="AV1383" s="467" t="str">
        <f t="shared" si="781"/>
        <v/>
      </c>
      <c r="AW1383" s="467" t="str">
        <f t="shared" si="782"/>
        <v/>
      </c>
      <c r="AX1383" s="467" t="str">
        <f t="shared" si="783"/>
        <v/>
      </c>
      <c r="AY1383" s="467" t="str">
        <f t="shared" si="784"/>
        <v/>
      </c>
      <c r="AZ1383" s="467" t="str">
        <f t="shared" si="785"/>
        <v/>
      </c>
      <c r="BA1383" s="468" t="str">
        <f>IF(AS1383="","",IF(OR(AU1383="",AU1383="-"),"－",IF(OR(AZ1383=8,AZ1383=9),"",IF(OR(AW1383=3,AW1383=4,AW1383=5,AW1383=6),VLOOKUP(AU1383,INDEX((係数_バス貨物_ガソリン,係数_バス貨物_CNG,係数_バス貨物_軽油,係数_バス貨物_メタノール,係数_バス貨物_LPG),MATCH(AY1383,【参考】排出係数!$AI$4:$AI$671,1),1,BE1383):INDEX((係数_バス貨物_ガソリン,係数_バス貨物_CNG,係数_バス貨物_軽油,係数_バス貨物_メタノール,係数_バス貨物_LPG),MATCH(AY1383+1,【参考】排出係数!$AI$4:$AI$671,1)-1,5,BE1383),2,FALSE),IF(OR(AW1383=1,AW1383=2),VLOOKUP(AU1383,INDEX((係数_乗用_ガソリン,係数_乗用_CNG,係数_乗用_軽油,係数_乗用_メタノール,係数_乗用_LPG),1,1,BE1383):INDEX((係数_乗用_ガソリン,係数_乗用_CNG,係数_乗用_軽油,係数_乗用_メタノール,係数_乗用_LPG),125,5,BE1383),2,FALSE))))))</f>
        <v/>
      </c>
      <c r="BB1383" s="468" t="str">
        <f>IF(T1383="","",IF(OR(AU1383="",AU1383="-"),"－",IF(OR(AZ1383=8,AZ1383=9),"",IF(OR(AW1383=3,AW1383=4,AW1383=5,AW1383=6),VLOOKUP(AU1383,INDEX((係数_バス貨物_ガソリン,係数_バス貨物_CNG,係数_バス貨物_軽油,係数_バス貨物_メタノール,係数_バス貨物_LPG),MATCH(AY1383,【参考】排出係数!$AI$4:$AI$671,1),1,BE1383):INDEX((係数_バス貨物_ガソリン,係数_バス貨物_CNG,係数_バス貨物_軽油,係数_バス貨物_メタノール,係数_バス貨物_LPG),MATCH(AY1383+1,【参考】排出係数!$AI$4:$AI$671,1)-1,5,BE1383),3,FALSE),IF(OR(AW1383=1,AW1383=2),VLOOKUP(AU1383,INDEX((係数_乗用_ガソリン,係数_乗用_CNG,係数_乗用_軽油,係数_乗用_メタノール,係数_乗用_LPG),1,1,BE1383):INDEX((係数_乗用_ガソリン,係数_乗用_CNG,係数_乗用_軽油,係数_乗用_メタノール,係数_乗用_LPG),125,5,BE1383),3,FALSE))))))</f>
        <v/>
      </c>
      <c r="BC1383" s="467" t="str">
        <f t="shared" si="786"/>
        <v/>
      </c>
      <c r="BD1383" s="567" t="str">
        <f t="shared" si="787"/>
        <v/>
      </c>
      <c r="BE1383" s="467" t="str">
        <f t="shared" si="788"/>
        <v/>
      </c>
      <c r="BF1383" s="469" t="str">
        <f t="shared" ca="1" si="789"/>
        <v/>
      </c>
      <c r="BG1383" s="469" t="str">
        <f t="shared" ca="1" si="790"/>
        <v/>
      </c>
      <c r="BH1383" s="467" t="str">
        <f t="shared" si="791"/>
        <v/>
      </c>
      <c r="BI1383" s="467" t="str">
        <f t="shared" ca="1" si="792"/>
        <v/>
      </c>
      <c r="BJ1383" s="469" t="str">
        <f t="shared" si="793"/>
        <v/>
      </c>
      <c r="BK1383" s="470" t="str">
        <f t="shared" si="777"/>
        <v/>
      </c>
      <c r="BL1383" s="775" t="str">
        <f t="shared" si="794"/>
        <v/>
      </c>
      <c r="BM1383" s="775" t="str">
        <f t="shared" si="795"/>
        <v/>
      </c>
    </row>
    <row r="1384" spans="1:65">
      <c r="A1384" s="473">
        <v>1328</v>
      </c>
      <c r="B1384" s="132"/>
      <c r="C1384" s="332"/>
      <c r="D1384" s="333"/>
      <c r="E1384" s="333"/>
      <c r="F1384" s="334"/>
      <c r="G1384" s="337"/>
      <c r="H1384" s="131"/>
      <c r="I1384" s="337"/>
      <c r="J1384" s="131"/>
      <c r="K1384" s="458" t="str">
        <f t="shared" si="758"/>
        <v/>
      </c>
      <c r="L1384" s="458">
        <f t="shared" si="759"/>
        <v>0</v>
      </c>
      <c r="M1384" s="458">
        <f t="shared" si="760"/>
        <v>0</v>
      </c>
      <c r="N1384" s="459" t="str">
        <f t="shared" si="771"/>
        <v/>
      </c>
      <c r="O1384" s="459" t="str">
        <f t="shared" si="772"/>
        <v/>
      </c>
      <c r="P1384" s="459" t="str">
        <f t="shared" si="773"/>
        <v/>
      </c>
      <c r="Q1384" s="459" t="str">
        <f t="shared" si="774"/>
        <v/>
      </c>
      <c r="R1384" s="459" t="str">
        <f t="shared" si="775"/>
        <v/>
      </c>
      <c r="S1384" s="459" t="str">
        <f t="shared" si="776"/>
        <v/>
      </c>
      <c r="T1384" s="566" t="str">
        <f t="shared" si="761"/>
        <v/>
      </c>
      <c r="U1384" s="702"/>
      <c r="V1384" s="132"/>
      <c r="W1384" s="133"/>
      <c r="X1384" s="134"/>
      <c r="Y1384" s="135"/>
      <c r="Z1384" s="137"/>
      <c r="AA1384" s="136"/>
      <c r="AB1384" s="566" t="str">
        <f t="shared" si="762"/>
        <v/>
      </c>
      <c r="AC1384" s="568" t="str">
        <f t="shared" si="763"/>
        <v/>
      </c>
      <c r="AD1384" s="137"/>
      <c r="AE1384" s="137"/>
      <c r="AF1384" s="138"/>
      <c r="AG1384" s="138"/>
      <c r="AH1384" s="592" t="str">
        <f t="shared" si="764"/>
        <v/>
      </c>
      <c r="AI1384" s="592" t="str">
        <f t="shared" si="765"/>
        <v/>
      </c>
      <c r="AJ1384" s="592" t="str">
        <f t="shared" si="766"/>
        <v/>
      </c>
      <c r="AK1384" s="460" t="str">
        <f>IF(AU1384="","",IF(OR(AZ1384=8,AZ1384=9),0,IF(OR(AW1384=3,AW1384=4,AW1384=5,AW1384=6),IF(LEFT(BF1384,1)="1",INDEX(係数_NOX・PM低減,MATCH(AY1384,【参考】排出係数!$AI$801:$AI$804,1),1),VLOOKUP(AU1384,INDEX((係数_バス貨物_ガソリン,係数_バス貨物_CNG,係数_バス貨物_軽油,係数_バス貨物_メタノール,係数_バス貨物_LPG),MATCH(AY1384,【参考】排出係数!$AI$4:$AI$671,1),1,BE1384):INDEX((係数_バス貨物_ガソリン,係数_バス貨物_CNG,係数_バス貨物_軽油,係数_バス貨物_メタノール,係数_バス貨物_LPG),MATCH(AY1384+1,【参考】排出係数!$AI$4:$AI$671,1)-1,5,BE1384),4,FALSE)),IF(AND(BE1384=3,LEFT(BF1384,1)="1"),0.48,VLOOKUP(AU1384,INDEX((係数_乗用_ガソリン,係数_乗用_CNG,係数_乗用_軽油,係数_乗用_メタノール,係数_乗用_LPG),1,1,BE1384):INDEX((係数_乗用_ガソリン,係数_乗用_CNG,係数_乗用_軽油,係数_乗用_メタノール,係数_乗用_LPG),125,5,BE1384),4,FALSE)))))</f>
        <v/>
      </c>
      <c r="AL1384" s="461" t="str">
        <f t="shared" si="767"/>
        <v/>
      </c>
      <c r="AM1384" s="460" t="str">
        <f>IF(AU1384="","",IF(OR(AZ1384=8,AZ1384=9),0,IF(OR(AW1384=3,AW1384=4,AW1384=5,AW1384=6),IF(LEFT(BH1384,1)="1",INDEX(係数_PM低減,MATCH(AY1384,【参考】排出係数!$AI$801:$AI$804,1),MATCH(BI1384,【参考】排出係数!$AL$798:$AO$798,1)),VLOOKUP(AU1384,INDEX((係数_バス貨物_ガソリン,係数_バス貨物_CNG,係数_バス貨物_軽油,係数_バス貨物_メタノール,係数_バス貨物_LPG),MATCH(AY1384,【参考】排出係数!$AI$4:$AI$671,1),1,BE1384):INDEX((係数_バス貨物_ガソリン,係数_バス貨物_CNG,係数_バス貨物_軽油,係数_バス貨物_メタノール,係数_バス貨物_LPG),MATCH(AY1384+1,【参考】排出係数!$AI$4:$AI$671,1)-1,5,BE1384),5,FALSE)),IF(AND(BE1384=3,LEFT(BF1384,1)="1"),0.055,VLOOKUP(AU1384,INDEX((係数_乗用_ガソリン,係数_乗用_CNG,係数_乗用_軽油,係数_乗用_メタノール,係数_乗用_LPG),1,1,BE1384):INDEX((係数_乗用_ガソリン,係数_乗用_CNG,係数_乗用_軽油,係数_乗用_メタノール,係数_乗用_LPG),125,5,BE1384),5,FALSE)))))</f>
        <v/>
      </c>
      <c r="AN1384" s="461" t="str">
        <f t="shared" si="768"/>
        <v/>
      </c>
      <c r="AO1384" s="462" t="str">
        <f t="shared" si="769"/>
        <v/>
      </c>
      <c r="AP1384" s="463" t="str">
        <f t="shared" si="770"/>
        <v/>
      </c>
      <c r="AQ1384" s="464"/>
      <c r="AR1384" s="619"/>
      <c r="AS1384" s="465" t="str">
        <f t="shared" si="778"/>
        <v/>
      </c>
      <c r="AT1384" s="465" t="str">
        <f t="shared" si="779"/>
        <v/>
      </c>
      <c r="AU1384" s="466" t="str">
        <f t="shared" si="780"/>
        <v/>
      </c>
      <c r="AV1384" s="467" t="str">
        <f t="shared" si="781"/>
        <v/>
      </c>
      <c r="AW1384" s="467" t="str">
        <f t="shared" si="782"/>
        <v/>
      </c>
      <c r="AX1384" s="467" t="str">
        <f t="shared" si="783"/>
        <v/>
      </c>
      <c r="AY1384" s="467" t="str">
        <f t="shared" si="784"/>
        <v/>
      </c>
      <c r="AZ1384" s="467" t="str">
        <f t="shared" si="785"/>
        <v/>
      </c>
      <c r="BA1384" s="468" t="str">
        <f>IF(AS1384="","",IF(OR(AU1384="",AU1384="-"),"－",IF(OR(AZ1384=8,AZ1384=9),"",IF(OR(AW1384=3,AW1384=4,AW1384=5,AW1384=6),VLOOKUP(AU1384,INDEX((係数_バス貨物_ガソリン,係数_バス貨物_CNG,係数_バス貨物_軽油,係数_バス貨物_メタノール,係数_バス貨物_LPG),MATCH(AY1384,【参考】排出係数!$AI$4:$AI$671,1),1,BE1384):INDEX((係数_バス貨物_ガソリン,係数_バス貨物_CNG,係数_バス貨物_軽油,係数_バス貨物_メタノール,係数_バス貨物_LPG),MATCH(AY1384+1,【参考】排出係数!$AI$4:$AI$671,1)-1,5,BE1384),2,FALSE),IF(OR(AW1384=1,AW1384=2),VLOOKUP(AU1384,INDEX((係数_乗用_ガソリン,係数_乗用_CNG,係数_乗用_軽油,係数_乗用_メタノール,係数_乗用_LPG),1,1,BE1384):INDEX((係数_乗用_ガソリン,係数_乗用_CNG,係数_乗用_軽油,係数_乗用_メタノール,係数_乗用_LPG),125,5,BE1384),2,FALSE))))))</f>
        <v/>
      </c>
      <c r="BB1384" s="468" t="str">
        <f>IF(T1384="","",IF(OR(AU1384="",AU1384="-"),"－",IF(OR(AZ1384=8,AZ1384=9),"",IF(OR(AW1384=3,AW1384=4,AW1384=5,AW1384=6),VLOOKUP(AU1384,INDEX((係数_バス貨物_ガソリン,係数_バス貨物_CNG,係数_バス貨物_軽油,係数_バス貨物_メタノール,係数_バス貨物_LPG),MATCH(AY1384,【参考】排出係数!$AI$4:$AI$671,1),1,BE1384):INDEX((係数_バス貨物_ガソリン,係数_バス貨物_CNG,係数_バス貨物_軽油,係数_バス貨物_メタノール,係数_バス貨物_LPG),MATCH(AY1384+1,【参考】排出係数!$AI$4:$AI$671,1)-1,5,BE1384),3,FALSE),IF(OR(AW1384=1,AW1384=2),VLOOKUP(AU1384,INDEX((係数_乗用_ガソリン,係数_乗用_CNG,係数_乗用_軽油,係数_乗用_メタノール,係数_乗用_LPG),1,1,BE1384):INDEX((係数_乗用_ガソリン,係数_乗用_CNG,係数_乗用_軽油,係数_乗用_メタノール,係数_乗用_LPG),125,5,BE1384),3,FALSE))))))</f>
        <v/>
      </c>
      <c r="BC1384" s="467" t="str">
        <f t="shared" si="786"/>
        <v/>
      </c>
      <c r="BD1384" s="567" t="str">
        <f t="shared" si="787"/>
        <v/>
      </c>
      <c r="BE1384" s="467" t="str">
        <f t="shared" si="788"/>
        <v/>
      </c>
      <c r="BF1384" s="469" t="str">
        <f t="shared" ca="1" si="789"/>
        <v/>
      </c>
      <c r="BG1384" s="469" t="str">
        <f t="shared" ca="1" si="790"/>
        <v/>
      </c>
      <c r="BH1384" s="467" t="str">
        <f t="shared" si="791"/>
        <v/>
      </c>
      <c r="BI1384" s="467" t="str">
        <f t="shared" ca="1" si="792"/>
        <v/>
      </c>
      <c r="BJ1384" s="469" t="str">
        <f t="shared" si="793"/>
        <v/>
      </c>
      <c r="BK1384" s="470" t="str">
        <f t="shared" si="777"/>
        <v/>
      </c>
      <c r="BL1384" s="775" t="str">
        <f t="shared" si="794"/>
        <v/>
      </c>
      <c r="BM1384" s="775" t="str">
        <f t="shared" si="795"/>
        <v/>
      </c>
    </row>
    <row r="1385" spans="1:65">
      <c r="A1385" s="473">
        <v>1329</v>
      </c>
      <c r="B1385" s="132"/>
      <c r="C1385" s="332"/>
      <c r="D1385" s="333"/>
      <c r="E1385" s="333"/>
      <c r="F1385" s="334"/>
      <c r="G1385" s="337"/>
      <c r="H1385" s="131"/>
      <c r="I1385" s="337"/>
      <c r="J1385" s="131"/>
      <c r="K1385" s="458" t="str">
        <f t="shared" si="758"/>
        <v/>
      </c>
      <c r="L1385" s="458">
        <f t="shared" si="759"/>
        <v>0</v>
      </c>
      <c r="M1385" s="458">
        <f t="shared" si="760"/>
        <v>0</v>
      </c>
      <c r="N1385" s="459" t="str">
        <f t="shared" si="771"/>
        <v/>
      </c>
      <c r="O1385" s="459" t="str">
        <f t="shared" si="772"/>
        <v/>
      </c>
      <c r="P1385" s="459" t="str">
        <f t="shared" si="773"/>
        <v/>
      </c>
      <c r="Q1385" s="459" t="str">
        <f t="shared" si="774"/>
        <v/>
      </c>
      <c r="R1385" s="459" t="str">
        <f t="shared" si="775"/>
        <v/>
      </c>
      <c r="S1385" s="459" t="str">
        <f t="shared" si="776"/>
        <v/>
      </c>
      <c r="T1385" s="566" t="str">
        <f t="shared" si="761"/>
        <v/>
      </c>
      <c r="U1385" s="702"/>
      <c r="V1385" s="132"/>
      <c r="W1385" s="133"/>
      <c r="X1385" s="134"/>
      <c r="Y1385" s="135"/>
      <c r="Z1385" s="137"/>
      <c r="AA1385" s="136"/>
      <c r="AB1385" s="566" t="str">
        <f t="shared" si="762"/>
        <v/>
      </c>
      <c r="AC1385" s="568" t="str">
        <f t="shared" si="763"/>
        <v/>
      </c>
      <c r="AD1385" s="137"/>
      <c r="AE1385" s="137"/>
      <c r="AF1385" s="138"/>
      <c r="AG1385" s="138"/>
      <c r="AH1385" s="592" t="str">
        <f t="shared" si="764"/>
        <v/>
      </c>
      <c r="AI1385" s="592" t="str">
        <f t="shared" si="765"/>
        <v/>
      </c>
      <c r="AJ1385" s="592" t="str">
        <f t="shared" si="766"/>
        <v/>
      </c>
      <c r="AK1385" s="460" t="str">
        <f>IF(AU1385="","",IF(OR(AZ1385=8,AZ1385=9),0,IF(OR(AW1385=3,AW1385=4,AW1385=5,AW1385=6),IF(LEFT(BF1385,1)="1",INDEX(係数_NOX・PM低減,MATCH(AY1385,【参考】排出係数!$AI$801:$AI$804,1),1),VLOOKUP(AU1385,INDEX((係数_バス貨物_ガソリン,係数_バス貨物_CNG,係数_バス貨物_軽油,係数_バス貨物_メタノール,係数_バス貨物_LPG),MATCH(AY1385,【参考】排出係数!$AI$4:$AI$671,1),1,BE1385):INDEX((係数_バス貨物_ガソリン,係数_バス貨物_CNG,係数_バス貨物_軽油,係数_バス貨物_メタノール,係数_バス貨物_LPG),MATCH(AY1385+1,【参考】排出係数!$AI$4:$AI$671,1)-1,5,BE1385),4,FALSE)),IF(AND(BE1385=3,LEFT(BF1385,1)="1"),0.48,VLOOKUP(AU1385,INDEX((係数_乗用_ガソリン,係数_乗用_CNG,係数_乗用_軽油,係数_乗用_メタノール,係数_乗用_LPG),1,1,BE1385):INDEX((係数_乗用_ガソリン,係数_乗用_CNG,係数_乗用_軽油,係数_乗用_メタノール,係数_乗用_LPG),125,5,BE1385),4,FALSE)))))</f>
        <v/>
      </c>
      <c r="AL1385" s="461" t="str">
        <f t="shared" si="767"/>
        <v/>
      </c>
      <c r="AM1385" s="460" t="str">
        <f>IF(AU1385="","",IF(OR(AZ1385=8,AZ1385=9),0,IF(OR(AW1385=3,AW1385=4,AW1385=5,AW1385=6),IF(LEFT(BH1385,1)="1",INDEX(係数_PM低減,MATCH(AY1385,【参考】排出係数!$AI$801:$AI$804,1),MATCH(BI1385,【参考】排出係数!$AL$798:$AO$798,1)),VLOOKUP(AU1385,INDEX((係数_バス貨物_ガソリン,係数_バス貨物_CNG,係数_バス貨物_軽油,係数_バス貨物_メタノール,係数_バス貨物_LPG),MATCH(AY1385,【参考】排出係数!$AI$4:$AI$671,1),1,BE1385):INDEX((係数_バス貨物_ガソリン,係数_バス貨物_CNG,係数_バス貨物_軽油,係数_バス貨物_メタノール,係数_バス貨物_LPG),MATCH(AY1385+1,【参考】排出係数!$AI$4:$AI$671,1)-1,5,BE1385),5,FALSE)),IF(AND(BE1385=3,LEFT(BF1385,1)="1"),0.055,VLOOKUP(AU1385,INDEX((係数_乗用_ガソリン,係数_乗用_CNG,係数_乗用_軽油,係数_乗用_メタノール,係数_乗用_LPG),1,1,BE1385):INDEX((係数_乗用_ガソリン,係数_乗用_CNG,係数_乗用_軽油,係数_乗用_メタノール,係数_乗用_LPG),125,5,BE1385),5,FALSE)))))</f>
        <v/>
      </c>
      <c r="AN1385" s="461" t="str">
        <f t="shared" si="768"/>
        <v/>
      </c>
      <c r="AO1385" s="462" t="str">
        <f t="shared" si="769"/>
        <v/>
      </c>
      <c r="AP1385" s="463" t="str">
        <f t="shared" si="770"/>
        <v/>
      </c>
      <c r="AQ1385" s="464"/>
      <c r="AR1385" s="619"/>
      <c r="AS1385" s="465" t="str">
        <f t="shared" si="778"/>
        <v/>
      </c>
      <c r="AT1385" s="465" t="str">
        <f t="shared" si="779"/>
        <v/>
      </c>
      <c r="AU1385" s="466" t="str">
        <f t="shared" si="780"/>
        <v/>
      </c>
      <c r="AV1385" s="467" t="str">
        <f t="shared" si="781"/>
        <v/>
      </c>
      <c r="AW1385" s="467" t="str">
        <f t="shared" si="782"/>
        <v/>
      </c>
      <c r="AX1385" s="467" t="str">
        <f t="shared" si="783"/>
        <v/>
      </c>
      <c r="AY1385" s="467" t="str">
        <f t="shared" si="784"/>
        <v/>
      </c>
      <c r="AZ1385" s="467" t="str">
        <f t="shared" si="785"/>
        <v/>
      </c>
      <c r="BA1385" s="468" t="str">
        <f>IF(AS1385="","",IF(OR(AU1385="",AU1385="-"),"－",IF(OR(AZ1385=8,AZ1385=9),"",IF(OR(AW1385=3,AW1385=4,AW1385=5,AW1385=6),VLOOKUP(AU1385,INDEX((係数_バス貨物_ガソリン,係数_バス貨物_CNG,係数_バス貨物_軽油,係数_バス貨物_メタノール,係数_バス貨物_LPG),MATCH(AY1385,【参考】排出係数!$AI$4:$AI$671,1),1,BE1385):INDEX((係数_バス貨物_ガソリン,係数_バス貨物_CNG,係数_バス貨物_軽油,係数_バス貨物_メタノール,係数_バス貨物_LPG),MATCH(AY1385+1,【参考】排出係数!$AI$4:$AI$671,1)-1,5,BE1385),2,FALSE),IF(OR(AW1385=1,AW1385=2),VLOOKUP(AU1385,INDEX((係数_乗用_ガソリン,係数_乗用_CNG,係数_乗用_軽油,係数_乗用_メタノール,係数_乗用_LPG),1,1,BE1385):INDEX((係数_乗用_ガソリン,係数_乗用_CNG,係数_乗用_軽油,係数_乗用_メタノール,係数_乗用_LPG),125,5,BE1385),2,FALSE))))))</f>
        <v/>
      </c>
      <c r="BB1385" s="468" t="str">
        <f>IF(T1385="","",IF(OR(AU1385="",AU1385="-"),"－",IF(OR(AZ1385=8,AZ1385=9),"",IF(OR(AW1385=3,AW1385=4,AW1385=5,AW1385=6),VLOOKUP(AU1385,INDEX((係数_バス貨物_ガソリン,係数_バス貨物_CNG,係数_バス貨物_軽油,係数_バス貨物_メタノール,係数_バス貨物_LPG),MATCH(AY1385,【参考】排出係数!$AI$4:$AI$671,1),1,BE1385):INDEX((係数_バス貨物_ガソリン,係数_バス貨物_CNG,係数_バス貨物_軽油,係数_バス貨物_メタノール,係数_バス貨物_LPG),MATCH(AY1385+1,【参考】排出係数!$AI$4:$AI$671,1)-1,5,BE1385),3,FALSE),IF(OR(AW1385=1,AW1385=2),VLOOKUP(AU1385,INDEX((係数_乗用_ガソリン,係数_乗用_CNG,係数_乗用_軽油,係数_乗用_メタノール,係数_乗用_LPG),1,1,BE1385):INDEX((係数_乗用_ガソリン,係数_乗用_CNG,係数_乗用_軽油,係数_乗用_メタノール,係数_乗用_LPG),125,5,BE1385),3,FALSE))))))</f>
        <v/>
      </c>
      <c r="BC1385" s="467" t="str">
        <f t="shared" si="786"/>
        <v/>
      </c>
      <c r="BD1385" s="567" t="str">
        <f t="shared" si="787"/>
        <v/>
      </c>
      <c r="BE1385" s="467" t="str">
        <f t="shared" si="788"/>
        <v/>
      </c>
      <c r="BF1385" s="469" t="str">
        <f t="shared" ca="1" si="789"/>
        <v/>
      </c>
      <c r="BG1385" s="469" t="str">
        <f t="shared" ca="1" si="790"/>
        <v/>
      </c>
      <c r="BH1385" s="467" t="str">
        <f t="shared" si="791"/>
        <v/>
      </c>
      <c r="BI1385" s="467" t="str">
        <f t="shared" ca="1" si="792"/>
        <v/>
      </c>
      <c r="BJ1385" s="469" t="str">
        <f t="shared" si="793"/>
        <v/>
      </c>
      <c r="BK1385" s="470" t="str">
        <f t="shared" si="777"/>
        <v/>
      </c>
      <c r="BL1385" s="775" t="str">
        <f t="shared" si="794"/>
        <v/>
      </c>
      <c r="BM1385" s="775" t="str">
        <f t="shared" si="795"/>
        <v/>
      </c>
    </row>
    <row r="1386" spans="1:65">
      <c r="A1386" s="473">
        <v>1330</v>
      </c>
      <c r="B1386" s="132"/>
      <c r="C1386" s="332"/>
      <c r="D1386" s="333"/>
      <c r="E1386" s="333"/>
      <c r="F1386" s="334"/>
      <c r="G1386" s="337"/>
      <c r="H1386" s="131"/>
      <c r="I1386" s="337"/>
      <c r="J1386" s="131"/>
      <c r="K1386" s="458" t="str">
        <f t="shared" si="758"/>
        <v/>
      </c>
      <c r="L1386" s="458">
        <f t="shared" si="759"/>
        <v>0</v>
      </c>
      <c r="M1386" s="458">
        <f t="shared" si="760"/>
        <v>0</v>
      </c>
      <c r="N1386" s="459" t="str">
        <f t="shared" si="771"/>
        <v/>
      </c>
      <c r="O1386" s="459" t="str">
        <f t="shared" si="772"/>
        <v/>
      </c>
      <c r="P1386" s="459" t="str">
        <f t="shared" si="773"/>
        <v/>
      </c>
      <c r="Q1386" s="459" t="str">
        <f t="shared" si="774"/>
        <v/>
      </c>
      <c r="R1386" s="459" t="str">
        <f t="shared" si="775"/>
        <v/>
      </c>
      <c r="S1386" s="459" t="str">
        <f t="shared" si="776"/>
        <v/>
      </c>
      <c r="T1386" s="566" t="str">
        <f t="shared" si="761"/>
        <v/>
      </c>
      <c r="U1386" s="702"/>
      <c r="V1386" s="132"/>
      <c r="W1386" s="133"/>
      <c r="X1386" s="134"/>
      <c r="Y1386" s="135"/>
      <c r="Z1386" s="137"/>
      <c r="AA1386" s="136"/>
      <c r="AB1386" s="566" t="str">
        <f t="shared" si="762"/>
        <v/>
      </c>
      <c r="AC1386" s="568" t="str">
        <f t="shared" si="763"/>
        <v/>
      </c>
      <c r="AD1386" s="137"/>
      <c r="AE1386" s="137"/>
      <c r="AF1386" s="138"/>
      <c r="AG1386" s="138"/>
      <c r="AH1386" s="592" t="str">
        <f t="shared" si="764"/>
        <v/>
      </c>
      <c r="AI1386" s="592" t="str">
        <f t="shared" si="765"/>
        <v/>
      </c>
      <c r="AJ1386" s="592" t="str">
        <f t="shared" si="766"/>
        <v/>
      </c>
      <c r="AK1386" s="460" t="str">
        <f>IF(AU1386="","",IF(OR(AZ1386=8,AZ1386=9),0,IF(OR(AW1386=3,AW1386=4,AW1386=5,AW1386=6),IF(LEFT(BF1386,1)="1",INDEX(係数_NOX・PM低減,MATCH(AY1386,【参考】排出係数!$AI$801:$AI$804,1),1),VLOOKUP(AU1386,INDEX((係数_バス貨物_ガソリン,係数_バス貨物_CNG,係数_バス貨物_軽油,係数_バス貨物_メタノール,係数_バス貨物_LPG),MATCH(AY1386,【参考】排出係数!$AI$4:$AI$671,1),1,BE1386):INDEX((係数_バス貨物_ガソリン,係数_バス貨物_CNG,係数_バス貨物_軽油,係数_バス貨物_メタノール,係数_バス貨物_LPG),MATCH(AY1386+1,【参考】排出係数!$AI$4:$AI$671,1)-1,5,BE1386),4,FALSE)),IF(AND(BE1386=3,LEFT(BF1386,1)="1"),0.48,VLOOKUP(AU1386,INDEX((係数_乗用_ガソリン,係数_乗用_CNG,係数_乗用_軽油,係数_乗用_メタノール,係数_乗用_LPG),1,1,BE1386):INDEX((係数_乗用_ガソリン,係数_乗用_CNG,係数_乗用_軽油,係数_乗用_メタノール,係数_乗用_LPG),125,5,BE1386),4,FALSE)))))</f>
        <v/>
      </c>
      <c r="AL1386" s="461" t="str">
        <f t="shared" si="767"/>
        <v/>
      </c>
      <c r="AM1386" s="460" t="str">
        <f>IF(AU1386="","",IF(OR(AZ1386=8,AZ1386=9),0,IF(OR(AW1386=3,AW1386=4,AW1386=5,AW1386=6),IF(LEFT(BH1386,1)="1",INDEX(係数_PM低減,MATCH(AY1386,【参考】排出係数!$AI$801:$AI$804,1),MATCH(BI1386,【参考】排出係数!$AL$798:$AO$798,1)),VLOOKUP(AU1386,INDEX((係数_バス貨物_ガソリン,係数_バス貨物_CNG,係数_バス貨物_軽油,係数_バス貨物_メタノール,係数_バス貨物_LPG),MATCH(AY1386,【参考】排出係数!$AI$4:$AI$671,1),1,BE1386):INDEX((係数_バス貨物_ガソリン,係数_バス貨物_CNG,係数_バス貨物_軽油,係数_バス貨物_メタノール,係数_バス貨物_LPG),MATCH(AY1386+1,【参考】排出係数!$AI$4:$AI$671,1)-1,5,BE1386),5,FALSE)),IF(AND(BE1386=3,LEFT(BF1386,1)="1"),0.055,VLOOKUP(AU1386,INDEX((係数_乗用_ガソリン,係数_乗用_CNG,係数_乗用_軽油,係数_乗用_メタノール,係数_乗用_LPG),1,1,BE1386):INDEX((係数_乗用_ガソリン,係数_乗用_CNG,係数_乗用_軽油,係数_乗用_メタノール,係数_乗用_LPG),125,5,BE1386),5,FALSE)))))</f>
        <v/>
      </c>
      <c r="AN1386" s="461" t="str">
        <f t="shared" si="768"/>
        <v/>
      </c>
      <c r="AO1386" s="462" t="str">
        <f t="shared" si="769"/>
        <v/>
      </c>
      <c r="AP1386" s="463" t="str">
        <f t="shared" si="770"/>
        <v/>
      </c>
      <c r="AQ1386" s="464"/>
      <c r="AR1386" s="619"/>
      <c r="AS1386" s="465" t="str">
        <f t="shared" si="778"/>
        <v/>
      </c>
      <c r="AT1386" s="465" t="str">
        <f t="shared" si="779"/>
        <v/>
      </c>
      <c r="AU1386" s="466" t="str">
        <f t="shared" si="780"/>
        <v/>
      </c>
      <c r="AV1386" s="467" t="str">
        <f t="shared" si="781"/>
        <v/>
      </c>
      <c r="AW1386" s="467" t="str">
        <f t="shared" si="782"/>
        <v/>
      </c>
      <c r="AX1386" s="467" t="str">
        <f t="shared" si="783"/>
        <v/>
      </c>
      <c r="AY1386" s="467" t="str">
        <f t="shared" si="784"/>
        <v/>
      </c>
      <c r="AZ1386" s="467" t="str">
        <f t="shared" si="785"/>
        <v/>
      </c>
      <c r="BA1386" s="468" t="str">
        <f>IF(AS1386="","",IF(OR(AU1386="",AU1386="-"),"－",IF(OR(AZ1386=8,AZ1386=9),"",IF(OR(AW1386=3,AW1386=4,AW1386=5,AW1386=6),VLOOKUP(AU1386,INDEX((係数_バス貨物_ガソリン,係数_バス貨物_CNG,係数_バス貨物_軽油,係数_バス貨物_メタノール,係数_バス貨物_LPG),MATCH(AY1386,【参考】排出係数!$AI$4:$AI$671,1),1,BE1386):INDEX((係数_バス貨物_ガソリン,係数_バス貨物_CNG,係数_バス貨物_軽油,係数_バス貨物_メタノール,係数_バス貨物_LPG),MATCH(AY1386+1,【参考】排出係数!$AI$4:$AI$671,1)-1,5,BE1386),2,FALSE),IF(OR(AW1386=1,AW1386=2),VLOOKUP(AU1386,INDEX((係数_乗用_ガソリン,係数_乗用_CNG,係数_乗用_軽油,係数_乗用_メタノール,係数_乗用_LPG),1,1,BE1386):INDEX((係数_乗用_ガソリン,係数_乗用_CNG,係数_乗用_軽油,係数_乗用_メタノール,係数_乗用_LPG),125,5,BE1386),2,FALSE))))))</f>
        <v/>
      </c>
      <c r="BB1386" s="468" t="str">
        <f>IF(T1386="","",IF(OR(AU1386="",AU1386="-"),"－",IF(OR(AZ1386=8,AZ1386=9),"",IF(OR(AW1386=3,AW1386=4,AW1386=5,AW1386=6),VLOOKUP(AU1386,INDEX((係数_バス貨物_ガソリン,係数_バス貨物_CNG,係数_バス貨物_軽油,係数_バス貨物_メタノール,係数_バス貨物_LPG),MATCH(AY1386,【参考】排出係数!$AI$4:$AI$671,1),1,BE1386):INDEX((係数_バス貨物_ガソリン,係数_バス貨物_CNG,係数_バス貨物_軽油,係数_バス貨物_メタノール,係数_バス貨物_LPG),MATCH(AY1386+1,【参考】排出係数!$AI$4:$AI$671,1)-1,5,BE1386),3,FALSE),IF(OR(AW1386=1,AW1386=2),VLOOKUP(AU1386,INDEX((係数_乗用_ガソリン,係数_乗用_CNG,係数_乗用_軽油,係数_乗用_メタノール,係数_乗用_LPG),1,1,BE1386):INDEX((係数_乗用_ガソリン,係数_乗用_CNG,係数_乗用_軽油,係数_乗用_メタノール,係数_乗用_LPG),125,5,BE1386),3,FALSE))))))</f>
        <v/>
      </c>
      <c r="BC1386" s="467" t="str">
        <f t="shared" si="786"/>
        <v/>
      </c>
      <c r="BD1386" s="567" t="str">
        <f t="shared" si="787"/>
        <v/>
      </c>
      <c r="BE1386" s="467" t="str">
        <f t="shared" si="788"/>
        <v/>
      </c>
      <c r="BF1386" s="469" t="str">
        <f t="shared" ca="1" si="789"/>
        <v/>
      </c>
      <c r="BG1386" s="469" t="str">
        <f t="shared" ca="1" si="790"/>
        <v/>
      </c>
      <c r="BH1386" s="467" t="str">
        <f t="shared" si="791"/>
        <v/>
      </c>
      <c r="BI1386" s="467" t="str">
        <f t="shared" ca="1" si="792"/>
        <v/>
      </c>
      <c r="BJ1386" s="469" t="str">
        <f t="shared" si="793"/>
        <v/>
      </c>
      <c r="BK1386" s="470" t="str">
        <f t="shared" si="777"/>
        <v/>
      </c>
      <c r="BL1386" s="775" t="str">
        <f t="shared" si="794"/>
        <v/>
      </c>
      <c r="BM1386" s="775" t="str">
        <f t="shared" si="795"/>
        <v/>
      </c>
    </row>
    <row r="1387" spans="1:65">
      <c r="A1387" s="473">
        <v>1331</v>
      </c>
      <c r="B1387" s="132"/>
      <c r="C1387" s="332"/>
      <c r="D1387" s="333"/>
      <c r="E1387" s="333"/>
      <c r="F1387" s="334"/>
      <c r="G1387" s="337"/>
      <c r="H1387" s="131"/>
      <c r="I1387" s="337"/>
      <c r="J1387" s="131"/>
      <c r="K1387" s="458" t="str">
        <f t="shared" si="758"/>
        <v/>
      </c>
      <c r="L1387" s="458">
        <f t="shared" si="759"/>
        <v>0</v>
      </c>
      <c r="M1387" s="458">
        <f t="shared" si="760"/>
        <v>0</v>
      </c>
      <c r="N1387" s="459" t="str">
        <f t="shared" si="771"/>
        <v/>
      </c>
      <c r="O1387" s="459" t="str">
        <f t="shared" si="772"/>
        <v/>
      </c>
      <c r="P1387" s="459" t="str">
        <f t="shared" si="773"/>
        <v/>
      </c>
      <c r="Q1387" s="459" t="str">
        <f t="shared" si="774"/>
        <v/>
      </c>
      <c r="R1387" s="459" t="str">
        <f t="shared" si="775"/>
        <v/>
      </c>
      <c r="S1387" s="459" t="str">
        <f t="shared" si="776"/>
        <v/>
      </c>
      <c r="T1387" s="566" t="str">
        <f t="shared" si="761"/>
        <v/>
      </c>
      <c r="U1387" s="702"/>
      <c r="V1387" s="132"/>
      <c r="W1387" s="133"/>
      <c r="X1387" s="134"/>
      <c r="Y1387" s="135"/>
      <c r="Z1387" s="137"/>
      <c r="AA1387" s="136"/>
      <c r="AB1387" s="566" t="str">
        <f t="shared" si="762"/>
        <v/>
      </c>
      <c r="AC1387" s="568" t="str">
        <f t="shared" si="763"/>
        <v/>
      </c>
      <c r="AD1387" s="137"/>
      <c r="AE1387" s="137"/>
      <c r="AF1387" s="138"/>
      <c r="AG1387" s="138"/>
      <c r="AH1387" s="592" t="str">
        <f t="shared" si="764"/>
        <v/>
      </c>
      <c r="AI1387" s="592" t="str">
        <f t="shared" si="765"/>
        <v/>
      </c>
      <c r="AJ1387" s="592" t="str">
        <f t="shared" si="766"/>
        <v/>
      </c>
      <c r="AK1387" s="460" t="str">
        <f>IF(AU1387="","",IF(OR(AZ1387=8,AZ1387=9),0,IF(OR(AW1387=3,AW1387=4,AW1387=5,AW1387=6),IF(LEFT(BF1387,1)="1",INDEX(係数_NOX・PM低減,MATCH(AY1387,【参考】排出係数!$AI$801:$AI$804,1),1),VLOOKUP(AU1387,INDEX((係数_バス貨物_ガソリン,係数_バス貨物_CNG,係数_バス貨物_軽油,係数_バス貨物_メタノール,係数_バス貨物_LPG),MATCH(AY1387,【参考】排出係数!$AI$4:$AI$671,1),1,BE1387):INDEX((係数_バス貨物_ガソリン,係数_バス貨物_CNG,係数_バス貨物_軽油,係数_バス貨物_メタノール,係数_バス貨物_LPG),MATCH(AY1387+1,【参考】排出係数!$AI$4:$AI$671,1)-1,5,BE1387),4,FALSE)),IF(AND(BE1387=3,LEFT(BF1387,1)="1"),0.48,VLOOKUP(AU1387,INDEX((係数_乗用_ガソリン,係数_乗用_CNG,係数_乗用_軽油,係数_乗用_メタノール,係数_乗用_LPG),1,1,BE1387):INDEX((係数_乗用_ガソリン,係数_乗用_CNG,係数_乗用_軽油,係数_乗用_メタノール,係数_乗用_LPG),125,5,BE1387),4,FALSE)))))</f>
        <v/>
      </c>
      <c r="AL1387" s="461" t="str">
        <f t="shared" si="767"/>
        <v/>
      </c>
      <c r="AM1387" s="460" t="str">
        <f>IF(AU1387="","",IF(OR(AZ1387=8,AZ1387=9),0,IF(OR(AW1387=3,AW1387=4,AW1387=5,AW1387=6),IF(LEFT(BH1387,1)="1",INDEX(係数_PM低減,MATCH(AY1387,【参考】排出係数!$AI$801:$AI$804,1),MATCH(BI1387,【参考】排出係数!$AL$798:$AO$798,1)),VLOOKUP(AU1387,INDEX((係数_バス貨物_ガソリン,係数_バス貨物_CNG,係数_バス貨物_軽油,係数_バス貨物_メタノール,係数_バス貨物_LPG),MATCH(AY1387,【参考】排出係数!$AI$4:$AI$671,1),1,BE1387):INDEX((係数_バス貨物_ガソリン,係数_バス貨物_CNG,係数_バス貨物_軽油,係数_バス貨物_メタノール,係数_バス貨物_LPG),MATCH(AY1387+1,【参考】排出係数!$AI$4:$AI$671,1)-1,5,BE1387),5,FALSE)),IF(AND(BE1387=3,LEFT(BF1387,1)="1"),0.055,VLOOKUP(AU1387,INDEX((係数_乗用_ガソリン,係数_乗用_CNG,係数_乗用_軽油,係数_乗用_メタノール,係数_乗用_LPG),1,1,BE1387):INDEX((係数_乗用_ガソリン,係数_乗用_CNG,係数_乗用_軽油,係数_乗用_メタノール,係数_乗用_LPG),125,5,BE1387),5,FALSE)))))</f>
        <v/>
      </c>
      <c r="AN1387" s="461" t="str">
        <f t="shared" si="768"/>
        <v/>
      </c>
      <c r="AO1387" s="462" t="str">
        <f t="shared" si="769"/>
        <v/>
      </c>
      <c r="AP1387" s="463" t="str">
        <f t="shared" si="770"/>
        <v/>
      </c>
      <c r="AQ1387" s="464"/>
      <c r="AR1387" s="619"/>
      <c r="AS1387" s="465" t="str">
        <f t="shared" si="778"/>
        <v/>
      </c>
      <c r="AT1387" s="465" t="str">
        <f t="shared" si="779"/>
        <v/>
      </c>
      <c r="AU1387" s="466" t="str">
        <f t="shared" si="780"/>
        <v/>
      </c>
      <c r="AV1387" s="467" t="str">
        <f t="shared" si="781"/>
        <v/>
      </c>
      <c r="AW1387" s="467" t="str">
        <f t="shared" si="782"/>
        <v/>
      </c>
      <c r="AX1387" s="467" t="str">
        <f t="shared" si="783"/>
        <v/>
      </c>
      <c r="AY1387" s="467" t="str">
        <f t="shared" si="784"/>
        <v/>
      </c>
      <c r="AZ1387" s="467" t="str">
        <f t="shared" si="785"/>
        <v/>
      </c>
      <c r="BA1387" s="468" t="str">
        <f>IF(AS1387="","",IF(OR(AU1387="",AU1387="-"),"－",IF(OR(AZ1387=8,AZ1387=9),"",IF(OR(AW1387=3,AW1387=4,AW1387=5,AW1387=6),VLOOKUP(AU1387,INDEX((係数_バス貨物_ガソリン,係数_バス貨物_CNG,係数_バス貨物_軽油,係数_バス貨物_メタノール,係数_バス貨物_LPG),MATCH(AY1387,【参考】排出係数!$AI$4:$AI$671,1),1,BE1387):INDEX((係数_バス貨物_ガソリン,係数_バス貨物_CNG,係数_バス貨物_軽油,係数_バス貨物_メタノール,係数_バス貨物_LPG),MATCH(AY1387+1,【参考】排出係数!$AI$4:$AI$671,1)-1,5,BE1387),2,FALSE),IF(OR(AW1387=1,AW1387=2),VLOOKUP(AU1387,INDEX((係数_乗用_ガソリン,係数_乗用_CNG,係数_乗用_軽油,係数_乗用_メタノール,係数_乗用_LPG),1,1,BE1387):INDEX((係数_乗用_ガソリン,係数_乗用_CNG,係数_乗用_軽油,係数_乗用_メタノール,係数_乗用_LPG),125,5,BE1387),2,FALSE))))))</f>
        <v/>
      </c>
      <c r="BB1387" s="468" t="str">
        <f>IF(T1387="","",IF(OR(AU1387="",AU1387="-"),"－",IF(OR(AZ1387=8,AZ1387=9),"",IF(OR(AW1387=3,AW1387=4,AW1387=5,AW1387=6),VLOOKUP(AU1387,INDEX((係数_バス貨物_ガソリン,係数_バス貨物_CNG,係数_バス貨物_軽油,係数_バス貨物_メタノール,係数_バス貨物_LPG),MATCH(AY1387,【参考】排出係数!$AI$4:$AI$671,1),1,BE1387):INDEX((係数_バス貨物_ガソリン,係数_バス貨物_CNG,係数_バス貨物_軽油,係数_バス貨物_メタノール,係数_バス貨物_LPG),MATCH(AY1387+1,【参考】排出係数!$AI$4:$AI$671,1)-1,5,BE1387),3,FALSE),IF(OR(AW1387=1,AW1387=2),VLOOKUP(AU1387,INDEX((係数_乗用_ガソリン,係数_乗用_CNG,係数_乗用_軽油,係数_乗用_メタノール,係数_乗用_LPG),1,1,BE1387):INDEX((係数_乗用_ガソリン,係数_乗用_CNG,係数_乗用_軽油,係数_乗用_メタノール,係数_乗用_LPG),125,5,BE1387),3,FALSE))))))</f>
        <v/>
      </c>
      <c r="BC1387" s="467" t="str">
        <f t="shared" si="786"/>
        <v/>
      </c>
      <c r="BD1387" s="567" t="str">
        <f t="shared" si="787"/>
        <v/>
      </c>
      <c r="BE1387" s="467" t="str">
        <f t="shared" si="788"/>
        <v/>
      </c>
      <c r="BF1387" s="469" t="str">
        <f t="shared" ca="1" si="789"/>
        <v/>
      </c>
      <c r="BG1387" s="469" t="str">
        <f t="shared" ca="1" si="790"/>
        <v/>
      </c>
      <c r="BH1387" s="467" t="str">
        <f t="shared" si="791"/>
        <v/>
      </c>
      <c r="BI1387" s="467" t="str">
        <f t="shared" ca="1" si="792"/>
        <v/>
      </c>
      <c r="BJ1387" s="469" t="str">
        <f t="shared" si="793"/>
        <v/>
      </c>
      <c r="BK1387" s="470" t="str">
        <f t="shared" si="777"/>
        <v/>
      </c>
      <c r="BL1387" s="775" t="str">
        <f t="shared" si="794"/>
        <v/>
      </c>
      <c r="BM1387" s="775" t="str">
        <f t="shared" si="795"/>
        <v/>
      </c>
    </row>
    <row r="1388" spans="1:65">
      <c r="A1388" s="473">
        <v>1332</v>
      </c>
      <c r="B1388" s="132"/>
      <c r="C1388" s="332"/>
      <c r="D1388" s="333"/>
      <c r="E1388" s="333"/>
      <c r="F1388" s="334"/>
      <c r="G1388" s="337"/>
      <c r="H1388" s="131"/>
      <c r="I1388" s="337"/>
      <c r="J1388" s="131"/>
      <c r="K1388" s="458" t="str">
        <f t="shared" ref="K1388:K1451" si="796">C1388&amp;D1388&amp;E1388&amp;F1388</f>
        <v/>
      </c>
      <c r="L1388" s="458">
        <f t="shared" ref="L1388:L1451" si="797">IF(G1388&gt;0,DATE((G1388),(H1388+1),0),0)</f>
        <v>0</v>
      </c>
      <c r="M1388" s="458">
        <f t="shared" ref="M1388:M1451" si="798">IF(I1388&gt;0,DATE((I1388),(J1388+1),0),0)</f>
        <v>0</v>
      </c>
      <c r="N1388" s="459" t="str">
        <f t="shared" si="771"/>
        <v/>
      </c>
      <c r="O1388" s="459" t="str">
        <f t="shared" si="772"/>
        <v/>
      </c>
      <c r="P1388" s="459" t="str">
        <f t="shared" si="773"/>
        <v/>
      </c>
      <c r="Q1388" s="459" t="str">
        <f t="shared" si="774"/>
        <v/>
      </c>
      <c r="R1388" s="459" t="str">
        <f t="shared" si="775"/>
        <v/>
      </c>
      <c r="S1388" s="459" t="str">
        <f t="shared" si="776"/>
        <v/>
      </c>
      <c r="T1388" s="566" t="str">
        <f t="shared" ref="T1388:T1451" si="799">N1388&amp;O1388&amp;P1388&amp;Q1388&amp;R1388&amp;S1388</f>
        <v/>
      </c>
      <c r="U1388" s="702"/>
      <c r="V1388" s="132"/>
      <c r="W1388" s="133"/>
      <c r="X1388" s="134"/>
      <c r="Y1388" s="135"/>
      <c r="Z1388" s="137"/>
      <c r="AA1388" s="136"/>
      <c r="AB1388" s="566" t="str">
        <f t="shared" ref="AB1388:AB1451" si="800">IF(AS1388="","",IF(AZ1388=1,VLOOKUP(BA1388,低公害車判別,2,FALSE),IF(AZ1388=3,VLOOKUP(BA1388,低公害車判別,2,FALSE),IF(AZ1388=4,VLOOKUP(BB1388,低公害車判別,2,FALSE),"低公害車"))))</f>
        <v/>
      </c>
      <c r="AC1388" s="568" t="str">
        <f t="shared" ref="AC1388:AC1451" si="801">IF(AS1388="","",IF((BA1388="")+(BA1388="－"),IF((BB1388="")+(BB1388=0),"－",BB1388),IF((BA1388="PM☆☆☆")+(BA1388="☆及びPM☆☆☆")+(BA1388="☆☆及びPM☆☆☆")+(BA1388="☆☆☆及びPM☆☆☆"),"PM☆☆☆",IF((BA1388="PM☆☆☆☆")+(BA1388="☆及びPM☆☆☆☆")+(BA1388="☆☆及びPM☆☆☆☆")+(BA1388="☆☆☆及びPM☆☆☆☆"),"PM☆☆☆☆",IF((BA1388="新☆")+(BA1388="新NOx☆")+(BA1388="新PM☆"),"新☆（新長期）",BA1388)))))</f>
        <v/>
      </c>
      <c r="AD1388" s="137"/>
      <c r="AE1388" s="137"/>
      <c r="AF1388" s="138"/>
      <c r="AG1388" s="138"/>
      <c r="AH1388" s="592" t="str">
        <f t="shared" ref="AH1388:AH1451" si="802">IF(C1388="","",IF(LEFT(C1388,2)="横浜","○",""))</f>
        <v/>
      </c>
      <c r="AI1388" s="592" t="str">
        <f t="shared" ref="AI1388:AI1451" si="803">IF(C1388="","",IF(LEFT(C1388,2)="川崎","○",""))</f>
        <v/>
      </c>
      <c r="AJ1388" s="592" t="str">
        <f t="shared" ref="AJ1388:AJ1451" si="804">IF(C1388="","",IF(OR(AH1388="○",AI1388="○"),"","○"))</f>
        <v/>
      </c>
      <c r="AK1388" s="460" t="str">
        <f>IF(AU1388="","",IF(OR(AZ1388=8,AZ1388=9),0,IF(OR(AW1388=3,AW1388=4,AW1388=5,AW1388=6),IF(LEFT(BF1388,1)="1",INDEX(係数_NOX・PM低減,MATCH(AY1388,【参考】排出係数!$AI$801:$AI$804,1),1),VLOOKUP(AU1388,INDEX((係数_バス貨物_ガソリン,係数_バス貨物_CNG,係数_バス貨物_軽油,係数_バス貨物_メタノール,係数_バス貨物_LPG),MATCH(AY1388,【参考】排出係数!$AI$4:$AI$671,1),1,BE1388):INDEX((係数_バス貨物_ガソリン,係数_バス貨物_CNG,係数_バス貨物_軽油,係数_バス貨物_メタノール,係数_バス貨物_LPG),MATCH(AY1388+1,【参考】排出係数!$AI$4:$AI$671,1)-1,5,BE1388),4,FALSE)),IF(AND(BE1388=3,LEFT(BF1388,1)="1"),0.48,VLOOKUP(AU1388,INDEX((係数_乗用_ガソリン,係数_乗用_CNG,係数_乗用_軽油,係数_乗用_メタノール,係数_乗用_LPG),1,1,BE1388):INDEX((係数_乗用_ガソリン,係数_乗用_CNG,係数_乗用_軽油,係数_乗用_メタノール,係数_乗用_LPG),125,5,BE1388),4,FALSE)))))</f>
        <v/>
      </c>
      <c r="AL1388" s="461" t="str">
        <f t="shared" ref="AL1388:AL1451" si="805">IF(AU1388="","",IF(Z1388&lt;=3.5*1000,AD1388*AK1388/1000,IF(Z1388&gt;3.5*1000,AD1388*Z1388*AK1388/1000/1000)))</f>
        <v/>
      </c>
      <c r="AM1388" s="460" t="str">
        <f>IF(AU1388="","",IF(OR(AZ1388=8,AZ1388=9),0,IF(OR(AW1388=3,AW1388=4,AW1388=5,AW1388=6),IF(LEFT(BH1388,1)="1",INDEX(係数_PM低減,MATCH(AY1388,【参考】排出係数!$AI$801:$AI$804,1),MATCH(BI1388,【参考】排出係数!$AL$798:$AO$798,1)),VLOOKUP(AU1388,INDEX((係数_バス貨物_ガソリン,係数_バス貨物_CNG,係数_バス貨物_軽油,係数_バス貨物_メタノール,係数_バス貨物_LPG),MATCH(AY1388,【参考】排出係数!$AI$4:$AI$671,1),1,BE1388):INDEX((係数_バス貨物_ガソリン,係数_バス貨物_CNG,係数_バス貨物_軽油,係数_バス貨物_メタノール,係数_バス貨物_LPG),MATCH(AY1388+1,【参考】排出係数!$AI$4:$AI$671,1)-1,5,BE1388),5,FALSE)),IF(AND(BE1388=3,LEFT(BF1388,1)="1"),0.055,VLOOKUP(AU1388,INDEX((係数_乗用_ガソリン,係数_乗用_CNG,係数_乗用_軽油,係数_乗用_メタノール,係数_乗用_LPG),1,1,BE1388):INDEX((係数_乗用_ガソリン,係数_乗用_CNG,係数_乗用_軽油,係数_乗用_メタノール,係数_乗用_LPG),125,5,BE1388),5,FALSE)))))</f>
        <v/>
      </c>
      <c r="AN1388" s="461" t="str">
        <f t="shared" ref="AN1388:AN1451" si="806">IF(AU1388="","",IF(Z1388&lt;=3.5*1000,AD1388*AM1388/1000,IF(Z1388&gt;3.5*1000,AD1388*Z1388*AM1388/1000/1000)))</f>
        <v/>
      </c>
      <c r="AO1388" s="462" t="str">
        <f t="shared" ref="AO1388:AO1451" si="807">IF(AU1388="","",IF(Z1388&lt;500,"車両重量",IF(OR(AZ1388=8,AZ1388=9),0,IF(OR(AZ1388=1,AZ1388=2,AZ1388=11),2.32,IF(OR(AZ1388=4,AZ1388=5,AZ1388=11),2.58,IF(AZ1388=3,3,IF(AZ1388=6,2.23,IF(AZ1388=7,1.37,0))))))))</f>
        <v/>
      </c>
      <c r="AP1388" s="463" t="str">
        <f t="shared" ref="AP1388:AP1451" si="808">IF(AU1388="","",AE1388*AO1388/1000)</f>
        <v/>
      </c>
      <c r="AQ1388" s="464"/>
      <c r="AR1388" s="619"/>
      <c r="AS1388" s="465" t="str">
        <f t="shared" si="778"/>
        <v/>
      </c>
      <c r="AT1388" s="465" t="str">
        <f t="shared" si="779"/>
        <v/>
      </c>
      <c r="AU1388" s="466" t="str">
        <f t="shared" si="780"/>
        <v/>
      </c>
      <c r="AV1388" s="467" t="str">
        <f t="shared" si="781"/>
        <v/>
      </c>
      <c r="AW1388" s="467" t="str">
        <f t="shared" si="782"/>
        <v/>
      </c>
      <c r="AX1388" s="467" t="str">
        <f t="shared" si="783"/>
        <v/>
      </c>
      <c r="AY1388" s="467" t="str">
        <f t="shared" si="784"/>
        <v/>
      </c>
      <c r="AZ1388" s="467" t="str">
        <f t="shared" si="785"/>
        <v/>
      </c>
      <c r="BA1388" s="468" t="str">
        <f>IF(AS1388="","",IF(OR(AU1388="",AU1388="-"),"－",IF(OR(AZ1388=8,AZ1388=9),"",IF(OR(AW1388=3,AW1388=4,AW1388=5,AW1388=6),VLOOKUP(AU1388,INDEX((係数_バス貨物_ガソリン,係数_バス貨物_CNG,係数_バス貨物_軽油,係数_バス貨物_メタノール,係数_バス貨物_LPG),MATCH(AY1388,【参考】排出係数!$AI$4:$AI$671,1),1,BE1388):INDEX((係数_バス貨物_ガソリン,係数_バス貨物_CNG,係数_バス貨物_軽油,係数_バス貨物_メタノール,係数_バス貨物_LPG),MATCH(AY1388+1,【参考】排出係数!$AI$4:$AI$671,1)-1,5,BE1388),2,FALSE),IF(OR(AW1388=1,AW1388=2),VLOOKUP(AU1388,INDEX((係数_乗用_ガソリン,係数_乗用_CNG,係数_乗用_軽油,係数_乗用_メタノール,係数_乗用_LPG),1,1,BE1388):INDEX((係数_乗用_ガソリン,係数_乗用_CNG,係数_乗用_軽油,係数_乗用_メタノール,係数_乗用_LPG),125,5,BE1388),2,FALSE))))))</f>
        <v/>
      </c>
      <c r="BB1388" s="468" t="str">
        <f>IF(T1388="","",IF(OR(AU1388="",AU1388="-"),"－",IF(OR(AZ1388=8,AZ1388=9),"",IF(OR(AW1388=3,AW1388=4,AW1388=5,AW1388=6),VLOOKUP(AU1388,INDEX((係数_バス貨物_ガソリン,係数_バス貨物_CNG,係数_バス貨物_軽油,係数_バス貨物_メタノール,係数_バス貨物_LPG),MATCH(AY1388,【参考】排出係数!$AI$4:$AI$671,1),1,BE1388):INDEX((係数_バス貨物_ガソリン,係数_バス貨物_CNG,係数_バス貨物_軽油,係数_バス貨物_メタノール,係数_バス貨物_LPG),MATCH(AY1388+1,【参考】排出係数!$AI$4:$AI$671,1)-1,5,BE1388),3,FALSE),IF(OR(AW1388=1,AW1388=2),VLOOKUP(AU1388,INDEX((係数_乗用_ガソリン,係数_乗用_CNG,係数_乗用_軽油,係数_乗用_メタノール,係数_乗用_LPG),1,1,BE1388):INDEX((係数_乗用_ガソリン,係数_乗用_CNG,係数_乗用_軽油,係数_乗用_メタノール,係数_乗用_LPG),125,5,BE1388),3,FALSE))))))</f>
        <v/>
      </c>
      <c r="BC1388" s="467" t="str">
        <f t="shared" si="786"/>
        <v/>
      </c>
      <c r="BD1388" s="567" t="str">
        <f t="shared" si="787"/>
        <v/>
      </c>
      <c r="BE1388" s="467" t="str">
        <f t="shared" si="788"/>
        <v/>
      </c>
      <c r="BF1388" s="469" t="str">
        <f t="shared" ca="1" si="789"/>
        <v/>
      </c>
      <c r="BG1388" s="469" t="str">
        <f t="shared" ca="1" si="790"/>
        <v/>
      </c>
      <c r="BH1388" s="467" t="str">
        <f t="shared" si="791"/>
        <v/>
      </c>
      <c r="BI1388" s="467" t="str">
        <f t="shared" ca="1" si="792"/>
        <v/>
      </c>
      <c r="BJ1388" s="469" t="str">
        <f t="shared" si="793"/>
        <v/>
      </c>
      <c r="BK1388" s="470" t="str">
        <f t="shared" si="777"/>
        <v/>
      </c>
      <c r="BL1388" s="775" t="str">
        <f t="shared" si="794"/>
        <v/>
      </c>
      <c r="BM1388" s="775" t="str">
        <f t="shared" si="795"/>
        <v/>
      </c>
    </row>
    <row r="1389" spans="1:65">
      <c r="A1389" s="473">
        <v>1333</v>
      </c>
      <c r="B1389" s="132"/>
      <c r="C1389" s="332"/>
      <c r="D1389" s="333"/>
      <c r="E1389" s="333"/>
      <c r="F1389" s="334"/>
      <c r="G1389" s="337"/>
      <c r="H1389" s="131"/>
      <c r="I1389" s="337"/>
      <c r="J1389" s="131"/>
      <c r="K1389" s="458" t="str">
        <f t="shared" si="796"/>
        <v/>
      </c>
      <c r="L1389" s="458">
        <f t="shared" si="797"/>
        <v>0</v>
      </c>
      <c r="M1389" s="458">
        <f t="shared" si="798"/>
        <v>0</v>
      </c>
      <c r="N1389" s="459" t="str">
        <f t="shared" si="771"/>
        <v/>
      </c>
      <c r="O1389" s="459" t="str">
        <f t="shared" si="772"/>
        <v/>
      </c>
      <c r="P1389" s="459" t="str">
        <f t="shared" si="773"/>
        <v/>
      </c>
      <c r="Q1389" s="459" t="str">
        <f t="shared" si="774"/>
        <v/>
      </c>
      <c r="R1389" s="459" t="str">
        <f t="shared" si="775"/>
        <v/>
      </c>
      <c r="S1389" s="459" t="str">
        <f t="shared" si="776"/>
        <v/>
      </c>
      <c r="T1389" s="566" t="str">
        <f t="shared" si="799"/>
        <v/>
      </c>
      <c r="U1389" s="702"/>
      <c r="V1389" s="132"/>
      <c r="W1389" s="133"/>
      <c r="X1389" s="134"/>
      <c r="Y1389" s="135"/>
      <c r="Z1389" s="137"/>
      <c r="AA1389" s="136"/>
      <c r="AB1389" s="566" t="str">
        <f t="shared" si="800"/>
        <v/>
      </c>
      <c r="AC1389" s="568" t="str">
        <f t="shared" si="801"/>
        <v/>
      </c>
      <c r="AD1389" s="137"/>
      <c r="AE1389" s="137"/>
      <c r="AF1389" s="138"/>
      <c r="AG1389" s="138"/>
      <c r="AH1389" s="592" t="str">
        <f t="shared" si="802"/>
        <v/>
      </c>
      <c r="AI1389" s="592" t="str">
        <f t="shared" si="803"/>
        <v/>
      </c>
      <c r="AJ1389" s="592" t="str">
        <f t="shared" si="804"/>
        <v/>
      </c>
      <c r="AK1389" s="460" t="str">
        <f>IF(AU1389="","",IF(OR(AZ1389=8,AZ1389=9),0,IF(OR(AW1389=3,AW1389=4,AW1389=5,AW1389=6),IF(LEFT(BF1389,1)="1",INDEX(係数_NOX・PM低減,MATCH(AY1389,【参考】排出係数!$AI$801:$AI$804,1),1),VLOOKUP(AU1389,INDEX((係数_バス貨物_ガソリン,係数_バス貨物_CNG,係数_バス貨物_軽油,係数_バス貨物_メタノール,係数_バス貨物_LPG),MATCH(AY1389,【参考】排出係数!$AI$4:$AI$671,1),1,BE1389):INDEX((係数_バス貨物_ガソリン,係数_バス貨物_CNG,係数_バス貨物_軽油,係数_バス貨物_メタノール,係数_バス貨物_LPG),MATCH(AY1389+1,【参考】排出係数!$AI$4:$AI$671,1)-1,5,BE1389),4,FALSE)),IF(AND(BE1389=3,LEFT(BF1389,1)="1"),0.48,VLOOKUP(AU1389,INDEX((係数_乗用_ガソリン,係数_乗用_CNG,係数_乗用_軽油,係数_乗用_メタノール,係数_乗用_LPG),1,1,BE1389):INDEX((係数_乗用_ガソリン,係数_乗用_CNG,係数_乗用_軽油,係数_乗用_メタノール,係数_乗用_LPG),125,5,BE1389),4,FALSE)))))</f>
        <v/>
      </c>
      <c r="AL1389" s="461" t="str">
        <f t="shared" si="805"/>
        <v/>
      </c>
      <c r="AM1389" s="460" t="str">
        <f>IF(AU1389="","",IF(OR(AZ1389=8,AZ1389=9),0,IF(OR(AW1389=3,AW1389=4,AW1389=5,AW1389=6),IF(LEFT(BH1389,1)="1",INDEX(係数_PM低減,MATCH(AY1389,【参考】排出係数!$AI$801:$AI$804,1),MATCH(BI1389,【参考】排出係数!$AL$798:$AO$798,1)),VLOOKUP(AU1389,INDEX((係数_バス貨物_ガソリン,係数_バス貨物_CNG,係数_バス貨物_軽油,係数_バス貨物_メタノール,係数_バス貨物_LPG),MATCH(AY1389,【参考】排出係数!$AI$4:$AI$671,1),1,BE1389):INDEX((係数_バス貨物_ガソリン,係数_バス貨物_CNG,係数_バス貨物_軽油,係数_バス貨物_メタノール,係数_バス貨物_LPG),MATCH(AY1389+1,【参考】排出係数!$AI$4:$AI$671,1)-1,5,BE1389),5,FALSE)),IF(AND(BE1389=3,LEFT(BF1389,1)="1"),0.055,VLOOKUP(AU1389,INDEX((係数_乗用_ガソリン,係数_乗用_CNG,係数_乗用_軽油,係数_乗用_メタノール,係数_乗用_LPG),1,1,BE1389):INDEX((係数_乗用_ガソリン,係数_乗用_CNG,係数_乗用_軽油,係数_乗用_メタノール,係数_乗用_LPG),125,5,BE1389),5,FALSE)))))</f>
        <v/>
      </c>
      <c r="AN1389" s="461" t="str">
        <f t="shared" si="806"/>
        <v/>
      </c>
      <c r="AO1389" s="462" t="str">
        <f t="shared" si="807"/>
        <v/>
      </c>
      <c r="AP1389" s="463" t="str">
        <f t="shared" si="808"/>
        <v/>
      </c>
      <c r="AQ1389" s="464"/>
      <c r="AR1389" s="619"/>
      <c r="AS1389" s="465" t="str">
        <f t="shared" si="778"/>
        <v/>
      </c>
      <c r="AT1389" s="465" t="str">
        <f t="shared" si="779"/>
        <v/>
      </c>
      <c r="AU1389" s="466" t="str">
        <f t="shared" si="780"/>
        <v/>
      </c>
      <c r="AV1389" s="467" t="str">
        <f t="shared" si="781"/>
        <v/>
      </c>
      <c r="AW1389" s="467" t="str">
        <f t="shared" si="782"/>
        <v/>
      </c>
      <c r="AX1389" s="467" t="str">
        <f t="shared" si="783"/>
        <v/>
      </c>
      <c r="AY1389" s="467" t="str">
        <f t="shared" si="784"/>
        <v/>
      </c>
      <c r="AZ1389" s="467" t="str">
        <f t="shared" si="785"/>
        <v/>
      </c>
      <c r="BA1389" s="468" t="str">
        <f>IF(AS1389="","",IF(OR(AU1389="",AU1389="-"),"－",IF(OR(AZ1389=8,AZ1389=9),"",IF(OR(AW1389=3,AW1389=4,AW1389=5,AW1389=6),VLOOKUP(AU1389,INDEX((係数_バス貨物_ガソリン,係数_バス貨物_CNG,係数_バス貨物_軽油,係数_バス貨物_メタノール,係数_バス貨物_LPG),MATCH(AY1389,【参考】排出係数!$AI$4:$AI$671,1),1,BE1389):INDEX((係数_バス貨物_ガソリン,係数_バス貨物_CNG,係数_バス貨物_軽油,係数_バス貨物_メタノール,係数_バス貨物_LPG),MATCH(AY1389+1,【参考】排出係数!$AI$4:$AI$671,1)-1,5,BE1389),2,FALSE),IF(OR(AW1389=1,AW1389=2),VLOOKUP(AU1389,INDEX((係数_乗用_ガソリン,係数_乗用_CNG,係数_乗用_軽油,係数_乗用_メタノール,係数_乗用_LPG),1,1,BE1389):INDEX((係数_乗用_ガソリン,係数_乗用_CNG,係数_乗用_軽油,係数_乗用_メタノール,係数_乗用_LPG),125,5,BE1389),2,FALSE))))))</f>
        <v/>
      </c>
      <c r="BB1389" s="468" t="str">
        <f>IF(T1389="","",IF(OR(AU1389="",AU1389="-"),"－",IF(OR(AZ1389=8,AZ1389=9),"",IF(OR(AW1389=3,AW1389=4,AW1389=5,AW1389=6),VLOOKUP(AU1389,INDEX((係数_バス貨物_ガソリン,係数_バス貨物_CNG,係数_バス貨物_軽油,係数_バス貨物_メタノール,係数_バス貨物_LPG),MATCH(AY1389,【参考】排出係数!$AI$4:$AI$671,1),1,BE1389):INDEX((係数_バス貨物_ガソリン,係数_バス貨物_CNG,係数_バス貨物_軽油,係数_バス貨物_メタノール,係数_バス貨物_LPG),MATCH(AY1389+1,【参考】排出係数!$AI$4:$AI$671,1)-1,5,BE1389),3,FALSE),IF(OR(AW1389=1,AW1389=2),VLOOKUP(AU1389,INDEX((係数_乗用_ガソリン,係数_乗用_CNG,係数_乗用_軽油,係数_乗用_メタノール,係数_乗用_LPG),1,1,BE1389):INDEX((係数_乗用_ガソリン,係数_乗用_CNG,係数_乗用_軽油,係数_乗用_メタノール,係数_乗用_LPG),125,5,BE1389),3,FALSE))))))</f>
        <v/>
      </c>
      <c r="BC1389" s="467" t="str">
        <f t="shared" si="786"/>
        <v/>
      </c>
      <c r="BD1389" s="567" t="str">
        <f t="shared" si="787"/>
        <v/>
      </c>
      <c r="BE1389" s="467" t="str">
        <f t="shared" si="788"/>
        <v/>
      </c>
      <c r="BF1389" s="469" t="str">
        <f t="shared" ca="1" si="789"/>
        <v/>
      </c>
      <c r="BG1389" s="469" t="str">
        <f t="shared" ca="1" si="790"/>
        <v/>
      </c>
      <c r="BH1389" s="467" t="str">
        <f t="shared" si="791"/>
        <v/>
      </c>
      <c r="BI1389" s="467" t="str">
        <f t="shared" ca="1" si="792"/>
        <v/>
      </c>
      <c r="BJ1389" s="469" t="str">
        <f t="shared" si="793"/>
        <v/>
      </c>
      <c r="BK1389" s="470" t="str">
        <f t="shared" si="777"/>
        <v/>
      </c>
      <c r="BL1389" s="775" t="str">
        <f t="shared" si="794"/>
        <v/>
      </c>
      <c r="BM1389" s="775" t="str">
        <f t="shared" si="795"/>
        <v/>
      </c>
    </row>
    <row r="1390" spans="1:65">
      <c r="A1390" s="473">
        <v>1334</v>
      </c>
      <c r="B1390" s="132"/>
      <c r="C1390" s="332"/>
      <c r="D1390" s="333"/>
      <c r="E1390" s="333"/>
      <c r="F1390" s="334"/>
      <c r="G1390" s="337"/>
      <c r="H1390" s="131"/>
      <c r="I1390" s="337"/>
      <c r="J1390" s="131"/>
      <c r="K1390" s="458" t="str">
        <f t="shared" si="796"/>
        <v/>
      </c>
      <c r="L1390" s="458">
        <f t="shared" si="797"/>
        <v>0</v>
      </c>
      <c r="M1390" s="458">
        <f t="shared" si="798"/>
        <v>0</v>
      </c>
      <c r="N1390" s="459" t="str">
        <f t="shared" si="771"/>
        <v/>
      </c>
      <c r="O1390" s="459" t="str">
        <f t="shared" si="772"/>
        <v/>
      </c>
      <c r="P1390" s="459" t="str">
        <f t="shared" si="773"/>
        <v/>
      </c>
      <c r="Q1390" s="459" t="str">
        <f t="shared" si="774"/>
        <v/>
      </c>
      <c r="R1390" s="459" t="str">
        <f t="shared" si="775"/>
        <v/>
      </c>
      <c r="S1390" s="459" t="str">
        <f t="shared" si="776"/>
        <v/>
      </c>
      <c r="T1390" s="566" t="str">
        <f t="shared" si="799"/>
        <v/>
      </c>
      <c r="U1390" s="702"/>
      <c r="V1390" s="132"/>
      <c r="W1390" s="133"/>
      <c r="X1390" s="134"/>
      <c r="Y1390" s="135"/>
      <c r="Z1390" s="137"/>
      <c r="AA1390" s="136"/>
      <c r="AB1390" s="566" t="str">
        <f t="shared" si="800"/>
        <v/>
      </c>
      <c r="AC1390" s="568" t="str">
        <f t="shared" si="801"/>
        <v/>
      </c>
      <c r="AD1390" s="137"/>
      <c r="AE1390" s="137"/>
      <c r="AF1390" s="138"/>
      <c r="AG1390" s="138"/>
      <c r="AH1390" s="592" t="str">
        <f t="shared" si="802"/>
        <v/>
      </c>
      <c r="AI1390" s="592" t="str">
        <f t="shared" si="803"/>
        <v/>
      </c>
      <c r="AJ1390" s="592" t="str">
        <f t="shared" si="804"/>
        <v/>
      </c>
      <c r="AK1390" s="460" t="str">
        <f>IF(AU1390="","",IF(OR(AZ1390=8,AZ1390=9),0,IF(OR(AW1390=3,AW1390=4,AW1390=5,AW1390=6),IF(LEFT(BF1390,1)="1",INDEX(係数_NOX・PM低減,MATCH(AY1390,【参考】排出係数!$AI$801:$AI$804,1),1),VLOOKUP(AU1390,INDEX((係数_バス貨物_ガソリン,係数_バス貨物_CNG,係数_バス貨物_軽油,係数_バス貨物_メタノール,係数_バス貨物_LPG),MATCH(AY1390,【参考】排出係数!$AI$4:$AI$671,1),1,BE1390):INDEX((係数_バス貨物_ガソリン,係数_バス貨物_CNG,係数_バス貨物_軽油,係数_バス貨物_メタノール,係数_バス貨物_LPG),MATCH(AY1390+1,【参考】排出係数!$AI$4:$AI$671,1)-1,5,BE1390),4,FALSE)),IF(AND(BE1390=3,LEFT(BF1390,1)="1"),0.48,VLOOKUP(AU1390,INDEX((係数_乗用_ガソリン,係数_乗用_CNG,係数_乗用_軽油,係数_乗用_メタノール,係数_乗用_LPG),1,1,BE1390):INDEX((係数_乗用_ガソリン,係数_乗用_CNG,係数_乗用_軽油,係数_乗用_メタノール,係数_乗用_LPG),125,5,BE1390),4,FALSE)))))</f>
        <v/>
      </c>
      <c r="AL1390" s="461" t="str">
        <f t="shared" si="805"/>
        <v/>
      </c>
      <c r="AM1390" s="460" t="str">
        <f>IF(AU1390="","",IF(OR(AZ1390=8,AZ1390=9),0,IF(OR(AW1390=3,AW1390=4,AW1390=5,AW1390=6),IF(LEFT(BH1390,1)="1",INDEX(係数_PM低減,MATCH(AY1390,【参考】排出係数!$AI$801:$AI$804,1),MATCH(BI1390,【参考】排出係数!$AL$798:$AO$798,1)),VLOOKUP(AU1390,INDEX((係数_バス貨物_ガソリン,係数_バス貨物_CNG,係数_バス貨物_軽油,係数_バス貨物_メタノール,係数_バス貨物_LPG),MATCH(AY1390,【参考】排出係数!$AI$4:$AI$671,1),1,BE1390):INDEX((係数_バス貨物_ガソリン,係数_バス貨物_CNG,係数_バス貨物_軽油,係数_バス貨物_メタノール,係数_バス貨物_LPG),MATCH(AY1390+1,【参考】排出係数!$AI$4:$AI$671,1)-1,5,BE1390),5,FALSE)),IF(AND(BE1390=3,LEFT(BF1390,1)="1"),0.055,VLOOKUP(AU1390,INDEX((係数_乗用_ガソリン,係数_乗用_CNG,係数_乗用_軽油,係数_乗用_メタノール,係数_乗用_LPG),1,1,BE1390):INDEX((係数_乗用_ガソリン,係数_乗用_CNG,係数_乗用_軽油,係数_乗用_メタノール,係数_乗用_LPG),125,5,BE1390),5,FALSE)))))</f>
        <v/>
      </c>
      <c r="AN1390" s="461" t="str">
        <f t="shared" si="806"/>
        <v/>
      </c>
      <c r="AO1390" s="462" t="str">
        <f t="shared" si="807"/>
        <v/>
      </c>
      <c r="AP1390" s="463" t="str">
        <f t="shared" si="808"/>
        <v/>
      </c>
      <c r="AQ1390" s="464"/>
      <c r="AR1390" s="619"/>
      <c r="AS1390" s="465" t="str">
        <f t="shared" si="778"/>
        <v/>
      </c>
      <c r="AT1390" s="465" t="str">
        <f t="shared" si="779"/>
        <v/>
      </c>
      <c r="AU1390" s="466" t="str">
        <f t="shared" si="780"/>
        <v/>
      </c>
      <c r="AV1390" s="467" t="str">
        <f t="shared" si="781"/>
        <v/>
      </c>
      <c r="AW1390" s="467" t="str">
        <f t="shared" si="782"/>
        <v/>
      </c>
      <c r="AX1390" s="467" t="str">
        <f t="shared" si="783"/>
        <v/>
      </c>
      <c r="AY1390" s="467" t="str">
        <f t="shared" si="784"/>
        <v/>
      </c>
      <c r="AZ1390" s="467" t="str">
        <f t="shared" si="785"/>
        <v/>
      </c>
      <c r="BA1390" s="468" t="str">
        <f>IF(AS1390="","",IF(OR(AU1390="",AU1390="-"),"－",IF(OR(AZ1390=8,AZ1390=9),"",IF(OR(AW1390=3,AW1390=4,AW1390=5,AW1390=6),VLOOKUP(AU1390,INDEX((係数_バス貨物_ガソリン,係数_バス貨物_CNG,係数_バス貨物_軽油,係数_バス貨物_メタノール,係数_バス貨物_LPG),MATCH(AY1390,【参考】排出係数!$AI$4:$AI$671,1),1,BE1390):INDEX((係数_バス貨物_ガソリン,係数_バス貨物_CNG,係数_バス貨物_軽油,係数_バス貨物_メタノール,係数_バス貨物_LPG),MATCH(AY1390+1,【参考】排出係数!$AI$4:$AI$671,1)-1,5,BE1390),2,FALSE),IF(OR(AW1390=1,AW1390=2),VLOOKUP(AU1390,INDEX((係数_乗用_ガソリン,係数_乗用_CNG,係数_乗用_軽油,係数_乗用_メタノール,係数_乗用_LPG),1,1,BE1390):INDEX((係数_乗用_ガソリン,係数_乗用_CNG,係数_乗用_軽油,係数_乗用_メタノール,係数_乗用_LPG),125,5,BE1390),2,FALSE))))))</f>
        <v/>
      </c>
      <c r="BB1390" s="468" t="str">
        <f>IF(T1390="","",IF(OR(AU1390="",AU1390="-"),"－",IF(OR(AZ1390=8,AZ1390=9),"",IF(OR(AW1390=3,AW1390=4,AW1390=5,AW1390=6),VLOOKUP(AU1390,INDEX((係数_バス貨物_ガソリン,係数_バス貨物_CNG,係数_バス貨物_軽油,係数_バス貨物_メタノール,係数_バス貨物_LPG),MATCH(AY1390,【参考】排出係数!$AI$4:$AI$671,1),1,BE1390):INDEX((係数_バス貨物_ガソリン,係数_バス貨物_CNG,係数_バス貨物_軽油,係数_バス貨物_メタノール,係数_バス貨物_LPG),MATCH(AY1390+1,【参考】排出係数!$AI$4:$AI$671,1)-1,5,BE1390),3,FALSE),IF(OR(AW1390=1,AW1390=2),VLOOKUP(AU1390,INDEX((係数_乗用_ガソリン,係数_乗用_CNG,係数_乗用_軽油,係数_乗用_メタノール,係数_乗用_LPG),1,1,BE1390):INDEX((係数_乗用_ガソリン,係数_乗用_CNG,係数_乗用_軽油,係数_乗用_メタノール,係数_乗用_LPG),125,5,BE1390),3,FALSE))))))</f>
        <v/>
      </c>
      <c r="BC1390" s="467" t="str">
        <f t="shared" si="786"/>
        <v/>
      </c>
      <c r="BD1390" s="567" t="str">
        <f t="shared" si="787"/>
        <v/>
      </c>
      <c r="BE1390" s="467" t="str">
        <f t="shared" si="788"/>
        <v/>
      </c>
      <c r="BF1390" s="469" t="str">
        <f t="shared" ca="1" si="789"/>
        <v/>
      </c>
      <c r="BG1390" s="469" t="str">
        <f t="shared" ca="1" si="790"/>
        <v/>
      </c>
      <c r="BH1390" s="467" t="str">
        <f t="shared" si="791"/>
        <v/>
      </c>
      <c r="BI1390" s="467" t="str">
        <f t="shared" ca="1" si="792"/>
        <v/>
      </c>
      <c r="BJ1390" s="469" t="str">
        <f t="shared" si="793"/>
        <v/>
      </c>
      <c r="BK1390" s="470" t="str">
        <f t="shared" si="777"/>
        <v/>
      </c>
      <c r="BL1390" s="775" t="str">
        <f t="shared" si="794"/>
        <v/>
      </c>
      <c r="BM1390" s="775" t="str">
        <f t="shared" si="795"/>
        <v/>
      </c>
    </row>
    <row r="1391" spans="1:65">
      <c r="A1391" s="473">
        <v>1335</v>
      </c>
      <c r="B1391" s="132"/>
      <c r="C1391" s="332"/>
      <c r="D1391" s="333"/>
      <c r="E1391" s="333"/>
      <c r="F1391" s="334"/>
      <c r="G1391" s="337"/>
      <c r="H1391" s="131"/>
      <c r="I1391" s="337"/>
      <c r="J1391" s="131"/>
      <c r="K1391" s="458" t="str">
        <f t="shared" si="796"/>
        <v/>
      </c>
      <c r="L1391" s="458">
        <f t="shared" si="797"/>
        <v>0</v>
      </c>
      <c r="M1391" s="458">
        <f t="shared" si="798"/>
        <v>0</v>
      </c>
      <c r="N1391" s="459" t="str">
        <f t="shared" si="771"/>
        <v/>
      </c>
      <c r="O1391" s="459" t="str">
        <f t="shared" si="772"/>
        <v/>
      </c>
      <c r="P1391" s="459" t="str">
        <f t="shared" si="773"/>
        <v/>
      </c>
      <c r="Q1391" s="459" t="str">
        <f t="shared" si="774"/>
        <v/>
      </c>
      <c r="R1391" s="459" t="str">
        <f t="shared" si="775"/>
        <v/>
      </c>
      <c r="S1391" s="459" t="str">
        <f t="shared" si="776"/>
        <v/>
      </c>
      <c r="T1391" s="566" t="str">
        <f t="shared" si="799"/>
        <v/>
      </c>
      <c r="U1391" s="702"/>
      <c r="V1391" s="132"/>
      <c r="W1391" s="133"/>
      <c r="X1391" s="134"/>
      <c r="Y1391" s="135"/>
      <c r="Z1391" s="137"/>
      <c r="AA1391" s="136"/>
      <c r="AB1391" s="566" t="str">
        <f t="shared" si="800"/>
        <v/>
      </c>
      <c r="AC1391" s="568" t="str">
        <f t="shared" si="801"/>
        <v/>
      </c>
      <c r="AD1391" s="137"/>
      <c r="AE1391" s="137"/>
      <c r="AF1391" s="138"/>
      <c r="AG1391" s="138"/>
      <c r="AH1391" s="592" t="str">
        <f t="shared" si="802"/>
        <v/>
      </c>
      <c r="AI1391" s="592" t="str">
        <f t="shared" si="803"/>
        <v/>
      </c>
      <c r="AJ1391" s="592" t="str">
        <f t="shared" si="804"/>
        <v/>
      </c>
      <c r="AK1391" s="460" t="str">
        <f>IF(AU1391="","",IF(OR(AZ1391=8,AZ1391=9),0,IF(OR(AW1391=3,AW1391=4,AW1391=5,AW1391=6),IF(LEFT(BF1391,1)="1",INDEX(係数_NOX・PM低減,MATCH(AY1391,【参考】排出係数!$AI$801:$AI$804,1),1),VLOOKUP(AU1391,INDEX((係数_バス貨物_ガソリン,係数_バス貨物_CNG,係数_バス貨物_軽油,係数_バス貨物_メタノール,係数_バス貨物_LPG),MATCH(AY1391,【参考】排出係数!$AI$4:$AI$671,1),1,BE1391):INDEX((係数_バス貨物_ガソリン,係数_バス貨物_CNG,係数_バス貨物_軽油,係数_バス貨物_メタノール,係数_バス貨物_LPG),MATCH(AY1391+1,【参考】排出係数!$AI$4:$AI$671,1)-1,5,BE1391),4,FALSE)),IF(AND(BE1391=3,LEFT(BF1391,1)="1"),0.48,VLOOKUP(AU1391,INDEX((係数_乗用_ガソリン,係数_乗用_CNG,係数_乗用_軽油,係数_乗用_メタノール,係数_乗用_LPG),1,1,BE1391):INDEX((係数_乗用_ガソリン,係数_乗用_CNG,係数_乗用_軽油,係数_乗用_メタノール,係数_乗用_LPG),125,5,BE1391),4,FALSE)))))</f>
        <v/>
      </c>
      <c r="AL1391" s="461" t="str">
        <f t="shared" si="805"/>
        <v/>
      </c>
      <c r="AM1391" s="460" t="str">
        <f>IF(AU1391="","",IF(OR(AZ1391=8,AZ1391=9),0,IF(OR(AW1391=3,AW1391=4,AW1391=5,AW1391=6),IF(LEFT(BH1391,1)="1",INDEX(係数_PM低減,MATCH(AY1391,【参考】排出係数!$AI$801:$AI$804,1),MATCH(BI1391,【参考】排出係数!$AL$798:$AO$798,1)),VLOOKUP(AU1391,INDEX((係数_バス貨物_ガソリン,係数_バス貨物_CNG,係数_バス貨物_軽油,係数_バス貨物_メタノール,係数_バス貨物_LPG),MATCH(AY1391,【参考】排出係数!$AI$4:$AI$671,1),1,BE1391):INDEX((係数_バス貨物_ガソリン,係数_バス貨物_CNG,係数_バス貨物_軽油,係数_バス貨物_メタノール,係数_バス貨物_LPG),MATCH(AY1391+1,【参考】排出係数!$AI$4:$AI$671,1)-1,5,BE1391),5,FALSE)),IF(AND(BE1391=3,LEFT(BF1391,1)="1"),0.055,VLOOKUP(AU1391,INDEX((係数_乗用_ガソリン,係数_乗用_CNG,係数_乗用_軽油,係数_乗用_メタノール,係数_乗用_LPG),1,1,BE1391):INDEX((係数_乗用_ガソリン,係数_乗用_CNG,係数_乗用_軽油,係数_乗用_メタノール,係数_乗用_LPG),125,5,BE1391),5,FALSE)))))</f>
        <v/>
      </c>
      <c r="AN1391" s="461" t="str">
        <f t="shared" si="806"/>
        <v/>
      </c>
      <c r="AO1391" s="462" t="str">
        <f t="shared" si="807"/>
        <v/>
      </c>
      <c r="AP1391" s="463" t="str">
        <f t="shared" si="808"/>
        <v/>
      </c>
      <c r="AQ1391" s="464"/>
      <c r="AR1391" s="619"/>
      <c r="AS1391" s="465" t="str">
        <f t="shared" si="778"/>
        <v/>
      </c>
      <c r="AT1391" s="465" t="str">
        <f t="shared" si="779"/>
        <v/>
      </c>
      <c r="AU1391" s="466" t="str">
        <f t="shared" si="780"/>
        <v/>
      </c>
      <c r="AV1391" s="467" t="str">
        <f t="shared" si="781"/>
        <v/>
      </c>
      <c r="AW1391" s="467" t="str">
        <f t="shared" si="782"/>
        <v/>
      </c>
      <c r="AX1391" s="467" t="str">
        <f t="shared" si="783"/>
        <v/>
      </c>
      <c r="AY1391" s="467" t="str">
        <f t="shared" si="784"/>
        <v/>
      </c>
      <c r="AZ1391" s="467" t="str">
        <f t="shared" si="785"/>
        <v/>
      </c>
      <c r="BA1391" s="468" t="str">
        <f>IF(AS1391="","",IF(OR(AU1391="",AU1391="-"),"－",IF(OR(AZ1391=8,AZ1391=9),"",IF(OR(AW1391=3,AW1391=4,AW1391=5,AW1391=6),VLOOKUP(AU1391,INDEX((係数_バス貨物_ガソリン,係数_バス貨物_CNG,係数_バス貨物_軽油,係数_バス貨物_メタノール,係数_バス貨物_LPG),MATCH(AY1391,【参考】排出係数!$AI$4:$AI$671,1),1,BE1391):INDEX((係数_バス貨物_ガソリン,係数_バス貨物_CNG,係数_バス貨物_軽油,係数_バス貨物_メタノール,係数_バス貨物_LPG),MATCH(AY1391+1,【参考】排出係数!$AI$4:$AI$671,1)-1,5,BE1391),2,FALSE),IF(OR(AW1391=1,AW1391=2),VLOOKUP(AU1391,INDEX((係数_乗用_ガソリン,係数_乗用_CNG,係数_乗用_軽油,係数_乗用_メタノール,係数_乗用_LPG),1,1,BE1391):INDEX((係数_乗用_ガソリン,係数_乗用_CNG,係数_乗用_軽油,係数_乗用_メタノール,係数_乗用_LPG),125,5,BE1391),2,FALSE))))))</f>
        <v/>
      </c>
      <c r="BB1391" s="468" t="str">
        <f>IF(T1391="","",IF(OR(AU1391="",AU1391="-"),"－",IF(OR(AZ1391=8,AZ1391=9),"",IF(OR(AW1391=3,AW1391=4,AW1391=5,AW1391=6),VLOOKUP(AU1391,INDEX((係数_バス貨物_ガソリン,係数_バス貨物_CNG,係数_バス貨物_軽油,係数_バス貨物_メタノール,係数_バス貨物_LPG),MATCH(AY1391,【参考】排出係数!$AI$4:$AI$671,1),1,BE1391):INDEX((係数_バス貨物_ガソリン,係数_バス貨物_CNG,係数_バス貨物_軽油,係数_バス貨物_メタノール,係数_バス貨物_LPG),MATCH(AY1391+1,【参考】排出係数!$AI$4:$AI$671,1)-1,5,BE1391),3,FALSE),IF(OR(AW1391=1,AW1391=2),VLOOKUP(AU1391,INDEX((係数_乗用_ガソリン,係数_乗用_CNG,係数_乗用_軽油,係数_乗用_メタノール,係数_乗用_LPG),1,1,BE1391):INDEX((係数_乗用_ガソリン,係数_乗用_CNG,係数_乗用_軽油,係数_乗用_メタノール,係数_乗用_LPG),125,5,BE1391),3,FALSE))))))</f>
        <v/>
      </c>
      <c r="BC1391" s="467" t="str">
        <f t="shared" si="786"/>
        <v/>
      </c>
      <c r="BD1391" s="567" t="str">
        <f t="shared" si="787"/>
        <v/>
      </c>
      <c r="BE1391" s="467" t="str">
        <f t="shared" si="788"/>
        <v/>
      </c>
      <c r="BF1391" s="469" t="str">
        <f t="shared" ca="1" si="789"/>
        <v/>
      </c>
      <c r="BG1391" s="469" t="str">
        <f t="shared" ca="1" si="790"/>
        <v/>
      </c>
      <c r="BH1391" s="467" t="str">
        <f t="shared" si="791"/>
        <v/>
      </c>
      <c r="BI1391" s="467" t="str">
        <f t="shared" ca="1" si="792"/>
        <v/>
      </c>
      <c r="BJ1391" s="469" t="str">
        <f t="shared" si="793"/>
        <v/>
      </c>
      <c r="BK1391" s="470" t="str">
        <f t="shared" si="777"/>
        <v/>
      </c>
      <c r="BL1391" s="775" t="str">
        <f t="shared" si="794"/>
        <v/>
      </c>
      <c r="BM1391" s="775" t="str">
        <f t="shared" si="795"/>
        <v/>
      </c>
    </row>
    <row r="1392" spans="1:65">
      <c r="A1392" s="473">
        <v>1336</v>
      </c>
      <c r="B1392" s="132"/>
      <c r="C1392" s="332"/>
      <c r="D1392" s="333"/>
      <c r="E1392" s="333"/>
      <c r="F1392" s="334"/>
      <c r="G1392" s="337"/>
      <c r="H1392" s="131"/>
      <c r="I1392" s="337"/>
      <c r="J1392" s="131"/>
      <c r="K1392" s="458" t="str">
        <f t="shared" si="796"/>
        <v/>
      </c>
      <c r="L1392" s="458">
        <f t="shared" si="797"/>
        <v>0</v>
      </c>
      <c r="M1392" s="458">
        <f t="shared" si="798"/>
        <v>0</v>
      </c>
      <c r="N1392" s="459" t="str">
        <f t="shared" si="771"/>
        <v/>
      </c>
      <c r="O1392" s="459" t="str">
        <f t="shared" si="772"/>
        <v/>
      </c>
      <c r="P1392" s="459" t="str">
        <f t="shared" si="773"/>
        <v/>
      </c>
      <c r="Q1392" s="459" t="str">
        <f t="shared" si="774"/>
        <v/>
      </c>
      <c r="R1392" s="459" t="str">
        <f t="shared" si="775"/>
        <v/>
      </c>
      <c r="S1392" s="459" t="str">
        <f t="shared" si="776"/>
        <v/>
      </c>
      <c r="T1392" s="566" t="str">
        <f t="shared" si="799"/>
        <v/>
      </c>
      <c r="U1392" s="702"/>
      <c r="V1392" s="132"/>
      <c r="W1392" s="133"/>
      <c r="X1392" s="134"/>
      <c r="Y1392" s="135"/>
      <c r="Z1392" s="137"/>
      <c r="AA1392" s="136"/>
      <c r="AB1392" s="566" t="str">
        <f t="shared" si="800"/>
        <v/>
      </c>
      <c r="AC1392" s="568" t="str">
        <f t="shared" si="801"/>
        <v/>
      </c>
      <c r="AD1392" s="137"/>
      <c r="AE1392" s="137"/>
      <c r="AF1392" s="138"/>
      <c r="AG1392" s="138"/>
      <c r="AH1392" s="592" t="str">
        <f t="shared" si="802"/>
        <v/>
      </c>
      <c r="AI1392" s="592" t="str">
        <f t="shared" si="803"/>
        <v/>
      </c>
      <c r="AJ1392" s="592" t="str">
        <f t="shared" si="804"/>
        <v/>
      </c>
      <c r="AK1392" s="460" t="str">
        <f>IF(AU1392="","",IF(OR(AZ1392=8,AZ1392=9),0,IF(OR(AW1392=3,AW1392=4,AW1392=5,AW1392=6),IF(LEFT(BF1392,1)="1",INDEX(係数_NOX・PM低減,MATCH(AY1392,【参考】排出係数!$AI$801:$AI$804,1),1),VLOOKUP(AU1392,INDEX((係数_バス貨物_ガソリン,係数_バス貨物_CNG,係数_バス貨物_軽油,係数_バス貨物_メタノール,係数_バス貨物_LPG),MATCH(AY1392,【参考】排出係数!$AI$4:$AI$671,1),1,BE1392):INDEX((係数_バス貨物_ガソリン,係数_バス貨物_CNG,係数_バス貨物_軽油,係数_バス貨物_メタノール,係数_バス貨物_LPG),MATCH(AY1392+1,【参考】排出係数!$AI$4:$AI$671,1)-1,5,BE1392),4,FALSE)),IF(AND(BE1392=3,LEFT(BF1392,1)="1"),0.48,VLOOKUP(AU1392,INDEX((係数_乗用_ガソリン,係数_乗用_CNG,係数_乗用_軽油,係数_乗用_メタノール,係数_乗用_LPG),1,1,BE1392):INDEX((係数_乗用_ガソリン,係数_乗用_CNG,係数_乗用_軽油,係数_乗用_メタノール,係数_乗用_LPG),125,5,BE1392),4,FALSE)))))</f>
        <v/>
      </c>
      <c r="AL1392" s="461" t="str">
        <f t="shared" si="805"/>
        <v/>
      </c>
      <c r="AM1392" s="460" t="str">
        <f>IF(AU1392="","",IF(OR(AZ1392=8,AZ1392=9),0,IF(OR(AW1392=3,AW1392=4,AW1392=5,AW1392=6),IF(LEFT(BH1392,1)="1",INDEX(係数_PM低減,MATCH(AY1392,【参考】排出係数!$AI$801:$AI$804,1),MATCH(BI1392,【参考】排出係数!$AL$798:$AO$798,1)),VLOOKUP(AU1392,INDEX((係数_バス貨物_ガソリン,係数_バス貨物_CNG,係数_バス貨物_軽油,係数_バス貨物_メタノール,係数_バス貨物_LPG),MATCH(AY1392,【参考】排出係数!$AI$4:$AI$671,1),1,BE1392):INDEX((係数_バス貨物_ガソリン,係数_バス貨物_CNG,係数_バス貨物_軽油,係数_バス貨物_メタノール,係数_バス貨物_LPG),MATCH(AY1392+1,【参考】排出係数!$AI$4:$AI$671,1)-1,5,BE1392),5,FALSE)),IF(AND(BE1392=3,LEFT(BF1392,1)="1"),0.055,VLOOKUP(AU1392,INDEX((係数_乗用_ガソリン,係数_乗用_CNG,係数_乗用_軽油,係数_乗用_メタノール,係数_乗用_LPG),1,1,BE1392):INDEX((係数_乗用_ガソリン,係数_乗用_CNG,係数_乗用_軽油,係数_乗用_メタノール,係数_乗用_LPG),125,5,BE1392),5,FALSE)))))</f>
        <v/>
      </c>
      <c r="AN1392" s="461" t="str">
        <f t="shared" si="806"/>
        <v/>
      </c>
      <c r="AO1392" s="462" t="str">
        <f t="shared" si="807"/>
        <v/>
      </c>
      <c r="AP1392" s="463" t="str">
        <f t="shared" si="808"/>
        <v/>
      </c>
      <c r="AQ1392" s="464"/>
      <c r="AR1392" s="619"/>
      <c r="AS1392" s="465" t="str">
        <f t="shared" si="778"/>
        <v/>
      </c>
      <c r="AT1392" s="465" t="str">
        <f t="shared" si="779"/>
        <v/>
      </c>
      <c r="AU1392" s="466" t="str">
        <f t="shared" si="780"/>
        <v/>
      </c>
      <c r="AV1392" s="467" t="str">
        <f t="shared" si="781"/>
        <v/>
      </c>
      <c r="AW1392" s="467" t="str">
        <f t="shared" si="782"/>
        <v/>
      </c>
      <c r="AX1392" s="467" t="str">
        <f t="shared" si="783"/>
        <v/>
      </c>
      <c r="AY1392" s="467" t="str">
        <f t="shared" si="784"/>
        <v/>
      </c>
      <c r="AZ1392" s="467" t="str">
        <f t="shared" si="785"/>
        <v/>
      </c>
      <c r="BA1392" s="468" t="str">
        <f>IF(AS1392="","",IF(OR(AU1392="",AU1392="-"),"－",IF(OR(AZ1392=8,AZ1392=9),"",IF(OR(AW1392=3,AW1392=4,AW1392=5,AW1392=6),VLOOKUP(AU1392,INDEX((係数_バス貨物_ガソリン,係数_バス貨物_CNG,係数_バス貨物_軽油,係数_バス貨物_メタノール,係数_バス貨物_LPG),MATCH(AY1392,【参考】排出係数!$AI$4:$AI$671,1),1,BE1392):INDEX((係数_バス貨物_ガソリン,係数_バス貨物_CNG,係数_バス貨物_軽油,係数_バス貨物_メタノール,係数_バス貨物_LPG),MATCH(AY1392+1,【参考】排出係数!$AI$4:$AI$671,1)-1,5,BE1392),2,FALSE),IF(OR(AW1392=1,AW1392=2),VLOOKUP(AU1392,INDEX((係数_乗用_ガソリン,係数_乗用_CNG,係数_乗用_軽油,係数_乗用_メタノール,係数_乗用_LPG),1,1,BE1392):INDEX((係数_乗用_ガソリン,係数_乗用_CNG,係数_乗用_軽油,係数_乗用_メタノール,係数_乗用_LPG),125,5,BE1392),2,FALSE))))))</f>
        <v/>
      </c>
      <c r="BB1392" s="468" t="str">
        <f>IF(T1392="","",IF(OR(AU1392="",AU1392="-"),"－",IF(OR(AZ1392=8,AZ1392=9),"",IF(OR(AW1392=3,AW1392=4,AW1392=5,AW1392=6),VLOOKUP(AU1392,INDEX((係数_バス貨物_ガソリン,係数_バス貨物_CNG,係数_バス貨物_軽油,係数_バス貨物_メタノール,係数_バス貨物_LPG),MATCH(AY1392,【参考】排出係数!$AI$4:$AI$671,1),1,BE1392):INDEX((係数_バス貨物_ガソリン,係数_バス貨物_CNG,係数_バス貨物_軽油,係数_バス貨物_メタノール,係数_バス貨物_LPG),MATCH(AY1392+1,【参考】排出係数!$AI$4:$AI$671,1)-1,5,BE1392),3,FALSE),IF(OR(AW1392=1,AW1392=2),VLOOKUP(AU1392,INDEX((係数_乗用_ガソリン,係数_乗用_CNG,係数_乗用_軽油,係数_乗用_メタノール,係数_乗用_LPG),1,1,BE1392):INDEX((係数_乗用_ガソリン,係数_乗用_CNG,係数_乗用_軽油,係数_乗用_メタノール,係数_乗用_LPG),125,5,BE1392),3,FALSE))))))</f>
        <v/>
      </c>
      <c r="BC1392" s="467" t="str">
        <f t="shared" si="786"/>
        <v/>
      </c>
      <c r="BD1392" s="567" t="str">
        <f t="shared" si="787"/>
        <v/>
      </c>
      <c r="BE1392" s="467" t="str">
        <f t="shared" si="788"/>
        <v/>
      </c>
      <c r="BF1392" s="469" t="str">
        <f t="shared" ca="1" si="789"/>
        <v/>
      </c>
      <c r="BG1392" s="469" t="str">
        <f t="shared" ca="1" si="790"/>
        <v/>
      </c>
      <c r="BH1392" s="467" t="str">
        <f t="shared" si="791"/>
        <v/>
      </c>
      <c r="BI1392" s="467" t="str">
        <f t="shared" ca="1" si="792"/>
        <v/>
      </c>
      <c r="BJ1392" s="469" t="str">
        <f t="shared" si="793"/>
        <v/>
      </c>
      <c r="BK1392" s="470" t="str">
        <f t="shared" si="777"/>
        <v/>
      </c>
      <c r="BL1392" s="775" t="str">
        <f t="shared" si="794"/>
        <v/>
      </c>
      <c r="BM1392" s="775" t="str">
        <f t="shared" si="795"/>
        <v/>
      </c>
    </row>
    <row r="1393" spans="1:65">
      <c r="A1393" s="473">
        <v>1337</v>
      </c>
      <c r="B1393" s="132"/>
      <c r="C1393" s="332"/>
      <c r="D1393" s="333"/>
      <c r="E1393" s="333"/>
      <c r="F1393" s="334"/>
      <c r="G1393" s="337"/>
      <c r="H1393" s="131"/>
      <c r="I1393" s="337"/>
      <c r="J1393" s="131"/>
      <c r="K1393" s="458" t="str">
        <f t="shared" si="796"/>
        <v/>
      </c>
      <c r="L1393" s="458">
        <f t="shared" si="797"/>
        <v>0</v>
      </c>
      <c r="M1393" s="458">
        <f t="shared" si="798"/>
        <v>0</v>
      </c>
      <c r="N1393" s="459" t="str">
        <f t="shared" si="771"/>
        <v/>
      </c>
      <c r="O1393" s="459" t="str">
        <f t="shared" si="772"/>
        <v/>
      </c>
      <c r="P1393" s="459" t="str">
        <f t="shared" si="773"/>
        <v/>
      </c>
      <c r="Q1393" s="459" t="str">
        <f t="shared" si="774"/>
        <v/>
      </c>
      <c r="R1393" s="459" t="str">
        <f t="shared" si="775"/>
        <v/>
      </c>
      <c r="S1393" s="459" t="str">
        <f t="shared" si="776"/>
        <v/>
      </c>
      <c r="T1393" s="566" t="str">
        <f t="shared" si="799"/>
        <v/>
      </c>
      <c r="U1393" s="702"/>
      <c r="V1393" s="132"/>
      <c r="W1393" s="133"/>
      <c r="X1393" s="134"/>
      <c r="Y1393" s="135"/>
      <c r="Z1393" s="137"/>
      <c r="AA1393" s="136"/>
      <c r="AB1393" s="566" t="str">
        <f t="shared" si="800"/>
        <v/>
      </c>
      <c r="AC1393" s="568" t="str">
        <f t="shared" si="801"/>
        <v/>
      </c>
      <c r="AD1393" s="137"/>
      <c r="AE1393" s="137"/>
      <c r="AF1393" s="138"/>
      <c r="AG1393" s="138"/>
      <c r="AH1393" s="592" t="str">
        <f t="shared" si="802"/>
        <v/>
      </c>
      <c r="AI1393" s="592" t="str">
        <f t="shared" si="803"/>
        <v/>
      </c>
      <c r="AJ1393" s="592" t="str">
        <f t="shared" si="804"/>
        <v/>
      </c>
      <c r="AK1393" s="460" t="str">
        <f>IF(AU1393="","",IF(OR(AZ1393=8,AZ1393=9),0,IF(OR(AW1393=3,AW1393=4,AW1393=5,AW1393=6),IF(LEFT(BF1393,1)="1",INDEX(係数_NOX・PM低減,MATCH(AY1393,【参考】排出係数!$AI$801:$AI$804,1),1),VLOOKUP(AU1393,INDEX((係数_バス貨物_ガソリン,係数_バス貨物_CNG,係数_バス貨物_軽油,係数_バス貨物_メタノール,係数_バス貨物_LPG),MATCH(AY1393,【参考】排出係数!$AI$4:$AI$671,1),1,BE1393):INDEX((係数_バス貨物_ガソリン,係数_バス貨物_CNG,係数_バス貨物_軽油,係数_バス貨物_メタノール,係数_バス貨物_LPG),MATCH(AY1393+1,【参考】排出係数!$AI$4:$AI$671,1)-1,5,BE1393),4,FALSE)),IF(AND(BE1393=3,LEFT(BF1393,1)="1"),0.48,VLOOKUP(AU1393,INDEX((係数_乗用_ガソリン,係数_乗用_CNG,係数_乗用_軽油,係数_乗用_メタノール,係数_乗用_LPG),1,1,BE1393):INDEX((係数_乗用_ガソリン,係数_乗用_CNG,係数_乗用_軽油,係数_乗用_メタノール,係数_乗用_LPG),125,5,BE1393),4,FALSE)))))</f>
        <v/>
      </c>
      <c r="AL1393" s="461" t="str">
        <f t="shared" si="805"/>
        <v/>
      </c>
      <c r="AM1393" s="460" t="str">
        <f>IF(AU1393="","",IF(OR(AZ1393=8,AZ1393=9),0,IF(OR(AW1393=3,AW1393=4,AW1393=5,AW1393=6),IF(LEFT(BH1393,1)="1",INDEX(係数_PM低減,MATCH(AY1393,【参考】排出係数!$AI$801:$AI$804,1),MATCH(BI1393,【参考】排出係数!$AL$798:$AO$798,1)),VLOOKUP(AU1393,INDEX((係数_バス貨物_ガソリン,係数_バス貨物_CNG,係数_バス貨物_軽油,係数_バス貨物_メタノール,係数_バス貨物_LPG),MATCH(AY1393,【参考】排出係数!$AI$4:$AI$671,1),1,BE1393):INDEX((係数_バス貨物_ガソリン,係数_バス貨物_CNG,係数_バス貨物_軽油,係数_バス貨物_メタノール,係数_バス貨物_LPG),MATCH(AY1393+1,【参考】排出係数!$AI$4:$AI$671,1)-1,5,BE1393),5,FALSE)),IF(AND(BE1393=3,LEFT(BF1393,1)="1"),0.055,VLOOKUP(AU1393,INDEX((係数_乗用_ガソリン,係数_乗用_CNG,係数_乗用_軽油,係数_乗用_メタノール,係数_乗用_LPG),1,1,BE1393):INDEX((係数_乗用_ガソリン,係数_乗用_CNG,係数_乗用_軽油,係数_乗用_メタノール,係数_乗用_LPG),125,5,BE1393),5,FALSE)))))</f>
        <v/>
      </c>
      <c r="AN1393" s="461" t="str">
        <f t="shared" si="806"/>
        <v/>
      </c>
      <c r="AO1393" s="462" t="str">
        <f t="shared" si="807"/>
        <v/>
      </c>
      <c r="AP1393" s="463" t="str">
        <f t="shared" si="808"/>
        <v/>
      </c>
      <c r="AQ1393" s="464"/>
      <c r="AR1393" s="619"/>
      <c r="AS1393" s="465" t="str">
        <f t="shared" si="778"/>
        <v/>
      </c>
      <c r="AT1393" s="465" t="str">
        <f t="shared" si="779"/>
        <v/>
      </c>
      <c r="AU1393" s="466" t="str">
        <f t="shared" si="780"/>
        <v/>
      </c>
      <c r="AV1393" s="467" t="str">
        <f t="shared" si="781"/>
        <v/>
      </c>
      <c r="AW1393" s="467" t="str">
        <f t="shared" si="782"/>
        <v/>
      </c>
      <c r="AX1393" s="467" t="str">
        <f t="shared" si="783"/>
        <v/>
      </c>
      <c r="AY1393" s="467" t="str">
        <f t="shared" si="784"/>
        <v/>
      </c>
      <c r="AZ1393" s="467" t="str">
        <f t="shared" si="785"/>
        <v/>
      </c>
      <c r="BA1393" s="468" t="str">
        <f>IF(AS1393="","",IF(OR(AU1393="",AU1393="-"),"－",IF(OR(AZ1393=8,AZ1393=9),"",IF(OR(AW1393=3,AW1393=4,AW1393=5,AW1393=6),VLOOKUP(AU1393,INDEX((係数_バス貨物_ガソリン,係数_バス貨物_CNG,係数_バス貨物_軽油,係数_バス貨物_メタノール,係数_バス貨物_LPG),MATCH(AY1393,【参考】排出係数!$AI$4:$AI$671,1),1,BE1393):INDEX((係数_バス貨物_ガソリン,係数_バス貨物_CNG,係数_バス貨物_軽油,係数_バス貨物_メタノール,係数_バス貨物_LPG),MATCH(AY1393+1,【参考】排出係数!$AI$4:$AI$671,1)-1,5,BE1393),2,FALSE),IF(OR(AW1393=1,AW1393=2),VLOOKUP(AU1393,INDEX((係数_乗用_ガソリン,係数_乗用_CNG,係数_乗用_軽油,係数_乗用_メタノール,係数_乗用_LPG),1,1,BE1393):INDEX((係数_乗用_ガソリン,係数_乗用_CNG,係数_乗用_軽油,係数_乗用_メタノール,係数_乗用_LPG),125,5,BE1393),2,FALSE))))))</f>
        <v/>
      </c>
      <c r="BB1393" s="468" t="str">
        <f>IF(T1393="","",IF(OR(AU1393="",AU1393="-"),"－",IF(OR(AZ1393=8,AZ1393=9),"",IF(OR(AW1393=3,AW1393=4,AW1393=5,AW1393=6),VLOOKUP(AU1393,INDEX((係数_バス貨物_ガソリン,係数_バス貨物_CNG,係数_バス貨物_軽油,係数_バス貨物_メタノール,係数_バス貨物_LPG),MATCH(AY1393,【参考】排出係数!$AI$4:$AI$671,1),1,BE1393):INDEX((係数_バス貨物_ガソリン,係数_バス貨物_CNG,係数_バス貨物_軽油,係数_バス貨物_メタノール,係数_バス貨物_LPG),MATCH(AY1393+1,【参考】排出係数!$AI$4:$AI$671,1)-1,5,BE1393),3,FALSE),IF(OR(AW1393=1,AW1393=2),VLOOKUP(AU1393,INDEX((係数_乗用_ガソリン,係数_乗用_CNG,係数_乗用_軽油,係数_乗用_メタノール,係数_乗用_LPG),1,1,BE1393):INDEX((係数_乗用_ガソリン,係数_乗用_CNG,係数_乗用_軽油,係数_乗用_メタノール,係数_乗用_LPG),125,5,BE1393),3,FALSE))))))</f>
        <v/>
      </c>
      <c r="BC1393" s="467" t="str">
        <f t="shared" si="786"/>
        <v/>
      </c>
      <c r="BD1393" s="567" t="str">
        <f t="shared" si="787"/>
        <v/>
      </c>
      <c r="BE1393" s="467" t="str">
        <f t="shared" si="788"/>
        <v/>
      </c>
      <c r="BF1393" s="469" t="str">
        <f t="shared" ca="1" si="789"/>
        <v/>
      </c>
      <c r="BG1393" s="469" t="str">
        <f t="shared" ca="1" si="790"/>
        <v/>
      </c>
      <c r="BH1393" s="467" t="str">
        <f t="shared" si="791"/>
        <v/>
      </c>
      <c r="BI1393" s="467" t="str">
        <f t="shared" ca="1" si="792"/>
        <v/>
      </c>
      <c r="BJ1393" s="469" t="str">
        <f t="shared" si="793"/>
        <v/>
      </c>
      <c r="BK1393" s="470" t="str">
        <f t="shared" si="777"/>
        <v/>
      </c>
      <c r="BL1393" s="775" t="str">
        <f t="shared" si="794"/>
        <v/>
      </c>
      <c r="BM1393" s="775" t="str">
        <f t="shared" si="795"/>
        <v/>
      </c>
    </row>
    <row r="1394" spans="1:65">
      <c r="A1394" s="473">
        <v>1338</v>
      </c>
      <c r="B1394" s="132"/>
      <c r="C1394" s="332"/>
      <c r="D1394" s="333"/>
      <c r="E1394" s="333"/>
      <c r="F1394" s="334"/>
      <c r="G1394" s="337"/>
      <c r="H1394" s="131"/>
      <c r="I1394" s="337"/>
      <c r="J1394" s="131"/>
      <c r="K1394" s="458" t="str">
        <f t="shared" si="796"/>
        <v/>
      </c>
      <c r="L1394" s="458">
        <f t="shared" si="797"/>
        <v>0</v>
      </c>
      <c r="M1394" s="458">
        <f t="shared" si="798"/>
        <v>0</v>
      </c>
      <c r="N1394" s="459" t="str">
        <f t="shared" si="771"/>
        <v/>
      </c>
      <c r="O1394" s="459" t="str">
        <f t="shared" si="772"/>
        <v/>
      </c>
      <c r="P1394" s="459" t="str">
        <f t="shared" si="773"/>
        <v/>
      </c>
      <c r="Q1394" s="459" t="str">
        <f t="shared" si="774"/>
        <v/>
      </c>
      <c r="R1394" s="459" t="str">
        <f t="shared" si="775"/>
        <v/>
      </c>
      <c r="S1394" s="459" t="str">
        <f t="shared" si="776"/>
        <v/>
      </c>
      <c r="T1394" s="566" t="str">
        <f t="shared" si="799"/>
        <v/>
      </c>
      <c r="U1394" s="702"/>
      <c r="V1394" s="132"/>
      <c r="W1394" s="133"/>
      <c r="X1394" s="134"/>
      <c r="Y1394" s="135"/>
      <c r="Z1394" s="137"/>
      <c r="AA1394" s="136"/>
      <c r="AB1394" s="566" t="str">
        <f t="shared" si="800"/>
        <v/>
      </c>
      <c r="AC1394" s="568" t="str">
        <f t="shared" si="801"/>
        <v/>
      </c>
      <c r="AD1394" s="137"/>
      <c r="AE1394" s="137"/>
      <c r="AF1394" s="138"/>
      <c r="AG1394" s="138"/>
      <c r="AH1394" s="592" t="str">
        <f t="shared" si="802"/>
        <v/>
      </c>
      <c r="AI1394" s="592" t="str">
        <f t="shared" si="803"/>
        <v/>
      </c>
      <c r="AJ1394" s="592" t="str">
        <f t="shared" si="804"/>
        <v/>
      </c>
      <c r="AK1394" s="460" t="str">
        <f>IF(AU1394="","",IF(OR(AZ1394=8,AZ1394=9),0,IF(OR(AW1394=3,AW1394=4,AW1394=5,AW1394=6),IF(LEFT(BF1394,1)="1",INDEX(係数_NOX・PM低減,MATCH(AY1394,【参考】排出係数!$AI$801:$AI$804,1),1),VLOOKUP(AU1394,INDEX((係数_バス貨物_ガソリン,係数_バス貨物_CNG,係数_バス貨物_軽油,係数_バス貨物_メタノール,係数_バス貨物_LPG),MATCH(AY1394,【参考】排出係数!$AI$4:$AI$671,1),1,BE1394):INDEX((係数_バス貨物_ガソリン,係数_バス貨物_CNG,係数_バス貨物_軽油,係数_バス貨物_メタノール,係数_バス貨物_LPG),MATCH(AY1394+1,【参考】排出係数!$AI$4:$AI$671,1)-1,5,BE1394),4,FALSE)),IF(AND(BE1394=3,LEFT(BF1394,1)="1"),0.48,VLOOKUP(AU1394,INDEX((係数_乗用_ガソリン,係数_乗用_CNG,係数_乗用_軽油,係数_乗用_メタノール,係数_乗用_LPG),1,1,BE1394):INDEX((係数_乗用_ガソリン,係数_乗用_CNG,係数_乗用_軽油,係数_乗用_メタノール,係数_乗用_LPG),125,5,BE1394),4,FALSE)))))</f>
        <v/>
      </c>
      <c r="AL1394" s="461" t="str">
        <f t="shared" si="805"/>
        <v/>
      </c>
      <c r="AM1394" s="460" t="str">
        <f>IF(AU1394="","",IF(OR(AZ1394=8,AZ1394=9),0,IF(OR(AW1394=3,AW1394=4,AW1394=5,AW1394=6),IF(LEFT(BH1394,1)="1",INDEX(係数_PM低減,MATCH(AY1394,【参考】排出係数!$AI$801:$AI$804,1),MATCH(BI1394,【参考】排出係数!$AL$798:$AO$798,1)),VLOOKUP(AU1394,INDEX((係数_バス貨物_ガソリン,係数_バス貨物_CNG,係数_バス貨物_軽油,係数_バス貨物_メタノール,係数_バス貨物_LPG),MATCH(AY1394,【参考】排出係数!$AI$4:$AI$671,1),1,BE1394):INDEX((係数_バス貨物_ガソリン,係数_バス貨物_CNG,係数_バス貨物_軽油,係数_バス貨物_メタノール,係数_バス貨物_LPG),MATCH(AY1394+1,【参考】排出係数!$AI$4:$AI$671,1)-1,5,BE1394),5,FALSE)),IF(AND(BE1394=3,LEFT(BF1394,1)="1"),0.055,VLOOKUP(AU1394,INDEX((係数_乗用_ガソリン,係数_乗用_CNG,係数_乗用_軽油,係数_乗用_メタノール,係数_乗用_LPG),1,1,BE1394):INDEX((係数_乗用_ガソリン,係数_乗用_CNG,係数_乗用_軽油,係数_乗用_メタノール,係数_乗用_LPG),125,5,BE1394),5,FALSE)))))</f>
        <v/>
      </c>
      <c r="AN1394" s="461" t="str">
        <f t="shared" si="806"/>
        <v/>
      </c>
      <c r="AO1394" s="462" t="str">
        <f t="shared" si="807"/>
        <v/>
      </c>
      <c r="AP1394" s="463" t="str">
        <f t="shared" si="808"/>
        <v/>
      </c>
      <c r="AQ1394" s="464"/>
      <c r="AR1394" s="619"/>
      <c r="AS1394" s="465" t="str">
        <f t="shared" si="778"/>
        <v/>
      </c>
      <c r="AT1394" s="465" t="str">
        <f t="shared" si="779"/>
        <v/>
      </c>
      <c r="AU1394" s="466" t="str">
        <f t="shared" si="780"/>
        <v/>
      </c>
      <c r="AV1394" s="467" t="str">
        <f t="shared" si="781"/>
        <v/>
      </c>
      <c r="AW1394" s="467" t="str">
        <f t="shared" si="782"/>
        <v/>
      </c>
      <c r="AX1394" s="467" t="str">
        <f t="shared" si="783"/>
        <v/>
      </c>
      <c r="AY1394" s="467" t="str">
        <f t="shared" si="784"/>
        <v/>
      </c>
      <c r="AZ1394" s="467" t="str">
        <f t="shared" si="785"/>
        <v/>
      </c>
      <c r="BA1394" s="468" t="str">
        <f>IF(AS1394="","",IF(OR(AU1394="",AU1394="-"),"－",IF(OR(AZ1394=8,AZ1394=9),"",IF(OR(AW1394=3,AW1394=4,AW1394=5,AW1394=6),VLOOKUP(AU1394,INDEX((係数_バス貨物_ガソリン,係数_バス貨物_CNG,係数_バス貨物_軽油,係数_バス貨物_メタノール,係数_バス貨物_LPG),MATCH(AY1394,【参考】排出係数!$AI$4:$AI$671,1),1,BE1394):INDEX((係数_バス貨物_ガソリン,係数_バス貨物_CNG,係数_バス貨物_軽油,係数_バス貨物_メタノール,係数_バス貨物_LPG),MATCH(AY1394+1,【参考】排出係数!$AI$4:$AI$671,1)-1,5,BE1394),2,FALSE),IF(OR(AW1394=1,AW1394=2),VLOOKUP(AU1394,INDEX((係数_乗用_ガソリン,係数_乗用_CNG,係数_乗用_軽油,係数_乗用_メタノール,係数_乗用_LPG),1,1,BE1394):INDEX((係数_乗用_ガソリン,係数_乗用_CNG,係数_乗用_軽油,係数_乗用_メタノール,係数_乗用_LPG),125,5,BE1394),2,FALSE))))))</f>
        <v/>
      </c>
      <c r="BB1394" s="468" t="str">
        <f>IF(T1394="","",IF(OR(AU1394="",AU1394="-"),"－",IF(OR(AZ1394=8,AZ1394=9),"",IF(OR(AW1394=3,AW1394=4,AW1394=5,AW1394=6),VLOOKUP(AU1394,INDEX((係数_バス貨物_ガソリン,係数_バス貨物_CNG,係数_バス貨物_軽油,係数_バス貨物_メタノール,係数_バス貨物_LPG),MATCH(AY1394,【参考】排出係数!$AI$4:$AI$671,1),1,BE1394):INDEX((係数_バス貨物_ガソリン,係数_バス貨物_CNG,係数_バス貨物_軽油,係数_バス貨物_メタノール,係数_バス貨物_LPG),MATCH(AY1394+1,【参考】排出係数!$AI$4:$AI$671,1)-1,5,BE1394),3,FALSE),IF(OR(AW1394=1,AW1394=2),VLOOKUP(AU1394,INDEX((係数_乗用_ガソリン,係数_乗用_CNG,係数_乗用_軽油,係数_乗用_メタノール,係数_乗用_LPG),1,1,BE1394):INDEX((係数_乗用_ガソリン,係数_乗用_CNG,係数_乗用_軽油,係数_乗用_メタノール,係数_乗用_LPG),125,5,BE1394),3,FALSE))))))</f>
        <v/>
      </c>
      <c r="BC1394" s="467" t="str">
        <f t="shared" si="786"/>
        <v/>
      </c>
      <c r="BD1394" s="567" t="str">
        <f t="shared" si="787"/>
        <v/>
      </c>
      <c r="BE1394" s="467" t="str">
        <f t="shared" si="788"/>
        <v/>
      </c>
      <c r="BF1394" s="469" t="str">
        <f t="shared" ca="1" si="789"/>
        <v/>
      </c>
      <c r="BG1394" s="469" t="str">
        <f t="shared" ca="1" si="790"/>
        <v/>
      </c>
      <c r="BH1394" s="467" t="str">
        <f t="shared" si="791"/>
        <v/>
      </c>
      <c r="BI1394" s="467" t="str">
        <f t="shared" ca="1" si="792"/>
        <v/>
      </c>
      <c r="BJ1394" s="469" t="str">
        <f t="shared" si="793"/>
        <v/>
      </c>
      <c r="BK1394" s="470" t="str">
        <f t="shared" si="777"/>
        <v/>
      </c>
      <c r="BL1394" s="775" t="str">
        <f t="shared" si="794"/>
        <v/>
      </c>
      <c r="BM1394" s="775" t="str">
        <f t="shared" si="795"/>
        <v/>
      </c>
    </row>
    <row r="1395" spans="1:65">
      <c r="A1395" s="473">
        <v>1339</v>
      </c>
      <c r="B1395" s="132"/>
      <c r="C1395" s="332"/>
      <c r="D1395" s="333"/>
      <c r="E1395" s="333"/>
      <c r="F1395" s="334"/>
      <c r="G1395" s="337"/>
      <c r="H1395" s="131"/>
      <c r="I1395" s="337"/>
      <c r="J1395" s="131"/>
      <c r="K1395" s="458" t="str">
        <f t="shared" si="796"/>
        <v/>
      </c>
      <c r="L1395" s="458">
        <f t="shared" si="797"/>
        <v>0</v>
      </c>
      <c r="M1395" s="458">
        <f t="shared" si="798"/>
        <v>0</v>
      </c>
      <c r="N1395" s="459" t="str">
        <f t="shared" si="771"/>
        <v/>
      </c>
      <c r="O1395" s="459" t="str">
        <f t="shared" si="772"/>
        <v/>
      </c>
      <c r="P1395" s="459" t="str">
        <f t="shared" si="773"/>
        <v/>
      </c>
      <c r="Q1395" s="459" t="str">
        <f t="shared" si="774"/>
        <v/>
      </c>
      <c r="R1395" s="459" t="str">
        <f t="shared" si="775"/>
        <v/>
      </c>
      <c r="S1395" s="459" t="str">
        <f t="shared" si="776"/>
        <v/>
      </c>
      <c r="T1395" s="566" t="str">
        <f t="shared" si="799"/>
        <v/>
      </c>
      <c r="U1395" s="702"/>
      <c r="V1395" s="132"/>
      <c r="W1395" s="133"/>
      <c r="X1395" s="134"/>
      <c r="Y1395" s="135"/>
      <c r="Z1395" s="137"/>
      <c r="AA1395" s="136"/>
      <c r="AB1395" s="566" t="str">
        <f t="shared" si="800"/>
        <v/>
      </c>
      <c r="AC1395" s="568" t="str">
        <f t="shared" si="801"/>
        <v/>
      </c>
      <c r="AD1395" s="137"/>
      <c r="AE1395" s="137"/>
      <c r="AF1395" s="138"/>
      <c r="AG1395" s="138"/>
      <c r="AH1395" s="592" t="str">
        <f t="shared" si="802"/>
        <v/>
      </c>
      <c r="AI1395" s="592" t="str">
        <f t="shared" si="803"/>
        <v/>
      </c>
      <c r="AJ1395" s="592" t="str">
        <f t="shared" si="804"/>
        <v/>
      </c>
      <c r="AK1395" s="460" t="str">
        <f>IF(AU1395="","",IF(OR(AZ1395=8,AZ1395=9),0,IF(OR(AW1395=3,AW1395=4,AW1395=5,AW1395=6),IF(LEFT(BF1395,1)="1",INDEX(係数_NOX・PM低減,MATCH(AY1395,【参考】排出係数!$AI$801:$AI$804,1),1),VLOOKUP(AU1395,INDEX((係数_バス貨物_ガソリン,係数_バス貨物_CNG,係数_バス貨物_軽油,係数_バス貨物_メタノール,係数_バス貨物_LPG),MATCH(AY1395,【参考】排出係数!$AI$4:$AI$671,1),1,BE1395):INDEX((係数_バス貨物_ガソリン,係数_バス貨物_CNG,係数_バス貨物_軽油,係数_バス貨物_メタノール,係数_バス貨物_LPG),MATCH(AY1395+1,【参考】排出係数!$AI$4:$AI$671,1)-1,5,BE1395),4,FALSE)),IF(AND(BE1395=3,LEFT(BF1395,1)="1"),0.48,VLOOKUP(AU1395,INDEX((係数_乗用_ガソリン,係数_乗用_CNG,係数_乗用_軽油,係数_乗用_メタノール,係数_乗用_LPG),1,1,BE1395):INDEX((係数_乗用_ガソリン,係数_乗用_CNG,係数_乗用_軽油,係数_乗用_メタノール,係数_乗用_LPG),125,5,BE1395),4,FALSE)))))</f>
        <v/>
      </c>
      <c r="AL1395" s="461" t="str">
        <f t="shared" si="805"/>
        <v/>
      </c>
      <c r="AM1395" s="460" t="str">
        <f>IF(AU1395="","",IF(OR(AZ1395=8,AZ1395=9),0,IF(OR(AW1395=3,AW1395=4,AW1395=5,AW1395=6),IF(LEFT(BH1395,1)="1",INDEX(係数_PM低減,MATCH(AY1395,【参考】排出係数!$AI$801:$AI$804,1),MATCH(BI1395,【参考】排出係数!$AL$798:$AO$798,1)),VLOOKUP(AU1395,INDEX((係数_バス貨物_ガソリン,係数_バス貨物_CNG,係数_バス貨物_軽油,係数_バス貨物_メタノール,係数_バス貨物_LPG),MATCH(AY1395,【参考】排出係数!$AI$4:$AI$671,1),1,BE1395):INDEX((係数_バス貨物_ガソリン,係数_バス貨物_CNG,係数_バス貨物_軽油,係数_バス貨物_メタノール,係数_バス貨物_LPG),MATCH(AY1395+1,【参考】排出係数!$AI$4:$AI$671,1)-1,5,BE1395),5,FALSE)),IF(AND(BE1395=3,LEFT(BF1395,1)="1"),0.055,VLOOKUP(AU1395,INDEX((係数_乗用_ガソリン,係数_乗用_CNG,係数_乗用_軽油,係数_乗用_メタノール,係数_乗用_LPG),1,1,BE1395):INDEX((係数_乗用_ガソリン,係数_乗用_CNG,係数_乗用_軽油,係数_乗用_メタノール,係数_乗用_LPG),125,5,BE1395),5,FALSE)))))</f>
        <v/>
      </c>
      <c r="AN1395" s="461" t="str">
        <f t="shared" si="806"/>
        <v/>
      </c>
      <c r="AO1395" s="462" t="str">
        <f t="shared" si="807"/>
        <v/>
      </c>
      <c r="AP1395" s="463" t="str">
        <f t="shared" si="808"/>
        <v/>
      </c>
      <c r="AQ1395" s="464"/>
      <c r="AR1395" s="619"/>
      <c r="AS1395" s="465" t="str">
        <f t="shared" si="778"/>
        <v/>
      </c>
      <c r="AT1395" s="465" t="str">
        <f t="shared" si="779"/>
        <v/>
      </c>
      <c r="AU1395" s="466" t="str">
        <f t="shared" si="780"/>
        <v/>
      </c>
      <c r="AV1395" s="467" t="str">
        <f t="shared" si="781"/>
        <v/>
      </c>
      <c r="AW1395" s="467" t="str">
        <f t="shared" si="782"/>
        <v/>
      </c>
      <c r="AX1395" s="467" t="str">
        <f t="shared" si="783"/>
        <v/>
      </c>
      <c r="AY1395" s="467" t="str">
        <f t="shared" si="784"/>
        <v/>
      </c>
      <c r="AZ1395" s="467" t="str">
        <f t="shared" si="785"/>
        <v/>
      </c>
      <c r="BA1395" s="468" t="str">
        <f>IF(AS1395="","",IF(OR(AU1395="",AU1395="-"),"－",IF(OR(AZ1395=8,AZ1395=9),"",IF(OR(AW1395=3,AW1395=4,AW1395=5,AW1395=6),VLOOKUP(AU1395,INDEX((係数_バス貨物_ガソリン,係数_バス貨物_CNG,係数_バス貨物_軽油,係数_バス貨物_メタノール,係数_バス貨物_LPG),MATCH(AY1395,【参考】排出係数!$AI$4:$AI$671,1),1,BE1395):INDEX((係数_バス貨物_ガソリン,係数_バス貨物_CNG,係数_バス貨物_軽油,係数_バス貨物_メタノール,係数_バス貨物_LPG),MATCH(AY1395+1,【参考】排出係数!$AI$4:$AI$671,1)-1,5,BE1395),2,FALSE),IF(OR(AW1395=1,AW1395=2),VLOOKUP(AU1395,INDEX((係数_乗用_ガソリン,係数_乗用_CNG,係数_乗用_軽油,係数_乗用_メタノール,係数_乗用_LPG),1,1,BE1395):INDEX((係数_乗用_ガソリン,係数_乗用_CNG,係数_乗用_軽油,係数_乗用_メタノール,係数_乗用_LPG),125,5,BE1395),2,FALSE))))))</f>
        <v/>
      </c>
      <c r="BB1395" s="468" t="str">
        <f>IF(T1395="","",IF(OR(AU1395="",AU1395="-"),"－",IF(OR(AZ1395=8,AZ1395=9),"",IF(OR(AW1395=3,AW1395=4,AW1395=5,AW1395=6),VLOOKUP(AU1395,INDEX((係数_バス貨物_ガソリン,係数_バス貨物_CNG,係数_バス貨物_軽油,係数_バス貨物_メタノール,係数_バス貨物_LPG),MATCH(AY1395,【参考】排出係数!$AI$4:$AI$671,1),1,BE1395):INDEX((係数_バス貨物_ガソリン,係数_バス貨物_CNG,係数_バス貨物_軽油,係数_バス貨物_メタノール,係数_バス貨物_LPG),MATCH(AY1395+1,【参考】排出係数!$AI$4:$AI$671,1)-1,5,BE1395),3,FALSE),IF(OR(AW1395=1,AW1395=2),VLOOKUP(AU1395,INDEX((係数_乗用_ガソリン,係数_乗用_CNG,係数_乗用_軽油,係数_乗用_メタノール,係数_乗用_LPG),1,1,BE1395):INDEX((係数_乗用_ガソリン,係数_乗用_CNG,係数_乗用_軽油,係数_乗用_メタノール,係数_乗用_LPG),125,5,BE1395),3,FALSE))))))</f>
        <v/>
      </c>
      <c r="BC1395" s="467" t="str">
        <f t="shared" si="786"/>
        <v/>
      </c>
      <c r="BD1395" s="567" t="str">
        <f t="shared" si="787"/>
        <v/>
      </c>
      <c r="BE1395" s="467" t="str">
        <f t="shared" si="788"/>
        <v/>
      </c>
      <c r="BF1395" s="469" t="str">
        <f t="shared" ca="1" si="789"/>
        <v/>
      </c>
      <c r="BG1395" s="469" t="str">
        <f t="shared" ca="1" si="790"/>
        <v/>
      </c>
      <c r="BH1395" s="467" t="str">
        <f t="shared" si="791"/>
        <v/>
      </c>
      <c r="BI1395" s="467" t="str">
        <f t="shared" ca="1" si="792"/>
        <v/>
      </c>
      <c r="BJ1395" s="469" t="str">
        <f t="shared" si="793"/>
        <v/>
      </c>
      <c r="BK1395" s="470" t="str">
        <f t="shared" si="777"/>
        <v/>
      </c>
      <c r="BL1395" s="775" t="str">
        <f t="shared" si="794"/>
        <v/>
      </c>
      <c r="BM1395" s="775" t="str">
        <f t="shared" si="795"/>
        <v/>
      </c>
    </row>
    <row r="1396" spans="1:65">
      <c r="A1396" s="473">
        <v>1340</v>
      </c>
      <c r="B1396" s="132"/>
      <c r="C1396" s="332"/>
      <c r="D1396" s="333"/>
      <c r="E1396" s="333"/>
      <c r="F1396" s="334"/>
      <c r="G1396" s="337"/>
      <c r="H1396" s="131"/>
      <c r="I1396" s="337"/>
      <c r="J1396" s="131"/>
      <c r="K1396" s="458" t="str">
        <f t="shared" si="796"/>
        <v/>
      </c>
      <c r="L1396" s="458">
        <f t="shared" si="797"/>
        <v>0</v>
      </c>
      <c r="M1396" s="458">
        <f t="shared" si="798"/>
        <v>0</v>
      </c>
      <c r="N1396" s="459" t="str">
        <f t="shared" si="771"/>
        <v/>
      </c>
      <c r="O1396" s="459" t="str">
        <f t="shared" si="772"/>
        <v/>
      </c>
      <c r="P1396" s="459" t="str">
        <f t="shared" si="773"/>
        <v/>
      </c>
      <c r="Q1396" s="459" t="str">
        <f t="shared" si="774"/>
        <v/>
      </c>
      <c r="R1396" s="459" t="str">
        <f t="shared" si="775"/>
        <v/>
      </c>
      <c r="S1396" s="459" t="str">
        <f t="shared" si="776"/>
        <v/>
      </c>
      <c r="T1396" s="566" t="str">
        <f t="shared" si="799"/>
        <v/>
      </c>
      <c r="U1396" s="702"/>
      <c r="V1396" s="132"/>
      <c r="W1396" s="133"/>
      <c r="X1396" s="134"/>
      <c r="Y1396" s="135"/>
      <c r="Z1396" s="137"/>
      <c r="AA1396" s="136"/>
      <c r="AB1396" s="566" t="str">
        <f t="shared" si="800"/>
        <v/>
      </c>
      <c r="AC1396" s="568" t="str">
        <f t="shared" si="801"/>
        <v/>
      </c>
      <c r="AD1396" s="137"/>
      <c r="AE1396" s="137"/>
      <c r="AF1396" s="138"/>
      <c r="AG1396" s="138"/>
      <c r="AH1396" s="592" t="str">
        <f t="shared" si="802"/>
        <v/>
      </c>
      <c r="AI1396" s="592" t="str">
        <f t="shared" si="803"/>
        <v/>
      </c>
      <c r="AJ1396" s="592" t="str">
        <f t="shared" si="804"/>
        <v/>
      </c>
      <c r="AK1396" s="460" t="str">
        <f>IF(AU1396="","",IF(OR(AZ1396=8,AZ1396=9),0,IF(OR(AW1396=3,AW1396=4,AW1396=5,AW1396=6),IF(LEFT(BF1396,1)="1",INDEX(係数_NOX・PM低減,MATCH(AY1396,【参考】排出係数!$AI$801:$AI$804,1),1),VLOOKUP(AU1396,INDEX((係数_バス貨物_ガソリン,係数_バス貨物_CNG,係数_バス貨物_軽油,係数_バス貨物_メタノール,係数_バス貨物_LPG),MATCH(AY1396,【参考】排出係数!$AI$4:$AI$671,1),1,BE1396):INDEX((係数_バス貨物_ガソリン,係数_バス貨物_CNG,係数_バス貨物_軽油,係数_バス貨物_メタノール,係数_バス貨物_LPG),MATCH(AY1396+1,【参考】排出係数!$AI$4:$AI$671,1)-1,5,BE1396),4,FALSE)),IF(AND(BE1396=3,LEFT(BF1396,1)="1"),0.48,VLOOKUP(AU1396,INDEX((係数_乗用_ガソリン,係数_乗用_CNG,係数_乗用_軽油,係数_乗用_メタノール,係数_乗用_LPG),1,1,BE1396):INDEX((係数_乗用_ガソリン,係数_乗用_CNG,係数_乗用_軽油,係数_乗用_メタノール,係数_乗用_LPG),125,5,BE1396),4,FALSE)))))</f>
        <v/>
      </c>
      <c r="AL1396" s="461" t="str">
        <f t="shared" si="805"/>
        <v/>
      </c>
      <c r="AM1396" s="460" t="str">
        <f>IF(AU1396="","",IF(OR(AZ1396=8,AZ1396=9),0,IF(OR(AW1396=3,AW1396=4,AW1396=5,AW1396=6),IF(LEFT(BH1396,1)="1",INDEX(係数_PM低減,MATCH(AY1396,【参考】排出係数!$AI$801:$AI$804,1),MATCH(BI1396,【参考】排出係数!$AL$798:$AO$798,1)),VLOOKUP(AU1396,INDEX((係数_バス貨物_ガソリン,係数_バス貨物_CNG,係数_バス貨物_軽油,係数_バス貨物_メタノール,係数_バス貨物_LPG),MATCH(AY1396,【参考】排出係数!$AI$4:$AI$671,1),1,BE1396):INDEX((係数_バス貨物_ガソリン,係数_バス貨物_CNG,係数_バス貨物_軽油,係数_バス貨物_メタノール,係数_バス貨物_LPG),MATCH(AY1396+1,【参考】排出係数!$AI$4:$AI$671,1)-1,5,BE1396),5,FALSE)),IF(AND(BE1396=3,LEFT(BF1396,1)="1"),0.055,VLOOKUP(AU1396,INDEX((係数_乗用_ガソリン,係数_乗用_CNG,係数_乗用_軽油,係数_乗用_メタノール,係数_乗用_LPG),1,1,BE1396):INDEX((係数_乗用_ガソリン,係数_乗用_CNG,係数_乗用_軽油,係数_乗用_メタノール,係数_乗用_LPG),125,5,BE1396),5,FALSE)))))</f>
        <v/>
      </c>
      <c r="AN1396" s="461" t="str">
        <f t="shared" si="806"/>
        <v/>
      </c>
      <c r="AO1396" s="462" t="str">
        <f t="shared" si="807"/>
        <v/>
      </c>
      <c r="AP1396" s="463" t="str">
        <f t="shared" si="808"/>
        <v/>
      </c>
      <c r="AQ1396" s="464"/>
      <c r="AR1396" s="619"/>
      <c r="AS1396" s="465" t="str">
        <f t="shared" si="778"/>
        <v/>
      </c>
      <c r="AT1396" s="465" t="str">
        <f t="shared" si="779"/>
        <v/>
      </c>
      <c r="AU1396" s="466" t="str">
        <f t="shared" si="780"/>
        <v/>
      </c>
      <c r="AV1396" s="467" t="str">
        <f t="shared" si="781"/>
        <v/>
      </c>
      <c r="AW1396" s="467" t="str">
        <f t="shared" si="782"/>
        <v/>
      </c>
      <c r="AX1396" s="467" t="str">
        <f t="shared" si="783"/>
        <v/>
      </c>
      <c r="AY1396" s="467" t="str">
        <f t="shared" si="784"/>
        <v/>
      </c>
      <c r="AZ1396" s="467" t="str">
        <f t="shared" si="785"/>
        <v/>
      </c>
      <c r="BA1396" s="468" t="str">
        <f>IF(AS1396="","",IF(OR(AU1396="",AU1396="-"),"－",IF(OR(AZ1396=8,AZ1396=9),"",IF(OR(AW1396=3,AW1396=4,AW1396=5,AW1396=6),VLOOKUP(AU1396,INDEX((係数_バス貨物_ガソリン,係数_バス貨物_CNG,係数_バス貨物_軽油,係数_バス貨物_メタノール,係数_バス貨物_LPG),MATCH(AY1396,【参考】排出係数!$AI$4:$AI$671,1),1,BE1396):INDEX((係数_バス貨物_ガソリン,係数_バス貨物_CNG,係数_バス貨物_軽油,係数_バス貨物_メタノール,係数_バス貨物_LPG),MATCH(AY1396+1,【参考】排出係数!$AI$4:$AI$671,1)-1,5,BE1396),2,FALSE),IF(OR(AW1396=1,AW1396=2),VLOOKUP(AU1396,INDEX((係数_乗用_ガソリン,係数_乗用_CNG,係数_乗用_軽油,係数_乗用_メタノール,係数_乗用_LPG),1,1,BE1396):INDEX((係数_乗用_ガソリン,係数_乗用_CNG,係数_乗用_軽油,係数_乗用_メタノール,係数_乗用_LPG),125,5,BE1396),2,FALSE))))))</f>
        <v/>
      </c>
      <c r="BB1396" s="468" t="str">
        <f>IF(T1396="","",IF(OR(AU1396="",AU1396="-"),"－",IF(OR(AZ1396=8,AZ1396=9),"",IF(OR(AW1396=3,AW1396=4,AW1396=5,AW1396=6),VLOOKUP(AU1396,INDEX((係数_バス貨物_ガソリン,係数_バス貨物_CNG,係数_バス貨物_軽油,係数_バス貨物_メタノール,係数_バス貨物_LPG),MATCH(AY1396,【参考】排出係数!$AI$4:$AI$671,1),1,BE1396):INDEX((係数_バス貨物_ガソリン,係数_バス貨物_CNG,係数_バス貨物_軽油,係数_バス貨物_メタノール,係数_バス貨物_LPG),MATCH(AY1396+1,【参考】排出係数!$AI$4:$AI$671,1)-1,5,BE1396),3,FALSE),IF(OR(AW1396=1,AW1396=2),VLOOKUP(AU1396,INDEX((係数_乗用_ガソリン,係数_乗用_CNG,係数_乗用_軽油,係数_乗用_メタノール,係数_乗用_LPG),1,1,BE1396):INDEX((係数_乗用_ガソリン,係数_乗用_CNG,係数_乗用_軽油,係数_乗用_メタノール,係数_乗用_LPG),125,5,BE1396),3,FALSE))))))</f>
        <v/>
      </c>
      <c r="BC1396" s="467" t="str">
        <f t="shared" si="786"/>
        <v/>
      </c>
      <c r="BD1396" s="567" t="str">
        <f t="shared" si="787"/>
        <v/>
      </c>
      <c r="BE1396" s="467" t="str">
        <f t="shared" si="788"/>
        <v/>
      </c>
      <c r="BF1396" s="469" t="str">
        <f t="shared" ca="1" si="789"/>
        <v/>
      </c>
      <c r="BG1396" s="469" t="str">
        <f t="shared" ca="1" si="790"/>
        <v/>
      </c>
      <c r="BH1396" s="467" t="str">
        <f t="shared" si="791"/>
        <v/>
      </c>
      <c r="BI1396" s="467" t="str">
        <f t="shared" ca="1" si="792"/>
        <v/>
      </c>
      <c r="BJ1396" s="469" t="str">
        <f t="shared" si="793"/>
        <v/>
      </c>
      <c r="BK1396" s="470" t="str">
        <f t="shared" si="777"/>
        <v/>
      </c>
      <c r="BL1396" s="775" t="str">
        <f t="shared" si="794"/>
        <v/>
      </c>
      <c r="BM1396" s="775" t="str">
        <f t="shared" si="795"/>
        <v/>
      </c>
    </row>
    <row r="1397" spans="1:65">
      <c r="A1397" s="473">
        <v>1341</v>
      </c>
      <c r="B1397" s="132"/>
      <c r="C1397" s="332"/>
      <c r="D1397" s="333"/>
      <c r="E1397" s="333"/>
      <c r="F1397" s="334"/>
      <c r="G1397" s="337"/>
      <c r="H1397" s="131"/>
      <c r="I1397" s="337"/>
      <c r="J1397" s="131"/>
      <c r="K1397" s="458" t="str">
        <f t="shared" si="796"/>
        <v/>
      </c>
      <c r="L1397" s="458">
        <f t="shared" si="797"/>
        <v>0</v>
      </c>
      <c r="M1397" s="458">
        <f t="shared" si="798"/>
        <v>0</v>
      </c>
      <c r="N1397" s="459" t="str">
        <f t="shared" si="771"/>
        <v/>
      </c>
      <c r="O1397" s="459" t="str">
        <f t="shared" si="772"/>
        <v/>
      </c>
      <c r="P1397" s="459" t="str">
        <f t="shared" si="773"/>
        <v/>
      </c>
      <c r="Q1397" s="459" t="str">
        <f t="shared" si="774"/>
        <v/>
      </c>
      <c r="R1397" s="459" t="str">
        <f t="shared" si="775"/>
        <v/>
      </c>
      <c r="S1397" s="459" t="str">
        <f t="shared" si="776"/>
        <v/>
      </c>
      <c r="T1397" s="566" t="str">
        <f t="shared" si="799"/>
        <v/>
      </c>
      <c r="U1397" s="702"/>
      <c r="V1397" s="132"/>
      <c r="W1397" s="133"/>
      <c r="X1397" s="134"/>
      <c r="Y1397" s="135"/>
      <c r="Z1397" s="137"/>
      <c r="AA1397" s="136"/>
      <c r="AB1397" s="566" t="str">
        <f t="shared" si="800"/>
        <v/>
      </c>
      <c r="AC1397" s="568" t="str">
        <f t="shared" si="801"/>
        <v/>
      </c>
      <c r="AD1397" s="137"/>
      <c r="AE1397" s="137"/>
      <c r="AF1397" s="138"/>
      <c r="AG1397" s="138"/>
      <c r="AH1397" s="592" t="str">
        <f t="shared" si="802"/>
        <v/>
      </c>
      <c r="AI1397" s="592" t="str">
        <f t="shared" si="803"/>
        <v/>
      </c>
      <c r="AJ1397" s="592" t="str">
        <f t="shared" si="804"/>
        <v/>
      </c>
      <c r="AK1397" s="460" t="str">
        <f>IF(AU1397="","",IF(OR(AZ1397=8,AZ1397=9),0,IF(OR(AW1397=3,AW1397=4,AW1397=5,AW1397=6),IF(LEFT(BF1397,1)="1",INDEX(係数_NOX・PM低減,MATCH(AY1397,【参考】排出係数!$AI$801:$AI$804,1),1),VLOOKUP(AU1397,INDEX((係数_バス貨物_ガソリン,係数_バス貨物_CNG,係数_バス貨物_軽油,係数_バス貨物_メタノール,係数_バス貨物_LPG),MATCH(AY1397,【参考】排出係数!$AI$4:$AI$671,1),1,BE1397):INDEX((係数_バス貨物_ガソリン,係数_バス貨物_CNG,係数_バス貨物_軽油,係数_バス貨物_メタノール,係数_バス貨物_LPG),MATCH(AY1397+1,【参考】排出係数!$AI$4:$AI$671,1)-1,5,BE1397),4,FALSE)),IF(AND(BE1397=3,LEFT(BF1397,1)="1"),0.48,VLOOKUP(AU1397,INDEX((係数_乗用_ガソリン,係数_乗用_CNG,係数_乗用_軽油,係数_乗用_メタノール,係数_乗用_LPG),1,1,BE1397):INDEX((係数_乗用_ガソリン,係数_乗用_CNG,係数_乗用_軽油,係数_乗用_メタノール,係数_乗用_LPG),125,5,BE1397),4,FALSE)))))</f>
        <v/>
      </c>
      <c r="AL1397" s="461" t="str">
        <f t="shared" si="805"/>
        <v/>
      </c>
      <c r="AM1397" s="460" t="str">
        <f>IF(AU1397="","",IF(OR(AZ1397=8,AZ1397=9),0,IF(OR(AW1397=3,AW1397=4,AW1397=5,AW1397=6),IF(LEFT(BH1397,1)="1",INDEX(係数_PM低減,MATCH(AY1397,【参考】排出係数!$AI$801:$AI$804,1),MATCH(BI1397,【参考】排出係数!$AL$798:$AO$798,1)),VLOOKUP(AU1397,INDEX((係数_バス貨物_ガソリン,係数_バス貨物_CNG,係数_バス貨物_軽油,係数_バス貨物_メタノール,係数_バス貨物_LPG),MATCH(AY1397,【参考】排出係数!$AI$4:$AI$671,1),1,BE1397):INDEX((係数_バス貨物_ガソリン,係数_バス貨物_CNG,係数_バス貨物_軽油,係数_バス貨物_メタノール,係数_バス貨物_LPG),MATCH(AY1397+1,【参考】排出係数!$AI$4:$AI$671,1)-1,5,BE1397),5,FALSE)),IF(AND(BE1397=3,LEFT(BF1397,1)="1"),0.055,VLOOKUP(AU1397,INDEX((係数_乗用_ガソリン,係数_乗用_CNG,係数_乗用_軽油,係数_乗用_メタノール,係数_乗用_LPG),1,1,BE1397):INDEX((係数_乗用_ガソリン,係数_乗用_CNG,係数_乗用_軽油,係数_乗用_メタノール,係数_乗用_LPG),125,5,BE1397),5,FALSE)))))</f>
        <v/>
      </c>
      <c r="AN1397" s="461" t="str">
        <f t="shared" si="806"/>
        <v/>
      </c>
      <c r="AO1397" s="462" t="str">
        <f t="shared" si="807"/>
        <v/>
      </c>
      <c r="AP1397" s="463" t="str">
        <f t="shared" si="808"/>
        <v/>
      </c>
      <c r="AQ1397" s="464"/>
      <c r="AR1397" s="619"/>
      <c r="AS1397" s="465" t="str">
        <f t="shared" si="778"/>
        <v/>
      </c>
      <c r="AT1397" s="465" t="str">
        <f t="shared" si="779"/>
        <v/>
      </c>
      <c r="AU1397" s="466" t="str">
        <f t="shared" si="780"/>
        <v/>
      </c>
      <c r="AV1397" s="467" t="str">
        <f t="shared" si="781"/>
        <v/>
      </c>
      <c r="AW1397" s="467" t="str">
        <f t="shared" si="782"/>
        <v/>
      </c>
      <c r="AX1397" s="467" t="str">
        <f t="shared" si="783"/>
        <v/>
      </c>
      <c r="AY1397" s="467" t="str">
        <f t="shared" si="784"/>
        <v/>
      </c>
      <c r="AZ1397" s="467" t="str">
        <f t="shared" si="785"/>
        <v/>
      </c>
      <c r="BA1397" s="468" t="str">
        <f>IF(AS1397="","",IF(OR(AU1397="",AU1397="-"),"－",IF(OR(AZ1397=8,AZ1397=9),"",IF(OR(AW1397=3,AW1397=4,AW1397=5,AW1397=6),VLOOKUP(AU1397,INDEX((係数_バス貨物_ガソリン,係数_バス貨物_CNG,係数_バス貨物_軽油,係数_バス貨物_メタノール,係数_バス貨物_LPG),MATCH(AY1397,【参考】排出係数!$AI$4:$AI$671,1),1,BE1397):INDEX((係数_バス貨物_ガソリン,係数_バス貨物_CNG,係数_バス貨物_軽油,係数_バス貨物_メタノール,係数_バス貨物_LPG),MATCH(AY1397+1,【参考】排出係数!$AI$4:$AI$671,1)-1,5,BE1397),2,FALSE),IF(OR(AW1397=1,AW1397=2),VLOOKUP(AU1397,INDEX((係数_乗用_ガソリン,係数_乗用_CNG,係数_乗用_軽油,係数_乗用_メタノール,係数_乗用_LPG),1,1,BE1397):INDEX((係数_乗用_ガソリン,係数_乗用_CNG,係数_乗用_軽油,係数_乗用_メタノール,係数_乗用_LPG),125,5,BE1397),2,FALSE))))))</f>
        <v/>
      </c>
      <c r="BB1397" s="468" t="str">
        <f>IF(T1397="","",IF(OR(AU1397="",AU1397="-"),"－",IF(OR(AZ1397=8,AZ1397=9),"",IF(OR(AW1397=3,AW1397=4,AW1397=5,AW1397=6),VLOOKUP(AU1397,INDEX((係数_バス貨物_ガソリン,係数_バス貨物_CNG,係数_バス貨物_軽油,係数_バス貨物_メタノール,係数_バス貨物_LPG),MATCH(AY1397,【参考】排出係数!$AI$4:$AI$671,1),1,BE1397):INDEX((係数_バス貨物_ガソリン,係数_バス貨物_CNG,係数_バス貨物_軽油,係数_バス貨物_メタノール,係数_バス貨物_LPG),MATCH(AY1397+1,【参考】排出係数!$AI$4:$AI$671,1)-1,5,BE1397),3,FALSE),IF(OR(AW1397=1,AW1397=2),VLOOKUP(AU1397,INDEX((係数_乗用_ガソリン,係数_乗用_CNG,係数_乗用_軽油,係数_乗用_メタノール,係数_乗用_LPG),1,1,BE1397):INDEX((係数_乗用_ガソリン,係数_乗用_CNG,係数_乗用_軽油,係数_乗用_メタノール,係数_乗用_LPG),125,5,BE1397),3,FALSE))))))</f>
        <v/>
      </c>
      <c r="BC1397" s="467" t="str">
        <f t="shared" si="786"/>
        <v/>
      </c>
      <c r="BD1397" s="567" t="str">
        <f t="shared" si="787"/>
        <v/>
      </c>
      <c r="BE1397" s="467" t="str">
        <f t="shared" si="788"/>
        <v/>
      </c>
      <c r="BF1397" s="469" t="str">
        <f t="shared" ca="1" si="789"/>
        <v/>
      </c>
      <c r="BG1397" s="469" t="str">
        <f t="shared" ca="1" si="790"/>
        <v/>
      </c>
      <c r="BH1397" s="467" t="str">
        <f t="shared" si="791"/>
        <v/>
      </c>
      <c r="BI1397" s="467" t="str">
        <f t="shared" ca="1" si="792"/>
        <v/>
      </c>
      <c r="BJ1397" s="469" t="str">
        <f t="shared" si="793"/>
        <v/>
      </c>
      <c r="BK1397" s="470" t="str">
        <f t="shared" si="777"/>
        <v/>
      </c>
      <c r="BL1397" s="775" t="str">
        <f t="shared" si="794"/>
        <v/>
      </c>
      <c r="BM1397" s="775" t="str">
        <f t="shared" si="795"/>
        <v/>
      </c>
    </row>
    <row r="1398" spans="1:65">
      <c r="A1398" s="473">
        <v>1342</v>
      </c>
      <c r="B1398" s="132"/>
      <c r="C1398" s="332"/>
      <c r="D1398" s="333"/>
      <c r="E1398" s="333"/>
      <c r="F1398" s="334"/>
      <c r="G1398" s="337"/>
      <c r="H1398" s="131"/>
      <c r="I1398" s="337"/>
      <c r="J1398" s="131"/>
      <c r="K1398" s="458" t="str">
        <f t="shared" si="796"/>
        <v/>
      </c>
      <c r="L1398" s="458">
        <f t="shared" si="797"/>
        <v>0</v>
      </c>
      <c r="M1398" s="458">
        <f t="shared" si="798"/>
        <v>0</v>
      </c>
      <c r="N1398" s="459" t="str">
        <f t="shared" si="771"/>
        <v/>
      </c>
      <c r="O1398" s="459" t="str">
        <f t="shared" si="772"/>
        <v/>
      </c>
      <c r="P1398" s="459" t="str">
        <f t="shared" si="773"/>
        <v/>
      </c>
      <c r="Q1398" s="459" t="str">
        <f t="shared" si="774"/>
        <v/>
      </c>
      <c r="R1398" s="459" t="str">
        <f t="shared" si="775"/>
        <v/>
      </c>
      <c r="S1398" s="459" t="str">
        <f t="shared" si="776"/>
        <v/>
      </c>
      <c r="T1398" s="566" t="str">
        <f t="shared" si="799"/>
        <v/>
      </c>
      <c r="U1398" s="702"/>
      <c r="V1398" s="132"/>
      <c r="W1398" s="133"/>
      <c r="X1398" s="134"/>
      <c r="Y1398" s="135"/>
      <c r="Z1398" s="137"/>
      <c r="AA1398" s="136"/>
      <c r="AB1398" s="566" t="str">
        <f t="shared" si="800"/>
        <v/>
      </c>
      <c r="AC1398" s="568" t="str">
        <f t="shared" si="801"/>
        <v/>
      </c>
      <c r="AD1398" s="137"/>
      <c r="AE1398" s="137"/>
      <c r="AF1398" s="138"/>
      <c r="AG1398" s="138"/>
      <c r="AH1398" s="592" t="str">
        <f t="shared" si="802"/>
        <v/>
      </c>
      <c r="AI1398" s="592" t="str">
        <f t="shared" si="803"/>
        <v/>
      </c>
      <c r="AJ1398" s="592" t="str">
        <f t="shared" si="804"/>
        <v/>
      </c>
      <c r="AK1398" s="460" t="str">
        <f>IF(AU1398="","",IF(OR(AZ1398=8,AZ1398=9),0,IF(OR(AW1398=3,AW1398=4,AW1398=5,AW1398=6),IF(LEFT(BF1398,1)="1",INDEX(係数_NOX・PM低減,MATCH(AY1398,【参考】排出係数!$AI$801:$AI$804,1),1),VLOOKUP(AU1398,INDEX((係数_バス貨物_ガソリン,係数_バス貨物_CNG,係数_バス貨物_軽油,係数_バス貨物_メタノール,係数_バス貨物_LPG),MATCH(AY1398,【参考】排出係数!$AI$4:$AI$671,1),1,BE1398):INDEX((係数_バス貨物_ガソリン,係数_バス貨物_CNG,係数_バス貨物_軽油,係数_バス貨物_メタノール,係数_バス貨物_LPG),MATCH(AY1398+1,【参考】排出係数!$AI$4:$AI$671,1)-1,5,BE1398),4,FALSE)),IF(AND(BE1398=3,LEFT(BF1398,1)="1"),0.48,VLOOKUP(AU1398,INDEX((係数_乗用_ガソリン,係数_乗用_CNG,係数_乗用_軽油,係数_乗用_メタノール,係数_乗用_LPG),1,1,BE1398):INDEX((係数_乗用_ガソリン,係数_乗用_CNG,係数_乗用_軽油,係数_乗用_メタノール,係数_乗用_LPG),125,5,BE1398),4,FALSE)))))</f>
        <v/>
      </c>
      <c r="AL1398" s="461" t="str">
        <f t="shared" si="805"/>
        <v/>
      </c>
      <c r="AM1398" s="460" t="str">
        <f>IF(AU1398="","",IF(OR(AZ1398=8,AZ1398=9),0,IF(OR(AW1398=3,AW1398=4,AW1398=5,AW1398=6),IF(LEFT(BH1398,1)="1",INDEX(係数_PM低減,MATCH(AY1398,【参考】排出係数!$AI$801:$AI$804,1),MATCH(BI1398,【参考】排出係数!$AL$798:$AO$798,1)),VLOOKUP(AU1398,INDEX((係数_バス貨物_ガソリン,係数_バス貨物_CNG,係数_バス貨物_軽油,係数_バス貨物_メタノール,係数_バス貨物_LPG),MATCH(AY1398,【参考】排出係数!$AI$4:$AI$671,1),1,BE1398):INDEX((係数_バス貨物_ガソリン,係数_バス貨物_CNG,係数_バス貨物_軽油,係数_バス貨物_メタノール,係数_バス貨物_LPG),MATCH(AY1398+1,【参考】排出係数!$AI$4:$AI$671,1)-1,5,BE1398),5,FALSE)),IF(AND(BE1398=3,LEFT(BF1398,1)="1"),0.055,VLOOKUP(AU1398,INDEX((係数_乗用_ガソリン,係数_乗用_CNG,係数_乗用_軽油,係数_乗用_メタノール,係数_乗用_LPG),1,1,BE1398):INDEX((係数_乗用_ガソリン,係数_乗用_CNG,係数_乗用_軽油,係数_乗用_メタノール,係数_乗用_LPG),125,5,BE1398),5,FALSE)))))</f>
        <v/>
      </c>
      <c r="AN1398" s="461" t="str">
        <f t="shared" si="806"/>
        <v/>
      </c>
      <c r="AO1398" s="462" t="str">
        <f t="shared" si="807"/>
        <v/>
      </c>
      <c r="AP1398" s="463" t="str">
        <f t="shared" si="808"/>
        <v/>
      </c>
      <c r="AQ1398" s="464"/>
      <c r="AR1398" s="619"/>
      <c r="AS1398" s="465" t="str">
        <f t="shared" si="778"/>
        <v/>
      </c>
      <c r="AT1398" s="465" t="str">
        <f t="shared" si="779"/>
        <v/>
      </c>
      <c r="AU1398" s="466" t="str">
        <f t="shared" si="780"/>
        <v/>
      </c>
      <c r="AV1398" s="467" t="str">
        <f t="shared" si="781"/>
        <v/>
      </c>
      <c r="AW1398" s="467" t="str">
        <f t="shared" si="782"/>
        <v/>
      </c>
      <c r="AX1398" s="467" t="str">
        <f t="shared" si="783"/>
        <v/>
      </c>
      <c r="AY1398" s="467" t="str">
        <f t="shared" si="784"/>
        <v/>
      </c>
      <c r="AZ1398" s="467" t="str">
        <f t="shared" si="785"/>
        <v/>
      </c>
      <c r="BA1398" s="468" t="str">
        <f>IF(AS1398="","",IF(OR(AU1398="",AU1398="-"),"－",IF(OR(AZ1398=8,AZ1398=9),"",IF(OR(AW1398=3,AW1398=4,AW1398=5,AW1398=6),VLOOKUP(AU1398,INDEX((係数_バス貨物_ガソリン,係数_バス貨物_CNG,係数_バス貨物_軽油,係数_バス貨物_メタノール,係数_バス貨物_LPG),MATCH(AY1398,【参考】排出係数!$AI$4:$AI$671,1),1,BE1398):INDEX((係数_バス貨物_ガソリン,係数_バス貨物_CNG,係数_バス貨物_軽油,係数_バス貨物_メタノール,係数_バス貨物_LPG),MATCH(AY1398+1,【参考】排出係数!$AI$4:$AI$671,1)-1,5,BE1398),2,FALSE),IF(OR(AW1398=1,AW1398=2),VLOOKUP(AU1398,INDEX((係数_乗用_ガソリン,係数_乗用_CNG,係数_乗用_軽油,係数_乗用_メタノール,係数_乗用_LPG),1,1,BE1398):INDEX((係数_乗用_ガソリン,係数_乗用_CNG,係数_乗用_軽油,係数_乗用_メタノール,係数_乗用_LPG),125,5,BE1398),2,FALSE))))))</f>
        <v/>
      </c>
      <c r="BB1398" s="468" t="str">
        <f>IF(T1398="","",IF(OR(AU1398="",AU1398="-"),"－",IF(OR(AZ1398=8,AZ1398=9),"",IF(OR(AW1398=3,AW1398=4,AW1398=5,AW1398=6),VLOOKUP(AU1398,INDEX((係数_バス貨物_ガソリン,係数_バス貨物_CNG,係数_バス貨物_軽油,係数_バス貨物_メタノール,係数_バス貨物_LPG),MATCH(AY1398,【参考】排出係数!$AI$4:$AI$671,1),1,BE1398):INDEX((係数_バス貨物_ガソリン,係数_バス貨物_CNG,係数_バス貨物_軽油,係数_バス貨物_メタノール,係数_バス貨物_LPG),MATCH(AY1398+1,【参考】排出係数!$AI$4:$AI$671,1)-1,5,BE1398),3,FALSE),IF(OR(AW1398=1,AW1398=2),VLOOKUP(AU1398,INDEX((係数_乗用_ガソリン,係数_乗用_CNG,係数_乗用_軽油,係数_乗用_メタノール,係数_乗用_LPG),1,1,BE1398):INDEX((係数_乗用_ガソリン,係数_乗用_CNG,係数_乗用_軽油,係数_乗用_メタノール,係数_乗用_LPG),125,5,BE1398),3,FALSE))))))</f>
        <v/>
      </c>
      <c r="BC1398" s="467" t="str">
        <f t="shared" si="786"/>
        <v/>
      </c>
      <c r="BD1398" s="567" t="str">
        <f t="shared" si="787"/>
        <v/>
      </c>
      <c r="BE1398" s="467" t="str">
        <f t="shared" si="788"/>
        <v/>
      </c>
      <c r="BF1398" s="469" t="str">
        <f t="shared" ca="1" si="789"/>
        <v/>
      </c>
      <c r="BG1398" s="469" t="str">
        <f t="shared" ca="1" si="790"/>
        <v/>
      </c>
      <c r="BH1398" s="467" t="str">
        <f t="shared" si="791"/>
        <v/>
      </c>
      <c r="BI1398" s="467" t="str">
        <f t="shared" ca="1" si="792"/>
        <v/>
      </c>
      <c r="BJ1398" s="469" t="str">
        <f t="shared" si="793"/>
        <v/>
      </c>
      <c r="BK1398" s="470" t="str">
        <f t="shared" si="777"/>
        <v/>
      </c>
      <c r="BL1398" s="775" t="str">
        <f t="shared" si="794"/>
        <v/>
      </c>
      <c r="BM1398" s="775" t="str">
        <f t="shared" si="795"/>
        <v/>
      </c>
    </row>
    <row r="1399" spans="1:65">
      <c r="A1399" s="473">
        <v>1343</v>
      </c>
      <c r="B1399" s="132"/>
      <c r="C1399" s="332"/>
      <c r="D1399" s="333"/>
      <c r="E1399" s="333"/>
      <c r="F1399" s="334"/>
      <c r="G1399" s="337"/>
      <c r="H1399" s="131"/>
      <c r="I1399" s="337"/>
      <c r="J1399" s="131"/>
      <c r="K1399" s="458" t="str">
        <f t="shared" si="796"/>
        <v/>
      </c>
      <c r="L1399" s="458">
        <f t="shared" si="797"/>
        <v>0</v>
      </c>
      <c r="M1399" s="458">
        <f t="shared" si="798"/>
        <v>0</v>
      </c>
      <c r="N1399" s="459" t="str">
        <f t="shared" ref="N1399:N1462" si="809">IF(OR($L1399&gt;$U$48,$M1399&gt;$U$48,AND($L1399&gt;$M1399,$M1399&lt;&gt;0),AND($L1399=0,$M1399&lt;&gt;0)),"ERROR","")</f>
        <v/>
      </c>
      <c r="O1399" s="459" t="str">
        <f t="shared" ref="O1399:O1462" si="810">IF(AND($N1399&lt;&gt;"ERROR",$L1399&lt;=$U$49,$M1399&lt;=$U$49,$M1399&lt;&gt;0),"(減車済)","")</f>
        <v/>
      </c>
      <c r="P1399" s="459" t="str">
        <f t="shared" ref="P1399:P1462" si="811">IF(AND($N1399&lt;&gt;"ERROR",$L1399&lt;$U$49,AND($M1399&gt;$U$49,$M1399&lt;=$W$49),$M1399&lt;&gt;0),"減車","")</f>
        <v/>
      </c>
      <c r="Q1399" s="459" t="str">
        <f t="shared" ref="Q1399:Q1462" si="812">IF(AND($N1399&lt;&gt;"ERROR",$L1399&gt;$U$49,$M1399&lt;=$W$49,$M1399&lt;&gt;0),"一時使用","")</f>
        <v/>
      </c>
      <c r="R1399" s="459" t="str">
        <f t="shared" ref="R1399:R1462" si="813">IF(AND($N1399&lt;&gt;"ERROR",AND($L1399&gt;0,$L1399&lt;=$U$49),$M1399=0),"継続","")</f>
        <v/>
      </c>
      <c r="S1399" s="459" t="str">
        <f t="shared" ref="S1399:S1462" si="814">IF(AND($N1399&lt;&gt;"ERROR",AND($L1399&gt;$U$49),$M1399=0),"新規","")</f>
        <v/>
      </c>
      <c r="T1399" s="566" t="str">
        <f t="shared" si="799"/>
        <v/>
      </c>
      <c r="U1399" s="702"/>
      <c r="V1399" s="132"/>
      <c r="W1399" s="133"/>
      <c r="X1399" s="134"/>
      <c r="Y1399" s="135"/>
      <c r="Z1399" s="137"/>
      <c r="AA1399" s="136"/>
      <c r="AB1399" s="566" t="str">
        <f t="shared" si="800"/>
        <v/>
      </c>
      <c r="AC1399" s="568" t="str">
        <f t="shared" si="801"/>
        <v/>
      </c>
      <c r="AD1399" s="137"/>
      <c r="AE1399" s="137"/>
      <c r="AF1399" s="138"/>
      <c r="AG1399" s="138"/>
      <c r="AH1399" s="592" t="str">
        <f t="shared" si="802"/>
        <v/>
      </c>
      <c r="AI1399" s="592" t="str">
        <f t="shared" si="803"/>
        <v/>
      </c>
      <c r="AJ1399" s="592" t="str">
        <f t="shared" si="804"/>
        <v/>
      </c>
      <c r="AK1399" s="460" t="str">
        <f>IF(AU1399="","",IF(OR(AZ1399=8,AZ1399=9),0,IF(OR(AW1399=3,AW1399=4,AW1399=5,AW1399=6),IF(LEFT(BF1399,1)="1",INDEX(係数_NOX・PM低減,MATCH(AY1399,【参考】排出係数!$AI$801:$AI$804,1),1),VLOOKUP(AU1399,INDEX((係数_バス貨物_ガソリン,係数_バス貨物_CNG,係数_バス貨物_軽油,係数_バス貨物_メタノール,係数_バス貨物_LPG),MATCH(AY1399,【参考】排出係数!$AI$4:$AI$671,1),1,BE1399):INDEX((係数_バス貨物_ガソリン,係数_バス貨物_CNG,係数_バス貨物_軽油,係数_バス貨物_メタノール,係数_バス貨物_LPG),MATCH(AY1399+1,【参考】排出係数!$AI$4:$AI$671,1)-1,5,BE1399),4,FALSE)),IF(AND(BE1399=3,LEFT(BF1399,1)="1"),0.48,VLOOKUP(AU1399,INDEX((係数_乗用_ガソリン,係数_乗用_CNG,係数_乗用_軽油,係数_乗用_メタノール,係数_乗用_LPG),1,1,BE1399):INDEX((係数_乗用_ガソリン,係数_乗用_CNG,係数_乗用_軽油,係数_乗用_メタノール,係数_乗用_LPG),125,5,BE1399),4,FALSE)))))</f>
        <v/>
      </c>
      <c r="AL1399" s="461" t="str">
        <f t="shared" si="805"/>
        <v/>
      </c>
      <c r="AM1399" s="460" t="str">
        <f>IF(AU1399="","",IF(OR(AZ1399=8,AZ1399=9),0,IF(OR(AW1399=3,AW1399=4,AW1399=5,AW1399=6),IF(LEFT(BH1399,1)="1",INDEX(係数_PM低減,MATCH(AY1399,【参考】排出係数!$AI$801:$AI$804,1),MATCH(BI1399,【参考】排出係数!$AL$798:$AO$798,1)),VLOOKUP(AU1399,INDEX((係数_バス貨物_ガソリン,係数_バス貨物_CNG,係数_バス貨物_軽油,係数_バス貨物_メタノール,係数_バス貨物_LPG),MATCH(AY1399,【参考】排出係数!$AI$4:$AI$671,1),1,BE1399):INDEX((係数_バス貨物_ガソリン,係数_バス貨物_CNG,係数_バス貨物_軽油,係数_バス貨物_メタノール,係数_バス貨物_LPG),MATCH(AY1399+1,【参考】排出係数!$AI$4:$AI$671,1)-1,5,BE1399),5,FALSE)),IF(AND(BE1399=3,LEFT(BF1399,1)="1"),0.055,VLOOKUP(AU1399,INDEX((係数_乗用_ガソリン,係数_乗用_CNG,係数_乗用_軽油,係数_乗用_メタノール,係数_乗用_LPG),1,1,BE1399):INDEX((係数_乗用_ガソリン,係数_乗用_CNG,係数_乗用_軽油,係数_乗用_メタノール,係数_乗用_LPG),125,5,BE1399),5,FALSE)))))</f>
        <v/>
      </c>
      <c r="AN1399" s="461" t="str">
        <f t="shared" si="806"/>
        <v/>
      </c>
      <c r="AO1399" s="462" t="str">
        <f t="shared" si="807"/>
        <v/>
      </c>
      <c r="AP1399" s="463" t="str">
        <f t="shared" si="808"/>
        <v/>
      </c>
      <c r="AQ1399" s="464"/>
      <c r="AR1399" s="619"/>
      <c r="AS1399" s="465" t="str">
        <f t="shared" si="778"/>
        <v/>
      </c>
      <c r="AT1399" s="465" t="str">
        <f t="shared" si="779"/>
        <v/>
      </c>
      <c r="AU1399" s="466" t="str">
        <f t="shared" si="780"/>
        <v/>
      </c>
      <c r="AV1399" s="467" t="str">
        <f t="shared" si="781"/>
        <v/>
      </c>
      <c r="AW1399" s="467" t="str">
        <f t="shared" si="782"/>
        <v/>
      </c>
      <c r="AX1399" s="467" t="str">
        <f t="shared" si="783"/>
        <v/>
      </c>
      <c r="AY1399" s="467" t="str">
        <f t="shared" si="784"/>
        <v/>
      </c>
      <c r="AZ1399" s="467" t="str">
        <f t="shared" si="785"/>
        <v/>
      </c>
      <c r="BA1399" s="468" t="str">
        <f>IF(AS1399="","",IF(OR(AU1399="",AU1399="-"),"－",IF(OR(AZ1399=8,AZ1399=9),"",IF(OR(AW1399=3,AW1399=4,AW1399=5,AW1399=6),VLOOKUP(AU1399,INDEX((係数_バス貨物_ガソリン,係数_バス貨物_CNG,係数_バス貨物_軽油,係数_バス貨物_メタノール,係数_バス貨物_LPG),MATCH(AY1399,【参考】排出係数!$AI$4:$AI$671,1),1,BE1399):INDEX((係数_バス貨物_ガソリン,係数_バス貨物_CNG,係数_バス貨物_軽油,係数_バス貨物_メタノール,係数_バス貨物_LPG),MATCH(AY1399+1,【参考】排出係数!$AI$4:$AI$671,1)-1,5,BE1399),2,FALSE),IF(OR(AW1399=1,AW1399=2),VLOOKUP(AU1399,INDEX((係数_乗用_ガソリン,係数_乗用_CNG,係数_乗用_軽油,係数_乗用_メタノール,係数_乗用_LPG),1,1,BE1399):INDEX((係数_乗用_ガソリン,係数_乗用_CNG,係数_乗用_軽油,係数_乗用_メタノール,係数_乗用_LPG),125,5,BE1399),2,FALSE))))))</f>
        <v/>
      </c>
      <c r="BB1399" s="468" t="str">
        <f>IF(T1399="","",IF(OR(AU1399="",AU1399="-"),"－",IF(OR(AZ1399=8,AZ1399=9),"",IF(OR(AW1399=3,AW1399=4,AW1399=5,AW1399=6),VLOOKUP(AU1399,INDEX((係数_バス貨物_ガソリン,係数_バス貨物_CNG,係数_バス貨物_軽油,係数_バス貨物_メタノール,係数_バス貨物_LPG),MATCH(AY1399,【参考】排出係数!$AI$4:$AI$671,1),1,BE1399):INDEX((係数_バス貨物_ガソリン,係数_バス貨物_CNG,係数_バス貨物_軽油,係数_バス貨物_メタノール,係数_バス貨物_LPG),MATCH(AY1399+1,【参考】排出係数!$AI$4:$AI$671,1)-1,5,BE1399),3,FALSE),IF(OR(AW1399=1,AW1399=2),VLOOKUP(AU1399,INDEX((係数_乗用_ガソリン,係数_乗用_CNG,係数_乗用_軽油,係数_乗用_メタノール,係数_乗用_LPG),1,1,BE1399):INDEX((係数_乗用_ガソリン,係数_乗用_CNG,係数_乗用_軽油,係数_乗用_メタノール,係数_乗用_LPG),125,5,BE1399),3,FALSE))))))</f>
        <v/>
      </c>
      <c r="BC1399" s="467" t="str">
        <f t="shared" si="786"/>
        <v/>
      </c>
      <c r="BD1399" s="567" t="str">
        <f t="shared" si="787"/>
        <v/>
      </c>
      <c r="BE1399" s="467" t="str">
        <f t="shared" si="788"/>
        <v/>
      </c>
      <c r="BF1399" s="469" t="str">
        <f t="shared" ca="1" si="789"/>
        <v/>
      </c>
      <c r="BG1399" s="469" t="str">
        <f t="shared" ca="1" si="790"/>
        <v/>
      </c>
      <c r="BH1399" s="467" t="str">
        <f t="shared" si="791"/>
        <v/>
      </c>
      <c r="BI1399" s="467" t="str">
        <f t="shared" ca="1" si="792"/>
        <v/>
      </c>
      <c r="BJ1399" s="469" t="str">
        <f t="shared" si="793"/>
        <v/>
      </c>
      <c r="BK1399" s="470" t="str">
        <f t="shared" si="777"/>
        <v/>
      </c>
      <c r="BL1399" s="775" t="str">
        <f t="shared" si="794"/>
        <v/>
      </c>
      <c r="BM1399" s="775" t="str">
        <f t="shared" si="795"/>
        <v/>
      </c>
    </row>
    <row r="1400" spans="1:65">
      <c r="A1400" s="473">
        <v>1344</v>
      </c>
      <c r="B1400" s="132"/>
      <c r="C1400" s="332"/>
      <c r="D1400" s="333"/>
      <c r="E1400" s="333"/>
      <c r="F1400" s="334"/>
      <c r="G1400" s="337"/>
      <c r="H1400" s="131"/>
      <c r="I1400" s="337"/>
      <c r="J1400" s="131"/>
      <c r="K1400" s="458" t="str">
        <f t="shared" si="796"/>
        <v/>
      </c>
      <c r="L1400" s="458">
        <f t="shared" si="797"/>
        <v>0</v>
      </c>
      <c r="M1400" s="458">
        <f t="shared" si="798"/>
        <v>0</v>
      </c>
      <c r="N1400" s="459" t="str">
        <f t="shared" si="809"/>
        <v/>
      </c>
      <c r="O1400" s="459" t="str">
        <f t="shared" si="810"/>
        <v/>
      </c>
      <c r="P1400" s="459" t="str">
        <f t="shared" si="811"/>
        <v/>
      </c>
      <c r="Q1400" s="459" t="str">
        <f t="shared" si="812"/>
        <v/>
      </c>
      <c r="R1400" s="459" t="str">
        <f t="shared" si="813"/>
        <v/>
      </c>
      <c r="S1400" s="459" t="str">
        <f t="shared" si="814"/>
        <v/>
      </c>
      <c r="T1400" s="566" t="str">
        <f t="shared" si="799"/>
        <v/>
      </c>
      <c r="U1400" s="702"/>
      <c r="V1400" s="132"/>
      <c r="W1400" s="133"/>
      <c r="X1400" s="134"/>
      <c r="Y1400" s="135"/>
      <c r="Z1400" s="137"/>
      <c r="AA1400" s="136"/>
      <c r="AB1400" s="566" t="str">
        <f t="shared" si="800"/>
        <v/>
      </c>
      <c r="AC1400" s="568" t="str">
        <f t="shared" si="801"/>
        <v/>
      </c>
      <c r="AD1400" s="137"/>
      <c r="AE1400" s="137"/>
      <c r="AF1400" s="138"/>
      <c r="AG1400" s="138"/>
      <c r="AH1400" s="592" t="str">
        <f t="shared" si="802"/>
        <v/>
      </c>
      <c r="AI1400" s="592" t="str">
        <f t="shared" si="803"/>
        <v/>
      </c>
      <c r="AJ1400" s="592" t="str">
        <f t="shared" si="804"/>
        <v/>
      </c>
      <c r="AK1400" s="460" t="str">
        <f>IF(AU1400="","",IF(OR(AZ1400=8,AZ1400=9),0,IF(OR(AW1400=3,AW1400=4,AW1400=5,AW1400=6),IF(LEFT(BF1400,1)="1",INDEX(係数_NOX・PM低減,MATCH(AY1400,【参考】排出係数!$AI$801:$AI$804,1),1),VLOOKUP(AU1400,INDEX((係数_バス貨物_ガソリン,係数_バス貨物_CNG,係数_バス貨物_軽油,係数_バス貨物_メタノール,係数_バス貨物_LPG),MATCH(AY1400,【参考】排出係数!$AI$4:$AI$671,1),1,BE1400):INDEX((係数_バス貨物_ガソリン,係数_バス貨物_CNG,係数_バス貨物_軽油,係数_バス貨物_メタノール,係数_バス貨物_LPG),MATCH(AY1400+1,【参考】排出係数!$AI$4:$AI$671,1)-1,5,BE1400),4,FALSE)),IF(AND(BE1400=3,LEFT(BF1400,1)="1"),0.48,VLOOKUP(AU1400,INDEX((係数_乗用_ガソリン,係数_乗用_CNG,係数_乗用_軽油,係数_乗用_メタノール,係数_乗用_LPG),1,1,BE1400):INDEX((係数_乗用_ガソリン,係数_乗用_CNG,係数_乗用_軽油,係数_乗用_メタノール,係数_乗用_LPG),125,5,BE1400),4,FALSE)))))</f>
        <v/>
      </c>
      <c r="AL1400" s="461" t="str">
        <f t="shared" si="805"/>
        <v/>
      </c>
      <c r="AM1400" s="460" t="str">
        <f>IF(AU1400="","",IF(OR(AZ1400=8,AZ1400=9),0,IF(OR(AW1400=3,AW1400=4,AW1400=5,AW1400=6),IF(LEFT(BH1400,1)="1",INDEX(係数_PM低減,MATCH(AY1400,【参考】排出係数!$AI$801:$AI$804,1),MATCH(BI1400,【参考】排出係数!$AL$798:$AO$798,1)),VLOOKUP(AU1400,INDEX((係数_バス貨物_ガソリン,係数_バス貨物_CNG,係数_バス貨物_軽油,係数_バス貨物_メタノール,係数_バス貨物_LPG),MATCH(AY1400,【参考】排出係数!$AI$4:$AI$671,1),1,BE1400):INDEX((係数_バス貨物_ガソリン,係数_バス貨物_CNG,係数_バス貨物_軽油,係数_バス貨物_メタノール,係数_バス貨物_LPG),MATCH(AY1400+1,【参考】排出係数!$AI$4:$AI$671,1)-1,5,BE1400),5,FALSE)),IF(AND(BE1400=3,LEFT(BF1400,1)="1"),0.055,VLOOKUP(AU1400,INDEX((係数_乗用_ガソリン,係数_乗用_CNG,係数_乗用_軽油,係数_乗用_メタノール,係数_乗用_LPG),1,1,BE1400):INDEX((係数_乗用_ガソリン,係数_乗用_CNG,係数_乗用_軽油,係数_乗用_メタノール,係数_乗用_LPG),125,5,BE1400),5,FALSE)))))</f>
        <v/>
      </c>
      <c r="AN1400" s="461" t="str">
        <f t="shared" si="806"/>
        <v/>
      </c>
      <c r="AO1400" s="462" t="str">
        <f t="shared" si="807"/>
        <v/>
      </c>
      <c r="AP1400" s="463" t="str">
        <f t="shared" si="808"/>
        <v/>
      </c>
      <c r="AQ1400" s="464"/>
      <c r="AR1400" s="619"/>
      <c r="AS1400" s="465" t="str">
        <f t="shared" si="778"/>
        <v/>
      </c>
      <c r="AT1400" s="465" t="str">
        <f t="shared" si="779"/>
        <v/>
      </c>
      <c r="AU1400" s="466" t="str">
        <f t="shared" si="780"/>
        <v/>
      </c>
      <c r="AV1400" s="467" t="str">
        <f t="shared" si="781"/>
        <v/>
      </c>
      <c r="AW1400" s="467" t="str">
        <f t="shared" si="782"/>
        <v/>
      </c>
      <c r="AX1400" s="467" t="str">
        <f t="shared" si="783"/>
        <v/>
      </c>
      <c r="AY1400" s="467" t="str">
        <f t="shared" si="784"/>
        <v/>
      </c>
      <c r="AZ1400" s="467" t="str">
        <f t="shared" si="785"/>
        <v/>
      </c>
      <c r="BA1400" s="468" t="str">
        <f>IF(AS1400="","",IF(OR(AU1400="",AU1400="-"),"－",IF(OR(AZ1400=8,AZ1400=9),"",IF(OR(AW1400=3,AW1400=4,AW1400=5,AW1400=6),VLOOKUP(AU1400,INDEX((係数_バス貨物_ガソリン,係数_バス貨物_CNG,係数_バス貨物_軽油,係数_バス貨物_メタノール,係数_バス貨物_LPG),MATCH(AY1400,【参考】排出係数!$AI$4:$AI$671,1),1,BE1400):INDEX((係数_バス貨物_ガソリン,係数_バス貨物_CNG,係数_バス貨物_軽油,係数_バス貨物_メタノール,係数_バス貨物_LPG),MATCH(AY1400+1,【参考】排出係数!$AI$4:$AI$671,1)-1,5,BE1400),2,FALSE),IF(OR(AW1400=1,AW1400=2),VLOOKUP(AU1400,INDEX((係数_乗用_ガソリン,係数_乗用_CNG,係数_乗用_軽油,係数_乗用_メタノール,係数_乗用_LPG),1,1,BE1400):INDEX((係数_乗用_ガソリン,係数_乗用_CNG,係数_乗用_軽油,係数_乗用_メタノール,係数_乗用_LPG),125,5,BE1400),2,FALSE))))))</f>
        <v/>
      </c>
      <c r="BB1400" s="468" t="str">
        <f>IF(T1400="","",IF(OR(AU1400="",AU1400="-"),"－",IF(OR(AZ1400=8,AZ1400=9),"",IF(OR(AW1400=3,AW1400=4,AW1400=5,AW1400=6),VLOOKUP(AU1400,INDEX((係数_バス貨物_ガソリン,係数_バス貨物_CNG,係数_バス貨物_軽油,係数_バス貨物_メタノール,係数_バス貨物_LPG),MATCH(AY1400,【参考】排出係数!$AI$4:$AI$671,1),1,BE1400):INDEX((係数_バス貨物_ガソリン,係数_バス貨物_CNG,係数_バス貨物_軽油,係数_バス貨物_メタノール,係数_バス貨物_LPG),MATCH(AY1400+1,【参考】排出係数!$AI$4:$AI$671,1)-1,5,BE1400),3,FALSE),IF(OR(AW1400=1,AW1400=2),VLOOKUP(AU1400,INDEX((係数_乗用_ガソリン,係数_乗用_CNG,係数_乗用_軽油,係数_乗用_メタノール,係数_乗用_LPG),1,1,BE1400):INDEX((係数_乗用_ガソリン,係数_乗用_CNG,係数_乗用_軽油,係数_乗用_メタノール,係数_乗用_LPG),125,5,BE1400),3,FALSE))))))</f>
        <v/>
      </c>
      <c r="BC1400" s="467" t="str">
        <f t="shared" si="786"/>
        <v/>
      </c>
      <c r="BD1400" s="567" t="str">
        <f t="shared" si="787"/>
        <v/>
      </c>
      <c r="BE1400" s="467" t="str">
        <f t="shared" si="788"/>
        <v/>
      </c>
      <c r="BF1400" s="469" t="str">
        <f t="shared" ca="1" si="789"/>
        <v/>
      </c>
      <c r="BG1400" s="469" t="str">
        <f t="shared" ca="1" si="790"/>
        <v/>
      </c>
      <c r="BH1400" s="467" t="str">
        <f t="shared" si="791"/>
        <v/>
      </c>
      <c r="BI1400" s="467" t="str">
        <f t="shared" ca="1" si="792"/>
        <v/>
      </c>
      <c r="BJ1400" s="469" t="str">
        <f t="shared" si="793"/>
        <v/>
      </c>
      <c r="BK1400" s="470" t="str">
        <f t="shared" si="777"/>
        <v/>
      </c>
      <c r="BL1400" s="775" t="str">
        <f t="shared" si="794"/>
        <v/>
      </c>
      <c r="BM1400" s="775" t="str">
        <f t="shared" si="795"/>
        <v/>
      </c>
    </row>
    <row r="1401" spans="1:65">
      <c r="A1401" s="473">
        <v>1345</v>
      </c>
      <c r="B1401" s="132"/>
      <c r="C1401" s="332"/>
      <c r="D1401" s="333"/>
      <c r="E1401" s="333"/>
      <c r="F1401" s="334"/>
      <c r="G1401" s="337"/>
      <c r="H1401" s="131"/>
      <c r="I1401" s="337"/>
      <c r="J1401" s="131"/>
      <c r="K1401" s="458" t="str">
        <f t="shared" si="796"/>
        <v/>
      </c>
      <c r="L1401" s="458">
        <f t="shared" si="797"/>
        <v>0</v>
      </c>
      <c r="M1401" s="458">
        <f t="shared" si="798"/>
        <v>0</v>
      </c>
      <c r="N1401" s="459" t="str">
        <f t="shared" si="809"/>
        <v/>
      </c>
      <c r="O1401" s="459" t="str">
        <f t="shared" si="810"/>
        <v/>
      </c>
      <c r="P1401" s="459" t="str">
        <f t="shared" si="811"/>
        <v/>
      </c>
      <c r="Q1401" s="459" t="str">
        <f t="shared" si="812"/>
        <v/>
      </c>
      <c r="R1401" s="459" t="str">
        <f t="shared" si="813"/>
        <v/>
      </c>
      <c r="S1401" s="459" t="str">
        <f t="shared" si="814"/>
        <v/>
      </c>
      <c r="T1401" s="566" t="str">
        <f t="shared" si="799"/>
        <v/>
      </c>
      <c r="U1401" s="702"/>
      <c r="V1401" s="132"/>
      <c r="W1401" s="133"/>
      <c r="X1401" s="134"/>
      <c r="Y1401" s="135"/>
      <c r="Z1401" s="137"/>
      <c r="AA1401" s="136"/>
      <c r="AB1401" s="566" t="str">
        <f t="shared" si="800"/>
        <v/>
      </c>
      <c r="AC1401" s="568" t="str">
        <f t="shared" si="801"/>
        <v/>
      </c>
      <c r="AD1401" s="137"/>
      <c r="AE1401" s="137"/>
      <c r="AF1401" s="138"/>
      <c r="AG1401" s="138"/>
      <c r="AH1401" s="592" t="str">
        <f t="shared" si="802"/>
        <v/>
      </c>
      <c r="AI1401" s="592" t="str">
        <f t="shared" si="803"/>
        <v/>
      </c>
      <c r="AJ1401" s="592" t="str">
        <f t="shared" si="804"/>
        <v/>
      </c>
      <c r="AK1401" s="460" t="str">
        <f>IF(AU1401="","",IF(OR(AZ1401=8,AZ1401=9),0,IF(OR(AW1401=3,AW1401=4,AW1401=5,AW1401=6),IF(LEFT(BF1401,1)="1",INDEX(係数_NOX・PM低減,MATCH(AY1401,【参考】排出係数!$AI$801:$AI$804,1),1),VLOOKUP(AU1401,INDEX((係数_バス貨物_ガソリン,係数_バス貨物_CNG,係数_バス貨物_軽油,係数_バス貨物_メタノール,係数_バス貨物_LPG),MATCH(AY1401,【参考】排出係数!$AI$4:$AI$671,1),1,BE1401):INDEX((係数_バス貨物_ガソリン,係数_バス貨物_CNG,係数_バス貨物_軽油,係数_バス貨物_メタノール,係数_バス貨物_LPG),MATCH(AY1401+1,【参考】排出係数!$AI$4:$AI$671,1)-1,5,BE1401),4,FALSE)),IF(AND(BE1401=3,LEFT(BF1401,1)="1"),0.48,VLOOKUP(AU1401,INDEX((係数_乗用_ガソリン,係数_乗用_CNG,係数_乗用_軽油,係数_乗用_メタノール,係数_乗用_LPG),1,1,BE1401):INDEX((係数_乗用_ガソリン,係数_乗用_CNG,係数_乗用_軽油,係数_乗用_メタノール,係数_乗用_LPG),125,5,BE1401),4,FALSE)))))</f>
        <v/>
      </c>
      <c r="AL1401" s="461" t="str">
        <f t="shared" si="805"/>
        <v/>
      </c>
      <c r="AM1401" s="460" t="str">
        <f>IF(AU1401="","",IF(OR(AZ1401=8,AZ1401=9),0,IF(OR(AW1401=3,AW1401=4,AW1401=5,AW1401=6),IF(LEFT(BH1401,1)="1",INDEX(係数_PM低減,MATCH(AY1401,【参考】排出係数!$AI$801:$AI$804,1),MATCH(BI1401,【参考】排出係数!$AL$798:$AO$798,1)),VLOOKUP(AU1401,INDEX((係数_バス貨物_ガソリン,係数_バス貨物_CNG,係数_バス貨物_軽油,係数_バス貨物_メタノール,係数_バス貨物_LPG),MATCH(AY1401,【参考】排出係数!$AI$4:$AI$671,1),1,BE1401):INDEX((係数_バス貨物_ガソリン,係数_バス貨物_CNG,係数_バス貨物_軽油,係数_バス貨物_メタノール,係数_バス貨物_LPG),MATCH(AY1401+1,【参考】排出係数!$AI$4:$AI$671,1)-1,5,BE1401),5,FALSE)),IF(AND(BE1401=3,LEFT(BF1401,1)="1"),0.055,VLOOKUP(AU1401,INDEX((係数_乗用_ガソリン,係数_乗用_CNG,係数_乗用_軽油,係数_乗用_メタノール,係数_乗用_LPG),1,1,BE1401):INDEX((係数_乗用_ガソリン,係数_乗用_CNG,係数_乗用_軽油,係数_乗用_メタノール,係数_乗用_LPG),125,5,BE1401),5,FALSE)))))</f>
        <v/>
      </c>
      <c r="AN1401" s="461" t="str">
        <f t="shared" si="806"/>
        <v/>
      </c>
      <c r="AO1401" s="462" t="str">
        <f t="shared" si="807"/>
        <v/>
      </c>
      <c r="AP1401" s="463" t="str">
        <f t="shared" si="808"/>
        <v/>
      </c>
      <c r="AQ1401" s="464"/>
      <c r="AR1401" s="619"/>
      <c r="AS1401" s="465" t="str">
        <f t="shared" si="778"/>
        <v/>
      </c>
      <c r="AT1401" s="465" t="str">
        <f t="shared" si="779"/>
        <v/>
      </c>
      <c r="AU1401" s="466" t="str">
        <f t="shared" si="780"/>
        <v/>
      </c>
      <c r="AV1401" s="467" t="str">
        <f t="shared" si="781"/>
        <v/>
      </c>
      <c r="AW1401" s="467" t="str">
        <f t="shared" si="782"/>
        <v/>
      </c>
      <c r="AX1401" s="467" t="str">
        <f t="shared" si="783"/>
        <v/>
      </c>
      <c r="AY1401" s="467" t="str">
        <f t="shared" si="784"/>
        <v/>
      </c>
      <c r="AZ1401" s="467" t="str">
        <f t="shared" si="785"/>
        <v/>
      </c>
      <c r="BA1401" s="468" t="str">
        <f>IF(AS1401="","",IF(OR(AU1401="",AU1401="-"),"－",IF(OR(AZ1401=8,AZ1401=9),"",IF(OR(AW1401=3,AW1401=4,AW1401=5,AW1401=6),VLOOKUP(AU1401,INDEX((係数_バス貨物_ガソリン,係数_バス貨物_CNG,係数_バス貨物_軽油,係数_バス貨物_メタノール,係数_バス貨物_LPG),MATCH(AY1401,【参考】排出係数!$AI$4:$AI$671,1),1,BE1401):INDEX((係数_バス貨物_ガソリン,係数_バス貨物_CNG,係数_バス貨物_軽油,係数_バス貨物_メタノール,係数_バス貨物_LPG),MATCH(AY1401+1,【参考】排出係数!$AI$4:$AI$671,1)-1,5,BE1401),2,FALSE),IF(OR(AW1401=1,AW1401=2),VLOOKUP(AU1401,INDEX((係数_乗用_ガソリン,係数_乗用_CNG,係数_乗用_軽油,係数_乗用_メタノール,係数_乗用_LPG),1,1,BE1401):INDEX((係数_乗用_ガソリン,係数_乗用_CNG,係数_乗用_軽油,係数_乗用_メタノール,係数_乗用_LPG),125,5,BE1401),2,FALSE))))))</f>
        <v/>
      </c>
      <c r="BB1401" s="468" t="str">
        <f>IF(T1401="","",IF(OR(AU1401="",AU1401="-"),"－",IF(OR(AZ1401=8,AZ1401=9),"",IF(OR(AW1401=3,AW1401=4,AW1401=5,AW1401=6),VLOOKUP(AU1401,INDEX((係数_バス貨物_ガソリン,係数_バス貨物_CNG,係数_バス貨物_軽油,係数_バス貨物_メタノール,係数_バス貨物_LPG),MATCH(AY1401,【参考】排出係数!$AI$4:$AI$671,1),1,BE1401):INDEX((係数_バス貨物_ガソリン,係数_バス貨物_CNG,係数_バス貨物_軽油,係数_バス貨物_メタノール,係数_バス貨物_LPG),MATCH(AY1401+1,【参考】排出係数!$AI$4:$AI$671,1)-1,5,BE1401),3,FALSE),IF(OR(AW1401=1,AW1401=2),VLOOKUP(AU1401,INDEX((係数_乗用_ガソリン,係数_乗用_CNG,係数_乗用_軽油,係数_乗用_メタノール,係数_乗用_LPG),1,1,BE1401):INDEX((係数_乗用_ガソリン,係数_乗用_CNG,係数_乗用_軽油,係数_乗用_メタノール,係数_乗用_LPG),125,5,BE1401),3,FALSE))))))</f>
        <v/>
      </c>
      <c r="BC1401" s="467" t="str">
        <f t="shared" si="786"/>
        <v/>
      </c>
      <c r="BD1401" s="567" t="str">
        <f t="shared" si="787"/>
        <v/>
      </c>
      <c r="BE1401" s="467" t="str">
        <f t="shared" si="788"/>
        <v/>
      </c>
      <c r="BF1401" s="469" t="str">
        <f t="shared" ca="1" si="789"/>
        <v/>
      </c>
      <c r="BG1401" s="469" t="str">
        <f t="shared" ca="1" si="790"/>
        <v/>
      </c>
      <c r="BH1401" s="467" t="str">
        <f t="shared" si="791"/>
        <v/>
      </c>
      <c r="BI1401" s="467" t="str">
        <f t="shared" ca="1" si="792"/>
        <v/>
      </c>
      <c r="BJ1401" s="469" t="str">
        <f t="shared" si="793"/>
        <v/>
      </c>
      <c r="BK1401" s="470" t="str">
        <f t="shared" ref="BK1401:BK1464" si="815">IF(AS1401="","",VLOOKUP(T1401,車両の増減,2,FALSE))</f>
        <v/>
      </c>
      <c r="BL1401" s="775" t="str">
        <f t="shared" si="794"/>
        <v/>
      </c>
      <c r="BM1401" s="775" t="str">
        <f t="shared" si="795"/>
        <v/>
      </c>
    </row>
    <row r="1402" spans="1:65">
      <c r="A1402" s="473">
        <v>1346</v>
      </c>
      <c r="B1402" s="132"/>
      <c r="C1402" s="332"/>
      <c r="D1402" s="333"/>
      <c r="E1402" s="333"/>
      <c r="F1402" s="334"/>
      <c r="G1402" s="337"/>
      <c r="H1402" s="131"/>
      <c r="I1402" s="337"/>
      <c r="J1402" s="131"/>
      <c r="K1402" s="458" t="str">
        <f t="shared" si="796"/>
        <v/>
      </c>
      <c r="L1402" s="458">
        <f t="shared" si="797"/>
        <v>0</v>
      </c>
      <c r="M1402" s="458">
        <f t="shared" si="798"/>
        <v>0</v>
      </c>
      <c r="N1402" s="459" t="str">
        <f t="shared" si="809"/>
        <v/>
      </c>
      <c r="O1402" s="459" t="str">
        <f t="shared" si="810"/>
        <v/>
      </c>
      <c r="P1402" s="459" t="str">
        <f t="shared" si="811"/>
        <v/>
      </c>
      <c r="Q1402" s="459" t="str">
        <f t="shared" si="812"/>
        <v/>
      </c>
      <c r="R1402" s="459" t="str">
        <f t="shared" si="813"/>
        <v/>
      </c>
      <c r="S1402" s="459" t="str">
        <f t="shared" si="814"/>
        <v/>
      </c>
      <c r="T1402" s="566" t="str">
        <f t="shared" si="799"/>
        <v/>
      </c>
      <c r="U1402" s="702"/>
      <c r="V1402" s="132"/>
      <c r="W1402" s="133"/>
      <c r="X1402" s="134"/>
      <c r="Y1402" s="135"/>
      <c r="Z1402" s="137"/>
      <c r="AA1402" s="136"/>
      <c r="AB1402" s="566" t="str">
        <f t="shared" si="800"/>
        <v/>
      </c>
      <c r="AC1402" s="568" t="str">
        <f t="shared" si="801"/>
        <v/>
      </c>
      <c r="AD1402" s="137"/>
      <c r="AE1402" s="137"/>
      <c r="AF1402" s="138"/>
      <c r="AG1402" s="138"/>
      <c r="AH1402" s="592" t="str">
        <f t="shared" si="802"/>
        <v/>
      </c>
      <c r="AI1402" s="592" t="str">
        <f t="shared" si="803"/>
        <v/>
      </c>
      <c r="AJ1402" s="592" t="str">
        <f t="shared" si="804"/>
        <v/>
      </c>
      <c r="AK1402" s="460" t="str">
        <f>IF(AU1402="","",IF(OR(AZ1402=8,AZ1402=9),0,IF(OR(AW1402=3,AW1402=4,AW1402=5,AW1402=6),IF(LEFT(BF1402,1)="1",INDEX(係数_NOX・PM低減,MATCH(AY1402,【参考】排出係数!$AI$801:$AI$804,1),1),VLOOKUP(AU1402,INDEX((係数_バス貨物_ガソリン,係数_バス貨物_CNG,係数_バス貨物_軽油,係数_バス貨物_メタノール,係数_バス貨物_LPG),MATCH(AY1402,【参考】排出係数!$AI$4:$AI$671,1),1,BE1402):INDEX((係数_バス貨物_ガソリン,係数_バス貨物_CNG,係数_バス貨物_軽油,係数_バス貨物_メタノール,係数_バス貨物_LPG),MATCH(AY1402+1,【参考】排出係数!$AI$4:$AI$671,1)-1,5,BE1402),4,FALSE)),IF(AND(BE1402=3,LEFT(BF1402,1)="1"),0.48,VLOOKUP(AU1402,INDEX((係数_乗用_ガソリン,係数_乗用_CNG,係数_乗用_軽油,係数_乗用_メタノール,係数_乗用_LPG),1,1,BE1402):INDEX((係数_乗用_ガソリン,係数_乗用_CNG,係数_乗用_軽油,係数_乗用_メタノール,係数_乗用_LPG),125,5,BE1402),4,FALSE)))))</f>
        <v/>
      </c>
      <c r="AL1402" s="461" t="str">
        <f t="shared" si="805"/>
        <v/>
      </c>
      <c r="AM1402" s="460" t="str">
        <f>IF(AU1402="","",IF(OR(AZ1402=8,AZ1402=9),0,IF(OR(AW1402=3,AW1402=4,AW1402=5,AW1402=6),IF(LEFT(BH1402,1)="1",INDEX(係数_PM低減,MATCH(AY1402,【参考】排出係数!$AI$801:$AI$804,1),MATCH(BI1402,【参考】排出係数!$AL$798:$AO$798,1)),VLOOKUP(AU1402,INDEX((係数_バス貨物_ガソリン,係数_バス貨物_CNG,係数_バス貨物_軽油,係数_バス貨物_メタノール,係数_バス貨物_LPG),MATCH(AY1402,【参考】排出係数!$AI$4:$AI$671,1),1,BE1402):INDEX((係数_バス貨物_ガソリン,係数_バス貨物_CNG,係数_バス貨物_軽油,係数_バス貨物_メタノール,係数_バス貨物_LPG),MATCH(AY1402+1,【参考】排出係数!$AI$4:$AI$671,1)-1,5,BE1402),5,FALSE)),IF(AND(BE1402=3,LEFT(BF1402,1)="1"),0.055,VLOOKUP(AU1402,INDEX((係数_乗用_ガソリン,係数_乗用_CNG,係数_乗用_軽油,係数_乗用_メタノール,係数_乗用_LPG),1,1,BE1402):INDEX((係数_乗用_ガソリン,係数_乗用_CNG,係数_乗用_軽油,係数_乗用_メタノール,係数_乗用_LPG),125,5,BE1402),5,FALSE)))))</f>
        <v/>
      </c>
      <c r="AN1402" s="461" t="str">
        <f t="shared" si="806"/>
        <v/>
      </c>
      <c r="AO1402" s="462" t="str">
        <f t="shared" si="807"/>
        <v/>
      </c>
      <c r="AP1402" s="463" t="str">
        <f t="shared" si="808"/>
        <v/>
      </c>
      <c r="AQ1402" s="464"/>
      <c r="AR1402" s="619"/>
      <c r="AS1402" s="465" t="str">
        <f t="shared" ref="AS1402:AS1465" si="816">IF(OR(T1402="(減車済)",T1402=""),"",1)</f>
        <v/>
      </c>
      <c r="AT1402" s="465" t="str">
        <f t="shared" ref="AT1402:AT1465" si="817">IF(OR(T1402="継続",T1402="新規"),1,"")</f>
        <v/>
      </c>
      <c r="AU1402" s="466" t="str">
        <f t="shared" ref="AU1402:AU1465" si="818">IF(AS1402="","",UPPER(ASC(X1402)))</f>
        <v/>
      </c>
      <c r="AV1402" s="467" t="str">
        <f t="shared" ref="AV1402:AV1465" si="819">IF(AS1402="","",IF(V1402="","",IF(V1402="普通",1,IF(V1402="小型",2,0))))</f>
        <v/>
      </c>
      <c r="AW1402" s="467" t="str">
        <f t="shared" ref="AW1402:AW1465" si="820">IF(AS1402="","",IF(W1402="","",VLOOKUP(W1402,用途,2,FALSE)))</f>
        <v/>
      </c>
      <c r="AX1402" s="467" t="str">
        <f t="shared" ref="AX1402:AX1465" si="821">IF(AS1402="","",IF(Y1402="","",IF(Y1402&lt;=10,1,IF(Y1402&lt;30,2,IF(Y1402&gt;=30,3,0)))))</f>
        <v/>
      </c>
      <c r="AY1402" s="467" t="str">
        <f t="shared" ref="AY1402:AY1465" si="822">IF(AS1402="","",IF(Z1402="","",IF(Z1402&lt;=1.7*1000,1,IF(Z1402&lt;=2.5*1000,2,IF(Z1402&lt;=3.5*1000,3,IF(Z1402&lt;8*1000,4,IF(Z1402&gt;=8*1000,5,"")))))))</f>
        <v/>
      </c>
      <c r="AZ1402" s="467" t="str">
        <f t="shared" ref="AZ1402:AZ1465" si="823">IF(AS1402="","",IF(AA1402="","",VLOOKUP(AA1402,燃料の種類,2,FALSE)))</f>
        <v/>
      </c>
      <c r="BA1402" s="468" t="str">
        <f>IF(AS1402="","",IF(OR(AU1402="",AU1402="-"),"－",IF(OR(AZ1402=8,AZ1402=9),"",IF(OR(AW1402=3,AW1402=4,AW1402=5,AW1402=6),VLOOKUP(AU1402,INDEX((係数_バス貨物_ガソリン,係数_バス貨物_CNG,係数_バス貨物_軽油,係数_バス貨物_メタノール,係数_バス貨物_LPG),MATCH(AY1402,【参考】排出係数!$AI$4:$AI$671,1),1,BE1402):INDEX((係数_バス貨物_ガソリン,係数_バス貨物_CNG,係数_バス貨物_軽油,係数_バス貨物_メタノール,係数_バス貨物_LPG),MATCH(AY1402+1,【参考】排出係数!$AI$4:$AI$671,1)-1,5,BE1402),2,FALSE),IF(OR(AW1402=1,AW1402=2),VLOOKUP(AU1402,INDEX((係数_乗用_ガソリン,係数_乗用_CNG,係数_乗用_軽油,係数_乗用_メタノール,係数_乗用_LPG),1,1,BE1402):INDEX((係数_乗用_ガソリン,係数_乗用_CNG,係数_乗用_軽油,係数_乗用_メタノール,係数_乗用_LPG),125,5,BE1402),2,FALSE))))))</f>
        <v/>
      </c>
      <c r="BB1402" s="468" t="str">
        <f>IF(T1402="","",IF(OR(AU1402="",AU1402="-"),"－",IF(OR(AZ1402=8,AZ1402=9),"",IF(OR(AW1402=3,AW1402=4,AW1402=5,AW1402=6),VLOOKUP(AU1402,INDEX((係数_バス貨物_ガソリン,係数_バス貨物_CNG,係数_バス貨物_軽油,係数_バス貨物_メタノール,係数_バス貨物_LPG),MATCH(AY1402,【参考】排出係数!$AI$4:$AI$671,1),1,BE1402):INDEX((係数_バス貨物_ガソリン,係数_バス貨物_CNG,係数_バス貨物_軽油,係数_バス貨物_メタノール,係数_バス貨物_LPG),MATCH(AY1402+1,【参考】排出係数!$AI$4:$AI$671,1)-1,5,BE1402),3,FALSE),IF(OR(AW1402=1,AW1402=2),VLOOKUP(AU1402,INDEX((係数_乗用_ガソリン,係数_乗用_CNG,係数_乗用_軽油,係数_乗用_メタノール,係数_乗用_LPG),1,1,BE1402):INDEX((係数_乗用_ガソリン,係数_乗用_CNG,係数_乗用_軽油,係数_乗用_メタノール,係数_乗用_LPG),125,5,BE1402),3,FALSE))))))</f>
        <v/>
      </c>
      <c r="BC1402" s="467" t="str">
        <f t="shared" ref="BC1402:BC1465" si="824">IF((AS1402="")+(AC1402=""),"",IF(燃料区分1=4,VLOOKUP(BB1402,排ガス低減レベル,2,FALSE),VLOOKUP(AC1402,排ガス低減レベル,2,FALSE)))</f>
        <v/>
      </c>
      <c r="BD1402" s="567" t="str">
        <f t="shared" ref="BD1402:BD1465" si="825">IF(AT1402="","",IF(AW1402=3,B1402&amp;"-"&amp;SUM(AW1402*100,AX1402*10,AY1402)&amp;"A",IF(OR(AW1402=2,AW1402=4,AW1402=6),B1402&amp;"-"&amp;AY1402*10&amp;"A",IF(AW1402=1,B1402&amp;"-"&amp;AW1402&amp;"A",IF(AW1402=5,B1402&amp;"-"&amp;SUM(AW1402*100,AV1402*10,AY1402)&amp;"A","")))))</f>
        <v/>
      </c>
      <c r="BE1402" s="467" t="str">
        <f t="shared" ref="BE1402:BE1465" si="826">IF(OR(AZ1402=1,AZ1402=2,AZ1402=11),1,IF(AZ1402=6,2,IF(OR(AZ1402=4,AZ1402=5,AZ1402=10),3,IF(AZ1402=7,4,IF(AZ1402=3,5, IF(OR(AZ1402=8,AZ1402=9),6,""))))))</f>
        <v/>
      </c>
      <c r="BF1402" s="469" t="str">
        <f t="shared" ref="BF1402:BF1465" ca="1" si="827">(IF(OR(AZ1402=4,AZ1402=5),OFFSET($CH$1,MATCH($AF1402,$CG$2:$CG$4,0),0)&amp;BK1402,""))</f>
        <v/>
      </c>
      <c r="BG1402" s="469" t="str">
        <f t="shared" ref="BG1402:BG1465" ca="1" si="828">(IF(OR(AZ1402=4,AZ1402=5),OFFSET($CJ$1,MATCH($AG1402,$CI$2:$CI$5,0),0)&amp;BK1402,""))</f>
        <v/>
      </c>
      <c r="BH1402" s="467" t="str">
        <f t="shared" ref="BH1402:BH1465" si="829">IF(OR(AZ1402=4,AZ1402=5),IF(OR(LEFT(BF1402,1)="1",LEFT(BG1402,1)="2",LEFT(BG1402,1)="3"),1,2)&amp;BK1402,"")</f>
        <v/>
      </c>
      <c r="BI1402" s="467" t="str">
        <f t="shared" ref="BI1402:BI1465" ca="1" si="830">IF(LEFT(BF1402)="1",1,IF(LEFT(BG1402,1)="2",2,IF(LEFT(BG1402,1)="3",3,"")))</f>
        <v/>
      </c>
      <c r="BJ1402" s="469" t="str">
        <f t="shared" ref="BJ1402:BJ1465" si="831">IF(AT1402="","",B1402&amp;"-"&amp;AZ1402)</f>
        <v/>
      </c>
      <c r="BK1402" s="470" t="str">
        <f t="shared" si="815"/>
        <v/>
      </c>
      <c r="BL1402" s="775" t="str">
        <f t="shared" ref="BL1402:BL1465" si="832">IF(AND(OR($T1402="新規",$T1402="継続"),ISBLANK($AD1402)),1,"")</f>
        <v/>
      </c>
      <c r="BM1402" s="775" t="str">
        <f t="shared" ref="BM1402:BM1465" si="833">IF(AND(OR($T1402="新規",$T1402="継続"),ISBLANK($AE1402)),1,"")</f>
        <v/>
      </c>
    </row>
    <row r="1403" spans="1:65">
      <c r="A1403" s="473">
        <v>1347</v>
      </c>
      <c r="B1403" s="132"/>
      <c r="C1403" s="332"/>
      <c r="D1403" s="333"/>
      <c r="E1403" s="333"/>
      <c r="F1403" s="334"/>
      <c r="G1403" s="337"/>
      <c r="H1403" s="131"/>
      <c r="I1403" s="337"/>
      <c r="J1403" s="131"/>
      <c r="K1403" s="458" t="str">
        <f t="shared" si="796"/>
        <v/>
      </c>
      <c r="L1403" s="458">
        <f t="shared" si="797"/>
        <v>0</v>
      </c>
      <c r="M1403" s="458">
        <f t="shared" si="798"/>
        <v>0</v>
      </c>
      <c r="N1403" s="459" t="str">
        <f t="shared" si="809"/>
        <v/>
      </c>
      <c r="O1403" s="459" t="str">
        <f t="shared" si="810"/>
        <v/>
      </c>
      <c r="P1403" s="459" t="str">
        <f t="shared" si="811"/>
        <v/>
      </c>
      <c r="Q1403" s="459" t="str">
        <f t="shared" si="812"/>
        <v/>
      </c>
      <c r="R1403" s="459" t="str">
        <f t="shared" si="813"/>
        <v/>
      </c>
      <c r="S1403" s="459" t="str">
        <f t="shared" si="814"/>
        <v/>
      </c>
      <c r="T1403" s="566" t="str">
        <f t="shared" si="799"/>
        <v/>
      </c>
      <c r="U1403" s="702"/>
      <c r="V1403" s="132"/>
      <c r="W1403" s="133"/>
      <c r="X1403" s="134"/>
      <c r="Y1403" s="135"/>
      <c r="Z1403" s="137"/>
      <c r="AA1403" s="136"/>
      <c r="AB1403" s="566" t="str">
        <f t="shared" si="800"/>
        <v/>
      </c>
      <c r="AC1403" s="568" t="str">
        <f t="shared" si="801"/>
        <v/>
      </c>
      <c r="AD1403" s="137"/>
      <c r="AE1403" s="137"/>
      <c r="AF1403" s="138"/>
      <c r="AG1403" s="138"/>
      <c r="AH1403" s="592" t="str">
        <f t="shared" si="802"/>
        <v/>
      </c>
      <c r="AI1403" s="592" t="str">
        <f t="shared" si="803"/>
        <v/>
      </c>
      <c r="AJ1403" s="592" t="str">
        <f t="shared" si="804"/>
        <v/>
      </c>
      <c r="AK1403" s="460" t="str">
        <f>IF(AU1403="","",IF(OR(AZ1403=8,AZ1403=9),0,IF(OR(AW1403=3,AW1403=4,AW1403=5,AW1403=6),IF(LEFT(BF1403,1)="1",INDEX(係数_NOX・PM低減,MATCH(AY1403,【参考】排出係数!$AI$801:$AI$804,1),1),VLOOKUP(AU1403,INDEX((係数_バス貨物_ガソリン,係数_バス貨物_CNG,係数_バス貨物_軽油,係数_バス貨物_メタノール,係数_バス貨物_LPG),MATCH(AY1403,【参考】排出係数!$AI$4:$AI$671,1),1,BE1403):INDEX((係数_バス貨物_ガソリン,係数_バス貨物_CNG,係数_バス貨物_軽油,係数_バス貨物_メタノール,係数_バス貨物_LPG),MATCH(AY1403+1,【参考】排出係数!$AI$4:$AI$671,1)-1,5,BE1403),4,FALSE)),IF(AND(BE1403=3,LEFT(BF1403,1)="1"),0.48,VLOOKUP(AU1403,INDEX((係数_乗用_ガソリン,係数_乗用_CNG,係数_乗用_軽油,係数_乗用_メタノール,係数_乗用_LPG),1,1,BE1403):INDEX((係数_乗用_ガソリン,係数_乗用_CNG,係数_乗用_軽油,係数_乗用_メタノール,係数_乗用_LPG),125,5,BE1403),4,FALSE)))))</f>
        <v/>
      </c>
      <c r="AL1403" s="461" t="str">
        <f t="shared" si="805"/>
        <v/>
      </c>
      <c r="AM1403" s="460" t="str">
        <f>IF(AU1403="","",IF(OR(AZ1403=8,AZ1403=9),0,IF(OR(AW1403=3,AW1403=4,AW1403=5,AW1403=6),IF(LEFT(BH1403,1)="1",INDEX(係数_PM低減,MATCH(AY1403,【参考】排出係数!$AI$801:$AI$804,1),MATCH(BI1403,【参考】排出係数!$AL$798:$AO$798,1)),VLOOKUP(AU1403,INDEX((係数_バス貨物_ガソリン,係数_バス貨物_CNG,係数_バス貨物_軽油,係数_バス貨物_メタノール,係数_バス貨物_LPG),MATCH(AY1403,【参考】排出係数!$AI$4:$AI$671,1),1,BE1403):INDEX((係数_バス貨物_ガソリン,係数_バス貨物_CNG,係数_バス貨物_軽油,係数_バス貨物_メタノール,係数_バス貨物_LPG),MATCH(AY1403+1,【参考】排出係数!$AI$4:$AI$671,1)-1,5,BE1403),5,FALSE)),IF(AND(BE1403=3,LEFT(BF1403,1)="1"),0.055,VLOOKUP(AU1403,INDEX((係数_乗用_ガソリン,係数_乗用_CNG,係数_乗用_軽油,係数_乗用_メタノール,係数_乗用_LPG),1,1,BE1403):INDEX((係数_乗用_ガソリン,係数_乗用_CNG,係数_乗用_軽油,係数_乗用_メタノール,係数_乗用_LPG),125,5,BE1403),5,FALSE)))))</f>
        <v/>
      </c>
      <c r="AN1403" s="461" t="str">
        <f t="shared" si="806"/>
        <v/>
      </c>
      <c r="AO1403" s="462" t="str">
        <f t="shared" si="807"/>
        <v/>
      </c>
      <c r="AP1403" s="463" t="str">
        <f t="shared" si="808"/>
        <v/>
      </c>
      <c r="AQ1403" s="464"/>
      <c r="AR1403" s="619"/>
      <c r="AS1403" s="465" t="str">
        <f t="shared" si="816"/>
        <v/>
      </c>
      <c r="AT1403" s="465" t="str">
        <f t="shared" si="817"/>
        <v/>
      </c>
      <c r="AU1403" s="466" t="str">
        <f t="shared" si="818"/>
        <v/>
      </c>
      <c r="AV1403" s="467" t="str">
        <f t="shared" si="819"/>
        <v/>
      </c>
      <c r="AW1403" s="467" t="str">
        <f t="shared" si="820"/>
        <v/>
      </c>
      <c r="AX1403" s="467" t="str">
        <f t="shared" si="821"/>
        <v/>
      </c>
      <c r="AY1403" s="467" t="str">
        <f t="shared" si="822"/>
        <v/>
      </c>
      <c r="AZ1403" s="467" t="str">
        <f t="shared" si="823"/>
        <v/>
      </c>
      <c r="BA1403" s="468" t="str">
        <f>IF(AS1403="","",IF(OR(AU1403="",AU1403="-"),"－",IF(OR(AZ1403=8,AZ1403=9),"",IF(OR(AW1403=3,AW1403=4,AW1403=5,AW1403=6),VLOOKUP(AU1403,INDEX((係数_バス貨物_ガソリン,係数_バス貨物_CNG,係数_バス貨物_軽油,係数_バス貨物_メタノール,係数_バス貨物_LPG),MATCH(AY1403,【参考】排出係数!$AI$4:$AI$671,1),1,BE1403):INDEX((係数_バス貨物_ガソリン,係数_バス貨物_CNG,係数_バス貨物_軽油,係数_バス貨物_メタノール,係数_バス貨物_LPG),MATCH(AY1403+1,【参考】排出係数!$AI$4:$AI$671,1)-1,5,BE1403),2,FALSE),IF(OR(AW1403=1,AW1403=2),VLOOKUP(AU1403,INDEX((係数_乗用_ガソリン,係数_乗用_CNG,係数_乗用_軽油,係数_乗用_メタノール,係数_乗用_LPG),1,1,BE1403):INDEX((係数_乗用_ガソリン,係数_乗用_CNG,係数_乗用_軽油,係数_乗用_メタノール,係数_乗用_LPG),125,5,BE1403),2,FALSE))))))</f>
        <v/>
      </c>
      <c r="BB1403" s="468" t="str">
        <f>IF(T1403="","",IF(OR(AU1403="",AU1403="-"),"－",IF(OR(AZ1403=8,AZ1403=9),"",IF(OR(AW1403=3,AW1403=4,AW1403=5,AW1403=6),VLOOKUP(AU1403,INDEX((係数_バス貨物_ガソリン,係数_バス貨物_CNG,係数_バス貨物_軽油,係数_バス貨物_メタノール,係数_バス貨物_LPG),MATCH(AY1403,【参考】排出係数!$AI$4:$AI$671,1),1,BE1403):INDEX((係数_バス貨物_ガソリン,係数_バス貨物_CNG,係数_バス貨物_軽油,係数_バス貨物_メタノール,係数_バス貨物_LPG),MATCH(AY1403+1,【参考】排出係数!$AI$4:$AI$671,1)-1,5,BE1403),3,FALSE),IF(OR(AW1403=1,AW1403=2),VLOOKUP(AU1403,INDEX((係数_乗用_ガソリン,係数_乗用_CNG,係数_乗用_軽油,係数_乗用_メタノール,係数_乗用_LPG),1,1,BE1403):INDEX((係数_乗用_ガソリン,係数_乗用_CNG,係数_乗用_軽油,係数_乗用_メタノール,係数_乗用_LPG),125,5,BE1403),3,FALSE))))))</f>
        <v/>
      </c>
      <c r="BC1403" s="467" t="str">
        <f t="shared" si="824"/>
        <v/>
      </c>
      <c r="BD1403" s="567" t="str">
        <f t="shared" si="825"/>
        <v/>
      </c>
      <c r="BE1403" s="467" t="str">
        <f t="shared" si="826"/>
        <v/>
      </c>
      <c r="BF1403" s="469" t="str">
        <f t="shared" ca="1" si="827"/>
        <v/>
      </c>
      <c r="BG1403" s="469" t="str">
        <f t="shared" ca="1" si="828"/>
        <v/>
      </c>
      <c r="BH1403" s="467" t="str">
        <f t="shared" si="829"/>
        <v/>
      </c>
      <c r="BI1403" s="467" t="str">
        <f t="shared" ca="1" si="830"/>
        <v/>
      </c>
      <c r="BJ1403" s="469" t="str">
        <f t="shared" si="831"/>
        <v/>
      </c>
      <c r="BK1403" s="470" t="str">
        <f t="shared" si="815"/>
        <v/>
      </c>
      <c r="BL1403" s="775" t="str">
        <f t="shared" si="832"/>
        <v/>
      </c>
      <c r="BM1403" s="775" t="str">
        <f t="shared" si="833"/>
        <v/>
      </c>
    </row>
    <row r="1404" spans="1:65">
      <c r="A1404" s="473">
        <v>1348</v>
      </c>
      <c r="B1404" s="132"/>
      <c r="C1404" s="332"/>
      <c r="D1404" s="333"/>
      <c r="E1404" s="333"/>
      <c r="F1404" s="334"/>
      <c r="G1404" s="337"/>
      <c r="H1404" s="131"/>
      <c r="I1404" s="337"/>
      <c r="J1404" s="131"/>
      <c r="K1404" s="458" t="str">
        <f t="shared" si="796"/>
        <v/>
      </c>
      <c r="L1404" s="458">
        <f t="shared" si="797"/>
        <v>0</v>
      </c>
      <c r="M1404" s="458">
        <f t="shared" si="798"/>
        <v>0</v>
      </c>
      <c r="N1404" s="459" t="str">
        <f t="shared" si="809"/>
        <v/>
      </c>
      <c r="O1404" s="459" t="str">
        <f t="shared" si="810"/>
        <v/>
      </c>
      <c r="P1404" s="459" t="str">
        <f t="shared" si="811"/>
        <v/>
      </c>
      <c r="Q1404" s="459" t="str">
        <f t="shared" si="812"/>
        <v/>
      </c>
      <c r="R1404" s="459" t="str">
        <f t="shared" si="813"/>
        <v/>
      </c>
      <c r="S1404" s="459" t="str">
        <f t="shared" si="814"/>
        <v/>
      </c>
      <c r="T1404" s="566" t="str">
        <f t="shared" si="799"/>
        <v/>
      </c>
      <c r="U1404" s="702"/>
      <c r="V1404" s="132"/>
      <c r="W1404" s="133"/>
      <c r="X1404" s="134"/>
      <c r="Y1404" s="135"/>
      <c r="Z1404" s="137"/>
      <c r="AA1404" s="136"/>
      <c r="AB1404" s="566" t="str">
        <f t="shared" si="800"/>
        <v/>
      </c>
      <c r="AC1404" s="568" t="str">
        <f t="shared" si="801"/>
        <v/>
      </c>
      <c r="AD1404" s="137"/>
      <c r="AE1404" s="137"/>
      <c r="AF1404" s="138"/>
      <c r="AG1404" s="138"/>
      <c r="AH1404" s="592" t="str">
        <f t="shared" si="802"/>
        <v/>
      </c>
      <c r="AI1404" s="592" t="str">
        <f t="shared" si="803"/>
        <v/>
      </c>
      <c r="AJ1404" s="592" t="str">
        <f t="shared" si="804"/>
        <v/>
      </c>
      <c r="AK1404" s="460" t="str">
        <f>IF(AU1404="","",IF(OR(AZ1404=8,AZ1404=9),0,IF(OR(AW1404=3,AW1404=4,AW1404=5,AW1404=6),IF(LEFT(BF1404,1)="1",INDEX(係数_NOX・PM低減,MATCH(AY1404,【参考】排出係数!$AI$801:$AI$804,1),1),VLOOKUP(AU1404,INDEX((係数_バス貨物_ガソリン,係数_バス貨物_CNG,係数_バス貨物_軽油,係数_バス貨物_メタノール,係数_バス貨物_LPG),MATCH(AY1404,【参考】排出係数!$AI$4:$AI$671,1),1,BE1404):INDEX((係数_バス貨物_ガソリン,係数_バス貨物_CNG,係数_バス貨物_軽油,係数_バス貨物_メタノール,係数_バス貨物_LPG),MATCH(AY1404+1,【参考】排出係数!$AI$4:$AI$671,1)-1,5,BE1404),4,FALSE)),IF(AND(BE1404=3,LEFT(BF1404,1)="1"),0.48,VLOOKUP(AU1404,INDEX((係数_乗用_ガソリン,係数_乗用_CNG,係数_乗用_軽油,係数_乗用_メタノール,係数_乗用_LPG),1,1,BE1404):INDEX((係数_乗用_ガソリン,係数_乗用_CNG,係数_乗用_軽油,係数_乗用_メタノール,係数_乗用_LPG),125,5,BE1404),4,FALSE)))))</f>
        <v/>
      </c>
      <c r="AL1404" s="461" t="str">
        <f t="shared" si="805"/>
        <v/>
      </c>
      <c r="AM1404" s="460" t="str">
        <f>IF(AU1404="","",IF(OR(AZ1404=8,AZ1404=9),0,IF(OR(AW1404=3,AW1404=4,AW1404=5,AW1404=6),IF(LEFT(BH1404,1)="1",INDEX(係数_PM低減,MATCH(AY1404,【参考】排出係数!$AI$801:$AI$804,1),MATCH(BI1404,【参考】排出係数!$AL$798:$AO$798,1)),VLOOKUP(AU1404,INDEX((係数_バス貨物_ガソリン,係数_バス貨物_CNG,係数_バス貨物_軽油,係数_バス貨物_メタノール,係数_バス貨物_LPG),MATCH(AY1404,【参考】排出係数!$AI$4:$AI$671,1),1,BE1404):INDEX((係数_バス貨物_ガソリン,係数_バス貨物_CNG,係数_バス貨物_軽油,係数_バス貨物_メタノール,係数_バス貨物_LPG),MATCH(AY1404+1,【参考】排出係数!$AI$4:$AI$671,1)-1,5,BE1404),5,FALSE)),IF(AND(BE1404=3,LEFT(BF1404,1)="1"),0.055,VLOOKUP(AU1404,INDEX((係数_乗用_ガソリン,係数_乗用_CNG,係数_乗用_軽油,係数_乗用_メタノール,係数_乗用_LPG),1,1,BE1404):INDEX((係数_乗用_ガソリン,係数_乗用_CNG,係数_乗用_軽油,係数_乗用_メタノール,係数_乗用_LPG),125,5,BE1404),5,FALSE)))))</f>
        <v/>
      </c>
      <c r="AN1404" s="461" t="str">
        <f t="shared" si="806"/>
        <v/>
      </c>
      <c r="AO1404" s="462" t="str">
        <f t="shared" si="807"/>
        <v/>
      </c>
      <c r="AP1404" s="463" t="str">
        <f t="shared" si="808"/>
        <v/>
      </c>
      <c r="AQ1404" s="464"/>
      <c r="AR1404" s="619"/>
      <c r="AS1404" s="465" t="str">
        <f t="shared" si="816"/>
        <v/>
      </c>
      <c r="AT1404" s="465" t="str">
        <f t="shared" si="817"/>
        <v/>
      </c>
      <c r="AU1404" s="466" t="str">
        <f t="shared" si="818"/>
        <v/>
      </c>
      <c r="AV1404" s="467" t="str">
        <f t="shared" si="819"/>
        <v/>
      </c>
      <c r="AW1404" s="467" t="str">
        <f t="shared" si="820"/>
        <v/>
      </c>
      <c r="AX1404" s="467" t="str">
        <f t="shared" si="821"/>
        <v/>
      </c>
      <c r="AY1404" s="467" t="str">
        <f t="shared" si="822"/>
        <v/>
      </c>
      <c r="AZ1404" s="467" t="str">
        <f t="shared" si="823"/>
        <v/>
      </c>
      <c r="BA1404" s="468" t="str">
        <f>IF(AS1404="","",IF(OR(AU1404="",AU1404="-"),"－",IF(OR(AZ1404=8,AZ1404=9),"",IF(OR(AW1404=3,AW1404=4,AW1404=5,AW1404=6),VLOOKUP(AU1404,INDEX((係数_バス貨物_ガソリン,係数_バス貨物_CNG,係数_バス貨物_軽油,係数_バス貨物_メタノール,係数_バス貨物_LPG),MATCH(AY1404,【参考】排出係数!$AI$4:$AI$671,1),1,BE1404):INDEX((係数_バス貨物_ガソリン,係数_バス貨物_CNG,係数_バス貨物_軽油,係数_バス貨物_メタノール,係数_バス貨物_LPG),MATCH(AY1404+1,【参考】排出係数!$AI$4:$AI$671,1)-1,5,BE1404),2,FALSE),IF(OR(AW1404=1,AW1404=2),VLOOKUP(AU1404,INDEX((係数_乗用_ガソリン,係数_乗用_CNG,係数_乗用_軽油,係数_乗用_メタノール,係数_乗用_LPG),1,1,BE1404):INDEX((係数_乗用_ガソリン,係数_乗用_CNG,係数_乗用_軽油,係数_乗用_メタノール,係数_乗用_LPG),125,5,BE1404),2,FALSE))))))</f>
        <v/>
      </c>
      <c r="BB1404" s="468" t="str">
        <f>IF(T1404="","",IF(OR(AU1404="",AU1404="-"),"－",IF(OR(AZ1404=8,AZ1404=9),"",IF(OR(AW1404=3,AW1404=4,AW1404=5,AW1404=6),VLOOKUP(AU1404,INDEX((係数_バス貨物_ガソリン,係数_バス貨物_CNG,係数_バス貨物_軽油,係数_バス貨物_メタノール,係数_バス貨物_LPG),MATCH(AY1404,【参考】排出係数!$AI$4:$AI$671,1),1,BE1404):INDEX((係数_バス貨物_ガソリン,係数_バス貨物_CNG,係数_バス貨物_軽油,係数_バス貨物_メタノール,係数_バス貨物_LPG),MATCH(AY1404+1,【参考】排出係数!$AI$4:$AI$671,1)-1,5,BE1404),3,FALSE),IF(OR(AW1404=1,AW1404=2),VLOOKUP(AU1404,INDEX((係数_乗用_ガソリン,係数_乗用_CNG,係数_乗用_軽油,係数_乗用_メタノール,係数_乗用_LPG),1,1,BE1404):INDEX((係数_乗用_ガソリン,係数_乗用_CNG,係数_乗用_軽油,係数_乗用_メタノール,係数_乗用_LPG),125,5,BE1404),3,FALSE))))))</f>
        <v/>
      </c>
      <c r="BC1404" s="467" t="str">
        <f t="shared" si="824"/>
        <v/>
      </c>
      <c r="BD1404" s="567" t="str">
        <f t="shared" si="825"/>
        <v/>
      </c>
      <c r="BE1404" s="467" t="str">
        <f t="shared" si="826"/>
        <v/>
      </c>
      <c r="BF1404" s="469" t="str">
        <f t="shared" ca="1" si="827"/>
        <v/>
      </c>
      <c r="BG1404" s="469" t="str">
        <f t="shared" ca="1" si="828"/>
        <v/>
      </c>
      <c r="BH1404" s="467" t="str">
        <f t="shared" si="829"/>
        <v/>
      </c>
      <c r="BI1404" s="467" t="str">
        <f t="shared" ca="1" si="830"/>
        <v/>
      </c>
      <c r="BJ1404" s="469" t="str">
        <f t="shared" si="831"/>
        <v/>
      </c>
      <c r="BK1404" s="470" t="str">
        <f t="shared" si="815"/>
        <v/>
      </c>
      <c r="BL1404" s="775" t="str">
        <f t="shared" si="832"/>
        <v/>
      </c>
      <c r="BM1404" s="775" t="str">
        <f t="shared" si="833"/>
        <v/>
      </c>
    </row>
    <row r="1405" spans="1:65">
      <c r="A1405" s="473">
        <v>1349</v>
      </c>
      <c r="B1405" s="132"/>
      <c r="C1405" s="332"/>
      <c r="D1405" s="333"/>
      <c r="E1405" s="333"/>
      <c r="F1405" s="334"/>
      <c r="G1405" s="337"/>
      <c r="H1405" s="131"/>
      <c r="I1405" s="337"/>
      <c r="J1405" s="131"/>
      <c r="K1405" s="458" t="str">
        <f t="shared" si="796"/>
        <v/>
      </c>
      <c r="L1405" s="458">
        <f t="shared" si="797"/>
        <v>0</v>
      </c>
      <c r="M1405" s="458">
        <f t="shared" si="798"/>
        <v>0</v>
      </c>
      <c r="N1405" s="459" t="str">
        <f t="shared" si="809"/>
        <v/>
      </c>
      <c r="O1405" s="459" t="str">
        <f t="shared" si="810"/>
        <v/>
      </c>
      <c r="P1405" s="459" t="str">
        <f t="shared" si="811"/>
        <v/>
      </c>
      <c r="Q1405" s="459" t="str">
        <f t="shared" si="812"/>
        <v/>
      </c>
      <c r="R1405" s="459" t="str">
        <f t="shared" si="813"/>
        <v/>
      </c>
      <c r="S1405" s="459" t="str">
        <f t="shared" si="814"/>
        <v/>
      </c>
      <c r="T1405" s="566" t="str">
        <f t="shared" si="799"/>
        <v/>
      </c>
      <c r="U1405" s="702"/>
      <c r="V1405" s="132"/>
      <c r="W1405" s="133"/>
      <c r="X1405" s="134"/>
      <c r="Y1405" s="135"/>
      <c r="Z1405" s="137"/>
      <c r="AA1405" s="136"/>
      <c r="AB1405" s="566" t="str">
        <f t="shared" si="800"/>
        <v/>
      </c>
      <c r="AC1405" s="568" t="str">
        <f t="shared" si="801"/>
        <v/>
      </c>
      <c r="AD1405" s="137"/>
      <c r="AE1405" s="137"/>
      <c r="AF1405" s="138"/>
      <c r="AG1405" s="138"/>
      <c r="AH1405" s="592" t="str">
        <f t="shared" si="802"/>
        <v/>
      </c>
      <c r="AI1405" s="592" t="str">
        <f t="shared" si="803"/>
        <v/>
      </c>
      <c r="AJ1405" s="592" t="str">
        <f t="shared" si="804"/>
        <v/>
      </c>
      <c r="AK1405" s="460" t="str">
        <f>IF(AU1405="","",IF(OR(AZ1405=8,AZ1405=9),0,IF(OR(AW1405=3,AW1405=4,AW1405=5,AW1405=6),IF(LEFT(BF1405,1)="1",INDEX(係数_NOX・PM低減,MATCH(AY1405,【参考】排出係数!$AI$801:$AI$804,1),1),VLOOKUP(AU1405,INDEX((係数_バス貨物_ガソリン,係数_バス貨物_CNG,係数_バス貨物_軽油,係数_バス貨物_メタノール,係数_バス貨物_LPG),MATCH(AY1405,【参考】排出係数!$AI$4:$AI$671,1),1,BE1405):INDEX((係数_バス貨物_ガソリン,係数_バス貨物_CNG,係数_バス貨物_軽油,係数_バス貨物_メタノール,係数_バス貨物_LPG),MATCH(AY1405+1,【参考】排出係数!$AI$4:$AI$671,1)-1,5,BE1405),4,FALSE)),IF(AND(BE1405=3,LEFT(BF1405,1)="1"),0.48,VLOOKUP(AU1405,INDEX((係数_乗用_ガソリン,係数_乗用_CNG,係数_乗用_軽油,係数_乗用_メタノール,係数_乗用_LPG),1,1,BE1405):INDEX((係数_乗用_ガソリン,係数_乗用_CNG,係数_乗用_軽油,係数_乗用_メタノール,係数_乗用_LPG),125,5,BE1405),4,FALSE)))))</f>
        <v/>
      </c>
      <c r="AL1405" s="461" t="str">
        <f t="shared" si="805"/>
        <v/>
      </c>
      <c r="AM1405" s="460" t="str">
        <f>IF(AU1405="","",IF(OR(AZ1405=8,AZ1405=9),0,IF(OR(AW1405=3,AW1405=4,AW1405=5,AW1405=6),IF(LEFT(BH1405,1)="1",INDEX(係数_PM低減,MATCH(AY1405,【参考】排出係数!$AI$801:$AI$804,1),MATCH(BI1405,【参考】排出係数!$AL$798:$AO$798,1)),VLOOKUP(AU1405,INDEX((係数_バス貨物_ガソリン,係数_バス貨物_CNG,係数_バス貨物_軽油,係数_バス貨物_メタノール,係数_バス貨物_LPG),MATCH(AY1405,【参考】排出係数!$AI$4:$AI$671,1),1,BE1405):INDEX((係数_バス貨物_ガソリン,係数_バス貨物_CNG,係数_バス貨物_軽油,係数_バス貨物_メタノール,係数_バス貨物_LPG),MATCH(AY1405+1,【参考】排出係数!$AI$4:$AI$671,1)-1,5,BE1405),5,FALSE)),IF(AND(BE1405=3,LEFT(BF1405,1)="1"),0.055,VLOOKUP(AU1405,INDEX((係数_乗用_ガソリン,係数_乗用_CNG,係数_乗用_軽油,係数_乗用_メタノール,係数_乗用_LPG),1,1,BE1405):INDEX((係数_乗用_ガソリン,係数_乗用_CNG,係数_乗用_軽油,係数_乗用_メタノール,係数_乗用_LPG),125,5,BE1405),5,FALSE)))))</f>
        <v/>
      </c>
      <c r="AN1405" s="461" t="str">
        <f t="shared" si="806"/>
        <v/>
      </c>
      <c r="AO1405" s="462" t="str">
        <f t="shared" si="807"/>
        <v/>
      </c>
      <c r="AP1405" s="463" t="str">
        <f t="shared" si="808"/>
        <v/>
      </c>
      <c r="AQ1405" s="464"/>
      <c r="AR1405" s="619"/>
      <c r="AS1405" s="465" t="str">
        <f t="shared" si="816"/>
        <v/>
      </c>
      <c r="AT1405" s="465" t="str">
        <f t="shared" si="817"/>
        <v/>
      </c>
      <c r="AU1405" s="466" t="str">
        <f t="shared" si="818"/>
        <v/>
      </c>
      <c r="AV1405" s="467" t="str">
        <f t="shared" si="819"/>
        <v/>
      </c>
      <c r="AW1405" s="467" t="str">
        <f t="shared" si="820"/>
        <v/>
      </c>
      <c r="AX1405" s="467" t="str">
        <f t="shared" si="821"/>
        <v/>
      </c>
      <c r="AY1405" s="467" t="str">
        <f t="shared" si="822"/>
        <v/>
      </c>
      <c r="AZ1405" s="467" t="str">
        <f t="shared" si="823"/>
        <v/>
      </c>
      <c r="BA1405" s="468" t="str">
        <f>IF(AS1405="","",IF(OR(AU1405="",AU1405="-"),"－",IF(OR(AZ1405=8,AZ1405=9),"",IF(OR(AW1405=3,AW1405=4,AW1405=5,AW1405=6),VLOOKUP(AU1405,INDEX((係数_バス貨物_ガソリン,係数_バス貨物_CNG,係数_バス貨物_軽油,係数_バス貨物_メタノール,係数_バス貨物_LPG),MATCH(AY1405,【参考】排出係数!$AI$4:$AI$671,1),1,BE1405):INDEX((係数_バス貨物_ガソリン,係数_バス貨物_CNG,係数_バス貨物_軽油,係数_バス貨物_メタノール,係数_バス貨物_LPG),MATCH(AY1405+1,【参考】排出係数!$AI$4:$AI$671,1)-1,5,BE1405),2,FALSE),IF(OR(AW1405=1,AW1405=2),VLOOKUP(AU1405,INDEX((係数_乗用_ガソリン,係数_乗用_CNG,係数_乗用_軽油,係数_乗用_メタノール,係数_乗用_LPG),1,1,BE1405):INDEX((係数_乗用_ガソリン,係数_乗用_CNG,係数_乗用_軽油,係数_乗用_メタノール,係数_乗用_LPG),125,5,BE1405),2,FALSE))))))</f>
        <v/>
      </c>
      <c r="BB1405" s="468" t="str">
        <f>IF(T1405="","",IF(OR(AU1405="",AU1405="-"),"－",IF(OR(AZ1405=8,AZ1405=9),"",IF(OR(AW1405=3,AW1405=4,AW1405=5,AW1405=6),VLOOKUP(AU1405,INDEX((係数_バス貨物_ガソリン,係数_バス貨物_CNG,係数_バス貨物_軽油,係数_バス貨物_メタノール,係数_バス貨物_LPG),MATCH(AY1405,【参考】排出係数!$AI$4:$AI$671,1),1,BE1405):INDEX((係数_バス貨物_ガソリン,係数_バス貨物_CNG,係数_バス貨物_軽油,係数_バス貨物_メタノール,係数_バス貨物_LPG),MATCH(AY1405+1,【参考】排出係数!$AI$4:$AI$671,1)-1,5,BE1405),3,FALSE),IF(OR(AW1405=1,AW1405=2),VLOOKUP(AU1405,INDEX((係数_乗用_ガソリン,係数_乗用_CNG,係数_乗用_軽油,係数_乗用_メタノール,係数_乗用_LPG),1,1,BE1405):INDEX((係数_乗用_ガソリン,係数_乗用_CNG,係数_乗用_軽油,係数_乗用_メタノール,係数_乗用_LPG),125,5,BE1405),3,FALSE))))))</f>
        <v/>
      </c>
      <c r="BC1405" s="467" t="str">
        <f t="shared" si="824"/>
        <v/>
      </c>
      <c r="BD1405" s="567" t="str">
        <f t="shared" si="825"/>
        <v/>
      </c>
      <c r="BE1405" s="467" t="str">
        <f t="shared" si="826"/>
        <v/>
      </c>
      <c r="BF1405" s="469" t="str">
        <f t="shared" ca="1" si="827"/>
        <v/>
      </c>
      <c r="BG1405" s="469" t="str">
        <f t="shared" ca="1" si="828"/>
        <v/>
      </c>
      <c r="BH1405" s="467" t="str">
        <f t="shared" si="829"/>
        <v/>
      </c>
      <c r="BI1405" s="467" t="str">
        <f t="shared" ca="1" si="830"/>
        <v/>
      </c>
      <c r="BJ1405" s="469" t="str">
        <f t="shared" si="831"/>
        <v/>
      </c>
      <c r="BK1405" s="470" t="str">
        <f t="shared" si="815"/>
        <v/>
      </c>
      <c r="BL1405" s="775" t="str">
        <f t="shared" si="832"/>
        <v/>
      </c>
      <c r="BM1405" s="775" t="str">
        <f t="shared" si="833"/>
        <v/>
      </c>
    </row>
    <row r="1406" spans="1:65">
      <c r="A1406" s="473">
        <v>1350</v>
      </c>
      <c r="B1406" s="132"/>
      <c r="C1406" s="332"/>
      <c r="D1406" s="333"/>
      <c r="E1406" s="333"/>
      <c r="F1406" s="334"/>
      <c r="G1406" s="337"/>
      <c r="H1406" s="131"/>
      <c r="I1406" s="337"/>
      <c r="J1406" s="131"/>
      <c r="K1406" s="458" t="str">
        <f t="shared" si="796"/>
        <v/>
      </c>
      <c r="L1406" s="458">
        <f t="shared" si="797"/>
        <v>0</v>
      </c>
      <c r="M1406" s="458">
        <f t="shared" si="798"/>
        <v>0</v>
      </c>
      <c r="N1406" s="459" t="str">
        <f t="shared" si="809"/>
        <v/>
      </c>
      <c r="O1406" s="459" t="str">
        <f t="shared" si="810"/>
        <v/>
      </c>
      <c r="P1406" s="459" t="str">
        <f t="shared" si="811"/>
        <v/>
      </c>
      <c r="Q1406" s="459" t="str">
        <f t="shared" si="812"/>
        <v/>
      </c>
      <c r="R1406" s="459" t="str">
        <f t="shared" si="813"/>
        <v/>
      </c>
      <c r="S1406" s="459" t="str">
        <f t="shared" si="814"/>
        <v/>
      </c>
      <c r="T1406" s="566" t="str">
        <f t="shared" si="799"/>
        <v/>
      </c>
      <c r="U1406" s="702"/>
      <c r="V1406" s="132"/>
      <c r="W1406" s="133"/>
      <c r="X1406" s="134"/>
      <c r="Y1406" s="135"/>
      <c r="Z1406" s="137"/>
      <c r="AA1406" s="136"/>
      <c r="AB1406" s="566" t="str">
        <f t="shared" si="800"/>
        <v/>
      </c>
      <c r="AC1406" s="568" t="str">
        <f t="shared" si="801"/>
        <v/>
      </c>
      <c r="AD1406" s="137"/>
      <c r="AE1406" s="137"/>
      <c r="AF1406" s="138"/>
      <c r="AG1406" s="138"/>
      <c r="AH1406" s="592" t="str">
        <f t="shared" si="802"/>
        <v/>
      </c>
      <c r="AI1406" s="592" t="str">
        <f t="shared" si="803"/>
        <v/>
      </c>
      <c r="AJ1406" s="592" t="str">
        <f t="shared" si="804"/>
        <v/>
      </c>
      <c r="AK1406" s="460" t="str">
        <f>IF(AU1406="","",IF(OR(AZ1406=8,AZ1406=9),0,IF(OR(AW1406=3,AW1406=4,AW1406=5,AW1406=6),IF(LEFT(BF1406,1)="1",INDEX(係数_NOX・PM低減,MATCH(AY1406,【参考】排出係数!$AI$801:$AI$804,1),1),VLOOKUP(AU1406,INDEX((係数_バス貨物_ガソリン,係数_バス貨物_CNG,係数_バス貨物_軽油,係数_バス貨物_メタノール,係数_バス貨物_LPG),MATCH(AY1406,【参考】排出係数!$AI$4:$AI$671,1),1,BE1406):INDEX((係数_バス貨物_ガソリン,係数_バス貨物_CNG,係数_バス貨物_軽油,係数_バス貨物_メタノール,係数_バス貨物_LPG),MATCH(AY1406+1,【参考】排出係数!$AI$4:$AI$671,1)-1,5,BE1406),4,FALSE)),IF(AND(BE1406=3,LEFT(BF1406,1)="1"),0.48,VLOOKUP(AU1406,INDEX((係数_乗用_ガソリン,係数_乗用_CNG,係数_乗用_軽油,係数_乗用_メタノール,係数_乗用_LPG),1,1,BE1406):INDEX((係数_乗用_ガソリン,係数_乗用_CNG,係数_乗用_軽油,係数_乗用_メタノール,係数_乗用_LPG),125,5,BE1406),4,FALSE)))))</f>
        <v/>
      </c>
      <c r="AL1406" s="461" t="str">
        <f t="shared" si="805"/>
        <v/>
      </c>
      <c r="AM1406" s="460" t="str">
        <f>IF(AU1406="","",IF(OR(AZ1406=8,AZ1406=9),0,IF(OR(AW1406=3,AW1406=4,AW1406=5,AW1406=6),IF(LEFT(BH1406,1)="1",INDEX(係数_PM低減,MATCH(AY1406,【参考】排出係数!$AI$801:$AI$804,1),MATCH(BI1406,【参考】排出係数!$AL$798:$AO$798,1)),VLOOKUP(AU1406,INDEX((係数_バス貨物_ガソリン,係数_バス貨物_CNG,係数_バス貨物_軽油,係数_バス貨物_メタノール,係数_バス貨物_LPG),MATCH(AY1406,【参考】排出係数!$AI$4:$AI$671,1),1,BE1406):INDEX((係数_バス貨物_ガソリン,係数_バス貨物_CNG,係数_バス貨物_軽油,係数_バス貨物_メタノール,係数_バス貨物_LPG),MATCH(AY1406+1,【参考】排出係数!$AI$4:$AI$671,1)-1,5,BE1406),5,FALSE)),IF(AND(BE1406=3,LEFT(BF1406,1)="1"),0.055,VLOOKUP(AU1406,INDEX((係数_乗用_ガソリン,係数_乗用_CNG,係数_乗用_軽油,係数_乗用_メタノール,係数_乗用_LPG),1,1,BE1406):INDEX((係数_乗用_ガソリン,係数_乗用_CNG,係数_乗用_軽油,係数_乗用_メタノール,係数_乗用_LPG),125,5,BE1406),5,FALSE)))))</f>
        <v/>
      </c>
      <c r="AN1406" s="461" t="str">
        <f t="shared" si="806"/>
        <v/>
      </c>
      <c r="AO1406" s="462" t="str">
        <f t="shared" si="807"/>
        <v/>
      </c>
      <c r="AP1406" s="463" t="str">
        <f t="shared" si="808"/>
        <v/>
      </c>
      <c r="AQ1406" s="464"/>
      <c r="AR1406" s="619"/>
      <c r="AS1406" s="465" t="str">
        <f t="shared" si="816"/>
        <v/>
      </c>
      <c r="AT1406" s="465" t="str">
        <f t="shared" si="817"/>
        <v/>
      </c>
      <c r="AU1406" s="466" t="str">
        <f t="shared" si="818"/>
        <v/>
      </c>
      <c r="AV1406" s="467" t="str">
        <f t="shared" si="819"/>
        <v/>
      </c>
      <c r="AW1406" s="467" t="str">
        <f t="shared" si="820"/>
        <v/>
      </c>
      <c r="AX1406" s="467" t="str">
        <f t="shared" si="821"/>
        <v/>
      </c>
      <c r="AY1406" s="467" t="str">
        <f t="shared" si="822"/>
        <v/>
      </c>
      <c r="AZ1406" s="467" t="str">
        <f t="shared" si="823"/>
        <v/>
      </c>
      <c r="BA1406" s="468" t="str">
        <f>IF(AS1406="","",IF(OR(AU1406="",AU1406="-"),"－",IF(OR(AZ1406=8,AZ1406=9),"",IF(OR(AW1406=3,AW1406=4,AW1406=5,AW1406=6),VLOOKUP(AU1406,INDEX((係数_バス貨物_ガソリン,係数_バス貨物_CNG,係数_バス貨物_軽油,係数_バス貨物_メタノール,係数_バス貨物_LPG),MATCH(AY1406,【参考】排出係数!$AI$4:$AI$671,1),1,BE1406):INDEX((係数_バス貨物_ガソリン,係数_バス貨物_CNG,係数_バス貨物_軽油,係数_バス貨物_メタノール,係数_バス貨物_LPG),MATCH(AY1406+1,【参考】排出係数!$AI$4:$AI$671,1)-1,5,BE1406),2,FALSE),IF(OR(AW1406=1,AW1406=2),VLOOKUP(AU1406,INDEX((係数_乗用_ガソリン,係数_乗用_CNG,係数_乗用_軽油,係数_乗用_メタノール,係数_乗用_LPG),1,1,BE1406):INDEX((係数_乗用_ガソリン,係数_乗用_CNG,係数_乗用_軽油,係数_乗用_メタノール,係数_乗用_LPG),125,5,BE1406),2,FALSE))))))</f>
        <v/>
      </c>
      <c r="BB1406" s="468" t="str">
        <f>IF(T1406="","",IF(OR(AU1406="",AU1406="-"),"－",IF(OR(AZ1406=8,AZ1406=9),"",IF(OR(AW1406=3,AW1406=4,AW1406=5,AW1406=6),VLOOKUP(AU1406,INDEX((係数_バス貨物_ガソリン,係数_バス貨物_CNG,係数_バス貨物_軽油,係数_バス貨物_メタノール,係数_バス貨物_LPG),MATCH(AY1406,【参考】排出係数!$AI$4:$AI$671,1),1,BE1406):INDEX((係数_バス貨物_ガソリン,係数_バス貨物_CNG,係数_バス貨物_軽油,係数_バス貨物_メタノール,係数_バス貨物_LPG),MATCH(AY1406+1,【参考】排出係数!$AI$4:$AI$671,1)-1,5,BE1406),3,FALSE),IF(OR(AW1406=1,AW1406=2),VLOOKUP(AU1406,INDEX((係数_乗用_ガソリン,係数_乗用_CNG,係数_乗用_軽油,係数_乗用_メタノール,係数_乗用_LPG),1,1,BE1406):INDEX((係数_乗用_ガソリン,係数_乗用_CNG,係数_乗用_軽油,係数_乗用_メタノール,係数_乗用_LPG),125,5,BE1406),3,FALSE))))))</f>
        <v/>
      </c>
      <c r="BC1406" s="467" t="str">
        <f t="shared" si="824"/>
        <v/>
      </c>
      <c r="BD1406" s="567" t="str">
        <f t="shared" si="825"/>
        <v/>
      </c>
      <c r="BE1406" s="467" t="str">
        <f t="shared" si="826"/>
        <v/>
      </c>
      <c r="BF1406" s="469" t="str">
        <f t="shared" ca="1" si="827"/>
        <v/>
      </c>
      <c r="BG1406" s="469" t="str">
        <f t="shared" ca="1" si="828"/>
        <v/>
      </c>
      <c r="BH1406" s="467" t="str">
        <f t="shared" si="829"/>
        <v/>
      </c>
      <c r="BI1406" s="467" t="str">
        <f t="shared" ca="1" si="830"/>
        <v/>
      </c>
      <c r="BJ1406" s="469" t="str">
        <f t="shared" si="831"/>
        <v/>
      </c>
      <c r="BK1406" s="470" t="str">
        <f t="shared" si="815"/>
        <v/>
      </c>
      <c r="BL1406" s="775" t="str">
        <f t="shared" si="832"/>
        <v/>
      </c>
      <c r="BM1406" s="775" t="str">
        <f t="shared" si="833"/>
        <v/>
      </c>
    </row>
    <row r="1407" spans="1:65">
      <c r="A1407" s="473">
        <v>1351</v>
      </c>
      <c r="B1407" s="132"/>
      <c r="C1407" s="332"/>
      <c r="D1407" s="333"/>
      <c r="E1407" s="333"/>
      <c r="F1407" s="334"/>
      <c r="G1407" s="337"/>
      <c r="H1407" s="131"/>
      <c r="I1407" s="337"/>
      <c r="J1407" s="131"/>
      <c r="K1407" s="458" t="str">
        <f t="shared" si="796"/>
        <v/>
      </c>
      <c r="L1407" s="458">
        <f t="shared" si="797"/>
        <v>0</v>
      </c>
      <c r="M1407" s="458">
        <f t="shared" si="798"/>
        <v>0</v>
      </c>
      <c r="N1407" s="459" t="str">
        <f t="shared" si="809"/>
        <v/>
      </c>
      <c r="O1407" s="459" t="str">
        <f t="shared" si="810"/>
        <v/>
      </c>
      <c r="P1407" s="459" t="str">
        <f t="shared" si="811"/>
        <v/>
      </c>
      <c r="Q1407" s="459" t="str">
        <f t="shared" si="812"/>
        <v/>
      </c>
      <c r="R1407" s="459" t="str">
        <f t="shared" si="813"/>
        <v/>
      </c>
      <c r="S1407" s="459" t="str">
        <f t="shared" si="814"/>
        <v/>
      </c>
      <c r="T1407" s="566" t="str">
        <f t="shared" si="799"/>
        <v/>
      </c>
      <c r="U1407" s="702"/>
      <c r="V1407" s="132"/>
      <c r="W1407" s="133"/>
      <c r="X1407" s="134"/>
      <c r="Y1407" s="135"/>
      <c r="Z1407" s="137"/>
      <c r="AA1407" s="136"/>
      <c r="AB1407" s="566" t="str">
        <f t="shared" si="800"/>
        <v/>
      </c>
      <c r="AC1407" s="568" t="str">
        <f t="shared" si="801"/>
        <v/>
      </c>
      <c r="AD1407" s="137"/>
      <c r="AE1407" s="137"/>
      <c r="AF1407" s="138"/>
      <c r="AG1407" s="138"/>
      <c r="AH1407" s="592" t="str">
        <f t="shared" si="802"/>
        <v/>
      </c>
      <c r="AI1407" s="592" t="str">
        <f t="shared" si="803"/>
        <v/>
      </c>
      <c r="AJ1407" s="592" t="str">
        <f t="shared" si="804"/>
        <v/>
      </c>
      <c r="AK1407" s="460" t="str">
        <f>IF(AU1407="","",IF(OR(AZ1407=8,AZ1407=9),0,IF(OR(AW1407=3,AW1407=4,AW1407=5,AW1407=6),IF(LEFT(BF1407,1)="1",INDEX(係数_NOX・PM低減,MATCH(AY1407,【参考】排出係数!$AI$801:$AI$804,1),1),VLOOKUP(AU1407,INDEX((係数_バス貨物_ガソリン,係数_バス貨物_CNG,係数_バス貨物_軽油,係数_バス貨物_メタノール,係数_バス貨物_LPG),MATCH(AY1407,【参考】排出係数!$AI$4:$AI$671,1),1,BE1407):INDEX((係数_バス貨物_ガソリン,係数_バス貨物_CNG,係数_バス貨物_軽油,係数_バス貨物_メタノール,係数_バス貨物_LPG),MATCH(AY1407+1,【参考】排出係数!$AI$4:$AI$671,1)-1,5,BE1407),4,FALSE)),IF(AND(BE1407=3,LEFT(BF1407,1)="1"),0.48,VLOOKUP(AU1407,INDEX((係数_乗用_ガソリン,係数_乗用_CNG,係数_乗用_軽油,係数_乗用_メタノール,係数_乗用_LPG),1,1,BE1407):INDEX((係数_乗用_ガソリン,係数_乗用_CNG,係数_乗用_軽油,係数_乗用_メタノール,係数_乗用_LPG),125,5,BE1407),4,FALSE)))))</f>
        <v/>
      </c>
      <c r="AL1407" s="461" t="str">
        <f t="shared" si="805"/>
        <v/>
      </c>
      <c r="AM1407" s="460" t="str">
        <f>IF(AU1407="","",IF(OR(AZ1407=8,AZ1407=9),0,IF(OR(AW1407=3,AW1407=4,AW1407=5,AW1407=6),IF(LEFT(BH1407,1)="1",INDEX(係数_PM低減,MATCH(AY1407,【参考】排出係数!$AI$801:$AI$804,1),MATCH(BI1407,【参考】排出係数!$AL$798:$AO$798,1)),VLOOKUP(AU1407,INDEX((係数_バス貨物_ガソリン,係数_バス貨物_CNG,係数_バス貨物_軽油,係数_バス貨物_メタノール,係数_バス貨物_LPG),MATCH(AY1407,【参考】排出係数!$AI$4:$AI$671,1),1,BE1407):INDEX((係数_バス貨物_ガソリン,係数_バス貨物_CNG,係数_バス貨物_軽油,係数_バス貨物_メタノール,係数_バス貨物_LPG),MATCH(AY1407+1,【参考】排出係数!$AI$4:$AI$671,1)-1,5,BE1407),5,FALSE)),IF(AND(BE1407=3,LEFT(BF1407,1)="1"),0.055,VLOOKUP(AU1407,INDEX((係数_乗用_ガソリン,係数_乗用_CNG,係数_乗用_軽油,係数_乗用_メタノール,係数_乗用_LPG),1,1,BE1407):INDEX((係数_乗用_ガソリン,係数_乗用_CNG,係数_乗用_軽油,係数_乗用_メタノール,係数_乗用_LPG),125,5,BE1407),5,FALSE)))))</f>
        <v/>
      </c>
      <c r="AN1407" s="461" t="str">
        <f t="shared" si="806"/>
        <v/>
      </c>
      <c r="AO1407" s="462" t="str">
        <f t="shared" si="807"/>
        <v/>
      </c>
      <c r="AP1407" s="463" t="str">
        <f t="shared" si="808"/>
        <v/>
      </c>
      <c r="AQ1407" s="464"/>
      <c r="AR1407" s="619"/>
      <c r="AS1407" s="465" t="str">
        <f t="shared" si="816"/>
        <v/>
      </c>
      <c r="AT1407" s="465" t="str">
        <f t="shared" si="817"/>
        <v/>
      </c>
      <c r="AU1407" s="466" t="str">
        <f t="shared" si="818"/>
        <v/>
      </c>
      <c r="AV1407" s="467" t="str">
        <f t="shared" si="819"/>
        <v/>
      </c>
      <c r="AW1407" s="467" t="str">
        <f t="shared" si="820"/>
        <v/>
      </c>
      <c r="AX1407" s="467" t="str">
        <f t="shared" si="821"/>
        <v/>
      </c>
      <c r="AY1407" s="467" t="str">
        <f t="shared" si="822"/>
        <v/>
      </c>
      <c r="AZ1407" s="467" t="str">
        <f t="shared" si="823"/>
        <v/>
      </c>
      <c r="BA1407" s="468" t="str">
        <f>IF(AS1407="","",IF(OR(AU1407="",AU1407="-"),"－",IF(OR(AZ1407=8,AZ1407=9),"",IF(OR(AW1407=3,AW1407=4,AW1407=5,AW1407=6),VLOOKUP(AU1407,INDEX((係数_バス貨物_ガソリン,係数_バス貨物_CNG,係数_バス貨物_軽油,係数_バス貨物_メタノール,係数_バス貨物_LPG),MATCH(AY1407,【参考】排出係数!$AI$4:$AI$671,1),1,BE1407):INDEX((係数_バス貨物_ガソリン,係数_バス貨物_CNG,係数_バス貨物_軽油,係数_バス貨物_メタノール,係数_バス貨物_LPG),MATCH(AY1407+1,【参考】排出係数!$AI$4:$AI$671,1)-1,5,BE1407),2,FALSE),IF(OR(AW1407=1,AW1407=2),VLOOKUP(AU1407,INDEX((係数_乗用_ガソリン,係数_乗用_CNG,係数_乗用_軽油,係数_乗用_メタノール,係数_乗用_LPG),1,1,BE1407):INDEX((係数_乗用_ガソリン,係数_乗用_CNG,係数_乗用_軽油,係数_乗用_メタノール,係数_乗用_LPG),125,5,BE1407),2,FALSE))))))</f>
        <v/>
      </c>
      <c r="BB1407" s="468" t="str">
        <f>IF(T1407="","",IF(OR(AU1407="",AU1407="-"),"－",IF(OR(AZ1407=8,AZ1407=9),"",IF(OR(AW1407=3,AW1407=4,AW1407=5,AW1407=6),VLOOKUP(AU1407,INDEX((係数_バス貨物_ガソリン,係数_バス貨物_CNG,係数_バス貨物_軽油,係数_バス貨物_メタノール,係数_バス貨物_LPG),MATCH(AY1407,【参考】排出係数!$AI$4:$AI$671,1),1,BE1407):INDEX((係数_バス貨物_ガソリン,係数_バス貨物_CNG,係数_バス貨物_軽油,係数_バス貨物_メタノール,係数_バス貨物_LPG),MATCH(AY1407+1,【参考】排出係数!$AI$4:$AI$671,1)-1,5,BE1407),3,FALSE),IF(OR(AW1407=1,AW1407=2),VLOOKUP(AU1407,INDEX((係数_乗用_ガソリン,係数_乗用_CNG,係数_乗用_軽油,係数_乗用_メタノール,係数_乗用_LPG),1,1,BE1407):INDEX((係数_乗用_ガソリン,係数_乗用_CNG,係数_乗用_軽油,係数_乗用_メタノール,係数_乗用_LPG),125,5,BE1407),3,FALSE))))))</f>
        <v/>
      </c>
      <c r="BC1407" s="467" t="str">
        <f t="shared" si="824"/>
        <v/>
      </c>
      <c r="BD1407" s="567" t="str">
        <f t="shared" si="825"/>
        <v/>
      </c>
      <c r="BE1407" s="467" t="str">
        <f t="shared" si="826"/>
        <v/>
      </c>
      <c r="BF1407" s="469" t="str">
        <f t="shared" ca="1" si="827"/>
        <v/>
      </c>
      <c r="BG1407" s="469" t="str">
        <f t="shared" ca="1" si="828"/>
        <v/>
      </c>
      <c r="BH1407" s="467" t="str">
        <f t="shared" si="829"/>
        <v/>
      </c>
      <c r="BI1407" s="467" t="str">
        <f t="shared" ca="1" si="830"/>
        <v/>
      </c>
      <c r="BJ1407" s="469" t="str">
        <f t="shared" si="831"/>
        <v/>
      </c>
      <c r="BK1407" s="470" t="str">
        <f t="shared" si="815"/>
        <v/>
      </c>
      <c r="BL1407" s="775" t="str">
        <f t="shared" si="832"/>
        <v/>
      </c>
      <c r="BM1407" s="775" t="str">
        <f t="shared" si="833"/>
        <v/>
      </c>
    </row>
    <row r="1408" spans="1:65">
      <c r="A1408" s="473">
        <v>1352</v>
      </c>
      <c r="B1408" s="132"/>
      <c r="C1408" s="332"/>
      <c r="D1408" s="333"/>
      <c r="E1408" s="333"/>
      <c r="F1408" s="334"/>
      <c r="G1408" s="337"/>
      <c r="H1408" s="131"/>
      <c r="I1408" s="337"/>
      <c r="J1408" s="131"/>
      <c r="K1408" s="458" t="str">
        <f t="shared" si="796"/>
        <v/>
      </c>
      <c r="L1408" s="458">
        <f t="shared" si="797"/>
        <v>0</v>
      </c>
      <c r="M1408" s="458">
        <f t="shared" si="798"/>
        <v>0</v>
      </c>
      <c r="N1408" s="459" t="str">
        <f t="shared" si="809"/>
        <v/>
      </c>
      <c r="O1408" s="459" t="str">
        <f t="shared" si="810"/>
        <v/>
      </c>
      <c r="P1408" s="459" t="str">
        <f t="shared" si="811"/>
        <v/>
      </c>
      <c r="Q1408" s="459" t="str">
        <f t="shared" si="812"/>
        <v/>
      </c>
      <c r="R1408" s="459" t="str">
        <f t="shared" si="813"/>
        <v/>
      </c>
      <c r="S1408" s="459" t="str">
        <f t="shared" si="814"/>
        <v/>
      </c>
      <c r="T1408" s="566" t="str">
        <f t="shared" si="799"/>
        <v/>
      </c>
      <c r="U1408" s="702"/>
      <c r="V1408" s="132"/>
      <c r="W1408" s="133"/>
      <c r="X1408" s="134"/>
      <c r="Y1408" s="135"/>
      <c r="Z1408" s="137"/>
      <c r="AA1408" s="136"/>
      <c r="AB1408" s="566" t="str">
        <f t="shared" si="800"/>
        <v/>
      </c>
      <c r="AC1408" s="568" t="str">
        <f t="shared" si="801"/>
        <v/>
      </c>
      <c r="AD1408" s="137"/>
      <c r="AE1408" s="137"/>
      <c r="AF1408" s="138"/>
      <c r="AG1408" s="138"/>
      <c r="AH1408" s="592" t="str">
        <f t="shared" si="802"/>
        <v/>
      </c>
      <c r="AI1408" s="592" t="str">
        <f t="shared" si="803"/>
        <v/>
      </c>
      <c r="AJ1408" s="592" t="str">
        <f t="shared" si="804"/>
        <v/>
      </c>
      <c r="AK1408" s="460" t="str">
        <f>IF(AU1408="","",IF(OR(AZ1408=8,AZ1408=9),0,IF(OR(AW1408=3,AW1408=4,AW1408=5,AW1408=6),IF(LEFT(BF1408,1)="1",INDEX(係数_NOX・PM低減,MATCH(AY1408,【参考】排出係数!$AI$801:$AI$804,1),1),VLOOKUP(AU1408,INDEX((係数_バス貨物_ガソリン,係数_バス貨物_CNG,係数_バス貨物_軽油,係数_バス貨物_メタノール,係数_バス貨物_LPG),MATCH(AY1408,【参考】排出係数!$AI$4:$AI$671,1),1,BE1408):INDEX((係数_バス貨物_ガソリン,係数_バス貨物_CNG,係数_バス貨物_軽油,係数_バス貨物_メタノール,係数_バス貨物_LPG),MATCH(AY1408+1,【参考】排出係数!$AI$4:$AI$671,1)-1,5,BE1408),4,FALSE)),IF(AND(BE1408=3,LEFT(BF1408,1)="1"),0.48,VLOOKUP(AU1408,INDEX((係数_乗用_ガソリン,係数_乗用_CNG,係数_乗用_軽油,係数_乗用_メタノール,係数_乗用_LPG),1,1,BE1408):INDEX((係数_乗用_ガソリン,係数_乗用_CNG,係数_乗用_軽油,係数_乗用_メタノール,係数_乗用_LPG),125,5,BE1408),4,FALSE)))))</f>
        <v/>
      </c>
      <c r="AL1408" s="461" t="str">
        <f t="shared" si="805"/>
        <v/>
      </c>
      <c r="AM1408" s="460" t="str">
        <f>IF(AU1408="","",IF(OR(AZ1408=8,AZ1408=9),0,IF(OR(AW1408=3,AW1408=4,AW1408=5,AW1408=6),IF(LEFT(BH1408,1)="1",INDEX(係数_PM低減,MATCH(AY1408,【参考】排出係数!$AI$801:$AI$804,1),MATCH(BI1408,【参考】排出係数!$AL$798:$AO$798,1)),VLOOKUP(AU1408,INDEX((係数_バス貨物_ガソリン,係数_バス貨物_CNG,係数_バス貨物_軽油,係数_バス貨物_メタノール,係数_バス貨物_LPG),MATCH(AY1408,【参考】排出係数!$AI$4:$AI$671,1),1,BE1408):INDEX((係数_バス貨物_ガソリン,係数_バス貨物_CNG,係数_バス貨物_軽油,係数_バス貨物_メタノール,係数_バス貨物_LPG),MATCH(AY1408+1,【参考】排出係数!$AI$4:$AI$671,1)-1,5,BE1408),5,FALSE)),IF(AND(BE1408=3,LEFT(BF1408,1)="1"),0.055,VLOOKUP(AU1408,INDEX((係数_乗用_ガソリン,係数_乗用_CNG,係数_乗用_軽油,係数_乗用_メタノール,係数_乗用_LPG),1,1,BE1408):INDEX((係数_乗用_ガソリン,係数_乗用_CNG,係数_乗用_軽油,係数_乗用_メタノール,係数_乗用_LPG),125,5,BE1408),5,FALSE)))))</f>
        <v/>
      </c>
      <c r="AN1408" s="461" t="str">
        <f t="shared" si="806"/>
        <v/>
      </c>
      <c r="AO1408" s="462" t="str">
        <f t="shared" si="807"/>
        <v/>
      </c>
      <c r="AP1408" s="463" t="str">
        <f t="shared" si="808"/>
        <v/>
      </c>
      <c r="AQ1408" s="464"/>
      <c r="AR1408" s="619"/>
      <c r="AS1408" s="465" t="str">
        <f t="shared" si="816"/>
        <v/>
      </c>
      <c r="AT1408" s="465" t="str">
        <f t="shared" si="817"/>
        <v/>
      </c>
      <c r="AU1408" s="466" t="str">
        <f t="shared" si="818"/>
        <v/>
      </c>
      <c r="AV1408" s="467" t="str">
        <f t="shared" si="819"/>
        <v/>
      </c>
      <c r="AW1408" s="467" t="str">
        <f t="shared" si="820"/>
        <v/>
      </c>
      <c r="AX1408" s="467" t="str">
        <f t="shared" si="821"/>
        <v/>
      </c>
      <c r="AY1408" s="467" t="str">
        <f t="shared" si="822"/>
        <v/>
      </c>
      <c r="AZ1408" s="467" t="str">
        <f t="shared" si="823"/>
        <v/>
      </c>
      <c r="BA1408" s="468" t="str">
        <f>IF(AS1408="","",IF(OR(AU1408="",AU1408="-"),"－",IF(OR(AZ1408=8,AZ1408=9),"",IF(OR(AW1408=3,AW1408=4,AW1408=5,AW1408=6),VLOOKUP(AU1408,INDEX((係数_バス貨物_ガソリン,係数_バス貨物_CNG,係数_バス貨物_軽油,係数_バス貨物_メタノール,係数_バス貨物_LPG),MATCH(AY1408,【参考】排出係数!$AI$4:$AI$671,1),1,BE1408):INDEX((係数_バス貨物_ガソリン,係数_バス貨物_CNG,係数_バス貨物_軽油,係数_バス貨物_メタノール,係数_バス貨物_LPG),MATCH(AY1408+1,【参考】排出係数!$AI$4:$AI$671,1)-1,5,BE1408),2,FALSE),IF(OR(AW1408=1,AW1408=2),VLOOKUP(AU1408,INDEX((係数_乗用_ガソリン,係数_乗用_CNG,係数_乗用_軽油,係数_乗用_メタノール,係数_乗用_LPG),1,1,BE1408):INDEX((係数_乗用_ガソリン,係数_乗用_CNG,係数_乗用_軽油,係数_乗用_メタノール,係数_乗用_LPG),125,5,BE1408),2,FALSE))))))</f>
        <v/>
      </c>
      <c r="BB1408" s="468" t="str">
        <f>IF(T1408="","",IF(OR(AU1408="",AU1408="-"),"－",IF(OR(AZ1408=8,AZ1408=9),"",IF(OR(AW1408=3,AW1408=4,AW1408=5,AW1408=6),VLOOKUP(AU1408,INDEX((係数_バス貨物_ガソリン,係数_バス貨物_CNG,係数_バス貨物_軽油,係数_バス貨物_メタノール,係数_バス貨物_LPG),MATCH(AY1408,【参考】排出係数!$AI$4:$AI$671,1),1,BE1408):INDEX((係数_バス貨物_ガソリン,係数_バス貨物_CNG,係数_バス貨物_軽油,係数_バス貨物_メタノール,係数_バス貨物_LPG),MATCH(AY1408+1,【参考】排出係数!$AI$4:$AI$671,1)-1,5,BE1408),3,FALSE),IF(OR(AW1408=1,AW1408=2),VLOOKUP(AU1408,INDEX((係数_乗用_ガソリン,係数_乗用_CNG,係数_乗用_軽油,係数_乗用_メタノール,係数_乗用_LPG),1,1,BE1408):INDEX((係数_乗用_ガソリン,係数_乗用_CNG,係数_乗用_軽油,係数_乗用_メタノール,係数_乗用_LPG),125,5,BE1408),3,FALSE))))))</f>
        <v/>
      </c>
      <c r="BC1408" s="467" t="str">
        <f t="shared" si="824"/>
        <v/>
      </c>
      <c r="BD1408" s="567" t="str">
        <f t="shared" si="825"/>
        <v/>
      </c>
      <c r="BE1408" s="467" t="str">
        <f t="shared" si="826"/>
        <v/>
      </c>
      <c r="BF1408" s="469" t="str">
        <f t="shared" ca="1" si="827"/>
        <v/>
      </c>
      <c r="BG1408" s="469" t="str">
        <f t="shared" ca="1" si="828"/>
        <v/>
      </c>
      <c r="BH1408" s="467" t="str">
        <f t="shared" si="829"/>
        <v/>
      </c>
      <c r="BI1408" s="467" t="str">
        <f t="shared" ca="1" si="830"/>
        <v/>
      </c>
      <c r="BJ1408" s="469" t="str">
        <f t="shared" si="831"/>
        <v/>
      </c>
      <c r="BK1408" s="470" t="str">
        <f t="shared" si="815"/>
        <v/>
      </c>
      <c r="BL1408" s="775" t="str">
        <f t="shared" si="832"/>
        <v/>
      </c>
      <c r="BM1408" s="775" t="str">
        <f t="shared" si="833"/>
        <v/>
      </c>
    </row>
    <row r="1409" spans="1:65">
      <c r="A1409" s="473">
        <v>1353</v>
      </c>
      <c r="B1409" s="132"/>
      <c r="C1409" s="332"/>
      <c r="D1409" s="333"/>
      <c r="E1409" s="333"/>
      <c r="F1409" s="334"/>
      <c r="G1409" s="337"/>
      <c r="H1409" s="131"/>
      <c r="I1409" s="337"/>
      <c r="J1409" s="131"/>
      <c r="K1409" s="458" t="str">
        <f t="shared" si="796"/>
        <v/>
      </c>
      <c r="L1409" s="458">
        <f t="shared" si="797"/>
        <v>0</v>
      </c>
      <c r="M1409" s="458">
        <f t="shared" si="798"/>
        <v>0</v>
      </c>
      <c r="N1409" s="459" t="str">
        <f t="shared" si="809"/>
        <v/>
      </c>
      <c r="O1409" s="459" t="str">
        <f t="shared" si="810"/>
        <v/>
      </c>
      <c r="P1409" s="459" t="str">
        <f t="shared" si="811"/>
        <v/>
      </c>
      <c r="Q1409" s="459" t="str">
        <f t="shared" si="812"/>
        <v/>
      </c>
      <c r="R1409" s="459" t="str">
        <f t="shared" si="813"/>
        <v/>
      </c>
      <c r="S1409" s="459" t="str">
        <f t="shared" si="814"/>
        <v/>
      </c>
      <c r="T1409" s="566" t="str">
        <f t="shared" si="799"/>
        <v/>
      </c>
      <c r="U1409" s="702"/>
      <c r="V1409" s="132"/>
      <c r="W1409" s="133"/>
      <c r="X1409" s="134"/>
      <c r="Y1409" s="135"/>
      <c r="Z1409" s="137"/>
      <c r="AA1409" s="136"/>
      <c r="AB1409" s="566" t="str">
        <f t="shared" si="800"/>
        <v/>
      </c>
      <c r="AC1409" s="568" t="str">
        <f t="shared" si="801"/>
        <v/>
      </c>
      <c r="AD1409" s="137"/>
      <c r="AE1409" s="137"/>
      <c r="AF1409" s="138"/>
      <c r="AG1409" s="138"/>
      <c r="AH1409" s="592" t="str">
        <f t="shared" si="802"/>
        <v/>
      </c>
      <c r="AI1409" s="592" t="str">
        <f t="shared" si="803"/>
        <v/>
      </c>
      <c r="AJ1409" s="592" t="str">
        <f t="shared" si="804"/>
        <v/>
      </c>
      <c r="AK1409" s="460" t="str">
        <f>IF(AU1409="","",IF(OR(AZ1409=8,AZ1409=9),0,IF(OR(AW1409=3,AW1409=4,AW1409=5,AW1409=6),IF(LEFT(BF1409,1)="1",INDEX(係数_NOX・PM低減,MATCH(AY1409,【参考】排出係数!$AI$801:$AI$804,1),1),VLOOKUP(AU1409,INDEX((係数_バス貨物_ガソリン,係数_バス貨物_CNG,係数_バス貨物_軽油,係数_バス貨物_メタノール,係数_バス貨物_LPG),MATCH(AY1409,【参考】排出係数!$AI$4:$AI$671,1),1,BE1409):INDEX((係数_バス貨物_ガソリン,係数_バス貨物_CNG,係数_バス貨物_軽油,係数_バス貨物_メタノール,係数_バス貨物_LPG),MATCH(AY1409+1,【参考】排出係数!$AI$4:$AI$671,1)-1,5,BE1409),4,FALSE)),IF(AND(BE1409=3,LEFT(BF1409,1)="1"),0.48,VLOOKUP(AU1409,INDEX((係数_乗用_ガソリン,係数_乗用_CNG,係数_乗用_軽油,係数_乗用_メタノール,係数_乗用_LPG),1,1,BE1409):INDEX((係数_乗用_ガソリン,係数_乗用_CNG,係数_乗用_軽油,係数_乗用_メタノール,係数_乗用_LPG),125,5,BE1409),4,FALSE)))))</f>
        <v/>
      </c>
      <c r="AL1409" s="461" t="str">
        <f t="shared" si="805"/>
        <v/>
      </c>
      <c r="AM1409" s="460" t="str">
        <f>IF(AU1409="","",IF(OR(AZ1409=8,AZ1409=9),0,IF(OR(AW1409=3,AW1409=4,AW1409=5,AW1409=6),IF(LEFT(BH1409,1)="1",INDEX(係数_PM低減,MATCH(AY1409,【参考】排出係数!$AI$801:$AI$804,1),MATCH(BI1409,【参考】排出係数!$AL$798:$AO$798,1)),VLOOKUP(AU1409,INDEX((係数_バス貨物_ガソリン,係数_バス貨物_CNG,係数_バス貨物_軽油,係数_バス貨物_メタノール,係数_バス貨物_LPG),MATCH(AY1409,【参考】排出係数!$AI$4:$AI$671,1),1,BE1409):INDEX((係数_バス貨物_ガソリン,係数_バス貨物_CNG,係数_バス貨物_軽油,係数_バス貨物_メタノール,係数_バス貨物_LPG),MATCH(AY1409+1,【参考】排出係数!$AI$4:$AI$671,1)-1,5,BE1409),5,FALSE)),IF(AND(BE1409=3,LEFT(BF1409,1)="1"),0.055,VLOOKUP(AU1409,INDEX((係数_乗用_ガソリン,係数_乗用_CNG,係数_乗用_軽油,係数_乗用_メタノール,係数_乗用_LPG),1,1,BE1409):INDEX((係数_乗用_ガソリン,係数_乗用_CNG,係数_乗用_軽油,係数_乗用_メタノール,係数_乗用_LPG),125,5,BE1409),5,FALSE)))))</f>
        <v/>
      </c>
      <c r="AN1409" s="461" t="str">
        <f t="shared" si="806"/>
        <v/>
      </c>
      <c r="AO1409" s="462" t="str">
        <f t="shared" si="807"/>
        <v/>
      </c>
      <c r="AP1409" s="463" t="str">
        <f t="shared" si="808"/>
        <v/>
      </c>
      <c r="AQ1409" s="464"/>
      <c r="AR1409" s="619"/>
      <c r="AS1409" s="465" t="str">
        <f t="shared" si="816"/>
        <v/>
      </c>
      <c r="AT1409" s="465" t="str">
        <f t="shared" si="817"/>
        <v/>
      </c>
      <c r="AU1409" s="466" t="str">
        <f t="shared" si="818"/>
        <v/>
      </c>
      <c r="AV1409" s="467" t="str">
        <f t="shared" si="819"/>
        <v/>
      </c>
      <c r="AW1409" s="467" t="str">
        <f t="shared" si="820"/>
        <v/>
      </c>
      <c r="AX1409" s="467" t="str">
        <f t="shared" si="821"/>
        <v/>
      </c>
      <c r="AY1409" s="467" t="str">
        <f t="shared" si="822"/>
        <v/>
      </c>
      <c r="AZ1409" s="467" t="str">
        <f t="shared" si="823"/>
        <v/>
      </c>
      <c r="BA1409" s="468" t="str">
        <f>IF(AS1409="","",IF(OR(AU1409="",AU1409="-"),"－",IF(OR(AZ1409=8,AZ1409=9),"",IF(OR(AW1409=3,AW1409=4,AW1409=5,AW1409=6),VLOOKUP(AU1409,INDEX((係数_バス貨物_ガソリン,係数_バス貨物_CNG,係数_バス貨物_軽油,係数_バス貨物_メタノール,係数_バス貨物_LPG),MATCH(AY1409,【参考】排出係数!$AI$4:$AI$671,1),1,BE1409):INDEX((係数_バス貨物_ガソリン,係数_バス貨物_CNG,係数_バス貨物_軽油,係数_バス貨物_メタノール,係数_バス貨物_LPG),MATCH(AY1409+1,【参考】排出係数!$AI$4:$AI$671,1)-1,5,BE1409),2,FALSE),IF(OR(AW1409=1,AW1409=2),VLOOKUP(AU1409,INDEX((係数_乗用_ガソリン,係数_乗用_CNG,係数_乗用_軽油,係数_乗用_メタノール,係数_乗用_LPG),1,1,BE1409):INDEX((係数_乗用_ガソリン,係数_乗用_CNG,係数_乗用_軽油,係数_乗用_メタノール,係数_乗用_LPG),125,5,BE1409),2,FALSE))))))</f>
        <v/>
      </c>
      <c r="BB1409" s="468" t="str">
        <f>IF(T1409="","",IF(OR(AU1409="",AU1409="-"),"－",IF(OR(AZ1409=8,AZ1409=9),"",IF(OR(AW1409=3,AW1409=4,AW1409=5,AW1409=6),VLOOKUP(AU1409,INDEX((係数_バス貨物_ガソリン,係数_バス貨物_CNG,係数_バス貨物_軽油,係数_バス貨物_メタノール,係数_バス貨物_LPG),MATCH(AY1409,【参考】排出係数!$AI$4:$AI$671,1),1,BE1409):INDEX((係数_バス貨物_ガソリン,係数_バス貨物_CNG,係数_バス貨物_軽油,係数_バス貨物_メタノール,係数_バス貨物_LPG),MATCH(AY1409+1,【参考】排出係数!$AI$4:$AI$671,1)-1,5,BE1409),3,FALSE),IF(OR(AW1409=1,AW1409=2),VLOOKUP(AU1409,INDEX((係数_乗用_ガソリン,係数_乗用_CNG,係数_乗用_軽油,係数_乗用_メタノール,係数_乗用_LPG),1,1,BE1409):INDEX((係数_乗用_ガソリン,係数_乗用_CNG,係数_乗用_軽油,係数_乗用_メタノール,係数_乗用_LPG),125,5,BE1409),3,FALSE))))))</f>
        <v/>
      </c>
      <c r="BC1409" s="467" t="str">
        <f t="shared" si="824"/>
        <v/>
      </c>
      <c r="BD1409" s="567" t="str">
        <f t="shared" si="825"/>
        <v/>
      </c>
      <c r="BE1409" s="467" t="str">
        <f t="shared" si="826"/>
        <v/>
      </c>
      <c r="BF1409" s="469" t="str">
        <f t="shared" ca="1" si="827"/>
        <v/>
      </c>
      <c r="BG1409" s="469" t="str">
        <f t="shared" ca="1" si="828"/>
        <v/>
      </c>
      <c r="BH1409" s="467" t="str">
        <f t="shared" si="829"/>
        <v/>
      </c>
      <c r="BI1409" s="467" t="str">
        <f t="shared" ca="1" si="830"/>
        <v/>
      </c>
      <c r="BJ1409" s="469" t="str">
        <f t="shared" si="831"/>
        <v/>
      </c>
      <c r="BK1409" s="470" t="str">
        <f t="shared" si="815"/>
        <v/>
      </c>
      <c r="BL1409" s="775" t="str">
        <f t="shared" si="832"/>
        <v/>
      </c>
      <c r="BM1409" s="775" t="str">
        <f t="shared" si="833"/>
        <v/>
      </c>
    </row>
    <row r="1410" spans="1:65">
      <c r="A1410" s="473">
        <v>1354</v>
      </c>
      <c r="B1410" s="132"/>
      <c r="C1410" s="332"/>
      <c r="D1410" s="333"/>
      <c r="E1410" s="333"/>
      <c r="F1410" s="334"/>
      <c r="G1410" s="337"/>
      <c r="H1410" s="131"/>
      <c r="I1410" s="337"/>
      <c r="J1410" s="131"/>
      <c r="K1410" s="458" t="str">
        <f t="shared" si="796"/>
        <v/>
      </c>
      <c r="L1410" s="458">
        <f t="shared" si="797"/>
        <v>0</v>
      </c>
      <c r="M1410" s="458">
        <f t="shared" si="798"/>
        <v>0</v>
      </c>
      <c r="N1410" s="459" t="str">
        <f t="shared" si="809"/>
        <v/>
      </c>
      <c r="O1410" s="459" t="str">
        <f t="shared" si="810"/>
        <v/>
      </c>
      <c r="P1410" s="459" t="str">
        <f t="shared" si="811"/>
        <v/>
      </c>
      <c r="Q1410" s="459" t="str">
        <f t="shared" si="812"/>
        <v/>
      </c>
      <c r="R1410" s="459" t="str">
        <f t="shared" si="813"/>
        <v/>
      </c>
      <c r="S1410" s="459" t="str">
        <f t="shared" si="814"/>
        <v/>
      </c>
      <c r="T1410" s="566" t="str">
        <f t="shared" si="799"/>
        <v/>
      </c>
      <c r="U1410" s="702"/>
      <c r="V1410" s="132"/>
      <c r="W1410" s="133"/>
      <c r="X1410" s="134"/>
      <c r="Y1410" s="135"/>
      <c r="Z1410" s="137"/>
      <c r="AA1410" s="136"/>
      <c r="AB1410" s="566" t="str">
        <f t="shared" si="800"/>
        <v/>
      </c>
      <c r="AC1410" s="568" t="str">
        <f t="shared" si="801"/>
        <v/>
      </c>
      <c r="AD1410" s="137"/>
      <c r="AE1410" s="137"/>
      <c r="AF1410" s="138"/>
      <c r="AG1410" s="138"/>
      <c r="AH1410" s="592" t="str">
        <f t="shared" si="802"/>
        <v/>
      </c>
      <c r="AI1410" s="592" t="str">
        <f t="shared" si="803"/>
        <v/>
      </c>
      <c r="AJ1410" s="592" t="str">
        <f t="shared" si="804"/>
        <v/>
      </c>
      <c r="AK1410" s="460" t="str">
        <f>IF(AU1410="","",IF(OR(AZ1410=8,AZ1410=9),0,IF(OR(AW1410=3,AW1410=4,AW1410=5,AW1410=6),IF(LEFT(BF1410,1)="1",INDEX(係数_NOX・PM低減,MATCH(AY1410,【参考】排出係数!$AI$801:$AI$804,1),1),VLOOKUP(AU1410,INDEX((係数_バス貨物_ガソリン,係数_バス貨物_CNG,係数_バス貨物_軽油,係数_バス貨物_メタノール,係数_バス貨物_LPG),MATCH(AY1410,【参考】排出係数!$AI$4:$AI$671,1),1,BE1410):INDEX((係数_バス貨物_ガソリン,係数_バス貨物_CNG,係数_バス貨物_軽油,係数_バス貨物_メタノール,係数_バス貨物_LPG),MATCH(AY1410+1,【参考】排出係数!$AI$4:$AI$671,1)-1,5,BE1410),4,FALSE)),IF(AND(BE1410=3,LEFT(BF1410,1)="1"),0.48,VLOOKUP(AU1410,INDEX((係数_乗用_ガソリン,係数_乗用_CNG,係数_乗用_軽油,係数_乗用_メタノール,係数_乗用_LPG),1,1,BE1410):INDEX((係数_乗用_ガソリン,係数_乗用_CNG,係数_乗用_軽油,係数_乗用_メタノール,係数_乗用_LPG),125,5,BE1410),4,FALSE)))))</f>
        <v/>
      </c>
      <c r="AL1410" s="461" t="str">
        <f t="shared" si="805"/>
        <v/>
      </c>
      <c r="AM1410" s="460" t="str">
        <f>IF(AU1410="","",IF(OR(AZ1410=8,AZ1410=9),0,IF(OR(AW1410=3,AW1410=4,AW1410=5,AW1410=6),IF(LEFT(BH1410,1)="1",INDEX(係数_PM低減,MATCH(AY1410,【参考】排出係数!$AI$801:$AI$804,1),MATCH(BI1410,【参考】排出係数!$AL$798:$AO$798,1)),VLOOKUP(AU1410,INDEX((係数_バス貨物_ガソリン,係数_バス貨物_CNG,係数_バス貨物_軽油,係数_バス貨物_メタノール,係数_バス貨物_LPG),MATCH(AY1410,【参考】排出係数!$AI$4:$AI$671,1),1,BE1410):INDEX((係数_バス貨物_ガソリン,係数_バス貨物_CNG,係数_バス貨物_軽油,係数_バス貨物_メタノール,係数_バス貨物_LPG),MATCH(AY1410+1,【参考】排出係数!$AI$4:$AI$671,1)-1,5,BE1410),5,FALSE)),IF(AND(BE1410=3,LEFT(BF1410,1)="1"),0.055,VLOOKUP(AU1410,INDEX((係数_乗用_ガソリン,係数_乗用_CNG,係数_乗用_軽油,係数_乗用_メタノール,係数_乗用_LPG),1,1,BE1410):INDEX((係数_乗用_ガソリン,係数_乗用_CNG,係数_乗用_軽油,係数_乗用_メタノール,係数_乗用_LPG),125,5,BE1410),5,FALSE)))))</f>
        <v/>
      </c>
      <c r="AN1410" s="461" t="str">
        <f t="shared" si="806"/>
        <v/>
      </c>
      <c r="AO1410" s="462" t="str">
        <f t="shared" si="807"/>
        <v/>
      </c>
      <c r="AP1410" s="463" t="str">
        <f t="shared" si="808"/>
        <v/>
      </c>
      <c r="AQ1410" s="464"/>
      <c r="AR1410" s="619"/>
      <c r="AS1410" s="465" t="str">
        <f t="shared" si="816"/>
        <v/>
      </c>
      <c r="AT1410" s="465" t="str">
        <f t="shared" si="817"/>
        <v/>
      </c>
      <c r="AU1410" s="466" t="str">
        <f t="shared" si="818"/>
        <v/>
      </c>
      <c r="AV1410" s="467" t="str">
        <f t="shared" si="819"/>
        <v/>
      </c>
      <c r="AW1410" s="467" t="str">
        <f t="shared" si="820"/>
        <v/>
      </c>
      <c r="AX1410" s="467" t="str">
        <f t="shared" si="821"/>
        <v/>
      </c>
      <c r="AY1410" s="467" t="str">
        <f t="shared" si="822"/>
        <v/>
      </c>
      <c r="AZ1410" s="467" t="str">
        <f t="shared" si="823"/>
        <v/>
      </c>
      <c r="BA1410" s="468" t="str">
        <f>IF(AS1410="","",IF(OR(AU1410="",AU1410="-"),"－",IF(OR(AZ1410=8,AZ1410=9),"",IF(OR(AW1410=3,AW1410=4,AW1410=5,AW1410=6),VLOOKUP(AU1410,INDEX((係数_バス貨物_ガソリン,係数_バス貨物_CNG,係数_バス貨物_軽油,係数_バス貨物_メタノール,係数_バス貨物_LPG),MATCH(AY1410,【参考】排出係数!$AI$4:$AI$671,1),1,BE1410):INDEX((係数_バス貨物_ガソリン,係数_バス貨物_CNG,係数_バス貨物_軽油,係数_バス貨物_メタノール,係数_バス貨物_LPG),MATCH(AY1410+1,【参考】排出係数!$AI$4:$AI$671,1)-1,5,BE1410),2,FALSE),IF(OR(AW1410=1,AW1410=2),VLOOKUP(AU1410,INDEX((係数_乗用_ガソリン,係数_乗用_CNG,係数_乗用_軽油,係数_乗用_メタノール,係数_乗用_LPG),1,1,BE1410):INDEX((係数_乗用_ガソリン,係数_乗用_CNG,係数_乗用_軽油,係数_乗用_メタノール,係数_乗用_LPG),125,5,BE1410),2,FALSE))))))</f>
        <v/>
      </c>
      <c r="BB1410" s="468" t="str">
        <f>IF(T1410="","",IF(OR(AU1410="",AU1410="-"),"－",IF(OR(AZ1410=8,AZ1410=9),"",IF(OR(AW1410=3,AW1410=4,AW1410=5,AW1410=6),VLOOKUP(AU1410,INDEX((係数_バス貨物_ガソリン,係数_バス貨物_CNG,係数_バス貨物_軽油,係数_バス貨物_メタノール,係数_バス貨物_LPG),MATCH(AY1410,【参考】排出係数!$AI$4:$AI$671,1),1,BE1410):INDEX((係数_バス貨物_ガソリン,係数_バス貨物_CNG,係数_バス貨物_軽油,係数_バス貨物_メタノール,係数_バス貨物_LPG),MATCH(AY1410+1,【参考】排出係数!$AI$4:$AI$671,1)-1,5,BE1410),3,FALSE),IF(OR(AW1410=1,AW1410=2),VLOOKUP(AU1410,INDEX((係数_乗用_ガソリン,係数_乗用_CNG,係数_乗用_軽油,係数_乗用_メタノール,係数_乗用_LPG),1,1,BE1410):INDEX((係数_乗用_ガソリン,係数_乗用_CNG,係数_乗用_軽油,係数_乗用_メタノール,係数_乗用_LPG),125,5,BE1410),3,FALSE))))))</f>
        <v/>
      </c>
      <c r="BC1410" s="467" t="str">
        <f t="shared" si="824"/>
        <v/>
      </c>
      <c r="BD1410" s="567" t="str">
        <f t="shared" si="825"/>
        <v/>
      </c>
      <c r="BE1410" s="467" t="str">
        <f t="shared" si="826"/>
        <v/>
      </c>
      <c r="BF1410" s="469" t="str">
        <f t="shared" ca="1" si="827"/>
        <v/>
      </c>
      <c r="BG1410" s="469" t="str">
        <f t="shared" ca="1" si="828"/>
        <v/>
      </c>
      <c r="BH1410" s="467" t="str">
        <f t="shared" si="829"/>
        <v/>
      </c>
      <c r="BI1410" s="467" t="str">
        <f t="shared" ca="1" si="830"/>
        <v/>
      </c>
      <c r="BJ1410" s="469" t="str">
        <f t="shared" si="831"/>
        <v/>
      </c>
      <c r="BK1410" s="470" t="str">
        <f t="shared" si="815"/>
        <v/>
      </c>
      <c r="BL1410" s="775" t="str">
        <f t="shared" si="832"/>
        <v/>
      </c>
      <c r="BM1410" s="775" t="str">
        <f t="shared" si="833"/>
        <v/>
      </c>
    </row>
    <row r="1411" spans="1:65">
      <c r="A1411" s="473">
        <v>1355</v>
      </c>
      <c r="B1411" s="132"/>
      <c r="C1411" s="332"/>
      <c r="D1411" s="333"/>
      <c r="E1411" s="333"/>
      <c r="F1411" s="334"/>
      <c r="G1411" s="337"/>
      <c r="H1411" s="131"/>
      <c r="I1411" s="337"/>
      <c r="J1411" s="131"/>
      <c r="K1411" s="458" t="str">
        <f t="shared" si="796"/>
        <v/>
      </c>
      <c r="L1411" s="458">
        <f t="shared" si="797"/>
        <v>0</v>
      </c>
      <c r="M1411" s="458">
        <f t="shared" si="798"/>
        <v>0</v>
      </c>
      <c r="N1411" s="459" t="str">
        <f t="shared" si="809"/>
        <v/>
      </c>
      <c r="O1411" s="459" t="str">
        <f t="shared" si="810"/>
        <v/>
      </c>
      <c r="P1411" s="459" t="str">
        <f t="shared" si="811"/>
        <v/>
      </c>
      <c r="Q1411" s="459" t="str">
        <f t="shared" si="812"/>
        <v/>
      </c>
      <c r="R1411" s="459" t="str">
        <f t="shared" si="813"/>
        <v/>
      </c>
      <c r="S1411" s="459" t="str">
        <f t="shared" si="814"/>
        <v/>
      </c>
      <c r="T1411" s="566" t="str">
        <f t="shared" si="799"/>
        <v/>
      </c>
      <c r="U1411" s="702"/>
      <c r="V1411" s="132"/>
      <c r="W1411" s="133"/>
      <c r="X1411" s="134"/>
      <c r="Y1411" s="135"/>
      <c r="Z1411" s="137"/>
      <c r="AA1411" s="136"/>
      <c r="AB1411" s="566" t="str">
        <f t="shared" si="800"/>
        <v/>
      </c>
      <c r="AC1411" s="568" t="str">
        <f t="shared" si="801"/>
        <v/>
      </c>
      <c r="AD1411" s="137"/>
      <c r="AE1411" s="137"/>
      <c r="AF1411" s="138"/>
      <c r="AG1411" s="138"/>
      <c r="AH1411" s="592" t="str">
        <f t="shared" si="802"/>
        <v/>
      </c>
      <c r="AI1411" s="592" t="str">
        <f t="shared" si="803"/>
        <v/>
      </c>
      <c r="AJ1411" s="592" t="str">
        <f t="shared" si="804"/>
        <v/>
      </c>
      <c r="AK1411" s="460" t="str">
        <f>IF(AU1411="","",IF(OR(AZ1411=8,AZ1411=9),0,IF(OR(AW1411=3,AW1411=4,AW1411=5,AW1411=6),IF(LEFT(BF1411,1)="1",INDEX(係数_NOX・PM低減,MATCH(AY1411,【参考】排出係数!$AI$801:$AI$804,1),1),VLOOKUP(AU1411,INDEX((係数_バス貨物_ガソリン,係数_バス貨物_CNG,係数_バス貨物_軽油,係数_バス貨物_メタノール,係数_バス貨物_LPG),MATCH(AY1411,【参考】排出係数!$AI$4:$AI$671,1),1,BE1411):INDEX((係数_バス貨物_ガソリン,係数_バス貨物_CNG,係数_バス貨物_軽油,係数_バス貨物_メタノール,係数_バス貨物_LPG),MATCH(AY1411+1,【参考】排出係数!$AI$4:$AI$671,1)-1,5,BE1411),4,FALSE)),IF(AND(BE1411=3,LEFT(BF1411,1)="1"),0.48,VLOOKUP(AU1411,INDEX((係数_乗用_ガソリン,係数_乗用_CNG,係数_乗用_軽油,係数_乗用_メタノール,係数_乗用_LPG),1,1,BE1411):INDEX((係数_乗用_ガソリン,係数_乗用_CNG,係数_乗用_軽油,係数_乗用_メタノール,係数_乗用_LPG),125,5,BE1411),4,FALSE)))))</f>
        <v/>
      </c>
      <c r="AL1411" s="461" t="str">
        <f t="shared" si="805"/>
        <v/>
      </c>
      <c r="AM1411" s="460" t="str">
        <f>IF(AU1411="","",IF(OR(AZ1411=8,AZ1411=9),0,IF(OR(AW1411=3,AW1411=4,AW1411=5,AW1411=6),IF(LEFT(BH1411,1)="1",INDEX(係数_PM低減,MATCH(AY1411,【参考】排出係数!$AI$801:$AI$804,1),MATCH(BI1411,【参考】排出係数!$AL$798:$AO$798,1)),VLOOKUP(AU1411,INDEX((係数_バス貨物_ガソリン,係数_バス貨物_CNG,係数_バス貨物_軽油,係数_バス貨物_メタノール,係数_バス貨物_LPG),MATCH(AY1411,【参考】排出係数!$AI$4:$AI$671,1),1,BE1411):INDEX((係数_バス貨物_ガソリン,係数_バス貨物_CNG,係数_バス貨物_軽油,係数_バス貨物_メタノール,係数_バス貨物_LPG),MATCH(AY1411+1,【参考】排出係数!$AI$4:$AI$671,1)-1,5,BE1411),5,FALSE)),IF(AND(BE1411=3,LEFT(BF1411,1)="1"),0.055,VLOOKUP(AU1411,INDEX((係数_乗用_ガソリン,係数_乗用_CNG,係数_乗用_軽油,係数_乗用_メタノール,係数_乗用_LPG),1,1,BE1411):INDEX((係数_乗用_ガソリン,係数_乗用_CNG,係数_乗用_軽油,係数_乗用_メタノール,係数_乗用_LPG),125,5,BE1411),5,FALSE)))))</f>
        <v/>
      </c>
      <c r="AN1411" s="461" t="str">
        <f t="shared" si="806"/>
        <v/>
      </c>
      <c r="AO1411" s="462" t="str">
        <f t="shared" si="807"/>
        <v/>
      </c>
      <c r="AP1411" s="463" t="str">
        <f t="shared" si="808"/>
        <v/>
      </c>
      <c r="AQ1411" s="464"/>
      <c r="AR1411" s="619"/>
      <c r="AS1411" s="465" t="str">
        <f t="shared" si="816"/>
        <v/>
      </c>
      <c r="AT1411" s="465" t="str">
        <f t="shared" si="817"/>
        <v/>
      </c>
      <c r="AU1411" s="466" t="str">
        <f t="shared" si="818"/>
        <v/>
      </c>
      <c r="AV1411" s="467" t="str">
        <f t="shared" si="819"/>
        <v/>
      </c>
      <c r="AW1411" s="467" t="str">
        <f t="shared" si="820"/>
        <v/>
      </c>
      <c r="AX1411" s="467" t="str">
        <f t="shared" si="821"/>
        <v/>
      </c>
      <c r="AY1411" s="467" t="str">
        <f t="shared" si="822"/>
        <v/>
      </c>
      <c r="AZ1411" s="467" t="str">
        <f t="shared" si="823"/>
        <v/>
      </c>
      <c r="BA1411" s="468" t="str">
        <f>IF(AS1411="","",IF(OR(AU1411="",AU1411="-"),"－",IF(OR(AZ1411=8,AZ1411=9),"",IF(OR(AW1411=3,AW1411=4,AW1411=5,AW1411=6),VLOOKUP(AU1411,INDEX((係数_バス貨物_ガソリン,係数_バス貨物_CNG,係数_バス貨物_軽油,係数_バス貨物_メタノール,係数_バス貨物_LPG),MATCH(AY1411,【参考】排出係数!$AI$4:$AI$671,1),1,BE1411):INDEX((係数_バス貨物_ガソリン,係数_バス貨物_CNG,係数_バス貨物_軽油,係数_バス貨物_メタノール,係数_バス貨物_LPG),MATCH(AY1411+1,【参考】排出係数!$AI$4:$AI$671,1)-1,5,BE1411),2,FALSE),IF(OR(AW1411=1,AW1411=2),VLOOKUP(AU1411,INDEX((係数_乗用_ガソリン,係数_乗用_CNG,係数_乗用_軽油,係数_乗用_メタノール,係数_乗用_LPG),1,1,BE1411):INDEX((係数_乗用_ガソリン,係数_乗用_CNG,係数_乗用_軽油,係数_乗用_メタノール,係数_乗用_LPG),125,5,BE1411),2,FALSE))))))</f>
        <v/>
      </c>
      <c r="BB1411" s="468" t="str">
        <f>IF(T1411="","",IF(OR(AU1411="",AU1411="-"),"－",IF(OR(AZ1411=8,AZ1411=9),"",IF(OR(AW1411=3,AW1411=4,AW1411=5,AW1411=6),VLOOKUP(AU1411,INDEX((係数_バス貨物_ガソリン,係数_バス貨物_CNG,係数_バス貨物_軽油,係数_バス貨物_メタノール,係数_バス貨物_LPG),MATCH(AY1411,【参考】排出係数!$AI$4:$AI$671,1),1,BE1411):INDEX((係数_バス貨物_ガソリン,係数_バス貨物_CNG,係数_バス貨物_軽油,係数_バス貨物_メタノール,係数_バス貨物_LPG),MATCH(AY1411+1,【参考】排出係数!$AI$4:$AI$671,1)-1,5,BE1411),3,FALSE),IF(OR(AW1411=1,AW1411=2),VLOOKUP(AU1411,INDEX((係数_乗用_ガソリン,係数_乗用_CNG,係数_乗用_軽油,係数_乗用_メタノール,係数_乗用_LPG),1,1,BE1411):INDEX((係数_乗用_ガソリン,係数_乗用_CNG,係数_乗用_軽油,係数_乗用_メタノール,係数_乗用_LPG),125,5,BE1411),3,FALSE))))))</f>
        <v/>
      </c>
      <c r="BC1411" s="467" t="str">
        <f t="shared" si="824"/>
        <v/>
      </c>
      <c r="BD1411" s="567" t="str">
        <f t="shared" si="825"/>
        <v/>
      </c>
      <c r="BE1411" s="467" t="str">
        <f t="shared" si="826"/>
        <v/>
      </c>
      <c r="BF1411" s="469" t="str">
        <f t="shared" ca="1" si="827"/>
        <v/>
      </c>
      <c r="BG1411" s="469" t="str">
        <f t="shared" ca="1" si="828"/>
        <v/>
      </c>
      <c r="BH1411" s="467" t="str">
        <f t="shared" si="829"/>
        <v/>
      </c>
      <c r="BI1411" s="467" t="str">
        <f t="shared" ca="1" si="830"/>
        <v/>
      </c>
      <c r="BJ1411" s="469" t="str">
        <f t="shared" si="831"/>
        <v/>
      </c>
      <c r="BK1411" s="470" t="str">
        <f t="shared" si="815"/>
        <v/>
      </c>
      <c r="BL1411" s="775" t="str">
        <f t="shared" si="832"/>
        <v/>
      </c>
      <c r="BM1411" s="775" t="str">
        <f t="shared" si="833"/>
        <v/>
      </c>
    </row>
    <row r="1412" spans="1:65">
      <c r="A1412" s="473">
        <v>1356</v>
      </c>
      <c r="B1412" s="132"/>
      <c r="C1412" s="332"/>
      <c r="D1412" s="333"/>
      <c r="E1412" s="333"/>
      <c r="F1412" s="334"/>
      <c r="G1412" s="337"/>
      <c r="H1412" s="131"/>
      <c r="I1412" s="337"/>
      <c r="J1412" s="131"/>
      <c r="K1412" s="458" t="str">
        <f t="shared" si="796"/>
        <v/>
      </c>
      <c r="L1412" s="458">
        <f t="shared" si="797"/>
        <v>0</v>
      </c>
      <c r="M1412" s="458">
        <f t="shared" si="798"/>
        <v>0</v>
      </c>
      <c r="N1412" s="459" t="str">
        <f t="shared" si="809"/>
        <v/>
      </c>
      <c r="O1412" s="459" t="str">
        <f t="shared" si="810"/>
        <v/>
      </c>
      <c r="P1412" s="459" t="str">
        <f t="shared" si="811"/>
        <v/>
      </c>
      <c r="Q1412" s="459" t="str">
        <f t="shared" si="812"/>
        <v/>
      </c>
      <c r="R1412" s="459" t="str">
        <f t="shared" si="813"/>
        <v/>
      </c>
      <c r="S1412" s="459" t="str">
        <f t="shared" si="814"/>
        <v/>
      </c>
      <c r="T1412" s="566" t="str">
        <f t="shared" si="799"/>
        <v/>
      </c>
      <c r="U1412" s="702"/>
      <c r="V1412" s="132"/>
      <c r="W1412" s="133"/>
      <c r="X1412" s="134"/>
      <c r="Y1412" s="135"/>
      <c r="Z1412" s="137"/>
      <c r="AA1412" s="136"/>
      <c r="AB1412" s="566" t="str">
        <f t="shared" si="800"/>
        <v/>
      </c>
      <c r="AC1412" s="568" t="str">
        <f t="shared" si="801"/>
        <v/>
      </c>
      <c r="AD1412" s="137"/>
      <c r="AE1412" s="137"/>
      <c r="AF1412" s="138"/>
      <c r="AG1412" s="138"/>
      <c r="AH1412" s="592" t="str">
        <f t="shared" si="802"/>
        <v/>
      </c>
      <c r="AI1412" s="592" t="str">
        <f t="shared" si="803"/>
        <v/>
      </c>
      <c r="AJ1412" s="592" t="str">
        <f t="shared" si="804"/>
        <v/>
      </c>
      <c r="AK1412" s="460" t="str">
        <f>IF(AU1412="","",IF(OR(AZ1412=8,AZ1412=9),0,IF(OR(AW1412=3,AW1412=4,AW1412=5,AW1412=6),IF(LEFT(BF1412,1)="1",INDEX(係数_NOX・PM低減,MATCH(AY1412,【参考】排出係数!$AI$801:$AI$804,1),1),VLOOKUP(AU1412,INDEX((係数_バス貨物_ガソリン,係数_バス貨物_CNG,係数_バス貨物_軽油,係数_バス貨物_メタノール,係数_バス貨物_LPG),MATCH(AY1412,【参考】排出係数!$AI$4:$AI$671,1),1,BE1412):INDEX((係数_バス貨物_ガソリン,係数_バス貨物_CNG,係数_バス貨物_軽油,係数_バス貨物_メタノール,係数_バス貨物_LPG),MATCH(AY1412+1,【参考】排出係数!$AI$4:$AI$671,1)-1,5,BE1412),4,FALSE)),IF(AND(BE1412=3,LEFT(BF1412,1)="1"),0.48,VLOOKUP(AU1412,INDEX((係数_乗用_ガソリン,係数_乗用_CNG,係数_乗用_軽油,係数_乗用_メタノール,係数_乗用_LPG),1,1,BE1412):INDEX((係数_乗用_ガソリン,係数_乗用_CNG,係数_乗用_軽油,係数_乗用_メタノール,係数_乗用_LPG),125,5,BE1412),4,FALSE)))))</f>
        <v/>
      </c>
      <c r="AL1412" s="461" t="str">
        <f t="shared" si="805"/>
        <v/>
      </c>
      <c r="AM1412" s="460" t="str">
        <f>IF(AU1412="","",IF(OR(AZ1412=8,AZ1412=9),0,IF(OR(AW1412=3,AW1412=4,AW1412=5,AW1412=6),IF(LEFT(BH1412,1)="1",INDEX(係数_PM低減,MATCH(AY1412,【参考】排出係数!$AI$801:$AI$804,1),MATCH(BI1412,【参考】排出係数!$AL$798:$AO$798,1)),VLOOKUP(AU1412,INDEX((係数_バス貨物_ガソリン,係数_バス貨物_CNG,係数_バス貨物_軽油,係数_バス貨物_メタノール,係数_バス貨物_LPG),MATCH(AY1412,【参考】排出係数!$AI$4:$AI$671,1),1,BE1412):INDEX((係数_バス貨物_ガソリン,係数_バス貨物_CNG,係数_バス貨物_軽油,係数_バス貨物_メタノール,係数_バス貨物_LPG),MATCH(AY1412+1,【参考】排出係数!$AI$4:$AI$671,1)-1,5,BE1412),5,FALSE)),IF(AND(BE1412=3,LEFT(BF1412,1)="1"),0.055,VLOOKUP(AU1412,INDEX((係数_乗用_ガソリン,係数_乗用_CNG,係数_乗用_軽油,係数_乗用_メタノール,係数_乗用_LPG),1,1,BE1412):INDEX((係数_乗用_ガソリン,係数_乗用_CNG,係数_乗用_軽油,係数_乗用_メタノール,係数_乗用_LPG),125,5,BE1412),5,FALSE)))))</f>
        <v/>
      </c>
      <c r="AN1412" s="461" t="str">
        <f t="shared" si="806"/>
        <v/>
      </c>
      <c r="AO1412" s="462" t="str">
        <f t="shared" si="807"/>
        <v/>
      </c>
      <c r="AP1412" s="463" t="str">
        <f t="shared" si="808"/>
        <v/>
      </c>
      <c r="AQ1412" s="464"/>
      <c r="AR1412" s="619"/>
      <c r="AS1412" s="465" t="str">
        <f t="shared" si="816"/>
        <v/>
      </c>
      <c r="AT1412" s="465" t="str">
        <f t="shared" si="817"/>
        <v/>
      </c>
      <c r="AU1412" s="466" t="str">
        <f t="shared" si="818"/>
        <v/>
      </c>
      <c r="AV1412" s="467" t="str">
        <f t="shared" si="819"/>
        <v/>
      </c>
      <c r="AW1412" s="467" t="str">
        <f t="shared" si="820"/>
        <v/>
      </c>
      <c r="AX1412" s="467" t="str">
        <f t="shared" si="821"/>
        <v/>
      </c>
      <c r="AY1412" s="467" t="str">
        <f t="shared" si="822"/>
        <v/>
      </c>
      <c r="AZ1412" s="467" t="str">
        <f t="shared" si="823"/>
        <v/>
      </c>
      <c r="BA1412" s="468" t="str">
        <f>IF(AS1412="","",IF(OR(AU1412="",AU1412="-"),"－",IF(OR(AZ1412=8,AZ1412=9),"",IF(OR(AW1412=3,AW1412=4,AW1412=5,AW1412=6),VLOOKUP(AU1412,INDEX((係数_バス貨物_ガソリン,係数_バス貨物_CNG,係数_バス貨物_軽油,係数_バス貨物_メタノール,係数_バス貨物_LPG),MATCH(AY1412,【参考】排出係数!$AI$4:$AI$671,1),1,BE1412):INDEX((係数_バス貨物_ガソリン,係数_バス貨物_CNG,係数_バス貨物_軽油,係数_バス貨物_メタノール,係数_バス貨物_LPG),MATCH(AY1412+1,【参考】排出係数!$AI$4:$AI$671,1)-1,5,BE1412),2,FALSE),IF(OR(AW1412=1,AW1412=2),VLOOKUP(AU1412,INDEX((係数_乗用_ガソリン,係数_乗用_CNG,係数_乗用_軽油,係数_乗用_メタノール,係数_乗用_LPG),1,1,BE1412):INDEX((係数_乗用_ガソリン,係数_乗用_CNG,係数_乗用_軽油,係数_乗用_メタノール,係数_乗用_LPG),125,5,BE1412),2,FALSE))))))</f>
        <v/>
      </c>
      <c r="BB1412" s="468" t="str">
        <f>IF(T1412="","",IF(OR(AU1412="",AU1412="-"),"－",IF(OR(AZ1412=8,AZ1412=9),"",IF(OR(AW1412=3,AW1412=4,AW1412=5,AW1412=6),VLOOKUP(AU1412,INDEX((係数_バス貨物_ガソリン,係数_バス貨物_CNG,係数_バス貨物_軽油,係数_バス貨物_メタノール,係数_バス貨物_LPG),MATCH(AY1412,【参考】排出係数!$AI$4:$AI$671,1),1,BE1412):INDEX((係数_バス貨物_ガソリン,係数_バス貨物_CNG,係数_バス貨物_軽油,係数_バス貨物_メタノール,係数_バス貨物_LPG),MATCH(AY1412+1,【参考】排出係数!$AI$4:$AI$671,1)-1,5,BE1412),3,FALSE),IF(OR(AW1412=1,AW1412=2),VLOOKUP(AU1412,INDEX((係数_乗用_ガソリン,係数_乗用_CNG,係数_乗用_軽油,係数_乗用_メタノール,係数_乗用_LPG),1,1,BE1412):INDEX((係数_乗用_ガソリン,係数_乗用_CNG,係数_乗用_軽油,係数_乗用_メタノール,係数_乗用_LPG),125,5,BE1412),3,FALSE))))))</f>
        <v/>
      </c>
      <c r="BC1412" s="467" t="str">
        <f t="shared" si="824"/>
        <v/>
      </c>
      <c r="BD1412" s="567" t="str">
        <f t="shared" si="825"/>
        <v/>
      </c>
      <c r="BE1412" s="467" t="str">
        <f t="shared" si="826"/>
        <v/>
      </c>
      <c r="BF1412" s="469" t="str">
        <f t="shared" ca="1" si="827"/>
        <v/>
      </c>
      <c r="BG1412" s="469" t="str">
        <f t="shared" ca="1" si="828"/>
        <v/>
      </c>
      <c r="BH1412" s="467" t="str">
        <f t="shared" si="829"/>
        <v/>
      </c>
      <c r="BI1412" s="467" t="str">
        <f t="shared" ca="1" si="830"/>
        <v/>
      </c>
      <c r="BJ1412" s="469" t="str">
        <f t="shared" si="831"/>
        <v/>
      </c>
      <c r="BK1412" s="470" t="str">
        <f t="shared" si="815"/>
        <v/>
      </c>
      <c r="BL1412" s="775" t="str">
        <f t="shared" si="832"/>
        <v/>
      </c>
      <c r="BM1412" s="775" t="str">
        <f t="shared" si="833"/>
        <v/>
      </c>
    </row>
    <row r="1413" spans="1:65">
      <c r="A1413" s="473">
        <v>1357</v>
      </c>
      <c r="B1413" s="132"/>
      <c r="C1413" s="332"/>
      <c r="D1413" s="333"/>
      <c r="E1413" s="333"/>
      <c r="F1413" s="334"/>
      <c r="G1413" s="337"/>
      <c r="H1413" s="131"/>
      <c r="I1413" s="337"/>
      <c r="J1413" s="131"/>
      <c r="K1413" s="458" t="str">
        <f t="shared" si="796"/>
        <v/>
      </c>
      <c r="L1413" s="458">
        <f t="shared" si="797"/>
        <v>0</v>
      </c>
      <c r="M1413" s="458">
        <f t="shared" si="798"/>
        <v>0</v>
      </c>
      <c r="N1413" s="459" t="str">
        <f t="shared" si="809"/>
        <v/>
      </c>
      <c r="O1413" s="459" t="str">
        <f t="shared" si="810"/>
        <v/>
      </c>
      <c r="P1413" s="459" t="str">
        <f t="shared" si="811"/>
        <v/>
      </c>
      <c r="Q1413" s="459" t="str">
        <f t="shared" si="812"/>
        <v/>
      </c>
      <c r="R1413" s="459" t="str">
        <f t="shared" si="813"/>
        <v/>
      </c>
      <c r="S1413" s="459" t="str">
        <f t="shared" si="814"/>
        <v/>
      </c>
      <c r="T1413" s="566" t="str">
        <f t="shared" si="799"/>
        <v/>
      </c>
      <c r="U1413" s="702"/>
      <c r="V1413" s="132"/>
      <c r="W1413" s="133"/>
      <c r="X1413" s="134"/>
      <c r="Y1413" s="135"/>
      <c r="Z1413" s="137"/>
      <c r="AA1413" s="136"/>
      <c r="AB1413" s="566" t="str">
        <f t="shared" si="800"/>
        <v/>
      </c>
      <c r="AC1413" s="568" t="str">
        <f t="shared" si="801"/>
        <v/>
      </c>
      <c r="AD1413" s="137"/>
      <c r="AE1413" s="137"/>
      <c r="AF1413" s="138"/>
      <c r="AG1413" s="138"/>
      <c r="AH1413" s="592" t="str">
        <f t="shared" si="802"/>
        <v/>
      </c>
      <c r="AI1413" s="592" t="str">
        <f t="shared" si="803"/>
        <v/>
      </c>
      <c r="AJ1413" s="592" t="str">
        <f t="shared" si="804"/>
        <v/>
      </c>
      <c r="AK1413" s="460" t="str">
        <f>IF(AU1413="","",IF(OR(AZ1413=8,AZ1413=9),0,IF(OR(AW1413=3,AW1413=4,AW1413=5,AW1413=6),IF(LEFT(BF1413,1)="1",INDEX(係数_NOX・PM低減,MATCH(AY1413,【参考】排出係数!$AI$801:$AI$804,1),1),VLOOKUP(AU1413,INDEX((係数_バス貨物_ガソリン,係数_バス貨物_CNG,係数_バス貨物_軽油,係数_バス貨物_メタノール,係数_バス貨物_LPG),MATCH(AY1413,【参考】排出係数!$AI$4:$AI$671,1),1,BE1413):INDEX((係数_バス貨物_ガソリン,係数_バス貨物_CNG,係数_バス貨物_軽油,係数_バス貨物_メタノール,係数_バス貨物_LPG),MATCH(AY1413+1,【参考】排出係数!$AI$4:$AI$671,1)-1,5,BE1413),4,FALSE)),IF(AND(BE1413=3,LEFT(BF1413,1)="1"),0.48,VLOOKUP(AU1413,INDEX((係数_乗用_ガソリン,係数_乗用_CNG,係数_乗用_軽油,係数_乗用_メタノール,係数_乗用_LPG),1,1,BE1413):INDEX((係数_乗用_ガソリン,係数_乗用_CNG,係数_乗用_軽油,係数_乗用_メタノール,係数_乗用_LPG),125,5,BE1413),4,FALSE)))))</f>
        <v/>
      </c>
      <c r="AL1413" s="461" t="str">
        <f t="shared" si="805"/>
        <v/>
      </c>
      <c r="AM1413" s="460" t="str">
        <f>IF(AU1413="","",IF(OR(AZ1413=8,AZ1413=9),0,IF(OR(AW1413=3,AW1413=4,AW1413=5,AW1413=6),IF(LEFT(BH1413,1)="1",INDEX(係数_PM低減,MATCH(AY1413,【参考】排出係数!$AI$801:$AI$804,1),MATCH(BI1413,【参考】排出係数!$AL$798:$AO$798,1)),VLOOKUP(AU1413,INDEX((係数_バス貨物_ガソリン,係数_バス貨物_CNG,係数_バス貨物_軽油,係数_バス貨物_メタノール,係数_バス貨物_LPG),MATCH(AY1413,【参考】排出係数!$AI$4:$AI$671,1),1,BE1413):INDEX((係数_バス貨物_ガソリン,係数_バス貨物_CNG,係数_バス貨物_軽油,係数_バス貨物_メタノール,係数_バス貨物_LPG),MATCH(AY1413+1,【参考】排出係数!$AI$4:$AI$671,1)-1,5,BE1413),5,FALSE)),IF(AND(BE1413=3,LEFT(BF1413,1)="1"),0.055,VLOOKUP(AU1413,INDEX((係数_乗用_ガソリン,係数_乗用_CNG,係数_乗用_軽油,係数_乗用_メタノール,係数_乗用_LPG),1,1,BE1413):INDEX((係数_乗用_ガソリン,係数_乗用_CNG,係数_乗用_軽油,係数_乗用_メタノール,係数_乗用_LPG),125,5,BE1413),5,FALSE)))))</f>
        <v/>
      </c>
      <c r="AN1413" s="461" t="str">
        <f t="shared" si="806"/>
        <v/>
      </c>
      <c r="AO1413" s="462" t="str">
        <f t="shared" si="807"/>
        <v/>
      </c>
      <c r="AP1413" s="463" t="str">
        <f t="shared" si="808"/>
        <v/>
      </c>
      <c r="AQ1413" s="464"/>
      <c r="AR1413" s="619"/>
      <c r="AS1413" s="465" t="str">
        <f t="shared" si="816"/>
        <v/>
      </c>
      <c r="AT1413" s="465" t="str">
        <f t="shared" si="817"/>
        <v/>
      </c>
      <c r="AU1413" s="466" t="str">
        <f t="shared" si="818"/>
        <v/>
      </c>
      <c r="AV1413" s="467" t="str">
        <f t="shared" si="819"/>
        <v/>
      </c>
      <c r="AW1413" s="467" t="str">
        <f t="shared" si="820"/>
        <v/>
      </c>
      <c r="AX1413" s="467" t="str">
        <f t="shared" si="821"/>
        <v/>
      </c>
      <c r="AY1413" s="467" t="str">
        <f t="shared" si="822"/>
        <v/>
      </c>
      <c r="AZ1413" s="467" t="str">
        <f t="shared" si="823"/>
        <v/>
      </c>
      <c r="BA1413" s="468" t="str">
        <f>IF(AS1413="","",IF(OR(AU1413="",AU1413="-"),"－",IF(OR(AZ1413=8,AZ1413=9),"",IF(OR(AW1413=3,AW1413=4,AW1413=5,AW1413=6),VLOOKUP(AU1413,INDEX((係数_バス貨物_ガソリン,係数_バス貨物_CNG,係数_バス貨物_軽油,係数_バス貨物_メタノール,係数_バス貨物_LPG),MATCH(AY1413,【参考】排出係数!$AI$4:$AI$671,1),1,BE1413):INDEX((係数_バス貨物_ガソリン,係数_バス貨物_CNG,係数_バス貨物_軽油,係数_バス貨物_メタノール,係数_バス貨物_LPG),MATCH(AY1413+1,【参考】排出係数!$AI$4:$AI$671,1)-1,5,BE1413),2,FALSE),IF(OR(AW1413=1,AW1413=2),VLOOKUP(AU1413,INDEX((係数_乗用_ガソリン,係数_乗用_CNG,係数_乗用_軽油,係数_乗用_メタノール,係数_乗用_LPG),1,1,BE1413):INDEX((係数_乗用_ガソリン,係数_乗用_CNG,係数_乗用_軽油,係数_乗用_メタノール,係数_乗用_LPG),125,5,BE1413),2,FALSE))))))</f>
        <v/>
      </c>
      <c r="BB1413" s="468" t="str">
        <f>IF(T1413="","",IF(OR(AU1413="",AU1413="-"),"－",IF(OR(AZ1413=8,AZ1413=9),"",IF(OR(AW1413=3,AW1413=4,AW1413=5,AW1413=6),VLOOKUP(AU1413,INDEX((係数_バス貨物_ガソリン,係数_バス貨物_CNG,係数_バス貨物_軽油,係数_バス貨物_メタノール,係数_バス貨物_LPG),MATCH(AY1413,【参考】排出係数!$AI$4:$AI$671,1),1,BE1413):INDEX((係数_バス貨物_ガソリン,係数_バス貨物_CNG,係数_バス貨物_軽油,係数_バス貨物_メタノール,係数_バス貨物_LPG),MATCH(AY1413+1,【参考】排出係数!$AI$4:$AI$671,1)-1,5,BE1413),3,FALSE),IF(OR(AW1413=1,AW1413=2),VLOOKUP(AU1413,INDEX((係数_乗用_ガソリン,係数_乗用_CNG,係数_乗用_軽油,係数_乗用_メタノール,係数_乗用_LPG),1,1,BE1413):INDEX((係数_乗用_ガソリン,係数_乗用_CNG,係数_乗用_軽油,係数_乗用_メタノール,係数_乗用_LPG),125,5,BE1413),3,FALSE))))))</f>
        <v/>
      </c>
      <c r="BC1413" s="467" t="str">
        <f t="shared" si="824"/>
        <v/>
      </c>
      <c r="BD1413" s="567" t="str">
        <f t="shared" si="825"/>
        <v/>
      </c>
      <c r="BE1413" s="467" t="str">
        <f t="shared" si="826"/>
        <v/>
      </c>
      <c r="BF1413" s="469" t="str">
        <f t="shared" ca="1" si="827"/>
        <v/>
      </c>
      <c r="BG1413" s="469" t="str">
        <f t="shared" ca="1" si="828"/>
        <v/>
      </c>
      <c r="BH1413" s="467" t="str">
        <f t="shared" si="829"/>
        <v/>
      </c>
      <c r="BI1413" s="467" t="str">
        <f t="shared" ca="1" si="830"/>
        <v/>
      </c>
      <c r="BJ1413" s="469" t="str">
        <f t="shared" si="831"/>
        <v/>
      </c>
      <c r="BK1413" s="470" t="str">
        <f t="shared" si="815"/>
        <v/>
      </c>
      <c r="BL1413" s="775" t="str">
        <f t="shared" si="832"/>
        <v/>
      </c>
      <c r="BM1413" s="775" t="str">
        <f t="shared" si="833"/>
        <v/>
      </c>
    </row>
    <row r="1414" spans="1:65">
      <c r="A1414" s="473">
        <v>1358</v>
      </c>
      <c r="B1414" s="132"/>
      <c r="C1414" s="332"/>
      <c r="D1414" s="333"/>
      <c r="E1414" s="333"/>
      <c r="F1414" s="334"/>
      <c r="G1414" s="337"/>
      <c r="H1414" s="131"/>
      <c r="I1414" s="337"/>
      <c r="J1414" s="131"/>
      <c r="K1414" s="458" t="str">
        <f t="shared" si="796"/>
        <v/>
      </c>
      <c r="L1414" s="458">
        <f t="shared" si="797"/>
        <v>0</v>
      </c>
      <c r="M1414" s="458">
        <f t="shared" si="798"/>
        <v>0</v>
      </c>
      <c r="N1414" s="459" t="str">
        <f t="shared" si="809"/>
        <v/>
      </c>
      <c r="O1414" s="459" t="str">
        <f t="shared" si="810"/>
        <v/>
      </c>
      <c r="P1414" s="459" t="str">
        <f t="shared" si="811"/>
        <v/>
      </c>
      <c r="Q1414" s="459" t="str">
        <f t="shared" si="812"/>
        <v/>
      </c>
      <c r="R1414" s="459" t="str">
        <f t="shared" si="813"/>
        <v/>
      </c>
      <c r="S1414" s="459" t="str">
        <f t="shared" si="814"/>
        <v/>
      </c>
      <c r="T1414" s="566" t="str">
        <f t="shared" si="799"/>
        <v/>
      </c>
      <c r="U1414" s="702"/>
      <c r="V1414" s="132"/>
      <c r="W1414" s="133"/>
      <c r="X1414" s="134"/>
      <c r="Y1414" s="135"/>
      <c r="Z1414" s="137"/>
      <c r="AA1414" s="136"/>
      <c r="AB1414" s="566" t="str">
        <f t="shared" si="800"/>
        <v/>
      </c>
      <c r="AC1414" s="568" t="str">
        <f t="shared" si="801"/>
        <v/>
      </c>
      <c r="AD1414" s="137"/>
      <c r="AE1414" s="137"/>
      <c r="AF1414" s="138"/>
      <c r="AG1414" s="138"/>
      <c r="AH1414" s="592" t="str">
        <f t="shared" si="802"/>
        <v/>
      </c>
      <c r="AI1414" s="592" t="str">
        <f t="shared" si="803"/>
        <v/>
      </c>
      <c r="AJ1414" s="592" t="str">
        <f t="shared" si="804"/>
        <v/>
      </c>
      <c r="AK1414" s="460" t="str">
        <f>IF(AU1414="","",IF(OR(AZ1414=8,AZ1414=9),0,IF(OR(AW1414=3,AW1414=4,AW1414=5,AW1414=6),IF(LEFT(BF1414,1)="1",INDEX(係数_NOX・PM低減,MATCH(AY1414,【参考】排出係数!$AI$801:$AI$804,1),1),VLOOKUP(AU1414,INDEX((係数_バス貨物_ガソリン,係数_バス貨物_CNG,係数_バス貨物_軽油,係数_バス貨物_メタノール,係数_バス貨物_LPG),MATCH(AY1414,【参考】排出係数!$AI$4:$AI$671,1),1,BE1414):INDEX((係数_バス貨物_ガソリン,係数_バス貨物_CNG,係数_バス貨物_軽油,係数_バス貨物_メタノール,係数_バス貨物_LPG),MATCH(AY1414+1,【参考】排出係数!$AI$4:$AI$671,1)-1,5,BE1414),4,FALSE)),IF(AND(BE1414=3,LEFT(BF1414,1)="1"),0.48,VLOOKUP(AU1414,INDEX((係数_乗用_ガソリン,係数_乗用_CNG,係数_乗用_軽油,係数_乗用_メタノール,係数_乗用_LPG),1,1,BE1414):INDEX((係数_乗用_ガソリン,係数_乗用_CNG,係数_乗用_軽油,係数_乗用_メタノール,係数_乗用_LPG),125,5,BE1414),4,FALSE)))))</f>
        <v/>
      </c>
      <c r="AL1414" s="461" t="str">
        <f t="shared" si="805"/>
        <v/>
      </c>
      <c r="AM1414" s="460" t="str">
        <f>IF(AU1414="","",IF(OR(AZ1414=8,AZ1414=9),0,IF(OR(AW1414=3,AW1414=4,AW1414=5,AW1414=6),IF(LEFT(BH1414,1)="1",INDEX(係数_PM低減,MATCH(AY1414,【参考】排出係数!$AI$801:$AI$804,1),MATCH(BI1414,【参考】排出係数!$AL$798:$AO$798,1)),VLOOKUP(AU1414,INDEX((係数_バス貨物_ガソリン,係数_バス貨物_CNG,係数_バス貨物_軽油,係数_バス貨物_メタノール,係数_バス貨物_LPG),MATCH(AY1414,【参考】排出係数!$AI$4:$AI$671,1),1,BE1414):INDEX((係数_バス貨物_ガソリン,係数_バス貨物_CNG,係数_バス貨物_軽油,係数_バス貨物_メタノール,係数_バス貨物_LPG),MATCH(AY1414+1,【参考】排出係数!$AI$4:$AI$671,1)-1,5,BE1414),5,FALSE)),IF(AND(BE1414=3,LEFT(BF1414,1)="1"),0.055,VLOOKUP(AU1414,INDEX((係数_乗用_ガソリン,係数_乗用_CNG,係数_乗用_軽油,係数_乗用_メタノール,係数_乗用_LPG),1,1,BE1414):INDEX((係数_乗用_ガソリン,係数_乗用_CNG,係数_乗用_軽油,係数_乗用_メタノール,係数_乗用_LPG),125,5,BE1414),5,FALSE)))))</f>
        <v/>
      </c>
      <c r="AN1414" s="461" t="str">
        <f t="shared" si="806"/>
        <v/>
      </c>
      <c r="AO1414" s="462" t="str">
        <f t="shared" si="807"/>
        <v/>
      </c>
      <c r="AP1414" s="463" t="str">
        <f t="shared" si="808"/>
        <v/>
      </c>
      <c r="AQ1414" s="464"/>
      <c r="AR1414" s="619"/>
      <c r="AS1414" s="465" t="str">
        <f t="shared" si="816"/>
        <v/>
      </c>
      <c r="AT1414" s="465" t="str">
        <f t="shared" si="817"/>
        <v/>
      </c>
      <c r="AU1414" s="466" t="str">
        <f t="shared" si="818"/>
        <v/>
      </c>
      <c r="AV1414" s="467" t="str">
        <f t="shared" si="819"/>
        <v/>
      </c>
      <c r="AW1414" s="467" t="str">
        <f t="shared" si="820"/>
        <v/>
      </c>
      <c r="AX1414" s="467" t="str">
        <f t="shared" si="821"/>
        <v/>
      </c>
      <c r="AY1414" s="467" t="str">
        <f t="shared" si="822"/>
        <v/>
      </c>
      <c r="AZ1414" s="467" t="str">
        <f t="shared" si="823"/>
        <v/>
      </c>
      <c r="BA1414" s="468" t="str">
        <f>IF(AS1414="","",IF(OR(AU1414="",AU1414="-"),"－",IF(OR(AZ1414=8,AZ1414=9),"",IF(OR(AW1414=3,AW1414=4,AW1414=5,AW1414=6),VLOOKUP(AU1414,INDEX((係数_バス貨物_ガソリン,係数_バス貨物_CNG,係数_バス貨物_軽油,係数_バス貨物_メタノール,係数_バス貨物_LPG),MATCH(AY1414,【参考】排出係数!$AI$4:$AI$671,1),1,BE1414):INDEX((係数_バス貨物_ガソリン,係数_バス貨物_CNG,係数_バス貨物_軽油,係数_バス貨物_メタノール,係数_バス貨物_LPG),MATCH(AY1414+1,【参考】排出係数!$AI$4:$AI$671,1)-1,5,BE1414),2,FALSE),IF(OR(AW1414=1,AW1414=2),VLOOKUP(AU1414,INDEX((係数_乗用_ガソリン,係数_乗用_CNG,係数_乗用_軽油,係数_乗用_メタノール,係数_乗用_LPG),1,1,BE1414):INDEX((係数_乗用_ガソリン,係数_乗用_CNG,係数_乗用_軽油,係数_乗用_メタノール,係数_乗用_LPG),125,5,BE1414),2,FALSE))))))</f>
        <v/>
      </c>
      <c r="BB1414" s="468" t="str">
        <f>IF(T1414="","",IF(OR(AU1414="",AU1414="-"),"－",IF(OR(AZ1414=8,AZ1414=9),"",IF(OR(AW1414=3,AW1414=4,AW1414=5,AW1414=6),VLOOKUP(AU1414,INDEX((係数_バス貨物_ガソリン,係数_バス貨物_CNG,係数_バス貨物_軽油,係数_バス貨物_メタノール,係数_バス貨物_LPG),MATCH(AY1414,【参考】排出係数!$AI$4:$AI$671,1),1,BE1414):INDEX((係数_バス貨物_ガソリン,係数_バス貨物_CNG,係数_バス貨物_軽油,係数_バス貨物_メタノール,係数_バス貨物_LPG),MATCH(AY1414+1,【参考】排出係数!$AI$4:$AI$671,1)-1,5,BE1414),3,FALSE),IF(OR(AW1414=1,AW1414=2),VLOOKUP(AU1414,INDEX((係数_乗用_ガソリン,係数_乗用_CNG,係数_乗用_軽油,係数_乗用_メタノール,係数_乗用_LPG),1,1,BE1414):INDEX((係数_乗用_ガソリン,係数_乗用_CNG,係数_乗用_軽油,係数_乗用_メタノール,係数_乗用_LPG),125,5,BE1414),3,FALSE))))))</f>
        <v/>
      </c>
      <c r="BC1414" s="467" t="str">
        <f t="shared" si="824"/>
        <v/>
      </c>
      <c r="BD1414" s="567" t="str">
        <f t="shared" si="825"/>
        <v/>
      </c>
      <c r="BE1414" s="467" t="str">
        <f t="shared" si="826"/>
        <v/>
      </c>
      <c r="BF1414" s="469" t="str">
        <f t="shared" ca="1" si="827"/>
        <v/>
      </c>
      <c r="BG1414" s="469" t="str">
        <f t="shared" ca="1" si="828"/>
        <v/>
      </c>
      <c r="BH1414" s="467" t="str">
        <f t="shared" si="829"/>
        <v/>
      </c>
      <c r="BI1414" s="467" t="str">
        <f t="shared" ca="1" si="830"/>
        <v/>
      </c>
      <c r="BJ1414" s="469" t="str">
        <f t="shared" si="831"/>
        <v/>
      </c>
      <c r="BK1414" s="470" t="str">
        <f t="shared" si="815"/>
        <v/>
      </c>
      <c r="BL1414" s="775" t="str">
        <f t="shared" si="832"/>
        <v/>
      </c>
      <c r="BM1414" s="775" t="str">
        <f t="shared" si="833"/>
        <v/>
      </c>
    </row>
    <row r="1415" spans="1:65">
      <c r="A1415" s="473">
        <v>1359</v>
      </c>
      <c r="B1415" s="132"/>
      <c r="C1415" s="332"/>
      <c r="D1415" s="333"/>
      <c r="E1415" s="333"/>
      <c r="F1415" s="334"/>
      <c r="G1415" s="337"/>
      <c r="H1415" s="131"/>
      <c r="I1415" s="337"/>
      <c r="J1415" s="131"/>
      <c r="K1415" s="458" t="str">
        <f t="shared" si="796"/>
        <v/>
      </c>
      <c r="L1415" s="458">
        <f t="shared" si="797"/>
        <v>0</v>
      </c>
      <c r="M1415" s="458">
        <f t="shared" si="798"/>
        <v>0</v>
      </c>
      <c r="N1415" s="459" t="str">
        <f t="shared" si="809"/>
        <v/>
      </c>
      <c r="O1415" s="459" t="str">
        <f t="shared" si="810"/>
        <v/>
      </c>
      <c r="P1415" s="459" t="str">
        <f t="shared" si="811"/>
        <v/>
      </c>
      <c r="Q1415" s="459" t="str">
        <f t="shared" si="812"/>
        <v/>
      </c>
      <c r="R1415" s="459" t="str">
        <f t="shared" si="813"/>
        <v/>
      </c>
      <c r="S1415" s="459" t="str">
        <f t="shared" si="814"/>
        <v/>
      </c>
      <c r="T1415" s="566" t="str">
        <f t="shared" si="799"/>
        <v/>
      </c>
      <c r="U1415" s="702"/>
      <c r="V1415" s="132"/>
      <c r="W1415" s="133"/>
      <c r="X1415" s="134"/>
      <c r="Y1415" s="135"/>
      <c r="Z1415" s="137"/>
      <c r="AA1415" s="136"/>
      <c r="AB1415" s="566" t="str">
        <f t="shared" si="800"/>
        <v/>
      </c>
      <c r="AC1415" s="568" t="str">
        <f t="shared" si="801"/>
        <v/>
      </c>
      <c r="AD1415" s="137"/>
      <c r="AE1415" s="137"/>
      <c r="AF1415" s="138"/>
      <c r="AG1415" s="138"/>
      <c r="AH1415" s="592" t="str">
        <f t="shared" si="802"/>
        <v/>
      </c>
      <c r="AI1415" s="592" t="str">
        <f t="shared" si="803"/>
        <v/>
      </c>
      <c r="AJ1415" s="592" t="str">
        <f t="shared" si="804"/>
        <v/>
      </c>
      <c r="AK1415" s="460" t="str">
        <f>IF(AU1415="","",IF(OR(AZ1415=8,AZ1415=9),0,IF(OR(AW1415=3,AW1415=4,AW1415=5,AW1415=6),IF(LEFT(BF1415,1)="1",INDEX(係数_NOX・PM低減,MATCH(AY1415,【参考】排出係数!$AI$801:$AI$804,1),1),VLOOKUP(AU1415,INDEX((係数_バス貨物_ガソリン,係数_バス貨物_CNG,係数_バス貨物_軽油,係数_バス貨物_メタノール,係数_バス貨物_LPG),MATCH(AY1415,【参考】排出係数!$AI$4:$AI$671,1),1,BE1415):INDEX((係数_バス貨物_ガソリン,係数_バス貨物_CNG,係数_バス貨物_軽油,係数_バス貨物_メタノール,係数_バス貨物_LPG),MATCH(AY1415+1,【参考】排出係数!$AI$4:$AI$671,1)-1,5,BE1415),4,FALSE)),IF(AND(BE1415=3,LEFT(BF1415,1)="1"),0.48,VLOOKUP(AU1415,INDEX((係数_乗用_ガソリン,係数_乗用_CNG,係数_乗用_軽油,係数_乗用_メタノール,係数_乗用_LPG),1,1,BE1415):INDEX((係数_乗用_ガソリン,係数_乗用_CNG,係数_乗用_軽油,係数_乗用_メタノール,係数_乗用_LPG),125,5,BE1415),4,FALSE)))))</f>
        <v/>
      </c>
      <c r="AL1415" s="461" t="str">
        <f t="shared" si="805"/>
        <v/>
      </c>
      <c r="AM1415" s="460" t="str">
        <f>IF(AU1415="","",IF(OR(AZ1415=8,AZ1415=9),0,IF(OR(AW1415=3,AW1415=4,AW1415=5,AW1415=6),IF(LEFT(BH1415,1)="1",INDEX(係数_PM低減,MATCH(AY1415,【参考】排出係数!$AI$801:$AI$804,1),MATCH(BI1415,【参考】排出係数!$AL$798:$AO$798,1)),VLOOKUP(AU1415,INDEX((係数_バス貨物_ガソリン,係数_バス貨物_CNG,係数_バス貨物_軽油,係数_バス貨物_メタノール,係数_バス貨物_LPG),MATCH(AY1415,【参考】排出係数!$AI$4:$AI$671,1),1,BE1415):INDEX((係数_バス貨物_ガソリン,係数_バス貨物_CNG,係数_バス貨物_軽油,係数_バス貨物_メタノール,係数_バス貨物_LPG),MATCH(AY1415+1,【参考】排出係数!$AI$4:$AI$671,1)-1,5,BE1415),5,FALSE)),IF(AND(BE1415=3,LEFT(BF1415,1)="1"),0.055,VLOOKUP(AU1415,INDEX((係数_乗用_ガソリン,係数_乗用_CNG,係数_乗用_軽油,係数_乗用_メタノール,係数_乗用_LPG),1,1,BE1415):INDEX((係数_乗用_ガソリン,係数_乗用_CNG,係数_乗用_軽油,係数_乗用_メタノール,係数_乗用_LPG),125,5,BE1415),5,FALSE)))))</f>
        <v/>
      </c>
      <c r="AN1415" s="461" t="str">
        <f t="shared" si="806"/>
        <v/>
      </c>
      <c r="AO1415" s="462" t="str">
        <f t="shared" si="807"/>
        <v/>
      </c>
      <c r="AP1415" s="463" t="str">
        <f t="shared" si="808"/>
        <v/>
      </c>
      <c r="AQ1415" s="464"/>
      <c r="AR1415" s="619"/>
      <c r="AS1415" s="465" t="str">
        <f t="shared" si="816"/>
        <v/>
      </c>
      <c r="AT1415" s="465" t="str">
        <f t="shared" si="817"/>
        <v/>
      </c>
      <c r="AU1415" s="466" t="str">
        <f t="shared" si="818"/>
        <v/>
      </c>
      <c r="AV1415" s="467" t="str">
        <f t="shared" si="819"/>
        <v/>
      </c>
      <c r="AW1415" s="467" t="str">
        <f t="shared" si="820"/>
        <v/>
      </c>
      <c r="AX1415" s="467" t="str">
        <f t="shared" si="821"/>
        <v/>
      </c>
      <c r="AY1415" s="467" t="str">
        <f t="shared" si="822"/>
        <v/>
      </c>
      <c r="AZ1415" s="467" t="str">
        <f t="shared" si="823"/>
        <v/>
      </c>
      <c r="BA1415" s="468" t="str">
        <f>IF(AS1415="","",IF(OR(AU1415="",AU1415="-"),"－",IF(OR(AZ1415=8,AZ1415=9),"",IF(OR(AW1415=3,AW1415=4,AW1415=5,AW1415=6),VLOOKUP(AU1415,INDEX((係数_バス貨物_ガソリン,係数_バス貨物_CNG,係数_バス貨物_軽油,係数_バス貨物_メタノール,係数_バス貨物_LPG),MATCH(AY1415,【参考】排出係数!$AI$4:$AI$671,1),1,BE1415):INDEX((係数_バス貨物_ガソリン,係数_バス貨物_CNG,係数_バス貨物_軽油,係数_バス貨物_メタノール,係数_バス貨物_LPG),MATCH(AY1415+1,【参考】排出係数!$AI$4:$AI$671,1)-1,5,BE1415),2,FALSE),IF(OR(AW1415=1,AW1415=2),VLOOKUP(AU1415,INDEX((係数_乗用_ガソリン,係数_乗用_CNG,係数_乗用_軽油,係数_乗用_メタノール,係数_乗用_LPG),1,1,BE1415):INDEX((係数_乗用_ガソリン,係数_乗用_CNG,係数_乗用_軽油,係数_乗用_メタノール,係数_乗用_LPG),125,5,BE1415),2,FALSE))))))</f>
        <v/>
      </c>
      <c r="BB1415" s="468" t="str">
        <f>IF(T1415="","",IF(OR(AU1415="",AU1415="-"),"－",IF(OR(AZ1415=8,AZ1415=9),"",IF(OR(AW1415=3,AW1415=4,AW1415=5,AW1415=6),VLOOKUP(AU1415,INDEX((係数_バス貨物_ガソリン,係数_バス貨物_CNG,係数_バス貨物_軽油,係数_バス貨物_メタノール,係数_バス貨物_LPG),MATCH(AY1415,【参考】排出係数!$AI$4:$AI$671,1),1,BE1415):INDEX((係数_バス貨物_ガソリン,係数_バス貨物_CNG,係数_バス貨物_軽油,係数_バス貨物_メタノール,係数_バス貨物_LPG),MATCH(AY1415+1,【参考】排出係数!$AI$4:$AI$671,1)-1,5,BE1415),3,FALSE),IF(OR(AW1415=1,AW1415=2),VLOOKUP(AU1415,INDEX((係数_乗用_ガソリン,係数_乗用_CNG,係数_乗用_軽油,係数_乗用_メタノール,係数_乗用_LPG),1,1,BE1415):INDEX((係数_乗用_ガソリン,係数_乗用_CNG,係数_乗用_軽油,係数_乗用_メタノール,係数_乗用_LPG),125,5,BE1415),3,FALSE))))))</f>
        <v/>
      </c>
      <c r="BC1415" s="467" t="str">
        <f t="shared" si="824"/>
        <v/>
      </c>
      <c r="BD1415" s="567" t="str">
        <f t="shared" si="825"/>
        <v/>
      </c>
      <c r="BE1415" s="467" t="str">
        <f t="shared" si="826"/>
        <v/>
      </c>
      <c r="BF1415" s="469" t="str">
        <f t="shared" ca="1" si="827"/>
        <v/>
      </c>
      <c r="BG1415" s="469" t="str">
        <f t="shared" ca="1" si="828"/>
        <v/>
      </c>
      <c r="BH1415" s="467" t="str">
        <f t="shared" si="829"/>
        <v/>
      </c>
      <c r="BI1415" s="467" t="str">
        <f t="shared" ca="1" si="830"/>
        <v/>
      </c>
      <c r="BJ1415" s="469" t="str">
        <f t="shared" si="831"/>
        <v/>
      </c>
      <c r="BK1415" s="470" t="str">
        <f t="shared" si="815"/>
        <v/>
      </c>
      <c r="BL1415" s="775" t="str">
        <f t="shared" si="832"/>
        <v/>
      </c>
      <c r="BM1415" s="775" t="str">
        <f t="shared" si="833"/>
        <v/>
      </c>
    </row>
    <row r="1416" spans="1:65">
      <c r="A1416" s="473">
        <v>1360</v>
      </c>
      <c r="B1416" s="132"/>
      <c r="C1416" s="332"/>
      <c r="D1416" s="333"/>
      <c r="E1416" s="333"/>
      <c r="F1416" s="334"/>
      <c r="G1416" s="337"/>
      <c r="H1416" s="131"/>
      <c r="I1416" s="337"/>
      <c r="J1416" s="131"/>
      <c r="K1416" s="458" t="str">
        <f t="shared" si="796"/>
        <v/>
      </c>
      <c r="L1416" s="458">
        <f t="shared" si="797"/>
        <v>0</v>
      </c>
      <c r="M1416" s="458">
        <f t="shared" si="798"/>
        <v>0</v>
      </c>
      <c r="N1416" s="459" t="str">
        <f t="shared" si="809"/>
        <v/>
      </c>
      <c r="O1416" s="459" t="str">
        <f t="shared" si="810"/>
        <v/>
      </c>
      <c r="P1416" s="459" t="str">
        <f t="shared" si="811"/>
        <v/>
      </c>
      <c r="Q1416" s="459" t="str">
        <f t="shared" si="812"/>
        <v/>
      </c>
      <c r="R1416" s="459" t="str">
        <f t="shared" si="813"/>
        <v/>
      </c>
      <c r="S1416" s="459" t="str">
        <f t="shared" si="814"/>
        <v/>
      </c>
      <c r="T1416" s="566" t="str">
        <f t="shared" si="799"/>
        <v/>
      </c>
      <c r="U1416" s="702"/>
      <c r="V1416" s="132"/>
      <c r="W1416" s="133"/>
      <c r="X1416" s="134"/>
      <c r="Y1416" s="135"/>
      <c r="Z1416" s="137"/>
      <c r="AA1416" s="136"/>
      <c r="AB1416" s="566" t="str">
        <f t="shared" si="800"/>
        <v/>
      </c>
      <c r="AC1416" s="568" t="str">
        <f t="shared" si="801"/>
        <v/>
      </c>
      <c r="AD1416" s="137"/>
      <c r="AE1416" s="137"/>
      <c r="AF1416" s="138"/>
      <c r="AG1416" s="138"/>
      <c r="AH1416" s="592" t="str">
        <f t="shared" si="802"/>
        <v/>
      </c>
      <c r="AI1416" s="592" t="str">
        <f t="shared" si="803"/>
        <v/>
      </c>
      <c r="AJ1416" s="592" t="str">
        <f t="shared" si="804"/>
        <v/>
      </c>
      <c r="AK1416" s="460" t="str">
        <f>IF(AU1416="","",IF(OR(AZ1416=8,AZ1416=9),0,IF(OR(AW1416=3,AW1416=4,AW1416=5,AW1416=6),IF(LEFT(BF1416,1)="1",INDEX(係数_NOX・PM低減,MATCH(AY1416,【参考】排出係数!$AI$801:$AI$804,1),1),VLOOKUP(AU1416,INDEX((係数_バス貨物_ガソリン,係数_バス貨物_CNG,係数_バス貨物_軽油,係数_バス貨物_メタノール,係数_バス貨物_LPG),MATCH(AY1416,【参考】排出係数!$AI$4:$AI$671,1),1,BE1416):INDEX((係数_バス貨物_ガソリン,係数_バス貨物_CNG,係数_バス貨物_軽油,係数_バス貨物_メタノール,係数_バス貨物_LPG),MATCH(AY1416+1,【参考】排出係数!$AI$4:$AI$671,1)-1,5,BE1416),4,FALSE)),IF(AND(BE1416=3,LEFT(BF1416,1)="1"),0.48,VLOOKUP(AU1416,INDEX((係数_乗用_ガソリン,係数_乗用_CNG,係数_乗用_軽油,係数_乗用_メタノール,係数_乗用_LPG),1,1,BE1416):INDEX((係数_乗用_ガソリン,係数_乗用_CNG,係数_乗用_軽油,係数_乗用_メタノール,係数_乗用_LPG),125,5,BE1416),4,FALSE)))))</f>
        <v/>
      </c>
      <c r="AL1416" s="461" t="str">
        <f t="shared" si="805"/>
        <v/>
      </c>
      <c r="AM1416" s="460" t="str">
        <f>IF(AU1416="","",IF(OR(AZ1416=8,AZ1416=9),0,IF(OR(AW1416=3,AW1416=4,AW1416=5,AW1416=6),IF(LEFT(BH1416,1)="1",INDEX(係数_PM低減,MATCH(AY1416,【参考】排出係数!$AI$801:$AI$804,1),MATCH(BI1416,【参考】排出係数!$AL$798:$AO$798,1)),VLOOKUP(AU1416,INDEX((係数_バス貨物_ガソリン,係数_バス貨物_CNG,係数_バス貨物_軽油,係数_バス貨物_メタノール,係数_バス貨物_LPG),MATCH(AY1416,【参考】排出係数!$AI$4:$AI$671,1),1,BE1416):INDEX((係数_バス貨物_ガソリン,係数_バス貨物_CNG,係数_バス貨物_軽油,係数_バス貨物_メタノール,係数_バス貨物_LPG),MATCH(AY1416+1,【参考】排出係数!$AI$4:$AI$671,1)-1,5,BE1416),5,FALSE)),IF(AND(BE1416=3,LEFT(BF1416,1)="1"),0.055,VLOOKUP(AU1416,INDEX((係数_乗用_ガソリン,係数_乗用_CNG,係数_乗用_軽油,係数_乗用_メタノール,係数_乗用_LPG),1,1,BE1416):INDEX((係数_乗用_ガソリン,係数_乗用_CNG,係数_乗用_軽油,係数_乗用_メタノール,係数_乗用_LPG),125,5,BE1416),5,FALSE)))))</f>
        <v/>
      </c>
      <c r="AN1416" s="461" t="str">
        <f t="shared" si="806"/>
        <v/>
      </c>
      <c r="AO1416" s="462" t="str">
        <f t="shared" si="807"/>
        <v/>
      </c>
      <c r="AP1416" s="463" t="str">
        <f t="shared" si="808"/>
        <v/>
      </c>
      <c r="AQ1416" s="464"/>
      <c r="AR1416" s="619"/>
      <c r="AS1416" s="465" t="str">
        <f t="shared" si="816"/>
        <v/>
      </c>
      <c r="AT1416" s="465" t="str">
        <f t="shared" si="817"/>
        <v/>
      </c>
      <c r="AU1416" s="466" t="str">
        <f t="shared" si="818"/>
        <v/>
      </c>
      <c r="AV1416" s="467" t="str">
        <f t="shared" si="819"/>
        <v/>
      </c>
      <c r="AW1416" s="467" t="str">
        <f t="shared" si="820"/>
        <v/>
      </c>
      <c r="AX1416" s="467" t="str">
        <f t="shared" si="821"/>
        <v/>
      </c>
      <c r="AY1416" s="467" t="str">
        <f t="shared" si="822"/>
        <v/>
      </c>
      <c r="AZ1416" s="467" t="str">
        <f t="shared" si="823"/>
        <v/>
      </c>
      <c r="BA1416" s="468" t="str">
        <f>IF(AS1416="","",IF(OR(AU1416="",AU1416="-"),"－",IF(OR(AZ1416=8,AZ1416=9),"",IF(OR(AW1416=3,AW1416=4,AW1416=5,AW1416=6),VLOOKUP(AU1416,INDEX((係数_バス貨物_ガソリン,係数_バス貨物_CNG,係数_バス貨物_軽油,係数_バス貨物_メタノール,係数_バス貨物_LPG),MATCH(AY1416,【参考】排出係数!$AI$4:$AI$671,1),1,BE1416):INDEX((係数_バス貨物_ガソリン,係数_バス貨物_CNG,係数_バス貨物_軽油,係数_バス貨物_メタノール,係数_バス貨物_LPG),MATCH(AY1416+1,【参考】排出係数!$AI$4:$AI$671,1)-1,5,BE1416),2,FALSE),IF(OR(AW1416=1,AW1416=2),VLOOKUP(AU1416,INDEX((係数_乗用_ガソリン,係数_乗用_CNG,係数_乗用_軽油,係数_乗用_メタノール,係数_乗用_LPG),1,1,BE1416):INDEX((係数_乗用_ガソリン,係数_乗用_CNG,係数_乗用_軽油,係数_乗用_メタノール,係数_乗用_LPG),125,5,BE1416),2,FALSE))))))</f>
        <v/>
      </c>
      <c r="BB1416" s="468" t="str">
        <f>IF(T1416="","",IF(OR(AU1416="",AU1416="-"),"－",IF(OR(AZ1416=8,AZ1416=9),"",IF(OR(AW1416=3,AW1416=4,AW1416=5,AW1416=6),VLOOKUP(AU1416,INDEX((係数_バス貨物_ガソリン,係数_バス貨物_CNG,係数_バス貨物_軽油,係数_バス貨物_メタノール,係数_バス貨物_LPG),MATCH(AY1416,【参考】排出係数!$AI$4:$AI$671,1),1,BE1416):INDEX((係数_バス貨物_ガソリン,係数_バス貨物_CNG,係数_バス貨物_軽油,係数_バス貨物_メタノール,係数_バス貨物_LPG),MATCH(AY1416+1,【参考】排出係数!$AI$4:$AI$671,1)-1,5,BE1416),3,FALSE),IF(OR(AW1416=1,AW1416=2),VLOOKUP(AU1416,INDEX((係数_乗用_ガソリン,係数_乗用_CNG,係数_乗用_軽油,係数_乗用_メタノール,係数_乗用_LPG),1,1,BE1416):INDEX((係数_乗用_ガソリン,係数_乗用_CNG,係数_乗用_軽油,係数_乗用_メタノール,係数_乗用_LPG),125,5,BE1416),3,FALSE))))))</f>
        <v/>
      </c>
      <c r="BC1416" s="467" t="str">
        <f t="shared" si="824"/>
        <v/>
      </c>
      <c r="BD1416" s="567" t="str">
        <f t="shared" si="825"/>
        <v/>
      </c>
      <c r="BE1416" s="467" t="str">
        <f t="shared" si="826"/>
        <v/>
      </c>
      <c r="BF1416" s="469" t="str">
        <f t="shared" ca="1" si="827"/>
        <v/>
      </c>
      <c r="BG1416" s="469" t="str">
        <f t="shared" ca="1" si="828"/>
        <v/>
      </c>
      <c r="BH1416" s="467" t="str">
        <f t="shared" si="829"/>
        <v/>
      </c>
      <c r="BI1416" s="467" t="str">
        <f t="shared" ca="1" si="830"/>
        <v/>
      </c>
      <c r="BJ1416" s="469" t="str">
        <f t="shared" si="831"/>
        <v/>
      </c>
      <c r="BK1416" s="470" t="str">
        <f t="shared" si="815"/>
        <v/>
      </c>
      <c r="BL1416" s="775" t="str">
        <f t="shared" si="832"/>
        <v/>
      </c>
      <c r="BM1416" s="775" t="str">
        <f t="shared" si="833"/>
        <v/>
      </c>
    </row>
    <row r="1417" spans="1:65">
      <c r="A1417" s="473">
        <v>1361</v>
      </c>
      <c r="B1417" s="132"/>
      <c r="C1417" s="332"/>
      <c r="D1417" s="333"/>
      <c r="E1417" s="333"/>
      <c r="F1417" s="334"/>
      <c r="G1417" s="337"/>
      <c r="H1417" s="131"/>
      <c r="I1417" s="337"/>
      <c r="J1417" s="131"/>
      <c r="K1417" s="458" t="str">
        <f t="shared" si="796"/>
        <v/>
      </c>
      <c r="L1417" s="458">
        <f t="shared" si="797"/>
        <v>0</v>
      </c>
      <c r="M1417" s="458">
        <f t="shared" si="798"/>
        <v>0</v>
      </c>
      <c r="N1417" s="459" t="str">
        <f t="shared" si="809"/>
        <v/>
      </c>
      <c r="O1417" s="459" t="str">
        <f t="shared" si="810"/>
        <v/>
      </c>
      <c r="P1417" s="459" t="str">
        <f t="shared" si="811"/>
        <v/>
      </c>
      <c r="Q1417" s="459" t="str">
        <f t="shared" si="812"/>
        <v/>
      </c>
      <c r="R1417" s="459" t="str">
        <f t="shared" si="813"/>
        <v/>
      </c>
      <c r="S1417" s="459" t="str">
        <f t="shared" si="814"/>
        <v/>
      </c>
      <c r="T1417" s="566" t="str">
        <f t="shared" si="799"/>
        <v/>
      </c>
      <c r="U1417" s="702"/>
      <c r="V1417" s="132"/>
      <c r="W1417" s="133"/>
      <c r="X1417" s="134"/>
      <c r="Y1417" s="135"/>
      <c r="Z1417" s="137"/>
      <c r="AA1417" s="136"/>
      <c r="AB1417" s="566" t="str">
        <f t="shared" si="800"/>
        <v/>
      </c>
      <c r="AC1417" s="568" t="str">
        <f t="shared" si="801"/>
        <v/>
      </c>
      <c r="AD1417" s="137"/>
      <c r="AE1417" s="137"/>
      <c r="AF1417" s="138"/>
      <c r="AG1417" s="138"/>
      <c r="AH1417" s="592" t="str">
        <f t="shared" si="802"/>
        <v/>
      </c>
      <c r="AI1417" s="592" t="str">
        <f t="shared" si="803"/>
        <v/>
      </c>
      <c r="AJ1417" s="592" t="str">
        <f t="shared" si="804"/>
        <v/>
      </c>
      <c r="AK1417" s="460" t="str">
        <f>IF(AU1417="","",IF(OR(AZ1417=8,AZ1417=9),0,IF(OR(AW1417=3,AW1417=4,AW1417=5,AW1417=6),IF(LEFT(BF1417,1)="1",INDEX(係数_NOX・PM低減,MATCH(AY1417,【参考】排出係数!$AI$801:$AI$804,1),1),VLOOKUP(AU1417,INDEX((係数_バス貨物_ガソリン,係数_バス貨物_CNG,係数_バス貨物_軽油,係数_バス貨物_メタノール,係数_バス貨物_LPG),MATCH(AY1417,【参考】排出係数!$AI$4:$AI$671,1),1,BE1417):INDEX((係数_バス貨物_ガソリン,係数_バス貨物_CNG,係数_バス貨物_軽油,係数_バス貨物_メタノール,係数_バス貨物_LPG),MATCH(AY1417+1,【参考】排出係数!$AI$4:$AI$671,1)-1,5,BE1417),4,FALSE)),IF(AND(BE1417=3,LEFT(BF1417,1)="1"),0.48,VLOOKUP(AU1417,INDEX((係数_乗用_ガソリン,係数_乗用_CNG,係数_乗用_軽油,係数_乗用_メタノール,係数_乗用_LPG),1,1,BE1417):INDEX((係数_乗用_ガソリン,係数_乗用_CNG,係数_乗用_軽油,係数_乗用_メタノール,係数_乗用_LPG),125,5,BE1417),4,FALSE)))))</f>
        <v/>
      </c>
      <c r="AL1417" s="461" t="str">
        <f t="shared" si="805"/>
        <v/>
      </c>
      <c r="AM1417" s="460" t="str">
        <f>IF(AU1417="","",IF(OR(AZ1417=8,AZ1417=9),0,IF(OR(AW1417=3,AW1417=4,AW1417=5,AW1417=6),IF(LEFT(BH1417,1)="1",INDEX(係数_PM低減,MATCH(AY1417,【参考】排出係数!$AI$801:$AI$804,1),MATCH(BI1417,【参考】排出係数!$AL$798:$AO$798,1)),VLOOKUP(AU1417,INDEX((係数_バス貨物_ガソリン,係数_バス貨物_CNG,係数_バス貨物_軽油,係数_バス貨物_メタノール,係数_バス貨物_LPG),MATCH(AY1417,【参考】排出係数!$AI$4:$AI$671,1),1,BE1417):INDEX((係数_バス貨物_ガソリン,係数_バス貨物_CNG,係数_バス貨物_軽油,係数_バス貨物_メタノール,係数_バス貨物_LPG),MATCH(AY1417+1,【参考】排出係数!$AI$4:$AI$671,1)-1,5,BE1417),5,FALSE)),IF(AND(BE1417=3,LEFT(BF1417,1)="1"),0.055,VLOOKUP(AU1417,INDEX((係数_乗用_ガソリン,係数_乗用_CNG,係数_乗用_軽油,係数_乗用_メタノール,係数_乗用_LPG),1,1,BE1417):INDEX((係数_乗用_ガソリン,係数_乗用_CNG,係数_乗用_軽油,係数_乗用_メタノール,係数_乗用_LPG),125,5,BE1417),5,FALSE)))))</f>
        <v/>
      </c>
      <c r="AN1417" s="461" t="str">
        <f t="shared" si="806"/>
        <v/>
      </c>
      <c r="AO1417" s="462" t="str">
        <f t="shared" si="807"/>
        <v/>
      </c>
      <c r="AP1417" s="463" t="str">
        <f t="shared" si="808"/>
        <v/>
      </c>
      <c r="AQ1417" s="464"/>
      <c r="AR1417" s="619"/>
      <c r="AS1417" s="465" t="str">
        <f t="shared" si="816"/>
        <v/>
      </c>
      <c r="AT1417" s="465" t="str">
        <f t="shared" si="817"/>
        <v/>
      </c>
      <c r="AU1417" s="466" t="str">
        <f t="shared" si="818"/>
        <v/>
      </c>
      <c r="AV1417" s="467" t="str">
        <f t="shared" si="819"/>
        <v/>
      </c>
      <c r="AW1417" s="467" t="str">
        <f t="shared" si="820"/>
        <v/>
      </c>
      <c r="AX1417" s="467" t="str">
        <f t="shared" si="821"/>
        <v/>
      </c>
      <c r="AY1417" s="467" t="str">
        <f t="shared" si="822"/>
        <v/>
      </c>
      <c r="AZ1417" s="467" t="str">
        <f t="shared" si="823"/>
        <v/>
      </c>
      <c r="BA1417" s="468" t="str">
        <f>IF(AS1417="","",IF(OR(AU1417="",AU1417="-"),"－",IF(OR(AZ1417=8,AZ1417=9),"",IF(OR(AW1417=3,AW1417=4,AW1417=5,AW1417=6),VLOOKUP(AU1417,INDEX((係数_バス貨物_ガソリン,係数_バス貨物_CNG,係数_バス貨物_軽油,係数_バス貨物_メタノール,係数_バス貨物_LPG),MATCH(AY1417,【参考】排出係数!$AI$4:$AI$671,1),1,BE1417):INDEX((係数_バス貨物_ガソリン,係数_バス貨物_CNG,係数_バス貨物_軽油,係数_バス貨物_メタノール,係数_バス貨物_LPG),MATCH(AY1417+1,【参考】排出係数!$AI$4:$AI$671,1)-1,5,BE1417),2,FALSE),IF(OR(AW1417=1,AW1417=2),VLOOKUP(AU1417,INDEX((係数_乗用_ガソリン,係数_乗用_CNG,係数_乗用_軽油,係数_乗用_メタノール,係数_乗用_LPG),1,1,BE1417):INDEX((係数_乗用_ガソリン,係数_乗用_CNG,係数_乗用_軽油,係数_乗用_メタノール,係数_乗用_LPG),125,5,BE1417),2,FALSE))))))</f>
        <v/>
      </c>
      <c r="BB1417" s="468" t="str">
        <f>IF(T1417="","",IF(OR(AU1417="",AU1417="-"),"－",IF(OR(AZ1417=8,AZ1417=9),"",IF(OR(AW1417=3,AW1417=4,AW1417=5,AW1417=6),VLOOKUP(AU1417,INDEX((係数_バス貨物_ガソリン,係数_バス貨物_CNG,係数_バス貨物_軽油,係数_バス貨物_メタノール,係数_バス貨物_LPG),MATCH(AY1417,【参考】排出係数!$AI$4:$AI$671,1),1,BE1417):INDEX((係数_バス貨物_ガソリン,係数_バス貨物_CNG,係数_バス貨物_軽油,係数_バス貨物_メタノール,係数_バス貨物_LPG),MATCH(AY1417+1,【参考】排出係数!$AI$4:$AI$671,1)-1,5,BE1417),3,FALSE),IF(OR(AW1417=1,AW1417=2),VLOOKUP(AU1417,INDEX((係数_乗用_ガソリン,係数_乗用_CNG,係数_乗用_軽油,係数_乗用_メタノール,係数_乗用_LPG),1,1,BE1417):INDEX((係数_乗用_ガソリン,係数_乗用_CNG,係数_乗用_軽油,係数_乗用_メタノール,係数_乗用_LPG),125,5,BE1417),3,FALSE))))))</f>
        <v/>
      </c>
      <c r="BC1417" s="467" t="str">
        <f t="shared" si="824"/>
        <v/>
      </c>
      <c r="BD1417" s="567" t="str">
        <f t="shared" si="825"/>
        <v/>
      </c>
      <c r="BE1417" s="467" t="str">
        <f t="shared" si="826"/>
        <v/>
      </c>
      <c r="BF1417" s="469" t="str">
        <f t="shared" ca="1" si="827"/>
        <v/>
      </c>
      <c r="BG1417" s="469" t="str">
        <f t="shared" ca="1" si="828"/>
        <v/>
      </c>
      <c r="BH1417" s="467" t="str">
        <f t="shared" si="829"/>
        <v/>
      </c>
      <c r="BI1417" s="467" t="str">
        <f t="shared" ca="1" si="830"/>
        <v/>
      </c>
      <c r="BJ1417" s="469" t="str">
        <f t="shared" si="831"/>
        <v/>
      </c>
      <c r="BK1417" s="470" t="str">
        <f t="shared" si="815"/>
        <v/>
      </c>
      <c r="BL1417" s="775" t="str">
        <f t="shared" si="832"/>
        <v/>
      </c>
      <c r="BM1417" s="775" t="str">
        <f t="shared" si="833"/>
        <v/>
      </c>
    </row>
    <row r="1418" spans="1:65">
      <c r="A1418" s="473">
        <v>1362</v>
      </c>
      <c r="B1418" s="132"/>
      <c r="C1418" s="332"/>
      <c r="D1418" s="333"/>
      <c r="E1418" s="333"/>
      <c r="F1418" s="334"/>
      <c r="G1418" s="337"/>
      <c r="H1418" s="131"/>
      <c r="I1418" s="337"/>
      <c r="J1418" s="131"/>
      <c r="K1418" s="458" t="str">
        <f t="shared" si="796"/>
        <v/>
      </c>
      <c r="L1418" s="458">
        <f t="shared" si="797"/>
        <v>0</v>
      </c>
      <c r="M1418" s="458">
        <f t="shared" si="798"/>
        <v>0</v>
      </c>
      <c r="N1418" s="459" t="str">
        <f t="shared" si="809"/>
        <v/>
      </c>
      <c r="O1418" s="459" t="str">
        <f t="shared" si="810"/>
        <v/>
      </c>
      <c r="P1418" s="459" t="str">
        <f t="shared" si="811"/>
        <v/>
      </c>
      <c r="Q1418" s="459" t="str">
        <f t="shared" si="812"/>
        <v/>
      </c>
      <c r="R1418" s="459" t="str">
        <f t="shared" si="813"/>
        <v/>
      </c>
      <c r="S1418" s="459" t="str">
        <f t="shared" si="814"/>
        <v/>
      </c>
      <c r="T1418" s="566" t="str">
        <f t="shared" si="799"/>
        <v/>
      </c>
      <c r="U1418" s="702"/>
      <c r="V1418" s="132"/>
      <c r="W1418" s="133"/>
      <c r="X1418" s="134"/>
      <c r="Y1418" s="135"/>
      <c r="Z1418" s="137"/>
      <c r="AA1418" s="136"/>
      <c r="AB1418" s="566" t="str">
        <f t="shared" si="800"/>
        <v/>
      </c>
      <c r="AC1418" s="568" t="str">
        <f t="shared" si="801"/>
        <v/>
      </c>
      <c r="AD1418" s="137"/>
      <c r="AE1418" s="137"/>
      <c r="AF1418" s="138"/>
      <c r="AG1418" s="138"/>
      <c r="AH1418" s="592" t="str">
        <f t="shared" si="802"/>
        <v/>
      </c>
      <c r="AI1418" s="592" t="str">
        <f t="shared" si="803"/>
        <v/>
      </c>
      <c r="AJ1418" s="592" t="str">
        <f t="shared" si="804"/>
        <v/>
      </c>
      <c r="AK1418" s="460" t="str">
        <f>IF(AU1418="","",IF(OR(AZ1418=8,AZ1418=9),0,IF(OR(AW1418=3,AW1418=4,AW1418=5,AW1418=6),IF(LEFT(BF1418,1)="1",INDEX(係数_NOX・PM低減,MATCH(AY1418,【参考】排出係数!$AI$801:$AI$804,1),1),VLOOKUP(AU1418,INDEX((係数_バス貨物_ガソリン,係数_バス貨物_CNG,係数_バス貨物_軽油,係数_バス貨物_メタノール,係数_バス貨物_LPG),MATCH(AY1418,【参考】排出係数!$AI$4:$AI$671,1),1,BE1418):INDEX((係数_バス貨物_ガソリン,係数_バス貨物_CNG,係数_バス貨物_軽油,係数_バス貨物_メタノール,係数_バス貨物_LPG),MATCH(AY1418+1,【参考】排出係数!$AI$4:$AI$671,1)-1,5,BE1418),4,FALSE)),IF(AND(BE1418=3,LEFT(BF1418,1)="1"),0.48,VLOOKUP(AU1418,INDEX((係数_乗用_ガソリン,係数_乗用_CNG,係数_乗用_軽油,係数_乗用_メタノール,係数_乗用_LPG),1,1,BE1418):INDEX((係数_乗用_ガソリン,係数_乗用_CNG,係数_乗用_軽油,係数_乗用_メタノール,係数_乗用_LPG),125,5,BE1418),4,FALSE)))))</f>
        <v/>
      </c>
      <c r="AL1418" s="461" t="str">
        <f t="shared" si="805"/>
        <v/>
      </c>
      <c r="AM1418" s="460" t="str">
        <f>IF(AU1418="","",IF(OR(AZ1418=8,AZ1418=9),0,IF(OR(AW1418=3,AW1418=4,AW1418=5,AW1418=6),IF(LEFT(BH1418,1)="1",INDEX(係数_PM低減,MATCH(AY1418,【参考】排出係数!$AI$801:$AI$804,1),MATCH(BI1418,【参考】排出係数!$AL$798:$AO$798,1)),VLOOKUP(AU1418,INDEX((係数_バス貨物_ガソリン,係数_バス貨物_CNG,係数_バス貨物_軽油,係数_バス貨物_メタノール,係数_バス貨物_LPG),MATCH(AY1418,【参考】排出係数!$AI$4:$AI$671,1),1,BE1418):INDEX((係数_バス貨物_ガソリン,係数_バス貨物_CNG,係数_バス貨物_軽油,係数_バス貨物_メタノール,係数_バス貨物_LPG),MATCH(AY1418+1,【参考】排出係数!$AI$4:$AI$671,1)-1,5,BE1418),5,FALSE)),IF(AND(BE1418=3,LEFT(BF1418,1)="1"),0.055,VLOOKUP(AU1418,INDEX((係数_乗用_ガソリン,係数_乗用_CNG,係数_乗用_軽油,係数_乗用_メタノール,係数_乗用_LPG),1,1,BE1418):INDEX((係数_乗用_ガソリン,係数_乗用_CNG,係数_乗用_軽油,係数_乗用_メタノール,係数_乗用_LPG),125,5,BE1418),5,FALSE)))))</f>
        <v/>
      </c>
      <c r="AN1418" s="461" t="str">
        <f t="shared" si="806"/>
        <v/>
      </c>
      <c r="AO1418" s="462" t="str">
        <f t="shared" si="807"/>
        <v/>
      </c>
      <c r="AP1418" s="463" t="str">
        <f t="shared" si="808"/>
        <v/>
      </c>
      <c r="AQ1418" s="464"/>
      <c r="AR1418" s="619"/>
      <c r="AS1418" s="465" t="str">
        <f t="shared" si="816"/>
        <v/>
      </c>
      <c r="AT1418" s="465" t="str">
        <f t="shared" si="817"/>
        <v/>
      </c>
      <c r="AU1418" s="466" t="str">
        <f t="shared" si="818"/>
        <v/>
      </c>
      <c r="AV1418" s="467" t="str">
        <f t="shared" si="819"/>
        <v/>
      </c>
      <c r="AW1418" s="467" t="str">
        <f t="shared" si="820"/>
        <v/>
      </c>
      <c r="AX1418" s="467" t="str">
        <f t="shared" si="821"/>
        <v/>
      </c>
      <c r="AY1418" s="467" t="str">
        <f t="shared" si="822"/>
        <v/>
      </c>
      <c r="AZ1418" s="467" t="str">
        <f t="shared" si="823"/>
        <v/>
      </c>
      <c r="BA1418" s="468" t="str">
        <f>IF(AS1418="","",IF(OR(AU1418="",AU1418="-"),"－",IF(OR(AZ1418=8,AZ1418=9),"",IF(OR(AW1418=3,AW1418=4,AW1418=5,AW1418=6),VLOOKUP(AU1418,INDEX((係数_バス貨物_ガソリン,係数_バス貨物_CNG,係数_バス貨物_軽油,係数_バス貨物_メタノール,係数_バス貨物_LPG),MATCH(AY1418,【参考】排出係数!$AI$4:$AI$671,1),1,BE1418):INDEX((係数_バス貨物_ガソリン,係数_バス貨物_CNG,係数_バス貨物_軽油,係数_バス貨物_メタノール,係数_バス貨物_LPG),MATCH(AY1418+1,【参考】排出係数!$AI$4:$AI$671,1)-1,5,BE1418),2,FALSE),IF(OR(AW1418=1,AW1418=2),VLOOKUP(AU1418,INDEX((係数_乗用_ガソリン,係数_乗用_CNG,係数_乗用_軽油,係数_乗用_メタノール,係数_乗用_LPG),1,1,BE1418):INDEX((係数_乗用_ガソリン,係数_乗用_CNG,係数_乗用_軽油,係数_乗用_メタノール,係数_乗用_LPG),125,5,BE1418),2,FALSE))))))</f>
        <v/>
      </c>
      <c r="BB1418" s="468" t="str">
        <f>IF(T1418="","",IF(OR(AU1418="",AU1418="-"),"－",IF(OR(AZ1418=8,AZ1418=9),"",IF(OR(AW1418=3,AW1418=4,AW1418=5,AW1418=6),VLOOKUP(AU1418,INDEX((係数_バス貨物_ガソリン,係数_バス貨物_CNG,係数_バス貨物_軽油,係数_バス貨物_メタノール,係数_バス貨物_LPG),MATCH(AY1418,【参考】排出係数!$AI$4:$AI$671,1),1,BE1418):INDEX((係数_バス貨物_ガソリン,係数_バス貨物_CNG,係数_バス貨物_軽油,係数_バス貨物_メタノール,係数_バス貨物_LPG),MATCH(AY1418+1,【参考】排出係数!$AI$4:$AI$671,1)-1,5,BE1418),3,FALSE),IF(OR(AW1418=1,AW1418=2),VLOOKUP(AU1418,INDEX((係数_乗用_ガソリン,係数_乗用_CNG,係数_乗用_軽油,係数_乗用_メタノール,係数_乗用_LPG),1,1,BE1418):INDEX((係数_乗用_ガソリン,係数_乗用_CNG,係数_乗用_軽油,係数_乗用_メタノール,係数_乗用_LPG),125,5,BE1418),3,FALSE))))))</f>
        <v/>
      </c>
      <c r="BC1418" s="467" t="str">
        <f t="shared" si="824"/>
        <v/>
      </c>
      <c r="BD1418" s="567" t="str">
        <f t="shared" si="825"/>
        <v/>
      </c>
      <c r="BE1418" s="467" t="str">
        <f t="shared" si="826"/>
        <v/>
      </c>
      <c r="BF1418" s="469" t="str">
        <f t="shared" ca="1" si="827"/>
        <v/>
      </c>
      <c r="BG1418" s="469" t="str">
        <f t="shared" ca="1" si="828"/>
        <v/>
      </c>
      <c r="BH1418" s="467" t="str">
        <f t="shared" si="829"/>
        <v/>
      </c>
      <c r="BI1418" s="467" t="str">
        <f t="shared" ca="1" si="830"/>
        <v/>
      </c>
      <c r="BJ1418" s="469" t="str">
        <f t="shared" si="831"/>
        <v/>
      </c>
      <c r="BK1418" s="470" t="str">
        <f t="shared" si="815"/>
        <v/>
      </c>
      <c r="BL1418" s="775" t="str">
        <f t="shared" si="832"/>
        <v/>
      </c>
      <c r="BM1418" s="775" t="str">
        <f t="shared" si="833"/>
        <v/>
      </c>
    </row>
    <row r="1419" spans="1:65">
      <c r="A1419" s="473">
        <v>1363</v>
      </c>
      <c r="B1419" s="132"/>
      <c r="C1419" s="332"/>
      <c r="D1419" s="333"/>
      <c r="E1419" s="333"/>
      <c r="F1419" s="334"/>
      <c r="G1419" s="337"/>
      <c r="H1419" s="131"/>
      <c r="I1419" s="337"/>
      <c r="J1419" s="131"/>
      <c r="K1419" s="458" t="str">
        <f t="shared" si="796"/>
        <v/>
      </c>
      <c r="L1419" s="458">
        <f t="shared" si="797"/>
        <v>0</v>
      </c>
      <c r="M1419" s="458">
        <f t="shared" si="798"/>
        <v>0</v>
      </c>
      <c r="N1419" s="459" t="str">
        <f t="shared" si="809"/>
        <v/>
      </c>
      <c r="O1419" s="459" t="str">
        <f t="shared" si="810"/>
        <v/>
      </c>
      <c r="P1419" s="459" t="str">
        <f t="shared" si="811"/>
        <v/>
      </c>
      <c r="Q1419" s="459" t="str">
        <f t="shared" si="812"/>
        <v/>
      </c>
      <c r="R1419" s="459" t="str">
        <f t="shared" si="813"/>
        <v/>
      </c>
      <c r="S1419" s="459" t="str">
        <f t="shared" si="814"/>
        <v/>
      </c>
      <c r="T1419" s="566" t="str">
        <f t="shared" si="799"/>
        <v/>
      </c>
      <c r="U1419" s="702"/>
      <c r="V1419" s="132"/>
      <c r="W1419" s="133"/>
      <c r="X1419" s="134"/>
      <c r="Y1419" s="135"/>
      <c r="Z1419" s="137"/>
      <c r="AA1419" s="136"/>
      <c r="AB1419" s="566" t="str">
        <f t="shared" si="800"/>
        <v/>
      </c>
      <c r="AC1419" s="568" t="str">
        <f t="shared" si="801"/>
        <v/>
      </c>
      <c r="AD1419" s="137"/>
      <c r="AE1419" s="137"/>
      <c r="AF1419" s="138"/>
      <c r="AG1419" s="138"/>
      <c r="AH1419" s="592" t="str">
        <f t="shared" si="802"/>
        <v/>
      </c>
      <c r="AI1419" s="592" t="str">
        <f t="shared" si="803"/>
        <v/>
      </c>
      <c r="AJ1419" s="592" t="str">
        <f t="shared" si="804"/>
        <v/>
      </c>
      <c r="AK1419" s="460" t="str">
        <f>IF(AU1419="","",IF(OR(AZ1419=8,AZ1419=9),0,IF(OR(AW1419=3,AW1419=4,AW1419=5,AW1419=6),IF(LEFT(BF1419,1)="1",INDEX(係数_NOX・PM低減,MATCH(AY1419,【参考】排出係数!$AI$801:$AI$804,1),1),VLOOKUP(AU1419,INDEX((係数_バス貨物_ガソリン,係数_バス貨物_CNG,係数_バス貨物_軽油,係数_バス貨物_メタノール,係数_バス貨物_LPG),MATCH(AY1419,【参考】排出係数!$AI$4:$AI$671,1),1,BE1419):INDEX((係数_バス貨物_ガソリン,係数_バス貨物_CNG,係数_バス貨物_軽油,係数_バス貨物_メタノール,係数_バス貨物_LPG),MATCH(AY1419+1,【参考】排出係数!$AI$4:$AI$671,1)-1,5,BE1419),4,FALSE)),IF(AND(BE1419=3,LEFT(BF1419,1)="1"),0.48,VLOOKUP(AU1419,INDEX((係数_乗用_ガソリン,係数_乗用_CNG,係数_乗用_軽油,係数_乗用_メタノール,係数_乗用_LPG),1,1,BE1419):INDEX((係数_乗用_ガソリン,係数_乗用_CNG,係数_乗用_軽油,係数_乗用_メタノール,係数_乗用_LPG),125,5,BE1419),4,FALSE)))))</f>
        <v/>
      </c>
      <c r="AL1419" s="461" t="str">
        <f t="shared" si="805"/>
        <v/>
      </c>
      <c r="AM1419" s="460" t="str">
        <f>IF(AU1419="","",IF(OR(AZ1419=8,AZ1419=9),0,IF(OR(AW1419=3,AW1419=4,AW1419=5,AW1419=6),IF(LEFT(BH1419,1)="1",INDEX(係数_PM低減,MATCH(AY1419,【参考】排出係数!$AI$801:$AI$804,1),MATCH(BI1419,【参考】排出係数!$AL$798:$AO$798,1)),VLOOKUP(AU1419,INDEX((係数_バス貨物_ガソリン,係数_バス貨物_CNG,係数_バス貨物_軽油,係数_バス貨物_メタノール,係数_バス貨物_LPG),MATCH(AY1419,【参考】排出係数!$AI$4:$AI$671,1),1,BE1419):INDEX((係数_バス貨物_ガソリン,係数_バス貨物_CNG,係数_バス貨物_軽油,係数_バス貨物_メタノール,係数_バス貨物_LPG),MATCH(AY1419+1,【参考】排出係数!$AI$4:$AI$671,1)-1,5,BE1419),5,FALSE)),IF(AND(BE1419=3,LEFT(BF1419,1)="1"),0.055,VLOOKUP(AU1419,INDEX((係数_乗用_ガソリン,係数_乗用_CNG,係数_乗用_軽油,係数_乗用_メタノール,係数_乗用_LPG),1,1,BE1419):INDEX((係数_乗用_ガソリン,係数_乗用_CNG,係数_乗用_軽油,係数_乗用_メタノール,係数_乗用_LPG),125,5,BE1419),5,FALSE)))))</f>
        <v/>
      </c>
      <c r="AN1419" s="461" t="str">
        <f t="shared" si="806"/>
        <v/>
      </c>
      <c r="AO1419" s="462" t="str">
        <f t="shared" si="807"/>
        <v/>
      </c>
      <c r="AP1419" s="463" t="str">
        <f t="shared" si="808"/>
        <v/>
      </c>
      <c r="AQ1419" s="464"/>
      <c r="AR1419" s="619"/>
      <c r="AS1419" s="465" t="str">
        <f t="shared" si="816"/>
        <v/>
      </c>
      <c r="AT1419" s="465" t="str">
        <f t="shared" si="817"/>
        <v/>
      </c>
      <c r="AU1419" s="466" t="str">
        <f t="shared" si="818"/>
        <v/>
      </c>
      <c r="AV1419" s="467" t="str">
        <f t="shared" si="819"/>
        <v/>
      </c>
      <c r="AW1419" s="467" t="str">
        <f t="shared" si="820"/>
        <v/>
      </c>
      <c r="AX1419" s="467" t="str">
        <f t="shared" si="821"/>
        <v/>
      </c>
      <c r="AY1419" s="467" t="str">
        <f t="shared" si="822"/>
        <v/>
      </c>
      <c r="AZ1419" s="467" t="str">
        <f t="shared" si="823"/>
        <v/>
      </c>
      <c r="BA1419" s="468" t="str">
        <f>IF(AS1419="","",IF(OR(AU1419="",AU1419="-"),"－",IF(OR(AZ1419=8,AZ1419=9),"",IF(OR(AW1419=3,AW1419=4,AW1419=5,AW1419=6),VLOOKUP(AU1419,INDEX((係数_バス貨物_ガソリン,係数_バス貨物_CNG,係数_バス貨物_軽油,係数_バス貨物_メタノール,係数_バス貨物_LPG),MATCH(AY1419,【参考】排出係数!$AI$4:$AI$671,1),1,BE1419):INDEX((係数_バス貨物_ガソリン,係数_バス貨物_CNG,係数_バス貨物_軽油,係数_バス貨物_メタノール,係数_バス貨物_LPG),MATCH(AY1419+1,【参考】排出係数!$AI$4:$AI$671,1)-1,5,BE1419),2,FALSE),IF(OR(AW1419=1,AW1419=2),VLOOKUP(AU1419,INDEX((係数_乗用_ガソリン,係数_乗用_CNG,係数_乗用_軽油,係数_乗用_メタノール,係数_乗用_LPG),1,1,BE1419):INDEX((係数_乗用_ガソリン,係数_乗用_CNG,係数_乗用_軽油,係数_乗用_メタノール,係数_乗用_LPG),125,5,BE1419),2,FALSE))))))</f>
        <v/>
      </c>
      <c r="BB1419" s="468" t="str">
        <f>IF(T1419="","",IF(OR(AU1419="",AU1419="-"),"－",IF(OR(AZ1419=8,AZ1419=9),"",IF(OR(AW1419=3,AW1419=4,AW1419=5,AW1419=6),VLOOKUP(AU1419,INDEX((係数_バス貨物_ガソリン,係数_バス貨物_CNG,係数_バス貨物_軽油,係数_バス貨物_メタノール,係数_バス貨物_LPG),MATCH(AY1419,【参考】排出係数!$AI$4:$AI$671,1),1,BE1419):INDEX((係数_バス貨物_ガソリン,係数_バス貨物_CNG,係数_バス貨物_軽油,係数_バス貨物_メタノール,係数_バス貨物_LPG),MATCH(AY1419+1,【参考】排出係数!$AI$4:$AI$671,1)-1,5,BE1419),3,FALSE),IF(OR(AW1419=1,AW1419=2),VLOOKUP(AU1419,INDEX((係数_乗用_ガソリン,係数_乗用_CNG,係数_乗用_軽油,係数_乗用_メタノール,係数_乗用_LPG),1,1,BE1419):INDEX((係数_乗用_ガソリン,係数_乗用_CNG,係数_乗用_軽油,係数_乗用_メタノール,係数_乗用_LPG),125,5,BE1419),3,FALSE))))))</f>
        <v/>
      </c>
      <c r="BC1419" s="467" t="str">
        <f t="shared" si="824"/>
        <v/>
      </c>
      <c r="BD1419" s="567" t="str">
        <f t="shared" si="825"/>
        <v/>
      </c>
      <c r="BE1419" s="467" t="str">
        <f t="shared" si="826"/>
        <v/>
      </c>
      <c r="BF1419" s="469" t="str">
        <f t="shared" ca="1" si="827"/>
        <v/>
      </c>
      <c r="BG1419" s="469" t="str">
        <f t="shared" ca="1" si="828"/>
        <v/>
      </c>
      <c r="BH1419" s="467" t="str">
        <f t="shared" si="829"/>
        <v/>
      </c>
      <c r="BI1419" s="467" t="str">
        <f t="shared" ca="1" si="830"/>
        <v/>
      </c>
      <c r="BJ1419" s="469" t="str">
        <f t="shared" si="831"/>
        <v/>
      </c>
      <c r="BK1419" s="470" t="str">
        <f t="shared" si="815"/>
        <v/>
      </c>
      <c r="BL1419" s="775" t="str">
        <f t="shared" si="832"/>
        <v/>
      </c>
      <c r="BM1419" s="775" t="str">
        <f t="shared" si="833"/>
        <v/>
      </c>
    </row>
    <row r="1420" spans="1:65">
      <c r="A1420" s="473">
        <v>1364</v>
      </c>
      <c r="B1420" s="132"/>
      <c r="C1420" s="332"/>
      <c r="D1420" s="333"/>
      <c r="E1420" s="333"/>
      <c r="F1420" s="334"/>
      <c r="G1420" s="337"/>
      <c r="H1420" s="131"/>
      <c r="I1420" s="337"/>
      <c r="J1420" s="131"/>
      <c r="K1420" s="458" t="str">
        <f t="shared" si="796"/>
        <v/>
      </c>
      <c r="L1420" s="458">
        <f t="shared" si="797"/>
        <v>0</v>
      </c>
      <c r="M1420" s="458">
        <f t="shared" si="798"/>
        <v>0</v>
      </c>
      <c r="N1420" s="459" t="str">
        <f t="shared" si="809"/>
        <v/>
      </c>
      <c r="O1420" s="459" t="str">
        <f t="shared" si="810"/>
        <v/>
      </c>
      <c r="P1420" s="459" t="str">
        <f t="shared" si="811"/>
        <v/>
      </c>
      <c r="Q1420" s="459" t="str">
        <f t="shared" si="812"/>
        <v/>
      </c>
      <c r="R1420" s="459" t="str">
        <f t="shared" si="813"/>
        <v/>
      </c>
      <c r="S1420" s="459" t="str">
        <f t="shared" si="814"/>
        <v/>
      </c>
      <c r="T1420" s="566" t="str">
        <f t="shared" si="799"/>
        <v/>
      </c>
      <c r="U1420" s="702"/>
      <c r="V1420" s="132"/>
      <c r="W1420" s="133"/>
      <c r="X1420" s="134"/>
      <c r="Y1420" s="135"/>
      <c r="Z1420" s="137"/>
      <c r="AA1420" s="136"/>
      <c r="AB1420" s="566" t="str">
        <f t="shared" si="800"/>
        <v/>
      </c>
      <c r="AC1420" s="568" t="str">
        <f t="shared" si="801"/>
        <v/>
      </c>
      <c r="AD1420" s="137"/>
      <c r="AE1420" s="137"/>
      <c r="AF1420" s="138"/>
      <c r="AG1420" s="138"/>
      <c r="AH1420" s="592" t="str">
        <f t="shared" si="802"/>
        <v/>
      </c>
      <c r="AI1420" s="592" t="str">
        <f t="shared" si="803"/>
        <v/>
      </c>
      <c r="AJ1420" s="592" t="str">
        <f t="shared" si="804"/>
        <v/>
      </c>
      <c r="AK1420" s="460" t="str">
        <f>IF(AU1420="","",IF(OR(AZ1420=8,AZ1420=9),0,IF(OR(AW1420=3,AW1420=4,AW1420=5,AW1420=6),IF(LEFT(BF1420,1)="1",INDEX(係数_NOX・PM低減,MATCH(AY1420,【参考】排出係数!$AI$801:$AI$804,1),1),VLOOKUP(AU1420,INDEX((係数_バス貨物_ガソリン,係数_バス貨物_CNG,係数_バス貨物_軽油,係数_バス貨物_メタノール,係数_バス貨物_LPG),MATCH(AY1420,【参考】排出係数!$AI$4:$AI$671,1),1,BE1420):INDEX((係数_バス貨物_ガソリン,係数_バス貨物_CNG,係数_バス貨物_軽油,係数_バス貨物_メタノール,係数_バス貨物_LPG),MATCH(AY1420+1,【参考】排出係数!$AI$4:$AI$671,1)-1,5,BE1420),4,FALSE)),IF(AND(BE1420=3,LEFT(BF1420,1)="1"),0.48,VLOOKUP(AU1420,INDEX((係数_乗用_ガソリン,係数_乗用_CNG,係数_乗用_軽油,係数_乗用_メタノール,係数_乗用_LPG),1,1,BE1420):INDEX((係数_乗用_ガソリン,係数_乗用_CNG,係数_乗用_軽油,係数_乗用_メタノール,係数_乗用_LPG),125,5,BE1420),4,FALSE)))))</f>
        <v/>
      </c>
      <c r="AL1420" s="461" t="str">
        <f t="shared" si="805"/>
        <v/>
      </c>
      <c r="AM1420" s="460" t="str">
        <f>IF(AU1420="","",IF(OR(AZ1420=8,AZ1420=9),0,IF(OR(AW1420=3,AW1420=4,AW1420=5,AW1420=6),IF(LEFT(BH1420,1)="1",INDEX(係数_PM低減,MATCH(AY1420,【参考】排出係数!$AI$801:$AI$804,1),MATCH(BI1420,【参考】排出係数!$AL$798:$AO$798,1)),VLOOKUP(AU1420,INDEX((係数_バス貨物_ガソリン,係数_バス貨物_CNG,係数_バス貨物_軽油,係数_バス貨物_メタノール,係数_バス貨物_LPG),MATCH(AY1420,【参考】排出係数!$AI$4:$AI$671,1),1,BE1420):INDEX((係数_バス貨物_ガソリン,係数_バス貨物_CNG,係数_バス貨物_軽油,係数_バス貨物_メタノール,係数_バス貨物_LPG),MATCH(AY1420+1,【参考】排出係数!$AI$4:$AI$671,1)-1,5,BE1420),5,FALSE)),IF(AND(BE1420=3,LEFT(BF1420,1)="1"),0.055,VLOOKUP(AU1420,INDEX((係数_乗用_ガソリン,係数_乗用_CNG,係数_乗用_軽油,係数_乗用_メタノール,係数_乗用_LPG),1,1,BE1420):INDEX((係数_乗用_ガソリン,係数_乗用_CNG,係数_乗用_軽油,係数_乗用_メタノール,係数_乗用_LPG),125,5,BE1420),5,FALSE)))))</f>
        <v/>
      </c>
      <c r="AN1420" s="461" t="str">
        <f t="shared" si="806"/>
        <v/>
      </c>
      <c r="AO1420" s="462" t="str">
        <f t="shared" si="807"/>
        <v/>
      </c>
      <c r="AP1420" s="463" t="str">
        <f t="shared" si="808"/>
        <v/>
      </c>
      <c r="AQ1420" s="464"/>
      <c r="AR1420" s="619"/>
      <c r="AS1420" s="465" t="str">
        <f t="shared" si="816"/>
        <v/>
      </c>
      <c r="AT1420" s="465" t="str">
        <f t="shared" si="817"/>
        <v/>
      </c>
      <c r="AU1420" s="466" t="str">
        <f t="shared" si="818"/>
        <v/>
      </c>
      <c r="AV1420" s="467" t="str">
        <f t="shared" si="819"/>
        <v/>
      </c>
      <c r="AW1420" s="467" t="str">
        <f t="shared" si="820"/>
        <v/>
      </c>
      <c r="AX1420" s="467" t="str">
        <f t="shared" si="821"/>
        <v/>
      </c>
      <c r="AY1420" s="467" t="str">
        <f t="shared" si="822"/>
        <v/>
      </c>
      <c r="AZ1420" s="467" t="str">
        <f t="shared" si="823"/>
        <v/>
      </c>
      <c r="BA1420" s="468" t="str">
        <f>IF(AS1420="","",IF(OR(AU1420="",AU1420="-"),"－",IF(OR(AZ1420=8,AZ1420=9),"",IF(OR(AW1420=3,AW1420=4,AW1420=5,AW1420=6),VLOOKUP(AU1420,INDEX((係数_バス貨物_ガソリン,係数_バス貨物_CNG,係数_バス貨物_軽油,係数_バス貨物_メタノール,係数_バス貨物_LPG),MATCH(AY1420,【参考】排出係数!$AI$4:$AI$671,1),1,BE1420):INDEX((係数_バス貨物_ガソリン,係数_バス貨物_CNG,係数_バス貨物_軽油,係数_バス貨物_メタノール,係数_バス貨物_LPG),MATCH(AY1420+1,【参考】排出係数!$AI$4:$AI$671,1)-1,5,BE1420),2,FALSE),IF(OR(AW1420=1,AW1420=2),VLOOKUP(AU1420,INDEX((係数_乗用_ガソリン,係数_乗用_CNG,係数_乗用_軽油,係数_乗用_メタノール,係数_乗用_LPG),1,1,BE1420):INDEX((係数_乗用_ガソリン,係数_乗用_CNG,係数_乗用_軽油,係数_乗用_メタノール,係数_乗用_LPG),125,5,BE1420),2,FALSE))))))</f>
        <v/>
      </c>
      <c r="BB1420" s="468" t="str">
        <f>IF(T1420="","",IF(OR(AU1420="",AU1420="-"),"－",IF(OR(AZ1420=8,AZ1420=9),"",IF(OR(AW1420=3,AW1420=4,AW1420=5,AW1420=6),VLOOKUP(AU1420,INDEX((係数_バス貨物_ガソリン,係数_バス貨物_CNG,係数_バス貨物_軽油,係数_バス貨物_メタノール,係数_バス貨物_LPG),MATCH(AY1420,【参考】排出係数!$AI$4:$AI$671,1),1,BE1420):INDEX((係数_バス貨物_ガソリン,係数_バス貨物_CNG,係数_バス貨物_軽油,係数_バス貨物_メタノール,係数_バス貨物_LPG),MATCH(AY1420+1,【参考】排出係数!$AI$4:$AI$671,1)-1,5,BE1420),3,FALSE),IF(OR(AW1420=1,AW1420=2),VLOOKUP(AU1420,INDEX((係数_乗用_ガソリン,係数_乗用_CNG,係数_乗用_軽油,係数_乗用_メタノール,係数_乗用_LPG),1,1,BE1420):INDEX((係数_乗用_ガソリン,係数_乗用_CNG,係数_乗用_軽油,係数_乗用_メタノール,係数_乗用_LPG),125,5,BE1420),3,FALSE))))))</f>
        <v/>
      </c>
      <c r="BC1420" s="467" t="str">
        <f t="shared" si="824"/>
        <v/>
      </c>
      <c r="BD1420" s="567" t="str">
        <f t="shared" si="825"/>
        <v/>
      </c>
      <c r="BE1420" s="467" t="str">
        <f t="shared" si="826"/>
        <v/>
      </c>
      <c r="BF1420" s="469" t="str">
        <f t="shared" ca="1" si="827"/>
        <v/>
      </c>
      <c r="BG1420" s="469" t="str">
        <f t="shared" ca="1" si="828"/>
        <v/>
      </c>
      <c r="BH1420" s="467" t="str">
        <f t="shared" si="829"/>
        <v/>
      </c>
      <c r="BI1420" s="467" t="str">
        <f t="shared" ca="1" si="830"/>
        <v/>
      </c>
      <c r="BJ1420" s="469" t="str">
        <f t="shared" si="831"/>
        <v/>
      </c>
      <c r="BK1420" s="470" t="str">
        <f t="shared" si="815"/>
        <v/>
      </c>
      <c r="BL1420" s="775" t="str">
        <f t="shared" si="832"/>
        <v/>
      </c>
      <c r="BM1420" s="775" t="str">
        <f t="shared" si="833"/>
        <v/>
      </c>
    </row>
    <row r="1421" spans="1:65">
      <c r="A1421" s="473">
        <v>1365</v>
      </c>
      <c r="B1421" s="132"/>
      <c r="C1421" s="332"/>
      <c r="D1421" s="333"/>
      <c r="E1421" s="333"/>
      <c r="F1421" s="334"/>
      <c r="G1421" s="337"/>
      <c r="H1421" s="131"/>
      <c r="I1421" s="337"/>
      <c r="J1421" s="131"/>
      <c r="K1421" s="458" t="str">
        <f t="shared" si="796"/>
        <v/>
      </c>
      <c r="L1421" s="458">
        <f t="shared" si="797"/>
        <v>0</v>
      </c>
      <c r="M1421" s="458">
        <f t="shared" si="798"/>
        <v>0</v>
      </c>
      <c r="N1421" s="459" t="str">
        <f t="shared" si="809"/>
        <v/>
      </c>
      <c r="O1421" s="459" t="str">
        <f t="shared" si="810"/>
        <v/>
      </c>
      <c r="P1421" s="459" t="str">
        <f t="shared" si="811"/>
        <v/>
      </c>
      <c r="Q1421" s="459" t="str">
        <f t="shared" si="812"/>
        <v/>
      </c>
      <c r="R1421" s="459" t="str">
        <f t="shared" si="813"/>
        <v/>
      </c>
      <c r="S1421" s="459" t="str">
        <f t="shared" si="814"/>
        <v/>
      </c>
      <c r="T1421" s="566" t="str">
        <f t="shared" si="799"/>
        <v/>
      </c>
      <c r="U1421" s="702"/>
      <c r="V1421" s="132"/>
      <c r="W1421" s="133"/>
      <c r="X1421" s="134"/>
      <c r="Y1421" s="135"/>
      <c r="Z1421" s="137"/>
      <c r="AA1421" s="136"/>
      <c r="AB1421" s="566" t="str">
        <f t="shared" si="800"/>
        <v/>
      </c>
      <c r="AC1421" s="568" t="str">
        <f t="shared" si="801"/>
        <v/>
      </c>
      <c r="AD1421" s="137"/>
      <c r="AE1421" s="137"/>
      <c r="AF1421" s="138"/>
      <c r="AG1421" s="138"/>
      <c r="AH1421" s="592" t="str">
        <f t="shared" si="802"/>
        <v/>
      </c>
      <c r="AI1421" s="592" t="str">
        <f t="shared" si="803"/>
        <v/>
      </c>
      <c r="AJ1421" s="592" t="str">
        <f t="shared" si="804"/>
        <v/>
      </c>
      <c r="AK1421" s="460" t="str">
        <f>IF(AU1421="","",IF(OR(AZ1421=8,AZ1421=9),0,IF(OR(AW1421=3,AW1421=4,AW1421=5,AW1421=6),IF(LEFT(BF1421,1)="1",INDEX(係数_NOX・PM低減,MATCH(AY1421,【参考】排出係数!$AI$801:$AI$804,1),1),VLOOKUP(AU1421,INDEX((係数_バス貨物_ガソリン,係数_バス貨物_CNG,係数_バス貨物_軽油,係数_バス貨物_メタノール,係数_バス貨物_LPG),MATCH(AY1421,【参考】排出係数!$AI$4:$AI$671,1),1,BE1421):INDEX((係数_バス貨物_ガソリン,係数_バス貨物_CNG,係数_バス貨物_軽油,係数_バス貨物_メタノール,係数_バス貨物_LPG),MATCH(AY1421+1,【参考】排出係数!$AI$4:$AI$671,1)-1,5,BE1421),4,FALSE)),IF(AND(BE1421=3,LEFT(BF1421,1)="1"),0.48,VLOOKUP(AU1421,INDEX((係数_乗用_ガソリン,係数_乗用_CNG,係数_乗用_軽油,係数_乗用_メタノール,係数_乗用_LPG),1,1,BE1421):INDEX((係数_乗用_ガソリン,係数_乗用_CNG,係数_乗用_軽油,係数_乗用_メタノール,係数_乗用_LPG),125,5,BE1421),4,FALSE)))))</f>
        <v/>
      </c>
      <c r="AL1421" s="461" t="str">
        <f t="shared" si="805"/>
        <v/>
      </c>
      <c r="AM1421" s="460" t="str">
        <f>IF(AU1421="","",IF(OR(AZ1421=8,AZ1421=9),0,IF(OR(AW1421=3,AW1421=4,AW1421=5,AW1421=6),IF(LEFT(BH1421,1)="1",INDEX(係数_PM低減,MATCH(AY1421,【参考】排出係数!$AI$801:$AI$804,1),MATCH(BI1421,【参考】排出係数!$AL$798:$AO$798,1)),VLOOKUP(AU1421,INDEX((係数_バス貨物_ガソリン,係数_バス貨物_CNG,係数_バス貨物_軽油,係数_バス貨物_メタノール,係数_バス貨物_LPG),MATCH(AY1421,【参考】排出係数!$AI$4:$AI$671,1),1,BE1421):INDEX((係数_バス貨物_ガソリン,係数_バス貨物_CNG,係数_バス貨物_軽油,係数_バス貨物_メタノール,係数_バス貨物_LPG),MATCH(AY1421+1,【参考】排出係数!$AI$4:$AI$671,1)-1,5,BE1421),5,FALSE)),IF(AND(BE1421=3,LEFT(BF1421,1)="1"),0.055,VLOOKUP(AU1421,INDEX((係数_乗用_ガソリン,係数_乗用_CNG,係数_乗用_軽油,係数_乗用_メタノール,係数_乗用_LPG),1,1,BE1421):INDEX((係数_乗用_ガソリン,係数_乗用_CNG,係数_乗用_軽油,係数_乗用_メタノール,係数_乗用_LPG),125,5,BE1421),5,FALSE)))))</f>
        <v/>
      </c>
      <c r="AN1421" s="461" t="str">
        <f t="shared" si="806"/>
        <v/>
      </c>
      <c r="AO1421" s="462" t="str">
        <f t="shared" si="807"/>
        <v/>
      </c>
      <c r="AP1421" s="463" t="str">
        <f t="shared" si="808"/>
        <v/>
      </c>
      <c r="AQ1421" s="464"/>
      <c r="AR1421" s="619"/>
      <c r="AS1421" s="465" t="str">
        <f t="shared" si="816"/>
        <v/>
      </c>
      <c r="AT1421" s="465" t="str">
        <f t="shared" si="817"/>
        <v/>
      </c>
      <c r="AU1421" s="466" t="str">
        <f t="shared" si="818"/>
        <v/>
      </c>
      <c r="AV1421" s="467" t="str">
        <f t="shared" si="819"/>
        <v/>
      </c>
      <c r="AW1421" s="467" t="str">
        <f t="shared" si="820"/>
        <v/>
      </c>
      <c r="AX1421" s="467" t="str">
        <f t="shared" si="821"/>
        <v/>
      </c>
      <c r="AY1421" s="467" t="str">
        <f t="shared" si="822"/>
        <v/>
      </c>
      <c r="AZ1421" s="467" t="str">
        <f t="shared" si="823"/>
        <v/>
      </c>
      <c r="BA1421" s="468" t="str">
        <f>IF(AS1421="","",IF(OR(AU1421="",AU1421="-"),"－",IF(OR(AZ1421=8,AZ1421=9),"",IF(OR(AW1421=3,AW1421=4,AW1421=5,AW1421=6),VLOOKUP(AU1421,INDEX((係数_バス貨物_ガソリン,係数_バス貨物_CNG,係数_バス貨物_軽油,係数_バス貨物_メタノール,係数_バス貨物_LPG),MATCH(AY1421,【参考】排出係数!$AI$4:$AI$671,1),1,BE1421):INDEX((係数_バス貨物_ガソリン,係数_バス貨物_CNG,係数_バス貨物_軽油,係数_バス貨物_メタノール,係数_バス貨物_LPG),MATCH(AY1421+1,【参考】排出係数!$AI$4:$AI$671,1)-1,5,BE1421),2,FALSE),IF(OR(AW1421=1,AW1421=2),VLOOKUP(AU1421,INDEX((係数_乗用_ガソリン,係数_乗用_CNG,係数_乗用_軽油,係数_乗用_メタノール,係数_乗用_LPG),1,1,BE1421):INDEX((係数_乗用_ガソリン,係数_乗用_CNG,係数_乗用_軽油,係数_乗用_メタノール,係数_乗用_LPG),125,5,BE1421),2,FALSE))))))</f>
        <v/>
      </c>
      <c r="BB1421" s="468" t="str">
        <f>IF(T1421="","",IF(OR(AU1421="",AU1421="-"),"－",IF(OR(AZ1421=8,AZ1421=9),"",IF(OR(AW1421=3,AW1421=4,AW1421=5,AW1421=6),VLOOKUP(AU1421,INDEX((係数_バス貨物_ガソリン,係数_バス貨物_CNG,係数_バス貨物_軽油,係数_バス貨物_メタノール,係数_バス貨物_LPG),MATCH(AY1421,【参考】排出係数!$AI$4:$AI$671,1),1,BE1421):INDEX((係数_バス貨物_ガソリン,係数_バス貨物_CNG,係数_バス貨物_軽油,係数_バス貨物_メタノール,係数_バス貨物_LPG),MATCH(AY1421+1,【参考】排出係数!$AI$4:$AI$671,1)-1,5,BE1421),3,FALSE),IF(OR(AW1421=1,AW1421=2),VLOOKUP(AU1421,INDEX((係数_乗用_ガソリン,係数_乗用_CNG,係数_乗用_軽油,係数_乗用_メタノール,係数_乗用_LPG),1,1,BE1421):INDEX((係数_乗用_ガソリン,係数_乗用_CNG,係数_乗用_軽油,係数_乗用_メタノール,係数_乗用_LPG),125,5,BE1421),3,FALSE))))))</f>
        <v/>
      </c>
      <c r="BC1421" s="467" t="str">
        <f t="shared" si="824"/>
        <v/>
      </c>
      <c r="BD1421" s="567" t="str">
        <f t="shared" si="825"/>
        <v/>
      </c>
      <c r="BE1421" s="467" t="str">
        <f t="shared" si="826"/>
        <v/>
      </c>
      <c r="BF1421" s="469" t="str">
        <f t="shared" ca="1" si="827"/>
        <v/>
      </c>
      <c r="BG1421" s="469" t="str">
        <f t="shared" ca="1" si="828"/>
        <v/>
      </c>
      <c r="BH1421" s="467" t="str">
        <f t="shared" si="829"/>
        <v/>
      </c>
      <c r="BI1421" s="467" t="str">
        <f t="shared" ca="1" si="830"/>
        <v/>
      </c>
      <c r="BJ1421" s="469" t="str">
        <f t="shared" si="831"/>
        <v/>
      </c>
      <c r="BK1421" s="470" t="str">
        <f t="shared" si="815"/>
        <v/>
      </c>
      <c r="BL1421" s="775" t="str">
        <f t="shared" si="832"/>
        <v/>
      </c>
      <c r="BM1421" s="775" t="str">
        <f t="shared" si="833"/>
        <v/>
      </c>
    </row>
    <row r="1422" spans="1:65">
      <c r="A1422" s="473">
        <v>1366</v>
      </c>
      <c r="B1422" s="132"/>
      <c r="C1422" s="332"/>
      <c r="D1422" s="333"/>
      <c r="E1422" s="333"/>
      <c r="F1422" s="334"/>
      <c r="G1422" s="337"/>
      <c r="H1422" s="131"/>
      <c r="I1422" s="337"/>
      <c r="J1422" s="131"/>
      <c r="K1422" s="458" t="str">
        <f t="shared" si="796"/>
        <v/>
      </c>
      <c r="L1422" s="458">
        <f t="shared" si="797"/>
        <v>0</v>
      </c>
      <c r="M1422" s="458">
        <f t="shared" si="798"/>
        <v>0</v>
      </c>
      <c r="N1422" s="459" t="str">
        <f t="shared" si="809"/>
        <v/>
      </c>
      <c r="O1422" s="459" t="str">
        <f t="shared" si="810"/>
        <v/>
      </c>
      <c r="P1422" s="459" t="str">
        <f t="shared" si="811"/>
        <v/>
      </c>
      <c r="Q1422" s="459" t="str">
        <f t="shared" si="812"/>
        <v/>
      </c>
      <c r="R1422" s="459" t="str">
        <f t="shared" si="813"/>
        <v/>
      </c>
      <c r="S1422" s="459" t="str">
        <f t="shared" si="814"/>
        <v/>
      </c>
      <c r="T1422" s="566" t="str">
        <f t="shared" si="799"/>
        <v/>
      </c>
      <c r="U1422" s="702"/>
      <c r="V1422" s="132"/>
      <c r="W1422" s="133"/>
      <c r="X1422" s="134"/>
      <c r="Y1422" s="135"/>
      <c r="Z1422" s="137"/>
      <c r="AA1422" s="136"/>
      <c r="AB1422" s="566" t="str">
        <f t="shared" si="800"/>
        <v/>
      </c>
      <c r="AC1422" s="568" t="str">
        <f t="shared" si="801"/>
        <v/>
      </c>
      <c r="AD1422" s="137"/>
      <c r="AE1422" s="137"/>
      <c r="AF1422" s="138"/>
      <c r="AG1422" s="138"/>
      <c r="AH1422" s="592" t="str">
        <f t="shared" si="802"/>
        <v/>
      </c>
      <c r="AI1422" s="592" t="str">
        <f t="shared" si="803"/>
        <v/>
      </c>
      <c r="AJ1422" s="592" t="str">
        <f t="shared" si="804"/>
        <v/>
      </c>
      <c r="AK1422" s="460" t="str">
        <f>IF(AU1422="","",IF(OR(AZ1422=8,AZ1422=9),0,IF(OR(AW1422=3,AW1422=4,AW1422=5,AW1422=6),IF(LEFT(BF1422,1)="1",INDEX(係数_NOX・PM低減,MATCH(AY1422,【参考】排出係数!$AI$801:$AI$804,1),1),VLOOKUP(AU1422,INDEX((係数_バス貨物_ガソリン,係数_バス貨物_CNG,係数_バス貨物_軽油,係数_バス貨物_メタノール,係数_バス貨物_LPG),MATCH(AY1422,【参考】排出係数!$AI$4:$AI$671,1),1,BE1422):INDEX((係数_バス貨物_ガソリン,係数_バス貨物_CNG,係数_バス貨物_軽油,係数_バス貨物_メタノール,係数_バス貨物_LPG),MATCH(AY1422+1,【参考】排出係数!$AI$4:$AI$671,1)-1,5,BE1422),4,FALSE)),IF(AND(BE1422=3,LEFT(BF1422,1)="1"),0.48,VLOOKUP(AU1422,INDEX((係数_乗用_ガソリン,係数_乗用_CNG,係数_乗用_軽油,係数_乗用_メタノール,係数_乗用_LPG),1,1,BE1422):INDEX((係数_乗用_ガソリン,係数_乗用_CNG,係数_乗用_軽油,係数_乗用_メタノール,係数_乗用_LPG),125,5,BE1422),4,FALSE)))))</f>
        <v/>
      </c>
      <c r="AL1422" s="461" t="str">
        <f t="shared" si="805"/>
        <v/>
      </c>
      <c r="AM1422" s="460" t="str">
        <f>IF(AU1422="","",IF(OR(AZ1422=8,AZ1422=9),0,IF(OR(AW1422=3,AW1422=4,AW1422=5,AW1422=6),IF(LEFT(BH1422,1)="1",INDEX(係数_PM低減,MATCH(AY1422,【参考】排出係数!$AI$801:$AI$804,1),MATCH(BI1422,【参考】排出係数!$AL$798:$AO$798,1)),VLOOKUP(AU1422,INDEX((係数_バス貨物_ガソリン,係数_バス貨物_CNG,係数_バス貨物_軽油,係数_バス貨物_メタノール,係数_バス貨物_LPG),MATCH(AY1422,【参考】排出係数!$AI$4:$AI$671,1),1,BE1422):INDEX((係数_バス貨物_ガソリン,係数_バス貨物_CNG,係数_バス貨物_軽油,係数_バス貨物_メタノール,係数_バス貨物_LPG),MATCH(AY1422+1,【参考】排出係数!$AI$4:$AI$671,1)-1,5,BE1422),5,FALSE)),IF(AND(BE1422=3,LEFT(BF1422,1)="1"),0.055,VLOOKUP(AU1422,INDEX((係数_乗用_ガソリン,係数_乗用_CNG,係数_乗用_軽油,係数_乗用_メタノール,係数_乗用_LPG),1,1,BE1422):INDEX((係数_乗用_ガソリン,係数_乗用_CNG,係数_乗用_軽油,係数_乗用_メタノール,係数_乗用_LPG),125,5,BE1422),5,FALSE)))))</f>
        <v/>
      </c>
      <c r="AN1422" s="461" t="str">
        <f t="shared" si="806"/>
        <v/>
      </c>
      <c r="AO1422" s="462" t="str">
        <f t="shared" si="807"/>
        <v/>
      </c>
      <c r="AP1422" s="463" t="str">
        <f t="shared" si="808"/>
        <v/>
      </c>
      <c r="AQ1422" s="464"/>
      <c r="AR1422" s="619"/>
      <c r="AS1422" s="465" t="str">
        <f t="shared" si="816"/>
        <v/>
      </c>
      <c r="AT1422" s="465" t="str">
        <f t="shared" si="817"/>
        <v/>
      </c>
      <c r="AU1422" s="466" t="str">
        <f t="shared" si="818"/>
        <v/>
      </c>
      <c r="AV1422" s="467" t="str">
        <f t="shared" si="819"/>
        <v/>
      </c>
      <c r="AW1422" s="467" t="str">
        <f t="shared" si="820"/>
        <v/>
      </c>
      <c r="AX1422" s="467" t="str">
        <f t="shared" si="821"/>
        <v/>
      </c>
      <c r="AY1422" s="467" t="str">
        <f t="shared" si="822"/>
        <v/>
      </c>
      <c r="AZ1422" s="467" t="str">
        <f t="shared" si="823"/>
        <v/>
      </c>
      <c r="BA1422" s="468" t="str">
        <f>IF(AS1422="","",IF(OR(AU1422="",AU1422="-"),"－",IF(OR(AZ1422=8,AZ1422=9),"",IF(OR(AW1422=3,AW1422=4,AW1422=5,AW1422=6),VLOOKUP(AU1422,INDEX((係数_バス貨物_ガソリン,係数_バス貨物_CNG,係数_バス貨物_軽油,係数_バス貨物_メタノール,係数_バス貨物_LPG),MATCH(AY1422,【参考】排出係数!$AI$4:$AI$671,1),1,BE1422):INDEX((係数_バス貨物_ガソリン,係数_バス貨物_CNG,係数_バス貨物_軽油,係数_バス貨物_メタノール,係数_バス貨物_LPG),MATCH(AY1422+1,【参考】排出係数!$AI$4:$AI$671,1)-1,5,BE1422),2,FALSE),IF(OR(AW1422=1,AW1422=2),VLOOKUP(AU1422,INDEX((係数_乗用_ガソリン,係数_乗用_CNG,係数_乗用_軽油,係数_乗用_メタノール,係数_乗用_LPG),1,1,BE1422):INDEX((係数_乗用_ガソリン,係数_乗用_CNG,係数_乗用_軽油,係数_乗用_メタノール,係数_乗用_LPG),125,5,BE1422),2,FALSE))))))</f>
        <v/>
      </c>
      <c r="BB1422" s="468" t="str">
        <f>IF(T1422="","",IF(OR(AU1422="",AU1422="-"),"－",IF(OR(AZ1422=8,AZ1422=9),"",IF(OR(AW1422=3,AW1422=4,AW1422=5,AW1422=6),VLOOKUP(AU1422,INDEX((係数_バス貨物_ガソリン,係数_バス貨物_CNG,係数_バス貨物_軽油,係数_バス貨物_メタノール,係数_バス貨物_LPG),MATCH(AY1422,【参考】排出係数!$AI$4:$AI$671,1),1,BE1422):INDEX((係数_バス貨物_ガソリン,係数_バス貨物_CNG,係数_バス貨物_軽油,係数_バス貨物_メタノール,係数_バス貨物_LPG),MATCH(AY1422+1,【参考】排出係数!$AI$4:$AI$671,1)-1,5,BE1422),3,FALSE),IF(OR(AW1422=1,AW1422=2),VLOOKUP(AU1422,INDEX((係数_乗用_ガソリン,係数_乗用_CNG,係数_乗用_軽油,係数_乗用_メタノール,係数_乗用_LPG),1,1,BE1422):INDEX((係数_乗用_ガソリン,係数_乗用_CNG,係数_乗用_軽油,係数_乗用_メタノール,係数_乗用_LPG),125,5,BE1422),3,FALSE))))))</f>
        <v/>
      </c>
      <c r="BC1422" s="467" t="str">
        <f t="shared" si="824"/>
        <v/>
      </c>
      <c r="BD1422" s="567" t="str">
        <f t="shared" si="825"/>
        <v/>
      </c>
      <c r="BE1422" s="467" t="str">
        <f t="shared" si="826"/>
        <v/>
      </c>
      <c r="BF1422" s="469" t="str">
        <f t="shared" ca="1" si="827"/>
        <v/>
      </c>
      <c r="BG1422" s="469" t="str">
        <f t="shared" ca="1" si="828"/>
        <v/>
      </c>
      <c r="BH1422" s="467" t="str">
        <f t="shared" si="829"/>
        <v/>
      </c>
      <c r="BI1422" s="467" t="str">
        <f t="shared" ca="1" si="830"/>
        <v/>
      </c>
      <c r="BJ1422" s="469" t="str">
        <f t="shared" si="831"/>
        <v/>
      </c>
      <c r="BK1422" s="470" t="str">
        <f t="shared" si="815"/>
        <v/>
      </c>
      <c r="BL1422" s="775" t="str">
        <f t="shared" si="832"/>
        <v/>
      </c>
      <c r="BM1422" s="775" t="str">
        <f t="shared" si="833"/>
        <v/>
      </c>
    </row>
    <row r="1423" spans="1:65">
      <c r="A1423" s="473">
        <v>1367</v>
      </c>
      <c r="B1423" s="132"/>
      <c r="C1423" s="332"/>
      <c r="D1423" s="333"/>
      <c r="E1423" s="333"/>
      <c r="F1423" s="334"/>
      <c r="G1423" s="337"/>
      <c r="H1423" s="131"/>
      <c r="I1423" s="337"/>
      <c r="J1423" s="131"/>
      <c r="K1423" s="458" t="str">
        <f t="shared" si="796"/>
        <v/>
      </c>
      <c r="L1423" s="458">
        <f t="shared" si="797"/>
        <v>0</v>
      </c>
      <c r="M1423" s="458">
        <f t="shared" si="798"/>
        <v>0</v>
      </c>
      <c r="N1423" s="459" t="str">
        <f t="shared" si="809"/>
        <v/>
      </c>
      <c r="O1423" s="459" t="str">
        <f t="shared" si="810"/>
        <v/>
      </c>
      <c r="P1423" s="459" t="str">
        <f t="shared" si="811"/>
        <v/>
      </c>
      <c r="Q1423" s="459" t="str">
        <f t="shared" si="812"/>
        <v/>
      </c>
      <c r="R1423" s="459" t="str">
        <f t="shared" si="813"/>
        <v/>
      </c>
      <c r="S1423" s="459" t="str">
        <f t="shared" si="814"/>
        <v/>
      </c>
      <c r="T1423" s="566" t="str">
        <f t="shared" si="799"/>
        <v/>
      </c>
      <c r="U1423" s="702"/>
      <c r="V1423" s="132"/>
      <c r="W1423" s="133"/>
      <c r="X1423" s="134"/>
      <c r="Y1423" s="135"/>
      <c r="Z1423" s="137"/>
      <c r="AA1423" s="136"/>
      <c r="AB1423" s="566" t="str">
        <f t="shared" si="800"/>
        <v/>
      </c>
      <c r="AC1423" s="568" t="str">
        <f t="shared" si="801"/>
        <v/>
      </c>
      <c r="AD1423" s="137"/>
      <c r="AE1423" s="137"/>
      <c r="AF1423" s="138"/>
      <c r="AG1423" s="138"/>
      <c r="AH1423" s="592" t="str">
        <f t="shared" si="802"/>
        <v/>
      </c>
      <c r="AI1423" s="592" t="str">
        <f t="shared" si="803"/>
        <v/>
      </c>
      <c r="AJ1423" s="592" t="str">
        <f t="shared" si="804"/>
        <v/>
      </c>
      <c r="AK1423" s="460" t="str">
        <f>IF(AU1423="","",IF(OR(AZ1423=8,AZ1423=9),0,IF(OR(AW1423=3,AW1423=4,AW1423=5,AW1423=6),IF(LEFT(BF1423,1)="1",INDEX(係数_NOX・PM低減,MATCH(AY1423,【参考】排出係数!$AI$801:$AI$804,1),1),VLOOKUP(AU1423,INDEX((係数_バス貨物_ガソリン,係数_バス貨物_CNG,係数_バス貨物_軽油,係数_バス貨物_メタノール,係数_バス貨物_LPG),MATCH(AY1423,【参考】排出係数!$AI$4:$AI$671,1),1,BE1423):INDEX((係数_バス貨物_ガソリン,係数_バス貨物_CNG,係数_バス貨物_軽油,係数_バス貨物_メタノール,係数_バス貨物_LPG),MATCH(AY1423+1,【参考】排出係数!$AI$4:$AI$671,1)-1,5,BE1423),4,FALSE)),IF(AND(BE1423=3,LEFT(BF1423,1)="1"),0.48,VLOOKUP(AU1423,INDEX((係数_乗用_ガソリン,係数_乗用_CNG,係数_乗用_軽油,係数_乗用_メタノール,係数_乗用_LPG),1,1,BE1423):INDEX((係数_乗用_ガソリン,係数_乗用_CNG,係数_乗用_軽油,係数_乗用_メタノール,係数_乗用_LPG),125,5,BE1423),4,FALSE)))))</f>
        <v/>
      </c>
      <c r="AL1423" s="461" t="str">
        <f t="shared" si="805"/>
        <v/>
      </c>
      <c r="AM1423" s="460" t="str">
        <f>IF(AU1423="","",IF(OR(AZ1423=8,AZ1423=9),0,IF(OR(AW1423=3,AW1423=4,AW1423=5,AW1423=6),IF(LEFT(BH1423,1)="1",INDEX(係数_PM低減,MATCH(AY1423,【参考】排出係数!$AI$801:$AI$804,1),MATCH(BI1423,【参考】排出係数!$AL$798:$AO$798,1)),VLOOKUP(AU1423,INDEX((係数_バス貨物_ガソリン,係数_バス貨物_CNG,係数_バス貨物_軽油,係数_バス貨物_メタノール,係数_バス貨物_LPG),MATCH(AY1423,【参考】排出係数!$AI$4:$AI$671,1),1,BE1423):INDEX((係数_バス貨物_ガソリン,係数_バス貨物_CNG,係数_バス貨物_軽油,係数_バス貨物_メタノール,係数_バス貨物_LPG),MATCH(AY1423+1,【参考】排出係数!$AI$4:$AI$671,1)-1,5,BE1423),5,FALSE)),IF(AND(BE1423=3,LEFT(BF1423,1)="1"),0.055,VLOOKUP(AU1423,INDEX((係数_乗用_ガソリン,係数_乗用_CNG,係数_乗用_軽油,係数_乗用_メタノール,係数_乗用_LPG),1,1,BE1423):INDEX((係数_乗用_ガソリン,係数_乗用_CNG,係数_乗用_軽油,係数_乗用_メタノール,係数_乗用_LPG),125,5,BE1423),5,FALSE)))))</f>
        <v/>
      </c>
      <c r="AN1423" s="461" t="str">
        <f t="shared" si="806"/>
        <v/>
      </c>
      <c r="AO1423" s="462" t="str">
        <f t="shared" si="807"/>
        <v/>
      </c>
      <c r="AP1423" s="463" t="str">
        <f t="shared" si="808"/>
        <v/>
      </c>
      <c r="AQ1423" s="464"/>
      <c r="AR1423" s="619"/>
      <c r="AS1423" s="465" t="str">
        <f t="shared" si="816"/>
        <v/>
      </c>
      <c r="AT1423" s="465" t="str">
        <f t="shared" si="817"/>
        <v/>
      </c>
      <c r="AU1423" s="466" t="str">
        <f t="shared" si="818"/>
        <v/>
      </c>
      <c r="AV1423" s="467" t="str">
        <f t="shared" si="819"/>
        <v/>
      </c>
      <c r="AW1423" s="467" t="str">
        <f t="shared" si="820"/>
        <v/>
      </c>
      <c r="AX1423" s="467" t="str">
        <f t="shared" si="821"/>
        <v/>
      </c>
      <c r="AY1423" s="467" t="str">
        <f t="shared" si="822"/>
        <v/>
      </c>
      <c r="AZ1423" s="467" t="str">
        <f t="shared" si="823"/>
        <v/>
      </c>
      <c r="BA1423" s="468" t="str">
        <f>IF(AS1423="","",IF(OR(AU1423="",AU1423="-"),"－",IF(OR(AZ1423=8,AZ1423=9),"",IF(OR(AW1423=3,AW1423=4,AW1423=5,AW1423=6),VLOOKUP(AU1423,INDEX((係数_バス貨物_ガソリン,係数_バス貨物_CNG,係数_バス貨物_軽油,係数_バス貨物_メタノール,係数_バス貨物_LPG),MATCH(AY1423,【参考】排出係数!$AI$4:$AI$671,1),1,BE1423):INDEX((係数_バス貨物_ガソリン,係数_バス貨物_CNG,係数_バス貨物_軽油,係数_バス貨物_メタノール,係数_バス貨物_LPG),MATCH(AY1423+1,【参考】排出係数!$AI$4:$AI$671,1)-1,5,BE1423),2,FALSE),IF(OR(AW1423=1,AW1423=2),VLOOKUP(AU1423,INDEX((係数_乗用_ガソリン,係数_乗用_CNG,係数_乗用_軽油,係数_乗用_メタノール,係数_乗用_LPG),1,1,BE1423):INDEX((係数_乗用_ガソリン,係数_乗用_CNG,係数_乗用_軽油,係数_乗用_メタノール,係数_乗用_LPG),125,5,BE1423),2,FALSE))))))</f>
        <v/>
      </c>
      <c r="BB1423" s="468" t="str">
        <f>IF(T1423="","",IF(OR(AU1423="",AU1423="-"),"－",IF(OR(AZ1423=8,AZ1423=9),"",IF(OR(AW1423=3,AW1423=4,AW1423=5,AW1423=6),VLOOKUP(AU1423,INDEX((係数_バス貨物_ガソリン,係数_バス貨物_CNG,係数_バス貨物_軽油,係数_バス貨物_メタノール,係数_バス貨物_LPG),MATCH(AY1423,【参考】排出係数!$AI$4:$AI$671,1),1,BE1423):INDEX((係数_バス貨物_ガソリン,係数_バス貨物_CNG,係数_バス貨物_軽油,係数_バス貨物_メタノール,係数_バス貨物_LPG),MATCH(AY1423+1,【参考】排出係数!$AI$4:$AI$671,1)-1,5,BE1423),3,FALSE),IF(OR(AW1423=1,AW1423=2),VLOOKUP(AU1423,INDEX((係数_乗用_ガソリン,係数_乗用_CNG,係数_乗用_軽油,係数_乗用_メタノール,係数_乗用_LPG),1,1,BE1423):INDEX((係数_乗用_ガソリン,係数_乗用_CNG,係数_乗用_軽油,係数_乗用_メタノール,係数_乗用_LPG),125,5,BE1423),3,FALSE))))))</f>
        <v/>
      </c>
      <c r="BC1423" s="467" t="str">
        <f t="shared" si="824"/>
        <v/>
      </c>
      <c r="BD1423" s="567" t="str">
        <f t="shared" si="825"/>
        <v/>
      </c>
      <c r="BE1423" s="467" t="str">
        <f t="shared" si="826"/>
        <v/>
      </c>
      <c r="BF1423" s="469" t="str">
        <f t="shared" ca="1" si="827"/>
        <v/>
      </c>
      <c r="BG1423" s="469" t="str">
        <f t="shared" ca="1" si="828"/>
        <v/>
      </c>
      <c r="BH1423" s="467" t="str">
        <f t="shared" si="829"/>
        <v/>
      </c>
      <c r="BI1423" s="467" t="str">
        <f t="shared" ca="1" si="830"/>
        <v/>
      </c>
      <c r="BJ1423" s="469" t="str">
        <f t="shared" si="831"/>
        <v/>
      </c>
      <c r="BK1423" s="470" t="str">
        <f t="shared" si="815"/>
        <v/>
      </c>
      <c r="BL1423" s="775" t="str">
        <f t="shared" si="832"/>
        <v/>
      </c>
      <c r="BM1423" s="775" t="str">
        <f t="shared" si="833"/>
        <v/>
      </c>
    </row>
    <row r="1424" spans="1:65">
      <c r="A1424" s="473">
        <v>1368</v>
      </c>
      <c r="B1424" s="132"/>
      <c r="C1424" s="332"/>
      <c r="D1424" s="333"/>
      <c r="E1424" s="333"/>
      <c r="F1424" s="334"/>
      <c r="G1424" s="337"/>
      <c r="H1424" s="131"/>
      <c r="I1424" s="337"/>
      <c r="J1424" s="131"/>
      <c r="K1424" s="458" t="str">
        <f t="shared" si="796"/>
        <v/>
      </c>
      <c r="L1424" s="458">
        <f t="shared" si="797"/>
        <v>0</v>
      </c>
      <c r="M1424" s="458">
        <f t="shared" si="798"/>
        <v>0</v>
      </c>
      <c r="N1424" s="459" t="str">
        <f t="shared" si="809"/>
        <v/>
      </c>
      <c r="O1424" s="459" t="str">
        <f t="shared" si="810"/>
        <v/>
      </c>
      <c r="P1424" s="459" t="str">
        <f t="shared" si="811"/>
        <v/>
      </c>
      <c r="Q1424" s="459" t="str">
        <f t="shared" si="812"/>
        <v/>
      </c>
      <c r="R1424" s="459" t="str">
        <f t="shared" si="813"/>
        <v/>
      </c>
      <c r="S1424" s="459" t="str">
        <f t="shared" si="814"/>
        <v/>
      </c>
      <c r="T1424" s="566" t="str">
        <f t="shared" si="799"/>
        <v/>
      </c>
      <c r="U1424" s="702"/>
      <c r="V1424" s="132"/>
      <c r="W1424" s="133"/>
      <c r="X1424" s="134"/>
      <c r="Y1424" s="135"/>
      <c r="Z1424" s="137"/>
      <c r="AA1424" s="136"/>
      <c r="AB1424" s="566" t="str">
        <f t="shared" si="800"/>
        <v/>
      </c>
      <c r="AC1424" s="568" t="str">
        <f t="shared" si="801"/>
        <v/>
      </c>
      <c r="AD1424" s="137"/>
      <c r="AE1424" s="137"/>
      <c r="AF1424" s="138"/>
      <c r="AG1424" s="138"/>
      <c r="AH1424" s="592" t="str">
        <f t="shared" si="802"/>
        <v/>
      </c>
      <c r="AI1424" s="592" t="str">
        <f t="shared" si="803"/>
        <v/>
      </c>
      <c r="AJ1424" s="592" t="str">
        <f t="shared" si="804"/>
        <v/>
      </c>
      <c r="AK1424" s="460" t="str">
        <f>IF(AU1424="","",IF(OR(AZ1424=8,AZ1424=9),0,IF(OR(AW1424=3,AW1424=4,AW1424=5,AW1424=6),IF(LEFT(BF1424,1)="1",INDEX(係数_NOX・PM低減,MATCH(AY1424,【参考】排出係数!$AI$801:$AI$804,1),1),VLOOKUP(AU1424,INDEX((係数_バス貨物_ガソリン,係数_バス貨物_CNG,係数_バス貨物_軽油,係数_バス貨物_メタノール,係数_バス貨物_LPG),MATCH(AY1424,【参考】排出係数!$AI$4:$AI$671,1),1,BE1424):INDEX((係数_バス貨物_ガソリン,係数_バス貨物_CNG,係数_バス貨物_軽油,係数_バス貨物_メタノール,係数_バス貨物_LPG),MATCH(AY1424+1,【参考】排出係数!$AI$4:$AI$671,1)-1,5,BE1424),4,FALSE)),IF(AND(BE1424=3,LEFT(BF1424,1)="1"),0.48,VLOOKUP(AU1424,INDEX((係数_乗用_ガソリン,係数_乗用_CNG,係数_乗用_軽油,係数_乗用_メタノール,係数_乗用_LPG),1,1,BE1424):INDEX((係数_乗用_ガソリン,係数_乗用_CNG,係数_乗用_軽油,係数_乗用_メタノール,係数_乗用_LPG),125,5,BE1424),4,FALSE)))))</f>
        <v/>
      </c>
      <c r="AL1424" s="461" t="str">
        <f t="shared" si="805"/>
        <v/>
      </c>
      <c r="AM1424" s="460" t="str">
        <f>IF(AU1424="","",IF(OR(AZ1424=8,AZ1424=9),0,IF(OR(AW1424=3,AW1424=4,AW1424=5,AW1424=6),IF(LEFT(BH1424,1)="1",INDEX(係数_PM低減,MATCH(AY1424,【参考】排出係数!$AI$801:$AI$804,1),MATCH(BI1424,【参考】排出係数!$AL$798:$AO$798,1)),VLOOKUP(AU1424,INDEX((係数_バス貨物_ガソリン,係数_バス貨物_CNG,係数_バス貨物_軽油,係数_バス貨物_メタノール,係数_バス貨物_LPG),MATCH(AY1424,【参考】排出係数!$AI$4:$AI$671,1),1,BE1424):INDEX((係数_バス貨物_ガソリン,係数_バス貨物_CNG,係数_バス貨物_軽油,係数_バス貨物_メタノール,係数_バス貨物_LPG),MATCH(AY1424+1,【参考】排出係数!$AI$4:$AI$671,1)-1,5,BE1424),5,FALSE)),IF(AND(BE1424=3,LEFT(BF1424,1)="1"),0.055,VLOOKUP(AU1424,INDEX((係数_乗用_ガソリン,係数_乗用_CNG,係数_乗用_軽油,係数_乗用_メタノール,係数_乗用_LPG),1,1,BE1424):INDEX((係数_乗用_ガソリン,係数_乗用_CNG,係数_乗用_軽油,係数_乗用_メタノール,係数_乗用_LPG),125,5,BE1424),5,FALSE)))))</f>
        <v/>
      </c>
      <c r="AN1424" s="461" t="str">
        <f t="shared" si="806"/>
        <v/>
      </c>
      <c r="AO1424" s="462" t="str">
        <f t="shared" si="807"/>
        <v/>
      </c>
      <c r="AP1424" s="463" t="str">
        <f t="shared" si="808"/>
        <v/>
      </c>
      <c r="AQ1424" s="464"/>
      <c r="AR1424" s="619"/>
      <c r="AS1424" s="465" t="str">
        <f t="shared" si="816"/>
        <v/>
      </c>
      <c r="AT1424" s="465" t="str">
        <f t="shared" si="817"/>
        <v/>
      </c>
      <c r="AU1424" s="466" t="str">
        <f t="shared" si="818"/>
        <v/>
      </c>
      <c r="AV1424" s="467" t="str">
        <f t="shared" si="819"/>
        <v/>
      </c>
      <c r="AW1424" s="467" t="str">
        <f t="shared" si="820"/>
        <v/>
      </c>
      <c r="AX1424" s="467" t="str">
        <f t="shared" si="821"/>
        <v/>
      </c>
      <c r="AY1424" s="467" t="str">
        <f t="shared" si="822"/>
        <v/>
      </c>
      <c r="AZ1424" s="467" t="str">
        <f t="shared" si="823"/>
        <v/>
      </c>
      <c r="BA1424" s="468" t="str">
        <f>IF(AS1424="","",IF(OR(AU1424="",AU1424="-"),"－",IF(OR(AZ1424=8,AZ1424=9),"",IF(OR(AW1424=3,AW1424=4,AW1424=5,AW1424=6),VLOOKUP(AU1424,INDEX((係数_バス貨物_ガソリン,係数_バス貨物_CNG,係数_バス貨物_軽油,係数_バス貨物_メタノール,係数_バス貨物_LPG),MATCH(AY1424,【参考】排出係数!$AI$4:$AI$671,1),1,BE1424):INDEX((係数_バス貨物_ガソリン,係数_バス貨物_CNG,係数_バス貨物_軽油,係数_バス貨物_メタノール,係数_バス貨物_LPG),MATCH(AY1424+1,【参考】排出係数!$AI$4:$AI$671,1)-1,5,BE1424),2,FALSE),IF(OR(AW1424=1,AW1424=2),VLOOKUP(AU1424,INDEX((係数_乗用_ガソリン,係数_乗用_CNG,係数_乗用_軽油,係数_乗用_メタノール,係数_乗用_LPG),1,1,BE1424):INDEX((係数_乗用_ガソリン,係数_乗用_CNG,係数_乗用_軽油,係数_乗用_メタノール,係数_乗用_LPG),125,5,BE1424),2,FALSE))))))</f>
        <v/>
      </c>
      <c r="BB1424" s="468" t="str">
        <f>IF(T1424="","",IF(OR(AU1424="",AU1424="-"),"－",IF(OR(AZ1424=8,AZ1424=9),"",IF(OR(AW1424=3,AW1424=4,AW1424=5,AW1424=6),VLOOKUP(AU1424,INDEX((係数_バス貨物_ガソリン,係数_バス貨物_CNG,係数_バス貨物_軽油,係数_バス貨物_メタノール,係数_バス貨物_LPG),MATCH(AY1424,【参考】排出係数!$AI$4:$AI$671,1),1,BE1424):INDEX((係数_バス貨物_ガソリン,係数_バス貨物_CNG,係数_バス貨物_軽油,係数_バス貨物_メタノール,係数_バス貨物_LPG),MATCH(AY1424+1,【参考】排出係数!$AI$4:$AI$671,1)-1,5,BE1424),3,FALSE),IF(OR(AW1424=1,AW1424=2),VLOOKUP(AU1424,INDEX((係数_乗用_ガソリン,係数_乗用_CNG,係数_乗用_軽油,係数_乗用_メタノール,係数_乗用_LPG),1,1,BE1424):INDEX((係数_乗用_ガソリン,係数_乗用_CNG,係数_乗用_軽油,係数_乗用_メタノール,係数_乗用_LPG),125,5,BE1424),3,FALSE))))))</f>
        <v/>
      </c>
      <c r="BC1424" s="467" t="str">
        <f t="shared" si="824"/>
        <v/>
      </c>
      <c r="BD1424" s="567" t="str">
        <f t="shared" si="825"/>
        <v/>
      </c>
      <c r="BE1424" s="467" t="str">
        <f t="shared" si="826"/>
        <v/>
      </c>
      <c r="BF1424" s="469" t="str">
        <f t="shared" ca="1" si="827"/>
        <v/>
      </c>
      <c r="BG1424" s="469" t="str">
        <f t="shared" ca="1" si="828"/>
        <v/>
      </c>
      <c r="BH1424" s="467" t="str">
        <f t="shared" si="829"/>
        <v/>
      </c>
      <c r="BI1424" s="467" t="str">
        <f t="shared" ca="1" si="830"/>
        <v/>
      </c>
      <c r="BJ1424" s="469" t="str">
        <f t="shared" si="831"/>
        <v/>
      </c>
      <c r="BK1424" s="470" t="str">
        <f t="shared" si="815"/>
        <v/>
      </c>
      <c r="BL1424" s="775" t="str">
        <f t="shared" si="832"/>
        <v/>
      </c>
      <c r="BM1424" s="775" t="str">
        <f t="shared" si="833"/>
        <v/>
      </c>
    </row>
    <row r="1425" spans="1:65">
      <c r="A1425" s="473">
        <v>1369</v>
      </c>
      <c r="B1425" s="132"/>
      <c r="C1425" s="332"/>
      <c r="D1425" s="333"/>
      <c r="E1425" s="333"/>
      <c r="F1425" s="334"/>
      <c r="G1425" s="337"/>
      <c r="H1425" s="131"/>
      <c r="I1425" s="337"/>
      <c r="J1425" s="131"/>
      <c r="K1425" s="458" t="str">
        <f t="shared" si="796"/>
        <v/>
      </c>
      <c r="L1425" s="458">
        <f t="shared" si="797"/>
        <v>0</v>
      </c>
      <c r="M1425" s="458">
        <f t="shared" si="798"/>
        <v>0</v>
      </c>
      <c r="N1425" s="459" t="str">
        <f t="shared" si="809"/>
        <v/>
      </c>
      <c r="O1425" s="459" t="str">
        <f t="shared" si="810"/>
        <v/>
      </c>
      <c r="P1425" s="459" t="str">
        <f t="shared" si="811"/>
        <v/>
      </c>
      <c r="Q1425" s="459" t="str">
        <f t="shared" si="812"/>
        <v/>
      </c>
      <c r="R1425" s="459" t="str">
        <f t="shared" si="813"/>
        <v/>
      </c>
      <c r="S1425" s="459" t="str">
        <f t="shared" si="814"/>
        <v/>
      </c>
      <c r="T1425" s="566" t="str">
        <f t="shared" si="799"/>
        <v/>
      </c>
      <c r="U1425" s="702"/>
      <c r="V1425" s="132"/>
      <c r="W1425" s="133"/>
      <c r="X1425" s="134"/>
      <c r="Y1425" s="135"/>
      <c r="Z1425" s="137"/>
      <c r="AA1425" s="136"/>
      <c r="AB1425" s="566" t="str">
        <f t="shared" si="800"/>
        <v/>
      </c>
      <c r="AC1425" s="568" t="str">
        <f t="shared" si="801"/>
        <v/>
      </c>
      <c r="AD1425" s="137"/>
      <c r="AE1425" s="137"/>
      <c r="AF1425" s="138"/>
      <c r="AG1425" s="138"/>
      <c r="AH1425" s="592" t="str">
        <f t="shared" si="802"/>
        <v/>
      </c>
      <c r="AI1425" s="592" t="str">
        <f t="shared" si="803"/>
        <v/>
      </c>
      <c r="AJ1425" s="592" t="str">
        <f t="shared" si="804"/>
        <v/>
      </c>
      <c r="AK1425" s="460" t="str">
        <f>IF(AU1425="","",IF(OR(AZ1425=8,AZ1425=9),0,IF(OR(AW1425=3,AW1425=4,AW1425=5,AW1425=6),IF(LEFT(BF1425,1)="1",INDEX(係数_NOX・PM低減,MATCH(AY1425,【参考】排出係数!$AI$801:$AI$804,1),1),VLOOKUP(AU1425,INDEX((係数_バス貨物_ガソリン,係数_バス貨物_CNG,係数_バス貨物_軽油,係数_バス貨物_メタノール,係数_バス貨物_LPG),MATCH(AY1425,【参考】排出係数!$AI$4:$AI$671,1),1,BE1425):INDEX((係数_バス貨物_ガソリン,係数_バス貨物_CNG,係数_バス貨物_軽油,係数_バス貨物_メタノール,係数_バス貨物_LPG),MATCH(AY1425+1,【参考】排出係数!$AI$4:$AI$671,1)-1,5,BE1425),4,FALSE)),IF(AND(BE1425=3,LEFT(BF1425,1)="1"),0.48,VLOOKUP(AU1425,INDEX((係数_乗用_ガソリン,係数_乗用_CNG,係数_乗用_軽油,係数_乗用_メタノール,係数_乗用_LPG),1,1,BE1425):INDEX((係数_乗用_ガソリン,係数_乗用_CNG,係数_乗用_軽油,係数_乗用_メタノール,係数_乗用_LPG),125,5,BE1425),4,FALSE)))))</f>
        <v/>
      </c>
      <c r="AL1425" s="461" t="str">
        <f t="shared" si="805"/>
        <v/>
      </c>
      <c r="AM1425" s="460" t="str">
        <f>IF(AU1425="","",IF(OR(AZ1425=8,AZ1425=9),0,IF(OR(AW1425=3,AW1425=4,AW1425=5,AW1425=6),IF(LEFT(BH1425,1)="1",INDEX(係数_PM低減,MATCH(AY1425,【参考】排出係数!$AI$801:$AI$804,1),MATCH(BI1425,【参考】排出係数!$AL$798:$AO$798,1)),VLOOKUP(AU1425,INDEX((係数_バス貨物_ガソリン,係数_バス貨物_CNG,係数_バス貨物_軽油,係数_バス貨物_メタノール,係数_バス貨物_LPG),MATCH(AY1425,【参考】排出係数!$AI$4:$AI$671,1),1,BE1425):INDEX((係数_バス貨物_ガソリン,係数_バス貨物_CNG,係数_バス貨物_軽油,係数_バス貨物_メタノール,係数_バス貨物_LPG),MATCH(AY1425+1,【参考】排出係数!$AI$4:$AI$671,1)-1,5,BE1425),5,FALSE)),IF(AND(BE1425=3,LEFT(BF1425,1)="1"),0.055,VLOOKUP(AU1425,INDEX((係数_乗用_ガソリン,係数_乗用_CNG,係数_乗用_軽油,係数_乗用_メタノール,係数_乗用_LPG),1,1,BE1425):INDEX((係数_乗用_ガソリン,係数_乗用_CNG,係数_乗用_軽油,係数_乗用_メタノール,係数_乗用_LPG),125,5,BE1425),5,FALSE)))))</f>
        <v/>
      </c>
      <c r="AN1425" s="461" t="str">
        <f t="shared" si="806"/>
        <v/>
      </c>
      <c r="AO1425" s="462" t="str">
        <f t="shared" si="807"/>
        <v/>
      </c>
      <c r="AP1425" s="463" t="str">
        <f t="shared" si="808"/>
        <v/>
      </c>
      <c r="AQ1425" s="464"/>
      <c r="AR1425" s="619"/>
      <c r="AS1425" s="465" t="str">
        <f t="shared" si="816"/>
        <v/>
      </c>
      <c r="AT1425" s="465" t="str">
        <f t="shared" si="817"/>
        <v/>
      </c>
      <c r="AU1425" s="466" t="str">
        <f t="shared" si="818"/>
        <v/>
      </c>
      <c r="AV1425" s="467" t="str">
        <f t="shared" si="819"/>
        <v/>
      </c>
      <c r="AW1425" s="467" t="str">
        <f t="shared" si="820"/>
        <v/>
      </c>
      <c r="AX1425" s="467" t="str">
        <f t="shared" si="821"/>
        <v/>
      </c>
      <c r="AY1425" s="467" t="str">
        <f t="shared" si="822"/>
        <v/>
      </c>
      <c r="AZ1425" s="467" t="str">
        <f t="shared" si="823"/>
        <v/>
      </c>
      <c r="BA1425" s="468" t="str">
        <f>IF(AS1425="","",IF(OR(AU1425="",AU1425="-"),"－",IF(OR(AZ1425=8,AZ1425=9),"",IF(OR(AW1425=3,AW1425=4,AW1425=5,AW1425=6),VLOOKUP(AU1425,INDEX((係数_バス貨物_ガソリン,係数_バス貨物_CNG,係数_バス貨物_軽油,係数_バス貨物_メタノール,係数_バス貨物_LPG),MATCH(AY1425,【参考】排出係数!$AI$4:$AI$671,1),1,BE1425):INDEX((係数_バス貨物_ガソリン,係数_バス貨物_CNG,係数_バス貨物_軽油,係数_バス貨物_メタノール,係数_バス貨物_LPG),MATCH(AY1425+1,【参考】排出係数!$AI$4:$AI$671,1)-1,5,BE1425),2,FALSE),IF(OR(AW1425=1,AW1425=2),VLOOKUP(AU1425,INDEX((係数_乗用_ガソリン,係数_乗用_CNG,係数_乗用_軽油,係数_乗用_メタノール,係数_乗用_LPG),1,1,BE1425):INDEX((係数_乗用_ガソリン,係数_乗用_CNG,係数_乗用_軽油,係数_乗用_メタノール,係数_乗用_LPG),125,5,BE1425),2,FALSE))))))</f>
        <v/>
      </c>
      <c r="BB1425" s="468" t="str">
        <f>IF(T1425="","",IF(OR(AU1425="",AU1425="-"),"－",IF(OR(AZ1425=8,AZ1425=9),"",IF(OR(AW1425=3,AW1425=4,AW1425=5,AW1425=6),VLOOKUP(AU1425,INDEX((係数_バス貨物_ガソリン,係数_バス貨物_CNG,係数_バス貨物_軽油,係数_バス貨物_メタノール,係数_バス貨物_LPG),MATCH(AY1425,【参考】排出係数!$AI$4:$AI$671,1),1,BE1425):INDEX((係数_バス貨物_ガソリン,係数_バス貨物_CNG,係数_バス貨物_軽油,係数_バス貨物_メタノール,係数_バス貨物_LPG),MATCH(AY1425+1,【参考】排出係数!$AI$4:$AI$671,1)-1,5,BE1425),3,FALSE),IF(OR(AW1425=1,AW1425=2),VLOOKUP(AU1425,INDEX((係数_乗用_ガソリン,係数_乗用_CNG,係数_乗用_軽油,係数_乗用_メタノール,係数_乗用_LPG),1,1,BE1425):INDEX((係数_乗用_ガソリン,係数_乗用_CNG,係数_乗用_軽油,係数_乗用_メタノール,係数_乗用_LPG),125,5,BE1425),3,FALSE))))))</f>
        <v/>
      </c>
      <c r="BC1425" s="467" t="str">
        <f t="shared" si="824"/>
        <v/>
      </c>
      <c r="BD1425" s="567" t="str">
        <f t="shared" si="825"/>
        <v/>
      </c>
      <c r="BE1425" s="467" t="str">
        <f t="shared" si="826"/>
        <v/>
      </c>
      <c r="BF1425" s="469" t="str">
        <f t="shared" ca="1" si="827"/>
        <v/>
      </c>
      <c r="BG1425" s="469" t="str">
        <f t="shared" ca="1" si="828"/>
        <v/>
      </c>
      <c r="BH1425" s="467" t="str">
        <f t="shared" si="829"/>
        <v/>
      </c>
      <c r="BI1425" s="467" t="str">
        <f t="shared" ca="1" si="830"/>
        <v/>
      </c>
      <c r="BJ1425" s="469" t="str">
        <f t="shared" si="831"/>
        <v/>
      </c>
      <c r="BK1425" s="470" t="str">
        <f t="shared" si="815"/>
        <v/>
      </c>
      <c r="BL1425" s="775" t="str">
        <f t="shared" si="832"/>
        <v/>
      </c>
      <c r="BM1425" s="775" t="str">
        <f t="shared" si="833"/>
        <v/>
      </c>
    </row>
    <row r="1426" spans="1:65">
      <c r="A1426" s="473">
        <v>1370</v>
      </c>
      <c r="B1426" s="132"/>
      <c r="C1426" s="332"/>
      <c r="D1426" s="333"/>
      <c r="E1426" s="333"/>
      <c r="F1426" s="334"/>
      <c r="G1426" s="337"/>
      <c r="H1426" s="131"/>
      <c r="I1426" s="337"/>
      <c r="J1426" s="131"/>
      <c r="K1426" s="458" t="str">
        <f t="shared" si="796"/>
        <v/>
      </c>
      <c r="L1426" s="458">
        <f t="shared" si="797"/>
        <v>0</v>
      </c>
      <c r="M1426" s="458">
        <f t="shared" si="798"/>
        <v>0</v>
      </c>
      <c r="N1426" s="459" t="str">
        <f t="shared" si="809"/>
        <v/>
      </c>
      <c r="O1426" s="459" t="str">
        <f t="shared" si="810"/>
        <v/>
      </c>
      <c r="P1426" s="459" t="str">
        <f t="shared" si="811"/>
        <v/>
      </c>
      <c r="Q1426" s="459" t="str">
        <f t="shared" si="812"/>
        <v/>
      </c>
      <c r="R1426" s="459" t="str">
        <f t="shared" si="813"/>
        <v/>
      </c>
      <c r="S1426" s="459" t="str">
        <f t="shared" si="814"/>
        <v/>
      </c>
      <c r="T1426" s="566" t="str">
        <f t="shared" si="799"/>
        <v/>
      </c>
      <c r="U1426" s="702"/>
      <c r="V1426" s="132"/>
      <c r="W1426" s="133"/>
      <c r="X1426" s="134"/>
      <c r="Y1426" s="135"/>
      <c r="Z1426" s="137"/>
      <c r="AA1426" s="136"/>
      <c r="AB1426" s="566" t="str">
        <f t="shared" si="800"/>
        <v/>
      </c>
      <c r="AC1426" s="568" t="str">
        <f t="shared" si="801"/>
        <v/>
      </c>
      <c r="AD1426" s="137"/>
      <c r="AE1426" s="137"/>
      <c r="AF1426" s="138"/>
      <c r="AG1426" s="138"/>
      <c r="AH1426" s="592" t="str">
        <f t="shared" si="802"/>
        <v/>
      </c>
      <c r="AI1426" s="592" t="str">
        <f t="shared" si="803"/>
        <v/>
      </c>
      <c r="AJ1426" s="592" t="str">
        <f t="shared" si="804"/>
        <v/>
      </c>
      <c r="AK1426" s="460" t="str">
        <f>IF(AU1426="","",IF(OR(AZ1426=8,AZ1426=9),0,IF(OR(AW1426=3,AW1426=4,AW1426=5,AW1426=6),IF(LEFT(BF1426,1)="1",INDEX(係数_NOX・PM低減,MATCH(AY1426,【参考】排出係数!$AI$801:$AI$804,1),1),VLOOKUP(AU1426,INDEX((係数_バス貨物_ガソリン,係数_バス貨物_CNG,係数_バス貨物_軽油,係数_バス貨物_メタノール,係数_バス貨物_LPG),MATCH(AY1426,【参考】排出係数!$AI$4:$AI$671,1),1,BE1426):INDEX((係数_バス貨物_ガソリン,係数_バス貨物_CNG,係数_バス貨物_軽油,係数_バス貨物_メタノール,係数_バス貨物_LPG),MATCH(AY1426+1,【参考】排出係数!$AI$4:$AI$671,1)-1,5,BE1426),4,FALSE)),IF(AND(BE1426=3,LEFT(BF1426,1)="1"),0.48,VLOOKUP(AU1426,INDEX((係数_乗用_ガソリン,係数_乗用_CNG,係数_乗用_軽油,係数_乗用_メタノール,係数_乗用_LPG),1,1,BE1426):INDEX((係数_乗用_ガソリン,係数_乗用_CNG,係数_乗用_軽油,係数_乗用_メタノール,係数_乗用_LPG),125,5,BE1426),4,FALSE)))))</f>
        <v/>
      </c>
      <c r="AL1426" s="461" t="str">
        <f t="shared" si="805"/>
        <v/>
      </c>
      <c r="AM1426" s="460" t="str">
        <f>IF(AU1426="","",IF(OR(AZ1426=8,AZ1426=9),0,IF(OR(AW1426=3,AW1426=4,AW1426=5,AW1426=6),IF(LEFT(BH1426,1)="1",INDEX(係数_PM低減,MATCH(AY1426,【参考】排出係数!$AI$801:$AI$804,1),MATCH(BI1426,【参考】排出係数!$AL$798:$AO$798,1)),VLOOKUP(AU1426,INDEX((係数_バス貨物_ガソリン,係数_バス貨物_CNG,係数_バス貨物_軽油,係数_バス貨物_メタノール,係数_バス貨物_LPG),MATCH(AY1426,【参考】排出係数!$AI$4:$AI$671,1),1,BE1426):INDEX((係数_バス貨物_ガソリン,係数_バス貨物_CNG,係数_バス貨物_軽油,係数_バス貨物_メタノール,係数_バス貨物_LPG),MATCH(AY1426+1,【参考】排出係数!$AI$4:$AI$671,1)-1,5,BE1426),5,FALSE)),IF(AND(BE1426=3,LEFT(BF1426,1)="1"),0.055,VLOOKUP(AU1426,INDEX((係数_乗用_ガソリン,係数_乗用_CNG,係数_乗用_軽油,係数_乗用_メタノール,係数_乗用_LPG),1,1,BE1426):INDEX((係数_乗用_ガソリン,係数_乗用_CNG,係数_乗用_軽油,係数_乗用_メタノール,係数_乗用_LPG),125,5,BE1426),5,FALSE)))))</f>
        <v/>
      </c>
      <c r="AN1426" s="461" t="str">
        <f t="shared" si="806"/>
        <v/>
      </c>
      <c r="AO1426" s="462" t="str">
        <f t="shared" si="807"/>
        <v/>
      </c>
      <c r="AP1426" s="463" t="str">
        <f t="shared" si="808"/>
        <v/>
      </c>
      <c r="AQ1426" s="464"/>
      <c r="AR1426" s="619"/>
      <c r="AS1426" s="465" t="str">
        <f t="shared" si="816"/>
        <v/>
      </c>
      <c r="AT1426" s="465" t="str">
        <f t="shared" si="817"/>
        <v/>
      </c>
      <c r="AU1426" s="466" t="str">
        <f t="shared" si="818"/>
        <v/>
      </c>
      <c r="AV1426" s="467" t="str">
        <f t="shared" si="819"/>
        <v/>
      </c>
      <c r="AW1426" s="467" t="str">
        <f t="shared" si="820"/>
        <v/>
      </c>
      <c r="AX1426" s="467" t="str">
        <f t="shared" si="821"/>
        <v/>
      </c>
      <c r="AY1426" s="467" t="str">
        <f t="shared" si="822"/>
        <v/>
      </c>
      <c r="AZ1426" s="467" t="str">
        <f t="shared" si="823"/>
        <v/>
      </c>
      <c r="BA1426" s="468" t="str">
        <f>IF(AS1426="","",IF(OR(AU1426="",AU1426="-"),"－",IF(OR(AZ1426=8,AZ1426=9),"",IF(OR(AW1426=3,AW1426=4,AW1426=5,AW1426=6),VLOOKUP(AU1426,INDEX((係数_バス貨物_ガソリン,係数_バス貨物_CNG,係数_バス貨物_軽油,係数_バス貨物_メタノール,係数_バス貨物_LPG),MATCH(AY1426,【参考】排出係数!$AI$4:$AI$671,1),1,BE1426):INDEX((係数_バス貨物_ガソリン,係数_バス貨物_CNG,係数_バス貨物_軽油,係数_バス貨物_メタノール,係数_バス貨物_LPG),MATCH(AY1426+1,【参考】排出係数!$AI$4:$AI$671,1)-1,5,BE1426),2,FALSE),IF(OR(AW1426=1,AW1426=2),VLOOKUP(AU1426,INDEX((係数_乗用_ガソリン,係数_乗用_CNG,係数_乗用_軽油,係数_乗用_メタノール,係数_乗用_LPG),1,1,BE1426):INDEX((係数_乗用_ガソリン,係数_乗用_CNG,係数_乗用_軽油,係数_乗用_メタノール,係数_乗用_LPG),125,5,BE1426),2,FALSE))))))</f>
        <v/>
      </c>
      <c r="BB1426" s="468" t="str">
        <f>IF(T1426="","",IF(OR(AU1426="",AU1426="-"),"－",IF(OR(AZ1426=8,AZ1426=9),"",IF(OR(AW1426=3,AW1426=4,AW1426=5,AW1426=6),VLOOKUP(AU1426,INDEX((係数_バス貨物_ガソリン,係数_バス貨物_CNG,係数_バス貨物_軽油,係数_バス貨物_メタノール,係数_バス貨物_LPG),MATCH(AY1426,【参考】排出係数!$AI$4:$AI$671,1),1,BE1426):INDEX((係数_バス貨物_ガソリン,係数_バス貨物_CNG,係数_バス貨物_軽油,係数_バス貨物_メタノール,係数_バス貨物_LPG),MATCH(AY1426+1,【参考】排出係数!$AI$4:$AI$671,1)-1,5,BE1426),3,FALSE),IF(OR(AW1426=1,AW1426=2),VLOOKUP(AU1426,INDEX((係数_乗用_ガソリン,係数_乗用_CNG,係数_乗用_軽油,係数_乗用_メタノール,係数_乗用_LPG),1,1,BE1426):INDEX((係数_乗用_ガソリン,係数_乗用_CNG,係数_乗用_軽油,係数_乗用_メタノール,係数_乗用_LPG),125,5,BE1426),3,FALSE))))))</f>
        <v/>
      </c>
      <c r="BC1426" s="467" t="str">
        <f t="shared" si="824"/>
        <v/>
      </c>
      <c r="BD1426" s="567" t="str">
        <f t="shared" si="825"/>
        <v/>
      </c>
      <c r="BE1426" s="467" t="str">
        <f t="shared" si="826"/>
        <v/>
      </c>
      <c r="BF1426" s="469" t="str">
        <f t="shared" ca="1" si="827"/>
        <v/>
      </c>
      <c r="BG1426" s="469" t="str">
        <f t="shared" ca="1" si="828"/>
        <v/>
      </c>
      <c r="BH1426" s="467" t="str">
        <f t="shared" si="829"/>
        <v/>
      </c>
      <c r="BI1426" s="467" t="str">
        <f t="shared" ca="1" si="830"/>
        <v/>
      </c>
      <c r="BJ1426" s="469" t="str">
        <f t="shared" si="831"/>
        <v/>
      </c>
      <c r="BK1426" s="470" t="str">
        <f t="shared" si="815"/>
        <v/>
      </c>
      <c r="BL1426" s="775" t="str">
        <f t="shared" si="832"/>
        <v/>
      </c>
      <c r="BM1426" s="775" t="str">
        <f t="shared" si="833"/>
        <v/>
      </c>
    </row>
    <row r="1427" spans="1:65">
      <c r="A1427" s="473">
        <v>1371</v>
      </c>
      <c r="B1427" s="132"/>
      <c r="C1427" s="332"/>
      <c r="D1427" s="333"/>
      <c r="E1427" s="333"/>
      <c r="F1427" s="334"/>
      <c r="G1427" s="337"/>
      <c r="H1427" s="131"/>
      <c r="I1427" s="337"/>
      <c r="J1427" s="131"/>
      <c r="K1427" s="458" t="str">
        <f t="shared" si="796"/>
        <v/>
      </c>
      <c r="L1427" s="458">
        <f t="shared" si="797"/>
        <v>0</v>
      </c>
      <c r="M1427" s="458">
        <f t="shared" si="798"/>
        <v>0</v>
      </c>
      <c r="N1427" s="459" t="str">
        <f t="shared" si="809"/>
        <v/>
      </c>
      <c r="O1427" s="459" t="str">
        <f t="shared" si="810"/>
        <v/>
      </c>
      <c r="P1427" s="459" t="str">
        <f t="shared" si="811"/>
        <v/>
      </c>
      <c r="Q1427" s="459" t="str">
        <f t="shared" si="812"/>
        <v/>
      </c>
      <c r="R1427" s="459" t="str">
        <f t="shared" si="813"/>
        <v/>
      </c>
      <c r="S1427" s="459" t="str">
        <f t="shared" si="814"/>
        <v/>
      </c>
      <c r="T1427" s="566" t="str">
        <f t="shared" si="799"/>
        <v/>
      </c>
      <c r="U1427" s="702"/>
      <c r="V1427" s="132"/>
      <c r="W1427" s="133"/>
      <c r="X1427" s="134"/>
      <c r="Y1427" s="135"/>
      <c r="Z1427" s="137"/>
      <c r="AA1427" s="136"/>
      <c r="AB1427" s="566" t="str">
        <f t="shared" si="800"/>
        <v/>
      </c>
      <c r="AC1427" s="568" t="str">
        <f t="shared" si="801"/>
        <v/>
      </c>
      <c r="AD1427" s="137"/>
      <c r="AE1427" s="137"/>
      <c r="AF1427" s="138"/>
      <c r="AG1427" s="138"/>
      <c r="AH1427" s="592" t="str">
        <f t="shared" si="802"/>
        <v/>
      </c>
      <c r="AI1427" s="592" t="str">
        <f t="shared" si="803"/>
        <v/>
      </c>
      <c r="AJ1427" s="592" t="str">
        <f t="shared" si="804"/>
        <v/>
      </c>
      <c r="AK1427" s="460" t="str">
        <f>IF(AU1427="","",IF(OR(AZ1427=8,AZ1427=9),0,IF(OR(AW1427=3,AW1427=4,AW1427=5,AW1427=6),IF(LEFT(BF1427,1)="1",INDEX(係数_NOX・PM低減,MATCH(AY1427,【参考】排出係数!$AI$801:$AI$804,1),1),VLOOKUP(AU1427,INDEX((係数_バス貨物_ガソリン,係数_バス貨物_CNG,係数_バス貨物_軽油,係数_バス貨物_メタノール,係数_バス貨物_LPG),MATCH(AY1427,【参考】排出係数!$AI$4:$AI$671,1),1,BE1427):INDEX((係数_バス貨物_ガソリン,係数_バス貨物_CNG,係数_バス貨物_軽油,係数_バス貨物_メタノール,係数_バス貨物_LPG),MATCH(AY1427+1,【参考】排出係数!$AI$4:$AI$671,1)-1,5,BE1427),4,FALSE)),IF(AND(BE1427=3,LEFT(BF1427,1)="1"),0.48,VLOOKUP(AU1427,INDEX((係数_乗用_ガソリン,係数_乗用_CNG,係数_乗用_軽油,係数_乗用_メタノール,係数_乗用_LPG),1,1,BE1427):INDEX((係数_乗用_ガソリン,係数_乗用_CNG,係数_乗用_軽油,係数_乗用_メタノール,係数_乗用_LPG),125,5,BE1427),4,FALSE)))))</f>
        <v/>
      </c>
      <c r="AL1427" s="461" t="str">
        <f t="shared" si="805"/>
        <v/>
      </c>
      <c r="AM1427" s="460" t="str">
        <f>IF(AU1427="","",IF(OR(AZ1427=8,AZ1427=9),0,IF(OR(AW1427=3,AW1427=4,AW1427=5,AW1427=6),IF(LEFT(BH1427,1)="1",INDEX(係数_PM低減,MATCH(AY1427,【参考】排出係数!$AI$801:$AI$804,1),MATCH(BI1427,【参考】排出係数!$AL$798:$AO$798,1)),VLOOKUP(AU1427,INDEX((係数_バス貨物_ガソリン,係数_バス貨物_CNG,係数_バス貨物_軽油,係数_バス貨物_メタノール,係数_バス貨物_LPG),MATCH(AY1427,【参考】排出係数!$AI$4:$AI$671,1),1,BE1427):INDEX((係数_バス貨物_ガソリン,係数_バス貨物_CNG,係数_バス貨物_軽油,係数_バス貨物_メタノール,係数_バス貨物_LPG),MATCH(AY1427+1,【参考】排出係数!$AI$4:$AI$671,1)-1,5,BE1427),5,FALSE)),IF(AND(BE1427=3,LEFT(BF1427,1)="1"),0.055,VLOOKUP(AU1427,INDEX((係数_乗用_ガソリン,係数_乗用_CNG,係数_乗用_軽油,係数_乗用_メタノール,係数_乗用_LPG),1,1,BE1427):INDEX((係数_乗用_ガソリン,係数_乗用_CNG,係数_乗用_軽油,係数_乗用_メタノール,係数_乗用_LPG),125,5,BE1427),5,FALSE)))))</f>
        <v/>
      </c>
      <c r="AN1427" s="461" t="str">
        <f t="shared" si="806"/>
        <v/>
      </c>
      <c r="AO1427" s="462" t="str">
        <f t="shared" si="807"/>
        <v/>
      </c>
      <c r="AP1427" s="463" t="str">
        <f t="shared" si="808"/>
        <v/>
      </c>
      <c r="AQ1427" s="464"/>
      <c r="AR1427" s="619"/>
      <c r="AS1427" s="465" t="str">
        <f t="shared" si="816"/>
        <v/>
      </c>
      <c r="AT1427" s="465" t="str">
        <f t="shared" si="817"/>
        <v/>
      </c>
      <c r="AU1427" s="466" t="str">
        <f t="shared" si="818"/>
        <v/>
      </c>
      <c r="AV1427" s="467" t="str">
        <f t="shared" si="819"/>
        <v/>
      </c>
      <c r="AW1427" s="467" t="str">
        <f t="shared" si="820"/>
        <v/>
      </c>
      <c r="AX1427" s="467" t="str">
        <f t="shared" si="821"/>
        <v/>
      </c>
      <c r="AY1427" s="467" t="str">
        <f t="shared" si="822"/>
        <v/>
      </c>
      <c r="AZ1427" s="467" t="str">
        <f t="shared" si="823"/>
        <v/>
      </c>
      <c r="BA1427" s="468" t="str">
        <f>IF(AS1427="","",IF(OR(AU1427="",AU1427="-"),"－",IF(OR(AZ1427=8,AZ1427=9),"",IF(OR(AW1427=3,AW1427=4,AW1427=5,AW1427=6),VLOOKUP(AU1427,INDEX((係数_バス貨物_ガソリン,係数_バス貨物_CNG,係数_バス貨物_軽油,係数_バス貨物_メタノール,係数_バス貨物_LPG),MATCH(AY1427,【参考】排出係数!$AI$4:$AI$671,1),1,BE1427):INDEX((係数_バス貨物_ガソリン,係数_バス貨物_CNG,係数_バス貨物_軽油,係数_バス貨物_メタノール,係数_バス貨物_LPG),MATCH(AY1427+1,【参考】排出係数!$AI$4:$AI$671,1)-1,5,BE1427),2,FALSE),IF(OR(AW1427=1,AW1427=2),VLOOKUP(AU1427,INDEX((係数_乗用_ガソリン,係数_乗用_CNG,係数_乗用_軽油,係数_乗用_メタノール,係数_乗用_LPG),1,1,BE1427):INDEX((係数_乗用_ガソリン,係数_乗用_CNG,係数_乗用_軽油,係数_乗用_メタノール,係数_乗用_LPG),125,5,BE1427),2,FALSE))))))</f>
        <v/>
      </c>
      <c r="BB1427" s="468" t="str">
        <f>IF(T1427="","",IF(OR(AU1427="",AU1427="-"),"－",IF(OR(AZ1427=8,AZ1427=9),"",IF(OR(AW1427=3,AW1427=4,AW1427=5,AW1427=6),VLOOKUP(AU1427,INDEX((係数_バス貨物_ガソリン,係数_バス貨物_CNG,係数_バス貨物_軽油,係数_バス貨物_メタノール,係数_バス貨物_LPG),MATCH(AY1427,【参考】排出係数!$AI$4:$AI$671,1),1,BE1427):INDEX((係数_バス貨物_ガソリン,係数_バス貨物_CNG,係数_バス貨物_軽油,係数_バス貨物_メタノール,係数_バス貨物_LPG),MATCH(AY1427+1,【参考】排出係数!$AI$4:$AI$671,1)-1,5,BE1427),3,FALSE),IF(OR(AW1427=1,AW1427=2),VLOOKUP(AU1427,INDEX((係数_乗用_ガソリン,係数_乗用_CNG,係数_乗用_軽油,係数_乗用_メタノール,係数_乗用_LPG),1,1,BE1427):INDEX((係数_乗用_ガソリン,係数_乗用_CNG,係数_乗用_軽油,係数_乗用_メタノール,係数_乗用_LPG),125,5,BE1427),3,FALSE))))))</f>
        <v/>
      </c>
      <c r="BC1427" s="467" t="str">
        <f t="shared" si="824"/>
        <v/>
      </c>
      <c r="BD1427" s="567" t="str">
        <f t="shared" si="825"/>
        <v/>
      </c>
      <c r="BE1427" s="467" t="str">
        <f t="shared" si="826"/>
        <v/>
      </c>
      <c r="BF1427" s="469" t="str">
        <f t="shared" ca="1" si="827"/>
        <v/>
      </c>
      <c r="BG1427" s="469" t="str">
        <f t="shared" ca="1" si="828"/>
        <v/>
      </c>
      <c r="BH1427" s="467" t="str">
        <f t="shared" si="829"/>
        <v/>
      </c>
      <c r="BI1427" s="467" t="str">
        <f t="shared" ca="1" si="830"/>
        <v/>
      </c>
      <c r="BJ1427" s="469" t="str">
        <f t="shared" si="831"/>
        <v/>
      </c>
      <c r="BK1427" s="470" t="str">
        <f t="shared" si="815"/>
        <v/>
      </c>
      <c r="BL1427" s="775" t="str">
        <f t="shared" si="832"/>
        <v/>
      </c>
      <c r="BM1427" s="775" t="str">
        <f t="shared" si="833"/>
        <v/>
      </c>
    </row>
    <row r="1428" spans="1:65">
      <c r="A1428" s="473">
        <v>1372</v>
      </c>
      <c r="B1428" s="132"/>
      <c r="C1428" s="332"/>
      <c r="D1428" s="333"/>
      <c r="E1428" s="333"/>
      <c r="F1428" s="334"/>
      <c r="G1428" s="337"/>
      <c r="H1428" s="131"/>
      <c r="I1428" s="337"/>
      <c r="J1428" s="131"/>
      <c r="K1428" s="458" t="str">
        <f t="shared" si="796"/>
        <v/>
      </c>
      <c r="L1428" s="458">
        <f t="shared" si="797"/>
        <v>0</v>
      </c>
      <c r="M1428" s="458">
        <f t="shared" si="798"/>
        <v>0</v>
      </c>
      <c r="N1428" s="459" t="str">
        <f t="shared" si="809"/>
        <v/>
      </c>
      <c r="O1428" s="459" t="str">
        <f t="shared" si="810"/>
        <v/>
      </c>
      <c r="P1428" s="459" t="str">
        <f t="shared" si="811"/>
        <v/>
      </c>
      <c r="Q1428" s="459" t="str">
        <f t="shared" si="812"/>
        <v/>
      </c>
      <c r="R1428" s="459" t="str">
        <f t="shared" si="813"/>
        <v/>
      </c>
      <c r="S1428" s="459" t="str">
        <f t="shared" si="814"/>
        <v/>
      </c>
      <c r="T1428" s="566" t="str">
        <f t="shared" si="799"/>
        <v/>
      </c>
      <c r="U1428" s="702"/>
      <c r="V1428" s="132"/>
      <c r="W1428" s="133"/>
      <c r="X1428" s="134"/>
      <c r="Y1428" s="135"/>
      <c r="Z1428" s="137"/>
      <c r="AA1428" s="136"/>
      <c r="AB1428" s="566" t="str">
        <f t="shared" si="800"/>
        <v/>
      </c>
      <c r="AC1428" s="568" t="str">
        <f t="shared" si="801"/>
        <v/>
      </c>
      <c r="AD1428" s="137"/>
      <c r="AE1428" s="137"/>
      <c r="AF1428" s="138"/>
      <c r="AG1428" s="138"/>
      <c r="AH1428" s="592" t="str">
        <f t="shared" si="802"/>
        <v/>
      </c>
      <c r="AI1428" s="592" t="str">
        <f t="shared" si="803"/>
        <v/>
      </c>
      <c r="AJ1428" s="592" t="str">
        <f t="shared" si="804"/>
        <v/>
      </c>
      <c r="AK1428" s="460" t="str">
        <f>IF(AU1428="","",IF(OR(AZ1428=8,AZ1428=9),0,IF(OR(AW1428=3,AW1428=4,AW1428=5,AW1428=6),IF(LEFT(BF1428,1)="1",INDEX(係数_NOX・PM低減,MATCH(AY1428,【参考】排出係数!$AI$801:$AI$804,1),1),VLOOKUP(AU1428,INDEX((係数_バス貨物_ガソリン,係数_バス貨物_CNG,係数_バス貨物_軽油,係数_バス貨物_メタノール,係数_バス貨物_LPG),MATCH(AY1428,【参考】排出係数!$AI$4:$AI$671,1),1,BE1428):INDEX((係数_バス貨物_ガソリン,係数_バス貨物_CNG,係数_バス貨物_軽油,係数_バス貨物_メタノール,係数_バス貨物_LPG),MATCH(AY1428+1,【参考】排出係数!$AI$4:$AI$671,1)-1,5,BE1428),4,FALSE)),IF(AND(BE1428=3,LEFT(BF1428,1)="1"),0.48,VLOOKUP(AU1428,INDEX((係数_乗用_ガソリン,係数_乗用_CNG,係数_乗用_軽油,係数_乗用_メタノール,係数_乗用_LPG),1,1,BE1428):INDEX((係数_乗用_ガソリン,係数_乗用_CNG,係数_乗用_軽油,係数_乗用_メタノール,係数_乗用_LPG),125,5,BE1428),4,FALSE)))))</f>
        <v/>
      </c>
      <c r="AL1428" s="461" t="str">
        <f t="shared" si="805"/>
        <v/>
      </c>
      <c r="AM1428" s="460" t="str">
        <f>IF(AU1428="","",IF(OR(AZ1428=8,AZ1428=9),0,IF(OR(AW1428=3,AW1428=4,AW1428=5,AW1428=6),IF(LEFT(BH1428,1)="1",INDEX(係数_PM低減,MATCH(AY1428,【参考】排出係数!$AI$801:$AI$804,1),MATCH(BI1428,【参考】排出係数!$AL$798:$AO$798,1)),VLOOKUP(AU1428,INDEX((係数_バス貨物_ガソリン,係数_バス貨物_CNG,係数_バス貨物_軽油,係数_バス貨物_メタノール,係数_バス貨物_LPG),MATCH(AY1428,【参考】排出係数!$AI$4:$AI$671,1),1,BE1428):INDEX((係数_バス貨物_ガソリン,係数_バス貨物_CNG,係数_バス貨物_軽油,係数_バス貨物_メタノール,係数_バス貨物_LPG),MATCH(AY1428+1,【参考】排出係数!$AI$4:$AI$671,1)-1,5,BE1428),5,FALSE)),IF(AND(BE1428=3,LEFT(BF1428,1)="1"),0.055,VLOOKUP(AU1428,INDEX((係数_乗用_ガソリン,係数_乗用_CNG,係数_乗用_軽油,係数_乗用_メタノール,係数_乗用_LPG),1,1,BE1428):INDEX((係数_乗用_ガソリン,係数_乗用_CNG,係数_乗用_軽油,係数_乗用_メタノール,係数_乗用_LPG),125,5,BE1428),5,FALSE)))))</f>
        <v/>
      </c>
      <c r="AN1428" s="461" t="str">
        <f t="shared" si="806"/>
        <v/>
      </c>
      <c r="AO1428" s="462" t="str">
        <f t="shared" si="807"/>
        <v/>
      </c>
      <c r="AP1428" s="463" t="str">
        <f t="shared" si="808"/>
        <v/>
      </c>
      <c r="AQ1428" s="464"/>
      <c r="AR1428" s="619"/>
      <c r="AS1428" s="465" t="str">
        <f t="shared" si="816"/>
        <v/>
      </c>
      <c r="AT1428" s="465" t="str">
        <f t="shared" si="817"/>
        <v/>
      </c>
      <c r="AU1428" s="466" t="str">
        <f t="shared" si="818"/>
        <v/>
      </c>
      <c r="AV1428" s="467" t="str">
        <f t="shared" si="819"/>
        <v/>
      </c>
      <c r="AW1428" s="467" t="str">
        <f t="shared" si="820"/>
        <v/>
      </c>
      <c r="AX1428" s="467" t="str">
        <f t="shared" si="821"/>
        <v/>
      </c>
      <c r="AY1428" s="467" t="str">
        <f t="shared" si="822"/>
        <v/>
      </c>
      <c r="AZ1428" s="467" t="str">
        <f t="shared" si="823"/>
        <v/>
      </c>
      <c r="BA1428" s="468" t="str">
        <f>IF(AS1428="","",IF(OR(AU1428="",AU1428="-"),"－",IF(OR(AZ1428=8,AZ1428=9),"",IF(OR(AW1428=3,AW1428=4,AW1428=5,AW1428=6),VLOOKUP(AU1428,INDEX((係数_バス貨物_ガソリン,係数_バス貨物_CNG,係数_バス貨物_軽油,係数_バス貨物_メタノール,係数_バス貨物_LPG),MATCH(AY1428,【参考】排出係数!$AI$4:$AI$671,1),1,BE1428):INDEX((係数_バス貨物_ガソリン,係数_バス貨物_CNG,係数_バス貨物_軽油,係数_バス貨物_メタノール,係数_バス貨物_LPG),MATCH(AY1428+1,【参考】排出係数!$AI$4:$AI$671,1)-1,5,BE1428),2,FALSE),IF(OR(AW1428=1,AW1428=2),VLOOKUP(AU1428,INDEX((係数_乗用_ガソリン,係数_乗用_CNG,係数_乗用_軽油,係数_乗用_メタノール,係数_乗用_LPG),1,1,BE1428):INDEX((係数_乗用_ガソリン,係数_乗用_CNG,係数_乗用_軽油,係数_乗用_メタノール,係数_乗用_LPG),125,5,BE1428),2,FALSE))))))</f>
        <v/>
      </c>
      <c r="BB1428" s="468" t="str">
        <f>IF(T1428="","",IF(OR(AU1428="",AU1428="-"),"－",IF(OR(AZ1428=8,AZ1428=9),"",IF(OR(AW1428=3,AW1428=4,AW1428=5,AW1428=6),VLOOKUP(AU1428,INDEX((係数_バス貨物_ガソリン,係数_バス貨物_CNG,係数_バス貨物_軽油,係数_バス貨物_メタノール,係数_バス貨物_LPG),MATCH(AY1428,【参考】排出係数!$AI$4:$AI$671,1),1,BE1428):INDEX((係数_バス貨物_ガソリン,係数_バス貨物_CNG,係数_バス貨物_軽油,係数_バス貨物_メタノール,係数_バス貨物_LPG),MATCH(AY1428+1,【参考】排出係数!$AI$4:$AI$671,1)-1,5,BE1428),3,FALSE),IF(OR(AW1428=1,AW1428=2),VLOOKUP(AU1428,INDEX((係数_乗用_ガソリン,係数_乗用_CNG,係数_乗用_軽油,係数_乗用_メタノール,係数_乗用_LPG),1,1,BE1428):INDEX((係数_乗用_ガソリン,係数_乗用_CNG,係数_乗用_軽油,係数_乗用_メタノール,係数_乗用_LPG),125,5,BE1428),3,FALSE))))))</f>
        <v/>
      </c>
      <c r="BC1428" s="467" t="str">
        <f t="shared" si="824"/>
        <v/>
      </c>
      <c r="BD1428" s="567" t="str">
        <f t="shared" si="825"/>
        <v/>
      </c>
      <c r="BE1428" s="467" t="str">
        <f t="shared" si="826"/>
        <v/>
      </c>
      <c r="BF1428" s="469" t="str">
        <f t="shared" ca="1" si="827"/>
        <v/>
      </c>
      <c r="BG1428" s="469" t="str">
        <f t="shared" ca="1" si="828"/>
        <v/>
      </c>
      <c r="BH1428" s="467" t="str">
        <f t="shared" si="829"/>
        <v/>
      </c>
      <c r="BI1428" s="467" t="str">
        <f t="shared" ca="1" si="830"/>
        <v/>
      </c>
      <c r="BJ1428" s="469" t="str">
        <f t="shared" si="831"/>
        <v/>
      </c>
      <c r="BK1428" s="470" t="str">
        <f t="shared" si="815"/>
        <v/>
      </c>
      <c r="BL1428" s="775" t="str">
        <f t="shared" si="832"/>
        <v/>
      </c>
      <c r="BM1428" s="775" t="str">
        <f t="shared" si="833"/>
        <v/>
      </c>
    </row>
    <row r="1429" spans="1:65">
      <c r="A1429" s="473">
        <v>1373</v>
      </c>
      <c r="B1429" s="132"/>
      <c r="C1429" s="332"/>
      <c r="D1429" s="333"/>
      <c r="E1429" s="333"/>
      <c r="F1429" s="334"/>
      <c r="G1429" s="337"/>
      <c r="H1429" s="131"/>
      <c r="I1429" s="337"/>
      <c r="J1429" s="131"/>
      <c r="K1429" s="458" t="str">
        <f t="shared" si="796"/>
        <v/>
      </c>
      <c r="L1429" s="458">
        <f t="shared" si="797"/>
        <v>0</v>
      </c>
      <c r="M1429" s="458">
        <f t="shared" si="798"/>
        <v>0</v>
      </c>
      <c r="N1429" s="459" t="str">
        <f t="shared" si="809"/>
        <v/>
      </c>
      <c r="O1429" s="459" t="str">
        <f t="shared" si="810"/>
        <v/>
      </c>
      <c r="P1429" s="459" t="str">
        <f t="shared" si="811"/>
        <v/>
      </c>
      <c r="Q1429" s="459" t="str">
        <f t="shared" si="812"/>
        <v/>
      </c>
      <c r="R1429" s="459" t="str">
        <f t="shared" si="813"/>
        <v/>
      </c>
      <c r="S1429" s="459" t="str">
        <f t="shared" si="814"/>
        <v/>
      </c>
      <c r="T1429" s="566" t="str">
        <f t="shared" si="799"/>
        <v/>
      </c>
      <c r="U1429" s="702"/>
      <c r="V1429" s="132"/>
      <c r="W1429" s="133"/>
      <c r="X1429" s="134"/>
      <c r="Y1429" s="135"/>
      <c r="Z1429" s="137"/>
      <c r="AA1429" s="136"/>
      <c r="AB1429" s="566" t="str">
        <f t="shared" si="800"/>
        <v/>
      </c>
      <c r="AC1429" s="568" t="str">
        <f t="shared" si="801"/>
        <v/>
      </c>
      <c r="AD1429" s="137"/>
      <c r="AE1429" s="137"/>
      <c r="AF1429" s="138"/>
      <c r="AG1429" s="138"/>
      <c r="AH1429" s="592" t="str">
        <f t="shared" si="802"/>
        <v/>
      </c>
      <c r="AI1429" s="592" t="str">
        <f t="shared" si="803"/>
        <v/>
      </c>
      <c r="AJ1429" s="592" t="str">
        <f t="shared" si="804"/>
        <v/>
      </c>
      <c r="AK1429" s="460" t="str">
        <f>IF(AU1429="","",IF(OR(AZ1429=8,AZ1429=9),0,IF(OR(AW1429=3,AW1429=4,AW1429=5,AW1429=6),IF(LEFT(BF1429,1)="1",INDEX(係数_NOX・PM低減,MATCH(AY1429,【参考】排出係数!$AI$801:$AI$804,1),1),VLOOKUP(AU1429,INDEX((係数_バス貨物_ガソリン,係数_バス貨物_CNG,係数_バス貨物_軽油,係数_バス貨物_メタノール,係数_バス貨物_LPG),MATCH(AY1429,【参考】排出係数!$AI$4:$AI$671,1),1,BE1429):INDEX((係数_バス貨物_ガソリン,係数_バス貨物_CNG,係数_バス貨物_軽油,係数_バス貨物_メタノール,係数_バス貨物_LPG),MATCH(AY1429+1,【参考】排出係数!$AI$4:$AI$671,1)-1,5,BE1429),4,FALSE)),IF(AND(BE1429=3,LEFT(BF1429,1)="1"),0.48,VLOOKUP(AU1429,INDEX((係数_乗用_ガソリン,係数_乗用_CNG,係数_乗用_軽油,係数_乗用_メタノール,係数_乗用_LPG),1,1,BE1429):INDEX((係数_乗用_ガソリン,係数_乗用_CNG,係数_乗用_軽油,係数_乗用_メタノール,係数_乗用_LPG),125,5,BE1429),4,FALSE)))))</f>
        <v/>
      </c>
      <c r="AL1429" s="461" t="str">
        <f t="shared" si="805"/>
        <v/>
      </c>
      <c r="AM1429" s="460" t="str">
        <f>IF(AU1429="","",IF(OR(AZ1429=8,AZ1429=9),0,IF(OR(AW1429=3,AW1429=4,AW1429=5,AW1429=6),IF(LEFT(BH1429,1)="1",INDEX(係数_PM低減,MATCH(AY1429,【参考】排出係数!$AI$801:$AI$804,1),MATCH(BI1429,【参考】排出係数!$AL$798:$AO$798,1)),VLOOKUP(AU1429,INDEX((係数_バス貨物_ガソリン,係数_バス貨物_CNG,係数_バス貨物_軽油,係数_バス貨物_メタノール,係数_バス貨物_LPG),MATCH(AY1429,【参考】排出係数!$AI$4:$AI$671,1),1,BE1429):INDEX((係数_バス貨物_ガソリン,係数_バス貨物_CNG,係数_バス貨物_軽油,係数_バス貨物_メタノール,係数_バス貨物_LPG),MATCH(AY1429+1,【参考】排出係数!$AI$4:$AI$671,1)-1,5,BE1429),5,FALSE)),IF(AND(BE1429=3,LEFT(BF1429,1)="1"),0.055,VLOOKUP(AU1429,INDEX((係数_乗用_ガソリン,係数_乗用_CNG,係数_乗用_軽油,係数_乗用_メタノール,係数_乗用_LPG),1,1,BE1429):INDEX((係数_乗用_ガソリン,係数_乗用_CNG,係数_乗用_軽油,係数_乗用_メタノール,係数_乗用_LPG),125,5,BE1429),5,FALSE)))))</f>
        <v/>
      </c>
      <c r="AN1429" s="461" t="str">
        <f t="shared" si="806"/>
        <v/>
      </c>
      <c r="AO1429" s="462" t="str">
        <f t="shared" si="807"/>
        <v/>
      </c>
      <c r="AP1429" s="463" t="str">
        <f t="shared" si="808"/>
        <v/>
      </c>
      <c r="AQ1429" s="464"/>
      <c r="AR1429" s="619"/>
      <c r="AS1429" s="465" t="str">
        <f t="shared" si="816"/>
        <v/>
      </c>
      <c r="AT1429" s="465" t="str">
        <f t="shared" si="817"/>
        <v/>
      </c>
      <c r="AU1429" s="466" t="str">
        <f t="shared" si="818"/>
        <v/>
      </c>
      <c r="AV1429" s="467" t="str">
        <f t="shared" si="819"/>
        <v/>
      </c>
      <c r="AW1429" s="467" t="str">
        <f t="shared" si="820"/>
        <v/>
      </c>
      <c r="AX1429" s="467" t="str">
        <f t="shared" si="821"/>
        <v/>
      </c>
      <c r="AY1429" s="467" t="str">
        <f t="shared" si="822"/>
        <v/>
      </c>
      <c r="AZ1429" s="467" t="str">
        <f t="shared" si="823"/>
        <v/>
      </c>
      <c r="BA1429" s="468" t="str">
        <f>IF(AS1429="","",IF(OR(AU1429="",AU1429="-"),"－",IF(OR(AZ1429=8,AZ1429=9),"",IF(OR(AW1429=3,AW1429=4,AW1429=5,AW1429=6),VLOOKUP(AU1429,INDEX((係数_バス貨物_ガソリン,係数_バス貨物_CNG,係数_バス貨物_軽油,係数_バス貨物_メタノール,係数_バス貨物_LPG),MATCH(AY1429,【参考】排出係数!$AI$4:$AI$671,1),1,BE1429):INDEX((係数_バス貨物_ガソリン,係数_バス貨物_CNG,係数_バス貨物_軽油,係数_バス貨物_メタノール,係数_バス貨物_LPG),MATCH(AY1429+1,【参考】排出係数!$AI$4:$AI$671,1)-1,5,BE1429),2,FALSE),IF(OR(AW1429=1,AW1429=2),VLOOKUP(AU1429,INDEX((係数_乗用_ガソリン,係数_乗用_CNG,係数_乗用_軽油,係数_乗用_メタノール,係数_乗用_LPG),1,1,BE1429):INDEX((係数_乗用_ガソリン,係数_乗用_CNG,係数_乗用_軽油,係数_乗用_メタノール,係数_乗用_LPG),125,5,BE1429),2,FALSE))))))</f>
        <v/>
      </c>
      <c r="BB1429" s="468" t="str">
        <f>IF(T1429="","",IF(OR(AU1429="",AU1429="-"),"－",IF(OR(AZ1429=8,AZ1429=9),"",IF(OR(AW1429=3,AW1429=4,AW1429=5,AW1429=6),VLOOKUP(AU1429,INDEX((係数_バス貨物_ガソリン,係数_バス貨物_CNG,係数_バス貨物_軽油,係数_バス貨物_メタノール,係数_バス貨物_LPG),MATCH(AY1429,【参考】排出係数!$AI$4:$AI$671,1),1,BE1429):INDEX((係数_バス貨物_ガソリン,係数_バス貨物_CNG,係数_バス貨物_軽油,係数_バス貨物_メタノール,係数_バス貨物_LPG),MATCH(AY1429+1,【参考】排出係数!$AI$4:$AI$671,1)-1,5,BE1429),3,FALSE),IF(OR(AW1429=1,AW1429=2),VLOOKUP(AU1429,INDEX((係数_乗用_ガソリン,係数_乗用_CNG,係数_乗用_軽油,係数_乗用_メタノール,係数_乗用_LPG),1,1,BE1429):INDEX((係数_乗用_ガソリン,係数_乗用_CNG,係数_乗用_軽油,係数_乗用_メタノール,係数_乗用_LPG),125,5,BE1429),3,FALSE))))))</f>
        <v/>
      </c>
      <c r="BC1429" s="467" t="str">
        <f t="shared" si="824"/>
        <v/>
      </c>
      <c r="BD1429" s="567" t="str">
        <f t="shared" si="825"/>
        <v/>
      </c>
      <c r="BE1429" s="467" t="str">
        <f t="shared" si="826"/>
        <v/>
      </c>
      <c r="BF1429" s="469" t="str">
        <f t="shared" ca="1" si="827"/>
        <v/>
      </c>
      <c r="BG1429" s="469" t="str">
        <f t="shared" ca="1" si="828"/>
        <v/>
      </c>
      <c r="BH1429" s="467" t="str">
        <f t="shared" si="829"/>
        <v/>
      </c>
      <c r="BI1429" s="467" t="str">
        <f t="shared" ca="1" si="830"/>
        <v/>
      </c>
      <c r="BJ1429" s="469" t="str">
        <f t="shared" si="831"/>
        <v/>
      </c>
      <c r="BK1429" s="470" t="str">
        <f t="shared" si="815"/>
        <v/>
      </c>
      <c r="BL1429" s="775" t="str">
        <f t="shared" si="832"/>
        <v/>
      </c>
      <c r="BM1429" s="775" t="str">
        <f t="shared" si="833"/>
        <v/>
      </c>
    </row>
    <row r="1430" spans="1:65">
      <c r="A1430" s="473">
        <v>1374</v>
      </c>
      <c r="B1430" s="132"/>
      <c r="C1430" s="332"/>
      <c r="D1430" s="333"/>
      <c r="E1430" s="333"/>
      <c r="F1430" s="334"/>
      <c r="G1430" s="337"/>
      <c r="H1430" s="131"/>
      <c r="I1430" s="337"/>
      <c r="J1430" s="131"/>
      <c r="K1430" s="458" t="str">
        <f t="shared" si="796"/>
        <v/>
      </c>
      <c r="L1430" s="458">
        <f t="shared" si="797"/>
        <v>0</v>
      </c>
      <c r="M1430" s="458">
        <f t="shared" si="798"/>
        <v>0</v>
      </c>
      <c r="N1430" s="459" t="str">
        <f t="shared" si="809"/>
        <v/>
      </c>
      <c r="O1430" s="459" t="str">
        <f t="shared" si="810"/>
        <v/>
      </c>
      <c r="P1430" s="459" t="str">
        <f t="shared" si="811"/>
        <v/>
      </c>
      <c r="Q1430" s="459" t="str">
        <f t="shared" si="812"/>
        <v/>
      </c>
      <c r="R1430" s="459" t="str">
        <f t="shared" si="813"/>
        <v/>
      </c>
      <c r="S1430" s="459" t="str">
        <f t="shared" si="814"/>
        <v/>
      </c>
      <c r="T1430" s="566" t="str">
        <f t="shared" si="799"/>
        <v/>
      </c>
      <c r="U1430" s="702"/>
      <c r="V1430" s="132"/>
      <c r="W1430" s="133"/>
      <c r="X1430" s="134"/>
      <c r="Y1430" s="135"/>
      <c r="Z1430" s="137"/>
      <c r="AA1430" s="136"/>
      <c r="AB1430" s="566" t="str">
        <f t="shared" si="800"/>
        <v/>
      </c>
      <c r="AC1430" s="568" t="str">
        <f t="shared" si="801"/>
        <v/>
      </c>
      <c r="AD1430" s="137"/>
      <c r="AE1430" s="137"/>
      <c r="AF1430" s="138"/>
      <c r="AG1430" s="138"/>
      <c r="AH1430" s="592" t="str">
        <f t="shared" si="802"/>
        <v/>
      </c>
      <c r="AI1430" s="592" t="str">
        <f t="shared" si="803"/>
        <v/>
      </c>
      <c r="AJ1430" s="592" t="str">
        <f t="shared" si="804"/>
        <v/>
      </c>
      <c r="AK1430" s="460" t="str">
        <f>IF(AU1430="","",IF(OR(AZ1430=8,AZ1430=9),0,IF(OR(AW1430=3,AW1430=4,AW1430=5,AW1430=6),IF(LEFT(BF1430,1)="1",INDEX(係数_NOX・PM低減,MATCH(AY1430,【参考】排出係数!$AI$801:$AI$804,1),1),VLOOKUP(AU1430,INDEX((係数_バス貨物_ガソリン,係数_バス貨物_CNG,係数_バス貨物_軽油,係数_バス貨物_メタノール,係数_バス貨物_LPG),MATCH(AY1430,【参考】排出係数!$AI$4:$AI$671,1),1,BE1430):INDEX((係数_バス貨物_ガソリン,係数_バス貨物_CNG,係数_バス貨物_軽油,係数_バス貨物_メタノール,係数_バス貨物_LPG),MATCH(AY1430+1,【参考】排出係数!$AI$4:$AI$671,1)-1,5,BE1430),4,FALSE)),IF(AND(BE1430=3,LEFT(BF1430,1)="1"),0.48,VLOOKUP(AU1430,INDEX((係数_乗用_ガソリン,係数_乗用_CNG,係数_乗用_軽油,係数_乗用_メタノール,係数_乗用_LPG),1,1,BE1430):INDEX((係数_乗用_ガソリン,係数_乗用_CNG,係数_乗用_軽油,係数_乗用_メタノール,係数_乗用_LPG),125,5,BE1430),4,FALSE)))))</f>
        <v/>
      </c>
      <c r="AL1430" s="461" t="str">
        <f t="shared" si="805"/>
        <v/>
      </c>
      <c r="AM1430" s="460" t="str">
        <f>IF(AU1430="","",IF(OR(AZ1430=8,AZ1430=9),0,IF(OR(AW1430=3,AW1430=4,AW1430=5,AW1430=6),IF(LEFT(BH1430,1)="1",INDEX(係数_PM低減,MATCH(AY1430,【参考】排出係数!$AI$801:$AI$804,1),MATCH(BI1430,【参考】排出係数!$AL$798:$AO$798,1)),VLOOKUP(AU1430,INDEX((係数_バス貨物_ガソリン,係数_バス貨物_CNG,係数_バス貨物_軽油,係数_バス貨物_メタノール,係数_バス貨物_LPG),MATCH(AY1430,【参考】排出係数!$AI$4:$AI$671,1),1,BE1430):INDEX((係数_バス貨物_ガソリン,係数_バス貨物_CNG,係数_バス貨物_軽油,係数_バス貨物_メタノール,係数_バス貨物_LPG),MATCH(AY1430+1,【参考】排出係数!$AI$4:$AI$671,1)-1,5,BE1430),5,FALSE)),IF(AND(BE1430=3,LEFT(BF1430,1)="1"),0.055,VLOOKUP(AU1430,INDEX((係数_乗用_ガソリン,係数_乗用_CNG,係数_乗用_軽油,係数_乗用_メタノール,係数_乗用_LPG),1,1,BE1430):INDEX((係数_乗用_ガソリン,係数_乗用_CNG,係数_乗用_軽油,係数_乗用_メタノール,係数_乗用_LPG),125,5,BE1430),5,FALSE)))))</f>
        <v/>
      </c>
      <c r="AN1430" s="461" t="str">
        <f t="shared" si="806"/>
        <v/>
      </c>
      <c r="AO1430" s="462" t="str">
        <f t="shared" si="807"/>
        <v/>
      </c>
      <c r="AP1430" s="463" t="str">
        <f t="shared" si="808"/>
        <v/>
      </c>
      <c r="AQ1430" s="464"/>
      <c r="AR1430" s="619"/>
      <c r="AS1430" s="465" t="str">
        <f t="shared" si="816"/>
        <v/>
      </c>
      <c r="AT1430" s="465" t="str">
        <f t="shared" si="817"/>
        <v/>
      </c>
      <c r="AU1430" s="466" t="str">
        <f t="shared" si="818"/>
        <v/>
      </c>
      <c r="AV1430" s="467" t="str">
        <f t="shared" si="819"/>
        <v/>
      </c>
      <c r="AW1430" s="467" t="str">
        <f t="shared" si="820"/>
        <v/>
      </c>
      <c r="AX1430" s="467" t="str">
        <f t="shared" si="821"/>
        <v/>
      </c>
      <c r="AY1430" s="467" t="str">
        <f t="shared" si="822"/>
        <v/>
      </c>
      <c r="AZ1430" s="467" t="str">
        <f t="shared" si="823"/>
        <v/>
      </c>
      <c r="BA1430" s="468" t="str">
        <f>IF(AS1430="","",IF(OR(AU1430="",AU1430="-"),"－",IF(OR(AZ1430=8,AZ1430=9),"",IF(OR(AW1430=3,AW1430=4,AW1430=5,AW1430=6),VLOOKUP(AU1430,INDEX((係数_バス貨物_ガソリン,係数_バス貨物_CNG,係数_バス貨物_軽油,係数_バス貨物_メタノール,係数_バス貨物_LPG),MATCH(AY1430,【参考】排出係数!$AI$4:$AI$671,1),1,BE1430):INDEX((係数_バス貨物_ガソリン,係数_バス貨物_CNG,係数_バス貨物_軽油,係数_バス貨物_メタノール,係数_バス貨物_LPG),MATCH(AY1430+1,【参考】排出係数!$AI$4:$AI$671,1)-1,5,BE1430),2,FALSE),IF(OR(AW1430=1,AW1430=2),VLOOKUP(AU1430,INDEX((係数_乗用_ガソリン,係数_乗用_CNG,係数_乗用_軽油,係数_乗用_メタノール,係数_乗用_LPG),1,1,BE1430):INDEX((係数_乗用_ガソリン,係数_乗用_CNG,係数_乗用_軽油,係数_乗用_メタノール,係数_乗用_LPG),125,5,BE1430),2,FALSE))))))</f>
        <v/>
      </c>
      <c r="BB1430" s="468" t="str">
        <f>IF(T1430="","",IF(OR(AU1430="",AU1430="-"),"－",IF(OR(AZ1430=8,AZ1430=9),"",IF(OR(AW1430=3,AW1430=4,AW1430=5,AW1430=6),VLOOKUP(AU1430,INDEX((係数_バス貨物_ガソリン,係数_バス貨物_CNG,係数_バス貨物_軽油,係数_バス貨物_メタノール,係数_バス貨物_LPG),MATCH(AY1430,【参考】排出係数!$AI$4:$AI$671,1),1,BE1430):INDEX((係数_バス貨物_ガソリン,係数_バス貨物_CNG,係数_バス貨物_軽油,係数_バス貨物_メタノール,係数_バス貨物_LPG),MATCH(AY1430+1,【参考】排出係数!$AI$4:$AI$671,1)-1,5,BE1430),3,FALSE),IF(OR(AW1430=1,AW1430=2),VLOOKUP(AU1430,INDEX((係数_乗用_ガソリン,係数_乗用_CNG,係数_乗用_軽油,係数_乗用_メタノール,係数_乗用_LPG),1,1,BE1430):INDEX((係数_乗用_ガソリン,係数_乗用_CNG,係数_乗用_軽油,係数_乗用_メタノール,係数_乗用_LPG),125,5,BE1430),3,FALSE))))))</f>
        <v/>
      </c>
      <c r="BC1430" s="467" t="str">
        <f t="shared" si="824"/>
        <v/>
      </c>
      <c r="BD1430" s="567" t="str">
        <f t="shared" si="825"/>
        <v/>
      </c>
      <c r="BE1430" s="467" t="str">
        <f t="shared" si="826"/>
        <v/>
      </c>
      <c r="BF1430" s="469" t="str">
        <f t="shared" ca="1" si="827"/>
        <v/>
      </c>
      <c r="BG1430" s="469" t="str">
        <f t="shared" ca="1" si="828"/>
        <v/>
      </c>
      <c r="BH1430" s="467" t="str">
        <f t="shared" si="829"/>
        <v/>
      </c>
      <c r="BI1430" s="467" t="str">
        <f t="shared" ca="1" si="830"/>
        <v/>
      </c>
      <c r="BJ1430" s="469" t="str">
        <f t="shared" si="831"/>
        <v/>
      </c>
      <c r="BK1430" s="470" t="str">
        <f t="shared" si="815"/>
        <v/>
      </c>
      <c r="BL1430" s="775" t="str">
        <f t="shared" si="832"/>
        <v/>
      </c>
      <c r="BM1430" s="775" t="str">
        <f t="shared" si="833"/>
        <v/>
      </c>
    </row>
    <row r="1431" spans="1:65">
      <c r="A1431" s="473">
        <v>1375</v>
      </c>
      <c r="B1431" s="132"/>
      <c r="C1431" s="332"/>
      <c r="D1431" s="333"/>
      <c r="E1431" s="333"/>
      <c r="F1431" s="334"/>
      <c r="G1431" s="337"/>
      <c r="H1431" s="131"/>
      <c r="I1431" s="337"/>
      <c r="J1431" s="131"/>
      <c r="K1431" s="458" t="str">
        <f t="shared" si="796"/>
        <v/>
      </c>
      <c r="L1431" s="458">
        <f t="shared" si="797"/>
        <v>0</v>
      </c>
      <c r="M1431" s="458">
        <f t="shared" si="798"/>
        <v>0</v>
      </c>
      <c r="N1431" s="459" t="str">
        <f t="shared" si="809"/>
        <v/>
      </c>
      <c r="O1431" s="459" t="str">
        <f t="shared" si="810"/>
        <v/>
      </c>
      <c r="P1431" s="459" t="str">
        <f t="shared" si="811"/>
        <v/>
      </c>
      <c r="Q1431" s="459" t="str">
        <f t="shared" si="812"/>
        <v/>
      </c>
      <c r="R1431" s="459" t="str">
        <f t="shared" si="813"/>
        <v/>
      </c>
      <c r="S1431" s="459" t="str">
        <f t="shared" si="814"/>
        <v/>
      </c>
      <c r="T1431" s="566" t="str">
        <f t="shared" si="799"/>
        <v/>
      </c>
      <c r="U1431" s="702"/>
      <c r="V1431" s="132"/>
      <c r="W1431" s="133"/>
      <c r="X1431" s="134"/>
      <c r="Y1431" s="135"/>
      <c r="Z1431" s="137"/>
      <c r="AA1431" s="136"/>
      <c r="AB1431" s="566" t="str">
        <f t="shared" si="800"/>
        <v/>
      </c>
      <c r="AC1431" s="568" t="str">
        <f t="shared" si="801"/>
        <v/>
      </c>
      <c r="AD1431" s="137"/>
      <c r="AE1431" s="137"/>
      <c r="AF1431" s="138"/>
      <c r="AG1431" s="138"/>
      <c r="AH1431" s="592" t="str">
        <f t="shared" si="802"/>
        <v/>
      </c>
      <c r="AI1431" s="592" t="str">
        <f t="shared" si="803"/>
        <v/>
      </c>
      <c r="AJ1431" s="592" t="str">
        <f t="shared" si="804"/>
        <v/>
      </c>
      <c r="AK1431" s="460" t="str">
        <f>IF(AU1431="","",IF(OR(AZ1431=8,AZ1431=9),0,IF(OR(AW1431=3,AW1431=4,AW1431=5,AW1431=6),IF(LEFT(BF1431,1)="1",INDEX(係数_NOX・PM低減,MATCH(AY1431,【参考】排出係数!$AI$801:$AI$804,1),1),VLOOKUP(AU1431,INDEX((係数_バス貨物_ガソリン,係数_バス貨物_CNG,係数_バス貨物_軽油,係数_バス貨物_メタノール,係数_バス貨物_LPG),MATCH(AY1431,【参考】排出係数!$AI$4:$AI$671,1),1,BE1431):INDEX((係数_バス貨物_ガソリン,係数_バス貨物_CNG,係数_バス貨物_軽油,係数_バス貨物_メタノール,係数_バス貨物_LPG),MATCH(AY1431+1,【参考】排出係数!$AI$4:$AI$671,1)-1,5,BE1431),4,FALSE)),IF(AND(BE1431=3,LEFT(BF1431,1)="1"),0.48,VLOOKUP(AU1431,INDEX((係数_乗用_ガソリン,係数_乗用_CNG,係数_乗用_軽油,係数_乗用_メタノール,係数_乗用_LPG),1,1,BE1431):INDEX((係数_乗用_ガソリン,係数_乗用_CNG,係数_乗用_軽油,係数_乗用_メタノール,係数_乗用_LPG),125,5,BE1431),4,FALSE)))))</f>
        <v/>
      </c>
      <c r="AL1431" s="461" t="str">
        <f t="shared" si="805"/>
        <v/>
      </c>
      <c r="AM1431" s="460" t="str">
        <f>IF(AU1431="","",IF(OR(AZ1431=8,AZ1431=9),0,IF(OR(AW1431=3,AW1431=4,AW1431=5,AW1431=6),IF(LEFT(BH1431,1)="1",INDEX(係数_PM低減,MATCH(AY1431,【参考】排出係数!$AI$801:$AI$804,1),MATCH(BI1431,【参考】排出係数!$AL$798:$AO$798,1)),VLOOKUP(AU1431,INDEX((係数_バス貨物_ガソリン,係数_バス貨物_CNG,係数_バス貨物_軽油,係数_バス貨物_メタノール,係数_バス貨物_LPG),MATCH(AY1431,【参考】排出係数!$AI$4:$AI$671,1),1,BE1431):INDEX((係数_バス貨物_ガソリン,係数_バス貨物_CNG,係数_バス貨物_軽油,係数_バス貨物_メタノール,係数_バス貨物_LPG),MATCH(AY1431+1,【参考】排出係数!$AI$4:$AI$671,1)-1,5,BE1431),5,FALSE)),IF(AND(BE1431=3,LEFT(BF1431,1)="1"),0.055,VLOOKUP(AU1431,INDEX((係数_乗用_ガソリン,係数_乗用_CNG,係数_乗用_軽油,係数_乗用_メタノール,係数_乗用_LPG),1,1,BE1431):INDEX((係数_乗用_ガソリン,係数_乗用_CNG,係数_乗用_軽油,係数_乗用_メタノール,係数_乗用_LPG),125,5,BE1431),5,FALSE)))))</f>
        <v/>
      </c>
      <c r="AN1431" s="461" t="str">
        <f t="shared" si="806"/>
        <v/>
      </c>
      <c r="AO1431" s="462" t="str">
        <f t="shared" si="807"/>
        <v/>
      </c>
      <c r="AP1431" s="463" t="str">
        <f t="shared" si="808"/>
        <v/>
      </c>
      <c r="AQ1431" s="464"/>
      <c r="AR1431" s="619"/>
      <c r="AS1431" s="465" t="str">
        <f t="shared" si="816"/>
        <v/>
      </c>
      <c r="AT1431" s="465" t="str">
        <f t="shared" si="817"/>
        <v/>
      </c>
      <c r="AU1431" s="466" t="str">
        <f t="shared" si="818"/>
        <v/>
      </c>
      <c r="AV1431" s="467" t="str">
        <f t="shared" si="819"/>
        <v/>
      </c>
      <c r="AW1431" s="467" t="str">
        <f t="shared" si="820"/>
        <v/>
      </c>
      <c r="AX1431" s="467" t="str">
        <f t="shared" si="821"/>
        <v/>
      </c>
      <c r="AY1431" s="467" t="str">
        <f t="shared" si="822"/>
        <v/>
      </c>
      <c r="AZ1431" s="467" t="str">
        <f t="shared" si="823"/>
        <v/>
      </c>
      <c r="BA1431" s="468" t="str">
        <f>IF(AS1431="","",IF(OR(AU1431="",AU1431="-"),"－",IF(OR(AZ1431=8,AZ1431=9),"",IF(OR(AW1431=3,AW1431=4,AW1431=5,AW1431=6),VLOOKUP(AU1431,INDEX((係数_バス貨物_ガソリン,係数_バス貨物_CNG,係数_バス貨物_軽油,係数_バス貨物_メタノール,係数_バス貨物_LPG),MATCH(AY1431,【参考】排出係数!$AI$4:$AI$671,1),1,BE1431):INDEX((係数_バス貨物_ガソリン,係数_バス貨物_CNG,係数_バス貨物_軽油,係数_バス貨物_メタノール,係数_バス貨物_LPG),MATCH(AY1431+1,【参考】排出係数!$AI$4:$AI$671,1)-1,5,BE1431),2,FALSE),IF(OR(AW1431=1,AW1431=2),VLOOKUP(AU1431,INDEX((係数_乗用_ガソリン,係数_乗用_CNG,係数_乗用_軽油,係数_乗用_メタノール,係数_乗用_LPG),1,1,BE1431):INDEX((係数_乗用_ガソリン,係数_乗用_CNG,係数_乗用_軽油,係数_乗用_メタノール,係数_乗用_LPG),125,5,BE1431),2,FALSE))))))</f>
        <v/>
      </c>
      <c r="BB1431" s="468" t="str">
        <f>IF(T1431="","",IF(OR(AU1431="",AU1431="-"),"－",IF(OR(AZ1431=8,AZ1431=9),"",IF(OR(AW1431=3,AW1431=4,AW1431=5,AW1431=6),VLOOKUP(AU1431,INDEX((係数_バス貨物_ガソリン,係数_バス貨物_CNG,係数_バス貨物_軽油,係数_バス貨物_メタノール,係数_バス貨物_LPG),MATCH(AY1431,【参考】排出係数!$AI$4:$AI$671,1),1,BE1431):INDEX((係数_バス貨物_ガソリン,係数_バス貨物_CNG,係数_バス貨物_軽油,係数_バス貨物_メタノール,係数_バス貨物_LPG),MATCH(AY1431+1,【参考】排出係数!$AI$4:$AI$671,1)-1,5,BE1431),3,FALSE),IF(OR(AW1431=1,AW1431=2),VLOOKUP(AU1431,INDEX((係数_乗用_ガソリン,係数_乗用_CNG,係数_乗用_軽油,係数_乗用_メタノール,係数_乗用_LPG),1,1,BE1431):INDEX((係数_乗用_ガソリン,係数_乗用_CNG,係数_乗用_軽油,係数_乗用_メタノール,係数_乗用_LPG),125,5,BE1431),3,FALSE))))))</f>
        <v/>
      </c>
      <c r="BC1431" s="467" t="str">
        <f t="shared" si="824"/>
        <v/>
      </c>
      <c r="BD1431" s="567" t="str">
        <f t="shared" si="825"/>
        <v/>
      </c>
      <c r="BE1431" s="467" t="str">
        <f t="shared" si="826"/>
        <v/>
      </c>
      <c r="BF1431" s="469" t="str">
        <f t="shared" ca="1" si="827"/>
        <v/>
      </c>
      <c r="BG1431" s="469" t="str">
        <f t="shared" ca="1" si="828"/>
        <v/>
      </c>
      <c r="BH1431" s="467" t="str">
        <f t="shared" si="829"/>
        <v/>
      </c>
      <c r="BI1431" s="467" t="str">
        <f t="shared" ca="1" si="830"/>
        <v/>
      </c>
      <c r="BJ1431" s="469" t="str">
        <f t="shared" si="831"/>
        <v/>
      </c>
      <c r="BK1431" s="470" t="str">
        <f t="shared" si="815"/>
        <v/>
      </c>
      <c r="BL1431" s="775" t="str">
        <f t="shared" si="832"/>
        <v/>
      </c>
      <c r="BM1431" s="775" t="str">
        <f t="shared" si="833"/>
        <v/>
      </c>
    </row>
    <row r="1432" spans="1:65">
      <c r="A1432" s="473">
        <v>1376</v>
      </c>
      <c r="B1432" s="132"/>
      <c r="C1432" s="332"/>
      <c r="D1432" s="333"/>
      <c r="E1432" s="333"/>
      <c r="F1432" s="334"/>
      <c r="G1432" s="337"/>
      <c r="H1432" s="131"/>
      <c r="I1432" s="337"/>
      <c r="J1432" s="131"/>
      <c r="K1432" s="458" t="str">
        <f t="shared" si="796"/>
        <v/>
      </c>
      <c r="L1432" s="458">
        <f t="shared" si="797"/>
        <v>0</v>
      </c>
      <c r="M1432" s="458">
        <f t="shared" si="798"/>
        <v>0</v>
      </c>
      <c r="N1432" s="459" t="str">
        <f t="shared" si="809"/>
        <v/>
      </c>
      <c r="O1432" s="459" t="str">
        <f t="shared" si="810"/>
        <v/>
      </c>
      <c r="P1432" s="459" t="str">
        <f t="shared" si="811"/>
        <v/>
      </c>
      <c r="Q1432" s="459" t="str">
        <f t="shared" si="812"/>
        <v/>
      </c>
      <c r="R1432" s="459" t="str">
        <f t="shared" si="813"/>
        <v/>
      </c>
      <c r="S1432" s="459" t="str">
        <f t="shared" si="814"/>
        <v/>
      </c>
      <c r="T1432" s="566" t="str">
        <f t="shared" si="799"/>
        <v/>
      </c>
      <c r="U1432" s="702"/>
      <c r="V1432" s="132"/>
      <c r="W1432" s="133"/>
      <c r="X1432" s="134"/>
      <c r="Y1432" s="135"/>
      <c r="Z1432" s="137"/>
      <c r="AA1432" s="136"/>
      <c r="AB1432" s="566" t="str">
        <f t="shared" si="800"/>
        <v/>
      </c>
      <c r="AC1432" s="568" t="str">
        <f t="shared" si="801"/>
        <v/>
      </c>
      <c r="AD1432" s="137"/>
      <c r="AE1432" s="137"/>
      <c r="AF1432" s="138"/>
      <c r="AG1432" s="138"/>
      <c r="AH1432" s="592" t="str">
        <f t="shared" si="802"/>
        <v/>
      </c>
      <c r="AI1432" s="592" t="str">
        <f t="shared" si="803"/>
        <v/>
      </c>
      <c r="AJ1432" s="592" t="str">
        <f t="shared" si="804"/>
        <v/>
      </c>
      <c r="AK1432" s="460" t="str">
        <f>IF(AU1432="","",IF(OR(AZ1432=8,AZ1432=9),0,IF(OR(AW1432=3,AW1432=4,AW1432=5,AW1432=6),IF(LEFT(BF1432,1)="1",INDEX(係数_NOX・PM低減,MATCH(AY1432,【参考】排出係数!$AI$801:$AI$804,1),1),VLOOKUP(AU1432,INDEX((係数_バス貨物_ガソリン,係数_バス貨物_CNG,係数_バス貨物_軽油,係数_バス貨物_メタノール,係数_バス貨物_LPG),MATCH(AY1432,【参考】排出係数!$AI$4:$AI$671,1),1,BE1432):INDEX((係数_バス貨物_ガソリン,係数_バス貨物_CNG,係数_バス貨物_軽油,係数_バス貨物_メタノール,係数_バス貨物_LPG),MATCH(AY1432+1,【参考】排出係数!$AI$4:$AI$671,1)-1,5,BE1432),4,FALSE)),IF(AND(BE1432=3,LEFT(BF1432,1)="1"),0.48,VLOOKUP(AU1432,INDEX((係数_乗用_ガソリン,係数_乗用_CNG,係数_乗用_軽油,係数_乗用_メタノール,係数_乗用_LPG),1,1,BE1432):INDEX((係数_乗用_ガソリン,係数_乗用_CNG,係数_乗用_軽油,係数_乗用_メタノール,係数_乗用_LPG),125,5,BE1432),4,FALSE)))))</f>
        <v/>
      </c>
      <c r="AL1432" s="461" t="str">
        <f t="shared" si="805"/>
        <v/>
      </c>
      <c r="AM1432" s="460" t="str">
        <f>IF(AU1432="","",IF(OR(AZ1432=8,AZ1432=9),0,IF(OR(AW1432=3,AW1432=4,AW1432=5,AW1432=6),IF(LEFT(BH1432,1)="1",INDEX(係数_PM低減,MATCH(AY1432,【参考】排出係数!$AI$801:$AI$804,1),MATCH(BI1432,【参考】排出係数!$AL$798:$AO$798,1)),VLOOKUP(AU1432,INDEX((係数_バス貨物_ガソリン,係数_バス貨物_CNG,係数_バス貨物_軽油,係数_バス貨物_メタノール,係数_バス貨物_LPG),MATCH(AY1432,【参考】排出係数!$AI$4:$AI$671,1),1,BE1432):INDEX((係数_バス貨物_ガソリン,係数_バス貨物_CNG,係数_バス貨物_軽油,係数_バス貨物_メタノール,係数_バス貨物_LPG),MATCH(AY1432+1,【参考】排出係数!$AI$4:$AI$671,1)-1,5,BE1432),5,FALSE)),IF(AND(BE1432=3,LEFT(BF1432,1)="1"),0.055,VLOOKUP(AU1432,INDEX((係数_乗用_ガソリン,係数_乗用_CNG,係数_乗用_軽油,係数_乗用_メタノール,係数_乗用_LPG),1,1,BE1432):INDEX((係数_乗用_ガソリン,係数_乗用_CNG,係数_乗用_軽油,係数_乗用_メタノール,係数_乗用_LPG),125,5,BE1432),5,FALSE)))))</f>
        <v/>
      </c>
      <c r="AN1432" s="461" t="str">
        <f t="shared" si="806"/>
        <v/>
      </c>
      <c r="AO1432" s="462" t="str">
        <f t="shared" si="807"/>
        <v/>
      </c>
      <c r="AP1432" s="463" t="str">
        <f t="shared" si="808"/>
        <v/>
      </c>
      <c r="AQ1432" s="464"/>
      <c r="AR1432" s="619"/>
      <c r="AS1432" s="465" t="str">
        <f t="shared" si="816"/>
        <v/>
      </c>
      <c r="AT1432" s="465" t="str">
        <f t="shared" si="817"/>
        <v/>
      </c>
      <c r="AU1432" s="466" t="str">
        <f t="shared" si="818"/>
        <v/>
      </c>
      <c r="AV1432" s="467" t="str">
        <f t="shared" si="819"/>
        <v/>
      </c>
      <c r="AW1432" s="467" t="str">
        <f t="shared" si="820"/>
        <v/>
      </c>
      <c r="AX1432" s="467" t="str">
        <f t="shared" si="821"/>
        <v/>
      </c>
      <c r="AY1432" s="467" t="str">
        <f t="shared" si="822"/>
        <v/>
      </c>
      <c r="AZ1432" s="467" t="str">
        <f t="shared" si="823"/>
        <v/>
      </c>
      <c r="BA1432" s="468" t="str">
        <f>IF(AS1432="","",IF(OR(AU1432="",AU1432="-"),"－",IF(OR(AZ1432=8,AZ1432=9),"",IF(OR(AW1432=3,AW1432=4,AW1432=5,AW1432=6),VLOOKUP(AU1432,INDEX((係数_バス貨物_ガソリン,係数_バス貨物_CNG,係数_バス貨物_軽油,係数_バス貨物_メタノール,係数_バス貨物_LPG),MATCH(AY1432,【参考】排出係数!$AI$4:$AI$671,1),1,BE1432):INDEX((係数_バス貨物_ガソリン,係数_バス貨物_CNG,係数_バス貨物_軽油,係数_バス貨物_メタノール,係数_バス貨物_LPG),MATCH(AY1432+1,【参考】排出係数!$AI$4:$AI$671,1)-1,5,BE1432),2,FALSE),IF(OR(AW1432=1,AW1432=2),VLOOKUP(AU1432,INDEX((係数_乗用_ガソリン,係数_乗用_CNG,係数_乗用_軽油,係数_乗用_メタノール,係数_乗用_LPG),1,1,BE1432):INDEX((係数_乗用_ガソリン,係数_乗用_CNG,係数_乗用_軽油,係数_乗用_メタノール,係数_乗用_LPG),125,5,BE1432),2,FALSE))))))</f>
        <v/>
      </c>
      <c r="BB1432" s="468" t="str">
        <f>IF(T1432="","",IF(OR(AU1432="",AU1432="-"),"－",IF(OR(AZ1432=8,AZ1432=9),"",IF(OR(AW1432=3,AW1432=4,AW1432=5,AW1432=6),VLOOKUP(AU1432,INDEX((係数_バス貨物_ガソリン,係数_バス貨物_CNG,係数_バス貨物_軽油,係数_バス貨物_メタノール,係数_バス貨物_LPG),MATCH(AY1432,【参考】排出係数!$AI$4:$AI$671,1),1,BE1432):INDEX((係数_バス貨物_ガソリン,係数_バス貨物_CNG,係数_バス貨物_軽油,係数_バス貨物_メタノール,係数_バス貨物_LPG),MATCH(AY1432+1,【参考】排出係数!$AI$4:$AI$671,1)-1,5,BE1432),3,FALSE),IF(OR(AW1432=1,AW1432=2),VLOOKUP(AU1432,INDEX((係数_乗用_ガソリン,係数_乗用_CNG,係数_乗用_軽油,係数_乗用_メタノール,係数_乗用_LPG),1,1,BE1432):INDEX((係数_乗用_ガソリン,係数_乗用_CNG,係数_乗用_軽油,係数_乗用_メタノール,係数_乗用_LPG),125,5,BE1432),3,FALSE))))))</f>
        <v/>
      </c>
      <c r="BC1432" s="467" t="str">
        <f t="shared" si="824"/>
        <v/>
      </c>
      <c r="BD1432" s="567" t="str">
        <f t="shared" si="825"/>
        <v/>
      </c>
      <c r="BE1432" s="467" t="str">
        <f t="shared" si="826"/>
        <v/>
      </c>
      <c r="BF1432" s="469" t="str">
        <f t="shared" ca="1" si="827"/>
        <v/>
      </c>
      <c r="BG1432" s="469" t="str">
        <f t="shared" ca="1" si="828"/>
        <v/>
      </c>
      <c r="BH1432" s="467" t="str">
        <f t="shared" si="829"/>
        <v/>
      </c>
      <c r="BI1432" s="467" t="str">
        <f t="shared" ca="1" si="830"/>
        <v/>
      </c>
      <c r="BJ1432" s="469" t="str">
        <f t="shared" si="831"/>
        <v/>
      </c>
      <c r="BK1432" s="470" t="str">
        <f t="shared" si="815"/>
        <v/>
      </c>
      <c r="BL1432" s="775" t="str">
        <f t="shared" si="832"/>
        <v/>
      </c>
      <c r="BM1432" s="775" t="str">
        <f t="shared" si="833"/>
        <v/>
      </c>
    </row>
    <row r="1433" spans="1:65">
      <c r="A1433" s="473">
        <v>1377</v>
      </c>
      <c r="B1433" s="132"/>
      <c r="C1433" s="332"/>
      <c r="D1433" s="333"/>
      <c r="E1433" s="333"/>
      <c r="F1433" s="334"/>
      <c r="G1433" s="337"/>
      <c r="H1433" s="131"/>
      <c r="I1433" s="337"/>
      <c r="J1433" s="131"/>
      <c r="K1433" s="458" t="str">
        <f t="shared" si="796"/>
        <v/>
      </c>
      <c r="L1433" s="458">
        <f t="shared" si="797"/>
        <v>0</v>
      </c>
      <c r="M1433" s="458">
        <f t="shared" si="798"/>
        <v>0</v>
      </c>
      <c r="N1433" s="459" t="str">
        <f t="shared" si="809"/>
        <v/>
      </c>
      <c r="O1433" s="459" t="str">
        <f t="shared" si="810"/>
        <v/>
      </c>
      <c r="P1433" s="459" t="str">
        <f t="shared" si="811"/>
        <v/>
      </c>
      <c r="Q1433" s="459" t="str">
        <f t="shared" si="812"/>
        <v/>
      </c>
      <c r="R1433" s="459" t="str">
        <f t="shared" si="813"/>
        <v/>
      </c>
      <c r="S1433" s="459" t="str">
        <f t="shared" si="814"/>
        <v/>
      </c>
      <c r="T1433" s="566" t="str">
        <f t="shared" si="799"/>
        <v/>
      </c>
      <c r="U1433" s="702"/>
      <c r="V1433" s="132"/>
      <c r="W1433" s="133"/>
      <c r="X1433" s="134"/>
      <c r="Y1433" s="135"/>
      <c r="Z1433" s="137"/>
      <c r="AA1433" s="136"/>
      <c r="AB1433" s="566" t="str">
        <f t="shared" si="800"/>
        <v/>
      </c>
      <c r="AC1433" s="568" t="str">
        <f t="shared" si="801"/>
        <v/>
      </c>
      <c r="AD1433" s="137"/>
      <c r="AE1433" s="137"/>
      <c r="AF1433" s="138"/>
      <c r="AG1433" s="138"/>
      <c r="AH1433" s="592" t="str">
        <f t="shared" si="802"/>
        <v/>
      </c>
      <c r="AI1433" s="592" t="str">
        <f t="shared" si="803"/>
        <v/>
      </c>
      <c r="AJ1433" s="592" t="str">
        <f t="shared" si="804"/>
        <v/>
      </c>
      <c r="AK1433" s="460" t="str">
        <f>IF(AU1433="","",IF(OR(AZ1433=8,AZ1433=9),0,IF(OR(AW1433=3,AW1433=4,AW1433=5,AW1433=6),IF(LEFT(BF1433,1)="1",INDEX(係数_NOX・PM低減,MATCH(AY1433,【参考】排出係数!$AI$801:$AI$804,1),1),VLOOKUP(AU1433,INDEX((係数_バス貨物_ガソリン,係数_バス貨物_CNG,係数_バス貨物_軽油,係数_バス貨物_メタノール,係数_バス貨物_LPG),MATCH(AY1433,【参考】排出係数!$AI$4:$AI$671,1),1,BE1433):INDEX((係数_バス貨物_ガソリン,係数_バス貨物_CNG,係数_バス貨物_軽油,係数_バス貨物_メタノール,係数_バス貨物_LPG),MATCH(AY1433+1,【参考】排出係数!$AI$4:$AI$671,1)-1,5,BE1433),4,FALSE)),IF(AND(BE1433=3,LEFT(BF1433,1)="1"),0.48,VLOOKUP(AU1433,INDEX((係数_乗用_ガソリン,係数_乗用_CNG,係数_乗用_軽油,係数_乗用_メタノール,係数_乗用_LPG),1,1,BE1433):INDEX((係数_乗用_ガソリン,係数_乗用_CNG,係数_乗用_軽油,係数_乗用_メタノール,係数_乗用_LPG),125,5,BE1433),4,FALSE)))))</f>
        <v/>
      </c>
      <c r="AL1433" s="461" t="str">
        <f t="shared" si="805"/>
        <v/>
      </c>
      <c r="AM1433" s="460" t="str">
        <f>IF(AU1433="","",IF(OR(AZ1433=8,AZ1433=9),0,IF(OR(AW1433=3,AW1433=4,AW1433=5,AW1433=6),IF(LEFT(BH1433,1)="1",INDEX(係数_PM低減,MATCH(AY1433,【参考】排出係数!$AI$801:$AI$804,1),MATCH(BI1433,【参考】排出係数!$AL$798:$AO$798,1)),VLOOKUP(AU1433,INDEX((係数_バス貨物_ガソリン,係数_バス貨物_CNG,係数_バス貨物_軽油,係数_バス貨物_メタノール,係数_バス貨物_LPG),MATCH(AY1433,【参考】排出係数!$AI$4:$AI$671,1),1,BE1433):INDEX((係数_バス貨物_ガソリン,係数_バス貨物_CNG,係数_バス貨物_軽油,係数_バス貨物_メタノール,係数_バス貨物_LPG),MATCH(AY1433+1,【参考】排出係数!$AI$4:$AI$671,1)-1,5,BE1433),5,FALSE)),IF(AND(BE1433=3,LEFT(BF1433,1)="1"),0.055,VLOOKUP(AU1433,INDEX((係数_乗用_ガソリン,係数_乗用_CNG,係数_乗用_軽油,係数_乗用_メタノール,係数_乗用_LPG),1,1,BE1433):INDEX((係数_乗用_ガソリン,係数_乗用_CNG,係数_乗用_軽油,係数_乗用_メタノール,係数_乗用_LPG),125,5,BE1433),5,FALSE)))))</f>
        <v/>
      </c>
      <c r="AN1433" s="461" t="str">
        <f t="shared" si="806"/>
        <v/>
      </c>
      <c r="AO1433" s="462" t="str">
        <f t="shared" si="807"/>
        <v/>
      </c>
      <c r="AP1433" s="463" t="str">
        <f t="shared" si="808"/>
        <v/>
      </c>
      <c r="AQ1433" s="464"/>
      <c r="AR1433" s="619"/>
      <c r="AS1433" s="465" t="str">
        <f t="shared" si="816"/>
        <v/>
      </c>
      <c r="AT1433" s="465" t="str">
        <f t="shared" si="817"/>
        <v/>
      </c>
      <c r="AU1433" s="466" t="str">
        <f t="shared" si="818"/>
        <v/>
      </c>
      <c r="AV1433" s="467" t="str">
        <f t="shared" si="819"/>
        <v/>
      </c>
      <c r="AW1433" s="467" t="str">
        <f t="shared" si="820"/>
        <v/>
      </c>
      <c r="AX1433" s="467" t="str">
        <f t="shared" si="821"/>
        <v/>
      </c>
      <c r="AY1433" s="467" t="str">
        <f t="shared" si="822"/>
        <v/>
      </c>
      <c r="AZ1433" s="467" t="str">
        <f t="shared" si="823"/>
        <v/>
      </c>
      <c r="BA1433" s="468" t="str">
        <f>IF(AS1433="","",IF(OR(AU1433="",AU1433="-"),"－",IF(OR(AZ1433=8,AZ1433=9),"",IF(OR(AW1433=3,AW1433=4,AW1433=5,AW1433=6),VLOOKUP(AU1433,INDEX((係数_バス貨物_ガソリン,係数_バス貨物_CNG,係数_バス貨物_軽油,係数_バス貨物_メタノール,係数_バス貨物_LPG),MATCH(AY1433,【参考】排出係数!$AI$4:$AI$671,1),1,BE1433):INDEX((係数_バス貨物_ガソリン,係数_バス貨物_CNG,係数_バス貨物_軽油,係数_バス貨物_メタノール,係数_バス貨物_LPG),MATCH(AY1433+1,【参考】排出係数!$AI$4:$AI$671,1)-1,5,BE1433),2,FALSE),IF(OR(AW1433=1,AW1433=2),VLOOKUP(AU1433,INDEX((係数_乗用_ガソリン,係数_乗用_CNG,係数_乗用_軽油,係数_乗用_メタノール,係数_乗用_LPG),1,1,BE1433):INDEX((係数_乗用_ガソリン,係数_乗用_CNG,係数_乗用_軽油,係数_乗用_メタノール,係数_乗用_LPG),125,5,BE1433),2,FALSE))))))</f>
        <v/>
      </c>
      <c r="BB1433" s="468" t="str">
        <f>IF(T1433="","",IF(OR(AU1433="",AU1433="-"),"－",IF(OR(AZ1433=8,AZ1433=9),"",IF(OR(AW1433=3,AW1433=4,AW1433=5,AW1433=6),VLOOKUP(AU1433,INDEX((係数_バス貨物_ガソリン,係数_バス貨物_CNG,係数_バス貨物_軽油,係数_バス貨物_メタノール,係数_バス貨物_LPG),MATCH(AY1433,【参考】排出係数!$AI$4:$AI$671,1),1,BE1433):INDEX((係数_バス貨物_ガソリン,係数_バス貨物_CNG,係数_バス貨物_軽油,係数_バス貨物_メタノール,係数_バス貨物_LPG),MATCH(AY1433+1,【参考】排出係数!$AI$4:$AI$671,1)-1,5,BE1433),3,FALSE),IF(OR(AW1433=1,AW1433=2),VLOOKUP(AU1433,INDEX((係数_乗用_ガソリン,係数_乗用_CNG,係数_乗用_軽油,係数_乗用_メタノール,係数_乗用_LPG),1,1,BE1433):INDEX((係数_乗用_ガソリン,係数_乗用_CNG,係数_乗用_軽油,係数_乗用_メタノール,係数_乗用_LPG),125,5,BE1433),3,FALSE))))))</f>
        <v/>
      </c>
      <c r="BC1433" s="467" t="str">
        <f t="shared" si="824"/>
        <v/>
      </c>
      <c r="BD1433" s="567" t="str">
        <f t="shared" si="825"/>
        <v/>
      </c>
      <c r="BE1433" s="467" t="str">
        <f t="shared" si="826"/>
        <v/>
      </c>
      <c r="BF1433" s="469" t="str">
        <f t="shared" ca="1" si="827"/>
        <v/>
      </c>
      <c r="BG1433" s="469" t="str">
        <f t="shared" ca="1" si="828"/>
        <v/>
      </c>
      <c r="BH1433" s="467" t="str">
        <f t="shared" si="829"/>
        <v/>
      </c>
      <c r="BI1433" s="467" t="str">
        <f t="shared" ca="1" si="830"/>
        <v/>
      </c>
      <c r="BJ1433" s="469" t="str">
        <f t="shared" si="831"/>
        <v/>
      </c>
      <c r="BK1433" s="470" t="str">
        <f t="shared" si="815"/>
        <v/>
      </c>
      <c r="BL1433" s="775" t="str">
        <f t="shared" si="832"/>
        <v/>
      </c>
      <c r="BM1433" s="775" t="str">
        <f t="shared" si="833"/>
        <v/>
      </c>
    </row>
    <row r="1434" spans="1:65">
      <c r="A1434" s="473">
        <v>1378</v>
      </c>
      <c r="B1434" s="132"/>
      <c r="C1434" s="332"/>
      <c r="D1434" s="333"/>
      <c r="E1434" s="333"/>
      <c r="F1434" s="334"/>
      <c r="G1434" s="337"/>
      <c r="H1434" s="131"/>
      <c r="I1434" s="337"/>
      <c r="J1434" s="131"/>
      <c r="K1434" s="458" t="str">
        <f t="shared" si="796"/>
        <v/>
      </c>
      <c r="L1434" s="458">
        <f t="shared" si="797"/>
        <v>0</v>
      </c>
      <c r="M1434" s="458">
        <f t="shared" si="798"/>
        <v>0</v>
      </c>
      <c r="N1434" s="459" t="str">
        <f t="shared" si="809"/>
        <v/>
      </c>
      <c r="O1434" s="459" t="str">
        <f t="shared" si="810"/>
        <v/>
      </c>
      <c r="P1434" s="459" t="str">
        <f t="shared" si="811"/>
        <v/>
      </c>
      <c r="Q1434" s="459" t="str">
        <f t="shared" si="812"/>
        <v/>
      </c>
      <c r="R1434" s="459" t="str">
        <f t="shared" si="813"/>
        <v/>
      </c>
      <c r="S1434" s="459" t="str">
        <f t="shared" si="814"/>
        <v/>
      </c>
      <c r="T1434" s="566" t="str">
        <f t="shared" si="799"/>
        <v/>
      </c>
      <c r="U1434" s="702"/>
      <c r="V1434" s="132"/>
      <c r="W1434" s="133"/>
      <c r="X1434" s="134"/>
      <c r="Y1434" s="135"/>
      <c r="Z1434" s="137"/>
      <c r="AA1434" s="136"/>
      <c r="AB1434" s="566" t="str">
        <f t="shared" si="800"/>
        <v/>
      </c>
      <c r="AC1434" s="568" t="str">
        <f t="shared" si="801"/>
        <v/>
      </c>
      <c r="AD1434" s="137"/>
      <c r="AE1434" s="137"/>
      <c r="AF1434" s="138"/>
      <c r="AG1434" s="138"/>
      <c r="AH1434" s="592" t="str">
        <f t="shared" si="802"/>
        <v/>
      </c>
      <c r="AI1434" s="592" t="str">
        <f t="shared" si="803"/>
        <v/>
      </c>
      <c r="AJ1434" s="592" t="str">
        <f t="shared" si="804"/>
        <v/>
      </c>
      <c r="AK1434" s="460" t="str">
        <f>IF(AU1434="","",IF(OR(AZ1434=8,AZ1434=9),0,IF(OR(AW1434=3,AW1434=4,AW1434=5,AW1434=6),IF(LEFT(BF1434,1)="1",INDEX(係数_NOX・PM低減,MATCH(AY1434,【参考】排出係数!$AI$801:$AI$804,1),1),VLOOKUP(AU1434,INDEX((係数_バス貨物_ガソリン,係数_バス貨物_CNG,係数_バス貨物_軽油,係数_バス貨物_メタノール,係数_バス貨物_LPG),MATCH(AY1434,【参考】排出係数!$AI$4:$AI$671,1),1,BE1434):INDEX((係数_バス貨物_ガソリン,係数_バス貨物_CNG,係数_バス貨物_軽油,係数_バス貨物_メタノール,係数_バス貨物_LPG),MATCH(AY1434+1,【参考】排出係数!$AI$4:$AI$671,1)-1,5,BE1434),4,FALSE)),IF(AND(BE1434=3,LEFT(BF1434,1)="1"),0.48,VLOOKUP(AU1434,INDEX((係数_乗用_ガソリン,係数_乗用_CNG,係数_乗用_軽油,係数_乗用_メタノール,係数_乗用_LPG),1,1,BE1434):INDEX((係数_乗用_ガソリン,係数_乗用_CNG,係数_乗用_軽油,係数_乗用_メタノール,係数_乗用_LPG),125,5,BE1434),4,FALSE)))))</f>
        <v/>
      </c>
      <c r="AL1434" s="461" t="str">
        <f t="shared" si="805"/>
        <v/>
      </c>
      <c r="AM1434" s="460" t="str">
        <f>IF(AU1434="","",IF(OR(AZ1434=8,AZ1434=9),0,IF(OR(AW1434=3,AW1434=4,AW1434=5,AW1434=6),IF(LEFT(BH1434,1)="1",INDEX(係数_PM低減,MATCH(AY1434,【参考】排出係数!$AI$801:$AI$804,1),MATCH(BI1434,【参考】排出係数!$AL$798:$AO$798,1)),VLOOKUP(AU1434,INDEX((係数_バス貨物_ガソリン,係数_バス貨物_CNG,係数_バス貨物_軽油,係数_バス貨物_メタノール,係数_バス貨物_LPG),MATCH(AY1434,【参考】排出係数!$AI$4:$AI$671,1),1,BE1434):INDEX((係数_バス貨物_ガソリン,係数_バス貨物_CNG,係数_バス貨物_軽油,係数_バス貨物_メタノール,係数_バス貨物_LPG),MATCH(AY1434+1,【参考】排出係数!$AI$4:$AI$671,1)-1,5,BE1434),5,FALSE)),IF(AND(BE1434=3,LEFT(BF1434,1)="1"),0.055,VLOOKUP(AU1434,INDEX((係数_乗用_ガソリン,係数_乗用_CNG,係数_乗用_軽油,係数_乗用_メタノール,係数_乗用_LPG),1,1,BE1434):INDEX((係数_乗用_ガソリン,係数_乗用_CNG,係数_乗用_軽油,係数_乗用_メタノール,係数_乗用_LPG),125,5,BE1434),5,FALSE)))))</f>
        <v/>
      </c>
      <c r="AN1434" s="461" t="str">
        <f t="shared" si="806"/>
        <v/>
      </c>
      <c r="AO1434" s="462" t="str">
        <f t="shared" si="807"/>
        <v/>
      </c>
      <c r="AP1434" s="463" t="str">
        <f t="shared" si="808"/>
        <v/>
      </c>
      <c r="AQ1434" s="464"/>
      <c r="AR1434" s="619"/>
      <c r="AS1434" s="465" t="str">
        <f t="shared" si="816"/>
        <v/>
      </c>
      <c r="AT1434" s="465" t="str">
        <f t="shared" si="817"/>
        <v/>
      </c>
      <c r="AU1434" s="466" t="str">
        <f t="shared" si="818"/>
        <v/>
      </c>
      <c r="AV1434" s="467" t="str">
        <f t="shared" si="819"/>
        <v/>
      </c>
      <c r="AW1434" s="467" t="str">
        <f t="shared" si="820"/>
        <v/>
      </c>
      <c r="AX1434" s="467" t="str">
        <f t="shared" si="821"/>
        <v/>
      </c>
      <c r="AY1434" s="467" t="str">
        <f t="shared" si="822"/>
        <v/>
      </c>
      <c r="AZ1434" s="467" t="str">
        <f t="shared" si="823"/>
        <v/>
      </c>
      <c r="BA1434" s="468" t="str">
        <f>IF(AS1434="","",IF(OR(AU1434="",AU1434="-"),"－",IF(OR(AZ1434=8,AZ1434=9),"",IF(OR(AW1434=3,AW1434=4,AW1434=5,AW1434=6),VLOOKUP(AU1434,INDEX((係数_バス貨物_ガソリン,係数_バス貨物_CNG,係数_バス貨物_軽油,係数_バス貨物_メタノール,係数_バス貨物_LPG),MATCH(AY1434,【参考】排出係数!$AI$4:$AI$671,1),1,BE1434):INDEX((係数_バス貨物_ガソリン,係数_バス貨物_CNG,係数_バス貨物_軽油,係数_バス貨物_メタノール,係数_バス貨物_LPG),MATCH(AY1434+1,【参考】排出係数!$AI$4:$AI$671,1)-1,5,BE1434),2,FALSE),IF(OR(AW1434=1,AW1434=2),VLOOKUP(AU1434,INDEX((係数_乗用_ガソリン,係数_乗用_CNG,係数_乗用_軽油,係数_乗用_メタノール,係数_乗用_LPG),1,1,BE1434):INDEX((係数_乗用_ガソリン,係数_乗用_CNG,係数_乗用_軽油,係数_乗用_メタノール,係数_乗用_LPG),125,5,BE1434),2,FALSE))))))</f>
        <v/>
      </c>
      <c r="BB1434" s="468" t="str">
        <f>IF(T1434="","",IF(OR(AU1434="",AU1434="-"),"－",IF(OR(AZ1434=8,AZ1434=9),"",IF(OR(AW1434=3,AW1434=4,AW1434=5,AW1434=6),VLOOKUP(AU1434,INDEX((係数_バス貨物_ガソリン,係数_バス貨物_CNG,係数_バス貨物_軽油,係数_バス貨物_メタノール,係数_バス貨物_LPG),MATCH(AY1434,【参考】排出係数!$AI$4:$AI$671,1),1,BE1434):INDEX((係数_バス貨物_ガソリン,係数_バス貨物_CNG,係数_バス貨物_軽油,係数_バス貨物_メタノール,係数_バス貨物_LPG),MATCH(AY1434+1,【参考】排出係数!$AI$4:$AI$671,1)-1,5,BE1434),3,FALSE),IF(OR(AW1434=1,AW1434=2),VLOOKUP(AU1434,INDEX((係数_乗用_ガソリン,係数_乗用_CNG,係数_乗用_軽油,係数_乗用_メタノール,係数_乗用_LPG),1,1,BE1434):INDEX((係数_乗用_ガソリン,係数_乗用_CNG,係数_乗用_軽油,係数_乗用_メタノール,係数_乗用_LPG),125,5,BE1434),3,FALSE))))))</f>
        <v/>
      </c>
      <c r="BC1434" s="467" t="str">
        <f t="shared" si="824"/>
        <v/>
      </c>
      <c r="BD1434" s="567" t="str">
        <f t="shared" si="825"/>
        <v/>
      </c>
      <c r="BE1434" s="467" t="str">
        <f t="shared" si="826"/>
        <v/>
      </c>
      <c r="BF1434" s="469" t="str">
        <f t="shared" ca="1" si="827"/>
        <v/>
      </c>
      <c r="BG1434" s="469" t="str">
        <f t="shared" ca="1" si="828"/>
        <v/>
      </c>
      <c r="BH1434" s="467" t="str">
        <f t="shared" si="829"/>
        <v/>
      </c>
      <c r="BI1434" s="467" t="str">
        <f t="shared" ca="1" si="830"/>
        <v/>
      </c>
      <c r="BJ1434" s="469" t="str">
        <f t="shared" si="831"/>
        <v/>
      </c>
      <c r="BK1434" s="470" t="str">
        <f t="shared" si="815"/>
        <v/>
      </c>
      <c r="BL1434" s="775" t="str">
        <f t="shared" si="832"/>
        <v/>
      </c>
      <c r="BM1434" s="775" t="str">
        <f t="shared" si="833"/>
        <v/>
      </c>
    </row>
    <row r="1435" spans="1:65">
      <c r="A1435" s="473">
        <v>1379</v>
      </c>
      <c r="B1435" s="132"/>
      <c r="C1435" s="332"/>
      <c r="D1435" s="333"/>
      <c r="E1435" s="333"/>
      <c r="F1435" s="334"/>
      <c r="G1435" s="337"/>
      <c r="H1435" s="131"/>
      <c r="I1435" s="337"/>
      <c r="J1435" s="131"/>
      <c r="K1435" s="458" t="str">
        <f t="shared" si="796"/>
        <v/>
      </c>
      <c r="L1435" s="458">
        <f t="shared" si="797"/>
        <v>0</v>
      </c>
      <c r="M1435" s="458">
        <f t="shared" si="798"/>
        <v>0</v>
      </c>
      <c r="N1435" s="459" t="str">
        <f t="shared" si="809"/>
        <v/>
      </c>
      <c r="O1435" s="459" t="str">
        <f t="shared" si="810"/>
        <v/>
      </c>
      <c r="P1435" s="459" t="str">
        <f t="shared" si="811"/>
        <v/>
      </c>
      <c r="Q1435" s="459" t="str">
        <f t="shared" si="812"/>
        <v/>
      </c>
      <c r="R1435" s="459" t="str">
        <f t="shared" si="813"/>
        <v/>
      </c>
      <c r="S1435" s="459" t="str">
        <f t="shared" si="814"/>
        <v/>
      </c>
      <c r="T1435" s="566" t="str">
        <f t="shared" si="799"/>
        <v/>
      </c>
      <c r="U1435" s="702"/>
      <c r="V1435" s="132"/>
      <c r="W1435" s="133"/>
      <c r="X1435" s="134"/>
      <c r="Y1435" s="135"/>
      <c r="Z1435" s="137"/>
      <c r="AA1435" s="136"/>
      <c r="AB1435" s="566" t="str">
        <f t="shared" si="800"/>
        <v/>
      </c>
      <c r="AC1435" s="568" t="str">
        <f t="shared" si="801"/>
        <v/>
      </c>
      <c r="AD1435" s="137"/>
      <c r="AE1435" s="137"/>
      <c r="AF1435" s="138"/>
      <c r="AG1435" s="138"/>
      <c r="AH1435" s="592" t="str">
        <f t="shared" si="802"/>
        <v/>
      </c>
      <c r="AI1435" s="592" t="str">
        <f t="shared" si="803"/>
        <v/>
      </c>
      <c r="AJ1435" s="592" t="str">
        <f t="shared" si="804"/>
        <v/>
      </c>
      <c r="AK1435" s="460" t="str">
        <f>IF(AU1435="","",IF(OR(AZ1435=8,AZ1435=9),0,IF(OR(AW1435=3,AW1435=4,AW1435=5,AW1435=6),IF(LEFT(BF1435,1)="1",INDEX(係数_NOX・PM低減,MATCH(AY1435,【参考】排出係数!$AI$801:$AI$804,1),1),VLOOKUP(AU1435,INDEX((係数_バス貨物_ガソリン,係数_バス貨物_CNG,係数_バス貨物_軽油,係数_バス貨物_メタノール,係数_バス貨物_LPG),MATCH(AY1435,【参考】排出係数!$AI$4:$AI$671,1),1,BE1435):INDEX((係数_バス貨物_ガソリン,係数_バス貨物_CNG,係数_バス貨物_軽油,係数_バス貨物_メタノール,係数_バス貨物_LPG),MATCH(AY1435+1,【参考】排出係数!$AI$4:$AI$671,1)-1,5,BE1435),4,FALSE)),IF(AND(BE1435=3,LEFT(BF1435,1)="1"),0.48,VLOOKUP(AU1435,INDEX((係数_乗用_ガソリン,係数_乗用_CNG,係数_乗用_軽油,係数_乗用_メタノール,係数_乗用_LPG),1,1,BE1435):INDEX((係数_乗用_ガソリン,係数_乗用_CNG,係数_乗用_軽油,係数_乗用_メタノール,係数_乗用_LPG),125,5,BE1435),4,FALSE)))))</f>
        <v/>
      </c>
      <c r="AL1435" s="461" t="str">
        <f t="shared" si="805"/>
        <v/>
      </c>
      <c r="AM1435" s="460" t="str">
        <f>IF(AU1435="","",IF(OR(AZ1435=8,AZ1435=9),0,IF(OR(AW1435=3,AW1435=4,AW1435=5,AW1435=6),IF(LEFT(BH1435,1)="1",INDEX(係数_PM低減,MATCH(AY1435,【参考】排出係数!$AI$801:$AI$804,1),MATCH(BI1435,【参考】排出係数!$AL$798:$AO$798,1)),VLOOKUP(AU1435,INDEX((係数_バス貨物_ガソリン,係数_バス貨物_CNG,係数_バス貨物_軽油,係数_バス貨物_メタノール,係数_バス貨物_LPG),MATCH(AY1435,【参考】排出係数!$AI$4:$AI$671,1),1,BE1435):INDEX((係数_バス貨物_ガソリン,係数_バス貨物_CNG,係数_バス貨物_軽油,係数_バス貨物_メタノール,係数_バス貨物_LPG),MATCH(AY1435+1,【参考】排出係数!$AI$4:$AI$671,1)-1,5,BE1435),5,FALSE)),IF(AND(BE1435=3,LEFT(BF1435,1)="1"),0.055,VLOOKUP(AU1435,INDEX((係数_乗用_ガソリン,係数_乗用_CNG,係数_乗用_軽油,係数_乗用_メタノール,係数_乗用_LPG),1,1,BE1435):INDEX((係数_乗用_ガソリン,係数_乗用_CNG,係数_乗用_軽油,係数_乗用_メタノール,係数_乗用_LPG),125,5,BE1435),5,FALSE)))))</f>
        <v/>
      </c>
      <c r="AN1435" s="461" t="str">
        <f t="shared" si="806"/>
        <v/>
      </c>
      <c r="AO1435" s="462" t="str">
        <f t="shared" si="807"/>
        <v/>
      </c>
      <c r="AP1435" s="463" t="str">
        <f t="shared" si="808"/>
        <v/>
      </c>
      <c r="AQ1435" s="464"/>
      <c r="AR1435" s="619"/>
      <c r="AS1435" s="465" t="str">
        <f t="shared" si="816"/>
        <v/>
      </c>
      <c r="AT1435" s="465" t="str">
        <f t="shared" si="817"/>
        <v/>
      </c>
      <c r="AU1435" s="466" t="str">
        <f t="shared" si="818"/>
        <v/>
      </c>
      <c r="AV1435" s="467" t="str">
        <f t="shared" si="819"/>
        <v/>
      </c>
      <c r="AW1435" s="467" t="str">
        <f t="shared" si="820"/>
        <v/>
      </c>
      <c r="AX1435" s="467" t="str">
        <f t="shared" si="821"/>
        <v/>
      </c>
      <c r="AY1435" s="467" t="str">
        <f t="shared" si="822"/>
        <v/>
      </c>
      <c r="AZ1435" s="467" t="str">
        <f t="shared" si="823"/>
        <v/>
      </c>
      <c r="BA1435" s="468" t="str">
        <f>IF(AS1435="","",IF(OR(AU1435="",AU1435="-"),"－",IF(OR(AZ1435=8,AZ1435=9),"",IF(OR(AW1435=3,AW1435=4,AW1435=5,AW1435=6),VLOOKUP(AU1435,INDEX((係数_バス貨物_ガソリン,係数_バス貨物_CNG,係数_バス貨物_軽油,係数_バス貨物_メタノール,係数_バス貨物_LPG),MATCH(AY1435,【参考】排出係数!$AI$4:$AI$671,1),1,BE1435):INDEX((係数_バス貨物_ガソリン,係数_バス貨物_CNG,係数_バス貨物_軽油,係数_バス貨物_メタノール,係数_バス貨物_LPG),MATCH(AY1435+1,【参考】排出係数!$AI$4:$AI$671,1)-1,5,BE1435),2,FALSE),IF(OR(AW1435=1,AW1435=2),VLOOKUP(AU1435,INDEX((係数_乗用_ガソリン,係数_乗用_CNG,係数_乗用_軽油,係数_乗用_メタノール,係数_乗用_LPG),1,1,BE1435):INDEX((係数_乗用_ガソリン,係数_乗用_CNG,係数_乗用_軽油,係数_乗用_メタノール,係数_乗用_LPG),125,5,BE1435),2,FALSE))))))</f>
        <v/>
      </c>
      <c r="BB1435" s="468" t="str">
        <f>IF(T1435="","",IF(OR(AU1435="",AU1435="-"),"－",IF(OR(AZ1435=8,AZ1435=9),"",IF(OR(AW1435=3,AW1435=4,AW1435=5,AW1435=6),VLOOKUP(AU1435,INDEX((係数_バス貨物_ガソリン,係数_バス貨物_CNG,係数_バス貨物_軽油,係数_バス貨物_メタノール,係数_バス貨物_LPG),MATCH(AY1435,【参考】排出係数!$AI$4:$AI$671,1),1,BE1435):INDEX((係数_バス貨物_ガソリン,係数_バス貨物_CNG,係数_バス貨物_軽油,係数_バス貨物_メタノール,係数_バス貨物_LPG),MATCH(AY1435+1,【参考】排出係数!$AI$4:$AI$671,1)-1,5,BE1435),3,FALSE),IF(OR(AW1435=1,AW1435=2),VLOOKUP(AU1435,INDEX((係数_乗用_ガソリン,係数_乗用_CNG,係数_乗用_軽油,係数_乗用_メタノール,係数_乗用_LPG),1,1,BE1435):INDEX((係数_乗用_ガソリン,係数_乗用_CNG,係数_乗用_軽油,係数_乗用_メタノール,係数_乗用_LPG),125,5,BE1435),3,FALSE))))))</f>
        <v/>
      </c>
      <c r="BC1435" s="467" t="str">
        <f t="shared" si="824"/>
        <v/>
      </c>
      <c r="BD1435" s="567" t="str">
        <f t="shared" si="825"/>
        <v/>
      </c>
      <c r="BE1435" s="467" t="str">
        <f t="shared" si="826"/>
        <v/>
      </c>
      <c r="BF1435" s="469" t="str">
        <f t="shared" ca="1" si="827"/>
        <v/>
      </c>
      <c r="BG1435" s="469" t="str">
        <f t="shared" ca="1" si="828"/>
        <v/>
      </c>
      <c r="BH1435" s="467" t="str">
        <f t="shared" si="829"/>
        <v/>
      </c>
      <c r="BI1435" s="467" t="str">
        <f t="shared" ca="1" si="830"/>
        <v/>
      </c>
      <c r="BJ1435" s="469" t="str">
        <f t="shared" si="831"/>
        <v/>
      </c>
      <c r="BK1435" s="470" t="str">
        <f t="shared" si="815"/>
        <v/>
      </c>
      <c r="BL1435" s="775" t="str">
        <f t="shared" si="832"/>
        <v/>
      </c>
      <c r="BM1435" s="775" t="str">
        <f t="shared" si="833"/>
        <v/>
      </c>
    </row>
    <row r="1436" spans="1:65">
      <c r="A1436" s="473">
        <v>1380</v>
      </c>
      <c r="B1436" s="132"/>
      <c r="C1436" s="332"/>
      <c r="D1436" s="333"/>
      <c r="E1436" s="333"/>
      <c r="F1436" s="334"/>
      <c r="G1436" s="337"/>
      <c r="H1436" s="131"/>
      <c r="I1436" s="337"/>
      <c r="J1436" s="131"/>
      <c r="K1436" s="458" t="str">
        <f t="shared" si="796"/>
        <v/>
      </c>
      <c r="L1436" s="458">
        <f t="shared" si="797"/>
        <v>0</v>
      </c>
      <c r="M1436" s="458">
        <f t="shared" si="798"/>
        <v>0</v>
      </c>
      <c r="N1436" s="459" t="str">
        <f t="shared" si="809"/>
        <v/>
      </c>
      <c r="O1436" s="459" t="str">
        <f t="shared" si="810"/>
        <v/>
      </c>
      <c r="P1436" s="459" t="str">
        <f t="shared" si="811"/>
        <v/>
      </c>
      <c r="Q1436" s="459" t="str">
        <f t="shared" si="812"/>
        <v/>
      </c>
      <c r="R1436" s="459" t="str">
        <f t="shared" si="813"/>
        <v/>
      </c>
      <c r="S1436" s="459" t="str">
        <f t="shared" si="814"/>
        <v/>
      </c>
      <c r="T1436" s="566" t="str">
        <f t="shared" si="799"/>
        <v/>
      </c>
      <c r="U1436" s="702"/>
      <c r="V1436" s="132"/>
      <c r="W1436" s="133"/>
      <c r="X1436" s="134"/>
      <c r="Y1436" s="135"/>
      <c r="Z1436" s="137"/>
      <c r="AA1436" s="136"/>
      <c r="AB1436" s="566" t="str">
        <f t="shared" si="800"/>
        <v/>
      </c>
      <c r="AC1436" s="568" t="str">
        <f t="shared" si="801"/>
        <v/>
      </c>
      <c r="AD1436" s="137"/>
      <c r="AE1436" s="137"/>
      <c r="AF1436" s="138"/>
      <c r="AG1436" s="138"/>
      <c r="AH1436" s="592" t="str">
        <f t="shared" si="802"/>
        <v/>
      </c>
      <c r="AI1436" s="592" t="str">
        <f t="shared" si="803"/>
        <v/>
      </c>
      <c r="AJ1436" s="592" t="str">
        <f t="shared" si="804"/>
        <v/>
      </c>
      <c r="AK1436" s="460" t="str">
        <f>IF(AU1436="","",IF(OR(AZ1436=8,AZ1436=9),0,IF(OR(AW1436=3,AW1436=4,AW1436=5,AW1436=6),IF(LEFT(BF1436,1)="1",INDEX(係数_NOX・PM低減,MATCH(AY1436,【参考】排出係数!$AI$801:$AI$804,1),1),VLOOKUP(AU1436,INDEX((係数_バス貨物_ガソリン,係数_バス貨物_CNG,係数_バス貨物_軽油,係数_バス貨物_メタノール,係数_バス貨物_LPG),MATCH(AY1436,【参考】排出係数!$AI$4:$AI$671,1),1,BE1436):INDEX((係数_バス貨物_ガソリン,係数_バス貨物_CNG,係数_バス貨物_軽油,係数_バス貨物_メタノール,係数_バス貨物_LPG),MATCH(AY1436+1,【参考】排出係数!$AI$4:$AI$671,1)-1,5,BE1436),4,FALSE)),IF(AND(BE1436=3,LEFT(BF1436,1)="1"),0.48,VLOOKUP(AU1436,INDEX((係数_乗用_ガソリン,係数_乗用_CNG,係数_乗用_軽油,係数_乗用_メタノール,係数_乗用_LPG),1,1,BE1436):INDEX((係数_乗用_ガソリン,係数_乗用_CNG,係数_乗用_軽油,係数_乗用_メタノール,係数_乗用_LPG),125,5,BE1436),4,FALSE)))))</f>
        <v/>
      </c>
      <c r="AL1436" s="461" t="str">
        <f t="shared" si="805"/>
        <v/>
      </c>
      <c r="AM1436" s="460" t="str">
        <f>IF(AU1436="","",IF(OR(AZ1436=8,AZ1436=9),0,IF(OR(AW1436=3,AW1436=4,AW1436=5,AW1436=6),IF(LEFT(BH1436,1)="1",INDEX(係数_PM低減,MATCH(AY1436,【参考】排出係数!$AI$801:$AI$804,1),MATCH(BI1436,【参考】排出係数!$AL$798:$AO$798,1)),VLOOKUP(AU1436,INDEX((係数_バス貨物_ガソリン,係数_バス貨物_CNG,係数_バス貨物_軽油,係数_バス貨物_メタノール,係数_バス貨物_LPG),MATCH(AY1436,【参考】排出係数!$AI$4:$AI$671,1),1,BE1436):INDEX((係数_バス貨物_ガソリン,係数_バス貨物_CNG,係数_バス貨物_軽油,係数_バス貨物_メタノール,係数_バス貨物_LPG),MATCH(AY1436+1,【参考】排出係数!$AI$4:$AI$671,1)-1,5,BE1436),5,FALSE)),IF(AND(BE1436=3,LEFT(BF1436,1)="1"),0.055,VLOOKUP(AU1436,INDEX((係数_乗用_ガソリン,係数_乗用_CNG,係数_乗用_軽油,係数_乗用_メタノール,係数_乗用_LPG),1,1,BE1436):INDEX((係数_乗用_ガソリン,係数_乗用_CNG,係数_乗用_軽油,係数_乗用_メタノール,係数_乗用_LPG),125,5,BE1436),5,FALSE)))))</f>
        <v/>
      </c>
      <c r="AN1436" s="461" t="str">
        <f t="shared" si="806"/>
        <v/>
      </c>
      <c r="AO1436" s="462" t="str">
        <f t="shared" si="807"/>
        <v/>
      </c>
      <c r="AP1436" s="463" t="str">
        <f t="shared" si="808"/>
        <v/>
      </c>
      <c r="AQ1436" s="464"/>
      <c r="AR1436" s="619"/>
      <c r="AS1436" s="465" t="str">
        <f t="shared" si="816"/>
        <v/>
      </c>
      <c r="AT1436" s="465" t="str">
        <f t="shared" si="817"/>
        <v/>
      </c>
      <c r="AU1436" s="466" t="str">
        <f t="shared" si="818"/>
        <v/>
      </c>
      <c r="AV1436" s="467" t="str">
        <f t="shared" si="819"/>
        <v/>
      </c>
      <c r="AW1436" s="467" t="str">
        <f t="shared" si="820"/>
        <v/>
      </c>
      <c r="AX1436" s="467" t="str">
        <f t="shared" si="821"/>
        <v/>
      </c>
      <c r="AY1436" s="467" t="str">
        <f t="shared" si="822"/>
        <v/>
      </c>
      <c r="AZ1436" s="467" t="str">
        <f t="shared" si="823"/>
        <v/>
      </c>
      <c r="BA1436" s="468" t="str">
        <f>IF(AS1436="","",IF(OR(AU1436="",AU1436="-"),"－",IF(OR(AZ1436=8,AZ1436=9),"",IF(OR(AW1436=3,AW1436=4,AW1436=5,AW1436=6),VLOOKUP(AU1436,INDEX((係数_バス貨物_ガソリン,係数_バス貨物_CNG,係数_バス貨物_軽油,係数_バス貨物_メタノール,係数_バス貨物_LPG),MATCH(AY1436,【参考】排出係数!$AI$4:$AI$671,1),1,BE1436):INDEX((係数_バス貨物_ガソリン,係数_バス貨物_CNG,係数_バス貨物_軽油,係数_バス貨物_メタノール,係数_バス貨物_LPG),MATCH(AY1436+1,【参考】排出係数!$AI$4:$AI$671,1)-1,5,BE1436),2,FALSE),IF(OR(AW1436=1,AW1436=2),VLOOKUP(AU1436,INDEX((係数_乗用_ガソリン,係数_乗用_CNG,係数_乗用_軽油,係数_乗用_メタノール,係数_乗用_LPG),1,1,BE1436):INDEX((係数_乗用_ガソリン,係数_乗用_CNG,係数_乗用_軽油,係数_乗用_メタノール,係数_乗用_LPG),125,5,BE1436),2,FALSE))))))</f>
        <v/>
      </c>
      <c r="BB1436" s="468" t="str">
        <f>IF(T1436="","",IF(OR(AU1436="",AU1436="-"),"－",IF(OR(AZ1436=8,AZ1436=9),"",IF(OR(AW1436=3,AW1436=4,AW1436=5,AW1436=6),VLOOKUP(AU1436,INDEX((係数_バス貨物_ガソリン,係数_バス貨物_CNG,係数_バス貨物_軽油,係数_バス貨物_メタノール,係数_バス貨物_LPG),MATCH(AY1436,【参考】排出係数!$AI$4:$AI$671,1),1,BE1436):INDEX((係数_バス貨物_ガソリン,係数_バス貨物_CNG,係数_バス貨物_軽油,係数_バス貨物_メタノール,係数_バス貨物_LPG),MATCH(AY1436+1,【参考】排出係数!$AI$4:$AI$671,1)-1,5,BE1436),3,FALSE),IF(OR(AW1436=1,AW1436=2),VLOOKUP(AU1436,INDEX((係数_乗用_ガソリン,係数_乗用_CNG,係数_乗用_軽油,係数_乗用_メタノール,係数_乗用_LPG),1,1,BE1436):INDEX((係数_乗用_ガソリン,係数_乗用_CNG,係数_乗用_軽油,係数_乗用_メタノール,係数_乗用_LPG),125,5,BE1436),3,FALSE))))))</f>
        <v/>
      </c>
      <c r="BC1436" s="467" t="str">
        <f t="shared" si="824"/>
        <v/>
      </c>
      <c r="BD1436" s="567" t="str">
        <f t="shared" si="825"/>
        <v/>
      </c>
      <c r="BE1436" s="467" t="str">
        <f t="shared" si="826"/>
        <v/>
      </c>
      <c r="BF1436" s="469" t="str">
        <f t="shared" ca="1" si="827"/>
        <v/>
      </c>
      <c r="BG1436" s="469" t="str">
        <f t="shared" ca="1" si="828"/>
        <v/>
      </c>
      <c r="BH1436" s="467" t="str">
        <f t="shared" si="829"/>
        <v/>
      </c>
      <c r="BI1436" s="467" t="str">
        <f t="shared" ca="1" si="830"/>
        <v/>
      </c>
      <c r="BJ1436" s="469" t="str">
        <f t="shared" si="831"/>
        <v/>
      </c>
      <c r="BK1436" s="470" t="str">
        <f t="shared" si="815"/>
        <v/>
      </c>
      <c r="BL1436" s="775" t="str">
        <f t="shared" si="832"/>
        <v/>
      </c>
      <c r="BM1436" s="775" t="str">
        <f t="shared" si="833"/>
        <v/>
      </c>
    </row>
    <row r="1437" spans="1:65">
      <c r="A1437" s="473">
        <v>1381</v>
      </c>
      <c r="B1437" s="132"/>
      <c r="C1437" s="332"/>
      <c r="D1437" s="333"/>
      <c r="E1437" s="333"/>
      <c r="F1437" s="334"/>
      <c r="G1437" s="337"/>
      <c r="H1437" s="131"/>
      <c r="I1437" s="337"/>
      <c r="J1437" s="131"/>
      <c r="K1437" s="458" t="str">
        <f t="shared" si="796"/>
        <v/>
      </c>
      <c r="L1437" s="458">
        <f t="shared" si="797"/>
        <v>0</v>
      </c>
      <c r="M1437" s="458">
        <f t="shared" si="798"/>
        <v>0</v>
      </c>
      <c r="N1437" s="459" t="str">
        <f t="shared" si="809"/>
        <v/>
      </c>
      <c r="O1437" s="459" t="str">
        <f t="shared" si="810"/>
        <v/>
      </c>
      <c r="P1437" s="459" t="str">
        <f t="shared" si="811"/>
        <v/>
      </c>
      <c r="Q1437" s="459" t="str">
        <f t="shared" si="812"/>
        <v/>
      </c>
      <c r="R1437" s="459" t="str">
        <f t="shared" si="813"/>
        <v/>
      </c>
      <c r="S1437" s="459" t="str">
        <f t="shared" si="814"/>
        <v/>
      </c>
      <c r="T1437" s="566" t="str">
        <f t="shared" si="799"/>
        <v/>
      </c>
      <c r="U1437" s="702"/>
      <c r="V1437" s="132"/>
      <c r="W1437" s="133"/>
      <c r="X1437" s="134"/>
      <c r="Y1437" s="135"/>
      <c r="Z1437" s="137"/>
      <c r="AA1437" s="136"/>
      <c r="AB1437" s="566" t="str">
        <f t="shared" si="800"/>
        <v/>
      </c>
      <c r="AC1437" s="568" t="str">
        <f t="shared" si="801"/>
        <v/>
      </c>
      <c r="AD1437" s="137"/>
      <c r="AE1437" s="137"/>
      <c r="AF1437" s="138"/>
      <c r="AG1437" s="138"/>
      <c r="AH1437" s="592" t="str">
        <f t="shared" si="802"/>
        <v/>
      </c>
      <c r="AI1437" s="592" t="str">
        <f t="shared" si="803"/>
        <v/>
      </c>
      <c r="AJ1437" s="592" t="str">
        <f t="shared" si="804"/>
        <v/>
      </c>
      <c r="AK1437" s="460" t="str">
        <f>IF(AU1437="","",IF(OR(AZ1437=8,AZ1437=9),0,IF(OR(AW1437=3,AW1437=4,AW1437=5,AW1437=6),IF(LEFT(BF1437,1)="1",INDEX(係数_NOX・PM低減,MATCH(AY1437,【参考】排出係数!$AI$801:$AI$804,1),1),VLOOKUP(AU1437,INDEX((係数_バス貨物_ガソリン,係数_バス貨物_CNG,係数_バス貨物_軽油,係数_バス貨物_メタノール,係数_バス貨物_LPG),MATCH(AY1437,【参考】排出係数!$AI$4:$AI$671,1),1,BE1437):INDEX((係数_バス貨物_ガソリン,係数_バス貨物_CNG,係数_バス貨物_軽油,係数_バス貨物_メタノール,係数_バス貨物_LPG),MATCH(AY1437+1,【参考】排出係数!$AI$4:$AI$671,1)-1,5,BE1437),4,FALSE)),IF(AND(BE1437=3,LEFT(BF1437,1)="1"),0.48,VLOOKUP(AU1437,INDEX((係数_乗用_ガソリン,係数_乗用_CNG,係数_乗用_軽油,係数_乗用_メタノール,係数_乗用_LPG),1,1,BE1437):INDEX((係数_乗用_ガソリン,係数_乗用_CNG,係数_乗用_軽油,係数_乗用_メタノール,係数_乗用_LPG),125,5,BE1437),4,FALSE)))))</f>
        <v/>
      </c>
      <c r="AL1437" s="461" t="str">
        <f t="shared" si="805"/>
        <v/>
      </c>
      <c r="AM1437" s="460" t="str">
        <f>IF(AU1437="","",IF(OR(AZ1437=8,AZ1437=9),0,IF(OR(AW1437=3,AW1437=4,AW1437=5,AW1437=6),IF(LEFT(BH1437,1)="1",INDEX(係数_PM低減,MATCH(AY1437,【参考】排出係数!$AI$801:$AI$804,1),MATCH(BI1437,【参考】排出係数!$AL$798:$AO$798,1)),VLOOKUP(AU1437,INDEX((係数_バス貨物_ガソリン,係数_バス貨物_CNG,係数_バス貨物_軽油,係数_バス貨物_メタノール,係数_バス貨物_LPG),MATCH(AY1437,【参考】排出係数!$AI$4:$AI$671,1),1,BE1437):INDEX((係数_バス貨物_ガソリン,係数_バス貨物_CNG,係数_バス貨物_軽油,係数_バス貨物_メタノール,係数_バス貨物_LPG),MATCH(AY1437+1,【参考】排出係数!$AI$4:$AI$671,1)-1,5,BE1437),5,FALSE)),IF(AND(BE1437=3,LEFT(BF1437,1)="1"),0.055,VLOOKUP(AU1437,INDEX((係数_乗用_ガソリン,係数_乗用_CNG,係数_乗用_軽油,係数_乗用_メタノール,係数_乗用_LPG),1,1,BE1437):INDEX((係数_乗用_ガソリン,係数_乗用_CNG,係数_乗用_軽油,係数_乗用_メタノール,係数_乗用_LPG),125,5,BE1437),5,FALSE)))))</f>
        <v/>
      </c>
      <c r="AN1437" s="461" t="str">
        <f t="shared" si="806"/>
        <v/>
      </c>
      <c r="AO1437" s="462" t="str">
        <f t="shared" si="807"/>
        <v/>
      </c>
      <c r="AP1437" s="463" t="str">
        <f t="shared" si="808"/>
        <v/>
      </c>
      <c r="AQ1437" s="464"/>
      <c r="AR1437" s="619"/>
      <c r="AS1437" s="465" t="str">
        <f t="shared" si="816"/>
        <v/>
      </c>
      <c r="AT1437" s="465" t="str">
        <f t="shared" si="817"/>
        <v/>
      </c>
      <c r="AU1437" s="466" t="str">
        <f t="shared" si="818"/>
        <v/>
      </c>
      <c r="AV1437" s="467" t="str">
        <f t="shared" si="819"/>
        <v/>
      </c>
      <c r="AW1437" s="467" t="str">
        <f t="shared" si="820"/>
        <v/>
      </c>
      <c r="AX1437" s="467" t="str">
        <f t="shared" si="821"/>
        <v/>
      </c>
      <c r="AY1437" s="467" t="str">
        <f t="shared" si="822"/>
        <v/>
      </c>
      <c r="AZ1437" s="467" t="str">
        <f t="shared" si="823"/>
        <v/>
      </c>
      <c r="BA1437" s="468" t="str">
        <f>IF(AS1437="","",IF(OR(AU1437="",AU1437="-"),"－",IF(OR(AZ1437=8,AZ1437=9),"",IF(OR(AW1437=3,AW1437=4,AW1437=5,AW1437=6),VLOOKUP(AU1437,INDEX((係数_バス貨物_ガソリン,係数_バス貨物_CNG,係数_バス貨物_軽油,係数_バス貨物_メタノール,係数_バス貨物_LPG),MATCH(AY1437,【参考】排出係数!$AI$4:$AI$671,1),1,BE1437):INDEX((係数_バス貨物_ガソリン,係数_バス貨物_CNG,係数_バス貨物_軽油,係数_バス貨物_メタノール,係数_バス貨物_LPG),MATCH(AY1437+1,【参考】排出係数!$AI$4:$AI$671,1)-1,5,BE1437),2,FALSE),IF(OR(AW1437=1,AW1437=2),VLOOKUP(AU1437,INDEX((係数_乗用_ガソリン,係数_乗用_CNG,係数_乗用_軽油,係数_乗用_メタノール,係数_乗用_LPG),1,1,BE1437):INDEX((係数_乗用_ガソリン,係数_乗用_CNG,係数_乗用_軽油,係数_乗用_メタノール,係数_乗用_LPG),125,5,BE1437),2,FALSE))))))</f>
        <v/>
      </c>
      <c r="BB1437" s="468" t="str">
        <f>IF(T1437="","",IF(OR(AU1437="",AU1437="-"),"－",IF(OR(AZ1437=8,AZ1437=9),"",IF(OR(AW1437=3,AW1437=4,AW1437=5,AW1437=6),VLOOKUP(AU1437,INDEX((係数_バス貨物_ガソリン,係数_バス貨物_CNG,係数_バス貨物_軽油,係数_バス貨物_メタノール,係数_バス貨物_LPG),MATCH(AY1437,【参考】排出係数!$AI$4:$AI$671,1),1,BE1437):INDEX((係数_バス貨物_ガソリン,係数_バス貨物_CNG,係数_バス貨物_軽油,係数_バス貨物_メタノール,係数_バス貨物_LPG),MATCH(AY1437+1,【参考】排出係数!$AI$4:$AI$671,1)-1,5,BE1437),3,FALSE),IF(OR(AW1437=1,AW1437=2),VLOOKUP(AU1437,INDEX((係数_乗用_ガソリン,係数_乗用_CNG,係数_乗用_軽油,係数_乗用_メタノール,係数_乗用_LPG),1,1,BE1437):INDEX((係数_乗用_ガソリン,係数_乗用_CNG,係数_乗用_軽油,係数_乗用_メタノール,係数_乗用_LPG),125,5,BE1437),3,FALSE))))))</f>
        <v/>
      </c>
      <c r="BC1437" s="467" t="str">
        <f t="shared" si="824"/>
        <v/>
      </c>
      <c r="BD1437" s="567" t="str">
        <f t="shared" si="825"/>
        <v/>
      </c>
      <c r="BE1437" s="467" t="str">
        <f t="shared" si="826"/>
        <v/>
      </c>
      <c r="BF1437" s="469" t="str">
        <f t="shared" ca="1" si="827"/>
        <v/>
      </c>
      <c r="BG1437" s="469" t="str">
        <f t="shared" ca="1" si="828"/>
        <v/>
      </c>
      <c r="BH1437" s="467" t="str">
        <f t="shared" si="829"/>
        <v/>
      </c>
      <c r="BI1437" s="467" t="str">
        <f t="shared" ca="1" si="830"/>
        <v/>
      </c>
      <c r="BJ1437" s="469" t="str">
        <f t="shared" si="831"/>
        <v/>
      </c>
      <c r="BK1437" s="470" t="str">
        <f t="shared" si="815"/>
        <v/>
      </c>
      <c r="BL1437" s="775" t="str">
        <f t="shared" si="832"/>
        <v/>
      </c>
      <c r="BM1437" s="775" t="str">
        <f t="shared" si="833"/>
        <v/>
      </c>
    </row>
    <row r="1438" spans="1:65">
      <c r="A1438" s="473">
        <v>1382</v>
      </c>
      <c r="B1438" s="132"/>
      <c r="C1438" s="332"/>
      <c r="D1438" s="333"/>
      <c r="E1438" s="333"/>
      <c r="F1438" s="334"/>
      <c r="G1438" s="337"/>
      <c r="H1438" s="131"/>
      <c r="I1438" s="337"/>
      <c r="J1438" s="131"/>
      <c r="K1438" s="458" t="str">
        <f t="shared" si="796"/>
        <v/>
      </c>
      <c r="L1438" s="458">
        <f t="shared" si="797"/>
        <v>0</v>
      </c>
      <c r="M1438" s="458">
        <f t="shared" si="798"/>
        <v>0</v>
      </c>
      <c r="N1438" s="459" t="str">
        <f t="shared" si="809"/>
        <v/>
      </c>
      <c r="O1438" s="459" t="str">
        <f t="shared" si="810"/>
        <v/>
      </c>
      <c r="P1438" s="459" t="str">
        <f t="shared" si="811"/>
        <v/>
      </c>
      <c r="Q1438" s="459" t="str">
        <f t="shared" si="812"/>
        <v/>
      </c>
      <c r="R1438" s="459" t="str">
        <f t="shared" si="813"/>
        <v/>
      </c>
      <c r="S1438" s="459" t="str">
        <f t="shared" si="814"/>
        <v/>
      </c>
      <c r="T1438" s="566" t="str">
        <f t="shared" si="799"/>
        <v/>
      </c>
      <c r="U1438" s="702"/>
      <c r="V1438" s="132"/>
      <c r="W1438" s="133"/>
      <c r="X1438" s="134"/>
      <c r="Y1438" s="135"/>
      <c r="Z1438" s="137"/>
      <c r="AA1438" s="136"/>
      <c r="AB1438" s="566" t="str">
        <f t="shared" si="800"/>
        <v/>
      </c>
      <c r="AC1438" s="568" t="str">
        <f t="shared" si="801"/>
        <v/>
      </c>
      <c r="AD1438" s="137"/>
      <c r="AE1438" s="137"/>
      <c r="AF1438" s="138"/>
      <c r="AG1438" s="138"/>
      <c r="AH1438" s="592" t="str">
        <f t="shared" si="802"/>
        <v/>
      </c>
      <c r="AI1438" s="592" t="str">
        <f t="shared" si="803"/>
        <v/>
      </c>
      <c r="AJ1438" s="592" t="str">
        <f t="shared" si="804"/>
        <v/>
      </c>
      <c r="AK1438" s="460" t="str">
        <f>IF(AU1438="","",IF(OR(AZ1438=8,AZ1438=9),0,IF(OR(AW1438=3,AW1438=4,AW1438=5,AW1438=6),IF(LEFT(BF1438,1)="1",INDEX(係数_NOX・PM低減,MATCH(AY1438,【参考】排出係数!$AI$801:$AI$804,1),1),VLOOKUP(AU1438,INDEX((係数_バス貨物_ガソリン,係数_バス貨物_CNG,係数_バス貨物_軽油,係数_バス貨物_メタノール,係数_バス貨物_LPG),MATCH(AY1438,【参考】排出係数!$AI$4:$AI$671,1),1,BE1438):INDEX((係数_バス貨物_ガソリン,係数_バス貨物_CNG,係数_バス貨物_軽油,係数_バス貨物_メタノール,係数_バス貨物_LPG),MATCH(AY1438+1,【参考】排出係数!$AI$4:$AI$671,1)-1,5,BE1438),4,FALSE)),IF(AND(BE1438=3,LEFT(BF1438,1)="1"),0.48,VLOOKUP(AU1438,INDEX((係数_乗用_ガソリン,係数_乗用_CNG,係数_乗用_軽油,係数_乗用_メタノール,係数_乗用_LPG),1,1,BE1438):INDEX((係数_乗用_ガソリン,係数_乗用_CNG,係数_乗用_軽油,係数_乗用_メタノール,係数_乗用_LPG),125,5,BE1438),4,FALSE)))))</f>
        <v/>
      </c>
      <c r="AL1438" s="461" t="str">
        <f t="shared" si="805"/>
        <v/>
      </c>
      <c r="AM1438" s="460" t="str">
        <f>IF(AU1438="","",IF(OR(AZ1438=8,AZ1438=9),0,IF(OR(AW1438=3,AW1438=4,AW1438=5,AW1438=6),IF(LEFT(BH1438,1)="1",INDEX(係数_PM低減,MATCH(AY1438,【参考】排出係数!$AI$801:$AI$804,1),MATCH(BI1438,【参考】排出係数!$AL$798:$AO$798,1)),VLOOKUP(AU1438,INDEX((係数_バス貨物_ガソリン,係数_バス貨物_CNG,係数_バス貨物_軽油,係数_バス貨物_メタノール,係数_バス貨物_LPG),MATCH(AY1438,【参考】排出係数!$AI$4:$AI$671,1),1,BE1438):INDEX((係数_バス貨物_ガソリン,係数_バス貨物_CNG,係数_バス貨物_軽油,係数_バス貨物_メタノール,係数_バス貨物_LPG),MATCH(AY1438+1,【参考】排出係数!$AI$4:$AI$671,1)-1,5,BE1438),5,FALSE)),IF(AND(BE1438=3,LEFT(BF1438,1)="1"),0.055,VLOOKUP(AU1438,INDEX((係数_乗用_ガソリン,係数_乗用_CNG,係数_乗用_軽油,係数_乗用_メタノール,係数_乗用_LPG),1,1,BE1438):INDEX((係数_乗用_ガソリン,係数_乗用_CNG,係数_乗用_軽油,係数_乗用_メタノール,係数_乗用_LPG),125,5,BE1438),5,FALSE)))))</f>
        <v/>
      </c>
      <c r="AN1438" s="461" t="str">
        <f t="shared" si="806"/>
        <v/>
      </c>
      <c r="AO1438" s="462" t="str">
        <f t="shared" si="807"/>
        <v/>
      </c>
      <c r="AP1438" s="463" t="str">
        <f t="shared" si="808"/>
        <v/>
      </c>
      <c r="AQ1438" s="464"/>
      <c r="AR1438" s="619"/>
      <c r="AS1438" s="465" t="str">
        <f t="shared" si="816"/>
        <v/>
      </c>
      <c r="AT1438" s="465" t="str">
        <f t="shared" si="817"/>
        <v/>
      </c>
      <c r="AU1438" s="466" t="str">
        <f t="shared" si="818"/>
        <v/>
      </c>
      <c r="AV1438" s="467" t="str">
        <f t="shared" si="819"/>
        <v/>
      </c>
      <c r="AW1438" s="467" t="str">
        <f t="shared" si="820"/>
        <v/>
      </c>
      <c r="AX1438" s="467" t="str">
        <f t="shared" si="821"/>
        <v/>
      </c>
      <c r="AY1438" s="467" t="str">
        <f t="shared" si="822"/>
        <v/>
      </c>
      <c r="AZ1438" s="467" t="str">
        <f t="shared" si="823"/>
        <v/>
      </c>
      <c r="BA1438" s="468" t="str">
        <f>IF(AS1438="","",IF(OR(AU1438="",AU1438="-"),"－",IF(OR(AZ1438=8,AZ1438=9),"",IF(OR(AW1438=3,AW1438=4,AW1438=5,AW1438=6),VLOOKUP(AU1438,INDEX((係数_バス貨物_ガソリン,係数_バス貨物_CNG,係数_バス貨物_軽油,係数_バス貨物_メタノール,係数_バス貨物_LPG),MATCH(AY1438,【参考】排出係数!$AI$4:$AI$671,1),1,BE1438):INDEX((係数_バス貨物_ガソリン,係数_バス貨物_CNG,係数_バス貨物_軽油,係数_バス貨物_メタノール,係数_バス貨物_LPG),MATCH(AY1438+1,【参考】排出係数!$AI$4:$AI$671,1)-1,5,BE1438),2,FALSE),IF(OR(AW1438=1,AW1438=2),VLOOKUP(AU1438,INDEX((係数_乗用_ガソリン,係数_乗用_CNG,係数_乗用_軽油,係数_乗用_メタノール,係数_乗用_LPG),1,1,BE1438):INDEX((係数_乗用_ガソリン,係数_乗用_CNG,係数_乗用_軽油,係数_乗用_メタノール,係数_乗用_LPG),125,5,BE1438),2,FALSE))))))</f>
        <v/>
      </c>
      <c r="BB1438" s="468" t="str">
        <f>IF(T1438="","",IF(OR(AU1438="",AU1438="-"),"－",IF(OR(AZ1438=8,AZ1438=9),"",IF(OR(AW1438=3,AW1438=4,AW1438=5,AW1438=6),VLOOKUP(AU1438,INDEX((係数_バス貨物_ガソリン,係数_バス貨物_CNG,係数_バス貨物_軽油,係数_バス貨物_メタノール,係数_バス貨物_LPG),MATCH(AY1438,【参考】排出係数!$AI$4:$AI$671,1),1,BE1438):INDEX((係数_バス貨物_ガソリン,係数_バス貨物_CNG,係数_バス貨物_軽油,係数_バス貨物_メタノール,係数_バス貨物_LPG),MATCH(AY1438+1,【参考】排出係数!$AI$4:$AI$671,1)-1,5,BE1438),3,FALSE),IF(OR(AW1438=1,AW1438=2),VLOOKUP(AU1438,INDEX((係数_乗用_ガソリン,係数_乗用_CNG,係数_乗用_軽油,係数_乗用_メタノール,係数_乗用_LPG),1,1,BE1438):INDEX((係数_乗用_ガソリン,係数_乗用_CNG,係数_乗用_軽油,係数_乗用_メタノール,係数_乗用_LPG),125,5,BE1438),3,FALSE))))))</f>
        <v/>
      </c>
      <c r="BC1438" s="467" t="str">
        <f t="shared" si="824"/>
        <v/>
      </c>
      <c r="BD1438" s="567" t="str">
        <f t="shared" si="825"/>
        <v/>
      </c>
      <c r="BE1438" s="467" t="str">
        <f t="shared" si="826"/>
        <v/>
      </c>
      <c r="BF1438" s="469" t="str">
        <f t="shared" ca="1" si="827"/>
        <v/>
      </c>
      <c r="BG1438" s="469" t="str">
        <f t="shared" ca="1" si="828"/>
        <v/>
      </c>
      <c r="BH1438" s="467" t="str">
        <f t="shared" si="829"/>
        <v/>
      </c>
      <c r="BI1438" s="467" t="str">
        <f t="shared" ca="1" si="830"/>
        <v/>
      </c>
      <c r="BJ1438" s="469" t="str">
        <f t="shared" si="831"/>
        <v/>
      </c>
      <c r="BK1438" s="470" t="str">
        <f t="shared" si="815"/>
        <v/>
      </c>
      <c r="BL1438" s="775" t="str">
        <f t="shared" si="832"/>
        <v/>
      </c>
      <c r="BM1438" s="775" t="str">
        <f t="shared" si="833"/>
        <v/>
      </c>
    </row>
    <row r="1439" spans="1:65">
      <c r="A1439" s="473">
        <v>1383</v>
      </c>
      <c r="B1439" s="132"/>
      <c r="C1439" s="332"/>
      <c r="D1439" s="333"/>
      <c r="E1439" s="333"/>
      <c r="F1439" s="334"/>
      <c r="G1439" s="337"/>
      <c r="H1439" s="131"/>
      <c r="I1439" s="337"/>
      <c r="J1439" s="131"/>
      <c r="K1439" s="458" t="str">
        <f t="shared" si="796"/>
        <v/>
      </c>
      <c r="L1439" s="458">
        <f t="shared" si="797"/>
        <v>0</v>
      </c>
      <c r="M1439" s="458">
        <f t="shared" si="798"/>
        <v>0</v>
      </c>
      <c r="N1439" s="459" t="str">
        <f t="shared" si="809"/>
        <v/>
      </c>
      <c r="O1439" s="459" t="str">
        <f t="shared" si="810"/>
        <v/>
      </c>
      <c r="P1439" s="459" t="str">
        <f t="shared" si="811"/>
        <v/>
      </c>
      <c r="Q1439" s="459" t="str">
        <f t="shared" si="812"/>
        <v/>
      </c>
      <c r="R1439" s="459" t="str">
        <f t="shared" si="813"/>
        <v/>
      </c>
      <c r="S1439" s="459" t="str">
        <f t="shared" si="814"/>
        <v/>
      </c>
      <c r="T1439" s="566" t="str">
        <f t="shared" si="799"/>
        <v/>
      </c>
      <c r="U1439" s="702"/>
      <c r="V1439" s="132"/>
      <c r="W1439" s="133"/>
      <c r="X1439" s="134"/>
      <c r="Y1439" s="135"/>
      <c r="Z1439" s="137"/>
      <c r="AA1439" s="136"/>
      <c r="AB1439" s="566" t="str">
        <f t="shared" si="800"/>
        <v/>
      </c>
      <c r="AC1439" s="568" t="str">
        <f t="shared" si="801"/>
        <v/>
      </c>
      <c r="AD1439" s="137"/>
      <c r="AE1439" s="137"/>
      <c r="AF1439" s="138"/>
      <c r="AG1439" s="138"/>
      <c r="AH1439" s="592" t="str">
        <f t="shared" si="802"/>
        <v/>
      </c>
      <c r="AI1439" s="592" t="str">
        <f t="shared" si="803"/>
        <v/>
      </c>
      <c r="AJ1439" s="592" t="str">
        <f t="shared" si="804"/>
        <v/>
      </c>
      <c r="AK1439" s="460" t="str">
        <f>IF(AU1439="","",IF(OR(AZ1439=8,AZ1439=9),0,IF(OR(AW1439=3,AW1439=4,AW1439=5,AW1439=6),IF(LEFT(BF1439,1)="1",INDEX(係数_NOX・PM低減,MATCH(AY1439,【参考】排出係数!$AI$801:$AI$804,1),1),VLOOKUP(AU1439,INDEX((係数_バス貨物_ガソリン,係数_バス貨物_CNG,係数_バス貨物_軽油,係数_バス貨物_メタノール,係数_バス貨物_LPG),MATCH(AY1439,【参考】排出係数!$AI$4:$AI$671,1),1,BE1439):INDEX((係数_バス貨物_ガソリン,係数_バス貨物_CNG,係数_バス貨物_軽油,係数_バス貨物_メタノール,係数_バス貨物_LPG),MATCH(AY1439+1,【参考】排出係数!$AI$4:$AI$671,1)-1,5,BE1439),4,FALSE)),IF(AND(BE1439=3,LEFT(BF1439,1)="1"),0.48,VLOOKUP(AU1439,INDEX((係数_乗用_ガソリン,係数_乗用_CNG,係数_乗用_軽油,係数_乗用_メタノール,係数_乗用_LPG),1,1,BE1439):INDEX((係数_乗用_ガソリン,係数_乗用_CNG,係数_乗用_軽油,係数_乗用_メタノール,係数_乗用_LPG),125,5,BE1439),4,FALSE)))))</f>
        <v/>
      </c>
      <c r="AL1439" s="461" t="str">
        <f t="shared" si="805"/>
        <v/>
      </c>
      <c r="AM1439" s="460" t="str">
        <f>IF(AU1439="","",IF(OR(AZ1439=8,AZ1439=9),0,IF(OR(AW1439=3,AW1439=4,AW1439=5,AW1439=6),IF(LEFT(BH1439,1)="1",INDEX(係数_PM低減,MATCH(AY1439,【参考】排出係数!$AI$801:$AI$804,1),MATCH(BI1439,【参考】排出係数!$AL$798:$AO$798,1)),VLOOKUP(AU1439,INDEX((係数_バス貨物_ガソリン,係数_バス貨物_CNG,係数_バス貨物_軽油,係数_バス貨物_メタノール,係数_バス貨物_LPG),MATCH(AY1439,【参考】排出係数!$AI$4:$AI$671,1),1,BE1439):INDEX((係数_バス貨物_ガソリン,係数_バス貨物_CNG,係数_バス貨物_軽油,係数_バス貨物_メタノール,係数_バス貨物_LPG),MATCH(AY1439+1,【参考】排出係数!$AI$4:$AI$671,1)-1,5,BE1439),5,FALSE)),IF(AND(BE1439=3,LEFT(BF1439,1)="1"),0.055,VLOOKUP(AU1439,INDEX((係数_乗用_ガソリン,係数_乗用_CNG,係数_乗用_軽油,係数_乗用_メタノール,係数_乗用_LPG),1,1,BE1439):INDEX((係数_乗用_ガソリン,係数_乗用_CNG,係数_乗用_軽油,係数_乗用_メタノール,係数_乗用_LPG),125,5,BE1439),5,FALSE)))))</f>
        <v/>
      </c>
      <c r="AN1439" s="461" t="str">
        <f t="shared" si="806"/>
        <v/>
      </c>
      <c r="AO1439" s="462" t="str">
        <f t="shared" si="807"/>
        <v/>
      </c>
      <c r="AP1439" s="463" t="str">
        <f t="shared" si="808"/>
        <v/>
      </c>
      <c r="AQ1439" s="464"/>
      <c r="AR1439" s="619"/>
      <c r="AS1439" s="465" t="str">
        <f t="shared" si="816"/>
        <v/>
      </c>
      <c r="AT1439" s="465" t="str">
        <f t="shared" si="817"/>
        <v/>
      </c>
      <c r="AU1439" s="466" t="str">
        <f t="shared" si="818"/>
        <v/>
      </c>
      <c r="AV1439" s="467" t="str">
        <f t="shared" si="819"/>
        <v/>
      </c>
      <c r="AW1439" s="467" t="str">
        <f t="shared" si="820"/>
        <v/>
      </c>
      <c r="AX1439" s="467" t="str">
        <f t="shared" si="821"/>
        <v/>
      </c>
      <c r="AY1439" s="467" t="str">
        <f t="shared" si="822"/>
        <v/>
      </c>
      <c r="AZ1439" s="467" t="str">
        <f t="shared" si="823"/>
        <v/>
      </c>
      <c r="BA1439" s="468" t="str">
        <f>IF(AS1439="","",IF(OR(AU1439="",AU1439="-"),"－",IF(OR(AZ1439=8,AZ1439=9),"",IF(OR(AW1439=3,AW1439=4,AW1439=5,AW1439=6),VLOOKUP(AU1439,INDEX((係数_バス貨物_ガソリン,係数_バス貨物_CNG,係数_バス貨物_軽油,係数_バス貨物_メタノール,係数_バス貨物_LPG),MATCH(AY1439,【参考】排出係数!$AI$4:$AI$671,1),1,BE1439):INDEX((係数_バス貨物_ガソリン,係数_バス貨物_CNG,係数_バス貨物_軽油,係数_バス貨物_メタノール,係数_バス貨物_LPG),MATCH(AY1439+1,【参考】排出係数!$AI$4:$AI$671,1)-1,5,BE1439),2,FALSE),IF(OR(AW1439=1,AW1439=2),VLOOKUP(AU1439,INDEX((係数_乗用_ガソリン,係数_乗用_CNG,係数_乗用_軽油,係数_乗用_メタノール,係数_乗用_LPG),1,1,BE1439):INDEX((係数_乗用_ガソリン,係数_乗用_CNG,係数_乗用_軽油,係数_乗用_メタノール,係数_乗用_LPG),125,5,BE1439),2,FALSE))))))</f>
        <v/>
      </c>
      <c r="BB1439" s="468" t="str">
        <f>IF(T1439="","",IF(OR(AU1439="",AU1439="-"),"－",IF(OR(AZ1439=8,AZ1439=9),"",IF(OR(AW1439=3,AW1439=4,AW1439=5,AW1439=6),VLOOKUP(AU1439,INDEX((係数_バス貨物_ガソリン,係数_バス貨物_CNG,係数_バス貨物_軽油,係数_バス貨物_メタノール,係数_バス貨物_LPG),MATCH(AY1439,【参考】排出係数!$AI$4:$AI$671,1),1,BE1439):INDEX((係数_バス貨物_ガソリン,係数_バス貨物_CNG,係数_バス貨物_軽油,係数_バス貨物_メタノール,係数_バス貨物_LPG),MATCH(AY1439+1,【参考】排出係数!$AI$4:$AI$671,1)-1,5,BE1439),3,FALSE),IF(OR(AW1439=1,AW1439=2),VLOOKUP(AU1439,INDEX((係数_乗用_ガソリン,係数_乗用_CNG,係数_乗用_軽油,係数_乗用_メタノール,係数_乗用_LPG),1,1,BE1439):INDEX((係数_乗用_ガソリン,係数_乗用_CNG,係数_乗用_軽油,係数_乗用_メタノール,係数_乗用_LPG),125,5,BE1439),3,FALSE))))))</f>
        <v/>
      </c>
      <c r="BC1439" s="467" t="str">
        <f t="shared" si="824"/>
        <v/>
      </c>
      <c r="BD1439" s="567" t="str">
        <f t="shared" si="825"/>
        <v/>
      </c>
      <c r="BE1439" s="467" t="str">
        <f t="shared" si="826"/>
        <v/>
      </c>
      <c r="BF1439" s="469" t="str">
        <f t="shared" ca="1" si="827"/>
        <v/>
      </c>
      <c r="BG1439" s="469" t="str">
        <f t="shared" ca="1" si="828"/>
        <v/>
      </c>
      <c r="BH1439" s="467" t="str">
        <f t="shared" si="829"/>
        <v/>
      </c>
      <c r="BI1439" s="467" t="str">
        <f t="shared" ca="1" si="830"/>
        <v/>
      </c>
      <c r="BJ1439" s="469" t="str">
        <f t="shared" si="831"/>
        <v/>
      </c>
      <c r="BK1439" s="470" t="str">
        <f t="shared" si="815"/>
        <v/>
      </c>
      <c r="BL1439" s="775" t="str">
        <f t="shared" si="832"/>
        <v/>
      </c>
      <c r="BM1439" s="775" t="str">
        <f t="shared" si="833"/>
        <v/>
      </c>
    </row>
    <row r="1440" spans="1:65">
      <c r="A1440" s="473">
        <v>1384</v>
      </c>
      <c r="B1440" s="132"/>
      <c r="C1440" s="332"/>
      <c r="D1440" s="333"/>
      <c r="E1440" s="333"/>
      <c r="F1440" s="334"/>
      <c r="G1440" s="337"/>
      <c r="H1440" s="131"/>
      <c r="I1440" s="337"/>
      <c r="J1440" s="131"/>
      <c r="K1440" s="458" t="str">
        <f t="shared" si="796"/>
        <v/>
      </c>
      <c r="L1440" s="458">
        <f t="shared" si="797"/>
        <v>0</v>
      </c>
      <c r="M1440" s="458">
        <f t="shared" si="798"/>
        <v>0</v>
      </c>
      <c r="N1440" s="459" t="str">
        <f t="shared" si="809"/>
        <v/>
      </c>
      <c r="O1440" s="459" t="str">
        <f t="shared" si="810"/>
        <v/>
      </c>
      <c r="P1440" s="459" t="str">
        <f t="shared" si="811"/>
        <v/>
      </c>
      <c r="Q1440" s="459" t="str">
        <f t="shared" si="812"/>
        <v/>
      </c>
      <c r="R1440" s="459" t="str">
        <f t="shared" si="813"/>
        <v/>
      </c>
      <c r="S1440" s="459" t="str">
        <f t="shared" si="814"/>
        <v/>
      </c>
      <c r="T1440" s="566" t="str">
        <f t="shared" si="799"/>
        <v/>
      </c>
      <c r="U1440" s="702"/>
      <c r="V1440" s="132"/>
      <c r="W1440" s="133"/>
      <c r="X1440" s="134"/>
      <c r="Y1440" s="135"/>
      <c r="Z1440" s="137"/>
      <c r="AA1440" s="136"/>
      <c r="AB1440" s="566" t="str">
        <f t="shared" si="800"/>
        <v/>
      </c>
      <c r="AC1440" s="568" t="str">
        <f t="shared" si="801"/>
        <v/>
      </c>
      <c r="AD1440" s="137"/>
      <c r="AE1440" s="137"/>
      <c r="AF1440" s="138"/>
      <c r="AG1440" s="138"/>
      <c r="AH1440" s="592" t="str">
        <f t="shared" si="802"/>
        <v/>
      </c>
      <c r="AI1440" s="592" t="str">
        <f t="shared" si="803"/>
        <v/>
      </c>
      <c r="AJ1440" s="592" t="str">
        <f t="shared" si="804"/>
        <v/>
      </c>
      <c r="AK1440" s="460" t="str">
        <f>IF(AU1440="","",IF(OR(AZ1440=8,AZ1440=9),0,IF(OR(AW1440=3,AW1440=4,AW1440=5,AW1440=6),IF(LEFT(BF1440,1)="1",INDEX(係数_NOX・PM低減,MATCH(AY1440,【参考】排出係数!$AI$801:$AI$804,1),1),VLOOKUP(AU1440,INDEX((係数_バス貨物_ガソリン,係数_バス貨物_CNG,係数_バス貨物_軽油,係数_バス貨物_メタノール,係数_バス貨物_LPG),MATCH(AY1440,【参考】排出係数!$AI$4:$AI$671,1),1,BE1440):INDEX((係数_バス貨物_ガソリン,係数_バス貨物_CNG,係数_バス貨物_軽油,係数_バス貨物_メタノール,係数_バス貨物_LPG),MATCH(AY1440+1,【参考】排出係数!$AI$4:$AI$671,1)-1,5,BE1440),4,FALSE)),IF(AND(BE1440=3,LEFT(BF1440,1)="1"),0.48,VLOOKUP(AU1440,INDEX((係数_乗用_ガソリン,係数_乗用_CNG,係数_乗用_軽油,係数_乗用_メタノール,係数_乗用_LPG),1,1,BE1440):INDEX((係数_乗用_ガソリン,係数_乗用_CNG,係数_乗用_軽油,係数_乗用_メタノール,係数_乗用_LPG),125,5,BE1440),4,FALSE)))))</f>
        <v/>
      </c>
      <c r="AL1440" s="461" t="str">
        <f t="shared" si="805"/>
        <v/>
      </c>
      <c r="AM1440" s="460" t="str">
        <f>IF(AU1440="","",IF(OR(AZ1440=8,AZ1440=9),0,IF(OR(AW1440=3,AW1440=4,AW1440=5,AW1440=6),IF(LEFT(BH1440,1)="1",INDEX(係数_PM低減,MATCH(AY1440,【参考】排出係数!$AI$801:$AI$804,1),MATCH(BI1440,【参考】排出係数!$AL$798:$AO$798,1)),VLOOKUP(AU1440,INDEX((係数_バス貨物_ガソリン,係数_バス貨物_CNG,係数_バス貨物_軽油,係数_バス貨物_メタノール,係数_バス貨物_LPG),MATCH(AY1440,【参考】排出係数!$AI$4:$AI$671,1),1,BE1440):INDEX((係数_バス貨物_ガソリン,係数_バス貨物_CNG,係数_バス貨物_軽油,係数_バス貨物_メタノール,係数_バス貨物_LPG),MATCH(AY1440+1,【参考】排出係数!$AI$4:$AI$671,1)-1,5,BE1440),5,FALSE)),IF(AND(BE1440=3,LEFT(BF1440,1)="1"),0.055,VLOOKUP(AU1440,INDEX((係数_乗用_ガソリン,係数_乗用_CNG,係数_乗用_軽油,係数_乗用_メタノール,係数_乗用_LPG),1,1,BE1440):INDEX((係数_乗用_ガソリン,係数_乗用_CNG,係数_乗用_軽油,係数_乗用_メタノール,係数_乗用_LPG),125,5,BE1440),5,FALSE)))))</f>
        <v/>
      </c>
      <c r="AN1440" s="461" t="str">
        <f t="shared" si="806"/>
        <v/>
      </c>
      <c r="AO1440" s="462" t="str">
        <f t="shared" si="807"/>
        <v/>
      </c>
      <c r="AP1440" s="463" t="str">
        <f t="shared" si="808"/>
        <v/>
      </c>
      <c r="AQ1440" s="464"/>
      <c r="AR1440" s="619"/>
      <c r="AS1440" s="465" t="str">
        <f t="shared" si="816"/>
        <v/>
      </c>
      <c r="AT1440" s="465" t="str">
        <f t="shared" si="817"/>
        <v/>
      </c>
      <c r="AU1440" s="466" t="str">
        <f t="shared" si="818"/>
        <v/>
      </c>
      <c r="AV1440" s="467" t="str">
        <f t="shared" si="819"/>
        <v/>
      </c>
      <c r="AW1440" s="467" t="str">
        <f t="shared" si="820"/>
        <v/>
      </c>
      <c r="AX1440" s="467" t="str">
        <f t="shared" si="821"/>
        <v/>
      </c>
      <c r="AY1440" s="467" t="str">
        <f t="shared" si="822"/>
        <v/>
      </c>
      <c r="AZ1440" s="467" t="str">
        <f t="shared" si="823"/>
        <v/>
      </c>
      <c r="BA1440" s="468" t="str">
        <f>IF(AS1440="","",IF(OR(AU1440="",AU1440="-"),"－",IF(OR(AZ1440=8,AZ1440=9),"",IF(OR(AW1440=3,AW1440=4,AW1440=5,AW1440=6),VLOOKUP(AU1440,INDEX((係数_バス貨物_ガソリン,係数_バス貨物_CNG,係数_バス貨物_軽油,係数_バス貨物_メタノール,係数_バス貨物_LPG),MATCH(AY1440,【参考】排出係数!$AI$4:$AI$671,1),1,BE1440):INDEX((係数_バス貨物_ガソリン,係数_バス貨物_CNG,係数_バス貨物_軽油,係数_バス貨物_メタノール,係数_バス貨物_LPG),MATCH(AY1440+1,【参考】排出係数!$AI$4:$AI$671,1)-1,5,BE1440),2,FALSE),IF(OR(AW1440=1,AW1440=2),VLOOKUP(AU1440,INDEX((係数_乗用_ガソリン,係数_乗用_CNG,係数_乗用_軽油,係数_乗用_メタノール,係数_乗用_LPG),1,1,BE1440):INDEX((係数_乗用_ガソリン,係数_乗用_CNG,係数_乗用_軽油,係数_乗用_メタノール,係数_乗用_LPG),125,5,BE1440),2,FALSE))))))</f>
        <v/>
      </c>
      <c r="BB1440" s="468" t="str">
        <f>IF(T1440="","",IF(OR(AU1440="",AU1440="-"),"－",IF(OR(AZ1440=8,AZ1440=9),"",IF(OR(AW1440=3,AW1440=4,AW1440=5,AW1440=6),VLOOKUP(AU1440,INDEX((係数_バス貨物_ガソリン,係数_バス貨物_CNG,係数_バス貨物_軽油,係数_バス貨物_メタノール,係数_バス貨物_LPG),MATCH(AY1440,【参考】排出係数!$AI$4:$AI$671,1),1,BE1440):INDEX((係数_バス貨物_ガソリン,係数_バス貨物_CNG,係数_バス貨物_軽油,係数_バス貨物_メタノール,係数_バス貨物_LPG),MATCH(AY1440+1,【参考】排出係数!$AI$4:$AI$671,1)-1,5,BE1440),3,FALSE),IF(OR(AW1440=1,AW1440=2),VLOOKUP(AU1440,INDEX((係数_乗用_ガソリン,係数_乗用_CNG,係数_乗用_軽油,係数_乗用_メタノール,係数_乗用_LPG),1,1,BE1440):INDEX((係数_乗用_ガソリン,係数_乗用_CNG,係数_乗用_軽油,係数_乗用_メタノール,係数_乗用_LPG),125,5,BE1440),3,FALSE))))))</f>
        <v/>
      </c>
      <c r="BC1440" s="467" t="str">
        <f t="shared" si="824"/>
        <v/>
      </c>
      <c r="BD1440" s="567" t="str">
        <f t="shared" si="825"/>
        <v/>
      </c>
      <c r="BE1440" s="467" t="str">
        <f t="shared" si="826"/>
        <v/>
      </c>
      <c r="BF1440" s="469" t="str">
        <f t="shared" ca="1" si="827"/>
        <v/>
      </c>
      <c r="BG1440" s="469" t="str">
        <f t="shared" ca="1" si="828"/>
        <v/>
      </c>
      <c r="BH1440" s="467" t="str">
        <f t="shared" si="829"/>
        <v/>
      </c>
      <c r="BI1440" s="467" t="str">
        <f t="shared" ca="1" si="830"/>
        <v/>
      </c>
      <c r="BJ1440" s="469" t="str">
        <f t="shared" si="831"/>
        <v/>
      </c>
      <c r="BK1440" s="470" t="str">
        <f t="shared" si="815"/>
        <v/>
      </c>
      <c r="BL1440" s="775" t="str">
        <f t="shared" si="832"/>
        <v/>
      </c>
      <c r="BM1440" s="775" t="str">
        <f t="shared" si="833"/>
        <v/>
      </c>
    </row>
    <row r="1441" spans="1:65">
      <c r="A1441" s="473">
        <v>1385</v>
      </c>
      <c r="B1441" s="132"/>
      <c r="C1441" s="332"/>
      <c r="D1441" s="333"/>
      <c r="E1441" s="333"/>
      <c r="F1441" s="334"/>
      <c r="G1441" s="337"/>
      <c r="H1441" s="131"/>
      <c r="I1441" s="337"/>
      <c r="J1441" s="131"/>
      <c r="K1441" s="458" t="str">
        <f t="shared" si="796"/>
        <v/>
      </c>
      <c r="L1441" s="458">
        <f t="shared" si="797"/>
        <v>0</v>
      </c>
      <c r="M1441" s="458">
        <f t="shared" si="798"/>
        <v>0</v>
      </c>
      <c r="N1441" s="459" t="str">
        <f t="shared" si="809"/>
        <v/>
      </c>
      <c r="O1441" s="459" t="str">
        <f t="shared" si="810"/>
        <v/>
      </c>
      <c r="P1441" s="459" t="str">
        <f t="shared" si="811"/>
        <v/>
      </c>
      <c r="Q1441" s="459" t="str">
        <f t="shared" si="812"/>
        <v/>
      </c>
      <c r="R1441" s="459" t="str">
        <f t="shared" si="813"/>
        <v/>
      </c>
      <c r="S1441" s="459" t="str">
        <f t="shared" si="814"/>
        <v/>
      </c>
      <c r="T1441" s="566" t="str">
        <f t="shared" si="799"/>
        <v/>
      </c>
      <c r="U1441" s="702"/>
      <c r="V1441" s="132"/>
      <c r="W1441" s="133"/>
      <c r="X1441" s="134"/>
      <c r="Y1441" s="135"/>
      <c r="Z1441" s="137"/>
      <c r="AA1441" s="136"/>
      <c r="AB1441" s="566" t="str">
        <f t="shared" si="800"/>
        <v/>
      </c>
      <c r="AC1441" s="568" t="str">
        <f t="shared" si="801"/>
        <v/>
      </c>
      <c r="AD1441" s="137"/>
      <c r="AE1441" s="137"/>
      <c r="AF1441" s="138"/>
      <c r="AG1441" s="138"/>
      <c r="AH1441" s="592" t="str">
        <f t="shared" si="802"/>
        <v/>
      </c>
      <c r="AI1441" s="592" t="str">
        <f t="shared" si="803"/>
        <v/>
      </c>
      <c r="AJ1441" s="592" t="str">
        <f t="shared" si="804"/>
        <v/>
      </c>
      <c r="AK1441" s="460" t="str">
        <f>IF(AU1441="","",IF(OR(AZ1441=8,AZ1441=9),0,IF(OR(AW1441=3,AW1441=4,AW1441=5,AW1441=6),IF(LEFT(BF1441,1)="1",INDEX(係数_NOX・PM低減,MATCH(AY1441,【参考】排出係数!$AI$801:$AI$804,1),1),VLOOKUP(AU1441,INDEX((係数_バス貨物_ガソリン,係数_バス貨物_CNG,係数_バス貨物_軽油,係数_バス貨物_メタノール,係数_バス貨物_LPG),MATCH(AY1441,【参考】排出係数!$AI$4:$AI$671,1),1,BE1441):INDEX((係数_バス貨物_ガソリン,係数_バス貨物_CNG,係数_バス貨物_軽油,係数_バス貨物_メタノール,係数_バス貨物_LPG),MATCH(AY1441+1,【参考】排出係数!$AI$4:$AI$671,1)-1,5,BE1441),4,FALSE)),IF(AND(BE1441=3,LEFT(BF1441,1)="1"),0.48,VLOOKUP(AU1441,INDEX((係数_乗用_ガソリン,係数_乗用_CNG,係数_乗用_軽油,係数_乗用_メタノール,係数_乗用_LPG),1,1,BE1441):INDEX((係数_乗用_ガソリン,係数_乗用_CNG,係数_乗用_軽油,係数_乗用_メタノール,係数_乗用_LPG),125,5,BE1441),4,FALSE)))))</f>
        <v/>
      </c>
      <c r="AL1441" s="461" t="str">
        <f t="shared" si="805"/>
        <v/>
      </c>
      <c r="AM1441" s="460" t="str">
        <f>IF(AU1441="","",IF(OR(AZ1441=8,AZ1441=9),0,IF(OR(AW1441=3,AW1441=4,AW1441=5,AW1441=6),IF(LEFT(BH1441,1)="1",INDEX(係数_PM低減,MATCH(AY1441,【参考】排出係数!$AI$801:$AI$804,1),MATCH(BI1441,【参考】排出係数!$AL$798:$AO$798,1)),VLOOKUP(AU1441,INDEX((係数_バス貨物_ガソリン,係数_バス貨物_CNG,係数_バス貨物_軽油,係数_バス貨物_メタノール,係数_バス貨物_LPG),MATCH(AY1441,【参考】排出係数!$AI$4:$AI$671,1),1,BE1441):INDEX((係数_バス貨物_ガソリン,係数_バス貨物_CNG,係数_バス貨物_軽油,係数_バス貨物_メタノール,係数_バス貨物_LPG),MATCH(AY1441+1,【参考】排出係数!$AI$4:$AI$671,1)-1,5,BE1441),5,FALSE)),IF(AND(BE1441=3,LEFT(BF1441,1)="1"),0.055,VLOOKUP(AU1441,INDEX((係数_乗用_ガソリン,係数_乗用_CNG,係数_乗用_軽油,係数_乗用_メタノール,係数_乗用_LPG),1,1,BE1441):INDEX((係数_乗用_ガソリン,係数_乗用_CNG,係数_乗用_軽油,係数_乗用_メタノール,係数_乗用_LPG),125,5,BE1441),5,FALSE)))))</f>
        <v/>
      </c>
      <c r="AN1441" s="461" t="str">
        <f t="shared" si="806"/>
        <v/>
      </c>
      <c r="AO1441" s="462" t="str">
        <f t="shared" si="807"/>
        <v/>
      </c>
      <c r="AP1441" s="463" t="str">
        <f t="shared" si="808"/>
        <v/>
      </c>
      <c r="AQ1441" s="464"/>
      <c r="AR1441" s="619"/>
      <c r="AS1441" s="465" t="str">
        <f t="shared" si="816"/>
        <v/>
      </c>
      <c r="AT1441" s="465" t="str">
        <f t="shared" si="817"/>
        <v/>
      </c>
      <c r="AU1441" s="466" t="str">
        <f t="shared" si="818"/>
        <v/>
      </c>
      <c r="AV1441" s="467" t="str">
        <f t="shared" si="819"/>
        <v/>
      </c>
      <c r="AW1441" s="467" t="str">
        <f t="shared" si="820"/>
        <v/>
      </c>
      <c r="AX1441" s="467" t="str">
        <f t="shared" si="821"/>
        <v/>
      </c>
      <c r="AY1441" s="467" t="str">
        <f t="shared" si="822"/>
        <v/>
      </c>
      <c r="AZ1441" s="467" t="str">
        <f t="shared" si="823"/>
        <v/>
      </c>
      <c r="BA1441" s="468" t="str">
        <f>IF(AS1441="","",IF(OR(AU1441="",AU1441="-"),"－",IF(OR(AZ1441=8,AZ1441=9),"",IF(OR(AW1441=3,AW1441=4,AW1441=5,AW1441=6),VLOOKUP(AU1441,INDEX((係数_バス貨物_ガソリン,係数_バス貨物_CNG,係数_バス貨物_軽油,係数_バス貨物_メタノール,係数_バス貨物_LPG),MATCH(AY1441,【参考】排出係数!$AI$4:$AI$671,1),1,BE1441):INDEX((係数_バス貨物_ガソリン,係数_バス貨物_CNG,係数_バス貨物_軽油,係数_バス貨物_メタノール,係数_バス貨物_LPG),MATCH(AY1441+1,【参考】排出係数!$AI$4:$AI$671,1)-1,5,BE1441),2,FALSE),IF(OR(AW1441=1,AW1441=2),VLOOKUP(AU1441,INDEX((係数_乗用_ガソリン,係数_乗用_CNG,係数_乗用_軽油,係数_乗用_メタノール,係数_乗用_LPG),1,1,BE1441):INDEX((係数_乗用_ガソリン,係数_乗用_CNG,係数_乗用_軽油,係数_乗用_メタノール,係数_乗用_LPG),125,5,BE1441),2,FALSE))))))</f>
        <v/>
      </c>
      <c r="BB1441" s="468" t="str">
        <f>IF(T1441="","",IF(OR(AU1441="",AU1441="-"),"－",IF(OR(AZ1441=8,AZ1441=9),"",IF(OR(AW1441=3,AW1441=4,AW1441=5,AW1441=6),VLOOKUP(AU1441,INDEX((係数_バス貨物_ガソリン,係数_バス貨物_CNG,係数_バス貨物_軽油,係数_バス貨物_メタノール,係数_バス貨物_LPG),MATCH(AY1441,【参考】排出係数!$AI$4:$AI$671,1),1,BE1441):INDEX((係数_バス貨物_ガソリン,係数_バス貨物_CNG,係数_バス貨物_軽油,係数_バス貨物_メタノール,係数_バス貨物_LPG),MATCH(AY1441+1,【参考】排出係数!$AI$4:$AI$671,1)-1,5,BE1441),3,FALSE),IF(OR(AW1441=1,AW1441=2),VLOOKUP(AU1441,INDEX((係数_乗用_ガソリン,係数_乗用_CNG,係数_乗用_軽油,係数_乗用_メタノール,係数_乗用_LPG),1,1,BE1441):INDEX((係数_乗用_ガソリン,係数_乗用_CNG,係数_乗用_軽油,係数_乗用_メタノール,係数_乗用_LPG),125,5,BE1441),3,FALSE))))))</f>
        <v/>
      </c>
      <c r="BC1441" s="467" t="str">
        <f t="shared" si="824"/>
        <v/>
      </c>
      <c r="BD1441" s="567" t="str">
        <f t="shared" si="825"/>
        <v/>
      </c>
      <c r="BE1441" s="467" t="str">
        <f t="shared" si="826"/>
        <v/>
      </c>
      <c r="BF1441" s="469" t="str">
        <f t="shared" ca="1" si="827"/>
        <v/>
      </c>
      <c r="BG1441" s="469" t="str">
        <f t="shared" ca="1" si="828"/>
        <v/>
      </c>
      <c r="BH1441" s="467" t="str">
        <f t="shared" si="829"/>
        <v/>
      </c>
      <c r="BI1441" s="467" t="str">
        <f t="shared" ca="1" si="830"/>
        <v/>
      </c>
      <c r="BJ1441" s="469" t="str">
        <f t="shared" si="831"/>
        <v/>
      </c>
      <c r="BK1441" s="470" t="str">
        <f t="shared" si="815"/>
        <v/>
      </c>
      <c r="BL1441" s="775" t="str">
        <f t="shared" si="832"/>
        <v/>
      </c>
      <c r="BM1441" s="775" t="str">
        <f t="shared" si="833"/>
        <v/>
      </c>
    </row>
    <row r="1442" spans="1:65">
      <c r="A1442" s="473">
        <v>1386</v>
      </c>
      <c r="B1442" s="132"/>
      <c r="C1442" s="332"/>
      <c r="D1442" s="333"/>
      <c r="E1442" s="333"/>
      <c r="F1442" s="334"/>
      <c r="G1442" s="337"/>
      <c r="H1442" s="131"/>
      <c r="I1442" s="337"/>
      <c r="J1442" s="131"/>
      <c r="K1442" s="458" t="str">
        <f t="shared" si="796"/>
        <v/>
      </c>
      <c r="L1442" s="458">
        <f t="shared" si="797"/>
        <v>0</v>
      </c>
      <c r="M1442" s="458">
        <f t="shared" si="798"/>
        <v>0</v>
      </c>
      <c r="N1442" s="459" t="str">
        <f t="shared" si="809"/>
        <v/>
      </c>
      <c r="O1442" s="459" t="str">
        <f t="shared" si="810"/>
        <v/>
      </c>
      <c r="P1442" s="459" t="str">
        <f t="shared" si="811"/>
        <v/>
      </c>
      <c r="Q1442" s="459" t="str">
        <f t="shared" si="812"/>
        <v/>
      </c>
      <c r="R1442" s="459" t="str">
        <f t="shared" si="813"/>
        <v/>
      </c>
      <c r="S1442" s="459" t="str">
        <f t="shared" si="814"/>
        <v/>
      </c>
      <c r="T1442" s="566" t="str">
        <f t="shared" si="799"/>
        <v/>
      </c>
      <c r="U1442" s="702"/>
      <c r="V1442" s="132"/>
      <c r="W1442" s="133"/>
      <c r="X1442" s="134"/>
      <c r="Y1442" s="135"/>
      <c r="Z1442" s="137"/>
      <c r="AA1442" s="136"/>
      <c r="AB1442" s="566" t="str">
        <f t="shared" si="800"/>
        <v/>
      </c>
      <c r="AC1442" s="568" t="str">
        <f t="shared" si="801"/>
        <v/>
      </c>
      <c r="AD1442" s="137"/>
      <c r="AE1442" s="137"/>
      <c r="AF1442" s="138"/>
      <c r="AG1442" s="138"/>
      <c r="AH1442" s="592" t="str">
        <f t="shared" si="802"/>
        <v/>
      </c>
      <c r="AI1442" s="592" t="str">
        <f t="shared" si="803"/>
        <v/>
      </c>
      <c r="AJ1442" s="592" t="str">
        <f t="shared" si="804"/>
        <v/>
      </c>
      <c r="AK1442" s="460" t="str">
        <f>IF(AU1442="","",IF(OR(AZ1442=8,AZ1442=9),0,IF(OR(AW1442=3,AW1442=4,AW1442=5,AW1442=6),IF(LEFT(BF1442,1)="1",INDEX(係数_NOX・PM低減,MATCH(AY1442,【参考】排出係数!$AI$801:$AI$804,1),1),VLOOKUP(AU1442,INDEX((係数_バス貨物_ガソリン,係数_バス貨物_CNG,係数_バス貨物_軽油,係数_バス貨物_メタノール,係数_バス貨物_LPG),MATCH(AY1442,【参考】排出係数!$AI$4:$AI$671,1),1,BE1442):INDEX((係数_バス貨物_ガソリン,係数_バス貨物_CNG,係数_バス貨物_軽油,係数_バス貨物_メタノール,係数_バス貨物_LPG),MATCH(AY1442+1,【参考】排出係数!$AI$4:$AI$671,1)-1,5,BE1442),4,FALSE)),IF(AND(BE1442=3,LEFT(BF1442,1)="1"),0.48,VLOOKUP(AU1442,INDEX((係数_乗用_ガソリン,係数_乗用_CNG,係数_乗用_軽油,係数_乗用_メタノール,係数_乗用_LPG),1,1,BE1442):INDEX((係数_乗用_ガソリン,係数_乗用_CNG,係数_乗用_軽油,係数_乗用_メタノール,係数_乗用_LPG),125,5,BE1442),4,FALSE)))))</f>
        <v/>
      </c>
      <c r="AL1442" s="461" t="str">
        <f t="shared" si="805"/>
        <v/>
      </c>
      <c r="AM1442" s="460" t="str">
        <f>IF(AU1442="","",IF(OR(AZ1442=8,AZ1442=9),0,IF(OR(AW1442=3,AW1442=4,AW1442=5,AW1442=6),IF(LEFT(BH1442,1)="1",INDEX(係数_PM低減,MATCH(AY1442,【参考】排出係数!$AI$801:$AI$804,1),MATCH(BI1442,【参考】排出係数!$AL$798:$AO$798,1)),VLOOKUP(AU1442,INDEX((係数_バス貨物_ガソリン,係数_バス貨物_CNG,係数_バス貨物_軽油,係数_バス貨物_メタノール,係数_バス貨物_LPG),MATCH(AY1442,【参考】排出係数!$AI$4:$AI$671,1),1,BE1442):INDEX((係数_バス貨物_ガソリン,係数_バス貨物_CNG,係数_バス貨物_軽油,係数_バス貨物_メタノール,係数_バス貨物_LPG),MATCH(AY1442+1,【参考】排出係数!$AI$4:$AI$671,1)-1,5,BE1442),5,FALSE)),IF(AND(BE1442=3,LEFT(BF1442,1)="1"),0.055,VLOOKUP(AU1442,INDEX((係数_乗用_ガソリン,係数_乗用_CNG,係数_乗用_軽油,係数_乗用_メタノール,係数_乗用_LPG),1,1,BE1442):INDEX((係数_乗用_ガソリン,係数_乗用_CNG,係数_乗用_軽油,係数_乗用_メタノール,係数_乗用_LPG),125,5,BE1442),5,FALSE)))))</f>
        <v/>
      </c>
      <c r="AN1442" s="461" t="str">
        <f t="shared" si="806"/>
        <v/>
      </c>
      <c r="AO1442" s="462" t="str">
        <f t="shared" si="807"/>
        <v/>
      </c>
      <c r="AP1442" s="463" t="str">
        <f t="shared" si="808"/>
        <v/>
      </c>
      <c r="AQ1442" s="464"/>
      <c r="AR1442" s="619"/>
      <c r="AS1442" s="465" t="str">
        <f t="shared" si="816"/>
        <v/>
      </c>
      <c r="AT1442" s="465" t="str">
        <f t="shared" si="817"/>
        <v/>
      </c>
      <c r="AU1442" s="466" t="str">
        <f t="shared" si="818"/>
        <v/>
      </c>
      <c r="AV1442" s="467" t="str">
        <f t="shared" si="819"/>
        <v/>
      </c>
      <c r="AW1442" s="467" t="str">
        <f t="shared" si="820"/>
        <v/>
      </c>
      <c r="AX1442" s="467" t="str">
        <f t="shared" si="821"/>
        <v/>
      </c>
      <c r="AY1442" s="467" t="str">
        <f t="shared" si="822"/>
        <v/>
      </c>
      <c r="AZ1442" s="467" t="str">
        <f t="shared" si="823"/>
        <v/>
      </c>
      <c r="BA1442" s="468" t="str">
        <f>IF(AS1442="","",IF(OR(AU1442="",AU1442="-"),"－",IF(OR(AZ1442=8,AZ1442=9),"",IF(OR(AW1442=3,AW1442=4,AW1442=5,AW1442=6),VLOOKUP(AU1442,INDEX((係数_バス貨物_ガソリン,係数_バス貨物_CNG,係数_バス貨物_軽油,係数_バス貨物_メタノール,係数_バス貨物_LPG),MATCH(AY1442,【参考】排出係数!$AI$4:$AI$671,1),1,BE1442):INDEX((係数_バス貨物_ガソリン,係数_バス貨物_CNG,係数_バス貨物_軽油,係数_バス貨物_メタノール,係数_バス貨物_LPG),MATCH(AY1442+1,【参考】排出係数!$AI$4:$AI$671,1)-1,5,BE1442),2,FALSE),IF(OR(AW1442=1,AW1442=2),VLOOKUP(AU1442,INDEX((係数_乗用_ガソリン,係数_乗用_CNG,係数_乗用_軽油,係数_乗用_メタノール,係数_乗用_LPG),1,1,BE1442):INDEX((係数_乗用_ガソリン,係数_乗用_CNG,係数_乗用_軽油,係数_乗用_メタノール,係数_乗用_LPG),125,5,BE1442),2,FALSE))))))</f>
        <v/>
      </c>
      <c r="BB1442" s="468" t="str">
        <f>IF(T1442="","",IF(OR(AU1442="",AU1442="-"),"－",IF(OR(AZ1442=8,AZ1442=9),"",IF(OR(AW1442=3,AW1442=4,AW1442=5,AW1442=6),VLOOKUP(AU1442,INDEX((係数_バス貨物_ガソリン,係数_バス貨物_CNG,係数_バス貨物_軽油,係数_バス貨物_メタノール,係数_バス貨物_LPG),MATCH(AY1442,【参考】排出係数!$AI$4:$AI$671,1),1,BE1442):INDEX((係数_バス貨物_ガソリン,係数_バス貨物_CNG,係数_バス貨物_軽油,係数_バス貨物_メタノール,係数_バス貨物_LPG),MATCH(AY1442+1,【参考】排出係数!$AI$4:$AI$671,1)-1,5,BE1442),3,FALSE),IF(OR(AW1442=1,AW1442=2),VLOOKUP(AU1442,INDEX((係数_乗用_ガソリン,係数_乗用_CNG,係数_乗用_軽油,係数_乗用_メタノール,係数_乗用_LPG),1,1,BE1442):INDEX((係数_乗用_ガソリン,係数_乗用_CNG,係数_乗用_軽油,係数_乗用_メタノール,係数_乗用_LPG),125,5,BE1442),3,FALSE))))))</f>
        <v/>
      </c>
      <c r="BC1442" s="467" t="str">
        <f t="shared" si="824"/>
        <v/>
      </c>
      <c r="BD1442" s="567" t="str">
        <f t="shared" si="825"/>
        <v/>
      </c>
      <c r="BE1442" s="467" t="str">
        <f t="shared" si="826"/>
        <v/>
      </c>
      <c r="BF1442" s="469" t="str">
        <f t="shared" ca="1" si="827"/>
        <v/>
      </c>
      <c r="BG1442" s="469" t="str">
        <f t="shared" ca="1" si="828"/>
        <v/>
      </c>
      <c r="BH1442" s="467" t="str">
        <f t="shared" si="829"/>
        <v/>
      </c>
      <c r="BI1442" s="467" t="str">
        <f t="shared" ca="1" si="830"/>
        <v/>
      </c>
      <c r="BJ1442" s="469" t="str">
        <f t="shared" si="831"/>
        <v/>
      </c>
      <c r="BK1442" s="470" t="str">
        <f t="shared" si="815"/>
        <v/>
      </c>
      <c r="BL1442" s="775" t="str">
        <f t="shared" si="832"/>
        <v/>
      </c>
      <c r="BM1442" s="775" t="str">
        <f t="shared" si="833"/>
        <v/>
      </c>
    </row>
    <row r="1443" spans="1:65">
      <c r="A1443" s="473">
        <v>1387</v>
      </c>
      <c r="B1443" s="132"/>
      <c r="C1443" s="332"/>
      <c r="D1443" s="333"/>
      <c r="E1443" s="333"/>
      <c r="F1443" s="334"/>
      <c r="G1443" s="337"/>
      <c r="H1443" s="131"/>
      <c r="I1443" s="337"/>
      <c r="J1443" s="131"/>
      <c r="K1443" s="458" t="str">
        <f t="shared" si="796"/>
        <v/>
      </c>
      <c r="L1443" s="458">
        <f t="shared" si="797"/>
        <v>0</v>
      </c>
      <c r="M1443" s="458">
        <f t="shared" si="798"/>
        <v>0</v>
      </c>
      <c r="N1443" s="459" t="str">
        <f t="shared" si="809"/>
        <v/>
      </c>
      <c r="O1443" s="459" t="str">
        <f t="shared" si="810"/>
        <v/>
      </c>
      <c r="P1443" s="459" t="str">
        <f t="shared" si="811"/>
        <v/>
      </c>
      <c r="Q1443" s="459" t="str">
        <f t="shared" si="812"/>
        <v/>
      </c>
      <c r="R1443" s="459" t="str">
        <f t="shared" si="813"/>
        <v/>
      </c>
      <c r="S1443" s="459" t="str">
        <f t="shared" si="814"/>
        <v/>
      </c>
      <c r="T1443" s="566" t="str">
        <f t="shared" si="799"/>
        <v/>
      </c>
      <c r="U1443" s="702"/>
      <c r="V1443" s="132"/>
      <c r="W1443" s="133"/>
      <c r="X1443" s="134"/>
      <c r="Y1443" s="135"/>
      <c r="Z1443" s="137"/>
      <c r="AA1443" s="136"/>
      <c r="AB1443" s="566" t="str">
        <f t="shared" si="800"/>
        <v/>
      </c>
      <c r="AC1443" s="568" t="str">
        <f t="shared" si="801"/>
        <v/>
      </c>
      <c r="AD1443" s="137"/>
      <c r="AE1443" s="137"/>
      <c r="AF1443" s="138"/>
      <c r="AG1443" s="138"/>
      <c r="AH1443" s="592" t="str">
        <f t="shared" si="802"/>
        <v/>
      </c>
      <c r="AI1443" s="592" t="str">
        <f t="shared" si="803"/>
        <v/>
      </c>
      <c r="AJ1443" s="592" t="str">
        <f t="shared" si="804"/>
        <v/>
      </c>
      <c r="AK1443" s="460" t="str">
        <f>IF(AU1443="","",IF(OR(AZ1443=8,AZ1443=9),0,IF(OR(AW1443=3,AW1443=4,AW1443=5,AW1443=6),IF(LEFT(BF1443,1)="1",INDEX(係数_NOX・PM低減,MATCH(AY1443,【参考】排出係数!$AI$801:$AI$804,1),1),VLOOKUP(AU1443,INDEX((係数_バス貨物_ガソリン,係数_バス貨物_CNG,係数_バス貨物_軽油,係数_バス貨物_メタノール,係数_バス貨物_LPG),MATCH(AY1443,【参考】排出係数!$AI$4:$AI$671,1),1,BE1443):INDEX((係数_バス貨物_ガソリン,係数_バス貨物_CNG,係数_バス貨物_軽油,係数_バス貨物_メタノール,係数_バス貨物_LPG),MATCH(AY1443+1,【参考】排出係数!$AI$4:$AI$671,1)-1,5,BE1443),4,FALSE)),IF(AND(BE1443=3,LEFT(BF1443,1)="1"),0.48,VLOOKUP(AU1443,INDEX((係数_乗用_ガソリン,係数_乗用_CNG,係数_乗用_軽油,係数_乗用_メタノール,係数_乗用_LPG),1,1,BE1443):INDEX((係数_乗用_ガソリン,係数_乗用_CNG,係数_乗用_軽油,係数_乗用_メタノール,係数_乗用_LPG),125,5,BE1443),4,FALSE)))))</f>
        <v/>
      </c>
      <c r="AL1443" s="461" t="str">
        <f t="shared" si="805"/>
        <v/>
      </c>
      <c r="AM1443" s="460" t="str">
        <f>IF(AU1443="","",IF(OR(AZ1443=8,AZ1443=9),0,IF(OR(AW1443=3,AW1443=4,AW1443=5,AW1443=6),IF(LEFT(BH1443,1)="1",INDEX(係数_PM低減,MATCH(AY1443,【参考】排出係数!$AI$801:$AI$804,1),MATCH(BI1443,【参考】排出係数!$AL$798:$AO$798,1)),VLOOKUP(AU1443,INDEX((係数_バス貨物_ガソリン,係数_バス貨物_CNG,係数_バス貨物_軽油,係数_バス貨物_メタノール,係数_バス貨物_LPG),MATCH(AY1443,【参考】排出係数!$AI$4:$AI$671,1),1,BE1443):INDEX((係数_バス貨物_ガソリン,係数_バス貨物_CNG,係数_バス貨物_軽油,係数_バス貨物_メタノール,係数_バス貨物_LPG),MATCH(AY1443+1,【参考】排出係数!$AI$4:$AI$671,1)-1,5,BE1443),5,FALSE)),IF(AND(BE1443=3,LEFT(BF1443,1)="1"),0.055,VLOOKUP(AU1443,INDEX((係数_乗用_ガソリン,係数_乗用_CNG,係数_乗用_軽油,係数_乗用_メタノール,係数_乗用_LPG),1,1,BE1443):INDEX((係数_乗用_ガソリン,係数_乗用_CNG,係数_乗用_軽油,係数_乗用_メタノール,係数_乗用_LPG),125,5,BE1443),5,FALSE)))))</f>
        <v/>
      </c>
      <c r="AN1443" s="461" t="str">
        <f t="shared" si="806"/>
        <v/>
      </c>
      <c r="AO1443" s="462" t="str">
        <f t="shared" si="807"/>
        <v/>
      </c>
      <c r="AP1443" s="463" t="str">
        <f t="shared" si="808"/>
        <v/>
      </c>
      <c r="AQ1443" s="464"/>
      <c r="AR1443" s="619"/>
      <c r="AS1443" s="465" t="str">
        <f t="shared" si="816"/>
        <v/>
      </c>
      <c r="AT1443" s="465" t="str">
        <f t="shared" si="817"/>
        <v/>
      </c>
      <c r="AU1443" s="466" t="str">
        <f t="shared" si="818"/>
        <v/>
      </c>
      <c r="AV1443" s="467" t="str">
        <f t="shared" si="819"/>
        <v/>
      </c>
      <c r="AW1443" s="467" t="str">
        <f t="shared" si="820"/>
        <v/>
      </c>
      <c r="AX1443" s="467" t="str">
        <f t="shared" si="821"/>
        <v/>
      </c>
      <c r="AY1443" s="467" t="str">
        <f t="shared" si="822"/>
        <v/>
      </c>
      <c r="AZ1443" s="467" t="str">
        <f t="shared" si="823"/>
        <v/>
      </c>
      <c r="BA1443" s="468" t="str">
        <f>IF(AS1443="","",IF(OR(AU1443="",AU1443="-"),"－",IF(OR(AZ1443=8,AZ1443=9),"",IF(OR(AW1443=3,AW1443=4,AW1443=5,AW1443=6),VLOOKUP(AU1443,INDEX((係数_バス貨物_ガソリン,係数_バス貨物_CNG,係数_バス貨物_軽油,係数_バス貨物_メタノール,係数_バス貨物_LPG),MATCH(AY1443,【参考】排出係数!$AI$4:$AI$671,1),1,BE1443):INDEX((係数_バス貨物_ガソリン,係数_バス貨物_CNG,係数_バス貨物_軽油,係数_バス貨物_メタノール,係数_バス貨物_LPG),MATCH(AY1443+1,【参考】排出係数!$AI$4:$AI$671,1)-1,5,BE1443),2,FALSE),IF(OR(AW1443=1,AW1443=2),VLOOKUP(AU1443,INDEX((係数_乗用_ガソリン,係数_乗用_CNG,係数_乗用_軽油,係数_乗用_メタノール,係数_乗用_LPG),1,1,BE1443):INDEX((係数_乗用_ガソリン,係数_乗用_CNG,係数_乗用_軽油,係数_乗用_メタノール,係数_乗用_LPG),125,5,BE1443),2,FALSE))))))</f>
        <v/>
      </c>
      <c r="BB1443" s="468" t="str">
        <f>IF(T1443="","",IF(OR(AU1443="",AU1443="-"),"－",IF(OR(AZ1443=8,AZ1443=9),"",IF(OR(AW1443=3,AW1443=4,AW1443=5,AW1443=6),VLOOKUP(AU1443,INDEX((係数_バス貨物_ガソリン,係数_バス貨物_CNG,係数_バス貨物_軽油,係数_バス貨物_メタノール,係数_バス貨物_LPG),MATCH(AY1443,【参考】排出係数!$AI$4:$AI$671,1),1,BE1443):INDEX((係数_バス貨物_ガソリン,係数_バス貨物_CNG,係数_バス貨物_軽油,係数_バス貨物_メタノール,係数_バス貨物_LPG),MATCH(AY1443+1,【参考】排出係数!$AI$4:$AI$671,1)-1,5,BE1443),3,FALSE),IF(OR(AW1443=1,AW1443=2),VLOOKUP(AU1443,INDEX((係数_乗用_ガソリン,係数_乗用_CNG,係数_乗用_軽油,係数_乗用_メタノール,係数_乗用_LPG),1,1,BE1443):INDEX((係数_乗用_ガソリン,係数_乗用_CNG,係数_乗用_軽油,係数_乗用_メタノール,係数_乗用_LPG),125,5,BE1443),3,FALSE))))))</f>
        <v/>
      </c>
      <c r="BC1443" s="467" t="str">
        <f t="shared" si="824"/>
        <v/>
      </c>
      <c r="BD1443" s="567" t="str">
        <f t="shared" si="825"/>
        <v/>
      </c>
      <c r="BE1443" s="467" t="str">
        <f t="shared" si="826"/>
        <v/>
      </c>
      <c r="BF1443" s="469" t="str">
        <f t="shared" ca="1" si="827"/>
        <v/>
      </c>
      <c r="BG1443" s="469" t="str">
        <f t="shared" ca="1" si="828"/>
        <v/>
      </c>
      <c r="BH1443" s="467" t="str">
        <f t="shared" si="829"/>
        <v/>
      </c>
      <c r="BI1443" s="467" t="str">
        <f t="shared" ca="1" si="830"/>
        <v/>
      </c>
      <c r="BJ1443" s="469" t="str">
        <f t="shared" si="831"/>
        <v/>
      </c>
      <c r="BK1443" s="470" t="str">
        <f t="shared" si="815"/>
        <v/>
      </c>
      <c r="BL1443" s="775" t="str">
        <f t="shared" si="832"/>
        <v/>
      </c>
      <c r="BM1443" s="775" t="str">
        <f t="shared" si="833"/>
        <v/>
      </c>
    </row>
    <row r="1444" spans="1:65">
      <c r="A1444" s="473">
        <v>1388</v>
      </c>
      <c r="B1444" s="132"/>
      <c r="C1444" s="332"/>
      <c r="D1444" s="333"/>
      <c r="E1444" s="333"/>
      <c r="F1444" s="334"/>
      <c r="G1444" s="337"/>
      <c r="H1444" s="131"/>
      <c r="I1444" s="337"/>
      <c r="J1444" s="131"/>
      <c r="K1444" s="458" t="str">
        <f t="shared" si="796"/>
        <v/>
      </c>
      <c r="L1444" s="458">
        <f t="shared" si="797"/>
        <v>0</v>
      </c>
      <c r="M1444" s="458">
        <f t="shared" si="798"/>
        <v>0</v>
      </c>
      <c r="N1444" s="459" t="str">
        <f t="shared" si="809"/>
        <v/>
      </c>
      <c r="O1444" s="459" t="str">
        <f t="shared" si="810"/>
        <v/>
      </c>
      <c r="P1444" s="459" t="str">
        <f t="shared" si="811"/>
        <v/>
      </c>
      <c r="Q1444" s="459" t="str">
        <f t="shared" si="812"/>
        <v/>
      </c>
      <c r="R1444" s="459" t="str">
        <f t="shared" si="813"/>
        <v/>
      </c>
      <c r="S1444" s="459" t="str">
        <f t="shared" si="814"/>
        <v/>
      </c>
      <c r="T1444" s="566" t="str">
        <f t="shared" si="799"/>
        <v/>
      </c>
      <c r="U1444" s="702"/>
      <c r="V1444" s="132"/>
      <c r="W1444" s="133"/>
      <c r="X1444" s="134"/>
      <c r="Y1444" s="135"/>
      <c r="Z1444" s="137"/>
      <c r="AA1444" s="136"/>
      <c r="AB1444" s="566" t="str">
        <f t="shared" si="800"/>
        <v/>
      </c>
      <c r="AC1444" s="568" t="str">
        <f t="shared" si="801"/>
        <v/>
      </c>
      <c r="AD1444" s="137"/>
      <c r="AE1444" s="137"/>
      <c r="AF1444" s="138"/>
      <c r="AG1444" s="138"/>
      <c r="AH1444" s="592" t="str">
        <f t="shared" si="802"/>
        <v/>
      </c>
      <c r="AI1444" s="592" t="str">
        <f t="shared" si="803"/>
        <v/>
      </c>
      <c r="AJ1444" s="592" t="str">
        <f t="shared" si="804"/>
        <v/>
      </c>
      <c r="AK1444" s="460" t="str">
        <f>IF(AU1444="","",IF(OR(AZ1444=8,AZ1444=9),0,IF(OR(AW1444=3,AW1444=4,AW1444=5,AW1444=6),IF(LEFT(BF1444,1)="1",INDEX(係数_NOX・PM低減,MATCH(AY1444,【参考】排出係数!$AI$801:$AI$804,1),1),VLOOKUP(AU1444,INDEX((係数_バス貨物_ガソリン,係数_バス貨物_CNG,係数_バス貨物_軽油,係数_バス貨物_メタノール,係数_バス貨物_LPG),MATCH(AY1444,【参考】排出係数!$AI$4:$AI$671,1),1,BE1444):INDEX((係数_バス貨物_ガソリン,係数_バス貨物_CNG,係数_バス貨物_軽油,係数_バス貨物_メタノール,係数_バス貨物_LPG),MATCH(AY1444+1,【参考】排出係数!$AI$4:$AI$671,1)-1,5,BE1444),4,FALSE)),IF(AND(BE1444=3,LEFT(BF1444,1)="1"),0.48,VLOOKUP(AU1444,INDEX((係数_乗用_ガソリン,係数_乗用_CNG,係数_乗用_軽油,係数_乗用_メタノール,係数_乗用_LPG),1,1,BE1444):INDEX((係数_乗用_ガソリン,係数_乗用_CNG,係数_乗用_軽油,係数_乗用_メタノール,係数_乗用_LPG),125,5,BE1444),4,FALSE)))))</f>
        <v/>
      </c>
      <c r="AL1444" s="461" t="str">
        <f t="shared" si="805"/>
        <v/>
      </c>
      <c r="AM1444" s="460" t="str">
        <f>IF(AU1444="","",IF(OR(AZ1444=8,AZ1444=9),0,IF(OR(AW1444=3,AW1444=4,AW1444=5,AW1444=6),IF(LEFT(BH1444,1)="1",INDEX(係数_PM低減,MATCH(AY1444,【参考】排出係数!$AI$801:$AI$804,1),MATCH(BI1444,【参考】排出係数!$AL$798:$AO$798,1)),VLOOKUP(AU1444,INDEX((係数_バス貨物_ガソリン,係数_バス貨物_CNG,係数_バス貨物_軽油,係数_バス貨物_メタノール,係数_バス貨物_LPG),MATCH(AY1444,【参考】排出係数!$AI$4:$AI$671,1),1,BE1444):INDEX((係数_バス貨物_ガソリン,係数_バス貨物_CNG,係数_バス貨物_軽油,係数_バス貨物_メタノール,係数_バス貨物_LPG),MATCH(AY1444+1,【参考】排出係数!$AI$4:$AI$671,1)-1,5,BE1444),5,FALSE)),IF(AND(BE1444=3,LEFT(BF1444,1)="1"),0.055,VLOOKUP(AU1444,INDEX((係数_乗用_ガソリン,係数_乗用_CNG,係数_乗用_軽油,係数_乗用_メタノール,係数_乗用_LPG),1,1,BE1444):INDEX((係数_乗用_ガソリン,係数_乗用_CNG,係数_乗用_軽油,係数_乗用_メタノール,係数_乗用_LPG),125,5,BE1444),5,FALSE)))))</f>
        <v/>
      </c>
      <c r="AN1444" s="461" t="str">
        <f t="shared" si="806"/>
        <v/>
      </c>
      <c r="AO1444" s="462" t="str">
        <f t="shared" si="807"/>
        <v/>
      </c>
      <c r="AP1444" s="463" t="str">
        <f t="shared" si="808"/>
        <v/>
      </c>
      <c r="AQ1444" s="464"/>
      <c r="AR1444" s="619"/>
      <c r="AS1444" s="465" t="str">
        <f t="shared" si="816"/>
        <v/>
      </c>
      <c r="AT1444" s="465" t="str">
        <f t="shared" si="817"/>
        <v/>
      </c>
      <c r="AU1444" s="466" t="str">
        <f t="shared" si="818"/>
        <v/>
      </c>
      <c r="AV1444" s="467" t="str">
        <f t="shared" si="819"/>
        <v/>
      </c>
      <c r="AW1444" s="467" t="str">
        <f t="shared" si="820"/>
        <v/>
      </c>
      <c r="AX1444" s="467" t="str">
        <f t="shared" si="821"/>
        <v/>
      </c>
      <c r="AY1444" s="467" t="str">
        <f t="shared" si="822"/>
        <v/>
      </c>
      <c r="AZ1444" s="467" t="str">
        <f t="shared" si="823"/>
        <v/>
      </c>
      <c r="BA1444" s="468" t="str">
        <f>IF(AS1444="","",IF(OR(AU1444="",AU1444="-"),"－",IF(OR(AZ1444=8,AZ1444=9),"",IF(OR(AW1444=3,AW1444=4,AW1444=5,AW1444=6),VLOOKUP(AU1444,INDEX((係数_バス貨物_ガソリン,係数_バス貨物_CNG,係数_バス貨物_軽油,係数_バス貨物_メタノール,係数_バス貨物_LPG),MATCH(AY1444,【参考】排出係数!$AI$4:$AI$671,1),1,BE1444):INDEX((係数_バス貨物_ガソリン,係数_バス貨物_CNG,係数_バス貨物_軽油,係数_バス貨物_メタノール,係数_バス貨物_LPG),MATCH(AY1444+1,【参考】排出係数!$AI$4:$AI$671,1)-1,5,BE1444),2,FALSE),IF(OR(AW1444=1,AW1444=2),VLOOKUP(AU1444,INDEX((係数_乗用_ガソリン,係数_乗用_CNG,係数_乗用_軽油,係数_乗用_メタノール,係数_乗用_LPG),1,1,BE1444):INDEX((係数_乗用_ガソリン,係数_乗用_CNG,係数_乗用_軽油,係数_乗用_メタノール,係数_乗用_LPG),125,5,BE1444),2,FALSE))))))</f>
        <v/>
      </c>
      <c r="BB1444" s="468" t="str">
        <f>IF(T1444="","",IF(OR(AU1444="",AU1444="-"),"－",IF(OR(AZ1444=8,AZ1444=9),"",IF(OR(AW1444=3,AW1444=4,AW1444=5,AW1444=6),VLOOKUP(AU1444,INDEX((係数_バス貨物_ガソリン,係数_バス貨物_CNG,係数_バス貨物_軽油,係数_バス貨物_メタノール,係数_バス貨物_LPG),MATCH(AY1444,【参考】排出係数!$AI$4:$AI$671,1),1,BE1444):INDEX((係数_バス貨物_ガソリン,係数_バス貨物_CNG,係数_バス貨物_軽油,係数_バス貨物_メタノール,係数_バス貨物_LPG),MATCH(AY1444+1,【参考】排出係数!$AI$4:$AI$671,1)-1,5,BE1444),3,FALSE),IF(OR(AW1444=1,AW1444=2),VLOOKUP(AU1444,INDEX((係数_乗用_ガソリン,係数_乗用_CNG,係数_乗用_軽油,係数_乗用_メタノール,係数_乗用_LPG),1,1,BE1444):INDEX((係数_乗用_ガソリン,係数_乗用_CNG,係数_乗用_軽油,係数_乗用_メタノール,係数_乗用_LPG),125,5,BE1444),3,FALSE))))))</f>
        <v/>
      </c>
      <c r="BC1444" s="467" t="str">
        <f t="shared" si="824"/>
        <v/>
      </c>
      <c r="BD1444" s="567" t="str">
        <f t="shared" si="825"/>
        <v/>
      </c>
      <c r="BE1444" s="467" t="str">
        <f t="shared" si="826"/>
        <v/>
      </c>
      <c r="BF1444" s="469" t="str">
        <f t="shared" ca="1" si="827"/>
        <v/>
      </c>
      <c r="BG1444" s="469" t="str">
        <f t="shared" ca="1" si="828"/>
        <v/>
      </c>
      <c r="BH1444" s="467" t="str">
        <f t="shared" si="829"/>
        <v/>
      </c>
      <c r="BI1444" s="467" t="str">
        <f t="shared" ca="1" si="830"/>
        <v/>
      </c>
      <c r="BJ1444" s="469" t="str">
        <f t="shared" si="831"/>
        <v/>
      </c>
      <c r="BK1444" s="470" t="str">
        <f t="shared" si="815"/>
        <v/>
      </c>
      <c r="BL1444" s="775" t="str">
        <f t="shared" si="832"/>
        <v/>
      </c>
      <c r="BM1444" s="775" t="str">
        <f t="shared" si="833"/>
        <v/>
      </c>
    </row>
    <row r="1445" spans="1:65">
      <c r="A1445" s="473">
        <v>1389</v>
      </c>
      <c r="B1445" s="132"/>
      <c r="C1445" s="332"/>
      <c r="D1445" s="333"/>
      <c r="E1445" s="333"/>
      <c r="F1445" s="334"/>
      <c r="G1445" s="337"/>
      <c r="H1445" s="131"/>
      <c r="I1445" s="337"/>
      <c r="J1445" s="131"/>
      <c r="K1445" s="458" t="str">
        <f t="shared" si="796"/>
        <v/>
      </c>
      <c r="L1445" s="458">
        <f t="shared" si="797"/>
        <v>0</v>
      </c>
      <c r="M1445" s="458">
        <f t="shared" si="798"/>
        <v>0</v>
      </c>
      <c r="N1445" s="459" t="str">
        <f t="shared" si="809"/>
        <v/>
      </c>
      <c r="O1445" s="459" t="str">
        <f t="shared" si="810"/>
        <v/>
      </c>
      <c r="P1445" s="459" t="str">
        <f t="shared" si="811"/>
        <v/>
      </c>
      <c r="Q1445" s="459" t="str">
        <f t="shared" si="812"/>
        <v/>
      </c>
      <c r="R1445" s="459" t="str">
        <f t="shared" si="813"/>
        <v/>
      </c>
      <c r="S1445" s="459" t="str">
        <f t="shared" si="814"/>
        <v/>
      </c>
      <c r="T1445" s="566" t="str">
        <f t="shared" si="799"/>
        <v/>
      </c>
      <c r="U1445" s="702"/>
      <c r="V1445" s="132"/>
      <c r="W1445" s="133"/>
      <c r="X1445" s="134"/>
      <c r="Y1445" s="135"/>
      <c r="Z1445" s="137"/>
      <c r="AA1445" s="136"/>
      <c r="AB1445" s="566" t="str">
        <f t="shared" si="800"/>
        <v/>
      </c>
      <c r="AC1445" s="568" t="str">
        <f t="shared" si="801"/>
        <v/>
      </c>
      <c r="AD1445" s="137"/>
      <c r="AE1445" s="137"/>
      <c r="AF1445" s="138"/>
      <c r="AG1445" s="138"/>
      <c r="AH1445" s="592" t="str">
        <f t="shared" si="802"/>
        <v/>
      </c>
      <c r="AI1445" s="592" t="str">
        <f t="shared" si="803"/>
        <v/>
      </c>
      <c r="AJ1445" s="592" t="str">
        <f t="shared" si="804"/>
        <v/>
      </c>
      <c r="AK1445" s="460" t="str">
        <f>IF(AU1445="","",IF(OR(AZ1445=8,AZ1445=9),0,IF(OR(AW1445=3,AW1445=4,AW1445=5,AW1445=6),IF(LEFT(BF1445,1)="1",INDEX(係数_NOX・PM低減,MATCH(AY1445,【参考】排出係数!$AI$801:$AI$804,1),1),VLOOKUP(AU1445,INDEX((係数_バス貨物_ガソリン,係数_バス貨物_CNG,係数_バス貨物_軽油,係数_バス貨物_メタノール,係数_バス貨物_LPG),MATCH(AY1445,【参考】排出係数!$AI$4:$AI$671,1),1,BE1445):INDEX((係数_バス貨物_ガソリン,係数_バス貨物_CNG,係数_バス貨物_軽油,係数_バス貨物_メタノール,係数_バス貨物_LPG),MATCH(AY1445+1,【参考】排出係数!$AI$4:$AI$671,1)-1,5,BE1445),4,FALSE)),IF(AND(BE1445=3,LEFT(BF1445,1)="1"),0.48,VLOOKUP(AU1445,INDEX((係数_乗用_ガソリン,係数_乗用_CNG,係数_乗用_軽油,係数_乗用_メタノール,係数_乗用_LPG),1,1,BE1445):INDEX((係数_乗用_ガソリン,係数_乗用_CNG,係数_乗用_軽油,係数_乗用_メタノール,係数_乗用_LPG),125,5,BE1445),4,FALSE)))))</f>
        <v/>
      </c>
      <c r="AL1445" s="461" t="str">
        <f t="shared" si="805"/>
        <v/>
      </c>
      <c r="AM1445" s="460" t="str">
        <f>IF(AU1445="","",IF(OR(AZ1445=8,AZ1445=9),0,IF(OR(AW1445=3,AW1445=4,AW1445=5,AW1445=6),IF(LEFT(BH1445,1)="1",INDEX(係数_PM低減,MATCH(AY1445,【参考】排出係数!$AI$801:$AI$804,1),MATCH(BI1445,【参考】排出係数!$AL$798:$AO$798,1)),VLOOKUP(AU1445,INDEX((係数_バス貨物_ガソリン,係数_バス貨物_CNG,係数_バス貨物_軽油,係数_バス貨物_メタノール,係数_バス貨物_LPG),MATCH(AY1445,【参考】排出係数!$AI$4:$AI$671,1),1,BE1445):INDEX((係数_バス貨物_ガソリン,係数_バス貨物_CNG,係数_バス貨物_軽油,係数_バス貨物_メタノール,係数_バス貨物_LPG),MATCH(AY1445+1,【参考】排出係数!$AI$4:$AI$671,1)-1,5,BE1445),5,FALSE)),IF(AND(BE1445=3,LEFT(BF1445,1)="1"),0.055,VLOOKUP(AU1445,INDEX((係数_乗用_ガソリン,係数_乗用_CNG,係数_乗用_軽油,係数_乗用_メタノール,係数_乗用_LPG),1,1,BE1445):INDEX((係数_乗用_ガソリン,係数_乗用_CNG,係数_乗用_軽油,係数_乗用_メタノール,係数_乗用_LPG),125,5,BE1445),5,FALSE)))))</f>
        <v/>
      </c>
      <c r="AN1445" s="461" t="str">
        <f t="shared" si="806"/>
        <v/>
      </c>
      <c r="AO1445" s="462" t="str">
        <f t="shared" si="807"/>
        <v/>
      </c>
      <c r="AP1445" s="463" t="str">
        <f t="shared" si="808"/>
        <v/>
      </c>
      <c r="AQ1445" s="464"/>
      <c r="AR1445" s="619"/>
      <c r="AS1445" s="465" t="str">
        <f t="shared" si="816"/>
        <v/>
      </c>
      <c r="AT1445" s="465" t="str">
        <f t="shared" si="817"/>
        <v/>
      </c>
      <c r="AU1445" s="466" t="str">
        <f t="shared" si="818"/>
        <v/>
      </c>
      <c r="AV1445" s="467" t="str">
        <f t="shared" si="819"/>
        <v/>
      </c>
      <c r="AW1445" s="467" t="str">
        <f t="shared" si="820"/>
        <v/>
      </c>
      <c r="AX1445" s="467" t="str">
        <f t="shared" si="821"/>
        <v/>
      </c>
      <c r="AY1445" s="467" t="str">
        <f t="shared" si="822"/>
        <v/>
      </c>
      <c r="AZ1445" s="467" t="str">
        <f t="shared" si="823"/>
        <v/>
      </c>
      <c r="BA1445" s="468" t="str">
        <f>IF(AS1445="","",IF(OR(AU1445="",AU1445="-"),"－",IF(OR(AZ1445=8,AZ1445=9),"",IF(OR(AW1445=3,AW1445=4,AW1445=5,AW1445=6),VLOOKUP(AU1445,INDEX((係数_バス貨物_ガソリン,係数_バス貨物_CNG,係数_バス貨物_軽油,係数_バス貨物_メタノール,係数_バス貨物_LPG),MATCH(AY1445,【参考】排出係数!$AI$4:$AI$671,1),1,BE1445):INDEX((係数_バス貨物_ガソリン,係数_バス貨物_CNG,係数_バス貨物_軽油,係数_バス貨物_メタノール,係数_バス貨物_LPG),MATCH(AY1445+1,【参考】排出係数!$AI$4:$AI$671,1)-1,5,BE1445),2,FALSE),IF(OR(AW1445=1,AW1445=2),VLOOKUP(AU1445,INDEX((係数_乗用_ガソリン,係数_乗用_CNG,係数_乗用_軽油,係数_乗用_メタノール,係数_乗用_LPG),1,1,BE1445):INDEX((係数_乗用_ガソリン,係数_乗用_CNG,係数_乗用_軽油,係数_乗用_メタノール,係数_乗用_LPG),125,5,BE1445),2,FALSE))))))</f>
        <v/>
      </c>
      <c r="BB1445" s="468" t="str">
        <f>IF(T1445="","",IF(OR(AU1445="",AU1445="-"),"－",IF(OR(AZ1445=8,AZ1445=9),"",IF(OR(AW1445=3,AW1445=4,AW1445=5,AW1445=6),VLOOKUP(AU1445,INDEX((係数_バス貨物_ガソリン,係数_バス貨物_CNG,係数_バス貨物_軽油,係数_バス貨物_メタノール,係数_バス貨物_LPG),MATCH(AY1445,【参考】排出係数!$AI$4:$AI$671,1),1,BE1445):INDEX((係数_バス貨物_ガソリン,係数_バス貨物_CNG,係数_バス貨物_軽油,係数_バス貨物_メタノール,係数_バス貨物_LPG),MATCH(AY1445+1,【参考】排出係数!$AI$4:$AI$671,1)-1,5,BE1445),3,FALSE),IF(OR(AW1445=1,AW1445=2),VLOOKUP(AU1445,INDEX((係数_乗用_ガソリン,係数_乗用_CNG,係数_乗用_軽油,係数_乗用_メタノール,係数_乗用_LPG),1,1,BE1445):INDEX((係数_乗用_ガソリン,係数_乗用_CNG,係数_乗用_軽油,係数_乗用_メタノール,係数_乗用_LPG),125,5,BE1445),3,FALSE))))))</f>
        <v/>
      </c>
      <c r="BC1445" s="467" t="str">
        <f t="shared" si="824"/>
        <v/>
      </c>
      <c r="BD1445" s="567" t="str">
        <f t="shared" si="825"/>
        <v/>
      </c>
      <c r="BE1445" s="467" t="str">
        <f t="shared" si="826"/>
        <v/>
      </c>
      <c r="BF1445" s="469" t="str">
        <f t="shared" ca="1" si="827"/>
        <v/>
      </c>
      <c r="BG1445" s="469" t="str">
        <f t="shared" ca="1" si="828"/>
        <v/>
      </c>
      <c r="BH1445" s="467" t="str">
        <f t="shared" si="829"/>
        <v/>
      </c>
      <c r="BI1445" s="467" t="str">
        <f t="shared" ca="1" si="830"/>
        <v/>
      </c>
      <c r="BJ1445" s="469" t="str">
        <f t="shared" si="831"/>
        <v/>
      </c>
      <c r="BK1445" s="470" t="str">
        <f t="shared" si="815"/>
        <v/>
      </c>
      <c r="BL1445" s="775" t="str">
        <f t="shared" si="832"/>
        <v/>
      </c>
      <c r="BM1445" s="775" t="str">
        <f t="shared" si="833"/>
        <v/>
      </c>
    </row>
    <row r="1446" spans="1:65">
      <c r="A1446" s="473">
        <v>1390</v>
      </c>
      <c r="B1446" s="132"/>
      <c r="C1446" s="332"/>
      <c r="D1446" s="333"/>
      <c r="E1446" s="333"/>
      <c r="F1446" s="334"/>
      <c r="G1446" s="337"/>
      <c r="H1446" s="131"/>
      <c r="I1446" s="337"/>
      <c r="J1446" s="131"/>
      <c r="K1446" s="458" t="str">
        <f t="shared" si="796"/>
        <v/>
      </c>
      <c r="L1446" s="458">
        <f t="shared" si="797"/>
        <v>0</v>
      </c>
      <c r="M1446" s="458">
        <f t="shared" si="798"/>
        <v>0</v>
      </c>
      <c r="N1446" s="459" t="str">
        <f t="shared" si="809"/>
        <v/>
      </c>
      <c r="O1446" s="459" t="str">
        <f t="shared" si="810"/>
        <v/>
      </c>
      <c r="P1446" s="459" t="str">
        <f t="shared" si="811"/>
        <v/>
      </c>
      <c r="Q1446" s="459" t="str">
        <f t="shared" si="812"/>
        <v/>
      </c>
      <c r="R1446" s="459" t="str">
        <f t="shared" si="813"/>
        <v/>
      </c>
      <c r="S1446" s="459" t="str">
        <f t="shared" si="814"/>
        <v/>
      </c>
      <c r="T1446" s="566" t="str">
        <f t="shared" si="799"/>
        <v/>
      </c>
      <c r="U1446" s="702"/>
      <c r="V1446" s="132"/>
      <c r="W1446" s="133"/>
      <c r="X1446" s="134"/>
      <c r="Y1446" s="135"/>
      <c r="Z1446" s="137"/>
      <c r="AA1446" s="136"/>
      <c r="AB1446" s="566" t="str">
        <f t="shared" si="800"/>
        <v/>
      </c>
      <c r="AC1446" s="568" t="str">
        <f t="shared" si="801"/>
        <v/>
      </c>
      <c r="AD1446" s="137"/>
      <c r="AE1446" s="137"/>
      <c r="AF1446" s="138"/>
      <c r="AG1446" s="138"/>
      <c r="AH1446" s="592" t="str">
        <f t="shared" si="802"/>
        <v/>
      </c>
      <c r="AI1446" s="592" t="str">
        <f t="shared" si="803"/>
        <v/>
      </c>
      <c r="AJ1446" s="592" t="str">
        <f t="shared" si="804"/>
        <v/>
      </c>
      <c r="AK1446" s="460" t="str">
        <f>IF(AU1446="","",IF(OR(AZ1446=8,AZ1446=9),0,IF(OR(AW1446=3,AW1446=4,AW1446=5,AW1446=6),IF(LEFT(BF1446,1)="1",INDEX(係数_NOX・PM低減,MATCH(AY1446,【参考】排出係数!$AI$801:$AI$804,1),1),VLOOKUP(AU1446,INDEX((係数_バス貨物_ガソリン,係数_バス貨物_CNG,係数_バス貨物_軽油,係数_バス貨物_メタノール,係数_バス貨物_LPG),MATCH(AY1446,【参考】排出係数!$AI$4:$AI$671,1),1,BE1446):INDEX((係数_バス貨物_ガソリン,係数_バス貨物_CNG,係数_バス貨物_軽油,係数_バス貨物_メタノール,係数_バス貨物_LPG),MATCH(AY1446+1,【参考】排出係数!$AI$4:$AI$671,1)-1,5,BE1446),4,FALSE)),IF(AND(BE1446=3,LEFT(BF1446,1)="1"),0.48,VLOOKUP(AU1446,INDEX((係数_乗用_ガソリン,係数_乗用_CNG,係数_乗用_軽油,係数_乗用_メタノール,係数_乗用_LPG),1,1,BE1446):INDEX((係数_乗用_ガソリン,係数_乗用_CNG,係数_乗用_軽油,係数_乗用_メタノール,係数_乗用_LPG),125,5,BE1446),4,FALSE)))))</f>
        <v/>
      </c>
      <c r="AL1446" s="461" t="str">
        <f t="shared" si="805"/>
        <v/>
      </c>
      <c r="AM1446" s="460" t="str">
        <f>IF(AU1446="","",IF(OR(AZ1446=8,AZ1446=9),0,IF(OR(AW1446=3,AW1446=4,AW1446=5,AW1446=6),IF(LEFT(BH1446,1)="1",INDEX(係数_PM低減,MATCH(AY1446,【参考】排出係数!$AI$801:$AI$804,1),MATCH(BI1446,【参考】排出係数!$AL$798:$AO$798,1)),VLOOKUP(AU1446,INDEX((係数_バス貨物_ガソリン,係数_バス貨物_CNG,係数_バス貨物_軽油,係数_バス貨物_メタノール,係数_バス貨物_LPG),MATCH(AY1446,【参考】排出係数!$AI$4:$AI$671,1),1,BE1446):INDEX((係数_バス貨物_ガソリン,係数_バス貨物_CNG,係数_バス貨物_軽油,係数_バス貨物_メタノール,係数_バス貨物_LPG),MATCH(AY1446+1,【参考】排出係数!$AI$4:$AI$671,1)-1,5,BE1446),5,FALSE)),IF(AND(BE1446=3,LEFT(BF1446,1)="1"),0.055,VLOOKUP(AU1446,INDEX((係数_乗用_ガソリン,係数_乗用_CNG,係数_乗用_軽油,係数_乗用_メタノール,係数_乗用_LPG),1,1,BE1446):INDEX((係数_乗用_ガソリン,係数_乗用_CNG,係数_乗用_軽油,係数_乗用_メタノール,係数_乗用_LPG),125,5,BE1446),5,FALSE)))))</f>
        <v/>
      </c>
      <c r="AN1446" s="461" t="str">
        <f t="shared" si="806"/>
        <v/>
      </c>
      <c r="AO1446" s="462" t="str">
        <f t="shared" si="807"/>
        <v/>
      </c>
      <c r="AP1446" s="463" t="str">
        <f t="shared" si="808"/>
        <v/>
      </c>
      <c r="AQ1446" s="464"/>
      <c r="AR1446" s="619"/>
      <c r="AS1446" s="465" t="str">
        <f t="shared" si="816"/>
        <v/>
      </c>
      <c r="AT1446" s="465" t="str">
        <f t="shared" si="817"/>
        <v/>
      </c>
      <c r="AU1446" s="466" t="str">
        <f t="shared" si="818"/>
        <v/>
      </c>
      <c r="AV1446" s="467" t="str">
        <f t="shared" si="819"/>
        <v/>
      </c>
      <c r="AW1446" s="467" t="str">
        <f t="shared" si="820"/>
        <v/>
      </c>
      <c r="AX1446" s="467" t="str">
        <f t="shared" si="821"/>
        <v/>
      </c>
      <c r="AY1446" s="467" t="str">
        <f t="shared" si="822"/>
        <v/>
      </c>
      <c r="AZ1446" s="467" t="str">
        <f t="shared" si="823"/>
        <v/>
      </c>
      <c r="BA1446" s="468" t="str">
        <f>IF(AS1446="","",IF(OR(AU1446="",AU1446="-"),"－",IF(OR(AZ1446=8,AZ1446=9),"",IF(OR(AW1446=3,AW1446=4,AW1446=5,AW1446=6),VLOOKUP(AU1446,INDEX((係数_バス貨物_ガソリン,係数_バス貨物_CNG,係数_バス貨物_軽油,係数_バス貨物_メタノール,係数_バス貨物_LPG),MATCH(AY1446,【参考】排出係数!$AI$4:$AI$671,1),1,BE1446):INDEX((係数_バス貨物_ガソリン,係数_バス貨物_CNG,係数_バス貨物_軽油,係数_バス貨物_メタノール,係数_バス貨物_LPG),MATCH(AY1446+1,【参考】排出係数!$AI$4:$AI$671,1)-1,5,BE1446),2,FALSE),IF(OR(AW1446=1,AW1446=2),VLOOKUP(AU1446,INDEX((係数_乗用_ガソリン,係数_乗用_CNG,係数_乗用_軽油,係数_乗用_メタノール,係数_乗用_LPG),1,1,BE1446):INDEX((係数_乗用_ガソリン,係数_乗用_CNG,係数_乗用_軽油,係数_乗用_メタノール,係数_乗用_LPG),125,5,BE1446),2,FALSE))))))</f>
        <v/>
      </c>
      <c r="BB1446" s="468" t="str">
        <f>IF(T1446="","",IF(OR(AU1446="",AU1446="-"),"－",IF(OR(AZ1446=8,AZ1446=9),"",IF(OR(AW1446=3,AW1446=4,AW1446=5,AW1446=6),VLOOKUP(AU1446,INDEX((係数_バス貨物_ガソリン,係数_バス貨物_CNG,係数_バス貨物_軽油,係数_バス貨物_メタノール,係数_バス貨物_LPG),MATCH(AY1446,【参考】排出係数!$AI$4:$AI$671,1),1,BE1446):INDEX((係数_バス貨物_ガソリン,係数_バス貨物_CNG,係数_バス貨物_軽油,係数_バス貨物_メタノール,係数_バス貨物_LPG),MATCH(AY1446+1,【参考】排出係数!$AI$4:$AI$671,1)-1,5,BE1446),3,FALSE),IF(OR(AW1446=1,AW1446=2),VLOOKUP(AU1446,INDEX((係数_乗用_ガソリン,係数_乗用_CNG,係数_乗用_軽油,係数_乗用_メタノール,係数_乗用_LPG),1,1,BE1446):INDEX((係数_乗用_ガソリン,係数_乗用_CNG,係数_乗用_軽油,係数_乗用_メタノール,係数_乗用_LPG),125,5,BE1446),3,FALSE))))))</f>
        <v/>
      </c>
      <c r="BC1446" s="467" t="str">
        <f t="shared" si="824"/>
        <v/>
      </c>
      <c r="BD1446" s="567" t="str">
        <f t="shared" si="825"/>
        <v/>
      </c>
      <c r="BE1446" s="467" t="str">
        <f t="shared" si="826"/>
        <v/>
      </c>
      <c r="BF1446" s="469" t="str">
        <f t="shared" ca="1" si="827"/>
        <v/>
      </c>
      <c r="BG1446" s="469" t="str">
        <f t="shared" ca="1" si="828"/>
        <v/>
      </c>
      <c r="BH1446" s="467" t="str">
        <f t="shared" si="829"/>
        <v/>
      </c>
      <c r="BI1446" s="467" t="str">
        <f t="shared" ca="1" si="830"/>
        <v/>
      </c>
      <c r="BJ1446" s="469" t="str">
        <f t="shared" si="831"/>
        <v/>
      </c>
      <c r="BK1446" s="470" t="str">
        <f t="shared" si="815"/>
        <v/>
      </c>
      <c r="BL1446" s="775" t="str">
        <f t="shared" si="832"/>
        <v/>
      </c>
      <c r="BM1446" s="775" t="str">
        <f t="shared" si="833"/>
        <v/>
      </c>
    </row>
    <row r="1447" spans="1:65">
      <c r="A1447" s="473">
        <v>1391</v>
      </c>
      <c r="B1447" s="132"/>
      <c r="C1447" s="332"/>
      <c r="D1447" s="333"/>
      <c r="E1447" s="333"/>
      <c r="F1447" s="334"/>
      <c r="G1447" s="337"/>
      <c r="H1447" s="131"/>
      <c r="I1447" s="337"/>
      <c r="J1447" s="131"/>
      <c r="K1447" s="458" t="str">
        <f t="shared" si="796"/>
        <v/>
      </c>
      <c r="L1447" s="458">
        <f t="shared" si="797"/>
        <v>0</v>
      </c>
      <c r="M1447" s="458">
        <f t="shared" si="798"/>
        <v>0</v>
      </c>
      <c r="N1447" s="459" t="str">
        <f t="shared" si="809"/>
        <v/>
      </c>
      <c r="O1447" s="459" t="str">
        <f t="shared" si="810"/>
        <v/>
      </c>
      <c r="P1447" s="459" t="str">
        <f t="shared" si="811"/>
        <v/>
      </c>
      <c r="Q1447" s="459" t="str">
        <f t="shared" si="812"/>
        <v/>
      </c>
      <c r="R1447" s="459" t="str">
        <f t="shared" si="813"/>
        <v/>
      </c>
      <c r="S1447" s="459" t="str">
        <f t="shared" si="814"/>
        <v/>
      </c>
      <c r="T1447" s="566" t="str">
        <f t="shared" si="799"/>
        <v/>
      </c>
      <c r="U1447" s="702"/>
      <c r="V1447" s="132"/>
      <c r="W1447" s="133"/>
      <c r="X1447" s="134"/>
      <c r="Y1447" s="135"/>
      <c r="Z1447" s="137"/>
      <c r="AA1447" s="136"/>
      <c r="AB1447" s="566" t="str">
        <f t="shared" si="800"/>
        <v/>
      </c>
      <c r="AC1447" s="568" t="str">
        <f t="shared" si="801"/>
        <v/>
      </c>
      <c r="AD1447" s="137"/>
      <c r="AE1447" s="137"/>
      <c r="AF1447" s="138"/>
      <c r="AG1447" s="138"/>
      <c r="AH1447" s="592" t="str">
        <f t="shared" si="802"/>
        <v/>
      </c>
      <c r="AI1447" s="592" t="str">
        <f t="shared" si="803"/>
        <v/>
      </c>
      <c r="AJ1447" s="592" t="str">
        <f t="shared" si="804"/>
        <v/>
      </c>
      <c r="AK1447" s="460" t="str">
        <f>IF(AU1447="","",IF(OR(AZ1447=8,AZ1447=9),0,IF(OR(AW1447=3,AW1447=4,AW1447=5,AW1447=6),IF(LEFT(BF1447,1)="1",INDEX(係数_NOX・PM低減,MATCH(AY1447,【参考】排出係数!$AI$801:$AI$804,1),1),VLOOKUP(AU1447,INDEX((係数_バス貨物_ガソリン,係数_バス貨物_CNG,係数_バス貨物_軽油,係数_バス貨物_メタノール,係数_バス貨物_LPG),MATCH(AY1447,【参考】排出係数!$AI$4:$AI$671,1),1,BE1447):INDEX((係数_バス貨物_ガソリン,係数_バス貨物_CNG,係数_バス貨物_軽油,係数_バス貨物_メタノール,係数_バス貨物_LPG),MATCH(AY1447+1,【参考】排出係数!$AI$4:$AI$671,1)-1,5,BE1447),4,FALSE)),IF(AND(BE1447=3,LEFT(BF1447,1)="1"),0.48,VLOOKUP(AU1447,INDEX((係数_乗用_ガソリン,係数_乗用_CNG,係数_乗用_軽油,係数_乗用_メタノール,係数_乗用_LPG),1,1,BE1447):INDEX((係数_乗用_ガソリン,係数_乗用_CNG,係数_乗用_軽油,係数_乗用_メタノール,係数_乗用_LPG),125,5,BE1447),4,FALSE)))))</f>
        <v/>
      </c>
      <c r="AL1447" s="461" t="str">
        <f t="shared" si="805"/>
        <v/>
      </c>
      <c r="AM1447" s="460" t="str">
        <f>IF(AU1447="","",IF(OR(AZ1447=8,AZ1447=9),0,IF(OR(AW1447=3,AW1447=4,AW1447=5,AW1447=6),IF(LEFT(BH1447,1)="1",INDEX(係数_PM低減,MATCH(AY1447,【参考】排出係数!$AI$801:$AI$804,1),MATCH(BI1447,【参考】排出係数!$AL$798:$AO$798,1)),VLOOKUP(AU1447,INDEX((係数_バス貨物_ガソリン,係数_バス貨物_CNG,係数_バス貨物_軽油,係数_バス貨物_メタノール,係数_バス貨物_LPG),MATCH(AY1447,【参考】排出係数!$AI$4:$AI$671,1),1,BE1447):INDEX((係数_バス貨物_ガソリン,係数_バス貨物_CNG,係数_バス貨物_軽油,係数_バス貨物_メタノール,係数_バス貨物_LPG),MATCH(AY1447+1,【参考】排出係数!$AI$4:$AI$671,1)-1,5,BE1447),5,FALSE)),IF(AND(BE1447=3,LEFT(BF1447,1)="1"),0.055,VLOOKUP(AU1447,INDEX((係数_乗用_ガソリン,係数_乗用_CNG,係数_乗用_軽油,係数_乗用_メタノール,係数_乗用_LPG),1,1,BE1447):INDEX((係数_乗用_ガソリン,係数_乗用_CNG,係数_乗用_軽油,係数_乗用_メタノール,係数_乗用_LPG),125,5,BE1447),5,FALSE)))))</f>
        <v/>
      </c>
      <c r="AN1447" s="461" t="str">
        <f t="shared" si="806"/>
        <v/>
      </c>
      <c r="AO1447" s="462" t="str">
        <f t="shared" si="807"/>
        <v/>
      </c>
      <c r="AP1447" s="463" t="str">
        <f t="shared" si="808"/>
        <v/>
      </c>
      <c r="AQ1447" s="464"/>
      <c r="AR1447" s="619"/>
      <c r="AS1447" s="465" t="str">
        <f t="shared" si="816"/>
        <v/>
      </c>
      <c r="AT1447" s="465" t="str">
        <f t="shared" si="817"/>
        <v/>
      </c>
      <c r="AU1447" s="466" t="str">
        <f t="shared" si="818"/>
        <v/>
      </c>
      <c r="AV1447" s="467" t="str">
        <f t="shared" si="819"/>
        <v/>
      </c>
      <c r="AW1447" s="467" t="str">
        <f t="shared" si="820"/>
        <v/>
      </c>
      <c r="AX1447" s="467" t="str">
        <f t="shared" si="821"/>
        <v/>
      </c>
      <c r="AY1447" s="467" t="str">
        <f t="shared" si="822"/>
        <v/>
      </c>
      <c r="AZ1447" s="467" t="str">
        <f t="shared" si="823"/>
        <v/>
      </c>
      <c r="BA1447" s="468" t="str">
        <f>IF(AS1447="","",IF(OR(AU1447="",AU1447="-"),"－",IF(OR(AZ1447=8,AZ1447=9),"",IF(OR(AW1447=3,AW1447=4,AW1447=5,AW1447=6),VLOOKUP(AU1447,INDEX((係数_バス貨物_ガソリン,係数_バス貨物_CNG,係数_バス貨物_軽油,係数_バス貨物_メタノール,係数_バス貨物_LPG),MATCH(AY1447,【参考】排出係数!$AI$4:$AI$671,1),1,BE1447):INDEX((係数_バス貨物_ガソリン,係数_バス貨物_CNG,係数_バス貨物_軽油,係数_バス貨物_メタノール,係数_バス貨物_LPG),MATCH(AY1447+1,【参考】排出係数!$AI$4:$AI$671,1)-1,5,BE1447),2,FALSE),IF(OR(AW1447=1,AW1447=2),VLOOKUP(AU1447,INDEX((係数_乗用_ガソリン,係数_乗用_CNG,係数_乗用_軽油,係数_乗用_メタノール,係数_乗用_LPG),1,1,BE1447):INDEX((係数_乗用_ガソリン,係数_乗用_CNG,係数_乗用_軽油,係数_乗用_メタノール,係数_乗用_LPG),125,5,BE1447),2,FALSE))))))</f>
        <v/>
      </c>
      <c r="BB1447" s="468" t="str">
        <f>IF(T1447="","",IF(OR(AU1447="",AU1447="-"),"－",IF(OR(AZ1447=8,AZ1447=9),"",IF(OR(AW1447=3,AW1447=4,AW1447=5,AW1447=6),VLOOKUP(AU1447,INDEX((係数_バス貨物_ガソリン,係数_バス貨物_CNG,係数_バス貨物_軽油,係数_バス貨物_メタノール,係数_バス貨物_LPG),MATCH(AY1447,【参考】排出係数!$AI$4:$AI$671,1),1,BE1447):INDEX((係数_バス貨物_ガソリン,係数_バス貨物_CNG,係数_バス貨物_軽油,係数_バス貨物_メタノール,係数_バス貨物_LPG),MATCH(AY1447+1,【参考】排出係数!$AI$4:$AI$671,1)-1,5,BE1447),3,FALSE),IF(OR(AW1447=1,AW1447=2),VLOOKUP(AU1447,INDEX((係数_乗用_ガソリン,係数_乗用_CNG,係数_乗用_軽油,係数_乗用_メタノール,係数_乗用_LPG),1,1,BE1447):INDEX((係数_乗用_ガソリン,係数_乗用_CNG,係数_乗用_軽油,係数_乗用_メタノール,係数_乗用_LPG),125,5,BE1447),3,FALSE))))))</f>
        <v/>
      </c>
      <c r="BC1447" s="467" t="str">
        <f t="shared" si="824"/>
        <v/>
      </c>
      <c r="BD1447" s="567" t="str">
        <f t="shared" si="825"/>
        <v/>
      </c>
      <c r="BE1447" s="467" t="str">
        <f t="shared" si="826"/>
        <v/>
      </c>
      <c r="BF1447" s="469" t="str">
        <f t="shared" ca="1" si="827"/>
        <v/>
      </c>
      <c r="BG1447" s="469" t="str">
        <f t="shared" ca="1" si="828"/>
        <v/>
      </c>
      <c r="BH1447" s="467" t="str">
        <f t="shared" si="829"/>
        <v/>
      </c>
      <c r="BI1447" s="467" t="str">
        <f t="shared" ca="1" si="830"/>
        <v/>
      </c>
      <c r="BJ1447" s="469" t="str">
        <f t="shared" si="831"/>
        <v/>
      </c>
      <c r="BK1447" s="470" t="str">
        <f t="shared" si="815"/>
        <v/>
      </c>
      <c r="BL1447" s="775" t="str">
        <f t="shared" si="832"/>
        <v/>
      </c>
      <c r="BM1447" s="775" t="str">
        <f t="shared" si="833"/>
        <v/>
      </c>
    </row>
    <row r="1448" spans="1:65">
      <c r="A1448" s="473">
        <v>1392</v>
      </c>
      <c r="B1448" s="132"/>
      <c r="C1448" s="332"/>
      <c r="D1448" s="333"/>
      <c r="E1448" s="333"/>
      <c r="F1448" s="334"/>
      <c r="G1448" s="337"/>
      <c r="H1448" s="131"/>
      <c r="I1448" s="337"/>
      <c r="J1448" s="131"/>
      <c r="K1448" s="458" t="str">
        <f t="shared" si="796"/>
        <v/>
      </c>
      <c r="L1448" s="458">
        <f t="shared" si="797"/>
        <v>0</v>
      </c>
      <c r="M1448" s="458">
        <f t="shared" si="798"/>
        <v>0</v>
      </c>
      <c r="N1448" s="459" t="str">
        <f t="shared" si="809"/>
        <v/>
      </c>
      <c r="O1448" s="459" t="str">
        <f t="shared" si="810"/>
        <v/>
      </c>
      <c r="P1448" s="459" t="str">
        <f t="shared" si="811"/>
        <v/>
      </c>
      <c r="Q1448" s="459" t="str">
        <f t="shared" si="812"/>
        <v/>
      </c>
      <c r="R1448" s="459" t="str">
        <f t="shared" si="813"/>
        <v/>
      </c>
      <c r="S1448" s="459" t="str">
        <f t="shared" si="814"/>
        <v/>
      </c>
      <c r="T1448" s="566" t="str">
        <f t="shared" si="799"/>
        <v/>
      </c>
      <c r="U1448" s="702"/>
      <c r="V1448" s="132"/>
      <c r="W1448" s="133"/>
      <c r="X1448" s="134"/>
      <c r="Y1448" s="135"/>
      <c r="Z1448" s="137"/>
      <c r="AA1448" s="136"/>
      <c r="AB1448" s="566" t="str">
        <f t="shared" si="800"/>
        <v/>
      </c>
      <c r="AC1448" s="568" t="str">
        <f t="shared" si="801"/>
        <v/>
      </c>
      <c r="AD1448" s="137"/>
      <c r="AE1448" s="137"/>
      <c r="AF1448" s="138"/>
      <c r="AG1448" s="138"/>
      <c r="AH1448" s="592" t="str">
        <f t="shared" si="802"/>
        <v/>
      </c>
      <c r="AI1448" s="592" t="str">
        <f t="shared" si="803"/>
        <v/>
      </c>
      <c r="AJ1448" s="592" t="str">
        <f t="shared" si="804"/>
        <v/>
      </c>
      <c r="AK1448" s="460" t="str">
        <f>IF(AU1448="","",IF(OR(AZ1448=8,AZ1448=9),0,IF(OR(AW1448=3,AW1448=4,AW1448=5,AW1448=6),IF(LEFT(BF1448,1)="1",INDEX(係数_NOX・PM低減,MATCH(AY1448,【参考】排出係数!$AI$801:$AI$804,1),1),VLOOKUP(AU1448,INDEX((係数_バス貨物_ガソリン,係数_バス貨物_CNG,係数_バス貨物_軽油,係数_バス貨物_メタノール,係数_バス貨物_LPG),MATCH(AY1448,【参考】排出係数!$AI$4:$AI$671,1),1,BE1448):INDEX((係数_バス貨物_ガソリン,係数_バス貨物_CNG,係数_バス貨物_軽油,係数_バス貨物_メタノール,係数_バス貨物_LPG),MATCH(AY1448+1,【参考】排出係数!$AI$4:$AI$671,1)-1,5,BE1448),4,FALSE)),IF(AND(BE1448=3,LEFT(BF1448,1)="1"),0.48,VLOOKUP(AU1448,INDEX((係数_乗用_ガソリン,係数_乗用_CNG,係数_乗用_軽油,係数_乗用_メタノール,係数_乗用_LPG),1,1,BE1448):INDEX((係数_乗用_ガソリン,係数_乗用_CNG,係数_乗用_軽油,係数_乗用_メタノール,係数_乗用_LPG),125,5,BE1448),4,FALSE)))))</f>
        <v/>
      </c>
      <c r="AL1448" s="461" t="str">
        <f t="shared" si="805"/>
        <v/>
      </c>
      <c r="AM1448" s="460" t="str">
        <f>IF(AU1448="","",IF(OR(AZ1448=8,AZ1448=9),0,IF(OR(AW1448=3,AW1448=4,AW1448=5,AW1448=6),IF(LEFT(BH1448,1)="1",INDEX(係数_PM低減,MATCH(AY1448,【参考】排出係数!$AI$801:$AI$804,1),MATCH(BI1448,【参考】排出係数!$AL$798:$AO$798,1)),VLOOKUP(AU1448,INDEX((係数_バス貨物_ガソリン,係数_バス貨物_CNG,係数_バス貨物_軽油,係数_バス貨物_メタノール,係数_バス貨物_LPG),MATCH(AY1448,【参考】排出係数!$AI$4:$AI$671,1),1,BE1448):INDEX((係数_バス貨物_ガソリン,係数_バス貨物_CNG,係数_バス貨物_軽油,係数_バス貨物_メタノール,係数_バス貨物_LPG),MATCH(AY1448+1,【参考】排出係数!$AI$4:$AI$671,1)-1,5,BE1448),5,FALSE)),IF(AND(BE1448=3,LEFT(BF1448,1)="1"),0.055,VLOOKUP(AU1448,INDEX((係数_乗用_ガソリン,係数_乗用_CNG,係数_乗用_軽油,係数_乗用_メタノール,係数_乗用_LPG),1,1,BE1448):INDEX((係数_乗用_ガソリン,係数_乗用_CNG,係数_乗用_軽油,係数_乗用_メタノール,係数_乗用_LPG),125,5,BE1448),5,FALSE)))))</f>
        <v/>
      </c>
      <c r="AN1448" s="461" t="str">
        <f t="shared" si="806"/>
        <v/>
      </c>
      <c r="AO1448" s="462" t="str">
        <f t="shared" si="807"/>
        <v/>
      </c>
      <c r="AP1448" s="463" t="str">
        <f t="shared" si="808"/>
        <v/>
      </c>
      <c r="AQ1448" s="464"/>
      <c r="AR1448" s="619"/>
      <c r="AS1448" s="465" t="str">
        <f t="shared" si="816"/>
        <v/>
      </c>
      <c r="AT1448" s="465" t="str">
        <f t="shared" si="817"/>
        <v/>
      </c>
      <c r="AU1448" s="466" t="str">
        <f t="shared" si="818"/>
        <v/>
      </c>
      <c r="AV1448" s="467" t="str">
        <f t="shared" si="819"/>
        <v/>
      </c>
      <c r="AW1448" s="467" t="str">
        <f t="shared" si="820"/>
        <v/>
      </c>
      <c r="AX1448" s="467" t="str">
        <f t="shared" si="821"/>
        <v/>
      </c>
      <c r="AY1448" s="467" t="str">
        <f t="shared" si="822"/>
        <v/>
      </c>
      <c r="AZ1448" s="467" t="str">
        <f t="shared" si="823"/>
        <v/>
      </c>
      <c r="BA1448" s="468" t="str">
        <f>IF(AS1448="","",IF(OR(AU1448="",AU1448="-"),"－",IF(OR(AZ1448=8,AZ1448=9),"",IF(OR(AW1448=3,AW1448=4,AW1448=5,AW1448=6),VLOOKUP(AU1448,INDEX((係数_バス貨物_ガソリン,係数_バス貨物_CNG,係数_バス貨物_軽油,係数_バス貨物_メタノール,係数_バス貨物_LPG),MATCH(AY1448,【参考】排出係数!$AI$4:$AI$671,1),1,BE1448):INDEX((係数_バス貨物_ガソリン,係数_バス貨物_CNG,係数_バス貨物_軽油,係数_バス貨物_メタノール,係数_バス貨物_LPG),MATCH(AY1448+1,【参考】排出係数!$AI$4:$AI$671,1)-1,5,BE1448),2,FALSE),IF(OR(AW1448=1,AW1448=2),VLOOKUP(AU1448,INDEX((係数_乗用_ガソリン,係数_乗用_CNG,係数_乗用_軽油,係数_乗用_メタノール,係数_乗用_LPG),1,1,BE1448):INDEX((係数_乗用_ガソリン,係数_乗用_CNG,係数_乗用_軽油,係数_乗用_メタノール,係数_乗用_LPG),125,5,BE1448),2,FALSE))))))</f>
        <v/>
      </c>
      <c r="BB1448" s="468" t="str">
        <f>IF(T1448="","",IF(OR(AU1448="",AU1448="-"),"－",IF(OR(AZ1448=8,AZ1448=9),"",IF(OR(AW1448=3,AW1448=4,AW1448=5,AW1448=6),VLOOKUP(AU1448,INDEX((係数_バス貨物_ガソリン,係数_バス貨物_CNG,係数_バス貨物_軽油,係数_バス貨物_メタノール,係数_バス貨物_LPG),MATCH(AY1448,【参考】排出係数!$AI$4:$AI$671,1),1,BE1448):INDEX((係数_バス貨物_ガソリン,係数_バス貨物_CNG,係数_バス貨物_軽油,係数_バス貨物_メタノール,係数_バス貨物_LPG),MATCH(AY1448+1,【参考】排出係数!$AI$4:$AI$671,1)-1,5,BE1448),3,FALSE),IF(OR(AW1448=1,AW1448=2),VLOOKUP(AU1448,INDEX((係数_乗用_ガソリン,係数_乗用_CNG,係数_乗用_軽油,係数_乗用_メタノール,係数_乗用_LPG),1,1,BE1448):INDEX((係数_乗用_ガソリン,係数_乗用_CNG,係数_乗用_軽油,係数_乗用_メタノール,係数_乗用_LPG),125,5,BE1448),3,FALSE))))))</f>
        <v/>
      </c>
      <c r="BC1448" s="467" t="str">
        <f t="shared" si="824"/>
        <v/>
      </c>
      <c r="BD1448" s="567" t="str">
        <f t="shared" si="825"/>
        <v/>
      </c>
      <c r="BE1448" s="467" t="str">
        <f t="shared" si="826"/>
        <v/>
      </c>
      <c r="BF1448" s="469" t="str">
        <f t="shared" ca="1" si="827"/>
        <v/>
      </c>
      <c r="BG1448" s="469" t="str">
        <f t="shared" ca="1" si="828"/>
        <v/>
      </c>
      <c r="BH1448" s="467" t="str">
        <f t="shared" si="829"/>
        <v/>
      </c>
      <c r="BI1448" s="467" t="str">
        <f t="shared" ca="1" si="830"/>
        <v/>
      </c>
      <c r="BJ1448" s="469" t="str">
        <f t="shared" si="831"/>
        <v/>
      </c>
      <c r="BK1448" s="470" t="str">
        <f t="shared" si="815"/>
        <v/>
      </c>
      <c r="BL1448" s="775" t="str">
        <f t="shared" si="832"/>
        <v/>
      </c>
      <c r="BM1448" s="775" t="str">
        <f t="shared" si="833"/>
        <v/>
      </c>
    </row>
    <row r="1449" spans="1:65">
      <c r="A1449" s="473">
        <v>1393</v>
      </c>
      <c r="B1449" s="132"/>
      <c r="C1449" s="332"/>
      <c r="D1449" s="333"/>
      <c r="E1449" s="333"/>
      <c r="F1449" s="334"/>
      <c r="G1449" s="337"/>
      <c r="H1449" s="131"/>
      <c r="I1449" s="337"/>
      <c r="J1449" s="131"/>
      <c r="K1449" s="458" t="str">
        <f t="shared" si="796"/>
        <v/>
      </c>
      <c r="L1449" s="458">
        <f t="shared" si="797"/>
        <v>0</v>
      </c>
      <c r="M1449" s="458">
        <f t="shared" si="798"/>
        <v>0</v>
      </c>
      <c r="N1449" s="459" t="str">
        <f t="shared" si="809"/>
        <v/>
      </c>
      <c r="O1449" s="459" t="str">
        <f t="shared" si="810"/>
        <v/>
      </c>
      <c r="P1449" s="459" t="str">
        <f t="shared" si="811"/>
        <v/>
      </c>
      <c r="Q1449" s="459" t="str">
        <f t="shared" si="812"/>
        <v/>
      </c>
      <c r="R1449" s="459" t="str">
        <f t="shared" si="813"/>
        <v/>
      </c>
      <c r="S1449" s="459" t="str">
        <f t="shared" si="814"/>
        <v/>
      </c>
      <c r="T1449" s="566" t="str">
        <f t="shared" si="799"/>
        <v/>
      </c>
      <c r="U1449" s="702"/>
      <c r="V1449" s="132"/>
      <c r="W1449" s="133"/>
      <c r="X1449" s="134"/>
      <c r="Y1449" s="135"/>
      <c r="Z1449" s="137"/>
      <c r="AA1449" s="136"/>
      <c r="AB1449" s="566" t="str">
        <f t="shared" si="800"/>
        <v/>
      </c>
      <c r="AC1449" s="568" t="str">
        <f t="shared" si="801"/>
        <v/>
      </c>
      <c r="AD1449" s="137"/>
      <c r="AE1449" s="137"/>
      <c r="AF1449" s="138"/>
      <c r="AG1449" s="138"/>
      <c r="AH1449" s="592" t="str">
        <f t="shared" si="802"/>
        <v/>
      </c>
      <c r="AI1449" s="592" t="str">
        <f t="shared" si="803"/>
        <v/>
      </c>
      <c r="AJ1449" s="592" t="str">
        <f t="shared" si="804"/>
        <v/>
      </c>
      <c r="AK1449" s="460" t="str">
        <f>IF(AU1449="","",IF(OR(AZ1449=8,AZ1449=9),0,IF(OR(AW1449=3,AW1449=4,AW1449=5,AW1449=6),IF(LEFT(BF1449,1)="1",INDEX(係数_NOX・PM低減,MATCH(AY1449,【参考】排出係数!$AI$801:$AI$804,1),1),VLOOKUP(AU1449,INDEX((係数_バス貨物_ガソリン,係数_バス貨物_CNG,係数_バス貨物_軽油,係数_バス貨物_メタノール,係数_バス貨物_LPG),MATCH(AY1449,【参考】排出係数!$AI$4:$AI$671,1),1,BE1449):INDEX((係数_バス貨物_ガソリン,係数_バス貨物_CNG,係数_バス貨物_軽油,係数_バス貨物_メタノール,係数_バス貨物_LPG),MATCH(AY1449+1,【参考】排出係数!$AI$4:$AI$671,1)-1,5,BE1449),4,FALSE)),IF(AND(BE1449=3,LEFT(BF1449,1)="1"),0.48,VLOOKUP(AU1449,INDEX((係数_乗用_ガソリン,係数_乗用_CNG,係数_乗用_軽油,係数_乗用_メタノール,係数_乗用_LPG),1,1,BE1449):INDEX((係数_乗用_ガソリン,係数_乗用_CNG,係数_乗用_軽油,係数_乗用_メタノール,係数_乗用_LPG),125,5,BE1449),4,FALSE)))))</f>
        <v/>
      </c>
      <c r="AL1449" s="461" t="str">
        <f t="shared" si="805"/>
        <v/>
      </c>
      <c r="AM1449" s="460" t="str">
        <f>IF(AU1449="","",IF(OR(AZ1449=8,AZ1449=9),0,IF(OR(AW1449=3,AW1449=4,AW1449=5,AW1449=6),IF(LEFT(BH1449,1)="1",INDEX(係数_PM低減,MATCH(AY1449,【参考】排出係数!$AI$801:$AI$804,1),MATCH(BI1449,【参考】排出係数!$AL$798:$AO$798,1)),VLOOKUP(AU1449,INDEX((係数_バス貨物_ガソリン,係数_バス貨物_CNG,係数_バス貨物_軽油,係数_バス貨物_メタノール,係数_バス貨物_LPG),MATCH(AY1449,【参考】排出係数!$AI$4:$AI$671,1),1,BE1449):INDEX((係数_バス貨物_ガソリン,係数_バス貨物_CNG,係数_バス貨物_軽油,係数_バス貨物_メタノール,係数_バス貨物_LPG),MATCH(AY1449+1,【参考】排出係数!$AI$4:$AI$671,1)-1,5,BE1449),5,FALSE)),IF(AND(BE1449=3,LEFT(BF1449,1)="1"),0.055,VLOOKUP(AU1449,INDEX((係数_乗用_ガソリン,係数_乗用_CNG,係数_乗用_軽油,係数_乗用_メタノール,係数_乗用_LPG),1,1,BE1449):INDEX((係数_乗用_ガソリン,係数_乗用_CNG,係数_乗用_軽油,係数_乗用_メタノール,係数_乗用_LPG),125,5,BE1449),5,FALSE)))))</f>
        <v/>
      </c>
      <c r="AN1449" s="461" t="str">
        <f t="shared" si="806"/>
        <v/>
      </c>
      <c r="AO1449" s="462" t="str">
        <f t="shared" si="807"/>
        <v/>
      </c>
      <c r="AP1449" s="463" t="str">
        <f t="shared" si="808"/>
        <v/>
      </c>
      <c r="AQ1449" s="464"/>
      <c r="AR1449" s="619"/>
      <c r="AS1449" s="465" t="str">
        <f t="shared" si="816"/>
        <v/>
      </c>
      <c r="AT1449" s="465" t="str">
        <f t="shared" si="817"/>
        <v/>
      </c>
      <c r="AU1449" s="466" t="str">
        <f t="shared" si="818"/>
        <v/>
      </c>
      <c r="AV1449" s="467" t="str">
        <f t="shared" si="819"/>
        <v/>
      </c>
      <c r="AW1449" s="467" t="str">
        <f t="shared" si="820"/>
        <v/>
      </c>
      <c r="AX1449" s="467" t="str">
        <f t="shared" si="821"/>
        <v/>
      </c>
      <c r="AY1449" s="467" t="str">
        <f t="shared" si="822"/>
        <v/>
      </c>
      <c r="AZ1449" s="467" t="str">
        <f t="shared" si="823"/>
        <v/>
      </c>
      <c r="BA1449" s="468" t="str">
        <f>IF(AS1449="","",IF(OR(AU1449="",AU1449="-"),"－",IF(OR(AZ1449=8,AZ1449=9),"",IF(OR(AW1449=3,AW1449=4,AW1449=5,AW1449=6),VLOOKUP(AU1449,INDEX((係数_バス貨物_ガソリン,係数_バス貨物_CNG,係数_バス貨物_軽油,係数_バス貨物_メタノール,係数_バス貨物_LPG),MATCH(AY1449,【参考】排出係数!$AI$4:$AI$671,1),1,BE1449):INDEX((係数_バス貨物_ガソリン,係数_バス貨物_CNG,係数_バス貨物_軽油,係数_バス貨物_メタノール,係数_バス貨物_LPG),MATCH(AY1449+1,【参考】排出係数!$AI$4:$AI$671,1)-1,5,BE1449),2,FALSE),IF(OR(AW1449=1,AW1449=2),VLOOKUP(AU1449,INDEX((係数_乗用_ガソリン,係数_乗用_CNG,係数_乗用_軽油,係数_乗用_メタノール,係数_乗用_LPG),1,1,BE1449):INDEX((係数_乗用_ガソリン,係数_乗用_CNG,係数_乗用_軽油,係数_乗用_メタノール,係数_乗用_LPG),125,5,BE1449),2,FALSE))))))</f>
        <v/>
      </c>
      <c r="BB1449" s="468" t="str">
        <f>IF(T1449="","",IF(OR(AU1449="",AU1449="-"),"－",IF(OR(AZ1449=8,AZ1449=9),"",IF(OR(AW1449=3,AW1449=4,AW1449=5,AW1449=6),VLOOKUP(AU1449,INDEX((係数_バス貨物_ガソリン,係数_バス貨物_CNG,係数_バス貨物_軽油,係数_バス貨物_メタノール,係数_バス貨物_LPG),MATCH(AY1449,【参考】排出係数!$AI$4:$AI$671,1),1,BE1449):INDEX((係数_バス貨物_ガソリン,係数_バス貨物_CNG,係数_バス貨物_軽油,係数_バス貨物_メタノール,係数_バス貨物_LPG),MATCH(AY1449+1,【参考】排出係数!$AI$4:$AI$671,1)-1,5,BE1449),3,FALSE),IF(OR(AW1449=1,AW1449=2),VLOOKUP(AU1449,INDEX((係数_乗用_ガソリン,係数_乗用_CNG,係数_乗用_軽油,係数_乗用_メタノール,係数_乗用_LPG),1,1,BE1449):INDEX((係数_乗用_ガソリン,係数_乗用_CNG,係数_乗用_軽油,係数_乗用_メタノール,係数_乗用_LPG),125,5,BE1449),3,FALSE))))))</f>
        <v/>
      </c>
      <c r="BC1449" s="467" t="str">
        <f t="shared" si="824"/>
        <v/>
      </c>
      <c r="BD1449" s="567" t="str">
        <f t="shared" si="825"/>
        <v/>
      </c>
      <c r="BE1449" s="467" t="str">
        <f t="shared" si="826"/>
        <v/>
      </c>
      <c r="BF1449" s="469" t="str">
        <f t="shared" ca="1" si="827"/>
        <v/>
      </c>
      <c r="BG1449" s="469" t="str">
        <f t="shared" ca="1" si="828"/>
        <v/>
      </c>
      <c r="BH1449" s="467" t="str">
        <f t="shared" si="829"/>
        <v/>
      </c>
      <c r="BI1449" s="467" t="str">
        <f t="shared" ca="1" si="830"/>
        <v/>
      </c>
      <c r="BJ1449" s="469" t="str">
        <f t="shared" si="831"/>
        <v/>
      </c>
      <c r="BK1449" s="470" t="str">
        <f t="shared" si="815"/>
        <v/>
      </c>
      <c r="BL1449" s="775" t="str">
        <f t="shared" si="832"/>
        <v/>
      </c>
      <c r="BM1449" s="775" t="str">
        <f t="shared" si="833"/>
        <v/>
      </c>
    </row>
    <row r="1450" spans="1:65">
      <c r="A1450" s="473">
        <v>1394</v>
      </c>
      <c r="B1450" s="132"/>
      <c r="C1450" s="332"/>
      <c r="D1450" s="333"/>
      <c r="E1450" s="333"/>
      <c r="F1450" s="334"/>
      <c r="G1450" s="337"/>
      <c r="H1450" s="131"/>
      <c r="I1450" s="337"/>
      <c r="J1450" s="131"/>
      <c r="K1450" s="458" t="str">
        <f t="shared" si="796"/>
        <v/>
      </c>
      <c r="L1450" s="458">
        <f t="shared" si="797"/>
        <v>0</v>
      </c>
      <c r="M1450" s="458">
        <f t="shared" si="798"/>
        <v>0</v>
      </c>
      <c r="N1450" s="459" t="str">
        <f t="shared" si="809"/>
        <v/>
      </c>
      <c r="O1450" s="459" t="str">
        <f t="shared" si="810"/>
        <v/>
      </c>
      <c r="P1450" s="459" t="str">
        <f t="shared" si="811"/>
        <v/>
      </c>
      <c r="Q1450" s="459" t="str">
        <f t="shared" si="812"/>
        <v/>
      </c>
      <c r="R1450" s="459" t="str">
        <f t="shared" si="813"/>
        <v/>
      </c>
      <c r="S1450" s="459" t="str">
        <f t="shared" si="814"/>
        <v/>
      </c>
      <c r="T1450" s="566" t="str">
        <f t="shared" si="799"/>
        <v/>
      </c>
      <c r="U1450" s="702"/>
      <c r="V1450" s="132"/>
      <c r="W1450" s="133"/>
      <c r="X1450" s="134"/>
      <c r="Y1450" s="135"/>
      <c r="Z1450" s="137"/>
      <c r="AA1450" s="136"/>
      <c r="AB1450" s="566" t="str">
        <f t="shared" si="800"/>
        <v/>
      </c>
      <c r="AC1450" s="568" t="str">
        <f t="shared" si="801"/>
        <v/>
      </c>
      <c r="AD1450" s="137"/>
      <c r="AE1450" s="137"/>
      <c r="AF1450" s="138"/>
      <c r="AG1450" s="138"/>
      <c r="AH1450" s="592" t="str">
        <f t="shared" si="802"/>
        <v/>
      </c>
      <c r="AI1450" s="592" t="str">
        <f t="shared" si="803"/>
        <v/>
      </c>
      <c r="AJ1450" s="592" t="str">
        <f t="shared" si="804"/>
        <v/>
      </c>
      <c r="AK1450" s="460" t="str">
        <f>IF(AU1450="","",IF(OR(AZ1450=8,AZ1450=9),0,IF(OR(AW1450=3,AW1450=4,AW1450=5,AW1450=6),IF(LEFT(BF1450,1)="1",INDEX(係数_NOX・PM低減,MATCH(AY1450,【参考】排出係数!$AI$801:$AI$804,1),1),VLOOKUP(AU1450,INDEX((係数_バス貨物_ガソリン,係数_バス貨物_CNG,係数_バス貨物_軽油,係数_バス貨物_メタノール,係数_バス貨物_LPG),MATCH(AY1450,【参考】排出係数!$AI$4:$AI$671,1),1,BE1450):INDEX((係数_バス貨物_ガソリン,係数_バス貨物_CNG,係数_バス貨物_軽油,係数_バス貨物_メタノール,係数_バス貨物_LPG),MATCH(AY1450+1,【参考】排出係数!$AI$4:$AI$671,1)-1,5,BE1450),4,FALSE)),IF(AND(BE1450=3,LEFT(BF1450,1)="1"),0.48,VLOOKUP(AU1450,INDEX((係数_乗用_ガソリン,係数_乗用_CNG,係数_乗用_軽油,係数_乗用_メタノール,係数_乗用_LPG),1,1,BE1450):INDEX((係数_乗用_ガソリン,係数_乗用_CNG,係数_乗用_軽油,係数_乗用_メタノール,係数_乗用_LPG),125,5,BE1450),4,FALSE)))))</f>
        <v/>
      </c>
      <c r="AL1450" s="461" t="str">
        <f t="shared" si="805"/>
        <v/>
      </c>
      <c r="AM1450" s="460" t="str">
        <f>IF(AU1450="","",IF(OR(AZ1450=8,AZ1450=9),0,IF(OR(AW1450=3,AW1450=4,AW1450=5,AW1450=6),IF(LEFT(BH1450,1)="1",INDEX(係数_PM低減,MATCH(AY1450,【参考】排出係数!$AI$801:$AI$804,1),MATCH(BI1450,【参考】排出係数!$AL$798:$AO$798,1)),VLOOKUP(AU1450,INDEX((係数_バス貨物_ガソリン,係数_バス貨物_CNG,係数_バス貨物_軽油,係数_バス貨物_メタノール,係数_バス貨物_LPG),MATCH(AY1450,【参考】排出係数!$AI$4:$AI$671,1),1,BE1450):INDEX((係数_バス貨物_ガソリン,係数_バス貨物_CNG,係数_バス貨物_軽油,係数_バス貨物_メタノール,係数_バス貨物_LPG),MATCH(AY1450+1,【参考】排出係数!$AI$4:$AI$671,1)-1,5,BE1450),5,FALSE)),IF(AND(BE1450=3,LEFT(BF1450,1)="1"),0.055,VLOOKUP(AU1450,INDEX((係数_乗用_ガソリン,係数_乗用_CNG,係数_乗用_軽油,係数_乗用_メタノール,係数_乗用_LPG),1,1,BE1450):INDEX((係数_乗用_ガソリン,係数_乗用_CNG,係数_乗用_軽油,係数_乗用_メタノール,係数_乗用_LPG),125,5,BE1450),5,FALSE)))))</f>
        <v/>
      </c>
      <c r="AN1450" s="461" t="str">
        <f t="shared" si="806"/>
        <v/>
      </c>
      <c r="AO1450" s="462" t="str">
        <f t="shared" si="807"/>
        <v/>
      </c>
      <c r="AP1450" s="463" t="str">
        <f t="shared" si="808"/>
        <v/>
      </c>
      <c r="AQ1450" s="464"/>
      <c r="AR1450" s="619"/>
      <c r="AS1450" s="465" t="str">
        <f t="shared" si="816"/>
        <v/>
      </c>
      <c r="AT1450" s="465" t="str">
        <f t="shared" si="817"/>
        <v/>
      </c>
      <c r="AU1450" s="466" t="str">
        <f t="shared" si="818"/>
        <v/>
      </c>
      <c r="AV1450" s="467" t="str">
        <f t="shared" si="819"/>
        <v/>
      </c>
      <c r="AW1450" s="467" t="str">
        <f t="shared" si="820"/>
        <v/>
      </c>
      <c r="AX1450" s="467" t="str">
        <f t="shared" si="821"/>
        <v/>
      </c>
      <c r="AY1450" s="467" t="str">
        <f t="shared" si="822"/>
        <v/>
      </c>
      <c r="AZ1450" s="467" t="str">
        <f t="shared" si="823"/>
        <v/>
      </c>
      <c r="BA1450" s="468" t="str">
        <f>IF(AS1450="","",IF(OR(AU1450="",AU1450="-"),"－",IF(OR(AZ1450=8,AZ1450=9),"",IF(OR(AW1450=3,AW1450=4,AW1450=5,AW1450=6),VLOOKUP(AU1450,INDEX((係数_バス貨物_ガソリン,係数_バス貨物_CNG,係数_バス貨物_軽油,係数_バス貨物_メタノール,係数_バス貨物_LPG),MATCH(AY1450,【参考】排出係数!$AI$4:$AI$671,1),1,BE1450):INDEX((係数_バス貨物_ガソリン,係数_バス貨物_CNG,係数_バス貨物_軽油,係数_バス貨物_メタノール,係数_バス貨物_LPG),MATCH(AY1450+1,【参考】排出係数!$AI$4:$AI$671,1)-1,5,BE1450),2,FALSE),IF(OR(AW1450=1,AW1450=2),VLOOKUP(AU1450,INDEX((係数_乗用_ガソリン,係数_乗用_CNG,係数_乗用_軽油,係数_乗用_メタノール,係数_乗用_LPG),1,1,BE1450):INDEX((係数_乗用_ガソリン,係数_乗用_CNG,係数_乗用_軽油,係数_乗用_メタノール,係数_乗用_LPG),125,5,BE1450),2,FALSE))))))</f>
        <v/>
      </c>
      <c r="BB1450" s="468" t="str">
        <f>IF(T1450="","",IF(OR(AU1450="",AU1450="-"),"－",IF(OR(AZ1450=8,AZ1450=9),"",IF(OR(AW1450=3,AW1450=4,AW1450=5,AW1450=6),VLOOKUP(AU1450,INDEX((係数_バス貨物_ガソリン,係数_バス貨物_CNG,係数_バス貨物_軽油,係数_バス貨物_メタノール,係数_バス貨物_LPG),MATCH(AY1450,【参考】排出係数!$AI$4:$AI$671,1),1,BE1450):INDEX((係数_バス貨物_ガソリン,係数_バス貨物_CNG,係数_バス貨物_軽油,係数_バス貨物_メタノール,係数_バス貨物_LPG),MATCH(AY1450+1,【参考】排出係数!$AI$4:$AI$671,1)-1,5,BE1450),3,FALSE),IF(OR(AW1450=1,AW1450=2),VLOOKUP(AU1450,INDEX((係数_乗用_ガソリン,係数_乗用_CNG,係数_乗用_軽油,係数_乗用_メタノール,係数_乗用_LPG),1,1,BE1450):INDEX((係数_乗用_ガソリン,係数_乗用_CNG,係数_乗用_軽油,係数_乗用_メタノール,係数_乗用_LPG),125,5,BE1450),3,FALSE))))))</f>
        <v/>
      </c>
      <c r="BC1450" s="467" t="str">
        <f t="shared" si="824"/>
        <v/>
      </c>
      <c r="BD1450" s="567" t="str">
        <f t="shared" si="825"/>
        <v/>
      </c>
      <c r="BE1450" s="467" t="str">
        <f t="shared" si="826"/>
        <v/>
      </c>
      <c r="BF1450" s="469" t="str">
        <f t="shared" ca="1" si="827"/>
        <v/>
      </c>
      <c r="BG1450" s="469" t="str">
        <f t="shared" ca="1" si="828"/>
        <v/>
      </c>
      <c r="BH1450" s="467" t="str">
        <f t="shared" si="829"/>
        <v/>
      </c>
      <c r="BI1450" s="467" t="str">
        <f t="shared" ca="1" si="830"/>
        <v/>
      </c>
      <c r="BJ1450" s="469" t="str">
        <f t="shared" si="831"/>
        <v/>
      </c>
      <c r="BK1450" s="470" t="str">
        <f t="shared" si="815"/>
        <v/>
      </c>
      <c r="BL1450" s="775" t="str">
        <f t="shared" si="832"/>
        <v/>
      </c>
      <c r="BM1450" s="775" t="str">
        <f t="shared" si="833"/>
        <v/>
      </c>
    </row>
    <row r="1451" spans="1:65">
      <c r="A1451" s="473">
        <v>1395</v>
      </c>
      <c r="B1451" s="132"/>
      <c r="C1451" s="332"/>
      <c r="D1451" s="333"/>
      <c r="E1451" s="333"/>
      <c r="F1451" s="334"/>
      <c r="G1451" s="337"/>
      <c r="H1451" s="131"/>
      <c r="I1451" s="337"/>
      <c r="J1451" s="131"/>
      <c r="K1451" s="458" t="str">
        <f t="shared" si="796"/>
        <v/>
      </c>
      <c r="L1451" s="458">
        <f t="shared" si="797"/>
        <v>0</v>
      </c>
      <c r="M1451" s="458">
        <f t="shared" si="798"/>
        <v>0</v>
      </c>
      <c r="N1451" s="459" t="str">
        <f t="shared" si="809"/>
        <v/>
      </c>
      <c r="O1451" s="459" t="str">
        <f t="shared" si="810"/>
        <v/>
      </c>
      <c r="P1451" s="459" t="str">
        <f t="shared" si="811"/>
        <v/>
      </c>
      <c r="Q1451" s="459" t="str">
        <f t="shared" si="812"/>
        <v/>
      </c>
      <c r="R1451" s="459" t="str">
        <f t="shared" si="813"/>
        <v/>
      </c>
      <c r="S1451" s="459" t="str">
        <f t="shared" si="814"/>
        <v/>
      </c>
      <c r="T1451" s="566" t="str">
        <f t="shared" si="799"/>
        <v/>
      </c>
      <c r="U1451" s="702"/>
      <c r="V1451" s="132"/>
      <c r="W1451" s="133"/>
      <c r="X1451" s="134"/>
      <c r="Y1451" s="135"/>
      <c r="Z1451" s="137"/>
      <c r="AA1451" s="136"/>
      <c r="AB1451" s="566" t="str">
        <f t="shared" si="800"/>
        <v/>
      </c>
      <c r="AC1451" s="568" t="str">
        <f t="shared" si="801"/>
        <v/>
      </c>
      <c r="AD1451" s="137"/>
      <c r="AE1451" s="137"/>
      <c r="AF1451" s="138"/>
      <c r="AG1451" s="138"/>
      <c r="AH1451" s="592" t="str">
        <f t="shared" si="802"/>
        <v/>
      </c>
      <c r="AI1451" s="592" t="str">
        <f t="shared" si="803"/>
        <v/>
      </c>
      <c r="AJ1451" s="592" t="str">
        <f t="shared" si="804"/>
        <v/>
      </c>
      <c r="AK1451" s="460" t="str">
        <f>IF(AU1451="","",IF(OR(AZ1451=8,AZ1451=9),0,IF(OR(AW1451=3,AW1451=4,AW1451=5,AW1451=6),IF(LEFT(BF1451,1)="1",INDEX(係数_NOX・PM低減,MATCH(AY1451,【参考】排出係数!$AI$801:$AI$804,1),1),VLOOKUP(AU1451,INDEX((係数_バス貨物_ガソリン,係数_バス貨物_CNG,係数_バス貨物_軽油,係数_バス貨物_メタノール,係数_バス貨物_LPG),MATCH(AY1451,【参考】排出係数!$AI$4:$AI$671,1),1,BE1451):INDEX((係数_バス貨物_ガソリン,係数_バス貨物_CNG,係数_バス貨物_軽油,係数_バス貨物_メタノール,係数_バス貨物_LPG),MATCH(AY1451+1,【参考】排出係数!$AI$4:$AI$671,1)-1,5,BE1451),4,FALSE)),IF(AND(BE1451=3,LEFT(BF1451,1)="1"),0.48,VLOOKUP(AU1451,INDEX((係数_乗用_ガソリン,係数_乗用_CNG,係数_乗用_軽油,係数_乗用_メタノール,係数_乗用_LPG),1,1,BE1451):INDEX((係数_乗用_ガソリン,係数_乗用_CNG,係数_乗用_軽油,係数_乗用_メタノール,係数_乗用_LPG),125,5,BE1451),4,FALSE)))))</f>
        <v/>
      </c>
      <c r="AL1451" s="461" t="str">
        <f t="shared" si="805"/>
        <v/>
      </c>
      <c r="AM1451" s="460" t="str">
        <f>IF(AU1451="","",IF(OR(AZ1451=8,AZ1451=9),0,IF(OR(AW1451=3,AW1451=4,AW1451=5,AW1451=6),IF(LEFT(BH1451,1)="1",INDEX(係数_PM低減,MATCH(AY1451,【参考】排出係数!$AI$801:$AI$804,1),MATCH(BI1451,【参考】排出係数!$AL$798:$AO$798,1)),VLOOKUP(AU1451,INDEX((係数_バス貨物_ガソリン,係数_バス貨物_CNG,係数_バス貨物_軽油,係数_バス貨物_メタノール,係数_バス貨物_LPG),MATCH(AY1451,【参考】排出係数!$AI$4:$AI$671,1),1,BE1451):INDEX((係数_バス貨物_ガソリン,係数_バス貨物_CNG,係数_バス貨物_軽油,係数_バス貨物_メタノール,係数_バス貨物_LPG),MATCH(AY1451+1,【参考】排出係数!$AI$4:$AI$671,1)-1,5,BE1451),5,FALSE)),IF(AND(BE1451=3,LEFT(BF1451,1)="1"),0.055,VLOOKUP(AU1451,INDEX((係数_乗用_ガソリン,係数_乗用_CNG,係数_乗用_軽油,係数_乗用_メタノール,係数_乗用_LPG),1,1,BE1451):INDEX((係数_乗用_ガソリン,係数_乗用_CNG,係数_乗用_軽油,係数_乗用_メタノール,係数_乗用_LPG),125,5,BE1451),5,FALSE)))))</f>
        <v/>
      </c>
      <c r="AN1451" s="461" t="str">
        <f t="shared" si="806"/>
        <v/>
      </c>
      <c r="AO1451" s="462" t="str">
        <f t="shared" si="807"/>
        <v/>
      </c>
      <c r="AP1451" s="463" t="str">
        <f t="shared" si="808"/>
        <v/>
      </c>
      <c r="AQ1451" s="464"/>
      <c r="AR1451" s="619"/>
      <c r="AS1451" s="465" t="str">
        <f t="shared" si="816"/>
        <v/>
      </c>
      <c r="AT1451" s="465" t="str">
        <f t="shared" si="817"/>
        <v/>
      </c>
      <c r="AU1451" s="466" t="str">
        <f t="shared" si="818"/>
        <v/>
      </c>
      <c r="AV1451" s="467" t="str">
        <f t="shared" si="819"/>
        <v/>
      </c>
      <c r="AW1451" s="467" t="str">
        <f t="shared" si="820"/>
        <v/>
      </c>
      <c r="AX1451" s="467" t="str">
        <f t="shared" si="821"/>
        <v/>
      </c>
      <c r="AY1451" s="467" t="str">
        <f t="shared" si="822"/>
        <v/>
      </c>
      <c r="AZ1451" s="467" t="str">
        <f t="shared" si="823"/>
        <v/>
      </c>
      <c r="BA1451" s="468" t="str">
        <f>IF(AS1451="","",IF(OR(AU1451="",AU1451="-"),"－",IF(OR(AZ1451=8,AZ1451=9),"",IF(OR(AW1451=3,AW1451=4,AW1451=5,AW1451=6),VLOOKUP(AU1451,INDEX((係数_バス貨物_ガソリン,係数_バス貨物_CNG,係数_バス貨物_軽油,係数_バス貨物_メタノール,係数_バス貨物_LPG),MATCH(AY1451,【参考】排出係数!$AI$4:$AI$671,1),1,BE1451):INDEX((係数_バス貨物_ガソリン,係数_バス貨物_CNG,係数_バス貨物_軽油,係数_バス貨物_メタノール,係数_バス貨物_LPG),MATCH(AY1451+1,【参考】排出係数!$AI$4:$AI$671,1)-1,5,BE1451),2,FALSE),IF(OR(AW1451=1,AW1451=2),VLOOKUP(AU1451,INDEX((係数_乗用_ガソリン,係数_乗用_CNG,係数_乗用_軽油,係数_乗用_メタノール,係数_乗用_LPG),1,1,BE1451):INDEX((係数_乗用_ガソリン,係数_乗用_CNG,係数_乗用_軽油,係数_乗用_メタノール,係数_乗用_LPG),125,5,BE1451),2,FALSE))))))</f>
        <v/>
      </c>
      <c r="BB1451" s="468" t="str">
        <f>IF(T1451="","",IF(OR(AU1451="",AU1451="-"),"－",IF(OR(AZ1451=8,AZ1451=9),"",IF(OR(AW1451=3,AW1451=4,AW1451=5,AW1451=6),VLOOKUP(AU1451,INDEX((係数_バス貨物_ガソリン,係数_バス貨物_CNG,係数_バス貨物_軽油,係数_バス貨物_メタノール,係数_バス貨物_LPG),MATCH(AY1451,【参考】排出係数!$AI$4:$AI$671,1),1,BE1451):INDEX((係数_バス貨物_ガソリン,係数_バス貨物_CNG,係数_バス貨物_軽油,係数_バス貨物_メタノール,係数_バス貨物_LPG),MATCH(AY1451+1,【参考】排出係数!$AI$4:$AI$671,1)-1,5,BE1451),3,FALSE),IF(OR(AW1451=1,AW1451=2),VLOOKUP(AU1451,INDEX((係数_乗用_ガソリン,係数_乗用_CNG,係数_乗用_軽油,係数_乗用_メタノール,係数_乗用_LPG),1,1,BE1451):INDEX((係数_乗用_ガソリン,係数_乗用_CNG,係数_乗用_軽油,係数_乗用_メタノール,係数_乗用_LPG),125,5,BE1451),3,FALSE))))))</f>
        <v/>
      </c>
      <c r="BC1451" s="467" t="str">
        <f t="shared" si="824"/>
        <v/>
      </c>
      <c r="BD1451" s="567" t="str">
        <f t="shared" si="825"/>
        <v/>
      </c>
      <c r="BE1451" s="467" t="str">
        <f t="shared" si="826"/>
        <v/>
      </c>
      <c r="BF1451" s="469" t="str">
        <f t="shared" ca="1" si="827"/>
        <v/>
      </c>
      <c r="BG1451" s="469" t="str">
        <f t="shared" ca="1" si="828"/>
        <v/>
      </c>
      <c r="BH1451" s="467" t="str">
        <f t="shared" si="829"/>
        <v/>
      </c>
      <c r="BI1451" s="467" t="str">
        <f t="shared" ca="1" si="830"/>
        <v/>
      </c>
      <c r="BJ1451" s="469" t="str">
        <f t="shared" si="831"/>
        <v/>
      </c>
      <c r="BK1451" s="470" t="str">
        <f t="shared" si="815"/>
        <v/>
      </c>
      <c r="BL1451" s="775" t="str">
        <f t="shared" si="832"/>
        <v/>
      </c>
      <c r="BM1451" s="775" t="str">
        <f t="shared" si="833"/>
        <v/>
      </c>
    </row>
    <row r="1452" spans="1:65">
      <c r="A1452" s="473">
        <v>1396</v>
      </c>
      <c r="B1452" s="132"/>
      <c r="C1452" s="332"/>
      <c r="D1452" s="333"/>
      <c r="E1452" s="333"/>
      <c r="F1452" s="334"/>
      <c r="G1452" s="337"/>
      <c r="H1452" s="131"/>
      <c r="I1452" s="337"/>
      <c r="J1452" s="131"/>
      <c r="K1452" s="458" t="str">
        <f t="shared" ref="K1452:K1515" si="834">C1452&amp;D1452&amp;E1452&amp;F1452</f>
        <v/>
      </c>
      <c r="L1452" s="458">
        <f t="shared" ref="L1452:L1515" si="835">IF(G1452&gt;0,DATE((G1452),(H1452+1),0),0)</f>
        <v>0</v>
      </c>
      <c r="M1452" s="458">
        <f t="shared" ref="M1452:M1515" si="836">IF(I1452&gt;0,DATE((I1452),(J1452+1),0),0)</f>
        <v>0</v>
      </c>
      <c r="N1452" s="459" t="str">
        <f t="shared" si="809"/>
        <v/>
      </c>
      <c r="O1452" s="459" t="str">
        <f t="shared" si="810"/>
        <v/>
      </c>
      <c r="P1452" s="459" t="str">
        <f t="shared" si="811"/>
        <v/>
      </c>
      <c r="Q1452" s="459" t="str">
        <f t="shared" si="812"/>
        <v/>
      </c>
      <c r="R1452" s="459" t="str">
        <f t="shared" si="813"/>
        <v/>
      </c>
      <c r="S1452" s="459" t="str">
        <f t="shared" si="814"/>
        <v/>
      </c>
      <c r="T1452" s="566" t="str">
        <f t="shared" ref="T1452:T1515" si="837">N1452&amp;O1452&amp;P1452&amp;Q1452&amp;R1452&amp;S1452</f>
        <v/>
      </c>
      <c r="U1452" s="702"/>
      <c r="V1452" s="132"/>
      <c r="W1452" s="133"/>
      <c r="X1452" s="134"/>
      <c r="Y1452" s="135"/>
      <c r="Z1452" s="137"/>
      <c r="AA1452" s="136"/>
      <c r="AB1452" s="566" t="str">
        <f t="shared" ref="AB1452:AB1515" si="838">IF(AS1452="","",IF(AZ1452=1,VLOOKUP(BA1452,低公害車判別,2,FALSE),IF(AZ1452=3,VLOOKUP(BA1452,低公害車判別,2,FALSE),IF(AZ1452=4,VLOOKUP(BB1452,低公害車判別,2,FALSE),"低公害車"))))</f>
        <v/>
      </c>
      <c r="AC1452" s="568" t="str">
        <f t="shared" ref="AC1452:AC1515" si="839">IF(AS1452="","",IF((BA1452="")+(BA1452="－"),IF((BB1452="")+(BB1452=0),"－",BB1452),IF((BA1452="PM☆☆☆")+(BA1452="☆及びPM☆☆☆")+(BA1452="☆☆及びPM☆☆☆")+(BA1452="☆☆☆及びPM☆☆☆"),"PM☆☆☆",IF((BA1452="PM☆☆☆☆")+(BA1452="☆及びPM☆☆☆☆")+(BA1452="☆☆及びPM☆☆☆☆")+(BA1452="☆☆☆及びPM☆☆☆☆"),"PM☆☆☆☆",IF((BA1452="新☆")+(BA1452="新NOx☆")+(BA1452="新PM☆"),"新☆（新長期）",BA1452)))))</f>
        <v/>
      </c>
      <c r="AD1452" s="137"/>
      <c r="AE1452" s="137"/>
      <c r="AF1452" s="138"/>
      <c r="AG1452" s="138"/>
      <c r="AH1452" s="592" t="str">
        <f t="shared" ref="AH1452:AH1515" si="840">IF(C1452="","",IF(LEFT(C1452,2)="横浜","○",""))</f>
        <v/>
      </c>
      <c r="AI1452" s="592" t="str">
        <f t="shared" ref="AI1452:AI1515" si="841">IF(C1452="","",IF(LEFT(C1452,2)="川崎","○",""))</f>
        <v/>
      </c>
      <c r="AJ1452" s="592" t="str">
        <f t="shared" ref="AJ1452:AJ1515" si="842">IF(C1452="","",IF(OR(AH1452="○",AI1452="○"),"","○"))</f>
        <v/>
      </c>
      <c r="AK1452" s="460" t="str">
        <f>IF(AU1452="","",IF(OR(AZ1452=8,AZ1452=9),0,IF(OR(AW1452=3,AW1452=4,AW1452=5,AW1452=6),IF(LEFT(BF1452,1)="1",INDEX(係数_NOX・PM低減,MATCH(AY1452,【参考】排出係数!$AI$801:$AI$804,1),1),VLOOKUP(AU1452,INDEX((係数_バス貨物_ガソリン,係数_バス貨物_CNG,係数_バス貨物_軽油,係数_バス貨物_メタノール,係数_バス貨物_LPG),MATCH(AY1452,【参考】排出係数!$AI$4:$AI$671,1),1,BE1452):INDEX((係数_バス貨物_ガソリン,係数_バス貨物_CNG,係数_バス貨物_軽油,係数_バス貨物_メタノール,係数_バス貨物_LPG),MATCH(AY1452+1,【参考】排出係数!$AI$4:$AI$671,1)-1,5,BE1452),4,FALSE)),IF(AND(BE1452=3,LEFT(BF1452,1)="1"),0.48,VLOOKUP(AU1452,INDEX((係数_乗用_ガソリン,係数_乗用_CNG,係数_乗用_軽油,係数_乗用_メタノール,係数_乗用_LPG),1,1,BE1452):INDEX((係数_乗用_ガソリン,係数_乗用_CNG,係数_乗用_軽油,係数_乗用_メタノール,係数_乗用_LPG),125,5,BE1452),4,FALSE)))))</f>
        <v/>
      </c>
      <c r="AL1452" s="461" t="str">
        <f t="shared" ref="AL1452:AL1515" si="843">IF(AU1452="","",IF(Z1452&lt;=3.5*1000,AD1452*AK1452/1000,IF(Z1452&gt;3.5*1000,AD1452*Z1452*AK1452/1000/1000)))</f>
        <v/>
      </c>
      <c r="AM1452" s="460" t="str">
        <f>IF(AU1452="","",IF(OR(AZ1452=8,AZ1452=9),0,IF(OR(AW1452=3,AW1452=4,AW1452=5,AW1452=6),IF(LEFT(BH1452,1)="1",INDEX(係数_PM低減,MATCH(AY1452,【参考】排出係数!$AI$801:$AI$804,1),MATCH(BI1452,【参考】排出係数!$AL$798:$AO$798,1)),VLOOKUP(AU1452,INDEX((係数_バス貨物_ガソリン,係数_バス貨物_CNG,係数_バス貨物_軽油,係数_バス貨物_メタノール,係数_バス貨物_LPG),MATCH(AY1452,【参考】排出係数!$AI$4:$AI$671,1),1,BE1452):INDEX((係数_バス貨物_ガソリン,係数_バス貨物_CNG,係数_バス貨物_軽油,係数_バス貨物_メタノール,係数_バス貨物_LPG),MATCH(AY1452+1,【参考】排出係数!$AI$4:$AI$671,1)-1,5,BE1452),5,FALSE)),IF(AND(BE1452=3,LEFT(BF1452,1)="1"),0.055,VLOOKUP(AU1452,INDEX((係数_乗用_ガソリン,係数_乗用_CNG,係数_乗用_軽油,係数_乗用_メタノール,係数_乗用_LPG),1,1,BE1452):INDEX((係数_乗用_ガソリン,係数_乗用_CNG,係数_乗用_軽油,係数_乗用_メタノール,係数_乗用_LPG),125,5,BE1452),5,FALSE)))))</f>
        <v/>
      </c>
      <c r="AN1452" s="461" t="str">
        <f t="shared" ref="AN1452:AN1515" si="844">IF(AU1452="","",IF(Z1452&lt;=3.5*1000,AD1452*AM1452/1000,IF(Z1452&gt;3.5*1000,AD1452*Z1452*AM1452/1000/1000)))</f>
        <v/>
      </c>
      <c r="AO1452" s="462" t="str">
        <f t="shared" ref="AO1452:AO1515" si="845">IF(AU1452="","",IF(Z1452&lt;500,"車両重量",IF(OR(AZ1452=8,AZ1452=9),0,IF(OR(AZ1452=1,AZ1452=2,AZ1452=11),2.32,IF(OR(AZ1452=4,AZ1452=5,AZ1452=11),2.58,IF(AZ1452=3,3,IF(AZ1452=6,2.23,IF(AZ1452=7,1.37,0))))))))</f>
        <v/>
      </c>
      <c r="AP1452" s="463" t="str">
        <f t="shared" ref="AP1452:AP1515" si="846">IF(AU1452="","",AE1452*AO1452/1000)</f>
        <v/>
      </c>
      <c r="AQ1452" s="464"/>
      <c r="AR1452" s="619"/>
      <c r="AS1452" s="465" t="str">
        <f t="shared" si="816"/>
        <v/>
      </c>
      <c r="AT1452" s="465" t="str">
        <f t="shared" si="817"/>
        <v/>
      </c>
      <c r="AU1452" s="466" t="str">
        <f t="shared" si="818"/>
        <v/>
      </c>
      <c r="AV1452" s="467" t="str">
        <f t="shared" si="819"/>
        <v/>
      </c>
      <c r="AW1452" s="467" t="str">
        <f t="shared" si="820"/>
        <v/>
      </c>
      <c r="AX1452" s="467" t="str">
        <f t="shared" si="821"/>
        <v/>
      </c>
      <c r="AY1452" s="467" t="str">
        <f t="shared" si="822"/>
        <v/>
      </c>
      <c r="AZ1452" s="467" t="str">
        <f t="shared" si="823"/>
        <v/>
      </c>
      <c r="BA1452" s="468" t="str">
        <f>IF(AS1452="","",IF(OR(AU1452="",AU1452="-"),"－",IF(OR(AZ1452=8,AZ1452=9),"",IF(OR(AW1452=3,AW1452=4,AW1452=5,AW1452=6),VLOOKUP(AU1452,INDEX((係数_バス貨物_ガソリン,係数_バス貨物_CNG,係数_バス貨物_軽油,係数_バス貨物_メタノール,係数_バス貨物_LPG),MATCH(AY1452,【参考】排出係数!$AI$4:$AI$671,1),1,BE1452):INDEX((係数_バス貨物_ガソリン,係数_バス貨物_CNG,係数_バス貨物_軽油,係数_バス貨物_メタノール,係数_バス貨物_LPG),MATCH(AY1452+1,【参考】排出係数!$AI$4:$AI$671,1)-1,5,BE1452),2,FALSE),IF(OR(AW1452=1,AW1452=2),VLOOKUP(AU1452,INDEX((係数_乗用_ガソリン,係数_乗用_CNG,係数_乗用_軽油,係数_乗用_メタノール,係数_乗用_LPG),1,1,BE1452):INDEX((係数_乗用_ガソリン,係数_乗用_CNG,係数_乗用_軽油,係数_乗用_メタノール,係数_乗用_LPG),125,5,BE1452),2,FALSE))))))</f>
        <v/>
      </c>
      <c r="BB1452" s="468" t="str">
        <f>IF(T1452="","",IF(OR(AU1452="",AU1452="-"),"－",IF(OR(AZ1452=8,AZ1452=9),"",IF(OR(AW1452=3,AW1452=4,AW1452=5,AW1452=6),VLOOKUP(AU1452,INDEX((係数_バス貨物_ガソリン,係数_バス貨物_CNG,係数_バス貨物_軽油,係数_バス貨物_メタノール,係数_バス貨物_LPG),MATCH(AY1452,【参考】排出係数!$AI$4:$AI$671,1),1,BE1452):INDEX((係数_バス貨物_ガソリン,係数_バス貨物_CNG,係数_バス貨物_軽油,係数_バス貨物_メタノール,係数_バス貨物_LPG),MATCH(AY1452+1,【参考】排出係数!$AI$4:$AI$671,1)-1,5,BE1452),3,FALSE),IF(OR(AW1452=1,AW1452=2),VLOOKUP(AU1452,INDEX((係数_乗用_ガソリン,係数_乗用_CNG,係数_乗用_軽油,係数_乗用_メタノール,係数_乗用_LPG),1,1,BE1452):INDEX((係数_乗用_ガソリン,係数_乗用_CNG,係数_乗用_軽油,係数_乗用_メタノール,係数_乗用_LPG),125,5,BE1452),3,FALSE))))))</f>
        <v/>
      </c>
      <c r="BC1452" s="467" t="str">
        <f t="shared" si="824"/>
        <v/>
      </c>
      <c r="BD1452" s="567" t="str">
        <f t="shared" si="825"/>
        <v/>
      </c>
      <c r="BE1452" s="467" t="str">
        <f t="shared" si="826"/>
        <v/>
      </c>
      <c r="BF1452" s="469" t="str">
        <f t="shared" ca="1" si="827"/>
        <v/>
      </c>
      <c r="BG1452" s="469" t="str">
        <f t="shared" ca="1" si="828"/>
        <v/>
      </c>
      <c r="BH1452" s="467" t="str">
        <f t="shared" si="829"/>
        <v/>
      </c>
      <c r="BI1452" s="467" t="str">
        <f t="shared" ca="1" si="830"/>
        <v/>
      </c>
      <c r="BJ1452" s="469" t="str">
        <f t="shared" si="831"/>
        <v/>
      </c>
      <c r="BK1452" s="470" t="str">
        <f t="shared" si="815"/>
        <v/>
      </c>
      <c r="BL1452" s="775" t="str">
        <f t="shared" si="832"/>
        <v/>
      </c>
      <c r="BM1452" s="775" t="str">
        <f t="shared" si="833"/>
        <v/>
      </c>
    </row>
    <row r="1453" spans="1:65">
      <c r="A1453" s="473">
        <v>1397</v>
      </c>
      <c r="B1453" s="132"/>
      <c r="C1453" s="332"/>
      <c r="D1453" s="333"/>
      <c r="E1453" s="333"/>
      <c r="F1453" s="334"/>
      <c r="G1453" s="337"/>
      <c r="H1453" s="131"/>
      <c r="I1453" s="337"/>
      <c r="J1453" s="131"/>
      <c r="K1453" s="458" t="str">
        <f t="shared" si="834"/>
        <v/>
      </c>
      <c r="L1453" s="458">
        <f t="shared" si="835"/>
        <v>0</v>
      </c>
      <c r="M1453" s="458">
        <f t="shared" si="836"/>
        <v>0</v>
      </c>
      <c r="N1453" s="459" t="str">
        <f t="shared" si="809"/>
        <v/>
      </c>
      <c r="O1453" s="459" t="str">
        <f t="shared" si="810"/>
        <v/>
      </c>
      <c r="P1453" s="459" t="str">
        <f t="shared" si="811"/>
        <v/>
      </c>
      <c r="Q1453" s="459" t="str">
        <f t="shared" si="812"/>
        <v/>
      </c>
      <c r="R1453" s="459" t="str">
        <f t="shared" si="813"/>
        <v/>
      </c>
      <c r="S1453" s="459" t="str">
        <f t="shared" si="814"/>
        <v/>
      </c>
      <c r="T1453" s="566" t="str">
        <f t="shared" si="837"/>
        <v/>
      </c>
      <c r="U1453" s="702"/>
      <c r="V1453" s="132"/>
      <c r="W1453" s="133"/>
      <c r="X1453" s="134"/>
      <c r="Y1453" s="135"/>
      <c r="Z1453" s="137"/>
      <c r="AA1453" s="136"/>
      <c r="AB1453" s="566" t="str">
        <f t="shared" si="838"/>
        <v/>
      </c>
      <c r="AC1453" s="568" t="str">
        <f t="shared" si="839"/>
        <v/>
      </c>
      <c r="AD1453" s="137"/>
      <c r="AE1453" s="137"/>
      <c r="AF1453" s="138"/>
      <c r="AG1453" s="138"/>
      <c r="AH1453" s="592" t="str">
        <f t="shared" si="840"/>
        <v/>
      </c>
      <c r="AI1453" s="592" t="str">
        <f t="shared" si="841"/>
        <v/>
      </c>
      <c r="AJ1453" s="592" t="str">
        <f t="shared" si="842"/>
        <v/>
      </c>
      <c r="AK1453" s="460" t="str">
        <f>IF(AU1453="","",IF(OR(AZ1453=8,AZ1453=9),0,IF(OR(AW1453=3,AW1453=4,AW1453=5,AW1453=6),IF(LEFT(BF1453,1)="1",INDEX(係数_NOX・PM低減,MATCH(AY1453,【参考】排出係数!$AI$801:$AI$804,1),1),VLOOKUP(AU1453,INDEX((係数_バス貨物_ガソリン,係数_バス貨物_CNG,係数_バス貨物_軽油,係数_バス貨物_メタノール,係数_バス貨物_LPG),MATCH(AY1453,【参考】排出係数!$AI$4:$AI$671,1),1,BE1453):INDEX((係数_バス貨物_ガソリン,係数_バス貨物_CNG,係数_バス貨物_軽油,係数_バス貨物_メタノール,係数_バス貨物_LPG),MATCH(AY1453+1,【参考】排出係数!$AI$4:$AI$671,1)-1,5,BE1453),4,FALSE)),IF(AND(BE1453=3,LEFT(BF1453,1)="1"),0.48,VLOOKUP(AU1453,INDEX((係数_乗用_ガソリン,係数_乗用_CNG,係数_乗用_軽油,係数_乗用_メタノール,係数_乗用_LPG),1,1,BE1453):INDEX((係数_乗用_ガソリン,係数_乗用_CNG,係数_乗用_軽油,係数_乗用_メタノール,係数_乗用_LPG),125,5,BE1453),4,FALSE)))))</f>
        <v/>
      </c>
      <c r="AL1453" s="461" t="str">
        <f t="shared" si="843"/>
        <v/>
      </c>
      <c r="AM1453" s="460" t="str">
        <f>IF(AU1453="","",IF(OR(AZ1453=8,AZ1453=9),0,IF(OR(AW1453=3,AW1453=4,AW1453=5,AW1453=6),IF(LEFT(BH1453,1)="1",INDEX(係数_PM低減,MATCH(AY1453,【参考】排出係数!$AI$801:$AI$804,1),MATCH(BI1453,【参考】排出係数!$AL$798:$AO$798,1)),VLOOKUP(AU1453,INDEX((係数_バス貨物_ガソリン,係数_バス貨物_CNG,係数_バス貨物_軽油,係数_バス貨物_メタノール,係数_バス貨物_LPG),MATCH(AY1453,【参考】排出係数!$AI$4:$AI$671,1),1,BE1453):INDEX((係数_バス貨物_ガソリン,係数_バス貨物_CNG,係数_バス貨物_軽油,係数_バス貨物_メタノール,係数_バス貨物_LPG),MATCH(AY1453+1,【参考】排出係数!$AI$4:$AI$671,1)-1,5,BE1453),5,FALSE)),IF(AND(BE1453=3,LEFT(BF1453,1)="1"),0.055,VLOOKUP(AU1453,INDEX((係数_乗用_ガソリン,係数_乗用_CNG,係数_乗用_軽油,係数_乗用_メタノール,係数_乗用_LPG),1,1,BE1453):INDEX((係数_乗用_ガソリン,係数_乗用_CNG,係数_乗用_軽油,係数_乗用_メタノール,係数_乗用_LPG),125,5,BE1453),5,FALSE)))))</f>
        <v/>
      </c>
      <c r="AN1453" s="461" t="str">
        <f t="shared" si="844"/>
        <v/>
      </c>
      <c r="AO1453" s="462" t="str">
        <f t="shared" si="845"/>
        <v/>
      </c>
      <c r="AP1453" s="463" t="str">
        <f t="shared" si="846"/>
        <v/>
      </c>
      <c r="AQ1453" s="464"/>
      <c r="AR1453" s="619"/>
      <c r="AS1453" s="465" t="str">
        <f t="shared" si="816"/>
        <v/>
      </c>
      <c r="AT1453" s="465" t="str">
        <f t="shared" si="817"/>
        <v/>
      </c>
      <c r="AU1453" s="466" t="str">
        <f t="shared" si="818"/>
        <v/>
      </c>
      <c r="AV1453" s="467" t="str">
        <f t="shared" si="819"/>
        <v/>
      </c>
      <c r="AW1453" s="467" t="str">
        <f t="shared" si="820"/>
        <v/>
      </c>
      <c r="AX1453" s="467" t="str">
        <f t="shared" si="821"/>
        <v/>
      </c>
      <c r="AY1453" s="467" t="str">
        <f t="shared" si="822"/>
        <v/>
      </c>
      <c r="AZ1453" s="467" t="str">
        <f t="shared" si="823"/>
        <v/>
      </c>
      <c r="BA1453" s="468" t="str">
        <f>IF(AS1453="","",IF(OR(AU1453="",AU1453="-"),"－",IF(OR(AZ1453=8,AZ1453=9),"",IF(OR(AW1453=3,AW1453=4,AW1453=5,AW1453=6),VLOOKUP(AU1453,INDEX((係数_バス貨物_ガソリン,係数_バス貨物_CNG,係数_バス貨物_軽油,係数_バス貨物_メタノール,係数_バス貨物_LPG),MATCH(AY1453,【参考】排出係数!$AI$4:$AI$671,1),1,BE1453):INDEX((係数_バス貨物_ガソリン,係数_バス貨物_CNG,係数_バス貨物_軽油,係数_バス貨物_メタノール,係数_バス貨物_LPG),MATCH(AY1453+1,【参考】排出係数!$AI$4:$AI$671,1)-1,5,BE1453),2,FALSE),IF(OR(AW1453=1,AW1453=2),VLOOKUP(AU1453,INDEX((係数_乗用_ガソリン,係数_乗用_CNG,係数_乗用_軽油,係数_乗用_メタノール,係数_乗用_LPG),1,1,BE1453):INDEX((係数_乗用_ガソリン,係数_乗用_CNG,係数_乗用_軽油,係数_乗用_メタノール,係数_乗用_LPG),125,5,BE1453),2,FALSE))))))</f>
        <v/>
      </c>
      <c r="BB1453" s="468" t="str">
        <f>IF(T1453="","",IF(OR(AU1453="",AU1453="-"),"－",IF(OR(AZ1453=8,AZ1453=9),"",IF(OR(AW1453=3,AW1453=4,AW1453=5,AW1453=6),VLOOKUP(AU1453,INDEX((係数_バス貨物_ガソリン,係数_バス貨物_CNG,係数_バス貨物_軽油,係数_バス貨物_メタノール,係数_バス貨物_LPG),MATCH(AY1453,【参考】排出係数!$AI$4:$AI$671,1),1,BE1453):INDEX((係数_バス貨物_ガソリン,係数_バス貨物_CNG,係数_バス貨物_軽油,係数_バス貨物_メタノール,係数_バス貨物_LPG),MATCH(AY1453+1,【参考】排出係数!$AI$4:$AI$671,1)-1,5,BE1453),3,FALSE),IF(OR(AW1453=1,AW1453=2),VLOOKUP(AU1453,INDEX((係数_乗用_ガソリン,係数_乗用_CNG,係数_乗用_軽油,係数_乗用_メタノール,係数_乗用_LPG),1,1,BE1453):INDEX((係数_乗用_ガソリン,係数_乗用_CNG,係数_乗用_軽油,係数_乗用_メタノール,係数_乗用_LPG),125,5,BE1453),3,FALSE))))))</f>
        <v/>
      </c>
      <c r="BC1453" s="467" t="str">
        <f t="shared" si="824"/>
        <v/>
      </c>
      <c r="BD1453" s="567" t="str">
        <f t="shared" si="825"/>
        <v/>
      </c>
      <c r="BE1453" s="467" t="str">
        <f t="shared" si="826"/>
        <v/>
      </c>
      <c r="BF1453" s="469" t="str">
        <f t="shared" ca="1" si="827"/>
        <v/>
      </c>
      <c r="BG1453" s="469" t="str">
        <f t="shared" ca="1" si="828"/>
        <v/>
      </c>
      <c r="BH1453" s="467" t="str">
        <f t="shared" si="829"/>
        <v/>
      </c>
      <c r="BI1453" s="467" t="str">
        <f t="shared" ca="1" si="830"/>
        <v/>
      </c>
      <c r="BJ1453" s="469" t="str">
        <f t="shared" si="831"/>
        <v/>
      </c>
      <c r="BK1453" s="470" t="str">
        <f t="shared" si="815"/>
        <v/>
      </c>
      <c r="BL1453" s="775" t="str">
        <f t="shared" si="832"/>
        <v/>
      </c>
      <c r="BM1453" s="775" t="str">
        <f t="shared" si="833"/>
        <v/>
      </c>
    </row>
    <row r="1454" spans="1:65">
      <c r="A1454" s="473">
        <v>1398</v>
      </c>
      <c r="B1454" s="132"/>
      <c r="C1454" s="332"/>
      <c r="D1454" s="333"/>
      <c r="E1454" s="333"/>
      <c r="F1454" s="334"/>
      <c r="G1454" s="337"/>
      <c r="H1454" s="131"/>
      <c r="I1454" s="337"/>
      <c r="J1454" s="131"/>
      <c r="K1454" s="458" t="str">
        <f t="shared" si="834"/>
        <v/>
      </c>
      <c r="L1454" s="458">
        <f t="shared" si="835"/>
        <v>0</v>
      </c>
      <c r="M1454" s="458">
        <f t="shared" si="836"/>
        <v>0</v>
      </c>
      <c r="N1454" s="459" t="str">
        <f t="shared" si="809"/>
        <v/>
      </c>
      <c r="O1454" s="459" t="str">
        <f t="shared" si="810"/>
        <v/>
      </c>
      <c r="P1454" s="459" t="str">
        <f t="shared" si="811"/>
        <v/>
      </c>
      <c r="Q1454" s="459" t="str">
        <f t="shared" si="812"/>
        <v/>
      </c>
      <c r="R1454" s="459" t="str">
        <f t="shared" si="813"/>
        <v/>
      </c>
      <c r="S1454" s="459" t="str">
        <f t="shared" si="814"/>
        <v/>
      </c>
      <c r="T1454" s="566" t="str">
        <f t="shared" si="837"/>
        <v/>
      </c>
      <c r="U1454" s="702"/>
      <c r="V1454" s="132"/>
      <c r="W1454" s="133"/>
      <c r="X1454" s="134"/>
      <c r="Y1454" s="135"/>
      <c r="Z1454" s="137"/>
      <c r="AA1454" s="136"/>
      <c r="AB1454" s="566" t="str">
        <f t="shared" si="838"/>
        <v/>
      </c>
      <c r="AC1454" s="568" t="str">
        <f t="shared" si="839"/>
        <v/>
      </c>
      <c r="AD1454" s="137"/>
      <c r="AE1454" s="137"/>
      <c r="AF1454" s="138"/>
      <c r="AG1454" s="138"/>
      <c r="AH1454" s="592" t="str">
        <f t="shared" si="840"/>
        <v/>
      </c>
      <c r="AI1454" s="592" t="str">
        <f t="shared" si="841"/>
        <v/>
      </c>
      <c r="AJ1454" s="592" t="str">
        <f t="shared" si="842"/>
        <v/>
      </c>
      <c r="AK1454" s="460" t="str">
        <f>IF(AU1454="","",IF(OR(AZ1454=8,AZ1454=9),0,IF(OR(AW1454=3,AW1454=4,AW1454=5,AW1454=6),IF(LEFT(BF1454,1)="1",INDEX(係数_NOX・PM低減,MATCH(AY1454,【参考】排出係数!$AI$801:$AI$804,1),1),VLOOKUP(AU1454,INDEX((係数_バス貨物_ガソリン,係数_バス貨物_CNG,係数_バス貨物_軽油,係数_バス貨物_メタノール,係数_バス貨物_LPG),MATCH(AY1454,【参考】排出係数!$AI$4:$AI$671,1),1,BE1454):INDEX((係数_バス貨物_ガソリン,係数_バス貨物_CNG,係数_バス貨物_軽油,係数_バス貨物_メタノール,係数_バス貨物_LPG),MATCH(AY1454+1,【参考】排出係数!$AI$4:$AI$671,1)-1,5,BE1454),4,FALSE)),IF(AND(BE1454=3,LEFT(BF1454,1)="1"),0.48,VLOOKUP(AU1454,INDEX((係数_乗用_ガソリン,係数_乗用_CNG,係数_乗用_軽油,係数_乗用_メタノール,係数_乗用_LPG),1,1,BE1454):INDEX((係数_乗用_ガソリン,係数_乗用_CNG,係数_乗用_軽油,係数_乗用_メタノール,係数_乗用_LPG),125,5,BE1454),4,FALSE)))))</f>
        <v/>
      </c>
      <c r="AL1454" s="461" t="str">
        <f t="shared" si="843"/>
        <v/>
      </c>
      <c r="AM1454" s="460" t="str">
        <f>IF(AU1454="","",IF(OR(AZ1454=8,AZ1454=9),0,IF(OR(AW1454=3,AW1454=4,AW1454=5,AW1454=6),IF(LEFT(BH1454,1)="1",INDEX(係数_PM低減,MATCH(AY1454,【参考】排出係数!$AI$801:$AI$804,1),MATCH(BI1454,【参考】排出係数!$AL$798:$AO$798,1)),VLOOKUP(AU1454,INDEX((係数_バス貨物_ガソリン,係数_バス貨物_CNG,係数_バス貨物_軽油,係数_バス貨物_メタノール,係数_バス貨物_LPG),MATCH(AY1454,【参考】排出係数!$AI$4:$AI$671,1),1,BE1454):INDEX((係数_バス貨物_ガソリン,係数_バス貨物_CNG,係数_バス貨物_軽油,係数_バス貨物_メタノール,係数_バス貨物_LPG),MATCH(AY1454+1,【参考】排出係数!$AI$4:$AI$671,1)-1,5,BE1454),5,FALSE)),IF(AND(BE1454=3,LEFT(BF1454,1)="1"),0.055,VLOOKUP(AU1454,INDEX((係数_乗用_ガソリン,係数_乗用_CNG,係数_乗用_軽油,係数_乗用_メタノール,係数_乗用_LPG),1,1,BE1454):INDEX((係数_乗用_ガソリン,係数_乗用_CNG,係数_乗用_軽油,係数_乗用_メタノール,係数_乗用_LPG),125,5,BE1454),5,FALSE)))))</f>
        <v/>
      </c>
      <c r="AN1454" s="461" t="str">
        <f t="shared" si="844"/>
        <v/>
      </c>
      <c r="AO1454" s="462" t="str">
        <f t="shared" si="845"/>
        <v/>
      </c>
      <c r="AP1454" s="463" t="str">
        <f t="shared" si="846"/>
        <v/>
      </c>
      <c r="AQ1454" s="464"/>
      <c r="AR1454" s="619"/>
      <c r="AS1454" s="465" t="str">
        <f t="shared" si="816"/>
        <v/>
      </c>
      <c r="AT1454" s="465" t="str">
        <f t="shared" si="817"/>
        <v/>
      </c>
      <c r="AU1454" s="466" t="str">
        <f t="shared" si="818"/>
        <v/>
      </c>
      <c r="AV1454" s="467" t="str">
        <f t="shared" si="819"/>
        <v/>
      </c>
      <c r="AW1454" s="467" t="str">
        <f t="shared" si="820"/>
        <v/>
      </c>
      <c r="AX1454" s="467" t="str">
        <f t="shared" si="821"/>
        <v/>
      </c>
      <c r="AY1454" s="467" t="str">
        <f t="shared" si="822"/>
        <v/>
      </c>
      <c r="AZ1454" s="467" t="str">
        <f t="shared" si="823"/>
        <v/>
      </c>
      <c r="BA1454" s="468" t="str">
        <f>IF(AS1454="","",IF(OR(AU1454="",AU1454="-"),"－",IF(OR(AZ1454=8,AZ1454=9),"",IF(OR(AW1454=3,AW1454=4,AW1454=5,AW1454=6),VLOOKUP(AU1454,INDEX((係数_バス貨物_ガソリン,係数_バス貨物_CNG,係数_バス貨物_軽油,係数_バス貨物_メタノール,係数_バス貨物_LPG),MATCH(AY1454,【参考】排出係数!$AI$4:$AI$671,1),1,BE1454):INDEX((係数_バス貨物_ガソリン,係数_バス貨物_CNG,係数_バス貨物_軽油,係数_バス貨物_メタノール,係数_バス貨物_LPG),MATCH(AY1454+1,【参考】排出係数!$AI$4:$AI$671,1)-1,5,BE1454),2,FALSE),IF(OR(AW1454=1,AW1454=2),VLOOKUP(AU1454,INDEX((係数_乗用_ガソリン,係数_乗用_CNG,係数_乗用_軽油,係数_乗用_メタノール,係数_乗用_LPG),1,1,BE1454):INDEX((係数_乗用_ガソリン,係数_乗用_CNG,係数_乗用_軽油,係数_乗用_メタノール,係数_乗用_LPG),125,5,BE1454),2,FALSE))))))</f>
        <v/>
      </c>
      <c r="BB1454" s="468" t="str">
        <f>IF(T1454="","",IF(OR(AU1454="",AU1454="-"),"－",IF(OR(AZ1454=8,AZ1454=9),"",IF(OR(AW1454=3,AW1454=4,AW1454=5,AW1454=6),VLOOKUP(AU1454,INDEX((係数_バス貨物_ガソリン,係数_バス貨物_CNG,係数_バス貨物_軽油,係数_バス貨物_メタノール,係数_バス貨物_LPG),MATCH(AY1454,【参考】排出係数!$AI$4:$AI$671,1),1,BE1454):INDEX((係数_バス貨物_ガソリン,係数_バス貨物_CNG,係数_バス貨物_軽油,係数_バス貨物_メタノール,係数_バス貨物_LPG),MATCH(AY1454+1,【参考】排出係数!$AI$4:$AI$671,1)-1,5,BE1454),3,FALSE),IF(OR(AW1454=1,AW1454=2),VLOOKUP(AU1454,INDEX((係数_乗用_ガソリン,係数_乗用_CNG,係数_乗用_軽油,係数_乗用_メタノール,係数_乗用_LPG),1,1,BE1454):INDEX((係数_乗用_ガソリン,係数_乗用_CNG,係数_乗用_軽油,係数_乗用_メタノール,係数_乗用_LPG),125,5,BE1454),3,FALSE))))))</f>
        <v/>
      </c>
      <c r="BC1454" s="467" t="str">
        <f t="shared" si="824"/>
        <v/>
      </c>
      <c r="BD1454" s="567" t="str">
        <f t="shared" si="825"/>
        <v/>
      </c>
      <c r="BE1454" s="467" t="str">
        <f t="shared" si="826"/>
        <v/>
      </c>
      <c r="BF1454" s="469" t="str">
        <f t="shared" ca="1" si="827"/>
        <v/>
      </c>
      <c r="BG1454" s="469" t="str">
        <f t="shared" ca="1" si="828"/>
        <v/>
      </c>
      <c r="BH1454" s="467" t="str">
        <f t="shared" si="829"/>
        <v/>
      </c>
      <c r="BI1454" s="467" t="str">
        <f t="shared" ca="1" si="830"/>
        <v/>
      </c>
      <c r="BJ1454" s="469" t="str">
        <f t="shared" si="831"/>
        <v/>
      </c>
      <c r="BK1454" s="470" t="str">
        <f t="shared" si="815"/>
        <v/>
      </c>
      <c r="BL1454" s="775" t="str">
        <f t="shared" si="832"/>
        <v/>
      </c>
      <c r="BM1454" s="775" t="str">
        <f t="shared" si="833"/>
        <v/>
      </c>
    </row>
    <row r="1455" spans="1:65">
      <c r="A1455" s="473">
        <v>1399</v>
      </c>
      <c r="B1455" s="132"/>
      <c r="C1455" s="332"/>
      <c r="D1455" s="333"/>
      <c r="E1455" s="333"/>
      <c r="F1455" s="334"/>
      <c r="G1455" s="337"/>
      <c r="H1455" s="131"/>
      <c r="I1455" s="337"/>
      <c r="J1455" s="131"/>
      <c r="K1455" s="458" t="str">
        <f t="shared" si="834"/>
        <v/>
      </c>
      <c r="L1455" s="458">
        <f t="shared" si="835"/>
        <v>0</v>
      </c>
      <c r="M1455" s="458">
        <f t="shared" si="836"/>
        <v>0</v>
      </c>
      <c r="N1455" s="459" t="str">
        <f t="shared" si="809"/>
        <v/>
      </c>
      <c r="O1455" s="459" t="str">
        <f t="shared" si="810"/>
        <v/>
      </c>
      <c r="P1455" s="459" t="str">
        <f t="shared" si="811"/>
        <v/>
      </c>
      <c r="Q1455" s="459" t="str">
        <f t="shared" si="812"/>
        <v/>
      </c>
      <c r="R1455" s="459" t="str">
        <f t="shared" si="813"/>
        <v/>
      </c>
      <c r="S1455" s="459" t="str">
        <f t="shared" si="814"/>
        <v/>
      </c>
      <c r="T1455" s="566" t="str">
        <f t="shared" si="837"/>
        <v/>
      </c>
      <c r="U1455" s="702"/>
      <c r="V1455" s="132"/>
      <c r="W1455" s="133"/>
      <c r="X1455" s="134"/>
      <c r="Y1455" s="135"/>
      <c r="Z1455" s="137"/>
      <c r="AA1455" s="136"/>
      <c r="AB1455" s="566" t="str">
        <f t="shared" si="838"/>
        <v/>
      </c>
      <c r="AC1455" s="568" t="str">
        <f t="shared" si="839"/>
        <v/>
      </c>
      <c r="AD1455" s="137"/>
      <c r="AE1455" s="137"/>
      <c r="AF1455" s="138"/>
      <c r="AG1455" s="138"/>
      <c r="AH1455" s="592" t="str">
        <f t="shared" si="840"/>
        <v/>
      </c>
      <c r="AI1455" s="592" t="str">
        <f t="shared" si="841"/>
        <v/>
      </c>
      <c r="AJ1455" s="592" t="str">
        <f t="shared" si="842"/>
        <v/>
      </c>
      <c r="AK1455" s="460" t="str">
        <f>IF(AU1455="","",IF(OR(AZ1455=8,AZ1455=9),0,IF(OR(AW1455=3,AW1455=4,AW1455=5,AW1455=6),IF(LEFT(BF1455,1)="1",INDEX(係数_NOX・PM低減,MATCH(AY1455,【参考】排出係数!$AI$801:$AI$804,1),1),VLOOKUP(AU1455,INDEX((係数_バス貨物_ガソリン,係数_バス貨物_CNG,係数_バス貨物_軽油,係数_バス貨物_メタノール,係数_バス貨物_LPG),MATCH(AY1455,【参考】排出係数!$AI$4:$AI$671,1),1,BE1455):INDEX((係数_バス貨物_ガソリン,係数_バス貨物_CNG,係数_バス貨物_軽油,係数_バス貨物_メタノール,係数_バス貨物_LPG),MATCH(AY1455+1,【参考】排出係数!$AI$4:$AI$671,1)-1,5,BE1455),4,FALSE)),IF(AND(BE1455=3,LEFT(BF1455,1)="1"),0.48,VLOOKUP(AU1455,INDEX((係数_乗用_ガソリン,係数_乗用_CNG,係数_乗用_軽油,係数_乗用_メタノール,係数_乗用_LPG),1,1,BE1455):INDEX((係数_乗用_ガソリン,係数_乗用_CNG,係数_乗用_軽油,係数_乗用_メタノール,係数_乗用_LPG),125,5,BE1455),4,FALSE)))))</f>
        <v/>
      </c>
      <c r="AL1455" s="461" t="str">
        <f t="shared" si="843"/>
        <v/>
      </c>
      <c r="AM1455" s="460" t="str">
        <f>IF(AU1455="","",IF(OR(AZ1455=8,AZ1455=9),0,IF(OR(AW1455=3,AW1455=4,AW1455=5,AW1455=6),IF(LEFT(BH1455,1)="1",INDEX(係数_PM低減,MATCH(AY1455,【参考】排出係数!$AI$801:$AI$804,1),MATCH(BI1455,【参考】排出係数!$AL$798:$AO$798,1)),VLOOKUP(AU1455,INDEX((係数_バス貨物_ガソリン,係数_バス貨物_CNG,係数_バス貨物_軽油,係数_バス貨物_メタノール,係数_バス貨物_LPG),MATCH(AY1455,【参考】排出係数!$AI$4:$AI$671,1),1,BE1455):INDEX((係数_バス貨物_ガソリン,係数_バス貨物_CNG,係数_バス貨物_軽油,係数_バス貨物_メタノール,係数_バス貨物_LPG),MATCH(AY1455+1,【参考】排出係数!$AI$4:$AI$671,1)-1,5,BE1455),5,FALSE)),IF(AND(BE1455=3,LEFT(BF1455,1)="1"),0.055,VLOOKUP(AU1455,INDEX((係数_乗用_ガソリン,係数_乗用_CNG,係数_乗用_軽油,係数_乗用_メタノール,係数_乗用_LPG),1,1,BE1455):INDEX((係数_乗用_ガソリン,係数_乗用_CNG,係数_乗用_軽油,係数_乗用_メタノール,係数_乗用_LPG),125,5,BE1455),5,FALSE)))))</f>
        <v/>
      </c>
      <c r="AN1455" s="461" t="str">
        <f t="shared" si="844"/>
        <v/>
      </c>
      <c r="AO1455" s="462" t="str">
        <f t="shared" si="845"/>
        <v/>
      </c>
      <c r="AP1455" s="463" t="str">
        <f t="shared" si="846"/>
        <v/>
      </c>
      <c r="AQ1455" s="464"/>
      <c r="AR1455" s="619"/>
      <c r="AS1455" s="465" t="str">
        <f t="shared" si="816"/>
        <v/>
      </c>
      <c r="AT1455" s="465" t="str">
        <f t="shared" si="817"/>
        <v/>
      </c>
      <c r="AU1455" s="466" t="str">
        <f t="shared" si="818"/>
        <v/>
      </c>
      <c r="AV1455" s="467" t="str">
        <f t="shared" si="819"/>
        <v/>
      </c>
      <c r="AW1455" s="467" t="str">
        <f t="shared" si="820"/>
        <v/>
      </c>
      <c r="AX1455" s="467" t="str">
        <f t="shared" si="821"/>
        <v/>
      </c>
      <c r="AY1455" s="467" t="str">
        <f t="shared" si="822"/>
        <v/>
      </c>
      <c r="AZ1455" s="467" t="str">
        <f t="shared" si="823"/>
        <v/>
      </c>
      <c r="BA1455" s="468" t="str">
        <f>IF(AS1455="","",IF(OR(AU1455="",AU1455="-"),"－",IF(OR(AZ1455=8,AZ1455=9),"",IF(OR(AW1455=3,AW1455=4,AW1455=5,AW1455=6),VLOOKUP(AU1455,INDEX((係数_バス貨物_ガソリン,係数_バス貨物_CNG,係数_バス貨物_軽油,係数_バス貨物_メタノール,係数_バス貨物_LPG),MATCH(AY1455,【参考】排出係数!$AI$4:$AI$671,1),1,BE1455):INDEX((係数_バス貨物_ガソリン,係数_バス貨物_CNG,係数_バス貨物_軽油,係数_バス貨物_メタノール,係数_バス貨物_LPG),MATCH(AY1455+1,【参考】排出係数!$AI$4:$AI$671,1)-1,5,BE1455),2,FALSE),IF(OR(AW1455=1,AW1455=2),VLOOKUP(AU1455,INDEX((係数_乗用_ガソリン,係数_乗用_CNG,係数_乗用_軽油,係数_乗用_メタノール,係数_乗用_LPG),1,1,BE1455):INDEX((係数_乗用_ガソリン,係数_乗用_CNG,係数_乗用_軽油,係数_乗用_メタノール,係数_乗用_LPG),125,5,BE1455),2,FALSE))))))</f>
        <v/>
      </c>
      <c r="BB1455" s="468" t="str">
        <f>IF(T1455="","",IF(OR(AU1455="",AU1455="-"),"－",IF(OR(AZ1455=8,AZ1455=9),"",IF(OR(AW1455=3,AW1455=4,AW1455=5,AW1455=6),VLOOKUP(AU1455,INDEX((係数_バス貨物_ガソリン,係数_バス貨物_CNG,係数_バス貨物_軽油,係数_バス貨物_メタノール,係数_バス貨物_LPG),MATCH(AY1455,【参考】排出係数!$AI$4:$AI$671,1),1,BE1455):INDEX((係数_バス貨物_ガソリン,係数_バス貨物_CNG,係数_バス貨物_軽油,係数_バス貨物_メタノール,係数_バス貨物_LPG),MATCH(AY1455+1,【参考】排出係数!$AI$4:$AI$671,1)-1,5,BE1455),3,FALSE),IF(OR(AW1455=1,AW1455=2),VLOOKUP(AU1455,INDEX((係数_乗用_ガソリン,係数_乗用_CNG,係数_乗用_軽油,係数_乗用_メタノール,係数_乗用_LPG),1,1,BE1455):INDEX((係数_乗用_ガソリン,係数_乗用_CNG,係数_乗用_軽油,係数_乗用_メタノール,係数_乗用_LPG),125,5,BE1455),3,FALSE))))))</f>
        <v/>
      </c>
      <c r="BC1455" s="467" t="str">
        <f t="shared" si="824"/>
        <v/>
      </c>
      <c r="BD1455" s="567" t="str">
        <f t="shared" si="825"/>
        <v/>
      </c>
      <c r="BE1455" s="467" t="str">
        <f t="shared" si="826"/>
        <v/>
      </c>
      <c r="BF1455" s="469" t="str">
        <f t="shared" ca="1" si="827"/>
        <v/>
      </c>
      <c r="BG1455" s="469" t="str">
        <f t="shared" ca="1" si="828"/>
        <v/>
      </c>
      <c r="BH1455" s="467" t="str">
        <f t="shared" si="829"/>
        <v/>
      </c>
      <c r="BI1455" s="467" t="str">
        <f t="shared" ca="1" si="830"/>
        <v/>
      </c>
      <c r="BJ1455" s="469" t="str">
        <f t="shared" si="831"/>
        <v/>
      </c>
      <c r="BK1455" s="470" t="str">
        <f t="shared" si="815"/>
        <v/>
      </c>
      <c r="BL1455" s="775" t="str">
        <f t="shared" si="832"/>
        <v/>
      </c>
      <c r="BM1455" s="775" t="str">
        <f t="shared" si="833"/>
        <v/>
      </c>
    </row>
    <row r="1456" spans="1:65">
      <c r="A1456" s="473">
        <v>1400</v>
      </c>
      <c r="B1456" s="132"/>
      <c r="C1456" s="332"/>
      <c r="D1456" s="333"/>
      <c r="E1456" s="333"/>
      <c r="F1456" s="334"/>
      <c r="G1456" s="337"/>
      <c r="H1456" s="131"/>
      <c r="I1456" s="337"/>
      <c r="J1456" s="131"/>
      <c r="K1456" s="458" t="str">
        <f t="shared" si="834"/>
        <v/>
      </c>
      <c r="L1456" s="458">
        <f t="shared" si="835"/>
        <v>0</v>
      </c>
      <c r="M1456" s="458">
        <f t="shared" si="836"/>
        <v>0</v>
      </c>
      <c r="N1456" s="459" t="str">
        <f t="shared" si="809"/>
        <v/>
      </c>
      <c r="O1456" s="459" t="str">
        <f t="shared" si="810"/>
        <v/>
      </c>
      <c r="P1456" s="459" t="str">
        <f t="shared" si="811"/>
        <v/>
      </c>
      <c r="Q1456" s="459" t="str">
        <f t="shared" si="812"/>
        <v/>
      </c>
      <c r="R1456" s="459" t="str">
        <f t="shared" si="813"/>
        <v/>
      </c>
      <c r="S1456" s="459" t="str">
        <f t="shared" si="814"/>
        <v/>
      </c>
      <c r="T1456" s="566" t="str">
        <f t="shared" si="837"/>
        <v/>
      </c>
      <c r="U1456" s="702"/>
      <c r="V1456" s="132"/>
      <c r="W1456" s="133"/>
      <c r="X1456" s="134"/>
      <c r="Y1456" s="135"/>
      <c r="Z1456" s="137"/>
      <c r="AA1456" s="136"/>
      <c r="AB1456" s="566" t="str">
        <f t="shared" si="838"/>
        <v/>
      </c>
      <c r="AC1456" s="568" t="str">
        <f t="shared" si="839"/>
        <v/>
      </c>
      <c r="AD1456" s="137"/>
      <c r="AE1456" s="137"/>
      <c r="AF1456" s="138"/>
      <c r="AG1456" s="138"/>
      <c r="AH1456" s="592" t="str">
        <f t="shared" si="840"/>
        <v/>
      </c>
      <c r="AI1456" s="592" t="str">
        <f t="shared" si="841"/>
        <v/>
      </c>
      <c r="AJ1456" s="592" t="str">
        <f t="shared" si="842"/>
        <v/>
      </c>
      <c r="AK1456" s="460" t="str">
        <f>IF(AU1456="","",IF(OR(AZ1456=8,AZ1456=9),0,IF(OR(AW1456=3,AW1456=4,AW1456=5,AW1456=6),IF(LEFT(BF1456,1)="1",INDEX(係数_NOX・PM低減,MATCH(AY1456,【参考】排出係数!$AI$801:$AI$804,1),1),VLOOKUP(AU1456,INDEX((係数_バス貨物_ガソリン,係数_バス貨物_CNG,係数_バス貨物_軽油,係数_バス貨物_メタノール,係数_バス貨物_LPG),MATCH(AY1456,【参考】排出係数!$AI$4:$AI$671,1),1,BE1456):INDEX((係数_バス貨物_ガソリン,係数_バス貨物_CNG,係数_バス貨物_軽油,係数_バス貨物_メタノール,係数_バス貨物_LPG),MATCH(AY1456+1,【参考】排出係数!$AI$4:$AI$671,1)-1,5,BE1456),4,FALSE)),IF(AND(BE1456=3,LEFT(BF1456,1)="1"),0.48,VLOOKUP(AU1456,INDEX((係数_乗用_ガソリン,係数_乗用_CNG,係数_乗用_軽油,係数_乗用_メタノール,係数_乗用_LPG),1,1,BE1456):INDEX((係数_乗用_ガソリン,係数_乗用_CNG,係数_乗用_軽油,係数_乗用_メタノール,係数_乗用_LPG),125,5,BE1456),4,FALSE)))))</f>
        <v/>
      </c>
      <c r="AL1456" s="461" t="str">
        <f t="shared" si="843"/>
        <v/>
      </c>
      <c r="AM1456" s="460" t="str">
        <f>IF(AU1456="","",IF(OR(AZ1456=8,AZ1456=9),0,IF(OR(AW1456=3,AW1456=4,AW1456=5,AW1456=6),IF(LEFT(BH1456,1)="1",INDEX(係数_PM低減,MATCH(AY1456,【参考】排出係数!$AI$801:$AI$804,1),MATCH(BI1456,【参考】排出係数!$AL$798:$AO$798,1)),VLOOKUP(AU1456,INDEX((係数_バス貨物_ガソリン,係数_バス貨物_CNG,係数_バス貨物_軽油,係数_バス貨物_メタノール,係数_バス貨物_LPG),MATCH(AY1456,【参考】排出係数!$AI$4:$AI$671,1),1,BE1456):INDEX((係数_バス貨物_ガソリン,係数_バス貨物_CNG,係数_バス貨物_軽油,係数_バス貨物_メタノール,係数_バス貨物_LPG),MATCH(AY1456+1,【参考】排出係数!$AI$4:$AI$671,1)-1,5,BE1456),5,FALSE)),IF(AND(BE1456=3,LEFT(BF1456,1)="1"),0.055,VLOOKUP(AU1456,INDEX((係数_乗用_ガソリン,係数_乗用_CNG,係数_乗用_軽油,係数_乗用_メタノール,係数_乗用_LPG),1,1,BE1456):INDEX((係数_乗用_ガソリン,係数_乗用_CNG,係数_乗用_軽油,係数_乗用_メタノール,係数_乗用_LPG),125,5,BE1456),5,FALSE)))))</f>
        <v/>
      </c>
      <c r="AN1456" s="461" t="str">
        <f t="shared" si="844"/>
        <v/>
      </c>
      <c r="AO1456" s="462" t="str">
        <f t="shared" si="845"/>
        <v/>
      </c>
      <c r="AP1456" s="463" t="str">
        <f t="shared" si="846"/>
        <v/>
      </c>
      <c r="AQ1456" s="464"/>
      <c r="AR1456" s="619"/>
      <c r="AS1456" s="465" t="str">
        <f t="shared" si="816"/>
        <v/>
      </c>
      <c r="AT1456" s="465" t="str">
        <f t="shared" si="817"/>
        <v/>
      </c>
      <c r="AU1456" s="466" t="str">
        <f t="shared" si="818"/>
        <v/>
      </c>
      <c r="AV1456" s="467" t="str">
        <f t="shared" si="819"/>
        <v/>
      </c>
      <c r="AW1456" s="467" t="str">
        <f t="shared" si="820"/>
        <v/>
      </c>
      <c r="AX1456" s="467" t="str">
        <f t="shared" si="821"/>
        <v/>
      </c>
      <c r="AY1456" s="467" t="str">
        <f t="shared" si="822"/>
        <v/>
      </c>
      <c r="AZ1456" s="467" t="str">
        <f t="shared" si="823"/>
        <v/>
      </c>
      <c r="BA1456" s="468" t="str">
        <f>IF(AS1456="","",IF(OR(AU1456="",AU1456="-"),"－",IF(OR(AZ1456=8,AZ1456=9),"",IF(OR(AW1456=3,AW1456=4,AW1456=5,AW1456=6),VLOOKUP(AU1456,INDEX((係数_バス貨物_ガソリン,係数_バス貨物_CNG,係数_バス貨物_軽油,係数_バス貨物_メタノール,係数_バス貨物_LPG),MATCH(AY1456,【参考】排出係数!$AI$4:$AI$671,1),1,BE1456):INDEX((係数_バス貨物_ガソリン,係数_バス貨物_CNG,係数_バス貨物_軽油,係数_バス貨物_メタノール,係数_バス貨物_LPG),MATCH(AY1456+1,【参考】排出係数!$AI$4:$AI$671,1)-1,5,BE1456),2,FALSE),IF(OR(AW1456=1,AW1456=2),VLOOKUP(AU1456,INDEX((係数_乗用_ガソリン,係数_乗用_CNG,係数_乗用_軽油,係数_乗用_メタノール,係数_乗用_LPG),1,1,BE1456):INDEX((係数_乗用_ガソリン,係数_乗用_CNG,係数_乗用_軽油,係数_乗用_メタノール,係数_乗用_LPG),125,5,BE1456),2,FALSE))))))</f>
        <v/>
      </c>
      <c r="BB1456" s="468" t="str">
        <f>IF(T1456="","",IF(OR(AU1456="",AU1456="-"),"－",IF(OR(AZ1456=8,AZ1456=9),"",IF(OR(AW1456=3,AW1456=4,AW1456=5,AW1456=6),VLOOKUP(AU1456,INDEX((係数_バス貨物_ガソリン,係数_バス貨物_CNG,係数_バス貨物_軽油,係数_バス貨物_メタノール,係数_バス貨物_LPG),MATCH(AY1456,【参考】排出係数!$AI$4:$AI$671,1),1,BE1456):INDEX((係数_バス貨物_ガソリン,係数_バス貨物_CNG,係数_バス貨物_軽油,係数_バス貨物_メタノール,係数_バス貨物_LPG),MATCH(AY1456+1,【参考】排出係数!$AI$4:$AI$671,1)-1,5,BE1456),3,FALSE),IF(OR(AW1456=1,AW1456=2),VLOOKUP(AU1456,INDEX((係数_乗用_ガソリン,係数_乗用_CNG,係数_乗用_軽油,係数_乗用_メタノール,係数_乗用_LPG),1,1,BE1456):INDEX((係数_乗用_ガソリン,係数_乗用_CNG,係数_乗用_軽油,係数_乗用_メタノール,係数_乗用_LPG),125,5,BE1456),3,FALSE))))))</f>
        <v/>
      </c>
      <c r="BC1456" s="467" t="str">
        <f t="shared" si="824"/>
        <v/>
      </c>
      <c r="BD1456" s="567" t="str">
        <f t="shared" si="825"/>
        <v/>
      </c>
      <c r="BE1456" s="467" t="str">
        <f t="shared" si="826"/>
        <v/>
      </c>
      <c r="BF1456" s="469" t="str">
        <f t="shared" ca="1" si="827"/>
        <v/>
      </c>
      <c r="BG1456" s="469" t="str">
        <f t="shared" ca="1" si="828"/>
        <v/>
      </c>
      <c r="BH1456" s="467" t="str">
        <f t="shared" si="829"/>
        <v/>
      </c>
      <c r="BI1456" s="467" t="str">
        <f t="shared" ca="1" si="830"/>
        <v/>
      </c>
      <c r="BJ1456" s="469" t="str">
        <f t="shared" si="831"/>
        <v/>
      </c>
      <c r="BK1456" s="470" t="str">
        <f t="shared" si="815"/>
        <v/>
      </c>
      <c r="BL1456" s="775" t="str">
        <f t="shared" si="832"/>
        <v/>
      </c>
      <c r="BM1456" s="775" t="str">
        <f t="shared" si="833"/>
        <v/>
      </c>
    </row>
    <row r="1457" spans="1:65">
      <c r="A1457" s="473">
        <v>1401</v>
      </c>
      <c r="B1457" s="132"/>
      <c r="C1457" s="332"/>
      <c r="D1457" s="333"/>
      <c r="E1457" s="333"/>
      <c r="F1457" s="334"/>
      <c r="G1457" s="337"/>
      <c r="H1457" s="131"/>
      <c r="I1457" s="337"/>
      <c r="J1457" s="131"/>
      <c r="K1457" s="458" t="str">
        <f t="shared" si="834"/>
        <v/>
      </c>
      <c r="L1457" s="458">
        <f t="shared" si="835"/>
        <v>0</v>
      </c>
      <c r="M1457" s="458">
        <f t="shared" si="836"/>
        <v>0</v>
      </c>
      <c r="N1457" s="459" t="str">
        <f t="shared" si="809"/>
        <v/>
      </c>
      <c r="O1457" s="459" t="str">
        <f t="shared" si="810"/>
        <v/>
      </c>
      <c r="P1457" s="459" t="str">
        <f t="shared" si="811"/>
        <v/>
      </c>
      <c r="Q1457" s="459" t="str">
        <f t="shared" si="812"/>
        <v/>
      </c>
      <c r="R1457" s="459" t="str">
        <f t="shared" si="813"/>
        <v/>
      </c>
      <c r="S1457" s="459" t="str">
        <f t="shared" si="814"/>
        <v/>
      </c>
      <c r="T1457" s="566" t="str">
        <f t="shared" si="837"/>
        <v/>
      </c>
      <c r="U1457" s="702"/>
      <c r="V1457" s="132"/>
      <c r="W1457" s="133"/>
      <c r="X1457" s="134"/>
      <c r="Y1457" s="135"/>
      <c r="Z1457" s="137"/>
      <c r="AA1457" s="136"/>
      <c r="AB1457" s="566" t="str">
        <f t="shared" si="838"/>
        <v/>
      </c>
      <c r="AC1457" s="568" t="str">
        <f t="shared" si="839"/>
        <v/>
      </c>
      <c r="AD1457" s="137"/>
      <c r="AE1457" s="137"/>
      <c r="AF1457" s="138"/>
      <c r="AG1457" s="138"/>
      <c r="AH1457" s="592" t="str">
        <f t="shared" si="840"/>
        <v/>
      </c>
      <c r="AI1457" s="592" t="str">
        <f t="shared" si="841"/>
        <v/>
      </c>
      <c r="AJ1457" s="592" t="str">
        <f t="shared" si="842"/>
        <v/>
      </c>
      <c r="AK1457" s="460" t="str">
        <f>IF(AU1457="","",IF(OR(AZ1457=8,AZ1457=9),0,IF(OR(AW1457=3,AW1457=4,AW1457=5,AW1457=6),IF(LEFT(BF1457,1)="1",INDEX(係数_NOX・PM低減,MATCH(AY1457,【参考】排出係数!$AI$801:$AI$804,1),1),VLOOKUP(AU1457,INDEX((係数_バス貨物_ガソリン,係数_バス貨物_CNG,係数_バス貨物_軽油,係数_バス貨物_メタノール,係数_バス貨物_LPG),MATCH(AY1457,【参考】排出係数!$AI$4:$AI$671,1),1,BE1457):INDEX((係数_バス貨物_ガソリン,係数_バス貨物_CNG,係数_バス貨物_軽油,係数_バス貨物_メタノール,係数_バス貨物_LPG),MATCH(AY1457+1,【参考】排出係数!$AI$4:$AI$671,1)-1,5,BE1457),4,FALSE)),IF(AND(BE1457=3,LEFT(BF1457,1)="1"),0.48,VLOOKUP(AU1457,INDEX((係数_乗用_ガソリン,係数_乗用_CNG,係数_乗用_軽油,係数_乗用_メタノール,係数_乗用_LPG),1,1,BE1457):INDEX((係数_乗用_ガソリン,係数_乗用_CNG,係数_乗用_軽油,係数_乗用_メタノール,係数_乗用_LPG),125,5,BE1457),4,FALSE)))))</f>
        <v/>
      </c>
      <c r="AL1457" s="461" t="str">
        <f t="shared" si="843"/>
        <v/>
      </c>
      <c r="AM1457" s="460" t="str">
        <f>IF(AU1457="","",IF(OR(AZ1457=8,AZ1457=9),0,IF(OR(AW1457=3,AW1457=4,AW1457=5,AW1457=6),IF(LEFT(BH1457,1)="1",INDEX(係数_PM低減,MATCH(AY1457,【参考】排出係数!$AI$801:$AI$804,1),MATCH(BI1457,【参考】排出係数!$AL$798:$AO$798,1)),VLOOKUP(AU1457,INDEX((係数_バス貨物_ガソリン,係数_バス貨物_CNG,係数_バス貨物_軽油,係数_バス貨物_メタノール,係数_バス貨物_LPG),MATCH(AY1457,【参考】排出係数!$AI$4:$AI$671,1),1,BE1457):INDEX((係数_バス貨物_ガソリン,係数_バス貨物_CNG,係数_バス貨物_軽油,係数_バス貨物_メタノール,係数_バス貨物_LPG),MATCH(AY1457+1,【参考】排出係数!$AI$4:$AI$671,1)-1,5,BE1457),5,FALSE)),IF(AND(BE1457=3,LEFT(BF1457,1)="1"),0.055,VLOOKUP(AU1457,INDEX((係数_乗用_ガソリン,係数_乗用_CNG,係数_乗用_軽油,係数_乗用_メタノール,係数_乗用_LPG),1,1,BE1457):INDEX((係数_乗用_ガソリン,係数_乗用_CNG,係数_乗用_軽油,係数_乗用_メタノール,係数_乗用_LPG),125,5,BE1457),5,FALSE)))))</f>
        <v/>
      </c>
      <c r="AN1457" s="461" t="str">
        <f t="shared" si="844"/>
        <v/>
      </c>
      <c r="AO1457" s="462" t="str">
        <f t="shared" si="845"/>
        <v/>
      </c>
      <c r="AP1457" s="463" t="str">
        <f t="shared" si="846"/>
        <v/>
      </c>
      <c r="AQ1457" s="464"/>
      <c r="AR1457" s="619"/>
      <c r="AS1457" s="465" t="str">
        <f t="shared" si="816"/>
        <v/>
      </c>
      <c r="AT1457" s="465" t="str">
        <f t="shared" si="817"/>
        <v/>
      </c>
      <c r="AU1457" s="466" t="str">
        <f t="shared" si="818"/>
        <v/>
      </c>
      <c r="AV1457" s="467" t="str">
        <f t="shared" si="819"/>
        <v/>
      </c>
      <c r="AW1457" s="467" t="str">
        <f t="shared" si="820"/>
        <v/>
      </c>
      <c r="AX1457" s="467" t="str">
        <f t="shared" si="821"/>
        <v/>
      </c>
      <c r="AY1457" s="467" t="str">
        <f t="shared" si="822"/>
        <v/>
      </c>
      <c r="AZ1457" s="467" t="str">
        <f t="shared" si="823"/>
        <v/>
      </c>
      <c r="BA1457" s="468" t="str">
        <f>IF(AS1457="","",IF(OR(AU1457="",AU1457="-"),"－",IF(OR(AZ1457=8,AZ1457=9),"",IF(OR(AW1457=3,AW1457=4,AW1457=5,AW1457=6),VLOOKUP(AU1457,INDEX((係数_バス貨物_ガソリン,係数_バス貨物_CNG,係数_バス貨物_軽油,係数_バス貨物_メタノール,係数_バス貨物_LPG),MATCH(AY1457,【参考】排出係数!$AI$4:$AI$671,1),1,BE1457):INDEX((係数_バス貨物_ガソリン,係数_バス貨物_CNG,係数_バス貨物_軽油,係数_バス貨物_メタノール,係数_バス貨物_LPG),MATCH(AY1457+1,【参考】排出係数!$AI$4:$AI$671,1)-1,5,BE1457),2,FALSE),IF(OR(AW1457=1,AW1457=2),VLOOKUP(AU1457,INDEX((係数_乗用_ガソリン,係数_乗用_CNG,係数_乗用_軽油,係数_乗用_メタノール,係数_乗用_LPG),1,1,BE1457):INDEX((係数_乗用_ガソリン,係数_乗用_CNG,係数_乗用_軽油,係数_乗用_メタノール,係数_乗用_LPG),125,5,BE1457),2,FALSE))))))</f>
        <v/>
      </c>
      <c r="BB1457" s="468" t="str">
        <f>IF(T1457="","",IF(OR(AU1457="",AU1457="-"),"－",IF(OR(AZ1457=8,AZ1457=9),"",IF(OR(AW1457=3,AW1457=4,AW1457=5,AW1457=6),VLOOKUP(AU1457,INDEX((係数_バス貨物_ガソリン,係数_バス貨物_CNG,係数_バス貨物_軽油,係数_バス貨物_メタノール,係数_バス貨物_LPG),MATCH(AY1457,【参考】排出係数!$AI$4:$AI$671,1),1,BE1457):INDEX((係数_バス貨物_ガソリン,係数_バス貨物_CNG,係数_バス貨物_軽油,係数_バス貨物_メタノール,係数_バス貨物_LPG),MATCH(AY1457+1,【参考】排出係数!$AI$4:$AI$671,1)-1,5,BE1457),3,FALSE),IF(OR(AW1457=1,AW1457=2),VLOOKUP(AU1457,INDEX((係数_乗用_ガソリン,係数_乗用_CNG,係数_乗用_軽油,係数_乗用_メタノール,係数_乗用_LPG),1,1,BE1457):INDEX((係数_乗用_ガソリン,係数_乗用_CNG,係数_乗用_軽油,係数_乗用_メタノール,係数_乗用_LPG),125,5,BE1457),3,FALSE))))))</f>
        <v/>
      </c>
      <c r="BC1457" s="467" t="str">
        <f t="shared" si="824"/>
        <v/>
      </c>
      <c r="BD1457" s="567" t="str">
        <f t="shared" si="825"/>
        <v/>
      </c>
      <c r="BE1457" s="467" t="str">
        <f t="shared" si="826"/>
        <v/>
      </c>
      <c r="BF1457" s="469" t="str">
        <f t="shared" ca="1" si="827"/>
        <v/>
      </c>
      <c r="BG1457" s="469" t="str">
        <f t="shared" ca="1" si="828"/>
        <v/>
      </c>
      <c r="BH1457" s="467" t="str">
        <f t="shared" si="829"/>
        <v/>
      </c>
      <c r="BI1457" s="467" t="str">
        <f t="shared" ca="1" si="830"/>
        <v/>
      </c>
      <c r="BJ1457" s="469" t="str">
        <f t="shared" si="831"/>
        <v/>
      </c>
      <c r="BK1457" s="470" t="str">
        <f t="shared" si="815"/>
        <v/>
      </c>
      <c r="BL1457" s="775" t="str">
        <f t="shared" si="832"/>
        <v/>
      </c>
      <c r="BM1457" s="775" t="str">
        <f t="shared" si="833"/>
        <v/>
      </c>
    </row>
    <row r="1458" spans="1:65">
      <c r="A1458" s="473">
        <v>1402</v>
      </c>
      <c r="B1458" s="132"/>
      <c r="C1458" s="332"/>
      <c r="D1458" s="333"/>
      <c r="E1458" s="333"/>
      <c r="F1458" s="334"/>
      <c r="G1458" s="337"/>
      <c r="H1458" s="131"/>
      <c r="I1458" s="337"/>
      <c r="J1458" s="131"/>
      <c r="K1458" s="458" t="str">
        <f t="shared" si="834"/>
        <v/>
      </c>
      <c r="L1458" s="458">
        <f t="shared" si="835"/>
        <v>0</v>
      </c>
      <c r="M1458" s="458">
        <f t="shared" si="836"/>
        <v>0</v>
      </c>
      <c r="N1458" s="459" t="str">
        <f t="shared" si="809"/>
        <v/>
      </c>
      <c r="O1458" s="459" t="str">
        <f t="shared" si="810"/>
        <v/>
      </c>
      <c r="P1458" s="459" t="str">
        <f t="shared" si="811"/>
        <v/>
      </c>
      <c r="Q1458" s="459" t="str">
        <f t="shared" si="812"/>
        <v/>
      </c>
      <c r="R1458" s="459" t="str">
        <f t="shared" si="813"/>
        <v/>
      </c>
      <c r="S1458" s="459" t="str">
        <f t="shared" si="814"/>
        <v/>
      </c>
      <c r="T1458" s="566" t="str">
        <f t="shared" si="837"/>
        <v/>
      </c>
      <c r="U1458" s="702"/>
      <c r="V1458" s="132"/>
      <c r="W1458" s="133"/>
      <c r="X1458" s="134"/>
      <c r="Y1458" s="135"/>
      <c r="Z1458" s="137"/>
      <c r="AA1458" s="136"/>
      <c r="AB1458" s="566" t="str">
        <f t="shared" si="838"/>
        <v/>
      </c>
      <c r="AC1458" s="568" t="str">
        <f t="shared" si="839"/>
        <v/>
      </c>
      <c r="AD1458" s="137"/>
      <c r="AE1458" s="137"/>
      <c r="AF1458" s="138"/>
      <c r="AG1458" s="138"/>
      <c r="AH1458" s="592" t="str">
        <f t="shared" si="840"/>
        <v/>
      </c>
      <c r="AI1458" s="592" t="str">
        <f t="shared" si="841"/>
        <v/>
      </c>
      <c r="AJ1458" s="592" t="str">
        <f t="shared" si="842"/>
        <v/>
      </c>
      <c r="AK1458" s="460" t="str">
        <f>IF(AU1458="","",IF(OR(AZ1458=8,AZ1458=9),0,IF(OR(AW1458=3,AW1458=4,AW1458=5,AW1458=6),IF(LEFT(BF1458,1)="1",INDEX(係数_NOX・PM低減,MATCH(AY1458,【参考】排出係数!$AI$801:$AI$804,1),1),VLOOKUP(AU1458,INDEX((係数_バス貨物_ガソリン,係数_バス貨物_CNG,係数_バス貨物_軽油,係数_バス貨物_メタノール,係数_バス貨物_LPG),MATCH(AY1458,【参考】排出係数!$AI$4:$AI$671,1),1,BE1458):INDEX((係数_バス貨物_ガソリン,係数_バス貨物_CNG,係数_バス貨物_軽油,係数_バス貨物_メタノール,係数_バス貨物_LPG),MATCH(AY1458+1,【参考】排出係数!$AI$4:$AI$671,1)-1,5,BE1458),4,FALSE)),IF(AND(BE1458=3,LEFT(BF1458,1)="1"),0.48,VLOOKUP(AU1458,INDEX((係数_乗用_ガソリン,係数_乗用_CNG,係数_乗用_軽油,係数_乗用_メタノール,係数_乗用_LPG),1,1,BE1458):INDEX((係数_乗用_ガソリン,係数_乗用_CNG,係数_乗用_軽油,係数_乗用_メタノール,係数_乗用_LPG),125,5,BE1458),4,FALSE)))))</f>
        <v/>
      </c>
      <c r="AL1458" s="461" t="str">
        <f t="shared" si="843"/>
        <v/>
      </c>
      <c r="AM1458" s="460" t="str">
        <f>IF(AU1458="","",IF(OR(AZ1458=8,AZ1458=9),0,IF(OR(AW1458=3,AW1458=4,AW1458=5,AW1458=6),IF(LEFT(BH1458,1)="1",INDEX(係数_PM低減,MATCH(AY1458,【参考】排出係数!$AI$801:$AI$804,1),MATCH(BI1458,【参考】排出係数!$AL$798:$AO$798,1)),VLOOKUP(AU1458,INDEX((係数_バス貨物_ガソリン,係数_バス貨物_CNG,係数_バス貨物_軽油,係数_バス貨物_メタノール,係数_バス貨物_LPG),MATCH(AY1458,【参考】排出係数!$AI$4:$AI$671,1),1,BE1458):INDEX((係数_バス貨物_ガソリン,係数_バス貨物_CNG,係数_バス貨物_軽油,係数_バス貨物_メタノール,係数_バス貨物_LPG),MATCH(AY1458+1,【参考】排出係数!$AI$4:$AI$671,1)-1,5,BE1458),5,FALSE)),IF(AND(BE1458=3,LEFT(BF1458,1)="1"),0.055,VLOOKUP(AU1458,INDEX((係数_乗用_ガソリン,係数_乗用_CNG,係数_乗用_軽油,係数_乗用_メタノール,係数_乗用_LPG),1,1,BE1458):INDEX((係数_乗用_ガソリン,係数_乗用_CNG,係数_乗用_軽油,係数_乗用_メタノール,係数_乗用_LPG),125,5,BE1458),5,FALSE)))))</f>
        <v/>
      </c>
      <c r="AN1458" s="461" t="str">
        <f t="shared" si="844"/>
        <v/>
      </c>
      <c r="AO1458" s="462" t="str">
        <f t="shared" si="845"/>
        <v/>
      </c>
      <c r="AP1458" s="463" t="str">
        <f t="shared" si="846"/>
        <v/>
      </c>
      <c r="AQ1458" s="464"/>
      <c r="AR1458" s="619"/>
      <c r="AS1458" s="465" t="str">
        <f t="shared" si="816"/>
        <v/>
      </c>
      <c r="AT1458" s="465" t="str">
        <f t="shared" si="817"/>
        <v/>
      </c>
      <c r="AU1458" s="466" t="str">
        <f t="shared" si="818"/>
        <v/>
      </c>
      <c r="AV1458" s="467" t="str">
        <f t="shared" si="819"/>
        <v/>
      </c>
      <c r="AW1458" s="467" t="str">
        <f t="shared" si="820"/>
        <v/>
      </c>
      <c r="AX1458" s="467" t="str">
        <f t="shared" si="821"/>
        <v/>
      </c>
      <c r="AY1458" s="467" t="str">
        <f t="shared" si="822"/>
        <v/>
      </c>
      <c r="AZ1458" s="467" t="str">
        <f t="shared" si="823"/>
        <v/>
      </c>
      <c r="BA1458" s="468" t="str">
        <f>IF(AS1458="","",IF(OR(AU1458="",AU1458="-"),"－",IF(OR(AZ1458=8,AZ1458=9),"",IF(OR(AW1458=3,AW1458=4,AW1458=5,AW1458=6),VLOOKUP(AU1458,INDEX((係数_バス貨物_ガソリン,係数_バス貨物_CNG,係数_バス貨物_軽油,係数_バス貨物_メタノール,係数_バス貨物_LPG),MATCH(AY1458,【参考】排出係数!$AI$4:$AI$671,1),1,BE1458):INDEX((係数_バス貨物_ガソリン,係数_バス貨物_CNG,係数_バス貨物_軽油,係数_バス貨物_メタノール,係数_バス貨物_LPG),MATCH(AY1458+1,【参考】排出係数!$AI$4:$AI$671,1)-1,5,BE1458),2,FALSE),IF(OR(AW1458=1,AW1458=2),VLOOKUP(AU1458,INDEX((係数_乗用_ガソリン,係数_乗用_CNG,係数_乗用_軽油,係数_乗用_メタノール,係数_乗用_LPG),1,1,BE1458):INDEX((係数_乗用_ガソリン,係数_乗用_CNG,係数_乗用_軽油,係数_乗用_メタノール,係数_乗用_LPG),125,5,BE1458),2,FALSE))))))</f>
        <v/>
      </c>
      <c r="BB1458" s="468" t="str">
        <f>IF(T1458="","",IF(OR(AU1458="",AU1458="-"),"－",IF(OR(AZ1458=8,AZ1458=9),"",IF(OR(AW1458=3,AW1458=4,AW1458=5,AW1458=6),VLOOKUP(AU1458,INDEX((係数_バス貨物_ガソリン,係数_バス貨物_CNG,係数_バス貨物_軽油,係数_バス貨物_メタノール,係数_バス貨物_LPG),MATCH(AY1458,【参考】排出係数!$AI$4:$AI$671,1),1,BE1458):INDEX((係数_バス貨物_ガソリン,係数_バス貨物_CNG,係数_バス貨物_軽油,係数_バス貨物_メタノール,係数_バス貨物_LPG),MATCH(AY1458+1,【参考】排出係数!$AI$4:$AI$671,1)-1,5,BE1458),3,FALSE),IF(OR(AW1458=1,AW1458=2),VLOOKUP(AU1458,INDEX((係数_乗用_ガソリン,係数_乗用_CNG,係数_乗用_軽油,係数_乗用_メタノール,係数_乗用_LPG),1,1,BE1458):INDEX((係数_乗用_ガソリン,係数_乗用_CNG,係数_乗用_軽油,係数_乗用_メタノール,係数_乗用_LPG),125,5,BE1458),3,FALSE))))))</f>
        <v/>
      </c>
      <c r="BC1458" s="467" t="str">
        <f t="shared" si="824"/>
        <v/>
      </c>
      <c r="BD1458" s="567" t="str">
        <f t="shared" si="825"/>
        <v/>
      </c>
      <c r="BE1458" s="467" t="str">
        <f t="shared" si="826"/>
        <v/>
      </c>
      <c r="BF1458" s="469" t="str">
        <f t="shared" ca="1" si="827"/>
        <v/>
      </c>
      <c r="BG1458" s="469" t="str">
        <f t="shared" ca="1" si="828"/>
        <v/>
      </c>
      <c r="BH1458" s="467" t="str">
        <f t="shared" si="829"/>
        <v/>
      </c>
      <c r="BI1458" s="467" t="str">
        <f t="shared" ca="1" si="830"/>
        <v/>
      </c>
      <c r="BJ1458" s="469" t="str">
        <f t="shared" si="831"/>
        <v/>
      </c>
      <c r="BK1458" s="470" t="str">
        <f t="shared" si="815"/>
        <v/>
      </c>
      <c r="BL1458" s="775" t="str">
        <f t="shared" si="832"/>
        <v/>
      </c>
      <c r="BM1458" s="775" t="str">
        <f t="shared" si="833"/>
        <v/>
      </c>
    </row>
    <row r="1459" spans="1:65">
      <c r="A1459" s="473">
        <v>1403</v>
      </c>
      <c r="B1459" s="132"/>
      <c r="C1459" s="332"/>
      <c r="D1459" s="333"/>
      <c r="E1459" s="333"/>
      <c r="F1459" s="334"/>
      <c r="G1459" s="337"/>
      <c r="H1459" s="131"/>
      <c r="I1459" s="337"/>
      <c r="J1459" s="131"/>
      <c r="K1459" s="458" t="str">
        <f t="shared" si="834"/>
        <v/>
      </c>
      <c r="L1459" s="458">
        <f t="shared" si="835"/>
        <v>0</v>
      </c>
      <c r="M1459" s="458">
        <f t="shared" si="836"/>
        <v>0</v>
      </c>
      <c r="N1459" s="459" t="str">
        <f t="shared" si="809"/>
        <v/>
      </c>
      <c r="O1459" s="459" t="str">
        <f t="shared" si="810"/>
        <v/>
      </c>
      <c r="P1459" s="459" t="str">
        <f t="shared" si="811"/>
        <v/>
      </c>
      <c r="Q1459" s="459" t="str">
        <f t="shared" si="812"/>
        <v/>
      </c>
      <c r="R1459" s="459" t="str">
        <f t="shared" si="813"/>
        <v/>
      </c>
      <c r="S1459" s="459" t="str">
        <f t="shared" si="814"/>
        <v/>
      </c>
      <c r="T1459" s="566" t="str">
        <f t="shared" si="837"/>
        <v/>
      </c>
      <c r="U1459" s="702"/>
      <c r="V1459" s="132"/>
      <c r="W1459" s="133"/>
      <c r="X1459" s="134"/>
      <c r="Y1459" s="135"/>
      <c r="Z1459" s="137"/>
      <c r="AA1459" s="136"/>
      <c r="AB1459" s="566" t="str">
        <f t="shared" si="838"/>
        <v/>
      </c>
      <c r="AC1459" s="568" t="str">
        <f t="shared" si="839"/>
        <v/>
      </c>
      <c r="AD1459" s="137"/>
      <c r="AE1459" s="137"/>
      <c r="AF1459" s="138"/>
      <c r="AG1459" s="138"/>
      <c r="AH1459" s="592" t="str">
        <f t="shared" si="840"/>
        <v/>
      </c>
      <c r="AI1459" s="592" t="str">
        <f t="shared" si="841"/>
        <v/>
      </c>
      <c r="AJ1459" s="592" t="str">
        <f t="shared" si="842"/>
        <v/>
      </c>
      <c r="AK1459" s="460" t="str">
        <f>IF(AU1459="","",IF(OR(AZ1459=8,AZ1459=9),0,IF(OR(AW1459=3,AW1459=4,AW1459=5,AW1459=6),IF(LEFT(BF1459,1)="1",INDEX(係数_NOX・PM低減,MATCH(AY1459,【参考】排出係数!$AI$801:$AI$804,1),1),VLOOKUP(AU1459,INDEX((係数_バス貨物_ガソリン,係数_バス貨物_CNG,係数_バス貨物_軽油,係数_バス貨物_メタノール,係数_バス貨物_LPG),MATCH(AY1459,【参考】排出係数!$AI$4:$AI$671,1),1,BE1459):INDEX((係数_バス貨物_ガソリン,係数_バス貨物_CNG,係数_バス貨物_軽油,係数_バス貨物_メタノール,係数_バス貨物_LPG),MATCH(AY1459+1,【参考】排出係数!$AI$4:$AI$671,1)-1,5,BE1459),4,FALSE)),IF(AND(BE1459=3,LEFT(BF1459,1)="1"),0.48,VLOOKUP(AU1459,INDEX((係数_乗用_ガソリン,係数_乗用_CNG,係数_乗用_軽油,係数_乗用_メタノール,係数_乗用_LPG),1,1,BE1459):INDEX((係数_乗用_ガソリン,係数_乗用_CNG,係数_乗用_軽油,係数_乗用_メタノール,係数_乗用_LPG),125,5,BE1459),4,FALSE)))))</f>
        <v/>
      </c>
      <c r="AL1459" s="461" t="str">
        <f t="shared" si="843"/>
        <v/>
      </c>
      <c r="AM1459" s="460" t="str">
        <f>IF(AU1459="","",IF(OR(AZ1459=8,AZ1459=9),0,IF(OR(AW1459=3,AW1459=4,AW1459=5,AW1459=6),IF(LEFT(BH1459,1)="1",INDEX(係数_PM低減,MATCH(AY1459,【参考】排出係数!$AI$801:$AI$804,1),MATCH(BI1459,【参考】排出係数!$AL$798:$AO$798,1)),VLOOKUP(AU1459,INDEX((係数_バス貨物_ガソリン,係数_バス貨物_CNG,係数_バス貨物_軽油,係数_バス貨物_メタノール,係数_バス貨物_LPG),MATCH(AY1459,【参考】排出係数!$AI$4:$AI$671,1),1,BE1459):INDEX((係数_バス貨物_ガソリン,係数_バス貨物_CNG,係数_バス貨物_軽油,係数_バス貨物_メタノール,係数_バス貨物_LPG),MATCH(AY1459+1,【参考】排出係数!$AI$4:$AI$671,1)-1,5,BE1459),5,FALSE)),IF(AND(BE1459=3,LEFT(BF1459,1)="1"),0.055,VLOOKUP(AU1459,INDEX((係数_乗用_ガソリン,係数_乗用_CNG,係数_乗用_軽油,係数_乗用_メタノール,係数_乗用_LPG),1,1,BE1459):INDEX((係数_乗用_ガソリン,係数_乗用_CNG,係数_乗用_軽油,係数_乗用_メタノール,係数_乗用_LPG),125,5,BE1459),5,FALSE)))))</f>
        <v/>
      </c>
      <c r="AN1459" s="461" t="str">
        <f t="shared" si="844"/>
        <v/>
      </c>
      <c r="AO1459" s="462" t="str">
        <f t="shared" si="845"/>
        <v/>
      </c>
      <c r="AP1459" s="463" t="str">
        <f t="shared" si="846"/>
        <v/>
      </c>
      <c r="AQ1459" s="464"/>
      <c r="AR1459" s="619"/>
      <c r="AS1459" s="465" t="str">
        <f t="shared" si="816"/>
        <v/>
      </c>
      <c r="AT1459" s="465" t="str">
        <f t="shared" si="817"/>
        <v/>
      </c>
      <c r="AU1459" s="466" t="str">
        <f t="shared" si="818"/>
        <v/>
      </c>
      <c r="AV1459" s="467" t="str">
        <f t="shared" si="819"/>
        <v/>
      </c>
      <c r="AW1459" s="467" t="str">
        <f t="shared" si="820"/>
        <v/>
      </c>
      <c r="AX1459" s="467" t="str">
        <f t="shared" si="821"/>
        <v/>
      </c>
      <c r="AY1459" s="467" t="str">
        <f t="shared" si="822"/>
        <v/>
      </c>
      <c r="AZ1459" s="467" t="str">
        <f t="shared" si="823"/>
        <v/>
      </c>
      <c r="BA1459" s="468" t="str">
        <f>IF(AS1459="","",IF(OR(AU1459="",AU1459="-"),"－",IF(OR(AZ1459=8,AZ1459=9),"",IF(OR(AW1459=3,AW1459=4,AW1459=5,AW1459=6),VLOOKUP(AU1459,INDEX((係数_バス貨物_ガソリン,係数_バス貨物_CNG,係数_バス貨物_軽油,係数_バス貨物_メタノール,係数_バス貨物_LPG),MATCH(AY1459,【参考】排出係数!$AI$4:$AI$671,1),1,BE1459):INDEX((係数_バス貨物_ガソリン,係数_バス貨物_CNG,係数_バス貨物_軽油,係数_バス貨物_メタノール,係数_バス貨物_LPG),MATCH(AY1459+1,【参考】排出係数!$AI$4:$AI$671,1)-1,5,BE1459),2,FALSE),IF(OR(AW1459=1,AW1459=2),VLOOKUP(AU1459,INDEX((係数_乗用_ガソリン,係数_乗用_CNG,係数_乗用_軽油,係数_乗用_メタノール,係数_乗用_LPG),1,1,BE1459):INDEX((係数_乗用_ガソリン,係数_乗用_CNG,係数_乗用_軽油,係数_乗用_メタノール,係数_乗用_LPG),125,5,BE1459),2,FALSE))))))</f>
        <v/>
      </c>
      <c r="BB1459" s="468" t="str">
        <f>IF(T1459="","",IF(OR(AU1459="",AU1459="-"),"－",IF(OR(AZ1459=8,AZ1459=9),"",IF(OR(AW1459=3,AW1459=4,AW1459=5,AW1459=6),VLOOKUP(AU1459,INDEX((係数_バス貨物_ガソリン,係数_バス貨物_CNG,係数_バス貨物_軽油,係数_バス貨物_メタノール,係数_バス貨物_LPG),MATCH(AY1459,【参考】排出係数!$AI$4:$AI$671,1),1,BE1459):INDEX((係数_バス貨物_ガソリン,係数_バス貨物_CNG,係数_バス貨物_軽油,係数_バス貨物_メタノール,係数_バス貨物_LPG),MATCH(AY1459+1,【参考】排出係数!$AI$4:$AI$671,1)-1,5,BE1459),3,FALSE),IF(OR(AW1459=1,AW1459=2),VLOOKUP(AU1459,INDEX((係数_乗用_ガソリン,係数_乗用_CNG,係数_乗用_軽油,係数_乗用_メタノール,係数_乗用_LPG),1,1,BE1459):INDEX((係数_乗用_ガソリン,係数_乗用_CNG,係数_乗用_軽油,係数_乗用_メタノール,係数_乗用_LPG),125,5,BE1459),3,FALSE))))))</f>
        <v/>
      </c>
      <c r="BC1459" s="467" t="str">
        <f t="shared" si="824"/>
        <v/>
      </c>
      <c r="BD1459" s="567" t="str">
        <f t="shared" si="825"/>
        <v/>
      </c>
      <c r="BE1459" s="467" t="str">
        <f t="shared" si="826"/>
        <v/>
      </c>
      <c r="BF1459" s="469" t="str">
        <f t="shared" ca="1" si="827"/>
        <v/>
      </c>
      <c r="BG1459" s="469" t="str">
        <f t="shared" ca="1" si="828"/>
        <v/>
      </c>
      <c r="BH1459" s="467" t="str">
        <f t="shared" si="829"/>
        <v/>
      </c>
      <c r="BI1459" s="467" t="str">
        <f t="shared" ca="1" si="830"/>
        <v/>
      </c>
      <c r="BJ1459" s="469" t="str">
        <f t="shared" si="831"/>
        <v/>
      </c>
      <c r="BK1459" s="470" t="str">
        <f t="shared" si="815"/>
        <v/>
      </c>
      <c r="BL1459" s="775" t="str">
        <f t="shared" si="832"/>
        <v/>
      </c>
      <c r="BM1459" s="775" t="str">
        <f t="shared" si="833"/>
        <v/>
      </c>
    </row>
    <row r="1460" spans="1:65">
      <c r="A1460" s="473">
        <v>1404</v>
      </c>
      <c r="B1460" s="132"/>
      <c r="C1460" s="332"/>
      <c r="D1460" s="333"/>
      <c r="E1460" s="333"/>
      <c r="F1460" s="334"/>
      <c r="G1460" s="337"/>
      <c r="H1460" s="131"/>
      <c r="I1460" s="337"/>
      <c r="J1460" s="131"/>
      <c r="K1460" s="458" t="str">
        <f t="shared" si="834"/>
        <v/>
      </c>
      <c r="L1460" s="458">
        <f t="shared" si="835"/>
        <v>0</v>
      </c>
      <c r="M1460" s="458">
        <f t="shared" si="836"/>
        <v>0</v>
      </c>
      <c r="N1460" s="459" t="str">
        <f t="shared" si="809"/>
        <v/>
      </c>
      <c r="O1460" s="459" t="str">
        <f t="shared" si="810"/>
        <v/>
      </c>
      <c r="P1460" s="459" t="str">
        <f t="shared" si="811"/>
        <v/>
      </c>
      <c r="Q1460" s="459" t="str">
        <f t="shared" si="812"/>
        <v/>
      </c>
      <c r="R1460" s="459" t="str">
        <f t="shared" si="813"/>
        <v/>
      </c>
      <c r="S1460" s="459" t="str">
        <f t="shared" si="814"/>
        <v/>
      </c>
      <c r="T1460" s="566" t="str">
        <f t="shared" si="837"/>
        <v/>
      </c>
      <c r="U1460" s="702"/>
      <c r="V1460" s="132"/>
      <c r="W1460" s="133"/>
      <c r="X1460" s="134"/>
      <c r="Y1460" s="135"/>
      <c r="Z1460" s="137"/>
      <c r="AA1460" s="136"/>
      <c r="AB1460" s="566" t="str">
        <f t="shared" si="838"/>
        <v/>
      </c>
      <c r="AC1460" s="568" t="str">
        <f t="shared" si="839"/>
        <v/>
      </c>
      <c r="AD1460" s="137"/>
      <c r="AE1460" s="137"/>
      <c r="AF1460" s="138"/>
      <c r="AG1460" s="138"/>
      <c r="AH1460" s="592" t="str">
        <f t="shared" si="840"/>
        <v/>
      </c>
      <c r="AI1460" s="592" t="str">
        <f t="shared" si="841"/>
        <v/>
      </c>
      <c r="AJ1460" s="592" t="str">
        <f t="shared" si="842"/>
        <v/>
      </c>
      <c r="AK1460" s="460" t="str">
        <f>IF(AU1460="","",IF(OR(AZ1460=8,AZ1460=9),0,IF(OR(AW1460=3,AW1460=4,AW1460=5,AW1460=6),IF(LEFT(BF1460,1)="1",INDEX(係数_NOX・PM低減,MATCH(AY1460,【参考】排出係数!$AI$801:$AI$804,1),1),VLOOKUP(AU1460,INDEX((係数_バス貨物_ガソリン,係数_バス貨物_CNG,係数_バス貨物_軽油,係数_バス貨物_メタノール,係数_バス貨物_LPG),MATCH(AY1460,【参考】排出係数!$AI$4:$AI$671,1),1,BE1460):INDEX((係数_バス貨物_ガソリン,係数_バス貨物_CNG,係数_バス貨物_軽油,係数_バス貨物_メタノール,係数_バス貨物_LPG),MATCH(AY1460+1,【参考】排出係数!$AI$4:$AI$671,1)-1,5,BE1460),4,FALSE)),IF(AND(BE1460=3,LEFT(BF1460,1)="1"),0.48,VLOOKUP(AU1460,INDEX((係数_乗用_ガソリン,係数_乗用_CNG,係数_乗用_軽油,係数_乗用_メタノール,係数_乗用_LPG),1,1,BE1460):INDEX((係数_乗用_ガソリン,係数_乗用_CNG,係数_乗用_軽油,係数_乗用_メタノール,係数_乗用_LPG),125,5,BE1460),4,FALSE)))))</f>
        <v/>
      </c>
      <c r="AL1460" s="461" t="str">
        <f t="shared" si="843"/>
        <v/>
      </c>
      <c r="AM1460" s="460" t="str">
        <f>IF(AU1460="","",IF(OR(AZ1460=8,AZ1460=9),0,IF(OR(AW1460=3,AW1460=4,AW1460=5,AW1460=6),IF(LEFT(BH1460,1)="1",INDEX(係数_PM低減,MATCH(AY1460,【参考】排出係数!$AI$801:$AI$804,1),MATCH(BI1460,【参考】排出係数!$AL$798:$AO$798,1)),VLOOKUP(AU1460,INDEX((係数_バス貨物_ガソリン,係数_バス貨物_CNG,係数_バス貨物_軽油,係数_バス貨物_メタノール,係数_バス貨物_LPG),MATCH(AY1460,【参考】排出係数!$AI$4:$AI$671,1),1,BE1460):INDEX((係数_バス貨物_ガソリン,係数_バス貨物_CNG,係数_バス貨物_軽油,係数_バス貨物_メタノール,係数_バス貨物_LPG),MATCH(AY1460+1,【参考】排出係数!$AI$4:$AI$671,1)-1,5,BE1460),5,FALSE)),IF(AND(BE1460=3,LEFT(BF1460,1)="1"),0.055,VLOOKUP(AU1460,INDEX((係数_乗用_ガソリン,係数_乗用_CNG,係数_乗用_軽油,係数_乗用_メタノール,係数_乗用_LPG),1,1,BE1460):INDEX((係数_乗用_ガソリン,係数_乗用_CNG,係数_乗用_軽油,係数_乗用_メタノール,係数_乗用_LPG),125,5,BE1460),5,FALSE)))))</f>
        <v/>
      </c>
      <c r="AN1460" s="461" t="str">
        <f t="shared" si="844"/>
        <v/>
      </c>
      <c r="AO1460" s="462" t="str">
        <f t="shared" si="845"/>
        <v/>
      </c>
      <c r="AP1460" s="463" t="str">
        <f t="shared" si="846"/>
        <v/>
      </c>
      <c r="AQ1460" s="464"/>
      <c r="AR1460" s="619"/>
      <c r="AS1460" s="465" t="str">
        <f t="shared" si="816"/>
        <v/>
      </c>
      <c r="AT1460" s="465" t="str">
        <f t="shared" si="817"/>
        <v/>
      </c>
      <c r="AU1460" s="466" t="str">
        <f t="shared" si="818"/>
        <v/>
      </c>
      <c r="AV1460" s="467" t="str">
        <f t="shared" si="819"/>
        <v/>
      </c>
      <c r="AW1460" s="467" t="str">
        <f t="shared" si="820"/>
        <v/>
      </c>
      <c r="AX1460" s="467" t="str">
        <f t="shared" si="821"/>
        <v/>
      </c>
      <c r="AY1460" s="467" t="str">
        <f t="shared" si="822"/>
        <v/>
      </c>
      <c r="AZ1460" s="467" t="str">
        <f t="shared" si="823"/>
        <v/>
      </c>
      <c r="BA1460" s="468" t="str">
        <f>IF(AS1460="","",IF(OR(AU1460="",AU1460="-"),"－",IF(OR(AZ1460=8,AZ1460=9),"",IF(OR(AW1460=3,AW1460=4,AW1460=5,AW1460=6),VLOOKUP(AU1460,INDEX((係数_バス貨物_ガソリン,係数_バス貨物_CNG,係数_バス貨物_軽油,係数_バス貨物_メタノール,係数_バス貨物_LPG),MATCH(AY1460,【参考】排出係数!$AI$4:$AI$671,1),1,BE1460):INDEX((係数_バス貨物_ガソリン,係数_バス貨物_CNG,係数_バス貨物_軽油,係数_バス貨物_メタノール,係数_バス貨物_LPG),MATCH(AY1460+1,【参考】排出係数!$AI$4:$AI$671,1)-1,5,BE1460),2,FALSE),IF(OR(AW1460=1,AW1460=2),VLOOKUP(AU1460,INDEX((係数_乗用_ガソリン,係数_乗用_CNG,係数_乗用_軽油,係数_乗用_メタノール,係数_乗用_LPG),1,1,BE1460):INDEX((係数_乗用_ガソリン,係数_乗用_CNG,係数_乗用_軽油,係数_乗用_メタノール,係数_乗用_LPG),125,5,BE1460),2,FALSE))))))</f>
        <v/>
      </c>
      <c r="BB1460" s="468" t="str">
        <f>IF(T1460="","",IF(OR(AU1460="",AU1460="-"),"－",IF(OR(AZ1460=8,AZ1460=9),"",IF(OR(AW1460=3,AW1460=4,AW1460=5,AW1460=6),VLOOKUP(AU1460,INDEX((係数_バス貨物_ガソリン,係数_バス貨物_CNG,係数_バス貨物_軽油,係数_バス貨物_メタノール,係数_バス貨物_LPG),MATCH(AY1460,【参考】排出係数!$AI$4:$AI$671,1),1,BE1460):INDEX((係数_バス貨物_ガソリン,係数_バス貨物_CNG,係数_バス貨物_軽油,係数_バス貨物_メタノール,係数_バス貨物_LPG),MATCH(AY1460+1,【参考】排出係数!$AI$4:$AI$671,1)-1,5,BE1460),3,FALSE),IF(OR(AW1460=1,AW1460=2),VLOOKUP(AU1460,INDEX((係数_乗用_ガソリン,係数_乗用_CNG,係数_乗用_軽油,係数_乗用_メタノール,係数_乗用_LPG),1,1,BE1460):INDEX((係数_乗用_ガソリン,係数_乗用_CNG,係数_乗用_軽油,係数_乗用_メタノール,係数_乗用_LPG),125,5,BE1460),3,FALSE))))))</f>
        <v/>
      </c>
      <c r="BC1460" s="467" t="str">
        <f t="shared" si="824"/>
        <v/>
      </c>
      <c r="BD1460" s="567" t="str">
        <f t="shared" si="825"/>
        <v/>
      </c>
      <c r="BE1460" s="467" t="str">
        <f t="shared" si="826"/>
        <v/>
      </c>
      <c r="BF1460" s="469" t="str">
        <f t="shared" ca="1" si="827"/>
        <v/>
      </c>
      <c r="BG1460" s="469" t="str">
        <f t="shared" ca="1" si="828"/>
        <v/>
      </c>
      <c r="BH1460" s="467" t="str">
        <f t="shared" si="829"/>
        <v/>
      </c>
      <c r="BI1460" s="467" t="str">
        <f t="shared" ca="1" si="830"/>
        <v/>
      </c>
      <c r="BJ1460" s="469" t="str">
        <f t="shared" si="831"/>
        <v/>
      </c>
      <c r="BK1460" s="470" t="str">
        <f t="shared" si="815"/>
        <v/>
      </c>
      <c r="BL1460" s="775" t="str">
        <f t="shared" si="832"/>
        <v/>
      </c>
      <c r="BM1460" s="775" t="str">
        <f t="shared" si="833"/>
        <v/>
      </c>
    </row>
    <row r="1461" spans="1:65">
      <c r="A1461" s="473">
        <v>1405</v>
      </c>
      <c r="B1461" s="132"/>
      <c r="C1461" s="332"/>
      <c r="D1461" s="333"/>
      <c r="E1461" s="333"/>
      <c r="F1461" s="334"/>
      <c r="G1461" s="337"/>
      <c r="H1461" s="131"/>
      <c r="I1461" s="337"/>
      <c r="J1461" s="131"/>
      <c r="K1461" s="458" t="str">
        <f t="shared" si="834"/>
        <v/>
      </c>
      <c r="L1461" s="458">
        <f t="shared" si="835"/>
        <v>0</v>
      </c>
      <c r="M1461" s="458">
        <f t="shared" si="836"/>
        <v>0</v>
      </c>
      <c r="N1461" s="459" t="str">
        <f t="shared" si="809"/>
        <v/>
      </c>
      <c r="O1461" s="459" t="str">
        <f t="shared" si="810"/>
        <v/>
      </c>
      <c r="P1461" s="459" t="str">
        <f t="shared" si="811"/>
        <v/>
      </c>
      <c r="Q1461" s="459" t="str">
        <f t="shared" si="812"/>
        <v/>
      </c>
      <c r="R1461" s="459" t="str">
        <f t="shared" si="813"/>
        <v/>
      </c>
      <c r="S1461" s="459" t="str">
        <f t="shared" si="814"/>
        <v/>
      </c>
      <c r="T1461" s="566" t="str">
        <f t="shared" si="837"/>
        <v/>
      </c>
      <c r="U1461" s="702"/>
      <c r="V1461" s="132"/>
      <c r="W1461" s="133"/>
      <c r="X1461" s="134"/>
      <c r="Y1461" s="135"/>
      <c r="Z1461" s="137"/>
      <c r="AA1461" s="136"/>
      <c r="AB1461" s="566" t="str">
        <f t="shared" si="838"/>
        <v/>
      </c>
      <c r="AC1461" s="568" t="str">
        <f t="shared" si="839"/>
        <v/>
      </c>
      <c r="AD1461" s="137"/>
      <c r="AE1461" s="137"/>
      <c r="AF1461" s="138"/>
      <c r="AG1461" s="138"/>
      <c r="AH1461" s="592" t="str">
        <f t="shared" si="840"/>
        <v/>
      </c>
      <c r="AI1461" s="592" t="str">
        <f t="shared" si="841"/>
        <v/>
      </c>
      <c r="AJ1461" s="592" t="str">
        <f t="shared" si="842"/>
        <v/>
      </c>
      <c r="AK1461" s="460" t="str">
        <f>IF(AU1461="","",IF(OR(AZ1461=8,AZ1461=9),0,IF(OR(AW1461=3,AW1461=4,AW1461=5,AW1461=6),IF(LEFT(BF1461,1)="1",INDEX(係数_NOX・PM低減,MATCH(AY1461,【参考】排出係数!$AI$801:$AI$804,1),1),VLOOKUP(AU1461,INDEX((係数_バス貨物_ガソリン,係数_バス貨物_CNG,係数_バス貨物_軽油,係数_バス貨物_メタノール,係数_バス貨物_LPG),MATCH(AY1461,【参考】排出係数!$AI$4:$AI$671,1),1,BE1461):INDEX((係数_バス貨物_ガソリン,係数_バス貨物_CNG,係数_バス貨物_軽油,係数_バス貨物_メタノール,係数_バス貨物_LPG),MATCH(AY1461+1,【参考】排出係数!$AI$4:$AI$671,1)-1,5,BE1461),4,FALSE)),IF(AND(BE1461=3,LEFT(BF1461,1)="1"),0.48,VLOOKUP(AU1461,INDEX((係数_乗用_ガソリン,係数_乗用_CNG,係数_乗用_軽油,係数_乗用_メタノール,係数_乗用_LPG),1,1,BE1461):INDEX((係数_乗用_ガソリン,係数_乗用_CNG,係数_乗用_軽油,係数_乗用_メタノール,係数_乗用_LPG),125,5,BE1461),4,FALSE)))))</f>
        <v/>
      </c>
      <c r="AL1461" s="461" t="str">
        <f t="shared" si="843"/>
        <v/>
      </c>
      <c r="AM1461" s="460" t="str">
        <f>IF(AU1461="","",IF(OR(AZ1461=8,AZ1461=9),0,IF(OR(AW1461=3,AW1461=4,AW1461=5,AW1461=6),IF(LEFT(BH1461,1)="1",INDEX(係数_PM低減,MATCH(AY1461,【参考】排出係数!$AI$801:$AI$804,1),MATCH(BI1461,【参考】排出係数!$AL$798:$AO$798,1)),VLOOKUP(AU1461,INDEX((係数_バス貨物_ガソリン,係数_バス貨物_CNG,係数_バス貨物_軽油,係数_バス貨物_メタノール,係数_バス貨物_LPG),MATCH(AY1461,【参考】排出係数!$AI$4:$AI$671,1),1,BE1461):INDEX((係数_バス貨物_ガソリン,係数_バス貨物_CNG,係数_バス貨物_軽油,係数_バス貨物_メタノール,係数_バス貨物_LPG),MATCH(AY1461+1,【参考】排出係数!$AI$4:$AI$671,1)-1,5,BE1461),5,FALSE)),IF(AND(BE1461=3,LEFT(BF1461,1)="1"),0.055,VLOOKUP(AU1461,INDEX((係数_乗用_ガソリン,係数_乗用_CNG,係数_乗用_軽油,係数_乗用_メタノール,係数_乗用_LPG),1,1,BE1461):INDEX((係数_乗用_ガソリン,係数_乗用_CNG,係数_乗用_軽油,係数_乗用_メタノール,係数_乗用_LPG),125,5,BE1461),5,FALSE)))))</f>
        <v/>
      </c>
      <c r="AN1461" s="461" t="str">
        <f t="shared" si="844"/>
        <v/>
      </c>
      <c r="AO1461" s="462" t="str">
        <f t="shared" si="845"/>
        <v/>
      </c>
      <c r="AP1461" s="463" t="str">
        <f t="shared" si="846"/>
        <v/>
      </c>
      <c r="AQ1461" s="464"/>
      <c r="AR1461" s="619"/>
      <c r="AS1461" s="465" t="str">
        <f t="shared" si="816"/>
        <v/>
      </c>
      <c r="AT1461" s="465" t="str">
        <f t="shared" si="817"/>
        <v/>
      </c>
      <c r="AU1461" s="466" t="str">
        <f t="shared" si="818"/>
        <v/>
      </c>
      <c r="AV1461" s="467" t="str">
        <f t="shared" si="819"/>
        <v/>
      </c>
      <c r="AW1461" s="467" t="str">
        <f t="shared" si="820"/>
        <v/>
      </c>
      <c r="AX1461" s="467" t="str">
        <f t="shared" si="821"/>
        <v/>
      </c>
      <c r="AY1461" s="467" t="str">
        <f t="shared" si="822"/>
        <v/>
      </c>
      <c r="AZ1461" s="467" t="str">
        <f t="shared" si="823"/>
        <v/>
      </c>
      <c r="BA1461" s="468" t="str">
        <f>IF(AS1461="","",IF(OR(AU1461="",AU1461="-"),"－",IF(OR(AZ1461=8,AZ1461=9),"",IF(OR(AW1461=3,AW1461=4,AW1461=5,AW1461=6),VLOOKUP(AU1461,INDEX((係数_バス貨物_ガソリン,係数_バス貨物_CNG,係数_バス貨物_軽油,係数_バス貨物_メタノール,係数_バス貨物_LPG),MATCH(AY1461,【参考】排出係数!$AI$4:$AI$671,1),1,BE1461):INDEX((係数_バス貨物_ガソリン,係数_バス貨物_CNG,係数_バス貨物_軽油,係数_バス貨物_メタノール,係数_バス貨物_LPG),MATCH(AY1461+1,【参考】排出係数!$AI$4:$AI$671,1)-1,5,BE1461),2,FALSE),IF(OR(AW1461=1,AW1461=2),VLOOKUP(AU1461,INDEX((係数_乗用_ガソリン,係数_乗用_CNG,係数_乗用_軽油,係数_乗用_メタノール,係数_乗用_LPG),1,1,BE1461):INDEX((係数_乗用_ガソリン,係数_乗用_CNG,係数_乗用_軽油,係数_乗用_メタノール,係数_乗用_LPG),125,5,BE1461),2,FALSE))))))</f>
        <v/>
      </c>
      <c r="BB1461" s="468" t="str">
        <f>IF(T1461="","",IF(OR(AU1461="",AU1461="-"),"－",IF(OR(AZ1461=8,AZ1461=9),"",IF(OR(AW1461=3,AW1461=4,AW1461=5,AW1461=6),VLOOKUP(AU1461,INDEX((係数_バス貨物_ガソリン,係数_バス貨物_CNG,係数_バス貨物_軽油,係数_バス貨物_メタノール,係数_バス貨物_LPG),MATCH(AY1461,【参考】排出係数!$AI$4:$AI$671,1),1,BE1461):INDEX((係数_バス貨物_ガソリン,係数_バス貨物_CNG,係数_バス貨物_軽油,係数_バス貨物_メタノール,係数_バス貨物_LPG),MATCH(AY1461+1,【参考】排出係数!$AI$4:$AI$671,1)-1,5,BE1461),3,FALSE),IF(OR(AW1461=1,AW1461=2),VLOOKUP(AU1461,INDEX((係数_乗用_ガソリン,係数_乗用_CNG,係数_乗用_軽油,係数_乗用_メタノール,係数_乗用_LPG),1,1,BE1461):INDEX((係数_乗用_ガソリン,係数_乗用_CNG,係数_乗用_軽油,係数_乗用_メタノール,係数_乗用_LPG),125,5,BE1461),3,FALSE))))))</f>
        <v/>
      </c>
      <c r="BC1461" s="467" t="str">
        <f t="shared" si="824"/>
        <v/>
      </c>
      <c r="BD1461" s="567" t="str">
        <f t="shared" si="825"/>
        <v/>
      </c>
      <c r="BE1461" s="467" t="str">
        <f t="shared" si="826"/>
        <v/>
      </c>
      <c r="BF1461" s="469" t="str">
        <f t="shared" ca="1" si="827"/>
        <v/>
      </c>
      <c r="BG1461" s="469" t="str">
        <f t="shared" ca="1" si="828"/>
        <v/>
      </c>
      <c r="BH1461" s="467" t="str">
        <f t="shared" si="829"/>
        <v/>
      </c>
      <c r="BI1461" s="467" t="str">
        <f t="shared" ca="1" si="830"/>
        <v/>
      </c>
      <c r="BJ1461" s="469" t="str">
        <f t="shared" si="831"/>
        <v/>
      </c>
      <c r="BK1461" s="470" t="str">
        <f t="shared" si="815"/>
        <v/>
      </c>
      <c r="BL1461" s="775" t="str">
        <f t="shared" si="832"/>
        <v/>
      </c>
      <c r="BM1461" s="775" t="str">
        <f t="shared" si="833"/>
        <v/>
      </c>
    </row>
    <row r="1462" spans="1:65">
      <c r="A1462" s="473">
        <v>1406</v>
      </c>
      <c r="B1462" s="132"/>
      <c r="C1462" s="332"/>
      <c r="D1462" s="333"/>
      <c r="E1462" s="333"/>
      <c r="F1462" s="334"/>
      <c r="G1462" s="337"/>
      <c r="H1462" s="131"/>
      <c r="I1462" s="337"/>
      <c r="J1462" s="131"/>
      <c r="K1462" s="458" t="str">
        <f t="shared" si="834"/>
        <v/>
      </c>
      <c r="L1462" s="458">
        <f t="shared" si="835"/>
        <v>0</v>
      </c>
      <c r="M1462" s="458">
        <f t="shared" si="836"/>
        <v>0</v>
      </c>
      <c r="N1462" s="459" t="str">
        <f t="shared" si="809"/>
        <v/>
      </c>
      <c r="O1462" s="459" t="str">
        <f t="shared" si="810"/>
        <v/>
      </c>
      <c r="P1462" s="459" t="str">
        <f t="shared" si="811"/>
        <v/>
      </c>
      <c r="Q1462" s="459" t="str">
        <f t="shared" si="812"/>
        <v/>
      </c>
      <c r="R1462" s="459" t="str">
        <f t="shared" si="813"/>
        <v/>
      </c>
      <c r="S1462" s="459" t="str">
        <f t="shared" si="814"/>
        <v/>
      </c>
      <c r="T1462" s="566" t="str">
        <f t="shared" si="837"/>
        <v/>
      </c>
      <c r="U1462" s="702"/>
      <c r="V1462" s="132"/>
      <c r="W1462" s="133"/>
      <c r="X1462" s="134"/>
      <c r="Y1462" s="135"/>
      <c r="Z1462" s="137"/>
      <c r="AA1462" s="136"/>
      <c r="AB1462" s="566" t="str">
        <f t="shared" si="838"/>
        <v/>
      </c>
      <c r="AC1462" s="568" t="str">
        <f t="shared" si="839"/>
        <v/>
      </c>
      <c r="AD1462" s="137"/>
      <c r="AE1462" s="137"/>
      <c r="AF1462" s="138"/>
      <c r="AG1462" s="138"/>
      <c r="AH1462" s="592" t="str">
        <f t="shared" si="840"/>
        <v/>
      </c>
      <c r="AI1462" s="592" t="str">
        <f t="shared" si="841"/>
        <v/>
      </c>
      <c r="AJ1462" s="592" t="str">
        <f t="shared" si="842"/>
        <v/>
      </c>
      <c r="AK1462" s="460" t="str">
        <f>IF(AU1462="","",IF(OR(AZ1462=8,AZ1462=9),0,IF(OR(AW1462=3,AW1462=4,AW1462=5,AW1462=6),IF(LEFT(BF1462,1)="1",INDEX(係数_NOX・PM低減,MATCH(AY1462,【参考】排出係数!$AI$801:$AI$804,1),1),VLOOKUP(AU1462,INDEX((係数_バス貨物_ガソリン,係数_バス貨物_CNG,係数_バス貨物_軽油,係数_バス貨物_メタノール,係数_バス貨物_LPG),MATCH(AY1462,【参考】排出係数!$AI$4:$AI$671,1),1,BE1462):INDEX((係数_バス貨物_ガソリン,係数_バス貨物_CNG,係数_バス貨物_軽油,係数_バス貨物_メタノール,係数_バス貨物_LPG),MATCH(AY1462+1,【参考】排出係数!$AI$4:$AI$671,1)-1,5,BE1462),4,FALSE)),IF(AND(BE1462=3,LEFT(BF1462,1)="1"),0.48,VLOOKUP(AU1462,INDEX((係数_乗用_ガソリン,係数_乗用_CNG,係数_乗用_軽油,係数_乗用_メタノール,係数_乗用_LPG),1,1,BE1462):INDEX((係数_乗用_ガソリン,係数_乗用_CNG,係数_乗用_軽油,係数_乗用_メタノール,係数_乗用_LPG),125,5,BE1462),4,FALSE)))))</f>
        <v/>
      </c>
      <c r="AL1462" s="461" t="str">
        <f t="shared" si="843"/>
        <v/>
      </c>
      <c r="AM1462" s="460" t="str">
        <f>IF(AU1462="","",IF(OR(AZ1462=8,AZ1462=9),0,IF(OR(AW1462=3,AW1462=4,AW1462=5,AW1462=6),IF(LEFT(BH1462,1)="1",INDEX(係数_PM低減,MATCH(AY1462,【参考】排出係数!$AI$801:$AI$804,1),MATCH(BI1462,【参考】排出係数!$AL$798:$AO$798,1)),VLOOKUP(AU1462,INDEX((係数_バス貨物_ガソリン,係数_バス貨物_CNG,係数_バス貨物_軽油,係数_バス貨物_メタノール,係数_バス貨物_LPG),MATCH(AY1462,【参考】排出係数!$AI$4:$AI$671,1),1,BE1462):INDEX((係数_バス貨物_ガソリン,係数_バス貨物_CNG,係数_バス貨物_軽油,係数_バス貨物_メタノール,係数_バス貨物_LPG),MATCH(AY1462+1,【参考】排出係数!$AI$4:$AI$671,1)-1,5,BE1462),5,FALSE)),IF(AND(BE1462=3,LEFT(BF1462,1)="1"),0.055,VLOOKUP(AU1462,INDEX((係数_乗用_ガソリン,係数_乗用_CNG,係数_乗用_軽油,係数_乗用_メタノール,係数_乗用_LPG),1,1,BE1462):INDEX((係数_乗用_ガソリン,係数_乗用_CNG,係数_乗用_軽油,係数_乗用_メタノール,係数_乗用_LPG),125,5,BE1462),5,FALSE)))))</f>
        <v/>
      </c>
      <c r="AN1462" s="461" t="str">
        <f t="shared" si="844"/>
        <v/>
      </c>
      <c r="AO1462" s="462" t="str">
        <f t="shared" si="845"/>
        <v/>
      </c>
      <c r="AP1462" s="463" t="str">
        <f t="shared" si="846"/>
        <v/>
      </c>
      <c r="AQ1462" s="464"/>
      <c r="AR1462" s="619"/>
      <c r="AS1462" s="465" t="str">
        <f t="shared" si="816"/>
        <v/>
      </c>
      <c r="AT1462" s="465" t="str">
        <f t="shared" si="817"/>
        <v/>
      </c>
      <c r="AU1462" s="466" t="str">
        <f t="shared" si="818"/>
        <v/>
      </c>
      <c r="AV1462" s="467" t="str">
        <f t="shared" si="819"/>
        <v/>
      </c>
      <c r="AW1462" s="467" t="str">
        <f t="shared" si="820"/>
        <v/>
      </c>
      <c r="AX1462" s="467" t="str">
        <f t="shared" si="821"/>
        <v/>
      </c>
      <c r="AY1462" s="467" t="str">
        <f t="shared" si="822"/>
        <v/>
      </c>
      <c r="AZ1462" s="467" t="str">
        <f t="shared" si="823"/>
        <v/>
      </c>
      <c r="BA1462" s="468" t="str">
        <f>IF(AS1462="","",IF(OR(AU1462="",AU1462="-"),"－",IF(OR(AZ1462=8,AZ1462=9),"",IF(OR(AW1462=3,AW1462=4,AW1462=5,AW1462=6),VLOOKUP(AU1462,INDEX((係数_バス貨物_ガソリン,係数_バス貨物_CNG,係数_バス貨物_軽油,係数_バス貨物_メタノール,係数_バス貨物_LPG),MATCH(AY1462,【参考】排出係数!$AI$4:$AI$671,1),1,BE1462):INDEX((係数_バス貨物_ガソリン,係数_バス貨物_CNG,係数_バス貨物_軽油,係数_バス貨物_メタノール,係数_バス貨物_LPG),MATCH(AY1462+1,【参考】排出係数!$AI$4:$AI$671,1)-1,5,BE1462),2,FALSE),IF(OR(AW1462=1,AW1462=2),VLOOKUP(AU1462,INDEX((係数_乗用_ガソリン,係数_乗用_CNG,係数_乗用_軽油,係数_乗用_メタノール,係数_乗用_LPG),1,1,BE1462):INDEX((係数_乗用_ガソリン,係数_乗用_CNG,係数_乗用_軽油,係数_乗用_メタノール,係数_乗用_LPG),125,5,BE1462),2,FALSE))))))</f>
        <v/>
      </c>
      <c r="BB1462" s="468" t="str">
        <f>IF(T1462="","",IF(OR(AU1462="",AU1462="-"),"－",IF(OR(AZ1462=8,AZ1462=9),"",IF(OR(AW1462=3,AW1462=4,AW1462=5,AW1462=6),VLOOKUP(AU1462,INDEX((係数_バス貨物_ガソリン,係数_バス貨物_CNG,係数_バス貨物_軽油,係数_バス貨物_メタノール,係数_バス貨物_LPG),MATCH(AY1462,【参考】排出係数!$AI$4:$AI$671,1),1,BE1462):INDEX((係数_バス貨物_ガソリン,係数_バス貨物_CNG,係数_バス貨物_軽油,係数_バス貨物_メタノール,係数_バス貨物_LPG),MATCH(AY1462+1,【参考】排出係数!$AI$4:$AI$671,1)-1,5,BE1462),3,FALSE),IF(OR(AW1462=1,AW1462=2),VLOOKUP(AU1462,INDEX((係数_乗用_ガソリン,係数_乗用_CNG,係数_乗用_軽油,係数_乗用_メタノール,係数_乗用_LPG),1,1,BE1462):INDEX((係数_乗用_ガソリン,係数_乗用_CNG,係数_乗用_軽油,係数_乗用_メタノール,係数_乗用_LPG),125,5,BE1462),3,FALSE))))))</f>
        <v/>
      </c>
      <c r="BC1462" s="467" t="str">
        <f t="shared" si="824"/>
        <v/>
      </c>
      <c r="BD1462" s="567" t="str">
        <f t="shared" si="825"/>
        <v/>
      </c>
      <c r="BE1462" s="467" t="str">
        <f t="shared" si="826"/>
        <v/>
      </c>
      <c r="BF1462" s="469" t="str">
        <f t="shared" ca="1" si="827"/>
        <v/>
      </c>
      <c r="BG1462" s="469" t="str">
        <f t="shared" ca="1" si="828"/>
        <v/>
      </c>
      <c r="BH1462" s="467" t="str">
        <f t="shared" si="829"/>
        <v/>
      </c>
      <c r="BI1462" s="467" t="str">
        <f t="shared" ca="1" si="830"/>
        <v/>
      </c>
      <c r="BJ1462" s="469" t="str">
        <f t="shared" si="831"/>
        <v/>
      </c>
      <c r="BK1462" s="470" t="str">
        <f t="shared" si="815"/>
        <v/>
      </c>
      <c r="BL1462" s="775" t="str">
        <f t="shared" si="832"/>
        <v/>
      </c>
      <c r="BM1462" s="775" t="str">
        <f t="shared" si="833"/>
        <v/>
      </c>
    </row>
    <row r="1463" spans="1:65">
      <c r="A1463" s="473">
        <v>1407</v>
      </c>
      <c r="B1463" s="132"/>
      <c r="C1463" s="332"/>
      <c r="D1463" s="333"/>
      <c r="E1463" s="333"/>
      <c r="F1463" s="334"/>
      <c r="G1463" s="337"/>
      <c r="H1463" s="131"/>
      <c r="I1463" s="337"/>
      <c r="J1463" s="131"/>
      <c r="K1463" s="458" t="str">
        <f t="shared" si="834"/>
        <v/>
      </c>
      <c r="L1463" s="458">
        <f t="shared" si="835"/>
        <v>0</v>
      </c>
      <c r="M1463" s="458">
        <f t="shared" si="836"/>
        <v>0</v>
      </c>
      <c r="N1463" s="459" t="str">
        <f t="shared" ref="N1463:N1526" si="847">IF(OR($L1463&gt;$U$48,$M1463&gt;$U$48,AND($L1463&gt;$M1463,$M1463&lt;&gt;0),AND($L1463=0,$M1463&lt;&gt;0)),"ERROR","")</f>
        <v/>
      </c>
      <c r="O1463" s="459" t="str">
        <f t="shared" ref="O1463:O1526" si="848">IF(AND($N1463&lt;&gt;"ERROR",$L1463&lt;=$U$49,$M1463&lt;=$U$49,$M1463&lt;&gt;0),"(減車済)","")</f>
        <v/>
      </c>
      <c r="P1463" s="459" t="str">
        <f t="shared" ref="P1463:P1526" si="849">IF(AND($N1463&lt;&gt;"ERROR",$L1463&lt;$U$49,AND($M1463&gt;$U$49,$M1463&lt;=$W$49),$M1463&lt;&gt;0),"減車","")</f>
        <v/>
      </c>
      <c r="Q1463" s="459" t="str">
        <f t="shared" ref="Q1463:Q1526" si="850">IF(AND($N1463&lt;&gt;"ERROR",$L1463&gt;$U$49,$M1463&lt;=$W$49,$M1463&lt;&gt;0),"一時使用","")</f>
        <v/>
      </c>
      <c r="R1463" s="459" t="str">
        <f t="shared" ref="R1463:R1526" si="851">IF(AND($N1463&lt;&gt;"ERROR",AND($L1463&gt;0,$L1463&lt;=$U$49),$M1463=0),"継続","")</f>
        <v/>
      </c>
      <c r="S1463" s="459" t="str">
        <f t="shared" ref="S1463:S1526" si="852">IF(AND($N1463&lt;&gt;"ERROR",AND($L1463&gt;$U$49),$M1463=0),"新規","")</f>
        <v/>
      </c>
      <c r="T1463" s="566" t="str">
        <f t="shared" si="837"/>
        <v/>
      </c>
      <c r="U1463" s="702"/>
      <c r="V1463" s="132"/>
      <c r="W1463" s="133"/>
      <c r="X1463" s="134"/>
      <c r="Y1463" s="135"/>
      <c r="Z1463" s="137"/>
      <c r="AA1463" s="136"/>
      <c r="AB1463" s="566" t="str">
        <f t="shared" si="838"/>
        <v/>
      </c>
      <c r="AC1463" s="568" t="str">
        <f t="shared" si="839"/>
        <v/>
      </c>
      <c r="AD1463" s="137"/>
      <c r="AE1463" s="137"/>
      <c r="AF1463" s="138"/>
      <c r="AG1463" s="138"/>
      <c r="AH1463" s="592" t="str">
        <f t="shared" si="840"/>
        <v/>
      </c>
      <c r="AI1463" s="592" t="str">
        <f t="shared" si="841"/>
        <v/>
      </c>
      <c r="AJ1463" s="592" t="str">
        <f t="shared" si="842"/>
        <v/>
      </c>
      <c r="AK1463" s="460" t="str">
        <f>IF(AU1463="","",IF(OR(AZ1463=8,AZ1463=9),0,IF(OR(AW1463=3,AW1463=4,AW1463=5,AW1463=6),IF(LEFT(BF1463,1)="1",INDEX(係数_NOX・PM低減,MATCH(AY1463,【参考】排出係数!$AI$801:$AI$804,1),1),VLOOKUP(AU1463,INDEX((係数_バス貨物_ガソリン,係数_バス貨物_CNG,係数_バス貨物_軽油,係数_バス貨物_メタノール,係数_バス貨物_LPG),MATCH(AY1463,【参考】排出係数!$AI$4:$AI$671,1),1,BE1463):INDEX((係数_バス貨物_ガソリン,係数_バス貨物_CNG,係数_バス貨物_軽油,係数_バス貨物_メタノール,係数_バス貨物_LPG),MATCH(AY1463+1,【参考】排出係数!$AI$4:$AI$671,1)-1,5,BE1463),4,FALSE)),IF(AND(BE1463=3,LEFT(BF1463,1)="1"),0.48,VLOOKUP(AU1463,INDEX((係数_乗用_ガソリン,係数_乗用_CNG,係数_乗用_軽油,係数_乗用_メタノール,係数_乗用_LPG),1,1,BE1463):INDEX((係数_乗用_ガソリン,係数_乗用_CNG,係数_乗用_軽油,係数_乗用_メタノール,係数_乗用_LPG),125,5,BE1463),4,FALSE)))))</f>
        <v/>
      </c>
      <c r="AL1463" s="461" t="str">
        <f t="shared" si="843"/>
        <v/>
      </c>
      <c r="AM1463" s="460" t="str">
        <f>IF(AU1463="","",IF(OR(AZ1463=8,AZ1463=9),0,IF(OR(AW1463=3,AW1463=4,AW1463=5,AW1463=6),IF(LEFT(BH1463,1)="1",INDEX(係数_PM低減,MATCH(AY1463,【参考】排出係数!$AI$801:$AI$804,1),MATCH(BI1463,【参考】排出係数!$AL$798:$AO$798,1)),VLOOKUP(AU1463,INDEX((係数_バス貨物_ガソリン,係数_バス貨物_CNG,係数_バス貨物_軽油,係数_バス貨物_メタノール,係数_バス貨物_LPG),MATCH(AY1463,【参考】排出係数!$AI$4:$AI$671,1),1,BE1463):INDEX((係数_バス貨物_ガソリン,係数_バス貨物_CNG,係数_バス貨物_軽油,係数_バス貨物_メタノール,係数_バス貨物_LPG),MATCH(AY1463+1,【参考】排出係数!$AI$4:$AI$671,1)-1,5,BE1463),5,FALSE)),IF(AND(BE1463=3,LEFT(BF1463,1)="1"),0.055,VLOOKUP(AU1463,INDEX((係数_乗用_ガソリン,係数_乗用_CNG,係数_乗用_軽油,係数_乗用_メタノール,係数_乗用_LPG),1,1,BE1463):INDEX((係数_乗用_ガソリン,係数_乗用_CNG,係数_乗用_軽油,係数_乗用_メタノール,係数_乗用_LPG),125,5,BE1463),5,FALSE)))))</f>
        <v/>
      </c>
      <c r="AN1463" s="461" t="str">
        <f t="shared" si="844"/>
        <v/>
      </c>
      <c r="AO1463" s="462" t="str">
        <f t="shared" si="845"/>
        <v/>
      </c>
      <c r="AP1463" s="463" t="str">
        <f t="shared" si="846"/>
        <v/>
      </c>
      <c r="AQ1463" s="464"/>
      <c r="AR1463" s="619"/>
      <c r="AS1463" s="465" t="str">
        <f t="shared" si="816"/>
        <v/>
      </c>
      <c r="AT1463" s="465" t="str">
        <f t="shared" si="817"/>
        <v/>
      </c>
      <c r="AU1463" s="466" t="str">
        <f t="shared" si="818"/>
        <v/>
      </c>
      <c r="AV1463" s="467" t="str">
        <f t="shared" si="819"/>
        <v/>
      </c>
      <c r="AW1463" s="467" t="str">
        <f t="shared" si="820"/>
        <v/>
      </c>
      <c r="AX1463" s="467" t="str">
        <f t="shared" si="821"/>
        <v/>
      </c>
      <c r="AY1463" s="467" t="str">
        <f t="shared" si="822"/>
        <v/>
      </c>
      <c r="AZ1463" s="467" t="str">
        <f t="shared" si="823"/>
        <v/>
      </c>
      <c r="BA1463" s="468" t="str">
        <f>IF(AS1463="","",IF(OR(AU1463="",AU1463="-"),"－",IF(OR(AZ1463=8,AZ1463=9),"",IF(OR(AW1463=3,AW1463=4,AW1463=5,AW1463=6),VLOOKUP(AU1463,INDEX((係数_バス貨物_ガソリン,係数_バス貨物_CNG,係数_バス貨物_軽油,係数_バス貨物_メタノール,係数_バス貨物_LPG),MATCH(AY1463,【参考】排出係数!$AI$4:$AI$671,1),1,BE1463):INDEX((係数_バス貨物_ガソリン,係数_バス貨物_CNG,係数_バス貨物_軽油,係数_バス貨物_メタノール,係数_バス貨物_LPG),MATCH(AY1463+1,【参考】排出係数!$AI$4:$AI$671,1)-1,5,BE1463),2,FALSE),IF(OR(AW1463=1,AW1463=2),VLOOKUP(AU1463,INDEX((係数_乗用_ガソリン,係数_乗用_CNG,係数_乗用_軽油,係数_乗用_メタノール,係数_乗用_LPG),1,1,BE1463):INDEX((係数_乗用_ガソリン,係数_乗用_CNG,係数_乗用_軽油,係数_乗用_メタノール,係数_乗用_LPG),125,5,BE1463),2,FALSE))))))</f>
        <v/>
      </c>
      <c r="BB1463" s="468" t="str">
        <f>IF(T1463="","",IF(OR(AU1463="",AU1463="-"),"－",IF(OR(AZ1463=8,AZ1463=9),"",IF(OR(AW1463=3,AW1463=4,AW1463=5,AW1463=6),VLOOKUP(AU1463,INDEX((係数_バス貨物_ガソリン,係数_バス貨物_CNG,係数_バス貨物_軽油,係数_バス貨物_メタノール,係数_バス貨物_LPG),MATCH(AY1463,【参考】排出係数!$AI$4:$AI$671,1),1,BE1463):INDEX((係数_バス貨物_ガソリン,係数_バス貨物_CNG,係数_バス貨物_軽油,係数_バス貨物_メタノール,係数_バス貨物_LPG),MATCH(AY1463+1,【参考】排出係数!$AI$4:$AI$671,1)-1,5,BE1463),3,FALSE),IF(OR(AW1463=1,AW1463=2),VLOOKUP(AU1463,INDEX((係数_乗用_ガソリン,係数_乗用_CNG,係数_乗用_軽油,係数_乗用_メタノール,係数_乗用_LPG),1,1,BE1463):INDEX((係数_乗用_ガソリン,係数_乗用_CNG,係数_乗用_軽油,係数_乗用_メタノール,係数_乗用_LPG),125,5,BE1463),3,FALSE))))))</f>
        <v/>
      </c>
      <c r="BC1463" s="467" t="str">
        <f t="shared" si="824"/>
        <v/>
      </c>
      <c r="BD1463" s="567" t="str">
        <f t="shared" si="825"/>
        <v/>
      </c>
      <c r="BE1463" s="467" t="str">
        <f t="shared" si="826"/>
        <v/>
      </c>
      <c r="BF1463" s="469" t="str">
        <f t="shared" ca="1" si="827"/>
        <v/>
      </c>
      <c r="BG1463" s="469" t="str">
        <f t="shared" ca="1" si="828"/>
        <v/>
      </c>
      <c r="BH1463" s="467" t="str">
        <f t="shared" si="829"/>
        <v/>
      </c>
      <c r="BI1463" s="467" t="str">
        <f t="shared" ca="1" si="830"/>
        <v/>
      </c>
      <c r="BJ1463" s="469" t="str">
        <f t="shared" si="831"/>
        <v/>
      </c>
      <c r="BK1463" s="470" t="str">
        <f t="shared" si="815"/>
        <v/>
      </c>
      <c r="BL1463" s="775" t="str">
        <f t="shared" si="832"/>
        <v/>
      </c>
      <c r="BM1463" s="775" t="str">
        <f t="shared" si="833"/>
        <v/>
      </c>
    </row>
    <row r="1464" spans="1:65">
      <c r="A1464" s="473">
        <v>1408</v>
      </c>
      <c r="B1464" s="132"/>
      <c r="C1464" s="332"/>
      <c r="D1464" s="333"/>
      <c r="E1464" s="333"/>
      <c r="F1464" s="334"/>
      <c r="G1464" s="337"/>
      <c r="H1464" s="131"/>
      <c r="I1464" s="337"/>
      <c r="J1464" s="131"/>
      <c r="K1464" s="458" t="str">
        <f t="shared" si="834"/>
        <v/>
      </c>
      <c r="L1464" s="458">
        <f t="shared" si="835"/>
        <v>0</v>
      </c>
      <c r="M1464" s="458">
        <f t="shared" si="836"/>
        <v>0</v>
      </c>
      <c r="N1464" s="459" t="str">
        <f t="shared" si="847"/>
        <v/>
      </c>
      <c r="O1464" s="459" t="str">
        <f t="shared" si="848"/>
        <v/>
      </c>
      <c r="P1464" s="459" t="str">
        <f t="shared" si="849"/>
        <v/>
      </c>
      <c r="Q1464" s="459" t="str">
        <f t="shared" si="850"/>
        <v/>
      </c>
      <c r="R1464" s="459" t="str">
        <f t="shared" si="851"/>
        <v/>
      </c>
      <c r="S1464" s="459" t="str">
        <f t="shared" si="852"/>
        <v/>
      </c>
      <c r="T1464" s="566" t="str">
        <f t="shared" si="837"/>
        <v/>
      </c>
      <c r="U1464" s="702"/>
      <c r="V1464" s="132"/>
      <c r="W1464" s="133"/>
      <c r="X1464" s="134"/>
      <c r="Y1464" s="135"/>
      <c r="Z1464" s="137"/>
      <c r="AA1464" s="136"/>
      <c r="AB1464" s="566" t="str">
        <f t="shared" si="838"/>
        <v/>
      </c>
      <c r="AC1464" s="568" t="str">
        <f t="shared" si="839"/>
        <v/>
      </c>
      <c r="AD1464" s="137"/>
      <c r="AE1464" s="137"/>
      <c r="AF1464" s="138"/>
      <c r="AG1464" s="138"/>
      <c r="AH1464" s="592" t="str">
        <f t="shared" si="840"/>
        <v/>
      </c>
      <c r="AI1464" s="592" t="str">
        <f t="shared" si="841"/>
        <v/>
      </c>
      <c r="AJ1464" s="592" t="str">
        <f t="shared" si="842"/>
        <v/>
      </c>
      <c r="AK1464" s="460" t="str">
        <f>IF(AU1464="","",IF(OR(AZ1464=8,AZ1464=9),0,IF(OR(AW1464=3,AW1464=4,AW1464=5,AW1464=6),IF(LEFT(BF1464,1)="1",INDEX(係数_NOX・PM低減,MATCH(AY1464,【参考】排出係数!$AI$801:$AI$804,1),1),VLOOKUP(AU1464,INDEX((係数_バス貨物_ガソリン,係数_バス貨物_CNG,係数_バス貨物_軽油,係数_バス貨物_メタノール,係数_バス貨物_LPG),MATCH(AY1464,【参考】排出係数!$AI$4:$AI$671,1),1,BE1464):INDEX((係数_バス貨物_ガソリン,係数_バス貨物_CNG,係数_バス貨物_軽油,係数_バス貨物_メタノール,係数_バス貨物_LPG),MATCH(AY1464+1,【参考】排出係数!$AI$4:$AI$671,1)-1,5,BE1464),4,FALSE)),IF(AND(BE1464=3,LEFT(BF1464,1)="1"),0.48,VLOOKUP(AU1464,INDEX((係数_乗用_ガソリン,係数_乗用_CNG,係数_乗用_軽油,係数_乗用_メタノール,係数_乗用_LPG),1,1,BE1464):INDEX((係数_乗用_ガソリン,係数_乗用_CNG,係数_乗用_軽油,係数_乗用_メタノール,係数_乗用_LPG),125,5,BE1464),4,FALSE)))))</f>
        <v/>
      </c>
      <c r="AL1464" s="461" t="str">
        <f t="shared" si="843"/>
        <v/>
      </c>
      <c r="AM1464" s="460" t="str">
        <f>IF(AU1464="","",IF(OR(AZ1464=8,AZ1464=9),0,IF(OR(AW1464=3,AW1464=4,AW1464=5,AW1464=6),IF(LEFT(BH1464,1)="1",INDEX(係数_PM低減,MATCH(AY1464,【参考】排出係数!$AI$801:$AI$804,1),MATCH(BI1464,【参考】排出係数!$AL$798:$AO$798,1)),VLOOKUP(AU1464,INDEX((係数_バス貨物_ガソリン,係数_バス貨物_CNG,係数_バス貨物_軽油,係数_バス貨物_メタノール,係数_バス貨物_LPG),MATCH(AY1464,【参考】排出係数!$AI$4:$AI$671,1),1,BE1464):INDEX((係数_バス貨物_ガソリン,係数_バス貨物_CNG,係数_バス貨物_軽油,係数_バス貨物_メタノール,係数_バス貨物_LPG),MATCH(AY1464+1,【参考】排出係数!$AI$4:$AI$671,1)-1,5,BE1464),5,FALSE)),IF(AND(BE1464=3,LEFT(BF1464,1)="1"),0.055,VLOOKUP(AU1464,INDEX((係数_乗用_ガソリン,係数_乗用_CNG,係数_乗用_軽油,係数_乗用_メタノール,係数_乗用_LPG),1,1,BE1464):INDEX((係数_乗用_ガソリン,係数_乗用_CNG,係数_乗用_軽油,係数_乗用_メタノール,係数_乗用_LPG),125,5,BE1464),5,FALSE)))))</f>
        <v/>
      </c>
      <c r="AN1464" s="461" t="str">
        <f t="shared" si="844"/>
        <v/>
      </c>
      <c r="AO1464" s="462" t="str">
        <f t="shared" si="845"/>
        <v/>
      </c>
      <c r="AP1464" s="463" t="str">
        <f t="shared" si="846"/>
        <v/>
      </c>
      <c r="AQ1464" s="464"/>
      <c r="AR1464" s="619"/>
      <c r="AS1464" s="465" t="str">
        <f t="shared" si="816"/>
        <v/>
      </c>
      <c r="AT1464" s="465" t="str">
        <f t="shared" si="817"/>
        <v/>
      </c>
      <c r="AU1464" s="466" t="str">
        <f t="shared" si="818"/>
        <v/>
      </c>
      <c r="AV1464" s="467" t="str">
        <f t="shared" si="819"/>
        <v/>
      </c>
      <c r="AW1464" s="467" t="str">
        <f t="shared" si="820"/>
        <v/>
      </c>
      <c r="AX1464" s="467" t="str">
        <f t="shared" si="821"/>
        <v/>
      </c>
      <c r="AY1464" s="467" t="str">
        <f t="shared" si="822"/>
        <v/>
      </c>
      <c r="AZ1464" s="467" t="str">
        <f t="shared" si="823"/>
        <v/>
      </c>
      <c r="BA1464" s="468" t="str">
        <f>IF(AS1464="","",IF(OR(AU1464="",AU1464="-"),"－",IF(OR(AZ1464=8,AZ1464=9),"",IF(OR(AW1464=3,AW1464=4,AW1464=5,AW1464=6),VLOOKUP(AU1464,INDEX((係数_バス貨物_ガソリン,係数_バス貨物_CNG,係数_バス貨物_軽油,係数_バス貨物_メタノール,係数_バス貨物_LPG),MATCH(AY1464,【参考】排出係数!$AI$4:$AI$671,1),1,BE1464):INDEX((係数_バス貨物_ガソリン,係数_バス貨物_CNG,係数_バス貨物_軽油,係数_バス貨物_メタノール,係数_バス貨物_LPG),MATCH(AY1464+1,【参考】排出係数!$AI$4:$AI$671,1)-1,5,BE1464),2,FALSE),IF(OR(AW1464=1,AW1464=2),VLOOKUP(AU1464,INDEX((係数_乗用_ガソリン,係数_乗用_CNG,係数_乗用_軽油,係数_乗用_メタノール,係数_乗用_LPG),1,1,BE1464):INDEX((係数_乗用_ガソリン,係数_乗用_CNG,係数_乗用_軽油,係数_乗用_メタノール,係数_乗用_LPG),125,5,BE1464),2,FALSE))))))</f>
        <v/>
      </c>
      <c r="BB1464" s="468" t="str">
        <f>IF(T1464="","",IF(OR(AU1464="",AU1464="-"),"－",IF(OR(AZ1464=8,AZ1464=9),"",IF(OR(AW1464=3,AW1464=4,AW1464=5,AW1464=6),VLOOKUP(AU1464,INDEX((係数_バス貨物_ガソリン,係数_バス貨物_CNG,係数_バス貨物_軽油,係数_バス貨物_メタノール,係数_バス貨物_LPG),MATCH(AY1464,【参考】排出係数!$AI$4:$AI$671,1),1,BE1464):INDEX((係数_バス貨物_ガソリン,係数_バス貨物_CNG,係数_バス貨物_軽油,係数_バス貨物_メタノール,係数_バス貨物_LPG),MATCH(AY1464+1,【参考】排出係数!$AI$4:$AI$671,1)-1,5,BE1464),3,FALSE),IF(OR(AW1464=1,AW1464=2),VLOOKUP(AU1464,INDEX((係数_乗用_ガソリン,係数_乗用_CNG,係数_乗用_軽油,係数_乗用_メタノール,係数_乗用_LPG),1,1,BE1464):INDEX((係数_乗用_ガソリン,係数_乗用_CNG,係数_乗用_軽油,係数_乗用_メタノール,係数_乗用_LPG),125,5,BE1464),3,FALSE))))))</f>
        <v/>
      </c>
      <c r="BC1464" s="467" t="str">
        <f t="shared" si="824"/>
        <v/>
      </c>
      <c r="BD1464" s="567" t="str">
        <f t="shared" si="825"/>
        <v/>
      </c>
      <c r="BE1464" s="467" t="str">
        <f t="shared" si="826"/>
        <v/>
      </c>
      <c r="BF1464" s="469" t="str">
        <f t="shared" ca="1" si="827"/>
        <v/>
      </c>
      <c r="BG1464" s="469" t="str">
        <f t="shared" ca="1" si="828"/>
        <v/>
      </c>
      <c r="BH1464" s="467" t="str">
        <f t="shared" si="829"/>
        <v/>
      </c>
      <c r="BI1464" s="467" t="str">
        <f t="shared" ca="1" si="830"/>
        <v/>
      </c>
      <c r="BJ1464" s="469" t="str">
        <f t="shared" si="831"/>
        <v/>
      </c>
      <c r="BK1464" s="470" t="str">
        <f t="shared" si="815"/>
        <v/>
      </c>
      <c r="BL1464" s="775" t="str">
        <f t="shared" si="832"/>
        <v/>
      </c>
      <c r="BM1464" s="775" t="str">
        <f t="shared" si="833"/>
        <v/>
      </c>
    </row>
    <row r="1465" spans="1:65">
      <c r="A1465" s="473">
        <v>1409</v>
      </c>
      <c r="B1465" s="132"/>
      <c r="C1465" s="332"/>
      <c r="D1465" s="333"/>
      <c r="E1465" s="333"/>
      <c r="F1465" s="334"/>
      <c r="G1465" s="337"/>
      <c r="H1465" s="131"/>
      <c r="I1465" s="337"/>
      <c r="J1465" s="131"/>
      <c r="K1465" s="458" t="str">
        <f t="shared" si="834"/>
        <v/>
      </c>
      <c r="L1465" s="458">
        <f t="shared" si="835"/>
        <v>0</v>
      </c>
      <c r="M1465" s="458">
        <f t="shared" si="836"/>
        <v>0</v>
      </c>
      <c r="N1465" s="459" t="str">
        <f t="shared" si="847"/>
        <v/>
      </c>
      <c r="O1465" s="459" t="str">
        <f t="shared" si="848"/>
        <v/>
      </c>
      <c r="P1465" s="459" t="str">
        <f t="shared" si="849"/>
        <v/>
      </c>
      <c r="Q1465" s="459" t="str">
        <f t="shared" si="850"/>
        <v/>
      </c>
      <c r="R1465" s="459" t="str">
        <f t="shared" si="851"/>
        <v/>
      </c>
      <c r="S1465" s="459" t="str">
        <f t="shared" si="852"/>
        <v/>
      </c>
      <c r="T1465" s="566" t="str">
        <f t="shared" si="837"/>
        <v/>
      </c>
      <c r="U1465" s="702"/>
      <c r="V1465" s="132"/>
      <c r="W1465" s="133"/>
      <c r="X1465" s="134"/>
      <c r="Y1465" s="135"/>
      <c r="Z1465" s="137"/>
      <c r="AA1465" s="136"/>
      <c r="AB1465" s="566" t="str">
        <f t="shared" si="838"/>
        <v/>
      </c>
      <c r="AC1465" s="568" t="str">
        <f t="shared" si="839"/>
        <v/>
      </c>
      <c r="AD1465" s="137"/>
      <c r="AE1465" s="137"/>
      <c r="AF1465" s="138"/>
      <c r="AG1465" s="138"/>
      <c r="AH1465" s="592" t="str">
        <f t="shared" si="840"/>
        <v/>
      </c>
      <c r="AI1465" s="592" t="str">
        <f t="shared" si="841"/>
        <v/>
      </c>
      <c r="AJ1465" s="592" t="str">
        <f t="shared" si="842"/>
        <v/>
      </c>
      <c r="AK1465" s="460" t="str">
        <f>IF(AU1465="","",IF(OR(AZ1465=8,AZ1465=9),0,IF(OR(AW1465=3,AW1465=4,AW1465=5,AW1465=6),IF(LEFT(BF1465,1)="1",INDEX(係数_NOX・PM低減,MATCH(AY1465,【参考】排出係数!$AI$801:$AI$804,1),1),VLOOKUP(AU1465,INDEX((係数_バス貨物_ガソリン,係数_バス貨物_CNG,係数_バス貨物_軽油,係数_バス貨物_メタノール,係数_バス貨物_LPG),MATCH(AY1465,【参考】排出係数!$AI$4:$AI$671,1),1,BE1465):INDEX((係数_バス貨物_ガソリン,係数_バス貨物_CNG,係数_バス貨物_軽油,係数_バス貨物_メタノール,係数_バス貨物_LPG),MATCH(AY1465+1,【参考】排出係数!$AI$4:$AI$671,1)-1,5,BE1465),4,FALSE)),IF(AND(BE1465=3,LEFT(BF1465,1)="1"),0.48,VLOOKUP(AU1465,INDEX((係数_乗用_ガソリン,係数_乗用_CNG,係数_乗用_軽油,係数_乗用_メタノール,係数_乗用_LPG),1,1,BE1465):INDEX((係数_乗用_ガソリン,係数_乗用_CNG,係数_乗用_軽油,係数_乗用_メタノール,係数_乗用_LPG),125,5,BE1465),4,FALSE)))))</f>
        <v/>
      </c>
      <c r="AL1465" s="461" t="str">
        <f t="shared" si="843"/>
        <v/>
      </c>
      <c r="AM1465" s="460" t="str">
        <f>IF(AU1465="","",IF(OR(AZ1465=8,AZ1465=9),0,IF(OR(AW1465=3,AW1465=4,AW1465=5,AW1465=6),IF(LEFT(BH1465,1)="1",INDEX(係数_PM低減,MATCH(AY1465,【参考】排出係数!$AI$801:$AI$804,1),MATCH(BI1465,【参考】排出係数!$AL$798:$AO$798,1)),VLOOKUP(AU1465,INDEX((係数_バス貨物_ガソリン,係数_バス貨物_CNG,係数_バス貨物_軽油,係数_バス貨物_メタノール,係数_バス貨物_LPG),MATCH(AY1465,【参考】排出係数!$AI$4:$AI$671,1),1,BE1465):INDEX((係数_バス貨物_ガソリン,係数_バス貨物_CNG,係数_バス貨物_軽油,係数_バス貨物_メタノール,係数_バス貨物_LPG),MATCH(AY1465+1,【参考】排出係数!$AI$4:$AI$671,1)-1,5,BE1465),5,FALSE)),IF(AND(BE1465=3,LEFT(BF1465,1)="1"),0.055,VLOOKUP(AU1465,INDEX((係数_乗用_ガソリン,係数_乗用_CNG,係数_乗用_軽油,係数_乗用_メタノール,係数_乗用_LPG),1,1,BE1465):INDEX((係数_乗用_ガソリン,係数_乗用_CNG,係数_乗用_軽油,係数_乗用_メタノール,係数_乗用_LPG),125,5,BE1465),5,FALSE)))))</f>
        <v/>
      </c>
      <c r="AN1465" s="461" t="str">
        <f t="shared" si="844"/>
        <v/>
      </c>
      <c r="AO1465" s="462" t="str">
        <f t="shared" si="845"/>
        <v/>
      </c>
      <c r="AP1465" s="463" t="str">
        <f t="shared" si="846"/>
        <v/>
      </c>
      <c r="AQ1465" s="464"/>
      <c r="AR1465" s="619"/>
      <c r="AS1465" s="465" t="str">
        <f t="shared" si="816"/>
        <v/>
      </c>
      <c r="AT1465" s="465" t="str">
        <f t="shared" si="817"/>
        <v/>
      </c>
      <c r="AU1465" s="466" t="str">
        <f t="shared" si="818"/>
        <v/>
      </c>
      <c r="AV1465" s="467" t="str">
        <f t="shared" si="819"/>
        <v/>
      </c>
      <c r="AW1465" s="467" t="str">
        <f t="shared" si="820"/>
        <v/>
      </c>
      <c r="AX1465" s="467" t="str">
        <f t="shared" si="821"/>
        <v/>
      </c>
      <c r="AY1465" s="467" t="str">
        <f t="shared" si="822"/>
        <v/>
      </c>
      <c r="AZ1465" s="467" t="str">
        <f t="shared" si="823"/>
        <v/>
      </c>
      <c r="BA1465" s="468" t="str">
        <f>IF(AS1465="","",IF(OR(AU1465="",AU1465="-"),"－",IF(OR(AZ1465=8,AZ1465=9),"",IF(OR(AW1465=3,AW1465=4,AW1465=5,AW1465=6),VLOOKUP(AU1465,INDEX((係数_バス貨物_ガソリン,係数_バス貨物_CNG,係数_バス貨物_軽油,係数_バス貨物_メタノール,係数_バス貨物_LPG),MATCH(AY1465,【参考】排出係数!$AI$4:$AI$671,1),1,BE1465):INDEX((係数_バス貨物_ガソリン,係数_バス貨物_CNG,係数_バス貨物_軽油,係数_バス貨物_メタノール,係数_バス貨物_LPG),MATCH(AY1465+1,【参考】排出係数!$AI$4:$AI$671,1)-1,5,BE1465),2,FALSE),IF(OR(AW1465=1,AW1465=2),VLOOKUP(AU1465,INDEX((係数_乗用_ガソリン,係数_乗用_CNG,係数_乗用_軽油,係数_乗用_メタノール,係数_乗用_LPG),1,1,BE1465):INDEX((係数_乗用_ガソリン,係数_乗用_CNG,係数_乗用_軽油,係数_乗用_メタノール,係数_乗用_LPG),125,5,BE1465),2,FALSE))))))</f>
        <v/>
      </c>
      <c r="BB1465" s="468" t="str">
        <f>IF(T1465="","",IF(OR(AU1465="",AU1465="-"),"－",IF(OR(AZ1465=8,AZ1465=9),"",IF(OR(AW1465=3,AW1465=4,AW1465=5,AW1465=6),VLOOKUP(AU1465,INDEX((係数_バス貨物_ガソリン,係数_バス貨物_CNG,係数_バス貨物_軽油,係数_バス貨物_メタノール,係数_バス貨物_LPG),MATCH(AY1465,【参考】排出係数!$AI$4:$AI$671,1),1,BE1465):INDEX((係数_バス貨物_ガソリン,係数_バス貨物_CNG,係数_バス貨物_軽油,係数_バス貨物_メタノール,係数_バス貨物_LPG),MATCH(AY1465+1,【参考】排出係数!$AI$4:$AI$671,1)-1,5,BE1465),3,FALSE),IF(OR(AW1465=1,AW1465=2),VLOOKUP(AU1465,INDEX((係数_乗用_ガソリン,係数_乗用_CNG,係数_乗用_軽油,係数_乗用_メタノール,係数_乗用_LPG),1,1,BE1465):INDEX((係数_乗用_ガソリン,係数_乗用_CNG,係数_乗用_軽油,係数_乗用_メタノール,係数_乗用_LPG),125,5,BE1465),3,FALSE))))))</f>
        <v/>
      </c>
      <c r="BC1465" s="467" t="str">
        <f t="shared" si="824"/>
        <v/>
      </c>
      <c r="BD1465" s="567" t="str">
        <f t="shared" si="825"/>
        <v/>
      </c>
      <c r="BE1465" s="467" t="str">
        <f t="shared" si="826"/>
        <v/>
      </c>
      <c r="BF1465" s="469" t="str">
        <f t="shared" ca="1" si="827"/>
        <v/>
      </c>
      <c r="BG1465" s="469" t="str">
        <f t="shared" ca="1" si="828"/>
        <v/>
      </c>
      <c r="BH1465" s="467" t="str">
        <f t="shared" si="829"/>
        <v/>
      </c>
      <c r="BI1465" s="467" t="str">
        <f t="shared" ca="1" si="830"/>
        <v/>
      </c>
      <c r="BJ1465" s="469" t="str">
        <f t="shared" si="831"/>
        <v/>
      </c>
      <c r="BK1465" s="470" t="str">
        <f t="shared" ref="BK1465:BK1528" si="853">IF(AS1465="","",VLOOKUP(T1465,車両の増減,2,FALSE))</f>
        <v/>
      </c>
      <c r="BL1465" s="775" t="str">
        <f t="shared" si="832"/>
        <v/>
      </c>
      <c r="BM1465" s="775" t="str">
        <f t="shared" si="833"/>
        <v/>
      </c>
    </row>
    <row r="1466" spans="1:65">
      <c r="A1466" s="473">
        <v>1410</v>
      </c>
      <c r="B1466" s="132"/>
      <c r="C1466" s="332"/>
      <c r="D1466" s="333"/>
      <c r="E1466" s="333"/>
      <c r="F1466" s="334"/>
      <c r="G1466" s="337"/>
      <c r="H1466" s="131"/>
      <c r="I1466" s="337"/>
      <c r="J1466" s="131"/>
      <c r="K1466" s="458" t="str">
        <f t="shared" si="834"/>
        <v/>
      </c>
      <c r="L1466" s="458">
        <f t="shared" si="835"/>
        <v>0</v>
      </c>
      <c r="M1466" s="458">
        <f t="shared" si="836"/>
        <v>0</v>
      </c>
      <c r="N1466" s="459" t="str">
        <f t="shared" si="847"/>
        <v/>
      </c>
      <c r="O1466" s="459" t="str">
        <f t="shared" si="848"/>
        <v/>
      </c>
      <c r="P1466" s="459" t="str">
        <f t="shared" si="849"/>
        <v/>
      </c>
      <c r="Q1466" s="459" t="str">
        <f t="shared" si="850"/>
        <v/>
      </c>
      <c r="R1466" s="459" t="str">
        <f t="shared" si="851"/>
        <v/>
      </c>
      <c r="S1466" s="459" t="str">
        <f t="shared" si="852"/>
        <v/>
      </c>
      <c r="T1466" s="566" t="str">
        <f t="shared" si="837"/>
        <v/>
      </c>
      <c r="U1466" s="702"/>
      <c r="V1466" s="132"/>
      <c r="W1466" s="133"/>
      <c r="X1466" s="134"/>
      <c r="Y1466" s="135"/>
      <c r="Z1466" s="137"/>
      <c r="AA1466" s="136"/>
      <c r="AB1466" s="566" t="str">
        <f t="shared" si="838"/>
        <v/>
      </c>
      <c r="AC1466" s="568" t="str">
        <f t="shared" si="839"/>
        <v/>
      </c>
      <c r="AD1466" s="137"/>
      <c r="AE1466" s="137"/>
      <c r="AF1466" s="138"/>
      <c r="AG1466" s="138"/>
      <c r="AH1466" s="592" t="str">
        <f t="shared" si="840"/>
        <v/>
      </c>
      <c r="AI1466" s="592" t="str">
        <f t="shared" si="841"/>
        <v/>
      </c>
      <c r="AJ1466" s="592" t="str">
        <f t="shared" si="842"/>
        <v/>
      </c>
      <c r="AK1466" s="460" t="str">
        <f>IF(AU1466="","",IF(OR(AZ1466=8,AZ1466=9),0,IF(OR(AW1466=3,AW1466=4,AW1466=5,AW1466=6),IF(LEFT(BF1466,1)="1",INDEX(係数_NOX・PM低減,MATCH(AY1466,【参考】排出係数!$AI$801:$AI$804,1),1),VLOOKUP(AU1466,INDEX((係数_バス貨物_ガソリン,係数_バス貨物_CNG,係数_バス貨物_軽油,係数_バス貨物_メタノール,係数_バス貨物_LPG),MATCH(AY1466,【参考】排出係数!$AI$4:$AI$671,1),1,BE1466):INDEX((係数_バス貨物_ガソリン,係数_バス貨物_CNG,係数_バス貨物_軽油,係数_バス貨物_メタノール,係数_バス貨物_LPG),MATCH(AY1466+1,【参考】排出係数!$AI$4:$AI$671,1)-1,5,BE1466),4,FALSE)),IF(AND(BE1466=3,LEFT(BF1466,1)="1"),0.48,VLOOKUP(AU1466,INDEX((係数_乗用_ガソリン,係数_乗用_CNG,係数_乗用_軽油,係数_乗用_メタノール,係数_乗用_LPG),1,1,BE1466):INDEX((係数_乗用_ガソリン,係数_乗用_CNG,係数_乗用_軽油,係数_乗用_メタノール,係数_乗用_LPG),125,5,BE1466),4,FALSE)))))</f>
        <v/>
      </c>
      <c r="AL1466" s="461" t="str">
        <f t="shared" si="843"/>
        <v/>
      </c>
      <c r="AM1466" s="460" t="str">
        <f>IF(AU1466="","",IF(OR(AZ1466=8,AZ1466=9),0,IF(OR(AW1466=3,AW1466=4,AW1466=5,AW1466=6),IF(LEFT(BH1466,1)="1",INDEX(係数_PM低減,MATCH(AY1466,【参考】排出係数!$AI$801:$AI$804,1),MATCH(BI1466,【参考】排出係数!$AL$798:$AO$798,1)),VLOOKUP(AU1466,INDEX((係数_バス貨物_ガソリン,係数_バス貨物_CNG,係数_バス貨物_軽油,係数_バス貨物_メタノール,係数_バス貨物_LPG),MATCH(AY1466,【参考】排出係数!$AI$4:$AI$671,1),1,BE1466):INDEX((係数_バス貨物_ガソリン,係数_バス貨物_CNG,係数_バス貨物_軽油,係数_バス貨物_メタノール,係数_バス貨物_LPG),MATCH(AY1466+1,【参考】排出係数!$AI$4:$AI$671,1)-1,5,BE1466),5,FALSE)),IF(AND(BE1466=3,LEFT(BF1466,1)="1"),0.055,VLOOKUP(AU1466,INDEX((係数_乗用_ガソリン,係数_乗用_CNG,係数_乗用_軽油,係数_乗用_メタノール,係数_乗用_LPG),1,1,BE1466):INDEX((係数_乗用_ガソリン,係数_乗用_CNG,係数_乗用_軽油,係数_乗用_メタノール,係数_乗用_LPG),125,5,BE1466),5,FALSE)))))</f>
        <v/>
      </c>
      <c r="AN1466" s="461" t="str">
        <f t="shared" si="844"/>
        <v/>
      </c>
      <c r="AO1466" s="462" t="str">
        <f t="shared" si="845"/>
        <v/>
      </c>
      <c r="AP1466" s="463" t="str">
        <f t="shared" si="846"/>
        <v/>
      </c>
      <c r="AQ1466" s="464"/>
      <c r="AR1466" s="619"/>
      <c r="AS1466" s="465" t="str">
        <f t="shared" ref="AS1466:AS1529" si="854">IF(OR(T1466="(減車済)",T1466=""),"",1)</f>
        <v/>
      </c>
      <c r="AT1466" s="465" t="str">
        <f t="shared" ref="AT1466:AT1529" si="855">IF(OR(T1466="継続",T1466="新規"),1,"")</f>
        <v/>
      </c>
      <c r="AU1466" s="466" t="str">
        <f t="shared" ref="AU1466:AU1529" si="856">IF(AS1466="","",UPPER(ASC(X1466)))</f>
        <v/>
      </c>
      <c r="AV1466" s="467" t="str">
        <f t="shared" ref="AV1466:AV1529" si="857">IF(AS1466="","",IF(V1466="","",IF(V1466="普通",1,IF(V1466="小型",2,0))))</f>
        <v/>
      </c>
      <c r="AW1466" s="467" t="str">
        <f t="shared" ref="AW1466:AW1529" si="858">IF(AS1466="","",IF(W1466="","",VLOOKUP(W1466,用途,2,FALSE)))</f>
        <v/>
      </c>
      <c r="AX1466" s="467" t="str">
        <f t="shared" ref="AX1466:AX1529" si="859">IF(AS1466="","",IF(Y1466="","",IF(Y1466&lt;=10,1,IF(Y1466&lt;30,2,IF(Y1466&gt;=30,3,0)))))</f>
        <v/>
      </c>
      <c r="AY1466" s="467" t="str">
        <f t="shared" ref="AY1466:AY1529" si="860">IF(AS1466="","",IF(Z1466="","",IF(Z1466&lt;=1.7*1000,1,IF(Z1466&lt;=2.5*1000,2,IF(Z1466&lt;=3.5*1000,3,IF(Z1466&lt;8*1000,4,IF(Z1466&gt;=8*1000,5,"")))))))</f>
        <v/>
      </c>
      <c r="AZ1466" s="467" t="str">
        <f t="shared" ref="AZ1466:AZ1529" si="861">IF(AS1466="","",IF(AA1466="","",VLOOKUP(AA1466,燃料の種類,2,FALSE)))</f>
        <v/>
      </c>
      <c r="BA1466" s="468" t="str">
        <f>IF(AS1466="","",IF(OR(AU1466="",AU1466="-"),"－",IF(OR(AZ1466=8,AZ1466=9),"",IF(OR(AW1466=3,AW1466=4,AW1466=5,AW1466=6),VLOOKUP(AU1466,INDEX((係数_バス貨物_ガソリン,係数_バス貨物_CNG,係数_バス貨物_軽油,係数_バス貨物_メタノール,係数_バス貨物_LPG),MATCH(AY1466,【参考】排出係数!$AI$4:$AI$671,1),1,BE1466):INDEX((係数_バス貨物_ガソリン,係数_バス貨物_CNG,係数_バス貨物_軽油,係数_バス貨物_メタノール,係数_バス貨物_LPG),MATCH(AY1466+1,【参考】排出係数!$AI$4:$AI$671,1)-1,5,BE1466),2,FALSE),IF(OR(AW1466=1,AW1466=2),VLOOKUP(AU1466,INDEX((係数_乗用_ガソリン,係数_乗用_CNG,係数_乗用_軽油,係数_乗用_メタノール,係数_乗用_LPG),1,1,BE1466):INDEX((係数_乗用_ガソリン,係数_乗用_CNG,係数_乗用_軽油,係数_乗用_メタノール,係数_乗用_LPG),125,5,BE1466),2,FALSE))))))</f>
        <v/>
      </c>
      <c r="BB1466" s="468" t="str">
        <f>IF(T1466="","",IF(OR(AU1466="",AU1466="-"),"－",IF(OR(AZ1466=8,AZ1466=9),"",IF(OR(AW1466=3,AW1466=4,AW1466=5,AW1466=6),VLOOKUP(AU1466,INDEX((係数_バス貨物_ガソリン,係数_バス貨物_CNG,係数_バス貨物_軽油,係数_バス貨物_メタノール,係数_バス貨物_LPG),MATCH(AY1466,【参考】排出係数!$AI$4:$AI$671,1),1,BE1466):INDEX((係数_バス貨物_ガソリン,係数_バス貨物_CNG,係数_バス貨物_軽油,係数_バス貨物_メタノール,係数_バス貨物_LPG),MATCH(AY1466+1,【参考】排出係数!$AI$4:$AI$671,1)-1,5,BE1466),3,FALSE),IF(OR(AW1466=1,AW1466=2),VLOOKUP(AU1466,INDEX((係数_乗用_ガソリン,係数_乗用_CNG,係数_乗用_軽油,係数_乗用_メタノール,係数_乗用_LPG),1,1,BE1466):INDEX((係数_乗用_ガソリン,係数_乗用_CNG,係数_乗用_軽油,係数_乗用_メタノール,係数_乗用_LPG),125,5,BE1466),3,FALSE))))))</f>
        <v/>
      </c>
      <c r="BC1466" s="467" t="str">
        <f t="shared" ref="BC1466:BC1529" si="862">IF((AS1466="")+(AC1466=""),"",IF(燃料区分1=4,VLOOKUP(BB1466,排ガス低減レベル,2,FALSE),VLOOKUP(AC1466,排ガス低減レベル,2,FALSE)))</f>
        <v/>
      </c>
      <c r="BD1466" s="567" t="str">
        <f t="shared" ref="BD1466:BD1529" si="863">IF(AT1466="","",IF(AW1466=3,B1466&amp;"-"&amp;SUM(AW1466*100,AX1466*10,AY1466)&amp;"A",IF(OR(AW1466=2,AW1466=4,AW1466=6),B1466&amp;"-"&amp;AY1466*10&amp;"A",IF(AW1466=1,B1466&amp;"-"&amp;AW1466&amp;"A",IF(AW1466=5,B1466&amp;"-"&amp;SUM(AW1466*100,AV1466*10,AY1466)&amp;"A","")))))</f>
        <v/>
      </c>
      <c r="BE1466" s="467" t="str">
        <f t="shared" ref="BE1466:BE1529" si="864">IF(OR(AZ1466=1,AZ1466=2,AZ1466=11),1,IF(AZ1466=6,2,IF(OR(AZ1466=4,AZ1466=5,AZ1466=10),3,IF(AZ1466=7,4,IF(AZ1466=3,5, IF(OR(AZ1466=8,AZ1466=9),6,""))))))</f>
        <v/>
      </c>
      <c r="BF1466" s="469" t="str">
        <f t="shared" ref="BF1466:BF1529" ca="1" si="865">(IF(OR(AZ1466=4,AZ1466=5),OFFSET($CH$1,MATCH($AF1466,$CG$2:$CG$4,0),0)&amp;BK1466,""))</f>
        <v/>
      </c>
      <c r="BG1466" s="469" t="str">
        <f t="shared" ref="BG1466:BG1529" ca="1" si="866">(IF(OR(AZ1466=4,AZ1466=5),OFFSET($CJ$1,MATCH($AG1466,$CI$2:$CI$5,0),0)&amp;BK1466,""))</f>
        <v/>
      </c>
      <c r="BH1466" s="467" t="str">
        <f t="shared" ref="BH1466:BH1529" si="867">IF(OR(AZ1466=4,AZ1466=5),IF(OR(LEFT(BF1466,1)="1",LEFT(BG1466,1)="2",LEFT(BG1466,1)="3"),1,2)&amp;BK1466,"")</f>
        <v/>
      </c>
      <c r="BI1466" s="467" t="str">
        <f t="shared" ref="BI1466:BI1529" ca="1" si="868">IF(LEFT(BF1466)="1",1,IF(LEFT(BG1466,1)="2",2,IF(LEFT(BG1466,1)="3",3,"")))</f>
        <v/>
      </c>
      <c r="BJ1466" s="469" t="str">
        <f t="shared" ref="BJ1466:BJ1529" si="869">IF(AT1466="","",B1466&amp;"-"&amp;AZ1466)</f>
        <v/>
      </c>
      <c r="BK1466" s="470" t="str">
        <f t="shared" si="853"/>
        <v/>
      </c>
      <c r="BL1466" s="775" t="str">
        <f t="shared" ref="BL1466:BL1529" si="870">IF(AND(OR($T1466="新規",$T1466="継続"),ISBLANK($AD1466)),1,"")</f>
        <v/>
      </c>
      <c r="BM1466" s="775" t="str">
        <f t="shared" ref="BM1466:BM1529" si="871">IF(AND(OR($T1466="新規",$T1466="継続"),ISBLANK($AE1466)),1,"")</f>
        <v/>
      </c>
    </row>
    <row r="1467" spans="1:65">
      <c r="A1467" s="473">
        <v>1411</v>
      </c>
      <c r="B1467" s="132"/>
      <c r="C1467" s="332"/>
      <c r="D1467" s="333"/>
      <c r="E1467" s="333"/>
      <c r="F1467" s="334"/>
      <c r="G1467" s="337"/>
      <c r="H1467" s="131"/>
      <c r="I1467" s="337"/>
      <c r="J1467" s="131"/>
      <c r="K1467" s="458" t="str">
        <f t="shared" si="834"/>
        <v/>
      </c>
      <c r="L1467" s="458">
        <f t="shared" si="835"/>
        <v>0</v>
      </c>
      <c r="M1467" s="458">
        <f t="shared" si="836"/>
        <v>0</v>
      </c>
      <c r="N1467" s="459" t="str">
        <f t="shared" si="847"/>
        <v/>
      </c>
      <c r="O1467" s="459" t="str">
        <f t="shared" si="848"/>
        <v/>
      </c>
      <c r="P1467" s="459" t="str">
        <f t="shared" si="849"/>
        <v/>
      </c>
      <c r="Q1467" s="459" t="str">
        <f t="shared" si="850"/>
        <v/>
      </c>
      <c r="R1467" s="459" t="str">
        <f t="shared" si="851"/>
        <v/>
      </c>
      <c r="S1467" s="459" t="str">
        <f t="shared" si="852"/>
        <v/>
      </c>
      <c r="T1467" s="566" t="str">
        <f t="shared" si="837"/>
        <v/>
      </c>
      <c r="U1467" s="702"/>
      <c r="V1467" s="132"/>
      <c r="W1467" s="133"/>
      <c r="X1467" s="134"/>
      <c r="Y1467" s="135"/>
      <c r="Z1467" s="137"/>
      <c r="AA1467" s="136"/>
      <c r="AB1467" s="566" t="str">
        <f t="shared" si="838"/>
        <v/>
      </c>
      <c r="AC1467" s="568" t="str">
        <f t="shared" si="839"/>
        <v/>
      </c>
      <c r="AD1467" s="137"/>
      <c r="AE1467" s="137"/>
      <c r="AF1467" s="138"/>
      <c r="AG1467" s="138"/>
      <c r="AH1467" s="592" t="str">
        <f t="shared" si="840"/>
        <v/>
      </c>
      <c r="AI1467" s="592" t="str">
        <f t="shared" si="841"/>
        <v/>
      </c>
      <c r="AJ1467" s="592" t="str">
        <f t="shared" si="842"/>
        <v/>
      </c>
      <c r="AK1467" s="460" t="str">
        <f>IF(AU1467="","",IF(OR(AZ1467=8,AZ1467=9),0,IF(OR(AW1467=3,AW1467=4,AW1467=5,AW1467=6),IF(LEFT(BF1467,1)="1",INDEX(係数_NOX・PM低減,MATCH(AY1467,【参考】排出係数!$AI$801:$AI$804,1),1),VLOOKUP(AU1467,INDEX((係数_バス貨物_ガソリン,係数_バス貨物_CNG,係数_バス貨物_軽油,係数_バス貨物_メタノール,係数_バス貨物_LPG),MATCH(AY1467,【参考】排出係数!$AI$4:$AI$671,1),1,BE1467):INDEX((係数_バス貨物_ガソリン,係数_バス貨物_CNG,係数_バス貨物_軽油,係数_バス貨物_メタノール,係数_バス貨物_LPG),MATCH(AY1467+1,【参考】排出係数!$AI$4:$AI$671,1)-1,5,BE1467),4,FALSE)),IF(AND(BE1467=3,LEFT(BF1467,1)="1"),0.48,VLOOKUP(AU1467,INDEX((係数_乗用_ガソリン,係数_乗用_CNG,係数_乗用_軽油,係数_乗用_メタノール,係数_乗用_LPG),1,1,BE1467):INDEX((係数_乗用_ガソリン,係数_乗用_CNG,係数_乗用_軽油,係数_乗用_メタノール,係数_乗用_LPG),125,5,BE1467),4,FALSE)))))</f>
        <v/>
      </c>
      <c r="AL1467" s="461" t="str">
        <f t="shared" si="843"/>
        <v/>
      </c>
      <c r="AM1467" s="460" t="str">
        <f>IF(AU1467="","",IF(OR(AZ1467=8,AZ1467=9),0,IF(OR(AW1467=3,AW1467=4,AW1467=5,AW1467=6),IF(LEFT(BH1467,1)="1",INDEX(係数_PM低減,MATCH(AY1467,【参考】排出係数!$AI$801:$AI$804,1),MATCH(BI1467,【参考】排出係数!$AL$798:$AO$798,1)),VLOOKUP(AU1467,INDEX((係数_バス貨物_ガソリン,係数_バス貨物_CNG,係数_バス貨物_軽油,係数_バス貨物_メタノール,係数_バス貨物_LPG),MATCH(AY1467,【参考】排出係数!$AI$4:$AI$671,1),1,BE1467):INDEX((係数_バス貨物_ガソリン,係数_バス貨物_CNG,係数_バス貨物_軽油,係数_バス貨物_メタノール,係数_バス貨物_LPG),MATCH(AY1467+1,【参考】排出係数!$AI$4:$AI$671,1)-1,5,BE1467),5,FALSE)),IF(AND(BE1467=3,LEFT(BF1467,1)="1"),0.055,VLOOKUP(AU1467,INDEX((係数_乗用_ガソリン,係数_乗用_CNG,係数_乗用_軽油,係数_乗用_メタノール,係数_乗用_LPG),1,1,BE1467):INDEX((係数_乗用_ガソリン,係数_乗用_CNG,係数_乗用_軽油,係数_乗用_メタノール,係数_乗用_LPG),125,5,BE1467),5,FALSE)))))</f>
        <v/>
      </c>
      <c r="AN1467" s="461" t="str">
        <f t="shared" si="844"/>
        <v/>
      </c>
      <c r="AO1467" s="462" t="str">
        <f t="shared" si="845"/>
        <v/>
      </c>
      <c r="AP1467" s="463" t="str">
        <f t="shared" si="846"/>
        <v/>
      </c>
      <c r="AQ1467" s="464"/>
      <c r="AR1467" s="619"/>
      <c r="AS1467" s="465" t="str">
        <f t="shared" si="854"/>
        <v/>
      </c>
      <c r="AT1467" s="465" t="str">
        <f t="shared" si="855"/>
        <v/>
      </c>
      <c r="AU1467" s="466" t="str">
        <f t="shared" si="856"/>
        <v/>
      </c>
      <c r="AV1467" s="467" t="str">
        <f t="shared" si="857"/>
        <v/>
      </c>
      <c r="AW1467" s="467" t="str">
        <f t="shared" si="858"/>
        <v/>
      </c>
      <c r="AX1467" s="467" t="str">
        <f t="shared" si="859"/>
        <v/>
      </c>
      <c r="AY1467" s="467" t="str">
        <f t="shared" si="860"/>
        <v/>
      </c>
      <c r="AZ1467" s="467" t="str">
        <f t="shared" si="861"/>
        <v/>
      </c>
      <c r="BA1467" s="468" t="str">
        <f>IF(AS1467="","",IF(OR(AU1467="",AU1467="-"),"－",IF(OR(AZ1467=8,AZ1467=9),"",IF(OR(AW1467=3,AW1467=4,AW1467=5,AW1467=6),VLOOKUP(AU1467,INDEX((係数_バス貨物_ガソリン,係数_バス貨物_CNG,係数_バス貨物_軽油,係数_バス貨物_メタノール,係数_バス貨物_LPG),MATCH(AY1467,【参考】排出係数!$AI$4:$AI$671,1),1,BE1467):INDEX((係数_バス貨物_ガソリン,係数_バス貨物_CNG,係数_バス貨物_軽油,係数_バス貨物_メタノール,係数_バス貨物_LPG),MATCH(AY1467+1,【参考】排出係数!$AI$4:$AI$671,1)-1,5,BE1467),2,FALSE),IF(OR(AW1467=1,AW1467=2),VLOOKUP(AU1467,INDEX((係数_乗用_ガソリン,係数_乗用_CNG,係数_乗用_軽油,係数_乗用_メタノール,係数_乗用_LPG),1,1,BE1467):INDEX((係数_乗用_ガソリン,係数_乗用_CNG,係数_乗用_軽油,係数_乗用_メタノール,係数_乗用_LPG),125,5,BE1467),2,FALSE))))))</f>
        <v/>
      </c>
      <c r="BB1467" s="468" t="str">
        <f>IF(T1467="","",IF(OR(AU1467="",AU1467="-"),"－",IF(OR(AZ1467=8,AZ1467=9),"",IF(OR(AW1467=3,AW1467=4,AW1467=5,AW1467=6),VLOOKUP(AU1467,INDEX((係数_バス貨物_ガソリン,係数_バス貨物_CNG,係数_バス貨物_軽油,係数_バス貨物_メタノール,係数_バス貨物_LPG),MATCH(AY1467,【参考】排出係数!$AI$4:$AI$671,1),1,BE1467):INDEX((係数_バス貨物_ガソリン,係数_バス貨物_CNG,係数_バス貨物_軽油,係数_バス貨物_メタノール,係数_バス貨物_LPG),MATCH(AY1467+1,【参考】排出係数!$AI$4:$AI$671,1)-1,5,BE1467),3,FALSE),IF(OR(AW1467=1,AW1467=2),VLOOKUP(AU1467,INDEX((係数_乗用_ガソリン,係数_乗用_CNG,係数_乗用_軽油,係数_乗用_メタノール,係数_乗用_LPG),1,1,BE1467):INDEX((係数_乗用_ガソリン,係数_乗用_CNG,係数_乗用_軽油,係数_乗用_メタノール,係数_乗用_LPG),125,5,BE1467),3,FALSE))))))</f>
        <v/>
      </c>
      <c r="BC1467" s="467" t="str">
        <f t="shared" si="862"/>
        <v/>
      </c>
      <c r="BD1467" s="567" t="str">
        <f t="shared" si="863"/>
        <v/>
      </c>
      <c r="BE1467" s="467" t="str">
        <f t="shared" si="864"/>
        <v/>
      </c>
      <c r="BF1467" s="469" t="str">
        <f t="shared" ca="1" si="865"/>
        <v/>
      </c>
      <c r="BG1467" s="469" t="str">
        <f t="shared" ca="1" si="866"/>
        <v/>
      </c>
      <c r="BH1467" s="467" t="str">
        <f t="shared" si="867"/>
        <v/>
      </c>
      <c r="BI1467" s="467" t="str">
        <f t="shared" ca="1" si="868"/>
        <v/>
      </c>
      <c r="BJ1467" s="469" t="str">
        <f t="shared" si="869"/>
        <v/>
      </c>
      <c r="BK1467" s="470" t="str">
        <f t="shared" si="853"/>
        <v/>
      </c>
      <c r="BL1467" s="775" t="str">
        <f t="shared" si="870"/>
        <v/>
      </c>
      <c r="BM1467" s="775" t="str">
        <f t="shared" si="871"/>
        <v/>
      </c>
    </row>
    <row r="1468" spans="1:65">
      <c r="A1468" s="473">
        <v>1412</v>
      </c>
      <c r="B1468" s="132"/>
      <c r="C1468" s="332"/>
      <c r="D1468" s="333"/>
      <c r="E1468" s="333"/>
      <c r="F1468" s="334"/>
      <c r="G1468" s="337"/>
      <c r="H1468" s="131"/>
      <c r="I1468" s="337"/>
      <c r="J1468" s="131"/>
      <c r="K1468" s="458" t="str">
        <f t="shared" si="834"/>
        <v/>
      </c>
      <c r="L1468" s="458">
        <f t="shared" si="835"/>
        <v>0</v>
      </c>
      <c r="M1468" s="458">
        <f t="shared" si="836"/>
        <v>0</v>
      </c>
      <c r="N1468" s="459" t="str">
        <f t="shared" si="847"/>
        <v/>
      </c>
      <c r="O1468" s="459" t="str">
        <f t="shared" si="848"/>
        <v/>
      </c>
      <c r="P1468" s="459" t="str">
        <f t="shared" si="849"/>
        <v/>
      </c>
      <c r="Q1468" s="459" t="str">
        <f t="shared" si="850"/>
        <v/>
      </c>
      <c r="R1468" s="459" t="str">
        <f t="shared" si="851"/>
        <v/>
      </c>
      <c r="S1468" s="459" t="str">
        <f t="shared" si="852"/>
        <v/>
      </c>
      <c r="T1468" s="566" t="str">
        <f t="shared" si="837"/>
        <v/>
      </c>
      <c r="U1468" s="702"/>
      <c r="V1468" s="132"/>
      <c r="W1468" s="133"/>
      <c r="X1468" s="134"/>
      <c r="Y1468" s="135"/>
      <c r="Z1468" s="137"/>
      <c r="AA1468" s="136"/>
      <c r="AB1468" s="566" t="str">
        <f t="shared" si="838"/>
        <v/>
      </c>
      <c r="AC1468" s="568" t="str">
        <f t="shared" si="839"/>
        <v/>
      </c>
      <c r="AD1468" s="137"/>
      <c r="AE1468" s="137"/>
      <c r="AF1468" s="138"/>
      <c r="AG1468" s="138"/>
      <c r="AH1468" s="592" t="str">
        <f t="shared" si="840"/>
        <v/>
      </c>
      <c r="AI1468" s="592" t="str">
        <f t="shared" si="841"/>
        <v/>
      </c>
      <c r="AJ1468" s="592" t="str">
        <f t="shared" si="842"/>
        <v/>
      </c>
      <c r="AK1468" s="460" t="str">
        <f>IF(AU1468="","",IF(OR(AZ1468=8,AZ1468=9),0,IF(OR(AW1468=3,AW1468=4,AW1468=5,AW1468=6),IF(LEFT(BF1468,1)="1",INDEX(係数_NOX・PM低減,MATCH(AY1468,【参考】排出係数!$AI$801:$AI$804,1),1),VLOOKUP(AU1468,INDEX((係数_バス貨物_ガソリン,係数_バス貨物_CNG,係数_バス貨物_軽油,係数_バス貨物_メタノール,係数_バス貨物_LPG),MATCH(AY1468,【参考】排出係数!$AI$4:$AI$671,1),1,BE1468):INDEX((係数_バス貨物_ガソリン,係数_バス貨物_CNG,係数_バス貨物_軽油,係数_バス貨物_メタノール,係数_バス貨物_LPG),MATCH(AY1468+1,【参考】排出係数!$AI$4:$AI$671,1)-1,5,BE1468),4,FALSE)),IF(AND(BE1468=3,LEFT(BF1468,1)="1"),0.48,VLOOKUP(AU1468,INDEX((係数_乗用_ガソリン,係数_乗用_CNG,係数_乗用_軽油,係数_乗用_メタノール,係数_乗用_LPG),1,1,BE1468):INDEX((係数_乗用_ガソリン,係数_乗用_CNG,係数_乗用_軽油,係数_乗用_メタノール,係数_乗用_LPG),125,5,BE1468),4,FALSE)))))</f>
        <v/>
      </c>
      <c r="AL1468" s="461" t="str">
        <f t="shared" si="843"/>
        <v/>
      </c>
      <c r="AM1468" s="460" t="str">
        <f>IF(AU1468="","",IF(OR(AZ1468=8,AZ1468=9),0,IF(OR(AW1468=3,AW1468=4,AW1468=5,AW1468=6),IF(LEFT(BH1468,1)="1",INDEX(係数_PM低減,MATCH(AY1468,【参考】排出係数!$AI$801:$AI$804,1),MATCH(BI1468,【参考】排出係数!$AL$798:$AO$798,1)),VLOOKUP(AU1468,INDEX((係数_バス貨物_ガソリン,係数_バス貨物_CNG,係数_バス貨物_軽油,係数_バス貨物_メタノール,係数_バス貨物_LPG),MATCH(AY1468,【参考】排出係数!$AI$4:$AI$671,1),1,BE1468):INDEX((係数_バス貨物_ガソリン,係数_バス貨物_CNG,係数_バス貨物_軽油,係数_バス貨物_メタノール,係数_バス貨物_LPG),MATCH(AY1468+1,【参考】排出係数!$AI$4:$AI$671,1)-1,5,BE1468),5,FALSE)),IF(AND(BE1468=3,LEFT(BF1468,1)="1"),0.055,VLOOKUP(AU1468,INDEX((係数_乗用_ガソリン,係数_乗用_CNG,係数_乗用_軽油,係数_乗用_メタノール,係数_乗用_LPG),1,1,BE1468):INDEX((係数_乗用_ガソリン,係数_乗用_CNG,係数_乗用_軽油,係数_乗用_メタノール,係数_乗用_LPG),125,5,BE1468),5,FALSE)))))</f>
        <v/>
      </c>
      <c r="AN1468" s="461" t="str">
        <f t="shared" si="844"/>
        <v/>
      </c>
      <c r="AO1468" s="462" t="str">
        <f t="shared" si="845"/>
        <v/>
      </c>
      <c r="AP1468" s="463" t="str">
        <f t="shared" si="846"/>
        <v/>
      </c>
      <c r="AQ1468" s="464"/>
      <c r="AR1468" s="619"/>
      <c r="AS1468" s="465" t="str">
        <f t="shared" si="854"/>
        <v/>
      </c>
      <c r="AT1468" s="465" t="str">
        <f t="shared" si="855"/>
        <v/>
      </c>
      <c r="AU1468" s="466" t="str">
        <f t="shared" si="856"/>
        <v/>
      </c>
      <c r="AV1468" s="467" t="str">
        <f t="shared" si="857"/>
        <v/>
      </c>
      <c r="AW1468" s="467" t="str">
        <f t="shared" si="858"/>
        <v/>
      </c>
      <c r="AX1468" s="467" t="str">
        <f t="shared" si="859"/>
        <v/>
      </c>
      <c r="AY1468" s="467" t="str">
        <f t="shared" si="860"/>
        <v/>
      </c>
      <c r="AZ1468" s="467" t="str">
        <f t="shared" si="861"/>
        <v/>
      </c>
      <c r="BA1468" s="468" t="str">
        <f>IF(AS1468="","",IF(OR(AU1468="",AU1468="-"),"－",IF(OR(AZ1468=8,AZ1468=9),"",IF(OR(AW1468=3,AW1468=4,AW1468=5,AW1468=6),VLOOKUP(AU1468,INDEX((係数_バス貨物_ガソリン,係数_バス貨物_CNG,係数_バス貨物_軽油,係数_バス貨物_メタノール,係数_バス貨物_LPG),MATCH(AY1468,【参考】排出係数!$AI$4:$AI$671,1),1,BE1468):INDEX((係数_バス貨物_ガソリン,係数_バス貨物_CNG,係数_バス貨物_軽油,係数_バス貨物_メタノール,係数_バス貨物_LPG),MATCH(AY1468+1,【参考】排出係数!$AI$4:$AI$671,1)-1,5,BE1468),2,FALSE),IF(OR(AW1468=1,AW1468=2),VLOOKUP(AU1468,INDEX((係数_乗用_ガソリン,係数_乗用_CNG,係数_乗用_軽油,係数_乗用_メタノール,係数_乗用_LPG),1,1,BE1468):INDEX((係数_乗用_ガソリン,係数_乗用_CNG,係数_乗用_軽油,係数_乗用_メタノール,係数_乗用_LPG),125,5,BE1468),2,FALSE))))))</f>
        <v/>
      </c>
      <c r="BB1468" s="468" t="str">
        <f>IF(T1468="","",IF(OR(AU1468="",AU1468="-"),"－",IF(OR(AZ1468=8,AZ1468=9),"",IF(OR(AW1468=3,AW1468=4,AW1468=5,AW1468=6),VLOOKUP(AU1468,INDEX((係数_バス貨物_ガソリン,係数_バス貨物_CNG,係数_バス貨物_軽油,係数_バス貨物_メタノール,係数_バス貨物_LPG),MATCH(AY1468,【参考】排出係数!$AI$4:$AI$671,1),1,BE1468):INDEX((係数_バス貨物_ガソリン,係数_バス貨物_CNG,係数_バス貨物_軽油,係数_バス貨物_メタノール,係数_バス貨物_LPG),MATCH(AY1468+1,【参考】排出係数!$AI$4:$AI$671,1)-1,5,BE1468),3,FALSE),IF(OR(AW1468=1,AW1468=2),VLOOKUP(AU1468,INDEX((係数_乗用_ガソリン,係数_乗用_CNG,係数_乗用_軽油,係数_乗用_メタノール,係数_乗用_LPG),1,1,BE1468):INDEX((係数_乗用_ガソリン,係数_乗用_CNG,係数_乗用_軽油,係数_乗用_メタノール,係数_乗用_LPG),125,5,BE1468),3,FALSE))))))</f>
        <v/>
      </c>
      <c r="BC1468" s="467" t="str">
        <f t="shared" si="862"/>
        <v/>
      </c>
      <c r="BD1468" s="567" t="str">
        <f t="shared" si="863"/>
        <v/>
      </c>
      <c r="BE1468" s="467" t="str">
        <f t="shared" si="864"/>
        <v/>
      </c>
      <c r="BF1468" s="469" t="str">
        <f t="shared" ca="1" si="865"/>
        <v/>
      </c>
      <c r="BG1468" s="469" t="str">
        <f t="shared" ca="1" si="866"/>
        <v/>
      </c>
      <c r="BH1468" s="467" t="str">
        <f t="shared" si="867"/>
        <v/>
      </c>
      <c r="BI1468" s="467" t="str">
        <f t="shared" ca="1" si="868"/>
        <v/>
      </c>
      <c r="BJ1468" s="469" t="str">
        <f t="shared" si="869"/>
        <v/>
      </c>
      <c r="BK1468" s="470" t="str">
        <f t="shared" si="853"/>
        <v/>
      </c>
      <c r="BL1468" s="775" t="str">
        <f t="shared" si="870"/>
        <v/>
      </c>
      <c r="BM1468" s="775" t="str">
        <f t="shared" si="871"/>
        <v/>
      </c>
    </row>
    <row r="1469" spans="1:65">
      <c r="A1469" s="473">
        <v>1413</v>
      </c>
      <c r="B1469" s="132"/>
      <c r="C1469" s="332"/>
      <c r="D1469" s="333"/>
      <c r="E1469" s="333"/>
      <c r="F1469" s="334"/>
      <c r="G1469" s="337"/>
      <c r="H1469" s="131"/>
      <c r="I1469" s="337"/>
      <c r="J1469" s="131"/>
      <c r="K1469" s="458" t="str">
        <f t="shared" si="834"/>
        <v/>
      </c>
      <c r="L1469" s="458">
        <f t="shared" si="835"/>
        <v>0</v>
      </c>
      <c r="M1469" s="458">
        <f t="shared" si="836"/>
        <v>0</v>
      </c>
      <c r="N1469" s="459" t="str">
        <f t="shared" si="847"/>
        <v/>
      </c>
      <c r="O1469" s="459" t="str">
        <f t="shared" si="848"/>
        <v/>
      </c>
      <c r="P1469" s="459" t="str">
        <f t="shared" si="849"/>
        <v/>
      </c>
      <c r="Q1469" s="459" t="str">
        <f t="shared" si="850"/>
        <v/>
      </c>
      <c r="R1469" s="459" t="str">
        <f t="shared" si="851"/>
        <v/>
      </c>
      <c r="S1469" s="459" t="str">
        <f t="shared" si="852"/>
        <v/>
      </c>
      <c r="T1469" s="566" t="str">
        <f t="shared" si="837"/>
        <v/>
      </c>
      <c r="U1469" s="702"/>
      <c r="V1469" s="132"/>
      <c r="W1469" s="133"/>
      <c r="X1469" s="134"/>
      <c r="Y1469" s="135"/>
      <c r="Z1469" s="137"/>
      <c r="AA1469" s="136"/>
      <c r="AB1469" s="566" t="str">
        <f t="shared" si="838"/>
        <v/>
      </c>
      <c r="AC1469" s="568" t="str">
        <f t="shared" si="839"/>
        <v/>
      </c>
      <c r="AD1469" s="137"/>
      <c r="AE1469" s="137"/>
      <c r="AF1469" s="138"/>
      <c r="AG1469" s="138"/>
      <c r="AH1469" s="592" t="str">
        <f t="shared" si="840"/>
        <v/>
      </c>
      <c r="AI1469" s="592" t="str">
        <f t="shared" si="841"/>
        <v/>
      </c>
      <c r="AJ1469" s="592" t="str">
        <f t="shared" si="842"/>
        <v/>
      </c>
      <c r="AK1469" s="460" t="str">
        <f>IF(AU1469="","",IF(OR(AZ1469=8,AZ1469=9),0,IF(OR(AW1469=3,AW1469=4,AW1469=5,AW1469=6),IF(LEFT(BF1469,1)="1",INDEX(係数_NOX・PM低減,MATCH(AY1469,【参考】排出係数!$AI$801:$AI$804,1),1),VLOOKUP(AU1469,INDEX((係数_バス貨物_ガソリン,係数_バス貨物_CNG,係数_バス貨物_軽油,係数_バス貨物_メタノール,係数_バス貨物_LPG),MATCH(AY1469,【参考】排出係数!$AI$4:$AI$671,1),1,BE1469):INDEX((係数_バス貨物_ガソリン,係数_バス貨物_CNG,係数_バス貨物_軽油,係数_バス貨物_メタノール,係数_バス貨物_LPG),MATCH(AY1469+1,【参考】排出係数!$AI$4:$AI$671,1)-1,5,BE1469),4,FALSE)),IF(AND(BE1469=3,LEFT(BF1469,1)="1"),0.48,VLOOKUP(AU1469,INDEX((係数_乗用_ガソリン,係数_乗用_CNG,係数_乗用_軽油,係数_乗用_メタノール,係数_乗用_LPG),1,1,BE1469):INDEX((係数_乗用_ガソリン,係数_乗用_CNG,係数_乗用_軽油,係数_乗用_メタノール,係数_乗用_LPG),125,5,BE1469),4,FALSE)))))</f>
        <v/>
      </c>
      <c r="AL1469" s="461" t="str">
        <f t="shared" si="843"/>
        <v/>
      </c>
      <c r="AM1469" s="460" t="str">
        <f>IF(AU1469="","",IF(OR(AZ1469=8,AZ1469=9),0,IF(OR(AW1469=3,AW1469=4,AW1469=5,AW1469=6),IF(LEFT(BH1469,1)="1",INDEX(係数_PM低減,MATCH(AY1469,【参考】排出係数!$AI$801:$AI$804,1),MATCH(BI1469,【参考】排出係数!$AL$798:$AO$798,1)),VLOOKUP(AU1469,INDEX((係数_バス貨物_ガソリン,係数_バス貨物_CNG,係数_バス貨物_軽油,係数_バス貨物_メタノール,係数_バス貨物_LPG),MATCH(AY1469,【参考】排出係数!$AI$4:$AI$671,1),1,BE1469):INDEX((係数_バス貨物_ガソリン,係数_バス貨物_CNG,係数_バス貨物_軽油,係数_バス貨物_メタノール,係数_バス貨物_LPG),MATCH(AY1469+1,【参考】排出係数!$AI$4:$AI$671,1)-1,5,BE1469),5,FALSE)),IF(AND(BE1469=3,LEFT(BF1469,1)="1"),0.055,VLOOKUP(AU1469,INDEX((係数_乗用_ガソリン,係数_乗用_CNG,係数_乗用_軽油,係数_乗用_メタノール,係数_乗用_LPG),1,1,BE1469):INDEX((係数_乗用_ガソリン,係数_乗用_CNG,係数_乗用_軽油,係数_乗用_メタノール,係数_乗用_LPG),125,5,BE1469),5,FALSE)))))</f>
        <v/>
      </c>
      <c r="AN1469" s="461" t="str">
        <f t="shared" si="844"/>
        <v/>
      </c>
      <c r="AO1469" s="462" t="str">
        <f t="shared" si="845"/>
        <v/>
      </c>
      <c r="AP1469" s="463" t="str">
        <f t="shared" si="846"/>
        <v/>
      </c>
      <c r="AQ1469" s="464"/>
      <c r="AR1469" s="619"/>
      <c r="AS1469" s="465" t="str">
        <f t="shared" si="854"/>
        <v/>
      </c>
      <c r="AT1469" s="465" t="str">
        <f t="shared" si="855"/>
        <v/>
      </c>
      <c r="AU1469" s="466" t="str">
        <f t="shared" si="856"/>
        <v/>
      </c>
      <c r="AV1469" s="467" t="str">
        <f t="shared" si="857"/>
        <v/>
      </c>
      <c r="AW1469" s="467" t="str">
        <f t="shared" si="858"/>
        <v/>
      </c>
      <c r="AX1469" s="467" t="str">
        <f t="shared" si="859"/>
        <v/>
      </c>
      <c r="AY1469" s="467" t="str">
        <f t="shared" si="860"/>
        <v/>
      </c>
      <c r="AZ1469" s="467" t="str">
        <f t="shared" si="861"/>
        <v/>
      </c>
      <c r="BA1469" s="468" t="str">
        <f>IF(AS1469="","",IF(OR(AU1469="",AU1469="-"),"－",IF(OR(AZ1469=8,AZ1469=9),"",IF(OR(AW1469=3,AW1469=4,AW1469=5,AW1469=6),VLOOKUP(AU1469,INDEX((係数_バス貨物_ガソリン,係数_バス貨物_CNG,係数_バス貨物_軽油,係数_バス貨物_メタノール,係数_バス貨物_LPG),MATCH(AY1469,【参考】排出係数!$AI$4:$AI$671,1),1,BE1469):INDEX((係数_バス貨物_ガソリン,係数_バス貨物_CNG,係数_バス貨物_軽油,係数_バス貨物_メタノール,係数_バス貨物_LPG),MATCH(AY1469+1,【参考】排出係数!$AI$4:$AI$671,1)-1,5,BE1469),2,FALSE),IF(OR(AW1469=1,AW1469=2),VLOOKUP(AU1469,INDEX((係数_乗用_ガソリン,係数_乗用_CNG,係数_乗用_軽油,係数_乗用_メタノール,係数_乗用_LPG),1,1,BE1469):INDEX((係数_乗用_ガソリン,係数_乗用_CNG,係数_乗用_軽油,係数_乗用_メタノール,係数_乗用_LPG),125,5,BE1469),2,FALSE))))))</f>
        <v/>
      </c>
      <c r="BB1469" s="468" t="str">
        <f>IF(T1469="","",IF(OR(AU1469="",AU1469="-"),"－",IF(OR(AZ1469=8,AZ1469=9),"",IF(OR(AW1469=3,AW1469=4,AW1469=5,AW1469=6),VLOOKUP(AU1469,INDEX((係数_バス貨物_ガソリン,係数_バス貨物_CNG,係数_バス貨物_軽油,係数_バス貨物_メタノール,係数_バス貨物_LPG),MATCH(AY1469,【参考】排出係数!$AI$4:$AI$671,1),1,BE1469):INDEX((係数_バス貨物_ガソリン,係数_バス貨物_CNG,係数_バス貨物_軽油,係数_バス貨物_メタノール,係数_バス貨物_LPG),MATCH(AY1469+1,【参考】排出係数!$AI$4:$AI$671,1)-1,5,BE1469),3,FALSE),IF(OR(AW1469=1,AW1469=2),VLOOKUP(AU1469,INDEX((係数_乗用_ガソリン,係数_乗用_CNG,係数_乗用_軽油,係数_乗用_メタノール,係数_乗用_LPG),1,1,BE1469):INDEX((係数_乗用_ガソリン,係数_乗用_CNG,係数_乗用_軽油,係数_乗用_メタノール,係数_乗用_LPG),125,5,BE1469),3,FALSE))))))</f>
        <v/>
      </c>
      <c r="BC1469" s="467" t="str">
        <f t="shared" si="862"/>
        <v/>
      </c>
      <c r="BD1469" s="567" t="str">
        <f t="shared" si="863"/>
        <v/>
      </c>
      <c r="BE1469" s="467" t="str">
        <f t="shared" si="864"/>
        <v/>
      </c>
      <c r="BF1469" s="469" t="str">
        <f t="shared" ca="1" si="865"/>
        <v/>
      </c>
      <c r="BG1469" s="469" t="str">
        <f t="shared" ca="1" si="866"/>
        <v/>
      </c>
      <c r="BH1469" s="467" t="str">
        <f t="shared" si="867"/>
        <v/>
      </c>
      <c r="BI1469" s="467" t="str">
        <f t="shared" ca="1" si="868"/>
        <v/>
      </c>
      <c r="BJ1469" s="469" t="str">
        <f t="shared" si="869"/>
        <v/>
      </c>
      <c r="BK1469" s="470" t="str">
        <f t="shared" si="853"/>
        <v/>
      </c>
      <c r="BL1469" s="775" t="str">
        <f t="shared" si="870"/>
        <v/>
      </c>
      <c r="BM1469" s="775" t="str">
        <f t="shared" si="871"/>
        <v/>
      </c>
    </row>
    <row r="1470" spans="1:65">
      <c r="A1470" s="473">
        <v>1414</v>
      </c>
      <c r="B1470" s="132"/>
      <c r="C1470" s="332"/>
      <c r="D1470" s="333"/>
      <c r="E1470" s="333"/>
      <c r="F1470" s="334"/>
      <c r="G1470" s="337"/>
      <c r="H1470" s="131"/>
      <c r="I1470" s="337"/>
      <c r="J1470" s="131"/>
      <c r="K1470" s="458" t="str">
        <f t="shared" si="834"/>
        <v/>
      </c>
      <c r="L1470" s="458">
        <f t="shared" si="835"/>
        <v>0</v>
      </c>
      <c r="M1470" s="458">
        <f t="shared" si="836"/>
        <v>0</v>
      </c>
      <c r="N1470" s="459" t="str">
        <f t="shared" si="847"/>
        <v/>
      </c>
      <c r="O1470" s="459" t="str">
        <f t="shared" si="848"/>
        <v/>
      </c>
      <c r="P1470" s="459" t="str">
        <f t="shared" si="849"/>
        <v/>
      </c>
      <c r="Q1470" s="459" t="str">
        <f t="shared" si="850"/>
        <v/>
      </c>
      <c r="R1470" s="459" t="str">
        <f t="shared" si="851"/>
        <v/>
      </c>
      <c r="S1470" s="459" t="str">
        <f t="shared" si="852"/>
        <v/>
      </c>
      <c r="T1470" s="566" t="str">
        <f t="shared" si="837"/>
        <v/>
      </c>
      <c r="U1470" s="702"/>
      <c r="V1470" s="132"/>
      <c r="W1470" s="133"/>
      <c r="X1470" s="134"/>
      <c r="Y1470" s="135"/>
      <c r="Z1470" s="137"/>
      <c r="AA1470" s="136"/>
      <c r="AB1470" s="566" t="str">
        <f t="shared" si="838"/>
        <v/>
      </c>
      <c r="AC1470" s="568" t="str">
        <f t="shared" si="839"/>
        <v/>
      </c>
      <c r="AD1470" s="137"/>
      <c r="AE1470" s="137"/>
      <c r="AF1470" s="138"/>
      <c r="AG1470" s="138"/>
      <c r="AH1470" s="592" t="str">
        <f t="shared" si="840"/>
        <v/>
      </c>
      <c r="AI1470" s="592" t="str">
        <f t="shared" si="841"/>
        <v/>
      </c>
      <c r="AJ1470" s="592" t="str">
        <f t="shared" si="842"/>
        <v/>
      </c>
      <c r="AK1470" s="460" t="str">
        <f>IF(AU1470="","",IF(OR(AZ1470=8,AZ1470=9),0,IF(OR(AW1470=3,AW1470=4,AW1470=5,AW1470=6),IF(LEFT(BF1470,1)="1",INDEX(係数_NOX・PM低減,MATCH(AY1470,【参考】排出係数!$AI$801:$AI$804,1),1),VLOOKUP(AU1470,INDEX((係数_バス貨物_ガソリン,係数_バス貨物_CNG,係数_バス貨物_軽油,係数_バス貨物_メタノール,係数_バス貨物_LPG),MATCH(AY1470,【参考】排出係数!$AI$4:$AI$671,1),1,BE1470):INDEX((係数_バス貨物_ガソリン,係数_バス貨物_CNG,係数_バス貨物_軽油,係数_バス貨物_メタノール,係数_バス貨物_LPG),MATCH(AY1470+1,【参考】排出係数!$AI$4:$AI$671,1)-1,5,BE1470),4,FALSE)),IF(AND(BE1470=3,LEFT(BF1470,1)="1"),0.48,VLOOKUP(AU1470,INDEX((係数_乗用_ガソリン,係数_乗用_CNG,係数_乗用_軽油,係数_乗用_メタノール,係数_乗用_LPG),1,1,BE1470):INDEX((係数_乗用_ガソリン,係数_乗用_CNG,係数_乗用_軽油,係数_乗用_メタノール,係数_乗用_LPG),125,5,BE1470),4,FALSE)))))</f>
        <v/>
      </c>
      <c r="AL1470" s="461" t="str">
        <f t="shared" si="843"/>
        <v/>
      </c>
      <c r="AM1470" s="460" t="str">
        <f>IF(AU1470="","",IF(OR(AZ1470=8,AZ1470=9),0,IF(OR(AW1470=3,AW1470=4,AW1470=5,AW1470=6),IF(LEFT(BH1470,1)="1",INDEX(係数_PM低減,MATCH(AY1470,【参考】排出係数!$AI$801:$AI$804,1),MATCH(BI1470,【参考】排出係数!$AL$798:$AO$798,1)),VLOOKUP(AU1470,INDEX((係数_バス貨物_ガソリン,係数_バス貨物_CNG,係数_バス貨物_軽油,係数_バス貨物_メタノール,係数_バス貨物_LPG),MATCH(AY1470,【参考】排出係数!$AI$4:$AI$671,1),1,BE1470):INDEX((係数_バス貨物_ガソリン,係数_バス貨物_CNG,係数_バス貨物_軽油,係数_バス貨物_メタノール,係数_バス貨物_LPG),MATCH(AY1470+1,【参考】排出係数!$AI$4:$AI$671,1)-1,5,BE1470),5,FALSE)),IF(AND(BE1470=3,LEFT(BF1470,1)="1"),0.055,VLOOKUP(AU1470,INDEX((係数_乗用_ガソリン,係数_乗用_CNG,係数_乗用_軽油,係数_乗用_メタノール,係数_乗用_LPG),1,1,BE1470):INDEX((係数_乗用_ガソリン,係数_乗用_CNG,係数_乗用_軽油,係数_乗用_メタノール,係数_乗用_LPG),125,5,BE1470),5,FALSE)))))</f>
        <v/>
      </c>
      <c r="AN1470" s="461" t="str">
        <f t="shared" si="844"/>
        <v/>
      </c>
      <c r="AO1470" s="462" t="str">
        <f t="shared" si="845"/>
        <v/>
      </c>
      <c r="AP1470" s="463" t="str">
        <f t="shared" si="846"/>
        <v/>
      </c>
      <c r="AQ1470" s="464"/>
      <c r="AR1470" s="619"/>
      <c r="AS1470" s="465" t="str">
        <f t="shared" si="854"/>
        <v/>
      </c>
      <c r="AT1470" s="465" t="str">
        <f t="shared" si="855"/>
        <v/>
      </c>
      <c r="AU1470" s="466" t="str">
        <f t="shared" si="856"/>
        <v/>
      </c>
      <c r="AV1470" s="467" t="str">
        <f t="shared" si="857"/>
        <v/>
      </c>
      <c r="AW1470" s="467" t="str">
        <f t="shared" si="858"/>
        <v/>
      </c>
      <c r="AX1470" s="467" t="str">
        <f t="shared" si="859"/>
        <v/>
      </c>
      <c r="AY1470" s="467" t="str">
        <f t="shared" si="860"/>
        <v/>
      </c>
      <c r="AZ1470" s="467" t="str">
        <f t="shared" si="861"/>
        <v/>
      </c>
      <c r="BA1470" s="468" t="str">
        <f>IF(AS1470="","",IF(OR(AU1470="",AU1470="-"),"－",IF(OR(AZ1470=8,AZ1470=9),"",IF(OR(AW1470=3,AW1470=4,AW1470=5,AW1470=6),VLOOKUP(AU1470,INDEX((係数_バス貨物_ガソリン,係数_バス貨物_CNG,係数_バス貨物_軽油,係数_バス貨物_メタノール,係数_バス貨物_LPG),MATCH(AY1470,【参考】排出係数!$AI$4:$AI$671,1),1,BE1470):INDEX((係数_バス貨物_ガソリン,係数_バス貨物_CNG,係数_バス貨物_軽油,係数_バス貨物_メタノール,係数_バス貨物_LPG),MATCH(AY1470+1,【参考】排出係数!$AI$4:$AI$671,1)-1,5,BE1470),2,FALSE),IF(OR(AW1470=1,AW1470=2),VLOOKUP(AU1470,INDEX((係数_乗用_ガソリン,係数_乗用_CNG,係数_乗用_軽油,係数_乗用_メタノール,係数_乗用_LPG),1,1,BE1470):INDEX((係数_乗用_ガソリン,係数_乗用_CNG,係数_乗用_軽油,係数_乗用_メタノール,係数_乗用_LPG),125,5,BE1470),2,FALSE))))))</f>
        <v/>
      </c>
      <c r="BB1470" s="468" t="str">
        <f>IF(T1470="","",IF(OR(AU1470="",AU1470="-"),"－",IF(OR(AZ1470=8,AZ1470=9),"",IF(OR(AW1470=3,AW1470=4,AW1470=5,AW1470=6),VLOOKUP(AU1470,INDEX((係数_バス貨物_ガソリン,係数_バス貨物_CNG,係数_バス貨物_軽油,係数_バス貨物_メタノール,係数_バス貨物_LPG),MATCH(AY1470,【参考】排出係数!$AI$4:$AI$671,1),1,BE1470):INDEX((係数_バス貨物_ガソリン,係数_バス貨物_CNG,係数_バス貨物_軽油,係数_バス貨物_メタノール,係数_バス貨物_LPG),MATCH(AY1470+1,【参考】排出係数!$AI$4:$AI$671,1)-1,5,BE1470),3,FALSE),IF(OR(AW1470=1,AW1470=2),VLOOKUP(AU1470,INDEX((係数_乗用_ガソリン,係数_乗用_CNG,係数_乗用_軽油,係数_乗用_メタノール,係数_乗用_LPG),1,1,BE1470):INDEX((係数_乗用_ガソリン,係数_乗用_CNG,係数_乗用_軽油,係数_乗用_メタノール,係数_乗用_LPG),125,5,BE1470),3,FALSE))))))</f>
        <v/>
      </c>
      <c r="BC1470" s="467" t="str">
        <f t="shared" si="862"/>
        <v/>
      </c>
      <c r="BD1470" s="567" t="str">
        <f t="shared" si="863"/>
        <v/>
      </c>
      <c r="BE1470" s="467" t="str">
        <f t="shared" si="864"/>
        <v/>
      </c>
      <c r="BF1470" s="469" t="str">
        <f t="shared" ca="1" si="865"/>
        <v/>
      </c>
      <c r="BG1470" s="469" t="str">
        <f t="shared" ca="1" si="866"/>
        <v/>
      </c>
      <c r="BH1470" s="467" t="str">
        <f t="shared" si="867"/>
        <v/>
      </c>
      <c r="BI1470" s="467" t="str">
        <f t="shared" ca="1" si="868"/>
        <v/>
      </c>
      <c r="BJ1470" s="469" t="str">
        <f t="shared" si="869"/>
        <v/>
      </c>
      <c r="BK1470" s="470" t="str">
        <f t="shared" si="853"/>
        <v/>
      </c>
      <c r="BL1470" s="775" t="str">
        <f t="shared" si="870"/>
        <v/>
      </c>
      <c r="BM1470" s="775" t="str">
        <f t="shared" si="871"/>
        <v/>
      </c>
    </row>
    <row r="1471" spans="1:65">
      <c r="A1471" s="473">
        <v>1415</v>
      </c>
      <c r="B1471" s="132"/>
      <c r="C1471" s="332"/>
      <c r="D1471" s="333"/>
      <c r="E1471" s="333"/>
      <c r="F1471" s="334"/>
      <c r="G1471" s="337"/>
      <c r="H1471" s="131"/>
      <c r="I1471" s="337"/>
      <c r="J1471" s="131"/>
      <c r="K1471" s="458" t="str">
        <f t="shared" si="834"/>
        <v/>
      </c>
      <c r="L1471" s="458">
        <f t="shared" si="835"/>
        <v>0</v>
      </c>
      <c r="M1471" s="458">
        <f t="shared" si="836"/>
        <v>0</v>
      </c>
      <c r="N1471" s="459" t="str">
        <f t="shared" si="847"/>
        <v/>
      </c>
      <c r="O1471" s="459" t="str">
        <f t="shared" si="848"/>
        <v/>
      </c>
      <c r="P1471" s="459" t="str">
        <f t="shared" si="849"/>
        <v/>
      </c>
      <c r="Q1471" s="459" t="str">
        <f t="shared" si="850"/>
        <v/>
      </c>
      <c r="R1471" s="459" t="str">
        <f t="shared" si="851"/>
        <v/>
      </c>
      <c r="S1471" s="459" t="str">
        <f t="shared" si="852"/>
        <v/>
      </c>
      <c r="T1471" s="566" t="str">
        <f t="shared" si="837"/>
        <v/>
      </c>
      <c r="U1471" s="702"/>
      <c r="V1471" s="132"/>
      <c r="W1471" s="133"/>
      <c r="X1471" s="134"/>
      <c r="Y1471" s="135"/>
      <c r="Z1471" s="137"/>
      <c r="AA1471" s="136"/>
      <c r="AB1471" s="566" t="str">
        <f t="shared" si="838"/>
        <v/>
      </c>
      <c r="AC1471" s="568" t="str">
        <f t="shared" si="839"/>
        <v/>
      </c>
      <c r="AD1471" s="137"/>
      <c r="AE1471" s="137"/>
      <c r="AF1471" s="138"/>
      <c r="AG1471" s="138"/>
      <c r="AH1471" s="592" t="str">
        <f t="shared" si="840"/>
        <v/>
      </c>
      <c r="AI1471" s="592" t="str">
        <f t="shared" si="841"/>
        <v/>
      </c>
      <c r="AJ1471" s="592" t="str">
        <f t="shared" si="842"/>
        <v/>
      </c>
      <c r="AK1471" s="460" t="str">
        <f>IF(AU1471="","",IF(OR(AZ1471=8,AZ1471=9),0,IF(OR(AW1471=3,AW1471=4,AW1471=5,AW1471=6),IF(LEFT(BF1471,1)="1",INDEX(係数_NOX・PM低減,MATCH(AY1471,【参考】排出係数!$AI$801:$AI$804,1),1),VLOOKUP(AU1471,INDEX((係数_バス貨物_ガソリン,係数_バス貨物_CNG,係数_バス貨物_軽油,係数_バス貨物_メタノール,係数_バス貨物_LPG),MATCH(AY1471,【参考】排出係数!$AI$4:$AI$671,1),1,BE1471):INDEX((係数_バス貨物_ガソリン,係数_バス貨物_CNG,係数_バス貨物_軽油,係数_バス貨物_メタノール,係数_バス貨物_LPG),MATCH(AY1471+1,【参考】排出係数!$AI$4:$AI$671,1)-1,5,BE1471),4,FALSE)),IF(AND(BE1471=3,LEFT(BF1471,1)="1"),0.48,VLOOKUP(AU1471,INDEX((係数_乗用_ガソリン,係数_乗用_CNG,係数_乗用_軽油,係数_乗用_メタノール,係数_乗用_LPG),1,1,BE1471):INDEX((係数_乗用_ガソリン,係数_乗用_CNG,係数_乗用_軽油,係数_乗用_メタノール,係数_乗用_LPG),125,5,BE1471),4,FALSE)))))</f>
        <v/>
      </c>
      <c r="AL1471" s="461" t="str">
        <f t="shared" si="843"/>
        <v/>
      </c>
      <c r="AM1471" s="460" t="str">
        <f>IF(AU1471="","",IF(OR(AZ1471=8,AZ1471=9),0,IF(OR(AW1471=3,AW1471=4,AW1471=5,AW1471=6),IF(LEFT(BH1471,1)="1",INDEX(係数_PM低減,MATCH(AY1471,【参考】排出係数!$AI$801:$AI$804,1),MATCH(BI1471,【参考】排出係数!$AL$798:$AO$798,1)),VLOOKUP(AU1471,INDEX((係数_バス貨物_ガソリン,係数_バス貨物_CNG,係数_バス貨物_軽油,係数_バス貨物_メタノール,係数_バス貨物_LPG),MATCH(AY1471,【参考】排出係数!$AI$4:$AI$671,1),1,BE1471):INDEX((係数_バス貨物_ガソリン,係数_バス貨物_CNG,係数_バス貨物_軽油,係数_バス貨物_メタノール,係数_バス貨物_LPG),MATCH(AY1471+1,【参考】排出係数!$AI$4:$AI$671,1)-1,5,BE1471),5,FALSE)),IF(AND(BE1471=3,LEFT(BF1471,1)="1"),0.055,VLOOKUP(AU1471,INDEX((係数_乗用_ガソリン,係数_乗用_CNG,係数_乗用_軽油,係数_乗用_メタノール,係数_乗用_LPG),1,1,BE1471):INDEX((係数_乗用_ガソリン,係数_乗用_CNG,係数_乗用_軽油,係数_乗用_メタノール,係数_乗用_LPG),125,5,BE1471),5,FALSE)))))</f>
        <v/>
      </c>
      <c r="AN1471" s="461" t="str">
        <f t="shared" si="844"/>
        <v/>
      </c>
      <c r="AO1471" s="462" t="str">
        <f t="shared" si="845"/>
        <v/>
      </c>
      <c r="AP1471" s="463" t="str">
        <f t="shared" si="846"/>
        <v/>
      </c>
      <c r="AQ1471" s="464"/>
      <c r="AR1471" s="619"/>
      <c r="AS1471" s="465" t="str">
        <f t="shared" si="854"/>
        <v/>
      </c>
      <c r="AT1471" s="465" t="str">
        <f t="shared" si="855"/>
        <v/>
      </c>
      <c r="AU1471" s="466" t="str">
        <f t="shared" si="856"/>
        <v/>
      </c>
      <c r="AV1471" s="467" t="str">
        <f t="shared" si="857"/>
        <v/>
      </c>
      <c r="AW1471" s="467" t="str">
        <f t="shared" si="858"/>
        <v/>
      </c>
      <c r="AX1471" s="467" t="str">
        <f t="shared" si="859"/>
        <v/>
      </c>
      <c r="AY1471" s="467" t="str">
        <f t="shared" si="860"/>
        <v/>
      </c>
      <c r="AZ1471" s="467" t="str">
        <f t="shared" si="861"/>
        <v/>
      </c>
      <c r="BA1471" s="468" t="str">
        <f>IF(AS1471="","",IF(OR(AU1471="",AU1471="-"),"－",IF(OR(AZ1471=8,AZ1471=9),"",IF(OR(AW1471=3,AW1471=4,AW1471=5,AW1471=6),VLOOKUP(AU1471,INDEX((係数_バス貨物_ガソリン,係数_バス貨物_CNG,係数_バス貨物_軽油,係数_バス貨物_メタノール,係数_バス貨物_LPG),MATCH(AY1471,【参考】排出係数!$AI$4:$AI$671,1),1,BE1471):INDEX((係数_バス貨物_ガソリン,係数_バス貨物_CNG,係数_バス貨物_軽油,係数_バス貨物_メタノール,係数_バス貨物_LPG),MATCH(AY1471+1,【参考】排出係数!$AI$4:$AI$671,1)-1,5,BE1471),2,FALSE),IF(OR(AW1471=1,AW1471=2),VLOOKUP(AU1471,INDEX((係数_乗用_ガソリン,係数_乗用_CNG,係数_乗用_軽油,係数_乗用_メタノール,係数_乗用_LPG),1,1,BE1471):INDEX((係数_乗用_ガソリン,係数_乗用_CNG,係数_乗用_軽油,係数_乗用_メタノール,係数_乗用_LPG),125,5,BE1471),2,FALSE))))))</f>
        <v/>
      </c>
      <c r="BB1471" s="468" t="str">
        <f>IF(T1471="","",IF(OR(AU1471="",AU1471="-"),"－",IF(OR(AZ1471=8,AZ1471=9),"",IF(OR(AW1471=3,AW1471=4,AW1471=5,AW1471=6),VLOOKUP(AU1471,INDEX((係数_バス貨物_ガソリン,係数_バス貨物_CNG,係数_バス貨物_軽油,係数_バス貨物_メタノール,係数_バス貨物_LPG),MATCH(AY1471,【参考】排出係数!$AI$4:$AI$671,1),1,BE1471):INDEX((係数_バス貨物_ガソリン,係数_バス貨物_CNG,係数_バス貨物_軽油,係数_バス貨物_メタノール,係数_バス貨物_LPG),MATCH(AY1471+1,【参考】排出係数!$AI$4:$AI$671,1)-1,5,BE1471),3,FALSE),IF(OR(AW1471=1,AW1471=2),VLOOKUP(AU1471,INDEX((係数_乗用_ガソリン,係数_乗用_CNG,係数_乗用_軽油,係数_乗用_メタノール,係数_乗用_LPG),1,1,BE1471):INDEX((係数_乗用_ガソリン,係数_乗用_CNG,係数_乗用_軽油,係数_乗用_メタノール,係数_乗用_LPG),125,5,BE1471),3,FALSE))))))</f>
        <v/>
      </c>
      <c r="BC1471" s="467" t="str">
        <f t="shared" si="862"/>
        <v/>
      </c>
      <c r="BD1471" s="567" t="str">
        <f t="shared" si="863"/>
        <v/>
      </c>
      <c r="BE1471" s="467" t="str">
        <f t="shared" si="864"/>
        <v/>
      </c>
      <c r="BF1471" s="469" t="str">
        <f t="shared" ca="1" si="865"/>
        <v/>
      </c>
      <c r="BG1471" s="469" t="str">
        <f t="shared" ca="1" si="866"/>
        <v/>
      </c>
      <c r="BH1471" s="467" t="str">
        <f t="shared" si="867"/>
        <v/>
      </c>
      <c r="BI1471" s="467" t="str">
        <f t="shared" ca="1" si="868"/>
        <v/>
      </c>
      <c r="BJ1471" s="469" t="str">
        <f t="shared" si="869"/>
        <v/>
      </c>
      <c r="BK1471" s="470" t="str">
        <f t="shared" si="853"/>
        <v/>
      </c>
      <c r="BL1471" s="775" t="str">
        <f t="shared" si="870"/>
        <v/>
      </c>
      <c r="BM1471" s="775" t="str">
        <f t="shared" si="871"/>
        <v/>
      </c>
    </row>
    <row r="1472" spans="1:65">
      <c r="A1472" s="473">
        <v>1416</v>
      </c>
      <c r="B1472" s="132"/>
      <c r="C1472" s="332"/>
      <c r="D1472" s="333"/>
      <c r="E1472" s="333"/>
      <c r="F1472" s="334"/>
      <c r="G1472" s="337"/>
      <c r="H1472" s="131"/>
      <c r="I1472" s="337"/>
      <c r="J1472" s="131"/>
      <c r="K1472" s="458" t="str">
        <f t="shared" si="834"/>
        <v/>
      </c>
      <c r="L1472" s="458">
        <f t="shared" si="835"/>
        <v>0</v>
      </c>
      <c r="M1472" s="458">
        <f t="shared" si="836"/>
        <v>0</v>
      </c>
      <c r="N1472" s="459" t="str">
        <f t="shared" si="847"/>
        <v/>
      </c>
      <c r="O1472" s="459" t="str">
        <f t="shared" si="848"/>
        <v/>
      </c>
      <c r="P1472" s="459" t="str">
        <f t="shared" si="849"/>
        <v/>
      </c>
      <c r="Q1472" s="459" t="str">
        <f t="shared" si="850"/>
        <v/>
      </c>
      <c r="R1472" s="459" t="str">
        <f t="shared" si="851"/>
        <v/>
      </c>
      <c r="S1472" s="459" t="str">
        <f t="shared" si="852"/>
        <v/>
      </c>
      <c r="T1472" s="566" t="str">
        <f t="shared" si="837"/>
        <v/>
      </c>
      <c r="U1472" s="702"/>
      <c r="V1472" s="132"/>
      <c r="W1472" s="133"/>
      <c r="X1472" s="134"/>
      <c r="Y1472" s="135"/>
      <c r="Z1472" s="137"/>
      <c r="AA1472" s="136"/>
      <c r="AB1472" s="566" t="str">
        <f t="shared" si="838"/>
        <v/>
      </c>
      <c r="AC1472" s="568" t="str">
        <f t="shared" si="839"/>
        <v/>
      </c>
      <c r="AD1472" s="137"/>
      <c r="AE1472" s="137"/>
      <c r="AF1472" s="138"/>
      <c r="AG1472" s="138"/>
      <c r="AH1472" s="592" t="str">
        <f t="shared" si="840"/>
        <v/>
      </c>
      <c r="AI1472" s="592" t="str">
        <f t="shared" si="841"/>
        <v/>
      </c>
      <c r="AJ1472" s="592" t="str">
        <f t="shared" si="842"/>
        <v/>
      </c>
      <c r="AK1472" s="460" t="str">
        <f>IF(AU1472="","",IF(OR(AZ1472=8,AZ1472=9),0,IF(OR(AW1472=3,AW1472=4,AW1472=5,AW1472=6),IF(LEFT(BF1472,1)="1",INDEX(係数_NOX・PM低減,MATCH(AY1472,【参考】排出係数!$AI$801:$AI$804,1),1),VLOOKUP(AU1472,INDEX((係数_バス貨物_ガソリン,係数_バス貨物_CNG,係数_バス貨物_軽油,係数_バス貨物_メタノール,係数_バス貨物_LPG),MATCH(AY1472,【参考】排出係数!$AI$4:$AI$671,1),1,BE1472):INDEX((係数_バス貨物_ガソリン,係数_バス貨物_CNG,係数_バス貨物_軽油,係数_バス貨物_メタノール,係数_バス貨物_LPG),MATCH(AY1472+1,【参考】排出係数!$AI$4:$AI$671,1)-1,5,BE1472),4,FALSE)),IF(AND(BE1472=3,LEFT(BF1472,1)="1"),0.48,VLOOKUP(AU1472,INDEX((係数_乗用_ガソリン,係数_乗用_CNG,係数_乗用_軽油,係数_乗用_メタノール,係数_乗用_LPG),1,1,BE1472):INDEX((係数_乗用_ガソリン,係数_乗用_CNG,係数_乗用_軽油,係数_乗用_メタノール,係数_乗用_LPG),125,5,BE1472),4,FALSE)))))</f>
        <v/>
      </c>
      <c r="AL1472" s="461" t="str">
        <f t="shared" si="843"/>
        <v/>
      </c>
      <c r="AM1472" s="460" t="str">
        <f>IF(AU1472="","",IF(OR(AZ1472=8,AZ1472=9),0,IF(OR(AW1472=3,AW1472=4,AW1472=5,AW1472=6),IF(LEFT(BH1472,1)="1",INDEX(係数_PM低減,MATCH(AY1472,【参考】排出係数!$AI$801:$AI$804,1),MATCH(BI1472,【参考】排出係数!$AL$798:$AO$798,1)),VLOOKUP(AU1472,INDEX((係数_バス貨物_ガソリン,係数_バス貨物_CNG,係数_バス貨物_軽油,係数_バス貨物_メタノール,係数_バス貨物_LPG),MATCH(AY1472,【参考】排出係数!$AI$4:$AI$671,1),1,BE1472):INDEX((係数_バス貨物_ガソリン,係数_バス貨物_CNG,係数_バス貨物_軽油,係数_バス貨物_メタノール,係数_バス貨物_LPG),MATCH(AY1472+1,【参考】排出係数!$AI$4:$AI$671,1)-1,5,BE1472),5,FALSE)),IF(AND(BE1472=3,LEFT(BF1472,1)="1"),0.055,VLOOKUP(AU1472,INDEX((係数_乗用_ガソリン,係数_乗用_CNG,係数_乗用_軽油,係数_乗用_メタノール,係数_乗用_LPG),1,1,BE1472):INDEX((係数_乗用_ガソリン,係数_乗用_CNG,係数_乗用_軽油,係数_乗用_メタノール,係数_乗用_LPG),125,5,BE1472),5,FALSE)))))</f>
        <v/>
      </c>
      <c r="AN1472" s="461" t="str">
        <f t="shared" si="844"/>
        <v/>
      </c>
      <c r="AO1472" s="462" t="str">
        <f t="shared" si="845"/>
        <v/>
      </c>
      <c r="AP1472" s="463" t="str">
        <f t="shared" si="846"/>
        <v/>
      </c>
      <c r="AQ1472" s="464"/>
      <c r="AR1472" s="619"/>
      <c r="AS1472" s="465" t="str">
        <f t="shared" si="854"/>
        <v/>
      </c>
      <c r="AT1472" s="465" t="str">
        <f t="shared" si="855"/>
        <v/>
      </c>
      <c r="AU1472" s="466" t="str">
        <f t="shared" si="856"/>
        <v/>
      </c>
      <c r="AV1472" s="467" t="str">
        <f t="shared" si="857"/>
        <v/>
      </c>
      <c r="AW1472" s="467" t="str">
        <f t="shared" si="858"/>
        <v/>
      </c>
      <c r="AX1472" s="467" t="str">
        <f t="shared" si="859"/>
        <v/>
      </c>
      <c r="AY1472" s="467" t="str">
        <f t="shared" si="860"/>
        <v/>
      </c>
      <c r="AZ1472" s="467" t="str">
        <f t="shared" si="861"/>
        <v/>
      </c>
      <c r="BA1472" s="468" t="str">
        <f>IF(AS1472="","",IF(OR(AU1472="",AU1472="-"),"－",IF(OR(AZ1472=8,AZ1472=9),"",IF(OR(AW1472=3,AW1472=4,AW1472=5,AW1472=6),VLOOKUP(AU1472,INDEX((係数_バス貨物_ガソリン,係数_バス貨物_CNG,係数_バス貨物_軽油,係数_バス貨物_メタノール,係数_バス貨物_LPG),MATCH(AY1472,【参考】排出係数!$AI$4:$AI$671,1),1,BE1472):INDEX((係数_バス貨物_ガソリン,係数_バス貨物_CNG,係数_バス貨物_軽油,係数_バス貨物_メタノール,係数_バス貨物_LPG),MATCH(AY1472+1,【参考】排出係数!$AI$4:$AI$671,1)-1,5,BE1472),2,FALSE),IF(OR(AW1472=1,AW1472=2),VLOOKUP(AU1472,INDEX((係数_乗用_ガソリン,係数_乗用_CNG,係数_乗用_軽油,係数_乗用_メタノール,係数_乗用_LPG),1,1,BE1472):INDEX((係数_乗用_ガソリン,係数_乗用_CNG,係数_乗用_軽油,係数_乗用_メタノール,係数_乗用_LPG),125,5,BE1472),2,FALSE))))))</f>
        <v/>
      </c>
      <c r="BB1472" s="468" t="str">
        <f>IF(T1472="","",IF(OR(AU1472="",AU1472="-"),"－",IF(OR(AZ1472=8,AZ1472=9),"",IF(OR(AW1472=3,AW1472=4,AW1472=5,AW1472=6),VLOOKUP(AU1472,INDEX((係数_バス貨物_ガソリン,係数_バス貨物_CNG,係数_バス貨物_軽油,係数_バス貨物_メタノール,係数_バス貨物_LPG),MATCH(AY1472,【参考】排出係数!$AI$4:$AI$671,1),1,BE1472):INDEX((係数_バス貨物_ガソリン,係数_バス貨物_CNG,係数_バス貨物_軽油,係数_バス貨物_メタノール,係数_バス貨物_LPG),MATCH(AY1472+1,【参考】排出係数!$AI$4:$AI$671,1)-1,5,BE1472),3,FALSE),IF(OR(AW1472=1,AW1472=2),VLOOKUP(AU1472,INDEX((係数_乗用_ガソリン,係数_乗用_CNG,係数_乗用_軽油,係数_乗用_メタノール,係数_乗用_LPG),1,1,BE1472):INDEX((係数_乗用_ガソリン,係数_乗用_CNG,係数_乗用_軽油,係数_乗用_メタノール,係数_乗用_LPG),125,5,BE1472),3,FALSE))))))</f>
        <v/>
      </c>
      <c r="BC1472" s="467" t="str">
        <f t="shared" si="862"/>
        <v/>
      </c>
      <c r="BD1472" s="567" t="str">
        <f t="shared" si="863"/>
        <v/>
      </c>
      <c r="BE1472" s="467" t="str">
        <f t="shared" si="864"/>
        <v/>
      </c>
      <c r="BF1472" s="469" t="str">
        <f t="shared" ca="1" si="865"/>
        <v/>
      </c>
      <c r="BG1472" s="469" t="str">
        <f t="shared" ca="1" si="866"/>
        <v/>
      </c>
      <c r="BH1472" s="467" t="str">
        <f t="shared" si="867"/>
        <v/>
      </c>
      <c r="BI1472" s="467" t="str">
        <f t="shared" ca="1" si="868"/>
        <v/>
      </c>
      <c r="BJ1472" s="469" t="str">
        <f t="shared" si="869"/>
        <v/>
      </c>
      <c r="BK1472" s="470" t="str">
        <f t="shared" si="853"/>
        <v/>
      </c>
      <c r="BL1472" s="775" t="str">
        <f t="shared" si="870"/>
        <v/>
      </c>
      <c r="BM1472" s="775" t="str">
        <f t="shared" si="871"/>
        <v/>
      </c>
    </row>
    <row r="1473" spans="1:65">
      <c r="A1473" s="473">
        <v>1417</v>
      </c>
      <c r="B1473" s="132"/>
      <c r="C1473" s="332"/>
      <c r="D1473" s="333"/>
      <c r="E1473" s="333"/>
      <c r="F1473" s="334"/>
      <c r="G1473" s="337"/>
      <c r="H1473" s="131"/>
      <c r="I1473" s="337"/>
      <c r="J1473" s="131"/>
      <c r="K1473" s="458" t="str">
        <f t="shared" si="834"/>
        <v/>
      </c>
      <c r="L1473" s="458">
        <f t="shared" si="835"/>
        <v>0</v>
      </c>
      <c r="M1473" s="458">
        <f t="shared" si="836"/>
        <v>0</v>
      </c>
      <c r="N1473" s="459" t="str">
        <f t="shared" si="847"/>
        <v/>
      </c>
      <c r="O1473" s="459" t="str">
        <f t="shared" si="848"/>
        <v/>
      </c>
      <c r="P1473" s="459" t="str">
        <f t="shared" si="849"/>
        <v/>
      </c>
      <c r="Q1473" s="459" t="str">
        <f t="shared" si="850"/>
        <v/>
      </c>
      <c r="R1473" s="459" t="str">
        <f t="shared" si="851"/>
        <v/>
      </c>
      <c r="S1473" s="459" t="str">
        <f t="shared" si="852"/>
        <v/>
      </c>
      <c r="T1473" s="566" t="str">
        <f t="shared" si="837"/>
        <v/>
      </c>
      <c r="U1473" s="702"/>
      <c r="V1473" s="132"/>
      <c r="W1473" s="133"/>
      <c r="X1473" s="134"/>
      <c r="Y1473" s="135"/>
      <c r="Z1473" s="137"/>
      <c r="AA1473" s="136"/>
      <c r="AB1473" s="566" t="str">
        <f t="shared" si="838"/>
        <v/>
      </c>
      <c r="AC1473" s="568" t="str">
        <f t="shared" si="839"/>
        <v/>
      </c>
      <c r="AD1473" s="137"/>
      <c r="AE1473" s="137"/>
      <c r="AF1473" s="138"/>
      <c r="AG1473" s="138"/>
      <c r="AH1473" s="592" t="str">
        <f t="shared" si="840"/>
        <v/>
      </c>
      <c r="AI1473" s="592" t="str">
        <f t="shared" si="841"/>
        <v/>
      </c>
      <c r="AJ1473" s="592" t="str">
        <f t="shared" si="842"/>
        <v/>
      </c>
      <c r="AK1473" s="460" t="str">
        <f>IF(AU1473="","",IF(OR(AZ1473=8,AZ1473=9),0,IF(OR(AW1473=3,AW1473=4,AW1473=5,AW1473=6),IF(LEFT(BF1473,1)="1",INDEX(係数_NOX・PM低減,MATCH(AY1473,【参考】排出係数!$AI$801:$AI$804,1),1),VLOOKUP(AU1473,INDEX((係数_バス貨物_ガソリン,係数_バス貨物_CNG,係数_バス貨物_軽油,係数_バス貨物_メタノール,係数_バス貨物_LPG),MATCH(AY1473,【参考】排出係数!$AI$4:$AI$671,1),1,BE1473):INDEX((係数_バス貨物_ガソリン,係数_バス貨物_CNG,係数_バス貨物_軽油,係数_バス貨物_メタノール,係数_バス貨物_LPG),MATCH(AY1473+1,【参考】排出係数!$AI$4:$AI$671,1)-1,5,BE1473),4,FALSE)),IF(AND(BE1473=3,LEFT(BF1473,1)="1"),0.48,VLOOKUP(AU1473,INDEX((係数_乗用_ガソリン,係数_乗用_CNG,係数_乗用_軽油,係数_乗用_メタノール,係数_乗用_LPG),1,1,BE1473):INDEX((係数_乗用_ガソリン,係数_乗用_CNG,係数_乗用_軽油,係数_乗用_メタノール,係数_乗用_LPG),125,5,BE1473),4,FALSE)))))</f>
        <v/>
      </c>
      <c r="AL1473" s="461" t="str">
        <f t="shared" si="843"/>
        <v/>
      </c>
      <c r="AM1473" s="460" t="str">
        <f>IF(AU1473="","",IF(OR(AZ1473=8,AZ1473=9),0,IF(OR(AW1473=3,AW1473=4,AW1473=5,AW1473=6),IF(LEFT(BH1473,1)="1",INDEX(係数_PM低減,MATCH(AY1473,【参考】排出係数!$AI$801:$AI$804,1),MATCH(BI1473,【参考】排出係数!$AL$798:$AO$798,1)),VLOOKUP(AU1473,INDEX((係数_バス貨物_ガソリン,係数_バス貨物_CNG,係数_バス貨物_軽油,係数_バス貨物_メタノール,係数_バス貨物_LPG),MATCH(AY1473,【参考】排出係数!$AI$4:$AI$671,1),1,BE1473):INDEX((係数_バス貨物_ガソリン,係数_バス貨物_CNG,係数_バス貨物_軽油,係数_バス貨物_メタノール,係数_バス貨物_LPG),MATCH(AY1473+1,【参考】排出係数!$AI$4:$AI$671,1)-1,5,BE1473),5,FALSE)),IF(AND(BE1473=3,LEFT(BF1473,1)="1"),0.055,VLOOKUP(AU1473,INDEX((係数_乗用_ガソリン,係数_乗用_CNG,係数_乗用_軽油,係数_乗用_メタノール,係数_乗用_LPG),1,1,BE1473):INDEX((係数_乗用_ガソリン,係数_乗用_CNG,係数_乗用_軽油,係数_乗用_メタノール,係数_乗用_LPG),125,5,BE1473),5,FALSE)))))</f>
        <v/>
      </c>
      <c r="AN1473" s="461" t="str">
        <f t="shared" si="844"/>
        <v/>
      </c>
      <c r="AO1473" s="462" t="str">
        <f t="shared" si="845"/>
        <v/>
      </c>
      <c r="AP1473" s="463" t="str">
        <f t="shared" si="846"/>
        <v/>
      </c>
      <c r="AQ1473" s="464"/>
      <c r="AR1473" s="619"/>
      <c r="AS1473" s="465" t="str">
        <f t="shared" si="854"/>
        <v/>
      </c>
      <c r="AT1473" s="465" t="str">
        <f t="shared" si="855"/>
        <v/>
      </c>
      <c r="AU1473" s="466" t="str">
        <f t="shared" si="856"/>
        <v/>
      </c>
      <c r="AV1473" s="467" t="str">
        <f t="shared" si="857"/>
        <v/>
      </c>
      <c r="AW1473" s="467" t="str">
        <f t="shared" si="858"/>
        <v/>
      </c>
      <c r="AX1473" s="467" t="str">
        <f t="shared" si="859"/>
        <v/>
      </c>
      <c r="AY1473" s="467" t="str">
        <f t="shared" si="860"/>
        <v/>
      </c>
      <c r="AZ1473" s="467" t="str">
        <f t="shared" si="861"/>
        <v/>
      </c>
      <c r="BA1473" s="468" t="str">
        <f>IF(AS1473="","",IF(OR(AU1473="",AU1473="-"),"－",IF(OR(AZ1473=8,AZ1473=9),"",IF(OR(AW1473=3,AW1473=4,AW1473=5,AW1473=6),VLOOKUP(AU1473,INDEX((係数_バス貨物_ガソリン,係数_バス貨物_CNG,係数_バス貨物_軽油,係数_バス貨物_メタノール,係数_バス貨物_LPG),MATCH(AY1473,【参考】排出係数!$AI$4:$AI$671,1),1,BE1473):INDEX((係数_バス貨物_ガソリン,係数_バス貨物_CNG,係数_バス貨物_軽油,係数_バス貨物_メタノール,係数_バス貨物_LPG),MATCH(AY1473+1,【参考】排出係数!$AI$4:$AI$671,1)-1,5,BE1473),2,FALSE),IF(OR(AW1473=1,AW1473=2),VLOOKUP(AU1473,INDEX((係数_乗用_ガソリン,係数_乗用_CNG,係数_乗用_軽油,係数_乗用_メタノール,係数_乗用_LPG),1,1,BE1473):INDEX((係数_乗用_ガソリン,係数_乗用_CNG,係数_乗用_軽油,係数_乗用_メタノール,係数_乗用_LPG),125,5,BE1473),2,FALSE))))))</f>
        <v/>
      </c>
      <c r="BB1473" s="468" t="str">
        <f>IF(T1473="","",IF(OR(AU1473="",AU1473="-"),"－",IF(OR(AZ1473=8,AZ1473=9),"",IF(OR(AW1473=3,AW1473=4,AW1473=5,AW1473=6),VLOOKUP(AU1473,INDEX((係数_バス貨物_ガソリン,係数_バス貨物_CNG,係数_バス貨物_軽油,係数_バス貨物_メタノール,係数_バス貨物_LPG),MATCH(AY1473,【参考】排出係数!$AI$4:$AI$671,1),1,BE1473):INDEX((係数_バス貨物_ガソリン,係数_バス貨物_CNG,係数_バス貨物_軽油,係数_バス貨物_メタノール,係数_バス貨物_LPG),MATCH(AY1473+1,【参考】排出係数!$AI$4:$AI$671,1)-1,5,BE1473),3,FALSE),IF(OR(AW1473=1,AW1473=2),VLOOKUP(AU1473,INDEX((係数_乗用_ガソリン,係数_乗用_CNG,係数_乗用_軽油,係数_乗用_メタノール,係数_乗用_LPG),1,1,BE1473):INDEX((係数_乗用_ガソリン,係数_乗用_CNG,係数_乗用_軽油,係数_乗用_メタノール,係数_乗用_LPG),125,5,BE1473),3,FALSE))))))</f>
        <v/>
      </c>
      <c r="BC1473" s="467" t="str">
        <f t="shared" si="862"/>
        <v/>
      </c>
      <c r="BD1473" s="567" t="str">
        <f t="shared" si="863"/>
        <v/>
      </c>
      <c r="BE1473" s="467" t="str">
        <f t="shared" si="864"/>
        <v/>
      </c>
      <c r="BF1473" s="469" t="str">
        <f t="shared" ca="1" si="865"/>
        <v/>
      </c>
      <c r="BG1473" s="469" t="str">
        <f t="shared" ca="1" si="866"/>
        <v/>
      </c>
      <c r="BH1473" s="467" t="str">
        <f t="shared" si="867"/>
        <v/>
      </c>
      <c r="BI1473" s="467" t="str">
        <f t="shared" ca="1" si="868"/>
        <v/>
      </c>
      <c r="BJ1473" s="469" t="str">
        <f t="shared" si="869"/>
        <v/>
      </c>
      <c r="BK1473" s="470" t="str">
        <f t="shared" si="853"/>
        <v/>
      </c>
      <c r="BL1473" s="775" t="str">
        <f t="shared" si="870"/>
        <v/>
      </c>
      <c r="BM1473" s="775" t="str">
        <f t="shared" si="871"/>
        <v/>
      </c>
    </row>
    <row r="1474" spans="1:65">
      <c r="A1474" s="473">
        <v>1418</v>
      </c>
      <c r="B1474" s="132"/>
      <c r="C1474" s="332"/>
      <c r="D1474" s="333"/>
      <c r="E1474" s="333"/>
      <c r="F1474" s="334"/>
      <c r="G1474" s="337"/>
      <c r="H1474" s="131"/>
      <c r="I1474" s="337"/>
      <c r="J1474" s="131"/>
      <c r="K1474" s="458" t="str">
        <f t="shared" si="834"/>
        <v/>
      </c>
      <c r="L1474" s="458">
        <f t="shared" si="835"/>
        <v>0</v>
      </c>
      <c r="M1474" s="458">
        <f t="shared" si="836"/>
        <v>0</v>
      </c>
      <c r="N1474" s="459" t="str">
        <f t="shared" si="847"/>
        <v/>
      </c>
      <c r="O1474" s="459" t="str">
        <f t="shared" si="848"/>
        <v/>
      </c>
      <c r="P1474" s="459" t="str">
        <f t="shared" si="849"/>
        <v/>
      </c>
      <c r="Q1474" s="459" t="str">
        <f t="shared" si="850"/>
        <v/>
      </c>
      <c r="R1474" s="459" t="str">
        <f t="shared" si="851"/>
        <v/>
      </c>
      <c r="S1474" s="459" t="str">
        <f t="shared" si="852"/>
        <v/>
      </c>
      <c r="T1474" s="566" t="str">
        <f t="shared" si="837"/>
        <v/>
      </c>
      <c r="U1474" s="702"/>
      <c r="V1474" s="132"/>
      <c r="W1474" s="133"/>
      <c r="X1474" s="134"/>
      <c r="Y1474" s="135"/>
      <c r="Z1474" s="137"/>
      <c r="AA1474" s="136"/>
      <c r="AB1474" s="566" t="str">
        <f t="shared" si="838"/>
        <v/>
      </c>
      <c r="AC1474" s="568" t="str">
        <f t="shared" si="839"/>
        <v/>
      </c>
      <c r="AD1474" s="137"/>
      <c r="AE1474" s="137"/>
      <c r="AF1474" s="138"/>
      <c r="AG1474" s="138"/>
      <c r="AH1474" s="592" t="str">
        <f t="shared" si="840"/>
        <v/>
      </c>
      <c r="AI1474" s="592" t="str">
        <f t="shared" si="841"/>
        <v/>
      </c>
      <c r="AJ1474" s="592" t="str">
        <f t="shared" si="842"/>
        <v/>
      </c>
      <c r="AK1474" s="460" t="str">
        <f>IF(AU1474="","",IF(OR(AZ1474=8,AZ1474=9),0,IF(OR(AW1474=3,AW1474=4,AW1474=5,AW1474=6),IF(LEFT(BF1474,1)="1",INDEX(係数_NOX・PM低減,MATCH(AY1474,【参考】排出係数!$AI$801:$AI$804,1),1),VLOOKUP(AU1474,INDEX((係数_バス貨物_ガソリン,係数_バス貨物_CNG,係数_バス貨物_軽油,係数_バス貨物_メタノール,係数_バス貨物_LPG),MATCH(AY1474,【参考】排出係数!$AI$4:$AI$671,1),1,BE1474):INDEX((係数_バス貨物_ガソリン,係数_バス貨物_CNG,係数_バス貨物_軽油,係数_バス貨物_メタノール,係数_バス貨物_LPG),MATCH(AY1474+1,【参考】排出係数!$AI$4:$AI$671,1)-1,5,BE1474),4,FALSE)),IF(AND(BE1474=3,LEFT(BF1474,1)="1"),0.48,VLOOKUP(AU1474,INDEX((係数_乗用_ガソリン,係数_乗用_CNG,係数_乗用_軽油,係数_乗用_メタノール,係数_乗用_LPG),1,1,BE1474):INDEX((係数_乗用_ガソリン,係数_乗用_CNG,係数_乗用_軽油,係数_乗用_メタノール,係数_乗用_LPG),125,5,BE1474),4,FALSE)))))</f>
        <v/>
      </c>
      <c r="AL1474" s="461" t="str">
        <f t="shared" si="843"/>
        <v/>
      </c>
      <c r="AM1474" s="460" t="str">
        <f>IF(AU1474="","",IF(OR(AZ1474=8,AZ1474=9),0,IF(OR(AW1474=3,AW1474=4,AW1474=5,AW1474=6),IF(LEFT(BH1474,1)="1",INDEX(係数_PM低減,MATCH(AY1474,【参考】排出係数!$AI$801:$AI$804,1),MATCH(BI1474,【参考】排出係数!$AL$798:$AO$798,1)),VLOOKUP(AU1474,INDEX((係数_バス貨物_ガソリン,係数_バス貨物_CNG,係数_バス貨物_軽油,係数_バス貨物_メタノール,係数_バス貨物_LPG),MATCH(AY1474,【参考】排出係数!$AI$4:$AI$671,1),1,BE1474):INDEX((係数_バス貨物_ガソリン,係数_バス貨物_CNG,係数_バス貨物_軽油,係数_バス貨物_メタノール,係数_バス貨物_LPG),MATCH(AY1474+1,【参考】排出係数!$AI$4:$AI$671,1)-1,5,BE1474),5,FALSE)),IF(AND(BE1474=3,LEFT(BF1474,1)="1"),0.055,VLOOKUP(AU1474,INDEX((係数_乗用_ガソリン,係数_乗用_CNG,係数_乗用_軽油,係数_乗用_メタノール,係数_乗用_LPG),1,1,BE1474):INDEX((係数_乗用_ガソリン,係数_乗用_CNG,係数_乗用_軽油,係数_乗用_メタノール,係数_乗用_LPG),125,5,BE1474),5,FALSE)))))</f>
        <v/>
      </c>
      <c r="AN1474" s="461" t="str">
        <f t="shared" si="844"/>
        <v/>
      </c>
      <c r="AO1474" s="462" t="str">
        <f t="shared" si="845"/>
        <v/>
      </c>
      <c r="AP1474" s="463" t="str">
        <f t="shared" si="846"/>
        <v/>
      </c>
      <c r="AQ1474" s="464"/>
      <c r="AR1474" s="619"/>
      <c r="AS1474" s="465" t="str">
        <f t="shared" si="854"/>
        <v/>
      </c>
      <c r="AT1474" s="465" t="str">
        <f t="shared" si="855"/>
        <v/>
      </c>
      <c r="AU1474" s="466" t="str">
        <f t="shared" si="856"/>
        <v/>
      </c>
      <c r="AV1474" s="467" t="str">
        <f t="shared" si="857"/>
        <v/>
      </c>
      <c r="AW1474" s="467" t="str">
        <f t="shared" si="858"/>
        <v/>
      </c>
      <c r="AX1474" s="467" t="str">
        <f t="shared" si="859"/>
        <v/>
      </c>
      <c r="AY1474" s="467" t="str">
        <f t="shared" si="860"/>
        <v/>
      </c>
      <c r="AZ1474" s="467" t="str">
        <f t="shared" si="861"/>
        <v/>
      </c>
      <c r="BA1474" s="468" t="str">
        <f>IF(AS1474="","",IF(OR(AU1474="",AU1474="-"),"－",IF(OR(AZ1474=8,AZ1474=9),"",IF(OR(AW1474=3,AW1474=4,AW1474=5,AW1474=6),VLOOKUP(AU1474,INDEX((係数_バス貨物_ガソリン,係数_バス貨物_CNG,係数_バス貨物_軽油,係数_バス貨物_メタノール,係数_バス貨物_LPG),MATCH(AY1474,【参考】排出係数!$AI$4:$AI$671,1),1,BE1474):INDEX((係数_バス貨物_ガソリン,係数_バス貨物_CNG,係数_バス貨物_軽油,係数_バス貨物_メタノール,係数_バス貨物_LPG),MATCH(AY1474+1,【参考】排出係数!$AI$4:$AI$671,1)-1,5,BE1474),2,FALSE),IF(OR(AW1474=1,AW1474=2),VLOOKUP(AU1474,INDEX((係数_乗用_ガソリン,係数_乗用_CNG,係数_乗用_軽油,係数_乗用_メタノール,係数_乗用_LPG),1,1,BE1474):INDEX((係数_乗用_ガソリン,係数_乗用_CNG,係数_乗用_軽油,係数_乗用_メタノール,係数_乗用_LPG),125,5,BE1474),2,FALSE))))))</f>
        <v/>
      </c>
      <c r="BB1474" s="468" t="str">
        <f>IF(T1474="","",IF(OR(AU1474="",AU1474="-"),"－",IF(OR(AZ1474=8,AZ1474=9),"",IF(OR(AW1474=3,AW1474=4,AW1474=5,AW1474=6),VLOOKUP(AU1474,INDEX((係数_バス貨物_ガソリン,係数_バス貨物_CNG,係数_バス貨物_軽油,係数_バス貨物_メタノール,係数_バス貨物_LPG),MATCH(AY1474,【参考】排出係数!$AI$4:$AI$671,1),1,BE1474):INDEX((係数_バス貨物_ガソリン,係数_バス貨物_CNG,係数_バス貨物_軽油,係数_バス貨物_メタノール,係数_バス貨物_LPG),MATCH(AY1474+1,【参考】排出係数!$AI$4:$AI$671,1)-1,5,BE1474),3,FALSE),IF(OR(AW1474=1,AW1474=2),VLOOKUP(AU1474,INDEX((係数_乗用_ガソリン,係数_乗用_CNG,係数_乗用_軽油,係数_乗用_メタノール,係数_乗用_LPG),1,1,BE1474):INDEX((係数_乗用_ガソリン,係数_乗用_CNG,係数_乗用_軽油,係数_乗用_メタノール,係数_乗用_LPG),125,5,BE1474),3,FALSE))))))</f>
        <v/>
      </c>
      <c r="BC1474" s="467" t="str">
        <f t="shared" si="862"/>
        <v/>
      </c>
      <c r="BD1474" s="567" t="str">
        <f t="shared" si="863"/>
        <v/>
      </c>
      <c r="BE1474" s="467" t="str">
        <f t="shared" si="864"/>
        <v/>
      </c>
      <c r="BF1474" s="469" t="str">
        <f t="shared" ca="1" si="865"/>
        <v/>
      </c>
      <c r="BG1474" s="469" t="str">
        <f t="shared" ca="1" si="866"/>
        <v/>
      </c>
      <c r="BH1474" s="467" t="str">
        <f t="shared" si="867"/>
        <v/>
      </c>
      <c r="BI1474" s="467" t="str">
        <f t="shared" ca="1" si="868"/>
        <v/>
      </c>
      <c r="BJ1474" s="469" t="str">
        <f t="shared" si="869"/>
        <v/>
      </c>
      <c r="BK1474" s="470" t="str">
        <f t="shared" si="853"/>
        <v/>
      </c>
      <c r="BL1474" s="775" t="str">
        <f t="shared" si="870"/>
        <v/>
      </c>
      <c r="BM1474" s="775" t="str">
        <f t="shared" si="871"/>
        <v/>
      </c>
    </row>
    <row r="1475" spans="1:65">
      <c r="A1475" s="473">
        <v>1419</v>
      </c>
      <c r="B1475" s="132"/>
      <c r="C1475" s="332"/>
      <c r="D1475" s="333"/>
      <c r="E1475" s="333"/>
      <c r="F1475" s="334"/>
      <c r="G1475" s="337"/>
      <c r="H1475" s="131"/>
      <c r="I1475" s="337"/>
      <c r="J1475" s="131"/>
      <c r="K1475" s="458" t="str">
        <f t="shared" si="834"/>
        <v/>
      </c>
      <c r="L1475" s="458">
        <f t="shared" si="835"/>
        <v>0</v>
      </c>
      <c r="M1475" s="458">
        <f t="shared" si="836"/>
        <v>0</v>
      </c>
      <c r="N1475" s="459" t="str">
        <f t="shared" si="847"/>
        <v/>
      </c>
      <c r="O1475" s="459" t="str">
        <f t="shared" si="848"/>
        <v/>
      </c>
      <c r="P1475" s="459" t="str">
        <f t="shared" si="849"/>
        <v/>
      </c>
      <c r="Q1475" s="459" t="str">
        <f t="shared" si="850"/>
        <v/>
      </c>
      <c r="R1475" s="459" t="str">
        <f t="shared" si="851"/>
        <v/>
      </c>
      <c r="S1475" s="459" t="str">
        <f t="shared" si="852"/>
        <v/>
      </c>
      <c r="T1475" s="566" t="str">
        <f t="shared" si="837"/>
        <v/>
      </c>
      <c r="U1475" s="702"/>
      <c r="V1475" s="132"/>
      <c r="W1475" s="133"/>
      <c r="X1475" s="134"/>
      <c r="Y1475" s="135"/>
      <c r="Z1475" s="137"/>
      <c r="AA1475" s="136"/>
      <c r="AB1475" s="566" t="str">
        <f t="shared" si="838"/>
        <v/>
      </c>
      <c r="AC1475" s="568" t="str">
        <f t="shared" si="839"/>
        <v/>
      </c>
      <c r="AD1475" s="137"/>
      <c r="AE1475" s="137"/>
      <c r="AF1475" s="138"/>
      <c r="AG1475" s="138"/>
      <c r="AH1475" s="592" t="str">
        <f t="shared" si="840"/>
        <v/>
      </c>
      <c r="AI1475" s="592" t="str">
        <f t="shared" si="841"/>
        <v/>
      </c>
      <c r="AJ1475" s="592" t="str">
        <f t="shared" si="842"/>
        <v/>
      </c>
      <c r="AK1475" s="460" t="str">
        <f>IF(AU1475="","",IF(OR(AZ1475=8,AZ1475=9),0,IF(OR(AW1475=3,AW1475=4,AW1475=5,AW1475=6),IF(LEFT(BF1475,1)="1",INDEX(係数_NOX・PM低減,MATCH(AY1475,【参考】排出係数!$AI$801:$AI$804,1),1),VLOOKUP(AU1475,INDEX((係数_バス貨物_ガソリン,係数_バス貨物_CNG,係数_バス貨物_軽油,係数_バス貨物_メタノール,係数_バス貨物_LPG),MATCH(AY1475,【参考】排出係数!$AI$4:$AI$671,1),1,BE1475):INDEX((係数_バス貨物_ガソリン,係数_バス貨物_CNG,係数_バス貨物_軽油,係数_バス貨物_メタノール,係数_バス貨物_LPG),MATCH(AY1475+1,【参考】排出係数!$AI$4:$AI$671,1)-1,5,BE1475),4,FALSE)),IF(AND(BE1475=3,LEFT(BF1475,1)="1"),0.48,VLOOKUP(AU1475,INDEX((係数_乗用_ガソリン,係数_乗用_CNG,係数_乗用_軽油,係数_乗用_メタノール,係数_乗用_LPG),1,1,BE1475):INDEX((係数_乗用_ガソリン,係数_乗用_CNG,係数_乗用_軽油,係数_乗用_メタノール,係数_乗用_LPG),125,5,BE1475),4,FALSE)))))</f>
        <v/>
      </c>
      <c r="AL1475" s="461" t="str">
        <f t="shared" si="843"/>
        <v/>
      </c>
      <c r="AM1475" s="460" t="str">
        <f>IF(AU1475="","",IF(OR(AZ1475=8,AZ1475=9),0,IF(OR(AW1475=3,AW1475=4,AW1475=5,AW1475=6),IF(LEFT(BH1475,1)="1",INDEX(係数_PM低減,MATCH(AY1475,【参考】排出係数!$AI$801:$AI$804,1),MATCH(BI1475,【参考】排出係数!$AL$798:$AO$798,1)),VLOOKUP(AU1475,INDEX((係数_バス貨物_ガソリン,係数_バス貨物_CNG,係数_バス貨物_軽油,係数_バス貨物_メタノール,係数_バス貨物_LPG),MATCH(AY1475,【参考】排出係数!$AI$4:$AI$671,1),1,BE1475):INDEX((係数_バス貨物_ガソリン,係数_バス貨物_CNG,係数_バス貨物_軽油,係数_バス貨物_メタノール,係数_バス貨物_LPG),MATCH(AY1475+1,【参考】排出係数!$AI$4:$AI$671,1)-1,5,BE1475),5,FALSE)),IF(AND(BE1475=3,LEFT(BF1475,1)="1"),0.055,VLOOKUP(AU1475,INDEX((係数_乗用_ガソリン,係数_乗用_CNG,係数_乗用_軽油,係数_乗用_メタノール,係数_乗用_LPG),1,1,BE1475):INDEX((係数_乗用_ガソリン,係数_乗用_CNG,係数_乗用_軽油,係数_乗用_メタノール,係数_乗用_LPG),125,5,BE1475),5,FALSE)))))</f>
        <v/>
      </c>
      <c r="AN1475" s="461" t="str">
        <f t="shared" si="844"/>
        <v/>
      </c>
      <c r="AO1475" s="462" t="str">
        <f t="shared" si="845"/>
        <v/>
      </c>
      <c r="AP1475" s="463" t="str">
        <f t="shared" si="846"/>
        <v/>
      </c>
      <c r="AQ1475" s="464"/>
      <c r="AR1475" s="619"/>
      <c r="AS1475" s="465" t="str">
        <f t="shared" si="854"/>
        <v/>
      </c>
      <c r="AT1475" s="465" t="str">
        <f t="shared" si="855"/>
        <v/>
      </c>
      <c r="AU1475" s="466" t="str">
        <f t="shared" si="856"/>
        <v/>
      </c>
      <c r="AV1475" s="467" t="str">
        <f t="shared" si="857"/>
        <v/>
      </c>
      <c r="AW1475" s="467" t="str">
        <f t="shared" si="858"/>
        <v/>
      </c>
      <c r="AX1475" s="467" t="str">
        <f t="shared" si="859"/>
        <v/>
      </c>
      <c r="AY1475" s="467" t="str">
        <f t="shared" si="860"/>
        <v/>
      </c>
      <c r="AZ1475" s="467" t="str">
        <f t="shared" si="861"/>
        <v/>
      </c>
      <c r="BA1475" s="468" t="str">
        <f>IF(AS1475="","",IF(OR(AU1475="",AU1475="-"),"－",IF(OR(AZ1475=8,AZ1475=9),"",IF(OR(AW1475=3,AW1475=4,AW1475=5,AW1475=6),VLOOKUP(AU1475,INDEX((係数_バス貨物_ガソリン,係数_バス貨物_CNG,係数_バス貨物_軽油,係数_バス貨物_メタノール,係数_バス貨物_LPG),MATCH(AY1475,【参考】排出係数!$AI$4:$AI$671,1),1,BE1475):INDEX((係数_バス貨物_ガソリン,係数_バス貨物_CNG,係数_バス貨物_軽油,係数_バス貨物_メタノール,係数_バス貨物_LPG),MATCH(AY1475+1,【参考】排出係数!$AI$4:$AI$671,1)-1,5,BE1475),2,FALSE),IF(OR(AW1475=1,AW1475=2),VLOOKUP(AU1475,INDEX((係数_乗用_ガソリン,係数_乗用_CNG,係数_乗用_軽油,係数_乗用_メタノール,係数_乗用_LPG),1,1,BE1475):INDEX((係数_乗用_ガソリン,係数_乗用_CNG,係数_乗用_軽油,係数_乗用_メタノール,係数_乗用_LPG),125,5,BE1475),2,FALSE))))))</f>
        <v/>
      </c>
      <c r="BB1475" s="468" t="str">
        <f>IF(T1475="","",IF(OR(AU1475="",AU1475="-"),"－",IF(OR(AZ1475=8,AZ1475=9),"",IF(OR(AW1475=3,AW1475=4,AW1475=5,AW1475=6),VLOOKUP(AU1475,INDEX((係数_バス貨物_ガソリン,係数_バス貨物_CNG,係数_バス貨物_軽油,係数_バス貨物_メタノール,係数_バス貨物_LPG),MATCH(AY1475,【参考】排出係数!$AI$4:$AI$671,1),1,BE1475):INDEX((係数_バス貨物_ガソリン,係数_バス貨物_CNG,係数_バス貨物_軽油,係数_バス貨物_メタノール,係数_バス貨物_LPG),MATCH(AY1475+1,【参考】排出係数!$AI$4:$AI$671,1)-1,5,BE1475),3,FALSE),IF(OR(AW1475=1,AW1475=2),VLOOKUP(AU1475,INDEX((係数_乗用_ガソリン,係数_乗用_CNG,係数_乗用_軽油,係数_乗用_メタノール,係数_乗用_LPG),1,1,BE1475):INDEX((係数_乗用_ガソリン,係数_乗用_CNG,係数_乗用_軽油,係数_乗用_メタノール,係数_乗用_LPG),125,5,BE1475),3,FALSE))))))</f>
        <v/>
      </c>
      <c r="BC1475" s="467" t="str">
        <f t="shared" si="862"/>
        <v/>
      </c>
      <c r="BD1475" s="567" t="str">
        <f t="shared" si="863"/>
        <v/>
      </c>
      <c r="BE1475" s="467" t="str">
        <f t="shared" si="864"/>
        <v/>
      </c>
      <c r="BF1475" s="469" t="str">
        <f t="shared" ca="1" si="865"/>
        <v/>
      </c>
      <c r="BG1475" s="469" t="str">
        <f t="shared" ca="1" si="866"/>
        <v/>
      </c>
      <c r="BH1475" s="467" t="str">
        <f t="shared" si="867"/>
        <v/>
      </c>
      <c r="BI1475" s="467" t="str">
        <f t="shared" ca="1" si="868"/>
        <v/>
      </c>
      <c r="BJ1475" s="469" t="str">
        <f t="shared" si="869"/>
        <v/>
      </c>
      <c r="BK1475" s="470" t="str">
        <f t="shared" si="853"/>
        <v/>
      </c>
      <c r="BL1475" s="775" t="str">
        <f t="shared" si="870"/>
        <v/>
      </c>
      <c r="BM1475" s="775" t="str">
        <f t="shared" si="871"/>
        <v/>
      </c>
    </row>
    <row r="1476" spans="1:65">
      <c r="A1476" s="473">
        <v>1420</v>
      </c>
      <c r="B1476" s="132"/>
      <c r="C1476" s="332"/>
      <c r="D1476" s="333"/>
      <c r="E1476" s="333"/>
      <c r="F1476" s="334"/>
      <c r="G1476" s="337"/>
      <c r="H1476" s="131"/>
      <c r="I1476" s="337"/>
      <c r="J1476" s="131"/>
      <c r="K1476" s="458" t="str">
        <f t="shared" si="834"/>
        <v/>
      </c>
      <c r="L1476" s="458">
        <f t="shared" si="835"/>
        <v>0</v>
      </c>
      <c r="M1476" s="458">
        <f t="shared" si="836"/>
        <v>0</v>
      </c>
      <c r="N1476" s="459" t="str">
        <f t="shared" si="847"/>
        <v/>
      </c>
      <c r="O1476" s="459" t="str">
        <f t="shared" si="848"/>
        <v/>
      </c>
      <c r="P1476" s="459" t="str">
        <f t="shared" si="849"/>
        <v/>
      </c>
      <c r="Q1476" s="459" t="str">
        <f t="shared" si="850"/>
        <v/>
      </c>
      <c r="R1476" s="459" t="str">
        <f t="shared" si="851"/>
        <v/>
      </c>
      <c r="S1476" s="459" t="str">
        <f t="shared" si="852"/>
        <v/>
      </c>
      <c r="T1476" s="566" t="str">
        <f t="shared" si="837"/>
        <v/>
      </c>
      <c r="U1476" s="702"/>
      <c r="V1476" s="132"/>
      <c r="W1476" s="133"/>
      <c r="X1476" s="134"/>
      <c r="Y1476" s="135"/>
      <c r="Z1476" s="137"/>
      <c r="AA1476" s="136"/>
      <c r="AB1476" s="566" t="str">
        <f t="shared" si="838"/>
        <v/>
      </c>
      <c r="AC1476" s="568" t="str">
        <f t="shared" si="839"/>
        <v/>
      </c>
      <c r="AD1476" s="137"/>
      <c r="AE1476" s="137"/>
      <c r="AF1476" s="138"/>
      <c r="AG1476" s="138"/>
      <c r="AH1476" s="592" t="str">
        <f t="shared" si="840"/>
        <v/>
      </c>
      <c r="AI1476" s="592" t="str">
        <f t="shared" si="841"/>
        <v/>
      </c>
      <c r="AJ1476" s="592" t="str">
        <f t="shared" si="842"/>
        <v/>
      </c>
      <c r="AK1476" s="460" t="str">
        <f>IF(AU1476="","",IF(OR(AZ1476=8,AZ1476=9),0,IF(OR(AW1476=3,AW1476=4,AW1476=5,AW1476=6),IF(LEFT(BF1476,1)="1",INDEX(係数_NOX・PM低減,MATCH(AY1476,【参考】排出係数!$AI$801:$AI$804,1),1),VLOOKUP(AU1476,INDEX((係数_バス貨物_ガソリン,係数_バス貨物_CNG,係数_バス貨物_軽油,係数_バス貨物_メタノール,係数_バス貨物_LPG),MATCH(AY1476,【参考】排出係数!$AI$4:$AI$671,1),1,BE1476):INDEX((係数_バス貨物_ガソリン,係数_バス貨物_CNG,係数_バス貨物_軽油,係数_バス貨物_メタノール,係数_バス貨物_LPG),MATCH(AY1476+1,【参考】排出係数!$AI$4:$AI$671,1)-1,5,BE1476),4,FALSE)),IF(AND(BE1476=3,LEFT(BF1476,1)="1"),0.48,VLOOKUP(AU1476,INDEX((係数_乗用_ガソリン,係数_乗用_CNG,係数_乗用_軽油,係数_乗用_メタノール,係数_乗用_LPG),1,1,BE1476):INDEX((係数_乗用_ガソリン,係数_乗用_CNG,係数_乗用_軽油,係数_乗用_メタノール,係数_乗用_LPG),125,5,BE1476),4,FALSE)))))</f>
        <v/>
      </c>
      <c r="AL1476" s="461" t="str">
        <f t="shared" si="843"/>
        <v/>
      </c>
      <c r="AM1476" s="460" t="str">
        <f>IF(AU1476="","",IF(OR(AZ1476=8,AZ1476=9),0,IF(OR(AW1476=3,AW1476=4,AW1476=5,AW1476=6),IF(LEFT(BH1476,1)="1",INDEX(係数_PM低減,MATCH(AY1476,【参考】排出係数!$AI$801:$AI$804,1),MATCH(BI1476,【参考】排出係数!$AL$798:$AO$798,1)),VLOOKUP(AU1476,INDEX((係数_バス貨物_ガソリン,係数_バス貨物_CNG,係数_バス貨物_軽油,係数_バス貨物_メタノール,係数_バス貨物_LPG),MATCH(AY1476,【参考】排出係数!$AI$4:$AI$671,1),1,BE1476):INDEX((係数_バス貨物_ガソリン,係数_バス貨物_CNG,係数_バス貨物_軽油,係数_バス貨物_メタノール,係数_バス貨物_LPG),MATCH(AY1476+1,【参考】排出係数!$AI$4:$AI$671,1)-1,5,BE1476),5,FALSE)),IF(AND(BE1476=3,LEFT(BF1476,1)="1"),0.055,VLOOKUP(AU1476,INDEX((係数_乗用_ガソリン,係数_乗用_CNG,係数_乗用_軽油,係数_乗用_メタノール,係数_乗用_LPG),1,1,BE1476):INDEX((係数_乗用_ガソリン,係数_乗用_CNG,係数_乗用_軽油,係数_乗用_メタノール,係数_乗用_LPG),125,5,BE1476),5,FALSE)))))</f>
        <v/>
      </c>
      <c r="AN1476" s="461" t="str">
        <f t="shared" si="844"/>
        <v/>
      </c>
      <c r="AO1476" s="462" t="str">
        <f t="shared" si="845"/>
        <v/>
      </c>
      <c r="AP1476" s="463" t="str">
        <f t="shared" si="846"/>
        <v/>
      </c>
      <c r="AQ1476" s="464"/>
      <c r="AR1476" s="619"/>
      <c r="AS1476" s="465" t="str">
        <f t="shared" si="854"/>
        <v/>
      </c>
      <c r="AT1476" s="465" t="str">
        <f t="shared" si="855"/>
        <v/>
      </c>
      <c r="AU1476" s="466" t="str">
        <f t="shared" si="856"/>
        <v/>
      </c>
      <c r="AV1476" s="467" t="str">
        <f t="shared" si="857"/>
        <v/>
      </c>
      <c r="AW1476" s="467" t="str">
        <f t="shared" si="858"/>
        <v/>
      </c>
      <c r="AX1476" s="467" t="str">
        <f t="shared" si="859"/>
        <v/>
      </c>
      <c r="AY1476" s="467" t="str">
        <f t="shared" si="860"/>
        <v/>
      </c>
      <c r="AZ1476" s="467" t="str">
        <f t="shared" si="861"/>
        <v/>
      </c>
      <c r="BA1476" s="468" t="str">
        <f>IF(AS1476="","",IF(OR(AU1476="",AU1476="-"),"－",IF(OR(AZ1476=8,AZ1476=9),"",IF(OR(AW1476=3,AW1476=4,AW1476=5,AW1476=6),VLOOKUP(AU1476,INDEX((係数_バス貨物_ガソリン,係数_バス貨物_CNG,係数_バス貨物_軽油,係数_バス貨物_メタノール,係数_バス貨物_LPG),MATCH(AY1476,【参考】排出係数!$AI$4:$AI$671,1),1,BE1476):INDEX((係数_バス貨物_ガソリン,係数_バス貨物_CNG,係数_バス貨物_軽油,係数_バス貨物_メタノール,係数_バス貨物_LPG),MATCH(AY1476+1,【参考】排出係数!$AI$4:$AI$671,1)-1,5,BE1476),2,FALSE),IF(OR(AW1476=1,AW1476=2),VLOOKUP(AU1476,INDEX((係数_乗用_ガソリン,係数_乗用_CNG,係数_乗用_軽油,係数_乗用_メタノール,係数_乗用_LPG),1,1,BE1476):INDEX((係数_乗用_ガソリン,係数_乗用_CNG,係数_乗用_軽油,係数_乗用_メタノール,係数_乗用_LPG),125,5,BE1476),2,FALSE))))))</f>
        <v/>
      </c>
      <c r="BB1476" s="468" t="str">
        <f>IF(T1476="","",IF(OR(AU1476="",AU1476="-"),"－",IF(OR(AZ1476=8,AZ1476=9),"",IF(OR(AW1476=3,AW1476=4,AW1476=5,AW1476=6),VLOOKUP(AU1476,INDEX((係数_バス貨物_ガソリン,係数_バス貨物_CNG,係数_バス貨物_軽油,係数_バス貨物_メタノール,係数_バス貨物_LPG),MATCH(AY1476,【参考】排出係数!$AI$4:$AI$671,1),1,BE1476):INDEX((係数_バス貨物_ガソリン,係数_バス貨物_CNG,係数_バス貨物_軽油,係数_バス貨物_メタノール,係数_バス貨物_LPG),MATCH(AY1476+1,【参考】排出係数!$AI$4:$AI$671,1)-1,5,BE1476),3,FALSE),IF(OR(AW1476=1,AW1476=2),VLOOKUP(AU1476,INDEX((係数_乗用_ガソリン,係数_乗用_CNG,係数_乗用_軽油,係数_乗用_メタノール,係数_乗用_LPG),1,1,BE1476):INDEX((係数_乗用_ガソリン,係数_乗用_CNG,係数_乗用_軽油,係数_乗用_メタノール,係数_乗用_LPG),125,5,BE1476),3,FALSE))))))</f>
        <v/>
      </c>
      <c r="BC1476" s="467" t="str">
        <f t="shared" si="862"/>
        <v/>
      </c>
      <c r="BD1476" s="567" t="str">
        <f t="shared" si="863"/>
        <v/>
      </c>
      <c r="BE1476" s="467" t="str">
        <f t="shared" si="864"/>
        <v/>
      </c>
      <c r="BF1476" s="469" t="str">
        <f t="shared" ca="1" si="865"/>
        <v/>
      </c>
      <c r="BG1476" s="469" t="str">
        <f t="shared" ca="1" si="866"/>
        <v/>
      </c>
      <c r="BH1476" s="467" t="str">
        <f t="shared" si="867"/>
        <v/>
      </c>
      <c r="BI1476" s="467" t="str">
        <f t="shared" ca="1" si="868"/>
        <v/>
      </c>
      <c r="BJ1476" s="469" t="str">
        <f t="shared" si="869"/>
        <v/>
      </c>
      <c r="BK1476" s="470" t="str">
        <f t="shared" si="853"/>
        <v/>
      </c>
      <c r="BL1476" s="775" t="str">
        <f t="shared" si="870"/>
        <v/>
      </c>
      <c r="BM1476" s="775" t="str">
        <f t="shared" si="871"/>
        <v/>
      </c>
    </row>
    <row r="1477" spans="1:65">
      <c r="A1477" s="473">
        <v>1421</v>
      </c>
      <c r="B1477" s="132"/>
      <c r="C1477" s="332"/>
      <c r="D1477" s="333"/>
      <c r="E1477" s="333"/>
      <c r="F1477" s="334"/>
      <c r="G1477" s="337"/>
      <c r="H1477" s="131"/>
      <c r="I1477" s="337"/>
      <c r="J1477" s="131"/>
      <c r="K1477" s="458" t="str">
        <f t="shared" si="834"/>
        <v/>
      </c>
      <c r="L1477" s="458">
        <f t="shared" si="835"/>
        <v>0</v>
      </c>
      <c r="M1477" s="458">
        <f t="shared" si="836"/>
        <v>0</v>
      </c>
      <c r="N1477" s="459" t="str">
        <f t="shared" si="847"/>
        <v/>
      </c>
      <c r="O1477" s="459" t="str">
        <f t="shared" si="848"/>
        <v/>
      </c>
      <c r="P1477" s="459" t="str">
        <f t="shared" si="849"/>
        <v/>
      </c>
      <c r="Q1477" s="459" t="str">
        <f t="shared" si="850"/>
        <v/>
      </c>
      <c r="R1477" s="459" t="str">
        <f t="shared" si="851"/>
        <v/>
      </c>
      <c r="S1477" s="459" t="str">
        <f t="shared" si="852"/>
        <v/>
      </c>
      <c r="T1477" s="566" t="str">
        <f t="shared" si="837"/>
        <v/>
      </c>
      <c r="U1477" s="702"/>
      <c r="V1477" s="132"/>
      <c r="W1477" s="133"/>
      <c r="X1477" s="134"/>
      <c r="Y1477" s="135"/>
      <c r="Z1477" s="137"/>
      <c r="AA1477" s="136"/>
      <c r="AB1477" s="566" t="str">
        <f t="shared" si="838"/>
        <v/>
      </c>
      <c r="AC1477" s="568" t="str">
        <f t="shared" si="839"/>
        <v/>
      </c>
      <c r="AD1477" s="137"/>
      <c r="AE1477" s="137"/>
      <c r="AF1477" s="138"/>
      <c r="AG1477" s="138"/>
      <c r="AH1477" s="592" t="str">
        <f t="shared" si="840"/>
        <v/>
      </c>
      <c r="AI1477" s="592" t="str">
        <f t="shared" si="841"/>
        <v/>
      </c>
      <c r="AJ1477" s="592" t="str">
        <f t="shared" si="842"/>
        <v/>
      </c>
      <c r="AK1477" s="460" t="str">
        <f>IF(AU1477="","",IF(OR(AZ1477=8,AZ1477=9),0,IF(OR(AW1477=3,AW1477=4,AW1477=5,AW1477=6),IF(LEFT(BF1477,1)="1",INDEX(係数_NOX・PM低減,MATCH(AY1477,【参考】排出係数!$AI$801:$AI$804,1),1),VLOOKUP(AU1477,INDEX((係数_バス貨物_ガソリン,係数_バス貨物_CNG,係数_バス貨物_軽油,係数_バス貨物_メタノール,係数_バス貨物_LPG),MATCH(AY1477,【参考】排出係数!$AI$4:$AI$671,1),1,BE1477):INDEX((係数_バス貨物_ガソリン,係数_バス貨物_CNG,係数_バス貨物_軽油,係数_バス貨物_メタノール,係数_バス貨物_LPG),MATCH(AY1477+1,【参考】排出係数!$AI$4:$AI$671,1)-1,5,BE1477),4,FALSE)),IF(AND(BE1477=3,LEFT(BF1477,1)="1"),0.48,VLOOKUP(AU1477,INDEX((係数_乗用_ガソリン,係数_乗用_CNG,係数_乗用_軽油,係数_乗用_メタノール,係数_乗用_LPG),1,1,BE1477):INDEX((係数_乗用_ガソリン,係数_乗用_CNG,係数_乗用_軽油,係数_乗用_メタノール,係数_乗用_LPG),125,5,BE1477),4,FALSE)))))</f>
        <v/>
      </c>
      <c r="AL1477" s="461" t="str">
        <f t="shared" si="843"/>
        <v/>
      </c>
      <c r="AM1477" s="460" t="str">
        <f>IF(AU1477="","",IF(OR(AZ1477=8,AZ1477=9),0,IF(OR(AW1477=3,AW1477=4,AW1477=5,AW1477=6),IF(LEFT(BH1477,1)="1",INDEX(係数_PM低減,MATCH(AY1477,【参考】排出係数!$AI$801:$AI$804,1),MATCH(BI1477,【参考】排出係数!$AL$798:$AO$798,1)),VLOOKUP(AU1477,INDEX((係数_バス貨物_ガソリン,係数_バス貨物_CNG,係数_バス貨物_軽油,係数_バス貨物_メタノール,係数_バス貨物_LPG),MATCH(AY1477,【参考】排出係数!$AI$4:$AI$671,1),1,BE1477):INDEX((係数_バス貨物_ガソリン,係数_バス貨物_CNG,係数_バス貨物_軽油,係数_バス貨物_メタノール,係数_バス貨物_LPG),MATCH(AY1477+1,【参考】排出係数!$AI$4:$AI$671,1)-1,5,BE1477),5,FALSE)),IF(AND(BE1477=3,LEFT(BF1477,1)="1"),0.055,VLOOKUP(AU1477,INDEX((係数_乗用_ガソリン,係数_乗用_CNG,係数_乗用_軽油,係数_乗用_メタノール,係数_乗用_LPG),1,1,BE1477):INDEX((係数_乗用_ガソリン,係数_乗用_CNG,係数_乗用_軽油,係数_乗用_メタノール,係数_乗用_LPG),125,5,BE1477),5,FALSE)))))</f>
        <v/>
      </c>
      <c r="AN1477" s="461" t="str">
        <f t="shared" si="844"/>
        <v/>
      </c>
      <c r="AO1477" s="462" t="str">
        <f t="shared" si="845"/>
        <v/>
      </c>
      <c r="AP1477" s="463" t="str">
        <f t="shared" si="846"/>
        <v/>
      </c>
      <c r="AQ1477" s="464"/>
      <c r="AR1477" s="619"/>
      <c r="AS1477" s="465" t="str">
        <f t="shared" si="854"/>
        <v/>
      </c>
      <c r="AT1477" s="465" t="str">
        <f t="shared" si="855"/>
        <v/>
      </c>
      <c r="AU1477" s="466" t="str">
        <f t="shared" si="856"/>
        <v/>
      </c>
      <c r="AV1477" s="467" t="str">
        <f t="shared" si="857"/>
        <v/>
      </c>
      <c r="AW1477" s="467" t="str">
        <f t="shared" si="858"/>
        <v/>
      </c>
      <c r="AX1477" s="467" t="str">
        <f t="shared" si="859"/>
        <v/>
      </c>
      <c r="AY1477" s="467" t="str">
        <f t="shared" si="860"/>
        <v/>
      </c>
      <c r="AZ1477" s="467" t="str">
        <f t="shared" si="861"/>
        <v/>
      </c>
      <c r="BA1477" s="468" t="str">
        <f>IF(AS1477="","",IF(OR(AU1477="",AU1477="-"),"－",IF(OR(AZ1477=8,AZ1477=9),"",IF(OR(AW1477=3,AW1477=4,AW1477=5,AW1477=6),VLOOKUP(AU1477,INDEX((係数_バス貨物_ガソリン,係数_バス貨物_CNG,係数_バス貨物_軽油,係数_バス貨物_メタノール,係数_バス貨物_LPG),MATCH(AY1477,【参考】排出係数!$AI$4:$AI$671,1),1,BE1477):INDEX((係数_バス貨物_ガソリン,係数_バス貨物_CNG,係数_バス貨物_軽油,係数_バス貨物_メタノール,係数_バス貨物_LPG),MATCH(AY1477+1,【参考】排出係数!$AI$4:$AI$671,1)-1,5,BE1477),2,FALSE),IF(OR(AW1477=1,AW1477=2),VLOOKUP(AU1477,INDEX((係数_乗用_ガソリン,係数_乗用_CNG,係数_乗用_軽油,係数_乗用_メタノール,係数_乗用_LPG),1,1,BE1477):INDEX((係数_乗用_ガソリン,係数_乗用_CNG,係数_乗用_軽油,係数_乗用_メタノール,係数_乗用_LPG),125,5,BE1477),2,FALSE))))))</f>
        <v/>
      </c>
      <c r="BB1477" s="468" t="str">
        <f>IF(T1477="","",IF(OR(AU1477="",AU1477="-"),"－",IF(OR(AZ1477=8,AZ1477=9),"",IF(OR(AW1477=3,AW1477=4,AW1477=5,AW1477=6),VLOOKUP(AU1477,INDEX((係数_バス貨物_ガソリン,係数_バス貨物_CNG,係数_バス貨物_軽油,係数_バス貨物_メタノール,係数_バス貨物_LPG),MATCH(AY1477,【参考】排出係数!$AI$4:$AI$671,1),1,BE1477):INDEX((係数_バス貨物_ガソリン,係数_バス貨物_CNG,係数_バス貨物_軽油,係数_バス貨物_メタノール,係数_バス貨物_LPG),MATCH(AY1477+1,【参考】排出係数!$AI$4:$AI$671,1)-1,5,BE1477),3,FALSE),IF(OR(AW1477=1,AW1477=2),VLOOKUP(AU1477,INDEX((係数_乗用_ガソリン,係数_乗用_CNG,係数_乗用_軽油,係数_乗用_メタノール,係数_乗用_LPG),1,1,BE1477):INDEX((係数_乗用_ガソリン,係数_乗用_CNG,係数_乗用_軽油,係数_乗用_メタノール,係数_乗用_LPG),125,5,BE1477),3,FALSE))))))</f>
        <v/>
      </c>
      <c r="BC1477" s="467" t="str">
        <f t="shared" si="862"/>
        <v/>
      </c>
      <c r="BD1477" s="567" t="str">
        <f t="shared" si="863"/>
        <v/>
      </c>
      <c r="BE1477" s="467" t="str">
        <f t="shared" si="864"/>
        <v/>
      </c>
      <c r="BF1477" s="469" t="str">
        <f t="shared" ca="1" si="865"/>
        <v/>
      </c>
      <c r="BG1477" s="469" t="str">
        <f t="shared" ca="1" si="866"/>
        <v/>
      </c>
      <c r="BH1477" s="467" t="str">
        <f t="shared" si="867"/>
        <v/>
      </c>
      <c r="BI1477" s="467" t="str">
        <f t="shared" ca="1" si="868"/>
        <v/>
      </c>
      <c r="BJ1477" s="469" t="str">
        <f t="shared" si="869"/>
        <v/>
      </c>
      <c r="BK1477" s="470" t="str">
        <f t="shared" si="853"/>
        <v/>
      </c>
      <c r="BL1477" s="775" t="str">
        <f t="shared" si="870"/>
        <v/>
      </c>
      <c r="BM1477" s="775" t="str">
        <f t="shared" si="871"/>
        <v/>
      </c>
    </row>
    <row r="1478" spans="1:65">
      <c r="A1478" s="473">
        <v>1422</v>
      </c>
      <c r="B1478" s="132"/>
      <c r="C1478" s="332"/>
      <c r="D1478" s="333"/>
      <c r="E1478" s="333"/>
      <c r="F1478" s="334"/>
      <c r="G1478" s="337"/>
      <c r="H1478" s="131"/>
      <c r="I1478" s="337"/>
      <c r="J1478" s="131"/>
      <c r="K1478" s="458" t="str">
        <f t="shared" si="834"/>
        <v/>
      </c>
      <c r="L1478" s="458">
        <f t="shared" si="835"/>
        <v>0</v>
      </c>
      <c r="M1478" s="458">
        <f t="shared" si="836"/>
        <v>0</v>
      </c>
      <c r="N1478" s="459" t="str">
        <f t="shared" si="847"/>
        <v/>
      </c>
      <c r="O1478" s="459" t="str">
        <f t="shared" si="848"/>
        <v/>
      </c>
      <c r="P1478" s="459" t="str">
        <f t="shared" si="849"/>
        <v/>
      </c>
      <c r="Q1478" s="459" t="str">
        <f t="shared" si="850"/>
        <v/>
      </c>
      <c r="R1478" s="459" t="str">
        <f t="shared" si="851"/>
        <v/>
      </c>
      <c r="S1478" s="459" t="str">
        <f t="shared" si="852"/>
        <v/>
      </c>
      <c r="T1478" s="566" t="str">
        <f t="shared" si="837"/>
        <v/>
      </c>
      <c r="U1478" s="702"/>
      <c r="V1478" s="132"/>
      <c r="W1478" s="133"/>
      <c r="X1478" s="134"/>
      <c r="Y1478" s="135"/>
      <c r="Z1478" s="137"/>
      <c r="AA1478" s="136"/>
      <c r="AB1478" s="566" t="str">
        <f t="shared" si="838"/>
        <v/>
      </c>
      <c r="AC1478" s="568" t="str">
        <f t="shared" si="839"/>
        <v/>
      </c>
      <c r="AD1478" s="137"/>
      <c r="AE1478" s="137"/>
      <c r="AF1478" s="138"/>
      <c r="AG1478" s="138"/>
      <c r="AH1478" s="592" t="str">
        <f t="shared" si="840"/>
        <v/>
      </c>
      <c r="AI1478" s="592" t="str">
        <f t="shared" si="841"/>
        <v/>
      </c>
      <c r="AJ1478" s="592" t="str">
        <f t="shared" si="842"/>
        <v/>
      </c>
      <c r="AK1478" s="460" t="str">
        <f>IF(AU1478="","",IF(OR(AZ1478=8,AZ1478=9),0,IF(OR(AW1478=3,AW1478=4,AW1478=5,AW1478=6),IF(LEFT(BF1478,1)="1",INDEX(係数_NOX・PM低減,MATCH(AY1478,【参考】排出係数!$AI$801:$AI$804,1),1),VLOOKUP(AU1478,INDEX((係数_バス貨物_ガソリン,係数_バス貨物_CNG,係数_バス貨物_軽油,係数_バス貨物_メタノール,係数_バス貨物_LPG),MATCH(AY1478,【参考】排出係数!$AI$4:$AI$671,1),1,BE1478):INDEX((係数_バス貨物_ガソリン,係数_バス貨物_CNG,係数_バス貨物_軽油,係数_バス貨物_メタノール,係数_バス貨物_LPG),MATCH(AY1478+1,【参考】排出係数!$AI$4:$AI$671,1)-1,5,BE1478),4,FALSE)),IF(AND(BE1478=3,LEFT(BF1478,1)="1"),0.48,VLOOKUP(AU1478,INDEX((係数_乗用_ガソリン,係数_乗用_CNG,係数_乗用_軽油,係数_乗用_メタノール,係数_乗用_LPG),1,1,BE1478):INDEX((係数_乗用_ガソリン,係数_乗用_CNG,係数_乗用_軽油,係数_乗用_メタノール,係数_乗用_LPG),125,5,BE1478),4,FALSE)))))</f>
        <v/>
      </c>
      <c r="AL1478" s="461" t="str">
        <f t="shared" si="843"/>
        <v/>
      </c>
      <c r="AM1478" s="460" t="str">
        <f>IF(AU1478="","",IF(OR(AZ1478=8,AZ1478=9),0,IF(OR(AW1478=3,AW1478=4,AW1478=5,AW1478=6),IF(LEFT(BH1478,1)="1",INDEX(係数_PM低減,MATCH(AY1478,【参考】排出係数!$AI$801:$AI$804,1),MATCH(BI1478,【参考】排出係数!$AL$798:$AO$798,1)),VLOOKUP(AU1478,INDEX((係数_バス貨物_ガソリン,係数_バス貨物_CNG,係数_バス貨物_軽油,係数_バス貨物_メタノール,係数_バス貨物_LPG),MATCH(AY1478,【参考】排出係数!$AI$4:$AI$671,1),1,BE1478):INDEX((係数_バス貨物_ガソリン,係数_バス貨物_CNG,係数_バス貨物_軽油,係数_バス貨物_メタノール,係数_バス貨物_LPG),MATCH(AY1478+1,【参考】排出係数!$AI$4:$AI$671,1)-1,5,BE1478),5,FALSE)),IF(AND(BE1478=3,LEFT(BF1478,1)="1"),0.055,VLOOKUP(AU1478,INDEX((係数_乗用_ガソリン,係数_乗用_CNG,係数_乗用_軽油,係数_乗用_メタノール,係数_乗用_LPG),1,1,BE1478):INDEX((係数_乗用_ガソリン,係数_乗用_CNG,係数_乗用_軽油,係数_乗用_メタノール,係数_乗用_LPG),125,5,BE1478),5,FALSE)))))</f>
        <v/>
      </c>
      <c r="AN1478" s="461" t="str">
        <f t="shared" si="844"/>
        <v/>
      </c>
      <c r="AO1478" s="462" t="str">
        <f t="shared" si="845"/>
        <v/>
      </c>
      <c r="AP1478" s="463" t="str">
        <f t="shared" si="846"/>
        <v/>
      </c>
      <c r="AQ1478" s="464"/>
      <c r="AR1478" s="619"/>
      <c r="AS1478" s="465" t="str">
        <f t="shared" si="854"/>
        <v/>
      </c>
      <c r="AT1478" s="465" t="str">
        <f t="shared" si="855"/>
        <v/>
      </c>
      <c r="AU1478" s="466" t="str">
        <f t="shared" si="856"/>
        <v/>
      </c>
      <c r="AV1478" s="467" t="str">
        <f t="shared" si="857"/>
        <v/>
      </c>
      <c r="AW1478" s="467" t="str">
        <f t="shared" si="858"/>
        <v/>
      </c>
      <c r="AX1478" s="467" t="str">
        <f t="shared" si="859"/>
        <v/>
      </c>
      <c r="AY1478" s="467" t="str">
        <f t="shared" si="860"/>
        <v/>
      </c>
      <c r="AZ1478" s="467" t="str">
        <f t="shared" si="861"/>
        <v/>
      </c>
      <c r="BA1478" s="468" t="str">
        <f>IF(AS1478="","",IF(OR(AU1478="",AU1478="-"),"－",IF(OR(AZ1478=8,AZ1478=9),"",IF(OR(AW1478=3,AW1478=4,AW1478=5,AW1478=6),VLOOKUP(AU1478,INDEX((係数_バス貨物_ガソリン,係数_バス貨物_CNG,係数_バス貨物_軽油,係数_バス貨物_メタノール,係数_バス貨物_LPG),MATCH(AY1478,【参考】排出係数!$AI$4:$AI$671,1),1,BE1478):INDEX((係数_バス貨物_ガソリン,係数_バス貨物_CNG,係数_バス貨物_軽油,係数_バス貨物_メタノール,係数_バス貨物_LPG),MATCH(AY1478+1,【参考】排出係数!$AI$4:$AI$671,1)-1,5,BE1478),2,FALSE),IF(OR(AW1478=1,AW1478=2),VLOOKUP(AU1478,INDEX((係数_乗用_ガソリン,係数_乗用_CNG,係数_乗用_軽油,係数_乗用_メタノール,係数_乗用_LPG),1,1,BE1478):INDEX((係数_乗用_ガソリン,係数_乗用_CNG,係数_乗用_軽油,係数_乗用_メタノール,係数_乗用_LPG),125,5,BE1478),2,FALSE))))))</f>
        <v/>
      </c>
      <c r="BB1478" s="468" t="str">
        <f>IF(T1478="","",IF(OR(AU1478="",AU1478="-"),"－",IF(OR(AZ1478=8,AZ1478=9),"",IF(OR(AW1478=3,AW1478=4,AW1478=5,AW1478=6),VLOOKUP(AU1478,INDEX((係数_バス貨物_ガソリン,係数_バス貨物_CNG,係数_バス貨物_軽油,係数_バス貨物_メタノール,係数_バス貨物_LPG),MATCH(AY1478,【参考】排出係数!$AI$4:$AI$671,1),1,BE1478):INDEX((係数_バス貨物_ガソリン,係数_バス貨物_CNG,係数_バス貨物_軽油,係数_バス貨物_メタノール,係数_バス貨物_LPG),MATCH(AY1478+1,【参考】排出係数!$AI$4:$AI$671,1)-1,5,BE1478),3,FALSE),IF(OR(AW1478=1,AW1478=2),VLOOKUP(AU1478,INDEX((係数_乗用_ガソリン,係数_乗用_CNG,係数_乗用_軽油,係数_乗用_メタノール,係数_乗用_LPG),1,1,BE1478):INDEX((係数_乗用_ガソリン,係数_乗用_CNG,係数_乗用_軽油,係数_乗用_メタノール,係数_乗用_LPG),125,5,BE1478),3,FALSE))))))</f>
        <v/>
      </c>
      <c r="BC1478" s="467" t="str">
        <f t="shared" si="862"/>
        <v/>
      </c>
      <c r="BD1478" s="567" t="str">
        <f t="shared" si="863"/>
        <v/>
      </c>
      <c r="BE1478" s="467" t="str">
        <f t="shared" si="864"/>
        <v/>
      </c>
      <c r="BF1478" s="469" t="str">
        <f t="shared" ca="1" si="865"/>
        <v/>
      </c>
      <c r="BG1478" s="469" t="str">
        <f t="shared" ca="1" si="866"/>
        <v/>
      </c>
      <c r="BH1478" s="467" t="str">
        <f t="shared" si="867"/>
        <v/>
      </c>
      <c r="BI1478" s="467" t="str">
        <f t="shared" ca="1" si="868"/>
        <v/>
      </c>
      <c r="BJ1478" s="469" t="str">
        <f t="shared" si="869"/>
        <v/>
      </c>
      <c r="BK1478" s="470" t="str">
        <f t="shared" si="853"/>
        <v/>
      </c>
      <c r="BL1478" s="775" t="str">
        <f t="shared" si="870"/>
        <v/>
      </c>
      <c r="BM1478" s="775" t="str">
        <f t="shared" si="871"/>
        <v/>
      </c>
    </row>
    <row r="1479" spans="1:65">
      <c r="A1479" s="473">
        <v>1423</v>
      </c>
      <c r="B1479" s="132"/>
      <c r="C1479" s="332"/>
      <c r="D1479" s="333"/>
      <c r="E1479" s="333"/>
      <c r="F1479" s="334"/>
      <c r="G1479" s="337"/>
      <c r="H1479" s="131"/>
      <c r="I1479" s="337"/>
      <c r="J1479" s="131"/>
      <c r="K1479" s="458" t="str">
        <f t="shared" si="834"/>
        <v/>
      </c>
      <c r="L1479" s="458">
        <f t="shared" si="835"/>
        <v>0</v>
      </c>
      <c r="M1479" s="458">
        <f t="shared" si="836"/>
        <v>0</v>
      </c>
      <c r="N1479" s="459" t="str">
        <f t="shared" si="847"/>
        <v/>
      </c>
      <c r="O1479" s="459" t="str">
        <f t="shared" si="848"/>
        <v/>
      </c>
      <c r="P1479" s="459" t="str">
        <f t="shared" si="849"/>
        <v/>
      </c>
      <c r="Q1479" s="459" t="str">
        <f t="shared" si="850"/>
        <v/>
      </c>
      <c r="R1479" s="459" t="str">
        <f t="shared" si="851"/>
        <v/>
      </c>
      <c r="S1479" s="459" t="str">
        <f t="shared" si="852"/>
        <v/>
      </c>
      <c r="T1479" s="566" t="str">
        <f t="shared" si="837"/>
        <v/>
      </c>
      <c r="U1479" s="702"/>
      <c r="V1479" s="132"/>
      <c r="W1479" s="133"/>
      <c r="X1479" s="134"/>
      <c r="Y1479" s="135"/>
      <c r="Z1479" s="137"/>
      <c r="AA1479" s="136"/>
      <c r="AB1479" s="566" t="str">
        <f t="shared" si="838"/>
        <v/>
      </c>
      <c r="AC1479" s="568" t="str">
        <f t="shared" si="839"/>
        <v/>
      </c>
      <c r="AD1479" s="137"/>
      <c r="AE1479" s="137"/>
      <c r="AF1479" s="138"/>
      <c r="AG1479" s="138"/>
      <c r="AH1479" s="592" t="str">
        <f t="shared" si="840"/>
        <v/>
      </c>
      <c r="AI1479" s="592" t="str">
        <f t="shared" si="841"/>
        <v/>
      </c>
      <c r="AJ1479" s="592" t="str">
        <f t="shared" si="842"/>
        <v/>
      </c>
      <c r="AK1479" s="460" t="str">
        <f>IF(AU1479="","",IF(OR(AZ1479=8,AZ1479=9),0,IF(OR(AW1479=3,AW1479=4,AW1479=5,AW1479=6),IF(LEFT(BF1479,1)="1",INDEX(係数_NOX・PM低減,MATCH(AY1479,【参考】排出係数!$AI$801:$AI$804,1),1),VLOOKUP(AU1479,INDEX((係数_バス貨物_ガソリン,係数_バス貨物_CNG,係数_バス貨物_軽油,係数_バス貨物_メタノール,係数_バス貨物_LPG),MATCH(AY1479,【参考】排出係数!$AI$4:$AI$671,1),1,BE1479):INDEX((係数_バス貨物_ガソリン,係数_バス貨物_CNG,係数_バス貨物_軽油,係数_バス貨物_メタノール,係数_バス貨物_LPG),MATCH(AY1479+1,【参考】排出係数!$AI$4:$AI$671,1)-1,5,BE1479),4,FALSE)),IF(AND(BE1479=3,LEFT(BF1479,1)="1"),0.48,VLOOKUP(AU1479,INDEX((係数_乗用_ガソリン,係数_乗用_CNG,係数_乗用_軽油,係数_乗用_メタノール,係数_乗用_LPG),1,1,BE1479):INDEX((係数_乗用_ガソリン,係数_乗用_CNG,係数_乗用_軽油,係数_乗用_メタノール,係数_乗用_LPG),125,5,BE1479),4,FALSE)))))</f>
        <v/>
      </c>
      <c r="AL1479" s="461" t="str">
        <f t="shared" si="843"/>
        <v/>
      </c>
      <c r="AM1479" s="460" t="str">
        <f>IF(AU1479="","",IF(OR(AZ1479=8,AZ1479=9),0,IF(OR(AW1479=3,AW1479=4,AW1479=5,AW1479=6),IF(LEFT(BH1479,1)="1",INDEX(係数_PM低減,MATCH(AY1479,【参考】排出係数!$AI$801:$AI$804,1),MATCH(BI1479,【参考】排出係数!$AL$798:$AO$798,1)),VLOOKUP(AU1479,INDEX((係数_バス貨物_ガソリン,係数_バス貨物_CNG,係数_バス貨物_軽油,係数_バス貨物_メタノール,係数_バス貨物_LPG),MATCH(AY1479,【参考】排出係数!$AI$4:$AI$671,1),1,BE1479):INDEX((係数_バス貨物_ガソリン,係数_バス貨物_CNG,係数_バス貨物_軽油,係数_バス貨物_メタノール,係数_バス貨物_LPG),MATCH(AY1479+1,【参考】排出係数!$AI$4:$AI$671,1)-1,5,BE1479),5,FALSE)),IF(AND(BE1479=3,LEFT(BF1479,1)="1"),0.055,VLOOKUP(AU1479,INDEX((係数_乗用_ガソリン,係数_乗用_CNG,係数_乗用_軽油,係数_乗用_メタノール,係数_乗用_LPG),1,1,BE1479):INDEX((係数_乗用_ガソリン,係数_乗用_CNG,係数_乗用_軽油,係数_乗用_メタノール,係数_乗用_LPG),125,5,BE1479),5,FALSE)))))</f>
        <v/>
      </c>
      <c r="AN1479" s="461" t="str">
        <f t="shared" si="844"/>
        <v/>
      </c>
      <c r="AO1479" s="462" t="str">
        <f t="shared" si="845"/>
        <v/>
      </c>
      <c r="AP1479" s="463" t="str">
        <f t="shared" si="846"/>
        <v/>
      </c>
      <c r="AQ1479" s="464"/>
      <c r="AR1479" s="619"/>
      <c r="AS1479" s="465" t="str">
        <f t="shared" si="854"/>
        <v/>
      </c>
      <c r="AT1479" s="465" t="str">
        <f t="shared" si="855"/>
        <v/>
      </c>
      <c r="AU1479" s="466" t="str">
        <f t="shared" si="856"/>
        <v/>
      </c>
      <c r="AV1479" s="467" t="str">
        <f t="shared" si="857"/>
        <v/>
      </c>
      <c r="AW1479" s="467" t="str">
        <f t="shared" si="858"/>
        <v/>
      </c>
      <c r="AX1479" s="467" t="str">
        <f t="shared" si="859"/>
        <v/>
      </c>
      <c r="AY1479" s="467" t="str">
        <f t="shared" si="860"/>
        <v/>
      </c>
      <c r="AZ1479" s="467" t="str">
        <f t="shared" si="861"/>
        <v/>
      </c>
      <c r="BA1479" s="468" t="str">
        <f>IF(AS1479="","",IF(OR(AU1479="",AU1479="-"),"－",IF(OR(AZ1479=8,AZ1479=9),"",IF(OR(AW1479=3,AW1479=4,AW1479=5,AW1479=6),VLOOKUP(AU1479,INDEX((係数_バス貨物_ガソリン,係数_バス貨物_CNG,係数_バス貨物_軽油,係数_バス貨物_メタノール,係数_バス貨物_LPG),MATCH(AY1479,【参考】排出係数!$AI$4:$AI$671,1),1,BE1479):INDEX((係数_バス貨物_ガソリン,係数_バス貨物_CNG,係数_バス貨物_軽油,係数_バス貨物_メタノール,係数_バス貨物_LPG),MATCH(AY1479+1,【参考】排出係数!$AI$4:$AI$671,1)-1,5,BE1479),2,FALSE),IF(OR(AW1479=1,AW1479=2),VLOOKUP(AU1479,INDEX((係数_乗用_ガソリン,係数_乗用_CNG,係数_乗用_軽油,係数_乗用_メタノール,係数_乗用_LPG),1,1,BE1479):INDEX((係数_乗用_ガソリン,係数_乗用_CNG,係数_乗用_軽油,係数_乗用_メタノール,係数_乗用_LPG),125,5,BE1479),2,FALSE))))))</f>
        <v/>
      </c>
      <c r="BB1479" s="468" t="str">
        <f>IF(T1479="","",IF(OR(AU1479="",AU1479="-"),"－",IF(OR(AZ1479=8,AZ1479=9),"",IF(OR(AW1479=3,AW1479=4,AW1479=5,AW1479=6),VLOOKUP(AU1479,INDEX((係数_バス貨物_ガソリン,係数_バス貨物_CNG,係数_バス貨物_軽油,係数_バス貨物_メタノール,係数_バス貨物_LPG),MATCH(AY1479,【参考】排出係数!$AI$4:$AI$671,1),1,BE1479):INDEX((係数_バス貨物_ガソリン,係数_バス貨物_CNG,係数_バス貨物_軽油,係数_バス貨物_メタノール,係数_バス貨物_LPG),MATCH(AY1479+1,【参考】排出係数!$AI$4:$AI$671,1)-1,5,BE1479),3,FALSE),IF(OR(AW1479=1,AW1479=2),VLOOKUP(AU1479,INDEX((係数_乗用_ガソリン,係数_乗用_CNG,係数_乗用_軽油,係数_乗用_メタノール,係数_乗用_LPG),1,1,BE1479):INDEX((係数_乗用_ガソリン,係数_乗用_CNG,係数_乗用_軽油,係数_乗用_メタノール,係数_乗用_LPG),125,5,BE1479),3,FALSE))))))</f>
        <v/>
      </c>
      <c r="BC1479" s="467" t="str">
        <f t="shared" si="862"/>
        <v/>
      </c>
      <c r="BD1479" s="567" t="str">
        <f t="shared" si="863"/>
        <v/>
      </c>
      <c r="BE1479" s="467" t="str">
        <f t="shared" si="864"/>
        <v/>
      </c>
      <c r="BF1479" s="469" t="str">
        <f t="shared" ca="1" si="865"/>
        <v/>
      </c>
      <c r="BG1479" s="469" t="str">
        <f t="shared" ca="1" si="866"/>
        <v/>
      </c>
      <c r="BH1479" s="467" t="str">
        <f t="shared" si="867"/>
        <v/>
      </c>
      <c r="BI1479" s="467" t="str">
        <f t="shared" ca="1" si="868"/>
        <v/>
      </c>
      <c r="BJ1479" s="469" t="str">
        <f t="shared" si="869"/>
        <v/>
      </c>
      <c r="BK1479" s="470" t="str">
        <f t="shared" si="853"/>
        <v/>
      </c>
      <c r="BL1479" s="775" t="str">
        <f t="shared" si="870"/>
        <v/>
      </c>
      <c r="BM1479" s="775" t="str">
        <f t="shared" si="871"/>
        <v/>
      </c>
    </row>
    <row r="1480" spans="1:65">
      <c r="A1480" s="473">
        <v>1424</v>
      </c>
      <c r="B1480" s="132"/>
      <c r="C1480" s="332"/>
      <c r="D1480" s="333"/>
      <c r="E1480" s="333"/>
      <c r="F1480" s="334"/>
      <c r="G1480" s="337"/>
      <c r="H1480" s="131"/>
      <c r="I1480" s="337"/>
      <c r="J1480" s="131"/>
      <c r="K1480" s="458" t="str">
        <f t="shared" si="834"/>
        <v/>
      </c>
      <c r="L1480" s="458">
        <f t="shared" si="835"/>
        <v>0</v>
      </c>
      <c r="M1480" s="458">
        <f t="shared" si="836"/>
        <v>0</v>
      </c>
      <c r="N1480" s="459" t="str">
        <f t="shared" si="847"/>
        <v/>
      </c>
      <c r="O1480" s="459" t="str">
        <f t="shared" si="848"/>
        <v/>
      </c>
      <c r="P1480" s="459" t="str">
        <f t="shared" si="849"/>
        <v/>
      </c>
      <c r="Q1480" s="459" t="str">
        <f t="shared" si="850"/>
        <v/>
      </c>
      <c r="R1480" s="459" t="str">
        <f t="shared" si="851"/>
        <v/>
      </c>
      <c r="S1480" s="459" t="str">
        <f t="shared" si="852"/>
        <v/>
      </c>
      <c r="T1480" s="566" t="str">
        <f t="shared" si="837"/>
        <v/>
      </c>
      <c r="U1480" s="702"/>
      <c r="V1480" s="132"/>
      <c r="W1480" s="133"/>
      <c r="X1480" s="134"/>
      <c r="Y1480" s="135"/>
      <c r="Z1480" s="137"/>
      <c r="AA1480" s="136"/>
      <c r="AB1480" s="566" t="str">
        <f t="shared" si="838"/>
        <v/>
      </c>
      <c r="AC1480" s="568" t="str">
        <f t="shared" si="839"/>
        <v/>
      </c>
      <c r="AD1480" s="137"/>
      <c r="AE1480" s="137"/>
      <c r="AF1480" s="138"/>
      <c r="AG1480" s="138"/>
      <c r="AH1480" s="592" t="str">
        <f t="shared" si="840"/>
        <v/>
      </c>
      <c r="AI1480" s="592" t="str">
        <f t="shared" si="841"/>
        <v/>
      </c>
      <c r="AJ1480" s="592" t="str">
        <f t="shared" si="842"/>
        <v/>
      </c>
      <c r="AK1480" s="460" t="str">
        <f>IF(AU1480="","",IF(OR(AZ1480=8,AZ1480=9),0,IF(OR(AW1480=3,AW1480=4,AW1480=5,AW1480=6),IF(LEFT(BF1480,1)="1",INDEX(係数_NOX・PM低減,MATCH(AY1480,【参考】排出係数!$AI$801:$AI$804,1),1),VLOOKUP(AU1480,INDEX((係数_バス貨物_ガソリン,係数_バス貨物_CNG,係数_バス貨物_軽油,係数_バス貨物_メタノール,係数_バス貨物_LPG),MATCH(AY1480,【参考】排出係数!$AI$4:$AI$671,1),1,BE1480):INDEX((係数_バス貨物_ガソリン,係数_バス貨物_CNG,係数_バス貨物_軽油,係数_バス貨物_メタノール,係数_バス貨物_LPG),MATCH(AY1480+1,【参考】排出係数!$AI$4:$AI$671,1)-1,5,BE1480),4,FALSE)),IF(AND(BE1480=3,LEFT(BF1480,1)="1"),0.48,VLOOKUP(AU1480,INDEX((係数_乗用_ガソリン,係数_乗用_CNG,係数_乗用_軽油,係数_乗用_メタノール,係数_乗用_LPG),1,1,BE1480):INDEX((係数_乗用_ガソリン,係数_乗用_CNG,係数_乗用_軽油,係数_乗用_メタノール,係数_乗用_LPG),125,5,BE1480),4,FALSE)))))</f>
        <v/>
      </c>
      <c r="AL1480" s="461" t="str">
        <f t="shared" si="843"/>
        <v/>
      </c>
      <c r="AM1480" s="460" t="str">
        <f>IF(AU1480="","",IF(OR(AZ1480=8,AZ1480=9),0,IF(OR(AW1480=3,AW1480=4,AW1480=5,AW1480=6),IF(LEFT(BH1480,1)="1",INDEX(係数_PM低減,MATCH(AY1480,【参考】排出係数!$AI$801:$AI$804,1),MATCH(BI1480,【参考】排出係数!$AL$798:$AO$798,1)),VLOOKUP(AU1480,INDEX((係数_バス貨物_ガソリン,係数_バス貨物_CNG,係数_バス貨物_軽油,係数_バス貨物_メタノール,係数_バス貨物_LPG),MATCH(AY1480,【参考】排出係数!$AI$4:$AI$671,1),1,BE1480):INDEX((係数_バス貨物_ガソリン,係数_バス貨物_CNG,係数_バス貨物_軽油,係数_バス貨物_メタノール,係数_バス貨物_LPG),MATCH(AY1480+1,【参考】排出係数!$AI$4:$AI$671,1)-1,5,BE1480),5,FALSE)),IF(AND(BE1480=3,LEFT(BF1480,1)="1"),0.055,VLOOKUP(AU1480,INDEX((係数_乗用_ガソリン,係数_乗用_CNG,係数_乗用_軽油,係数_乗用_メタノール,係数_乗用_LPG),1,1,BE1480):INDEX((係数_乗用_ガソリン,係数_乗用_CNG,係数_乗用_軽油,係数_乗用_メタノール,係数_乗用_LPG),125,5,BE1480),5,FALSE)))))</f>
        <v/>
      </c>
      <c r="AN1480" s="461" t="str">
        <f t="shared" si="844"/>
        <v/>
      </c>
      <c r="AO1480" s="462" t="str">
        <f t="shared" si="845"/>
        <v/>
      </c>
      <c r="AP1480" s="463" t="str">
        <f t="shared" si="846"/>
        <v/>
      </c>
      <c r="AQ1480" s="464"/>
      <c r="AR1480" s="619"/>
      <c r="AS1480" s="465" t="str">
        <f t="shared" si="854"/>
        <v/>
      </c>
      <c r="AT1480" s="465" t="str">
        <f t="shared" si="855"/>
        <v/>
      </c>
      <c r="AU1480" s="466" t="str">
        <f t="shared" si="856"/>
        <v/>
      </c>
      <c r="AV1480" s="467" t="str">
        <f t="shared" si="857"/>
        <v/>
      </c>
      <c r="AW1480" s="467" t="str">
        <f t="shared" si="858"/>
        <v/>
      </c>
      <c r="AX1480" s="467" t="str">
        <f t="shared" si="859"/>
        <v/>
      </c>
      <c r="AY1480" s="467" t="str">
        <f t="shared" si="860"/>
        <v/>
      </c>
      <c r="AZ1480" s="467" t="str">
        <f t="shared" si="861"/>
        <v/>
      </c>
      <c r="BA1480" s="468" t="str">
        <f>IF(AS1480="","",IF(OR(AU1480="",AU1480="-"),"－",IF(OR(AZ1480=8,AZ1480=9),"",IF(OR(AW1480=3,AW1480=4,AW1480=5,AW1480=6),VLOOKUP(AU1480,INDEX((係数_バス貨物_ガソリン,係数_バス貨物_CNG,係数_バス貨物_軽油,係数_バス貨物_メタノール,係数_バス貨物_LPG),MATCH(AY1480,【参考】排出係数!$AI$4:$AI$671,1),1,BE1480):INDEX((係数_バス貨物_ガソリン,係数_バス貨物_CNG,係数_バス貨物_軽油,係数_バス貨物_メタノール,係数_バス貨物_LPG),MATCH(AY1480+1,【参考】排出係数!$AI$4:$AI$671,1)-1,5,BE1480),2,FALSE),IF(OR(AW1480=1,AW1480=2),VLOOKUP(AU1480,INDEX((係数_乗用_ガソリン,係数_乗用_CNG,係数_乗用_軽油,係数_乗用_メタノール,係数_乗用_LPG),1,1,BE1480):INDEX((係数_乗用_ガソリン,係数_乗用_CNG,係数_乗用_軽油,係数_乗用_メタノール,係数_乗用_LPG),125,5,BE1480),2,FALSE))))))</f>
        <v/>
      </c>
      <c r="BB1480" s="468" t="str">
        <f>IF(T1480="","",IF(OR(AU1480="",AU1480="-"),"－",IF(OR(AZ1480=8,AZ1480=9),"",IF(OR(AW1480=3,AW1480=4,AW1480=5,AW1480=6),VLOOKUP(AU1480,INDEX((係数_バス貨物_ガソリン,係数_バス貨物_CNG,係数_バス貨物_軽油,係数_バス貨物_メタノール,係数_バス貨物_LPG),MATCH(AY1480,【参考】排出係数!$AI$4:$AI$671,1),1,BE1480):INDEX((係数_バス貨物_ガソリン,係数_バス貨物_CNG,係数_バス貨物_軽油,係数_バス貨物_メタノール,係数_バス貨物_LPG),MATCH(AY1480+1,【参考】排出係数!$AI$4:$AI$671,1)-1,5,BE1480),3,FALSE),IF(OR(AW1480=1,AW1480=2),VLOOKUP(AU1480,INDEX((係数_乗用_ガソリン,係数_乗用_CNG,係数_乗用_軽油,係数_乗用_メタノール,係数_乗用_LPG),1,1,BE1480):INDEX((係数_乗用_ガソリン,係数_乗用_CNG,係数_乗用_軽油,係数_乗用_メタノール,係数_乗用_LPG),125,5,BE1480),3,FALSE))))))</f>
        <v/>
      </c>
      <c r="BC1480" s="467" t="str">
        <f t="shared" si="862"/>
        <v/>
      </c>
      <c r="BD1480" s="567" t="str">
        <f t="shared" si="863"/>
        <v/>
      </c>
      <c r="BE1480" s="467" t="str">
        <f t="shared" si="864"/>
        <v/>
      </c>
      <c r="BF1480" s="469" t="str">
        <f t="shared" ca="1" si="865"/>
        <v/>
      </c>
      <c r="BG1480" s="469" t="str">
        <f t="shared" ca="1" si="866"/>
        <v/>
      </c>
      <c r="BH1480" s="467" t="str">
        <f t="shared" si="867"/>
        <v/>
      </c>
      <c r="BI1480" s="467" t="str">
        <f t="shared" ca="1" si="868"/>
        <v/>
      </c>
      <c r="BJ1480" s="469" t="str">
        <f t="shared" si="869"/>
        <v/>
      </c>
      <c r="BK1480" s="470" t="str">
        <f t="shared" si="853"/>
        <v/>
      </c>
      <c r="BL1480" s="775" t="str">
        <f t="shared" si="870"/>
        <v/>
      </c>
      <c r="BM1480" s="775" t="str">
        <f t="shared" si="871"/>
        <v/>
      </c>
    </row>
    <row r="1481" spans="1:65">
      <c r="A1481" s="473">
        <v>1425</v>
      </c>
      <c r="B1481" s="132"/>
      <c r="C1481" s="332"/>
      <c r="D1481" s="333"/>
      <c r="E1481" s="333"/>
      <c r="F1481" s="334"/>
      <c r="G1481" s="337"/>
      <c r="H1481" s="131"/>
      <c r="I1481" s="337"/>
      <c r="J1481" s="131"/>
      <c r="K1481" s="458" t="str">
        <f t="shared" si="834"/>
        <v/>
      </c>
      <c r="L1481" s="458">
        <f t="shared" si="835"/>
        <v>0</v>
      </c>
      <c r="M1481" s="458">
        <f t="shared" si="836"/>
        <v>0</v>
      </c>
      <c r="N1481" s="459" t="str">
        <f t="shared" si="847"/>
        <v/>
      </c>
      <c r="O1481" s="459" t="str">
        <f t="shared" si="848"/>
        <v/>
      </c>
      <c r="P1481" s="459" t="str">
        <f t="shared" si="849"/>
        <v/>
      </c>
      <c r="Q1481" s="459" t="str">
        <f t="shared" si="850"/>
        <v/>
      </c>
      <c r="R1481" s="459" t="str">
        <f t="shared" si="851"/>
        <v/>
      </c>
      <c r="S1481" s="459" t="str">
        <f t="shared" si="852"/>
        <v/>
      </c>
      <c r="T1481" s="566" t="str">
        <f t="shared" si="837"/>
        <v/>
      </c>
      <c r="U1481" s="702"/>
      <c r="V1481" s="132"/>
      <c r="W1481" s="133"/>
      <c r="X1481" s="134"/>
      <c r="Y1481" s="135"/>
      <c r="Z1481" s="137"/>
      <c r="AA1481" s="136"/>
      <c r="AB1481" s="566" t="str">
        <f t="shared" si="838"/>
        <v/>
      </c>
      <c r="AC1481" s="568" t="str">
        <f t="shared" si="839"/>
        <v/>
      </c>
      <c r="AD1481" s="137"/>
      <c r="AE1481" s="137"/>
      <c r="AF1481" s="138"/>
      <c r="AG1481" s="138"/>
      <c r="AH1481" s="592" t="str">
        <f t="shared" si="840"/>
        <v/>
      </c>
      <c r="AI1481" s="592" t="str">
        <f t="shared" si="841"/>
        <v/>
      </c>
      <c r="AJ1481" s="592" t="str">
        <f t="shared" si="842"/>
        <v/>
      </c>
      <c r="AK1481" s="460" t="str">
        <f>IF(AU1481="","",IF(OR(AZ1481=8,AZ1481=9),0,IF(OR(AW1481=3,AW1481=4,AW1481=5,AW1481=6),IF(LEFT(BF1481,1)="1",INDEX(係数_NOX・PM低減,MATCH(AY1481,【参考】排出係数!$AI$801:$AI$804,1),1),VLOOKUP(AU1481,INDEX((係数_バス貨物_ガソリン,係数_バス貨物_CNG,係数_バス貨物_軽油,係数_バス貨物_メタノール,係数_バス貨物_LPG),MATCH(AY1481,【参考】排出係数!$AI$4:$AI$671,1),1,BE1481):INDEX((係数_バス貨物_ガソリン,係数_バス貨物_CNG,係数_バス貨物_軽油,係数_バス貨物_メタノール,係数_バス貨物_LPG),MATCH(AY1481+1,【参考】排出係数!$AI$4:$AI$671,1)-1,5,BE1481),4,FALSE)),IF(AND(BE1481=3,LEFT(BF1481,1)="1"),0.48,VLOOKUP(AU1481,INDEX((係数_乗用_ガソリン,係数_乗用_CNG,係数_乗用_軽油,係数_乗用_メタノール,係数_乗用_LPG),1,1,BE1481):INDEX((係数_乗用_ガソリン,係数_乗用_CNG,係数_乗用_軽油,係数_乗用_メタノール,係数_乗用_LPG),125,5,BE1481),4,FALSE)))))</f>
        <v/>
      </c>
      <c r="AL1481" s="461" t="str">
        <f t="shared" si="843"/>
        <v/>
      </c>
      <c r="AM1481" s="460" t="str">
        <f>IF(AU1481="","",IF(OR(AZ1481=8,AZ1481=9),0,IF(OR(AW1481=3,AW1481=4,AW1481=5,AW1481=6),IF(LEFT(BH1481,1)="1",INDEX(係数_PM低減,MATCH(AY1481,【参考】排出係数!$AI$801:$AI$804,1),MATCH(BI1481,【参考】排出係数!$AL$798:$AO$798,1)),VLOOKUP(AU1481,INDEX((係数_バス貨物_ガソリン,係数_バス貨物_CNG,係数_バス貨物_軽油,係数_バス貨物_メタノール,係数_バス貨物_LPG),MATCH(AY1481,【参考】排出係数!$AI$4:$AI$671,1),1,BE1481):INDEX((係数_バス貨物_ガソリン,係数_バス貨物_CNG,係数_バス貨物_軽油,係数_バス貨物_メタノール,係数_バス貨物_LPG),MATCH(AY1481+1,【参考】排出係数!$AI$4:$AI$671,1)-1,5,BE1481),5,FALSE)),IF(AND(BE1481=3,LEFT(BF1481,1)="1"),0.055,VLOOKUP(AU1481,INDEX((係数_乗用_ガソリン,係数_乗用_CNG,係数_乗用_軽油,係数_乗用_メタノール,係数_乗用_LPG),1,1,BE1481):INDEX((係数_乗用_ガソリン,係数_乗用_CNG,係数_乗用_軽油,係数_乗用_メタノール,係数_乗用_LPG),125,5,BE1481),5,FALSE)))))</f>
        <v/>
      </c>
      <c r="AN1481" s="461" t="str">
        <f t="shared" si="844"/>
        <v/>
      </c>
      <c r="AO1481" s="462" t="str">
        <f t="shared" si="845"/>
        <v/>
      </c>
      <c r="AP1481" s="463" t="str">
        <f t="shared" si="846"/>
        <v/>
      </c>
      <c r="AQ1481" s="464"/>
      <c r="AR1481" s="619"/>
      <c r="AS1481" s="465" t="str">
        <f t="shared" si="854"/>
        <v/>
      </c>
      <c r="AT1481" s="465" t="str">
        <f t="shared" si="855"/>
        <v/>
      </c>
      <c r="AU1481" s="466" t="str">
        <f t="shared" si="856"/>
        <v/>
      </c>
      <c r="AV1481" s="467" t="str">
        <f t="shared" si="857"/>
        <v/>
      </c>
      <c r="AW1481" s="467" t="str">
        <f t="shared" si="858"/>
        <v/>
      </c>
      <c r="AX1481" s="467" t="str">
        <f t="shared" si="859"/>
        <v/>
      </c>
      <c r="AY1481" s="467" t="str">
        <f t="shared" si="860"/>
        <v/>
      </c>
      <c r="AZ1481" s="467" t="str">
        <f t="shared" si="861"/>
        <v/>
      </c>
      <c r="BA1481" s="468" t="str">
        <f>IF(AS1481="","",IF(OR(AU1481="",AU1481="-"),"－",IF(OR(AZ1481=8,AZ1481=9),"",IF(OR(AW1481=3,AW1481=4,AW1481=5,AW1481=6),VLOOKUP(AU1481,INDEX((係数_バス貨物_ガソリン,係数_バス貨物_CNG,係数_バス貨物_軽油,係数_バス貨物_メタノール,係数_バス貨物_LPG),MATCH(AY1481,【参考】排出係数!$AI$4:$AI$671,1),1,BE1481):INDEX((係数_バス貨物_ガソリン,係数_バス貨物_CNG,係数_バス貨物_軽油,係数_バス貨物_メタノール,係数_バス貨物_LPG),MATCH(AY1481+1,【参考】排出係数!$AI$4:$AI$671,1)-1,5,BE1481),2,FALSE),IF(OR(AW1481=1,AW1481=2),VLOOKUP(AU1481,INDEX((係数_乗用_ガソリン,係数_乗用_CNG,係数_乗用_軽油,係数_乗用_メタノール,係数_乗用_LPG),1,1,BE1481):INDEX((係数_乗用_ガソリン,係数_乗用_CNG,係数_乗用_軽油,係数_乗用_メタノール,係数_乗用_LPG),125,5,BE1481),2,FALSE))))))</f>
        <v/>
      </c>
      <c r="BB1481" s="468" t="str">
        <f>IF(T1481="","",IF(OR(AU1481="",AU1481="-"),"－",IF(OR(AZ1481=8,AZ1481=9),"",IF(OR(AW1481=3,AW1481=4,AW1481=5,AW1481=6),VLOOKUP(AU1481,INDEX((係数_バス貨物_ガソリン,係数_バス貨物_CNG,係数_バス貨物_軽油,係数_バス貨物_メタノール,係数_バス貨物_LPG),MATCH(AY1481,【参考】排出係数!$AI$4:$AI$671,1),1,BE1481):INDEX((係数_バス貨物_ガソリン,係数_バス貨物_CNG,係数_バス貨物_軽油,係数_バス貨物_メタノール,係数_バス貨物_LPG),MATCH(AY1481+1,【参考】排出係数!$AI$4:$AI$671,1)-1,5,BE1481),3,FALSE),IF(OR(AW1481=1,AW1481=2),VLOOKUP(AU1481,INDEX((係数_乗用_ガソリン,係数_乗用_CNG,係数_乗用_軽油,係数_乗用_メタノール,係数_乗用_LPG),1,1,BE1481):INDEX((係数_乗用_ガソリン,係数_乗用_CNG,係数_乗用_軽油,係数_乗用_メタノール,係数_乗用_LPG),125,5,BE1481),3,FALSE))))))</f>
        <v/>
      </c>
      <c r="BC1481" s="467" t="str">
        <f t="shared" si="862"/>
        <v/>
      </c>
      <c r="BD1481" s="567" t="str">
        <f t="shared" si="863"/>
        <v/>
      </c>
      <c r="BE1481" s="467" t="str">
        <f t="shared" si="864"/>
        <v/>
      </c>
      <c r="BF1481" s="469" t="str">
        <f t="shared" ca="1" si="865"/>
        <v/>
      </c>
      <c r="BG1481" s="469" t="str">
        <f t="shared" ca="1" si="866"/>
        <v/>
      </c>
      <c r="BH1481" s="467" t="str">
        <f t="shared" si="867"/>
        <v/>
      </c>
      <c r="BI1481" s="467" t="str">
        <f t="shared" ca="1" si="868"/>
        <v/>
      </c>
      <c r="BJ1481" s="469" t="str">
        <f t="shared" si="869"/>
        <v/>
      </c>
      <c r="BK1481" s="470" t="str">
        <f t="shared" si="853"/>
        <v/>
      </c>
      <c r="BL1481" s="775" t="str">
        <f t="shared" si="870"/>
        <v/>
      </c>
      <c r="BM1481" s="775" t="str">
        <f t="shared" si="871"/>
        <v/>
      </c>
    </row>
    <row r="1482" spans="1:65">
      <c r="A1482" s="473">
        <v>1426</v>
      </c>
      <c r="B1482" s="132"/>
      <c r="C1482" s="332"/>
      <c r="D1482" s="333"/>
      <c r="E1482" s="333"/>
      <c r="F1482" s="334"/>
      <c r="G1482" s="337"/>
      <c r="H1482" s="131"/>
      <c r="I1482" s="337"/>
      <c r="J1482" s="131"/>
      <c r="K1482" s="458" t="str">
        <f t="shared" si="834"/>
        <v/>
      </c>
      <c r="L1482" s="458">
        <f t="shared" si="835"/>
        <v>0</v>
      </c>
      <c r="M1482" s="458">
        <f t="shared" si="836"/>
        <v>0</v>
      </c>
      <c r="N1482" s="459" t="str">
        <f t="shared" si="847"/>
        <v/>
      </c>
      <c r="O1482" s="459" t="str">
        <f t="shared" si="848"/>
        <v/>
      </c>
      <c r="P1482" s="459" t="str">
        <f t="shared" si="849"/>
        <v/>
      </c>
      <c r="Q1482" s="459" t="str">
        <f t="shared" si="850"/>
        <v/>
      </c>
      <c r="R1482" s="459" t="str">
        <f t="shared" si="851"/>
        <v/>
      </c>
      <c r="S1482" s="459" t="str">
        <f t="shared" si="852"/>
        <v/>
      </c>
      <c r="T1482" s="566" t="str">
        <f t="shared" si="837"/>
        <v/>
      </c>
      <c r="U1482" s="702"/>
      <c r="V1482" s="132"/>
      <c r="W1482" s="133"/>
      <c r="X1482" s="134"/>
      <c r="Y1482" s="135"/>
      <c r="Z1482" s="137"/>
      <c r="AA1482" s="136"/>
      <c r="AB1482" s="566" t="str">
        <f t="shared" si="838"/>
        <v/>
      </c>
      <c r="AC1482" s="568" t="str">
        <f t="shared" si="839"/>
        <v/>
      </c>
      <c r="AD1482" s="137"/>
      <c r="AE1482" s="137"/>
      <c r="AF1482" s="138"/>
      <c r="AG1482" s="138"/>
      <c r="AH1482" s="592" t="str">
        <f t="shared" si="840"/>
        <v/>
      </c>
      <c r="AI1482" s="592" t="str">
        <f t="shared" si="841"/>
        <v/>
      </c>
      <c r="AJ1482" s="592" t="str">
        <f t="shared" si="842"/>
        <v/>
      </c>
      <c r="AK1482" s="460" t="str">
        <f>IF(AU1482="","",IF(OR(AZ1482=8,AZ1482=9),0,IF(OR(AW1482=3,AW1482=4,AW1482=5,AW1482=6),IF(LEFT(BF1482,1)="1",INDEX(係数_NOX・PM低減,MATCH(AY1482,【参考】排出係数!$AI$801:$AI$804,1),1),VLOOKUP(AU1482,INDEX((係数_バス貨物_ガソリン,係数_バス貨物_CNG,係数_バス貨物_軽油,係数_バス貨物_メタノール,係数_バス貨物_LPG),MATCH(AY1482,【参考】排出係数!$AI$4:$AI$671,1),1,BE1482):INDEX((係数_バス貨物_ガソリン,係数_バス貨物_CNG,係数_バス貨物_軽油,係数_バス貨物_メタノール,係数_バス貨物_LPG),MATCH(AY1482+1,【参考】排出係数!$AI$4:$AI$671,1)-1,5,BE1482),4,FALSE)),IF(AND(BE1482=3,LEFT(BF1482,1)="1"),0.48,VLOOKUP(AU1482,INDEX((係数_乗用_ガソリン,係数_乗用_CNG,係数_乗用_軽油,係数_乗用_メタノール,係数_乗用_LPG),1,1,BE1482):INDEX((係数_乗用_ガソリン,係数_乗用_CNG,係数_乗用_軽油,係数_乗用_メタノール,係数_乗用_LPG),125,5,BE1482),4,FALSE)))))</f>
        <v/>
      </c>
      <c r="AL1482" s="461" t="str">
        <f t="shared" si="843"/>
        <v/>
      </c>
      <c r="AM1482" s="460" t="str">
        <f>IF(AU1482="","",IF(OR(AZ1482=8,AZ1482=9),0,IF(OR(AW1482=3,AW1482=4,AW1482=5,AW1482=6),IF(LEFT(BH1482,1)="1",INDEX(係数_PM低減,MATCH(AY1482,【参考】排出係数!$AI$801:$AI$804,1),MATCH(BI1482,【参考】排出係数!$AL$798:$AO$798,1)),VLOOKUP(AU1482,INDEX((係数_バス貨物_ガソリン,係数_バス貨物_CNG,係数_バス貨物_軽油,係数_バス貨物_メタノール,係数_バス貨物_LPG),MATCH(AY1482,【参考】排出係数!$AI$4:$AI$671,1),1,BE1482):INDEX((係数_バス貨物_ガソリン,係数_バス貨物_CNG,係数_バス貨物_軽油,係数_バス貨物_メタノール,係数_バス貨物_LPG),MATCH(AY1482+1,【参考】排出係数!$AI$4:$AI$671,1)-1,5,BE1482),5,FALSE)),IF(AND(BE1482=3,LEFT(BF1482,1)="1"),0.055,VLOOKUP(AU1482,INDEX((係数_乗用_ガソリン,係数_乗用_CNG,係数_乗用_軽油,係数_乗用_メタノール,係数_乗用_LPG),1,1,BE1482):INDEX((係数_乗用_ガソリン,係数_乗用_CNG,係数_乗用_軽油,係数_乗用_メタノール,係数_乗用_LPG),125,5,BE1482),5,FALSE)))))</f>
        <v/>
      </c>
      <c r="AN1482" s="461" t="str">
        <f t="shared" si="844"/>
        <v/>
      </c>
      <c r="AO1482" s="462" t="str">
        <f t="shared" si="845"/>
        <v/>
      </c>
      <c r="AP1482" s="463" t="str">
        <f t="shared" si="846"/>
        <v/>
      </c>
      <c r="AQ1482" s="464"/>
      <c r="AR1482" s="619"/>
      <c r="AS1482" s="465" t="str">
        <f t="shared" si="854"/>
        <v/>
      </c>
      <c r="AT1482" s="465" t="str">
        <f t="shared" si="855"/>
        <v/>
      </c>
      <c r="AU1482" s="466" t="str">
        <f t="shared" si="856"/>
        <v/>
      </c>
      <c r="AV1482" s="467" t="str">
        <f t="shared" si="857"/>
        <v/>
      </c>
      <c r="AW1482" s="467" t="str">
        <f t="shared" si="858"/>
        <v/>
      </c>
      <c r="AX1482" s="467" t="str">
        <f t="shared" si="859"/>
        <v/>
      </c>
      <c r="AY1482" s="467" t="str">
        <f t="shared" si="860"/>
        <v/>
      </c>
      <c r="AZ1482" s="467" t="str">
        <f t="shared" si="861"/>
        <v/>
      </c>
      <c r="BA1482" s="468" t="str">
        <f>IF(AS1482="","",IF(OR(AU1482="",AU1482="-"),"－",IF(OR(AZ1482=8,AZ1482=9),"",IF(OR(AW1482=3,AW1482=4,AW1482=5,AW1482=6),VLOOKUP(AU1482,INDEX((係数_バス貨物_ガソリン,係数_バス貨物_CNG,係数_バス貨物_軽油,係数_バス貨物_メタノール,係数_バス貨物_LPG),MATCH(AY1482,【参考】排出係数!$AI$4:$AI$671,1),1,BE1482):INDEX((係数_バス貨物_ガソリン,係数_バス貨物_CNG,係数_バス貨物_軽油,係数_バス貨物_メタノール,係数_バス貨物_LPG),MATCH(AY1482+1,【参考】排出係数!$AI$4:$AI$671,1)-1,5,BE1482),2,FALSE),IF(OR(AW1482=1,AW1482=2),VLOOKUP(AU1482,INDEX((係数_乗用_ガソリン,係数_乗用_CNG,係数_乗用_軽油,係数_乗用_メタノール,係数_乗用_LPG),1,1,BE1482):INDEX((係数_乗用_ガソリン,係数_乗用_CNG,係数_乗用_軽油,係数_乗用_メタノール,係数_乗用_LPG),125,5,BE1482),2,FALSE))))))</f>
        <v/>
      </c>
      <c r="BB1482" s="468" t="str">
        <f>IF(T1482="","",IF(OR(AU1482="",AU1482="-"),"－",IF(OR(AZ1482=8,AZ1482=9),"",IF(OR(AW1482=3,AW1482=4,AW1482=5,AW1482=6),VLOOKUP(AU1482,INDEX((係数_バス貨物_ガソリン,係数_バス貨物_CNG,係数_バス貨物_軽油,係数_バス貨物_メタノール,係数_バス貨物_LPG),MATCH(AY1482,【参考】排出係数!$AI$4:$AI$671,1),1,BE1482):INDEX((係数_バス貨物_ガソリン,係数_バス貨物_CNG,係数_バス貨物_軽油,係数_バス貨物_メタノール,係数_バス貨物_LPG),MATCH(AY1482+1,【参考】排出係数!$AI$4:$AI$671,1)-1,5,BE1482),3,FALSE),IF(OR(AW1482=1,AW1482=2),VLOOKUP(AU1482,INDEX((係数_乗用_ガソリン,係数_乗用_CNG,係数_乗用_軽油,係数_乗用_メタノール,係数_乗用_LPG),1,1,BE1482):INDEX((係数_乗用_ガソリン,係数_乗用_CNG,係数_乗用_軽油,係数_乗用_メタノール,係数_乗用_LPG),125,5,BE1482),3,FALSE))))))</f>
        <v/>
      </c>
      <c r="BC1482" s="467" t="str">
        <f t="shared" si="862"/>
        <v/>
      </c>
      <c r="BD1482" s="567" t="str">
        <f t="shared" si="863"/>
        <v/>
      </c>
      <c r="BE1482" s="467" t="str">
        <f t="shared" si="864"/>
        <v/>
      </c>
      <c r="BF1482" s="469" t="str">
        <f t="shared" ca="1" si="865"/>
        <v/>
      </c>
      <c r="BG1482" s="469" t="str">
        <f t="shared" ca="1" si="866"/>
        <v/>
      </c>
      <c r="BH1482" s="467" t="str">
        <f t="shared" si="867"/>
        <v/>
      </c>
      <c r="BI1482" s="467" t="str">
        <f t="shared" ca="1" si="868"/>
        <v/>
      </c>
      <c r="BJ1482" s="469" t="str">
        <f t="shared" si="869"/>
        <v/>
      </c>
      <c r="BK1482" s="470" t="str">
        <f t="shared" si="853"/>
        <v/>
      </c>
      <c r="BL1482" s="775" t="str">
        <f t="shared" si="870"/>
        <v/>
      </c>
      <c r="BM1482" s="775" t="str">
        <f t="shared" si="871"/>
        <v/>
      </c>
    </row>
    <row r="1483" spans="1:65">
      <c r="A1483" s="473">
        <v>1427</v>
      </c>
      <c r="B1483" s="132"/>
      <c r="C1483" s="332"/>
      <c r="D1483" s="333"/>
      <c r="E1483" s="333"/>
      <c r="F1483" s="334"/>
      <c r="G1483" s="337"/>
      <c r="H1483" s="131"/>
      <c r="I1483" s="337"/>
      <c r="J1483" s="131"/>
      <c r="K1483" s="458" t="str">
        <f t="shared" si="834"/>
        <v/>
      </c>
      <c r="L1483" s="458">
        <f t="shared" si="835"/>
        <v>0</v>
      </c>
      <c r="M1483" s="458">
        <f t="shared" si="836"/>
        <v>0</v>
      </c>
      <c r="N1483" s="459" t="str">
        <f t="shared" si="847"/>
        <v/>
      </c>
      <c r="O1483" s="459" t="str">
        <f t="shared" si="848"/>
        <v/>
      </c>
      <c r="P1483" s="459" t="str">
        <f t="shared" si="849"/>
        <v/>
      </c>
      <c r="Q1483" s="459" t="str">
        <f t="shared" si="850"/>
        <v/>
      </c>
      <c r="R1483" s="459" t="str">
        <f t="shared" si="851"/>
        <v/>
      </c>
      <c r="S1483" s="459" t="str">
        <f t="shared" si="852"/>
        <v/>
      </c>
      <c r="T1483" s="566" t="str">
        <f t="shared" si="837"/>
        <v/>
      </c>
      <c r="U1483" s="702"/>
      <c r="V1483" s="132"/>
      <c r="W1483" s="133"/>
      <c r="X1483" s="134"/>
      <c r="Y1483" s="135"/>
      <c r="Z1483" s="137"/>
      <c r="AA1483" s="136"/>
      <c r="AB1483" s="566" t="str">
        <f t="shared" si="838"/>
        <v/>
      </c>
      <c r="AC1483" s="568" t="str">
        <f t="shared" si="839"/>
        <v/>
      </c>
      <c r="AD1483" s="137"/>
      <c r="AE1483" s="137"/>
      <c r="AF1483" s="138"/>
      <c r="AG1483" s="138"/>
      <c r="AH1483" s="592" t="str">
        <f t="shared" si="840"/>
        <v/>
      </c>
      <c r="AI1483" s="592" t="str">
        <f t="shared" si="841"/>
        <v/>
      </c>
      <c r="AJ1483" s="592" t="str">
        <f t="shared" si="842"/>
        <v/>
      </c>
      <c r="AK1483" s="460" t="str">
        <f>IF(AU1483="","",IF(OR(AZ1483=8,AZ1483=9),0,IF(OR(AW1483=3,AW1483=4,AW1483=5,AW1483=6),IF(LEFT(BF1483,1)="1",INDEX(係数_NOX・PM低減,MATCH(AY1483,【参考】排出係数!$AI$801:$AI$804,1),1),VLOOKUP(AU1483,INDEX((係数_バス貨物_ガソリン,係数_バス貨物_CNG,係数_バス貨物_軽油,係数_バス貨物_メタノール,係数_バス貨物_LPG),MATCH(AY1483,【参考】排出係数!$AI$4:$AI$671,1),1,BE1483):INDEX((係数_バス貨物_ガソリン,係数_バス貨物_CNG,係数_バス貨物_軽油,係数_バス貨物_メタノール,係数_バス貨物_LPG),MATCH(AY1483+1,【参考】排出係数!$AI$4:$AI$671,1)-1,5,BE1483),4,FALSE)),IF(AND(BE1483=3,LEFT(BF1483,1)="1"),0.48,VLOOKUP(AU1483,INDEX((係数_乗用_ガソリン,係数_乗用_CNG,係数_乗用_軽油,係数_乗用_メタノール,係数_乗用_LPG),1,1,BE1483):INDEX((係数_乗用_ガソリン,係数_乗用_CNG,係数_乗用_軽油,係数_乗用_メタノール,係数_乗用_LPG),125,5,BE1483),4,FALSE)))))</f>
        <v/>
      </c>
      <c r="AL1483" s="461" t="str">
        <f t="shared" si="843"/>
        <v/>
      </c>
      <c r="AM1483" s="460" t="str">
        <f>IF(AU1483="","",IF(OR(AZ1483=8,AZ1483=9),0,IF(OR(AW1483=3,AW1483=4,AW1483=5,AW1483=6),IF(LEFT(BH1483,1)="1",INDEX(係数_PM低減,MATCH(AY1483,【参考】排出係数!$AI$801:$AI$804,1),MATCH(BI1483,【参考】排出係数!$AL$798:$AO$798,1)),VLOOKUP(AU1483,INDEX((係数_バス貨物_ガソリン,係数_バス貨物_CNG,係数_バス貨物_軽油,係数_バス貨物_メタノール,係数_バス貨物_LPG),MATCH(AY1483,【参考】排出係数!$AI$4:$AI$671,1),1,BE1483):INDEX((係数_バス貨物_ガソリン,係数_バス貨物_CNG,係数_バス貨物_軽油,係数_バス貨物_メタノール,係数_バス貨物_LPG),MATCH(AY1483+1,【参考】排出係数!$AI$4:$AI$671,1)-1,5,BE1483),5,FALSE)),IF(AND(BE1483=3,LEFT(BF1483,1)="1"),0.055,VLOOKUP(AU1483,INDEX((係数_乗用_ガソリン,係数_乗用_CNG,係数_乗用_軽油,係数_乗用_メタノール,係数_乗用_LPG),1,1,BE1483):INDEX((係数_乗用_ガソリン,係数_乗用_CNG,係数_乗用_軽油,係数_乗用_メタノール,係数_乗用_LPG),125,5,BE1483),5,FALSE)))))</f>
        <v/>
      </c>
      <c r="AN1483" s="461" t="str">
        <f t="shared" si="844"/>
        <v/>
      </c>
      <c r="AO1483" s="462" t="str">
        <f t="shared" si="845"/>
        <v/>
      </c>
      <c r="AP1483" s="463" t="str">
        <f t="shared" si="846"/>
        <v/>
      </c>
      <c r="AQ1483" s="464"/>
      <c r="AR1483" s="619"/>
      <c r="AS1483" s="465" t="str">
        <f t="shared" si="854"/>
        <v/>
      </c>
      <c r="AT1483" s="465" t="str">
        <f t="shared" si="855"/>
        <v/>
      </c>
      <c r="AU1483" s="466" t="str">
        <f t="shared" si="856"/>
        <v/>
      </c>
      <c r="AV1483" s="467" t="str">
        <f t="shared" si="857"/>
        <v/>
      </c>
      <c r="AW1483" s="467" t="str">
        <f t="shared" si="858"/>
        <v/>
      </c>
      <c r="AX1483" s="467" t="str">
        <f t="shared" si="859"/>
        <v/>
      </c>
      <c r="AY1483" s="467" t="str">
        <f t="shared" si="860"/>
        <v/>
      </c>
      <c r="AZ1483" s="467" t="str">
        <f t="shared" si="861"/>
        <v/>
      </c>
      <c r="BA1483" s="468" t="str">
        <f>IF(AS1483="","",IF(OR(AU1483="",AU1483="-"),"－",IF(OR(AZ1483=8,AZ1483=9),"",IF(OR(AW1483=3,AW1483=4,AW1483=5,AW1483=6),VLOOKUP(AU1483,INDEX((係数_バス貨物_ガソリン,係数_バス貨物_CNG,係数_バス貨物_軽油,係数_バス貨物_メタノール,係数_バス貨物_LPG),MATCH(AY1483,【参考】排出係数!$AI$4:$AI$671,1),1,BE1483):INDEX((係数_バス貨物_ガソリン,係数_バス貨物_CNG,係数_バス貨物_軽油,係数_バス貨物_メタノール,係数_バス貨物_LPG),MATCH(AY1483+1,【参考】排出係数!$AI$4:$AI$671,1)-1,5,BE1483),2,FALSE),IF(OR(AW1483=1,AW1483=2),VLOOKUP(AU1483,INDEX((係数_乗用_ガソリン,係数_乗用_CNG,係数_乗用_軽油,係数_乗用_メタノール,係数_乗用_LPG),1,1,BE1483):INDEX((係数_乗用_ガソリン,係数_乗用_CNG,係数_乗用_軽油,係数_乗用_メタノール,係数_乗用_LPG),125,5,BE1483),2,FALSE))))))</f>
        <v/>
      </c>
      <c r="BB1483" s="468" t="str">
        <f>IF(T1483="","",IF(OR(AU1483="",AU1483="-"),"－",IF(OR(AZ1483=8,AZ1483=9),"",IF(OR(AW1483=3,AW1483=4,AW1483=5,AW1483=6),VLOOKUP(AU1483,INDEX((係数_バス貨物_ガソリン,係数_バス貨物_CNG,係数_バス貨物_軽油,係数_バス貨物_メタノール,係数_バス貨物_LPG),MATCH(AY1483,【参考】排出係数!$AI$4:$AI$671,1),1,BE1483):INDEX((係数_バス貨物_ガソリン,係数_バス貨物_CNG,係数_バス貨物_軽油,係数_バス貨物_メタノール,係数_バス貨物_LPG),MATCH(AY1483+1,【参考】排出係数!$AI$4:$AI$671,1)-1,5,BE1483),3,FALSE),IF(OR(AW1483=1,AW1483=2),VLOOKUP(AU1483,INDEX((係数_乗用_ガソリン,係数_乗用_CNG,係数_乗用_軽油,係数_乗用_メタノール,係数_乗用_LPG),1,1,BE1483):INDEX((係数_乗用_ガソリン,係数_乗用_CNG,係数_乗用_軽油,係数_乗用_メタノール,係数_乗用_LPG),125,5,BE1483),3,FALSE))))))</f>
        <v/>
      </c>
      <c r="BC1483" s="467" t="str">
        <f t="shared" si="862"/>
        <v/>
      </c>
      <c r="BD1483" s="567" t="str">
        <f t="shared" si="863"/>
        <v/>
      </c>
      <c r="BE1483" s="467" t="str">
        <f t="shared" si="864"/>
        <v/>
      </c>
      <c r="BF1483" s="469" t="str">
        <f t="shared" ca="1" si="865"/>
        <v/>
      </c>
      <c r="BG1483" s="469" t="str">
        <f t="shared" ca="1" si="866"/>
        <v/>
      </c>
      <c r="BH1483" s="467" t="str">
        <f t="shared" si="867"/>
        <v/>
      </c>
      <c r="BI1483" s="467" t="str">
        <f t="shared" ca="1" si="868"/>
        <v/>
      </c>
      <c r="BJ1483" s="469" t="str">
        <f t="shared" si="869"/>
        <v/>
      </c>
      <c r="BK1483" s="470" t="str">
        <f t="shared" si="853"/>
        <v/>
      </c>
      <c r="BL1483" s="775" t="str">
        <f t="shared" si="870"/>
        <v/>
      </c>
      <c r="BM1483" s="775" t="str">
        <f t="shared" si="871"/>
        <v/>
      </c>
    </row>
    <row r="1484" spans="1:65">
      <c r="A1484" s="473">
        <v>1428</v>
      </c>
      <c r="B1484" s="132"/>
      <c r="C1484" s="332"/>
      <c r="D1484" s="333"/>
      <c r="E1484" s="333"/>
      <c r="F1484" s="334"/>
      <c r="G1484" s="337"/>
      <c r="H1484" s="131"/>
      <c r="I1484" s="337"/>
      <c r="J1484" s="131"/>
      <c r="K1484" s="458" t="str">
        <f t="shared" si="834"/>
        <v/>
      </c>
      <c r="L1484" s="458">
        <f t="shared" si="835"/>
        <v>0</v>
      </c>
      <c r="M1484" s="458">
        <f t="shared" si="836"/>
        <v>0</v>
      </c>
      <c r="N1484" s="459" t="str">
        <f t="shared" si="847"/>
        <v/>
      </c>
      <c r="O1484" s="459" t="str">
        <f t="shared" si="848"/>
        <v/>
      </c>
      <c r="P1484" s="459" t="str">
        <f t="shared" si="849"/>
        <v/>
      </c>
      <c r="Q1484" s="459" t="str">
        <f t="shared" si="850"/>
        <v/>
      </c>
      <c r="R1484" s="459" t="str">
        <f t="shared" si="851"/>
        <v/>
      </c>
      <c r="S1484" s="459" t="str">
        <f t="shared" si="852"/>
        <v/>
      </c>
      <c r="T1484" s="566" t="str">
        <f t="shared" si="837"/>
        <v/>
      </c>
      <c r="U1484" s="702"/>
      <c r="V1484" s="132"/>
      <c r="W1484" s="133"/>
      <c r="X1484" s="134"/>
      <c r="Y1484" s="135"/>
      <c r="Z1484" s="137"/>
      <c r="AA1484" s="136"/>
      <c r="AB1484" s="566" t="str">
        <f t="shared" si="838"/>
        <v/>
      </c>
      <c r="AC1484" s="568" t="str">
        <f t="shared" si="839"/>
        <v/>
      </c>
      <c r="AD1484" s="137"/>
      <c r="AE1484" s="137"/>
      <c r="AF1484" s="138"/>
      <c r="AG1484" s="138"/>
      <c r="AH1484" s="592" t="str">
        <f t="shared" si="840"/>
        <v/>
      </c>
      <c r="AI1484" s="592" t="str">
        <f t="shared" si="841"/>
        <v/>
      </c>
      <c r="AJ1484" s="592" t="str">
        <f t="shared" si="842"/>
        <v/>
      </c>
      <c r="AK1484" s="460" t="str">
        <f>IF(AU1484="","",IF(OR(AZ1484=8,AZ1484=9),0,IF(OR(AW1484=3,AW1484=4,AW1484=5,AW1484=6),IF(LEFT(BF1484,1)="1",INDEX(係数_NOX・PM低減,MATCH(AY1484,【参考】排出係数!$AI$801:$AI$804,1),1),VLOOKUP(AU1484,INDEX((係数_バス貨物_ガソリン,係数_バス貨物_CNG,係数_バス貨物_軽油,係数_バス貨物_メタノール,係数_バス貨物_LPG),MATCH(AY1484,【参考】排出係数!$AI$4:$AI$671,1),1,BE1484):INDEX((係数_バス貨物_ガソリン,係数_バス貨物_CNG,係数_バス貨物_軽油,係数_バス貨物_メタノール,係数_バス貨物_LPG),MATCH(AY1484+1,【参考】排出係数!$AI$4:$AI$671,1)-1,5,BE1484),4,FALSE)),IF(AND(BE1484=3,LEFT(BF1484,1)="1"),0.48,VLOOKUP(AU1484,INDEX((係数_乗用_ガソリン,係数_乗用_CNG,係数_乗用_軽油,係数_乗用_メタノール,係数_乗用_LPG),1,1,BE1484):INDEX((係数_乗用_ガソリン,係数_乗用_CNG,係数_乗用_軽油,係数_乗用_メタノール,係数_乗用_LPG),125,5,BE1484),4,FALSE)))))</f>
        <v/>
      </c>
      <c r="AL1484" s="461" t="str">
        <f t="shared" si="843"/>
        <v/>
      </c>
      <c r="AM1484" s="460" t="str">
        <f>IF(AU1484="","",IF(OR(AZ1484=8,AZ1484=9),0,IF(OR(AW1484=3,AW1484=4,AW1484=5,AW1484=6),IF(LEFT(BH1484,1)="1",INDEX(係数_PM低減,MATCH(AY1484,【参考】排出係数!$AI$801:$AI$804,1),MATCH(BI1484,【参考】排出係数!$AL$798:$AO$798,1)),VLOOKUP(AU1484,INDEX((係数_バス貨物_ガソリン,係数_バス貨物_CNG,係数_バス貨物_軽油,係数_バス貨物_メタノール,係数_バス貨物_LPG),MATCH(AY1484,【参考】排出係数!$AI$4:$AI$671,1),1,BE1484):INDEX((係数_バス貨物_ガソリン,係数_バス貨物_CNG,係数_バス貨物_軽油,係数_バス貨物_メタノール,係数_バス貨物_LPG),MATCH(AY1484+1,【参考】排出係数!$AI$4:$AI$671,1)-1,5,BE1484),5,FALSE)),IF(AND(BE1484=3,LEFT(BF1484,1)="1"),0.055,VLOOKUP(AU1484,INDEX((係数_乗用_ガソリン,係数_乗用_CNG,係数_乗用_軽油,係数_乗用_メタノール,係数_乗用_LPG),1,1,BE1484):INDEX((係数_乗用_ガソリン,係数_乗用_CNG,係数_乗用_軽油,係数_乗用_メタノール,係数_乗用_LPG),125,5,BE1484),5,FALSE)))))</f>
        <v/>
      </c>
      <c r="AN1484" s="461" t="str">
        <f t="shared" si="844"/>
        <v/>
      </c>
      <c r="AO1484" s="462" t="str">
        <f t="shared" si="845"/>
        <v/>
      </c>
      <c r="AP1484" s="463" t="str">
        <f t="shared" si="846"/>
        <v/>
      </c>
      <c r="AQ1484" s="464"/>
      <c r="AR1484" s="619"/>
      <c r="AS1484" s="465" t="str">
        <f t="shared" si="854"/>
        <v/>
      </c>
      <c r="AT1484" s="465" t="str">
        <f t="shared" si="855"/>
        <v/>
      </c>
      <c r="AU1484" s="466" t="str">
        <f t="shared" si="856"/>
        <v/>
      </c>
      <c r="AV1484" s="467" t="str">
        <f t="shared" si="857"/>
        <v/>
      </c>
      <c r="AW1484" s="467" t="str">
        <f t="shared" si="858"/>
        <v/>
      </c>
      <c r="AX1484" s="467" t="str">
        <f t="shared" si="859"/>
        <v/>
      </c>
      <c r="AY1484" s="467" t="str">
        <f t="shared" si="860"/>
        <v/>
      </c>
      <c r="AZ1484" s="467" t="str">
        <f t="shared" si="861"/>
        <v/>
      </c>
      <c r="BA1484" s="468" t="str">
        <f>IF(AS1484="","",IF(OR(AU1484="",AU1484="-"),"－",IF(OR(AZ1484=8,AZ1484=9),"",IF(OR(AW1484=3,AW1484=4,AW1484=5,AW1484=6),VLOOKUP(AU1484,INDEX((係数_バス貨物_ガソリン,係数_バス貨物_CNG,係数_バス貨物_軽油,係数_バス貨物_メタノール,係数_バス貨物_LPG),MATCH(AY1484,【参考】排出係数!$AI$4:$AI$671,1),1,BE1484):INDEX((係数_バス貨物_ガソリン,係数_バス貨物_CNG,係数_バス貨物_軽油,係数_バス貨物_メタノール,係数_バス貨物_LPG),MATCH(AY1484+1,【参考】排出係数!$AI$4:$AI$671,1)-1,5,BE1484),2,FALSE),IF(OR(AW1484=1,AW1484=2),VLOOKUP(AU1484,INDEX((係数_乗用_ガソリン,係数_乗用_CNG,係数_乗用_軽油,係数_乗用_メタノール,係数_乗用_LPG),1,1,BE1484):INDEX((係数_乗用_ガソリン,係数_乗用_CNG,係数_乗用_軽油,係数_乗用_メタノール,係数_乗用_LPG),125,5,BE1484),2,FALSE))))))</f>
        <v/>
      </c>
      <c r="BB1484" s="468" t="str">
        <f>IF(T1484="","",IF(OR(AU1484="",AU1484="-"),"－",IF(OR(AZ1484=8,AZ1484=9),"",IF(OR(AW1484=3,AW1484=4,AW1484=5,AW1484=6),VLOOKUP(AU1484,INDEX((係数_バス貨物_ガソリン,係数_バス貨物_CNG,係数_バス貨物_軽油,係数_バス貨物_メタノール,係数_バス貨物_LPG),MATCH(AY1484,【参考】排出係数!$AI$4:$AI$671,1),1,BE1484):INDEX((係数_バス貨物_ガソリン,係数_バス貨物_CNG,係数_バス貨物_軽油,係数_バス貨物_メタノール,係数_バス貨物_LPG),MATCH(AY1484+1,【参考】排出係数!$AI$4:$AI$671,1)-1,5,BE1484),3,FALSE),IF(OR(AW1484=1,AW1484=2),VLOOKUP(AU1484,INDEX((係数_乗用_ガソリン,係数_乗用_CNG,係数_乗用_軽油,係数_乗用_メタノール,係数_乗用_LPG),1,1,BE1484):INDEX((係数_乗用_ガソリン,係数_乗用_CNG,係数_乗用_軽油,係数_乗用_メタノール,係数_乗用_LPG),125,5,BE1484),3,FALSE))))))</f>
        <v/>
      </c>
      <c r="BC1484" s="467" t="str">
        <f t="shared" si="862"/>
        <v/>
      </c>
      <c r="BD1484" s="567" t="str">
        <f t="shared" si="863"/>
        <v/>
      </c>
      <c r="BE1484" s="467" t="str">
        <f t="shared" si="864"/>
        <v/>
      </c>
      <c r="BF1484" s="469" t="str">
        <f t="shared" ca="1" si="865"/>
        <v/>
      </c>
      <c r="BG1484" s="469" t="str">
        <f t="shared" ca="1" si="866"/>
        <v/>
      </c>
      <c r="BH1484" s="467" t="str">
        <f t="shared" si="867"/>
        <v/>
      </c>
      <c r="BI1484" s="467" t="str">
        <f t="shared" ca="1" si="868"/>
        <v/>
      </c>
      <c r="BJ1484" s="469" t="str">
        <f t="shared" si="869"/>
        <v/>
      </c>
      <c r="BK1484" s="470" t="str">
        <f t="shared" si="853"/>
        <v/>
      </c>
      <c r="BL1484" s="775" t="str">
        <f t="shared" si="870"/>
        <v/>
      </c>
      <c r="BM1484" s="775" t="str">
        <f t="shared" si="871"/>
        <v/>
      </c>
    </row>
    <row r="1485" spans="1:65">
      <c r="A1485" s="473">
        <v>1429</v>
      </c>
      <c r="B1485" s="132"/>
      <c r="C1485" s="332"/>
      <c r="D1485" s="333"/>
      <c r="E1485" s="333"/>
      <c r="F1485" s="334"/>
      <c r="G1485" s="337"/>
      <c r="H1485" s="131"/>
      <c r="I1485" s="337"/>
      <c r="J1485" s="131"/>
      <c r="K1485" s="458" t="str">
        <f t="shared" si="834"/>
        <v/>
      </c>
      <c r="L1485" s="458">
        <f t="shared" si="835"/>
        <v>0</v>
      </c>
      <c r="M1485" s="458">
        <f t="shared" si="836"/>
        <v>0</v>
      </c>
      <c r="N1485" s="459" t="str">
        <f t="shared" si="847"/>
        <v/>
      </c>
      <c r="O1485" s="459" t="str">
        <f t="shared" si="848"/>
        <v/>
      </c>
      <c r="P1485" s="459" t="str">
        <f t="shared" si="849"/>
        <v/>
      </c>
      <c r="Q1485" s="459" t="str">
        <f t="shared" si="850"/>
        <v/>
      </c>
      <c r="R1485" s="459" t="str">
        <f t="shared" si="851"/>
        <v/>
      </c>
      <c r="S1485" s="459" t="str">
        <f t="shared" si="852"/>
        <v/>
      </c>
      <c r="T1485" s="566" t="str">
        <f t="shared" si="837"/>
        <v/>
      </c>
      <c r="U1485" s="702"/>
      <c r="V1485" s="132"/>
      <c r="W1485" s="133"/>
      <c r="X1485" s="134"/>
      <c r="Y1485" s="135"/>
      <c r="Z1485" s="137"/>
      <c r="AA1485" s="136"/>
      <c r="AB1485" s="566" t="str">
        <f t="shared" si="838"/>
        <v/>
      </c>
      <c r="AC1485" s="568" t="str">
        <f t="shared" si="839"/>
        <v/>
      </c>
      <c r="AD1485" s="137"/>
      <c r="AE1485" s="137"/>
      <c r="AF1485" s="138"/>
      <c r="AG1485" s="138"/>
      <c r="AH1485" s="592" t="str">
        <f t="shared" si="840"/>
        <v/>
      </c>
      <c r="AI1485" s="592" t="str">
        <f t="shared" si="841"/>
        <v/>
      </c>
      <c r="AJ1485" s="592" t="str">
        <f t="shared" si="842"/>
        <v/>
      </c>
      <c r="AK1485" s="460" t="str">
        <f>IF(AU1485="","",IF(OR(AZ1485=8,AZ1485=9),0,IF(OR(AW1485=3,AW1485=4,AW1485=5,AW1485=6),IF(LEFT(BF1485,1)="1",INDEX(係数_NOX・PM低減,MATCH(AY1485,【参考】排出係数!$AI$801:$AI$804,1),1),VLOOKUP(AU1485,INDEX((係数_バス貨物_ガソリン,係数_バス貨物_CNG,係数_バス貨物_軽油,係数_バス貨物_メタノール,係数_バス貨物_LPG),MATCH(AY1485,【参考】排出係数!$AI$4:$AI$671,1),1,BE1485):INDEX((係数_バス貨物_ガソリン,係数_バス貨物_CNG,係数_バス貨物_軽油,係数_バス貨物_メタノール,係数_バス貨物_LPG),MATCH(AY1485+1,【参考】排出係数!$AI$4:$AI$671,1)-1,5,BE1485),4,FALSE)),IF(AND(BE1485=3,LEFT(BF1485,1)="1"),0.48,VLOOKUP(AU1485,INDEX((係数_乗用_ガソリン,係数_乗用_CNG,係数_乗用_軽油,係数_乗用_メタノール,係数_乗用_LPG),1,1,BE1485):INDEX((係数_乗用_ガソリン,係数_乗用_CNG,係数_乗用_軽油,係数_乗用_メタノール,係数_乗用_LPG),125,5,BE1485),4,FALSE)))))</f>
        <v/>
      </c>
      <c r="AL1485" s="461" t="str">
        <f t="shared" si="843"/>
        <v/>
      </c>
      <c r="AM1485" s="460" t="str">
        <f>IF(AU1485="","",IF(OR(AZ1485=8,AZ1485=9),0,IF(OR(AW1485=3,AW1485=4,AW1485=5,AW1485=6),IF(LEFT(BH1485,1)="1",INDEX(係数_PM低減,MATCH(AY1485,【参考】排出係数!$AI$801:$AI$804,1),MATCH(BI1485,【参考】排出係数!$AL$798:$AO$798,1)),VLOOKUP(AU1485,INDEX((係数_バス貨物_ガソリン,係数_バス貨物_CNG,係数_バス貨物_軽油,係数_バス貨物_メタノール,係数_バス貨物_LPG),MATCH(AY1485,【参考】排出係数!$AI$4:$AI$671,1),1,BE1485):INDEX((係数_バス貨物_ガソリン,係数_バス貨物_CNG,係数_バス貨物_軽油,係数_バス貨物_メタノール,係数_バス貨物_LPG),MATCH(AY1485+1,【参考】排出係数!$AI$4:$AI$671,1)-1,5,BE1485),5,FALSE)),IF(AND(BE1485=3,LEFT(BF1485,1)="1"),0.055,VLOOKUP(AU1485,INDEX((係数_乗用_ガソリン,係数_乗用_CNG,係数_乗用_軽油,係数_乗用_メタノール,係数_乗用_LPG),1,1,BE1485):INDEX((係数_乗用_ガソリン,係数_乗用_CNG,係数_乗用_軽油,係数_乗用_メタノール,係数_乗用_LPG),125,5,BE1485),5,FALSE)))))</f>
        <v/>
      </c>
      <c r="AN1485" s="461" t="str">
        <f t="shared" si="844"/>
        <v/>
      </c>
      <c r="AO1485" s="462" t="str">
        <f t="shared" si="845"/>
        <v/>
      </c>
      <c r="AP1485" s="463" t="str">
        <f t="shared" si="846"/>
        <v/>
      </c>
      <c r="AQ1485" s="464"/>
      <c r="AR1485" s="619"/>
      <c r="AS1485" s="465" t="str">
        <f t="shared" si="854"/>
        <v/>
      </c>
      <c r="AT1485" s="465" t="str">
        <f t="shared" si="855"/>
        <v/>
      </c>
      <c r="AU1485" s="466" t="str">
        <f t="shared" si="856"/>
        <v/>
      </c>
      <c r="AV1485" s="467" t="str">
        <f t="shared" si="857"/>
        <v/>
      </c>
      <c r="AW1485" s="467" t="str">
        <f t="shared" si="858"/>
        <v/>
      </c>
      <c r="AX1485" s="467" t="str">
        <f t="shared" si="859"/>
        <v/>
      </c>
      <c r="AY1485" s="467" t="str">
        <f t="shared" si="860"/>
        <v/>
      </c>
      <c r="AZ1485" s="467" t="str">
        <f t="shared" si="861"/>
        <v/>
      </c>
      <c r="BA1485" s="468" t="str">
        <f>IF(AS1485="","",IF(OR(AU1485="",AU1485="-"),"－",IF(OR(AZ1485=8,AZ1485=9),"",IF(OR(AW1485=3,AW1485=4,AW1485=5,AW1485=6),VLOOKUP(AU1485,INDEX((係数_バス貨物_ガソリン,係数_バス貨物_CNG,係数_バス貨物_軽油,係数_バス貨物_メタノール,係数_バス貨物_LPG),MATCH(AY1485,【参考】排出係数!$AI$4:$AI$671,1),1,BE1485):INDEX((係数_バス貨物_ガソリン,係数_バス貨物_CNG,係数_バス貨物_軽油,係数_バス貨物_メタノール,係数_バス貨物_LPG),MATCH(AY1485+1,【参考】排出係数!$AI$4:$AI$671,1)-1,5,BE1485),2,FALSE),IF(OR(AW1485=1,AW1485=2),VLOOKUP(AU1485,INDEX((係数_乗用_ガソリン,係数_乗用_CNG,係数_乗用_軽油,係数_乗用_メタノール,係数_乗用_LPG),1,1,BE1485):INDEX((係数_乗用_ガソリン,係数_乗用_CNG,係数_乗用_軽油,係数_乗用_メタノール,係数_乗用_LPG),125,5,BE1485),2,FALSE))))))</f>
        <v/>
      </c>
      <c r="BB1485" s="468" t="str">
        <f>IF(T1485="","",IF(OR(AU1485="",AU1485="-"),"－",IF(OR(AZ1485=8,AZ1485=9),"",IF(OR(AW1485=3,AW1485=4,AW1485=5,AW1485=6),VLOOKUP(AU1485,INDEX((係数_バス貨物_ガソリン,係数_バス貨物_CNG,係数_バス貨物_軽油,係数_バス貨物_メタノール,係数_バス貨物_LPG),MATCH(AY1485,【参考】排出係数!$AI$4:$AI$671,1),1,BE1485):INDEX((係数_バス貨物_ガソリン,係数_バス貨物_CNG,係数_バス貨物_軽油,係数_バス貨物_メタノール,係数_バス貨物_LPG),MATCH(AY1485+1,【参考】排出係数!$AI$4:$AI$671,1)-1,5,BE1485),3,FALSE),IF(OR(AW1485=1,AW1485=2),VLOOKUP(AU1485,INDEX((係数_乗用_ガソリン,係数_乗用_CNG,係数_乗用_軽油,係数_乗用_メタノール,係数_乗用_LPG),1,1,BE1485):INDEX((係数_乗用_ガソリン,係数_乗用_CNG,係数_乗用_軽油,係数_乗用_メタノール,係数_乗用_LPG),125,5,BE1485),3,FALSE))))))</f>
        <v/>
      </c>
      <c r="BC1485" s="467" t="str">
        <f t="shared" si="862"/>
        <v/>
      </c>
      <c r="BD1485" s="567" t="str">
        <f t="shared" si="863"/>
        <v/>
      </c>
      <c r="BE1485" s="467" t="str">
        <f t="shared" si="864"/>
        <v/>
      </c>
      <c r="BF1485" s="469" t="str">
        <f t="shared" ca="1" si="865"/>
        <v/>
      </c>
      <c r="BG1485" s="469" t="str">
        <f t="shared" ca="1" si="866"/>
        <v/>
      </c>
      <c r="BH1485" s="467" t="str">
        <f t="shared" si="867"/>
        <v/>
      </c>
      <c r="BI1485" s="467" t="str">
        <f t="shared" ca="1" si="868"/>
        <v/>
      </c>
      <c r="BJ1485" s="469" t="str">
        <f t="shared" si="869"/>
        <v/>
      </c>
      <c r="BK1485" s="470" t="str">
        <f t="shared" si="853"/>
        <v/>
      </c>
      <c r="BL1485" s="775" t="str">
        <f t="shared" si="870"/>
        <v/>
      </c>
      <c r="BM1485" s="775" t="str">
        <f t="shared" si="871"/>
        <v/>
      </c>
    </row>
    <row r="1486" spans="1:65">
      <c r="A1486" s="473">
        <v>1430</v>
      </c>
      <c r="B1486" s="132"/>
      <c r="C1486" s="332"/>
      <c r="D1486" s="333"/>
      <c r="E1486" s="333"/>
      <c r="F1486" s="334"/>
      <c r="G1486" s="337"/>
      <c r="H1486" s="131"/>
      <c r="I1486" s="337"/>
      <c r="J1486" s="131"/>
      <c r="K1486" s="458" t="str">
        <f t="shared" si="834"/>
        <v/>
      </c>
      <c r="L1486" s="458">
        <f t="shared" si="835"/>
        <v>0</v>
      </c>
      <c r="M1486" s="458">
        <f t="shared" si="836"/>
        <v>0</v>
      </c>
      <c r="N1486" s="459" t="str">
        <f t="shared" si="847"/>
        <v/>
      </c>
      <c r="O1486" s="459" t="str">
        <f t="shared" si="848"/>
        <v/>
      </c>
      <c r="P1486" s="459" t="str">
        <f t="shared" si="849"/>
        <v/>
      </c>
      <c r="Q1486" s="459" t="str">
        <f t="shared" si="850"/>
        <v/>
      </c>
      <c r="R1486" s="459" t="str">
        <f t="shared" si="851"/>
        <v/>
      </c>
      <c r="S1486" s="459" t="str">
        <f t="shared" si="852"/>
        <v/>
      </c>
      <c r="T1486" s="566" t="str">
        <f t="shared" si="837"/>
        <v/>
      </c>
      <c r="U1486" s="702"/>
      <c r="V1486" s="132"/>
      <c r="W1486" s="133"/>
      <c r="X1486" s="134"/>
      <c r="Y1486" s="135"/>
      <c r="Z1486" s="137"/>
      <c r="AA1486" s="136"/>
      <c r="AB1486" s="566" t="str">
        <f t="shared" si="838"/>
        <v/>
      </c>
      <c r="AC1486" s="568" t="str">
        <f t="shared" si="839"/>
        <v/>
      </c>
      <c r="AD1486" s="137"/>
      <c r="AE1486" s="137"/>
      <c r="AF1486" s="138"/>
      <c r="AG1486" s="138"/>
      <c r="AH1486" s="592" t="str">
        <f t="shared" si="840"/>
        <v/>
      </c>
      <c r="AI1486" s="592" t="str">
        <f t="shared" si="841"/>
        <v/>
      </c>
      <c r="AJ1486" s="592" t="str">
        <f t="shared" si="842"/>
        <v/>
      </c>
      <c r="AK1486" s="460" t="str">
        <f>IF(AU1486="","",IF(OR(AZ1486=8,AZ1486=9),0,IF(OR(AW1486=3,AW1486=4,AW1486=5,AW1486=6),IF(LEFT(BF1486,1)="1",INDEX(係数_NOX・PM低減,MATCH(AY1486,【参考】排出係数!$AI$801:$AI$804,1),1),VLOOKUP(AU1486,INDEX((係数_バス貨物_ガソリン,係数_バス貨物_CNG,係数_バス貨物_軽油,係数_バス貨物_メタノール,係数_バス貨物_LPG),MATCH(AY1486,【参考】排出係数!$AI$4:$AI$671,1),1,BE1486):INDEX((係数_バス貨物_ガソリン,係数_バス貨物_CNG,係数_バス貨物_軽油,係数_バス貨物_メタノール,係数_バス貨物_LPG),MATCH(AY1486+1,【参考】排出係数!$AI$4:$AI$671,1)-1,5,BE1486),4,FALSE)),IF(AND(BE1486=3,LEFT(BF1486,1)="1"),0.48,VLOOKUP(AU1486,INDEX((係数_乗用_ガソリン,係数_乗用_CNG,係数_乗用_軽油,係数_乗用_メタノール,係数_乗用_LPG),1,1,BE1486):INDEX((係数_乗用_ガソリン,係数_乗用_CNG,係数_乗用_軽油,係数_乗用_メタノール,係数_乗用_LPG),125,5,BE1486),4,FALSE)))))</f>
        <v/>
      </c>
      <c r="AL1486" s="461" t="str">
        <f t="shared" si="843"/>
        <v/>
      </c>
      <c r="AM1486" s="460" t="str">
        <f>IF(AU1486="","",IF(OR(AZ1486=8,AZ1486=9),0,IF(OR(AW1486=3,AW1486=4,AW1486=5,AW1486=6),IF(LEFT(BH1486,1)="1",INDEX(係数_PM低減,MATCH(AY1486,【参考】排出係数!$AI$801:$AI$804,1),MATCH(BI1486,【参考】排出係数!$AL$798:$AO$798,1)),VLOOKUP(AU1486,INDEX((係数_バス貨物_ガソリン,係数_バス貨物_CNG,係数_バス貨物_軽油,係数_バス貨物_メタノール,係数_バス貨物_LPG),MATCH(AY1486,【参考】排出係数!$AI$4:$AI$671,1),1,BE1486):INDEX((係数_バス貨物_ガソリン,係数_バス貨物_CNG,係数_バス貨物_軽油,係数_バス貨物_メタノール,係数_バス貨物_LPG),MATCH(AY1486+1,【参考】排出係数!$AI$4:$AI$671,1)-1,5,BE1486),5,FALSE)),IF(AND(BE1486=3,LEFT(BF1486,1)="1"),0.055,VLOOKUP(AU1486,INDEX((係数_乗用_ガソリン,係数_乗用_CNG,係数_乗用_軽油,係数_乗用_メタノール,係数_乗用_LPG),1,1,BE1486):INDEX((係数_乗用_ガソリン,係数_乗用_CNG,係数_乗用_軽油,係数_乗用_メタノール,係数_乗用_LPG),125,5,BE1486),5,FALSE)))))</f>
        <v/>
      </c>
      <c r="AN1486" s="461" t="str">
        <f t="shared" si="844"/>
        <v/>
      </c>
      <c r="AO1486" s="462" t="str">
        <f t="shared" si="845"/>
        <v/>
      </c>
      <c r="AP1486" s="463" t="str">
        <f t="shared" si="846"/>
        <v/>
      </c>
      <c r="AQ1486" s="464"/>
      <c r="AR1486" s="619"/>
      <c r="AS1486" s="465" t="str">
        <f t="shared" si="854"/>
        <v/>
      </c>
      <c r="AT1486" s="465" t="str">
        <f t="shared" si="855"/>
        <v/>
      </c>
      <c r="AU1486" s="466" t="str">
        <f t="shared" si="856"/>
        <v/>
      </c>
      <c r="AV1486" s="467" t="str">
        <f t="shared" si="857"/>
        <v/>
      </c>
      <c r="AW1486" s="467" t="str">
        <f t="shared" si="858"/>
        <v/>
      </c>
      <c r="AX1486" s="467" t="str">
        <f t="shared" si="859"/>
        <v/>
      </c>
      <c r="AY1486" s="467" t="str">
        <f t="shared" si="860"/>
        <v/>
      </c>
      <c r="AZ1486" s="467" t="str">
        <f t="shared" si="861"/>
        <v/>
      </c>
      <c r="BA1486" s="468" t="str">
        <f>IF(AS1486="","",IF(OR(AU1486="",AU1486="-"),"－",IF(OR(AZ1486=8,AZ1486=9),"",IF(OR(AW1486=3,AW1486=4,AW1486=5,AW1486=6),VLOOKUP(AU1486,INDEX((係数_バス貨物_ガソリン,係数_バス貨物_CNG,係数_バス貨物_軽油,係数_バス貨物_メタノール,係数_バス貨物_LPG),MATCH(AY1486,【参考】排出係数!$AI$4:$AI$671,1),1,BE1486):INDEX((係数_バス貨物_ガソリン,係数_バス貨物_CNG,係数_バス貨物_軽油,係数_バス貨物_メタノール,係数_バス貨物_LPG),MATCH(AY1486+1,【参考】排出係数!$AI$4:$AI$671,1)-1,5,BE1486),2,FALSE),IF(OR(AW1486=1,AW1486=2),VLOOKUP(AU1486,INDEX((係数_乗用_ガソリン,係数_乗用_CNG,係数_乗用_軽油,係数_乗用_メタノール,係数_乗用_LPG),1,1,BE1486):INDEX((係数_乗用_ガソリン,係数_乗用_CNG,係数_乗用_軽油,係数_乗用_メタノール,係数_乗用_LPG),125,5,BE1486),2,FALSE))))))</f>
        <v/>
      </c>
      <c r="BB1486" s="468" t="str">
        <f>IF(T1486="","",IF(OR(AU1486="",AU1486="-"),"－",IF(OR(AZ1486=8,AZ1486=9),"",IF(OR(AW1486=3,AW1486=4,AW1486=5,AW1486=6),VLOOKUP(AU1486,INDEX((係数_バス貨物_ガソリン,係数_バス貨物_CNG,係数_バス貨物_軽油,係数_バス貨物_メタノール,係数_バス貨物_LPG),MATCH(AY1486,【参考】排出係数!$AI$4:$AI$671,1),1,BE1486):INDEX((係数_バス貨物_ガソリン,係数_バス貨物_CNG,係数_バス貨物_軽油,係数_バス貨物_メタノール,係数_バス貨物_LPG),MATCH(AY1486+1,【参考】排出係数!$AI$4:$AI$671,1)-1,5,BE1486),3,FALSE),IF(OR(AW1486=1,AW1486=2),VLOOKUP(AU1486,INDEX((係数_乗用_ガソリン,係数_乗用_CNG,係数_乗用_軽油,係数_乗用_メタノール,係数_乗用_LPG),1,1,BE1486):INDEX((係数_乗用_ガソリン,係数_乗用_CNG,係数_乗用_軽油,係数_乗用_メタノール,係数_乗用_LPG),125,5,BE1486),3,FALSE))))))</f>
        <v/>
      </c>
      <c r="BC1486" s="467" t="str">
        <f t="shared" si="862"/>
        <v/>
      </c>
      <c r="BD1486" s="567" t="str">
        <f t="shared" si="863"/>
        <v/>
      </c>
      <c r="BE1486" s="467" t="str">
        <f t="shared" si="864"/>
        <v/>
      </c>
      <c r="BF1486" s="469" t="str">
        <f t="shared" ca="1" si="865"/>
        <v/>
      </c>
      <c r="BG1486" s="469" t="str">
        <f t="shared" ca="1" si="866"/>
        <v/>
      </c>
      <c r="BH1486" s="467" t="str">
        <f t="shared" si="867"/>
        <v/>
      </c>
      <c r="BI1486" s="467" t="str">
        <f t="shared" ca="1" si="868"/>
        <v/>
      </c>
      <c r="BJ1486" s="469" t="str">
        <f t="shared" si="869"/>
        <v/>
      </c>
      <c r="BK1486" s="470" t="str">
        <f t="shared" si="853"/>
        <v/>
      </c>
      <c r="BL1486" s="775" t="str">
        <f t="shared" si="870"/>
        <v/>
      </c>
      <c r="BM1486" s="775" t="str">
        <f t="shared" si="871"/>
        <v/>
      </c>
    </row>
    <row r="1487" spans="1:65">
      <c r="A1487" s="473">
        <v>1431</v>
      </c>
      <c r="B1487" s="132"/>
      <c r="C1487" s="332"/>
      <c r="D1487" s="333"/>
      <c r="E1487" s="333"/>
      <c r="F1487" s="334"/>
      <c r="G1487" s="337"/>
      <c r="H1487" s="131"/>
      <c r="I1487" s="337"/>
      <c r="J1487" s="131"/>
      <c r="K1487" s="458" t="str">
        <f t="shared" si="834"/>
        <v/>
      </c>
      <c r="L1487" s="458">
        <f t="shared" si="835"/>
        <v>0</v>
      </c>
      <c r="M1487" s="458">
        <f t="shared" si="836"/>
        <v>0</v>
      </c>
      <c r="N1487" s="459" t="str">
        <f t="shared" si="847"/>
        <v/>
      </c>
      <c r="O1487" s="459" t="str">
        <f t="shared" si="848"/>
        <v/>
      </c>
      <c r="P1487" s="459" t="str">
        <f t="shared" si="849"/>
        <v/>
      </c>
      <c r="Q1487" s="459" t="str">
        <f t="shared" si="850"/>
        <v/>
      </c>
      <c r="R1487" s="459" t="str">
        <f t="shared" si="851"/>
        <v/>
      </c>
      <c r="S1487" s="459" t="str">
        <f t="shared" si="852"/>
        <v/>
      </c>
      <c r="T1487" s="566" t="str">
        <f t="shared" si="837"/>
        <v/>
      </c>
      <c r="U1487" s="702"/>
      <c r="V1487" s="132"/>
      <c r="W1487" s="133"/>
      <c r="X1487" s="134"/>
      <c r="Y1487" s="135"/>
      <c r="Z1487" s="137"/>
      <c r="AA1487" s="136"/>
      <c r="AB1487" s="566" t="str">
        <f t="shared" si="838"/>
        <v/>
      </c>
      <c r="AC1487" s="568" t="str">
        <f t="shared" si="839"/>
        <v/>
      </c>
      <c r="AD1487" s="137"/>
      <c r="AE1487" s="137"/>
      <c r="AF1487" s="138"/>
      <c r="AG1487" s="138"/>
      <c r="AH1487" s="592" t="str">
        <f t="shared" si="840"/>
        <v/>
      </c>
      <c r="AI1487" s="592" t="str">
        <f t="shared" si="841"/>
        <v/>
      </c>
      <c r="AJ1487" s="592" t="str">
        <f t="shared" si="842"/>
        <v/>
      </c>
      <c r="AK1487" s="460" t="str">
        <f>IF(AU1487="","",IF(OR(AZ1487=8,AZ1487=9),0,IF(OR(AW1487=3,AW1487=4,AW1487=5,AW1487=6),IF(LEFT(BF1487,1)="1",INDEX(係数_NOX・PM低減,MATCH(AY1487,【参考】排出係数!$AI$801:$AI$804,1),1),VLOOKUP(AU1487,INDEX((係数_バス貨物_ガソリン,係数_バス貨物_CNG,係数_バス貨物_軽油,係数_バス貨物_メタノール,係数_バス貨物_LPG),MATCH(AY1487,【参考】排出係数!$AI$4:$AI$671,1),1,BE1487):INDEX((係数_バス貨物_ガソリン,係数_バス貨物_CNG,係数_バス貨物_軽油,係数_バス貨物_メタノール,係数_バス貨物_LPG),MATCH(AY1487+1,【参考】排出係数!$AI$4:$AI$671,1)-1,5,BE1487),4,FALSE)),IF(AND(BE1487=3,LEFT(BF1487,1)="1"),0.48,VLOOKUP(AU1487,INDEX((係数_乗用_ガソリン,係数_乗用_CNG,係数_乗用_軽油,係数_乗用_メタノール,係数_乗用_LPG),1,1,BE1487):INDEX((係数_乗用_ガソリン,係数_乗用_CNG,係数_乗用_軽油,係数_乗用_メタノール,係数_乗用_LPG),125,5,BE1487),4,FALSE)))))</f>
        <v/>
      </c>
      <c r="AL1487" s="461" t="str">
        <f t="shared" si="843"/>
        <v/>
      </c>
      <c r="AM1487" s="460" t="str">
        <f>IF(AU1487="","",IF(OR(AZ1487=8,AZ1487=9),0,IF(OR(AW1487=3,AW1487=4,AW1487=5,AW1487=6),IF(LEFT(BH1487,1)="1",INDEX(係数_PM低減,MATCH(AY1487,【参考】排出係数!$AI$801:$AI$804,1),MATCH(BI1487,【参考】排出係数!$AL$798:$AO$798,1)),VLOOKUP(AU1487,INDEX((係数_バス貨物_ガソリン,係数_バス貨物_CNG,係数_バス貨物_軽油,係数_バス貨物_メタノール,係数_バス貨物_LPG),MATCH(AY1487,【参考】排出係数!$AI$4:$AI$671,1),1,BE1487):INDEX((係数_バス貨物_ガソリン,係数_バス貨物_CNG,係数_バス貨物_軽油,係数_バス貨物_メタノール,係数_バス貨物_LPG),MATCH(AY1487+1,【参考】排出係数!$AI$4:$AI$671,1)-1,5,BE1487),5,FALSE)),IF(AND(BE1487=3,LEFT(BF1487,1)="1"),0.055,VLOOKUP(AU1487,INDEX((係数_乗用_ガソリン,係数_乗用_CNG,係数_乗用_軽油,係数_乗用_メタノール,係数_乗用_LPG),1,1,BE1487):INDEX((係数_乗用_ガソリン,係数_乗用_CNG,係数_乗用_軽油,係数_乗用_メタノール,係数_乗用_LPG),125,5,BE1487),5,FALSE)))))</f>
        <v/>
      </c>
      <c r="AN1487" s="461" t="str">
        <f t="shared" si="844"/>
        <v/>
      </c>
      <c r="AO1487" s="462" t="str">
        <f t="shared" si="845"/>
        <v/>
      </c>
      <c r="AP1487" s="463" t="str">
        <f t="shared" si="846"/>
        <v/>
      </c>
      <c r="AQ1487" s="464"/>
      <c r="AR1487" s="619"/>
      <c r="AS1487" s="465" t="str">
        <f t="shared" si="854"/>
        <v/>
      </c>
      <c r="AT1487" s="465" t="str">
        <f t="shared" si="855"/>
        <v/>
      </c>
      <c r="AU1487" s="466" t="str">
        <f t="shared" si="856"/>
        <v/>
      </c>
      <c r="AV1487" s="467" t="str">
        <f t="shared" si="857"/>
        <v/>
      </c>
      <c r="AW1487" s="467" t="str">
        <f t="shared" si="858"/>
        <v/>
      </c>
      <c r="AX1487" s="467" t="str">
        <f t="shared" si="859"/>
        <v/>
      </c>
      <c r="AY1487" s="467" t="str">
        <f t="shared" si="860"/>
        <v/>
      </c>
      <c r="AZ1487" s="467" t="str">
        <f t="shared" si="861"/>
        <v/>
      </c>
      <c r="BA1487" s="468" t="str">
        <f>IF(AS1487="","",IF(OR(AU1487="",AU1487="-"),"－",IF(OR(AZ1487=8,AZ1487=9),"",IF(OR(AW1487=3,AW1487=4,AW1487=5,AW1487=6),VLOOKUP(AU1487,INDEX((係数_バス貨物_ガソリン,係数_バス貨物_CNG,係数_バス貨物_軽油,係数_バス貨物_メタノール,係数_バス貨物_LPG),MATCH(AY1487,【参考】排出係数!$AI$4:$AI$671,1),1,BE1487):INDEX((係数_バス貨物_ガソリン,係数_バス貨物_CNG,係数_バス貨物_軽油,係数_バス貨物_メタノール,係数_バス貨物_LPG),MATCH(AY1487+1,【参考】排出係数!$AI$4:$AI$671,1)-1,5,BE1487),2,FALSE),IF(OR(AW1487=1,AW1487=2),VLOOKUP(AU1487,INDEX((係数_乗用_ガソリン,係数_乗用_CNG,係数_乗用_軽油,係数_乗用_メタノール,係数_乗用_LPG),1,1,BE1487):INDEX((係数_乗用_ガソリン,係数_乗用_CNG,係数_乗用_軽油,係数_乗用_メタノール,係数_乗用_LPG),125,5,BE1487),2,FALSE))))))</f>
        <v/>
      </c>
      <c r="BB1487" s="468" t="str">
        <f>IF(T1487="","",IF(OR(AU1487="",AU1487="-"),"－",IF(OR(AZ1487=8,AZ1487=9),"",IF(OR(AW1487=3,AW1487=4,AW1487=5,AW1487=6),VLOOKUP(AU1487,INDEX((係数_バス貨物_ガソリン,係数_バス貨物_CNG,係数_バス貨物_軽油,係数_バス貨物_メタノール,係数_バス貨物_LPG),MATCH(AY1487,【参考】排出係数!$AI$4:$AI$671,1),1,BE1487):INDEX((係数_バス貨物_ガソリン,係数_バス貨物_CNG,係数_バス貨物_軽油,係数_バス貨物_メタノール,係数_バス貨物_LPG),MATCH(AY1487+1,【参考】排出係数!$AI$4:$AI$671,1)-1,5,BE1487),3,FALSE),IF(OR(AW1487=1,AW1487=2),VLOOKUP(AU1487,INDEX((係数_乗用_ガソリン,係数_乗用_CNG,係数_乗用_軽油,係数_乗用_メタノール,係数_乗用_LPG),1,1,BE1487):INDEX((係数_乗用_ガソリン,係数_乗用_CNG,係数_乗用_軽油,係数_乗用_メタノール,係数_乗用_LPG),125,5,BE1487),3,FALSE))))))</f>
        <v/>
      </c>
      <c r="BC1487" s="467" t="str">
        <f t="shared" si="862"/>
        <v/>
      </c>
      <c r="BD1487" s="567" t="str">
        <f t="shared" si="863"/>
        <v/>
      </c>
      <c r="BE1487" s="467" t="str">
        <f t="shared" si="864"/>
        <v/>
      </c>
      <c r="BF1487" s="469" t="str">
        <f t="shared" ca="1" si="865"/>
        <v/>
      </c>
      <c r="BG1487" s="469" t="str">
        <f t="shared" ca="1" si="866"/>
        <v/>
      </c>
      <c r="BH1487" s="467" t="str">
        <f t="shared" si="867"/>
        <v/>
      </c>
      <c r="BI1487" s="467" t="str">
        <f t="shared" ca="1" si="868"/>
        <v/>
      </c>
      <c r="BJ1487" s="469" t="str">
        <f t="shared" si="869"/>
        <v/>
      </c>
      <c r="BK1487" s="470" t="str">
        <f t="shared" si="853"/>
        <v/>
      </c>
      <c r="BL1487" s="775" t="str">
        <f t="shared" si="870"/>
        <v/>
      </c>
      <c r="BM1487" s="775" t="str">
        <f t="shared" si="871"/>
        <v/>
      </c>
    </row>
    <row r="1488" spans="1:65">
      <c r="A1488" s="473">
        <v>1432</v>
      </c>
      <c r="B1488" s="132"/>
      <c r="C1488" s="332"/>
      <c r="D1488" s="333"/>
      <c r="E1488" s="333"/>
      <c r="F1488" s="334"/>
      <c r="G1488" s="337"/>
      <c r="H1488" s="131"/>
      <c r="I1488" s="337"/>
      <c r="J1488" s="131"/>
      <c r="K1488" s="458" t="str">
        <f t="shared" si="834"/>
        <v/>
      </c>
      <c r="L1488" s="458">
        <f t="shared" si="835"/>
        <v>0</v>
      </c>
      <c r="M1488" s="458">
        <f t="shared" si="836"/>
        <v>0</v>
      </c>
      <c r="N1488" s="459" t="str">
        <f t="shared" si="847"/>
        <v/>
      </c>
      <c r="O1488" s="459" t="str">
        <f t="shared" si="848"/>
        <v/>
      </c>
      <c r="P1488" s="459" t="str">
        <f t="shared" si="849"/>
        <v/>
      </c>
      <c r="Q1488" s="459" t="str">
        <f t="shared" si="850"/>
        <v/>
      </c>
      <c r="R1488" s="459" t="str">
        <f t="shared" si="851"/>
        <v/>
      </c>
      <c r="S1488" s="459" t="str">
        <f t="shared" si="852"/>
        <v/>
      </c>
      <c r="T1488" s="566" t="str">
        <f t="shared" si="837"/>
        <v/>
      </c>
      <c r="U1488" s="702"/>
      <c r="V1488" s="132"/>
      <c r="W1488" s="133"/>
      <c r="X1488" s="134"/>
      <c r="Y1488" s="135"/>
      <c r="Z1488" s="137"/>
      <c r="AA1488" s="136"/>
      <c r="AB1488" s="566" t="str">
        <f t="shared" si="838"/>
        <v/>
      </c>
      <c r="AC1488" s="568" t="str">
        <f t="shared" si="839"/>
        <v/>
      </c>
      <c r="AD1488" s="137"/>
      <c r="AE1488" s="137"/>
      <c r="AF1488" s="138"/>
      <c r="AG1488" s="138"/>
      <c r="AH1488" s="592" t="str">
        <f t="shared" si="840"/>
        <v/>
      </c>
      <c r="AI1488" s="592" t="str">
        <f t="shared" si="841"/>
        <v/>
      </c>
      <c r="AJ1488" s="592" t="str">
        <f t="shared" si="842"/>
        <v/>
      </c>
      <c r="AK1488" s="460" t="str">
        <f>IF(AU1488="","",IF(OR(AZ1488=8,AZ1488=9),0,IF(OR(AW1488=3,AW1488=4,AW1488=5,AW1488=6),IF(LEFT(BF1488,1)="1",INDEX(係数_NOX・PM低減,MATCH(AY1488,【参考】排出係数!$AI$801:$AI$804,1),1),VLOOKUP(AU1488,INDEX((係数_バス貨物_ガソリン,係数_バス貨物_CNG,係数_バス貨物_軽油,係数_バス貨物_メタノール,係数_バス貨物_LPG),MATCH(AY1488,【参考】排出係数!$AI$4:$AI$671,1),1,BE1488):INDEX((係数_バス貨物_ガソリン,係数_バス貨物_CNG,係数_バス貨物_軽油,係数_バス貨物_メタノール,係数_バス貨物_LPG),MATCH(AY1488+1,【参考】排出係数!$AI$4:$AI$671,1)-1,5,BE1488),4,FALSE)),IF(AND(BE1488=3,LEFT(BF1488,1)="1"),0.48,VLOOKUP(AU1488,INDEX((係数_乗用_ガソリン,係数_乗用_CNG,係数_乗用_軽油,係数_乗用_メタノール,係数_乗用_LPG),1,1,BE1488):INDEX((係数_乗用_ガソリン,係数_乗用_CNG,係数_乗用_軽油,係数_乗用_メタノール,係数_乗用_LPG),125,5,BE1488),4,FALSE)))))</f>
        <v/>
      </c>
      <c r="AL1488" s="461" t="str">
        <f t="shared" si="843"/>
        <v/>
      </c>
      <c r="AM1488" s="460" t="str">
        <f>IF(AU1488="","",IF(OR(AZ1488=8,AZ1488=9),0,IF(OR(AW1488=3,AW1488=4,AW1488=5,AW1488=6),IF(LEFT(BH1488,1)="1",INDEX(係数_PM低減,MATCH(AY1488,【参考】排出係数!$AI$801:$AI$804,1),MATCH(BI1488,【参考】排出係数!$AL$798:$AO$798,1)),VLOOKUP(AU1488,INDEX((係数_バス貨物_ガソリン,係数_バス貨物_CNG,係数_バス貨物_軽油,係数_バス貨物_メタノール,係数_バス貨物_LPG),MATCH(AY1488,【参考】排出係数!$AI$4:$AI$671,1),1,BE1488):INDEX((係数_バス貨物_ガソリン,係数_バス貨物_CNG,係数_バス貨物_軽油,係数_バス貨物_メタノール,係数_バス貨物_LPG),MATCH(AY1488+1,【参考】排出係数!$AI$4:$AI$671,1)-1,5,BE1488),5,FALSE)),IF(AND(BE1488=3,LEFT(BF1488,1)="1"),0.055,VLOOKUP(AU1488,INDEX((係数_乗用_ガソリン,係数_乗用_CNG,係数_乗用_軽油,係数_乗用_メタノール,係数_乗用_LPG),1,1,BE1488):INDEX((係数_乗用_ガソリン,係数_乗用_CNG,係数_乗用_軽油,係数_乗用_メタノール,係数_乗用_LPG),125,5,BE1488),5,FALSE)))))</f>
        <v/>
      </c>
      <c r="AN1488" s="461" t="str">
        <f t="shared" si="844"/>
        <v/>
      </c>
      <c r="AO1488" s="462" t="str">
        <f t="shared" si="845"/>
        <v/>
      </c>
      <c r="AP1488" s="463" t="str">
        <f t="shared" si="846"/>
        <v/>
      </c>
      <c r="AQ1488" s="464"/>
      <c r="AR1488" s="619"/>
      <c r="AS1488" s="465" t="str">
        <f t="shared" si="854"/>
        <v/>
      </c>
      <c r="AT1488" s="465" t="str">
        <f t="shared" si="855"/>
        <v/>
      </c>
      <c r="AU1488" s="466" t="str">
        <f t="shared" si="856"/>
        <v/>
      </c>
      <c r="AV1488" s="467" t="str">
        <f t="shared" si="857"/>
        <v/>
      </c>
      <c r="AW1488" s="467" t="str">
        <f t="shared" si="858"/>
        <v/>
      </c>
      <c r="AX1488" s="467" t="str">
        <f t="shared" si="859"/>
        <v/>
      </c>
      <c r="AY1488" s="467" t="str">
        <f t="shared" si="860"/>
        <v/>
      </c>
      <c r="AZ1488" s="467" t="str">
        <f t="shared" si="861"/>
        <v/>
      </c>
      <c r="BA1488" s="468" t="str">
        <f>IF(AS1488="","",IF(OR(AU1488="",AU1488="-"),"－",IF(OR(AZ1488=8,AZ1488=9),"",IF(OR(AW1488=3,AW1488=4,AW1488=5,AW1488=6),VLOOKUP(AU1488,INDEX((係数_バス貨物_ガソリン,係数_バス貨物_CNG,係数_バス貨物_軽油,係数_バス貨物_メタノール,係数_バス貨物_LPG),MATCH(AY1488,【参考】排出係数!$AI$4:$AI$671,1),1,BE1488):INDEX((係数_バス貨物_ガソリン,係数_バス貨物_CNG,係数_バス貨物_軽油,係数_バス貨物_メタノール,係数_バス貨物_LPG),MATCH(AY1488+1,【参考】排出係数!$AI$4:$AI$671,1)-1,5,BE1488),2,FALSE),IF(OR(AW1488=1,AW1488=2),VLOOKUP(AU1488,INDEX((係数_乗用_ガソリン,係数_乗用_CNG,係数_乗用_軽油,係数_乗用_メタノール,係数_乗用_LPG),1,1,BE1488):INDEX((係数_乗用_ガソリン,係数_乗用_CNG,係数_乗用_軽油,係数_乗用_メタノール,係数_乗用_LPG),125,5,BE1488),2,FALSE))))))</f>
        <v/>
      </c>
      <c r="BB1488" s="468" t="str">
        <f>IF(T1488="","",IF(OR(AU1488="",AU1488="-"),"－",IF(OR(AZ1488=8,AZ1488=9),"",IF(OR(AW1488=3,AW1488=4,AW1488=5,AW1488=6),VLOOKUP(AU1488,INDEX((係数_バス貨物_ガソリン,係数_バス貨物_CNG,係数_バス貨物_軽油,係数_バス貨物_メタノール,係数_バス貨物_LPG),MATCH(AY1488,【参考】排出係数!$AI$4:$AI$671,1),1,BE1488):INDEX((係数_バス貨物_ガソリン,係数_バス貨物_CNG,係数_バス貨物_軽油,係数_バス貨物_メタノール,係数_バス貨物_LPG),MATCH(AY1488+1,【参考】排出係数!$AI$4:$AI$671,1)-1,5,BE1488),3,FALSE),IF(OR(AW1488=1,AW1488=2),VLOOKUP(AU1488,INDEX((係数_乗用_ガソリン,係数_乗用_CNG,係数_乗用_軽油,係数_乗用_メタノール,係数_乗用_LPG),1,1,BE1488):INDEX((係数_乗用_ガソリン,係数_乗用_CNG,係数_乗用_軽油,係数_乗用_メタノール,係数_乗用_LPG),125,5,BE1488),3,FALSE))))))</f>
        <v/>
      </c>
      <c r="BC1488" s="467" t="str">
        <f t="shared" si="862"/>
        <v/>
      </c>
      <c r="BD1488" s="567" t="str">
        <f t="shared" si="863"/>
        <v/>
      </c>
      <c r="BE1488" s="467" t="str">
        <f t="shared" si="864"/>
        <v/>
      </c>
      <c r="BF1488" s="469" t="str">
        <f t="shared" ca="1" si="865"/>
        <v/>
      </c>
      <c r="BG1488" s="469" t="str">
        <f t="shared" ca="1" si="866"/>
        <v/>
      </c>
      <c r="BH1488" s="467" t="str">
        <f t="shared" si="867"/>
        <v/>
      </c>
      <c r="BI1488" s="467" t="str">
        <f t="shared" ca="1" si="868"/>
        <v/>
      </c>
      <c r="BJ1488" s="469" t="str">
        <f t="shared" si="869"/>
        <v/>
      </c>
      <c r="BK1488" s="470" t="str">
        <f t="shared" si="853"/>
        <v/>
      </c>
      <c r="BL1488" s="775" t="str">
        <f t="shared" si="870"/>
        <v/>
      </c>
      <c r="BM1488" s="775" t="str">
        <f t="shared" si="871"/>
        <v/>
      </c>
    </row>
    <row r="1489" spans="1:65">
      <c r="A1489" s="473">
        <v>1433</v>
      </c>
      <c r="B1489" s="132"/>
      <c r="C1489" s="332"/>
      <c r="D1489" s="333"/>
      <c r="E1489" s="333"/>
      <c r="F1489" s="334"/>
      <c r="G1489" s="337"/>
      <c r="H1489" s="131"/>
      <c r="I1489" s="337"/>
      <c r="J1489" s="131"/>
      <c r="K1489" s="458" t="str">
        <f t="shared" si="834"/>
        <v/>
      </c>
      <c r="L1489" s="458">
        <f t="shared" si="835"/>
        <v>0</v>
      </c>
      <c r="M1489" s="458">
        <f t="shared" si="836"/>
        <v>0</v>
      </c>
      <c r="N1489" s="459" t="str">
        <f t="shared" si="847"/>
        <v/>
      </c>
      <c r="O1489" s="459" t="str">
        <f t="shared" si="848"/>
        <v/>
      </c>
      <c r="P1489" s="459" t="str">
        <f t="shared" si="849"/>
        <v/>
      </c>
      <c r="Q1489" s="459" t="str">
        <f t="shared" si="850"/>
        <v/>
      </c>
      <c r="R1489" s="459" t="str">
        <f t="shared" si="851"/>
        <v/>
      </c>
      <c r="S1489" s="459" t="str">
        <f t="shared" si="852"/>
        <v/>
      </c>
      <c r="T1489" s="566" t="str">
        <f t="shared" si="837"/>
        <v/>
      </c>
      <c r="U1489" s="702"/>
      <c r="V1489" s="132"/>
      <c r="W1489" s="133"/>
      <c r="X1489" s="134"/>
      <c r="Y1489" s="135"/>
      <c r="Z1489" s="137"/>
      <c r="AA1489" s="136"/>
      <c r="AB1489" s="566" t="str">
        <f t="shared" si="838"/>
        <v/>
      </c>
      <c r="AC1489" s="568" t="str">
        <f t="shared" si="839"/>
        <v/>
      </c>
      <c r="AD1489" s="137"/>
      <c r="AE1489" s="137"/>
      <c r="AF1489" s="138"/>
      <c r="AG1489" s="138"/>
      <c r="AH1489" s="592" t="str">
        <f t="shared" si="840"/>
        <v/>
      </c>
      <c r="AI1489" s="592" t="str">
        <f t="shared" si="841"/>
        <v/>
      </c>
      <c r="AJ1489" s="592" t="str">
        <f t="shared" si="842"/>
        <v/>
      </c>
      <c r="AK1489" s="460" t="str">
        <f>IF(AU1489="","",IF(OR(AZ1489=8,AZ1489=9),0,IF(OR(AW1489=3,AW1489=4,AW1489=5,AW1489=6),IF(LEFT(BF1489,1)="1",INDEX(係数_NOX・PM低減,MATCH(AY1489,【参考】排出係数!$AI$801:$AI$804,1),1),VLOOKUP(AU1489,INDEX((係数_バス貨物_ガソリン,係数_バス貨物_CNG,係数_バス貨物_軽油,係数_バス貨物_メタノール,係数_バス貨物_LPG),MATCH(AY1489,【参考】排出係数!$AI$4:$AI$671,1),1,BE1489):INDEX((係数_バス貨物_ガソリン,係数_バス貨物_CNG,係数_バス貨物_軽油,係数_バス貨物_メタノール,係数_バス貨物_LPG),MATCH(AY1489+1,【参考】排出係数!$AI$4:$AI$671,1)-1,5,BE1489),4,FALSE)),IF(AND(BE1489=3,LEFT(BF1489,1)="1"),0.48,VLOOKUP(AU1489,INDEX((係数_乗用_ガソリン,係数_乗用_CNG,係数_乗用_軽油,係数_乗用_メタノール,係数_乗用_LPG),1,1,BE1489):INDEX((係数_乗用_ガソリン,係数_乗用_CNG,係数_乗用_軽油,係数_乗用_メタノール,係数_乗用_LPG),125,5,BE1489),4,FALSE)))))</f>
        <v/>
      </c>
      <c r="AL1489" s="461" t="str">
        <f t="shared" si="843"/>
        <v/>
      </c>
      <c r="AM1489" s="460" t="str">
        <f>IF(AU1489="","",IF(OR(AZ1489=8,AZ1489=9),0,IF(OR(AW1489=3,AW1489=4,AW1489=5,AW1489=6),IF(LEFT(BH1489,1)="1",INDEX(係数_PM低減,MATCH(AY1489,【参考】排出係数!$AI$801:$AI$804,1),MATCH(BI1489,【参考】排出係数!$AL$798:$AO$798,1)),VLOOKUP(AU1489,INDEX((係数_バス貨物_ガソリン,係数_バス貨物_CNG,係数_バス貨物_軽油,係数_バス貨物_メタノール,係数_バス貨物_LPG),MATCH(AY1489,【参考】排出係数!$AI$4:$AI$671,1),1,BE1489):INDEX((係数_バス貨物_ガソリン,係数_バス貨物_CNG,係数_バス貨物_軽油,係数_バス貨物_メタノール,係数_バス貨物_LPG),MATCH(AY1489+1,【参考】排出係数!$AI$4:$AI$671,1)-1,5,BE1489),5,FALSE)),IF(AND(BE1489=3,LEFT(BF1489,1)="1"),0.055,VLOOKUP(AU1489,INDEX((係数_乗用_ガソリン,係数_乗用_CNG,係数_乗用_軽油,係数_乗用_メタノール,係数_乗用_LPG),1,1,BE1489):INDEX((係数_乗用_ガソリン,係数_乗用_CNG,係数_乗用_軽油,係数_乗用_メタノール,係数_乗用_LPG),125,5,BE1489),5,FALSE)))))</f>
        <v/>
      </c>
      <c r="AN1489" s="461" t="str">
        <f t="shared" si="844"/>
        <v/>
      </c>
      <c r="AO1489" s="462" t="str">
        <f t="shared" si="845"/>
        <v/>
      </c>
      <c r="AP1489" s="463" t="str">
        <f t="shared" si="846"/>
        <v/>
      </c>
      <c r="AQ1489" s="464"/>
      <c r="AR1489" s="619"/>
      <c r="AS1489" s="465" t="str">
        <f t="shared" si="854"/>
        <v/>
      </c>
      <c r="AT1489" s="465" t="str">
        <f t="shared" si="855"/>
        <v/>
      </c>
      <c r="AU1489" s="466" t="str">
        <f t="shared" si="856"/>
        <v/>
      </c>
      <c r="AV1489" s="467" t="str">
        <f t="shared" si="857"/>
        <v/>
      </c>
      <c r="AW1489" s="467" t="str">
        <f t="shared" si="858"/>
        <v/>
      </c>
      <c r="AX1489" s="467" t="str">
        <f t="shared" si="859"/>
        <v/>
      </c>
      <c r="AY1489" s="467" t="str">
        <f t="shared" si="860"/>
        <v/>
      </c>
      <c r="AZ1489" s="467" t="str">
        <f t="shared" si="861"/>
        <v/>
      </c>
      <c r="BA1489" s="468" t="str">
        <f>IF(AS1489="","",IF(OR(AU1489="",AU1489="-"),"－",IF(OR(AZ1489=8,AZ1489=9),"",IF(OR(AW1489=3,AW1489=4,AW1489=5,AW1489=6),VLOOKUP(AU1489,INDEX((係数_バス貨物_ガソリン,係数_バス貨物_CNG,係数_バス貨物_軽油,係数_バス貨物_メタノール,係数_バス貨物_LPG),MATCH(AY1489,【参考】排出係数!$AI$4:$AI$671,1),1,BE1489):INDEX((係数_バス貨物_ガソリン,係数_バス貨物_CNG,係数_バス貨物_軽油,係数_バス貨物_メタノール,係数_バス貨物_LPG),MATCH(AY1489+1,【参考】排出係数!$AI$4:$AI$671,1)-1,5,BE1489),2,FALSE),IF(OR(AW1489=1,AW1489=2),VLOOKUP(AU1489,INDEX((係数_乗用_ガソリン,係数_乗用_CNG,係数_乗用_軽油,係数_乗用_メタノール,係数_乗用_LPG),1,1,BE1489):INDEX((係数_乗用_ガソリン,係数_乗用_CNG,係数_乗用_軽油,係数_乗用_メタノール,係数_乗用_LPG),125,5,BE1489),2,FALSE))))))</f>
        <v/>
      </c>
      <c r="BB1489" s="468" t="str">
        <f>IF(T1489="","",IF(OR(AU1489="",AU1489="-"),"－",IF(OR(AZ1489=8,AZ1489=9),"",IF(OR(AW1489=3,AW1489=4,AW1489=5,AW1489=6),VLOOKUP(AU1489,INDEX((係数_バス貨物_ガソリン,係数_バス貨物_CNG,係数_バス貨物_軽油,係数_バス貨物_メタノール,係数_バス貨物_LPG),MATCH(AY1489,【参考】排出係数!$AI$4:$AI$671,1),1,BE1489):INDEX((係数_バス貨物_ガソリン,係数_バス貨物_CNG,係数_バス貨物_軽油,係数_バス貨物_メタノール,係数_バス貨物_LPG),MATCH(AY1489+1,【参考】排出係数!$AI$4:$AI$671,1)-1,5,BE1489),3,FALSE),IF(OR(AW1489=1,AW1489=2),VLOOKUP(AU1489,INDEX((係数_乗用_ガソリン,係数_乗用_CNG,係数_乗用_軽油,係数_乗用_メタノール,係数_乗用_LPG),1,1,BE1489):INDEX((係数_乗用_ガソリン,係数_乗用_CNG,係数_乗用_軽油,係数_乗用_メタノール,係数_乗用_LPG),125,5,BE1489),3,FALSE))))))</f>
        <v/>
      </c>
      <c r="BC1489" s="467" t="str">
        <f t="shared" si="862"/>
        <v/>
      </c>
      <c r="BD1489" s="567" t="str">
        <f t="shared" si="863"/>
        <v/>
      </c>
      <c r="BE1489" s="467" t="str">
        <f t="shared" si="864"/>
        <v/>
      </c>
      <c r="BF1489" s="469" t="str">
        <f t="shared" ca="1" si="865"/>
        <v/>
      </c>
      <c r="BG1489" s="469" t="str">
        <f t="shared" ca="1" si="866"/>
        <v/>
      </c>
      <c r="BH1489" s="467" t="str">
        <f t="shared" si="867"/>
        <v/>
      </c>
      <c r="BI1489" s="467" t="str">
        <f t="shared" ca="1" si="868"/>
        <v/>
      </c>
      <c r="BJ1489" s="469" t="str">
        <f t="shared" si="869"/>
        <v/>
      </c>
      <c r="BK1489" s="470" t="str">
        <f t="shared" si="853"/>
        <v/>
      </c>
      <c r="BL1489" s="775" t="str">
        <f t="shared" si="870"/>
        <v/>
      </c>
      <c r="BM1489" s="775" t="str">
        <f t="shared" si="871"/>
        <v/>
      </c>
    </row>
    <row r="1490" spans="1:65">
      <c r="A1490" s="473">
        <v>1434</v>
      </c>
      <c r="B1490" s="132"/>
      <c r="C1490" s="332"/>
      <c r="D1490" s="333"/>
      <c r="E1490" s="333"/>
      <c r="F1490" s="334"/>
      <c r="G1490" s="337"/>
      <c r="H1490" s="131"/>
      <c r="I1490" s="337"/>
      <c r="J1490" s="131"/>
      <c r="K1490" s="458" t="str">
        <f t="shared" si="834"/>
        <v/>
      </c>
      <c r="L1490" s="458">
        <f t="shared" si="835"/>
        <v>0</v>
      </c>
      <c r="M1490" s="458">
        <f t="shared" si="836"/>
        <v>0</v>
      </c>
      <c r="N1490" s="459" t="str">
        <f t="shared" si="847"/>
        <v/>
      </c>
      <c r="O1490" s="459" t="str">
        <f t="shared" si="848"/>
        <v/>
      </c>
      <c r="P1490" s="459" t="str">
        <f t="shared" si="849"/>
        <v/>
      </c>
      <c r="Q1490" s="459" t="str">
        <f t="shared" si="850"/>
        <v/>
      </c>
      <c r="R1490" s="459" t="str">
        <f t="shared" si="851"/>
        <v/>
      </c>
      <c r="S1490" s="459" t="str">
        <f t="shared" si="852"/>
        <v/>
      </c>
      <c r="T1490" s="566" t="str">
        <f t="shared" si="837"/>
        <v/>
      </c>
      <c r="U1490" s="702"/>
      <c r="V1490" s="132"/>
      <c r="W1490" s="133"/>
      <c r="X1490" s="134"/>
      <c r="Y1490" s="135"/>
      <c r="Z1490" s="137"/>
      <c r="AA1490" s="136"/>
      <c r="AB1490" s="566" t="str">
        <f t="shared" si="838"/>
        <v/>
      </c>
      <c r="AC1490" s="568" t="str">
        <f t="shared" si="839"/>
        <v/>
      </c>
      <c r="AD1490" s="137"/>
      <c r="AE1490" s="137"/>
      <c r="AF1490" s="138"/>
      <c r="AG1490" s="138"/>
      <c r="AH1490" s="592" t="str">
        <f t="shared" si="840"/>
        <v/>
      </c>
      <c r="AI1490" s="592" t="str">
        <f t="shared" si="841"/>
        <v/>
      </c>
      <c r="AJ1490" s="592" t="str">
        <f t="shared" si="842"/>
        <v/>
      </c>
      <c r="AK1490" s="460" t="str">
        <f>IF(AU1490="","",IF(OR(AZ1490=8,AZ1490=9),0,IF(OR(AW1490=3,AW1490=4,AW1490=5,AW1490=6),IF(LEFT(BF1490,1)="1",INDEX(係数_NOX・PM低減,MATCH(AY1490,【参考】排出係数!$AI$801:$AI$804,1),1),VLOOKUP(AU1490,INDEX((係数_バス貨物_ガソリン,係数_バス貨物_CNG,係数_バス貨物_軽油,係数_バス貨物_メタノール,係数_バス貨物_LPG),MATCH(AY1490,【参考】排出係数!$AI$4:$AI$671,1),1,BE1490):INDEX((係数_バス貨物_ガソリン,係数_バス貨物_CNG,係数_バス貨物_軽油,係数_バス貨物_メタノール,係数_バス貨物_LPG),MATCH(AY1490+1,【参考】排出係数!$AI$4:$AI$671,1)-1,5,BE1490),4,FALSE)),IF(AND(BE1490=3,LEFT(BF1490,1)="1"),0.48,VLOOKUP(AU1490,INDEX((係数_乗用_ガソリン,係数_乗用_CNG,係数_乗用_軽油,係数_乗用_メタノール,係数_乗用_LPG),1,1,BE1490):INDEX((係数_乗用_ガソリン,係数_乗用_CNG,係数_乗用_軽油,係数_乗用_メタノール,係数_乗用_LPG),125,5,BE1490),4,FALSE)))))</f>
        <v/>
      </c>
      <c r="AL1490" s="461" t="str">
        <f t="shared" si="843"/>
        <v/>
      </c>
      <c r="AM1490" s="460" t="str">
        <f>IF(AU1490="","",IF(OR(AZ1490=8,AZ1490=9),0,IF(OR(AW1490=3,AW1490=4,AW1490=5,AW1490=6),IF(LEFT(BH1490,1)="1",INDEX(係数_PM低減,MATCH(AY1490,【参考】排出係数!$AI$801:$AI$804,1),MATCH(BI1490,【参考】排出係数!$AL$798:$AO$798,1)),VLOOKUP(AU1490,INDEX((係数_バス貨物_ガソリン,係数_バス貨物_CNG,係数_バス貨物_軽油,係数_バス貨物_メタノール,係数_バス貨物_LPG),MATCH(AY1490,【参考】排出係数!$AI$4:$AI$671,1),1,BE1490):INDEX((係数_バス貨物_ガソリン,係数_バス貨物_CNG,係数_バス貨物_軽油,係数_バス貨物_メタノール,係数_バス貨物_LPG),MATCH(AY1490+1,【参考】排出係数!$AI$4:$AI$671,1)-1,5,BE1490),5,FALSE)),IF(AND(BE1490=3,LEFT(BF1490,1)="1"),0.055,VLOOKUP(AU1490,INDEX((係数_乗用_ガソリン,係数_乗用_CNG,係数_乗用_軽油,係数_乗用_メタノール,係数_乗用_LPG),1,1,BE1490):INDEX((係数_乗用_ガソリン,係数_乗用_CNG,係数_乗用_軽油,係数_乗用_メタノール,係数_乗用_LPG),125,5,BE1490),5,FALSE)))))</f>
        <v/>
      </c>
      <c r="AN1490" s="461" t="str">
        <f t="shared" si="844"/>
        <v/>
      </c>
      <c r="AO1490" s="462" t="str">
        <f t="shared" si="845"/>
        <v/>
      </c>
      <c r="AP1490" s="463" t="str">
        <f t="shared" si="846"/>
        <v/>
      </c>
      <c r="AQ1490" s="464"/>
      <c r="AR1490" s="619"/>
      <c r="AS1490" s="465" t="str">
        <f t="shared" si="854"/>
        <v/>
      </c>
      <c r="AT1490" s="465" t="str">
        <f t="shared" si="855"/>
        <v/>
      </c>
      <c r="AU1490" s="466" t="str">
        <f t="shared" si="856"/>
        <v/>
      </c>
      <c r="AV1490" s="467" t="str">
        <f t="shared" si="857"/>
        <v/>
      </c>
      <c r="AW1490" s="467" t="str">
        <f t="shared" si="858"/>
        <v/>
      </c>
      <c r="AX1490" s="467" t="str">
        <f t="shared" si="859"/>
        <v/>
      </c>
      <c r="AY1490" s="467" t="str">
        <f t="shared" si="860"/>
        <v/>
      </c>
      <c r="AZ1490" s="467" t="str">
        <f t="shared" si="861"/>
        <v/>
      </c>
      <c r="BA1490" s="468" t="str">
        <f>IF(AS1490="","",IF(OR(AU1490="",AU1490="-"),"－",IF(OR(AZ1490=8,AZ1490=9),"",IF(OR(AW1490=3,AW1490=4,AW1490=5,AW1490=6),VLOOKUP(AU1490,INDEX((係数_バス貨物_ガソリン,係数_バス貨物_CNG,係数_バス貨物_軽油,係数_バス貨物_メタノール,係数_バス貨物_LPG),MATCH(AY1490,【参考】排出係数!$AI$4:$AI$671,1),1,BE1490):INDEX((係数_バス貨物_ガソリン,係数_バス貨物_CNG,係数_バス貨物_軽油,係数_バス貨物_メタノール,係数_バス貨物_LPG),MATCH(AY1490+1,【参考】排出係数!$AI$4:$AI$671,1)-1,5,BE1490),2,FALSE),IF(OR(AW1490=1,AW1490=2),VLOOKUP(AU1490,INDEX((係数_乗用_ガソリン,係数_乗用_CNG,係数_乗用_軽油,係数_乗用_メタノール,係数_乗用_LPG),1,1,BE1490):INDEX((係数_乗用_ガソリン,係数_乗用_CNG,係数_乗用_軽油,係数_乗用_メタノール,係数_乗用_LPG),125,5,BE1490),2,FALSE))))))</f>
        <v/>
      </c>
      <c r="BB1490" s="468" t="str">
        <f>IF(T1490="","",IF(OR(AU1490="",AU1490="-"),"－",IF(OR(AZ1490=8,AZ1490=9),"",IF(OR(AW1490=3,AW1490=4,AW1490=5,AW1490=6),VLOOKUP(AU1490,INDEX((係数_バス貨物_ガソリン,係数_バス貨物_CNG,係数_バス貨物_軽油,係数_バス貨物_メタノール,係数_バス貨物_LPG),MATCH(AY1490,【参考】排出係数!$AI$4:$AI$671,1),1,BE1490):INDEX((係数_バス貨物_ガソリン,係数_バス貨物_CNG,係数_バス貨物_軽油,係数_バス貨物_メタノール,係数_バス貨物_LPG),MATCH(AY1490+1,【参考】排出係数!$AI$4:$AI$671,1)-1,5,BE1490),3,FALSE),IF(OR(AW1490=1,AW1490=2),VLOOKUP(AU1490,INDEX((係数_乗用_ガソリン,係数_乗用_CNG,係数_乗用_軽油,係数_乗用_メタノール,係数_乗用_LPG),1,1,BE1490):INDEX((係数_乗用_ガソリン,係数_乗用_CNG,係数_乗用_軽油,係数_乗用_メタノール,係数_乗用_LPG),125,5,BE1490),3,FALSE))))))</f>
        <v/>
      </c>
      <c r="BC1490" s="467" t="str">
        <f t="shared" si="862"/>
        <v/>
      </c>
      <c r="BD1490" s="567" t="str">
        <f t="shared" si="863"/>
        <v/>
      </c>
      <c r="BE1490" s="467" t="str">
        <f t="shared" si="864"/>
        <v/>
      </c>
      <c r="BF1490" s="469" t="str">
        <f t="shared" ca="1" si="865"/>
        <v/>
      </c>
      <c r="BG1490" s="469" t="str">
        <f t="shared" ca="1" si="866"/>
        <v/>
      </c>
      <c r="BH1490" s="467" t="str">
        <f t="shared" si="867"/>
        <v/>
      </c>
      <c r="BI1490" s="467" t="str">
        <f t="shared" ca="1" si="868"/>
        <v/>
      </c>
      <c r="BJ1490" s="469" t="str">
        <f t="shared" si="869"/>
        <v/>
      </c>
      <c r="BK1490" s="470" t="str">
        <f t="shared" si="853"/>
        <v/>
      </c>
      <c r="BL1490" s="775" t="str">
        <f t="shared" si="870"/>
        <v/>
      </c>
      <c r="BM1490" s="775" t="str">
        <f t="shared" si="871"/>
        <v/>
      </c>
    </row>
    <row r="1491" spans="1:65">
      <c r="A1491" s="473">
        <v>1435</v>
      </c>
      <c r="B1491" s="132"/>
      <c r="C1491" s="332"/>
      <c r="D1491" s="333"/>
      <c r="E1491" s="333"/>
      <c r="F1491" s="334"/>
      <c r="G1491" s="337"/>
      <c r="H1491" s="131"/>
      <c r="I1491" s="337"/>
      <c r="J1491" s="131"/>
      <c r="K1491" s="458" t="str">
        <f t="shared" si="834"/>
        <v/>
      </c>
      <c r="L1491" s="458">
        <f t="shared" si="835"/>
        <v>0</v>
      </c>
      <c r="M1491" s="458">
        <f t="shared" si="836"/>
        <v>0</v>
      </c>
      <c r="N1491" s="459" t="str">
        <f t="shared" si="847"/>
        <v/>
      </c>
      <c r="O1491" s="459" t="str">
        <f t="shared" si="848"/>
        <v/>
      </c>
      <c r="P1491" s="459" t="str">
        <f t="shared" si="849"/>
        <v/>
      </c>
      <c r="Q1491" s="459" t="str">
        <f t="shared" si="850"/>
        <v/>
      </c>
      <c r="R1491" s="459" t="str">
        <f t="shared" si="851"/>
        <v/>
      </c>
      <c r="S1491" s="459" t="str">
        <f t="shared" si="852"/>
        <v/>
      </c>
      <c r="T1491" s="566" t="str">
        <f t="shared" si="837"/>
        <v/>
      </c>
      <c r="U1491" s="702"/>
      <c r="V1491" s="132"/>
      <c r="W1491" s="133"/>
      <c r="X1491" s="134"/>
      <c r="Y1491" s="135"/>
      <c r="Z1491" s="137"/>
      <c r="AA1491" s="136"/>
      <c r="AB1491" s="566" t="str">
        <f t="shared" si="838"/>
        <v/>
      </c>
      <c r="AC1491" s="568" t="str">
        <f t="shared" si="839"/>
        <v/>
      </c>
      <c r="AD1491" s="137"/>
      <c r="AE1491" s="137"/>
      <c r="AF1491" s="138"/>
      <c r="AG1491" s="138"/>
      <c r="AH1491" s="592" t="str">
        <f t="shared" si="840"/>
        <v/>
      </c>
      <c r="AI1491" s="592" t="str">
        <f t="shared" si="841"/>
        <v/>
      </c>
      <c r="AJ1491" s="592" t="str">
        <f t="shared" si="842"/>
        <v/>
      </c>
      <c r="AK1491" s="460" t="str">
        <f>IF(AU1491="","",IF(OR(AZ1491=8,AZ1491=9),0,IF(OR(AW1491=3,AW1491=4,AW1491=5,AW1491=6),IF(LEFT(BF1491,1)="1",INDEX(係数_NOX・PM低減,MATCH(AY1491,【参考】排出係数!$AI$801:$AI$804,1),1),VLOOKUP(AU1491,INDEX((係数_バス貨物_ガソリン,係数_バス貨物_CNG,係数_バス貨物_軽油,係数_バス貨物_メタノール,係数_バス貨物_LPG),MATCH(AY1491,【参考】排出係数!$AI$4:$AI$671,1),1,BE1491):INDEX((係数_バス貨物_ガソリン,係数_バス貨物_CNG,係数_バス貨物_軽油,係数_バス貨物_メタノール,係数_バス貨物_LPG),MATCH(AY1491+1,【参考】排出係数!$AI$4:$AI$671,1)-1,5,BE1491),4,FALSE)),IF(AND(BE1491=3,LEFT(BF1491,1)="1"),0.48,VLOOKUP(AU1491,INDEX((係数_乗用_ガソリン,係数_乗用_CNG,係数_乗用_軽油,係数_乗用_メタノール,係数_乗用_LPG),1,1,BE1491):INDEX((係数_乗用_ガソリン,係数_乗用_CNG,係数_乗用_軽油,係数_乗用_メタノール,係数_乗用_LPG),125,5,BE1491),4,FALSE)))))</f>
        <v/>
      </c>
      <c r="AL1491" s="461" t="str">
        <f t="shared" si="843"/>
        <v/>
      </c>
      <c r="AM1491" s="460" t="str">
        <f>IF(AU1491="","",IF(OR(AZ1491=8,AZ1491=9),0,IF(OR(AW1491=3,AW1491=4,AW1491=5,AW1491=6),IF(LEFT(BH1491,1)="1",INDEX(係数_PM低減,MATCH(AY1491,【参考】排出係数!$AI$801:$AI$804,1),MATCH(BI1491,【参考】排出係数!$AL$798:$AO$798,1)),VLOOKUP(AU1491,INDEX((係数_バス貨物_ガソリン,係数_バス貨物_CNG,係数_バス貨物_軽油,係数_バス貨物_メタノール,係数_バス貨物_LPG),MATCH(AY1491,【参考】排出係数!$AI$4:$AI$671,1),1,BE1491):INDEX((係数_バス貨物_ガソリン,係数_バス貨物_CNG,係数_バス貨物_軽油,係数_バス貨物_メタノール,係数_バス貨物_LPG),MATCH(AY1491+1,【参考】排出係数!$AI$4:$AI$671,1)-1,5,BE1491),5,FALSE)),IF(AND(BE1491=3,LEFT(BF1491,1)="1"),0.055,VLOOKUP(AU1491,INDEX((係数_乗用_ガソリン,係数_乗用_CNG,係数_乗用_軽油,係数_乗用_メタノール,係数_乗用_LPG),1,1,BE1491):INDEX((係数_乗用_ガソリン,係数_乗用_CNG,係数_乗用_軽油,係数_乗用_メタノール,係数_乗用_LPG),125,5,BE1491),5,FALSE)))))</f>
        <v/>
      </c>
      <c r="AN1491" s="461" t="str">
        <f t="shared" si="844"/>
        <v/>
      </c>
      <c r="AO1491" s="462" t="str">
        <f t="shared" si="845"/>
        <v/>
      </c>
      <c r="AP1491" s="463" t="str">
        <f t="shared" si="846"/>
        <v/>
      </c>
      <c r="AQ1491" s="464"/>
      <c r="AR1491" s="619"/>
      <c r="AS1491" s="465" t="str">
        <f t="shared" si="854"/>
        <v/>
      </c>
      <c r="AT1491" s="465" t="str">
        <f t="shared" si="855"/>
        <v/>
      </c>
      <c r="AU1491" s="466" t="str">
        <f t="shared" si="856"/>
        <v/>
      </c>
      <c r="AV1491" s="467" t="str">
        <f t="shared" si="857"/>
        <v/>
      </c>
      <c r="AW1491" s="467" t="str">
        <f t="shared" si="858"/>
        <v/>
      </c>
      <c r="AX1491" s="467" t="str">
        <f t="shared" si="859"/>
        <v/>
      </c>
      <c r="AY1491" s="467" t="str">
        <f t="shared" si="860"/>
        <v/>
      </c>
      <c r="AZ1491" s="467" t="str">
        <f t="shared" si="861"/>
        <v/>
      </c>
      <c r="BA1491" s="468" t="str">
        <f>IF(AS1491="","",IF(OR(AU1491="",AU1491="-"),"－",IF(OR(AZ1491=8,AZ1491=9),"",IF(OR(AW1491=3,AW1491=4,AW1491=5,AW1491=6),VLOOKUP(AU1491,INDEX((係数_バス貨物_ガソリン,係数_バス貨物_CNG,係数_バス貨物_軽油,係数_バス貨物_メタノール,係数_バス貨物_LPG),MATCH(AY1491,【参考】排出係数!$AI$4:$AI$671,1),1,BE1491):INDEX((係数_バス貨物_ガソリン,係数_バス貨物_CNG,係数_バス貨物_軽油,係数_バス貨物_メタノール,係数_バス貨物_LPG),MATCH(AY1491+1,【参考】排出係数!$AI$4:$AI$671,1)-1,5,BE1491),2,FALSE),IF(OR(AW1491=1,AW1491=2),VLOOKUP(AU1491,INDEX((係数_乗用_ガソリン,係数_乗用_CNG,係数_乗用_軽油,係数_乗用_メタノール,係数_乗用_LPG),1,1,BE1491):INDEX((係数_乗用_ガソリン,係数_乗用_CNG,係数_乗用_軽油,係数_乗用_メタノール,係数_乗用_LPG),125,5,BE1491),2,FALSE))))))</f>
        <v/>
      </c>
      <c r="BB1491" s="468" t="str">
        <f>IF(T1491="","",IF(OR(AU1491="",AU1491="-"),"－",IF(OR(AZ1491=8,AZ1491=9),"",IF(OR(AW1491=3,AW1491=4,AW1491=5,AW1491=6),VLOOKUP(AU1491,INDEX((係数_バス貨物_ガソリン,係数_バス貨物_CNG,係数_バス貨物_軽油,係数_バス貨物_メタノール,係数_バス貨物_LPG),MATCH(AY1491,【参考】排出係数!$AI$4:$AI$671,1),1,BE1491):INDEX((係数_バス貨物_ガソリン,係数_バス貨物_CNG,係数_バス貨物_軽油,係数_バス貨物_メタノール,係数_バス貨物_LPG),MATCH(AY1491+1,【参考】排出係数!$AI$4:$AI$671,1)-1,5,BE1491),3,FALSE),IF(OR(AW1491=1,AW1491=2),VLOOKUP(AU1491,INDEX((係数_乗用_ガソリン,係数_乗用_CNG,係数_乗用_軽油,係数_乗用_メタノール,係数_乗用_LPG),1,1,BE1491):INDEX((係数_乗用_ガソリン,係数_乗用_CNG,係数_乗用_軽油,係数_乗用_メタノール,係数_乗用_LPG),125,5,BE1491),3,FALSE))))))</f>
        <v/>
      </c>
      <c r="BC1491" s="467" t="str">
        <f t="shared" si="862"/>
        <v/>
      </c>
      <c r="BD1491" s="567" t="str">
        <f t="shared" si="863"/>
        <v/>
      </c>
      <c r="BE1491" s="467" t="str">
        <f t="shared" si="864"/>
        <v/>
      </c>
      <c r="BF1491" s="469" t="str">
        <f t="shared" ca="1" si="865"/>
        <v/>
      </c>
      <c r="BG1491" s="469" t="str">
        <f t="shared" ca="1" si="866"/>
        <v/>
      </c>
      <c r="BH1491" s="467" t="str">
        <f t="shared" si="867"/>
        <v/>
      </c>
      <c r="BI1491" s="467" t="str">
        <f t="shared" ca="1" si="868"/>
        <v/>
      </c>
      <c r="BJ1491" s="469" t="str">
        <f t="shared" si="869"/>
        <v/>
      </c>
      <c r="BK1491" s="470" t="str">
        <f t="shared" si="853"/>
        <v/>
      </c>
      <c r="BL1491" s="775" t="str">
        <f t="shared" si="870"/>
        <v/>
      </c>
      <c r="BM1491" s="775" t="str">
        <f t="shared" si="871"/>
        <v/>
      </c>
    </row>
    <row r="1492" spans="1:65">
      <c r="A1492" s="473">
        <v>1436</v>
      </c>
      <c r="B1492" s="132"/>
      <c r="C1492" s="332"/>
      <c r="D1492" s="333"/>
      <c r="E1492" s="333"/>
      <c r="F1492" s="334"/>
      <c r="G1492" s="337"/>
      <c r="H1492" s="131"/>
      <c r="I1492" s="337"/>
      <c r="J1492" s="131"/>
      <c r="K1492" s="458" t="str">
        <f t="shared" si="834"/>
        <v/>
      </c>
      <c r="L1492" s="458">
        <f t="shared" si="835"/>
        <v>0</v>
      </c>
      <c r="M1492" s="458">
        <f t="shared" si="836"/>
        <v>0</v>
      </c>
      <c r="N1492" s="459" t="str">
        <f t="shared" si="847"/>
        <v/>
      </c>
      <c r="O1492" s="459" t="str">
        <f t="shared" si="848"/>
        <v/>
      </c>
      <c r="P1492" s="459" t="str">
        <f t="shared" si="849"/>
        <v/>
      </c>
      <c r="Q1492" s="459" t="str">
        <f t="shared" si="850"/>
        <v/>
      </c>
      <c r="R1492" s="459" t="str">
        <f t="shared" si="851"/>
        <v/>
      </c>
      <c r="S1492" s="459" t="str">
        <f t="shared" si="852"/>
        <v/>
      </c>
      <c r="T1492" s="566" t="str">
        <f t="shared" si="837"/>
        <v/>
      </c>
      <c r="U1492" s="702"/>
      <c r="V1492" s="132"/>
      <c r="W1492" s="133"/>
      <c r="X1492" s="134"/>
      <c r="Y1492" s="135"/>
      <c r="Z1492" s="137"/>
      <c r="AA1492" s="136"/>
      <c r="AB1492" s="566" t="str">
        <f t="shared" si="838"/>
        <v/>
      </c>
      <c r="AC1492" s="568" t="str">
        <f t="shared" si="839"/>
        <v/>
      </c>
      <c r="AD1492" s="137"/>
      <c r="AE1492" s="137"/>
      <c r="AF1492" s="138"/>
      <c r="AG1492" s="138"/>
      <c r="AH1492" s="592" t="str">
        <f t="shared" si="840"/>
        <v/>
      </c>
      <c r="AI1492" s="592" t="str">
        <f t="shared" si="841"/>
        <v/>
      </c>
      <c r="AJ1492" s="592" t="str">
        <f t="shared" si="842"/>
        <v/>
      </c>
      <c r="AK1492" s="460" t="str">
        <f>IF(AU1492="","",IF(OR(AZ1492=8,AZ1492=9),0,IF(OR(AW1492=3,AW1492=4,AW1492=5,AW1492=6),IF(LEFT(BF1492,1)="1",INDEX(係数_NOX・PM低減,MATCH(AY1492,【参考】排出係数!$AI$801:$AI$804,1),1),VLOOKUP(AU1492,INDEX((係数_バス貨物_ガソリン,係数_バス貨物_CNG,係数_バス貨物_軽油,係数_バス貨物_メタノール,係数_バス貨物_LPG),MATCH(AY1492,【参考】排出係数!$AI$4:$AI$671,1),1,BE1492):INDEX((係数_バス貨物_ガソリン,係数_バス貨物_CNG,係数_バス貨物_軽油,係数_バス貨物_メタノール,係数_バス貨物_LPG),MATCH(AY1492+1,【参考】排出係数!$AI$4:$AI$671,1)-1,5,BE1492),4,FALSE)),IF(AND(BE1492=3,LEFT(BF1492,1)="1"),0.48,VLOOKUP(AU1492,INDEX((係数_乗用_ガソリン,係数_乗用_CNG,係数_乗用_軽油,係数_乗用_メタノール,係数_乗用_LPG),1,1,BE1492):INDEX((係数_乗用_ガソリン,係数_乗用_CNG,係数_乗用_軽油,係数_乗用_メタノール,係数_乗用_LPG),125,5,BE1492),4,FALSE)))))</f>
        <v/>
      </c>
      <c r="AL1492" s="461" t="str">
        <f t="shared" si="843"/>
        <v/>
      </c>
      <c r="AM1492" s="460" t="str">
        <f>IF(AU1492="","",IF(OR(AZ1492=8,AZ1492=9),0,IF(OR(AW1492=3,AW1492=4,AW1492=5,AW1492=6),IF(LEFT(BH1492,1)="1",INDEX(係数_PM低減,MATCH(AY1492,【参考】排出係数!$AI$801:$AI$804,1),MATCH(BI1492,【参考】排出係数!$AL$798:$AO$798,1)),VLOOKUP(AU1492,INDEX((係数_バス貨物_ガソリン,係数_バス貨物_CNG,係数_バス貨物_軽油,係数_バス貨物_メタノール,係数_バス貨物_LPG),MATCH(AY1492,【参考】排出係数!$AI$4:$AI$671,1),1,BE1492):INDEX((係数_バス貨物_ガソリン,係数_バス貨物_CNG,係数_バス貨物_軽油,係数_バス貨物_メタノール,係数_バス貨物_LPG),MATCH(AY1492+1,【参考】排出係数!$AI$4:$AI$671,1)-1,5,BE1492),5,FALSE)),IF(AND(BE1492=3,LEFT(BF1492,1)="1"),0.055,VLOOKUP(AU1492,INDEX((係数_乗用_ガソリン,係数_乗用_CNG,係数_乗用_軽油,係数_乗用_メタノール,係数_乗用_LPG),1,1,BE1492):INDEX((係数_乗用_ガソリン,係数_乗用_CNG,係数_乗用_軽油,係数_乗用_メタノール,係数_乗用_LPG),125,5,BE1492),5,FALSE)))))</f>
        <v/>
      </c>
      <c r="AN1492" s="461" t="str">
        <f t="shared" si="844"/>
        <v/>
      </c>
      <c r="AO1492" s="462" t="str">
        <f t="shared" si="845"/>
        <v/>
      </c>
      <c r="AP1492" s="463" t="str">
        <f t="shared" si="846"/>
        <v/>
      </c>
      <c r="AQ1492" s="464"/>
      <c r="AR1492" s="619"/>
      <c r="AS1492" s="465" t="str">
        <f t="shared" si="854"/>
        <v/>
      </c>
      <c r="AT1492" s="465" t="str">
        <f t="shared" si="855"/>
        <v/>
      </c>
      <c r="AU1492" s="466" t="str">
        <f t="shared" si="856"/>
        <v/>
      </c>
      <c r="AV1492" s="467" t="str">
        <f t="shared" si="857"/>
        <v/>
      </c>
      <c r="AW1492" s="467" t="str">
        <f t="shared" si="858"/>
        <v/>
      </c>
      <c r="AX1492" s="467" t="str">
        <f t="shared" si="859"/>
        <v/>
      </c>
      <c r="AY1492" s="467" t="str">
        <f t="shared" si="860"/>
        <v/>
      </c>
      <c r="AZ1492" s="467" t="str">
        <f t="shared" si="861"/>
        <v/>
      </c>
      <c r="BA1492" s="468" t="str">
        <f>IF(AS1492="","",IF(OR(AU1492="",AU1492="-"),"－",IF(OR(AZ1492=8,AZ1492=9),"",IF(OR(AW1492=3,AW1492=4,AW1492=5,AW1492=6),VLOOKUP(AU1492,INDEX((係数_バス貨物_ガソリン,係数_バス貨物_CNG,係数_バス貨物_軽油,係数_バス貨物_メタノール,係数_バス貨物_LPG),MATCH(AY1492,【参考】排出係数!$AI$4:$AI$671,1),1,BE1492):INDEX((係数_バス貨物_ガソリン,係数_バス貨物_CNG,係数_バス貨物_軽油,係数_バス貨物_メタノール,係数_バス貨物_LPG),MATCH(AY1492+1,【参考】排出係数!$AI$4:$AI$671,1)-1,5,BE1492),2,FALSE),IF(OR(AW1492=1,AW1492=2),VLOOKUP(AU1492,INDEX((係数_乗用_ガソリン,係数_乗用_CNG,係数_乗用_軽油,係数_乗用_メタノール,係数_乗用_LPG),1,1,BE1492):INDEX((係数_乗用_ガソリン,係数_乗用_CNG,係数_乗用_軽油,係数_乗用_メタノール,係数_乗用_LPG),125,5,BE1492),2,FALSE))))))</f>
        <v/>
      </c>
      <c r="BB1492" s="468" t="str">
        <f>IF(T1492="","",IF(OR(AU1492="",AU1492="-"),"－",IF(OR(AZ1492=8,AZ1492=9),"",IF(OR(AW1492=3,AW1492=4,AW1492=5,AW1492=6),VLOOKUP(AU1492,INDEX((係数_バス貨物_ガソリン,係数_バス貨物_CNG,係数_バス貨物_軽油,係数_バス貨物_メタノール,係数_バス貨物_LPG),MATCH(AY1492,【参考】排出係数!$AI$4:$AI$671,1),1,BE1492):INDEX((係数_バス貨物_ガソリン,係数_バス貨物_CNG,係数_バス貨物_軽油,係数_バス貨物_メタノール,係数_バス貨物_LPG),MATCH(AY1492+1,【参考】排出係数!$AI$4:$AI$671,1)-1,5,BE1492),3,FALSE),IF(OR(AW1492=1,AW1492=2),VLOOKUP(AU1492,INDEX((係数_乗用_ガソリン,係数_乗用_CNG,係数_乗用_軽油,係数_乗用_メタノール,係数_乗用_LPG),1,1,BE1492):INDEX((係数_乗用_ガソリン,係数_乗用_CNG,係数_乗用_軽油,係数_乗用_メタノール,係数_乗用_LPG),125,5,BE1492),3,FALSE))))))</f>
        <v/>
      </c>
      <c r="BC1492" s="467" t="str">
        <f t="shared" si="862"/>
        <v/>
      </c>
      <c r="BD1492" s="567" t="str">
        <f t="shared" si="863"/>
        <v/>
      </c>
      <c r="BE1492" s="467" t="str">
        <f t="shared" si="864"/>
        <v/>
      </c>
      <c r="BF1492" s="469" t="str">
        <f t="shared" ca="1" si="865"/>
        <v/>
      </c>
      <c r="BG1492" s="469" t="str">
        <f t="shared" ca="1" si="866"/>
        <v/>
      </c>
      <c r="BH1492" s="467" t="str">
        <f t="shared" si="867"/>
        <v/>
      </c>
      <c r="BI1492" s="467" t="str">
        <f t="shared" ca="1" si="868"/>
        <v/>
      </c>
      <c r="BJ1492" s="469" t="str">
        <f t="shared" si="869"/>
        <v/>
      </c>
      <c r="BK1492" s="470" t="str">
        <f t="shared" si="853"/>
        <v/>
      </c>
      <c r="BL1492" s="775" t="str">
        <f t="shared" si="870"/>
        <v/>
      </c>
      <c r="BM1492" s="775" t="str">
        <f t="shared" si="871"/>
        <v/>
      </c>
    </row>
    <row r="1493" spans="1:65">
      <c r="A1493" s="473">
        <v>1437</v>
      </c>
      <c r="B1493" s="132"/>
      <c r="C1493" s="332"/>
      <c r="D1493" s="333"/>
      <c r="E1493" s="333"/>
      <c r="F1493" s="334"/>
      <c r="G1493" s="337"/>
      <c r="H1493" s="131"/>
      <c r="I1493" s="337"/>
      <c r="J1493" s="131"/>
      <c r="K1493" s="458" t="str">
        <f t="shared" si="834"/>
        <v/>
      </c>
      <c r="L1493" s="458">
        <f t="shared" si="835"/>
        <v>0</v>
      </c>
      <c r="M1493" s="458">
        <f t="shared" si="836"/>
        <v>0</v>
      </c>
      <c r="N1493" s="459" t="str">
        <f t="shared" si="847"/>
        <v/>
      </c>
      <c r="O1493" s="459" t="str">
        <f t="shared" si="848"/>
        <v/>
      </c>
      <c r="P1493" s="459" t="str">
        <f t="shared" si="849"/>
        <v/>
      </c>
      <c r="Q1493" s="459" t="str">
        <f t="shared" si="850"/>
        <v/>
      </c>
      <c r="R1493" s="459" t="str">
        <f t="shared" si="851"/>
        <v/>
      </c>
      <c r="S1493" s="459" t="str">
        <f t="shared" si="852"/>
        <v/>
      </c>
      <c r="T1493" s="566" t="str">
        <f t="shared" si="837"/>
        <v/>
      </c>
      <c r="U1493" s="702"/>
      <c r="V1493" s="132"/>
      <c r="W1493" s="133"/>
      <c r="X1493" s="134"/>
      <c r="Y1493" s="135"/>
      <c r="Z1493" s="137"/>
      <c r="AA1493" s="136"/>
      <c r="AB1493" s="566" t="str">
        <f t="shared" si="838"/>
        <v/>
      </c>
      <c r="AC1493" s="568" t="str">
        <f t="shared" si="839"/>
        <v/>
      </c>
      <c r="AD1493" s="137"/>
      <c r="AE1493" s="137"/>
      <c r="AF1493" s="138"/>
      <c r="AG1493" s="138"/>
      <c r="AH1493" s="592" t="str">
        <f t="shared" si="840"/>
        <v/>
      </c>
      <c r="AI1493" s="592" t="str">
        <f t="shared" si="841"/>
        <v/>
      </c>
      <c r="AJ1493" s="592" t="str">
        <f t="shared" si="842"/>
        <v/>
      </c>
      <c r="AK1493" s="460" t="str">
        <f>IF(AU1493="","",IF(OR(AZ1493=8,AZ1493=9),0,IF(OR(AW1493=3,AW1493=4,AW1493=5,AW1493=6),IF(LEFT(BF1493,1)="1",INDEX(係数_NOX・PM低減,MATCH(AY1493,【参考】排出係数!$AI$801:$AI$804,1),1),VLOOKUP(AU1493,INDEX((係数_バス貨物_ガソリン,係数_バス貨物_CNG,係数_バス貨物_軽油,係数_バス貨物_メタノール,係数_バス貨物_LPG),MATCH(AY1493,【参考】排出係数!$AI$4:$AI$671,1),1,BE1493):INDEX((係数_バス貨物_ガソリン,係数_バス貨物_CNG,係数_バス貨物_軽油,係数_バス貨物_メタノール,係数_バス貨物_LPG),MATCH(AY1493+1,【参考】排出係数!$AI$4:$AI$671,1)-1,5,BE1493),4,FALSE)),IF(AND(BE1493=3,LEFT(BF1493,1)="1"),0.48,VLOOKUP(AU1493,INDEX((係数_乗用_ガソリン,係数_乗用_CNG,係数_乗用_軽油,係数_乗用_メタノール,係数_乗用_LPG),1,1,BE1493):INDEX((係数_乗用_ガソリン,係数_乗用_CNG,係数_乗用_軽油,係数_乗用_メタノール,係数_乗用_LPG),125,5,BE1493),4,FALSE)))))</f>
        <v/>
      </c>
      <c r="AL1493" s="461" t="str">
        <f t="shared" si="843"/>
        <v/>
      </c>
      <c r="AM1493" s="460" t="str">
        <f>IF(AU1493="","",IF(OR(AZ1493=8,AZ1493=9),0,IF(OR(AW1493=3,AW1493=4,AW1493=5,AW1493=6),IF(LEFT(BH1493,1)="1",INDEX(係数_PM低減,MATCH(AY1493,【参考】排出係数!$AI$801:$AI$804,1),MATCH(BI1493,【参考】排出係数!$AL$798:$AO$798,1)),VLOOKUP(AU1493,INDEX((係数_バス貨物_ガソリン,係数_バス貨物_CNG,係数_バス貨物_軽油,係数_バス貨物_メタノール,係数_バス貨物_LPG),MATCH(AY1493,【参考】排出係数!$AI$4:$AI$671,1),1,BE1493):INDEX((係数_バス貨物_ガソリン,係数_バス貨物_CNG,係数_バス貨物_軽油,係数_バス貨物_メタノール,係数_バス貨物_LPG),MATCH(AY1493+1,【参考】排出係数!$AI$4:$AI$671,1)-1,5,BE1493),5,FALSE)),IF(AND(BE1493=3,LEFT(BF1493,1)="1"),0.055,VLOOKUP(AU1493,INDEX((係数_乗用_ガソリン,係数_乗用_CNG,係数_乗用_軽油,係数_乗用_メタノール,係数_乗用_LPG),1,1,BE1493):INDEX((係数_乗用_ガソリン,係数_乗用_CNG,係数_乗用_軽油,係数_乗用_メタノール,係数_乗用_LPG),125,5,BE1493),5,FALSE)))))</f>
        <v/>
      </c>
      <c r="AN1493" s="461" t="str">
        <f t="shared" si="844"/>
        <v/>
      </c>
      <c r="AO1493" s="462" t="str">
        <f t="shared" si="845"/>
        <v/>
      </c>
      <c r="AP1493" s="463" t="str">
        <f t="shared" si="846"/>
        <v/>
      </c>
      <c r="AQ1493" s="464"/>
      <c r="AR1493" s="619"/>
      <c r="AS1493" s="465" t="str">
        <f t="shared" si="854"/>
        <v/>
      </c>
      <c r="AT1493" s="465" t="str">
        <f t="shared" si="855"/>
        <v/>
      </c>
      <c r="AU1493" s="466" t="str">
        <f t="shared" si="856"/>
        <v/>
      </c>
      <c r="AV1493" s="467" t="str">
        <f t="shared" si="857"/>
        <v/>
      </c>
      <c r="AW1493" s="467" t="str">
        <f t="shared" si="858"/>
        <v/>
      </c>
      <c r="AX1493" s="467" t="str">
        <f t="shared" si="859"/>
        <v/>
      </c>
      <c r="AY1493" s="467" t="str">
        <f t="shared" si="860"/>
        <v/>
      </c>
      <c r="AZ1493" s="467" t="str">
        <f t="shared" si="861"/>
        <v/>
      </c>
      <c r="BA1493" s="468" t="str">
        <f>IF(AS1493="","",IF(OR(AU1493="",AU1493="-"),"－",IF(OR(AZ1493=8,AZ1493=9),"",IF(OR(AW1493=3,AW1493=4,AW1493=5,AW1493=6),VLOOKUP(AU1493,INDEX((係数_バス貨物_ガソリン,係数_バス貨物_CNG,係数_バス貨物_軽油,係数_バス貨物_メタノール,係数_バス貨物_LPG),MATCH(AY1493,【参考】排出係数!$AI$4:$AI$671,1),1,BE1493):INDEX((係数_バス貨物_ガソリン,係数_バス貨物_CNG,係数_バス貨物_軽油,係数_バス貨物_メタノール,係数_バス貨物_LPG),MATCH(AY1493+1,【参考】排出係数!$AI$4:$AI$671,1)-1,5,BE1493),2,FALSE),IF(OR(AW1493=1,AW1493=2),VLOOKUP(AU1493,INDEX((係数_乗用_ガソリン,係数_乗用_CNG,係数_乗用_軽油,係数_乗用_メタノール,係数_乗用_LPG),1,1,BE1493):INDEX((係数_乗用_ガソリン,係数_乗用_CNG,係数_乗用_軽油,係数_乗用_メタノール,係数_乗用_LPG),125,5,BE1493),2,FALSE))))))</f>
        <v/>
      </c>
      <c r="BB1493" s="468" t="str">
        <f>IF(T1493="","",IF(OR(AU1493="",AU1493="-"),"－",IF(OR(AZ1493=8,AZ1493=9),"",IF(OR(AW1493=3,AW1493=4,AW1493=5,AW1493=6),VLOOKUP(AU1493,INDEX((係数_バス貨物_ガソリン,係数_バス貨物_CNG,係数_バス貨物_軽油,係数_バス貨物_メタノール,係数_バス貨物_LPG),MATCH(AY1493,【参考】排出係数!$AI$4:$AI$671,1),1,BE1493):INDEX((係数_バス貨物_ガソリン,係数_バス貨物_CNG,係数_バス貨物_軽油,係数_バス貨物_メタノール,係数_バス貨物_LPG),MATCH(AY1493+1,【参考】排出係数!$AI$4:$AI$671,1)-1,5,BE1493),3,FALSE),IF(OR(AW1493=1,AW1493=2),VLOOKUP(AU1493,INDEX((係数_乗用_ガソリン,係数_乗用_CNG,係数_乗用_軽油,係数_乗用_メタノール,係数_乗用_LPG),1,1,BE1493):INDEX((係数_乗用_ガソリン,係数_乗用_CNG,係数_乗用_軽油,係数_乗用_メタノール,係数_乗用_LPG),125,5,BE1493),3,FALSE))))))</f>
        <v/>
      </c>
      <c r="BC1493" s="467" t="str">
        <f t="shared" si="862"/>
        <v/>
      </c>
      <c r="BD1493" s="567" t="str">
        <f t="shared" si="863"/>
        <v/>
      </c>
      <c r="BE1493" s="467" t="str">
        <f t="shared" si="864"/>
        <v/>
      </c>
      <c r="BF1493" s="469" t="str">
        <f t="shared" ca="1" si="865"/>
        <v/>
      </c>
      <c r="BG1493" s="469" t="str">
        <f t="shared" ca="1" si="866"/>
        <v/>
      </c>
      <c r="BH1493" s="467" t="str">
        <f t="shared" si="867"/>
        <v/>
      </c>
      <c r="BI1493" s="467" t="str">
        <f t="shared" ca="1" si="868"/>
        <v/>
      </c>
      <c r="BJ1493" s="469" t="str">
        <f t="shared" si="869"/>
        <v/>
      </c>
      <c r="BK1493" s="470" t="str">
        <f t="shared" si="853"/>
        <v/>
      </c>
      <c r="BL1493" s="775" t="str">
        <f t="shared" si="870"/>
        <v/>
      </c>
      <c r="BM1493" s="775" t="str">
        <f t="shared" si="871"/>
        <v/>
      </c>
    </row>
    <row r="1494" spans="1:65">
      <c r="A1494" s="473">
        <v>1438</v>
      </c>
      <c r="B1494" s="132"/>
      <c r="C1494" s="332"/>
      <c r="D1494" s="333"/>
      <c r="E1494" s="333"/>
      <c r="F1494" s="334"/>
      <c r="G1494" s="337"/>
      <c r="H1494" s="131"/>
      <c r="I1494" s="337"/>
      <c r="J1494" s="131"/>
      <c r="K1494" s="458" t="str">
        <f t="shared" si="834"/>
        <v/>
      </c>
      <c r="L1494" s="458">
        <f t="shared" si="835"/>
        <v>0</v>
      </c>
      <c r="M1494" s="458">
        <f t="shared" si="836"/>
        <v>0</v>
      </c>
      <c r="N1494" s="459" t="str">
        <f t="shared" si="847"/>
        <v/>
      </c>
      <c r="O1494" s="459" t="str">
        <f t="shared" si="848"/>
        <v/>
      </c>
      <c r="P1494" s="459" t="str">
        <f t="shared" si="849"/>
        <v/>
      </c>
      <c r="Q1494" s="459" t="str">
        <f t="shared" si="850"/>
        <v/>
      </c>
      <c r="R1494" s="459" t="str">
        <f t="shared" si="851"/>
        <v/>
      </c>
      <c r="S1494" s="459" t="str">
        <f t="shared" si="852"/>
        <v/>
      </c>
      <c r="T1494" s="566" t="str">
        <f t="shared" si="837"/>
        <v/>
      </c>
      <c r="U1494" s="702"/>
      <c r="V1494" s="132"/>
      <c r="W1494" s="133"/>
      <c r="X1494" s="134"/>
      <c r="Y1494" s="135"/>
      <c r="Z1494" s="137"/>
      <c r="AA1494" s="136"/>
      <c r="AB1494" s="566" t="str">
        <f t="shared" si="838"/>
        <v/>
      </c>
      <c r="AC1494" s="568" t="str">
        <f t="shared" si="839"/>
        <v/>
      </c>
      <c r="AD1494" s="137"/>
      <c r="AE1494" s="137"/>
      <c r="AF1494" s="138"/>
      <c r="AG1494" s="138"/>
      <c r="AH1494" s="592" t="str">
        <f t="shared" si="840"/>
        <v/>
      </c>
      <c r="AI1494" s="592" t="str">
        <f t="shared" si="841"/>
        <v/>
      </c>
      <c r="AJ1494" s="592" t="str">
        <f t="shared" si="842"/>
        <v/>
      </c>
      <c r="AK1494" s="460" t="str">
        <f>IF(AU1494="","",IF(OR(AZ1494=8,AZ1494=9),0,IF(OR(AW1494=3,AW1494=4,AW1494=5,AW1494=6),IF(LEFT(BF1494,1)="1",INDEX(係数_NOX・PM低減,MATCH(AY1494,【参考】排出係数!$AI$801:$AI$804,1),1),VLOOKUP(AU1494,INDEX((係数_バス貨物_ガソリン,係数_バス貨物_CNG,係数_バス貨物_軽油,係数_バス貨物_メタノール,係数_バス貨物_LPG),MATCH(AY1494,【参考】排出係数!$AI$4:$AI$671,1),1,BE1494):INDEX((係数_バス貨物_ガソリン,係数_バス貨物_CNG,係数_バス貨物_軽油,係数_バス貨物_メタノール,係数_バス貨物_LPG),MATCH(AY1494+1,【参考】排出係数!$AI$4:$AI$671,1)-1,5,BE1494),4,FALSE)),IF(AND(BE1494=3,LEFT(BF1494,1)="1"),0.48,VLOOKUP(AU1494,INDEX((係数_乗用_ガソリン,係数_乗用_CNG,係数_乗用_軽油,係数_乗用_メタノール,係数_乗用_LPG),1,1,BE1494):INDEX((係数_乗用_ガソリン,係数_乗用_CNG,係数_乗用_軽油,係数_乗用_メタノール,係数_乗用_LPG),125,5,BE1494),4,FALSE)))))</f>
        <v/>
      </c>
      <c r="AL1494" s="461" t="str">
        <f t="shared" si="843"/>
        <v/>
      </c>
      <c r="AM1494" s="460" t="str">
        <f>IF(AU1494="","",IF(OR(AZ1494=8,AZ1494=9),0,IF(OR(AW1494=3,AW1494=4,AW1494=5,AW1494=6),IF(LEFT(BH1494,1)="1",INDEX(係数_PM低減,MATCH(AY1494,【参考】排出係数!$AI$801:$AI$804,1),MATCH(BI1494,【参考】排出係数!$AL$798:$AO$798,1)),VLOOKUP(AU1494,INDEX((係数_バス貨物_ガソリン,係数_バス貨物_CNG,係数_バス貨物_軽油,係数_バス貨物_メタノール,係数_バス貨物_LPG),MATCH(AY1494,【参考】排出係数!$AI$4:$AI$671,1),1,BE1494):INDEX((係数_バス貨物_ガソリン,係数_バス貨物_CNG,係数_バス貨物_軽油,係数_バス貨物_メタノール,係数_バス貨物_LPG),MATCH(AY1494+1,【参考】排出係数!$AI$4:$AI$671,1)-1,5,BE1494),5,FALSE)),IF(AND(BE1494=3,LEFT(BF1494,1)="1"),0.055,VLOOKUP(AU1494,INDEX((係数_乗用_ガソリン,係数_乗用_CNG,係数_乗用_軽油,係数_乗用_メタノール,係数_乗用_LPG),1,1,BE1494):INDEX((係数_乗用_ガソリン,係数_乗用_CNG,係数_乗用_軽油,係数_乗用_メタノール,係数_乗用_LPG),125,5,BE1494),5,FALSE)))))</f>
        <v/>
      </c>
      <c r="AN1494" s="461" t="str">
        <f t="shared" si="844"/>
        <v/>
      </c>
      <c r="AO1494" s="462" t="str">
        <f t="shared" si="845"/>
        <v/>
      </c>
      <c r="AP1494" s="463" t="str">
        <f t="shared" si="846"/>
        <v/>
      </c>
      <c r="AQ1494" s="464"/>
      <c r="AR1494" s="619"/>
      <c r="AS1494" s="465" t="str">
        <f t="shared" si="854"/>
        <v/>
      </c>
      <c r="AT1494" s="465" t="str">
        <f t="shared" si="855"/>
        <v/>
      </c>
      <c r="AU1494" s="466" t="str">
        <f t="shared" si="856"/>
        <v/>
      </c>
      <c r="AV1494" s="467" t="str">
        <f t="shared" si="857"/>
        <v/>
      </c>
      <c r="AW1494" s="467" t="str">
        <f t="shared" si="858"/>
        <v/>
      </c>
      <c r="AX1494" s="467" t="str">
        <f t="shared" si="859"/>
        <v/>
      </c>
      <c r="AY1494" s="467" t="str">
        <f t="shared" si="860"/>
        <v/>
      </c>
      <c r="AZ1494" s="467" t="str">
        <f t="shared" si="861"/>
        <v/>
      </c>
      <c r="BA1494" s="468" t="str">
        <f>IF(AS1494="","",IF(OR(AU1494="",AU1494="-"),"－",IF(OR(AZ1494=8,AZ1494=9),"",IF(OR(AW1494=3,AW1494=4,AW1494=5,AW1494=6),VLOOKUP(AU1494,INDEX((係数_バス貨物_ガソリン,係数_バス貨物_CNG,係数_バス貨物_軽油,係数_バス貨物_メタノール,係数_バス貨物_LPG),MATCH(AY1494,【参考】排出係数!$AI$4:$AI$671,1),1,BE1494):INDEX((係数_バス貨物_ガソリン,係数_バス貨物_CNG,係数_バス貨物_軽油,係数_バス貨物_メタノール,係数_バス貨物_LPG),MATCH(AY1494+1,【参考】排出係数!$AI$4:$AI$671,1)-1,5,BE1494),2,FALSE),IF(OR(AW1494=1,AW1494=2),VLOOKUP(AU1494,INDEX((係数_乗用_ガソリン,係数_乗用_CNG,係数_乗用_軽油,係数_乗用_メタノール,係数_乗用_LPG),1,1,BE1494):INDEX((係数_乗用_ガソリン,係数_乗用_CNG,係数_乗用_軽油,係数_乗用_メタノール,係数_乗用_LPG),125,5,BE1494),2,FALSE))))))</f>
        <v/>
      </c>
      <c r="BB1494" s="468" t="str">
        <f>IF(T1494="","",IF(OR(AU1494="",AU1494="-"),"－",IF(OR(AZ1494=8,AZ1494=9),"",IF(OR(AW1494=3,AW1494=4,AW1494=5,AW1494=6),VLOOKUP(AU1494,INDEX((係数_バス貨物_ガソリン,係数_バス貨物_CNG,係数_バス貨物_軽油,係数_バス貨物_メタノール,係数_バス貨物_LPG),MATCH(AY1494,【参考】排出係数!$AI$4:$AI$671,1),1,BE1494):INDEX((係数_バス貨物_ガソリン,係数_バス貨物_CNG,係数_バス貨物_軽油,係数_バス貨物_メタノール,係数_バス貨物_LPG),MATCH(AY1494+1,【参考】排出係数!$AI$4:$AI$671,1)-1,5,BE1494),3,FALSE),IF(OR(AW1494=1,AW1494=2),VLOOKUP(AU1494,INDEX((係数_乗用_ガソリン,係数_乗用_CNG,係数_乗用_軽油,係数_乗用_メタノール,係数_乗用_LPG),1,1,BE1494):INDEX((係数_乗用_ガソリン,係数_乗用_CNG,係数_乗用_軽油,係数_乗用_メタノール,係数_乗用_LPG),125,5,BE1494),3,FALSE))))))</f>
        <v/>
      </c>
      <c r="BC1494" s="467" t="str">
        <f t="shared" si="862"/>
        <v/>
      </c>
      <c r="BD1494" s="567" t="str">
        <f t="shared" si="863"/>
        <v/>
      </c>
      <c r="BE1494" s="467" t="str">
        <f t="shared" si="864"/>
        <v/>
      </c>
      <c r="BF1494" s="469" t="str">
        <f t="shared" ca="1" si="865"/>
        <v/>
      </c>
      <c r="BG1494" s="469" t="str">
        <f t="shared" ca="1" si="866"/>
        <v/>
      </c>
      <c r="BH1494" s="467" t="str">
        <f t="shared" si="867"/>
        <v/>
      </c>
      <c r="BI1494" s="467" t="str">
        <f t="shared" ca="1" si="868"/>
        <v/>
      </c>
      <c r="BJ1494" s="469" t="str">
        <f t="shared" si="869"/>
        <v/>
      </c>
      <c r="BK1494" s="470" t="str">
        <f t="shared" si="853"/>
        <v/>
      </c>
      <c r="BL1494" s="775" t="str">
        <f t="shared" si="870"/>
        <v/>
      </c>
      <c r="BM1494" s="775" t="str">
        <f t="shared" si="871"/>
        <v/>
      </c>
    </row>
    <row r="1495" spans="1:65">
      <c r="A1495" s="473">
        <v>1439</v>
      </c>
      <c r="B1495" s="132"/>
      <c r="C1495" s="332"/>
      <c r="D1495" s="333"/>
      <c r="E1495" s="333"/>
      <c r="F1495" s="334"/>
      <c r="G1495" s="337"/>
      <c r="H1495" s="131"/>
      <c r="I1495" s="337"/>
      <c r="J1495" s="131"/>
      <c r="K1495" s="458" t="str">
        <f t="shared" si="834"/>
        <v/>
      </c>
      <c r="L1495" s="458">
        <f t="shared" si="835"/>
        <v>0</v>
      </c>
      <c r="M1495" s="458">
        <f t="shared" si="836"/>
        <v>0</v>
      </c>
      <c r="N1495" s="459" t="str">
        <f t="shared" si="847"/>
        <v/>
      </c>
      <c r="O1495" s="459" t="str">
        <f t="shared" si="848"/>
        <v/>
      </c>
      <c r="P1495" s="459" t="str">
        <f t="shared" si="849"/>
        <v/>
      </c>
      <c r="Q1495" s="459" t="str">
        <f t="shared" si="850"/>
        <v/>
      </c>
      <c r="R1495" s="459" t="str">
        <f t="shared" si="851"/>
        <v/>
      </c>
      <c r="S1495" s="459" t="str">
        <f t="shared" si="852"/>
        <v/>
      </c>
      <c r="T1495" s="566" t="str">
        <f t="shared" si="837"/>
        <v/>
      </c>
      <c r="U1495" s="702"/>
      <c r="V1495" s="132"/>
      <c r="W1495" s="133"/>
      <c r="X1495" s="134"/>
      <c r="Y1495" s="135"/>
      <c r="Z1495" s="137"/>
      <c r="AA1495" s="136"/>
      <c r="AB1495" s="566" t="str">
        <f t="shared" si="838"/>
        <v/>
      </c>
      <c r="AC1495" s="568" t="str">
        <f t="shared" si="839"/>
        <v/>
      </c>
      <c r="AD1495" s="137"/>
      <c r="AE1495" s="137"/>
      <c r="AF1495" s="138"/>
      <c r="AG1495" s="138"/>
      <c r="AH1495" s="592" t="str">
        <f t="shared" si="840"/>
        <v/>
      </c>
      <c r="AI1495" s="592" t="str">
        <f t="shared" si="841"/>
        <v/>
      </c>
      <c r="AJ1495" s="592" t="str">
        <f t="shared" si="842"/>
        <v/>
      </c>
      <c r="AK1495" s="460" t="str">
        <f>IF(AU1495="","",IF(OR(AZ1495=8,AZ1495=9),0,IF(OR(AW1495=3,AW1495=4,AW1495=5,AW1495=6),IF(LEFT(BF1495,1)="1",INDEX(係数_NOX・PM低減,MATCH(AY1495,【参考】排出係数!$AI$801:$AI$804,1),1),VLOOKUP(AU1495,INDEX((係数_バス貨物_ガソリン,係数_バス貨物_CNG,係数_バス貨物_軽油,係数_バス貨物_メタノール,係数_バス貨物_LPG),MATCH(AY1495,【参考】排出係数!$AI$4:$AI$671,1),1,BE1495):INDEX((係数_バス貨物_ガソリン,係数_バス貨物_CNG,係数_バス貨物_軽油,係数_バス貨物_メタノール,係数_バス貨物_LPG),MATCH(AY1495+1,【参考】排出係数!$AI$4:$AI$671,1)-1,5,BE1495),4,FALSE)),IF(AND(BE1495=3,LEFT(BF1495,1)="1"),0.48,VLOOKUP(AU1495,INDEX((係数_乗用_ガソリン,係数_乗用_CNG,係数_乗用_軽油,係数_乗用_メタノール,係数_乗用_LPG),1,1,BE1495):INDEX((係数_乗用_ガソリン,係数_乗用_CNG,係数_乗用_軽油,係数_乗用_メタノール,係数_乗用_LPG),125,5,BE1495),4,FALSE)))))</f>
        <v/>
      </c>
      <c r="AL1495" s="461" t="str">
        <f t="shared" si="843"/>
        <v/>
      </c>
      <c r="AM1495" s="460" t="str">
        <f>IF(AU1495="","",IF(OR(AZ1495=8,AZ1495=9),0,IF(OR(AW1495=3,AW1495=4,AW1495=5,AW1495=6),IF(LEFT(BH1495,1)="1",INDEX(係数_PM低減,MATCH(AY1495,【参考】排出係数!$AI$801:$AI$804,1),MATCH(BI1495,【参考】排出係数!$AL$798:$AO$798,1)),VLOOKUP(AU1495,INDEX((係数_バス貨物_ガソリン,係数_バス貨物_CNG,係数_バス貨物_軽油,係数_バス貨物_メタノール,係数_バス貨物_LPG),MATCH(AY1495,【参考】排出係数!$AI$4:$AI$671,1),1,BE1495):INDEX((係数_バス貨物_ガソリン,係数_バス貨物_CNG,係数_バス貨物_軽油,係数_バス貨物_メタノール,係数_バス貨物_LPG),MATCH(AY1495+1,【参考】排出係数!$AI$4:$AI$671,1)-1,5,BE1495),5,FALSE)),IF(AND(BE1495=3,LEFT(BF1495,1)="1"),0.055,VLOOKUP(AU1495,INDEX((係数_乗用_ガソリン,係数_乗用_CNG,係数_乗用_軽油,係数_乗用_メタノール,係数_乗用_LPG),1,1,BE1495):INDEX((係数_乗用_ガソリン,係数_乗用_CNG,係数_乗用_軽油,係数_乗用_メタノール,係数_乗用_LPG),125,5,BE1495),5,FALSE)))))</f>
        <v/>
      </c>
      <c r="AN1495" s="461" t="str">
        <f t="shared" si="844"/>
        <v/>
      </c>
      <c r="AO1495" s="462" t="str">
        <f t="shared" si="845"/>
        <v/>
      </c>
      <c r="AP1495" s="463" t="str">
        <f t="shared" si="846"/>
        <v/>
      </c>
      <c r="AQ1495" s="464"/>
      <c r="AR1495" s="619"/>
      <c r="AS1495" s="465" t="str">
        <f t="shared" si="854"/>
        <v/>
      </c>
      <c r="AT1495" s="465" t="str">
        <f t="shared" si="855"/>
        <v/>
      </c>
      <c r="AU1495" s="466" t="str">
        <f t="shared" si="856"/>
        <v/>
      </c>
      <c r="AV1495" s="467" t="str">
        <f t="shared" si="857"/>
        <v/>
      </c>
      <c r="AW1495" s="467" t="str">
        <f t="shared" si="858"/>
        <v/>
      </c>
      <c r="AX1495" s="467" t="str">
        <f t="shared" si="859"/>
        <v/>
      </c>
      <c r="AY1495" s="467" t="str">
        <f t="shared" si="860"/>
        <v/>
      </c>
      <c r="AZ1495" s="467" t="str">
        <f t="shared" si="861"/>
        <v/>
      </c>
      <c r="BA1495" s="468" t="str">
        <f>IF(AS1495="","",IF(OR(AU1495="",AU1495="-"),"－",IF(OR(AZ1495=8,AZ1495=9),"",IF(OR(AW1495=3,AW1495=4,AW1495=5,AW1495=6),VLOOKUP(AU1495,INDEX((係数_バス貨物_ガソリン,係数_バス貨物_CNG,係数_バス貨物_軽油,係数_バス貨物_メタノール,係数_バス貨物_LPG),MATCH(AY1495,【参考】排出係数!$AI$4:$AI$671,1),1,BE1495):INDEX((係数_バス貨物_ガソリン,係数_バス貨物_CNG,係数_バス貨物_軽油,係数_バス貨物_メタノール,係数_バス貨物_LPG),MATCH(AY1495+1,【参考】排出係数!$AI$4:$AI$671,1)-1,5,BE1495),2,FALSE),IF(OR(AW1495=1,AW1495=2),VLOOKUP(AU1495,INDEX((係数_乗用_ガソリン,係数_乗用_CNG,係数_乗用_軽油,係数_乗用_メタノール,係数_乗用_LPG),1,1,BE1495):INDEX((係数_乗用_ガソリン,係数_乗用_CNG,係数_乗用_軽油,係数_乗用_メタノール,係数_乗用_LPG),125,5,BE1495),2,FALSE))))))</f>
        <v/>
      </c>
      <c r="BB1495" s="468" t="str">
        <f>IF(T1495="","",IF(OR(AU1495="",AU1495="-"),"－",IF(OR(AZ1495=8,AZ1495=9),"",IF(OR(AW1495=3,AW1495=4,AW1495=5,AW1495=6),VLOOKUP(AU1495,INDEX((係数_バス貨物_ガソリン,係数_バス貨物_CNG,係数_バス貨物_軽油,係数_バス貨物_メタノール,係数_バス貨物_LPG),MATCH(AY1495,【参考】排出係数!$AI$4:$AI$671,1),1,BE1495):INDEX((係数_バス貨物_ガソリン,係数_バス貨物_CNG,係数_バス貨物_軽油,係数_バス貨物_メタノール,係数_バス貨物_LPG),MATCH(AY1495+1,【参考】排出係数!$AI$4:$AI$671,1)-1,5,BE1495),3,FALSE),IF(OR(AW1495=1,AW1495=2),VLOOKUP(AU1495,INDEX((係数_乗用_ガソリン,係数_乗用_CNG,係数_乗用_軽油,係数_乗用_メタノール,係数_乗用_LPG),1,1,BE1495):INDEX((係数_乗用_ガソリン,係数_乗用_CNG,係数_乗用_軽油,係数_乗用_メタノール,係数_乗用_LPG),125,5,BE1495),3,FALSE))))))</f>
        <v/>
      </c>
      <c r="BC1495" s="467" t="str">
        <f t="shared" si="862"/>
        <v/>
      </c>
      <c r="BD1495" s="567" t="str">
        <f t="shared" si="863"/>
        <v/>
      </c>
      <c r="BE1495" s="467" t="str">
        <f t="shared" si="864"/>
        <v/>
      </c>
      <c r="BF1495" s="469" t="str">
        <f t="shared" ca="1" si="865"/>
        <v/>
      </c>
      <c r="BG1495" s="469" t="str">
        <f t="shared" ca="1" si="866"/>
        <v/>
      </c>
      <c r="BH1495" s="467" t="str">
        <f t="shared" si="867"/>
        <v/>
      </c>
      <c r="BI1495" s="467" t="str">
        <f t="shared" ca="1" si="868"/>
        <v/>
      </c>
      <c r="BJ1495" s="469" t="str">
        <f t="shared" si="869"/>
        <v/>
      </c>
      <c r="BK1495" s="470" t="str">
        <f t="shared" si="853"/>
        <v/>
      </c>
      <c r="BL1495" s="775" t="str">
        <f t="shared" si="870"/>
        <v/>
      </c>
      <c r="BM1495" s="775" t="str">
        <f t="shared" si="871"/>
        <v/>
      </c>
    </row>
    <row r="1496" spans="1:65">
      <c r="A1496" s="473">
        <v>1440</v>
      </c>
      <c r="B1496" s="132"/>
      <c r="C1496" s="332"/>
      <c r="D1496" s="333"/>
      <c r="E1496" s="333"/>
      <c r="F1496" s="334"/>
      <c r="G1496" s="337"/>
      <c r="H1496" s="131"/>
      <c r="I1496" s="337"/>
      <c r="J1496" s="131"/>
      <c r="K1496" s="458" t="str">
        <f t="shared" si="834"/>
        <v/>
      </c>
      <c r="L1496" s="458">
        <f t="shared" si="835"/>
        <v>0</v>
      </c>
      <c r="M1496" s="458">
        <f t="shared" si="836"/>
        <v>0</v>
      </c>
      <c r="N1496" s="459" t="str">
        <f t="shared" si="847"/>
        <v/>
      </c>
      <c r="O1496" s="459" t="str">
        <f t="shared" si="848"/>
        <v/>
      </c>
      <c r="P1496" s="459" t="str">
        <f t="shared" si="849"/>
        <v/>
      </c>
      <c r="Q1496" s="459" t="str">
        <f t="shared" si="850"/>
        <v/>
      </c>
      <c r="R1496" s="459" t="str">
        <f t="shared" si="851"/>
        <v/>
      </c>
      <c r="S1496" s="459" t="str">
        <f t="shared" si="852"/>
        <v/>
      </c>
      <c r="T1496" s="566" t="str">
        <f t="shared" si="837"/>
        <v/>
      </c>
      <c r="U1496" s="702"/>
      <c r="V1496" s="132"/>
      <c r="W1496" s="133"/>
      <c r="X1496" s="134"/>
      <c r="Y1496" s="135"/>
      <c r="Z1496" s="137"/>
      <c r="AA1496" s="136"/>
      <c r="AB1496" s="566" t="str">
        <f t="shared" si="838"/>
        <v/>
      </c>
      <c r="AC1496" s="568" t="str">
        <f t="shared" si="839"/>
        <v/>
      </c>
      <c r="AD1496" s="137"/>
      <c r="AE1496" s="137"/>
      <c r="AF1496" s="138"/>
      <c r="AG1496" s="138"/>
      <c r="AH1496" s="592" t="str">
        <f t="shared" si="840"/>
        <v/>
      </c>
      <c r="AI1496" s="592" t="str">
        <f t="shared" si="841"/>
        <v/>
      </c>
      <c r="AJ1496" s="592" t="str">
        <f t="shared" si="842"/>
        <v/>
      </c>
      <c r="AK1496" s="460" t="str">
        <f>IF(AU1496="","",IF(OR(AZ1496=8,AZ1496=9),0,IF(OR(AW1496=3,AW1496=4,AW1496=5,AW1496=6),IF(LEFT(BF1496,1)="1",INDEX(係数_NOX・PM低減,MATCH(AY1496,【参考】排出係数!$AI$801:$AI$804,1),1),VLOOKUP(AU1496,INDEX((係数_バス貨物_ガソリン,係数_バス貨物_CNG,係数_バス貨物_軽油,係数_バス貨物_メタノール,係数_バス貨物_LPG),MATCH(AY1496,【参考】排出係数!$AI$4:$AI$671,1),1,BE1496):INDEX((係数_バス貨物_ガソリン,係数_バス貨物_CNG,係数_バス貨物_軽油,係数_バス貨物_メタノール,係数_バス貨物_LPG),MATCH(AY1496+1,【参考】排出係数!$AI$4:$AI$671,1)-1,5,BE1496),4,FALSE)),IF(AND(BE1496=3,LEFT(BF1496,1)="1"),0.48,VLOOKUP(AU1496,INDEX((係数_乗用_ガソリン,係数_乗用_CNG,係数_乗用_軽油,係数_乗用_メタノール,係数_乗用_LPG),1,1,BE1496):INDEX((係数_乗用_ガソリン,係数_乗用_CNG,係数_乗用_軽油,係数_乗用_メタノール,係数_乗用_LPG),125,5,BE1496),4,FALSE)))))</f>
        <v/>
      </c>
      <c r="AL1496" s="461" t="str">
        <f t="shared" si="843"/>
        <v/>
      </c>
      <c r="AM1496" s="460" t="str">
        <f>IF(AU1496="","",IF(OR(AZ1496=8,AZ1496=9),0,IF(OR(AW1496=3,AW1496=4,AW1496=5,AW1496=6),IF(LEFT(BH1496,1)="1",INDEX(係数_PM低減,MATCH(AY1496,【参考】排出係数!$AI$801:$AI$804,1),MATCH(BI1496,【参考】排出係数!$AL$798:$AO$798,1)),VLOOKUP(AU1496,INDEX((係数_バス貨物_ガソリン,係数_バス貨物_CNG,係数_バス貨物_軽油,係数_バス貨物_メタノール,係数_バス貨物_LPG),MATCH(AY1496,【参考】排出係数!$AI$4:$AI$671,1),1,BE1496):INDEX((係数_バス貨物_ガソリン,係数_バス貨物_CNG,係数_バス貨物_軽油,係数_バス貨物_メタノール,係数_バス貨物_LPG),MATCH(AY1496+1,【参考】排出係数!$AI$4:$AI$671,1)-1,5,BE1496),5,FALSE)),IF(AND(BE1496=3,LEFT(BF1496,1)="1"),0.055,VLOOKUP(AU1496,INDEX((係数_乗用_ガソリン,係数_乗用_CNG,係数_乗用_軽油,係数_乗用_メタノール,係数_乗用_LPG),1,1,BE1496):INDEX((係数_乗用_ガソリン,係数_乗用_CNG,係数_乗用_軽油,係数_乗用_メタノール,係数_乗用_LPG),125,5,BE1496),5,FALSE)))))</f>
        <v/>
      </c>
      <c r="AN1496" s="461" t="str">
        <f t="shared" si="844"/>
        <v/>
      </c>
      <c r="AO1496" s="462" t="str">
        <f t="shared" si="845"/>
        <v/>
      </c>
      <c r="AP1496" s="463" t="str">
        <f t="shared" si="846"/>
        <v/>
      </c>
      <c r="AQ1496" s="464"/>
      <c r="AR1496" s="619"/>
      <c r="AS1496" s="465" t="str">
        <f t="shared" si="854"/>
        <v/>
      </c>
      <c r="AT1496" s="465" t="str">
        <f t="shared" si="855"/>
        <v/>
      </c>
      <c r="AU1496" s="466" t="str">
        <f t="shared" si="856"/>
        <v/>
      </c>
      <c r="AV1496" s="467" t="str">
        <f t="shared" si="857"/>
        <v/>
      </c>
      <c r="AW1496" s="467" t="str">
        <f t="shared" si="858"/>
        <v/>
      </c>
      <c r="AX1496" s="467" t="str">
        <f t="shared" si="859"/>
        <v/>
      </c>
      <c r="AY1496" s="467" t="str">
        <f t="shared" si="860"/>
        <v/>
      </c>
      <c r="AZ1496" s="467" t="str">
        <f t="shared" si="861"/>
        <v/>
      </c>
      <c r="BA1496" s="468" t="str">
        <f>IF(AS1496="","",IF(OR(AU1496="",AU1496="-"),"－",IF(OR(AZ1496=8,AZ1496=9),"",IF(OR(AW1496=3,AW1496=4,AW1496=5,AW1496=6),VLOOKUP(AU1496,INDEX((係数_バス貨物_ガソリン,係数_バス貨物_CNG,係数_バス貨物_軽油,係数_バス貨物_メタノール,係数_バス貨物_LPG),MATCH(AY1496,【参考】排出係数!$AI$4:$AI$671,1),1,BE1496):INDEX((係数_バス貨物_ガソリン,係数_バス貨物_CNG,係数_バス貨物_軽油,係数_バス貨物_メタノール,係数_バス貨物_LPG),MATCH(AY1496+1,【参考】排出係数!$AI$4:$AI$671,1)-1,5,BE1496),2,FALSE),IF(OR(AW1496=1,AW1496=2),VLOOKUP(AU1496,INDEX((係数_乗用_ガソリン,係数_乗用_CNG,係数_乗用_軽油,係数_乗用_メタノール,係数_乗用_LPG),1,1,BE1496):INDEX((係数_乗用_ガソリン,係数_乗用_CNG,係数_乗用_軽油,係数_乗用_メタノール,係数_乗用_LPG),125,5,BE1496),2,FALSE))))))</f>
        <v/>
      </c>
      <c r="BB1496" s="468" t="str">
        <f>IF(T1496="","",IF(OR(AU1496="",AU1496="-"),"－",IF(OR(AZ1496=8,AZ1496=9),"",IF(OR(AW1496=3,AW1496=4,AW1496=5,AW1496=6),VLOOKUP(AU1496,INDEX((係数_バス貨物_ガソリン,係数_バス貨物_CNG,係数_バス貨物_軽油,係数_バス貨物_メタノール,係数_バス貨物_LPG),MATCH(AY1496,【参考】排出係数!$AI$4:$AI$671,1),1,BE1496):INDEX((係数_バス貨物_ガソリン,係数_バス貨物_CNG,係数_バス貨物_軽油,係数_バス貨物_メタノール,係数_バス貨物_LPG),MATCH(AY1496+1,【参考】排出係数!$AI$4:$AI$671,1)-1,5,BE1496),3,FALSE),IF(OR(AW1496=1,AW1496=2),VLOOKUP(AU1496,INDEX((係数_乗用_ガソリン,係数_乗用_CNG,係数_乗用_軽油,係数_乗用_メタノール,係数_乗用_LPG),1,1,BE1496):INDEX((係数_乗用_ガソリン,係数_乗用_CNG,係数_乗用_軽油,係数_乗用_メタノール,係数_乗用_LPG),125,5,BE1496),3,FALSE))))))</f>
        <v/>
      </c>
      <c r="BC1496" s="467" t="str">
        <f t="shared" si="862"/>
        <v/>
      </c>
      <c r="BD1496" s="567" t="str">
        <f t="shared" si="863"/>
        <v/>
      </c>
      <c r="BE1496" s="467" t="str">
        <f t="shared" si="864"/>
        <v/>
      </c>
      <c r="BF1496" s="469" t="str">
        <f t="shared" ca="1" si="865"/>
        <v/>
      </c>
      <c r="BG1496" s="469" t="str">
        <f t="shared" ca="1" si="866"/>
        <v/>
      </c>
      <c r="BH1496" s="467" t="str">
        <f t="shared" si="867"/>
        <v/>
      </c>
      <c r="BI1496" s="467" t="str">
        <f t="shared" ca="1" si="868"/>
        <v/>
      </c>
      <c r="BJ1496" s="469" t="str">
        <f t="shared" si="869"/>
        <v/>
      </c>
      <c r="BK1496" s="470" t="str">
        <f t="shared" si="853"/>
        <v/>
      </c>
      <c r="BL1496" s="775" t="str">
        <f t="shared" si="870"/>
        <v/>
      </c>
      <c r="BM1496" s="775" t="str">
        <f t="shared" si="871"/>
        <v/>
      </c>
    </row>
    <row r="1497" spans="1:65">
      <c r="A1497" s="473">
        <v>1441</v>
      </c>
      <c r="B1497" s="132"/>
      <c r="C1497" s="332"/>
      <c r="D1497" s="333"/>
      <c r="E1497" s="333"/>
      <c r="F1497" s="334"/>
      <c r="G1497" s="337"/>
      <c r="H1497" s="131"/>
      <c r="I1497" s="337"/>
      <c r="J1497" s="131"/>
      <c r="K1497" s="458" t="str">
        <f t="shared" si="834"/>
        <v/>
      </c>
      <c r="L1497" s="458">
        <f t="shared" si="835"/>
        <v>0</v>
      </c>
      <c r="M1497" s="458">
        <f t="shared" si="836"/>
        <v>0</v>
      </c>
      <c r="N1497" s="459" t="str">
        <f t="shared" si="847"/>
        <v/>
      </c>
      <c r="O1497" s="459" t="str">
        <f t="shared" si="848"/>
        <v/>
      </c>
      <c r="P1497" s="459" t="str">
        <f t="shared" si="849"/>
        <v/>
      </c>
      <c r="Q1497" s="459" t="str">
        <f t="shared" si="850"/>
        <v/>
      </c>
      <c r="R1497" s="459" t="str">
        <f t="shared" si="851"/>
        <v/>
      </c>
      <c r="S1497" s="459" t="str">
        <f t="shared" si="852"/>
        <v/>
      </c>
      <c r="T1497" s="566" t="str">
        <f t="shared" si="837"/>
        <v/>
      </c>
      <c r="U1497" s="702"/>
      <c r="V1497" s="132"/>
      <c r="W1497" s="133"/>
      <c r="X1497" s="134"/>
      <c r="Y1497" s="135"/>
      <c r="Z1497" s="137"/>
      <c r="AA1497" s="136"/>
      <c r="AB1497" s="566" t="str">
        <f t="shared" si="838"/>
        <v/>
      </c>
      <c r="AC1497" s="568" t="str">
        <f t="shared" si="839"/>
        <v/>
      </c>
      <c r="AD1497" s="137"/>
      <c r="AE1497" s="137"/>
      <c r="AF1497" s="138"/>
      <c r="AG1497" s="138"/>
      <c r="AH1497" s="592" t="str">
        <f t="shared" si="840"/>
        <v/>
      </c>
      <c r="AI1497" s="592" t="str">
        <f t="shared" si="841"/>
        <v/>
      </c>
      <c r="AJ1497" s="592" t="str">
        <f t="shared" si="842"/>
        <v/>
      </c>
      <c r="AK1497" s="460" t="str">
        <f>IF(AU1497="","",IF(OR(AZ1497=8,AZ1497=9),0,IF(OR(AW1497=3,AW1497=4,AW1497=5,AW1497=6),IF(LEFT(BF1497,1)="1",INDEX(係数_NOX・PM低減,MATCH(AY1497,【参考】排出係数!$AI$801:$AI$804,1),1),VLOOKUP(AU1497,INDEX((係数_バス貨物_ガソリン,係数_バス貨物_CNG,係数_バス貨物_軽油,係数_バス貨物_メタノール,係数_バス貨物_LPG),MATCH(AY1497,【参考】排出係数!$AI$4:$AI$671,1),1,BE1497):INDEX((係数_バス貨物_ガソリン,係数_バス貨物_CNG,係数_バス貨物_軽油,係数_バス貨物_メタノール,係数_バス貨物_LPG),MATCH(AY1497+1,【参考】排出係数!$AI$4:$AI$671,1)-1,5,BE1497),4,FALSE)),IF(AND(BE1497=3,LEFT(BF1497,1)="1"),0.48,VLOOKUP(AU1497,INDEX((係数_乗用_ガソリン,係数_乗用_CNG,係数_乗用_軽油,係数_乗用_メタノール,係数_乗用_LPG),1,1,BE1497):INDEX((係数_乗用_ガソリン,係数_乗用_CNG,係数_乗用_軽油,係数_乗用_メタノール,係数_乗用_LPG),125,5,BE1497),4,FALSE)))))</f>
        <v/>
      </c>
      <c r="AL1497" s="461" t="str">
        <f t="shared" si="843"/>
        <v/>
      </c>
      <c r="AM1497" s="460" t="str">
        <f>IF(AU1497="","",IF(OR(AZ1497=8,AZ1497=9),0,IF(OR(AW1497=3,AW1497=4,AW1497=5,AW1497=6),IF(LEFT(BH1497,1)="1",INDEX(係数_PM低減,MATCH(AY1497,【参考】排出係数!$AI$801:$AI$804,1),MATCH(BI1497,【参考】排出係数!$AL$798:$AO$798,1)),VLOOKUP(AU1497,INDEX((係数_バス貨物_ガソリン,係数_バス貨物_CNG,係数_バス貨物_軽油,係数_バス貨物_メタノール,係数_バス貨物_LPG),MATCH(AY1497,【参考】排出係数!$AI$4:$AI$671,1),1,BE1497):INDEX((係数_バス貨物_ガソリン,係数_バス貨物_CNG,係数_バス貨物_軽油,係数_バス貨物_メタノール,係数_バス貨物_LPG),MATCH(AY1497+1,【参考】排出係数!$AI$4:$AI$671,1)-1,5,BE1497),5,FALSE)),IF(AND(BE1497=3,LEFT(BF1497,1)="1"),0.055,VLOOKUP(AU1497,INDEX((係数_乗用_ガソリン,係数_乗用_CNG,係数_乗用_軽油,係数_乗用_メタノール,係数_乗用_LPG),1,1,BE1497):INDEX((係数_乗用_ガソリン,係数_乗用_CNG,係数_乗用_軽油,係数_乗用_メタノール,係数_乗用_LPG),125,5,BE1497),5,FALSE)))))</f>
        <v/>
      </c>
      <c r="AN1497" s="461" t="str">
        <f t="shared" si="844"/>
        <v/>
      </c>
      <c r="AO1497" s="462" t="str">
        <f t="shared" si="845"/>
        <v/>
      </c>
      <c r="AP1497" s="463" t="str">
        <f t="shared" si="846"/>
        <v/>
      </c>
      <c r="AQ1497" s="464"/>
      <c r="AR1497" s="619"/>
      <c r="AS1497" s="465" t="str">
        <f t="shared" si="854"/>
        <v/>
      </c>
      <c r="AT1497" s="465" t="str">
        <f t="shared" si="855"/>
        <v/>
      </c>
      <c r="AU1497" s="466" t="str">
        <f t="shared" si="856"/>
        <v/>
      </c>
      <c r="AV1497" s="467" t="str">
        <f t="shared" si="857"/>
        <v/>
      </c>
      <c r="AW1497" s="467" t="str">
        <f t="shared" si="858"/>
        <v/>
      </c>
      <c r="AX1497" s="467" t="str">
        <f t="shared" si="859"/>
        <v/>
      </c>
      <c r="AY1497" s="467" t="str">
        <f t="shared" si="860"/>
        <v/>
      </c>
      <c r="AZ1497" s="467" t="str">
        <f t="shared" si="861"/>
        <v/>
      </c>
      <c r="BA1497" s="468" t="str">
        <f>IF(AS1497="","",IF(OR(AU1497="",AU1497="-"),"－",IF(OR(AZ1497=8,AZ1497=9),"",IF(OR(AW1497=3,AW1497=4,AW1497=5,AW1497=6),VLOOKUP(AU1497,INDEX((係数_バス貨物_ガソリン,係数_バス貨物_CNG,係数_バス貨物_軽油,係数_バス貨物_メタノール,係数_バス貨物_LPG),MATCH(AY1497,【参考】排出係数!$AI$4:$AI$671,1),1,BE1497):INDEX((係数_バス貨物_ガソリン,係数_バス貨物_CNG,係数_バス貨物_軽油,係数_バス貨物_メタノール,係数_バス貨物_LPG),MATCH(AY1497+1,【参考】排出係数!$AI$4:$AI$671,1)-1,5,BE1497),2,FALSE),IF(OR(AW1497=1,AW1497=2),VLOOKUP(AU1497,INDEX((係数_乗用_ガソリン,係数_乗用_CNG,係数_乗用_軽油,係数_乗用_メタノール,係数_乗用_LPG),1,1,BE1497):INDEX((係数_乗用_ガソリン,係数_乗用_CNG,係数_乗用_軽油,係数_乗用_メタノール,係数_乗用_LPG),125,5,BE1497),2,FALSE))))))</f>
        <v/>
      </c>
      <c r="BB1497" s="468" t="str">
        <f>IF(T1497="","",IF(OR(AU1497="",AU1497="-"),"－",IF(OR(AZ1497=8,AZ1497=9),"",IF(OR(AW1497=3,AW1497=4,AW1497=5,AW1497=6),VLOOKUP(AU1497,INDEX((係数_バス貨物_ガソリン,係数_バス貨物_CNG,係数_バス貨物_軽油,係数_バス貨物_メタノール,係数_バス貨物_LPG),MATCH(AY1497,【参考】排出係数!$AI$4:$AI$671,1),1,BE1497):INDEX((係数_バス貨物_ガソリン,係数_バス貨物_CNG,係数_バス貨物_軽油,係数_バス貨物_メタノール,係数_バス貨物_LPG),MATCH(AY1497+1,【参考】排出係数!$AI$4:$AI$671,1)-1,5,BE1497),3,FALSE),IF(OR(AW1497=1,AW1497=2),VLOOKUP(AU1497,INDEX((係数_乗用_ガソリン,係数_乗用_CNG,係数_乗用_軽油,係数_乗用_メタノール,係数_乗用_LPG),1,1,BE1497):INDEX((係数_乗用_ガソリン,係数_乗用_CNG,係数_乗用_軽油,係数_乗用_メタノール,係数_乗用_LPG),125,5,BE1497),3,FALSE))))))</f>
        <v/>
      </c>
      <c r="BC1497" s="467" t="str">
        <f t="shared" si="862"/>
        <v/>
      </c>
      <c r="BD1497" s="567" t="str">
        <f t="shared" si="863"/>
        <v/>
      </c>
      <c r="BE1497" s="467" t="str">
        <f t="shared" si="864"/>
        <v/>
      </c>
      <c r="BF1497" s="469" t="str">
        <f t="shared" ca="1" si="865"/>
        <v/>
      </c>
      <c r="BG1497" s="469" t="str">
        <f t="shared" ca="1" si="866"/>
        <v/>
      </c>
      <c r="BH1497" s="467" t="str">
        <f t="shared" si="867"/>
        <v/>
      </c>
      <c r="BI1497" s="467" t="str">
        <f t="shared" ca="1" si="868"/>
        <v/>
      </c>
      <c r="BJ1497" s="469" t="str">
        <f t="shared" si="869"/>
        <v/>
      </c>
      <c r="BK1497" s="470" t="str">
        <f t="shared" si="853"/>
        <v/>
      </c>
      <c r="BL1497" s="775" t="str">
        <f t="shared" si="870"/>
        <v/>
      </c>
      <c r="BM1497" s="775" t="str">
        <f t="shared" si="871"/>
        <v/>
      </c>
    </row>
    <row r="1498" spans="1:65">
      <c r="A1498" s="473">
        <v>1442</v>
      </c>
      <c r="B1498" s="132"/>
      <c r="C1498" s="332"/>
      <c r="D1498" s="333"/>
      <c r="E1498" s="333"/>
      <c r="F1498" s="334"/>
      <c r="G1498" s="337"/>
      <c r="H1498" s="131"/>
      <c r="I1498" s="337"/>
      <c r="J1498" s="131"/>
      <c r="K1498" s="458" t="str">
        <f t="shared" si="834"/>
        <v/>
      </c>
      <c r="L1498" s="458">
        <f t="shared" si="835"/>
        <v>0</v>
      </c>
      <c r="M1498" s="458">
        <f t="shared" si="836"/>
        <v>0</v>
      </c>
      <c r="N1498" s="459" t="str">
        <f t="shared" si="847"/>
        <v/>
      </c>
      <c r="O1498" s="459" t="str">
        <f t="shared" si="848"/>
        <v/>
      </c>
      <c r="P1498" s="459" t="str">
        <f t="shared" si="849"/>
        <v/>
      </c>
      <c r="Q1498" s="459" t="str">
        <f t="shared" si="850"/>
        <v/>
      </c>
      <c r="R1498" s="459" t="str">
        <f t="shared" si="851"/>
        <v/>
      </c>
      <c r="S1498" s="459" t="str">
        <f t="shared" si="852"/>
        <v/>
      </c>
      <c r="T1498" s="566" t="str">
        <f t="shared" si="837"/>
        <v/>
      </c>
      <c r="U1498" s="702"/>
      <c r="V1498" s="132"/>
      <c r="W1498" s="133"/>
      <c r="X1498" s="134"/>
      <c r="Y1498" s="135"/>
      <c r="Z1498" s="137"/>
      <c r="AA1498" s="136"/>
      <c r="AB1498" s="566" t="str">
        <f t="shared" si="838"/>
        <v/>
      </c>
      <c r="AC1498" s="568" t="str">
        <f t="shared" si="839"/>
        <v/>
      </c>
      <c r="AD1498" s="137"/>
      <c r="AE1498" s="137"/>
      <c r="AF1498" s="138"/>
      <c r="AG1498" s="138"/>
      <c r="AH1498" s="592" t="str">
        <f t="shared" si="840"/>
        <v/>
      </c>
      <c r="AI1498" s="592" t="str">
        <f t="shared" si="841"/>
        <v/>
      </c>
      <c r="AJ1498" s="592" t="str">
        <f t="shared" si="842"/>
        <v/>
      </c>
      <c r="AK1498" s="460" t="str">
        <f>IF(AU1498="","",IF(OR(AZ1498=8,AZ1498=9),0,IF(OR(AW1498=3,AW1498=4,AW1498=5,AW1498=6),IF(LEFT(BF1498,1)="1",INDEX(係数_NOX・PM低減,MATCH(AY1498,【参考】排出係数!$AI$801:$AI$804,1),1),VLOOKUP(AU1498,INDEX((係数_バス貨物_ガソリン,係数_バス貨物_CNG,係数_バス貨物_軽油,係数_バス貨物_メタノール,係数_バス貨物_LPG),MATCH(AY1498,【参考】排出係数!$AI$4:$AI$671,1),1,BE1498):INDEX((係数_バス貨物_ガソリン,係数_バス貨物_CNG,係数_バス貨物_軽油,係数_バス貨物_メタノール,係数_バス貨物_LPG),MATCH(AY1498+1,【参考】排出係数!$AI$4:$AI$671,1)-1,5,BE1498),4,FALSE)),IF(AND(BE1498=3,LEFT(BF1498,1)="1"),0.48,VLOOKUP(AU1498,INDEX((係数_乗用_ガソリン,係数_乗用_CNG,係数_乗用_軽油,係数_乗用_メタノール,係数_乗用_LPG),1,1,BE1498):INDEX((係数_乗用_ガソリン,係数_乗用_CNG,係数_乗用_軽油,係数_乗用_メタノール,係数_乗用_LPG),125,5,BE1498),4,FALSE)))))</f>
        <v/>
      </c>
      <c r="AL1498" s="461" t="str">
        <f t="shared" si="843"/>
        <v/>
      </c>
      <c r="AM1498" s="460" t="str">
        <f>IF(AU1498="","",IF(OR(AZ1498=8,AZ1498=9),0,IF(OR(AW1498=3,AW1498=4,AW1498=5,AW1498=6),IF(LEFT(BH1498,1)="1",INDEX(係数_PM低減,MATCH(AY1498,【参考】排出係数!$AI$801:$AI$804,1),MATCH(BI1498,【参考】排出係数!$AL$798:$AO$798,1)),VLOOKUP(AU1498,INDEX((係数_バス貨物_ガソリン,係数_バス貨物_CNG,係数_バス貨物_軽油,係数_バス貨物_メタノール,係数_バス貨物_LPG),MATCH(AY1498,【参考】排出係数!$AI$4:$AI$671,1),1,BE1498):INDEX((係数_バス貨物_ガソリン,係数_バス貨物_CNG,係数_バス貨物_軽油,係数_バス貨物_メタノール,係数_バス貨物_LPG),MATCH(AY1498+1,【参考】排出係数!$AI$4:$AI$671,1)-1,5,BE1498),5,FALSE)),IF(AND(BE1498=3,LEFT(BF1498,1)="1"),0.055,VLOOKUP(AU1498,INDEX((係数_乗用_ガソリン,係数_乗用_CNG,係数_乗用_軽油,係数_乗用_メタノール,係数_乗用_LPG),1,1,BE1498):INDEX((係数_乗用_ガソリン,係数_乗用_CNG,係数_乗用_軽油,係数_乗用_メタノール,係数_乗用_LPG),125,5,BE1498),5,FALSE)))))</f>
        <v/>
      </c>
      <c r="AN1498" s="461" t="str">
        <f t="shared" si="844"/>
        <v/>
      </c>
      <c r="AO1498" s="462" t="str">
        <f t="shared" si="845"/>
        <v/>
      </c>
      <c r="AP1498" s="463" t="str">
        <f t="shared" si="846"/>
        <v/>
      </c>
      <c r="AQ1498" s="464"/>
      <c r="AR1498" s="619"/>
      <c r="AS1498" s="465" t="str">
        <f t="shared" si="854"/>
        <v/>
      </c>
      <c r="AT1498" s="465" t="str">
        <f t="shared" si="855"/>
        <v/>
      </c>
      <c r="AU1498" s="466" t="str">
        <f t="shared" si="856"/>
        <v/>
      </c>
      <c r="AV1498" s="467" t="str">
        <f t="shared" si="857"/>
        <v/>
      </c>
      <c r="AW1498" s="467" t="str">
        <f t="shared" si="858"/>
        <v/>
      </c>
      <c r="AX1498" s="467" t="str">
        <f t="shared" si="859"/>
        <v/>
      </c>
      <c r="AY1498" s="467" t="str">
        <f t="shared" si="860"/>
        <v/>
      </c>
      <c r="AZ1498" s="467" t="str">
        <f t="shared" si="861"/>
        <v/>
      </c>
      <c r="BA1498" s="468" t="str">
        <f>IF(AS1498="","",IF(OR(AU1498="",AU1498="-"),"－",IF(OR(AZ1498=8,AZ1498=9),"",IF(OR(AW1498=3,AW1498=4,AW1498=5,AW1498=6),VLOOKUP(AU1498,INDEX((係数_バス貨物_ガソリン,係数_バス貨物_CNG,係数_バス貨物_軽油,係数_バス貨物_メタノール,係数_バス貨物_LPG),MATCH(AY1498,【参考】排出係数!$AI$4:$AI$671,1),1,BE1498):INDEX((係数_バス貨物_ガソリン,係数_バス貨物_CNG,係数_バス貨物_軽油,係数_バス貨物_メタノール,係数_バス貨物_LPG),MATCH(AY1498+1,【参考】排出係数!$AI$4:$AI$671,1)-1,5,BE1498),2,FALSE),IF(OR(AW1498=1,AW1498=2),VLOOKUP(AU1498,INDEX((係数_乗用_ガソリン,係数_乗用_CNG,係数_乗用_軽油,係数_乗用_メタノール,係数_乗用_LPG),1,1,BE1498):INDEX((係数_乗用_ガソリン,係数_乗用_CNG,係数_乗用_軽油,係数_乗用_メタノール,係数_乗用_LPG),125,5,BE1498),2,FALSE))))))</f>
        <v/>
      </c>
      <c r="BB1498" s="468" t="str">
        <f>IF(T1498="","",IF(OR(AU1498="",AU1498="-"),"－",IF(OR(AZ1498=8,AZ1498=9),"",IF(OR(AW1498=3,AW1498=4,AW1498=5,AW1498=6),VLOOKUP(AU1498,INDEX((係数_バス貨物_ガソリン,係数_バス貨物_CNG,係数_バス貨物_軽油,係数_バス貨物_メタノール,係数_バス貨物_LPG),MATCH(AY1498,【参考】排出係数!$AI$4:$AI$671,1),1,BE1498):INDEX((係数_バス貨物_ガソリン,係数_バス貨物_CNG,係数_バス貨物_軽油,係数_バス貨物_メタノール,係数_バス貨物_LPG),MATCH(AY1498+1,【参考】排出係数!$AI$4:$AI$671,1)-1,5,BE1498),3,FALSE),IF(OR(AW1498=1,AW1498=2),VLOOKUP(AU1498,INDEX((係数_乗用_ガソリン,係数_乗用_CNG,係数_乗用_軽油,係数_乗用_メタノール,係数_乗用_LPG),1,1,BE1498):INDEX((係数_乗用_ガソリン,係数_乗用_CNG,係数_乗用_軽油,係数_乗用_メタノール,係数_乗用_LPG),125,5,BE1498),3,FALSE))))))</f>
        <v/>
      </c>
      <c r="BC1498" s="467" t="str">
        <f t="shared" si="862"/>
        <v/>
      </c>
      <c r="BD1498" s="567" t="str">
        <f t="shared" si="863"/>
        <v/>
      </c>
      <c r="BE1498" s="467" t="str">
        <f t="shared" si="864"/>
        <v/>
      </c>
      <c r="BF1498" s="469" t="str">
        <f t="shared" ca="1" si="865"/>
        <v/>
      </c>
      <c r="BG1498" s="469" t="str">
        <f t="shared" ca="1" si="866"/>
        <v/>
      </c>
      <c r="BH1498" s="467" t="str">
        <f t="shared" si="867"/>
        <v/>
      </c>
      <c r="BI1498" s="467" t="str">
        <f t="shared" ca="1" si="868"/>
        <v/>
      </c>
      <c r="BJ1498" s="469" t="str">
        <f t="shared" si="869"/>
        <v/>
      </c>
      <c r="BK1498" s="470" t="str">
        <f t="shared" si="853"/>
        <v/>
      </c>
      <c r="BL1498" s="775" t="str">
        <f t="shared" si="870"/>
        <v/>
      </c>
      <c r="BM1498" s="775" t="str">
        <f t="shared" si="871"/>
        <v/>
      </c>
    </row>
    <row r="1499" spans="1:65">
      <c r="A1499" s="473">
        <v>1443</v>
      </c>
      <c r="B1499" s="132"/>
      <c r="C1499" s="332"/>
      <c r="D1499" s="333"/>
      <c r="E1499" s="333"/>
      <c r="F1499" s="334"/>
      <c r="G1499" s="337"/>
      <c r="H1499" s="131"/>
      <c r="I1499" s="337"/>
      <c r="J1499" s="131"/>
      <c r="K1499" s="458" t="str">
        <f t="shared" si="834"/>
        <v/>
      </c>
      <c r="L1499" s="458">
        <f t="shared" si="835"/>
        <v>0</v>
      </c>
      <c r="M1499" s="458">
        <f t="shared" si="836"/>
        <v>0</v>
      </c>
      <c r="N1499" s="459" t="str">
        <f t="shared" si="847"/>
        <v/>
      </c>
      <c r="O1499" s="459" t="str">
        <f t="shared" si="848"/>
        <v/>
      </c>
      <c r="P1499" s="459" t="str">
        <f t="shared" si="849"/>
        <v/>
      </c>
      <c r="Q1499" s="459" t="str">
        <f t="shared" si="850"/>
        <v/>
      </c>
      <c r="R1499" s="459" t="str">
        <f t="shared" si="851"/>
        <v/>
      </c>
      <c r="S1499" s="459" t="str">
        <f t="shared" si="852"/>
        <v/>
      </c>
      <c r="T1499" s="566" t="str">
        <f t="shared" si="837"/>
        <v/>
      </c>
      <c r="U1499" s="702"/>
      <c r="V1499" s="132"/>
      <c r="W1499" s="133"/>
      <c r="X1499" s="134"/>
      <c r="Y1499" s="135"/>
      <c r="Z1499" s="137"/>
      <c r="AA1499" s="136"/>
      <c r="AB1499" s="566" t="str">
        <f t="shared" si="838"/>
        <v/>
      </c>
      <c r="AC1499" s="568" t="str">
        <f t="shared" si="839"/>
        <v/>
      </c>
      <c r="AD1499" s="137"/>
      <c r="AE1499" s="137"/>
      <c r="AF1499" s="138"/>
      <c r="AG1499" s="138"/>
      <c r="AH1499" s="592" t="str">
        <f t="shared" si="840"/>
        <v/>
      </c>
      <c r="AI1499" s="592" t="str">
        <f t="shared" si="841"/>
        <v/>
      </c>
      <c r="AJ1499" s="592" t="str">
        <f t="shared" si="842"/>
        <v/>
      </c>
      <c r="AK1499" s="460" t="str">
        <f>IF(AU1499="","",IF(OR(AZ1499=8,AZ1499=9),0,IF(OR(AW1499=3,AW1499=4,AW1499=5,AW1499=6),IF(LEFT(BF1499,1)="1",INDEX(係数_NOX・PM低減,MATCH(AY1499,【参考】排出係数!$AI$801:$AI$804,1),1),VLOOKUP(AU1499,INDEX((係数_バス貨物_ガソリン,係数_バス貨物_CNG,係数_バス貨物_軽油,係数_バス貨物_メタノール,係数_バス貨物_LPG),MATCH(AY1499,【参考】排出係数!$AI$4:$AI$671,1),1,BE1499):INDEX((係数_バス貨物_ガソリン,係数_バス貨物_CNG,係数_バス貨物_軽油,係数_バス貨物_メタノール,係数_バス貨物_LPG),MATCH(AY1499+1,【参考】排出係数!$AI$4:$AI$671,1)-1,5,BE1499),4,FALSE)),IF(AND(BE1499=3,LEFT(BF1499,1)="1"),0.48,VLOOKUP(AU1499,INDEX((係数_乗用_ガソリン,係数_乗用_CNG,係数_乗用_軽油,係数_乗用_メタノール,係数_乗用_LPG),1,1,BE1499):INDEX((係数_乗用_ガソリン,係数_乗用_CNG,係数_乗用_軽油,係数_乗用_メタノール,係数_乗用_LPG),125,5,BE1499),4,FALSE)))))</f>
        <v/>
      </c>
      <c r="AL1499" s="461" t="str">
        <f t="shared" si="843"/>
        <v/>
      </c>
      <c r="AM1499" s="460" t="str">
        <f>IF(AU1499="","",IF(OR(AZ1499=8,AZ1499=9),0,IF(OR(AW1499=3,AW1499=4,AW1499=5,AW1499=6),IF(LEFT(BH1499,1)="1",INDEX(係数_PM低減,MATCH(AY1499,【参考】排出係数!$AI$801:$AI$804,1),MATCH(BI1499,【参考】排出係数!$AL$798:$AO$798,1)),VLOOKUP(AU1499,INDEX((係数_バス貨物_ガソリン,係数_バス貨物_CNG,係数_バス貨物_軽油,係数_バス貨物_メタノール,係数_バス貨物_LPG),MATCH(AY1499,【参考】排出係数!$AI$4:$AI$671,1),1,BE1499):INDEX((係数_バス貨物_ガソリン,係数_バス貨物_CNG,係数_バス貨物_軽油,係数_バス貨物_メタノール,係数_バス貨物_LPG),MATCH(AY1499+1,【参考】排出係数!$AI$4:$AI$671,1)-1,5,BE1499),5,FALSE)),IF(AND(BE1499=3,LEFT(BF1499,1)="1"),0.055,VLOOKUP(AU1499,INDEX((係数_乗用_ガソリン,係数_乗用_CNG,係数_乗用_軽油,係数_乗用_メタノール,係数_乗用_LPG),1,1,BE1499):INDEX((係数_乗用_ガソリン,係数_乗用_CNG,係数_乗用_軽油,係数_乗用_メタノール,係数_乗用_LPG),125,5,BE1499),5,FALSE)))))</f>
        <v/>
      </c>
      <c r="AN1499" s="461" t="str">
        <f t="shared" si="844"/>
        <v/>
      </c>
      <c r="AO1499" s="462" t="str">
        <f t="shared" si="845"/>
        <v/>
      </c>
      <c r="AP1499" s="463" t="str">
        <f t="shared" si="846"/>
        <v/>
      </c>
      <c r="AQ1499" s="464"/>
      <c r="AR1499" s="619"/>
      <c r="AS1499" s="465" t="str">
        <f t="shared" si="854"/>
        <v/>
      </c>
      <c r="AT1499" s="465" t="str">
        <f t="shared" si="855"/>
        <v/>
      </c>
      <c r="AU1499" s="466" t="str">
        <f t="shared" si="856"/>
        <v/>
      </c>
      <c r="AV1499" s="467" t="str">
        <f t="shared" si="857"/>
        <v/>
      </c>
      <c r="AW1499" s="467" t="str">
        <f t="shared" si="858"/>
        <v/>
      </c>
      <c r="AX1499" s="467" t="str">
        <f t="shared" si="859"/>
        <v/>
      </c>
      <c r="AY1499" s="467" t="str">
        <f t="shared" si="860"/>
        <v/>
      </c>
      <c r="AZ1499" s="467" t="str">
        <f t="shared" si="861"/>
        <v/>
      </c>
      <c r="BA1499" s="468" t="str">
        <f>IF(AS1499="","",IF(OR(AU1499="",AU1499="-"),"－",IF(OR(AZ1499=8,AZ1499=9),"",IF(OR(AW1499=3,AW1499=4,AW1499=5,AW1499=6),VLOOKUP(AU1499,INDEX((係数_バス貨物_ガソリン,係数_バス貨物_CNG,係数_バス貨物_軽油,係数_バス貨物_メタノール,係数_バス貨物_LPG),MATCH(AY1499,【参考】排出係数!$AI$4:$AI$671,1),1,BE1499):INDEX((係数_バス貨物_ガソリン,係数_バス貨物_CNG,係数_バス貨物_軽油,係数_バス貨物_メタノール,係数_バス貨物_LPG),MATCH(AY1499+1,【参考】排出係数!$AI$4:$AI$671,1)-1,5,BE1499),2,FALSE),IF(OR(AW1499=1,AW1499=2),VLOOKUP(AU1499,INDEX((係数_乗用_ガソリン,係数_乗用_CNG,係数_乗用_軽油,係数_乗用_メタノール,係数_乗用_LPG),1,1,BE1499):INDEX((係数_乗用_ガソリン,係数_乗用_CNG,係数_乗用_軽油,係数_乗用_メタノール,係数_乗用_LPG),125,5,BE1499),2,FALSE))))))</f>
        <v/>
      </c>
      <c r="BB1499" s="468" t="str">
        <f>IF(T1499="","",IF(OR(AU1499="",AU1499="-"),"－",IF(OR(AZ1499=8,AZ1499=9),"",IF(OR(AW1499=3,AW1499=4,AW1499=5,AW1499=6),VLOOKUP(AU1499,INDEX((係数_バス貨物_ガソリン,係数_バス貨物_CNG,係数_バス貨物_軽油,係数_バス貨物_メタノール,係数_バス貨物_LPG),MATCH(AY1499,【参考】排出係数!$AI$4:$AI$671,1),1,BE1499):INDEX((係数_バス貨物_ガソリン,係数_バス貨物_CNG,係数_バス貨物_軽油,係数_バス貨物_メタノール,係数_バス貨物_LPG),MATCH(AY1499+1,【参考】排出係数!$AI$4:$AI$671,1)-1,5,BE1499),3,FALSE),IF(OR(AW1499=1,AW1499=2),VLOOKUP(AU1499,INDEX((係数_乗用_ガソリン,係数_乗用_CNG,係数_乗用_軽油,係数_乗用_メタノール,係数_乗用_LPG),1,1,BE1499):INDEX((係数_乗用_ガソリン,係数_乗用_CNG,係数_乗用_軽油,係数_乗用_メタノール,係数_乗用_LPG),125,5,BE1499),3,FALSE))))))</f>
        <v/>
      </c>
      <c r="BC1499" s="467" t="str">
        <f t="shared" si="862"/>
        <v/>
      </c>
      <c r="BD1499" s="567" t="str">
        <f t="shared" si="863"/>
        <v/>
      </c>
      <c r="BE1499" s="467" t="str">
        <f t="shared" si="864"/>
        <v/>
      </c>
      <c r="BF1499" s="469" t="str">
        <f t="shared" ca="1" si="865"/>
        <v/>
      </c>
      <c r="BG1499" s="469" t="str">
        <f t="shared" ca="1" si="866"/>
        <v/>
      </c>
      <c r="BH1499" s="467" t="str">
        <f t="shared" si="867"/>
        <v/>
      </c>
      <c r="BI1499" s="467" t="str">
        <f t="shared" ca="1" si="868"/>
        <v/>
      </c>
      <c r="BJ1499" s="469" t="str">
        <f t="shared" si="869"/>
        <v/>
      </c>
      <c r="BK1499" s="470" t="str">
        <f t="shared" si="853"/>
        <v/>
      </c>
      <c r="BL1499" s="775" t="str">
        <f t="shared" si="870"/>
        <v/>
      </c>
      <c r="BM1499" s="775" t="str">
        <f t="shared" si="871"/>
        <v/>
      </c>
    </row>
    <row r="1500" spans="1:65">
      <c r="A1500" s="473">
        <v>1444</v>
      </c>
      <c r="B1500" s="132"/>
      <c r="C1500" s="332"/>
      <c r="D1500" s="333"/>
      <c r="E1500" s="333"/>
      <c r="F1500" s="334"/>
      <c r="G1500" s="337"/>
      <c r="H1500" s="131"/>
      <c r="I1500" s="337"/>
      <c r="J1500" s="131"/>
      <c r="K1500" s="458" t="str">
        <f t="shared" si="834"/>
        <v/>
      </c>
      <c r="L1500" s="458">
        <f t="shared" si="835"/>
        <v>0</v>
      </c>
      <c r="M1500" s="458">
        <f t="shared" si="836"/>
        <v>0</v>
      </c>
      <c r="N1500" s="459" t="str">
        <f t="shared" si="847"/>
        <v/>
      </c>
      <c r="O1500" s="459" t="str">
        <f t="shared" si="848"/>
        <v/>
      </c>
      <c r="P1500" s="459" t="str">
        <f t="shared" si="849"/>
        <v/>
      </c>
      <c r="Q1500" s="459" t="str">
        <f t="shared" si="850"/>
        <v/>
      </c>
      <c r="R1500" s="459" t="str">
        <f t="shared" si="851"/>
        <v/>
      </c>
      <c r="S1500" s="459" t="str">
        <f t="shared" si="852"/>
        <v/>
      </c>
      <c r="T1500" s="566" t="str">
        <f t="shared" si="837"/>
        <v/>
      </c>
      <c r="U1500" s="702"/>
      <c r="V1500" s="132"/>
      <c r="W1500" s="133"/>
      <c r="X1500" s="134"/>
      <c r="Y1500" s="135"/>
      <c r="Z1500" s="137"/>
      <c r="AA1500" s="136"/>
      <c r="AB1500" s="566" t="str">
        <f t="shared" si="838"/>
        <v/>
      </c>
      <c r="AC1500" s="568" t="str">
        <f t="shared" si="839"/>
        <v/>
      </c>
      <c r="AD1500" s="137"/>
      <c r="AE1500" s="137"/>
      <c r="AF1500" s="138"/>
      <c r="AG1500" s="138"/>
      <c r="AH1500" s="592" t="str">
        <f t="shared" si="840"/>
        <v/>
      </c>
      <c r="AI1500" s="592" t="str">
        <f t="shared" si="841"/>
        <v/>
      </c>
      <c r="AJ1500" s="592" t="str">
        <f t="shared" si="842"/>
        <v/>
      </c>
      <c r="AK1500" s="460" t="str">
        <f>IF(AU1500="","",IF(OR(AZ1500=8,AZ1500=9),0,IF(OR(AW1500=3,AW1500=4,AW1500=5,AW1500=6),IF(LEFT(BF1500,1)="1",INDEX(係数_NOX・PM低減,MATCH(AY1500,【参考】排出係数!$AI$801:$AI$804,1),1),VLOOKUP(AU1500,INDEX((係数_バス貨物_ガソリン,係数_バス貨物_CNG,係数_バス貨物_軽油,係数_バス貨物_メタノール,係数_バス貨物_LPG),MATCH(AY1500,【参考】排出係数!$AI$4:$AI$671,1),1,BE1500):INDEX((係数_バス貨物_ガソリン,係数_バス貨物_CNG,係数_バス貨物_軽油,係数_バス貨物_メタノール,係数_バス貨物_LPG),MATCH(AY1500+1,【参考】排出係数!$AI$4:$AI$671,1)-1,5,BE1500),4,FALSE)),IF(AND(BE1500=3,LEFT(BF1500,1)="1"),0.48,VLOOKUP(AU1500,INDEX((係数_乗用_ガソリン,係数_乗用_CNG,係数_乗用_軽油,係数_乗用_メタノール,係数_乗用_LPG),1,1,BE1500):INDEX((係数_乗用_ガソリン,係数_乗用_CNG,係数_乗用_軽油,係数_乗用_メタノール,係数_乗用_LPG),125,5,BE1500),4,FALSE)))))</f>
        <v/>
      </c>
      <c r="AL1500" s="461" t="str">
        <f t="shared" si="843"/>
        <v/>
      </c>
      <c r="AM1500" s="460" t="str">
        <f>IF(AU1500="","",IF(OR(AZ1500=8,AZ1500=9),0,IF(OR(AW1500=3,AW1500=4,AW1500=5,AW1500=6),IF(LEFT(BH1500,1)="1",INDEX(係数_PM低減,MATCH(AY1500,【参考】排出係数!$AI$801:$AI$804,1),MATCH(BI1500,【参考】排出係数!$AL$798:$AO$798,1)),VLOOKUP(AU1500,INDEX((係数_バス貨物_ガソリン,係数_バス貨物_CNG,係数_バス貨物_軽油,係数_バス貨物_メタノール,係数_バス貨物_LPG),MATCH(AY1500,【参考】排出係数!$AI$4:$AI$671,1),1,BE1500):INDEX((係数_バス貨物_ガソリン,係数_バス貨物_CNG,係数_バス貨物_軽油,係数_バス貨物_メタノール,係数_バス貨物_LPG),MATCH(AY1500+1,【参考】排出係数!$AI$4:$AI$671,1)-1,5,BE1500),5,FALSE)),IF(AND(BE1500=3,LEFT(BF1500,1)="1"),0.055,VLOOKUP(AU1500,INDEX((係数_乗用_ガソリン,係数_乗用_CNG,係数_乗用_軽油,係数_乗用_メタノール,係数_乗用_LPG),1,1,BE1500):INDEX((係数_乗用_ガソリン,係数_乗用_CNG,係数_乗用_軽油,係数_乗用_メタノール,係数_乗用_LPG),125,5,BE1500),5,FALSE)))))</f>
        <v/>
      </c>
      <c r="AN1500" s="461" t="str">
        <f t="shared" si="844"/>
        <v/>
      </c>
      <c r="AO1500" s="462" t="str">
        <f t="shared" si="845"/>
        <v/>
      </c>
      <c r="AP1500" s="463" t="str">
        <f t="shared" si="846"/>
        <v/>
      </c>
      <c r="AQ1500" s="464"/>
      <c r="AR1500" s="619"/>
      <c r="AS1500" s="465" t="str">
        <f t="shared" si="854"/>
        <v/>
      </c>
      <c r="AT1500" s="465" t="str">
        <f t="shared" si="855"/>
        <v/>
      </c>
      <c r="AU1500" s="466" t="str">
        <f t="shared" si="856"/>
        <v/>
      </c>
      <c r="AV1500" s="467" t="str">
        <f t="shared" si="857"/>
        <v/>
      </c>
      <c r="AW1500" s="467" t="str">
        <f t="shared" si="858"/>
        <v/>
      </c>
      <c r="AX1500" s="467" t="str">
        <f t="shared" si="859"/>
        <v/>
      </c>
      <c r="AY1500" s="467" t="str">
        <f t="shared" si="860"/>
        <v/>
      </c>
      <c r="AZ1500" s="467" t="str">
        <f t="shared" si="861"/>
        <v/>
      </c>
      <c r="BA1500" s="468" t="str">
        <f>IF(AS1500="","",IF(OR(AU1500="",AU1500="-"),"－",IF(OR(AZ1500=8,AZ1500=9),"",IF(OR(AW1500=3,AW1500=4,AW1500=5,AW1500=6),VLOOKUP(AU1500,INDEX((係数_バス貨物_ガソリン,係数_バス貨物_CNG,係数_バス貨物_軽油,係数_バス貨物_メタノール,係数_バス貨物_LPG),MATCH(AY1500,【参考】排出係数!$AI$4:$AI$671,1),1,BE1500):INDEX((係数_バス貨物_ガソリン,係数_バス貨物_CNG,係数_バス貨物_軽油,係数_バス貨物_メタノール,係数_バス貨物_LPG),MATCH(AY1500+1,【参考】排出係数!$AI$4:$AI$671,1)-1,5,BE1500),2,FALSE),IF(OR(AW1500=1,AW1500=2),VLOOKUP(AU1500,INDEX((係数_乗用_ガソリン,係数_乗用_CNG,係数_乗用_軽油,係数_乗用_メタノール,係数_乗用_LPG),1,1,BE1500):INDEX((係数_乗用_ガソリン,係数_乗用_CNG,係数_乗用_軽油,係数_乗用_メタノール,係数_乗用_LPG),125,5,BE1500),2,FALSE))))))</f>
        <v/>
      </c>
      <c r="BB1500" s="468" t="str">
        <f>IF(T1500="","",IF(OR(AU1500="",AU1500="-"),"－",IF(OR(AZ1500=8,AZ1500=9),"",IF(OR(AW1500=3,AW1500=4,AW1500=5,AW1500=6),VLOOKUP(AU1500,INDEX((係数_バス貨物_ガソリン,係数_バス貨物_CNG,係数_バス貨物_軽油,係数_バス貨物_メタノール,係数_バス貨物_LPG),MATCH(AY1500,【参考】排出係数!$AI$4:$AI$671,1),1,BE1500):INDEX((係数_バス貨物_ガソリン,係数_バス貨物_CNG,係数_バス貨物_軽油,係数_バス貨物_メタノール,係数_バス貨物_LPG),MATCH(AY1500+1,【参考】排出係数!$AI$4:$AI$671,1)-1,5,BE1500),3,FALSE),IF(OR(AW1500=1,AW1500=2),VLOOKUP(AU1500,INDEX((係数_乗用_ガソリン,係数_乗用_CNG,係数_乗用_軽油,係数_乗用_メタノール,係数_乗用_LPG),1,1,BE1500):INDEX((係数_乗用_ガソリン,係数_乗用_CNG,係数_乗用_軽油,係数_乗用_メタノール,係数_乗用_LPG),125,5,BE1500),3,FALSE))))))</f>
        <v/>
      </c>
      <c r="BC1500" s="467" t="str">
        <f t="shared" si="862"/>
        <v/>
      </c>
      <c r="BD1500" s="567" t="str">
        <f t="shared" si="863"/>
        <v/>
      </c>
      <c r="BE1500" s="467" t="str">
        <f t="shared" si="864"/>
        <v/>
      </c>
      <c r="BF1500" s="469" t="str">
        <f t="shared" ca="1" si="865"/>
        <v/>
      </c>
      <c r="BG1500" s="469" t="str">
        <f t="shared" ca="1" si="866"/>
        <v/>
      </c>
      <c r="BH1500" s="467" t="str">
        <f t="shared" si="867"/>
        <v/>
      </c>
      <c r="BI1500" s="467" t="str">
        <f t="shared" ca="1" si="868"/>
        <v/>
      </c>
      <c r="BJ1500" s="469" t="str">
        <f t="shared" si="869"/>
        <v/>
      </c>
      <c r="BK1500" s="470" t="str">
        <f t="shared" si="853"/>
        <v/>
      </c>
      <c r="BL1500" s="775" t="str">
        <f t="shared" si="870"/>
        <v/>
      </c>
      <c r="BM1500" s="775" t="str">
        <f t="shared" si="871"/>
        <v/>
      </c>
    </row>
    <row r="1501" spans="1:65">
      <c r="A1501" s="473">
        <v>1445</v>
      </c>
      <c r="B1501" s="132"/>
      <c r="C1501" s="332"/>
      <c r="D1501" s="333"/>
      <c r="E1501" s="333"/>
      <c r="F1501" s="334"/>
      <c r="G1501" s="337"/>
      <c r="H1501" s="131"/>
      <c r="I1501" s="337"/>
      <c r="J1501" s="131"/>
      <c r="K1501" s="458" t="str">
        <f t="shared" si="834"/>
        <v/>
      </c>
      <c r="L1501" s="458">
        <f t="shared" si="835"/>
        <v>0</v>
      </c>
      <c r="M1501" s="458">
        <f t="shared" si="836"/>
        <v>0</v>
      </c>
      <c r="N1501" s="459" t="str">
        <f t="shared" si="847"/>
        <v/>
      </c>
      <c r="O1501" s="459" t="str">
        <f t="shared" si="848"/>
        <v/>
      </c>
      <c r="P1501" s="459" t="str">
        <f t="shared" si="849"/>
        <v/>
      </c>
      <c r="Q1501" s="459" t="str">
        <f t="shared" si="850"/>
        <v/>
      </c>
      <c r="R1501" s="459" t="str">
        <f t="shared" si="851"/>
        <v/>
      </c>
      <c r="S1501" s="459" t="str">
        <f t="shared" si="852"/>
        <v/>
      </c>
      <c r="T1501" s="566" t="str">
        <f t="shared" si="837"/>
        <v/>
      </c>
      <c r="U1501" s="702"/>
      <c r="V1501" s="132"/>
      <c r="W1501" s="133"/>
      <c r="X1501" s="134"/>
      <c r="Y1501" s="135"/>
      <c r="Z1501" s="137"/>
      <c r="AA1501" s="136"/>
      <c r="AB1501" s="566" t="str">
        <f t="shared" si="838"/>
        <v/>
      </c>
      <c r="AC1501" s="568" t="str">
        <f t="shared" si="839"/>
        <v/>
      </c>
      <c r="AD1501" s="137"/>
      <c r="AE1501" s="137"/>
      <c r="AF1501" s="138"/>
      <c r="AG1501" s="138"/>
      <c r="AH1501" s="592" t="str">
        <f t="shared" si="840"/>
        <v/>
      </c>
      <c r="AI1501" s="592" t="str">
        <f t="shared" si="841"/>
        <v/>
      </c>
      <c r="AJ1501" s="592" t="str">
        <f t="shared" si="842"/>
        <v/>
      </c>
      <c r="AK1501" s="460" t="str">
        <f>IF(AU1501="","",IF(OR(AZ1501=8,AZ1501=9),0,IF(OR(AW1501=3,AW1501=4,AW1501=5,AW1501=6),IF(LEFT(BF1501,1)="1",INDEX(係数_NOX・PM低減,MATCH(AY1501,【参考】排出係数!$AI$801:$AI$804,1),1),VLOOKUP(AU1501,INDEX((係数_バス貨物_ガソリン,係数_バス貨物_CNG,係数_バス貨物_軽油,係数_バス貨物_メタノール,係数_バス貨物_LPG),MATCH(AY1501,【参考】排出係数!$AI$4:$AI$671,1),1,BE1501):INDEX((係数_バス貨物_ガソリン,係数_バス貨物_CNG,係数_バス貨物_軽油,係数_バス貨物_メタノール,係数_バス貨物_LPG),MATCH(AY1501+1,【参考】排出係数!$AI$4:$AI$671,1)-1,5,BE1501),4,FALSE)),IF(AND(BE1501=3,LEFT(BF1501,1)="1"),0.48,VLOOKUP(AU1501,INDEX((係数_乗用_ガソリン,係数_乗用_CNG,係数_乗用_軽油,係数_乗用_メタノール,係数_乗用_LPG),1,1,BE1501):INDEX((係数_乗用_ガソリン,係数_乗用_CNG,係数_乗用_軽油,係数_乗用_メタノール,係数_乗用_LPG),125,5,BE1501),4,FALSE)))))</f>
        <v/>
      </c>
      <c r="AL1501" s="461" t="str">
        <f t="shared" si="843"/>
        <v/>
      </c>
      <c r="AM1501" s="460" t="str">
        <f>IF(AU1501="","",IF(OR(AZ1501=8,AZ1501=9),0,IF(OR(AW1501=3,AW1501=4,AW1501=5,AW1501=6),IF(LEFT(BH1501,1)="1",INDEX(係数_PM低減,MATCH(AY1501,【参考】排出係数!$AI$801:$AI$804,1),MATCH(BI1501,【参考】排出係数!$AL$798:$AO$798,1)),VLOOKUP(AU1501,INDEX((係数_バス貨物_ガソリン,係数_バス貨物_CNG,係数_バス貨物_軽油,係数_バス貨物_メタノール,係数_バス貨物_LPG),MATCH(AY1501,【参考】排出係数!$AI$4:$AI$671,1),1,BE1501):INDEX((係数_バス貨物_ガソリン,係数_バス貨物_CNG,係数_バス貨物_軽油,係数_バス貨物_メタノール,係数_バス貨物_LPG),MATCH(AY1501+1,【参考】排出係数!$AI$4:$AI$671,1)-1,5,BE1501),5,FALSE)),IF(AND(BE1501=3,LEFT(BF1501,1)="1"),0.055,VLOOKUP(AU1501,INDEX((係数_乗用_ガソリン,係数_乗用_CNG,係数_乗用_軽油,係数_乗用_メタノール,係数_乗用_LPG),1,1,BE1501):INDEX((係数_乗用_ガソリン,係数_乗用_CNG,係数_乗用_軽油,係数_乗用_メタノール,係数_乗用_LPG),125,5,BE1501),5,FALSE)))))</f>
        <v/>
      </c>
      <c r="AN1501" s="461" t="str">
        <f t="shared" si="844"/>
        <v/>
      </c>
      <c r="AO1501" s="462" t="str">
        <f t="shared" si="845"/>
        <v/>
      </c>
      <c r="AP1501" s="463" t="str">
        <f t="shared" si="846"/>
        <v/>
      </c>
      <c r="AQ1501" s="464"/>
      <c r="AR1501" s="619"/>
      <c r="AS1501" s="465" t="str">
        <f t="shared" si="854"/>
        <v/>
      </c>
      <c r="AT1501" s="465" t="str">
        <f t="shared" si="855"/>
        <v/>
      </c>
      <c r="AU1501" s="466" t="str">
        <f t="shared" si="856"/>
        <v/>
      </c>
      <c r="AV1501" s="467" t="str">
        <f t="shared" si="857"/>
        <v/>
      </c>
      <c r="AW1501" s="467" t="str">
        <f t="shared" si="858"/>
        <v/>
      </c>
      <c r="AX1501" s="467" t="str">
        <f t="shared" si="859"/>
        <v/>
      </c>
      <c r="AY1501" s="467" t="str">
        <f t="shared" si="860"/>
        <v/>
      </c>
      <c r="AZ1501" s="467" t="str">
        <f t="shared" si="861"/>
        <v/>
      </c>
      <c r="BA1501" s="468" t="str">
        <f>IF(AS1501="","",IF(OR(AU1501="",AU1501="-"),"－",IF(OR(AZ1501=8,AZ1501=9),"",IF(OR(AW1501=3,AW1501=4,AW1501=5,AW1501=6),VLOOKUP(AU1501,INDEX((係数_バス貨物_ガソリン,係数_バス貨物_CNG,係数_バス貨物_軽油,係数_バス貨物_メタノール,係数_バス貨物_LPG),MATCH(AY1501,【参考】排出係数!$AI$4:$AI$671,1),1,BE1501):INDEX((係数_バス貨物_ガソリン,係数_バス貨物_CNG,係数_バス貨物_軽油,係数_バス貨物_メタノール,係数_バス貨物_LPG),MATCH(AY1501+1,【参考】排出係数!$AI$4:$AI$671,1)-1,5,BE1501),2,FALSE),IF(OR(AW1501=1,AW1501=2),VLOOKUP(AU1501,INDEX((係数_乗用_ガソリン,係数_乗用_CNG,係数_乗用_軽油,係数_乗用_メタノール,係数_乗用_LPG),1,1,BE1501):INDEX((係数_乗用_ガソリン,係数_乗用_CNG,係数_乗用_軽油,係数_乗用_メタノール,係数_乗用_LPG),125,5,BE1501),2,FALSE))))))</f>
        <v/>
      </c>
      <c r="BB1501" s="468" t="str">
        <f>IF(T1501="","",IF(OR(AU1501="",AU1501="-"),"－",IF(OR(AZ1501=8,AZ1501=9),"",IF(OR(AW1501=3,AW1501=4,AW1501=5,AW1501=6),VLOOKUP(AU1501,INDEX((係数_バス貨物_ガソリン,係数_バス貨物_CNG,係数_バス貨物_軽油,係数_バス貨物_メタノール,係数_バス貨物_LPG),MATCH(AY1501,【参考】排出係数!$AI$4:$AI$671,1),1,BE1501):INDEX((係数_バス貨物_ガソリン,係数_バス貨物_CNG,係数_バス貨物_軽油,係数_バス貨物_メタノール,係数_バス貨物_LPG),MATCH(AY1501+1,【参考】排出係数!$AI$4:$AI$671,1)-1,5,BE1501),3,FALSE),IF(OR(AW1501=1,AW1501=2),VLOOKUP(AU1501,INDEX((係数_乗用_ガソリン,係数_乗用_CNG,係数_乗用_軽油,係数_乗用_メタノール,係数_乗用_LPG),1,1,BE1501):INDEX((係数_乗用_ガソリン,係数_乗用_CNG,係数_乗用_軽油,係数_乗用_メタノール,係数_乗用_LPG),125,5,BE1501),3,FALSE))))))</f>
        <v/>
      </c>
      <c r="BC1501" s="467" t="str">
        <f t="shared" si="862"/>
        <v/>
      </c>
      <c r="BD1501" s="567" t="str">
        <f t="shared" si="863"/>
        <v/>
      </c>
      <c r="BE1501" s="467" t="str">
        <f t="shared" si="864"/>
        <v/>
      </c>
      <c r="BF1501" s="469" t="str">
        <f t="shared" ca="1" si="865"/>
        <v/>
      </c>
      <c r="BG1501" s="469" t="str">
        <f t="shared" ca="1" si="866"/>
        <v/>
      </c>
      <c r="BH1501" s="467" t="str">
        <f t="shared" si="867"/>
        <v/>
      </c>
      <c r="BI1501" s="467" t="str">
        <f t="shared" ca="1" si="868"/>
        <v/>
      </c>
      <c r="BJ1501" s="469" t="str">
        <f t="shared" si="869"/>
        <v/>
      </c>
      <c r="BK1501" s="470" t="str">
        <f t="shared" si="853"/>
        <v/>
      </c>
      <c r="BL1501" s="775" t="str">
        <f t="shared" si="870"/>
        <v/>
      </c>
      <c r="BM1501" s="775" t="str">
        <f t="shared" si="871"/>
        <v/>
      </c>
    </row>
    <row r="1502" spans="1:65">
      <c r="A1502" s="473">
        <v>1446</v>
      </c>
      <c r="B1502" s="132"/>
      <c r="C1502" s="332"/>
      <c r="D1502" s="333"/>
      <c r="E1502" s="333"/>
      <c r="F1502" s="334"/>
      <c r="G1502" s="337"/>
      <c r="H1502" s="131"/>
      <c r="I1502" s="337"/>
      <c r="J1502" s="131"/>
      <c r="K1502" s="458" t="str">
        <f t="shared" si="834"/>
        <v/>
      </c>
      <c r="L1502" s="458">
        <f t="shared" si="835"/>
        <v>0</v>
      </c>
      <c r="M1502" s="458">
        <f t="shared" si="836"/>
        <v>0</v>
      </c>
      <c r="N1502" s="459" t="str">
        <f t="shared" si="847"/>
        <v/>
      </c>
      <c r="O1502" s="459" t="str">
        <f t="shared" si="848"/>
        <v/>
      </c>
      <c r="P1502" s="459" t="str">
        <f t="shared" si="849"/>
        <v/>
      </c>
      <c r="Q1502" s="459" t="str">
        <f t="shared" si="850"/>
        <v/>
      </c>
      <c r="R1502" s="459" t="str">
        <f t="shared" si="851"/>
        <v/>
      </c>
      <c r="S1502" s="459" t="str">
        <f t="shared" si="852"/>
        <v/>
      </c>
      <c r="T1502" s="566" t="str">
        <f t="shared" si="837"/>
        <v/>
      </c>
      <c r="U1502" s="702"/>
      <c r="V1502" s="132"/>
      <c r="W1502" s="133"/>
      <c r="X1502" s="134"/>
      <c r="Y1502" s="135"/>
      <c r="Z1502" s="137"/>
      <c r="AA1502" s="136"/>
      <c r="AB1502" s="566" t="str">
        <f t="shared" si="838"/>
        <v/>
      </c>
      <c r="AC1502" s="568" t="str">
        <f t="shared" si="839"/>
        <v/>
      </c>
      <c r="AD1502" s="137"/>
      <c r="AE1502" s="137"/>
      <c r="AF1502" s="138"/>
      <c r="AG1502" s="138"/>
      <c r="AH1502" s="592" t="str">
        <f t="shared" si="840"/>
        <v/>
      </c>
      <c r="AI1502" s="592" t="str">
        <f t="shared" si="841"/>
        <v/>
      </c>
      <c r="AJ1502" s="592" t="str">
        <f t="shared" si="842"/>
        <v/>
      </c>
      <c r="AK1502" s="460" t="str">
        <f>IF(AU1502="","",IF(OR(AZ1502=8,AZ1502=9),0,IF(OR(AW1502=3,AW1502=4,AW1502=5,AW1502=6),IF(LEFT(BF1502,1)="1",INDEX(係数_NOX・PM低減,MATCH(AY1502,【参考】排出係数!$AI$801:$AI$804,1),1),VLOOKUP(AU1502,INDEX((係数_バス貨物_ガソリン,係数_バス貨物_CNG,係数_バス貨物_軽油,係数_バス貨物_メタノール,係数_バス貨物_LPG),MATCH(AY1502,【参考】排出係数!$AI$4:$AI$671,1),1,BE1502):INDEX((係数_バス貨物_ガソリン,係数_バス貨物_CNG,係数_バス貨物_軽油,係数_バス貨物_メタノール,係数_バス貨物_LPG),MATCH(AY1502+1,【参考】排出係数!$AI$4:$AI$671,1)-1,5,BE1502),4,FALSE)),IF(AND(BE1502=3,LEFT(BF1502,1)="1"),0.48,VLOOKUP(AU1502,INDEX((係数_乗用_ガソリン,係数_乗用_CNG,係数_乗用_軽油,係数_乗用_メタノール,係数_乗用_LPG),1,1,BE1502):INDEX((係数_乗用_ガソリン,係数_乗用_CNG,係数_乗用_軽油,係数_乗用_メタノール,係数_乗用_LPG),125,5,BE1502),4,FALSE)))))</f>
        <v/>
      </c>
      <c r="AL1502" s="461" t="str">
        <f t="shared" si="843"/>
        <v/>
      </c>
      <c r="AM1502" s="460" t="str">
        <f>IF(AU1502="","",IF(OR(AZ1502=8,AZ1502=9),0,IF(OR(AW1502=3,AW1502=4,AW1502=5,AW1502=6),IF(LEFT(BH1502,1)="1",INDEX(係数_PM低減,MATCH(AY1502,【参考】排出係数!$AI$801:$AI$804,1),MATCH(BI1502,【参考】排出係数!$AL$798:$AO$798,1)),VLOOKUP(AU1502,INDEX((係数_バス貨物_ガソリン,係数_バス貨物_CNG,係数_バス貨物_軽油,係数_バス貨物_メタノール,係数_バス貨物_LPG),MATCH(AY1502,【参考】排出係数!$AI$4:$AI$671,1),1,BE1502):INDEX((係数_バス貨物_ガソリン,係数_バス貨物_CNG,係数_バス貨物_軽油,係数_バス貨物_メタノール,係数_バス貨物_LPG),MATCH(AY1502+1,【参考】排出係数!$AI$4:$AI$671,1)-1,5,BE1502),5,FALSE)),IF(AND(BE1502=3,LEFT(BF1502,1)="1"),0.055,VLOOKUP(AU1502,INDEX((係数_乗用_ガソリン,係数_乗用_CNG,係数_乗用_軽油,係数_乗用_メタノール,係数_乗用_LPG),1,1,BE1502):INDEX((係数_乗用_ガソリン,係数_乗用_CNG,係数_乗用_軽油,係数_乗用_メタノール,係数_乗用_LPG),125,5,BE1502),5,FALSE)))))</f>
        <v/>
      </c>
      <c r="AN1502" s="461" t="str">
        <f t="shared" si="844"/>
        <v/>
      </c>
      <c r="AO1502" s="462" t="str">
        <f t="shared" si="845"/>
        <v/>
      </c>
      <c r="AP1502" s="463" t="str">
        <f t="shared" si="846"/>
        <v/>
      </c>
      <c r="AQ1502" s="464"/>
      <c r="AR1502" s="619"/>
      <c r="AS1502" s="465" t="str">
        <f t="shared" si="854"/>
        <v/>
      </c>
      <c r="AT1502" s="465" t="str">
        <f t="shared" si="855"/>
        <v/>
      </c>
      <c r="AU1502" s="466" t="str">
        <f t="shared" si="856"/>
        <v/>
      </c>
      <c r="AV1502" s="467" t="str">
        <f t="shared" si="857"/>
        <v/>
      </c>
      <c r="AW1502" s="467" t="str">
        <f t="shared" si="858"/>
        <v/>
      </c>
      <c r="AX1502" s="467" t="str">
        <f t="shared" si="859"/>
        <v/>
      </c>
      <c r="AY1502" s="467" t="str">
        <f t="shared" si="860"/>
        <v/>
      </c>
      <c r="AZ1502" s="467" t="str">
        <f t="shared" si="861"/>
        <v/>
      </c>
      <c r="BA1502" s="468" t="str">
        <f>IF(AS1502="","",IF(OR(AU1502="",AU1502="-"),"－",IF(OR(AZ1502=8,AZ1502=9),"",IF(OR(AW1502=3,AW1502=4,AW1502=5,AW1502=6),VLOOKUP(AU1502,INDEX((係数_バス貨物_ガソリン,係数_バス貨物_CNG,係数_バス貨物_軽油,係数_バス貨物_メタノール,係数_バス貨物_LPG),MATCH(AY1502,【参考】排出係数!$AI$4:$AI$671,1),1,BE1502):INDEX((係数_バス貨物_ガソリン,係数_バス貨物_CNG,係数_バス貨物_軽油,係数_バス貨物_メタノール,係数_バス貨物_LPG),MATCH(AY1502+1,【参考】排出係数!$AI$4:$AI$671,1)-1,5,BE1502),2,FALSE),IF(OR(AW1502=1,AW1502=2),VLOOKUP(AU1502,INDEX((係数_乗用_ガソリン,係数_乗用_CNG,係数_乗用_軽油,係数_乗用_メタノール,係数_乗用_LPG),1,1,BE1502):INDEX((係数_乗用_ガソリン,係数_乗用_CNG,係数_乗用_軽油,係数_乗用_メタノール,係数_乗用_LPG),125,5,BE1502),2,FALSE))))))</f>
        <v/>
      </c>
      <c r="BB1502" s="468" t="str">
        <f>IF(T1502="","",IF(OR(AU1502="",AU1502="-"),"－",IF(OR(AZ1502=8,AZ1502=9),"",IF(OR(AW1502=3,AW1502=4,AW1502=5,AW1502=6),VLOOKUP(AU1502,INDEX((係数_バス貨物_ガソリン,係数_バス貨物_CNG,係数_バス貨物_軽油,係数_バス貨物_メタノール,係数_バス貨物_LPG),MATCH(AY1502,【参考】排出係数!$AI$4:$AI$671,1),1,BE1502):INDEX((係数_バス貨物_ガソリン,係数_バス貨物_CNG,係数_バス貨物_軽油,係数_バス貨物_メタノール,係数_バス貨物_LPG),MATCH(AY1502+1,【参考】排出係数!$AI$4:$AI$671,1)-1,5,BE1502),3,FALSE),IF(OR(AW1502=1,AW1502=2),VLOOKUP(AU1502,INDEX((係数_乗用_ガソリン,係数_乗用_CNG,係数_乗用_軽油,係数_乗用_メタノール,係数_乗用_LPG),1,1,BE1502):INDEX((係数_乗用_ガソリン,係数_乗用_CNG,係数_乗用_軽油,係数_乗用_メタノール,係数_乗用_LPG),125,5,BE1502),3,FALSE))))))</f>
        <v/>
      </c>
      <c r="BC1502" s="467" t="str">
        <f t="shared" si="862"/>
        <v/>
      </c>
      <c r="BD1502" s="567" t="str">
        <f t="shared" si="863"/>
        <v/>
      </c>
      <c r="BE1502" s="467" t="str">
        <f t="shared" si="864"/>
        <v/>
      </c>
      <c r="BF1502" s="469" t="str">
        <f t="shared" ca="1" si="865"/>
        <v/>
      </c>
      <c r="BG1502" s="469" t="str">
        <f t="shared" ca="1" si="866"/>
        <v/>
      </c>
      <c r="BH1502" s="467" t="str">
        <f t="shared" si="867"/>
        <v/>
      </c>
      <c r="BI1502" s="467" t="str">
        <f t="shared" ca="1" si="868"/>
        <v/>
      </c>
      <c r="BJ1502" s="469" t="str">
        <f t="shared" si="869"/>
        <v/>
      </c>
      <c r="BK1502" s="470" t="str">
        <f t="shared" si="853"/>
        <v/>
      </c>
      <c r="BL1502" s="775" t="str">
        <f t="shared" si="870"/>
        <v/>
      </c>
      <c r="BM1502" s="775" t="str">
        <f t="shared" si="871"/>
        <v/>
      </c>
    </row>
    <row r="1503" spans="1:65">
      <c r="A1503" s="473">
        <v>1447</v>
      </c>
      <c r="B1503" s="132"/>
      <c r="C1503" s="332"/>
      <c r="D1503" s="333"/>
      <c r="E1503" s="333"/>
      <c r="F1503" s="334"/>
      <c r="G1503" s="337"/>
      <c r="H1503" s="131"/>
      <c r="I1503" s="337"/>
      <c r="J1503" s="131"/>
      <c r="K1503" s="458" t="str">
        <f t="shared" si="834"/>
        <v/>
      </c>
      <c r="L1503" s="458">
        <f t="shared" si="835"/>
        <v>0</v>
      </c>
      <c r="M1503" s="458">
        <f t="shared" si="836"/>
        <v>0</v>
      </c>
      <c r="N1503" s="459" t="str">
        <f t="shared" si="847"/>
        <v/>
      </c>
      <c r="O1503" s="459" t="str">
        <f t="shared" si="848"/>
        <v/>
      </c>
      <c r="P1503" s="459" t="str">
        <f t="shared" si="849"/>
        <v/>
      </c>
      <c r="Q1503" s="459" t="str">
        <f t="shared" si="850"/>
        <v/>
      </c>
      <c r="R1503" s="459" t="str">
        <f t="shared" si="851"/>
        <v/>
      </c>
      <c r="S1503" s="459" t="str">
        <f t="shared" si="852"/>
        <v/>
      </c>
      <c r="T1503" s="566" t="str">
        <f t="shared" si="837"/>
        <v/>
      </c>
      <c r="U1503" s="702"/>
      <c r="V1503" s="132"/>
      <c r="W1503" s="133"/>
      <c r="X1503" s="134"/>
      <c r="Y1503" s="135"/>
      <c r="Z1503" s="137"/>
      <c r="AA1503" s="136"/>
      <c r="AB1503" s="566" t="str">
        <f t="shared" si="838"/>
        <v/>
      </c>
      <c r="AC1503" s="568" t="str">
        <f t="shared" si="839"/>
        <v/>
      </c>
      <c r="AD1503" s="137"/>
      <c r="AE1503" s="137"/>
      <c r="AF1503" s="138"/>
      <c r="AG1503" s="138"/>
      <c r="AH1503" s="592" t="str">
        <f t="shared" si="840"/>
        <v/>
      </c>
      <c r="AI1503" s="592" t="str">
        <f t="shared" si="841"/>
        <v/>
      </c>
      <c r="AJ1503" s="592" t="str">
        <f t="shared" si="842"/>
        <v/>
      </c>
      <c r="AK1503" s="460" t="str">
        <f>IF(AU1503="","",IF(OR(AZ1503=8,AZ1503=9),0,IF(OR(AW1503=3,AW1503=4,AW1503=5,AW1503=6),IF(LEFT(BF1503,1)="1",INDEX(係数_NOX・PM低減,MATCH(AY1503,【参考】排出係数!$AI$801:$AI$804,1),1),VLOOKUP(AU1503,INDEX((係数_バス貨物_ガソリン,係数_バス貨物_CNG,係数_バス貨物_軽油,係数_バス貨物_メタノール,係数_バス貨物_LPG),MATCH(AY1503,【参考】排出係数!$AI$4:$AI$671,1),1,BE1503):INDEX((係数_バス貨物_ガソリン,係数_バス貨物_CNG,係数_バス貨物_軽油,係数_バス貨物_メタノール,係数_バス貨物_LPG),MATCH(AY1503+1,【参考】排出係数!$AI$4:$AI$671,1)-1,5,BE1503),4,FALSE)),IF(AND(BE1503=3,LEFT(BF1503,1)="1"),0.48,VLOOKUP(AU1503,INDEX((係数_乗用_ガソリン,係数_乗用_CNG,係数_乗用_軽油,係数_乗用_メタノール,係数_乗用_LPG),1,1,BE1503):INDEX((係数_乗用_ガソリン,係数_乗用_CNG,係数_乗用_軽油,係数_乗用_メタノール,係数_乗用_LPG),125,5,BE1503),4,FALSE)))))</f>
        <v/>
      </c>
      <c r="AL1503" s="461" t="str">
        <f t="shared" si="843"/>
        <v/>
      </c>
      <c r="AM1503" s="460" t="str">
        <f>IF(AU1503="","",IF(OR(AZ1503=8,AZ1503=9),0,IF(OR(AW1503=3,AW1503=4,AW1503=5,AW1503=6),IF(LEFT(BH1503,1)="1",INDEX(係数_PM低減,MATCH(AY1503,【参考】排出係数!$AI$801:$AI$804,1),MATCH(BI1503,【参考】排出係数!$AL$798:$AO$798,1)),VLOOKUP(AU1503,INDEX((係数_バス貨物_ガソリン,係数_バス貨物_CNG,係数_バス貨物_軽油,係数_バス貨物_メタノール,係数_バス貨物_LPG),MATCH(AY1503,【参考】排出係数!$AI$4:$AI$671,1),1,BE1503):INDEX((係数_バス貨物_ガソリン,係数_バス貨物_CNG,係数_バス貨物_軽油,係数_バス貨物_メタノール,係数_バス貨物_LPG),MATCH(AY1503+1,【参考】排出係数!$AI$4:$AI$671,1)-1,5,BE1503),5,FALSE)),IF(AND(BE1503=3,LEFT(BF1503,1)="1"),0.055,VLOOKUP(AU1503,INDEX((係数_乗用_ガソリン,係数_乗用_CNG,係数_乗用_軽油,係数_乗用_メタノール,係数_乗用_LPG),1,1,BE1503):INDEX((係数_乗用_ガソリン,係数_乗用_CNG,係数_乗用_軽油,係数_乗用_メタノール,係数_乗用_LPG),125,5,BE1503),5,FALSE)))))</f>
        <v/>
      </c>
      <c r="AN1503" s="461" t="str">
        <f t="shared" si="844"/>
        <v/>
      </c>
      <c r="AO1503" s="462" t="str">
        <f t="shared" si="845"/>
        <v/>
      </c>
      <c r="AP1503" s="463" t="str">
        <f t="shared" si="846"/>
        <v/>
      </c>
      <c r="AQ1503" s="464"/>
      <c r="AR1503" s="619"/>
      <c r="AS1503" s="465" t="str">
        <f t="shared" si="854"/>
        <v/>
      </c>
      <c r="AT1503" s="465" t="str">
        <f t="shared" si="855"/>
        <v/>
      </c>
      <c r="AU1503" s="466" t="str">
        <f t="shared" si="856"/>
        <v/>
      </c>
      <c r="AV1503" s="467" t="str">
        <f t="shared" si="857"/>
        <v/>
      </c>
      <c r="AW1503" s="467" t="str">
        <f t="shared" si="858"/>
        <v/>
      </c>
      <c r="AX1503" s="467" t="str">
        <f t="shared" si="859"/>
        <v/>
      </c>
      <c r="AY1503" s="467" t="str">
        <f t="shared" si="860"/>
        <v/>
      </c>
      <c r="AZ1503" s="467" t="str">
        <f t="shared" si="861"/>
        <v/>
      </c>
      <c r="BA1503" s="468" t="str">
        <f>IF(AS1503="","",IF(OR(AU1503="",AU1503="-"),"－",IF(OR(AZ1503=8,AZ1503=9),"",IF(OR(AW1503=3,AW1503=4,AW1503=5,AW1503=6),VLOOKUP(AU1503,INDEX((係数_バス貨物_ガソリン,係数_バス貨物_CNG,係数_バス貨物_軽油,係数_バス貨物_メタノール,係数_バス貨物_LPG),MATCH(AY1503,【参考】排出係数!$AI$4:$AI$671,1),1,BE1503):INDEX((係数_バス貨物_ガソリン,係数_バス貨物_CNG,係数_バス貨物_軽油,係数_バス貨物_メタノール,係数_バス貨物_LPG),MATCH(AY1503+1,【参考】排出係数!$AI$4:$AI$671,1)-1,5,BE1503),2,FALSE),IF(OR(AW1503=1,AW1503=2),VLOOKUP(AU1503,INDEX((係数_乗用_ガソリン,係数_乗用_CNG,係数_乗用_軽油,係数_乗用_メタノール,係数_乗用_LPG),1,1,BE1503):INDEX((係数_乗用_ガソリン,係数_乗用_CNG,係数_乗用_軽油,係数_乗用_メタノール,係数_乗用_LPG),125,5,BE1503),2,FALSE))))))</f>
        <v/>
      </c>
      <c r="BB1503" s="468" t="str">
        <f>IF(T1503="","",IF(OR(AU1503="",AU1503="-"),"－",IF(OR(AZ1503=8,AZ1503=9),"",IF(OR(AW1503=3,AW1503=4,AW1503=5,AW1503=6),VLOOKUP(AU1503,INDEX((係数_バス貨物_ガソリン,係数_バス貨物_CNG,係数_バス貨物_軽油,係数_バス貨物_メタノール,係数_バス貨物_LPG),MATCH(AY1503,【参考】排出係数!$AI$4:$AI$671,1),1,BE1503):INDEX((係数_バス貨物_ガソリン,係数_バス貨物_CNG,係数_バス貨物_軽油,係数_バス貨物_メタノール,係数_バス貨物_LPG),MATCH(AY1503+1,【参考】排出係数!$AI$4:$AI$671,1)-1,5,BE1503),3,FALSE),IF(OR(AW1503=1,AW1503=2),VLOOKUP(AU1503,INDEX((係数_乗用_ガソリン,係数_乗用_CNG,係数_乗用_軽油,係数_乗用_メタノール,係数_乗用_LPG),1,1,BE1503):INDEX((係数_乗用_ガソリン,係数_乗用_CNG,係数_乗用_軽油,係数_乗用_メタノール,係数_乗用_LPG),125,5,BE1503),3,FALSE))))))</f>
        <v/>
      </c>
      <c r="BC1503" s="467" t="str">
        <f t="shared" si="862"/>
        <v/>
      </c>
      <c r="BD1503" s="567" t="str">
        <f t="shared" si="863"/>
        <v/>
      </c>
      <c r="BE1503" s="467" t="str">
        <f t="shared" si="864"/>
        <v/>
      </c>
      <c r="BF1503" s="469" t="str">
        <f t="shared" ca="1" si="865"/>
        <v/>
      </c>
      <c r="BG1503" s="469" t="str">
        <f t="shared" ca="1" si="866"/>
        <v/>
      </c>
      <c r="BH1503" s="467" t="str">
        <f t="shared" si="867"/>
        <v/>
      </c>
      <c r="BI1503" s="467" t="str">
        <f t="shared" ca="1" si="868"/>
        <v/>
      </c>
      <c r="BJ1503" s="469" t="str">
        <f t="shared" si="869"/>
        <v/>
      </c>
      <c r="BK1503" s="470" t="str">
        <f t="shared" si="853"/>
        <v/>
      </c>
      <c r="BL1503" s="775" t="str">
        <f t="shared" si="870"/>
        <v/>
      </c>
      <c r="BM1503" s="775" t="str">
        <f t="shared" si="871"/>
        <v/>
      </c>
    </row>
    <row r="1504" spans="1:65">
      <c r="A1504" s="473">
        <v>1448</v>
      </c>
      <c r="B1504" s="132"/>
      <c r="C1504" s="332"/>
      <c r="D1504" s="333"/>
      <c r="E1504" s="333"/>
      <c r="F1504" s="334"/>
      <c r="G1504" s="337"/>
      <c r="H1504" s="131"/>
      <c r="I1504" s="337"/>
      <c r="J1504" s="131"/>
      <c r="K1504" s="458" t="str">
        <f t="shared" si="834"/>
        <v/>
      </c>
      <c r="L1504" s="458">
        <f t="shared" si="835"/>
        <v>0</v>
      </c>
      <c r="M1504" s="458">
        <f t="shared" si="836"/>
        <v>0</v>
      </c>
      <c r="N1504" s="459" t="str">
        <f t="shared" si="847"/>
        <v/>
      </c>
      <c r="O1504" s="459" t="str">
        <f t="shared" si="848"/>
        <v/>
      </c>
      <c r="P1504" s="459" t="str">
        <f t="shared" si="849"/>
        <v/>
      </c>
      <c r="Q1504" s="459" t="str">
        <f t="shared" si="850"/>
        <v/>
      </c>
      <c r="R1504" s="459" t="str">
        <f t="shared" si="851"/>
        <v/>
      </c>
      <c r="S1504" s="459" t="str">
        <f t="shared" si="852"/>
        <v/>
      </c>
      <c r="T1504" s="566" t="str">
        <f t="shared" si="837"/>
        <v/>
      </c>
      <c r="U1504" s="702"/>
      <c r="V1504" s="132"/>
      <c r="W1504" s="133"/>
      <c r="X1504" s="134"/>
      <c r="Y1504" s="135"/>
      <c r="Z1504" s="137"/>
      <c r="AA1504" s="136"/>
      <c r="AB1504" s="566" t="str">
        <f t="shared" si="838"/>
        <v/>
      </c>
      <c r="AC1504" s="568" t="str">
        <f t="shared" si="839"/>
        <v/>
      </c>
      <c r="AD1504" s="137"/>
      <c r="AE1504" s="137"/>
      <c r="AF1504" s="138"/>
      <c r="AG1504" s="138"/>
      <c r="AH1504" s="592" t="str">
        <f t="shared" si="840"/>
        <v/>
      </c>
      <c r="AI1504" s="592" t="str">
        <f t="shared" si="841"/>
        <v/>
      </c>
      <c r="AJ1504" s="592" t="str">
        <f t="shared" si="842"/>
        <v/>
      </c>
      <c r="AK1504" s="460" t="str">
        <f>IF(AU1504="","",IF(OR(AZ1504=8,AZ1504=9),0,IF(OR(AW1504=3,AW1504=4,AW1504=5,AW1504=6),IF(LEFT(BF1504,1)="1",INDEX(係数_NOX・PM低減,MATCH(AY1504,【参考】排出係数!$AI$801:$AI$804,1),1),VLOOKUP(AU1504,INDEX((係数_バス貨物_ガソリン,係数_バス貨物_CNG,係数_バス貨物_軽油,係数_バス貨物_メタノール,係数_バス貨物_LPG),MATCH(AY1504,【参考】排出係数!$AI$4:$AI$671,1),1,BE1504):INDEX((係数_バス貨物_ガソリン,係数_バス貨物_CNG,係数_バス貨物_軽油,係数_バス貨物_メタノール,係数_バス貨物_LPG),MATCH(AY1504+1,【参考】排出係数!$AI$4:$AI$671,1)-1,5,BE1504),4,FALSE)),IF(AND(BE1504=3,LEFT(BF1504,1)="1"),0.48,VLOOKUP(AU1504,INDEX((係数_乗用_ガソリン,係数_乗用_CNG,係数_乗用_軽油,係数_乗用_メタノール,係数_乗用_LPG),1,1,BE1504):INDEX((係数_乗用_ガソリン,係数_乗用_CNG,係数_乗用_軽油,係数_乗用_メタノール,係数_乗用_LPG),125,5,BE1504),4,FALSE)))))</f>
        <v/>
      </c>
      <c r="AL1504" s="461" t="str">
        <f t="shared" si="843"/>
        <v/>
      </c>
      <c r="AM1504" s="460" t="str">
        <f>IF(AU1504="","",IF(OR(AZ1504=8,AZ1504=9),0,IF(OR(AW1504=3,AW1504=4,AW1504=5,AW1504=6),IF(LEFT(BH1504,1)="1",INDEX(係数_PM低減,MATCH(AY1504,【参考】排出係数!$AI$801:$AI$804,1),MATCH(BI1504,【参考】排出係数!$AL$798:$AO$798,1)),VLOOKUP(AU1504,INDEX((係数_バス貨物_ガソリン,係数_バス貨物_CNG,係数_バス貨物_軽油,係数_バス貨物_メタノール,係数_バス貨物_LPG),MATCH(AY1504,【参考】排出係数!$AI$4:$AI$671,1),1,BE1504):INDEX((係数_バス貨物_ガソリン,係数_バス貨物_CNG,係数_バス貨物_軽油,係数_バス貨物_メタノール,係数_バス貨物_LPG),MATCH(AY1504+1,【参考】排出係数!$AI$4:$AI$671,1)-1,5,BE1504),5,FALSE)),IF(AND(BE1504=3,LEFT(BF1504,1)="1"),0.055,VLOOKUP(AU1504,INDEX((係数_乗用_ガソリン,係数_乗用_CNG,係数_乗用_軽油,係数_乗用_メタノール,係数_乗用_LPG),1,1,BE1504):INDEX((係数_乗用_ガソリン,係数_乗用_CNG,係数_乗用_軽油,係数_乗用_メタノール,係数_乗用_LPG),125,5,BE1504),5,FALSE)))))</f>
        <v/>
      </c>
      <c r="AN1504" s="461" t="str">
        <f t="shared" si="844"/>
        <v/>
      </c>
      <c r="AO1504" s="462" t="str">
        <f t="shared" si="845"/>
        <v/>
      </c>
      <c r="AP1504" s="463" t="str">
        <f t="shared" si="846"/>
        <v/>
      </c>
      <c r="AQ1504" s="464"/>
      <c r="AR1504" s="619"/>
      <c r="AS1504" s="465" t="str">
        <f t="shared" si="854"/>
        <v/>
      </c>
      <c r="AT1504" s="465" t="str">
        <f t="shared" si="855"/>
        <v/>
      </c>
      <c r="AU1504" s="466" t="str">
        <f t="shared" si="856"/>
        <v/>
      </c>
      <c r="AV1504" s="467" t="str">
        <f t="shared" si="857"/>
        <v/>
      </c>
      <c r="AW1504" s="467" t="str">
        <f t="shared" si="858"/>
        <v/>
      </c>
      <c r="AX1504" s="467" t="str">
        <f t="shared" si="859"/>
        <v/>
      </c>
      <c r="AY1504" s="467" t="str">
        <f t="shared" si="860"/>
        <v/>
      </c>
      <c r="AZ1504" s="467" t="str">
        <f t="shared" si="861"/>
        <v/>
      </c>
      <c r="BA1504" s="468" t="str">
        <f>IF(AS1504="","",IF(OR(AU1504="",AU1504="-"),"－",IF(OR(AZ1504=8,AZ1504=9),"",IF(OR(AW1504=3,AW1504=4,AW1504=5,AW1504=6),VLOOKUP(AU1504,INDEX((係数_バス貨物_ガソリン,係数_バス貨物_CNG,係数_バス貨物_軽油,係数_バス貨物_メタノール,係数_バス貨物_LPG),MATCH(AY1504,【参考】排出係数!$AI$4:$AI$671,1),1,BE1504):INDEX((係数_バス貨物_ガソリン,係数_バス貨物_CNG,係数_バス貨物_軽油,係数_バス貨物_メタノール,係数_バス貨物_LPG),MATCH(AY1504+1,【参考】排出係数!$AI$4:$AI$671,1)-1,5,BE1504),2,FALSE),IF(OR(AW1504=1,AW1504=2),VLOOKUP(AU1504,INDEX((係数_乗用_ガソリン,係数_乗用_CNG,係数_乗用_軽油,係数_乗用_メタノール,係数_乗用_LPG),1,1,BE1504):INDEX((係数_乗用_ガソリン,係数_乗用_CNG,係数_乗用_軽油,係数_乗用_メタノール,係数_乗用_LPG),125,5,BE1504),2,FALSE))))))</f>
        <v/>
      </c>
      <c r="BB1504" s="468" t="str">
        <f>IF(T1504="","",IF(OR(AU1504="",AU1504="-"),"－",IF(OR(AZ1504=8,AZ1504=9),"",IF(OR(AW1504=3,AW1504=4,AW1504=5,AW1504=6),VLOOKUP(AU1504,INDEX((係数_バス貨物_ガソリン,係数_バス貨物_CNG,係数_バス貨物_軽油,係数_バス貨物_メタノール,係数_バス貨物_LPG),MATCH(AY1504,【参考】排出係数!$AI$4:$AI$671,1),1,BE1504):INDEX((係数_バス貨物_ガソリン,係数_バス貨物_CNG,係数_バス貨物_軽油,係数_バス貨物_メタノール,係数_バス貨物_LPG),MATCH(AY1504+1,【参考】排出係数!$AI$4:$AI$671,1)-1,5,BE1504),3,FALSE),IF(OR(AW1504=1,AW1504=2),VLOOKUP(AU1504,INDEX((係数_乗用_ガソリン,係数_乗用_CNG,係数_乗用_軽油,係数_乗用_メタノール,係数_乗用_LPG),1,1,BE1504):INDEX((係数_乗用_ガソリン,係数_乗用_CNG,係数_乗用_軽油,係数_乗用_メタノール,係数_乗用_LPG),125,5,BE1504),3,FALSE))))))</f>
        <v/>
      </c>
      <c r="BC1504" s="467" t="str">
        <f t="shared" si="862"/>
        <v/>
      </c>
      <c r="BD1504" s="567" t="str">
        <f t="shared" si="863"/>
        <v/>
      </c>
      <c r="BE1504" s="467" t="str">
        <f t="shared" si="864"/>
        <v/>
      </c>
      <c r="BF1504" s="469" t="str">
        <f t="shared" ca="1" si="865"/>
        <v/>
      </c>
      <c r="BG1504" s="469" t="str">
        <f t="shared" ca="1" si="866"/>
        <v/>
      </c>
      <c r="BH1504" s="467" t="str">
        <f t="shared" si="867"/>
        <v/>
      </c>
      <c r="BI1504" s="467" t="str">
        <f t="shared" ca="1" si="868"/>
        <v/>
      </c>
      <c r="BJ1504" s="469" t="str">
        <f t="shared" si="869"/>
        <v/>
      </c>
      <c r="BK1504" s="470" t="str">
        <f t="shared" si="853"/>
        <v/>
      </c>
      <c r="BL1504" s="775" t="str">
        <f t="shared" si="870"/>
        <v/>
      </c>
      <c r="BM1504" s="775" t="str">
        <f t="shared" si="871"/>
        <v/>
      </c>
    </row>
    <row r="1505" spans="1:65">
      <c r="A1505" s="473">
        <v>1449</v>
      </c>
      <c r="B1505" s="132"/>
      <c r="C1505" s="332"/>
      <c r="D1505" s="333"/>
      <c r="E1505" s="333"/>
      <c r="F1505" s="334"/>
      <c r="G1505" s="337"/>
      <c r="H1505" s="131"/>
      <c r="I1505" s="337"/>
      <c r="J1505" s="131"/>
      <c r="K1505" s="458" t="str">
        <f t="shared" si="834"/>
        <v/>
      </c>
      <c r="L1505" s="458">
        <f t="shared" si="835"/>
        <v>0</v>
      </c>
      <c r="M1505" s="458">
        <f t="shared" si="836"/>
        <v>0</v>
      </c>
      <c r="N1505" s="459" t="str">
        <f t="shared" si="847"/>
        <v/>
      </c>
      <c r="O1505" s="459" t="str">
        <f t="shared" si="848"/>
        <v/>
      </c>
      <c r="P1505" s="459" t="str">
        <f t="shared" si="849"/>
        <v/>
      </c>
      <c r="Q1505" s="459" t="str">
        <f t="shared" si="850"/>
        <v/>
      </c>
      <c r="R1505" s="459" t="str">
        <f t="shared" si="851"/>
        <v/>
      </c>
      <c r="S1505" s="459" t="str">
        <f t="shared" si="852"/>
        <v/>
      </c>
      <c r="T1505" s="566" t="str">
        <f t="shared" si="837"/>
        <v/>
      </c>
      <c r="U1505" s="702"/>
      <c r="V1505" s="132"/>
      <c r="W1505" s="133"/>
      <c r="X1505" s="134"/>
      <c r="Y1505" s="135"/>
      <c r="Z1505" s="137"/>
      <c r="AA1505" s="136"/>
      <c r="AB1505" s="566" t="str">
        <f t="shared" si="838"/>
        <v/>
      </c>
      <c r="AC1505" s="568" t="str">
        <f t="shared" si="839"/>
        <v/>
      </c>
      <c r="AD1505" s="137"/>
      <c r="AE1505" s="137"/>
      <c r="AF1505" s="138"/>
      <c r="AG1505" s="138"/>
      <c r="AH1505" s="592" t="str">
        <f t="shared" si="840"/>
        <v/>
      </c>
      <c r="AI1505" s="592" t="str">
        <f t="shared" si="841"/>
        <v/>
      </c>
      <c r="AJ1505" s="592" t="str">
        <f t="shared" si="842"/>
        <v/>
      </c>
      <c r="AK1505" s="460" t="str">
        <f>IF(AU1505="","",IF(OR(AZ1505=8,AZ1505=9),0,IF(OR(AW1505=3,AW1505=4,AW1505=5,AW1505=6),IF(LEFT(BF1505,1)="1",INDEX(係数_NOX・PM低減,MATCH(AY1505,【参考】排出係数!$AI$801:$AI$804,1),1),VLOOKUP(AU1505,INDEX((係数_バス貨物_ガソリン,係数_バス貨物_CNG,係数_バス貨物_軽油,係数_バス貨物_メタノール,係数_バス貨物_LPG),MATCH(AY1505,【参考】排出係数!$AI$4:$AI$671,1),1,BE1505):INDEX((係数_バス貨物_ガソリン,係数_バス貨物_CNG,係数_バス貨物_軽油,係数_バス貨物_メタノール,係数_バス貨物_LPG),MATCH(AY1505+1,【参考】排出係数!$AI$4:$AI$671,1)-1,5,BE1505),4,FALSE)),IF(AND(BE1505=3,LEFT(BF1505,1)="1"),0.48,VLOOKUP(AU1505,INDEX((係数_乗用_ガソリン,係数_乗用_CNG,係数_乗用_軽油,係数_乗用_メタノール,係数_乗用_LPG),1,1,BE1505):INDEX((係数_乗用_ガソリン,係数_乗用_CNG,係数_乗用_軽油,係数_乗用_メタノール,係数_乗用_LPG),125,5,BE1505),4,FALSE)))))</f>
        <v/>
      </c>
      <c r="AL1505" s="461" t="str">
        <f t="shared" si="843"/>
        <v/>
      </c>
      <c r="AM1505" s="460" t="str">
        <f>IF(AU1505="","",IF(OR(AZ1505=8,AZ1505=9),0,IF(OR(AW1505=3,AW1505=4,AW1505=5,AW1505=6),IF(LEFT(BH1505,1)="1",INDEX(係数_PM低減,MATCH(AY1505,【参考】排出係数!$AI$801:$AI$804,1),MATCH(BI1505,【参考】排出係数!$AL$798:$AO$798,1)),VLOOKUP(AU1505,INDEX((係数_バス貨物_ガソリン,係数_バス貨物_CNG,係数_バス貨物_軽油,係数_バス貨物_メタノール,係数_バス貨物_LPG),MATCH(AY1505,【参考】排出係数!$AI$4:$AI$671,1),1,BE1505):INDEX((係数_バス貨物_ガソリン,係数_バス貨物_CNG,係数_バス貨物_軽油,係数_バス貨物_メタノール,係数_バス貨物_LPG),MATCH(AY1505+1,【参考】排出係数!$AI$4:$AI$671,1)-1,5,BE1505),5,FALSE)),IF(AND(BE1505=3,LEFT(BF1505,1)="1"),0.055,VLOOKUP(AU1505,INDEX((係数_乗用_ガソリン,係数_乗用_CNG,係数_乗用_軽油,係数_乗用_メタノール,係数_乗用_LPG),1,1,BE1505):INDEX((係数_乗用_ガソリン,係数_乗用_CNG,係数_乗用_軽油,係数_乗用_メタノール,係数_乗用_LPG),125,5,BE1505),5,FALSE)))))</f>
        <v/>
      </c>
      <c r="AN1505" s="461" t="str">
        <f t="shared" si="844"/>
        <v/>
      </c>
      <c r="AO1505" s="462" t="str">
        <f t="shared" si="845"/>
        <v/>
      </c>
      <c r="AP1505" s="463" t="str">
        <f t="shared" si="846"/>
        <v/>
      </c>
      <c r="AQ1505" s="464"/>
      <c r="AR1505" s="619"/>
      <c r="AS1505" s="465" t="str">
        <f t="shared" si="854"/>
        <v/>
      </c>
      <c r="AT1505" s="465" t="str">
        <f t="shared" si="855"/>
        <v/>
      </c>
      <c r="AU1505" s="466" t="str">
        <f t="shared" si="856"/>
        <v/>
      </c>
      <c r="AV1505" s="467" t="str">
        <f t="shared" si="857"/>
        <v/>
      </c>
      <c r="AW1505" s="467" t="str">
        <f t="shared" si="858"/>
        <v/>
      </c>
      <c r="AX1505" s="467" t="str">
        <f t="shared" si="859"/>
        <v/>
      </c>
      <c r="AY1505" s="467" t="str">
        <f t="shared" si="860"/>
        <v/>
      </c>
      <c r="AZ1505" s="467" t="str">
        <f t="shared" si="861"/>
        <v/>
      </c>
      <c r="BA1505" s="468" t="str">
        <f>IF(AS1505="","",IF(OR(AU1505="",AU1505="-"),"－",IF(OR(AZ1505=8,AZ1505=9),"",IF(OR(AW1505=3,AW1505=4,AW1505=5,AW1505=6),VLOOKUP(AU1505,INDEX((係数_バス貨物_ガソリン,係数_バス貨物_CNG,係数_バス貨物_軽油,係数_バス貨物_メタノール,係数_バス貨物_LPG),MATCH(AY1505,【参考】排出係数!$AI$4:$AI$671,1),1,BE1505):INDEX((係数_バス貨物_ガソリン,係数_バス貨物_CNG,係数_バス貨物_軽油,係数_バス貨物_メタノール,係数_バス貨物_LPG),MATCH(AY1505+1,【参考】排出係数!$AI$4:$AI$671,1)-1,5,BE1505),2,FALSE),IF(OR(AW1505=1,AW1505=2),VLOOKUP(AU1505,INDEX((係数_乗用_ガソリン,係数_乗用_CNG,係数_乗用_軽油,係数_乗用_メタノール,係数_乗用_LPG),1,1,BE1505):INDEX((係数_乗用_ガソリン,係数_乗用_CNG,係数_乗用_軽油,係数_乗用_メタノール,係数_乗用_LPG),125,5,BE1505),2,FALSE))))))</f>
        <v/>
      </c>
      <c r="BB1505" s="468" t="str">
        <f>IF(T1505="","",IF(OR(AU1505="",AU1505="-"),"－",IF(OR(AZ1505=8,AZ1505=9),"",IF(OR(AW1505=3,AW1505=4,AW1505=5,AW1505=6),VLOOKUP(AU1505,INDEX((係数_バス貨物_ガソリン,係数_バス貨物_CNG,係数_バス貨物_軽油,係数_バス貨物_メタノール,係数_バス貨物_LPG),MATCH(AY1505,【参考】排出係数!$AI$4:$AI$671,1),1,BE1505):INDEX((係数_バス貨物_ガソリン,係数_バス貨物_CNG,係数_バス貨物_軽油,係数_バス貨物_メタノール,係数_バス貨物_LPG),MATCH(AY1505+1,【参考】排出係数!$AI$4:$AI$671,1)-1,5,BE1505),3,FALSE),IF(OR(AW1505=1,AW1505=2),VLOOKUP(AU1505,INDEX((係数_乗用_ガソリン,係数_乗用_CNG,係数_乗用_軽油,係数_乗用_メタノール,係数_乗用_LPG),1,1,BE1505):INDEX((係数_乗用_ガソリン,係数_乗用_CNG,係数_乗用_軽油,係数_乗用_メタノール,係数_乗用_LPG),125,5,BE1505),3,FALSE))))))</f>
        <v/>
      </c>
      <c r="BC1505" s="467" t="str">
        <f t="shared" si="862"/>
        <v/>
      </c>
      <c r="BD1505" s="567" t="str">
        <f t="shared" si="863"/>
        <v/>
      </c>
      <c r="BE1505" s="467" t="str">
        <f t="shared" si="864"/>
        <v/>
      </c>
      <c r="BF1505" s="469" t="str">
        <f t="shared" ca="1" si="865"/>
        <v/>
      </c>
      <c r="BG1505" s="469" t="str">
        <f t="shared" ca="1" si="866"/>
        <v/>
      </c>
      <c r="BH1505" s="467" t="str">
        <f t="shared" si="867"/>
        <v/>
      </c>
      <c r="BI1505" s="467" t="str">
        <f t="shared" ca="1" si="868"/>
        <v/>
      </c>
      <c r="BJ1505" s="469" t="str">
        <f t="shared" si="869"/>
        <v/>
      </c>
      <c r="BK1505" s="470" t="str">
        <f t="shared" si="853"/>
        <v/>
      </c>
      <c r="BL1505" s="775" t="str">
        <f t="shared" si="870"/>
        <v/>
      </c>
      <c r="BM1505" s="775" t="str">
        <f t="shared" si="871"/>
        <v/>
      </c>
    </row>
    <row r="1506" spans="1:65">
      <c r="A1506" s="473">
        <v>1450</v>
      </c>
      <c r="B1506" s="132"/>
      <c r="C1506" s="332"/>
      <c r="D1506" s="333"/>
      <c r="E1506" s="333"/>
      <c r="F1506" s="334"/>
      <c r="G1506" s="337"/>
      <c r="H1506" s="131"/>
      <c r="I1506" s="337"/>
      <c r="J1506" s="131"/>
      <c r="K1506" s="458" t="str">
        <f t="shared" si="834"/>
        <v/>
      </c>
      <c r="L1506" s="458">
        <f t="shared" si="835"/>
        <v>0</v>
      </c>
      <c r="M1506" s="458">
        <f t="shared" si="836"/>
        <v>0</v>
      </c>
      <c r="N1506" s="459" t="str">
        <f t="shared" si="847"/>
        <v/>
      </c>
      <c r="O1506" s="459" t="str">
        <f t="shared" si="848"/>
        <v/>
      </c>
      <c r="P1506" s="459" t="str">
        <f t="shared" si="849"/>
        <v/>
      </c>
      <c r="Q1506" s="459" t="str">
        <f t="shared" si="850"/>
        <v/>
      </c>
      <c r="R1506" s="459" t="str">
        <f t="shared" si="851"/>
        <v/>
      </c>
      <c r="S1506" s="459" t="str">
        <f t="shared" si="852"/>
        <v/>
      </c>
      <c r="T1506" s="566" t="str">
        <f t="shared" si="837"/>
        <v/>
      </c>
      <c r="U1506" s="702"/>
      <c r="V1506" s="132"/>
      <c r="W1506" s="133"/>
      <c r="X1506" s="134"/>
      <c r="Y1506" s="135"/>
      <c r="Z1506" s="137"/>
      <c r="AA1506" s="136"/>
      <c r="AB1506" s="566" t="str">
        <f t="shared" si="838"/>
        <v/>
      </c>
      <c r="AC1506" s="568" t="str">
        <f t="shared" si="839"/>
        <v/>
      </c>
      <c r="AD1506" s="137"/>
      <c r="AE1506" s="137"/>
      <c r="AF1506" s="138"/>
      <c r="AG1506" s="138"/>
      <c r="AH1506" s="592" t="str">
        <f t="shared" si="840"/>
        <v/>
      </c>
      <c r="AI1506" s="592" t="str">
        <f t="shared" si="841"/>
        <v/>
      </c>
      <c r="AJ1506" s="592" t="str">
        <f t="shared" si="842"/>
        <v/>
      </c>
      <c r="AK1506" s="460" t="str">
        <f>IF(AU1506="","",IF(OR(AZ1506=8,AZ1506=9),0,IF(OR(AW1506=3,AW1506=4,AW1506=5,AW1506=6),IF(LEFT(BF1506,1)="1",INDEX(係数_NOX・PM低減,MATCH(AY1506,【参考】排出係数!$AI$801:$AI$804,1),1),VLOOKUP(AU1506,INDEX((係数_バス貨物_ガソリン,係数_バス貨物_CNG,係数_バス貨物_軽油,係数_バス貨物_メタノール,係数_バス貨物_LPG),MATCH(AY1506,【参考】排出係数!$AI$4:$AI$671,1),1,BE1506):INDEX((係数_バス貨物_ガソリン,係数_バス貨物_CNG,係数_バス貨物_軽油,係数_バス貨物_メタノール,係数_バス貨物_LPG),MATCH(AY1506+1,【参考】排出係数!$AI$4:$AI$671,1)-1,5,BE1506),4,FALSE)),IF(AND(BE1506=3,LEFT(BF1506,1)="1"),0.48,VLOOKUP(AU1506,INDEX((係数_乗用_ガソリン,係数_乗用_CNG,係数_乗用_軽油,係数_乗用_メタノール,係数_乗用_LPG),1,1,BE1506):INDEX((係数_乗用_ガソリン,係数_乗用_CNG,係数_乗用_軽油,係数_乗用_メタノール,係数_乗用_LPG),125,5,BE1506),4,FALSE)))))</f>
        <v/>
      </c>
      <c r="AL1506" s="461" t="str">
        <f t="shared" si="843"/>
        <v/>
      </c>
      <c r="AM1506" s="460" t="str">
        <f>IF(AU1506="","",IF(OR(AZ1506=8,AZ1506=9),0,IF(OR(AW1506=3,AW1506=4,AW1506=5,AW1506=6),IF(LEFT(BH1506,1)="1",INDEX(係数_PM低減,MATCH(AY1506,【参考】排出係数!$AI$801:$AI$804,1),MATCH(BI1506,【参考】排出係数!$AL$798:$AO$798,1)),VLOOKUP(AU1506,INDEX((係数_バス貨物_ガソリン,係数_バス貨物_CNG,係数_バス貨物_軽油,係数_バス貨物_メタノール,係数_バス貨物_LPG),MATCH(AY1506,【参考】排出係数!$AI$4:$AI$671,1),1,BE1506):INDEX((係数_バス貨物_ガソリン,係数_バス貨物_CNG,係数_バス貨物_軽油,係数_バス貨物_メタノール,係数_バス貨物_LPG),MATCH(AY1506+1,【参考】排出係数!$AI$4:$AI$671,1)-1,5,BE1506),5,FALSE)),IF(AND(BE1506=3,LEFT(BF1506,1)="1"),0.055,VLOOKUP(AU1506,INDEX((係数_乗用_ガソリン,係数_乗用_CNG,係数_乗用_軽油,係数_乗用_メタノール,係数_乗用_LPG),1,1,BE1506):INDEX((係数_乗用_ガソリン,係数_乗用_CNG,係数_乗用_軽油,係数_乗用_メタノール,係数_乗用_LPG),125,5,BE1506),5,FALSE)))))</f>
        <v/>
      </c>
      <c r="AN1506" s="461" t="str">
        <f t="shared" si="844"/>
        <v/>
      </c>
      <c r="AO1506" s="462" t="str">
        <f t="shared" si="845"/>
        <v/>
      </c>
      <c r="AP1506" s="463" t="str">
        <f t="shared" si="846"/>
        <v/>
      </c>
      <c r="AQ1506" s="464"/>
      <c r="AR1506" s="619"/>
      <c r="AS1506" s="465" t="str">
        <f t="shared" si="854"/>
        <v/>
      </c>
      <c r="AT1506" s="465" t="str">
        <f t="shared" si="855"/>
        <v/>
      </c>
      <c r="AU1506" s="466" t="str">
        <f t="shared" si="856"/>
        <v/>
      </c>
      <c r="AV1506" s="467" t="str">
        <f t="shared" si="857"/>
        <v/>
      </c>
      <c r="AW1506" s="467" t="str">
        <f t="shared" si="858"/>
        <v/>
      </c>
      <c r="AX1506" s="467" t="str">
        <f t="shared" si="859"/>
        <v/>
      </c>
      <c r="AY1506" s="467" t="str">
        <f t="shared" si="860"/>
        <v/>
      </c>
      <c r="AZ1506" s="467" t="str">
        <f t="shared" si="861"/>
        <v/>
      </c>
      <c r="BA1506" s="468" t="str">
        <f>IF(AS1506="","",IF(OR(AU1506="",AU1506="-"),"－",IF(OR(AZ1506=8,AZ1506=9),"",IF(OR(AW1506=3,AW1506=4,AW1506=5,AW1506=6),VLOOKUP(AU1506,INDEX((係数_バス貨物_ガソリン,係数_バス貨物_CNG,係数_バス貨物_軽油,係数_バス貨物_メタノール,係数_バス貨物_LPG),MATCH(AY1506,【参考】排出係数!$AI$4:$AI$671,1),1,BE1506):INDEX((係数_バス貨物_ガソリン,係数_バス貨物_CNG,係数_バス貨物_軽油,係数_バス貨物_メタノール,係数_バス貨物_LPG),MATCH(AY1506+1,【参考】排出係数!$AI$4:$AI$671,1)-1,5,BE1506),2,FALSE),IF(OR(AW1506=1,AW1506=2),VLOOKUP(AU1506,INDEX((係数_乗用_ガソリン,係数_乗用_CNG,係数_乗用_軽油,係数_乗用_メタノール,係数_乗用_LPG),1,1,BE1506):INDEX((係数_乗用_ガソリン,係数_乗用_CNG,係数_乗用_軽油,係数_乗用_メタノール,係数_乗用_LPG),125,5,BE1506),2,FALSE))))))</f>
        <v/>
      </c>
      <c r="BB1506" s="468" t="str">
        <f>IF(T1506="","",IF(OR(AU1506="",AU1506="-"),"－",IF(OR(AZ1506=8,AZ1506=9),"",IF(OR(AW1506=3,AW1506=4,AW1506=5,AW1506=6),VLOOKUP(AU1506,INDEX((係数_バス貨物_ガソリン,係数_バス貨物_CNG,係数_バス貨物_軽油,係数_バス貨物_メタノール,係数_バス貨物_LPG),MATCH(AY1506,【参考】排出係数!$AI$4:$AI$671,1),1,BE1506):INDEX((係数_バス貨物_ガソリン,係数_バス貨物_CNG,係数_バス貨物_軽油,係数_バス貨物_メタノール,係数_バス貨物_LPG),MATCH(AY1506+1,【参考】排出係数!$AI$4:$AI$671,1)-1,5,BE1506),3,FALSE),IF(OR(AW1506=1,AW1506=2),VLOOKUP(AU1506,INDEX((係数_乗用_ガソリン,係数_乗用_CNG,係数_乗用_軽油,係数_乗用_メタノール,係数_乗用_LPG),1,1,BE1506):INDEX((係数_乗用_ガソリン,係数_乗用_CNG,係数_乗用_軽油,係数_乗用_メタノール,係数_乗用_LPG),125,5,BE1506),3,FALSE))))))</f>
        <v/>
      </c>
      <c r="BC1506" s="467" t="str">
        <f t="shared" si="862"/>
        <v/>
      </c>
      <c r="BD1506" s="567" t="str">
        <f t="shared" si="863"/>
        <v/>
      </c>
      <c r="BE1506" s="467" t="str">
        <f t="shared" si="864"/>
        <v/>
      </c>
      <c r="BF1506" s="469" t="str">
        <f t="shared" ca="1" si="865"/>
        <v/>
      </c>
      <c r="BG1506" s="469" t="str">
        <f t="shared" ca="1" si="866"/>
        <v/>
      </c>
      <c r="BH1506" s="467" t="str">
        <f t="shared" si="867"/>
        <v/>
      </c>
      <c r="BI1506" s="467" t="str">
        <f t="shared" ca="1" si="868"/>
        <v/>
      </c>
      <c r="BJ1506" s="469" t="str">
        <f t="shared" si="869"/>
        <v/>
      </c>
      <c r="BK1506" s="470" t="str">
        <f t="shared" si="853"/>
        <v/>
      </c>
      <c r="BL1506" s="775" t="str">
        <f t="shared" si="870"/>
        <v/>
      </c>
      <c r="BM1506" s="775" t="str">
        <f t="shared" si="871"/>
        <v/>
      </c>
    </row>
    <row r="1507" spans="1:65">
      <c r="A1507" s="473">
        <v>1451</v>
      </c>
      <c r="B1507" s="132"/>
      <c r="C1507" s="332"/>
      <c r="D1507" s="333"/>
      <c r="E1507" s="333"/>
      <c r="F1507" s="334"/>
      <c r="G1507" s="337"/>
      <c r="H1507" s="131"/>
      <c r="I1507" s="337"/>
      <c r="J1507" s="131"/>
      <c r="K1507" s="458" t="str">
        <f t="shared" si="834"/>
        <v/>
      </c>
      <c r="L1507" s="458">
        <f t="shared" si="835"/>
        <v>0</v>
      </c>
      <c r="M1507" s="458">
        <f t="shared" si="836"/>
        <v>0</v>
      </c>
      <c r="N1507" s="459" t="str">
        <f t="shared" si="847"/>
        <v/>
      </c>
      <c r="O1507" s="459" t="str">
        <f t="shared" si="848"/>
        <v/>
      </c>
      <c r="P1507" s="459" t="str">
        <f t="shared" si="849"/>
        <v/>
      </c>
      <c r="Q1507" s="459" t="str">
        <f t="shared" si="850"/>
        <v/>
      </c>
      <c r="R1507" s="459" t="str">
        <f t="shared" si="851"/>
        <v/>
      </c>
      <c r="S1507" s="459" t="str">
        <f t="shared" si="852"/>
        <v/>
      </c>
      <c r="T1507" s="566" t="str">
        <f t="shared" si="837"/>
        <v/>
      </c>
      <c r="U1507" s="702"/>
      <c r="V1507" s="132"/>
      <c r="W1507" s="133"/>
      <c r="X1507" s="134"/>
      <c r="Y1507" s="135"/>
      <c r="Z1507" s="137"/>
      <c r="AA1507" s="136"/>
      <c r="AB1507" s="566" t="str">
        <f t="shared" si="838"/>
        <v/>
      </c>
      <c r="AC1507" s="568" t="str">
        <f t="shared" si="839"/>
        <v/>
      </c>
      <c r="AD1507" s="137"/>
      <c r="AE1507" s="137"/>
      <c r="AF1507" s="138"/>
      <c r="AG1507" s="138"/>
      <c r="AH1507" s="592" t="str">
        <f t="shared" si="840"/>
        <v/>
      </c>
      <c r="AI1507" s="592" t="str">
        <f t="shared" si="841"/>
        <v/>
      </c>
      <c r="AJ1507" s="592" t="str">
        <f t="shared" si="842"/>
        <v/>
      </c>
      <c r="AK1507" s="460" t="str">
        <f>IF(AU1507="","",IF(OR(AZ1507=8,AZ1507=9),0,IF(OR(AW1507=3,AW1507=4,AW1507=5,AW1507=6),IF(LEFT(BF1507,1)="1",INDEX(係数_NOX・PM低減,MATCH(AY1507,【参考】排出係数!$AI$801:$AI$804,1),1),VLOOKUP(AU1507,INDEX((係数_バス貨物_ガソリン,係数_バス貨物_CNG,係数_バス貨物_軽油,係数_バス貨物_メタノール,係数_バス貨物_LPG),MATCH(AY1507,【参考】排出係数!$AI$4:$AI$671,1),1,BE1507):INDEX((係数_バス貨物_ガソリン,係数_バス貨物_CNG,係数_バス貨物_軽油,係数_バス貨物_メタノール,係数_バス貨物_LPG),MATCH(AY1507+1,【参考】排出係数!$AI$4:$AI$671,1)-1,5,BE1507),4,FALSE)),IF(AND(BE1507=3,LEFT(BF1507,1)="1"),0.48,VLOOKUP(AU1507,INDEX((係数_乗用_ガソリン,係数_乗用_CNG,係数_乗用_軽油,係数_乗用_メタノール,係数_乗用_LPG),1,1,BE1507):INDEX((係数_乗用_ガソリン,係数_乗用_CNG,係数_乗用_軽油,係数_乗用_メタノール,係数_乗用_LPG),125,5,BE1507),4,FALSE)))))</f>
        <v/>
      </c>
      <c r="AL1507" s="461" t="str">
        <f t="shared" si="843"/>
        <v/>
      </c>
      <c r="AM1507" s="460" t="str">
        <f>IF(AU1507="","",IF(OR(AZ1507=8,AZ1507=9),0,IF(OR(AW1507=3,AW1507=4,AW1507=5,AW1507=6),IF(LEFT(BH1507,1)="1",INDEX(係数_PM低減,MATCH(AY1507,【参考】排出係数!$AI$801:$AI$804,1),MATCH(BI1507,【参考】排出係数!$AL$798:$AO$798,1)),VLOOKUP(AU1507,INDEX((係数_バス貨物_ガソリン,係数_バス貨物_CNG,係数_バス貨物_軽油,係数_バス貨物_メタノール,係数_バス貨物_LPG),MATCH(AY1507,【参考】排出係数!$AI$4:$AI$671,1),1,BE1507):INDEX((係数_バス貨物_ガソリン,係数_バス貨物_CNG,係数_バス貨物_軽油,係数_バス貨物_メタノール,係数_バス貨物_LPG),MATCH(AY1507+1,【参考】排出係数!$AI$4:$AI$671,1)-1,5,BE1507),5,FALSE)),IF(AND(BE1507=3,LEFT(BF1507,1)="1"),0.055,VLOOKUP(AU1507,INDEX((係数_乗用_ガソリン,係数_乗用_CNG,係数_乗用_軽油,係数_乗用_メタノール,係数_乗用_LPG),1,1,BE1507):INDEX((係数_乗用_ガソリン,係数_乗用_CNG,係数_乗用_軽油,係数_乗用_メタノール,係数_乗用_LPG),125,5,BE1507),5,FALSE)))))</f>
        <v/>
      </c>
      <c r="AN1507" s="461" t="str">
        <f t="shared" si="844"/>
        <v/>
      </c>
      <c r="AO1507" s="462" t="str">
        <f t="shared" si="845"/>
        <v/>
      </c>
      <c r="AP1507" s="463" t="str">
        <f t="shared" si="846"/>
        <v/>
      </c>
      <c r="AQ1507" s="464"/>
      <c r="AR1507" s="619"/>
      <c r="AS1507" s="465" t="str">
        <f t="shared" si="854"/>
        <v/>
      </c>
      <c r="AT1507" s="465" t="str">
        <f t="shared" si="855"/>
        <v/>
      </c>
      <c r="AU1507" s="466" t="str">
        <f t="shared" si="856"/>
        <v/>
      </c>
      <c r="AV1507" s="467" t="str">
        <f t="shared" si="857"/>
        <v/>
      </c>
      <c r="AW1507" s="467" t="str">
        <f t="shared" si="858"/>
        <v/>
      </c>
      <c r="AX1507" s="467" t="str">
        <f t="shared" si="859"/>
        <v/>
      </c>
      <c r="AY1507" s="467" t="str">
        <f t="shared" si="860"/>
        <v/>
      </c>
      <c r="AZ1507" s="467" t="str">
        <f t="shared" si="861"/>
        <v/>
      </c>
      <c r="BA1507" s="468" t="str">
        <f>IF(AS1507="","",IF(OR(AU1507="",AU1507="-"),"－",IF(OR(AZ1507=8,AZ1507=9),"",IF(OR(AW1507=3,AW1507=4,AW1507=5,AW1507=6),VLOOKUP(AU1507,INDEX((係数_バス貨物_ガソリン,係数_バス貨物_CNG,係数_バス貨物_軽油,係数_バス貨物_メタノール,係数_バス貨物_LPG),MATCH(AY1507,【参考】排出係数!$AI$4:$AI$671,1),1,BE1507):INDEX((係数_バス貨物_ガソリン,係数_バス貨物_CNG,係数_バス貨物_軽油,係数_バス貨物_メタノール,係数_バス貨物_LPG),MATCH(AY1507+1,【参考】排出係数!$AI$4:$AI$671,1)-1,5,BE1507),2,FALSE),IF(OR(AW1507=1,AW1507=2),VLOOKUP(AU1507,INDEX((係数_乗用_ガソリン,係数_乗用_CNG,係数_乗用_軽油,係数_乗用_メタノール,係数_乗用_LPG),1,1,BE1507):INDEX((係数_乗用_ガソリン,係数_乗用_CNG,係数_乗用_軽油,係数_乗用_メタノール,係数_乗用_LPG),125,5,BE1507),2,FALSE))))))</f>
        <v/>
      </c>
      <c r="BB1507" s="468" t="str">
        <f>IF(T1507="","",IF(OR(AU1507="",AU1507="-"),"－",IF(OR(AZ1507=8,AZ1507=9),"",IF(OR(AW1507=3,AW1507=4,AW1507=5,AW1507=6),VLOOKUP(AU1507,INDEX((係数_バス貨物_ガソリン,係数_バス貨物_CNG,係数_バス貨物_軽油,係数_バス貨物_メタノール,係数_バス貨物_LPG),MATCH(AY1507,【参考】排出係数!$AI$4:$AI$671,1),1,BE1507):INDEX((係数_バス貨物_ガソリン,係数_バス貨物_CNG,係数_バス貨物_軽油,係数_バス貨物_メタノール,係数_バス貨物_LPG),MATCH(AY1507+1,【参考】排出係数!$AI$4:$AI$671,1)-1,5,BE1507),3,FALSE),IF(OR(AW1507=1,AW1507=2),VLOOKUP(AU1507,INDEX((係数_乗用_ガソリン,係数_乗用_CNG,係数_乗用_軽油,係数_乗用_メタノール,係数_乗用_LPG),1,1,BE1507):INDEX((係数_乗用_ガソリン,係数_乗用_CNG,係数_乗用_軽油,係数_乗用_メタノール,係数_乗用_LPG),125,5,BE1507),3,FALSE))))))</f>
        <v/>
      </c>
      <c r="BC1507" s="467" t="str">
        <f t="shared" si="862"/>
        <v/>
      </c>
      <c r="BD1507" s="567" t="str">
        <f t="shared" si="863"/>
        <v/>
      </c>
      <c r="BE1507" s="467" t="str">
        <f t="shared" si="864"/>
        <v/>
      </c>
      <c r="BF1507" s="469" t="str">
        <f t="shared" ca="1" si="865"/>
        <v/>
      </c>
      <c r="BG1507" s="469" t="str">
        <f t="shared" ca="1" si="866"/>
        <v/>
      </c>
      <c r="BH1507" s="467" t="str">
        <f t="shared" si="867"/>
        <v/>
      </c>
      <c r="BI1507" s="467" t="str">
        <f t="shared" ca="1" si="868"/>
        <v/>
      </c>
      <c r="BJ1507" s="469" t="str">
        <f t="shared" si="869"/>
        <v/>
      </c>
      <c r="BK1507" s="470" t="str">
        <f t="shared" si="853"/>
        <v/>
      </c>
      <c r="BL1507" s="775" t="str">
        <f t="shared" si="870"/>
        <v/>
      </c>
      <c r="BM1507" s="775" t="str">
        <f t="shared" si="871"/>
        <v/>
      </c>
    </row>
    <row r="1508" spans="1:65">
      <c r="A1508" s="473">
        <v>1452</v>
      </c>
      <c r="B1508" s="132"/>
      <c r="C1508" s="332"/>
      <c r="D1508" s="333"/>
      <c r="E1508" s="333"/>
      <c r="F1508" s="334"/>
      <c r="G1508" s="337"/>
      <c r="H1508" s="131"/>
      <c r="I1508" s="337"/>
      <c r="J1508" s="131"/>
      <c r="K1508" s="458" t="str">
        <f t="shared" si="834"/>
        <v/>
      </c>
      <c r="L1508" s="458">
        <f t="shared" si="835"/>
        <v>0</v>
      </c>
      <c r="M1508" s="458">
        <f t="shared" si="836"/>
        <v>0</v>
      </c>
      <c r="N1508" s="459" t="str">
        <f t="shared" si="847"/>
        <v/>
      </c>
      <c r="O1508" s="459" t="str">
        <f t="shared" si="848"/>
        <v/>
      </c>
      <c r="P1508" s="459" t="str">
        <f t="shared" si="849"/>
        <v/>
      </c>
      <c r="Q1508" s="459" t="str">
        <f t="shared" si="850"/>
        <v/>
      </c>
      <c r="R1508" s="459" t="str">
        <f t="shared" si="851"/>
        <v/>
      </c>
      <c r="S1508" s="459" t="str">
        <f t="shared" si="852"/>
        <v/>
      </c>
      <c r="T1508" s="566" t="str">
        <f t="shared" si="837"/>
        <v/>
      </c>
      <c r="U1508" s="702"/>
      <c r="V1508" s="132"/>
      <c r="W1508" s="133"/>
      <c r="X1508" s="134"/>
      <c r="Y1508" s="135"/>
      <c r="Z1508" s="137"/>
      <c r="AA1508" s="136"/>
      <c r="AB1508" s="566" t="str">
        <f t="shared" si="838"/>
        <v/>
      </c>
      <c r="AC1508" s="568" t="str">
        <f t="shared" si="839"/>
        <v/>
      </c>
      <c r="AD1508" s="137"/>
      <c r="AE1508" s="137"/>
      <c r="AF1508" s="138"/>
      <c r="AG1508" s="138"/>
      <c r="AH1508" s="592" t="str">
        <f t="shared" si="840"/>
        <v/>
      </c>
      <c r="AI1508" s="592" t="str">
        <f t="shared" si="841"/>
        <v/>
      </c>
      <c r="AJ1508" s="592" t="str">
        <f t="shared" si="842"/>
        <v/>
      </c>
      <c r="AK1508" s="460" t="str">
        <f>IF(AU1508="","",IF(OR(AZ1508=8,AZ1508=9),0,IF(OR(AW1508=3,AW1508=4,AW1508=5,AW1508=6),IF(LEFT(BF1508,1)="1",INDEX(係数_NOX・PM低減,MATCH(AY1508,【参考】排出係数!$AI$801:$AI$804,1),1),VLOOKUP(AU1508,INDEX((係数_バス貨物_ガソリン,係数_バス貨物_CNG,係数_バス貨物_軽油,係数_バス貨物_メタノール,係数_バス貨物_LPG),MATCH(AY1508,【参考】排出係数!$AI$4:$AI$671,1),1,BE1508):INDEX((係数_バス貨物_ガソリン,係数_バス貨物_CNG,係数_バス貨物_軽油,係数_バス貨物_メタノール,係数_バス貨物_LPG),MATCH(AY1508+1,【参考】排出係数!$AI$4:$AI$671,1)-1,5,BE1508),4,FALSE)),IF(AND(BE1508=3,LEFT(BF1508,1)="1"),0.48,VLOOKUP(AU1508,INDEX((係数_乗用_ガソリン,係数_乗用_CNG,係数_乗用_軽油,係数_乗用_メタノール,係数_乗用_LPG),1,1,BE1508):INDEX((係数_乗用_ガソリン,係数_乗用_CNG,係数_乗用_軽油,係数_乗用_メタノール,係数_乗用_LPG),125,5,BE1508),4,FALSE)))))</f>
        <v/>
      </c>
      <c r="AL1508" s="461" t="str">
        <f t="shared" si="843"/>
        <v/>
      </c>
      <c r="AM1508" s="460" t="str">
        <f>IF(AU1508="","",IF(OR(AZ1508=8,AZ1508=9),0,IF(OR(AW1508=3,AW1508=4,AW1508=5,AW1508=6),IF(LEFT(BH1508,1)="1",INDEX(係数_PM低減,MATCH(AY1508,【参考】排出係数!$AI$801:$AI$804,1),MATCH(BI1508,【参考】排出係数!$AL$798:$AO$798,1)),VLOOKUP(AU1508,INDEX((係数_バス貨物_ガソリン,係数_バス貨物_CNG,係数_バス貨物_軽油,係数_バス貨物_メタノール,係数_バス貨物_LPG),MATCH(AY1508,【参考】排出係数!$AI$4:$AI$671,1),1,BE1508):INDEX((係数_バス貨物_ガソリン,係数_バス貨物_CNG,係数_バス貨物_軽油,係数_バス貨物_メタノール,係数_バス貨物_LPG),MATCH(AY1508+1,【参考】排出係数!$AI$4:$AI$671,1)-1,5,BE1508),5,FALSE)),IF(AND(BE1508=3,LEFT(BF1508,1)="1"),0.055,VLOOKUP(AU1508,INDEX((係数_乗用_ガソリン,係数_乗用_CNG,係数_乗用_軽油,係数_乗用_メタノール,係数_乗用_LPG),1,1,BE1508):INDEX((係数_乗用_ガソリン,係数_乗用_CNG,係数_乗用_軽油,係数_乗用_メタノール,係数_乗用_LPG),125,5,BE1508),5,FALSE)))))</f>
        <v/>
      </c>
      <c r="AN1508" s="461" t="str">
        <f t="shared" si="844"/>
        <v/>
      </c>
      <c r="AO1508" s="462" t="str">
        <f t="shared" si="845"/>
        <v/>
      </c>
      <c r="AP1508" s="463" t="str">
        <f t="shared" si="846"/>
        <v/>
      </c>
      <c r="AQ1508" s="464"/>
      <c r="AR1508" s="619"/>
      <c r="AS1508" s="465" t="str">
        <f t="shared" si="854"/>
        <v/>
      </c>
      <c r="AT1508" s="465" t="str">
        <f t="shared" si="855"/>
        <v/>
      </c>
      <c r="AU1508" s="466" t="str">
        <f t="shared" si="856"/>
        <v/>
      </c>
      <c r="AV1508" s="467" t="str">
        <f t="shared" si="857"/>
        <v/>
      </c>
      <c r="AW1508" s="467" t="str">
        <f t="shared" si="858"/>
        <v/>
      </c>
      <c r="AX1508" s="467" t="str">
        <f t="shared" si="859"/>
        <v/>
      </c>
      <c r="AY1508" s="467" t="str">
        <f t="shared" si="860"/>
        <v/>
      </c>
      <c r="AZ1508" s="467" t="str">
        <f t="shared" si="861"/>
        <v/>
      </c>
      <c r="BA1508" s="468" t="str">
        <f>IF(AS1508="","",IF(OR(AU1508="",AU1508="-"),"－",IF(OR(AZ1508=8,AZ1508=9),"",IF(OR(AW1508=3,AW1508=4,AW1508=5,AW1508=6),VLOOKUP(AU1508,INDEX((係数_バス貨物_ガソリン,係数_バス貨物_CNG,係数_バス貨物_軽油,係数_バス貨物_メタノール,係数_バス貨物_LPG),MATCH(AY1508,【参考】排出係数!$AI$4:$AI$671,1),1,BE1508):INDEX((係数_バス貨物_ガソリン,係数_バス貨物_CNG,係数_バス貨物_軽油,係数_バス貨物_メタノール,係数_バス貨物_LPG),MATCH(AY1508+1,【参考】排出係数!$AI$4:$AI$671,1)-1,5,BE1508),2,FALSE),IF(OR(AW1508=1,AW1508=2),VLOOKUP(AU1508,INDEX((係数_乗用_ガソリン,係数_乗用_CNG,係数_乗用_軽油,係数_乗用_メタノール,係数_乗用_LPG),1,1,BE1508):INDEX((係数_乗用_ガソリン,係数_乗用_CNG,係数_乗用_軽油,係数_乗用_メタノール,係数_乗用_LPG),125,5,BE1508),2,FALSE))))))</f>
        <v/>
      </c>
      <c r="BB1508" s="468" t="str">
        <f>IF(T1508="","",IF(OR(AU1508="",AU1508="-"),"－",IF(OR(AZ1508=8,AZ1508=9),"",IF(OR(AW1508=3,AW1508=4,AW1508=5,AW1508=6),VLOOKUP(AU1508,INDEX((係数_バス貨物_ガソリン,係数_バス貨物_CNG,係数_バス貨物_軽油,係数_バス貨物_メタノール,係数_バス貨物_LPG),MATCH(AY1508,【参考】排出係数!$AI$4:$AI$671,1),1,BE1508):INDEX((係数_バス貨物_ガソリン,係数_バス貨物_CNG,係数_バス貨物_軽油,係数_バス貨物_メタノール,係数_バス貨物_LPG),MATCH(AY1508+1,【参考】排出係数!$AI$4:$AI$671,1)-1,5,BE1508),3,FALSE),IF(OR(AW1508=1,AW1508=2),VLOOKUP(AU1508,INDEX((係数_乗用_ガソリン,係数_乗用_CNG,係数_乗用_軽油,係数_乗用_メタノール,係数_乗用_LPG),1,1,BE1508):INDEX((係数_乗用_ガソリン,係数_乗用_CNG,係数_乗用_軽油,係数_乗用_メタノール,係数_乗用_LPG),125,5,BE1508),3,FALSE))))))</f>
        <v/>
      </c>
      <c r="BC1508" s="467" t="str">
        <f t="shared" si="862"/>
        <v/>
      </c>
      <c r="BD1508" s="567" t="str">
        <f t="shared" si="863"/>
        <v/>
      </c>
      <c r="BE1508" s="467" t="str">
        <f t="shared" si="864"/>
        <v/>
      </c>
      <c r="BF1508" s="469" t="str">
        <f t="shared" ca="1" si="865"/>
        <v/>
      </c>
      <c r="BG1508" s="469" t="str">
        <f t="shared" ca="1" si="866"/>
        <v/>
      </c>
      <c r="BH1508" s="467" t="str">
        <f t="shared" si="867"/>
        <v/>
      </c>
      <c r="BI1508" s="467" t="str">
        <f t="shared" ca="1" si="868"/>
        <v/>
      </c>
      <c r="BJ1508" s="469" t="str">
        <f t="shared" si="869"/>
        <v/>
      </c>
      <c r="BK1508" s="470" t="str">
        <f t="shared" si="853"/>
        <v/>
      </c>
      <c r="BL1508" s="775" t="str">
        <f t="shared" si="870"/>
        <v/>
      </c>
      <c r="BM1508" s="775" t="str">
        <f t="shared" si="871"/>
        <v/>
      </c>
    </row>
    <row r="1509" spans="1:65">
      <c r="A1509" s="473">
        <v>1453</v>
      </c>
      <c r="B1509" s="132"/>
      <c r="C1509" s="332"/>
      <c r="D1509" s="333"/>
      <c r="E1509" s="333"/>
      <c r="F1509" s="334"/>
      <c r="G1509" s="337"/>
      <c r="H1509" s="131"/>
      <c r="I1509" s="337"/>
      <c r="J1509" s="131"/>
      <c r="K1509" s="458" t="str">
        <f t="shared" si="834"/>
        <v/>
      </c>
      <c r="L1509" s="458">
        <f t="shared" si="835"/>
        <v>0</v>
      </c>
      <c r="M1509" s="458">
        <f t="shared" si="836"/>
        <v>0</v>
      </c>
      <c r="N1509" s="459" t="str">
        <f t="shared" si="847"/>
        <v/>
      </c>
      <c r="O1509" s="459" t="str">
        <f t="shared" si="848"/>
        <v/>
      </c>
      <c r="P1509" s="459" t="str">
        <f t="shared" si="849"/>
        <v/>
      </c>
      <c r="Q1509" s="459" t="str">
        <f t="shared" si="850"/>
        <v/>
      </c>
      <c r="R1509" s="459" t="str">
        <f t="shared" si="851"/>
        <v/>
      </c>
      <c r="S1509" s="459" t="str">
        <f t="shared" si="852"/>
        <v/>
      </c>
      <c r="T1509" s="566" t="str">
        <f t="shared" si="837"/>
        <v/>
      </c>
      <c r="U1509" s="702"/>
      <c r="V1509" s="132"/>
      <c r="W1509" s="133"/>
      <c r="X1509" s="134"/>
      <c r="Y1509" s="135"/>
      <c r="Z1509" s="137"/>
      <c r="AA1509" s="136"/>
      <c r="AB1509" s="566" t="str">
        <f t="shared" si="838"/>
        <v/>
      </c>
      <c r="AC1509" s="568" t="str">
        <f t="shared" si="839"/>
        <v/>
      </c>
      <c r="AD1509" s="137"/>
      <c r="AE1509" s="137"/>
      <c r="AF1509" s="138"/>
      <c r="AG1509" s="138"/>
      <c r="AH1509" s="592" t="str">
        <f t="shared" si="840"/>
        <v/>
      </c>
      <c r="AI1509" s="592" t="str">
        <f t="shared" si="841"/>
        <v/>
      </c>
      <c r="AJ1509" s="592" t="str">
        <f t="shared" si="842"/>
        <v/>
      </c>
      <c r="AK1509" s="460" t="str">
        <f>IF(AU1509="","",IF(OR(AZ1509=8,AZ1509=9),0,IF(OR(AW1509=3,AW1509=4,AW1509=5,AW1509=6),IF(LEFT(BF1509,1)="1",INDEX(係数_NOX・PM低減,MATCH(AY1509,【参考】排出係数!$AI$801:$AI$804,1),1),VLOOKUP(AU1509,INDEX((係数_バス貨物_ガソリン,係数_バス貨物_CNG,係数_バス貨物_軽油,係数_バス貨物_メタノール,係数_バス貨物_LPG),MATCH(AY1509,【参考】排出係数!$AI$4:$AI$671,1),1,BE1509):INDEX((係数_バス貨物_ガソリン,係数_バス貨物_CNG,係数_バス貨物_軽油,係数_バス貨物_メタノール,係数_バス貨物_LPG),MATCH(AY1509+1,【参考】排出係数!$AI$4:$AI$671,1)-1,5,BE1509),4,FALSE)),IF(AND(BE1509=3,LEFT(BF1509,1)="1"),0.48,VLOOKUP(AU1509,INDEX((係数_乗用_ガソリン,係数_乗用_CNG,係数_乗用_軽油,係数_乗用_メタノール,係数_乗用_LPG),1,1,BE1509):INDEX((係数_乗用_ガソリン,係数_乗用_CNG,係数_乗用_軽油,係数_乗用_メタノール,係数_乗用_LPG),125,5,BE1509),4,FALSE)))))</f>
        <v/>
      </c>
      <c r="AL1509" s="461" t="str">
        <f t="shared" si="843"/>
        <v/>
      </c>
      <c r="AM1509" s="460" t="str">
        <f>IF(AU1509="","",IF(OR(AZ1509=8,AZ1509=9),0,IF(OR(AW1509=3,AW1509=4,AW1509=5,AW1509=6),IF(LEFT(BH1509,1)="1",INDEX(係数_PM低減,MATCH(AY1509,【参考】排出係数!$AI$801:$AI$804,1),MATCH(BI1509,【参考】排出係数!$AL$798:$AO$798,1)),VLOOKUP(AU1509,INDEX((係数_バス貨物_ガソリン,係数_バス貨物_CNG,係数_バス貨物_軽油,係数_バス貨物_メタノール,係数_バス貨物_LPG),MATCH(AY1509,【参考】排出係数!$AI$4:$AI$671,1),1,BE1509):INDEX((係数_バス貨物_ガソリン,係数_バス貨物_CNG,係数_バス貨物_軽油,係数_バス貨物_メタノール,係数_バス貨物_LPG),MATCH(AY1509+1,【参考】排出係数!$AI$4:$AI$671,1)-1,5,BE1509),5,FALSE)),IF(AND(BE1509=3,LEFT(BF1509,1)="1"),0.055,VLOOKUP(AU1509,INDEX((係数_乗用_ガソリン,係数_乗用_CNG,係数_乗用_軽油,係数_乗用_メタノール,係数_乗用_LPG),1,1,BE1509):INDEX((係数_乗用_ガソリン,係数_乗用_CNG,係数_乗用_軽油,係数_乗用_メタノール,係数_乗用_LPG),125,5,BE1509),5,FALSE)))))</f>
        <v/>
      </c>
      <c r="AN1509" s="461" t="str">
        <f t="shared" si="844"/>
        <v/>
      </c>
      <c r="AO1509" s="462" t="str">
        <f t="shared" si="845"/>
        <v/>
      </c>
      <c r="AP1509" s="463" t="str">
        <f t="shared" si="846"/>
        <v/>
      </c>
      <c r="AQ1509" s="464"/>
      <c r="AR1509" s="619"/>
      <c r="AS1509" s="465" t="str">
        <f t="shared" si="854"/>
        <v/>
      </c>
      <c r="AT1509" s="465" t="str">
        <f t="shared" si="855"/>
        <v/>
      </c>
      <c r="AU1509" s="466" t="str">
        <f t="shared" si="856"/>
        <v/>
      </c>
      <c r="AV1509" s="467" t="str">
        <f t="shared" si="857"/>
        <v/>
      </c>
      <c r="AW1509" s="467" t="str">
        <f t="shared" si="858"/>
        <v/>
      </c>
      <c r="AX1509" s="467" t="str">
        <f t="shared" si="859"/>
        <v/>
      </c>
      <c r="AY1509" s="467" t="str">
        <f t="shared" si="860"/>
        <v/>
      </c>
      <c r="AZ1509" s="467" t="str">
        <f t="shared" si="861"/>
        <v/>
      </c>
      <c r="BA1509" s="468" t="str">
        <f>IF(AS1509="","",IF(OR(AU1509="",AU1509="-"),"－",IF(OR(AZ1509=8,AZ1509=9),"",IF(OR(AW1509=3,AW1509=4,AW1509=5,AW1509=6),VLOOKUP(AU1509,INDEX((係数_バス貨物_ガソリン,係数_バス貨物_CNG,係数_バス貨物_軽油,係数_バス貨物_メタノール,係数_バス貨物_LPG),MATCH(AY1509,【参考】排出係数!$AI$4:$AI$671,1),1,BE1509):INDEX((係数_バス貨物_ガソリン,係数_バス貨物_CNG,係数_バス貨物_軽油,係数_バス貨物_メタノール,係数_バス貨物_LPG),MATCH(AY1509+1,【参考】排出係数!$AI$4:$AI$671,1)-1,5,BE1509),2,FALSE),IF(OR(AW1509=1,AW1509=2),VLOOKUP(AU1509,INDEX((係数_乗用_ガソリン,係数_乗用_CNG,係数_乗用_軽油,係数_乗用_メタノール,係数_乗用_LPG),1,1,BE1509):INDEX((係数_乗用_ガソリン,係数_乗用_CNG,係数_乗用_軽油,係数_乗用_メタノール,係数_乗用_LPG),125,5,BE1509),2,FALSE))))))</f>
        <v/>
      </c>
      <c r="BB1509" s="468" t="str">
        <f>IF(T1509="","",IF(OR(AU1509="",AU1509="-"),"－",IF(OR(AZ1509=8,AZ1509=9),"",IF(OR(AW1509=3,AW1509=4,AW1509=5,AW1509=6),VLOOKUP(AU1509,INDEX((係数_バス貨物_ガソリン,係数_バス貨物_CNG,係数_バス貨物_軽油,係数_バス貨物_メタノール,係数_バス貨物_LPG),MATCH(AY1509,【参考】排出係数!$AI$4:$AI$671,1),1,BE1509):INDEX((係数_バス貨物_ガソリン,係数_バス貨物_CNG,係数_バス貨物_軽油,係数_バス貨物_メタノール,係数_バス貨物_LPG),MATCH(AY1509+1,【参考】排出係数!$AI$4:$AI$671,1)-1,5,BE1509),3,FALSE),IF(OR(AW1509=1,AW1509=2),VLOOKUP(AU1509,INDEX((係数_乗用_ガソリン,係数_乗用_CNG,係数_乗用_軽油,係数_乗用_メタノール,係数_乗用_LPG),1,1,BE1509):INDEX((係数_乗用_ガソリン,係数_乗用_CNG,係数_乗用_軽油,係数_乗用_メタノール,係数_乗用_LPG),125,5,BE1509),3,FALSE))))))</f>
        <v/>
      </c>
      <c r="BC1509" s="467" t="str">
        <f t="shared" si="862"/>
        <v/>
      </c>
      <c r="BD1509" s="567" t="str">
        <f t="shared" si="863"/>
        <v/>
      </c>
      <c r="BE1509" s="467" t="str">
        <f t="shared" si="864"/>
        <v/>
      </c>
      <c r="BF1509" s="469" t="str">
        <f t="shared" ca="1" si="865"/>
        <v/>
      </c>
      <c r="BG1509" s="469" t="str">
        <f t="shared" ca="1" si="866"/>
        <v/>
      </c>
      <c r="BH1509" s="467" t="str">
        <f t="shared" si="867"/>
        <v/>
      </c>
      <c r="BI1509" s="467" t="str">
        <f t="shared" ca="1" si="868"/>
        <v/>
      </c>
      <c r="BJ1509" s="469" t="str">
        <f t="shared" si="869"/>
        <v/>
      </c>
      <c r="BK1509" s="470" t="str">
        <f t="shared" si="853"/>
        <v/>
      </c>
      <c r="BL1509" s="775" t="str">
        <f t="shared" si="870"/>
        <v/>
      </c>
      <c r="BM1509" s="775" t="str">
        <f t="shared" si="871"/>
        <v/>
      </c>
    </row>
    <row r="1510" spans="1:65">
      <c r="A1510" s="473">
        <v>1454</v>
      </c>
      <c r="B1510" s="132"/>
      <c r="C1510" s="332"/>
      <c r="D1510" s="333"/>
      <c r="E1510" s="333"/>
      <c r="F1510" s="334"/>
      <c r="G1510" s="337"/>
      <c r="H1510" s="131"/>
      <c r="I1510" s="337"/>
      <c r="J1510" s="131"/>
      <c r="K1510" s="458" t="str">
        <f t="shared" si="834"/>
        <v/>
      </c>
      <c r="L1510" s="458">
        <f t="shared" si="835"/>
        <v>0</v>
      </c>
      <c r="M1510" s="458">
        <f t="shared" si="836"/>
        <v>0</v>
      </c>
      <c r="N1510" s="459" t="str">
        <f t="shared" si="847"/>
        <v/>
      </c>
      <c r="O1510" s="459" t="str">
        <f t="shared" si="848"/>
        <v/>
      </c>
      <c r="P1510" s="459" t="str">
        <f t="shared" si="849"/>
        <v/>
      </c>
      <c r="Q1510" s="459" t="str">
        <f t="shared" si="850"/>
        <v/>
      </c>
      <c r="R1510" s="459" t="str">
        <f t="shared" si="851"/>
        <v/>
      </c>
      <c r="S1510" s="459" t="str">
        <f t="shared" si="852"/>
        <v/>
      </c>
      <c r="T1510" s="566" t="str">
        <f t="shared" si="837"/>
        <v/>
      </c>
      <c r="U1510" s="702"/>
      <c r="V1510" s="132"/>
      <c r="W1510" s="133"/>
      <c r="X1510" s="134"/>
      <c r="Y1510" s="135"/>
      <c r="Z1510" s="137"/>
      <c r="AA1510" s="136"/>
      <c r="AB1510" s="566" t="str">
        <f t="shared" si="838"/>
        <v/>
      </c>
      <c r="AC1510" s="568" t="str">
        <f t="shared" si="839"/>
        <v/>
      </c>
      <c r="AD1510" s="137"/>
      <c r="AE1510" s="137"/>
      <c r="AF1510" s="138"/>
      <c r="AG1510" s="138"/>
      <c r="AH1510" s="592" t="str">
        <f t="shared" si="840"/>
        <v/>
      </c>
      <c r="AI1510" s="592" t="str">
        <f t="shared" si="841"/>
        <v/>
      </c>
      <c r="AJ1510" s="592" t="str">
        <f t="shared" si="842"/>
        <v/>
      </c>
      <c r="AK1510" s="460" t="str">
        <f>IF(AU1510="","",IF(OR(AZ1510=8,AZ1510=9),0,IF(OR(AW1510=3,AW1510=4,AW1510=5,AW1510=6),IF(LEFT(BF1510,1)="1",INDEX(係数_NOX・PM低減,MATCH(AY1510,【参考】排出係数!$AI$801:$AI$804,1),1),VLOOKUP(AU1510,INDEX((係数_バス貨物_ガソリン,係数_バス貨物_CNG,係数_バス貨物_軽油,係数_バス貨物_メタノール,係数_バス貨物_LPG),MATCH(AY1510,【参考】排出係数!$AI$4:$AI$671,1),1,BE1510):INDEX((係数_バス貨物_ガソリン,係数_バス貨物_CNG,係数_バス貨物_軽油,係数_バス貨物_メタノール,係数_バス貨物_LPG),MATCH(AY1510+1,【参考】排出係数!$AI$4:$AI$671,1)-1,5,BE1510),4,FALSE)),IF(AND(BE1510=3,LEFT(BF1510,1)="1"),0.48,VLOOKUP(AU1510,INDEX((係数_乗用_ガソリン,係数_乗用_CNG,係数_乗用_軽油,係数_乗用_メタノール,係数_乗用_LPG),1,1,BE1510):INDEX((係数_乗用_ガソリン,係数_乗用_CNG,係数_乗用_軽油,係数_乗用_メタノール,係数_乗用_LPG),125,5,BE1510),4,FALSE)))))</f>
        <v/>
      </c>
      <c r="AL1510" s="461" t="str">
        <f t="shared" si="843"/>
        <v/>
      </c>
      <c r="AM1510" s="460" t="str">
        <f>IF(AU1510="","",IF(OR(AZ1510=8,AZ1510=9),0,IF(OR(AW1510=3,AW1510=4,AW1510=5,AW1510=6),IF(LEFT(BH1510,1)="1",INDEX(係数_PM低減,MATCH(AY1510,【参考】排出係数!$AI$801:$AI$804,1),MATCH(BI1510,【参考】排出係数!$AL$798:$AO$798,1)),VLOOKUP(AU1510,INDEX((係数_バス貨物_ガソリン,係数_バス貨物_CNG,係数_バス貨物_軽油,係数_バス貨物_メタノール,係数_バス貨物_LPG),MATCH(AY1510,【参考】排出係数!$AI$4:$AI$671,1),1,BE1510):INDEX((係数_バス貨物_ガソリン,係数_バス貨物_CNG,係数_バス貨物_軽油,係数_バス貨物_メタノール,係数_バス貨物_LPG),MATCH(AY1510+1,【参考】排出係数!$AI$4:$AI$671,1)-1,5,BE1510),5,FALSE)),IF(AND(BE1510=3,LEFT(BF1510,1)="1"),0.055,VLOOKUP(AU1510,INDEX((係数_乗用_ガソリン,係数_乗用_CNG,係数_乗用_軽油,係数_乗用_メタノール,係数_乗用_LPG),1,1,BE1510):INDEX((係数_乗用_ガソリン,係数_乗用_CNG,係数_乗用_軽油,係数_乗用_メタノール,係数_乗用_LPG),125,5,BE1510),5,FALSE)))))</f>
        <v/>
      </c>
      <c r="AN1510" s="461" t="str">
        <f t="shared" si="844"/>
        <v/>
      </c>
      <c r="AO1510" s="462" t="str">
        <f t="shared" si="845"/>
        <v/>
      </c>
      <c r="AP1510" s="463" t="str">
        <f t="shared" si="846"/>
        <v/>
      </c>
      <c r="AQ1510" s="464"/>
      <c r="AR1510" s="619"/>
      <c r="AS1510" s="465" t="str">
        <f t="shared" si="854"/>
        <v/>
      </c>
      <c r="AT1510" s="465" t="str">
        <f t="shared" si="855"/>
        <v/>
      </c>
      <c r="AU1510" s="466" t="str">
        <f t="shared" si="856"/>
        <v/>
      </c>
      <c r="AV1510" s="467" t="str">
        <f t="shared" si="857"/>
        <v/>
      </c>
      <c r="AW1510" s="467" t="str">
        <f t="shared" si="858"/>
        <v/>
      </c>
      <c r="AX1510" s="467" t="str">
        <f t="shared" si="859"/>
        <v/>
      </c>
      <c r="AY1510" s="467" t="str">
        <f t="shared" si="860"/>
        <v/>
      </c>
      <c r="AZ1510" s="467" t="str">
        <f t="shared" si="861"/>
        <v/>
      </c>
      <c r="BA1510" s="468" t="str">
        <f>IF(AS1510="","",IF(OR(AU1510="",AU1510="-"),"－",IF(OR(AZ1510=8,AZ1510=9),"",IF(OR(AW1510=3,AW1510=4,AW1510=5,AW1510=6),VLOOKUP(AU1510,INDEX((係数_バス貨物_ガソリン,係数_バス貨物_CNG,係数_バス貨物_軽油,係数_バス貨物_メタノール,係数_バス貨物_LPG),MATCH(AY1510,【参考】排出係数!$AI$4:$AI$671,1),1,BE1510):INDEX((係数_バス貨物_ガソリン,係数_バス貨物_CNG,係数_バス貨物_軽油,係数_バス貨物_メタノール,係数_バス貨物_LPG),MATCH(AY1510+1,【参考】排出係数!$AI$4:$AI$671,1)-1,5,BE1510),2,FALSE),IF(OR(AW1510=1,AW1510=2),VLOOKUP(AU1510,INDEX((係数_乗用_ガソリン,係数_乗用_CNG,係数_乗用_軽油,係数_乗用_メタノール,係数_乗用_LPG),1,1,BE1510):INDEX((係数_乗用_ガソリン,係数_乗用_CNG,係数_乗用_軽油,係数_乗用_メタノール,係数_乗用_LPG),125,5,BE1510),2,FALSE))))))</f>
        <v/>
      </c>
      <c r="BB1510" s="468" t="str">
        <f>IF(T1510="","",IF(OR(AU1510="",AU1510="-"),"－",IF(OR(AZ1510=8,AZ1510=9),"",IF(OR(AW1510=3,AW1510=4,AW1510=5,AW1510=6),VLOOKUP(AU1510,INDEX((係数_バス貨物_ガソリン,係数_バス貨物_CNG,係数_バス貨物_軽油,係数_バス貨物_メタノール,係数_バス貨物_LPG),MATCH(AY1510,【参考】排出係数!$AI$4:$AI$671,1),1,BE1510):INDEX((係数_バス貨物_ガソリン,係数_バス貨物_CNG,係数_バス貨物_軽油,係数_バス貨物_メタノール,係数_バス貨物_LPG),MATCH(AY1510+1,【参考】排出係数!$AI$4:$AI$671,1)-1,5,BE1510),3,FALSE),IF(OR(AW1510=1,AW1510=2),VLOOKUP(AU1510,INDEX((係数_乗用_ガソリン,係数_乗用_CNG,係数_乗用_軽油,係数_乗用_メタノール,係数_乗用_LPG),1,1,BE1510):INDEX((係数_乗用_ガソリン,係数_乗用_CNG,係数_乗用_軽油,係数_乗用_メタノール,係数_乗用_LPG),125,5,BE1510),3,FALSE))))))</f>
        <v/>
      </c>
      <c r="BC1510" s="467" t="str">
        <f t="shared" si="862"/>
        <v/>
      </c>
      <c r="BD1510" s="567" t="str">
        <f t="shared" si="863"/>
        <v/>
      </c>
      <c r="BE1510" s="467" t="str">
        <f t="shared" si="864"/>
        <v/>
      </c>
      <c r="BF1510" s="469" t="str">
        <f t="shared" ca="1" si="865"/>
        <v/>
      </c>
      <c r="BG1510" s="469" t="str">
        <f t="shared" ca="1" si="866"/>
        <v/>
      </c>
      <c r="BH1510" s="467" t="str">
        <f t="shared" si="867"/>
        <v/>
      </c>
      <c r="BI1510" s="467" t="str">
        <f t="shared" ca="1" si="868"/>
        <v/>
      </c>
      <c r="BJ1510" s="469" t="str">
        <f t="shared" si="869"/>
        <v/>
      </c>
      <c r="BK1510" s="470" t="str">
        <f t="shared" si="853"/>
        <v/>
      </c>
      <c r="BL1510" s="775" t="str">
        <f t="shared" si="870"/>
        <v/>
      </c>
      <c r="BM1510" s="775" t="str">
        <f t="shared" si="871"/>
        <v/>
      </c>
    </row>
    <row r="1511" spans="1:65">
      <c r="A1511" s="473">
        <v>1455</v>
      </c>
      <c r="B1511" s="132"/>
      <c r="C1511" s="332"/>
      <c r="D1511" s="333"/>
      <c r="E1511" s="333"/>
      <c r="F1511" s="334"/>
      <c r="G1511" s="337"/>
      <c r="H1511" s="131"/>
      <c r="I1511" s="337"/>
      <c r="J1511" s="131"/>
      <c r="K1511" s="458" t="str">
        <f t="shared" si="834"/>
        <v/>
      </c>
      <c r="L1511" s="458">
        <f t="shared" si="835"/>
        <v>0</v>
      </c>
      <c r="M1511" s="458">
        <f t="shared" si="836"/>
        <v>0</v>
      </c>
      <c r="N1511" s="459" t="str">
        <f t="shared" si="847"/>
        <v/>
      </c>
      <c r="O1511" s="459" t="str">
        <f t="shared" si="848"/>
        <v/>
      </c>
      <c r="P1511" s="459" t="str">
        <f t="shared" si="849"/>
        <v/>
      </c>
      <c r="Q1511" s="459" t="str">
        <f t="shared" si="850"/>
        <v/>
      </c>
      <c r="R1511" s="459" t="str">
        <f t="shared" si="851"/>
        <v/>
      </c>
      <c r="S1511" s="459" t="str">
        <f t="shared" si="852"/>
        <v/>
      </c>
      <c r="T1511" s="566" t="str">
        <f t="shared" si="837"/>
        <v/>
      </c>
      <c r="U1511" s="702"/>
      <c r="V1511" s="132"/>
      <c r="W1511" s="133"/>
      <c r="X1511" s="134"/>
      <c r="Y1511" s="135"/>
      <c r="Z1511" s="137"/>
      <c r="AA1511" s="136"/>
      <c r="AB1511" s="566" t="str">
        <f t="shared" si="838"/>
        <v/>
      </c>
      <c r="AC1511" s="568" t="str">
        <f t="shared" si="839"/>
        <v/>
      </c>
      <c r="AD1511" s="137"/>
      <c r="AE1511" s="137"/>
      <c r="AF1511" s="138"/>
      <c r="AG1511" s="138"/>
      <c r="AH1511" s="592" t="str">
        <f t="shared" si="840"/>
        <v/>
      </c>
      <c r="AI1511" s="592" t="str">
        <f t="shared" si="841"/>
        <v/>
      </c>
      <c r="AJ1511" s="592" t="str">
        <f t="shared" si="842"/>
        <v/>
      </c>
      <c r="AK1511" s="460" t="str">
        <f>IF(AU1511="","",IF(OR(AZ1511=8,AZ1511=9),0,IF(OR(AW1511=3,AW1511=4,AW1511=5,AW1511=6),IF(LEFT(BF1511,1)="1",INDEX(係数_NOX・PM低減,MATCH(AY1511,【参考】排出係数!$AI$801:$AI$804,1),1),VLOOKUP(AU1511,INDEX((係数_バス貨物_ガソリン,係数_バス貨物_CNG,係数_バス貨物_軽油,係数_バス貨物_メタノール,係数_バス貨物_LPG),MATCH(AY1511,【参考】排出係数!$AI$4:$AI$671,1),1,BE1511):INDEX((係数_バス貨物_ガソリン,係数_バス貨物_CNG,係数_バス貨物_軽油,係数_バス貨物_メタノール,係数_バス貨物_LPG),MATCH(AY1511+1,【参考】排出係数!$AI$4:$AI$671,1)-1,5,BE1511),4,FALSE)),IF(AND(BE1511=3,LEFT(BF1511,1)="1"),0.48,VLOOKUP(AU1511,INDEX((係数_乗用_ガソリン,係数_乗用_CNG,係数_乗用_軽油,係数_乗用_メタノール,係数_乗用_LPG),1,1,BE1511):INDEX((係数_乗用_ガソリン,係数_乗用_CNG,係数_乗用_軽油,係数_乗用_メタノール,係数_乗用_LPG),125,5,BE1511),4,FALSE)))))</f>
        <v/>
      </c>
      <c r="AL1511" s="461" t="str">
        <f t="shared" si="843"/>
        <v/>
      </c>
      <c r="AM1511" s="460" t="str">
        <f>IF(AU1511="","",IF(OR(AZ1511=8,AZ1511=9),0,IF(OR(AW1511=3,AW1511=4,AW1511=5,AW1511=6),IF(LEFT(BH1511,1)="1",INDEX(係数_PM低減,MATCH(AY1511,【参考】排出係数!$AI$801:$AI$804,1),MATCH(BI1511,【参考】排出係数!$AL$798:$AO$798,1)),VLOOKUP(AU1511,INDEX((係数_バス貨物_ガソリン,係数_バス貨物_CNG,係数_バス貨物_軽油,係数_バス貨物_メタノール,係数_バス貨物_LPG),MATCH(AY1511,【参考】排出係数!$AI$4:$AI$671,1),1,BE1511):INDEX((係数_バス貨物_ガソリン,係数_バス貨物_CNG,係数_バス貨物_軽油,係数_バス貨物_メタノール,係数_バス貨物_LPG),MATCH(AY1511+1,【参考】排出係数!$AI$4:$AI$671,1)-1,5,BE1511),5,FALSE)),IF(AND(BE1511=3,LEFT(BF1511,1)="1"),0.055,VLOOKUP(AU1511,INDEX((係数_乗用_ガソリン,係数_乗用_CNG,係数_乗用_軽油,係数_乗用_メタノール,係数_乗用_LPG),1,1,BE1511):INDEX((係数_乗用_ガソリン,係数_乗用_CNG,係数_乗用_軽油,係数_乗用_メタノール,係数_乗用_LPG),125,5,BE1511),5,FALSE)))))</f>
        <v/>
      </c>
      <c r="AN1511" s="461" t="str">
        <f t="shared" si="844"/>
        <v/>
      </c>
      <c r="AO1511" s="462" t="str">
        <f t="shared" si="845"/>
        <v/>
      </c>
      <c r="AP1511" s="463" t="str">
        <f t="shared" si="846"/>
        <v/>
      </c>
      <c r="AQ1511" s="464"/>
      <c r="AR1511" s="619"/>
      <c r="AS1511" s="465" t="str">
        <f t="shared" si="854"/>
        <v/>
      </c>
      <c r="AT1511" s="465" t="str">
        <f t="shared" si="855"/>
        <v/>
      </c>
      <c r="AU1511" s="466" t="str">
        <f t="shared" si="856"/>
        <v/>
      </c>
      <c r="AV1511" s="467" t="str">
        <f t="shared" si="857"/>
        <v/>
      </c>
      <c r="AW1511" s="467" t="str">
        <f t="shared" si="858"/>
        <v/>
      </c>
      <c r="AX1511" s="467" t="str">
        <f t="shared" si="859"/>
        <v/>
      </c>
      <c r="AY1511" s="467" t="str">
        <f t="shared" si="860"/>
        <v/>
      </c>
      <c r="AZ1511" s="467" t="str">
        <f t="shared" si="861"/>
        <v/>
      </c>
      <c r="BA1511" s="468" t="str">
        <f>IF(AS1511="","",IF(OR(AU1511="",AU1511="-"),"－",IF(OR(AZ1511=8,AZ1511=9),"",IF(OR(AW1511=3,AW1511=4,AW1511=5,AW1511=6),VLOOKUP(AU1511,INDEX((係数_バス貨物_ガソリン,係数_バス貨物_CNG,係数_バス貨物_軽油,係数_バス貨物_メタノール,係数_バス貨物_LPG),MATCH(AY1511,【参考】排出係数!$AI$4:$AI$671,1),1,BE1511):INDEX((係数_バス貨物_ガソリン,係数_バス貨物_CNG,係数_バス貨物_軽油,係数_バス貨物_メタノール,係数_バス貨物_LPG),MATCH(AY1511+1,【参考】排出係数!$AI$4:$AI$671,1)-1,5,BE1511),2,FALSE),IF(OR(AW1511=1,AW1511=2),VLOOKUP(AU1511,INDEX((係数_乗用_ガソリン,係数_乗用_CNG,係数_乗用_軽油,係数_乗用_メタノール,係数_乗用_LPG),1,1,BE1511):INDEX((係数_乗用_ガソリン,係数_乗用_CNG,係数_乗用_軽油,係数_乗用_メタノール,係数_乗用_LPG),125,5,BE1511),2,FALSE))))))</f>
        <v/>
      </c>
      <c r="BB1511" s="468" t="str">
        <f>IF(T1511="","",IF(OR(AU1511="",AU1511="-"),"－",IF(OR(AZ1511=8,AZ1511=9),"",IF(OR(AW1511=3,AW1511=4,AW1511=5,AW1511=6),VLOOKUP(AU1511,INDEX((係数_バス貨物_ガソリン,係数_バス貨物_CNG,係数_バス貨物_軽油,係数_バス貨物_メタノール,係数_バス貨物_LPG),MATCH(AY1511,【参考】排出係数!$AI$4:$AI$671,1),1,BE1511):INDEX((係数_バス貨物_ガソリン,係数_バス貨物_CNG,係数_バス貨物_軽油,係数_バス貨物_メタノール,係数_バス貨物_LPG),MATCH(AY1511+1,【参考】排出係数!$AI$4:$AI$671,1)-1,5,BE1511),3,FALSE),IF(OR(AW1511=1,AW1511=2),VLOOKUP(AU1511,INDEX((係数_乗用_ガソリン,係数_乗用_CNG,係数_乗用_軽油,係数_乗用_メタノール,係数_乗用_LPG),1,1,BE1511):INDEX((係数_乗用_ガソリン,係数_乗用_CNG,係数_乗用_軽油,係数_乗用_メタノール,係数_乗用_LPG),125,5,BE1511),3,FALSE))))))</f>
        <v/>
      </c>
      <c r="BC1511" s="467" t="str">
        <f t="shared" si="862"/>
        <v/>
      </c>
      <c r="BD1511" s="567" t="str">
        <f t="shared" si="863"/>
        <v/>
      </c>
      <c r="BE1511" s="467" t="str">
        <f t="shared" si="864"/>
        <v/>
      </c>
      <c r="BF1511" s="469" t="str">
        <f t="shared" ca="1" si="865"/>
        <v/>
      </c>
      <c r="BG1511" s="469" t="str">
        <f t="shared" ca="1" si="866"/>
        <v/>
      </c>
      <c r="BH1511" s="467" t="str">
        <f t="shared" si="867"/>
        <v/>
      </c>
      <c r="BI1511" s="467" t="str">
        <f t="shared" ca="1" si="868"/>
        <v/>
      </c>
      <c r="BJ1511" s="469" t="str">
        <f t="shared" si="869"/>
        <v/>
      </c>
      <c r="BK1511" s="470" t="str">
        <f t="shared" si="853"/>
        <v/>
      </c>
      <c r="BL1511" s="775" t="str">
        <f t="shared" si="870"/>
        <v/>
      </c>
      <c r="BM1511" s="775" t="str">
        <f t="shared" si="871"/>
        <v/>
      </c>
    </row>
    <row r="1512" spans="1:65">
      <c r="A1512" s="473">
        <v>1456</v>
      </c>
      <c r="B1512" s="132"/>
      <c r="C1512" s="332"/>
      <c r="D1512" s="333"/>
      <c r="E1512" s="333"/>
      <c r="F1512" s="334"/>
      <c r="G1512" s="337"/>
      <c r="H1512" s="131"/>
      <c r="I1512" s="337"/>
      <c r="J1512" s="131"/>
      <c r="K1512" s="458" t="str">
        <f t="shared" si="834"/>
        <v/>
      </c>
      <c r="L1512" s="458">
        <f t="shared" si="835"/>
        <v>0</v>
      </c>
      <c r="M1512" s="458">
        <f t="shared" si="836"/>
        <v>0</v>
      </c>
      <c r="N1512" s="459" t="str">
        <f t="shared" si="847"/>
        <v/>
      </c>
      <c r="O1512" s="459" t="str">
        <f t="shared" si="848"/>
        <v/>
      </c>
      <c r="P1512" s="459" t="str">
        <f t="shared" si="849"/>
        <v/>
      </c>
      <c r="Q1512" s="459" t="str">
        <f t="shared" si="850"/>
        <v/>
      </c>
      <c r="R1512" s="459" t="str">
        <f t="shared" si="851"/>
        <v/>
      </c>
      <c r="S1512" s="459" t="str">
        <f t="shared" si="852"/>
        <v/>
      </c>
      <c r="T1512" s="566" t="str">
        <f t="shared" si="837"/>
        <v/>
      </c>
      <c r="U1512" s="702"/>
      <c r="V1512" s="132"/>
      <c r="W1512" s="133"/>
      <c r="X1512" s="134"/>
      <c r="Y1512" s="135"/>
      <c r="Z1512" s="137"/>
      <c r="AA1512" s="136"/>
      <c r="AB1512" s="566" t="str">
        <f t="shared" si="838"/>
        <v/>
      </c>
      <c r="AC1512" s="568" t="str">
        <f t="shared" si="839"/>
        <v/>
      </c>
      <c r="AD1512" s="137"/>
      <c r="AE1512" s="137"/>
      <c r="AF1512" s="138"/>
      <c r="AG1512" s="138"/>
      <c r="AH1512" s="592" t="str">
        <f t="shared" si="840"/>
        <v/>
      </c>
      <c r="AI1512" s="592" t="str">
        <f t="shared" si="841"/>
        <v/>
      </c>
      <c r="AJ1512" s="592" t="str">
        <f t="shared" si="842"/>
        <v/>
      </c>
      <c r="AK1512" s="460" t="str">
        <f>IF(AU1512="","",IF(OR(AZ1512=8,AZ1512=9),0,IF(OR(AW1512=3,AW1512=4,AW1512=5,AW1512=6),IF(LEFT(BF1512,1)="1",INDEX(係数_NOX・PM低減,MATCH(AY1512,【参考】排出係数!$AI$801:$AI$804,1),1),VLOOKUP(AU1512,INDEX((係数_バス貨物_ガソリン,係数_バス貨物_CNG,係数_バス貨物_軽油,係数_バス貨物_メタノール,係数_バス貨物_LPG),MATCH(AY1512,【参考】排出係数!$AI$4:$AI$671,1),1,BE1512):INDEX((係数_バス貨物_ガソリン,係数_バス貨物_CNG,係数_バス貨物_軽油,係数_バス貨物_メタノール,係数_バス貨物_LPG),MATCH(AY1512+1,【参考】排出係数!$AI$4:$AI$671,1)-1,5,BE1512),4,FALSE)),IF(AND(BE1512=3,LEFT(BF1512,1)="1"),0.48,VLOOKUP(AU1512,INDEX((係数_乗用_ガソリン,係数_乗用_CNG,係数_乗用_軽油,係数_乗用_メタノール,係数_乗用_LPG),1,1,BE1512):INDEX((係数_乗用_ガソリン,係数_乗用_CNG,係数_乗用_軽油,係数_乗用_メタノール,係数_乗用_LPG),125,5,BE1512),4,FALSE)))))</f>
        <v/>
      </c>
      <c r="AL1512" s="461" t="str">
        <f t="shared" si="843"/>
        <v/>
      </c>
      <c r="AM1512" s="460" t="str">
        <f>IF(AU1512="","",IF(OR(AZ1512=8,AZ1512=9),0,IF(OR(AW1512=3,AW1512=4,AW1512=5,AW1512=6),IF(LEFT(BH1512,1)="1",INDEX(係数_PM低減,MATCH(AY1512,【参考】排出係数!$AI$801:$AI$804,1),MATCH(BI1512,【参考】排出係数!$AL$798:$AO$798,1)),VLOOKUP(AU1512,INDEX((係数_バス貨物_ガソリン,係数_バス貨物_CNG,係数_バス貨物_軽油,係数_バス貨物_メタノール,係数_バス貨物_LPG),MATCH(AY1512,【参考】排出係数!$AI$4:$AI$671,1),1,BE1512):INDEX((係数_バス貨物_ガソリン,係数_バス貨物_CNG,係数_バス貨物_軽油,係数_バス貨物_メタノール,係数_バス貨物_LPG),MATCH(AY1512+1,【参考】排出係数!$AI$4:$AI$671,1)-1,5,BE1512),5,FALSE)),IF(AND(BE1512=3,LEFT(BF1512,1)="1"),0.055,VLOOKUP(AU1512,INDEX((係数_乗用_ガソリン,係数_乗用_CNG,係数_乗用_軽油,係数_乗用_メタノール,係数_乗用_LPG),1,1,BE1512):INDEX((係数_乗用_ガソリン,係数_乗用_CNG,係数_乗用_軽油,係数_乗用_メタノール,係数_乗用_LPG),125,5,BE1512),5,FALSE)))))</f>
        <v/>
      </c>
      <c r="AN1512" s="461" t="str">
        <f t="shared" si="844"/>
        <v/>
      </c>
      <c r="AO1512" s="462" t="str">
        <f t="shared" si="845"/>
        <v/>
      </c>
      <c r="AP1512" s="463" t="str">
        <f t="shared" si="846"/>
        <v/>
      </c>
      <c r="AQ1512" s="464"/>
      <c r="AR1512" s="619"/>
      <c r="AS1512" s="465" t="str">
        <f t="shared" si="854"/>
        <v/>
      </c>
      <c r="AT1512" s="465" t="str">
        <f t="shared" si="855"/>
        <v/>
      </c>
      <c r="AU1512" s="466" t="str">
        <f t="shared" si="856"/>
        <v/>
      </c>
      <c r="AV1512" s="467" t="str">
        <f t="shared" si="857"/>
        <v/>
      </c>
      <c r="AW1512" s="467" t="str">
        <f t="shared" si="858"/>
        <v/>
      </c>
      <c r="AX1512" s="467" t="str">
        <f t="shared" si="859"/>
        <v/>
      </c>
      <c r="AY1512" s="467" t="str">
        <f t="shared" si="860"/>
        <v/>
      </c>
      <c r="AZ1512" s="467" t="str">
        <f t="shared" si="861"/>
        <v/>
      </c>
      <c r="BA1512" s="468" t="str">
        <f>IF(AS1512="","",IF(OR(AU1512="",AU1512="-"),"－",IF(OR(AZ1512=8,AZ1512=9),"",IF(OR(AW1512=3,AW1512=4,AW1512=5,AW1512=6),VLOOKUP(AU1512,INDEX((係数_バス貨物_ガソリン,係数_バス貨物_CNG,係数_バス貨物_軽油,係数_バス貨物_メタノール,係数_バス貨物_LPG),MATCH(AY1512,【参考】排出係数!$AI$4:$AI$671,1),1,BE1512):INDEX((係数_バス貨物_ガソリン,係数_バス貨物_CNG,係数_バス貨物_軽油,係数_バス貨物_メタノール,係数_バス貨物_LPG),MATCH(AY1512+1,【参考】排出係数!$AI$4:$AI$671,1)-1,5,BE1512),2,FALSE),IF(OR(AW1512=1,AW1512=2),VLOOKUP(AU1512,INDEX((係数_乗用_ガソリン,係数_乗用_CNG,係数_乗用_軽油,係数_乗用_メタノール,係数_乗用_LPG),1,1,BE1512):INDEX((係数_乗用_ガソリン,係数_乗用_CNG,係数_乗用_軽油,係数_乗用_メタノール,係数_乗用_LPG),125,5,BE1512),2,FALSE))))))</f>
        <v/>
      </c>
      <c r="BB1512" s="468" t="str">
        <f>IF(T1512="","",IF(OR(AU1512="",AU1512="-"),"－",IF(OR(AZ1512=8,AZ1512=9),"",IF(OR(AW1512=3,AW1512=4,AW1512=5,AW1512=6),VLOOKUP(AU1512,INDEX((係数_バス貨物_ガソリン,係数_バス貨物_CNG,係数_バス貨物_軽油,係数_バス貨物_メタノール,係数_バス貨物_LPG),MATCH(AY1512,【参考】排出係数!$AI$4:$AI$671,1),1,BE1512):INDEX((係数_バス貨物_ガソリン,係数_バス貨物_CNG,係数_バス貨物_軽油,係数_バス貨物_メタノール,係数_バス貨物_LPG),MATCH(AY1512+1,【参考】排出係数!$AI$4:$AI$671,1)-1,5,BE1512),3,FALSE),IF(OR(AW1512=1,AW1512=2),VLOOKUP(AU1512,INDEX((係数_乗用_ガソリン,係数_乗用_CNG,係数_乗用_軽油,係数_乗用_メタノール,係数_乗用_LPG),1,1,BE1512):INDEX((係数_乗用_ガソリン,係数_乗用_CNG,係数_乗用_軽油,係数_乗用_メタノール,係数_乗用_LPG),125,5,BE1512),3,FALSE))))))</f>
        <v/>
      </c>
      <c r="BC1512" s="467" t="str">
        <f t="shared" si="862"/>
        <v/>
      </c>
      <c r="BD1512" s="567" t="str">
        <f t="shared" si="863"/>
        <v/>
      </c>
      <c r="BE1512" s="467" t="str">
        <f t="shared" si="864"/>
        <v/>
      </c>
      <c r="BF1512" s="469" t="str">
        <f t="shared" ca="1" si="865"/>
        <v/>
      </c>
      <c r="BG1512" s="469" t="str">
        <f t="shared" ca="1" si="866"/>
        <v/>
      </c>
      <c r="BH1512" s="467" t="str">
        <f t="shared" si="867"/>
        <v/>
      </c>
      <c r="BI1512" s="467" t="str">
        <f t="shared" ca="1" si="868"/>
        <v/>
      </c>
      <c r="BJ1512" s="469" t="str">
        <f t="shared" si="869"/>
        <v/>
      </c>
      <c r="BK1512" s="470" t="str">
        <f t="shared" si="853"/>
        <v/>
      </c>
      <c r="BL1512" s="775" t="str">
        <f t="shared" si="870"/>
        <v/>
      </c>
      <c r="BM1512" s="775" t="str">
        <f t="shared" si="871"/>
        <v/>
      </c>
    </row>
    <row r="1513" spans="1:65">
      <c r="A1513" s="473">
        <v>1457</v>
      </c>
      <c r="B1513" s="132"/>
      <c r="C1513" s="332"/>
      <c r="D1513" s="333"/>
      <c r="E1513" s="333"/>
      <c r="F1513" s="334"/>
      <c r="G1513" s="337"/>
      <c r="H1513" s="131"/>
      <c r="I1513" s="337"/>
      <c r="J1513" s="131"/>
      <c r="K1513" s="458" t="str">
        <f t="shared" si="834"/>
        <v/>
      </c>
      <c r="L1513" s="458">
        <f t="shared" si="835"/>
        <v>0</v>
      </c>
      <c r="M1513" s="458">
        <f t="shared" si="836"/>
        <v>0</v>
      </c>
      <c r="N1513" s="459" t="str">
        <f t="shared" si="847"/>
        <v/>
      </c>
      <c r="O1513" s="459" t="str">
        <f t="shared" si="848"/>
        <v/>
      </c>
      <c r="P1513" s="459" t="str">
        <f t="shared" si="849"/>
        <v/>
      </c>
      <c r="Q1513" s="459" t="str">
        <f t="shared" si="850"/>
        <v/>
      </c>
      <c r="R1513" s="459" t="str">
        <f t="shared" si="851"/>
        <v/>
      </c>
      <c r="S1513" s="459" t="str">
        <f t="shared" si="852"/>
        <v/>
      </c>
      <c r="T1513" s="566" t="str">
        <f t="shared" si="837"/>
        <v/>
      </c>
      <c r="U1513" s="702"/>
      <c r="V1513" s="132"/>
      <c r="W1513" s="133"/>
      <c r="X1513" s="134"/>
      <c r="Y1513" s="135"/>
      <c r="Z1513" s="137"/>
      <c r="AA1513" s="136"/>
      <c r="AB1513" s="566" t="str">
        <f t="shared" si="838"/>
        <v/>
      </c>
      <c r="AC1513" s="568" t="str">
        <f t="shared" si="839"/>
        <v/>
      </c>
      <c r="AD1513" s="137"/>
      <c r="AE1513" s="137"/>
      <c r="AF1513" s="138"/>
      <c r="AG1513" s="138"/>
      <c r="AH1513" s="592" t="str">
        <f t="shared" si="840"/>
        <v/>
      </c>
      <c r="AI1513" s="592" t="str">
        <f t="shared" si="841"/>
        <v/>
      </c>
      <c r="AJ1513" s="592" t="str">
        <f t="shared" si="842"/>
        <v/>
      </c>
      <c r="AK1513" s="460" t="str">
        <f>IF(AU1513="","",IF(OR(AZ1513=8,AZ1513=9),0,IF(OR(AW1513=3,AW1513=4,AW1513=5,AW1513=6),IF(LEFT(BF1513,1)="1",INDEX(係数_NOX・PM低減,MATCH(AY1513,【参考】排出係数!$AI$801:$AI$804,1),1),VLOOKUP(AU1513,INDEX((係数_バス貨物_ガソリン,係数_バス貨物_CNG,係数_バス貨物_軽油,係数_バス貨物_メタノール,係数_バス貨物_LPG),MATCH(AY1513,【参考】排出係数!$AI$4:$AI$671,1),1,BE1513):INDEX((係数_バス貨物_ガソリン,係数_バス貨物_CNG,係数_バス貨物_軽油,係数_バス貨物_メタノール,係数_バス貨物_LPG),MATCH(AY1513+1,【参考】排出係数!$AI$4:$AI$671,1)-1,5,BE1513),4,FALSE)),IF(AND(BE1513=3,LEFT(BF1513,1)="1"),0.48,VLOOKUP(AU1513,INDEX((係数_乗用_ガソリン,係数_乗用_CNG,係数_乗用_軽油,係数_乗用_メタノール,係数_乗用_LPG),1,1,BE1513):INDEX((係数_乗用_ガソリン,係数_乗用_CNG,係数_乗用_軽油,係数_乗用_メタノール,係数_乗用_LPG),125,5,BE1513),4,FALSE)))))</f>
        <v/>
      </c>
      <c r="AL1513" s="461" t="str">
        <f t="shared" si="843"/>
        <v/>
      </c>
      <c r="AM1513" s="460" t="str">
        <f>IF(AU1513="","",IF(OR(AZ1513=8,AZ1513=9),0,IF(OR(AW1513=3,AW1513=4,AW1513=5,AW1513=6),IF(LEFT(BH1513,1)="1",INDEX(係数_PM低減,MATCH(AY1513,【参考】排出係数!$AI$801:$AI$804,1),MATCH(BI1513,【参考】排出係数!$AL$798:$AO$798,1)),VLOOKUP(AU1513,INDEX((係数_バス貨物_ガソリン,係数_バス貨物_CNG,係数_バス貨物_軽油,係数_バス貨物_メタノール,係数_バス貨物_LPG),MATCH(AY1513,【参考】排出係数!$AI$4:$AI$671,1),1,BE1513):INDEX((係数_バス貨物_ガソリン,係数_バス貨物_CNG,係数_バス貨物_軽油,係数_バス貨物_メタノール,係数_バス貨物_LPG),MATCH(AY1513+1,【参考】排出係数!$AI$4:$AI$671,1)-1,5,BE1513),5,FALSE)),IF(AND(BE1513=3,LEFT(BF1513,1)="1"),0.055,VLOOKUP(AU1513,INDEX((係数_乗用_ガソリン,係数_乗用_CNG,係数_乗用_軽油,係数_乗用_メタノール,係数_乗用_LPG),1,1,BE1513):INDEX((係数_乗用_ガソリン,係数_乗用_CNG,係数_乗用_軽油,係数_乗用_メタノール,係数_乗用_LPG),125,5,BE1513),5,FALSE)))))</f>
        <v/>
      </c>
      <c r="AN1513" s="461" t="str">
        <f t="shared" si="844"/>
        <v/>
      </c>
      <c r="AO1513" s="462" t="str">
        <f t="shared" si="845"/>
        <v/>
      </c>
      <c r="AP1513" s="463" t="str">
        <f t="shared" si="846"/>
        <v/>
      </c>
      <c r="AQ1513" s="464"/>
      <c r="AR1513" s="619"/>
      <c r="AS1513" s="465" t="str">
        <f t="shared" si="854"/>
        <v/>
      </c>
      <c r="AT1513" s="465" t="str">
        <f t="shared" si="855"/>
        <v/>
      </c>
      <c r="AU1513" s="466" t="str">
        <f t="shared" si="856"/>
        <v/>
      </c>
      <c r="AV1513" s="467" t="str">
        <f t="shared" si="857"/>
        <v/>
      </c>
      <c r="AW1513" s="467" t="str">
        <f t="shared" si="858"/>
        <v/>
      </c>
      <c r="AX1513" s="467" t="str">
        <f t="shared" si="859"/>
        <v/>
      </c>
      <c r="AY1513" s="467" t="str">
        <f t="shared" si="860"/>
        <v/>
      </c>
      <c r="AZ1513" s="467" t="str">
        <f t="shared" si="861"/>
        <v/>
      </c>
      <c r="BA1513" s="468" t="str">
        <f>IF(AS1513="","",IF(OR(AU1513="",AU1513="-"),"－",IF(OR(AZ1513=8,AZ1513=9),"",IF(OR(AW1513=3,AW1513=4,AW1513=5,AW1513=6),VLOOKUP(AU1513,INDEX((係数_バス貨物_ガソリン,係数_バス貨物_CNG,係数_バス貨物_軽油,係数_バス貨物_メタノール,係数_バス貨物_LPG),MATCH(AY1513,【参考】排出係数!$AI$4:$AI$671,1),1,BE1513):INDEX((係数_バス貨物_ガソリン,係数_バス貨物_CNG,係数_バス貨物_軽油,係数_バス貨物_メタノール,係数_バス貨物_LPG),MATCH(AY1513+1,【参考】排出係数!$AI$4:$AI$671,1)-1,5,BE1513),2,FALSE),IF(OR(AW1513=1,AW1513=2),VLOOKUP(AU1513,INDEX((係数_乗用_ガソリン,係数_乗用_CNG,係数_乗用_軽油,係数_乗用_メタノール,係数_乗用_LPG),1,1,BE1513):INDEX((係数_乗用_ガソリン,係数_乗用_CNG,係数_乗用_軽油,係数_乗用_メタノール,係数_乗用_LPG),125,5,BE1513),2,FALSE))))))</f>
        <v/>
      </c>
      <c r="BB1513" s="468" t="str">
        <f>IF(T1513="","",IF(OR(AU1513="",AU1513="-"),"－",IF(OR(AZ1513=8,AZ1513=9),"",IF(OR(AW1513=3,AW1513=4,AW1513=5,AW1513=6),VLOOKUP(AU1513,INDEX((係数_バス貨物_ガソリン,係数_バス貨物_CNG,係数_バス貨物_軽油,係数_バス貨物_メタノール,係数_バス貨物_LPG),MATCH(AY1513,【参考】排出係数!$AI$4:$AI$671,1),1,BE1513):INDEX((係数_バス貨物_ガソリン,係数_バス貨物_CNG,係数_バス貨物_軽油,係数_バス貨物_メタノール,係数_バス貨物_LPG),MATCH(AY1513+1,【参考】排出係数!$AI$4:$AI$671,1)-1,5,BE1513),3,FALSE),IF(OR(AW1513=1,AW1513=2),VLOOKUP(AU1513,INDEX((係数_乗用_ガソリン,係数_乗用_CNG,係数_乗用_軽油,係数_乗用_メタノール,係数_乗用_LPG),1,1,BE1513):INDEX((係数_乗用_ガソリン,係数_乗用_CNG,係数_乗用_軽油,係数_乗用_メタノール,係数_乗用_LPG),125,5,BE1513),3,FALSE))))))</f>
        <v/>
      </c>
      <c r="BC1513" s="467" t="str">
        <f t="shared" si="862"/>
        <v/>
      </c>
      <c r="BD1513" s="567" t="str">
        <f t="shared" si="863"/>
        <v/>
      </c>
      <c r="BE1513" s="467" t="str">
        <f t="shared" si="864"/>
        <v/>
      </c>
      <c r="BF1513" s="469" t="str">
        <f t="shared" ca="1" si="865"/>
        <v/>
      </c>
      <c r="BG1513" s="469" t="str">
        <f t="shared" ca="1" si="866"/>
        <v/>
      </c>
      <c r="BH1513" s="467" t="str">
        <f t="shared" si="867"/>
        <v/>
      </c>
      <c r="BI1513" s="467" t="str">
        <f t="shared" ca="1" si="868"/>
        <v/>
      </c>
      <c r="BJ1513" s="469" t="str">
        <f t="shared" si="869"/>
        <v/>
      </c>
      <c r="BK1513" s="470" t="str">
        <f t="shared" si="853"/>
        <v/>
      </c>
      <c r="BL1513" s="775" t="str">
        <f t="shared" si="870"/>
        <v/>
      </c>
      <c r="BM1513" s="775" t="str">
        <f t="shared" si="871"/>
        <v/>
      </c>
    </row>
    <row r="1514" spans="1:65">
      <c r="A1514" s="473">
        <v>1458</v>
      </c>
      <c r="B1514" s="132"/>
      <c r="C1514" s="332"/>
      <c r="D1514" s="333"/>
      <c r="E1514" s="333"/>
      <c r="F1514" s="334"/>
      <c r="G1514" s="337"/>
      <c r="H1514" s="131"/>
      <c r="I1514" s="337"/>
      <c r="J1514" s="131"/>
      <c r="K1514" s="458" t="str">
        <f t="shared" si="834"/>
        <v/>
      </c>
      <c r="L1514" s="458">
        <f t="shared" si="835"/>
        <v>0</v>
      </c>
      <c r="M1514" s="458">
        <f t="shared" si="836"/>
        <v>0</v>
      </c>
      <c r="N1514" s="459" t="str">
        <f t="shared" si="847"/>
        <v/>
      </c>
      <c r="O1514" s="459" t="str">
        <f t="shared" si="848"/>
        <v/>
      </c>
      <c r="P1514" s="459" t="str">
        <f t="shared" si="849"/>
        <v/>
      </c>
      <c r="Q1514" s="459" t="str">
        <f t="shared" si="850"/>
        <v/>
      </c>
      <c r="R1514" s="459" t="str">
        <f t="shared" si="851"/>
        <v/>
      </c>
      <c r="S1514" s="459" t="str">
        <f t="shared" si="852"/>
        <v/>
      </c>
      <c r="T1514" s="566" t="str">
        <f t="shared" si="837"/>
        <v/>
      </c>
      <c r="U1514" s="702"/>
      <c r="V1514" s="132"/>
      <c r="W1514" s="133"/>
      <c r="X1514" s="134"/>
      <c r="Y1514" s="135"/>
      <c r="Z1514" s="137"/>
      <c r="AA1514" s="136"/>
      <c r="AB1514" s="566" t="str">
        <f t="shared" si="838"/>
        <v/>
      </c>
      <c r="AC1514" s="568" t="str">
        <f t="shared" si="839"/>
        <v/>
      </c>
      <c r="AD1514" s="137"/>
      <c r="AE1514" s="137"/>
      <c r="AF1514" s="138"/>
      <c r="AG1514" s="138"/>
      <c r="AH1514" s="592" t="str">
        <f t="shared" si="840"/>
        <v/>
      </c>
      <c r="AI1514" s="592" t="str">
        <f t="shared" si="841"/>
        <v/>
      </c>
      <c r="AJ1514" s="592" t="str">
        <f t="shared" si="842"/>
        <v/>
      </c>
      <c r="AK1514" s="460" t="str">
        <f>IF(AU1514="","",IF(OR(AZ1514=8,AZ1514=9),0,IF(OR(AW1514=3,AW1514=4,AW1514=5,AW1514=6),IF(LEFT(BF1514,1)="1",INDEX(係数_NOX・PM低減,MATCH(AY1514,【参考】排出係数!$AI$801:$AI$804,1),1),VLOOKUP(AU1514,INDEX((係数_バス貨物_ガソリン,係数_バス貨物_CNG,係数_バス貨物_軽油,係数_バス貨物_メタノール,係数_バス貨物_LPG),MATCH(AY1514,【参考】排出係数!$AI$4:$AI$671,1),1,BE1514):INDEX((係数_バス貨物_ガソリン,係数_バス貨物_CNG,係数_バス貨物_軽油,係数_バス貨物_メタノール,係数_バス貨物_LPG),MATCH(AY1514+1,【参考】排出係数!$AI$4:$AI$671,1)-1,5,BE1514),4,FALSE)),IF(AND(BE1514=3,LEFT(BF1514,1)="1"),0.48,VLOOKUP(AU1514,INDEX((係数_乗用_ガソリン,係数_乗用_CNG,係数_乗用_軽油,係数_乗用_メタノール,係数_乗用_LPG),1,1,BE1514):INDEX((係数_乗用_ガソリン,係数_乗用_CNG,係数_乗用_軽油,係数_乗用_メタノール,係数_乗用_LPG),125,5,BE1514),4,FALSE)))))</f>
        <v/>
      </c>
      <c r="AL1514" s="461" t="str">
        <f t="shared" si="843"/>
        <v/>
      </c>
      <c r="AM1514" s="460" t="str">
        <f>IF(AU1514="","",IF(OR(AZ1514=8,AZ1514=9),0,IF(OR(AW1514=3,AW1514=4,AW1514=5,AW1514=6),IF(LEFT(BH1514,1)="1",INDEX(係数_PM低減,MATCH(AY1514,【参考】排出係数!$AI$801:$AI$804,1),MATCH(BI1514,【参考】排出係数!$AL$798:$AO$798,1)),VLOOKUP(AU1514,INDEX((係数_バス貨物_ガソリン,係数_バス貨物_CNG,係数_バス貨物_軽油,係数_バス貨物_メタノール,係数_バス貨物_LPG),MATCH(AY1514,【参考】排出係数!$AI$4:$AI$671,1),1,BE1514):INDEX((係数_バス貨物_ガソリン,係数_バス貨物_CNG,係数_バス貨物_軽油,係数_バス貨物_メタノール,係数_バス貨物_LPG),MATCH(AY1514+1,【参考】排出係数!$AI$4:$AI$671,1)-1,5,BE1514),5,FALSE)),IF(AND(BE1514=3,LEFT(BF1514,1)="1"),0.055,VLOOKUP(AU1514,INDEX((係数_乗用_ガソリン,係数_乗用_CNG,係数_乗用_軽油,係数_乗用_メタノール,係数_乗用_LPG),1,1,BE1514):INDEX((係数_乗用_ガソリン,係数_乗用_CNG,係数_乗用_軽油,係数_乗用_メタノール,係数_乗用_LPG),125,5,BE1514),5,FALSE)))))</f>
        <v/>
      </c>
      <c r="AN1514" s="461" t="str">
        <f t="shared" si="844"/>
        <v/>
      </c>
      <c r="AO1514" s="462" t="str">
        <f t="shared" si="845"/>
        <v/>
      </c>
      <c r="AP1514" s="463" t="str">
        <f t="shared" si="846"/>
        <v/>
      </c>
      <c r="AQ1514" s="464"/>
      <c r="AR1514" s="619"/>
      <c r="AS1514" s="465" t="str">
        <f t="shared" si="854"/>
        <v/>
      </c>
      <c r="AT1514" s="465" t="str">
        <f t="shared" si="855"/>
        <v/>
      </c>
      <c r="AU1514" s="466" t="str">
        <f t="shared" si="856"/>
        <v/>
      </c>
      <c r="AV1514" s="467" t="str">
        <f t="shared" si="857"/>
        <v/>
      </c>
      <c r="AW1514" s="467" t="str">
        <f t="shared" si="858"/>
        <v/>
      </c>
      <c r="AX1514" s="467" t="str">
        <f t="shared" si="859"/>
        <v/>
      </c>
      <c r="AY1514" s="467" t="str">
        <f t="shared" si="860"/>
        <v/>
      </c>
      <c r="AZ1514" s="467" t="str">
        <f t="shared" si="861"/>
        <v/>
      </c>
      <c r="BA1514" s="468" t="str">
        <f>IF(AS1514="","",IF(OR(AU1514="",AU1514="-"),"－",IF(OR(AZ1514=8,AZ1514=9),"",IF(OR(AW1514=3,AW1514=4,AW1514=5,AW1514=6),VLOOKUP(AU1514,INDEX((係数_バス貨物_ガソリン,係数_バス貨物_CNG,係数_バス貨物_軽油,係数_バス貨物_メタノール,係数_バス貨物_LPG),MATCH(AY1514,【参考】排出係数!$AI$4:$AI$671,1),1,BE1514):INDEX((係数_バス貨物_ガソリン,係数_バス貨物_CNG,係数_バス貨物_軽油,係数_バス貨物_メタノール,係数_バス貨物_LPG),MATCH(AY1514+1,【参考】排出係数!$AI$4:$AI$671,1)-1,5,BE1514),2,FALSE),IF(OR(AW1514=1,AW1514=2),VLOOKUP(AU1514,INDEX((係数_乗用_ガソリン,係数_乗用_CNG,係数_乗用_軽油,係数_乗用_メタノール,係数_乗用_LPG),1,1,BE1514):INDEX((係数_乗用_ガソリン,係数_乗用_CNG,係数_乗用_軽油,係数_乗用_メタノール,係数_乗用_LPG),125,5,BE1514),2,FALSE))))))</f>
        <v/>
      </c>
      <c r="BB1514" s="468" t="str">
        <f>IF(T1514="","",IF(OR(AU1514="",AU1514="-"),"－",IF(OR(AZ1514=8,AZ1514=9),"",IF(OR(AW1514=3,AW1514=4,AW1514=5,AW1514=6),VLOOKUP(AU1514,INDEX((係数_バス貨物_ガソリン,係数_バス貨物_CNG,係数_バス貨物_軽油,係数_バス貨物_メタノール,係数_バス貨物_LPG),MATCH(AY1514,【参考】排出係数!$AI$4:$AI$671,1),1,BE1514):INDEX((係数_バス貨物_ガソリン,係数_バス貨物_CNG,係数_バス貨物_軽油,係数_バス貨物_メタノール,係数_バス貨物_LPG),MATCH(AY1514+1,【参考】排出係数!$AI$4:$AI$671,1)-1,5,BE1514),3,FALSE),IF(OR(AW1514=1,AW1514=2),VLOOKUP(AU1514,INDEX((係数_乗用_ガソリン,係数_乗用_CNG,係数_乗用_軽油,係数_乗用_メタノール,係数_乗用_LPG),1,1,BE1514):INDEX((係数_乗用_ガソリン,係数_乗用_CNG,係数_乗用_軽油,係数_乗用_メタノール,係数_乗用_LPG),125,5,BE1514),3,FALSE))))))</f>
        <v/>
      </c>
      <c r="BC1514" s="467" t="str">
        <f t="shared" si="862"/>
        <v/>
      </c>
      <c r="BD1514" s="567" t="str">
        <f t="shared" si="863"/>
        <v/>
      </c>
      <c r="BE1514" s="467" t="str">
        <f t="shared" si="864"/>
        <v/>
      </c>
      <c r="BF1514" s="469" t="str">
        <f t="shared" ca="1" si="865"/>
        <v/>
      </c>
      <c r="BG1514" s="469" t="str">
        <f t="shared" ca="1" si="866"/>
        <v/>
      </c>
      <c r="BH1514" s="467" t="str">
        <f t="shared" si="867"/>
        <v/>
      </c>
      <c r="BI1514" s="467" t="str">
        <f t="shared" ca="1" si="868"/>
        <v/>
      </c>
      <c r="BJ1514" s="469" t="str">
        <f t="shared" si="869"/>
        <v/>
      </c>
      <c r="BK1514" s="470" t="str">
        <f t="shared" si="853"/>
        <v/>
      </c>
      <c r="BL1514" s="775" t="str">
        <f t="shared" si="870"/>
        <v/>
      </c>
      <c r="BM1514" s="775" t="str">
        <f t="shared" si="871"/>
        <v/>
      </c>
    </row>
    <row r="1515" spans="1:65">
      <c r="A1515" s="473">
        <v>1459</v>
      </c>
      <c r="B1515" s="132"/>
      <c r="C1515" s="332"/>
      <c r="D1515" s="333"/>
      <c r="E1515" s="333"/>
      <c r="F1515" s="334"/>
      <c r="G1515" s="337"/>
      <c r="H1515" s="131"/>
      <c r="I1515" s="337"/>
      <c r="J1515" s="131"/>
      <c r="K1515" s="458" t="str">
        <f t="shared" si="834"/>
        <v/>
      </c>
      <c r="L1515" s="458">
        <f t="shared" si="835"/>
        <v>0</v>
      </c>
      <c r="M1515" s="458">
        <f t="shared" si="836"/>
        <v>0</v>
      </c>
      <c r="N1515" s="459" t="str">
        <f t="shared" si="847"/>
        <v/>
      </c>
      <c r="O1515" s="459" t="str">
        <f t="shared" si="848"/>
        <v/>
      </c>
      <c r="P1515" s="459" t="str">
        <f t="shared" si="849"/>
        <v/>
      </c>
      <c r="Q1515" s="459" t="str">
        <f t="shared" si="850"/>
        <v/>
      </c>
      <c r="R1515" s="459" t="str">
        <f t="shared" si="851"/>
        <v/>
      </c>
      <c r="S1515" s="459" t="str">
        <f t="shared" si="852"/>
        <v/>
      </c>
      <c r="T1515" s="566" t="str">
        <f t="shared" si="837"/>
        <v/>
      </c>
      <c r="U1515" s="702"/>
      <c r="V1515" s="132"/>
      <c r="W1515" s="133"/>
      <c r="X1515" s="134"/>
      <c r="Y1515" s="135"/>
      <c r="Z1515" s="137"/>
      <c r="AA1515" s="136"/>
      <c r="AB1515" s="566" t="str">
        <f t="shared" si="838"/>
        <v/>
      </c>
      <c r="AC1515" s="568" t="str">
        <f t="shared" si="839"/>
        <v/>
      </c>
      <c r="AD1515" s="137"/>
      <c r="AE1515" s="137"/>
      <c r="AF1515" s="138"/>
      <c r="AG1515" s="138"/>
      <c r="AH1515" s="592" t="str">
        <f t="shared" si="840"/>
        <v/>
      </c>
      <c r="AI1515" s="592" t="str">
        <f t="shared" si="841"/>
        <v/>
      </c>
      <c r="AJ1515" s="592" t="str">
        <f t="shared" si="842"/>
        <v/>
      </c>
      <c r="AK1515" s="460" t="str">
        <f>IF(AU1515="","",IF(OR(AZ1515=8,AZ1515=9),0,IF(OR(AW1515=3,AW1515=4,AW1515=5,AW1515=6),IF(LEFT(BF1515,1)="1",INDEX(係数_NOX・PM低減,MATCH(AY1515,【参考】排出係数!$AI$801:$AI$804,1),1),VLOOKUP(AU1515,INDEX((係数_バス貨物_ガソリン,係数_バス貨物_CNG,係数_バス貨物_軽油,係数_バス貨物_メタノール,係数_バス貨物_LPG),MATCH(AY1515,【参考】排出係数!$AI$4:$AI$671,1),1,BE1515):INDEX((係数_バス貨物_ガソリン,係数_バス貨物_CNG,係数_バス貨物_軽油,係数_バス貨物_メタノール,係数_バス貨物_LPG),MATCH(AY1515+1,【参考】排出係数!$AI$4:$AI$671,1)-1,5,BE1515),4,FALSE)),IF(AND(BE1515=3,LEFT(BF1515,1)="1"),0.48,VLOOKUP(AU1515,INDEX((係数_乗用_ガソリン,係数_乗用_CNG,係数_乗用_軽油,係数_乗用_メタノール,係数_乗用_LPG),1,1,BE1515):INDEX((係数_乗用_ガソリン,係数_乗用_CNG,係数_乗用_軽油,係数_乗用_メタノール,係数_乗用_LPG),125,5,BE1515),4,FALSE)))))</f>
        <v/>
      </c>
      <c r="AL1515" s="461" t="str">
        <f t="shared" si="843"/>
        <v/>
      </c>
      <c r="AM1515" s="460" t="str">
        <f>IF(AU1515="","",IF(OR(AZ1515=8,AZ1515=9),0,IF(OR(AW1515=3,AW1515=4,AW1515=5,AW1515=6),IF(LEFT(BH1515,1)="1",INDEX(係数_PM低減,MATCH(AY1515,【参考】排出係数!$AI$801:$AI$804,1),MATCH(BI1515,【参考】排出係数!$AL$798:$AO$798,1)),VLOOKUP(AU1515,INDEX((係数_バス貨物_ガソリン,係数_バス貨物_CNG,係数_バス貨物_軽油,係数_バス貨物_メタノール,係数_バス貨物_LPG),MATCH(AY1515,【参考】排出係数!$AI$4:$AI$671,1),1,BE1515):INDEX((係数_バス貨物_ガソリン,係数_バス貨物_CNG,係数_バス貨物_軽油,係数_バス貨物_メタノール,係数_バス貨物_LPG),MATCH(AY1515+1,【参考】排出係数!$AI$4:$AI$671,1)-1,5,BE1515),5,FALSE)),IF(AND(BE1515=3,LEFT(BF1515,1)="1"),0.055,VLOOKUP(AU1515,INDEX((係数_乗用_ガソリン,係数_乗用_CNG,係数_乗用_軽油,係数_乗用_メタノール,係数_乗用_LPG),1,1,BE1515):INDEX((係数_乗用_ガソリン,係数_乗用_CNG,係数_乗用_軽油,係数_乗用_メタノール,係数_乗用_LPG),125,5,BE1515),5,FALSE)))))</f>
        <v/>
      </c>
      <c r="AN1515" s="461" t="str">
        <f t="shared" si="844"/>
        <v/>
      </c>
      <c r="AO1515" s="462" t="str">
        <f t="shared" si="845"/>
        <v/>
      </c>
      <c r="AP1515" s="463" t="str">
        <f t="shared" si="846"/>
        <v/>
      </c>
      <c r="AQ1515" s="464"/>
      <c r="AR1515" s="619"/>
      <c r="AS1515" s="465" t="str">
        <f t="shared" si="854"/>
        <v/>
      </c>
      <c r="AT1515" s="465" t="str">
        <f t="shared" si="855"/>
        <v/>
      </c>
      <c r="AU1515" s="466" t="str">
        <f t="shared" si="856"/>
        <v/>
      </c>
      <c r="AV1515" s="467" t="str">
        <f t="shared" si="857"/>
        <v/>
      </c>
      <c r="AW1515" s="467" t="str">
        <f t="shared" si="858"/>
        <v/>
      </c>
      <c r="AX1515" s="467" t="str">
        <f t="shared" si="859"/>
        <v/>
      </c>
      <c r="AY1515" s="467" t="str">
        <f t="shared" si="860"/>
        <v/>
      </c>
      <c r="AZ1515" s="467" t="str">
        <f t="shared" si="861"/>
        <v/>
      </c>
      <c r="BA1515" s="468" t="str">
        <f>IF(AS1515="","",IF(OR(AU1515="",AU1515="-"),"－",IF(OR(AZ1515=8,AZ1515=9),"",IF(OR(AW1515=3,AW1515=4,AW1515=5,AW1515=6),VLOOKUP(AU1515,INDEX((係数_バス貨物_ガソリン,係数_バス貨物_CNG,係数_バス貨物_軽油,係数_バス貨物_メタノール,係数_バス貨物_LPG),MATCH(AY1515,【参考】排出係数!$AI$4:$AI$671,1),1,BE1515):INDEX((係数_バス貨物_ガソリン,係数_バス貨物_CNG,係数_バス貨物_軽油,係数_バス貨物_メタノール,係数_バス貨物_LPG),MATCH(AY1515+1,【参考】排出係数!$AI$4:$AI$671,1)-1,5,BE1515),2,FALSE),IF(OR(AW1515=1,AW1515=2),VLOOKUP(AU1515,INDEX((係数_乗用_ガソリン,係数_乗用_CNG,係数_乗用_軽油,係数_乗用_メタノール,係数_乗用_LPG),1,1,BE1515):INDEX((係数_乗用_ガソリン,係数_乗用_CNG,係数_乗用_軽油,係数_乗用_メタノール,係数_乗用_LPG),125,5,BE1515),2,FALSE))))))</f>
        <v/>
      </c>
      <c r="BB1515" s="468" t="str">
        <f>IF(T1515="","",IF(OR(AU1515="",AU1515="-"),"－",IF(OR(AZ1515=8,AZ1515=9),"",IF(OR(AW1515=3,AW1515=4,AW1515=5,AW1515=6),VLOOKUP(AU1515,INDEX((係数_バス貨物_ガソリン,係数_バス貨物_CNG,係数_バス貨物_軽油,係数_バス貨物_メタノール,係数_バス貨物_LPG),MATCH(AY1515,【参考】排出係数!$AI$4:$AI$671,1),1,BE1515):INDEX((係数_バス貨物_ガソリン,係数_バス貨物_CNG,係数_バス貨物_軽油,係数_バス貨物_メタノール,係数_バス貨物_LPG),MATCH(AY1515+1,【参考】排出係数!$AI$4:$AI$671,1)-1,5,BE1515),3,FALSE),IF(OR(AW1515=1,AW1515=2),VLOOKUP(AU1515,INDEX((係数_乗用_ガソリン,係数_乗用_CNG,係数_乗用_軽油,係数_乗用_メタノール,係数_乗用_LPG),1,1,BE1515):INDEX((係数_乗用_ガソリン,係数_乗用_CNG,係数_乗用_軽油,係数_乗用_メタノール,係数_乗用_LPG),125,5,BE1515),3,FALSE))))))</f>
        <v/>
      </c>
      <c r="BC1515" s="467" t="str">
        <f t="shared" si="862"/>
        <v/>
      </c>
      <c r="BD1515" s="567" t="str">
        <f t="shared" si="863"/>
        <v/>
      </c>
      <c r="BE1515" s="467" t="str">
        <f t="shared" si="864"/>
        <v/>
      </c>
      <c r="BF1515" s="469" t="str">
        <f t="shared" ca="1" si="865"/>
        <v/>
      </c>
      <c r="BG1515" s="469" t="str">
        <f t="shared" ca="1" si="866"/>
        <v/>
      </c>
      <c r="BH1515" s="467" t="str">
        <f t="shared" si="867"/>
        <v/>
      </c>
      <c r="BI1515" s="467" t="str">
        <f t="shared" ca="1" si="868"/>
        <v/>
      </c>
      <c r="BJ1515" s="469" t="str">
        <f t="shared" si="869"/>
        <v/>
      </c>
      <c r="BK1515" s="470" t="str">
        <f t="shared" si="853"/>
        <v/>
      </c>
      <c r="BL1515" s="775" t="str">
        <f t="shared" si="870"/>
        <v/>
      </c>
      <c r="BM1515" s="775" t="str">
        <f t="shared" si="871"/>
        <v/>
      </c>
    </row>
    <row r="1516" spans="1:65">
      <c r="A1516" s="473">
        <v>1460</v>
      </c>
      <c r="B1516" s="132"/>
      <c r="C1516" s="332"/>
      <c r="D1516" s="333"/>
      <c r="E1516" s="333"/>
      <c r="F1516" s="334"/>
      <c r="G1516" s="337"/>
      <c r="H1516" s="131"/>
      <c r="I1516" s="337"/>
      <c r="J1516" s="131"/>
      <c r="K1516" s="458" t="str">
        <f t="shared" ref="K1516:K1579" si="872">C1516&amp;D1516&amp;E1516&amp;F1516</f>
        <v/>
      </c>
      <c r="L1516" s="458">
        <f t="shared" ref="L1516:L1579" si="873">IF(G1516&gt;0,DATE((G1516),(H1516+1),0),0)</f>
        <v>0</v>
      </c>
      <c r="M1516" s="458">
        <f t="shared" ref="M1516:M1579" si="874">IF(I1516&gt;0,DATE((I1516),(J1516+1),0),0)</f>
        <v>0</v>
      </c>
      <c r="N1516" s="459" t="str">
        <f t="shared" si="847"/>
        <v/>
      </c>
      <c r="O1516" s="459" t="str">
        <f t="shared" si="848"/>
        <v/>
      </c>
      <c r="P1516" s="459" t="str">
        <f t="shared" si="849"/>
        <v/>
      </c>
      <c r="Q1516" s="459" t="str">
        <f t="shared" si="850"/>
        <v/>
      </c>
      <c r="R1516" s="459" t="str">
        <f t="shared" si="851"/>
        <v/>
      </c>
      <c r="S1516" s="459" t="str">
        <f t="shared" si="852"/>
        <v/>
      </c>
      <c r="T1516" s="566" t="str">
        <f t="shared" ref="T1516:T1579" si="875">N1516&amp;O1516&amp;P1516&amp;Q1516&amp;R1516&amp;S1516</f>
        <v/>
      </c>
      <c r="U1516" s="702"/>
      <c r="V1516" s="132"/>
      <c r="W1516" s="133"/>
      <c r="X1516" s="134"/>
      <c r="Y1516" s="135"/>
      <c r="Z1516" s="137"/>
      <c r="AA1516" s="136"/>
      <c r="AB1516" s="566" t="str">
        <f t="shared" ref="AB1516:AB1579" si="876">IF(AS1516="","",IF(AZ1516=1,VLOOKUP(BA1516,低公害車判別,2,FALSE),IF(AZ1516=3,VLOOKUP(BA1516,低公害車判別,2,FALSE),IF(AZ1516=4,VLOOKUP(BB1516,低公害車判別,2,FALSE),"低公害車"))))</f>
        <v/>
      </c>
      <c r="AC1516" s="568" t="str">
        <f t="shared" ref="AC1516:AC1579" si="877">IF(AS1516="","",IF((BA1516="")+(BA1516="－"),IF((BB1516="")+(BB1516=0),"－",BB1516),IF((BA1516="PM☆☆☆")+(BA1516="☆及びPM☆☆☆")+(BA1516="☆☆及びPM☆☆☆")+(BA1516="☆☆☆及びPM☆☆☆"),"PM☆☆☆",IF((BA1516="PM☆☆☆☆")+(BA1516="☆及びPM☆☆☆☆")+(BA1516="☆☆及びPM☆☆☆☆")+(BA1516="☆☆☆及びPM☆☆☆☆"),"PM☆☆☆☆",IF((BA1516="新☆")+(BA1516="新NOx☆")+(BA1516="新PM☆"),"新☆（新長期）",BA1516)))))</f>
        <v/>
      </c>
      <c r="AD1516" s="137"/>
      <c r="AE1516" s="137"/>
      <c r="AF1516" s="138"/>
      <c r="AG1516" s="138"/>
      <c r="AH1516" s="592" t="str">
        <f t="shared" ref="AH1516:AH1579" si="878">IF(C1516="","",IF(LEFT(C1516,2)="横浜","○",""))</f>
        <v/>
      </c>
      <c r="AI1516" s="592" t="str">
        <f t="shared" ref="AI1516:AI1579" si="879">IF(C1516="","",IF(LEFT(C1516,2)="川崎","○",""))</f>
        <v/>
      </c>
      <c r="AJ1516" s="592" t="str">
        <f t="shared" ref="AJ1516:AJ1579" si="880">IF(C1516="","",IF(OR(AH1516="○",AI1516="○"),"","○"))</f>
        <v/>
      </c>
      <c r="AK1516" s="460" t="str">
        <f>IF(AU1516="","",IF(OR(AZ1516=8,AZ1516=9),0,IF(OR(AW1516=3,AW1516=4,AW1516=5,AW1516=6),IF(LEFT(BF1516,1)="1",INDEX(係数_NOX・PM低減,MATCH(AY1516,【参考】排出係数!$AI$801:$AI$804,1),1),VLOOKUP(AU1516,INDEX((係数_バス貨物_ガソリン,係数_バス貨物_CNG,係数_バス貨物_軽油,係数_バス貨物_メタノール,係数_バス貨物_LPG),MATCH(AY1516,【参考】排出係数!$AI$4:$AI$671,1),1,BE1516):INDEX((係数_バス貨物_ガソリン,係数_バス貨物_CNG,係数_バス貨物_軽油,係数_バス貨物_メタノール,係数_バス貨物_LPG),MATCH(AY1516+1,【参考】排出係数!$AI$4:$AI$671,1)-1,5,BE1516),4,FALSE)),IF(AND(BE1516=3,LEFT(BF1516,1)="1"),0.48,VLOOKUP(AU1516,INDEX((係数_乗用_ガソリン,係数_乗用_CNG,係数_乗用_軽油,係数_乗用_メタノール,係数_乗用_LPG),1,1,BE1516):INDEX((係数_乗用_ガソリン,係数_乗用_CNG,係数_乗用_軽油,係数_乗用_メタノール,係数_乗用_LPG),125,5,BE1516),4,FALSE)))))</f>
        <v/>
      </c>
      <c r="AL1516" s="461" t="str">
        <f t="shared" ref="AL1516:AL1579" si="881">IF(AU1516="","",IF(Z1516&lt;=3.5*1000,AD1516*AK1516/1000,IF(Z1516&gt;3.5*1000,AD1516*Z1516*AK1516/1000/1000)))</f>
        <v/>
      </c>
      <c r="AM1516" s="460" t="str">
        <f>IF(AU1516="","",IF(OR(AZ1516=8,AZ1516=9),0,IF(OR(AW1516=3,AW1516=4,AW1516=5,AW1516=6),IF(LEFT(BH1516,1)="1",INDEX(係数_PM低減,MATCH(AY1516,【参考】排出係数!$AI$801:$AI$804,1),MATCH(BI1516,【参考】排出係数!$AL$798:$AO$798,1)),VLOOKUP(AU1516,INDEX((係数_バス貨物_ガソリン,係数_バス貨物_CNG,係数_バス貨物_軽油,係数_バス貨物_メタノール,係数_バス貨物_LPG),MATCH(AY1516,【参考】排出係数!$AI$4:$AI$671,1),1,BE1516):INDEX((係数_バス貨物_ガソリン,係数_バス貨物_CNG,係数_バス貨物_軽油,係数_バス貨物_メタノール,係数_バス貨物_LPG),MATCH(AY1516+1,【参考】排出係数!$AI$4:$AI$671,1)-1,5,BE1516),5,FALSE)),IF(AND(BE1516=3,LEFT(BF1516,1)="1"),0.055,VLOOKUP(AU1516,INDEX((係数_乗用_ガソリン,係数_乗用_CNG,係数_乗用_軽油,係数_乗用_メタノール,係数_乗用_LPG),1,1,BE1516):INDEX((係数_乗用_ガソリン,係数_乗用_CNG,係数_乗用_軽油,係数_乗用_メタノール,係数_乗用_LPG),125,5,BE1516),5,FALSE)))))</f>
        <v/>
      </c>
      <c r="AN1516" s="461" t="str">
        <f t="shared" ref="AN1516:AN1579" si="882">IF(AU1516="","",IF(Z1516&lt;=3.5*1000,AD1516*AM1516/1000,IF(Z1516&gt;3.5*1000,AD1516*Z1516*AM1516/1000/1000)))</f>
        <v/>
      </c>
      <c r="AO1516" s="462" t="str">
        <f t="shared" ref="AO1516:AO1579" si="883">IF(AU1516="","",IF(Z1516&lt;500,"車両重量",IF(OR(AZ1516=8,AZ1516=9),0,IF(OR(AZ1516=1,AZ1516=2,AZ1516=11),2.32,IF(OR(AZ1516=4,AZ1516=5,AZ1516=11),2.58,IF(AZ1516=3,3,IF(AZ1516=6,2.23,IF(AZ1516=7,1.37,0))))))))</f>
        <v/>
      </c>
      <c r="AP1516" s="463" t="str">
        <f t="shared" ref="AP1516:AP1579" si="884">IF(AU1516="","",AE1516*AO1516/1000)</f>
        <v/>
      </c>
      <c r="AQ1516" s="464"/>
      <c r="AR1516" s="619"/>
      <c r="AS1516" s="465" t="str">
        <f t="shared" si="854"/>
        <v/>
      </c>
      <c r="AT1516" s="465" t="str">
        <f t="shared" si="855"/>
        <v/>
      </c>
      <c r="AU1516" s="466" t="str">
        <f t="shared" si="856"/>
        <v/>
      </c>
      <c r="AV1516" s="467" t="str">
        <f t="shared" si="857"/>
        <v/>
      </c>
      <c r="AW1516" s="467" t="str">
        <f t="shared" si="858"/>
        <v/>
      </c>
      <c r="AX1516" s="467" t="str">
        <f t="shared" si="859"/>
        <v/>
      </c>
      <c r="AY1516" s="467" t="str">
        <f t="shared" si="860"/>
        <v/>
      </c>
      <c r="AZ1516" s="467" t="str">
        <f t="shared" si="861"/>
        <v/>
      </c>
      <c r="BA1516" s="468" t="str">
        <f>IF(AS1516="","",IF(OR(AU1516="",AU1516="-"),"－",IF(OR(AZ1516=8,AZ1516=9),"",IF(OR(AW1516=3,AW1516=4,AW1516=5,AW1516=6),VLOOKUP(AU1516,INDEX((係数_バス貨物_ガソリン,係数_バス貨物_CNG,係数_バス貨物_軽油,係数_バス貨物_メタノール,係数_バス貨物_LPG),MATCH(AY1516,【参考】排出係数!$AI$4:$AI$671,1),1,BE1516):INDEX((係数_バス貨物_ガソリン,係数_バス貨物_CNG,係数_バス貨物_軽油,係数_バス貨物_メタノール,係数_バス貨物_LPG),MATCH(AY1516+1,【参考】排出係数!$AI$4:$AI$671,1)-1,5,BE1516),2,FALSE),IF(OR(AW1516=1,AW1516=2),VLOOKUP(AU1516,INDEX((係数_乗用_ガソリン,係数_乗用_CNG,係数_乗用_軽油,係数_乗用_メタノール,係数_乗用_LPG),1,1,BE1516):INDEX((係数_乗用_ガソリン,係数_乗用_CNG,係数_乗用_軽油,係数_乗用_メタノール,係数_乗用_LPG),125,5,BE1516),2,FALSE))))))</f>
        <v/>
      </c>
      <c r="BB1516" s="468" t="str">
        <f>IF(T1516="","",IF(OR(AU1516="",AU1516="-"),"－",IF(OR(AZ1516=8,AZ1516=9),"",IF(OR(AW1516=3,AW1516=4,AW1516=5,AW1516=6),VLOOKUP(AU1516,INDEX((係数_バス貨物_ガソリン,係数_バス貨物_CNG,係数_バス貨物_軽油,係数_バス貨物_メタノール,係数_バス貨物_LPG),MATCH(AY1516,【参考】排出係数!$AI$4:$AI$671,1),1,BE1516):INDEX((係数_バス貨物_ガソリン,係数_バス貨物_CNG,係数_バス貨物_軽油,係数_バス貨物_メタノール,係数_バス貨物_LPG),MATCH(AY1516+1,【参考】排出係数!$AI$4:$AI$671,1)-1,5,BE1516),3,FALSE),IF(OR(AW1516=1,AW1516=2),VLOOKUP(AU1516,INDEX((係数_乗用_ガソリン,係数_乗用_CNG,係数_乗用_軽油,係数_乗用_メタノール,係数_乗用_LPG),1,1,BE1516):INDEX((係数_乗用_ガソリン,係数_乗用_CNG,係数_乗用_軽油,係数_乗用_メタノール,係数_乗用_LPG),125,5,BE1516),3,FALSE))))))</f>
        <v/>
      </c>
      <c r="BC1516" s="467" t="str">
        <f t="shared" si="862"/>
        <v/>
      </c>
      <c r="BD1516" s="567" t="str">
        <f t="shared" si="863"/>
        <v/>
      </c>
      <c r="BE1516" s="467" t="str">
        <f t="shared" si="864"/>
        <v/>
      </c>
      <c r="BF1516" s="469" t="str">
        <f t="shared" ca="1" si="865"/>
        <v/>
      </c>
      <c r="BG1516" s="469" t="str">
        <f t="shared" ca="1" si="866"/>
        <v/>
      </c>
      <c r="BH1516" s="467" t="str">
        <f t="shared" si="867"/>
        <v/>
      </c>
      <c r="BI1516" s="467" t="str">
        <f t="shared" ca="1" si="868"/>
        <v/>
      </c>
      <c r="BJ1516" s="469" t="str">
        <f t="shared" si="869"/>
        <v/>
      </c>
      <c r="BK1516" s="470" t="str">
        <f t="shared" si="853"/>
        <v/>
      </c>
      <c r="BL1516" s="775" t="str">
        <f t="shared" si="870"/>
        <v/>
      </c>
      <c r="BM1516" s="775" t="str">
        <f t="shared" si="871"/>
        <v/>
      </c>
    </row>
    <row r="1517" spans="1:65">
      <c r="A1517" s="473">
        <v>1461</v>
      </c>
      <c r="B1517" s="132"/>
      <c r="C1517" s="332"/>
      <c r="D1517" s="333"/>
      <c r="E1517" s="333"/>
      <c r="F1517" s="334"/>
      <c r="G1517" s="337"/>
      <c r="H1517" s="131"/>
      <c r="I1517" s="337"/>
      <c r="J1517" s="131"/>
      <c r="K1517" s="458" t="str">
        <f t="shared" si="872"/>
        <v/>
      </c>
      <c r="L1517" s="458">
        <f t="shared" si="873"/>
        <v>0</v>
      </c>
      <c r="M1517" s="458">
        <f t="shared" si="874"/>
        <v>0</v>
      </c>
      <c r="N1517" s="459" t="str">
        <f t="shared" si="847"/>
        <v/>
      </c>
      <c r="O1517" s="459" t="str">
        <f t="shared" si="848"/>
        <v/>
      </c>
      <c r="P1517" s="459" t="str">
        <f t="shared" si="849"/>
        <v/>
      </c>
      <c r="Q1517" s="459" t="str">
        <f t="shared" si="850"/>
        <v/>
      </c>
      <c r="R1517" s="459" t="str">
        <f t="shared" si="851"/>
        <v/>
      </c>
      <c r="S1517" s="459" t="str">
        <f t="shared" si="852"/>
        <v/>
      </c>
      <c r="T1517" s="566" t="str">
        <f t="shared" si="875"/>
        <v/>
      </c>
      <c r="U1517" s="702"/>
      <c r="V1517" s="132"/>
      <c r="W1517" s="133"/>
      <c r="X1517" s="134"/>
      <c r="Y1517" s="135"/>
      <c r="Z1517" s="137"/>
      <c r="AA1517" s="136"/>
      <c r="AB1517" s="566" t="str">
        <f t="shared" si="876"/>
        <v/>
      </c>
      <c r="AC1517" s="568" t="str">
        <f t="shared" si="877"/>
        <v/>
      </c>
      <c r="AD1517" s="137"/>
      <c r="AE1517" s="137"/>
      <c r="AF1517" s="138"/>
      <c r="AG1517" s="138"/>
      <c r="AH1517" s="592" t="str">
        <f t="shared" si="878"/>
        <v/>
      </c>
      <c r="AI1517" s="592" t="str">
        <f t="shared" si="879"/>
        <v/>
      </c>
      <c r="AJ1517" s="592" t="str">
        <f t="shared" si="880"/>
        <v/>
      </c>
      <c r="AK1517" s="460" t="str">
        <f>IF(AU1517="","",IF(OR(AZ1517=8,AZ1517=9),0,IF(OR(AW1517=3,AW1517=4,AW1517=5,AW1517=6),IF(LEFT(BF1517,1)="1",INDEX(係数_NOX・PM低減,MATCH(AY1517,【参考】排出係数!$AI$801:$AI$804,1),1),VLOOKUP(AU1517,INDEX((係数_バス貨物_ガソリン,係数_バス貨物_CNG,係数_バス貨物_軽油,係数_バス貨物_メタノール,係数_バス貨物_LPG),MATCH(AY1517,【参考】排出係数!$AI$4:$AI$671,1),1,BE1517):INDEX((係数_バス貨物_ガソリン,係数_バス貨物_CNG,係数_バス貨物_軽油,係数_バス貨物_メタノール,係数_バス貨物_LPG),MATCH(AY1517+1,【参考】排出係数!$AI$4:$AI$671,1)-1,5,BE1517),4,FALSE)),IF(AND(BE1517=3,LEFT(BF1517,1)="1"),0.48,VLOOKUP(AU1517,INDEX((係数_乗用_ガソリン,係数_乗用_CNG,係数_乗用_軽油,係数_乗用_メタノール,係数_乗用_LPG),1,1,BE1517):INDEX((係数_乗用_ガソリン,係数_乗用_CNG,係数_乗用_軽油,係数_乗用_メタノール,係数_乗用_LPG),125,5,BE1517),4,FALSE)))))</f>
        <v/>
      </c>
      <c r="AL1517" s="461" t="str">
        <f t="shared" si="881"/>
        <v/>
      </c>
      <c r="AM1517" s="460" t="str">
        <f>IF(AU1517="","",IF(OR(AZ1517=8,AZ1517=9),0,IF(OR(AW1517=3,AW1517=4,AW1517=5,AW1517=6),IF(LEFT(BH1517,1)="1",INDEX(係数_PM低減,MATCH(AY1517,【参考】排出係数!$AI$801:$AI$804,1),MATCH(BI1517,【参考】排出係数!$AL$798:$AO$798,1)),VLOOKUP(AU1517,INDEX((係数_バス貨物_ガソリン,係数_バス貨物_CNG,係数_バス貨物_軽油,係数_バス貨物_メタノール,係数_バス貨物_LPG),MATCH(AY1517,【参考】排出係数!$AI$4:$AI$671,1),1,BE1517):INDEX((係数_バス貨物_ガソリン,係数_バス貨物_CNG,係数_バス貨物_軽油,係数_バス貨物_メタノール,係数_バス貨物_LPG),MATCH(AY1517+1,【参考】排出係数!$AI$4:$AI$671,1)-1,5,BE1517),5,FALSE)),IF(AND(BE1517=3,LEFT(BF1517,1)="1"),0.055,VLOOKUP(AU1517,INDEX((係数_乗用_ガソリン,係数_乗用_CNG,係数_乗用_軽油,係数_乗用_メタノール,係数_乗用_LPG),1,1,BE1517):INDEX((係数_乗用_ガソリン,係数_乗用_CNG,係数_乗用_軽油,係数_乗用_メタノール,係数_乗用_LPG),125,5,BE1517),5,FALSE)))))</f>
        <v/>
      </c>
      <c r="AN1517" s="461" t="str">
        <f t="shared" si="882"/>
        <v/>
      </c>
      <c r="AO1517" s="462" t="str">
        <f t="shared" si="883"/>
        <v/>
      </c>
      <c r="AP1517" s="463" t="str">
        <f t="shared" si="884"/>
        <v/>
      </c>
      <c r="AQ1517" s="464"/>
      <c r="AR1517" s="619"/>
      <c r="AS1517" s="465" t="str">
        <f t="shared" si="854"/>
        <v/>
      </c>
      <c r="AT1517" s="465" t="str">
        <f t="shared" si="855"/>
        <v/>
      </c>
      <c r="AU1517" s="466" t="str">
        <f t="shared" si="856"/>
        <v/>
      </c>
      <c r="AV1517" s="467" t="str">
        <f t="shared" si="857"/>
        <v/>
      </c>
      <c r="AW1517" s="467" t="str">
        <f t="shared" si="858"/>
        <v/>
      </c>
      <c r="AX1517" s="467" t="str">
        <f t="shared" si="859"/>
        <v/>
      </c>
      <c r="AY1517" s="467" t="str">
        <f t="shared" si="860"/>
        <v/>
      </c>
      <c r="AZ1517" s="467" t="str">
        <f t="shared" si="861"/>
        <v/>
      </c>
      <c r="BA1517" s="468" t="str">
        <f>IF(AS1517="","",IF(OR(AU1517="",AU1517="-"),"－",IF(OR(AZ1517=8,AZ1517=9),"",IF(OR(AW1517=3,AW1517=4,AW1517=5,AW1517=6),VLOOKUP(AU1517,INDEX((係数_バス貨物_ガソリン,係数_バス貨物_CNG,係数_バス貨物_軽油,係数_バス貨物_メタノール,係数_バス貨物_LPG),MATCH(AY1517,【参考】排出係数!$AI$4:$AI$671,1),1,BE1517):INDEX((係数_バス貨物_ガソリン,係数_バス貨物_CNG,係数_バス貨物_軽油,係数_バス貨物_メタノール,係数_バス貨物_LPG),MATCH(AY1517+1,【参考】排出係数!$AI$4:$AI$671,1)-1,5,BE1517),2,FALSE),IF(OR(AW1517=1,AW1517=2),VLOOKUP(AU1517,INDEX((係数_乗用_ガソリン,係数_乗用_CNG,係数_乗用_軽油,係数_乗用_メタノール,係数_乗用_LPG),1,1,BE1517):INDEX((係数_乗用_ガソリン,係数_乗用_CNG,係数_乗用_軽油,係数_乗用_メタノール,係数_乗用_LPG),125,5,BE1517),2,FALSE))))))</f>
        <v/>
      </c>
      <c r="BB1517" s="468" t="str">
        <f>IF(T1517="","",IF(OR(AU1517="",AU1517="-"),"－",IF(OR(AZ1517=8,AZ1517=9),"",IF(OR(AW1517=3,AW1517=4,AW1517=5,AW1517=6),VLOOKUP(AU1517,INDEX((係数_バス貨物_ガソリン,係数_バス貨物_CNG,係数_バス貨物_軽油,係数_バス貨物_メタノール,係数_バス貨物_LPG),MATCH(AY1517,【参考】排出係数!$AI$4:$AI$671,1),1,BE1517):INDEX((係数_バス貨物_ガソリン,係数_バス貨物_CNG,係数_バス貨物_軽油,係数_バス貨物_メタノール,係数_バス貨物_LPG),MATCH(AY1517+1,【参考】排出係数!$AI$4:$AI$671,1)-1,5,BE1517),3,FALSE),IF(OR(AW1517=1,AW1517=2),VLOOKUP(AU1517,INDEX((係数_乗用_ガソリン,係数_乗用_CNG,係数_乗用_軽油,係数_乗用_メタノール,係数_乗用_LPG),1,1,BE1517):INDEX((係数_乗用_ガソリン,係数_乗用_CNG,係数_乗用_軽油,係数_乗用_メタノール,係数_乗用_LPG),125,5,BE1517),3,FALSE))))))</f>
        <v/>
      </c>
      <c r="BC1517" s="467" t="str">
        <f t="shared" si="862"/>
        <v/>
      </c>
      <c r="BD1517" s="567" t="str">
        <f t="shared" si="863"/>
        <v/>
      </c>
      <c r="BE1517" s="467" t="str">
        <f t="shared" si="864"/>
        <v/>
      </c>
      <c r="BF1517" s="469" t="str">
        <f t="shared" ca="1" si="865"/>
        <v/>
      </c>
      <c r="BG1517" s="469" t="str">
        <f t="shared" ca="1" si="866"/>
        <v/>
      </c>
      <c r="BH1517" s="467" t="str">
        <f t="shared" si="867"/>
        <v/>
      </c>
      <c r="BI1517" s="467" t="str">
        <f t="shared" ca="1" si="868"/>
        <v/>
      </c>
      <c r="BJ1517" s="469" t="str">
        <f t="shared" si="869"/>
        <v/>
      </c>
      <c r="BK1517" s="470" t="str">
        <f t="shared" si="853"/>
        <v/>
      </c>
      <c r="BL1517" s="775" t="str">
        <f t="shared" si="870"/>
        <v/>
      </c>
      <c r="BM1517" s="775" t="str">
        <f t="shared" si="871"/>
        <v/>
      </c>
    </row>
    <row r="1518" spans="1:65">
      <c r="A1518" s="473">
        <v>1462</v>
      </c>
      <c r="B1518" s="132"/>
      <c r="C1518" s="332"/>
      <c r="D1518" s="333"/>
      <c r="E1518" s="333"/>
      <c r="F1518" s="334"/>
      <c r="G1518" s="337"/>
      <c r="H1518" s="131"/>
      <c r="I1518" s="337"/>
      <c r="J1518" s="131"/>
      <c r="K1518" s="458" t="str">
        <f t="shared" si="872"/>
        <v/>
      </c>
      <c r="L1518" s="458">
        <f t="shared" si="873"/>
        <v>0</v>
      </c>
      <c r="M1518" s="458">
        <f t="shared" si="874"/>
        <v>0</v>
      </c>
      <c r="N1518" s="459" t="str">
        <f t="shared" si="847"/>
        <v/>
      </c>
      <c r="O1518" s="459" t="str">
        <f t="shared" si="848"/>
        <v/>
      </c>
      <c r="P1518" s="459" t="str">
        <f t="shared" si="849"/>
        <v/>
      </c>
      <c r="Q1518" s="459" t="str">
        <f t="shared" si="850"/>
        <v/>
      </c>
      <c r="R1518" s="459" t="str">
        <f t="shared" si="851"/>
        <v/>
      </c>
      <c r="S1518" s="459" t="str">
        <f t="shared" si="852"/>
        <v/>
      </c>
      <c r="T1518" s="566" t="str">
        <f t="shared" si="875"/>
        <v/>
      </c>
      <c r="U1518" s="702"/>
      <c r="V1518" s="132"/>
      <c r="W1518" s="133"/>
      <c r="X1518" s="134"/>
      <c r="Y1518" s="135"/>
      <c r="Z1518" s="137"/>
      <c r="AA1518" s="136"/>
      <c r="AB1518" s="566" t="str">
        <f t="shared" si="876"/>
        <v/>
      </c>
      <c r="AC1518" s="568" t="str">
        <f t="shared" si="877"/>
        <v/>
      </c>
      <c r="AD1518" s="137"/>
      <c r="AE1518" s="137"/>
      <c r="AF1518" s="138"/>
      <c r="AG1518" s="138"/>
      <c r="AH1518" s="592" t="str">
        <f t="shared" si="878"/>
        <v/>
      </c>
      <c r="AI1518" s="592" t="str">
        <f t="shared" si="879"/>
        <v/>
      </c>
      <c r="AJ1518" s="592" t="str">
        <f t="shared" si="880"/>
        <v/>
      </c>
      <c r="AK1518" s="460" t="str">
        <f>IF(AU1518="","",IF(OR(AZ1518=8,AZ1518=9),0,IF(OR(AW1518=3,AW1518=4,AW1518=5,AW1518=6),IF(LEFT(BF1518,1)="1",INDEX(係数_NOX・PM低減,MATCH(AY1518,【参考】排出係数!$AI$801:$AI$804,1),1),VLOOKUP(AU1518,INDEX((係数_バス貨物_ガソリン,係数_バス貨物_CNG,係数_バス貨物_軽油,係数_バス貨物_メタノール,係数_バス貨物_LPG),MATCH(AY1518,【参考】排出係数!$AI$4:$AI$671,1),1,BE1518):INDEX((係数_バス貨物_ガソリン,係数_バス貨物_CNG,係数_バス貨物_軽油,係数_バス貨物_メタノール,係数_バス貨物_LPG),MATCH(AY1518+1,【参考】排出係数!$AI$4:$AI$671,1)-1,5,BE1518),4,FALSE)),IF(AND(BE1518=3,LEFT(BF1518,1)="1"),0.48,VLOOKUP(AU1518,INDEX((係数_乗用_ガソリン,係数_乗用_CNG,係数_乗用_軽油,係数_乗用_メタノール,係数_乗用_LPG),1,1,BE1518):INDEX((係数_乗用_ガソリン,係数_乗用_CNG,係数_乗用_軽油,係数_乗用_メタノール,係数_乗用_LPG),125,5,BE1518),4,FALSE)))))</f>
        <v/>
      </c>
      <c r="AL1518" s="461" t="str">
        <f t="shared" si="881"/>
        <v/>
      </c>
      <c r="AM1518" s="460" t="str">
        <f>IF(AU1518="","",IF(OR(AZ1518=8,AZ1518=9),0,IF(OR(AW1518=3,AW1518=4,AW1518=5,AW1518=6),IF(LEFT(BH1518,1)="1",INDEX(係数_PM低減,MATCH(AY1518,【参考】排出係数!$AI$801:$AI$804,1),MATCH(BI1518,【参考】排出係数!$AL$798:$AO$798,1)),VLOOKUP(AU1518,INDEX((係数_バス貨物_ガソリン,係数_バス貨物_CNG,係数_バス貨物_軽油,係数_バス貨物_メタノール,係数_バス貨物_LPG),MATCH(AY1518,【参考】排出係数!$AI$4:$AI$671,1),1,BE1518):INDEX((係数_バス貨物_ガソリン,係数_バス貨物_CNG,係数_バス貨物_軽油,係数_バス貨物_メタノール,係数_バス貨物_LPG),MATCH(AY1518+1,【参考】排出係数!$AI$4:$AI$671,1)-1,5,BE1518),5,FALSE)),IF(AND(BE1518=3,LEFT(BF1518,1)="1"),0.055,VLOOKUP(AU1518,INDEX((係数_乗用_ガソリン,係数_乗用_CNG,係数_乗用_軽油,係数_乗用_メタノール,係数_乗用_LPG),1,1,BE1518):INDEX((係数_乗用_ガソリン,係数_乗用_CNG,係数_乗用_軽油,係数_乗用_メタノール,係数_乗用_LPG),125,5,BE1518),5,FALSE)))))</f>
        <v/>
      </c>
      <c r="AN1518" s="461" t="str">
        <f t="shared" si="882"/>
        <v/>
      </c>
      <c r="AO1518" s="462" t="str">
        <f t="shared" si="883"/>
        <v/>
      </c>
      <c r="AP1518" s="463" t="str">
        <f t="shared" si="884"/>
        <v/>
      </c>
      <c r="AQ1518" s="464"/>
      <c r="AR1518" s="619"/>
      <c r="AS1518" s="465" t="str">
        <f t="shared" si="854"/>
        <v/>
      </c>
      <c r="AT1518" s="465" t="str">
        <f t="shared" si="855"/>
        <v/>
      </c>
      <c r="AU1518" s="466" t="str">
        <f t="shared" si="856"/>
        <v/>
      </c>
      <c r="AV1518" s="467" t="str">
        <f t="shared" si="857"/>
        <v/>
      </c>
      <c r="AW1518" s="467" t="str">
        <f t="shared" si="858"/>
        <v/>
      </c>
      <c r="AX1518" s="467" t="str">
        <f t="shared" si="859"/>
        <v/>
      </c>
      <c r="AY1518" s="467" t="str">
        <f t="shared" si="860"/>
        <v/>
      </c>
      <c r="AZ1518" s="467" t="str">
        <f t="shared" si="861"/>
        <v/>
      </c>
      <c r="BA1518" s="468" t="str">
        <f>IF(AS1518="","",IF(OR(AU1518="",AU1518="-"),"－",IF(OR(AZ1518=8,AZ1518=9),"",IF(OR(AW1518=3,AW1518=4,AW1518=5,AW1518=6),VLOOKUP(AU1518,INDEX((係数_バス貨物_ガソリン,係数_バス貨物_CNG,係数_バス貨物_軽油,係数_バス貨物_メタノール,係数_バス貨物_LPG),MATCH(AY1518,【参考】排出係数!$AI$4:$AI$671,1),1,BE1518):INDEX((係数_バス貨物_ガソリン,係数_バス貨物_CNG,係数_バス貨物_軽油,係数_バス貨物_メタノール,係数_バス貨物_LPG),MATCH(AY1518+1,【参考】排出係数!$AI$4:$AI$671,1)-1,5,BE1518),2,FALSE),IF(OR(AW1518=1,AW1518=2),VLOOKUP(AU1518,INDEX((係数_乗用_ガソリン,係数_乗用_CNG,係数_乗用_軽油,係数_乗用_メタノール,係数_乗用_LPG),1,1,BE1518):INDEX((係数_乗用_ガソリン,係数_乗用_CNG,係数_乗用_軽油,係数_乗用_メタノール,係数_乗用_LPG),125,5,BE1518),2,FALSE))))))</f>
        <v/>
      </c>
      <c r="BB1518" s="468" t="str">
        <f>IF(T1518="","",IF(OR(AU1518="",AU1518="-"),"－",IF(OR(AZ1518=8,AZ1518=9),"",IF(OR(AW1518=3,AW1518=4,AW1518=5,AW1518=6),VLOOKUP(AU1518,INDEX((係数_バス貨物_ガソリン,係数_バス貨物_CNG,係数_バス貨物_軽油,係数_バス貨物_メタノール,係数_バス貨物_LPG),MATCH(AY1518,【参考】排出係数!$AI$4:$AI$671,1),1,BE1518):INDEX((係数_バス貨物_ガソリン,係数_バス貨物_CNG,係数_バス貨物_軽油,係数_バス貨物_メタノール,係数_バス貨物_LPG),MATCH(AY1518+1,【参考】排出係数!$AI$4:$AI$671,1)-1,5,BE1518),3,FALSE),IF(OR(AW1518=1,AW1518=2),VLOOKUP(AU1518,INDEX((係数_乗用_ガソリン,係数_乗用_CNG,係数_乗用_軽油,係数_乗用_メタノール,係数_乗用_LPG),1,1,BE1518):INDEX((係数_乗用_ガソリン,係数_乗用_CNG,係数_乗用_軽油,係数_乗用_メタノール,係数_乗用_LPG),125,5,BE1518),3,FALSE))))))</f>
        <v/>
      </c>
      <c r="BC1518" s="467" t="str">
        <f t="shared" si="862"/>
        <v/>
      </c>
      <c r="BD1518" s="567" t="str">
        <f t="shared" si="863"/>
        <v/>
      </c>
      <c r="BE1518" s="467" t="str">
        <f t="shared" si="864"/>
        <v/>
      </c>
      <c r="BF1518" s="469" t="str">
        <f t="shared" ca="1" si="865"/>
        <v/>
      </c>
      <c r="BG1518" s="469" t="str">
        <f t="shared" ca="1" si="866"/>
        <v/>
      </c>
      <c r="BH1518" s="467" t="str">
        <f t="shared" si="867"/>
        <v/>
      </c>
      <c r="BI1518" s="467" t="str">
        <f t="shared" ca="1" si="868"/>
        <v/>
      </c>
      <c r="BJ1518" s="469" t="str">
        <f t="shared" si="869"/>
        <v/>
      </c>
      <c r="BK1518" s="470" t="str">
        <f t="shared" si="853"/>
        <v/>
      </c>
      <c r="BL1518" s="775" t="str">
        <f t="shared" si="870"/>
        <v/>
      </c>
      <c r="BM1518" s="775" t="str">
        <f t="shared" si="871"/>
        <v/>
      </c>
    </row>
    <row r="1519" spans="1:65">
      <c r="A1519" s="473">
        <v>1463</v>
      </c>
      <c r="B1519" s="132"/>
      <c r="C1519" s="332"/>
      <c r="D1519" s="333"/>
      <c r="E1519" s="333"/>
      <c r="F1519" s="334"/>
      <c r="G1519" s="337"/>
      <c r="H1519" s="131"/>
      <c r="I1519" s="337"/>
      <c r="J1519" s="131"/>
      <c r="K1519" s="458" t="str">
        <f t="shared" si="872"/>
        <v/>
      </c>
      <c r="L1519" s="458">
        <f t="shared" si="873"/>
        <v>0</v>
      </c>
      <c r="M1519" s="458">
        <f t="shared" si="874"/>
        <v>0</v>
      </c>
      <c r="N1519" s="459" t="str">
        <f t="shared" si="847"/>
        <v/>
      </c>
      <c r="O1519" s="459" t="str">
        <f t="shared" si="848"/>
        <v/>
      </c>
      <c r="P1519" s="459" t="str">
        <f t="shared" si="849"/>
        <v/>
      </c>
      <c r="Q1519" s="459" t="str">
        <f t="shared" si="850"/>
        <v/>
      </c>
      <c r="R1519" s="459" t="str">
        <f t="shared" si="851"/>
        <v/>
      </c>
      <c r="S1519" s="459" t="str">
        <f t="shared" si="852"/>
        <v/>
      </c>
      <c r="T1519" s="566" t="str">
        <f t="shared" si="875"/>
        <v/>
      </c>
      <c r="U1519" s="702"/>
      <c r="V1519" s="132"/>
      <c r="W1519" s="133"/>
      <c r="X1519" s="134"/>
      <c r="Y1519" s="135"/>
      <c r="Z1519" s="137"/>
      <c r="AA1519" s="136"/>
      <c r="AB1519" s="566" t="str">
        <f t="shared" si="876"/>
        <v/>
      </c>
      <c r="AC1519" s="568" t="str">
        <f t="shared" si="877"/>
        <v/>
      </c>
      <c r="AD1519" s="137"/>
      <c r="AE1519" s="137"/>
      <c r="AF1519" s="138"/>
      <c r="AG1519" s="138"/>
      <c r="AH1519" s="592" t="str">
        <f t="shared" si="878"/>
        <v/>
      </c>
      <c r="AI1519" s="592" t="str">
        <f t="shared" si="879"/>
        <v/>
      </c>
      <c r="AJ1519" s="592" t="str">
        <f t="shared" si="880"/>
        <v/>
      </c>
      <c r="AK1519" s="460" t="str">
        <f>IF(AU1519="","",IF(OR(AZ1519=8,AZ1519=9),0,IF(OR(AW1519=3,AW1519=4,AW1519=5,AW1519=6),IF(LEFT(BF1519,1)="1",INDEX(係数_NOX・PM低減,MATCH(AY1519,【参考】排出係数!$AI$801:$AI$804,1),1),VLOOKUP(AU1519,INDEX((係数_バス貨物_ガソリン,係数_バス貨物_CNG,係数_バス貨物_軽油,係数_バス貨物_メタノール,係数_バス貨物_LPG),MATCH(AY1519,【参考】排出係数!$AI$4:$AI$671,1),1,BE1519):INDEX((係数_バス貨物_ガソリン,係数_バス貨物_CNG,係数_バス貨物_軽油,係数_バス貨物_メタノール,係数_バス貨物_LPG),MATCH(AY1519+1,【参考】排出係数!$AI$4:$AI$671,1)-1,5,BE1519),4,FALSE)),IF(AND(BE1519=3,LEFT(BF1519,1)="1"),0.48,VLOOKUP(AU1519,INDEX((係数_乗用_ガソリン,係数_乗用_CNG,係数_乗用_軽油,係数_乗用_メタノール,係数_乗用_LPG),1,1,BE1519):INDEX((係数_乗用_ガソリン,係数_乗用_CNG,係数_乗用_軽油,係数_乗用_メタノール,係数_乗用_LPG),125,5,BE1519),4,FALSE)))))</f>
        <v/>
      </c>
      <c r="AL1519" s="461" t="str">
        <f t="shared" si="881"/>
        <v/>
      </c>
      <c r="AM1519" s="460" t="str">
        <f>IF(AU1519="","",IF(OR(AZ1519=8,AZ1519=9),0,IF(OR(AW1519=3,AW1519=4,AW1519=5,AW1519=6),IF(LEFT(BH1519,1)="1",INDEX(係数_PM低減,MATCH(AY1519,【参考】排出係数!$AI$801:$AI$804,1),MATCH(BI1519,【参考】排出係数!$AL$798:$AO$798,1)),VLOOKUP(AU1519,INDEX((係数_バス貨物_ガソリン,係数_バス貨物_CNG,係数_バス貨物_軽油,係数_バス貨物_メタノール,係数_バス貨物_LPG),MATCH(AY1519,【参考】排出係数!$AI$4:$AI$671,1),1,BE1519):INDEX((係数_バス貨物_ガソリン,係数_バス貨物_CNG,係数_バス貨物_軽油,係数_バス貨物_メタノール,係数_バス貨物_LPG),MATCH(AY1519+1,【参考】排出係数!$AI$4:$AI$671,1)-1,5,BE1519),5,FALSE)),IF(AND(BE1519=3,LEFT(BF1519,1)="1"),0.055,VLOOKUP(AU1519,INDEX((係数_乗用_ガソリン,係数_乗用_CNG,係数_乗用_軽油,係数_乗用_メタノール,係数_乗用_LPG),1,1,BE1519):INDEX((係数_乗用_ガソリン,係数_乗用_CNG,係数_乗用_軽油,係数_乗用_メタノール,係数_乗用_LPG),125,5,BE1519),5,FALSE)))))</f>
        <v/>
      </c>
      <c r="AN1519" s="461" t="str">
        <f t="shared" si="882"/>
        <v/>
      </c>
      <c r="AO1519" s="462" t="str">
        <f t="shared" si="883"/>
        <v/>
      </c>
      <c r="AP1519" s="463" t="str">
        <f t="shared" si="884"/>
        <v/>
      </c>
      <c r="AQ1519" s="464"/>
      <c r="AR1519" s="619"/>
      <c r="AS1519" s="465" t="str">
        <f t="shared" si="854"/>
        <v/>
      </c>
      <c r="AT1519" s="465" t="str">
        <f t="shared" si="855"/>
        <v/>
      </c>
      <c r="AU1519" s="466" t="str">
        <f t="shared" si="856"/>
        <v/>
      </c>
      <c r="AV1519" s="467" t="str">
        <f t="shared" si="857"/>
        <v/>
      </c>
      <c r="AW1519" s="467" t="str">
        <f t="shared" si="858"/>
        <v/>
      </c>
      <c r="AX1519" s="467" t="str">
        <f t="shared" si="859"/>
        <v/>
      </c>
      <c r="AY1519" s="467" t="str">
        <f t="shared" si="860"/>
        <v/>
      </c>
      <c r="AZ1519" s="467" t="str">
        <f t="shared" si="861"/>
        <v/>
      </c>
      <c r="BA1519" s="468" t="str">
        <f>IF(AS1519="","",IF(OR(AU1519="",AU1519="-"),"－",IF(OR(AZ1519=8,AZ1519=9),"",IF(OR(AW1519=3,AW1519=4,AW1519=5,AW1519=6),VLOOKUP(AU1519,INDEX((係数_バス貨物_ガソリン,係数_バス貨物_CNG,係数_バス貨物_軽油,係数_バス貨物_メタノール,係数_バス貨物_LPG),MATCH(AY1519,【参考】排出係数!$AI$4:$AI$671,1),1,BE1519):INDEX((係数_バス貨物_ガソリン,係数_バス貨物_CNG,係数_バス貨物_軽油,係数_バス貨物_メタノール,係数_バス貨物_LPG),MATCH(AY1519+1,【参考】排出係数!$AI$4:$AI$671,1)-1,5,BE1519),2,FALSE),IF(OR(AW1519=1,AW1519=2),VLOOKUP(AU1519,INDEX((係数_乗用_ガソリン,係数_乗用_CNG,係数_乗用_軽油,係数_乗用_メタノール,係数_乗用_LPG),1,1,BE1519):INDEX((係数_乗用_ガソリン,係数_乗用_CNG,係数_乗用_軽油,係数_乗用_メタノール,係数_乗用_LPG),125,5,BE1519),2,FALSE))))))</f>
        <v/>
      </c>
      <c r="BB1519" s="468" t="str">
        <f>IF(T1519="","",IF(OR(AU1519="",AU1519="-"),"－",IF(OR(AZ1519=8,AZ1519=9),"",IF(OR(AW1519=3,AW1519=4,AW1519=5,AW1519=6),VLOOKUP(AU1519,INDEX((係数_バス貨物_ガソリン,係数_バス貨物_CNG,係数_バス貨物_軽油,係数_バス貨物_メタノール,係数_バス貨物_LPG),MATCH(AY1519,【参考】排出係数!$AI$4:$AI$671,1),1,BE1519):INDEX((係数_バス貨物_ガソリン,係数_バス貨物_CNG,係数_バス貨物_軽油,係数_バス貨物_メタノール,係数_バス貨物_LPG),MATCH(AY1519+1,【参考】排出係数!$AI$4:$AI$671,1)-1,5,BE1519),3,FALSE),IF(OR(AW1519=1,AW1519=2),VLOOKUP(AU1519,INDEX((係数_乗用_ガソリン,係数_乗用_CNG,係数_乗用_軽油,係数_乗用_メタノール,係数_乗用_LPG),1,1,BE1519):INDEX((係数_乗用_ガソリン,係数_乗用_CNG,係数_乗用_軽油,係数_乗用_メタノール,係数_乗用_LPG),125,5,BE1519),3,FALSE))))))</f>
        <v/>
      </c>
      <c r="BC1519" s="467" t="str">
        <f t="shared" si="862"/>
        <v/>
      </c>
      <c r="BD1519" s="567" t="str">
        <f t="shared" si="863"/>
        <v/>
      </c>
      <c r="BE1519" s="467" t="str">
        <f t="shared" si="864"/>
        <v/>
      </c>
      <c r="BF1519" s="469" t="str">
        <f t="shared" ca="1" si="865"/>
        <v/>
      </c>
      <c r="BG1519" s="469" t="str">
        <f t="shared" ca="1" si="866"/>
        <v/>
      </c>
      <c r="BH1519" s="467" t="str">
        <f t="shared" si="867"/>
        <v/>
      </c>
      <c r="BI1519" s="467" t="str">
        <f t="shared" ca="1" si="868"/>
        <v/>
      </c>
      <c r="BJ1519" s="469" t="str">
        <f t="shared" si="869"/>
        <v/>
      </c>
      <c r="BK1519" s="470" t="str">
        <f t="shared" si="853"/>
        <v/>
      </c>
      <c r="BL1519" s="775" t="str">
        <f t="shared" si="870"/>
        <v/>
      </c>
      <c r="BM1519" s="775" t="str">
        <f t="shared" si="871"/>
        <v/>
      </c>
    </row>
    <row r="1520" spans="1:65">
      <c r="A1520" s="473">
        <v>1464</v>
      </c>
      <c r="B1520" s="132"/>
      <c r="C1520" s="332"/>
      <c r="D1520" s="333"/>
      <c r="E1520" s="333"/>
      <c r="F1520" s="334"/>
      <c r="G1520" s="337"/>
      <c r="H1520" s="131"/>
      <c r="I1520" s="337"/>
      <c r="J1520" s="131"/>
      <c r="K1520" s="458" t="str">
        <f t="shared" si="872"/>
        <v/>
      </c>
      <c r="L1520" s="458">
        <f t="shared" si="873"/>
        <v>0</v>
      </c>
      <c r="M1520" s="458">
        <f t="shared" si="874"/>
        <v>0</v>
      </c>
      <c r="N1520" s="459" t="str">
        <f t="shared" si="847"/>
        <v/>
      </c>
      <c r="O1520" s="459" t="str">
        <f t="shared" si="848"/>
        <v/>
      </c>
      <c r="P1520" s="459" t="str">
        <f t="shared" si="849"/>
        <v/>
      </c>
      <c r="Q1520" s="459" t="str">
        <f t="shared" si="850"/>
        <v/>
      </c>
      <c r="R1520" s="459" t="str">
        <f t="shared" si="851"/>
        <v/>
      </c>
      <c r="S1520" s="459" t="str">
        <f t="shared" si="852"/>
        <v/>
      </c>
      <c r="T1520" s="566" t="str">
        <f t="shared" si="875"/>
        <v/>
      </c>
      <c r="U1520" s="702"/>
      <c r="V1520" s="132"/>
      <c r="W1520" s="133"/>
      <c r="X1520" s="134"/>
      <c r="Y1520" s="135"/>
      <c r="Z1520" s="137"/>
      <c r="AA1520" s="136"/>
      <c r="AB1520" s="566" t="str">
        <f t="shared" si="876"/>
        <v/>
      </c>
      <c r="AC1520" s="568" t="str">
        <f t="shared" si="877"/>
        <v/>
      </c>
      <c r="AD1520" s="137"/>
      <c r="AE1520" s="137"/>
      <c r="AF1520" s="138"/>
      <c r="AG1520" s="138"/>
      <c r="AH1520" s="592" t="str">
        <f t="shared" si="878"/>
        <v/>
      </c>
      <c r="AI1520" s="592" t="str">
        <f t="shared" si="879"/>
        <v/>
      </c>
      <c r="AJ1520" s="592" t="str">
        <f t="shared" si="880"/>
        <v/>
      </c>
      <c r="AK1520" s="460" t="str">
        <f>IF(AU1520="","",IF(OR(AZ1520=8,AZ1520=9),0,IF(OR(AW1520=3,AW1520=4,AW1520=5,AW1520=6),IF(LEFT(BF1520,1)="1",INDEX(係数_NOX・PM低減,MATCH(AY1520,【参考】排出係数!$AI$801:$AI$804,1),1),VLOOKUP(AU1520,INDEX((係数_バス貨物_ガソリン,係数_バス貨物_CNG,係数_バス貨物_軽油,係数_バス貨物_メタノール,係数_バス貨物_LPG),MATCH(AY1520,【参考】排出係数!$AI$4:$AI$671,1),1,BE1520):INDEX((係数_バス貨物_ガソリン,係数_バス貨物_CNG,係数_バス貨物_軽油,係数_バス貨物_メタノール,係数_バス貨物_LPG),MATCH(AY1520+1,【参考】排出係数!$AI$4:$AI$671,1)-1,5,BE1520),4,FALSE)),IF(AND(BE1520=3,LEFT(BF1520,1)="1"),0.48,VLOOKUP(AU1520,INDEX((係数_乗用_ガソリン,係数_乗用_CNG,係数_乗用_軽油,係数_乗用_メタノール,係数_乗用_LPG),1,1,BE1520):INDEX((係数_乗用_ガソリン,係数_乗用_CNG,係数_乗用_軽油,係数_乗用_メタノール,係数_乗用_LPG),125,5,BE1520),4,FALSE)))))</f>
        <v/>
      </c>
      <c r="AL1520" s="461" t="str">
        <f t="shared" si="881"/>
        <v/>
      </c>
      <c r="AM1520" s="460" t="str">
        <f>IF(AU1520="","",IF(OR(AZ1520=8,AZ1520=9),0,IF(OR(AW1520=3,AW1520=4,AW1520=5,AW1520=6),IF(LEFT(BH1520,1)="1",INDEX(係数_PM低減,MATCH(AY1520,【参考】排出係数!$AI$801:$AI$804,1),MATCH(BI1520,【参考】排出係数!$AL$798:$AO$798,1)),VLOOKUP(AU1520,INDEX((係数_バス貨物_ガソリン,係数_バス貨物_CNG,係数_バス貨物_軽油,係数_バス貨物_メタノール,係数_バス貨物_LPG),MATCH(AY1520,【参考】排出係数!$AI$4:$AI$671,1),1,BE1520):INDEX((係数_バス貨物_ガソリン,係数_バス貨物_CNG,係数_バス貨物_軽油,係数_バス貨物_メタノール,係数_バス貨物_LPG),MATCH(AY1520+1,【参考】排出係数!$AI$4:$AI$671,1)-1,5,BE1520),5,FALSE)),IF(AND(BE1520=3,LEFT(BF1520,1)="1"),0.055,VLOOKUP(AU1520,INDEX((係数_乗用_ガソリン,係数_乗用_CNG,係数_乗用_軽油,係数_乗用_メタノール,係数_乗用_LPG),1,1,BE1520):INDEX((係数_乗用_ガソリン,係数_乗用_CNG,係数_乗用_軽油,係数_乗用_メタノール,係数_乗用_LPG),125,5,BE1520),5,FALSE)))))</f>
        <v/>
      </c>
      <c r="AN1520" s="461" t="str">
        <f t="shared" si="882"/>
        <v/>
      </c>
      <c r="AO1520" s="462" t="str">
        <f t="shared" si="883"/>
        <v/>
      </c>
      <c r="AP1520" s="463" t="str">
        <f t="shared" si="884"/>
        <v/>
      </c>
      <c r="AQ1520" s="464"/>
      <c r="AR1520" s="619"/>
      <c r="AS1520" s="465" t="str">
        <f t="shared" si="854"/>
        <v/>
      </c>
      <c r="AT1520" s="465" t="str">
        <f t="shared" si="855"/>
        <v/>
      </c>
      <c r="AU1520" s="466" t="str">
        <f t="shared" si="856"/>
        <v/>
      </c>
      <c r="AV1520" s="467" t="str">
        <f t="shared" si="857"/>
        <v/>
      </c>
      <c r="AW1520" s="467" t="str">
        <f t="shared" si="858"/>
        <v/>
      </c>
      <c r="AX1520" s="467" t="str">
        <f t="shared" si="859"/>
        <v/>
      </c>
      <c r="AY1520" s="467" t="str">
        <f t="shared" si="860"/>
        <v/>
      </c>
      <c r="AZ1520" s="467" t="str">
        <f t="shared" si="861"/>
        <v/>
      </c>
      <c r="BA1520" s="468" t="str">
        <f>IF(AS1520="","",IF(OR(AU1520="",AU1520="-"),"－",IF(OR(AZ1520=8,AZ1520=9),"",IF(OR(AW1520=3,AW1520=4,AW1520=5,AW1520=6),VLOOKUP(AU1520,INDEX((係数_バス貨物_ガソリン,係数_バス貨物_CNG,係数_バス貨物_軽油,係数_バス貨物_メタノール,係数_バス貨物_LPG),MATCH(AY1520,【参考】排出係数!$AI$4:$AI$671,1),1,BE1520):INDEX((係数_バス貨物_ガソリン,係数_バス貨物_CNG,係数_バス貨物_軽油,係数_バス貨物_メタノール,係数_バス貨物_LPG),MATCH(AY1520+1,【参考】排出係数!$AI$4:$AI$671,1)-1,5,BE1520),2,FALSE),IF(OR(AW1520=1,AW1520=2),VLOOKUP(AU1520,INDEX((係数_乗用_ガソリン,係数_乗用_CNG,係数_乗用_軽油,係数_乗用_メタノール,係数_乗用_LPG),1,1,BE1520):INDEX((係数_乗用_ガソリン,係数_乗用_CNG,係数_乗用_軽油,係数_乗用_メタノール,係数_乗用_LPG),125,5,BE1520),2,FALSE))))))</f>
        <v/>
      </c>
      <c r="BB1520" s="468" t="str">
        <f>IF(T1520="","",IF(OR(AU1520="",AU1520="-"),"－",IF(OR(AZ1520=8,AZ1520=9),"",IF(OR(AW1520=3,AW1520=4,AW1520=5,AW1520=6),VLOOKUP(AU1520,INDEX((係数_バス貨物_ガソリン,係数_バス貨物_CNG,係数_バス貨物_軽油,係数_バス貨物_メタノール,係数_バス貨物_LPG),MATCH(AY1520,【参考】排出係数!$AI$4:$AI$671,1),1,BE1520):INDEX((係数_バス貨物_ガソリン,係数_バス貨物_CNG,係数_バス貨物_軽油,係数_バス貨物_メタノール,係数_バス貨物_LPG),MATCH(AY1520+1,【参考】排出係数!$AI$4:$AI$671,1)-1,5,BE1520),3,FALSE),IF(OR(AW1520=1,AW1520=2),VLOOKUP(AU1520,INDEX((係数_乗用_ガソリン,係数_乗用_CNG,係数_乗用_軽油,係数_乗用_メタノール,係数_乗用_LPG),1,1,BE1520):INDEX((係数_乗用_ガソリン,係数_乗用_CNG,係数_乗用_軽油,係数_乗用_メタノール,係数_乗用_LPG),125,5,BE1520),3,FALSE))))))</f>
        <v/>
      </c>
      <c r="BC1520" s="467" t="str">
        <f t="shared" si="862"/>
        <v/>
      </c>
      <c r="BD1520" s="567" t="str">
        <f t="shared" si="863"/>
        <v/>
      </c>
      <c r="BE1520" s="467" t="str">
        <f t="shared" si="864"/>
        <v/>
      </c>
      <c r="BF1520" s="469" t="str">
        <f t="shared" ca="1" si="865"/>
        <v/>
      </c>
      <c r="BG1520" s="469" t="str">
        <f t="shared" ca="1" si="866"/>
        <v/>
      </c>
      <c r="BH1520" s="467" t="str">
        <f t="shared" si="867"/>
        <v/>
      </c>
      <c r="BI1520" s="467" t="str">
        <f t="shared" ca="1" si="868"/>
        <v/>
      </c>
      <c r="BJ1520" s="469" t="str">
        <f t="shared" si="869"/>
        <v/>
      </c>
      <c r="BK1520" s="470" t="str">
        <f t="shared" si="853"/>
        <v/>
      </c>
      <c r="BL1520" s="775" t="str">
        <f t="shared" si="870"/>
        <v/>
      </c>
      <c r="BM1520" s="775" t="str">
        <f t="shared" si="871"/>
        <v/>
      </c>
    </row>
    <row r="1521" spans="1:65">
      <c r="A1521" s="473">
        <v>1465</v>
      </c>
      <c r="B1521" s="132"/>
      <c r="C1521" s="332"/>
      <c r="D1521" s="333"/>
      <c r="E1521" s="333"/>
      <c r="F1521" s="334"/>
      <c r="G1521" s="337"/>
      <c r="H1521" s="131"/>
      <c r="I1521" s="337"/>
      <c r="J1521" s="131"/>
      <c r="K1521" s="458" t="str">
        <f t="shared" si="872"/>
        <v/>
      </c>
      <c r="L1521" s="458">
        <f t="shared" si="873"/>
        <v>0</v>
      </c>
      <c r="M1521" s="458">
        <f t="shared" si="874"/>
        <v>0</v>
      </c>
      <c r="N1521" s="459" t="str">
        <f t="shared" si="847"/>
        <v/>
      </c>
      <c r="O1521" s="459" t="str">
        <f t="shared" si="848"/>
        <v/>
      </c>
      <c r="P1521" s="459" t="str">
        <f t="shared" si="849"/>
        <v/>
      </c>
      <c r="Q1521" s="459" t="str">
        <f t="shared" si="850"/>
        <v/>
      </c>
      <c r="R1521" s="459" t="str">
        <f t="shared" si="851"/>
        <v/>
      </c>
      <c r="S1521" s="459" t="str">
        <f t="shared" si="852"/>
        <v/>
      </c>
      <c r="T1521" s="566" t="str">
        <f t="shared" si="875"/>
        <v/>
      </c>
      <c r="U1521" s="702"/>
      <c r="V1521" s="132"/>
      <c r="W1521" s="133"/>
      <c r="X1521" s="134"/>
      <c r="Y1521" s="135"/>
      <c r="Z1521" s="137"/>
      <c r="AA1521" s="136"/>
      <c r="AB1521" s="566" t="str">
        <f t="shared" si="876"/>
        <v/>
      </c>
      <c r="AC1521" s="568" t="str">
        <f t="shared" si="877"/>
        <v/>
      </c>
      <c r="AD1521" s="137"/>
      <c r="AE1521" s="137"/>
      <c r="AF1521" s="138"/>
      <c r="AG1521" s="138"/>
      <c r="AH1521" s="592" t="str">
        <f t="shared" si="878"/>
        <v/>
      </c>
      <c r="AI1521" s="592" t="str">
        <f t="shared" si="879"/>
        <v/>
      </c>
      <c r="AJ1521" s="592" t="str">
        <f t="shared" si="880"/>
        <v/>
      </c>
      <c r="AK1521" s="460" t="str">
        <f>IF(AU1521="","",IF(OR(AZ1521=8,AZ1521=9),0,IF(OR(AW1521=3,AW1521=4,AW1521=5,AW1521=6),IF(LEFT(BF1521,1)="1",INDEX(係数_NOX・PM低減,MATCH(AY1521,【参考】排出係数!$AI$801:$AI$804,1),1),VLOOKUP(AU1521,INDEX((係数_バス貨物_ガソリン,係数_バス貨物_CNG,係数_バス貨物_軽油,係数_バス貨物_メタノール,係数_バス貨物_LPG),MATCH(AY1521,【参考】排出係数!$AI$4:$AI$671,1),1,BE1521):INDEX((係数_バス貨物_ガソリン,係数_バス貨物_CNG,係数_バス貨物_軽油,係数_バス貨物_メタノール,係数_バス貨物_LPG),MATCH(AY1521+1,【参考】排出係数!$AI$4:$AI$671,1)-1,5,BE1521),4,FALSE)),IF(AND(BE1521=3,LEFT(BF1521,1)="1"),0.48,VLOOKUP(AU1521,INDEX((係数_乗用_ガソリン,係数_乗用_CNG,係数_乗用_軽油,係数_乗用_メタノール,係数_乗用_LPG),1,1,BE1521):INDEX((係数_乗用_ガソリン,係数_乗用_CNG,係数_乗用_軽油,係数_乗用_メタノール,係数_乗用_LPG),125,5,BE1521),4,FALSE)))))</f>
        <v/>
      </c>
      <c r="AL1521" s="461" t="str">
        <f t="shared" si="881"/>
        <v/>
      </c>
      <c r="AM1521" s="460" t="str">
        <f>IF(AU1521="","",IF(OR(AZ1521=8,AZ1521=9),0,IF(OR(AW1521=3,AW1521=4,AW1521=5,AW1521=6),IF(LEFT(BH1521,1)="1",INDEX(係数_PM低減,MATCH(AY1521,【参考】排出係数!$AI$801:$AI$804,1),MATCH(BI1521,【参考】排出係数!$AL$798:$AO$798,1)),VLOOKUP(AU1521,INDEX((係数_バス貨物_ガソリン,係数_バス貨物_CNG,係数_バス貨物_軽油,係数_バス貨物_メタノール,係数_バス貨物_LPG),MATCH(AY1521,【参考】排出係数!$AI$4:$AI$671,1),1,BE1521):INDEX((係数_バス貨物_ガソリン,係数_バス貨物_CNG,係数_バス貨物_軽油,係数_バス貨物_メタノール,係数_バス貨物_LPG),MATCH(AY1521+1,【参考】排出係数!$AI$4:$AI$671,1)-1,5,BE1521),5,FALSE)),IF(AND(BE1521=3,LEFT(BF1521,1)="1"),0.055,VLOOKUP(AU1521,INDEX((係数_乗用_ガソリン,係数_乗用_CNG,係数_乗用_軽油,係数_乗用_メタノール,係数_乗用_LPG),1,1,BE1521):INDEX((係数_乗用_ガソリン,係数_乗用_CNG,係数_乗用_軽油,係数_乗用_メタノール,係数_乗用_LPG),125,5,BE1521),5,FALSE)))))</f>
        <v/>
      </c>
      <c r="AN1521" s="461" t="str">
        <f t="shared" si="882"/>
        <v/>
      </c>
      <c r="AO1521" s="462" t="str">
        <f t="shared" si="883"/>
        <v/>
      </c>
      <c r="AP1521" s="463" t="str">
        <f t="shared" si="884"/>
        <v/>
      </c>
      <c r="AQ1521" s="464"/>
      <c r="AR1521" s="619"/>
      <c r="AS1521" s="465" t="str">
        <f t="shared" si="854"/>
        <v/>
      </c>
      <c r="AT1521" s="465" t="str">
        <f t="shared" si="855"/>
        <v/>
      </c>
      <c r="AU1521" s="466" t="str">
        <f t="shared" si="856"/>
        <v/>
      </c>
      <c r="AV1521" s="467" t="str">
        <f t="shared" si="857"/>
        <v/>
      </c>
      <c r="AW1521" s="467" t="str">
        <f t="shared" si="858"/>
        <v/>
      </c>
      <c r="AX1521" s="467" t="str">
        <f t="shared" si="859"/>
        <v/>
      </c>
      <c r="AY1521" s="467" t="str">
        <f t="shared" si="860"/>
        <v/>
      </c>
      <c r="AZ1521" s="467" t="str">
        <f t="shared" si="861"/>
        <v/>
      </c>
      <c r="BA1521" s="468" t="str">
        <f>IF(AS1521="","",IF(OR(AU1521="",AU1521="-"),"－",IF(OR(AZ1521=8,AZ1521=9),"",IF(OR(AW1521=3,AW1521=4,AW1521=5,AW1521=6),VLOOKUP(AU1521,INDEX((係数_バス貨物_ガソリン,係数_バス貨物_CNG,係数_バス貨物_軽油,係数_バス貨物_メタノール,係数_バス貨物_LPG),MATCH(AY1521,【参考】排出係数!$AI$4:$AI$671,1),1,BE1521):INDEX((係数_バス貨物_ガソリン,係数_バス貨物_CNG,係数_バス貨物_軽油,係数_バス貨物_メタノール,係数_バス貨物_LPG),MATCH(AY1521+1,【参考】排出係数!$AI$4:$AI$671,1)-1,5,BE1521),2,FALSE),IF(OR(AW1521=1,AW1521=2),VLOOKUP(AU1521,INDEX((係数_乗用_ガソリン,係数_乗用_CNG,係数_乗用_軽油,係数_乗用_メタノール,係数_乗用_LPG),1,1,BE1521):INDEX((係数_乗用_ガソリン,係数_乗用_CNG,係数_乗用_軽油,係数_乗用_メタノール,係数_乗用_LPG),125,5,BE1521),2,FALSE))))))</f>
        <v/>
      </c>
      <c r="BB1521" s="468" t="str">
        <f>IF(T1521="","",IF(OR(AU1521="",AU1521="-"),"－",IF(OR(AZ1521=8,AZ1521=9),"",IF(OR(AW1521=3,AW1521=4,AW1521=5,AW1521=6),VLOOKUP(AU1521,INDEX((係数_バス貨物_ガソリン,係数_バス貨物_CNG,係数_バス貨物_軽油,係数_バス貨物_メタノール,係数_バス貨物_LPG),MATCH(AY1521,【参考】排出係数!$AI$4:$AI$671,1),1,BE1521):INDEX((係数_バス貨物_ガソリン,係数_バス貨物_CNG,係数_バス貨物_軽油,係数_バス貨物_メタノール,係数_バス貨物_LPG),MATCH(AY1521+1,【参考】排出係数!$AI$4:$AI$671,1)-1,5,BE1521),3,FALSE),IF(OR(AW1521=1,AW1521=2),VLOOKUP(AU1521,INDEX((係数_乗用_ガソリン,係数_乗用_CNG,係数_乗用_軽油,係数_乗用_メタノール,係数_乗用_LPG),1,1,BE1521):INDEX((係数_乗用_ガソリン,係数_乗用_CNG,係数_乗用_軽油,係数_乗用_メタノール,係数_乗用_LPG),125,5,BE1521),3,FALSE))))))</f>
        <v/>
      </c>
      <c r="BC1521" s="467" t="str">
        <f t="shared" si="862"/>
        <v/>
      </c>
      <c r="BD1521" s="567" t="str">
        <f t="shared" si="863"/>
        <v/>
      </c>
      <c r="BE1521" s="467" t="str">
        <f t="shared" si="864"/>
        <v/>
      </c>
      <c r="BF1521" s="469" t="str">
        <f t="shared" ca="1" si="865"/>
        <v/>
      </c>
      <c r="BG1521" s="469" t="str">
        <f t="shared" ca="1" si="866"/>
        <v/>
      </c>
      <c r="BH1521" s="467" t="str">
        <f t="shared" si="867"/>
        <v/>
      </c>
      <c r="BI1521" s="467" t="str">
        <f t="shared" ca="1" si="868"/>
        <v/>
      </c>
      <c r="BJ1521" s="469" t="str">
        <f t="shared" si="869"/>
        <v/>
      </c>
      <c r="BK1521" s="470" t="str">
        <f t="shared" si="853"/>
        <v/>
      </c>
      <c r="BL1521" s="775" t="str">
        <f t="shared" si="870"/>
        <v/>
      </c>
      <c r="BM1521" s="775" t="str">
        <f t="shared" si="871"/>
        <v/>
      </c>
    </row>
    <row r="1522" spans="1:65">
      <c r="A1522" s="473">
        <v>1466</v>
      </c>
      <c r="B1522" s="132"/>
      <c r="C1522" s="332"/>
      <c r="D1522" s="333"/>
      <c r="E1522" s="333"/>
      <c r="F1522" s="334"/>
      <c r="G1522" s="337"/>
      <c r="H1522" s="131"/>
      <c r="I1522" s="337"/>
      <c r="J1522" s="131"/>
      <c r="K1522" s="458" t="str">
        <f t="shared" si="872"/>
        <v/>
      </c>
      <c r="L1522" s="458">
        <f t="shared" si="873"/>
        <v>0</v>
      </c>
      <c r="M1522" s="458">
        <f t="shared" si="874"/>
        <v>0</v>
      </c>
      <c r="N1522" s="459" t="str">
        <f t="shared" si="847"/>
        <v/>
      </c>
      <c r="O1522" s="459" t="str">
        <f t="shared" si="848"/>
        <v/>
      </c>
      <c r="P1522" s="459" t="str">
        <f t="shared" si="849"/>
        <v/>
      </c>
      <c r="Q1522" s="459" t="str">
        <f t="shared" si="850"/>
        <v/>
      </c>
      <c r="R1522" s="459" t="str">
        <f t="shared" si="851"/>
        <v/>
      </c>
      <c r="S1522" s="459" t="str">
        <f t="shared" si="852"/>
        <v/>
      </c>
      <c r="T1522" s="566" t="str">
        <f t="shared" si="875"/>
        <v/>
      </c>
      <c r="U1522" s="702"/>
      <c r="V1522" s="132"/>
      <c r="W1522" s="133"/>
      <c r="X1522" s="134"/>
      <c r="Y1522" s="135"/>
      <c r="Z1522" s="137"/>
      <c r="AA1522" s="136"/>
      <c r="AB1522" s="566" t="str">
        <f t="shared" si="876"/>
        <v/>
      </c>
      <c r="AC1522" s="568" t="str">
        <f t="shared" si="877"/>
        <v/>
      </c>
      <c r="AD1522" s="137"/>
      <c r="AE1522" s="137"/>
      <c r="AF1522" s="138"/>
      <c r="AG1522" s="138"/>
      <c r="AH1522" s="592" t="str">
        <f t="shared" si="878"/>
        <v/>
      </c>
      <c r="AI1522" s="592" t="str">
        <f t="shared" si="879"/>
        <v/>
      </c>
      <c r="AJ1522" s="592" t="str">
        <f t="shared" si="880"/>
        <v/>
      </c>
      <c r="AK1522" s="460" t="str">
        <f>IF(AU1522="","",IF(OR(AZ1522=8,AZ1522=9),0,IF(OR(AW1522=3,AW1522=4,AW1522=5,AW1522=6),IF(LEFT(BF1522,1)="1",INDEX(係数_NOX・PM低減,MATCH(AY1522,【参考】排出係数!$AI$801:$AI$804,1),1),VLOOKUP(AU1522,INDEX((係数_バス貨物_ガソリン,係数_バス貨物_CNG,係数_バス貨物_軽油,係数_バス貨物_メタノール,係数_バス貨物_LPG),MATCH(AY1522,【参考】排出係数!$AI$4:$AI$671,1),1,BE1522):INDEX((係数_バス貨物_ガソリン,係数_バス貨物_CNG,係数_バス貨物_軽油,係数_バス貨物_メタノール,係数_バス貨物_LPG),MATCH(AY1522+1,【参考】排出係数!$AI$4:$AI$671,1)-1,5,BE1522),4,FALSE)),IF(AND(BE1522=3,LEFT(BF1522,1)="1"),0.48,VLOOKUP(AU1522,INDEX((係数_乗用_ガソリン,係数_乗用_CNG,係数_乗用_軽油,係数_乗用_メタノール,係数_乗用_LPG),1,1,BE1522):INDEX((係数_乗用_ガソリン,係数_乗用_CNG,係数_乗用_軽油,係数_乗用_メタノール,係数_乗用_LPG),125,5,BE1522),4,FALSE)))))</f>
        <v/>
      </c>
      <c r="AL1522" s="461" t="str">
        <f t="shared" si="881"/>
        <v/>
      </c>
      <c r="AM1522" s="460" t="str">
        <f>IF(AU1522="","",IF(OR(AZ1522=8,AZ1522=9),0,IF(OR(AW1522=3,AW1522=4,AW1522=5,AW1522=6),IF(LEFT(BH1522,1)="1",INDEX(係数_PM低減,MATCH(AY1522,【参考】排出係数!$AI$801:$AI$804,1),MATCH(BI1522,【参考】排出係数!$AL$798:$AO$798,1)),VLOOKUP(AU1522,INDEX((係数_バス貨物_ガソリン,係数_バス貨物_CNG,係数_バス貨物_軽油,係数_バス貨物_メタノール,係数_バス貨物_LPG),MATCH(AY1522,【参考】排出係数!$AI$4:$AI$671,1),1,BE1522):INDEX((係数_バス貨物_ガソリン,係数_バス貨物_CNG,係数_バス貨物_軽油,係数_バス貨物_メタノール,係数_バス貨物_LPG),MATCH(AY1522+1,【参考】排出係数!$AI$4:$AI$671,1)-1,5,BE1522),5,FALSE)),IF(AND(BE1522=3,LEFT(BF1522,1)="1"),0.055,VLOOKUP(AU1522,INDEX((係数_乗用_ガソリン,係数_乗用_CNG,係数_乗用_軽油,係数_乗用_メタノール,係数_乗用_LPG),1,1,BE1522):INDEX((係数_乗用_ガソリン,係数_乗用_CNG,係数_乗用_軽油,係数_乗用_メタノール,係数_乗用_LPG),125,5,BE1522),5,FALSE)))))</f>
        <v/>
      </c>
      <c r="AN1522" s="461" t="str">
        <f t="shared" si="882"/>
        <v/>
      </c>
      <c r="AO1522" s="462" t="str">
        <f t="shared" si="883"/>
        <v/>
      </c>
      <c r="AP1522" s="463" t="str">
        <f t="shared" si="884"/>
        <v/>
      </c>
      <c r="AQ1522" s="464"/>
      <c r="AR1522" s="619"/>
      <c r="AS1522" s="465" t="str">
        <f t="shared" si="854"/>
        <v/>
      </c>
      <c r="AT1522" s="465" t="str">
        <f t="shared" si="855"/>
        <v/>
      </c>
      <c r="AU1522" s="466" t="str">
        <f t="shared" si="856"/>
        <v/>
      </c>
      <c r="AV1522" s="467" t="str">
        <f t="shared" si="857"/>
        <v/>
      </c>
      <c r="AW1522" s="467" t="str">
        <f t="shared" si="858"/>
        <v/>
      </c>
      <c r="AX1522" s="467" t="str">
        <f t="shared" si="859"/>
        <v/>
      </c>
      <c r="AY1522" s="467" t="str">
        <f t="shared" si="860"/>
        <v/>
      </c>
      <c r="AZ1522" s="467" t="str">
        <f t="shared" si="861"/>
        <v/>
      </c>
      <c r="BA1522" s="468" t="str">
        <f>IF(AS1522="","",IF(OR(AU1522="",AU1522="-"),"－",IF(OR(AZ1522=8,AZ1522=9),"",IF(OR(AW1522=3,AW1522=4,AW1522=5,AW1522=6),VLOOKUP(AU1522,INDEX((係数_バス貨物_ガソリン,係数_バス貨物_CNG,係数_バス貨物_軽油,係数_バス貨物_メタノール,係数_バス貨物_LPG),MATCH(AY1522,【参考】排出係数!$AI$4:$AI$671,1),1,BE1522):INDEX((係数_バス貨物_ガソリン,係数_バス貨物_CNG,係数_バス貨物_軽油,係数_バス貨物_メタノール,係数_バス貨物_LPG),MATCH(AY1522+1,【参考】排出係数!$AI$4:$AI$671,1)-1,5,BE1522),2,FALSE),IF(OR(AW1522=1,AW1522=2),VLOOKUP(AU1522,INDEX((係数_乗用_ガソリン,係数_乗用_CNG,係数_乗用_軽油,係数_乗用_メタノール,係数_乗用_LPG),1,1,BE1522):INDEX((係数_乗用_ガソリン,係数_乗用_CNG,係数_乗用_軽油,係数_乗用_メタノール,係数_乗用_LPG),125,5,BE1522),2,FALSE))))))</f>
        <v/>
      </c>
      <c r="BB1522" s="468" t="str">
        <f>IF(T1522="","",IF(OR(AU1522="",AU1522="-"),"－",IF(OR(AZ1522=8,AZ1522=9),"",IF(OR(AW1522=3,AW1522=4,AW1522=5,AW1522=6),VLOOKUP(AU1522,INDEX((係数_バス貨物_ガソリン,係数_バス貨物_CNG,係数_バス貨物_軽油,係数_バス貨物_メタノール,係数_バス貨物_LPG),MATCH(AY1522,【参考】排出係数!$AI$4:$AI$671,1),1,BE1522):INDEX((係数_バス貨物_ガソリン,係数_バス貨物_CNG,係数_バス貨物_軽油,係数_バス貨物_メタノール,係数_バス貨物_LPG),MATCH(AY1522+1,【参考】排出係数!$AI$4:$AI$671,1)-1,5,BE1522),3,FALSE),IF(OR(AW1522=1,AW1522=2),VLOOKUP(AU1522,INDEX((係数_乗用_ガソリン,係数_乗用_CNG,係数_乗用_軽油,係数_乗用_メタノール,係数_乗用_LPG),1,1,BE1522):INDEX((係数_乗用_ガソリン,係数_乗用_CNG,係数_乗用_軽油,係数_乗用_メタノール,係数_乗用_LPG),125,5,BE1522),3,FALSE))))))</f>
        <v/>
      </c>
      <c r="BC1522" s="467" t="str">
        <f t="shared" si="862"/>
        <v/>
      </c>
      <c r="BD1522" s="567" t="str">
        <f t="shared" si="863"/>
        <v/>
      </c>
      <c r="BE1522" s="467" t="str">
        <f t="shared" si="864"/>
        <v/>
      </c>
      <c r="BF1522" s="469" t="str">
        <f t="shared" ca="1" si="865"/>
        <v/>
      </c>
      <c r="BG1522" s="469" t="str">
        <f t="shared" ca="1" si="866"/>
        <v/>
      </c>
      <c r="BH1522" s="467" t="str">
        <f t="shared" si="867"/>
        <v/>
      </c>
      <c r="BI1522" s="467" t="str">
        <f t="shared" ca="1" si="868"/>
        <v/>
      </c>
      <c r="BJ1522" s="469" t="str">
        <f t="shared" si="869"/>
        <v/>
      </c>
      <c r="BK1522" s="470" t="str">
        <f t="shared" si="853"/>
        <v/>
      </c>
      <c r="BL1522" s="775" t="str">
        <f t="shared" si="870"/>
        <v/>
      </c>
      <c r="BM1522" s="775" t="str">
        <f t="shared" si="871"/>
        <v/>
      </c>
    </row>
    <row r="1523" spans="1:65">
      <c r="A1523" s="473">
        <v>1467</v>
      </c>
      <c r="B1523" s="132"/>
      <c r="C1523" s="332"/>
      <c r="D1523" s="333"/>
      <c r="E1523" s="333"/>
      <c r="F1523" s="334"/>
      <c r="G1523" s="337"/>
      <c r="H1523" s="131"/>
      <c r="I1523" s="337"/>
      <c r="J1523" s="131"/>
      <c r="K1523" s="458" t="str">
        <f t="shared" si="872"/>
        <v/>
      </c>
      <c r="L1523" s="458">
        <f t="shared" si="873"/>
        <v>0</v>
      </c>
      <c r="M1523" s="458">
        <f t="shared" si="874"/>
        <v>0</v>
      </c>
      <c r="N1523" s="459" t="str">
        <f t="shared" si="847"/>
        <v/>
      </c>
      <c r="O1523" s="459" t="str">
        <f t="shared" si="848"/>
        <v/>
      </c>
      <c r="P1523" s="459" t="str">
        <f t="shared" si="849"/>
        <v/>
      </c>
      <c r="Q1523" s="459" t="str">
        <f t="shared" si="850"/>
        <v/>
      </c>
      <c r="R1523" s="459" t="str">
        <f t="shared" si="851"/>
        <v/>
      </c>
      <c r="S1523" s="459" t="str">
        <f t="shared" si="852"/>
        <v/>
      </c>
      <c r="T1523" s="566" t="str">
        <f t="shared" si="875"/>
        <v/>
      </c>
      <c r="U1523" s="702"/>
      <c r="V1523" s="132"/>
      <c r="W1523" s="133"/>
      <c r="X1523" s="134"/>
      <c r="Y1523" s="135"/>
      <c r="Z1523" s="137"/>
      <c r="AA1523" s="136"/>
      <c r="AB1523" s="566" t="str">
        <f t="shared" si="876"/>
        <v/>
      </c>
      <c r="AC1523" s="568" t="str">
        <f t="shared" si="877"/>
        <v/>
      </c>
      <c r="AD1523" s="137"/>
      <c r="AE1523" s="137"/>
      <c r="AF1523" s="138"/>
      <c r="AG1523" s="138"/>
      <c r="AH1523" s="592" t="str">
        <f t="shared" si="878"/>
        <v/>
      </c>
      <c r="AI1523" s="592" t="str">
        <f t="shared" si="879"/>
        <v/>
      </c>
      <c r="AJ1523" s="592" t="str">
        <f t="shared" si="880"/>
        <v/>
      </c>
      <c r="AK1523" s="460" t="str">
        <f>IF(AU1523="","",IF(OR(AZ1523=8,AZ1523=9),0,IF(OR(AW1523=3,AW1523=4,AW1523=5,AW1523=6),IF(LEFT(BF1523,1)="1",INDEX(係数_NOX・PM低減,MATCH(AY1523,【参考】排出係数!$AI$801:$AI$804,1),1),VLOOKUP(AU1523,INDEX((係数_バス貨物_ガソリン,係数_バス貨物_CNG,係数_バス貨物_軽油,係数_バス貨物_メタノール,係数_バス貨物_LPG),MATCH(AY1523,【参考】排出係数!$AI$4:$AI$671,1),1,BE1523):INDEX((係数_バス貨物_ガソリン,係数_バス貨物_CNG,係数_バス貨物_軽油,係数_バス貨物_メタノール,係数_バス貨物_LPG),MATCH(AY1523+1,【参考】排出係数!$AI$4:$AI$671,1)-1,5,BE1523),4,FALSE)),IF(AND(BE1523=3,LEFT(BF1523,1)="1"),0.48,VLOOKUP(AU1523,INDEX((係数_乗用_ガソリン,係数_乗用_CNG,係数_乗用_軽油,係数_乗用_メタノール,係数_乗用_LPG),1,1,BE1523):INDEX((係数_乗用_ガソリン,係数_乗用_CNG,係数_乗用_軽油,係数_乗用_メタノール,係数_乗用_LPG),125,5,BE1523),4,FALSE)))))</f>
        <v/>
      </c>
      <c r="AL1523" s="461" t="str">
        <f t="shared" si="881"/>
        <v/>
      </c>
      <c r="AM1523" s="460" t="str">
        <f>IF(AU1523="","",IF(OR(AZ1523=8,AZ1523=9),0,IF(OR(AW1523=3,AW1523=4,AW1523=5,AW1523=6),IF(LEFT(BH1523,1)="1",INDEX(係数_PM低減,MATCH(AY1523,【参考】排出係数!$AI$801:$AI$804,1),MATCH(BI1523,【参考】排出係数!$AL$798:$AO$798,1)),VLOOKUP(AU1523,INDEX((係数_バス貨物_ガソリン,係数_バス貨物_CNG,係数_バス貨物_軽油,係数_バス貨物_メタノール,係数_バス貨物_LPG),MATCH(AY1523,【参考】排出係数!$AI$4:$AI$671,1),1,BE1523):INDEX((係数_バス貨物_ガソリン,係数_バス貨物_CNG,係数_バス貨物_軽油,係数_バス貨物_メタノール,係数_バス貨物_LPG),MATCH(AY1523+1,【参考】排出係数!$AI$4:$AI$671,1)-1,5,BE1523),5,FALSE)),IF(AND(BE1523=3,LEFT(BF1523,1)="1"),0.055,VLOOKUP(AU1523,INDEX((係数_乗用_ガソリン,係数_乗用_CNG,係数_乗用_軽油,係数_乗用_メタノール,係数_乗用_LPG),1,1,BE1523):INDEX((係数_乗用_ガソリン,係数_乗用_CNG,係数_乗用_軽油,係数_乗用_メタノール,係数_乗用_LPG),125,5,BE1523),5,FALSE)))))</f>
        <v/>
      </c>
      <c r="AN1523" s="461" t="str">
        <f t="shared" si="882"/>
        <v/>
      </c>
      <c r="AO1523" s="462" t="str">
        <f t="shared" si="883"/>
        <v/>
      </c>
      <c r="AP1523" s="463" t="str">
        <f t="shared" si="884"/>
        <v/>
      </c>
      <c r="AQ1523" s="464"/>
      <c r="AR1523" s="619"/>
      <c r="AS1523" s="465" t="str">
        <f t="shared" si="854"/>
        <v/>
      </c>
      <c r="AT1523" s="465" t="str">
        <f t="shared" si="855"/>
        <v/>
      </c>
      <c r="AU1523" s="466" t="str">
        <f t="shared" si="856"/>
        <v/>
      </c>
      <c r="AV1523" s="467" t="str">
        <f t="shared" si="857"/>
        <v/>
      </c>
      <c r="AW1523" s="467" t="str">
        <f t="shared" si="858"/>
        <v/>
      </c>
      <c r="AX1523" s="467" t="str">
        <f t="shared" si="859"/>
        <v/>
      </c>
      <c r="AY1523" s="467" t="str">
        <f t="shared" si="860"/>
        <v/>
      </c>
      <c r="AZ1523" s="467" t="str">
        <f t="shared" si="861"/>
        <v/>
      </c>
      <c r="BA1523" s="468" t="str">
        <f>IF(AS1523="","",IF(OR(AU1523="",AU1523="-"),"－",IF(OR(AZ1523=8,AZ1523=9),"",IF(OR(AW1523=3,AW1523=4,AW1523=5,AW1523=6),VLOOKUP(AU1523,INDEX((係数_バス貨物_ガソリン,係数_バス貨物_CNG,係数_バス貨物_軽油,係数_バス貨物_メタノール,係数_バス貨物_LPG),MATCH(AY1523,【参考】排出係数!$AI$4:$AI$671,1),1,BE1523):INDEX((係数_バス貨物_ガソリン,係数_バス貨物_CNG,係数_バス貨物_軽油,係数_バス貨物_メタノール,係数_バス貨物_LPG),MATCH(AY1523+1,【参考】排出係数!$AI$4:$AI$671,1)-1,5,BE1523),2,FALSE),IF(OR(AW1523=1,AW1523=2),VLOOKUP(AU1523,INDEX((係数_乗用_ガソリン,係数_乗用_CNG,係数_乗用_軽油,係数_乗用_メタノール,係数_乗用_LPG),1,1,BE1523):INDEX((係数_乗用_ガソリン,係数_乗用_CNG,係数_乗用_軽油,係数_乗用_メタノール,係数_乗用_LPG),125,5,BE1523),2,FALSE))))))</f>
        <v/>
      </c>
      <c r="BB1523" s="468" t="str">
        <f>IF(T1523="","",IF(OR(AU1523="",AU1523="-"),"－",IF(OR(AZ1523=8,AZ1523=9),"",IF(OR(AW1523=3,AW1523=4,AW1523=5,AW1523=6),VLOOKUP(AU1523,INDEX((係数_バス貨物_ガソリン,係数_バス貨物_CNG,係数_バス貨物_軽油,係数_バス貨物_メタノール,係数_バス貨物_LPG),MATCH(AY1523,【参考】排出係数!$AI$4:$AI$671,1),1,BE1523):INDEX((係数_バス貨物_ガソリン,係数_バス貨物_CNG,係数_バス貨物_軽油,係数_バス貨物_メタノール,係数_バス貨物_LPG),MATCH(AY1523+1,【参考】排出係数!$AI$4:$AI$671,1)-1,5,BE1523),3,FALSE),IF(OR(AW1523=1,AW1523=2),VLOOKUP(AU1523,INDEX((係数_乗用_ガソリン,係数_乗用_CNG,係数_乗用_軽油,係数_乗用_メタノール,係数_乗用_LPG),1,1,BE1523):INDEX((係数_乗用_ガソリン,係数_乗用_CNG,係数_乗用_軽油,係数_乗用_メタノール,係数_乗用_LPG),125,5,BE1523),3,FALSE))))))</f>
        <v/>
      </c>
      <c r="BC1523" s="467" t="str">
        <f t="shared" si="862"/>
        <v/>
      </c>
      <c r="BD1523" s="567" t="str">
        <f t="shared" si="863"/>
        <v/>
      </c>
      <c r="BE1523" s="467" t="str">
        <f t="shared" si="864"/>
        <v/>
      </c>
      <c r="BF1523" s="469" t="str">
        <f t="shared" ca="1" si="865"/>
        <v/>
      </c>
      <c r="BG1523" s="469" t="str">
        <f t="shared" ca="1" si="866"/>
        <v/>
      </c>
      <c r="BH1523" s="467" t="str">
        <f t="shared" si="867"/>
        <v/>
      </c>
      <c r="BI1523" s="467" t="str">
        <f t="shared" ca="1" si="868"/>
        <v/>
      </c>
      <c r="BJ1523" s="469" t="str">
        <f t="shared" si="869"/>
        <v/>
      </c>
      <c r="BK1523" s="470" t="str">
        <f t="shared" si="853"/>
        <v/>
      </c>
      <c r="BL1523" s="775" t="str">
        <f t="shared" si="870"/>
        <v/>
      </c>
      <c r="BM1523" s="775" t="str">
        <f t="shared" si="871"/>
        <v/>
      </c>
    </row>
    <row r="1524" spans="1:65">
      <c r="A1524" s="473">
        <v>1468</v>
      </c>
      <c r="B1524" s="132"/>
      <c r="C1524" s="332"/>
      <c r="D1524" s="333"/>
      <c r="E1524" s="333"/>
      <c r="F1524" s="334"/>
      <c r="G1524" s="337"/>
      <c r="H1524" s="131"/>
      <c r="I1524" s="337"/>
      <c r="J1524" s="131"/>
      <c r="K1524" s="458" t="str">
        <f t="shared" si="872"/>
        <v/>
      </c>
      <c r="L1524" s="458">
        <f t="shared" si="873"/>
        <v>0</v>
      </c>
      <c r="M1524" s="458">
        <f t="shared" si="874"/>
        <v>0</v>
      </c>
      <c r="N1524" s="459" t="str">
        <f t="shared" si="847"/>
        <v/>
      </c>
      <c r="O1524" s="459" t="str">
        <f t="shared" si="848"/>
        <v/>
      </c>
      <c r="P1524" s="459" t="str">
        <f t="shared" si="849"/>
        <v/>
      </c>
      <c r="Q1524" s="459" t="str">
        <f t="shared" si="850"/>
        <v/>
      </c>
      <c r="R1524" s="459" t="str">
        <f t="shared" si="851"/>
        <v/>
      </c>
      <c r="S1524" s="459" t="str">
        <f t="shared" si="852"/>
        <v/>
      </c>
      <c r="T1524" s="566" t="str">
        <f t="shared" si="875"/>
        <v/>
      </c>
      <c r="U1524" s="702"/>
      <c r="V1524" s="132"/>
      <c r="W1524" s="133"/>
      <c r="X1524" s="134"/>
      <c r="Y1524" s="135"/>
      <c r="Z1524" s="137"/>
      <c r="AA1524" s="136"/>
      <c r="AB1524" s="566" t="str">
        <f t="shared" si="876"/>
        <v/>
      </c>
      <c r="AC1524" s="568" t="str">
        <f t="shared" si="877"/>
        <v/>
      </c>
      <c r="AD1524" s="137"/>
      <c r="AE1524" s="137"/>
      <c r="AF1524" s="138"/>
      <c r="AG1524" s="138"/>
      <c r="AH1524" s="592" t="str">
        <f t="shared" si="878"/>
        <v/>
      </c>
      <c r="AI1524" s="592" t="str">
        <f t="shared" si="879"/>
        <v/>
      </c>
      <c r="AJ1524" s="592" t="str">
        <f t="shared" si="880"/>
        <v/>
      </c>
      <c r="AK1524" s="460" t="str">
        <f>IF(AU1524="","",IF(OR(AZ1524=8,AZ1524=9),0,IF(OR(AW1524=3,AW1524=4,AW1524=5,AW1524=6),IF(LEFT(BF1524,1)="1",INDEX(係数_NOX・PM低減,MATCH(AY1524,【参考】排出係数!$AI$801:$AI$804,1),1),VLOOKUP(AU1524,INDEX((係数_バス貨物_ガソリン,係数_バス貨物_CNG,係数_バス貨物_軽油,係数_バス貨物_メタノール,係数_バス貨物_LPG),MATCH(AY1524,【参考】排出係数!$AI$4:$AI$671,1),1,BE1524):INDEX((係数_バス貨物_ガソリン,係数_バス貨物_CNG,係数_バス貨物_軽油,係数_バス貨物_メタノール,係数_バス貨物_LPG),MATCH(AY1524+1,【参考】排出係数!$AI$4:$AI$671,1)-1,5,BE1524),4,FALSE)),IF(AND(BE1524=3,LEFT(BF1524,1)="1"),0.48,VLOOKUP(AU1524,INDEX((係数_乗用_ガソリン,係数_乗用_CNG,係数_乗用_軽油,係数_乗用_メタノール,係数_乗用_LPG),1,1,BE1524):INDEX((係数_乗用_ガソリン,係数_乗用_CNG,係数_乗用_軽油,係数_乗用_メタノール,係数_乗用_LPG),125,5,BE1524),4,FALSE)))))</f>
        <v/>
      </c>
      <c r="AL1524" s="461" t="str">
        <f t="shared" si="881"/>
        <v/>
      </c>
      <c r="AM1524" s="460" t="str">
        <f>IF(AU1524="","",IF(OR(AZ1524=8,AZ1524=9),0,IF(OR(AW1524=3,AW1524=4,AW1524=5,AW1524=6),IF(LEFT(BH1524,1)="1",INDEX(係数_PM低減,MATCH(AY1524,【参考】排出係数!$AI$801:$AI$804,1),MATCH(BI1524,【参考】排出係数!$AL$798:$AO$798,1)),VLOOKUP(AU1524,INDEX((係数_バス貨物_ガソリン,係数_バス貨物_CNG,係数_バス貨物_軽油,係数_バス貨物_メタノール,係数_バス貨物_LPG),MATCH(AY1524,【参考】排出係数!$AI$4:$AI$671,1),1,BE1524):INDEX((係数_バス貨物_ガソリン,係数_バス貨物_CNG,係数_バス貨物_軽油,係数_バス貨物_メタノール,係数_バス貨物_LPG),MATCH(AY1524+1,【参考】排出係数!$AI$4:$AI$671,1)-1,5,BE1524),5,FALSE)),IF(AND(BE1524=3,LEFT(BF1524,1)="1"),0.055,VLOOKUP(AU1524,INDEX((係数_乗用_ガソリン,係数_乗用_CNG,係数_乗用_軽油,係数_乗用_メタノール,係数_乗用_LPG),1,1,BE1524):INDEX((係数_乗用_ガソリン,係数_乗用_CNG,係数_乗用_軽油,係数_乗用_メタノール,係数_乗用_LPG),125,5,BE1524),5,FALSE)))))</f>
        <v/>
      </c>
      <c r="AN1524" s="461" t="str">
        <f t="shared" si="882"/>
        <v/>
      </c>
      <c r="AO1524" s="462" t="str">
        <f t="shared" si="883"/>
        <v/>
      </c>
      <c r="AP1524" s="463" t="str">
        <f t="shared" si="884"/>
        <v/>
      </c>
      <c r="AQ1524" s="464"/>
      <c r="AR1524" s="619"/>
      <c r="AS1524" s="465" t="str">
        <f t="shared" si="854"/>
        <v/>
      </c>
      <c r="AT1524" s="465" t="str">
        <f t="shared" si="855"/>
        <v/>
      </c>
      <c r="AU1524" s="466" t="str">
        <f t="shared" si="856"/>
        <v/>
      </c>
      <c r="AV1524" s="467" t="str">
        <f t="shared" si="857"/>
        <v/>
      </c>
      <c r="AW1524" s="467" t="str">
        <f t="shared" si="858"/>
        <v/>
      </c>
      <c r="AX1524" s="467" t="str">
        <f t="shared" si="859"/>
        <v/>
      </c>
      <c r="AY1524" s="467" t="str">
        <f t="shared" si="860"/>
        <v/>
      </c>
      <c r="AZ1524" s="467" t="str">
        <f t="shared" si="861"/>
        <v/>
      </c>
      <c r="BA1524" s="468" t="str">
        <f>IF(AS1524="","",IF(OR(AU1524="",AU1524="-"),"－",IF(OR(AZ1524=8,AZ1524=9),"",IF(OR(AW1524=3,AW1524=4,AW1524=5,AW1524=6),VLOOKUP(AU1524,INDEX((係数_バス貨物_ガソリン,係数_バス貨物_CNG,係数_バス貨物_軽油,係数_バス貨物_メタノール,係数_バス貨物_LPG),MATCH(AY1524,【参考】排出係数!$AI$4:$AI$671,1),1,BE1524):INDEX((係数_バス貨物_ガソリン,係数_バス貨物_CNG,係数_バス貨物_軽油,係数_バス貨物_メタノール,係数_バス貨物_LPG),MATCH(AY1524+1,【参考】排出係数!$AI$4:$AI$671,1)-1,5,BE1524),2,FALSE),IF(OR(AW1524=1,AW1524=2),VLOOKUP(AU1524,INDEX((係数_乗用_ガソリン,係数_乗用_CNG,係数_乗用_軽油,係数_乗用_メタノール,係数_乗用_LPG),1,1,BE1524):INDEX((係数_乗用_ガソリン,係数_乗用_CNG,係数_乗用_軽油,係数_乗用_メタノール,係数_乗用_LPG),125,5,BE1524),2,FALSE))))))</f>
        <v/>
      </c>
      <c r="BB1524" s="468" t="str">
        <f>IF(T1524="","",IF(OR(AU1524="",AU1524="-"),"－",IF(OR(AZ1524=8,AZ1524=9),"",IF(OR(AW1524=3,AW1524=4,AW1524=5,AW1524=6),VLOOKUP(AU1524,INDEX((係数_バス貨物_ガソリン,係数_バス貨物_CNG,係数_バス貨物_軽油,係数_バス貨物_メタノール,係数_バス貨物_LPG),MATCH(AY1524,【参考】排出係数!$AI$4:$AI$671,1),1,BE1524):INDEX((係数_バス貨物_ガソリン,係数_バス貨物_CNG,係数_バス貨物_軽油,係数_バス貨物_メタノール,係数_バス貨物_LPG),MATCH(AY1524+1,【参考】排出係数!$AI$4:$AI$671,1)-1,5,BE1524),3,FALSE),IF(OR(AW1524=1,AW1524=2),VLOOKUP(AU1524,INDEX((係数_乗用_ガソリン,係数_乗用_CNG,係数_乗用_軽油,係数_乗用_メタノール,係数_乗用_LPG),1,1,BE1524):INDEX((係数_乗用_ガソリン,係数_乗用_CNG,係数_乗用_軽油,係数_乗用_メタノール,係数_乗用_LPG),125,5,BE1524),3,FALSE))))))</f>
        <v/>
      </c>
      <c r="BC1524" s="467" t="str">
        <f t="shared" si="862"/>
        <v/>
      </c>
      <c r="BD1524" s="567" t="str">
        <f t="shared" si="863"/>
        <v/>
      </c>
      <c r="BE1524" s="467" t="str">
        <f t="shared" si="864"/>
        <v/>
      </c>
      <c r="BF1524" s="469" t="str">
        <f t="shared" ca="1" si="865"/>
        <v/>
      </c>
      <c r="BG1524" s="469" t="str">
        <f t="shared" ca="1" si="866"/>
        <v/>
      </c>
      <c r="BH1524" s="467" t="str">
        <f t="shared" si="867"/>
        <v/>
      </c>
      <c r="BI1524" s="467" t="str">
        <f t="shared" ca="1" si="868"/>
        <v/>
      </c>
      <c r="BJ1524" s="469" t="str">
        <f t="shared" si="869"/>
        <v/>
      </c>
      <c r="BK1524" s="470" t="str">
        <f t="shared" si="853"/>
        <v/>
      </c>
      <c r="BL1524" s="775" t="str">
        <f t="shared" si="870"/>
        <v/>
      </c>
      <c r="BM1524" s="775" t="str">
        <f t="shared" si="871"/>
        <v/>
      </c>
    </row>
    <row r="1525" spans="1:65">
      <c r="A1525" s="473">
        <v>1469</v>
      </c>
      <c r="B1525" s="132"/>
      <c r="C1525" s="332"/>
      <c r="D1525" s="333"/>
      <c r="E1525" s="333"/>
      <c r="F1525" s="334"/>
      <c r="G1525" s="337"/>
      <c r="H1525" s="131"/>
      <c r="I1525" s="337"/>
      <c r="J1525" s="131"/>
      <c r="K1525" s="458" t="str">
        <f t="shared" si="872"/>
        <v/>
      </c>
      <c r="L1525" s="458">
        <f t="shared" si="873"/>
        <v>0</v>
      </c>
      <c r="M1525" s="458">
        <f t="shared" si="874"/>
        <v>0</v>
      </c>
      <c r="N1525" s="459" t="str">
        <f t="shared" si="847"/>
        <v/>
      </c>
      <c r="O1525" s="459" t="str">
        <f t="shared" si="848"/>
        <v/>
      </c>
      <c r="P1525" s="459" t="str">
        <f t="shared" si="849"/>
        <v/>
      </c>
      <c r="Q1525" s="459" t="str">
        <f t="shared" si="850"/>
        <v/>
      </c>
      <c r="R1525" s="459" t="str">
        <f t="shared" si="851"/>
        <v/>
      </c>
      <c r="S1525" s="459" t="str">
        <f t="shared" si="852"/>
        <v/>
      </c>
      <c r="T1525" s="566" t="str">
        <f t="shared" si="875"/>
        <v/>
      </c>
      <c r="U1525" s="702"/>
      <c r="V1525" s="132"/>
      <c r="W1525" s="133"/>
      <c r="X1525" s="134"/>
      <c r="Y1525" s="135"/>
      <c r="Z1525" s="137"/>
      <c r="AA1525" s="136"/>
      <c r="AB1525" s="566" t="str">
        <f t="shared" si="876"/>
        <v/>
      </c>
      <c r="AC1525" s="568" t="str">
        <f t="shared" si="877"/>
        <v/>
      </c>
      <c r="AD1525" s="137"/>
      <c r="AE1525" s="137"/>
      <c r="AF1525" s="138"/>
      <c r="AG1525" s="138"/>
      <c r="AH1525" s="592" t="str">
        <f t="shared" si="878"/>
        <v/>
      </c>
      <c r="AI1525" s="592" t="str">
        <f t="shared" si="879"/>
        <v/>
      </c>
      <c r="AJ1525" s="592" t="str">
        <f t="shared" si="880"/>
        <v/>
      </c>
      <c r="AK1525" s="460" t="str">
        <f>IF(AU1525="","",IF(OR(AZ1525=8,AZ1525=9),0,IF(OR(AW1525=3,AW1525=4,AW1525=5,AW1525=6),IF(LEFT(BF1525,1)="1",INDEX(係数_NOX・PM低減,MATCH(AY1525,【参考】排出係数!$AI$801:$AI$804,1),1),VLOOKUP(AU1525,INDEX((係数_バス貨物_ガソリン,係数_バス貨物_CNG,係数_バス貨物_軽油,係数_バス貨物_メタノール,係数_バス貨物_LPG),MATCH(AY1525,【参考】排出係数!$AI$4:$AI$671,1),1,BE1525):INDEX((係数_バス貨物_ガソリン,係数_バス貨物_CNG,係数_バス貨物_軽油,係数_バス貨物_メタノール,係数_バス貨物_LPG),MATCH(AY1525+1,【参考】排出係数!$AI$4:$AI$671,1)-1,5,BE1525),4,FALSE)),IF(AND(BE1525=3,LEFT(BF1525,1)="1"),0.48,VLOOKUP(AU1525,INDEX((係数_乗用_ガソリン,係数_乗用_CNG,係数_乗用_軽油,係数_乗用_メタノール,係数_乗用_LPG),1,1,BE1525):INDEX((係数_乗用_ガソリン,係数_乗用_CNG,係数_乗用_軽油,係数_乗用_メタノール,係数_乗用_LPG),125,5,BE1525),4,FALSE)))))</f>
        <v/>
      </c>
      <c r="AL1525" s="461" t="str">
        <f t="shared" si="881"/>
        <v/>
      </c>
      <c r="AM1525" s="460" t="str">
        <f>IF(AU1525="","",IF(OR(AZ1525=8,AZ1525=9),0,IF(OR(AW1525=3,AW1525=4,AW1525=5,AW1525=6),IF(LEFT(BH1525,1)="1",INDEX(係数_PM低減,MATCH(AY1525,【参考】排出係数!$AI$801:$AI$804,1),MATCH(BI1525,【参考】排出係数!$AL$798:$AO$798,1)),VLOOKUP(AU1525,INDEX((係数_バス貨物_ガソリン,係数_バス貨物_CNG,係数_バス貨物_軽油,係数_バス貨物_メタノール,係数_バス貨物_LPG),MATCH(AY1525,【参考】排出係数!$AI$4:$AI$671,1),1,BE1525):INDEX((係数_バス貨物_ガソリン,係数_バス貨物_CNG,係数_バス貨物_軽油,係数_バス貨物_メタノール,係数_バス貨物_LPG),MATCH(AY1525+1,【参考】排出係数!$AI$4:$AI$671,1)-1,5,BE1525),5,FALSE)),IF(AND(BE1525=3,LEFT(BF1525,1)="1"),0.055,VLOOKUP(AU1525,INDEX((係数_乗用_ガソリン,係数_乗用_CNG,係数_乗用_軽油,係数_乗用_メタノール,係数_乗用_LPG),1,1,BE1525):INDEX((係数_乗用_ガソリン,係数_乗用_CNG,係数_乗用_軽油,係数_乗用_メタノール,係数_乗用_LPG),125,5,BE1525),5,FALSE)))))</f>
        <v/>
      </c>
      <c r="AN1525" s="461" t="str">
        <f t="shared" si="882"/>
        <v/>
      </c>
      <c r="AO1525" s="462" t="str">
        <f t="shared" si="883"/>
        <v/>
      </c>
      <c r="AP1525" s="463" t="str">
        <f t="shared" si="884"/>
        <v/>
      </c>
      <c r="AQ1525" s="464"/>
      <c r="AR1525" s="619"/>
      <c r="AS1525" s="465" t="str">
        <f t="shared" si="854"/>
        <v/>
      </c>
      <c r="AT1525" s="465" t="str">
        <f t="shared" si="855"/>
        <v/>
      </c>
      <c r="AU1525" s="466" t="str">
        <f t="shared" si="856"/>
        <v/>
      </c>
      <c r="AV1525" s="467" t="str">
        <f t="shared" si="857"/>
        <v/>
      </c>
      <c r="AW1525" s="467" t="str">
        <f t="shared" si="858"/>
        <v/>
      </c>
      <c r="AX1525" s="467" t="str">
        <f t="shared" si="859"/>
        <v/>
      </c>
      <c r="AY1525" s="467" t="str">
        <f t="shared" si="860"/>
        <v/>
      </c>
      <c r="AZ1525" s="467" t="str">
        <f t="shared" si="861"/>
        <v/>
      </c>
      <c r="BA1525" s="468" t="str">
        <f>IF(AS1525="","",IF(OR(AU1525="",AU1525="-"),"－",IF(OR(AZ1525=8,AZ1525=9),"",IF(OR(AW1525=3,AW1525=4,AW1525=5,AW1525=6),VLOOKUP(AU1525,INDEX((係数_バス貨物_ガソリン,係数_バス貨物_CNG,係数_バス貨物_軽油,係数_バス貨物_メタノール,係数_バス貨物_LPG),MATCH(AY1525,【参考】排出係数!$AI$4:$AI$671,1),1,BE1525):INDEX((係数_バス貨物_ガソリン,係数_バス貨物_CNG,係数_バス貨物_軽油,係数_バス貨物_メタノール,係数_バス貨物_LPG),MATCH(AY1525+1,【参考】排出係数!$AI$4:$AI$671,1)-1,5,BE1525),2,FALSE),IF(OR(AW1525=1,AW1525=2),VLOOKUP(AU1525,INDEX((係数_乗用_ガソリン,係数_乗用_CNG,係数_乗用_軽油,係数_乗用_メタノール,係数_乗用_LPG),1,1,BE1525):INDEX((係数_乗用_ガソリン,係数_乗用_CNG,係数_乗用_軽油,係数_乗用_メタノール,係数_乗用_LPG),125,5,BE1525),2,FALSE))))))</f>
        <v/>
      </c>
      <c r="BB1525" s="468" t="str">
        <f>IF(T1525="","",IF(OR(AU1525="",AU1525="-"),"－",IF(OR(AZ1525=8,AZ1525=9),"",IF(OR(AW1525=3,AW1525=4,AW1525=5,AW1525=6),VLOOKUP(AU1525,INDEX((係数_バス貨物_ガソリン,係数_バス貨物_CNG,係数_バス貨物_軽油,係数_バス貨物_メタノール,係数_バス貨物_LPG),MATCH(AY1525,【参考】排出係数!$AI$4:$AI$671,1),1,BE1525):INDEX((係数_バス貨物_ガソリン,係数_バス貨物_CNG,係数_バス貨物_軽油,係数_バス貨物_メタノール,係数_バス貨物_LPG),MATCH(AY1525+1,【参考】排出係数!$AI$4:$AI$671,1)-1,5,BE1525),3,FALSE),IF(OR(AW1525=1,AW1525=2),VLOOKUP(AU1525,INDEX((係数_乗用_ガソリン,係数_乗用_CNG,係数_乗用_軽油,係数_乗用_メタノール,係数_乗用_LPG),1,1,BE1525):INDEX((係数_乗用_ガソリン,係数_乗用_CNG,係数_乗用_軽油,係数_乗用_メタノール,係数_乗用_LPG),125,5,BE1525),3,FALSE))))))</f>
        <v/>
      </c>
      <c r="BC1525" s="467" t="str">
        <f t="shared" si="862"/>
        <v/>
      </c>
      <c r="BD1525" s="567" t="str">
        <f t="shared" si="863"/>
        <v/>
      </c>
      <c r="BE1525" s="467" t="str">
        <f t="shared" si="864"/>
        <v/>
      </c>
      <c r="BF1525" s="469" t="str">
        <f t="shared" ca="1" si="865"/>
        <v/>
      </c>
      <c r="BG1525" s="469" t="str">
        <f t="shared" ca="1" si="866"/>
        <v/>
      </c>
      <c r="BH1525" s="467" t="str">
        <f t="shared" si="867"/>
        <v/>
      </c>
      <c r="BI1525" s="467" t="str">
        <f t="shared" ca="1" si="868"/>
        <v/>
      </c>
      <c r="BJ1525" s="469" t="str">
        <f t="shared" si="869"/>
        <v/>
      </c>
      <c r="BK1525" s="470" t="str">
        <f t="shared" si="853"/>
        <v/>
      </c>
      <c r="BL1525" s="775" t="str">
        <f t="shared" si="870"/>
        <v/>
      </c>
      <c r="BM1525" s="775" t="str">
        <f t="shared" si="871"/>
        <v/>
      </c>
    </row>
    <row r="1526" spans="1:65">
      <c r="A1526" s="473">
        <v>1470</v>
      </c>
      <c r="B1526" s="132"/>
      <c r="C1526" s="332"/>
      <c r="D1526" s="333"/>
      <c r="E1526" s="333"/>
      <c r="F1526" s="334"/>
      <c r="G1526" s="337"/>
      <c r="H1526" s="131"/>
      <c r="I1526" s="337"/>
      <c r="J1526" s="131"/>
      <c r="K1526" s="458" t="str">
        <f t="shared" si="872"/>
        <v/>
      </c>
      <c r="L1526" s="458">
        <f t="shared" si="873"/>
        <v>0</v>
      </c>
      <c r="M1526" s="458">
        <f t="shared" si="874"/>
        <v>0</v>
      </c>
      <c r="N1526" s="459" t="str">
        <f t="shared" si="847"/>
        <v/>
      </c>
      <c r="O1526" s="459" t="str">
        <f t="shared" si="848"/>
        <v/>
      </c>
      <c r="P1526" s="459" t="str">
        <f t="shared" si="849"/>
        <v/>
      </c>
      <c r="Q1526" s="459" t="str">
        <f t="shared" si="850"/>
        <v/>
      </c>
      <c r="R1526" s="459" t="str">
        <f t="shared" si="851"/>
        <v/>
      </c>
      <c r="S1526" s="459" t="str">
        <f t="shared" si="852"/>
        <v/>
      </c>
      <c r="T1526" s="566" t="str">
        <f t="shared" si="875"/>
        <v/>
      </c>
      <c r="U1526" s="702"/>
      <c r="V1526" s="132"/>
      <c r="W1526" s="133"/>
      <c r="X1526" s="134"/>
      <c r="Y1526" s="135"/>
      <c r="Z1526" s="137"/>
      <c r="AA1526" s="136"/>
      <c r="AB1526" s="566" t="str">
        <f t="shared" si="876"/>
        <v/>
      </c>
      <c r="AC1526" s="568" t="str">
        <f t="shared" si="877"/>
        <v/>
      </c>
      <c r="AD1526" s="137"/>
      <c r="AE1526" s="137"/>
      <c r="AF1526" s="138"/>
      <c r="AG1526" s="138"/>
      <c r="AH1526" s="592" t="str">
        <f t="shared" si="878"/>
        <v/>
      </c>
      <c r="AI1526" s="592" t="str">
        <f t="shared" si="879"/>
        <v/>
      </c>
      <c r="AJ1526" s="592" t="str">
        <f t="shared" si="880"/>
        <v/>
      </c>
      <c r="AK1526" s="460" t="str">
        <f>IF(AU1526="","",IF(OR(AZ1526=8,AZ1526=9),0,IF(OR(AW1526=3,AW1526=4,AW1526=5,AW1526=6),IF(LEFT(BF1526,1)="1",INDEX(係数_NOX・PM低減,MATCH(AY1526,【参考】排出係数!$AI$801:$AI$804,1),1),VLOOKUP(AU1526,INDEX((係数_バス貨物_ガソリン,係数_バス貨物_CNG,係数_バス貨物_軽油,係数_バス貨物_メタノール,係数_バス貨物_LPG),MATCH(AY1526,【参考】排出係数!$AI$4:$AI$671,1),1,BE1526):INDEX((係数_バス貨物_ガソリン,係数_バス貨物_CNG,係数_バス貨物_軽油,係数_バス貨物_メタノール,係数_バス貨物_LPG),MATCH(AY1526+1,【参考】排出係数!$AI$4:$AI$671,1)-1,5,BE1526),4,FALSE)),IF(AND(BE1526=3,LEFT(BF1526,1)="1"),0.48,VLOOKUP(AU1526,INDEX((係数_乗用_ガソリン,係数_乗用_CNG,係数_乗用_軽油,係数_乗用_メタノール,係数_乗用_LPG),1,1,BE1526):INDEX((係数_乗用_ガソリン,係数_乗用_CNG,係数_乗用_軽油,係数_乗用_メタノール,係数_乗用_LPG),125,5,BE1526),4,FALSE)))))</f>
        <v/>
      </c>
      <c r="AL1526" s="461" t="str">
        <f t="shared" si="881"/>
        <v/>
      </c>
      <c r="AM1526" s="460" t="str">
        <f>IF(AU1526="","",IF(OR(AZ1526=8,AZ1526=9),0,IF(OR(AW1526=3,AW1526=4,AW1526=5,AW1526=6),IF(LEFT(BH1526,1)="1",INDEX(係数_PM低減,MATCH(AY1526,【参考】排出係数!$AI$801:$AI$804,1),MATCH(BI1526,【参考】排出係数!$AL$798:$AO$798,1)),VLOOKUP(AU1526,INDEX((係数_バス貨物_ガソリン,係数_バス貨物_CNG,係数_バス貨物_軽油,係数_バス貨物_メタノール,係数_バス貨物_LPG),MATCH(AY1526,【参考】排出係数!$AI$4:$AI$671,1),1,BE1526):INDEX((係数_バス貨物_ガソリン,係数_バス貨物_CNG,係数_バス貨物_軽油,係数_バス貨物_メタノール,係数_バス貨物_LPG),MATCH(AY1526+1,【参考】排出係数!$AI$4:$AI$671,1)-1,5,BE1526),5,FALSE)),IF(AND(BE1526=3,LEFT(BF1526,1)="1"),0.055,VLOOKUP(AU1526,INDEX((係数_乗用_ガソリン,係数_乗用_CNG,係数_乗用_軽油,係数_乗用_メタノール,係数_乗用_LPG),1,1,BE1526):INDEX((係数_乗用_ガソリン,係数_乗用_CNG,係数_乗用_軽油,係数_乗用_メタノール,係数_乗用_LPG),125,5,BE1526),5,FALSE)))))</f>
        <v/>
      </c>
      <c r="AN1526" s="461" t="str">
        <f t="shared" si="882"/>
        <v/>
      </c>
      <c r="AO1526" s="462" t="str">
        <f t="shared" si="883"/>
        <v/>
      </c>
      <c r="AP1526" s="463" t="str">
        <f t="shared" si="884"/>
        <v/>
      </c>
      <c r="AQ1526" s="464"/>
      <c r="AR1526" s="619"/>
      <c r="AS1526" s="465" t="str">
        <f t="shared" si="854"/>
        <v/>
      </c>
      <c r="AT1526" s="465" t="str">
        <f t="shared" si="855"/>
        <v/>
      </c>
      <c r="AU1526" s="466" t="str">
        <f t="shared" si="856"/>
        <v/>
      </c>
      <c r="AV1526" s="467" t="str">
        <f t="shared" si="857"/>
        <v/>
      </c>
      <c r="AW1526" s="467" t="str">
        <f t="shared" si="858"/>
        <v/>
      </c>
      <c r="AX1526" s="467" t="str">
        <f t="shared" si="859"/>
        <v/>
      </c>
      <c r="AY1526" s="467" t="str">
        <f t="shared" si="860"/>
        <v/>
      </c>
      <c r="AZ1526" s="467" t="str">
        <f t="shared" si="861"/>
        <v/>
      </c>
      <c r="BA1526" s="468" t="str">
        <f>IF(AS1526="","",IF(OR(AU1526="",AU1526="-"),"－",IF(OR(AZ1526=8,AZ1526=9),"",IF(OR(AW1526=3,AW1526=4,AW1526=5,AW1526=6),VLOOKUP(AU1526,INDEX((係数_バス貨物_ガソリン,係数_バス貨物_CNG,係数_バス貨物_軽油,係数_バス貨物_メタノール,係数_バス貨物_LPG),MATCH(AY1526,【参考】排出係数!$AI$4:$AI$671,1),1,BE1526):INDEX((係数_バス貨物_ガソリン,係数_バス貨物_CNG,係数_バス貨物_軽油,係数_バス貨物_メタノール,係数_バス貨物_LPG),MATCH(AY1526+1,【参考】排出係数!$AI$4:$AI$671,1)-1,5,BE1526),2,FALSE),IF(OR(AW1526=1,AW1526=2),VLOOKUP(AU1526,INDEX((係数_乗用_ガソリン,係数_乗用_CNG,係数_乗用_軽油,係数_乗用_メタノール,係数_乗用_LPG),1,1,BE1526):INDEX((係数_乗用_ガソリン,係数_乗用_CNG,係数_乗用_軽油,係数_乗用_メタノール,係数_乗用_LPG),125,5,BE1526),2,FALSE))))))</f>
        <v/>
      </c>
      <c r="BB1526" s="468" t="str">
        <f>IF(T1526="","",IF(OR(AU1526="",AU1526="-"),"－",IF(OR(AZ1526=8,AZ1526=9),"",IF(OR(AW1526=3,AW1526=4,AW1526=5,AW1526=6),VLOOKUP(AU1526,INDEX((係数_バス貨物_ガソリン,係数_バス貨物_CNG,係数_バス貨物_軽油,係数_バス貨物_メタノール,係数_バス貨物_LPG),MATCH(AY1526,【参考】排出係数!$AI$4:$AI$671,1),1,BE1526):INDEX((係数_バス貨物_ガソリン,係数_バス貨物_CNG,係数_バス貨物_軽油,係数_バス貨物_メタノール,係数_バス貨物_LPG),MATCH(AY1526+1,【参考】排出係数!$AI$4:$AI$671,1)-1,5,BE1526),3,FALSE),IF(OR(AW1526=1,AW1526=2),VLOOKUP(AU1526,INDEX((係数_乗用_ガソリン,係数_乗用_CNG,係数_乗用_軽油,係数_乗用_メタノール,係数_乗用_LPG),1,1,BE1526):INDEX((係数_乗用_ガソリン,係数_乗用_CNG,係数_乗用_軽油,係数_乗用_メタノール,係数_乗用_LPG),125,5,BE1526),3,FALSE))))))</f>
        <v/>
      </c>
      <c r="BC1526" s="467" t="str">
        <f t="shared" si="862"/>
        <v/>
      </c>
      <c r="BD1526" s="567" t="str">
        <f t="shared" si="863"/>
        <v/>
      </c>
      <c r="BE1526" s="467" t="str">
        <f t="shared" si="864"/>
        <v/>
      </c>
      <c r="BF1526" s="469" t="str">
        <f t="shared" ca="1" si="865"/>
        <v/>
      </c>
      <c r="BG1526" s="469" t="str">
        <f t="shared" ca="1" si="866"/>
        <v/>
      </c>
      <c r="BH1526" s="467" t="str">
        <f t="shared" si="867"/>
        <v/>
      </c>
      <c r="BI1526" s="467" t="str">
        <f t="shared" ca="1" si="868"/>
        <v/>
      </c>
      <c r="BJ1526" s="469" t="str">
        <f t="shared" si="869"/>
        <v/>
      </c>
      <c r="BK1526" s="470" t="str">
        <f t="shared" si="853"/>
        <v/>
      </c>
      <c r="BL1526" s="775" t="str">
        <f t="shared" si="870"/>
        <v/>
      </c>
      <c r="BM1526" s="775" t="str">
        <f t="shared" si="871"/>
        <v/>
      </c>
    </row>
    <row r="1527" spans="1:65">
      <c r="A1527" s="473">
        <v>1471</v>
      </c>
      <c r="B1527" s="132"/>
      <c r="C1527" s="332"/>
      <c r="D1527" s="333"/>
      <c r="E1527" s="333"/>
      <c r="F1527" s="334"/>
      <c r="G1527" s="337"/>
      <c r="H1527" s="131"/>
      <c r="I1527" s="337"/>
      <c r="J1527" s="131"/>
      <c r="K1527" s="458" t="str">
        <f t="shared" si="872"/>
        <v/>
      </c>
      <c r="L1527" s="458">
        <f t="shared" si="873"/>
        <v>0</v>
      </c>
      <c r="M1527" s="458">
        <f t="shared" si="874"/>
        <v>0</v>
      </c>
      <c r="N1527" s="459" t="str">
        <f t="shared" ref="N1527:N1590" si="885">IF(OR($L1527&gt;$U$48,$M1527&gt;$U$48,AND($L1527&gt;$M1527,$M1527&lt;&gt;0),AND($L1527=0,$M1527&lt;&gt;0)),"ERROR","")</f>
        <v/>
      </c>
      <c r="O1527" s="459" t="str">
        <f t="shared" ref="O1527:O1590" si="886">IF(AND($N1527&lt;&gt;"ERROR",$L1527&lt;=$U$49,$M1527&lt;=$U$49,$M1527&lt;&gt;0),"(減車済)","")</f>
        <v/>
      </c>
      <c r="P1527" s="459" t="str">
        <f t="shared" ref="P1527:P1590" si="887">IF(AND($N1527&lt;&gt;"ERROR",$L1527&lt;$U$49,AND($M1527&gt;$U$49,$M1527&lt;=$W$49),$M1527&lt;&gt;0),"減車","")</f>
        <v/>
      </c>
      <c r="Q1527" s="459" t="str">
        <f t="shared" ref="Q1527:Q1590" si="888">IF(AND($N1527&lt;&gt;"ERROR",$L1527&gt;$U$49,$M1527&lt;=$W$49,$M1527&lt;&gt;0),"一時使用","")</f>
        <v/>
      </c>
      <c r="R1527" s="459" t="str">
        <f t="shared" ref="R1527:R1590" si="889">IF(AND($N1527&lt;&gt;"ERROR",AND($L1527&gt;0,$L1527&lt;=$U$49),$M1527=0),"継続","")</f>
        <v/>
      </c>
      <c r="S1527" s="459" t="str">
        <f t="shared" ref="S1527:S1590" si="890">IF(AND($N1527&lt;&gt;"ERROR",AND($L1527&gt;$U$49),$M1527=0),"新規","")</f>
        <v/>
      </c>
      <c r="T1527" s="566" t="str">
        <f t="shared" si="875"/>
        <v/>
      </c>
      <c r="U1527" s="702"/>
      <c r="V1527" s="132"/>
      <c r="W1527" s="133"/>
      <c r="X1527" s="134"/>
      <c r="Y1527" s="135"/>
      <c r="Z1527" s="137"/>
      <c r="AA1527" s="136"/>
      <c r="AB1527" s="566" t="str">
        <f t="shared" si="876"/>
        <v/>
      </c>
      <c r="AC1527" s="568" t="str">
        <f t="shared" si="877"/>
        <v/>
      </c>
      <c r="AD1527" s="137"/>
      <c r="AE1527" s="137"/>
      <c r="AF1527" s="138"/>
      <c r="AG1527" s="138"/>
      <c r="AH1527" s="592" t="str">
        <f t="shared" si="878"/>
        <v/>
      </c>
      <c r="AI1527" s="592" t="str">
        <f t="shared" si="879"/>
        <v/>
      </c>
      <c r="AJ1527" s="592" t="str">
        <f t="shared" si="880"/>
        <v/>
      </c>
      <c r="AK1527" s="460" t="str">
        <f>IF(AU1527="","",IF(OR(AZ1527=8,AZ1527=9),0,IF(OR(AW1527=3,AW1527=4,AW1527=5,AW1527=6),IF(LEFT(BF1527,1)="1",INDEX(係数_NOX・PM低減,MATCH(AY1527,【参考】排出係数!$AI$801:$AI$804,1),1),VLOOKUP(AU1527,INDEX((係数_バス貨物_ガソリン,係数_バス貨物_CNG,係数_バス貨物_軽油,係数_バス貨物_メタノール,係数_バス貨物_LPG),MATCH(AY1527,【参考】排出係数!$AI$4:$AI$671,1),1,BE1527):INDEX((係数_バス貨物_ガソリン,係数_バス貨物_CNG,係数_バス貨物_軽油,係数_バス貨物_メタノール,係数_バス貨物_LPG),MATCH(AY1527+1,【参考】排出係数!$AI$4:$AI$671,1)-1,5,BE1527),4,FALSE)),IF(AND(BE1527=3,LEFT(BF1527,1)="1"),0.48,VLOOKUP(AU1527,INDEX((係数_乗用_ガソリン,係数_乗用_CNG,係数_乗用_軽油,係数_乗用_メタノール,係数_乗用_LPG),1,1,BE1527):INDEX((係数_乗用_ガソリン,係数_乗用_CNG,係数_乗用_軽油,係数_乗用_メタノール,係数_乗用_LPG),125,5,BE1527),4,FALSE)))))</f>
        <v/>
      </c>
      <c r="AL1527" s="461" t="str">
        <f t="shared" si="881"/>
        <v/>
      </c>
      <c r="AM1527" s="460" t="str">
        <f>IF(AU1527="","",IF(OR(AZ1527=8,AZ1527=9),0,IF(OR(AW1527=3,AW1527=4,AW1527=5,AW1527=6),IF(LEFT(BH1527,1)="1",INDEX(係数_PM低減,MATCH(AY1527,【参考】排出係数!$AI$801:$AI$804,1),MATCH(BI1527,【参考】排出係数!$AL$798:$AO$798,1)),VLOOKUP(AU1527,INDEX((係数_バス貨物_ガソリン,係数_バス貨物_CNG,係数_バス貨物_軽油,係数_バス貨物_メタノール,係数_バス貨物_LPG),MATCH(AY1527,【参考】排出係数!$AI$4:$AI$671,1),1,BE1527):INDEX((係数_バス貨物_ガソリン,係数_バス貨物_CNG,係数_バス貨物_軽油,係数_バス貨物_メタノール,係数_バス貨物_LPG),MATCH(AY1527+1,【参考】排出係数!$AI$4:$AI$671,1)-1,5,BE1527),5,FALSE)),IF(AND(BE1527=3,LEFT(BF1527,1)="1"),0.055,VLOOKUP(AU1527,INDEX((係数_乗用_ガソリン,係数_乗用_CNG,係数_乗用_軽油,係数_乗用_メタノール,係数_乗用_LPG),1,1,BE1527):INDEX((係数_乗用_ガソリン,係数_乗用_CNG,係数_乗用_軽油,係数_乗用_メタノール,係数_乗用_LPG),125,5,BE1527),5,FALSE)))))</f>
        <v/>
      </c>
      <c r="AN1527" s="461" t="str">
        <f t="shared" si="882"/>
        <v/>
      </c>
      <c r="AO1527" s="462" t="str">
        <f t="shared" si="883"/>
        <v/>
      </c>
      <c r="AP1527" s="463" t="str">
        <f t="shared" si="884"/>
        <v/>
      </c>
      <c r="AQ1527" s="464"/>
      <c r="AR1527" s="619"/>
      <c r="AS1527" s="465" t="str">
        <f t="shared" si="854"/>
        <v/>
      </c>
      <c r="AT1527" s="465" t="str">
        <f t="shared" si="855"/>
        <v/>
      </c>
      <c r="AU1527" s="466" t="str">
        <f t="shared" si="856"/>
        <v/>
      </c>
      <c r="AV1527" s="467" t="str">
        <f t="shared" si="857"/>
        <v/>
      </c>
      <c r="AW1527" s="467" t="str">
        <f t="shared" si="858"/>
        <v/>
      </c>
      <c r="AX1527" s="467" t="str">
        <f t="shared" si="859"/>
        <v/>
      </c>
      <c r="AY1527" s="467" t="str">
        <f t="shared" si="860"/>
        <v/>
      </c>
      <c r="AZ1527" s="467" t="str">
        <f t="shared" si="861"/>
        <v/>
      </c>
      <c r="BA1527" s="468" t="str">
        <f>IF(AS1527="","",IF(OR(AU1527="",AU1527="-"),"－",IF(OR(AZ1527=8,AZ1527=9),"",IF(OR(AW1527=3,AW1527=4,AW1527=5,AW1527=6),VLOOKUP(AU1527,INDEX((係数_バス貨物_ガソリン,係数_バス貨物_CNG,係数_バス貨物_軽油,係数_バス貨物_メタノール,係数_バス貨物_LPG),MATCH(AY1527,【参考】排出係数!$AI$4:$AI$671,1),1,BE1527):INDEX((係数_バス貨物_ガソリン,係数_バス貨物_CNG,係数_バス貨物_軽油,係数_バス貨物_メタノール,係数_バス貨物_LPG),MATCH(AY1527+1,【参考】排出係数!$AI$4:$AI$671,1)-1,5,BE1527),2,FALSE),IF(OR(AW1527=1,AW1527=2),VLOOKUP(AU1527,INDEX((係数_乗用_ガソリン,係数_乗用_CNG,係数_乗用_軽油,係数_乗用_メタノール,係数_乗用_LPG),1,1,BE1527):INDEX((係数_乗用_ガソリン,係数_乗用_CNG,係数_乗用_軽油,係数_乗用_メタノール,係数_乗用_LPG),125,5,BE1527),2,FALSE))))))</f>
        <v/>
      </c>
      <c r="BB1527" s="468" t="str">
        <f>IF(T1527="","",IF(OR(AU1527="",AU1527="-"),"－",IF(OR(AZ1527=8,AZ1527=9),"",IF(OR(AW1527=3,AW1527=4,AW1527=5,AW1527=6),VLOOKUP(AU1527,INDEX((係数_バス貨物_ガソリン,係数_バス貨物_CNG,係数_バス貨物_軽油,係数_バス貨物_メタノール,係数_バス貨物_LPG),MATCH(AY1527,【参考】排出係数!$AI$4:$AI$671,1),1,BE1527):INDEX((係数_バス貨物_ガソリン,係数_バス貨物_CNG,係数_バス貨物_軽油,係数_バス貨物_メタノール,係数_バス貨物_LPG),MATCH(AY1527+1,【参考】排出係数!$AI$4:$AI$671,1)-1,5,BE1527),3,FALSE),IF(OR(AW1527=1,AW1527=2),VLOOKUP(AU1527,INDEX((係数_乗用_ガソリン,係数_乗用_CNG,係数_乗用_軽油,係数_乗用_メタノール,係数_乗用_LPG),1,1,BE1527):INDEX((係数_乗用_ガソリン,係数_乗用_CNG,係数_乗用_軽油,係数_乗用_メタノール,係数_乗用_LPG),125,5,BE1527),3,FALSE))))))</f>
        <v/>
      </c>
      <c r="BC1527" s="467" t="str">
        <f t="shared" si="862"/>
        <v/>
      </c>
      <c r="BD1527" s="567" t="str">
        <f t="shared" si="863"/>
        <v/>
      </c>
      <c r="BE1527" s="467" t="str">
        <f t="shared" si="864"/>
        <v/>
      </c>
      <c r="BF1527" s="469" t="str">
        <f t="shared" ca="1" si="865"/>
        <v/>
      </c>
      <c r="BG1527" s="469" t="str">
        <f t="shared" ca="1" si="866"/>
        <v/>
      </c>
      <c r="BH1527" s="467" t="str">
        <f t="shared" si="867"/>
        <v/>
      </c>
      <c r="BI1527" s="467" t="str">
        <f t="shared" ca="1" si="868"/>
        <v/>
      </c>
      <c r="BJ1527" s="469" t="str">
        <f t="shared" si="869"/>
        <v/>
      </c>
      <c r="BK1527" s="470" t="str">
        <f t="shared" si="853"/>
        <v/>
      </c>
      <c r="BL1527" s="775" t="str">
        <f t="shared" si="870"/>
        <v/>
      </c>
      <c r="BM1527" s="775" t="str">
        <f t="shared" si="871"/>
        <v/>
      </c>
    </row>
    <row r="1528" spans="1:65">
      <c r="A1528" s="473">
        <v>1472</v>
      </c>
      <c r="B1528" s="132"/>
      <c r="C1528" s="332"/>
      <c r="D1528" s="333"/>
      <c r="E1528" s="333"/>
      <c r="F1528" s="334"/>
      <c r="G1528" s="337"/>
      <c r="H1528" s="131"/>
      <c r="I1528" s="337"/>
      <c r="J1528" s="131"/>
      <c r="K1528" s="458" t="str">
        <f t="shared" si="872"/>
        <v/>
      </c>
      <c r="L1528" s="458">
        <f t="shared" si="873"/>
        <v>0</v>
      </c>
      <c r="M1528" s="458">
        <f t="shared" si="874"/>
        <v>0</v>
      </c>
      <c r="N1528" s="459" t="str">
        <f t="shared" si="885"/>
        <v/>
      </c>
      <c r="O1528" s="459" t="str">
        <f t="shared" si="886"/>
        <v/>
      </c>
      <c r="P1528" s="459" t="str">
        <f t="shared" si="887"/>
        <v/>
      </c>
      <c r="Q1528" s="459" t="str">
        <f t="shared" si="888"/>
        <v/>
      </c>
      <c r="R1528" s="459" t="str">
        <f t="shared" si="889"/>
        <v/>
      </c>
      <c r="S1528" s="459" t="str">
        <f t="shared" si="890"/>
        <v/>
      </c>
      <c r="T1528" s="566" t="str">
        <f t="shared" si="875"/>
        <v/>
      </c>
      <c r="U1528" s="702"/>
      <c r="V1528" s="132"/>
      <c r="W1528" s="133"/>
      <c r="X1528" s="134"/>
      <c r="Y1528" s="135"/>
      <c r="Z1528" s="137"/>
      <c r="AA1528" s="136"/>
      <c r="AB1528" s="566" t="str">
        <f t="shared" si="876"/>
        <v/>
      </c>
      <c r="AC1528" s="568" t="str">
        <f t="shared" si="877"/>
        <v/>
      </c>
      <c r="AD1528" s="137"/>
      <c r="AE1528" s="137"/>
      <c r="AF1528" s="138"/>
      <c r="AG1528" s="138"/>
      <c r="AH1528" s="592" t="str">
        <f t="shared" si="878"/>
        <v/>
      </c>
      <c r="AI1528" s="592" t="str">
        <f t="shared" si="879"/>
        <v/>
      </c>
      <c r="AJ1528" s="592" t="str">
        <f t="shared" si="880"/>
        <v/>
      </c>
      <c r="AK1528" s="460" t="str">
        <f>IF(AU1528="","",IF(OR(AZ1528=8,AZ1528=9),0,IF(OR(AW1528=3,AW1528=4,AW1528=5,AW1528=6),IF(LEFT(BF1528,1)="1",INDEX(係数_NOX・PM低減,MATCH(AY1528,【参考】排出係数!$AI$801:$AI$804,1),1),VLOOKUP(AU1528,INDEX((係数_バス貨物_ガソリン,係数_バス貨物_CNG,係数_バス貨物_軽油,係数_バス貨物_メタノール,係数_バス貨物_LPG),MATCH(AY1528,【参考】排出係数!$AI$4:$AI$671,1),1,BE1528):INDEX((係数_バス貨物_ガソリン,係数_バス貨物_CNG,係数_バス貨物_軽油,係数_バス貨物_メタノール,係数_バス貨物_LPG),MATCH(AY1528+1,【参考】排出係数!$AI$4:$AI$671,1)-1,5,BE1528),4,FALSE)),IF(AND(BE1528=3,LEFT(BF1528,1)="1"),0.48,VLOOKUP(AU1528,INDEX((係数_乗用_ガソリン,係数_乗用_CNG,係数_乗用_軽油,係数_乗用_メタノール,係数_乗用_LPG),1,1,BE1528):INDEX((係数_乗用_ガソリン,係数_乗用_CNG,係数_乗用_軽油,係数_乗用_メタノール,係数_乗用_LPG),125,5,BE1528),4,FALSE)))))</f>
        <v/>
      </c>
      <c r="AL1528" s="461" t="str">
        <f t="shared" si="881"/>
        <v/>
      </c>
      <c r="AM1528" s="460" t="str">
        <f>IF(AU1528="","",IF(OR(AZ1528=8,AZ1528=9),0,IF(OR(AW1528=3,AW1528=4,AW1528=5,AW1528=6),IF(LEFT(BH1528,1)="1",INDEX(係数_PM低減,MATCH(AY1528,【参考】排出係数!$AI$801:$AI$804,1),MATCH(BI1528,【参考】排出係数!$AL$798:$AO$798,1)),VLOOKUP(AU1528,INDEX((係数_バス貨物_ガソリン,係数_バス貨物_CNG,係数_バス貨物_軽油,係数_バス貨物_メタノール,係数_バス貨物_LPG),MATCH(AY1528,【参考】排出係数!$AI$4:$AI$671,1),1,BE1528):INDEX((係数_バス貨物_ガソリン,係数_バス貨物_CNG,係数_バス貨物_軽油,係数_バス貨物_メタノール,係数_バス貨物_LPG),MATCH(AY1528+1,【参考】排出係数!$AI$4:$AI$671,1)-1,5,BE1528),5,FALSE)),IF(AND(BE1528=3,LEFT(BF1528,1)="1"),0.055,VLOOKUP(AU1528,INDEX((係数_乗用_ガソリン,係数_乗用_CNG,係数_乗用_軽油,係数_乗用_メタノール,係数_乗用_LPG),1,1,BE1528):INDEX((係数_乗用_ガソリン,係数_乗用_CNG,係数_乗用_軽油,係数_乗用_メタノール,係数_乗用_LPG),125,5,BE1528),5,FALSE)))))</f>
        <v/>
      </c>
      <c r="AN1528" s="461" t="str">
        <f t="shared" si="882"/>
        <v/>
      </c>
      <c r="AO1528" s="462" t="str">
        <f t="shared" si="883"/>
        <v/>
      </c>
      <c r="AP1528" s="463" t="str">
        <f t="shared" si="884"/>
        <v/>
      </c>
      <c r="AQ1528" s="464"/>
      <c r="AR1528" s="619"/>
      <c r="AS1528" s="465" t="str">
        <f t="shared" si="854"/>
        <v/>
      </c>
      <c r="AT1528" s="465" t="str">
        <f t="shared" si="855"/>
        <v/>
      </c>
      <c r="AU1528" s="466" t="str">
        <f t="shared" si="856"/>
        <v/>
      </c>
      <c r="AV1528" s="467" t="str">
        <f t="shared" si="857"/>
        <v/>
      </c>
      <c r="AW1528" s="467" t="str">
        <f t="shared" si="858"/>
        <v/>
      </c>
      <c r="AX1528" s="467" t="str">
        <f t="shared" si="859"/>
        <v/>
      </c>
      <c r="AY1528" s="467" t="str">
        <f t="shared" si="860"/>
        <v/>
      </c>
      <c r="AZ1528" s="467" t="str">
        <f t="shared" si="861"/>
        <v/>
      </c>
      <c r="BA1528" s="468" t="str">
        <f>IF(AS1528="","",IF(OR(AU1528="",AU1528="-"),"－",IF(OR(AZ1528=8,AZ1528=9),"",IF(OR(AW1528=3,AW1528=4,AW1528=5,AW1528=6),VLOOKUP(AU1528,INDEX((係数_バス貨物_ガソリン,係数_バス貨物_CNG,係数_バス貨物_軽油,係数_バス貨物_メタノール,係数_バス貨物_LPG),MATCH(AY1528,【参考】排出係数!$AI$4:$AI$671,1),1,BE1528):INDEX((係数_バス貨物_ガソリン,係数_バス貨物_CNG,係数_バス貨物_軽油,係数_バス貨物_メタノール,係数_バス貨物_LPG),MATCH(AY1528+1,【参考】排出係数!$AI$4:$AI$671,1)-1,5,BE1528),2,FALSE),IF(OR(AW1528=1,AW1528=2),VLOOKUP(AU1528,INDEX((係数_乗用_ガソリン,係数_乗用_CNG,係数_乗用_軽油,係数_乗用_メタノール,係数_乗用_LPG),1,1,BE1528):INDEX((係数_乗用_ガソリン,係数_乗用_CNG,係数_乗用_軽油,係数_乗用_メタノール,係数_乗用_LPG),125,5,BE1528),2,FALSE))))))</f>
        <v/>
      </c>
      <c r="BB1528" s="468" t="str">
        <f>IF(T1528="","",IF(OR(AU1528="",AU1528="-"),"－",IF(OR(AZ1528=8,AZ1528=9),"",IF(OR(AW1528=3,AW1528=4,AW1528=5,AW1528=6),VLOOKUP(AU1528,INDEX((係数_バス貨物_ガソリン,係数_バス貨物_CNG,係数_バス貨物_軽油,係数_バス貨物_メタノール,係数_バス貨物_LPG),MATCH(AY1528,【参考】排出係数!$AI$4:$AI$671,1),1,BE1528):INDEX((係数_バス貨物_ガソリン,係数_バス貨物_CNG,係数_バス貨物_軽油,係数_バス貨物_メタノール,係数_バス貨物_LPG),MATCH(AY1528+1,【参考】排出係数!$AI$4:$AI$671,1)-1,5,BE1528),3,FALSE),IF(OR(AW1528=1,AW1528=2),VLOOKUP(AU1528,INDEX((係数_乗用_ガソリン,係数_乗用_CNG,係数_乗用_軽油,係数_乗用_メタノール,係数_乗用_LPG),1,1,BE1528):INDEX((係数_乗用_ガソリン,係数_乗用_CNG,係数_乗用_軽油,係数_乗用_メタノール,係数_乗用_LPG),125,5,BE1528),3,FALSE))))))</f>
        <v/>
      </c>
      <c r="BC1528" s="467" t="str">
        <f t="shared" si="862"/>
        <v/>
      </c>
      <c r="BD1528" s="567" t="str">
        <f t="shared" si="863"/>
        <v/>
      </c>
      <c r="BE1528" s="467" t="str">
        <f t="shared" si="864"/>
        <v/>
      </c>
      <c r="BF1528" s="469" t="str">
        <f t="shared" ca="1" si="865"/>
        <v/>
      </c>
      <c r="BG1528" s="469" t="str">
        <f t="shared" ca="1" si="866"/>
        <v/>
      </c>
      <c r="BH1528" s="467" t="str">
        <f t="shared" si="867"/>
        <v/>
      </c>
      <c r="BI1528" s="467" t="str">
        <f t="shared" ca="1" si="868"/>
        <v/>
      </c>
      <c r="BJ1528" s="469" t="str">
        <f t="shared" si="869"/>
        <v/>
      </c>
      <c r="BK1528" s="470" t="str">
        <f t="shared" si="853"/>
        <v/>
      </c>
      <c r="BL1528" s="775" t="str">
        <f t="shared" si="870"/>
        <v/>
      </c>
      <c r="BM1528" s="775" t="str">
        <f t="shared" si="871"/>
        <v/>
      </c>
    </row>
    <row r="1529" spans="1:65">
      <c r="A1529" s="473">
        <v>1473</v>
      </c>
      <c r="B1529" s="132"/>
      <c r="C1529" s="332"/>
      <c r="D1529" s="333"/>
      <c r="E1529" s="333"/>
      <c r="F1529" s="334"/>
      <c r="G1529" s="337"/>
      <c r="H1529" s="131"/>
      <c r="I1529" s="337"/>
      <c r="J1529" s="131"/>
      <c r="K1529" s="458" t="str">
        <f t="shared" si="872"/>
        <v/>
      </c>
      <c r="L1529" s="458">
        <f t="shared" si="873"/>
        <v>0</v>
      </c>
      <c r="M1529" s="458">
        <f t="shared" si="874"/>
        <v>0</v>
      </c>
      <c r="N1529" s="459" t="str">
        <f t="shared" si="885"/>
        <v/>
      </c>
      <c r="O1529" s="459" t="str">
        <f t="shared" si="886"/>
        <v/>
      </c>
      <c r="P1529" s="459" t="str">
        <f t="shared" si="887"/>
        <v/>
      </c>
      <c r="Q1529" s="459" t="str">
        <f t="shared" si="888"/>
        <v/>
      </c>
      <c r="R1529" s="459" t="str">
        <f t="shared" si="889"/>
        <v/>
      </c>
      <c r="S1529" s="459" t="str">
        <f t="shared" si="890"/>
        <v/>
      </c>
      <c r="T1529" s="566" t="str">
        <f t="shared" si="875"/>
        <v/>
      </c>
      <c r="U1529" s="702"/>
      <c r="V1529" s="132"/>
      <c r="W1529" s="133"/>
      <c r="X1529" s="134"/>
      <c r="Y1529" s="135"/>
      <c r="Z1529" s="137"/>
      <c r="AA1529" s="136"/>
      <c r="AB1529" s="566" t="str">
        <f t="shared" si="876"/>
        <v/>
      </c>
      <c r="AC1529" s="568" t="str">
        <f t="shared" si="877"/>
        <v/>
      </c>
      <c r="AD1529" s="137"/>
      <c r="AE1529" s="137"/>
      <c r="AF1529" s="138"/>
      <c r="AG1529" s="138"/>
      <c r="AH1529" s="592" t="str">
        <f t="shared" si="878"/>
        <v/>
      </c>
      <c r="AI1529" s="592" t="str">
        <f t="shared" si="879"/>
        <v/>
      </c>
      <c r="AJ1529" s="592" t="str">
        <f t="shared" si="880"/>
        <v/>
      </c>
      <c r="AK1529" s="460" t="str">
        <f>IF(AU1529="","",IF(OR(AZ1529=8,AZ1529=9),0,IF(OR(AW1529=3,AW1529=4,AW1529=5,AW1529=6),IF(LEFT(BF1529,1)="1",INDEX(係数_NOX・PM低減,MATCH(AY1529,【参考】排出係数!$AI$801:$AI$804,1),1),VLOOKUP(AU1529,INDEX((係数_バス貨物_ガソリン,係数_バス貨物_CNG,係数_バス貨物_軽油,係数_バス貨物_メタノール,係数_バス貨物_LPG),MATCH(AY1529,【参考】排出係数!$AI$4:$AI$671,1),1,BE1529):INDEX((係数_バス貨物_ガソリン,係数_バス貨物_CNG,係数_バス貨物_軽油,係数_バス貨物_メタノール,係数_バス貨物_LPG),MATCH(AY1529+1,【参考】排出係数!$AI$4:$AI$671,1)-1,5,BE1529),4,FALSE)),IF(AND(BE1529=3,LEFT(BF1529,1)="1"),0.48,VLOOKUP(AU1529,INDEX((係数_乗用_ガソリン,係数_乗用_CNG,係数_乗用_軽油,係数_乗用_メタノール,係数_乗用_LPG),1,1,BE1529):INDEX((係数_乗用_ガソリン,係数_乗用_CNG,係数_乗用_軽油,係数_乗用_メタノール,係数_乗用_LPG),125,5,BE1529),4,FALSE)))))</f>
        <v/>
      </c>
      <c r="AL1529" s="461" t="str">
        <f t="shared" si="881"/>
        <v/>
      </c>
      <c r="AM1529" s="460" t="str">
        <f>IF(AU1529="","",IF(OR(AZ1529=8,AZ1529=9),0,IF(OR(AW1529=3,AW1529=4,AW1529=5,AW1529=6),IF(LEFT(BH1529,1)="1",INDEX(係数_PM低減,MATCH(AY1529,【参考】排出係数!$AI$801:$AI$804,1),MATCH(BI1529,【参考】排出係数!$AL$798:$AO$798,1)),VLOOKUP(AU1529,INDEX((係数_バス貨物_ガソリン,係数_バス貨物_CNG,係数_バス貨物_軽油,係数_バス貨物_メタノール,係数_バス貨物_LPG),MATCH(AY1529,【参考】排出係数!$AI$4:$AI$671,1),1,BE1529):INDEX((係数_バス貨物_ガソリン,係数_バス貨物_CNG,係数_バス貨物_軽油,係数_バス貨物_メタノール,係数_バス貨物_LPG),MATCH(AY1529+1,【参考】排出係数!$AI$4:$AI$671,1)-1,5,BE1529),5,FALSE)),IF(AND(BE1529=3,LEFT(BF1529,1)="1"),0.055,VLOOKUP(AU1529,INDEX((係数_乗用_ガソリン,係数_乗用_CNG,係数_乗用_軽油,係数_乗用_メタノール,係数_乗用_LPG),1,1,BE1529):INDEX((係数_乗用_ガソリン,係数_乗用_CNG,係数_乗用_軽油,係数_乗用_メタノール,係数_乗用_LPG),125,5,BE1529),5,FALSE)))))</f>
        <v/>
      </c>
      <c r="AN1529" s="461" t="str">
        <f t="shared" si="882"/>
        <v/>
      </c>
      <c r="AO1529" s="462" t="str">
        <f t="shared" si="883"/>
        <v/>
      </c>
      <c r="AP1529" s="463" t="str">
        <f t="shared" si="884"/>
        <v/>
      </c>
      <c r="AQ1529" s="464"/>
      <c r="AR1529" s="619"/>
      <c r="AS1529" s="465" t="str">
        <f t="shared" si="854"/>
        <v/>
      </c>
      <c r="AT1529" s="465" t="str">
        <f t="shared" si="855"/>
        <v/>
      </c>
      <c r="AU1529" s="466" t="str">
        <f t="shared" si="856"/>
        <v/>
      </c>
      <c r="AV1529" s="467" t="str">
        <f t="shared" si="857"/>
        <v/>
      </c>
      <c r="AW1529" s="467" t="str">
        <f t="shared" si="858"/>
        <v/>
      </c>
      <c r="AX1529" s="467" t="str">
        <f t="shared" si="859"/>
        <v/>
      </c>
      <c r="AY1529" s="467" t="str">
        <f t="shared" si="860"/>
        <v/>
      </c>
      <c r="AZ1529" s="467" t="str">
        <f t="shared" si="861"/>
        <v/>
      </c>
      <c r="BA1529" s="468" t="str">
        <f>IF(AS1529="","",IF(OR(AU1529="",AU1529="-"),"－",IF(OR(AZ1529=8,AZ1529=9),"",IF(OR(AW1529=3,AW1529=4,AW1529=5,AW1529=6),VLOOKUP(AU1529,INDEX((係数_バス貨物_ガソリン,係数_バス貨物_CNG,係数_バス貨物_軽油,係数_バス貨物_メタノール,係数_バス貨物_LPG),MATCH(AY1529,【参考】排出係数!$AI$4:$AI$671,1),1,BE1529):INDEX((係数_バス貨物_ガソリン,係数_バス貨物_CNG,係数_バス貨物_軽油,係数_バス貨物_メタノール,係数_バス貨物_LPG),MATCH(AY1529+1,【参考】排出係数!$AI$4:$AI$671,1)-1,5,BE1529),2,FALSE),IF(OR(AW1529=1,AW1529=2),VLOOKUP(AU1529,INDEX((係数_乗用_ガソリン,係数_乗用_CNG,係数_乗用_軽油,係数_乗用_メタノール,係数_乗用_LPG),1,1,BE1529):INDEX((係数_乗用_ガソリン,係数_乗用_CNG,係数_乗用_軽油,係数_乗用_メタノール,係数_乗用_LPG),125,5,BE1529),2,FALSE))))))</f>
        <v/>
      </c>
      <c r="BB1529" s="468" t="str">
        <f>IF(T1529="","",IF(OR(AU1529="",AU1529="-"),"－",IF(OR(AZ1529=8,AZ1529=9),"",IF(OR(AW1529=3,AW1529=4,AW1529=5,AW1529=6),VLOOKUP(AU1529,INDEX((係数_バス貨物_ガソリン,係数_バス貨物_CNG,係数_バス貨物_軽油,係数_バス貨物_メタノール,係数_バス貨物_LPG),MATCH(AY1529,【参考】排出係数!$AI$4:$AI$671,1),1,BE1529):INDEX((係数_バス貨物_ガソリン,係数_バス貨物_CNG,係数_バス貨物_軽油,係数_バス貨物_メタノール,係数_バス貨物_LPG),MATCH(AY1529+1,【参考】排出係数!$AI$4:$AI$671,1)-1,5,BE1529),3,FALSE),IF(OR(AW1529=1,AW1529=2),VLOOKUP(AU1529,INDEX((係数_乗用_ガソリン,係数_乗用_CNG,係数_乗用_軽油,係数_乗用_メタノール,係数_乗用_LPG),1,1,BE1529):INDEX((係数_乗用_ガソリン,係数_乗用_CNG,係数_乗用_軽油,係数_乗用_メタノール,係数_乗用_LPG),125,5,BE1529),3,FALSE))))))</f>
        <v/>
      </c>
      <c r="BC1529" s="467" t="str">
        <f t="shared" si="862"/>
        <v/>
      </c>
      <c r="BD1529" s="567" t="str">
        <f t="shared" si="863"/>
        <v/>
      </c>
      <c r="BE1529" s="467" t="str">
        <f t="shared" si="864"/>
        <v/>
      </c>
      <c r="BF1529" s="469" t="str">
        <f t="shared" ca="1" si="865"/>
        <v/>
      </c>
      <c r="BG1529" s="469" t="str">
        <f t="shared" ca="1" si="866"/>
        <v/>
      </c>
      <c r="BH1529" s="467" t="str">
        <f t="shared" si="867"/>
        <v/>
      </c>
      <c r="BI1529" s="467" t="str">
        <f t="shared" ca="1" si="868"/>
        <v/>
      </c>
      <c r="BJ1529" s="469" t="str">
        <f t="shared" si="869"/>
        <v/>
      </c>
      <c r="BK1529" s="470" t="str">
        <f t="shared" ref="BK1529:BK1592" si="891">IF(AS1529="","",VLOOKUP(T1529,車両の増減,2,FALSE))</f>
        <v/>
      </c>
      <c r="BL1529" s="775" t="str">
        <f t="shared" si="870"/>
        <v/>
      </c>
      <c r="BM1529" s="775" t="str">
        <f t="shared" si="871"/>
        <v/>
      </c>
    </row>
    <row r="1530" spans="1:65">
      <c r="A1530" s="473">
        <v>1474</v>
      </c>
      <c r="B1530" s="132"/>
      <c r="C1530" s="332"/>
      <c r="D1530" s="333"/>
      <c r="E1530" s="333"/>
      <c r="F1530" s="334"/>
      <c r="G1530" s="337"/>
      <c r="H1530" s="131"/>
      <c r="I1530" s="337"/>
      <c r="J1530" s="131"/>
      <c r="K1530" s="458" t="str">
        <f t="shared" si="872"/>
        <v/>
      </c>
      <c r="L1530" s="458">
        <f t="shared" si="873"/>
        <v>0</v>
      </c>
      <c r="M1530" s="458">
        <f t="shared" si="874"/>
        <v>0</v>
      </c>
      <c r="N1530" s="459" t="str">
        <f t="shared" si="885"/>
        <v/>
      </c>
      <c r="O1530" s="459" t="str">
        <f t="shared" si="886"/>
        <v/>
      </c>
      <c r="P1530" s="459" t="str">
        <f t="shared" si="887"/>
        <v/>
      </c>
      <c r="Q1530" s="459" t="str">
        <f t="shared" si="888"/>
        <v/>
      </c>
      <c r="R1530" s="459" t="str">
        <f t="shared" si="889"/>
        <v/>
      </c>
      <c r="S1530" s="459" t="str">
        <f t="shared" si="890"/>
        <v/>
      </c>
      <c r="T1530" s="566" t="str">
        <f t="shared" si="875"/>
        <v/>
      </c>
      <c r="U1530" s="702"/>
      <c r="V1530" s="132"/>
      <c r="W1530" s="133"/>
      <c r="X1530" s="134"/>
      <c r="Y1530" s="135"/>
      <c r="Z1530" s="137"/>
      <c r="AA1530" s="136"/>
      <c r="AB1530" s="566" t="str">
        <f t="shared" si="876"/>
        <v/>
      </c>
      <c r="AC1530" s="568" t="str">
        <f t="shared" si="877"/>
        <v/>
      </c>
      <c r="AD1530" s="137"/>
      <c r="AE1530" s="137"/>
      <c r="AF1530" s="138"/>
      <c r="AG1530" s="138"/>
      <c r="AH1530" s="592" t="str">
        <f t="shared" si="878"/>
        <v/>
      </c>
      <c r="AI1530" s="592" t="str">
        <f t="shared" si="879"/>
        <v/>
      </c>
      <c r="AJ1530" s="592" t="str">
        <f t="shared" si="880"/>
        <v/>
      </c>
      <c r="AK1530" s="460" t="str">
        <f>IF(AU1530="","",IF(OR(AZ1530=8,AZ1530=9),0,IF(OR(AW1530=3,AW1530=4,AW1530=5,AW1530=6),IF(LEFT(BF1530,1)="1",INDEX(係数_NOX・PM低減,MATCH(AY1530,【参考】排出係数!$AI$801:$AI$804,1),1),VLOOKUP(AU1530,INDEX((係数_バス貨物_ガソリン,係数_バス貨物_CNG,係数_バス貨物_軽油,係数_バス貨物_メタノール,係数_バス貨物_LPG),MATCH(AY1530,【参考】排出係数!$AI$4:$AI$671,1),1,BE1530):INDEX((係数_バス貨物_ガソリン,係数_バス貨物_CNG,係数_バス貨物_軽油,係数_バス貨物_メタノール,係数_バス貨物_LPG),MATCH(AY1530+1,【参考】排出係数!$AI$4:$AI$671,1)-1,5,BE1530),4,FALSE)),IF(AND(BE1530=3,LEFT(BF1530,1)="1"),0.48,VLOOKUP(AU1530,INDEX((係数_乗用_ガソリン,係数_乗用_CNG,係数_乗用_軽油,係数_乗用_メタノール,係数_乗用_LPG),1,1,BE1530):INDEX((係数_乗用_ガソリン,係数_乗用_CNG,係数_乗用_軽油,係数_乗用_メタノール,係数_乗用_LPG),125,5,BE1530),4,FALSE)))))</f>
        <v/>
      </c>
      <c r="AL1530" s="461" t="str">
        <f t="shared" si="881"/>
        <v/>
      </c>
      <c r="AM1530" s="460" t="str">
        <f>IF(AU1530="","",IF(OR(AZ1530=8,AZ1530=9),0,IF(OR(AW1530=3,AW1530=4,AW1530=5,AW1530=6),IF(LEFT(BH1530,1)="1",INDEX(係数_PM低減,MATCH(AY1530,【参考】排出係数!$AI$801:$AI$804,1),MATCH(BI1530,【参考】排出係数!$AL$798:$AO$798,1)),VLOOKUP(AU1530,INDEX((係数_バス貨物_ガソリン,係数_バス貨物_CNG,係数_バス貨物_軽油,係数_バス貨物_メタノール,係数_バス貨物_LPG),MATCH(AY1530,【参考】排出係数!$AI$4:$AI$671,1),1,BE1530):INDEX((係数_バス貨物_ガソリン,係数_バス貨物_CNG,係数_バス貨物_軽油,係数_バス貨物_メタノール,係数_バス貨物_LPG),MATCH(AY1530+1,【参考】排出係数!$AI$4:$AI$671,1)-1,5,BE1530),5,FALSE)),IF(AND(BE1530=3,LEFT(BF1530,1)="1"),0.055,VLOOKUP(AU1530,INDEX((係数_乗用_ガソリン,係数_乗用_CNG,係数_乗用_軽油,係数_乗用_メタノール,係数_乗用_LPG),1,1,BE1530):INDEX((係数_乗用_ガソリン,係数_乗用_CNG,係数_乗用_軽油,係数_乗用_メタノール,係数_乗用_LPG),125,5,BE1530),5,FALSE)))))</f>
        <v/>
      </c>
      <c r="AN1530" s="461" t="str">
        <f t="shared" si="882"/>
        <v/>
      </c>
      <c r="AO1530" s="462" t="str">
        <f t="shared" si="883"/>
        <v/>
      </c>
      <c r="AP1530" s="463" t="str">
        <f t="shared" si="884"/>
        <v/>
      </c>
      <c r="AQ1530" s="464"/>
      <c r="AR1530" s="619"/>
      <c r="AS1530" s="465" t="str">
        <f t="shared" ref="AS1530:AS1593" si="892">IF(OR(T1530="(減車済)",T1530=""),"",1)</f>
        <v/>
      </c>
      <c r="AT1530" s="465" t="str">
        <f t="shared" ref="AT1530:AT1593" si="893">IF(OR(T1530="継続",T1530="新規"),1,"")</f>
        <v/>
      </c>
      <c r="AU1530" s="466" t="str">
        <f t="shared" ref="AU1530:AU1593" si="894">IF(AS1530="","",UPPER(ASC(X1530)))</f>
        <v/>
      </c>
      <c r="AV1530" s="467" t="str">
        <f t="shared" ref="AV1530:AV1593" si="895">IF(AS1530="","",IF(V1530="","",IF(V1530="普通",1,IF(V1530="小型",2,0))))</f>
        <v/>
      </c>
      <c r="AW1530" s="467" t="str">
        <f t="shared" ref="AW1530:AW1593" si="896">IF(AS1530="","",IF(W1530="","",VLOOKUP(W1530,用途,2,FALSE)))</f>
        <v/>
      </c>
      <c r="AX1530" s="467" t="str">
        <f t="shared" ref="AX1530:AX1593" si="897">IF(AS1530="","",IF(Y1530="","",IF(Y1530&lt;=10,1,IF(Y1530&lt;30,2,IF(Y1530&gt;=30,3,0)))))</f>
        <v/>
      </c>
      <c r="AY1530" s="467" t="str">
        <f t="shared" ref="AY1530:AY1593" si="898">IF(AS1530="","",IF(Z1530="","",IF(Z1530&lt;=1.7*1000,1,IF(Z1530&lt;=2.5*1000,2,IF(Z1530&lt;=3.5*1000,3,IF(Z1530&lt;8*1000,4,IF(Z1530&gt;=8*1000,5,"")))))))</f>
        <v/>
      </c>
      <c r="AZ1530" s="467" t="str">
        <f t="shared" ref="AZ1530:AZ1593" si="899">IF(AS1530="","",IF(AA1530="","",VLOOKUP(AA1530,燃料の種類,2,FALSE)))</f>
        <v/>
      </c>
      <c r="BA1530" s="468" t="str">
        <f>IF(AS1530="","",IF(OR(AU1530="",AU1530="-"),"－",IF(OR(AZ1530=8,AZ1530=9),"",IF(OR(AW1530=3,AW1530=4,AW1530=5,AW1530=6),VLOOKUP(AU1530,INDEX((係数_バス貨物_ガソリン,係数_バス貨物_CNG,係数_バス貨物_軽油,係数_バス貨物_メタノール,係数_バス貨物_LPG),MATCH(AY1530,【参考】排出係数!$AI$4:$AI$671,1),1,BE1530):INDEX((係数_バス貨物_ガソリン,係数_バス貨物_CNG,係数_バス貨物_軽油,係数_バス貨物_メタノール,係数_バス貨物_LPG),MATCH(AY1530+1,【参考】排出係数!$AI$4:$AI$671,1)-1,5,BE1530),2,FALSE),IF(OR(AW1530=1,AW1530=2),VLOOKUP(AU1530,INDEX((係数_乗用_ガソリン,係数_乗用_CNG,係数_乗用_軽油,係数_乗用_メタノール,係数_乗用_LPG),1,1,BE1530):INDEX((係数_乗用_ガソリン,係数_乗用_CNG,係数_乗用_軽油,係数_乗用_メタノール,係数_乗用_LPG),125,5,BE1530),2,FALSE))))))</f>
        <v/>
      </c>
      <c r="BB1530" s="468" t="str">
        <f>IF(T1530="","",IF(OR(AU1530="",AU1530="-"),"－",IF(OR(AZ1530=8,AZ1530=9),"",IF(OR(AW1530=3,AW1530=4,AW1530=5,AW1530=6),VLOOKUP(AU1530,INDEX((係数_バス貨物_ガソリン,係数_バス貨物_CNG,係数_バス貨物_軽油,係数_バス貨物_メタノール,係数_バス貨物_LPG),MATCH(AY1530,【参考】排出係数!$AI$4:$AI$671,1),1,BE1530):INDEX((係数_バス貨物_ガソリン,係数_バス貨物_CNG,係数_バス貨物_軽油,係数_バス貨物_メタノール,係数_バス貨物_LPG),MATCH(AY1530+1,【参考】排出係数!$AI$4:$AI$671,1)-1,5,BE1530),3,FALSE),IF(OR(AW1530=1,AW1530=2),VLOOKUP(AU1530,INDEX((係数_乗用_ガソリン,係数_乗用_CNG,係数_乗用_軽油,係数_乗用_メタノール,係数_乗用_LPG),1,1,BE1530):INDEX((係数_乗用_ガソリン,係数_乗用_CNG,係数_乗用_軽油,係数_乗用_メタノール,係数_乗用_LPG),125,5,BE1530),3,FALSE))))))</f>
        <v/>
      </c>
      <c r="BC1530" s="467" t="str">
        <f t="shared" ref="BC1530:BC1593" si="900">IF((AS1530="")+(AC1530=""),"",IF(燃料区分1=4,VLOOKUP(BB1530,排ガス低減レベル,2,FALSE),VLOOKUP(AC1530,排ガス低減レベル,2,FALSE)))</f>
        <v/>
      </c>
      <c r="BD1530" s="567" t="str">
        <f t="shared" ref="BD1530:BD1593" si="901">IF(AT1530="","",IF(AW1530=3,B1530&amp;"-"&amp;SUM(AW1530*100,AX1530*10,AY1530)&amp;"A",IF(OR(AW1530=2,AW1530=4,AW1530=6),B1530&amp;"-"&amp;AY1530*10&amp;"A",IF(AW1530=1,B1530&amp;"-"&amp;AW1530&amp;"A",IF(AW1530=5,B1530&amp;"-"&amp;SUM(AW1530*100,AV1530*10,AY1530)&amp;"A","")))))</f>
        <v/>
      </c>
      <c r="BE1530" s="467" t="str">
        <f t="shared" ref="BE1530:BE1593" si="902">IF(OR(AZ1530=1,AZ1530=2,AZ1530=11),1,IF(AZ1530=6,2,IF(OR(AZ1530=4,AZ1530=5,AZ1530=10),3,IF(AZ1530=7,4,IF(AZ1530=3,5, IF(OR(AZ1530=8,AZ1530=9),6,""))))))</f>
        <v/>
      </c>
      <c r="BF1530" s="469" t="str">
        <f t="shared" ref="BF1530:BF1593" ca="1" si="903">(IF(OR(AZ1530=4,AZ1530=5),OFFSET($CH$1,MATCH($AF1530,$CG$2:$CG$4,0),0)&amp;BK1530,""))</f>
        <v/>
      </c>
      <c r="BG1530" s="469" t="str">
        <f t="shared" ref="BG1530:BG1593" ca="1" si="904">(IF(OR(AZ1530=4,AZ1530=5),OFFSET($CJ$1,MATCH($AG1530,$CI$2:$CI$5,0),0)&amp;BK1530,""))</f>
        <v/>
      </c>
      <c r="BH1530" s="467" t="str">
        <f t="shared" ref="BH1530:BH1593" si="905">IF(OR(AZ1530=4,AZ1530=5),IF(OR(LEFT(BF1530,1)="1",LEFT(BG1530,1)="2",LEFT(BG1530,1)="3"),1,2)&amp;BK1530,"")</f>
        <v/>
      </c>
      <c r="BI1530" s="467" t="str">
        <f t="shared" ref="BI1530:BI1593" ca="1" si="906">IF(LEFT(BF1530)="1",1,IF(LEFT(BG1530,1)="2",2,IF(LEFT(BG1530,1)="3",3,"")))</f>
        <v/>
      </c>
      <c r="BJ1530" s="469" t="str">
        <f t="shared" ref="BJ1530:BJ1593" si="907">IF(AT1530="","",B1530&amp;"-"&amp;AZ1530)</f>
        <v/>
      </c>
      <c r="BK1530" s="470" t="str">
        <f t="shared" si="891"/>
        <v/>
      </c>
      <c r="BL1530" s="775" t="str">
        <f t="shared" ref="BL1530:BL1593" si="908">IF(AND(OR($T1530="新規",$T1530="継続"),ISBLANK($AD1530)),1,"")</f>
        <v/>
      </c>
      <c r="BM1530" s="775" t="str">
        <f t="shared" ref="BM1530:BM1593" si="909">IF(AND(OR($T1530="新規",$T1530="継続"),ISBLANK($AE1530)),1,"")</f>
        <v/>
      </c>
    </row>
    <row r="1531" spans="1:65">
      <c r="A1531" s="473">
        <v>1475</v>
      </c>
      <c r="B1531" s="132"/>
      <c r="C1531" s="332"/>
      <c r="D1531" s="333"/>
      <c r="E1531" s="333"/>
      <c r="F1531" s="334"/>
      <c r="G1531" s="337"/>
      <c r="H1531" s="131"/>
      <c r="I1531" s="337"/>
      <c r="J1531" s="131"/>
      <c r="K1531" s="458" t="str">
        <f t="shared" si="872"/>
        <v/>
      </c>
      <c r="L1531" s="458">
        <f t="shared" si="873"/>
        <v>0</v>
      </c>
      <c r="M1531" s="458">
        <f t="shared" si="874"/>
        <v>0</v>
      </c>
      <c r="N1531" s="459" t="str">
        <f t="shared" si="885"/>
        <v/>
      </c>
      <c r="O1531" s="459" t="str">
        <f t="shared" si="886"/>
        <v/>
      </c>
      <c r="P1531" s="459" t="str">
        <f t="shared" si="887"/>
        <v/>
      </c>
      <c r="Q1531" s="459" t="str">
        <f t="shared" si="888"/>
        <v/>
      </c>
      <c r="R1531" s="459" t="str">
        <f t="shared" si="889"/>
        <v/>
      </c>
      <c r="S1531" s="459" t="str">
        <f t="shared" si="890"/>
        <v/>
      </c>
      <c r="T1531" s="566" t="str">
        <f t="shared" si="875"/>
        <v/>
      </c>
      <c r="U1531" s="702"/>
      <c r="V1531" s="132"/>
      <c r="W1531" s="133"/>
      <c r="X1531" s="134"/>
      <c r="Y1531" s="135"/>
      <c r="Z1531" s="137"/>
      <c r="AA1531" s="136"/>
      <c r="AB1531" s="566" t="str">
        <f t="shared" si="876"/>
        <v/>
      </c>
      <c r="AC1531" s="568" t="str">
        <f t="shared" si="877"/>
        <v/>
      </c>
      <c r="AD1531" s="137"/>
      <c r="AE1531" s="137"/>
      <c r="AF1531" s="138"/>
      <c r="AG1531" s="138"/>
      <c r="AH1531" s="592" t="str">
        <f t="shared" si="878"/>
        <v/>
      </c>
      <c r="AI1531" s="592" t="str">
        <f t="shared" si="879"/>
        <v/>
      </c>
      <c r="AJ1531" s="592" t="str">
        <f t="shared" si="880"/>
        <v/>
      </c>
      <c r="AK1531" s="460" t="str">
        <f>IF(AU1531="","",IF(OR(AZ1531=8,AZ1531=9),0,IF(OR(AW1531=3,AW1531=4,AW1531=5,AW1531=6),IF(LEFT(BF1531,1)="1",INDEX(係数_NOX・PM低減,MATCH(AY1531,【参考】排出係数!$AI$801:$AI$804,1),1),VLOOKUP(AU1531,INDEX((係数_バス貨物_ガソリン,係数_バス貨物_CNG,係数_バス貨物_軽油,係数_バス貨物_メタノール,係数_バス貨物_LPG),MATCH(AY1531,【参考】排出係数!$AI$4:$AI$671,1),1,BE1531):INDEX((係数_バス貨物_ガソリン,係数_バス貨物_CNG,係数_バス貨物_軽油,係数_バス貨物_メタノール,係数_バス貨物_LPG),MATCH(AY1531+1,【参考】排出係数!$AI$4:$AI$671,1)-1,5,BE1531),4,FALSE)),IF(AND(BE1531=3,LEFT(BF1531,1)="1"),0.48,VLOOKUP(AU1531,INDEX((係数_乗用_ガソリン,係数_乗用_CNG,係数_乗用_軽油,係数_乗用_メタノール,係数_乗用_LPG),1,1,BE1531):INDEX((係数_乗用_ガソリン,係数_乗用_CNG,係数_乗用_軽油,係数_乗用_メタノール,係数_乗用_LPG),125,5,BE1531),4,FALSE)))))</f>
        <v/>
      </c>
      <c r="AL1531" s="461" t="str">
        <f t="shared" si="881"/>
        <v/>
      </c>
      <c r="AM1531" s="460" t="str">
        <f>IF(AU1531="","",IF(OR(AZ1531=8,AZ1531=9),0,IF(OR(AW1531=3,AW1531=4,AW1531=5,AW1531=6),IF(LEFT(BH1531,1)="1",INDEX(係数_PM低減,MATCH(AY1531,【参考】排出係数!$AI$801:$AI$804,1),MATCH(BI1531,【参考】排出係数!$AL$798:$AO$798,1)),VLOOKUP(AU1531,INDEX((係数_バス貨物_ガソリン,係数_バス貨物_CNG,係数_バス貨物_軽油,係数_バス貨物_メタノール,係数_バス貨物_LPG),MATCH(AY1531,【参考】排出係数!$AI$4:$AI$671,1),1,BE1531):INDEX((係数_バス貨物_ガソリン,係数_バス貨物_CNG,係数_バス貨物_軽油,係数_バス貨物_メタノール,係数_バス貨物_LPG),MATCH(AY1531+1,【参考】排出係数!$AI$4:$AI$671,1)-1,5,BE1531),5,FALSE)),IF(AND(BE1531=3,LEFT(BF1531,1)="1"),0.055,VLOOKUP(AU1531,INDEX((係数_乗用_ガソリン,係数_乗用_CNG,係数_乗用_軽油,係数_乗用_メタノール,係数_乗用_LPG),1,1,BE1531):INDEX((係数_乗用_ガソリン,係数_乗用_CNG,係数_乗用_軽油,係数_乗用_メタノール,係数_乗用_LPG),125,5,BE1531),5,FALSE)))))</f>
        <v/>
      </c>
      <c r="AN1531" s="461" t="str">
        <f t="shared" si="882"/>
        <v/>
      </c>
      <c r="AO1531" s="462" t="str">
        <f t="shared" si="883"/>
        <v/>
      </c>
      <c r="AP1531" s="463" t="str">
        <f t="shared" si="884"/>
        <v/>
      </c>
      <c r="AQ1531" s="464"/>
      <c r="AR1531" s="619"/>
      <c r="AS1531" s="465" t="str">
        <f t="shared" si="892"/>
        <v/>
      </c>
      <c r="AT1531" s="465" t="str">
        <f t="shared" si="893"/>
        <v/>
      </c>
      <c r="AU1531" s="466" t="str">
        <f t="shared" si="894"/>
        <v/>
      </c>
      <c r="AV1531" s="467" t="str">
        <f t="shared" si="895"/>
        <v/>
      </c>
      <c r="AW1531" s="467" t="str">
        <f t="shared" si="896"/>
        <v/>
      </c>
      <c r="AX1531" s="467" t="str">
        <f t="shared" si="897"/>
        <v/>
      </c>
      <c r="AY1531" s="467" t="str">
        <f t="shared" si="898"/>
        <v/>
      </c>
      <c r="AZ1531" s="467" t="str">
        <f t="shared" si="899"/>
        <v/>
      </c>
      <c r="BA1531" s="468" t="str">
        <f>IF(AS1531="","",IF(OR(AU1531="",AU1531="-"),"－",IF(OR(AZ1531=8,AZ1531=9),"",IF(OR(AW1531=3,AW1531=4,AW1531=5,AW1531=6),VLOOKUP(AU1531,INDEX((係数_バス貨物_ガソリン,係数_バス貨物_CNG,係数_バス貨物_軽油,係数_バス貨物_メタノール,係数_バス貨物_LPG),MATCH(AY1531,【参考】排出係数!$AI$4:$AI$671,1),1,BE1531):INDEX((係数_バス貨物_ガソリン,係数_バス貨物_CNG,係数_バス貨物_軽油,係数_バス貨物_メタノール,係数_バス貨物_LPG),MATCH(AY1531+1,【参考】排出係数!$AI$4:$AI$671,1)-1,5,BE1531),2,FALSE),IF(OR(AW1531=1,AW1531=2),VLOOKUP(AU1531,INDEX((係数_乗用_ガソリン,係数_乗用_CNG,係数_乗用_軽油,係数_乗用_メタノール,係数_乗用_LPG),1,1,BE1531):INDEX((係数_乗用_ガソリン,係数_乗用_CNG,係数_乗用_軽油,係数_乗用_メタノール,係数_乗用_LPG),125,5,BE1531),2,FALSE))))))</f>
        <v/>
      </c>
      <c r="BB1531" s="468" t="str">
        <f>IF(T1531="","",IF(OR(AU1531="",AU1531="-"),"－",IF(OR(AZ1531=8,AZ1531=9),"",IF(OR(AW1531=3,AW1531=4,AW1531=5,AW1531=6),VLOOKUP(AU1531,INDEX((係数_バス貨物_ガソリン,係数_バス貨物_CNG,係数_バス貨物_軽油,係数_バス貨物_メタノール,係数_バス貨物_LPG),MATCH(AY1531,【参考】排出係数!$AI$4:$AI$671,1),1,BE1531):INDEX((係数_バス貨物_ガソリン,係数_バス貨物_CNG,係数_バス貨物_軽油,係数_バス貨物_メタノール,係数_バス貨物_LPG),MATCH(AY1531+1,【参考】排出係数!$AI$4:$AI$671,1)-1,5,BE1531),3,FALSE),IF(OR(AW1531=1,AW1531=2),VLOOKUP(AU1531,INDEX((係数_乗用_ガソリン,係数_乗用_CNG,係数_乗用_軽油,係数_乗用_メタノール,係数_乗用_LPG),1,1,BE1531):INDEX((係数_乗用_ガソリン,係数_乗用_CNG,係数_乗用_軽油,係数_乗用_メタノール,係数_乗用_LPG),125,5,BE1531),3,FALSE))))))</f>
        <v/>
      </c>
      <c r="BC1531" s="467" t="str">
        <f t="shared" si="900"/>
        <v/>
      </c>
      <c r="BD1531" s="567" t="str">
        <f t="shared" si="901"/>
        <v/>
      </c>
      <c r="BE1531" s="467" t="str">
        <f t="shared" si="902"/>
        <v/>
      </c>
      <c r="BF1531" s="469" t="str">
        <f t="shared" ca="1" si="903"/>
        <v/>
      </c>
      <c r="BG1531" s="469" t="str">
        <f t="shared" ca="1" si="904"/>
        <v/>
      </c>
      <c r="BH1531" s="467" t="str">
        <f t="shared" si="905"/>
        <v/>
      </c>
      <c r="BI1531" s="467" t="str">
        <f t="shared" ca="1" si="906"/>
        <v/>
      </c>
      <c r="BJ1531" s="469" t="str">
        <f t="shared" si="907"/>
        <v/>
      </c>
      <c r="BK1531" s="470" t="str">
        <f t="shared" si="891"/>
        <v/>
      </c>
      <c r="BL1531" s="775" t="str">
        <f t="shared" si="908"/>
        <v/>
      </c>
      <c r="BM1531" s="775" t="str">
        <f t="shared" si="909"/>
        <v/>
      </c>
    </row>
    <row r="1532" spans="1:65">
      <c r="A1532" s="473">
        <v>1476</v>
      </c>
      <c r="B1532" s="132"/>
      <c r="C1532" s="332"/>
      <c r="D1532" s="333"/>
      <c r="E1532" s="333"/>
      <c r="F1532" s="334"/>
      <c r="G1532" s="337"/>
      <c r="H1532" s="131"/>
      <c r="I1532" s="337"/>
      <c r="J1532" s="131"/>
      <c r="K1532" s="458" t="str">
        <f t="shared" si="872"/>
        <v/>
      </c>
      <c r="L1532" s="458">
        <f t="shared" si="873"/>
        <v>0</v>
      </c>
      <c r="M1532" s="458">
        <f t="shared" si="874"/>
        <v>0</v>
      </c>
      <c r="N1532" s="459" t="str">
        <f t="shared" si="885"/>
        <v/>
      </c>
      <c r="O1532" s="459" t="str">
        <f t="shared" si="886"/>
        <v/>
      </c>
      <c r="P1532" s="459" t="str">
        <f t="shared" si="887"/>
        <v/>
      </c>
      <c r="Q1532" s="459" t="str">
        <f t="shared" si="888"/>
        <v/>
      </c>
      <c r="R1532" s="459" t="str">
        <f t="shared" si="889"/>
        <v/>
      </c>
      <c r="S1532" s="459" t="str">
        <f t="shared" si="890"/>
        <v/>
      </c>
      <c r="T1532" s="566" t="str">
        <f t="shared" si="875"/>
        <v/>
      </c>
      <c r="U1532" s="702"/>
      <c r="V1532" s="132"/>
      <c r="W1532" s="133"/>
      <c r="X1532" s="134"/>
      <c r="Y1532" s="135"/>
      <c r="Z1532" s="137"/>
      <c r="AA1532" s="136"/>
      <c r="AB1532" s="566" t="str">
        <f t="shared" si="876"/>
        <v/>
      </c>
      <c r="AC1532" s="568" t="str">
        <f t="shared" si="877"/>
        <v/>
      </c>
      <c r="AD1532" s="137"/>
      <c r="AE1532" s="137"/>
      <c r="AF1532" s="138"/>
      <c r="AG1532" s="138"/>
      <c r="AH1532" s="592" t="str">
        <f t="shared" si="878"/>
        <v/>
      </c>
      <c r="AI1532" s="592" t="str">
        <f t="shared" si="879"/>
        <v/>
      </c>
      <c r="AJ1532" s="592" t="str">
        <f t="shared" si="880"/>
        <v/>
      </c>
      <c r="AK1532" s="460" t="str">
        <f>IF(AU1532="","",IF(OR(AZ1532=8,AZ1532=9),0,IF(OR(AW1532=3,AW1532=4,AW1532=5,AW1532=6),IF(LEFT(BF1532,1)="1",INDEX(係数_NOX・PM低減,MATCH(AY1532,【参考】排出係数!$AI$801:$AI$804,1),1),VLOOKUP(AU1532,INDEX((係数_バス貨物_ガソリン,係数_バス貨物_CNG,係数_バス貨物_軽油,係数_バス貨物_メタノール,係数_バス貨物_LPG),MATCH(AY1532,【参考】排出係数!$AI$4:$AI$671,1),1,BE1532):INDEX((係数_バス貨物_ガソリン,係数_バス貨物_CNG,係数_バス貨物_軽油,係数_バス貨物_メタノール,係数_バス貨物_LPG),MATCH(AY1532+1,【参考】排出係数!$AI$4:$AI$671,1)-1,5,BE1532),4,FALSE)),IF(AND(BE1532=3,LEFT(BF1532,1)="1"),0.48,VLOOKUP(AU1532,INDEX((係数_乗用_ガソリン,係数_乗用_CNG,係数_乗用_軽油,係数_乗用_メタノール,係数_乗用_LPG),1,1,BE1532):INDEX((係数_乗用_ガソリン,係数_乗用_CNG,係数_乗用_軽油,係数_乗用_メタノール,係数_乗用_LPG),125,5,BE1532),4,FALSE)))))</f>
        <v/>
      </c>
      <c r="AL1532" s="461" t="str">
        <f t="shared" si="881"/>
        <v/>
      </c>
      <c r="AM1532" s="460" t="str">
        <f>IF(AU1532="","",IF(OR(AZ1532=8,AZ1532=9),0,IF(OR(AW1532=3,AW1532=4,AW1532=5,AW1532=6),IF(LEFT(BH1532,1)="1",INDEX(係数_PM低減,MATCH(AY1532,【参考】排出係数!$AI$801:$AI$804,1),MATCH(BI1532,【参考】排出係数!$AL$798:$AO$798,1)),VLOOKUP(AU1532,INDEX((係数_バス貨物_ガソリン,係数_バス貨物_CNG,係数_バス貨物_軽油,係数_バス貨物_メタノール,係数_バス貨物_LPG),MATCH(AY1532,【参考】排出係数!$AI$4:$AI$671,1),1,BE1532):INDEX((係数_バス貨物_ガソリン,係数_バス貨物_CNG,係数_バス貨物_軽油,係数_バス貨物_メタノール,係数_バス貨物_LPG),MATCH(AY1532+1,【参考】排出係数!$AI$4:$AI$671,1)-1,5,BE1532),5,FALSE)),IF(AND(BE1532=3,LEFT(BF1532,1)="1"),0.055,VLOOKUP(AU1532,INDEX((係数_乗用_ガソリン,係数_乗用_CNG,係数_乗用_軽油,係数_乗用_メタノール,係数_乗用_LPG),1,1,BE1532):INDEX((係数_乗用_ガソリン,係数_乗用_CNG,係数_乗用_軽油,係数_乗用_メタノール,係数_乗用_LPG),125,5,BE1532),5,FALSE)))))</f>
        <v/>
      </c>
      <c r="AN1532" s="461" t="str">
        <f t="shared" si="882"/>
        <v/>
      </c>
      <c r="AO1532" s="462" t="str">
        <f t="shared" si="883"/>
        <v/>
      </c>
      <c r="AP1532" s="463" t="str">
        <f t="shared" si="884"/>
        <v/>
      </c>
      <c r="AQ1532" s="464"/>
      <c r="AR1532" s="619"/>
      <c r="AS1532" s="465" t="str">
        <f t="shared" si="892"/>
        <v/>
      </c>
      <c r="AT1532" s="465" t="str">
        <f t="shared" si="893"/>
        <v/>
      </c>
      <c r="AU1532" s="466" t="str">
        <f t="shared" si="894"/>
        <v/>
      </c>
      <c r="AV1532" s="467" t="str">
        <f t="shared" si="895"/>
        <v/>
      </c>
      <c r="AW1532" s="467" t="str">
        <f t="shared" si="896"/>
        <v/>
      </c>
      <c r="AX1532" s="467" t="str">
        <f t="shared" si="897"/>
        <v/>
      </c>
      <c r="AY1532" s="467" t="str">
        <f t="shared" si="898"/>
        <v/>
      </c>
      <c r="AZ1532" s="467" t="str">
        <f t="shared" si="899"/>
        <v/>
      </c>
      <c r="BA1532" s="468" t="str">
        <f>IF(AS1532="","",IF(OR(AU1532="",AU1532="-"),"－",IF(OR(AZ1532=8,AZ1532=9),"",IF(OR(AW1532=3,AW1532=4,AW1532=5,AW1532=6),VLOOKUP(AU1532,INDEX((係数_バス貨物_ガソリン,係数_バス貨物_CNG,係数_バス貨物_軽油,係数_バス貨物_メタノール,係数_バス貨物_LPG),MATCH(AY1532,【参考】排出係数!$AI$4:$AI$671,1),1,BE1532):INDEX((係数_バス貨物_ガソリン,係数_バス貨物_CNG,係数_バス貨物_軽油,係数_バス貨物_メタノール,係数_バス貨物_LPG),MATCH(AY1532+1,【参考】排出係数!$AI$4:$AI$671,1)-1,5,BE1532),2,FALSE),IF(OR(AW1532=1,AW1532=2),VLOOKUP(AU1532,INDEX((係数_乗用_ガソリン,係数_乗用_CNG,係数_乗用_軽油,係数_乗用_メタノール,係数_乗用_LPG),1,1,BE1532):INDEX((係数_乗用_ガソリン,係数_乗用_CNG,係数_乗用_軽油,係数_乗用_メタノール,係数_乗用_LPG),125,5,BE1532),2,FALSE))))))</f>
        <v/>
      </c>
      <c r="BB1532" s="468" t="str">
        <f>IF(T1532="","",IF(OR(AU1532="",AU1532="-"),"－",IF(OR(AZ1532=8,AZ1532=9),"",IF(OR(AW1532=3,AW1532=4,AW1532=5,AW1532=6),VLOOKUP(AU1532,INDEX((係数_バス貨物_ガソリン,係数_バス貨物_CNG,係数_バス貨物_軽油,係数_バス貨物_メタノール,係数_バス貨物_LPG),MATCH(AY1532,【参考】排出係数!$AI$4:$AI$671,1),1,BE1532):INDEX((係数_バス貨物_ガソリン,係数_バス貨物_CNG,係数_バス貨物_軽油,係数_バス貨物_メタノール,係数_バス貨物_LPG),MATCH(AY1532+1,【参考】排出係数!$AI$4:$AI$671,1)-1,5,BE1532),3,FALSE),IF(OR(AW1532=1,AW1532=2),VLOOKUP(AU1532,INDEX((係数_乗用_ガソリン,係数_乗用_CNG,係数_乗用_軽油,係数_乗用_メタノール,係数_乗用_LPG),1,1,BE1532):INDEX((係数_乗用_ガソリン,係数_乗用_CNG,係数_乗用_軽油,係数_乗用_メタノール,係数_乗用_LPG),125,5,BE1532),3,FALSE))))))</f>
        <v/>
      </c>
      <c r="BC1532" s="467" t="str">
        <f t="shared" si="900"/>
        <v/>
      </c>
      <c r="BD1532" s="567" t="str">
        <f t="shared" si="901"/>
        <v/>
      </c>
      <c r="BE1532" s="467" t="str">
        <f t="shared" si="902"/>
        <v/>
      </c>
      <c r="BF1532" s="469" t="str">
        <f t="shared" ca="1" si="903"/>
        <v/>
      </c>
      <c r="BG1532" s="469" t="str">
        <f t="shared" ca="1" si="904"/>
        <v/>
      </c>
      <c r="BH1532" s="467" t="str">
        <f t="shared" si="905"/>
        <v/>
      </c>
      <c r="BI1532" s="467" t="str">
        <f t="shared" ca="1" si="906"/>
        <v/>
      </c>
      <c r="BJ1532" s="469" t="str">
        <f t="shared" si="907"/>
        <v/>
      </c>
      <c r="BK1532" s="470" t="str">
        <f t="shared" si="891"/>
        <v/>
      </c>
      <c r="BL1532" s="775" t="str">
        <f t="shared" si="908"/>
        <v/>
      </c>
      <c r="BM1532" s="775" t="str">
        <f t="shared" si="909"/>
        <v/>
      </c>
    </row>
    <row r="1533" spans="1:65">
      <c r="A1533" s="473">
        <v>1477</v>
      </c>
      <c r="B1533" s="132"/>
      <c r="C1533" s="332"/>
      <c r="D1533" s="333"/>
      <c r="E1533" s="333"/>
      <c r="F1533" s="334"/>
      <c r="G1533" s="337"/>
      <c r="H1533" s="131"/>
      <c r="I1533" s="337"/>
      <c r="J1533" s="131"/>
      <c r="K1533" s="458" t="str">
        <f t="shared" si="872"/>
        <v/>
      </c>
      <c r="L1533" s="458">
        <f t="shared" si="873"/>
        <v>0</v>
      </c>
      <c r="M1533" s="458">
        <f t="shared" si="874"/>
        <v>0</v>
      </c>
      <c r="N1533" s="459" t="str">
        <f t="shared" si="885"/>
        <v/>
      </c>
      <c r="O1533" s="459" t="str">
        <f t="shared" si="886"/>
        <v/>
      </c>
      <c r="P1533" s="459" t="str">
        <f t="shared" si="887"/>
        <v/>
      </c>
      <c r="Q1533" s="459" t="str">
        <f t="shared" si="888"/>
        <v/>
      </c>
      <c r="R1533" s="459" t="str">
        <f t="shared" si="889"/>
        <v/>
      </c>
      <c r="S1533" s="459" t="str">
        <f t="shared" si="890"/>
        <v/>
      </c>
      <c r="T1533" s="566" t="str">
        <f t="shared" si="875"/>
        <v/>
      </c>
      <c r="U1533" s="702"/>
      <c r="V1533" s="132"/>
      <c r="W1533" s="133"/>
      <c r="X1533" s="134"/>
      <c r="Y1533" s="135"/>
      <c r="Z1533" s="137"/>
      <c r="AA1533" s="136"/>
      <c r="AB1533" s="566" t="str">
        <f t="shared" si="876"/>
        <v/>
      </c>
      <c r="AC1533" s="568" t="str">
        <f t="shared" si="877"/>
        <v/>
      </c>
      <c r="AD1533" s="137"/>
      <c r="AE1533" s="137"/>
      <c r="AF1533" s="138"/>
      <c r="AG1533" s="138"/>
      <c r="AH1533" s="592" t="str">
        <f t="shared" si="878"/>
        <v/>
      </c>
      <c r="AI1533" s="592" t="str">
        <f t="shared" si="879"/>
        <v/>
      </c>
      <c r="AJ1533" s="592" t="str">
        <f t="shared" si="880"/>
        <v/>
      </c>
      <c r="AK1533" s="460" t="str">
        <f>IF(AU1533="","",IF(OR(AZ1533=8,AZ1533=9),0,IF(OR(AW1533=3,AW1533=4,AW1533=5,AW1533=6),IF(LEFT(BF1533,1)="1",INDEX(係数_NOX・PM低減,MATCH(AY1533,【参考】排出係数!$AI$801:$AI$804,1),1),VLOOKUP(AU1533,INDEX((係数_バス貨物_ガソリン,係数_バス貨物_CNG,係数_バス貨物_軽油,係数_バス貨物_メタノール,係数_バス貨物_LPG),MATCH(AY1533,【参考】排出係数!$AI$4:$AI$671,1),1,BE1533):INDEX((係数_バス貨物_ガソリン,係数_バス貨物_CNG,係数_バス貨物_軽油,係数_バス貨物_メタノール,係数_バス貨物_LPG),MATCH(AY1533+1,【参考】排出係数!$AI$4:$AI$671,1)-1,5,BE1533),4,FALSE)),IF(AND(BE1533=3,LEFT(BF1533,1)="1"),0.48,VLOOKUP(AU1533,INDEX((係数_乗用_ガソリン,係数_乗用_CNG,係数_乗用_軽油,係数_乗用_メタノール,係数_乗用_LPG),1,1,BE1533):INDEX((係数_乗用_ガソリン,係数_乗用_CNG,係数_乗用_軽油,係数_乗用_メタノール,係数_乗用_LPG),125,5,BE1533),4,FALSE)))))</f>
        <v/>
      </c>
      <c r="AL1533" s="461" t="str">
        <f t="shared" si="881"/>
        <v/>
      </c>
      <c r="AM1533" s="460" t="str">
        <f>IF(AU1533="","",IF(OR(AZ1533=8,AZ1533=9),0,IF(OR(AW1533=3,AW1533=4,AW1533=5,AW1533=6),IF(LEFT(BH1533,1)="1",INDEX(係数_PM低減,MATCH(AY1533,【参考】排出係数!$AI$801:$AI$804,1),MATCH(BI1533,【参考】排出係数!$AL$798:$AO$798,1)),VLOOKUP(AU1533,INDEX((係数_バス貨物_ガソリン,係数_バス貨物_CNG,係数_バス貨物_軽油,係数_バス貨物_メタノール,係数_バス貨物_LPG),MATCH(AY1533,【参考】排出係数!$AI$4:$AI$671,1),1,BE1533):INDEX((係数_バス貨物_ガソリン,係数_バス貨物_CNG,係数_バス貨物_軽油,係数_バス貨物_メタノール,係数_バス貨物_LPG),MATCH(AY1533+1,【参考】排出係数!$AI$4:$AI$671,1)-1,5,BE1533),5,FALSE)),IF(AND(BE1533=3,LEFT(BF1533,1)="1"),0.055,VLOOKUP(AU1533,INDEX((係数_乗用_ガソリン,係数_乗用_CNG,係数_乗用_軽油,係数_乗用_メタノール,係数_乗用_LPG),1,1,BE1533):INDEX((係数_乗用_ガソリン,係数_乗用_CNG,係数_乗用_軽油,係数_乗用_メタノール,係数_乗用_LPG),125,5,BE1533),5,FALSE)))))</f>
        <v/>
      </c>
      <c r="AN1533" s="461" t="str">
        <f t="shared" si="882"/>
        <v/>
      </c>
      <c r="AO1533" s="462" t="str">
        <f t="shared" si="883"/>
        <v/>
      </c>
      <c r="AP1533" s="463" t="str">
        <f t="shared" si="884"/>
        <v/>
      </c>
      <c r="AQ1533" s="464"/>
      <c r="AR1533" s="619"/>
      <c r="AS1533" s="465" t="str">
        <f t="shared" si="892"/>
        <v/>
      </c>
      <c r="AT1533" s="465" t="str">
        <f t="shared" si="893"/>
        <v/>
      </c>
      <c r="AU1533" s="466" t="str">
        <f t="shared" si="894"/>
        <v/>
      </c>
      <c r="AV1533" s="467" t="str">
        <f t="shared" si="895"/>
        <v/>
      </c>
      <c r="AW1533" s="467" t="str">
        <f t="shared" si="896"/>
        <v/>
      </c>
      <c r="AX1533" s="467" t="str">
        <f t="shared" si="897"/>
        <v/>
      </c>
      <c r="AY1533" s="467" t="str">
        <f t="shared" si="898"/>
        <v/>
      </c>
      <c r="AZ1533" s="467" t="str">
        <f t="shared" si="899"/>
        <v/>
      </c>
      <c r="BA1533" s="468" t="str">
        <f>IF(AS1533="","",IF(OR(AU1533="",AU1533="-"),"－",IF(OR(AZ1533=8,AZ1533=9),"",IF(OR(AW1533=3,AW1533=4,AW1533=5,AW1533=6),VLOOKUP(AU1533,INDEX((係数_バス貨物_ガソリン,係数_バス貨物_CNG,係数_バス貨物_軽油,係数_バス貨物_メタノール,係数_バス貨物_LPG),MATCH(AY1533,【参考】排出係数!$AI$4:$AI$671,1),1,BE1533):INDEX((係数_バス貨物_ガソリン,係数_バス貨物_CNG,係数_バス貨物_軽油,係数_バス貨物_メタノール,係数_バス貨物_LPG),MATCH(AY1533+1,【参考】排出係数!$AI$4:$AI$671,1)-1,5,BE1533),2,FALSE),IF(OR(AW1533=1,AW1533=2),VLOOKUP(AU1533,INDEX((係数_乗用_ガソリン,係数_乗用_CNG,係数_乗用_軽油,係数_乗用_メタノール,係数_乗用_LPG),1,1,BE1533):INDEX((係数_乗用_ガソリン,係数_乗用_CNG,係数_乗用_軽油,係数_乗用_メタノール,係数_乗用_LPG),125,5,BE1533),2,FALSE))))))</f>
        <v/>
      </c>
      <c r="BB1533" s="468" t="str">
        <f>IF(T1533="","",IF(OR(AU1533="",AU1533="-"),"－",IF(OR(AZ1533=8,AZ1533=9),"",IF(OR(AW1533=3,AW1533=4,AW1533=5,AW1533=6),VLOOKUP(AU1533,INDEX((係数_バス貨物_ガソリン,係数_バス貨物_CNG,係数_バス貨物_軽油,係数_バス貨物_メタノール,係数_バス貨物_LPG),MATCH(AY1533,【参考】排出係数!$AI$4:$AI$671,1),1,BE1533):INDEX((係数_バス貨物_ガソリン,係数_バス貨物_CNG,係数_バス貨物_軽油,係数_バス貨物_メタノール,係数_バス貨物_LPG),MATCH(AY1533+1,【参考】排出係数!$AI$4:$AI$671,1)-1,5,BE1533),3,FALSE),IF(OR(AW1533=1,AW1533=2),VLOOKUP(AU1533,INDEX((係数_乗用_ガソリン,係数_乗用_CNG,係数_乗用_軽油,係数_乗用_メタノール,係数_乗用_LPG),1,1,BE1533):INDEX((係数_乗用_ガソリン,係数_乗用_CNG,係数_乗用_軽油,係数_乗用_メタノール,係数_乗用_LPG),125,5,BE1533),3,FALSE))))))</f>
        <v/>
      </c>
      <c r="BC1533" s="467" t="str">
        <f t="shared" si="900"/>
        <v/>
      </c>
      <c r="BD1533" s="567" t="str">
        <f t="shared" si="901"/>
        <v/>
      </c>
      <c r="BE1533" s="467" t="str">
        <f t="shared" si="902"/>
        <v/>
      </c>
      <c r="BF1533" s="469" t="str">
        <f t="shared" ca="1" si="903"/>
        <v/>
      </c>
      <c r="BG1533" s="469" t="str">
        <f t="shared" ca="1" si="904"/>
        <v/>
      </c>
      <c r="BH1533" s="467" t="str">
        <f t="shared" si="905"/>
        <v/>
      </c>
      <c r="BI1533" s="467" t="str">
        <f t="shared" ca="1" si="906"/>
        <v/>
      </c>
      <c r="BJ1533" s="469" t="str">
        <f t="shared" si="907"/>
        <v/>
      </c>
      <c r="BK1533" s="470" t="str">
        <f t="shared" si="891"/>
        <v/>
      </c>
      <c r="BL1533" s="775" t="str">
        <f t="shared" si="908"/>
        <v/>
      </c>
      <c r="BM1533" s="775" t="str">
        <f t="shared" si="909"/>
        <v/>
      </c>
    </row>
    <row r="1534" spans="1:65">
      <c r="A1534" s="473">
        <v>1478</v>
      </c>
      <c r="B1534" s="132"/>
      <c r="C1534" s="332"/>
      <c r="D1534" s="333"/>
      <c r="E1534" s="333"/>
      <c r="F1534" s="334"/>
      <c r="G1534" s="337"/>
      <c r="H1534" s="131"/>
      <c r="I1534" s="337"/>
      <c r="J1534" s="131"/>
      <c r="K1534" s="458" t="str">
        <f t="shared" si="872"/>
        <v/>
      </c>
      <c r="L1534" s="458">
        <f t="shared" si="873"/>
        <v>0</v>
      </c>
      <c r="M1534" s="458">
        <f t="shared" si="874"/>
        <v>0</v>
      </c>
      <c r="N1534" s="459" t="str">
        <f t="shared" si="885"/>
        <v/>
      </c>
      <c r="O1534" s="459" t="str">
        <f t="shared" si="886"/>
        <v/>
      </c>
      <c r="P1534" s="459" t="str">
        <f t="shared" si="887"/>
        <v/>
      </c>
      <c r="Q1534" s="459" t="str">
        <f t="shared" si="888"/>
        <v/>
      </c>
      <c r="R1534" s="459" t="str">
        <f t="shared" si="889"/>
        <v/>
      </c>
      <c r="S1534" s="459" t="str">
        <f t="shared" si="890"/>
        <v/>
      </c>
      <c r="T1534" s="566" t="str">
        <f t="shared" si="875"/>
        <v/>
      </c>
      <c r="U1534" s="702"/>
      <c r="V1534" s="132"/>
      <c r="W1534" s="133"/>
      <c r="X1534" s="134"/>
      <c r="Y1534" s="135"/>
      <c r="Z1534" s="137"/>
      <c r="AA1534" s="136"/>
      <c r="AB1534" s="566" t="str">
        <f t="shared" si="876"/>
        <v/>
      </c>
      <c r="AC1534" s="568" t="str">
        <f t="shared" si="877"/>
        <v/>
      </c>
      <c r="AD1534" s="137"/>
      <c r="AE1534" s="137"/>
      <c r="AF1534" s="138"/>
      <c r="AG1534" s="138"/>
      <c r="AH1534" s="592" t="str">
        <f t="shared" si="878"/>
        <v/>
      </c>
      <c r="AI1534" s="592" t="str">
        <f t="shared" si="879"/>
        <v/>
      </c>
      <c r="AJ1534" s="592" t="str">
        <f t="shared" si="880"/>
        <v/>
      </c>
      <c r="AK1534" s="460" t="str">
        <f>IF(AU1534="","",IF(OR(AZ1534=8,AZ1534=9),0,IF(OR(AW1534=3,AW1534=4,AW1534=5,AW1534=6),IF(LEFT(BF1534,1)="1",INDEX(係数_NOX・PM低減,MATCH(AY1534,【参考】排出係数!$AI$801:$AI$804,1),1),VLOOKUP(AU1534,INDEX((係数_バス貨物_ガソリン,係数_バス貨物_CNG,係数_バス貨物_軽油,係数_バス貨物_メタノール,係数_バス貨物_LPG),MATCH(AY1534,【参考】排出係数!$AI$4:$AI$671,1),1,BE1534):INDEX((係数_バス貨物_ガソリン,係数_バス貨物_CNG,係数_バス貨物_軽油,係数_バス貨物_メタノール,係数_バス貨物_LPG),MATCH(AY1534+1,【参考】排出係数!$AI$4:$AI$671,1)-1,5,BE1534),4,FALSE)),IF(AND(BE1534=3,LEFT(BF1534,1)="1"),0.48,VLOOKUP(AU1534,INDEX((係数_乗用_ガソリン,係数_乗用_CNG,係数_乗用_軽油,係数_乗用_メタノール,係数_乗用_LPG),1,1,BE1534):INDEX((係数_乗用_ガソリン,係数_乗用_CNG,係数_乗用_軽油,係数_乗用_メタノール,係数_乗用_LPG),125,5,BE1534),4,FALSE)))))</f>
        <v/>
      </c>
      <c r="AL1534" s="461" t="str">
        <f t="shared" si="881"/>
        <v/>
      </c>
      <c r="AM1534" s="460" t="str">
        <f>IF(AU1534="","",IF(OR(AZ1534=8,AZ1534=9),0,IF(OR(AW1534=3,AW1534=4,AW1534=5,AW1534=6),IF(LEFT(BH1534,1)="1",INDEX(係数_PM低減,MATCH(AY1534,【参考】排出係数!$AI$801:$AI$804,1),MATCH(BI1534,【参考】排出係数!$AL$798:$AO$798,1)),VLOOKUP(AU1534,INDEX((係数_バス貨物_ガソリン,係数_バス貨物_CNG,係数_バス貨物_軽油,係数_バス貨物_メタノール,係数_バス貨物_LPG),MATCH(AY1534,【参考】排出係数!$AI$4:$AI$671,1),1,BE1534):INDEX((係数_バス貨物_ガソリン,係数_バス貨物_CNG,係数_バス貨物_軽油,係数_バス貨物_メタノール,係数_バス貨物_LPG),MATCH(AY1534+1,【参考】排出係数!$AI$4:$AI$671,1)-1,5,BE1534),5,FALSE)),IF(AND(BE1534=3,LEFT(BF1534,1)="1"),0.055,VLOOKUP(AU1534,INDEX((係数_乗用_ガソリン,係数_乗用_CNG,係数_乗用_軽油,係数_乗用_メタノール,係数_乗用_LPG),1,1,BE1534):INDEX((係数_乗用_ガソリン,係数_乗用_CNG,係数_乗用_軽油,係数_乗用_メタノール,係数_乗用_LPG),125,5,BE1534),5,FALSE)))))</f>
        <v/>
      </c>
      <c r="AN1534" s="461" t="str">
        <f t="shared" si="882"/>
        <v/>
      </c>
      <c r="AO1534" s="462" t="str">
        <f t="shared" si="883"/>
        <v/>
      </c>
      <c r="AP1534" s="463" t="str">
        <f t="shared" si="884"/>
        <v/>
      </c>
      <c r="AQ1534" s="464"/>
      <c r="AR1534" s="619"/>
      <c r="AS1534" s="465" t="str">
        <f t="shared" si="892"/>
        <v/>
      </c>
      <c r="AT1534" s="465" t="str">
        <f t="shared" si="893"/>
        <v/>
      </c>
      <c r="AU1534" s="466" t="str">
        <f t="shared" si="894"/>
        <v/>
      </c>
      <c r="AV1534" s="467" t="str">
        <f t="shared" si="895"/>
        <v/>
      </c>
      <c r="AW1534" s="467" t="str">
        <f t="shared" si="896"/>
        <v/>
      </c>
      <c r="AX1534" s="467" t="str">
        <f t="shared" si="897"/>
        <v/>
      </c>
      <c r="AY1534" s="467" t="str">
        <f t="shared" si="898"/>
        <v/>
      </c>
      <c r="AZ1534" s="467" t="str">
        <f t="shared" si="899"/>
        <v/>
      </c>
      <c r="BA1534" s="468" t="str">
        <f>IF(AS1534="","",IF(OR(AU1534="",AU1534="-"),"－",IF(OR(AZ1534=8,AZ1534=9),"",IF(OR(AW1534=3,AW1534=4,AW1534=5,AW1534=6),VLOOKUP(AU1534,INDEX((係数_バス貨物_ガソリン,係数_バス貨物_CNG,係数_バス貨物_軽油,係数_バス貨物_メタノール,係数_バス貨物_LPG),MATCH(AY1534,【参考】排出係数!$AI$4:$AI$671,1),1,BE1534):INDEX((係数_バス貨物_ガソリン,係数_バス貨物_CNG,係数_バス貨物_軽油,係数_バス貨物_メタノール,係数_バス貨物_LPG),MATCH(AY1534+1,【参考】排出係数!$AI$4:$AI$671,1)-1,5,BE1534),2,FALSE),IF(OR(AW1534=1,AW1534=2),VLOOKUP(AU1534,INDEX((係数_乗用_ガソリン,係数_乗用_CNG,係数_乗用_軽油,係数_乗用_メタノール,係数_乗用_LPG),1,1,BE1534):INDEX((係数_乗用_ガソリン,係数_乗用_CNG,係数_乗用_軽油,係数_乗用_メタノール,係数_乗用_LPG),125,5,BE1534),2,FALSE))))))</f>
        <v/>
      </c>
      <c r="BB1534" s="468" t="str">
        <f>IF(T1534="","",IF(OR(AU1534="",AU1534="-"),"－",IF(OR(AZ1534=8,AZ1534=9),"",IF(OR(AW1534=3,AW1534=4,AW1534=5,AW1534=6),VLOOKUP(AU1534,INDEX((係数_バス貨物_ガソリン,係数_バス貨物_CNG,係数_バス貨物_軽油,係数_バス貨物_メタノール,係数_バス貨物_LPG),MATCH(AY1534,【参考】排出係数!$AI$4:$AI$671,1),1,BE1534):INDEX((係数_バス貨物_ガソリン,係数_バス貨物_CNG,係数_バス貨物_軽油,係数_バス貨物_メタノール,係数_バス貨物_LPG),MATCH(AY1534+1,【参考】排出係数!$AI$4:$AI$671,1)-1,5,BE1534),3,FALSE),IF(OR(AW1534=1,AW1534=2),VLOOKUP(AU1534,INDEX((係数_乗用_ガソリン,係数_乗用_CNG,係数_乗用_軽油,係数_乗用_メタノール,係数_乗用_LPG),1,1,BE1534):INDEX((係数_乗用_ガソリン,係数_乗用_CNG,係数_乗用_軽油,係数_乗用_メタノール,係数_乗用_LPG),125,5,BE1534),3,FALSE))))))</f>
        <v/>
      </c>
      <c r="BC1534" s="467" t="str">
        <f t="shared" si="900"/>
        <v/>
      </c>
      <c r="BD1534" s="567" t="str">
        <f t="shared" si="901"/>
        <v/>
      </c>
      <c r="BE1534" s="467" t="str">
        <f t="shared" si="902"/>
        <v/>
      </c>
      <c r="BF1534" s="469" t="str">
        <f t="shared" ca="1" si="903"/>
        <v/>
      </c>
      <c r="BG1534" s="469" t="str">
        <f t="shared" ca="1" si="904"/>
        <v/>
      </c>
      <c r="BH1534" s="467" t="str">
        <f t="shared" si="905"/>
        <v/>
      </c>
      <c r="BI1534" s="467" t="str">
        <f t="shared" ca="1" si="906"/>
        <v/>
      </c>
      <c r="BJ1534" s="469" t="str">
        <f t="shared" si="907"/>
        <v/>
      </c>
      <c r="BK1534" s="470" t="str">
        <f t="shared" si="891"/>
        <v/>
      </c>
      <c r="BL1534" s="775" t="str">
        <f t="shared" si="908"/>
        <v/>
      </c>
      <c r="BM1534" s="775" t="str">
        <f t="shared" si="909"/>
        <v/>
      </c>
    </row>
    <row r="1535" spans="1:65">
      <c r="A1535" s="473">
        <v>1479</v>
      </c>
      <c r="B1535" s="132"/>
      <c r="C1535" s="332"/>
      <c r="D1535" s="333"/>
      <c r="E1535" s="333"/>
      <c r="F1535" s="334"/>
      <c r="G1535" s="337"/>
      <c r="H1535" s="131"/>
      <c r="I1535" s="337"/>
      <c r="J1535" s="131"/>
      <c r="K1535" s="458" t="str">
        <f t="shared" si="872"/>
        <v/>
      </c>
      <c r="L1535" s="458">
        <f t="shared" si="873"/>
        <v>0</v>
      </c>
      <c r="M1535" s="458">
        <f t="shared" si="874"/>
        <v>0</v>
      </c>
      <c r="N1535" s="459" t="str">
        <f t="shared" si="885"/>
        <v/>
      </c>
      <c r="O1535" s="459" t="str">
        <f t="shared" si="886"/>
        <v/>
      </c>
      <c r="P1535" s="459" t="str">
        <f t="shared" si="887"/>
        <v/>
      </c>
      <c r="Q1535" s="459" t="str">
        <f t="shared" si="888"/>
        <v/>
      </c>
      <c r="R1535" s="459" t="str">
        <f t="shared" si="889"/>
        <v/>
      </c>
      <c r="S1535" s="459" t="str">
        <f t="shared" si="890"/>
        <v/>
      </c>
      <c r="T1535" s="566" t="str">
        <f t="shared" si="875"/>
        <v/>
      </c>
      <c r="U1535" s="702"/>
      <c r="V1535" s="132"/>
      <c r="W1535" s="133"/>
      <c r="X1535" s="134"/>
      <c r="Y1535" s="135"/>
      <c r="Z1535" s="137"/>
      <c r="AA1535" s="136"/>
      <c r="AB1535" s="566" t="str">
        <f t="shared" si="876"/>
        <v/>
      </c>
      <c r="AC1535" s="568" t="str">
        <f t="shared" si="877"/>
        <v/>
      </c>
      <c r="AD1535" s="137"/>
      <c r="AE1535" s="137"/>
      <c r="AF1535" s="138"/>
      <c r="AG1535" s="138"/>
      <c r="AH1535" s="592" t="str">
        <f t="shared" si="878"/>
        <v/>
      </c>
      <c r="AI1535" s="592" t="str">
        <f t="shared" si="879"/>
        <v/>
      </c>
      <c r="AJ1535" s="592" t="str">
        <f t="shared" si="880"/>
        <v/>
      </c>
      <c r="AK1535" s="460" t="str">
        <f>IF(AU1535="","",IF(OR(AZ1535=8,AZ1535=9),0,IF(OR(AW1535=3,AW1535=4,AW1535=5,AW1535=6),IF(LEFT(BF1535,1)="1",INDEX(係数_NOX・PM低減,MATCH(AY1535,【参考】排出係数!$AI$801:$AI$804,1),1),VLOOKUP(AU1535,INDEX((係数_バス貨物_ガソリン,係数_バス貨物_CNG,係数_バス貨物_軽油,係数_バス貨物_メタノール,係数_バス貨物_LPG),MATCH(AY1535,【参考】排出係数!$AI$4:$AI$671,1),1,BE1535):INDEX((係数_バス貨物_ガソリン,係数_バス貨物_CNG,係数_バス貨物_軽油,係数_バス貨物_メタノール,係数_バス貨物_LPG),MATCH(AY1535+1,【参考】排出係数!$AI$4:$AI$671,1)-1,5,BE1535),4,FALSE)),IF(AND(BE1535=3,LEFT(BF1535,1)="1"),0.48,VLOOKUP(AU1535,INDEX((係数_乗用_ガソリン,係数_乗用_CNG,係数_乗用_軽油,係数_乗用_メタノール,係数_乗用_LPG),1,1,BE1535):INDEX((係数_乗用_ガソリン,係数_乗用_CNG,係数_乗用_軽油,係数_乗用_メタノール,係数_乗用_LPG),125,5,BE1535),4,FALSE)))))</f>
        <v/>
      </c>
      <c r="AL1535" s="461" t="str">
        <f t="shared" si="881"/>
        <v/>
      </c>
      <c r="AM1535" s="460" t="str">
        <f>IF(AU1535="","",IF(OR(AZ1535=8,AZ1535=9),0,IF(OR(AW1535=3,AW1535=4,AW1535=5,AW1535=6),IF(LEFT(BH1535,1)="1",INDEX(係数_PM低減,MATCH(AY1535,【参考】排出係数!$AI$801:$AI$804,1),MATCH(BI1535,【参考】排出係数!$AL$798:$AO$798,1)),VLOOKUP(AU1535,INDEX((係数_バス貨物_ガソリン,係数_バス貨物_CNG,係数_バス貨物_軽油,係数_バス貨物_メタノール,係数_バス貨物_LPG),MATCH(AY1535,【参考】排出係数!$AI$4:$AI$671,1),1,BE1535):INDEX((係数_バス貨物_ガソリン,係数_バス貨物_CNG,係数_バス貨物_軽油,係数_バス貨物_メタノール,係数_バス貨物_LPG),MATCH(AY1535+1,【参考】排出係数!$AI$4:$AI$671,1)-1,5,BE1535),5,FALSE)),IF(AND(BE1535=3,LEFT(BF1535,1)="1"),0.055,VLOOKUP(AU1535,INDEX((係数_乗用_ガソリン,係数_乗用_CNG,係数_乗用_軽油,係数_乗用_メタノール,係数_乗用_LPG),1,1,BE1535):INDEX((係数_乗用_ガソリン,係数_乗用_CNG,係数_乗用_軽油,係数_乗用_メタノール,係数_乗用_LPG),125,5,BE1535),5,FALSE)))))</f>
        <v/>
      </c>
      <c r="AN1535" s="461" t="str">
        <f t="shared" si="882"/>
        <v/>
      </c>
      <c r="AO1535" s="462" t="str">
        <f t="shared" si="883"/>
        <v/>
      </c>
      <c r="AP1535" s="463" t="str">
        <f t="shared" si="884"/>
        <v/>
      </c>
      <c r="AQ1535" s="464"/>
      <c r="AR1535" s="619"/>
      <c r="AS1535" s="465" t="str">
        <f t="shared" si="892"/>
        <v/>
      </c>
      <c r="AT1535" s="465" t="str">
        <f t="shared" si="893"/>
        <v/>
      </c>
      <c r="AU1535" s="466" t="str">
        <f t="shared" si="894"/>
        <v/>
      </c>
      <c r="AV1535" s="467" t="str">
        <f t="shared" si="895"/>
        <v/>
      </c>
      <c r="AW1535" s="467" t="str">
        <f t="shared" si="896"/>
        <v/>
      </c>
      <c r="AX1535" s="467" t="str">
        <f t="shared" si="897"/>
        <v/>
      </c>
      <c r="AY1535" s="467" t="str">
        <f t="shared" si="898"/>
        <v/>
      </c>
      <c r="AZ1535" s="467" t="str">
        <f t="shared" si="899"/>
        <v/>
      </c>
      <c r="BA1535" s="468" t="str">
        <f>IF(AS1535="","",IF(OR(AU1535="",AU1535="-"),"－",IF(OR(AZ1535=8,AZ1535=9),"",IF(OR(AW1535=3,AW1535=4,AW1535=5,AW1535=6),VLOOKUP(AU1535,INDEX((係数_バス貨物_ガソリン,係数_バス貨物_CNG,係数_バス貨物_軽油,係数_バス貨物_メタノール,係数_バス貨物_LPG),MATCH(AY1535,【参考】排出係数!$AI$4:$AI$671,1),1,BE1535):INDEX((係数_バス貨物_ガソリン,係数_バス貨物_CNG,係数_バス貨物_軽油,係数_バス貨物_メタノール,係数_バス貨物_LPG),MATCH(AY1535+1,【参考】排出係数!$AI$4:$AI$671,1)-1,5,BE1535),2,FALSE),IF(OR(AW1535=1,AW1535=2),VLOOKUP(AU1535,INDEX((係数_乗用_ガソリン,係数_乗用_CNG,係数_乗用_軽油,係数_乗用_メタノール,係数_乗用_LPG),1,1,BE1535):INDEX((係数_乗用_ガソリン,係数_乗用_CNG,係数_乗用_軽油,係数_乗用_メタノール,係数_乗用_LPG),125,5,BE1535),2,FALSE))))))</f>
        <v/>
      </c>
      <c r="BB1535" s="468" t="str">
        <f>IF(T1535="","",IF(OR(AU1535="",AU1535="-"),"－",IF(OR(AZ1535=8,AZ1535=9),"",IF(OR(AW1535=3,AW1535=4,AW1535=5,AW1535=6),VLOOKUP(AU1535,INDEX((係数_バス貨物_ガソリン,係数_バス貨物_CNG,係数_バス貨物_軽油,係数_バス貨物_メタノール,係数_バス貨物_LPG),MATCH(AY1535,【参考】排出係数!$AI$4:$AI$671,1),1,BE1535):INDEX((係数_バス貨物_ガソリン,係数_バス貨物_CNG,係数_バス貨物_軽油,係数_バス貨物_メタノール,係数_バス貨物_LPG),MATCH(AY1535+1,【参考】排出係数!$AI$4:$AI$671,1)-1,5,BE1535),3,FALSE),IF(OR(AW1535=1,AW1535=2),VLOOKUP(AU1535,INDEX((係数_乗用_ガソリン,係数_乗用_CNG,係数_乗用_軽油,係数_乗用_メタノール,係数_乗用_LPG),1,1,BE1535):INDEX((係数_乗用_ガソリン,係数_乗用_CNG,係数_乗用_軽油,係数_乗用_メタノール,係数_乗用_LPG),125,5,BE1535),3,FALSE))))))</f>
        <v/>
      </c>
      <c r="BC1535" s="467" t="str">
        <f t="shared" si="900"/>
        <v/>
      </c>
      <c r="BD1535" s="567" t="str">
        <f t="shared" si="901"/>
        <v/>
      </c>
      <c r="BE1535" s="467" t="str">
        <f t="shared" si="902"/>
        <v/>
      </c>
      <c r="BF1535" s="469" t="str">
        <f t="shared" ca="1" si="903"/>
        <v/>
      </c>
      <c r="BG1535" s="469" t="str">
        <f t="shared" ca="1" si="904"/>
        <v/>
      </c>
      <c r="BH1535" s="467" t="str">
        <f t="shared" si="905"/>
        <v/>
      </c>
      <c r="BI1535" s="467" t="str">
        <f t="shared" ca="1" si="906"/>
        <v/>
      </c>
      <c r="BJ1535" s="469" t="str">
        <f t="shared" si="907"/>
        <v/>
      </c>
      <c r="BK1535" s="470" t="str">
        <f t="shared" si="891"/>
        <v/>
      </c>
      <c r="BL1535" s="775" t="str">
        <f t="shared" si="908"/>
        <v/>
      </c>
      <c r="BM1535" s="775" t="str">
        <f t="shared" si="909"/>
        <v/>
      </c>
    </row>
    <row r="1536" spans="1:65">
      <c r="A1536" s="473">
        <v>1480</v>
      </c>
      <c r="B1536" s="132"/>
      <c r="C1536" s="332"/>
      <c r="D1536" s="333"/>
      <c r="E1536" s="333"/>
      <c r="F1536" s="334"/>
      <c r="G1536" s="337"/>
      <c r="H1536" s="131"/>
      <c r="I1536" s="337"/>
      <c r="J1536" s="131"/>
      <c r="K1536" s="458" t="str">
        <f t="shared" si="872"/>
        <v/>
      </c>
      <c r="L1536" s="458">
        <f t="shared" si="873"/>
        <v>0</v>
      </c>
      <c r="M1536" s="458">
        <f t="shared" si="874"/>
        <v>0</v>
      </c>
      <c r="N1536" s="459" t="str">
        <f t="shared" si="885"/>
        <v/>
      </c>
      <c r="O1536" s="459" t="str">
        <f t="shared" si="886"/>
        <v/>
      </c>
      <c r="P1536" s="459" t="str">
        <f t="shared" si="887"/>
        <v/>
      </c>
      <c r="Q1536" s="459" t="str">
        <f t="shared" si="888"/>
        <v/>
      </c>
      <c r="R1536" s="459" t="str">
        <f t="shared" si="889"/>
        <v/>
      </c>
      <c r="S1536" s="459" t="str">
        <f t="shared" si="890"/>
        <v/>
      </c>
      <c r="T1536" s="566" t="str">
        <f t="shared" si="875"/>
        <v/>
      </c>
      <c r="U1536" s="702"/>
      <c r="V1536" s="132"/>
      <c r="W1536" s="133"/>
      <c r="X1536" s="134"/>
      <c r="Y1536" s="135"/>
      <c r="Z1536" s="137"/>
      <c r="AA1536" s="136"/>
      <c r="AB1536" s="566" t="str">
        <f t="shared" si="876"/>
        <v/>
      </c>
      <c r="AC1536" s="568" t="str">
        <f t="shared" si="877"/>
        <v/>
      </c>
      <c r="AD1536" s="137"/>
      <c r="AE1536" s="137"/>
      <c r="AF1536" s="138"/>
      <c r="AG1536" s="138"/>
      <c r="AH1536" s="592" t="str">
        <f t="shared" si="878"/>
        <v/>
      </c>
      <c r="AI1536" s="592" t="str">
        <f t="shared" si="879"/>
        <v/>
      </c>
      <c r="AJ1536" s="592" t="str">
        <f t="shared" si="880"/>
        <v/>
      </c>
      <c r="AK1536" s="460" t="str">
        <f>IF(AU1536="","",IF(OR(AZ1536=8,AZ1536=9),0,IF(OR(AW1536=3,AW1536=4,AW1536=5,AW1536=6),IF(LEFT(BF1536,1)="1",INDEX(係数_NOX・PM低減,MATCH(AY1536,【参考】排出係数!$AI$801:$AI$804,1),1),VLOOKUP(AU1536,INDEX((係数_バス貨物_ガソリン,係数_バス貨物_CNG,係数_バス貨物_軽油,係数_バス貨物_メタノール,係数_バス貨物_LPG),MATCH(AY1536,【参考】排出係数!$AI$4:$AI$671,1),1,BE1536):INDEX((係数_バス貨物_ガソリン,係数_バス貨物_CNG,係数_バス貨物_軽油,係数_バス貨物_メタノール,係数_バス貨物_LPG),MATCH(AY1536+1,【参考】排出係数!$AI$4:$AI$671,1)-1,5,BE1536),4,FALSE)),IF(AND(BE1536=3,LEFT(BF1536,1)="1"),0.48,VLOOKUP(AU1536,INDEX((係数_乗用_ガソリン,係数_乗用_CNG,係数_乗用_軽油,係数_乗用_メタノール,係数_乗用_LPG),1,1,BE1536):INDEX((係数_乗用_ガソリン,係数_乗用_CNG,係数_乗用_軽油,係数_乗用_メタノール,係数_乗用_LPG),125,5,BE1536),4,FALSE)))))</f>
        <v/>
      </c>
      <c r="AL1536" s="461" t="str">
        <f t="shared" si="881"/>
        <v/>
      </c>
      <c r="AM1536" s="460" t="str">
        <f>IF(AU1536="","",IF(OR(AZ1536=8,AZ1536=9),0,IF(OR(AW1536=3,AW1536=4,AW1536=5,AW1536=6),IF(LEFT(BH1536,1)="1",INDEX(係数_PM低減,MATCH(AY1536,【参考】排出係数!$AI$801:$AI$804,1),MATCH(BI1536,【参考】排出係数!$AL$798:$AO$798,1)),VLOOKUP(AU1536,INDEX((係数_バス貨物_ガソリン,係数_バス貨物_CNG,係数_バス貨物_軽油,係数_バス貨物_メタノール,係数_バス貨物_LPG),MATCH(AY1536,【参考】排出係数!$AI$4:$AI$671,1),1,BE1536):INDEX((係数_バス貨物_ガソリン,係数_バス貨物_CNG,係数_バス貨物_軽油,係数_バス貨物_メタノール,係数_バス貨物_LPG),MATCH(AY1536+1,【参考】排出係数!$AI$4:$AI$671,1)-1,5,BE1536),5,FALSE)),IF(AND(BE1536=3,LEFT(BF1536,1)="1"),0.055,VLOOKUP(AU1536,INDEX((係数_乗用_ガソリン,係数_乗用_CNG,係数_乗用_軽油,係数_乗用_メタノール,係数_乗用_LPG),1,1,BE1536):INDEX((係数_乗用_ガソリン,係数_乗用_CNG,係数_乗用_軽油,係数_乗用_メタノール,係数_乗用_LPG),125,5,BE1536),5,FALSE)))))</f>
        <v/>
      </c>
      <c r="AN1536" s="461" t="str">
        <f t="shared" si="882"/>
        <v/>
      </c>
      <c r="AO1536" s="462" t="str">
        <f t="shared" si="883"/>
        <v/>
      </c>
      <c r="AP1536" s="463" t="str">
        <f t="shared" si="884"/>
        <v/>
      </c>
      <c r="AQ1536" s="464"/>
      <c r="AR1536" s="619"/>
      <c r="AS1536" s="465" t="str">
        <f t="shared" si="892"/>
        <v/>
      </c>
      <c r="AT1536" s="465" t="str">
        <f t="shared" si="893"/>
        <v/>
      </c>
      <c r="AU1536" s="466" t="str">
        <f t="shared" si="894"/>
        <v/>
      </c>
      <c r="AV1536" s="467" t="str">
        <f t="shared" si="895"/>
        <v/>
      </c>
      <c r="AW1536" s="467" t="str">
        <f t="shared" si="896"/>
        <v/>
      </c>
      <c r="AX1536" s="467" t="str">
        <f t="shared" si="897"/>
        <v/>
      </c>
      <c r="AY1536" s="467" t="str">
        <f t="shared" si="898"/>
        <v/>
      </c>
      <c r="AZ1536" s="467" t="str">
        <f t="shared" si="899"/>
        <v/>
      </c>
      <c r="BA1536" s="468" t="str">
        <f>IF(AS1536="","",IF(OR(AU1536="",AU1536="-"),"－",IF(OR(AZ1536=8,AZ1536=9),"",IF(OR(AW1536=3,AW1536=4,AW1536=5,AW1536=6),VLOOKUP(AU1536,INDEX((係数_バス貨物_ガソリン,係数_バス貨物_CNG,係数_バス貨物_軽油,係数_バス貨物_メタノール,係数_バス貨物_LPG),MATCH(AY1536,【参考】排出係数!$AI$4:$AI$671,1),1,BE1536):INDEX((係数_バス貨物_ガソリン,係数_バス貨物_CNG,係数_バス貨物_軽油,係数_バス貨物_メタノール,係数_バス貨物_LPG),MATCH(AY1536+1,【参考】排出係数!$AI$4:$AI$671,1)-1,5,BE1536),2,FALSE),IF(OR(AW1536=1,AW1536=2),VLOOKUP(AU1536,INDEX((係数_乗用_ガソリン,係数_乗用_CNG,係数_乗用_軽油,係数_乗用_メタノール,係数_乗用_LPG),1,1,BE1536):INDEX((係数_乗用_ガソリン,係数_乗用_CNG,係数_乗用_軽油,係数_乗用_メタノール,係数_乗用_LPG),125,5,BE1536),2,FALSE))))))</f>
        <v/>
      </c>
      <c r="BB1536" s="468" t="str">
        <f>IF(T1536="","",IF(OR(AU1536="",AU1536="-"),"－",IF(OR(AZ1536=8,AZ1536=9),"",IF(OR(AW1536=3,AW1536=4,AW1536=5,AW1536=6),VLOOKUP(AU1536,INDEX((係数_バス貨物_ガソリン,係数_バス貨物_CNG,係数_バス貨物_軽油,係数_バス貨物_メタノール,係数_バス貨物_LPG),MATCH(AY1536,【参考】排出係数!$AI$4:$AI$671,1),1,BE1536):INDEX((係数_バス貨物_ガソリン,係数_バス貨物_CNG,係数_バス貨物_軽油,係数_バス貨物_メタノール,係数_バス貨物_LPG),MATCH(AY1536+1,【参考】排出係数!$AI$4:$AI$671,1)-1,5,BE1536),3,FALSE),IF(OR(AW1536=1,AW1536=2),VLOOKUP(AU1536,INDEX((係数_乗用_ガソリン,係数_乗用_CNG,係数_乗用_軽油,係数_乗用_メタノール,係数_乗用_LPG),1,1,BE1536):INDEX((係数_乗用_ガソリン,係数_乗用_CNG,係数_乗用_軽油,係数_乗用_メタノール,係数_乗用_LPG),125,5,BE1536),3,FALSE))))))</f>
        <v/>
      </c>
      <c r="BC1536" s="467" t="str">
        <f t="shared" si="900"/>
        <v/>
      </c>
      <c r="BD1536" s="567" t="str">
        <f t="shared" si="901"/>
        <v/>
      </c>
      <c r="BE1536" s="467" t="str">
        <f t="shared" si="902"/>
        <v/>
      </c>
      <c r="BF1536" s="469" t="str">
        <f t="shared" ca="1" si="903"/>
        <v/>
      </c>
      <c r="BG1536" s="469" t="str">
        <f t="shared" ca="1" si="904"/>
        <v/>
      </c>
      <c r="BH1536" s="467" t="str">
        <f t="shared" si="905"/>
        <v/>
      </c>
      <c r="BI1536" s="467" t="str">
        <f t="shared" ca="1" si="906"/>
        <v/>
      </c>
      <c r="BJ1536" s="469" t="str">
        <f t="shared" si="907"/>
        <v/>
      </c>
      <c r="BK1536" s="470" t="str">
        <f t="shared" si="891"/>
        <v/>
      </c>
      <c r="BL1536" s="775" t="str">
        <f t="shared" si="908"/>
        <v/>
      </c>
      <c r="BM1536" s="775" t="str">
        <f t="shared" si="909"/>
        <v/>
      </c>
    </row>
    <row r="1537" spans="1:65">
      <c r="A1537" s="473">
        <v>1481</v>
      </c>
      <c r="B1537" s="132"/>
      <c r="C1537" s="332"/>
      <c r="D1537" s="333"/>
      <c r="E1537" s="333"/>
      <c r="F1537" s="334"/>
      <c r="G1537" s="337"/>
      <c r="H1537" s="131"/>
      <c r="I1537" s="337"/>
      <c r="J1537" s="131"/>
      <c r="K1537" s="458" t="str">
        <f t="shared" si="872"/>
        <v/>
      </c>
      <c r="L1537" s="458">
        <f t="shared" si="873"/>
        <v>0</v>
      </c>
      <c r="M1537" s="458">
        <f t="shared" si="874"/>
        <v>0</v>
      </c>
      <c r="N1537" s="459" t="str">
        <f t="shared" si="885"/>
        <v/>
      </c>
      <c r="O1537" s="459" t="str">
        <f t="shared" si="886"/>
        <v/>
      </c>
      <c r="P1537" s="459" t="str">
        <f t="shared" si="887"/>
        <v/>
      </c>
      <c r="Q1537" s="459" t="str">
        <f t="shared" si="888"/>
        <v/>
      </c>
      <c r="R1537" s="459" t="str">
        <f t="shared" si="889"/>
        <v/>
      </c>
      <c r="S1537" s="459" t="str">
        <f t="shared" si="890"/>
        <v/>
      </c>
      <c r="T1537" s="566" t="str">
        <f t="shared" si="875"/>
        <v/>
      </c>
      <c r="U1537" s="702"/>
      <c r="V1537" s="132"/>
      <c r="W1537" s="133"/>
      <c r="X1537" s="134"/>
      <c r="Y1537" s="135"/>
      <c r="Z1537" s="137"/>
      <c r="AA1537" s="136"/>
      <c r="AB1537" s="566" t="str">
        <f t="shared" si="876"/>
        <v/>
      </c>
      <c r="AC1537" s="568" t="str">
        <f t="shared" si="877"/>
        <v/>
      </c>
      <c r="AD1537" s="137"/>
      <c r="AE1537" s="137"/>
      <c r="AF1537" s="138"/>
      <c r="AG1537" s="138"/>
      <c r="AH1537" s="592" t="str">
        <f t="shared" si="878"/>
        <v/>
      </c>
      <c r="AI1537" s="592" t="str">
        <f t="shared" si="879"/>
        <v/>
      </c>
      <c r="AJ1537" s="592" t="str">
        <f t="shared" si="880"/>
        <v/>
      </c>
      <c r="AK1537" s="460" t="str">
        <f>IF(AU1537="","",IF(OR(AZ1537=8,AZ1537=9),0,IF(OR(AW1537=3,AW1537=4,AW1537=5,AW1537=6),IF(LEFT(BF1537,1)="1",INDEX(係数_NOX・PM低減,MATCH(AY1537,【参考】排出係数!$AI$801:$AI$804,1),1),VLOOKUP(AU1537,INDEX((係数_バス貨物_ガソリン,係数_バス貨物_CNG,係数_バス貨物_軽油,係数_バス貨物_メタノール,係数_バス貨物_LPG),MATCH(AY1537,【参考】排出係数!$AI$4:$AI$671,1),1,BE1537):INDEX((係数_バス貨物_ガソリン,係数_バス貨物_CNG,係数_バス貨物_軽油,係数_バス貨物_メタノール,係数_バス貨物_LPG),MATCH(AY1537+1,【参考】排出係数!$AI$4:$AI$671,1)-1,5,BE1537),4,FALSE)),IF(AND(BE1537=3,LEFT(BF1537,1)="1"),0.48,VLOOKUP(AU1537,INDEX((係数_乗用_ガソリン,係数_乗用_CNG,係数_乗用_軽油,係数_乗用_メタノール,係数_乗用_LPG),1,1,BE1537):INDEX((係数_乗用_ガソリン,係数_乗用_CNG,係数_乗用_軽油,係数_乗用_メタノール,係数_乗用_LPG),125,5,BE1537),4,FALSE)))))</f>
        <v/>
      </c>
      <c r="AL1537" s="461" t="str">
        <f t="shared" si="881"/>
        <v/>
      </c>
      <c r="AM1537" s="460" t="str">
        <f>IF(AU1537="","",IF(OR(AZ1537=8,AZ1537=9),0,IF(OR(AW1537=3,AW1537=4,AW1537=5,AW1537=6),IF(LEFT(BH1537,1)="1",INDEX(係数_PM低減,MATCH(AY1537,【参考】排出係数!$AI$801:$AI$804,1),MATCH(BI1537,【参考】排出係数!$AL$798:$AO$798,1)),VLOOKUP(AU1537,INDEX((係数_バス貨物_ガソリン,係数_バス貨物_CNG,係数_バス貨物_軽油,係数_バス貨物_メタノール,係数_バス貨物_LPG),MATCH(AY1537,【参考】排出係数!$AI$4:$AI$671,1),1,BE1537):INDEX((係数_バス貨物_ガソリン,係数_バス貨物_CNG,係数_バス貨物_軽油,係数_バス貨物_メタノール,係数_バス貨物_LPG),MATCH(AY1537+1,【参考】排出係数!$AI$4:$AI$671,1)-1,5,BE1537),5,FALSE)),IF(AND(BE1537=3,LEFT(BF1537,1)="1"),0.055,VLOOKUP(AU1537,INDEX((係数_乗用_ガソリン,係数_乗用_CNG,係数_乗用_軽油,係数_乗用_メタノール,係数_乗用_LPG),1,1,BE1537):INDEX((係数_乗用_ガソリン,係数_乗用_CNG,係数_乗用_軽油,係数_乗用_メタノール,係数_乗用_LPG),125,5,BE1537),5,FALSE)))))</f>
        <v/>
      </c>
      <c r="AN1537" s="461" t="str">
        <f t="shared" si="882"/>
        <v/>
      </c>
      <c r="AO1537" s="462" t="str">
        <f t="shared" si="883"/>
        <v/>
      </c>
      <c r="AP1537" s="463" t="str">
        <f t="shared" si="884"/>
        <v/>
      </c>
      <c r="AQ1537" s="464"/>
      <c r="AR1537" s="619"/>
      <c r="AS1537" s="465" t="str">
        <f t="shared" si="892"/>
        <v/>
      </c>
      <c r="AT1537" s="465" t="str">
        <f t="shared" si="893"/>
        <v/>
      </c>
      <c r="AU1537" s="466" t="str">
        <f t="shared" si="894"/>
        <v/>
      </c>
      <c r="AV1537" s="467" t="str">
        <f t="shared" si="895"/>
        <v/>
      </c>
      <c r="AW1537" s="467" t="str">
        <f t="shared" si="896"/>
        <v/>
      </c>
      <c r="AX1537" s="467" t="str">
        <f t="shared" si="897"/>
        <v/>
      </c>
      <c r="AY1537" s="467" t="str">
        <f t="shared" si="898"/>
        <v/>
      </c>
      <c r="AZ1537" s="467" t="str">
        <f t="shared" si="899"/>
        <v/>
      </c>
      <c r="BA1537" s="468" t="str">
        <f>IF(AS1537="","",IF(OR(AU1537="",AU1537="-"),"－",IF(OR(AZ1537=8,AZ1537=9),"",IF(OR(AW1537=3,AW1537=4,AW1537=5,AW1537=6),VLOOKUP(AU1537,INDEX((係数_バス貨物_ガソリン,係数_バス貨物_CNG,係数_バス貨物_軽油,係数_バス貨物_メタノール,係数_バス貨物_LPG),MATCH(AY1537,【参考】排出係数!$AI$4:$AI$671,1),1,BE1537):INDEX((係数_バス貨物_ガソリン,係数_バス貨物_CNG,係数_バス貨物_軽油,係数_バス貨物_メタノール,係数_バス貨物_LPG),MATCH(AY1537+1,【参考】排出係数!$AI$4:$AI$671,1)-1,5,BE1537),2,FALSE),IF(OR(AW1537=1,AW1537=2),VLOOKUP(AU1537,INDEX((係数_乗用_ガソリン,係数_乗用_CNG,係数_乗用_軽油,係数_乗用_メタノール,係数_乗用_LPG),1,1,BE1537):INDEX((係数_乗用_ガソリン,係数_乗用_CNG,係数_乗用_軽油,係数_乗用_メタノール,係数_乗用_LPG),125,5,BE1537),2,FALSE))))))</f>
        <v/>
      </c>
      <c r="BB1537" s="468" t="str">
        <f>IF(T1537="","",IF(OR(AU1537="",AU1537="-"),"－",IF(OR(AZ1537=8,AZ1537=9),"",IF(OR(AW1537=3,AW1537=4,AW1537=5,AW1537=6),VLOOKUP(AU1537,INDEX((係数_バス貨物_ガソリン,係数_バス貨物_CNG,係数_バス貨物_軽油,係数_バス貨物_メタノール,係数_バス貨物_LPG),MATCH(AY1537,【参考】排出係数!$AI$4:$AI$671,1),1,BE1537):INDEX((係数_バス貨物_ガソリン,係数_バス貨物_CNG,係数_バス貨物_軽油,係数_バス貨物_メタノール,係数_バス貨物_LPG),MATCH(AY1537+1,【参考】排出係数!$AI$4:$AI$671,1)-1,5,BE1537),3,FALSE),IF(OR(AW1537=1,AW1537=2),VLOOKUP(AU1537,INDEX((係数_乗用_ガソリン,係数_乗用_CNG,係数_乗用_軽油,係数_乗用_メタノール,係数_乗用_LPG),1,1,BE1537):INDEX((係数_乗用_ガソリン,係数_乗用_CNG,係数_乗用_軽油,係数_乗用_メタノール,係数_乗用_LPG),125,5,BE1537),3,FALSE))))))</f>
        <v/>
      </c>
      <c r="BC1537" s="467" t="str">
        <f t="shared" si="900"/>
        <v/>
      </c>
      <c r="BD1537" s="567" t="str">
        <f t="shared" si="901"/>
        <v/>
      </c>
      <c r="BE1537" s="467" t="str">
        <f t="shared" si="902"/>
        <v/>
      </c>
      <c r="BF1537" s="469" t="str">
        <f t="shared" ca="1" si="903"/>
        <v/>
      </c>
      <c r="BG1537" s="469" t="str">
        <f t="shared" ca="1" si="904"/>
        <v/>
      </c>
      <c r="BH1537" s="467" t="str">
        <f t="shared" si="905"/>
        <v/>
      </c>
      <c r="BI1537" s="467" t="str">
        <f t="shared" ca="1" si="906"/>
        <v/>
      </c>
      <c r="BJ1537" s="469" t="str">
        <f t="shared" si="907"/>
        <v/>
      </c>
      <c r="BK1537" s="470" t="str">
        <f t="shared" si="891"/>
        <v/>
      </c>
      <c r="BL1537" s="775" t="str">
        <f t="shared" si="908"/>
        <v/>
      </c>
      <c r="BM1537" s="775" t="str">
        <f t="shared" si="909"/>
        <v/>
      </c>
    </row>
    <row r="1538" spans="1:65">
      <c r="A1538" s="473">
        <v>1482</v>
      </c>
      <c r="B1538" s="132"/>
      <c r="C1538" s="332"/>
      <c r="D1538" s="333"/>
      <c r="E1538" s="333"/>
      <c r="F1538" s="334"/>
      <c r="G1538" s="337"/>
      <c r="H1538" s="131"/>
      <c r="I1538" s="337"/>
      <c r="J1538" s="131"/>
      <c r="K1538" s="458" t="str">
        <f t="shared" si="872"/>
        <v/>
      </c>
      <c r="L1538" s="458">
        <f t="shared" si="873"/>
        <v>0</v>
      </c>
      <c r="M1538" s="458">
        <f t="shared" si="874"/>
        <v>0</v>
      </c>
      <c r="N1538" s="459" t="str">
        <f t="shared" si="885"/>
        <v/>
      </c>
      <c r="O1538" s="459" t="str">
        <f t="shared" si="886"/>
        <v/>
      </c>
      <c r="P1538" s="459" t="str">
        <f t="shared" si="887"/>
        <v/>
      </c>
      <c r="Q1538" s="459" t="str">
        <f t="shared" si="888"/>
        <v/>
      </c>
      <c r="R1538" s="459" t="str">
        <f t="shared" si="889"/>
        <v/>
      </c>
      <c r="S1538" s="459" t="str">
        <f t="shared" si="890"/>
        <v/>
      </c>
      <c r="T1538" s="566" t="str">
        <f t="shared" si="875"/>
        <v/>
      </c>
      <c r="U1538" s="702"/>
      <c r="V1538" s="132"/>
      <c r="W1538" s="133"/>
      <c r="X1538" s="134"/>
      <c r="Y1538" s="135"/>
      <c r="Z1538" s="137"/>
      <c r="AA1538" s="136"/>
      <c r="AB1538" s="566" t="str">
        <f t="shared" si="876"/>
        <v/>
      </c>
      <c r="AC1538" s="568" t="str">
        <f t="shared" si="877"/>
        <v/>
      </c>
      <c r="AD1538" s="137"/>
      <c r="AE1538" s="137"/>
      <c r="AF1538" s="138"/>
      <c r="AG1538" s="138"/>
      <c r="AH1538" s="592" t="str">
        <f t="shared" si="878"/>
        <v/>
      </c>
      <c r="AI1538" s="592" t="str">
        <f t="shared" si="879"/>
        <v/>
      </c>
      <c r="AJ1538" s="592" t="str">
        <f t="shared" si="880"/>
        <v/>
      </c>
      <c r="AK1538" s="460" t="str">
        <f>IF(AU1538="","",IF(OR(AZ1538=8,AZ1538=9),0,IF(OR(AW1538=3,AW1538=4,AW1538=5,AW1538=6),IF(LEFT(BF1538,1)="1",INDEX(係数_NOX・PM低減,MATCH(AY1538,【参考】排出係数!$AI$801:$AI$804,1),1),VLOOKUP(AU1538,INDEX((係数_バス貨物_ガソリン,係数_バス貨物_CNG,係数_バス貨物_軽油,係数_バス貨物_メタノール,係数_バス貨物_LPG),MATCH(AY1538,【参考】排出係数!$AI$4:$AI$671,1),1,BE1538):INDEX((係数_バス貨物_ガソリン,係数_バス貨物_CNG,係数_バス貨物_軽油,係数_バス貨物_メタノール,係数_バス貨物_LPG),MATCH(AY1538+1,【参考】排出係数!$AI$4:$AI$671,1)-1,5,BE1538),4,FALSE)),IF(AND(BE1538=3,LEFT(BF1538,1)="1"),0.48,VLOOKUP(AU1538,INDEX((係数_乗用_ガソリン,係数_乗用_CNG,係数_乗用_軽油,係数_乗用_メタノール,係数_乗用_LPG),1,1,BE1538):INDEX((係数_乗用_ガソリン,係数_乗用_CNG,係数_乗用_軽油,係数_乗用_メタノール,係数_乗用_LPG),125,5,BE1538),4,FALSE)))))</f>
        <v/>
      </c>
      <c r="AL1538" s="461" t="str">
        <f t="shared" si="881"/>
        <v/>
      </c>
      <c r="AM1538" s="460" t="str">
        <f>IF(AU1538="","",IF(OR(AZ1538=8,AZ1538=9),0,IF(OR(AW1538=3,AW1538=4,AW1538=5,AW1538=6),IF(LEFT(BH1538,1)="1",INDEX(係数_PM低減,MATCH(AY1538,【参考】排出係数!$AI$801:$AI$804,1),MATCH(BI1538,【参考】排出係数!$AL$798:$AO$798,1)),VLOOKUP(AU1538,INDEX((係数_バス貨物_ガソリン,係数_バス貨物_CNG,係数_バス貨物_軽油,係数_バス貨物_メタノール,係数_バス貨物_LPG),MATCH(AY1538,【参考】排出係数!$AI$4:$AI$671,1),1,BE1538):INDEX((係数_バス貨物_ガソリン,係数_バス貨物_CNG,係数_バス貨物_軽油,係数_バス貨物_メタノール,係数_バス貨物_LPG),MATCH(AY1538+1,【参考】排出係数!$AI$4:$AI$671,1)-1,5,BE1538),5,FALSE)),IF(AND(BE1538=3,LEFT(BF1538,1)="1"),0.055,VLOOKUP(AU1538,INDEX((係数_乗用_ガソリン,係数_乗用_CNG,係数_乗用_軽油,係数_乗用_メタノール,係数_乗用_LPG),1,1,BE1538):INDEX((係数_乗用_ガソリン,係数_乗用_CNG,係数_乗用_軽油,係数_乗用_メタノール,係数_乗用_LPG),125,5,BE1538),5,FALSE)))))</f>
        <v/>
      </c>
      <c r="AN1538" s="461" t="str">
        <f t="shared" si="882"/>
        <v/>
      </c>
      <c r="AO1538" s="462" t="str">
        <f t="shared" si="883"/>
        <v/>
      </c>
      <c r="AP1538" s="463" t="str">
        <f t="shared" si="884"/>
        <v/>
      </c>
      <c r="AQ1538" s="464"/>
      <c r="AR1538" s="619"/>
      <c r="AS1538" s="465" t="str">
        <f t="shared" si="892"/>
        <v/>
      </c>
      <c r="AT1538" s="465" t="str">
        <f t="shared" si="893"/>
        <v/>
      </c>
      <c r="AU1538" s="466" t="str">
        <f t="shared" si="894"/>
        <v/>
      </c>
      <c r="AV1538" s="467" t="str">
        <f t="shared" si="895"/>
        <v/>
      </c>
      <c r="AW1538" s="467" t="str">
        <f t="shared" si="896"/>
        <v/>
      </c>
      <c r="AX1538" s="467" t="str">
        <f t="shared" si="897"/>
        <v/>
      </c>
      <c r="AY1538" s="467" t="str">
        <f t="shared" si="898"/>
        <v/>
      </c>
      <c r="AZ1538" s="467" t="str">
        <f t="shared" si="899"/>
        <v/>
      </c>
      <c r="BA1538" s="468" t="str">
        <f>IF(AS1538="","",IF(OR(AU1538="",AU1538="-"),"－",IF(OR(AZ1538=8,AZ1538=9),"",IF(OR(AW1538=3,AW1538=4,AW1538=5,AW1538=6),VLOOKUP(AU1538,INDEX((係数_バス貨物_ガソリン,係数_バス貨物_CNG,係数_バス貨物_軽油,係数_バス貨物_メタノール,係数_バス貨物_LPG),MATCH(AY1538,【参考】排出係数!$AI$4:$AI$671,1),1,BE1538):INDEX((係数_バス貨物_ガソリン,係数_バス貨物_CNG,係数_バス貨物_軽油,係数_バス貨物_メタノール,係数_バス貨物_LPG),MATCH(AY1538+1,【参考】排出係数!$AI$4:$AI$671,1)-1,5,BE1538),2,FALSE),IF(OR(AW1538=1,AW1538=2),VLOOKUP(AU1538,INDEX((係数_乗用_ガソリン,係数_乗用_CNG,係数_乗用_軽油,係数_乗用_メタノール,係数_乗用_LPG),1,1,BE1538):INDEX((係数_乗用_ガソリン,係数_乗用_CNG,係数_乗用_軽油,係数_乗用_メタノール,係数_乗用_LPG),125,5,BE1538),2,FALSE))))))</f>
        <v/>
      </c>
      <c r="BB1538" s="468" t="str">
        <f>IF(T1538="","",IF(OR(AU1538="",AU1538="-"),"－",IF(OR(AZ1538=8,AZ1538=9),"",IF(OR(AW1538=3,AW1538=4,AW1538=5,AW1538=6),VLOOKUP(AU1538,INDEX((係数_バス貨物_ガソリン,係数_バス貨物_CNG,係数_バス貨物_軽油,係数_バス貨物_メタノール,係数_バス貨物_LPG),MATCH(AY1538,【参考】排出係数!$AI$4:$AI$671,1),1,BE1538):INDEX((係数_バス貨物_ガソリン,係数_バス貨物_CNG,係数_バス貨物_軽油,係数_バス貨物_メタノール,係数_バス貨物_LPG),MATCH(AY1538+1,【参考】排出係数!$AI$4:$AI$671,1)-1,5,BE1538),3,FALSE),IF(OR(AW1538=1,AW1538=2),VLOOKUP(AU1538,INDEX((係数_乗用_ガソリン,係数_乗用_CNG,係数_乗用_軽油,係数_乗用_メタノール,係数_乗用_LPG),1,1,BE1538):INDEX((係数_乗用_ガソリン,係数_乗用_CNG,係数_乗用_軽油,係数_乗用_メタノール,係数_乗用_LPG),125,5,BE1538),3,FALSE))))))</f>
        <v/>
      </c>
      <c r="BC1538" s="467" t="str">
        <f t="shared" si="900"/>
        <v/>
      </c>
      <c r="BD1538" s="567" t="str">
        <f t="shared" si="901"/>
        <v/>
      </c>
      <c r="BE1538" s="467" t="str">
        <f t="shared" si="902"/>
        <v/>
      </c>
      <c r="BF1538" s="469" t="str">
        <f t="shared" ca="1" si="903"/>
        <v/>
      </c>
      <c r="BG1538" s="469" t="str">
        <f t="shared" ca="1" si="904"/>
        <v/>
      </c>
      <c r="BH1538" s="467" t="str">
        <f t="shared" si="905"/>
        <v/>
      </c>
      <c r="BI1538" s="467" t="str">
        <f t="shared" ca="1" si="906"/>
        <v/>
      </c>
      <c r="BJ1538" s="469" t="str">
        <f t="shared" si="907"/>
        <v/>
      </c>
      <c r="BK1538" s="470" t="str">
        <f t="shared" si="891"/>
        <v/>
      </c>
      <c r="BL1538" s="775" t="str">
        <f t="shared" si="908"/>
        <v/>
      </c>
      <c r="BM1538" s="775" t="str">
        <f t="shared" si="909"/>
        <v/>
      </c>
    </row>
    <row r="1539" spans="1:65">
      <c r="A1539" s="473">
        <v>1483</v>
      </c>
      <c r="B1539" s="132"/>
      <c r="C1539" s="332"/>
      <c r="D1539" s="333"/>
      <c r="E1539" s="333"/>
      <c r="F1539" s="334"/>
      <c r="G1539" s="337"/>
      <c r="H1539" s="131"/>
      <c r="I1539" s="337"/>
      <c r="J1539" s="131"/>
      <c r="K1539" s="458" t="str">
        <f t="shared" si="872"/>
        <v/>
      </c>
      <c r="L1539" s="458">
        <f t="shared" si="873"/>
        <v>0</v>
      </c>
      <c r="M1539" s="458">
        <f t="shared" si="874"/>
        <v>0</v>
      </c>
      <c r="N1539" s="459" t="str">
        <f t="shared" si="885"/>
        <v/>
      </c>
      <c r="O1539" s="459" t="str">
        <f t="shared" si="886"/>
        <v/>
      </c>
      <c r="P1539" s="459" t="str">
        <f t="shared" si="887"/>
        <v/>
      </c>
      <c r="Q1539" s="459" t="str">
        <f t="shared" si="888"/>
        <v/>
      </c>
      <c r="R1539" s="459" t="str">
        <f t="shared" si="889"/>
        <v/>
      </c>
      <c r="S1539" s="459" t="str">
        <f t="shared" si="890"/>
        <v/>
      </c>
      <c r="T1539" s="566" t="str">
        <f t="shared" si="875"/>
        <v/>
      </c>
      <c r="U1539" s="702"/>
      <c r="V1539" s="132"/>
      <c r="W1539" s="133"/>
      <c r="X1539" s="134"/>
      <c r="Y1539" s="135"/>
      <c r="Z1539" s="137"/>
      <c r="AA1539" s="136"/>
      <c r="AB1539" s="566" t="str">
        <f t="shared" si="876"/>
        <v/>
      </c>
      <c r="AC1539" s="568" t="str">
        <f t="shared" si="877"/>
        <v/>
      </c>
      <c r="AD1539" s="137"/>
      <c r="AE1539" s="137"/>
      <c r="AF1539" s="138"/>
      <c r="AG1539" s="138"/>
      <c r="AH1539" s="592" t="str">
        <f t="shared" si="878"/>
        <v/>
      </c>
      <c r="AI1539" s="592" t="str">
        <f t="shared" si="879"/>
        <v/>
      </c>
      <c r="AJ1539" s="592" t="str">
        <f t="shared" si="880"/>
        <v/>
      </c>
      <c r="AK1539" s="460" t="str">
        <f>IF(AU1539="","",IF(OR(AZ1539=8,AZ1539=9),0,IF(OR(AW1539=3,AW1539=4,AW1539=5,AW1539=6),IF(LEFT(BF1539,1)="1",INDEX(係数_NOX・PM低減,MATCH(AY1539,【参考】排出係数!$AI$801:$AI$804,1),1),VLOOKUP(AU1539,INDEX((係数_バス貨物_ガソリン,係数_バス貨物_CNG,係数_バス貨物_軽油,係数_バス貨物_メタノール,係数_バス貨物_LPG),MATCH(AY1539,【参考】排出係数!$AI$4:$AI$671,1),1,BE1539):INDEX((係数_バス貨物_ガソリン,係数_バス貨物_CNG,係数_バス貨物_軽油,係数_バス貨物_メタノール,係数_バス貨物_LPG),MATCH(AY1539+1,【参考】排出係数!$AI$4:$AI$671,1)-1,5,BE1539),4,FALSE)),IF(AND(BE1539=3,LEFT(BF1539,1)="1"),0.48,VLOOKUP(AU1539,INDEX((係数_乗用_ガソリン,係数_乗用_CNG,係数_乗用_軽油,係数_乗用_メタノール,係数_乗用_LPG),1,1,BE1539):INDEX((係数_乗用_ガソリン,係数_乗用_CNG,係数_乗用_軽油,係数_乗用_メタノール,係数_乗用_LPG),125,5,BE1539),4,FALSE)))))</f>
        <v/>
      </c>
      <c r="AL1539" s="461" t="str">
        <f t="shared" si="881"/>
        <v/>
      </c>
      <c r="AM1539" s="460" t="str">
        <f>IF(AU1539="","",IF(OR(AZ1539=8,AZ1539=9),0,IF(OR(AW1539=3,AW1539=4,AW1539=5,AW1539=6),IF(LEFT(BH1539,1)="1",INDEX(係数_PM低減,MATCH(AY1539,【参考】排出係数!$AI$801:$AI$804,1),MATCH(BI1539,【参考】排出係数!$AL$798:$AO$798,1)),VLOOKUP(AU1539,INDEX((係数_バス貨物_ガソリン,係数_バス貨物_CNG,係数_バス貨物_軽油,係数_バス貨物_メタノール,係数_バス貨物_LPG),MATCH(AY1539,【参考】排出係数!$AI$4:$AI$671,1),1,BE1539):INDEX((係数_バス貨物_ガソリン,係数_バス貨物_CNG,係数_バス貨物_軽油,係数_バス貨物_メタノール,係数_バス貨物_LPG),MATCH(AY1539+1,【参考】排出係数!$AI$4:$AI$671,1)-1,5,BE1539),5,FALSE)),IF(AND(BE1539=3,LEFT(BF1539,1)="1"),0.055,VLOOKUP(AU1539,INDEX((係数_乗用_ガソリン,係数_乗用_CNG,係数_乗用_軽油,係数_乗用_メタノール,係数_乗用_LPG),1,1,BE1539):INDEX((係数_乗用_ガソリン,係数_乗用_CNG,係数_乗用_軽油,係数_乗用_メタノール,係数_乗用_LPG),125,5,BE1539),5,FALSE)))))</f>
        <v/>
      </c>
      <c r="AN1539" s="461" t="str">
        <f t="shared" si="882"/>
        <v/>
      </c>
      <c r="AO1539" s="462" t="str">
        <f t="shared" si="883"/>
        <v/>
      </c>
      <c r="AP1539" s="463" t="str">
        <f t="shared" si="884"/>
        <v/>
      </c>
      <c r="AQ1539" s="464"/>
      <c r="AR1539" s="619"/>
      <c r="AS1539" s="465" t="str">
        <f t="shared" si="892"/>
        <v/>
      </c>
      <c r="AT1539" s="465" t="str">
        <f t="shared" si="893"/>
        <v/>
      </c>
      <c r="AU1539" s="466" t="str">
        <f t="shared" si="894"/>
        <v/>
      </c>
      <c r="AV1539" s="467" t="str">
        <f t="shared" si="895"/>
        <v/>
      </c>
      <c r="AW1539" s="467" t="str">
        <f t="shared" si="896"/>
        <v/>
      </c>
      <c r="AX1539" s="467" t="str">
        <f t="shared" si="897"/>
        <v/>
      </c>
      <c r="AY1539" s="467" t="str">
        <f t="shared" si="898"/>
        <v/>
      </c>
      <c r="AZ1539" s="467" t="str">
        <f t="shared" si="899"/>
        <v/>
      </c>
      <c r="BA1539" s="468" t="str">
        <f>IF(AS1539="","",IF(OR(AU1539="",AU1539="-"),"－",IF(OR(AZ1539=8,AZ1539=9),"",IF(OR(AW1539=3,AW1539=4,AW1539=5,AW1539=6),VLOOKUP(AU1539,INDEX((係数_バス貨物_ガソリン,係数_バス貨物_CNG,係数_バス貨物_軽油,係数_バス貨物_メタノール,係数_バス貨物_LPG),MATCH(AY1539,【参考】排出係数!$AI$4:$AI$671,1),1,BE1539):INDEX((係数_バス貨物_ガソリン,係数_バス貨物_CNG,係数_バス貨物_軽油,係数_バス貨物_メタノール,係数_バス貨物_LPG),MATCH(AY1539+1,【参考】排出係数!$AI$4:$AI$671,1)-1,5,BE1539),2,FALSE),IF(OR(AW1539=1,AW1539=2),VLOOKUP(AU1539,INDEX((係数_乗用_ガソリン,係数_乗用_CNG,係数_乗用_軽油,係数_乗用_メタノール,係数_乗用_LPG),1,1,BE1539):INDEX((係数_乗用_ガソリン,係数_乗用_CNG,係数_乗用_軽油,係数_乗用_メタノール,係数_乗用_LPG),125,5,BE1539),2,FALSE))))))</f>
        <v/>
      </c>
      <c r="BB1539" s="468" t="str">
        <f>IF(T1539="","",IF(OR(AU1539="",AU1539="-"),"－",IF(OR(AZ1539=8,AZ1539=9),"",IF(OR(AW1539=3,AW1539=4,AW1539=5,AW1539=6),VLOOKUP(AU1539,INDEX((係数_バス貨物_ガソリン,係数_バス貨物_CNG,係数_バス貨物_軽油,係数_バス貨物_メタノール,係数_バス貨物_LPG),MATCH(AY1539,【参考】排出係数!$AI$4:$AI$671,1),1,BE1539):INDEX((係数_バス貨物_ガソリン,係数_バス貨物_CNG,係数_バス貨物_軽油,係数_バス貨物_メタノール,係数_バス貨物_LPG),MATCH(AY1539+1,【参考】排出係数!$AI$4:$AI$671,1)-1,5,BE1539),3,FALSE),IF(OR(AW1539=1,AW1539=2),VLOOKUP(AU1539,INDEX((係数_乗用_ガソリン,係数_乗用_CNG,係数_乗用_軽油,係数_乗用_メタノール,係数_乗用_LPG),1,1,BE1539):INDEX((係数_乗用_ガソリン,係数_乗用_CNG,係数_乗用_軽油,係数_乗用_メタノール,係数_乗用_LPG),125,5,BE1539),3,FALSE))))))</f>
        <v/>
      </c>
      <c r="BC1539" s="467" t="str">
        <f t="shared" si="900"/>
        <v/>
      </c>
      <c r="BD1539" s="567" t="str">
        <f t="shared" si="901"/>
        <v/>
      </c>
      <c r="BE1539" s="467" t="str">
        <f t="shared" si="902"/>
        <v/>
      </c>
      <c r="BF1539" s="469" t="str">
        <f t="shared" ca="1" si="903"/>
        <v/>
      </c>
      <c r="BG1539" s="469" t="str">
        <f t="shared" ca="1" si="904"/>
        <v/>
      </c>
      <c r="BH1539" s="467" t="str">
        <f t="shared" si="905"/>
        <v/>
      </c>
      <c r="BI1539" s="467" t="str">
        <f t="shared" ca="1" si="906"/>
        <v/>
      </c>
      <c r="BJ1539" s="469" t="str">
        <f t="shared" si="907"/>
        <v/>
      </c>
      <c r="BK1539" s="470" t="str">
        <f t="shared" si="891"/>
        <v/>
      </c>
      <c r="BL1539" s="775" t="str">
        <f t="shared" si="908"/>
        <v/>
      </c>
      <c r="BM1539" s="775" t="str">
        <f t="shared" si="909"/>
        <v/>
      </c>
    </row>
    <row r="1540" spans="1:65">
      <c r="A1540" s="473">
        <v>1484</v>
      </c>
      <c r="B1540" s="132"/>
      <c r="C1540" s="332"/>
      <c r="D1540" s="333"/>
      <c r="E1540" s="333"/>
      <c r="F1540" s="334"/>
      <c r="G1540" s="337"/>
      <c r="H1540" s="131"/>
      <c r="I1540" s="337"/>
      <c r="J1540" s="131"/>
      <c r="K1540" s="458" t="str">
        <f t="shared" si="872"/>
        <v/>
      </c>
      <c r="L1540" s="458">
        <f t="shared" si="873"/>
        <v>0</v>
      </c>
      <c r="M1540" s="458">
        <f t="shared" si="874"/>
        <v>0</v>
      </c>
      <c r="N1540" s="459" t="str">
        <f t="shared" si="885"/>
        <v/>
      </c>
      <c r="O1540" s="459" t="str">
        <f t="shared" si="886"/>
        <v/>
      </c>
      <c r="P1540" s="459" t="str">
        <f t="shared" si="887"/>
        <v/>
      </c>
      <c r="Q1540" s="459" t="str">
        <f t="shared" si="888"/>
        <v/>
      </c>
      <c r="R1540" s="459" t="str">
        <f t="shared" si="889"/>
        <v/>
      </c>
      <c r="S1540" s="459" t="str">
        <f t="shared" si="890"/>
        <v/>
      </c>
      <c r="T1540" s="566" t="str">
        <f t="shared" si="875"/>
        <v/>
      </c>
      <c r="U1540" s="702"/>
      <c r="V1540" s="132"/>
      <c r="W1540" s="133"/>
      <c r="X1540" s="134"/>
      <c r="Y1540" s="135"/>
      <c r="Z1540" s="137"/>
      <c r="AA1540" s="136"/>
      <c r="AB1540" s="566" t="str">
        <f t="shared" si="876"/>
        <v/>
      </c>
      <c r="AC1540" s="568" t="str">
        <f t="shared" si="877"/>
        <v/>
      </c>
      <c r="AD1540" s="137"/>
      <c r="AE1540" s="137"/>
      <c r="AF1540" s="138"/>
      <c r="AG1540" s="138"/>
      <c r="AH1540" s="592" t="str">
        <f t="shared" si="878"/>
        <v/>
      </c>
      <c r="AI1540" s="592" t="str">
        <f t="shared" si="879"/>
        <v/>
      </c>
      <c r="AJ1540" s="592" t="str">
        <f t="shared" si="880"/>
        <v/>
      </c>
      <c r="AK1540" s="460" t="str">
        <f>IF(AU1540="","",IF(OR(AZ1540=8,AZ1540=9),0,IF(OR(AW1540=3,AW1540=4,AW1540=5,AW1540=6),IF(LEFT(BF1540,1)="1",INDEX(係数_NOX・PM低減,MATCH(AY1540,【参考】排出係数!$AI$801:$AI$804,1),1),VLOOKUP(AU1540,INDEX((係数_バス貨物_ガソリン,係数_バス貨物_CNG,係数_バス貨物_軽油,係数_バス貨物_メタノール,係数_バス貨物_LPG),MATCH(AY1540,【参考】排出係数!$AI$4:$AI$671,1),1,BE1540):INDEX((係数_バス貨物_ガソリン,係数_バス貨物_CNG,係数_バス貨物_軽油,係数_バス貨物_メタノール,係数_バス貨物_LPG),MATCH(AY1540+1,【参考】排出係数!$AI$4:$AI$671,1)-1,5,BE1540),4,FALSE)),IF(AND(BE1540=3,LEFT(BF1540,1)="1"),0.48,VLOOKUP(AU1540,INDEX((係数_乗用_ガソリン,係数_乗用_CNG,係数_乗用_軽油,係数_乗用_メタノール,係数_乗用_LPG),1,1,BE1540):INDEX((係数_乗用_ガソリン,係数_乗用_CNG,係数_乗用_軽油,係数_乗用_メタノール,係数_乗用_LPG),125,5,BE1540),4,FALSE)))))</f>
        <v/>
      </c>
      <c r="AL1540" s="461" t="str">
        <f t="shared" si="881"/>
        <v/>
      </c>
      <c r="AM1540" s="460" t="str">
        <f>IF(AU1540="","",IF(OR(AZ1540=8,AZ1540=9),0,IF(OR(AW1540=3,AW1540=4,AW1540=5,AW1540=6),IF(LEFT(BH1540,1)="1",INDEX(係数_PM低減,MATCH(AY1540,【参考】排出係数!$AI$801:$AI$804,1),MATCH(BI1540,【参考】排出係数!$AL$798:$AO$798,1)),VLOOKUP(AU1540,INDEX((係数_バス貨物_ガソリン,係数_バス貨物_CNG,係数_バス貨物_軽油,係数_バス貨物_メタノール,係数_バス貨物_LPG),MATCH(AY1540,【参考】排出係数!$AI$4:$AI$671,1),1,BE1540):INDEX((係数_バス貨物_ガソリン,係数_バス貨物_CNG,係数_バス貨物_軽油,係数_バス貨物_メタノール,係数_バス貨物_LPG),MATCH(AY1540+1,【参考】排出係数!$AI$4:$AI$671,1)-1,5,BE1540),5,FALSE)),IF(AND(BE1540=3,LEFT(BF1540,1)="1"),0.055,VLOOKUP(AU1540,INDEX((係数_乗用_ガソリン,係数_乗用_CNG,係数_乗用_軽油,係数_乗用_メタノール,係数_乗用_LPG),1,1,BE1540):INDEX((係数_乗用_ガソリン,係数_乗用_CNG,係数_乗用_軽油,係数_乗用_メタノール,係数_乗用_LPG),125,5,BE1540),5,FALSE)))))</f>
        <v/>
      </c>
      <c r="AN1540" s="461" t="str">
        <f t="shared" si="882"/>
        <v/>
      </c>
      <c r="AO1540" s="462" t="str">
        <f t="shared" si="883"/>
        <v/>
      </c>
      <c r="AP1540" s="463" t="str">
        <f t="shared" si="884"/>
        <v/>
      </c>
      <c r="AQ1540" s="464"/>
      <c r="AR1540" s="619"/>
      <c r="AS1540" s="465" t="str">
        <f t="shared" si="892"/>
        <v/>
      </c>
      <c r="AT1540" s="465" t="str">
        <f t="shared" si="893"/>
        <v/>
      </c>
      <c r="AU1540" s="466" t="str">
        <f t="shared" si="894"/>
        <v/>
      </c>
      <c r="AV1540" s="467" t="str">
        <f t="shared" si="895"/>
        <v/>
      </c>
      <c r="AW1540" s="467" t="str">
        <f t="shared" si="896"/>
        <v/>
      </c>
      <c r="AX1540" s="467" t="str">
        <f t="shared" si="897"/>
        <v/>
      </c>
      <c r="AY1540" s="467" t="str">
        <f t="shared" si="898"/>
        <v/>
      </c>
      <c r="AZ1540" s="467" t="str">
        <f t="shared" si="899"/>
        <v/>
      </c>
      <c r="BA1540" s="468" t="str">
        <f>IF(AS1540="","",IF(OR(AU1540="",AU1540="-"),"－",IF(OR(AZ1540=8,AZ1540=9),"",IF(OR(AW1540=3,AW1540=4,AW1540=5,AW1540=6),VLOOKUP(AU1540,INDEX((係数_バス貨物_ガソリン,係数_バス貨物_CNG,係数_バス貨物_軽油,係数_バス貨物_メタノール,係数_バス貨物_LPG),MATCH(AY1540,【参考】排出係数!$AI$4:$AI$671,1),1,BE1540):INDEX((係数_バス貨物_ガソリン,係数_バス貨物_CNG,係数_バス貨物_軽油,係数_バス貨物_メタノール,係数_バス貨物_LPG),MATCH(AY1540+1,【参考】排出係数!$AI$4:$AI$671,1)-1,5,BE1540),2,FALSE),IF(OR(AW1540=1,AW1540=2),VLOOKUP(AU1540,INDEX((係数_乗用_ガソリン,係数_乗用_CNG,係数_乗用_軽油,係数_乗用_メタノール,係数_乗用_LPG),1,1,BE1540):INDEX((係数_乗用_ガソリン,係数_乗用_CNG,係数_乗用_軽油,係数_乗用_メタノール,係数_乗用_LPG),125,5,BE1540),2,FALSE))))))</f>
        <v/>
      </c>
      <c r="BB1540" s="468" t="str">
        <f>IF(T1540="","",IF(OR(AU1540="",AU1540="-"),"－",IF(OR(AZ1540=8,AZ1540=9),"",IF(OR(AW1540=3,AW1540=4,AW1540=5,AW1540=6),VLOOKUP(AU1540,INDEX((係数_バス貨物_ガソリン,係数_バス貨物_CNG,係数_バス貨物_軽油,係数_バス貨物_メタノール,係数_バス貨物_LPG),MATCH(AY1540,【参考】排出係数!$AI$4:$AI$671,1),1,BE1540):INDEX((係数_バス貨物_ガソリン,係数_バス貨物_CNG,係数_バス貨物_軽油,係数_バス貨物_メタノール,係数_バス貨物_LPG),MATCH(AY1540+1,【参考】排出係数!$AI$4:$AI$671,1)-1,5,BE1540),3,FALSE),IF(OR(AW1540=1,AW1540=2),VLOOKUP(AU1540,INDEX((係数_乗用_ガソリン,係数_乗用_CNG,係数_乗用_軽油,係数_乗用_メタノール,係数_乗用_LPG),1,1,BE1540):INDEX((係数_乗用_ガソリン,係数_乗用_CNG,係数_乗用_軽油,係数_乗用_メタノール,係数_乗用_LPG),125,5,BE1540),3,FALSE))))))</f>
        <v/>
      </c>
      <c r="BC1540" s="467" t="str">
        <f t="shared" si="900"/>
        <v/>
      </c>
      <c r="BD1540" s="567" t="str">
        <f t="shared" si="901"/>
        <v/>
      </c>
      <c r="BE1540" s="467" t="str">
        <f t="shared" si="902"/>
        <v/>
      </c>
      <c r="BF1540" s="469" t="str">
        <f t="shared" ca="1" si="903"/>
        <v/>
      </c>
      <c r="BG1540" s="469" t="str">
        <f t="shared" ca="1" si="904"/>
        <v/>
      </c>
      <c r="BH1540" s="467" t="str">
        <f t="shared" si="905"/>
        <v/>
      </c>
      <c r="BI1540" s="467" t="str">
        <f t="shared" ca="1" si="906"/>
        <v/>
      </c>
      <c r="BJ1540" s="469" t="str">
        <f t="shared" si="907"/>
        <v/>
      </c>
      <c r="BK1540" s="470" t="str">
        <f t="shared" si="891"/>
        <v/>
      </c>
      <c r="BL1540" s="775" t="str">
        <f t="shared" si="908"/>
        <v/>
      </c>
      <c r="BM1540" s="775" t="str">
        <f t="shared" si="909"/>
        <v/>
      </c>
    </row>
    <row r="1541" spans="1:65">
      <c r="A1541" s="473">
        <v>1485</v>
      </c>
      <c r="B1541" s="132"/>
      <c r="C1541" s="332"/>
      <c r="D1541" s="333"/>
      <c r="E1541" s="333"/>
      <c r="F1541" s="334"/>
      <c r="G1541" s="337"/>
      <c r="H1541" s="131"/>
      <c r="I1541" s="337"/>
      <c r="J1541" s="131"/>
      <c r="K1541" s="458" t="str">
        <f t="shared" si="872"/>
        <v/>
      </c>
      <c r="L1541" s="458">
        <f t="shared" si="873"/>
        <v>0</v>
      </c>
      <c r="M1541" s="458">
        <f t="shared" si="874"/>
        <v>0</v>
      </c>
      <c r="N1541" s="459" t="str">
        <f t="shared" si="885"/>
        <v/>
      </c>
      <c r="O1541" s="459" t="str">
        <f t="shared" si="886"/>
        <v/>
      </c>
      <c r="P1541" s="459" t="str">
        <f t="shared" si="887"/>
        <v/>
      </c>
      <c r="Q1541" s="459" t="str">
        <f t="shared" si="888"/>
        <v/>
      </c>
      <c r="R1541" s="459" t="str">
        <f t="shared" si="889"/>
        <v/>
      </c>
      <c r="S1541" s="459" t="str">
        <f t="shared" si="890"/>
        <v/>
      </c>
      <c r="T1541" s="566" t="str">
        <f t="shared" si="875"/>
        <v/>
      </c>
      <c r="U1541" s="702"/>
      <c r="V1541" s="132"/>
      <c r="W1541" s="133"/>
      <c r="X1541" s="134"/>
      <c r="Y1541" s="135"/>
      <c r="Z1541" s="137"/>
      <c r="AA1541" s="136"/>
      <c r="AB1541" s="566" t="str">
        <f t="shared" si="876"/>
        <v/>
      </c>
      <c r="AC1541" s="568" t="str">
        <f t="shared" si="877"/>
        <v/>
      </c>
      <c r="AD1541" s="137"/>
      <c r="AE1541" s="137"/>
      <c r="AF1541" s="138"/>
      <c r="AG1541" s="138"/>
      <c r="AH1541" s="592" t="str">
        <f t="shared" si="878"/>
        <v/>
      </c>
      <c r="AI1541" s="592" t="str">
        <f t="shared" si="879"/>
        <v/>
      </c>
      <c r="AJ1541" s="592" t="str">
        <f t="shared" si="880"/>
        <v/>
      </c>
      <c r="AK1541" s="460" t="str">
        <f>IF(AU1541="","",IF(OR(AZ1541=8,AZ1541=9),0,IF(OR(AW1541=3,AW1541=4,AW1541=5,AW1541=6),IF(LEFT(BF1541,1)="1",INDEX(係数_NOX・PM低減,MATCH(AY1541,【参考】排出係数!$AI$801:$AI$804,1),1),VLOOKUP(AU1541,INDEX((係数_バス貨物_ガソリン,係数_バス貨物_CNG,係数_バス貨物_軽油,係数_バス貨物_メタノール,係数_バス貨物_LPG),MATCH(AY1541,【参考】排出係数!$AI$4:$AI$671,1),1,BE1541):INDEX((係数_バス貨物_ガソリン,係数_バス貨物_CNG,係数_バス貨物_軽油,係数_バス貨物_メタノール,係数_バス貨物_LPG),MATCH(AY1541+1,【参考】排出係数!$AI$4:$AI$671,1)-1,5,BE1541),4,FALSE)),IF(AND(BE1541=3,LEFT(BF1541,1)="1"),0.48,VLOOKUP(AU1541,INDEX((係数_乗用_ガソリン,係数_乗用_CNG,係数_乗用_軽油,係数_乗用_メタノール,係数_乗用_LPG),1,1,BE1541):INDEX((係数_乗用_ガソリン,係数_乗用_CNG,係数_乗用_軽油,係数_乗用_メタノール,係数_乗用_LPG),125,5,BE1541),4,FALSE)))))</f>
        <v/>
      </c>
      <c r="AL1541" s="461" t="str">
        <f t="shared" si="881"/>
        <v/>
      </c>
      <c r="AM1541" s="460" t="str">
        <f>IF(AU1541="","",IF(OR(AZ1541=8,AZ1541=9),0,IF(OR(AW1541=3,AW1541=4,AW1541=5,AW1541=6),IF(LEFT(BH1541,1)="1",INDEX(係数_PM低減,MATCH(AY1541,【参考】排出係数!$AI$801:$AI$804,1),MATCH(BI1541,【参考】排出係数!$AL$798:$AO$798,1)),VLOOKUP(AU1541,INDEX((係数_バス貨物_ガソリン,係数_バス貨物_CNG,係数_バス貨物_軽油,係数_バス貨物_メタノール,係数_バス貨物_LPG),MATCH(AY1541,【参考】排出係数!$AI$4:$AI$671,1),1,BE1541):INDEX((係数_バス貨物_ガソリン,係数_バス貨物_CNG,係数_バス貨物_軽油,係数_バス貨物_メタノール,係数_バス貨物_LPG),MATCH(AY1541+1,【参考】排出係数!$AI$4:$AI$671,1)-1,5,BE1541),5,FALSE)),IF(AND(BE1541=3,LEFT(BF1541,1)="1"),0.055,VLOOKUP(AU1541,INDEX((係数_乗用_ガソリン,係数_乗用_CNG,係数_乗用_軽油,係数_乗用_メタノール,係数_乗用_LPG),1,1,BE1541):INDEX((係数_乗用_ガソリン,係数_乗用_CNG,係数_乗用_軽油,係数_乗用_メタノール,係数_乗用_LPG),125,5,BE1541),5,FALSE)))))</f>
        <v/>
      </c>
      <c r="AN1541" s="461" t="str">
        <f t="shared" si="882"/>
        <v/>
      </c>
      <c r="AO1541" s="462" t="str">
        <f t="shared" si="883"/>
        <v/>
      </c>
      <c r="AP1541" s="463" t="str">
        <f t="shared" si="884"/>
        <v/>
      </c>
      <c r="AQ1541" s="464"/>
      <c r="AR1541" s="619"/>
      <c r="AS1541" s="465" t="str">
        <f t="shared" si="892"/>
        <v/>
      </c>
      <c r="AT1541" s="465" t="str">
        <f t="shared" si="893"/>
        <v/>
      </c>
      <c r="AU1541" s="466" t="str">
        <f t="shared" si="894"/>
        <v/>
      </c>
      <c r="AV1541" s="467" t="str">
        <f t="shared" si="895"/>
        <v/>
      </c>
      <c r="AW1541" s="467" t="str">
        <f t="shared" si="896"/>
        <v/>
      </c>
      <c r="AX1541" s="467" t="str">
        <f t="shared" si="897"/>
        <v/>
      </c>
      <c r="AY1541" s="467" t="str">
        <f t="shared" si="898"/>
        <v/>
      </c>
      <c r="AZ1541" s="467" t="str">
        <f t="shared" si="899"/>
        <v/>
      </c>
      <c r="BA1541" s="468" t="str">
        <f>IF(AS1541="","",IF(OR(AU1541="",AU1541="-"),"－",IF(OR(AZ1541=8,AZ1541=9),"",IF(OR(AW1541=3,AW1541=4,AW1541=5,AW1541=6),VLOOKUP(AU1541,INDEX((係数_バス貨物_ガソリン,係数_バス貨物_CNG,係数_バス貨物_軽油,係数_バス貨物_メタノール,係数_バス貨物_LPG),MATCH(AY1541,【参考】排出係数!$AI$4:$AI$671,1),1,BE1541):INDEX((係数_バス貨物_ガソリン,係数_バス貨物_CNG,係数_バス貨物_軽油,係数_バス貨物_メタノール,係数_バス貨物_LPG),MATCH(AY1541+1,【参考】排出係数!$AI$4:$AI$671,1)-1,5,BE1541),2,FALSE),IF(OR(AW1541=1,AW1541=2),VLOOKUP(AU1541,INDEX((係数_乗用_ガソリン,係数_乗用_CNG,係数_乗用_軽油,係数_乗用_メタノール,係数_乗用_LPG),1,1,BE1541):INDEX((係数_乗用_ガソリン,係数_乗用_CNG,係数_乗用_軽油,係数_乗用_メタノール,係数_乗用_LPG),125,5,BE1541),2,FALSE))))))</f>
        <v/>
      </c>
      <c r="BB1541" s="468" t="str">
        <f>IF(T1541="","",IF(OR(AU1541="",AU1541="-"),"－",IF(OR(AZ1541=8,AZ1541=9),"",IF(OR(AW1541=3,AW1541=4,AW1541=5,AW1541=6),VLOOKUP(AU1541,INDEX((係数_バス貨物_ガソリン,係数_バス貨物_CNG,係数_バス貨物_軽油,係数_バス貨物_メタノール,係数_バス貨物_LPG),MATCH(AY1541,【参考】排出係数!$AI$4:$AI$671,1),1,BE1541):INDEX((係数_バス貨物_ガソリン,係数_バス貨物_CNG,係数_バス貨物_軽油,係数_バス貨物_メタノール,係数_バス貨物_LPG),MATCH(AY1541+1,【参考】排出係数!$AI$4:$AI$671,1)-1,5,BE1541),3,FALSE),IF(OR(AW1541=1,AW1541=2),VLOOKUP(AU1541,INDEX((係数_乗用_ガソリン,係数_乗用_CNG,係数_乗用_軽油,係数_乗用_メタノール,係数_乗用_LPG),1,1,BE1541):INDEX((係数_乗用_ガソリン,係数_乗用_CNG,係数_乗用_軽油,係数_乗用_メタノール,係数_乗用_LPG),125,5,BE1541),3,FALSE))))))</f>
        <v/>
      </c>
      <c r="BC1541" s="467" t="str">
        <f t="shared" si="900"/>
        <v/>
      </c>
      <c r="BD1541" s="567" t="str">
        <f t="shared" si="901"/>
        <v/>
      </c>
      <c r="BE1541" s="467" t="str">
        <f t="shared" si="902"/>
        <v/>
      </c>
      <c r="BF1541" s="469" t="str">
        <f t="shared" ca="1" si="903"/>
        <v/>
      </c>
      <c r="BG1541" s="469" t="str">
        <f t="shared" ca="1" si="904"/>
        <v/>
      </c>
      <c r="BH1541" s="467" t="str">
        <f t="shared" si="905"/>
        <v/>
      </c>
      <c r="BI1541" s="467" t="str">
        <f t="shared" ca="1" si="906"/>
        <v/>
      </c>
      <c r="BJ1541" s="469" t="str">
        <f t="shared" si="907"/>
        <v/>
      </c>
      <c r="BK1541" s="470" t="str">
        <f t="shared" si="891"/>
        <v/>
      </c>
      <c r="BL1541" s="775" t="str">
        <f t="shared" si="908"/>
        <v/>
      </c>
      <c r="BM1541" s="775" t="str">
        <f t="shared" si="909"/>
        <v/>
      </c>
    </row>
    <row r="1542" spans="1:65">
      <c r="A1542" s="473">
        <v>1486</v>
      </c>
      <c r="B1542" s="132"/>
      <c r="C1542" s="332"/>
      <c r="D1542" s="333"/>
      <c r="E1542" s="333"/>
      <c r="F1542" s="334"/>
      <c r="G1542" s="337"/>
      <c r="H1542" s="131"/>
      <c r="I1542" s="337"/>
      <c r="J1542" s="131"/>
      <c r="K1542" s="458" t="str">
        <f t="shared" si="872"/>
        <v/>
      </c>
      <c r="L1542" s="458">
        <f t="shared" si="873"/>
        <v>0</v>
      </c>
      <c r="M1542" s="458">
        <f t="shared" si="874"/>
        <v>0</v>
      </c>
      <c r="N1542" s="459" t="str">
        <f t="shared" si="885"/>
        <v/>
      </c>
      <c r="O1542" s="459" t="str">
        <f t="shared" si="886"/>
        <v/>
      </c>
      <c r="P1542" s="459" t="str">
        <f t="shared" si="887"/>
        <v/>
      </c>
      <c r="Q1542" s="459" t="str">
        <f t="shared" si="888"/>
        <v/>
      </c>
      <c r="R1542" s="459" t="str">
        <f t="shared" si="889"/>
        <v/>
      </c>
      <c r="S1542" s="459" t="str">
        <f t="shared" si="890"/>
        <v/>
      </c>
      <c r="T1542" s="566" t="str">
        <f t="shared" si="875"/>
        <v/>
      </c>
      <c r="U1542" s="702"/>
      <c r="V1542" s="132"/>
      <c r="W1542" s="133"/>
      <c r="X1542" s="134"/>
      <c r="Y1542" s="135"/>
      <c r="Z1542" s="137"/>
      <c r="AA1542" s="136"/>
      <c r="AB1542" s="566" t="str">
        <f t="shared" si="876"/>
        <v/>
      </c>
      <c r="AC1542" s="568" t="str">
        <f t="shared" si="877"/>
        <v/>
      </c>
      <c r="AD1542" s="137"/>
      <c r="AE1542" s="137"/>
      <c r="AF1542" s="138"/>
      <c r="AG1542" s="138"/>
      <c r="AH1542" s="592" t="str">
        <f t="shared" si="878"/>
        <v/>
      </c>
      <c r="AI1542" s="592" t="str">
        <f t="shared" si="879"/>
        <v/>
      </c>
      <c r="AJ1542" s="592" t="str">
        <f t="shared" si="880"/>
        <v/>
      </c>
      <c r="AK1542" s="460" t="str">
        <f>IF(AU1542="","",IF(OR(AZ1542=8,AZ1542=9),0,IF(OR(AW1542=3,AW1542=4,AW1542=5,AW1542=6),IF(LEFT(BF1542,1)="1",INDEX(係数_NOX・PM低減,MATCH(AY1542,【参考】排出係数!$AI$801:$AI$804,1),1),VLOOKUP(AU1542,INDEX((係数_バス貨物_ガソリン,係数_バス貨物_CNG,係数_バス貨物_軽油,係数_バス貨物_メタノール,係数_バス貨物_LPG),MATCH(AY1542,【参考】排出係数!$AI$4:$AI$671,1),1,BE1542):INDEX((係数_バス貨物_ガソリン,係数_バス貨物_CNG,係数_バス貨物_軽油,係数_バス貨物_メタノール,係数_バス貨物_LPG),MATCH(AY1542+1,【参考】排出係数!$AI$4:$AI$671,1)-1,5,BE1542),4,FALSE)),IF(AND(BE1542=3,LEFT(BF1542,1)="1"),0.48,VLOOKUP(AU1542,INDEX((係数_乗用_ガソリン,係数_乗用_CNG,係数_乗用_軽油,係数_乗用_メタノール,係数_乗用_LPG),1,1,BE1542):INDEX((係数_乗用_ガソリン,係数_乗用_CNG,係数_乗用_軽油,係数_乗用_メタノール,係数_乗用_LPG),125,5,BE1542),4,FALSE)))))</f>
        <v/>
      </c>
      <c r="AL1542" s="461" t="str">
        <f t="shared" si="881"/>
        <v/>
      </c>
      <c r="AM1542" s="460" t="str">
        <f>IF(AU1542="","",IF(OR(AZ1542=8,AZ1542=9),0,IF(OR(AW1542=3,AW1542=4,AW1542=5,AW1542=6),IF(LEFT(BH1542,1)="1",INDEX(係数_PM低減,MATCH(AY1542,【参考】排出係数!$AI$801:$AI$804,1),MATCH(BI1542,【参考】排出係数!$AL$798:$AO$798,1)),VLOOKUP(AU1542,INDEX((係数_バス貨物_ガソリン,係数_バス貨物_CNG,係数_バス貨物_軽油,係数_バス貨物_メタノール,係数_バス貨物_LPG),MATCH(AY1542,【参考】排出係数!$AI$4:$AI$671,1),1,BE1542):INDEX((係数_バス貨物_ガソリン,係数_バス貨物_CNG,係数_バス貨物_軽油,係数_バス貨物_メタノール,係数_バス貨物_LPG),MATCH(AY1542+1,【参考】排出係数!$AI$4:$AI$671,1)-1,5,BE1542),5,FALSE)),IF(AND(BE1542=3,LEFT(BF1542,1)="1"),0.055,VLOOKUP(AU1542,INDEX((係数_乗用_ガソリン,係数_乗用_CNG,係数_乗用_軽油,係数_乗用_メタノール,係数_乗用_LPG),1,1,BE1542):INDEX((係数_乗用_ガソリン,係数_乗用_CNG,係数_乗用_軽油,係数_乗用_メタノール,係数_乗用_LPG),125,5,BE1542),5,FALSE)))))</f>
        <v/>
      </c>
      <c r="AN1542" s="461" t="str">
        <f t="shared" si="882"/>
        <v/>
      </c>
      <c r="AO1542" s="462" t="str">
        <f t="shared" si="883"/>
        <v/>
      </c>
      <c r="AP1542" s="463" t="str">
        <f t="shared" si="884"/>
        <v/>
      </c>
      <c r="AQ1542" s="464"/>
      <c r="AR1542" s="619"/>
      <c r="AS1542" s="465" t="str">
        <f t="shared" si="892"/>
        <v/>
      </c>
      <c r="AT1542" s="465" t="str">
        <f t="shared" si="893"/>
        <v/>
      </c>
      <c r="AU1542" s="466" t="str">
        <f t="shared" si="894"/>
        <v/>
      </c>
      <c r="AV1542" s="467" t="str">
        <f t="shared" si="895"/>
        <v/>
      </c>
      <c r="AW1542" s="467" t="str">
        <f t="shared" si="896"/>
        <v/>
      </c>
      <c r="AX1542" s="467" t="str">
        <f t="shared" si="897"/>
        <v/>
      </c>
      <c r="AY1542" s="467" t="str">
        <f t="shared" si="898"/>
        <v/>
      </c>
      <c r="AZ1542" s="467" t="str">
        <f t="shared" si="899"/>
        <v/>
      </c>
      <c r="BA1542" s="468" t="str">
        <f>IF(AS1542="","",IF(OR(AU1542="",AU1542="-"),"－",IF(OR(AZ1542=8,AZ1542=9),"",IF(OR(AW1542=3,AW1542=4,AW1542=5,AW1542=6),VLOOKUP(AU1542,INDEX((係数_バス貨物_ガソリン,係数_バス貨物_CNG,係数_バス貨物_軽油,係数_バス貨物_メタノール,係数_バス貨物_LPG),MATCH(AY1542,【参考】排出係数!$AI$4:$AI$671,1),1,BE1542):INDEX((係数_バス貨物_ガソリン,係数_バス貨物_CNG,係数_バス貨物_軽油,係数_バス貨物_メタノール,係数_バス貨物_LPG),MATCH(AY1542+1,【参考】排出係数!$AI$4:$AI$671,1)-1,5,BE1542),2,FALSE),IF(OR(AW1542=1,AW1542=2),VLOOKUP(AU1542,INDEX((係数_乗用_ガソリン,係数_乗用_CNG,係数_乗用_軽油,係数_乗用_メタノール,係数_乗用_LPG),1,1,BE1542):INDEX((係数_乗用_ガソリン,係数_乗用_CNG,係数_乗用_軽油,係数_乗用_メタノール,係数_乗用_LPG),125,5,BE1542),2,FALSE))))))</f>
        <v/>
      </c>
      <c r="BB1542" s="468" t="str">
        <f>IF(T1542="","",IF(OR(AU1542="",AU1542="-"),"－",IF(OR(AZ1542=8,AZ1542=9),"",IF(OR(AW1542=3,AW1542=4,AW1542=5,AW1542=6),VLOOKUP(AU1542,INDEX((係数_バス貨物_ガソリン,係数_バス貨物_CNG,係数_バス貨物_軽油,係数_バス貨物_メタノール,係数_バス貨物_LPG),MATCH(AY1542,【参考】排出係数!$AI$4:$AI$671,1),1,BE1542):INDEX((係数_バス貨物_ガソリン,係数_バス貨物_CNG,係数_バス貨物_軽油,係数_バス貨物_メタノール,係数_バス貨物_LPG),MATCH(AY1542+1,【参考】排出係数!$AI$4:$AI$671,1)-1,5,BE1542),3,FALSE),IF(OR(AW1542=1,AW1542=2),VLOOKUP(AU1542,INDEX((係数_乗用_ガソリン,係数_乗用_CNG,係数_乗用_軽油,係数_乗用_メタノール,係数_乗用_LPG),1,1,BE1542):INDEX((係数_乗用_ガソリン,係数_乗用_CNG,係数_乗用_軽油,係数_乗用_メタノール,係数_乗用_LPG),125,5,BE1542),3,FALSE))))))</f>
        <v/>
      </c>
      <c r="BC1542" s="467" t="str">
        <f t="shared" si="900"/>
        <v/>
      </c>
      <c r="BD1542" s="567" t="str">
        <f t="shared" si="901"/>
        <v/>
      </c>
      <c r="BE1542" s="467" t="str">
        <f t="shared" si="902"/>
        <v/>
      </c>
      <c r="BF1542" s="469" t="str">
        <f t="shared" ca="1" si="903"/>
        <v/>
      </c>
      <c r="BG1542" s="469" t="str">
        <f t="shared" ca="1" si="904"/>
        <v/>
      </c>
      <c r="BH1542" s="467" t="str">
        <f t="shared" si="905"/>
        <v/>
      </c>
      <c r="BI1542" s="467" t="str">
        <f t="shared" ca="1" si="906"/>
        <v/>
      </c>
      <c r="BJ1542" s="469" t="str">
        <f t="shared" si="907"/>
        <v/>
      </c>
      <c r="BK1542" s="470" t="str">
        <f t="shared" si="891"/>
        <v/>
      </c>
      <c r="BL1542" s="775" t="str">
        <f t="shared" si="908"/>
        <v/>
      </c>
      <c r="BM1542" s="775" t="str">
        <f t="shared" si="909"/>
        <v/>
      </c>
    </row>
    <row r="1543" spans="1:65">
      <c r="A1543" s="473">
        <v>1487</v>
      </c>
      <c r="B1543" s="132"/>
      <c r="C1543" s="332"/>
      <c r="D1543" s="333"/>
      <c r="E1543" s="333"/>
      <c r="F1543" s="334"/>
      <c r="G1543" s="337"/>
      <c r="H1543" s="131"/>
      <c r="I1543" s="337"/>
      <c r="J1543" s="131"/>
      <c r="K1543" s="458" t="str">
        <f t="shared" si="872"/>
        <v/>
      </c>
      <c r="L1543" s="458">
        <f t="shared" si="873"/>
        <v>0</v>
      </c>
      <c r="M1543" s="458">
        <f t="shared" si="874"/>
        <v>0</v>
      </c>
      <c r="N1543" s="459" t="str">
        <f t="shared" si="885"/>
        <v/>
      </c>
      <c r="O1543" s="459" t="str">
        <f t="shared" si="886"/>
        <v/>
      </c>
      <c r="P1543" s="459" t="str">
        <f t="shared" si="887"/>
        <v/>
      </c>
      <c r="Q1543" s="459" t="str">
        <f t="shared" si="888"/>
        <v/>
      </c>
      <c r="R1543" s="459" t="str">
        <f t="shared" si="889"/>
        <v/>
      </c>
      <c r="S1543" s="459" t="str">
        <f t="shared" si="890"/>
        <v/>
      </c>
      <c r="T1543" s="566" t="str">
        <f t="shared" si="875"/>
        <v/>
      </c>
      <c r="U1543" s="702"/>
      <c r="V1543" s="132"/>
      <c r="W1543" s="133"/>
      <c r="X1543" s="134"/>
      <c r="Y1543" s="135"/>
      <c r="Z1543" s="137"/>
      <c r="AA1543" s="136"/>
      <c r="AB1543" s="566" t="str">
        <f t="shared" si="876"/>
        <v/>
      </c>
      <c r="AC1543" s="568" t="str">
        <f t="shared" si="877"/>
        <v/>
      </c>
      <c r="AD1543" s="137"/>
      <c r="AE1543" s="137"/>
      <c r="AF1543" s="138"/>
      <c r="AG1543" s="138"/>
      <c r="AH1543" s="592" t="str">
        <f t="shared" si="878"/>
        <v/>
      </c>
      <c r="AI1543" s="592" t="str">
        <f t="shared" si="879"/>
        <v/>
      </c>
      <c r="AJ1543" s="592" t="str">
        <f t="shared" si="880"/>
        <v/>
      </c>
      <c r="AK1543" s="460" t="str">
        <f>IF(AU1543="","",IF(OR(AZ1543=8,AZ1543=9),0,IF(OR(AW1543=3,AW1543=4,AW1543=5,AW1543=6),IF(LEFT(BF1543,1)="1",INDEX(係数_NOX・PM低減,MATCH(AY1543,【参考】排出係数!$AI$801:$AI$804,1),1),VLOOKUP(AU1543,INDEX((係数_バス貨物_ガソリン,係数_バス貨物_CNG,係数_バス貨物_軽油,係数_バス貨物_メタノール,係数_バス貨物_LPG),MATCH(AY1543,【参考】排出係数!$AI$4:$AI$671,1),1,BE1543):INDEX((係数_バス貨物_ガソリン,係数_バス貨物_CNG,係数_バス貨物_軽油,係数_バス貨物_メタノール,係数_バス貨物_LPG),MATCH(AY1543+1,【参考】排出係数!$AI$4:$AI$671,1)-1,5,BE1543),4,FALSE)),IF(AND(BE1543=3,LEFT(BF1543,1)="1"),0.48,VLOOKUP(AU1543,INDEX((係数_乗用_ガソリン,係数_乗用_CNG,係数_乗用_軽油,係数_乗用_メタノール,係数_乗用_LPG),1,1,BE1543):INDEX((係数_乗用_ガソリン,係数_乗用_CNG,係数_乗用_軽油,係数_乗用_メタノール,係数_乗用_LPG),125,5,BE1543),4,FALSE)))))</f>
        <v/>
      </c>
      <c r="AL1543" s="461" t="str">
        <f t="shared" si="881"/>
        <v/>
      </c>
      <c r="AM1543" s="460" t="str">
        <f>IF(AU1543="","",IF(OR(AZ1543=8,AZ1543=9),0,IF(OR(AW1543=3,AW1543=4,AW1543=5,AW1543=6),IF(LEFT(BH1543,1)="1",INDEX(係数_PM低減,MATCH(AY1543,【参考】排出係数!$AI$801:$AI$804,1),MATCH(BI1543,【参考】排出係数!$AL$798:$AO$798,1)),VLOOKUP(AU1543,INDEX((係数_バス貨物_ガソリン,係数_バス貨物_CNG,係数_バス貨物_軽油,係数_バス貨物_メタノール,係数_バス貨物_LPG),MATCH(AY1543,【参考】排出係数!$AI$4:$AI$671,1),1,BE1543):INDEX((係数_バス貨物_ガソリン,係数_バス貨物_CNG,係数_バス貨物_軽油,係数_バス貨物_メタノール,係数_バス貨物_LPG),MATCH(AY1543+1,【参考】排出係数!$AI$4:$AI$671,1)-1,5,BE1543),5,FALSE)),IF(AND(BE1543=3,LEFT(BF1543,1)="1"),0.055,VLOOKUP(AU1543,INDEX((係数_乗用_ガソリン,係数_乗用_CNG,係数_乗用_軽油,係数_乗用_メタノール,係数_乗用_LPG),1,1,BE1543):INDEX((係数_乗用_ガソリン,係数_乗用_CNG,係数_乗用_軽油,係数_乗用_メタノール,係数_乗用_LPG),125,5,BE1543),5,FALSE)))))</f>
        <v/>
      </c>
      <c r="AN1543" s="461" t="str">
        <f t="shared" si="882"/>
        <v/>
      </c>
      <c r="AO1543" s="462" t="str">
        <f t="shared" si="883"/>
        <v/>
      </c>
      <c r="AP1543" s="463" t="str">
        <f t="shared" si="884"/>
        <v/>
      </c>
      <c r="AQ1543" s="464"/>
      <c r="AR1543" s="619"/>
      <c r="AS1543" s="465" t="str">
        <f t="shared" si="892"/>
        <v/>
      </c>
      <c r="AT1543" s="465" t="str">
        <f t="shared" si="893"/>
        <v/>
      </c>
      <c r="AU1543" s="466" t="str">
        <f t="shared" si="894"/>
        <v/>
      </c>
      <c r="AV1543" s="467" t="str">
        <f t="shared" si="895"/>
        <v/>
      </c>
      <c r="AW1543" s="467" t="str">
        <f t="shared" si="896"/>
        <v/>
      </c>
      <c r="AX1543" s="467" t="str">
        <f t="shared" si="897"/>
        <v/>
      </c>
      <c r="AY1543" s="467" t="str">
        <f t="shared" si="898"/>
        <v/>
      </c>
      <c r="AZ1543" s="467" t="str">
        <f t="shared" si="899"/>
        <v/>
      </c>
      <c r="BA1543" s="468" t="str">
        <f>IF(AS1543="","",IF(OR(AU1543="",AU1543="-"),"－",IF(OR(AZ1543=8,AZ1543=9),"",IF(OR(AW1543=3,AW1543=4,AW1543=5,AW1543=6),VLOOKUP(AU1543,INDEX((係数_バス貨物_ガソリン,係数_バス貨物_CNG,係数_バス貨物_軽油,係数_バス貨物_メタノール,係数_バス貨物_LPG),MATCH(AY1543,【参考】排出係数!$AI$4:$AI$671,1),1,BE1543):INDEX((係数_バス貨物_ガソリン,係数_バス貨物_CNG,係数_バス貨物_軽油,係数_バス貨物_メタノール,係数_バス貨物_LPG),MATCH(AY1543+1,【参考】排出係数!$AI$4:$AI$671,1)-1,5,BE1543),2,FALSE),IF(OR(AW1543=1,AW1543=2),VLOOKUP(AU1543,INDEX((係数_乗用_ガソリン,係数_乗用_CNG,係数_乗用_軽油,係数_乗用_メタノール,係数_乗用_LPG),1,1,BE1543):INDEX((係数_乗用_ガソリン,係数_乗用_CNG,係数_乗用_軽油,係数_乗用_メタノール,係数_乗用_LPG),125,5,BE1543),2,FALSE))))))</f>
        <v/>
      </c>
      <c r="BB1543" s="468" t="str">
        <f>IF(T1543="","",IF(OR(AU1543="",AU1543="-"),"－",IF(OR(AZ1543=8,AZ1543=9),"",IF(OR(AW1543=3,AW1543=4,AW1543=5,AW1543=6),VLOOKUP(AU1543,INDEX((係数_バス貨物_ガソリン,係数_バス貨物_CNG,係数_バス貨物_軽油,係数_バス貨物_メタノール,係数_バス貨物_LPG),MATCH(AY1543,【参考】排出係数!$AI$4:$AI$671,1),1,BE1543):INDEX((係数_バス貨物_ガソリン,係数_バス貨物_CNG,係数_バス貨物_軽油,係数_バス貨物_メタノール,係数_バス貨物_LPG),MATCH(AY1543+1,【参考】排出係数!$AI$4:$AI$671,1)-1,5,BE1543),3,FALSE),IF(OR(AW1543=1,AW1543=2),VLOOKUP(AU1543,INDEX((係数_乗用_ガソリン,係数_乗用_CNG,係数_乗用_軽油,係数_乗用_メタノール,係数_乗用_LPG),1,1,BE1543):INDEX((係数_乗用_ガソリン,係数_乗用_CNG,係数_乗用_軽油,係数_乗用_メタノール,係数_乗用_LPG),125,5,BE1543),3,FALSE))))))</f>
        <v/>
      </c>
      <c r="BC1543" s="467" t="str">
        <f t="shared" si="900"/>
        <v/>
      </c>
      <c r="BD1543" s="567" t="str">
        <f t="shared" si="901"/>
        <v/>
      </c>
      <c r="BE1543" s="467" t="str">
        <f t="shared" si="902"/>
        <v/>
      </c>
      <c r="BF1543" s="469" t="str">
        <f t="shared" ca="1" si="903"/>
        <v/>
      </c>
      <c r="BG1543" s="469" t="str">
        <f t="shared" ca="1" si="904"/>
        <v/>
      </c>
      <c r="BH1543" s="467" t="str">
        <f t="shared" si="905"/>
        <v/>
      </c>
      <c r="BI1543" s="467" t="str">
        <f t="shared" ca="1" si="906"/>
        <v/>
      </c>
      <c r="BJ1543" s="469" t="str">
        <f t="shared" si="907"/>
        <v/>
      </c>
      <c r="BK1543" s="470" t="str">
        <f t="shared" si="891"/>
        <v/>
      </c>
      <c r="BL1543" s="775" t="str">
        <f t="shared" si="908"/>
        <v/>
      </c>
      <c r="BM1543" s="775" t="str">
        <f t="shared" si="909"/>
        <v/>
      </c>
    </row>
    <row r="1544" spans="1:65">
      <c r="A1544" s="473">
        <v>1488</v>
      </c>
      <c r="B1544" s="132"/>
      <c r="C1544" s="332"/>
      <c r="D1544" s="333"/>
      <c r="E1544" s="333"/>
      <c r="F1544" s="334"/>
      <c r="G1544" s="337"/>
      <c r="H1544" s="131"/>
      <c r="I1544" s="337"/>
      <c r="J1544" s="131"/>
      <c r="K1544" s="458" t="str">
        <f t="shared" si="872"/>
        <v/>
      </c>
      <c r="L1544" s="458">
        <f t="shared" si="873"/>
        <v>0</v>
      </c>
      <c r="M1544" s="458">
        <f t="shared" si="874"/>
        <v>0</v>
      </c>
      <c r="N1544" s="459" t="str">
        <f t="shared" si="885"/>
        <v/>
      </c>
      <c r="O1544" s="459" t="str">
        <f t="shared" si="886"/>
        <v/>
      </c>
      <c r="P1544" s="459" t="str">
        <f t="shared" si="887"/>
        <v/>
      </c>
      <c r="Q1544" s="459" t="str">
        <f t="shared" si="888"/>
        <v/>
      </c>
      <c r="R1544" s="459" t="str">
        <f t="shared" si="889"/>
        <v/>
      </c>
      <c r="S1544" s="459" t="str">
        <f t="shared" si="890"/>
        <v/>
      </c>
      <c r="T1544" s="566" t="str">
        <f t="shared" si="875"/>
        <v/>
      </c>
      <c r="U1544" s="702"/>
      <c r="V1544" s="132"/>
      <c r="W1544" s="133"/>
      <c r="X1544" s="134"/>
      <c r="Y1544" s="135"/>
      <c r="Z1544" s="137"/>
      <c r="AA1544" s="136"/>
      <c r="AB1544" s="566" t="str">
        <f t="shared" si="876"/>
        <v/>
      </c>
      <c r="AC1544" s="568" t="str">
        <f t="shared" si="877"/>
        <v/>
      </c>
      <c r="AD1544" s="137"/>
      <c r="AE1544" s="137"/>
      <c r="AF1544" s="138"/>
      <c r="AG1544" s="138"/>
      <c r="AH1544" s="592" t="str">
        <f t="shared" si="878"/>
        <v/>
      </c>
      <c r="AI1544" s="592" t="str">
        <f t="shared" si="879"/>
        <v/>
      </c>
      <c r="AJ1544" s="592" t="str">
        <f t="shared" si="880"/>
        <v/>
      </c>
      <c r="AK1544" s="460" t="str">
        <f>IF(AU1544="","",IF(OR(AZ1544=8,AZ1544=9),0,IF(OR(AW1544=3,AW1544=4,AW1544=5,AW1544=6),IF(LEFT(BF1544,1)="1",INDEX(係数_NOX・PM低減,MATCH(AY1544,【参考】排出係数!$AI$801:$AI$804,1),1),VLOOKUP(AU1544,INDEX((係数_バス貨物_ガソリン,係数_バス貨物_CNG,係数_バス貨物_軽油,係数_バス貨物_メタノール,係数_バス貨物_LPG),MATCH(AY1544,【参考】排出係数!$AI$4:$AI$671,1),1,BE1544):INDEX((係数_バス貨物_ガソリン,係数_バス貨物_CNG,係数_バス貨物_軽油,係数_バス貨物_メタノール,係数_バス貨物_LPG),MATCH(AY1544+1,【参考】排出係数!$AI$4:$AI$671,1)-1,5,BE1544),4,FALSE)),IF(AND(BE1544=3,LEFT(BF1544,1)="1"),0.48,VLOOKUP(AU1544,INDEX((係数_乗用_ガソリン,係数_乗用_CNG,係数_乗用_軽油,係数_乗用_メタノール,係数_乗用_LPG),1,1,BE1544):INDEX((係数_乗用_ガソリン,係数_乗用_CNG,係数_乗用_軽油,係数_乗用_メタノール,係数_乗用_LPG),125,5,BE1544),4,FALSE)))))</f>
        <v/>
      </c>
      <c r="AL1544" s="461" t="str">
        <f t="shared" si="881"/>
        <v/>
      </c>
      <c r="AM1544" s="460" t="str">
        <f>IF(AU1544="","",IF(OR(AZ1544=8,AZ1544=9),0,IF(OR(AW1544=3,AW1544=4,AW1544=5,AW1544=6),IF(LEFT(BH1544,1)="1",INDEX(係数_PM低減,MATCH(AY1544,【参考】排出係数!$AI$801:$AI$804,1),MATCH(BI1544,【参考】排出係数!$AL$798:$AO$798,1)),VLOOKUP(AU1544,INDEX((係数_バス貨物_ガソリン,係数_バス貨物_CNG,係数_バス貨物_軽油,係数_バス貨物_メタノール,係数_バス貨物_LPG),MATCH(AY1544,【参考】排出係数!$AI$4:$AI$671,1),1,BE1544):INDEX((係数_バス貨物_ガソリン,係数_バス貨物_CNG,係数_バス貨物_軽油,係数_バス貨物_メタノール,係数_バス貨物_LPG),MATCH(AY1544+1,【参考】排出係数!$AI$4:$AI$671,1)-1,5,BE1544),5,FALSE)),IF(AND(BE1544=3,LEFT(BF1544,1)="1"),0.055,VLOOKUP(AU1544,INDEX((係数_乗用_ガソリン,係数_乗用_CNG,係数_乗用_軽油,係数_乗用_メタノール,係数_乗用_LPG),1,1,BE1544):INDEX((係数_乗用_ガソリン,係数_乗用_CNG,係数_乗用_軽油,係数_乗用_メタノール,係数_乗用_LPG),125,5,BE1544),5,FALSE)))))</f>
        <v/>
      </c>
      <c r="AN1544" s="461" t="str">
        <f t="shared" si="882"/>
        <v/>
      </c>
      <c r="AO1544" s="462" t="str">
        <f t="shared" si="883"/>
        <v/>
      </c>
      <c r="AP1544" s="463" t="str">
        <f t="shared" si="884"/>
        <v/>
      </c>
      <c r="AQ1544" s="464"/>
      <c r="AR1544" s="619"/>
      <c r="AS1544" s="465" t="str">
        <f t="shared" si="892"/>
        <v/>
      </c>
      <c r="AT1544" s="465" t="str">
        <f t="shared" si="893"/>
        <v/>
      </c>
      <c r="AU1544" s="466" t="str">
        <f t="shared" si="894"/>
        <v/>
      </c>
      <c r="AV1544" s="467" t="str">
        <f t="shared" si="895"/>
        <v/>
      </c>
      <c r="AW1544" s="467" t="str">
        <f t="shared" si="896"/>
        <v/>
      </c>
      <c r="AX1544" s="467" t="str">
        <f t="shared" si="897"/>
        <v/>
      </c>
      <c r="AY1544" s="467" t="str">
        <f t="shared" si="898"/>
        <v/>
      </c>
      <c r="AZ1544" s="467" t="str">
        <f t="shared" si="899"/>
        <v/>
      </c>
      <c r="BA1544" s="468" t="str">
        <f>IF(AS1544="","",IF(OR(AU1544="",AU1544="-"),"－",IF(OR(AZ1544=8,AZ1544=9),"",IF(OR(AW1544=3,AW1544=4,AW1544=5,AW1544=6),VLOOKUP(AU1544,INDEX((係数_バス貨物_ガソリン,係数_バス貨物_CNG,係数_バス貨物_軽油,係数_バス貨物_メタノール,係数_バス貨物_LPG),MATCH(AY1544,【参考】排出係数!$AI$4:$AI$671,1),1,BE1544):INDEX((係数_バス貨物_ガソリン,係数_バス貨物_CNG,係数_バス貨物_軽油,係数_バス貨物_メタノール,係数_バス貨物_LPG),MATCH(AY1544+1,【参考】排出係数!$AI$4:$AI$671,1)-1,5,BE1544),2,FALSE),IF(OR(AW1544=1,AW1544=2),VLOOKUP(AU1544,INDEX((係数_乗用_ガソリン,係数_乗用_CNG,係数_乗用_軽油,係数_乗用_メタノール,係数_乗用_LPG),1,1,BE1544):INDEX((係数_乗用_ガソリン,係数_乗用_CNG,係数_乗用_軽油,係数_乗用_メタノール,係数_乗用_LPG),125,5,BE1544),2,FALSE))))))</f>
        <v/>
      </c>
      <c r="BB1544" s="468" t="str">
        <f>IF(T1544="","",IF(OR(AU1544="",AU1544="-"),"－",IF(OR(AZ1544=8,AZ1544=9),"",IF(OR(AW1544=3,AW1544=4,AW1544=5,AW1544=6),VLOOKUP(AU1544,INDEX((係数_バス貨物_ガソリン,係数_バス貨物_CNG,係数_バス貨物_軽油,係数_バス貨物_メタノール,係数_バス貨物_LPG),MATCH(AY1544,【参考】排出係数!$AI$4:$AI$671,1),1,BE1544):INDEX((係数_バス貨物_ガソリン,係数_バス貨物_CNG,係数_バス貨物_軽油,係数_バス貨物_メタノール,係数_バス貨物_LPG),MATCH(AY1544+1,【参考】排出係数!$AI$4:$AI$671,1)-1,5,BE1544),3,FALSE),IF(OR(AW1544=1,AW1544=2),VLOOKUP(AU1544,INDEX((係数_乗用_ガソリン,係数_乗用_CNG,係数_乗用_軽油,係数_乗用_メタノール,係数_乗用_LPG),1,1,BE1544):INDEX((係数_乗用_ガソリン,係数_乗用_CNG,係数_乗用_軽油,係数_乗用_メタノール,係数_乗用_LPG),125,5,BE1544),3,FALSE))))))</f>
        <v/>
      </c>
      <c r="BC1544" s="467" t="str">
        <f t="shared" si="900"/>
        <v/>
      </c>
      <c r="BD1544" s="567" t="str">
        <f t="shared" si="901"/>
        <v/>
      </c>
      <c r="BE1544" s="467" t="str">
        <f t="shared" si="902"/>
        <v/>
      </c>
      <c r="BF1544" s="469" t="str">
        <f t="shared" ca="1" si="903"/>
        <v/>
      </c>
      <c r="BG1544" s="469" t="str">
        <f t="shared" ca="1" si="904"/>
        <v/>
      </c>
      <c r="BH1544" s="467" t="str">
        <f t="shared" si="905"/>
        <v/>
      </c>
      <c r="BI1544" s="467" t="str">
        <f t="shared" ca="1" si="906"/>
        <v/>
      </c>
      <c r="BJ1544" s="469" t="str">
        <f t="shared" si="907"/>
        <v/>
      </c>
      <c r="BK1544" s="470" t="str">
        <f t="shared" si="891"/>
        <v/>
      </c>
      <c r="BL1544" s="775" t="str">
        <f t="shared" si="908"/>
        <v/>
      </c>
      <c r="BM1544" s="775" t="str">
        <f t="shared" si="909"/>
        <v/>
      </c>
    </row>
    <row r="1545" spans="1:65">
      <c r="A1545" s="473">
        <v>1489</v>
      </c>
      <c r="B1545" s="132"/>
      <c r="C1545" s="332"/>
      <c r="D1545" s="333"/>
      <c r="E1545" s="333"/>
      <c r="F1545" s="334"/>
      <c r="G1545" s="337"/>
      <c r="H1545" s="131"/>
      <c r="I1545" s="337"/>
      <c r="J1545" s="131"/>
      <c r="K1545" s="458" t="str">
        <f t="shared" si="872"/>
        <v/>
      </c>
      <c r="L1545" s="458">
        <f t="shared" si="873"/>
        <v>0</v>
      </c>
      <c r="M1545" s="458">
        <f t="shared" si="874"/>
        <v>0</v>
      </c>
      <c r="N1545" s="459" t="str">
        <f t="shared" si="885"/>
        <v/>
      </c>
      <c r="O1545" s="459" t="str">
        <f t="shared" si="886"/>
        <v/>
      </c>
      <c r="P1545" s="459" t="str">
        <f t="shared" si="887"/>
        <v/>
      </c>
      <c r="Q1545" s="459" t="str">
        <f t="shared" si="888"/>
        <v/>
      </c>
      <c r="R1545" s="459" t="str">
        <f t="shared" si="889"/>
        <v/>
      </c>
      <c r="S1545" s="459" t="str">
        <f t="shared" si="890"/>
        <v/>
      </c>
      <c r="T1545" s="566" t="str">
        <f t="shared" si="875"/>
        <v/>
      </c>
      <c r="U1545" s="702"/>
      <c r="V1545" s="132"/>
      <c r="W1545" s="133"/>
      <c r="X1545" s="134"/>
      <c r="Y1545" s="135"/>
      <c r="Z1545" s="137"/>
      <c r="AA1545" s="136"/>
      <c r="AB1545" s="566" t="str">
        <f t="shared" si="876"/>
        <v/>
      </c>
      <c r="AC1545" s="568" t="str">
        <f t="shared" si="877"/>
        <v/>
      </c>
      <c r="AD1545" s="137"/>
      <c r="AE1545" s="137"/>
      <c r="AF1545" s="138"/>
      <c r="AG1545" s="138"/>
      <c r="AH1545" s="592" t="str">
        <f t="shared" si="878"/>
        <v/>
      </c>
      <c r="AI1545" s="592" t="str">
        <f t="shared" si="879"/>
        <v/>
      </c>
      <c r="AJ1545" s="592" t="str">
        <f t="shared" si="880"/>
        <v/>
      </c>
      <c r="AK1545" s="460" t="str">
        <f>IF(AU1545="","",IF(OR(AZ1545=8,AZ1545=9),0,IF(OR(AW1545=3,AW1545=4,AW1545=5,AW1545=6),IF(LEFT(BF1545,1)="1",INDEX(係数_NOX・PM低減,MATCH(AY1545,【参考】排出係数!$AI$801:$AI$804,1),1),VLOOKUP(AU1545,INDEX((係数_バス貨物_ガソリン,係数_バス貨物_CNG,係数_バス貨物_軽油,係数_バス貨物_メタノール,係数_バス貨物_LPG),MATCH(AY1545,【参考】排出係数!$AI$4:$AI$671,1),1,BE1545):INDEX((係数_バス貨物_ガソリン,係数_バス貨物_CNG,係数_バス貨物_軽油,係数_バス貨物_メタノール,係数_バス貨物_LPG),MATCH(AY1545+1,【参考】排出係数!$AI$4:$AI$671,1)-1,5,BE1545),4,FALSE)),IF(AND(BE1545=3,LEFT(BF1545,1)="1"),0.48,VLOOKUP(AU1545,INDEX((係数_乗用_ガソリン,係数_乗用_CNG,係数_乗用_軽油,係数_乗用_メタノール,係数_乗用_LPG),1,1,BE1545):INDEX((係数_乗用_ガソリン,係数_乗用_CNG,係数_乗用_軽油,係数_乗用_メタノール,係数_乗用_LPG),125,5,BE1545),4,FALSE)))))</f>
        <v/>
      </c>
      <c r="AL1545" s="461" t="str">
        <f t="shared" si="881"/>
        <v/>
      </c>
      <c r="AM1545" s="460" t="str">
        <f>IF(AU1545="","",IF(OR(AZ1545=8,AZ1545=9),0,IF(OR(AW1545=3,AW1545=4,AW1545=5,AW1545=6),IF(LEFT(BH1545,1)="1",INDEX(係数_PM低減,MATCH(AY1545,【参考】排出係数!$AI$801:$AI$804,1),MATCH(BI1545,【参考】排出係数!$AL$798:$AO$798,1)),VLOOKUP(AU1545,INDEX((係数_バス貨物_ガソリン,係数_バス貨物_CNG,係数_バス貨物_軽油,係数_バス貨物_メタノール,係数_バス貨物_LPG),MATCH(AY1545,【参考】排出係数!$AI$4:$AI$671,1),1,BE1545):INDEX((係数_バス貨物_ガソリン,係数_バス貨物_CNG,係数_バス貨物_軽油,係数_バス貨物_メタノール,係数_バス貨物_LPG),MATCH(AY1545+1,【参考】排出係数!$AI$4:$AI$671,1)-1,5,BE1545),5,FALSE)),IF(AND(BE1545=3,LEFT(BF1545,1)="1"),0.055,VLOOKUP(AU1545,INDEX((係数_乗用_ガソリン,係数_乗用_CNG,係数_乗用_軽油,係数_乗用_メタノール,係数_乗用_LPG),1,1,BE1545):INDEX((係数_乗用_ガソリン,係数_乗用_CNG,係数_乗用_軽油,係数_乗用_メタノール,係数_乗用_LPG),125,5,BE1545),5,FALSE)))))</f>
        <v/>
      </c>
      <c r="AN1545" s="461" t="str">
        <f t="shared" si="882"/>
        <v/>
      </c>
      <c r="AO1545" s="462" t="str">
        <f t="shared" si="883"/>
        <v/>
      </c>
      <c r="AP1545" s="463" t="str">
        <f t="shared" si="884"/>
        <v/>
      </c>
      <c r="AQ1545" s="464"/>
      <c r="AR1545" s="619"/>
      <c r="AS1545" s="465" t="str">
        <f t="shared" si="892"/>
        <v/>
      </c>
      <c r="AT1545" s="465" t="str">
        <f t="shared" si="893"/>
        <v/>
      </c>
      <c r="AU1545" s="466" t="str">
        <f t="shared" si="894"/>
        <v/>
      </c>
      <c r="AV1545" s="467" t="str">
        <f t="shared" si="895"/>
        <v/>
      </c>
      <c r="AW1545" s="467" t="str">
        <f t="shared" si="896"/>
        <v/>
      </c>
      <c r="AX1545" s="467" t="str">
        <f t="shared" si="897"/>
        <v/>
      </c>
      <c r="AY1545" s="467" t="str">
        <f t="shared" si="898"/>
        <v/>
      </c>
      <c r="AZ1545" s="467" t="str">
        <f t="shared" si="899"/>
        <v/>
      </c>
      <c r="BA1545" s="468" t="str">
        <f>IF(AS1545="","",IF(OR(AU1545="",AU1545="-"),"－",IF(OR(AZ1545=8,AZ1545=9),"",IF(OR(AW1545=3,AW1545=4,AW1545=5,AW1545=6),VLOOKUP(AU1545,INDEX((係数_バス貨物_ガソリン,係数_バス貨物_CNG,係数_バス貨物_軽油,係数_バス貨物_メタノール,係数_バス貨物_LPG),MATCH(AY1545,【参考】排出係数!$AI$4:$AI$671,1),1,BE1545):INDEX((係数_バス貨物_ガソリン,係数_バス貨物_CNG,係数_バス貨物_軽油,係数_バス貨物_メタノール,係数_バス貨物_LPG),MATCH(AY1545+1,【参考】排出係数!$AI$4:$AI$671,1)-1,5,BE1545),2,FALSE),IF(OR(AW1545=1,AW1545=2),VLOOKUP(AU1545,INDEX((係数_乗用_ガソリン,係数_乗用_CNG,係数_乗用_軽油,係数_乗用_メタノール,係数_乗用_LPG),1,1,BE1545):INDEX((係数_乗用_ガソリン,係数_乗用_CNG,係数_乗用_軽油,係数_乗用_メタノール,係数_乗用_LPG),125,5,BE1545),2,FALSE))))))</f>
        <v/>
      </c>
      <c r="BB1545" s="468" t="str">
        <f>IF(T1545="","",IF(OR(AU1545="",AU1545="-"),"－",IF(OR(AZ1545=8,AZ1545=9),"",IF(OR(AW1545=3,AW1545=4,AW1545=5,AW1545=6),VLOOKUP(AU1545,INDEX((係数_バス貨物_ガソリン,係数_バス貨物_CNG,係数_バス貨物_軽油,係数_バス貨物_メタノール,係数_バス貨物_LPG),MATCH(AY1545,【参考】排出係数!$AI$4:$AI$671,1),1,BE1545):INDEX((係数_バス貨物_ガソリン,係数_バス貨物_CNG,係数_バス貨物_軽油,係数_バス貨物_メタノール,係数_バス貨物_LPG),MATCH(AY1545+1,【参考】排出係数!$AI$4:$AI$671,1)-1,5,BE1545),3,FALSE),IF(OR(AW1545=1,AW1545=2),VLOOKUP(AU1545,INDEX((係数_乗用_ガソリン,係数_乗用_CNG,係数_乗用_軽油,係数_乗用_メタノール,係数_乗用_LPG),1,1,BE1545):INDEX((係数_乗用_ガソリン,係数_乗用_CNG,係数_乗用_軽油,係数_乗用_メタノール,係数_乗用_LPG),125,5,BE1545),3,FALSE))))))</f>
        <v/>
      </c>
      <c r="BC1545" s="467" t="str">
        <f t="shared" si="900"/>
        <v/>
      </c>
      <c r="BD1545" s="567" t="str">
        <f t="shared" si="901"/>
        <v/>
      </c>
      <c r="BE1545" s="467" t="str">
        <f t="shared" si="902"/>
        <v/>
      </c>
      <c r="BF1545" s="469" t="str">
        <f t="shared" ca="1" si="903"/>
        <v/>
      </c>
      <c r="BG1545" s="469" t="str">
        <f t="shared" ca="1" si="904"/>
        <v/>
      </c>
      <c r="BH1545" s="467" t="str">
        <f t="shared" si="905"/>
        <v/>
      </c>
      <c r="BI1545" s="467" t="str">
        <f t="shared" ca="1" si="906"/>
        <v/>
      </c>
      <c r="BJ1545" s="469" t="str">
        <f t="shared" si="907"/>
        <v/>
      </c>
      <c r="BK1545" s="470" t="str">
        <f t="shared" si="891"/>
        <v/>
      </c>
      <c r="BL1545" s="775" t="str">
        <f t="shared" si="908"/>
        <v/>
      </c>
      <c r="BM1545" s="775" t="str">
        <f t="shared" si="909"/>
        <v/>
      </c>
    </row>
    <row r="1546" spans="1:65">
      <c r="A1546" s="473">
        <v>1490</v>
      </c>
      <c r="B1546" s="132"/>
      <c r="C1546" s="332"/>
      <c r="D1546" s="333"/>
      <c r="E1546" s="333"/>
      <c r="F1546" s="334"/>
      <c r="G1546" s="337"/>
      <c r="H1546" s="131"/>
      <c r="I1546" s="337"/>
      <c r="J1546" s="131"/>
      <c r="K1546" s="458" t="str">
        <f t="shared" si="872"/>
        <v/>
      </c>
      <c r="L1546" s="458">
        <f t="shared" si="873"/>
        <v>0</v>
      </c>
      <c r="M1546" s="458">
        <f t="shared" si="874"/>
        <v>0</v>
      </c>
      <c r="N1546" s="459" t="str">
        <f t="shared" si="885"/>
        <v/>
      </c>
      <c r="O1546" s="459" t="str">
        <f t="shared" si="886"/>
        <v/>
      </c>
      <c r="P1546" s="459" t="str">
        <f t="shared" si="887"/>
        <v/>
      </c>
      <c r="Q1546" s="459" t="str">
        <f t="shared" si="888"/>
        <v/>
      </c>
      <c r="R1546" s="459" t="str">
        <f t="shared" si="889"/>
        <v/>
      </c>
      <c r="S1546" s="459" t="str">
        <f t="shared" si="890"/>
        <v/>
      </c>
      <c r="T1546" s="566" t="str">
        <f t="shared" si="875"/>
        <v/>
      </c>
      <c r="U1546" s="702"/>
      <c r="V1546" s="132"/>
      <c r="W1546" s="133"/>
      <c r="X1546" s="134"/>
      <c r="Y1546" s="135"/>
      <c r="Z1546" s="137"/>
      <c r="AA1546" s="136"/>
      <c r="AB1546" s="566" t="str">
        <f t="shared" si="876"/>
        <v/>
      </c>
      <c r="AC1546" s="568" t="str">
        <f t="shared" si="877"/>
        <v/>
      </c>
      <c r="AD1546" s="137"/>
      <c r="AE1546" s="137"/>
      <c r="AF1546" s="138"/>
      <c r="AG1546" s="138"/>
      <c r="AH1546" s="592" t="str">
        <f t="shared" si="878"/>
        <v/>
      </c>
      <c r="AI1546" s="592" t="str">
        <f t="shared" si="879"/>
        <v/>
      </c>
      <c r="AJ1546" s="592" t="str">
        <f t="shared" si="880"/>
        <v/>
      </c>
      <c r="AK1546" s="460" t="str">
        <f>IF(AU1546="","",IF(OR(AZ1546=8,AZ1546=9),0,IF(OR(AW1546=3,AW1546=4,AW1546=5,AW1546=6),IF(LEFT(BF1546,1)="1",INDEX(係数_NOX・PM低減,MATCH(AY1546,【参考】排出係数!$AI$801:$AI$804,1),1),VLOOKUP(AU1546,INDEX((係数_バス貨物_ガソリン,係数_バス貨物_CNG,係数_バス貨物_軽油,係数_バス貨物_メタノール,係数_バス貨物_LPG),MATCH(AY1546,【参考】排出係数!$AI$4:$AI$671,1),1,BE1546):INDEX((係数_バス貨物_ガソリン,係数_バス貨物_CNG,係数_バス貨物_軽油,係数_バス貨物_メタノール,係数_バス貨物_LPG),MATCH(AY1546+1,【参考】排出係数!$AI$4:$AI$671,1)-1,5,BE1546),4,FALSE)),IF(AND(BE1546=3,LEFT(BF1546,1)="1"),0.48,VLOOKUP(AU1546,INDEX((係数_乗用_ガソリン,係数_乗用_CNG,係数_乗用_軽油,係数_乗用_メタノール,係数_乗用_LPG),1,1,BE1546):INDEX((係数_乗用_ガソリン,係数_乗用_CNG,係数_乗用_軽油,係数_乗用_メタノール,係数_乗用_LPG),125,5,BE1546),4,FALSE)))))</f>
        <v/>
      </c>
      <c r="AL1546" s="461" t="str">
        <f t="shared" si="881"/>
        <v/>
      </c>
      <c r="AM1546" s="460" t="str">
        <f>IF(AU1546="","",IF(OR(AZ1546=8,AZ1546=9),0,IF(OR(AW1546=3,AW1546=4,AW1546=5,AW1546=6),IF(LEFT(BH1546,1)="1",INDEX(係数_PM低減,MATCH(AY1546,【参考】排出係数!$AI$801:$AI$804,1),MATCH(BI1546,【参考】排出係数!$AL$798:$AO$798,1)),VLOOKUP(AU1546,INDEX((係数_バス貨物_ガソリン,係数_バス貨物_CNG,係数_バス貨物_軽油,係数_バス貨物_メタノール,係数_バス貨物_LPG),MATCH(AY1546,【参考】排出係数!$AI$4:$AI$671,1),1,BE1546):INDEX((係数_バス貨物_ガソリン,係数_バス貨物_CNG,係数_バス貨物_軽油,係数_バス貨物_メタノール,係数_バス貨物_LPG),MATCH(AY1546+1,【参考】排出係数!$AI$4:$AI$671,1)-1,5,BE1546),5,FALSE)),IF(AND(BE1546=3,LEFT(BF1546,1)="1"),0.055,VLOOKUP(AU1546,INDEX((係数_乗用_ガソリン,係数_乗用_CNG,係数_乗用_軽油,係数_乗用_メタノール,係数_乗用_LPG),1,1,BE1546):INDEX((係数_乗用_ガソリン,係数_乗用_CNG,係数_乗用_軽油,係数_乗用_メタノール,係数_乗用_LPG),125,5,BE1546),5,FALSE)))))</f>
        <v/>
      </c>
      <c r="AN1546" s="461" t="str">
        <f t="shared" si="882"/>
        <v/>
      </c>
      <c r="AO1546" s="462" t="str">
        <f t="shared" si="883"/>
        <v/>
      </c>
      <c r="AP1546" s="463" t="str">
        <f t="shared" si="884"/>
        <v/>
      </c>
      <c r="AQ1546" s="464"/>
      <c r="AR1546" s="619"/>
      <c r="AS1546" s="465" t="str">
        <f t="shared" si="892"/>
        <v/>
      </c>
      <c r="AT1546" s="465" t="str">
        <f t="shared" si="893"/>
        <v/>
      </c>
      <c r="AU1546" s="466" t="str">
        <f t="shared" si="894"/>
        <v/>
      </c>
      <c r="AV1546" s="467" t="str">
        <f t="shared" si="895"/>
        <v/>
      </c>
      <c r="AW1546" s="467" t="str">
        <f t="shared" si="896"/>
        <v/>
      </c>
      <c r="AX1546" s="467" t="str">
        <f t="shared" si="897"/>
        <v/>
      </c>
      <c r="AY1546" s="467" t="str">
        <f t="shared" si="898"/>
        <v/>
      </c>
      <c r="AZ1546" s="467" t="str">
        <f t="shared" si="899"/>
        <v/>
      </c>
      <c r="BA1546" s="468" t="str">
        <f>IF(AS1546="","",IF(OR(AU1546="",AU1546="-"),"－",IF(OR(AZ1546=8,AZ1546=9),"",IF(OR(AW1546=3,AW1546=4,AW1546=5,AW1546=6),VLOOKUP(AU1546,INDEX((係数_バス貨物_ガソリン,係数_バス貨物_CNG,係数_バス貨物_軽油,係数_バス貨物_メタノール,係数_バス貨物_LPG),MATCH(AY1546,【参考】排出係数!$AI$4:$AI$671,1),1,BE1546):INDEX((係数_バス貨物_ガソリン,係数_バス貨物_CNG,係数_バス貨物_軽油,係数_バス貨物_メタノール,係数_バス貨物_LPG),MATCH(AY1546+1,【参考】排出係数!$AI$4:$AI$671,1)-1,5,BE1546),2,FALSE),IF(OR(AW1546=1,AW1546=2),VLOOKUP(AU1546,INDEX((係数_乗用_ガソリン,係数_乗用_CNG,係数_乗用_軽油,係数_乗用_メタノール,係数_乗用_LPG),1,1,BE1546):INDEX((係数_乗用_ガソリン,係数_乗用_CNG,係数_乗用_軽油,係数_乗用_メタノール,係数_乗用_LPG),125,5,BE1546),2,FALSE))))))</f>
        <v/>
      </c>
      <c r="BB1546" s="468" t="str">
        <f>IF(T1546="","",IF(OR(AU1546="",AU1546="-"),"－",IF(OR(AZ1546=8,AZ1546=9),"",IF(OR(AW1546=3,AW1546=4,AW1546=5,AW1546=6),VLOOKUP(AU1546,INDEX((係数_バス貨物_ガソリン,係数_バス貨物_CNG,係数_バス貨物_軽油,係数_バス貨物_メタノール,係数_バス貨物_LPG),MATCH(AY1546,【参考】排出係数!$AI$4:$AI$671,1),1,BE1546):INDEX((係数_バス貨物_ガソリン,係数_バス貨物_CNG,係数_バス貨物_軽油,係数_バス貨物_メタノール,係数_バス貨物_LPG),MATCH(AY1546+1,【参考】排出係数!$AI$4:$AI$671,1)-1,5,BE1546),3,FALSE),IF(OR(AW1546=1,AW1546=2),VLOOKUP(AU1546,INDEX((係数_乗用_ガソリン,係数_乗用_CNG,係数_乗用_軽油,係数_乗用_メタノール,係数_乗用_LPG),1,1,BE1546):INDEX((係数_乗用_ガソリン,係数_乗用_CNG,係数_乗用_軽油,係数_乗用_メタノール,係数_乗用_LPG),125,5,BE1546),3,FALSE))))))</f>
        <v/>
      </c>
      <c r="BC1546" s="467" t="str">
        <f t="shared" si="900"/>
        <v/>
      </c>
      <c r="BD1546" s="567" t="str">
        <f t="shared" si="901"/>
        <v/>
      </c>
      <c r="BE1546" s="467" t="str">
        <f t="shared" si="902"/>
        <v/>
      </c>
      <c r="BF1546" s="469" t="str">
        <f t="shared" ca="1" si="903"/>
        <v/>
      </c>
      <c r="BG1546" s="469" t="str">
        <f t="shared" ca="1" si="904"/>
        <v/>
      </c>
      <c r="BH1546" s="467" t="str">
        <f t="shared" si="905"/>
        <v/>
      </c>
      <c r="BI1546" s="467" t="str">
        <f t="shared" ca="1" si="906"/>
        <v/>
      </c>
      <c r="BJ1546" s="469" t="str">
        <f t="shared" si="907"/>
        <v/>
      </c>
      <c r="BK1546" s="470" t="str">
        <f t="shared" si="891"/>
        <v/>
      </c>
      <c r="BL1546" s="775" t="str">
        <f t="shared" si="908"/>
        <v/>
      </c>
      <c r="BM1546" s="775" t="str">
        <f t="shared" si="909"/>
        <v/>
      </c>
    </row>
    <row r="1547" spans="1:65">
      <c r="A1547" s="473">
        <v>1491</v>
      </c>
      <c r="B1547" s="132"/>
      <c r="C1547" s="332"/>
      <c r="D1547" s="333"/>
      <c r="E1547" s="333"/>
      <c r="F1547" s="334"/>
      <c r="G1547" s="337"/>
      <c r="H1547" s="131"/>
      <c r="I1547" s="337"/>
      <c r="J1547" s="131"/>
      <c r="K1547" s="458" t="str">
        <f t="shared" si="872"/>
        <v/>
      </c>
      <c r="L1547" s="458">
        <f t="shared" si="873"/>
        <v>0</v>
      </c>
      <c r="M1547" s="458">
        <f t="shared" si="874"/>
        <v>0</v>
      </c>
      <c r="N1547" s="459" t="str">
        <f t="shared" si="885"/>
        <v/>
      </c>
      <c r="O1547" s="459" t="str">
        <f t="shared" si="886"/>
        <v/>
      </c>
      <c r="P1547" s="459" t="str">
        <f t="shared" si="887"/>
        <v/>
      </c>
      <c r="Q1547" s="459" t="str">
        <f t="shared" si="888"/>
        <v/>
      </c>
      <c r="R1547" s="459" t="str">
        <f t="shared" si="889"/>
        <v/>
      </c>
      <c r="S1547" s="459" t="str">
        <f t="shared" si="890"/>
        <v/>
      </c>
      <c r="T1547" s="566" t="str">
        <f t="shared" si="875"/>
        <v/>
      </c>
      <c r="U1547" s="702"/>
      <c r="V1547" s="132"/>
      <c r="W1547" s="133"/>
      <c r="X1547" s="134"/>
      <c r="Y1547" s="135"/>
      <c r="Z1547" s="137"/>
      <c r="AA1547" s="136"/>
      <c r="AB1547" s="566" t="str">
        <f t="shared" si="876"/>
        <v/>
      </c>
      <c r="AC1547" s="568" t="str">
        <f t="shared" si="877"/>
        <v/>
      </c>
      <c r="AD1547" s="137"/>
      <c r="AE1547" s="137"/>
      <c r="AF1547" s="138"/>
      <c r="AG1547" s="138"/>
      <c r="AH1547" s="592" t="str">
        <f t="shared" si="878"/>
        <v/>
      </c>
      <c r="AI1547" s="592" t="str">
        <f t="shared" si="879"/>
        <v/>
      </c>
      <c r="AJ1547" s="592" t="str">
        <f t="shared" si="880"/>
        <v/>
      </c>
      <c r="AK1547" s="460" t="str">
        <f>IF(AU1547="","",IF(OR(AZ1547=8,AZ1547=9),0,IF(OR(AW1547=3,AW1547=4,AW1547=5,AW1547=6),IF(LEFT(BF1547,1)="1",INDEX(係数_NOX・PM低減,MATCH(AY1547,【参考】排出係数!$AI$801:$AI$804,1),1),VLOOKUP(AU1547,INDEX((係数_バス貨物_ガソリン,係数_バス貨物_CNG,係数_バス貨物_軽油,係数_バス貨物_メタノール,係数_バス貨物_LPG),MATCH(AY1547,【参考】排出係数!$AI$4:$AI$671,1),1,BE1547):INDEX((係数_バス貨物_ガソリン,係数_バス貨物_CNG,係数_バス貨物_軽油,係数_バス貨物_メタノール,係数_バス貨物_LPG),MATCH(AY1547+1,【参考】排出係数!$AI$4:$AI$671,1)-1,5,BE1547),4,FALSE)),IF(AND(BE1547=3,LEFT(BF1547,1)="1"),0.48,VLOOKUP(AU1547,INDEX((係数_乗用_ガソリン,係数_乗用_CNG,係数_乗用_軽油,係数_乗用_メタノール,係数_乗用_LPG),1,1,BE1547):INDEX((係数_乗用_ガソリン,係数_乗用_CNG,係数_乗用_軽油,係数_乗用_メタノール,係数_乗用_LPG),125,5,BE1547),4,FALSE)))))</f>
        <v/>
      </c>
      <c r="AL1547" s="461" t="str">
        <f t="shared" si="881"/>
        <v/>
      </c>
      <c r="AM1547" s="460" t="str">
        <f>IF(AU1547="","",IF(OR(AZ1547=8,AZ1547=9),0,IF(OR(AW1547=3,AW1547=4,AW1547=5,AW1547=6),IF(LEFT(BH1547,1)="1",INDEX(係数_PM低減,MATCH(AY1547,【参考】排出係数!$AI$801:$AI$804,1),MATCH(BI1547,【参考】排出係数!$AL$798:$AO$798,1)),VLOOKUP(AU1547,INDEX((係数_バス貨物_ガソリン,係数_バス貨物_CNG,係数_バス貨物_軽油,係数_バス貨物_メタノール,係数_バス貨物_LPG),MATCH(AY1547,【参考】排出係数!$AI$4:$AI$671,1),1,BE1547):INDEX((係数_バス貨物_ガソリン,係数_バス貨物_CNG,係数_バス貨物_軽油,係数_バス貨物_メタノール,係数_バス貨物_LPG),MATCH(AY1547+1,【参考】排出係数!$AI$4:$AI$671,1)-1,5,BE1547),5,FALSE)),IF(AND(BE1547=3,LEFT(BF1547,1)="1"),0.055,VLOOKUP(AU1547,INDEX((係数_乗用_ガソリン,係数_乗用_CNG,係数_乗用_軽油,係数_乗用_メタノール,係数_乗用_LPG),1,1,BE1547):INDEX((係数_乗用_ガソリン,係数_乗用_CNG,係数_乗用_軽油,係数_乗用_メタノール,係数_乗用_LPG),125,5,BE1547),5,FALSE)))))</f>
        <v/>
      </c>
      <c r="AN1547" s="461" t="str">
        <f t="shared" si="882"/>
        <v/>
      </c>
      <c r="AO1547" s="462" t="str">
        <f t="shared" si="883"/>
        <v/>
      </c>
      <c r="AP1547" s="463" t="str">
        <f t="shared" si="884"/>
        <v/>
      </c>
      <c r="AQ1547" s="464"/>
      <c r="AR1547" s="619"/>
      <c r="AS1547" s="465" t="str">
        <f t="shared" si="892"/>
        <v/>
      </c>
      <c r="AT1547" s="465" t="str">
        <f t="shared" si="893"/>
        <v/>
      </c>
      <c r="AU1547" s="466" t="str">
        <f t="shared" si="894"/>
        <v/>
      </c>
      <c r="AV1547" s="467" t="str">
        <f t="shared" si="895"/>
        <v/>
      </c>
      <c r="AW1547" s="467" t="str">
        <f t="shared" si="896"/>
        <v/>
      </c>
      <c r="AX1547" s="467" t="str">
        <f t="shared" si="897"/>
        <v/>
      </c>
      <c r="AY1547" s="467" t="str">
        <f t="shared" si="898"/>
        <v/>
      </c>
      <c r="AZ1547" s="467" t="str">
        <f t="shared" si="899"/>
        <v/>
      </c>
      <c r="BA1547" s="468" t="str">
        <f>IF(AS1547="","",IF(OR(AU1547="",AU1547="-"),"－",IF(OR(AZ1547=8,AZ1547=9),"",IF(OR(AW1547=3,AW1547=4,AW1547=5,AW1547=6),VLOOKUP(AU1547,INDEX((係数_バス貨物_ガソリン,係数_バス貨物_CNG,係数_バス貨物_軽油,係数_バス貨物_メタノール,係数_バス貨物_LPG),MATCH(AY1547,【参考】排出係数!$AI$4:$AI$671,1),1,BE1547):INDEX((係数_バス貨物_ガソリン,係数_バス貨物_CNG,係数_バス貨物_軽油,係数_バス貨物_メタノール,係数_バス貨物_LPG),MATCH(AY1547+1,【参考】排出係数!$AI$4:$AI$671,1)-1,5,BE1547),2,FALSE),IF(OR(AW1547=1,AW1547=2),VLOOKUP(AU1547,INDEX((係数_乗用_ガソリン,係数_乗用_CNG,係数_乗用_軽油,係数_乗用_メタノール,係数_乗用_LPG),1,1,BE1547):INDEX((係数_乗用_ガソリン,係数_乗用_CNG,係数_乗用_軽油,係数_乗用_メタノール,係数_乗用_LPG),125,5,BE1547),2,FALSE))))))</f>
        <v/>
      </c>
      <c r="BB1547" s="468" t="str">
        <f>IF(T1547="","",IF(OR(AU1547="",AU1547="-"),"－",IF(OR(AZ1547=8,AZ1547=9),"",IF(OR(AW1547=3,AW1547=4,AW1547=5,AW1547=6),VLOOKUP(AU1547,INDEX((係数_バス貨物_ガソリン,係数_バス貨物_CNG,係数_バス貨物_軽油,係数_バス貨物_メタノール,係数_バス貨物_LPG),MATCH(AY1547,【参考】排出係数!$AI$4:$AI$671,1),1,BE1547):INDEX((係数_バス貨物_ガソリン,係数_バス貨物_CNG,係数_バス貨物_軽油,係数_バス貨物_メタノール,係数_バス貨物_LPG),MATCH(AY1547+1,【参考】排出係数!$AI$4:$AI$671,1)-1,5,BE1547),3,FALSE),IF(OR(AW1547=1,AW1547=2),VLOOKUP(AU1547,INDEX((係数_乗用_ガソリン,係数_乗用_CNG,係数_乗用_軽油,係数_乗用_メタノール,係数_乗用_LPG),1,1,BE1547):INDEX((係数_乗用_ガソリン,係数_乗用_CNG,係数_乗用_軽油,係数_乗用_メタノール,係数_乗用_LPG),125,5,BE1547),3,FALSE))))))</f>
        <v/>
      </c>
      <c r="BC1547" s="467" t="str">
        <f t="shared" si="900"/>
        <v/>
      </c>
      <c r="BD1547" s="567" t="str">
        <f t="shared" si="901"/>
        <v/>
      </c>
      <c r="BE1547" s="467" t="str">
        <f t="shared" si="902"/>
        <v/>
      </c>
      <c r="BF1547" s="469" t="str">
        <f t="shared" ca="1" si="903"/>
        <v/>
      </c>
      <c r="BG1547" s="469" t="str">
        <f t="shared" ca="1" si="904"/>
        <v/>
      </c>
      <c r="BH1547" s="467" t="str">
        <f t="shared" si="905"/>
        <v/>
      </c>
      <c r="BI1547" s="467" t="str">
        <f t="shared" ca="1" si="906"/>
        <v/>
      </c>
      <c r="BJ1547" s="469" t="str">
        <f t="shared" si="907"/>
        <v/>
      </c>
      <c r="BK1547" s="470" t="str">
        <f t="shared" si="891"/>
        <v/>
      </c>
      <c r="BL1547" s="775" t="str">
        <f t="shared" si="908"/>
        <v/>
      </c>
      <c r="BM1547" s="775" t="str">
        <f t="shared" si="909"/>
        <v/>
      </c>
    </row>
    <row r="1548" spans="1:65">
      <c r="A1548" s="473">
        <v>1492</v>
      </c>
      <c r="B1548" s="132"/>
      <c r="C1548" s="332"/>
      <c r="D1548" s="333"/>
      <c r="E1548" s="333"/>
      <c r="F1548" s="334"/>
      <c r="G1548" s="337"/>
      <c r="H1548" s="131"/>
      <c r="I1548" s="337"/>
      <c r="J1548" s="131"/>
      <c r="K1548" s="458" t="str">
        <f t="shared" si="872"/>
        <v/>
      </c>
      <c r="L1548" s="458">
        <f t="shared" si="873"/>
        <v>0</v>
      </c>
      <c r="M1548" s="458">
        <f t="shared" si="874"/>
        <v>0</v>
      </c>
      <c r="N1548" s="459" t="str">
        <f t="shared" si="885"/>
        <v/>
      </c>
      <c r="O1548" s="459" t="str">
        <f t="shared" si="886"/>
        <v/>
      </c>
      <c r="P1548" s="459" t="str">
        <f t="shared" si="887"/>
        <v/>
      </c>
      <c r="Q1548" s="459" t="str">
        <f t="shared" si="888"/>
        <v/>
      </c>
      <c r="R1548" s="459" t="str">
        <f t="shared" si="889"/>
        <v/>
      </c>
      <c r="S1548" s="459" t="str">
        <f t="shared" si="890"/>
        <v/>
      </c>
      <c r="T1548" s="566" t="str">
        <f t="shared" si="875"/>
        <v/>
      </c>
      <c r="U1548" s="702"/>
      <c r="V1548" s="132"/>
      <c r="W1548" s="133"/>
      <c r="X1548" s="134"/>
      <c r="Y1548" s="135"/>
      <c r="Z1548" s="137"/>
      <c r="AA1548" s="136"/>
      <c r="AB1548" s="566" t="str">
        <f t="shared" si="876"/>
        <v/>
      </c>
      <c r="AC1548" s="568" t="str">
        <f t="shared" si="877"/>
        <v/>
      </c>
      <c r="AD1548" s="137"/>
      <c r="AE1548" s="137"/>
      <c r="AF1548" s="138"/>
      <c r="AG1548" s="138"/>
      <c r="AH1548" s="592" t="str">
        <f t="shared" si="878"/>
        <v/>
      </c>
      <c r="AI1548" s="592" t="str">
        <f t="shared" si="879"/>
        <v/>
      </c>
      <c r="AJ1548" s="592" t="str">
        <f t="shared" si="880"/>
        <v/>
      </c>
      <c r="AK1548" s="460" t="str">
        <f>IF(AU1548="","",IF(OR(AZ1548=8,AZ1548=9),0,IF(OR(AW1548=3,AW1548=4,AW1548=5,AW1548=6),IF(LEFT(BF1548,1)="1",INDEX(係数_NOX・PM低減,MATCH(AY1548,【参考】排出係数!$AI$801:$AI$804,1),1),VLOOKUP(AU1548,INDEX((係数_バス貨物_ガソリン,係数_バス貨物_CNG,係数_バス貨物_軽油,係数_バス貨物_メタノール,係数_バス貨物_LPG),MATCH(AY1548,【参考】排出係数!$AI$4:$AI$671,1),1,BE1548):INDEX((係数_バス貨物_ガソリン,係数_バス貨物_CNG,係数_バス貨物_軽油,係数_バス貨物_メタノール,係数_バス貨物_LPG),MATCH(AY1548+1,【参考】排出係数!$AI$4:$AI$671,1)-1,5,BE1548),4,FALSE)),IF(AND(BE1548=3,LEFT(BF1548,1)="1"),0.48,VLOOKUP(AU1548,INDEX((係数_乗用_ガソリン,係数_乗用_CNG,係数_乗用_軽油,係数_乗用_メタノール,係数_乗用_LPG),1,1,BE1548):INDEX((係数_乗用_ガソリン,係数_乗用_CNG,係数_乗用_軽油,係数_乗用_メタノール,係数_乗用_LPG),125,5,BE1548),4,FALSE)))))</f>
        <v/>
      </c>
      <c r="AL1548" s="461" t="str">
        <f t="shared" si="881"/>
        <v/>
      </c>
      <c r="AM1548" s="460" t="str">
        <f>IF(AU1548="","",IF(OR(AZ1548=8,AZ1548=9),0,IF(OR(AW1548=3,AW1548=4,AW1548=5,AW1548=6),IF(LEFT(BH1548,1)="1",INDEX(係数_PM低減,MATCH(AY1548,【参考】排出係数!$AI$801:$AI$804,1),MATCH(BI1548,【参考】排出係数!$AL$798:$AO$798,1)),VLOOKUP(AU1548,INDEX((係数_バス貨物_ガソリン,係数_バス貨物_CNG,係数_バス貨物_軽油,係数_バス貨物_メタノール,係数_バス貨物_LPG),MATCH(AY1548,【参考】排出係数!$AI$4:$AI$671,1),1,BE1548):INDEX((係数_バス貨物_ガソリン,係数_バス貨物_CNG,係数_バス貨物_軽油,係数_バス貨物_メタノール,係数_バス貨物_LPG),MATCH(AY1548+1,【参考】排出係数!$AI$4:$AI$671,1)-1,5,BE1548),5,FALSE)),IF(AND(BE1548=3,LEFT(BF1548,1)="1"),0.055,VLOOKUP(AU1548,INDEX((係数_乗用_ガソリン,係数_乗用_CNG,係数_乗用_軽油,係数_乗用_メタノール,係数_乗用_LPG),1,1,BE1548):INDEX((係数_乗用_ガソリン,係数_乗用_CNG,係数_乗用_軽油,係数_乗用_メタノール,係数_乗用_LPG),125,5,BE1548),5,FALSE)))))</f>
        <v/>
      </c>
      <c r="AN1548" s="461" t="str">
        <f t="shared" si="882"/>
        <v/>
      </c>
      <c r="AO1548" s="462" t="str">
        <f t="shared" si="883"/>
        <v/>
      </c>
      <c r="AP1548" s="463" t="str">
        <f t="shared" si="884"/>
        <v/>
      </c>
      <c r="AQ1548" s="464"/>
      <c r="AR1548" s="619"/>
      <c r="AS1548" s="465" t="str">
        <f t="shared" si="892"/>
        <v/>
      </c>
      <c r="AT1548" s="465" t="str">
        <f t="shared" si="893"/>
        <v/>
      </c>
      <c r="AU1548" s="466" t="str">
        <f t="shared" si="894"/>
        <v/>
      </c>
      <c r="AV1548" s="467" t="str">
        <f t="shared" si="895"/>
        <v/>
      </c>
      <c r="AW1548" s="467" t="str">
        <f t="shared" si="896"/>
        <v/>
      </c>
      <c r="AX1548" s="467" t="str">
        <f t="shared" si="897"/>
        <v/>
      </c>
      <c r="AY1548" s="467" t="str">
        <f t="shared" si="898"/>
        <v/>
      </c>
      <c r="AZ1548" s="467" t="str">
        <f t="shared" si="899"/>
        <v/>
      </c>
      <c r="BA1548" s="468" t="str">
        <f>IF(AS1548="","",IF(OR(AU1548="",AU1548="-"),"－",IF(OR(AZ1548=8,AZ1548=9),"",IF(OR(AW1548=3,AW1548=4,AW1548=5,AW1548=6),VLOOKUP(AU1548,INDEX((係数_バス貨物_ガソリン,係数_バス貨物_CNG,係数_バス貨物_軽油,係数_バス貨物_メタノール,係数_バス貨物_LPG),MATCH(AY1548,【参考】排出係数!$AI$4:$AI$671,1),1,BE1548):INDEX((係数_バス貨物_ガソリン,係数_バス貨物_CNG,係数_バス貨物_軽油,係数_バス貨物_メタノール,係数_バス貨物_LPG),MATCH(AY1548+1,【参考】排出係数!$AI$4:$AI$671,1)-1,5,BE1548),2,FALSE),IF(OR(AW1548=1,AW1548=2),VLOOKUP(AU1548,INDEX((係数_乗用_ガソリン,係数_乗用_CNG,係数_乗用_軽油,係数_乗用_メタノール,係数_乗用_LPG),1,1,BE1548):INDEX((係数_乗用_ガソリン,係数_乗用_CNG,係数_乗用_軽油,係数_乗用_メタノール,係数_乗用_LPG),125,5,BE1548),2,FALSE))))))</f>
        <v/>
      </c>
      <c r="BB1548" s="468" t="str">
        <f>IF(T1548="","",IF(OR(AU1548="",AU1548="-"),"－",IF(OR(AZ1548=8,AZ1548=9),"",IF(OR(AW1548=3,AW1548=4,AW1548=5,AW1548=6),VLOOKUP(AU1548,INDEX((係数_バス貨物_ガソリン,係数_バス貨物_CNG,係数_バス貨物_軽油,係数_バス貨物_メタノール,係数_バス貨物_LPG),MATCH(AY1548,【参考】排出係数!$AI$4:$AI$671,1),1,BE1548):INDEX((係数_バス貨物_ガソリン,係数_バス貨物_CNG,係数_バス貨物_軽油,係数_バス貨物_メタノール,係数_バス貨物_LPG),MATCH(AY1548+1,【参考】排出係数!$AI$4:$AI$671,1)-1,5,BE1548),3,FALSE),IF(OR(AW1548=1,AW1548=2),VLOOKUP(AU1548,INDEX((係数_乗用_ガソリン,係数_乗用_CNG,係数_乗用_軽油,係数_乗用_メタノール,係数_乗用_LPG),1,1,BE1548):INDEX((係数_乗用_ガソリン,係数_乗用_CNG,係数_乗用_軽油,係数_乗用_メタノール,係数_乗用_LPG),125,5,BE1548),3,FALSE))))))</f>
        <v/>
      </c>
      <c r="BC1548" s="467" t="str">
        <f t="shared" si="900"/>
        <v/>
      </c>
      <c r="BD1548" s="567" t="str">
        <f t="shared" si="901"/>
        <v/>
      </c>
      <c r="BE1548" s="467" t="str">
        <f t="shared" si="902"/>
        <v/>
      </c>
      <c r="BF1548" s="469" t="str">
        <f t="shared" ca="1" si="903"/>
        <v/>
      </c>
      <c r="BG1548" s="469" t="str">
        <f t="shared" ca="1" si="904"/>
        <v/>
      </c>
      <c r="BH1548" s="467" t="str">
        <f t="shared" si="905"/>
        <v/>
      </c>
      <c r="BI1548" s="467" t="str">
        <f t="shared" ca="1" si="906"/>
        <v/>
      </c>
      <c r="BJ1548" s="469" t="str">
        <f t="shared" si="907"/>
        <v/>
      </c>
      <c r="BK1548" s="470" t="str">
        <f t="shared" si="891"/>
        <v/>
      </c>
      <c r="BL1548" s="775" t="str">
        <f t="shared" si="908"/>
        <v/>
      </c>
      <c r="BM1548" s="775" t="str">
        <f t="shared" si="909"/>
        <v/>
      </c>
    </row>
    <row r="1549" spans="1:65">
      <c r="A1549" s="473">
        <v>1493</v>
      </c>
      <c r="B1549" s="132"/>
      <c r="C1549" s="332"/>
      <c r="D1549" s="333"/>
      <c r="E1549" s="333"/>
      <c r="F1549" s="334"/>
      <c r="G1549" s="337"/>
      <c r="H1549" s="131"/>
      <c r="I1549" s="337"/>
      <c r="J1549" s="131"/>
      <c r="K1549" s="458" t="str">
        <f t="shared" si="872"/>
        <v/>
      </c>
      <c r="L1549" s="458">
        <f t="shared" si="873"/>
        <v>0</v>
      </c>
      <c r="M1549" s="458">
        <f t="shared" si="874"/>
        <v>0</v>
      </c>
      <c r="N1549" s="459" t="str">
        <f t="shared" si="885"/>
        <v/>
      </c>
      <c r="O1549" s="459" t="str">
        <f t="shared" si="886"/>
        <v/>
      </c>
      <c r="P1549" s="459" t="str">
        <f t="shared" si="887"/>
        <v/>
      </c>
      <c r="Q1549" s="459" t="str">
        <f t="shared" si="888"/>
        <v/>
      </c>
      <c r="R1549" s="459" t="str">
        <f t="shared" si="889"/>
        <v/>
      </c>
      <c r="S1549" s="459" t="str">
        <f t="shared" si="890"/>
        <v/>
      </c>
      <c r="T1549" s="566" t="str">
        <f t="shared" si="875"/>
        <v/>
      </c>
      <c r="U1549" s="702"/>
      <c r="V1549" s="132"/>
      <c r="W1549" s="133"/>
      <c r="X1549" s="134"/>
      <c r="Y1549" s="135"/>
      <c r="Z1549" s="137"/>
      <c r="AA1549" s="136"/>
      <c r="AB1549" s="566" t="str">
        <f t="shared" si="876"/>
        <v/>
      </c>
      <c r="AC1549" s="568" t="str">
        <f t="shared" si="877"/>
        <v/>
      </c>
      <c r="AD1549" s="137"/>
      <c r="AE1549" s="137"/>
      <c r="AF1549" s="138"/>
      <c r="AG1549" s="138"/>
      <c r="AH1549" s="592" t="str">
        <f t="shared" si="878"/>
        <v/>
      </c>
      <c r="AI1549" s="592" t="str">
        <f t="shared" si="879"/>
        <v/>
      </c>
      <c r="AJ1549" s="592" t="str">
        <f t="shared" si="880"/>
        <v/>
      </c>
      <c r="AK1549" s="460" t="str">
        <f>IF(AU1549="","",IF(OR(AZ1549=8,AZ1549=9),0,IF(OR(AW1549=3,AW1549=4,AW1549=5,AW1549=6),IF(LEFT(BF1549,1)="1",INDEX(係数_NOX・PM低減,MATCH(AY1549,【参考】排出係数!$AI$801:$AI$804,1),1),VLOOKUP(AU1549,INDEX((係数_バス貨物_ガソリン,係数_バス貨物_CNG,係数_バス貨物_軽油,係数_バス貨物_メタノール,係数_バス貨物_LPG),MATCH(AY1549,【参考】排出係数!$AI$4:$AI$671,1),1,BE1549):INDEX((係数_バス貨物_ガソリン,係数_バス貨物_CNG,係数_バス貨物_軽油,係数_バス貨物_メタノール,係数_バス貨物_LPG),MATCH(AY1549+1,【参考】排出係数!$AI$4:$AI$671,1)-1,5,BE1549),4,FALSE)),IF(AND(BE1549=3,LEFT(BF1549,1)="1"),0.48,VLOOKUP(AU1549,INDEX((係数_乗用_ガソリン,係数_乗用_CNG,係数_乗用_軽油,係数_乗用_メタノール,係数_乗用_LPG),1,1,BE1549):INDEX((係数_乗用_ガソリン,係数_乗用_CNG,係数_乗用_軽油,係数_乗用_メタノール,係数_乗用_LPG),125,5,BE1549),4,FALSE)))))</f>
        <v/>
      </c>
      <c r="AL1549" s="461" t="str">
        <f t="shared" si="881"/>
        <v/>
      </c>
      <c r="AM1549" s="460" t="str">
        <f>IF(AU1549="","",IF(OR(AZ1549=8,AZ1549=9),0,IF(OR(AW1549=3,AW1549=4,AW1549=5,AW1549=6),IF(LEFT(BH1549,1)="1",INDEX(係数_PM低減,MATCH(AY1549,【参考】排出係数!$AI$801:$AI$804,1),MATCH(BI1549,【参考】排出係数!$AL$798:$AO$798,1)),VLOOKUP(AU1549,INDEX((係数_バス貨物_ガソリン,係数_バス貨物_CNG,係数_バス貨物_軽油,係数_バス貨物_メタノール,係数_バス貨物_LPG),MATCH(AY1549,【参考】排出係数!$AI$4:$AI$671,1),1,BE1549):INDEX((係数_バス貨物_ガソリン,係数_バス貨物_CNG,係数_バス貨物_軽油,係数_バス貨物_メタノール,係数_バス貨物_LPG),MATCH(AY1549+1,【参考】排出係数!$AI$4:$AI$671,1)-1,5,BE1549),5,FALSE)),IF(AND(BE1549=3,LEFT(BF1549,1)="1"),0.055,VLOOKUP(AU1549,INDEX((係数_乗用_ガソリン,係数_乗用_CNG,係数_乗用_軽油,係数_乗用_メタノール,係数_乗用_LPG),1,1,BE1549):INDEX((係数_乗用_ガソリン,係数_乗用_CNG,係数_乗用_軽油,係数_乗用_メタノール,係数_乗用_LPG),125,5,BE1549),5,FALSE)))))</f>
        <v/>
      </c>
      <c r="AN1549" s="461" t="str">
        <f t="shared" si="882"/>
        <v/>
      </c>
      <c r="AO1549" s="462" t="str">
        <f t="shared" si="883"/>
        <v/>
      </c>
      <c r="AP1549" s="463" t="str">
        <f t="shared" si="884"/>
        <v/>
      </c>
      <c r="AQ1549" s="464"/>
      <c r="AR1549" s="619"/>
      <c r="AS1549" s="465" t="str">
        <f t="shared" si="892"/>
        <v/>
      </c>
      <c r="AT1549" s="465" t="str">
        <f t="shared" si="893"/>
        <v/>
      </c>
      <c r="AU1549" s="466" t="str">
        <f t="shared" si="894"/>
        <v/>
      </c>
      <c r="AV1549" s="467" t="str">
        <f t="shared" si="895"/>
        <v/>
      </c>
      <c r="AW1549" s="467" t="str">
        <f t="shared" si="896"/>
        <v/>
      </c>
      <c r="AX1549" s="467" t="str">
        <f t="shared" si="897"/>
        <v/>
      </c>
      <c r="AY1549" s="467" t="str">
        <f t="shared" si="898"/>
        <v/>
      </c>
      <c r="AZ1549" s="467" t="str">
        <f t="shared" si="899"/>
        <v/>
      </c>
      <c r="BA1549" s="468" t="str">
        <f>IF(AS1549="","",IF(OR(AU1549="",AU1549="-"),"－",IF(OR(AZ1549=8,AZ1549=9),"",IF(OR(AW1549=3,AW1549=4,AW1549=5,AW1549=6),VLOOKUP(AU1549,INDEX((係数_バス貨物_ガソリン,係数_バス貨物_CNG,係数_バス貨物_軽油,係数_バス貨物_メタノール,係数_バス貨物_LPG),MATCH(AY1549,【参考】排出係数!$AI$4:$AI$671,1),1,BE1549):INDEX((係数_バス貨物_ガソリン,係数_バス貨物_CNG,係数_バス貨物_軽油,係数_バス貨物_メタノール,係数_バス貨物_LPG),MATCH(AY1549+1,【参考】排出係数!$AI$4:$AI$671,1)-1,5,BE1549),2,FALSE),IF(OR(AW1549=1,AW1549=2),VLOOKUP(AU1549,INDEX((係数_乗用_ガソリン,係数_乗用_CNG,係数_乗用_軽油,係数_乗用_メタノール,係数_乗用_LPG),1,1,BE1549):INDEX((係数_乗用_ガソリン,係数_乗用_CNG,係数_乗用_軽油,係数_乗用_メタノール,係数_乗用_LPG),125,5,BE1549),2,FALSE))))))</f>
        <v/>
      </c>
      <c r="BB1549" s="468" t="str">
        <f>IF(T1549="","",IF(OR(AU1549="",AU1549="-"),"－",IF(OR(AZ1549=8,AZ1549=9),"",IF(OR(AW1549=3,AW1549=4,AW1549=5,AW1549=6),VLOOKUP(AU1549,INDEX((係数_バス貨物_ガソリン,係数_バス貨物_CNG,係数_バス貨物_軽油,係数_バス貨物_メタノール,係数_バス貨物_LPG),MATCH(AY1549,【参考】排出係数!$AI$4:$AI$671,1),1,BE1549):INDEX((係数_バス貨物_ガソリン,係数_バス貨物_CNG,係数_バス貨物_軽油,係数_バス貨物_メタノール,係数_バス貨物_LPG),MATCH(AY1549+1,【参考】排出係数!$AI$4:$AI$671,1)-1,5,BE1549),3,FALSE),IF(OR(AW1549=1,AW1549=2),VLOOKUP(AU1549,INDEX((係数_乗用_ガソリン,係数_乗用_CNG,係数_乗用_軽油,係数_乗用_メタノール,係数_乗用_LPG),1,1,BE1549):INDEX((係数_乗用_ガソリン,係数_乗用_CNG,係数_乗用_軽油,係数_乗用_メタノール,係数_乗用_LPG),125,5,BE1549),3,FALSE))))))</f>
        <v/>
      </c>
      <c r="BC1549" s="467" t="str">
        <f t="shared" si="900"/>
        <v/>
      </c>
      <c r="BD1549" s="567" t="str">
        <f t="shared" si="901"/>
        <v/>
      </c>
      <c r="BE1549" s="467" t="str">
        <f t="shared" si="902"/>
        <v/>
      </c>
      <c r="BF1549" s="469" t="str">
        <f t="shared" ca="1" si="903"/>
        <v/>
      </c>
      <c r="BG1549" s="469" t="str">
        <f t="shared" ca="1" si="904"/>
        <v/>
      </c>
      <c r="BH1549" s="467" t="str">
        <f t="shared" si="905"/>
        <v/>
      </c>
      <c r="BI1549" s="467" t="str">
        <f t="shared" ca="1" si="906"/>
        <v/>
      </c>
      <c r="BJ1549" s="469" t="str">
        <f t="shared" si="907"/>
        <v/>
      </c>
      <c r="BK1549" s="470" t="str">
        <f t="shared" si="891"/>
        <v/>
      </c>
      <c r="BL1549" s="775" t="str">
        <f t="shared" si="908"/>
        <v/>
      </c>
      <c r="BM1549" s="775" t="str">
        <f t="shared" si="909"/>
        <v/>
      </c>
    </row>
    <row r="1550" spans="1:65">
      <c r="A1550" s="473">
        <v>1494</v>
      </c>
      <c r="B1550" s="132"/>
      <c r="C1550" s="332"/>
      <c r="D1550" s="333"/>
      <c r="E1550" s="333"/>
      <c r="F1550" s="334"/>
      <c r="G1550" s="337"/>
      <c r="H1550" s="131"/>
      <c r="I1550" s="337"/>
      <c r="J1550" s="131"/>
      <c r="K1550" s="458" t="str">
        <f t="shared" si="872"/>
        <v/>
      </c>
      <c r="L1550" s="458">
        <f t="shared" si="873"/>
        <v>0</v>
      </c>
      <c r="M1550" s="458">
        <f t="shared" si="874"/>
        <v>0</v>
      </c>
      <c r="N1550" s="459" t="str">
        <f t="shared" si="885"/>
        <v/>
      </c>
      <c r="O1550" s="459" t="str">
        <f t="shared" si="886"/>
        <v/>
      </c>
      <c r="P1550" s="459" t="str">
        <f t="shared" si="887"/>
        <v/>
      </c>
      <c r="Q1550" s="459" t="str">
        <f t="shared" si="888"/>
        <v/>
      </c>
      <c r="R1550" s="459" t="str">
        <f t="shared" si="889"/>
        <v/>
      </c>
      <c r="S1550" s="459" t="str">
        <f t="shared" si="890"/>
        <v/>
      </c>
      <c r="T1550" s="566" t="str">
        <f t="shared" si="875"/>
        <v/>
      </c>
      <c r="U1550" s="702"/>
      <c r="V1550" s="132"/>
      <c r="W1550" s="133"/>
      <c r="X1550" s="134"/>
      <c r="Y1550" s="135"/>
      <c r="Z1550" s="137"/>
      <c r="AA1550" s="136"/>
      <c r="AB1550" s="566" t="str">
        <f t="shared" si="876"/>
        <v/>
      </c>
      <c r="AC1550" s="568" t="str">
        <f t="shared" si="877"/>
        <v/>
      </c>
      <c r="AD1550" s="137"/>
      <c r="AE1550" s="137"/>
      <c r="AF1550" s="138"/>
      <c r="AG1550" s="138"/>
      <c r="AH1550" s="592" t="str">
        <f t="shared" si="878"/>
        <v/>
      </c>
      <c r="AI1550" s="592" t="str">
        <f t="shared" si="879"/>
        <v/>
      </c>
      <c r="AJ1550" s="592" t="str">
        <f t="shared" si="880"/>
        <v/>
      </c>
      <c r="AK1550" s="460" t="str">
        <f>IF(AU1550="","",IF(OR(AZ1550=8,AZ1550=9),0,IF(OR(AW1550=3,AW1550=4,AW1550=5,AW1550=6),IF(LEFT(BF1550,1)="1",INDEX(係数_NOX・PM低減,MATCH(AY1550,【参考】排出係数!$AI$801:$AI$804,1),1),VLOOKUP(AU1550,INDEX((係数_バス貨物_ガソリン,係数_バス貨物_CNG,係数_バス貨物_軽油,係数_バス貨物_メタノール,係数_バス貨物_LPG),MATCH(AY1550,【参考】排出係数!$AI$4:$AI$671,1),1,BE1550):INDEX((係数_バス貨物_ガソリン,係数_バス貨物_CNG,係数_バス貨物_軽油,係数_バス貨物_メタノール,係数_バス貨物_LPG),MATCH(AY1550+1,【参考】排出係数!$AI$4:$AI$671,1)-1,5,BE1550),4,FALSE)),IF(AND(BE1550=3,LEFT(BF1550,1)="1"),0.48,VLOOKUP(AU1550,INDEX((係数_乗用_ガソリン,係数_乗用_CNG,係数_乗用_軽油,係数_乗用_メタノール,係数_乗用_LPG),1,1,BE1550):INDEX((係数_乗用_ガソリン,係数_乗用_CNG,係数_乗用_軽油,係数_乗用_メタノール,係数_乗用_LPG),125,5,BE1550),4,FALSE)))))</f>
        <v/>
      </c>
      <c r="AL1550" s="461" t="str">
        <f t="shared" si="881"/>
        <v/>
      </c>
      <c r="AM1550" s="460" t="str">
        <f>IF(AU1550="","",IF(OR(AZ1550=8,AZ1550=9),0,IF(OR(AW1550=3,AW1550=4,AW1550=5,AW1550=6),IF(LEFT(BH1550,1)="1",INDEX(係数_PM低減,MATCH(AY1550,【参考】排出係数!$AI$801:$AI$804,1),MATCH(BI1550,【参考】排出係数!$AL$798:$AO$798,1)),VLOOKUP(AU1550,INDEX((係数_バス貨物_ガソリン,係数_バス貨物_CNG,係数_バス貨物_軽油,係数_バス貨物_メタノール,係数_バス貨物_LPG),MATCH(AY1550,【参考】排出係数!$AI$4:$AI$671,1),1,BE1550):INDEX((係数_バス貨物_ガソリン,係数_バス貨物_CNG,係数_バス貨物_軽油,係数_バス貨物_メタノール,係数_バス貨物_LPG),MATCH(AY1550+1,【参考】排出係数!$AI$4:$AI$671,1)-1,5,BE1550),5,FALSE)),IF(AND(BE1550=3,LEFT(BF1550,1)="1"),0.055,VLOOKUP(AU1550,INDEX((係数_乗用_ガソリン,係数_乗用_CNG,係数_乗用_軽油,係数_乗用_メタノール,係数_乗用_LPG),1,1,BE1550):INDEX((係数_乗用_ガソリン,係数_乗用_CNG,係数_乗用_軽油,係数_乗用_メタノール,係数_乗用_LPG),125,5,BE1550),5,FALSE)))))</f>
        <v/>
      </c>
      <c r="AN1550" s="461" t="str">
        <f t="shared" si="882"/>
        <v/>
      </c>
      <c r="AO1550" s="462" t="str">
        <f t="shared" si="883"/>
        <v/>
      </c>
      <c r="AP1550" s="463" t="str">
        <f t="shared" si="884"/>
        <v/>
      </c>
      <c r="AQ1550" s="464"/>
      <c r="AR1550" s="619"/>
      <c r="AS1550" s="465" t="str">
        <f t="shared" si="892"/>
        <v/>
      </c>
      <c r="AT1550" s="465" t="str">
        <f t="shared" si="893"/>
        <v/>
      </c>
      <c r="AU1550" s="466" t="str">
        <f t="shared" si="894"/>
        <v/>
      </c>
      <c r="AV1550" s="467" t="str">
        <f t="shared" si="895"/>
        <v/>
      </c>
      <c r="AW1550" s="467" t="str">
        <f t="shared" si="896"/>
        <v/>
      </c>
      <c r="AX1550" s="467" t="str">
        <f t="shared" si="897"/>
        <v/>
      </c>
      <c r="AY1550" s="467" t="str">
        <f t="shared" si="898"/>
        <v/>
      </c>
      <c r="AZ1550" s="467" t="str">
        <f t="shared" si="899"/>
        <v/>
      </c>
      <c r="BA1550" s="468" t="str">
        <f>IF(AS1550="","",IF(OR(AU1550="",AU1550="-"),"－",IF(OR(AZ1550=8,AZ1550=9),"",IF(OR(AW1550=3,AW1550=4,AW1550=5,AW1550=6),VLOOKUP(AU1550,INDEX((係数_バス貨物_ガソリン,係数_バス貨物_CNG,係数_バス貨物_軽油,係数_バス貨物_メタノール,係数_バス貨物_LPG),MATCH(AY1550,【参考】排出係数!$AI$4:$AI$671,1),1,BE1550):INDEX((係数_バス貨物_ガソリン,係数_バス貨物_CNG,係数_バス貨物_軽油,係数_バス貨物_メタノール,係数_バス貨物_LPG),MATCH(AY1550+1,【参考】排出係数!$AI$4:$AI$671,1)-1,5,BE1550),2,FALSE),IF(OR(AW1550=1,AW1550=2),VLOOKUP(AU1550,INDEX((係数_乗用_ガソリン,係数_乗用_CNG,係数_乗用_軽油,係数_乗用_メタノール,係数_乗用_LPG),1,1,BE1550):INDEX((係数_乗用_ガソリン,係数_乗用_CNG,係数_乗用_軽油,係数_乗用_メタノール,係数_乗用_LPG),125,5,BE1550),2,FALSE))))))</f>
        <v/>
      </c>
      <c r="BB1550" s="468" t="str">
        <f>IF(T1550="","",IF(OR(AU1550="",AU1550="-"),"－",IF(OR(AZ1550=8,AZ1550=9),"",IF(OR(AW1550=3,AW1550=4,AW1550=5,AW1550=6),VLOOKUP(AU1550,INDEX((係数_バス貨物_ガソリン,係数_バス貨物_CNG,係数_バス貨物_軽油,係数_バス貨物_メタノール,係数_バス貨物_LPG),MATCH(AY1550,【参考】排出係数!$AI$4:$AI$671,1),1,BE1550):INDEX((係数_バス貨物_ガソリン,係数_バス貨物_CNG,係数_バス貨物_軽油,係数_バス貨物_メタノール,係数_バス貨物_LPG),MATCH(AY1550+1,【参考】排出係数!$AI$4:$AI$671,1)-1,5,BE1550),3,FALSE),IF(OR(AW1550=1,AW1550=2),VLOOKUP(AU1550,INDEX((係数_乗用_ガソリン,係数_乗用_CNG,係数_乗用_軽油,係数_乗用_メタノール,係数_乗用_LPG),1,1,BE1550):INDEX((係数_乗用_ガソリン,係数_乗用_CNG,係数_乗用_軽油,係数_乗用_メタノール,係数_乗用_LPG),125,5,BE1550),3,FALSE))))))</f>
        <v/>
      </c>
      <c r="BC1550" s="467" t="str">
        <f t="shared" si="900"/>
        <v/>
      </c>
      <c r="BD1550" s="567" t="str">
        <f t="shared" si="901"/>
        <v/>
      </c>
      <c r="BE1550" s="467" t="str">
        <f t="shared" si="902"/>
        <v/>
      </c>
      <c r="BF1550" s="469" t="str">
        <f t="shared" ca="1" si="903"/>
        <v/>
      </c>
      <c r="BG1550" s="469" t="str">
        <f t="shared" ca="1" si="904"/>
        <v/>
      </c>
      <c r="BH1550" s="467" t="str">
        <f t="shared" si="905"/>
        <v/>
      </c>
      <c r="BI1550" s="467" t="str">
        <f t="shared" ca="1" si="906"/>
        <v/>
      </c>
      <c r="BJ1550" s="469" t="str">
        <f t="shared" si="907"/>
        <v/>
      </c>
      <c r="BK1550" s="470" t="str">
        <f t="shared" si="891"/>
        <v/>
      </c>
      <c r="BL1550" s="775" t="str">
        <f t="shared" si="908"/>
        <v/>
      </c>
      <c r="BM1550" s="775" t="str">
        <f t="shared" si="909"/>
        <v/>
      </c>
    </row>
    <row r="1551" spans="1:65">
      <c r="A1551" s="473">
        <v>1495</v>
      </c>
      <c r="B1551" s="132"/>
      <c r="C1551" s="332"/>
      <c r="D1551" s="333"/>
      <c r="E1551" s="333"/>
      <c r="F1551" s="334"/>
      <c r="G1551" s="337"/>
      <c r="H1551" s="131"/>
      <c r="I1551" s="337"/>
      <c r="J1551" s="131"/>
      <c r="K1551" s="458" t="str">
        <f t="shared" si="872"/>
        <v/>
      </c>
      <c r="L1551" s="458">
        <f t="shared" si="873"/>
        <v>0</v>
      </c>
      <c r="M1551" s="458">
        <f t="shared" si="874"/>
        <v>0</v>
      </c>
      <c r="N1551" s="459" t="str">
        <f t="shared" si="885"/>
        <v/>
      </c>
      <c r="O1551" s="459" t="str">
        <f t="shared" si="886"/>
        <v/>
      </c>
      <c r="P1551" s="459" t="str">
        <f t="shared" si="887"/>
        <v/>
      </c>
      <c r="Q1551" s="459" t="str">
        <f t="shared" si="888"/>
        <v/>
      </c>
      <c r="R1551" s="459" t="str">
        <f t="shared" si="889"/>
        <v/>
      </c>
      <c r="S1551" s="459" t="str">
        <f t="shared" si="890"/>
        <v/>
      </c>
      <c r="T1551" s="566" t="str">
        <f t="shared" si="875"/>
        <v/>
      </c>
      <c r="U1551" s="702"/>
      <c r="V1551" s="132"/>
      <c r="W1551" s="133"/>
      <c r="X1551" s="134"/>
      <c r="Y1551" s="135"/>
      <c r="Z1551" s="137"/>
      <c r="AA1551" s="136"/>
      <c r="AB1551" s="566" t="str">
        <f t="shared" si="876"/>
        <v/>
      </c>
      <c r="AC1551" s="568" t="str">
        <f t="shared" si="877"/>
        <v/>
      </c>
      <c r="AD1551" s="137"/>
      <c r="AE1551" s="137"/>
      <c r="AF1551" s="138"/>
      <c r="AG1551" s="138"/>
      <c r="AH1551" s="592" t="str">
        <f t="shared" si="878"/>
        <v/>
      </c>
      <c r="AI1551" s="592" t="str">
        <f t="shared" si="879"/>
        <v/>
      </c>
      <c r="AJ1551" s="592" t="str">
        <f t="shared" si="880"/>
        <v/>
      </c>
      <c r="AK1551" s="460" t="str">
        <f>IF(AU1551="","",IF(OR(AZ1551=8,AZ1551=9),0,IF(OR(AW1551=3,AW1551=4,AW1551=5,AW1551=6),IF(LEFT(BF1551,1)="1",INDEX(係数_NOX・PM低減,MATCH(AY1551,【参考】排出係数!$AI$801:$AI$804,1),1),VLOOKUP(AU1551,INDEX((係数_バス貨物_ガソリン,係数_バス貨物_CNG,係数_バス貨物_軽油,係数_バス貨物_メタノール,係数_バス貨物_LPG),MATCH(AY1551,【参考】排出係数!$AI$4:$AI$671,1),1,BE1551):INDEX((係数_バス貨物_ガソリン,係数_バス貨物_CNG,係数_バス貨物_軽油,係数_バス貨物_メタノール,係数_バス貨物_LPG),MATCH(AY1551+1,【参考】排出係数!$AI$4:$AI$671,1)-1,5,BE1551),4,FALSE)),IF(AND(BE1551=3,LEFT(BF1551,1)="1"),0.48,VLOOKUP(AU1551,INDEX((係数_乗用_ガソリン,係数_乗用_CNG,係数_乗用_軽油,係数_乗用_メタノール,係数_乗用_LPG),1,1,BE1551):INDEX((係数_乗用_ガソリン,係数_乗用_CNG,係数_乗用_軽油,係数_乗用_メタノール,係数_乗用_LPG),125,5,BE1551),4,FALSE)))))</f>
        <v/>
      </c>
      <c r="AL1551" s="461" t="str">
        <f t="shared" si="881"/>
        <v/>
      </c>
      <c r="AM1551" s="460" t="str">
        <f>IF(AU1551="","",IF(OR(AZ1551=8,AZ1551=9),0,IF(OR(AW1551=3,AW1551=4,AW1551=5,AW1551=6),IF(LEFT(BH1551,1)="1",INDEX(係数_PM低減,MATCH(AY1551,【参考】排出係数!$AI$801:$AI$804,1),MATCH(BI1551,【参考】排出係数!$AL$798:$AO$798,1)),VLOOKUP(AU1551,INDEX((係数_バス貨物_ガソリン,係数_バス貨物_CNG,係数_バス貨物_軽油,係数_バス貨物_メタノール,係数_バス貨物_LPG),MATCH(AY1551,【参考】排出係数!$AI$4:$AI$671,1),1,BE1551):INDEX((係数_バス貨物_ガソリン,係数_バス貨物_CNG,係数_バス貨物_軽油,係数_バス貨物_メタノール,係数_バス貨物_LPG),MATCH(AY1551+1,【参考】排出係数!$AI$4:$AI$671,1)-1,5,BE1551),5,FALSE)),IF(AND(BE1551=3,LEFT(BF1551,1)="1"),0.055,VLOOKUP(AU1551,INDEX((係数_乗用_ガソリン,係数_乗用_CNG,係数_乗用_軽油,係数_乗用_メタノール,係数_乗用_LPG),1,1,BE1551):INDEX((係数_乗用_ガソリン,係数_乗用_CNG,係数_乗用_軽油,係数_乗用_メタノール,係数_乗用_LPG),125,5,BE1551),5,FALSE)))))</f>
        <v/>
      </c>
      <c r="AN1551" s="461" t="str">
        <f t="shared" si="882"/>
        <v/>
      </c>
      <c r="AO1551" s="462" t="str">
        <f t="shared" si="883"/>
        <v/>
      </c>
      <c r="AP1551" s="463" t="str">
        <f t="shared" si="884"/>
        <v/>
      </c>
      <c r="AQ1551" s="464"/>
      <c r="AR1551" s="619"/>
      <c r="AS1551" s="465" t="str">
        <f t="shared" si="892"/>
        <v/>
      </c>
      <c r="AT1551" s="465" t="str">
        <f t="shared" si="893"/>
        <v/>
      </c>
      <c r="AU1551" s="466" t="str">
        <f t="shared" si="894"/>
        <v/>
      </c>
      <c r="AV1551" s="467" t="str">
        <f t="shared" si="895"/>
        <v/>
      </c>
      <c r="AW1551" s="467" t="str">
        <f t="shared" si="896"/>
        <v/>
      </c>
      <c r="AX1551" s="467" t="str">
        <f t="shared" si="897"/>
        <v/>
      </c>
      <c r="AY1551" s="467" t="str">
        <f t="shared" si="898"/>
        <v/>
      </c>
      <c r="AZ1551" s="467" t="str">
        <f t="shared" si="899"/>
        <v/>
      </c>
      <c r="BA1551" s="468" t="str">
        <f>IF(AS1551="","",IF(OR(AU1551="",AU1551="-"),"－",IF(OR(AZ1551=8,AZ1551=9),"",IF(OR(AW1551=3,AW1551=4,AW1551=5,AW1551=6),VLOOKUP(AU1551,INDEX((係数_バス貨物_ガソリン,係数_バス貨物_CNG,係数_バス貨物_軽油,係数_バス貨物_メタノール,係数_バス貨物_LPG),MATCH(AY1551,【参考】排出係数!$AI$4:$AI$671,1),1,BE1551):INDEX((係数_バス貨物_ガソリン,係数_バス貨物_CNG,係数_バス貨物_軽油,係数_バス貨物_メタノール,係数_バス貨物_LPG),MATCH(AY1551+1,【参考】排出係数!$AI$4:$AI$671,1)-1,5,BE1551),2,FALSE),IF(OR(AW1551=1,AW1551=2),VLOOKUP(AU1551,INDEX((係数_乗用_ガソリン,係数_乗用_CNG,係数_乗用_軽油,係数_乗用_メタノール,係数_乗用_LPG),1,1,BE1551):INDEX((係数_乗用_ガソリン,係数_乗用_CNG,係数_乗用_軽油,係数_乗用_メタノール,係数_乗用_LPG),125,5,BE1551),2,FALSE))))))</f>
        <v/>
      </c>
      <c r="BB1551" s="468" t="str">
        <f>IF(T1551="","",IF(OR(AU1551="",AU1551="-"),"－",IF(OR(AZ1551=8,AZ1551=9),"",IF(OR(AW1551=3,AW1551=4,AW1551=5,AW1551=6),VLOOKUP(AU1551,INDEX((係数_バス貨物_ガソリン,係数_バス貨物_CNG,係数_バス貨物_軽油,係数_バス貨物_メタノール,係数_バス貨物_LPG),MATCH(AY1551,【参考】排出係数!$AI$4:$AI$671,1),1,BE1551):INDEX((係数_バス貨物_ガソリン,係数_バス貨物_CNG,係数_バス貨物_軽油,係数_バス貨物_メタノール,係数_バス貨物_LPG),MATCH(AY1551+1,【参考】排出係数!$AI$4:$AI$671,1)-1,5,BE1551),3,FALSE),IF(OR(AW1551=1,AW1551=2),VLOOKUP(AU1551,INDEX((係数_乗用_ガソリン,係数_乗用_CNG,係数_乗用_軽油,係数_乗用_メタノール,係数_乗用_LPG),1,1,BE1551):INDEX((係数_乗用_ガソリン,係数_乗用_CNG,係数_乗用_軽油,係数_乗用_メタノール,係数_乗用_LPG),125,5,BE1551),3,FALSE))))))</f>
        <v/>
      </c>
      <c r="BC1551" s="467" t="str">
        <f t="shared" si="900"/>
        <v/>
      </c>
      <c r="BD1551" s="567" t="str">
        <f t="shared" si="901"/>
        <v/>
      </c>
      <c r="BE1551" s="467" t="str">
        <f t="shared" si="902"/>
        <v/>
      </c>
      <c r="BF1551" s="469" t="str">
        <f t="shared" ca="1" si="903"/>
        <v/>
      </c>
      <c r="BG1551" s="469" t="str">
        <f t="shared" ca="1" si="904"/>
        <v/>
      </c>
      <c r="BH1551" s="467" t="str">
        <f t="shared" si="905"/>
        <v/>
      </c>
      <c r="BI1551" s="467" t="str">
        <f t="shared" ca="1" si="906"/>
        <v/>
      </c>
      <c r="BJ1551" s="469" t="str">
        <f t="shared" si="907"/>
        <v/>
      </c>
      <c r="BK1551" s="470" t="str">
        <f t="shared" si="891"/>
        <v/>
      </c>
      <c r="BL1551" s="775" t="str">
        <f t="shared" si="908"/>
        <v/>
      </c>
      <c r="BM1551" s="775" t="str">
        <f t="shared" si="909"/>
        <v/>
      </c>
    </row>
    <row r="1552" spans="1:65">
      <c r="A1552" s="473">
        <v>1496</v>
      </c>
      <c r="B1552" s="132"/>
      <c r="C1552" s="332"/>
      <c r="D1552" s="333"/>
      <c r="E1552" s="333"/>
      <c r="F1552" s="334"/>
      <c r="G1552" s="337"/>
      <c r="H1552" s="131"/>
      <c r="I1552" s="337"/>
      <c r="J1552" s="131"/>
      <c r="K1552" s="458" t="str">
        <f t="shared" si="872"/>
        <v/>
      </c>
      <c r="L1552" s="458">
        <f t="shared" si="873"/>
        <v>0</v>
      </c>
      <c r="M1552" s="458">
        <f t="shared" si="874"/>
        <v>0</v>
      </c>
      <c r="N1552" s="459" t="str">
        <f t="shared" si="885"/>
        <v/>
      </c>
      <c r="O1552" s="459" t="str">
        <f t="shared" si="886"/>
        <v/>
      </c>
      <c r="P1552" s="459" t="str">
        <f t="shared" si="887"/>
        <v/>
      </c>
      <c r="Q1552" s="459" t="str">
        <f t="shared" si="888"/>
        <v/>
      </c>
      <c r="R1552" s="459" t="str">
        <f t="shared" si="889"/>
        <v/>
      </c>
      <c r="S1552" s="459" t="str">
        <f t="shared" si="890"/>
        <v/>
      </c>
      <c r="T1552" s="566" t="str">
        <f t="shared" si="875"/>
        <v/>
      </c>
      <c r="U1552" s="702"/>
      <c r="V1552" s="132"/>
      <c r="W1552" s="133"/>
      <c r="X1552" s="134"/>
      <c r="Y1552" s="135"/>
      <c r="Z1552" s="137"/>
      <c r="AA1552" s="136"/>
      <c r="AB1552" s="566" t="str">
        <f t="shared" si="876"/>
        <v/>
      </c>
      <c r="AC1552" s="568" t="str">
        <f t="shared" si="877"/>
        <v/>
      </c>
      <c r="AD1552" s="137"/>
      <c r="AE1552" s="137"/>
      <c r="AF1552" s="138"/>
      <c r="AG1552" s="138"/>
      <c r="AH1552" s="592" t="str">
        <f t="shared" si="878"/>
        <v/>
      </c>
      <c r="AI1552" s="592" t="str">
        <f t="shared" si="879"/>
        <v/>
      </c>
      <c r="AJ1552" s="592" t="str">
        <f t="shared" si="880"/>
        <v/>
      </c>
      <c r="AK1552" s="460" t="str">
        <f>IF(AU1552="","",IF(OR(AZ1552=8,AZ1552=9),0,IF(OR(AW1552=3,AW1552=4,AW1552=5,AW1552=6),IF(LEFT(BF1552,1)="1",INDEX(係数_NOX・PM低減,MATCH(AY1552,【参考】排出係数!$AI$801:$AI$804,1),1),VLOOKUP(AU1552,INDEX((係数_バス貨物_ガソリン,係数_バス貨物_CNG,係数_バス貨物_軽油,係数_バス貨物_メタノール,係数_バス貨物_LPG),MATCH(AY1552,【参考】排出係数!$AI$4:$AI$671,1),1,BE1552):INDEX((係数_バス貨物_ガソリン,係数_バス貨物_CNG,係数_バス貨物_軽油,係数_バス貨物_メタノール,係数_バス貨物_LPG),MATCH(AY1552+1,【参考】排出係数!$AI$4:$AI$671,1)-1,5,BE1552),4,FALSE)),IF(AND(BE1552=3,LEFT(BF1552,1)="1"),0.48,VLOOKUP(AU1552,INDEX((係数_乗用_ガソリン,係数_乗用_CNG,係数_乗用_軽油,係数_乗用_メタノール,係数_乗用_LPG),1,1,BE1552):INDEX((係数_乗用_ガソリン,係数_乗用_CNG,係数_乗用_軽油,係数_乗用_メタノール,係数_乗用_LPG),125,5,BE1552),4,FALSE)))))</f>
        <v/>
      </c>
      <c r="AL1552" s="461" t="str">
        <f t="shared" si="881"/>
        <v/>
      </c>
      <c r="AM1552" s="460" t="str">
        <f>IF(AU1552="","",IF(OR(AZ1552=8,AZ1552=9),0,IF(OR(AW1552=3,AW1552=4,AW1552=5,AW1552=6),IF(LEFT(BH1552,1)="1",INDEX(係数_PM低減,MATCH(AY1552,【参考】排出係数!$AI$801:$AI$804,1),MATCH(BI1552,【参考】排出係数!$AL$798:$AO$798,1)),VLOOKUP(AU1552,INDEX((係数_バス貨物_ガソリン,係数_バス貨物_CNG,係数_バス貨物_軽油,係数_バス貨物_メタノール,係数_バス貨物_LPG),MATCH(AY1552,【参考】排出係数!$AI$4:$AI$671,1),1,BE1552):INDEX((係数_バス貨物_ガソリン,係数_バス貨物_CNG,係数_バス貨物_軽油,係数_バス貨物_メタノール,係数_バス貨物_LPG),MATCH(AY1552+1,【参考】排出係数!$AI$4:$AI$671,1)-1,5,BE1552),5,FALSE)),IF(AND(BE1552=3,LEFT(BF1552,1)="1"),0.055,VLOOKUP(AU1552,INDEX((係数_乗用_ガソリン,係数_乗用_CNG,係数_乗用_軽油,係数_乗用_メタノール,係数_乗用_LPG),1,1,BE1552):INDEX((係数_乗用_ガソリン,係数_乗用_CNG,係数_乗用_軽油,係数_乗用_メタノール,係数_乗用_LPG),125,5,BE1552),5,FALSE)))))</f>
        <v/>
      </c>
      <c r="AN1552" s="461" t="str">
        <f t="shared" si="882"/>
        <v/>
      </c>
      <c r="AO1552" s="462" t="str">
        <f t="shared" si="883"/>
        <v/>
      </c>
      <c r="AP1552" s="463" t="str">
        <f t="shared" si="884"/>
        <v/>
      </c>
      <c r="AQ1552" s="464"/>
      <c r="AR1552" s="619"/>
      <c r="AS1552" s="465" t="str">
        <f t="shared" si="892"/>
        <v/>
      </c>
      <c r="AT1552" s="465" t="str">
        <f t="shared" si="893"/>
        <v/>
      </c>
      <c r="AU1552" s="466" t="str">
        <f t="shared" si="894"/>
        <v/>
      </c>
      <c r="AV1552" s="467" t="str">
        <f t="shared" si="895"/>
        <v/>
      </c>
      <c r="AW1552" s="467" t="str">
        <f t="shared" si="896"/>
        <v/>
      </c>
      <c r="AX1552" s="467" t="str">
        <f t="shared" si="897"/>
        <v/>
      </c>
      <c r="AY1552" s="467" t="str">
        <f t="shared" si="898"/>
        <v/>
      </c>
      <c r="AZ1552" s="467" t="str">
        <f t="shared" si="899"/>
        <v/>
      </c>
      <c r="BA1552" s="468" t="str">
        <f>IF(AS1552="","",IF(OR(AU1552="",AU1552="-"),"－",IF(OR(AZ1552=8,AZ1552=9),"",IF(OR(AW1552=3,AW1552=4,AW1552=5,AW1552=6),VLOOKUP(AU1552,INDEX((係数_バス貨物_ガソリン,係数_バス貨物_CNG,係数_バス貨物_軽油,係数_バス貨物_メタノール,係数_バス貨物_LPG),MATCH(AY1552,【参考】排出係数!$AI$4:$AI$671,1),1,BE1552):INDEX((係数_バス貨物_ガソリン,係数_バス貨物_CNG,係数_バス貨物_軽油,係数_バス貨物_メタノール,係数_バス貨物_LPG),MATCH(AY1552+1,【参考】排出係数!$AI$4:$AI$671,1)-1,5,BE1552),2,FALSE),IF(OR(AW1552=1,AW1552=2),VLOOKUP(AU1552,INDEX((係数_乗用_ガソリン,係数_乗用_CNG,係数_乗用_軽油,係数_乗用_メタノール,係数_乗用_LPG),1,1,BE1552):INDEX((係数_乗用_ガソリン,係数_乗用_CNG,係数_乗用_軽油,係数_乗用_メタノール,係数_乗用_LPG),125,5,BE1552),2,FALSE))))))</f>
        <v/>
      </c>
      <c r="BB1552" s="468" t="str">
        <f>IF(T1552="","",IF(OR(AU1552="",AU1552="-"),"－",IF(OR(AZ1552=8,AZ1552=9),"",IF(OR(AW1552=3,AW1552=4,AW1552=5,AW1552=6),VLOOKUP(AU1552,INDEX((係数_バス貨物_ガソリン,係数_バス貨物_CNG,係数_バス貨物_軽油,係数_バス貨物_メタノール,係数_バス貨物_LPG),MATCH(AY1552,【参考】排出係数!$AI$4:$AI$671,1),1,BE1552):INDEX((係数_バス貨物_ガソリン,係数_バス貨物_CNG,係数_バス貨物_軽油,係数_バス貨物_メタノール,係数_バス貨物_LPG),MATCH(AY1552+1,【参考】排出係数!$AI$4:$AI$671,1)-1,5,BE1552),3,FALSE),IF(OR(AW1552=1,AW1552=2),VLOOKUP(AU1552,INDEX((係数_乗用_ガソリン,係数_乗用_CNG,係数_乗用_軽油,係数_乗用_メタノール,係数_乗用_LPG),1,1,BE1552):INDEX((係数_乗用_ガソリン,係数_乗用_CNG,係数_乗用_軽油,係数_乗用_メタノール,係数_乗用_LPG),125,5,BE1552),3,FALSE))))))</f>
        <v/>
      </c>
      <c r="BC1552" s="467" t="str">
        <f t="shared" si="900"/>
        <v/>
      </c>
      <c r="BD1552" s="567" t="str">
        <f t="shared" si="901"/>
        <v/>
      </c>
      <c r="BE1552" s="467" t="str">
        <f t="shared" si="902"/>
        <v/>
      </c>
      <c r="BF1552" s="469" t="str">
        <f t="shared" ca="1" si="903"/>
        <v/>
      </c>
      <c r="BG1552" s="469" t="str">
        <f t="shared" ca="1" si="904"/>
        <v/>
      </c>
      <c r="BH1552" s="467" t="str">
        <f t="shared" si="905"/>
        <v/>
      </c>
      <c r="BI1552" s="467" t="str">
        <f t="shared" ca="1" si="906"/>
        <v/>
      </c>
      <c r="BJ1552" s="469" t="str">
        <f t="shared" si="907"/>
        <v/>
      </c>
      <c r="BK1552" s="470" t="str">
        <f t="shared" si="891"/>
        <v/>
      </c>
      <c r="BL1552" s="775" t="str">
        <f t="shared" si="908"/>
        <v/>
      </c>
      <c r="BM1552" s="775" t="str">
        <f t="shared" si="909"/>
        <v/>
      </c>
    </row>
    <row r="1553" spans="1:65">
      <c r="A1553" s="473">
        <v>1497</v>
      </c>
      <c r="B1553" s="132"/>
      <c r="C1553" s="332"/>
      <c r="D1553" s="333"/>
      <c r="E1553" s="333"/>
      <c r="F1553" s="334"/>
      <c r="G1553" s="337"/>
      <c r="H1553" s="131"/>
      <c r="I1553" s="337"/>
      <c r="J1553" s="131"/>
      <c r="K1553" s="458" t="str">
        <f t="shared" si="872"/>
        <v/>
      </c>
      <c r="L1553" s="458">
        <f t="shared" si="873"/>
        <v>0</v>
      </c>
      <c r="M1553" s="458">
        <f t="shared" si="874"/>
        <v>0</v>
      </c>
      <c r="N1553" s="459" t="str">
        <f t="shared" si="885"/>
        <v/>
      </c>
      <c r="O1553" s="459" t="str">
        <f t="shared" si="886"/>
        <v/>
      </c>
      <c r="P1553" s="459" t="str">
        <f t="shared" si="887"/>
        <v/>
      </c>
      <c r="Q1553" s="459" t="str">
        <f t="shared" si="888"/>
        <v/>
      </c>
      <c r="R1553" s="459" t="str">
        <f t="shared" si="889"/>
        <v/>
      </c>
      <c r="S1553" s="459" t="str">
        <f t="shared" si="890"/>
        <v/>
      </c>
      <c r="T1553" s="566" t="str">
        <f t="shared" si="875"/>
        <v/>
      </c>
      <c r="U1553" s="702"/>
      <c r="V1553" s="132"/>
      <c r="W1553" s="133"/>
      <c r="X1553" s="134"/>
      <c r="Y1553" s="135"/>
      <c r="Z1553" s="137"/>
      <c r="AA1553" s="136"/>
      <c r="AB1553" s="566" t="str">
        <f t="shared" si="876"/>
        <v/>
      </c>
      <c r="AC1553" s="568" t="str">
        <f t="shared" si="877"/>
        <v/>
      </c>
      <c r="AD1553" s="137"/>
      <c r="AE1553" s="137"/>
      <c r="AF1553" s="138"/>
      <c r="AG1553" s="138"/>
      <c r="AH1553" s="592" t="str">
        <f t="shared" si="878"/>
        <v/>
      </c>
      <c r="AI1553" s="592" t="str">
        <f t="shared" si="879"/>
        <v/>
      </c>
      <c r="AJ1553" s="592" t="str">
        <f t="shared" si="880"/>
        <v/>
      </c>
      <c r="AK1553" s="460" t="str">
        <f>IF(AU1553="","",IF(OR(AZ1553=8,AZ1553=9),0,IF(OR(AW1553=3,AW1553=4,AW1553=5,AW1553=6),IF(LEFT(BF1553,1)="1",INDEX(係数_NOX・PM低減,MATCH(AY1553,【参考】排出係数!$AI$801:$AI$804,1),1),VLOOKUP(AU1553,INDEX((係数_バス貨物_ガソリン,係数_バス貨物_CNG,係数_バス貨物_軽油,係数_バス貨物_メタノール,係数_バス貨物_LPG),MATCH(AY1553,【参考】排出係数!$AI$4:$AI$671,1),1,BE1553):INDEX((係数_バス貨物_ガソリン,係数_バス貨物_CNG,係数_バス貨物_軽油,係数_バス貨物_メタノール,係数_バス貨物_LPG),MATCH(AY1553+1,【参考】排出係数!$AI$4:$AI$671,1)-1,5,BE1553),4,FALSE)),IF(AND(BE1553=3,LEFT(BF1553,1)="1"),0.48,VLOOKUP(AU1553,INDEX((係数_乗用_ガソリン,係数_乗用_CNG,係数_乗用_軽油,係数_乗用_メタノール,係数_乗用_LPG),1,1,BE1553):INDEX((係数_乗用_ガソリン,係数_乗用_CNG,係数_乗用_軽油,係数_乗用_メタノール,係数_乗用_LPG),125,5,BE1553),4,FALSE)))))</f>
        <v/>
      </c>
      <c r="AL1553" s="461" t="str">
        <f t="shared" si="881"/>
        <v/>
      </c>
      <c r="AM1553" s="460" t="str">
        <f>IF(AU1553="","",IF(OR(AZ1553=8,AZ1553=9),0,IF(OR(AW1553=3,AW1553=4,AW1553=5,AW1553=6),IF(LEFT(BH1553,1)="1",INDEX(係数_PM低減,MATCH(AY1553,【参考】排出係数!$AI$801:$AI$804,1),MATCH(BI1553,【参考】排出係数!$AL$798:$AO$798,1)),VLOOKUP(AU1553,INDEX((係数_バス貨物_ガソリン,係数_バス貨物_CNG,係数_バス貨物_軽油,係数_バス貨物_メタノール,係数_バス貨物_LPG),MATCH(AY1553,【参考】排出係数!$AI$4:$AI$671,1),1,BE1553):INDEX((係数_バス貨物_ガソリン,係数_バス貨物_CNG,係数_バス貨物_軽油,係数_バス貨物_メタノール,係数_バス貨物_LPG),MATCH(AY1553+1,【参考】排出係数!$AI$4:$AI$671,1)-1,5,BE1553),5,FALSE)),IF(AND(BE1553=3,LEFT(BF1553,1)="1"),0.055,VLOOKUP(AU1553,INDEX((係数_乗用_ガソリン,係数_乗用_CNG,係数_乗用_軽油,係数_乗用_メタノール,係数_乗用_LPG),1,1,BE1553):INDEX((係数_乗用_ガソリン,係数_乗用_CNG,係数_乗用_軽油,係数_乗用_メタノール,係数_乗用_LPG),125,5,BE1553),5,FALSE)))))</f>
        <v/>
      </c>
      <c r="AN1553" s="461" t="str">
        <f t="shared" si="882"/>
        <v/>
      </c>
      <c r="AO1553" s="462" t="str">
        <f t="shared" si="883"/>
        <v/>
      </c>
      <c r="AP1553" s="463" t="str">
        <f t="shared" si="884"/>
        <v/>
      </c>
      <c r="AQ1553" s="464"/>
      <c r="AR1553" s="619"/>
      <c r="AS1553" s="465" t="str">
        <f t="shared" si="892"/>
        <v/>
      </c>
      <c r="AT1553" s="465" t="str">
        <f t="shared" si="893"/>
        <v/>
      </c>
      <c r="AU1553" s="466" t="str">
        <f t="shared" si="894"/>
        <v/>
      </c>
      <c r="AV1553" s="467" t="str">
        <f t="shared" si="895"/>
        <v/>
      </c>
      <c r="AW1553" s="467" t="str">
        <f t="shared" si="896"/>
        <v/>
      </c>
      <c r="AX1553" s="467" t="str">
        <f t="shared" si="897"/>
        <v/>
      </c>
      <c r="AY1553" s="467" t="str">
        <f t="shared" si="898"/>
        <v/>
      </c>
      <c r="AZ1553" s="467" t="str">
        <f t="shared" si="899"/>
        <v/>
      </c>
      <c r="BA1553" s="468" t="str">
        <f>IF(AS1553="","",IF(OR(AU1553="",AU1553="-"),"－",IF(OR(AZ1553=8,AZ1553=9),"",IF(OR(AW1553=3,AW1553=4,AW1553=5,AW1553=6),VLOOKUP(AU1553,INDEX((係数_バス貨物_ガソリン,係数_バス貨物_CNG,係数_バス貨物_軽油,係数_バス貨物_メタノール,係数_バス貨物_LPG),MATCH(AY1553,【参考】排出係数!$AI$4:$AI$671,1),1,BE1553):INDEX((係数_バス貨物_ガソリン,係数_バス貨物_CNG,係数_バス貨物_軽油,係数_バス貨物_メタノール,係数_バス貨物_LPG),MATCH(AY1553+1,【参考】排出係数!$AI$4:$AI$671,1)-1,5,BE1553),2,FALSE),IF(OR(AW1553=1,AW1553=2),VLOOKUP(AU1553,INDEX((係数_乗用_ガソリン,係数_乗用_CNG,係数_乗用_軽油,係数_乗用_メタノール,係数_乗用_LPG),1,1,BE1553):INDEX((係数_乗用_ガソリン,係数_乗用_CNG,係数_乗用_軽油,係数_乗用_メタノール,係数_乗用_LPG),125,5,BE1553),2,FALSE))))))</f>
        <v/>
      </c>
      <c r="BB1553" s="468" t="str">
        <f>IF(T1553="","",IF(OR(AU1553="",AU1553="-"),"－",IF(OR(AZ1553=8,AZ1553=9),"",IF(OR(AW1553=3,AW1553=4,AW1553=5,AW1553=6),VLOOKUP(AU1553,INDEX((係数_バス貨物_ガソリン,係数_バス貨物_CNG,係数_バス貨物_軽油,係数_バス貨物_メタノール,係数_バス貨物_LPG),MATCH(AY1553,【参考】排出係数!$AI$4:$AI$671,1),1,BE1553):INDEX((係数_バス貨物_ガソリン,係数_バス貨物_CNG,係数_バス貨物_軽油,係数_バス貨物_メタノール,係数_バス貨物_LPG),MATCH(AY1553+1,【参考】排出係数!$AI$4:$AI$671,1)-1,5,BE1553),3,FALSE),IF(OR(AW1553=1,AW1553=2),VLOOKUP(AU1553,INDEX((係数_乗用_ガソリン,係数_乗用_CNG,係数_乗用_軽油,係数_乗用_メタノール,係数_乗用_LPG),1,1,BE1553):INDEX((係数_乗用_ガソリン,係数_乗用_CNG,係数_乗用_軽油,係数_乗用_メタノール,係数_乗用_LPG),125,5,BE1553),3,FALSE))))))</f>
        <v/>
      </c>
      <c r="BC1553" s="467" t="str">
        <f t="shared" si="900"/>
        <v/>
      </c>
      <c r="BD1553" s="567" t="str">
        <f t="shared" si="901"/>
        <v/>
      </c>
      <c r="BE1553" s="467" t="str">
        <f t="shared" si="902"/>
        <v/>
      </c>
      <c r="BF1553" s="469" t="str">
        <f t="shared" ca="1" si="903"/>
        <v/>
      </c>
      <c r="BG1553" s="469" t="str">
        <f t="shared" ca="1" si="904"/>
        <v/>
      </c>
      <c r="BH1553" s="467" t="str">
        <f t="shared" si="905"/>
        <v/>
      </c>
      <c r="BI1553" s="467" t="str">
        <f t="shared" ca="1" si="906"/>
        <v/>
      </c>
      <c r="BJ1553" s="469" t="str">
        <f t="shared" si="907"/>
        <v/>
      </c>
      <c r="BK1553" s="470" t="str">
        <f t="shared" si="891"/>
        <v/>
      </c>
      <c r="BL1553" s="775" t="str">
        <f t="shared" si="908"/>
        <v/>
      </c>
      <c r="BM1553" s="775" t="str">
        <f t="shared" si="909"/>
        <v/>
      </c>
    </row>
    <row r="1554" spans="1:65">
      <c r="A1554" s="473">
        <v>1498</v>
      </c>
      <c r="B1554" s="132"/>
      <c r="C1554" s="332"/>
      <c r="D1554" s="333"/>
      <c r="E1554" s="333"/>
      <c r="F1554" s="334"/>
      <c r="G1554" s="337"/>
      <c r="H1554" s="131"/>
      <c r="I1554" s="337"/>
      <c r="J1554" s="131"/>
      <c r="K1554" s="458" t="str">
        <f t="shared" si="872"/>
        <v/>
      </c>
      <c r="L1554" s="458">
        <f t="shared" si="873"/>
        <v>0</v>
      </c>
      <c r="M1554" s="458">
        <f t="shared" si="874"/>
        <v>0</v>
      </c>
      <c r="N1554" s="459" t="str">
        <f t="shared" si="885"/>
        <v/>
      </c>
      <c r="O1554" s="459" t="str">
        <f t="shared" si="886"/>
        <v/>
      </c>
      <c r="P1554" s="459" t="str">
        <f t="shared" si="887"/>
        <v/>
      </c>
      <c r="Q1554" s="459" t="str">
        <f t="shared" si="888"/>
        <v/>
      </c>
      <c r="R1554" s="459" t="str">
        <f t="shared" si="889"/>
        <v/>
      </c>
      <c r="S1554" s="459" t="str">
        <f t="shared" si="890"/>
        <v/>
      </c>
      <c r="T1554" s="566" t="str">
        <f t="shared" si="875"/>
        <v/>
      </c>
      <c r="U1554" s="702"/>
      <c r="V1554" s="132"/>
      <c r="W1554" s="133"/>
      <c r="X1554" s="134"/>
      <c r="Y1554" s="135"/>
      <c r="Z1554" s="137"/>
      <c r="AA1554" s="136"/>
      <c r="AB1554" s="566" t="str">
        <f t="shared" si="876"/>
        <v/>
      </c>
      <c r="AC1554" s="568" t="str">
        <f t="shared" si="877"/>
        <v/>
      </c>
      <c r="AD1554" s="137"/>
      <c r="AE1554" s="137"/>
      <c r="AF1554" s="138"/>
      <c r="AG1554" s="138"/>
      <c r="AH1554" s="592" t="str">
        <f t="shared" si="878"/>
        <v/>
      </c>
      <c r="AI1554" s="592" t="str">
        <f t="shared" si="879"/>
        <v/>
      </c>
      <c r="AJ1554" s="592" t="str">
        <f t="shared" si="880"/>
        <v/>
      </c>
      <c r="AK1554" s="460" t="str">
        <f>IF(AU1554="","",IF(OR(AZ1554=8,AZ1554=9),0,IF(OR(AW1554=3,AW1554=4,AW1554=5,AW1554=6),IF(LEFT(BF1554,1)="1",INDEX(係数_NOX・PM低減,MATCH(AY1554,【参考】排出係数!$AI$801:$AI$804,1),1),VLOOKUP(AU1554,INDEX((係数_バス貨物_ガソリン,係数_バス貨物_CNG,係数_バス貨物_軽油,係数_バス貨物_メタノール,係数_バス貨物_LPG),MATCH(AY1554,【参考】排出係数!$AI$4:$AI$671,1),1,BE1554):INDEX((係数_バス貨物_ガソリン,係数_バス貨物_CNG,係数_バス貨物_軽油,係数_バス貨物_メタノール,係数_バス貨物_LPG),MATCH(AY1554+1,【参考】排出係数!$AI$4:$AI$671,1)-1,5,BE1554),4,FALSE)),IF(AND(BE1554=3,LEFT(BF1554,1)="1"),0.48,VLOOKUP(AU1554,INDEX((係数_乗用_ガソリン,係数_乗用_CNG,係数_乗用_軽油,係数_乗用_メタノール,係数_乗用_LPG),1,1,BE1554):INDEX((係数_乗用_ガソリン,係数_乗用_CNG,係数_乗用_軽油,係数_乗用_メタノール,係数_乗用_LPG),125,5,BE1554),4,FALSE)))))</f>
        <v/>
      </c>
      <c r="AL1554" s="461" t="str">
        <f t="shared" si="881"/>
        <v/>
      </c>
      <c r="AM1554" s="460" t="str">
        <f>IF(AU1554="","",IF(OR(AZ1554=8,AZ1554=9),0,IF(OR(AW1554=3,AW1554=4,AW1554=5,AW1554=6),IF(LEFT(BH1554,1)="1",INDEX(係数_PM低減,MATCH(AY1554,【参考】排出係数!$AI$801:$AI$804,1),MATCH(BI1554,【参考】排出係数!$AL$798:$AO$798,1)),VLOOKUP(AU1554,INDEX((係数_バス貨物_ガソリン,係数_バス貨物_CNG,係数_バス貨物_軽油,係数_バス貨物_メタノール,係数_バス貨物_LPG),MATCH(AY1554,【参考】排出係数!$AI$4:$AI$671,1),1,BE1554):INDEX((係数_バス貨物_ガソリン,係数_バス貨物_CNG,係数_バス貨物_軽油,係数_バス貨物_メタノール,係数_バス貨物_LPG),MATCH(AY1554+1,【参考】排出係数!$AI$4:$AI$671,1)-1,5,BE1554),5,FALSE)),IF(AND(BE1554=3,LEFT(BF1554,1)="1"),0.055,VLOOKUP(AU1554,INDEX((係数_乗用_ガソリン,係数_乗用_CNG,係数_乗用_軽油,係数_乗用_メタノール,係数_乗用_LPG),1,1,BE1554):INDEX((係数_乗用_ガソリン,係数_乗用_CNG,係数_乗用_軽油,係数_乗用_メタノール,係数_乗用_LPG),125,5,BE1554),5,FALSE)))))</f>
        <v/>
      </c>
      <c r="AN1554" s="461" t="str">
        <f t="shared" si="882"/>
        <v/>
      </c>
      <c r="AO1554" s="462" t="str">
        <f t="shared" si="883"/>
        <v/>
      </c>
      <c r="AP1554" s="463" t="str">
        <f t="shared" si="884"/>
        <v/>
      </c>
      <c r="AQ1554" s="464"/>
      <c r="AR1554" s="619"/>
      <c r="AS1554" s="465" t="str">
        <f t="shared" si="892"/>
        <v/>
      </c>
      <c r="AT1554" s="465" t="str">
        <f t="shared" si="893"/>
        <v/>
      </c>
      <c r="AU1554" s="466" t="str">
        <f t="shared" si="894"/>
        <v/>
      </c>
      <c r="AV1554" s="467" t="str">
        <f t="shared" si="895"/>
        <v/>
      </c>
      <c r="AW1554" s="467" t="str">
        <f t="shared" si="896"/>
        <v/>
      </c>
      <c r="AX1554" s="467" t="str">
        <f t="shared" si="897"/>
        <v/>
      </c>
      <c r="AY1554" s="467" t="str">
        <f t="shared" si="898"/>
        <v/>
      </c>
      <c r="AZ1554" s="467" t="str">
        <f t="shared" si="899"/>
        <v/>
      </c>
      <c r="BA1554" s="468" t="str">
        <f>IF(AS1554="","",IF(OR(AU1554="",AU1554="-"),"－",IF(OR(AZ1554=8,AZ1554=9),"",IF(OR(AW1554=3,AW1554=4,AW1554=5,AW1554=6),VLOOKUP(AU1554,INDEX((係数_バス貨物_ガソリン,係数_バス貨物_CNG,係数_バス貨物_軽油,係数_バス貨物_メタノール,係数_バス貨物_LPG),MATCH(AY1554,【参考】排出係数!$AI$4:$AI$671,1),1,BE1554):INDEX((係数_バス貨物_ガソリン,係数_バス貨物_CNG,係数_バス貨物_軽油,係数_バス貨物_メタノール,係数_バス貨物_LPG),MATCH(AY1554+1,【参考】排出係数!$AI$4:$AI$671,1)-1,5,BE1554),2,FALSE),IF(OR(AW1554=1,AW1554=2),VLOOKUP(AU1554,INDEX((係数_乗用_ガソリン,係数_乗用_CNG,係数_乗用_軽油,係数_乗用_メタノール,係数_乗用_LPG),1,1,BE1554):INDEX((係数_乗用_ガソリン,係数_乗用_CNG,係数_乗用_軽油,係数_乗用_メタノール,係数_乗用_LPG),125,5,BE1554),2,FALSE))))))</f>
        <v/>
      </c>
      <c r="BB1554" s="468" t="str">
        <f>IF(T1554="","",IF(OR(AU1554="",AU1554="-"),"－",IF(OR(AZ1554=8,AZ1554=9),"",IF(OR(AW1554=3,AW1554=4,AW1554=5,AW1554=6),VLOOKUP(AU1554,INDEX((係数_バス貨物_ガソリン,係数_バス貨物_CNG,係数_バス貨物_軽油,係数_バス貨物_メタノール,係数_バス貨物_LPG),MATCH(AY1554,【参考】排出係数!$AI$4:$AI$671,1),1,BE1554):INDEX((係数_バス貨物_ガソリン,係数_バス貨物_CNG,係数_バス貨物_軽油,係数_バス貨物_メタノール,係数_バス貨物_LPG),MATCH(AY1554+1,【参考】排出係数!$AI$4:$AI$671,1)-1,5,BE1554),3,FALSE),IF(OR(AW1554=1,AW1554=2),VLOOKUP(AU1554,INDEX((係数_乗用_ガソリン,係数_乗用_CNG,係数_乗用_軽油,係数_乗用_メタノール,係数_乗用_LPG),1,1,BE1554):INDEX((係数_乗用_ガソリン,係数_乗用_CNG,係数_乗用_軽油,係数_乗用_メタノール,係数_乗用_LPG),125,5,BE1554),3,FALSE))))))</f>
        <v/>
      </c>
      <c r="BC1554" s="467" t="str">
        <f t="shared" si="900"/>
        <v/>
      </c>
      <c r="BD1554" s="567" t="str">
        <f t="shared" si="901"/>
        <v/>
      </c>
      <c r="BE1554" s="467" t="str">
        <f t="shared" si="902"/>
        <v/>
      </c>
      <c r="BF1554" s="469" t="str">
        <f t="shared" ca="1" si="903"/>
        <v/>
      </c>
      <c r="BG1554" s="469" t="str">
        <f t="shared" ca="1" si="904"/>
        <v/>
      </c>
      <c r="BH1554" s="467" t="str">
        <f t="shared" si="905"/>
        <v/>
      </c>
      <c r="BI1554" s="467" t="str">
        <f t="shared" ca="1" si="906"/>
        <v/>
      </c>
      <c r="BJ1554" s="469" t="str">
        <f t="shared" si="907"/>
        <v/>
      </c>
      <c r="BK1554" s="470" t="str">
        <f t="shared" si="891"/>
        <v/>
      </c>
      <c r="BL1554" s="775" t="str">
        <f t="shared" si="908"/>
        <v/>
      </c>
      <c r="BM1554" s="775" t="str">
        <f t="shared" si="909"/>
        <v/>
      </c>
    </row>
    <row r="1555" spans="1:65">
      <c r="A1555" s="473">
        <v>1499</v>
      </c>
      <c r="B1555" s="132"/>
      <c r="C1555" s="332"/>
      <c r="D1555" s="333"/>
      <c r="E1555" s="333"/>
      <c r="F1555" s="334"/>
      <c r="G1555" s="337"/>
      <c r="H1555" s="131"/>
      <c r="I1555" s="337"/>
      <c r="J1555" s="131"/>
      <c r="K1555" s="458" t="str">
        <f t="shared" si="872"/>
        <v/>
      </c>
      <c r="L1555" s="458">
        <f t="shared" si="873"/>
        <v>0</v>
      </c>
      <c r="M1555" s="458">
        <f t="shared" si="874"/>
        <v>0</v>
      </c>
      <c r="N1555" s="459" t="str">
        <f t="shared" si="885"/>
        <v/>
      </c>
      <c r="O1555" s="459" t="str">
        <f t="shared" si="886"/>
        <v/>
      </c>
      <c r="P1555" s="459" t="str">
        <f t="shared" si="887"/>
        <v/>
      </c>
      <c r="Q1555" s="459" t="str">
        <f t="shared" si="888"/>
        <v/>
      </c>
      <c r="R1555" s="459" t="str">
        <f t="shared" si="889"/>
        <v/>
      </c>
      <c r="S1555" s="459" t="str">
        <f t="shared" si="890"/>
        <v/>
      </c>
      <c r="T1555" s="566" t="str">
        <f t="shared" si="875"/>
        <v/>
      </c>
      <c r="U1555" s="702"/>
      <c r="V1555" s="132"/>
      <c r="W1555" s="133"/>
      <c r="X1555" s="134"/>
      <c r="Y1555" s="135"/>
      <c r="Z1555" s="137"/>
      <c r="AA1555" s="136"/>
      <c r="AB1555" s="566" t="str">
        <f t="shared" si="876"/>
        <v/>
      </c>
      <c r="AC1555" s="568" t="str">
        <f t="shared" si="877"/>
        <v/>
      </c>
      <c r="AD1555" s="137"/>
      <c r="AE1555" s="137"/>
      <c r="AF1555" s="138"/>
      <c r="AG1555" s="138"/>
      <c r="AH1555" s="592" t="str">
        <f t="shared" si="878"/>
        <v/>
      </c>
      <c r="AI1555" s="592" t="str">
        <f t="shared" si="879"/>
        <v/>
      </c>
      <c r="AJ1555" s="592" t="str">
        <f t="shared" si="880"/>
        <v/>
      </c>
      <c r="AK1555" s="460" t="str">
        <f>IF(AU1555="","",IF(OR(AZ1555=8,AZ1555=9),0,IF(OR(AW1555=3,AW1555=4,AW1555=5,AW1555=6),IF(LEFT(BF1555,1)="1",INDEX(係数_NOX・PM低減,MATCH(AY1555,【参考】排出係数!$AI$801:$AI$804,1),1),VLOOKUP(AU1555,INDEX((係数_バス貨物_ガソリン,係数_バス貨物_CNG,係数_バス貨物_軽油,係数_バス貨物_メタノール,係数_バス貨物_LPG),MATCH(AY1555,【参考】排出係数!$AI$4:$AI$671,1),1,BE1555):INDEX((係数_バス貨物_ガソリン,係数_バス貨物_CNG,係数_バス貨物_軽油,係数_バス貨物_メタノール,係数_バス貨物_LPG),MATCH(AY1555+1,【参考】排出係数!$AI$4:$AI$671,1)-1,5,BE1555),4,FALSE)),IF(AND(BE1555=3,LEFT(BF1555,1)="1"),0.48,VLOOKUP(AU1555,INDEX((係数_乗用_ガソリン,係数_乗用_CNG,係数_乗用_軽油,係数_乗用_メタノール,係数_乗用_LPG),1,1,BE1555):INDEX((係数_乗用_ガソリン,係数_乗用_CNG,係数_乗用_軽油,係数_乗用_メタノール,係数_乗用_LPG),125,5,BE1555),4,FALSE)))))</f>
        <v/>
      </c>
      <c r="AL1555" s="461" t="str">
        <f t="shared" si="881"/>
        <v/>
      </c>
      <c r="AM1555" s="460" t="str">
        <f>IF(AU1555="","",IF(OR(AZ1555=8,AZ1555=9),0,IF(OR(AW1555=3,AW1555=4,AW1555=5,AW1555=6),IF(LEFT(BH1555,1)="1",INDEX(係数_PM低減,MATCH(AY1555,【参考】排出係数!$AI$801:$AI$804,1),MATCH(BI1555,【参考】排出係数!$AL$798:$AO$798,1)),VLOOKUP(AU1555,INDEX((係数_バス貨物_ガソリン,係数_バス貨物_CNG,係数_バス貨物_軽油,係数_バス貨物_メタノール,係数_バス貨物_LPG),MATCH(AY1555,【参考】排出係数!$AI$4:$AI$671,1),1,BE1555):INDEX((係数_バス貨物_ガソリン,係数_バス貨物_CNG,係数_バス貨物_軽油,係数_バス貨物_メタノール,係数_バス貨物_LPG),MATCH(AY1555+1,【参考】排出係数!$AI$4:$AI$671,1)-1,5,BE1555),5,FALSE)),IF(AND(BE1555=3,LEFT(BF1555,1)="1"),0.055,VLOOKUP(AU1555,INDEX((係数_乗用_ガソリン,係数_乗用_CNG,係数_乗用_軽油,係数_乗用_メタノール,係数_乗用_LPG),1,1,BE1555):INDEX((係数_乗用_ガソリン,係数_乗用_CNG,係数_乗用_軽油,係数_乗用_メタノール,係数_乗用_LPG),125,5,BE1555),5,FALSE)))))</f>
        <v/>
      </c>
      <c r="AN1555" s="461" t="str">
        <f t="shared" si="882"/>
        <v/>
      </c>
      <c r="AO1555" s="462" t="str">
        <f t="shared" si="883"/>
        <v/>
      </c>
      <c r="AP1555" s="463" t="str">
        <f t="shared" si="884"/>
        <v/>
      </c>
      <c r="AQ1555" s="464"/>
      <c r="AR1555" s="619"/>
      <c r="AS1555" s="465" t="str">
        <f t="shared" si="892"/>
        <v/>
      </c>
      <c r="AT1555" s="465" t="str">
        <f t="shared" si="893"/>
        <v/>
      </c>
      <c r="AU1555" s="466" t="str">
        <f t="shared" si="894"/>
        <v/>
      </c>
      <c r="AV1555" s="467" t="str">
        <f t="shared" si="895"/>
        <v/>
      </c>
      <c r="AW1555" s="467" t="str">
        <f t="shared" si="896"/>
        <v/>
      </c>
      <c r="AX1555" s="467" t="str">
        <f t="shared" si="897"/>
        <v/>
      </c>
      <c r="AY1555" s="467" t="str">
        <f t="shared" si="898"/>
        <v/>
      </c>
      <c r="AZ1555" s="467" t="str">
        <f t="shared" si="899"/>
        <v/>
      </c>
      <c r="BA1555" s="468" t="str">
        <f>IF(AS1555="","",IF(OR(AU1555="",AU1555="-"),"－",IF(OR(AZ1555=8,AZ1555=9),"",IF(OR(AW1555=3,AW1555=4,AW1555=5,AW1555=6),VLOOKUP(AU1555,INDEX((係数_バス貨物_ガソリン,係数_バス貨物_CNG,係数_バス貨物_軽油,係数_バス貨物_メタノール,係数_バス貨物_LPG),MATCH(AY1555,【参考】排出係数!$AI$4:$AI$671,1),1,BE1555):INDEX((係数_バス貨物_ガソリン,係数_バス貨物_CNG,係数_バス貨物_軽油,係数_バス貨物_メタノール,係数_バス貨物_LPG),MATCH(AY1555+1,【参考】排出係数!$AI$4:$AI$671,1)-1,5,BE1555),2,FALSE),IF(OR(AW1555=1,AW1555=2),VLOOKUP(AU1555,INDEX((係数_乗用_ガソリン,係数_乗用_CNG,係数_乗用_軽油,係数_乗用_メタノール,係数_乗用_LPG),1,1,BE1555):INDEX((係数_乗用_ガソリン,係数_乗用_CNG,係数_乗用_軽油,係数_乗用_メタノール,係数_乗用_LPG),125,5,BE1555),2,FALSE))))))</f>
        <v/>
      </c>
      <c r="BB1555" s="468" t="str">
        <f>IF(T1555="","",IF(OR(AU1555="",AU1555="-"),"－",IF(OR(AZ1555=8,AZ1555=9),"",IF(OR(AW1555=3,AW1555=4,AW1555=5,AW1555=6),VLOOKUP(AU1555,INDEX((係数_バス貨物_ガソリン,係数_バス貨物_CNG,係数_バス貨物_軽油,係数_バス貨物_メタノール,係数_バス貨物_LPG),MATCH(AY1555,【参考】排出係数!$AI$4:$AI$671,1),1,BE1555):INDEX((係数_バス貨物_ガソリン,係数_バス貨物_CNG,係数_バス貨物_軽油,係数_バス貨物_メタノール,係数_バス貨物_LPG),MATCH(AY1555+1,【参考】排出係数!$AI$4:$AI$671,1)-1,5,BE1555),3,FALSE),IF(OR(AW1555=1,AW1555=2),VLOOKUP(AU1555,INDEX((係数_乗用_ガソリン,係数_乗用_CNG,係数_乗用_軽油,係数_乗用_メタノール,係数_乗用_LPG),1,1,BE1555):INDEX((係数_乗用_ガソリン,係数_乗用_CNG,係数_乗用_軽油,係数_乗用_メタノール,係数_乗用_LPG),125,5,BE1555),3,FALSE))))))</f>
        <v/>
      </c>
      <c r="BC1555" s="467" t="str">
        <f t="shared" si="900"/>
        <v/>
      </c>
      <c r="BD1555" s="567" t="str">
        <f t="shared" si="901"/>
        <v/>
      </c>
      <c r="BE1555" s="467" t="str">
        <f t="shared" si="902"/>
        <v/>
      </c>
      <c r="BF1555" s="469" t="str">
        <f t="shared" ca="1" si="903"/>
        <v/>
      </c>
      <c r="BG1555" s="469" t="str">
        <f t="shared" ca="1" si="904"/>
        <v/>
      </c>
      <c r="BH1555" s="467" t="str">
        <f t="shared" si="905"/>
        <v/>
      </c>
      <c r="BI1555" s="467" t="str">
        <f t="shared" ca="1" si="906"/>
        <v/>
      </c>
      <c r="BJ1555" s="469" t="str">
        <f t="shared" si="907"/>
        <v/>
      </c>
      <c r="BK1555" s="470" t="str">
        <f t="shared" si="891"/>
        <v/>
      </c>
      <c r="BL1555" s="775" t="str">
        <f t="shared" si="908"/>
        <v/>
      </c>
      <c r="BM1555" s="775" t="str">
        <f t="shared" si="909"/>
        <v/>
      </c>
    </row>
    <row r="1556" spans="1:65">
      <c r="A1556" s="473">
        <v>1500</v>
      </c>
      <c r="B1556" s="132"/>
      <c r="C1556" s="332"/>
      <c r="D1556" s="333"/>
      <c r="E1556" s="333"/>
      <c r="F1556" s="334"/>
      <c r="G1556" s="337"/>
      <c r="H1556" s="131"/>
      <c r="I1556" s="337"/>
      <c r="J1556" s="131"/>
      <c r="K1556" s="458" t="str">
        <f t="shared" si="872"/>
        <v/>
      </c>
      <c r="L1556" s="458">
        <f t="shared" si="873"/>
        <v>0</v>
      </c>
      <c r="M1556" s="458">
        <f t="shared" si="874"/>
        <v>0</v>
      </c>
      <c r="N1556" s="459" t="str">
        <f t="shared" si="885"/>
        <v/>
      </c>
      <c r="O1556" s="459" t="str">
        <f t="shared" si="886"/>
        <v/>
      </c>
      <c r="P1556" s="459" t="str">
        <f t="shared" si="887"/>
        <v/>
      </c>
      <c r="Q1556" s="459" t="str">
        <f t="shared" si="888"/>
        <v/>
      </c>
      <c r="R1556" s="459" t="str">
        <f t="shared" si="889"/>
        <v/>
      </c>
      <c r="S1556" s="459" t="str">
        <f t="shared" si="890"/>
        <v/>
      </c>
      <c r="T1556" s="566" t="str">
        <f t="shared" si="875"/>
        <v/>
      </c>
      <c r="U1556" s="702"/>
      <c r="V1556" s="132"/>
      <c r="W1556" s="133"/>
      <c r="X1556" s="134"/>
      <c r="Y1556" s="135"/>
      <c r="Z1556" s="137"/>
      <c r="AA1556" s="136"/>
      <c r="AB1556" s="566" t="str">
        <f t="shared" si="876"/>
        <v/>
      </c>
      <c r="AC1556" s="568" t="str">
        <f t="shared" si="877"/>
        <v/>
      </c>
      <c r="AD1556" s="137"/>
      <c r="AE1556" s="137"/>
      <c r="AF1556" s="138"/>
      <c r="AG1556" s="138"/>
      <c r="AH1556" s="592" t="str">
        <f t="shared" si="878"/>
        <v/>
      </c>
      <c r="AI1556" s="592" t="str">
        <f t="shared" si="879"/>
        <v/>
      </c>
      <c r="AJ1556" s="592" t="str">
        <f t="shared" si="880"/>
        <v/>
      </c>
      <c r="AK1556" s="460" t="str">
        <f>IF(AU1556="","",IF(OR(AZ1556=8,AZ1556=9),0,IF(OR(AW1556=3,AW1556=4,AW1556=5,AW1556=6),IF(LEFT(BF1556,1)="1",INDEX(係数_NOX・PM低減,MATCH(AY1556,【参考】排出係数!$AI$801:$AI$804,1),1),VLOOKUP(AU1556,INDEX((係数_バス貨物_ガソリン,係数_バス貨物_CNG,係数_バス貨物_軽油,係数_バス貨物_メタノール,係数_バス貨物_LPG),MATCH(AY1556,【参考】排出係数!$AI$4:$AI$671,1),1,BE1556):INDEX((係数_バス貨物_ガソリン,係数_バス貨物_CNG,係数_バス貨物_軽油,係数_バス貨物_メタノール,係数_バス貨物_LPG),MATCH(AY1556+1,【参考】排出係数!$AI$4:$AI$671,1)-1,5,BE1556),4,FALSE)),IF(AND(BE1556=3,LEFT(BF1556,1)="1"),0.48,VLOOKUP(AU1556,INDEX((係数_乗用_ガソリン,係数_乗用_CNG,係数_乗用_軽油,係数_乗用_メタノール,係数_乗用_LPG),1,1,BE1556):INDEX((係数_乗用_ガソリン,係数_乗用_CNG,係数_乗用_軽油,係数_乗用_メタノール,係数_乗用_LPG),125,5,BE1556),4,FALSE)))))</f>
        <v/>
      </c>
      <c r="AL1556" s="461" t="str">
        <f t="shared" si="881"/>
        <v/>
      </c>
      <c r="AM1556" s="460" t="str">
        <f>IF(AU1556="","",IF(OR(AZ1556=8,AZ1556=9),0,IF(OR(AW1556=3,AW1556=4,AW1556=5,AW1556=6),IF(LEFT(BH1556,1)="1",INDEX(係数_PM低減,MATCH(AY1556,【参考】排出係数!$AI$801:$AI$804,1),MATCH(BI1556,【参考】排出係数!$AL$798:$AO$798,1)),VLOOKUP(AU1556,INDEX((係数_バス貨物_ガソリン,係数_バス貨物_CNG,係数_バス貨物_軽油,係数_バス貨物_メタノール,係数_バス貨物_LPG),MATCH(AY1556,【参考】排出係数!$AI$4:$AI$671,1),1,BE1556):INDEX((係数_バス貨物_ガソリン,係数_バス貨物_CNG,係数_バス貨物_軽油,係数_バス貨物_メタノール,係数_バス貨物_LPG),MATCH(AY1556+1,【参考】排出係数!$AI$4:$AI$671,1)-1,5,BE1556),5,FALSE)),IF(AND(BE1556=3,LEFT(BF1556,1)="1"),0.055,VLOOKUP(AU1556,INDEX((係数_乗用_ガソリン,係数_乗用_CNG,係数_乗用_軽油,係数_乗用_メタノール,係数_乗用_LPG),1,1,BE1556):INDEX((係数_乗用_ガソリン,係数_乗用_CNG,係数_乗用_軽油,係数_乗用_メタノール,係数_乗用_LPG),125,5,BE1556),5,FALSE)))))</f>
        <v/>
      </c>
      <c r="AN1556" s="461" t="str">
        <f t="shared" si="882"/>
        <v/>
      </c>
      <c r="AO1556" s="462" t="str">
        <f t="shared" si="883"/>
        <v/>
      </c>
      <c r="AP1556" s="463" t="str">
        <f t="shared" si="884"/>
        <v/>
      </c>
      <c r="AQ1556" s="464"/>
      <c r="AR1556" s="619"/>
      <c r="AS1556" s="465" t="str">
        <f t="shared" si="892"/>
        <v/>
      </c>
      <c r="AT1556" s="465" t="str">
        <f t="shared" si="893"/>
        <v/>
      </c>
      <c r="AU1556" s="466" t="str">
        <f t="shared" si="894"/>
        <v/>
      </c>
      <c r="AV1556" s="467" t="str">
        <f t="shared" si="895"/>
        <v/>
      </c>
      <c r="AW1556" s="467" t="str">
        <f t="shared" si="896"/>
        <v/>
      </c>
      <c r="AX1556" s="467" t="str">
        <f t="shared" si="897"/>
        <v/>
      </c>
      <c r="AY1556" s="467" t="str">
        <f t="shared" si="898"/>
        <v/>
      </c>
      <c r="AZ1556" s="467" t="str">
        <f t="shared" si="899"/>
        <v/>
      </c>
      <c r="BA1556" s="468" t="str">
        <f>IF(AS1556="","",IF(OR(AU1556="",AU1556="-"),"－",IF(OR(AZ1556=8,AZ1556=9),"",IF(OR(AW1556=3,AW1556=4,AW1556=5,AW1556=6),VLOOKUP(AU1556,INDEX((係数_バス貨物_ガソリン,係数_バス貨物_CNG,係数_バス貨物_軽油,係数_バス貨物_メタノール,係数_バス貨物_LPG),MATCH(AY1556,【参考】排出係数!$AI$4:$AI$671,1),1,BE1556):INDEX((係数_バス貨物_ガソリン,係数_バス貨物_CNG,係数_バス貨物_軽油,係数_バス貨物_メタノール,係数_バス貨物_LPG),MATCH(AY1556+1,【参考】排出係数!$AI$4:$AI$671,1)-1,5,BE1556),2,FALSE),IF(OR(AW1556=1,AW1556=2),VLOOKUP(AU1556,INDEX((係数_乗用_ガソリン,係数_乗用_CNG,係数_乗用_軽油,係数_乗用_メタノール,係数_乗用_LPG),1,1,BE1556):INDEX((係数_乗用_ガソリン,係数_乗用_CNG,係数_乗用_軽油,係数_乗用_メタノール,係数_乗用_LPG),125,5,BE1556),2,FALSE))))))</f>
        <v/>
      </c>
      <c r="BB1556" s="468" t="str">
        <f>IF(T1556="","",IF(OR(AU1556="",AU1556="-"),"－",IF(OR(AZ1556=8,AZ1556=9),"",IF(OR(AW1556=3,AW1556=4,AW1556=5,AW1556=6),VLOOKUP(AU1556,INDEX((係数_バス貨物_ガソリン,係数_バス貨物_CNG,係数_バス貨物_軽油,係数_バス貨物_メタノール,係数_バス貨物_LPG),MATCH(AY1556,【参考】排出係数!$AI$4:$AI$671,1),1,BE1556):INDEX((係数_バス貨物_ガソリン,係数_バス貨物_CNG,係数_バス貨物_軽油,係数_バス貨物_メタノール,係数_バス貨物_LPG),MATCH(AY1556+1,【参考】排出係数!$AI$4:$AI$671,1)-1,5,BE1556),3,FALSE),IF(OR(AW1556=1,AW1556=2),VLOOKUP(AU1556,INDEX((係数_乗用_ガソリン,係数_乗用_CNG,係数_乗用_軽油,係数_乗用_メタノール,係数_乗用_LPG),1,1,BE1556):INDEX((係数_乗用_ガソリン,係数_乗用_CNG,係数_乗用_軽油,係数_乗用_メタノール,係数_乗用_LPG),125,5,BE1556),3,FALSE))))))</f>
        <v/>
      </c>
      <c r="BC1556" s="467" t="str">
        <f t="shared" si="900"/>
        <v/>
      </c>
      <c r="BD1556" s="567" t="str">
        <f t="shared" si="901"/>
        <v/>
      </c>
      <c r="BE1556" s="467" t="str">
        <f t="shared" si="902"/>
        <v/>
      </c>
      <c r="BF1556" s="469" t="str">
        <f t="shared" ca="1" si="903"/>
        <v/>
      </c>
      <c r="BG1556" s="469" t="str">
        <f t="shared" ca="1" si="904"/>
        <v/>
      </c>
      <c r="BH1556" s="467" t="str">
        <f t="shared" si="905"/>
        <v/>
      </c>
      <c r="BI1556" s="467" t="str">
        <f t="shared" ca="1" si="906"/>
        <v/>
      </c>
      <c r="BJ1556" s="469" t="str">
        <f t="shared" si="907"/>
        <v/>
      </c>
      <c r="BK1556" s="470" t="str">
        <f t="shared" si="891"/>
        <v/>
      </c>
      <c r="BL1556" s="775" t="str">
        <f t="shared" si="908"/>
        <v/>
      </c>
      <c r="BM1556" s="775" t="str">
        <f t="shared" si="909"/>
        <v/>
      </c>
    </row>
    <row r="1557" spans="1:65">
      <c r="A1557" s="473">
        <v>1501</v>
      </c>
      <c r="B1557" s="132"/>
      <c r="C1557" s="332"/>
      <c r="D1557" s="333"/>
      <c r="E1557" s="333"/>
      <c r="F1557" s="334"/>
      <c r="G1557" s="337"/>
      <c r="H1557" s="131"/>
      <c r="I1557" s="337"/>
      <c r="J1557" s="131"/>
      <c r="K1557" s="458" t="str">
        <f t="shared" si="872"/>
        <v/>
      </c>
      <c r="L1557" s="458">
        <f t="shared" si="873"/>
        <v>0</v>
      </c>
      <c r="M1557" s="458">
        <f t="shared" si="874"/>
        <v>0</v>
      </c>
      <c r="N1557" s="459" t="str">
        <f t="shared" si="885"/>
        <v/>
      </c>
      <c r="O1557" s="459" t="str">
        <f t="shared" si="886"/>
        <v/>
      </c>
      <c r="P1557" s="459" t="str">
        <f t="shared" si="887"/>
        <v/>
      </c>
      <c r="Q1557" s="459" t="str">
        <f t="shared" si="888"/>
        <v/>
      </c>
      <c r="R1557" s="459" t="str">
        <f t="shared" si="889"/>
        <v/>
      </c>
      <c r="S1557" s="459" t="str">
        <f t="shared" si="890"/>
        <v/>
      </c>
      <c r="T1557" s="566" t="str">
        <f t="shared" si="875"/>
        <v/>
      </c>
      <c r="U1557" s="702"/>
      <c r="V1557" s="132"/>
      <c r="W1557" s="133"/>
      <c r="X1557" s="134"/>
      <c r="Y1557" s="135"/>
      <c r="Z1557" s="137"/>
      <c r="AA1557" s="136"/>
      <c r="AB1557" s="566" t="str">
        <f t="shared" si="876"/>
        <v/>
      </c>
      <c r="AC1557" s="568" t="str">
        <f t="shared" si="877"/>
        <v/>
      </c>
      <c r="AD1557" s="137"/>
      <c r="AE1557" s="137"/>
      <c r="AF1557" s="138"/>
      <c r="AG1557" s="138"/>
      <c r="AH1557" s="592" t="str">
        <f t="shared" si="878"/>
        <v/>
      </c>
      <c r="AI1557" s="592" t="str">
        <f t="shared" si="879"/>
        <v/>
      </c>
      <c r="AJ1557" s="592" t="str">
        <f t="shared" si="880"/>
        <v/>
      </c>
      <c r="AK1557" s="460" t="str">
        <f>IF(AU1557="","",IF(OR(AZ1557=8,AZ1557=9),0,IF(OR(AW1557=3,AW1557=4,AW1557=5,AW1557=6),IF(LEFT(BF1557,1)="1",INDEX(係数_NOX・PM低減,MATCH(AY1557,【参考】排出係数!$AI$801:$AI$804,1),1),VLOOKUP(AU1557,INDEX((係数_バス貨物_ガソリン,係数_バス貨物_CNG,係数_バス貨物_軽油,係数_バス貨物_メタノール,係数_バス貨物_LPG),MATCH(AY1557,【参考】排出係数!$AI$4:$AI$671,1),1,BE1557):INDEX((係数_バス貨物_ガソリン,係数_バス貨物_CNG,係数_バス貨物_軽油,係数_バス貨物_メタノール,係数_バス貨物_LPG),MATCH(AY1557+1,【参考】排出係数!$AI$4:$AI$671,1)-1,5,BE1557),4,FALSE)),IF(AND(BE1557=3,LEFT(BF1557,1)="1"),0.48,VLOOKUP(AU1557,INDEX((係数_乗用_ガソリン,係数_乗用_CNG,係数_乗用_軽油,係数_乗用_メタノール,係数_乗用_LPG),1,1,BE1557):INDEX((係数_乗用_ガソリン,係数_乗用_CNG,係数_乗用_軽油,係数_乗用_メタノール,係数_乗用_LPG),125,5,BE1557),4,FALSE)))))</f>
        <v/>
      </c>
      <c r="AL1557" s="461" t="str">
        <f t="shared" si="881"/>
        <v/>
      </c>
      <c r="AM1557" s="460" t="str">
        <f>IF(AU1557="","",IF(OR(AZ1557=8,AZ1557=9),0,IF(OR(AW1557=3,AW1557=4,AW1557=5,AW1557=6),IF(LEFT(BH1557,1)="1",INDEX(係数_PM低減,MATCH(AY1557,【参考】排出係数!$AI$801:$AI$804,1),MATCH(BI1557,【参考】排出係数!$AL$798:$AO$798,1)),VLOOKUP(AU1557,INDEX((係数_バス貨物_ガソリン,係数_バス貨物_CNG,係数_バス貨物_軽油,係数_バス貨物_メタノール,係数_バス貨物_LPG),MATCH(AY1557,【参考】排出係数!$AI$4:$AI$671,1),1,BE1557):INDEX((係数_バス貨物_ガソリン,係数_バス貨物_CNG,係数_バス貨物_軽油,係数_バス貨物_メタノール,係数_バス貨物_LPG),MATCH(AY1557+1,【参考】排出係数!$AI$4:$AI$671,1)-1,5,BE1557),5,FALSE)),IF(AND(BE1557=3,LEFT(BF1557,1)="1"),0.055,VLOOKUP(AU1557,INDEX((係数_乗用_ガソリン,係数_乗用_CNG,係数_乗用_軽油,係数_乗用_メタノール,係数_乗用_LPG),1,1,BE1557):INDEX((係数_乗用_ガソリン,係数_乗用_CNG,係数_乗用_軽油,係数_乗用_メタノール,係数_乗用_LPG),125,5,BE1557),5,FALSE)))))</f>
        <v/>
      </c>
      <c r="AN1557" s="461" t="str">
        <f t="shared" si="882"/>
        <v/>
      </c>
      <c r="AO1557" s="462" t="str">
        <f t="shared" si="883"/>
        <v/>
      </c>
      <c r="AP1557" s="463" t="str">
        <f t="shared" si="884"/>
        <v/>
      </c>
      <c r="AQ1557" s="464"/>
      <c r="AR1557" s="619"/>
      <c r="AS1557" s="465" t="str">
        <f t="shared" si="892"/>
        <v/>
      </c>
      <c r="AT1557" s="465" t="str">
        <f t="shared" si="893"/>
        <v/>
      </c>
      <c r="AU1557" s="466" t="str">
        <f t="shared" si="894"/>
        <v/>
      </c>
      <c r="AV1557" s="467" t="str">
        <f t="shared" si="895"/>
        <v/>
      </c>
      <c r="AW1557" s="467" t="str">
        <f t="shared" si="896"/>
        <v/>
      </c>
      <c r="AX1557" s="467" t="str">
        <f t="shared" si="897"/>
        <v/>
      </c>
      <c r="AY1557" s="467" t="str">
        <f t="shared" si="898"/>
        <v/>
      </c>
      <c r="AZ1557" s="467" t="str">
        <f t="shared" si="899"/>
        <v/>
      </c>
      <c r="BA1557" s="468" t="str">
        <f>IF(AS1557="","",IF(OR(AU1557="",AU1557="-"),"－",IF(OR(AZ1557=8,AZ1557=9),"",IF(OR(AW1557=3,AW1557=4,AW1557=5,AW1557=6),VLOOKUP(AU1557,INDEX((係数_バス貨物_ガソリン,係数_バス貨物_CNG,係数_バス貨物_軽油,係数_バス貨物_メタノール,係数_バス貨物_LPG),MATCH(AY1557,【参考】排出係数!$AI$4:$AI$671,1),1,BE1557):INDEX((係数_バス貨物_ガソリン,係数_バス貨物_CNG,係数_バス貨物_軽油,係数_バス貨物_メタノール,係数_バス貨物_LPG),MATCH(AY1557+1,【参考】排出係数!$AI$4:$AI$671,1)-1,5,BE1557),2,FALSE),IF(OR(AW1557=1,AW1557=2),VLOOKUP(AU1557,INDEX((係数_乗用_ガソリン,係数_乗用_CNG,係数_乗用_軽油,係数_乗用_メタノール,係数_乗用_LPG),1,1,BE1557):INDEX((係数_乗用_ガソリン,係数_乗用_CNG,係数_乗用_軽油,係数_乗用_メタノール,係数_乗用_LPG),125,5,BE1557),2,FALSE))))))</f>
        <v/>
      </c>
      <c r="BB1557" s="468" t="str">
        <f>IF(T1557="","",IF(OR(AU1557="",AU1557="-"),"－",IF(OR(AZ1557=8,AZ1557=9),"",IF(OR(AW1557=3,AW1557=4,AW1557=5,AW1557=6),VLOOKUP(AU1557,INDEX((係数_バス貨物_ガソリン,係数_バス貨物_CNG,係数_バス貨物_軽油,係数_バス貨物_メタノール,係数_バス貨物_LPG),MATCH(AY1557,【参考】排出係数!$AI$4:$AI$671,1),1,BE1557):INDEX((係数_バス貨物_ガソリン,係数_バス貨物_CNG,係数_バス貨物_軽油,係数_バス貨物_メタノール,係数_バス貨物_LPG),MATCH(AY1557+1,【参考】排出係数!$AI$4:$AI$671,1)-1,5,BE1557),3,FALSE),IF(OR(AW1557=1,AW1557=2),VLOOKUP(AU1557,INDEX((係数_乗用_ガソリン,係数_乗用_CNG,係数_乗用_軽油,係数_乗用_メタノール,係数_乗用_LPG),1,1,BE1557):INDEX((係数_乗用_ガソリン,係数_乗用_CNG,係数_乗用_軽油,係数_乗用_メタノール,係数_乗用_LPG),125,5,BE1557),3,FALSE))))))</f>
        <v/>
      </c>
      <c r="BC1557" s="467" t="str">
        <f t="shared" si="900"/>
        <v/>
      </c>
      <c r="BD1557" s="567" t="str">
        <f t="shared" si="901"/>
        <v/>
      </c>
      <c r="BE1557" s="467" t="str">
        <f t="shared" si="902"/>
        <v/>
      </c>
      <c r="BF1557" s="469" t="str">
        <f t="shared" ca="1" si="903"/>
        <v/>
      </c>
      <c r="BG1557" s="469" t="str">
        <f t="shared" ca="1" si="904"/>
        <v/>
      </c>
      <c r="BH1557" s="467" t="str">
        <f t="shared" si="905"/>
        <v/>
      </c>
      <c r="BI1557" s="467" t="str">
        <f t="shared" ca="1" si="906"/>
        <v/>
      </c>
      <c r="BJ1557" s="469" t="str">
        <f t="shared" si="907"/>
        <v/>
      </c>
      <c r="BK1557" s="470" t="str">
        <f t="shared" si="891"/>
        <v/>
      </c>
      <c r="BL1557" s="775" t="str">
        <f t="shared" si="908"/>
        <v/>
      </c>
      <c r="BM1557" s="775" t="str">
        <f t="shared" si="909"/>
        <v/>
      </c>
    </row>
    <row r="1558" spans="1:65">
      <c r="A1558" s="473">
        <v>1502</v>
      </c>
      <c r="B1558" s="132"/>
      <c r="C1558" s="332"/>
      <c r="D1558" s="333"/>
      <c r="E1558" s="333"/>
      <c r="F1558" s="334"/>
      <c r="G1558" s="337"/>
      <c r="H1558" s="131"/>
      <c r="I1558" s="337"/>
      <c r="J1558" s="131"/>
      <c r="K1558" s="458" t="str">
        <f t="shared" si="872"/>
        <v/>
      </c>
      <c r="L1558" s="458">
        <f t="shared" si="873"/>
        <v>0</v>
      </c>
      <c r="M1558" s="458">
        <f t="shared" si="874"/>
        <v>0</v>
      </c>
      <c r="N1558" s="459" t="str">
        <f t="shared" si="885"/>
        <v/>
      </c>
      <c r="O1558" s="459" t="str">
        <f t="shared" si="886"/>
        <v/>
      </c>
      <c r="P1558" s="459" t="str">
        <f t="shared" si="887"/>
        <v/>
      </c>
      <c r="Q1558" s="459" t="str">
        <f t="shared" si="888"/>
        <v/>
      </c>
      <c r="R1558" s="459" t="str">
        <f t="shared" si="889"/>
        <v/>
      </c>
      <c r="S1558" s="459" t="str">
        <f t="shared" si="890"/>
        <v/>
      </c>
      <c r="T1558" s="566" t="str">
        <f t="shared" si="875"/>
        <v/>
      </c>
      <c r="U1558" s="702"/>
      <c r="V1558" s="132"/>
      <c r="W1558" s="133"/>
      <c r="X1558" s="134"/>
      <c r="Y1558" s="135"/>
      <c r="Z1558" s="137"/>
      <c r="AA1558" s="136"/>
      <c r="AB1558" s="566" t="str">
        <f t="shared" si="876"/>
        <v/>
      </c>
      <c r="AC1558" s="568" t="str">
        <f t="shared" si="877"/>
        <v/>
      </c>
      <c r="AD1558" s="137"/>
      <c r="AE1558" s="137"/>
      <c r="AF1558" s="138"/>
      <c r="AG1558" s="138"/>
      <c r="AH1558" s="592" t="str">
        <f t="shared" si="878"/>
        <v/>
      </c>
      <c r="AI1558" s="592" t="str">
        <f t="shared" si="879"/>
        <v/>
      </c>
      <c r="AJ1558" s="592" t="str">
        <f t="shared" si="880"/>
        <v/>
      </c>
      <c r="AK1558" s="460" t="str">
        <f>IF(AU1558="","",IF(OR(AZ1558=8,AZ1558=9),0,IF(OR(AW1558=3,AW1558=4,AW1558=5,AW1558=6),IF(LEFT(BF1558,1)="1",INDEX(係数_NOX・PM低減,MATCH(AY1558,【参考】排出係数!$AI$801:$AI$804,1),1),VLOOKUP(AU1558,INDEX((係数_バス貨物_ガソリン,係数_バス貨物_CNG,係数_バス貨物_軽油,係数_バス貨物_メタノール,係数_バス貨物_LPG),MATCH(AY1558,【参考】排出係数!$AI$4:$AI$671,1),1,BE1558):INDEX((係数_バス貨物_ガソリン,係数_バス貨物_CNG,係数_バス貨物_軽油,係数_バス貨物_メタノール,係数_バス貨物_LPG),MATCH(AY1558+1,【参考】排出係数!$AI$4:$AI$671,1)-1,5,BE1558),4,FALSE)),IF(AND(BE1558=3,LEFT(BF1558,1)="1"),0.48,VLOOKUP(AU1558,INDEX((係数_乗用_ガソリン,係数_乗用_CNG,係数_乗用_軽油,係数_乗用_メタノール,係数_乗用_LPG),1,1,BE1558):INDEX((係数_乗用_ガソリン,係数_乗用_CNG,係数_乗用_軽油,係数_乗用_メタノール,係数_乗用_LPG),125,5,BE1558),4,FALSE)))))</f>
        <v/>
      </c>
      <c r="AL1558" s="461" t="str">
        <f t="shared" si="881"/>
        <v/>
      </c>
      <c r="AM1558" s="460" t="str">
        <f>IF(AU1558="","",IF(OR(AZ1558=8,AZ1558=9),0,IF(OR(AW1558=3,AW1558=4,AW1558=5,AW1558=6),IF(LEFT(BH1558,1)="1",INDEX(係数_PM低減,MATCH(AY1558,【参考】排出係数!$AI$801:$AI$804,1),MATCH(BI1558,【参考】排出係数!$AL$798:$AO$798,1)),VLOOKUP(AU1558,INDEX((係数_バス貨物_ガソリン,係数_バス貨物_CNG,係数_バス貨物_軽油,係数_バス貨物_メタノール,係数_バス貨物_LPG),MATCH(AY1558,【参考】排出係数!$AI$4:$AI$671,1),1,BE1558):INDEX((係数_バス貨物_ガソリン,係数_バス貨物_CNG,係数_バス貨物_軽油,係数_バス貨物_メタノール,係数_バス貨物_LPG),MATCH(AY1558+1,【参考】排出係数!$AI$4:$AI$671,1)-1,5,BE1558),5,FALSE)),IF(AND(BE1558=3,LEFT(BF1558,1)="1"),0.055,VLOOKUP(AU1558,INDEX((係数_乗用_ガソリン,係数_乗用_CNG,係数_乗用_軽油,係数_乗用_メタノール,係数_乗用_LPG),1,1,BE1558):INDEX((係数_乗用_ガソリン,係数_乗用_CNG,係数_乗用_軽油,係数_乗用_メタノール,係数_乗用_LPG),125,5,BE1558),5,FALSE)))))</f>
        <v/>
      </c>
      <c r="AN1558" s="461" t="str">
        <f t="shared" si="882"/>
        <v/>
      </c>
      <c r="AO1558" s="462" t="str">
        <f t="shared" si="883"/>
        <v/>
      </c>
      <c r="AP1558" s="463" t="str">
        <f t="shared" si="884"/>
        <v/>
      </c>
      <c r="AQ1558" s="464"/>
      <c r="AR1558" s="619"/>
      <c r="AS1558" s="465" t="str">
        <f t="shared" si="892"/>
        <v/>
      </c>
      <c r="AT1558" s="465" t="str">
        <f t="shared" si="893"/>
        <v/>
      </c>
      <c r="AU1558" s="466" t="str">
        <f t="shared" si="894"/>
        <v/>
      </c>
      <c r="AV1558" s="467" t="str">
        <f t="shared" si="895"/>
        <v/>
      </c>
      <c r="AW1558" s="467" t="str">
        <f t="shared" si="896"/>
        <v/>
      </c>
      <c r="AX1558" s="467" t="str">
        <f t="shared" si="897"/>
        <v/>
      </c>
      <c r="AY1558" s="467" t="str">
        <f t="shared" si="898"/>
        <v/>
      </c>
      <c r="AZ1558" s="467" t="str">
        <f t="shared" si="899"/>
        <v/>
      </c>
      <c r="BA1558" s="468" t="str">
        <f>IF(AS1558="","",IF(OR(AU1558="",AU1558="-"),"－",IF(OR(AZ1558=8,AZ1558=9),"",IF(OR(AW1558=3,AW1558=4,AW1558=5,AW1558=6),VLOOKUP(AU1558,INDEX((係数_バス貨物_ガソリン,係数_バス貨物_CNG,係数_バス貨物_軽油,係数_バス貨物_メタノール,係数_バス貨物_LPG),MATCH(AY1558,【参考】排出係数!$AI$4:$AI$671,1),1,BE1558):INDEX((係数_バス貨物_ガソリン,係数_バス貨物_CNG,係数_バス貨物_軽油,係数_バス貨物_メタノール,係数_バス貨物_LPG),MATCH(AY1558+1,【参考】排出係数!$AI$4:$AI$671,1)-1,5,BE1558),2,FALSE),IF(OR(AW1558=1,AW1558=2),VLOOKUP(AU1558,INDEX((係数_乗用_ガソリン,係数_乗用_CNG,係数_乗用_軽油,係数_乗用_メタノール,係数_乗用_LPG),1,1,BE1558):INDEX((係数_乗用_ガソリン,係数_乗用_CNG,係数_乗用_軽油,係数_乗用_メタノール,係数_乗用_LPG),125,5,BE1558),2,FALSE))))))</f>
        <v/>
      </c>
      <c r="BB1558" s="468" t="str">
        <f>IF(T1558="","",IF(OR(AU1558="",AU1558="-"),"－",IF(OR(AZ1558=8,AZ1558=9),"",IF(OR(AW1558=3,AW1558=4,AW1558=5,AW1558=6),VLOOKUP(AU1558,INDEX((係数_バス貨物_ガソリン,係数_バス貨物_CNG,係数_バス貨物_軽油,係数_バス貨物_メタノール,係数_バス貨物_LPG),MATCH(AY1558,【参考】排出係数!$AI$4:$AI$671,1),1,BE1558):INDEX((係数_バス貨物_ガソリン,係数_バス貨物_CNG,係数_バス貨物_軽油,係数_バス貨物_メタノール,係数_バス貨物_LPG),MATCH(AY1558+1,【参考】排出係数!$AI$4:$AI$671,1)-1,5,BE1558),3,FALSE),IF(OR(AW1558=1,AW1558=2),VLOOKUP(AU1558,INDEX((係数_乗用_ガソリン,係数_乗用_CNG,係数_乗用_軽油,係数_乗用_メタノール,係数_乗用_LPG),1,1,BE1558):INDEX((係数_乗用_ガソリン,係数_乗用_CNG,係数_乗用_軽油,係数_乗用_メタノール,係数_乗用_LPG),125,5,BE1558),3,FALSE))))))</f>
        <v/>
      </c>
      <c r="BC1558" s="467" t="str">
        <f t="shared" si="900"/>
        <v/>
      </c>
      <c r="BD1558" s="567" t="str">
        <f t="shared" si="901"/>
        <v/>
      </c>
      <c r="BE1558" s="467" t="str">
        <f t="shared" si="902"/>
        <v/>
      </c>
      <c r="BF1558" s="469" t="str">
        <f t="shared" ca="1" si="903"/>
        <v/>
      </c>
      <c r="BG1558" s="469" t="str">
        <f t="shared" ca="1" si="904"/>
        <v/>
      </c>
      <c r="BH1558" s="467" t="str">
        <f t="shared" si="905"/>
        <v/>
      </c>
      <c r="BI1558" s="467" t="str">
        <f t="shared" ca="1" si="906"/>
        <v/>
      </c>
      <c r="BJ1558" s="469" t="str">
        <f t="shared" si="907"/>
        <v/>
      </c>
      <c r="BK1558" s="470" t="str">
        <f t="shared" si="891"/>
        <v/>
      </c>
      <c r="BL1558" s="775" t="str">
        <f t="shared" si="908"/>
        <v/>
      </c>
      <c r="BM1558" s="775" t="str">
        <f t="shared" si="909"/>
        <v/>
      </c>
    </row>
    <row r="1559" spans="1:65">
      <c r="A1559" s="473">
        <v>1503</v>
      </c>
      <c r="B1559" s="132"/>
      <c r="C1559" s="332"/>
      <c r="D1559" s="333"/>
      <c r="E1559" s="333"/>
      <c r="F1559" s="334"/>
      <c r="G1559" s="337"/>
      <c r="H1559" s="131"/>
      <c r="I1559" s="337"/>
      <c r="J1559" s="131"/>
      <c r="K1559" s="458" t="str">
        <f t="shared" si="872"/>
        <v/>
      </c>
      <c r="L1559" s="458">
        <f t="shared" si="873"/>
        <v>0</v>
      </c>
      <c r="M1559" s="458">
        <f t="shared" si="874"/>
        <v>0</v>
      </c>
      <c r="N1559" s="459" t="str">
        <f t="shared" si="885"/>
        <v/>
      </c>
      <c r="O1559" s="459" t="str">
        <f t="shared" si="886"/>
        <v/>
      </c>
      <c r="P1559" s="459" t="str">
        <f t="shared" si="887"/>
        <v/>
      </c>
      <c r="Q1559" s="459" t="str">
        <f t="shared" si="888"/>
        <v/>
      </c>
      <c r="R1559" s="459" t="str">
        <f t="shared" si="889"/>
        <v/>
      </c>
      <c r="S1559" s="459" t="str">
        <f t="shared" si="890"/>
        <v/>
      </c>
      <c r="T1559" s="566" t="str">
        <f t="shared" si="875"/>
        <v/>
      </c>
      <c r="U1559" s="702"/>
      <c r="V1559" s="132"/>
      <c r="W1559" s="133"/>
      <c r="X1559" s="134"/>
      <c r="Y1559" s="135"/>
      <c r="Z1559" s="137"/>
      <c r="AA1559" s="136"/>
      <c r="AB1559" s="566" t="str">
        <f t="shared" si="876"/>
        <v/>
      </c>
      <c r="AC1559" s="568" t="str">
        <f t="shared" si="877"/>
        <v/>
      </c>
      <c r="AD1559" s="137"/>
      <c r="AE1559" s="137"/>
      <c r="AF1559" s="138"/>
      <c r="AG1559" s="138"/>
      <c r="AH1559" s="592" t="str">
        <f t="shared" si="878"/>
        <v/>
      </c>
      <c r="AI1559" s="592" t="str">
        <f t="shared" si="879"/>
        <v/>
      </c>
      <c r="AJ1559" s="592" t="str">
        <f t="shared" si="880"/>
        <v/>
      </c>
      <c r="AK1559" s="460" t="str">
        <f>IF(AU1559="","",IF(OR(AZ1559=8,AZ1559=9),0,IF(OR(AW1559=3,AW1559=4,AW1559=5,AW1559=6),IF(LEFT(BF1559,1)="1",INDEX(係数_NOX・PM低減,MATCH(AY1559,【参考】排出係数!$AI$801:$AI$804,1),1),VLOOKUP(AU1559,INDEX((係数_バス貨物_ガソリン,係数_バス貨物_CNG,係数_バス貨物_軽油,係数_バス貨物_メタノール,係数_バス貨物_LPG),MATCH(AY1559,【参考】排出係数!$AI$4:$AI$671,1),1,BE1559):INDEX((係数_バス貨物_ガソリン,係数_バス貨物_CNG,係数_バス貨物_軽油,係数_バス貨物_メタノール,係数_バス貨物_LPG),MATCH(AY1559+1,【参考】排出係数!$AI$4:$AI$671,1)-1,5,BE1559),4,FALSE)),IF(AND(BE1559=3,LEFT(BF1559,1)="1"),0.48,VLOOKUP(AU1559,INDEX((係数_乗用_ガソリン,係数_乗用_CNG,係数_乗用_軽油,係数_乗用_メタノール,係数_乗用_LPG),1,1,BE1559):INDEX((係数_乗用_ガソリン,係数_乗用_CNG,係数_乗用_軽油,係数_乗用_メタノール,係数_乗用_LPG),125,5,BE1559),4,FALSE)))))</f>
        <v/>
      </c>
      <c r="AL1559" s="461" t="str">
        <f t="shared" si="881"/>
        <v/>
      </c>
      <c r="AM1559" s="460" t="str">
        <f>IF(AU1559="","",IF(OR(AZ1559=8,AZ1559=9),0,IF(OR(AW1559=3,AW1559=4,AW1559=5,AW1559=6),IF(LEFT(BH1559,1)="1",INDEX(係数_PM低減,MATCH(AY1559,【参考】排出係数!$AI$801:$AI$804,1),MATCH(BI1559,【参考】排出係数!$AL$798:$AO$798,1)),VLOOKUP(AU1559,INDEX((係数_バス貨物_ガソリン,係数_バス貨物_CNG,係数_バス貨物_軽油,係数_バス貨物_メタノール,係数_バス貨物_LPG),MATCH(AY1559,【参考】排出係数!$AI$4:$AI$671,1),1,BE1559):INDEX((係数_バス貨物_ガソリン,係数_バス貨物_CNG,係数_バス貨物_軽油,係数_バス貨物_メタノール,係数_バス貨物_LPG),MATCH(AY1559+1,【参考】排出係数!$AI$4:$AI$671,1)-1,5,BE1559),5,FALSE)),IF(AND(BE1559=3,LEFT(BF1559,1)="1"),0.055,VLOOKUP(AU1559,INDEX((係数_乗用_ガソリン,係数_乗用_CNG,係数_乗用_軽油,係数_乗用_メタノール,係数_乗用_LPG),1,1,BE1559):INDEX((係数_乗用_ガソリン,係数_乗用_CNG,係数_乗用_軽油,係数_乗用_メタノール,係数_乗用_LPG),125,5,BE1559),5,FALSE)))))</f>
        <v/>
      </c>
      <c r="AN1559" s="461" t="str">
        <f t="shared" si="882"/>
        <v/>
      </c>
      <c r="AO1559" s="462" t="str">
        <f t="shared" si="883"/>
        <v/>
      </c>
      <c r="AP1559" s="463" t="str">
        <f t="shared" si="884"/>
        <v/>
      </c>
      <c r="AQ1559" s="464"/>
      <c r="AR1559" s="619"/>
      <c r="AS1559" s="465" t="str">
        <f t="shared" si="892"/>
        <v/>
      </c>
      <c r="AT1559" s="465" t="str">
        <f t="shared" si="893"/>
        <v/>
      </c>
      <c r="AU1559" s="466" t="str">
        <f t="shared" si="894"/>
        <v/>
      </c>
      <c r="AV1559" s="467" t="str">
        <f t="shared" si="895"/>
        <v/>
      </c>
      <c r="AW1559" s="467" t="str">
        <f t="shared" si="896"/>
        <v/>
      </c>
      <c r="AX1559" s="467" t="str">
        <f t="shared" si="897"/>
        <v/>
      </c>
      <c r="AY1559" s="467" t="str">
        <f t="shared" si="898"/>
        <v/>
      </c>
      <c r="AZ1559" s="467" t="str">
        <f t="shared" si="899"/>
        <v/>
      </c>
      <c r="BA1559" s="468" t="str">
        <f>IF(AS1559="","",IF(OR(AU1559="",AU1559="-"),"－",IF(OR(AZ1559=8,AZ1559=9),"",IF(OR(AW1559=3,AW1559=4,AW1559=5,AW1559=6),VLOOKUP(AU1559,INDEX((係数_バス貨物_ガソリン,係数_バス貨物_CNG,係数_バス貨物_軽油,係数_バス貨物_メタノール,係数_バス貨物_LPG),MATCH(AY1559,【参考】排出係数!$AI$4:$AI$671,1),1,BE1559):INDEX((係数_バス貨物_ガソリン,係数_バス貨物_CNG,係数_バス貨物_軽油,係数_バス貨物_メタノール,係数_バス貨物_LPG),MATCH(AY1559+1,【参考】排出係数!$AI$4:$AI$671,1)-1,5,BE1559),2,FALSE),IF(OR(AW1559=1,AW1559=2),VLOOKUP(AU1559,INDEX((係数_乗用_ガソリン,係数_乗用_CNG,係数_乗用_軽油,係数_乗用_メタノール,係数_乗用_LPG),1,1,BE1559):INDEX((係数_乗用_ガソリン,係数_乗用_CNG,係数_乗用_軽油,係数_乗用_メタノール,係数_乗用_LPG),125,5,BE1559),2,FALSE))))))</f>
        <v/>
      </c>
      <c r="BB1559" s="468" t="str">
        <f>IF(T1559="","",IF(OR(AU1559="",AU1559="-"),"－",IF(OR(AZ1559=8,AZ1559=9),"",IF(OR(AW1559=3,AW1559=4,AW1559=5,AW1559=6),VLOOKUP(AU1559,INDEX((係数_バス貨物_ガソリン,係数_バス貨物_CNG,係数_バス貨物_軽油,係数_バス貨物_メタノール,係数_バス貨物_LPG),MATCH(AY1559,【参考】排出係数!$AI$4:$AI$671,1),1,BE1559):INDEX((係数_バス貨物_ガソリン,係数_バス貨物_CNG,係数_バス貨物_軽油,係数_バス貨物_メタノール,係数_バス貨物_LPG),MATCH(AY1559+1,【参考】排出係数!$AI$4:$AI$671,1)-1,5,BE1559),3,FALSE),IF(OR(AW1559=1,AW1559=2),VLOOKUP(AU1559,INDEX((係数_乗用_ガソリン,係数_乗用_CNG,係数_乗用_軽油,係数_乗用_メタノール,係数_乗用_LPG),1,1,BE1559):INDEX((係数_乗用_ガソリン,係数_乗用_CNG,係数_乗用_軽油,係数_乗用_メタノール,係数_乗用_LPG),125,5,BE1559),3,FALSE))))))</f>
        <v/>
      </c>
      <c r="BC1559" s="467" t="str">
        <f t="shared" si="900"/>
        <v/>
      </c>
      <c r="BD1559" s="567" t="str">
        <f t="shared" si="901"/>
        <v/>
      </c>
      <c r="BE1559" s="467" t="str">
        <f t="shared" si="902"/>
        <v/>
      </c>
      <c r="BF1559" s="469" t="str">
        <f t="shared" ca="1" si="903"/>
        <v/>
      </c>
      <c r="BG1559" s="469" t="str">
        <f t="shared" ca="1" si="904"/>
        <v/>
      </c>
      <c r="BH1559" s="467" t="str">
        <f t="shared" si="905"/>
        <v/>
      </c>
      <c r="BI1559" s="467" t="str">
        <f t="shared" ca="1" si="906"/>
        <v/>
      </c>
      <c r="BJ1559" s="469" t="str">
        <f t="shared" si="907"/>
        <v/>
      </c>
      <c r="BK1559" s="470" t="str">
        <f t="shared" si="891"/>
        <v/>
      </c>
      <c r="BL1559" s="775" t="str">
        <f t="shared" si="908"/>
        <v/>
      </c>
      <c r="BM1559" s="775" t="str">
        <f t="shared" si="909"/>
        <v/>
      </c>
    </row>
    <row r="1560" spans="1:65">
      <c r="A1560" s="473">
        <v>1504</v>
      </c>
      <c r="B1560" s="132"/>
      <c r="C1560" s="332"/>
      <c r="D1560" s="333"/>
      <c r="E1560" s="333"/>
      <c r="F1560" s="334"/>
      <c r="G1560" s="337"/>
      <c r="H1560" s="131"/>
      <c r="I1560" s="337"/>
      <c r="J1560" s="131"/>
      <c r="K1560" s="458" t="str">
        <f t="shared" si="872"/>
        <v/>
      </c>
      <c r="L1560" s="458">
        <f t="shared" si="873"/>
        <v>0</v>
      </c>
      <c r="M1560" s="458">
        <f t="shared" si="874"/>
        <v>0</v>
      </c>
      <c r="N1560" s="459" t="str">
        <f t="shared" si="885"/>
        <v/>
      </c>
      <c r="O1560" s="459" t="str">
        <f t="shared" si="886"/>
        <v/>
      </c>
      <c r="P1560" s="459" t="str">
        <f t="shared" si="887"/>
        <v/>
      </c>
      <c r="Q1560" s="459" t="str">
        <f t="shared" si="888"/>
        <v/>
      </c>
      <c r="R1560" s="459" t="str">
        <f t="shared" si="889"/>
        <v/>
      </c>
      <c r="S1560" s="459" t="str">
        <f t="shared" si="890"/>
        <v/>
      </c>
      <c r="T1560" s="566" t="str">
        <f t="shared" si="875"/>
        <v/>
      </c>
      <c r="U1560" s="702"/>
      <c r="V1560" s="132"/>
      <c r="W1560" s="133"/>
      <c r="X1560" s="134"/>
      <c r="Y1560" s="135"/>
      <c r="Z1560" s="137"/>
      <c r="AA1560" s="136"/>
      <c r="AB1560" s="566" t="str">
        <f t="shared" si="876"/>
        <v/>
      </c>
      <c r="AC1560" s="568" t="str">
        <f t="shared" si="877"/>
        <v/>
      </c>
      <c r="AD1560" s="137"/>
      <c r="AE1560" s="137"/>
      <c r="AF1560" s="138"/>
      <c r="AG1560" s="138"/>
      <c r="AH1560" s="592" t="str">
        <f t="shared" si="878"/>
        <v/>
      </c>
      <c r="AI1560" s="592" t="str">
        <f t="shared" si="879"/>
        <v/>
      </c>
      <c r="AJ1560" s="592" t="str">
        <f t="shared" si="880"/>
        <v/>
      </c>
      <c r="AK1560" s="460" t="str">
        <f>IF(AU1560="","",IF(OR(AZ1560=8,AZ1560=9),0,IF(OR(AW1560=3,AW1560=4,AW1560=5,AW1560=6),IF(LEFT(BF1560,1)="1",INDEX(係数_NOX・PM低減,MATCH(AY1560,【参考】排出係数!$AI$801:$AI$804,1),1),VLOOKUP(AU1560,INDEX((係数_バス貨物_ガソリン,係数_バス貨物_CNG,係数_バス貨物_軽油,係数_バス貨物_メタノール,係数_バス貨物_LPG),MATCH(AY1560,【参考】排出係数!$AI$4:$AI$671,1),1,BE1560):INDEX((係数_バス貨物_ガソリン,係数_バス貨物_CNG,係数_バス貨物_軽油,係数_バス貨物_メタノール,係数_バス貨物_LPG),MATCH(AY1560+1,【参考】排出係数!$AI$4:$AI$671,1)-1,5,BE1560),4,FALSE)),IF(AND(BE1560=3,LEFT(BF1560,1)="1"),0.48,VLOOKUP(AU1560,INDEX((係数_乗用_ガソリン,係数_乗用_CNG,係数_乗用_軽油,係数_乗用_メタノール,係数_乗用_LPG),1,1,BE1560):INDEX((係数_乗用_ガソリン,係数_乗用_CNG,係数_乗用_軽油,係数_乗用_メタノール,係数_乗用_LPG),125,5,BE1560),4,FALSE)))))</f>
        <v/>
      </c>
      <c r="AL1560" s="461" t="str">
        <f t="shared" si="881"/>
        <v/>
      </c>
      <c r="AM1560" s="460" t="str">
        <f>IF(AU1560="","",IF(OR(AZ1560=8,AZ1560=9),0,IF(OR(AW1560=3,AW1560=4,AW1560=5,AW1560=6),IF(LEFT(BH1560,1)="1",INDEX(係数_PM低減,MATCH(AY1560,【参考】排出係数!$AI$801:$AI$804,1),MATCH(BI1560,【参考】排出係数!$AL$798:$AO$798,1)),VLOOKUP(AU1560,INDEX((係数_バス貨物_ガソリン,係数_バス貨物_CNG,係数_バス貨物_軽油,係数_バス貨物_メタノール,係数_バス貨物_LPG),MATCH(AY1560,【参考】排出係数!$AI$4:$AI$671,1),1,BE1560):INDEX((係数_バス貨物_ガソリン,係数_バス貨物_CNG,係数_バス貨物_軽油,係数_バス貨物_メタノール,係数_バス貨物_LPG),MATCH(AY1560+1,【参考】排出係数!$AI$4:$AI$671,1)-1,5,BE1560),5,FALSE)),IF(AND(BE1560=3,LEFT(BF1560,1)="1"),0.055,VLOOKUP(AU1560,INDEX((係数_乗用_ガソリン,係数_乗用_CNG,係数_乗用_軽油,係数_乗用_メタノール,係数_乗用_LPG),1,1,BE1560):INDEX((係数_乗用_ガソリン,係数_乗用_CNG,係数_乗用_軽油,係数_乗用_メタノール,係数_乗用_LPG),125,5,BE1560),5,FALSE)))))</f>
        <v/>
      </c>
      <c r="AN1560" s="461" t="str">
        <f t="shared" si="882"/>
        <v/>
      </c>
      <c r="AO1560" s="462" t="str">
        <f t="shared" si="883"/>
        <v/>
      </c>
      <c r="AP1560" s="463" t="str">
        <f t="shared" si="884"/>
        <v/>
      </c>
      <c r="AQ1560" s="464"/>
      <c r="AR1560" s="619"/>
      <c r="AS1560" s="465" t="str">
        <f t="shared" si="892"/>
        <v/>
      </c>
      <c r="AT1560" s="465" t="str">
        <f t="shared" si="893"/>
        <v/>
      </c>
      <c r="AU1560" s="466" t="str">
        <f t="shared" si="894"/>
        <v/>
      </c>
      <c r="AV1560" s="467" t="str">
        <f t="shared" si="895"/>
        <v/>
      </c>
      <c r="AW1560" s="467" t="str">
        <f t="shared" si="896"/>
        <v/>
      </c>
      <c r="AX1560" s="467" t="str">
        <f t="shared" si="897"/>
        <v/>
      </c>
      <c r="AY1560" s="467" t="str">
        <f t="shared" si="898"/>
        <v/>
      </c>
      <c r="AZ1560" s="467" t="str">
        <f t="shared" si="899"/>
        <v/>
      </c>
      <c r="BA1560" s="468" t="str">
        <f>IF(AS1560="","",IF(OR(AU1560="",AU1560="-"),"－",IF(OR(AZ1560=8,AZ1560=9),"",IF(OR(AW1560=3,AW1560=4,AW1560=5,AW1560=6),VLOOKUP(AU1560,INDEX((係数_バス貨物_ガソリン,係数_バス貨物_CNG,係数_バス貨物_軽油,係数_バス貨物_メタノール,係数_バス貨物_LPG),MATCH(AY1560,【参考】排出係数!$AI$4:$AI$671,1),1,BE1560):INDEX((係数_バス貨物_ガソリン,係数_バス貨物_CNG,係数_バス貨物_軽油,係数_バス貨物_メタノール,係数_バス貨物_LPG),MATCH(AY1560+1,【参考】排出係数!$AI$4:$AI$671,1)-1,5,BE1560),2,FALSE),IF(OR(AW1560=1,AW1560=2),VLOOKUP(AU1560,INDEX((係数_乗用_ガソリン,係数_乗用_CNG,係数_乗用_軽油,係数_乗用_メタノール,係数_乗用_LPG),1,1,BE1560):INDEX((係数_乗用_ガソリン,係数_乗用_CNG,係数_乗用_軽油,係数_乗用_メタノール,係数_乗用_LPG),125,5,BE1560),2,FALSE))))))</f>
        <v/>
      </c>
      <c r="BB1560" s="468" t="str">
        <f>IF(T1560="","",IF(OR(AU1560="",AU1560="-"),"－",IF(OR(AZ1560=8,AZ1560=9),"",IF(OR(AW1560=3,AW1560=4,AW1560=5,AW1560=6),VLOOKUP(AU1560,INDEX((係数_バス貨物_ガソリン,係数_バス貨物_CNG,係数_バス貨物_軽油,係数_バス貨物_メタノール,係数_バス貨物_LPG),MATCH(AY1560,【参考】排出係数!$AI$4:$AI$671,1),1,BE1560):INDEX((係数_バス貨物_ガソリン,係数_バス貨物_CNG,係数_バス貨物_軽油,係数_バス貨物_メタノール,係数_バス貨物_LPG),MATCH(AY1560+1,【参考】排出係数!$AI$4:$AI$671,1)-1,5,BE1560),3,FALSE),IF(OR(AW1560=1,AW1560=2),VLOOKUP(AU1560,INDEX((係数_乗用_ガソリン,係数_乗用_CNG,係数_乗用_軽油,係数_乗用_メタノール,係数_乗用_LPG),1,1,BE1560):INDEX((係数_乗用_ガソリン,係数_乗用_CNG,係数_乗用_軽油,係数_乗用_メタノール,係数_乗用_LPG),125,5,BE1560),3,FALSE))))))</f>
        <v/>
      </c>
      <c r="BC1560" s="467" t="str">
        <f t="shared" si="900"/>
        <v/>
      </c>
      <c r="BD1560" s="567" t="str">
        <f t="shared" si="901"/>
        <v/>
      </c>
      <c r="BE1560" s="467" t="str">
        <f t="shared" si="902"/>
        <v/>
      </c>
      <c r="BF1560" s="469" t="str">
        <f t="shared" ca="1" si="903"/>
        <v/>
      </c>
      <c r="BG1560" s="469" t="str">
        <f t="shared" ca="1" si="904"/>
        <v/>
      </c>
      <c r="BH1560" s="467" t="str">
        <f t="shared" si="905"/>
        <v/>
      </c>
      <c r="BI1560" s="467" t="str">
        <f t="shared" ca="1" si="906"/>
        <v/>
      </c>
      <c r="BJ1560" s="469" t="str">
        <f t="shared" si="907"/>
        <v/>
      </c>
      <c r="BK1560" s="470" t="str">
        <f t="shared" si="891"/>
        <v/>
      </c>
      <c r="BL1560" s="775" t="str">
        <f t="shared" si="908"/>
        <v/>
      </c>
      <c r="BM1560" s="775" t="str">
        <f t="shared" si="909"/>
        <v/>
      </c>
    </row>
    <row r="1561" spans="1:65">
      <c r="A1561" s="473">
        <v>1505</v>
      </c>
      <c r="B1561" s="132"/>
      <c r="C1561" s="332"/>
      <c r="D1561" s="333"/>
      <c r="E1561" s="333"/>
      <c r="F1561" s="334"/>
      <c r="G1561" s="337"/>
      <c r="H1561" s="131"/>
      <c r="I1561" s="337"/>
      <c r="J1561" s="131"/>
      <c r="K1561" s="458" t="str">
        <f t="shared" si="872"/>
        <v/>
      </c>
      <c r="L1561" s="458">
        <f t="shared" si="873"/>
        <v>0</v>
      </c>
      <c r="M1561" s="458">
        <f t="shared" si="874"/>
        <v>0</v>
      </c>
      <c r="N1561" s="459" t="str">
        <f t="shared" si="885"/>
        <v/>
      </c>
      <c r="O1561" s="459" t="str">
        <f t="shared" si="886"/>
        <v/>
      </c>
      <c r="P1561" s="459" t="str">
        <f t="shared" si="887"/>
        <v/>
      </c>
      <c r="Q1561" s="459" t="str">
        <f t="shared" si="888"/>
        <v/>
      </c>
      <c r="R1561" s="459" t="str">
        <f t="shared" si="889"/>
        <v/>
      </c>
      <c r="S1561" s="459" t="str">
        <f t="shared" si="890"/>
        <v/>
      </c>
      <c r="T1561" s="566" t="str">
        <f t="shared" si="875"/>
        <v/>
      </c>
      <c r="U1561" s="702"/>
      <c r="V1561" s="132"/>
      <c r="W1561" s="133"/>
      <c r="X1561" s="134"/>
      <c r="Y1561" s="135"/>
      <c r="Z1561" s="137"/>
      <c r="AA1561" s="136"/>
      <c r="AB1561" s="566" t="str">
        <f t="shared" si="876"/>
        <v/>
      </c>
      <c r="AC1561" s="568" t="str">
        <f t="shared" si="877"/>
        <v/>
      </c>
      <c r="AD1561" s="137"/>
      <c r="AE1561" s="137"/>
      <c r="AF1561" s="138"/>
      <c r="AG1561" s="138"/>
      <c r="AH1561" s="592" t="str">
        <f t="shared" si="878"/>
        <v/>
      </c>
      <c r="AI1561" s="592" t="str">
        <f t="shared" si="879"/>
        <v/>
      </c>
      <c r="AJ1561" s="592" t="str">
        <f t="shared" si="880"/>
        <v/>
      </c>
      <c r="AK1561" s="460" t="str">
        <f>IF(AU1561="","",IF(OR(AZ1561=8,AZ1561=9),0,IF(OR(AW1561=3,AW1561=4,AW1561=5,AW1561=6),IF(LEFT(BF1561,1)="1",INDEX(係数_NOX・PM低減,MATCH(AY1561,【参考】排出係数!$AI$801:$AI$804,1),1),VLOOKUP(AU1561,INDEX((係数_バス貨物_ガソリン,係数_バス貨物_CNG,係数_バス貨物_軽油,係数_バス貨物_メタノール,係数_バス貨物_LPG),MATCH(AY1561,【参考】排出係数!$AI$4:$AI$671,1),1,BE1561):INDEX((係数_バス貨物_ガソリン,係数_バス貨物_CNG,係数_バス貨物_軽油,係数_バス貨物_メタノール,係数_バス貨物_LPG),MATCH(AY1561+1,【参考】排出係数!$AI$4:$AI$671,1)-1,5,BE1561),4,FALSE)),IF(AND(BE1561=3,LEFT(BF1561,1)="1"),0.48,VLOOKUP(AU1561,INDEX((係数_乗用_ガソリン,係数_乗用_CNG,係数_乗用_軽油,係数_乗用_メタノール,係数_乗用_LPG),1,1,BE1561):INDEX((係数_乗用_ガソリン,係数_乗用_CNG,係数_乗用_軽油,係数_乗用_メタノール,係数_乗用_LPG),125,5,BE1561),4,FALSE)))))</f>
        <v/>
      </c>
      <c r="AL1561" s="461" t="str">
        <f t="shared" si="881"/>
        <v/>
      </c>
      <c r="AM1561" s="460" t="str">
        <f>IF(AU1561="","",IF(OR(AZ1561=8,AZ1561=9),0,IF(OR(AW1561=3,AW1561=4,AW1561=5,AW1561=6),IF(LEFT(BH1561,1)="1",INDEX(係数_PM低減,MATCH(AY1561,【参考】排出係数!$AI$801:$AI$804,1),MATCH(BI1561,【参考】排出係数!$AL$798:$AO$798,1)),VLOOKUP(AU1561,INDEX((係数_バス貨物_ガソリン,係数_バス貨物_CNG,係数_バス貨物_軽油,係数_バス貨物_メタノール,係数_バス貨物_LPG),MATCH(AY1561,【参考】排出係数!$AI$4:$AI$671,1),1,BE1561):INDEX((係数_バス貨物_ガソリン,係数_バス貨物_CNG,係数_バス貨物_軽油,係数_バス貨物_メタノール,係数_バス貨物_LPG),MATCH(AY1561+1,【参考】排出係数!$AI$4:$AI$671,1)-1,5,BE1561),5,FALSE)),IF(AND(BE1561=3,LEFT(BF1561,1)="1"),0.055,VLOOKUP(AU1561,INDEX((係数_乗用_ガソリン,係数_乗用_CNG,係数_乗用_軽油,係数_乗用_メタノール,係数_乗用_LPG),1,1,BE1561):INDEX((係数_乗用_ガソリン,係数_乗用_CNG,係数_乗用_軽油,係数_乗用_メタノール,係数_乗用_LPG),125,5,BE1561),5,FALSE)))))</f>
        <v/>
      </c>
      <c r="AN1561" s="461" t="str">
        <f t="shared" si="882"/>
        <v/>
      </c>
      <c r="AO1561" s="462" t="str">
        <f t="shared" si="883"/>
        <v/>
      </c>
      <c r="AP1561" s="463" t="str">
        <f t="shared" si="884"/>
        <v/>
      </c>
      <c r="AQ1561" s="464"/>
      <c r="AR1561" s="619"/>
      <c r="AS1561" s="465" t="str">
        <f t="shared" si="892"/>
        <v/>
      </c>
      <c r="AT1561" s="465" t="str">
        <f t="shared" si="893"/>
        <v/>
      </c>
      <c r="AU1561" s="466" t="str">
        <f t="shared" si="894"/>
        <v/>
      </c>
      <c r="AV1561" s="467" t="str">
        <f t="shared" si="895"/>
        <v/>
      </c>
      <c r="AW1561" s="467" t="str">
        <f t="shared" si="896"/>
        <v/>
      </c>
      <c r="AX1561" s="467" t="str">
        <f t="shared" si="897"/>
        <v/>
      </c>
      <c r="AY1561" s="467" t="str">
        <f t="shared" si="898"/>
        <v/>
      </c>
      <c r="AZ1561" s="467" t="str">
        <f t="shared" si="899"/>
        <v/>
      </c>
      <c r="BA1561" s="468" t="str">
        <f>IF(AS1561="","",IF(OR(AU1561="",AU1561="-"),"－",IF(OR(AZ1561=8,AZ1561=9),"",IF(OR(AW1561=3,AW1561=4,AW1561=5,AW1561=6),VLOOKUP(AU1561,INDEX((係数_バス貨物_ガソリン,係数_バス貨物_CNG,係数_バス貨物_軽油,係数_バス貨物_メタノール,係数_バス貨物_LPG),MATCH(AY1561,【参考】排出係数!$AI$4:$AI$671,1),1,BE1561):INDEX((係数_バス貨物_ガソリン,係数_バス貨物_CNG,係数_バス貨物_軽油,係数_バス貨物_メタノール,係数_バス貨物_LPG),MATCH(AY1561+1,【参考】排出係数!$AI$4:$AI$671,1)-1,5,BE1561),2,FALSE),IF(OR(AW1561=1,AW1561=2),VLOOKUP(AU1561,INDEX((係数_乗用_ガソリン,係数_乗用_CNG,係数_乗用_軽油,係数_乗用_メタノール,係数_乗用_LPG),1,1,BE1561):INDEX((係数_乗用_ガソリン,係数_乗用_CNG,係数_乗用_軽油,係数_乗用_メタノール,係数_乗用_LPG),125,5,BE1561),2,FALSE))))))</f>
        <v/>
      </c>
      <c r="BB1561" s="468" t="str">
        <f>IF(T1561="","",IF(OR(AU1561="",AU1561="-"),"－",IF(OR(AZ1561=8,AZ1561=9),"",IF(OR(AW1561=3,AW1561=4,AW1561=5,AW1561=6),VLOOKUP(AU1561,INDEX((係数_バス貨物_ガソリン,係数_バス貨物_CNG,係数_バス貨物_軽油,係数_バス貨物_メタノール,係数_バス貨物_LPG),MATCH(AY1561,【参考】排出係数!$AI$4:$AI$671,1),1,BE1561):INDEX((係数_バス貨物_ガソリン,係数_バス貨物_CNG,係数_バス貨物_軽油,係数_バス貨物_メタノール,係数_バス貨物_LPG),MATCH(AY1561+1,【参考】排出係数!$AI$4:$AI$671,1)-1,5,BE1561),3,FALSE),IF(OR(AW1561=1,AW1561=2),VLOOKUP(AU1561,INDEX((係数_乗用_ガソリン,係数_乗用_CNG,係数_乗用_軽油,係数_乗用_メタノール,係数_乗用_LPG),1,1,BE1561):INDEX((係数_乗用_ガソリン,係数_乗用_CNG,係数_乗用_軽油,係数_乗用_メタノール,係数_乗用_LPG),125,5,BE1561),3,FALSE))))))</f>
        <v/>
      </c>
      <c r="BC1561" s="467" t="str">
        <f t="shared" si="900"/>
        <v/>
      </c>
      <c r="BD1561" s="567" t="str">
        <f t="shared" si="901"/>
        <v/>
      </c>
      <c r="BE1561" s="467" t="str">
        <f t="shared" si="902"/>
        <v/>
      </c>
      <c r="BF1561" s="469" t="str">
        <f t="shared" ca="1" si="903"/>
        <v/>
      </c>
      <c r="BG1561" s="469" t="str">
        <f t="shared" ca="1" si="904"/>
        <v/>
      </c>
      <c r="BH1561" s="467" t="str">
        <f t="shared" si="905"/>
        <v/>
      </c>
      <c r="BI1561" s="467" t="str">
        <f t="shared" ca="1" si="906"/>
        <v/>
      </c>
      <c r="BJ1561" s="469" t="str">
        <f t="shared" si="907"/>
        <v/>
      </c>
      <c r="BK1561" s="470" t="str">
        <f t="shared" si="891"/>
        <v/>
      </c>
      <c r="BL1561" s="775" t="str">
        <f t="shared" si="908"/>
        <v/>
      </c>
      <c r="BM1561" s="775" t="str">
        <f t="shared" si="909"/>
        <v/>
      </c>
    </row>
    <row r="1562" spans="1:65">
      <c r="A1562" s="473">
        <v>1506</v>
      </c>
      <c r="B1562" s="132"/>
      <c r="C1562" s="332"/>
      <c r="D1562" s="333"/>
      <c r="E1562" s="333"/>
      <c r="F1562" s="334"/>
      <c r="G1562" s="337"/>
      <c r="H1562" s="131"/>
      <c r="I1562" s="337"/>
      <c r="J1562" s="131"/>
      <c r="K1562" s="458" t="str">
        <f t="shared" si="872"/>
        <v/>
      </c>
      <c r="L1562" s="458">
        <f t="shared" si="873"/>
        <v>0</v>
      </c>
      <c r="M1562" s="458">
        <f t="shared" si="874"/>
        <v>0</v>
      </c>
      <c r="N1562" s="459" t="str">
        <f t="shared" si="885"/>
        <v/>
      </c>
      <c r="O1562" s="459" t="str">
        <f t="shared" si="886"/>
        <v/>
      </c>
      <c r="P1562" s="459" t="str">
        <f t="shared" si="887"/>
        <v/>
      </c>
      <c r="Q1562" s="459" t="str">
        <f t="shared" si="888"/>
        <v/>
      </c>
      <c r="R1562" s="459" t="str">
        <f t="shared" si="889"/>
        <v/>
      </c>
      <c r="S1562" s="459" t="str">
        <f t="shared" si="890"/>
        <v/>
      </c>
      <c r="T1562" s="566" t="str">
        <f t="shared" si="875"/>
        <v/>
      </c>
      <c r="U1562" s="702"/>
      <c r="V1562" s="132"/>
      <c r="W1562" s="133"/>
      <c r="X1562" s="134"/>
      <c r="Y1562" s="135"/>
      <c r="Z1562" s="137"/>
      <c r="AA1562" s="136"/>
      <c r="AB1562" s="566" t="str">
        <f t="shared" si="876"/>
        <v/>
      </c>
      <c r="AC1562" s="568" t="str">
        <f t="shared" si="877"/>
        <v/>
      </c>
      <c r="AD1562" s="137"/>
      <c r="AE1562" s="137"/>
      <c r="AF1562" s="138"/>
      <c r="AG1562" s="138"/>
      <c r="AH1562" s="592" t="str">
        <f t="shared" si="878"/>
        <v/>
      </c>
      <c r="AI1562" s="592" t="str">
        <f t="shared" si="879"/>
        <v/>
      </c>
      <c r="AJ1562" s="592" t="str">
        <f t="shared" si="880"/>
        <v/>
      </c>
      <c r="AK1562" s="460" t="str">
        <f>IF(AU1562="","",IF(OR(AZ1562=8,AZ1562=9),0,IF(OR(AW1562=3,AW1562=4,AW1562=5,AW1562=6),IF(LEFT(BF1562,1)="1",INDEX(係数_NOX・PM低減,MATCH(AY1562,【参考】排出係数!$AI$801:$AI$804,1),1),VLOOKUP(AU1562,INDEX((係数_バス貨物_ガソリン,係数_バス貨物_CNG,係数_バス貨物_軽油,係数_バス貨物_メタノール,係数_バス貨物_LPG),MATCH(AY1562,【参考】排出係数!$AI$4:$AI$671,1),1,BE1562):INDEX((係数_バス貨物_ガソリン,係数_バス貨物_CNG,係数_バス貨物_軽油,係数_バス貨物_メタノール,係数_バス貨物_LPG),MATCH(AY1562+1,【参考】排出係数!$AI$4:$AI$671,1)-1,5,BE1562),4,FALSE)),IF(AND(BE1562=3,LEFT(BF1562,1)="1"),0.48,VLOOKUP(AU1562,INDEX((係数_乗用_ガソリン,係数_乗用_CNG,係数_乗用_軽油,係数_乗用_メタノール,係数_乗用_LPG),1,1,BE1562):INDEX((係数_乗用_ガソリン,係数_乗用_CNG,係数_乗用_軽油,係数_乗用_メタノール,係数_乗用_LPG),125,5,BE1562),4,FALSE)))))</f>
        <v/>
      </c>
      <c r="AL1562" s="461" t="str">
        <f t="shared" si="881"/>
        <v/>
      </c>
      <c r="AM1562" s="460" t="str">
        <f>IF(AU1562="","",IF(OR(AZ1562=8,AZ1562=9),0,IF(OR(AW1562=3,AW1562=4,AW1562=5,AW1562=6),IF(LEFT(BH1562,1)="1",INDEX(係数_PM低減,MATCH(AY1562,【参考】排出係数!$AI$801:$AI$804,1),MATCH(BI1562,【参考】排出係数!$AL$798:$AO$798,1)),VLOOKUP(AU1562,INDEX((係数_バス貨物_ガソリン,係数_バス貨物_CNG,係数_バス貨物_軽油,係数_バス貨物_メタノール,係数_バス貨物_LPG),MATCH(AY1562,【参考】排出係数!$AI$4:$AI$671,1),1,BE1562):INDEX((係数_バス貨物_ガソリン,係数_バス貨物_CNG,係数_バス貨物_軽油,係数_バス貨物_メタノール,係数_バス貨物_LPG),MATCH(AY1562+1,【参考】排出係数!$AI$4:$AI$671,1)-1,5,BE1562),5,FALSE)),IF(AND(BE1562=3,LEFT(BF1562,1)="1"),0.055,VLOOKUP(AU1562,INDEX((係数_乗用_ガソリン,係数_乗用_CNG,係数_乗用_軽油,係数_乗用_メタノール,係数_乗用_LPG),1,1,BE1562):INDEX((係数_乗用_ガソリン,係数_乗用_CNG,係数_乗用_軽油,係数_乗用_メタノール,係数_乗用_LPG),125,5,BE1562),5,FALSE)))))</f>
        <v/>
      </c>
      <c r="AN1562" s="461" t="str">
        <f t="shared" si="882"/>
        <v/>
      </c>
      <c r="AO1562" s="462" t="str">
        <f t="shared" si="883"/>
        <v/>
      </c>
      <c r="AP1562" s="463" t="str">
        <f t="shared" si="884"/>
        <v/>
      </c>
      <c r="AQ1562" s="464"/>
      <c r="AR1562" s="619"/>
      <c r="AS1562" s="465" t="str">
        <f t="shared" si="892"/>
        <v/>
      </c>
      <c r="AT1562" s="465" t="str">
        <f t="shared" si="893"/>
        <v/>
      </c>
      <c r="AU1562" s="466" t="str">
        <f t="shared" si="894"/>
        <v/>
      </c>
      <c r="AV1562" s="467" t="str">
        <f t="shared" si="895"/>
        <v/>
      </c>
      <c r="AW1562" s="467" t="str">
        <f t="shared" si="896"/>
        <v/>
      </c>
      <c r="AX1562" s="467" t="str">
        <f t="shared" si="897"/>
        <v/>
      </c>
      <c r="AY1562" s="467" t="str">
        <f t="shared" si="898"/>
        <v/>
      </c>
      <c r="AZ1562" s="467" t="str">
        <f t="shared" si="899"/>
        <v/>
      </c>
      <c r="BA1562" s="468" t="str">
        <f>IF(AS1562="","",IF(OR(AU1562="",AU1562="-"),"－",IF(OR(AZ1562=8,AZ1562=9),"",IF(OR(AW1562=3,AW1562=4,AW1562=5,AW1562=6),VLOOKUP(AU1562,INDEX((係数_バス貨物_ガソリン,係数_バス貨物_CNG,係数_バス貨物_軽油,係数_バス貨物_メタノール,係数_バス貨物_LPG),MATCH(AY1562,【参考】排出係数!$AI$4:$AI$671,1),1,BE1562):INDEX((係数_バス貨物_ガソリン,係数_バス貨物_CNG,係数_バス貨物_軽油,係数_バス貨物_メタノール,係数_バス貨物_LPG),MATCH(AY1562+1,【参考】排出係数!$AI$4:$AI$671,1)-1,5,BE1562),2,FALSE),IF(OR(AW1562=1,AW1562=2),VLOOKUP(AU1562,INDEX((係数_乗用_ガソリン,係数_乗用_CNG,係数_乗用_軽油,係数_乗用_メタノール,係数_乗用_LPG),1,1,BE1562):INDEX((係数_乗用_ガソリン,係数_乗用_CNG,係数_乗用_軽油,係数_乗用_メタノール,係数_乗用_LPG),125,5,BE1562),2,FALSE))))))</f>
        <v/>
      </c>
      <c r="BB1562" s="468" t="str">
        <f>IF(T1562="","",IF(OR(AU1562="",AU1562="-"),"－",IF(OR(AZ1562=8,AZ1562=9),"",IF(OR(AW1562=3,AW1562=4,AW1562=5,AW1562=6),VLOOKUP(AU1562,INDEX((係数_バス貨物_ガソリン,係数_バス貨物_CNG,係数_バス貨物_軽油,係数_バス貨物_メタノール,係数_バス貨物_LPG),MATCH(AY1562,【参考】排出係数!$AI$4:$AI$671,1),1,BE1562):INDEX((係数_バス貨物_ガソリン,係数_バス貨物_CNG,係数_バス貨物_軽油,係数_バス貨物_メタノール,係数_バス貨物_LPG),MATCH(AY1562+1,【参考】排出係数!$AI$4:$AI$671,1)-1,5,BE1562),3,FALSE),IF(OR(AW1562=1,AW1562=2),VLOOKUP(AU1562,INDEX((係数_乗用_ガソリン,係数_乗用_CNG,係数_乗用_軽油,係数_乗用_メタノール,係数_乗用_LPG),1,1,BE1562):INDEX((係数_乗用_ガソリン,係数_乗用_CNG,係数_乗用_軽油,係数_乗用_メタノール,係数_乗用_LPG),125,5,BE1562),3,FALSE))))))</f>
        <v/>
      </c>
      <c r="BC1562" s="467" t="str">
        <f t="shared" si="900"/>
        <v/>
      </c>
      <c r="BD1562" s="567" t="str">
        <f t="shared" si="901"/>
        <v/>
      </c>
      <c r="BE1562" s="467" t="str">
        <f t="shared" si="902"/>
        <v/>
      </c>
      <c r="BF1562" s="469" t="str">
        <f t="shared" ca="1" si="903"/>
        <v/>
      </c>
      <c r="BG1562" s="469" t="str">
        <f t="shared" ca="1" si="904"/>
        <v/>
      </c>
      <c r="BH1562" s="467" t="str">
        <f t="shared" si="905"/>
        <v/>
      </c>
      <c r="BI1562" s="467" t="str">
        <f t="shared" ca="1" si="906"/>
        <v/>
      </c>
      <c r="BJ1562" s="469" t="str">
        <f t="shared" si="907"/>
        <v/>
      </c>
      <c r="BK1562" s="470" t="str">
        <f t="shared" si="891"/>
        <v/>
      </c>
      <c r="BL1562" s="775" t="str">
        <f t="shared" si="908"/>
        <v/>
      </c>
      <c r="BM1562" s="775" t="str">
        <f t="shared" si="909"/>
        <v/>
      </c>
    </row>
    <row r="1563" spans="1:65">
      <c r="A1563" s="473">
        <v>1507</v>
      </c>
      <c r="B1563" s="132"/>
      <c r="C1563" s="332"/>
      <c r="D1563" s="333"/>
      <c r="E1563" s="333"/>
      <c r="F1563" s="334"/>
      <c r="G1563" s="337"/>
      <c r="H1563" s="131"/>
      <c r="I1563" s="337"/>
      <c r="J1563" s="131"/>
      <c r="K1563" s="458" t="str">
        <f t="shared" si="872"/>
        <v/>
      </c>
      <c r="L1563" s="458">
        <f t="shared" si="873"/>
        <v>0</v>
      </c>
      <c r="M1563" s="458">
        <f t="shared" si="874"/>
        <v>0</v>
      </c>
      <c r="N1563" s="459" t="str">
        <f t="shared" si="885"/>
        <v/>
      </c>
      <c r="O1563" s="459" t="str">
        <f t="shared" si="886"/>
        <v/>
      </c>
      <c r="P1563" s="459" t="str">
        <f t="shared" si="887"/>
        <v/>
      </c>
      <c r="Q1563" s="459" t="str">
        <f t="shared" si="888"/>
        <v/>
      </c>
      <c r="R1563" s="459" t="str">
        <f t="shared" si="889"/>
        <v/>
      </c>
      <c r="S1563" s="459" t="str">
        <f t="shared" si="890"/>
        <v/>
      </c>
      <c r="T1563" s="566" t="str">
        <f t="shared" si="875"/>
        <v/>
      </c>
      <c r="U1563" s="702"/>
      <c r="V1563" s="132"/>
      <c r="W1563" s="133"/>
      <c r="X1563" s="134"/>
      <c r="Y1563" s="135"/>
      <c r="Z1563" s="137"/>
      <c r="AA1563" s="136"/>
      <c r="AB1563" s="566" t="str">
        <f t="shared" si="876"/>
        <v/>
      </c>
      <c r="AC1563" s="568" t="str">
        <f t="shared" si="877"/>
        <v/>
      </c>
      <c r="AD1563" s="137"/>
      <c r="AE1563" s="137"/>
      <c r="AF1563" s="138"/>
      <c r="AG1563" s="138"/>
      <c r="AH1563" s="592" t="str">
        <f t="shared" si="878"/>
        <v/>
      </c>
      <c r="AI1563" s="592" t="str">
        <f t="shared" si="879"/>
        <v/>
      </c>
      <c r="AJ1563" s="592" t="str">
        <f t="shared" si="880"/>
        <v/>
      </c>
      <c r="AK1563" s="460" t="str">
        <f>IF(AU1563="","",IF(OR(AZ1563=8,AZ1563=9),0,IF(OR(AW1563=3,AW1563=4,AW1563=5,AW1563=6),IF(LEFT(BF1563,1)="1",INDEX(係数_NOX・PM低減,MATCH(AY1563,【参考】排出係数!$AI$801:$AI$804,1),1),VLOOKUP(AU1563,INDEX((係数_バス貨物_ガソリン,係数_バス貨物_CNG,係数_バス貨物_軽油,係数_バス貨物_メタノール,係数_バス貨物_LPG),MATCH(AY1563,【参考】排出係数!$AI$4:$AI$671,1),1,BE1563):INDEX((係数_バス貨物_ガソリン,係数_バス貨物_CNG,係数_バス貨物_軽油,係数_バス貨物_メタノール,係数_バス貨物_LPG),MATCH(AY1563+1,【参考】排出係数!$AI$4:$AI$671,1)-1,5,BE1563),4,FALSE)),IF(AND(BE1563=3,LEFT(BF1563,1)="1"),0.48,VLOOKUP(AU1563,INDEX((係数_乗用_ガソリン,係数_乗用_CNG,係数_乗用_軽油,係数_乗用_メタノール,係数_乗用_LPG),1,1,BE1563):INDEX((係数_乗用_ガソリン,係数_乗用_CNG,係数_乗用_軽油,係数_乗用_メタノール,係数_乗用_LPG),125,5,BE1563),4,FALSE)))))</f>
        <v/>
      </c>
      <c r="AL1563" s="461" t="str">
        <f t="shared" si="881"/>
        <v/>
      </c>
      <c r="AM1563" s="460" t="str">
        <f>IF(AU1563="","",IF(OR(AZ1563=8,AZ1563=9),0,IF(OR(AW1563=3,AW1563=4,AW1563=5,AW1563=6),IF(LEFT(BH1563,1)="1",INDEX(係数_PM低減,MATCH(AY1563,【参考】排出係数!$AI$801:$AI$804,1),MATCH(BI1563,【参考】排出係数!$AL$798:$AO$798,1)),VLOOKUP(AU1563,INDEX((係数_バス貨物_ガソリン,係数_バス貨物_CNG,係数_バス貨物_軽油,係数_バス貨物_メタノール,係数_バス貨物_LPG),MATCH(AY1563,【参考】排出係数!$AI$4:$AI$671,1),1,BE1563):INDEX((係数_バス貨物_ガソリン,係数_バス貨物_CNG,係数_バス貨物_軽油,係数_バス貨物_メタノール,係数_バス貨物_LPG),MATCH(AY1563+1,【参考】排出係数!$AI$4:$AI$671,1)-1,5,BE1563),5,FALSE)),IF(AND(BE1563=3,LEFT(BF1563,1)="1"),0.055,VLOOKUP(AU1563,INDEX((係数_乗用_ガソリン,係数_乗用_CNG,係数_乗用_軽油,係数_乗用_メタノール,係数_乗用_LPG),1,1,BE1563):INDEX((係数_乗用_ガソリン,係数_乗用_CNG,係数_乗用_軽油,係数_乗用_メタノール,係数_乗用_LPG),125,5,BE1563),5,FALSE)))))</f>
        <v/>
      </c>
      <c r="AN1563" s="461" t="str">
        <f t="shared" si="882"/>
        <v/>
      </c>
      <c r="AO1563" s="462" t="str">
        <f t="shared" si="883"/>
        <v/>
      </c>
      <c r="AP1563" s="463" t="str">
        <f t="shared" si="884"/>
        <v/>
      </c>
      <c r="AQ1563" s="464"/>
      <c r="AR1563" s="619"/>
      <c r="AS1563" s="465" t="str">
        <f t="shared" si="892"/>
        <v/>
      </c>
      <c r="AT1563" s="465" t="str">
        <f t="shared" si="893"/>
        <v/>
      </c>
      <c r="AU1563" s="466" t="str">
        <f t="shared" si="894"/>
        <v/>
      </c>
      <c r="AV1563" s="467" t="str">
        <f t="shared" si="895"/>
        <v/>
      </c>
      <c r="AW1563" s="467" t="str">
        <f t="shared" si="896"/>
        <v/>
      </c>
      <c r="AX1563" s="467" t="str">
        <f t="shared" si="897"/>
        <v/>
      </c>
      <c r="AY1563" s="467" t="str">
        <f t="shared" si="898"/>
        <v/>
      </c>
      <c r="AZ1563" s="467" t="str">
        <f t="shared" si="899"/>
        <v/>
      </c>
      <c r="BA1563" s="468" t="str">
        <f>IF(AS1563="","",IF(OR(AU1563="",AU1563="-"),"－",IF(OR(AZ1563=8,AZ1563=9),"",IF(OR(AW1563=3,AW1563=4,AW1563=5,AW1563=6),VLOOKUP(AU1563,INDEX((係数_バス貨物_ガソリン,係数_バス貨物_CNG,係数_バス貨物_軽油,係数_バス貨物_メタノール,係数_バス貨物_LPG),MATCH(AY1563,【参考】排出係数!$AI$4:$AI$671,1),1,BE1563):INDEX((係数_バス貨物_ガソリン,係数_バス貨物_CNG,係数_バス貨物_軽油,係数_バス貨物_メタノール,係数_バス貨物_LPG),MATCH(AY1563+1,【参考】排出係数!$AI$4:$AI$671,1)-1,5,BE1563),2,FALSE),IF(OR(AW1563=1,AW1563=2),VLOOKUP(AU1563,INDEX((係数_乗用_ガソリン,係数_乗用_CNG,係数_乗用_軽油,係数_乗用_メタノール,係数_乗用_LPG),1,1,BE1563):INDEX((係数_乗用_ガソリン,係数_乗用_CNG,係数_乗用_軽油,係数_乗用_メタノール,係数_乗用_LPG),125,5,BE1563),2,FALSE))))))</f>
        <v/>
      </c>
      <c r="BB1563" s="468" t="str">
        <f>IF(T1563="","",IF(OR(AU1563="",AU1563="-"),"－",IF(OR(AZ1563=8,AZ1563=9),"",IF(OR(AW1563=3,AW1563=4,AW1563=5,AW1563=6),VLOOKUP(AU1563,INDEX((係数_バス貨物_ガソリン,係数_バス貨物_CNG,係数_バス貨物_軽油,係数_バス貨物_メタノール,係数_バス貨物_LPG),MATCH(AY1563,【参考】排出係数!$AI$4:$AI$671,1),1,BE1563):INDEX((係数_バス貨物_ガソリン,係数_バス貨物_CNG,係数_バス貨物_軽油,係数_バス貨物_メタノール,係数_バス貨物_LPG),MATCH(AY1563+1,【参考】排出係数!$AI$4:$AI$671,1)-1,5,BE1563),3,FALSE),IF(OR(AW1563=1,AW1563=2),VLOOKUP(AU1563,INDEX((係数_乗用_ガソリン,係数_乗用_CNG,係数_乗用_軽油,係数_乗用_メタノール,係数_乗用_LPG),1,1,BE1563):INDEX((係数_乗用_ガソリン,係数_乗用_CNG,係数_乗用_軽油,係数_乗用_メタノール,係数_乗用_LPG),125,5,BE1563),3,FALSE))))))</f>
        <v/>
      </c>
      <c r="BC1563" s="467" t="str">
        <f t="shared" si="900"/>
        <v/>
      </c>
      <c r="BD1563" s="567" t="str">
        <f t="shared" si="901"/>
        <v/>
      </c>
      <c r="BE1563" s="467" t="str">
        <f t="shared" si="902"/>
        <v/>
      </c>
      <c r="BF1563" s="469" t="str">
        <f t="shared" ca="1" si="903"/>
        <v/>
      </c>
      <c r="BG1563" s="469" t="str">
        <f t="shared" ca="1" si="904"/>
        <v/>
      </c>
      <c r="BH1563" s="467" t="str">
        <f t="shared" si="905"/>
        <v/>
      </c>
      <c r="BI1563" s="467" t="str">
        <f t="shared" ca="1" si="906"/>
        <v/>
      </c>
      <c r="BJ1563" s="469" t="str">
        <f t="shared" si="907"/>
        <v/>
      </c>
      <c r="BK1563" s="470" t="str">
        <f t="shared" si="891"/>
        <v/>
      </c>
      <c r="BL1563" s="775" t="str">
        <f t="shared" si="908"/>
        <v/>
      </c>
      <c r="BM1563" s="775" t="str">
        <f t="shared" si="909"/>
        <v/>
      </c>
    </row>
    <row r="1564" spans="1:65">
      <c r="A1564" s="473">
        <v>1508</v>
      </c>
      <c r="B1564" s="132"/>
      <c r="C1564" s="332"/>
      <c r="D1564" s="333"/>
      <c r="E1564" s="333"/>
      <c r="F1564" s="334"/>
      <c r="G1564" s="337"/>
      <c r="H1564" s="131"/>
      <c r="I1564" s="337"/>
      <c r="J1564" s="131"/>
      <c r="K1564" s="458" t="str">
        <f t="shared" si="872"/>
        <v/>
      </c>
      <c r="L1564" s="458">
        <f t="shared" si="873"/>
        <v>0</v>
      </c>
      <c r="M1564" s="458">
        <f t="shared" si="874"/>
        <v>0</v>
      </c>
      <c r="N1564" s="459" t="str">
        <f t="shared" si="885"/>
        <v/>
      </c>
      <c r="O1564" s="459" t="str">
        <f t="shared" si="886"/>
        <v/>
      </c>
      <c r="P1564" s="459" t="str">
        <f t="shared" si="887"/>
        <v/>
      </c>
      <c r="Q1564" s="459" t="str">
        <f t="shared" si="888"/>
        <v/>
      </c>
      <c r="R1564" s="459" t="str">
        <f t="shared" si="889"/>
        <v/>
      </c>
      <c r="S1564" s="459" t="str">
        <f t="shared" si="890"/>
        <v/>
      </c>
      <c r="T1564" s="566" t="str">
        <f t="shared" si="875"/>
        <v/>
      </c>
      <c r="U1564" s="702"/>
      <c r="V1564" s="132"/>
      <c r="W1564" s="133"/>
      <c r="X1564" s="134"/>
      <c r="Y1564" s="135"/>
      <c r="Z1564" s="137"/>
      <c r="AA1564" s="136"/>
      <c r="AB1564" s="566" t="str">
        <f t="shared" si="876"/>
        <v/>
      </c>
      <c r="AC1564" s="568" t="str">
        <f t="shared" si="877"/>
        <v/>
      </c>
      <c r="AD1564" s="137"/>
      <c r="AE1564" s="137"/>
      <c r="AF1564" s="138"/>
      <c r="AG1564" s="138"/>
      <c r="AH1564" s="592" t="str">
        <f t="shared" si="878"/>
        <v/>
      </c>
      <c r="AI1564" s="592" t="str">
        <f t="shared" si="879"/>
        <v/>
      </c>
      <c r="AJ1564" s="592" t="str">
        <f t="shared" si="880"/>
        <v/>
      </c>
      <c r="AK1564" s="460" t="str">
        <f>IF(AU1564="","",IF(OR(AZ1564=8,AZ1564=9),0,IF(OR(AW1564=3,AW1564=4,AW1564=5,AW1564=6),IF(LEFT(BF1564,1)="1",INDEX(係数_NOX・PM低減,MATCH(AY1564,【参考】排出係数!$AI$801:$AI$804,1),1),VLOOKUP(AU1564,INDEX((係数_バス貨物_ガソリン,係数_バス貨物_CNG,係数_バス貨物_軽油,係数_バス貨物_メタノール,係数_バス貨物_LPG),MATCH(AY1564,【参考】排出係数!$AI$4:$AI$671,1),1,BE1564):INDEX((係数_バス貨物_ガソリン,係数_バス貨物_CNG,係数_バス貨物_軽油,係数_バス貨物_メタノール,係数_バス貨物_LPG),MATCH(AY1564+1,【参考】排出係数!$AI$4:$AI$671,1)-1,5,BE1564),4,FALSE)),IF(AND(BE1564=3,LEFT(BF1564,1)="1"),0.48,VLOOKUP(AU1564,INDEX((係数_乗用_ガソリン,係数_乗用_CNG,係数_乗用_軽油,係数_乗用_メタノール,係数_乗用_LPG),1,1,BE1564):INDEX((係数_乗用_ガソリン,係数_乗用_CNG,係数_乗用_軽油,係数_乗用_メタノール,係数_乗用_LPG),125,5,BE1564),4,FALSE)))))</f>
        <v/>
      </c>
      <c r="AL1564" s="461" t="str">
        <f t="shared" si="881"/>
        <v/>
      </c>
      <c r="AM1564" s="460" t="str">
        <f>IF(AU1564="","",IF(OR(AZ1564=8,AZ1564=9),0,IF(OR(AW1564=3,AW1564=4,AW1564=5,AW1564=6),IF(LEFT(BH1564,1)="1",INDEX(係数_PM低減,MATCH(AY1564,【参考】排出係数!$AI$801:$AI$804,1),MATCH(BI1564,【参考】排出係数!$AL$798:$AO$798,1)),VLOOKUP(AU1564,INDEX((係数_バス貨物_ガソリン,係数_バス貨物_CNG,係数_バス貨物_軽油,係数_バス貨物_メタノール,係数_バス貨物_LPG),MATCH(AY1564,【参考】排出係数!$AI$4:$AI$671,1),1,BE1564):INDEX((係数_バス貨物_ガソリン,係数_バス貨物_CNG,係数_バス貨物_軽油,係数_バス貨物_メタノール,係数_バス貨物_LPG),MATCH(AY1564+1,【参考】排出係数!$AI$4:$AI$671,1)-1,5,BE1564),5,FALSE)),IF(AND(BE1564=3,LEFT(BF1564,1)="1"),0.055,VLOOKUP(AU1564,INDEX((係数_乗用_ガソリン,係数_乗用_CNG,係数_乗用_軽油,係数_乗用_メタノール,係数_乗用_LPG),1,1,BE1564):INDEX((係数_乗用_ガソリン,係数_乗用_CNG,係数_乗用_軽油,係数_乗用_メタノール,係数_乗用_LPG),125,5,BE1564),5,FALSE)))))</f>
        <v/>
      </c>
      <c r="AN1564" s="461" t="str">
        <f t="shared" si="882"/>
        <v/>
      </c>
      <c r="AO1564" s="462" t="str">
        <f t="shared" si="883"/>
        <v/>
      </c>
      <c r="AP1564" s="463" t="str">
        <f t="shared" si="884"/>
        <v/>
      </c>
      <c r="AQ1564" s="464"/>
      <c r="AR1564" s="619"/>
      <c r="AS1564" s="465" t="str">
        <f t="shared" si="892"/>
        <v/>
      </c>
      <c r="AT1564" s="465" t="str">
        <f t="shared" si="893"/>
        <v/>
      </c>
      <c r="AU1564" s="466" t="str">
        <f t="shared" si="894"/>
        <v/>
      </c>
      <c r="AV1564" s="467" t="str">
        <f t="shared" si="895"/>
        <v/>
      </c>
      <c r="AW1564" s="467" t="str">
        <f t="shared" si="896"/>
        <v/>
      </c>
      <c r="AX1564" s="467" t="str">
        <f t="shared" si="897"/>
        <v/>
      </c>
      <c r="AY1564" s="467" t="str">
        <f t="shared" si="898"/>
        <v/>
      </c>
      <c r="AZ1564" s="467" t="str">
        <f t="shared" si="899"/>
        <v/>
      </c>
      <c r="BA1564" s="468" t="str">
        <f>IF(AS1564="","",IF(OR(AU1564="",AU1564="-"),"－",IF(OR(AZ1564=8,AZ1564=9),"",IF(OR(AW1564=3,AW1564=4,AW1564=5,AW1564=6),VLOOKUP(AU1564,INDEX((係数_バス貨物_ガソリン,係数_バス貨物_CNG,係数_バス貨物_軽油,係数_バス貨物_メタノール,係数_バス貨物_LPG),MATCH(AY1564,【参考】排出係数!$AI$4:$AI$671,1),1,BE1564):INDEX((係数_バス貨物_ガソリン,係数_バス貨物_CNG,係数_バス貨物_軽油,係数_バス貨物_メタノール,係数_バス貨物_LPG),MATCH(AY1564+1,【参考】排出係数!$AI$4:$AI$671,1)-1,5,BE1564),2,FALSE),IF(OR(AW1564=1,AW1564=2),VLOOKUP(AU1564,INDEX((係数_乗用_ガソリン,係数_乗用_CNG,係数_乗用_軽油,係数_乗用_メタノール,係数_乗用_LPG),1,1,BE1564):INDEX((係数_乗用_ガソリン,係数_乗用_CNG,係数_乗用_軽油,係数_乗用_メタノール,係数_乗用_LPG),125,5,BE1564),2,FALSE))))))</f>
        <v/>
      </c>
      <c r="BB1564" s="468" t="str">
        <f>IF(T1564="","",IF(OR(AU1564="",AU1564="-"),"－",IF(OR(AZ1564=8,AZ1564=9),"",IF(OR(AW1564=3,AW1564=4,AW1564=5,AW1564=6),VLOOKUP(AU1564,INDEX((係数_バス貨物_ガソリン,係数_バス貨物_CNG,係数_バス貨物_軽油,係数_バス貨物_メタノール,係数_バス貨物_LPG),MATCH(AY1564,【参考】排出係数!$AI$4:$AI$671,1),1,BE1564):INDEX((係数_バス貨物_ガソリン,係数_バス貨物_CNG,係数_バス貨物_軽油,係数_バス貨物_メタノール,係数_バス貨物_LPG),MATCH(AY1564+1,【参考】排出係数!$AI$4:$AI$671,1)-1,5,BE1564),3,FALSE),IF(OR(AW1564=1,AW1564=2),VLOOKUP(AU1564,INDEX((係数_乗用_ガソリン,係数_乗用_CNG,係数_乗用_軽油,係数_乗用_メタノール,係数_乗用_LPG),1,1,BE1564):INDEX((係数_乗用_ガソリン,係数_乗用_CNG,係数_乗用_軽油,係数_乗用_メタノール,係数_乗用_LPG),125,5,BE1564),3,FALSE))))))</f>
        <v/>
      </c>
      <c r="BC1564" s="467" t="str">
        <f t="shared" si="900"/>
        <v/>
      </c>
      <c r="BD1564" s="567" t="str">
        <f t="shared" si="901"/>
        <v/>
      </c>
      <c r="BE1564" s="467" t="str">
        <f t="shared" si="902"/>
        <v/>
      </c>
      <c r="BF1564" s="469" t="str">
        <f t="shared" ca="1" si="903"/>
        <v/>
      </c>
      <c r="BG1564" s="469" t="str">
        <f t="shared" ca="1" si="904"/>
        <v/>
      </c>
      <c r="BH1564" s="467" t="str">
        <f t="shared" si="905"/>
        <v/>
      </c>
      <c r="BI1564" s="467" t="str">
        <f t="shared" ca="1" si="906"/>
        <v/>
      </c>
      <c r="BJ1564" s="469" t="str">
        <f t="shared" si="907"/>
        <v/>
      </c>
      <c r="BK1564" s="470" t="str">
        <f t="shared" si="891"/>
        <v/>
      </c>
      <c r="BL1564" s="775" t="str">
        <f t="shared" si="908"/>
        <v/>
      </c>
      <c r="BM1564" s="775" t="str">
        <f t="shared" si="909"/>
        <v/>
      </c>
    </row>
    <row r="1565" spans="1:65">
      <c r="A1565" s="473">
        <v>1509</v>
      </c>
      <c r="B1565" s="132"/>
      <c r="C1565" s="332"/>
      <c r="D1565" s="333"/>
      <c r="E1565" s="333"/>
      <c r="F1565" s="334"/>
      <c r="G1565" s="337"/>
      <c r="H1565" s="131"/>
      <c r="I1565" s="337"/>
      <c r="J1565" s="131"/>
      <c r="K1565" s="458" t="str">
        <f t="shared" si="872"/>
        <v/>
      </c>
      <c r="L1565" s="458">
        <f t="shared" si="873"/>
        <v>0</v>
      </c>
      <c r="M1565" s="458">
        <f t="shared" si="874"/>
        <v>0</v>
      </c>
      <c r="N1565" s="459" t="str">
        <f t="shared" si="885"/>
        <v/>
      </c>
      <c r="O1565" s="459" t="str">
        <f t="shared" si="886"/>
        <v/>
      </c>
      <c r="P1565" s="459" t="str">
        <f t="shared" si="887"/>
        <v/>
      </c>
      <c r="Q1565" s="459" t="str">
        <f t="shared" si="888"/>
        <v/>
      </c>
      <c r="R1565" s="459" t="str">
        <f t="shared" si="889"/>
        <v/>
      </c>
      <c r="S1565" s="459" t="str">
        <f t="shared" si="890"/>
        <v/>
      </c>
      <c r="T1565" s="566" t="str">
        <f t="shared" si="875"/>
        <v/>
      </c>
      <c r="U1565" s="702"/>
      <c r="V1565" s="132"/>
      <c r="W1565" s="133"/>
      <c r="X1565" s="134"/>
      <c r="Y1565" s="135"/>
      <c r="Z1565" s="137"/>
      <c r="AA1565" s="136"/>
      <c r="AB1565" s="566" t="str">
        <f t="shared" si="876"/>
        <v/>
      </c>
      <c r="AC1565" s="568" t="str">
        <f t="shared" si="877"/>
        <v/>
      </c>
      <c r="AD1565" s="137"/>
      <c r="AE1565" s="137"/>
      <c r="AF1565" s="138"/>
      <c r="AG1565" s="138"/>
      <c r="AH1565" s="592" t="str">
        <f t="shared" si="878"/>
        <v/>
      </c>
      <c r="AI1565" s="592" t="str">
        <f t="shared" si="879"/>
        <v/>
      </c>
      <c r="AJ1565" s="592" t="str">
        <f t="shared" si="880"/>
        <v/>
      </c>
      <c r="AK1565" s="460" t="str">
        <f>IF(AU1565="","",IF(OR(AZ1565=8,AZ1565=9),0,IF(OR(AW1565=3,AW1565=4,AW1565=5,AW1565=6),IF(LEFT(BF1565,1)="1",INDEX(係数_NOX・PM低減,MATCH(AY1565,【参考】排出係数!$AI$801:$AI$804,1),1),VLOOKUP(AU1565,INDEX((係数_バス貨物_ガソリン,係数_バス貨物_CNG,係数_バス貨物_軽油,係数_バス貨物_メタノール,係数_バス貨物_LPG),MATCH(AY1565,【参考】排出係数!$AI$4:$AI$671,1),1,BE1565):INDEX((係数_バス貨物_ガソリン,係数_バス貨物_CNG,係数_バス貨物_軽油,係数_バス貨物_メタノール,係数_バス貨物_LPG),MATCH(AY1565+1,【参考】排出係数!$AI$4:$AI$671,1)-1,5,BE1565),4,FALSE)),IF(AND(BE1565=3,LEFT(BF1565,1)="1"),0.48,VLOOKUP(AU1565,INDEX((係数_乗用_ガソリン,係数_乗用_CNG,係数_乗用_軽油,係数_乗用_メタノール,係数_乗用_LPG),1,1,BE1565):INDEX((係数_乗用_ガソリン,係数_乗用_CNG,係数_乗用_軽油,係数_乗用_メタノール,係数_乗用_LPG),125,5,BE1565),4,FALSE)))))</f>
        <v/>
      </c>
      <c r="AL1565" s="461" t="str">
        <f t="shared" si="881"/>
        <v/>
      </c>
      <c r="AM1565" s="460" t="str">
        <f>IF(AU1565="","",IF(OR(AZ1565=8,AZ1565=9),0,IF(OR(AW1565=3,AW1565=4,AW1565=5,AW1565=6),IF(LEFT(BH1565,1)="1",INDEX(係数_PM低減,MATCH(AY1565,【参考】排出係数!$AI$801:$AI$804,1),MATCH(BI1565,【参考】排出係数!$AL$798:$AO$798,1)),VLOOKUP(AU1565,INDEX((係数_バス貨物_ガソリン,係数_バス貨物_CNG,係数_バス貨物_軽油,係数_バス貨物_メタノール,係数_バス貨物_LPG),MATCH(AY1565,【参考】排出係数!$AI$4:$AI$671,1),1,BE1565):INDEX((係数_バス貨物_ガソリン,係数_バス貨物_CNG,係数_バス貨物_軽油,係数_バス貨物_メタノール,係数_バス貨物_LPG),MATCH(AY1565+1,【参考】排出係数!$AI$4:$AI$671,1)-1,5,BE1565),5,FALSE)),IF(AND(BE1565=3,LEFT(BF1565,1)="1"),0.055,VLOOKUP(AU1565,INDEX((係数_乗用_ガソリン,係数_乗用_CNG,係数_乗用_軽油,係数_乗用_メタノール,係数_乗用_LPG),1,1,BE1565):INDEX((係数_乗用_ガソリン,係数_乗用_CNG,係数_乗用_軽油,係数_乗用_メタノール,係数_乗用_LPG),125,5,BE1565),5,FALSE)))))</f>
        <v/>
      </c>
      <c r="AN1565" s="461" t="str">
        <f t="shared" si="882"/>
        <v/>
      </c>
      <c r="AO1565" s="462" t="str">
        <f t="shared" si="883"/>
        <v/>
      </c>
      <c r="AP1565" s="463" t="str">
        <f t="shared" si="884"/>
        <v/>
      </c>
      <c r="AQ1565" s="464"/>
      <c r="AR1565" s="619"/>
      <c r="AS1565" s="465" t="str">
        <f t="shared" si="892"/>
        <v/>
      </c>
      <c r="AT1565" s="465" t="str">
        <f t="shared" si="893"/>
        <v/>
      </c>
      <c r="AU1565" s="466" t="str">
        <f t="shared" si="894"/>
        <v/>
      </c>
      <c r="AV1565" s="467" t="str">
        <f t="shared" si="895"/>
        <v/>
      </c>
      <c r="AW1565" s="467" t="str">
        <f t="shared" si="896"/>
        <v/>
      </c>
      <c r="AX1565" s="467" t="str">
        <f t="shared" si="897"/>
        <v/>
      </c>
      <c r="AY1565" s="467" t="str">
        <f t="shared" si="898"/>
        <v/>
      </c>
      <c r="AZ1565" s="467" t="str">
        <f t="shared" si="899"/>
        <v/>
      </c>
      <c r="BA1565" s="468" t="str">
        <f>IF(AS1565="","",IF(OR(AU1565="",AU1565="-"),"－",IF(OR(AZ1565=8,AZ1565=9),"",IF(OR(AW1565=3,AW1565=4,AW1565=5,AW1565=6),VLOOKUP(AU1565,INDEX((係数_バス貨物_ガソリン,係数_バス貨物_CNG,係数_バス貨物_軽油,係数_バス貨物_メタノール,係数_バス貨物_LPG),MATCH(AY1565,【参考】排出係数!$AI$4:$AI$671,1),1,BE1565):INDEX((係数_バス貨物_ガソリン,係数_バス貨物_CNG,係数_バス貨物_軽油,係数_バス貨物_メタノール,係数_バス貨物_LPG),MATCH(AY1565+1,【参考】排出係数!$AI$4:$AI$671,1)-1,5,BE1565),2,FALSE),IF(OR(AW1565=1,AW1565=2),VLOOKUP(AU1565,INDEX((係数_乗用_ガソリン,係数_乗用_CNG,係数_乗用_軽油,係数_乗用_メタノール,係数_乗用_LPG),1,1,BE1565):INDEX((係数_乗用_ガソリン,係数_乗用_CNG,係数_乗用_軽油,係数_乗用_メタノール,係数_乗用_LPG),125,5,BE1565),2,FALSE))))))</f>
        <v/>
      </c>
      <c r="BB1565" s="468" t="str">
        <f>IF(T1565="","",IF(OR(AU1565="",AU1565="-"),"－",IF(OR(AZ1565=8,AZ1565=9),"",IF(OR(AW1565=3,AW1565=4,AW1565=5,AW1565=6),VLOOKUP(AU1565,INDEX((係数_バス貨物_ガソリン,係数_バス貨物_CNG,係数_バス貨物_軽油,係数_バス貨物_メタノール,係数_バス貨物_LPG),MATCH(AY1565,【参考】排出係数!$AI$4:$AI$671,1),1,BE1565):INDEX((係数_バス貨物_ガソリン,係数_バス貨物_CNG,係数_バス貨物_軽油,係数_バス貨物_メタノール,係数_バス貨物_LPG),MATCH(AY1565+1,【参考】排出係数!$AI$4:$AI$671,1)-1,5,BE1565),3,FALSE),IF(OR(AW1565=1,AW1565=2),VLOOKUP(AU1565,INDEX((係数_乗用_ガソリン,係数_乗用_CNG,係数_乗用_軽油,係数_乗用_メタノール,係数_乗用_LPG),1,1,BE1565):INDEX((係数_乗用_ガソリン,係数_乗用_CNG,係数_乗用_軽油,係数_乗用_メタノール,係数_乗用_LPG),125,5,BE1565),3,FALSE))))))</f>
        <v/>
      </c>
      <c r="BC1565" s="467" t="str">
        <f t="shared" si="900"/>
        <v/>
      </c>
      <c r="BD1565" s="567" t="str">
        <f t="shared" si="901"/>
        <v/>
      </c>
      <c r="BE1565" s="467" t="str">
        <f t="shared" si="902"/>
        <v/>
      </c>
      <c r="BF1565" s="469" t="str">
        <f t="shared" ca="1" si="903"/>
        <v/>
      </c>
      <c r="BG1565" s="469" t="str">
        <f t="shared" ca="1" si="904"/>
        <v/>
      </c>
      <c r="BH1565" s="467" t="str">
        <f t="shared" si="905"/>
        <v/>
      </c>
      <c r="BI1565" s="467" t="str">
        <f t="shared" ca="1" si="906"/>
        <v/>
      </c>
      <c r="BJ1565" s="469" t="str">
        <f t="shared" si="907"/>
        <v/>
      </c>
      <c r="BK1565" s="470" t="str">
        <f t="shared" si="891"/>
        <v/>
      </c>
      <c r="BL1565" s="775" t="str">
        <f t="shared" si="908"/>
        <v/>
      </c>
      <c r="BM1565" s="775" t="str">
        <f t="shared" si="909"/>
        <v/>
      </c>
    </row>
    <row r="1566" spans="1:65">
      <c r="A1566" s="473">
        <v>1510</v>
      </c>
      <c r="B1566" s="132"/>
      <c r="C1566" s="332"/>
      <c r="D1566" s="333"/>
      <c r="E1566" s="333"/>
      <c r="F1566" s="334"/>
      <c r="G1566" s="337"/>
      <c r="H1566" s="131"/>
      <c r="I1566" s="337"/>
      <c r="J1566" s="131"/>
      <c r="K1566" s="458" t="str">
        <f t="shared" si="872"/>
        <v/>
      </c>
      <c r="L1566" s="458">
        <f t="shared" si="873"/>
        <v>0</v>
      </c>
      <c r="M1566" s="458">
        <f t="shared" si="874"/>
        <v>0</v>
      </c>
      <c r="N1566" s="459" t="str">
        <f t="shared" si="885"/>
        <v/>
      </c>
      <c r="O1566" s="459" t="str">
        <f t="shared" si="886"/>
        <v/>
      </c>
      <c r="P1566" s="459" t="str">
        <f t="shared" si="887"/>
        <v/>
      </c>
      <c r="Q1566" s="459" t="str">
        <f t="shared" si="888"/>
        <v/>
      </c>
      <c r="R1566" s="459" t="str">
        <f t="shared" si="889"/>
        <v/>
      </c>
      <c r="S1566" s="459" t="str">
        <f t="shared" si="890"/>
        <v/>
      </c>
      <c r="T1566" s="566" t="str">
        <f t="shared" si="875"/>
        <v/>
      </c>
      <c r="U1566" s="702"/>
      <c r="V1566" s="132"/>
      <c r="W1566" s="133"/>
      <c r="X1566" s="134"/>
      <c r="Y1566" s="135"/>
      <c r="Z1566" s="137"/>
      <c r="AA1566" s="136"/>
      <c r="AB1566" s="566" t="str">
        <f t="shared" si="876"/>
        <v/>
      </c>
      <c r="AC1566" s="568" t="str">
        <f t="shared" si="877"/>
        <v/>
      </c>
      <c r="AD1566" s="137"/>
      <c r="AE1566" s="137"/>
      <c r="AF1566" s="138"/>
      <c r="AG1566" s="138"/>
      <c r="AH1566" s="592" t="str">
        <f t="shared" si="878"/>
        <v/>
      </c>
      <c r="AI1566" s="592" t="str">
        <f t="shared" si="879"/>
        <v/>
      </c>
      <c r="AJ1566" s="592" t="str">
        <f t="shared" si="880"/>
        <v/>
      </c>
      <c r="AK1566" s="460" t="str">
        <f>IF(AU1566="","",IF(OR(AZ1566=8,AZ1566=9),0,IF(OR(AW1566=3,AW1566=4,AW1566=5,AW1566=6),IF(LEFT(BF1566,1)="1",INDEX(係数_NOX・PM低減,MATCH(AY1566,【参考】排出係数!$AI$801:$AI$804,1),1),VLOOKUP(AU1566,INDEX((係数_バス貨物_ガソリン,係数_バス貨物_CNG,係数_バス貨物_軽油,係数_バス貨物_メタノール,係数_バス貨物_LPG),MATCH(AY1566,【参考】排出係数!$AI$4:$AI$671,1),1,BE1566):INDEX((係数_バス貨物_ガソリン,係数_バス貨物_CNG,係数_バス貨物_軽油,係数_バス貨物_メタノール,係数_バス貨物_LPG),MATCH(AY1566+1,【参考】排出係数!$AI$4:$AI$671,1)-1,5,BE1566),4,FALSE)),IF(AND(BE1566=3,LEFT(BF1566,1)="1"),0.48,VLOOKUP(AU1566,INDEX((係数_乗用_ガソリン,係数_乗用_CNG,係数_乗用_軽油,係数_乗用_メタノール,係数_乗用_LPG),1,1,BE1566):INDEX((係数_乗用_ガソリン,係数_乗用_CNG,係数_乗用_軽油,係数_乗用_メタノール,係数_乗用_LPG),125,5,BE1566),4,FALSE)))))</f>
        <v/>
      </c>
      <c r="AL1566" s="461" t="str">
        <f t="shared" si="881"/>
        <v/>
      </c>
      <c r="AM1566" s="460" t="str">
        <f>IF(AU1566="","",IF(OR(AZ1566=8,AZ1566=9),0,IF(OR(AW1566=3,AW1566=4,AW1566=5,AW1566=6),IF(LEFT(BH1566,1)="1",INDEX(係数_PM低減,MATCH(AY1566,【参考】排出係数!$AI$801:$AI$804,1),MATCH(BI1566,【参考】排出係数!$AL$798:$AO$798,1)),VLOOKUP(AU1566,INDEX((係数_バス貨物_ガソリン,係数_バス貨物_CNG,係数_バス貨物_軽油,係数_バス貨物_メタノール,係数_バス貨物_LPG),MATCH(AY1566,【参考】排出係数!$AI$4:$AI$671,1),1,BE1566):INDEX((係数_バス貨物_ガソリン,係数_バス貨物_CNG,係数_バス貨物_軽油,係数_バス貨物_メタノール,係数_バス貨物_LPG),MATCH(AY1566+1,【参考】排出係数!$AI$4:$AI$671,1)-1,5,BE1566),5,FALSE)),IF(AND(BE1566=3,LEFT(BF1566,1)="1"),0.055,VLOOKUP(AU1566,INDEX((係数_乗用_ガソリン,係数_乗用_CNG,係数_乗用_軽油,係数_乗用_メタノール,係数_乗用_LPG),1,1,BE1566):INDEX((係数_乗用_ガソリン,係数_乗用_CNG,係数_乗用_軽油,係数_乗用_メタノール,係数_乗用_LPG),125,5,BE1566),5,FALSE)))))</f>
        <v/>
      </c>
      <c r="AN1566" s="461" t="str">
        <f t="shared" si="882"/>
        <v/>
      </c>
      <c r="AO1566" s="462" t="str">
        <f t="shared" si="883"/>
        <v/>
      </c>
      <c r="AP1566" s="463" t="str">
        <f t="shared" si="884"/>
        <v/>
      </c>
      <c r="AQ1566" s="464"/>
      <c r="AR1566" s="619"/>
      <c r="AS1566" s="465" t="str">
        <f t="shared" si="892"/>
        <v/>
      </c>
      <c r="AT1566" s="465" t="str">
        <f t="shared" si="893"/>
        <v/>
      </c>
      <c r="AU1566" s="466" t="str">
        <f t="shared" si="894"/>
        <v/>
      </c>
      <c r="AV1566" s="467" t="str">
        <f t="shared" si="895"/>
        <v/>
      </c>
      <c r="AW1566" s="467" t="str">
        <f t="shared" si="896"/>
        <v/>
      </c>
      <c r="AX1566" s="467" t="str">
        <f t="shared" si="897"/>
        <v/>
      </c>
      <c r="AY1566" s="467" t="str">
        <f t="shared" si="898"/>
        <v/>
      </c>
      <c r="AZ1566" s="467" t="str">
        <f t="shared" si="899"/>
        <v/>
      </c>
      <c r="BA1566" s="468" t="str">
        <f>IF(AS1566="","",IF(OR(AU1566="",AU1566="-"),"－",IF(OR(AZ1566=8,AZ1566=9),"",IF(OR(AW1566=3,AW1566=4,AW1566=5,AW1566=6),VLOOKUP(AU1566,INDEX((係数_バス貨物_ガソリン,係数_バス貨物_CNG,係数_バス貨物_軽油,係数_バス貨物_メタノール,係数_バス貨物_LPG),MATCH(AY1566,【参考】排出係数!$AI$4:$AI$671,1),1,BE1566):INDEX((係数_バス貨物_ガソリン,係数_バス貨物_CNG,係数_バス貨物_軽油,係数_バス貨物_メタノール,係数_バス貨物_LPG),MATCH(AY1566+1,【参考】排出係数!$AI$4:$AI$671,1)-1,5,BE1566),2,FALSE),IF(OR(AW1566=1,AW1566=2),VLOOKUP(AU1566,INDEX((係数_乗用_ガソリン,係数_乗用_CNG,係数_乗用_軽油,係数_乗用_メタノール,係数_乗用_LPG),1,1,BE1566):INDEX((係数_乗用_ガソリン,係数_乗用_CNG,係数_乗用_軽油,係数_乗用_メタノール,係数_乗用_LPG),125,5,BE1566),2,FALSE))))))</f>
        <v/>
      </c>
      <c r="BB1566" s="468" t="str">
        <f>IF(T1566="","",IF(OR(AU1566="",AU1566="-"),"－",IF(OR(AZ1566=8,AZ1566=9),"",IF(OR(AW1566=3,AW1566=4,AW1566=5,AW1566=6),VLOOKUP(AU1566,INDEX((係数_バス貨物_ガソリン,係数_バス貨物_CNG,係数_バス貨物_軽油,係数_バス貨物_メタノール,係数_バス貨物_LPG),MATCH(AY1566,【参考】排出係数!$AI$4:$AI$671,1),1,BE1566):INDEX((係数_バス貨物_ガソリン,係数_バス貨物_CNG,係数_バス貨物_軽油,係数_バス貨物_メタノール,係数_バス貨物_LPG),MATCH(AY1566+1,【参考】排出係数!$AI$4:$AI$671,1)-1,5,BE1566),3,FALSE),IF(OR(AW1566=1,AW1566=2),VLOOKUP(AU1566,INDEX((係数_乗用_ガソリン,係数_乗用_CNG,係数_乗用_軽油,係数_乗用_メタノール,係数_乗用_LPG),1,1,BE1566):INDEX((係数_乗用_ガソリン,係数_乗用_CNG,係数_乗用_軽油,係数_乗用_メタノール,係数_乗用_LPG),125,5,BE1566),3,FALSE))))))</f>
        <v/>
      </c>
      <c r="BC1566" s="467" t="str">
        <f t="shared" si="900"/>
        <v/>
      </c>
      <c r="BD1566" s="567" t="str">
        <f t="shared" si="901"/>
        <v/>
      </c>
      <c r="BE1566" s="467" t="str">
        <f t="shared" si="902"/>
        <v/>
      </c>
      <c r="BF1566" s="469" t="str">
        <f t="shared" ca="1" si="903"/>
        <v/>
      </c>
      <c r="BG1566" s="469" t="str">
        <f t="shared" ca="1" si="904"/>
        <v/>
      </c>
      <c r="BH1566" s="467" t="str">
        <f t="shared" si="905"/>
        <v/>
      </c>
      <c r="BI1566" s="467" t="str">
        <f t="shared" ca="1" si="906"/>
        <v/>
      </c>
      <c r="BJ1566" s="469" t="str">
        <f t="shared" si="907"/>
        <v/>
      </c>
      <c r="BK1566" s="470" t="str">
        <f t="shared" si="891"/>
        <v/>
      </c>
      <c r="BL1566" s="775" t="str">
        <f t="shared" si="908"/>
        <v/>
      </c>
      <c r="BM1566" s="775" t="str">
        <f t="shared" si="909"/>
        <v/>
      </c>
    </row>
    <row r="1567" spans="1:65">
      <c r="A1567" s="473">
        <v>1511</v>
      </c>
      <c r="B1567" s="132"/>
      <c r="C1567" s="332"/>
      <c r="D1567" s="333"/>
      <c r="E1567" s="333"/>
      <c r="F1567" s="334"/>
      <c r="G1567" s="337"/>
      <c r="H1567" s="131"/>
      <c r="I1567" s="337"/>
      <c r="J1567" s="131"/>
      <c r="K1567" s="458" t="str">
        <f t="shared" si="872"/>
        <v/>
      </c>
      <c r="L1567" s="458">
        <f t="shared" si="873"/>
        <v>0</v>
      </c>
      <c r="M1567" s="458">
        <f t="shared" si="874"/>
        <v>0</v>
      </c>
      <c r="N1567" s="459" t="str">
        <f t="shared" si="885"/>
        <v/>
      </c>
      <c r="O1567" s="459" t="str">
        <f t="shared" si="886"/>
        <v/>
      </c>
      <c r="P1567" s="459" t="str">
        <f t="shared" si="887"/>
        <v/>
      </c>
      <c r="Q1567" s="459" t="str">
        <f t="shared" si="888"/>
        <v/>
      </c>
      <c r="R1567" s="459" t="str">
        <f t="shared" si="889"/>
        <v/>
      </c>
      <c r="S1567" s="459" t="str">
        <f t="shared" si="890"/>
        <v/>
      </c>
      <c r="T1567" s="566" t="str">
        <f t="shared" si="875"/>
        <v/>
      </c>
      <c r="U1567" s="702"/>
      <c r="V1567" s="132"/>
      <c r="W1567" s="133"/>
      <c r="X1567" s="134"/>
      <c r="Y1567" s="135"/>
      <c r="Z1567" s="137"/>
      <c r="AA1567" s="136"/>
      <c r="AB1567" s="566" t="str">
        <f t="shared" si="876"/>
        <v/>
      </c>
      <c r="AC1567" s="568" t="str">
        <f t="shared" si="877"/>
        <v/>
      </c>
      <c r="AD1567" s="137"/>
      <c r="AE1567" s="137"/>
      <c r="AF1567" s="138"/>
      <c r="AG1567" s="138"/>
      <c r="AH1567" s="592" t="str">
        <f t="shared" si="878"/>
        <v/>
      </c>
      <c r="AI1567" s="592" t="str">
        <f t="shared" si="879"/>
        <v/>
      </c>
      <c r="AJ1567" s="592" t="str">
        <f t="shared" si="880"/>
        <v/>
      </c>
      <c r="AK1567" s="460" t="str">
        <f>IF(AU1567="","",IF(OR(AZ1567=8,AZ1567=9),0,IF(OR(AW1567=3,AW1567=4,AW1567=5,AW1567=6),IF(LEFT(BF1567,1)="1",INDEX(係数_NOX・PM低減,MATCH(AY1567,【参考】排出係数!$AI$801:$AI$804,1),1),VLOOKUP(AU1567,INDEX((係数_バス貨物_ガソリン,係数_バス貨物_CNG,係数_バス貨物_軽油,係数_バス貨物_メタノール,係数_バス貨物_LPG),MATCH(AY1567,【参考】排出係数!$AI$4:$AI$671,1),1,BE1567):INDEX((係数_バス貨物_ガソリン,係数_バス貨物_CNG,係数_バス貨物_軽油,係数_バス貨物_メタノール,係数_バス貨物_LPG),MATCH(AY1567+1,【参考】排出係数!$AI$4:$AI$671,1)-1,5,BE1567),4,FALSE)),IF(AND(BE1567=3,LEFT(BF1567,1)="1"),0.48,VLOOKUP(AU1567,INDEX((係数_乗用_ガソリン,係数_乗用_CNG,係数_乗用_軽油,係数_乗用_メタノール,係数_乗用_LPG),1,1,BE1567):INDEX((係数_乗用_ガソリン,係数_乗用_CNG,係数_乗用_軽油,係数_乗用_メタノール,係数_乗用_LPG),125,5,BE1567),4,FALSE)))))</f>
        <v/>
      </c>
      <c r="AL1567" s="461" t="str">
        <f t="shared" si="881"/>
        <v/>
      </c>
      <c r="AM1567" s="460" t="str">
        <f>IF(AU1567="","",IF(OR(AZ1567=8,AZ1567=9),0,IF(OR(AW1567=3,AW1567=4,AW1567=5,AW1567=6),IF(LEFT(BH1567,1)="1",INDEX(係数_PM低減,MATCH(AY1567,【参考】排出係数!$AI$801:$AI$804,1),MATCH(BI1567,【参考】排出係数!$AL$798:$AO$798,1)),VLOOKUP(AU1567,INDEX((係数_バス貨物_ガソリン,係数_バス貨物_CNG,係数_バス貨物_軽油,係数_バス貨物_メタノール,係数_バス貨物_LPG),MATCH(AY1567,【参考】排出係数!$AI$4:$AI$671,1),1,BE1567):INDEX((係数_バス貨物_ガソリン,係数_バス貨物_CNG,係数_バス貨物_軽油,係数_バス貨物_メタノール,係数_バス貨物_LPG),MATCH(AY1567+1,【参考】排出係数!$AI$4:$AI$671,1)-1,5,BE1567),5,FALSE)),IF(AND(BE1567=3,LEFT(BF1567,1)="1"),0.055,VLOOKUP(AU1567,INDEX((係数_乗用_ガソリン,係数_乗用_CNG,係数_乗用_軽油,係数_乗用_メタノール,係数_乗用_LPG),1,1,BE1567):INDEX((係数_乗用_ガソリン,係数_乗用_CNG,係数_乗用_軽油,係数_乗用_メタノール,係数_乗用_LPG),125,5,BE1567),5,FALSE)))))</f>
        <v/>
      </c>
      <c r="AN1567" s="461" t="str">
        <f t="shared" si="882"/>
        <v/>
      </c>
      <c r="AO1567" s="462" t="str">
        <f t="shared" si="883"/>
        <v/>
      </c>
      <c r="AP1567" s="463" t="str">
        <f t="shared" si="884"/>
        <v/>
      </c>
      <c r="AQ1567" s="464"/>
      <c r="AR1567" s="619"/>
      <c r="AS1567" s="465" t="str">
        <f t="shared" si="892"/>
        <v/>
      </c>
      <c r="AT1567" s="465" t="str">
        <f t="shared" si="893"/>
        <v/>
      </c>
      <c r="AU1567" s="466" t="str">
        <f t="shared" si="894"/>
        <v/>
      </c>
      <c r="AV1567" s="467" t="str">
        <f t="shared" si="895"/>
        <v/>
      </c>
      <c r="AW1567" s="467" t="str">
        <f t="shared" si="896"/>
        <v/>
      </c>
      <c r="AX1567" s="467" t="str">
        <f t="shared" si="897"/>
        <v/>
      </c>
      <c r="AY1567" s="467" t="str">
        <f t="shared" si="898"/>
        <v/>
      </c>
      <c r="AZ1567" s="467" t="str">
        <f t="shared" si="899"/>
        <v/>
      </c>
      <c r="BA1567" s="468" t="str">
        <f>IF(AS1567="","",IF(OR(AU1567="",AU1567="-"),"－",IF(OR(AZ1567=8,AZ1567=9),"",IF(OR(AW1567=3,AW1567=4,AW1567=5,AW1567=6),VLOOKUP(AU1567,INDEX((係数_バス貨物_ガソリン,係数_バス貨物_CNG,係数_バス貨物_軽油,係数_バス貨物_メタノール,係数_バス貨物_LPG),MATCH(AY1567,【参考】排出係数!$AI$4:$AI$671,1),1,BE1567):INDEX((係数_バス貨物_ガソリン,係数_バス貨物_CNG,係数_バス貨物_軽油,係数_バス貨物_メタノール,係数_バス貨物_LPG),MATCH(AY1567+1,【参考】排出係数!$AI$4:$AI$671,1)-1,5,BE1567),2,FALSE),IF(OR(AW1567=1,AW1567=2),VLOOKUP(AU1567,INDEX((係数_乗用_ガソリン,係数_乗用_CNG,係数_乗用_軽油,係数_乗用_メタノール,係数_乗用_LPG),1,1,BE1567):INDEX((係数_乗用_ガソリン,係数_乗用_CNG,係数_乗用_軽油,係数_乗用_メタノール,係数_乗用_LPG),125,5,BE1567),2,FALSE))))))</f>
        <v/>
      </c>
      <c r="BB1567" s="468" t="str">
        <f>IF(T1567="","",IF(OR(AU1567="",AU1567="-"),"－",IF(OR(AZ1567=8,AZ1567=9),"",IF(OR(AW1567=3,AW1567=4,AW1567=5,AW1567=6),VLOOKUP(AU1567,INDEX((係数_バス貨物_ガソリン,係数_バス貨物_CNG,係数_バス貨物_軽油,係数_バス貨物_メタノール,係数_バス貨物_LPG),MATCH(AY1567,【参考】排出係数!$AI$4:$AI$671,1),1,BE1567):INDEX((係数_バス貨物_ガソリン,係数_バス貨物_CNG,係数_バス貨物_軽油,係数_バス貨物_メタノール,係数_バス貨物_LPG),MATCH(AY1567+1,【参考】排出係数!$AI$4:$AI$671,1)-1,5,BE1567),3,FALSE),IF(OR(AW1567=1,AW1567=2),VLOOKUP(AU1567,INDEX((係数_乗用_ガソリン,係数_乗用_CNG,係数_乗用_軽油,係数_乗用_メタノール,係数_乗用_LPG),1,1,BE1567):INDEX((係数_乗用_ガソリン,係数_乗用_CNG,係数_乗用_軽油,係数_乗用_メタノール,係数_乗用_LPG),125,5,BE1567),3,FALSE))))))</f>
        <v/>
      </c>
      <c r="BC1567" s="467" t="str">
        <f t="shared" si="900"/>
        <v/>
      </c>
      <c r="BD1567" s="567" t="str">
        <f t="shared" si="901"/>
        <v/>
      </c>
      <c r="BE1567" s="467" t="str">
        <f t="shared" si="902"/>
        <v/>
      </c>
      <c r="BF1567" s="469" t="str">
        <f t="shared" ca="1" si="903"/>
        <v/>
      </c>
      <c r="BG1567" s="469" t="str">
        <f t="shared" ca="1" si="904"/>
        <v/>
      </c>
      <c r="BH1567" s="467" t="str">
        <f t="shared" si="905"/>
        <v/>
      </c>
      <c r="BI1567" s="467" t="str">
        <f t="shared" ca="1" si="906"/>
        <v/>
      </c>
      <c r="BJ1567" s="469" t="str">
        <f t="shared" si="907"/>
        <v/>
      </c>
      <c r="BK1567" s="470" t="str">
        <f t="shared" si="891"/>
        <v/>
      </c>
      <c r="BL1567" s="775" t="str">
        <f t="shared" si="908"/>
        <v/>
      </c>
      <c r="BM1567" s="775" t="str">
        <f t="shared" si="909"/>
        <v/>
      </c>
    </row>
    <row r="1568" spans="1:65">
      <c r="A1568" s="473">
        <v>1512</v>
      </c>
      <c r="B1568" s="132"/>
      <c r="C1568" s="332"/>
      <c r="D1568" s="333"/>
      <c r="E1568" s="333"/>
      <c r="F1568" s="334"/>
      <c r="G1568" s="337"/>
      <c r="H1568" s="131"/>
      <c r="I1568" s="337"/>
      <c r="J1568" s="131"/>
      <c r="K1568" s="458" t="str">
        <f t="shared" si="872"/>
        <v/>
      </c>
      <c r="L1568" s="458">
        <f t="shared" si="873"/>
        <v>0</v>
      </c>
      <c r="M1568" s="458">
        <f t="shared" si="874"/>
        <v>0</v>
      </c>
      <c r="N1568" s="459" t="str">
        <f t="shared" si="885"/>
        <v/>
      </c>
      <c r="O1568" s="459" t="str">
        <f t="shared" si="886"/>
        <v/>
      </c>
      <c r="P1568" s="459" t="str">
        <f t="shared" si="887"/>
        <v/>
      </c>
      <c r="Q1568" s="459" t="str">
        <f t="shared" si="888"/>
        <v/>
      </c>
      <c r="R1568" s="459" t="str">
        <f t="shared" si="889"/>
        <v/>
      </c>
      <c r="S1568" s="459" t="str">
        <f t="shared" si="890"/>
        <v/>
      </c>
      <c r="T1568" s="566" t="str">
        <f t="shared" si="875"/>
        <v/>
      </c>
      <c r="U1568" s="702"/>
      <c r="V1568" s="132"/>
      <c r="W1568" s="133"/>
      <c r="X1568" s="134"/>
      <c r="Y1568" s="135"/>
      <c r="Z1568" s="137"/>
      <c r="AA1568" s="136"/>
      <c r="AB1568" s="566" t="str">
        <f t="shared" si="876"/>
        <v/>
      </c>
      <c r="AC1568" s="568" t="str">
        <f t="shared" si="877"/>
        <v/>
      </c>
      <c r="AD1568" s="137"/>
      <c r="AE1568" s="137"/>
      <c r="AF1568" s="138"/>
      <c r="AG1568" s="138"/>
      <c r="AH1568" s="592" t="str">
        <f t="shared" si="878"/>
        <v/>
      </c>
      <c r="AI1568" s="592" t="str">
        <f t="shared" si="879"/>
        <v/>
      </c>
      <c r="AJ1568" s="592" t="str">
        <f t="shared" si="880"/>
        <v/>
      </c>
      <c r="AK1568" s="460" t="str">
        <f>IF(AU1568="","",IF(OR(AZ1568=8,AZ1568=9),0,IF(OR(AW1568=3,AW1568=4,AW1568=5,AW1568=6),IF(LEFT(BF1568,1)="1",INDEX(係数_NOX・PM低減,MATCH(AY1568,【参考】排出係数!$AI$801:$AI$804,1),1),VLOOKUP(AU1568,INDEX((係数_バス貨物_ガソリン,係数_バス貨物_CNG,係数_バス貨物_軽油,係数_バス貨物_メタノール,係数_バス貨物_LPG),MATCH(AY1568,【参考】排出係数!$AI$4:$AI$671,1),1,BE1568):INDEX((係数_バス貨物_ガソリン,係数_バス貨物_CNG,係数_バス貨物_軽油,係数_バス貨物_メタノール,係数_バス貨物_LPG),MATCH(AY1568+1,【参考】排出係数!$AI$4:$AI$671,1)-1,5,BE1568),4,FALSE)),IF(AND(BE1568=3,LEFT(BF1568,1)="1"),0.48,VLOOKUP(AU1568,INDEX((係数_乗用_ガソリン,係数_乗用_CNG,係数_乗用_軽油,係数_乗用_メタノール,係数_乗用_LPG),1,1,BE1568):INDEX((係数_乗用_ガソリン,係数_乗用_CNG,係数_乗用_軽油,係数_乗用_メタノール,係数_乗用_LPG),125,5,BE1568),4,FALSE)))))</f>
        <v/>
      </c>
      <c r="AL1568" s="461" t="str">
        <f t="shared" si="881"/>
        <v/>
      </c>
      <c r="AM1568" s="460" t="str">
        <f>IF(AU1568="","",IF(OR(AZ1568=8,AZ1568=9),0,IF(OR(AW1568=3,AW1568=4,AW1568=5,AW1568=6),IF(LEFT(BH1568,1)="1",INDEX(係数_PM低減,MATCH(AY1568,【参考】排出係数!$AI$801:$AI$804,1),MATCH(BI1568,【参考】排出係数!$AL$798:$AO$798,1)),VLOOKUP(AU1568,INDEX((係数_バス貨物_ガソリン,係数_バス貨物_CNG,係数_バス貨物_軽油,係数_バス貨物_メタノール,係数_バス貨物_LPG),MATCH(AY1568,【参考】排出係数!$AI$4:$AI$671,1),1,BE1568):INDEX((係数_バス貨物_ガソリン,係数_バス貨物_CNG,係数_バス貨物_軽油,係数_バス貨物_メタノール,係数_バス貨物_LPG),MATCH(AY1568+1,【参考】排出係数!$AI$4:$AI$671,1)-1,5,BE1568),5,FALSE)),IF(AND(BE1568=3,LEFT(BF1568,1)="1"),0.055,VLOOKUP(AU1568,INDEX((係数_乗用_ガソリン,係数_乗用_CNG,係数_乗用_軽油,係数_乗用_メタノール,係数_乗用_LPG),1,1,BE1568):INDEX((係数_乗用_ガソリン,係数_乗用_CNG,係数_乗用_軽油,係数_乗用_メタノール,係数_乗用_LPG),125,5,BE1568),5,FALSE)))))</f>
        <v/>
      </c>
      <c r="AN1568" s="461" t="str">
        <f t="shared" si="882"/>
        <v/>
      </c>
      <c r="AO1568" s="462" t="str">
        <f t="shared" si="883"/>
        <v/>
      </c>
      <c r="AP1568" s="463" t="str">
        <f t="shared" si="884"/>
        <v/>
      </c>
      <c r="AQ1568" s="464"/>
      <c r="AR1568" s="619"/>
      <c r="AS1568" s="465" t="str">
        <f t="shared" si="892"/>
        <v/>
      </c>
      <c r="AT1568" s="465" t="str">
        <f t="shared" si="893"/>
        <v/>
      </c>
      <c r="AU1568" s="466" t="str">
        <f t="shared" si="894"/>
        <v/>
      </c>
      <c r="AV1568" s="467" t="str">
        <f t="shared" si="895"/>
        <v/>
      </c>
      <c r="AW1568" s="467" t="str">
        <f t="shared" si="896"/>
        <v/>
      </c>
      <c r="AX1568" s="467" t="str">
        <f t="shared" si="897"/>
        <v/>
      </c>
      <c r="AY1568" s="467" t="str">
        <f t="shared" si="898"/>
        <v/>
      </c>
      <c r="AZ1568" s="467" t="str">
        <f t="shared" si="899"/>
        <v/>
      </c>
      <c r="BA1568" s="468" t="str">
        <f>IF(AS1568="","",IF(OR(AU1568="",AU1568="-"),"－",IF(OR(AZ1568=8,AZ1568=9),"",IF(OR(AW1568=3,AW1568=4,AW1568=5,AW1568=6),VLOOKUP(AU1568,INDEX((係数_バス貨物_ガソリン,係数_バス貨物_CNG,係数_バス貨物_軽油,係数_バス貨物_メタノール,係数_バス貨物_LPG),MATCH(AY1568,【参考】排出係数!$AI$4:$AI$671,1),1,BE1568):INDEX((係数_バス貨物_ガソリン,係数_バス貨物_CNG,係数_バス貨物_軽油,係数_バス貨物_メタノール,係数_バス貨物_LPG),MATCH(AY1568+1,【参考】排出係数!$AI$4:$AI$671,1)-1,5,BE1568),2,FALSE),IF(OR(AW1568=1,AW1568=2),VLOOKUP(AU1568,INDEX((係数_乗用_ガソリン,係数_乗用_CNG,係数_乗用_軽油,係数_乗用_メタノール,係数_乗用_LPG),1,1,BE1568):INDEX((係数_乗用_ガソリン,係数_乗用_CNG,係数_乗用_軽油,係数_乗用_メタノール,係数_乗用_LPG),125,5,BE1568),2,FALSE))))))</f>
        <v/>
      </c>
      <c r="BB1568" s="468" t="str">
        <f>IF(T1568="","",IF(OR(AU1568="",AU1568="-"),"－",IF(OR(AZ1568=8,AZ1568=9),"",IF(OR(AW1568=3,AW1568=4,AW1568=5,AW1568=6),VLOOKUP(AU1568,INDEX((係数_バス貨物_ガソリン,係数_バス貨物_CNG,係数_バス貨物_軽油,係数_バス貨物_メタノール,係数_バス貨物_LPG),MATCH(AY1568,【参考】排出係数!$AI$4:$AI$671,1),1,BE1568):INDEX((係数_バス貨物_ガソリン,係数_バス貨物_CNG,係数_バス貨物_軽油,係数_バス貨物_メタノール,係数_バス貨物_LPG),MATCH(AY1568+1,【参考】排出係数!$AI$4:$AI$671,1)-1,5,BE1568),3,FALSE),IF(OR(AW1568=1,AW1568=2),VLOOKUP(AU1568,INDEX((係数_乗用_ガソリン,係数_乗用_CNG,係数_乗用_軽油,係数_乗用_メタノール,係数_乗用_LPG),1,1,BE1568):INDEX((係数_乗用_ガソリン,係数_乗用_CNG,係数_乗用_軽油,係数_乗用_メタノール,係数_乗用_LPG),125,5,BE1568),3,FALSE))))))</f>
        <v/>
      </c>
      <c r="BC1568" s="467" t="str">
        <f t="shared" si="900"/>
        <v/>
      </c>
      <c r="BD1568" s="567" t="str">
        <f t="shared" si="901"/>
        <v/>
      </c>
      <c r="BE1568" s="467" t="str">
        <f t="shared" si="902"/>
        <v/>
      </c>
      <c r="BF1568" s="469" t="str">
        <f t="shared" ca="1" si="903"/>
        <v/>
      </c>
      <c r="BG1568" s="469" t="str">
        <f t="shared" ca="1" si="904"/>
        <v/>
      </c>
      <c r="BH1568" s="467" t="str">
        <f t="shared" si="905"/>
        <v/>
      </c>
      <c r="BI1568" s="467" t="str">
        <f t="shared" ca="1" si="906"/>
        <v/>
      </c>
      <c r="BJ1568" s="469" t="str">
        <f t="shared" si="907"/>
        <v/>
      </c>
      <c r="BK1568" s="470" t="str">
        <f t="shared" si="891"/>
        <v/>
      </c>
      <c r="BL1568" s="775" t="str">
        <f t="shared" si="908"/>
        <v/>
      </c>
      <c r="BM1568" s="775" t="str">
        <f t="shared" si="909"/>
        <v/>
      </c>
    </row>
    <row r="1569" spans="1:65">
      <c r="A1569" s="473">
        <v>1513</v>
      </c>
      <c r="B1569" s="132"/>
      <c r="C1569" s="332"/>
      <c r="D1569" s="333"/>
      <c r="E1569" s="333"/>
      <c r="F1569" s="334"/>
      <c r="G1569" s="337"/>
      <c r="H1569" s="131"/>
      <c r="I1569" s="337"/>
      <c r="J1569" s="131"/>
      <c r="K1569" s="458" t="str">
        <f t="shared" si="872"/>
        <v/>
      </c>
      <c r="L1569" s="458">
        <f t="shared" si="873"/>
        <v>0</v>
      </c>
      <c r="M1569" s="458">
        <f t="shared" si="874"/>
        <v>0</v>
      </c>
      <c r="N1569" s="459" t="str">
        <f t="shared" si="885"/>
        <v/>
      </c>
      <c r="O1569" s="459" t="str">
        <f t="shared" si="886"/>
        <v/>
      </c>
      <c r="P1569" s="459" t="str">
        <f t="shared" si="887"/>
        <v/>
      </c>
      <c r="Q1569" s="459" t="str">
        <f t="shared" si="888"/>
        <v/>
      </c>
      <c r="R1569" s="459" t="str">
        <f t="shared" si="889"/>
        <v/>
      </c>
      <c r="S1569" s="459" t="str">
        <f t="shared" si="890"/>
        <v/>
      </c>
      <c r="T1569" s="566" t="str">
        <f t="shared" si="875"/>
        <v/>
      </c>
      <c r="U1569" s="702"/>
      <c r="V1569" s="132"/>
      <c r="W1569" s="133"/>
      <c r="X1569" s="134"/>
      <c r="Y1569" s="135"/>
      <c r="Z1569" s="137"/>
      <c r="AA1569" s="136"/>
      <c r="AB1569" s="566" t="str">
        <f t="shared" si="876"/>
        <v/>
      </c>
      <c r="AC1569" s="568" t="str">
        <f t="shared" si="877"/>
        <v/>
      </c>
      <c r="AD1569" s="137"/>
      <c r="AE1569" s="137"/>
      <c r="AF1569" s="138"/>
      <c r="AG1569" s="138"/>
      <c r="AH1569" s="592" t="str">
        <f t="shared" si="878"/>
        <v/>
      </c>
      <c r="AI1569" s="592" t="str">
        <f t="shared" si="879"/>
        <v/>
      </c>
      <c r="AJ1569" s="592" t="str">
        <f t="shared" si="880"/>
        <v/>
      </c>
      <c r="AK1569" s="460" t="str">
        <f>IF(AU1569="","",IF(OR(AZ1569=8,AZ1569=9),0,IF(OR(AW1569=3,AW1569=4,AW1569=5,AW1569=6),IF(LEFT(BF1569,1)="1",INDEX(係数_NOX・PM低減,MATCH(AY1569,【参考】排出係数!$AI$801:$AI$804,1),1),VLOOKUP(AU1569,INDEX((係数_バス貨物_ガソリン,係数_バス貨物_CNG,係数_バス貨物_軽油,係数_バス貨物_メタノール,係数_バス貨物_LPG),MATCH(AY1569,【参考】排出係数!$AI$4:$AI$671,1),1,BE1569):INDEX((係数_バス貨物_ガソリン,係数_バス貨物_CNG,係数_バス貨物_軽油,係数_バス貨物_メタノール,係数_バス貨物_LPG),MATCH(AY1569+1,【参考】排出係数!$AI$4:$AI$671,1)-1,5,BE1569),4,FALSE)),IF(AND(BE1569=3,LEFT(BF1569,1)="1"),0.48,VLOOKUP(AU1569,INDEX((係数_乗用_ガソリン,係数_乗用_CNG,係数_乗用_軽油,係数_乗用_メタノール,係数_乗用_LPG),1,1,BE1569):INDEX((係数_乗用_ガソリン,係数_乗用_CNG,係数_乗用_軽油,係数_乗用_メタノール,係数_乗用_LPG),125,5,BE1569),4,FALSE)))))</f>
        <v/>
      </c>
      <c r="AL1569" s="461" t="str">
        <f t="shared" si="881"/>
        <v/>
      </c>
      <c r="AM1569" s="460" t="str">
        <f>IF(AU1569="","",IF(OR(AZ1569=8,AZ1569=9),0,IF(OR(AW1569=3,AW1569=4,AW1569=5,AW1569=6),IF(LEFT(BH1569,1)="1",INDEX(係数_PM低減,MATCH(AY1569,【参考】排出係数!$AI$801:$AI$804,1),MATCH(BI1569,【参考】排出係数!$AL$798:$AO$798,1)),VLOOKUP(AU1569,INDEX((係数_バス貨物_ガソリン,係数_バス貨物_CNG,係数_バス貨物_軽油,係数_バス貨物_メタノール,係数_バス貨物_LPG),MATCH(AY1569,【参考】排出係数!$AI$4:$AI$671,1),1,BE1569):INDEX((係数_バス貨物_ガソリン,係数_バス貨物_CNG,係数_バス貨物_軽油,係数_バス貨物_メタノール,係数_バス貨物_LPG),MATCH(AY1569+1,【参考】排出係数!$AI$4:$AI$671,1)-1,5,BE1569),5,FALSE)),IF(AND(BE1569=3,LEFT(BF1569,1)="1"),0.055,VLOOKUP(AU1569,INDEX((係数_乗用_ガソリン,係数_乗用_CNG,係数_乗用_軽油,係数_乗用_メタノール,係数_乗用_LPG),1,1,BE1569):INDEX((係数_乗用_ガソリン,係数_乗用_CNG,係数_乗用_軽油,係数_乗用_メタノール,係数_乗用_LPG),125,5,BE1569),5,FALSE)))))</f>
        <v/>
      </c>
      <c r="AN1569" s="461" t="str">
        <f t="shared" si="882"/>
        <v/>
      </c>
      <c r="AO1569" s="462" t="str">
        <f t="shared" si="883"/>
        <v/>
      </c>
      <c r="AP1569" s="463" t="str">
        <f t="shared" si="884"/>
        <v/>
      </c>
      <c r="AQ1569" s="464"/>
      <c r="AR1569" s="619"/>
      <c r="AS1569" s="465" t="str">
        <f t="shared" si="892"/>
        <v/>
      </c>
      <c r="AT1569" s="465" t="str">
        <f t="shared" si="893"/>
        <v/>
      </c>
      <c r="AU1569" s="466" t="str">
        <f t="shared" si="894"/>
        <v/>
      </c>
      <c r="AV1569" s="467" t="str">
        <f t="shared" si="895"/>
        <v/>
      </c>
      <c r="AW1569" s="467" t="str">
        <f t="shared" si="896"/>
        <v/>
      </c>
      <c r="AX1569" s="467" t="str">
        <f t="shared" si="897"/>
        <v/>
      </c>
      <c r="AY1569" s="467" t="str">
        <f t="shared" si="898"/>
        <v/>
      </c>
      <c r="AZ1569" s="467" t="str">
        <f t="shared" si="899"/>
        <v/>
      </c>
      <c r="BA1569" s="468" t="str">
        <f>IF(AS1569="","",IF(OR(AU1569="",AU1569="-"),"－",IF(OR(AZ1569=8,AZ1569=9),"",IF(OR(AW1569=3,AW1569=4,AW1569=5,AW1569=6),VLOOKUP(AU1569,INDEX((係数_バス貨物_ガソリン,係数_バス貨物_CNG,係数_バス貨物_軽油,係数_バス貨物_メタノール,係数_バス貨物_LPG),MATCH(AY1569,【参考】排出係数!$AI$4:$AI$671,1),1,BE1569):INDEX((係数_バス貨物_ガソリン,係数_バス貨物_CNG,係数_バス貨物_軽油,係数_バス貨物_メタノール,係数_バス貨物_LPG),MATCH(AY1569+1,【参考】排出係数!$AI$4:$AI$671,1)-1,5,BE1569),2,FALSE),IF(OR(AW1569=1,AW1569=2),VLOOKUP(AU1569,INDEX((係数_乗用_ガソリン,係数_乗用_CNG,係数_乗用_軽油,係数_乗用_メタノール,係数_乗用_LPG),1,1,BE1569):INDEX((係数_乗用_ガソリン,係数_乗用_CNG,係数_乗用_軽油,係数_乗用_メタノール,係数_乗用_LPG),125,5,BE1569),2,FALSE))))))</f>
        <v/>
      </c>
      <c r="BB1569" s="468" t="str">
        <f>IF(T1569="","",IF(OR(AU1569="",AU1569="-"),"－",IF(OR(AZ1569=8,AZ1569=9),"",IF(OR(AW1569=3,AW1569=4,AW1569=5,AW1569=6),VLOOKUP(AU1569,INDEX((係数_バス貨物_ガソリン,係数_バス貨物_CNG,係数_バス貨物_軽油,係数_バス貨物_メタノール,係数_バス貨物_LPG),MATCH(AY1569,【参考】排出係数!$AI$4:$AI$671,1),1,BE1569):INDEX((係数_バス貨物_ガソリン,係数_バス貨物_CNG,係数_バス貨物_軽油,係数_バス貨物_メタノール,係数_バス貨物_LPG),MATCH(AY1569+1,【参考】排出係数!$AI$4:$AI$671,1)-1,5,BE1569),3,FALSE),IF(OR(AW1569=1,AW1569=2),VLOOKUP(AU1569,INDEX((係数_乗用_ガソリン,係数_乗用_CNG,係数_乗用_軽油,係数_乗用_メタノール,係数_乗用_LPG),1,1,BE1569):INDEX((係数_乗用_ガソリン,係数_乗用_CNG,係数_乗用_軽油,係数_乗用_メタノール,係数_乗用_LPG),125,5,BE1569),3,FALSE))))))</f>
        <v/>
      </c>
      <c r="BC1569" s="467" t="str">
        <f t="shared" si="900"/>
        <v/>
      </c>
      <c r="BD1569" s="567" t="str">
        <f t="shared" si="901"/>
        <v/>
      </c>
      <c r="BE1569" s="467" t="str">
        <f t="shared" si="902"/>
        <v/>
      </c>
      <c r="BF1569" s="469" t="str">
        <f t="shared" ca="1" si="903"/>
        <v/>
      </c>
      <c r="BG1569" s="469" t="str">
        <f t="shared" ca="1" si="904"/>
        <v/>
      </c>
      <c r="BH1569" s="467" t="str">
        <f t="shared" si="905"/>
        <v/>
      </c>
      <c r="BI1569" s="467" t="str">
        <f t="shared" ca="1" si="906"/>
        <v/>
      </c>
      <c r="BJ1569" s="469" t="str">
        <f t="shared" si="907"/>
        <v/>
      </c>
      <c r="BK1569" s="470" t="str">
        <f t="shared" si="891"/>
        <v/>
      </c>
      <c r="BL1569" s="775" t="str">
        <f t="shared" si="908"/>
        <v/>
      </c>
      <c r="BM1569" s="775" t="str">
        <f t="shared" si="909"/>
        <v/>
      </c>
    </row>
    <row r="1570" spans="1:65">
      <c r="A1570" s="473">
        <v>1514</v>
      </c>
      <c r="B1570" s="132"/>
      <c r="C1570" s="332"/>
      <c r="D1570" s="333"/>
      <c r="E1570" s="333"/>
      <c r="F1570" s="334"/>
      <c r="G1570" s="337"/>
      <c r="H1570" s="131"/>
      <c r="I1570" s="337"/>
      <c r="J1570" s="131"/>
      <c r="K1570" s="458" t="str">
        <f t="shared" si="872"/>
        <v/>
      </c>
      <c r="L1570" s="458">
        <f t="shared" si="873"/>
        <v>0</v>
      </c>
      <c r="M1570" s="458">
        <f t="shared" si="874"/>
        <v>0</v>
      </c>
      <c r="N1570" s="459" t="str">
        <f t="shared" si="885"/>
        <v/>
      </c>
      <c r="O1570" s="459" t="str">
        <f t="shared" si="886"/>
        <v/>
      </c>
      <c r="P1570" s="459" t="str">
        <f t="shared" si="887"/>
        <v/>
      </c>
      <c r="Q1570" s="459" t="str">
        <f t="shared" si="888"/>
        <v/>
      </c>
      <c r="R1570" s="459" t="str">
        <f t="shared" si="889"/>
        <v/>
      </c>
      <c r="S1570" s="459" t="str">
        <f t="shared" si="890"/>
        <v/>
      </c>
      <c r="T1570" s="566" t="str">
        <f t="shared" si="875"/>
        <v/>
      </c>
      <c r="U1570" s="702"/>
      <c r="V1570" s="132"/>
      <c r="W1570" s="133"/>
      <c r="X1570" s="134"/>
      <c r="Y1570" s="135"/>
      <c r="Z1570" s="137"/>
      <c r="AA1570" s="136"/>
      <c r="AB1570" s="566" t="str">
        <f t="shared" si="876"/>
        <v/>
      </c>
      <c r="AC1570" s="568" t="str">
        <f t="shared" si="877"/>
        <v/>
      </c>
      <c r="AD1570" s="137"/>
      <c r="AE1570" s="137"/>
      <c r="AF1570" s="138"/>
      <c r="AG1570" s="138"/>
      <c r="AH1570" s="592" t="str">
        <f t="shared" si="878"/>
        <v/>
      </c>
      <c r="AI1570" s="592" t="str">
        <f t="shared" si="879"/>
        <v/>
      </c>
      <c r="AJ1570" s="592" t="str">
        <f t="shared" si="880"/>
        <v/>
      </c>
      <c r="AK1570" s="460" t="str">
        <f>IF(AU1570="","",IF(OR(AZ1570=8,AZ1570=9),0,IF(OR(AW1570=3,AW1570=4,AW1570=5,AW1570=6),IF(LEFT(BF1570,1)="1",INDEX(係数_NOX・PM低減,MATCH(AY1570,【参考】排出係数!$AI$801:$AI$804,1),1),VLOOKUP(AU1570,INDEX((係数_バス貨物_ガソリン,係数_バス貨物_CNG,係数_バス貨物_軽油,係数_バス貨物_メタノール,係数_バス貨物_LPG),MATCH(AY1570,【参考】排出係数!$AI$4:$AI$671,1),1,BE1570):INDEX((係数_バス貨物_ガソリン,係数_バス貨物_CNG,係数_バス貨物_軽油,係数_バス貨物_メタノール,係数_バス貨物_LPG),MATCH(AY1570+1,【参考】排出係数!$AI$4:$AI$671,1)-1,5,BE1570),4,FALSE)),IF(AND(BE1570=3,LEFT(BF1570,1)="1"),0.48,VLOOKUP(AU1570,INDEX((係数_乗用_ガソリン,係数_乗用_CNG,係数_乗用_軽油,係数_乗用_メタノール,係数_乗用_LPG),1,1,BE1570):INDEX((係数_乗用_ガソリン,係数_乗用_CNG,係数_乗用_軽油,係数_乗用_メタノール,係数_乗用_LPG),125,5,BE1570),4,FALSE)))))</f>
        <v/>
      </c>
      <c r="AL1570" s="461" t="str">
        <f t="shared" si="881"/>
        <v/>
      </c>
      <c r="AM1570" s="460" t="str">
        <f>IF(AU1570="","",IF(OR(AZ1570=8,AZ1570=9),0,IF(OR(AW1570=3,AW1570=4,AW1570=5,AW1570=6),IF(LEFT(BH1570,1)="1",INDEX(係数_PM低減,MATCH(AY1570,【参考】排出係数!$AI$801:$AI$804,1),MATCH(BI1570,【参考】排出係数!$AL$798:$AO$798,1)),VLOOKUP(AU1570,INDEX((係数_バス貨物_ガソリン,係数_バス貨物_CNG,係数_バス貨物_軽油,係数_バス貨物_メタノール,係数_バス貨物_LPG),MATCH(AY1570,【参考】排出係数!$AI$4:$AI$671,1),1,BE1570):INDEX((係数_バス貨物_ガソリン,係数_バス貨物_CNG,係数_バス貨物_軽油,係数_バス貨物_メタノール,係数_バス貨物_LPG),MATCH(AY1570+1,【参考】排出係数!$AI$4:$AI$671,1)-1,5,BE1570),5,FALSE)),IF(AND(BE1570=3,LEFT(BF1570,1)="1"),0.055,VLOOKUP(AU1570,INDEX((係数_乗用_ガソリン,係数_乗用_CNG,係数_乗用_軽油,係数_乗用_メタノール,係数_乗用_LPG),1,1,BE1570):INDEX((係数_乗用_ガソリン,係数_乗用_CNG,係数_乗用_軽油,係数_乗用_メタノール,係数_乗用_LPG),125,5,BE1570),5,FALSE)))))</f>
        <v/>
      </c>
      <c r="AN1570" s="461" t="str">
        <f t="shared" si="882"/>
        <v/>
      </c>
      <c r="AO1570" s="462" t="str">
        <f t="shared" si="883"/>
        <v/>
      </c>
      <c r="AP1570" s="463" t="str">
        <f t="shared" si="884"/>
        <v/>
      </c>
      <c r="AQ1570" s="464"/>
      <c r="AR1570" s="619"/>
      <c r="AS1570" s="465" t="str">
        <f t="shared" si="892"/>
        <v/>
      </c>
      <c r="AT1570" s="465" t="str">
        <f t="shared" si="893"/>
        <v/>
      </c>
      <c r="AU1570" s="466" t="str">
        <f t="shared" si="894"/>
        <v/>
      </c>
      <c r="AV1570" s="467" t="str">
        <f t="shared" si="895"/>
        <v/>
      </c>
      <c r="AW1570" s="467" t="str">
        <f t="shared" si="896"/>
        <v/>
      </c>
      <c r="AX1570" s="467" t="str">
        <f t="shared" si="897"/>
        <v/>
      </c>
      <c r="AY1570" s="467" t="str">
        <f t="shared" si="898"/>
        <v/>
      </c>
      <c r="AZ1570" s="467" t="str">
        <f t="shared" si="899"/>
        <v/>
      </c>
      <c r="BA1570" s="468" t="str">
        <f>IF(AS1570="","",IF(OR(AU1570="",AU1570="-"),"－",IF(OR(AZ1570=8,AZ1570=9),"",IF(OR(AW1570=3,AW1570=4,AW1570=5,AW1570=6),VLOOKUP(AU1570,INDEX((係数_バス貨物_ガソリン,係数_バス貨物_CNG,係数_バス貨物_軽油,係数_バス貨物_メタノール,係数_バス貨物_LPG),MATCH(AY1570,【参考】排出係数!$AI$4:$AI$671,1),1,BE1570):INDEX((係数_バス貨物_ガソリン,係数_バス貨物_CNG,係数_バス貨物_軽油,係数_バス貨物_メタノール,係数_バス貨物_LPG),MATCH(AY1570+1,【参考】排出係数!$AI$4:$AI$671,1)-1,5,BE1570),2,FALSE),IF(OR(AW1570=1,AW1570=2),VLOOKUP(AU1570,INDEX((係数_乗用_ガソリン,係数_乗用_CNG,係数_乗用_軽油,係数_乗用_メタノール,係数_乗用_LPG),1,1,BE1570):INDEX((係数_乗用_ガソリン,係数_乗用_CNG,係数_乗用_軽油,係数_乗用_メタノール,係数_乗用_LPG),125,5,BE1570),2,FALSE))))))</f>
        <v/>
      </c>
      <c r="BB1570" s="468" t="str">
        <f>IF(T1570="","",IF(OR(AU1570="",AU1570="-"),"－",IF(OR(AZ1570=8,AZ1570=9),"",IF(OR(AW1570=3,AW1570=4,AW1570=5,AW1570=6),VLOOKUP(AU1570,INDEX((係数_バス貨物_ガソリン,係数_バス貨物_CNG,係数_バス貨物_軽油,係数_バス貨物_メタノール,係数_バス貨物_LPG),MATCH(AY1570,【参考】排出係数!$AI$4:$AI$671,1),1,BE1570):INDEX((係数_バス貨物_ガソリン,係数_バス貨物_CNG,係数_バス貨物_軽油,係数_バス貨物_メタノール,係数_バス貨物_LPG),MATCH(AY1570+1,【参考】排出係数!$AI$4:$AI$671,1)-1,5,BE1570),3,FALSE),IF(OR(AW1570=1,AW1570=2),VLOOKUP(AU1570,INDEX((係数_乗用_ガソリン,係数_乗用_CNG,係数_乗用_軽油,係数_乗用_メタノール,係数_乗用_LPG),1,1,BE1570):INDEX((係数_乗用_ガソリン,係数_乗用_CNG,係数_乗用_軽油,係数_乗用_メタノール,係数_乗用_LPG),125,5,BE1570),3,FALSE))))))</f>
        <v/>
      </c>
      <c r="BC1570" s="467" t="str">
        <f t="shared" si="900"/>
        <v/>
      </c>
      <c r="BD1570" s="567" t="str">
        <f t="shared" si="901"/>
        <v/>
      </c>
      <c r="BE1570" s="467" t="str">
        <f t="shared" si="902"/>
        <v/>
      </c>
      <c r="BF1570" s="469" t="str">
        <f t="shared" ca="1" si="903"/>
        <v/>
      </c>
      <c r="BG1570" s="469" t="str">
        <f t="shared" ca="1" si="904"/>
        <v/>
      </c>
      <c r="BH1570" s="467" t="str">
        <f t="shared" si="905"/>
        <v/>
      </c>
      <c r="BI1570" s="467" t="str">
        <f t="shared" ca="1" si="906"/>
        <v/>
      </c>
      <c r="BJ1570" s="469" t="str">
        <f t="shared" si="907"/>
        <v/>
      </c>
      <c r="BK1570" s="470" t="str">
        <f t="shared" si="891"/>
        <v/>
      </c>
      <c r="BL1570" s="775" t="str">
        <f t="shared" si="908"/>
        <v/>
      </c>
      <c r="BM1570" s="775" t="str">
        <f t="shared" si="909"/>
        <v/>
      </c>
    </row>
    <row r="1571" spans="1:65">
      <c r="A1571" s="473">
        <v>1515</v>
      </c>
      <c r="B1571" s="132"/>
      <c r="C1571" s="332"/>
      <c r="D1571" s="333"/>
      <c r="E1571" s="333"/>
      <c r="F1571" s="334"/>
      <c r="G1571" s="337"/>
      <c r="H1571" s="131"/>
      <c r="I1571" s="337"/>
      <c r="J1571" s="131"/>
      <c r="K1571" s="458" t="str">
        <f t="shared" si="872"/>
        <v/>
      </c>
      <c r="L1571" s="458">
        <f t="shared" si="873"/>
        <v>0</v>
      </c>
      <c r="M1571" s="458">
        <f t="shared" si="874"/>
        <v>0</v>
      </c>
      <c r="N1571" s="459" t="str">
        <f t="shared" si="885"/>
        <v/>
      </c>
      <c r="O1571" s="459" t="str">
        <f t="shared" si="886"/>
        <v/>
      </c>
      <c r="P1571" s="459" t="str">
        <f t="shared" si="887"/>
        <v/>
      </c>
      <c r="Q1571" s="459" t="str">
        <f t="shared" si="888"/>
        <v/>
      </c>
      <c r="R1571" s="459" t="str">
        <f t="shared" si="889"/>
        <v/>
      </c>
      <c r="S1571" s="459" t="str">
        <f t="shared" si="890"/>
        <v/>
      </c>
      <c r="T1571" s="566" t="str">
        <f t="shared" si="875"/>
        <v/>
      </c>
      <c r="U1571" s="702"/>
      <c r="V1571" s="132"/>
      <c r="W1571" s="133"/>
      <c r="X1571" s="134"/>
      <c r="Y1571" s="135"/>
      <c r="Z1571" s="137"/>
      <c r="AA1571" s="136"/>
      <c r="AB1571" s="566" t="str">
        <f t="shared" si="876"/>
        <v/>
      </c>
      <c r="AC1571" s="568" t="str">
        <f t="shared" si="877"/>
        <v/>
      </c>
      <c r="AD1571" s="137"/>
      <c r="AE1571" s="137"/>
      <c r="AF1571" s="138"/>
      <c r="AG1571" s="138"/>
      <c r="AH1571" s="592" t="str">
        <f t="shared" si="878"/>
        <v/>
      </c>
      <c r="AI1571" s="592" t="str">
        <f t="shared" si="879"/>
        <v/>
      </c>
      <c r="AJ1571" s="592" t="str">
        <f t="shared" si="880"/>
        <v/>
      </c>
      <c r="AK1571" s="460" t="str">
        <f>IF(AU1571="","",IF(OR(AZ1571=8,AZ1571=9),0,IF(OR(AW1571=3,AW1571=4,AW1571=5,AW1571=6),IF(LEFT(BF1571,1)="1",INDEX(係数_NOX・PM低減,MATCH(AY1571,【参考】排出係数!$AI$801:$AI$804,1),1),VLOOKUP(AU1571,INDEX((係数_バス貨物_ガソリン,係数_バス貨物_CNG,係数_バス貨物_軽油,係数_バス貨物_メタノール,係数_バス貨物_LPG),MATCH(AY1571,【参考】排出係数!$AI$4:$AI$671,1),1,BE1571):INDEX((係数_バス貨物_ガソリン,係数_バス貨物_CNG,係数_バス貨物_軽油,係数_バス貨物_メタノール,係数_バス貨物_LPG),MATCH(AY1571+1,【参考】排出係数!$AI$4:$AI$671,1)-1,5,BE1571),4,FALSE)),IF(AND(BE1571=3,LEFT(BF1571,1)="1"),0.48,VLOOKUP(AU1571,INDEX((係数_乗用_ガソリン,係数_乗用_CNG,係数_乗用_軽油,係数_乗用_メタノール,係数_乗用_LPG),1,1,BE1571):INDEX((係数_乗用_ガソリン,係数_乗用_CNG,係数_乗用_軽油,係数_乗用_メタノール,係数_乗用_LPG),125,5,BE1571),4,FALSE)))))</f>
        <v/>
      </c>
      <c r="AL1571" s="461" t="str">
        <f t="shared" si="881"/>
        <v/>
      </c>
      <c r="AM1571" s="460" t="str">
        <f>IF(AU1571="","",IF(OR(AZ1571=8,AZ1571=9),0,IF(OR(AW1571=3,AW1571=4,AW1571=5,AW1571=6),IF(LEFT(BH1571,1)="1",INDEX(係数_PM低減,MATCH(AY1571,【参考】排出係数!$AI$801:$AI$804,1),MATCH(BI1571,【参考】排出係数!$AL$798:$AO$798,1)),VLOOKUP(AU1571,INDEX((係数_バス貨物_ガソリン,係数_バス貨物_CNG,係数_バス貨物_軽油,係数_バス貨物_メタノール,係数_バス貨物_LPG),MATCH(AY1571,【参考】排出係数!$AI$4:$AI$671,1),1,BE1571):INDEX((係数_バス貨物_ガソリン,係数_バス貨物_CNG,係数_バス貨物_軽油,係数_バス貨物_メタノール,係数_バス貨物_LPG),MATCH(AY1571+1,【参考】排出係数!$AI$4:$AI$671,1)-1,5,BE1571),5,FALSE)),IF(AND(BE1571=3,LEFT(BF1571,1)="1"),0.055,VLOOKUP(AU1571,INDEX((係数_乗用_ガソリン,係数_乗用_CNG,係数_乗用_軽油,係数_乗用_メタノール,係数_乗用_LPG),1,1,BE1571):INDEX((係数_乗用_ガソリン,係数_乗用_CNG,係数_乗用_軽油,係数_乗用_メタノール,係数_乗用_LPG),125,5,BE1571),5,FALSE)))))</f>
        <v/>
      </c>
      <c r="AN1571" s="461" t="str">
        <f t="shared" si="882"/>
        <v/>
      </c>
      <c r="AO1571" s="462" t="str">
        <f t="shared" si="883"/>
        <v/>
      </c>
      <c r="AP1571" s="463" t="str">
        <f t="shared" si="884"/>
        <v/>
      </c>
      <c r="AQ1571" s="464"/>
      <c r="AR1571" s="619"/>
      <c r="AS1571" s="465" t="str">
        <f t="shared" si="892"/>
        <v/>
      </c>
      <c r="AT1571" s="465" t="str">
        <f t="shared" si="893"/>
        <v/>
      </c>
      <c r="AU1571" s="466" t="str">
        <f t="shared" si="894"/>
        <v/>
      </c>
      <c r="AV1571" s="467" t="str">
        <f t="shared" si="895"/>
        <v/>
      </c>
      <c r="AW1571" s="467" t="str">
        <f t="shared" si="896"/>
        <v/>
      </c>
      <c r="AX1571" s="467" t="str">
        <f t="shared" si="897"/>
        <v/>
      </c>
      <c r="AY1571" s="467" t="str">
        <f t="shared" si="898"/>
        <v/>
      </c>
      <c r="AZ1571" s="467" t="str">
        <f t="shared" si="899"/>
        <v/>
      </c>
      <c r="BA1571" s="468" t="str">
        <f>IF(AS1571="","",IF(OR(AU1571="",AU1571="-"),"－",IF(OR(AZ1571=8,AZ1571=9),"",IF(OR(AW1571=3,AW1571=4,AW1571=5,AW1571=6),VLOOKUP(AU1571,INDEX((係数_バス貨物_ガソリン,係数_バス貨物_CNG,係数_バス貨物_軽油,係数_バス貨物_メタノール,係数_バス貨物_LPG),MATCH(AY1571,【参考】排出係数!$AI$4:$AI$671,1),1,BE1571):INDEX((係数_バス貨物_ガソリン,係数_バス貨物_CNG,係数_バス貨物_軽油,係数_バス貨物_メタノール,係数_バス貨物_LPG),MATCH(AY1571+1,【参考】排出係数!$AI$4:$AI$671,1)-1,5,BE1571),2,FALSE),IF(OR(AW1571=1,AW1571=2),VLOOKUP(AU1571,INDEX((係数_乗用_ガソリン,係数_乗用_CNG,係数_乗用_軽油,係数_乗用_メタノール,係数_乗用_LPG),1,1,BE1571):INDEX((係数_乗用_ガソリン,係数_乗用_CNG,係数_乗用_軽油,係数_乗用_メタノール,係数_乗用_LPG),125,5,BE1571),2,FALSE))))))</f>
        <v/>
      </c>
      <c r="BB1571" s="468" t="str">
        <f>IF(T1571="","",IF(OR(AU1571="",AU1571="-"),"－",IF(OR(AZ1571=8,AZ1571=9),"",IF(OR(AW1571=3,AW1571=4,AW1571=5,AW1571=6),VLOOKUP(AU1571,INDEX((係数_バス貨物_ガソリン,係数_バス貨物_CNG,係数_バス貨物_軽油,係数_バス貨物_メタノール,係数_バス貨物_LPG),MATCH(AY1571,【参考】排出係数!$AI$4:$AI$671,1),1,BE1571):INDEX((係数_バス貨物_ガソリン,係数_バス貨物_CNG,係数_バス貨物_軽油,係数_バス貨物_メタノール,係数_バス貨物_LPG),MATCH(AY1571+1,【参考】排出係数!$AI$4:$AI$671,1)-1,5,BE1571),3,FALSE),IF(OR(AW1571=1,AW1571=2),VLOOKUP(AU1571,INDEX((係数_乗用_ガソリン,係数_乗用_CNG,係数_乗用_軽油,係数_乗用_メタノール,係数_乗用_LPG),1,1,BE1571):INDEX((係数_乗用_ガソリン,係数_乗用_CNG,係数_乗用_軽油,係数_乗用_メタノール,係数_乗用_LPG),125,5,BE1571),3,FALSE))))))</f>
        <v/>
      </c>
      <c r="BC1571" s="467" t="str">
        <f t="shared" si="900"/>
        <v/>
      </c>
      <c r="BD1571" s="567" t="str">
        <f t="shared" si="901"/>
        <v/>
      </c>
      <c r="BE1571" s="467" t="str">
        <f t="shared" si="902"/>
        <v/>
      </c>
      <c r="BF1571" s="469" t="str">
        <f t="shared" ca="1" si="903"/>
        <v/>
      </c>
      <c r="BG1571" s="469" t="str">
        <f t="shared" ca="1" si="904"/>
        <v/>
      </c>
      <c r="BH1571" s="467" t="str">
        <f t="shared" si="905"/>
        <v/>
      </c>
      <c r="BI1571" s="467" t="str">
        <f t="shared" ca="1" si="906"/>
        <v/>
      </c>
      <c r="BJ1571" s="469" t="str">
        <f t="shared" si="907"/>
        <v/>
      </c>
      <c r="BK1571" s="470" t="str">
        <f t="shared" si="891"/>
        <v/>
      </c>
      <c r="BL1571" s="775" t="str">
        <f t="shared" si="908"/>
        <v/>
      </c>
      <c r="BM1571" s="775" t="str">
        <f t="shared" si="909"/>
        <v/>
      </c>
    </row>
    <row r="1572" spans="1:65">
      <c r="A1572" s="473">
        <v>1516</v>
      </c>
      <c r="B1572" s="132"/>
      <c r="C1572" s="332"/>
      <c r="D1572" s="333"/>
      <c r="E1572" s="333"/>
      <c r="F1572" s="334"/>
      <c r="G1572" s="337"/>
      <c r="H1572" s="131"/>
      <c r="I1572" s="337"/>
      <c r="J1572" s="131"/>
      <c r="K1572" s="458" t="str">
        <f t="shared" si="872"/>
        <v/>
      </c>
      <c r="L1572" s="458">
        <f t="shared" si="873"/>
        <v>0</v>
      </c>
      <c r="M1572" s="458">
        <f t="shared" si="874"/>
        <v>0</v>
      </c>
      <c r="N1572" s="459" t="str">
        <f t="shared" si="885"/>
        <v/>
      </c>
      <c r="O1572" s="459" t="str">
        <f t="shared" si="886"/>
        <v/>
      </c>
      <c r="P1572" s="459" t="str">
        <f t="shared" si="887"/>
        <v/>
      </c>
      <c r="Q1572" s="459" t="str">
        <f t="shared" si="888"/>
        <v/>
      </c>
      <c r="R1572" s="459" t="str">
        <f t="shared" si="889"/>
        <v/>
      </c>
      <c r="S1572" s="459" t="str">
        <f t="shared" si="890"/>
        <v/>
      </c>
      <c r="T1572" s="566" t="str">
        <f t="shared" si="875"/>
        <v/>
      </c>
      <c r="U1572" s="702"/>
      <c r="V1572" s="132"/>
      <c r="W1572" s="133"/>
      <c r="X1572" s="134"/>
      <c r="Y1572" s="135"/>
      <c r="Z1572" s="137"/>
      <c r="AA1572" s="136"/>
      <c r="AB1572" s="566" t="str">
        <f t="shared" si="876"/>
        <v/>
      </c>
      <c r="AC1572" s="568" t="str">
        <f t="shared" si="877"/>
        <v/>
      </c>
      <c r="AD1572" s="137"/>
      <c r="AE1572" s="137"/>
      <c r="AF1572" s="138"/>
      <c r="AG1572" s="138"/>
      <c r="AH1572" s="592" t="str">
        <f t="shared" si="878"/>
        <v/>
      </c>
      <c r="AI1572" s="592" t="str">
        <f t="shared" si="879"/>
        <v/>
      </c>
      <c r="AJ1572" s="592" t="str">
        <f t="shared" si="880"/>
        <v/>
      </c>
      <c r="AK1572" s="460" t="str">
        <f>IF(AU1572="","",IF(OR(AZ1572=8,AZ1572=9),0,IF(OR(AW1572=3,AW1572=4,AW1572=5,AW1572=6),IF(LEFT(BF1572,1)="1",INDEX(係数_NOX・PM低減,MATCH(AY1572,【参考】排出係数!$AI$801:$AI$804,1),1),VLOOKUP(AU1572,INDEX((係数_バス貨物_ガソリン,係数_バス貨物_CNG,係数_バス貨物_軽油,係数_バス貨物_メタノール,係数_バス貨物_LPG),MATCH(AY1572,【参考】排出係数!$AI$4:$AI$671,1),1,BE1572):INDEX((係数_バス貨物_ガソリン,係数_バス貨物_CNG,係数_バス貨物_軽油,係数_バス貨物_メタノール,係数_バス貨物_LPG),MATCH(AY1572+1,【参考】排出係数!$AI$4:$AI$671,1)-1,5,BE1572),4,FALSE)),IF(AND(BE1572=3,LEFT(BF1572,1)="1"),0.48,VLOOKUP(AU1572,INDEX((係数_乗用_ガソリン,係数_乗用_CNG,係数_乗用_軽油,係数_乗用_メタノール,係数_乗用_LPG),1,1,BE1572):INDEX((係数_乗用_ガソリン,係数_乗用_CNG,係数_乗用_軽油,係数_乗用_メタノール,係数_乗用_LPG),125,5,BE1572),4,FALSE)))))</f>
        <v/>
      </c>
      <c r="AL1572" s="461" t="str">
        <f t="shared" si="881"/>
        <v/>
      </c>
      <c r="AM1572" s="460" t="str">
        <f>IF(AU1572="","",IF(OR(AZ1572=8,AZ1572=9),0,IF(OR(AW1572=3,AW1572=4,AW1572=5,AW1572=6),IF(LEFT(BH1572,1)="1",INDEX(係数_PM低減,MATCH(AY1572,【参考】排出係数!$AI$801:$AI$804,1),MATCH(BI1572,【参考】排出係数!$AL$798:$AO$798,1)),VLOOKUP(AU1572,INDEX((係数_バス貨物_ガソリン,係数_バス貨物_CNG,係数_バス貨物_軽油,係数_バス貨物_メタノール,係数_バス貨物_LPG),MATCH(AY1572,【参考】排出係数!$AI$4:$AI$671,1),1,BE1572):INDEX((係数_バス貨物_ガソリン,係数_バス貨物_CNG,係数_バス貨物_軽油,係数_バス貨物_メタノール,係数_バス貨物_LPG),MATCH(AY1572+1,【参考】排出係数!$AI$4:$AI$671,1)-1,5,BE1572),5,FALSE)),IF(AND(BE1572=3,LEFT(BF1572,1)="1"),0.055,VLOOKUP(AU1572,INDEX((係数_乗用_ガソリン,係数_乗用_CNG,係数_乗用_軽油,係数_乗用_メタノール,係数_乗用_LPG),1,1,BE1572):INDEX((係数_乗用_ガソリン,係数_乗用_CNG,係数_乗用_軽油,係数_乗用_メタノール,係数_乗用_LPG),125,5,BE1572),5,FALSE)))))</f>
        <v/>
      </c>
      <c r="AN1572" s="461" t="str">
        <f t="shared" si="882"/>
        <v/>
      </c>
      <c r="AO1572" s="462" t="str">
        <f t="shared" si="883"/>
        <v/>
      </c>
      <c r="AP1572" s="463" t="str">
        <f t="shared" si="884"/>
        <v/>
      </c>
      <c r="AQ1572" s="464"/>
      <c r="AR1572" s="619"/>
      <c r="AS1572" s="465" t="str">
        <f t="shared" si="892"/>
        <v/>
      </c>
      <c r="AT1572" s="465" t="str">
        <f t="shared" si="893"/>
        <v/>
      </c>
      <c r="AU1572" s="466" t="str">
        <f t="shared" si="894"/>
        <v/>
      </c>
      <c r="AV1572" s="467" t="str">
        <f t="shared" si="895"/>
        <v/>
      </c>
      <c r="AW1572" s="467" t="str">
        <f t="shared" si="896"/>
        <v/>
      </c>
      <c r="AX1572" s="467" t="str">
        <f t="shared" si="897"/>
        <v/>
      </c>
      <c r="AY1572" s="467" t="str">
        <f t="shared" si="898"/>
        <v/>
      </c>
      <c r="AZ1572" s="467" t="str">
        <f t="shared" si="899"/>
        <v/>
      </c>
      <c r="BA1572" s="468" t="str">
        <f>IF(AS1572="","",IF(OR(AU1572="",AU1572="-"),"－",IF(OR(AZ1572=8,AZ1572=9),"",IF(OR(AW1572=3,AW1572=4,AW1572=5,AW1572=6),VLOOKUP(AU1572,INDEX((係数_バス貨物_ガソリン,係数_バス貨物_CNG,係数_バス貨物_軽油,係数_バス貨物_メタノール,係数_バス貨物_LPG),MATCH(AY1572,【参考】排出係数!$AI$4:$AI$671,1),1,BE1572):INDEX((係数_バス貨物_ガソリン,係数_バス貨物_CNG,係数_バス貨物_軽油,係数_バス貨物_メタノール,係数_バス貨物_LPG),MATCH(AY1572+1,【参考】排出係数!$AI$4:$AI$671,1)-1,5,BE1572),2,FALSE),IF(OR(AW1572=1,AW1572=2),VLOOKUP(AU1572,INDEX((係数_乗用_ガソリン,係数_乗用_CNG,係数_乗用_軽油,係数_乗用_メタノール,係数_乗用_LPG),1,1,BE1572):INDEX((係数_乗用_ガソリン,係数_乗用_CNG,係数_乗用_軽油,係数_乗用_メタノール,係数_乗用_LPG),125,5,BE1572),2,FALSE))))))</f>
        <v/>
      </c>
      <c r="BB1572" s="468" t="str">
        <f>IF(T1572="","",IF(OR(AU1572="",AU1572="-"),"－",IF(OR(AZ1572=8,AZ1572=9),"",IF(OR(AW1572=3,AW1572=4,AW1572=5,AW1572=6),VLOOKUP(AU1572,INDEX((係数_バス貨物_ガソリン,係数_バス貨物_CNG,係数_バス貨物_軽油,係数_バス貨物_メタノール,係数_バス貨物_LPG),MATCH(AY1572,【参考】排出係数!$AI$4:$AI$671,1),1,BE1572):INDEX((係数_バス貨物_ガソリン,係数_バス貨物_CNG,係数_バス貨物_軽油,係数_バス貨物_メタノール,係数_バス貨物_LPG),MATCH(AY1572+1,【参考】排出係数!$AI$4:$AI$671,1)-1,5,BE1572),3,FALSE),IF(OR(AW1572=1,AW1572=2),VLOOKUP(AU1572,INDEX((係数_乗用_ガソリン,係数_乗用_CNG,係数_乗用_軽油,係数_乗用_メタノール,係数_乗用_LPG),1,1,BE1572):INDEX((係数_乗用_ガソリン,係数_乗用_CNG,係数_乗用_軽油,係数_乗用_メタノール,係数_乗用_LPG),125,5,BE1572),3,FALSE))))))</f>
        <v/>
      </c>
      <c r="BC1572" s="467" t="str">
        <f t="shared" si="900"/>
        <v/>
      </c>
      <c r="BD1572" s="567" t="str">
        <f t="shared" si="901"/>
        <v/>
      </c>
      <c r="BE1572" s="467" t="str">
        <f t="shared" si="902"/>
        <v/>
      </c>
      <c r="BF1572" s="469" t="str">
        <f t="shared" ca="1" si="903"/>
        <v/>
      </c>
      <c r="BG1572" s="469" t="str">
        <f t="shared" ca="1" si="904"/>
        <v/>
      </c>
      <c r="BH1572" s="467" t="str">
        <f t="shared" si="905"/>
        <v/>
      </c>
      <c r="BI1572" s="467" t="str">
        <f t="shared" ca="1" si="906"/>
        <v/>
      </c>
      <c r="BJ1572" s="469" t="str">
        <f t="shared" si="907"/>
        <v/>
      </c>
      <c r="BK1572" s="470" t="str">
        <f t="shared" si="891"/>
        <v/>
      </c>
      <c r="BL1572" s="775" t="str">
        <f t="shared" si="908"/>
        <v/>
      </c>
      <c r="BM1572" s="775" t="str">
        <f t="shared" si="909"/>
        <v/>
      </c>
    </row>
    <row r="1573" spans="1:65">
      <c r="A1573" s="473">
        <v>1517</v>
      </c>
      <c r="B1573" s="132"/>
      <c r="C1573" s="332"/>
      <c r="D1573" s="333"/>
      <c r="E1573" s="333"/>
      <c r="F1573" s="334"/>
      <c r="G1573" s="337"/>
      <c r="H1573" s="131"/>
      <c r="I1573" s="337"/>
      <c r="J1573" s="131"/>
      <c r="K1573" s="458" t="str">
        <f t="shared" si="872"/>
        <v/>
      </c>
      <c r="L1573" s="458">
        <f t="shared" si="873"/>
        <v>0</v>
      </c>
      <c r="M1573" s="458">
        <f t="shared" si="874"/>
        <v>0</v>
      </c>
      <c r="N1573" s="459" t="str">
        <f t="shared" si="885"/>
        <v/>
      </c>
      <c r="O1573" s="459" t="str">
        <f t="shared" si="886"/>
        <v/>
      </c>
      <c r="P1573" s="459" t="str">
        <f t="shared" si="887"/>
        <v/>
      </c>
      <c r="Q1573" s="459" t="str">
        <f t="shared" si="888"/>
        <v/>
      </c>
      <c r="R1573" s="459" t="str">
        <f t="shared" si="889"/>
        <v/>
      </c>
      <c r="S1573" s="459" t="str">
        <f t="shared" si="890"/>
        <v/>
      </c>
      <c r="T1573" s="566" t="str">
        <f t="shared" si="875"/>
        <v/>
      </c>
      <c r="U1573" s="702"/>
      <c r="V1573" s="132"/>
      <c r="W1573" s="133"/>
      <c r="X1573" s="134"/>
      <c r="Y1573" s="135"/>
      <c r="Z1573" s="137"/>
      <c r="AA1573" s="136"/>
      <c r="AB1573" s="566" t="str">
        <f t="shared" si="876"/>
        <v/>
      </c>
      <c r="AC1573" s="568" t="str">
        <f t="shared" si="877"/>
        <v/>
      </c>
      <c r="AD1573" s="137"/>
      <c r="AE1573" s="137"/>
      <c r="AF1573" s="138"/>
      <c r="AG1573" s="138"/>
      <c r="AH1573" s="592" t="str">
        <f t="shared" si="878"/>
        <v/>
      </c>
      <c r="AI1573" s="592" t="str">
        <f t="shared" si="879"/>
        <v/>
      </c>
      <c r="AJ1573" s="592" t="str">
        <f t="shared" si="880"/>
        <v/>
      </c>
      <c r="AK1573" s="460" t="str">
        <f>IF(AU1573="","",IF(OR(AZ1573=8,AZ1573=9),0,IF(OR(AW1573=3,AW1573=4,AW1573=5,AW1573=6),IF(LEFT(BF1573,1)="1",INDEX(係数_NOX・PM低減,MATCH(AY1573,【参考】排出係数!$AI$801:$AI$804,1),1),VLOOKUP(AU1573,INDEX((係数_バス貨物_ガソリン,係数_バス貨物_CNG,係数_バス貨物_軽油,係数_バス貨物_メタノール,係数_バス貨物_LPG),MATCH(AY1573,【参考】排出係数!$AI$4:$AI$671,1),1,BE1573):INDEX((係数_バス貨物_ガソリン,係数_バス貨物_CNG,係数_バス貨物_軽油,係数_バス貨物_メタノール,係数_バス貨物_LPG),MATCH(AY1573+1,【参考】排出係数!$AI$4:$AI$671,1)-1,5,BE1573),4,FALSE)),IF(AND(BE1573=3,LEFT(BF1573,1)="1"),0.48,VLOOKUP(AU1573,INDEX((係数_乗用_ガソリン,係数_乗用_CNG,係数_乗用_軽油,係数_乗用_メタノール,係数_乗用_LPG),1,1,BE1573):INDEX((係数_乗用_ガソリン,係数_乗用_CNG,係数_乗用_軽油,係数_乗用_メタノール,係数_乗用_LPG),125,5,BE1573),4,FALSE)))))</f>
        <v/>
      </c>
      <c r="AL1573" s="461" t="str">
        <f t="shared" si="881"/>
        <v/>
      </c>
      <c r="AM1573" s="460" t="str">
        <f>IF(AU1573="","",IF(OR(AZ1573=8,AZ1573=9),0,IF(OR(AW1573=3,AW1573=4,AW1573=5,AW1573=6),IF(LEFT(BH1573,1)="1",INDEX(係数_PM低減,MATCH(AY1573,【参考】排出係数!$AI$801:$AI$804,1),MATCH(BI1573,【参考】排出係数!$AL$798:$AO$798,1)),VLOOKUP(AU1573,INDEX((係数_バス貨物_ガソリン,係数_バス貨物_CNG,係数_バス貨物_軽油,係数_バス貨物_メタノール,係数_バス貨物_LPG),MATCH(AY1573,【参考】排出係数!$AI$4:$AI$671,1),1,BE1573):INDEX((係数_バス貨物_ガソリン,係数_バス貨物_CNG,係数_バス貨物_軽油,係数_バス貨物_メタノール,係数_バス貨物_LPG),MATCH(AY1573+1,【参考】排出係数!$AI$4:$AI$671,1)-1,5,BE1573),5,FALSE)),IF(AND(BE1573=3,LEFT(BF1573,1)="1"),0.055,VLOOKUP(AU1573,INDEX((係数_乗用_ガソリン,係数_乗用_CNG,係数_乗用_軽油,係数_乗用_メタノール,係数_乗用_LPG),1,1,BE1573):INDEX((係数_乗用_ガソリン,係数_乗用_CNG,係数_乗用_軽油,係数_乗用_メタノール,係数_乗用_LPG),125,5,BE1573),5,FALSE)))))</f>
        <v/>
      </c>
      <c r="AN1573" s="461" t="str">
        <f t="shared" si="882"/>
        <v/>
      </c>
      <c r="AO1573" s="462" t="str">
        <f t="shared" si="883"/>
        <v/>
      </c>
      <c r="AP1573" s="463" t="str">
        <f t="shared" si="884"/>
        <v/>
      </c>
      <c r="AQ1573" s="464"/>
      <c r="AR1573" s="619"/>
      <c r="AS1573" s="465" t="str">
        <f t="shared" si="892"/>
        <v/>
      </c>
      <c r="AT1573" s="465" t="str">
        <f t="shared" si="893"/>
        <v/>
      </c>
      <c r="AU1573" s="466" t="str">
        <f t="shared" si="894"/>
        <v/>
      </c>
      <c r="AV1573" s="467" t="str">
        <f t="shared" si="895"/>
        <v/>
      </c>
      <c r="AW1573" s="467" t="str">
        <f t="shared" si="896"/>
        <v/>
      </c>
      <c r="AX1573" s="467" t="str">
        <f t="shared" si="897"/>
        <v/>
      </c>
      <c r="AY1573" s="467" t="str">
        <f t="shared" si="898"/>
        <v/>
      </c>
      <c r="AZ1573" s="467" t="str">
        <f t="shared" si="899"/>
        <v/>
      </c>
      <c r="BA1573" s="468" t="str">
        <f>IF(AS1573="","",IF(OR(AU1573="",AU1573="-"),"－",IF(OR(AZ1573=8,AZ1573=9),"",IF(OR(AW1573=3,AW1573=4,AW1573=5,AW1573=6),VLOOKUP(AU1573,INDEX((係数_バス貨物_ガソリン,係数_バス貨物_CNG,係数_バス貨物_軽油,係数_バス貨物_メタノール,係数_バス貨物_LPG),MATCH(AY1573,【参考】排出係数!$AI$4:$AI$671,1),1,BE1573):INDEX((係数_バス貨物_ガソリン,係数_バス貨物_CNG,係数_バス貨物_軽油,係数_バス貨物_メタノール,係数_バス貨物_LPG),MATCH(AY1573+1,【参考】排出係数!$AI$4:$AI$671,1)-1,5,BE1573),2,FALSE),IF(OR(AW1573=1,AW1573=2),VLOOKUP(AU1573,INDEX((係数_乗用_ガソリン,係数_乗用_CNG,係数_乗用_軽油,係数_乗用_メタノール,係数_乗用_LPG),1,1,BE1573):INDEX((係数_乗用_ガソリン,係数_乗用_CNG,係数_乗用_軽油,係数_乗用_メタノール,係数_乗用_LPG),125,5,BE1573),2,FALSE))))))</f>
        <v/>
      </c>
      <c r="BB1573" s="468" t="str">
        <f>IF(T1573="","",IF(OR(AU1573="",AU1573="-"),"－",IF(OR(AZ1573=8,AZ1573=9),"",IF(OR(AW1573=3,AW1573=4,AW1573=5,AW1573=6),VLOOKUP(AU1573,INDEX((係数_バス貨物_ガソリン,係数_バス貨物_CNG,係数_バス貨物_軽油,係数_バス貨物_メタノール,係数_バス貨物_LPG),MATCH(AY1573,【参考】排出係数!$AI$4:$AI$671,1),1,BE1573):INDEX((係数_バス貨物_ガソリン,係数_バス貨物_CNG,係数_バス貨物_軽油,係数_バス貨物_メタノール,係数_バス貨物_LPG),MATCH(AY1573+1,【参考】排出係数!$AI$4:$AI$671,1)-1,5,BE1573),3,FALSE),IF(OR(AW1573=1,AW1573=2),VLOOKUP(AU1573,INDEX((係数_乗用_ガソリン,係数_乗用_CNG,係数_乗用_軽油,係数_乗用_メタノール,係数_乗用_LPG),1,1,BE1573):INDEX((係数_乗用_ガソリン,係数_乗用_CNG,係数_乗用_軽油,係数_乗用_メタノール,係数_乗用_LPG),125,5,BE1573),3,FALSE))))))</f>
        <v/>
      </c>
      <c r="BC1573" s="467" t="str">
        <f t="shared" si="900"/>
        <v/>
      </c>
      <c r="BD1573" s="567" t="str">
        <f t="shared" si="901"/>
        <v/>
      </c>
      <c r="BE1573" s="467" t="str">
        <f t="shared" si="902"/>
        <v/>
      </c>
      <c r="BF1573" s="469" t="str">
        <f t="shared" ca="1" si="903"/>
        <v/>
      </c>
      <c r="BG1573" s="469" t="str">
        <f t="shared" ca="1" si="904"/>
        <v/>
      </c>
      <c r="BH1573" s="467" t="str">
        <f t="shared" si="905"/>
        <v/>
      </c>
      <c r="BI1573" s="467" t="str">
        <f t="shared" ca="1" si="906"/>
        <v/>
      </c>
      <c r="BJ1573" s="469" t="str">
        <f t="shared" si="907"/>
        <v/>
      </c>
      <c r="BK1573" s="470" t="str">
        <f t="shared" si="891"/>
        <v/>
      </c>
      <c r="BL1573" s="775" t="str">
        <f t="shared" si="908"/>
        <v/>
      </c>
      <c r="BM1573" s="775" t="str">
        <f t="shared" si="909"/>
        <v/>
      </c>
    </row>
    <row r="1574" spans="1:65">
      <c r="A1574" s="473">
        <v>1518</v>
      </c>
      <c r="B1574" s="132"/>
      <c r="C1574" s="332"/>
      <c r="D1574" s="333"/>
      <c r="E1574" s="333"/>
      <c r="F1574" s="334"/>
      <c r="G1574" s="337"/>
      <c r="H1574" s="131"/>
      <c r="I1574" s="337"/>
      <c r="J1574" s="131"/>
      <c r="K1574" s="458" t="str">
        <f t="shared" si="872"/>
        <v/>
      </c>
      <c r="L1574" s="458">
        <f t="shared" si="873"/>
        <v>0</v>
      </c>
      <c r="M1574" s="458">
        <f t="shared" si="874"/>
        <v>0</v>
      </c>
      <c r="N1574" s="459" t="str">
        <f t="shared" si="885"/>
        <v/>
      </c>
      <c r="O1574" s="459" t="str">
        <f t="shared" si="886"/>
        <v/>
      </c>
      <c r="P1574" s="459" t="str">
        <f t="shared" si="887"/>
        <v/>
      </c>
      <c r="Q1574" s="459" t="str">
        <f t="shared" si="888"/>
        <v/>
      </c>
      <c r="R1574" s="459" t="str">
        <f t="shared" si="889"/>
        <v/>
      </c>
      <c r="S1574" s="459" t="str">
        <f t="shared" si="890"/>
        <v/>
      </c>
      <c r="T1574" s="566" t="str">
        <f t="shared" si="875"/>
        <v/>
      </c>
      <c r="U1574" s="702"/>
      <c r="V1574" s="132"/>
      <c r="W1574" s="133"/>
      <c r="X1574" s="134"/>
      <c r="Y1574" s="135"/>
      <c r="Z1574" s="137"/>
      <c r="AA1574" s="136"/>
      <c r="AB1574" s="566" t="str">
        <f t="shared" si="876"/>
        <v/>
      </c>
      <c r="AC1574" s="568" t="str">
        <f t="shared" si="877"/>
        <v/>
      </c>
      <c r="AD1574" s="137"/>
      <c r="AE1574" s="137"/>
      <c r="AF1574" s="138"/>
      <c r="AG1574" s="138"/>
      <c r="AH1574" s="592" t="str">
        <f t="shared" si="878"/>
        <v/>
      </c>
      <c r="AI1574" s="592" t="str">
        <f t="shared" si="879"/>
        <v/>
      </c>
      <c r="AJ1574" s="592" t="str">
        <f t="shared" si="880"/>
        <v/>
      </c>
      <c r="AK1574" s="460" t="str">
        <f>IF(AU1574="","",IF(OR(AZ1574=8,AZ1574=9),0,IF(OR(AW1574=3,AW1574=4,AW1574=5,AW1574=6),IF(LEFT(BF1574,1)="1",INDEX(係数_NOX・PM低減,MATCH(AY1574,【参考】排出係数!$AI$801:$AI$804,1),1),VLOOKUP(AU1574,INDEX((係数_バス貨物_ガソリン,係数_バス貨物_CNG,係数_バス貨物_軽油,係数_バス貨物_メタノール,係数_バス貨物_LPG),MATCH(AY1574,【参考】排出係数!$AI$4:$AI$671,1),1,BE1574):INDEX((係数_バス貨物_ガソリン,係数_バス貨物_CNG,係数_バス貨物_軽油,係数_バス貨物_メタノール,係数_バス貨物_LPG),MATCH(AY1574+1,【参考】排出係数!$AI$4:$AI$671,1)-1,5,BE1574),4,FALSE)),IF(AND(BE1574=3,LEFT(BF1574,1)="1"),0.48,VLOOKUP(AU1574,INDEX((係数_乗用_ガソリン,係数_乗用_CNG,係数_乗用_軽油,係数_乗用_メタノール,係数_乗用_LPG),1,1,BE1574):INDEX((係数_乗用_ガソリン,係数_乗用_CNG,係数_乗用_軽油,係数_乗用_メタノール,係数_乗用_LPG),125,5,BE1574),4,FALSE)))))</f>
        <v/>
      </c>
      <c r="AL1574" s="461" t="str">
        <f t="shared" si="881"/>
        <v/>
      </c>
      <c r="AM1574" s="460" t="str">
        <f>IF(AU1574="","",IF(OR(AZ1574=8,AZ1574=9),0,IF(OR(AW1574=3,AW1574=4,AW1574=5,AW1574=6),IF(LEFT(BH1574,1)="1",INDEX(係数_PM低減,MATCH(AY1574,【参考】排出係数!$AI$801:$AI$804,1),MATCH(BI1574,【参考】排出係数!$AL$798:$AO$798,1)),VLOOKUP(AU1574,INDEX((係数_バス貨物_ガソリン,係数_バス貨物_CNG,係数_バス貨物_軽油,係数_バス貨物_メタノール,係数_バス貨物_LPG),MATCH(AY1574,【参考】排出係数!$AI$4:$AI$671,1),1,BE1574):INDEX((係数_バス貨物_ガソリン,係数_バス貨物_CNG,係数_バス貨物_軽油,係数_バス貨物_メタノール,係数_バス貨物_LPG),MATCH(AY1574+1,【参考】排出係数!$AI$4:$AI$671,1)-1,5,BE1574),5,FALSE)),IF(AND(BE1574=3,LEFT(BF1574,1)="1"),0.055,VLOOKUP(AU1574,INDEX((係数_乗用_ガソリン,係数_乗用_CNG,係数_乗用_軽油,係数_乗用_メタノール,係数_乗用_LPG),1,1,BE1574):INDEX((係数_乗用_ガソリン,係数_乗用_CNG,係数_乗用_軽油,係数_乗用_メタノール,係数_乗用_LPG),125,5,BE1574),5,FALSE)))))</f>
        <v/>
      </c>
      <c r="AN1574" s="461" t="str">
        <f t="shared" si="882"/>
        <v/>
      </c>
      <c r="AO1574" s="462" t="str">
        <f t="shared" si="883"/>
        <v/>
      </c>
      <c r="AP1574" s="463" t="str">
        <f t="shared" si="884"/>
        <v/>
      </c>
      <c r="AQ1574" s="464"/>
      <c r="AR1574" s="619"/>
      <c r="AS1574" s="465" t="str">
        <f t="shared" si="892"/>
        <v/>
      </c>
      <c r="AT1574" s="465" t="str">
        <f t="shared" si="893"/>
        <v/>
      </c>
      <c r="AU1574" s="466" t="str">
        <f t="shared" si="894"/>
        <v/>
      </c>
      <c r="AV1574" s="467" t="str">
        <f t="shared" si="895"/>
        <v/>
      </c>
      <c r="AW1574" s="467" t="str">
        <f t="shared" si="896"/>
        <v/>
      </c>
      <c r="AX1574" s="467" t="str">
        <f t="shared" si="897"/>
        <v/>
      </c>
      <c r="AY1574" s="467" t="str">
        <f t="shared" si="898"/>
        <v/>
      </c>
      <c r="AZ1574" s="467" t="str">
        <f t="shared" si="899"/>
        <v/>
      </c>
      <c r="BA1574" s="468" t="str">
        <f>IF(AS1574="","",IF(OR(AU1574="",AU1574="-"),"－",IF(OR(AZ1574=8,AZ1574=9),"",IF(OR(AW1574=3,AW1574=4,AW1574=5,AW1574=6),VLOOKUP(AU1574,INDEX((係数_バス貨物_ガソリン,係数_バス貨物_CNG,係数_バス貨物_軽油,係数_バス貨物_メタノール,係数_バス貨物_LPG),MATCH(AY1574,【参考】排出係数!$AI$4:$AI$671,1),1,BE1574):INDEX((係数_バス貨物_ガソリン,係数_バス貨物_CNG,係数_バス貨物_軽油,係数_バス貨物_メタノール,係数_バス貨物_LPG),MATCH(AY1574+1,【参考】排出係数!$AI$4:$AI$671,1)-1,5,BE1574),2,FALSE),IF(OR(AW1574=1,AW1574=2),VLOOKUP(AU1574,INDEX((係数_乗用_ガソリン,係数_乗用_CNG,係数_乗用_軽油,係数_乗用_メタノール,係数_乗用_LPG),1,1,BE1574):INDEX((係数_乗用_ガソリン,係数_乗用_CNG,係数_乗用_軽油,係数_乗用_メタノール,係数_乗用_LPG),125,5,BE1574),2,FALSE))))))</f>
        <v/>
      </c>
      <c r="BB1574" s="468" t="str">
        <f>IF(T1574="","",IF(OR(AU1574="",AU1574="-"),"－",IF(OR(AZ1574=8,AZ1574=9),"",IF(OR(AW1574=3,AW1574=4,AW1574=5,AW1574=6),VLOOKUP(AU1574,INDEX((係数_バス貨物_ガソリン,係数_バス貨物_CNG,係数_バス貨物_軽油,係数_バス貨物_メタノール,係数_バス貨物_LPG),MATCH(AY1574,【参考】排出係数!$AI$4:$AI$671,1),1,BE1574):INDEX((係数_バス貨物_ガソリン,係数_バス貨物_CNG,係数_バス貨物_軽油,係数_バス貨物_メタノール,係数_バス貨物_LPG),MATCH(AY1574+1,【参考】排出係数!$AI$4:$AI$671,1)-1,5,BE1574),3,FALSE),IF(OR(AW1574=1,AW1574=2),VLOOKUP(AU1574,INDEX((係数_乗用_ガソリン,係数_乗用_CNG,係数_乗用_軽油,係数_乗用_メタノール,係数_乗用_LPG),1,1,BE1574):INDEX((係数_乗用_ガソリン,係数_乗用_CNG,係数_乗用_軽油,係数_乗用_メタノール,係数_乗用_LPG),125,5,BE1574),3,FALSE))))))</f>
        <v/>
      </c>
      <c r="BC1574" s="467" t="str">
        <f t="shared" si="900"/>
        <v/>
      </c>
      <c r="BD1574" s="567" t="str">
        <f t="shared" si="901"/>
        <v/>
      </c>
      <c r="BE1574" s="467" t="str">
        <f t="shared" si="902"/>
        <v/>
      </c>
      <c r="BF1574" s="469" t="str">
        <f t="shared" ca="1" si="903"/>
        <v/>
      </c>
      <c r="BG1574" s="469" t="str">
        <f t="shared" ca="1" si="904"/>
        <v/>
      </c>
      <c r="BH1574" s="467" t="str">
        <f t="shared" si="905"/>
        <v/>
      </c>
      <c r="BI1574" s="467" t="str">
        <f t="shared" ca="1" si="906"/>
        <v/>
      </c>
      <c r="BJ1574" s="469" t="str">
        <f t="shared" si="907"/>
        <v/>
      </c>
      <c r="BK1574" s="470" t="str">
        <f t="shared" si="891"/>
        <v/>
      </c>
      <c r="BL1574" s="775" t="str">
        <f t="shared" si="908"/>
        <v/>
      </c>
      <c r="BM1574" s="775" t="str">
        <f t="shared" si="909"/>
        <v/>
      </c>
    </row>
    <row r="1575" spans="1:65">
      <c r="A1575" s="473">
        <v>1519</v>
      </c>
      <c r="B1575" s="132"/>
      <c r="C1575" s="332"/>
      <c r="D1575" s="333"/>
      <c r="E1575" s="333"/>
      <c r="F1575" s="334"/>
      <c r="G1575" s="337"/>
      <c r="H1575" s="131"/>
      <c r="I1575" s="337"/>
      <c r="J1575" s="131"/>
      <c r="K1575" s="458" t="str">
        <f t="shared" si="872"/>
        <v/>
      </c>
      <c r="L1575" s="458">
        <f t="shared" si="873"/>
        <v>0</v>
      </c>
      <c r="M1575" s="458">
        <f t="shared" si="874"/>
        <v>0</v>
      </c>
      <c r="N1575" s="459" t="str">
        <f t="shared" si="885"/>
        <v/>
      </c>
      <c r="O1575" s="459" t="str">
        <f t="shared" si="886"/>
        <v/>
      </c>
      <c r="P1575" s="459" t="str">
        <f t="shared" si="887"/>
        <v/>
      </c>
      <c r="Q1575" s="459" t="str">
        <f t="shared" si="888"/>
        <v/>
      </c>
      <c r="R1575" s="459" t="str">
        <f t="shared" si="889"/>
        <v/>
      </c>
      <c r="S1575" s="459" t="str">
        <f t="shared" si="890"/>
        <v/>
      </c>
      <c r="T1575" s="566" t="str">
        <f t="shared" si="875"/>
        <v/>
      </c>
      <c r="U1575" s="702"/>
      <c r="V1575" s="132"/>
      <c r="W1575" s="133"/>
      <c r="X1575" s="134"/>
      <c r="Y1575" s="135"/>
      <c r="Z1575" s="137"/>
      <c r="AA1575" s="136"/>
      <c r="AB1575" s="566" t="str">
        <f t="shared" si="876"/>
        <v/>
      </c>
      <c r="AC1575" s="568" t="str">
        <f t="shared" si="877"/>
        <v/>
      </c>
      <c r="AD1575" s="137"/>
      <c r="AE1575" s="137"/>
      <c r="AF1575" s="138"/>
      <c r="AG1575" s="138"/>
      <c r="AH1575" s="592" t="str">
        <f t="shared" si="878"/>
        <v/>
      </c>
      <c r="AI1575" s="592" t="str">
        <f t="shared" si="879"/>
        <v/>
      </c>
      <c r="AJ1575" s="592" t="str">
        <f t="shared" si="880"/>
        <v/>
      </c>
      <c r="AK1575" s="460" t="str">
        <f>IF(AU1575="","",IF(OR(AZ1575=8,AZ1575=9),0,IF(OR(AW1575=3,AW1575=4,AW1575=5,AW1575=6),IF(LEFT(BF1575,1)="1",INDEX(係数_NOX・PM低減,MATCH(AY1575,【参考】排出係数!$AI$801:$AI$804,1),1),VLOOKUP(AU1575,INDEX((係数_バス貨物_ガソリン,係数_バス貨物_CNG,係数_バス貨物_軽油,係数_バス貨物_メタノール,係数_バス貨物_LPG),MATCH(AY1575,【参考】排出係数!$AI$4:$AI$671,1),1,BE1575):INDEX((係数_バス貨物_ガソリン,係数_バス貨物_CNG,係数_バス貨物_軽油,係数_バス貨物_メタノール,係数_バス貨物_LPG),MATCH(AY1575+1,【参考】排出係数!$AI$4:$AI$671,1)-1,5,BE1575),4,FALSE)),IF(AND(BE1575=3,LEFT(BF1575,1)="1"),0.48,VLOOKUP(AU1575,INDEX((係数_乗用_ガソリン,係数_乗用_CNG,係数_乗用_軽油,係数_乗用_メタノール,係数_乗用_LPG),1,1,BE1575):INDEX((係数_乗用_ガソリン,係数_乗用_CNG,係数_乗用_軽油,係数_乗用_メタノール,係数_乗用_LPG),125,5,BE1575),4,FALSE)))))</f>
        <v/>
      </c>
      <c r="AL1575" s="461" t="str">
        <f t="shared" si="881"/>
        <v/>
      </c>
      <c r="AM1575" s="460" t="str">
        <f>IF(AU1575="","",IF(OR(AZ1575=8,AZ1575=9),0,IF(OR(AW1575=3,AW1575=4,AW1575=5,AW1575=6),IF(LEFT(BH1575,1)="1",INDEX(係数_PM低減,MATCH(AY1575,【参考】排出係数!$AI$801:$AI$804,1),MATCH(BI1575,【参考】排出係数!$AL$798:$AO$798,1)),VLOOKUP(AU1575,INDEX((係数_バス貨物_ガソリン,係数_バス貨物_CNG,係数_バス貨物_軽油,係数_バス貨物_メタノール,係数_バス貨物_LPG),MATCH(AY1575,【参考】排出係数!$AI$4:$AI$671,1),1,BE1575):INDEX((係数_バス貨物_ガソリン,係数_バス貨物_CNG,係数_バス貨物_軽油,係数_バス貨物_メタノール,係数_バス貨物_LPG),MATCH(AY1575+1,【参考】排出係数!$AI$4:$AI$671,1)-1,5,BE1575),5,FALSE)),IF(AND(BE1575=3,LEFT(BF1575,1)="1"),0.055,VLOOKUP(AU1575,INDEX((係数_乗用_ガソリン,係数_乗用_CNG,係数_乗用_軽油,係数_乗用_メタノール,係数_乗用_LPG),1,1,BE1575):INDEX((係数_乗用_ガソリン,係数_乗用_CNG,係数_乗用_軽油,係数_乗用_メタノール,係数_乗用_LPG),125,5,BE1575),5,FALSE)))))</f>
        <v/>
      </c>
      <c r="AN1575" s="461" t="str">
        <f t="shared" si="882"/>
        <v/>
      </c>
      <c r="AO1575" s="462" t="str">
        <f t="shared" si="883"/>
        <v/>
      </c>
      <c r="AP1575" s="463" t="str">
        <f t="shared" si="884"/>
        <v/>
      </c>
      <c r="AQ1575" s="464"/>
      <c r="AR1575" s="619"/>
      <c r="AS1575" s="465" t="str">
        <f t="shared" si="892"/>
        <v/>
      </c>
      <c r="AT1575" s="465" t="str">
        <f t="shared" si="893"/>
        <v/>
      </c>
      <c r="AU1575" s="466" t="str">
        <f t="shared" si="894"/>
        <v/>
      </c>
      <c r="AV1575" s="467" t="str">
        <f t="shared" si="895"/>
        <v/>
      </c>
      <c r="AW1575" s="467" t="str">
        <f t="shared" si="896"/>
        <v/>
      </c>
      <c r="AX1575" s="467" t="str">
        <f t="shared" si="897"/>
        <v/>
      </c>
      <c r="AY1575" s="467" t="str">
        <f t="shared" si="898"/>
        <v/>
      </c>
      <c r="AZ1575" s="467" t="str">
        <f t="shared" si="899"/>
        <v/>
      </c>
      <c r="BA1575" s="468" t="str">
        <f>IF(AS1575="","",IF(OR(AU1575="",AU1575="-"),"－",IF(OR(AZ1575=8,AZ1575=9),"",IF(OR(AW1575=3,AW1575=4,AW1575=5,AW1575=6),VLOOKUP(AU1575,INDEX((係数_バス貨物_ガソリン,係数_バス貨物_CNG,係数_バス貨物_軽油,係数_バス貨物_メタノール,係数_バス貨物_LPG),MATCH(AY1575,【参考】排出係数!$AI$4:$AI$671,1),1,BE1575):INDEX((係数_バス貨物_ガソリン,係数_バス貨物_CNG,係数_バス貨物_軽油,係数_バス貨物_メタノール,係数_バス貨物_LPG),MATCH(AY1575+1,【参考】排出係数!$AI$4:$AI$671,1)-1,5,BE1575),2,FALSE),IF(OR(AW1575=1,AW1575=2),VLOOKUP(AU1575,INDEX((係数_乗用_ガソリン,係数_乗用_CNG,係数_乗用_軽油,係数_乗用_メタノール,係数_乗用_LPG),1,1,BE1575):INDEX((係数_乗用_ガソリン,係数_乗用_CNG,係数_乗用_軽油,係数_乗用_メタノール,係数_乗用_LPG),125,5,BE1575),2,FALSE))))))</f>
        <v/>
      </c>
      <c r="BB1575" s="468" t="str">
        <f>IF(T1575="","",IF(OR(AU1575="",AU1575="-"),"－",IF(OR(AZ1575=8,AZ1575=9),"",IF(OR(AW1575=3,AW1575=4,AW1575=5,AW1575=6),VLOOKUP(AU1575,INDEX((係数_バス貨物_ガソリン,係数_バス貨物_CNG,係数_バス貨物_軽油,係数_バス貨物_メタノール,係数_バス貨物_LPG),MATCH(AY1575,【参考】排出係数!$AI$4:$AI$671,1),1,BE1575):INDEX((係数_バス貨物_ガソリン,係数_バス貨物_CNG,係数_バス貨物_軽油,係数_バス貨物_メタノール,係数_バス貨物_LPG),MATCH(AY1575+1,【参考】排出係数!$AI$4:$AI$671,1)-1,5,BE1575),3,FALSE),IF(OR(AW1575=1,AW1575=2),VLOOKUP(AU1575,INDEX((係数_乗用_ガソリン,係数_乗用_CNG,係数_乗用_軽油,係数_乗用_メタノール,係数_乗用_LPG),1,1,BE1575):INDEX((係数_乗用_ガソリン,係数_乗用_CNG,係数_乗用_軽油,係数_乗用_メタノール,係数_乗用_LPG),125,5,BE1575),3,FALSE))))))</f>
        <v/>
      </c>
      <c r="BC1575" s="467" t="str">
        <f t="shared" si="900"/>
        <v/>
      </c>
      <c r="BD1575" s="567" t="str">
        <f t="shared" si="901"/>
        <v/>
      </c>
      <c r="BE1575" s="467" t="str">
        <f t="shared" si="902"/>
        <v/>
      </c>
      <c r="BF1575" s="469" t="str">
        <f t="shared" ca="1" si="903"/>
        <v/>
      </c>
      <c r="BG1575" s="469" t="str">
        <f t="shared" ca="1" si="904"/>
        <v/>
      </c>
      <c r="BH1575" s="467" t="str">
        <f t="shared" si="905"/>
        <v/>
      </c>
      <c r="BI1575" s="467" t="str">
        <f t="shared" ca="1" si="906"/>
        <v/>
      </c>
      <c r="BJ1575" s="469" t="str">
        <f t="shared" si="907"/>
        <v/>
      </c>
      <c r="BK1575" s="470" t="str">
        <f t="shared" si="891"/>
        <v/>
      </c>
      <c r="BL1575" s="775" t="str">
        <f t="shared" si="908"/>
        <v/>
      </c>
      <c r="BM1575" s="775" t="str">
        <f t="shared" si="909"/>
        <v/>
      </c>
    </row>
    <row r="1576" spans="1:65">
      <c r="A1576" s="473">
        <v>1520</v>
      </c>
      <c r="B1576" s="132"/>
      <c r="C1576" s="332"/>
      <c r="D1576" s="333"/>
      <c r="E1576" s="333"/>
      <c r="F1576" s="334"/>
      <c r="G1576" s="337"/>
      <c r="H1576" s="131"/>
      <c r="I1576" s="337"/>
      <c r="J1576" s="131"/>
      <c r="K1576" s="458" t="str">
        <f t="shared" si="872"/>
        <v/>
      </c>
      <c r="L1576" s="458">
        <f t="shared" si="873"/>
        <v>0</v>
      </c>
      <c r="M1576" s="458">
        <f t="shared" si="874"/>
        <v>0</v>
      </c>
      <c r="N1576" s="459" t="str">
        <f t="shared" si="885"/>
        <v/>
      </c>
      <c r="O1576" s="459" t="str">
        <f t="shared" si="886"/>
        <v/>
      </c>
      <c r="P1576" s="459" t="str">
        <f t="shared" si="887"/>
        <v/>
      </c>
      <c r="Q1576" s="459" t="str">
        <f t="shared" si="888"/>
        <v/>
      </c>
      <c r="R1576" s="459" t="str">
        <f t="shared" si="889"/>
        <v/>
      </c>
      <c r="S1576" s="459" t="str">
        <f t="shared" si="890"/>
        <v/>
      </c>
      <c r="T1576" s="566" t="str">
        <f t="shared" si="875"/>
        <v/>
      </c>
      <c r="U1576" s="702"/>
      <c r="V1576" s="132"/>
      <c r="W1576" s="133"/>
      <c r="X1576" s="134"/>
      <c r="Y1576" s="135"/>
      <c r="Z1576" s="137"/>
      <c r="AA1576" s="136"/>
      <c r="AB1576" s="566" t="str">
        <f t="shared" si="876"/>
        <v/>
      </c>
      <c r="AC1576" s="568" t="str">
        <f t="shared" si="877"/>
        <v/>
      </c>
      <c r="AD1576" s="137"/>
      <c r="AE1576" s="137"/>
      <c r="AF1576" s="138"/>
      <c r="AG1576" s="138"/>
      <c r="AH1576" s="592" t="str">
        <f t="shared" si="878"/>
        <v/>
      </c>
      <c r="AI1576" s="592" t="str">
        <f t="shared" si="879"/>
        <v/>
      </c>
      <c r="AJ1576" s="592" t="str">
        <f t="shared" si="880"/>
        <v/>
      </c>
      <c r="AK1576" s="460" t="str">
        <f>IF(AU1576="","",IF(OR(AZ1576=8,AZ1576=9),0,IF(OR(AW1576=3,AW1576=4,AW1576=5,AW1576=6),IF(LEFT(BF1576,1)="1",INDEX(係数_NOX・PM低減,MATCH(AY1576,【参考】排出係数!$AI$801:$AI$804,1),1),VLOOKUP(AU1576,INDEX((係数_バス貨物_ガソリン,係数_バス貨物_CNG,係数_バス貨物_軽油,係数_バス貨物_メタノール,係数_バス貨物_LPG),MATCH(AY1576,【参考】排出係数!$AI$4:$AI$671,1),1,BE1576):INDEX((係数_バス貨物_ガソリン,係数_バス貨物_CNG,係数_バス貨物_軽油,係数_バス貨物_メタノール,係数_バス貨物_LPG),MATCH(AY1576+1,【参考】排出係数!$AI$4:$AI$671,1)-1,5,BE1576),4,FALSE)),IF(AND(BE1576=3,LEFT(BF1576,1)="1"),0.48,VLOOKUP(AU1576,INDEX((係数_乗用_ガソリン,係数_乗用_CNG,係数_乗用_軽油,係数_乗用_メタノール,係数_乗用_LPG),1,1,BE1576):INDEX((係数_乗用_ガソリン,係数_乗用_CNG,係数_乗用_軽油,係数_乗用_メタノール,係数_乗用_LPG),125,5,BE1576),4,FALSE)))))</f>
        <v/>
      </c>
      <c r="AL1576" s="461" t="str">
        <f t="shared" si="881"/>
        <v/>
      </c>
      <c r="AM1576" s="460" t="str">
        <f>IF(AU1576="","",IF(OR(AZ1576=8,AZ1576=9),0,IF(OR(AW1576=3,AW1576=4,AW1576=5,AW1576=6),IF(LEFT(BH1576,1)="1",INDEX(係数_PM低減,MATCH(AY1576,【参考】排出係数!$AI$801:$AI$804,1),MATCH(BI1576,【参考】排出係数!$AL$798:$AO$798,1)),VLOOKUP(AU1576,INDEX((係数_バス貨物_ガソリン,係数_バス貨物_CNG,係数_バス貨物_軽油,係数_バス貨物_メタノール,係数_バス貨物_LPG),MATCH(AY1576,【参考】排出係数!$AI$4:$AI$671,1),1,BE1576):INDEX((係数_バス貨物_ガソリン,係数_バス貨物_CNG,係数_バス貨物_軽油,係数_バス貨物_メタノール,係数_バス貨物_LPG),MATCH(AY1576+1,【参考】排出係数!$AI$4:$AI$671,1)-1,5,BE1576),5,FALSE)),IF(AND(BE1576=3,LEFT(BF1576,1)="1"),0.055,VLOOKUP(AU1576,INDEX((係数_乗用_ガソリン,係数_乗用_CNG,係数_乗用_軽油,係数_乗用_メタノール,係数_乗用_LPG),1,1,BE1576):INDEX((係数_乗用_ガソリン,係数_乗用_CNG,係数_乗用_軽油,係数_乗用_メタノール,係数_乗用_LPG),125,5,BE1576),5,FALSE)))))</f>
        <v/>
      </c>
      <c r="AN1576" s="461" t="str">
        <f t="shared" si="882"/>
        <v/>
      </c>
      <c r="AO1576" s="462" t="str">
        <f t="shared" si="883"/>
        <v/>
      </c>
      <c r="AP1576" s="463" t="str">
        <f t="shared" si="884"/>
        <v/>
      </c>
      <c r="AQ1576" s="464"/>
      <c r="AR1576" s="619"/>
      <c r="AS1576" s="465" t="str">
        <f t="shared" si="892"/>
        <v/>
      </c>
      <c r="AT1576" s="465" t="str">
        <f t="shared" si="893"/>
        <v/>
      </c>
      <c r="AU1576" s="466" t="str">
        <f t="shared" si="894"/>
        <v/>
      </c>
      <c r="AV1576" s="467" t="str">
        <f t="shared" si="895"/>
        <v/>
      </c>
      <c r="AW1576" s="467" t="str">
        <f t="shared" si="896"/>
        <v/>
      </c>
      <c r="AX1576" s="467" t="str">
        <f t="shared" si="897"/>
        <v/>
      </c>
      <c r="AY1576" s="467" t="str">
        <f t="shared" si="898"/>
        <v/>
      </c>
      <c r="AZ1576" s="467" t="str">
        <f t="shared" si="899"/>
        <v/>
      </c>
      <c r="BA1576" s="468" t="str">
        <f>IF(AS1576="","",IF(OR(AU1576="",AU1576="-"),"－",IF(OR(AZ1576=8,AZ1576=9),"",IF(OR(AW1576=3,AW1576=4,AW1576=5,AW1576=6),VLOOKUP(AU1576,INDEX((係数_バス貨物_ガソリン,係数_バス貨物_CNG,係数_バス貨物_軽油,係数_バス貨物_メタノール,係数_バス貨物_LPG),MATCH(AY1576,【参考】排出係数!$AI$4:$AI$671,1),1,BE1576):INDEX((係数_バス貨物_ガソリン,係数_バス貨物_CNG,係数_バス貨物_軽油,係数_バス貨物_メタノール,係数_バス貨物_LPG),MATCH(AY1576+1,【参考】排出係数!$AI$4:$AI$671,1)-1,5,BE1576),2,FALSE),IF(OR(AW1576=1,AW1576=2),VLOOKUP(AU1576,INDEX((係数_乗用_ガソリン,係数_乗用_CNG,係数_乗用_軽油,係数_乗用_メタノール,係数_乗用_LPG),1,1,BE1576):INDEX((係数_乗用_ガソリン,係数_乗用_CNG,係数_乗用_軽油,係数_乗用_メタノール,係数_乗用_LPG),125,5,BE1576),2,FALSE))))))</f>
        <v/>
      </c>
      <c r="BB1576" s="468" t="str">
        <f>IF(T1576="","",IF(OR(AU1576="",AU1576="-"),"－",IF(OR(AZ1576=8,AZ1576=9),"",IF(OR(AW1576=3,AW1576=4,AW1576=5,AW1576=6),VLOOKUP(AU1576,INDEX((係数_バス貨物_ガソリン,係数_バス貨物_CNG,係数_バス貨物_軽油,係数_バス貨物_メタノール,係数_バス貨物_LPG),MATCH(AY1576,【参考】排出係数!$AI$4:$AI$671,1),1,BE1576):INDEX((係数_バス貨物_ガソリン,係数_バス貨物_CNG,係数_バス貨物_軽油,係数_バス貨物_メタノール,係数_バス貨物_LPG),MATCH(AY1576+1,【参考】排出係数!$AI$4:$AI$671,1)-1,5,BE1576),3,FALSE),IF(OR(AW1576=1,AW1576=2),VLOOKUP(AU1576,INDEX((係数_乗用_ガソリン,係数_乗用_CNG,係数_乗用_軽油,係数_乗用_メタノール,係数_乗用_LPG),1,1,BE1576):INDEX((係数_乗用_ガソリン,係数_乗用_CNG,係数_乗用_軽油,係数_乗用_メタノール,係数_乗用_LPG),125,5,BE1576),3,FALSE))))))</f>
        <v/>
      </c>
      <c r="BC1576" s="467" t="str">
        <f t="shared" si="900"/>
        <v/>
      </c>
      <c r="BD1576" s="567" t="str">
        <f t="shared" si="901"/>
        <v/>
      </c>
      <c r="BE1576" s="467" t="str">
        <f t="shared" si="902"/>
        <v/>
      </c>
      <c r="BF1576" s="469" t="str">
        <f t="shared" ca="1" si="903"/>
        <v/>
      </c>
      <c r="BG1576" s="469" t="str">
        <f t="shared" ca="1" si="904"/>
        <v/>
      </c>
      <c r="BH1576" s="467" t="str">
        <f t="shared" si="905"/>
        <v/>
      </c>
      <c r="BI1576" s="467" t="str">
        <f t="shared" ca="1" si="906"/>
        <v/>
      </c>
      <c r="BJ1576" s="469" t="str">
        <f t="shared" si="907"/>
        <v/>
      </c>
      <c r="BK1576" s="470" t="str">
        <f t="shared" si="891"/>
        <v/>
      </c>
      <c r="BL1576" s="775" t="str">
        <f t="shared" si="908"/>
        <v/>
      </c>
      <c r="BM1576" s="775" t="str">
        <f t="shared" si="909"/>
        <v/>
      </c>
    </row>
    <row r="1577" spans="1:65">
      <c r="A1577" s="473">
        <v>1521</v>
      </c>
      <c r="B1577" s="132"/>
      <c r="C1577" s="332"/>
      <c r="D1577" s="333"/>
      <c r="E1577" s="333"/>
      <c r="F1577" s="334"/>
      <c r="G1577" s="337"/>
      <c r="H1577" s="131"/>
      <c r="I1577" s="337"/>
      <c r="J1577" s="131"/>
      <c r="K1577" s="458" t="str">
        <f t="shared" si="872"/>
        <v/>
      </c>
      <c r="L1577" s="458">
        <f t="shared" si="873"/>
        <v>0</v>
      </c>
      <c r="M1577" s="458">
        <f t="shared" si="874"/>
        <v>0</v>
      </c>
      <c r="N1577" s="459" t="str">
        <f t="shared" si="885"/>
        <v/>
      </c>
      <c r="O1577" s="459" t="str">
        <f t="shared" si="886"/>
        <v/>
      </c>
      <c r="P1577" s="459" t="str">
        <f t="shared" si="887"/>
        <v/>
      </c>
      <c r="Q1577" s="459" t="str">
        <f t="shared" si="888"/>
        <v/>
      </c>
      <c r="R1577" s="459" t="str">
        <f t="shared" si="889"/>
        <v/>
      </c>
      <c r="S1577" s="459" t="str">
        <f t="shared" si="890"/>
        <v/>
      </c>
      <c r="T1577" s="566" t="str">
        <f t="shared" si="875"/>
        <v/>
      </c>
      <c r="U1577" s="702"/>
      <c r="V1577" s="132"/>
      <c r="W1577" s="133"/>
      <c r="X1577" s="134"/>
      <c r="Y1577" s="135"/>
      <c r="Z1577" s="137"/>
      <c r="AA1577" s="136"/>
      <c r="AB1577" s="566" t="str">
        <f t="shared" si="876"/>
        <v/>
      </c>
      <c r="AC1577" s="568" t="str">
        <f t="shared" si="877"/>
        <v/>
      </c>
      <c r="AD1577" s="137"/>
      <c r="AE1577" s="137"/>
      <c r="AF1577" s="138"/>
      <c r="AG1577" s="138"/>
      <c r="AH1577" s="592" t="str">
        <f t="shared" si="878"/>
        <v/>
      </c>
      <c r="AI1577" s="592" t="str">
        <f t="shared" si="879"/>
        <v/>
      </c>
      <c r="AJ1577" s="592" t="str">
        <f t="shared" si="880"/>
        <v/>
      </c>
      <c r="AK1577" s="460" t="str">
        <f>IF(AU1577="","",IF(OR(AZ1577=8,AZ1577=9),0,IF(OR(AW1577=3,AW1577=4,AW1577=5,AW1577=6),IF(LEFT(BF1577,1)="1",INDEX(係数_NOX・PM低減,MATCH(AY1577,【参考】排出係数!$AI$801:$AI$804,1),1),VLOOKUP(AU1577,INDEX((係数_バス貨物_ガソリン,係数_バス貨物_CNG,係数_バス貨物_軽油,係数_バス貨物_メタノール,係数_バス貨物_LPG),MATCH(AY1577,【参考】排出係数!$AI$4:$AI$671,1),1,BE1577):INDEX((係数_バス貨物_ガソリン,係数_バス貨物_CNG,係数_バス貨物_軽油,係数_バス貨物_メタノール,係数_バス貨物_LPG),MATCH(AY1577+1,【参考】排出係数!$AI$4:$AI$671,1)-1,5,BE1577),4,FALSE)),IF(AND(BE1577=3,LEFT(BF1577,1)="1"),0.48,VLOOKUP(AU1577,INDEX((係数_乗用_ガソリン,係数_乗用_CNG,係数_乗用_軽油,係数_乗用_メタノール,係数_乗用_LPG),1,1,BE1577):INDEX((係数_乗用_ガソリン,係数_乗用_CNG,係数_乗用_軽油,係数_乗用_メタノール,係数_乗用_LPG),125,5,BE1577),4,FALSE)))))</f>
        <v/>
      </c>
      <c r="AL1577" s="461" t="str">
        <f t="shared" si="881"/>
        <v/>
      </c>
      <c r="AM1577" s="460" t="str">
        <f>IF(AU1577="","",IF(OR(AZ1577=8,AZ1577=9),0,IF(OR(AW1577=3,AW1577=4,AW1577=5,AW1577=6),IF(LEFT(BH1577,1)="1",INDEX(係数_PM低減,MATCH(AY1577,【参考】排出係数!$AI$801:$AI$804,1),MATCH(BI1577,【参考】排出係数!$AL$798:$AO$798,1)),VLOOKUP(AU1577,INDEX((係数_バス貨物_ガソリン,係数_バス貨物_CNG,係数_バス貨物_軽油,係数_バス貨物_メタノール,係数_バス貨物_LPG),MATCH(AY1577,【参考】排出係数!$AI$4:$AI$671,1),1,BE1577):INDEX((係数_バス貨物_ガソリン,係数_バス貨物_CNG,係数_バス貨物_軽油,係数_バス貨物_メタノール,係数_バス貨物_LPG),MATCH(AY1577+1,【参考】排出係数!$AI$4:$AI$671,1)-1,5,BE1577),5,FALSE)),IF(AND(BE1577=3,LEFT(BF1577,1)="1"),0.055,VLOOKUP(AU1577,INDEX((係数_乗用_ガソリン,係数_乗用_CNG,係数_乗用_軽油,係数_乗用_メタノール,係数_乗用_LPG),1,1,BE1577):INDEX((係数_乗用_ガソリン,係数_乗用_CNG,係数_乗用_軽油,係数_乗用_メタノール,係数_乗用_LPG),125,5,BE1577),5,FALSE)))))</f>
        <v/>
      </c>
      <c r="AN1577" s="461" t="str">
        <f t="shared" si="882"/>
        <v/>
      </c>
      <c r="AO1577" s="462" t="str">
        <f t="shared" si="883"/>
        <v/>
      </c>
      <c r="AP1577" s="463" t="str">
        <f t="shared" si="884"/>
        <v/>
      </c>
      <c r="AQ1577" s="464"/>
      <c r="AR1577" s="619"/>
      <c r="AS1577" s="465" t="str">
        <f t="shared" si="892"/>
        <v/>
      </c>
      <c r="AT1577" s="465" t="str">
        <f t="shared" si="893"/>
        <v/>
      </c>
      <c r="AU1577" s="466" t="str">
        <f t="shared" si="894"/>
        <v/>
      </c>
      <c r="AV1577" s="467" t="str">
        <f t="shared" si="895"/>
        <v/>
      </c>
      <c r="AW1577" s="467" t="str">
        <f t="shared" si="896"/>
        <v/>
      </c>
      <c r="AX1577" s="467" t="str">
        <f t="shared" si="897"/>
        <v/>
      </c>
      <c r="AY1577" s="467" t="str">
        <f t="shared" si="898"/>
        <v/>
      </c>
      <c r="AZ1577" s="467" t="str">
        <f t="shared" si="899"/>
        <v/>
      </c>
      <c r="BA1577" s="468" t="str">
        <f>IF(AS1577="","",IF(OR(AU1577="",AU1577="-"),"－",IF(OR(AZ1577=8,AZ1577=9),"",IF(OR(AW1577=3,AW1577=4,AW1577=5,AW1577=6),VLOOKUP(AU1577,INDEX((係数_バス貨物_ガソリン,係数_バス貨物_CNG,係数_バス貨物_軽油,係数_バス貨物_メタノール,係数_バス貨物_LPG),MATCH(AY1577,【参考】排出係数!$AI$4:$AI$671,1),1,BE1577):INDEX((係数_バス貨物_ガソリン,係数_バス貨物_CNG,係数_バス貨物_軽油,係数_バス貨物_メタノール,係数_バス貨物_LPG),MATCH(AY1577+1,【参考】排出係数!$AI$4:$AI$671,1)-1,5,BE1577),2,FALSE),IF(OR(AW1577=1,AW1577=2),VLOOKUP(AU1577,INDEX((係数_乗用_ガソリン,係数_乗用_CNG,係数_乗用_軽油,係数_乗用_メタノール,係数_乗用_LPG),1,1,BE1577):INDEX((係数_乗用_ガソリン,係数_乗用_CNG,係数_乗用_軽油,係数_乗用_メタノール,係数_乗用_LPG),125,5,BE1577),2,FALSE))))))</f>
        <v/>
      </c>
      <c r="BB1577" s="468" t="str">
        <f>IF(T1577="","",IF(OR(AU1577="",AU1577="-"),"－",IF(OR(AZ1577=8,AZ1577=9),"",IF(OR(AW1577=3,AW1577=4,AW1577=5,AW1577=6),VLOOKUP(AU1577,INDEX((係数_バス貨物_ガソリン,係数_バス貨物_CNG,係数_バス貨物_軽油,係数_バス貨物_メタノール,係数_バス貨物_LPG),MATCH(AY1577,【参考】排出係数!$AI$4:$AI$671,1),1,BE1577):INDEX((係数_バス貨物_ガソリン,係数_バス貨物_CNG,係数_バス貨物_軽油,係数_バス貨物_メタノール,係数_バス貨物_LPG),MATCH(AY1577+1,【参考】排出係数!$AI$4:$AI$671,1)-1,5,BE1577),3,FALSE),IF(OR(AW1577=1,AW1577=2),VLOOKUP(AU1577,INDEX((係数_乗用_ガソリン,係数_乗用_CNG,係数_乗用_軽油,係数_乗用_メタノール,係数_乗用_LPG),1,1,BE1577):INDEX((係数_乗用_ガソリン,係数_乗用_CNG,係数_乗用_軽油,係数_乗用_メタノール,係数_乗用_LPG),125,5,BE1577),3,FALSE))))))</f>
        <v/>
      </c>
      <c r="BC1577" s="467" t="str">
        <f t="shared" si="900"/>
        <v/>
      </c>
      <c r="BD1577" s="567" t="str">
        <f t="shared" si="901"/>
        <v/>
      </c>
      <c r="BE1577" s="467" t="str">
        <f t="shared" si="902"/>
        <v/>
      </c>
      <c r="BF1577" s="469" t="str">
        <f t="shared" ca="1" si="903"/>
        <v/>
      </c>
      <c r="BG1577" s="469" t="str">
        <f t="shared" ca="1" si="904"/>
        <v/>
      </c>
      <c r="BH1577" s="467" t="str">
        <f t="shared" si="905"/>
        <v/>
      </c>
      <c r="BI1577" s="467" t="str">
        <f t="shared" ca="1" si="906"/>
        <v/>
      </c>
      <c r="BJ1577" s="469" t="str">
        <f t="shared" si="907"/>
        <v/>
      </c>
      <c r="BK1577" s="470" t="str">
        <f t="shared" si="891"/>
        <v/>
      </c>
      <c r="BL1577" s="775" t="str">
        <f t="shared" si="908"/>
        <v/>
      </c>
      <c r="BM1577" s="775" t="str">
        <f t="shared" si="909"/>
        <v/>
      </c>
    </row>
    <row r="1578" spans="1:65">
      <c r="A1578" s="473">
        <v>1522</v>
      </c>
      <c r="B1578" s="132"/>
      <c r="C1578" s="332"/>
      <c r="D1578" s="333"/>
      <c r="E1578" s="333"/>
      <c r="F1578" s="334"/>
      <c r="G1578" s="337"/>
      <c r="H1578" s="131"/>
      <c r="I1578" s="337"/>
      <c r="J1578" s="131"/>
      <c r="K1578" s="458" t="str">
        <f t="shared" si="872"/>
        <v/>
      </c>
      <c r="L1578" s="458">
        <f t="shared" si="873"/>
        <v>0</v>
      </c>
      <c r="M1578" s="458">
        <f t="shared" si="874"/>
        <v>0</v>
      </c>
      <c r="N1578" s="459" t="str">
        <f t="shared" si="885"/>
        <v/>
      </c>
      <c r="O1578" s="459" t="str">
        <f t="shared" si="886"/>
        <v/>
      </c>
      <c r="P1578" s="459" t="str">
        <f t="shared" si="887"/>
        <v/>
      </c>
      <c r="Q1578" s="459" t="str">
        <f t="shared" si="888"/>
        <v/>
      </c>
      <c r="R1578" s="459" t="str">
        <f t="shared" si="889"/>
        <v/>
      </c>
      <c r="S1578" s="459" t="str">
        <f t="shared" si="890"/>
        <v/>
      </c>
      <c r="T1578" s="566" t="str">
        <f t="shared" si="875"/>
        <v/>
      </c>
      <c r="U1578" s="702"/>
      <c r="V1578" s="132"/>
      <c r="W1578" s="133"/>
      <c r="X1578" s="134"/>
      <c r="Y1578" s="135"/>
      <c r="Z1578" s="137"/>
      <c r="AA1578" s="136"/>
      <c r="AB1578" s="566" t="str">
        <f t="shared" si="876"/>
        <v/>
      </c>
      <c r="AC1578" s="568" t="str">
        <f t="shared" si="877"/>
        <v/>
      </c>
      <c r="AD1578" s="137"/>
      <c r="AE1578" s="137"/>
      <c r="AF1578" s="138"/>
      <c r="AG1578" s="138"/>
      <c r="AH1578" s="592" t="str">
        <f t="shared" si="878"/>
        <v/>
      </c>
      <c r="AI1578" s="592" t="str">
        <f t="shared" si="879"/>
        <v/>
      </c>
      <c r="AJ1578" s="592" t="str">
        <f t="shared" si="880"/>
        <v/>
      </c>
      <c r="AK1578" s="460" t="str">
        <f>IF(AU1578="","",IF(OR(AZ1578=8,AZ1578=9),0,IF(OR(AW1578=3,AW1578=4,AW1578=5,AW1578=6),IF(LEFT(BF1578,1)="1",INDEX(係数_NOX・PM低減,MATCH(AY1578,【参考】排出係数!$AI$801:$AI$804,1),1),VLOOKUP(AU1578,INDEX((係数_バス貨物_ガソリン,係数_バス貨物_CNG,係数_バス貨物_軽油,係数_バス貨物_メタノール,係数_バス貨物_LPG),MATCH(AY1578,【参考】排出係数!$AI$4:$AI$671,1),1,BE1578):INDEX((係数_バス貨物_ガソリン,係数_バス貨物_CNG,係数_バス貨物_軽油,係数_バス貨物_メタノール,係数_バス貨物_LPG),MATCH(AY1578+1,【参考】排出係数!$AI$4:$AI$671,1)-1,5,BE1578),4,FALSE)),IF(AND(BE1578=3,LEFT(BF1578,1)="1"),0.48,VLOOKUP(AU1578,INDEX((係数_乗用_ガソリン,係数_乗用_CNG,係数_乗用_軽油,係数_乗用_メタノール,係数_乗用_LPG),1,1,BE1578):INDEX((係数_乗用_ガソリン,係数_乗用_CNG,係数_乗用_軽油,係数_乗用_メタノール,係数_乗用_LPG),125,5,BE1578),4,FALSE)))))</f>
        <v/>
      </c>
      <c r="AL1578" s="461" t="str">
        <f t="shared" si="881"/>
        <v/>
      </c>
      <c r="AM1578" s="460" t="str">
        <f>IF(AU1578="","",IF(OR(AZ1578=8,AZ1578=9),0,IF(OR(AW1578=3,AW1578=4,AW1578=5,AW1578=6),IF(LEFT(BH1578,1)="1",INDEX(係数_PM低減,MATCH(AY1578,【参考】排出係数!$AI$801:$AI$804,1),MATCH(BI1578,【参考】排出係数!$AL$798:$AO$798,1)),VLOOKUP(AU1578,INDEX((係数_バス貨物_ガソリン,係数_バス貨物_CNG,係数_バス貨物_軽油,係数_バス貨物_メタノール,係数_バス貨物_LPG),MATCH(AY1578,【参考】排出係数!$AI$4:$AI$671,1),1,BE1578):INDEX((係数_バス貨物_ガソリン,係数_バス貨物_CNG,係数_バス貨物_軽油,係数_バス貨物_メタノール,係数_バス貨物_LPG),MATCH(AY1578+1,【参考】排出係数!$AI$4:$AI$671,1)-1,5,BE1578),5,FALSE)),IF(AND(BE1578=3,LEFT(BF1578,1)="1"),0.055,VLOOKUP(AU1578,INDEX((係数_乗用_ガソリン,係数_乗用_CNG,係数_乗用_軽油,係数_乗用_メタノール,係数_乗用_LPG),1,1,BE1578):INDEX((係数_乗用_ガソリン,係数_乗用_CNG,係数_乗用_軽油,係数_乗用_メタノール,係数_乗用_LPG),125,5,BE1578),5,FALSE)))))</f>
        <v/>
      </c>
      <c r="AN1578" s="461" t="str">
        <f t="shared" si="882"/>
        <v/>
      </c>
      <c r="AO1578" s="462" t="str">
        <f t="shared" si="883"/>
        <v/>
      </c>
      <c r="AP1578" s="463" t="str">
        <f t="shared" si="884"/>
        <v/>
      </c>
      <c r="AQ1578" s="464"/>
      <c r="AR1578" s="619"/>
      <c r="AS1578" s="465" t="str">
        <f t="shared" si="892"/>
        <v/>
      </c>
      <c r="AT1578" s="465" t="str">
        <f t="shared" si="893"/>
        <v/>
      </c>
      <c r="AU1578" s="466" t="str">
        <f t="shared" si="894"/>
        <v/>
      </c>
      <c r="AV1578" s="467" t="str">
        <f t="shared" si="895"/>
        <v/>
      </c>
      <c r="AW1578" s="467" t="str">
        <f t="shared" si="896"/>
        <v/>
      </c>
      <c r="AX1578" s="467" t="str">
        <f t="shared" si="897"/>
        <v/>
      </c>
      <c r="AY1578" s="467" t="str">
        <f t="shared" si="898"/>
        <v/>
      </c>
      <c r="AZ1578" s="467" t="str">
        <f t="shared" si="899"/>
        <v/>
      </c>
      <c r="BA1578" s="468" t="str">
        <f>IF(AS1578="","",IF(OR(AU1578="",AU1578="-"),"－",IF(OR(AZ1578=8,AZ1578=9),"",IF(OR(AW1578=3,AW1578=4,AW1578=5,AW1578=6),VLOOKUP(AU1578,INDEX((係数_バス貨物_ガソリン,係数_バス貨物_CNG,係数_バス貨物_軽油,係数_バス貨物_メタノール,係数_バス貨物_LPG),MATCH(AY1578,【参考】排出係数!$AI$4:$AI$671,1),1,BE1578):INDEX((係数_バス貨物_ガソリン,係数_バス貨物_CNG,係数_バス貨物_軽油,係数_バス貨物_メタノール,係数_バス貨物_LPG),MATCH(AY1578+1,【参考】排出係数!$AI$4:$AI$671,1)-1,5,BE1578),2,FALSE),IF(OR(AW1578=1,AW1578=2),VLOOKUP(AU1578,INDEX((係数_乗用_ガソリン,係数_乗用_CNG,係数_乗用_軽油,係数_乗用_メタノール,係数_乗用_LPG),1,1,BE1578):INDEX((係数_乗用_ガソリン,係数_乗用_CNG,係数_乗用_軽油,係数_乗用_メタノール,係数_乗用_LPG),125,5,BE1578),2,FALSE))))))</f>
        <v/>
      </c>
      <c r="BB1578" s="468" t="str">
        <f>IF(T1578="","",IF(OR(AU1578="",AU1578="-"),"－",IF(OR(AZ1578=8,AZ1578=9),"",IF(OR(AW1578=3,AW1578=4,AW1578=5,AW1578=6),VLOOKUP(AU1578,INDEX((係数_バス貨物_ガソリン,係数_バス貨物_CNG,係数_バス貨物_軽油,係数_バス貨物_メタノール,係数_バス貨物_LPG),MATCH(AY1578,【参考】排出係数!$AI$4:$AI$671,1),1,BE1578):INDEX((係数_バス貨物_ガソリン,係数_バス貨物_CNG,係数_バス貨物_軽油,係数_バス貨物_メタノール,係数_バス貨物_LPG),MATCH(AY1578+1,【参考】排出係数!$AI$4:$AI$671,1)-1,5,BE1578),3,FALSE),IF(OR(AW1578=1,AW1578=2),VLOOKUP(AU1578,INDEX((係数_乗用_ガソリン,係数_乗用_CNG,係数_乗用_軽油,係数_乗用_メタノール,係数_乗用_LPG),1,1,BE1578):INDEX((係数_乗用_ガソリン,係数_乗用_CNG,係数_乗用_軽油,係数_乗用_メタノール,係数_乗用_LPG),125,5,BE1578),3,FALSE))))))</f>
        <v/>
      </c>
      <c r="BC1578" s="467" t="str">
        <f t="shared" si="900"/>
        <v/>
      </c>
      <c r="BD1578" s="567" t="str">
        <f t="shared" si="901"/>
        <v/>
      </c>
      <c r="BE1578" s="467" t="str">
        <f t="shared" si="902"/>
        <v/>
      </c>
      <c r="BF1578" s="469" t="str">
        <f t="shared" ca="1" si="903"/>
        <v/>
      </c>
      <c r="BG1578" s="469" t="str">
        <f t="shared" ca="1" si="904"/>
        <v/>
      </c>
      <c r="BH1578" s="467" t="str">
        <f t="shared" si="905"/>
        <v/>
      </c>
      <c r="BI1578" s="467" t="str">
        <f t="shared" ca="1" si="906"/>
        <v/>
      </c>
      <c r="BJ1578" s="469" t="str">
        <f t="shared" si="907"/>
        <v/>
      </c>
      <c r="BK1578" s="470" t="str">
        <f t="shared" si="891"/>
        <v/>
      </c>
      <c r="BL1578" s="775" t="str">
        <f t="shared" si="908"/>
        <v/>
      </c>
      <c r="BM1578" s="775" t="str">
        <f t="shared" si="909"/>
        <v/>
      </c>
    </row>
    <row r="1579" spans="1:65">
      <c r="A1579" s="473">
        <v>1523</v>
      </c>
      <c r="B1579" s="132"/>
      <c r="C1579" s="332"/>
      <c r="D1579" s="333"/>
      <c r="E1579" s="333"/>
      <c r="F1579" s="334"/>
      <c r="G1579" s="337"/>
      <c r="H1579" s="131"/>
      <c r="I1579" s="337"/>
      <c r="J1579" s="131"/>
      <c r="K1579" s="458" t="str">
        <f t="shared" si="872"/>
        <v/>
      </c>
      <c r="L1579" s="458">
        <f t="shared" si="873"/>
        <v>0</v>
      </c>
      <c r="M1579" s="458">
        <f t="shared" si="874"/>
        <v>0</v>
      </c>
      <c r="N1579" s="459" t="str">
        <f t="shared" si="885"/>
        <v/>
      </c>
      <c r="O1579" s="459" t="str">
        <f t="shared" si="886"/>
        <v/>
      </c>
      <c r="P1579" s="459" t="str">
        <f t="shared" si="887"/>
        <v/>
      </c>
      <c r="Q1579" s="459" t="str">
        <f t="shared" si="888"/>
        <v/>
      </c>
      <c r="R1579" s="459" t="str">
        <f t="shared" si="889"/>
        <v/>
      </c>
      <c r="S1579" s="459" t="str">
        <f t="shared" si="890"/>
        <v/>
      </c>
      <c r="T1579" s="566" t="str">
        <f t="shared" si="875"/>
        <v/>
      </c>
      <c r="U1579" s="702"/>
      <c r="V1579" s="132"/>
      <c r="W1579" s="133"/>
      <c r="X1579" s="134"/>
      <c r="Y1579" s="135"/>
      <c r="Z1579" s="137"/>
      <c r="AA1579" s="136"/>
      <c r="AB1579" s="566" t="str">
        <f t="shared" si="876"/>
        <v/>
      </c>
      <c r="AC1579" s="568" t="str">
        <f t="shared" si="877"/>
        <v/>
      </c>
      <c r="AD1579" s="137"/>
      <c r="AE1579" s="137"/>
      <c r="AF1579" s="138"/>
      <c r="AG1579" s="138"/>
      <c r="AH1579" s="592" t="str">
        <f t="shared" si="878"/>
        <v/>
      </c>
      <c r="AI1579" s="592" t="str">
        <f t="shared" si="879"/>
        <v/>
      </c>
      <c r="AJ1579" s="592" t="str">
        <f t="shared" si="880"/>
        <v/>
      </c>
      <c r="AK1579" s="460" t="str">
        <f>IF(AU1579="","",IF(OR(AZ1579=8,AZ1579=9),0,IF(OR(AW1579=3,AW1579=4,AW1579=5,AW1579=6),IF(LEFT(BF1579,1)="1",INDEX(係数_NOX・PM低減,MATCH(AY1579,【参考】排出係数!$AI$801:$AI$804,1),1),VLOOKUP(AU1579,INDEX((係数_バス貨物_ガソリン,係数_バス貨物_CNG,係数_バス貨物_軽油,係数_バス貨物_メタノール,係数_バス貨物_LPG),MATCH(AY1579,【参考】排出係数!$AI$4:$AI$671,1),1,BE1579):INDEX((係数_バス貨物_ガソリン,係数_バス貨物_CNG,係数_バス貨物_軽油,係数_バス貨物_メタノール,係数_バス貨物_LPG),MATCH(AY1579+1,【参考】排出係数!$AI$4:$AI$671,1)-1,5,BE1579),4,FALSE)),IF(AND(BE1579=3,LEFT(BF1579,1)="1"),0.48,VLOOKUP(AU1579,INDEX((係数_乗用_ガソリン,係数_乗用_CNG,係数_乗用_軽油,係数_乗用_メタノール,係数_乗用_LPG),1,1,BE1579):INDEX((係数_乗用_ガソリン,係数_乗用_CNG,係数_乗用_軽油,係数_乗用_メタノール,係数_乗用_LPG),125,5,BE1579),4,FALSE)))))</f>
        <v/>
      </c>
      <c r="AL1579" s="461" t="str">
        <f t="shared" si="881"/>
        <v/>
      </c>
      <c r="AM1579" s="460" t="str">
        <f>IF(AU1579="","",IF(OR(AZ1579=8,AZ1579=9),0,IF(OR(AW1579=3,AW1579=4,AW1579=5,AW1579=6),IF(LEFT(BH1579,1)="1",INDEX(係数_PM低減,MATCH(AY1579,【参考】排出係数!$AI$801:$AI$804,1),MATCH(BI1579,【参考】排出係数!$AL$798:$AO$798,1)),VLOOKUP(AU1579,INDEX((係数_バス貨物_ガソリン,係数_バス貨物_CNG,係数_バス貨物_軽油,係数_バス貨物_メタノール,係数_バス貨物_LPG),MATCH(AY1579,【参考】排出係数!$AI$4:$AI$671,1),1,BE1579):INDEX((係数_バス貨物_ガソリン,係数_バス貨物_CNG,係数_バス貨物_軽油,係数_バス貨物_メタノール,係数_バス貨物_LPG),MATCH(AY1579+1,【参考】排出係数!$AI$4:$AI$671,1)-1,5,BE1579),5,FALSE)),IF(AND(BE1579=3,LEFT(BF1579,1)="1"),0.055,VLOOKUP(AU1579,INDEX((係数_乗用_ガソリン,係数_乗用_CNG,係数_乗用_軽油,係数_乗用_メタノール,係数_乗用_LPG),1,1,BE1579):INDEX((係数_乗用_ガソリン,係数_乗用_CNG,係数_乗用_軽油,係数_乗用_メタノール,係数_乗用_LPG),125,5,BE1579),5,FALSE)))))</f>
        <v/>
      </c>
      <c r="AN1579" s="461" t="str">
        <f t="shared" si="882"/>
        <v/>
      </c>
      <c r="AO1579" s="462" t="str">
        <f t="shared" si="883"/>
        <v/>
      </c>
      <c r="AP1579" s="463" t="str">
        <f t="shared" si="884"/>
        <v/>
      </c>
      <c r="AQ1579" s="464"/>
      <c r="AR1579" s="619"/>
      <c r="AS1579" s="465" t="str">
        <f t="shared" si="892"/>
        <v/>
      </c>
      <c r="AT1579" s="465" t="str">
        <f t="shared" si="893"/>
        <v/>
      </c>
      <c r="AU1579" s="466" t="str">
        <f t="shared" si="894"/>
        <v/>
      </c>
      <c r="AV1579" s="467" t="str">
        <f t="shared" si="895"/>
        <v/>
      </c>
      <c r="AW1579" s="467" t="str">
        <f t="shared" si="896"/>
        <v/>
      </c>
      <c r="AX1579" s="467" t="str">
        <f t="shared" si="897"/>
        <v/>
      </c>
      <c r="AY1579" s="467" t="str">
        <f t="shared" si="898"/>
        <v/>
      </c>
      <c r="AZ1579" s="467" t="str">
        <f t="shared" si="899"/>
        <v/>
      </c>
      <c r="BA1579" s="468" t="str">
        <f>IF(AS1579="","",IF(OR(AU1579="",AU1579="-"),"－",IF(OR(AZ1579=8,AZ1579=9),"",IF(OR(AW1579=3,AW1579=4,AW1579=5,AW1579=6),VLOOKUP(AU1579,INDEX((係数_バス貨物_ガソリン,係数_バス貨物_CNG,係数_バス貨物_軽油,係数_バス貨物_メタノール,係数_バス貨物_LPG),MATCH(AY1579,【参考】排出係数!$AI$4:$AI$671,1),1,BE1579):INDEX((係数_バス貨物_ガソリン,係数_バス貨物_CNG,係数_バス貨物_軽油,係数_バス貨物_メタノール,係数_バス貨物_LPG),MATCH(AY1579+1,【参考】排出係数!$AI$4:$AI$671,1)-1,5,BE1579),2,FALSE),IF(OR(AW1579=1,AW1579=2),VLOOKUP(AU1579,INDEX((係数_乗用_ガソリン,係数_乗用_CNG,係数_乗用_軽油,係数_乗用_メタノール,係数_乗用_LPG),1,1,BE1579):INDEX((係数_乗用_ガソリン,係数_乗用_CNG,係数_乗用_軽油,係数_乗用_メタノール,係数_乗用_LPG),125,5,BE1579),2,FALSE))))))</f>
        <v/>
      </c>
      <c r="BB1579" s="468" t="str">
        <f>IF(T1579="","",IF(OR(AU1579="",AU1579="-"),"－",IF(OR(AZ1579=8,AZ1579=9),"",IF(OR(AW1579=3,AW1579=4,AW1579=5,AW1579=6),VLOOKUP(AU1579,INDEX((係数_バス貨物_ガソリン,係数_バス貨物_CNG,係数_バス貨物_軽油,係数_バス貨物_メタノール,係数_バス貨物_LPG),MATCH(AY1579,【参考】排出係数!$AI$4:$AI$671,1),1,BE1579):INDEX((係数_バス貨物_ガソリン,係数_バス貨物_CNG,係数_バス貨物_軽油,係数_バス貨物_メタノール,係数_バス貨物_LPG),MATCH(AY1579+1,【参考】排出係数!$AI$4:$AI$671,1)-1,5,BE1579),3,FALSE),IF(OR(AW1579=1,AW1579=2),VLOOKUP(AU1579,INDEX((係数_乗用_ガソリン,係数_乗用_CNG,係数_乗用_軽油,係数_乗用_メタノール,係数_乗用_LPG),1,1,BE1579):INDEX((係数_乗用_ガソリン,係数_乗用_CNG,係数_乗用_軽油,係数_乗用_メタノール,係数_乗用_LPG),125,5,BE1579),3,FALSE))))))</f>
        <v/>
      </c>
      <c r="BC1579" s="467" t="str">
        <f t="shared" si="900"/>
        <v/>
      </c>
      <c r="BD1579" s="567" t="str">
        <f t="shared" si="901"/>
        <v/>
      </c>
      <c r="BE1579" s="467" t="str">
        <f t="shared" si="902"/>
        <v/>
      </c>
      <c r="BF1579" s="469" t="str">
        <f t="shared" ca="1" si="903"/>
        <v/>
      </c>
      <c r="BG1579" s="469" t="str">
        <f t="shared" ca="1" si="904"/>
        <v/>
      </c>
      <c r="BH1579" s="467" t="str">
        <f t="shared" si="905"/>
        <v/>
      </c>
      <c r="BI1579" s="467" t="str">
        <f t="shared" ca="1" si="906"/>
        <v/>
      </c>
      <c r="BJ1579" s="469" t="str">
        <f t="shared" si="907"/>
        <v/>
      </c>
      <c r="BK1579" s="470" t="str">
        <f t="shared" si="891"/>
        <v/>
      </c>
      <c r="BL1579" s="775" t="str">
        <f t="shared" si="908"/>
        <v/>
      </c>
      <c r="BM1579" s="775" t="str">
        <f t="shared" si="909"/>
        <v/>
      </c>
    </row>
    <row r="1580" spans="1:65">
      <c r="A1580" s="473">
        <v>1524</v>
      </c>
      <c r="B1580" s="132"/>
      <c r="C1580" s="332"/>
      <c r="D1580" s="333"/>
      <c r="E1580" s="333"/>
      <c r="F1580" s="334"/>
      <c r="G1580" s="337"/>
      <c r="H1580" s="131"/>
      <c r="I1580" s="337"/>
      <c r="J1580" s="131"/>
      <c r="K1580" s="458" t="str">
        <f t="shared" ref="K1580:K1643" si="910">C1580&amp;D1580&amp;E1580&amp;F1580</f>
        <v/>
      </c>
      <c r="L1580" s="458">
        <f t="shared" ref="L1580:L1643" si="911">IF(G1580&gt;0,DATE((G1580),(H1580+1),0),0)</f>
        <v>0</v>
      </c>
      <c r="M1580" s="458">
        <f t="shared" ref="M1580:M1643" si="912">IF(I1580&gt;0,DATE((I1580),(J1580+1),0),0)</f>
        <v>0</v>
      </c>
      <c r="N1580" s="459" t="str">
        <f t="shared" si="885"/>
        <v/>
      </c>
      <c r="O1580" s="459" t="str">
        <f t="shared" si="886"/>
        <v/>
      </c>
      <c r="P1580" s="459" t="str">
        <f t="shared" si="887"/>
        <v/>
      </c>
      <c r="Q1580" s="459" t="str">
        <f t="shared" si="888"/>
        <v/>
      </c>
      <c r="R1580" s="459" t="str">
        <f t="shared" si="889"/>
        <v/>
      </c>
      <c r="S1580" s="459" t="str">
        <f t="shared" si="890"/>
        <v/>
      </c>
      <c r="T1580" s="566" t="str">
        <f t="shared" ref="T1580:T1643" si="913">N1580&amp;O1580&amp;P1580&amp;Q1580&amp;R1580&amp;S1580</f>
        <v/>
      </c>
      <c r="U1580" s="702"/>
      <c r="V1580" s="132"/>
      <c r="W1580" s="133"/>
      <c r="X1580" s="134"/>
      <c r="Y1580" s="135"/>
      <c r="Z1580" s="137"/>
      <c r="AA1580" s="136"/>
      <c r="AB1580" s="566" t="str">
        <f t="shared" ref="AB1580:AB1643" si="914">IF(AS1580="","",IF(AZ1580=1,VLOOKUP(BA1580,低公害車判別,2,FALSE),IF(AZ1580=3,VLOOKUP(BA1580,低公害車判別,2,FALSE),IF(AZ1580=4,VLOOKUP(BB1580,低公害車判別,2,FALSE),"低公害車"))))</f>
        <v/>
      </c>
      <c r="AC1580" s="568" t="str">
        <f t="shared" ref="AC1580:AC1643" si="915">IF(AS1580="","",IF((BA1580="")+(BA1580="－"),IF((BB1580="")+(BB1580=0),"－",BB1580),IF((BA1580="PM☆☆☆")+(BA1580="☆及びPM☆☆☆")+(BA1580="☆☆及びPM☆☆☆")+(BA1580="☆☆☆及びPM☆☆☆"),"PM☆☆☆",IF((BA1580="PM☆☆☆☆")+(BA1580="☆及びPM☆☆☆☆")+(BA1580="☆☆及びPM☆☆☆☆")+(BA1580="☆☆☆及びPM☆☆☆☆"),"PM☆☆☆☆",IF((BA1580="新☆")+(BA1580="新NOx☆")+(BA1580="新PM☆"),"新☆（新長期）",BA1580)))))</f>
        <v/>
      </c>
      <c r="AD1580" s="137"/>
      <c r="AE1580" s="137"/>
      <c r="AF1580" s="138"/>
      <c r="AG1580" s="138"/>
      <c r="AH1580" s="592" t="str">
        <f t="shared" ref="AH1580:AH1643" si="916">IF(C1580="","",IF(LEFT(C1580,2)="横浜","○",""))</f>
        <v/>
      </c>
      <c r="AI1580" s="592" t="str">
        <f t="shared" ref="AI1580:AI1643" si="917">IF(C1580="","",IF(LEFT(C1580,2)="川崎","○",""))</f>
        <v/>
      </c>
      <c r="AJ1580" s="592" t="str">
        <f t="shared" ref="AJ1580:AJ1643" si="918">IF(C1580="","",IF(OR(AH1580="○",AI1580="○"),"","○"))</f>
        <v/>
      </c>
      <c r="AK1580" s="460" t="str">
        <f>IF(AU1580="","",IF(OR(AZ1580=8,AZ1580=9),0,IF(OR(AW1580=3,AW1580=4,AW1580=5,AW1580=6),IF(LEFT(BF1580,1)="1",INDEX(係数_NOX・PM低減,MATCH(AY1580,【参考】排出係数!$AI$801:$AI$804,1),1),VLOOKUP(AU1580,INDEX((係数_バス貨物_ガソリン,係数_バス貨物_CNG,係数_バス貨物_軽油,係数_バス貨物_メタノール,係数_バス貨物_LPG),MATCH(AY1580,【参考】排出係数!$AI$4:$AI$671,1),1,BE1580):INDEX((係数_バス貨物_ガソリン,係数_バス貨物_CNG,係数_バス貨物_軽油,係数_バス貨物_メタノール,係数_バス貨物_LPG),MATCH(AY1580+1,【参考】排出係数!$AI$4:$AI$671,1)-1,5,BE1580),4,FALSE)),IF(AND(BE1580=3,LEFT(BF1580,1)="1"),0.48,VLOOKUP(AU1580,INDEX((係数_乗用_ガソリン,係数_乗用_CNG,係数_乗用_軽油,係数_乗用_メタノール,係数_乗用_LPG),1,1,BE1580):INDEX((係数_乗用_ガソリン,係数_乗用_CNG,係数_乗用_軽油,係数_乗用_メタノール,係数_乗用_LPG),125,5,BE1580),4,FALSE)))))</f>
        <v/>
      </c>
      <c r="AL1580" s="461" t="str">
        <f t="shared" ref="AL1580:AL1643" si="919">IF(AU1580="","",IF(Z1580&lt;=3.5*1000,AD1580*AK1580/1000,IF(Z1580&gt;3.5*1000,AD1580*Z1580*AK1580/1000/1000)))</f>
        <v/>
      </c>
      <c r="AM1580" s="460" t="str">
        <f>IF(AU1580="","",IF(OR(AZ1580=8,AZ1580=9),0,IF(OR(AW1580=3,AW1580=4,AW1580=5,AW1580=6),IF(LEFT(BH1580,1)="1",INDEX(係数_PM低減,MATCH(AY1580,【参考】排出係数!$AI$801:$AI$804,1),MATCH(BI1580,【参考】排出係数!$AL$798:$AO$798,1)),VLOOKUP(AU1580,INDEX((係数_バス貨物_ガソリン,係数_バス貨物_CNG,係数_バス貨物_軽油,係数_バス貨物_メタノール,係数_バス貨物_LPG),MATCH(AY1580,【参考】排出係数!$AI$4:$AI$671,1),1,BE1580):INDEX((係数_バス貨物_ガソリン,係数_バス貨物_CNG,係数_バス貨物_軽油,係数_バス貨物_メタノール,係数_バス貨物_LPG),MATCH(AY1580+1,【参考】排出係数!$AI$4:$AI$671,1)-1,5,BE1580),5,FALSE)),IF(AND(BE1580=3,LEFT(BF1580,1)="1"),0.055,VLOOKUP(AU1580,INDEX((係数_乗用_ガソリン,係数_乗用_CNG,係数_乗用_軽油,係数_乗用_メタノール,係数_乗用_LPG),1,1,BE1580):INDEX((係数_乗用_ガソリン,係数_乗用_CNG,係数_乗用_軽油,係数_乗用_メタノール,係数_乗用_LPG),125,5,BE1580),5,FALSE)))))</f>
        <v/>
      </c>
      <c r="AN1580" s="461" t="str">
        <f t="shared" ref="AN1580:AN1643" si="920">IF(AU1580="","",IF(Z1580&lt;=3.5*1000,AD1580*AM1580/1000,IF(Z1580&gt;3.5*1000,AD1580*Z1580*AM1580/1000/1000)))</f>
        <v/>
      </c>
      <c r="AO1580" s="462" t="str">
        <f t="shared" ref="AO1580:AO1643" si="921">IF(AU1580="","",IF(Z1580&lt;500,"車両重量",IF(OR(AZ1580=8,AZ1580=9),0,IF(OR(AZ1580=1,AZ1580=2,AZ1580=11),2.32,IF(OR(AZ1580=4,AZ1580=5,AZ1580=11),2.58,IF(AZ1580=3,3,IF(AZ1580=6,2.23,IF(AZ1580=7,1.37,0))))))))</f>
        <v/>
      </c>
      <c r="AP1580" s="463" t="str">
        <f t="shared" ref="AP1580:AP1643" si="922">IF(AU1580="","",AE1580*AO1580/1000)</f>
        <v/>
      </c>
      <c r="AQ1580" s="464"/>
      <c r="AR1580" s="619"/>
      <c r="AS1580" s="465" t="str">
        <f t="shared" si="892"/>
        <v/>
      </c>
      <c r="AT1580" s="465" t="str">
        <f t="shared" si="893"/>
        <v/>
      </c>
      <c r="AU1580" s="466" t="str">
        <f t="shared" si="894"/>
        <v/>
      </c>
      <c r="AV1580" s="467" t="str">
        <f t="shared" si="895"/>
        <v/>
      </c>
      <c r="AW1580" s="467" t="str">
        <f t="shared" si="896"/>
        <v/>
      </c>
      <c r="AX1580" s="467" t="str">
        <f t="shared" si="897"/>
        <v/>
      </c>
      <c r="AY1580" s="467" t="str">
        <f t="shared" si="898"/>
        <v/>
      </c>
      <c r="AZ1580" s="467" t="str">
        <f t="shared" si="899"/>
        <v/>
      </c>
      <c r="BA1580" s="468" t="str">
        <f>IF(AS1580="","",IF(OR(AU1580="",AU1580="-"),"－",IF(OR(AZ1580=8,AZ1580=9),"",IF(OR(AW1580=3,AW1580=4,AW1580=5,AW1580=6),VLOOKUP(AU1580,INDEX((係数_バス貨物_ガソリン,係数_バス貨物_CNG,係数_バス貨物_軽油,係数_バス貨物_メタノール,係数_バス貨物_LPG),MATCH(AY1580,【参考】排出係数!$AI$4:$AI$671,1),1,BE1580):INDEX((係数_バス貨物_ガソリン,係数_バス貨物_CNG,係数_バス貨物_軽油,係数_バス貨物_メタノール,係数_バス貨物_LPG),MATCH(AY1580+1,【参考】排出係数!$AI$4:$AI$671,1)-1,5,BE1580),2,FALSE),IF(OR(AW1580=1,AW1580=2),VLOOKUP(AU1580,INDEX((係数_乗用_ガソリン,係数_乗用_CNG,係数_乗用_軽油,係数_乗用_メタノール,係数_乗用_LPG),1,1,BE1580):INDEX((係数_乗用_ガソリン,係数_乗用_CNG,係数_乗用_軽油,係数_乗用_メタノール,係数_乗用_LPG),125,5,BE1580),2,FALSE))))))</f>
        <v/>
      </c>
      <c r="BB1580" s="468" t="str">
        <f>IF(T1580="","",IF(OR(AU1580="",AU1580="-"),"－",IF(OR(AZ1580=8,AZ1580=9),"",IF(OR(AW1580=3,AW1580=4,AW1580=5,AW1580=6),VLOOKUP(AU1580,INDEX((係数_バス貨物_ガソリン,係数_バス貨物_CNG,係数_バス貨物_軽油,係数_バス貨物_メタノール,係数_バス貨物_LPG),MATCH(AY1580,【参考】排出係数!$AI$4:$AI$671,1),1,BE1580):INDEX((係数_バス貨物_ガソリン,係数_バス貨物_CNG,係数_バス貨物_軽油,係数_バス貨物_メタノール,係数_バス貨物_LPG),MATCH(AY1580+1,【参考】排出係数!$AI$4:$AI$671,1)-1,5,BE1580),3,FALSE),IF(OR(AW1580=1,AW1580=2),VLOOKUP(AU1580,INDEX((係数_乗用_ガソリン,係数_乗用_CNG,係数_乗用_軽油,係数_乗用_メタノール,係数_乗用_LPG),1,1,BE1580):INDEX((係数_乗用_ガソリン,係数_乗用_CNG,係数_乗用_軽油,係数_乗用_メタノール,係数_乗用_LPG),125,5,BE1580),3,FALSE))))))</f>
        <v/>
      </c>
      <c r="BC1580" s="467" t="str">
        <f t="shared" si="900"/>
        <v/>
      </c>
      <c r="BD1580" s="567" t="str">
        <f t="shared" si="901"/>
        <v/>
      </c>
      <c r="BE1580" s="467" t="str">
        <f t="shared" si="902"/>
        <v/>
      </c>
      <c r="BF1580" s="469" t="str">
        <f t="shared" ca="1" si="903"/>
        <v/>
      </c>
      <c r="BG1580" s="469" t="str">
        <f t="shared" ca="1" si="904"/>
        <v/>
      </c>
      <c r="BH1580" s="467" t="str">
        <f t="shared" si="905"/>
        <v/>
      </c>
      <c r="BI1580" s="467" t="str">
        <f t="shared" ca="1" si="906"/>
        <v/>
      </c>
      <c r="BJ1580" s="469" t="str">
        <f t="shared" si="907"/>
        <v/>
      </c>
      <c r="BK1580" s="470" t="str">
        <f t="shared" si="891"/>
        <v/>
      </c>
      <c r="BL1580" s="775" t="str">
        <f t="shared" si="908"/>
        <v/>
      </c>
      <c r="BM1580" s="775" t="str">
        <f t="shared" si="909"/>
        <v/>
      </c>
    </row>
    <row r="1581" spans="1:65">
      <c r="A1581" s="473">
        <v>1525</v>
      </c>
      <c r="B1581" s="132"/>
      <c r="C1581" s="332"/>
      <c r="D1581" s="333"/>
      <c r="E1581" s="333"/>
      <c r="F1581" s="334"/>
      <c r="G1581" s="337"/>
      <c r="H1581" s="131"/>
      <c r="I1581" s="337"/>
      <c r="J1581" s="131"/>
      <c r="K1581" s="458" t="str">
        <f t="shared" si="910"/>
        <v/>
      </c>
      <c r="L1581" s="458">
        <f t="shared" si="911"/>
        <v>0</v>
      </c>
      <c r="M1581" s="458">
        <f t="shared" si="912"/>
        <v>0</v>
      </c>
      <c r="N1581" s="459" t="str">
        <f t="shared" si="885"/>
        <v/>
      </c>
      <c r="O1581" s="459" t="str">
        <f t="shared" si="886"/>
        <v/>
      </c>
      <c r="P1581" s="459" t="str">
        <f t="shared" si="887"/>
        <v/>
      </c>
      <c r="Q1581" s="459" t="str">
        <f t="shared" si="888"/>
        <v/>
      </c>
      <c r="R1581" s="459" t="str">
        <f t="shared" si="889"/>
        <v/>
      </c>
      <c r="S1581" s="459" t="str">
        <f t="shared" si="890"/>
        <v/>
      </c>
      <c r="T1581" s="566" t="str">
        <f t="shared" si="913"/>
        <v/>
      </c>
      <c r="U1581" s="702"/>
      <c r="V1581" s="132"/>
      <c r="W1581" s="133"/>
      <c r="X1581" s="134"/>
      <c r="Y1581" s="135"/>
      <c r="Z1581" s="137"/>
      <c r="AA1581" s="136"/>
      <c r="AB1581" s="566" t="str">
        <f t="shared" si="914"/>
        <v/>
      </c>
      <c r="AC1581" s="568" t="str">
        <f t="shared" si="915"/>
        <v/>
      </c>
      <c r="AD1581" s="137"/>
      <c r="AE1581" s="137"/>
      <c r="AF1581" s="138"/>
      <c r="AG1581" s="138"/>
      <c r="AH1581" s="592" t="str">
        <f t="shared" si="916"/>
        <v/>
      </c>
      <c r="AI1581" s="592" t="str">
        <f t="shared" si="917"/>
        <v/>
      </c>
      <c r="AJ1581" s="592" t="str">
        <f t="shared" si="918"/>
        <v/>
      </c>
      <c r="AK1581" s="460" t="str">
        <f>IF(AU1581="","",IF(OR(AZ1581=8,AZ1581=9),0,IF(OR(AW1581=3,AW1581=4,AW1581=5,AW1581=6),IF(LEFT(BF1581,1)="1",INDEX(係数_NOX・PM低減,MATCH(AY1581,【参考】排出係数!$AI$801:$AI$804,1),1),VLOOKUP(AU1581,INDEX((係数_バス貨物_ガソリン,係数_バス貨物_CNG,係数_バス貨物_軽油,係数_バス貨物_メタノール,係数_バス貨物_LPG),MATCH(AY1581,【参考】排出係数!$AI$4:$AI$671,1),1,BE1581):INDEX((係数_バス貨物_ガソリン,係数_バス貨物_CNG,係数_バス貨物_軽油,係数_バス貨物_メタノール,係数_バス貨物_LPG),MATCH(AY1581+1,【参考】排出係数!$AI$4:$AI$671,1)-1,5,BE1581),4,FALSE)),IF(AND(BE1581=3,LEFT(BF1581,1)="1"),0.48,VLOOKUP(AU1581,INDEX((係数_乗用_ガソリン,係数_乗用_CNG,係数_乗用_軽油,係数_乗用_メタノール,係数_乗用_LPG),1,1,BE1581):INDEX((係数_乗用_ガソリン,係数_乗用_CNG,係数_乗用_軽油,係数_乗用_メタノール,係数_乗用_LPG),125,5,BE1581),4,FALSE)))))</f>
        <v/>
      </c>
      <c r="AL1581" s="461" t="str">
        <f t="shared" si="919"/>
        <v/>
      </c>
      <c r="AM1581" s="460" t="str">
        <f>IF(AU1581="","",IF(OR(AZ1581=8,AZ1581=9),0,IF(OR(AW1581=3,AW1581=4,AW1581=5,AW1581=6),IF(LEFT(BH1581,1)="1",INDEX(係数_PM低減,MATCH(AY1581,【参考】排出係数!$AI$801:$AI$804,1),MATCH(BI1581,【参考】排出係数!$AL$798:$AO$798,1)),VLOOKUP(AU1581,INDEX((係数_バス貨物_ガソリン,係数_バス貨物_CNG,係数_バス貨物_軽油,係数_バス貨物_メタノール,係数_バス貨物_LPG),MATCH(AY1581,【参考】排出係数!$AI$4:$AI$671,1),1,BE1581):INDEX((係数_バス貨物_ガソリン,係数_バス貨物_CNG,係数_バス貨物_軽油,係数_バス貨物_メタノール,係数_バス貨物_LPG),MATCH(AY1581+1,【参考】排出係数!$AI$4:$AI$671,1)-1,5,BE1581),5,FALSE)),IF(AND(BE1581=3,LEFT(BF1581,1)="1"),0.055,VLOOKUP(AU1581,INDEX((係数_乗用_ガソリン,係数_乗用_CNG,係数_乗用_軽油,係数_乗用_メタノール,係数_乗用_LPG),1,1,BE1581):INDEX((係数_乗用_ガソリン,係数_乗用_CNG,係数_乗用_軽油,係数_乗用_メタノール,係数_乗用_LPG),125,5,BE1581),5,FALSE)))))</f>
        <v/>
      </c>
      <c r="AN1581" s="461" t="str">
        <f t="shared" si="920"/>
        <v/>
      </c>
      <c r="AO1581" s="462" t="str">
        <f t="shared" si="921"/>
        <v/>
      </c>
      <c r="AP1581" s="463" t="str">
        <f t="shared" si="922"/>
        <v/>
      </c>
      <c r="AQ1581" s="464"/>
      <c r="AR1581" s="619"/>
      <c r="AS1581" s="465" t="str">
        <f t="shared" si="892"/>
        <v/>
      </c>
      <c r="AT1581" s="465" t="str">
        <f t="shared" si="893"/>
        <v/>
      </c>
      <c r="AU1581" s="466" t="str">
        <f t="shared" si="894"/>
        <v/>
      </c>
      <c r="AV1581" s="467" t="str">
        <f t="shared" si="895"/>
        <v/>
      </c>
      <c r="AW1581" s="467" t="str">
        <f t="shared" si="896"/>
        <v/>
      </c>
      <c r="AX1581" s="467" t="str">
        <f t="shared" si="897"/>
        <v/>
      </c>
      <c r="AY1581" s="467" t="str">
        <f t="shared" si="898"/>
        <v/>
      </c>
      <c r="AZ1581" s="467" t="str">
        <f t="shared" si="899"/>
        <v/>
      </c>
      <c r="BA1581" s="468" t="str">
        <f>IF(AS1581="","",IF(OR(AU1581="",AU1581="-"),"－",IF(OR(AZ1581=8,AZ1581=9),"",IF(OR(AW1581=3,AW1581=4,AW1581=5,AW1581=6),VLOOKUP(AU1581,INDEX((係数_バス貨物_ガソリン,係数_バス貨物_CNG,係数_バス貨物_軽油,係数_バス貨物_メタノール,係数_バス貨物_LPG),MATCH(AY1581,【参考】排出係数!$AI$4:$AI$671,1),1,BE1581):INDEX((係数_バス貨物_ガソリン,係数_バス貨物_CNG,係数_バス貨物_軽油,係数_バス貨物_メタノール,係数_バス貨物_LPG),MATCH(AY1581+1,【参考】排出係数!$AI$4:$AI$671,1)-1,5,BE1581),2,FALSE),IF(OR(AW1581=1,AW1581=2),VLOOKUP(AU1581,INDEX((係数_乗用_ガソリン,係数_乗用_CNG,係数_乗用_軽油,係数_乗用_メタノール,係数_乗用_LPG),1,1,BE1581):INDEX((係数_乗用_ガソリン,係数_乗用_CNG,係数_乗用_軽油,係数_乗用_メタノール,係数_乗用_LPG),125,5,BE1581),2,FALSE))))))</f>
        <v/>
      </c>
      <c r="BB1581" s="468" t="str">
        <f>IF(T1581="","",IF(OR(AU1581="",AU1581="-"),"－",IF(OR(AZ1581=8,AZ1581=9),"",IF(OR(AW1581=3,AW1581=4,AW1581=5,AW1581=6),VLOOKUP(AU1581,INDEX((係数_バス貨物_ガソリン,係数_バス貨物_CNG,係数_バス貨物_軽油,係数_バス貨物_メタノール,係数_バス貨物_LPG),MATCH(AY1581,【参考】排出係数!$AI$4:$AI$671,1),1,BE1581):INDEX((係数_バス貨物_ガソリン,係数_バス貨物_CNG,係数_バス貨物_軽油,係数_バス貨物_メタノール,係数_バス貨物_LPG),MATCH(AY1581+1,【参考】排出係数!$AI$4:$AI$671,1)-1,5,BE1581),3,FALSE),IF(OR(AW1581=1,AW1581=2),VLOOKUP(AU1581,INDEX((係数_乗用_ガソリン,係数_乗用_CNG,係数_乗用_軽油,係数_乗用_メタノール,係数_乗用_LPG),1,1,BE1581):INDEX((係数_乗用_ガソリン,係数_乗用_CNG,係数_乗用_軽油,係数_乗用_メタノール,係数_乗用_LPG),125,5,BE1581),3,FALSE))))))</f>
        <v/>
      </c>
      <c r="BC1581" s="467" t="str">
        <f t="shared" si="900"/>
        <v/>
      </c>
      <c r="BD1581" s="567" t="str">
        <f t="shared" si="901"/>
        <v/>
      </c>
      <c r="BE1581" s="467" t="str">
        <f t="shared" si="902"/>
        <v/>
      </c>
      <c r="BF1581" s="469" t="str">
        <f t="shared" ca="1" si="903"/>
        <v/>
      </c>
      <c r="BG1581" s="469" t="str">
        <f t="shared" ca="1" si="904"/>
        <v/>
      </c>
      <c r="BH1581" s="467" t="str">
        <f t="shared" si="905"/>
        <v/>
      </c>
      <c r="BI1581" s="467" t="str">
        <f t="shared" ca="1" si="906"/>
        <v/>
      </c>
      <c r="BJ1581" s="469" t="str">
        <f t="shared" si="907"/>
        <v/>
      </c>
      <c r="BK1581" s="470" t="str">
        <f t="shared" si="891"/>
        <v/>
      </c>
      <c r="BL1581" s="775" t="str">
        <f t="shared" si="908"/>
        <v/>
      </c>
      <c r="BM1581" s="775" t="str">
        <f t="shared" si="909"/>
        <v/>
      </c>
    </row>
    <row r="1582" spans="1:65">
      <c r="A1582" s="473">
        <v>1526</v>
      </c>
      <c r="B1582" s="132"/>
      <c r="C1582" s="332"/>
      <c r="D1582" s="333"/>
      <c r="E1582" s="333"/>
      <c r="F1582" s="334"/>
      <c r="G1582" s="337"/>
      <c r="H1582" s="131"/>
      <c r="I1582" s="337"/>
      <c r="J1582" s="131"/>
      <c r="K1582" s="458" t="str">
        <f t="shared" si="910"/>
        <v/>
      </c>
      <c r="L1582" s="458">
        <f t="shared" si="911"/>
        <v>0</v>
      </c>
      <c r="M1582" s="458">
        <f t="shared" si="912"/>
        <v>0</v>
      </c>
      <c r="N1582" s="459" t="str">
        <f t="shared" si="885"/>
        <v/>
      </c>
      <c r="O1582" s="459" t="str">
        <f t="shared" si="886"/>
        <v/>
      </c>
      <c r="P1582" s="459" t="str">
        <f t="shared" si="887"/>
        <v/>
      </c>
      <c r="Q1582" s="459" t="str">
        <f t="shared" si="888"/>
        <v/>
      </c>
      <c r="R1582" s="459" t="str">
        <f t="shared" si="889"/>
        <v/>
      </c>
      <c r="S1582" s="459" t="str">
        <f t="shared" si="890"/>
        <v/>
      </c>
      <c r="T1582" s="566" t="str">
        <f t="shared" si="913"/>
        <v/>
      </c>
      <c r="U1582" s="702"/>
      <c r="V1582" s="132"/>
      <c r="W1582" s="133"/>
      <c r="X1582" s="134"/>
      <c r="Y1582" s="135"/>
      <c r="Z1582" s="137"/>
      <c r="AA1582" s="136"/>
      <c r="AB1582" s="566" t="str">
        <f t="shared" si="914"/>
        <v/>
      </c>
      <c r="AC1582" s="568" t="str">
        <f t="shared" si="915"/>
        <v/>
      </c>
      <c r="AD1582" s="137"/>
      <c r="AE1582" s="137"/>
      <c r="AF1582" s="138"/>
      <c r="AG1582" s="138"/>
      <c r="AH1582" s="592" t="str">
        <f t="shared" si="916"/>
        <v/>
      </c>
      <c r="AI1582" s="592" t="str">
        <f t="shared" si="917"/>
        <v/>
      </c>
      <c r="AJ1582" s="592" t="str">
        <f t="shared" si="918"/>
        <v/>
      </c>
      <c r="AK1582" s="460" t="str">
        <f>IF(AU1582="","",IF(OR(AZ1582=8,AZ1582=9),0,IF(OR(AW1582=3,AW1582=4,AW1582=5,AW1582=6),IF(LEFT(BF1582,1)="1",INDEX(係数_NOX・PM低減,MATCH(AY1582,【参考】排出係数!$AI$801:$AI$804,1),1),VLOOKUP(AU1582,INDEX((係数_バス貨物_ガソリン,係数_バス貨物_CNG,係数_バス貨物_軽油,係数_バス貨物_メタノール,係数_バス貨物_LPG),MATCH(AY1582,【参考】排出係数!$AI$4:$AI$671,1),1,BE1582):INDEX((係数_バス貨物_ガソリン,係数_バス貨物_CNG,係数_バス貨物_軽油,係数_バス貨物_メタノール,係数_バス貨物_LPG),MATCH(AY1582+1,【参考】排出係数!$AI$4:$AI$671,1)-1,5,BE1582),4,FALSE)),IF(AND(BE1582=3,LEFT(BF1582,1)="1"),0.48,VLOOKUP(AU1582,INDEX((係数_乗用_ガソリン,係数_乗用_CNG,係数_乗用_軽油,係数_乗用_メタノール,係数_乗用_LPG),1,1,BE1582):INDEX((係数_乗用_ガソリン,係数_乗用_CNG,係数_乗用_軽油,係数_乗用_メタノール,係数_乗用_LPG),125,5,BE1582),4,FALSE)))))</f>
        <v/>
      </c>
      <c r="AL1582" s="461" t="str">
        <f t="shared" si="919"/>
        <v/>
      </c>
      <c r="AM1582" s="460" t="str">
        <f>IF(AU1582="","",IF(OR(AZ1582=8,AZ1582=9),0,IF(OR(AW1582=3,AW1582=4,AW1582=5,AW1582=6),IF(LEFT(BH1582,1)="1",INDEX(係数_PM低減,MATCH(AY1582,【参考】排出係数!$AI$801:$AI$804,1),MATCH(BI1582,【参考】排出係数!$AL$798:$AO$798,1)),VLOOKUP(AU1582,INDEX((係数_バス貨物_ガソリン,係数_バス貨物_CNG,係数_バス貨物_軽油,係数_バス貨物_メタノール,係数_バス貨物_LPG),MATCH(AY1582,【参考】排出係数!$AI$4:$AI$671,1),1,BE1582):INDEX((係数_バス貨物_ガソリン,係数_バス貨物_CNG,係数_バス貨物_軽油,係数_バス貨物_メタノール,係数_バス貨物_LPG),MATCH(AY1582+1,【参考】排出係数!$AI$4:$AI$671,1)-1,5,BE1582),5,FALSE)),IF(AND(BE1582=3,LEFT(BF1582,1)="1"),0.055,VLOOKUP(AU1582,INDEX((係数_乗用_ガソリン,係数_乗用_CNG,係数_乗用_軽油,係数_乗用_メタノール,係数_乗用_LPG),1,1,BE1582):INDEX((係数_乗用_ガソリン,係数_乗用_CNG,係数_乗用_軽油,係数_乗用_メタノール,係数_乗用_LPG),125,5,BE1582),5,FALSE)))))</f>
        <v/>
      </c>
      <c r="AN1582" s="461" t="str">
        <f t="shared" si="920"/>
        <v/>
      </c>
      <c r="AO1582" s="462" t="str">
        <f t="shared" si="921"/>
        <v/>
      </c>
      <c r="AP1582" s="463" t="str">
        <f t="shared" si="922"/>
        <v/>
      </c>
      <c r="AQ1582" s="464"/>
      <c r="AR1582" s="619"/>
      <c r="AS1582" s="465" t="str">
        <f t="shared" si="892"/>
        <v/>
      </c>
      <c r="AT1582" s="465" t="str">
        <f t="shared" si="893"/>
        <v/>
      </c>
      <c r="AU1582" s="466" t="str">
        <f t="shared" si="894"/>
        <v/>
      </c>
      <c r="AV1582" s="467" t="str">
        <f t="shared" si="895"/>
        <v/>
      </c>
      <c r="AW1582" s="467" t="str">
        <f t="shared" si="896"/>
        <v/>
      </c>
      <c r="AX1582" s="467" t="str">
        <f t="shared" si="897"/>
        <v/>
      </c>
      <c r="AY1582" s="467" t="str">
        <f t="shared" si="898"/>
        <v/>
      </c>
      <c r="AZ1582" s="467" t="str">
        <f t="shared" si="899"/>
        <v/>
      </c>
      <c r="BA1582" s="468" t="str">
        <f>IF(AS1582="","",IF(OR(AU1582="",AU1582="-"),"－",IF(OR(AZ1582=8,AZ1582=9),"",IF(OR(AW1582=3,AW1582=4,AW1582=5,AW1582=6),VLOOKUP(AU1582,INDEX((係数_バス貨物_ガソリン,係数_バス貨物_CNG,係数_バス貨物_軽油,係数_バス貨物_メタノール,係数_バス貨物_LPG),MATCH(AY1582,【参考】排出係数!$AI$4:$AI$671,1),1,BE1582):INDEX((係数_バス貨物_ガソリン,係数_バス貨物_CNG,係数_バス貨物_軽油,係数_バス貨物_メタノール,係数_バス貨物_LPG),MATCH(AY1582+1,【参考】排出係数!$AI$4:$AI$671,1)-1,5,BE1582),2,FALSE),IF(OR(AW1582=1,AW1582=2),VLOOKUP(AU1582,INDEX((係数_乗用_ガソリン,係数_乗用_CNG,係数_乗用_軽油,係数_乗用_メタノール,係数_乗用_LPG),1,1,BE1582):INDEX((係数_乗用_ガソリン,係数_乗用_CNG,係数_乗用_軽油,係数_乗用_メタノール,係数_乗用_LPG),125,5,BE1582),2,FALSE))))))</f>
        <v/>
      </c>
      <c r="BB1582" s="468" t="str">
        <f>IF(T1582="","",IF(OR(AU1582="",AU1582="-"),"－",IF(OR(AZ1582=8,AZ1582=9),"",IF(OR(AW1582=3,AW1582=4,AW1582=5,AW1582=6),VLOOKUP(AU1582,INDEX((係数_バス貨物_ガソリン,係数_バス貨物_CNG,係数_バス貨物_軽油,係数_バス貨物_メタノール,係数_バス貨物_LPG),MATCH(AY1582,【参考】排出係数!$AI$4:$AI$671,1),1,BE1582):INDEX((係数_バス貨物_ガソリン,係数_バス貨物_CNG,係数_バス貨物_軽油,係数_バス貨物_メタノール,係数_バス貨物_LPG),MATCH(AY1582+1,【参考】排出係数!$AI$4:$AI$671,1)-1,5,BE1582),3,FALSE),IF(OR(AW1582=1,AW1582=2),VLOOKUP(AU1582,INDEX((係数_乗用_ガソリン,係数_乗用_CNG,係数_乗用_軽油,係数_乗用_メタノール,係数_乗用_LPG),1,1,BE1582):INDEX((係数_乗用_ガソリン,係数_乗用_CNG,係数_乗用_軽油,係数_乗用_メタノール,係数_乗用_LPG),125,5,BE1582),3,FALSE))))))</f>
        <v/>
      </c>
      <c r="BC1582" s="467" t="str">
        <f t="shared" si="900"/>
        <v/>
      </c>
      <c r="BD1582" s="567" t="str">
        <f t="shared" si="901"/>
        <v/>
      </c>
      <c r="BE1582" s="467" t="str">
        <f t="shared" si="902"/>
        <v/>
      </c>
      <c r="BF1582" s="469" t="str">
        <f t="shared" ca="1" si="903"/>
        <v/>
      </c>
      <c r="BG1582" s="469" t="str">
        <f t="shared" ca="1" si="904"/>
        <v/>
      </c>
      <c r="BH1582" s="467" t="str">
        <f t="shared" si="905"/>
        <v/>
      </c>
      <c r="BI1582" s="467" t="str">
        <f t="shared" ca="1" si="906"/>
        <v/>
      </c>
      <c r="BJ1582" s="469" t="str">
        <f t="shared" si="907"/>
        <v/>
      </c>
      <c r="BK1582" s="470" t="str">
        <f t="shared" si="891"/>
        <v/>
      </c>
      <c r="BL1582" s="775" t="str">
        <f t="shared" si="908"/>
        <v/>
      </c>
      <c r="BM1582" s="775" t="str">
        <f t="shared" si="909"/>
        <v/>
      </c>
    </row>
    <row r="1583" spans="1:65">
      <c r="A1583" s="473">
        <v>1527</v>
      </c>
      <c r="B1583" s="132"/>
      <c r="C1583" s="332"/>
      <c r="D1583" s="333"/>
      <c r="E1583" s="333"/>
      <c r="F1583" s="334"/>
      <c r="G1583" s="337"/>
      <c r="H1583" s="131"/>
      <c r="I1583" s="337"/>
      <c r="J1583" s="131"/>
      <c r="K1583" s="458" t="str">
        <f t="shared" si="910"/>
        <v/>
      </c>
      <c r="L1583" s="458">
        <f t="shared" si="911"/>
        <v>0</v>
      </c>
      <c r="M1583" s="458">
        <f t="shared" si="912"/>
        <v>0</v>
      </c>
      <c r="N1583" s="459" t="str">
        <f t="shared" si="885"/>
        <v/>
      </c>
      <c r="O1583" s="459" t="str">
        <f t="shared" si="886"/>
        <v/>
      </c>
      <c r="P1583" s="459" t="str">
        <f t="shared" si="887"/>
        <v/>
      </c>
      <c r="Q1583" s="459" t="str">
        <f t="shared" si="888"/>
        <v/>
      </c>
      <c r="R1583" s="459" t="str">
        <f t="shared" si="889"/>
        <v/>
      </c>
      <c r="S1583" s="459" t="str">
        <f t="shared" si="890"/>
        <v/>
      </c>
      <c r="T1583" s="566" t="str">
        <f t="shared" si="913"/>
        <v/>
      </c>
      <c r="U1583" s="702"/>
      <c r="V1583" s="132"/>
      <c r="W1583" s="133"/>
      <c r="X1583" s="134"/>
      <c r="Y1583" s="135"/>
      <c r="Z1583" s="137"/>
      <c r="AA1583" s="136"/>
      <c r="AB1583" s="566" t="str">
        <f t="shared" si="914"/>
        <v/>
      </c>
      <c r="AC1583" s="568" t="str">
        <f t="shared" si="915"/>
        <v/>
      </c>
      <c r="AD1583" s="137"/>
      <c r="AE1583" s="137"/>
      <c r="AF1583" s="138"/>
      <c r="AG1583" s="138"/>
      <c r="AH1583" s="592" t="str">
        <f t="shared" si="916"/>
        <v/>
      </c>
      <c r="AI1583" s="592" t="str">
        <f t="shared" si="917"/>
        <v/>
      </c>
      <c r="AJ1583" s="592" t="str">
        <f t="shared" si="918"/>
        <v/>
      </c>
      <c r="AK1583" s="460" t="str">
        <f>IF(AU1583="","",IF(OR(AZ1583=8,AZ1583=9),0,IF(OR(AW1583=3,AW1583=4,AW1583=5,AW1583=6),IF(LEFT(BF1583,1)="1",INDEX(係数_NOX・PM低減,MATCH(AY1583,【参考】排出係数!$AI$801:$AI$804,1),1),VLOOKUP(AU1583,INDEX((係数_バス貨物_ガソリン,係数_バス貨物_CNG,係数_バス貨物_軽油,係数_バス貨物_メタノール,係数_バス貨物_LPG),MATCH(AY1583,【参考】排出係数!$AI$4:$AI$671,1),1,BE1583):INDEX((係数_バス貨物_ガソリン,係数_バス貨物_CNG,係数_バス貨物_軽油,係数_バス貨物_メタノール,係数_バス貨物_LPG),MATCH(AY1583+1,【参考】排出係数!$AI$4:$AI$671,1)-1,5,BE1583),4,FALSE)),IF(AND(BE1583=3,LEFT(BF1583,1)="1"),0.48,VLOOKUP(AU1583,INDEX((係数_乗用_ガソリン,係数_乗用_CNG,係数_乗用_軽油,係数_乗用_メタノール,係数_乗用_LPG),1,1,BE1583):INDEX((係数_乗用_ガソリン,係数_乗用_CNG,係数_乗用_軽油,係数_乗用_メタノール,係数_乗用_LPG),125,5,BE1583),4,FALSE)))))</f>
        <v/>
      </c>
      <c r="AL1583" s="461" t="str">
        <f t="shared" si="919"/>
        <v/>
      </c>
      <c r="AM1583" s="460" t="str">
        <f>IF(AU1583="","",IF(OR(AZ1583=8,AZ1583=9),0,IF(OR(AW1583=3,AW1583=4,AW1583=5,AW1583=6),IF(LEFT(BH1583,1)="1",INDEX(係数_PM低減,MATCH(AY1583,【参考】排出係数!$AI$801:$AI$804,1),MATCH(BI1583,【参考】排出係数!$AL$798:$AO$798,1)),VLOOKUP(AU1583,INDEX((係数_バス貨物_ガソリン,係数_バス貨物_CNG,係数_バス貨物_軽油,係数_バス貨物_メタノール,係数_バス貨物_LPG),MATCH(AY1583,【参考】排出係数!$AI$4:$AI$671,1),1,BE1583):INDEX((係数_バス貨物_ガソリン,係数_バス貨物_CNG,係数_バス貨物_軽油,係数_バス貨物_メタノール,係数_バス貨物_LPG),MATCH(AY1583+1,【参考】排出係数!$AI$4:$AI$671,1)-1,5,BE1583),5,FALSE)),IF(AND(BE1583=3,LEFT(BF1583,1)="1"),0.055,VLOOKUP(AU1583,INDEX((係数_乗用_ガソリン,係数_乗用_CNG,係数_乗用_軽油,係数_乗用_メタノール,係数_乗用_LPG),1,1,BE1583):INDEX((係数_乗用_ガソリン,係数_乗用_CNG,係数_乗用_軽油,係数_乗用_メタノール,係数_乗用_LPG),125,5,BE1583),5,FALSE)))))</f>
        <v/>
      </c>
      <c r="AN1583" s="461" t="str">
        <f t="shared" si="920"/>
        <v/>
      </c>
      <c r="AO1583" s="462" t="str">
        <f t="shared" si="921"/>
        <v/>
      </c>
      <c r="AP1583" s="463" t="str">
        <f t="shared" si="922"/>
        <v/>
      </c>
      <c r="AQ1583" s="464"/>
      <c r="AR1583" s="619"/>
      <c r="AS1583" s="465" t="str">
        <f t="shared" si="892"/>
        <v/>
      </c>
      <c r="AT1583" s="465" t="str">
        <f t="shared" si="893"/>
        <v/>
      </c>
      <c r="AU1583" s="466" t="str">
        <f t="shared" si="894"/>
        <v/>
      </c>
      <c r="AV1583" s="467" t="str">
        <f t="shared" si="895"/>
        <v/>
      </c>
      <c r="AW1583" s="467" t="str">
        <f t="shared" si="896"/>
        <v/>
      </c>
      <c r="AX1583" s="467" t="str">
        <f t="shared" si="897"/>
        <v/>
      </c>
      <c r="AY1583" s="467" t="str">
        <f t="shared" si="898"/>
        <v/>
      </c>
      <c r="AZ1583" s="467" t="str">
        <f t="shared" si="899"/>
        <v/>
      </c>
      <c r="BA1583" s="468" t="str">
        <f>IF(AS1583="","",IF(OR(AU1583="",AU1583="-"),"－",IF(OR(AZ1583=8,AZ1583=9),"",IF(OR(AW1583=3,AW1583=4,AW1583=5,AW1583=6),VLOOKUP(AU1583,INDEX((係数_バス貨物_ガソリン,係数_バス貨物_CNG,係数_バス貨物_軽油,係数_バス貨物_メタノール,係数_バス貨物_LPG),MATCH(AY1583,【参考】排出係数!$AI$4:$AI$671,1),1,BE1583):INDEX((係数_バス貨物_ガソリン,係数_バス貨物_CNG,係数_バス貨物_軽油,係数_バス貨物_メタノール,係数_バス貨物_LPG),MATCH(AY1583+1,【参考】排出係数!$AI$4:$AI$671,1)-1,5,BE1583),2,FALSE),IF(OR(AW1583=1,AW1583=2),VLOOKUP(AU1583,INDEX((係数_乗用_ガソリン,係数_乗用_CNG,係数_乗用_軽油,係数_乗用_メタノール,係数_乗用_LPG),1,1,BE1583):INDEX((係数_乗用_ガソリン,係数_乗用_CNG,係数_乗用_軽油,係数_乗用_メタノール,係数_乗用_LPG),125,5,BE1583),2,FALSE))))))</f>
        <v/>
      </c>
      <c r="BB1583" s="468" t="str">
        <f>IF(T1583="","",IF(OR(AU1583="",AU1583="-"),"－",IF(OR(AZ1583=8,AZ1583=9),"",IF(OR(AW1583=3,AW1583=4,AW1583=5,AW1583=6),VLOOKUP(AU1583,INDEX((係数_バス貨物_ガソリン,係数_バス貨物_CNG,係数_バス貨物_軽油,係数_バス貨物_メタノール,係数_バス貨物_LPG),MATCH(AY1583,【参考】排出係数!$AI$4:$AI$671,1),1,BE1583):INDEX((係数_バス貨物_ガソリン,係数_バス貨物_CNG,係数_バス貨物_軽油,係数_バス貨物_メタノール,係数_バス貨物_LPG),MATCH(AY1583+1,【参考】排出係数!$AI$4:$AI$671,1)-1,5,BE1583),3,FALSE),IF(OR(AW1583=1,AW1583=2),VLOOKUP(AU1583,INDEX((係数_乗用_ガソリン,係数_乗用_CNG,係数_乗用_軽油,係数_乗用_メタノール,係数_乗用_LPG),1,1,BE1583):INDEX((係数_乗用_ガソリン,係数_乗用_CNG,係数_乗用_軽油,係数_乗用_メタノール,係数_乗用_LPG),125,5,BE1583),3,FALSE))))))</f>
        <v/>
      </c>
      <c r="BC1583" s="467" t="str">
        <f t="shared" si="900"/>
        <v/>
      </c>
      <c r="BD1583" s="567" t="str">
        <f t="shared" si="901"/>
        <v/>
      </c>
      <c r="BE1583" s="467" t="str">
        <f t="shared" si="902"/>
        <v/>
      </c>
      <c r="BF1583" s="469" t="str">
        <f t="shared" ca="1" si="903"/>
        <v/>
      </c>
      <c r="BG1583" s="469" t="str">
        <f t="shared" ca="1" si="904"/>
        <v/>
      </c>
      <c r="BH1583" s="467" t="str">
        <f t="shared" si="905"/>
        <v/>
      </c>
      <c r="BI1583" s="467" t="str">
        <f t="shared" ca="1" si="906"/>
        <v/>
      </c>
      <c r="BJ1583" s="469" t="str">
        <f t="shared" si="907"/>
        <v/>
      </c>
      <c r="BK1583" s="470" t="str">
        <f t="shared" si="891"/>
        <v/>
      </c>
      <c r="BL1583" s="775" t="str">
        <f t="shared" si="908"/>
        <v/>
      </c>
      <c r="BM1583" s="775" t="str">
        <f t="shared" si="909"/>
        <v/>
      </c>
    </row>
    <row r="1584" spans="1:65">
      <c r="A1584" s="473">
        <v>1528</v>
      </c>
      <c r="B1584" s="132"/>
      <c r="C1584" s="332"/>
      <c r="D1584" s="333"/>
      <c r="E1584" s="333"/>
      <c r="F1584" s="334"/>
      <c r="G1584" s="337"/>
      <c r="H1584" s="131"/>
      <c r="I1584" s="337"/>
      <c r="J1584" s="131"/>
      <c r="K1584" s="458" t="str">
        <f t="shared" si="910"/>
        <v/>
      </c>
      <c r="L1584" s="458">
        <f t="shared" si="911"/>
        <v>0</v>
      </c>
      <c r="M1584" s="458">
        <f t="shared" si="912"/>
        <v>0</v>
      </c>
      <c r="N1584" s="459" t="str">
        <f t="shared" si="885"/>
        <v/>
      </c>
      <c r="O1584" s="459" t="str">
        <f t="shared" si="886"/>
        <v/>
      </c>
      <c r="P1584" s="459" t="str">
        <f t="shared" si="887"/>
        <v/>
      </c>
      <c r="Q1584" s="459" t="str">
        <f t="shared" si="888"/>
        <v/>
      </c>
      <c r="R1584" s="459" t="str">
        <f t="shared" si="889"/>
        <v/>
      </c>
      <c r="S1584" s="459" t="str">
        <f t="shared" si="890"/>
        <v/>
      </c>
      <c r="T1584" s="566" t="str">
        <f t="shared" si="913"/>
        <v/>
      </c>
      <c r="U1584" s="702"/>
      <c r="V1584" s="132"/>
      <c r="W1584" s="133"/>
      <c r="X1584" s="134"/>
      <c r="Y1584" s="135"/>
      <c r="Z1584" s="137"/>
      <c r="AA1584" s="136"/>
      <c r="AB1584" s="566" t="str">
        <f t="shared" si="914"/>
        <v/>
      </c>
      <c r="AC1584" s="568" t="str">
        <f t="shared" si="915"/>
        <v/>
      </c>
      <c r="AD1584" s="137"/>
      <c r="AE1584" s="137"/>
      <c r="AF1584" s="138"/>
      <c r="AG1584" s="138"/>
      <c r="AH1584" s="592" t="str">
        <f t="shared" si="916"/>
        <v/>
      </c>
      <c r="AI1584" s="592" t="str">
        <f t="shared" si="917"/>
        <v/>
      </c>
      <c r="AJ1584" s="592" t="str">
        <f t="shared" si="918"/>
        <v/>
      </c>
      <c r="AK1584" s="460" t="str">
        <f>IF(AU1584="","",IF(OR(AZ1584=8,AZ1584=9),0,IF(OR(AW1584=3,AW1584=4,AW1584=5,AW1584=6),IF(LEFT(BF1584,1)="1",INDEX(係数_NOX・PM低減,MATCH(AY1584,【参考】排出係数!$AI$801:$AI$804,1),1),VLOOKUP(AU1584,INDEX((係数_バス貨物_ガソリン,係数_バス貨物_CNG,係数_バス貨物_軽油,係数_バス貨物_メタノール,係数_バス貨物_LPG),MATCH(AY1584,【参考】排出係数!$AI$4:$AI$671,1),1,BE1584):INDEX((係数_バス貨物_ガソリン,係数_バス貨物_CNG,係数_バス貨物_軽油,係数_バス貨物_メタノール,係数_バス貨物_LPG),MATCH(AY1584+1,【参考】排出係数!$AI$4:$AI$671,1)-1,5,BE1584),4,FALSE)),IF(AND(BE1584=3,LEFT(BF1584,1)="1"),0.48,VLOOKUP(AU1584,INDEX((係数_乗用_ガソリン,係数_乗用_CNG,係数_乗用_軽油,係数_乗用_メタノール,係数_乗用_LPG),1,1,BE1584):INDEX((係数_乗用_ガソリン,係数_乗用_CNG,係数_乗用_軽油,係数_乗用_メタノール,係数_乗用_LPG),125,5,BE1584),4,FALSE)))))</f>
        <v/>
      </c>
      <c r="AL1584" s="461" t="str">
        <f t="shared" si="919"/>
        <v/>
      </c>
      <c r="AM1584" s="460" t="str">
        <f>IF(AU1584="","",IF(OR(AZ1584=8,AZ1584=9),0,IF(OR(AW1584=3,AW1584=4,AW1584=5,AW1584=6),IF(LEFT(BH1584,1)="1",INDEX(係数_PM低減,MATCH(AY1584,【参考】排出係数!$AI$801:$AI$804,1),MATCH(BI1584,【参考】排出係数!$AL$798:$AO$798,1)),VLOOKUP(AU1584,INDEX((係数_バス貨物_ガソリン,係数_バス貨物_CNG,係数_バス貨物_軽油,係数_バス貨物_メタノール,係数_バス貨物_LPG),MATCH(AY1584,【参考】排出係数!$AI$4:$AI$671,1),1,BE1584):INDEX((係数_バス貨物_ガソリン,係数_バス貨物_CNG,係数_バス貨物_軽油,係数_バス貨物_メタノール,係数_バス貨物_LPG),MATCH(AY1584+1,【参考】排出係数!$AI$4:$AI$671,1)-1,5,BE1584),5,FALSE)),IF(AND(BE1584=3,LEFT(BF1584,1)="1"),0.055,VLOOKUP(AU1584,INDEX((係数_乗用_ガソリン,係数_乗用_CNG,係数_乗用_軽油,係数_乗用_メタノール,係数_乗用_LPG),1,1,BE1584):INDEX((係数_乗用_ガソリン,係数_乗用_CNG,係数_乗用_軽油,係数_乗用_メタノール,係数_乗用_LPG),125,5,BE1584),5,FALSE)))))</f>
        <v/>
      </c>
      <c r="AN1584" s="461" t="str">
        <f t="shared" si="920"/>
        <v/>
      </c>
      <c r="AO1584" s="462" t="str">
        <f t="shared" si="921"/>
        <v/>
      </c>
      <c r="AP1584" s="463" t="str">
        <f t="shared" si="922"/>
        <v/>
      </c>
      <c r="AQ1584" s="464"/>
      <c r="AR1584" s="619"/>
      <c r="AS1584" s="465" t="str">
        <f t="shared" si="892"/>
        <v/>
      </c>
      <c r="AT1584" s="465" t="str">
        <f t="shared" si="893"/>
        <v/>
      </c>
      <c r="AU1584" s="466" t="str">
        <f t="shared" si="894"/>
        <v/>
      </c>
      <c r="AV1584" s="467" t="str">
        <f t="shared" si="895"/>
        <v/>
      </c>
      <c r="AW1584" s="467" t="str">
        <f t="shared" si="896"/>
        <v/>
      </c>
      <c r="AX1584" s="467" t="str">
        <f t="shared" si="897"/>
        <v/>
      </c>
      <c r="AY1584" s="467" t="str">
        <f t="shared" si="898"/>
        <v/>
      </c>
      <c r="AZ1584" s="467" t="str">
        <f t="shared" si="899"/>
        <v/>
      </c>
      <c r="BA1584" s="468" t="str">
        <f>IF(AS1584="","",IF(OR(AU1584="",AU1584="-"),"－",IF(OR(AZ1584=8,AZ1584=9),"",IF(OR(AW1584=3,AW1584=4,AW1584=5,AW1584=6),VLOOKUP(AU1584,INDEX((係数_バス貨物_ガソリン,係数_バス貨物_CNG,係数_バス貨物_軽油,係数_バス貨物_メタノール,係数_バス貨物_LPG),MATCH(AY1584,【参考】排出係数!$AI$4:$AI$671,1),1,BE1584):INDEX((係数_バス貨物_ガソリン,係数_バス貨物_CNG,係数_バス貨物_軽油,係数_バス貨物_メタノール,係数_バス貨物_LPG),MATCH(AY1584+1,【参考】排出係数!$AI$4:$AI$671,1)-1,5,BE1584),2,FALSE),IF(OR(AW1584=1,AW1584=2),VLOOKUP(AU1584,INDEX((係数_乗用_ガソリン,係数_乗用_CNG,係数_乗用_軽油,係数_乗用_メタノール,係数_乗用_LPG),1,1,BE1584):INDEX((係数_乗用_ガソリン,係数_乗用_CNG,係数_乗用_軽油,係数_乗用_メタノール,係数_乗用_LPG),125,5,BE1584),2,FALSE))))))</f>
        <v/>
      </c>
      <c r="BB1584" s="468" t="str">
        <f>IF(T1584="","",IF(OR(AU1584="",AU1584="-"),"－",IF(OR(AZ1584=8,AZ1584=9),"",IF(OR(AW1584=3,AW1584=4,AW1584=5,AW1584=6),VLOOKUP(AU1584,INDEX((係数_バス貨物_ガソリン,係数_バス貨物_CNG,係数_バス貨物_軽油,係数_バス貨物_メタノール,係数_バス貨物_LPG),MATCH(AY1584,【参考】排出係数!$AI$4:$AI$671,1),1,BE1584):INDEX((係数_バス貨物_ガソリン,係数_バス貨物_CNG,係数_バス貨物_軽油,係数_バス貨物_メタノール,係数_バス貨物_LPG),MATCH(AY1584+1,【参考】排出係数!$AI$4:$AI$671,1)-1,5,BE1584),3,FALSE),IF(OR(AW1584=1,AW1584=2),VLOOKUP(AU1584,INDEX((係数_乗用_ガソリン,係数_乗用_CNG,係数_乗用_軽油,係数_乗用_メタノール,係数_乗用_LPG),1,1,BE1584):INDEX((係数_乗用_ガソリン,係数_乗用_CNG,係数_乗用_軽油,係数_乗用_メタノール,係数_乗用_LPG),125,5,BE1584),3,FALSE))))))</f>
        <v/>
      </c>
      <c r="BC1584" s="467" t="str">
        <f t="shared" si="900"/>
        <v/>
      </c>
      <c r="BD1584" s="567" t="str">
        <f t="shared" si="901"/>
        <v/>
      </c>
      <c r="BE1584" s="467" t="str">
        <f t="shared" si="902"/>
        <v/>
      </c>
      <c r="BF1584" s="469" t="str">
        <f t="shared" ca="1" si="903"/>
        <v/>
      </c>
      <c r="BG1584" s="469" t="str">
        <f t="shared" ca="1" si="904"/>
        <v/>
      </c>
      <c r="BH1584" s="467" t="str">
        <f t="shared" si="905"/>
        <v/>
      </c>
      <c r="BI1584" s="467" t="str">
        <f t="shared" ca="1" si="906"/>
        <v/>
      </c>
      <c r="BJ1584" s="469" t="str">
        <f t="shared" si="907"/>
        <v/>
      </c>
      <c r="BK1584" s="470" t="str">
        <f t="shared" si="891"/>
        <v/>
      </c>
      <c r="BL1584" s="775" t="str">
        <f t="shared" si="908"/>
        <v/>
      </c>
      <c r="BM1584" s="775" t="str">
        <f t="shared" si="909"/>
        <v/>
      </c>
    </row>
    <row r="1585" spans="1:65">
      <c r="A1585" s="473">
        <v>1529</v>
      </c>
      <c r="B1585" s="132"/>
      <c r="C1585" s="332"/>
      <c r="D1585" s="333"/>
      <c r="E1585" s="333"/>
      <c r="F1585" s="334"/>
      <c r="G1585" s="337"/>
      <c r="H1585" s="131"/>
      <c r="I1585" s="337"/>
      <c r="J1585" s="131"/>
      <c r="K1585" s="458" t="str">
        <f t="shared" si="910"/>
        <v/>
      </c>
      <c r="L1585" s="458">
        <f t="shared" si="911"/>
        <v>0</v>
      </c>
      <c r="M1585" s="458">
        <f t="shared" si="912"/>
        <v>0</v>
      </c>
      <c r="N1585" s="459" t="str">
        <f t="shared" si="885"/>
        <v/>
      </c>
      <c r="O1585" s="459" t="str">
        <f t="shared" si="886"/>
        <v/>
      </c>
      <c r="P1585" s="459" t="str">
        <f t="shared" si="887"/>
        <v/>
      </c>
      <c r="Q1585" s="459" t="str">
        <f t="shared" si="888"/>
        <v/>
      </c>
      <c r="R1585" s="459" t="str">
        <f t="shared" si="889"/>
        <v/>
      </c>
      <c r="S1585" s="459" t="str">
        <f t="shared" si="890"/>
        <v/>
      </c>
      <c r="T1585" s="566" t="str">
        <f t="shared" si="913"/>
        <v/>
      </c>
      <c r="U1585" s="702"/>
      <c r="V1585" s="132"/>
      <c r="W1585" s="133"/>
      <c r="X1585" s="134"/>
      <c r="Y1585" s="135"/>
      <c r="Z1585" s="137"/>
      <c r="AA1585" s="136"/>
      <c r="AB1585" s="566" t="str">
        <f t="shared" si="914"/>
        <v/>
      </c>
      <c r="AC1585" s="568" t="str">
        <f t="shared" si="915"/>
        <v/>
      </c>
      <c r="AD1585" s="137"/>
      <c r="AE1585" s="137"/>
      <c r="AF1585" s="138"/>
      <c r="AG1585" s="138"/>
      <c r="AH1585" s="592" t="str">
        <f t="shared" si="916"/>
        <v/>
      </c>
      <c r="AI1585" s="592" t="str">
        <f t="shared" si="917"/>
        <v/>
      </c>
      <c r="AJ1585" s="592" t="str">
        <f t="shared" si="918"/>
        <v/>
      </c>
      <c r="AK1585" s="460" t="str">
        <f>IF(AU1585="","",IF(OR(AZ1585=8,AZ1585=9),0,IF(OR(AW1585=3,AW1585=4,AW1585=5,AW1585=6),IF(LEFT(BF1585,1)="1",INDEX(係数_NOX・PM低減,MATCH(AY1585,【参考】排出係数!$AI$801:$AI$804,1),1),VLOOKUP(AU1585,INDEX((係数_バス貨物_ガソリン,係数_バス貨物_CNG,係数_バス貨物_軽油,係数_バス貨物_メタノール,係数_バス貨物_LPG),MATCH(AY1585,【参考】排出係数!$AI$4:$AI$671,1),1,BE1585):INDEX((係数_バス貨物_ガソリン,係数_バス貨物_CNG,係数_バス貨物_軽油,係数_バス貨物_メタノール,係数_バス貨物_LPG),MATCH(AY1585+1,【参考】排出係数!$AI$4:$AI$671,1)-1,5,BE1585),4,FALSE)),IF(AND(BE1585=3,LEFT(BF1585,1)="1"),0.48,VLOOKUP(AU1585,INDEX((係数_乗用_ガソリン,係数_乗用_CNG,係数_乗用_軽油,係数_乗用_メタノール,係数_乗用_LPG),1,1,BE1585):INDEX((係数_乗用_ガソリン,係数_乗用_CNG,係数_乗用_軽油,係数_乗用_メタノール,係数_乗用_LPG),125,5,BE1585),4,FALSE)))))</f>
        <v/>
      </c>
      <c r="AL1585" s="461" t="str">
        <f t="shared" si="919"/>
        <v/>
      </c>
      <c r="AM1585" s="460" t="str">
        <f>IF(AU1585="","",IF(OR(AZ1585=8,AZ1585=9),0,IF(OR(AW1585=3,AW1585=4,AW1585=5,AW1585=6),IF(LEFT(BH1585,1)="1",INDEX(係数_PM低減,MATCH(AY1585,【参考】排出係数!$AI$801:$AI$804,1),MATCH(BI1585,【参考】排出係数!$AL$798:$AO$798,1)),VLOOKUP(AU1585,INDEX((係数_バス貨物_ガソリン,係数_バス貨物_CNG,係数_バス貨物_軽油,係数_バス貨物_メタノール,係数_バス貨物_LPG),MATCH(AY1585,【参考】排出係数!$AI$4:$AI$671,1),1,BE1585):INDEX((係数_バス貨物_ガソリン,係数_バス貨物_CNG,係数_バス貨物_軽油,係数_バス貨物_メタノール,係数_バス貨物_LPG),MATCH(AY1585+1,【参考】排出係数!$AI$4:$AI$671,1)-1,5,BE1585),5,FALSE)),IF(AND(BE1585=3,LEFT(BF1585,1)="1"),0.055,VLOOKUP(AU1585,INDEX((係数_乗用_ガソリン,係数_乗用_CNG,係数_乗用_軽油,係数_乗用_メタノール,係数_乗用_LPG),1,1,BE1585):INDEX((係数_乗用_ガソリン,係数_乗用_CNG,係数_乗用_軽油,係数_乗用_メタノール,係数_乗用_LPG),125,5,BE1585),5,FALSE)))))</f>
        <v/>
      </c>
      <c r="AN1585" s="461" t="str">
        <f t="shared" si="920"/>
        <v/>
      </c>
      <c r="AO1585" s="462" t="str">
        <f t="shared" si="921"/>
        <v/>
      </c>
      <c r="AP1585" s="463" t="str">
        <f t="shared" si="922"/>
        <v/>
      </c>
      <c r="AQ1585" s="464"/>
      <c r="AR1585" s="619"/>
      <c r="AS1585" s="465" t="str">
        <f t="shared" si="892"/>
        <v/>
      </c>
      <c r="AT1585" s="465" t="str">
        <f t="shared" si="893"/>
        <v/>
      </c>
      <c r="AU1585" s="466" t="str">
        <f t="shared" si="894"/>
        <v/>
      </c>
      <c r="AV1585" s="467" t="str">
        <f t="shared" si="895"/>
        <v/>
      </c>
      <c r="AW1585" s="467" t="str">
        <f t="shared" si="896"/>
        <v/>
      </c>
      <c r="AX1585" s="467" t="str">
        <f t="shared" si="897"/>
        <v/>
      </c>
      <c r="AY1585" s="467" t="str">
        <f t="shared" si="898"/>
        <v/>
      </c>
      <c r="AZ1585" s="467" t="str">
        <f t="shared" si="899"/>
        <v/>
      </c>
      <c r="BA1585" s="468" t="str">
        <f>IF(AS1585="","",IF(OR(AU1585="",AU1585="-"),"－",IF(OR(AZ1585=8,AZ1585=9),"",IF(OR(AW1585=3,AW1585=4,AW1585=5,AW1585=6),VLOOKUP(AU1585,INDEX((係数_バス貨物_ガソリン,係数_バス貨物_CNG,係数_バス貨物_軽油,係数_バス貨物_メタノール,係数_バス貨物_LPG),MATCH(AY1585,【参考】排出係数!$AI$4:$AI$671,1),1,BE1585):INDEX((係数_バス貨物_ガソリン,係数_バス貨物_CNG,係数_バス貨物_軽油,係数_バス貨物_メタノール,係数_バス貨物_LPG),MATCH(AY1585+1,【参考】排出係数!$AI$4:$AI$671,1)-1,5,BE1585),2,FALSE),IF(OR(AW1585=1,AW1585=2),VLOOKUP(AU1585,INDEX((係数_乗用_ガソリン,係数_乗用_CNG,係数_乗用_軽油,係数_乗用_メタノール,係数_乗用_LPG),1,1,BE1585):INDEX((係数_乗用_ガソリン,係数_乗用_CNG,係数_乗用_軽油,係数_乗用_メタノール,係数_乗用_LPG),125,5,BE1585),2,FALSE))))))</f>
        <v/>
      </c>
      <c r="BB1585" s="468" t="str">
        <f>IF(T1585="","",IF(OR(AU1585="",AU1585="-"),"－",IF(OR(AZ1585=8,AZ1585=9),"",IF(OR(AW1585=3,AW1585=4,AW1585=5,AW1585=6),VLOOKUP(AU1585,INDEX((係数_バス貨物_ガソリン,係数_バス貨物_CNG,係数_バス貨物_軽油,係数_バス貨物_メタノール,係数_バス貨物_LPG),MATCH(AY1585,【参考】排出係数!$AI$4:$AI$671,1),1,BE1585):INDEX((係数_バス貨物_ガソリン,係数_バス貨物_CNG,係数_バス貨物_軽油,係数_バス貨物_メタノール,係数_バス貨物_LPG),MATCH(AY1585+1,【参考】排出係数!$AI$4:$AI$671,1)-1,5,BE1585),3,FALSE),IF(OR(AW1585=1,AW1585=2),VLOOKUP(AU1585,INDEX((係数_乗用_ガソリン,係数_乗用_CNG,係数_乗用_軽油,係数_乗用_メタノール,係数_乗用_LPG),1,1,BE1585):INDEX((係数_乗用_ガソリン,係数_乗用_CNG,係数_乗用_軽油,係数_乗用_メタノール,係数_乗用_LPG),125,5,BE1585),3,FALSE))))))</f>
        <v/>
      </c>
      <c r="BC1585" s="467" t="str">
        <f t="shared" si="900"/>
        <v/>
      </c>
      <c r="BD1585" s="567" t="str">
        <f t="shared" si="901"/>
        <v/>
      </c>
      <c r="BE1585" s="467" t="str">
        <f t="shared" si="902"/>
        <v/>
      </c>
      <c r="BF1585" s="469" t="str">
        <f t="shared" ca="1" si="903"/>
        <v/>
      </c>
      <c r="BG1585" s="469" t="str">
        <f t="shared" ca="1" si="904"/>
        <v/>
      </c>
      <c r="BH1585" s="467" t="str">
        <f t="shared" si="905"/>
        <v/>
      </c>
      <c r="BI1585" s="467" t="str">
        <f t="shared" ca="1" si="906"/>
        <v/>
      </c>
      <c r="BJ1585" s="469" t="str">
        <f t="shared" si="907"/>
        <v/>
      </c>
      <c r="BK1585" s="470" t="str">
        <f t="shared" si="891"/>
        <v/>
      </c>
      <c r="BL1585" s="775" t="str">
        <f t="shared" si="908"/>
        <v/>
      </c>
      <c r="BM1585" s="775" t="str">
        <f t="shared" si="909"/>
        <v/>
      </c>
    </row>
    <row r="1586" spans="1:65">
      <c r="A1586" s="473">
        <v>1530</v>
      </c>
      <c r="B1586" s="132"/>
      <c r="C1586" s="332"/>
      <c r="D1586" s="333"/>
      <c r="E1586" s="333"/>
      <c r="F1586" s="334"/>
      <c r="G1586" s="337"/>
      <c r="H1586" s="131"/>
      <c r="I1586" s="337"/>
      <c r="J1586" s="131"/>
      <c r="K1586" s="458" t="str">
        <f t="shared" si="910"/>
        <v/>
      </c>
      <c r="L1586" s="458">
        <f t="shared" si="911"/>
        <v>0</v>
      </c>
      <c r="M1586" s="458">
        <f t="shared" si="912"/>
        <v>0</v>
      </c>
      <c r="N1586" s="459" t="str">
        <f t="shared" si="885"/>
        <v/>
      </c>
      <c r="O1586" s="459" t="str">
        <f t="shared" si="886"/>
        <v/>
      </c>
      <c r="P1586" s="459" t="str">
        <f t="shared" si="887"/>
        <v/>
      </c>
      <c r="Q1586" s="459" t="str">
        <f t="shared" si="888"/>
        <v/>
      </c>
      <c r="R1586" s="459" t="str">
        <f t="shared" si="889"/>
        <v/>
      </c>
      <c r="S1586" s="459" t="str">
        <f t="shared" si="890"/>
        <v/>
      </c>
      <c r="T1586" s="566" t="str">
        <f t="shared" si="913"/>
        <v/>
      </c>
      <c r="U1586" s="702"/>
      <c r="V1586" s="132"/>
      <c r="W1586" s="133"/>
      <c r="X1586" s="134"/>
      <c r="Y1586" s="135"/>
      <c r="Z1586" s="137"/>
      <c r="AA1586" s="136"/>
      <c r="AB1586" s="566" t="str">
        <f t="shared" si="914"/>
        <v/>
      </c>
      <c r="AC1586" s="568" t="str">
        <f t="shared" si="915"/>
        <v/>
      </c>
      <c r="AD1586" s="137"/>
      <c r="AE1586" s="137"/>
      <c r="AF1586" s="138"/>
      <c r="AG1586" s="138"/>
      <c r="AH1586" s="592" t="str">
        <f t="shared" si="916"/>
        <v/>
      </c>
      <c r="AI1586" s="592" t="str">
        <f t="shared" si="917"/>
        <v/>
      </c>
      <c r="AJ1586" s="592" t="str">
        <f t="shared" si="918"/>
        <v/>
      </c>
      <c r="AK1586" s="460" t="str">
        <f>IF(AU1586="","",IF(OR(AZ1586=8,AZ1586=9),0,IF(OR(AW1586=3,AW1586=4,AW1586=5,AW1586=6),IF(LEFT(BF1586,1)="1",INDEX(係数_NOX・PM低減,MATCH(AY1586,【参考】排出係数!$AI$801:$AI$804,1),1),VLOOKUP(AU1586,INDEX((係数_バス貨物_ガソリン,係数_バス貨物_CNG,係数_バス貨物_軽油,係数_バス貨物_メタノール,係数_バス貨物_LPG),MATCH(AY1586,【参考】排出係数!$AI$4:$AI$671,1),1,BE1586):INDEX((係数_バス貨物_ガソリン,係数_バス貨物_CNG,係数_バス貨物_軽油,係数_バス貨物_メタノール,係数_バス貨物_LPG),MATCH(AY1586+1,【参考】排出係数!$AI$4:$AI$671,1)-1,5,BE1586),4,FALSE)),IF(AND(BE1586=3,LEFT(BF1586,1)="1"),0.48,VLOOKUP(AU1586,INDEX((係数_乗用_ガソリン,係数_乗用_CNG,係数_乗用_軽油,係数_乗用_メタノール,係数_乗用_LPG),1,1,BE1586):INDEX((係数_乗用_ガソリン,係数_乗用_CNG,係数_乗用_軽油,係数_乗用_メタノール,係数_乗用_LPG),125,5,BE1586),4,FALSE)))))</f>
        <v/>
      </c>
      <c r="AL1586" s="461" t="str">
        <f t="shared" si="919"/>
        <v/>
      </c>
      <c r="AM1586" s="460" t="str">
        <f>IF(AU1586="","",IF(OR(AZ1586=8,AZ1586=9),0,IF(OR(AW1586=3,AW1586=4,AW1586=5,AW1586=6),IF(LEFT(BH1586,1)="1",INDEX(係数_PM低減,MATCH(AY1586,【参考】排出係数!$AI$801:$AI$804,1),MATCH(BI1586,【参考】排出係数!$AL$798:$AO$798,1)),VLOOKUP(AU1586,INDEX((係数_バス貨物_ガソリン,係数_バス貨物_CNG,係数_バス貨物_軽油,係数_バス貨物_メタノール,係数_バス貨物_LPG),MATCH(AY1586,【参考】排出係数!$AI$4:$AI$671,1),1,BE1586):INDEX((係数_バス貨物_ガソリン,係数_バス貨物_CNG,係数_バス貨物_軽油,係数_バス貨物_メタノール,係数_バス貨物_LPG),MATCH(AY1586+1,【参考】排出係数!$AI$4:$AI$671,1)-1,5,BE1586),5,FALSE)),IF(AND(BE1586=3,LEFT(BF1586,1)="1"),0.055,VLOOKUP(AU1586,INDEX((係数_乗用_ガソリン,係数_乗用_CNG,係数_乗用_軽油,係数_乗用_メタノール,係数_乗用_LPG),1,1,BE1586):INDEX((係数_乗用_ガソリン,係数_乗用_CNG,係数_乗用_軽油,係数_乗用_メタノール,係数_乗用_LPG),125,5,BE1586),5,FALSE)))))</f>
        <v/>
      </c>
      <c r="AN1586" s="461" t="str">
        <f t="shared" si="920"/>
        <v/>
      </c>
      <c r="AO1586" s="462" t="str">
        <f t="shared" si="921"/>
        <v/>
      </c>
      <c r="AP1586" s="463" t="str">
        <f t="shared" si="922"/>
        <v/>
      </c>
      <c r="AQ1586" s="464"/>
      <c r="AR1586" s="619"/>
      <c r="AS1586" s="465" t="str">
        <f t="shared" si="892"/>
        <v/>
      </c>
      <c r="AT1586" s="465" t="str">
        <f t="shared" si="893"/>
        <v/>
      </c>
      <c r="AU1586" s="466" t="str">
        <f t="shared" si="894"/>
        <v/>
      </c>
      <c r="AV1586" s="467" t="str">
        <f t="shared" si="895"/>
        <v/>
      </c>
      <c r="AW1586" s="467" t="str">
        <f t="shared" si="896"/>
        <v/>
      </c>
      <c r="AX1586" s="467" t="str">
        <f t="shared" si="897"/>
        <v/>
      </c>
      <c r="AY1586" s="467" t="str">
        <f t="shared" si="898"/>
        <v/>
      </c>
      <c r="AZ1586" s="467" t="str">
        <f t="shared" si="899"/>
        <v/>
      </c>
      <c r="BA1586" s="468" t="str">
        <f>IF(AS1586="","",IF(OR(AU1586="",AU1586="-"),"－",IF(OR(AZ1586=8,AZ1586=9),"",IF(OR(AW1586=3,AW1586=4,AW1586=5,AW1586=6),VLOOKUP(AU1586,INDEX((係数_バス貨物_ガソリン,係数_バス貨物_CNG,係数_バス貨物_軽油,係数_バス貨物_メタノール,係数_バス貨物_LPG),MATCH(AY1586,【参考】排出係数!$AI$4:$AI$671,1),1,BE1586):INDEX((係数_バス貨物_ガソリン,係数_バス貨物_CNG,係数_バス貨物_軽油,係数_バス貨物_メタノール,係数_バス貨物_LPG),MATCH(AY1586+1,【参考】排出係数!$AI$4:$AI$671,1)-1,5,BE1586),2,FALSE),IF(OR(AW1586=1,AW1586=2),VLOOKUP(AU1586,INDEX((係数_乗用_ガソリン,係数_乗用_CNG,係数_乗用_軽油,係数_乗用_メタノール,係数_乗用_LPG),1,1,BE1586):INDEX((係数_乗用_ガソリン,係数_乗用_CNG,係数_乗用_軽油,係数_乗用_メタノール,係数_乗用_LPG),125,5,BE1586),2,FALSE))))))</f>
        <v/>
      </c>
      <c r="BB1586" s="468" t="str">
        <f>IF(T1586="","",IF(OR(AU1586="",AU1586="-"),"－",IF(OR(AZ1586=8,AZ1586=9),"",IF(OR(AW1586=3,AW1586=4,AW1586=5,AW1586=6),VLOOKUP(AU1586,INDEX((係数_バス貨物_ガソリン,係数_バス貨物_CNG,係数_バス貨物_軽油,係数_バス貨物_メタノール,係数_バス貨物_LPG),MATCH(AY1586,【参考】排出係数!$AI$4:$AI$671,1),1,BE1586):INDEX((係数_バス貨物_ガソリン,係数_バス貨物_CNG,係数_バス貨物_軽油,係数_バス貨物_メタノール,係数_バス貨物_LPG),MATCH(AY1586+1,【参考】排出係数!$AI$4:$AI$671,1)-1,5,BE1586),3,FALSE),IF(OR(AW1586=1,AW1586=2),VLOOKUP(AU1586,INDEX((係数_乗用_ガソリン,係数_乗用_CNG,係数_乗用_軽油,係数_乗用_メタノール,係数_乗用_LPG),1,1,BE1586):INDEX((係数_乗用_ガソリン,係数_乗用_CNG,係数_乗用_軽油,係数_乗用_メタノール,係数_乗用_LPG),125,5,BE1586),3,FALSE))))))</f>
        <v/>
      </c>
      <c r="BC1586" s="467" t="str">
        <f t="shared" si="900"/>
        <v/>
      </c>
      <c r="BD1586" s="567" t="str">
        <f t="shared" si="901"/>
        <v/>
      </c>
      <c r="BE1586" s="467" t="str">
        <f t="shared" si="902"/>
        <v/>
      </c>
      <c r="BF1586" s="469" t="str">
        <f t="shared" ca="1" si="903"/>
        <v/>
      </c>
      <c r="BG1586" s="469" t="str">
        <f t="shared" ca="1" si="904"/>
        <v/>
      </c>
      <c r="BH1586" s="467" t="str">
        <f t="shared" si="905"/>
        <v/>
      </c>
      <c r="BI1586" s="467" t="str">
        <f t="shared" ca="1" si="906"/>
        <v/>
      </c>
      <c r="BJ1586" s="469" t="str">
        <f t="shared" si="907"/>
        <v/>
      </c>
      <c r="BK1586" s="470" t="str">
        <f t="shared" si="891"/>
        <v/>
      </c>
      <c r="BL1586" s="775" t="str">
        <f t="shared" si="908"/>
        <v/>
      </c>
      <c r="BM1586" s="775" t="str">
        <f t="shared" si="909"/>
        <v/>
      </c>
    </row>
    <row r="1587" spans="1:65">
      <c r="A1587" s="473">
        <v>1531</v>
      </c>
      <c r="B1587" s="132"/>
      <c r="C1587" s="332"/>
      <c r="D1587" s="333"/>
      <c r="E1587" s="333"/>
      <c r="F1587" s="334"/>
      <c r="G1587" s="337"/>
      <c r="H1587" s="131"/>
      <c r="I1587" s="337"/>
      <c r="J1587" s="131"/>
      <c r="K1587" s="458" t="str">
        <f t="shared" si="910"/>
        <v/>
      </c>
      <c r="L1587" s="458">
        <f t="shared" si="911"/>
        <v>0</v>
      </c>
      <c r="M1587" s="458">
        <f t="shared" si="912"/>
        <v>0</v>
      </c>
      <c r="N1587" s="459" t="str">
        <f t="shared" si="885"/>
        <v/>
      </c>
      <c r="O1587" s="459" t="str">
        <f t="shared" si="886"/>
        <v/>
      </c>
      <c r="P1587" s="459" t="str">
        <f t="shared" si="887"/>
        <v/>
      </c>
      <c r="Q1587" s="459" t="str">
        <f t="shared" si="888"/>
        <v/>
      </c>
      <c r="R1587" s="459" t="str">
        <f t="shared" si="889"/>
        <v/>
      </c>
      <c r="S1587" s="459" t="str">
        <f t="shared" si="890"/>
        <v/>
      </c>
      <c r="T1587" s="566" t="str">
        <f t="shared" si="913"/>
        <v/>
      </c>
      <c r="U1587" s="702"/>
      <c r="V1587" s="132"/>
      <c r="W1587" s="133"/>
      <c r="X1587" s="134"/>
      <c r="Y1587" s="135"/>
      <c r="Z1587" s="137"/>
      <c r="AA1587" s="136"/>
      <c r="AB1587" s="566" t="str">
        <f t="shared" si="914"/>
        <v/>
      </c>
      <c r="AC1587" s="568" t="str">
        <f t="shared" si="915"/>
        <v/>
      </c>
      <c r="AD1587" s="137"/>
      <c r="AE1587" s="137"/>
      <c r="AF1587" s="138"/>
      <c r="AG1587" s="138"/>
      <c r="AH1587" s="592" t="str">
        <f t="shared" si="916"/>
        <v/>
      </c>
      <c r="AI1587" s="592" t="str">
        <f t="shared" si="917"/>
        <v/>
      </c>
      <c r="AJ1587" s="592" t="str">
        <f t="shared" si="918"/>
        <v/>
      </c>
      <c r="AK1587" s="460" t="str">
        <f>IF(AU1587="","",IF(OR(AZ1587=8,AZ1587=9),0,IF(OR(AW1587=3,AW1587=4,AW1587=5,AW1587=6),IF(LEFT(BF1587,1)="1",INDEX(係数_NOX・PM低減,MATCH(AY1587,【参考】排出係数!$AI$801:$AI$804,1),1),VLOOKUP(AU1587,INDEX((係数_バス貨物_ガソリン,係数_バス貨物_CNG,係数_バス貨物_軽油,係数_バス貨物_メタノール,係数_バス貨物_LPG),MATCH(AY1587,【参考】排出係数!$AI$4:$AI$671,1),1,BE1587):INDEX((係数_バス貨物_ガソリン,係数_バス貨物_CNG,係数_バス貨物_軽油,係数_バス貨物_メタノール,係数_バス貨物_LPG),MATCH(AY1587+1,【参考】排出係数!$AI$4:$AI$671,1)-1,5,BE1587),4,FALSE)),IF(AND(BE1587=3,LEFT(BF1587,1)="1"),0.48,VLOOKUP(AU1587,INDEX((係数_乗用_ガソリン,係数_乗用_CNG,係数_乗用_軽油,係数_乗用_メタノール,係数_乗用_LPG),1,1,BE1587):INDEX((係数_乗用_ガソリン,係数_乗用_CNG,係数_乗用_軽油,係数_乗用_メタノール,係数_乗用_LPG),125,5,BE1587),4,FALSE)))))</f>
        <v/>
      </c>
      <c r="AL1587" s="461" t="str">
        <f t="shared" si="919"/>
        <v/>
      </c>
      <c r="AM1587" s="460" t="str">
        <f>IF(AU1587="","",IF(OR(AZ1587=8,AZ1587=9),0,IF(OR(AW1587=3,AW1587=4,AW1587=5,AW1587=6),IF(LEFT(BH1587,1)="1",INDEX(係数_PM低減,MATCH(AY1587,【参考】排出係数!$AI$801:$AI$804,1),MATCH(BI1587,【参考】排出係数!$AL$798:$AO$798,1)),VLOOKUP(AU1587,INDEX((係数_バス貨物_ガソリン,係数_バス貨物_CNG,係数_バス貨物_軽油,係数_バス貨物_メタノール,係数_バス貨物_LPG),MATCH(AY1587,【参考】排出係数!$AI$4:$AI$671,1),1,BE1587):INDEX((係数_バス貨物_ガソリン,係数_バス貨物_CNG,係数_バス貨物_軽油,係数_バス貨物_メタノール,係数_バス貨物_LPG),MATCH(AY1587+1,【参考】排出係数!$AI$4:$AI$671,1)-1,5,BE1587),5,FALSE)),IF(AND(BE1587=3,LEFT(BF1587,1)="1"),0.055,VLOOKUP(AU1587,INDEX((係数_乗用_ガソリン,係数_乗用_CNG,係数_乗用_軽油,係数_乗用_メタノール,係数_乗用_LPG),1,1,BE1587):INDEX((係数_乗用_ガソリン,係数_乗用_CNG,係数_乗用_軽油,係数_乗用_メタノール,係数_乗用_LPG),125,5,BE1587),5,FALSE)))))</f>
        <v/>
      </c>
      <c r="AN1587" s="461" t="str">
        <f t="shared" si="920"/>
        <v/>
      </c>
      <c r="AO1587" s="462" t="str">
        <f t="shared" si="921"/>
        <v/>
      </c>
      <c r="AP1587" s="463" t="str">
        <f t="shared" si="922"/>
        <v/>
      </c>
      <c r="AQ1587" s="464"/>
      <c r="AR1587" s="619"/>
      <c r="AS1587" s="465" t="str">
        <f t="shared" si="892"/>
        <v/>
      </c>
      <c r="AT1587" s="465" t="str">
        <f t="shared" si="893"/>
        <v/>
      </c>
      <c r="AU1587" s="466" t="str">
        <f t="shared" si="894"/>
        <v/>
      </c>
      <c r="AV1587" s="467" t="str">
        <f t="shared" si="895"/>
        <v/>
      </c>
      <c r="AW1587" s="467" t="str">
        <f t="shared" si="896"/>
        <v/>
      </c>
      <c r="AX1587" s="467" t="str">
        <f t="shared" si="897"/>
        <v/>
      </c>
      <c r="AY1587" s="467" t="str">
        <f t="shared" si="898"/>
        <v/>
      </c>
      <c r="AZ1587" s="467" t="str">
        <f t="shared" si="899"/>
        <v/>
      </c>
      <c r="BA1587" s="468" t="str">
        <f>IF(AS1587="","",IF(OR(AU1587="",AU1587="-"),"－",IF(OR(AZ1587=8,AZ1587=9),"",IF(OR(AW1587=3,AW1587=4,AW1587=5,AW1587=6),VLOOKUP(AU1587,INDEX((係数_バス貨物_ガソリン,係数_バス貨物_CNG,係数_バス貨物_軽油,係数_バス貨物_メタノール,係数_バス貨物_LPG),MATCH(AY1587,【参考】排出係数!$AI$4:$AI$671,1),1,BE1587):INDEX((係数_バス貨物_ガソリン,係数_バス貨物_CNG,係数_バス貨物_軽油,係数_バス貨物_メタノール,係数_バス貨物_LPG),MATCH(AY1587+1,【参考】排出係数!$AI$4:$AI$671,1)-1,5,BE1587),2,FALSE),IF(OR(AW1587=1,AW1587=2),VLOOKUP(AU1587,INDEX((係数_乗用_ガソリン,係数_乗用_CNG,係数_乗用_軽油,係数_乗用_メタノール,係数_乗用_LPG),1,1,BE1587):INDEX((係数_乗用_ガソリン,係数_乗用_CNG,係数_乗用_軽油,係数_乗用_メタノール,係数_乗用_LPG),125,5,BE1587),2,FALSE))))))</f>
        <v/>
      </c>
      <c r="BB1587" s="468" t="str">
        <f>IF(T1587="","",IF(OR(AU1587="",AU1587="-"),"－",IF(OR(AZ1587=8,AZ1587=9),"",IF(OR(AW1587=3,AW1587=4,AW1587=5,AW1587=6),VLOOKUP(AU1587,INDEX((係数_バス貨物_ガソリン,係数_バス貨物_CNG,係数_バス貨物_軽油,係数_バス貨物_メタノール,係数_バス貨物_LPG),MATCH(AY1587,【参考】排出係数!$AI$4:$AI$671,1),1,BE1587):INDEX((係数_バス貨物_ガソリン,係数_バス貨物_CNG,係数_バス貨物_軽油,係数_バス貨物_メタノール,係数_バス貨物_LPG),MATCH(AY1587+1,【参考】排出係数!$AI$4:$AI$671,1)-1,5,BE1587),3,FALSE),IF(OR(AW1587=1,AW1587=2),VLOOKUP(AU1587,INDEX((係数_乗用_ガソリン,係数_乗用_CNG,係数_乗用_軽油,係数_乗用_メタノール,係数_乗用_LPG),1,1,BE1587):INDEX((係数_乗用_ガソリン,係数_乗用_CNG,係数_乗用_軽油,係数_乗用_メタノール,係数_乗用_LPG),125,5,BE1587),3,FALSE))))))</f>
        <v/>
      </c>
      <c r="BC1587" s="467" t="str">
        <f t="shared" si="900"/>
        <v/>
      </c>
      <c r="BD1587" s="567" t="str">
        <f t="shared" si="901"/>
        <v/>
      </c>
      <c r="BE1587" s="467" t="str">
        <f t="shared" si="902"/>
        <v/>
      </c>
      <c r="BF1587" s="469" t="str">
        <f t="shared" ca="1" si="903"/>
        <v/>
      </c>
      <c r="BG1587" s="469" t="str">
        <f t="shared" ca="1" si="904"/>
        <v/>
      </c>
      <c r="BH1587" s="467" t="str">
        <f t="shared" si="905"/>
        <v/>
      </c>
      <c r="BI1587" s="467" t="str">
        <f t="shared" ca="1" si="906"/>
        <v/>
      </c>
      <c r="BJ1587" s="469" t="str">
        <f t="shared" si="907"/>
        <v/>
      </c>
      <c r="BK1587" s="470" t="str">
        <f t="shared" si="891"/>
        <v/>
      </c>
      <c r="BL1587" s="775" t="str">
        <f t="shared" si="908"/>
        <v/>
      </c>
      <c r="BM1587" s="775" t="str">
        <f t="shared" si="909"/>
        <v/>
      </c>
    </row>
    <row r="1588" spans="1:65">
      <c r="A1588" s="473">
        <v>1532</v>
      </c>
      <c r="B1588" s="132"/>
      <c r="C1588" s="332"/>
      <c r="D1588" s="333"/>
      <c r="E1588" s="333"/>
      <c r="F1588" s="334"/>
      <c r="G1588" s="337"/>
      <c r="H1588" s="131"/>
      <c r="I1588" s="337"/>
      <c r="J1588" s="131"/>
      <c r="K1588" s="458" t="str">
        <f t="shared" si="910"/>
        <v/>
      </c>
      <c r="L1588" s="458">
        <f t="shared" si="911"/>
        <v>0</v>
      </c>
      <c r="M1588" s="458">
        <f t="shared" si="912"/>
        <v>0</v>
      </c>
      <c r="N1588" s="459" t="str">
        <f t="shared" si="885"/>
        <v/>
      </c>
      <c r="O1588" s="459" t="str">
        <f t="shared" si="886"/>
        <v/>
      </c>
      <c r="P1588" s="459" t="str">
        <f t="shared" si="887"/>
        <v/>
      </c>
      <c r="Q1588" s="459" t="str">
        <f t="shared" si="888"/>
        <v/>
      </c>
      <c r="R1588" s="459" t="str">
        <f t="shared" si="889"/>
        <v/>
      </c>
      <c r="S1588" s="459" t="str">
        <f t="shared" si="890"/>
        <v/>
      </c>
      <c r="T1588" s="566" t="str">
        <f t="shared" si="913"/>
        <v/>
      </c>
      <c r="U1588" s="702"/>
      <c r="V1588" s="132"/>
      <c r="W1588" s="133"/>
      <c r="X1588" s="134"/>
      <c r="Y1588" s="135"/>
      <c r="Z1588" s="137"/>
      <c r="AA1588" s="136"/>
      <c r="AB1588" s="566" t="str">
        <f t="shared" si="914"/>
        <v/>
      </c>
      <c r="AC1588" s="568" t="str">
        <f t="shared" si="915"/>
        <v/>
      </c>
      <c r="AD1588" s="137"/>
      <c r="AE1588" s="137"/>
      <c r="AF1588" s="138"/>
      <c r="AG1588" s="138"/>
      <c r="AH1588" s="592" t="str">
        <f t="shared" si="916"/>
        <v/>
      </c>
      <c r="AI1588" s="592" t="str">
        <f t="shared" si="917"/>
        <v/>
      </c>
      <c r="AJ1588" s="592" t="str">
        <f t="shared" si="918"/>
        <v/>
      </c>
      <c r="AK1588" s="460" t="str">
        <f>IF(AU1588="","",IF(OR(AZ1588=8,AZ1588=9),0,IF(OR(AW1588=3,AW1588=4,AW1588=5,AW1588=6),IF(LEFT(BF1588,1)="1",INDEX(係数_NOX・PM低減,MATCH(AY1588,【参考】排出係数!$AI$801:$AI$804,1),1),VLOOKUP(AU1588,INDEX((係数_バス貨物_ガソリン,係数_バス貨物_CNG,係数_バス貨物_軽油,係数_バス貨物_メタノール,係数_バス貨物_LPG),MATCH(AY1588,【参考】排出係数!$AI$4:$AI$671,1),1,BE1588):INDEX((係数_バス貨物_ガソリン,係数_バス貨物_CNG,係数_バス貨物_軽油,係数_バス貨物_メタノール,係数_バス貨物_LPG),MATCH(AY1588+1,【参考】排出係数!$AI$4:$AI$671,1)-1,5,BE1588),4,FALSE)),IF(AND(BE1588=3,LEFT(BF1588,1)="1"),0.48,VLOOKUP(AU1588,INDEX((係数_乗用_ガソリン,係数_乗用_CNG,係数_乗用_軽油,係数_乗用_メタノール,係数_乗用_LPG),1,1,BE1588):INDEX((係数_乗用_ガソリン,係数_乗用_CNG,係数_乗用_軽油,係数_乗用_メタノール,係数_乗用_LPG),125,5,BE1588),4,FALSE)))))</f>
        <v/>
      </c>
      <c r="AL1588" s="461" t="str">
        <f t="shared" si="919"/>
        <v/>
      </c>
      <c r="AM1588" s="460" t="str">
        <f>IF(AU1588="","",IF(OR(AZ1588=8,AZ1588=9),0,IF(OR(AW1588=3,AW1588=4,AW1588=5,AW1588=6),IF(LEFT(BH1588,1)="1",INDEX(係数_PM低減,MATCH(AY1588,【参考】排出係数!$AI$801:$AI$804,1),MATCH(BI1588,【参考】排出係数!$AL$798:$AO$798,1)),VLOOKUP(AU1588,INDEX((係数_バス貨物_ガソリン,係数_バス貨物_CNG,係数_バス貨物_軽油,係数_バス貨物_メタノール,係数_バス貨物_LPG),MATCH(AY1588,【参考】排出係数!$AI$4:$AI$671,1),1,BE1588):INDEX((係数_バス貨物_ガソリン,係数_バス貨物_CNG,係数_バス貨物_軽油,係数_バス貨物_メタノール,係数_バス貨物_LPG),MATCH(AY1588+1,【参考】排出係数!$AI$4:$AI$671,1)-1,5,BE1588),5,FALSE)),IF(AND(BE1588=3,LEFT(BF1588,1)="1"),0.055,VLOOKUP(AU1588,INDEX((係数_乗用_ガソリン,係数_乗用_CNG,係数_乗用_軽油,係数_乗用_メタノール,係数_乗用_LPG),1,1,BE1588):INDEX((係数_乗用_ガソリン,係数_乗用_CNG,係数_乗用_軽油,係数_乗用_メタノール,係数_乗用_LPG),125,5,BE1588),5,FALSE)))))</f>
        <v/>
      </c>
      <c r="AN1588" s="461" t="str">
        <f t="shared" si="920"/>
        <v/>
      </c>
      <c r="AO1588" s="462" t="str">
        <f t="shared" si="921"/>
        <v/>
      </c>
      <c r="AP1588" s="463" t="str">
        <f t="shared" si="922"/>
        <v/>
      </c>
      <c r="AQ1588" s="464"/>
      <c r="AR1588" s="619"/>
      <c r="AS1588" s="465" t="str">
        <f t="shared" si="892"/>
        <v/>
      </c>
      <c r="AT1588" s="465" t="str">
        <f t="shared" si="893"/>
        <v/>
      </c>
      <c r="AU1588" s="466" t="str">
        <f t="shared" si="894"/>
        <v/>
      </c>
      <c r="AV1588" s="467" t="str">
        <f t="shared" si="895"/>
        <v/>
      </c>
      <c r="AW1588" s="467" t="str">
        <f t="shared" si="896"/>
        <v/>
      </c>
      <c r="AX1588" s="467" t="str">
        <f t="shared" si="897"/>
        <v/>
      </c>
      <c r="AY1588" s="467" t="str">
        <f t="shared" si="898"/>
        <v/>
      </c>
      <c r="AZ1588" s="467" t="str">
        <f t="shared" si="899"/>
        <v/>
      </c>
      <c r="BA1588" s="468" t="str">
        <f>IF(AS1588="","",IF(OR(AU1588="",AU1588="-"),"－",IF(OR(AZ1588=8,AZ1588=9),"",IF(OR(AW1588=3,AW1588=4,AW1588=5,AW1588=6),VLOOKUP(AU1588,INDEX((係数_バス貨物_ガソリン,係数_バス貨物_CNG,係数_バス貨物_軽油,係数_バス貨物_メタノール,係数_バス貨物_LPG),MATCH(AY1588,【参考】排出係数!$AI$4:$AI$671,1),1,BE1588):INDEX((係数_バス貨物_ガソリン,係数_バス貨物_CNG,係数_バス貨物_軽油,係数_バス貨物_メタノール,係数_バス貨物_LPG),MATCH(AY1588+1,【参考】排出係数!$AI$4:$AI$671,1)-1,5,BE1588),2,FALSE),IF(OR(AW1588=1,AW1588=2),VLOOKUP(AU1588,INDEX((係数_乗用_ガソリン,係数_乗用_CNG,係数_乗用_軽油,係数_乗用_メタノール,係数_乗用_LPG),1,1,BE1588):INDEX((係数_乗用_ガソリン,係数_乗用_CNG,係数_乗用_軽油,係数_乗用_メタノール,係数_乗用_LPG),125,5,BE1588),2,FALSE))))))</f>
        <v/>
      </c>
      <c r="BB1588" s="468" t="str">
        <f>IF(T1588="","",IF(OR(AU1588="",AU1588="-"),"－",IF(OR(AZ1588=8,AZ1588=9),"",IF(OR(AW1588=3,AW1588=4,AW1588=5,AW1588=6),VLOOKUP(AU1588,INDEX((係数_バス貨物_ガソリン,係数_バス貨物_CNG,係数_バス貨物_軽油,係数_バス貨物_メタノール,係数_バス貨物_LPG),MATCH(AY1588,【参考】排出係数!$AI$4:$AI$671,1),1,BE1588):INDEX((係数_バス貨物_ガソリン,係数_バス貨物_CNG,係数_バス貨物_軽油,係数_バス貨物_メタノール,係数_バス貨物_LPG),MATCH(AY1588+1,【参考】排出係数!$AI$4:$AI$671,1)-1,5,BE1588),3,FALSE),IF(OR(AW1588=1,AW1588=2),VLOOKUP(AU1588,INDEX((係数_乗用_ガソリン,係数_乗用_CNG,係数_乗用_軽油,係数_乗用_メタノール,係数_乗用_LPG),1,1,BE1588):INDEX((係数_乗用_ガソリン,係数_乗用_CNG,係数_乗用_軽油,係数_乗用_メタノール,係数_乗用_LPG),125,5,BE1588),3,FALSE))))))</f>
        <v/>
      </c>
      <c r="BC1588" s="467" t="str">
        <f t="shared" si="900"/>
        <v/>
      </c>
      <c r="BD1588" s="567" t="str">
        <f t="shared" si="901"/>
        <v/>
      </c>
      <c r="BE1588" s="467" t="str">
        <f t="shared" si="902"/>
        <v/>
      </c>
      <c r="BF1588" s="469" t="str">
        <f t="shared" ca="1" si="903"/>
        <v/>
      </c>
      <c r="BG1588" s="469" t="str">
        <f t="shared" ca="1" si="904"/>
        <v/>
      </c>
      <c r="BH1588" s="467" t="str">
        <f t="shared" si="905"/>
        <v/>
      </c>
      <c r="BI1588" s="467" t="str">
        <f t="shared" ca="1" si="906"/>
        <v/>
      </c>
      <c r="BJ1588" s="469" t="str">
        <f t="shared" si="907"/>
        <v/>
      </c>
      <c r="BK1588" s="470" t="str">
        <f t="shared" si="891"/>
        <v/>
      </c>
      <c r="BL1588" s="775" t="str">
        <f t="shared" si="908"/>
        <v/>
      </c>
      <c r="BM1588" s="775" t="str">
        <f t="shared" si="909"/>
        <v/>
      </c>
    </row>
    <row r="1589" spans="1:65">
      <c r="A1589" s="473">
        <v>1533</v>
      </c>
      <c r="B1589" s="132"/>
      <c r="C1589" s="332"/>
      <c r="D1589" s="333"/>
      <c r="E1589" s="333"/>
      <c r="F1589" s="334"/>
      <c r="G1589" s="337"/>
      <c r="H1589" s="131"/>
      <c r="I1589" s="337"/>
      <c r="J1589" s="131"/>
      <c r="K1589" s="458" t="str">
        <f t="shared" si="910"/>
        <v/>
      </c>
      <c r="L1589" s="458">
        <f t="shared" si="911"/>
        <v>0</v>
      </c>
      <c r="M1589" s="458">
        <f t="shared" si="912"/>
        <v>0</v>
      </c>
      <c r="N1589" s="459" t="str">
        <f t="shared" si="885"/>
        <v/>
      </c>
      <c r="O1589" s="459" t="str">
        <f t="shared" si="886"/>
        <v/>
      </c>
      <c r="P1589" s="459" t="str">
        <f t="shared" si="887"/>
        <v/>
      </c>
      <c r="Q1589" s="459" t="str">
        <f t="shared" si="888"/>
        <v/>
      </c>
      <c r="R1589" s="459" t="str">
        <f t="shared" si="889"/>
        <v/>
      </c>
      <c r="S1589" s="459" t="str">
        <f t="shared" si="890"/>
        <v/>
      </c>
      <c r="T1589" s="566" t="str">
        <f t="shared" si="913"/>
        <v/>
      </c>
      <c r="U1589" s="702"/>
      <c r="V1589" s="132"/>
      <c r="W1589" s="133"/>
      <c r="X1589" s="134"/>
      <c r="Y1589" s="135"/>
      <c r="Z1589" s="137"/>
      <c r="AA1589" s="136"/>
      <c r="AB1589" s="566" t="str">
        <f t="shared" si="914"/>
        <v/>
      </c>
      <c r="AC1589" s="568" t="str">
        <f t="shared" si="915"/>
        <v/>
      </c>
      <c r="AD1589" s="137"/>
      <c r="AE1589" s="137"/>
      <c r="AF1589" s="138"/>
      <c r="AG1589" s="138"/>
      <c r="AH1589" s="592" t="str">
        <f t="shared" si="916"/>
        <v/>
      </c>
      <c r="AI1589" s="592" t="str">
        <f t="shared" si="917"/>
        <v/>
      </c>
      <c r="AJ1589" s="592" t="str">
        <f t="shared" si="918"/>
        <v/>
      </c>
      <c r="AK1589" s="460" t="str">
        <f>IF(AU1589="","",IF(OR(AZ1589=8,AZ1589=9),0,IF(OR(AW1589=3,AW1589=4,AW1589=5,AW1589=6),IF(LEFT(BF1589,1)="1",INDEX(係数_NOX・PM低減,MATCH(AY1589,【参考】排出係数!$AI$801:$AI$804,1),1),VLOOKUP(AU1589,INDEX((係数_バス貨物_ガソリン,係数_バス貨物_CNG,係数_バス貨物_軽油,係数_バス貨物_メタノール,係数_バス貨物_LPG),MATCH(AY1589,【参考】排出係数!$AI$4:$AI$671,1),1,BE1589):INDEX((係数_バス貨物_ガソリン,係数_バス貨物_CNG,係数_バス貨物_軽油,係数_バス貨物_メタノール,係数_バス貨物_LPG),MATCH(AY1589+1,【参考】排出係数!$AI$4:$AI$671,1)-1,5,BE1589),4,FALSE)),IF(AND(BE1589=3,LEFT(BF1589,1)="1"),0.48,VLOOKUP(AU1589,INDEX((係数_乗用_ガソリン,係数_乗用_CNG,係数_乗用_軽油,係数_乗用_メタノール,係数_乗用_LPG),1,1,BE1589):INDEX((係数_乗用_ガソリン,係数_乗用_CNG,係数_乗用_軽油,係数_乗用_メタノール,係数_乗用_LPG),125,5,BE1589),4,FALSE)))))</f>
        <v/>
      </c>
      <c r="AL1589" s="461" t="str">
        <f t="shared" si="919"/>
        <v/>
      </c>
      <c r="AM1589" s="460" t="str">
        <f>IF(AU1589="","",IF(OR(AZ1589=8,AZ1589=9),0,IF(OR(AW1589=3,AW1589=4,AW1589=5,AW1589=6),IF(LEFT(BH1589,1)="1",INDEX(係数_PM低減,MATCH(AY1589,【参考】排出係数!$AI$801:$AI$804,1),MATCH(BI1589,【参考】排出係数!$AL$798:$AO$798,1)),VLOOKUP(AU1589,INDEX((係数_バス貨物_ガソリン,係数_バス貨物_CNG,係数_バス貨物_軽油,係数_バス貨物_メタノール,係数_バス貨物_LPG),MATCH(AY1589,【参考】排出係数!$AI$4:$AI$671,1),1,BE1589):INDEX((係数_バス貨物_ガソリン,係数_バス貨物_CNG,係数_バス貨物_軽油,係数_バス貨物_メタノール,係数_バス貨物_LPG),MATCH(AY1589+1,【参考】排出係数!$AI$4:$AI$671,1)-1,5,BE1589),5,FALSE)),IF(AND(BE1589=3,LEFT(BF1589,1)="1"),0.055,VLOOKUP(AU1589,INDEX((係数_乗用_ガソリン,係数_乗用_CNG,係数_乗用_軽油,係数_乗用_メタノール,係数_乗用_LPG),1,1,BE1589):INDEX((係数_乗用_ガソリン,係数_乗用_CNG,係数_乗用_軽油,係数_乗用_メタノール,係数_乗用_LPG),125,5,BE1589),5,FALSE)))))</f>
        <v/>
      </c>
      <c r="AN1589" s="461" t="str">
        <f t="shared" si="920"/>
        <v/>
      </c>
      <c r="AO1589" s="462" t="str">
        <f t="shared" si="921"/>
        <v/>
      </c>
      <c r="AP1589" s="463" t="str">
        <f t="shared" si="922"/>
        <v/>
      </c>
      <c r="AQ1589" s="464"/>
      <c r="AR1589" s="619"/>
      <c r="AS1589" s="465" t="str">
        <f t="shared" si="892"/>
        <v/>
      </c>
      <c r="AT1589" s="465" t="str">
        <f t="shared" si="893"/>
        <v/>
      </c>
      <c r="AU1589" s="466" t="str">
        <f t="shared" si="894"/>
        <v/>
      </c>
      <c r="AV1589" s="467" t="str">
        <f t="shared" si="895"/>
        <v/>
      </c>
      <c r="AW1589" s="467" t="str">
        <f t="shared" si="896"/>
        <v/>
      </c>
      <c r="AX1589" s="467" t="str">
        <f t="shared" si="897"/>
        <v/>
      </c>
      <c r="AY1589" s="467" t="str">
        <f t="shared" si="898"/>
        <v/>
      </c>
      <c r="AZ1589" s="467" t="str">
        <f t="shared" si="899"/>
        <v/>
      </c>
      <c r="BA1589" s="468" t="str">
        <f>IF(AS1589="","",IF(OR(AU1589="",AU1589="-"),"－",IF(OR(AZ1589=8,AZ1589=9),"",IF(OR(AW1589=3,AW1589=4,AW1589=5,AW1589=6),VLOOKUP(AU1589,INDEX((係数_バス貨物_ガソリン,係数_バス貨物_CNG,係数_バス貨物_軽油,係数_バス貨物_メタノール,係数_バス貨物_LPG),MATCH(AY1589,【参考】排出係数!$AI$4:$AI$671,1),1,BE1589):INDEX((係数_バス貨物_ガソリン,係数_バス貨物_CNG,係数_バス貨物_軽油,係数_バス貨物_メタノール,係数_バス貨物_LPG),MATCH(AY1589+1,【参考】排出係数!$AI$4:$AI$671,1)-1,5,BE1589),2,FALSE),IF(OR(AW1589=1,AW1589=2),VLOOKUP(AU1589,INDEX((係数_乗用_ガソリン,係数_乗用_CNG,係数_乗用_軽油,係数_乗用_メタノール,係数_乗用_LPG),1,1,BE1589):INDEX((係数_乗用_ガソリン,係数_乗用_CNG,係数_乗用_軽油,係数_乗用_メタノール,係数_乗用_LPG),125,5,BE1589),2,FALSE))))))</f>
        <v/>
      </c>
      <c r="BB1589" s="468" t="str">
        <f>IF(T1589="","",IF(OR(AU1589="",AU1589="-"),"－",IF(OR(AZ1589=8,AZ1589=9),"",IF(OR(AW1589=3,AW1589=4,AW1589=5,AW1589=6),VLOOKUP(AU1589,INDEX((係数_バス貨物_ガソリン,係数_バス貨物_CNG,係数_バス貨物_軽油,係数_バス貨物_メタノール,係数_バス貨物_LPG),MATCH(AY1589,【参考】排出係数!$AI$4:$AI$671,1),1,BE1589):INDEX((係数_バス貨物_ガソリン,係数_バス貨物_CNG,係数_バス貨物_軽油,係数_バス貨物_メタノール,係数_バス貨物_LPG),MATCH(AY1589+1,【参考】排出係数!$AI$4:$AI$671,1)-1,5,BE1589),3,FALSE),IF(OR(AW1589=1,AW1589=2),VLOOKUP(AU1589,INDEX((係数_乗用_ガソリン,係数_乗用_CNG,係数_乗用_軽油,係数_乗用_メタノール,係数_乗用_LPG),1,1,BE1589):INDEX((係数_乗用_ガソリン,係数_乗用_CNG,係数_乗用_軽油,係数_乗用_メタノール,係数_乗用_LPG),125,5,BE1589),3,FALSE))))))</f>
        <v/>
      </c>
      <c r="BC1589" s="467" t="str">
        <f t="shared" si="900"/>
        <v/>
      </c>
      <c r="BD1589" s="567" t="str">
        <f t="shared" si="901"/>
        <v/>
      </c>
      <c r="BE1589" s="467" t="str">
        <f t="shared" si="902"/>
        <v/>
      </c>
      <c r="BF1589" s="469" t="str">
        <f t="shared" ca="1" si="903"/>
        <v/>
      </c>
      <c r="BG1589" s="469" t="str">
        <f t="shared" ca="1" si="904"/>
        <v/>
      </c>
      <c r="BH1589" s="467" t="str">
        <f t="shared" si="905"/>
        <v/>
      </c>
      <c r="BI1589" s="467" t="str">
        <f t="shared" ca="1" si="906"/>
        <v/>
      </c>
      <c r="BJ1589" s="469" t="str">
        <f t="shared" si="907"/>
        <v/>
      </c>
      <c r="BK1589" s="470" t="str">
        <f t="shared" si="891"/>
        <v/>
      </c>
      <c r="BL1589" s="775" t="str">
        <f t="shared" si="908"/>
        <v/>
      </c>
      <c r="BM1589" s="775" t="str">
        <f t="shared" si="909"/>
        <v/>
      </c>
    </row>
    <row r="1590" spans="1:65">
      <c r="A1590" s="473">
        <v>1534</v>
      </c>
      <c r="B1590" s="132"/>
      <c r="C1590" s="332"/>
      <c r="D1590" s="333"/>
      <c r="E1590" s="333"/>
      <c r="F1590" s="334"/>
      <c r="G1590" s="337"/>
      <c r="H1590" s="131"/>
      <c r="I1590" s="337"/>
      <c r="J1590" s="131"/>
      <c r="K1590" s="458" t="str">
        <f t="shared" si="910"/>
        <v/>
      </c>
      <c r="L1590" s="458">
        <f t="shared" si="911"/>
        <v>0</v>
      </c>
      <c r="M1590" s="458">
        <f t="shared" si="912"/>
        <v>0</v>
      </c>
      <c r="N1590" s="459" t="str">
        <f t="shared" si="885"/>
        <v/>
      </c>
      <c r="O1590" s="459" t="str">
        <f t="shared" si="886"/>
        <v/>
      </c>
      <c r="P1590" s="459" t="str">
        <f t="shared" si="887"/>
        <v/>
      </c>
      <c r="Q1590" s="459" t="str">
        <f t="shared" si="888"/>
        <v/>
      </c>
      <c r="R1590" s="459" t="str">
        <f t="shared" si="889"/>
        <v/>
      </c>
      <c r="S1590" s="459" t="str">
        <f t="shared" si="890"/>
        <v/>
      </c>
      <c r="T1590" s="566" t="str">
        <f t="shared" si="913"/>
        <v/>
      </c>
      <c r="U1590" s="702"/>
      <c r="V1590" s="132"/>
      <c r="W1590" s="133"/>
      <c r="X1590" s="134"/>
      <c r="Y1590" s="135"/>
      <c r="Z1590" s="137"/>
      <c r="AA1590" s="136"/>
      <c r="AB1590" s="566" t="str">
        <f t="shared" si="914"/>
        <v/>
      </c>
      <c r="AC1590" s="568" t="str">
        <f t="shared" si="915"/>
        <v/>
      </c>
      <c r="AD1590" s="137"/>
      <c r="AE1590" s="137"/>
      <c r="AF1590" s="138"/>
      <c r="AG1590" s="138"/>
      <c r="AH1590" s="592" t="str">
        <f t="shared" si="916"/>
        <v/>
      </c>
      <c r="AI1590" s="592" t="str">
        <f t="shared" si="917"/>
        <v/>
      </c>
      <c r="AJ1590" s="592" t="str">
        <f t="shared" si="918"/>
        <v/>
      </c>
      <c r="AK1590" s="460" t="str">
        <f>IF(AU1590="","",IF(OR(AZ1590=8,AZ1590=9),0,IF(OR(AW1590=3,AW1590=4,AW1590=5,AW1590=6),IF(LEFT(BF1590,1)="1",INDEX(係数_NOX・PM低減,MATCH(AY1590,【参考】排出係数!$AI$801:$AI$804,1),1),VLOOKUP(AU1590,INDEX((係数_バス貨物_ガソリン,係数_バス貨物_CNG,係数_バス貨物_軽油,係数_バス貨物_メタノール,係数_バス貨物_LPG),MATCH(AY1590,【参考】排出係数!$AI$4:$AI$671,1),1,BE1590):INDEX((係数_バス貨物_ガソリン,係数_バス貨物_CNG,係数_バス貨物_軽油,係数_バス貨物_メタノール,係数_バス貨物_LPG),MATCH(AY1590+1,【参考】排出係数!$AI$4:$AI$671,1)-1,5,BE1590),4,FALSE)),IF(AND(BE1590=3,LEFT(BF1590,1)="1"),0.48,VLOOKUP(AU1590,INDEX((係数_乗用_ガソリン,係数_乗用_CNG,係数_乗用_軽油,係数_乗用_メタノール,係数_乗用_LPG),1,1,BE1590):INDEX((係数_乗用_ガソリン,係数_乗用_CNG,係数_乗用_軽油,係数_乗用_メタノール,係数_乗用_LPG),125,5,BE1590),4,FALSE)))))</f>
        <v/>
      </c>
      <c r="AL1590" s="461" t="str">
        <f t="shared" si="919"/>
        <v/>
      </c>
      <c r="AM1590" s="460" t="str">
        <f>IF(AU1590="","",IF(OR(AZ1590=8,AZ1590=9),0,IF(OR(AW1590=3,AW1590=4,AW1590=5,AW1590=6),IF(LEFT(BH1590,1)="1",INDEX(係数_PM低減,MATCH(AY1590,【参考】排出係数!$AI$801:$AI$804,1),MATCH(BI1590,【参考】排出係数!$AL$798:$AO$798,1)),VLOOKUP(AU1590,INDEX((係数_バス貨物_ガソリン,係数_バス貨物_CNG,係数_バス貨物_軽油,係数_バス貨物_メタノール,係数_バス貨物_LPG),MATCH(AY1590,【参考】排出係数!$AI$4:$AI$671,1),1,BE1590):INDEX((係数_バス貨物_ガソリン,係数_バス貨物_CNG,係数_バス貨物_軽油,係数_バス貨物_メタノール,係数_バス貨物_LPG),MATCH(AY1590+1,【参考】排出係数!$AI$4:$AI$671,1)-1,5,BE1590),5,FALSE)),IF(AND(BE1590=3,LEFT(BF1590,1)="1"),0.055,VLOOKUP(AU1590,INDEX((係数_乗用_ガソリン,係数_乗用_CNG,係数_乗用_軽油,係数_乗用_メタノール,係数_乗用_LPG),1,1,BE1590):INDEX((係数_乗用_ガソリン,係数_乗用_CNG,係数_乗用_軽油,係数_乗用_メタノール,係数_乗用_LPG),125,5,BE1590),5,FALSE)))))</f>
        <v/>
      </c>
      <c r="AN1590" s="461" t="str">
        <f t="shared" si="920"/>
        <v/>
      </c>
      <c r="AO1590" s="462" t="str">
        <f t="shared" si="921"/>
        <v/>
      </c>
      <c r="AP1590" s="463" t="str">
        <f t="shared" si="922"/>
        <v/>
      </c>
      <c r="AQ1590" s="464"/>
      <c r="AR1590" s="619"/>
      <c r="AS1590" s="465" t="str">
        <f t="shared" si="892"/>
        <v/>
      </c>
      <c r="AT1590" s="465" t="str">
        <f t="shared" si="893"/>
        <v/>
      </c>
      <c r="AU1590" s="466" t="str">
        <f t="shared" si="894"/>
        <v/>
      </c>
      <c r="AV1590" s="467" t="str">
        <f t="shared" si="895"/>
        <v/>
      </c>
      <c r="AW1590" s="467" t="str">
        <f t="shared" si="896"/>
        <v/>
      </c>
      <c r="AX1590" s="467" t="str">
        <f t="shared" si="897"/>
        <v/>
      </c>
      <c r="AY1590" s="467" t="str">
        <f t="shared" si="898"/>
        <v/>
      </c>
      <c r="AZ1590" s="467" t="str">
        <f t="shared" si="899"/>
        <v/>
      </c>
      <c r="BA1590" s="468" t="str">
        <f>IF(AS1590="","",IF(OR(AU1590="",AU1590="-"),"－",IF(OR(AZ1590=8,AZ1590=9),"",IF(OR(AW1590=3,AW1590=4,AW1590=5,AW1590=6),VLOOKUP(AU1590,INDEX((係数_バス貨物_ガソリン,係数_バス貨物_CNG,係数_バス貨物_軽油,係数_バス貨物_メタノール,係数_バス貨物_LPG),MATCH(AY1590,【参考】排出係数!$AI$4:$AI$671,1),1,BE1590):INDEX((係数_バス貨物_ガソリン,係数_バス貨物_CNG,係数_バス貨物_軽油,係数_バス貨物_メタノール,係数_バス貨物_LPG),MATCH(AY1590+1,【参考】排出係数!$AI$4:$AI$671,1)-1,5,BE1590),2,FALSE),IF(OR(AW1590=1,AW1590=2),VLOOKUP(AU1590,INDEX((係数_乗用_ガソリン,係数_乗用_CNG,係数_乗用_軽油,係数_乗用_メタノール,係数_乗用_LPG),1,1,BE1590):INDEX((係数_乗用_ガソリン,係数_乗用_CNG,係数_乗用_軽油,係数_乗用_メタノール,係数_乗用_LPG),125,5,BE1590),2,FALSE))))))</f>
        <v/>
      </c>
      <c r="BB1590" s="468" t="str">
        <f>IF(T1590="","",IF(OR(AU1590="",AU1590="-"),"－",IF(OR(AZ1590=8,AZ1590=9),"",IF(OR(AW1590=3,AW1590=4,AW1590=5,AW1590=6),VLOOKUP(AU1590,INDEX((係数_バス貨物_ガソリン,係数_バス貨物_CNG,係数_バス貨物_軽油,係数_バス貨物_メタノール,係数_バス貨物_LPG),MATCH(AY1590,【参考】排出係数!$AI$4:$AI$671,1),1,BE1590):INDEX((係数_バス貨物_ガソリン,係数_バス貨物_CNG,係数_バス貨物_軽油,係数_バス貨物_メタノール,係数_バス貨物_LPG),MATCH(AY1590+1,【参考】排出係数!$AI$4:$AI$671,1)-1,5,BE1590),3,FALSE),IF(OR(AW1590=1,AW1590=2),VLOOKUP(AU1590,INDEX((係数_乗用_ガソリン,係数_乗用_CNG,係数_乗用_軽油,係数_乗用_メタノール,係数_乗用_LPG),1,1,BE1590):INDEX((係数_乗用_ガソリン,係数_乗用_CNG,係数_乗用_軽油,係数_乗用_メタノール,係数_乗用_LPG),125,5,BE1590),3,FALSE))))))</f>
        <v/>
      </c>
      <c r="BC1590" s="467" t="str">
        <f t="shared" si="900"/>
        <v/>
      </c>
      <c r="BD1590" s="567" t="str">
        <f t="shared" si="901"/>
        <v/>
      </c>
      <c r="BE1590" s="467" t="str">
        <f t="shared" si="902"/>
        <v/>
      </c>
      <c r="BF1590" s="469" t="str">
        <f t="shared" ca="1" si="903"/>
        <v/>
      </c>
      <c r="BG1590" s="469" t="str">
        <f t="shared" ca="1" si="904"/>
        <v/>
      </c>
      <c r="BH1590" s="467" t="str">
        <f t="shared" si="905"/>
        <v/>
      </c>
      <c r="BI1590" s="467" t="str">
        <f t="shared" ca="1" si="906"/>
        <v/>
      </c>
      <c r="BJ1590" s="469" t="str">
        <f t="shared" si="907"/>
        <v/>
      </c>
      <c r="BK1590" s="470" t="str">
        <f t="shared" si="891"/>
        <v/>
      </c>
      <c r="BL1590" s="775" t="str">
        <f t="shared" si="908"/>
        <v/>
      </c>
      <c r="BM1590" s="775" t="str">
        <f t="shared" si="909"/>
        <v/>
      </c>
    </row>
    <row r="1591" spans="1:65">
      <c r="A1591" s="473">
        <v>1535</v>
      </c>
      <c r="B1591" s="132"/>
      <c r="C1591" s="332"/>
      <c r="D1591" s="333"/>
      <c r="E1591" s="333"/>
      <c r="F1591" s="334"/>
      <c r="G1591" s="337"/>
      <c r="H1591" s="131"/>
      <c r="I1591" s="337"/>
      <c r="J1591" s="131"/>
      <c r="K1591" s="458" t="str">
        <f t="shared" si="910"/>
        <v/>
      </c>
      <c r="L1591" s="458">
        <f t="shared" si="911"/>
        <v>0</v>
      </c>
      <c r="M1591" s="458">
        <f t="shared" si="912"/>
        <v>0</v>
      </c>
      <c r="N1591" s="459" t="str">
        <f t="shared" ref="N1591:N1654" si="923">IF(OR($L1591&gt;$U$48,$M1591&gt;$U$48,AND($L1591&gt;$M1591,$M1591&lt;&gt;0),AND($L1591=0,$M1591&lt;&gt;0)),"ERROR","")</f>
        <v/>
      </c>
      <c r="O1591" s="459" t="str">
        <f t="shared" ref="O1591:O1654" si="924">IF(AND($N1591&lt;&gt;"ERROR",$L1591&lt;=$U$49,$M1591&lt;=$U$49,$M1591&lt;&gt;0),"(減車済)","")</f>
        <v/>
      </c>
      <c r="P1591" s="459" t="str">
        <f t="shared" ref="P1591:P1654" si="925">IF(AND($N1591&lt;&gt;"ERROR",$L1591&lt;$U$49,AND($M1591&gt;$U$49,$M1591&lt;=$W$49),$M1591&lt;&gt;0),"減車","")</f>
        <v/>
      </c>
      <c r="Q1591" s="459" t="str">
        <f t="shared" ref="Q1591:Q1654" si="926">IF(AND($N1591&lt;&gt;"ERROR",$L1591&gt;$U$49,$M1591&lt;=$W$49,$M1591&lt;&gt;0),"一時使用","")</f>
        <v/>
      </c>
      <c r="R1591" s="459" t="str">
        <f t="shared" ref="R1591:R1654" si="927">IF(AND($N1591&lt;&gt;"ERROR",AND($L1591&gt;0,$L1591&lt;=$U$49),$M1591=0),"継続","")</f>
        <v/>
      </c>
      <c r="S1591" s="459" t="str">
        <f t="shared" ref="S1591:S1654" si="928">IF(AND($N1591&lt;&gt;"ERROR",AND($L1591&gt;$U$49),$M1591=0),"新規","")</f>
        <v/>
      </c>
      <c r="T1591" s="566" t="str">
        <f t="shared" si="913"/>
        <v/>
      </c>
      <c r="U1591" s="702"/>
      <c r="V1591" s="132"/>
      <c r="W1591" s="133"/>
      <c r="X1591" s="134"/>
      <c r="Y1591" s="135"/>
      <c r="Z1591" s="137"/>
      <c r="AA1591" s="136"/>
      <c r="AB1591" s="566" t="str">
        <f t="shared" si="914"/>
        <v/>
      </c>
      <c r="AC1591" s="568" t="str">
        <f t="shared" si="915"/>
        <v/>
      </c>
      <c r="AD1591" s="137"/>
      <c r="AE1591" s="137"/>
      <c r="AF1591" s="138"/>
      <c r="AG1591" s="138"/>
      <c r="AH1591" s="592" t="str">
        <f t="shared" si="916"/>
        <v/>
      </c>
      <c r="AI1591" s="592" t="str">
        <f t="shared" si="917"/>
        <v/>
      </c>
      <c r="AJ1591" s="592" t="str">
        <f t="shared" si="918"/>
        <v/>
      </c>
      <c r="AK1591" s="460" t="str">
        <f>IF(AU1591="","",IF(OR(AZ1591=8,AZ1591=9),0,IF(OR(AW1591=3,AW1591=4,AW1591=5,AW1591=6),IF(LEFT(BF1591,1)="1",INDEX(係数_NOX・PM低減,MATCH(AY1591,【参考】排出係数!$AI$801:$AI$804,1),1),VLOOKUP(AU1591,INDEX((係数_バス貨物_ガソリン,係数_バス貨物_CNG,係数_バス貨物_軽油,係数_バス貨物_メタノール,係数_バス貨物_LPG),MATCH(AY1591,【参考】排出係数!$AI$4:$AI$671,1),1,BE1591):INDEX((係数_バス貨物_ガソリン,係数_バス貨物_CNG,係数_バス貨物_軽油,係数_バス貨物_メタノール,係数_バス貨物_LPG),MATCH(AY1591+1,【参考】排出係数!$AI$4:$AI$671,1)-1,5,BE1591),4,FALSE)),IF(AND(BE1591=3,LEFT(BF1591,1)="1"),0.48,VLOOKUP(AU1591,INDEX((係数_乗用_ガソリン,係数_乗用_CNG,係数_乗用_軽油,係数_乗用_メタノール,係数_乗用_LPG),1,1,BE1591):INDEX((係数_乗用_ガソリン,係数_乗用_CNG,係数_乗用_軽油,係数_乗用_メタノール,係数_乗用_LPG),125,5,BE1591),4,FALSE)))))</f>
        <v/>
      </c>
      <c r="AL1591" s="461" t="str">
        <f t="shared" si="919"/>
        <v/>
      </c>
      <c r="AM1591" s="460" t="str">
        <f>IF(AU1591="","",IF(OR(AZ1591=8,AZ1591=9),0,IF(OR(AW1591=3,AW1591=4,AW1591=5,AW1591=6),IF(LEFT(BH1591,1)="1",INDEX(係数_PM低減,MATCH(AY1591,【参考】排出係数!$AI$801:$AI$804,1),MATCH(BI1591,【参考】排出係数!$AL$798:$AO$798,1)),VLOOKUP(AU1591,INDEX((係数_バス貨物_ガソリン,係数_バス貨物_CNG,係数_バス貨物_軽油,係数_バス貨物_メタノール,係数_バス貨物_LPG),MATCH(AY1591,【参考】排出係数!$AI$4:$AI$671,1),1,BE1591):INDEX((係数_バス貨物_ガソリン,係数_バス貨物_CNG,係数_バス貨物_軽油,係数_バス貨物_メタノール,係数_バス貨物_LPG),MATCH(AY1591+1,【参考】排出係数!$AI$4:$AI$671,1)-1,5,BE1591),5,FALSE)),IF(AND(BE1591=3,LEFT(BF1591,1)="1"),0.055,VLOOKUP(AU1591,INDEX((係数_乗用_ガソリン,係数_乗用_CNG,係数_乗用_軽油,係数_乗用_メタノール,係数_乗用_LPG),1,1,BE1591):INDEX((係数_乗用_ガソリン,係数_乗用_CNG,係数_乗用_軽油,係数_乗用_メタノール,係数_乗用_LPG),125,5,BE1591),5,FALSE)))))</f>
        <v/>
      </c>
      <c r="AN1591" s="461" t="str">
        <f t="shared" si="920"/>
        <v/>
      </c>
      <c r="AO1591" s="462" t="str">
        <f t="shared" si="921"/>
        <v/>
      </c>
      <c r="AP1591" s="463" t="str">
        <f t="shared" si="922"/>
        <v/>
      </c>
      <c r="AQ1591" s="464"/>
      <c r="AR1591" s="619"/>
      <c r="AS1591" s="465" t="str">
        <f t="shared" si="892"/>
        <v/>
      </c>
      <c r="AT1591" s="465" t="str">
        <f t="shared" si="893"/>
        <v/>
      </c>
      <c r="AU1591" s="466" t="str">
        <f t="shared" si="894"/>
        <v/>
      </c>
      <c r="AV1591" s="467" t="str">
        <f t="shared" si="895"/>
        <v/>
      </c>
      <c r="AW1591" s="467" t="str">
        <f t="shared" si="896"/>
        <v/>
      </c>
      <c r="AX1591" s="467" t="str">
        <f t="shared" si="897"/>
        <v/>
      </c>
      <c r="AY1591" s="467" t="str">
        <f t="shared" si="898"/>
        <v/>
      </c>
      <c r="AZ1591" s="467" t="str">
        <f t="shared" si="899"/>
        <v/>
      </c>
      <c r="BA1591" s="468" t="str">
        <f>IF(AS1591="","",IF(OR(AU1591="",AU1591="-"),"－",IF(OR(AZ1591=8,AZ1591=9),"",IF(OR(AW1591=3,AW1591=4,AW1591=5,AW1591=6),VLOOKUP(AU1591,INDEX((係数_バス貨物_ガソリン,係数_バス貨物_CNG,係数_バス貨物_軽油,係数_バス貨物_メタノール,係数_バス貨物_LPG),MATCH(AY1591,【参考】排出係数!$AI$4:$AI$671,1),1,BE1591):INDEX((係数_バス貨物_ガソリン,係数_バス貨物_CNG,係数_バス貨物_軽油,係数_バス貨物_メタノール,係数_バス貨物_LPG),MATCH(AY1591+1,【参考】排出係数!$AI$4:$AI$671,1)-1,5,BE1591),2,FALSE),IF(OR(AW1591=1,AW1591=2),VLOOKUP(AU1591,INDEX((係数_乗用_ガソリン,係数_乗用_CNG,係数_乗用_軽油,係数_乗用_メタノール,係数_乗用_LPG),1,1,BE1591):INDEX((係数_乗用_ガソリン,係数_乗用_CNG,係数_乗用_軽油,係数_乗用_メタノール,係数_乗用_LPG),125,5,BE1591),2,FALSE))))))</f>
        <v/>
      </c>
      <c r="BB1591" s="468" t="str">
        <f>IF(T1591="","",IF(OR(AU1591="",AU1591="-"),"－",IF(OR(AZ1591=8,AZ1591=9),"",IF(OR(AW1591=3,AW1591=4,AW1591=5,AW1591=6),VLOOKUP(AU1591,INDEX((係数_バス貨物_ガソリン,係数_バス貨物_CNG,係数_バス貨物_軽油,係数_バス貨物_メタノール,係数_バス貨物_LPG),MATCH(AY1591,【参考】排出係数!$AI$4:$AI$671,1),1,BE1591):INDEX((係数_バス貨物_ガソリン,係数_バス貨物_CNG,係数_バス貨物_軽油,係数_バス貨物_メタノール,係数_バス貨物_LPG),MATCH(AY1591+1,【参考】排出係数!$AI$4:$AI$671,1)-1,5,BE1591),3,FALSE),IF(OR(AW1591=1,AW1591=2),VLOOKUP(AU1591,INDEX((係数_乗用_ガソリン,係数_乗用_CNG,係数_乗用_軽油,係数_乗用_メタノール,係数_乗用_LPG),1,1,BE1591):INDEX((係数_乗用_ガソリン,係数_乗用_CNG,係数_乗用_軽油,係数_乗用_メタノール,係数_乗用_LPG),125,5,BE1591),3,FALSE))))))</f>
        <v/>
      </c>
      <c r="BC1591" s="467" t="str">
        <f t="shared" si="900"/>
        <v/>
      </c>
      <c r="BD1591" s="567" t="str">
        <f t="shared" si="901"/>
        <v/>
      </c>
      <c r="BE1591" s="467" t="str">
        <f t="shared" si="902"/>
        <v/>
      </c>
      <c r="BF1591" s="469" t="str">
        <f t="shared" ca="1" si="903"/>
        <v/>
      </c>
      <c r="BG1591" s="469" t="str">
        <f t="shared" ca="1" si="904"/>
        <v/>
      </c>
      <c r="BH1591" s="467" t="str">
        <f t="shared" si="905"/>
        <v/>
      </c>
      <c r="BI1591" s="467" t="str">
        <f t="shared" ca="1" si="906"/>
        <v/>
      </c>
      <c r="BJ1591" s="469" t="str">
        <f t="shared" si="907"/>
        <v/>
      </c>
      <c r="BK1591" s="470" t="str">
        <f t="shared" si="891"/>
        <v/>
      </c>
      <c r="BL1591" s="775" t="str">
        <f t="shared" si="908"/>
        <v/>
      </c>
      <c r="BM1591" s="775" t="str">
        <f t="shared" si="909"/>
        <v/>
      </c>
    </row>
    <row r="1592" spans="1:65">
      <c r="A1592" s="473">
        <v>1536</v>
      </c>
      <c r="B1592" s="132"/>
      <c r="C1592" s="332"/>
      <c r="D1592" s="333"/>
      <c r="E1592" s="333"/>
      <c r="F1592" s="334"/>
      <c r="G1592" s="337"/>
      <c r="H1592" s="131"/>
      <c r="I1592" s="337"/>
      <c r="J1592" s="131"/>
      <c r="K1592" s="458" t="str">
        <f t="shared" si="910"/>
        <v/>
      </c>
      <c r="L1592" s="458">
        <f t="shared" si="911"/>
        <v>0</v>
      </c>
      <c r="M1592" s="458">
        <f t="shared" si="912"/>
        <v>0</v>
      </c>
      <c r="N1592" s="459" t="str">
        <f t="shared" si="923"/>
        <v/>
      </c>
      <c r="O1592" s="459" t="str">
        <f t="shared" si="924"/>
        <v/>
      </c>
      <c r="P1592" s="459" t="str">
        <f t="shared" si="925"/>
        <v/>
      </c>
      <c r="Q1592" s="459" t="str">
        <f t="shared" si="926"/>
        <v/>
      </c>
      <c r="R1592" s="459" t="str">
        <f t="shared" si="927"/>
        <v/>
      </c>
      <c r="S1592" s="459" t="str">
        <f t="shared" si="928"/>
        <v/>
      </c>
      <c r="T1592" s="566" t="str">
        <f t="shared" si="913"/>
        <v/>
      </c>
      <c r="U1592" s="702"/>
      <c r="V1592" s="132"/>
      <c r="W1592" s="133"/>
      <c r="X1592" s="134"/>
      <c r="Y1592" s="135"/>
      <c r="Z1592" s="137"/>
      <c r="AA1592" s="136"/>
      <c r="AB1592" s="566" t="str">
        <f t="shared" si="914"/>
        <v/>
      </c>
      <c r="AC1592" s="568" t="str">
        <f t="shared" si="915"/>
        <v/>
      </c>
      <c r="AD1592" s="137"/>
      <c r="AE1592" s="137"/>
      <c r="AF1592" s="138"/>
      <c r="AG1592" s="138"/>
      <c r="AH1592" s="592" t="str">
        <f t="shared" si="916"/>
        <v/>
      </c>
      <c r="AI1592" s="592" t="str">
        <f t="shared" si="917"/>
        <v/>
      </c>
      <c r="AJ1592" s="592" t="str">
        <f t="shared" si="918"/>
        <v/>
      </c>
      <c r="AK1592" s="460" t="str">
        <f>IF(AU1592="","",IF(OR(AZ1592=8,AZ1592=9),0,IF(OR(AW1592=3,AW1592=4,AW1592=5,AW1592=6),IF(LEFT(BF1592,1)="1",INDEX(係数_NOX・PM低減,MATCH(AY1592,【参考】排出係数!$AI$801:$AI$804,1),1),VLOOKUP(AU1592,INDEX((係数_バス貨物_ガソリン,係数_バス貨物_CNG,係数_バス貨物_軽油,係数_バス貨物_メタノール,係数_バス貨物_LPG),MATCH(AY1592,【参考】排出係数!$AI$4:$AI$671,1),1,BE1592):INDEX((係数_バス貨物_ガソリン,係数_バス貨物_CNG,係数_バス貨物_軽油,係数_バス貨物_メタノール,係数_バス貨物_LPG),MATCH(AY1592+1,【参考】排出係数!$AI$4:$AI$671,1)-1,5,BE1592),4,FALSE)),IF(AND(BE1592=3,LEFT(BF1592,1)="1"),0.48,VLOOKUP(AU1592,INDEX((係数_乗用_ガソリン,係数_乗用_CNG,係数_乗用_軽油,係数_乗用_メタノール,係数_乗用_LPG),1,1,BE1592):INDEX((係数_乗用_ガソリン,係数_乗用_CNG,係数_乗用_軽油,係数_乗用_メタノール,係数_乗用_LPG),125,5,BE1592),4,FALSE)))))</f>
        <v/>
      </c>
      <c r="AL1592" s="461" t="str">
        <f t="shared" si="919"/>
        <v/>
      </c>
      <c r="AM1592" s="460" t="str">
        <f>IF(AU1592="","",IF(OR(AZ1592=8,AZ1592=9),0,IF(OR(AW1592=3,AW1592=4,AW1592=5,AW1592=6),IF(LEFT(BH1592,1)="1",INDEX(係数_PM低減,MATCH(AY1592,【参考】排出係数!$AI$801:$AI$804,1),MATCH(BI1592,【参考】排出係数!$AL$798:$AO$798,1)),VLOOKUP(AU1592,INDEX((係数_バス貨物_ガソリン,係数_バス貨物_CNG,係数_バス貨物_軽油,係数_バス貨物_メタノール,係数_バス貨物_LPG),MATCH(AY1592,【参考】排出係数!$AI$4:$AI$671,1),1,BE1592):INDEX((係数_バス貨物_ガソリン,係数_バス貨物_CNG,係数_バス貨物_軽油,係数_バス貨物_メタノール,係数_バス貨物_LPG),MATCH(AY1592+1,【参考】排出係数!$AI$4:$AI$671,1)-1,5,BE1592),5,FALSE)),IF(AND(BE1592=3,LEFT(BF1592,1)="1"),0.055,VLOOKUP(AU1592,INDEX((係数_乗用_ガソリン,係数_乗用_CNG,係数_乗用_軽油,係数_乗用_メタノール,係数_乗用_LPG),1,1,BE1592):INDEX((係数_乗用_ガソリン,係数_乗用_CNG,係数_乗用_軽油,係数_乗用_メタノール,係数_乗用_LPG),125,5,BE1592),5,FALSE)))))</f>
        <v/>
      </c>
      <c r="AN1592" s="461" t="str">
        <f t="shared" si="920"/>
        <v/>
      </c>
      <c r="AO1592" s="462" t="str">
        <f t="shared" si="921"/>
        <v/>
      </c>
      <c r="AP1592" s="463" t="str">
        <f t="shared" si="922"/>
        <v/>
      </c>
      <c r="AQ1592" s="464"/>
      <c r="AR1592" s="619"/>
      <c r="AS1592" s="465" t="str">
        <f t="shared" si="892"/>
        <v/>
      </c>
      <c r="AT1592" s="465" t="str">
        <f t="shared" si="893"/>
        <v/>
      </c>
      <c r="AU1592" s="466" t="str">
        <f t="shared" si="894"/>
        <v/>
      </c>
      <c r="AV1592" s="467" t="str">
        <f t="shared" si="895"/>
        <v/>
      </c>
      <c r="AW1592" s="467" t="str">
        <f t="shared" si="896"/>
        <v/>
      </c>
      <c r="AX1592" s="467" t="str">
        <f t="shared" si="897"/>
        <v/>
      </c>
      <c r="AY1592" s="467" t="str">
        <f t="shared" si="898"/>
        <v/>
      </c>
      <c r="AZ1592" s="467" t="str">
        <f t="shared" si="899"/>
        <v/>
      </c>
      <c r="BA1592" s="468" t="str">
        <f>IF(AS1592="","",IF(OR(AU1592="",AU1592="-"),"－",IF(OR(AZ1592=8,AZ1592=9),"",IF(OR(AW1592=3,AW1592=4,AW1592=5,AW1592=6),VLOOKUP(AU1592,INDEX((係数_バス貨物_ガソリン,係数_バス貨物_CNG,係数_バス貨物_軽油,係数_バス貨物_メタノール,係数_バス貨物_LPG),MATCH(AY1592,【参考】排出係数!$AI$4:$AI$671,1),1,BE1592):INDEX((係数_バス貨物_ガソリン,係数_バス貨物_CNG,係数_バス貨物_軽油,係数_バス貨物_メタノール,係数_バス貨物_LPG),MATCH(AY1592+1,【参考】排出係数!$AI$4:$AI$671,1)-1,5,BE1592),2,FALSE),IF(OR(AW1592=1,AW1592=2),VLOOKUP(AU1592,INDEX((係数_乗用_ガソリン,係数_乗用_CNG,係数_乗用_軽油,係数_乗用_メタノール,係数_乗用_LPG),1,1,BE1592):INDEX((係数_乗用_ガソリン,係数_乗用_CNG,係数_乗用_軽油,係数_乗用_メタノール,係数_乗用_LPG),125,5,BE1592),2,FALSE))))))</f>
        <v/>
      </c>
      <c r="BB1592" s="468" t="str">
        <f>IF(T1592="","",IF(OR(AU1592="",AU1592="-"),"－",IF(OR(AZ1592=8,AZ1592=9),"",IF(OR(AW1592=3,AW1592=4,AW1592=5,AW1592=6),VLOOKUP(AU1592,INDEX((係数_バス貨物_ガソリン,係数_バス貨物_CNG,係数_バス貨物_軽油,係数_バス貨物_メタノール,係数_バス貨物_LPG),MATCH(AY1592,【参考】排出係数!$AI$4:$AI$671,1),1,BE1592):INDEX((係数_バス貨物_ガソリン,係数_バス貨物_CNG,係数_バス貨物_軽油,係数_バス貨物_メタノール,係数_バス貨物_LPG),MATCH(AY1592+1,【参考】排出係数!$AI$4:$AI$671,1)-1,5,BE1592),3,FALSE),IF(OR(AW1592=1,AW1592=2),VLOOKUP(AU1592,INDEX((係数_乗用_ガソリン,係数_乗用_CNG,係数_乗用_軽油,係数_乗用_メタノール,係数_乗用_LPG),1,1,BE1592):INDEX((係数_乗用_ガソリン,係数_乗用_CNG,係数_乗用_軽油,係数_乗用_メタノール,係数_乗用_LPG),125,5,BE1592),3,FALSE))))))</f>
        <v/>
      </c>
      <c r="BC1592" s="467" t="str">
        <f t="shared" si="900"/>
        <v/>
      </c>
      <c r="BD1592" s="567" t="str">
        <f t="shared" si="901"/>
        <v/>
      </c>
      <c r="BE1592" s="467" t="str">
        <f t="shared" si="902"/>
        <v/>
      </c>
      <c r="BF1592" s="469" t="str">
        <f t="shared" ca="1" si="903"/>
        <v/>
      </c>
      <c r="BG1592" s="469" t="str">
        <f t="shared" ca="1" si="904"/>
        <v/>
      </c>
      <c r="BH1592" s="467" t="str">
        <f t="shared" si="905"/>
        <v/>
      </c>
      <c r="BI1592" s="467" t="str">
        <f t="shared" ca="1" si="906"/>
        <v/>
      </c>
      <c r="BJ1592" s="469" t="str">
        <f t="shared" si="907"/>
        <v/>
      </c>
      <c r="BK1592" s="470" t="str">
        <f t="shared" si="891"/>
        <v/>
      </c>
      <c r="BL1592" s="775" t="str">
        <f t="shared" si="908"/>
        <v/>
      </c>
      <c r="BM1592" s="775" t="str">
        <f t="shared" si="909"/>
        <v/>
      </c>
    </row>
    <row r="1593" spans="1:65">
      <c r="A1593" s="473">
        <v>1537</v>
      </c>
      <c r="B1593" s="132"/>
      <c r="C1593" s="332"/>
      <c r="D1593" s="333"/>
      <c r="E1593" s="333"/>
      <c r="F1593" s="334"/>
      <c r="G1593" s="337"/>
      <c r="H1593" s="131"/>
      <c r="I1593" s="337"/>
      <c r="J1593" s="131"/>
      <c r="K1593" s="458" t="str">
        <f t="shared" si="910"/>
        <v/>
      </c>
      <c r="L1593" s="458">
        <f t="shared" si="911"/>
        <v>0</v>
      </c>
      <c r="M1593" s="458">
        <f t="shared" si="912"/>
        <v>0</v>
      </c>
      <c r="N1593" s="459" t="str">
        <f t="shared" si="923"/>
        <v/>
      </c>
      <c r="O1593" s="459" t="str">
        <f t="shared" si="924"/>
        <v/>
      </c>
      <c r="P1593" s="459" t="str">
        <f t="shared" si="925"/>
        <v/>
      </c>
      <c r="Q1593" s="459" t="str">
        <f t="shared" si="926"/>
        <v/>
      </c>
      <c r="R1593" s="459" t="str">
        <f t="shared" si="927"/>
        <v/>
      </c>
      <c r="S1593" s="459" t="str">
        <f t="shared" si="928"/>
        <v/>
      </c>
      <c r="T1593" s="566" t="str">
        <f t="shared" si="913"/>
        <v/>
      </c>
      <c r="U1593" s="702"/>
      <c r="V1593" s="132"/>
      <c r="W1593" s="133"/>
      <c r="X1593" s="134"/>
      <c r="Y1593" s="135"/>
      <c r="Z1593" s="137"/>
      <c r="AA1593" s="136"/>
      <c r="AB1593" s="566" t="str">
        <f t="shared" si="914"/>
        <v/>
      </c>
      <c r="AC1593" s="568" t="str">
        <f t="shared" si="915"/>
        <v/>
      </c>
      <c r="AD1593" s="137"/>
      <c r="AE1593" s="137"/>
      <c r="AF1593" s="138"/>
      <c r="AG1593" s="138"/>
      <c r="AH1593" s="592" t="str">
        <f t="shared" si="916"/>
        <v/>
      </c>
      <c r="AI1593" s="592" t="str">
        <f t="shared" si="917"/>
        <v/>
      </c>
      <c r="AJ1593" s="592" t="str">
        <f t="shared" si="918"/>
        <v/>
      </c>
      <c r="AK1593" s="460" t="str">
        <f>IF(AU1593="","",IF(OR(AZ1593=8,AZ1593=9),0,IF(OR(AW1593=3,AW1593=4,AW1593=5,AW1593=6),IF(LEFT(BF1593,1)="1",INDEX(係数_NOX・PM低減,MATCH(AY1593,【参考】排出係数!$AI$801:$AI$804,1),1),VLOOKUP(AU1593,INDEX((係数_バス貨物_ガソリン,係数_バス貨物_CNG,係数_バス貨物_軽油,係数_バス貨物_メタノール,係数_バス貨物_LPG),MATCH(AY1593,【参考】排出係数!$AI$4:$AI$671,1),1,BE1593):INDEX((係数_バス貨物_ガソリン,係数_バス貨物_CNG,係数_バス貨物_軽油,係数_バス貨物_メタノール,係数_バス貨物_LPG),MATCH(AY1593+1,【参考】排出係数!$AI$4:$AI$671,1)-1,5,BE1593),4,FALSE)),IF(AND(BE1593=3,LEFT(BF1593,1)="1"),0.48,VLOOKUP(AU1593,INDEX((係数_乗用_ガソリン,係数_乗用_CNG,係数_乗用_軽油,係数_乗用_メタノール,係数_乗用_LPG),1,1,BE1593):INDEX((係数_乗用_ガソリン,係数_乗用_CNG,係数_乗用_軽油,係数_乗用_メタノール,係数_乗用_LPG),125,5,BE1593),4,FALSE)))))</f>
        <v/>
      </c>
      <c r="AL1593" s="461" t="str">
        <f t="shared" si="919"/>
        <v/>
      </c>
      <c r="AM1593" s="460" t="str">
        <f>IF(AU1593="","",IF(OR(AZ1593=8,AZ1593=9),0,IF(OR(AW1593=3,AW1593=4,AW1593=5,AW1593=6),IF(LEFT(BH1593,1)="1",INDEX(係数_PM低減,MATCH(AY1593,【参考】排出係数!$AI$801:$AI$804,1),MATCH(BI1593,【参考】排出係数!$AL$798:$AO$798,1)),VLOOKUP(AU1593,INDEX((係数_バス貨物_ガソリン,係数_バス貨物_CNG,係数_バス貨物_軽油,係数_バス貨物_メタノール,係数_バス貨物_LPG),MATCH(AY1593,【参考】排出係数!$AI$4:$AI$671,1),1,BE1593):INDEX((係数_バス貨物_ガソリン,係数_バス貨物_CNG,係数_バス貨物_軽油,係数_バス貨物_メタノール,係数_バス貨物_LPG),MATCH(AY1593+1,【参考】排出係数!$AI$4:$AI$671,1)-1,5,BE1593),5,FALSE)),IF(AND(BE1593=3,LEFT(BF1593,1)="1"),0.055,VLOOKUP(AU1593,INDEX((係数_乗用_ガソリン,係数_乗用_CNG,係数_乗用_軽油,係数_乗用_メタノール,係数_乗用_LPG),1,1,BE1593):INDEX((係数_乗用_ガソリン,係数_乗用_CNG,係数_乗用_軽油,係数_乗用_メタノール,係数_乗用_LPG),125,5,BE1593),5,FALSE)))))</f>
        <v/>
      </c>
      <c r="AN1593" s="461" t="str">
        <f t="shared" si="920"/>
        <v/>
      </c>
      <c r="AO1593" s="462" t="str">
        <f t="shared" si="921"/>
        <v/>
      </c>
      <c r="AP1593" s="463" t="str">
        <f t="shared" si="922"/>
        <v/>
      </c>
      <c r="AQ1593" s="464"/>
      <c r="AR1593" s="619"/>
      <c r="AS1593" s="465" t="str">
        <f t="shared" si="892"/>
        <v/>
      </c>
      <c r="AT1593" s="465" t="str">
        <f t="shared" si="893"/>
        <v/>
      </c>
      <c r="AU1593" s="466" t="str">
        <f t="shared" si="894"/>
        <v/>
      </c>
      <c r="AV1593" s="467" t="str">
        <f t="shared" si="895"/>
        <v/>
      </c>
      <c r="AW1593" s="467" t="str">
        <f t="shared" si="896"/>
        <v/>
      </c>
      <c r="AX1593" s="467" t="str">
        <f t="shared" si="897"/>
        <v/>
      </c>
      <c r="AY1593" s="467" t="str">
        <f t="shared" si="898"/>
        <v/>
      </c>
      <c r="AZ1593" s="467" t="str">
        <f t="shared" si="899"/>
        <v/>
      </c>
      <c r="BA1593" s="468" t="str">
        <f>IF(AS1593="","",IF(OR(AU1593="",AU1593="-"),"－",IF(OR(AZ1593=8,AZ1593=9),"",IF(OR(AW1593=3,AW1593=4,AW1593=5,AW1593=6),VLOOKUP(AU1593,INDEX((係数_バス貨物_ガソリン,係数_バス貨物_CNG,係数_バス貨物_軽油,係数_バス貨物_メタノール,係数_バス貨物_LPG),MATCH(AY1593,【参考】排出係数!$AI$4:$AI$671,1),1,BE1593):INDEX((係数_バス貨物_ガソリン,係数_バス貨物_CNG,係数_バス貨物_軽油,係数_バス貨物_メタノール,係数_バス貨物_LPG),MATCH(AY1593+1,【参考】排出係数!$AI$4:$AI$671,1)-1,5,BE1593),2,FALSE),IF(OR(AW1593=1,AW1593=2),VLOOKUP(AU1593,INDEX((係数_乗用_ガソリン,係数_乗用_CNG,係数_乗用_軽油,係数_乗用_メタノール,係数_乗用_LPG),1,1,BE1593):INDEX((係数_乗用_ガソリン,係数_乗用_CNG,係数_乗用_軽油,係数_乗用_メタノール,係数_乗用_LPG),125,5,BE1593),2,FALSE))))))</f>
        <v/>
      </c>
      <c r="BB1593" s="468" t="str">
        <f>IF(T1593="","",IF(OR(AU1593="",AU1593="-"),"－",IF(OR(AZ1593=8,AZ1593=9),"",IF(OR(AW1593=3,AW1593=4,AW1593=5,AW1593=6),VLOOKUP(AU1593,INDEX((係数_バス貨物_ガソリン,係数_バス貨物_CNG,係数_バス貨物_軽油,係数_バス貨物_メタノール,係数_バス貨物_LPG),MATCH(AY1593,【参考】排出係数!$AI$4:$AI$671,1),1,BE1593):INDEX((係数_バス貨物_ガソリン,係数_バス貨物_CNG,係数_バス貨物_軽油,係数_バス貨物_メタノール,係数_バス貨物_LPG),MATCH(AY1593+1,【参考】排出係数!$AI$4:$AI$671,1)-1,5,BE1593),3,FALSE),IF(OR(AW1593=1,AW1593=2),VLOOKUP(AU1593,INDEX((係数_乗用_ガソリン,係数_乗用_CNG,係数_乗用_軽油,係数_乗用_メタノール,係数_乗用_LPG),1,1,BE1593):INDEX((係数_乗用_ガソリン,係数_乗用_CNG,係数_乗用_軽油,係数_乗用_メタノール,係数_乗用_LPG),125,5,BE1593),3,FALSE))))))</f>
        <v/>
      </c>
      <c r="BC1593" s="467" t="str">
        <f t="shared" si="900"/>
        <v/>
      </c>
      <c r="BD1593" s="567" t="str">
        <f t="shared" si="901"/>
        <v/>
      </c>
      <c r="BE1593" s="467" t="str">
        <f t="shared" si="902"/>
        <v/>
      </c>
      <c r="BF1593" s="469" t="str">
        <f t="shared" ca="1" si="903"/>
        <v/>
      </c>
      <c r="BG1593" s="469" t="str">
        <f t="shared" ca="1" si="904"/>
        <v/>
      </c>
      <c r="BH1593" s="467" t="str">
        <f t="shared" si="905"/>
        <v/>
      </c>
      <c r="BI1593" s="467" t="str">
        <f t="shared" ca="1" si="906"/>
        <v/>
      </c>
      <c r="BJ1593" s="469" t="str">
        <f t="shared" si="907"/>
        <v/>
      </c>
      <c r="BK1593" s="470" t="str">
        <f t="shared" ref="BK1593:BK1656" si="929">IF(AS1593="","",VLOOKUP(T1593,車両の増減,2,FALSE))</f>
        <v/>
      </c>
      <c r="BL1593" s="775" t="str">
        <f t="shared" si="908"/>
        <v/>
      </c>
      <c r="BM1593" s="775" t="str">
        <f t="shared" si="909"/>
        <v/>
      </c>
    </row>
    <row r="1594" spans="1:65">
      <c r="A1594" s="473">
        <v>1538</v>
      </c>
      <c r="B1594" s="132"/>
      <c r="C1594" s="332"/>
      <c r="D1594" s="333"/>
      <c r="E1594" s="333"/>
      <c r="F1594" s="334"/>
      <c r="G1594" s="337"/>
      <c r="H1594" s="131"/>
      <c r="I1594" s="337"/>
      <c r="J1594" s="131"/>
      <c r="K1594" s="458" t="str">
        <f t="shared" si="910"/>
        <v/>
      </c>
      <c r="L1594" s="458">
        <f t="shared" si="911"/>
        <v>0</v>
      </c>
      <c r="M1594" s="458">
        <f t="shared" si="912"/>
        <v>0</v>
      </c>
      <c r="N1594" s="459" t="str">
        <f t="shared" si="923"/>
        <v/>
      </c>
      <c r="O1594" s="459" t="str">
        <f t="shared" si="924"/>
        <v/>
      </c>
      <c r="P1594" s="459" t="str">
        <f t="shared" si="925"/>
        <v/>
      </c>
      <c r="Q1594" s="459" t="str">
        <f t="shared" si="926"/>
        <v/>
      </c>
      <c r="R1594" s="459" t="str">
        <f t="shared" si="927"/>
        <v/>
      </c>
      <c r="S1594" s="459" t="str">
        <f t="shared" si="928"/>
        <v/>
      </c>
      <c r="T1594" s="566" t="str">
        <f t="shared" si="913"/>
        <v/>
      </c>
      <c r="U1594" s="702"/>
      <c r="V1594" s="132"/>
      <c r="W1594" s="133"/>
      <c r="X1594" s="134"/>
      <c r="Y1594" s="135"/>
      <c r="Z1594" s="137"/>
      <c r="AA1594" s="136"/>
      <c r="AB1594" s="566" t="str">
        <f t="shared" si="914"/>
        <v/>
      </c>
      <c r="AC1594" s="568" t="str">
        <f t="shared" si="915"/>
        <v/>
      </c>
      <c r="AD1594" s="137"/>
      <c r="AE1594" s="137"/>
      <c r="AF1594" s="138"/>
      <c r="AG1594" s="138"/>
      <c r="AH1594" s="592" t="str">
        <f t="shared" si="916"/>
        <v/>
      </c>
      <c r="AI1594" s="592" t="str">
        <f t="shared" si="917"/>
        <v/>
      </c>
      <c r="AJ1594" s="592" t="str">
        <f t="shared" si="918"/>
        <v/>
      </c>
      <c r="AK1594" s="460" t="str">
        <f>IF(AU1594="","",IF(OR(AZ1594=8,AZ1594=9),0,IF(OR(AW1594=3,AW1594=4,AW1594=5,AW1594=6),IF(LEFT(BF1594,1)="1",INDEX(係数_NOX・PM低減,MATCH(AY1594,【参考】排出係数!$AI$801:$AI$804,1),1),VLOOKUP(AU1594,INDEX((係数_バス貨物_ガソリン,係数_バス貨物_CNG,係数_バス貨物_軽油,係数_バス貨物_メタノール,係数_バス貨物_LPG),MATCH(AY1594,【参考】排出係数!$AI$4:$AI$671,1),1,BE1594):INDEX((係数_バス貨物_ガソリン,係数_バス貨物_CNG,係数_バス貨物_軽油,係数_バス貨物_メタノール,係数_バス貨物_LPG),MATCH(AY1594+1,【参考】排出係数!$AI$4:$AI$671,1)-1,5,BE1594),4,FALSE)),IF(AND(BE1594=3,LEFT(BF1594,1)="1"),0.48,VLOOKUP(AU1594,INDEX((係数_乗用_ガソリン,係数_乗用_CNG,係数_乗用_軽油,係数_乗用_メタノール,係数_乗用_LPG),1,1,BE1594):INDEX((係数_乗用_ガソリン,係数_乗用_CNG,係数_乗用_軽油,係数_乗用_メタノール,係数_乗用_LPG),125,5,BE1594),4,FALSE)))))</f>
        <v/>
      </c>
      <c r="AL1594" s="461" t="str">
        <f t="shared" si="919"/>
        <v/>
      </c>
      <c r="AM1594" s="460" t="str">
        <f>IF(AU1594="","",IF(OR(AZ1594=8,AZ1594=9),0,IF(OR(AW1594=3,AW1594=4,AW1594=5,AW1594=6),IF(LEFT(BH1594,1)="1",INDEX(係数_PM低減,MATCH(AY1594,【参考】排出係数!$AI$801:$AI$804,1),MATCH(BI1594,【参考】排出係数!$AL$798:$AO$798,1)),VLOOKUP(AU1594,INDEX((係数_バス貨物_ガソリン,係数_バス貨物_CNG,係数_バス貨物_軽油,係数_バス貨物_メタノール,係数_バス貨物_LPG),MATCH(AY1594,【参考】排出係数!$AI$4:$AI$671,1),1,BE1594):INDEX((係数_バス貨物_ガソリン,係数_バス貨物_CNG,係数_バス貨物_軽油,係数_バス貨物_メタノール,係数_バス貨物_LPG),MATCH(AY1594+1,【参考】排出係数!$AI$4:$AI$671,1)-1,5,BE1594),5,FALSE)),IF(AND(BE1594=3,LEFT(BF1594,1)="1"),0.055,VLOOKUP(AU1594,INDEX((係数_乗用_ガソリン,係数_乗用_CNG,係数_乗用_軽油,係数_乗用_メタノール,係数_乗用_LPG),1,1,BE1594):INDEX((係数_乗用_ガソリン,係数_乗用_CNG,係数_乗用_軽油,係数_乗用_メタノール,係数_乗用_LPG),125,5,BE1594),5,FALSE)))))</f>
        <v/>
      </c>
      <c r="AN1594" s="461" t="str">
        <f t="shared" si="920"/>
        <v/>
      </c>
      <c r="AO1594" s="462" t="str">
        <f t="shared" si="921"/>
        <v/>
      </c>
      <c r="AP1594" s="463" t="str">
        <f t="shared" si="922"/>
        <v/>
      </c>
      <c r="AQ1594" s="464"/>
      <c r="AR1594" s="619"/>
      <c r="AS1594" s="465" t="str">
        <f t="shared" ref="AS1594:AS1657" si="930">IF(OR(T1594="(減車済)",T1594=""),"",1)</f>
        <v/>
      </c>
      <c r="AT1594" s="465" t="str">
        <f t="shared" ref="AT1594:AT1657" si="931">IF(OR(T1594="継続",T1594="新規"),1,"")</f>
        <v/>
      </c>
      <c r="AU1594" s="466" t="str">
        <f t="shared" ref="AU1594:AU1657" si="932">IF(AS1594="","",UPPER(ASC(X1594)))</f>
        <v/>
      </c>
      <c r="AV1594" s="467" t="str">
        <f t="shared" ref="AV1594:AV1657" si="933">IF(AS1594="","",IF(V1594="","",IF(V1594="普通",1,IF(V1594="小型",2,0))))</f>
        <v/>
      </c>
      <c r="AW1594" s="467" t="str">
        <f t="shared" ref="AW1594:AW1657" si="934">IF(AS1594="","",IF(W1594="","",VLOOKUP(W1594,用途,2,FALSE)))</f>
        <v/>
      </c>
      <c r="AX1594" s="467" t="str">
        <f t="shared" ref="AX1594:AX1657" si="935">IF(AS1594="","",IF(Y1594="","",IF(Y1594&lt;=10,1,IF(Y1594&lt;30,2,IF(Y1594&gt;=30,3,0)))))</f>
        <v/>
      </c>
      <c r="AY1594" s="467" t="str">
        <f t="shared" ref="AY1594:AY1657" si="936">IF(AS1594="","",IF(Z1594="","",IF(Z1594&lt;=1.7*1000,1,IF(Z1594&lt;=2.5*1000,2,IF(Z1594&lt;=3.5*1000,3,IF(Z1594&lt;8*1000,4,IF(Z1594&gt;=8*1000,5,"")))))))</f>
        <v/>
      </c>
      <c r="AZ1594" s="467" t="str">
        <f t="shared" ref="AZ1594:AZ1657" si="937">IF(AS1594="","",IF(AA1594="","",VLOOKUP(AA1594,燃料の種類,2,FALSE)))</f>
        <v/>
      </c>
      <c r="BA1594" s="468" t="str">
        <f>IF(AS1594="","",IF(OR(AU1594="",AU1594="-"),"－",IF(OR(AZ1594=8,AZ1594=9),"",IF(OR(AW1594=3,AW1594=4,AW1594=5,AW1594=6),VLOOKUP(AU1594,INDEX((係数_バス貨物_ガソリン,係数_バス貨物_CNG,係数_バス貨物_軽油,係数_バス貨物_メタノール,係数_バス貨物_LPG),MATCH(AY1594,【参考】排出係数!$AI$4:$AI$671,1),1,BE1594):INDEX((係数_バス貨物_ガソリン,係数_バス貨物_CNG,係数_バス貨物_軽油,係数_バス貨物_メタノール,係数_バス貨物_LPG),MATCH(AY1594+1,【参考】排出係数!$AI$4:$AI$671,1)-1,5,BE1594),2,FALSE),IF(OR(AW1594=1,AW1594=2),VLOOKUP(AU1594,INDEX((係数_乗用_ガソリン,係数_乗用_CNG,係数_乗用_軽油,係数_乗用_メタノール,係数_乗用_LPG),1,1,BE1594):INDEX((係数_乗用_ガソリン,係数_乗用_CNG,係数_乗用_軽油,係数_乗用_メタノール,係数_乗用_LPG),125,5,BE1594),2,FALSE))))))</f>
        <v/>
      </c>
      <c r="BB1594" s="468" t="str">
        <f>IF(T1594="","",IF(OR(AU1594="",AU1594="-"),"－",IF(OR(AZ1594=8,AZ1594=9),"",IF(OR(AW1594=3,AW1594=4,AW1594=5,AW1594=6),VLOOKUP(AU1594,INDEX((係数_バス貨物_ガソリン,係数_バス貨物_CNG,係数_バス貨物_軽油,係数_バス貨物_メタノール,係数_バス貨物_LPG),MATCH(AY1594,【参考】排出係数!$AI$4:$AI$671,1),1,BE1594):INDEX((係数_バス貨物_ガソリン,係数_バス貨物_CNG,係数_バス貨物_軽油,係数_バス貨物_メタノール,係数_バス貨物_LPG),MATCH(AY1594+1,【参考】排出係数!$AI$4:$AI$671,1)-1,5,BE1594),3,FALSE),IF(OR(AW1594=1,AW1594=2),VLOOKUP(AU1594,INDEX((係数_乗用_ガソリン,係数_乗用_CNG,係数_乗用_軽油,係数_乗用_メタノール,係数_乗用_LPG),1,1,BE1594):INDEX((係数_乗用_ガソリン,係数_乗用_CNG,係数_乗用_軽油,係数_乗用_メタノール,係数_乗用_LPG),125,5,BE1594),3,FALSE))))))</f>
        <v/>
      </c>
      <c r="BC1594" s="467" t="str">
        <f t="shared" ref="BC1594:BC1657" si="938">IF((AS1594="")+(AC1594=""),"",IF(燃料区分1=4,VLOOKUP(BB1594,排ガス低減レベル,2,FALSE),VLOOKUP(AC1594,排ガス低減レベル,2,FALSE)))</f>
        <v/>
      </c>
      <c r="BD1594" s="567" t="str">
        <f t="shared" ref="BD1594:BD1657" si="939">IF(AT1594="","",IF(AW1594=3,B1594&amp;"-"&amp;SUM(AW1594*100,AX1594*10,AY1594)&amp;"A",IF(OR(AW1594=2,AW1594=4,AW1594=6),B1594&amp;"-"&amp;AY1594*10&amp;"A",IF(AW1594=1,B1594&amp;"-"&amp;AW1594&amp;"A",IF(AW1594=5,B1594&amp;"-"&amp;SUM(AW1594*100,AV1594*10,AY1594)&amp;"A","")))))</f>
        <v/>
      </c>
      <c r="BE1594" s="467" t="str">
        <f t="shared" ref="BE1594:BE1657" si="940">IF(OR(AZ1594=1,AZ1594=2,AZ1594=11),1,IF(AZ1594=6,2,IF(OR(AZ1594=4,AZ1594=5,AZ1594=10),3,IF(AZ1594=7,4,IF(AZ1594=3,5, IF(OR(AZ1594=8,AZ1594=9),6,""))))))</f>
        <v/>
      </c>
      <c r="BF1594" s="469" t="str">
        <f t="shared" ref="BF1594:BF1657" ca="1" si="941">(IF(OR(AZ1594=4,AZ1594=5),OFFSET($CH$1,MATCH($AF1594,$CG$2:$CG$4,0),0)&amp;BK1594,""))</f>
        <v/>
      </c>
      <c r="BG1594" s="469" t="str">
        <f t="shared" ref="BG1594:BG1657" ca="1" si="942">(IF(OR(AZ1594=4,AZ1594=5),OFFSET($CJ$1,MATCH($AG1594,$CI$2:$CI$5,0),0)&amp;BK1594,""))</f>
        <v/>
      </c>
      <c r="BH1594" s="467" t="str">
        <f t="shared" ref="BH1594:BH1657" si="943">IF(OR(AZ1594=4,AZ1594=5),IF(OR(LEFT(BF1594,1)="1",LEFT(BG1594,1)="2",LEFT(BG1594,1)="3"),1,2)&amp;BK1594,"")</f>
        <v/>
      </c>
      <c r="BI1594" s="467" t="str">
        <f t="shared" ref="BI1594:BI1657" ca="1" si="944">IF(LEFT(BF1594)="1",1,IF(LEFT(BG1594,1)="2",2,IF(LEFT(BG1594,1)="3",3,"")))</f>
        <v/>
      </c>
      <c r="BJ1594" s="469" t="str">
        <f t="shared" ref="BJ1594:BJ1657" si="945">IF(AT1594="","",B1594&amp;"-"&amp;AZ1594)</f>
        <v/>
      </c>
      <c r="BK1594" s="470" t="str">
        <f t="shared" si="929"/>
        <v/>
      </c>
      <c r="BL1594" s="775" t="str">
        <f t="shared" ref="BL1594:BL1657" si="946">IF(AND(OR($T1594="新規",$T1594="継続"),ISBLANK($AD1594)),1,"")</f>
        <v/>
      </c>
      <c r="BM1594" s="775" t="str">
        <f t="shared" ref="BM1594:BM1657" si="947">IF(AND(OR($T1594="新規",$T1594="継続"),ISBLANK($AE1594)),1,"")</f>
        <v/>
      </c>
    </row>
    <row r="1595" spans="1:65">
      <c r="A1595" s="473">
        <v>1539</v>
      </c>
      <c r="B1595" s="132"/>
      <c r="C1595" s="332"/>
      <c r="D1595" s="333"/>
      <c r="E1595" s="333"/>
      <c r="F1595" s="334"/>
      <c r="G1595" s="337"/>
      <c r="H1595" s="131"/>
      <c r="I1595" s="337"/>
      <c r="J1595" s="131"/>
      <c r="K1595" s="458" t="str">
        <f t="shared" si="910"/>
        <v/>
      </c>
      <c r="L1595" s="458">
        <f t="shared" si="911"/>
        <v>0</v>
      </c>
      <c r="M1595" s="458">
        <f t="shared" si="912"/>
        <v>0</v>
      </c>
      <c r="N1595" s="459" t="str">
        <f t="shared" si="923"/>
        <v/>
      </c>
      <c r="O1595" s="459" t="str">
        <f t="shared" si="924"/>
        <v/>
      </c>
      <c r="P1595" s="459" t="str">
        <f t="shared" si="925"/>
        <v/>
      </c>
      <c r="Q1595" s="459" t="str">
        <f t="shared" si="926"/>
        <v/>
      </c>
      <c r="R1595" s="459" t="str">
        <f t="shared" si="927"/>
        <v/>
      </c>
      <c r="S1595" s="459" t="str">
        <f t="shared" si="928"/>
        <v/>
      </c>
      <c r="T1595" s="566" t="str">
        <f t="shared" si="913"/>
        <v/>
      </c>
      <c r="U1595" s="702"/>
      <c r="V1595" s="132"/>
      <c r="W1595" s="133"/>
      <c r="X1595" s="134"/>
      <c r="Y1595" s="135"/>
      <c r="Z1595" s="137"/>
      <c r="AA1595" s="136"/>
      <c r="AB1595" s="566" t="str">
        <f t="shared" si="914"/>
        <v/>
      </c>
      <c r="AC1595" s="568" t="str">
        <f t="shared" si="915"/>
        <v/>
      </c>
      <c r="AD1595" s="137"/>
      <c r="AE1595" s="137"/>
      <c r="AF1595" s="138"/>
      <c r="AG1595" s="138"/>
      <c r="AH1595" s="592" t="str">
        <f t="shared" si="916"/>
        <v/>
      </c>
      <c r="AI1595" s="592" t="str">
        <f t="shared" si="917"/>
        <v/>
      </c>
      <c r="AJ1595" s="592" t="str">
        <f t="shared" si="918"/>
        <v/>
      </c>
      <c r="AK1595" s="460" t="str">
        <f>IF(AU1595="","",IF(OR(AZ1595=8,AZ1595=9),0,IF(OR(AW1595=3,AW1595=4,AW1595=5,AW1595=6),IF(LEFT(BF1595,1)="1",INDEX(係数_NOX・PM低減,MATCH(AY1595,【参考】排出係数!$AI$801:$AI$804,1),1),VLOOKUP(AU1595,INDEX((係数_バス貨物_ガソリン,係数_バス貨物_CNG,係数_バス貨物_軽油,係数_バス貨物_メタノール,係数_バス貨物_LPG),MATCH(AY1595,【参考】排出係数!$AI$4:$AI$671,1),1,BE1595):INDEX((係数_バス貨物_ガソリン,係数_バス貨物_CNG,係数_バス貨物_軽油,係数_バス貨物_メタノール,係数_バス貨物_LPG),MATCH(AY1595+1,【参考】排出係数!$AI$4:$AI$671,1)-1,5,BE1595),4,FALSE)),IF(AND(BE1595=3,LEFT(BF1595,1)="1"),0.48,VLOOKUP(AU1595,INDEX((係数_乗用_ガソリン,係数_乗用_CNG,係数_乗用_軽油,係数_乗用_メタノール,係数_乗用_LPG),1,1,BE1595):INDEX((係数_乗用_ガソリン,係数_乗用_CNG,係数_乗用_軽油,係数_乗用_メタノール,係数_乗用_LPG),125,5,BE1595),4,FALSE)))))</f>
        <v/>
      </c>
      <c r="AL1595" s="461" t="str">
        <f t="shared" si="919"/>
        <v/>
      </c>
      <c r="AM1595" s="460" t="str">
        <f>IF(AU1595="","",IF(OR(AZ1595=8,AZ1595=9),0,IF(OR(AW1595=3,AW1595=4,AW1595=5,AW1595=6),IF(LEFT(BH1595,1)="1",INDEX(係数_PM低減,MATCH(AY1595,【参考】排出係数!$AI$801:$AI$804,1),MATCH(BI1595,【参考】排出係数!$AL$798:$AO$798,1)),VLOOKUP(AU1595,INDEX((係数_バス貨物_ガソリン,係数_バス貨物_CNG,係数_バス貨物_軽油,係数_バス貨物_メタノール,係数_バス貨物_LPG),MATCH(AY1595,【参考】排出係数!$AI$4:$AI$671,1),1,BE1595):INDEX((係数_バス貨物_ガソリン,係数_バス貨物_CNG,係数_バス貨物_軽油,係数_バス貨物_メタノール,係数_バス貨物_LPG),MATCH(AY1595+1,【参考】排出係数!$AI$4:$AI$671,1)-1,5,BE1595),5,FALSE)),IF(AND(BE1595=3,LEFT(BF1595,1)="1"),0.055,VLOOKUP(AU1595,INDEX((係数_乗用_ガソリン,係数_乗用_CNG,係数_乗用_軽油,係数_乗用_メタノール,係数_乗用_LPG),1,1,BE1595):INDEX((係数_乗用_ガソリン,係数_乗用_CNG,係数_乗用_軽油,係数_乗用_メタノール,係数_乗用_LPG),125,5,BE1595),5,FALSE)))))</f>
        <v/>
      </c>
      <c r="AN1595" s="461" t="str">
        <f t="shared" si="920"/>
        <v/>
      </c>
      <c r="AO1595" s="462" t="str">
        <f t="shared" si="921"/>
        <v/>
      </c>
      <c r="AP1595" s="463" t="str">
        <f t="shared" si="922"/>
        <v/>
      </c>
      <c r="AQ1595" s="464"/>
      <c r="AR1595" s="619"/>
      <c r="AS1595" s="465" t="str">
        <f t="shared" si="930"/>
        <v/>
      </c>
      <c r="AT1595" s="465" t="str">
        <f t="shared" si="931"/>
        <v/>
      </c>
      <c r="AU1595" s="466" t="str">
        <f t="shared" si="932"/>
        <v/>
      </c>
      <c r="AV1595" s="467" t="str">
        <f t="shared" si="933"/>
        <v/>
      </c>
      <c r="AW1595" s="467" t="str">
        <f t="shared" si="934"/>
        <v/>
      </c>
      <c r="AX1595" s="467" t="str">
        <f t="shared" si="935"/>
        <v/>
      </c>
      <c r="AY1595" s="467" t="str">
        <f t="shared" si="936"/>
        <v/>
      </c>
      <c r="AZ1595" s="467" t="str">
        <f t="shared" si="937"/>
        <v/>
      </c>
      <c r="BA1595" s="468" t="str">
        <f>IF(AS1595="","",IF(OR(AU1595="",AU1595="-"),"－",IF(OR(AZ1595=8,AZ1595=9),"",IF(OR(AW1595=3,AW1595=4,AW1595=5,AW1595=6),VLOOKUP(AU1595,INDEX((係数_バス貨物_ガソリン,係数_バス貨物_CNG,係数_バス貨物_軽油,係数_バス貨物_メタノール,係数_バス貨物_LPG),MATCH(AY1595,【参考】排出係数!$AI$4:$AI$671,1),1,BE1595):INDEX((係数_バス貨物_ガソリン,係数_バス貨物_CNG,係数_バス貨物_軽油,係数_バス貨物_メタノール,係数_バス貨物_LPG),MATCH(AY1595+1,【参考】排出係数!$AI$4:$AI$671,1)-1,5,BE1595),2,FALSE),IF(OR(AW1595=1,AW1595=2),VLOOKUP(AU1595,INDEX((係数_乗用_ガソリン,係数_乗用_CNG,係数_乗用_軽油,係数_乗用_メタノール,係数_乗用_LPG),1,1,BE1595):INDEX((係数_乗用_ガソリン,係数_乗用_CNG,係数_乗用_軽油,係数_乗用_メタノール,係数_乗用_LPG),125,5,BE1595),2,FALSE))))))</f>
        <v/>
      </c>
      <c r="BB1595" s="468" t="str">
        <f>IF(T1595="","",IF(OR(AU1595="",AU1595="-"),"－",IF(OR(AZ1595=8,AZ1595=9),"",IF(OR(AW1595=3,AW1595=4,AW1595=5,AW1595=6),VLOOKUP(AU1595,INDEX((係数_バス貨物_ガソリン,係数_バス貨物_CNG,係数_バス貨物_軽油,係数_バス貨物_メタノール,係数_バス貨物_LPG),MATCH(AY1595,【参考】排出係数!$AI$4:$AI$671,1),1,BE1595):INDEX((係数_バス貨物_ガソリン,係数_バス貨物_CNG,係数_バス貨物_軽油,係数_バス貨物_メタノール,係数_バス貨物_LPG),MATCH(AY1595+1,【参考】排出係数!$AI$4:$AI$671,1)-1,5,BE1595),3,FALSE),IF(OR(AW1595=1,AW1595=2),VLOOKUP(AU1595,INDEX((係数_乗用_ガソリン,係数_乗用_CNG,係数_乗用_軽油,係数_乗用_メタノール,係数_乗用_LPG),1,1,BE1595):INDEX((係数_乗用_ガソリン,係数_乗用_CNG,係数_乗用_軽油,係数_乗用_メタノール,係数_乗用_LPG),125,5,BE1595),3,FALSE))))))</f>
        <v/>
      </c>
      <c r="BC1595" s="467" t="str">
        <f t="shared" si="938"/>
        <v/>
      </c>
      <c r="BD1595" s="567" t="str">
        <f t="shared" si="939"/>
        <v/>
      </c>
      <c r="BE1595" s="467" t="str">
        <f t="shared" si="940"/>
        <v/>
      </c>
      <c r="BF1595" s="469" t="str">
        <f t="shared" ca="1" si="941"/>
        <v/>
      </c>
      <c r="BG1595" s="469" t="str">
        <f t="shared" ca="1" si="942"/>
        <v/>
      </c>
      <c r="BH1595" s="467" t="str">
        <f t="shared" si="943"/>
        <v/>
      </c>
      <c r="BI1595" s="467" t="str">
        <f t="shared" ca="1" si="944"/>
        <v/>
      </c>
      <c r="BJ1595" s="469" t="str">
        <f t="shared" si="945"/>
        <v/>
      </c>
      <c r="BK1595" s="470" t="str">
        <f t="shared" si="929"/>
        <v/>
      </c>
      <c r="BL1595" s="775" t="str">
        <f t="shared" si="946"/>
        <v/>
      </c>
      <c r="BM1595" s="775" t="str">
        <f t="shared" si="947"/>
        <v/>
      </c>
    </row>
    <row r="1596" spans="1:65">
      <c r="A1596" s="473">
        <v>1540</v>
      </c>
      <c r="B1596" s="132"/>
      <c r="C1596" s="332"/>
      <c r="D1596" s="333"/>
      <c r="E1596" s="333"/>
      <c r="F1596" s="334"/>
      <c r="G1596" s="337"/>
      <c r="H1596" s="131"/>
      <c r="I1596" s="337"/>
      <c r="J1596" s="131"/>
      <c r="K1596" s="458" t="str">
        <f t="shared" si="910"/>
        <v/>
      </c>
      <c r="L1596" s="458">
        <f t="shared" si="911"/>
        <v>0</v>
      </c>
      <c r="M1596" s="458">
        <f t="shared" si="912"/>
        <v>0</v>
      </c>
      <c r="N1596" s="459" t="str">
        <f t="shared" si="923"/>
        <v/>
      </c>
      <c r="O1596" s="459" t="str">
        <f t="shared" si="924"/>
        <v/>
      </c>
      <c r="P1596" s="459" t="str">
        <f t="shared" si="925"/>
        <v/>
      </c>
      <c r="Q1596" s="459" t="str">
        <f t="shared" si="926"/>
        <v/>
      </c>
      <c r="R1596" s="459" t="str">
        <f t="shared" si="927"/>
        <v/>
      </c>
      <c r="S1596" s="459" t="str">
        <f t="shared" si="928"/>
        <v/>
      </c>
      <c r="T1596" s="566" t="str">
        <f t="shared" si="913"/>
        <v/>
      </c>
      <c r="U1596" s="702"/>
      <c r="V1596" s="132"/>
      <c r="W1596" s="133"/>
      <c r="X1596" s="134"/>
      <c r="Y1596" s="135"/>
      <c r="Z1596" s="137"/>
      <c r="AA1596" s="136"/>
      <c r="AB1596" s="566" t="str">
        <f t="shared" si="914"/>
        <v/>
      </c>
      <c r="AC1596" s="568" t="str">
        <f t="shared" si="915"/>
        <v/>
      </c>
      <c r="AD1596" s="137"/>
      <c r="AE1596" s="137"/>
      <c r="AF1596" s="138"/>
      <c r="AG1596" s="138"/>
      <c r="AH1596" s="592" t="str">
        <f t="shared" si="916"/>
        <v/>
      </c>
      <c r="AI1596" s="592" t="str">
        <f t="shared" si="917"/>
        <v/>
      </c>
      <c r="AJ1596" s="592" t="str">
        <f t="shared" si="918"/>
        <v/>
      </c>
      <c r="AK1596" s="460" t="str">
        <f>IF(AU1596="","",IF(OR(AZ1596=8,AZ1596=9),0,IF(OR(AW1596=3,AW1596=4,AW1596=5,AW1596=6),IF(LEFT(BF1596,1)="1",INDEX(係数_NOX・PM低減,MATCH(AY1596,【参考】排出係数!$AI$801:$AI$804,1),1),VLOOKUP(AU1596,INDEX((係数_バス貨物_ガソリン,係数_バス貨物_CNG,係数_バス貨物_軽油,係数_バス貨物_メタノール,係数_バス貨物_LPG),MATCH(AY1596,【参考】排出係数!$AI$4:$AI$671,1),1,BE1596):INDEX((係数_バス貨物_ガソリン,係数_バス貨物_CNG,係数_バス貨物_軽油,係数_バス貨物_メタノール,係数_バス貨物_LPG),MATCH(AY1596+1,【参考】排出係数!$AI$4:$AI$671,1)-1,5,BE1596),4,FALSE)),IF(AND(BE1596=3,LEFT(BF1596,1)="1"),0.48,VLOOKUP(AU1596,INDEX((係数_乗用_ガソリン,係数_乗用_CNG,係数_乗用_軽油,係数_乗用_メタノール,係数_乗用_LPG),1,1,BE1596):INDEX((係数_乗用_ガソリン,係数_乗用_CNG,係数_乗用_軽油,係数_乗用_メタノール,係数_乗用_LPG),125,5,BE1596),4,FALSE)))))</f>
        <v/>
      </c>
      <c r="AL1596" s="461" t="str">
        <f t="shared" si="919"/>
        <v/>
      </c>
      <c r="AM1596" s="460" t="str">
        <f>IF(AU1596="","",IF(OR(AZ1596=8,AZ1596=9),0,IF(OR(AW1596=3,AW1596=4,AW1596=5,AW1596=6),IF(LEFT(BH1596,1)="1",INDEX(係数_PM低減,MATCH(AY1596,【参考】排出係数!$AI$801:$AI$804,1),MATCH(BI1596,【参考】排出係数!$AL$798:$AO$798,1)),VLOOKUP(AU1596,INDEX((係数_バス貨物_ガソリン,係数_バス貨物_CNG,係数_バス貨物_軽油,係数_バス貨物_メタノール,係数_バス貨物_LPG),MATCH(AY1596,【参考】排出係数!$AI$4:$AI$671,1),1,BE1596):INDEX((係数_バス貨物_ガソリン,係数_バス貨物_CNG,係数_バス貨物_軽油,係数_バス貨物_メタノール,係数_バス貨物_LPG),MATCH(AY1596+1,【参考】排出係数!$AI$4:$AI$671,1)-1,5,BE1596),5,FALSE)),IF(AND(BE1596=3,LEFT(BF1596,1)="1"),0.055,VLOOKUP(AU1596,INDEX((係数_乗用_ガソリン,係数_乗用_CNG,係数_乗用_軽油,係数_乗用_メタノール,係数_乗用_LPG),1,1,BE1596):INDEX((係数_乗用_ガソリン,係数_乗用_CNG,係数_乗用_軽油,係数_乗用_メタノール,係数_乗用_LPG),125,5,BE1596),5,FALSE)))))</f>
        <v/>
      </c>
      <c r="AN1596" s="461" t="str">
        <f t="shared" si="920"/>
        <v/>
      </c>
      <c r="AO1596" s="462" t="str">
        <f t="shared" si="921"/>
        <v/>
      </c>
      <c r="AP1596" s="463" t="str">
        <f t="shared" si="922"/>
        <v/>
      </c>
      <c r="AQ1596" s="464"/>
      <c r="AR1596" s="619"/>
      <c r="AS1596" s="465" t="str">
        <f t="shared" si="930"/>
        <v/>
      </c>
      <c r="AT1596" s="465" t="str">
        <f t="shared" si="931"/>
        <v/>
      </c>
      <c r="AU1596" s="466" t="str">
        <f t="shared" si="932"/>
        <v/>
      </c>
      <c r="AV1596" s="467" t="str">
        <f t="shared" si="933"/>
        <v/>
      </c>
      <c r="AW1596" s="467" t="str">
        <f t="shared" si="934"/>
        <v/>
      </c>
      <c r="AX1596" s="467" t="str">
        <f t="shared" si="935"/>
        <v/>
      </c>
      <c r="AY1596" s="467" t="str">
        <f t="shared" si="936"/>
        <v/>
      </c>
      <c r="AZ1596" s="467" t="str">
        <f t="shared" si="937"/>
        <v/>
      </c>
      <c r="BA1596" s="468" t="str">
        <f>IF(AS1596="","",IF(OR(AU1596="",AU1596="-"),"－",IF(OR(AZ1596=8,AZ1596=9),"",IF(OR(AW1596=3,AW1596=4,AW1596=5,AW1596=6),VLOOKUP(AU1596,INDEX((係数_バス貨物_ガソリン,係数_バス貨物_CNG,係数_バス貨物_軽油,係数_バス貨物_メタノール,係数_バス貨物_LPG),MATCH(AY1596,【参考】排出係数!$AI$4:$AI$671,1),1,BE1596):INDEX((係数_バス貨物_ガソリン,係数_バス貨物_CNG,係数_バス貨物_軽油,係数_バス貨物_メタノール,係数_バス貨物_LPG),MATCH(AY1596+1,【参考】排出係数!$AI$4:$AI$671,1)-1,5,BE1596),2,FALSE),IF(OR(AW1596=1,AW1596=2),VLOOKUP(AU1596,INDEX((係数_乗用_ガソリン,係数_乗用_CNG,係数_乗用_軽油,係数_乗用_メタノール,係数_乗用_LPG),1,1,BE1596):INDEX((係数_乗用_ガソリン,係数_乗用_CNG,係数_乗用_軽油,係数_乗用_メタノール,係数_乗用_LPG),125,5,BE1596),2,FALSE))))))</f>
        <v/>
      </c>
      <c r="BB1596" s="468" t="str">
        <f>IF(T1596="","",IF(OR(AU1596="",AU1596="-"),"－",IF(OR(AZ1596=8,AZ1596=9),"",IF(OR(AW1596=3,AW1596=4,AW1596=5,AW1596=6),VLOOKUP(AU1596,INDEX((係数_バス貨物_ガソリン,係数_バス貨物_CNG,係数_バス貨物_軽油,係数_バス貨物_メタノール,係数_バス貨物_LPG),MATCH(AY1596,【参考】排出係数!$AI$4:$AI$671,1),1,BE1596):INDEX((係数_バス貨物_ガソリン,係数_バス貨物_CNG,係数_バス貨物_軽油,係数_バス貨物_メタノール,係数_バス貨物_LPG),MATCH(AY1596+1,【参考】排出係数!$AI$4:$AI$671,1)-1,5,BE1596),3,FALSE),IF(OR(AW1596=1,AW1596=2),VLOOKUP(AU1596,INDEX((係数_乗用_ガソリン,係数_乗用_CNG,係数_乗用_軽油,係数_乗用_メタノール,係数_乗用_LPG),1,1,BE1596):INDEX((係数_乗用_ガソリン,係数_乗用_CNG,係数_乗用_軽油,係数_乗用_メタノール,係数_乗用_LPG),125,5,BE1596),3,FALSE))))))</f>
        <v/>
      </c>
      <c r="BC1596" s="467" t="str">
        <f t="shared" si="938"/>
        <v/>
      </c>
      <c r="BD1596" s="567" t="str">
        <f t="shared" si="939"/>
        <v/>
      </c>
      <c r="BE1596" s="467" t="str">
        <f t="shared" si="940"/>
        <v/>
      </c>
      <c r="BF1596" s="469" t="str">
        <f t="shared" ca="1" si="941"/>
        <v/>
      </c>
      <c r="BG1596" s="469" t="str">
        <f t="shared" ca="1" si="942"/>
        <v/>
      </c>
      <c r="BH1596" s="467" t="str">
        <f t="shared" si="943"/>
        <v/>
      </c>
      <c r="BI1596" s="467" t="str">
        <f t="shared" ca="1" si="944"/>
        <v/>
      </c>
      <c r="BJ1596" s="469" t="str">
        <f t="shared" si="945"/>
        <v/>
      </c>
      <c r="BK1596" s="470" t="str">
        <f t="shared" si="929"/>
        <v/>
      </c>
      <c r="BL1596" s="775" t="str">
        <f t="shared" si="946"/>
        <v/>
      </c>
      <c r="BM1596" s="775" t="str">
        <f t="shared" si="947"/>
        <v/>
      </c>
    </row>
    <row r="1597" spans="1:65">
      <c r="A1597" s="473">
        <v>1541</v>
      </c>
      <c r="B1597" s="132"/>
      <c r="C1597" s="332"/>
      <c r="D1597" s="333"/>
      <c r="E1597" s="333"/>
      <c r="F1597" s="334"/>
      <c r="G1597" s="337"/>
      <c r="H1597" s="131"/>
      <c r="I1597" s="337"/>
      <c r="J1597" s="131"/>
      <c r="K1597" s="458" t="str">
        <f t="shared" si="910"/>
        <v/>
      </c>
      <c r="L1597" s="458">
        <f t="shared" si="911"/>
        <v>0</v>
      </c>
      <c r="M1597" s="458">
        <f t="shared" si="912"/>
        <v>0</v>
      </c>
      <c r="N1597" s="459" t="str">
        <f t="shared" si="923"/>
        <v/>
      </c>
      <c r="O1597" s="459" t="str">
        <f t="shared" si="924"/>
        <v/>
      </c>
      <c r="P1597" s="459" t="str">
        <f t="shared" si="925"/>
        <v/>
      </c>
      <c r="Q1597" s="459" t="str">
        <f t="shared" si="926"/>
        <v/>
      </c>
      <c r="R1597" s="459" t="str">
        <f t="shared" si="927"/>
        <v/>
      </c>
      <c r="S1597" s="459" t="str">
        <f t="shared" si="928"/>
        <v/>
      </c>
      <c r="T1597" s="566" t="str">
        <f t="shared" si="913"/>
        <v/>
      </c>
      <c r="U1597" s="702"/>
      <c r="V1597" s="132"/>
      <c r="W1597" s="133"/>
      <c r="X1597" s="134"/>
      <c r="Y1597" s="135"/>
      <c r="Z1597" s="137"/>
      <c r="AA1597" s="136"/>
      <c r="AB1597" s="566" t="str">
        <f t="shared" si="914"/>
        <v/>
      </c>
      <c r="AC1597" s="568" t="str">
        <f t="shared" si="915"/>
        <v/>
      </c>
      <c r="AD1597" s="137"/>
      <c r="AE1597" s="137"/>
      <c r="AF1597" s="138"/>
      <c r="AG1597" s="138"/>
      <c r="AH1597" s="592" t="str">
        <f t="shared" si="916"/>
        <v/>
      </c>
      <c r="AI1597" s="592" t="str">
        <f t="shared" si="917"/>
        <v/>
      </c>
      <c r="AJ1597" s="592" t="str">
        <f t="shared" si="918"/>
        <v/>
      </c>
      <c r="AK1597" s="460" t="str">
        <f>IF(AU1597="","",IF(OR(AZ1597=8,AZ1597=9),0,IF(OR(AW1597=3,AW1597=4,AW1597=5,AW1597=6),IF(LEFT(BF1597,1)="1",INDEX(係数_NOX・PM低減,MATCH(AY1597,【参考】排出係数!$AI$801:$AI$804,1),1),VLOOKUP(AU1597,INDEX((係数_バス貨物_ガソリン,係数_バス貨物_CNG,係数_バス貨物_軽油,係数_バス貨物_メタノール,係数_バス貨物_LPG),MATCH(AY1597,【参考】排出係数!$AI$4:$AI$671,1),1,BE1597):INDEX((係数_バス貨物_ガソリン,係数_バス貨物_CNG,係数_バス貨物_軽油,係数_バス貨物_メタノール,係数_バス貨物_LPG),MATCH(AY1597+1,【参考】排出係数!$AI$4:$AI$671,1)-1,5,BE1597),4,FALSE)),IF(AND(BE1597=3,LEFT(BF1597,1)="1"),0.48,VLOOKUP(AU1597,INDEX((係数_乗用_ガソリン,係数_乗用_CNG,係数_乗用_軽油,係数_乗用_メタノール,係数_乗用_LPG),1,1,BE1597):INDEX((係数_乗用_ガソリン,係数_乗用_CNG,係数_乗用_軽油,係数_乗用_メタノール,係数_乗用_LPG),125,5,BE1597),4,FALSE)))))</f>
        <v/>
      </c>
      <c r="AL1597" s="461" t="str">
        <f t="shared" si="919"/>
        <v/>
      </c>
      <c r="AM1597" s="460" t="str">
        <f>IF(AU1597="","",IF(OR(AZ1597=8,AZ1597=9),0,IF(OR(AW1597=3,AW1597=4,AW1597=5,AW1597=6),IF(LEFT(BH1597,1)="1",INDEX(係数_PM低減,MATCH(AY1597,【参考】排出係数!$AI$801:$AI$804,1),MATCH(BI1597,【参考】排出係数!$AL$798:$AO$798,1)),VLOOKUP(AU1597,INDEX((係数_バス貨物_ガソリン,係数_バス貨物_CNG,係数_バス貨物_軽油,係数_バス貨物_メタノール,係数_バス貨物_LPG),MATCH(AY1597,【参考】排出係数!$AI$4:$AI$671,1),1,BE1597):INDEX((係数_バス貨物_ガソリン,係数_バス貨物_CNG,係数_バス貨物_軽油,係数_バス貨物_メタノール,係数_バス貨物_LPG),MATCH(AY1597+1,【参考】排出係数!$AI$4:$AI$671,1)-1,5,BE1597),5,FALSE)),IF(AND(BE1597=3,LEFT(BF1597,1)="1"),0.055,VLOOKUP(AU1597,INDEX((係数_乗用_ガソリン,係数_乗用_CNG,係数_乗用_軽油,係数_乗用_メタノール,係数_乗用_LPG),1,1,BE1597):INDEX((係数_乗用_ガソリン,係数_乗用_CNG,係数_乗用_軽油,係数_乗用_メタノール,係数_乗用_LPG),125,5,BE1597),5,FALSE)))))</f>
        <v/>
      </c>
      <c r="AN1597" s="461" t="str">
        <f t="shared" si="920"/>
        <v/>
      </c>
      <c r="AO1597" s="462" t="str">
        <f t="shared" si="921"/>
        <v/>
      </c>
      <c r="AP1597" s="463" t="str">
        <f t="shared" si="922"/>
        <v/>
      </c>
      <c r="AQ1597" s="464"/>
      <c r="AR1597" s="619"/>
      <c r="AS1597" s="465" t="str">
        <f t="shared" si="930"/>
        <v/>
      </c>
      <c r="AT1597" s="465" t="str">
        <f t="shared" si="931"/>
        <v/>
      </c>
      <c r="AU1597" s="466" t="str">
        <f t="shared" si="932"/>
        <v/>
      </c>
      <c r="AV1597" s="467" t="str">
        <f t="shared" si="933"/>
        <v/>
      </c>
      <c r="AW1597" s="467" t="str">
        <f t="shared" si="934"/>
        <v/>
      </c>
      <c r="AX1597" s="467" t="str">
        <f t="shared" si="935"/>
        <v/>
      </c>
      <c r="AY1597" s="467" t="str">
        <f t="shared" si="936"/>
        <v/>
      </c>
      <c r="AZ1597" s="467" t="str">
        <f t="shared" si="937"/>
        <v/>
      </c>
      <c r="BA1597" s="468" t="str">
        <f>IF(AS1597="","",IF(OR(AU1597="",AU1597="-"),"－",IF(OR(AZ1597=8,AZ1597=9),"",IF(OR(AW1597=3,AW1597=4,AW1597=5,AW1597=6),VLOOKUP(AU1597,INDEX((係数_バス貨物_ガソリン,係数_バス貨物_CNG,係数_バス貨物_軽油,係数_バス貨物_メタノール,係数_バス貨物_LPG),MATCH(AY1597,【参考】排出係数!$AI$4:$AI$671,1),1,BE1597):INDEX((係数_バス貨物_ガソリン,係数_バス貨物_CNG,係数_バス貨物_軽油,係数_バス貨物_メタノール,係数_バス貨物_LPG),MATCH(AY1597+1,【参考】排出係数!$AI$4:$AI$671,1)-1,5,BE1597),2,FALSE),IF(OR(AW1597=1,AW1597=2),VLOOKUP(AU1597,INDEX((係数_乗用_ガソリン,係数_乗用_CNG,係数_乗用_軽油,係数_乗用_メタノール,係数_乗用_LPG),1,1,BE1597):INDEX((係数_乗用_ガソリン,係数_乗用_CNG,係数_乗用_軽油,係数_乗用_メタノール,係数_乗用_LPG),125,5,BE1597),2,FALSE))))))</f>
        <v/>
      </c>
      <c r="BB1597" s="468" t="str">
        <f>IF(T1597="","",IF(OR(AU1597="",AU1597="-"),"－",IF(OR(AZ1597=8,AZ1597=9),"",IF(OR(AW1597=3,AW1597=4,AW1597=5,AW1597=6),VLOOKUP(AU1597,INDEX((係数_バス貨物_ガソリン,係数_バス貨物_CNG,係数_バス貨物_軽油,係数_バス貨物_メタノール,係数_バス貨物_LPG),MATCH(AY1597,【参考】排出係数!$AI$4:$AI$671,1),1,BE1597):INDEX((係数_バス貨物_ガソリン,係数_バス貨物_CNG,係数_バス貨物_軽油,係数_バス貨物_メタノール,係数_バス貨物_LPG),MATCH(AY1597+1,【参考】排出係数!$AI$4:$AI$671,1)-1,5,BE1597),3,FALSE),IF(OR(AW1597=1,AW1597=2),VLOOKUP(AU1597,INDEX((係数_乗用_ガソリン,係数_乗用_CNG,係数_乗用_軽油,係数_乗用_メタノール,係数_乗用_LPG),1,1,BE1597):INDEX((係数_乗用_ガソリン,係数_乗用_CNG,係数_乗用_軽油,係数_乗用_メタノール,係数_乗用_LPG),125,5,BE1597),3,FALSE))))))</f>
        <v/>
      </c>
      <c r="BC1597" s="467" t="str">
        <f t="shared" si="938"/>
        <v/>
      </c>
      <c r="BD1597" s="567" t="str">
        <f t="shared" si="939"/>
        <v/>
      </c>
      <c r="BE1597" s="467" t="str">
        <f t="shared" si="940"/>
        <v/>
      </c>
      <c r="BF1597" s="469" t="str">
        <f t="shared" ca="1" si="941"/>
        <v/>
      </c>
      <c r="BG1597" s="469" t="str">
        <f t="shared" ca="1" si="942"/>
        <v/>
      </c>
      <c r="BH1597" s="467" t="str">
        <f t="shared" si="943"/>
        <v/>
      </c>
      <c r="BI1597" s="467" t="str">
        <f t="shared" ca="1" si="944"/>
        <v/>
      </c>
      <c r="BJ1597" s="469" t="str">
        <f t="shared" si="945"/>
        <v/>
      </c>
      <c r="BK1597" s="470" t="str">
        <f t="shared" si="929"/>
        <v/>
      </c>
      <c r="BL1597" s="775" t="str">
        <f t="shared" si="946"/>
        <v/>
      </c>
      <c r="BM1597" s="775" t="str">
        <f t="shared" si="947"/>
        <v/>
      </c>
    </row>
    <row r="1598" spans="1:65">
      <c r="A1598" s="473">
        <v>1542</v>
      </c>
      <c r="B1598" s="132"/>
      <c r="C1598" s="332"/>
      <c r="D1598" s="333"/>
      <c r="E1598" s="333"/>
      <c r="F1598" s="334"/>
      <c r="G1598" s="337"/>
      <c r="H1598" s="131"/>
      <c r="I1598" s="337"/>
      <c r="J1598" s="131"/>
      <c r="K1598" s="458" t="str">
        <f t="shared" si="910"/>
        <v/>
      </c>
      <c r="L1598" s="458">
        <f t="shared" si="911"/>
        <v>0</v>
      </c>
      <c r="M1598" s="458">
        <f t="shared" si="912"/>
        <v>0</v>
      </c>
      <c r="N1598" s="459" t="str">
        <f t="shared" si="923"/>
        <v/>
      </c>
      <c r="O1598" s="459" t="str">
        <f t="shared" si="924"/>
        <v/>
      </c>
      <c r="P1598" s="459" t="str">
        <f t="shared" si="925"/>
        <v/>
      </c>
      <c r="Q1598" s="459" t="str">
        <f t="shared" si="926"/>
        <v/>
      </c>
      <c r="R1598" s="459" t="str">
        <f t="shared" si="927"/>
        <v/>
      </c>
      <c r="S1598" s="459" t="str">
        <f t="shared" si="928"/>
        <v/>
      </c>
      <c r="T1598" s="566" t="str">
        <f t="shared" si="913"/>
        <v/>
      </c>
      <c r="U1598" s="702"/>
      <c r="V1598" s="132"/>
      <c r="W1598" s="133"/>
      <c r="X1598" s="134"/>
      <c r="Y1598" s="135"/>
      <c r="Z1598" s="137"/>
      <c r="AA1598" s="136"/>
      <c r="AB1598" s="566" t="str">
        <f t="shared" si="914"/>
        <v/>
      </c>
      <c r="AC1598" s="568" t="str">
        <f t="shared" si="915"/>
        <v/>
      </c>
      <c r="AD1598" s="137"/>
      <c r="AE1598" s="137"/>
      <c r="AF1598" s="138"/>
      <c r="AG1598" s="138"/>
      <c r="AH1598" s="592" t="str">
        <f t="shared" si="916"/>
        <v/>
      </c>
      <c r="AI1598" s="592" t="str">
        <f t="shared" si="917"/>
        <v/>
      </c>
      <c r="AJ1598" s="592" t="str">
        <f t="shared" si="918"/>
        <v/>
      </c>
      <c r="AK1598" s="460" t="str">
        <f>IF(AU1598="","",IF(OR(AZ1598=8,AZ1598=9),0,IF(OR(AW1598=3,AW1598=4,AW1598=5,AW1598=6),IF(LEFT(BF1598,1)="1",INDEX(係数_NOX・PM低減,MATCH(AY1598,【参考】排出係数!$AI$801:$AI$804,1),1),VLOOKUP(AU1598,INDEX((係数_バス貨物_ガソリン,係数_バス貨物_CNG,係数_バス貨物_軽油,係数_バス貨物_メタノール,係数_バス貨物_LPG),MATCH(AY1598,【参考】排出係数!$AI$4:$AI$671,1),1,BE1598):INDEX((係数_バス貨物_ガソリン,係数_バス貨物_CNG,係数_バス貨物_軽油,係数_バス貨物_メタノール,係数_バス貨物_LPG),MATCH(AY1598+1,【参考】排出係数!$AI$4:$AI$671,1)-1,5,BE1598),4,FALSE)),IF(AND(BE1598=3,LEFT(BF1598,1)="1"),0.48,VLOOKUP(AU1598,INDEX((係数_乗用_ガソリン,係数_乗用_CNG,係数_乗用_軽油,係数_乗用_メタノール,係数_乗用_LPG),1,1,BE1598):INDEX((係数_乗用_ガソリン,係数_乗用_CNG,係数_乗用_軽油,係数_乗用_メタノール,係数_乗用_LPG),125,5,BE1598),4,FALSE)))))</f>
        <v/>
      </c>
      <c r="AL1598" s="461" t="str">
        <f t="shared" si="919"/>
        <v/>
      </c>
      <c r="AM1598" s="460" t="str">
        <f>IF(AU1598="","",IF(OR(AZ1598=8,AZ1598=9),0,IF(OR(AW1598=3,AW1598=4,AW1598=5,AW1598=6),IF(LEFT(BH1598,1)="1",INDEX(係数_PM低減,MATCH(AY1598,【参考】排出係数!$AI$801:$AI$804,1),MATCH(BI1598,【参考】排出係数!$AL$798:$AO$798,1)),VLOOKUP(AU1598,INDEX((係数_バス貨物_ガソリン,係数_バス貨物_CNG,係数_バス貨物_軽油,係数_バス貨物_メタノール,係数_バス貨物_LPG),MATCH(AY1598,【参考】排出係数!$AI$4:$AI$671,1),1,BE1598):INDEX((係数_バス貨物_ガソリン,係数_バス貨物_CNG,係数_バス貨物_軽油,係数_バス貨物_メタノール,係数_バス貨物_LPG),MATCH(AY1598+1,【参考】排出係数!$AI$4:$AI$671,1)-1,5,BE1598),5,FALSE)),IF(AND(BE1598=3,LEFT(BF1598,1)="1"),0.055,VLOOKUP(AU1598,INDEX((係数_乗用_ガソリン,係数_乗用_CNG,係数_乗用_軽油,係数_乗用_メタノール,係数_乗用_LPG),1,1,BE1598):INDEX((係数_乗用_ガソリン,係数_乗用_CNG,係数_乗用_軽油,係数_乗用_メタノール,係数_乗用_LPG),125,5,BE1598),5,FALSE)))))</f>
        <v/>
      </c>
      <c r="AN1598" s="461" t="str">
        <f t="shared" si="920"/>
        <v/>
      </c>
      <c r="AO1598" s="462" t="str">
        <f t="shared" si="921"/>
        <v/>
      </c>
      <c r="AP1598" s="463" t="str">
        <f t="shared" si="922"/>
        <v/>
      </c>
      <c r="AQ1598" s="464"/>
      <c r="AR1598" s="619"/>
      <c r="AS1598" s="465" t="str">
        <f t="shared" si="930"/>
        <v/>
      </c>
      <c r="AT1598" s="465" t="str">
        <f t="shared" si="931"/>
        <v/>
      </c>
      <c r="AU1598" s="466" t="str">
        <f t="shared" si="932"/>
        <v/>
      </c>
      <c r="AV1598" s="467" t="str">
        <f t="shared" si="933"/>
        <v/>
      </c>
      <c r="AW1598" s="467" t="str">
        <f t="shared" si="934"/>
        <v/>
      </c>
      <c r="AX1598" s="467" t="str">
        <f t="shared" si="935"/>
        <v/>
      </c>
      <c r="AY1598" s="467" t="str">
        <f t="shared" si="936"/>
        <v/>
      </c>
      <c r="AZ1598" s="467" t="str">
        <f t="shared" si="937"/>
        <v/>
      </c>
      <c r="BA1598" s="468" t="str">
        <f>IF(AS1598="","",IF(OR(AU1598="",AU1598="-"),"－",IF(OR(AZ1598=8,AZ1598=9),"",IF(OR(AW1598=3,AW1598=4,AW1598=5,AW1598=6),VLOOKUP(AU1598,INDEX((係数_バス貨物_ガソリン,係数_バス貨物_CNG,係数_バス貨物_軽油,係数_バス貨物_メタノール,係数_バス貨物_LPG),MATCH(AY1598,【参考】排出係数!$AI$4:$AI$671,1),1,BE1598):INDEX((係数_バス貨物_ガソリン,係数_バス貨物_CNG,係数_バス貨物_軽油,係数_バス貨物_メタノール,係数_バス貨物_LPG),MATCH(AY1598+1,【参考】排出係数!$AI$4:$AI$671,1)-1,5,BE1598),2,FALSE),IF(OR(AW1598=1,AW1598=2),VLOOKUP(AU1598,INDEX((係数_乗用_ガソリン,係数_乗用_CNG,係数_乗用_軽油,係数_乗用_メタノール,係数_乗用_LPG),1,1,BE1598):INDEX((係数_乗用_ガソリン,係数_乗用_CNG,係数_乗用_軽油,係数_乗用_メタノール,係数_乗用_LPG),125,5,BE1598),2,FALSE))))))</f>
        <v/>
      </c>
      <c r="BB1598" s="468" t="str">
        <f>IF(T1598="","",IF(OR(AU1598="",AU1598="-"),"－",IF(OR(AZ1598=8,AZ1598=9),"",IF(OR(AW1598=3,AW1598=4,AW1598=5,AW1598=6),VLOOKUP(AU1598,INDEX((係数_バス貨物_ガソリン,係数_バス貨物_CNG,係数_バス貨物_軽油,係数_バス貨物_メタノール,係数_バス貨物_LPG),MATCH(AY1598,【参考】排出係数!$AI$4:$AI$671,1),1,BE1598):INDEX((係数_バス貨物_ガソリン,係数_バス貨物_CNG,係数_バス貨物_軽油,係数_バス貨物_メタノール,係数_バス貨物_LPG),MATCH(AY1598+1,【参考】排出係数!$AI$4:$AI$671,1)-1,5,BE1598),3,FALSE),IF(OR(AW1598=1,AW1598=2),VLOOKUP(AU1598,INDEX((係数_乗用_ガソリン,係数_乗用_CNG,係数_乗用_軽油,係数_乗用_メタノール,係数_乗用_LPG),1,1,BE1598):INDEX((係数_乗用_ガソリン,係数_乗用_CNG,係数_乗用_軽油,係数_乗用_メタノール,係数_乗用_LPG),125,5,BE1598),3,FALSE))))))</f>
        <v/>
      </c>
      <c r="BC1598" s="467" t="str">
        <f t="shared" si="938"/>
        <v/>
      </c>
      <c r="BD1598" s="567" t="str">
        <f t="shared" si="939"/>
        <v/>
      </c>
      <c r="BE1598" s="467" t="str">
        <f t="shared" si="940"/>
        <v/>
      </c>
      <c r="BF1598" s="469" t="str">
        <f t="shared" ca="1" si="941"/>
        <v/>
      </c>
      <c r="BG1598" s="469" t="str">
        <f t="shared" ca="1" si="942"/>
        <v/>
      </c>
      <c r="BH1598" s="467" t="str">
        <f t="shared" si="943"/>
        <v/>
      </c>
      <c r="BI1598" s="467" t="str">
        <f t="shared" ca="1" si="944"/>
        <v/>
      </c>
      <c r="BJ1598" s="469" t="str">
        <f t="shared" si="945"/>
        <v/>
      </c>
      <c r="BK1598" s="470" t="str">
        <f t="shared" si="929"/>
        <v/>
      </c>
      <c r="BL1598" s="775" t="str">
        <f t="shared" si="946"/>
        <v/>
      </c>
      <c r="BM1598" s="775" t="str">
        <f t="shared" si="947"/>
        <v/>
      </c>
    </row>
    <row r="1599" spans="1:65">
      <c r="A1599" s="473">
        <v>1543</v>
      </c>
      <c r="B1599" s="132"/>
      <c r="C1599" s="332"/>
      <c r="D1599" s="333"/>
      <c r="E1599" s="333"/>
      <c r="F1599" s="334"/>
      <c r="G1599" s="337"/>
      <c r="H1599" s="131"/>
      <c r="I1599" s="337"/>
      <c r="J1599" s="131"/>
      <c r="K1599" s="458" t="str">
        <f t="shared" si="910"/>
        <v/>
      </c>
      <c r="L1599" s="458">
        <f t="shared" si="911"/>
        <v>0</v>
      </c>
      <c r="M1599" s="458">
        <f t="shared" si="912"/>
        <v>0</v>
      </c>
      <c r="N1599" s="459" t="str">
        <f t="shared" si="923"/>
        <v/>
      </c>
      <c r="O1599" s="459" t="str">
        <f t="shared" si="924"/>
        <v/>
      </c>
      <c r="P1599" s="459" t="str">
        <f t="shared" si="925"/>
        <v/>
      </c>
      <c r="Q1599" s="459" t="str">
        <f t="shared" si="926"/>
        <v/>
      </c>
      <c r="R1599" s="459" t="str">
        <f t="shared" si="927"/>
        <v/>
      </c>
      <c r="S1599" s="459" t="str">
        <f t="shared" si="928"/>
        <v/>
      </c>
      <c r="T1599" s="566" t="str">
        <f t="shared" si="913"/>
        <v/>
      </c>
      <c r="U1599" s="702"/>
      <c r="V1599" s="132"/>
      <c r="W1599" s="133"/>
      <c r="X1599" s="134"/>
      <c r="Y1599" s="135"/>
      <c r="Z1599" s="137"/>
      <c r="AA1599" s="136"/>
      <c r="AB1599" s="566" t="str">
        <f t="shared" si="914"/>
        <v/>
      </c>
      <c r="AC1599" s="568" t="str">
        <f t="shared" si="915"/>
        <v/>
      </c>
      <c r="AD1599" s="137"/>
      <c r="AE1599" s="137"/>
      <c r="AF1599" s="138"/>
      <c r="AG1599" s="138"/>
      <c r="AH1599" s="592" t="str">
        <f t="shared" si="916"/>
        <v/>
      </c>
      <c r="AI1599" s="592" t="str">
        <f t="shared" si="917"/>
        <v/>
      </c>
      <c r="AJ1599" s="592" t="str">
        <f t="shared" si="918"/>
        <v/>
      </c>
      <c r="AK1599" s="460" t="str">
        <f>IF(AU1599="","",IF(OR(AZ1599=8,AZ1599=9),0,IF(OR(AW1599=3,AW1599=4,AW1599=5,AW1599=6),IF(LEFT(BF1599,1)="1",INDEX(係数_NOX・PM低減,MATCH(AY1599,【参考】排出係数!$AI$801:$AI$804,1),1),VLOOKUP(AU1599,INDEX((係数_バス貨物_ガソリン,係数_バス貨物_CNG,係数_バス貨物_軽油,係数_バス貨物_メタノール,係数_バス貨物_LPG),MATCH(AY1599,【参考】排出係数!$AI$4:$AI$671,1),1,BE1599):INDEX((係数_バス貨物_ガソリン,係数_バス貨物_CNG,係数_バス貨物_軽油,係数_バス貨物_メタノール,係数_バス貨物_LPG),MATCH(AY1599+1,【参考】排出係数!$AI$4:$AI$671,1)-1,5,BE1599),4,FALSE)),IF(AND(BE1599=3,LEFT(BF1599,1)="1"),0.48,VLOOKUP(AU1599,INDEX((係数_乗用_ガソリン,係数_乗用_CNG,係数_乗用_軽油,係数_乗用_メタノール,係数_乗用_LPG),1,1,BE1599):INDEX((係数_乗用_ガソリン,係数_乗用_CNG,係数_乗用_軽油,係数_乗用_メタノール,係数_乗用_LPG),125,5,BE1599),4,FALSE)))))</f>
        <v/>
      </c>
      <c r="AL1599" s="461" t="str">
        <f t="shared" si="919"/>
        <v/>
      </c>
      <c r="AM1599" s="460" t="str">
        <f>IF(AU1599="","",IF(OR(AZ1599=8,AZ1599=9),0,IF(OR(AW1599=3,AW1599=4,AW1599=5,AW1599=6),IF(LEFT(BH1599,1)="1",INDEX(係数_PM低減,MATCH(AY1599,【参考】排出係数!$AI$801:$AI$804,1),MATCH(BI1599,【参考】排出係数!$AL$798:$AO$798,1)),VLOOKUP(AU1599,INDEX((係数_バス貨物_ガソリン,係数_バス貨物_CNG,係数_バス貨物_軽油,係数_バス貨物_メタノール,係数_バス貨物_LPG),MATCH(AY1599,【参考】排出係数!$AI$4:$AI$671,1),1,BE1599):INDEX((係数_バス貨物_ガソリン,係数_バス貨物_CNG,係数_バス貨物_軽油,係数_バス貨物_メタノール,係数_バス貨物_LPG),MATCH(AY1599+1,【参考】排出係数!$AI$4:$AI$671,1)-1,5,BE1599),5,FALSE)),IF(AND(BE1599=3,LEFT(BF1599,1)="1"),0.055,VLOOKUP(AU1599,INDEX((係数_乗用_ガソリン,係数_乗用_CNG,係数_乗用_軽油,係数_乗用_メタノール,係数_乗用_LPG),1,1,BE1599):INDEX((係数_乗用_ガソリン,係数_乗用_CNG,係数_乗用_軽油,係数_乗用_メタノール,係数_乗用_LPG),125,5,BE1599),5,FALSE)))))</f>
        <v/>
      </c>
      <c r="AN1599" s="461" t="str">
        <f t="shared" si="920"/>
        <v/>
      </c>
      <c r="AO1599" s="462" t="str">
        <f t="shared" si="921"/>
        <v/>
      </c>
      <c r="AP1599" s="463" t="str">
        <f t="shared" si="922"/>
        <v/>
      </c>
      <c r="AQ1599" s="464"/>
      <c r="AR1599" s="619"/>
      <c r="AS1599" s="465" t="str">
        <f t="shared" si="930"/>
        <v/>
      </c>
      <c r="AT1599" s="465" t="str">
        <f t="shared" si="931"/>
        <v/>
      </c>
      <c r="AU1599" s="466" t="str">
        <f t="shared" si="932"/>
        <v/>
      </c>
      <c r="AV1599" s="467" t="str">
        <f t="shared" si="933"/>
        <v/>
      </c>
      <c r="AW1599" s="467" t="str">
        <f t="shared" si="934"/>
        <v/>
      </c>
      <c r="AX1599" s="467" t="str">
        <f t="shared" si="935"/>
        <v/>
      </c>
      <c r="AY1599" s="467" t="str">
        <f t="shared" si="936"/>
        <v/>
      </c>
      <c r="AZ1599" s="467" t="str">
        <f t="shared" si="937"/>
        <v/>
      </c>
      <c r="BA1599" s="468" t="str">
        <f>IF(AS1599="","",IF(OR(AU1599="",AU1599="-"),"－",IF(OR(AZ1599=8,AZ1599=9),"",IF(OR(AW1599=3,AW1599=4,AW1599=5,AW1599=6),VLOOKUP(AU1599,INDEX((係数_バス貨物_ガソリン,係数_バス貨物_CNG,係数_バス貨物_軽油,係数_バス貨物_メタノール,係数_バス貨物_LPG),MATCH(AY1599,【参考】排出係数!$AI$4:$AI$671,1),1,BE1599):INDEX((係数_バス貨物_ガソリン,係数_バス貨物_CNG,係数_バス貨物_軽油,係数_バス貨物_メタノール,係数_バス貨物_LPG),MATCH(AY1599+1,【参考】排出係数!$AI$4:$AI$671,1)-1,5,BE1599),2,FALSE),IF(OR(AW1599=1,AW1599=2),VLOOKUP(AU1599,INDEX((係数_乗用_ガソリン,係数_乗用_CNG,係数_乗用_軽油,係数_乗用_メタノール,係数_乗用_LPG),1,1,BE1599):INDEX((係数_乗用_ガソリン,係数_乗用_CNG,係数_乗用_軽油,係数_乗用_メタノール,係数_乗用_LPG),125,5,BE1599),2,FALSE))))))</f>
        <v/>
      </c>
      <c r="BB1599" s="468" t="str">
        <f>IF(T1599="","",IF(OR(AU1599="",AU1599="-"),"－",IF(OR(AZ1599=8,AZ1599=9),"",IF(OR(AW1599=3,AW1599=4,AW1599=5,AW1599=6),VLOOKUP(AU1599,INDEX((係数_バス貨物_ガソリン,係数_バス貨物_CNG,係数_バス貨物_軽油,係数_バス貨物_メタノール,係数_バス貨物_LPG),MATCH(AY1599,【参考】排出係数!$AI$4:$AI$671,1),1,BE1599):INDEX((係数_バス貨物_ガソリン,係数_バス貨物_CNG,係数_バス貨物_軽油,係数_バス貨物_メタノール,係数_バス貨物_LPG),MATCH(AY1599+1,【参考】排出係数!$AI$4:$AI$671,1)-1,5,BE1599),3,FALSE),IF(OR(AW1599=1,AW1599=2),VLOOKUP(AU1599,INDEX((係数_乗用_ガソリン,係数_乗用_CNG,係数_乗用_軽油,係数_乗用_メタノール,係数_乗用_LPG),1,1,BE1599):INDEX((係数_乗用_ガソリン,係数_乗用_CNG,係数_乗用_軽油,係数_乗用_メタノール,係数_乗用_LPG),125,5,BE1599),3,FALSE))))))</f>
        <v/>
      </c>
      <c r="BC1599" s="467" t="str">
        <f t="shared" si="938"/>
        <v/>
      </c>
      <c r="BD1599" s="567" t="str">
        <f t="shared" si="939"/>
        <v/>
      </c>
      <c r="BE1599" s="467" t="str">
        <f t="shared" si="940"/>
        <v/>
      </c>
      <c r="BF1599" s="469" t="str">
        <f t="shared" ca="1" si="941"/>
        <v/>
      </c>
      <c r="BG1599" s="469" t="str">
        <f t="shared" ca="1" si="942"/>
        <v/>
      </c>
      <c r="BH1599" s="467" t="str">
        <f t="shared" si="943"/>
        <v/>
      </c>
      <c r="BI1599" s="467" t="str">
        <f t="shared" ca="1" si="944"/>
        <v/>
      </c>
      <c r="BJ1599" s="469" t="str">
        <f t="shared" si="945"/>
        <v/>
      </c>
      <c r="BK1599" s="470" t="str">
        <f t="shared" si="929"/>
        <v/>
      </c>
      <c r="BL1599" s="775" t="str">
        <f t="shared" si="946"/>
        <v/>
      </c>
      <c r="BM1599" s="775" t="str">
        <f t="shared" si="947"/>
        <v/>
      </c>
    </row>
    <row r="1600" spans="1:65">
      <c r="A1600" s="473">
        <v>1544</v>
      </c>
      <c r="B1600" s="132"/>
      <c r="C1600" s="332"/>
      <c r="D1600" s="333"/>
      <c r="E1600" s="333"/>
      <c r="F1600" s="334"/>
      <c r="G1600" s="337"/>
      <c r="H1600" s="131"/>
      <c r="I1600" s="337"/>
      <c r="J1600" s="131"/>
      <c r="K1600" s="458" t="str">
        <f t="shared" si="910"/>
        <v/>
      </c>
      <c r="L1600" s="458">
        <f t="shared" si="911"/>
        <v>0</v>
      </c>
      <c r="M1600" s="458">
        <f t="shared" si="912"/>
        <v>0</v>
      </c>
      <c r="N1600" s="459" t="str">
        <f t="shared" si="923"/>
        <v/>
      </c>
      <c r="O1600" s="459" t="str">
        <f t="shared" si="924"/>
        <v/>
      </c>
      <c r="P1600" s="459" t="str">
        <f t="shared" si="925"/>
        <v/>
      </c>
      <c r="Q1600" s="459" t="str">
        <f t="shared" si="926"/>
        <v/>
      </c>
      <c r="R1600" s="459" t="str">
        <f t="shared" si="927"/>
        <v/>
      </c>
      <c r="S1600" s="459" t="str">
        <f t="shared" si="928"/>
        <v/>
      </c>
      <c r="T1600" s="566" t="str">
        <f t="shared" si="913"/>
        <v/>
      </c>
      <c r="U1600" s="702"/>
      <c r="V1600" s="132"/>
      <c r="W1600" s="133"/>
      <c r="X1600" s="134"/>
      <c r="Y1600" s="135"/>
      <c r="Z1600" s="137"/>
      <c r="AA1600" s="136"/>
      <c r="AB1600" s="566" t="str">
        <f t="shared" si="914"/>
        <v/>
      </c>
      <c r="AC1600" s="568" t="str">
        <f t="shared" si="915"/>
        <v/>
      </c>
      <c r="AD1600" s="137"/>
      <c r="AE1600" s="137"/>
      <c r="AF1600" s="138"/>
      <c r="AG1600" s="138"/>
      <c r="AH1600" s="592" t="str">
        <f t="shared" si="916"/>
        <v/>
      </c>
      <c r="AI1600" s="592" t="str">
        <f t="shared" si="917"/>
        <v/>
      </c>
      <c r="AJ1600" s="592" t="str">
        <f t="shared" si="918"/>
        <v/>
      </c>
      <c r="AK1600" s="460" t="str">
        <f>IF(AU1600="","",IF(OR(AZ1600=8,AZ1600=9),0,IF(OR(AW1600=3,AW1600=4,AW1600=5,AW1600=6),IF(LEFT(BF1600,1)="1",INDEX(係数_NOX・PM低減,MATCH(AY1600,【参考】排出係数!$AI$801:$AI$804,1),1),VLOOKUP(AU1600,INDEX((係数_バス貨物_ガソリン,係数_バス貨物_CNG,係数_バス貨物_軽油,係数_バス貨物_メタノール,係数_バス貨物_LPG),MATCH(AY1600,【参考】排出係数!$AI$4:$AI$671,1),1,BE1600):INDEX((係数_バス貨物_ガソリン,係数_バス貨物_CNG,係数_バス貨物_軽油,係数_バス貨物_メタノール,係数_バス貨物_LPG),MATCH(AY1600+1,【参考】排出係数!$AI$4:$AI$671,1)-1,5,BE1600),4,FALSE)),IF(AND(BE1600=3,LEFT(BF1600,1)="1"),0.48,VLOOKUP(AU1600,INDEX((係数_乗用_ガソリン,係数_乗用_CNG,係数_乗用_軽油,係数_乗用_メタノール,係数_乗用_LPG),1,1,BE1600):INDEX((係数_乗用_ガソリン,係数_乗用_CNG,係数_乗用_軽油,係数_乗用_メタノール,係数_乗用_LPG),125,5,BE1600),4,FALSE)))))</f>
        <v/>
      </c>
      <c r="AL1600" s="461" t="str">
        <f t="shared" si="919"/>
        <v/>
      </c>
      <c r="AM1600" s="460" t="str">
        <f>IF(AU1600="","",IF(OR(AZ1600=8,AZ1600=9),0,IF(OR(AW1600=3,AW1600=4,AW1600=5,AW1600=6),IF(LEFT(BH1600,1)="1",INDEX(係数_PM低減,MATCH(AY1600,【参考】排出係数!$AI$801:$AI$804,1),MATCH(BI1600,【参考】排出係数!$AL$798:$AO$798,1)),VLOOKUP(AU1600,INDEX((係数_バス貨物_ガソリン,係数_バス貨物_CNG,係数_バス貨物_軽油,係数_バス貨物_メタノール,係数_バス貨物_LPG),MATCH(AY1600,【参考】排出係数!$AI$4:$AI$671,1),1,BE1600):INDEX((係数_バス貨物_ガソリン,係数_バス貨物_CNG,係数_バス貨物_軽油,係数_バス貨物_メタノール,係数_バス貨物_LPG),MATCH(AY1600+1,【参考】排出係数!$AI$4:$AI$671,1)-1,5,BE1600),5,FALSE)),IF(AND(BE1600=3,LEFT(BF1600,1)="1"),0.055,VLOOKUP(AU1600,INDEX((係数_乗用_ガソリン,係数_乗用_CNG,係数_乗用_軽油,係数_乗用_メタノール,係数_乗用_LPG),1,1,BE1600):INDEX((係数_乗用_ガソリン,係数_乗用_CNG,係数_乗用_軽油,係数_乗用_メタノール,係数_乗用_LPG),125,5,BE1600),5,FALSE)))))</f>
        <v/>
      </c>
      <c r="AN1600" s="461" t="str">
        <f t="shared" si="920"/>
        <v/>
      </c>
      <c r="AO1600" s="462" t="str">
        <f t="shared" si="921"/>
        <v/>
      </c>
      <c r="AP1600" s="463" t="str">
        <f t="shared" si="922"/>
        <v/>
      </c>
      <c r="AQ1600" s="464"/>
      <c r="AR1600" s="619"/>
      <c r="AS1600" s="465" t="str">
        <f t="shared" si="930"/>
        <v/>
      </c>
      <c r="AT1600" s="465" t="str">
        <f t="shared" si="931"/>
        <v/>
      </c>
      <c r="AU1600" s="466" t="str">
        <f t="shared" si="932"/>
        <v/>
      </c>
      <c r="AV1600" s="467" t="str">
        <f t="shared" si="933"/>
        <v/>
      </c>
      <c r="AW1600" s="467" t="str">
        <f t="shared" si="934"/>
        <v/>
      </c>
      <c r="AX1600" s="467" t="str">
        <f t="shared" si="935"/>
        <v/>
      </c>
      <c r="AY1600" s="467" t="str">
        <f t="shared" si="936"/>
        <v/>
      </c>
      <c r="AZ1600" s="467" t="str">
        <f t="shared" si="937"/>
        <v/>
      </c>
      <c r="BA1600" s="468" t="str">
        <f>IF(AS1600="","",IF(OR(AU1600="",AU1600="-"),"－",IF(OR(AZ1600=8,AZ1600=9),"",IF(OR(AW1600=3,AW1600=4,AW1600=5,AW1600=6),VLOOKUP(AU1600,INDEX((係数_バス貨物_ガソリン,係数_バス貨物_CNG,係数_バス貨物_軽油,係数_バス貨物_メタノール,係数_バス貨物_LPG),MATCH(AY1600,【参考】排出係数!$AI$4:$AI$671,1),1,BE1600):INDEX((係数_バス貨物_ガソリン,係数_バス貨物_CNG,係数_バス貨物_軽油,係数_バス貨物_メタノール,係数_バス貨物_LPG),MATCH(AY1600+1,【参考】排出係数!$AI$4:$AI$671,1)-1,5,BE1600),2,FALSE),IF(OR(AW1600=1,AW1600=2),VLOOKUP(AU1600,INDEX((係数_乗用_ガソリン,係数_乗用_CNG,係数_乗用_軽油,係数_乗用_メタノール,係数_乗用_LPG),1,1,BE1600):INDEX((係数_乗用_ガソリン,係数_乗用_CNG,係数_乗用_軽油,係数_乗用_メタノール,係数_乗用_LPG),125,5,BE1600),2,FALSE))))))</f>
        <v/>
      </c>
      <c r="BB1600" s="468" t="str">
        <f>IF(T1600="","",IF(OR(AU1600="",AU1600="-"),"－",IF(OR(AZ1600=8,AZ1600=9),"",IF(OR(AW1600=3,AW1600=4,AW1600=5,AW1600=6),VLOOKUP(AU1600,INDEX((係数_バス貨物_ガソリン,係数_バス貨物_CNG,係数_バス貨物_軽油,係数_バス貨物_メタノール,係数_バス貨物_LPG),MATCH(AY1600,【参考】排出係数!$AI$4:$AI$671,1),1,BE1600):INDEX((係数_バス貨物_ガソリン,係数_バス貨物_CNG,係数_バス貨物_軽油,係数_バス貨物_メタノール,係数_バス貨物_LPG),MATCH(AY1600+1,【参考】排出係数!$AI$4:$AI$671,1)-1,5,BE1600),3,FALSE),IF(OR(AW1600=1,AW1600=2),VLOOKUP(AU1600,INDEX((係数_乗用_ガソリン,係数_乗用_CNG,係数_乗用_軽油,係数_乗用_メタノール,係数_乗用_LPG),1,1,BE1600):INDEX((係数_乗用_ガソリン,係数_乗用_CNG,係数_乗用_軽油,係数_乗用_メタノール,係数_乗用_LPG),125,5,BE1600),3,FALSE))))))</f>
        <v/>
      </c>
      <c r="BC1600" s="467" t="str">
        <f t="shared" si="938"/>
        <v/>
      </c>
      <c r="BD1600" s="567" t="str">
        <f t="shared" si="939"/>
        <v/>
      </c>
      <c r="BE1600" s="467" t="str">
        <f t="shared" si="940"/>
        <v/>
      </c>
      <c r="BF1600" s="469" t="str">
        <f t="shared" ca="1" si="941"/>
        <v/>
      </c>
      <c r="BG1600" s="469" t="str">
        <f t="shared" ca="1" si="942"/>
        <v/>
      </c>
      <c r="BH1600" s="467" t="str">
        <f t="shared" si="943"/>
        <v/>
      </c>
      <c r="BI1600" s="467" t="str">
        <f t="shared" ca="1" si="944"/>
        <v/>
      </c>
      <c r="BJ1600" s="469" t="str">
        <f t="shared" si="945"/>
        <v/>
      </c>
      <c r="BK1600" s="470" t="str">
        <f t="shared" si="929"/>
        <v/>
      </c>
      <c r="BL1600" s="775" t="str">
        <f t="shared" si="946"/>
        <v/>
      </c>
      <c r="BM1600" s="775" t="str">
        <f t="shared" si="947"/>
        <v/>
      </c>
    </row>
    <row r="1601" spans="1:65">
      <c r="A1601" s="473">
        <v>1545</v>
      </c>
      <c r="B1601" s="132"/>
      <c r="C1601" s="332"/>
      <c r="D1601" s="333"/>
      <c r="E1601" s="333"/>
      <c r="F1601" s="334"/>
      <c r="G1601" s="337"/>
      <c r="H1601" s="131"/>
      <c r="I1601" s="337"/>
      <c r="J1601" s="131"/>
      <c r="K1601" s="458" t="str">
        <f t="shared" si="910"/>
        <v/>
      </c>
      <c r="L1601" s="458">
        <f t="shared" si="911"/>
        <v>0</v>
      </c>
      <c r="M1601" s="458">
        <f t="shared" si="912"/>
        <v>0</v>
      </c>
      <c r="N1601" s="459" t="str">
        <f t="shared" si="923"/>
        <v/>
      </c>
      <c r="O1601" s="459" t="str">
        <f t="shared" si="924"/>
        <v/>
      </c>
      <c r="P1601" s="459" t="str">
        <f t="shared" si="925"/>
        <v/>
      </c>
      <c r="Q1601" s="459" t="str">
        <f t="shared" si="926"/>
        <v/>
      </c>
      <c r="R1601" s="459" t="str">
        <f t="shared" si="927"/>
        <v/>
      </c>
      <c r="S1601" s="459" t="str">
        <f t="shared" si="928"/>
        <v/>
      </c>
      <c r="T1601" s="566" t="str">
        <f t="shared" si="913"/>
        <v/>
      </c>
      <c r="U1601" s="702"/>
      <c r="V1601" s="132"/>
      <c r="W1601" s="133"/>
      <c r="X1601" s="134"/>
      <c r="Y1601" s="135"/>
      <c r="Z1601" s="137"/>
      <c r="AA1601" s="136"/>
      <c r="AB1601" s="566" t="str">
        <f t="shared" si="914"/>
        <v/>
      </c>
      <c r="AC1601" s="568" t="str">
        <f t="shared" si="915"/>
        <v/>
      </c>
      <c r="AD1601" s="137"/>
      <c r="AE1601" s="137"/>
      <c r="AF1601" s="138"/>
      <c r="AG1601" s="138"/>
      <c r="AH1601" s="592" t="str">
        <f t="shared" si="916"/>
        <v/>
      </c>
      <c r="AI1601" s="592" t="str">
        <f t="shared" si="917"/>
        <v/>
      </c>
      <c r="AJ1601" s="592" t="str">
        <f t="shared" si="918"/>
        <v/>
      </c>
      <c r="AK1601" s="460" t="str">
        <f>IF(AU1601="","",IF(OR(AZ1601=8,AZ1601=9),0,IF(OR(AW1601=3,AW1601=4,AW1601=5,AW1601=6),IF(LEFT(BF1601,1)="1",INDEX(係数_NOX・PM低減,MATCH(AY1601,【参考】排出係数!$AI$801:$AI$804,1),1),VLOOKUP(AU1601,INDEX((係数_バス貨物_ガソリン,係数_バス貨物_CNG,係数_バス貨物_軽油,係数_バス貨物_メタノール,係数_バス貨物_LPG),MATCH(AY1601,【参考】排出係数!$AI$4:$AI$671,1),1,BE1601):INDEX((係数_バス貨物_ガソリン,係数_バス貨物_CNG,係数_バス貨物_軽油,係数_バス貨物_メタノール,係数_バス貨物_LPG),MATCH(AY1601+1,【参考】排出係数!$AI$4:$AI$671,1)-1,5,BE1601),4,FALSE)),IF(AND(BE1601=3,LEFT(BF1601,1)="1"),0.48,VLOOKUP(AU1601,INDEX((係数_乗用_ガソリン,係数_乗用_CNG,係数_乗用_軽油,係数_乗用_メタノール,係数_乗用_LPG),1,1,BE1601):INDEX((係数_乗用_ガソリン,係数_乗用_CNG,係数_乗用_軽油,係数_乗用_メタノール,係数_乗用_LPG),125,5,BE1601),4,FALSE)))))</f>
        <v/>
      </c>
      <c r="AL1601" s="461" t="str">
        <f t="shared" si="919"/>
        <v/>
      </c>
      <c r="AM1601" s="460" t="str">
        <f>IF(AU1601="","",IF(OR(AZ1601=8,AZ1601=9),0,IF(OR(AW1601=3,AW1601=4,AW1601=5,AW1601=6),IF(LEFT(BH1601,1)="1",INDEX(係数_PM低減,MATCH(AY1601,【参考】排出係数!$AI$801:$AI$804,1),MATCH(BI1601,【参考】排出係数!$AL$798:$AO$798,1)),VLOOKUP(AU1601,INDEX((係数_バス貨物_ガソリン,係数_バス貨物_CNG,係数_バス貨物_軽油,係数_バス貨物_メタノール,係数_バス貨物_LPG),MATCH(AY1601,【参考】排出係数!$AI$4:$AI$671,1),1,BE1601):INDEX((係数_バス貨物_ガソリン,係数_バス貨物_CNG,係数_バス貨物_軽油,係数_バス貨物_メタノール,係数_バス貨物_LPG),MATCH(AY1601+1,【参考】排出係数!$AI$4:$AI$671,1)-1,5,BE1601),5,FALSE)),IF(AND(BE1601=3,LEFT(BF1601,1)="1"),0.055,VLOOKUP(AU1601,INDEX((係数_乗用_ガソリン,係数_乗用_CNG,係数_乗用_軽油,係数_乗用_メタノール,係数_乗用_LPG),1,1,BE1601):INDEX((係数_乗用_ガソリン,係数_乗用_CNG,係数_乗用_軽油,係数_乗用_メタノール,係数_乗用_LPG),125,5,BE1601),5,FALSE)))))</f>
        <v/>
      </c>
      <c r="AN1601" s="461" t="str">
        <f t="shared" si="920"/>
        <v/>
      </c>
      <c r="AO1601" s="462" t="str">
        <f t="shared" si="921"/>
        <v/>
      </c>
      <c r="AP1601" s="463" t="str">
        <f t="shared" si="922"/>
        <v/>
      </c>
      <c r="AQ1601" s="464"/>
      <c r="AR1601" s="619"/>
      <c r="AS1601" s="465" t="str">
        <f t="shared" si="930"/>
        <v/>
      </c>
      <c r="AT1601" s="465" t="str">
        <f t="shared" si="931"/>
        <v/>
      </c>
      <c r="AU1601" s="466" t="str">
        <f t="shared" si="932"/>
        <v/>
      </c>
      <c r="AV1601" s="467" t="str">
        <f t="shared" si="933"/>
        <v/>
      </c>
      <c r="AW1601" s="467" t="str">
        <f t="shared" si="934"/>
        <v/>
      </c>
      <c r="AX1601" s="467" t="str">
        <f t="shared" si="935"/>
        <v/>
      </c>
      <c r="AY1601" s="467" t="str">
        <f t="shared" si="936"/>
        <v/>
      </c>
      <c r="AZ1601" s="467" t="str">
        <f t="shared" si="937"/>
        <v/>
      </c>
      <c r="BA1601" s="468" t="str">
        <f>IF(AS1601="","",IF(OR(AU1601="",AU1601="-"),"－",IF(OR(AZ1601=8,AZ1601=9),"",IF(OR(AW1601=3,AW1601=4,AW1601=5,AW1601=6),VLOOKUP(AU1601,INDEX((係数_バス貨物_ガソリン,係数_バス貨物_CNG,係数_バス貨物_軽油,係数_バス貨物_メタノール,係数_バス貨物_LPG),MATCH(AY1601,【参考】排出係数!$AI$4:$AI$671,1),1,BE1601):INDEX((係数_バス貨物_ガソリン,係数_バス貨物_CNG,係数_バス貨物_軽油,係数_バス貨物_メタノール,係数_バス貨物_LPG),MATCH(AY1601+1,【参考】排出係数!$AI$4:$AI$671,1)-1,5,BE1601),2,FALSE),IF(OR(AW1601=1,AW1601=2),VLOOKUP(AU1601,INDEX((係数_乗用_ガソリン,係数_乗用_CNG,係数_乗用_軽油,係数_乗用_メタノール,係数_乗用_LPG),1,1,BE1601):INDEX((係数_乗用_ガソリン,係数_乗用_CNG,係数_乗用_軽油,係数_乗用_メタノール,係数_乗用_LPG),125,5,BE1601),2,FALSE))))))</f>
        <v/>
      </c>
      <c r="BB1601" s="468" t="str">
        <f>IF(T1601="","",IF(OR(AU1601="",AU1601="-"),"－",IF(OR(AZ1601=8,AZ1601=9),"",IF(OR(AW1601=3,AW1601=4,AW1601=5,AW1601=6),VLOOKUP(AU1601,INDEX((係数_バス貨物_ガソリン,係数_バス貨物_CNG,係数_バス貨物_軽油,係数_バス貨物_メタノール,係数_バス貨物_LPG),MATCH(AY1601,【参考】排出係数!$AI$4:$AI$671,1),1,BE1601):INDEX((係数_バス貨物_ガソリン,係数_バス貨物_CNG,係数_バス貨物_軽油,係数_バス貨物_メタノール,係数_バス貨物_LPG),MATCH(AY1601+1,【参考】排出係数!$AI$4:$AI$671,1)-1,5,BE1601),3,FALSE),IF(OR(AW1601=1,AW1601=2),VLOOKUP(AU1601,INDEX((係数_乗用_ガソリン,係数_乗用_CNG,係数_乗用_軽油,係数_乗用_メタノール,係数_乗用_LPG),1,1,BE1601):INDEX((係数_乗用_ガソリン,係数_乗用_CNG,係数_乗用_軽油,係数_乗用_メタノール,係数_乗用_LPG),125,5,BE1601),3,FALSE))))))</f>
        <v/>
      </c>
      <c r="BC1601" s="467" t="str">
        <f t="shared" si="938"/>
        <v/>
      </c>
      <c r="BD1601" s="567" t="str">
        <f t="shared" si="939"/>
        <v/>
      </c>
      <c r="BE1601" s="467" t="str">
        <f t="shared" si="940"/>
        <v/>
      </c>
      <c r="BF1601" s="469" t="str">
        <f t="shared" ca="1" si="941"/>
        <v/>
      </c>
      <c r="BG1601" s="469" t="str">
        <f t="shared" ca="1" si="942"/>
        <v/>
      </c>
      <c r="BH1601" s="467" t="str">
        <f t="shared" si="943"/>
        <v/>
      </c>
      <c r="BI1601" s="467" t="str">
        <f t="shared" ca="1" si="944"/>
        <v/>
      </c>
      <c r="BJ1601" s="469" t="str">
        <f t="shared" si="945"/>
        <v/>
      </c>
      <c r="BK1601" s="470" t="str">
        <f t="shared" si="929"/>
        <v/>
      </c>
      <c r="BL1601" s="775" t="str">
        <f t="shared" si="946"/>
        <v/>
      </c>
      <c r="BM1601" s="775" t="str">
        <f t="shared" si="947"/>
        <v/>
      </c>
    </row>
    <row r="1602" spans="1:65">
      <c r="A1602" s="473">
        <v>1546</v>
      </c>
      <c r="B1602" s="132"/>
      <c r="C1602" s="332"/>
      <c r="D1602" s="333"/>
      <c r="E1602" s="333"/>
      <c r="F1602" s="334"/>
      <c r="G1602" s="337"/>
      <c r="H1602" s="131"/>
      <c r="I1602" s="337"/>
      <c r="J1602" s="131"/>
      <c r="K1602" s="458" t="str">
        <f t="shared" si="910"/>
        <v/>
      </c>
      <c r="L1602" s="458">
        <f t="shared" si="911"/>
        <v>0</v>
      </c>
      <c r="M1602" s="458">
        <f t="shared" si="912"/>
        <v>0</v>
      </c>
      <c r="N1602" s="459" t="str">
        <f t="shared" si="923"/>
        <v/>
      </c>
      <c r="O1602" s="459" t="str">
        <f t="shared" si="924"/>
        <v/>
      </c>
      <c r="P1602" s="459" t="str">
        <f t="shared" si="925"/>
        <v/>
      </c>
      <c r="Q1602" s="459" t="str">
        <f t="shared" si="926"/>
        <v/>
      </c>
      <c r="R1602" s="459" t="str">
        <f t="shared" si="927"/>
        <v/>
      </c>
      <c r="S1602" s="459" t="str">
        <f t="shared" si="928"/>
        <v/>
      </c>
      <c r="T1602" s="566" t="str">
        <f t="shared" si="913"/>
        <v/>
      </c>
      <c r="U1602" s="702"/>
      <c r="V1602" s="132"/>
      <c r="W1602" s="133"/>
      <c r="X1602" s="134"/>
      <c r="Y1602" s="135"/>
      <c r="Z1602" s="137"/>
      <c r="AA1602" s="136"/>
      <c r="AB1602" s="566" t="str">
        <f t="shared" si="914"/>
        <v/>
      </c>
      <c r="AC1602" s="568" t="str">
        <f t="shared" si="915"/>
        <v/>
      </c>
      <c r="AD1602" s="137"/>
      <c r="AE1602" s="137"/>
      <c r="AF1602" s="138"/>
      <c r="AG1602" s="138"/>
      <c r="AH1602" s="592" t="str">
        <f t="shared" si="916"/>
        <v/>
      </c>
      <c r="AI1602" s="592" t="str">
        <f t="shared" si="917"/>
        <v/>
      </c>
      <c r="AJ1602" s="592" t="str">
        <f t="shared" si="918"/>
        <v/>
      </c>
      <c r="AK1602" s="460" t="str">
        <f>IF(AU1602="","",IF(OR(AZ1602=8,AZ1602=9),0,IF(OR(AW1602=3,AW1602=4,AW1602=5,AW1602=6),IF(LEFT(BF1602,1)="1",INDEX(係数_NOX・PM低減,MATCH(AY1602,【参考】排出係数!$AI$801:$AI$804,1),1),VLOOKUP(AU1602,INDEX((係数_バス貨物_ガソリン,係数_バス貨物_CNG,係数_バス貨物_軽油,係数_バス貨物_メタノール,係数_バス貨物_LPG),MATCH(AY1602,【参考】排出係数!$AI$4:$AI$671,1),1,BE1602):INDEX((係数_バス貨物_ガソリン,係数_バス貨物_CNG,係数_バス貨物_軽油,係数_バス貨物_メタノール,係数_バス貨物_LPG),MATCH(AY1602+1,【参考】排出係数!$AI$4:$AI$671,1)-1,5,BE1602),4,FALSE)),IF(AND(BE1602=3,LEFT(BF1602,1)="1"),0.48,VLOOKUP(AU1602,INDEX((係数_乗用_ガソリン,係数_乗用_CNG,係数_乗用_軽油,係数_乗用_メタノール,係数_乗用_LPG),1,1,BE1602):INDEX((係数_乗用_ガソリン,係数_乗用_CNG,係数_乗用_軽油,係数_乗用_メタノール,係数_乗用_LPG),125,5,BE1602),4,FALSE)))))</f>
        <v/>
      </c>
      <c r="AL1602" s="461" t="str">
        <f t="shared" si="919"/>
        <v/>
      </c>
      <c r="AM1602" s="460" t="str">
        <f>IF(AU1602="","",IF(OR(AZ1602=8,AZ1602=9),0,IF(OR(AW1602=3,AW1602=4,AW1602=5,AW1602=6),IF(LEFT(BH1602,1)="1",INDEX(係数_PM低減,MATCH(AY1602,【参考】排出係数!$AI$801:$AI$804,1),MATCH(BI1602,【参考】排出係数!$AL$798:$AO$798,1)),VLOOKUP(AU1602,INDEX((係数_バス貨物_ガソリン,係数_バス貨物_CNG,係数_バス貨物_軽油,係数_バス貨物_メタノール,係数_バス貨物_LPG),MATCH(AY1602,【参考】排出係数!$AI$4:$AI$671,1),1,BE1602):INDEX((係数_バス貨物_ガソリン,係数_バス貨物_CNG,係数_バス貨物_軽油,係数_バス貨物_メタノール,係数_バス貨物_LPG),MATCH(AY1602+1,【参考】排出係数!$AI$4:$AI$671,1)-1,5,BE1602),5,FALSE)),IF(AND(BE1602=3,LEFT(BF1602,1)="1"),0.055,VLOOKUP(AU1602,INDEX((係数_乗用_ガソリン,係数_乗用_CNG,係数_乗用_軽油,係数_乗用_メタノール,係数_乗用_LPG),1,1,BE1602):INDEX((係数_乗用_ガソリン,係数_乗用_CNG,係数_乗用_軽油,係数_乗用_メタノール,係数_乗用_LPG),125,5,BE1602),5,FALSE)))))</f>
        <v/>
      </c>
      <c r="AN1602" s="461" t="str">
        <f t="shared" si="920"/>
        <v/>
      </c>
      <c r="AO1602" s="462" t="str">
        <f t="shared" si="921"/>
        <v/>
      </c>
      <c r="AP1602" s="463" t="str">
        <f t="shared" si="922"/>
        <v/>
      </c>
      <c r="AQ1602" s="464"/>
      <c r="AR1602" s="619"/>
      <c r="AS1602" s="465" t="str">
        <f t="shared" si="930"/>
        <v/>
      </c>
      <c r="AT1602" s="465" t="str">
        <f t="shared" si="931"/>
        <v/>
      </c>
      <c r="AU1602" s="466" t="str">
        <f t="shared" si="932"/>
        <v/>
      </c>
      <c r="AV1602" s="467" t="str">
        <f t="shared" si="933"/>
        <v/>
      </c>
      <c r="AW1602" s="467" t="str">
        <f t="shared" si="934"/>
        <v/>
      </c>
      <c r="AX1602" s="467" t="str">
        <f t="shared" si="935"/>
        <v/>
      </c>
      <c r="AY1602" s="467" t="str">
        <f t="shared" si="936"/>
        <v/>
      </c>
      <c r="AZ1602" s="467" t="str">
        <f t="shared" si="937"/>
        <v/>
      </c>
      <c r="BA1602" s="468" t="str">
        <f>IF(AS1602="","",IF(OR(AU1602="",AU1602="-"),"－",IF(OR(AZ1602=8,AZ1602=9),"",IF(OR(AW1602=3,AW1602=4,AW1602=5,AW1602=6),VLOOKUP(AU1602,INDEX((係数_バス貨物_ガソリン,係数_バス貨物_CNG,係数_バス貨物_軽油,係数_バス貨物_メタノール,係数_バス貨物_LPG),MATCH(AY1602,【参考】排出係数!$AI$4:$AI$671,1),1,BE1602):INDEX((係数_バス貨物_ガソリン,係数_バス貨物_CNG,係数_バス貨物_軽油,係数_バス貨物_メタノール,係数_バス貨物_LPG),MATCH(AY1602+1,【参考】排出係数!$AI$4:$AI$671,1)-1,5,BE1602),2,FALSE),IF(OR(AW1602=1,AW1602=2),VLOOKUP(AU1602,INDEX((係数_乗用_ガソリン,係数_乗用_CNG,係数_乗用_軽油,係数_乗用_メタノール,係数_乗用_LPG),1,1,BE1602):INDEX((係数_乗用_ガソリン,係数_乗用_CNG,係数_乗用_軽油,係数_乗用_メタノール,係数_乗用_LPG),125,5,BE1602),2,FALSE))))))</f>
        <v/>
      </c>
      <c r="BB1602" s="468" t="str">
        <f>IF(T1602="","",IF(OR(AU1602="",AU1602="-"),"－",IF(OR(AZ1602=8,AZ1602=9),"",IF(OR(AW1602=3,AW1602=4,AW1602=5,AW1602=6),VLOOKUP(AU1602,INDEX((係数_バス貨物_ガソリン,係数_バス貨物_CNG,係数_バス貨物_軽油,係数_バス貨物_メタノール,係数_バス貨物_LPG),MATCH(AY1602,【参考】排出係数!$AI$4:$AI$671,1),1,BE1602):INDEX((係数_バス貨物_ガソリン,係数_バス貨物_CNG,係数_バス貨物_軽油,係数_バス貨物_メタノール,係数_バス貨物_LPG),MATCH(AY1602+1,【参考】排出係数!$AI$4:$AI$671,1)-1,5,BE1602),3,FALSE),IF(OR(AW1602=1,AW1602=2),VLOOKUP(AU1602,INDEX((係数_乗用_ガソリン,係数_乗用_CNG,係数_乗用_軽油,係数_乗用_メタノール,係数_乗用_LPG),1,1,BE1602):INDEX((係数_乗用_ガソリン,係数_乗用_CNG,係数_乗用_軽油,係数_乗用_メタノール,係数_乗用_LPG),125,5,BE1602),3,FALSE))))))</f>
        <v/>
      </c>
      <c r="BC1602" s="467" t="str">
        <f t="shared" si="938"/>
        <v/>
      </c>
      <c r="BD1602" s="567" t="str">
        <f t="shared" si="939"/>
        <v/>
      </c>
      <c r="BE1602" s="467" t="str">
        <f t="shared" si="940"/>
        <v/>
      </c>
      <c r="BF1602" s="469" t="str">
        <f t="shared" ca="1" si="941"/>
        <v/>
      </c>
      <c r="BG1602" s="469" t="str">
        <f t="shared" ca="1" si="942"/>
        <v/>
      </c>
      <c r="BH1602" s="467" t="str">
        <f t="shared" si="943"/>
        <v/>
      </c>
      <c r="BI1602" s="467" t="str">
        <f t="shared" ca="1" si="944"/>
        <v/>
      </c>
      <c r="BJ1602" s="469" t="str">
        <f t="shared" si="945"/>
        <v/>
      </c>
      <c r="BK1602" s="470" t="str">
        <f t="shared" si="929"/>
        <v/>
      </c>
      <c r="BL1602" s="775" t="str">
        <f t="shared" si="946"/>
        <v/>
      </c>
      <c r="BM1602" s="775" t="str">
        <f t="shared" si="947"/>
        <v/>
      </c>
    </row>
    <row r="1603" spans="1:65">
      <c r="A1603" s="473">
        <v>1547</v>
      </c>
      <c r="B1603" s="132"/>
      <c r="C1603" s="332"/>
      <c r="D1603" s="333"/>
      <c r="E1603" s="333"/>
      <c r="F1603" s="334"/>
      <c r="G1603" s="337"/>
      <c r="H1603" s="131"/>
      <c r="I1603" s="337"/>
      <c r="J1603" s="131"/>
      <c r="K1603" s="458" t="str">
        <f t="shared" si="910"/>
        <v/>
      </c>
      <c r="L1603" s="458">
        <f t="shared" si="911"/>
        <v>0</v>
      </c>
      <c r="M1603" s="458">
        <f t="shared" si="912"/>
        <v>0</v>
      </c>
      <c r="N1603" s="459" t="str">
        <f t="shared" si="923"/>
        <v/>
      </c>
      <c r="O1603" s="459" t="str">
        <f t="shared" si="924"/>
        <v/>
      </c>
      <c r="P1603" s="459" t="str">
        <f t="shared" si="925"/>
        <v/>
      </c>
      <c r="Q1603" s="459" t="str">
        <f t="shared" si="926"/>
        <v/>
      </c>
      <c r="R1603" s="459" t="str">
        <f t="shared" si="927"/>
        <v/>
      </c>
      <c r="S1603" s="459" t="str">
        <f t="shared" si="928"/>
        <v/>
      </c>
      <c r="T1603" s="566" t="str">
        <f t="shared" si="913"/>
        <v/>
      </c>
      <c r="U1603" s="702"/>
      <c r="V1603" s="132"/>
      <c r="W1603" s="133"/>
      <c r="X1603" s="134"/>
      <c r="Y1603" s="135"/>
      <c r="Z1603" s="137"/>
      <c r="AA1603" s="136"/>
      <c r="AB1603" s="566" t="str">
        <f t="shared" si="914"/>
        <v/>
      </c>
      <c r="AC1603" s="568" t="str">
        <f t="shared" si="915"/>
        <v/>
      </c>
      <c r="AD1603" s="137"/>
      <c r="AE1603" s="137"/>
      <c r="AF1603" s="138"/>
      <c r="AG1603" s="138"/>
      <c r="AH1603" s="592" t="str">
        <f t="shared" si="916"/>
        <v/>
      </c>
      <c r="AI1603" s="592" t="str">
        <f t="shared" si="917"/>
        <v/>
      </c>
      <c r="AJ1603" s="592" t="str">
        <f t="shared" si="918"/>
        <v/>
      </c>
      <c r="AK1603" s="460" t="str">
        <f>IF(AU1603="","",IF(OR(AZ1603=8,AZ1603=9),0,IF(OR(AW1603=3,AW1603=4,AW1603=5,AW1603=6),IF(LEFT(BF1603,1)="1",INDEX(係数_NOX・PM低減,MATCH(AY1603,【参考】排出係数!$AI$801:$AI$804,1),1),VLOOKUP(AU1603,INDEX((係数_バス貨物_ガソリン,係数_バス貨物_CNG,係数_バス貨物_軽油,係数_バス貨物_メタノール,係数_バス貨物_LPG),MATCH(AY1603,【参考】排出係数!$AI$4:$AI$671,1),1,BE1603):INDEX((係数_バス貨物_ガソリン,係数_バス貨物_CNG,係数_バス貨物_軽油,係数_バス貨物_メタノール,係数_バス貨物_LPG),MATCH(AY1603+1,【参考】排出係数!$AI$4:$AI$671,1)-1,5,BE1603),4,FALSE)),IF(AND(BE1603=3,LEFT(BF1603,1)="1"),0.48,VLOOKUP(AU1603,INDEX((係数_乗用_ガソリン,係数_乗用_CNG,係数_乗用_軽油,係数_乗用_メタノール,係数_乗用_LPG),1,1,BE1603):INDEX((係数_乗用_ガソリン,係数_乗用_CNG,係数_乗用_軽油,係数_乗用_メタノール,係数_乗用_LPG),125,5,BE1603),4,FALSE)))))</f>
        <v/>
      </c>
      <c r="AL1603" s="461" t="str">
        <f t="shared" si="919"/>
        <v/>
      </c>
      <c r="AM1603" s="460" t="str">
        <f>IF(AU1603="","",IF(OR(AZ1603=8,AZ1603=9),0,IF(OR(AW1603=3,AW1603=4,AW1603=5,AW1603=6),IF(LEFT(BH1603,1)="1",INDEX(係数_PM低減,MATCH(AY1603,【参考】排出係数!$AI$801:$AI$804,1),MATCH(BI1603,【参考】排出係数!$AL$798:$AO$798,1)),VLOOKUP(AU1603,INDEX((係数_バス貨物_ガソリン,係数_バス貨物_CNG,係数_バス貨物_軽油,係数_バス貨物_メタノール,係数_バス貨物_LPG),MATCH(AY1603,【参考】排出係数!$AI$4:$AI$671,1),1,BE1603):INDEX((係数_バス貨物_ガソリン,係数_バス貨物_CNG,係数_バス貨物_軽油,係数_バス貨物_メタノール,係数_バス貨物_LPG),MATCH(AY1603+1,【参考】排出係数!$AI$4:$AI$671,1)-1,5,BE1603),5,FALSE)),IF(AND(BE1603=3,LEFT(BF1603,1)="1"),0.055,VLOOKUP(AU1603,INDEX((係数_乗用_ガソリン,係数_乗用_CNG,係数_乗用_軽油,係数_乗用_メタノール,係数_乗用_LPG),1,1,BE1603):INDEX((係数_乗用_ガソリン,係数_乗用_CNG,係数_乗用_軽油,係数_乗用_メタノール,係数_乗用_LPG),125,5,BE1603),5,FALSE)))))</f>
        <v/>
      </c>
      <c r="AN1603" s="461" t="str">
        <f t="shared" si="920"/>
        <v/>
      </c>
      <c r="AO1603" s="462" t="str">
        <f t="shared" si="921"/>
        <v/>
      </c>
      <c r="AP1603" s="463" t="str">
        <f t="shared" si="922"/>
        <v/>
      </c>
      <c r="AQ1603" s="464"/>
      <c r="AR1603" s="619"/>
      <c r="AS1603" s="465" t="str">
        <f t="shared" si="930"/>
        <v/>
      </c>
      <c r="AT1603" s="465" t="str">
        <f t="shared" si="931"/>
        <v/>
      </c>
      <c r="AU1603" s="466" t="str">
        <f t="shared" si="932"/>
        <v/>
      </c>
      <c r="AV1603" s="467" t="str">
        <f t="shared" si="933"/>
        <v/>
      </c>
      <c r="AW1603" s="467" t="str">
        <f t="shared" si="934"/>
        <v/>
      </c>
      <c r="AX1603" s="467" t="str">
        <f t="shared" si="935"/>
        <v/>
      </c>
      <c r="AY1603" s="467" t="str">
        <f t="shared" si="936"/>
        <v/>
      </c>
      <c r="AZ1603" s="467" t="str">
        <f t="shared" si="937"/>
        <v/>
      </c>
      <c r="BA1603" s="468" t="str">
        <f>IF(AS1603="","",IF(OR(AU1603="",AU1603="-"),"－",IF(OR(AZ1603=8,AZ1603=9),"",IF(OR(AW1603=3,AW1603=4,AW1603=5,AW1603=6),VLOOKUP(AU1603,INDEX((係数_バス貨物_ガソリン,係数_バス貨物_CNG,係数_バス貨物_軽油,係数_バス貨物_メタノール,係数_バス貨物_LPG),MATCH(AY1603,【参考】排出係数!$AI$4:$AI$671,1),1,BE1603):INDEX((係数_バス貨物_ガソリン,係数_バス貨物_CNG,係数_バス貨物_軽油,係数_バス貨物_メタノール,係数_バス貨物_LPG),MATCH(AY1603+1,【参考】排出係数!$AI$4:$AI$671,1)-1,5,BE1603),2,FALSE),IF(OR(AW1603=1,AW1603=2),VLOOKUP(AU1603,INDEX((係数_乗用_ガソリン,係数_乗用_CNG,係数_乗用_軽油,係数_乗用_メタノール,係数_乗用_LPG),1,1,BE1603):INDEX((係数_乗用_ガソリン,係数_乗用_CNG,係数_乗用_軽油,係数_乗用_メタノール,係数_乗用_LPG),125,5,BE1603),2,FALSE))))))</f>
        <v/>
      </c>
      <c r="BB1603" s="468" t="str">
        <f>IF(T1603="","",IF(OR(AU1603="",AU1603="-"),"－",IF(OR(AZ1603=8,AZ1603=9),"",IF(OR(AW1603=3,AW1603=4,AW1603=5,AW1603=6),VLOOKUP(AU1603,INDEX((係数_バス貨物_ガソリン,係数_バス貨物_CNG,係数_バス貨物_軽油,係数_バス貨物_メタノール,係数_バス貨物_LPG),MATCH(AY1603,【参考】排出係数!$AI$4:$AI$671,1),1,BE1603):INDEX((係数_バス貨物_ガソリン,係数_バス貨物_CNG,係数_バス貨物_軽油,係数_バス貨物_メタノール,係数_バス貨物_LPG),MATCH(AY1603+1,【参考】排出係数!$AI$4:$AI$671,1)-1,5,BE1603),3,FALSE),IF(OR(AW1603=1,AW1603=2),VLOOKUP(AU1603,INDEX((係数_乗用_ガソリン,係数_乗用_CNG,係数_乗用_軽油,係数_乗用_メタノール,係数_乗用_LPG),1,1,BE1603):INDEX((係数_乗用_ガソリン,係数_乗用_CNG,係数_乗用_軽油,係数_乗用_メタノール,係数_乗用_LPG),125,5,BE1603),3,FALSE))))))</f>
        <v/>
      </c>
      <c r="BC1603" s="467" t="str">
        <f t="shared" si="938"/>
        <v/>
      </c>
      <c r="BD1603" s="567" t="str">
        <f t="shared" si="939"/>
        <v/>
      </c>
      <c r="BE1603" s="467" t="str">
        <f t="shared" si="940"/>
        <v/>
      </c>
      <c r="BF1603" s="469" t="str">
        <f t="shared" ca="1" si="941"/>
        <v/>
      </c>
      <c r="BG1603" s="469" t="str">
        <f t="shared" ca="1" si="942"/>
        <v/>
      </c>
      <c r="BH1603" s="467" t="str">
        <f t="shared" si="943"/>
        <v/>
      </c>
      <c r="BI1603" s="467" t="str">
        <f t="shared" ca="1" si="944"/>
        <v/>
      </c>
      <c r="BJ1603" s="469" t="str">
        <f t="shared" si="945"/>
        <v/>
      </c>
      <c r="BK1603" s="470" t="str">
        <f t="shared" si="929"/>
        <v/>
      </c>
      <c r="BL1603" s="775" t="str">
        <f t="shared" si="946"/>
        <v/>
      </c>
      <c r="BM1603" s="775" t="str">
        <f t="shared" si="947"/>
        <v/>
      </c>
    </row>
    <row r="1604" spans="1:65">
      <c r="A1604" s="473">
        <v>1548</v>
      </c>
      <c r="B1604" s="132"/>
      <c r="C1604" s="332"/>
      <c r="D1604" s="333"/>
      <c r="E1604" s="333"/>
      <c r="F1604" s="334"/>
      <c r="G1604" s="337"/>
      <c r="H1604" s="131"/>
      <c r="I1604" s="337"/>
      <c r="J1604" s="131"/>
      <c r="K1604" s="458" t="str">
        <f t="shared" si="910"/>
        <v/>
      </c>
      <c r="L1604" s="458">
        <f t="shared" si="911"/>
        <v>0</v>
      </c>
      <c r="M1604" s="458">
        <f t="shared" si="912"/>
        <v>0</v>
      </c>
      <c r="N1604" s="459" t="str">
        <f t="shared" si="923"/>
        <v/>
      </c>
      <c r="O1604" s="459" t="str">
        <f t="shared" si="924"/>
        <v/>
      </c>
      <c r="P1604" s="459" t="str">
        <f t="shared" si="925"/>
        <v/>
      </c>
      <c r="Q1604" s="459" t="str">
        <f t="shared" si="926"/>
        <v/>
      </c>
      <c r="R1604" s="459" t="str">
        <f t="shared" si="927"/>
        <v/>
      </c>
      <c r="S1604" s="459" t="str">
        <f t="shared" si="928"/>
        <v/>
      </c>
      <c r="T1604" s="566" t="str">
        <f t="shared" si="913"/>
        <v/>
      </c>
      <c r="U1604" s="702"/>
      <c r="V1604" s="132"/>
      <c r="W1604" s="133"/>
      <c r="X1604" s="134"/>
      <c r="Y1604" s="135"/>
      <c r="Z1604" s="137"/>
      <c r="AA1604" s="136"/>
      <c r="AB1604" s="566" t="str">
        <f t="shared" si="914"/>
        <v/>
      </c>
      <c r="AC1604" s="568" t="str">
        <f t="shared" si="915"/>
        <v/>
      </c>
      <c r="AD1604" s="137"/>
      <c r="AE1604" s="137"/>
      <c r="AF1604" s="138"/>
      <c r="AG1604" s="138"/>
      <c r="AH1604" s="592" t="str">
        <f t="shared" si="916"/>
        <v/>
      </c>
      <c r="AI1604" s="592" t="str">
        <f t="shared" si="917"/>
        <v/>
      </c>
      <c r="AJ1604" s="592" t="str">
        <f t="shared" si="918"/>
        <v/>
      </c>
      <c r="AK1604" s="460" t="str">
        <f>IF(AU1604="","",IF(OR(AZ1604=8,AZ1604=9),0,IF(OR(AW1604=3,AW1604=4,AW1604=5,AW1604=6),IF(LEFT(BF1604,1)="1",INDEX(係数_NOX・PM低減,MATCH(AY1604,【参考】排出係数!$AI$801:$AI$804,1),1),VLOOKUP(AU1604,INDEX((係数_バス貨物_ガソリン,係数_バス貨物_CNG,係数_バス貨物_軽油,係数_バス貨物_メタノール,係数_バス貨物_LPG),MATCH(AY1604,【参考】排出係数!$AI$4:$AI$671,1),1,BE1604):INDEX((係数_バス貨物_ガソリン,係数_バス貨物_CNG,係数_バス貨物_軽油,係数_バス貨物_メタノール,係数_バス貨物_LPG),MATCH(AY1604+1,【参考】排出係数!$AI$4:$AI$671,1)-1,5,BE1604),4,FALSE)),IF(AND(BE1604=3,LEFT(BF1604,1)="1"),0.48,VLOOKUP(AU1604,INDEX((係数_乗用_ガソリン,係数_乗用_CNG,係数_乗用_軽油,係数_乗用_メタノール,係数_乗用_LPG),1,1,BE1604):INDEX((係数_乗用_ガソリン,係数_乗用_CNG,係数_乗用_軽油,係数_乗用_メタノール,係数_乗用_LPG),125,5,BE1604),4,FALSE)))))</f>
        <v/>
      </c>
      <c r="AL1604" s="461" t="str">
        <f t="shared" si="919"/>
        <v/>
      </c>
      <c r="AM1604" s="460" t="str">
        <f>IF(AU1604="","",IF(OR(AZ1604=8,AZ1604=9),0,IF(OR(AW1604=3,AW1604=4,AW1604=5,AW1604=6),IF(LEFT(BH1604,1)="1",INDEX(係数_PM低減,MATCH(AY1604,【参考】排出係数!$AI$801:$AI$804,1),MATCH(BI1604,【参考】排出係数!$AL$798:$AO$798,1)),VLOOKUP(AU1604,INDEX((係数_バス貨物_ガソリン,係数_バス貨物_CNG,係数_バス貨物_軽油,係数_バス貨物_メタノール,係数_バス貨物_LPG),MATCH(AY1604,【参考】排出係数!$AI$4:$AI$671,1),1,BE1604):INDEX((係数_バス貨物_ガソリン,係数_バス貨物_CNG,係数_バス貨物_軽油,係数_バス貨物_メタノール,係数_バス貨物_LPG),MATCH(AY1604+1,【参考】排出係数!$AI$4:$AI$671,1)-1,5,BE1604),5,FALSE)),IF(AND(BE1604=3,LEFT(BF1604,1)="1"),0.055,VLOOKUP(AU1604,INDEX((係数_乗用_ガソリン,係数_乗用_CNG,係数_乗用_軽油,係数_乗用_メタノール,係数_乗用_LPG),1,1,BE1604):INDEX((係数_乗用_ガソリン,係数_乗用_CNG,係数_乗用_軽油,係数_乗用_メタノール,係数_乗用_LPG),125,5,BE1604),5,FALSE)))))</f>
        <v/>
      </c>
      <c r="AN1604" s="461" t="str">
        <f t="shared" si="920"/>
        <v/>
      </c>
      <c r="AO1604" s="462" t="str">
        <f t="shared" si="921"/>
        <v/>
      </c>
      <c r="AP1604" s="463" t="str">
        <f t="shared" si="922"/>
        <v/>
      </c>
      <c r="AQ1604" s="464"/>
      <c r="AR1604" s="619"/>
      <c r="AS1604" s="465" t="str">
        <f t="shared" si="930"/>
        <v/>
      </c>
      <c r="AT1604" s="465" t="str">
        <f t="shared" si="931"/>
        <v/>
      </c>
      <c r="AU1604" s="466" t="str">
        <f t="shared" si="932"/>
        <v/>
      </c>
      <c r="AV1604" s="467" t="str">
        <f t="shared" si="933"/>
        <v/>
      </c>
      <c r="AW1604" s="467" t="str">
        <f t="shared" si="934"/>
        <v/>
      </c>
      <c r="AX1604" s="467" t="str">
        <f t="shared" si="935"/>
        <v/>
      </c>
      <c r="AY1604" s="467" t="str">
        <f t="shared" si="936"/>
        <v/>
      </c>
      <c r="AZ1604" s="467" t="str">
        <f t="shared" si="937"/>
        <v/>
      </c>
      <c r="BA1604" s="468" t="str">
        <f>IF(AS1604="","",IF(OR(AU1604="",AU1604="-"),"－",IF(OR(AZ1604=8,AZ1604=9),"",IF(OR(AW1604=3,AW1604=4,AW1604=5,AW1604=6),VLOOKUP(AU1604,INDEX((係数_バス貨物_ガソリン,係数_バス貨物_CNG,係数_バス貨物_軽油,係数_バス貨物_メタノール,係数_バス貨物_LPG),MATCH(AY1604,【参考】排出係数!$AI$4:$AI$671,1),1,BE1604):INDEX((係数_バス貨物_ガソリン,係数_バス貨物_CNG,係数_バス貨物_軽油,係数_バス貨物_メタノール,係数_バス貨物_LPG),MATCH(AY1604+1,【参考】排出係数!$AI$4:$AI$671,1)-1,5,BE1604),2,FALSE),IF(OR(AW1604=1,AW1604=2),VLOOKUP(AU1604,INDEX((係数_乗用_ガソリン,係数_乗用_CNG,係数_乗用_軽油,係数_乗用_メタノール,係数_乗用_LPG),1,1,BE1604):INDEX((係数_乗用_ガソリン,係数_乗用_CNG,係数_乗用_軽油,係数_乗用_メタノール,係数_乗用_LPG),125,5,BE1604),2,FALSE))))))</f>
        <v/>
      </c>
      <c r="BB1604" s="468" t="str">
        <f>IF(T1604="","",IF(OR(AU1604="",AU1604="-"),"－",IF(OR(AZ1604=8,AZ1604=9),"",IF(OR(AW1604=3,AW1604=4,AW1604=5,AW1604=6),VLOOKUP(AU1604,INDEX((係数_バス貨物_ガソリン,係数_バス貨物_CNG,係数_バス貨物_軽油,係数_バス貨物_メタノール,係数_バス貨物_LPG),MATCH(AY1604,【参考】排出係数!$AI$4:$AI$671,1),1,BE1604):INDEX((係数_バス貨物_ガソリン,係数_バス貨物_CNG,係数_バス貨物_軽油,係数_バス貨物_メタノール,係数_バス貨物_LPG),MATCH(AY1604+1,【参考】排出係数!$AI$4:$AI$671,1)-1,5,BE1604),3,FALSE),IF(OR(AW1604=1,AW1604=2),VLOOKUP(AU1604,INDEX((係数_乗用_ガソリン,係数_乗用_CNG,係数_乗用_軽油,係数_乗用_メタノール,係数_乗用_LPG),1,1,BE1604):INDEX((係数_乗用_ガソリン,係数_乗用_CNG,係数_乗用_軽油,係数_乗用_メタノール,係数_乗用_LPG),125,5,BE1604),3,FALSE))))))</f>
        <v/>
      </c>
      <c r="BC1604" s="467" t="str">
        <f t="shared" si="938"/>
        <v/>
      </c>
      <c r="BD1604" s="567" t="str">
        <f t="shared" si="939"/>
        <v/>
      </c>
      <c r="BE1604" s="467" t="str">
        <f t="shared" si="940"/>
        <v/>
      </c>
      <c r="BF1604" s="469" t="str">
        <f t="shared" ca="1" si="941"/>
        <v/>
      </c>
      <c r="BG1604" s="469" t="str">
        <f t="shared" ca="1" si="942"/>
        <v/>
      </c>
      <c r="BH1604" s="467" t="str">
        <f t="shared" si="943"/>
        <v/>
      </c>
      <c r="BI1604" s="467" t="str">
        <f t="shared" ca="1" si="944"/>
        <v/>
      </c>
      <c r="BJ1604" s="469" t="str">
        <f t="shared" si="945"/>
        <v/>
      </c>
      <c r="BK1604" s="470" t="str">
        <f t="shared" si="929"/>
        <v/>
      </c>
      <c r="BL1604" s="775" t="str">
        <f t="shared" si="946"/>
        <v/>
      </c>
      <c r="BM1604" s="775" t="str">
        <f t="shared" si="947"/>
        <v/>
      </c>
    </row>
    <row r="1605" spans="1:65">
      <c r="A1605" s="473">
        <v>1549</v>
      </c>
      <c r="B1605" s="132"/>
      <c r="C1605" s="332"/>
      <c r="D1605" s="333"/>
      <c r="E1605" s="333"/>
      <c r="F1605" s="334"/>
      <c r="G1605" s="337"/>
      <c r="H1605" s="131"/>
      <c r="I1605" s="337"/>
      <c r="J1605" s="131"/>
      <c r="K1605" s="458" t="str">
        <f t="shared" si="910"/>
        <v/>
      </c>
      <c r="L1605" s="458">
        <f t="shared" si="911"/>
        <v>0</v>
      </c>
      <c r="M1605" s="458">
        <f t="shared" si="912"/>
        <v>0</v>
      </c>
      <c r="N1605" s="459" t="str">
        <f t="shared" si="923"/>
        <v/>
      </c>
      <c r="O1605" s="459" t="str">
        <f t="shared" si="924"/>
        <v/>
      </c>
      <c r="P1605" s="459" t="str">
        <f t="shared" si="925"/>
        <v/>
      </c>
      <c r="Q1605" s="459" t="str">
        <f t="shared" si="926"/>
        <v/>
      </c>
      <c r="R1605" s="459" t="str">
        <f t="shared" si="927"/>
        <v/>
      </c>
      <c r="S1605" s="459" t="str">
        <f t="shared" si="928"/>
        <v/>
      </c>
      <c r="T1605" s="566" t="str">
        <f t="shared" si="913"/>
        <v/>
      </c>
      <c r="U1605" s="702"/>
      <c r="V1605" s="132"/>
      <c r="W1605" s="133"/>
      <c r="X1605" s="134"/>
      <c r="Y1605" s="135"/>
      <c r="Z1605" s="137"/>
      <c r="AA1605" s="136"/>
      <c r="AB1605" s="566" t="str">
        <f t="shared" si="914"/>
        <v/>
      </c>
      <c r="AC1605" s="568" t="str">
        <f t="shared" si="915"/>
        <v/>
      </c>
      <c r="AD1605" s="137"/>
      <c r="AE1605" s="137"/>
      <c r="AF1605" s="138"/>
      <c r="AG1605" s="138"/>
      <c r="AH1605" s="592" t="str">
        <f t="shared" si="916"/>
        <v/>
      </c>
      <c r="AI1605" s="592" t="str">
        <f t="shared" si="917"/>
        <v/>
      </c>
      <c r="AJ1605" s="592" t="str">
        <f t="shared" si="918"/>
        <v/>
      </c>
      <c r="AK1605" s="460" t="str">
        <f>IF(AU1605="","",IF(OR(AZ1605=8,AZ1605=9),0,IF(OR(AW1605=3,AW1605=4,AW1605=5,AW1605=6),IF(LEFT(BF1605,1)="1",INDEX(係数_NOX・PM低減,MATCH(AY1605,【参考】排出係数!$AI$801:$AI$804,1),1),VLOOKUP(AU1605,INDEX((係数_バス貨物_ガソリン,係数_バス貨物_CNG,係数_バス貨物_軽油,係数_バス貨物_メタノール,係数_バス貨物_LPG),MATCH(AY1605,【参考】排出係数!$AI$4:$AI$671,1),1,BE1605):INDEX((係数_バス貨物_ガソリン,係数_バス貨物_CNG,係数_バス貨物_軽油,係数_バス貨物_メタノール,係数_バス貨物_LPG),MATCH(AY1605+1,【参考】排出係数!$AI$4:$AI$671,1)-1,5,BE1605),4,FALSE)),IF(AND(BE1605=3,LEFT(BF1605,1)="1"),0.48,VLOOKUP(AU1605,INDEX((係数_乗用_ガソリン,係数_乗用_CNG,係数_乗用_軽油,係数_乗用_メタノール,係数_乗用_LPG),1,1,BE1605):INDEX((係数_乗用_ガソリン,係数_乗用_CNG,係数_乗用_軽油,係数_乗用_メタノール,係数_乗用_LPG),125,5,BE1605),4,FALSE)))))</f>
        <v/>
      </c>
      <c r="AL1605" s="461" t="str">
        <f t="shared" si="919"/>
        <v/>
      </c>
      <c r="AM1605" s="460" t="str">
        <f>IF(AU1605="","",IF(OR(AZ1605=8,AZ1605=9),0,IF(OR(AW1605=3,AW1605=4,AW1605=5,AW1605=6),IF(LEFT(BH1605,1)="1",INDEX(係数_PM低減,MATCH(AY1605,【参考】排出係数!$AI$801:$AI$804,1),MATCH(BI1605,【参考】排出係数!$AL$798:$AO$798,1)),VLOOKUP(AU1605,INDEX((係数_バス貨物_ガソリン,係数_バス貨物_CNG,係数_バス貨物_軽油,係数_バス貨物_メタノール,係数_バス貨物_LPG),MATCH(AY1605,【参考】排出係数!$AI$4:$AI$671,1),1,BE1605):INDEX((係数_バス貨物_ガソリン,係数_バス貨物_CNG,係数_バス貨物_軽油,係数_バス貨物_メタノール,係数_バス貨物_LPG),MATCH(AY1605+1,【参考】排出係数!$AI$4:$AI$671,1)-1,5,BE1605),5,FALSE)),IF(AND(BE1605=3,LEFT(BF1605,1)="1"),0.055,VLOOKUP(AU1605,INDEX((係数_乗用_ガソリン,係数_乗用_CNG,係数_乗用_軽油,係数_乗用_メタノール,係数_乗用_LPG),1,1,BE1605):INDEX((係数_乗用_ガソリン,係数_乗用_CNG,係数_乗用_軽油,係数_乗用_メタノール,係数_乗用_LPG),125,5,BE1605),5,FALSE)))))</f>
        <v/>
      </c>
      <c r="AN1605" s="461" t="str">
        <f t="shared" si="920"/>
        <v/>
      </c>
      <c r="AO1605" s="462" t="str">
        <f t="shared" si="921"/>
        <v/>
      </c>
      <c r="AP1605" s="463" t="str">
        <f t="shared" si="922"/>
        <v/>
      </c>
      <c r="AQ1605" s="464"/>
      <c r="AR1605" s="619"/>
      <c r="AS1605" s="465" t="str">
        <f t="shared" si="930"/>
        <v/>
      </c>
      <c r="AT1605" s="465" t="str">
        <f t="shared" si="931"/>
        <v/>
      </c>
      <c r="AU1605" s="466" t="str">
        <f t="shared" si="932"/>
        <v/>
      </c>
      <c r="AV1605" s="467" t="str">
        <f t="shared" si="933"/>
        <v/>
      </c>
      <c r="AW1605" s="467" t="str">
        <f t="shared" si="934"/>
        <v/>
      </c>
      <c r="AX1605" s="467" t="str">
        <f t="shared" si="935"/>
        <v/>
      </c>
      <c r="AY1605" s="467" t="str">
        <f t="shared" si="936"/>
        <v/>
      </c>
      <c r="AZ1605" s="467" t="str">
        <f t="shared" si="937"/>
        <v/>
      </c>
      <c r="BA1605" s="468" t="str">
        <f>IF(AS1605="","",IF(OR(AU1605="",AU1605="-"),"－",IF(OR(AZ1605=8,AZ1605=9),"",IF(OR(AW1605=3,AW1605=4,AW1605=5,AW1605=6),VLOOKUP(AU1605,INDEX((係数_バス貨物_ガソリン,係数_バス貨物_CNG,係数_バス貨物_軽油,係数_バス貨物_メタノール,係数_バス貨物_LPG),MATCH(AY1605,【参考】排出係数!$AI$4:$AI$671,1),1,BE1605):INDEX((係数_バス貨物_ガソリン,係数_バス貨物_CNG,係数_バス貨物_軽油,係数_バス貨物_メタノール,係数_バス貨物_LPG),MATCH(AY1605+1,【参考】排出係数!$AI$4:$AI$671,1)-1,5,BE1605),2,FALSE),IF(OR(AW1605=1,AW1605=2),VLOOKUP(AU1605,INDEX((係数_乗用_ガソリン,係数_乗用_CNG,係数_乗用_軽油,係数_乗用_メタノール,係数_乗用_LPG),1,1,BE1605):INDEX((係数_乗用_ガソリン,係数_乗用_CNG,係数_乗用_軽油,係数_乗用_メタノール,係数_乗用_LPG),125,5,BE1605),2,FALSE))))))</f>
        <v/>
      </c>
      <c r="BB1605" s="468" t="str">
        <f>IF(T1605="","",IF(OR(AU1605="",AU1605="-"),"－",IF(OR(AZ1605=8,AZ1605=9),"",IF(OR(AW1605=3,AW1605=4,AW1605=5,AW1605=6),VLOOKUP(AU1605,INDEX((係数_バス貨物_ガソリン,係数_バス貨物_CNG,係数_バス貨物_軽油,係数_バス貨物_メタノール,係数_バス貨物_LPG),MATCH(AY1605,【参考】排出係数!$AI$4:$AI$671,1),1,BE1605):INDEX((係数_バス貨物_ガソリン,係数_バス貨物_CNG,係数_バス貨物_軽油,係数_バス貨物_メタノール,係数_バス貨物_LPG),MATCH(AY1605+1,【参考】排出係数!$AI$4:$AI$671,1)-1,5,BE1605),3,FALSE),IF(OR(AW1605=1,AW1605=2),VLOOKUP(AU1605,INDEX((係数_乗用_ガソリン,係数_乗用_CNG,係数_乗用_軽油,係数_乗用_メタノール,係数_乗用_LPG),1,1,BE1605):INDEX((係数_乗用_ガソリン,係数_乗用_CNG,係数_乗用_軽油,係数_乗用_メタノール,係数_乗用_LPG),125,5,BE1605),3,FALSE))))))</f>
        <v/>
      </c>
      <c r="BC1605" s="467" t="str">
        <f t="shared" si="938"/>
        <v/>
      </c>
      <c r="BD1605" s="567" t="str">
        <f t="shared" si="939"/>
        <v/>
      </c>
      <c r="BE1605" s="467" t="str">
        <f t="shared" si="940"/>
        <v/>
      </c>
      <c r="BF1605" s="469" t="str">
        <f t="shared" ca="1" si="941"/>
        <v/>
      </c>
      <c r="BG1605" s="469" t="str">
        <f t="shared" ca="1" si="942"/>
        <v/>
      </c>
      <c r="BH1605" s="467" t="str">
        <f t="shared" si="943"/>
        <v/>
      </c>
      <c r="BI1605" s="467" t="str">
        <f t="shared" ca="1" si="944"/>
        <v/>
      </c>
      <c r="BJ1605" s="469" t="str">
        <f t="shared" si="945"/>
        <v/>
      </c>
      <c r="BK1605" s="470" t="str">
        <f t="shared" si="929"/>
        <v/>
      </c>
      <c r="BL1605" s="775" t="str">
        <f t="shared" si="946"/>
        <v/>
      </c>
      <c r="BM1605" s="775" t="str">
        <f t="shared" si="947"/>
        <v/>
      </c>
    </row>
    <row r="1606" spans="1:65">
      <c r="A1606" s="473">
        <v>1550</v>
      </c>
      <c r="B1606" s="132"/>
      <c r="C1606" s="332"/>
      <c r="D1606" s="333"/>
      <c r="E1606" s="333"/>
      <c r="F1606" s="334"/>
      <c r="G1606" s="337"/>
      <c r="H1606" s="131"/>
      <c r="I1606" s="337"/>
      <c r="J1606" s="131"/>
      <c r="K1606" s="458" t="str">
        <f t="shared" si="910"/>
        <v/>
      </c>
      <c r="L1606" s="458">
        <f t="shared" si="911"/>
        <v>0</v>
      </c>
      <c r="M1606" s="458">
        <f t="shared" si="912"/>
        <v>0</v>
      </c>
      <c r="N1606" s="459" t="str">
        <f t="shared" si="923"/>
        <v/>
      </c>
      <c r="O1606" s="459" t="str">
        <f t="shared" si="924"/>
        <v/>
      </c>
      <c r="P1606" s="459" t="str">
        <f t="shared" si="925"/>
        <v/>
      </c>
      <c r="Q1606" s="459" t="str">
        <f t="shared" si="926"/>
        <v/>
      </c>
      <c r="R1606" s="459" t="str">
        <f t="shared" si="927"/>
        <v/>
      </c>
      <c r="S1606" s="459" t="str">
        <f t="shared" si="928"/>
        <v/>
      </c>
      <c r="T1606" s="566" t="str">
        <f t="shared" si="913"/>
        <v/>
      </c>
      <c r="U1606" s="702"/>
      <c r="V1606" s="132"/>
      <c r="W1606" s="133"/>
      <c r="X1606" s="134"/>
      <c r="Y1606" s="135"/>
      <c r="Z1606" s="137"/>
      <c r="AA1606" s="136"/>
      <c r="AB1606" s="566" t="str">
        <f t="shared" si="914"/>
        <v/>
      </c>
      <c r="AC1606" s="568" t="str">
        <f t="shared" si="915"/>
        <v/>
      </c>
      <c r="AD1606" s="137"/>
      <c r="AE1606" s="137"/>
      <c r="AF1606" s="138"/>
      <c r="AG1606" s="138"/>
      <c r="AH1606" s="592" t="str">
        <f t="shared" si="916"/>
        <v/>
      </c>
      <c r="AI1606" s="592" t="str">
        <f t="shared" si="917"/>
        <v/>
      </c>
      <c r="AJ1606" s="592" t="str">
        <f t="shared" si="918"/>
        <v/>
      </c>
      <c r="AK1606" s="460" t="str">
        <f>IF(AU1606="","",IF(OR(AZ1606=8,AZ1606=9),0,IF(OR(AW1606=3,AW1606=4,AW1606=5,AW1606=6),IF(LEFT(BF1606,1)="1",INDEX(係数_NOX・PM低減,MATCH(AY1606,【参考】排出係数!$AI$801:$AI$804,1),1),VLOOKUP(AU1606,INDEX((係数_バス貨物_ガソリン,係数_バス貨物_CNG,係数_バス貨物_軽油,係数_バス貨物_メタノール,係数_バス貨物_LPG),MATCH(AY1606,【参考】排出係数!$AI$4:$AI$671,1),1,BE1606):INDEX((係数_バス貨物_ガソリン,係数_バス貨物_CNG,係数_バス貨物_軽油,係数_バス貨物_メタノール,係数_バス貨物_LPG),MATCH(AY1606+1,【参考】排出係数!$AI$4:$AI$671,1)-1,5,BE1606),4,FALSE)),IF(AND(BE1606=3,LEFT(BF1606,1)="1"),0.48,VLOOKUP(AU1606,INDEX((係数_乗用_ガソリン,係数_乗用_CNG,係数_乗用_軽油,係数_乗用_メタノール,係数_乗用_LPG),1,1,BE1606):INDEX((係数_乗用_ガソリン,係数_乗用_CNG,係数_乗用_軽油,係数_乗用_メタノール,係数_乗用_LPG),125,5,BE1606),4,FALSE)))))</f>
        <v/>
      </c>
      <c r="AL1606" s="461" t="str">
        <f t="shared" si="919"/>
        <v/>
      </c>
      <c r="AM1606" s="460" t="str">
        <f>IF(AU1606="","",IF(OR(AZ1606=8,AZ1606=9),0,IF(OR(AW1606=3,AW1606=4,AW1606=5,AW1606=6),IF(LEFT(BH1606,1)="1",INDEX(係数_PM低減,MATCH(AY1606,【参考】排出係数!$AI$801:$AI$804,1),MATCH(BI1606,【参考】排出係数!$AL$798:$AO$798,1)),VLOOKUP(AU1606,INDEX((係数_バス貨物_ガソリン,係数_バス貨物_CNG,係数_バス貨物_軽油,係数_バス貨物_メタノール,係数_バス貨物_LPG),MATCH(AY1606,【参考】排出係数!$AI$4:$AI$671,1),1,BE1606):INDEX((係数_バス貨物_ガソリン,係数_バス貨物_CNG,係数_バス貨物_軽油,係数_バス貨物_メタノール,係数_バス貨物_LPG),MATCH(AY1606+1,【参考】排出係数!$AI$4:$AI$671,1)-1,5,BE1606),5,FALSE)),IF(AND(BE1606=3,LEFT(BF1606,1)="1"),0.055,VLOOKUP(AU1606,INDEX((係数_乗用_ガソリン,係数_乗用_CNG,係数_乗用_軽油,係数_乗用_メタノール,係数_乗用_LPG),1,1,BE1606):INDEX((係数_乗用_ガソリン,係数_乗用_CNG,係数_乗用_軽油,係数_乗用_メタノール,係数_乗用_LPG),125,5,BE1606),5,FALSE)))))</f>
        <v/>
      </c>
      <c r="AN1606" s="461" t="str">
        <f t="shared" si="920"/>
        <v/>
      </c>
      <c r="AO1606" s="462" t="str">
        <f t="shared" si="921"/>
        <v/>
      </c>
      <c r="AP1606" s="463" t="str">
        <f t="shared" si="922"/>
        <v/>
      </c>
      <c r="AQ1606" s="464"/>
      <c r="AR1606" s="619"/>
      <c r="AS1606" s="465" t="str">
        <f t="shared" si="930"/>
        <v/>
      </c>
      <c r="AT1606" s="465" t="str">
        <f t="shared" si="931"/>
        <v/>
      </c>
      <c r="AU1606" s="466" t="str">
        <f t="shared" si="932"/>
        <v/>
      </c>
      <c r="AV1606" s="467" t="str">
        <f t="shared" si="933"/>
        <v/>
      </c>
      <c r="AW1606" s="467" t="str">
        <f t="shared" si="934"/>
        <v/>
      </c>
      <c r="AX1606" s="467" t="str">
        <f t="shared" si="935"/>
        <v/>
      </c>
      <c r="AY1606" s="467" t="str">
        <f t="shared" si="936"/>
        <v/>
      </c>
      <c r="AZ1606" s="467" t="str">
        <f t="shared" si="937"/>
        <v/>
      </c>
      <c r="BA1606" s="468" t="str">
        <f>IF(AS1606="","",IF(OR(AU1606="",AU1606="-"),"－",IF(OR(AZ1606=8,AZ1606=9),"",IF(OR(AW1606=3,AW1606=4,AW1606=5,AW1606=6),VLOOKUP(AU1606,INDEX((係数_バス貨物_ガソリン,係数_バス貨物_CNG,係数_バス貨物_軽油,係数_バス貨物_メタノール,係数_バス貨物_LPG),MATCH(AY1606,【参考】排出係数!$AI$4:$AI$671,1),1,BE1606):INDEX((係数_バス貨物_ガソリン,係数_バス貨物_CNG,係数_バス貨物_軽油,係数_バス貨物_メタノール,係数_バス貨物_LPG),MATCH(AY1606+1,【参考】排出係数!$AI$4:$AI$671,1)-1,5,BE1606),2,FALSE),IF(OR(AW1606=1,AW1606=2),VLOOKUP(AU1606,INDEX((係数_乗用_ガソリン,係数_乗用_CNG,係数_乗用_軽油,係数_乗用_メタノール,係数_乗用_LPG),1,1,BE1606):INDEX((係数_乗用_ガソリン,係数_乗用_CNG,係数_乗用_軽油,係数_乗用_メタノール,係数_乗用_LPG),125,5,BE1606),2,FALSE))))))</f>
        <v/>
      </c>
      <c r="BB1606" s="468" t="str">
        <f>IF(T1606="","",IF(OR(AU1606="",AU1606="-"),"－",IF(OR(AZ1606=8,AZ1606=9),"",IF(OR(AW1606=3,AW1606=4,AW1606=5,AW1606=6),VLOOKUP(AU1606,INDEX((係数_バス貨物_ガソリン,係数_バス貨物_CNG,係数_バス貨物_軽油,係数_バス貨物_メタノール,係数_バス貨物_LPG),MATCH(AY1606,【参考】排出係数!$AI$4:$AI$671,1),1,BE1606):INDEX((係数_バス貨物_ガソリン,係数_バス貨物_CNG,係数_バス貨物_軽油,係数_バス貨物_メタノール,係数_バス貨物_LPG),MATCH(AY1606+1,【参考】排出係数!$AI$4:$AI$671,1)-1,5,BE1606),3,FALSE),IF(OR(AW1606=1,AW1606=2),VLOOKUP(AU1606,INDEX((係数_乗用_ガソリン,係数_乗用_CNG,係数_乗用_軽油,係数_乗用_メタノール,係数_乗用_LPG),1,1,BE1606):INDEX((係数_乗用_ガソリン,係数_乗用_CNG,係数_乗用_軽油,係数_乗用_メタノール,係数_乗用_LPG),125,5,BE1606),3,FALSE))))))</f>
        <v/>
      </c>
      <c r="BC1606" s="467" t="str">
        <f t="shared" si="938"/>
        <v/>
      </c>
      <c r="BD1606" s="567" t="str">
        <f t="shared" si="939"/>
        <v/>
      </c>
      <c r="BE1606" s="467" t="str">
        <f t="shared" si="940"/>
        <v/>
      </c>
      <c r="BF1606" s="469" t="str">
        <f t="shared" ca="1" si="941"/>
        <v/>
      </c>
      <c r="BG1606" s="469" t="str">
        <f t="shared" ca="1" si="942"/>
        <v/>
      </c>
      <c r="BH1606" s="467" t="str">
        <f t="shared" si="943"/>
        <v/>
      </c>
      <c r="BI1606" s="467" t="str">
        <f t="shared" ca="1" si="944"/>
        <v/>
      </c>
      <c r="BJ1606" s="469" t="str">
        <f t="shared" si="945"/>
        <v/>
      </c>
      <c r="BK1606" s="470" t="str">
        <f t="shared" si="929"/>
        <v/>
      </c>
      <c r="BL1606" s="775" t="str">
        <f t="shared" si="946"/>
        <v/>
      </c>
      <c r="BM1606" s="775" t="str">
        <f t="shared" si="947"/>
        <v/>
      </c>
    </row>
    <row r="1607" spans="1:65">
      <c r="A1607" s="473">
        <v>1551</v>
      </c>
      <c r="B1607" s="132"/>
      <c r="C1607" s="332"/>
      <c r="D1607" s="333"/>
      <c r="E1607" s="333"/>
      <c r="F1607" s="334"/>
      <c r="G1607" s="337"/>
      <c r="H1607" s="131"/>
      <c r="I1607" s="337"/>
      <c r="J1607" s="131"/>
      <c r="K1607" s="458" t="str">
        <f t="shared" si="910"/>
        <v/>
      </c>
      <c r="L1607" s="458">
        <f t="shared" si="911"/>
        <v>0</v>
      </c>
      <c r="M1607" s="458">
        <f t="shared" si="912"/>
        <v>0</v>
      </c>
      <c r="N1607" s="459" t="str">
        <f t="shared" si="923"/>
        <v/>
      </c>
      <c r="O1607" s="459" t="str">
        <f t="shared" si="924"/>
        <v/>
      </c>
      <c r="P1607" s="459" t="str">
        <f t="shared" si="925"/>
        <v/>
      </c>
      <c r="Q1607" s="459" t="str">
        <f t="shared" si="926"/>
        <v/>
      </c>
      <c r="R1607" s="459" t="str">
        <f t="shared" si="927"/>
        <v/>
      </c>
      <c r="S1607" s="459" t="str">
        <f t="shared" si="928"/>
        <v/>
      </c>
      <c r="T1607" s="566" t="str">
        <f t="shared" si="913"/>
        <v/>
      </c>
      <c r="U1607" s="702"/>
      <c r="V1607" s="132"/>
      <c r="W1607" s="133"/>
      <c r="X1607" s="134"/>
      <c r="Y1607" s="135"/>
      <c r="Z1607" s="137"/>
      <c r="AA1607" s="136"/>
      <c r="AB1607" s="566" t="str">
        <f t="shared" si="914"/>
        <v/>
      </c>
      <c r="AC1607" s="568" t="str">
        <f t="shared" si="915"/>
        <v/>
      </c>
      <c r="AD1607" s="137"/>
      <c r="AE1607" s="137"/>
      <c r="AF1607" s="138"/>
      <c r="AG1607" s="138"/>
      <c r="AH1607" s="592" t="str">
        <f t="shared" si="916"/>
        <v/>
      </c>
      <c r="AI1607" s="592" t="str">
        <f t="shared" si="917"/>
        <v/>
      </c>
      <c r="AJ1607" s="592" t="str">
        <f t="shared" si="918"/>
        <v/>
      </c>
      <c r="AK1607" s="460" t="str">
        <f>IF(AU1607="","",IF(OR(AZ1607=8,AZ1607=9),0,IF(OR(AW1607=3,AW1607=4,AW1607=5,AW1607=6),IF(LEFT(BF1607,1)="1",INDEX(係数_NOX・PM低減,MATCH(AY1607,【参考】排出係数!$AI$801:$AI$804,1),1),VLOOKUP(AU1607,INDEX((係数_バス貨物_ガソリン,係数_バス貨物_CNG,係数_バス貨物_軽油,係数_バス貨物_メタノール,係数_バス貨物_LPG),MATCH(AY1607,【参考】排出係数!$AI$4:$AI$671,1),1,BE1607):INDEX((係数_バス貨物_ガソリン,係数_バス貨物_CNG,係数_バス貨物_軽油,係数_バス貨物_メタノール,係数_バス貨物_LPG),MATCH(AY1607+1,【参考】排出係数!$AI$4:$AI$671,1)-1,5,BE1607),4,FALSE)),IF(AND(BE1607=3,LEFT(BF1607,1)="1"),0.48,VLOOKUP(AU1607,INDEX((係数_乗用_ガソリン,係数_乗用_CNG,係数_乗用_軽油,係数_乗用_メタノール,係数_乗用_LPG),1,1,BE1607):INDEX((係数_乗用_ガソリン,係数_乗用_CNG,係数_乗用_軽油,係数_乗用_メタノール,係数_乗用_LPG),125,5,BE1607),4,FALSE)))))</f>
        <v/>
      </c>
      <c r="AL1607" s="461" t="str">
        <f t="shared" si="919"/>
        <v/>
      </c>
      <c r="AM1607" s="460" t="str">
        <f>IF(AU1607="","",IF(OR(AZ1607=8,AZ1607=9),0,IF(OR(AW1607=3,AW1607=4,AW1607=5,AW1607=6),IF(LEFT(BH1607,1)="1",INDEX(係数_PM低減,MATCH(AY1607,【参考】排出係数!$AI$801:$AI$804,1),MATCH(BI1607,【参考】排出係数!$AL$798:$AO$798,1)),VLOOKUP(AU1607,INDEX((係数_バス貨物_ガソリン,係数_バス貨物_CNG,係数_バス貨物_軽油,係数_バス貨物_メタノール,係数_バス貨物_LPG),MATCH(AY1607,【参考】排出係数!$AI$4:$AI$671,1),1,BE1607):INDEX((係数_バス貨物_ガソリン,係数_バス貨物_CNG,係数_バス貨物_軽油,係数_バス貨物_メタノール,係数_バス貨物_LPG),MATCH(AY1607+1,【参考】排出係数!$AI$4:$AI$671,1)-1,5,BE1607),5,FALSE)),IF(AND(BE1607=3,LEFT(BF1607,1)="1"),0.055,VLOOKUP(AU1607,INDEX((係数_乗用_ガソリン,係数_乗用_CNG,係数_乗用_軽油,係数_乗用_メタノール,係数_乗用_LPG),1,1,BE1607):INDEX((係数_乗用_ガソリン,係数_乗用_CNG,係数_乗用_軽油,係数_乗用_メタノール,係数_乗用_LPG),125,5,BE1607),5,FALSE)))))</f>
        <v/>
      </c>
      <c r="AN1607" s="461" t="str">
        <f t="shared" si="920"/>
        <v/>
      </c>
      <c r="AO1607" s="462" t="str">
        <f t="shared" si="921"/>
        <v/>
      </c>
      <c r="AP1607" s="463" t="str">
        <f t="shared" si="922"/>
        <v/>
      </c>
      <c r="AQ1607" s="464"/>
      <c r="AR1607" s="619"/>
      <c r="AS1607" s="465" t="str">
        <f t="shared" si="930"/>
        <v/>
      </c>
      <c r="AT1607" s="465" t="str">
        <f t="shared" si="931"/>
        <v/>
      </c>
      <c r="AU1607" s="466" t="str">
        <f t="shared" si="932"/>
        <v/>
      </c>
      <c r="AV1607" s="467" t="str">
        <f t="shared" si="933"/>
        <v/>
      </c>
      <c r="AW1607" s="467" t="str">
        <f t="shared" si="934"/>
        <v/>
      </c>
      <c r="AX1607" s="467" t="str">
        <f t="shared" si="935"/>
        <v/>
      </c>
      <c r="AY1607" s="467" t="str">
        <f t="shared" si="936"/>
        <v/>
      </c>
      <c r="AZ1607" s="467" t="str">
        <f t="shared" si="937"/>
        <v/>
      </c>
      <c r="BA1607" s="468" t="str">
        <f>IF(AS1607="","",IF(OR(AU1607="",AU1607="-"),"－",IF(OR(AZ1607=8,AZ1607=9),"",IF(OR(AW1607=3,AW1607=4,AW1607=5,AW1607=6),VLOOKUP(AU1607,INDEX((係数_バス貨物_ガソリン,係数_バス貨物_CNG,係数_バス貨物_軽油,係数_バス貨物_メタノール,係数_バス貨物_LPG),MATCH(AY1607,【参考】排出係数!$AI$4:$AI$671,1),1,BE1607):INDEX((係数_バス貨物_ガソリン,係数_バス貨物_CNG,係数_バス貨物_軽油,係数_バス貨物_メタノール,係数_バス貨物_LPG),MATCH(AY1607+1,【参考】排出係数!$AI$4:$AI$671,1)-1,5,BE1607),2,FALSE),IF(OR(AW1607=1,AW1607=2),VLOOKUP(AU1607,INDEX((係数_乗用_ガソリン,係数_乗用_CNG,係数_乗用_軽油,係数_乗用_メタノール,係数_乗用_LPG),1,1,BE1607):INDEX((係数_乗用_ガソリン,係数_乗用_CNG,係数_乗用_軽油,係数_乗用_メタノール,係数_乗用_LPG),125,5,BE1607),2,FALSE))))))</f>
        <v/>
      </c>
      <c r="BB1607" s="468" t="str">
        <f>IF(T1607="","",IF(OR(AU1607="",AU1607="-"),"－",IF(OR(AZ1607=8,AZ1607=9),"",IF(OR(AW1607=3,AW1607=4,AW1607=5,AW1607=6),VLOOKUP(AU1607,INDEX((係数_バス貨物_ガソリン,係数_バス貨物_CNG,係数_バス貨物_軽油,係数_バス貨物_メタノール,係数_バス貨物_LPG),MATCH(AY1607,【参考】排出係数!$AI$4:$AI$671,1),1,BE1607):INDEX((係数_バス貨物_ガソリン,係数_バス貨物_CNG,係数_バス貨物_軽油,係数_バス貨物_メタノール,係数_バス貨物_LPG),MATCH(AY1607+1,【参考】排出係数!$AI$4:$AI$671,1)-1,5,BE1607),3,FALSE),IF(OR(AW1607=1,AW1607=2),VLOOKUP(AU1607,INDEX((係数_乗用_ガソリン,係数_乗用_CNG,係数_乗用_軽油,係数_乗用_メタノール,係数_乗用_LPG),1,1,BE1607):INDEX((係数_乗用_ガソリン,係数_乗用_CNG,係数_乗用_軽油,係数_乗用_メタノール,係数_乗用_LPG),125,5,BE1607),3,FALSE))))))</f>
        <v/>
      </c>
      <c r="BC1607" s="467" t="str">
        <f t="shared" si="938"/>
        <v/>
      </c>
      <c r="BD1607" s="567" t="str">
        <f t="shared" si="939"/>
        <v/>
      </c>
      <c r="BE1607" s="467" t="str">
        <f t="shared" si="940"/>
        <v/>
      </c>
      <c r="BF1607" s="469" t="str">
        <f t="shared" ca="1" si="941"/>
        <v/>
      </c>
      <c r="BG1607" s="469" t="str">
        <f t="shared" ca="1" si="942"/>
        <v/>
      </c>
      <c r="BH1607" s="467" t="str">
        <f t="shared" si="943"/>
        <v/>
      </c>
      <c r="BI1607" s="467" t="str">
        <f t="shared" ca="1" si="944"/>
        <v/>
      </c>
      <c r="BJ1607" s="469" t="str">
        <f t="shared" si="945"/>
        <v/>
      </c>
      <c r="BK1607" s="470" t="str">
        <f t="shared" si="929"/>
        <v/>
      </c>
      <c r="BL1607" s="775" t="str">
        <f t="shared" si="946"/>
        <v/>
      </c>
      <c r="BM1607" s="775" t="str">
        <f t="shared" si="947"/>
        <v/>
      </c>
    </row>
    <row r="1608" spans="1:65">
      <c r="A1608" s="473">
        <v>1552</v>
      </c>
      <c r="B1608" s="132"/>
      <c r="C1608" s="332"/>
      <c r="D1608" s="333"/>
      <c r="E1608" s="333"/>
      <c r="F1608" s="334"/>
      <c r="G1608" s="337"/>
      <c r="H1608" s="131"/>
      <c r="I1608" s="337"/>
      <c r="J1608" s="131"/>
      <c r="K1608" s="458" t="str">
        <f t="shared" si="910"/>
        <v/>
      </c>
      <c r="L1608" s="458">
        <f t="shared" si="911"/>
        <v>0</v>
      </c>
      <c r="M1608" s="458">
        <f t="shared" si="912"/>
        <v>0</v>
      </c>
      <c r="N1608" s="459" t="str">
        <f t="shared" si="923"/>
        <v/>
      </c>
      <c r="O1608" s="459" t="str">
        <f t="shared" si="924"/>
        <v/>
      </c>
      <c r="P1608" s="459" t="str">
        <f t="shared" si="925"/>
        <v/>
      </c>
      <c r="Q1608" s="459" t="str">
        <f t="shared" si="926"/>
        <v/>
      </c>
      <c r="R1608" s="459" t="str">
        <f t="shared" si="927"/>
        <v/>
      </c>
      <c r="S1608" s="459" t="str">
        <f t="shared" si="928"/>
        <v/>
      </c>
      <c r="T1608" s="566" t="str">
        <f t="shared" si="913"/>
        <v/>
      </c>
      <c r="U1608" s="702"/>
      <c r="V1608" s="132"/>
      <c r="W1608" s="133"/>
      <c r="X1608" s="134"/>
      <c r="Y1608" s="135"/>
      <c r="Z1608" s="137"/>
      <c r="AA1608" s="136"/>
      <c r="AB1608" s="566" t="str">
        <f t="shared" si="914"/>
        <v/>
      </c>
      <c r="AC1608" s="568" t="str">
        <f t="shared" si="915"/>
        <v/>
      </c>
      <c r="AD1608" s="137"/>
      <c r="AE1608" s="137"/>
      <c r="AF1608" s="138"/>
      <c r="AG1608" s="138"/>
      <c r="AH1608" s="592" t="str">
        <f t="shared" si="916"/>
        <v/>
      </c>
      <c r="AI1608" s="592" t="str">
        <f t="shared" si="917"/>
        <v/>
      </c>
      <c r="AJ1608" s="592" t="str">
        <f t="shared" si="918"/>
        <v/>
      </c>
      <c r="AK1608" s="460" t="str">
        <f>IF(AU1608="","",IF(OR(AZ1608=8,AZ1608=9),0,IF(OR(AW1608=3,AW1608=4,AW1608=5,AW1608=6),IF(LEFT(BF1608,1)="1",INDEX(係数_NOX・PM低減,MATCH(AY1608,【参考】排出係数!$AI$801:$AI$804,1),1),VLOOKUP(AU1608,INDEX((係数_バス貨物_ガソリン,係数_バス貨物_CNG,係数_バス貨物_軽油,係数_バス貨物_メタノール,係数_バス貨物_LPG),MATCH(AY1608,【参考】排出係数!$AI$4:$AI$671,1),1,BE1608):INDEX((係数_バス貨物_ガソリン,係数_バス貨物_CNG,係数_バス貨物_軽油,係数_バス貨物_メタノール,係数_バス貨物_LPG),MATCH(AY1608+1,【参考】排出係数!$AI$4:$AI$671,1)-1,5,BE1608),4,FALSE)),IF(AND(BE1608=3,LEFT(BF1608,1)="1"),0.48,VLOOKUP(AU1608,INDEX((係数_乗用_ガソリン,係数_乗用_CNG,係数_乗用_軽油,係数_乗用_メタノール,係数_乗用_LPG),1,1,BE1608):INDEX((係数_乗用_ガソリン,係数_乗用_CNG,係数_乗用_軽油,係数_乗用_メタノール,係数_乗用_LPG),125,5,BE1608),4,FALSE)))))</f>
        <v/>
      </c>
      <c r="AL1608" s="461" t="str">
        <f t="shared" si="919"/>
        <v/>
      </c>
      <c r="AM1608" s="460" t="str">
        <f>IF(AU1608="","",IF(OR(AZ1608=8,AZ1608=9),0,IF(OR(AW1608=3,AW1608=4,AW1608=5,AW1608=6),IF(LEFT(BH1608,1)="1",INDEX(係数_PM低減,MATCH(AY1608,【参考】排出係数!$AI$801:$AI$804,1),MATCH(BI1608,【参考】排出係数!$AL$798:$AO$798,1)),VLOOKUP(AU1608,INDEX((係数_バス貨物_ガソリン,係数_バス貨物_CNG,係数_バス貨物_軽油,係数_バス貨物_メタノール,係数_バス貨物_LPG),MATCH(AY1608,【参考】排出係数!$AI$4:$AI$671,1),1,BE1608):INDEX((係数_バス貨物_ガソリン,係数_バス貨物_CNG,係数_バス貨物_軽油,係数_バス貨物_メタノール,係数_バス貨物_LPG),MATCH(AY1608+1,【参考】排出係数!$AI$4:$AI$671,1)-1,5,BE1608),5,FALSE)),IF(AND(BE1608=3,LEFT(BF1608,1)="1"),0.055,VLOOKUP(AU1608,INDEX((係数_乗用_ガソリン,係数_乗用_CNG,係数_乗用_軽油,係数_乗用_メタノール,係数_乗用_LPG),1,1,BE1608):INDEX((係数_乗用_ガソリン,係数_乗用_CNG,係数_乗用_軽油,係数_乗用_メタノール,係数_乗用_LPG),125,5,BE1608),5,FALSE)))))</f>
        <v/>
      </c>
      <c r="AN1608" s="461" t="str">
        <f t="shared" si="920"/>
        <v/>
      </c>
      <c r="AO1608" s="462" t="str">
        <f t="shared" si="921"/>
        <v/>
      </c>
      <c r="AP1608" s="463" t="str">
        <f t="shared" si="922"/>
        <v/>
      </c>
      <c r="AQ1608" s="464"/>
      <c r="AR1608" s="619"/>
      <c r="AS1608" s="465" t="str">
        <f t="shared" si="930"/>
        <v/>
      </c>
      <c r="AT1608" s="465" t="str">
        <f t="shared" si="931"/>
        <v/>
      </c>
      <c r="AU1608" s="466" t="str">
        <f t="shared" si="932"/>
        <v/>
      </c>
      <c r="AV1608" s="467" t="str">
        <f t="shared" si="933"/>
        <v/>
      </c>
      <c r="AW1608" s="467" t="str">
        <f t="shared" si="934"/>
        <v/>
      </c>
      <c r="AX1608" s="467" t="str">
        <f t="shared" si="935"/>
        <v/>
      </c>
      <c r="AY1608" s="467" t="str">
        <f t="shared" si="936"/>
        <v/>
      </c>
      <c r="AZ1608" s="467" t="str">
        <f t="shared" si="937"/>
        <v/>
      </c>
      <c r="BA1608" s="468" t="str">
        <f>IF(AS1608="","",IF(OR(AU1608="",AU1608="-"),"－",IF(OR(AZ1608=8,AZ1608=9),"",IF(OR(AW1608=3,AW1608=4,AW1608=5,AW1608=6),VLOOKUP(AU1608,INDEX((係数_バス貨物_ガソリン,係数_バス貨物_CNG,係数_バス貨物_軽油,係数_バス貨物_メタノール,係数_バス貨物_LPG),MATCH(AY1608,【参考】排出係数!$AI$4:$AI$671,1),1,BE1608):INDEX((係数_バス貨物_ガソリン,係数_バス貨物_CNG,係数_バス貨物_軽油,係数_バス貨物_メタノール,係数_バス貨物_LPG),MATCH(AY1608+1,【参考】排出係数!$AI$4:$AI$671,1)-1,5,BE1608),2,FALSE),IF(OR(AW1608=1,AW1608=2),VLOOKUP(AU1608,INDEX((係数_乗用_ガソリン,係数_乗用_CNG,係数_乗用_軽油,係数_乗用_メタノール,係数_乗用_LPG),1,1,BE1608):INDEX((係数_乗用_ガソリン,係数_乗用_CNG,係数_乗用_軽油,係数_乗用_メタノール,係数_乗用_LPG),125,5,BE1608),2,FALSE))))))</f>
        <v/>
      </c>
      <c r="BB1608" s="468" t="str">
        <f>IF(T1608="","",IF(OR(AU1608="",AU1608="-"),"－",IF(OR(AZ1608=8,AZ1608=9),"",IF(OR(AW1608=3,AW1608=4,AW1608=5,AW1608=6),VLOOKUP(AU1608,INDEX((係数_バス貨物_ガソリン,係数_バス貨物_CNG,係数_バス貨物_軽油,係数_バス貨物_メタノール,係数_バス貨物_LPG),MATCH(AY1608,【参考】排出係数!$AI$4:$AI$671,1),1,BE1608):INDEX((係数_バス貨物_ガソリン,係数_バス貨物_CNG,係数_バス貨物_軽油,係数_バス貨物_メタノール,係数_バス貨物_LPG),MATCH(AY1608+1,【参考】排出係数!$AI$4:$AI$671,1)-1,5,BE1608),3,FALSE),IF(OR(AW1608=1,AW1608=2),VLOOKUP(AU1608,INDEX((係数_乗用_ガソリン,係数_乗用_CNG,係数_乗用_軽油,係数_乗用_メタノール,係数_乗用_LPG),1,1,BE1608):INDEX((係数_乗用_ガソリン,係数_乗用_CNG,係数_乗用_軽油,係数_乗用_メタノール,係数_乗用_LPG),125,5,BE1608),3,FALSE))))))</f>
        <v/>
      </c>
      <c r="BC1608" s="467" t="str">
        <f t="shared" si="938"/>
        <v/>
      </c>
      <c r="BD1608" s="567" t="str">
        <f t="shared" si="939"/>
        <v/>
      </c>
      <c r="BE1608" s="467" t="str">
        <f t="shared" si="940"/>
        <v/>
      </c>
      <c r="BF1608" s="469" t="str">
        <f t="shared" ca="1" si="941"/>
        <v/>
      </c>
      <c r="BG1608" s="469" t="str">
        <f t="shared" ca="1" si="942"/>
        <v/>
      </c>
      <c r="BH1608" s="467" t="str">
        <f t="shared" si="943"/>
        <v/>
      </c>
      <c r="BI1608" s="467" t="str">
        <f t="shared" ca="1" si="944"/>
        <v/>
      </c>
      <c r="BJ1608" s="469" t="str">
        <f t="shared" si="945"/>
        <v/>
      </c>
      <c r="BK1608" s="470" t="str">
        <f t="shared" si="929"/>
        <v/>
      </c>
      <c r="BL1608" s="775" t="str">
        <f t="shared" si="946"/>
        <v/>
      </c>
      <c r="BM1608" s="775" t="str">
        <f t="shared" si="947"/>
        <v/>
      </c>
    </row>
    <row r="1609" spans="1:65">
      <c r="A1609" s="473">
        <v>1553</v>
      </c>
      <c r="B1609" s="132"/>
      <c r="C1609" s="332"/>
      <c r="D1609" s="333"/>
      <c r="E1609" s="333"/>
      <c r="F1609" s="334"/>
      <c r="G1609" s="337"/>
      <c r="H1609" s="131"/>
      <c r="I1609" s="337"/>
      <c r="J1609" s="131"/>
      <c r="K1609" s="458" t="str">
        <f t="shared" si="910"/>
        <v/>
      </c>
      <c r="L1609" s="458">
        <f t="shared" si="911"/>
        <v>0</v>
      </c>
      <c r="M1609" s="458">
        <f t="shared" si="912"/>
        <v>0</v>
      </c>
      <c r="N1609" s="459" t="str">
        <f t="shared" si="923"/>
        <v/>
      </c>
      <c r="O1609" s="459" t="str">
        <f t="shared" si="924"/>
        <v/>
      </c>
      <c r="P1609" s="459" t="str">
        <f t="shared" si="925"/>
        <v/>
      </c>
      <c r="Q1609" s="459" t="str">
        <f t="shared" si="926"/>
        <v/>
      </c>
      <c r="R1609" s="459" t="str">
        <f t="shared" si="927"/>
        <v/>
      </c>
      <c r="S1609" s="459" t="str">
        <f t="shared" si="928"/>
        <v/>
      </c>
      <c r="T1609" s="566" t="str">
        <f t="shared" si="913"/>
        <v/>
      </c>
      <c r="U1609" s="702"/>
      <c r="V1609" s="132"/>
      <c r="W1609" s="133"/>
      <c r="X1609" s="134"/>
      <c r="Y1609" s="135"/>
      <c r="Z1609" s="137"/>
      <c r="AA1609" s="136"/>
      <c r="AB1609" s="566" t="str">
        <f t="shared" si="914"/>
        <v/>
      </c>
      <c r="AC1609" s="568" t="str">
        <f t="shared" si="915"/>
        <v/>
      </c>
      <c r="AD1609" s="137"/>
      <c r="AE1609" s="137"/>
      <c r="AF1609" s="138"/>
      <c r="AG1609" s="138"/>
      <c r="AH1609" s="592" t="str">
        <f t="shared" si="916"/>
        <v/>
      </c>
      <c r="AI1609" s="592" t="str">
        <f t="shared" si="917"/>
        <v/>
      </c>
      <c r="AJ1609" s="592" t="str">
        <f t="shared" si="918"/>
        <v/>
      </c>
      <c r="AK1609" s="460" t="str">
        <f>IF(AU1609="","",IF(OR(AZ1609=8,AZ1609=9),0,IF(OR(AW1609=3,AW1609=4,AW1609=5,AW1609=6),IF(LEFT(BF1609,1)="1",INDEX(係数_NOX・PM低減,MATCH(AY1609,【参考】排出係数!$AI$801:$AI$804,1),1),VLOOKUP(AU1609,INDEX((係数_バス貨物_ガソリン,係数_バス貨物_CNG,係数_バス貨物_軽油,係数_バス貨物_メタノール,係数_バス貨物_LPG),MATCH(AY1609,【参考】排出係数!$AI$4:$AI$671,1),1,BE1609):INDEX((係数_バス貨物_ガソリン,係数_バス貨物_CNG,係数_バス貨物_軽油,係数_バス貨物_メタノール,係数_バス貨物_LPG),MATCH(AY1609+1,【参考】排出係数!$AI$4:$AI$671,1)-1,5,BE1609),4,FALSE)),IF(AND(BE1609=3,LEFT(BF1609,1)="1"),0.48,VLOOKUP(AU1609,INDEX((係数_乗用_ガソリン,係数_乗用_CNG,係数_乗用_軽油,係数_乗用_メタノール,係数_乗用_LPG),1,1,BE1609):INDEX((係数_乗用_ガソリン,係数_乗用_CNG,係数_乗用_軽油,係数_乗用_メタノール,係数_乗用_LPG),125,5,BE1609),4,FALSE)))))</f>
        <v/>
      </c>
      <c r="AL1609" s="461" t="str">
        <f t="shared" si="919"/>
        <v/>
      </c>
      <c r="AM1609" s="460" t="str">
        <f>IF(AU1609="","",IF(OR(AZ1609=8,AZ1609=9),0,IF(OR(AW1609=3,AW1609=4,AW1609=5,AW1609=6),IF(LEFT(BH1609,1)="1",INDEX(係数_PM低減,MATCH(AY1609,【参考】排出係数!$AI$801:$AI$804,1),MATCH(BI1609,【参考】排出係数!$AL$798:$AO$798,1)),VLOOKUP(AU1609,INDEX((係数_バス貨物_ガソリン,係数_バス貨物_CNG,係数_バス貨物_軽油,係数_バス貨物_メタノール,係数_バス貨物_LPG),MATCH(AY1609,【参考】排出係数!$AI$4:$AI$671,1),1,BE1609):INDEX((係数_バス貨物_ガソリン,係数_バス貨物_CNG,係数_バス貨物_軽油,係数_バス貨物_メタノール,係数_バス貨物_LPG),MATCH(AY1609+1,【参考】排出係数!$AI$4:$AI$671,1)-1,5,BE1609),5,FALSE)),IF(AND(BE1609=3,LEFT(BF1609,1)="1"),0.055,VLOOKUP(AU1609,INDEX((係数_乗用_ガソリン,係数_乗用_CNG,係数_乗用_軽油,係数_乗用_メタノール,係数_乗用_LPG),1,1,BE1609):INDEX((係数_乗用_ガソリン,係数_乗用_CNG,係数_乗用_軽油,係数_乗用_メタノール,係数_乗用_LPG),125,5,BE1609),5,FALSE)))))</f>
        <v/>
      </c>
      <c r="AN1609" s="461" t="str">
        <f t="shared" si="920"/>
        <v/>
      </c>
      <c r="AO1609" s="462" t="str">
        <f t="shared" si="921"/>
        <v/>
      </c>
      <c r="AP1609" s="463" t="str">
        <f t="shared" si="922"/>
        <v/>
      </c>
      <c r="AQ1609" s="464"/>
      <c r="AR1609" s="619"/>
      <c r="AS1609" s="465" t="str">
        <f t="shared" si="930"/>
        <v/>
      </c>
      <c r="AT1609" s="465" t="str">
        <f t="shared" si="931"/>
        <v/>
      </c>
      <c r="AU1609" s="466" t="str">
        <f t="shared" si="932"/>
        <v/>
      </c>
      <c r="AV1609" s="467" t="str">
        <f t="shared" si="933"/>
        <v/>
      </c>
      <c r="AW1609" s="467" t="str">
        <f t="shared" si="934"/>
        <v/>
      </c>
      <c r="AX1609" s="467" t="str">
        <f t="shared" si="935"/>
        <v/>
      </c>
      <c r="AY1609" s="467" t="str">
        <f t="shared" si="936"/>
        <v/>
      </c>
      <c r="AZ1609" s="467" t="str">
        <f t="shared" si="937"/>
        <v/>
      </c>
      <c r="BA1609" s="468" t="str">
        <f>IF(AS1609="","",IF(OR(AU1609="",AU1609="-"),"－",IF(OR(AZ1609=8,AZ1609=9),"",IF(OR(AW1609=3,AW1609=4,AW1609=5,AW1609=6),VLOOKUP(AU1609,INDEX((係数_バス貨物_ガソリン,係数_バス貨物_CNG,係数_バス貨物_軽油,係数_バス貨物_メタノール,係数_バス貨物_LPG),MATCH(AY1609,【参考】排出係数!$AI$4:$AI$671,1),1,BE1609):INDEX((係数_バス貨物_ガソリン,係数_バス貨物_CNG,係数_バス貨物_軽油,係数_バス貨物_メタノール,係数_バス貨物_LPG),MATCH(AY1609+1,【参考】排出係数!$AI$4:$AI$671,1)-1,5,BE1609),2,FALSE),IF(OR(AW1609=1,AW1609=2),VLOOKUP(AU1609,INDEX((係数_乗用_ガソリン,係数_乗用_CNG,係数_乗用_軽油,係数_乗用_メタノール,係数_乗用_LPG),1,1,BE1609):INDEX((係数_乗用_ガソリン,係数_乗用_CNG,係数_乗用_軽油,係数_乗用_メタノール,係数_乗用_LPG),125,5,BE1609),2,FALSE))))))</f>
        <v/>
      </c>
      <c r="BB1609" s="468" t="str">
        <f>IF(T1609="","",IF(OR(AU1609="",AU1609="-"),"－",IF(OR(AZ1609=8,AZ1609=9),"",IF(OR(AW1609=3,AW1609=4,AW1609=5,AW1609=6),VLOOKUP(AU1609,INDEX((係数_バス貨物_ガソリン,係数_バス貨物_CNG,係数_バス貨物_軽油,係数_バス貨物_メタノール,係数_バス貨物_LPG),MATCH(AY1609,【参考】排出係数!$AI$4:$AI$671,1),1,BE1609):INDEX((係数_バス貨物_ガソリン,係数_バス貨物_CNG,係数_バス貨物_軽油,係数_バス貨物_メタノール,係数_バス貨物_LPG),MATCH(AY1609+1,【参考】排出係数!$AI$4:$AI$671,1)-1,5,BE1609),3,FALSE),IF(OR(AW1609=1,AW1609=2),VLOOKUP(AU1609,INDEX((係数_乗用_ガソリン,係数_乗用_CNG,係数_乗用_軽油,係数_乗用_メタノール,係数_乗用_LPG),1,1,BE1609):INDEX((係数_乗用_ガソリン,係数_乗用_CNG,係数_乗用_軽油,係数_乗用_メタノール,係数_乗用_LPG),125,5,BE1609),3,FALSE))))))</f>
        <v/>
      </c>
      <c r="BC1609" s="467" t="str">
        <f t="shared" si="938"/>
        <v/>
      </c>
      <c r="BD1609" s="567" t="str">
        <f t="shared" si="939"/>
        <v/>
      </c>
      <c r="BE1609" s="467" t="str">
        <f t="shared" si="940"/>
        <v/>
      </c>
      <c r="BF1609" s="469" t="str">
        <f t="shared" ca="1" si="941"/>
        <v/>
      </c>
      <c r="BG1609" s="469" t="str">
        <f t="shared" ca="1" si="942"/>
        <v/>
      </c>
      <c r="BH1609" s="467" t="str">
        <f t="shared" si="943"/>
        <v/>
      </c>
      <c r="BI1609" s="467" t="str">
        <f t="shared" ca="1" si="944"/>
        <v/>
      </c>
      <c r="BJ1609" s="469" t="str">
        <f t="shared" si="945"/>
        <v/>
      </c>
      <c r="BK1609" s="470" t="str">
        <f t="shared" si="929"/>
        <v/>
      </c>
      <c r="BL1609" s="775" t="str">
        <f t="shared" si="946"/>
        <v/>
      </c>
      <c r="BM1609" s="775" t="str">
        <f t="shared" si="947"/>
        <v/>
      </c>
    </row>
    <row r="1610" spans="1:65">
      <c r="A1610" s="473">
        <v>1554</v>
      </c>
      <c r="B1610" s="132"/>
      <c r="C1610" s="332"/>
      <c r="D1610" s="333"/>
      <c r="E1610" s="333"/>
      <c r="F1610" s="334"/>
      <c r="G1610" s="337"/>
      <c r="H1610" s="131"/>
      <c r="I1610" s="337"/>
      <c r="J1610" s="131"/>
      <c r="K1610" s="458" t="str">
        <f t="shared" si="910"/>
        <v/>
      </c>
      <c r="L1610" s="458">
        <f t="shared" si="911"/>
        <v>0</v>
      </c>
      <c r="M1610" s="458">
        <f t="shared" si="912"/>
        <v>0</v>
      </c>
      <c r="N1610" s="459" t="str">
        <f t="shared" si="923"/>
        <v/>
      </c>
      <c r="O1610" s="459" t="str">
        <f t="shared" si="924"/>
        <v/>
      </c>
      <c r="P1610" s="459" t="str">
        <f t="shared" si="925"/>
        <v/>
      </c>
      <c r="Q1610" s="459" t="str">
        <f t="shared" si="926"/>
        <v/>
      </c>
      <c r="R1610" s="459" t="str">
        <f t="shared" si="927"/>
        <v/>
      </c>
      <c r="S1610" s="459" t="str">
        <f t="shared" si="928"/>
        <v/>
      </c>
      <c r="T1610" s="566" t="str">
        <f t="shared" si="913"/>
        <v/>
      </c>
      <c r="U1610" s="702"/>
      <c r="V1610" s="132"/>
      <c r="W1610" s="133"/>
      <c r="X1610" s="134"/>
      <c r="Y1610" s="135"/>
      <c r="Z1610" s="137"/>
      <c r="AA1610" s="136"/>
      <c r="AB1610" s="566" t="str">
        <f t="shared" si="914"/>
        <v/>
      </c>
      <c r="AC1610" s="568" t="str">
        <f t="shared" si="915"/>
        <v/>
      </c>
      <c r="AD1610" s="137"/>
      <c r="AE1610" s="137"/>
      <c r="AF1610" s="138"/>
      <c r="AG1610" s="138"/>
      <c r="AH1610" s="592" t="str">
        <f t="shared" si="916"/>
        <v/>
      </c>
      <c r="AI1610" s="592" t="str">
        <f t="shared" si="917"/>
        <v/>
      </c>
      <c r="AJ1610" s="592" t="str">
        <f t="shared" si="918"/>
        <v/>
      </c>
      <c r="AK1610" s="460" t="str">
        <f>IF(AU1610="","",IF(OR(AZ1610=8,AZ1610=9),0,IF(OR(AW1610=3,AW1610=4,AW1610=5,AW1610=6),IF(LEFT(BF1610,1)="1",INDEX(係数_NOX・PM低減,MATCH(AY1610,【参考】排出係数!$AI$801:$AI$804,1),1),VLOOKUP(AU1610,INDEX((係数_バス貨物_ガソリン,係数_バス貨物_CNG,係数_バス貨物_軽油,係数_バス貨物_メタノール,係数_バス貨物_LPG),MATCH(AY1610,【参考】排出係数!$AI$4:$AI$671,1),1,BE1610):INDEX((係数_バス貨物_ガソリン,係数_バス貨物_CNG,係数_バス貨物_軽油,係数_バス貨物_メタノール,係数_バス貨物_LPG),MATCH(AY1610+1,【参考】排出係数!$AI$4:$AI$671,1)-1,5,BE1610),4,FALSE)),IF(AND(BE1610=3,LEFT(BF1610,1)="1"),0.48,VLOOKUP(AU1610,INDEX((係数_乗用_ガソリン,係数_乗用_CNG,係数_乗用_軽油,係数_乗用_メタノール,係数_乗用_LPG),1,1,BE1610):INDEX((係数_乗用_ガソリン,係数_乗用_CNG,係数_乗用_軽油,係数_乗用_メタノール,係数_乗用_LPG),125,5,BE1610),4,FALSE)))))</f>
        <v/>
      </c>
      <c r="AL1610" s="461" t="str">
        <f t="shared" si="919"/>
        <v/>
      </c>
      <c r="AM1610" s="460" t="str">
        <f>IF(AU1610="","",IF(OR(AZ1610=8,AZ1610=9),0,IF(OR(AW1610=3,AW1610=4,AW1610=5,AW1610=6),IF(LEFT(BH1610,1)="1",INDEX(係数_PM低減,MATCH(AY1610,【参考】排出係数!$AI$801:$AI$804,1),MATCH(BI1610,【参考】排出係数!$AL$798:$AO$798,1)),VLOOKUP(AU1610,INDEX((係数_バス貨物_ガソリン,係数_バス貨物_CNG,係数_バス貨物_軽油,係数_バス貨物_メタノール,係数_バス貨物_LPG),MATCH(AY1610,【参考】排出係数!$AI$4:$AI$671,1),1,BE1610):INDEX((係数_バス貨物_ガソリン,係数_バス貨物_CNG,係数_バス貨物_軽油,係数_バス貨物_メタノール,係数_バス貨物_LPG),MATCH(AY1610+1,【参考】排出係数!$AI$4:$AI$671,1)-1,5,BE1610),5,FALSE)),IF(AND(BE1610=3,LEFT(BF1610,1)="1"),0.055,VLOOKUP(AU1610,INDEX((係数_乗用_ガソリン,係数_乗用_CNG,係数_乗用_軽油,係数_乗用_メタノール,係数_乗用_LPG),1,1,BE1610):INDEX((係数_乗用_ガソリン,係数_乗用_CNG,係数_乗用_軽油,係数_乗用_メタノール,係数_乗用_LPG),125,5,BE1610),5,FALSE)))))</f>
        <v/>
      </c>
      <c r="AN1610" s="461" t="str">
        <f t="shared" si="920"/>
        <v/>
      </c>
      <c r="AO1610" s="462" t="str">
        <f t="shared" si="921"/>
        <v/>
      </c>
      <c r="AP1610" s="463" t="str">
        <f t="shared" si="922"/>
        <v/>
      </c>
      <c r="AQ1610" s="464"/>
      <c r="AR1610" s="619"/>
      <c r="AS1610" s="465" t="str">
        <f t="shared" si="930"/>
        <v/>
      </c>
      <c r="AT1610" s="465" t="str">
        <f t="shared" si="931"/>
        <v/>
      </c>
      <c r="AU1610" s="466" t="str">
        <f t="shared" si="932"/>
        <v/>
      </c>
      <c r="AV1610" s="467" t="str">
        <f t="shared" si="933"/>
        <v/>
      </c>
      <c r="AW1610" s="467" t="str">
        <f t="shared" si="934"/>
        <v/>
      </c>
      <c r="AX1610" s="467" t="str">
        <f t="shared" si="935"/>
        <v/>
      </c>
      <c r="AY1610" s="467" t="str">
        <f t="shared" si="936"/>
        <v/>
      </c>
      <c r="AZ1610" s="467" t="str">
        <f t="shared" si="937"/>
        <v/>
      </c>
      <c r="BA1610" s="468" t="str">
        <f>IF(AS1610="","",IF(OR(AU1610="",AU1610="-"),"－",IF(OR(AZ1610=8,AZ1610=9),"",IF(OR(AW1610=3,AW1610=4,AW1610=5,AW1610=6),VLOOKUP(AU1610,INDEX((係数_バス貨物_ガソリン,係数_バス貨物_CNG,係数_バス貨物_軽油,係数_バス貨物_メタノール,係数_バス貨物_LPG),MATCH(AY1610,【参考】排出係数!$AI$4:$AI$671,1),1,BE1610):INDEX((係数_バス貨物_ガソリン,係数_バス貨物_CNG,係数_バス貨物_軽油,係数_バス貨物_メタノール,係数_バス貨物_LPG),MATCH(AY1610+1,【参考】排出係数!$AI$4:$AI$671,1)-1,5,BE1610),2,FALSE),IF(OR(AW1610=1,AW1610=2),VLOOKUP(AU1610,INDEX((係数_乗用_ガソリン,係数_乗用_CNG,係数_乗用_軽油,係数_乗用_メタノール,係数_乗用_LPG),1,1,BE1610):INDEX((係数_乗用_ガソリン,係数_乗用_CNG,係数_乗用_軽油,係数_乗用_メタノール,係数_乗用_LPG),125,5,BE1610),2,FALSE))))))</f>
        <v/>
      </c>
      <c r="BB1610" s="468" t="str">
        <f>IF(T1610="","",IF(OR(AU1610="",AU1610="-"),"－",IF(OR(AZ1610=8,AZ1610=9),"",IF(OR(AW1610=3,AW1610=4,AW1610=5,AW1610=6),VLOOKUP(AU1610,INDEX((係数_バス貨物_ガソリン,係数_バス貨物_CNG,係数_バス貨物_軽油,係数_バス貨物_メタノール,係数_バス貨物_LPG),MATCH(AY1610,【参考】排出係数!$AI$4:$AI$671,1),1,BE1610):INDEX((係数_バス貨物_ガソリン,係数_バス貨物_CNG,係数_バス貨物_軽油,係数_バス貨物_メタノール,係数_バス貨物_LPG),MATCH(AY1610+1,【参考】排出係数!$AI$4:$AI$671,1)-1,5,BE1610),3,FALSE),IF(OR(AW1610=1,AW1610=2),VLOOKUP(AU1610,INDEX((係数_乗用_ガソリン,係数_乗用_CNG,係数_乗用_軽油,係数_乗用_メタノール,係数_乗用_LPG),1,1,BE1610):INDEX((係数_乗用_ガソリン,係数_乗用_CNG,係数_乗用_軽油,係数_乗用_メタノール,係数_乗用_LPG),125,5,BE1610),3,FALSE))))))</f>
        <v/>
      </c>
      <c r="BC1610" s="467" t="str">
        <f t="shared" si="938"/>
        <v/>
      </c>
      <c r="BD1610" s="567" t="str">
        <f t="shared" si="939"/>
        <v/>
      </c>
      <c r="BE1610" s="467" t="str">
        <f t="shared" si="940"/>
        <v/>
      </c>
      <c r="BF1610" s="469" t="str">
        <f t="shared" ca="1" si="941"/>
        <v/>
      </c>
      <c r="BG1610" s="469" t="str">
        <f t="shared" ca="1" si="942"/>
        <v/>
      </c>
      <c r="BH1610" s="467" t="str">
        <f t="shared" si="943"/>
        <v/>
      </c>
      <c r="BI1610" s="467" t="str">
        <f t="shared" ca="1" si="944"/>
        <v/>
      </c>
      <c r="BJ1610" s="469" t="str">
        <f t="shared" si="945"/>
        <v/>
      </c>
      <c r="BK1610" s="470" t="str">
        <f t="shared" si="929"/>
        <v/>
      </c>
      <c r="BL1610" s="775" t="str">
        <f t="shared" si="946"/>
        <v/>
      </c>
      <c r="BM1610" s="775" t="str">
        <f t="shared" si="947"/>
        <v/>
      </c>
    </row>
    <row r="1611" spans="1:65">
      <c r="A1611" s="473">
        <v>1555</v>
      </c>
      <c r="B1611" s="132"/>
      <c r="C1611" s="332"/>
      <c r="D1611" s="333"/>
      <c r="E1611" s="333"/>
      <c r="F1611" s="334"/>
      <c r="G1611" s="337"/>
      <c r="H1611" s="131"/>
      <c r="I1611" s="337"/>
      <c r="J1611" s="131"/>
      <c r="K1611" s="458" t="str">
        <f t="shared" si="910"/>
        <v/>
      </c>
      <c r="L1611" s="458">
        <f t="shared" si="911"/>
        <v>0</v>
      </c>
      <c r="M1611" s="458">
        <f t="shared" si="912"/>
        <v>0</v>
      </c>
      <c r="N1611" s="459" t="str">
        <f t="shared" si="923"/>
        <v/>
      </c>
      <c r="O1611" s="459" t="str">
        <f t="shared" si="924"/>
        <v/>
      </c>
      <c r="P1611" s="459" t="str">
        <f t="shared" si="925"/>
        <v/>
      </c>
      <c r="Q1611" s="459" t="str">
        <f t="shared" si="926"/>
        <v/>
      </c>
      <c r="R1611" s="459" t="str">
        <f t="shared" si="927"/>
        <v/>
      </c>
      <c r="S1611" s="459" t="str">
        <f t="shared" si="928"/>
        <v/>
      </c>
      <c r="T1611" s="566" t="str">
        <f t="shared" si="913"/>
        <v/>
      </c>
      <c r="U1611" s="702"/>
      <c r="V1611" s="132"/>
      <c r="W1611" s="133"/>
      <c r="X1611" s="134"/>
      <c r="Y1611" s="135"/>
      <c r="Z1611" s="137"/>
      <c r="AA1611" s="136"/>
      <c r="AB1611" s="566" t="str">
        <f t="shared" si="914"/>
        <v/>
      </c>
      <c r="AC1611" s="568" t="str">
        <f t="shared" si="915"/>
        <v/>
      </c>
      <c r="AD1611" s="137"/>
      <c r="AE1611" s="137"/>
      <c r="AF1611" s="138"/>
      <c r="AG1611" s="138"/>
      <c r="AH1611" s="592" t="str">
        <f t="shared" si="916"/>
        <v/>
      </c>
      <c r="AI1611" s="592" t="str">
        <f t="shared" si="917"/>
        <v/>
      </c>
      <c r="AJ1611" s="592" t="str">
        <f t="shared" si="918"/>
        <v/>
      </c>
      <c r="AK1611" s="460" t="str">
        <f>IF(AU1611="","",IF(OR(AZ1611=8,AZ1611=9),0,IF(OR(AW1611=3,AW1611=4,AW1611=5,AW1611=6),IF(LEFT(BF1611,1)="1",INDEX(係数_NOX・PM低減,MATCH(AY1611,【参考】排出係数!$AI$801:$AI$804,1),1),VLOOKUP(AU1611,INDEX((係数_バス貨物_ガソリン,係数_バス貨物_CNG,係数_バス貨物_軽油,係数_バス貨物_メタノール,係数_バス貨物_LPG),MATCH(AY1611,【参考】排出係数!$AI$4:$AI$671,1),1,BE1611):INDEX((係数_バス貨物_ガソリン,係数_バス貨物_CNG,係数_バス貨物_軽油,係数_バス貨物_メタノール,係数_バス貨物_LPG),MATCH(AY1611+1,【参考】排出係数!$AI$4:$AI$671,1)-1,5,BE1611),4,FALSE)),IF(AND(BE1611=3,LEFT(BF1611,1)="1"),0.48,VLOOKUP(AU1611,INDEX((係数_乗用_ガソリン,係数_乗用_CNG,係数_乗用_軽油,係数_乗用_メタノール,係数_乗用_LPG),1,1,BE1611):INDEX((係数_乗用_ガソリン,係数_乗用_CNG,係数_乗用_軽油,係数_乗用_メタノール,係数_乗用_LPG),125,5,BE1611),4,FALSE)))))</f>
        <v/>
      </c>
      <c r="AL1611" s="461" t="str">
        <f t="shared" si="919"/>
        <v/>
      </c>
      <c r="AM1611" s="460" t="str">
        <f>IF(AU1611="","",IF(OR(AZ1611=8,AZ1611=9),0,IF(OR(AW1611=3,AW1611=4,AW1611=5,AW1611=6),IF(LEFT(BH1611,1)="1",INDEX(係数_PM低減,MATCH(AY1611,【参考】排出係数!$AI$801:$AI$804,1),MATCH(BI1611,【参考】排出係数!$AL$798:$AO$798,1)),VLOOKUP(AU1611,INDEX((係数_バス貨物_ガソリン,係数_バス貨物_CNG,係数_バス貨物_軽油,係数_バス貨物_メタノール,係数_バス貨物_LPG),MATCH(AY1611,【参考】排出係数!$AI$4:$AI$671,1),1,BE1611):INDEX((係数_バス貨物_ガソリン,係数_バス貨物_CNG,係数_バス貨物_軽油,係数_バス貨物_メタノール,係数_バス貨物_LPG),MATCH(AY1611+1,【参考】排出係数!$AI$4:$AI$671,1)-1,5,BE1611),5,FALSE)),IF(AND(BE1611=3,LEFT(BF1611,1)="1"),0.055,VLOOKUP(AU1611,INDEX((係数_乗用_ガソリン,係数_乗用_CNG,係数_乗用_軽油,係数_乗用_メタノール,係数_乗用_LPG),1,1,BE1611):INDEX((係数_乗用_ガソリン,係数_乗用_CNG,係数_乗用_軽油,係数_乗用_メタノール,係数_乗用_LPG),125,5,BE1611),5,FALSE)))))</f>
        <v/>
      </c>
      <c r="AN1611" s="461" t="str">
        <f t="shared" si="920"/>
        <v/>
      </c>
      <c r="AO1611" s="462" t="str">
        <f t="shared" si="921"/>
        <v/>
      </c>
      <c r="AP1611" s="463" t="str">
        <f t="shared" si="922"/>
        <v/>
      </c>
      <c r="AQ1611" s="464"/>
      <c r="AR1611" s="619"/>
      <c r="AS1611" s="465" t="str">
        <f t="shared" si="930"/>
        <v/>
      </c>
      <c r="AT1611" s="465" t="str">
        <f t="shared" si="931"/>
        <v/>
      </c>
      <c r="AU1611" s="466" t="str">
        <f t="shared" si="932"/>
        <v/>
      </c>
      <c r="AV1611" s="467" t="str">
        <f t="shared" si="933"/>
        <v/>
      </c>
      <c r="AW1611" s="467" t="str">
        <f t="shared" si="934"/>
        <v/>
      </c>
      <c r="AX1611" s="467" t="str">
        <f t="shared" si="935"/>
        <v/>
      </c>
      <c r="AY1611" s="467" t="str">
        <f t="shared" si="936"/>
        <v/>
      </c>
      <c r="AZ1611" s="467" t="str">
        <f t="shared" si="937"/>
        <v/>
      </c>
      <c r="BA1611" s="468" t="str">
        <f>IF(AS1611="","",IF(OR(AU1611="",AU1611="-"),"－",IF(OR(AZ1611=8,AZ1611=9),"",IF(OR(AW1611=3,AW1611=4,AW1611=5,AW1611=6),VLOOKUP(AU1611,INDEX((係数_バス貨物_ガソリン,係数_バス貨物_CNG,係数_バス貨物_軽油,係数_バス貨物_メタノール,係数_バス貨物_LPG),MATCH(AY1611,【参考】排出係数!$AI$4:$AI$671,1),1,BE1611):INDEX((係数_バス貨物_ガソリン,係数_バス貨物_CNG,係数_バス貨物_軽油,係数_バス貨物_メタノール,係数_バス貨物_LPG),MATCH(AY1611+1,【参考】排出係数!$AI$4:$AI$671,1)-1,5,BE1611),2,FALSE),IF(OR(AW1611=1,AW1611=2),VLOOKUP(AU1611,INDEX((係数_乗用_ガソリン,係数_乗用_CNG,係数_乗用_軽油,係数_乗用_メタノール,係数_乗用_LPG),1,1,BE1611):INDEX((係数_乗用_ガソリン,係数_乗用_CNG,係数_乗用_軽油,係数_乗用_メタノール,係数_乗用_LPG),125,5,BE1611),2,FALSE))))))</f>
        <v/>
      </c>
      <c r="BB1611" s="468" t="str">
        <f>IF(T1611="","",IF(OR(AU1611="",AU1611="-"),"－",IF(OR(AZ1611=8,AZ1611=9),"",IF(OR(AW1611=3,AW1611=4,AW1611=5,AW1611=6),VLOOKUP(AU1611,INDEX((係数_バス貨物_ガソリン,係数_バス貨物_CNG,係数_バス貨物_軽油,係数_バス貨物_メタノール,係数_バス貨物_LPG),MATCH(AY1611,【参考】排出係数!$AI$4:$AI$671,1),1,BE1611):INDEX((係数_バス貨物_ガソリン,係数_バス貨物_CNG,係数_バス貨物_軽油,係数_バス貨物_メタノール,係数_バス貨物_LPG),MATCH(AY1611+1,【参考】排出係数!$AI$4:$AI$671,1)-1,5,BE1611),3,FALSE),IF(OR(AW1611=1,AW1611=2),VLOOKUP(AU1611,INDEX((係数_乗用_ガソリン,係数_乗用_CNG,係数_乗用_軽油,係数_乗用_メタノール,係数_乗用_LPG),1,1,BE1611):INDEX((係数_乗用_ガソリン,係数_乗用_CNG,係数_乗用_軽油,係数_乗用_メタノール,係数_乗用_LPG),125,5,BE1611),3,FALSE))))))</f>
        <v/>
      </c>
      <c r="BC1611" s="467" t="str">
        <f t="shared" si="938"/>
        <v/>
      </c>
      <c r="BD1611" s="567" t="str">
        <f t="shared" si="939"/>
        <v/>
      </c>
      <c r="BE1611" s="467" t="str">
        <f t="shared" si="940"/>
        <v/>
      </c>
      <c r="BF1611" s="469" t="str">
        <f t="shared" ca="1" si="941"/>
        <v/>
      </c>
      <c r="BG1611" s="469" t="str">
        <f t="shared" ca="1" si="942"/>
        <v/>
      </c>
      <c r="BH1611" s="467" t="str">
        <f t="shared" si="943"/>
        <v/>
      </c>
      <c r="BI1611" s="467" t="str">
        <f t="shared" ca="1" si="944"/>
        <v/>
      </c>
      <c r="BJ1611" s="469" t="str">
        <f t="shared" si="945"/>
        <v/>
      </c>
      <c r="BK1611" s="470" t="str">
        <f t="shared" si="929"/>
        <v/>
      </c>
      <c r="BL1611" s="775" t="str">
        <f t="shared" si="946"/>
        <v/>
      </c>
      <c r="BM1611" s="775" t="str">
        <f t="shared" si="947"/>
        <v/>
      </c>
    </row>
    <row r="1612" spans="1:65">
      <c r="A1612" s="473">
        <v>1556</v>
      </c>
      <c r="B1612" s="132"/>
      <c r="C1612" s="332"/>
      <c r="D1612" s="333"/>
      <c r="E1612" s="333"/>
      <c r="F1612" s="334"/>
      <c r="G1612" s="337"/>
      <c r="H1612" s="131"/>
      <c r="I1612" s="337"/>
      <c r="J1612" s="131"/>
      <c r="K1612" s="458" t="str">
        <f t="shared" si="910"/>
        <v/>
      </c>
      <c r="L1612" s="458">
        <f t="shared" si="911"/>
        <v>0</v>
      </c>
      <c r="M1612" s="458">
        <f t="shared" si="912"/>
        <v>0</v>
      </c>
      <c r="N1612" s="459" t="str">
        <f t="shared" si="923"/>
        <v/>
      </c>
      <c r="O1612" s="459" t="str">
        <f t="shared" si="924"/>
        <v/>
      </c>
      <c r="P1612" s="459" t="str">
        <f t="shared" si="925"/>
        <v/>
      </c>
      <c r="Q1612" s="459" t="str">
        <f t="shared" si="926"/>
        <v/>
      </c>
      <c r="R1612" s="459" t="str">
        <f t="shared" si="927"/>
        <v/>
      </c>
      <c r="S1612" s="459" t="str">
        <f t="shared" si="928"/>
        <v/>
      </c>
      <c r="T1612" s="566" t="str">
        <f t="shared" si="913"/>
        <v/>
      </c>
      <c r="U1612" s="702"/>
      <c r="V1612" s="132"/>
      <c r="W1612" s="133"/>
      <c r="X1612" s="134"/>
      <c r="Y1612" s="135"/>
      <c r="Z1612" s="137"/>
      <c r="AA1612" s="136"/>
      <c r="AB1612" s="566" t="str">
        <f t="shared" si="914"/>
        <v/>
      </c>
      <c r="AC1612" s="568" t="str">
        <f t="shared" si="915"/>
        <v/>
      </c>
      <c r="AD1612" s="137"/>
      <c r="AE1612" s="137"/>
      <c r="AF1612" s="138"/>
      <c r="AG1612" s="138"/>
      <c r="AH1612" s="592" t="str">
        <f t="shared" si="916"/>
        <v/>
      </c>
      <c r="AI1612" s="592" t="str">
        <f t="shared" si="917"/>
        <v/>
      </c>
      <c r="AJ1612" s="592" t="str">
        <f t="shared" si="918"/>
        <v/>
      </c>
      <c r="AK1612" s="460" t="str">
        <f>IF(AU1612="","",IF(OR(AZ1612=8,AZ1612=9),0,IF(OR(AW1612=3,AW1612=4,AW1612=5,AW1612=6),IF(LEFT(BF1612,1)="1",INDEX(係数_NOX・PM低減,MATCH(AY1612,【参考】排出係数!$AI$801:$AI$804,1),1),VLOOKUP(AU1612,INDEX((係数_バス貨物_ガソリン,係数_バス貨物_CNG,係数_バス貨物_軽油,係数_バス貨物_メタノール,係数_バス貨物_LPG),MATCH(AY1612,【参考】排出係数!$AI$4:$AI$671,1),1,BE1612):INDEX((係数_バス貨物_ガソリン,係数_バス貨物_CNG,係数_バス貨物_軽油,係数_バス貨物_メタノール,係数_バス貨物_LPG),MATCH(AY1612+1,【参考】排出係数!$AI$4:$AI$671,1)-1,5,BE1612),4,FALSE)),IF(AND(BE1612=3,LEFT(BF1612,1)="1"),0.48,VLOOKUP(AU1612,INDEX((係数_乗用_ガソリン,係数_乗用_CNG,係数_乗用_軽油,係数_乗用_メタノール,係数_乗用_LPG),1,1,BE1612):INDEX((係数_乗用_ガソリン,係数_乗用_CNG,係数_乗用_軽油,係数_乗用_メタノール,係数_乗用_LPG),125,5,BE1612),4,FALSE)))))</f>
        <v/>
      </c>
      <c r="AL1612" s="461" t="str">
        <f t="shared" si="919"/>
        <v/>
      </c>
      <c r="AM1612" s="460" t="str">
        <f>IF(AU1612="","",IF(OR(AZ1612=8,AZ1612=9),0,IF(OR(AW1612=3,AW1612=4,AW1612=5,AW1612=6),IF(LEFT(BH1612,1)="1",INDEX(係数_PM低減,MATCH(AY1612,【参考】排出係数!$AI$801:$AI$804,1),MATCH(BI1612,【参考】排出係数!$AL$798:$AO$798,1)),VLOOKUP(AU1612,INDEX((係数_バス貨物_ガソリン,係数_バス貨物_CNG,係数_バス貨物_軽油,係数_バス貨物_メタノール,係数_バス貨物_LPG),MATCH(AY1612,【参考】排出係数!$AI$4:$AI$671,1),1,BE1612):INDEX((係数_バス貨物_ガソリン,係数_バス貨物_CNG,係数_バス貨物_軽油,係数_バス貨物_メタノール,係数_バス貨物_LPG),MATCH(AY1612+1,【参考】排出係数!$AI$4:$AI$671,1)-1,5,BE1612),5,FALSE)),IF(AND(BE1612=3,LEFT(BF1612,1)="1"),0.055,VLOOKUP(AU1612,INDEX((係数_乗用_ガソリン,係数_乗用_CNG,係数_乗用_軽油,係数_乗用_メタノール,係数_乗用_LPG),1,1,BE1612):INDEX((係数_乗用_ガソリン,係数_乗用_CNG,係数_乗用_軽油,係数_乗用_メタノール,係数_乗用_LPG),125,5,BE1612),5,FALSE)))))</f>
        <v/>
      </c>
      <c r="AN1612" s="461" t="str">
        <f t="shared" si="920"/>
        <v/>
      </c>
      <c r="AO1612" s="462" t="str">
        <f t="shared" si="921"/>
        <v/>
      </c>
      <c r="AP1612" s="463" t="str">
        <f t="shared" si="922"/>
        <v/>
      </c>
      <c r="AQ1612" s="464"/>
      <c r="AR1612" s="619"/>
      <c r="AS1612" s="465" t="str">
        <f t="shared" si="930"/>
        <v/>
      </c>
      <c r="AT1612" s="465" t="str">
        <f t="shared" si="931"/>
        <v/>
      </c>
      <c r="AU1612" s="466" t="str">
        <f t="shared" si="932"/>
        <v/>
      </c>
      <c r="AV1612" s="467" t="str">
        <f t="shared" si="933"/>
        <v/>
      </c>
      <c r="AW1612" s="467" t="str">
        <f t="shared" si="934"/>
        <v/>
      </c>
      <c r="AX1612" s="467" t="str">
        <f t="shared" si="935"/>
        <v/>
      </c>
      <c r="AY1612" s="467" t="str">
        <f t="shared" si="936"/>
        <v/>
      </c>
      <c r="AZ1612" s="467" t="str">
        <f t="shared" si="937"/>
        <v/>
      </c>
      <c r="BA1612" s="468" t="str">
        <f>IF(AS1612="","",IF(OR(AU1612="",AU1612="-"),"－",IF(OR(AZ1612=8,AZ1612=9),"",IF(OR(AW1612=3,AW1612=4,AW1612=5,AW1612=6),VLOOKUP(AU1612,INDEX((係数_バス貨物_ガソリン,係数_バス貨物_CNG,係数_バス貨物_軽油,係数_バス貨物_メタノール,係数_バス貨物_LPG),MATCH(AY1612,【参考】排出係数!$AI$4:$AI$671,1),1,BE1612):INDEX((係数_バス貨物_ガソリン,係数_バス貨物_CNG,係数_バス貨物_軽油,係数_バス貨物_メタノール,係数_バス貨物_LPG),MATCH(AY1612+1,【参考】排出係数!$AI$4:$AI$671,1)-1,5,BE1612),2,FALSE),IF(OR(AW1612=1,AW1612=2),VLOOKUP(AU1612,INDEX((係数_乗用_ガソリン,係数_乗用_CNG,係数_乗用_軽油,係数_乗用_メタノール,係数_乗用_LPG),1,1,BE1612):INDEX((係数_乗用_ガソリン,係数_乗用_CNG,係数_乗用_軽油,係数_乗用_メタノール,係数_乗用_LPG),125,5,BE1612),2,FALSE))))))</f>
        <v/>
      </c>
      <c r="BB1612" s="468" t="str">
        <f>IF(T1612="","",IF(OR(AU1612="",AU1612="-"),"－",IF(OR(AZ1612=8,AZ1612=9),"",IF(OR(AW1612=3,AW1612=4,AW1612=5,AW1612=6),VLOOKUP(AU1612,INDEX((係数_バス貨物_ガソリン,係数_バス貨物_CNG,係数_バス貨物_軽油,係数_バス貨物_メタノール,係数_バス貨物_LPG),MATCH(AY1612,【参考】排出係数!$AI$4:$AI$671,1),1,BE1612):INDEX((係数_バス貨物_ガソリン,係数_バス貨物_CNG,係数_バス貨物_軽油,係数_バス貨物_メタノール,係数_バス貨物_LPG),MATCH(AY1612+1,【参考】排出係数!$AI$4:$AI$671,1)-1,5,BE1612),3,FALSE),IF(OR(AW1612=1,AW1612=2),VLOOKUP(AU1612,INDEX((係数_乗用_ガソリン,係数_乗用_CNG,係数_乗用_軽油,係数_乗用_メタノール,係数_乗用_LPG),1,1,BE1612):INDEX((係数_乗用_ガソリン,係数_乗用_CNG,係数_乗用_軽油,係数_乗用_メタノール,係数_乗用_LPG),125,5,BE1612),3,FALSE))))))</f>
        <v/>
      </c>
      <c r="BC1612" s="467" t="str">
        <f t="shared" si="938"/>
        <v/>
      </c>
      <c r="BD1612" s="567" t="str">
        <f t="shared" si="939"/>
        <v/>
      </c>
      <c r="BE1612" s="467" t="str">
        <f t="shared" si="940"/>
        <v/>
      </c>
      <c r="BF1612" s="469" t="str">
        <f t="shared" ca="1" si="941"/>
        <v/>
      </c>
      <c r="BG1612" s="469" t="str">
        <f t="shared" ca="1" si="942"/>
        <v/>
      </c>
      <c r="BH1612" s="467" t="str">
        <f t="shared" si="943"/>
        <v/>
      </c>
      <c r="BI1612" s="467" t="str">
        <f t="shared" ca="1" si="944"/>
        <v/>
      </c>
      <c r="BJ1612" s="469" t="str">
        <f t="shared" si="945"/>
        <v/>
      </c>
      <c r="BK1612" s="470" t="str">
        <f t="shared" si="929"/>
        <v/>
      </c>
      <c r="BL1612" s="775" t="str">
        <f t="shared" si="946"/>
        <v/>
      </c>
      <c r="BM1612" s="775" t="str">
        <f t="shared" si="947"/>
        <v/>
      </c>
    </row>
    <row r="1613" spans="1:65">
      <c r="A1613" s="473">
        <v>1557</v>
      </c>
      <c r="B1613" s="132"/>
      <c r="C1613" s="332"/>
      <c r="D1613" s="333"/>
      <c r="E1613" s="333"/>
      <c r="F1613" s="334"/>
      <c r="G1613" s="337"/>
      <c r="H1613" s="131"/>
      <c r="I1613" s="337"/>
      <c r="J1613" s="131"/>
      <c r="K1613" s="458" t="str">
        <f t="shared" si="910"/>
        <v/>
      </c>
      <c r="L1613" s="458">
        <f t="shared" si="911"/>
        <v>0</v>
      </c>
      <c r="M1613" s="458">
        <f t="shared" si="912"/>
        <v>0</v>
      </c>
      <c r="N1613" s="459" t="str">
        <f t="shared" si="923"/>
        <v/>
      </c>
      <c r="O1613" s="459" t="str">
        <f t="shared" si="924"/>
        <v/>
      </c>
      <c r="P1613" s="459" t="str">
        <f t="shared" si="925"/>
        <v/>
      </c>
      <c r="Q1613" s="459" t="str">
        <f t="shared" si="926"/>
        <v/>
      </c>
      <c r="R1613" s="459" t="str">
        <f t="shared" si="927"/>
        <v/>
      </c>
      <c r="S1613" s="459" t="str">
        <f t="shared" si="928"/>
        <v/>
      </c>
      <c r="T1613" s="566" t="str">
        <f t="shared" si="913"/>
        <v/>
      </c>
      <c r="U1613" s="702"/>
      <c r="V1613" s="132"/>
      <c r="W1613" s="133"/>
      <c r="X1613" s="134"/>
      <c r="Y1613" s="135"/>
      <c r="Z1613" s="137"/>
      <c r="AA1613" s="136"/>
      <c r="AB1613" s="566" t="str">
        <f t="shared" si="914"/>
        <v/>
      </c>
      <c r="AC1613" s="568" t="str">
        <f t="shared" si="915"/>
        <v/>
      </c>
      <c r="AD1613" s="137"/>
      <c r="AE1613" s="137"/>
      <c r="AF1613" s="138"/>
      <c r="AG1613" s="138"/>
      <c r="AH1613" s="592" t="str">
        <f t="shared" si="916"/>
        <v/>
      </c>
      <c r="AI1613" s="592" t="str">
        <f t="shared" si="917"/>
        <v/>
      </c>
      <c r="AJ1613" s="592" t="str">
        <f t="shared" si="918"/>
        <v/>
      </c>
      <c r="AK1613" s="460" t="str">
        <f>IF(AU1613="","",IF(OR(AZ1613=8,AZ1613=9),0,IF(OR(AW1613=3,AW1613=4,AW1613=5,AW1613=6),IF(LEFT(BF1613,1)="1",INDEX(係数_NOX・PM低減,MATCH(AY1613,【参考】排出係数!$AI$801:$AI$804,1),1),VLOOKUP(AU1613,INDEX((係数_バス貨物_ガソリン,係数_バス貨物_CNG,係数_バス貨物_軽油,係数_バス貨物_メタノール,係数_バス貨物_LPG),MATCH(AY1613,【参考】排出係数!$AI$4:$AI$671,1),1,BE1613):INDEX((係数_バス貨物_ガソリン,係数_バス貨物_CNG,係数_バス貨物_軽油,係数_バス貨物_メタノール,係数_バス貨物_LPG),MATCH(AY1613+1,【参考】排出係数!$AI$4:$AI$671,1)-1,5,BE1613),4,FALSE)),IF(AND(BE1613=3,LEFT(BF1613,1)="1"),0.48,VLOOKUP(AU1613,INDEX((係数_乗用_ガソリン,係数_乗用_CNG,係数_乗用_軽油,係数_乗用_メタノール,係数_乗用_LPG),1,1,BE1613):INDEX((係数_乗用_ガソリン,係数_乗用_CNG,係数_乗用_軽油,係数_乗用_メタノール,係数_乗用_LPG),125,5,BE1613),4,FALSE)))))</f>
        <v/>
      </c>
      <c r="AL1613" s="461" t="str">
        <f t="shared" si="919"/>
        <v/>
      </c>
      <c r="AM1613" s="460" t="str">
        <f>IF(AU1613="","",IF(OR(AZ1613=8,AZ1613=9),0,IF(OR(AW1613=3,AW1613=4,AW1613=5,AW1613=6),IF(LEFT(BH1613,1)="1",INDEX(係数_PM低減,MATCH(AY1613,【参考】排出係数!$AI$801:$AI$804,1),MATCH(BI1613,【参考】排出係数!$AL$798:$AO$798,1)),VLOOKUP(AU1613,INDEX((係数_バス貨物_ガソリン,係数_バス貨物_CNG,係数_バス貨物_軽油,係数_バス貨物_メタノール,係数_バス貨物_LPG),MATCH(AY1613,【参考】排出係数!$AI$4:$AI$671,1),1,BE1613):INDEX((係数_バス貨物_ガソリン,係数_バス貨物_CNG,係数_バス貨物_軽油,係数_バス貨物_メタノール,係数_バス貨物_LPG),MATCH(AY1613+1,【参考】排出係数!$AI$4:$AI$671,1)-1,5,BE1613),5,FALSE)),IF(AND(BE1613=3,LEFT(BF1613,1)="1"),0.055,VLOOKUP(AU1613,INDEX((係数_乗用_ガソリン,係数_乗用_CNG,係数_乗用_軽油,係数_乗用_メタノール,係数_乗用_LPG),1,1,BE1613):INDEX((係数_乗用_ガソリン,係数_乗用_CNG,係数_乗用_軽油,係数_乗用_メタノール,係数_乗用_LPG),125,5,BE1613),5,FALSE)))))</f>
        <v/>
      </c>
      <c r="AN1613" s="461" t="str">
        <f t="shared" si="920"/>
        <v/>
      </c>
      <c r="AO1613" s="462" t="str">
        <f t="shared" si="921"/>
        <v/>
      </c>
      <c r="AP1613" s="463" t="str">
        <f t="shared" si="922"/>
        <v/>
      </c>
      <c r="AQ1613" s="464"/>
      <c r="AR1613" s="619"/>
      <c r="AS1613" s="465" t="str">
        <f t="shared" si="930"/>
        <v/>
      </c>
      <c r="AT1613" s="465" t="str">
        <f t="shared" si="931"/>
        <v/>
      </c>
      <c r="AU1613" s="466" t="str">
        <f t="shared" si="932"/>
        <v/>
      </c>
      <c r="AV1613" s="467" t="str">
        <f t="shared" si="933"/>
        <v/>
      </c>
      <c r="AW1613" s="467" t="str">
        <f t="shared" si="934"/>
        <v/>
      </c>
      <c r="AX1613" s="467" t="str">
        <f t="shared" si="935"/>
        <v/>
      </c>
      <c r="AY1613" s="467" t="str">
        <f t="shared" si="936"/>
        <v/>
      </c>
      <c r="AZ1613" s="467" t="str">
        <f t="shared" si="937"/>
        <v/>
      </c>
      <c r="BA1613" s="468" t="str">
        <f>IF(AS1613="","",IF(OR(AU1613="",AU1613="-"),"－",IF(OR(AZ1613=8,AZ1613=9),"",IF(OR(AW1613=3,AW1613=4,AW1613=5,AW1613=6),VLOOKUP(AU1613,INDEX((係数_バス貨物_ガソリン,係数_バス貨物_CNG,係数_バス貨物_軽油,係数_バス貨物_メタノール,係数_バス貨物_LPG),MATCH(AY1613,【参考】排出係数!$AI$4:$AI$671,1),1,BE1613):INDEX((係数_バス貨物_ガソリン,係数_バス貨物_CNG,係数_バス貨物_軽油,係数_バス貨物_メタノール,係数_バス貨物_LPG),MATCH(AY1613+1,【参考】排出係数!$AI$4:$AI$671,1)-1,5,BE1613),2,FALSE),IF(OR(AW1613=1,AW1613=2),VLOOKUP(AU1613,INDEX((係数_乗用_ガソリン,係数_乗用_CNG,係数_乗用_軽油,係数_乗用_メタノール,係数_乗用_LPG),1,1,BE1613):INDEX((係数_乗用_ガソリン,係数_乗用_CNG,係数_乗用_軽油,係数_乗用_メタノール,係数_乗用_LPG),125,5,BE1613),2,FALSE))))))</f>
        <v/>
      </c>
      <c r="BB1613" s="468" t="str">
        <f>IF(T1613="","",IF(OR(AU1613="",AU1613="-"),"－",IF(OR(AZ1613=8,AZ1613=9),"",IF(OR(AW1613=3,AW1613=4,AW1613=5,AW1613=6),VLOOKUP(AU1613,INDEX((係数_バス貨物_ガソリン,係数_バス貨物_CNG,係数_バス貨物_軽油,係数_バス貨物_メタノール,係数_バス貨物_LPG),MATCH(AY1613,【参考】排出係数!$AI$4:$AI$671,1),1,BE1613):INDEX((係数_バス貨物_ガソリン,係数_バス貨物_CNG,係数_バス貨物_軽油,係数_バス貨物_メタノール,係数_バス貨物_LPG),MATCH(AY1613+1,【参考】排出係数!$AI$4:$AI$671,1)-1,5,BE1613),3,FALSE),IF(OR(AW1613=1,AW1613=2),VLOOKUP(AU1613,INDEX((係数_乗用_ガソリン,係数_乗用_CNG,係数_乗用_軽油,係数_乗用_メタノール,係数_乗用_LPG),1,1,BE1613):INDEX((係数_乗用_ガソリン,係数_乗用_CNG,係数_乗用_軽油,係数_乗用_メタノール,係数_乗用_LPG),125,5,BE1613),3,FALSE))))))</f>
        <v/>
      </c>
      <c r="BC1613" s="467" t="str">
        <f t="shared" si="938"/>
        <v/>
      </c>
      <c r="BD1613" s="567" t="str">
        <f t="shared" si="939"/>
        <v/>
      </c>
      <c r="BE1613" s="467" t="str">
        <f t="shared" si="940"/>
        <v/>
      </c>
      <c r="BF1613" s="469" t="str">
        <f t="shared" ca="1" si="941"/>
        <v/>
      </c>
      <c r="BG1613" s="469" t="str">
        <f t="shared" ca="1" si="942"/>
        <v/>
      </c>
      <c r="BH1613" s="467" t="str">
        <f t="shared" si="943"/>
        <v/>
      </c>
      <c r="BI1613" s="467" t="str">
        <f t="shared" ca="1" si="944"/>
        <v/>
      </c>
      <c r="BJ1613" s="469" t="str">
        <f t="shared" si="945"/>
        <v/>
      </c>
      <c r="BK1613" s="470" t="str">
        <f t="shared" si="929"/>
        <v/>
      </c>
      <c r="BL1613" s="775" t="str">
        <f t="shared" si="946"/>
        <v/>
      </c>
      <c r="BM1613" s="775" t="str">
        <f t="shared" si="947"/>
        <v/>
      </c>
    </row>
    <row r="1614" spans="1:65">
      <c r="A1614" s="473">
        <v>1558</v>
      </c>
      <c r="B1614" s="132"/>
      <c r="C1614" s="332"/>
      <c r="D1614" s="333"/>
      <c r="E1614" s="333"/>
      <c r="F1614" s="334"/>
      <c r="G1614" s="337"/>
      <c r="H1614" s="131"/>
      <c r="I1614" s="337"/>
      <c r="J1614" s="131"/>
      <c r="K1614" s="458" t="str">
        <f t="shared" si="910"/>
        <v/>
      </c>
      <c r="L1614" s="458">
        <f t="shared" si="911"/>
        <v>0</v>
      </c>
      <c r="M1614" s="458">
        <f t="shared" si="912"/>
        <v>0</v>
      </c>
      <c r="N1614" s="459" t="str">
        <f t="shared" si="923"/>
        <v/>
      </c>
      <c r="O1614" s="459" t="str">
        <f t="shared" si="924"/>
        <v/>
      </c>
      <c r="P1614" s="459" t="str">
        <f t="shared" si="925"/>
        <v/>
      </c>
      <c r="Q1614" s="459" t="str">
        <f t="shared" si="926"/>
        <v/>
      </c>
      <c r="R1614" s="459" t="str">
        <f t="shared" si="927"/>
        <v/>
      </c>
      <c r="S1614" s="459" t="str">
        <f t="shared" si="928"/>
        <v/>
      </c>
      <c r="T1614" s="566" t="str">
        <f t="shared" si="913"/>
        <v/>
      </c>
      <c r="U1614" s="702"/>
      <c r="V1614" s="132"/>
      <c r="W1614" s="133"/>
      <c r="X1614" s="134"/>
      <c r="Y1614" s="135"/>
      <c r="Z1614" s="137"/>
      <c r="AA1614" s="136"/>
      <c r="AB1614" s="566" t="str">
        <f t="shared" si="914"/>
        <v/>
      </c>
      <c r="AC1614" s="568" t="str">
        <f t="shared" si="915"/>
        <v/>
      </c>
      <c r="AD1614" s="137"/>
      <c r="AE1614" s="137"/>
      <c r="AF1614" s="138"/>
      <c r="AG1614" s="138"/>
      <c r="AH1614" s="592" t="str">
        <f t="shared" si="916"/>
        <v/>
      </c>
      <c r="AI1614" s="592" t="str">
        <f t="shared" si="917"/>
        <v/>
      </c>
      <c r="AJ1614" s="592" t="str">
        <f t="shared" si="918"/>
        <v/>
      </c>
      <c r="AK1614" s="460" t="str">
        <f>IF(AU1614="","",IF(OR(AZ1614=8,AZ1614=9),0,IF(OR(AW1614=3,AW1614=4,AW1614=5,AW1614=6),IF(LEFT(BF1614,1)="1",INDEX(係数_NOX・PM低減,MATCH(AY1614,【参考】排出係数!$AI$801:$AI$804,1),1),VLOOKUP(AU1614,INDEX((係数_バス貨物_ガソリン,係数_バス貨物_CNG,係数_バス貨物_軽油,係数_バス貨物_メタノール,係数_バス貨物_LPG),MATCH(AY1614,【参考】排出係数!$AI$4:$AI$671,1),1,BE1614):INDEX((係数_バス貨物_ガソリン,係数_バス貨物_CNG,係数_バス貨物_軽油,係数_バス貨物_メタノール,係数_バス貨物_LPG),MATCH(AY1614+1,【参考】排出係数!$AI$4:$AI$671,1)-1,5,BE1614),4,FALSE)),IF(AND(BE1614=3,LEFT(BF1614,1)="1"),0.48,VLOOKUP(AU1614,INDEX((係数_乗用_ガソリン,係数_乗用_CNG,係数_乗用_軽油,係数_乗用_メタノール,係数_乗用_LPG),1,1,BE1614):INDEX((係数_乗用_ガソリン,係数_乗用_CNG,係数_乗用_軽油,係数_乗用_メタノール,係数_乗用_LPG),125,5,BE1614),4,FALSE)))))</f>
        <v/>
      </c>
      <c r="AL1614" s="461" t="str">
        <f t="shared" si="919"/>
        <v/>
      </c>
      <c r="AM1614" s="460" t="str">
        <f>IF(AU1614="","",IF(OR(AZ1614=8,AZ1614=9),0,IF(OR(AW1614=3,AW1614=4,AW1614=5,AW1614=6),IF(LEFT(BH1614,1)="1",INDEX(係数_PM低減,MATCH(AY1614,【参考】排出係数!$AI$801:$AI$804,1),MATCH(BI1614,【参考】排出係数!$AL$798:$AO$798,1)),VLOOKUP(AU1614,INDEX((係数_バス貨物_ガソリン,係数_バス貨物_CNG,係数_バス貨物_軽油,係数_バス貨物_メタノール,係数_バス貨物_LPG),MATCH(AY1614,【参考】排出係数!$AI$4:$AI$671,1),1,BE1614):INDEX((係数_バス貨物_ガソリン,係数_バス貨物_CNG,係数_バス貨物_軽油,係数_バス貨物_メタノール,係数_バス貨物_LPG),MATCH(AY1614+1,【参考】排出係数!$AI$4:$AI$671,1)-1,5,BE1614),5,FALSE)),IF(AND(BE1614=3,LEFT(BF1614,1)="1"),0.055,VLOOKUP(AU1614,INDEX((係数_乗用_ガソリン,係数_乗用_CNG,係数_乗用_軽油,係数_乗用_メタノール,係数_乗用_LPG),1,1,BE1614):INDEX((係数_乗用_ガソリン,係数_乗用_CNG,係数_乗用_軽油,係数_乗用_メタノール,係数_乗用_LPG),125,5,BE1614),5,FALSE)))))</f>
        <v/>
      </c>
      <c r="AN1614" s="461" t="str">
        <f t="shared" si="920"/>
        <v/>
      </c>
      <c r="AO1614" s="462" t="str">
        <f t="shared" si="921"/>
        <v/>
      </c>
      <c r="AP1614" s="463" t="str">
        <f t="shared" si="922"/>
        <v/>
      </c>
      <c r="AQ1614" s="464"/>
      <c r="AR1614" s="619"/>
      <c r="AS1614" s="465" t="str">
        <f t="shared" si="930"/>
        <v/>
      </c>
      <c r="AT1614" s="465" t="str">
        <f t="shared" si="931"/>
        <v/>
      </c>
      <c r="AU1614" s="466" t="str">
        <f t="shared" si="932"/>
        <v/>
      </c>
      <c r="AV1614" s="467" t="str">
        <f t="shared" si="933"/>
        <v/>
      </c>
      <c r="AW1614" s="467" t="str">
        <f t="shared" si="934"/>
        <v/>
      </c>
      <c r="AX1614" s="467" t="str">
        <f t="shared" si="935"/>
        <v/>
      </c>
      <c r="AY1614" s="467" t="str">
        <f t="shared" si="936"/>
        <v/>
      </c>
      <c r="AZ1614" s="467" t="str">
        <f t="shared" si="937"/>
        <v/>
      </c>
      <c r="BA1614" s="468" t="str">
        <f>IF(AS1614="","",IF(OR(AU1614="",AU1614="-"),"－",IF(OR(AZ1614=8,AZ1614=9),"",IF(OR(AW1614=3,AW1614=4,AW1614=5,AW1614=6),VLOOKUP(AU1614,INDEX((係数_バス貨物_ガソリン,係数_バス貨物_CNG,係数_バス貨物_軽油,係数_バス貨物_メタノール,係数_バス貨物_LPG),MATCH(AY1614,【参考】排出係数!$AI$4:$AI$671,1),1,BE1614):INDEX((係数_バス貨物_ガソリン,係数_バス貨物_CNG,係数_バス貨物_軽油,係数_バス貨物_メタノール,係数_バス貨物_LPG),MATCH(AY1614+1,【参考】排出係数!$AI$4:$AI$671,1)-1,5,BE1614),2,FALSE),IF(OR(AW1614=1,AW1614=2),VLOOKUP(AU1614,INDEX((係数_乗用_ガソリン,係数_乗用_CNG,係数_乗用_軽油,係数_乗用_メタノール,係数_乗用_LPG),1,1,BE1614):INDEX((係数_乗用_ガソリン,係数_乗用_CNG,係数_乗用_軽油,係数_乗用_メタノール,係数_乗用_LPG),125,5,BE1614),2,FALSE))))))</f>
        <v/>
      </c>
      <c r="BB1614" s="468" t="str">
        <f>IF(T1614="","",IF(OR(AU1614="",AU1614="-"),"－",IF(OR(AZ1614=8,AZ1614=9),"",IF(OR(AW1614=3,AW1614=4,AW1614=5,AW1614=6),VLOOKUP(AU1614,INDEX((係数_バス貨物_ガソリン,係数_バス貨物_CNG,係数_バス貨物_軽油,係数_バス貨物_メタノール,係数_バス貨物_LPG),MATCH(AY1614,【参考】排出係数!$AI$4:$AI$671,1),1,BE1614):INDEX((係数_バス貨物_ガソリン,係数_バス貨物_CNG,係数_バス貨物_軽油,係数_バス貨物_メタノール,係数_バス貨物_LPG),MATCH(AY1614+1,【参考】排出係数!$AI$4:$AI$671,1)-1,5,BE1614),3,FALSE),IF(OR(AW1614=1,AW1614=2),VLOOKUP(AU1614,INDEX((係数_乗用_ガソリン,係数_乗用_CNG,係数_乗用_軽油,係数_乗用_メタノール,係数_乗用_LPG),1,1,BE1614):INDEX((係数_乗用_ガソリン,係数_乗用_CNG,係数_乗用_軽油,係数_乗用_メタノール,係数_乗用_LPG),125,5,BE1614),3,FALSE))))))</f>
        <v/>
      </c>
      <c r="BC1614" s="467" t="str">
        <f t="shared" si="938"/>
        <v/>
      </c>
      <c r="BD1614" s="567" t="str">
        <f t="shared" si="939"/>
        <v/>
      </c>
      <c r="BE1614" s="467" t="str">
        <f t="shared" si="940"/>
        <v/>
      </c>
      <c r="BF1614" s="469" t="str">
        <f t="shared" ca="1" si="941"/>
        <v/>
      </c>
      <c r="BG1614" s="469" t="str">
        <f t="shared" ca="1" si="942"/>
        <v/>
      </c>
      <c r="BH1614" s="467" t="str">
        <f t="shared" si="943"/>
        <v/>
      </c>
      <c r="BI1614" s="467" t="str">
        <f t="shared" ca="1" si="944"/>
        <v/>
      </c>
      <c r="BJ1614" s="469" t="str">
        <f t="shared" si="945"/>
        <v/>
      </c>
      <c r="BK1614" s="470" t="str">
        <f t="shared" si="929"/>
        <v/>
      </c>
      <c r="BL1614" s="775" t="str">
        <f t="shared" si="946"/>
        <v/>
      </c>
      <c r="BM1614" s="775" t="str">
        <f t="shared" si="947"/>
        <v/>
      </c>
    </row>
    <row r="1615" spans="1:65">
      <c r="A1615" s="473">
        <v>1559</v>
      </c>
      <c r="B1615" s="132"/>
      <c r="C1615" s="332"/>
      <c r="D1615" s="333"/>
      <c r="E1615" s="333"/>
      <c r="F1615" s="334"/>
      <c r="G1615" s="337"/>
      <c r="H1615" s="131"/>
      <c r="I1615" s="337"/>
      <c r="J1615" s="131"/>
      <c r="K1615" s="458" t="str">
        <f t="shared" si="910"/>
        <v/>
      </c>
      <c r="L1615" s="458">
        <f t="shared" si="911"/>
        <v>0</v>
      </c>
      <c r="M1615" s="458">
        <f t="shared" si="912"/>
        <v>0</v>
      </c>
      <c r="N1615" s="459" t="str">
        <f t="shared" si="923"/>
        <v/>
      </c>
      <c r="O1615" s="459" t="str">
        <f t="shared" si="924"/>
        <v/>
      </c>
      <c r="P1615" s="459" t="str">
        <f t="shared" si="925"/>
        <v/>
      </c>
      <c r="Q1615" s="459" t="str">
        <f t="shared" si="926"/>
        <v/>
      </c>
      <c r="R1615" s="459" t="str">
        <f t="shared" si="927"/>
        <v/>
      </c>
      <c r="S1615" s="459" t="str">
        <f t="shared" si="928"/>
        <v/>
      </c>
      <c r="T1615" s="566" t="str">
        <f t="shared" si="913"/>
        <v/>
      </c>
      <c r="U1615" s="702"/>
      <c r="V1615" s="132"/>
      <c r="W1615" s="133"/>
      <c r="X1615" s="134"/>
      <c r="Y1615" s="135"/>
      <c r="Z1615" s="137"/>
      <c r="AA1615" s="136"/>
      <c r="AB1615" s="566" t="str">
        <f t="shared" si="914"/>
        <v/>
      </c>
      <c r="AC1615" s="568" t="str">
        <f t="shared" si="915"/>
        <v/>
      </c>
      <c r="AD1615" s="137"/>
      <c r="AE1615" s="137"/>
      <c r="AF1615" s="138"/>
      <c r="AG1615" s="138"/>
      <c r="AH1615" s="592" t="str">
        <f t="shared" si="916"/>
        <v/>
      </c>
      <c r="AI1615" s="592" t="str">
        <f t="shared" si="917"/>
        <v/>
      </c>
      <c r="AJ1615" s="592" t="str">
        <f t="shared" si="918"/>
        <v/>
      </c>
      <c r="AK1615" s="460" t="str">
        <f>IF(AU1615="","",IF(OR(AZ1615=8,AZ1615=9),0,IF(OR(AW1615=3,AW1615=4,AW1615=5,AW1615=6),IF(LEFT(BF1615,1)="1",INDEX(係数_NOX・PM低減,MATCH(AY1615,【参考】排出係数!$AI$801:$AI$804,1),1),VLOOKUP(AU1615,INDEX((係数_バス貨物_ガソリン,係数_バス貨物_CNG,係数_バス貨物_軽油,係数_バス貨物_メタノール,係数_バス貨物_LPG),MATCH(AY1615,【参考】排出係数!$AI$4:$AI$671,1),1,BE1615):INDEX((係数_バス貨物_ガソリン,係数_バス貨物_CNG,係数_バス貨物_軽油,係数_バス貨物_メタノール,係数_バス貨物_LPG),MATCH(AY1615+1,【参考】排出係数!$AI$4:$AI$671,1)-1,5,BE1615),4,FALSE)),IF(AND(BE1615=3,LEFT(BF1615,1)="1"),0.48,VLOOKUP(AU1615,INDEX((係数_乗用_ガソリン,係数_乗用_CNG,係数_乗用_軽油,係数_乗用_メタノール,係数_乗用_LPG),1,1,BE1615):INDEX((係数_乗用_ガソリン,係数_乗用_CNG,係数_乗用_軽油,係数_乗用_メタノール,係数_乗用_LPG),125,5,BE1615),4,FALSE)))))</f>
        <v/>
      </c>
      <c r="AL1615" s="461" t="str">
        <f t="shared" si="919"/>
        <v/>
      </c>
      <c r="AM1615" s="460" t="str">
        <f>IF(AU1615="","",IF(OR(AZ1615=8,AZ1615=9),0,IF(OR(AW1615=3,AW1615=4,AW1615=5,AW1615=6),IF(LEFT(BH1615,1)="1",INDEX(係数_PM低減,MATCH(AY1615,【参考】排出係数!$AI$801:$AI$804,1),MATCH(BI1615,【参考】排出係数!$AL$798:$AO$798,1)),VLOOKUP(AU1615,INDEX((係数_バス貨物_ガソリン,係数_バス貨物_CNG,係数_バス貨物_軽油,係数_バス貨物_メタノール,係数_バス貨物_LPG),MATCH(AY1615,【参考】排出係数!$AI$4:$AI$671,1),1,BE1615):INDEX((係数_バス貨物_ガソリン,係数_バス貨物_CNG,係数_バス貨物_軽油,係数_バス貨物_メタノール,係数_バス貨物_LPG),MATCH(AY1615+1,【参考】排出係数!$AI$4:$AI$671,1)-1,5,BE1615),5,FALSE)),IF(AND(BE1615=3,LEFT(BF1615,1)="1"),0.055,VLOOKUP(AU1615,INDEX((係数_乗用_ガソリン,係数_乗用_CNG,係数_乗用_軽油,係数_乗用_メタノール,係数_乗用_LPG),1,1,BE1615):INDEX((係数_乗用_ガソリン,係数_乗用_CNG,係数_乗用_軽油,係数_乗用_メタノール,係数_乗用_LPG),125,5,BE1615),5,FALSE)))))</f>
        <v/>
      </c>
      <c r="AN1615" s="461" t="str">
        <f t="shared" si="920"/>
        <v/>
      </c>
      <c r="AO1615" s="462" t="str">
        <f t="shared" si="921"/>
        <v/>
      </c>
      <c r="AP1615" s="463" t="str">
        <f t="shared" si="922"/>
        <v/>
      </c>
      <c r="AQ1615" s="464"/>
      <c r="AR1615" s="619"/>
      <c r="AS1615" s="465" t="str">
        <f t="shared" si="930"/>
        <v/>
      </c>
      <c r="AT1615" s="465" t="str">
        <f t="shared" si="931"/>
        <v/>
      </c>
      <c r="AU1615" s="466" t="str">
        <f t="shared" si="932"/>
        <v/>
      </c>
      <c r="AV1615" s="467" t="str">
        <f t="shared" si="933"/>
        <v/>
      </c>
      <c r="AW1615" s="467" t="str">
        <f t="shared" si="934"/>
        <v/>
      </c>
      <c r="AX1615" s="467" t="str">
        <f t="shared" si="935"/>
        <v/>
      </c>
      <c r="AY1615" s="467" t="str">
        <f t="shared" si="936"/>
        <v/>
      </c>
      <c r="AZ1615" s="467" t="str">
        <f t="shared" si="937"/>
        <v/>
      </c>
      <c r="BA1615" s="468" t="str">
        <f>IF(AS1615="","",IF(OR(AU1615="",AU1615="-"),"－",IF(OR(AZ1615=8,AZ1615=9),"",IF(OR(AW1615=3,AW1615=4,AW1615=5,AW1615=6),VLOOKUP(AU1615,INDEX((係数_バス貨物_ガソリン,係数_バス貨物_CNG,係数_バス貨物_軽油,係数_バス貨物_メタノール,係数_バス貨物_LPG),MATCH(AY1615,【参考】排出係数!$AI$4:$AI$671,1),1,BE1615):INDEX((係数_バス貨物_ガソリン,係数_バス貨物_CNG,係数_バス貨物_軽油,係数_バス貨物_メタノール,係数_バス貨物_LPG),MATCH(AY1615+1,【参考】排出係数!$AI$4:$AI$671,1)-1,5,BE1615),2,FALSE),IF(OR(AW1615=1,AW1615=2),VLOOKUP(AU1615,INDEX((係数_乗用_ガソリン,係数_乗用_CNG,係数_乗用_軽油,係数_乗用_メタノール,係数_乗用_LPG),1,1,BE1615):INDEX((係数_乗用_ガソリン,係数_乗用_CNG,係数_乗用_軽油,係数_乗用_メタノール,係数_乗用_LPG),125,5,BE1615),2,FALSE))))))</f>
        <v/>
      </c>
      <c r="BB1615" s="468" t="str">
        <f>IF(T1615="","",IF(OR(AU1615="",AU1615="-"),"－",IF(OR(AZ1615=8,AZ1615=9),"",IF(OR(AW1615=3,AW1615=4,AW1615=5,AW1615=6),VLOOKUP(AU1615,INDEX((係数_バス貨物_ガソリン,係数_バス貨物_CNG,係数_バス貨物_軽油,係数_バス貨物_メタノール,係数_バス貨物_LPG),MATCH(AY1615,【参考】排出係数!$AI$4:$AI$671,1),1,BE1615):INDEX((係数_バス貨物_ガソリン,係数_バス貨物_CNG,係数_バス貨物_軽油,係数_バス貨物_メタノール,係数_バス貨物_LPG),MATCH(AY1615+1,【参考】排出係数!$AI$4:$AI$671,1)-1,5,BE1615),3,FALSE),IF(OR(AW1615=1,AW1615=2),VLOOKUP(AU1615,INDEX((係数_乗用_ガソリン,係数_乗用_CNG,係数_乗用_軽油,係数_乗用_メタノール,係数_乗用_LPG),1,1,BE1615):INDEX((係数_乗用_ガソリン,係数_乗用_CNG,係数_乗用_軽油,係数_乗用_メタノール,係数_乗用_LPG),125,5,BE1615),3,FALSE))))))</f>
        <v/>
      </c>
      <c r="BC1615" s="467" t="str">
        <f t="shared" si="938"/>
        <v/>
      </c>
      <c r="BD1615" s="567" t="str">
        <f t="shared" si="939"/>
        <v/>
      </c>
      <c r="BE1615" s="467" t="str">
        <f t="shared" si="940"/>
        <v/>
      </c>
      <c r="BF1615" s="469" t="str">
        <f t="shared" ca="1" si="941"/>
        <v/>
      </c>
      <c r="BG1615" s="469" t="str">
        <f t="shared" ca="1" si="942"/>
        <v/>
      </c>
      <c r="BH1615" s="467" t="str">
        <f t="shared" si="943"/>
        <v/>
      </c>
      <c r="BI1615" s="467" t="str">
        <f t="shared" ca="1" si="944"/>
        <v/>
      </c>
      <c r="BJ1615" s="469" t="str">
        <f t="shared" si="945"/>
        <v/>
      </c>
      <c r="BK1615" s="470" t="str">
        <f t="shared" si="929"/>
        <v/>
      </c>
      <c r="BL1615" s="775" t="str">
        <f t="shared" si="946"/>
        <v/>
      </c>
      <c r="BM1615" s="775" t="str">
        <f t="shared" si="947"/>
        <v/>
      </c>
    </row>
    <row r="1616" spans="1:65">
      <c r="A1616" s="473">
        <v>1560</v>
      </c>
      <c r="B1616" s="132"/>
      <c r="C1616" s="332"/>
      <c r="D1616" s="333"/>
      <c r="E1616" s="333"/>
      <c r="F1616" s="334"/>
      <c r="G1616" s="337"/>
      <c r="H1616" s="131"/>
      <c r="I1616" s="337"/>
      <c r="J1616" s="131"/>
      <c r="K1616" s="458" t="str">
        <f t="shared" si="910"/>
        <v/>
      </c>
      <c r="L1616" s="458">
        <f t="shared" si="911"/>
        <v>0</v>
      </c>
      <c r="M1616" s="458">
        <f t="shared" si="912"/>
        <v>0</v>
      </c>
      <c r="N1616" s="459" t="str">
        <f t="shared" si="923"/>
        <v/>
      </c>
      <c r="O1616" s="459" t="str">
        <f t="shared" si="924"/>
        <v/>
      </c>
      <c r="P1616" s="459" t="str">
        <f t="shared" si="925"/>
        <v/>
      </c>
      <c r="Q1616" s="459" t="str">
        <f t="shared" si="926"/>
        <v/>
      </c>
      <c r="R1616" s="459" t="str">
        <f t="shared" si="927"/>
        <v/>
      </c>
      <c r="S1616" s="459" t="str">
        <f t="shared" si="928"/>
        <v/>
      </c>
      <c r="T1616" s="566" t="str">
        <f t="shared" si="913"/>
        <v/>
      </c>
      <c r="U1616" s="702"/>
      <c r="V1616" s="132"/>
      <c r="W1616" s="133"/>
      <c r="X1616" s="134"/>
      <c r="Y1616" s="135"/>
      <c r="Z1616" s="137"/>
      <c r="AA1616" s="136"/>
      <c r="AB1616" s="566" t="str">
        <f t="shared" si="914"/>
        <v/>
      </c>
      <c r="AC1616" s="568" t="str">
        <f t="shared" si="915"/>
        <v/>
      </c>
      <c r="AD1616" s="137"/>
      <c r="AE1616" s="137"/>
      <c r="AF1616" s="138"/>
      <c r="AG1616" s="138"/>
      <c r="AH1616" s="592" t="str">
        <f t="shared" si="916"/>
        <v/>
      </c>
      <c r="AI1616" s="592" t="str">
        <f t="shared" si="917"/>
        <v/>
      </c>
      <c r="AJ1616" s="592" t="str">
        <f t="shared" si="918"/>
        <v/>
      </c>
      <c r="AK1616" s="460" t="str">
        <f>IF(AU1616="","",IF(OR(AZ1616=8,AZ1616=9),0,IF(OR(AW1616=3,AW1616=4,AW1616=5,AW1616=6),IF(LEFT(BF1616,1)="1",INDEX(係数_NOX・PM低減,MATCH(AY1616,【参考】排出係数!$AI$801:$AI$804,1),1),VLOOKUP(AU1616,INDEX((係数_バス貨物_ガソリン,係数_バス貨物_CNG,係数_バス貨物_軽油,係数_バス貨物_メタノール,係数_バス貨物_LPG),MATCH(AY1616,【参考】排出係数!$AI$4:$AI$671,1),1,BE1616):INDEX((係数_バス貨物_ガソリン,係数_バス貨物_CNG,係数_バス貨物_軽油,係数_バス貨物_メタノール,係数_バス貨物_LPG),MATCH(AY1616+1,【参考】排出係数!$AI$4:$AI$671,1)-1,5,BE1616),4,FALSE)),IF(AND(BE1616=3,LEFT(BF1616,1)="1"),0.48,VLOOKUP(AU1616,INDEX((係数_乗用_ガソリン,係数_乗用_CNG,係数_乗用_軽油,係数_乗用_メタノール,係数_乗用_LPG),1,1,BE1616):INDEX((係数_乗用_ガソリン,係数_乗用_CNG,係数_乗用_軽油,係数_乗用_メタノール,係数_乗用_LPG),125,5,BE1616),4,FALSE)))))</f>
        <v/>
      </c>
      <c r="AL1616" s="461" t="str">
        <f t="shared" si="919"/>
        <v/>
      </c>
      <c r="AM1616" s="460" t="str">
        <f>IF(AU1616="","",IF(OR(AZ1616=8,AZ1616=9),0,IF(OR(AW1616=3,AW1616=4,AW1616=5,AW1616=6),IF(LEFT(BH1616,1)="1",INDEX(係数_PM低減,MATCH(AY1616,【参考】排出係数!$AI$801:$AI$804,1),MATCH(BI1616,【参考】排出係数!$AL$798:$AO$798,1)),VLOOKUP(AU1616,INDEX((係数_バス貨物_ガソリン,係数_バス貨物_CNG,係数_バス貨物_軽油,係数_バス貨物_メタノール,係数_バス貨物_LPG),MATCH(AY1616,【参考】排出係数!$AI$4:$AI$671,1),1,BE1616):INDEX((係数_バス貨物_ガソリン,係数_バス貨物_CNG,係数_バス貨物_軽油,係数_バス貨物_メタノール,係数_バス貨物_LPG),MATCH(AY1616+1,【参考】排出係数!$AI$4:$AI$671,1)-1,5,BE1616),5,FALSE)),IF(AND(BE1616=3,LEFT(BF1616,1)="1"),0.055,VLOOKUP(AU1616,INDEX((係数_乗用_ガソリン,係数_乗用_CNG,係数_乗用_軽油,係数_乗用_メタノール,係数_乗用_LPG),1,1,BE1616):INDEX((係数_乗用_ガソリン,係数_乗用_CNG,係数_乗用_軽油,係数_乗用_メタノール,係数_乗用_LPG),125,5,BE1616),5,FALSE)))))</f>
        <v/>
      </c>
      <c r="AN1616" s="461" t="str">
        <f t="shared" si="920"/>
        <v/>
      </c>
      <c r="AO1616" s="462" t="str">
        <f t="shared" si="921"/>
        <v/>
      </c>
      <c r="AP1616" s="463" t="str">
        <f t="shared" si="922"/>
        <v/>
      </c>
      <c r="AQ1616" s="464"/>
      <c r="AR1616" s="619"/>
      <c r="AS1616" s="465" t="str">
        <f t="shared" si="930"/>
        <v/>
      </c>
      <c r="AT1616" s="465" t="str">
        <f t="shared" si="931"/>
        <v/>
      </c>
      <c r="AU1616" s="466" t="str">
        <f t="shared" si="932"/>
        <v/>
      </c>
      <c r="AV1616" s="467" t="str">
        <f t="shared" si="933"/>
        <v/>
      </c>
      <c r="AW1616" s="467" t="str">
        <f t="shared" si="934"/>
        <v/>
      </c>
      <c r="AX1616" s="467" t="str">
        <f t="shared" si="935"/>
        <v/>
      </c>
      <c r="AY1616" s="467" t="str">
        <f t="shared" si="936"/>
        <v/>
      </c>
      <c r="AZ1616" s="467" t="str">
        <f t="shared" si="937"/>
        <v/>
      </c>
      <c r="BA1616" s="468" t="str">
        <f>IF(AS1616="","",IF(OR(AU1616="",AU1616="-"),"－",IF(OR(AZ1616=8,AZ1616=9),"",IF(OR(AW1616=3,AW1616=4,AW1616=5,AW1616=6),VLOOKUP(AU1616,INDEX((係数_バス貨物_ガソリン,係数_バス貨物_CNG,係数_バス貨物_軽油,係数_バス貨物_メタノール,係数_バス貨物_LPG),MATCH(AY1616,【参考】排出係数!$AI$4:$AI$671,1),1,BE1616):INDEX((係数_バス貨物_ガソリン,係数_バス貨物_CNG,係数_バス貨物_軽油,係数_バス貨物_メタノール,係数_バス貨物_LPG),MATCH(AY1616+1,【参考】排出係数!$AI$4:$AI$671,1)-1,5,BE1616),2,FALSE),IF(OR(AW1616=1,AW1616=2),VLOOKUP(AU1616,INDEX((係数_乗用_ガソリン,係数_乗用_CNG,係数_乗用_軽油,係数_乗用_メタノール,係数_乗用_LPG),1,1,BE1616):INDEX((係数_乗用_ガソリン,係数_乗用_CNG,係数_乗用_軽油,係数_乗用_メタノール,係数_乗用_LPG),125,5,BE1616),2,FALSE))))))</f>
        <v/>
      </c>
      <c r="BB1616" s="468" t="str">
        <f>IF(T1616="","",IF(OR(AU1616="",AU1616="-"),"－",IF(OR(AZ1616=8,AZ1616=9),"",IF(OR(AW1616=3,AW1616=4,AW1616=5,AW1616=6),VLOOKUP(AU1616,INDEX((係数_バス貨物_ガソリン,係数_バス貨物_CNG,係数_バス貨物_軽油,係数_バス貨物_メタノール,係数_バス貨物_LPG),MATCH(AY1616,【参考】排出係数!$AI$4:$AI$671,1),1,BE1616):INDEX((係数_バス貨物_ガソリン,係数_バス貨物_CNG,係数_バス貨物_軽油,係数_バス貨物_メタノール,係数_バス貨物_LPG),MATCH(AY1616+1,【参考】排出係数!$AI$4:$AI$671,1)-1,5,BE1616),3,FALSE),IF(OR(AW1616=1,AW1616=2),VLOOKUP(AU1616,INDEX((係数_乗用_ガソリン,係数_乗用_CNG,係数_乗用_軽油,係数_乗用_メタノール,係数_乗用_LPG),1,1,BE1616):INDEX((係数_乗用_ガソリン,係数_乗用_CNG,係数_乗用_軽油,係数_乗用_メタノール,係数_乗用_LPG),125,5,BE1616),3,FALSE))))))</f>
        <v/>
      </c>
      <c r="BC1616" s="467" t="str">
        <f t="shared" si="938"/>
        <v/>
      </c>
      <c r="BD1616" s="567" t="str">
        <f t="shared" si="939"/>
        <v/>
      </c>
      <c r="BE1616" s="467" t="str">
        <f t="shared" si="940"/>
        <v/>
      </c>
      <c r="BF1616" s="469" t="str">
        <f t="shared" ca="1" si="941"/>
        <v/>
      </c>
      <c r="BG1616" s="469" t="str">
        <f t="shared" ca="1" si="942"/>
        <v/>
      </c>
      <c r="BH1616" s="467" t="str">
        <f t="shared" si="943"/>
        <v/>
      </c>
      <c r="BI1616" s="467" t="str">
        <f t="shared" ca="1" si="944"/>
        <v/>
      </c>
      <c r="BJ1616" s="469" t="str">
        <f t="shared" si="945"/>
        <v/>
      </c>
      <c r="BK1616" s="470" t="str">
        <f t="shared" si="929"/>
        <v/>
      </c>
      <c r="BL1616" s="775" t="str">
        <f t="shared" si="946"/>
        <v/>
      </c>
      <c r="BM1616" s="775" t="str">
        <f t="shared" si="947"/>
        <v/>
      </c>
    </row>
    <row r="1617" spans="1:65">
      <c r="A1617" s="473">
        <v>1561</v>
      </c>
      <c r="B1617" s="132"/>
      <c r="C1617" s="332"/>
      <c r="D1617" s="333"/>
      <c r="E1617" s="333"/>
      <c r="F1617" s="334"/>
      <c r="G1617" s="337"/>
      <c r="H1617" s="131"/>
      <c r="I1617" s="337"/>
      <c r="J1617" s="131"/>
      <c r="K1617" s="458" t="str">
        <f t="shared" si="910"/>
        <v/>
      </c>
      <c r="L1617" s="458">
        <f t="shared" si="911"/>
        <v>0</v>
      </c>
      <c r="M1617" s="458">
        <f t="shared" si="912"/>
        <v>0</v>
      </c>
      <c r="N1617" s="459" t="str">
        <f t="shared" si="923"/>
        <v/>
      </c>
      <c r="O1617" s="459" t="str">
        <f t="shared" si="924"/>
        <v/>
      </c>
      <c r="P1617" s="459" t="str">
        <f t="shared" si="925"/>
        <v/>
      </c>
      <c r="Q1617" s="459" t="str">
        <f t="shared" si="926"/>
        <v/>
      </c>
      <c r="R1617" s="459" t="str">
        <f t="shared" si="927"/>
        <v/>
      </c>
      <c r="S1617" s="459" t="str">
        <f t="shared" si="928"/>
        <v/>
      </c>
      <c r="T1617" s="566" t="str">
        <f t="shared" si="913"/>
        <v/>
      </c>
      <c r="U1617" s="702"/>
      <c r="V1617" s="132"/>
      <c r="W1617" s="133"/>
      <c r="X1617" s="134"/>
      <c r="Y1617" s="135"/>
      <c r="Z1617" s="137"/>
      <c r="AA1617" s="136"/>
      <c r="AB1617" s="566" t="str">
        <f t="shared" si="914"/>
        <v/>
      </c>
      <c r="AC1617" s="568" t="str">
        <f t="shared" si="915"/>
        <v/>
      </c>
      <c r="AD1617" s="137"/>
      <c r="AE1617" s="137"/>
      <c r="AF1617" s="138"/>
      <c r="AG1617" s="138"/>
      <c r="AH1617" s="592" t="str">
        <f t="shared" si="916"/>
        <v/>
      </c>
      <c r="AI1617" s="592" t="str">
        <f t="shared" si="917"/>
        <v/>
      </c>
      <c r="AJ1617" s="592" t="str">
        <f t="shared" si="918"/>
        <v/>
      </c>
      <c r="AK1617" s="460" t="str">
        <f>IF(AU1617="","",IF(OR(AZ1617=8,AZ1617=9),0,IF(OR(AW1617=3,AW1617=4,AW1617=5,AW1617=6),IF(LEFT(BF1617,1)="1",INDEX(係数_NOX・PM低減,MATCH(AY1617,【参考】排出係数!$AI$801:$AI$804,1),1),VLOOKUP(AU1617,INDEX((係数_バス貨物_ガソリン,係数_バス貨物_CNG,係数_バス貨物_軽油,係数_バス貨物_メタノール,係数_バス貨物_LPG),MATCH(AY1617,【参考】排出係数!$AI$4:$AI$671,1),1,BE1617):INDEX((係数_バス貨物_ガソリン,係数_バス貨物_CNG,係数_バス貨物_軽油,係数_バス貨物_メタノール,係数_バス貨物_LPG),MATCH(AY1617+1,【参考】排出係数!$AI$4:$AI$671,1)-1,5,BE1617),4,FALSE)),IF(AND(BE1617=3,LEFT(BF1617,1)="1"),0.48,VLOOKUP(AU1617,INDEX((係数_乗用_ガソリン,係数_乗用_CNG,係数_乗用_軽油,係数_乗用_メタノール,係数_乗用_LPG),1,1,BE1617):INDEX((係数_乗用_ガソリン,係数_乗用_CNG,係数_乗用_軽油,係数_乗用_メタノール,係数_乗用_LPG),125,5,BE1617),4,FALSE)))))</f>
        <v/>
      </c>
      <c r="AL1617" s="461" t="str">
        <f t="shared" si="919"/>
        <v/>
      </c>
      <c r="AM1617" s="460" t="str">
        <f>IF(AU1617="","",IF(OR(AZ1617=8,AZ1617=9),0,IF(OR(AW1617=3,AW1617=4,AW1617=5,AW1617=6),IF(LEFT(BH1617,1)="1",INDEX(係数_PM低減,MATCH(AY1617,【参考】排出係数!$AI$801:$AI$804,1),MATCH(BI1617,【参考】排出係数!$AL$798:$AO$798,1)),VLOOKUP(AU1617,INDEX((係数_バス貨物_ガソリン,係数_バス貨物_CNG,係数_バス貨物_軽油,係数_バス貨物_メタノール,係数_バス貨物_LPG),MATCH(AY1617,【参考】排出係数!$AI$4:$AI$671,1),1,BE1617):INDEX((係数_バス貨物_ガソリン,係数_バス貨物_CNG,係数_バス貨物_軽油,係数_バス貨物_メタノール,係数_バス貨物_LPG),MATCH(AY1617+1,【参考】排出係数!$AI$4:$AI$671,1)-1,5,BE1617),5,FALSE)),IF(AND(BE1617=3,LEFT(BF1617,1)="1"),0.055,VLOOKUP(AU1617,INDEX((係数_乗用_ガソリン,係数_乗用_CNG,係数_乗用_軽油,係数_乗用_メタノール,係数_乗用_LPG),1,1,BE1617):INDEX((係数_乗用_ガソリン,係数_乗用_CNG,係数_乗用_軽油,係数_乗用_メタノール,係数_乗用_LPG),125,5,BE1617),5,FALSE)))))</f>
        <v/>
      </c>
      <c r="AN1617" s="461" t="str">
        <f t="shared" si="920"/>
        <v/>
      </c>
      <c r="AO1617" s="462" t="str">
        <f t="shared" si="921"/>
        <v/>
      </c>
      <c r="AP1617" s="463" t="str">
        <f t="shared" si="922"/>
        <v/>
      </c>
      <c r="AQ1617" s="464"/>
      <c r="AR1617" s="619"/>
      <c r="AS1617" s="465" t="str">
        <f t="shared" si="930"/>
        <v/>
      </c>
      <c r="AT1617" s="465" t="str">
        <f t="shared" si="931"/>
        <v/>
      </c>
      <c r="AU1617" s="466" t="str">
        <f t="shared" si="932"/>
        <v/>
      </c>
      <c r="AV1617" s="467" t="str">
        <f t="shared" si="933"/>
        <v/>
      </c>
      <c r="AW1617" s="467" t="str">
        <f t="shared" si="934"/>
        <v/>
      </c>
      <c r="AX1617" s="467" t="str">
        <f t="shared" si="935"/>
        <v/>
      </c>
      <c r="AY1617" s="467" t="str">
        <f t="shared" si="936"/>
        <v/>
      </c>
      <c r="AZ1617" s="467" t="str">
        <f t="shared" si="937"/>
        <v/>
      </c>
      <c r="BA1617" s="468" t="str">
        <f>IF(AS1617="","",IF(OR(AU1617="",AU1617="-"),"－",IF(OR(AZ1617=8,AZ1617=9),"",IF(OR(AW1617=3,AW1617=4,AW1617=5,AW1617=6),VLOOKUP(AU1617,INDEX((係数_バス貨物_ガソリン,係数_バス貨物_CNG,係数_バス貨物_軽油,係数_バス貨物_メタノール,係数_バス貨物_LPG),MATCH(AY1617,【参考】排出係数!$AI$4:$AI$671,1),1,BE1617):INDEX((係数_バス貨物_ガソリン,係数_バス貨物_CNG,係数_バス貨物_軽油,係数_バス貨物_メタノール,係数_バス貨物_LPG),MATCH(AY1617+1,【参考】排出係数!$AI$4:$AI$671,1)-1,5,BE1617),2,FALSE),IF(OR(AW1617=1,AW1617=2),VLOOKUP(AU1617,INDEX((係数_乗用_ガソリン,係数_乗用_CNG,係数_乗用_軽油,係数_乗用_メタノール,係数_乗用_LPG),1,1,BE1617):INDEX((係数_乗用_ガソリン,係数_乗用_CNG,係数_乗用_軽油,係数_乗用_メタノール,係数_乗用_LPG),125,5,BE1617),2,FALSE))))))</f>
        <v/>
      </c>
      <c r="BB1617" s="468" t="str">
        <f>IF(T1617="","",IF(OR(AU1617="",AU1617="-"),"－",IF(OR(AZ1617=8,AZ1617=9),"",IF(OR(AW1617=3,AW1617=4,AW1617=5,AW1617=6),VLOOKUP(AU1617,INDEX((係数_バス貨物_ガソリン,係数_バス貨物_CNG,係数_バス貨物_軽油,係数_バス貨物_メタノール,係数_バス貨物_LPG),MATCH(AY1617,【参考】排出係数!$AI$4:$AI$671,1),1,BE1617):INDEX((係数_バス貨物_ガソリン,係数_バス貨物_CNG,係数_バス貨物_軽油,係数_バス貨物_メタノール,係数_バス貨物_LPG),MATCH(AY1617+1,【参考】排出係数!$AI$4:$AI$671,1)-1,5,BE1617),3,FALSE),IF(OR(AW1617=1,AW1617=2),VLOOKUP(AU1617,INDEX((係数_乗用_ガソリン,係数_乗用_CNG,係数_乗用_軽油,係数_乗用_メタノール,係数_乗用_LPG),1,1,BE1617):INDEX((係数_乗用_ガソリン,係数_乗用_CNG,係数_乗用_軽油,係数_乗用_メタノール,係数_乗用_LPG),125,5,BE1617),3,FALSE))))))</f>
        <v/>
      </c>
      <c r="BC1617" s="467" t="str">
        <f t="shared" si="938"/>
        <v/>
      </c>
      <c r="BD1617" s="567" t="str">
        <f t="shared" si="939"/>
        <v/>
      </c>
      <c r="BE1617" s="467" t="str">
        <f t="shared" si="940"/>
        <v/>
      </c>
      <c r="BF1617" s="469" t="str">
        <f t="shared" ca="1" si="941"/>
        <v/>
      </c>
      <c r="BG1617" s="469" t="str">
        <f t="shared" ca="1" si="942"/>
        <v/>
      </c>
      <c r="BH1617" s="467" t="str">
        <f t="shared" si="943"/>
        <v/>
      </c>
      <c r="BI1617" s="467" t="str">
        <f t="shared" ca="1" si="944"/>
        <v/>
      </c>
      <c r="BJ1617" s="469" t="str">
        <f t="shared" si="945"/>
        <v/>
      </c>
      <c r="BK1617" s="470" t="str">
        <f t="shared" si="929"/>
        <v/>
      </c>
      <c r="BL1617" s="775" t="str">
        <f t="shared" si="946"/>
        <v/>
      </c>
      <c r="BM1617" s="775" t="str">
        <f t="shared" si="947"/>
        <v/>
      </c>
    </row>
    <row r="1618" spans="1:65">
      <c r="A1618" s="473">
        <v>1562</v>
      </c>
      <c r="B1618" s="132"/>
      <c r="C1618" s="332"/>
      <c r="D1618" s="333"/>
      <c r="E1618" s="333"/>
      <c r="F1618" s="334"/>
      <c r="G1618" s="337"/>
      <c r="H1618" s="131"/>
      <c r="I1618" s="337"/>
      <c r="J1618" s="131"/>
      <c r="K1618" s="458" t="str">
        <f t="shared" si="910"/>
        <v/>
      </c>
      <c r="L1618" s="458">
        <f t="shared" si="911"/>
        <v>0</v>
      </c>
      <c r="M1618" s="458">
        <f t="shared" si="912"/>
        <v>0</v>
      </c>
      <c r="N1618" s="459" t="str">
        <f t="shared" si="923"/>
        <v/>
      </c>
      <c r="O1618" s="459" t="str">
        <f t="shared" si="924"/>
        <v/>
      </c>
      <c r="P1618" s="459" t="str">
        <f t="shared" si="925"/>
        <v/>
      </c>
      <c r="Q1618" s="459" t="str">
        <f t="shared" si="926"/>
        <v/>
      </c>
      <c r="R1618" s="459" t="str">
        <f t="shared" si="927"/>
        <v/>
      </c>
      <c r="S1618" s="459" t="str">
        <f t="shared" si="928"/>
        <v/>
      </c>
      <c r="T1618" s="566" t="str">
        <f t="shared" si="913"/>
        <v/>
      </c>
      <c r="U1618" s="702"/>
      <c r="V1618" s="132"/>
      <c r="W1618" s="133"/>
      <c r="X1618" s="134"/>
      <c r="Y1618" s="135"/>
      <c r="Z1618" s="137"/>
      <c r="AA1618" s="136"/>
      <c r="AB1618" s="566" t="str">
        <f t="shared" si="914"/>
        <v/>
      </c>
      <c r="AC1618" s="568" t="str">
        <f t="shared" si="915"/>
        <v/>
      </c>
      <c r="AD1618" s="137"/>
      <c r="AE1618" s="137"/>
      <c r="AF1618" s="138"/>
      <c r="AG1618" s="138"/>
      <c r="AH1618" s="592" t="str">
        <f t="shared" si="916"/>
        <v/>
      </c>
      <c r="AI1618" s="592" t="str">
        <f t="shared" si="917"/>
        <v/>
      </c>
      <c r="AJ1618" s="592" t="str">
        <f t="shared" si="918"/>
        <v/>
      </c>
      <c r="AK1618" s="460" t="str">
        <f>IF(AU1618="","",IF(OR(AZ1618=8,AZ1618=9),0,IF(OR(AW1618=3,AW1618=4,AW1618=5,AW1618=6),IF(LEFT(BF1618,1)="1",INDEX(係数_NOX・PM低減,MATCH(AY1618,【参考】排出係数!$AI$801:$AI$804,1),1),VLOOKUP(AU1618,INDEX((係数_バス貨物_ガソリン,係数_バス貨物_CNG,係数_バス貨物_軽油,係数_バス貨物_メタノール,係数_バス貨物_LPG),MATCH(AY1618,【参考】排出係数!$AI$4:$AI$671,1),1,BE1618):INDEX((係数_バス貨物_ガソリン,係数_バス貨物_CNG,係数_バス貨物_軽油,係数_バス貨物_メタノール,係数_バス貨物_LPG),MATCH(AY1618+1,【参考】排出係数!$AI$4:$AI$671,1)-1,5,BE1618),4,FALSE)),IF(AND(BE1618=3,LEFT(BF1618,1)="1"),0.48,VLOOKUP(AU1618,INDEX((係数_乗用_ガソリン,係数_乗用_CNG,係数_乗用_軽油,係数_乗用_メタノール,係数_乗用_LPG),1,1,BE1618):INDEX((係数_乗用_ガソリン,係数_乗用_CNG,係数_乗用_軽油,係数_乗用_メタノール,係数_乗用_LPG),125,5,BE1618),4,FALSE)))))</f>
        <v/>
      </c>
      <c r="AL1618" s="461" t="str">
        <f t="shared" si="919"/>
        <v/>
      </c>
      <c r="AM1618" s="460" t="str">
        <f>IF(AU1618="","",IF(OR(AZ1618=8,AZ1618=9),0,IF(OR(AW1618=3,AW1618=4,AW1618=5,AW1618=6),IF(LEFT(BH1618,1)="1",INDEX(係数_PM低減,MATCH(AY1618,【参考】排出係数!$AI$801:$AI$804,1),MATCH(BI1618,【参考】排出係数!$AL$798:$AO$798,1)),VLOOKUP(AU1618,INDEX((係数_バス貨物_ガソリン,係数_バス貨物_CNG,係数_バス貨物_軽油,係数_バス貨物_メタノール,係数_バス貨物_LPG),MATCH(AY1618,【参考】排出係数!$AI$4:$AI$671,1),1,BE1618):INDEX((係数_バス貨物_ガソリン,係数_バス貨物_CNG,係数_バス貨物_軽油,係数_バス貨物_メタノール,係数_バス貨物_LPG),MATCH(AY1618+1,【参考】排出係数!$AI$4:$AI$671,1)-1,5,BE1618),5,FALSE)),IF(AND(BE1618=3,LEFT(BF1618,1)="1"),0.055,VLOOKUP(AU1618,INDEX((係数_乗用_ガソリン,係数_乗用_CNG,係数_乗用_軽油,係数_乗用_メタノール,係数_乗用_LPG),1,1,BE1618):INDEX((係数_乗用_ガソリン,係数_乗用_CNG,係数_乗用_軽油,係数_乗用_メタノール,係数_乗用_LPG),125,5,BE1618),5,FALSE)))))</f>
        <v/>
      </c>
      <c r="AN1618" s="461" t="str">
        <f t="shared" si="920"/>
        <v/>
      </c>
      <c r="AO1618" s="462" t="str">
        <f t="shared" si="921"/>
        <v/>
      </c>
      <c r="AP1618" s="463" t="str">
        <f t="shared" si="922"/>
        <v/>
      </c>
      <c r="AQ1618" s="464"/>
      <c r="AR1618" s="619"/>
      <c r="AS1618" s="465" t="str">
        <f t="shared" si="930"/>
        <v/>
      </c>
      <c r="AT1618" s="465" t="str">
        <f t="shared" si="931"/>
        <v/>
      </c>
      <c r="AU1618" s="466" t="str">
        <f t="shared" si="932"/>
        <v/>
      </c>
      <c r="AV1618" s="467" t="str">
        <f t="shared" si="933"/>
        <v/>
      </c>
      <c r="AW1618" s="467" t="str">
        <f t="shared" si="934"/>
        <v/>
      </c>
      <c r="AX1618" s="467" t="str">
        <f t="shared" si="935"/>
        <v/>
      </c>
      <c r="AY1618" s="467" t="str">
        <f t="shared" si="936"/>
        <v/>
      </c>
      <c r="AZ1618" s="467" t="str">
        <f t="shared" si="937"/>
        <v/>
      </c>
      <c r="BA1618" s="468" t="str">
        <f>IF(AS1618="","",IF(OR(AU1618="",AU1618="-"),"－",IF(OR(AZ1618=8,AZ1618=9),"",IF(OR(AW1618=3,AW1618=4,AW1618=5,AW1618=6),VLOOKUP(AU1618,INDEX((係数_バス貨物_ガソリン,係数_バス貨物_CNG,係数_バス貨物_軽油,係数_バス貨物_メタノール,係数_バス貨物_LPG),MATCH(AY1618,【参考】排出係数!$AI$4:$AI$671,1),1,BE1618):INDEX((係数_バス貨物_ガソリン,係数_バス貨物_CNG,係数_バス貨物_軽油,係数_バス貨物_メタノール,係数_バス貨物_LPG),MATCH(AY1618+1,【参考】排出係数!$AI$4:$AI$671,1)-1,5,BE1618),2,FALSE),IF(OR(AW1618=1,AW1618=2),VLOOKUP(AU1618,INDEX((係数_乗用_ガソリン,係数_乗用_CNG,係数_乗用_軽油,係数_乗用_メタノール,係数_乗用_LPG),1,1,BE1618):INDEX((係数_乗用_ガソリン,係数_乗用_CNG,係数_乗用_軽油,係数_乗用_メタノール,係数_乗用_LPG),125,5,BE1618),2,FALSE))))))</f>
        <v/>
      </c>
      <c r="BB1618" s="468" t="str">
        <f>IF(T1618="","",IF(OR(AU1618="",AU1618="-"),"－",IF(OR(AZ1618=8,AZ1618=9),"",IF(OR(AW1618=3,AW1618=4,AW1618=5,AW1618=6),VLOOKUP(AU1618,INDEX((係数_バス貨物_ガソリン,係数_バス貨物_CNG,係数_バス貨物_軽油,係数_バス貨物_メタノール,係数_バス貨物_LPG),MATCH(AY1618,【参考】排出係数!$AI$4:$AI$671,1),1,BE1618):INDEX((係数_バス貨物_ガソリン,係数_バス貨物_CNG,係数_バス貨物_軽油,係数_バス貨物_メタノール,係数_バス貨物_LPG),MATCH(AY1618+1,【参考】排出係数!$AI$4:$AI$671,1)-1,5,BE1618),3,FALSE),IF(OR(AW1618=1,AW1618=2),VLOOKUP(AU1618,INDEX((係数_乗用_ガソリン,係数_乗用_CNG,係数_乗用_軽油,係数_乗用_メタノール,係数_乗用_LPG),1,1,BE1618):INDEX((係数_乗用_ガソリン,係数_乗用_CNG,係数_乗用_軽油,係数_乗用_メタノール,係数_乗用_LPG),125,5,BE1618),3,FALSE))))))</f>
        <v/>
      </c>
      <c r="BC1618" s="467" t="str">
        <f t="shared" si="938"/>
        <v/>
      </c>
      <c r="BD1618" s="567" t="str">
        <f t="shared" si="939"/>
        <v/>
      </c>
      <c r="BE1618" s="467" t="str">
        <f t="shared" si="940"/>
        <v/>
      </c>
      <c r="BF1618" s="469" t="str">
        <f t="shared" ca="1" si="941"/>
        <v/>
      </c>
      <c r="BG1618" s="469" t="str">
        <f t="shared" ca="1" si="942"/>
        <v/>
      </c>
      <c r="BH1618" s="467" t="str">
        <f t="shared" si="943"/>
        <v/>
      </c>
      <c r="BI1618" s="467" t="str">
        <f t="shared" ca="1" si="944"/>
        <v/>
      </c>
      <c r="BJ1618" s="469" t="str">
        <f t="shared" si="945"/>
        <v/>
      </c>
      <c r="BK1618" s="470" t="str">
        <f t="shared" si="929"/>
        <v/>
      </c>
      <c r="BL1618" s="775" t="str">
        <f t="shared" si="946"/>
        <v/>
      </c>
      <c r="BM1618" s="775" t="str">
        <f t="shared" si="947"/>
        <v/>
      </c>
    </row>
    <row r="1619" spans="1:65">
      <c r="A1619" s="473">
        <v>1563</v>
      </c>
      <c r="B1619" s="132"/>
      <c r="C1619" s="332"/>
      <c r="D1619" s="333"/>
      <c r="E1619" s="333"/>
      <c r="F1619" s="334"/>
      <c r="G1619" s="337"/>
      <c r="H1619" s="131"/>
      <c r="I1619" s="337"/>
      <c r="J1619" s="131"/>
      <c r="K1619" s="458" t="str">
        <f t="shared" si="910"/>
        <v/>
      </c>
      <c r="L1619" s="458">
        <f t="shared" si="911"/>
        <v>0</v>
      </c>
      <c r="M1619" s="458">
        <f t="shared" si="912"/>
        <v>0</v>
      </c>
      <c r="N1619" s="459" t="str">
        <f t="shared" si="923"/>
        <v/>
      </c>
      <c r="O1619" s="459" t="str">
        <f t="shared" si="924"/>
        <v/>
      </c>
      <c r="P1619" s="459" t="str">
        <f t="shared" si="925"/>
        <v/>
      </c>
      <c r="Q1619" s="459" t="str">
        <f t="shared" si="926"/>
        <v/>
      </c>
      <c r="R1619" s="459" t="str">
        <f t="shared" si="927"/>
        <v/>
      </c>
      <c r="S1619" s="459" t="str">
        <f t="shared" si="928"/>
        <v/>
      </c>
      <c r="T1619" s="566" t="str">
        <f t="shared" si="913"/>
        <v/>
      </c>
      <c r="U1619" s="702"/>
      <c r="V1619" s="132"/>
      <c r="W1619" s="133"/>
      <c r="X1619" s="134"/>
      <c r="Y1619" s="135"/>
      <c r="Z1619" s="137"/>
      <c r="AA1619" s="136"/>
      <c r="AB1619" s="566" t="str">
        <f t="shared" si="914"/>
        <v/>
      </c>
      <c r="AC1619" s="568" t="str">
        <f t="shared" si="915"/>
        <v/>
      </c>
      <c r="AD1619" s="137"/>
      <c r="AE1619" s="137"/>
      <c r="AF1619" s="138"/>
      <c r="AG1619" s="138"/>
      <c r="AH1619" s="592" t="str">
        <f t="shared" si="916"/>
        <v/>
      </c>
      <c r="AI1619" s="592" t="str">
        <f t="shared" si="917"/>
        <v/>
      </c>
      <c r="AJ1619" s="592" t="str">
        <f t="shared" si="918"/>
        <v/>
      </c>
      <c r="AK1619" s="460" t="str">
        <f>IF(AU1619="","",IF(OR(AZ1619=8,AZ1619=9),0,IF(OR(AW1619=3,AW1619=4,AW1619=5,AW1619=6),IF(LEFT(BF1619,1)="1",INDEX(係数_NOX・PM低減,MATCH(AY1619,【参考】排出係数!$AI$801:$AI$804,1),1),VLOOKUP(AU1619,INDEX((係数_バス貨物_ガソリン,係数_バス貨物_CNG,係数_バス貨物_軽油,係数_バス貨物_メタノール,係数_バス貨物_LPG),MATCH(AY1619,【参考】排出係数!$AI$4:$AI$671,1),1,BE1619):INDEX((係数_バス貨物_ガソリン,係数_バス貨物_CNG,係数_バス貨物_軽油,係数_バス貨物_メタノール,係数_バス貨物_LPG),MATCH(AY1619+1,【参考】排出係数!$AI$4:$AI$671,1)-1,5,BE1619),4,FALSE)),IF(AND(BE1619=3,LEFT(BF1619,1)="1"),0.48,VLOOKUP(AU1619,INDEX((係数_乗用_ガソリン,係数_乗用_CNG,係数_乗用_軽油,係数_乗用_メタノール,係数_乗用_LPG),1,1,BE1619):INDEX((係数_乗用_ガソリン,係数_乗用_CNG,係数_乗用_軽油,係数_乗用_メタノール,係数_乗用_LPG),125,5,BE1619),4,FALSE)))))</f>
        <v/>
      </c>
      <c r="AL1619" s="461" t="str">
        <f t="shared" si="919"/>
        <v/>
      </c>
      <c r="AM1619" s="460" t="str">
        <f>IF(AU1619="","",IF(OR(AZ1619=8,AZ1619=9),0,IF(OR(AW1619=3,AW1619=4,AW1619=5,AW1619=6),IF(LEFT(BH1619,1)="1",INDEX(係数_PM低減,MATCH(AY1619,【参考】排出係数!$AI$801:$AI$804,1),MATCH(BI1619,【参考】排出係数!$AL$798:$AO$798,1)),VLOOKUP(AU1619,INDEX((係数_バス貨物_ガソリン,係数_バス貨物_CNG,係数_バス貨物_軽油,係数_バス貨物_メタノール,係数_バス貨物_LPG),MATCH(AY1619,【参考】排出係数!$AI$4:$AI$671,1),1,BE1619):INDEX((係数_バス貨物_ガソリン,係数_バス貨物_CNG,係数_バス貨物_軽油,係数_バス貨物_メタノール,係数_バス貨物_LPG),MATCH(AY1619+1,【参考】排出係数!$AI$4:$AI$671,1)-1,5,BE1619),5,FALSE)),IF(AND(BE1619=3,LEFT(BF1619,1)="1"),0.055,VLOOKUP(AU1619,INDEX((係数_乗用_ガソリン,係数_乗用_CNG,係数_乗用_軽油,係数_乗用_メタノール,係数_乗用_LPG),1,1,BE1619):INDEX((係数_乗用_ガソリン,係数_乗用_CNG,係数_乗用_軽油,係数_乗用_メタノール,係数_乗用_LPG),125,5,BE1619),5,FALSE)))))</f>
        <v/>
      </c>
      <c r="AN1619" s="461" t="str">
        <f t="shared" si="920"/>
        <v/>
      </c>
      <c r="AO1619" s="462" t="str">
        <f t="shared" si="921"/>
        <v/>
      </c>
      <c r="AP1619" s="463" t="str">
        <f t="shared" si="922"/>
        <v/>
      </c>
      <c r="AQ1619" s="464"/>
      <c r="AR1619" s="619"/>
      <c r="AS1619" s="465" t="str">
        <f t="shared" si="930"/>
        <v/>
      </c>
      <c r="AT1619" s="465" t="str">
        <f t="shared" si="931"/>
        <v/>
      </c>
      <c r="AU1619" s="466" t="str">
        <f t="shared" si="932"/>
        <v/>
      </c>
      <c r="AV1619" s="467" t="str">
        <f t="shared" si="933"/>
        <v/>
      </c>
      <c r="AW1619" s="467" t="str">
        <f t="shared" si="934"/>
        <v/>
      </c>
      <c r="AX1619" s="467" t="str">
        <f t="shared" si="935"/>
        <v/>
      </c>
      <c r="AY1619" s="467" t="str">
        <f t="shared" si="936"/>
        <v/>
      </c>
      <c r="AZ1619" s="467" t="str">
        <f t="shared" si="937"/>
        <v/>
      </c>
      <c r="BA1619" s="468" t="str">
        <f>IF(AS1619="","",IF(OR(AU1619="",AU1619="-"),"－",IF(OR(AZ1619=8,AZ1619=9),"",IF(OR(AW1619=3,AW1619=4,AW1619=5,AW1619=6),VLOOKUP(AU1619,INDEX((係数_バス貨物_ガソリン,係数_バス貨物_CNG,係数_バス貨物_軽油,係数_バス貨物_メタノール,係数_バス貨物_LPG),MATCH(AY1619,【参考】排出係数!$AI$4:$AI$671,1),1,BE1619):INDEX((係数_バス貨物_ガソリン,係数_バス貨物_CNG,係数_バス貨物_軽油,係数_バス貨物_メタノール,係数_バス貨物_LPG),MATCH(AY1619+1,【参考】排出係数!$AI$4:$AI$671,1)-1,5,BE1619),2,FALSE),IF(OR(AW1619=1,AW1619=2),VLOOKUP(AU1619,INDEX((係数_乗用_ガソリン,係数_乗用_CNG,係数_乗用_軽油,係数_乗用_メタノール,係数_乗用_LPG),1,1,BE1619):INDEX((係数_乗用_ガソリン,係数_乗用_CNG,係数_乗用_軽油,係数_乗用_メタノール,係数_乗用_LPG),125,5,BE1619),2,FALSE))))))</f>
        <v/>
      </c>
      <c r="BB1619" s="468" t="str">
        <f>IF(T1619="","",IF(OR(AU1619="",AU1619="-"),"－",IF(OR(AZ1619=8,AZ1619=9),"",IF(OR(AW1619=3,AW1619=4,AW1619=5,AW1619=6),VLOOKUP(AU1619,INDEX((係数_バス貨物_ガソリン,係数_バス貨物_CNG,係数_バス貨物_軽油,係数_バス貨物_メタノール,係数_バス貨物_LPG),MATCH(AY1619,【参考】排出係数!$AI$4:$AI$671,1),1,BE1619):INDEX((係数_バス貨物_ガソリン,係数_バス貨物_CNG,係数_バス貨物_軽油,係数_バス貨物_メタノール,係数_バス貨物_LPG),MATCH(AY1619+1,【参考】排出係数!$AI$4:$AI$671,1)-1,5,BE1619),3,FALSE),IF(OR(AW1619=1,AW1619=2),VLOOKUP(AU1619,INDEX((係数_乗用_ガソリン,係数_乗用_CNG,係数_乗用_軽油,係数_乗用_メタノール,係数_乗用_LPG),1,1,BE1619):INDEX((係数_乗用_ガソリン,係数_乗用_CNG,係数_乗用_軽油,係数_乗用_メタノール,係数_乗用_LPG),125,5,BE1619),3,FALSE))))))</f>
        <v/>
      </c>
      <c r="BC1619" s="467" t="str">
        <f t="shared" si="938"/>
        <v/>
      </c>
      <c r="BD1619" s="567" t="str">
        <f t="shared" si="939"/>
        <v/>
      </c>
      <c r="BE1619" s="467" t="str">
        <f t="shared" si="940"/>
        <v/>
      </c>
      <c r="BF1619" s="469" t="str">
        <f t="shared" ca="1" si="941"/>
        <v/>
      </c>
      <c r="BG1619" s="469" t="str">
        <f t="shared" ca="1" si="942"/>
        <v/>
      </c>
      <c r="BH1619" s="467" t="str">
        <f t="shared" si="943"/>
        <v/>
      </c>
      <c r="BI1619" s="467" t="str">
        <f t="shared" ca="1" si="944"/>
        <v/>
      </c>
      <c r="BJ1619" s="469" t="str">
        <f t="shared" si="945"/>
        <v/>
      </c>
      <c r="BK1619" s="470" t="str">
        <f t="shared" si="929"/>
        <v/>
      </c>
      <c r="BL1619" s="775" t="str">
        <f t="shared" si="946"/>
        <v/>
      </c>
      <c r="BM1619" s="775" t="str">
        <f t="shared" si="947"/>
        <v/>
      </c>
    </row>
    <row r="1620" spans="1:65">
      <c r="A1620" s="473">
        <v>1564</v>
      </c>
      <c r="B1620" s="132"/>
      <c r="C1620" s="332"/>
      <c r="D1620" s="333"/>
      <c r="E1620" s="333"/>
      <c r="F1620" s="334"/>
      <c r="G1620" s="337"/>
      <c r="H1620" s="131"/>
      <c r="I1620" s="337"/>
      <c r="J1620" s="131"/>
      <c r="K1620" s="458" t="str">
        <f t="shared" si="910"/>
        <v/>
      </c>
      <c r="L1620" s="458">
        <f t="shared" si="911"/>
        <v>0</v>
      </c>
      <c r="M1620" s="458">
        <f t="shared" si="912"/>
        <v>0</v>
      </c>
      <c r="N1620" s="459" t="str">
        <f t="shared" si="923"/>
        <v/>
      </c>
      <c r="O1620" s="459" t="str">
        <f t="shared" si="924"/>
        <v/>
      </c>
      <c r="P1620" s="459" t="str">
        <f t="shared" si="925"/>
        <v/>
      </c>
      <c r="Q1620" s="459" t="str">
        <f t="shared" si="926"/>
        <v/>
      </c>
      <c r="R1620" s="459" t="str">
        <f t="shared" si="927"/>
        <v/>
      </c>
      <c r="S1620" s="459" t="str">
        <f t="shared" si="928"/>
        <v/>
      </c>
      <c r="T1620" s="566" t="str">
        <f t="shared" si="913"/>
        <v/>
      </c>
      <c r="U1620" s="702"/>
      <c r="V1620" s="132"/>
      <c r="W1620" s="133"/>
      <c r="X1620" s="134"/>
      <c r="Y1620" s="135"/>
      <c r="Z1620" s="137"/>
      <c r="AA1620" s="136"/>
      <c r="AB1620" s="566" t="str">
        <f t="shared" si="914"/>
        <v/>
      </c>
      <c r="AC1620" s="568" t="str">
        <f t="shared" si="915"/>
        <v/>
      </c>
      <c r="AD1620" s="137"/>
      <c r="AE1620" s="137"/>
      <c r="AF1620" s="138"/>
      <c r="AG1620" s="138"/>
      <c r="AH1620" s="592" t="str">
        <f t="shared" si="916"/>
        <v/>
      </c>
      <c r="AI1620" s="592" t="str">
        <f t="shared" si="917"/>
        <v/>
      </c>
      <c r="AJ1620" s="592" t="str">
        <f t="shared" si="918"/>
        <v/>
      </c>
      <c r="AK1620" s="460" t="str">
        <f>IF(AU1620="","",IF(OR(AZ1620=8,AZ1620=9),0,IF(OR(AW1620=3,AW1620=4,AW1620=5,AW1620=6),IF(LEFT(BF1620,1)="1",INDEX(係数_NOX・PM低減,MATCH(AY1620,【参考】排出係数!$AI$801:$AI$804,1),1),VLOOKUP(AU1620,INDEX((係数_バス貨物_ガソリン,係数_バス貨物_CNG,係数_バス貨物_軽油,係数_バス貨物_メタノール,係数_バス貨物_LPG),MATCH(AY1620,【参考】排出係数!$AI$4:$AI$671,1),1,BE1620):INDEX((係数_バス貨物_ガソリン,係数_バス貨物_CNG,係数_バス貨物_軽油,係数_バス貨物_メタノール,係数_バス貨物_LPG),MATCH(AY1620+1,【参考】排出係数!$AI$4:$AI$671,1)-1,5,BE1620),4,FALSE)),IF(AND(BE1620=3,LEFT(BF1620,1)="1"),0.48,VLOOKUP(AU1620,INDEX((係数_乗用_ガソリン,係数_乗用_CNG,係数_乗用_軽油,係数_乗用_メタノール,係数_乗用_LPG),1,1,BE1620):INDEX((係数_乗用_ガソリン,係数_乗用_CNG,係数_乗用_軽油,係数_乗用_メタノール,係数_乗用_LPG),125,5,BE1620),4,FALSE)))))</f>
        <v/>
      </c>
      <c r="AL1620" s="461" t="str">
        <f t="shared" si="919"/>
        <v/>
      </c>
      <c r="AM1620" s="460" t="str">
        <f>IF(AU1620="","",IF(OR(AZ1620=8,AZ1620=9),0,IF(OR(AW1620=3,AW1620=4,AW1620=5,AW1620=6),IF(LEFT(BH1620,1)="1",INDEX(係数_PM低減,MATCH(AY1620,【参考】排出係数!$AI$801:$AI$804,1),MATCH(BI1620,【参考】排出係数!$AL$798:$AO$798,1)),VLOOKUP(AU1620,INDEX((係数_バス貨物_ガソリン,係数_バス貨物_CNG,係数_バス貨物_軽油,係数_バス貨物_メタノール,係数_バス貨物_LPG),MATCH(AY1620,【参考】排出係数!$AI$4:$AI$671,1),1,BE1620):INDEX((係数_バス貨物_ガソリン,係数_バス貨物_CNG,係数_バス貨物_軽油,係数_バス貨物_メタノール,係数_バス貨物_LPG),MATCH(AY1620+1,【参考】排出係数!$AI$4:$AI$671,1)-1,5,BE1620),5,FALSE)),IF(AND(BE1620=3,LEFT(BF1620,1)="1"),0.055,VLOOKUP(AU1620,INDEX((係数_乗用_ガソリン,係数_乗用_CNG,係数_乗用_軽油,係数_乗用_メタノール,係数_乗用_LPG),1,1,BE1620):INDEX((係数_乗用_ガソリン,係数_乗用_CNG,係数_乗用_軽油,係数_乗用_メタノール,係数_乗用_LPG),125,5,BE1620),5,FALSE)))))</f>
        <v/>
      </c>
      <c r="AN1620" s="461" t="str">
        <f t="shared" si="920"/>
        <v/>
      </c>
      <c r="AO1620" s="462" t="str">
        <f t="shared" si="921"/>
        <v/>
      </c>
      <c r="AP1620" s="463" t="str">
        <f t="shared" si="922"/>
        <v/>
      </c>
      <c r="AQ1620" s="464"/>
      <c r="AR1620" s="619"/>
      <c r="AS1620" s="465" t="str">
        <f t="shared" si="930"/>
        <v/>
      </c>
      <c r="AT1620" s="465" t="str">
        <f t="shared" si="931"/>
        <v/>
      </c>
      <c r="AU1620" s="466" t="str">
        <f t="shared" si="932"/>
        <v/>
      </c>
      <c r="AV1620" s="467" t="str">
        <f t="shared" si="933"/>
        <v/>
      </c>
      <c r="AW1620" s="467" t="str">
        <f t="shared" si="934"/>
        <v/>
      </c>
      <c r="AX1620" s="467" t="str">
        <f t="shared" si="935"/>
        <v/>
      </c>
      <c r="AY1620" s="467" t="str">
        <f t="shared" si="936"/>
        <v/>
      </c>
      <c r="AZ1620" s="467" t="str">
        <f t="shared" si="937"/>
        <v/>
      </c>
      <c r="BA1620" s="468" t="str">
        <f>IF(AS1620="","",IF(OR(AU1620="",AU1620="-"),"－",IF(OR(AZ1620=8,AZ1620=9),"",IF(OR(AW1620=3,AW1620=4,AW1620=5,AW1620=6),VLOOKUP(AU1620,INDEX((係数_バス貨物_ガソリン,係数_バス貨物_CNG,係数_バス貨物_軽油,係数_バス貨物_メタノール,係数_バス貨物_LPG),MATCH(AY1620,【参考】排出係数!$AI$4:$AI$671,1),1,BE1620):INDEX((係数_バス貨物_ガソリン,係数_バス貨物_CNG,係数_バス貨物_軽油,係数_バス貨物_メタノール,係数_バス貨物_LPG),MATCH(AY1620+1,【参考】排出係数!$AI$4:$AI$671,1)-1,5,BE1620),2,FALSE),IF(OR(AW1620=1,AW1620=2),VLOOKUP(AU1620,INDEX((係数_乗用_ガソリン,係数_乗用_CNG,係数_乗用_軽油,係数_乗用_メタノール,係数_乗用_LPG),1,1,BE1620):INDEX((係数_乗用_ガソリン,係数_乗用_CNG,係数_乗用_軽油,係数_乗用_メタノール,係数_乗用_LPG),125,5,BE1620),2,FALSE))))))</f>
        <v/>
      </c>
      <c r="BB1620" s="468" t="str">
        <f>IF(T1620="","",IF(OR(AU1620="",AU1620="-"),"－",IF(OR(AZ1620=8,AZ1620=9),"",IF(OR(AW1620=3,AW1620=4,AW1620=5,AW1620=6),VLOOKUP(AU1620,INDEX((係数_バス貨物_ガソリン,係数_バス貨物_CNG,係数_バス貨物_軽油,係数_バス貨物_メタノール,係数_バス貨物_LPG),MATCH(AY1620,【参考】排出係数!$AI$4:$AI$671,1),1,BE1620):INDEX((係数_バス貨物_ガソリン,係数_バス貨物_CNG,係数_バス貨物_軽油,係数_バス貨物_メタノール,係数_バス貨物_LPG),MATCH(AY1620+1,【参考】排出係数!$AI$4:$AI$671,1)-1,5,BE1620),3,FALSE),IF(OR(AW1620=1,AW1620=2),VLOOKUP(AU1620,INDEX((係数_乗用_ガソリン,係数_乗用_CNG,係数_乗用_軽油,係数_乗用_メタノール,係数_乗用_LPG),1,1,BE1620):INDEX((係数_乗用_ガソリン,係数_乗用_CNG,係数_乗用_軽油,係数_乗用_メタノール,係数_乗用_LPG),125,5,BE1620),3,FALSE))))))</f>
        <v/>
      </c>
      <c r="BC1620" s="467" t="str">
        <f t="shared" si="938"/>
        <v/>
      </c>
      <c r="BD1620" s="567" t="str">
        <f t="shared" si="939"/>
        <v/>
      </c>
      <c r="BE1620" s="467" t="str">
        <f t="shared" si="940"/>
        <v/>
      </c>
      <c r="BF1620" s="469" t="str">
        <f t="shared" ca="1" si="941"/>
        <v/>
      </c>
      <c r="BG1620" s="469" t="str">
        <f t="shared" ca="1" si="942"/>
        <v/>
      </c>
      <c r="BH1620" s="467" t="str">
        <f t="shared" si="943"/>
        <v/>
      </c>
      <c r="BI1620" s="467" t="str">
        <f t="shared" ca="1" si="944"/>
        <v/>
      </c>
      <c r="BJ1620" s="469" t="str">
        <f t="shared" si="945"/>
        <v/>
      </c>
      <c r="BK1620" s="470" t="str">
        <f t="shared" si="929"/>
        <v/>
      </c>
      <c r="BL1620" s="775" t="str">
        <f t="shared" si="946"/>
        <v/>
      </c>
      <c r="BM1620" s="775" t="str">
        <f t="shared" si="947"/>
        <v/>
      </c>
    </row>
    <row r="1621" spans="1:65">
      <c r="A1621" s="473">
        <v>1565</v>
      </c>
      <c r="B1621" s="132"/>
      <c r="C1621" s="332"/>
      <c r="D1621" s="333"/>
      <c r="E1621" s="333"/>
      <c r="F1621" s="334"/>
      <c r="G1621" s="337"/>
      <c r="H1621" s="131"/>
      <c r="I1621" s="337"/>
      <c r="J1621" s="131"/>
      <c r="K1621" s="458" t="str">
        <f t="shared" si="910"/>
        <v/>
      </c>
      <c r="L1621" s="458">
        <f t="shared" si="911"/>
        <v>0</v>
      </c>
      <c r="M1621" s="458">
        <f t="shared" si="912"/>
        <v>0</v>
      </c>
      <c r="N1621" s="459" t="str">
        <f t="shared" si="923"/>
        <v/>
      </c>
      <c r="O1621" s="459" t="str">
        <f t="shared" si="924"/>
        <v/>
      </c>
      <c r="P1621" s="459" t="str">
        <f t="shared" si="925"/>
        <v/>
      </c>
      <c r="Q1621" s="459" t="str">
        <f t="shared" si="926"/>
        <v/>
      </c>
      <c r="R1621" s="459" t="str">
        <f t="shared" si="927"/>
        <v/>
      </c>
      <c r="S1621" s="459" t="str">
        <f t="shared" si="928"/>
        <v/>
      </c>
      <c r="T1621" s="566" t="str">
        <f t="shared" si="913"/>
        <v/>
      </c>
      <c r="U1621" s="702"/>
      <c r="V1621" s="132"/>
      <c r="W1621" s="133"/>
      <c r="X1621" s="134"/>
      <c r="Y1621" s="135"/>
      <c r="Z1621" s="137"/>
      <c r="AA1621" s="136"/>
      <c r="AB1621" s="566" t="str">
        <f t="shared" si="914"/>
        <v/>
      </c>
      <c r="AC1621" s="568" t="str">
        <f t="shared" si="915"/>
        <v/>
      </c>
      <c r="AD1621" s="137"/>
      <c r="AE1621" s="137"/>
      <c r="AF1621" s="138"/>
      <c r="AG1621" s="138"/>
      <c r="AH1621" s="592" t="str">
        <f t="shared" si="916"/>
        <v/>
      </c>
      <c r="AI1621" s="592" t="str">
        <f t="shared" si="917"/>
        <v/>
      </c>
      <c r="AJ1621" s="592" t="str">
        <f t="shared" si="918"/>
        <v/>
      </c>
      <c r="AK1621" s="460" t="str">
        <f>IF(AU1621="","",IF(OR(AZ1621=8,AZ1621=9),0,IF(OR(AW1621=3,AW1621=4,AW1621=5,AW1621=6),IF(LEFT(BF1621,1)="1",INDEX(係数_NOX・PM低減,MATCH(AY1621,【参考】排出係数!$AI$801:$AI$804,1),1),VLOOKUP(AU1621,INDEX((係数_バス貨物_ガソリン,係数_バス貨物_CNG,係数_バス貨物_軽油,係数_バス貨物_メタノール,係数_バス貨物_LPG),MATCH(AY1621,【参考】排出係数!$AI$4:$AI$671,1),1,BE1621):INDEX((係数_バス貨物_ガソリン,係数_バス貨物_CNG,係数_バス貨物_軽油,係数_バス貨物_メタノール,係数_バス貨物_LPG),MATCH(AY1621+1,【参考】排出係数!$AI$4:$AI$671,1)-1,5,BE1621),4,FALSE)),IF(AND(BE1621=3,LEFT(BF1621,1)="1"),0.48,VLOOKUP(AU1621,INDEX((係数_乗用_ガソリン,係数_乗用_CNG,係数_乗用_軽油,係数_乗用_メタノール,係数_乗用_LPG),1,1,BE1621):INDEX((係数_乗用_ガソリン,係数_乗用_CNG,係数_乗用_軽油,係数_乗用_メタノール,係数_乗用_LPG),125,5,BE1621),4,FALSE)))))</f>
        <v/>
      </c>
      <c r="AL1621" s="461" t="str">
        <f t="shared" si="919"/>
        <v/>
      </c>
      <c r="AM1621" s="460" t="str">
        <f>IF(AU1621="","",IF(OR(AZ1621=8,AZ1621=9),0,IF(OR(AW1621=3,AW1621=4,AW1621=5,AW1621=6),IF(LEFT(BH1621,1)="1",INDEX(係数_PM低減,MATCH(AY1621,【参考】排出係数!$AI$801:$AI$804,1),MATCH(BI1621,【参考】排出係数!$AL$798:$AO$798,1)),VLOOKUP(AU1621,INDEX((係数_バス貨物_ガソリン,係数_バス貨物_CNG,係数_バス貨物_軽油,係数_バス貨物_メタノール,係数_バス貨物_LPG),MATCH(AY1621,【参考】排出係数!$AI$4:$AI$671,1),1,BE1621):INDEX((係数_バス貨物_ガソリン,係数_バス貨物_CNG,係数_バス貨物_軽油,係数_バス貨物_メタノール,係数_バス貨物_LPG),MATCH(AY1621+1,【参考】排出係数!$AI$4:$AI$671,1)-1,5,BE1621),5,FALSE)),IF(AND(BE1621=3,LEFT(BF1621,1)="1"),0.055,VLOOKUP(AU1621,INDEX((係数_乗用_ガソリン,係数_乗用_CNG,係数_乗用_軽油,係数_乗用_メタノール,係数_乗用_LPG),1,1,BE1621):INDEX((係数_乗用_ガソリン,係数_乗用_CNG,係数_乗用_軽油,係数_乗用_メタノール,係数_乗用_LPG),125,5,BE1621),5,FALSE)))))</f>
        <v/>
      </c>
      <c r="AN1621" s="461" t="str">
        <f t="shared" si="920"/>
        <v/>
      </c>
      <c r="AO1621" s="462" t="str">
        <f t="shared" si="921"/>
        <v/>
      </c>
      <c r="AP1621" s="463" t="str">
        <f t="shared" si="922"/>
        <v/>
      </c>
      <c r="AQ1621" s="464"/>
      <c r="AR1621" s="619"/>
      <c r="AS1621" s="465" t="str">
        <f t="shared" si="930"/>
        <v/>
      </c>
      <c r="AT1621" s="465" t="str">
        <f t="shared" si="931"/>
        <v/>
      </c>
      <c r="AU1621" s="466" t="str">
        <f t="shared" si="932"/>
        <v/>
      </c>
      <c r="AV1621" s="467" t="str">
        <f t="shared" si="933"/>
        <v/>
      </c>
      <c r="AW1621" s="467" t="str">
        <f t="shared" si="934"/>
        <v/>
      </c>
      <c r="AX1621" s="467" t="str">
        <f t="shared" si="935"/>
        <v/>
      </c>
      <c r="AY1621" s="467" t="str">
        <f t="shared" si="936"/>
        <v/>
      </c>
      <c r="AZ1621" s="467" t="str">
        <f t="shared" si="937"/>
        <v/>
      </c>
      <c r="BA1621" s="468" t="str">
        <f>IF(AS1621="","",IF(OR(AU1621="",AU1621="-"),"－",IF(OR(AZ1621=8,AZ1621=9),"",IF(OR(AW1621=3,AW1621=4,AW1621=5,AW1621=6),VLOOKUP(AU1621,INDEX((係数_バス貨物_ガソリン,係数_バス貨物_CNG,係数_バス貨物_軽油,係数_バス貨物_メタノール,係数_バス貨物_LPG),MATCH(AY1621,【参考】排出係数!$AI$4:$AI$671,1),1,BE1621):INDEX((係数_バス貨物_ガソリン,係数_バス貨物_CNG,係数_バス貨物_軽油,係数_バス貨物_メタノール,係数_バス貨物_LPG),MATCH(AY1621+1,【参考】排出係数!$AI$4:$AI$671,1)-1,5,BE1621),2,FALSE),IF(OR(AW1621=1,AW1621=2),VLOOKUP(AU1621,INDEX((係数_乗用_ガソリン,係数_乗用_CNG,係数_乗用_軽油,係数_乗用_メタノール,係数_乗用_LPG),1,1,BE1621):INDEX((係数_乗用_ガソリン,係数_乗用_CNG,係数_乗用_軽油,係数_乗用_メタノール,係数_乗用_LPG),125,5,BE1621),2,FALSE))))))</f>
        <v/>
      </c>
      <c r="BB1621" s="468" t="str">
        <f>IF(T1621="","",IF(OR(AU1621="",AU1621="-"),"－",IF(OR(AZ1621=8,AZ1621=9),"",IF(OR(AW1621=3,AW1621=4,AW1621=5,AW1621=6),VLOOKUP(AU1621,INDEX((係数_バス貨物_ガソリン,係数_バス貨物_CNG,係数_バス貨物_軽油,係数_バス貨物_メタノール,係数_バス貨物_LPG),MATCH(AY1621,【参考】排出係数!$AI$4:$AI$671,1),1,BE1621):INDEX((係数_バス貨物_ガソリン,係数_バス貨物_CNG,係数_バス貨物_軽油,係数_バス貨物_メタノール,係数_バス貨物_LPG),MATCH(AY1621+1,【参考】排出係数!$AI$4:$AI$671,1)-1,5,BE1621),3,FALSE),IF(OR(AW1621=1,AW1621=2),VLOOKUP(AU1621,INDEX((係数_乗用_ガソリン,係数_乗用_CNG,係数_乗用_軽油,係数_乗用_メタノール,係数_乗用_LPG),1,1,BE1621):INDEX((係数_乗用_ガソリン,係数_乗用_CNG,係数_乗用_軽油,係数_乗用_メタノール,係数_乗用_LPG),125,5,BE1621),3,FALSE))))))</f>
        <v/>
      </c>
      <c r="BC1621" s="467" t="str">
        <f t="shared" si="938"/>
        <v/>
      </c>
      <c r="BD1621" s="567" t="str">
        <f t="shared" si="939"/>
        <v/>
      </c>
      <c r="BE1621" s="467" t="str">
        <f t="shared" si="940"/>
        <v/>
      </c>
      <c r="BF1621" s="469" t="str">
        <f t="shared" ca="1" si="941"/>
        <v/>
      </c>
      <c r="BG1621" s="469" t="str">
        <f t="shared" ca="1" si="942"/>
        <v/>
      </c>
      <c r="BH1621" s="467" t="str">
        <f t="shared" si="943"/>
        <v/>
      </c>
      <c r="BI1621" s="467" t="str">
        <f t="shared" ca="1" si="944"/>
        <v/>
      </c>
      <c r="BJ1621" s="469" t="str">
        <f t="shared" si="945"/>
        <v/>
      </c>
      <c r="BK1621" s="470" t="str">
        <f t="shared" si="929"/>
        <v/>
      </c>
      <c r="BL1621" s="775" t="str">
        <f t="shared" si="946"/>
        <v/>
      </c>
      <c r="BM1621" s="775" t="str">
        <f t="shared" si="947"/>
        <v/>
      </c>
    </row>
    <row r="1622" spans="1:65">
      <c r="A1622" s="473">
        <v>1566</v>
      </c>
      <c r="B1622" s="132"/>
      <c r="C1622" s="332"/>
      <c r="D1622" s="333"/>
      <c r="E1622" s="333"/>
      <c r="F1622" s="334"/>
      <c r="G1622" s="337"/>
      <c r="H1622" s="131"/>
      <c r="I1622" s="337"/>
      <c r="J1622" s="131"/>
      <c r="K1622" s="458" t="str">
        <f t="shared" si="910"/>
        <v/>
      </c>
      <c r="L1622" s="458">
        <f t="shared" si="911"/>
        <v>0</v>
      </c>
      <c r="M1622" s="458">
        <f t="shared" si="912"/>
        <v>0</v>
      </c>
      <c r="N1622" s="459" t="str">
        <f t="shared" si="923"/>
        <v/>
      </c>
      <c r="O1622" s="459" t="str">
        <f t="shared" si="924"/>
        <v/>
      </c>
      <c r="P1622" s="459" t="str">
        <f t="shared" si="925"/>
        <v/>
      </c>
      <c r="Q1622" s="459" t="str">
        <f t="shared" si="926"/>
        <v/>
      </c>
      <c r="R1622" s="459" t="str">
        <f t="shared" si="927"/>
        <v/>
      </c>
      <c r="S1622" s="459" t="str">
        <f t="shared" si="928"/>
        <v/>
      </c>
      <c r="T1622" s="566" t="str">
        <f t="shared" si="913"/>
        <v/>
      </c>
      <c r="U1622" s="702"/>
      <c r="V1622" s="132"/>
      <c r="W1622" s="133"/>
      <c r="X1622" s="134"/>
      <c r="Y1622" s="135"/>
      <c r="Z1622" s="137"/>
      <c r="AA1622" s="136"/>
      <c r="AB1622" s="566" t="str">
        <f t="shared" si="914"/>
        <v/>
      </c>
      <c r="AC1622" s="568" t="str">
        <f t="shared" si="915"/>
        <v/>
      </c>
      <c r="AD1622" s="137"/>
      <c r="AE1622" s="137"/>
      <c r="AF1622" s="138"/>
      <c r="AG1622" s="138"/>
      <c r="AH1622" s="592" t="str">
        <f t="shared" si="916"/>
        <v/>
      </c>
      <c r="AI1622" s="592" t="str">
        <f t="shared" si="917"/>
        <v/>
      </c>
      <c r="AJ1622" s="592" t="str">
        <f t="shared" si="918"/>
        <v/>
      </c>
      <c r="AK1622" s="460" t="str">
        <f>IF(AU1622="","",IF(OR(AZ1622=8,AZ1622=9),0,IF(OR(AW1622=3,AW1622=4,AW1622=5,AW1622=6),IF(LEFT(BF1622,1)="1",INDEX(係数_NOX・PM低減,MATCH(AY1622,【参考】排出係数!$AI$801:$AI$804,1),1),VLOOKUP(AU1622,INDEX((係数_バス貨物_ガソリン,係数_バス貨物_CNG,係数_バス貨物_軽油,係数_バス貨物_メタノール,係数_バス貨物_LPG),MATCH(AY1622,【参考】排出係数!$AI$4:$AI$671,1),1,BE1622):INDEX((係数_バス貨物_ガソリン,係数_バス貨物_CNG,係数_バス貨物_軽油,係数_バス貨物_メタノール,係数_バス貨物_LPG),MATCH(AY1622+1,【参考】排出係数!$AI$4:$AI$671,1)-1,5,BE1622),4,FALSE)),IF(AND(BE1622=3,LEFT(BF1622,1)="1"),0.48,VLOOKUP(AU1622,INDEX((係数_乗用_ガソリン,係数_乗用_CNG,係数_乗用_軽油,係数_乗用_メタノール,係数_乗用_LPG),1,1,BE1622):INDEX((係数_乗用_ガソリン,係数_乗用_CNG,係数_乗用_軽油,係数_乗用_メタノール,係数_乗用_LPG),125,5,BE1622),4,FALSE)))))</f>
        <v/>
      </c>
      <c r="AL1622" s="461" t="str">
        <f t="shared" si="919"/>
        <v/>
      </c>
      <c r="AM1622" s="460" t="str">
        <f>IF(AU1622="","",IF(OR(AZ1622=8,AZ1622=9),0,IF(OR(AW1622=3,AW1622=4,AW1622=5,AW1622=6),IF(LEFT(BH1622,1)="1",INDEX(係数_PM低減,MATCH(AY1622,【参考】排出係数!$AI$801:$AI$804,1),MATCH(BI1622,【参考】排出係数!$AL$798:$AO$798,1)),VLOOKUP(AU1622,INDEX((係数_バス貨物_ガソリン,係数_バス貨物_CNG,係数_バス貨物_軽油,係数_バス貨物_メタノール,係数_バス貨物_LPG),MATCH(AY1622,【参考】排出係数!$AI$4:$AI$671,1),1,BE1622):INDEX((係数_バス貨物_ガソリン,係数_バス貨物_CNG,係数_バス貨物_軽油,係数_バス貨物_メタノール,係数_バス貨物_LPG),MATCH(AY1622+1,【参考】排出係数!$AI$4:$AI$671,1)-1,5,BE1622),5,FALSE)),IF(AND(BE1622=3,LEFT(BF1622,1)="1"),0.055,VLOOKUP(AU1622,INDEX((係数_乗用_ガソリン,係数_乗用_CNG,係数_乗用_軽油,係数_乗用_メタノール,係数_乗用_LPG),1,1,BE1622):INDEX((係数_乗用_ガソリン,係数_乗用_CNG,係数_乗用_軽油,係数_乗用_メタノール,係数_乗用_LPG),125,5,BE1622),5,FALSE)))))</f>
        <v/>
      </c>
      <c r="AN1622" s="461" t="str">
        <f t="shared" si="920"/>
        <v/>
      </c>
      <c r="AO1622" s="462" t="str">
        <f t="shared" si="921"/>
        <v/>
      </c>
      <c r="AP1622" s="463" t="str">
        <f t="shared" si="922"/>
        <v/>
      </c>
      <c r="AQ1622" s="464"/>
      <c r="AR1622" s="619"/>
      <c r="AS1622" s="465" t="str">
        <f t="shared" si="930"/>
        <v/>
      </c>
      <c r="AT1622" s="465" t="str">
        <f t="shared" si="931"/>
        <v/>
      </c>
      <c r="AU1622" s="466" t="str">
        <f t="shared" si="932"/>
        <v/>
      </c>
      <c r="AV1622" s="467" t="str">
        <f t="shared" si="933"/>
        <v/>
      </c>
      <c r="AW1622" s="467" t="str">
        <f t="shared" si="934"/>
        <v/>
      </c>
      <c r="AX1622" s="467" t="str">
        <f t="shared" si="935"/>
        <v/>
      </c>
      <c r="AY1622" s="467" t="str">
        <f t="shared" si="936"/>
        <v/>
      </c>
      <c r="AZ1622" s="467" t="str">
        <f t="shared" si="937"/>
        <v/>
      </c>
      <c r="BA1622" s="468" t="str">
        <f>IF(AS1622="","",IF(OR(AU1622="",AU1622="-"),"－",IF(OR(AZ1622=8,AZ1622=9),"",IF(OR(AW1622=3,AW1622=4,AW1622=5,AW1622=6),VLOOKUP(AU1622,INDEX((係数_バス貨物_ガソリン,係数_バス貨物_CNG,係数_バス貨物_軽油,係数_バス貨物_メタノール,係数_バス貨物_LPG),MATCH(AY1622,【参考】排出係数!$AI$4:$AI$671,1),1,BE1622):INDEX((係数_バス貨物_ガソリン,係数_バス貨物_CNG,係数_バス貨物_軽油,係数_バス貨物_メタノール,係数_バス貨物_LPG),MATCH(AY1622+1,【参考】排出係数!$AI$4:$AI$671,1)-1,5,BE1622),2,FALSE),IF(OR(AW1622=1,AW1622=2),VLOOKUP(AU1622,INDEX((係数_乗用_ガソリン,係数_乗用_CNG,係数_乗用_軽油,係数_乗用_メタノール,係数_乗用_LPG),1,1,BE1622):INDEX((係数_乗用_ガソリン,係数_乗用_CNG,係数_乗用_軽油,係数_乗用_メタノール,係数_乗用_LPG),125,5,BE1622),2,FALSE))))))</f>
        <v/>
      </c>
      <c r="BB1622" s="468" t="str">
        <f>IF(T1622="","",IF(OR(AU1622="",AU1622="-"),"－",IF(OR(AZ1622=8,AZ1622=9),"",IF(OR(AW1622=3,AW1622=4,AW1622=5,AW1622=6),VLOOKUP(AU1622,INDEX((係数_バス貨物_ガソリン,係数_バス貨物_CNG,係数_バス貨物_軽油,係数_バス貨物_メタノール,係数_バス貨物_LPG),MATCH(AY1622,【参考】排出係数!$AI$4:$AI$671,1),1,BE1622):INDEX((係数_バス貨物_ガソリン,係数_バス貨物_CNG,係数_バス貨物_軽油,係数_バス貨物_メタノール,係数_バス貨物_LPG),MATCH(AY1622+1,【参考】排出係数!$AI$4:$AI$671,1)-1,5,BE1622),3,FALSE),IF(OR(AW1622=1,AW1622=2),VLOOKUP(AU1622,INDEX((係数_乗用_ガソリン,係数_乗用_CNG,係数_乗用_軽油,係数_乗用_メタノール,係数_乗用_LPG),1,1,BE1622):INDEX((係数_乗用_ガソリン,係数_乗用_CNG,係数_乗用_軽油,係数_乗用_メタノール,係数_乗用_LPG),125,5,BE1622),3,FALSE))))))</f>
        <v/>
      </c>
      <c r="BC1622" s="467" t="str">
        <f t="shared" si="938"/>
        <v/>
      </c>
      <c r="BD1622" s="567" t="str">
        <f t="shared" si="939"/>
        <v/>
      </c>
      <c r="BE1622" s="467" t="str">
        <f t="shared" si="940"/>
        <v/>
      </c>
      <c r="BF1622" s="469" t="str">
        <f t="shared" ca="1" si="941"/>
        <v/>
      </c>
      <c r="BG1622" s="469" t="str">
        <f t="shared" ca="1" si="942"/>
        <v/>
      </c>
      <c r="BH1622" s="467" t="str">
        <f t="shared" si="943"/>
        <v/>
      </c>
      <c r="BI1622" s="467" t="str">
        <f t="shared" ca="1" si="944"/>
        <v/>
      </c>
      <c r="BJ1622" s="469" t="str">
        <f t="shared" si="945"/>
        <v/>
      </c>
      <c r="BK1622" s="470" t="str">
        <f t="shared" si="929"/>
        <v/>
      </c>
      <c r="BL1622" s="775" t="str">
        <f t="shared" si="946"/>
        <v/>
      </c>
      <c r="BM1622" s="775" t="str">
        <f t="shared" si="947"/>
        <v/>
      </c>
    </row>
    <row r="1623" spans="1:65">
      <c r="A1623" s="473">
        <v>1567</v>
      </c>
      <c r="B1623" s="132"/>
      <c r="C1623" s="332"/>
      <c r="D1623" s="333"/>
      <c r="E1623" s="333"/>
      <c r="F1623" s="334"/>
      <c r="G1623" s="337"/>
      <c r="H1623" s="131"/>
      <c r="I1623" s="337"/>
      <c r="J1623" s="131"/>
      <c r="K1623" s="458" t="str">
        <f t="shared" si="910"/>
        <v/>
      </c>
      <c r="L1623" s="458">
        <f t="shared" si="911"/>
        <v>0</v>
      </c>
      <c r="M1623" s="458">
        <f t="shared" si="912"/>
        <v>0</v>
      </c>
      <c r="N1623" s="459" t="str">
        <f t="shared" si="923"/>
        <v/>
      </c>
      <c r="O1623" s="459" t="str">
        <f t="shared" si="924"/>
        <v/>
      </c>
      <c r="P1623" s="459" t="str">
        <f t="shared" si="925"/>
        <v/>
      </c>
      <c r="Q1623" s="459" t="str">
        <f t="shared" si="926"/>
        <v/>
      </c>
      <c r="R1623" s="459" t="str">
        <f t="shared" si="927"/>
        <v/>
      </c>
      <c r="S1623" s="459" t="str">
        <f t="shared" si="928"/>
        <v/>
      </c>
      <c r="T1623" s="566" t="str">
        <f t="shared" si="913"/>
        <v/>
      </c>
      <c r="U1623" s="702"/>
      <c r="V1623" s="132"/>
      <c r="W1623" s="133"/>
      <c r="X1623" s="134"/>
      <c r="Y1623" s="135"/>
      <c r="Z1623" s="137"/>
      <c r="AA1623" s="136"/>
      <c r="AB1623" s="566" t="str">
        <f t="shared" si="914"/>
        <v/>
      </c>
      <c r="AC1623" s="568" t="str">
        <f t="shared" si="915"/>
        <v/>
      </c>
      <c r="AD1623" s="137"/>
      <c r="AE1623" s="137"/>
      <c r="AF1623" s="138"/>
      <c r="AG1623" s="138"/>
      <c r="AH1623" s="592" t="str">
        <f t="shared" si="916"/>
        <v/>
      </c>
      <c r="AI1623" s="592" t="str">
        <f t="shared" si="917"/>
        <v/>
      </c>
      <c r="AJ1623" s="592" t="str">
        <f t="shared" si="918"/>
        <v/>
      </c>
      <c r="AK1623" s="460" t="str">
        <f>IF(AU1623="","",IF(OR(AZ1623=8,AZ1623=9),0,IF(OR(AW1623=3,AW1623=4,AW1623=5,AW1623=6),IF(LEFT(BF1623,1)="1",INDEX(係数_NOX・PM低減,MATCH(AY1623,【参考】排出係数!$AI$801:$AI$804,1),1),VLOOKUP(AU1623,INDEX((係数_バス貨物_ガソリン,係数_バス貨物_CNG,係数_バス貨物_軽油,係数_バス貨物_メタノール,係数_バス貨物_LPG),MATCH(AY1623,【参考】排出係数!$AI$4:$AI$671,1),1,BE1623):INDEX((係数_バス貨物_ガソリン,係数_バス貨物_CNG,係数_バス貨物_軽油,係数_バス貨物_メタノール,係数_バス貨物_LPG),MATCH(AY1623+1,【参考】排出係数!$AI$4:$AI$671,1)-1,5,BE1623),4,FALSE)),IF(AND(BE1623=3,LEFT(BF1623,1)="1"),0.48,VLOOKUP(AU1623,INDEX((係数_乗用_ガソリン,係数_乗用_CNG,係数_乗用_軽油,係数_乗用_メタノール,係数_乗用_LPG),1,1,BE1623):INDEX((係数_乗用_ガソリン,係数_乗用_CNG,係数_乗用_軽油,係数_乗用_メタノール,係数_乗用_LPG),125,5,BE1623),4,FALSE)))))</f>
        <v/>
      </c>
      <c r="AL1623" s="461" t="str">
        <f t="shared" si="919"/>
        <v/>
      </c>
      <c r="AM1623" s="460" t="str">
        <f>IF(AU1623="","",IF(OR(AZ1623=8,AZ1623=9),0,IF(OR(AW1623=3,AW1623=4,AW1623=5,AW1623=6),IF(LEFT(BH1623,1)="1",INDEX(係数_PM低減,MATCH(AY1623,【参考】排出係数!$AI$801:$AI$804,1),MATCH(BI1623,【参考】排出係数!$AL$798:$AO$798,1)),VLOOKUP(AU1623,INDEX((係数_バス貨物_ガソリン,係数_バス貨物_CNG,係数_バス貨物_軽油,係数_バス貨物_メタノール,係数_バス貨物_LPG),MATCH(AY1623,【参考】排出係数!$AI$4:$AI$671,1),1,BE1623):INDEX((係数_バス貨物_ガソリン,係数_バス貨物_CNG,係数_バス貨物_軽油,係数_バス貨物_メタノール,係数_バス貨物_LPG),MATCH(AY1623+1,【参考】排出係数!$AI$4:$AI$671,1)-1,5,BE1623),5,FALSE)),IF(AND(BE1623=3,LEFT(BF1623,1)="1"),0.055,VLOOKUP(AU1623,INDEX((係数_乗用_ガソリン,係数_乗用_CNG,係数_乗用_軽油,係数_乗用_メタノール,係数_乗用_LPG),1,1,BE1623):INDEX((係数_乗用_ガソリン,係数_乗用_CNG,係数_乗用_軽油,係数_乗用_メタノール,係数_乗用_LPG),125,5,BE1623),5,FALSE)))))</f>
        <v/>
      </c>
      <c r="AN1623" s="461" t="str">
        <f t="shared" si="920"/>
        <v/>
      </c>
      <c r="AO1623" s="462" t="str">
        <f t="shared" si="921"/>
        <v/>
      </c>
      <c r="AP1623" s="463" t="str">
        <f t="shared" si="922"/>
        <v/>
      </c>
      <c r="AQ1623" s="464"/>
      <c r="AR1623" s="619"/>
      <c r="AS1623" s="465" t="str">
        <f t="shared" si="930"/>
        <v/>
      </c>
      <c r="AT1623" s="465" t="str">
        <f t="shared" si="931"/>
        <v/>
      </c>
      <c r="AU1623" s="466" t="str">
        <f t="shared" si="932"/>
        <v/>
      </c>
      <c r="AV1623" s="467" t="str">
        <f t="shared" si="933"/>
        <v/>
      </c>
      <c r="AW1623" s="467" t="str">
        <f t="shared" si="934"/>
        <v/>
      </c>
      <c r="AX1623" s="467" t="str">
        <f t="shared" si="935"/>
        <v/>
      </c>
      <c r="AY1623" s="467" t="str">
        <f t="shared" si="936"/>
        <v/>
      </c>
      <c r="AZ1623" s="467" t="str">
        <f t="shared" si="937"/>
        <v/>
      </c>
      <c r="BA1623" s="468" t="str">
        <f>IF(AS1623="","",IF(OR(AU1623="",AU1623="-"),"－",IF(OR(AZ1623=8,AZ1623=9),"",IF(OR(AW1623=3,AW1623=4,AW1623=5,AW1623=6),VLOOKUP(AU1623,INDEX((係数_バス貨物_ガソリン,係数_バス貨物_CNG,係数_バス貨物_軽油,係数_バス貨物_メタノール,係数_バス貨物_LPG),MATCH(AY1623,【参考】排出係数!$AI$4:$AI$671,1),1,BE1623):INDEX((係数_バス貨物_ガソリン,係数_バス貨物_CNG,係数_バス貨物_軽油,係数_バス貨物_メタノール,係数_バス貨物_LPG),MATCH(AY1623+1,【参考】排出係数!$AI$4:$AI$671,1)-1,5,BE1623),2,FALSE),IF(OR(AW1623=1,AW1623=2),VLOOKUP(AU1623,INDEX((係数_乗用_ガソリン,係数_乗用_CNG,係数_乗用_軽油,係数_乗用_メタノール,係数_乗用_LPG),1,1,BE1623):INDEX((係数_乗用_ガソリン,係数_乗用_CNG,係数_乗用_軽油,係数_乗用_メタノール,係数_乗用_LPG),125,5,BE1623),2,FALSE))))))</f>
        <v/>
      </c>
      <c r="BB1623" s="468" t="str">
        <f>IF(T1623="","",IF(OR(AU1623="",AU1623="-"),"－",IF(OR(AZ1623=8,AZ1623=9),"",IF(OR(AW1623=3,AW1623=4,AW1623=5,AW1623=6),VLOOKUP(AU1623,INDEX((係数_バス貨物_ガソリン,係数_バス貨物_CNG,係数_バス貨物_軽油,係数_バス貨物_メタノール,係数_バス貨物_LPG),MATCH(AY1623,【参考】排出係数!$AI$4:$AI$671,1),1,BE1623):INDEX((係数_バス貨物_ガソリン,係数_バス貨物_CNG,係数_バス貨物_軽油,係数_バス貨物_メタノール,係数_バス貨物_LPG),MATCH(AY1623+1,【参考】排出係数!$AI$4:$AI$671,1)-1,5,BE1623),3,FALSE),IF(OR(AW1623=1,AW1623=2),VLOOKUP(AU1623,INDEX((係数_乗用_ガソリン,係数_乗用_CNG,係数_乗用_軽油,係数_乗用_メタノール,係数_乗用_LPG),1,1,BE1623):INDEX((係数_乗用_ガソリン,係数_乗用_CNG,係数_乗用_軽油,係数_乗用_メタノール,係数_乗用_LPG),125,5,BE1623),3,FALSE))))))</f>
        <v/>
      </c>
      <c r="BC1623" s="467" t="str">
        <f t="shared" si="938"/>
        <v/>
      </c>
      <c r="BD1623" s="567" t="str">
        <f t="shared" si="939"/>
        <v/>
      </c>
      <c r="BE1623" s="467" t="str">
        <f t="shared" si="940"/>
        <v/>
      </c>
      <c r="BF1623" s="469" t="str">
        <f t="shared" ca="1" si="941"/>
        <v/>
      </c>
      <c r="BG1623" s="469" t="str">
        <f t="shared" ca="1" si="942"/>
        <v/>
      </c>
      <c r="BH1623" s="467" t="str">
        <f t="shared" si="943"/>
        <v/>
      </c>
      <c r="BI1623" s="467" t="str">
        <f t="shared" ca="1" si="944"/>
        <v/>
      </c>
      <c r="BJ1623" s="469" t="str">
        <f t="shared" si="945"/>
        <v/>
      </c>
      <c r="BK1623" s="470" t="str">
        <f t="shared" si="929"/>
        <v/>
      </c>
      <c r="BL1623" s="775" t="str">
        <f t="shared" si="946"/>
        <v/>
      </c>
      <c r="BM1623" s="775" t="str">
        <f t="shared" si="947"/>
        <v/>
      </c>
    </row>
    <row r="1624" spans="1:65">
      <c r="A1624" s="473">
        <v>1568</v>
      </c>
      <c r="B1624" s="132"/>
      <c r="C1624" s="332"/>
      <c r="D1624" s="333"/>
      <c r="E1624" s="333"/>
      <c r="F1624" s="334"/>
      <c r="G1624" s="337"/>
      <c r="H1624" s="131"/>
      <c r="I1624" s="337"/>
      <c r="J1624" s="131"/>
      <c r="K1624" s="458" t="str">
        <f t="shared" si="910"/>
        <v/>
      </c>
      <c r="L1624" s="458">
        <f t="shared" si="911"/>
        <v>0</v>
      </c>
      <c r="M1624" s="458">
        <f t="shared" si="912"/>
        <v>0</v>
      </c>
      <c r="N1624" s="459" t="str">
        <f t="shared" si="923"/>
        <v/>
      </c>
      <c r="O1624" s="459" t="str">
        <f t="shared" si="924"/>
        <v/>
      </c>
      <c r="P1624" s="459" t="str">
        <f t="shared" si="925"/>
        <v/>
      </c>
      <c r="Q1624" s="459" t="str">
        <f t="shared" si="926"/>
        <v/>
      </c>
      <c r="R1624" s="459" t="str">
        <f t="shared" si="927"/>
        <v/>
      </c>
      <c r="S1624" s="459" t="str">
        <f t="shared" si="928"/>
        <v/>
      </c>
      <c r="T1624" s="566" t="str">
        <f t="shared" si="913"/>
        <v/>
      </c>
      <c r="U1624" s="702"/>
      <c r="V1624" s="132"/>
      <c r="W1624" s="133"/>
      <c r="X1624" s="134"/>
      <c r="Y1624" s="135"/>
      <c r="Z1624" s="137"/>
      <c r="AA1624" s="136"/>
      <c r="AB1624" s="566" t="str">
        <f t="shared" si="914"/>
        <v/>
      </c>
      <c r="AC1624" s="568" t="str">
        <f t="shared" si="915"/>
        <v/>
      </c>
      <c r="AD1624" s="137"/>
      <c r="AE1624" s="137"/>
      <c r="AF1624" s="138"/>
      <c r="AG1624" s="138"/>
      <c r="AH1624" s="592" t="str">
        <f t="shared" si="916"/>
        <v/>
      </c>
      <c r="AI1624" s="592" t="str">
        <f t="shared" si="917"/>
        <v/>
      </c>
      <c r="AJ1624" s="592" t="str">
        <f t="shared" si="918"/>
        <v/>
      </c>
      <c r="AK1624" s="460" t="str">
        <f>IF(AU1624="","",IF(OR(AZ1624=8,AZ1624=9),0,IF(OR(AW1624=3,AW1624=4,AW1624=5,AW1624=6),IF(LEFT(BF1624,1)="1",INDEX(係数_NOX・PM低減,MATCH(AY1624,【参考】排出係数!$AI$801:$AI$804,1),1),VLOOKUP(AU1624,INDEX((係数_バス貨物_ガソリン,係数_バス貨物_CNG,係数_バス貨物_軽油,係数_バス貨物_メタノール,係数_バス貨物_LPG),MATCH(AY1624,【参考】排出係数!$AI$4:$AI$671,1),1,BE1624):INDEX((係数_バス貨物_ガソリン,係数_バス貨物_CNG,係数_バス貨物_軽油,係数_バス貨物_メタノール,係数_バス貨物_LPG),MATCH(AY1624+1,【参考】排出係数!$AI$4:$AI$671,1)-1,5,BE1624),4,FALSE)),IF(AND(BE1624=3,LEFT(BF1624,1)="1"),0.48,VLOOKUP(AU1624,INDEX((係数_乗用_ガソリン,係数_乗用_CNG,係数_乗用_軽油,係数_乗用_メタノール,係数_乗用_LPG),1,1,BE1624):INDEX((係数_乗用_ガソリン,係数_乗用_CNG,係数_乗用_軽油,係数_乗用_メタノール,係数_乗用_LPG),125,5,BE1624),4,FALSE)))))</f>
        <v/>
      </c>
      <c r="AL1624" s="461" t="str">
        <f t="shared" si="919"/>
        <v/>
      </c>
      <c r="AM1624" s="460" t="str">
        <f>IF(AU1624="","",IF(OR(AZ1624=8,AZ1624=9),0,IF(OR(AW1624=3,AW1624=4,AW1624=5,AW1624=6),IF(LEFT(BH1624,1)="1",INDEX(係数_PM低減,MATCH(AY1624,【参考】排出係数!$AI$801:$AI$804,1),MATCH(BI1624,【参考】排出係数!$AL$798:$AO$798,1)),VLOOKUP(AU1624,INDEX((係数_バス貨物_ガソリン,係数_バス貨物_CNG,係数_バス貨物_軽油,係数_バス貨物_メタノール,係数_バス貨物_LPG),MATCH(AY1624,【参考】排出係数!$AI$4:$AI$671,1),1,BE1624):INDEX((係数_バス貨物_ガソリン,係数_バス貨物_CNG,係数_バス貨物_軽油,係数_バス貨物_メタノール,係数_バス貨物_LPG),MATCH(AY1624+1,【参考】排出係数!$AI$4:$AI$671,1)-1,5,BE1624),5,FALSE)),IF(AND(BE1624=3,LEFT(BF1624,1)="1"),0.055,VLOOKUP(AU1624,INDEX((係数_乗用_ガソリン,係数_乗用_CNG,係数_乗用_軽油,係数_乗用_メタノール,係数_乗用_LPG),1,1,BE1624):INDEX((係数_乗用_ガソリン,係数_乗用_CNG,係数_乗用_軽油,係数_乗用_メタノール,係数_乗用_LPG),125,5,BE1624),5,FALSE)))))</f>
        <v/>
      </c>
      <c r="AN1624" s="461" t="str">
        <f t="shared" si="920"/>
        <v/>
      </c>
      <c r="AO1624" s="462" t="str">
        <f t="shared" si="921"/>
        <v/>
      </c>
      <c r="AP1624" s="463" t="str">
        <f t="shared" si="922"/>
        <v/>
      </c>
      <c r="AQ1624" s="464"/>
      <c r="AR1624" s="619"/>
      <c r="AS1624" s="465" t="str">
        <f t="shared" si="930"/>
        <v/>
      </c>
      <c r="AT1624" s="465" t="str">
        <f t="shared" si="931"/>
        <v/>
      </c>
      <c r="AU1624" s="466" t="str">
        <f t="shared" si="932"/>
        <v/>
      </c>
      <c r="AV1624" s="467" t="str">
        <f t="shared" si="933"/>
        <v/>
      </c>
      <c r="AW1624" s="467" t="str">
        <f t="shared" si="934"/>
        <v/>
      </c>
      <c r="AX1624" s="467" t="str">
        <f t="shared" si="935"/>
        <v/>
      </c>
      <c r="AY1624" s="467" t="str">
        <f t="shared" si="936"/>
        <v/>
      </c>
      <c r="AZ1624" s="467" t="str">
        <f t="shared" si="937"/>
        <v/>
      </c>
      <c r="BA1624" s="468" t="str">
        <f>IF(AS1624="","",IF(OR(AU1624="",AU1624="-"),"－",IF(OR(AZ1624=8,AZ1624=9),"",IF(OR(AW1624=3,AW1624=4,AW1624=5,AW1624=6),VLOOKUP(AU1624,INDEX((係数_バス貨物_ガソリン,係数_バス貨物_CNG,係数_バス貨物_軽油,係数_バス貨物_メタノール,係数_バス貨物_LPG),MATCH(AY1624,【参考】排出係数!$AI$4:$AI$671,1),1,BE1624):INDEX((係数_バス貨物_ガソリン,係数_バス貨物_CNG,係数_バス貨物_軽油,係数_バス貨物_メタノール,係数_バス貨物_LPG),MATCH(AY1624+1,【参考】排出係数!$AI$4:$AI$671,1)-1,5,BE1624),2,FALSE),IF(OR(AW1624=1,AW1624=2),VLOOKUP(AU1624,INDEX((係数_乗用_ガソリン,係数_乗用_CNG,係数_乗用_軽油,係数_乗用_メタノール,係数_乗用_LPG),1,1,BE1624):INDEX((係数_乗用_ガソリン,係数_乗用_CNG,係数_乗用_軽油,係数_乗用_メタノール,係数_乗用_LPG),125,5,BE1624),2,FALSE))))))</f>
        <v/>
      </c>
      <c r="BB1624" s="468" t="str">
        <f>IF(T1624="","",IF(OR(AU1624="",AU1624="-"),"－",IF(OR(AZ1624=8,AZ1624=9),"",IF(OR(AW1624=3,AW1624=4,AW1624=5,AW1624=6),VLOOKUP(AU1624,INDEX((係数_バス貨物_ガソリン,係数_バス貨物_CNG,係数_バス貨物_軽油,係数_バス貨物_メタノール,係数_バス貨物_LPG),MATCH(AY1624,【参考】排出係数!$AI$4:$AI$671,1),1,BE1624):INDEX((係数_バス貨物_ガソリン,係数_バス貨物_CNG,係数_バス貨物_軽油,係数_バス貨物_メタノール,係数_バス貨物_LPG),MATCH(AY1624+1,【参考】排出係数!$AI$4:$AI$671,1)-1,5,BE1624),3,FALSE),IF(OR(AW1624=1,AW1624=2),VLOOKUP(AU1624,INDEX((係数_乗用_ガソリン,係数_乗用_CNG,係数_乗用_軽油,係数_乗用_メタノール,係数_乗用_LPG),1,1,BE1624):INDEX((係数_乗用_ガソリン,係数_乗用_CNG,係数_乗用_軽油,係数_乗用_メタノール,係数_乗用_LPG),125,5,BE1624),3,FALSE))))))</f>
        <v/>
      </c>
      <c r="BC1624" s="467" t="str">
        <f t="shared" si="938"/>
        <v/>
      </c>
      <c r="BD1624" s="567" t="str">
        <f t="shared" si="939"/>
        <v/>
      </c>
      <c r="BE1624" s="467" t="str">
        <f t="shared" si="940"/>
        <v/>
      </c>
      <c r="BF1624" s="469" t="str">
        <f t="shared" ca="1" si="941"/>
        <v/>
      </c>
      <c r="BG1624" s="469" t="str">
        <f t="shared" ca="1" si="942"/>
        <v/>
      </c>
      <c r="BH1624" s="467" t="str">
        <f t="shared" si="943"/>
        <v/>
      </c>
      <c r="BI1624" s="467" t="str">
        <f t="shared" ca="1" si="944"/>
        <v/>
      </c>
      <c r="BJ1624" s="469" t="str">
        <f t="shared" si="945"/>
        <v/>
      </c>
      <c r="BK1624" s="470" t="str">
        <f t="shared" si="929"/>
        <v/>
      </c>
      <c r="BL1624" s="775" t="str">
        <f t="shared" si="946"/>
        <v/>
      </c>
      <c r="BM1624" s="775" t="str">
        <f t="shared" si="947"/>
        <v/>
      </c>
    </row>
    <row r="1625" spans="1:65">
      <c r="A1625" s="473">
        <v>1569</v>
      </c>
      <c r="B1625" s="132"/>
      <c r="C1625" s="332"/>
      <c r="D1625" s="333"/>
      <c r="E1625" s="333"/>
      <c r="F1625" s="334"/>
      <c r="G1625" s="337"/>
      <c r="H1625" s="131"/>
      <c r="I1625" s="337"/>
      <c r="J1625" s="131"/>
      <c r="K1625" s="458" t="str">
        <f t="shared" si="910"/>
        <v/>
      </c>
      <c r="L1625" s="458">
        <f t="shared" si="911"/>
        <v>0</v>
      </c>
      <c r="M1625" s="458">
        <f t="shared" si="912"/>
        <v>0</v>
      </c>
      <c r="N1625" s="459" t="str">
        <f t="shared" si="923"/>
        <v/>
      </c>
      <c r="O1625" s="459" t="str">
        <f t="shared" si="924"/>
        <v/>
      </c>
      <c r="P1625" s="459" t="str">
        <f t="shared" si="925"/>
        <v/>
      </c>
      <c r="Q1625" s="459" t="str">
        <f t="shared" si="926"/>
        <v/>
      </c>
      <c r="R1625" s="459" t="str">
        <f t="shared" si="927"/>
        <v/>
      </c>
      <c r="S1625" s="459" t="str">
        <f t="shared" si="928"/>
        <v/>
      </c>
      <c r="T1625" s="566" t="str">
        <f t="shared" si="913"/>
        <v/>
      </c>
      <c r="U1625" s="702"/>
      <c r="V1625" s="132"/>
      <c r="W1625" s="133"/>
      <c r="X1625" s="134"/>
      <c r="Y1625" s="135"/>
      <c r="Z1625" s="137"/>
      <c r="AA1625" s="136"/>
      <c r="AB1625" s="566" t="str">
        <f t="shared" si="914"/>
        <v/>
      </c>
      <c r="AC1625" s="568" t="str">
        <f t="shared" si="915"/>
        <v/>
      </c>
      <c r="AD1625" s="137"/>
      <c r="AE1625" s="137"/>
      <c r="AF1625" s="138"/>
      <c r="AG1625" s="138"/>
      <c r="AH1625" s="592" t="str">
        <f t="shared" si="916"/>
        <v/>
      </c>
      <c r="AI1625" s="592" t="str">
        <f t="shared" si="917"/>
        <v/>
      </c>
      <c r="AJ1625" s="592" t="str">
        <f t="shared" si="918"/>
        <v/>
      </c>
      <c r="AK1625" s="460" t="str">
        <f>IF(AU1625="","",IF(OR(AZ1625=8,AZ1625=9),0,IF(OR(AW1625=3,AW1625=4,AW1625=5,AW1625=6),IF(LEFT(BF1625,1)="1",INDEX(係数_NOX・PM低減,MATCH(AY1625,【参考】排出係数!$AI$801:$AI$804,1),1),VLOOKUP(AU1625,INDEX((係数_バス貨物_ガソリン,係数_バス貨物_CNG,係数_バス貨物_軽油,係数_バス貨物_メタノール,係数_バス貨物_LPG),MATCH(AY1625,【参考】排出係数!$AI$4:$AI$671,1),1,BE1625):INDEX((係数_バス貨物_ガソリン,係数_バス貨物_CNG,係数_バス貨物_軽油,係数_バス貨物_メタノール,係数_バス貨物_LPG),MATCH(AY1625+1,【参考】排出係数!$AI$4:$AI$671,1)-1,5,BE1625),4,FALSE)),IF(AND(BE1625=3,LEFT(BF1625,1)="1"),0.48,VLOOKUP(AU1625,INDEX((係数_乗用_ガソリン,係数_乗用_CNG,係数_乗用_軽油,係数_乗用_メタノール,係数_乗用_LPG),1,1,BE1625):INDEX((係数_乗用_ガソリン,係数_乗用_CNG,係数_乗用_軽油,係数_乗用_メタノール,係数_乗用_LPG),125,5,BE1625),4,FALSE)))))</f>
        <v/>
      </c>
      <c r="AL1625" s="461" t="str">
        <f t="shared" si="919"/>
        <v/>
      </c>
      <c r="AM1625" s="460" t="str">
        <f>IF(AU1625="","",IF(OR(AZ1625=8,AZ1625=9),0,IF(OR(AW1625=3,AW1625=4,AW1625=5,AW1625=6),IF(LEFT(BH1625,1)="1",INDEX(係数_PM低減,MATCH(AY1625,【参考】排出係数!$AI$801:$AI$804,1),MATCH(BI1625,【参考】排出係数!$AL$798:$AO$798,1)),VLOOKUP(AU1625,INDEX((係数_バス貨物_ガソリン,係数_バス貨物_CNG,係数_バス貨物_軽油,係数_バス貨物_メタノール,係数_バス貨物_LPG),MATCH(AY1625,【参考】排出係数!$AI$4:$AI$671,1),1,BE1625):INDEX((係数_バス貨物_ガソリン,係数_バス貨物_CNG,係数_バス貨物_軽油,係数_バス貨物_メタノール,係数_バス貨物_LPG),MATCH(AY1625+1,【参考】排出係数!$AI$4:$AI$671,1)-1,5,BE1625),5,FALSE)),IF(AND(BE1625=3,LEFT(BF1625,1)="1"),0.055,VLOOKUP(AU1625,INDEX((係数_乗用_ガソリン,係数_乗用_CNG,係数_乗用_軽油,係数_乗用_メタノール,係数_乗用_LPG),1,1,BE1625):INDEX((係数_乗用_ガソリン,係数_乗用_CNG,係数_乗用_軽油,係数_乗用_メタノール,係数_乗用_LPG),125,5,BE1625),5,FALSE)))))</f>
        <v/>
      </c>
      <c r="AN1625" s="461" t="str">
        <f t="shared" si="920"/>
        <v/>
      </c>
      <c r="AO1625" s="462" t="str">
        <f t="shared" si="921"/>
        <v/>
      </c>
      <c r="AP1625" s="463" t="str">
        <f t="shared" si="922"/>
        <v/>
      </c>
      <c r="AQ1625" s="464"/>
      <c r="AR1625" s="619"/>
      <c r="AS1625" s="465" t="str">
        <f t="shared" si="930"/>
        <v/>
      </c>
      <c r="AT1625" s="465" t="str">
        <f t="shared" si="931"/>
        <v/>
      </c>
      <c r="AU1625" s="466" t="str">
        <f t="shared" si="932"/>
        <v/>
      </c>
      <c r="AV1625" s="467" t="str">
        <f t="shared" si="933"/>
        <v/>
      </c>
      <c r="AW1625" s="467" t="str">
        <f t="shared" si="934"/>
        <v/>
      </c>
      <c r="AX1625" s="467" t="str">
        <f t="shared" si="935"/>
        <v/>
      </c>
      <c r="AY1625" s="467" t="str">
        <f t="shared" si="936"/>
        <v/>
      </c>
      <c r="AZ1625" s="467" t="str">
        <f t="shared" si="937"/>
        <v/>
      </c>
      <c r="BA1625" s="468" t="str">
        <f>IF(AS1625="","",IF(OR(AU1625="",AU1625="-"),"－",IF(OR(AZ1625=8,AZ1625=9),"",IF(OR(AW1625=3,AW1625=4,AW1625=5,AW1625=6),VLOOKUP(AU1625,INDEX((係数_バス貨物_ガソリン,係数_バス貨物_CNG,係数_バス貨物_軽油,係数_バス貨物_メタノール,係数_バス貨物_LPG),MATCH(AY1625,【参考】排出係数!$AI$4:$AI$671,1),1,BE1625):INDEX((係数_バス貨物_ガソリン,係数_バス貨物_CNG,係数_バス貨物_軽油,係数_バス貨物_メタノール,係数_バス貨物_LPG),MATCH(AY1625+1,【参考】排出係数!$AI$4:$AI$671,1)-1,5,BE1625),2,FALSE),IF(OR(AW1625=1,AW1625=2),VLOOKUP(AU1625,INDEX((係数_乗用_ガソリン,係数_乗用_CNG,係数_乗用_軽油,係数_乗用_メタノール,係数_乗用_LPG),1,1,BE1625):INDEX((係数_乗用_ガソリン,係数_乗用_CNG,係数_乗用_軽油,係数_乗用_メタノール,係数_乗用_LPG),125,5,BE1625),2,FALSE))))))</f>
        <v/>
      </c>
      <c r="BB1625" s="468" t="str">
        <f>IF(T1625="","",IF(OR(AU1625="",AU1625="-"),"－",IF(OR(AZ1625=8,AZ1625=9),"",IF(OR(AW1625=3,AW1625=4,AW1625=5,AW1625=6),VLOOKUP(AU1625,INDEX((係数_バス貨物_ガソリン,係数_バス貨物_CNG,係数_バス貨物_軽油,係数_バス貨物_メタノール,係数_バス貨物_LPG),MATCH(AY1625,【参考】排出係数!$AI$4:$AI$671,1),1,BE1625):INDEX((係数_バス貨物_ガソリン,係数_バス貨物_CNG,係数_バス貨物_軽油,係数_バス貨物_メタノール,係数_バス貨物_LPG),MATCH(AY1625+1,【参考】排出係数!$AI$4:$AI$671,1)-1,5,BE1625),3,FALSE),IF(OR(AW1625=1,AW1625=2),VLOOKUP(AU1625,INDEX((係数_乗用_ガソリン,係数_乗用_CNG,係数_乗用_軽油,係数_乗用_メタノール,係数_乗用_LPG),1,1,BE1625):INDEX((係数_乗用_ガソリン,係数_乗用_CNG,係数_乗用_軽油,係数_乗用_メタノール,係数_乗用_LPG),125,5,BE1625),3,FALSE))))))</f>
        <v/>
      </c>
      <c r="BC1625" s="467" t="str">
        <f t="shared" si="938"/>
        <v/>
      </c>
      <c r="BD1625" s="567" t="str">
        <f t="shared" si="939"/>
        <v/>
      </c>
      <c r="BE1625" s="467" t="str">
        <f t="shared" si="940"/>
        <v/>
      </c>
      <c r="BF1625" s="469" t="str">
        <f t="shared" ca="1" si="941"/>
        <v/>
      </c>
      <c r="BG1625" s="469" t="str">
        <f t="shared" ca="1" si="942"/>
        <v/>
      </c>
      <c r="BH1625" s="467" t="str">
        <f t="shared" si="943"/>
        <v/>
      </c>
      <c r="BI1625" s="467" t="str">
        <f t="shared" ca="1" si="944"/>
        <v/>
      </c>
      <c r="BJ1625" s="469" t="str">
        <f t="shared" si="945"/>
        <v/>
      </c>
      <c r="BK1625" s="470" t="str">
        <f t="shared" si="929"/>
        <v/>
      </c>
      <c r="BL1625" s="775" t="str">
        <f t="shared" si="946"/>
        <v/>
      </c>
      <c r="BM1625" s="775" t="str">
        <f t="shared" si="947"/>
        <v/>
      </c>
    </row>
    <row r="1626" spans="1:65">
      <c r="A1626" s="473">
        <v>1570</v>
      </c>
      <c r="B1626" s="132"/>
      <c r="C1626" s="332"/>
      <c r="D1626" s="333"/>
      <c r="E1626" s="333"/>
      <c r="F1626" s="334"/>
      <c r="G1626" s="337"/>
      <c r="H1626" s="131"/>
      <c r="I1626" s="337"/>
      <c r="J1626" s="131"/>
      <c r="K1626" s="458" t="str">
        <f t="shared" si="910"/>
        <v/>
      </c>
      <c r="L1626" s="458">
        <f t="shared" si="911"/>
        <v>0</v>
      </c>
      <c r="M1626" s="458">
        <f t="shared" si="912"/>
        <v>0</v>
      </c>
      <c r="N1626" s="459" t="str">
        <f t="shared" si="923"/>
        <v/>
      </c>
      <c r="O1626" s="459" t="str">
        <f t="shared" si="924"/>
        <v/>
      </c>
      <c r="P1626" s="459" t="str">
        <f t="shared" si="925"/>
        <v/>
      </c>
      <c r="Q1626" s="459" t="str">
        <f t="shared" si="926"/>
        <v/>
      </c>
      <c r="R1626" s="459" t="str">
        <f t="shared" si="927"/>
        <v/>
      </c>
      <c r="S1626" s="459" t="str">
        <f t="shared" si="928"/>
        <v/>
      </c>
      <c r="T1626" s="566" t="str">
        <f t="shared" si="913"/>
        <v/>
      </c>
      <c r="U1626" s="702"/>
      <c r="V1626" s="132"/>
      <c r="W1626" s="133"/>
      <c r="X1626" s="134"/>
      <c r="Y1626" s="135"/>
      <c r="Z1626" s="137"/>
      <c r="AA1626" s="136"/>
      <c r="AB1626" s="566" t="str">
        <f t="shared" si="914"/>
        <v/>
      </c>
      <c r="AC1626" s="568" t="str">
        <f t="shared" si="915"/>
        <v/>
      </c>
      <c r="AD1626" s="137"/>
      <c r="AE1626" s="137"/>
      <c r="AF1626" s="138"/>
      <c r="AG1626" s="138"/>
      <c r="AH1626" s="592" t="str">
        <f t="shared" si="916"/>
        <v/>
      </c>
      <c r="AI1626" s="592" t="str">
        <f t="shared" si="917"/>
        <v/>
      </c>
      <c r="AJ1626" s="592" t="str">
        <f t="shared" si="918"/>
        <v/>
      </c>
      <c r="AK1626" s="460" t="str">
        <f>IF(AU1626="","",IF(OR(AZ1626=8,AZ1626=9),0,IF(OR(AW1626=3,AW1626=4,AW1626=5,AW1626=6),IF(LEFT(BF1626,1)="1",INDEX(係数_NOX・PM低減,MATCH(AY1626,【参考】排出係数!$AI$801:$AI$804,1),1),VLOOKUP(AU1626,INDEX((係数_バス貨物_ガソリン,係数_バス貨物_CNG,係数_バス貨物_軽油,係数_バス貨物_メタノール,係数_バス貨物_LPG),MATCH(AY1626,【参考】排出係数!$AI$4:$AI$671,1),1,BE1626):INDEX((係数_バス貨物_ガソリン,係数_バス貨物_CNG,係数_バス貨物_軽油,係数_バス貨物_メタノール,係数_バス貨物_LPG),MATCH(AY1626+1,【参考】排出係数!$AI$4:$AI$671,1)-1,5,BE1626),4,FALSE)),IF(AND(BE1626=3,LEFT(BF1626,1)="1"),0.48,VLOOKUP(AU1626,INDEX((係数_乗用_ガソリン,係数_乗用_CNG,係数_乗用_軽油,係数_乗用_メタノール,係数_乗用_LPG),1,1,BE1626):INDEX((係数_乗用_ガソリン,係数_乗用_CNG,係数_乗用_軽油,係数_乗用_メタノール,係数_乗用_LPG),125,5,BE1626),4,FALSE)))))</f>
        <v/>
      </c>
      <c r="AL1626" s="461" t="str">
        <f t="shared" si="919"/>
        <v/>
      </c>
      <c r="AM1626" s="460" t="str">
        <f>IF(AU1626="","",IF(OR(AZ1626=8,AZ1626=9),0,IF(OR(AW1626=3,AW1626=4,AW1626=5,AW1626=6),IF(LEFT(BH1626,1)="1",INDEX(係数_PM低減,MATCH(AY1626,【参考】排出係数!$AI$801:$AI$804,1),MATCH(BI1626,【参考】排出係数!$AL$798:$AO$798,1)),VLOOKUP(AU1626,INDEX((係数_バス貨物_ガソリン,係数_バス貨物_CNG,係数_バス貨物_軽油,係数_バス貨物_メタノール,係数_バス貨物_LPG),MATCH(AY1626,【参考】排出係数!$AI$4:$AI$671,1),1,BE1626):INDEX((係数_バス貨物_ガソリン,係数_バス貨物_CNG,係数_バス貨物_軽油,係数_バス貨物_メタノール,係数_バス貨物_LPG),MATCH(AY1626+1,【参考】排出係数!$AI$4:$AI$671,1)-1,5,BE1626),5,FALSE)),IF(AND(BE1626=3,LEFT(BF1626,1)="1"),0.055,VLOOKUP(AU1626,INDEX((係数_乗用_ガソリン,係数_乗用_CNG,係数_乗用_軽油,係数_乗用_メタノール,係数_乗用_LPG),1,1,BE1626):INDEX((係数_乗用_ガソリン,係数_乗用_CNG,係数_乗用_軽油,係数_乗用_メタノール,係数_乗用_LPG),125,5,BE1626),5,FALSE)))))</f>
        <v/>
      </c>
      <c r="AN1626" s="461" t="str">
        <f t="shared" si="920"/>
        <v/>
      </c>
      <c r="AO1626" s="462" t="str">
        <f t="shared" si="921"/>
        <v/>
      </c>
      <c r="AP1626" s="463" t="str">
        <f t="shared" si="922"/>
        <v/>
      </c>
      <c r="AQ1626" s="464"/>
      <c r="AR1626" s="619"/>
      <c r="AS1626" s="465" t="str">
        <f t="shared" si="930"/>
        <v/>
      </c>
      <c r="AT1626" s="465" t="str">
        <f t="shared" si="931"/>
        <v/>
      </c>
      <c r="AU1626" s="466" t="str">
        <f t="shared" si="932"/>
        <v/>
      </c>
      <c r="AV1626" s="467" t="str">
        <f t="shared" si="933"/>
        <v/>
      </c>
      <c r="AW1626" s="467" t="str">
        <f t="shared" si="934"/>
        <v/>
      </c>
      <c r="AX1626" s="467" t="str">
        <f t="shared" si="935"/>
        <v/>
      </c>
      <c r="AY1626" s="467" t="str">
        <f t="shared" si="936"/>
        <v/>
      </c>
      <c r="AZ1626" s="467" t="str">
        <f t="shared" si="937"/>
        <v/>
      </c>
      <c r="BA1626" s="468" t="str">
        <f>IF(AS1626="","",IF(OR(AU1626="",AU1626="-"),"－",IF(OR(AZ1626=8,AZ1626=9),"",IF(OR(AW1626=3,AW1626=4,AW1626=5,AW1626=6),VLOOKUP(AU1626,INDEX((係数_バス貨物_ガソリン,係数_バス貨物_CNG,係数_バス貨物_軽油,係数_バス貨物_メタノール,係数_バス貨物_LPG),MATCH(AY1626,【参考】排出係数!$AI$4:$AI$671,1),1,BE1626):INDEX((係数_バス貨物_ガソリン,係数_バス貨物_CNG,係数_バス貨物_軽油,係数_バス貨物_メタノール,係数_バス貨物_LPG),MATCH(AY1626+1,【参考】排出係数!$AI$4:$AI$671,1)-1,5,BE1626),2,FALSE),IF(OR(AW1626=1,AW1626=2),VLOOKUP(AU1626,INDEX((係数_乗用_ガソリン,係数_乗用_CNG,係数_乗用_軽油,係数_乗用_メタノール,係数_乗用_LPG),1,1,BE1626):INDEX((係数_乗用_ガソリン,係数_乗用_CNG,係数_乗用_軽油,係数_乗用_メタノール,係数_乗用_LPG),125,5,BE1626),2,FALSE))))))</f>
        <v/>
      </c>
      <c r="BB1626" s="468" t="str">
        <f>IF(T1626="","",IF(OR(AU1626="",AU1626="-"),"－",IF(OR(AZ1626=8,AZ1626=9),"",IF(OR(AW1626=3,AW1626=4,AW1626=5,AW1626=6),VLOOKUP(AU1626,INDEX((係数_バス貨物_ガソリン,係数_バス貨物_CNG,係数_バス貨物_軽油,係数_バス貨物_メタノール,係数_バス貨物_LPG),MATCH(AY1626,【参考】排出係数!$AI$4:$AI$671,1),1,BE1626):INDEX((係数_バス貨物_ガソリン,係数_バス貨物_CNG,係数_バス貨物_軽油,係数_バス貨物_メタノール,係数_バス貨物_LPG),MATCH(AY1626+1,【参考】排出係数!$AI$4:$AI$671,1)-1,5,BE1626),3,FALSE),IF(OR(AW1626=1,AW1626=2),VLOOKUP(AU1626,INDEX((係数_乗用_ガソリン,係数_乗用_CNG,係数_乗用_軽油,係数_乗用_メタノール,係数_乗用_LPG),1,1,BE1626):INDEX((係数_乗用_ガソリン,係数_乗用_CNG,係数_乗用_軽油,係数_乗用_メタノール,係数_乗用_LPG),125,5,BE1626),3,FALSE))))))</f>
        <v/>
      </c>
      <c r="BC1626" s="467" t="str">
        <f t="shared" si="938"/>
        <v/>
      </c>
      <c r="BD1626" s="567" t="str">
        <f t="shared" si="939"/>
        <v/>
      </c>
      <c r="BE1626" s="467" t="str">
        <f t="shared" si="940"/>
        <v/>
      </c>
      <c r="BF1626" s="469" t="str">
        <f t="shared" ca="1" si="941"/>
        <v/>
      </c>
      <c r="BG1626" s="469" t="str">
        <f t="shared" ca="1" si="942"/>
        <v/>
      </c>
      <c r="BH1626" s="467" t="str">
        <f t="shared" si="943"/>
        <v/>
      </c>
      <c r="BI1626" s="467" t="str">
        <f t="shared" ca="1" si="944"/>
        <v/>
      </c>
      <c r="BJ1626" s="469" t="str">
        <f t="shared" si="945"/>
        <v/>
      </c>
      <c r="BK1626" s="470" t="str">
        <f t="shared" si="929"/>
        <v/>
      </c>
      <c r="BL1626" s="775" t="str">
        <f t="shared" si="946"/>
        <v/>
      </c>
      <c r="BM1626" s="775" t="str">
        <f t="shared" si="947"/>
        <v/>
      </c>
    </row>
    <row r="1627" spans="1:65">
      <c r="A1627" s="473">
        <v>1571</v>
      </c>
      <c r="B1627" s="132"/>
      <c r="C1627" s="332"/>
      <c r="D1627" s="333"/>
      <c r="E1627" s="333"/>
      <c r="F1627" s="334"/>
      <c r="G1627" s="337"/>
      <c r="H1627" s="131"/>
      <c r="I1627" s="337"/>
      <c r="J1627" s="131"/>
      <c r="K1627" s="458" t="str">
        <f t="shared" si="910"/>
        <v/>
      </c>
      <c r="L1627" s="458">
        <f t="shared" si="911"/>
        <v>0</v>
      </c>
      <c r="M1627" s="458">
        <f t="shared" si="912"/>
        <v>0</v>
      </c>
      <c r="N1627" s="459" t="str">
        <f t="shared" si="923"/>
        <v/>
      </c>
      <c r="O1627" s="459" t="str">
        <f t="shared" si="924"/>
        <v/>
      </c>
      <c r="P1627" s="459" t="str">
        <f t="shared" si="925"/>
        <v/>
      </c>
      <c r="Q1627" s="459" t="str">
        <f t="shared" si="926"/>
        <v/>
      </c>
      <c r="R1627" s="459" t="str">
        <f t="shared" si="927"/>
        <v/>
      </c>
      <c r="S1627" s="459" t="str">
        <f t="shared" si="928"/>
        <v/>
      </c>
      <c r="T1627" s="566" t="str">
        <f t="shared" si="913"/>
        <v/>
      </c>
      <c r="U1627" s="702"/>
      <c r="V1627" s="132"/>
      <c r="W1627" s="133"/>
      <c r="X1627" s="134"/>
      <c r="Y1627" s="135"/>
      <c r="Z1627" s="137"/>
      <c r="AA1627" s="136"/>
      <c r="AB1627" s="566" t="str">
        <f t="shared" si="914"/>
        <v/>
      </c>
      <c r="AC1627" s="568" t="str">
        <f t="shared" si="915"/>
        <v/>
      </c>
      <c r="AD1627" s="137"/>
      <c r="AE1627" s="137"/>
      <c r="AF1627" s="138"/>
      <c r="AG1627" s="138"/>
      <c r="AH1627" s="592" t="str">
        <f t="shared" si="916"/>
        <v/>
      </c>
      <c r="AI1627" s="592" t="str">
        <f t="shared" si="917"/>
        <v/>
      </c>
      <c r="AJ1627" s="592" t="str">
        <f t="shared" si="918"/>
        <v/>
      </c>
      <c r="AK1627" s="460" t="str">
        <f>IF(AU1627="","",IF(OR(AZ1627=8,AZ1627=9),0,IF(OR(AW1627=3,AW1627=4,AW1627=5,AW1627=6),IF(LEFT(BF1627,1)="1",INDEX(係数_NOX・PM低減,MATCH(AY1627,【参考】排出係数!$AI$801:$AI$804,1),1),VLOOKUP(AU1627,INDEX((係数_バス貨物_ガソリン,係数_バス貨物_CNG,係数_バス貨物_軽油,係数_バス貨物_メタノール,係数_バス貨物_LPG),MATCH(AY1627,【参考】排出係数!$AI$4:$AI$671,1),1,BE1627):INDEX((係数_バス貨物_ガソリン,係数_バス貨物_CNG,係数_バス貨物_軽油,係数_バス貨物_メタノール,係数_バス貨物_LPG),MATCH(AY1627+1,【参考】排出係数!$AI$4:$AI$671,1)-1,5,BE1627),4,FALSE)),IF(AND(BE1627=3,LEFT(BF1627,1)="1"),0.48,VLOOKUP(AU1627,INDEX((係数_乗用_ガソリン,係数_乗用_CNG,係数_乗用_軽油,係数_乗用_メタノール,係数_乗用_LPG),1,1,BE1627):INDEX((係数_乗用_ガソリン,係数_乗用_CNG,係数_乗用_軽油,係数_乗用_メタノール,係数_乗用_LPG),125,5,BE1627),4,FALSE)))))</f>
        <v/>
      </c>
      <c r="AL1627" s="461" t="str">
        <f t="shared" si="919"/>
        <v/>
      </c>
      <c r="AM1627" s="460" t="str">
        <f>IF(AU1627="","",IF(OR(AZ1627=8,AZ1627=9),0,IF(OR(AW1627=3,AW1627=4,AW1627=5,AW1627=6),IF(LEFT(BH1627,1)="1",INDEX(係数_PM低減,MATCH(AY1627,【参考】排出係数!$AI$801:$AI$804,1),MATCH(BI1627,【参考】排出係数!$AL$798:$AO$798,1)),VLOOKUP(AU1627,INDEX((係数_バス貨物_ガソリン,係数_バス貨物_CNG,係数_バス貨物_軽油,係数_バス貨物_メタノール,係数_バス貨物_LPG),MATCH(AY1627,【参考】排出係数!$AI$4:$AI$671,1),1,BE1627):INDEX((係数_バス貨物_ガソリン,係数_バス貨物_CNG,係数_バス貨物_軽油,係数_バス貨物_メタノール,係数_バス貨物_LPG),MATCH(AY1627+1,【参考】排出係数!$AI$4:$AI$671,1)-1,5,BE1627),5,FALSE)),IF(AND(BE1627=3,LEFT(BF1627,1)="1"),0.055,VLOOKUP(AU1627,INDEX((係数_乗用_ガソリン,係数_乗用_CNG,係数_乗用_軽油,係数_乗用_メタノール,係数_乗用_LPG),1,1,BE1627):INDEX((係数_乗用_ガソリン,係数_乗用_CNG,係数_乗用_軽油,係数_乗用_メタノール,係数_乗用_LPG),125,5,BE1627),5,FALSE)))))</f>
        <v/>
      </c>
      <c r="AN1627" s="461" t="str">
        <f t="shared" si="920"/>
        <v/>
      </c>
      <c r="AO1627" s="462" t="str">
        <f t="shared" si="921"/>
        <v/>
      </c>
      <c r="AP1627" s="463" t="str">
        <f t="shared" si="922"/>
        <v/>
      </c>
      <c r="AQ1627" s="464"/>
      <c r="AR1627" s="619"/>
      <c r="AS1627" s="465" t="str">
        <f t="shared" si="930"/>
        <v/>
      </c>
      <c r="AT1627" s="465" t="str">
        <f t="shared" si="931"/>
        <v/>
      </c>
      <c r="AU1627" s="466" t="str">
        <f t="shared" si="932"/>
        <v/>
      </c>
      <c r="AV1627" s="467" t="str">
        <f t="shared" si="933"/>
        <v/>
      </c>
      <c r="AW1627" s="467" t="str">
        <f t="shared" si="934"/>
        <v/>
      </c>
      <c r="AX1627" s="467" t="str">
        <f t="shared" si="935"/>
        <v/>
      </c>
      <c r="AY1627" s="467" t="str">
        <f t="shared" si="936"/>
        <v/>
      </c>
      <c r="AZ1627" s="467" t="str">
        <f t="shared" si="937"/>
        <v/>
      </c>
      <c r="BA1627" s="468" t="str">
        <f>IF(AS1627="","",IF(OR(AU1627="",AU1627="-"),"－",IF(OR(AZ1627=8,AZ1627=9),"",IF(OR(AW1627=3,AW1627=4,AW1627=5,AW1627=6),VLOOKUP(AU1627,INDEX((係数_バス貨物_ガソリン,係数_バス貨物_CNG,係数_バス貨物_軽油,係数_バス貨物_メタノール,係数_バス貨物_LPG),MATCH(AY1627,【参考】排出係数!$AI$4:$AI$671,1),1,BE1627):INDEX((係数_バス貨物_ガソリン,係数_バス貨物_CNG,係数_バス貨物_軽油,係数_バス貨物_メタノール,係数_バス貨物_LPG),MATCH(AY1627+1,【参考】排出係数!$AI$4:$AI$671,1)-1,5,BE1627),2,FALSE),IF(OR(AW1627=1,AW1627=2),VLOOKUP(AU1627,INDEX((係数_乗用_ガソリン,係数_乗用_CNG,係数_乗用_軽油,係数_乗用_メタノール,係数_乗用_LPG),1,1,BE1627):INDEX((係数_乗用_ガソリン,係数_乗用_CNG,係数_乗用_軽油,係数_乗用_メタノール,係数_乗用_LPG),125,5,BE1627),2,FALSE))))))</f>
        <v/>
      </c>
      <c r="BB1627" s="468" t="str">
        <f>IF(T1627="","",IF(OR(AU1627="",AU1627="-"),"－",IF(OR(AZ1627=8,AZ1627=9),"",IF(OR(AW1627=3,AW1627=4,AW1627=5,AW1627=6),VLOOKUP(AU1627,INDEX((係数_バス貨物_ガソリン,係数_バス貨物_CNG,係数_バス貨物_軽油,係数_バス貨物_メタノール,係数_バス貨物_LPG),MATCH(AY1627,【参考】排出係数!$AI$4:$AI$671,1),1,BE1627):INDEX((係数_バス貨物_ガソリン,係数_バス貨物_CNG,係数_バス貨物_軽油,係数_バス貨物_メタノール,係数_バス貨物_LPG),MATCH(AY1627+1,【参考】排出係数!$AI$4:$AI$671,1)-1,5,BE1627),3,FALSE),IF(OR(AW1627=1,AW1627=2),VLOOKUP(AU1627,INDEX((係数_乗用_ガソリン,係数_乗用_CNG,係数_乗用_軽油,係数_乗用_メタノール,係数_乗用_LPG),1,1,BE1627):INDEX((係数_乗用_ガソリン,係数_乗用_CNG,係数_乗用_軽油,係数_乗用_メタノール,係数_乗用_LPG),125,5,BE1627),3,FALSE))))))</f>
        <v/>
      </c>
      <c r="BC1627" s="467" t="str">
        <f t="shared" si="938"/>
        <v/>
      </c>
      <c r="BD1627" s="567" t="str">
        <f t="shared" si="939"/>
        <v/>
      </c>
      <c r="BE1627" s="467" t="str">
        <f t="shared" si="940"/>
        <v/>
      </c>
      <c r="BF1627" s="469" t="str">
        <f t="shared" ca="1" si="941"/>
        <v/>
      </c>
      <c r="BG1627" s="469" t="str">
        <f t="shared" ca="1" si="942"/>
        <v/>
      </c>
      <c r="BH1627" s="467" t="str">
        <f t="shared" si="943"/>
        <v/>
      </c>
      <c r="BI1627" s="467" t="str">
        <f t="shared" ca="1" si="944"/>
        <v/>
      </c>
      <c r="BJ1627" s="469" t="str">
        <f t="shared" si="945"/>
        <v/>
      </c>
      <c r="BK1627" s="470" t="str">
        <f t="shared" si="929"/>
        <v/>
      </c>
      <c r="BL1627" s="775" t="str">
        <f t="shared" si="946"/>
        <v/>
      </c>
      <c r="BM1627" s="775" t="str">
        <f t="shared" si="947"/>
        <v/>
      </c>
    </row>
    <row r="1628" spans="1:65">
      <c r="A1628" s="473">
        <v>1572</v>
      </c>
      <c r="B1628" s="132"/>
      <c r="C1628" s="332"/>
      <c r="D1628" s="333"/>
      <c r="E1628" s="333"/>
      <c r="F1628" s="334"/>
      <c r="G1628" s="337"/>
      <c r="H1628" s="131"/>
      <c r="I1628" s="337"/>
      <c r="J1628" s="131"/>
      <c r="K1628" s="458" t="str">
        <f t="shared" si="910"/>
        <v/>
      </c>
      <c r="L1628" s="458">
        <f t="shared" si="911"/>
        <v>0</v>
      </c>
      <c r="M1628" s="458">
        <f t="shared" si="912"/>
        <v>0</v>
      </c>
      <c r="N1628" s="459" t="str">
        <f t="shared" si="923"/>
        <v/>
      </c>
      <c r="O1628" s="459" t="str">
        <f t="shared" si="924"/>
        <v/>
      </c>
      <c r="P1628" s="459" t="str">
        <f t="shared" si="925"/>
        <v/>
      </c>
      <c r="Q1628" s="459" t="str">
        <f t="shared" si="926"/>
        <v/>
      </c>
      <c r="R1628" s="459" t="str">
        <f t="shared" si="927"/>
        <v/>
      </c>
      <c r="S1628" s="459" t="str">
        <f t="shared" si="928"/>
        <v/>
      </c>
      <c r="T1628" s="566" t="str">
        <f t="shared" si="913"/>
        <v/>
      </c>
      <c r="U1628" s="702"/>
      <c r="V1628" s="132"/>
      <c r="W1628" s="133"/>
      <c r="X1628" s="134"/>
      <c r="Y1628" s="135"/>
      <c r="Z1628" s="137"/>
      <c r="AA1628" s="136"/>
      <c r="AB1628" s="566" t="str">
        <f t="shared" si="914"/>
        <v/>
      </c>
      <c r="AC1628" s="568" t="str">
        <f t="shared" si="915"/>
        <v/>
      </c>
      <c r="AD1628" s="137"/>
      <c r="AE1628" s="137"/>
      <c r="AF1628" s="138"/>
      <c r="AG1628" s="138"/>
      <c r="AH1628" s="592" t="str">
        <f t="shared" si="916"/>
        <v/>
      </c>
      <c r="AI1628" s="592" t="str">
        <f t="shared" si="917"/>
        <v/>
      </c>
      <c r="AJ1628" s="592" t="str">
        <f t="shared" si="918"/>
        <v/>
      </c>
      <c r="AK1628" s="460" t="str">
        <f>IF(AU1628="","",IF(OR(AZ1628=8,AZ1628=9),0,IF(OR(AW1628=3,AW1628=4,AW1628=5,AW1628=6),IF(LEFT(BF1628,1)="1",INDEX(係数_NOX・PM低減,MATCH(AY1628,【参考】排出係数!$AI$801:$AI$804,1),1),VLOOKUP(AU1628,INDEX((係数_バス貨物_ガソリン,係数_バス貨物_CNG,係数_バス貨物_軽油,係数_バス貨物_メタノール,係数_バス貨物_LPG),MATCH(AY1628,【参考】排出係数!$AI$4:$AI$671,1),1,BE1628):INDEX((係数_バス貨物_ガソリン,係数_バス貨物_CNG,係数_バス貨物_軽油,係数_バス貨物_メタノール,係数_バス貨物_LPG),MATCH(AY1628+1,【参考】排出係数!$AI$4:$AI$671,1)-1,5,BE1628),4,FALSE)),IF(AND(BE1628=3,LEFT(BF1628,1)="1"),0.48,VLOOKUP(AU1628,INDEX((係数_乗用_ガソリン,係数_乗用_CNG,係数_乗用_軽油,係数_乗用_メタノール,係数_乗用_LPG),1,1,BE1628):INDEX((係数_乗用_ガソリン,係数_乗用_CNG,係数_乗用_軽油,係数_乗用_メタノール,係数_乗用_LPG),125,5,BE1628),4,FALSE)))))</f>
        <v/>
      </c>
      <c r="AL1628" s="461" t="str">
        <f t="shared" si="919"/>
        <v/>
      </c>
      <c r="AM1628" s="460" t="str">
        <f>IF(AU1628="","",IF(OR(AZ1628=8,AZ1628=9),0,IF(OR(AW1628=3,AW1628=4,AW1628=5,AW1628=6),IF(LEFT(BH1628,1)="1",INDEX(係数_PM低減,MATCH(AY1628,【参考】排出係数!$AI$801:$AI$804,1),MATCH(BI1628,【参考】排出係数!$AL$798:$AO$798,1)),VLOOKUP(AU1628,INDEX((係数_バス貨物_ガソリン,係数_バス貨物_CNG,係数_バス貨物_軽油,係数_バス貨物_メタノール,係数_バス貨物_LPG),MATCH(AY1628,【参考】排出係数!$AI$4:$AI$671,1),1,BE1628):INDEX((係数_バス貨物_ガソリン,係数_バス貨物_CNG,係数_バス貨物_軽油,係数_バス貨物_メタノール,係数_バス貨物_LPG),MATCH(AY1628+1,【参考】排出係数!$AI$4:$AI$671,1)-1,5,BE1628),5,FALSE)),IF(AND(BE1628=3,LEFT(BF1628,1)="1"),0.055,VLOOKUP(AU1628,INDEX((係数_乗用_ガソリン,係数_乗用_CNG,係数_乗用_軽油,係数_乗用_メタノール,係数_乗用_LPG),1,1,BE1628):INDEX((係数_乗用_ガソリン,係数_乗用_CNG,係数_乗用_軽油,係数_乗用_メタノール,係数_乗用_LPG),125,5,BE1628),5,FALSE)))))</f>
        <v/>
      </c>
      <c r="AN1628" s="461" t="str">
        <f t="shared" si="920"/>
        <v/>
      </c>
      <c r="AO1628" s="462" t="str">
        <f t="shared" si="921"/>
        <v/>
      </c>
      <c r="AP1628" s="463" t="str">
        <f t="shared" si="922"/>
        <v/>
      </c>
      <c r="AQ1628" s="464"/>
      <c r="AR1628" s="619"/>
      <c r="AS1628" s="465" t="str">
        <f t="shared" si="930"/>
        <v/>
      </c>
      <c r="AT1628" s="465" t="str">
        <f t="shared" si="931"/>
        <v/>
      </c>
      <c r="AU1628" s="466" t="str">
        <f t="shared" si="932"/>
        <v/>
      </c>
      <c r="AV1628" s="467" t="str">
        <f t="shared" si="933"/>
        <v/>
      </c>
      <c r="AW1628" s="467" t="str">
        <f t="shared" si="934"/>
        <v/>
      </c>
      <c r="AX1628" s="467" t="str">
        <f t="shared" si="935"/>
        <v/>
      </c>
      <c r="AY1628" s="467" t="str">
        <f t="shared" si="936"/>
        <v/>
      </c>
      <c r="AZ1628" s="467" t="str">
        <f t="shared" si="937"/>
        <v/>
      </c>
      <c r="BA1628" s="468" t="str">
        <f>IF(AS1628="","",IF(OR(AU1628="",AU1628="-"),"－",IF(OR(AZ1628=8,AZ1628=9),"",IF(OR(AW1628=3,AW1628=4,AW1628=5,AW1628=6),VLOOKUP(AU1628,INDEX((係数_バス貨物_ガソリン,係数_バス貨物_CNG,係数_バス貨物_軽油,係数_バス貨物_メタノール,係数_バス貨物_LPG),MATCH(AY1628,【参考】排出係数!$AI$4:$AI$671,1),1,BE1628):INDEX((係数_バス貨物_ガソリン,係数_バス貨物_CNG,係数_バス貨物_軽油,係数_バス貨物_メタノール,係数_バス貨物_LPG),MATCH(AY1628+1,【参考】排出係数!$AI$4:$AI$671,1)-1,5,BE1628),2,FALSE),IF(OR(AW1628=1,AW1628=2),VLOOKUP(AU1628,INDEX((係数_乗用_ガソリン,係数_乗用_CNG,係数_乗用_軽油,係数_乗用_メタノール,係数_乗用_LPG),1,1,BE1628):INDEX((係数_乗用_ガソリン,係数_乗用_CNG,係数_乗用_軽油,係数_乗用_メタノール,係数_乗用_LPG),125,5,BE1628),2,FALSE))))))</f>
        <v/>
      </c>
      <c r="BB1628" s="468" t="str">
        <f>IF(T1628="","",IF(OR(AU1628="",AU1628="-"),"－",IF(OR(AZ1628=8,AZ1628=9),"",IF(OR(AW1628=3,AW1628=4,AW1628=5,AW1628=6),VLOOKUP(AU1628,INDEX((係数_バス貨物_ガソリン,係数_バス貨物_CNG,係数_バス貨物_軽油,係数_バス貨物_メタノール,係数_バス貨物_LPG),MATCH(AY1628,【参考】排出係数!$AI$4:$AI$671,1),1,BE1628):INDEX((係数_バス貨物_ガソリン,係数_バス貨物_CNG,係数_バス貨物_軽油,係数_バス貨物_メタノール,係数_バス貨物_LPG),MATCH(AY1628+1,【参考】排出係数!$AI$4:$AI$671,1)-1,5,BE1628),3,FALSE),IF(OR(AW1628=1,AW1628=2),VLOOKUP(AU1628,INDEX((係数_乗用_ガソリン,係数_乗用_CNG,係数_乗用_軽油,係数_乗用_メタノール,係数_乗用_LPG),1,1,BE1628):INDEX((係数_乗用_ガソリン,係数_乗用_CNG,係数_乗用_軽油,係数_乗用_メタノール,係数_乗用_LPG),125,5,BE1628),3,FALSE))))))</f>
        <v/>
      </c>
      <c r="BC1628" s="467" t="str">
        <f t="shared" si="938"/>
        <v/>
      </c>
      <c r="BD1628" s="567" t="str">
        <f t="shared" si="939"/>
        <v/>
      </c>
      <c r="BE1628" s="467" t="str">
        <f t="shared" si="940"/>
        <v/>
      </c>
      <c r="BF1628" s="469" t="str">
        <f t="shared" ca="1" si="941"/>
        <v/>
      </c>
      <c r="BG1628" s="469" t="str">
        <f t="shared" ca="1" si="942"/>
        <v/>
      </c>
      <c r="BH1628" s="467" t="str">
        <f t="shared" si="943"/>
        <v/>
      </c>
      <c r="BI1628" s="467" t="str">
        <f t="shared" ca="1" si="944"/>
        <v/>
      </c>
      <c r="BJ1628" s="469" t="str">
        <f t="shared" si="945"/>
        <v/>
      </c>
      <c r="BK1628" s="470" t="str">
        <f t="shared" si="929"/>
        <v/>
      </c>
      <c r="BL1628" s="775" t="str">
        <f t="shared" si="946"/>
        <v/>
      </c>
      <c r="BM1628" s="775" t="str">
        <f t="shared" si="947"/>
        <v/>
      </c>
    </row>
    <row r="1629" spans="1:65">
      <c r="A1629" s="473">
        <v>1573</v>
      </c>
      <c r="B1629" s="132"/>
      <c r="C1629" s="332"/>
      <c r="D1629" s="333"/>
      <c r="E1629" s="333"/>
      <c r="F1629" s="334"/>
      <c r="G1629" s="337"/>
      <c r="H1629" s="131"/>
      <c r="I1629" s="337"/>
      <c r="J1629" s="131"/>
      <c r="K1629" s="458" t="str">
        <f t="shared" si="910"/>
        <v/>
      </c>
      <c r="L1629" s="458">
        <f t="shared" si="911"/>
        <v>0</v>
      </c>
      <c r="M1629" s="458">
        <f t="shared" si="912"/>
        <v>0</v>
      </c>
      <c r="N1629" s="459" t="str">
        <f t="shared" si="923"/>
        <v/>
      </c>
      <c r="O1629" s="459" t="str">
        <f t="shared" si="924"/>
        <v/>
      </c>
      <c r="P1629" s="459" t="str">
        <f t="shared" si="925"/>
        <v/>
      </c>
      <c r="Q1629" s="459" t="str">
        <f t="shared" si="926"/>
        <v/>
      </c>
      <c r="R1629" s="459" t="str">
        <f t="shared" si="927"/>
        <v/>
      </c>
      <c r="S1629" s="459" t="str">
        <f t="shared" si="928"/>
        <v/>
      </c>
      <c r="T1629" s="566" t="str">
        <f t="shared" si="913"/>
        <v/>
      </c>
      <c r="U1629" s="702"/>
      <c r="V1629" s="132"/>
      <c r="W1629" s="133"/>
      <c r="X1629" s="134"/>
      <c r="Y1629" s="135"/>
      <c r="Z1629" s="137"/>
      <c r="AA1629" s="136"/>
      <c r="AB1629" s="566" t="str">
        <f t="shared" si="914"/>
        <v/>
      </c>
      <c r="AC1629" s="568" t="str">
        <f t="shared" si="915"/>
        <v/>
      </c>
      <c r="AD1629" s="137"/>
      <c r="AE1629" s="137"/>
      <c r="AF1629" s="138"/>
      <c r="AG1629" s="138"/>
      <c r="AH1629" s="592" t="str">
        <f t="shared" si="916"/>
        <v/>
      </c>
      <c r="AI1629" s="592" t="str">
        <f t="shared" si="917"/>
        <v/>
      </c>
      <c r="AJ1629" s="592" t="str">
        <f t="shared" si="918"/>
        <v/>
      </c>
      <c r="AK1629" s="460" t="str">
        <f>IF(AU1629="","",IF(OR(AZ1629=8,AZ1629=9),0,IF(OR(AW1629=3,AW1629=4,AW1629=5,AW1629=6),IF(LEFT(BF1629,1)="1",INDEX(係数_NOX・PM低減,MATCH(AY1629,【参考】排出係数!$AI$801:$AI$804,1),1),VLOOKUP(AU1629,INDEX((係数_バス貨物_ガソリン,係数_バス貨物_CNG,係数_バス貨物_軽油,係数_バス貨物_メタノール,係数_バス貨物_LPG),MATCH(AY1629,【参考】排出係数!$AI$4:$AI$671,1),1,BE1629):INDEX((係数_バス貨物_ガソリン,係数_バス貨物_CNG,係数_バス貨物_軽油,係数_バス貨物_メタノール,係数_バス貨物_LPG),MATCH(AY1629+1,【参考】排出係数!$AI$4:$AI$671,1)-1,5,BE1629),4,FALSE)),IF(AND(BE1629=3,LEFT(BF1629,1)="1"),0.48,VLOOKUP(AU1629,INDEX((係数_乗用_ガソリン,係数_乗用_CNG,係数_乗用_軽油,係数_乗用_メタノール,係数_乗用_LPG),1,1,BE1629):INDEX((係数_乗用_ガソリン,係数_乗用_CNG,係数_乗用_軽油,係数_乗用_メタノール,係数_乗用_LPG),125,5,BE1629),4,FALSE)))))</f>
        <v/>
      </c>
      <c r="AL1629" s="461" t="str">
        <f t="shared" si="919"/>
        <v/>
      </c>
      <c r="AM1629" s="460" t="str">
        <f>IF(AU1629="","",IF(OR(AZ1629=8,AZ1629=9),0,IF(OR(AW1629=3,AW1629=4,AW1629=5,AW1629=6),IF(LEFT(BH1629,1)="1",INDEX(係数_PM低減,MATCH(AY1629,【参考】排出係数!$AI$801:$AI$804,1),MATCH(BI1629,【参考】排出係数!$AL$798:$AO$798,1)),VLOOKUP(AU1629,INDEX((係数_バス貨物_ガソリン,係数_バス貨物_CNG,係数_バス貨物_軽油,係数_バス貨物_メタノール,係数_バス貨物_LPG),MATCH(AY1629,【参考】排出係数!$AI$4:$AI$671,1),1,BE1629):INDEX((係数_バス貨物_ガソリン,係数_バス貨物_CNG,係数_バス貨物_軽油,係数_バス貨物_メタノール,係数_バス貨物_LPG),MATCH(AY1629+1,【参考】排出係数!$AI$4:$AI$671,1)-1,5,BE1629),5,FALSE)),IF(AND(BE1629=3,LEFT(BF1629,1)="1"),0.055,VLOOKUP(AU1629,INDEX((係数_乗用_ガソリン,係数_乗用_CNG,係数_乗用_軽油,係数_乗用_メタノール,係数_乗用_LPG),1,1,BE1629):INDEX((係数_乗用_ガソリン,係数_乗用_CNG,係数_乗用_軽油,係数_乗用_メタノール,係数_乗用_LPG),125,5,BE1629),5,FALSE)))))</f>
        <v/>
      </c>
      <c r="AN1629" s="461" t="str">
        <f t="shared" si="920"/>
        <v/>
      </c>
      <c r="AO1629" s="462" t="str">
        <f t="shared" si="921"/>
        <v/>
      </c>
      <c r="AP1629" s="463" t="str">
        <f t="shared" si="922"/>
        <v/>
      </c>
      <c r="AQ1629" s="464"/>
      <c r="AR1629" s="619"/>
      <c r="AS1629" s="465" t="str">
        <f t="shared" si="930"/>
        <v/>
      </c>
      <c r="AT1629" s="465" t="str">
        <f t="shared" si="931"/>
        <v/>
      </c>
      <c r="AU1629" s="466" t="str">
        <f t="shared" si="932"/>
        <v/>
      </c>
      <c r="AV1629" s="467" t="str">
        <f t="shared" si="933"/>
        <v/>
      </c>
      <c r="AW1629" s="467" t="str">
        <f t="shared" si="934"/>
        <v/>
      </c>
      <c r="AX1629" s="467" t="str">
        <f t="shared" si="935"/>
        <v/>
      </c>
      <c r="AY1629" s="467" t="str">
        <f t="shared" si="936"/>
        <v/>
      </c>
      <c r="AZ1629" s="467" t="str">
        <f t="shared" si="937"/>
        <v/>
      </c>
      <c r="BA1629" s="468" t="str">
        <f>IF(AS1629="","",IF(OR(AU1629="",AU1629="-"),"－",IF(OR(AZ1629=8,AZ1629=9),"",IF(OR(AW1629=3,AW1629=4,AW1629=5,AW1629=6),VLOOKUP(AU1629,INDEX((係数_バス貨物_ガソリン,係数_バス貨物_CNG,係数_バス貨物_軽油,係数_バス貨物_メタノール,係数_バス貨物_LPG),MATCH(AY1629,【参考】排出係数!$AI$4:$AI$671,1),1,BE1629):INDEX((係数_バス貨物_ガソリン,係数_バス貨物_CNG,係数_バス貨物_軽油,係数_バス貨物_メタノール,係数_バス貨物_LPG),MATCH(AY1629+1,【参考】排出係数!$AI$4:$AI$671,1)-1,5,BE1629),2,FALSE),IF(OR(AW1629=1,AW1629=2),VLOOKUP(AU1629,INDEX((係数_乗用_ガソリン,係数_乗用_CNG,係数_乗用_軽油,係数_乗用_メタノール,係数_乗用_LPG),1,1,BE1629):INDEX((係数_乗用_ガソリン,係数_乗用_CNG,係数_乗用_軽油,係数_乗用_メタノール,係数_乗用_LPG),125,5,BE1629),2,FALSE))))))</f>
        <v/>
      </c>
      <c r="BB1629" s="468" t="str">
        <f>IF(T1629="","",IF(OR(AU1629="",AU1629="-"),"－",IF(OR(AZ1629=8,AZ1629=9),"",IF(OR(AW1629=3,AW1629=4,AW1629=5,AW1629=6),VLOOKUP(AU1629,INDEX((係数_バス貨物_ガソリン,係数_バス貨物_CNG,係数_バス貨物_軽油,係数_バス貨物_メタノール,係数_バス貨物_LPG),MATCH(AY1629,【参考】排出係数!$AI$4:$AI$671,1),1,BE1629):INDEX((係数_バス貨物_ガソリン,係数_バス貨物_CNG,係数_バス貨物_軽油,係数_バス貨物_メタノール,係数_バス貨物_LPG),MATCH(AY1629+1,【参考】排出係数!$AI$4:$AI$671,1)-1,5,BE1629),3,FALSE),IF(OR(AW1629=1,AW1629=2),VLOOKUP(AU1629,INDEX((係数_乗用_ガソリン,係数_乗用_CNG,係数_乗用_軽油,係数_乗用_メタノール,係数_乗用_LPG),1,1,BE1629):INDEX((係数_乗用_ガソリン,係数_乗用_CNG,係数_乗用_軽油,係数_乗用_メタノール,係数_乗用_LPG),125,5,BE1629),3,FALSE))))))</f>
        <v/>
      </c>
      <c r="BC1629" s="467" t="str">
        <f t="shared" si="938"/>
        <v/>
      </c>
      <c r="BD1629" s="567" t="str">
        <f t="shared" si="939"/>
        <v/>
      </c>
      <c r="BE1629" s="467" t="str">
        <f t="shared" si="940"/>
        <v/>
      </c>
      <c r="BF1629" s="469" t="str">
        <f t="shared" ca="1" si="941"/>
        <v/>
      </c>
      <c r="BG1629" s="469" t="str">
        <f t="shared" ca="1" si="942"/>
        <v/>
      </c>
      <c r="BH1629" s="467" t="str">
        <f t="shared" si="943"/>
        <v/>
      </c>
      <c r="BI1629" s="467" t="str">
        <f t="shared" ca="1" si="944"/>
        <v/>
      </c>
      <c r="BJ1629" s="469" t="str">
        <f t="shared" si="945"/>
        <v/>
      </c>
      <c r="BK1629" s="470" t="str">
        <f t="shared" si="929"/>
        <v/>
      </c>
      <c r="BL1629" s="775" t="str">
        <f t="shared" si="946"/>
        <v/>
      </c>
      <c r="BM1629" s="775" t="str">
        <f t="shared" si="947"/>
        <v/>
      </c>
    </row>
    <row r="1630" spans="1:65">
      <c r="A1630" s="473">
        <v>1574</v>
      </c>
      <c r="B1630" s="132"/>
      <c r="C1630" s="332"/>
      <c r="D1630" s="333"/>
      <c r="E1630" s="333"/>
      <c r="F1630" s="334"/>
      <c r="G1630" s="337"/>
      <c r="H1630" s="131"/>
      <c r="I1630" s="337"/>
      <c r="J1630" s="131"/>
      <c r="K1630" s="458" t="str">
        <f t="shared" si="910"/>
        <v/>
      </c>
      <c r="L1630" s="458">
        <f t="shared" si="911"/>
        <v>0</v>
      </c>
      <c r="M1630" s="458">
        <f t="shared" si="912"/>
        <v>0</v>
      </c>
      <c r="N1630" s="459" t="str">
        <f t="shared" si="923"/>
        <v/>
      </c>
      <c r="O1630" s="459" t="str">
        <f t="shared" si="924"/>
        <v/>
      </c>
      <c r="P1630" s="459" t="str">
        <f t="shared" si="925"/>
        <v/>
      </c>
      <c r="Q1630" s="459" t="str">
        <f t="shared" si="926"/>
        <v/>
      </c>
      <c r="R1630" s="459" t="str">
        <f t="shared" si="927"/>
        <v/>
      </c>
      <c r="S1630" s="459" t="str">
        <f t="shared" si="928"/>
        <v/>
      </c>
      <c r="T1630" s="566" t="str">
        <f t="shared" si="913"/>
        <v/>
      </c>
      <c r="U1630" s="702"/>
      <c r="V1630" s="132"/>
      <c r="W1630" s="133"/>
      <c r="X1630" s="134"/>
      <c r="Y1630" s="135"/>
      <c r="Z1630" s="137"/>
      <c r="AA1630" s="136"/>
      <c r="AB1630" s="566" t="str">
        <f t="shared" si="914"/>
        <v/>
      </c>
      <c r="AC1630" s="568" t="str">
        <f t="shared" si="915"/>
        <v/>
      </c>
      <c r="AD1630" s="137"/>
      <c r="AE1630" s="137"/>
      <c r="AF1630" s="138"/>
      <c r="AG1630" s="138"/>
      <c r="AH1630" s="592" t="str">
        <f t="shared" si="916"/>
        <v/>
      </c>
      <c r="AI1630" s="592" t="str">
        <f t="shared" si="917"/>
        <v/>
      </c>
      <c r="AJ1630" s="592" t="str">
        <f t="shared" si="918"/>
        <v/>
      </c>
      <c r="AK1630" s="460" t="str">
        <f>IF(AU1630="","",IF(OR(AZ1630=8,AZ1630=9),0,IF(OR(AW1630=3,AW1630=4,AW1630=5,AW1630=6),IF(LEFT(BF1630,1)="1",INDEX(係数_NOX・PM低減,MATCH(AY1630,【参考】排出係数!$AI$801:$AI$804,1),1),VLOOKUP(AU1630,INDEX((係数_バス貨物_ガソリン,係数_バス貨物_CNG,係数_バス貨物_軽油,係数_バス貨物_メタノール,係数_バス貨物_LPG),MATCH(AY1630,【参考】排出係数!$AI$4:$AI$671,1),1,BE1630):INDEX((係数_バス貨物_ガソリン,係数_バス貨物_CNG,係数_バス貨物_軽油,係数_バス貨物_メタノール,係数_バス貨物_LPG),MATCH(AY1630+1,【参考】排出係数!$AI$4:$AI$671,1)-1,5,BE1630),4,FALSE)),IF(AND(BE1630=3,LEFT(BF1630,1)="1"),0.48,VLOOKUP(AU1630,INDEX((係数_乗用_ガソリン,係数_乗用_CNG,係数_乗用_軽油,係数_乗用_メタノール,係数_乗用_LPG),1,1,BE1630):INDEX((係数_乗用_ガソリン,係数_乗用_CNG,係数_乗用_軽油,係数_乗用_メタノール,係数_乗用_LPG),125,5,BE1630),4,FALSE)))))</f>
        <v/>
      </c>
      <c r="AL1630" s="461" t="str">
        <f t="shared" si="919"/>
        <v/>
      </c>
      <c r="AM1630" s="460" t="str">
        <f>IF(AU1630="","",IF(OR(AZ1630=8,AZ1630=9),0,IF(OR(AW1630=3,AW1630=4,AW1630=5,AW1630=6),IF(LEFT(BH1630,1)="1",INDEX(係数_PM低減,MATCH(AY1630,【参考】排出係数!$AI$801:$AI$804,1),MATCH(BI1630,【参考】排出係数!$AL$798:$AO$798,1)),VLOOKUP(AU1630,INDEX((係数_バス貨物_ガソリン,係数_バス貨物_CNG,係数_バス貨物_軽油,係数_バス貨物_メタノール,係数_バス貨物_LPG),MATCH(AY1630,【参考】排出係数!$AI$4:$AI$671,1),1,BE1630):INDEX((係数_バス貨物_ガソリン,係数_バス貨物_CNG,係数_バス貨物_軽油,係数_バス貨物_メタノール,係数_バス貨物_LPG),MATCH(AY1630+1,【参考】排出係数!$AI$4:$AI$671,1)-1,5,BE1630),5,FALSE)),IF(AND(BE1630=3,LEFT(BF1630,1)="1"),0.055,VLOOKUP(AU1630,INDEX((係数_乗用_ガソリン,係数_乗用_CNG,係数_乗用_軽油,係数_乗用_メタノール,係数_乗用_LPG),1,1,BE1630):INDEX((係数_乗用_ガソリン,係数_乗用_CNG,係数_乗用_軽油,係数_乗用_メタノール,係数_乗用_LPG),125,5,BE1630),5,FALSE)))))</f>
        <v/>
      </c>
      <c r="AN1630" s="461" t="str">
        <f t="shared" si="920"/>
        <v/>
      </c>
      <c r="AO1630" s="462" t="str">
        <f t="shared" si="921"/>
        <v/>
      </c>
      <c r="AP1630" s="463" t="str">
        <f t="shared" si="922"/>
        <v/>
      </c>
      <c r="AQ1630" s="464"/>
      <c r="AR1630" s="619"/>
      <c r="AS1630" s="465" t="str">
        <f t="shared" si="930"/>
        <v/>
      </c>
      <c r="AT1630" s="465" t="str">
        <f t="shared" si="931"/>
        <v/>
      </c>
      <c r="AU1630" s="466" t="str">
        <f t="shared" si="932"/>
        <v/>
      </c>
      <c r="AV1630" s="467" t="str">
        <f t="shared" si="933"/>
        <v/>
      </c>
      <c r="AW1630" s="467" t="str">
        <f t="shared" si="934"/>
        <v/>
      </c>
      <c r="AX1630" s="467" t="str">
        <f t="shared" si="935"/>
        <v/>
      </c>
      <c r="AY1630" s="467" t="str">
        <f t="shared" si="936"/>
        <v/>
      </c>
      <c r="AZ1630" s="467" t="str">
        <f t="shared" si="937"/>
        <v/>
      </c>
      <c r="BA1630" s="468" t="str">
        <f>IF(AS1630="","",IF(OR(AU1630="",AU1630="-"),"－",IF(OR(AZ1630=8,AZ1630=9),"",IF(OR(AW1630=3,AW1630=4,AW1630=5,AW1630=6),VLOOKUP(AU1630,INDEX((係数_バス貨物_ガソリン,係数_バス貨物_CNG,係数_バス貨物_軽油,係数_バス貨物_メタノール,係数_バス貨物_LPG),MATCH(AY1630,【参考】排出係数!$AI$4:$AI$671,1),1,BE1630):INDEX((係数_バス貨物_ガソリン,係数_バス貨物_CNG,係数_バス貨物_軽油,係数_バス貨物_メタノール,係数_バス貨物_LPG),MATCH(AY1630+1,【参考】排出係数!$AI$4:$AI$671,1)-1,5,BE1630),2,FALSE),IF(OR(AW1630=1,AW1630=2),VLOOKUP(AU1630,INDEX((係数_乗用_ガソリン,係数_乗用_CNG,係数_乗用_軽油,係数_乗用_メタノール,係数_乗用_LPG),1,1,BE1630):INDEX((係数_乗用_ガソリン,係数_乗用_CNG,係数_乗用_軽油,係数_乗用_メタノール,係数_乗用_LPG),125,5,BE1630),2,FALSE))))))</f>
        <v/>
      </c>
      <c r="BB1630" s="468" t="str">
        <f>IF(T1630="","",IF(OR(AU1630="",AU1630="-"),"－",IF(OR(AZ1630=8,AZ1630=9),"",IF(OR(AW1630=3,AW1630=4,AW1630=5,AW1630=6),VLOOKUP(AU1630,INDEX((係数_バス貨物_ガソリン,係数_バス貨物_CNG,係数_バス貨物_軽油,係数_バス貨物_メタノール,係数_バス貨物_LPG),MATCH(AY1630,【参考】排出係数!$AI$4:$AI$671,1),1,BE1630):INDEX((係数_バス貨物_ガソリン,係数_バス貨物_CNG,係数_バス貨物_軽油,係数_バス貨物_メタノール,係数_バス貨物_LPG),MATCH(AY1630+1,【参考】排出係数!$AI$4:$AI$671,1)-1,5,BE1630),3,FALSE),IF(OR(AW1630=1,AW1630=2),VLOOKUP(AU1630,INDEX((係数_乗用_ガソリン,係数_乗用_CNG,係数_乗用_軽油,係数_乗用_メタノール,係数_乗用_LPG),1,1,BE1630):INDEX((係数_乗用_ガソリン,係数_乗用_CNG,係数_乗用_軽油,係数_乗用_メタノール,係数_乗用_LPG),125,5,BE1630),3,FALSE))))))</f>
        <v/>
      </c>
      <c r="BC1630" s="467" t="str">
        <f t="shared" si="938"/>
        <v/>
      </c>
      <c r="BD1630" s="567" t="str">
        <f t="shared" si="939"/>
        <v/>
      </c>
      <c r="BE1630" s="467" t="str">
        <f t="shared" si="940"/>
        <v/>
      </c>
      <c r="BF1630" s="469" t="str">
        <f t="shared" ca="1" si="941"/>
        <v/>
      </c>
      <c r="BG1630" s="469" t="str">
        <f t="shared" ca="1" si="942"/>
        <v/>
      </c>
      <c r="BH1630" s="467" t="str">
        <f t="shared" si="943"/>
        <v/>
      </c>
      <c r="BI1630" s="467" t="str">
        <f t="shared" ca="1" si="944"/>
        <v/>
      </c>
      <c r="BJ1630" s="469" t="str">
        <f t="shared" si="945"/>
        <v/>
      </c>
      <c r="BK1630" s="470" t="str">
        <f t="shared" si="929"/>
        <v/>
      </c>
      <c r="BL1630" s="775" t="str">
        <f t="shared" si="946"/>
        <v/>
      </c>
      <c r="BM1630" s="775" t="str">
        <f t="shared" si="947"/>
        <v/>
      </c>
    </row>
    <row r="1631" spans="1:65">
      <c r="A1631" s="473">
        <v>1575</v>
      </c>
      <c r="B1631" s="132"/>
      <c r="C1631" s="332"/>
      <c r="D1631" s="333"/>
      <c r="E1631" s="333"/>
      <c r="F1631" s="334"/>
      <c r="G1631" s="337"/>
      <c r="H1631" s="131"/>
      <c r="I1631" s="337"/>
      <c r="J1631" s="131"/>
      <c r="K1631" s="458" t="str">
        <f t="shared" si="910"/>
        <v/>
      </c>
      <c r="L1631" s="458">
        <f t="shared" si="911"/>
        <v>0</v>
      </c>
      <c r="M1631" s="458">
        <f t="shared" si="912"/>
        <v>0</v>
      </c>
      <c r="N1631" s="459" t="str">
        <f t="shared" si="923"/>
        <v/>
      </c>
      <c r="O1631" s="459" t="str">
        <f t="shared" si="924"/>
        <v/>
      </c>
      <c r="P1631" s="459" t="str">
        <f t="shared" si="925"/>
        <v/>
      </c>
      <c r="Q1631" s="459" t="str">
        <f t="shared" si="926"/>
        <v/>
      </c>
      <c r="R1631" s="459" t="str">
        <f t="shared" si="927"/>
        <v/>
      </c>
      <c r="S1631" s="459" t="str">
        <f t="shared" si="928"/>
        <v/>
      </c>
      <c r="T1631" s="566" t="str">
        <f t="shared" si="913"/>
        <v/>
      </c>
      <c r="U1631" s="702"/>
      <c r="V1631" s="132"/>
      <c r="W1631" s="133"/>
      <c r="X1631" s="134"/>
      <c r="Y1631" s="135"/>
      <c r="Z1631" s="137"/>
      <c r="AA1631" s="136"/>
      <c r="AB1631" s="566" t="str">
        <f t="shared" si="914"/>
        <v/>
      </c>
      <c r="AC1631" s="568" t="str">
        <f t="shared" si="915"/>
        <v/>
      </c>
      <c r="AD1631" s="137"/>
      <c r="AE1631" s="137"/>
      <c r="AF1631" s="138"/>
      <c r="AG1631" s="138"/>
      <c r="AH1631" s="592" t="str">
        <f t="shared" si="916"/>
        <v/>
      </c>
      <c r="AI1631" s="592" t="str">
        <f t="shared" si="917"/>
        <v/>
      </c>
      <c r="AJ1631" s="592" t="str">
        <f t="shared" si="918"/>
        <v/>
      </c>
      <c r="AK1631" s="460" t="str">
        <f>IF(AU1631="","",IF(OR(AZ1631=8,AZ1631=9),0,IF(OR(AW1631=3,AW1631=4,AW1631=5,AW1631=6),IF(LEFT(BF1631,1)="1",INDEX(係数_NOX・PM低減,MATCH(AY1631,【参考】排出係数!$AI$801:$AI$804,1),1),VLOOKUP(AU1631,INDEX((係数_バス貨物_ガソリン,係数_バス貨物_CNG,係数_バス貨物_軽油,係数_バス貨物_メタノール,係数_バス貨物_LPG),MATCH(AY1631,【参考】排出係数!$AI$4:$AI$671,1),1,BE1631):INDEX((係数_バス貨物_ガソリン,係数_バス貨物_CNG,係数_バス貨物_軽油,係数_バス貨物_メタノール,係数_バス貨物_LPG),MATCH(AY1631+1,【参考】排出係数!$AI$4:$AI$671,1)-1,5,BE1631),4,FALSE)),IF(AND(BE1631=3,LEFT(BF1631,1)="1"),0.48,VLOOKUP(AU1631,INDEX((係数_乗用_ガソリン,係数_乗用_CNG,係数_乗用_軽油,係数_乗用_メタノール,係数_乗用_LPG),1,1,BE1631):INDEX((係数_乗用_ガソリン,係数_乗用_CNG,係数_乗用_軽油,係数_乗用_メタノール,係数_乗用_LPG),125,5,BE1631),4,FALSE)))))</f>
        <v/>
      </c>
      <c r="AL1631" s="461" t="str">
        <f t="shared" si="919"/>
        <v/>
      </c>
      <c r="AM1631" s="460" t="str">
        <f>IF(AU1631="","",IF(OR(AZ1631=8,AZ1631=9),0,IF(OR(AW1631=3,AW1631=4,AW1631=5,AW1631=6),IF(LEFT(BH1631,1)="1",INDEX(係数_PM低減,MATCH(AY1631,【参考】排出係数!$AI$801:$AI$804,1),MATCH(BI1631,【参考】排出係数!$AL$798:$AO$798,1)),VLOOKUP(AU1631,INDEX((係数_バス貨物_ガソリン,係数_バス貨物_CNG,係数_バス貨物_軽油,係数_バス貨物_メタノール,係数_バス貨物_LPG),MATCH(AY1631,【参考】排出係数!$AI$4:$AI$671,1),1,BE1631):INDEX((係数_バス貨物_ガソリン,係数_バス貨物_CNG,係数_バス貨物_軽油,係数_バス貨物_メタノール,係数_バス貨物_LPG),MATCH(AY1631+1,【参考】排出係数!$AI$4:$AI$671,1)-1,5,BE1631),5,FALSE)),IF(AND(BE1631=3,LEFT(BF1631,1)="1"),0.055,VLOOKUP(AU1631,INDEX((係数_乗用_ガソリン,係数_乗用_CNG,係数_乗用_軽油,係数_乗用_メタノール,係数_乗用_LPG),1,1,BE1631):INDEX((係数_乗用_ガソリン,係数_乗用_CNG,係数_乗用_軽油,係数_乗用_メタノール,係数_乗用_LPG),125,5,BE1631),5,FALSE)))))</f>
        <v/>
      </c>
      <c r="AN1631" s="461" t="str">
        <f t="shared" si="920"/>
        <v/>
      </c>
      <c r="AO1631" s="462" t="str">
        <f t="shared" si="921"/>
        <v/>
      </c>
      <c r="AP1631" s="463" t="str">
        <f t="shared" si="922"/>
        <v/>
      </c>
      <c r="AQ1631" s="464"/>
      <c r="AR1631" s="619"/>
      <c r="AS1631" s="465" t="str">
        <f t="shared" si="930"/>
        <v/>
      </c>
      <c r="AT1631" s="465" t="str">
        <f t="shared" si="931"/>
        <v/>
      </c>
      <c r="AU1631" s="466" t="str">
        <f t="shared" si="932"/>
        <v/>
      </c>
      <c r="AV1631" s="467" t="str">
        <f t="shared" si="933"/>
        <v/>
      </c>
      <c r="AW1631" s="467" t="str">
        <f t="shared" si="934"/>
        <v/>
      </c>
      <c r="AX1631" s="467" t="str">
        <f t="shared" si="935"/>
        <v/>
      </c>
      <c r="AY1631" s="467" t="str">
        <f t="shared" si="936"/>
        <v/>
      </c>
      <c r="AZ1631" s="467" t="str">
        <f t="shared" si="937"/>
        <v/>
      </c>
      <c r="BA1631" s="468" t="str">
        <f>IF(AS1631="","",IF(OR(AU1631="",AU1631="-"),"－",IF(OR(AZ1631=8,AZ1631=9),"",IF(OR(AW1631=3,AW1631=4,AW1631=5,AW1631=6),VLOOKUP(AU1631,INDEX((係数_バス貨物_ガソリン,係数_バス貨物_CNG,係数_バス貨物_軽油,係数_バス貨物_メタノール,係数_バス貨物_LPG),MATCH(AY1631,【参考】排出係数!$AI$4:$AI$671,1),1,BE1631):INDEX((係数_バス貨物_ガソリン,係数_バス貨物_CNG,係数_バス貨物_軽油,係数_バス貨物_メタノール,係数_バス貨物_LPG),MATCH(AY1631+1,【参考】排出係数!$AI$4:$AI$671,1)-1,5,BE1631),2,FALSE),IF(OR(AW1631=1,AW1631=2),VLOOKUP(AU1631,INDEX((係数_乗用_ガソリン,係数_乗用_CNG,係数_乗用_軽油,係数_乗用_メタノール,係数_乗用_LPG),1,1,BE1631):INDEX((係数_乗用_ガソリン,係数_乗用_CNG,係数_乗用_軽油,係数_乗用_メタノール,係数_乗用_LPG),125,5,BE1631),2,FALSE))))))</f>
        <v/>
      </c>
      <c r="BB1631" s="468" t="str">
        <f>IF(T1631="","",IF(OR(AU1631="",AU1631="-"),"－",IF(OR(AZ1631=8,AZ1631=9),"",IF(OR(AW1631=3,AW1631=4,AW1631=5,AW1631=6),VLOOKUP(AU1631,INDEX((係数_バス貨物_ガソリン,係数_バス貨物_CNG,係数_バス貨物_軽油,係数_バス貨物_メタノール,係数_バス貨物_LPG),MATCH(AY1631,【参考】排出係数!$AI$4:$AI$671,1),1,BE1631):INDEX((係数_バス貨物_ガソリン,係数_バス貨物_CNG,係数_バス貨物_軽油,係数_バス貨物_メタノール,係数_バス貨物_LPG),MATCH(AY1631+1,【参考】排出係数!$AI$4:$AI$671,1)-1,5,BE1631),3,FALSE),IF(OR(AW1631=1,AW1631=2),VLOOKUP(AU1631,INDEX((係数_乗用_ガソリン,係数_乗用_CNG,係数_乗用_軽油,係数_乗用_メタノール,係数_乗用_LPG),1,1,BE1631):INDEX((係数_乗用_ガソリン,係数_乗用_CNG,係数_乗用_軽油,係数_乗用_メタノール,係数_乗用_LPG),125,5,BE1631),3,FALSE))))))</f>
        <v/>
      </c>
      <c r="BC1631" s="467" t="str">
        <f t="shared" si="938"/>
        <v/>
      </c>
      <c r="BD1631" s="567" t="str">
        <f t="shared" si="939"/>
        <v/>
      </c>
      <c r="BE1631" s="467" t="str">
        <f t="shared" si="940"/>
        <v/>
      </c>
      <c r="BF1631" s="469" t="str">
        <f t="shared" ca="1" si="941"/>
        <v/>
      </c>
      <c r="BG1631" s="469" t="str">
        <f t="shared" ca="1" si="942"/>
        <v/>
      </c>
      <c r="BH1631" s="467" t="str">
        <f t="shared" si="943"/>
        <v/>
      </c>
      <c r="BI1631" s="467" t="str">
        <f t="shared" ca="1" si="944"/>
        <v/>
      </c>
      <c r="BJ1631" s="469" t="str">
        <f t="shared" si="945"/>
        <v/>
      </c>
      <c r="BK1631" s="470" t="str">
        <f t="shared" si="929"/>
        <v/>
      </c>
      <c r="BL1631" s="775" t="str">
        <f t="shared" si="946"/>
        <v/>
      </c>
      <c r="BM1631" s="775" t="str">
        <f t="shared" si="947"/>
        <v/>
      </c>
    </row>
    <row r="1632" spans="1:65">
      <c r="A1632" s="473">
        <v>1576</v>
      </c>
      <c r="B1632" s="132"/>
      <c r="C1632" s="332"/>
      <c r="D1632" s="333"/>
      <c r="E1632" s="333"/>
      <c r="F1632" s="334"/>
      <c r="G1632" s="337"/>
      <c r="H1632" s="131"/>
      <c r="I1632" s="337"/>
      <c r="J1632" s="131"/>
      <c r="K1632" s="458" t="str">
        <f t="shared" si="910"/>
        <v/>
      </c>
      <c r="L1632" s="458">
        <f t="shared" si="911"/>
        <v>0</v>
      </c>
      <c r="M1632" s="458">
        <f t="shared" si="912"/>
        <v>0</v>
      </c>
      <c r="N1632" s="459" t="str">
        <f t="shared" si="923"/>
        <v/>
      </c>
      <c r="O1632" s="459" t="str">
        <f t="shared" si="924"/>
        <v/>
      </c>
      <c r="P1632" s="459" t="str">
        <f t="shared" si="925"/>
        <v/>
      </c>
      <c r="Q1632" s="459" t="str">
        <f t="shared" si="926"/>
        <v/>
      </c>
      <c r="R1632" s="459" t="str">
        <f t="shared" si="927"/>
        <v/>
      </c>
      <c r="S1632" s="459" t="str">
        <f t="shared" si="928"/>
        <v/>
      </c>
      <c r="T1632" s="566" t="str">
        <f t="shared" si="913"/>
        <v/>
      </c>
      <c r="U1632" s="702"/>
      <c r="V1632" s="132"/>
      <c r="W1632" s="133"/>
      <c r="X1632" s="134"/>
      <c r="Y1632" s="135"/>
      <c r="Z1632" s="137"/>
      <c r="AA1632" s="136"/>
      <c r="AB1632" s="566" t="str">
        <f t="shared" si="914"/>
        <v/>
      </c>
      <c r="AC1632" s="568" t="str">
        <f t="shared" si="915"/>
        <v/>
      </c>
      <c r="AD1632" s="137"/>
      <c r="AE1632" s="137"/>
      <c r="AF1632" s="138"/>
      <c r="AG1632" s="138"/>
      <c r="AH1632" s="592" t="str">
        <f t="shared" si="916"/>
        <v/>
      </c>
      <c r="AI1632" s="592" t="str">
        <f t="shared" si="917"/>
        <v/>
      </c>
      <c r="AJ1632" s="592" t="str">
        <f t="shared" si="918"/>
        <v/>
      </c>
      <c r="AK1632" s="460" t="str">
        <f>IF(AU1632="","",IF(OR(AZ1632=8,AZ1632=9),0,IF(OR(AW1632=3,AW1632=4,AW1632=5,AW1632=6),IF(LEFT(BF1632,1)="1",INDEX(係数_NOX・PM低減,MATCH(AY1632,【参考】排出係数!$AI$801:$AI$804,1),1),VLOOKUP(AU1632,INDEX((係数_バス貨物_ガソリン,係数_バス貨物_CNG,係数_バス貨物_軽油,係数_バス貨物_メタノール,係数_バス貨物_LPG),MATCH(AY1632,【参考】排出係数!$AI$4:$AI$671,1),1,BE1632):INDEX((係数_バス貨物_ガソリン,係数_バス貨物_CNG,係数_バス貨物_軽油,係数_バス貨物_メタノール,係数_バス貨物_LPG),MATCH(AY1632+1,【参考】排出係数!$AI$4:$AI$671,1)-1,5,BE1632),4,FALSE)),IF(AND(BE1632=3,LEFT(BF1632,1)="1"),0.48,VLOOKUP(AU1632,INDEX((係数_乗用_ガソリン,係数_乗用_CNG,係数_乗用_軽油,係数_乗用_メタノール,係数_乗用_LPG),1,1,BE1632):INDEX((係数_乗用_ガソリン,係数_乗用_CNG,係数_乗用_軽油,係数_乗用_メタノール,係数_乗用_LPG),125,5,BE1632),4,FALSE)))))</f>
        <v/>
      </c>
      <c r="AL1632" s="461" t="str">
        <f t="shared" si="919"/>
        <v/>
      </c>
      <c r="AM1632" s="460" t="str">
        <f>IF(AU1632="","",IF(OR(AZ1632=8,AZ1632=9),0,IF(OR(AW1632=3,AW1632=4,AW1632=5,AW1632=6),IF(LEFT(BH1632,1)="1",INDEX(係数_PM低減,MATCH(AY1632,【参考】排出係数!$AI$801:$AI$804,1),MATCH(BI1632,【参考】排出係数!$AL$798:$AO$798,1)),VLOOKUP(AU1632,INDEX((係数_バス貨物_ガソリン,係数_バス貨物_CNG,係数_バス貨物_軽油,係数_バス貨物_メタノール,係数_バス貨物_LPG),MATCH(AY1632,【参考】排出係数!$AI$4:$AI$671,1),1,BE1632):INDEX((係数_バス貨物_ガソリン,係数_バス貨物_CNG,係数_バス貨物_軽油,係数_バス貨物_メタノール,係数_バス貨物_LPG),MATCH(AY1632+1,【参考】排出係数!$AI$4:$AI$671,1)-1,5,BE1632),5,FALSE)),IF(AND(BE1632=3,LEFT(BF1632,1)="1"),0.055,VLOOKUP(AU1632,INDEX((係数_乗用_ガソリン,係数_乗用_CNG,係数_乗用_軽油,係数_乗用_メタノール,係数_乗用_LPG),1,1,BE1632):INDEX((係数_乗用_ガソリン,係数_乗用_CNG,係数_乗用_軽油,係数_乗用_メタノール,係数_乗用_LPG),125,5,BE1632),5,FALSE)))))</f>
        <v/>
      </c>
      <c r="AN1632" s="461" t="str">
        <f t="shared" si="920"/>
        <v/>
      </c>
      <c r="AO1632" s="462" t="str">
        <f t="shared" si="921"/>
        <v/>
      </c>
      <c r="AP1632" s="463" t="str">
        <f t="shared" si="922"/>
        <v/>
      </c>
      <c r="AQ1632" s="464"/>
      <c r="AR1632" s="619"/>
      <c r="AS1632" s="465" t="str">
        <f t="shared" si="930"/>
        <v/>
      </c>
      <c r="AT1632" s="465" t="str">
        <f t="shared" si="931"/>
        <v/>
      </c>
      <c r="AU1632" s="466" t="str">
        <f t="shared" si="932"/>
        <v/>
      </c>
      <c r="AV1632" s="467" t="str">
        <f t="shared" si="933"/>
        <v/>
      </c>
      <c r="AW1632" s="467" t="str">
        <f t="shared" si="934"/>
        <v/>
      </c>
      <c r="AX1632" s="467" t="str">
        <f t="shared" si="935"/>
        <v/>
      </c>
      <c r="AY1632" s="467" t="str">
        <f t="shared" si="936"/>
        <v/>
      </c>
      <c r="AZ1632" s="467" t="str">
        <f t="shared" si="937"/>
        <v/>
      </c>
      <c r="BA1632" s="468" t="str">
        <f>IF(AS1632="","",IF(OR(AU1632="",AU1632="-"),"－",IF(OR(AZ1632=8,AZ1632=9),"",IF(OR(AW1632=3,AW1632=4,AW1632=5,AW1632=6),VLOOKUP(AU1632,INDEX((係数_バス貨物_ガソリン,係数_バス貨物_CNG,係数_バス貨物_軽油,係数_バス貨物_メタノール,係数_バス貨物_LPG),MATCH(AY1632,【参考】排出係数!$AI$4:$AI$671,1),1,BE1632):INDEX((係数_バス貨物_ガソリン,係数_バス貨物_CNG,係数_バス貨物_軽油,係数_バス貨物_メタノール,係数_バス貨物_LPG),MATCH(AY1632+1,【参考】排出係数!$AI$4:$AI$671,1)-1,5,BE1632),2,FALSE),IF(OR(AW1632=1,AW1632=2),VLOOKUP(AU1632,INDEX((係数_乗用_ガソリン,係数_乗用_CNG,係数_乗用_軽油,係数_乗用_メタノール,係数_乗用_LPG),1,1,BE1632):INDEX((係数_乗用_ガソリン,係数_乗用_CNG,係数_乗用_軽油,係数_乗用_メタノール,係数_乗用_LPG),125,5,BE1632),2,FALSE))))))</f>
        <v/>
      </c>
      <c r="BB1632" s="468" t="str">
        <f>IF(T1632="","",IF(OR(AU1632="",AU1632="-"),"－",IF(OR(AZ1632=8,AZ1632=9),"",IF(OR(AW1632=3,AW1632=4,AW1632=5,AW1632=6),VLOOKUP(AU1632,INDEX((係数_バス貨物_ガソリン,係数_バス貨物_CNG,係数_バス貨物_軽油,係数_バス貨物_メタノール,係数_バス貨物_LPG),MATCH(AY1632,【参考】排出係数!$AI$4:$AI$671,1),1,BE1632):INDEX((係数_バス貨物_ガソリン,係数_バス貨物_CNG,係数_バス貨物_軽油,係数_バス貨物_メタノール,係数_バス貨物_LPG),MATCH(AY1632+1,【参考】排出係数!$AI$4:$AI$671,1)-1,5,BE1632),3,FALSE),IF(OR(AW1632=1,AW1632=2),VLOOKUP(AU1632,INDEX((係数_乗用_ガソリン,係数_乗用_CNG,係数_乗用_軽油,係数_乗用_メタノール,係数_乗用_LPG),1,1,BE1632):INDEX((係数_乗用_ガソリン,係数_乗用_CNG,係数_乗用_軽油,係数_乗用_メタノール,係数_乗用_LPG),125,5,BE1632),3,FALSE))))))</f>
        <v/>
      </c>
      <c r="BC1632" s="467" t="str">
        <f t="shared" si="938"/>
        <v/>
      </c>
      <c r="BD1632" s="567" t="str">
        <f t="shared" si="939"/>
        <v/>
      </c>
      <c r="BE1632" s="467" t="str">
        <f t="shared" si="940"/>
        <v/>
      </c>
      <c r="BF1632" s="469" t="str">
        <f t="shared" ca="1" si="941"/>
        <v/>
      </c>
      <c r="BG1632" s="469" t="str">
        <f t="shared" ca="1" si="942"/>
        <v/>
      </c>
      <c r="BH1632" s="467" t="str">
        <f t="shared" si="943"/>
        <v/>
      </c>
      <c r="BI1632" s="467" t="str">
        <f t="shared" ca="1" si="944"/>
        <v/>
      </c>
      <c r="BJ1632" s="469" t="str">
        <f t="shared" si="945"/>
        <v/>
      </c>
      <c r="BK1632" s="470" t="str">
        <f t="shared" si="929"/>
        <v/>
      </c>
      <c r="BL1632" s="775" t="str">
        <f t="shared" si="946"/>
        <v/>
      </c>
      <c r="BM1632" s="775" t="str">
        <f t="shared" si="947"/>
        <v/>
      </c>
    </row>
    <row r="1633" spans="1:65">
      <c r="A1633" s="473">
        <v>1577</v>
      </c>
      <c r="B1633" s="132"/>
      <c r="C1633" s="332"/>
      <c r="D1633" s="333"/>
      <c r="E1633" s="333"/>
      <c r="F1633" s="334"/>
      <c r="G1633" s="337"/>
      <c r="H1633" s="131"/>
      <c r="I1633" s="337"/>
      <c r="J1633" s="131"/>
      <c r="K1633" s="458" t="str">
        <f t="shared" si="910"/>
        <v/>
      </c>
      <c r="L1633" s="458">
        <f t="shared" si="911"/>
        <v>0</v>
      </c>
      <c r="M1633" s="458">
        <f t="shared" si="912"/>
        <v>0</v>
      </c>
      <c r="N1633" s="459" t="str">
        <f t="shared" si="923"/>
        <v/>
      </c>
      <c r="O1633" s="459" t="str">
        <f t="shared" si="924"/>
        <v/>
      </c>
      <c r="P1633" s="459" t="str">
        <f t="shared" si="925"/>
        <v/>
      </c>
      <c r="Q1633" s="459" t="str">
        <f t="shared" si="926"/>
        <v/>
      </c>
      <c r="R1633" s="459" t="str">
        <f t="shared" si="927"/>
        <v/>
      </c>
      <c r="S1633" s="459" t="str">
        <f t="shared" si="928"/>
        <v/>
      </c>
      <c r="T1633" s="566" t="str">
        <f t="shared" si="913"/>
        <v/>
      </c>
      <c r="U1633" s="702"/>
      <c r="V1633" s="132"/>
      <c r="W1633" s="133"/>
      <c r="X1633" s="134"/>
      <c r="Y1633" s="135"/>
      <c r="Z1633" s="137"/>
      <c r="AA1633" s="136"/>
      <c r="AB1633" s="566" t="str">
        <f t="shared" si="914"/>
        <v/>
      </c>
      <c r="AC1633" s="568" t="str">
        <f t="shared" si="915"/>
        <v/>
      </c>
      <c r="AD1633" s="137"/>
      <c r="AE1633" s="137"/>
      <c r="AF1633" s="138"/>
      <c r="AG1633" s="138"/>
      <c r="AH1633" s="592" t="str">
        <f t="shared" si="916"/>
        <v/>
      </c>
      <c r="AI1633" s="592" t="str">
        <f t="shared" si="917"/>
        <v/>
      </c>
      <c r="AJ1633" s="592" t="str">
        <f t="shared" si="918"/>
        <v/>
      </c>
      <c r="AK1633" s="460" t="str">
        <f>IF(AU1633="","",IF(OR(AZ1633=8,AZ1633=9),0,IF(OR(AW1633=3,AW1633=4,AW1633=5,AW1633=6),IF(LEFT(BF1633,1)="1",INDEX(係数_NOX・PM低減,MATCH(AY1633,【参考】排出係数!$AI$801:$AI$804,1),1),VLOOKUP(AU1633,INDEX((係数_バス貨物_ガソリン,係数_バス貨物_CNG,係数_バス貨物_軽油,係数_バス貨物_メタノール,係数_バス貨物_LPG),MATCH(AY1633,【参考】排出係数!$AI$4:$AI$671,1),1,BE1633):INDEX((係数_バス貨物_ガソリン,係数_バス貨物_CNG,係数_バス貨物_軽油,係数_バス貨物_メタノール,係数_バス貨物_LPG),MATCH(AY1633+1,【参考】排出係数!$AI$4:$AI$671,1)-1,5,BE1633),4,FALSE)),IF(AND(BE1633=3,LEFT(BF1633,1)="1"),0.48,VLOOKUP(AU1633,INDEX((係数_乗用_ガソリン,係数_乗用_CNG,係数_乗用_軽油,係数_乗用_メタノール,係数_乗用_LPG),1,1,BE1633):INDEX((係数_乗用_ガソリン,係数_乗用_CNG,係数_乗用_軽油,係数_乗用_メタノール,係数_乗用_LPG),125,5,BE1633),4,FALSE)))))</f>
        <v/>
      </c>
      <c r="AL1633" s="461" t="str">
        <f t="shared" si="919"/>
        <v/>
      </c>
      <c r="AM1633" s="460" t="str">
        <f>IF(AU1633="","",IF(OR(AZ1633=8,AZ1633=9),0,IF(OR(AW1633=3,AW1633=4,AW1633=5,AW1633=6),IF(LEFT(BH1633,1)="1",INDEX(係数_PM低減,MATCH(AY1633,【参考】排出係数!$AI$801:$AI$804,1),MATCH(BI1633,【参考】排出係数!$AL$798:$AO$798,1)),VLOOKUP(AU1633,INDEX((係数_バス貨物_ガソリン,係数_バス貨物_CNG,係数_バス貨物_軽油,係数_バス貨物_メタノール,係数_バス貨物_LPG),MATCH(AY1633,【参考】排出係数!$AI$4:$AI$671,1),1,BE1633):INDEX((係数_バス貨物_ガソリン,係数_バス貨物_CNG,係数_バス貨物_軽油,係数_バス貨物_メタノール,係数_バス貨物_LPG),MATCH(AY1633+1,【参考】排出係数!$AI$4:$AI$671,1)-1,5,BE1633),5,FALSE)),IF(AND(BE1633=3,LEFT(BF1633,1)="1"),0.055,VLOOKUP(AU1633,INDEX((係数_乗用_ガソリン,係数_乗用_CNG,係数_乗用_軽油,係数_乗用_メタノール,係数_乗用_LPG),1,1,BE1633):INDEX((係数_乗用_ガソリン,係数_乗用_CNG,係数_乗用_軽油,係数_乗用_メタノール,係数_乗用_LPG),125,5,BE1633),5,FALSE)))))</f>
        <v/>
      </c>
      <c r="AN1633" s="461" t="str">
        <f t="shared" si="920"/>
        <v/>
      </c>
      <c r="AO1633" s="462" t="str">
        <f t="shared" si="921"/>
        <v/>
      </c>
      <c r="AP1633" s="463" t="str">
        <f t="shared" si="922"/>
        <v/>
      </c>
      <c r="AQ1633" s="464"/>
      <c r="AR1633" s="619"/>
      <c r="AS1633" s="465" t="str">
        <f t="shared" si="930"/>
        <v/>
      </c>
      <c r="AT1633" s="465" t="str">
        <f t="shared" si="931"/>
        <v/>
      </c>
      <c r="AU1633" s="466" t="str">
        <f t="shared" si="932"/>
        <v/>
      </c>
      <c r="AV1633" s="467" t="str">
        <f t="shared" si="933"/>
        <v/>
      </c>
      <c r="AW1633" s="467" t="str">
        <f t="shared" si="934"/>
        <v/>
      </c>
      <c r="AX1633" s="467" t="str">
        <f t="shared" si="935"/>
        <v/>
      </c>
      <c r="AY1633" s="467" t="str">
        <f t="shared" si="936"/>
        <v/>
      </c>
      <c r="AZ1633" s="467" t="str">
        <f t="shared" si="937"/>
        <v/>
      </c>
      <c r="BA1633" s="468" t="str">
        <f>IF(AS1633="","",IF(OR(AU1633="",AU1633="-"),"－",IF(OR(AZ1633=8,AZ1633=9),"",IF(OR(AW1633=3,AW1633=4,AW1633=5,AW1633=6),VLOOKUP(AU1633,INDEX((係数_バス貨物_ガソリン,係数_バス貨物_CNG,係数_バス貨物_軽油,係数_バス貨物_メタノール,係数_バス貨物_LPG),MATCH(AY1633,【参考】排出係数!$AI$4:$AI$671,1),1,BE1633):INDEX((係数_バス貨物_ガソリン,係数_バス貨物_CNG,係数_バス貨物_軽油,係数_バス貨物_メタノール,係数_バス貨物_LPG),MATCH(AY1633+1,【参考】排出係数!$AI$4:$AI$671,1)-1,5,BE1633),2,FALSE),IF(OR(AW1633=1,AW1633=2),VLOOKUP(AU1633,INDEX((係数_乗用_ガソリン,係数_乗用_CNG,係数_乗用_軽油,係数_乗用_メタノール,係数_乗用_LPG),1,1,BE1633):INDEX((係数_乗用_ガソリン,係数_乗用_CNG,係数_乗用_軽油,係数_乗用_メタノール,係数_乗用_LPG),125,5,BE1633),2,FALSE))))))</f>
        <v/>
      </c>
      <c r="BB1633" s="468" t="str">
        <f>IF(T1633="","",IF(OR(AU1633="",AU1633="-"),"－",IF(OR(AZ1633=8,AZ1633=9),"",IF(OR(AW1633=3,AW1633=4,AW1633=5,AW1633=6),VLOOKUP(AU1633,INDEX((係数_バス貨物_ガソリン,係数_バス貨物_CNG,係数_バス貨物_軽油,係数_バス貨物_メタノール,係数_バス貨物_LPG),MATCH(AY1633,【参考】排出係数!$AI$4:$AI$671,1),1,BE1633):INDEX((係数_バス貨物_ガソリン,係数_バス貨物_CNG,係数_バス貨物_軽油,係数_バス貨物_メタノール,係数_バス貨物_LPG),MATCH(AY1633+1,【参考】排出係数!$AI$4:$AI$671,1)-1,5,BE1633),3,FALSE),IF(OR(AW1633=1,AW1633=2),VLOOKUP(AU1633,INDEX((係数_乗用_ガソリン,係数_乗用_CNG,係数_乗用_軽油,係数_乗用_メタノール,係数_乗用_LPG),1,1,BE1633):INDEX((係数_乗用_ガソリン,係数_乗用_CNG,係数_乗用_軽油,係数_乗用_メタノール,係数_乗用_LPG),125,5,BE1633),3,FALSE))))))</f>
        <v/>
      </c>
      <c r="BC1633" s="467" t="str">
        <f t="shared" si="938"/>
        <v/>
      </c>
      <c r="BD1633" s="567" t="str">
        <f t="shared" si="939"/>
        <v/>
      </c>
      <c r="BE1633" s="467" t="str">
        <f t="shared" si="940"/>
        <v/>
      </c>
      <c r="BF1633" s="469" t="str">
        <f t="shared" ca="1" si="941"/>
        <v/>
      </c>
      <c r="BG1633" s="469" t="str">
        <f t="shared" ca="1" si="942"/>
        <v/>
      </c>
      <c r="BH1633" s="467" t="str">
        <f t="shared" si="943"/>
        <v/>
      </c>
      <c r="BI1633" s="467" t="str">
        <f t="shared" ca="1" si="944"/>
        <v/>
      </c>
      <c r="BJ1633" s="469" t="str">
        <f t="shared" si="945"/>
        <v/>
      </c>
      <c r="BK1633" s="470" t="str">
        <f t="shared" si="929"/>
        <v/>
      </c>
      <c r="BL1633" s="775" t="str">
        <f t="shared" si="946"/>
        <v/>
      </c>
      <c r="BM1633" s="775" t="str">
        <f t="shared" si="947"/>
        <v/>
      </c>
    </row>
    <row r="1634" spans="1:65">
      <c r="A1634" s="473">
        <v>1578</v>
      </c>
      <c r="B1634" s="132"/>
      <c r="C1634" s="332"/>
      <c r="D1634" s="333"/>
      <c r="E1634" s="333"/>
      <c r="F1634" s="334"/>
      <c r="G1634" s="337"/>
      <c r="H1634" s="131"/>
      <c r="I1634" s="337"/>
      <c r="J1634" s="131"/>
      <c r="K1634" s="458" t="str">
        <f t="shared" si="910"/>
        <v/>
      </c>
      <c r="L1634" s="458">
        <f t="shared" si="911"/>
        <v>0</v>
      </c>
      <c r="M1634" s="458">
        <f t="shared" si="912"/>
        <v>0</v>
      </c>
      <c r="N1634" s="459" t="str">
        <f t="shared" si="923"/>
        <v/>
      </c>
      <c r="O1634" s="459" t="str">
        <f t="shared" si="924"/>
        <v/>
      </c>
      <c r="P1634" s="459" t="str">
        <f t="shared" si="925"/>
        <v/>
      </c>
      <c r="Q1634" s="459" t="str">
        <f t="shared" si="926"/>
        <v/>
      </c>
      <c r="R1634" s="459" t="str">
        <f t="shared" si="927"/>
        <v/>
      </c>
      <c r="S1634" s="459" t="str">
        <f t="shared" si="928"/>
        <v/>
      </c>
      <c r="T1634" s="566" t="str">
        <f t="shared" si="913"/>
        <v/>
      </c>
      <c r="U1634" s="702"/>
      <c r="V1634" s="132"/>
      <c r="W1634" s="133"/>
      <c r="X1634" s="134"/>
      <c r="Y1634" s="135"/>
      <c r="Z1634" s="137"/>
      <c r="AA1634" s="136"/>
      <c r="AB1634" s="566" t="str">
        <f t="shared" si="914"/>
        <v/>
      </c>
      <c r="AC1634" s="568" t="str">
        <f t="shared" si="915"/>
        <v/>
      </c>
      <c r="AD1634" s="137"/>
      <c r="AE1634" s="137"/>
      <c r="AF1634" s="138"/>
      <c r="AG1634" s="138"/>
      <c r="AH1634" s="592" t="str">
        <f t="shared" si="916"/>
        <v/>
      </c>
      <c r="AI1634" s="592" t="str">
        <f t="shared" si="917"/>
        <v/>
      </c>
      <c r="AJ1634" s="592" t="str">
        <f t="shared" si="918"/>
        <v/>
      </c>
      <c r="AK1634" s="460" t="str">
        <f>IF(AU1634="","",IF(OR(AZ1634=8,AZ1634=9),0,IF(OR(AW1634=3,AW1634=4,AW1634=5,AW1634=6),IF(LEFT(BF1634,1)="1",INDEX(係数_NOX・PM低減,MATCH(AY1634,【参考】排出係数!$AI$801:$AI$804,1),1),VLOOKUP(AU1634,INDEX((係数_バス貨物_ガソリン,係数_バス貨物_CNG,係数_バス貨物_軽油,係数_バス貨物_メタノール,係数_バス貨物_LPG),MATCH(AY1634,【参考】排出係数!$AI$4:$AI$671,1),1,BE1634):INDEX((係数_バス貨物_ガソリン,係数_バス貨物_CNG,係数_バス貨物_軽油,係数_バス貨物_メタノール,係数_バス貨物_LPG),MATCH(AY1634+1,【参考】排出係数!$AI$4:$AI$671,1)-1,5,BE1634),4,FALSE)),IF(AND(BE1634=3,LEFT(BF1634,1)="1"),0.48,VLOOKUP(AU1634,INDEX((係数_乗用_ガソリン,係数_乗用_CNG,係数_乗用_軽油,係数_乗用_メタノール,係数_乗用_LPG),1,1,BE1634):INDEX((係数_乗用_ガソリン,係数_乗用_CNG,係数_乗用_軽油,係数_乗用_メタノール,係数_乗用_LPG),125,5,BE1634),4,FALSE)))))</f>
        <v/>
      </c>
      <c r="AL1634" s="461" t="str">
        <f t="shared" si="919"/>
        <v/>
      </c>
      <c r="AM1634" s="460" t="str">
        <f>IF(AU1634="","",IF(OR(AZ1634=8,AZ1634=9),0,IF(OR(AW1634=3,AW1634=4,AW1634=5,AW1634=6),IF(LEFT(BH1634,1)="1",INDEX(係数_PM低減,MATCH(AY1634,【参考】排出係数!$AI$801:$AI$804,1),MATCH(BI1634,【参考】排出係数!$AL$798:$AO$798,1)),VLOOKUP(AU1634,INDEX((係数_バス貨物_ガソリン,係数_バス貨物_CNG,係数_バス貨物_軽油,係数_バス貨物_メタノール,係数_バス貨物_LPG),MATCH(AY1634,【参考】排出係数!$AI$4:$AI$671,1),1,BE1634):INDEX((係数_バス貨物_ガソリン,係数_バス貨物_CNG,係数_バス貨物_軽油,係数_バス貨物_メタノール,係数_バス貨物_LPG),MATCH(AY1634+1,【参考】排出係数!$AI$4:$AI$671,1)-1,5,BE1634),5,FALSE)),IF(AND(BE1634=3,LEFT(BF1634,1)="1"),0.055,VLOOKUP(AU1634,INDEX((係数_乗用_ガソリン,係数_乗用_CNG,係数_乗用_軽油,係数_乗用_メタノール,係数_乗用_LPG),1,1,BE1634):INDEX((係数_乗用_ガソリン,係数_乗用_CNG,係数_乗用_軽油,係数_乗用_メタノール,係数_乗用_LPG),125,5,BE1634),5,FALSE)))))</f>
        <v/>
      </c>
      <c r="AN1634" s="461" t="str">
        <f t="shared" si="920"/>
        <v/>
      </c>
      <c r="AO1634" s="462" t="str">
        <f t="shared" si="921"/>
        <v/>
      </c>
      <c r="AP1634" s="463" t="str">
        <f t="shared" si="922"/>
        <v/>
      </c>
      <c r="AQ1634" s="464"/>
      <c r="AR1634" s="619"/>
      <c r="AS1634" s="465" t="str">
        <f t="shared" si="930"/>
        <v/>
      </c>
      <c r="AT1634" s="465" t="str">
        <f t="shared" si="931"/>
        <v/>
      </c>
      <c r="AU1634" s="466" t="str">
        <f t="shared" si="932"/>
        <v/>
      </c>
      <c r="AV1634" s="467" t="str">
        <f t="shared" si="933"/>
        <v/>
      </c>
      <c r="AW1634" s="467" t="str">
        <f t="shared" si="934"/>
        <v/>
      </c>
      <c r="AX1634" s="467" t="str">
        <f t="shared" si="935"/>
        <v/>
      </c>
      <c r="AY1634" s="467" t="str">
        <f t="shared" si="936"/>
        <v/>
      </c>
      <c r="AZ1634" s="467" t="str">
        <f t="shared" si="937"/>
        <v/>
      </c>
      <c r="BA1634" s="468" t="str">
        <f>IF(AS1634="","",IF(OR(AU1634="",AU1634="-"),"－",IF(OR(AZ1634=8,AZ1634=9),"",IF(OR(AW1634=3,AW1634=4,AW1634=5,AW1634=6),VLOOKUP(AU1634,INDEX((係数_バス貨物_ガソリン,係数_バス貨物_CNG,係数_バス貨物_軽油,係数_バス貨物_メタノール,係数_バス貨物_LPG),MATCH(AY1634,【参考】排出係数!$AI$4:$AI$671,1),1,BE1634):INDEX((係数_バス貨物_ガソリン,係数_バス貨物_CNG,係数_バス貨物_軽油,係数_バス貨物_メタノール,係数_バス貨物_LPG),MATCH(AY1634+1,【参考】排出係数!$AI$4:$AI$671,1)-1,5,BE1634),2,FALSE),IF(OR(AW1634=1,AW1634=2),VLOOKUP(AU1634,INDEX((係数_乗用_ガソリン,係数_乗用_CNG,係数_乗用_軽油,係数_乗用_メタノール,係数_乗用_LPG),1,1,BE1634):INDEX((係数_乗用_ガソリン,係数_乗用_CNG,係数_乗用_軽油,係数_乗用_メタノール,係数_乗用_LPG),125,5,BE1634),2,FALSE))))))</f>
        <v/>
      </c>
      <c r="BB1634" s="468" t="str">
        <f>IF(T1634="","",IF(OR(AU1634="",AU1634="-"),"－",IF(OR(AZ1634=8,AZ1634=9),"",IF(OR(AW1634=3,AW1634=4,AW1634=5,AW1634=6),VLOOKUP(AU1634,INDEX((係数_バス貨物_ガソリン,係数_バス貨物_CNG,係数_バス貨物_軽油,係数_バス貨物_メタノール,係数_バス貨物_LPG),MATCH(AY1634,【参考】排出係数!$AI$4:$AI$671,1),1,BE1634):INDEX((係数_バス貨物_ガソリン,係数_バス貨物_CNG,係数_バス貨物_軽油,係数_バス貨物_メタノール,係数_バス貨物_LPG),MATCH(AY1634+1,【参考】排出係数!$AI$4:$AI$671,1)-1,5,BE1634),3,FALSE),IF(OR(AW1634=1,AW1634=2),VLOOKUP(AU1634,INDEX((係数_乗用_ガソリン,係数_乗用_CNG,係数_乗用_軽油,係数_乗用_メタノール,係数_乗用_LPG),1,1,BE1634):INDEX((係数_乗用_ガソリン,係数_乗用_CNG,係数_乗用_軽油,係数_乗用_メタノール,係数_乗用_LPG),125,5,BE1634),3,FALSE))))))</f>
        <v/>
      </c>
      <c r="BC1634" s="467" t="str">
        <f t="shared" si="938"/>
        <v/>
      </c>
      <c r="BD1634" s="567" t="str">
        <f t="shared" si="939"/>
        <v/>
      </c>
      <c r="BE1634" s="467" t="str">
        <f t="shared" si="940"/>
        <v/>
      </c>
      <c r="BF1634" s="469" t="str">
        <f t="shared" ca="1" si="941"/>
        <v/>
      </c>
      <c r="BG1634" s="469" t="str">
        <f t="shared" ca="1" si="942"/>
        <v/>
      </c>
      <c r="BH1634" s="467" t="str">
        <f t="shared" si="943"/>
        <v/>
      </c>
      <c r="BI1634" s="467" t="str">
        <f t="shared" ca="1" si="944"/>
        <v/>
      </c>
      <c r="BJ1634" s="469" t="str">
        <f t="shared" si="945"/>
        <v/>
      </c>
      <c r="BK1634" s="470" t="str">
        <f t="shared" si="929"/>
        <v/>
      </c>
      <c r="BL1634" s="775" t="str">
        <f t="shared" si="946"/>
        <v/>
      </c>
      <c r="BM1634" s="775" t="str">
        <f t="shared" si="947"/>
        <v/>
      </c>
    </row>
    <row r="1635" spans="1:65">
      <c r="A1635" s="473">
        <v>1579</v>
      </c>
      <c r="B1635" s="132"/>
      <c r="C1635" s="332"/>
      <c r="D1635" s="333"/>
      <c r="E1635" s="333"/>
      <c r="F1635" s="334"/>
      <c r="G1635" s="337"/>
      <c r="H1635" s="131"/>
      <c r="I1635" s="337"/>
      <c r="J1635" s="131"/>
      <c r="K1635" s="458" t="str">
        <f t="shared" si="910"/>
        <v/>
      </c>
      <c r="L1635" s="458">
        <f t="shared" si="911"/>
        <v>0</v>
      </c>
      <c r="M1635" s="458">
        <f t="shared" si="912"/>
        <v>0</v>
      </c>
      <c r="N1635" s="459" t="str">
        <f t="shared" si="923"/>
        <v/>
      </c>
      <c r="O1635" s="459" t="str">
        <f t="shared" si="924"/>
        <v/>
      </c>
      <c r="P1635" s="459" t="str">
        <f t="shared" si="925"/>
        <v/>
      </c>
      <c r="Q1635" s="459" t="str">
        <f t="shared" si="926"/>
        <v/>
      </c>
      <c r="R1635" s="459" t="str">
        <f t="shared" si="927"/>
        <v/>
      </c>
      <c r="S1635" s="459" t="str">
        <f t="shared" si="928"/>
        <v/>
      </c>
      <c r="T1635" s="566" t="str">
        <f t="shared" si="913"/>
        <v/>
      </c>
      <c r="U1635" s="702"/>
      <c r="V1635" s="132"/>
      <c r="W1635" s="133"/>
      <c r="X1635" s="134"/>
      <c r="Y1635" s="135"/>
      <c r="Z1635" s="137"/>
      <c r="AA1635" s="136"/>
      <c r="AB1635" s="566" t="str">
        <f t="shared" si="914"/>
        <v/>
      </c>
      <c r="AC1635" s="568" t="str">
        <f t="shared" si="915"/>
        <v/>
      </c>
      <c r="AD1635" s="137"/>
      <c r="AE1635" s="137"/>
      <c r="AF1635" s="138"/>
      <c r="AG1635" s="138"/>
      <c r="AH1635" s="592" t="str">
        <f t="shared" si="916"/>
        <v/>
      </c>
      <c r="AI1635" s="592" t="str">
        <f t="shared" si="917"/>
        <v/>
      </c>
      <c r="AJ1635" s="592" t="str">
        <f t="shared" si="918"/>
        <v/>
      </c>
      <c r="AK1635" s="460" t="str">
        <f>IF(AU1635="","",IF(OR(AZ1635=8,AZ1635=9),0,IF(OR(AW1635=3,AW1635=4,AW1635=5,AW1635=6),IF(LEFT(BF1635,1)="1",INDEX(係数_NOX・PM低減,MATCH(AY1635,【参考】排出係数!$AI$801:$AI$804,1),1),VLOOKUP(AU1635,INDEX((係数_バス貨物_ガソリン,係数_バス貨物_CNG,係数_バス貨物_軽油,係数_バス貨物_メタノール,係数_バス貨物_LPG),MATCH(AY1635,【参考】排出係数!$AI$4:$AI$671,1),1,BE1635):INDEX((係数_バス貨物_ガソリン,係数_バス貨物_CNG,係数_バス貨物_軽油,係数_バス貨物_メタノール,係数_バス貨物_LPG),MATCH(AY1635+1,【参考】排出係数!$AI$4:$AI$671,1)-1,5,BE1635),4,FALSE)),IF(AND(BE1635=3,LEFT(BF1635,1)="1"),0.48,VLOOKUP(AU1635,INDEX((係数_乗用_ガソリン,係数_乗用_CNG,係数_乗用_軽油,係数_乗用_メタノール,係数_乗用_LPG),1,1,BE1635):INDEX((係数_乗用_ガソリン,係数_乗用_CNG,係数_乗用_軽油,係数_乗用_メタノール,係数_乗用_LPG),125,5,BE1635),4,FALSE)))))</f>
        <v/>
      </c>
      <c r="AL1635" s="461" t="str">
        <f t="shared" si="919"/>
        <v/>
      </c>
      <c r="AM1635" s="460" t="str">
        <f>IF(AU1635="","",IF(OR(AZ1635=8,AZ1635=9),0,IF(OR(AW1635=3,AW1635=4,AW1635=5,AW1635=6),IF(LEFT(BH1635,1)="1",INDEX(係数_PM低減,MATCH(AY1635,【参考】排出係数!$AI$801:$AI$804,1),MATCH(BI1635,【参考】排出係数!$AL$798:$AO$798,1)),VLOOKUP(AU1635,INDEX((係数_バス貨物_ガソリン,係数_バス貨物_CNG,係数_バス貨物_軽油,係数_バス貨物_メタノール,係数_バス貨物_LPG),MATCH(AY1635,【参考】排出係数!$AI$4:$AI$671,1),1,BE1635):INDEX((係数_バス貨物_ガソリン,係数_バス貨物_CNG,係数_バス貨物_軽油,係数_バス貨物_メタノール,係数_バス貨物_LPG),MATCH(AY1635+1,【参考】排出係数!$AI$4:$AI$671,1)-1,5,BE1635),5,FALSE)),IF(AND(BE1635=3,LEFT(BF1635,1)="1"),0.055,VLOOKUP(AU1635,INDEX((係数_乗用_ガソリン,係数_乗用_CNG,係数_乗用_軽油,係数_乗用_メタノール,係数_乗用_LPG),1,1,BE1635):INDEX((係数_乗用_ガソリン,係数_乗用_CNG,係数_乗用_軽油,係数_乗用_メタノール,係数_乗用_LPG),125,5,BE1635),5,FALSE)))))</f>
        <v/>
      </c>
      <c r="AN1635" s="461" t="str">
        <f t="shared" si="920"/>
        <v/>
      </c>
      <c r="AO1635" s="462" t="str">
        <f t="shared" si="921"/>
        <v/>
      </c>
      <c r="AP1635" s="463" t="str">
        <f t="shared" si="922"/>
        <v/>
      </c>
      <c r="AQ1635" s="464"/>
      <c r="AR1635" s="619"/>
      <c r="AS1635" s="465" t="str">
        <f t="shared" si="930"/>
        <v/>
      </c>
      <c r="AT1635" s="465" t="str">
        <f t="shared" si="931"/>
        <v/>
      </c>
      <c r="AU1635" s="466" t="str">
        <f t="shared" si="932"/>
        <v/>
      </c>
      <c r="AV1635" s="467" t="str">
        <f t="shared" si="933"/>
        <v/>
      </c>
      <c r="AW1635" s="467" t="str">
        <f t="shared" si="934"/>
        <v/>
      </c>
      <c r="AX1635" s="467" t="str">
        <f t="shared" si="935"/>
        <v/>
      </c>
      <c r="AY1635" s="467" t="str">
        <f t="shared" si="936"/>
        <v/>
      </c>
      <c r="AZ1635" s="467" t="str">
        <f t="shared" si="937"/>
        <v/>
      </c>
      <c r="BA1635" s="468" t="str">
        <f>IF(AS1635="","",IF(OR(AU1635="",AU1635="-"),"－",IF(OR(AZ1635=8,AZ1635=9),"",IF(OR(AW1635=3,AW1635=4,AW1635=5,AW1635=6),VLOOKUP(AU1635,INDEX((係数_バス貨物_ガソリン,係数_バス貨物_CNG,係数_バス貨物_軽油,係数_バス貨物_メタノール,係数_バス貨物_LPG),MATCH(AY1635,【参考】排出係数!$AI$4:$AI$671,1),1,BE1635):INDEX((係数_バス貨物_ガソリン,係数_バス貨物_CNG,係数_バス貨物_軽油,係数_バス貨物_メタノール,係数_バス貨物_LPG),MATCH(AY1635+1,【参考】排出係数!$AI$4:$AI$671,1)-1,5,BE1635),2,FALSE),IF(OR(AW1635=1,AW1635=2),VLOOKUP(AU1635,INDEX((係数_乗用_ガソリン,係数_乗用_CNG,係数_乗用_軽油,係数_乗用_メタノール,係数_乗用_LPG),1,1,BE1635):INDEX((係数_乗用_ガソリン,係数_乗用_CNG,係数_乗用_軽油,係数_乗用_メタノール,係数_乗用_LPG),125,5,BE1635),2,FALSE))))))</f>
        <v/>
      </c>
      <c r="BB1635" s="468" t="str">
        <f>IF(T1635="","",IF(OR(AU1635="",AU1635="-"),"－",IF(OR(AZ1635=8,AZ1635=9),"",IF(OR(AW1635=3,AW1635=4,AW1635=5,AW1635=6),VLOOKUP(AU1635,INDEX((係数_バス貨物_ガソリン,係数_バス貨物_CNG,係数_バス貨物_軽油,係数_バス貨物_メタノール,係数_バス貨物_LPG),MATCH(AY1635,【参考】排出係数!$AI$4:$AI$671,1),1,BE1635):INDEX((係数_バス貨物_ガソリン,係数_バス貨物_CNG,係数_バス貨物_軽油,係数_バス貨物_メタノール,係数_バス貨物_LPG),MATCH(AY1635+1,【参考】排出係数!$AI$4:$AI$671,1)-1,5,BE1635),3,FALSE),IF(OR(AW1635=1,AW1635=2),VLOOKUP(AU1635,INDEX((係数_乗用_ガソリン,係数_乗用_CNG,係数_乗用_軽油,係数_乗用_メタノール,係数_乗用_LPG),1,1,BE1635):INDEX((係数_乗用_ガソリン,係数_乗用_CNG,係数_乗用_軽油,係数_乗用_メタノール,係数_乗用_LPG),125,5,BE1635),3,FALSE))))))</f>
        <v/>
      </c>
      <c r="BC1635" s="467" t="str">
        <f t="shared" si="938"/>
        <v/>
      </c>
      <c r="BD1635" s="567" t="str">
        <f t="shared" si="939"/>
        <v/>
      </c>
      <c r="BE1635" s="467" t="str">
        <f t="shared" si="940"/>
        <v/>
      </c>
      <c r="BF1635" s="469" t="str">
        <f t="shared" ca="1" si="941"/>
        <v/>
      </c>
      <c r="BG1635" s="469" t="str">
        <f t="shared" ca="1" si="942"/>
        <v/>
      </c>
      <c r="BH1635" s="467" t="str">
        <f t="shared" si="943"/>
        <v/>
      </c>
      <c r="BI1635" s="467" t="str">
        <f t="shared" ca="1" si="944"/>
        <v/>
      </c>
      <c r="BJ1635" s="469" t="str">
        <f t="shared" si="945"/>
        <v/>
      </c>
      <c r="BK1635" s="470" t="str">
        <f t="shared" si="929"/>
        <v/>
      </c>
      <c r="BL1635" s="775" t="str">
        <f t="shared" si="946"/>
        <v/>
      </c>
      <c r="BM1635" s="775" t="str">
        <f t="shared" si="947"/>
        <v/>
      </c>
    </row>
    <row r="1636" spans="1:65">
      <c r="A1636" s="473">
        <v>1580</v>
      </c>
      <c r="B1636" s="132"/>
      <c r="C1636" s="332"/>
      <c r="D1636" s="333"/>
      <c r="E1636" s="333"/>
      <c r="F1636" s="334"/>
      <c r="G1636" s="337"/>
      <c r="H1636" s="131"/>
      <c r="I1636" s="337"/>
      <c r="J1636" s="131"/>
      <c r="K1636" s="458" t="str">
        <f t="shared" si="910"/>
        <v/>
      </c>
      <c r="L1636" s="458">
        <f t="shared" si="911"/>
        <v>0</v>
      </c>
      <c r="M1636" s="458">
        <f t="shared" si="912"/>
        <v>0</v>
      </c>
      <c r="N1636" s="459" t="str">
        <f t="shared" si="923"/>
        <v/>
      </c>
      <c r="O1636" s="459" t="str">
        <f t="shared" si="924"/>
        <v/>
      </c>
      <c r="P1636" s="459" t="str">
        <f t="shared" si="925"/>
        <v/>
      </c>
      <c r="Q1636" s="459" t="str">
        <f t="shared" si="926"/>
        <v/>
      </c>
      <c r="R1636" s="459" t="str">
        <f t="shared" si="927"/>
        <v/>
      </c>
      <c r="S1636" s="459" t="str">
        <f t="shared" si="928"/>
        <v/>
      </c>
      <c r="T1636" s="566" t="str">
        <f t="shared" si="913"/>
        <v/>
      </c>
      <c r="U1636" s="702"/>
      <c r="V1636" s="132"/>
      <c r="W1636" s="133"/>
      <c r="X1636" s="134"/>
      <c r="Y1636" s="135"/>
      <c r="Z1636" s="137"/>
      <c r="AA1636" s="136"/>
      <c r="AB1636" s="566" t="str">
        <f t="shared" si="914"/>
        <v/>
      </c>
      <c r="AC1636" s="568" t="str">
        <f t="shared" si="915"/>
        <v/>
      </c>
      <c r="AD1636" s="137"/>
      <c r="AE1636" s="137"/>
      <c r="AF1636" s="138"/>
      <c r="AG1636" s="138"/>
      <c r="AH1636" s="592" t="str">
        <f t="shared" si="916"/>
        <v/>
      </c>
      <c r="AI1636" s="592" t="str">
        <f t="shared" si="917"/>
        <v/>
      </c>
      <c r="AJ1636" s="592" t="str">
        <f t="shared" si="918"/>
        <v/>
      </c>
      <c r="AK1636" s="460" t="str">
        <f>IF(AU1636="","",IF(OR(AZ1636=8,AZ1636=9),0,IF(OR(AW1636=3,AW1636=4,AW1636=5,AW1636=6),IF(LEFT(BF1636,1)="1",INDEX(係数_NOX・PM低減,MATCH(AY1636,【参考】排出係数!$AI$801:$AI$804,1),1),VLOOKUP(AU1636,INDEX((係数_バス貨物_ガソリン,係数_バス貨物_CNG,係数_バス貨物_軽油,係数_バス貨物_メタノール,係数_バス貨物_LPG),MATCH(AY1636,【参考】排出係数!$AI$4:$AI$671,1),1,BE1636):INDEX((係数_バス貨物_ガソリン,係数_バス貨物_CNG,係数_バス貨物_軽油,係数_バス貨物_メタノール,係数_バス貨物_LPG),MATCH(AY1636+1,【参考】排出係数!$AI$4:$AI$671,1)-1,5,BE1636),4,FALSE)),IF(AND(BE1636=3,LEFT(BF1636,1)="1"),0.48,VLOOKUP(AU1636,INDEX((係数_乗用_ガソリン,係数_乗用_CNG,係数_乗用_軽油,係数_乗用_メタノール,係数_乗用_LPG),1,1,BE1636):INDEX((係数_乗用_ガソリン,係数_乗用_CNG,係数_乗用_軽油,係数_乗用_メタノール,係数_乗用_LPG),125,5,BE1636),4,FALSE)))))</f>
        <v/>
      </c>
      <c r="AL1636" s="461" t="str">
        <f t="shared" si="919"/>
        <v/>
      </c>
      <c r="AM1636" s="460" t="str">
        <f>IF(AU1636="","",IF(OR(AZ1636=8,AZ1636=9),0,IF(OR(AW1636=3,AW1636=4,AW1636=5,AW1636=6),IF(LEFT(BH1636,1)="1",INDEX(係数_PM低減,MATCH(AY1636,【参考】排出係数!$AI$801:$AI$804,1),MATCH(BI1636,【参考】排出係数!$AL$798:$AO$798,1)),VLOOKUP(AU1636,INDEX((係数_バス貨物_ガソリン,係数_バス貨物_CNG,係数_バス貨物_軽油,係数_バス貨物_メタノール,係数_バス貨物_LPG),MATCH(AY1636,【参考】排出係数!$AI$4:$AI$671,1),1,BE1636):INDEX((係数_バス貨物_ガソリン,係数_バス貨物_CNG,係数_バス貨物_軽油,係数_バス貨物_メタノール,係数_バス貨物_LPG),MATCH(AY1636+1,【参考】排出係数!$AI$4:$AI$671,1)-1,5,BE1636),5,FALSE)),IF(AND(BE1636=3,LEFT(BF1636,1)="1"),0.055,VLOOKUP(AU1636,INDEX((係数_乗用_ガソリン,係数_乗用_CNG,係数_乗用_軽油,係数_乗用_メタノール,係数_乗用_LPG),1,1,BE1636):INDEX((係数_乗用_ガソリン,係数_乗用_CNG,係数_乗用_軽油,係数_乗用_メタノール,係数_乗用_LPG),125,5,BE1636),5,FALSE)))))</f>
        <v/>
      </c>
      <c r="AN1636" s="461" t="str">
        <f t="shared" si="920"/>
        <v/>
      </c>
      <c r="AO1636" s="462" t="str">
        <f t="shared" si="921"/>
        <v/>
      </c>
      <c r="AP1636" s="463" t="str">
        <f t="shared" si="922"/>
        <v/>
      </c>
      <c r="AQ1636" s="464"/>
      <c r="AR1636" s="619"/>
      <c r="AS1636" s="465" t="str">
        <f t="shared" si="930"/>
        <v/>
      </c>
      <c r="AT1636" s="465" t="str">
        <f t="shared" si="931"/>
        <v/>
      </c>
      <c r="AU1636" s="466" t="str">
        <f t="shared" si="932"/>
        <v/>
      </c>
      <c r="AV1636" s="467" t="str">
        <f t="shared" si="933"/>
        <v/>
      </c>
      <c r="AW1636" s="467" t="str">
        <f t="shared" si="934"/>
        <v/>
      </c>
      <c r="AX1636" s="467" t="str">
        <f t="shared" si="935"/>
        <v/>
      </c>
      <c r="AY1636" s="467" t="str">
        <f t="shared" si="936"/>
        <v/>
      </c>
      <c r="AZ1636" s="467" t="str">
        <f t="shared" si="937"/>
        <v/>
      </c>
      <c r="BA1636" s="468" t="str">
        <f>IF(AS1636="","",IF(OR(AU1636="",AU1636="-"),"－",IF(OR(AZ1636=8,AZ1636=9),"",IF(OR(AW1636=3,AW1636=4,AW1636=5,AW1636=6),VLOOKUP(AU1636,INDEX((係数_バス貨物_ガソリン,係数_バス貨物_CNG,係数_バス貨物_軽油,係数_バス貨物_メタノール,係数_バス貨物_LPG),MATCH(AY1636,【参考】排出係数!$AI$4:$AI$671,1),1,BE1636):INDEX((係数_バス貨物_ガソリン,係数_バス貨物_CNG,係数_バス貨物_軽油,係数_バス貨物_メタノール,係数_バス貨物_LPG),MATCH(AY1636+1,【参考】排出係数!$AI$4:$AI$671,1)-1,5,BE1636),2,FALSE),IF(OR(AW1636=1,AW1636=2),VLOOKUP(AU1636,INDEX((係数_乗用_ガソリン,係数_乗用_CNG,係数_乗用_軽油,係数_乗用_メタノール,係数_乗用_LPG),1,1,BE1636):INDEX((係数_乗用_ガソリン,係数_乗用_CNG,係数_乗用_軽油,係数_乗用_メタノール,係数_乗用_LPG),125,5,BE1636),2,FALSE))))))</f>
        <v/>
      </c>
      <c r="BB1636" s="468" t="str">
        <f>IF(T1636="","",IF(OR(AU1636="",AU1636="-"),"－",IF(OR(AZ1636=8,AZ1636=9),"",IF(OR(AW1636=3,AW1636=4,AW1636=5,AW1636=6),VLOOKUP(AU1636,INDEX((係数_バス貨物_ガソリン,係数_バス貨物_CNG,係数_バス貨物_軽油,係数_バス貨物_メタノール,係数_バス貨物_LPG),MATCH(AY1636,【参考】排出係数!$AI$4:$AI$671,1),1,BE1636):INDEX((係数_バス貨物_ガソリン,係数_バス貨物_CNG,係数_バス貨物_軽油,係数_バス貨物_メタノール,係数_バス貨物_LPG),MATCH(AY1636+1,【参考】排出係数!$AI$4:$AI$671,1)-1,5,BE1636),3,FALSE),IF(OR(AW1636=1,AW1636=2),VLOOKUP(AU1636,INDEX((係数_乗用_ガソリン,係数_乗用_CNG,係数_乗用_軽油,係数_乗用_メタノール,係数_乗用_LPG),1,1,BE1636):INDEX((係数_乗用_ガソリン,係数_乗用_CNG,係数_乗用_軽油,係数_乗用_メタノール,係数_乗用_LPG),125,5,BE1636),3,FALSE))))))</f>
        <v/>
      </c>
      <c r="BC1636" s="467" t="str">
        <f t="shared" si="938"/>
        <v/>
      </c>
      <c r="BD1636" s="567" t="str">
        <f t="shared" si="939"/>
        <v/>
      </c>
      <c r="BE1636" s="467" t="str">
        <f t="shared" si="940"/>
        <v/>
      </c>
      <c r="BF1636" s="469" t="str">
        <f t="shared" ca="1" si="941"/>
        <v/>
      </c>
      <c r="BG1636" s="469" t="str">
        <f t="shared" ca="1" si="942"/>
        <v/>
      </c>
      <c r="BH1636" s="467" t="str">
        <f t="shared" si="943"/>
        <v/>
      </c>
      <c r="BI1636" s="467" t="str">
        <f t="shared" ca="1" si="944"/>
        <v/>
      </c>
      <c r="BJ1636" s="469" t="str">
        <f t="shared" si="945"/>
        <v/>
      </c>
      <c r="BK1636" s="470" t="str">
        <f t="shared" si="929"/>
        <v/>
      </c>
      <c r="BL1636" s="775" t="str">
        <f t="shared" si="946"/>
        <v/>
      </c>
      <c r="BM1636" s="775" t="str">
        <f t="shared" si="947"/>
        <v/>
      </c>
    </row>
    <row r="1637" spans="1:65">
      <c r="A1637" s="473">
        <v>1581</v>
      </c>
      <c r="B1637" s="132"/>
      <c r="C1637" s="332"/>
      <c r="D1637" s="333"/>
      <c r="E1637" s="333"/>
      <c r="F1637" s="334"/>
      <c r="G1637" s="337"/>
      <c r="H1637" s="131"/>
      <c r="I1637" s="337"/>
      <c r="J1637" s="131"/>
      <c r="K1637" s="458" t="str">
        <f t="shared" si="910"/>
        <v/>
      </c>
      <c r="L1637" s="458">
        <f t="shared" si="911"/>
        <v>0</v>
      </c>
      <c r="M1637" s="458">
        <f t="shared" si="912"/>
        <v>0</v>
      </c>
      <c r="N1637" s="459" t="str">
        <f t="shared" si="923"/>
        <v/>
      </c>
      <c r="O1637" s="459" t="str">
        <f t="shared" si="924"/>
        <v/>
      </c>
      <c r="P1637" s="459" t="str">
        <f t="shared" si="925"/>
        <v/>
      </c>
      <c r="Q1637" s="459" t="str">
        <f t="shared" si="926"/>
        <v/>
      </c>
      <c r="R1637" s="459" t="str">
        <f t="shared" si="927"/>
        <v/>
      </c>
      <c r="S1637" s="459" t="str">
        <f t="shared" si="928"/>
        <v/>
      </c>
      <c r="T1637" s="566" t="str">
        <f t="shared" si="913"/>
        <v/>
      </c>
      <c r="U1637" s="702"/>
      <c r="V1637" s="132"/>
      <c r="W1637" s="133"/>
      <c r="X1637" s="134"/>
      <c r="Y1637" s="135"/>
      <c r="Z1637" s="137"/>
      <c r="AA1637" s="136"/>
      <c r="AB1637" s="566" t="str">
        <f t="shared" si="914"/>
        <v/>
      </c>
      <c r="AC1637" s="568" t="str">
        <f t="shared" si="915"/>
        <v/>
      </c>
      <c r="AD1637" s="137"/>
      <c r="AE1637" s="137"/>
      <c r="AF1637" s="138"/>
      <c r="AG1637" s="138"/>
      <c r="AH1637" s="592" t="str">
        <f t="shared" si="916"/>
        <v/>
      </c>
      <c r="AI1637" s="592" t="str">
        <f t="shared" si="917"/>
        <v/>
      </c>
      <c r="AJ1637" s="592" t="str">
        <f t="shared" si="918"/>
        <v/>
      </c>
      <c r="AK1637" s="460" t="str">
        <f>IF(AU1637="","",IF(OR(AZ1637=8,AZ1637=9),0,IF(OR(AW1637=3,AW1637=4,AW1637=5,AW1637=6),IF(LEFT(BF1637,1)="1",INDEX(係数_NOX・PM低減,MATCH(AY1637,【参考】排出係数!$AI$801:$AI$804,1),1),VLOOKUP(AU1637,INDEX((係数_バス貨物_ガソリン,係数_バス貨物_CNG,係数_バス貨物_軽油,係数_バス貨物_メタノール,係数_バス貨物_LPG),MATCH(AY1637,【参考】排出係数!$AI$4:$AI$671,1),1,BE1637):INDEX((係数_バス貨物_ガソリン,係数_バス貨物_CNG,係数_バス貨物_軽油,係数_バス貨物_メタノール,係数_バス貨物_LPG),MATCH(AY1637+1,【参考】排出係数!$AI$4:$AI$671,1)-1,5,BE1637),4,FALSE)),IF(AND(BE1637=3,LEFT(BF1637,1)="1"),0.48,VLOOKUP(AU1637,INDEX((係数_乗用_ガソリン,係数_乗用_CNG,係数_乗用_軽油,係数_乗用_メタノール,係数_乗用_LPG),1,1,BE1637):INDEX((係数_乗用_ガソリン,係数_乗用_CNG,係数_乗用_軽油,係数_乗用_メタノール,係数_乗用_LPG),125,5,BE1637),4,FALSE)))))</f>
        <v/>
      </c>
      <c r="AL1637" s="461" t="str">
        <f t="shared" si="919"/>
        <v/>
      </c>
      <c r="AM1637" s="460" t="str">
        <f>IF(AU1637="","",IF(OR(AZ1637=8,AZ1637=9),0,IF(OR(AW1637=3,AW1637=4,AW1637=5,AW1637=6),IF(LEFT(BH1637,1)="1",INDEX(係数_PM低減,MATCH(AY1637,【参考】排出係数!$AI$801:$AI$804,1),MATCH(BI1637,【参考】排出係数!$AL$798:$AO$798,1)),VLOOKUP(AU1637,INDEX((係数_バス貨物_ガソリン,係数_バス貨物_CNG,係数_バス貨物_軽油,係数_バス貨物_メタノール,係数_バス貨物_LPG),MATCH(AY1637,【参考】排出係数!$AI$4:$AI$671,1),1,BE1637):INDEX((係数_バス貨物_ガソリン,係数_バス貨物_CNG,係数_バス貨物_軽油,係数_バス貨物_メタノール,係数_バス貨物_LPG),MATCH(AY1637+1,【参考】排出係数!$AI$4:$AI$671,1)-1,5,BE1637),5,FALSE)),IF(AND(BE1637=3,LEFT(BF1637,1)="1"),0.055,VLOOKUP(AU1637,INDEX((係数_乗用_ガソリン,係数_乗用_CNG,係数_乗用_軽油,係数_乗用_メタノール,係数_乗用_LPG),1,1,BE1637):INDEX((係数_乗用_ガソリン,係数_乗用_CNG,係数_乗用_軽油,係数_乗用_メタノール,係数_乗用_LPG),125,5,BE1637),5,FALSE)))))</f>
        <v/>
      </c>
      <c r="AN1637" s="461" t="str">
        <f t="shared" si="920"/>
        <v/>
      </c>
      <c r="AO1637" s="462" t="str">
        <f t="shared" si="921"/>
        <v/>
      </c>
      <c r="AP1637" s="463" t="str">
        <f t="shared" si="922"/>
        <v/>
      </c>
      <c r="AQ1637" s="464"/>
      <c r="AR1637" s="619"/>
      <c r="AS1637" s="465" t="str">
        <f t="shared" si="930"/>
        <v/>
      </c>
      <c r="AT1637" s="465" t="str">
        <f t="shared" si="931"/>
        <v/>
      </c>
      <c r="AU1637" s="466" t="str">
        <f t="shared" si="932"/>
        <v/>
      </c>
      <c r="AV1637" s="467" t="str">
        <f t="shared" si="933"/>
        <v/>
      </c>
      <c r="AW1637" s="467" t="str">
        <f t="shared" si="934"/>
        <v/>
      </c>
      <c r="AX1637" s="467" t="str">
        <f t="shared" si="935"/>
        <v/>
      </c>
      <c r="AY1637" s="467" t="str">
        <f t="shared" si="936"/>
        <v/>
      </c>
      <c r="AZ1637" s="467" t="str">
        <f t="shared" si="937"/>
        <v/>
      </c>
      <c r="BA1637" s="468" t="str">
        <f>IF(AS1637="","",IF(OR(AU1637="",AU1637="-"),"－",IF(OR(AZ1637=8,AZ1637=9),"",IF(OR(AW1637=3,AW1637=4,AW1637=5,AW1637=6),VLOOKUP(AU1637,INDEX((係数_バス貨物_ガソリン,係数_バス貨物_CNG,係数_バス貨物_軽油,係数_バス貨物_メタノール,係数_バス貨物_LPG),MATCH(AY1637,【参考】排出係数!$AI$4:$AI$671,1),1,BE1637):INDEX((係数_バス貨物_ガソリン,係数_バス貨物_CNG,係数_バス貨物_軽油,係数_バス貨物_メタノール,係数_バス貨物_LPG),MATCH(AY1637+1,【参考】排出係数!$AI$4:$AI$671,1)-1,5,BE1637),2,FALSE),IF(OR(AW1637=1,AW1637=2),VLOOKUP(AU1637,INDEX((係数_乗用_ガソリン,係数_乗用_CNG,係数_乗用_軽油,係数_乗用_メタノール,係数_乗用_LPG),1,1,BE1637):INDEX((係数_乗用_ガソリン,係数_乗用_CNG,係数_乗用_軽油,係数_乗用_メタノール,係数_乗用_LPG),125,5,BE1637),2,FALSE))))))</f>
        <v/>
      </c>
      <c r="BB1637" s="468" t="str">
        <f>IF(T1637="","",IF(OR(AU1637="",AU1637="-"),"－",IF(OR(AZ1637=8,AZ1637=9),"",IF(OR(AW1637=3,AW1637=4,AW1637=5,AW1637=6),VLOOKUP(AU1637,INDEX((係数_バス貨物_ガソリン,係数_バス貨物_CNG,係数_バス貨物_軽油,係数_バス貨物_メタノール,係数_バス貨物_LPG),MATCH(AY1637,【参考】排出係数!$AI$4:$AI$671,1),1,BE1637):INDEX((係数_バス貨物_ガソリン,係数_バス貨物_CNG,係数_バス貨物_軽油,係数_バス貨物_メタノール,係数_バス貨物_LPG),MATCH(AY1637+1,【参考】排出係数!$AI$4:$AI$671,1)-1,5,BE1637),3,FALSE),IF(OR(AW1637=1,AW1637=2),VLOOKUP(AU1637,INDEX((係数_乗用_ガソリン,係数_乗用_CNG,係数_乗用_軽油,係数_乗用_メタノール,係数_乗用_LPG),1,1,BE1637):INDEX((係数_乗用_ガソリン,係数_乗用_CNG,係数_乗用_軽油,係数_乗用_メタノール,係数_乗用_LPG),125,5,BE1637),3,FALSE))))))</f>
        <v/>
      </c>
      <c r="BC1637" s="467" t="str">
        <f t="shared" si="938"/>
        <v/>
      </c>
      <c r="BD1637" s="567" t="str">
        <f t="shared" si="939"/>
        <v/>
      </c>
      <c r="BE1637" s="467" t="str">
        <f t="shared" si="940"/>
        <v/>
      </c>
      <c r="BF1637" s="469" t="str">
        <f t="shared" ca="1" si="941"/>
        <v/>
      </c>
      <c r="BG1637" s="469" t="str">
        <f t="shared" ca="1" si="942"/>
        <v/>
      </c>
      <c r="BH1637" s="467" t="str">
        <f t="shared" si="943"/>
        <v/>
      </c>
      <c r="BI1637" s="467" t="str">
        <f t="shared" ca="1" si="944"/>
        <v/>
      </c>
      <c r="BJ1637" s="469" t="str">
        <f t="shared" si="945"/>
        <v/>
      </c>
      <c r="BK1637" s="470" t="str">
        <f t="shared" si="929"/>
        <v/>
      </c>
      <c r="BL1637" s="775" t="str">
        <f t="shared" si="946"/>
        <v/>
      </c>
      <c r="BM1637" s="775" t="str">
        <f t="shared" si="947"/>
        <v/>
      </c>
    </row>
    <row r="1638" spans="1:65">
      <c r="A1638" s="473">
        <v>1582</v>
      </c>
      <c r="B1638" s="132"/>
      <c r="C1638" s="332"/>
      <c r="D1638" s="333"/>
      <c r="E1638" s="333"/>
      <c r="F1638" s="334"/>
      <c r="G1638" s="337"/>
      <c r="H1638" s="131"/>
      <c r="I1638" s="337"/>
      <c r="J1638" s="131"/>
      <c r="K1638" s="458" t="str">
        <f t="shared" si="910"/>
        <v/>
      </c>
      <c r="L1638" s="458">
        <f t="shared" si="911"/>
        <v>0</v>
      </c>
      <c r="M1638" s="458">
        <f t="shared" si="912"/>
        <v>0</v>
      </c>
      <c r="N1638" s="459" t="str">
        <f t="shared" si="923"/>
        <v/>
      </c>
      <c r="O1638" s="459" t="str">
        <f t="shared" si="924"/>
        <v/>
      </c>
      <c r="P1638" s="459" t="str">
        <f t="shared" si="925"/>
        <v/>
      </c>
      <c r="Q1638" s="459" t="str">
        <f t="shared" si="926"/>
        <v/>
      </c>
      <c r="R1638" s="459" t="str">
        <f t="shared" si="927"/>
        <v/>
      </c>
      <c r="S1638" s="459" t="str">
        <f t="shared" si="928"/>
        <v/>
      </c>
      <c r="T1638" s="566" t="str">
        <f t="shared" si="913"/>
        <v/>
      </c>
      <c r="U1638" s="702"/>
      <c r="V1638" s="132"/>
      <c r="W1638" s="133"/>
      <c r="X1638" s="134"/>
      <c r="Y1638" s="135"/>
      <c r="Z1638" s="137"/>
      <c r="AA1638" s="136"/>
      <c r="AB1638" s="566" t="str">
        <f t="shared" si="914"/>
        <v/>
      </c>
      <c r="AC1638" s="568" t="str">
        <f t="shared" si="915"/>
        <v/>
      </c>
      <c r="AD1638" s="137"/>
      <c r="AE1638" s="137"/>
      <c r="AF1638" s="138"/>
      <c r="AG1638" s="138"/>
      <c r="AH1638" s="592" t="str">
        <f t="shared" si="916"/>
        <v/>
      </c>
      <c r="AI1638" s="592" t="str">
        <f t="shared" si="917"/>
        <v/>
      </c>
      <c r="AJ1638" s="592" t="str">
        <f t="shared" si="918"/>
        <v/>
      </c>
      <c r="AK1638" s="460" t="str">
        <f>IF(AU1638="","",IF(OR(AZ1638=8,AZ1638=9),0,IF(OR(AW1638=3,AW1638=4,AW1638=5,AW1638=6),IF(LEFT(BF1638,1)="1",INDEX(係数_NOX・PM低減,MATCH(AY1638,【参考】排出係数!$AI$801:$AI$804,1),1),VLOOKUP(AU1638,INDEX((係数_バス貨物_ガソリン,係数_バス貨物_CNG,係数_バス貨物_軽油,係数_バス貨物_メタノール,係数_バス貨物_LPG),MATCH(AY1638,【参考】排出係数!$AI$4:$AI$671,1),1,BE1638):INDEX((係数_バス貨物_ガソリン,係数_バス貨物_CNG,係数_バス貨物_軽油,係数_バス貨物_メタノール,係数_バス貨物_LPG),MATCH(AY1638+1,【参考】排出係数!$AI$4:$AI$671,1)-1,5,BE1638),4,FALSE)),IF(AND(BE1638=3,LEFT(BF1638,1)="1"),0.48,VLOOKUP(AU1638,INDEX((係数_乗用_ガソリン,係数_乗用_CNG,係数_乗用_軽油,係数_乗用_メタノール,係数_乗用_LPG),1,1,BE1638):INDEX((係数_乗用_ガソリン,係数_乗用_CNG,係数_乗用_軽油,係数_乗用_メタノール,係数_乗用_LPG),125,5,BE1638),4,FALSE)))))</f>
        <v/>
      </c>
      <c r="AL1638" s="461" t="str">
        <f t="shared" si="919"/>
        <v/>
      </c>
      <c r="AM1638" s="460" t="str">
        <f>IF(AU1638="","",IF(OR(AZ1638=8,AZ1638=9),0,IF(OR(AW1638=3,AW1638=4,AW1638=5,AW1638=6),IF(LEFT(BH1638,1)="1",INDEX(係数_PM低減,MATCH(AY1638,【参考】排出係数!$AI$801:$AI$804,1),MATCH(BI1638,【参考】排出係数!$AL$798:$AO$798,1)),VLOOKUP(AU1638,INDEX((係数_バス貨物_ガソリン,係数_バス貨物_CNG,係数_バス貨物_軽油,係数_バス貨物_メタノール,係数_バス貨物_LPG),MATCH(AY1638,【参考】排出係数!$AI$4:$AI$671,1),1,BE1638):INDEX((係数_バス貨物_ガソリン,係数_バス貨物_CNG,係数_バス貨物_軽油,係数_バス貨物_メタノール,係数_バス貨物_LPG),MATCH(AY1638+1,【参考】排出係数!$AI$4:$AI$671,1)-1,5,BE1638),5,FALSE)),IF(AND(BE1638=3,LEFT(BF1638,1)="1"),0.055,VLOOKUP(AU1638,INDEX((係数_乗用_ガソリン,係数_乗用_CNG,係数_乗用_軽油,係数_乗用_メタノール,係数_乗用_LPG),1,1,BE1638):INDEX((係数_乗用_ガソリン,係数_乗用_CNG,係数_乗用_軽油,係数_乗用_メタノール,係数_乗用_LPG),125,5,BE1638),5,FALSE)))))</f>
        <v/>
      </c>
      <c r="AN1638" s="461" t="str">
        <f t="shared" si="920"/>
        <v/>
      </c>
      <c r="AO1638" s="462" t="str">
        <f t="shared" si="921"/>
        <v/>
      </c>
      <c r="AP1638" s="463" t="str">
        <f t="shared" si="922"/>
        <v/>
      </c>
      <c r="AQ1638" s="464"/>
      <c r="AR1638" s="619"/>
      <c r="AS1638" s="465" t="str">
        <f t="shared" si="930"/>
        <v/>
      </c>
      <c r="AT1638" s="465" t="str">
        <f t="shared" si="931"/>
        <v/>
      </c>
      <c r="AU1638" s="466" t="str">
        <f t="shared" si="932"/>
        <v/>
      </c>
      <c r="AV1638" s="467" t="str">
        <f t="shared" si="933"/>
        <v/>
      </c>
      <c r="AW1638" s="467" t="str">
        <f t="shared" si="934"/>
        <v/>
      </c>
      <c r="AX1638" s="467" t="str">
        <f t="shared" si="935"/>
        <v/>
      </c>
      <c r="AY1638" s="467" t="str">
        <f t="shared" si="936"/>
        <v/>
      </c>
      <c r="AZ1638" s="467" t="str">
        <f t="shared" si="937"/>
        <v/>
      </c>
      <c r="BA1638" s="468" t="str">
        <f>IF(AS1638="","",IF(OR(AU1638="",AU1638="-"),"－",IF(OR(AZ1638=8,AZ1638=9),"",IF(OR(AW1638=3,AW1638=4,AW1638=5,AW1638=6),VLOOKUP(AU1638,INDEX((係数_バス貨物_ガソリン,係数_バス貨物_CNG,係数_バス貨物_軽油,係数_バス貨物_メタノール,係数_バス貨物_LPG),MATCH(AY1638,【参考】排出係数!$AI$4:$AI$671,1),1,BE1638):INDEX((係数_バス貨物_ガソリン,係数_バス貨物_CNG,係数_バス貨物_軽油,係数_バス貨物_メタノール,係数_バス貨物_LPG),MATCH(AY1638+1,【参考】排出係数!$AI$4:$AI$671,1)-1,5,BE1638),2,FALSE),IF(OR(AW1638=1,AW1638=2),VLOOKUP(AU1638,INDEX((係数_乗用_ガソリン,係数_乗用_CNG,係数_乗用_軽油,係数_乗用_メタノール,係数_乗用_LPG),1,1,BE1638):INDEX((係数_乗用_ガソリン,係数_乗用_CNG,係数_乗用_軽油,係数_乗用_メタノール,係数_乗用_LPG),125,5,BE1638),2,FALSE))))))</f>
        <v/>
      </c>
      <c r="BB1638" s="468" t="str">
        <f>IF(T1638="","",IF(OR(AU1638="",AU1638="-"),"－",IF(OR(AZ1638=8,AZ1638=9),"",IF(OR(AW1638=3,AW1638=4,AW1638=5,AW1638=6),VLOOKUP(AU1638,INDEX((係数_バス貨物_ガソリン,係数_バス貨物_CNG,係数_バス貨物_軽油,係数_バス貨物_メタノール,係数_バス貨物_LPG),MATCH(AY1638,【参考】排出係数!$AI$4:$AI$671,1),1,BE1638):INDEX((係数_バス貨物_ガソリン,係数_バス貨物_CNG,係数_バス貨物_軽油,係数_バス貨物_メタノール,係数_バス貨物_LPG),MATCH(AY1638+1,【参考】排出係数!$AI$4:$AI$671,1)-1,5,BE1638),3,FALSE),IF(OR(AW1638=1,AW1638=2),VLOOKUP(AU1638,INDEX((係数_乗用_ガソリン,係数_乗用_CNG,係数_乗用_軽油,係数_乗用_メタノール,係数_乗用_LPG),1,1,BE1638):INDEX((係数_乗用_ガソリン,係数_乗用_CNG,係数_乗用_軽油,係数_乗用_メタノール,係数_乗用_LPG),125,5,BE1638),3,FALSE))))))</f>
        <v/>
      </c>
      <c r="BC1638" s="467" t="str">
        <f t="shared" si="938"/>
        <v/>
      </c>
      <c r="BD1638" s="567" t="str">
        <f t="shared" si="939"/>
        <v/>
      </c>
      <c r="BE1638" s="467" t="str">
        <f t="shared" si="940"/>
        <v/>
      </c>
      <c r="BF1638" s="469" t="str">
        <f t="shared" ca="1" si="941"/>
        <v/>
      </c>
      <c r="BG1638" s="469" t="str">
        <f t="shared" ca="1" si="942"/>
        <v/>
      </c>
      <c r="BH1638" s="467" t="str">
        <f t="shared" si="943"/>
        <v/>
      </c>
      <c r="BI1638" s="467" t="str">
        <f t="shared" ca="1" si="944"/>
        <v/>
      </c>
      <c r="BJ1638" s="469" t="str">
        <f t="shared" si="945"/>
        <v/>
      </c>
      <c r="BK1638" s="470" t="str">
        <f t="shared" si="929"/>
        <v/>
      </c>
      <c r="BL1638" s="775" t="str">
        <f t="shared" si="946"/>
        <v/>
      </c>
      <c r="BM1638" s="775" t="str">
        <f t="shared" si="947"/>
        <v/>
      </c>
    </row>
    <row r="1639" spans="1:65">
      <c r="A1639" s="473">
        <v>1583</v>
      </c>
      <c r="B1639" s="132"/>
      <c r="C1639" s="332"/>
      <c r="D1639" s="333"/>
      <c r="E1639" s="333"/>
      <c r="F1639" s="334"/>
      <c r="G1639" s="337"/>
      <c r="H1639" s="131"/>
      <c r="I1639" s="337"/>
      <c r="J1639" s="131"/>
      <c r="K1639" s="458" t="str">
        <f t="shared" si="910"/>
        <v/>
      </c>
      <c r="L1639" s="458">
        <f t="shared" si="911"/>
        <v>0</v>
      </c>
      <c r="M1639" s="458">
        <f t="shared" si="912"/>
        <v>0</v>
      </c>
      <c r="N1639" s="459" t="str">
        <f t="shared" si="923"/>
        <v/>
      </c>
      <c r="O1639" s="459" t="str">
        <f t="shared" si="924"/>
        <v/>
      </c>
      <c r="P1639" s="459" t="str">
        <f t="shared" si="925"/>
        <v/>
      </c>
      <c r="Q1639" s="459" t="str">
        <f t="shared" si="926"/>
        <v/>
      </c>
      <c r="R1639" s="459" t="str">
        <f t="shared" si="927"/>
        <v/>
      </c>
      <c r="S1639" s="459" t="str">
        <f t="shared" si="928"/>
        <v/>
      </c>
      <c r="T1639" s="566" t="str">
        <f t="shared" si="913"/>
        <v/>
      </c>
      <c r="U1639" s="702"/>
      <c r="V1639" s="132"/>
      <c r="W1639" s="133"/>
      <c r="X1639" s="134"/>
      <c r="Y1639" s="135"/>
      <c r="Z1639" s="137"/>
      <c r="AA1639" s="136"/>
      <c r="AB1639" s="566" t="str">
        <f t="shared" si="914"/>
        <v/>
      </c>
      <c r="AC1639" s="568" t="str">
        <f t="shared" si="915"/>
        <v/>
      </c>
      <c r="AD1639" s="137"/>
      <c r="AE1639" s="137"/>
      <c r="AF1639" s="138"/>
      <c r="AG1639" s="138"/>
      <c r="AH1639" s="592" t="str">
        <f t="shared" si="916"/>
        <v/>
      </c>
      <c r="AI1639" s="592" t="str">
        <f t="shared" si="917"/>
        <v/>
      </c>
      <c r="AJ1639" s="592" t="str">
        <f t="shared" si="918"/>
        <v/>
      </c>
      <c r="AK1639" s="460" t="str">
        <f>IF(AU1639="","",IF(OR(AZ1639=8,AZ1639=9),0,IF(OR(AW1639=3,AW1639=4,AW1639=5,AW1639=6),IF(LEFT(BF1639,1)="1",INDEX(係数_NOX・PM低減,MATCH(AY1639,【参考】排出係数!$AI$801:$AI$804,1),1),VLOOKUP(AU1639,INDEX((係数_バス貨物_ガソリン,係数_バス貨物_CNG,係数_バス貨物_軽油,係数_バス貨物_メタノール,係数_バス貨物_LPG),MATCH(AY1639,【参考】排出係数!$AI$4:$AI$671,1),1,BE1639):INDEX((係数_バス貨物_ガソリン,係数_バス貨物_CNG,係数_バス貨物_軽油,係数_バス貨物_メタノール,係数_バス貨物_LPG),MATCH(AY1639+1,【参考】排出係数!$AI$4:$AI$671,1)-1,5,BE1639),4,FALSE)),IF(AND(BE1639=3,LEFT(BF1639,1)="1"),0.48,VLOOKUP(AU1639,INDEX((係数_乗用_ガソリン,係数_乗用_CNG,係数_乗用_軽油,係数_乗用_メタノール,係数_乗用_LPG),1,1,BE1639):INDEX((係数_乗用_ガソリン,係数_乗用_CNG,係数_乗用_軽油,係数_乗用_メタノール,係数_乗用_LPG),125,5,BE1639),4,FALSE)))))</f>
        <v/>
      </c>
      <c r="AL1639" s="461" t="str">
        <f t="shared" si="919"/>
        <v/>
      </c>
      <c r="AM1639" s="460" t="str">
        <f>IF(AU1639="","",IF(OR(AZ1639=8,AZ1639=9),0,IF(OR(AW1639=3,AW1639=4,AW1639=5,AW1639=6),IF(LEFT(BH1639,1)="1",INDEX(係数_PM低減,MATCH(AY1639,【参考】排出係数!$AI$801:$AI$804,1),MATCH(BI1639,【参考】排出係数!$AL$798:$AO$798,1)),VLOOKUP(AU1639,INDEX((係数_バス貨物_ガソリン,係数_バス貨物_CNG,係数_バス貨物_軽油,係数_バス貨物_メタノール,係数_バス貨物_LPG),MATCH(AY1639,【参考】排出係数!$AI$4:$AI$671,1),1,BE1639):INDEX((係数_バス貨物_ガソリン,係数_バス貨物_CNG,係数_バス貨物_軽油,係数_バス貨物_メタノール,係数_バス貨物_LPG),MATCH(AY1639+1,【参考】排出係数!$AI$4:$AI$671,1)-1,5,BE1639),5,FALSE)),IF(AND(BE1639=3,LEFT(BF1639,1)="1"),0.055,VLOOKUP(AU1639,INDEX((係数_乗用_ガソリン,係数_乗用_CNG,係数_乗用_軽油,係数_乗用_メタノール,係数_乗用_LPG),1,1,BE1639):INDEX((係数_乗用_ガソリン,係数_乗用_CNG,係数_乗用_軽油,係数_乗用_メタノール,係数_乗用_LPG),125,5,BE1639),5,FALSE)))))</f>
        <v/>
      </c>
      <c r="AN1639" s="461" t="str">
        <f t="shared" si="920"/>
        <v/>
      </c>
      <c r="AO1639" s="462" t="str">
        <f t="shared" si="921"/>
        <v/>
      </c>
      <c r="AP1639" s="463" t="str">
        <f t="shared" si="922"/>
        <v/>
      </c>
      <c r="AQ1639" s="464"/>
      <c r="AR1639" s="619"/>
      <c r="AS1639" s="465" t="str">
        <f t="shared" si="930"/>
        <v/>
      </c>
      <c r="AT1639" s="465" t="str">
        <f t="shared" si="931"/>
        <v/>
      </c>
      <c r="AU1639" s="466" t="str">
        <f t="shared" si="932"/>
        <v/>
      </c>
      <c r="AV1639" s="467" t="str">
        <f t="shared" si="933"/>
        <v/>
      </c>
      <c r="AW1639" s="467" t="str">
        <f t="shared" si="934"/>
        <v/>
      </c>
      <c r="AX1639" s="467" t="str">
        <f t="shared" si="935"/>
        <v/>
      </c>
      <c r="AY1639" s="467" t="str">
        <f t="shared" si="936"/>
        <v/>
      </c>
      <c r="AZ1639" s="467" t="str">
        <f t="shared" si="937"/>
        <v/>
      </c>
      <c r="BA1639" s="468" t="str">
        <f>IF(AS1639="","",IF(OR(AU1639="",AU1639="-"),"－",IF(OR(AZ1639=8,AZ1639=9),"",IF(OR(AW1639=3,AW1639=4,AW1639=5,AW1639=6),VLOOKUP(AU1639,INDEX((係数_バス貨物_ガソリン,係数_バス貨物_CNG,係数_バス貨物_軽油,係数_バス貨物_メタノール,係数_バス貨物_LPG),MATCH(AY1639,【参考】排出係数!$AI$4:$AI$671,1),1,BE1639):INDEX((係数_バス貨物_ガソリン,係数_バス貨物_CNG,係数_バス貨物_軽油,係数_バス貨物_メタノール,係数_バス貨物_LPG),MATCH(AY1639+1,【参考】排出係数!$AI$4:$AI$671,1)-1,5,BE1639),2,FALSE),IF(OR(AW1639=1,AW1639=2),VLOOKUP(AU1639,INDEX((係数_乗用_ガソリン,係数_乗用_CNG,係数_乗用_軽油,係数_乗用_メタノール,係数_乗用_LPG),1,1,BE1639):INDEX((係数_乗用_ガソリン,係数_乗用_CNG,係数_乗用_軽油,係数_乗用_メタノール,係数_乗用_LPG),125,5,BE1639),2,FALSE))))))</f>
        <v/>
      </c>
      <c r="BB1639" s="468" t="str">
        <f>IF(T1639="","",IF(OR(AU1639="",AU1639="-"),"－",IF(OR(AZ1639=8,AZ1639=9),"",IF(OR(AW1639=3,AW1639=4,AW1639=5,AW1639=6),VLOOKUP(AU1639,INDEX((係数_バス貨物_ガソリン,係数_バス貨物_CNG,係数_バス貨物_軽油,係数_バス貨物_メタノール,係数_バス貨物_LPG),MATCH(AY1639,【参考】排出係数!$AI$4:$AI$671,1),1,BE1639):INDEX((係数_バス貨物_ガソリン,係数_バス貨物_CNG,係数_バス貨物_軽油,係数_バス貨物_メタノール,係数_バス貨物_LPG),MATCH(AY1639+1,【参考】排出係数!$AI$4:$AI$671,1)-1,5,BE1639),3,FALSE),IF(OR(AW1639=1,AW1639=2),VLOOKUP(AU1639,INDEX((係数_乗用_ガソリン,係数_乗用_CNG,係数_乗用_軽油,係数_乗用_メタノール,係数_乗用_LPG),1,1,BE1639):INDEX((係数_乗用_ガソリン,係数_乗用_CNG,係数_乗用_軽油,係数_乗用_メタノール,係数_乗用_LPG),125,5,BE1639),3,FALSE))))))</f>
        <v/>
      </c>
      <c r="BC1639" s="467" t="str">
        <f t="shared" si="938"/>
        <v/>
      </c>
      <c r="BD1639" s="567" t="str">
        <f t="shared" si="939"/>
        <v/>
      </c>
      <c r="BE1639" s="467" t="str">
        <f t="shared" si="940"/>
        <v/>
      </c>
      <c r="BF1639" s="469" t="str">
        <f t="shared" ca="1" si="941"/>
        <v/>
      </c>
      <c r="BG1639" s="469" t="str">
        <f t="shared" ca="1" si="942"/>
        <v/>
      </c>
      <c r="BH1639" s="467" t="str">
        <f t="shared" si="943"/>
        <v/>
      </c>
      <c r="BI1639" s="467" t="str">
        <f t="shared" ca="1" si="944"/>
        <v/>
      </c>
      <c r="BJ1639" s="469" t="str">
        <f t="shared" si="945"/>
        <v/>
      </c>
      <c r="BK1639" s="470" t="str">
        <f t="shared" si="929"/>
        <v/>
      </c>
      <c r="BL1639" s="775" t="str">
        <f t="shared" si="946"/>
        <v/>
      </c>
      <c r="BM1639" s="775" t="str">
        <f t="shared" si="947"/>
        <v/>
      </c>
    </row>
    <row r="1640" spans="1:65">
      <c r="A1640" s="473">
        <v>1584</v>
      </c>
      <c r="B1640" s="132"/>
      <c r="C1640" s="332"/>
      <c r="D1640" s="333"/>
      <c r="E1640" s="333"/>
      <c r="F1640" s="334"/>
      <c r="G1640" s="337"/>
      <c r="H1640" s="131"/>
      <c r="I1640" s="337"/>
      <c r="J1640" s="131"/>
      <c r="K1640" s="458" t="str">
        <f t="shared" si="910"/>
        <v/>
      </c>
      <c r="L1640" s="458">
        <f t="shared" si="911"/>
        <v>0</v>
      </c>
      <c r="M1640" s="458">
        <f t="shared" si="912"/>
        <v>0</v>
      </c>
      <c r="N1640" s="459" t="str">
        <f t="shared" si="923"/>
        <v/>
      </c>
      <c r="O1640" s="459" t="str">
        <f t="shared" si="924"/>
        <v/>
      </c>
      <c r="P1640" s="459" t="str">
        <f t="shared" si="925"/>
        <v/>
      </c>
      <c r="Q1640" s="459" t="str">
        <f t="shared" si="926"/>
        <v/>
      </c>
      <c r="R1640" s="459" t="str">
        <f t="shared" si="927"/>
        <v/>
      </c>
      <c r="S1640" s="459" t="str">
        <f t="shared" si="928"/>
        <v/>
      </c>
      <c r="T1640" s="566" t="str">
        <f t="shared" si="913"/>
        <v/>
      </c>
      <c r="U1640" s="702"/>
      <c r="V1640" s="132"/>
      <c r="W1640" s="133"/>
      <c r="X1640" s="134"/>
      <c r="Y1640" s="135"/>
      <c r="Z1640" s="137"/>
      <c r="AA1640" s="136"/>
      <c r="AB1640" s="566" t="str">
        <f t="shared" si="914"/>
        <v/>
      </c>
      <c r="AC1640" s="568" t="str">
        <f t="shared" si="915"/>
        <v/>
      </c>
      <c r="AD1640" s="137"/>
      <c r="AE1640" s="137"/>
      <c r="AF1640" s="138"/>
      <c r="AG1640" s="138"/>
      <c r="AH1640" s="592" t="str">
        <f t="shared" si="916"/>
        <v/>
      </c>
      <c r="AI1640" s="592" t="str">
        <f t="shared" si="917"/>
        <v/>
      </c>
      <c r="AJ1640" s="592" t="str">
        <f t="shared" si="918"/>
        <v/>
      </c>
      <c r="AK1640" s="460" t="str">
        <f>IF(AU1640="","",IF(OR(AZ1640=8,AZ1640=9),0,IF(OR(AW1640=3,AW1640=4,AW1640=5,AW1640=6),IF(LEFT(BF1640,1)="1",INDEX(係数_NOX・PM低減,MATCH(AY1640,【参考】排出係数!$AI$801:$AI$804,1),1),VLOOKUP(AU1640,INDEX((係数_バス貨物_ガソリン,係数_バス貨物_CNG,係数_バス貨物_軽油,係数_バス貨物_メタノール,係数_バス貨物_LPG),MATCH(AY1640,【参考】排出係数!$AI$4:$AI$671,1),1,BE1640):INDEX((係数_バス貨物_ガソリン,係数_バス貨物_CNG,係数_バス貨物_軽油,係数_バス貨物_メタノール,係数_バス貨物_LPG),MATCH(AY1640+1,【参考】排出係数!$AI$4:$AI$671,1)-1,5,BE1640),4,FALSE)),IF(AND(BE1640=3,LEFT(BF1640,1)="1"),0.48,VLOOKUP(AU1640,INDEX((係数_乗用_ガソリン,係数_乗用_CNG,係数_乗用_軽油,係数_乗用_メタノール,係数_乗用_LPG),1,1,BE1640):INDEX((係数_乗用_ガソリン,係数_乗用_CNG,係数_乗用_軽油,係数_乗用_メタノール,係数_乗用_LPG),125,5,BE1640),4,FALSE)))))</f>
        <v/>
      </c>
      <c r="AL1640" s="461" t="str">
        <f t="shared" si="919"/>
        <v/>
      </c>
      <c r="AM1640" s="460" t="str">
        <f>IF(AU1640="","",IF(OR(AZ1640=8,AZ1640=9),0,IF(OR(AW1640=3,AW1640=4,AW1640=5,AW1640=6),IF(LEFT(BH1640,1)="1",INDEX(係数_PM低減,MATCH(AY1640,【参考】排出係数!$AI$801:$AI$804,1),MATCH(BI1640,【参考】排出係数!$AL$798:$AO$798,1)),VLOOKUP(AU1640,INDEX((係数_バス貨物_ガソリン,係数_バス貨物_CNG,係数_バス貨物_軽油,係数_バス貨物_メタノール,係数_バス貨物_LPG),MATCH(AY1640,【参考】排出係数!$AI$4:$AI$671,1),1,BE1640):INDEX((係数_バス貨物_ガソリン,係数_バス貨物_CNG,係数_バス貨物_軽油,係数_バス貨物_メタノール,係数_バス貨物_LPG),MATCH(AY1640+1,【参考】排出係数!$AI$4:$AI$671,1)-1,5,BE1640),5,FALSE)),IF(AND(BE1640=3,LEFT(BF1640,1)="1"),0.055,VLOOKUP(AU1640,INDEX((係数_乗用_ガソリン,係数_乗用_CNG,係数_乗用_軽油,係数_乗用_メタノール,係数_乗用_LPG),1,1,BE1640):INDEX((係数_乗用_ガソリン,係数_乗用_CNG,係数_乗用_軽油,係数_乗用_メタノール,係数_乗用_LPG),125,5,BE1640),5,FALSE)))))</f>
        <v/>
      </c>
      <c r="AN1640" s="461" t="str">
        <f t="shared" si="920"/>
        <v/>
      </c>
      <c r="AO1640" s="462" t="str">
        <f t="shared" si="921"/>
        <v/>
      </c>
      <c r="AP1640" s="463" t="str">
        <f t="shared" si="922"/>
        <v/>
      </c>
      <c r="AQ1640" s="464"/>
      <c r="AR1640" s="619"/>
      <c r="AS1640" s="465" t="str">
        <f t="shared" si="930"/>
        <v/>
      </c>
      <c r="AT1640" s="465" t="str">
        <f t="shared" si="931"/>
        <v/>
      </c>
      <c r="AU1640" s="466" t="str">
        <f t="shared" si="932"/>
        <v/>
      </c>
      <c r="AV1640" s="467" t="str">
        <f t="shared" si="933"/>
        <v/>
      </c>
      <c r="AW1640" s="467" t="str">
        <f t="shared" si="934"/>
        <v/>
      </c>
      <c r="AX1640" s="467" t="str">
        <f t="shared" si="935"/>
        <v/>
      </c>
      <c r="AY1640" s="467" t="str">
        <f t="shared" si="936"/>
        <v/>
      </c>
      <c r="AZ1640" s="467" t="str">
        <f t="shared" si="937"/>
        <v/>
      </c>
      <c r="BA1640" s="468" t="str">
        <f>IF(AS1640="","",IF(OR(AU1640="",AU1640="-"),"－",IF(OR(AZ1640=8,AZ1640=9),"",IF(OR(AW1640=3,AW1640=4,AW1640=5,AW1640=6),VLOOKUP(AU1640,INDEX((係数_バス貨物_ガソリン,係数_バス貨物_CNG,係数_バス貨物_軽油,係数_バス貨物_メタノール,係数_バス貨物_LPG),MATCH(AY1640,【参考】排出係数!$AI$4:$AI$671,1),1,BE1640):INDEX((係数_バス貨物_ガソリン,係数_バス貨物_CNG,係数_バス貨物_軽油,係数_バス貨物_メタノール,係数_バス貨物_LPG),MATCH(AY1640+1,【参考】排出係数!$AI$4:$AI$671,1)-1,5,BE1640),2,FALSE),IF(OR(AW1640=1,AW1640=2),VLOOKUP(AU1640,INDEX((係数_乗用_ガソリン,係数_乗用_CNG,係数_乗用_軽油,係数_乗用_メタノール,係数_乗用_LPG),1,1,BE1640):INDEX((係数_乗用_ガソリン,係数_乗用_CNG,係数_乗用_軽油,係数_乗用_メタノール,係数_乗用_LPG),125,5,BE1640),2,FALSE))))))</f>
        <v/>
      </c>
      <c r="BB1640" s="468" t="str">
        <f>IF(T1640="","",IF(OR(AU1640="",AU1640="-"),"－",IF(OR(AZ1640=8,AZ1640=9),"",IF(OR(AW1640=3,AW1640=4,AW1640=5,AW1640=6),VLOOKUP(AU1640,INDEX((係数_バス貨物_ガソリン,係数_バス貨物_CNG,係数_バス貨物_軽油,係数_バス貨物_メタノール,係数_バス貨物_LPG),MATCH(AY1640,【参考】排出係数!$AI$4:$AI$671,1),1,BE1640):INDEX((係数_バス貨物_ガソリン,係数_バス貨物_CNG,係数_バス貨物_軽油,係数_バス貨物_メタノール,係数_バス貨物_LPG),MATCH(AY1640+1,【参考】排出係数!$AI$4:$AI$671,1)-1,5,BE1640),3,FALSE),IF(OR(AW1640=1,AW1640=2),VLOOKUP(AU1640,INDEX((係数_乗用_ガソリン,係数_乗用_CNG,係数_乗用_軽油,係数_乗用_メタノール,係数_乗用_LPG),1,1,BE1640):INDEX((係数_乗用_ガソリン,係数_乗用_CNG,係数_乗用_軽油,係数_乗用_メタノール,係数_乗用_LPG),125,5,BE1640),3,FALSE))))))</f>
        <v/>
      </c>
      <c r="BC1640" s="467" t="str">
        <f t="shared" si="938"/>
        <v/>
      </c>
      <c r="BD1640" s="567" t="str">
        <f t="shared" si="939"/>
        <v/>
      </c>
      <c r="BE1640" s="467" t="str">
        <f t="shared" si="940"/>
        <v/>
      </c>
      <c r="BF1640" s="469" t="str">
        <f t="shared" ca="1" si="941"/>
        <v/>
      </c>
      <c r="BG1640" s="469" t="str">
        <f t="shared" ca="1" si="942"/>
        <v/>
      </c>
      <c r="BH1640" s="467" t="str">
        <f t="shared" si="943"/>
        <v/>
      </c>
      <c r="BI1640" s="467" t="str">
        <f t="shared" ca="1" si="944"/>
        <v/>
      </c>
      <c r="BJ1640" s="469" t="str">
        <f t="shared" si="945"/>
        <v/>
      </c>
      <c r="BK1640" s="470" t="str">
        <f t="shared" si="929"/>
        <v/>
      </c>
      <c r="BL1640" s="775" t="str">
        <f t="shared" si="946"/>
        <v/>
      </c>
      <c r="BM1640" s="775" t="str">
        <f t="shared" si="947"/>
        <v/>
      </c>
    </row>
    <row r="1641" spans="1:65">
      <c r="A1641" s="473">
        <v>1585</v>
      </c>
      <c r="B1641" s="132"/>
      <c r="C1641" s="332"/>
      <c r="D1641" s="333"/>
      <c r="E1641" s="333"/>
      <c r="F1641" s="334"/>
      <c r="G1641" s="337"/>
      <c r="H1641" s="131"/>
      <c r="I1641" s="337"/>
      <c r="J1641" s="131"/>
      <c r="K1641" s="458" t="str">
        <f t="shared" si="910"/>
        <v/>
      </c>
      <c r="L1641" s="458">
        <f t="shared" si="911"/>
        <v>0</v>
      </c>
      <c r="M1641" s="458">
        <f t="shared" si="912"/>
        <v>0</v>
      </c>
      <c r="N1641" s="459" t="str">
        <f t="shared" si="923"/>
        <v/>
      </c>
      <c r="O1641" s="459" t="str">
        <f t="shared" si="924"/>
        <v/>
      </c>
      <c r="P1641" s="459" t="str">
        <f t="shared" si="925"/>
        <v/>
      </c>
      <c r="Q1641" s="459" t="str">
        <f t="shared" si="926"/>
        <v/>
      </c>
      <c r="R1641" s="459" t="str">
        <f t="shared" si="927"/>
        <v/>
      </c>
      <c r="S1641" s="459" t="str">
        <f t="shared" si="928"/>
        <v/>
      </c>
      <c r="T1641" s="566" t="str">
        <f t="shared" si="913"/>
        <v/>
      </c>
      <c r="U1641" s="702"/>
      <c r="V1641" s="132"/>
      <c r="W1641" s="133"/>
      <c r="X1641" s="134"/>
      <c r="Y1641" s="135"/>
      <c r="Z1641" s="137"/>
      <c r="AA1641" s="136"/>
      <c r="AB1641" s="566" t="str">
        <f t="shared" si="914"/>
        <v/>
      </c>
      <c r="AC1641" s="568" t="str">
        <f t="shared" si="915"/>
        <v/>
      </c>
      <c r="AD1641" s="137"/>
      <c r="AE1641" s="137"/>
      <c r="AF1641" s="138"/>
      <c r="AG1641" s="138"/>
      <c r="AH1641" s="592" t="str">
        <f t="shared" si="916"/>
        <v/>
      </c>
      <c r="AI1641" s="592" t="str">
        <f t="shared" si="917"/>
        <v/>
      </c>
      <c r="AJ1641" s="592" t="str">
        <f t="shared" si="918"/>
        <v/>
      </c>
      <c r="AK1641" s="460" t="str">
        <f>IF(AU1641="","",IF(OR(AZ1641=8,AZ1641=9),0,IF(OR(AW1641=3,AW1641=4,AW1641=5,AW1641=6),IF(LEFT(BF1641,1)="1",INDEX(係数_NOX・PM低減,MATCH(AY1641,【参考】排出係数!$AI$801:$AI$804,1),1),VLOOKUP(AU1641,INDEX((係数_バス貨物_ガソリン,係数_バス貨物_CNG,係数_バス貨物_軽油,係数_バス貨物_メタノール,係数_バス貨物_LPG),MATCH(AY1641,【参考】排出係数!$AI$4:$AI$671,1),1,BE1641):INDEX((係数_バス貨物_ガソリン,係数_バス貨物_CNG,係数_バス貨物_軽油,係数_バス貨物_メタノール,係数_バス貨物_LPG),MATCH(AY1641+1,【参考】排出係数!$AI$4:$AI$671,1)-1,5,BE1641),4,FALSE)),IF(AND(BE1641=3,LEFT(BF1641,1)="1"),0.48,VLOOKUP(AU1641,INDEX((係数_乗用_ガソリン,係数_乗用_CNG,係数_乗用_軽油,係数_乗用_メタノール,係数_乗用_LPG),1,1,BE1641):INDEX((係数_乗用_ガソリン,係数_乗用_CNG,係数_乗用_軽油,係数_乗用_メタノール,係数_乗用_LPG),125,5,BE1641),4,FALSE)))))</f>
        <v/>
      </c>
      <c r="AL1641" s="461" t="str">
        <f t="shared" si="919"/>
        <v/>
      </c>
      <c r="AM1641" s="460" t="str">
        <f>IF(AU1641="","",IF(OR(AZ1641=8,AZ1641=9),0,IF(OR(AW1641=3,AW1641=4,AW1641=5,AW1641=6),IF(LEFT(BH1641,1)="1",INDEX(係数_PM低減,MATCH(AY1641,【参考】排出係数!$AI$801:$AI$804,1),MATCH(BI1641,【参考】排出係数!$AL$798:$AO$798,1)),VLOOKUP(AU1641,INDEX((係数_バス貨物_ガソリン,係数_バス貨物_CNG,係数_バス貨物_軽油,係数_バス貨物_メタノール,係数_バス貨物_LPG),MATCH(AY1641,【参考】排出係数!$AI$4:$AI$671,1),1,BE1641):INDEX((係数_バス貨物_ガソリン,係数_バス貨物_CNG,係数_バス貨物_軽油,係数_バス貨物_メタノール,係数_バス貨物_LPG),MATCH(AY1641+1,【参考】排出係数!$AI$4:$AI$671,1)-1,5,BE1641),5,FALSE)),IF(AND(BE1641=3,LEFT(BF1641,1)="1"),0.055,VLOOKUP(AU1641,INDEX((係数_乗用_ガソリン,係数_乗用_CNG,係数_乗用_軽油,係数_乗用_メタノール,係数_乗用_LPG),1,1,BE1641):INDEX((係数_乗用_ガソリン,係数_乗用_CNG,係数_乗用_軽油,係数_乗用_メタノール,係数_乗用_LPG),125,5,BE1641),5,FALSE)))))</f>
        <v/>
      </c>
      <c r="AN1641" s="461" t="str">
        <f t="shared" si="920"/>
        <v/>
      </c>
      <c r="AO1641" s="462" t="str">
        <f t="shared" si="921"/>
        <v/>
      </c>
      <c r="AP1641" s="463" t="str">
        <f t="shared" si="922"/>
        <v/>
      </c>
      <c r="AQ1641" s="464"/>
      <c r="AR1641" s="619"/>
      <c r="AS1641" s="465" t="str">
        <f t="shared" si="930"/>
        <v/>
      </c>
      <c r="AT1641" s="465" t="str">
        <f t="shared" si="931"/>
        <v/>
      </c>
      <c r="AU1641" s="466" t="str">
        <f t="shared" si="932"/>
        <v/>
      </c>
      <c r="AV1641" s="467" t="str">
        <f t="shared" si="933"/>
        <v/>
      </c>
      <c r="AW1641" s="467" t="str">
        <f t="shared" si="934"/>
        <v/>
      </c>
      <c r="AX1641" s="467" t="str">
        <f t="shared" si="935"/>
        <v/>
      </c>
      <c r="AY1641" s="467" t="str">
        <f t="shared" si="936"/>
        <v/>
      </c>
      <c r="AZ1641" s="467" t="str">
        <f t="shared" si="937"/>
        <v/>
      </c>
      <c r="BA1641" s="468" t="str">
        <f>IF(AS1641="","",IF(OR(AU1641="",AU1641="-"),"－",IF(OR(AZ1641=8,AZ1641=9),"",IF(OR(AW1641=3,AW1641=4,AW1641=5,AW1641=6),VLOOKUP(AU1641,INDEX((係数_バス貨物_ガソリン,係数_バス貨物_CNG,係数_バス貨物_軽油,係数_バス貨物_メタノール,係数_バス貨物_LPG),MATCH(AY1641,【参考】排出係数!$AI$4:$AI$671,1),1,BE1641):INDEX((係数_バス貨物_ガソリン,係数_バス貨物_CNG,係数_バス貨物_軽油,係数_バス貨物_メタノール,係数_バス貨物_LPG),MATCH(AY1641+1,【参考】排出係数!$AI$4:$AI$671,1)-1,5,BE1641),2,FALSE),IF(OR(AW1641=1,AW1641=2),VLOOKUP(AU1641,INDEX((係数_乗用_ガソリン,係数_乗用_CNG,係数_乗用_軽油,係数_乗用_メタノール,係数_乗用_LPG),1,1,BE1641):INDEX((係数_乗用_ガソリン,係数_乗用_CNG,係数_乗用_軽油,係数_乗用_メタノール,係数_乗用_LPG),125,5,BE1641),2,FALSE))))))</f>
        <v/>
      </c>
      <c r="BB1641" s="468" t="str">
        <f>IF(T1641="","",IF(OR(AU1641="",AU1641="-"),"－",IF(OR(AZ1641=8,AZ1641=9),"",IF(OR(AW1641=3,AW1641=4,AW1641=5,AW1641=6),VLOOKUP(AU1641,INDEX((係数_バス貨物_ガソリン,係数_バス貨物_CNG,係数_バス貨物_軽油,係数_バス貨物_メタノール,係数_バス貨物_LPG),MATCH(AY1641,【参考】排出係数!$AI$4:$AI$671,1),1,BE1641):INDEX((係数_バス貨物_ガソリン,係数_バス貨物_CNG,係数_バス貨物_軽油,係数_バス貨物_メタノール,係数_バス貨物_LPG),MATCH(AY1641+1,【参考】排出係数!$AI$4:$AI$671,1)-1,5,BE1641),3,FALSE),IF(OR(AW1641=1,AW1641=2),VLOOKUP(AU1641,INDEX((係数_乗用_ガソリン,係数_乗用_CNG,係数_乗用_軽油,係数_乗用_メタノール,係数_乗用_LPG),1,1,BE1641):INDEX((係数_乗用_ガソリン,係数_乗用_CNG,係数_乗用_軽油,係数_乗用_メタノール,係数_乗用_LPG),125,5,BE1641),3,FALSE))))))</f>
        <v/>
      </c>
      <c r="BC1641" s="467" t="str">
        <f t="shared" si="938"/>
        <v/>
      </c>
      <c r="BD1641" s="567" t="str">
        <f t="shared" si="939"/>
        <v/>
      </c>
      <c r="BE1641" s="467" t="str">
        <f t="shared" si="940"/>
        <v/>
      </c>
      <c r="BF1641" s="469" t="str">
        <f t="shared" ca="1" si="941"/>
        <v/>
      </c>
      <c r="BG1641" s="469" t="str">
        <f t="shared" ca="1" si="942"/>
        <v/>
      </c>
      <c r="BH1641" s="467" t="str">
        <f t="shared" si="943"/>
        <v/>
      </c>
      <c r="BI1641" s="467" t="str">
        <f t="shared" ca="1" si="944"/>
        <v/>
      </c>
      <c r="BJ1641" s="469" t="str">
        <f t="shared" si="945"/>
        <v/>
      </c>
      <c r="BK1641" s="470" t="str">
        <f t="shared" si="929"/>
        <v/>
      </c>
      <c r="BL1641" s="775" t="str">
        <f t="shared" si="946"/>
        <v/>
      </c>
      <c r="BM1641" s="775" t="str">
        <f t="shared" si="947"/>
        <v/>
      </c>
    </row>
    <row r="1642" spans="1:65">
      <c r="A1642" s="473">
        <v>1586</v>
      </c>
      <c r="B1642" s="132"/>
      <c r="C1642" s="332"/>
      <c r="D1642" s="333"/>
      <c r="E1642" s="333"/>
      <c r="F1642" s="334"/>
      <c r="G1642" s="337"/>
      <c r="H1642" s="131"/>
      <c r="I1642" s="337"/>
      <c r="J1642" s="131"/>
      <c r="K1642" s="458" t="str">
        <f t="shared" si="910"/>
        <v/>
      </c>
      <c r="L1642" s="458">
        <f t="shared" si="911"/>
        <v>0</v>
      </c>
      <c r="M1642" s="458">
        <f t="shared" si="912"/>
        <v>0</v>
      </c>
      <c r="N1642" s="459" t="str">
        <f t="shared" si="923"/>
        <v/>
      </c>
      <c r="O1642" s="459" t="str">
        <f t="shared" si="924"/>
        <v/>
      </c>
      <c r="P1642" s="459" t="str">
        <f t="shared" si="925"/>
        <v/>
      </c>
      <c r="Q1642" s="459" t="str">
        <f t="shared" si="926"/>
        <v/>
      </c>
      <c r="R1642" s="459" t="str">
        <f t="shared" si="927"/>
        <v/>
      </c>
      <c r="S1642" s="459" t="str">
        <f t="shared" si="928"/>
        <v/>
      </c>
      <c r="T1642" s="566" t="str">
        <f t="shared" si="913"/>
        <v/>
      </c>
      <c r="U1642" s="702"/>
      <c r="V1642" s="132"/>
      <c r="W1642" s="133"/>
      <c r="X1642" s="134"/>
      <c r="Y1642" s="135"/>
      <c r="Z1642" s="137"/>
      <c r="AA1642" s="136"/>
      <c r="AB1642" s="566" t="str">
        <f t="shared" si="914"/>
        <v/>
      </c>
      <c r="AC1642" s="568" t="str">
        <f t="shared" si="915"/>
        <v/>
      </c>
      <c r="AD1642" s="137"/>
      <c r="AE1642" s="137"/>
      <c r="AF1642" s="138"/>
      <c r="AG1642" s="138"/>
      <c r="AH1642" s="592" t="str">
        <f t="shared" si="916"/>
        <v/>
      </c>
      <c r="AI1642" s="592" t="str">
        <f t="shared" si="917"/>
        <v/>
      </c>
      <c r="AJ1642" s="592" t="str">
        <f t="shared" si="918"/>
        <v/>
      </c>
      <c r="AK1642" s="460" t="str">
        <f>IF(AU1642="","",IF(OR(AZ1642=8,AZ1642=9),0,IF(OR(AW1642=3,AW1642=4,AW1642=5,AW1642=6),IF(LEFT(BF1642,1)="1",INDEX(係数_NOX・PM低減,MATCH(AY1642,【参考】排出係数!$AI$801:$AI$804,1),1),VLOOKUP(AU1642,INDEX((係数_バス貨物_ガソリン,係数_バス貨物_CNG,係数_バス貨物_軽油,係数_バス貨物_メタノール,係数_バス貨物_LPG),MATCH(AY1642,【参考】排出係数!$AI$4:$AI$671,1),1,BE1642):INDEX((係数_バス貨物_ガソリン,係数_バス貨物_CNG,係数_バス貨物_軽油,係数_バス貨物_メタノール,係数_バス貨物_LPG),MATCH(AY1642+1,【参考】排出係数!$AI$4:$AI$671,1)-1,5,BE1642),4,FALSE)),IF(AND(BE1642=3,LEFT(BF1642,1)="1"),0.48,VLOOKUP(AU1642,INDEX((係数_乗用_ガソリン,係数_乗用_CNG,係数_乗用_軽油,係数_乗用_メタノール,係数_乗用_LPG),1,1,BE1642):INDEX((係数_乗用_ガソリン,係数_乗用_CNG,係数_乗用_軽油,係数_乗用_メタノール,係数_乗用_LPG),125,5,BE1642),4,FALSE)))))</f>
        <v/>
      </c>
      <c r="AL1642" s="461" t="str">
        <f t="shared" si="919"/>
        <v/>
      </c>
      <c r="AM1642" s="460" t="str">
        <f>IF(AU1642="","",IF(OR(AZ1642=8,AZ1642=9),0,IF(OR(AW1642=3,AW1642=4,AW1642=5,AW1642=6),IF(LEFT(BH1642,1)="1",INDEX(係数_PM低減,MATCH(AY1642,【参考】排出係数!$AI$801:$AI$804,1),MATCH(BI1642,【参考】排出係数!$AL$798:$AO$798,1)),VLOOKUP(AU1642,INDEX((係数_バス貨物_ガソリン,係数_バス貨物_CNG,係数_バス貨物_軽油,係数_バス貨物_メタノール,係数_バス貨物_LPG),MATCH(AY1642,【参考】排出係数!$AI$4:$AI$671,1),1,BE1642):INDEX((係数_バス貨物_ガソリン,係数_バス貨物_CNG,係数_バス貨物_軽油,係数_バス貨物_メタノール,係数_バス貨物_LPG),MATCH(AY1642+1,【参考】排出係数!$AI$4:$AI$671,1)-1,5,BE1642),5,FALSE)),IF(AND(BE1642=3,LEFT(BF1642,1)="1"),0.055,VLOOKUP(AU1642,INDEX((係数_乗用_ガソリン,係数_乗用_CNG,係数_乗用_軽油,係数_乗用_メタノール,係数_乗用_LPG),1,1,BE1642):INDEX((係数_乗用_ガソリン,係数_乗用_CNG,係数_乗用_軽油,係数_乗用_メタノール,係数_乗用_LPG),125,5,BE1642),5,FALSE)))))</f>
        <v/>
      </c>
      <c r="AN1642" s="461" t="str">
        <f t="shared" si="920"/>
        <v/>
      </c>
      <c r="AO1642" s="462" t="str">
        <f t="shared" si="921"/>
        <v/>
      </c>
      <c r="AP1642" s="463" t="str">
        <f t="shared" si="922"/>
        <v/>
      </c>
      <c r="AQ1642" s="464"/>
      <c r="AR1642" s="619"/>
      <c r="AS1642" s="465" t="str">
        <f t="shared" si="930"/>
        <v/>
      </c>
      <c r="AT1642" s="465" t="str">
        <f t="shared" si="931"/>
        <v/>
      </c>
      <c r="AU1642" s="466" t="str">
        <f t="shared" si="932"/>
        <v/>
      </c>
      <c r="AV1642" s="467" t="str">
        <f t="shared" si="933"/>
        <v/>
      </c>
      <c r="AW1642" s="467" t="str">
        <f t="shared" si="934"/>
        <v/>
      </c>
      <c r="AX1642" s="467" t="str">
        <f t="shared" si="935"/>
        <v/>
      </c>
      <c r="AY1642" s="467" t="str">
        <f t="shared" si="936"/>
        <v/>
      </c>
      <c r="AZ1642" s="467" t="str">
        <f t="shared" si="937"/>
        <v/>
      </c>
      <c r="BA1642" s="468" t="str">
        <f>IF(AS1642="","",IF(OR(AU1642="",AU1642="-"),"－",IF(OR(AZ1642=8,AZ1642=9),"",IF(OR(AW1642=3,AW1642=4,AW1642=5,AW1642=6),VLOOKUP(AU1642,INDEX((係数_バス貨物_ガソリン,係数_バス貨物_CNG,係数_バス貨物_軽油,係数_バス貨物_メタノール,係数_バス貨物_LPG),MATCH(AY1642,【参考】排出係数!$AI$4:$AI$671,1),1,BE1642):INDEX((係数_バス貨物_ガソリン,係数_バス貨物_CNG,係数_バス貨物_軽油,係数_バス貨物_メタノール,係数_バス貨物_LPG),MATCH(AY1642+1,【参考】排出係数!$AI$4:$AI$671,1)-1,5,BE1642),2,FALSE),IF(OR(AW1642=1,AW1642=2),VLOOKUP(AU1642,INDEX((係数_乗用_ガソリン,係数_乗用_CNG,係数_乗用_軽油,係数_乗用_メタノール,係数_乗用_LPG),1,1,BE1642):INDEX((係数_乗用_ガソリン,係数_乗用_CNG,係数_乗用_軽油,係数_乗用_メタノール,係数_乗用_LPG),125,5,BE1642),2,FALSE))))))</f>
        <v/>
      </c>
      <c r="BB1642" s="468" t="str">
        <f>IF(T1642="","",IF(OR(AU1642="",AU1642="-"),"－",IF(OR(AZ1642=8,AZ1642=9),"",IF(OR(AW1642=3,AW1642=4,AW1642=5,AW1642=6),VLOOKUP(AU1642,INDEX((係数_バス貨物_ガソリン,係数_バス貨物_CNG,係数_バス貨物_軽油,係数_バス貨物_メタノール,係数_バス貨物_LPG),MATCH(AY1642,【参考】排出係数!$AI$4:$AI$671,1),1,BE1642):INDEX((係数_バス貨物_ガソリン,係数_バス貨物_CNG,係数_バス貨物_軽油,係数_バス貨物_メタノール,係数_バス貨物_LPG),MATCH(AY1642+1,【参考】排出係数!$AI$4:$AI$671,1)-1,5,BE1642),3,FALSE),IF(OR(AW1642=1,AW1642=2),VLOOKUP(AU1642,INDEX((係数_乗用_ガソリン,係数_乗用_CNG,係数_乗用_軽油,係数_乗用_メタノール,係数_乗用_LPG),1,1,BE1642):INDEX((係数_乗用_ガソリン,係数_乗用_CNG,係数_乗用_軽油,係数_乗用_メタノール,係数_乗用_LPG),125,5,BE1642),3,FALSE))))))</f>
        <v/>
      </c>
      <c r="BC1642" s="467" t="str">
        <f t="shared" si="938"/>
        <v/>
      </c>
      <c r="BD1642" s="567" t="str">
        <f t="shared" si="939"/>
        <v/>
      </c>
      <c r="BE1642" s="467" t="str">
        <f t="shared" si="940"/>
        <v/>
      </c>
      <c r="BF1642" s="469" t="str">
        <f t="shared" ca="1" si="941"/>
        <v/>
      </c>
      <c r="BG1642" s="469" t="str">
        <f t="shared" ca="1" si="942"/>
        <v/>
      </c>
      <c r="BH1642" s="467" t="str">
        <f t="shared" si="943"/>
        <v/>
      </c>
      <c r="BI1642" s="467" t="str">
        <f t="shared" ca="1" si="944"/>
        <v/>
      </c>
      <c r="BJ1642" s="469" t="str">
        <f t="shared" si="945"/>
        <v/>
      </c>
      <c r="BK1642" s="470" t="str">
        <f t="shared" si="929"/>
        <v/>
      </c>
      <c r="BL1642" s="775" t="str">
        <f t="shared" si="946"/>
        <v/>
      </c>
      <c r="BM1642" s="775" t="str">
        <f t="shared" si="947"/>
        <v/>
      </c>
    </row>
    <row r="1643" spans="1:65">
      <c r="A1643" s="473">
        <v>1587</v>
      </c>
      <c r="B1643" s="132"/>
      <c r="C1643" s="332"/>
      <c r="D1643" s="333"/>
      <c r="E1643" s="333"/>
      <c r="F1643" s="334"/>
      <c r="G1643" s="337"/>
      <c r="H1643" s="131"/>
      <c r="I1643" s="337"/>
      <c r="J1643" s="131"/>
      <c r="K1643" s="458" t="str">
        <f t="shared" si="910"/>
        <v/>
      </c>
      <c r="L1643" s="458">
        <f t="shared" si="911"/>
        <v>0</v>
      </c>
      <c r="M1643" s="458">
        <f t="shared" si="912"/>
        <v>0</v>
      </c>
      <c r="N1643" s="459" t="str">
        <f t="shared" si="923"/>
        <v/>
      </c>
      <c r="O1643" s="459" t="str">
        <f t="shared" si="924"/>
        <v/>
      </c>
      <c r="P1643" s="459" t="str">
        <f t="shared" si="925"/>
        <v/>
      </c>
      <c r="Q1643" s="459" t="str">
        <f t="shared" si="926"/>
        <v/>
      </c>
      <c r="R1643" s="459" t="str">
        <f t="shared" si="927"/>
        <v/>
      </c>
      <c r="S1643" s="459" t="str">
        <f t="shared" si="928"/>
        <v/>
      </c>
      <c r="T1643" s="566" t="str">
        <f t="shared" si="913"/>
        <v/>
      </c>
      <c r="U1643" s="702"/>
      <c r="V1643" s="132"/>
      <c r="W1643" s="133"/>
      <c r="X1643" s="134"/>
      <c r="Y1643" s="135"/>
      <c r="Z1643" s="137"/>
      <c r="AA1643" s="136"/>
      <c r="AB1643" s="566" t="str">
        <f t="shared" si="914"/>
        <v/>
      </c>
      <c r="AC1643" s="568" t="str">
        <f t="shared" si="915"/>
        <v/>
      </c>
      <c r="AD1643" s="137"/>
      <c r="AE1643" s="137"/>
      <c r="AF1643" s="138"/>
      <c r="AG1643" s="138"/>
      <c r="AH1643" s="592" t="str">
        <f t="shared" si="916"/>
        <v/>
      </c>
      <c r="AI1643" s="592" t="str">
        <f t="shared" si="917"/>
        <v/>
      </c>
      <c r="AJ1643" s="592" t="str">
        <f t="shared" si="918"/>
        <v/>
      </c>
      <c r="AK1643" s="460" t="str">
        <f>IF(AU1643="","",IF(OR(AZ1643=8,AZ1643=9),0,IF(OR(AW1643=3,AW1643=4,AW1643=5,AW1643=6),IF(LEFT(BF1643,1)="1",INDEX(係数_NOX・PM低減,MATCH(AY1643,【参考】排出係数!$AI$801:$AI$804,1),1),VLOOKUP(AU1643,INDEX((係数_バス貨物_ガソリン,係数_バス貨物_CNG,係数_バス貨物_軽油,係数_バス貨物_メタノール,係数_バス貨物_LPG),MATCH(AY1643,【参考】排出係数!$AI$4:$AI$671,1),1,BE1643):INDEX((係数_バス貨物_ガソリン,係数_バス貨物_CNG,係数_バス貨物_軽油,係数_バス貨物_メタノール,係数_バス貨物_LPG),MATCH(AY1643+1,【参考】排出係数!$AI$4:$AI$671,1)-1,5,BE1643),4,FALSE)),IF(AND(BE1643=3,LEFT(BF1643,1)="1"),0.48,VLOOKUP(AU1643,INDEX((係数_乗用_ガソリン,係数_乗用_CNG,係数_乗用_軽油,係数_乗用_メタノール,係数_乗用_LPG),1,1,BE1643):INDEX((係数_乗用_ガソリン,係数_乗用_CNG,係数_乗用_軽油,係数_乗用_メタノール,係数_乗用_LPG),125,5,BE1643),4,FALSE)))))</f>
        <v/>
      </c>
      <c r="AL1643" s="461" t="str">
        <f t="shared" si="919"/>
        <v/>
      </c>
      <c r="AM1643" s="460" t="str">
        <f>IF(AU1643="","",IF(OR(AZ1643=8,AZ1643=9),0,IF(OR(AW1643=3,AW1643=4,AW1643=5,AW1643=6),IF(LEFT(BH1643,1)="1",INDEX(係数_PM低減,MATCH(AY1643,【参考】排出係数!$AI$801:$AI$804,1),MATCH(BI1643,【参考】排出係数!$AL$798:$AO$798,1)),VLOOKUP(AU1643,INDEX((係数_バス貨物_ガソリン,係数_バス貨物_CNG,係数_バス貨物_軽油,係数_バス貨物_メタノール,係数_バス貨物_LPG),MATCH(AY1643,【参考】排出係数!$AI$4:$AI$671,1),1,BE1643):INDEX((係数_バス貨物_ガソリン,係数_バス貨物_CNG,係数_バス貨物_軽油,係数_バス貨物_メタノール,係数_バス貨物_LPG),MATCH(AY1643+1,【参考】排出係数!$AI$4:$AI$671,1)-1,5,BE1643),5,FALSE)),IF(AND(BE1643=3,LEFT(BF1643,1)="1"),0.055,VLOOKUP(AU1643,INDEX((係数_乗用_ガソリン,係数_乗用_CNG,係数_乗用_軽油,係数_乗用_メタノール,係数_乗用_LPG),1,1,BE1643):INDEX((係数_乗用_ガソリン,係数_乗用_CNG,係数_乗用_軽油,係数_乗用_メタノール,係数_乗用_LPG),125,5,BE1643),5,FALSE)))))</f>
        <v/>
      </c>
      <c r="AN1643" s="461" t="str">
        <f t="shared" si="920"/>
        <v/>
      </c>
      <c r="AO1643" s="462" t="str">
        <f t="shared" si="921"/>
        <v/>
      </c>
      <c r="AP1643" s="463" t="str">
        <f t="shared" si="922"/>
        <v/>
      </c>
      <c r="AQ1643" s="464"/>
      <c r="AR1643" s="619"/>
      <c r="AS1643" s="465" t="str">
        <f t="shared" si="930"/>
        <v/>
      </c>
      <c r="AT1643" s="465" t="str">
        <f t="shared" si="931"/>
        <v/>
      </c>
      <c r="AU1643" s="466" t="str">
        <f t="shared" si="932"/>
        <v/>
      </c>
      <c r="AV1643" s="467" t="str">
        <f t="shared" si="933"/>
        <v/>
      </c>
      <c r="AW1643" s="467" t="str">
        <f t="shared" si="934"/>
        <v/>
      </c>
      <c r="AX1643" s="467" t="str">
        <f t="shared" si="935"/>
        <v/>
      </c>
      <c r="AY1643" s="467" t="str">
        <f t="shared" si="936"/>
        <v/>
      </c>
      <c r="AZ1643" s="467" t="str">
        <f t="shared" si="937"/>
        <v/>
      </c>
      <c r="BA1643" s="468" t="str">
        <f>IF(AS1643="","",IF(OR(AU1643="",AU1643="-"),"－",IF(OR(AZ1643=8,AZ1643=9),"",IF(OR(AW1643=3,AW1643=4,AW1643=5,AW1643=6),VLOOKUP(AU1643,INDEX((係数_バス貨物_ガソリン,係数_バス貨物_CNG,係数_バス貨物_軽油,係数_バス貨物_メタノール,係数_バス貨物_LPG),MATCH(AY1643,【参考】排出係数!$AI$4:$AI$671,1),1,BE1643):INDEX((係数_バス貨物_ガソリン,係数_バス貨物_CNG,係数_バス貨物_軽油,係数_バス貨物_メタノール,係数_バス貨物_LPG),MATCH(AY1643+1,【参考】排出係数!$AI$4:$AI$671,1)-1,5,BE1643),2,FALSE),IF(OR(AW1643=1,AW1643=2),VLOOKUP(AU1643,INDEX((係数_乗用_ガソリン,係数_乗用_CNG,係数_乗用_軽油,係数_乗用_メタノール,係数_乗用_LPG),1,1,BE1643):INDEX((係数_乗用_ガソリン,係数_乗用_CNG,係数_乗用_軽油,係数_乗用_メタノール,係数_乗用_LPG),125,5,BE1643),2,FALSE))))))</f>
        <v/>
      </c>
      <c r="BB1643" s="468" t="str">
        <f>IF(T1643="","",IF(OR(AU1643="",AU1643="-"),"－",IF(OR(AZ1643=8,AZ1643=9),"",IF(OR(AW1643=3,AW1643=4,AW1643=5,AW1643=6),VLOOKUP(AU1643,INDEX((係数_バス貨物_ガソリン,係数_バス貨物_CNG,係数_バス貨物_軽油,係数_バス貨物_メタノール,係数_バス貨物_LPG),MATCH(AY1643,【参考】排出係数!$AI$4:$AI$671,1),1,BE1643):INDEX((係数_バス貨物_ガソリン,係数_バス貨物_CNG,係数_バス貨物_軽油,係数_バス貨物_メタノール,係数_バス貨物_LPG),MATCH(AY1643+1,【参考】排出係数!$AI$4:$AI$671,1)-1,5,BE1643),3,FALSE),IF(OR(AW1643=1,AW1643=2),VLOOKUP(AU1643,INDEX((係数_乗用_ガソリン,係数_乗用_CNG,係数_乗用_軽油,係数_乗用_メタノール,係数_乗用_LPG),1,1,BE1643):INDEX((係数_乗用_ガソリン,係数_乗用_CNG,係数_乗用_軽油,係数_乗用_メタノール,係数_乗用_LPG),125,5,BE1643),3,FALSE))))))</f>
        <v/>
      </c>
      <c r="BC1643" s="467" t="str">
        <f t="shared" si="938"/>
        <v/>
      </c>
      <c r="BD1643" s="567" t="str">
        <f t="shared" si="939"/>
        <v/>
      </c>
      <c r="BE1643" s="467" t="str">
        <f t="shared" si="940"/>
        <v/>
      </c>
      <c r="BF1643" s="469" t="str">
        <f t="shared" ca="1" si="941"/>
        <v/>
      </c>
      <c r="BG1643" s="469" t="str">
        <f t="shared" ca="1" si="942"/>
        <v/>
      </c>
      <c r="BH1643" s="467" t="str">
        <f t="shared" si="943"/>
        <v/>
      </c>
      <c r="BI1643" s="467" t="str">
        <f t="shared" ca="1" si="944"/>
        <v/>
      </c>
      <c r="BJ1643" s="469" t="str">
        <f t="shared" si="945"/>
        <v/>
      </c>
      <c r="BK1643" s="470" t="str">
        <f t="shared" si="929"/>
        <v/>
      </c>
      <c r="BL1643" s="775" t="str">
        <f t="shared" si="946"/>
        <v/>
      </c>
      <c r="BM1643" s="775" t="str">
        <f t="shared" si="947"/>
        <v/>
      </c>
    </row>
    <row r="1644" spans="1:65">
      <c r="A1644" s="473">
        <v>1588</v>
      </c>
      <c r="B1644" s="132"/>
      <c r="C1644" s="332"/>
      <c r="D1644" s="333"/>
      <c r="E1644" s="333"/>
      <c r="F1644" s="334"/>
      <c r="G1644" s="337"/>
      <c r="H1644" s="131"/>
      <c r="I1644" s="337"/>
      <c r="J1644" s="131"/>
      <c r="K1644" s="458" t="str">
        <f t="shared" ref="K1644:K1707" si="948">C1644&amp;D1644&amp;E1644&amp;F1644</f>
        <v/>
      </c>
      <c r="L1644" s="458">
        <f t="shared" ref="L1644:L1707" si="949">IF(G1644&gt;0,DATE((G1644),(H1644+1),0),0)</f>
        <v>0</v>
      </c>
      <c r="M1644" s="458">
        <f t="shared" ref="M1644:M1707" si="950">IF(I1644&gt;0,DATE((I1644),(J1644+1),0),0)</f>
        <v>0</v>
      </c>
      <c r="N1644" s="459" t="str">
        <f t="shared" si="923"/>
        <v/>
      </c>
      <c r="O1644" s="459" t="str">
        <f t="shared" si="924"/>
        <v/>
      </c>
      <c r="P1644" s="459" t="str">
        <f t="shared" si="925"/>
        <v/>
      </c>
      <c r="Q1644" s="459" t="str">
        <f t="shared" si="926"/>
        <v/>
      </c>
      <c r="R1644" s="459" t="str">
        <f t="shared" si="927"/>
        <v/>
      </c>
      <c r="S1644" s="459" t="str">
        <f t="shared" si="928"/>
        <v/>
      </c>
      <c r="T1644" s="566" t="str">
        <f t="shared" ref="T1644:T1707" si="951">N1644&amp;O1644&amp;P1644&amp;Q1644&amp;R1644&amp;S1644</f>
        <v/>
      </c>
      <c r="U1644" s="702"/>
      <c r="V1644" s="132"/>
      <c r="W1644" s="133"/>
      <c r="X1644" s="134"/>
      <c r="Y1644" s="135"/>
      <c r="Z1644" s="137"/>
      <c r="AA1644" s="136"/>
      <c r="AB1644" s="566" t="str">
        <f t="shared" ref="AB1644:AB1707" si="952">IF(AS1644="","",IF(AZ1644=1,VLOOKUP(BA1644,低公害車判別,2,FALSE),IF(AZ1644=3,VLOOKUP(BA1644,低公害車判別,2,FALSE),IF(AZ1644=4,VLOOKUP(BB1644,低公害車判別,2,FALSE),"低公害車"))))</f>
        <v/>
      </c>
      <c r="AC1644" s="568" t="str">
        <f t="shared" ref="AC1644:AC1707" si="953">IF(AS1644="","",IF((BA1644="")+(BA1644="－"),IF((BB1644="")+(BB1644=0),"－",BB1644),IF((BA1644="PM☆☆☆")+(BA1644="☆及びPM☆☆☆")+(BA1644="☆☆及びPM☆☆☆")+(BA1644="☆☆☆及びPM☆☆☆"),"PM☆☆☆",IF((BA1644="PM☆☆☆☆")+(BA1644="☆及びPM☆☆☆☆")+(BA1644="☆☆及びPM☆☆☆☆")+(BA1644="☆☆☆及びPM☆☆☆☆"),"PM☆☆☆☆",IF((BA1644="新☆")+(BA1644="新NOx☆")+(BA1644="新PM☆"),"新☆（新長期）",BA1644)))))</f>
        <v/>
      </c>
      <c r="AD1644" s="137"/>
      <c r="AE1644" s="137"/>
      <c r="AF1644" s="138"/>
      <c r="AG1644" s="138"/>
      <c r="AH1644" s="592" t="str">
        <f t="shared" ref="AH1644:AH1707" si="954">IF(C1644="","",IF(LEFT(C1644,2)="横浜","○",""))</f>
        <v/>
      </c>
      <c r="AI1644" s="592" t="str">
        <f t="shared" ref="AI1644:AI1707" si="955">IF(C1644="","",IF(LEFT(C1644,2)="川崎","○",""))</f>
        <v/>
      </c>
      <c r="AJ1644" s="592" t="str">
        <f t="shared" ref="AJ1644:AJ1707" si="956">IF(C1644="","",IF(OR(AH1644="○",AI1644="○"),"","○"))</f>
        <v/>
      </c>
      <c r="AK1644" s="460" t="str">
        <f>IF(AU1644="","",IF(OR(AZ1644=8,AZ1644=9),0,IF(OR(AW1644=3,AW1644=4,AW1644=5,AW1644=6),IF(LEFT(BF1644,1)="1",INDEX(係数_NOX・PM低減,MATCH(AY1644,【参考】排出係数!$AI$801:$AI$804,1),1),VLOOKUP(AU1644,INDEX((係数_バス貨物_ガソリン,係数_バス貨物_CNG,係数_バス貨物_軽油,係数_バス貨物_メタノール,係数_バス貨物_LPG),MATCH(AY1644,【参考】排出係数!$AI$4:$AI$671,1),1,BE1644):INDEX((係数_バス貨物_ガソリン,係数_バス貨物_CNG,係数_バス貨物_軽油,係数_バス貨物_メタノール,係数_バス貨物_LPG),MATCH(AY1644+1,【参考】排出係数!$AI$4:$AI$671,1)-1,5,BE1644),4,FALSE)),IF(AND(BE1644=3,LEFT(BF1644,1)="1"),0.48,VLOOKUP(AU1644,INDEX((係数_乗用_ガソリン,係数_乗用_CNG,係数_乗用_軽油,係数_乗用_メタノール,係数_乗用_LPG),1,1,BE1644):INDEX((係数_乗用_ガソリン,係数_乗用_CNG,係数_乗用_軽油,係数_乗用_メタノール,係数_乗用_LPG),125,5,BE1644),4,FALSE)))))</f>
        <v/>
      </c>
      <c r="AL1644" s="461" t="str">
        <f t="shared" ref="AL1644:AL1707" si="957">IF(AU1644="","",IF(Z1644&lt;=3.5*1000,AD1644*AK1644/1000,IF(Z1644&gt;3.5*1000,AD1644*Z1644*AK1644/1000/1000)))</f>
        <v/>
      </c>
      <c r="AM1644" s="460" t="str">
        <f>IF(AU1644="","",IF(OR(AZ1644=8,AZ1644=9),0,IF(OR(AW1644=3,AW1644=4,AW1644=5,AW1644=6),IF(LEFT(BH1644,1)="1",INDEX(係数_PM低減,MATCH(AY1644,【参考】排出係数!$AI$801:$AI$804,1),MATCH(BI1644,【参考】排出係数!$AL$798:$AO$798,1)),VLOOKUP(AU1644,INDEX((係数_バス貨物_ガソリン,係数_バス貨物_CNG,係数_バス貨物_軽油,係数_バス貨物_メタノール,係数_バス貨物_LPG),MATCH(AY1644,【参考】排出係数!$AI$4:$AI$671,1),1,BE1644):INDEX((係数_バス貨物_ガソリン,係数_バス貨物_CNG,係数_バス貨物_軽油,係数_バス貨物_メタノール,係数_バス貨物_LPG),MATCH(AY1644+1,【参考】排出係数!$AI$4:$AI$671,1)-1,5,BE1644),5,FALSE)),IF(AND(BE1644=3,LEFT(BF1644,1)="1"),0.055,VLOOKUP(AU1644,INDEX((係数_乗用_ガソリン,係数_乗用_CNG,係数_乗用_軽油,係数_乗用_メタノール,係数_乗用_LPG),1,1,BE1644):INDEX((係数_乗用_ガソリン,係数_乗用_CNG,係数_乗用_軽油,係数_乗用_メタノール,係数_乗用_LPG),125,5,BE1644),5,FALSE)))))</f>
        <v/>
      </c>
      <c r="AN1644" s="461" t="str">
        <f t="shared" ref="AN1644:AN1707" si="958">IF(AU1644="","",IF(Z1644&lt;=3.5*1000,AD1644*AM1644/1000,IF(Z1644&gt;3.5*1000,AD1644*Z1644*AM1644/1000/1000)))</f>
        <v/>
      </c>
      <c r="AO1644" s="462" t="str">
        <f t="shared" ref="AO1644:AO1707" si="959">IF(AU1644="","",IF(Z1644&lt;500,"車両重量",IF(OR(AZ1644=8,AZ1644=9),0,IF(OR(AZ1644=1,AZ1644=2,AZ1644=11),2.32,IF(OR(AZ1644=4,AZ1644=5,AZ1644=11),2.58,IF(AZ1644=3,3,IF(AZ1644=6,2.23,IF(AZ1644=7,1.37,0))))))))</f>
        <v/>
      </c>
      <c r="AP1644" s="463" t="str">
        <f t="shared" ref="AP1644:AP1707" si="960">IF(AU1644="","",AE1644*AO1644/1000)</f>
        <v/>
      </c>
      <c r="AQ1644" s="464"/>
      <c r="AR1644" s="619"/>
      <c r="AS1644" s="465" t="str">
        <f t="shared" si="930"/>
        <v/>
      </c>
      <c r="AT1644" s="465" t="str">
        <f t="shared" si="931"/>
        <v/>
      </c>
      <c r="AU1644" s="466" t="str">
        <f t="shared" si="932"/>
        <v/>
      </c>
      <c r="AV1644" s="467" t="str">
        <f t="shared" si="933"/>
        <v/>
      </c>
      <c r="AW1644" s="467" t="str">
        <f t="shared" si="934"/>
        <v/>
      </c>
      <c r="AX1644" s="467" t="str">
        <f t="shared" si="935"/>
        <v/>
      </c>
      <c r="AY1644" s="467" t="str">
        <f t="shared" si="936"/>
        <v/>
      </c>
      <c r="AZ1644" s="467" t="str">
        <f t="shared" si="937"/>
        <v/>
      </c>
      <c r="BA1644" s="468" t="str">
        <f>IF(AS1644="","",IF(OR(AU1644="",AU1644="-"),"－",IF(OR(AZ1644=8,AZ1644=9),"",IF(OR(AW1644=3,AW1644=4,AW1644=5,AW1644=6),VLOOKUP(AU1644,INDEX((係数_バス貨物_ガソリン,係数_バス貨物_CNG,係数_バス貨物_軽油,係数_バス貨物_メタノール,係数_バス貨物_LPG),MATCH(AY1644,【参考】排出係数!$AI$4:$AI$671,1),1,BE1644):INDEX((係数_バス貨物_ガソリン,係数_バス貨物_CNG,係数_バス貨物_軽油,係数_バス貨物_メタノール,係数_バス貨物_LPG),MATCH(AY1644+1,【参考】排出係数!$AI$4:$AI$671,1)-1,5,BE1644),2,FALSE),IF(OR(AW1644=1,AW1644=2),VLOOKUP(AU1644,INDEX((係数_乗用_ガソリン,係数_乗用_CNG,係数_乗用_軽油,係数_乗用_メタノール,係数_乗用_LPG),1,1,BE1644):INDEX((係数_乗用_ガソリン,係数_乗用_CNG,係数_乗用_軽油,係数_乗用_メタノール,係数_乗用_LPG),125,5,BE1644),2,FALSE))))))</f>
        <v/>
      </c>
      <c r="BB1644" s="468" t="str">
        <f>IF(T1644="","",IF(OR(AU1644="",AU1644="-"),"－",IF(OR(AZ1644=8,AZ1644=9),"",IF(OR(AW1644=3,AW1644=4,AW1644=5,AW1644=6),VLOOKUP(AU1644,INDEX((係数_バス貨物_ガソリン,係数_バス貨物_CNG,係数_バス貨物_軽油,係数_バス貨物_メタノール,係数_バス貨物_LPG),MATCH(AY1644,【参考】排出係数!$AI$4:$AI$671,1),1,BE1644):INDEX((係数_バス貨物_ガソリン,係数_バス貨物_CNG,係数_バス貨物_軽油,係数_バス貨物_メタノール,係数_バス貨物_LPG),MATCH(AY1644+1,【参考】排出係数!$AI$4:$AI$671,1)-1,5,BE1644),3,FALSE),IF(OR(AW1644=1,AW1644=2),VLOOKUP(AU1644,INDEX((係数_乗用_ガソリン,係数_乗用_CNG,係数_乗用_軽油,係数_乗用_メタノール,係数_乗用_LPG),1,1,BE1644):INDEX((係数_乗用_ガソリン,係数_乗用_CNG,係数_乗用_軽油,係数_乗用_メタノール,係数_乗用_LPG),125,5,BE1644),3,FALSE))))))</f>
        <v/>
      </c>
      <c r="BC1644" s="467" t="str">
        <f t="shared" si="938"/>
        <v/>
      </c>
      <c r="BD1644" s="567" t="str">
        <f t="shared" si="939"/>
        <v/>
      </c>
      <c r="BE1644" s="467" t="str">
        <f t="shared" si="940"/>
        <v/>
      </c>
      <c r="BF1644" s="469" t="str">
        <f t="shared" ca="1" si="941"/>
        <v/>
      </c>
      <c r="BG1644" s="469" t="str">
        <f t="shared" ca="1" si="942"/>
        <v/>
      </c>
      <c r="BH1644" s="467" t="str">
        <f t="shared" si="943"/>
        <v/>
      </c>
      <c r="BI1644" s="467" t="str">
        <f t="shared" ca="1" si="944"/>
        <v/>
      </c>
      <c r="BJ1644" s="469" t="str">
        <f t="shared" si="945"/>
        <v/>
      </c>
      <c r="BK1644" s="470" t="str">
        <f t="shared" si="929"/>
        <v/>
      </c>
      <c r="BL1644" s="775" t="str">
        <f t="shared" si="946"/>
        <v/>
      </c>
      <c r="BM1644" s="775" t="str">
        <f t="shared" si="947"/>
        <v/>
      </c>
    </row>
    <row r="1645" spans="1:65">
      <c r="A1645" s="473">
        <v>1589</v>
      </c>
      <c r="B1645" s="132"/>
      <c r="C1645" s="332"/>
      <c r="D1645" s="333"/>
      <c r="E1645" s="333"/>
      <c r="F1645" s="334"/>
      <c r="G1645" s="337"/>
      <c r="H1645" s="131"/>
      <c r="I1645" s="337"/>
      <c r="J1645" s="131"/>
      <c r="K1645" s="458" t="str">
        <f t="shared" si="948"/>
        <v/>
      </c>
      <c r="L1645" s="458">
        <f t="shared" si="949"/>
        <v>0</v>
      </c>
      <c r="M1645" s="458">
        <f t="shared" si="950"/>
        <v>0</v>
      </c>
      <c r="N1645" s="459" t="str">
        <f t="shared" si="923"/>
        <v/>
      </c>
      <c r="O1645" s="459" t="str">
        <f t="shared" si="924"/>
        <v/>
      </c>
      <c r="P1645" s="459" t="str">
        <f t="shared" si="925"/>
        <v/>
      </c>
      <c r="Q1645" s="459" t="str">
        <f t="shared" si="926"/>
        <v/>
      </c>
      <c r="R1645" s="459" t="str">
        <f t="shared" si="927"/>
        <v/>
      </c>
      <c r="S1645" s="459" t="str">
        <f t="shared" si="928"/>
        <v/>
      </c>
      <c r="T1645" s="566" t="str">
        <f t="shared" si="951"/>
        <v/>
      </c>
      <c r="U1645" s="702"/>
      <c r="V1645" s="132"/>
      <c r="W1645" s="133"/>
      <c r="X1645" s="134"/>
      <c r="Y1645" s="135"/>
      <c r="Z1645" s="137"/>
      <c r="AA1645" s="136"/>
      <c r="AB1645" s="566" t="str">
        <f t="shared" si="952"/>
        <v/>
      </c>
      <c r="AC1645" s="568" t="str">
        <f t="shared" si="953"/>
        <v/>
      </c>
      <c r="AD1645" s="137"/>
      <c r="AE1645" s="137"/>
      <c r="AF1645" s="138"/>
      <c r="AG1645" s="138"/>
      <c r="AH1645" s="592" t="str">
        <f t="shared" si="954"/>
        <v/>
      </c>
      <c r="AI1645" s="592" t="str">
        <f t="shared" si="955"/>
        <v/>
      </c>
      <c r="AJ1645" s="592" t="str">
        <f t="shared" si="956"/>
        <v/>
      </c>
      <c r="AK1645" s="460" t="str">
        <f>IF(AU1645="","",IF(OR(AZ1645=8,AZ1645=9),0,IF(OR(AW1645=3,AW1645=4,AW1645=5,AW1645=6),IF(LEFT(BF1645,1)="1",INDEX(係数_NOX・PM低減,MATCH(AY1645,【参考】排出係数!$AI$801:$AI$804,1),1),VLOOKUP(AU1645,INDEX((係数_バス貨物_ガソリン,係数_バス貨物_CNG,係数_バス貨物_軽油,係数_バス貨物_メタノール,係数_バス貨物_LPG),MATCH(AY1645,【参考】排出係数!$AI$4:$AI$671,1),1,BE1645):INDEX((係数_バス貨物_ガソリン,係数_バス貨物_CNG,係数_バス貨物_軽油,係数_バス貨物_メタノール,係数_バス貨物_LPG),MATCH(AY1645+1,【参考】排出係数!$AI$4:$AI$671,1)-1,5,BE1645),4,FALSE)),IF(AND(BE1645=3,LEFT(BF1645,1)="1"),0.48,VLOOKUP(AU1645,INDEX((係数_乗用_ガソリン,係数_乗用_CNG,係数_乗用_軽油,係数_乗用_メタノール,係数_乗用_LPG),1,1,BE1645):INDEX((係数_乗用_ガソリン,係数_乗用_CNG,係数_乗用_軽油,係数_乗用_メタノール,係数_乗用_LPG),125,5,BE1645),4,FALSE)))))</f>
        <v/>
      </c>
      <c r="AL1645" s="461" t="str">
        <f t="shared" si="957"/>
        <v/>
      </c>
      <c r="AM1645" s="460" t="str">
        <f>IF(AU1645="","",IF(OR(AZ1645=8,AZ1645=9),0,IF(OR(AW1645=3,AW1645=4,AW1645=5,AW1645=6),IF(LEFT(BH1645,1)="1",INDEX(係数_PM低減,MATCH(AY1645,【参考】排出係数!$AI$801:$AI$804,1),MATCH(BI1645,【参考】排出係数!$AL$798:$AO$798,1)),VLOOKUP(AU1645,INDEX((係数_バス貨物_ガソリン,係数_バス貨物_CNG,係数_バス貨物_軽油,係数_バス貨物_メタノール,係数_バス貨物_LPG),MATCH(AY1645,【参考】排出係数!$AI$4:$AI$671,1),1,BE1645):INDEX((係数_バス貨物_ガソリン,係数_バス貨物_CNG,係数_バス貨物_軽油,係数_バス貨物_メタノール,係数_バス貨物_LPG),MATCH(AY1645+1,【参考】排出係数!$AI$4:$AI$671,1)-1,5,BE1645),5,FALSE)),IF(AND(BE1645=3,LEFT(BF1645,1)="1"),0.055,VLOOKUP(AU1645,INDEX((係数_乗用_ガソリン,係数_乗用_CNG,係数_乗用_軽油,係数_乗用_メタノール,係数_乗用_LPG),1,1,BE1645):INDEX((係数_乗用_ガソリン,係数_乗用_CNG,係数_乗用_軽油,係数_乗用_メタノール,係数_乗用_LPG),125,5,BE1645),5,FALSE)))))</f>
        <v/>
      </c>
      <c r="AN1645" s="461" t="str">
        <f t="shared" si="958"/>
        <v/>
      </c>
      <c r="AO1645" s="462" t="str">
        <f t="shared" si="959"/>
        <v/>
      </c>
      <c r="AP1645" s="463" t="str">
        <f t="shared" si="960"/>
        <v/>
      </c>
      <c r="AQ1645" s="464"/>
      <c r="AR1645" s="619"/>
      <c r="AS1645" s="465" t="str">
        <f t="shared" si="930"/>
        <v/>
      </c>
      <c r="AT1645" s="465" t="str">
        <f t="shared" si="931"/>
        <v/>
      </c>
      <c r="AU1645" s="466" t="str">
        <f t="shared" si="932"/>
        <v/>
      </c>
      <c r="AV1645" s="467" t="str">
        <f t="shared" si="933"/>
        <v/>
      </c>
      <c r="AW1645" s="467" t="str">
        <f t="shared" si="934"/>
        <v/>
      </c>
      <c r="AX1645" s="467" t="str">
        <f t="shared" si="935"/>
        <v/>
      </c>
      <c r="AY1645" s="467" t="str">
        <f t="shared" si="936"/>
        <v/>
      </c>
      <c r="AZ1645" s="467" t="str">
        <f t="shared" si="937"/>
        <v/>
      </c>
      <c r="BA1645" s="468" t="str">
        <f>IF(AS1645="","",IF(OR(AU1645="",AU1645="-"),"－",IF(OR(AZ1645=8,AZ1645=9),"",IF(OR(AW1645=3,AW1645=4,AW1645=5,AW1645=6),VLOOKUP(AU1645,INDEX((係数_バス貨物_ガソリン,係数_バス貨物_CNG,係数_バス貨物_軽油,係数_バス貨物_メタノール,係数_バス貨物_LPG),MATCH(AY1645,【参考】排出係数!$AI$4:$AI$671,1),1,BE1645):INDEX((係数_バス貨物_ガソリン,係数_バス貨物_CNG,係数_バス貨物_軽油,係数_バス貨物_メタノール,係数_バス貨物_LPG),MATCH(AY1645+1,【参考】排出係数!$AI$4:$AI$671,1)-1,5,BE1645),2,FALSE),IF(OR(AW1645=1,AW1645=2),VLOOKUP(AU1645,INDEX((係数_乗用_ガソリン,係数_乗用_CNG,係数_乗用_軽油,係数_乗用_メタノール,係数_乗用_LPG),1,1,BE1645):INDEX((係数_乗用_ガソリン,係数_乗用_CNG,係数_乗用_軽油,係数_乗用_メタノール,係数_乗用_LPG),125,5,BE1645),2,FALSE))))))</f>
        <v/>
      </c>
      <c r="BB1645" s="468" t="str">
        <f>IF(T1645="","",IF(OR(AU1645="",AU1645="-"),"－",IF(OR(AZ1645=8,AZ1645=9),"",IF(OR(AW1645=3,AW1645=4,AW1645=5,AW1645=6),VLOOKUP(AU1645,INDEX((係数_バス貨物_ガソリン,係数_バス貨物_CNG,係数_バス貨物_軽油,係数_バス貨物_メタノール,係数_バス貨物_LPG),MATCH(AY1645,【参考】排出係数!$AI$4:$AI$671,1),1,BE1645):INDEX((係数_バス貨物_ガソリン,係数_バス貨物_CNG,係数_バス貨物_軽油,係数_バス貨物_メタノール,係数_バス貨物_LPG),MATCH(AY1645+1,【参考】排出係数!$AI$4:$AI$671,1)-1,5,BE1645),3,FALSE),IF(OR(AW1645=1,AW1645=2),VLOOKUP(AU1645,INDEX((係数_乗用_ガソリン,係数_乗用_CNG,係数_乗用_軽油,係数_乗用_メタノール,係数_乗用_LPG),1,1,BE1645):INDEX((係数_乗用_ガソリン,係数_乗用_CNG,係数_乗用_軽油,係数_乗用_メタノール,係数_乗用_LPG),125,5,BE1645),3,FALSE))))))</f>
        <v/>
      </c>
      <c r="BC1645" s="467" t="str">
        <f t="shared" si="938"/>
        <v/>
      </c>
      <c r="BD1645" s="567" t="str">
        <f t="shared" si="939"/>
        <v/>
      </c>
      <c r="BE1645" s="467" t="str">
        <f t="shared" si="940"/>
        <v/>
      </c>
      <c r="BF1645" s="469" t="str">
        <f t="shared" ca="1" si="941"/>
        <v/>
      </c>
      <c r="BG1645" s="469" t="str">
        <f t="shared" ca="1" si="942"/>
        <v/>
      </c>
      <c r="BH1645" s="467" t="str">
        <f t="shared" si="943"/>
        <v/>
      </c>
      <c r="BI1645" s="467" t="str">
        <f t="shared" ca="1" si="944"/>
        <v/>
      </c>
      <c r="BJ1645" s="469" t="str">
        <f t="shared" si="945"/>
        <v/>
      </c>
      <c r="BK1645" s="470" t="str">
        <f t="shared" si="929"/>
        <v/>
      </c>
      <c r="BL1645" s="775" t="str">
        <f t="shared" si="946"/>
        <v/>
      </c>
      <c r="BM1645" s="775" t="str">
        <f t="shared" si="947"/>
        <v/>
      </c>
    </row>
    <row r="1646" spans="1:65">
      <c r="A1646" s="473">
        <v>1590</v>
      </c>
      <c r="B1646" s="132"/>
      <c r="C1646" s="332"/>
      <c r="D1646" s="333"/>
      <c r="E1646" s="333"/>
      <c r="F1646" s="334"/>
      <c r="G1646" s="337"/>
      <c r="H1646" s="131"/>
      <c r="I1646" s="337"/>
      <c r="J1646" s="131"/>
      <c r="K1646" s="458" t="str">
        <f t="shared" si="948"/>
        <v/>
      </c>
      <c r="L1646" s="458">
        <f t="shared" si="949"/>
        <v>0</v>
      </c>
      <c r="M1646" s="458">
        <f t="shared" si="950"/>
        <v>0</v>
      </c>
      <c r="N1646" s="459" t="str">
        <f t="shared" si="923"/>
        <v/>
      </c>
      <c r="O1646" s="459" t="str">
        <f t="shared" si="924"/>
        <v/>
      </c>
      <c r="P1646" s="459" t="str">
        <f t="shared" si="925"/>
        <v/>
      </c>
      <c r="Q1646" s="459" t="str">
        <f t="shared" si="926"/>
        <v/>
      </c>
      <c r="R1646" s="459" t="str">
        <f t="shared" si="927"/>
        <v/>
      </c>
      <c r="S1646" s="459" t="str">
        <f t="shared" si="928"/>
        <v/>
      </c>
      <c r="T1646" s="566" t="str">
        <f t="shared" si="951"/>
        <v/>
      </c>
      <c r="U1646" s="702"/>
      <c r="V1646" s="132"/>
      <c r="W1646" s="133"/>
      <c r="X1646" s="134"/>
      <c r="Y1646" s="135"/>
      <c r="Z1646" s="137"/>
      <c r="AA1646" s="136"/>
      <c r="AB1646" s="566" t="str">
        <f t="shared" si="952"/>
        <v/>
      </c>
      <c r="AC1646" s="568" t="str">
        <f t="shared" si="953"/>
        <v/>
      </c>
      <c r="AD1646" s="137"/>
      <c r="AE1646" s="137"/>
      <c r="AF1646" s="138"/>
      <c r="AG1646" s="138"/>
      <c r="AH1646" s="592" t="str">
        <f t="shared" si="954"/>
        <v/>
      </c>
      <c r="AI1646" s="592" t="str">
        <f t="shared" si="955"/>
        <v/>
      </c>
      <c r="AJ1646" s="592" t="str">
        <f t="shared" si="956"/>
        <v/>
      </c>
      <c r="AK1646" s="460" t="str">
        <f>IF(AU1646="","",IF(OR(AZ1646=8,AZ1646=9),0,IF(OR(AW1646=3,AW1646=4,AW1646=5,AW1646=6),IF(LEFT(BF1646,1)="1",INDEX(係数_NOX・PM低減,MATCH(AY1646,【参考】排出係数!$AI$801:$AI$804,1),1),VLOOKUP(AU1646,INDEX((係数_バス貨物_ガソリン,係数_バス貨物_CNG,係数_バス貨物_軽油,係数_バス貨物_メタノール,係数_バス貨物_LPG),MATCH(AY1646,【参考】排出係数!$AI$4:$AI$671,1),1,BE1646):INDEX((係数_バス貨物_ガソリン,係数_バス貨物_CNG,係数_バス貨物_軽油,係数_バス貨物_メタノール,係数_バス貨物_LPG),MATCH(AY1646+1,【参考】排出係数!$AI$4:$AI$671,1)-1,5,BE1646),4,FALSE)),IF(AND(BE1646=3,LEFT(BF1646,1)="1"),0.48,VLOOKUP(AU1646,INDEX((係数_乗用_ガソリン,係数_乗用_CNG,係数_乗用_軽油,係数_乗用_メタノール,係数_乗用_LPG),1,1,BE1646):INDEX((係数_乗用_ガソリン,係数_乗用_CNG,係数_乗用_軽油,係数_乗用_メタノール,係数_乗用_LPG),125,5,BE1646),4,FALSE)))))</f>
        <v/>
      </c>
      <c r="AL1646" s="461" t="str">
        <f t="shared" si="957"/>
        <v/>
      </c>
      <c r="AM1646" s="460" t="str">
        <f>IF(AU1646="","",IF(OR(AZ1646=8,AZ1646=9),0,IF(OR(AW1646=3,AW1646=4,AW1646=5,AW1646=6),IF(LEFT(BH1646,1)="1",INDEX(係数_PM低減,MATCH(AY1646,【参考】排出係数!$AI$801:$AI$804,1),MATCH(BI1646,【参考】排出係数!$AL$798:$AO$798,1)),VLOOKUP(AU1646,INDEX((係数_バス貨物_ガソリン,係数_バス貨物_CNG,係数_バス貨物_軽油,係数_バス貨物_メタノール,係数_バス貨物_LPG),MATCH(AY1646,【参考】排出係数!$AI$4:$AI$671,1),1,BE1646):INDEX((係数_バス貨物_ガソリン,係数_バス貨物_CNG,係数_バス貨物_軽油,係数_バス貨物_メタノール,係数_バス貨物_LPG),MATCH(AY1646+1,【参考】排出係数!$AI$4:$AI$671,1)-1,5,BE1646),5,FALSE)),IF(AND(BE1646=3,LEFT(BF1646,1)="1"),0.055,VLOOKUP(AU1646,INDEX((係数_乗用_ガソリン,係数_乗用_CNG,係数_乗用_軽油,係数_乗用_メタノール,係数_乗用_LPG),1,1,BE1646):INDEX((係数_乗用_ガソリン,係数_乗用_CNG,係数_乗用_軽油,係数_乗用_メタノール,係数_乗用_LPG),125,5,BE1646),5,FALSE)))))</f>
        <v/>
      </c>
      <c r="AN1646" s="461" t="str">
        <f t="shared" si="958"/>
        <v/>
      </c>
      <c r="AO1646" s="462" t="str">
        <f t="shared" si="959"/>
        <v/>
      </c>
      <c r="AP1646" s="463" t="str">
        <f t="shared" si="960"/>
        <v/>
      </c>
      <c r="AQ1646" s="464"/>
      <c r="AR1646" s="619"/>
      <c r="AS1646" s="465" t="str">
        <f t="shared" si="930"/>
        <v/>
      </c>
      <c r="AT1646" s="465" t="str">
        <f t="shared" si="931"/>
        <v/>
      </c>
      <c r="AU1646" s="466" t="str">
        <f t="shared" si="932"/>
        <v/>
      </c>
      <c r="AV1646" s="467" t="str">
        <f t="shared" si="933"/>
        <v/>
      </c>
      <c r="AW1646" s="467" t="str">
        <f t="shared" si="934"/>
        <v/>
      </c>
      <c r="AX1646" s="467" t="str">
        <f t="shared" si="935"/>
        <v/>
      </c>
      <c r="AY1646" s="467" t="str">
        <f t="shared" si="936"/>
        <v/>
      </c>
      <c r="AZ1646" s="467" t="str">
        <f t="shared" si="937"/>
        <v/>
      </c>
      <c r="BA1646" s="468" t="str">
        <f>IF(AS1646="","",IF(OR(AU1646="",AU1646="-"),"－",IF(OR(AZ1646=8,AZ1646=9),"",IF(OR(AW1646=3,AW1646=4,AW1646=5,AW1646=6),VLOOKUP(AU1646,INDEX((係数_バス貨物_ガソリン,係数_バス貨物_CNG,係数_バス貨物_軽油,係数_バス貨物_メタノール,係数_バス貨物_LPG),MATCH(AY1646,【参考】排出係数!$AI$4:$AI$671,1),1,BE1646):INDEX((係数_バス貨物_ガソリン,係数_バス貨物_CNG,係数_バス貨物_軽油,係数_バス貨物_メタノール,係数_バス貨物_LPG),MATCH(AY1646+1,【参考】排出係数!$AI$4:$AI$671,1)-1,5,BE1646),2,FALSE),IF(OR(AW1646=1,AW1646=2),VLOOKUP(AU1646,INDEX((係数_乗用_ガソリン,係数_乗用_CNG,係数_乗用_軽油,係数_乗用_メタノール,係数_乗用_LPG),1,1,BE1646):INDEX((係数_乗用_ガソリン,係数_乗用_CNG,係数_乗用_軽油,係数_乗用_メタノール,係数_乗用_LPG),125,5,BE1646),2,FALSE))))))</f>
        <v/>
      </c>
      <c r="BB1646" s="468" t="str">
        <f>IF(T1646="","",IF(OR(AU1646="",AU1646="-"),"－",IF(OR(AZ1646=8,AZ1646=9),"",IF(OR(AW1646=3,AW1646=4,AW1646=5,AW1646=6),VLOOKUP(AU1646,INDEX((係数_バス貨物_ガソリン,係数_バス貨物_CNG,係数_バス貨物_軽油,係数_バス貨物_メタノール,係数_バス貨物_LPG),MATCH(AY1646,【参考】排出係数!$AI$4:$AI$671,1),1,BE1646):INDEX((係数_バス貨物_ガソリン,係数_バス貨物_CNG,係数_バス貨物_軽油,係数_バス貨物_メタノール,係数_バス貨物_LPG),MATCH(AY1646+1,【参考】排出係数!$AI$4:$AI$671,1)-1,5,BE1646),3,FALSE),IF(OR(AW1646=1,AW1646=2),VLOOKUP(AU1646,INDEX((係数_乗用_ガソリン,係数_乗用_CNG,係数_乗用_軽油,係数_乗用_メタノール,係数_乗用_LPG),1,1,BE1646):INDEX((係数_乗用_ガソリン,係数_乗用_CNG,係数_乗用_軽油,係数_乗用_メタノール,係数_乗用_LPG),125,5,BE1646),3,FALSE))))))</f>
        <v/>
      </c>
      <c r="BC1646" s="467" t="str">
        <f t="shared" si="938"/>
        <v/>
      </c>
      <c r="BD1646" s="567" t="str">
        <f t="shared" si="939"/>
        <v/>
      </c>
      <c r="BE1646" s="467" t="str">
        <f t="shared" si="940"/>
        <v/>
      </c>
      <c r="BF1646" s="469" t="str">
        <f t="shared" ca="1" si="941"/>
        <v/>
      </c>
      <c r="BG1646" s="469" t="str">
        <f t="shared" ca="1" si="942"/>
        <v/>
      </c>
      <c r="BH1646" s="467" t="str">
        <f t="shared" si="943"/>
        <v/>
      </c>
      <c r="BI1646" s="467" t="str">
        <f t="shared" ca="1" si="944"/>
        <v/>
      </c>
      <c r="BJ1646" s="469" t="str">
        <f t="shared" si="945"/>
        <v/>
      </c>
      <c r="BK1646" s="470" t="str">
        <f t="shared" si="929"/>
        <v/>
      </c>
      <c r="BL1646" s="775" t="str">
        <f t="shared" si="946"/>
        <v/>
      </c>
      <c r="BM1646" s="775" t="str">
        <f t="shared" si="947"/>
        <v/>
      </c>
    </row>
    <row r="1647" spans="1:65">
      <c r="A1647" s="473">
        <v>1591</v>
      </c>
      <c r="B1647" s="132"/>
      <c r="C1647" s="332"/>
      <c r="D1647" s="333"/>
      <c r="E1647" s="333"/>
      <c r="F1647" s="334"/>
      <c r="G1647" s="337"/>
      <c r="H1647" s="131"/>
      <c r="I1647" s="337"/>
      <c r="J1647" s="131"/>
      <c r="K1647" s="458" t="str">
        <f t="shared" si="948"/>
        <v/>
      </c>
      <c r="L1647" s="458">
        <f t="shared" si="949"/>
        <v>0</v>
      </c>
      <c r="M1647" s="458">
        <f t="shared" si="950"/>
        <v>0</v>
      </c>
      <c r="N1647" s="459" t="str">
        <f t="shared" si="923"/>
        <v/>
      </c>
      <c r="O1647" s="459" t="str">
        <f t="shared" si="924"/>
        <v/>
      </c>
      <c r="P1647" s="459" t="str">
        <f t="shared" si="925"/>
        <v/>
      </c>
      <c r="Q1647" s="459" t="str">
        <f t="shared" si="926"/>
        <v/>
      </c>
      <c r="R1647" s="459" t="str">
        <f t="shared" si="927"/>
        <v/>
      </c>
      <c r="S1647" s="459" t="str">
        <f t="shared" si="928"/>
        <v/>
      </c>
      <c r="T1647" s="566" t="str">
        <f t="shared" si="951"/>
        <v/>
      </c>
      <c r="U1647" s="702"/>
      <c r="V1647" s="132"/>
      <c r="W1647" s="133"/>
      <c r="X1647" s="134"/>
      <c r="Y1647" s="135"/>
      <c r="Z1647" s="137"/>
      <c r="AA1647" s="136"/>
      <c r="AB1647" s="566" t="str">
        <f t="shared" si="952"/>
        <v/>
      </c>
      <c r="AC1647" s="568" t="str">
        <f t="shared" si="953"/>
        <v/>
      </c>
      <c r="AD1647" s="137"/>
      <c r="AE1647" s="137"/>
      <c r="AF1647" s="138"/>
      <c r="AG1647" s="138"/>
      <c r="AH1647" s="592" t="str">
        <f t="shared" si="954"/>
        <v/>
      </c>
      <c r="AI1647" s="592" t="str">
        <f t="shared" si="955"/>
        <v/>
      </c>
      <c r="AJ1647" s="592" t="str">
        <f t="shared" si="956"/>
        <v/>
      </c>
      <c r="AK1647" s="460" t="str">
        <f>IF(AU1647="","",IF(OR(AZ1647=8,AZ1647=9),0,IF(OR(AW1647=3,AW1647=4,AW1647=5,AW1647=6),IF(LEFT(BF1647,1)="1",INDEX(係数_NOX・PM低減,MATCH(AY1647,【参考】排出係数!$AI$801:$AI$804,1),1),VLOOKUP(AU1647,INDEX((係数_バス貨物_ガソリン,係数_バス貨物_CNG,係数_バス貨物_軽油,係数_バス貨物_メタノール,係数_バス貨物_LPG),MATCH(AY1647,【参考】排出係数!$AI$4:$AI$671,1),1,BE1647):INDEX((係数_バス貨物_ガソリン,係数_バス貨物_CNG,係数_バス貨物_軽油,係数_バス貨物_メタノール,係数_バス貨物_LPG),MATCH(AY1647+1,【参考】排出係数!$AI$4:$AI$671,1)-1,5,BE1647),4,FALSE)),IF(AND(BE1647=3,LEFT(BF1647,1)="1"),0.48,VLOOKUP(AU1647,INDEX((係数_乗用_ガソリン,係数_乗用_CNG,係数_乗用_軽油,係数_乗用_メタノール,係数_乗用_LPG),1,1,BE1647):INDEX((係数_乗用_ガソリン,係数_乗用_CNG,係数_乗用_軽油,係数_乗用_メタノール,係数_乗用_LPG),125,5,BE1647),4,FALSE)))))</f>
        <v/>
      </c>
      <c r="AL1647" s="461" t="str">
        <f t="shared" si="957"/>
        <v/>
      </c>
      <c r="AM1647" s="460" t="str">
        <f>IF(AU1647="","",IF(OR(AZ1647=8,AZ1647=9),0,IF(OR(AW1647=3,AW1647=4,AW1647=5,AW1647=6),IF(LEFT(BH1647,1)="1",INDEX(係数_PM低減,MATCH(AY1647,【参考】排出係数!$AI$801:$AI$804,1),MATCH(BI1647,【参考】排出係数!$AL$798:$AO$798,1)),VLOOKUP(AU1647,INDEX((係数_バス貨物_ガソリン,係数_バス貨物_CNG,係数_バス貨物_軽油,係数_バス貨物_メタノール,係数_バス貨物_LPG),MATCH(AY1647,【参考】排出係数!$AI$4:$AI$671,1),1,BE1647):INDEX((係数_バス貨物_ガソリン,係数_バス貨物_CNG,係数_バス貨物_軽油,係数_バス貨物_メタノール,係数_バス貨物_LPG),MATCH(AY1647+1,【参考】排出係数!$AI$4:$AI$671,1)-1,5,BE1647),5,FALSE)),IF(AND(BE1647=3,LEFT(BF1647,1)="1"),0.055,VLOOKUP(AU1647,INDEX((係数_乗用_ガソリン,係数_乗用_CNG,係数_乗用_軽油,係数_乗用_メタノール,係数_乗用_LPG),1,1,BE1647):INDEX((係数_乗用_ガソリン,係数_乗用_CNG,係数_乗用_軽油,係数_乗用_メタノール,係数_乗用_LPG),125,5,BE1647),5,FALSE)))))</f>
        <v/>
      </c>
      <c r="AN1647" s="461" t="str">
        <f t="shared" si="958"/>
        <v/>
      </c>
      <c r="AO1647" s="462" t="str">
        <f t="shared" si="959"/>
        <v/>
      </c>
      <c r="AP1647" s="463" t="str">
        <f t="shared" si="960"/>
        <v/>
      </c>
      <c r="AQ1647" s="464"/>
      <c r="AR1647" s="619"/>
      <c r="AS1647" s="465" t="str">
        <f t="shared" si="930"/>
        <v/>
      </c>
      <c r="AT1647" s="465" t="str">
        <f t="shared" si="931"/>
        <v/>
      </c>
      <c r="AU1647" s="466" t="str">
        <f t="shared" si="932"/>
        <v/>
      </c>
      <c r="AV1647" s="467" t="str">
        <f t="shared" si="933"/>
        <v/>
      </c>
      <c r="AW1647" s="467" t="str">
        <f t="shared" si="934"/>
        <v/>
      </c>
      <c r="AX1647" s="467" t="str">
        <f t="shared" si="935"/>
        <v/>
      </c>
      <c r="AY1647" s="467" t="str">
        <f t="shared" si="936"/>
        <v/>
      </c>
      <c r="AZ1647" s="467" t="str">
        <f t="shared" si="937"/>
        <v/>
      </c>
      <c r="BA1647" s="468" t="str">
        <f>IF(AS1647="","",IF(OR(AU1647="",AU1647="-"),"－",IF(OR(AZ1647=8,AZ1647=9),"",IF(OR(AW1647=3,AW1647=4,AW1647=5,AW1647=6),VLOOKUP(AU1647,INDEX((係数_バス貨物_ガソリン,係数_バス貨物_CNG,係数_バス貨物_軽油,係数_バス貨物_メタノール,係数_バス貨物_LPG),MATCH(AY1647,【参考】排出係数!$AI$4:$AI$671,1),1,BE1647):INDEX((係数_バス貨物_ガソリン,係数_バス貨物_CNG,係数_バス貨物_軽油,係数_バス貨物_メタノール,係数_バス貨物_LPG),MATCH(AY1647+1,【参考】排出係数!$AI$4:$AI$671,1)-1,5,BE1647),2,FALSE),IF(OR(AW1647=1,AW1647=2),VLOOKUP(AU1647,INDEX((係数_乗用_ガソリン,係数_乗用_CNG,係数_乗用_軽油,係数_乗用_メタノール,係数_乗用_LPG),1,1,BE1647):INDEX((係数_乗用_ガソリン,係数_乗用_CNG,係数_乗用_軽油,係数_乗用_メタノール,係数_乗用_LPG),125,5,BE1647),2,FALSE))))))</f>
        <v/>
      </c>
      <c r="BB1647" s="468" t="str">
        <f>IF(T1647="","",IF(OR(AU1647="",AU1647="-"),"－",IF(OR(AZ1647=8,AZ1647=9),"",IF(OR(AW1647=3,AW1647=4,AW1647=5,AW1647=6),VLOOKUP(AU1647,INDEX((係数_バス貨物_ガソリン,係数_バス貨物_CNG,係数_バス貨物_軽油,係数_バス貨物_メタノール,係数_バス貨物_LPG),MATCH(AY1647,【参考】排出係数!$AI$4:$AI$671,1),1,BE1647):INDEX((係数_バス貨物_ガソリン,係数_バス貨物_CNG,係数_バス貨物_軽油,係数_バス貨物_メタノール,係数_バス貨物_LPG),MATCH(AY1647+1,【参考】排出係数!$AI$4:$AI$671,1)-1,5,BE1647),3,FALSE),IF(OR(AW1647=1,AW1647=2),VLOOKUP(AU1647,INDEX((係数_乗用_ガソリン,係数_乗用_CNG,係数_乗用_軽油,係数_乗用_メタノール,係数_乗用_LPG),1,1,BE1647):INDEX((係数_乗用_ガソリン,係数_乗用_CNG,係数_乗用_軽油,係数_乗用_メタノール,係数_乗用_LPG),125,5,BE1647),3,FALSE))))))</f>
        <v/>
      </c>
      <c r="BC1647" s="467" t="str">
        <f t="shared" si="938"/>
        <v/>
      </c>
      <c r="BD1647" s="567" t="str">
        <f t="shared" si="939"/>
        <v/>
      </c>
      <c r="BE1647" s="467" t="str">
        <f t="shared" si="940"/>
        <v/>
      </c>
      <c r="BF1647" s="469" t="str">
        <f t="shared" ca="1" si="941"/>
        <v/>
      </c>
      <c r="BG1647" s="469" t="str">
        <f t="shared" ca="1" si="942"/>
        <v/>
      </c>
      <c r="BH1647" s="467" t="str">
        <f t="shared" si="943"/>
        <v/>
      </c>
      <c r="BI1647" s="467" t="str">
        <f t="shared" ca="1" si="944"/>
        <v/>
      </c>
      <c r="BJ1647" s="469" t="str">
        <f t="shared" si="945"/>
        <v/>
      </c>
      <c r="BK1647" s="470" t="str">
        <f t="shared" si="929"/>
        <v/>
      </c>
      <c r="BL1647" s="775" t="str">
        <f t="shared" si="946"/>
        <v/>
      </c>
      <c r="BM1647" s="775" t="str">
        <f t="shared" si="947"/>
        <v/>
      </c>
    </row>
    <row r="1648" spans="1:65">
      <c r="A1648" s="473">
        <v>1592</v>
      </c>
      <c r="B1648" s="132"/>
      <c r="C1648" s="332"/>
      <c r="D1648" s="333"/>
      <c r="E1648" s="333"/>
      <c r="F1648" s="334"/>
      <c r="G1648" s="337"/>
      <c r="H1648" s="131"/>
      <c r="I1648" s="337"/>
      <c r="J1648" s="131"/>
      <c r="K1648" s="458" t="str">
        <f t="shared" si="948"/>
        <v/>
      </c>
      <c r="L1648" s="458">
        <f t="shared" si="949"/>
        <v>0</v>
      </c>
      <c r="M1648" s="458">
        <f t="shared" si="950"/>
        <v>0</v>
      </c>
      <c r="N1648" s="459" t="str">
        <f t="shared" si="923"/>
        <v/>
      </c>
      <c r="O1648" s="459" t="str">
        <f t="shared" si="924"/>
        <v/>
      </c>
      <c r="P1648" s="459" t="str">
        <f t="shared" si="925"/>
        <v/>
      </c>
      <c r="Q1648" s="459" t="str">
        <f t="shared" si="926"/>
        <v/>
      </c>
      <c r="R1648" s="459" t="str">
        <f t="shared" si="927"/>
        <v/>
      </c>
      <c r="S1648" s="459" t="str">
        <f t="shared" si="928"/>
        <v/>
      </c>
      <c r="T1648" s="566" t="str">
        <f t="shared" si="951"/>
        <v/>
      </c>
      <c r="U1648" s="702"/>
      <c r="V1648" s="132"/>
      <c r="W1648" s="133"/>
      <c r="X1648" s="134"/>
      <c r="Y1648" s="135"/>
      <c r="Z1648" s="137"/>
      <c r="AA1648" s="136"/>
      <c r="AB1648" s="566" t="str">
        <f t="shared" si="952"/>
        <v/>
      </c>
      <c r="AC1648" s="568" t="str">
        <f t="shared" si="953"/>
        <v/>
      </c>
      <c r="AD1648" s="137"/>
      <c r="AE1648" s="137"/>
      <c r="AF1648" s="138"/>
      <c r="AG1648" s="138"/>
      <c r="AH1648" s="592" t="str">
        <f t="shared" si="954"/>
        <v/>
      </c>
      <c r="AI1648" s="592" t="str">
        <f t="shared" si="955"/>
        <v/>
      </c>
      <c r="AJ1648" s="592" t="str">
        <f t="shared" si="956"/>
        <v/>
      </c>
      <c r="AK1648" s="460" t="str">
        <f>IF(AU1648="","",IF(OR(AZ1648=8,AZ1648=9),0,IF(OR(AW1648=3,AW1648=4,AW1648=5,AW1648=6),IF(LEFT(BF1648,1)="1",INDEX(係数_NOX・PM低減,MATCH(AY1648,【参考】排出係数!$AI$801:$AI$804,1),1),VLOOKUP(AU1648,INDEX((係数_バス貨物_ガソリン,係数_バス貨物_CNG,係数_バス貨物_軽油,係数_バス貨物_メタノール,係数_バス貨物_LPG),MATCH(AY1648,【参考】排出係数!$AI$4:$AI$671,1),1,BE1648):INDEX((係数_バス貨物_ガソリン,係数_バス貨物_CNG,係数_バス貨物_軽油,係数_バス貨物_メタノール,係数_バス貨物_LPG),MATCH(AY1648+1,【参考】排出係数!$AI$4:$AI$671,1)-1,5,BE1648),4,FALSE)),IF(AND(BE1648=3,LEFT(BF1648,1)="1"),0.48,VLOOKUP(AU1648,INDEX((係数_乗用_ガソリン,係数_乗用_CNG,係数_乗用_軽油,係数_乗用_メタノール,係数_乗用_LPG),1,1,BE1648):INDEX((係数_乗用_ガソリン,係数_乗用_CNG,係数_乗用_軽油,係数_乗用_メタノール,係数_乗用_LPG),125,5,BE1648),4,FALSE)))))</f>
        <v/>
      </c>
      <c r="AL1648" s="461" t="str">
        <f t="shared" si="957"/>
        <v/>
      </c>
      <c r="AM1648" s="460" t="str">
        <f>IF(AU1648="","",IF(OR(AZ1648=8,AZ1648=9),0,IF(OR(AW1648=3,AW1648=4,AW1648=5,AW1648=6),IF(LEFT(BH1648,1)="1",INDEX(係数_PM低減,MATCH(AY1648,【参考】排出係数!$AI$801:$AI$804,1),MATCH(BI1648,【参考】排出係数!$AL$798:$AO$798,1)),VLOOKUP(AU1648,INDEX((係数_バス貨物_ガソリン,係数_バス貨物_CNG,係数_バス貨物_軽油,係数_バス貨物_メタノール,係数_バス貨物_LPG),MATCH(AY1648,【参考】排出係数!$AI$4:$AI$671,1),1,BE1648):INDEX((係数_バス貨物_ガソリン,係数_バス貨物_CNG,係数_バス貨物_軽油,係数_バス貨物_メタノール,係数_バス貨物_LPG),MATCH(AY1648+1,【参考】排出係数!$AI$4:$AI$671,1)-1,5,BE1648),5,FALSE)),IF(AND(BE1648=3,LEFT(BF1648,1)="1"),0.055,VLOOKUP(AU1648,INDEX((係数_乗用_ガソリン,係数_乗用_CNG,係数_乗用_軽油,係数_乗用_メタノール,係数_乗用_LPG),1,1,BE1648):INDEX((係数_乗用_ガソリン,係数_乗用_CNG,係数_乗用_軽油,係数_乗用_メタノール,係数_乗用_LPG),125,5,BE1648),5,FALSE)))))</f>
        <v/>
      </c>
      <c r="AN1648" s="461" t="str">
        <f t="shared" si="958"/>
        <v/>
      </c>
      <c r="AO1648" s="462" t="str">
        <f t="shared" si="959"/>
        <v/>
      </c>
      <c r="AP1648" s="463" t="str">
        <f t="shared" si="960"/>
        <v/>
      </c>
      <c r="AQ1648" s="464"/>
      <c r="AR1648" s="619"/>
      <c r="AS1648" s="465" t="str">
        <f t="shared" si="930"/>
        <v/>
      </c>
      <c r="AT1648" s="465" t="str">
        <f t="shared" si="931"/>
        <v/>
      </c>
      <c r="AU1648" s="466" t="str">
        <f t="shared" si="932"/>
        <v/>
      </c>
      <c r="AV1648" s="467" t="str">
        <f t="shared" si="933"/>
        <v/>
      </c>
      <c r="AW1648" s="467" t="str">
        <f t="shared" si="934"/>
        <v/>
      </c>
      <c r="AX1648" s="467" t="str">
        <f t="shared" si="935"/>
        <v/>
      </c>
      <c r="AY1648" s="467" t="str">
        <f t="shared" si="936"/>
        <v/>
      </c>
      <c r="AZ1648" s="467" t="str">
        <f t="shared" si="937"/>
        <v/>
      </c>
      <c r="BA1648" s="468" t="str">
        <f>IF(AS1648="","",IF(OR(AU1648="",AU1648="-"),"－",IF(OR(AZ1648=8,AZ1648=9),"",IF(OR(AW1648=3,AW1648=4,AW1648=5,AW1648=6),VLOOKUP(AU1648,INDEX((係数_バス貨物_ガソリン,係数_バス貨物_CNG,係数_バス貨物_軽油,係数_バス貨物_メタノール,係数_バス貨物_LPG),MATCH(AY1648,【参考】排出係数!$AI$4:$AI$671,1),1,BE1648):INDEX((係数_バス貨物_ガソリン,係数_バス貨物_CNG,係数_バス貨物_軽油,係数_バス貨物_メタノール,係数_バス貨物_LPG),MATCH(AY1648+1,【参考】排出係数!$AI$4:$AI$671,1)-1,5,BE1648),2,FALSE),IF(OR(AW1648=1,AW1648=2),VLOOKUP(AU1648,INDEX((係数_乗用_ガソリン,係数_乗用_CNG,係数_乗用_軽油,係数_乗用_メタノール,係数_乗用_LPG),1,1,BE1648):INDEX((係数_乗用_ガソリン,係数_乗用_CNG,係数_乗用_軽油,係数_乗用_メタノール,係数_乗用_LPG),125,5,BE1648),2,FALSE))))))</f>
        <v/>
      </c>
      <c r="BB1648" s="468" t="str">
        <f>IF(T1648="","",IF(OR(AU1648="",AU1648="-"),"－",IF(OR(AZ1648=8,AZ1648=9),"",IF(OR(AW1648=3,AW1648=4,AW1648=5,AW1648=6),VLOOKUP(AU1648,INDEX((係数_バス貨物_ガソリン,係数_バス貨物_CNG,係数_バス貨物_軽油,係数_バス貨物_メタノール,係数_バス貨物_LPG),MATCH(AY1648,【参考】排出係数!$AI$4:$AI$671,1),1,BE1648):INDEX((係数_バス貨物_ガソリン,係数_バス貨物_CNG,係数_バス貨物_軽油,係数_バス貨物_メタノール,係数_バス貨物_LPG),MATCH(AY1648+1,【参考】排出係数!$AI$4:$AI$671,1)-1,5,BE1648),3,FALSE),IF(OR(AW1648=1,AW1648=2),VLOOKUP(AU1648,INDEX((係数_乗用_ガソリン,係数_乗用_CNG,係数_乗用_軽油,係数_乗用_メタノール,係数_乗用_LPG),1,1,BE1648):INDEX((係数_乗用_ガソリン,係数_乗用_CNG,係数_乗用_軽油,係数_乗用_メタノール,係数_乗用_LPG),125,5,BE1648),3,FALSE))))))</f>
        <v/>
      </c>
      <c r="BC1648" s="467" t="str">
        <f t="shared" si="938"/>
        <v/>
      </c>
      <c r="BD1648" s="567" t="str">
        <f t="shared" si="939"/>
        <v/>
      </c>
      <c r="BE1648" s="467" t="str">
        <f t="shared" si="940"/>
        <v/>
      </c>
      <c r="BF1648" s="469" t="str">
        <f t="shared" ca="1" si="941"/>
        <v/>
      </c>
      <c r="BG1648" s="469" t="str">
        <f t="shared" ca="1" si="942"/>
        <v/>
      </c>
      <c r="BH1648" s="467" t="str">
        <f t="shared" si="943"/>
        <v/>
      </c>
      <c r="BI1648" s="467" t="str">
        <f t="shared" ca="1" si="944"/>
        <v/>
      </c>
      <c r="BJ1648" s="469" t="str">
        <f t="shared" si="945"/>
        <v/>
      </c>
      <c r="BK1648" s="470" t="str">
        <f t="shared" si="929"/>
        <v/>
      </c>
      <c r="BL1648" s="775" t="str">
        <f t="shared" si="946"/>
        <v/>
      </c>
      <c r="BM1648" s="775" t="str">
        <f t="shared" si="947"/>
        <v/>
      </c>
    </row>
    <row r="1649" spans="1:65">
      <c r="A1649" s="473">
        <v>1593</v>
      </c>
      <c r="B1649" s="132"/>
      <c r="C1649" s="332"/>
      <c r="D1649" s="333"/>
      <c r="E1649" s="333"/>
      <c r="F1649" s="334"/>
      <c r="G1649" s="337"/>
      <c r="H1649" s="131"/>
      <c r="I1649" s="337"/>
      <c r="J1649" s="131"/>
      <c r="K1649" s="458" t="str">
        <f t="shared" si="948"/>
        <v/>
      </c>
      <c r="L1649" s="458">
        <f t="shared" si="949"/>
        <v>0</v>
      </c>
      <c r="M1649" s="458">
        <f t="shared" si="950"/>
        <v>0</v>
      </c>
      <c r="N1649" s="459" t="str">
        <f t="shared" si="923"/>
        <v/>
      </c>
      <c r="O1649" s="459" t="str">
        <f t="shared" si="924"/>
        <v/>
      </c>
      <c r="P1649" s="459" t="str">
        <f t="shared" si="925"/>
        <v/>
      </c>
      <c r="Q1649" s="459" t="str">
        <f t="shared" si="926"/>
        <v/>
      </c>
      <c r="R1649" s="459" t="str">
        <f t="shared" si="927"/>
        <v/>
      </c>
      <c r="S1649" s="459" t="str">
        <f t="shared" si="928"/>
        <v/>
      </c>
      <c r="T1649" s="566" t="str">
        <f t="shared" si="951"/>
        <v/>
      </c>
      <c r="U1649" s="702"/>
      <c r="V1649" s="132"/>
      <c r="W1649" s="133"/>
      <c r="X1649" s="134"/>
      <c r="Y1649" s="135"/>
      <c r="Z1649" s="137"/>
      <c r="AA1649" s="136"/>
      <c r="AB1649" s="566" t="str">
        <f t="shared" si="952"/>
        <v/>
      </c>
      <c r="AC1649" s="568" t="str">
        <f t="shared" si="953"/>
        <v/>
      </c>
      <c r="AD1649" s="137"/>
      <c r="AE1649" s="137"/>
      <c r="AF1649" s="138"/>
      <c r="AG1649" s="138"/>
      <c r="AH1649" s="592" t="str">
        <f t="shared" si="954"/>
        <v/>
      </c>
      <c r="AI1649" s="592" t="str">
        <f t="shared" si="955"/>
        <v/>
      </c>
      <c r="AJ1649" s="592" t="str">
        <f t="shared" si="956"/>
        <v/>
      </c>
      <c r="AK1649" s="460" t="str">
        <f>IF(AU1649="","",IF(OR(AZ1649=8,AZ1649=9),0,IF(OR(AW1649=3,AW1649=4,AW1649=5,AW1649=6),IF(LEFT(BF1649,1)="1",INDEX(係数_NOX・PM低減,MATCH(AY1649,【参考】排出係数!$AI$801:$AI$804,1),1),VLOOKUP(AU1649,INDEX((係数_バス貨物_ガソリン,係数_バス貨物_CNG,係数_バス貨物_軽油,係数_バス貨物_メタノール,係数_バス貨物_LPG),MATCH(AY1649,【参考】排出係数!$AI$4:$AI$671,1),1,BE1649):INDEX((係数_バス貨物_ガソリン,係数_バス貨物_CNG,係数_バス貨物_軽油,係数_バス貨物_メタノール,係数_バス貨物_LPG),MATCH(AY1649+1,【参考】排出係数!$AI$4:$AI$671,1)-1,5,BE1649),4,FALSE)),IF(AND(BE1649=3,LEFT(BF1649,1)="1"),0.48,VLOOKUP(AU1649,INDEX((係数_乗用_ガソリン,係数_乗用_CNG,係数_乗用_軽油,係数_乗用_メタノール,係数_乗用_LPG),1,1,BE1649):INDEX((係数_乗用_ガソリン,係数_乗用_CNG,係数_乗用_軽油,係数_乗用_メタノール,係数_乗用_LPG),125,5,BE1649),4,FALSE)))))</f>
        <v/>
      </c>
      <c r="AL1649" s="461" t="str">
        <f t="shared" si="957"/>
        <v/>
      </c>
      <c r="AM1649" s="460" t="str">
        <f>IF(AU1649="","",IF(OR(AZ1649=8,AZ1649=9),0,IF(OR(AW1649=3,AW1649=4,AW1649=5,AW1649=6),IF(LEFT(BH1649,1)="1",INDEX(係数_PM低減,MATCH(AY1649,【参考】排出係数!$AI$801:$AI$804,1),MATCH(BI1649,【参考】排出係数!$AL$798:$AO$798,1)),VLOOKUP(AU1649,INDEX((係数_バス貨物_ガソリン,係数_バス貨物_CNG,係数_バス貨物_軽油,係数_バス貨物_メタノール,係数_バス貨物_LPG),MATCH(AY1649,【参考】排出係数!$AI$4:$AI$671,1),1,BE1649):INDEX((係数_バス貨物_ガソリン,係数_バス貨物_CNG,係数_バス貨物_軽油,係数_バス貨物_メタノール,係数_バス貨物_LPG),MATCH(AY1649+1,【参考】排出係数!$AI$4:$AI$671,1)-1,5,BE1649),5,FALSE)),IF(AND(BE1649=3,LEFT(BF1649,1)="1"),0.055,VLOOKUP(AU1649,INDEX((係数_乗用_ガソリン,係数_乗用_CNG,係数_乗用_軽油,係数_乗用_メタノール,係数_乗用_LPG),1,1,BE1649):INDEX((係数_乗用_ガソリン,係数_乗用_CNG,係数_乗用_軽油,係数_乗用_メタノール,係数_乗用_LPG),125,5,BE1649),5,FALSE)))))</f>
        <v/>
      </c>
      <c r="AN1649" s="461" t="str">
        <f t="shared" si="958"/>
        <v/>
      </c>
      <c r="AO1649" s="462" t="str">
        <f t="shared" si="959"/>
        <v/>
      </c>
      <c r="AP1649" s="463" t="str">
        <f t="shared" si="960"/>
        <v/>
      </c>
      <c r="AQ1649" s="464"/>
      <c r="AR1649" s="619"/>
      <c r="AS1649" s="465" t="str">
        <f t="shared" si="930"/>
        <v/>
      </c>
      <c r="AT1649" s="465" t="str">
        <f t="shared" si="931"/>
        <v/>
      </c>
      <c r="AU1649" s="466" t="str">
        <f t="shared" si="932"/>
        <v/>
      </c>
      <c r="AV1649" s="467" t="str">
        <f t="shared" si="933"/>
        <v/>
      </c>
      <c r="AW1649" s="467" t="str">
        <f t="shared" si="934"/>
        <v/>
      </c>
      <c r="AX1649" s="467" t="str">
        <f t="shared" si="935"/>
        <v/>
      </c>
      <c r="AY1649" s="467" t="str">
        <f t="shared" si="936"/>
        <v/>
      </c>
      <c r="AZ1649" s="467" t="str">
        <f t="shared" si="937"/>
        <v/>
      </c>
      <c r="BA1649" s="468" t="str">
        <f>IF(AS1649="","",IF(OR(AU1649="",AU1649="-"),"－",IF(OR(AZ1649=8,AZ1649=9),"",IF(OR(AW1649=3,AW1649=4,AW1649=5,AW1649=6),VLOOKUP(AU1649,INDEX((係数_バス貨物_ガソリン,係数_バス貨物_CNG,係数_バス貨物_軽油,係数_バス貨物_メタノール,係数_バス貨物_LPG),MATCH(AY1649,【参考】排出係数!$AI$4:$AI$671,1),1,BE1649):INDEX((係数_バス貨物_ガソリン,係数_バス貨物_CNG,係数_バス貨物_軽油,係数_バス貨物_メタノール,係数_バス貨物_LPG),MATCH(AY1649+1,【参考】排出係数!$AI$4:$AI$671,1)-1,5,BE1649),2,FALSE),IF(OR(AW1649=1,AW1649=2),VLOOKUP(AU1649,INDEX((係数_乗用_ガソリン,係数_乗用_CNG,係数_乗用_軽油,係数_乗用_メタノール,係数_乗用_LPG),1,1,BE1649):INDEX((係数_乗用_ガソリン,係数_乗用_CNG,係数_乗用_軽油,係数_乗用_メタノール,係数_乗用_LPG),125,5,BE1649),2,FALSE))))))</f>
        <v/>
      </c>
      <c r="BB1649" s="468" t="str">
        <f>IF(T1649="","",IF(OR(AU1649="",AU1649="-"),"－",IF(OR(AZ1649=8,AZ1649=9),"",IF(OR(AW1649=3,AW1649=4,AW1649=5,AW1649=6),VLOOKUP(AU1649,INDEX((係数_バス貨物_ガソリン,係数_バス貨物_CNG,係数_バス貨物_軽油,係数_バス貨物_メタノール,係数_バス貨物_LPG),MATCH(AY1649,【参考】排出係数!$AI$4:$AI$671,1),1,BE1649):INDEX((係数_バス貨物_ガソリン,係数_バス貨物_CNG,係数_バス貨物_軽油,係数_バス貨物_メタノール,係数_バス貨物_LPG),MATCH(AY1649+1,【参考】排出係数!$AI$4:$AI$671,1)-1,5,BE1649),3,FALSE),IF(OR(AW1649=1,AW1649=2),VLOOKUP(AU1649,INDEX((係数_乗用_ガソリン,係数_乗用_CNG,係数_乗用_軽油,係数_乗用_メタノール,係数_乗用_LPG),1,1,BE1649):INDEX((係数_乗用_ガソリン,係数_乗用_CNG,係数_乗用_軽油,係数_乗用_メタノール,係数_乗用_LPG),125,5,BE1649),3,FALSE))))))</f>
        <v/>
      </c>
      <c r="BC1649" s="467" t="str">
        <f t="shared" si="938"/>
        <v/>
      </c>
      <c r="BD1649" s="567" t="str">
        <f t="shared" si="939"/>
        <v/>
      </c>
      <c r="BE1649" s="467" t="str">
        <f t="shared" si="940"/>
        <v/>
      </c>
      <c r="BF1649" s="469" t="str">
        <f t="shared" ca="1" si="941"/>
        <v/>
      </c>
      <c r="BG1649" s="469" t="str">
        <f t="shared" ca="1" si="942"/>
        <v/>
      </c>
      <c r="BH1649" s="467" t="str">
        <f t="shared" si="943"/>
        <v/>
      </c>
      <c r="BI1649" s="467" t="str">
        <f t="shared" ca="1" si="944"/>
        <v/>
      </c>
      <c r="BJ1649" s="469" t="str">
        <f t="shared" si="945"/>
        <v/>
      </c>
      <c r="BK1649" s="470" t="str">
        <f t="shared" si="929"/>
        <v/>
      </c>
      <c r="BL1649" s="775" t="str">
        <f t="shared" si="946"/>
        <v/>
      </c>
      <c r="BM1649" s="775" t="str">
        <f t="shared" si="947"/>
        <v/>
      </c>
    </row>
    <row r="1650" spans="1:65">
      <c r="A1650" s="473">
        <v>1594</v>
      </c>
      <c r="B1650" s="132"/>
      <c r="C1650" s="332"/>
      <c r="D1650" s="333"/>
      <c r="E1650" s="333"/>
      <c r="F1650" s="334"/>
      <c r="G1650" s="337"/>
      <c r="H1650" s="131"/>
      <c r="I1650" s="337"/>
      <c r="J1650" s="131"/>
      <c r="K1650" s="458" t="str">
        <f t="shared" si="948"/>
        <v/>
      </c>
      <c r="L1650" s="458">
        <f t="shared" si="949"/>
        <v>0</v>
      </c>
      <c r="M1650" s="458">
        <f t="shared" si="950"/>
        <v>0</v>
      </c>
      <c r="N1650" s="459" t="str">
        <f t="shared" si="923"/>
        <v/>
      </c>
      <c r="O1650" s="459" t="str">
        <f t="shared" si="924"/>
        <v/>
      </c>
      <c r="P1650" s="459" t="str">
        <f t="shared" si="925"/>
        <v/>
      </c>
      <c r="Q1650" s="459" t="str">
        <f t="shared" si="926"/>
        <v/>
      </c>
      <c r="R1650" s="459" t="str">
        <f t="shared" si="927"/>
        <v/>
      </c>
      <c r="S1650" s="459" t="str">
        <f t="shared" si="928"/>
        <v/>
      </c>
      <c r="T1650" s="566" t="str">
        <f t="shared" si="951"/>
        <v/>
      </c>
      <c r="U1650" s="702"/>
      <c r="V1650" s="132"/>
      <c r="W1650" s="133"/>
      <c r="X1650" s="134"/>
      <c r="Y1650" s="135"/>
      <c r="Z1650" s="137"/>
      <c r="AA1650" s="136"/>
      <c r="AB1650" s="566" t="str">
        <f t="shared" si="952"/>
        <v/>
      </c>
      <c r="AC1650" s="568" t="str">
        <f t="shared" si="953"/>
        <v/>
      </c>
      <c r="AD1650" s="137"/>
      <c r="AE1650" s="137"/>
      <c r="AF1650" s="138"/>
      <c r="AG1650" s="138"/>
      <c r="AH1650" s="592" t="str">
        <f t="shared" si="954"/>
        <v/>
      </c>
      <c r="AI1650" s="592" t="str">
        <f t="shared" si="955"/>
        <v/>
      </c>
      <c r="AJ1650" s="592" t="str">
        <f t="shared" si="956"/>
        <v/>
      </c>
      <c r="AK1650" s="460" t="str">
        <f>IF(AU1650="","",IF(OR(AZ1650=8,AZ1650=9),0,IF(OR(AW1650=3,AW1650=4,AW1650=5,AW1650=6),IF(LEFT(BF1650,1)="1",INDEX(係数_NOX・PM低減,MATCH(AY1650,【参考】排出係数!$AI$801:$AI$804,1),1),VLOOKUP(AU1650,INDEX((係数_バス貨物_ガソリン,係数_バス貨物_CNG,係数_バス貨物_軽油,係数_バス貨物_メタノール,係数_バス貨物_LPG),MATCH(AY1650,【参考】排出係数!$AI$4:$AI$671,1),1,BE1650):INDEX((係数_バス貨物_ガソリン,係数_バス貨物_CNG,係数_バス貨物_軽油,係数_バス貨物_メタノール,係数_バス貨物_LPG),MATCH(AY1650+1,【参考】排出係数!$AI$4:$AI$671,1)-1,5,BE1650),4,FALSE)),IF(AND(BE1650=3,LEFT(BF1650,1)="1"),0.48,VLOOKUP(AU1650,INDEX((係数_乗用_ガソリン,係数_乗用_CNG,係数_乗用_軽油,係数_乗用_メタノール,係数_乗用_LPG),1,1,BE1650):INDEX((係数_乗用_ガソリン,係数_乗用_CNG,係数_乗用_軽油,係数_乗用_メタノール,係数_乗用_LPG),125,5,BE1650),4,FALSE)))))</f>
        <v/>
      </c>
      <c r="AL1650" s="461" t="str">
        <f t="shared" si="957"/>
        <v/>
      </c>
      <c r="AM1650" s="460" t="str">
        <f>IF(AU1650="","",IF(OR(AZ1650=8,AZ1650=9),0,IF(OR(AW1650=3,AW1650=4,AW1650=5,AW1650=6),IF(LEFT(BH1650,1)="1",INDEX(係数_PM低減,MATCH(AY1650,【参考】排出係数!$AI$801:$AI$804,1),MATCH(BI1650,【参考】排出係数!$AL$798:$AO$798,1)),VLOOKUP(AU1650,INDEX((係数_バス貨物_ガソリン,係数_バス貨物_CNG,係数_バス貨物_軽油,係数_バス貨物_メタノール,係数_バス貨物_LPG),MATCH(AY1650,【参考】排出係数!$AI$4:$AI$671,1),1,BE1650):INDEX((係数_バス貨物_ガソリン,係数_バス貨物_CNG,係数_バス貨物_軽油,係数_バス貨物_メタノール,係数_バス貨物_LPG),MATCH(AY1650+1,【参考】排出係数!$AI$4:$AI$671,1)-1,5,BE1650),5,FALSE)),IF(AND(BE1650=3,LEFT(BF1650,1)="1"),0.055,VLOOKUP(AU1650,INDEX((係数_乗用_ガソリン,係数_乗用_CNG,係数_乗用_軽油,係数_乗用_メタノール,係数_乗用_LPG),1,1,BE1650):INDEX((係数_乗用_ガソリン,係数_乗用_CNG,係数_乗用_軽油,係数_乗用_メタノール,係数_乗用_LPG),125,5,BE1650),5,FALSE)))))</f>
        <v/>
      </c>
      <c r="AN1650" s="461" t="str">
        <f t="shared" si="958"/>
        <v/>
      </c>
      <c r="AO1650" s="462" t="str">
        <f t="shared" si="959"/>
        <v/>
      </c>
      <c r="AP1650" s="463" t="str">
        <f t="shared" si="960"/>
        <v/>
      </c>
      <c r="AQ1650" s="464"/>
      <c r="AR1650" s="619"/>
      <c r="AS1650" s="465" t="str">
        <f t="shared" si="930"/>
        <v/>
      </c>
      <c r="AT1650" s="465" t="str">
        <f t="shared" si="931"/>
        <v/>
      </c>
      <c r="AU1650" s="466" t="str">
        <f t="shared" si="932"/>
        <v/>
      </c>
      <c r="AV1650" s="467" t="str">
        <f t="shared" si="933"/>
        <v/>
      </c>
      <c r="AW1650" s="467" t="str">
        <f t="shared" si="934"/>
        <v/>
      </c>
      <c r="AX1650" s="467" t="str">
        <f t="shared" si="935"/>
        <v/>
      </c>
      <c r="AY1650" s="467" t="str">
        <f t="shared" si="936"/>
        <v/>
      </c>
      <c r="AZ1650" s="467" t="str">
        <f t="shared" si="937"/>
        <v/>
      </c>
      <c r="BA1650" s="468" t="str">
        <f>IF(AS1650="","",IF(OR(AU1650="",AU1650="-"),"－",IF(OR(AZ1650=8,AZ1650=9),"",IF(OR(AW1650=3,AW1650=4,AW1650=5,AW1650=6),VLOOKUP(AU1650,INDEX((係数_バス貨物_ガソリン,係数_バス貨物_CNG,係数_バス貨物_軽油,係数_バス貨物_メタノール,係数_バス貨物_LPG),MATCH(AY1650,【参考】排出係数!$AI$4:$AI$671,1),1,BE1650):INDEX((係数_バス貨物_ガソリン,係数_バス貨物_CNG,係数_バス貨物_軽油,係数_バス貨物_メタノール,係数_バス貨物_LPG),MATCH(AY1650+1,【参考】排出係数!$AI$4:$AI$671,1)-1,5,BE1650),2,FALSE),IF(OR(AW1650=1,AW1650=2),VLOOKUP(AU1650,INDEX((係数_乗用_ガソリン,係数_乗用_CNG,係数_乗用_軽油,係数_乗用_メタノール,係数_乗用_LPG),1,1,BE1650):INDEX((係数_乗用_ガソリン,係数_乗用_CNG,係数_乗用_軽油,係数_乗用_メタノール,係数_乗用_LPG),125,5,BE1650),2,FALSE))))))</f>
        <v/>
      </c>
      <c r="BB1650" s="468" t="str">
        <f>IF(T1650="","",IF(OR(AU1650="",AU1650="-"),"－",IF(OR(AZ1650=8,AZ1650=9),"",IF(OR(AW1650=3,AW1650=4,AW1650=5,AW1650=6),VLOOKUP(AU1650,INDEX((係数_バス貨物_ガソリン,係数_バス貨物_CNG,係数_バス貨物_軽油,係数_バス貨物_メタノール,係数_バス貨物_LPG),MATCH(AY1650,【参考】排出係数!$AI$4:$AI$671,1),1,BE1650):INDEX((係数_バス貨物_ガソリン,係数_バス貨物_CNG,係数_バス貨物_軽油,係数_バス貨物_メタノール,係数_バス貨物_LPG),MATCH(AY1650+1,【参考】排出係数!$AI$4:$AI$671,1)-1,5,BE1650),3,FALSE),IF(OR(AW1650=1,AW1650=2),VLOOKUP(AU1650,INDEX((係数_乗用_ガソリン,係数_乗用_CNG,係数_乗用_軽油,係数_乗用_メタノール,係数_乗用_LPG),1,1,BE1650):INDEX((係数_乗用_ガソリン,係数_乗用_CNG,係数_乗用_軽油,係数_乗用_メタノール,係数_乗用_LPG),125,5,BE1650),3,FALSE))))))</f>
        <v/>
      </c>
      <c r="BC1650" s="467" t="str">
        <f t="shared" si="938"/>
        <v/>
      </c>
      <c r="BD1650" s="567" t="str">
        <f t="shared" si="939"/>
        <v/>
      </c>
      <c r="BE1650" s="467" t="str">
        <f t="shared" si="940"/>
        <v/>
      </c>
      <c r="BF1650" s="469" t="str">
        <f t="shared" ca="1" si="941"/>
        <v/>
      </c>
      <c r="BG1650" s="469" t="str">
        <f t="shared" ca="1" si="942"/>
        <v/>
      </c>
      <c r="BH1650" s="467" t="str">
        <f t="shared" si="943"/>
        <v/>
      </c>
      <c r="BI1650" s="467" t="str">
        <f t="shared" ca="1" si="944"/>
        <v/>
      </c>
      <c r="BJ1650" s="469" t="str">
        <f t="shared" si="945"/>
        <v/>
      </c>
      <c r="BK1650" s="470" t="str">
        <f t="shared" si="929"/>
        <v/>
      </c>
      <c r="BL1650" s="775" t="str">
        <f t="shared" si="946"/>
        <v/>
      </c>
      <c r="BM1650" s="775" t="str">
        <f t="shared" si="947"/>
        <v/>
      </c>
    </row>
    <row r="1651" spans="1:65">
      <c r="A1651" s="473">
        <v>1595</v>
      </c>
      <c r="B1651" s="132"/>
      <c r="C1651" s="332"/>
      <c r="D1651" s="333"/>
      <c r="E1651" s="333"/>
      <c r="F1651" s="334"/>
      <c r="G1651" s="337"/>
      <c r="H1651" s="131"/>
      <c r="I1651" s="337"/>
      <c r="J1651" s="131"/>
      <c r="K1651" s="458" t="str">
        <f t="shared" si="948"/>
        <v/>
      </c>
      <c r="L1651" s="458">
        <f t="shared" si="949"/>
        <v>0</v>
      </c>
      <c r="M1651" s="458">
        <f t="shared" si="950"/>
        <v>0</v>
      </c>
      <c r="N1651" s="459" t="str">
        <f t="shared" si="923"/>
        <v/>
      </c>
      <c r="O1651" s="459" t="str">
        <f t="shared" si="924"/>
        <v/>
      </c>
      <c r="P1651" s="459" t="str">
        <f t="shared" si="925"/>
        <v/>
      </c>
      <c r="Q1651" s="459" t="str">
        <f t="shared" si="926"/>
        <v/>
      </c>
      <c r="R1651" s="459" t="str">
        <f t="shared" si="927"/>
        <v/>
      </c>
      <c r="S1651" s="459" t="str">
        <f t="shared" si="928"/>
        <v/>
      </c>
      <c r="T1651" s="566" t="str">
        <f t="shared" si="951"/>
        <v/>
      </c>
      <c r="U1651" s="702"/>
      <c r="V1651" s="132"/>
      <c r="W1651" s="133"/>
      <c r="X1651" s="134"/>
      <c r="Y1651" s="135"/>
      <c r="Z1651" s="137"/>
      <c r="AA1651" s="136"/>
      <c r="AB1651" s="566" t="str">
        <f t="shared" si="952"/>
        <v/>
      </c>
      <c r="AC1651" s="568" t="str">
        <f t="shared" si="953"/>
        <v/>
      </c>
      <c r="AD1651" s="137"/>
      <c r="AE1651" s="137"/>
      <c r="AF1651" s="138"/>
      <c r="AG1651" s="138"/>
      <c r="AH1651" s="592" t="str">
        <f t="shared" si="954"/>
        <v/>
      </c>
      <c r="AI1651" s="592" t="str">
        <f t="shared" si="955"/>
        <v/>
      </c>
      <c r="AJ1651" s="592" t="str">
        <f t="shared" si="956"/>
        <v/>
      </c>
      <c r="AK1651" s="460" t="str">
        <f>IF(AU1651="","",IF(OR(AZ1651=8,AZ1651=9),0,IF(OR(AW1651=3,AW1651=4,AW1651=5,AW1651=6),IF(LEFT(BF1651,1)="1",INDEX(係数_NOX・PM低減,MATCH(AY1651,【参考】排出係数!$AI$801:$AI$804,1),1),VLOOKUP(AU1651,INDEX((係数_バス貨物_ガソリン,係数_バス貨物_CNG,係数_バス貨物_軽油,係数_バス貨物_メタノール,係数_バス貨物_LPG),MATCH(AY1651,【参考】排出係数!$AI$4:$AI$671,1),1,BE1651):INDEX((係数_バス貨物_ガソリン,係数_バス貨物_CNG,係数_バス貨物_軽油,係数_バス貨物_メタノール,係数_バス貨物_LPG),MATCH(AY1651+1,【参考】排出係数!$AI$4:$AI$671,1)-1,5,BE1651),4,FALSE)),IF(AND(BE1651=3,LEFT(BF1651,1)="1"),0.48,VLOOKUP(AU1651,INDEX((係数_乗用_ガソリン,係数_乗用_CNG,係数_乗用_軽油,係数_乗用_メタノール,係数_乗用_LPG),1,1,BE1651):INDEX((係数_乗用_ガソリン,係数_乗用_CNG,係数_乗用_軽油,係数_乗用_メタノール,係数_乗用_LPG),125,5,BE1651),4,FALSE)))))</f>
        <v/>
      </c>
      <c r="AL1651" s="461" t="str">
        <f t="shared" si="957"/>
        <v/>
      </c>
      <c r="AM1651" s="460" t="str">
        <f>IF(AU1651="","",IF(OR(AZ1651=8,AZ1651=9),0,IF(OR(AW1651=3,AW1651=4,AW1651=5,AW1651=6),IF(LEFT(BH1651,1)="1",INDEX(係数_PM低減,MATCH(AY1651,【参考】排出係数!$AI$801:$AI$804,1),MATCH(BI1651,【参考】排出係数!$AL$798:$AO$798,1)),VLOOKUP(AU1651,INDEX((係数_バス貨物_ガソリン,係数_バス貨物_CNG,係数_バス貨物_軽油,係数_バス貨物_メタノール,係数_バス貨物_LPG),MATCH(AY1651,【参考】排出係数!$AI$4:$AI$671,1),1,BE1651):INDEX((係数_バス貨物_ガソリン,係数_バス貨物_CNG,係数_バス貨物_軽油,係数_バス貨物_メタノール,係数_バス貨物_LPG),MATCH(AY1651+1,【参考】排出係数!$AI$4:$AI$671,1)-1,5,BE1651),5,FALSE)),IF(AND(BE1651=3,LEFT(BF1651,1)="1"),0.055,VLOOKUP(AU1651,INDEX((係数_乗用_ガソリン,係数_乗用_CNG,係数_乗用_軽油,係数_乗用_メタノール,係数_乗用_LPG),1,1,BE1651):INDEX((係数_乗用_ガソリン,係数_乗用_CNG,係数_乗用_軽油,係数_乗用_メタノール,係数_乗用_LPG),125,5,BE1651),5,FALSE)))))</f>
        <v/>
      </c>
      <c r="AN1651" s="461" t="str">
        <f t="shared" si="958"/>
        <v/>
      </c>
      <c r="AO1651" s="462" t="str">
        <f t="shared" si="959"/>
        <v/>
      </c>
      <c r="AP1651" s="463" t="str">
        <f t="shared" si="960"/>
        <v/>
      </c>
      <c r="AQ1651" s="464"/>
      <c r="AR1651" s="619"/>
      <c r="AS1651" s="465" t="str">
        <f t="shared" si="930"/>
        <v/>
      </c>
      <c r="AT1651" s="465" t="str">
        <f t="shared" si="931"/>
        <v/>
      </c>
      <c r="AU1651" s="466" t="str">
        <f t="shared" si="932"/>
        <v/>
      </c>
      <c r="AV1651" s="467" t="str">
        <f t="shared" si="933"/>
        <v/>
      </c>
      <c r="AW1651" s="467" t="str">
        <f t="shared" si="934"/>
        <v/>
      </c>
      <c r="AX1651" s="467" t="str">
        <f t="shared" si="935"/>
        <v/>
      </c>
      <c r="AY1651" s="467" t="str">
        <f t="shared" si="936"/>
        <v/>
      </c>
      <c r="AZ1651" s="467" t="str">
        <f t="shared" si="937"/>
        <v/>
      </c>
      <c r="BA1651" s="468" t="str">
        <f>IF(AS1651="","",IF(OR(AU1651="",AU1651="-"),"－",IF(OR(AZ1651=8,AZ1651=9),"",IF(OR(AW1651=3,AW1651=4,AW1651=5,AW1651=6),VLOOKUP(AU1651,INDEX((係数_バス貨物_ガソリン,係数_バス貨物_CNG,係数_バス貨物_軽油,係数_バス貨物_メタノール,係数_バス貨物_LPG),MATCH(AY1651,【参考】排出係数!$AI$4:$AI$671,1),1,BE1651):INDEX((係数_バス貨物_ガソリン,係数_バス貨物_CNG,係数_バス貨物_軽油,係数_バス貨物_メタノール,係数_バス貨物_LPG),MATCH(AY1651+1,【参考】排出係数!$AI$4:$AI$671,1)-1,5,BE1651),2,FALSE),IF(OR(AW1651=1,AW1651=2),VLOOKUP(AU1651,INDEX((係数_乗用_ガソリン,係数_乗用_CNG,係数_乗用_軽油,係数_乗用_メタノール,係数_乗用_LPG),1,1,BE1651):INDEX((係数_乗用_ガソリン,係数_乗用_CNG,係数_乗用_軽油,係数_乗用_メタノール,係数_乗用_LPG),125,5,BE1651),2,FALSE))))))</f>
        <v/>
      </c>
      <c r="BB1651" s="468" t="str">
        <f>IF(T1651="","",IF(OR(AU1651="",AU1651="-"),"－",IF(OR(AZ1651=8,AZ1651=9),"",IF(OR(AW1651=3,AW1651=4,AW1651=5,AW1651=6),VLOOKUP(AU1651,INDEX((係数_バス貨物_ガソリン,係数_バス貨物_CNG,係数_バス貨物_軽油,係数_バス貨物_メタノール,係数_バス貨物_LPG),MATCH(AY1651,【参考】排出係数!$AI$4:$AI$671,1),1,BE1651):INDEX((係数_バス貨物_ガソリン,係数_バス貨物_CNG,係数_バス貨物_軽油,係数_バス貨物_メタノール,係数_バス貨物_LPG),MATCH(AY1651+1,【参考】排出係数!$AI$4:$AI$671,1)-1,5,BE1651),3,FALSE),IF(OR(AW1651=1,AW1651=2),VLOOKUP(AU1651,INDEX((係数_乗用_ガソリン,係数_乗用_CNG,係数_乗用_軽油,係数_乗用_メタノール,係数_乗用_LPG),1,1,BE1651):INDEX((係数_乗用_ガソリン,係数_乗用_CNG,係数_乗用_軽油,係数_乗用_メタノール,係数_乗用_LPG),125,5,BE1651),3,FALSE))))))</f>
        <v/>
      </c>
      <c r="BC1651" s="467" t="str">
        <f t="shared" si="938"/>
        <v/>
      </c>
      <c r="BD1651" s="567" t="str">
        <f t="shared" si="939"/>
        <v/>
      </c>
      <c r="BE1651" s="467" t="str">
        <f t="shared" si="940"/>
        <v/>
      </c>
      <c r="BF1651" s="469" t="str">
        <f t="shared" ca="1" si="941"/>
        <v/>
      </c>
      <c r="BG1651" s="469" t="str">
        <f t="shared" ca="1" si="942"/>
        <v/>
      </c>
      <c r="BH1651" s="467" t="str">
        <f t="shared" si="943"/>
        <v/>
      </c>
      <c r="BI1651" s="467" t="str">
        <f t="shared" ca="1" si="944"/>
        <v/>
      </c>
      <c r="BJ1651" s="469" t="str">
        <f t="shared" si="945"/>
        <v/>
      </c>
      <c r="BK1651" s="470" t="str">
        <f t="shared" si="929"/>
        <v/>
      </c>
      <c r="BL1651" s="775" t="str">
        <f t="shared" si="946"/>
        <v/>
      </c>
      <c r="BM1651" s="775" t="str">
        <f t="shared" si="947"/>
        <v/>
      </c>
    </row>
    <row r="1652" spans="1:65">
      <c r="A1652" s="473">
        <v>1596</v>
      </c>
      <c r="B1652" s="132"/>
      <c r="C1652" s="332"/>
      <c r="D1652" s="333"/>
      <c r="E1652" s="333"/>
      <c r="F1652" s="334"/>
      <c r="G1652" s="337"/>
      <c r="H1652" s="131"/>
      <c r="I1652" s="337"/>
      <c r="J1652" s="131"/>
      <c r="K1652" s="458" t="str">
        <f t="shared" si="948"/>
        <v/>
      </c>
      <c r="L1652" s="458">
        <f t="shared" si="949"/>
        <v>0</v>
      </c>
      <c r="M1652" s="458">
        <f t="shared" si="950"/>
        <v>0</v>
      </c>
      <c r="N1652" s="459" t="str">
        <f t="shared" si="923"/>
        <v/>
      </c>
      <c r="O1652" s="459" t="str">
        <f t="shared" si="924"/>
        <v/>
      </c>
      <c r="P1652" s="459" t="str">
        <f t="shared" si="925"/>
        <v/>
      </c>
      <c r="Q1652" s="459" t="str">
        <f t="shared" si="926"/>
        <v/>
      </c>
      <c r="R1652" s="459" t="str">
        <f t="shared" si="927"/>
        <v/>
      </c>
      <c r="S1652" s="459" t="str">
        <f t="shared" si="928"/>
        <v/>
      </c>
      <c r="T1652" s="566" t="str">
        <f t="shared" si="951"/>
        <v/>
      </c>
      <c r="U1652" s="702"/>
      <c r="V1652" s="132"/>
      <c r="W1652" s="133"/>
      <c r="X1652" s="134"/>
      <c r="Y1652" s="135"/>
      <c r="Z1652" s="137"/>
      <c r="AA1652" s="136"/>
      <c r="AB1652" s="566" t="str">
        <f t="shared" si="952"/>
        <v/>
      </c>
      <c r="AC1652" s="568" t="str">
        <f t="shared" si="953"/>
        <v/>
      </c>
      <c r="AD1652" s="137"/>
      <c r="AE1652" s="137"/>
      <c r="AF1652" s="138"/>
      <c r="AG1652" s="138"/>
      <c r="AH1652" s="592" t="str">
        <f t="shared" si="954"/>
        <v/>
      </c>
      <c r="AI1652" s="592" t="str">
        <f t="shared" si="955"/>
        <v/>
      </c>
      <c r="AJ1652" s="592" t="str">
        <f t="shared" si="956"/>
        <v/>
      </c>
      <c r="AK1652" s="460" t="str">
        <f>IF(AU1652="","",IF(OR(AZ1652=8,AZ1652=9),0,IF(OR(AW1652=3,AW1652=4,AW1652=5,AW1652=6),IF(LEFT(BF1652,1)="1",INDEX(係数_NOX・PM低減,MATCH(AY1652,【参考】排出係数!$AI$801:$AI$804,1),1),VLOOKUP(AU1652,INDEX((係数_バス貨物_ガソリン,係数_バス貨物_CNG,係数_バス貨物_軽油,係数_バス貨物_メタノール,係数_バス貨物_LPG),MATCH(AY1652,【参考】排出係数!$AI$4:$AI$671,1),1,BE1652):INDEX((係数_バス貨物_ガソリン,係数_バス貨物_CNG,係数_バス貨物_軽油,係数_バス貨物_メタノール,係数_バス貨物_LPG),MATCH(AY1652+1,【参考】排出係数!$AI$4:$AI$671,1)-1,5,BE1652),4,FALSE)),IF(AND(BE1652=3,LEFT(BF1652,1)="1"),0.48,VLOOKUP(AU1652,INDEX((係数_乗用_ガソリン,係数_乗用_CNG,係数_乗用_軽油,係数_乗用_メタノール,係数_乗用_LPG),1,1,BE1652):INDEX((係数_乗用_ガソリン,係数_乗用_CNG,係数_乗用_軽油,係数_乗用_メタノール,係数_乗用_LPG),125,5,BE1652),4,FALSE)))))</f>
        <v/>
      </c>
      <c r="AL1652" s="461" t="str">
        <f t="shared" si="957"/>
        <v/>
      </c>
      <c r="AM1652" s="460" t="str">
        <f>IF(AU1652="","",IF(OR(AZ1652=8,AZ1652=9),0,IF(OR(AW1652=3,AW1652=4,AW1652=5,AW1652=6),IF(LEFT(BH1652,1)="1",INDEX(係数_PM低減,MATCH(AY1652,【参考】排出係数!$AI$801:$AI$804,1),MATCH(BI1652,【参考】排出係数!$AL$798:$AO$798,1)),VLOOKUP(AU1652,INDEX((係数_バス貨物_ガソリン,係数_バス貨物_CNG,係数_バス貨物_軽油,係数_バス貨物_メタノール,係数_バス貨物_LPG),MATCH(AY1652,【参考】排出係数!$AI$4:$AI$671,1),1,BE1652):INDEX((係数_バス貨物_ガソリン,係数_バス貨物_CNG,係数_バス貨物_軽油,係数_バス貨物_メタノール,係数_バス貨物_LPG),MATCH(AY1652+1,【参考】排出係数!$AI$4:$AI$671,1)-1,5,BE1652),5,FALSE)),IF(AND(BE1652=3,LEFT(BF1652,1)="1"),0.055,VLOOKUP(AU1652,INDEX((係数_乗用_ガソリン,係数_乗用_CNG,係数_乗用_軽油,係数_乗用_メタノール,係数_乗用_LPG),1,1,BE1652):INDEX((係数_乗用_ガソリン,係数_乗用_CNG,係数_乗用_軽油,係数_乗用_メタノール,係数_乗用_LPG),125,5,BE1652),5,FALSE)))))</f>
        <v/>
      </c>
      <c r="AN1652" s="461" t="str">
        <f t="shared" si="958"/>
        <v/>
      </c>
      <c r="AO1652" s="462" t="str">
        <f t="shared" si="959"/>
        <v/>
      </c>
      <c r="AP1652" s="463" t="str">
        <f t="shared" si="960"/>
        <v/>
      </c>
      <c r="AQ1652" s="464"/>
      <c r="AR1652" s="619"/>
      <c r="AS1652" s="465" t="str">
        <f t="shared" si="930"/>
        <v/>
      </c>
      <c r="AT1652" s="465" t="str">
        <f t="shared" si="931"/>
        <v/>
      </c>
      <c r="AU1652" s="466" t="str">
        <f t="shared" si="932"/>
        <v/>
      </c>
      <c r="AV1652" s="467" t="str">
        <f t="shared" si="933"/>
        <v/>
      </c>
      <c r="AW1652" s="467" t="str">
        <f t="shared" si="934"/>
        <v/>
      </c>
      <c r="AX1652" s="467" t="str">
        <f t="shared" si="935"/>
        <v/>
      </c>
      <c r="AY1652" s="467" t="str">
        <f t="shared" si="936"/>
        <v/>
      </c>
      <c r="AZ1652" s="467" t="str">
        <f t="shared" si="937"/>
        <v/>
      </c>
      <c r="BA1652" s="468" t="str">
        <f>IF(AS1652="","",IF(OR(AU1652="",AU1652="-"),"－",IF(OR(AZ1652=8,AZ1652=9),"",IF(OR(AW1652=3,AW1652=4,AW1652=5,AW1652=6),VLOOKUP(AU1652,INDEX((係数_バス貨物_ガソリン,係数_バス貨物_CNG,係数_バス貨物_軽油,係数_バス貨物_メタノール,係数_バス貨物_LPG),MATCH(AY1652,【参考】排出係数!$AI$4:$AI$671,1),1,BE1652):INDEX((係数_バス貨物_ガソリン,係数_バス貨物_CNG,係数_バス貨物_軽油,係数_バス貨物_メタノール,係数_バス貨物_LPG),MATCH(AY1652+1,【参考】排出係数!$AI$4:$AI$671,1)-1,5,BE1652),2,FALSE),IF(OR(AW1652=1,AW1652=2),VLOOKUP(AU1652,INDEX((係数_乗用_ガソリン,係数_乗用_CNG,係数_乗用_軽油,係数_乗用_メタノール,係数_乗用_LPG),1,1,BE1652):INDEX((係数_乗用_ガソリン,係数_乗用_CNG,係数_乗用_軽油,係数_乗用_メタノール,係数_乗用_LPG),125,5,BE1652),2,FALSE))))))</f>
        <v/>
      </c>
      <c r="BB1652" s="468" t="str">
        <f>IF(T1652="","",IF(OR(AU1652="",AU1652="-"),"－",IF(OR(AZ1652=8,AZ1652=9),"",IF(OR(AW1652=3,AW1652=4,AW1652=5,AW1652=6),VLOOKUP(AU1652,INDEX((係数_バス貨物_ガソリン,係数_バス貨物_CNG,係数_バス貨物_軽油,係数_バス貨物_メタノール,係数_バス貨物_LPG),MATCH(AY1652,【参考】排出係数!$AI$4:$AI$671,1),1,BE1652):INDEX((係数_バス貨物_ガソリン,係数_バス貨物_CNG,係数_バス貨物_軽油,係数_バス貨物_メタノール,係数_バス貨物_LPG),MATCH(AY1652+1,【参考】排出係数!$AI$4:$AI$671,1)-1,5,BE1652),3,FALSE),IF(OR(AW1652=1,AW1652=2),VLOOKUP(AU1652,INDEX((係数_乗用_ガソリン,係数_乗用_CNG,係数_乗用_軽油,係数_乗用_メタノール,係数_乗用_LPG),1,1,BE1652):INDEX((係数_乗用_ガソリン,係数_乗用_CNG,係数_乗用_軽油,係数_乗用_メタノール,係数_乗用_LPG),125,5,BE1652),3,FALSE))))))</f>
        <v/>
      </c>
      <c r="BC1652" s="467" t="str">
        <f t="shared" si="938"/>
        <v/>
      </c>
      <c r="BD1652" s="567" t="str">
        <f t="shared" si="939"/>
        <v/>
      </c>
      <c r="BE1652" s="467" t="str">
        <f t="shared" si="940"/>
        <v/>
      </c>
      <c r="BF1652" s="469" t="str">
        <f t="shared" ca="1" si="941"/>
        <v/>
      </c>
      <c r="BG1652" s="469" t="str">
        <f t="shared" ca="1" si="942"/>
        <v/>
      </c>
      <c r="BH1652" s="467" t="str">
        <f t="shared" si="943"/>
        <v/>
      </c>
      <c r="BI1652" s="467" t="str">
        <f t="shared" ca="1" si="944"/>
        <v/>
      </c>
      <c r="BJ1652" s="469" t="str">
        <f t="shared" si="945"/>
        <v/>
      </c>
      <c r="BK1652" s="470" t="str">
        <f t="shared" si="929"/>
        <v/>
      </c>
      <c r="BL1652" s="775" t="str">
        <f t="shared" si="946"/>
        <v/>
      </c>
      <c r="BM1652" s="775" t="str">
        <f t="shared" si="947"/>
        <v/>
      </c>
    </row>
    <row r="1653" spans="1:65">
      <c r="A1653" s="473">
        <v>1597</v>
      </c>
      <c r="B1653" s="132"/>
      <c r="C1653" s="332"/>
      <c r="D1653" s="333"/>
      <c r="E1653" s="333"/>
      <c r="F1653" s="334"/>
      <c r="G1653" s="337"/>
      <c r="H1653" s="131"/>
      <c r="I1653" s="337"/>
      <c r="J1653" s="131"/>
      <c r="K1653" s="458" t="str">
        <f t="shared" si="948"/>
        <v/>
      </c>
      <c r="L1653" s="458">
        <f t="shared" si="949"/>
        <v>0</v>
      </c>
      <c r="M1653" s="458">
        <f t="shared" si="950"/>
        <v>0</v>
      </c>
      <c r="N1653" s="459" t="str">
        <f t="shared" si="923"/>
        <v/>
      </c>
      <c r="O1653" s="459" t="str">
        <f t="shared" si="924"/>
        <v/>
      </c>
      <c r="P1653" s="459" t="str">
        <f t="shared" si="925"/>
        <v/>
      </c>
      <c r="Q1653" s="459" t="str">
        <f t="shared" si="926"/>
        <v/>
      </c>
      <c r="R1653" s="459" t="str">
        <f t="shared" si="927"/>
        <v/>
      </c>
      <c r="S1653" s="459" t="str">
        <f t="shared" si="928"/>
        <v/>
      </c>
      <c r="T1653" s="566" t="str">
        <f t="shared" si="951"/>
        <v/>
      </c>
      <c r="U1653" s="702"/>
      <c r="V1653" s="132"/>
      <c r="W1653" s="133"/>
      <c r="X1653" s="134"/>
      <c r="Y1653" s="135"/>
      <c r="Z1653" s="137"/>
      <c r="AA1653" s="136"/>
      <c r="AB1653" s="566" t="str">
        <f t="shared" si="952"/>
        <v/>
      </c>
      <c r="AC1653" s="568" t="str">
        <f t="shared" si="953"/>
        <v/>
      </c>
      <c r="AD1653" s="137"/>
      <c r="AE1653" s="137"/>
      <c r="AF1653" s="138"/>
      <c r="AG1653" s="138"/>
      <c r="AH1653" s="592" t="str">
        <f t="shared" si="954"/>
        <v/>
      </c>
      <c r="AI1653" s="592" t="str">
        <f t="shared" si="955"/>
        <v/>
      </c>
      <c r="AJ1653" s="592" t="str">
        <f t="shared" si="956"/>
        <v/>
      </c>
      <c r="AK1653" s="460" t="str">
        <f>IF(AU1653="","",IF(OR(AZ1653=8,AZ1653=9),0,IF(OR(AW1653=3,AW1653=4,AW1653=5,AW1653=6),IF(LEFT(BF1653,1)="1",INDEX(係数_NOX・PM低減,MATCH(AY1653,【参考】排出係数!$AI$801:$AI$804,1),1),VLOOKUP(AU1653,INDEX((係数_バス貨物_ガソリン,係数_バス貨物_CNG,係数_バス貨物_軽油,係数_バス貨物_メタノール,係数_バス貨物_LPG),MATCH(AY1653,【参考】排出係数!$AI$4:$AI$671,1),1,BE1653):INDEX((係数_バス貨物_ガソリン,係数_バス貨物_CNG,係数_バス貨物_軽油,係数_バス貨物_メタノール,係数_バス貨物_LPG),MATCH(AY1653+1,【参考】排出係数!$AI$4:$AI$671,1)-1,5,BE1653),4,FALSE)),IF(AND(BE1653=3,LEFT(BF1653,1)="1"),0.48,VLOOKUP(AU1653,INDEX((係数_乗用_ガソリン,係数_乗用_CNG,係数_乗用_軽油,係数_乗用_メタノール,係数_乗用_LPG),1,1,BE1653):INDEX((係数_乗用_ガソリン,係数_乗用_CNG,係数_乗用_軽油,係数_乗用_メタノール,係数_乗用_LPG),125,5,BE1653),4,FALSE)))))</f>
        <v/>
      </c>
      <c r="AL1653" s="461" t="str">
        <f t="shared" si="957"/>
        <v/>
      </c>
      <c r="AM1653" s="460" t="str">
        <f>IF(AU1653="","",IF(OR(AZ1653=8,AZ1653=9),0,IF(OR(AW1653=3,AW1653=4,AW1653=5,AW1653=6),IF(LEFT(BH1653,1)="1",INDEX(係数_PM低減,MATCH(AY1653,【参考】排出係数!$AI$801:$AI$804,1),MATCH(BI1653,【参考】排出係数!$AL$798:$AO$798,1)),VLOOKUP(AU1653,INDEX((係数_バス貨物_ガソリン,係数_バス貨物_CNG,係数_バス貨物_軽油,係数_バス貨物_メタノール,係数_バス貨物_LPG),MATCH(AY1653,【参考】排出係数!$AI$4:$AI$671,1),1,BE1653):INDEX((係数_バス貨物_ガソリン,係数_バス貨物_CNG,係数_バス貨物_軽油,係数_バス貨物_メタノール,係数_バス貨物_LPG),MATCH(AY1653+1,【参考】排出係数!$AI$4:$AI$671,1)-1,5,BE1653),5,FALSE)),IF(AND(BE1653=3,LEFT(BF1653,1)="1"),0.055,VLOOKUP(AU1653,INDEX((係数_乗用_ガソリン,係数_乗用_CNG,係数_乗用_軽油,係数_乗用_メタノール,係数_乗用_LPG),1,1,BE1653):INDEX((係数_乗用_ガソリン,係数_乗用_CNG,係数_乗用_軽油,係数_乗用_メタノール,係数_乗用_LPG),125,5,BE1653),5,FALSE)))))</f>
        <v/>
      </c>
      <c r="AN1653" s="461" t="str">
        <f t="shared" si="958"/>
        <v/>
      </c>
      <c r="AO1653" s="462" t="str">
        <f t="shared" si="959"/>
        <v/>
      </c>
      <c r="AP1653" s="463" t="str">
        <f t="shared" si="960"/>
        <v/>
      </c>
      <c r="AQ1653" s="464"/>
      <c r="AR1653" s="619"/>
      <c r="AS1653" s="465" t="str">
        <f t="shared" si="930"/>
        <v/>
      </c>
      <c r="AT1653" s="465" t="str">
        <f t="shared" si="931"/>
        <v/>
      </c>
      <c r="AU1653" s="466" t="str">
        <f t="shared" si="932"/>
        <v/>
      </c>
      <c r="AV1653" s="467" t="str">
        <f t="shared" si="933"/>
        <v/>
      </c>
      <c r="AW1653" s="467" t="str">
        <f t="shared" si="934"/>
        <v/>
      </c>
      <c r="AX1653" s="467" t="str">
        <f t="shared" si="935"/>
        <v/>
      </c>
      <c r="AY1653" s="467" t="str">
        <f t="shared" si="936"/>
        <v/>
      </c>
      <c r="AZ1653" s="467" t="str">
        <f t="shared" si="937"/>
        <v/>
      </c>
      <c r="BA1653" s="468" t="str">
        <f>IF(AS1653="","",IF(OR(AU1653="",AU1653="-"),"－",IF(OR(AZ1653=8,AZ1653=9),"",IF(OR(AW1653=3,AW1653=4,AW1653=5,AW1653=6),VLOOKUP(AU1653,INDEX((係数_バス貨物_ガソリン,係数_バス貨物_CNG,係数_バス貨物_軽油,係数_バス貨物_メタノール,係数_バス貨物_LPG),MATCH(AY1653,【参考】排出係数!$AI$4:$AI$671,1),1,BE1653):INDEX((係数_バス貨物_ガソリン,係数_バス貨物_CNG,係数_バス貨物_軽油,係数_バス貨物_メタノール,係数_バス貨物_LPG),MATCH(AY1653+1,【参考】排出係数!$AI$4:$AI$671,1)-1,5,BE1653),2,FALSE),IF(OR(AW1653=1,AW1653=2),VLOOKUP(AU1653,INDEX((係数_乗用_ガソリン,係数_乗用_CNG,係数_乗用_軽油,係数_乗用_メタノール,係数_乗用_LPG),1,1,BE1653):INDEX((係数_乗用_ガソリン,係数_乗用_CNG,係数_乗用_軽油,係数_乗用_メタノール,係数_乗用_LPG),125,5,BE1653),2,FALSE))))))</f>
        <v/>
      </c>
      <c r="BB1653" s="468" t="str">
        <f>IF(T1653="","",IF(OR(AU1653="",AU1653="-"),"－",IF(OR(AZ1653=8,AZ1653=9),"",IF(OR(AW1653=3,AW1653=4,AW1653=5,AW1653=6),VLOOKUP(AU1653,INDEX((係数_バス貨物_ガソリン,係数_バス貨物_CNG,係数_バス貨物_軽油,係数_バス貨物_メタノール,係数_バス貨物_LPG),MATCH(AY1653,【参考】排出係数!$AI$4:$AI$671,1),1,BE1653):INDEX((係数_バス貨物_ガソリン,係数_バス貨物_CNG,係数_バス貨物_軽油,係数_バス貨物_メタノール,係数_バス貨物_LPG),MATCH(AY1653+1,【参考】排出係数!$AI$4:$AI$671,1)-1,5,BE1653),3,FALSE),IF(OR(AW1653=1,AW1653=2),VLOOKUP(AU1653,INDEX((係数_乗用_ガソリン,係数_乗用_CNG,係数_乗用_軽油,係数_乗用_メタノール,係数_乗用_LPG),1,1,BE1653):INDEX((係数_乗用_ガソリン,係数_乗用_CNG,係数_乗用_軽油,係数_乗用_メタノール,係数_乗用_LPG),125,5,BE1653),3,FALSE))))))</f>
        <v/>
      </c>
      <c r="BC1653" s="467" t="str">
        <f t="shared" si="938"/>
        <v/>
      </c>
      <c r="BD1653" s="567" t="str">
        <f t="shared" si="939"/>
        <v/>
      </c>
      <c r="BE1653" s="467" t="str">
        <f t="shared" si="940"/>
        <v/>
      </c>
      <c r="BF1653" s="469" t="str">
        <f t="shared" ca="1" si="941"/>
        <v/>
      </c>
      <c r="BG1653" s="469" t="str">
        <f t="shared" ca="1" si="942"/>
        <v/>
      </c>
      <c r="BH1653" s="467" t="str">
        <f t="shared" si="943"/>
        <v/>
      </c>
      <c r="BI1653" s="467" t="str">
        <f t="shared" ca="1" si="944"/>
        <v/>
      </c>
      <c r="BJ1653" s="469" t="str">
        <f t="shared" si="945"/>
        <v/>
      </c>
      <c r="BK1653" s="470" t="str">
        <f t="shared" si="929"/>
        <v/>
      </c>
      <c r="BL1653" s="775" t="str">
        <f t="shared" si="946"/>
        <v/>
      </c>
      <c r="BM1653" s="775" t="str">
        <f t="shared" si="947"/>
        <v/>
      </c>
    </row>
    <row r="1654" spans="1:65">
      <c r="A1654" s="473">
        <v>1598</v>
      </c>
      <c r="B1654" s="132"/>
      <c r="C1654" s="332"/>
      <c r="D1654" s="333"/>
      <c r="E1654" s="333"/>
      <c r="F1654" s="334"/>
      <c r="G1654" s="337"/>
      <c r="H1654" s="131"/>
      <c r="I1654" s="337"/>
      <c r="J1654" s="131"/>
      <c r="K1654" s="458" t="str">
        <f t="shared" si="948"/>
        <v/>
      </c>
      <c r="L1654" s="458">
        <f t="shared" si="949"/>
        <v>0</v>
      </c>
      <c r="M1654" s="458">
        <f t="shared" si="950"/>
        <v>0</v>
      </c>
      <c r="N1654" s="459" t="str">
        <f t="shared" si="923"/>
        <v/>
      </c>
      <c r="O1654" s="459" t="str">
        <f t="shared" si="924"/>
        <v/>
      </c>
      <c r="P1654" s="459" t="str">
        <f t="shared" si="925"/>
        <v/>
      </c>
      <c r="Q1654" s="459" t="str">
        <f t="shared" si="926"/>
        <v/>
      </c>
      <c r="R1654" s="459" t="str">
        <f t="shared" si="927"/>
        <v/>
      </c>
      <c r="S1654" s="459" t="str">
        <f t="shared" si="928"/>
        <v/>
      </c>
      <c r="T1654" s="566" t="str">
        <f t="shared" si="951"/>
        <v/>
      </c>
      <c r="U1654" s="702"/>
      <c r="V1654" s="132"/>
      <c r="W1654" s="133"/>
      <c r="X1654" s="134"/>
      <c r="Y1654" s="135"/>
      <c r="Z1654" s="137"/>
      <c r="AA1654" s="136"/>
      <c r="AB1654" s="566" t="str">
        <f t="shared" si="952"/>
        <v/>
      </c>
      <c r="AC1654" s="568" t="str">
        <f t="shared" si="953"/>
        <v/>
      </c>
      <c r="AD1654" s="137"/>
      <c r="AE1654" s="137"/>
      <c r="AF1654" s="138"/>
      <c r="AG1654" s="138"/>
      <c r="AH1654" s="592" t="str">
        <f t="shared" si="954"/>
        <v/>
      </c>
      <c r="AI1654" s="592" t="str">
        <f t="shared" si="955"/>
        <v/>
      </c>
      <c r="AJ1654" s="592" t="str">
        <f t="shared" si="956"/>
        <v/>
      </c>
      <c r="AK1654" s="460" t="str">
        <f>IF(AU1654="","",IF(OR(AZ1654=8,AZ1654=9),0,IF(OR(AW1654=3,AW1654=4,AW1654=5,AW1654=6),IF(LEFT(BF1654,1)="1",INDEX(係数_NOX・PM低減,MATCH(AY1654,【参考】排出係数!$AI$801:$AI$804,1),1),VLOOKUP(AU1654,INDEX((係数_バス貨物_ガソリン,係数_バス貨物_CNG,係数_バス貨物_軽油,係数_バス貨物_メタノール,係数_バス貨物_LPG),MATCH(AY1654,【参考】排出係数!$AI$4:$AI$671,1),1,BE1654):INDEX((係数_バス貨物_ガソリン,係数_バス貨物_CNG,係数_バス貨物_軽油,係数_バス貨物_メタノール,係数_バス貨物_LPG),MATCH(AY1654+1,【参考】排出係数!$AI$4:$AI$671,1)-1,5,BE1654),4,FALSE)),IF(AND(BE1654=3,LEFT(BF1654,1)="1"),0.48,VLOOKUP(AU1654,INDEX((係数_乗用_ガソリン,係数_乗用_CNG,係数_乗用_軽油,係数_乗用_メタノール,係数_乗用_LPG),1,1,BE1654):INDEX((係数_乗用_ガソリン,係数_乗用_CNG,係数_乗用_軽油,係数_乗用_メタノール,係数_乗用_LPG),125,5,BE1654),4,FALSE)))))</f>
        <v/>
      </c>
      <c r="AL1654" s="461" t="str">
        <f t="shared" si="957"/>
        <v/>
      </c>
      <c r="AM1654" s="460" t="str">
        <f>IF(AU1654="","",IF(OR(AZ1654=8,AZ1654=9),0,IF(OR(AW1654=3,AW1654=4,AW1654=5,AW1654=6),IF(LEFT(BH1654,1)="1",INDEX(係数_PM低減,MATCH(AY1654,【参考】排出係数!$AI$801:$AI$804,1),MATCH(BI1654,【参考】排出係数!$AL$798:$AO$798,1)),VLOOKUP(AU1654,INDEX((係数_バス貨物_ガソリン,係数_バス貨物_CNG,係数_バス貨物_軽油,係数_バス貨物_メタノール,係数_バス貨物_LPG),MATCH(AY1654,【参考】排出係数!$AI$4:$AI$671,1),1,BE1654):INDEX((係数_バス貨物_ガソリン,係数_バス貨物_CNG,係数_バス貨物_軽油,係数_バス貨物_メタノール,係数_バス貨物_LPG),MATCH(AY1654+1,【参考】排出係数!$AI$4:$AI$671,1)-1,5,BE1654),5,FALSE)),IF(AND(BE1654=3,LEFT(BF1654,1)="1"),0.055,VLOOKUP(AU1654,INDEX((係数_乗用_ガソリン,係数_乗用_CNG,係数_乗用_軽油,係数_乗用_メタノール,係数_乗用_LPG),1,1,BE1654):INDEX((係数_乗用_ガソリン,係数_乗用_CNG,係数_乗用_軽油,係数_乗用_メタノール,係数_乗用_LPG),125,5,BE1654),5,FALSE)))))</f>
        <v/>
      </c>
      <c r="AN1654" s="461" t="str">
        <f t="shared" si="958"/>
        <v/>
      </c>
      <c r="AO1654" s="462" t="str">
        <f t="shared" si="959"/>
        <v/>
      </c>
      <c r="AP1654" s="463" t="str">
        <f t="shared" si="960"/>
        <v/>
      </c>
      <c r="AQ1654" s="464"/>
      <c r="AR1654" s="619"/>
      <c r="AS1654" s="465" t="str">
        <f t="shared" si="930"/>
        <v/>
      </c>
      <c r="AT1654" s="465" t="str">
        <f t="shared" si="931"/>
        <v/>
      </c>
      <c r="AU1654" s="466" t="str">
        <f t="shared" si="932"/>
        <v/>
      </c>
      <c r="AV1654" s="467" t="str">
        <f t="shared" si="933"/>
        <v/>
      </c>
      <c r="AW1654" s="467" t="str">
        <f t="shared" si="934"/>
        <v/>
      </c>
      <c r="AX1654" s="467" t="str">
        <f t="shared" si="935"/>
        <v/>
      </c>
      <c r="AY1654" s="467" t="str">
        <f t="shared" si="936"/>
        <v/>
      </c>
      <c r="AZ1654" s="467" t="str">
        <f t="shared" si="937"/>
        <v/>
      </c>
      <c r="BA1654" s="468" t="str">
        <f>IF(AS1654="","",IF(OR(AU1654="",AU1654="-"),"－",IF(OR(AZ1654=8,AZ1654=9),"",IF(OR(AW1654=3,AW1654=4,AW1654=5,AW1654=6),VLOOKUP(AU1654,INDEX((係数_バス貨物_ガソリン,係数_バス貨物_CNG,係数_バス貨物_軽油,係数_バス貨物_メタノール,係数_バス貨物_LPG),MATCH(AY1654,【参考】排出係数!$AI$4:$AI$671,1),1,BE1654):INDEX((係数_バス貨物_ガソリン,係数_バス貨物_CNG,係数_バス貨物_軽油,係数_バス貨物_メタノール,係数_バス貨物_LPG),MATCH(AY1654+1,【参考】排出係数!$AI$4:$AI$671,1)-1,5,BE1654),2,FALSE),IF(OR(AW1654=1,AW1654=2),VLOOKUP(AU1654,INDEX((係数_乗用_ガソリン,係数_乗用_CNG,係数_乗用_軽油,係数_乗用_メタノール,係数_乗用_LPG),1,1,BE1654):INDEX((係数_乗用_ガソリン,係数_乗用_CNG,係数_乗用_軽油,係数_乗用_メタノール,係数_乗用_LPG),125,5,BE1654),2,FALSE))))))</f>
        <v/>
      </c>
      <c r="BB1654" s="468" t="str">
        <f>IF(T1654="","",IF(OR(AU1654="",AU1654="-"),"－",IF(OR(AZ1654=8,AZ1654=9),"",IF(OR(AW1654=3,AW1654=4,AW1654=5,AW1654=6),VLOOKUP(AU1654,INDEX((係数_バス貨物_ガソリン,係数_バス貨物_CNG,係数_バス貨物_軽油,係数_バス貨物_メタノール,係数_バス貨物_LPG),MATCH(AY1654,【参考】排出係数!$AI$4:$AI$671,1),1,BE1654):INDEX((係数_バス貨物_ガソリン,係数_バス貨物_CNG,係数_バス貨物_軽油,係数_バス貨物_メタノール,係数_バス貨物_LPG),MATCH(AY1654+1,【参考】排出係数!$AI$4:$AI$671,1)-1,5,BE1654),3,FALSE),IF(OR(AW1654=1,AW1654=2),VLOOKUP(AU1654,INDEX((係数_乗用_ガソリン,係数_乗用_CNG,係数_乗用_軽油,係数_乗用_メタノール,係数_乗用_LPG),1,1,BE1654):INDEX((係数_乗用_ガソリン,係数_乗用_CNG,係数_乗用_軽油,係数_乗用_メタノール,係数_乗用_LPG),125,5,BE1654),3,FALSE))))))</f>
        <v/>
      </c>
      <c r="BC1654" s="467" t="str">
        <f t="shared" si="938"/>
        <v/>
      </c>
      <c r="BD1654" s="567" t="str">
        <f t="shared" si="939"/>
        <v/>
      </c>
      <c r="BE1654" s="467" t="str">
        <f t="shared" si="940"/>
        <v/>
      </c>
      <c r="BF1654" s="469" t="str">
        <f t="shared" ca="1" si="941"/>
        <v/>
      </c>
      <c r="BG1654" s="469" t="str">
        <f t="shared" ca="1" si="942"/>
        <v/>
      </c>
      <c r="BH1654" s="467" t="str">
        <f t="shared" si="943"/>
        <v/>
      </c>
      <c r="BI1654" s="467" t="str">
        <f t="shared" ca="1" si="944"/>
        <v/>
      </c>
      <c r="BJ1654" s="469" t="str">
        <f t="shared" si="945"/>
        <v/>
      </c>
      <c r="BK1654" s="470" t="str">
        <f t="shared" si="929"/>
        <v/>
      </c>
      <c r="BL1654" s="775" t="str">
        <f t="shared" si="946"/>
        <v/>
      </c>
      <c r="BM1654" s="775" t="str">
        <f t="shared" si="947"/>
        <v/>
      </c>
    </row>
    <row r="1655" spans="1:65">
      <c r="A1655" s="473">
        <v>1599</v>
      </c>
      <c r="B1655" s="132"/>
      <c r="C1655" s="332"/>
      <c r="D1655" s="333"/>
      <c r="E1655" s="333"/>
      <c r="F1655" s="334"/>
      <c r="G1655" s="337"/>
      <c r="H1655" s="131"/>
      <c r="I1655" s="337"/>
      <c r="J1655" s="131"/>
      <c r="K1655" s="458" t="str">
        <f t="shared" si="948"/>
        <v/>
      </c>
      <c r="L1655" s="458">
        <f t="shared" si="949"/>
        <v>0</v>
      </c>
      <c r="M1655" s="458">
        <f t="shared" si="950"/>
        <v>0</v>
      </c>
      <c r="N1655" s="459" t="str">
        <f t="shared" ref="N1655:N1718" si="961">IF(OR($L1655&gt;$U$48,$M1655&gt;$U$48,AND($L1655&gt;$M1655,$M1655&lt;&gt;0),AND($L1655=0,$M1655&lt;&gt;0)),"ERROR","")</f>
        <v/>
      </c>
      <c r="O1655" s="459" t="str">
        <f t="shared" ref="O1655:O1718" si="962">IF(AND($N1655&lt;&gt;"ERROR",$L1655&lt;=$U$49,$M1655&lt;=$U$49,$M1655&lt;&gt;0),"(減車済)","")</f>
        <v/>
      </c>
      <c r="P1655" s="459" t="str">
        <f t="shared" ref="P1655:P1718" si="963">IF(AND($N1655&lt;&gt;"ERROR",$L1655&lt;$U$49,AND($M1655&gt;$U$49,$M1655&lt;=$W$49),$M1655&lt;&gt;0),"減車","")</f>
        <v/>
      </c>
      <c r="Q1655" s="459" t="str">
        <f t="shared" ref="Q1655:Q1718" si="964">IF(AND($N1655&lt;&gt;"ERROR",$L1655&gt;$U$49,$M1655&lt;=$W$49,$M1655&lt;&gt;0),"一時使用","")</f>
        <v/>
      </c>
      <c r="R1655" s="459" t="str">
        <f t="shared" ref="R1655:R1718" si="965">IF(AND($N1655&lt;&gt;"ERROR",AND($L1655&gt;0,$L1655&lt;=$U$49),$M1655=0),"継続","")</f>
        <v/>
      </c>
      <c r="S1655" s="459" t="str">
        <f t="shared" ref="S1655:S1718" si="966">IF(AND($N1655&lt;&gt;"ERROR",AND($L1655&gt;$U$49),$M1655=0),"新規","")</f>
        <v/>
      </c>
      <c r="T1655" s="566" t="str">
        <f t="shared" si="951"/>
        <v/>
      </c>
      <c r="U1655" s="702"/>
      <c r="V1655" s="132"/>
      <c r="W1655" s="133"/>
      <c r="X1655" s="134"/>
      <c r="Y1655" s="135"/>
      <c r="Z1655" s="137"/>
      <c r="AA1655" s="136"/>
      <c r="AB1655" s="566" t="str">
        <f t="shared" si="952"/>
        <v/>
      </c>
      <c r="AC1655" s="568" t="str">
        <f t="shared" si="953"/>
        <v/>
      </c>
      <c r="AD1655" s="137"/>
      <c r="AE1655" s="137"/>
      <c r="AF1655" s="138"/>
      <c r="AG1655" s="138"/>
      <c r="AH1655" s="592" t="str">
        <f t="shared" si="954"/>
        <v/>
      </c>
      <c r="AI1655" s="592" t="str">
        <f t="shared" si="955"/>
        <v/>
      </c>
      <c r="AJ1655" s="592" t="str">
        <f t="shared" si="956"/>
        <v/>
      </c>
      <c r="AK1655" s="460" t="str">
        <f>IF(AU1655="","",IF(OR(AZ1655=8,AZ1655=9),0,IF(OR(AW1655=3,AW1655=4,AW1655=5,AW1655=6),IF(LEFT(BF1655,1)="1",INDEX(係数_NOX・PM低減,MATCH(AY1655,【参考】排出係数!$AI$801:$AI$804,1),1),VLOOKUP(AU1655,INDEX((係数_バス貨物_ガソリン,係数_バス貨物_CNG,係数_バス貨物_軽油,係数_バス貨物_メタノール,係数_バス貨物_LPG),MATCH(AY1655,【参考】排出係数!$AI$4:$AI$671,1),1,BE1655):INDEX((係数_バス貨物_ガソリン,係数_バス貨物_CNG,係数_バス貨物_軽油,係数_バス貨物_メタノール,係数_バス貨物_LPG),MATCH(AY1655+1,【参考】排出係数!$AI$4:$AI$671,1)-1,5,BE1655),4,FALSE)),IF(AND(BE1655=3,LEFT(BF1655,1)="1"),0.48,VLOOKUP(AU1655,INDEX((係数_乗用_ガソリン,係数_乗用_CNG,係数_乗用_軽油,係数_乗用_メタノール,係数_乗用_LPG),1,1,BE1655):INDEX((係数_乗用_ガソリン,係数_乗用_CNG,係数_乗用_軽油,係数_乗用_メタノール,係数_乗用_LPG),125,5,BE1655),4,FALSE)))))</f>
        <v/>
      </c>
      <c r="AL1655" s="461" t="str">
        <f t="shared" si="957"/>
        <v/>
      </c>
      <c r="AM1655" s="460" t="str">
        <f>IF(AU1655="","",IF(OR(AZ1655=8,AZ1655=9),0,IF(OR(AW1655=3,AW1655=4,AW1655=5,AW1655=6),IF(LEFT(BH1655,1)="1",INDEX(係数_PM低減,MATCH(AY1655,【参考】排出係数!$AI$801:$AI$804,1),MATCH(BI1655,【参考】排出係数!$AL$798:$AO$798,1)),VLOOKUP(AU1655,INDEX((係数_バス貨物_ガソリン,係数_バス貨物_CNG,係数_バス貨物_軽油,係数_バス貨物_メタノール,係数_バス貨物_LPG),MATCH(AY1655,【参考】排出係数!$AI$4:$AI$671,1),1,BE1655):INDEX((係数_バス貨物_ガソリン,係数_バス貨物_CNG,係数_バス貨物_軽油,係数_バス貨物_メタノール,係数_バス貨物_LPG),MATCH(AY1655+1,【参考】排出係数!$AI$4:$AI$671,1)-1,5,BE1655),5,FALSE)),IF(AND(BE1655=3,LEFT(BF1655,1)="1"),0.055,VLOOKUP(AU1655,INDEX((係数_乗用_ガソリン,係数_乗用_CNG,係数_乗用_軽油,係数_乗用_メタノール,係数_乗用_LPG),1,1,BE1655):INDEX((係数_乗用_ガソリン,係数_乗用_CNG,係数_乗用_軽油,係数_乗用_メタノール,係数_乗用_LPG),125,5,BE1655),5,FALSE)))))</f>
        <v/>
      </c>
      <c r="AN1655" s="461" t="str">
        <f t="shared" si="958"/>
        <v/>
      </c>
      <c r="AO1655" s="462" t="str">
        <f t="shared" si="959"/>
        <v/>
      </c>
      <c r="AP1655" s="463" t="str">
        <f t="shared" si="960"/>
        <v/>
      </c>
      <c r="AQ1655" s="464"/>
      <c r="AR1655" s="619"/>
      <c r="AS1655" s="465" t="str">
        <f t="shared" si="930"/>
        <v/>
      </c>
      <c r="AT1655" s="465" t="str">
        <f t="shared" si="931"/>
        <v/>
      </c>
      <c r="AU1655" s="466" t="str">
        <f t="shared" si="932"/>
        <v/>
      </c>
      <c r="AV1655" s="467" t="str">
        <f t="shared" si="933"/>
        <v/>
      </c>
      <c r="AW1655" s="467" t="str">
        <f t="shared" si="934"/>
        <v/>
      </c>
      <c r="AX1655" s="467" t="str">
        <f t="shared" si="935"/>
        <v/>
      </c>
      <c r="AY1655" s="467" t="str">
        <f t="shared" si="936"/>
        <v/>
      </c>
      <c r="AZ1655" s="467" t="str">
        <f t="shared" si="937"/>
        <v/>
      </c>
      <c r="BA1655" s="468" t="str">
        <f>IF(AS1655="","",IF(OR(AU1655="",AU1655="-"),"－",IF(OR(AZ1655=8,AZ1655=9),"",IF(OR(AW1655=3,AW1655=4,AW1655=5,AW1655=6),VLOOKUP(AU1655,INDEX((係数_バス貨物_ガソリン,係数_バス貨物_CNG,係数_バス貨物_軽油,係数_バス貨物_メタノール,係数_バス貨物_LPG),MATCH(AY1655,【参考】排出係数!$AI$4:$AI$671,1),1,BE1655):INDEX((係数_バス貨物_ガソリン,係数_バス貨物_CNG,係数_バス貨物_軽油,係数_バス貨物_メタノール,係数_バス貨物_LPG),MATCH(AY1655+1,【参考】排出係数!$AI$4:$AI$671,1)-1,5,BE1655),2,FALSE),IF(OR(AW1655=1,AW1655=2),VLOOKUP(AU1655,INDEX((係数_乗用_ガソリン,係数_乗用_CNG,係数_乗用_軽油,係数_乗用_メタノール,係数_乗用_LPG),1,1,BE1655):INDEX((係数_乗用_ガソリン,係数_乗用_CNG,係数_乗用_軽油,係数_乗用_メタノール,係数_乗用_LPG),125,5,BE1655),2,FALSE))))))</f>
        <v/>
      </c>
      <c r="BB1655" s="468" t="str">
        <f>IF(T1655="","",IF(OR(AU1655="",AU1655="-"),"－",IF(OR(AZ1655=8,AZ1655=9),"",IF(OR(AW1655=3,AW1655=4,AW1655=5,AW1655=6),VLOOKUP(AU1655,INDEX((係数_バス貨物_ガソリン,係数_バス貨物_CNG,係数_バス貨物_軽油,係数_バス貨物_メタノール,係数_バス貨物_LPG),MATCH(AY1655,【参考】排出係数!$AI$4:$AI$671,1),1,BE1655):INDEX((係数_バス貨物_ガソリン,係数_バス貨物_CNG,係数_バス貨物_軽油,係数_バス貨物_メタノール,係数_バス貨物_LPG),MATCH(AY1655+1,【参考】排出係数!$AI$4:$AI$671,1)-1,5,BE1655),3,FALSE),IF(OR(AW1655=1,AW1655=2),VLOOKUP(AU1655,INDEX((係数_乗用_ガソリン,係数_乗用_CNG,係数_乗用_軽油,係数_乗用_メタノール,係数_乗用_LPG),1,1,BE1655):INDEX((係数_乗用_ガソリン,係数_乗用_CNG,係数_乗用_軽油,係数_乗用_メタノール,係数_乗用_LPG),125,5,BE1655),3,FALSE))))))</f>
        <v/>
      </c>
      <c r="BC1655" s="467" t="str">
        <f t="shared" si="938"/>
        <v/>
      </c>
      <c r="BD1655" s="567" t="str">
        <f t="shared" si="939"/>
        <v/>
      </c>
      <c r="BE1655" s="467" t="str">
        <f t="shared" si="940"/>
        <v/>
      </c>
      <c r="BF1655" s="469" t="str">
        <f t="shared" ca="1" si="941"/>
        <v/>
      </c>
      <c r="BG1655" s="469" t="str">
        <f t="shared" ca="1" si="942"/>
        <v/>
      </c>
      <c r="BH1655" s="467" t="str">
        <f t="shared" si="943"/>
        <v/>
      </c>
      <c r="BI1655" s="467" t="str">
        <f t="shared" ca="1" si="944"/>
        <v/>
      </c>
      <c r="BJ1655" s="469" t="str">
        <f t="shared" si="945"/>
        <v/>
      </c>
      <c r="BK1655" s="470" t="str">
        <f t="shared" si="929"/>
        <v/>
      </c>
      <c r="BL1655" s="775" t="str">
        <f t="shared" si="946"/>
        <v/>
      </c>
      <c r="BM1655" s="775" t="str">
        <f t="shared" si="947"/>
        <v/>
      </c>
    </row>
    <row r="1656" spans="1:65">
      <c r="A1656" s="473">
        <v>1600</v>
      </c>
      <c r="B1656" s="132"/>
      <c r="C1656" s="332"/>
      <c r="D1656" s="333"/>
      <c r="E1656" s="333"/>
      <c r="F1656" s="334"/>
      <c r="G1656" s="337"/>
      <c r="H1656" s="131"/>
      <c r="I1656" s="337"/>
      <c r="J1656" s="131"/>
      <c r="K1656" s="458" t="str">
        <f t="shared" si="948"/>
        <v/>
      </c>
      <c r="L1656" s="458">
        <f t="shared" si="949"/>
        <v>0</v>
      </c>
      <c r="M1656" s="458">
        <f t="shared" si="950"/>
        <v>0</v>
      </c>
      <c r="N1656" s="459" t="str">
        <f t="shared" si="961"/>
        <v/>
      </c>
      <c r="O1656" s="459" t="str">
        <f t="shared" si="962"/>
        <v/>
      </c>
      <c r="P1656" s="459" t="str">
        <f t="shared" si="963"/>
        <v/>
      </c>
      <c r="Q1656" s="459" t="str">
        <f t="shared" si="964"/>
        <v/>
      </c>
      <c r="R1656" s="459" t="str">
        <f t="shared" si="965"/>
        <v/>
      </c>
      <c r="S1656" s="459" t="str">
        <f t="shared" si="966"/>
        <v/>
      </c>
      <c r="T1656" s="566" t="str">
        <f t="shared" si="951"/>
        <v/>
      </c>
      <c r="U1656" s="702"/>
      <c r="V1656" s="132"/>
      <c r="W1656" s="133"/>
      <c r="X1656" s="134"/>
      <c r="Y1656" s="135"/>
      <c r="Z1656" s="137"/>
      <c r="AA1656" s="136"/>
      <c r="AB1656" s="566" t="str">
        <f t="shared" si="952"/>
        <v/>
      </c>
      <c r="AC1656" s="568" t="str">
        <f t="shared" si="953"/>
        <v/>
      </c>
      <c r="AD1656" s="137"/>
      <c r="AE1656" s="137"/>
      <c r="AF1656" s="138"/>
      <c r="AG1656" s="138"/>
      <c r="AH1656" s="592" t="str">
        <f t="shared" si="954"/>
        <v/>
      </c>
      <c r="AI1656" s="592" t="str">
        <f t="shared" si="955"/>
        <v/>
      </c>
      <c r="AJ1656" s="592" t="str">
        <f t="shared" si="956"/>
        <v/>
      </c>
      <c r="AK1656" s="460" t="str">
        <f>IF(AU1656="","",IF(OR(AZ1656=8,AZ1656=9),0,IF(OR(AW1656=3,AW1656=4,AW1656=5,AW1656=6),IF(LEFT(BF1656,1)="1",INDEX(係数_NOX・PM低減,MATCH(AY1656,【参考】排出係数!$AI$801:$AI$804,1),1),VLOOKUP(AU1656,INDEX((係数_バス貨物_ガソリン,係数_バス貨物_CNG,係数_バス貨物_軽油,係数_バス貨物_メタノール,係数_バス貨物_LPG),MATCH(AY1656,【参考】排出係数!$AI$4:$AI$671,1),1,BE1656):INDEX((係数_バス貨物_ガソリン,係数_バス貨物_CNG,係数_バス貨物_軽油,係数_バス貨物_メタノール,係数_バス貨物_LPG),MATCH(AY1656+1,【参考】排出係数!$AI$4:$AI$671,1)-1,5,BE1656),4,FALSE)),IF(AND(BE1656=3,LEFT(BF1656,1)="1"),0.48,VLOOKUP(AU1656,INDEX((係数_乗用_ガソリン,係数_乗用_CNG,係数_乗用_軽油,係数_乗用_メタノール,係数_乗用_LPG),1,1,BE1656):INDEX((係数_乗用_ガソリン,係数_乗用_CNG,係数_乗用_軽油,係数_乗用_メタノール,係数_乗用_LPG),125,5,BE1656),4,FALSE)))))</f>
        <v/>
      </c>
      <c r="AL1656" s="461" t="str">
        <f t="shared" si="957"/>
        <v/>
      </c>
      <c r="AM1656" s="460" t="str">
        <f>IF(AU1656="","",IF(OR(AZ1656=8,AZ1656=9),0,IF(OR(AW1656=3,AW1656=4,AW1656=5,AW1656=6),IF(LEFT(BH1656,1)="1",INDEX(係数_PM低減,MATCH(AY1656,【参考】排出係数!$AI$801:$AI$804,1),MATCH(BI1656,【参考】排出係数!$AL$798:$AO$798,1)),VLOOKUP(AU1656,INDEX((係数_バス貨物_ガソリン,係数_バス貨物_CNG,係数_バス貨物_軽油,係数_バス貨物_メタノール,係数_バス貨物_LPG),MATCH(AY1656,【参考】排出係数!$AI$4:$AI$671,1),1,BE1656):INDEX((係数_バス貨物_ガソリン,係数_バス貨物_CNG,係数_バス貨物_軽油,係数_バス貨物_メタノール,係数_バス貨物_LPG),MATCH(AY1656+1,【参考】排出係数!$AI$4:$AI$671,1)-1,5,BE1656),5,FALSE)),IF(AND(BE1656=3,LEFT(BF1656,1)="1"),0.055,VLOOKUP(AU1656,INDEX((係数_乗用_ガソリン,係数_乗用_CNG,係数_乗用_軽油,係数_乗用_メタノール,係数_乗用_LPG),1,1,BE1656):INDEX((係数_乗用_ガソリン,係数_乗用_CNG,係数_乗用_軽油,係数_乗用_メタノール,係数_乗用_LPG),125,5,BE1656),5,FALSE)))))</f>
        <v/>
      </c>
      <c r="AN1656" s="461" t="str">
        <f t="shared" si="958"/>
        <v/>
      </c>
      <c r="AO1656" s="462" t="str">
        <f t="shared" si="959"/>
        <v/>
      </c>
      <c r="AP1656" s="463" t="str">
        <f t="shared" si="960"/>
        <v/>
      </c>
      <c r="AQ1656" s="464"/>
      <c r="AR1656" s="619"/>
      <c r="AS1656" s="465" t="str">
        <f t="shared" si="930"/>
        <v/>
      </c>
      <c r="AT1656" s="465" t="str">
        <f t="shared" si="931"/>
        <v/>
      </c>
      <c r="AU1656" s="466" t="str">
        <f t="shared" si="932"/>
        <v/>
      </c>
      <c r="AV1656" s="467" t="str">
        <f t="shared" si="933"/>
        <v/>
      </c>
      <c r="AW1656" s="467" t="str">
        <f t="shared" si="934"/>
        <v/>
      </c>
      <c r="AX1656" s="467" t="str">
        <f t="shared" si="935"/>
        <v/>
      </c>
      <c r="AY1656" s="467" t="str">
        <f t="shared" si="936"/>
        <v/>
      </c>
      <c r="AZ1656" s="467" t="str">
        <f t="shared" si="937"/>
        <v/>
      </c>
      <c r="BA1656" s="468" t="str">
        <f>IF(AS1656="","",IF(OR(AU1656="",AU1656="-"),"－",IF(OR(AZ1656=8,AZ1656=9),"",IF(OR(AW1656=3,AW1656=4,AW1656=5,AW1656=6),VLOOKUP(AU1656,INDEX((係数_バス貨物_ガソリン,係数_バス貨物_CNG,係数_バス貨物_軽油,係数_バス貨物_メタノール,係数_バス貨物_LPG),MATCH(AY1656,【参考】排出係数!$AI$4:$AI$671,1),1,BE1656):INDEX((係数_バス貨物_ガソリン,係数_バス貨物_CNG,係数_バス貨物_軽油,係数_バス貨物_メタノール,係数_バス貨物_LPG),MATCH(AY1656+1,【参考】排出係数!$AI$4:$AI$671,1)-1,5,BE1656),2,FALSE),IF(OR(AW1656=1,AW1656=2),VLOOKUP(AU1656,INDEX((係数_乗用_ガソリン,係数_乗用_CNG,係数_乗用_軽油,係数_乗用_メタノール,係数_乗用_LPG),1,1,BE1656):INDEX((係数_乗用_ガソリン,係数_乗用_CNG,係数_乗用_軽油,係数_乗用_メタノール,係数_乗用_LPG),125,5,BE1656),2,FALSE))))))</f>
        <v/>
      </c>
      <c r="BB1656" s="468" t="str">
        <f>IF(T1656="","",IF(OR(AU1656="",AU1656="-"),"－",IF(OR(AZ1656=8,AZ1656=9),"",IF(OR(AW1656=3,AW1656=4,AW1656=5,AW1656=6),VLOOKUP(AU1656,INDEX((係数_バス貨物_ガソリン,係数_バス貨物_CNG,係数_バス貨物_軽油,係数_バス貨物_メタノール,係数_バス貨物_LPG),MATCH(AY1656,【参考】排出係数!$AI$4:$AI$671,1),1,BE1656):INDEX((係数_バス貨物_ガソリン,係数_バス貨物_CNG,係数_バス貨物_軽油,係数_バス貨物_メタノール,係数_バス貨物_LPG),MATCH(AY1656+1,【参考】排出係数!$AI$4:$AI$671,1)-1,5,BE1656),3,FALSE),IF(OR(AW1656=1,AW1656=2),VLOOKUP(AU1656,INDEX((係数_乗用_ガソリン,係数_乗用_CNG,係数_乗用_軽油,係数_乗用_メタノール,係数_乗用_LPG),1,1,BE1656):INDEX((係数_乗用_ガソリン,係数_乗用_CNG,係数_乗用_軽油,係数_乗用_メタノール,係数_乗用_LPG),125,5,BE1656),3,FALSE))))))</f>
        <v/>
      </c>
      <c r="BC1656" s="467" t="str">
        <f t="shared" si="938"/>
        <v/>
      </c>
      <c r="BD1656" s="567" t="str">
        <f t="shared" si="939"/>
        <v/>
      </c>
      <c r="BE1656" s="467" t="str">
        <f t="shared" si="940"/>
        <v/>
      </c>
      <c r="BF1656" s="469" t="str">
        <f t="shared" ca="1" si="941"/>
        <v/>
      </c>
      <c r="BG1656" s="469" t="str">
        <f t="shared" ca="1" si="942"/>
        <v/>
      </c>
      <c r="BH1656" s="467" t="str">
        <f t="shared" si="943"/>
        <v/>
      </c>
      <c r="BI1656" s="467" t="str">
        <f t="shared" ca="1" si="944"/>
        <v/>
      </c>
      <c r="BJ1656" s="469" t="str">
        <f t="shared" si="945"/>
        <v/>
      </c>
      <c r="BK1656" s="470" t="str">
        <f t="shared" si="929"/>
        <v/>
      </c>
      <c r="BL1656" s="775" t="str">
        <f t="shared" si="946"/>
        <v/>
      </c>
      <c r="BM1656" s="775" t="str">
        <f t="shared" si="947"/>
        <v/>
      </c>
    </row>
    <row r="1657" spans="1:65">
      <c r="A1657" s="473">
        <v>1601</v>
      </c>
      <c r="B1657" s="132"/>
      <c r="C1657" s="332"/>
      <c r="D1657" s="333"/>
      <c r="E1657" s="333"/>
      <c r="F1657" s="334"/>
      <c r="G1657" s="337"/>
      <c r="H1657" s="131"/>
      <c r="I1657" s="337"/>
      <c r="J1657" s="131"/>
      <c r="K1657" s="458" t="str">
        <f t="shared" si="948"/>
        <v/>
      </c>
      <c r="L1657" s="458">
        <f t="shared" si="949"/>
        <v>0</v>
      </c>
      <c r="M1657" s="458">
        <f t="shared" si="950"/>
        <v>0</v>
      </c>
      <c r="N1657" s="459" t="str">
        <f t="shared" si="961"/>
        <v/>
      </c>
      <c r="O1657" s="459" t="str">
        <f t="shared" si="962"/>
        <v/>
      </c>
      <c r="P1657" s="459" t="str">
        <f t="shared" si="963"/>
        <v/>
      </c>
      <c r="Q1657" s="459" t="str">
        <f t="shared" si="964"/>
        <v/>
      </c>
      <c r="R1657" s="459" t="str">
        <f t="shared" si="965"/>
        <v/>
      </c>
      <c r="S1657" s="459" t="str">
        <f t="shared" si="966"/>
        <v/>
      </c>
      <c r="T1657" s="566" t="str">
        <f t="shared" si="951"/>
        <v/>
      </c>
      <c r="U1657" s="702"/>
      <c r="V1657" s="132"/>
      <c r="W1657" s="133"/>
      <c r="X1657" s="134"/>
      <c r="Y1657" s="135"/>
      <c r="Z1657" s="137"/>
      <c r="AA1657" s="136"/>
      <c r="AB1657" s="566" t="str">
        <f t="shared" si="952"/>
        <v/>
      </c>
      <c r="AC1657" s="568" t="str">
        <f t="shared" si="953"/>
        <v/>
      </c>
      <c r="AD1657" s="137"/>
      <c r="AE1657" s="137"/>
      <c r="AF1657" s="138"/>
      <c r="AG1657" s="138"/>
      <c r="AH1657" s="592" t="str">
        <f t="shared" si="954"/>
        <v/>
      </c>
      <c r="AI1657" s="592" t="str">
        <f t="shared" si="955"/>
        <v/>
      </c>
      <c r="AJ1657" s="592" t="str">
        <f t="shared" si="956"/>
        <v/>
      </c>
      <c r="AK1657" s="460" t="str">
        <f>IF(AU1657="","",IF(OR(AZ1657=8,AZ1657=9),0,IF(OR(AW1657=3,AW1657=4,AW1657=5,AW1657=6),IF(LEFT(BF1657,1)="1",INDEX(係数_NOX・PM低減,MATCH(AY1657,【参考】排出係数!$AI$801:$AI$804,1),1),VLOOKUP(AU1657,INDEX((係数_バス貨物_ガソリン,係数_バス貨物_CNG,係数_バス貨物_軽油,係数_バス貨物_メタノール,係数_バス貨物_LPG),MATCH(AY1657,【参考】排出係数!$AI$4:$AI$671,1),1,BE1657):INDEX((係数_バス貨物_ガソリン,係数_バス貨物_CNG,係数_バス貨物_軽油,係数_バス貨物_メタノール,係数_バス貨物_LPG),MATCH(AY1657+1,【参考】排出係数!$AI$4:$AI$671,1)-1,5,BE1657),4,FALSE)),IF(AND(BE1657=3,LEFT(BF1657,1)="1"),0.48,VLOOKUP(AU1657,INDEX((係数_乗用_ガソリン,係数_乗用_CNG,係数_乗用_軽油,係数_乗用_メタノール,係数_乗用_LPG),1,1,BE1657):INDEX((係数_乗用_ガソリン,係数_乗用_CNG,係数_乗用_軽油,係数_乗用_メタノール,係数_乗用_LPG),125,5,BE1657),4,FALSE)))))</f>
        <v/>
      </c>
      <c r="AL1657" s="461" t="str">
        <f t="shared" si="957"/>
        <v/>
      </c>
      <c r="AM1657" s="460" t="str">
        <f>IF(AU1657="","",IF(OR(AZ1657=8,AZ1657=9),0,IF(OR(AW1657=3,AW1657=4,AW1657=5,AW1657=6),IF(LEFT(BH1657,1)="1",INDEX(係数_PM低減,MATCH(AY1657,【参考】排出係数!$AI$801:$AI$804,1),MATCH(BI1657,【参考】排出係数!$AL$798:$AO$798,1)),VLOOKUP(AU1657,INDEX((係数_バス貨物_ガソリン,係数_バス貨物_CNG,係数_バス貨物_軽油,係数_バス貨物_メタノール,係数_バス貨物_LPG),MATCH(AY1657,【参考】排出係数!$AI$4:$AI$671,1),1,BE1657):INDEX((係数_バス貨物_ガソリン,係数_バス貨物_CNG,係数_バス貨物_軽油,係数_バス貨物_メタノール,係数_バス貨物_LPG),MATCH(AY1657+1,【参考】排出係数!$AI$4:$AI$671,1)-1,5,BE1657),5,FALSE)),IF(AND(BE1657=3,LEFT(BF1657,1)="1"),0.055,VLOOKUP(AU1657,INDEX((係数_乗用_ガソリン,係数_乗用_CNG,係数_乗用_軽油,係数_乗用_メタノール,係数_乗用_LPG),1,1,BE1657):INDEX((係数_乗用_ガソリン,係数_乗用_CNG,係数_乗用_軽油,係数_乗用_メタノール,係数_乗用_LPG),125,5,BE1657),5,FALSE)))))</f>
        <v/>
      </c>
      <c r="AN1657" s="461" t="str">
        <f t="shared" si="958"/>
        <v/>
      </c>
      <c r="AO1657" s="462" t="str">
        <f t="shared" si="959"/>
        <v/>
      </c>
      <c r="AP1657" s="463" t="str">
        <f t="shared" si="960"/>
        <v/>
      </c>
      <c r="AQ1657" s="464"/>
      <c r="AR1657" s="619"/>
      <c r="AS1657" s="465" t="str">
        <f t="shared" si="930"/>
        <v/>
      </c>
      <c r="AT1657" s="465" t="str">
        <f t="shared" si="931"/>
        <v/>
      </c>
      <c r="AU1657" s="466" t="str">
        <f t="shared" si="932"/>
        <v/>
      </c>
      <c r="AV1657" s="467" t="str">
        <f t="shared" si="933"/>
        <v/>
      </c>
      <c r="AW1657" s="467" t="str">
        <f t="shared" si="934"/>
        <v/>
      </c>
      <c r="AX1657" s="467" t="str">
        <f t="shared" si="935"/>
        <v/>
      </c>
      <c r="AY1657" s="467" t="str">
        <f t="shared" si="936"/>
        <v/>
      </c>
      <c r="AZ1657" s="467" t="str">
        <f t="shared" si="937"/>
        <v/>
      </c>
      <c r="BA1657" s="468" t="str">
        <f>IF(AS1657="","",IF(OR(AU1657="",AU1657="-"),"－",IF(OR(AZ1657=8,AZ1657=9),"",IF(OR(AW1657=3,AW1657=4,AW1657=5,AW1657=6),VLOOKUP(AU1657,INDEX((係数_バス貨物_ガソリン,係数_バス貨物_CNG,係数_バス貨物_軽油,係数_バス貨物_メタノール,係数_バス貨物_LPG),MATCH(AY1657,【参考】排出係数!$AI$4:$AI$671,1),1,BE1657):INDEX((係数_バス貨物_ガソリン,係数_バス貨物_CNG,係数_バス貨物_軽油,係数_バス貨物_メタノール,係数_バス貨物_LPG),MATCH(AY1657+1,【参考】排出係数!$AI$4:$AI$671,1)-1,5,BE1657),2,FALSE),IF(OR(AW1657=1,AW1657=2),VLOOKUP(AU1657,INDEX((係数_乗用_ガソリン,係数_乗用_CNG,係数_乗用_軽油,係数_乗用_メタノール,係数_乗用_LPG),1,1,BE1657):INDEX((係数_乗用_ガソリン,係数_乗用_CNG,係数_乗用_軽油,係数_乗用_メタノール,係数_乗用_LPG),125,5,BE1657),2,FALSE))))))</f>
        <v/>
      </c>
      <c r="BB1657" s="468" t="str">
        <f>IF(T1657="","",IF(OR(AU1657="",AU1657="-"),"－",IF(OR(AZ1657=8,AZ1657=9),"",IF(OR(AW1657=3,AW1657=4,AW1657=5,AW1657=6),VLOOKUP(AU1657,INDEX((係数_バス貨物_ガソリン,係数_バス貨物_CNG,係数_バス貨物_軽油,係数_バス貨物_メタノール,係数_バス貨物_LPG),MATCH(AY1657,【参考】排出係数!$AI$4:$AI$671,1),1,BE1657):INDEX((係数_バス貨物_ガソリン,係数_バス貨物_CNG,係数_バス貨物_軽油,係数_バス貨物_メタノール,係数_バス貨物_LPG),MATCH(AY1657+1,【参考】排出係数!$AI$4:$AI$671,1)-1,5,BE1657),3,FALSE),IF(OR(AW1657=1,AW1657=2),VLOOKUP(AU1657,INDEX((係数_乗用_ガソリン,係数_乗用_CNG,係数_乗用_軽油,係数_乗用_メタノール,係数_乗用_LPG),1,1,BE1657):INDEX((係数_乗用_ガソリン,係数_乗用_CNG,係数_乗用_軽油,係数_乗用_メタノール,係数_乗用_LPG),125,5,BE1657),3,FALSE))))))</f>
        <v/>
      </c>
      <c r="BC1657" s="467" t="str">
        <f t="shared" si="938"/>
        <v/>
      </c>
      <c r="BD1657" s="567" t="str">
        <f t="shared" si="939"/>
        <v/>
      </c>
      <c r="BE1657" s="467" t="str">
        <f t="shared" si="940"/>
        <v/>
      </c>
      <c r="BF1657" s="469" t="str">
        <f t="shared" ca="1" si="941"/>
        <v/>
      </c>
      <c r="BG1657" s="469" t="str">
        <f t="shared" ca="1" si="942"/>
        <v/>
      </c>
      <c r="BH1657" s="467" t="str">
        <f t="shared" si="943"/>
        <v/>
      </c>
      <c r="BI1657" s="467" t="str">
        <f t="shared" ca="1" si="944"/>
        <v/>
      </c>
      <c r="BJ1657" s="469" t="str">
        <f t="shared" si="945"/>
        <v/>
      </c>
      <c r="BK1657" s="470" t="str">
        <f t="shared" ref="BK1657:BK1720" si="967">IF(AS1657="","",VLOOKUP(T1657,車両の増減,2,FALSE))</f>
        <v/>
      </c>
      <c r="BL1657" s="775" t="str">
        <f t="shared" si="946"/>
        <v/>
      </c>
      <c r="BM1657" s="775" t="str">
        <f t="shared" si="947"/>
        <v/>
      </c>
    </row>
    <row r="1658" spans="1:65">
      <c r="A1658" s="473">
        <v>1602</v>
      </c>
      <c r="B1658" s="132"/>
      <c r="C1658" s="332"/>
      <c r="D1658" s="333"/>
      <c r="E1658" s="333"/>
      <c r="F1658" s="334"/>
      <c r="G1658" s="337"/>
      <c r="H1658" s="131"/>
      <c r="I1658" s="337"/>
      <c r="J1658" s="131"/>
      <c r="K1658" s="458" t="str">
        <f t="shared" si="948"/>
        <v/>
      </c>
      <c r="L1658" s="458">
        <f t="shared" si="949"/>
        <v>0</v>
      </c>
      <c r="M1658" s="458">
        <f t="shared" si="950"/>
        <v>0</v>
      </c>
      <c r="N1658" s="459" t="str">
        <f t="shared" si="961"/>
        <v/>
      </c>
      <c r="O1658" s="459" t="str">
        <f t="shared" si="962"/>
        <v/>
      </c>
      <c r="P1658" s="459" t="str">
        <f t="shared" si="963"/>
        <v/>
      </c>
      <c r="Q1658" s="459" t="str">
        <f t="shared" si="964"/>
        <v/>
      </c>
      <c r="R1658" s="459" t="str">
        <f t="shared" si="965"/>
        <v/>
      </c>
      <c r="S1658" s="459" t="str">
        <f t="shared" si="966"/>
        <v/>
      </c>
      <c r="T1658" s="566" t="str">
        <f t="shared" si="951"/>
        <v/>
      </c>
      <c r="U1658" s="702"/>
      <c r="V1658" s="132"/>
      <c r="W1658" s="133"/>
      <c r="X1658" s="134"/>
      <c r="Y1658" s="135"/>
      <c r="Z1658" s="137"/>
      <c r="AA1658" s="136"/>
      <c r="AB1658" s="566" t="str">
        <f t="shared" si="952"/>
        <v/>
      </c>
      <c r="AC1658" s="568" t="str">
        <f t="shared" si="953"/>
        <v/>
      </c>
      <c r="AD1658" s="137"/>
      <c r="AE1658" s="137"/>
      <c r="AF1658" s="138"/>
      <c r="AG1658" s="138"/>
      <c r="AH1658" s="592" t="str">
        <f t="shared" si="954"/>
        <v/>
      </c>
      <c r="AI1658" s="592" t="str">
        <f t="shared" si="955"/>
        <v/>
      </c>
      <c r="AJ1658" s="592" t="str">
        <f t="shared" si="956"/>
        <v/>
      </c>
      <c r="AK1658" s="460" t="str">
        <f>IF(AU1658="","",IF(OR(AZ1658=8,AZ1658=9),0,IF(OR(AW1658=3,AW1658=4,AW1658=5,AW1658=6),IF(LEFT(BF1658,1)="1",INDEX(係数_NOX・PM低減,MATCH(AY1658,【参考】排出係数!$AI$801:$AI$804,1),1),VLOOKUP(AU1658,INDEX((係数_バス貨物_ガソリン,係数_バス貨物_CNG,係数_バス貨物_軽油,係数_バス貨物_メタノール,係数_バス貨物_LPG),MATCH(AY1658,【参考】排出係数!$AI$4:$AI$671,1),1,BE1658):INDEX((係数_バス貨物_ガソリン,係数_バス貨物_CNG,係数_バス貨物_軽油,係数_バス貨物_メタノール,係数_バス貨物_LPG),MATCH(AY1658+1,【参考】排出係数!$AI$4:$AI$671,1)-1,5,BE1658),4,FALSE)),IF(AND(BE1658=3,LEFT(BF1658,1)="1"),0.48,VLOOKUP(AU1658,INDEX((係数_乗用_ガソリン,係数_乗用_CNG,係数_乗用_軽油,係数_乗用_メタノール,係数_乗用_LPG),1,1,BE1658):INDEX((係数_乗用_ガソリン,係数_乗用_CNG,係数_乗用_軽油,係数_乗用_メタノール,係数_乗用_LPG),125,5,BE1658),4,FALSE)))))</f>
        <v/>
      </c>
      <c r="AL1658" s="461" t="str">
        <f t="shared" si="957"/>
        <v/>
      </c>
      <c r="AM1658" s="460" t="str">
        <f>IF(AU1658="","",IF(OR(AZ1658=8,AZ1658=9),0,IF(OR(AW1658=3,AW1658=4,AW1658=5,AW1658=6),IF(LEFT(BH1658,1)="1",INDEX(係数_PM低減,MATCH(AY1658,【参考】排出係数!$AI$801:$AI$804,1),MATCH(BI1658,【参考】排出係数!$AL$798:$AO$798,1)),VLOOKUP(AU1658,INDEX((係数_バス貨物_ガソリン,係数_バス貨物_CNG,係数_バス貨物_軽油,係数_バス貨物_メタノール,係数_バス貨物_LPG),MATCH(AY1658,【参考】排出係数!$AI$4:$AI$671,1),1,BE1658):INDEX((係数_バス貨物_ガソリン,係数_バス貨物_CNG,係数_バス貨物_軽油,係数_バス貨物_メタノール,係数_バス貨物_LPG),MATCH(AY1658+1,【参考】排出係数!$AI$4:$AI$671,1)-1,5,BE1658),5,FALSE)),IF(AND(BE1658=3,LEFT(BF1658,1)="1"),0.055,VLOOKUP(AU1658,INDEX((係数_乗用_ガソリン,係数_乗用_CNG,係数_乗用_軽油,係数_乗用_メタノール,係数_乗用_LPG),1,1,BE1658):INDEX((係数_乗用_ガソリン,係数_乗用_CNG,係数_乗用_軽油,係数_乗用_メタノール,係数_乗用_LPG),125,5,BE1658),5,FALSE)))))</f>
        <v/>
      </c>
      <c r="AN1658" s="461" t="str">
        <f t="shared" si="958"/>
        <v/>
      </c>
      <c r="AO1658" s="462" t="str">
        <f t="shared" si="959"/>
        <v/>
      </c>
      <c r="AP1658" s="463" t="str">
        <f t="shared" si="960"/>
        <v/>
      </c>
      <c r="AQ1658" s="464"/>
      <c r="AR1658" s="619"/>
      <c r="AS1658" s="465" t="str">
        <f t="shared" ref="AS1658:AS1721" si="968">IF(OR(T1658="(減車済)",T1658=""),"",1)</f>
        <v/>
      </c>
      <c r="AT1658" s="465" t="str">
        <f t="shared" ref="AT1658:AT1721" si="969">IF(OR(T1658="継続",T1658="新規"),1,"")</f>
        <v/>
      </c>
      <c r="AU1658" s="466" t="str">
        <f t="shared" ref="AU1658:AU1721" si="970">IF(AS1658="","",UPPER(ASC(X1658)))</f>
        <v/>
      </c>
      <c r="AV1658" s="467" t="str">
        <f t="shared" ref="AV1658:AV1721" si="971">IF(AS1658="","",IF(V1658="","",IF(V1658="普通",1,IF(V1658="小型",2,0))))</f>
        <v/>
      </c>
      <c r="AW1658" s="467" t="str">
        <f t="shared" ref="AW1658:AW1721" si="972">IF(AS1658="","",IF(W1658="","",VLOOKUP(W1658,用途,2,FALSE)))</f>
        <v/>
      </c>
      <c r="AX1658" s="467" t="str">
        <f t="shared" ref="AX1658:AX1721" si="973">IF(AS1658="","",IF(Y1658="","",IF(Y1658&lt;=10,1,IF(Y1658&lt;30,2,IF(Y1658&gt;=30,3,0)))))</f>
        <v/>
      </c>
      <c r="AY1658" s="467" t="str">
        <f t="shared" ref="AY1658:AY1721" si="974">IF(AS1658="","",IF(Z1658="","",IF(Z1658&lt;=1.7*1000,1,IF(Z1658&lt;=2.5*1000,2,IF(Z1658&lt;=3.5*1000,3,IF(Z1658&lt;8*1000,4,IF(Z1658&gt;=8*1000,5,"")))))))</f>
        <v/>
      </c>
      <c r="AZ1658" s="467" t="str">
        <f t="shared" ref="AZ1658:AZ1721" si="975">IF(AS1658="","",IF(AA1658="","",VLOOKUP(AA1658,燃料の種類,2,FALSE)))</f>
        <v/>
      </c>
      <c r="BA1658" s="468" t="str">
        <f>IF(AS1658="","",IF(OR(AU1658="",AU1658="-"),"－",IF(OR(AZ1658=8,AZ1658=9),"",IF(OR(AW1658=3,AW1658=4,AW1658=5,AW1658=6),VLOOKUP(AU1658,INDEX((係数_バス貨物_ガソリン,係数_バス貨物_CNG,係数_バス貨物_軽油,係数_バス貨物_メタノール,係数_バス貨物_LPG),MATCH(AY1658,【参考】排出係数!$AI$4:$AI$671,1),1,BE1658):INDEX((係数_バス貨物_ガソリン,係数_バス貨物_CNG,係数_バス貨物_軽油,係数_バス貨物_メタノール,係数_バス貨物_LPG),MATCH(AY1658+1,【参考】排出係数!$AI$4:$AI$671,1)-1,5,BE1658),2,FALSE),IF(OR(AW1658=1,AW1658=2),VLOOKUP(AU1658,INDEX((係数_乗用_ガソリン,係数_乗用_CNG,係数_乗用_軽油,係数_乗用_メタノール,係数_乗用_LPG),1,1,BE1658):INDEX((係数_乗用_ガソリン,係数_乗用_CNG,係数_乗用_軽油,係数_乗用_メタノール,係数_乗用_LPG),125,5,BE1658),2,FALSE))))))</f>
        <v/>
      </c>
      <c r="BB1658" s="468" t="str">
        <f>IF(T1658="","",IF(OR(AU1658="",AU1658="-"),"－",IF(OR(AZ1658=8,AZ1658=9),"",IF(OR(AW1658=3,AW1658=4,AW1658=5,AW1658=6),VLOOKUP(AU1658,INDEX((係数_バス貨物_ガソリン,係数_バス貨物_CNG,係数_バス貨物_軽油,係数_バス貨物_メタノール,係数_バス貨物_LPG),MATCH(AY1658,【参考】排出係数!$AI$4:$AI$671,1),1,BE1658):INDEX((係数_バス貨物_ガソリン,係数_バス貨物_CNG,係数_バス貨物_軽油,係数_バス貨物_メタノール,係数_バス貨物_LPG),MATCH(AY1658+1,【参考】排出係数!$AI$4:$AI$671,1)-1,5,BE1658),3,FALSE),IF(OR(AW1658=1,AW1658=2),VLOOKUP(AU1658,INDEX((係数_乗用_ガソリン,係数_乗用_CNG,係数_乗用_軽油,係数_乗用_メタノール,係数_乗用_LPG),1,1,BE1658):INDEX((係数_乗用_ガソリン,係数_乗用_CNG,係数_乗用_軽油,係数_乗用_メタノール,係数_乗用_LPG),125,5,BE1658),3,FALSE))))))</f>
        <v/>
      </c>
      <c r="BC1658" s="467" t="str">
        <f t="shared" ref="BC1658:BC1721" si="976">IF((AS1658="")+(AC1658=""),"",IF(燃料区分1=4,VLOOKUP(BB1658,排ガス低減レベル,2,FALSE),VLOOKUP(AC1658,排ガス低減レベル,2,FALSE)))</f>
        <v/>
      </c>
      <c r="BD1658" s="567" t="str">
        <f t="shared" ref="BD1658:BD1721" si="977">IF(AT1658="","",IF(AW1658=3,B1658&amp;"-"&amp;SUM(AW1658*100,AX1658*10,AY1658)&amp;"A",IF(OR(AW1658=2,AW1658=4,AW1658=6),B1658&amp;"-"&amp;AY1658*10&amp;"A",IF(AW1658=1,B1658&amp;"-"&amp;AW1658&amp;"A",IF(AW1658=5,B1658&amp;"-"&amp;SUM(AW1658*100,AV1658*10,AY1658)&amp;"A","")))))</f>
        <v/>
      </c>
      <c r="BE1658" s="467" t="str">
        <f t="shared" ref="BE1658:BE1721" si="978">IF(OR(AZ1658=1,AZ1658=2,AZ1658=11),1,IF(AZ1658=6,2,IF(OR(AZ1658=4,AZ1658=5,AZ1658=10),3,IF(AZ1658=7,4,IF(AZ1658=3,5, IF(OR(AZ1658=8,AZ1658=9),6,""))))))</f>
        <v/>
      </c>
      <c r="BF1658" s="469" t="str">
        <f t="shared" ref="BF1658:BF1721" ca="1" si="979">(IF(OR(AZ1658=4,AZ1658=5),OFFSET($CH$1,MATCH($AF1658,$CG$2:$CG$4,0),0)&amp;BK1658,""))</f>
        <v/>
      </c>
      <c r="BG1658" s="469" t="str">
        <f t="shared" ref="BG1658:BG1721" ca="1" si="980">(IF(OR(AZ1658=4,AZ1658=5),OFFSET($CJ$1,MATCH($AG1658,$CI$2:$CI$5,0),0)&amp;BK1658,""))</f>
        <v/>
      </c>
      <c r="BH1658" s="467" t="str">
        <f t="shared" ref="BH1658:BH1721" si="981">IF(OR(AZ1658=4,AZ1658=5),IF(OR(LEFT(BF1658,1)="1",LEFT(BG1658,1)="2",LEFT(BG1658,1)="3"),1,2)&amp;BK1658,"")</f>
        <v/>
      </c>
      <c r="BI1658" s="467" t="str">
        <f t="shared" ref="BI1658:BI1721" ca="1" si="982">IF(LEFT(BF1658)="1",1,IF(LEFT(BG1658,1)="2",2,IF(LEFT(BG1658,1)="3",3,"")))</f>
        <v/>
      </c>
      <c r="BJ1658" s="469" t="str">
        <f t="shared" ref="BJ1658:BJ1721" si="983">IF(AT1658="","",B1658&amp;"-"&amp;AZ1658)</f>
        <v/>
      </c>
      <c r="BK1658" s="470" t="str">
        <f t="shared" si="967"/>
        <v/>
      </c>
      <c r="BL1658" s="775" t="str">
        <f t="shared" ref="BL1658:BL1721" si="984">IF(AND(OR($T1658="新規",$T1658="継続"),ISBLANK($AD1658)),1,"")</f>
        <v/>
      </c>
      <c r="BM1658" s="775" t="str">
        <f t="shared" ref="BM1658:BM1721" si="985">IF(AND(OR($T1658="新規",$T1658="継続"),ISBLANK($AE1658)),1,"")</f>
        <v/>
      </c>
    </row>
    <row r="1659" spans="1:65">
      <c r="A1659" s="473">
        <v>1603</v>
      </c>
      <c r="B1659" s="132"/>
      <c r="C1659" s="332"/>
      <c r="D1659" s="333"/>
      <c r="E1659" s="333"/>
      <c r="F1659" s="334"/>
      <c r="G1659" s="337"/>
      <c r="H1659" s="131"/>
      <c r="I1659" s="337"/>
      <c r="J1659" s="131"/>
      <c r="K1659" s="458" t="str">
        <f t="shared" si="948"/>
        <v/>
      </c>
      <c r="L1659" s="458">
        <f t="shared" si="949"/>
        <v>0</v>
      </c>
      <c r="M1659" s="458">
        <f t="shared" si="950"/>
        <v>0</v>
      </c>
      <c r="N1659" s="459" t="str">
        <f t="shared" si="961"/>
        <v/>
      </c>
      <c r="O1659" s="459" t="str">
        <f t="shared" si="962"/>
        <v/>
      </c>
      <c r="P1659" s="459" t="str">
        <f t="shared" si="963"/>
        <v/>
      </c>
      <c r="Q1659" s="459" t="str">
        <f t="shared" si="964"/>
        <v/>
      </c>
      <c r="R1659" s="459" t="str">
        <f t="shared" si="965"/>
        <v/>
      </c>
      <c r="S1659" s="459" t="str">
        <f t="shared" si="966"/>
        <v/>
      </c>
      <c r="T1659" s="566" t="str">
        <f t="shared" si="951"/>
        <v/>
      </c>
      <c r="U1659" s="702"/>
      <c r="V1659" s="132"/>
      <c r="W1659" s="133"/>
      <c r="X1659" s="134"/>
      <c r="Y1659" s="135"/>
      <c r="Z1659" s="137"/>
      <c r="AA1659" s="136"/>
      <c r="AB1659" s="566" t="str">
        <f t="shared" si="952"/>
        <v/>
      </c>
      <c r="AC1659" s="568" t="str">
        <f t="shared" si="953"/>
        <v/>
      </c>
      <c r="AD1659" s="137"/>
      <c r="AE1659" s="137"/>
      <c r="AF1659" s="138"/>
      <c r="AG1659" s="138"/>
      <c r="AH1659" s="592" t="str">
        <f t="shared" si="954"/>
        <v/>
      </c>
      <c r="AI1659" s="592" t="str">
        <f t="shared" si="955"/>
        <v/>
      </c>
      <c r="AJ1659" s="592" t="str">
        <f t="shared" si="956"/>
        <v/>
      </c>
      <c r="AK1659" s="460" t="str">
        <f>IF(AU1659="","",IF(OR(AZ1659=8,AZ1659=9),0,IF(OR(AW1659=3,AW1659=4,AW1659=5,AW1659=6),IF(LEFT(BF1659,1)="1",INDEX(係数_NOX・PM低減,MATCH(AY1659,【参考】排出係数!$AI$801:$AI$804,1),1),VLOOKUP(AU1659,INDEX((係数_バス貨物_ガソリン,係数_バス貨物_CNG,係数_バス貨物_軽油,係数_バス貨物_メタノール,係数_バス貨物_LPG),MATCH(AY1659,【参考】排出係数!$AI$4:$AI$671,1),1,BE1659):INDEX((係数_バス貨物_ガソリン,係数_バス貨物_CNG,係数_バス貨物_軽油,係数_バス貨物_メタノール,係数_バス貨物_LPG),MATCH(AY1659+1,【参考】排出係数!$AI$4:$AI$671,1)-1,5,BE1659),4,FALSE)),IF(AND(BE1659=3,LEFT(BF1659,1)="1"),0.48,VLOOKUP(AU1659,INDEX((係数_乗用_ガソリン,係数_乗用_CNG,係数_乗用_軽油,係数_乗用_メタノール,係数_乗用_LPG),1,1,BE1659):INDEX((係数_乗用_ガソリン,係数_乗用_CNG,係数_乗用_軽油,係数_乗用_メタノール,係数_乗用_LPG),125,5,BE1659),4,FALSE)))))</f>
        <v/>
      </c>
      <c r="AL1659" s="461" t="str">
        <f t="shared" si="957"/>
        <v/>
      </c>
      <c r="AM1659" s="460" t="str">
        <f>IF(AU1659="","",IF(OR(AZ1659=8,AZ1659=9),0,IF(OR(AW1659=3,AW1659=4,AW1659=5,AW1659=6),IF(LEFT(BH1659,1)="1",INDEX(係数_PM低減,MATCH(AY1659,【参考】排出係数!$AI$801:$AI$804,1),MATCH(BI1659,【参考】排出係数!$AL$798:$AO$798,1)),VLOOKUP(AU1659,INDEX((係数_バス貨物_ガソリン,係数_バス貨物_CNG,係数_バス貨物_軽油,係数_バス貨物_メタノール,係数_バス貨物_LPG),MATCH(AY1659,【参考】排出係数!$AI$4:$AI$671,1),1,BE1659):INDEX((係数_バス貨物_ガソリン,係数_バス貨物_CNG,係数_バス貨物_軽油,係数_バス貨物_メタノール,係数_バス貨物_LPG),MATCH(AY1659+1,【参考】排出係数!$AI$4:$AI$671,1)-1,5,BE1659),5,FALSE)),IF(AND(BE1659=3,LEFT(BF1659,1)="1"),0.055,VLOOKUP(AU1659,INDEX((係数_乗用_ガソリン,係数_乗用_CNG,係数_乗用_軽油,係数_乗用_メタノール,係数_乗用_LPG),1,1,BE1659):INDEX((係数_乗用_ガソリン,係数_乗用_CNG,係数_乗用_軽油,係数_乗用_メタノール,係数_乗用_LPG),125,5,BE1659),5,FALSE)))))</f>
        <v/>
      </c>
      <c r="AN1659" s="461" t="str">
        <f t="shared" si="958"/>
        <v/>
      </c>
      <c r="AO1659" s="462" t="str">
        <f t="shared" si="959"/>
        <v/>
      </c>
      <c r="AP1659" s="463" t="str">
        <f t="shared" si="960"/>
        <v/>
      </c>
      <c r="AQ1659" s="464"/>
      <c r="AR1659" s="619"/>
      <c r="AS1659" s="465" t="str">
        <f t="shared" si="968"/>
        <v/>
      </c>
      <c r="AT1659" s="465" t="str">
        <f t="shared" si="969"/>
        <v/>
      </c>
      <c r="AU1659" s="466" t="str">
        <f t="shared" si="970"/>
        <v/>
      </c>
      <c r="AV1659" s="467" t="str">
        <f t="shared" si="971"/>
        <v/>
      </c>
      <c r="AW1659" s="467" t="str">
        <f t="shared" si="972"/>
        <v/>
      </c>
      <c r="AX1659" s="467" t="str">
        <f t="shared" si="973"/>
        <v/>
      </c>
      <c r="AY1659" s="467" t="str">
        <f t="shared" si="974"/>
        <v/>
      </c>
      <c r="AZ1659" s="467" t="str">
        <f t="shared" si="975"/>
        <v/>
      </c>
      <c r="BA1659" s="468" t="str">
        <f>IF(AS1659="","",IF(OR(AU1659="",AU1659="-"),"－",IF(OR(AZ1659=8,AZ1659=9),"",IF(OR(AW1659=3,AW1659=4,AW1659=5,AW1659=6),VLOOKUP(AU1659,INDEX((係数_バス貨物_ガソリン,係数_バス貨物_CNG,係数_バス貨物_軽油,係数_バス貨物_メタノール,係数_バス貨物_LPG),MATCH(AY1659,【参考】排出係数!$AI$4:$AI$671,1),1,BE1659):INDEX((係数_バス貨物_ガソリン,係数_バス貨物_CNG,係数_バス貨物_軽油,係数_バス貨物_メタノール,係数_バス貨物_LPG),MATCH(AY1659+1,【参考】排出係数!$AI$4:$AI$671,1)-1,5,BE1659),2,FALSE),IF(OR(AW1659=1,AW1659=2),VLOOKUP(AU1659,INDEX((係数_乗用_ガソリン,係数_乗用_CNG,係数_乗用_軽油,係数_乗用_メタノール,係数_乗用_LPG),1,1,BE1659):INDEX((係数_乗用_ガソリン,係数_乗用_CNG,係数_乗用_軽油,係数_乗用_メタノール,係数_乗用_LPG),125,5,BE1659),2,FALSE))))))</f>
        <v/>
      </c>
      <c r="BB1659" s="468" t="str">
        <f>IF(T1659="","",IF(OR(AU1659="",AU1659="-"),"－",IF(OR(AZ1659=8,AZ1659=9),"",IF(OR(AW1659=3,AW1659=4,AW1659=5,AW1659=6),VLOOKUP(AU1659,INDEX((係数_バス貨物_ガソリン,係数_バス貨物_CNG,係数_バス貨物_軽油,係数_バス貨物_メタノール,係数_バス貨物_LPG),MATCH(AY1659,【参考】排出係数!$AI$4:$AI$671,1),1,BE1659):INDEX((係数_バス貨物_ガソリン,係数_バス貨物_CNG,係数_バス貨物_軽油,係数_バス貨物_メタノール,係数_バス貨物_LPG),MATCH(AY1659+1,【参考】排出係数!$AI$4:$AI$671,1)-1,5,BE1659),3,FALSE),IF(OR(AW1659=1,AW1659=2),VLOOKUP(AU1659,INDEX((係数_乗用_ガソリン,係数_乗用_CNG,係数_乗用_軽油,係数_乗用_メタノール,係数_乗用_LPG),1,1,BE1659):INDEX((係数_乗用_ガソリン,係数_乗用_CNG,係数_乗用_軽油,係数_乗用_メタノール,係数_乗用_LPG),125,5,BE1659),3,FALSE))))))</f>
        <v/>
      </c>
      <c r="BC1659" s="467" t="str">
        <f t="shared" si="976"/>
        <v/>
      </c>
      <c r="BD1659" s="567" t="str">
        <f t="shared" si="977"/>
        <v/>
      </c>
      <c r="BE1659" s="467" t="str">
        <f t="shared" si="978"/>
        <v/>
      </c>
      <c r="BF1659" s="469" t="str">
        <f t="shared" ca="1" si="979"/>
        <v/>
      </c>
      <c r="BG1659" s="469" t="str">
        <f t="shared" ca="1" si="980"/>
        <v/>
      </c>
      <c r="BH1659" s="467" t="str">
        <f t="shared" si="981"/>
        <v/>
      </c>
      <c r="BI1659" s="467" t="str">
        <f t="shared" ca="1" si="982"/>
        <v/>
      </c>
      <c r="BJ1659" s="469" t="str">
        <f t="shared" si="983"/>
        <v/>
      </c>
      <c r="BK1659" s="470" t="str">
        <f t="shared" si="967"/>
        <v/>
      </c>
      <c r="BL1659" s="775" t="str">
        <f t="shared" si="984"/>
        <v/>
      </c>
      <c r="BM1659" s="775" t="str">
        <f t="shared" si="985"/>
        <v/>
      </c>
    </row>
    <row r="1660" spans="1:65">
      <c r="A1660" s="473">
        <v>1604</v>
      </c>
      <c r="B1660" s="132"/>
      <c r="C1660" s="332"/>
      <c r="D1660" s="333"/>
      <c r="E1660" s="333"/>
      <c r="F1660" s="334"/>
      <c r="G1660" s="337"/>
      <c r="H1660" s="131"/>
      <c r="I1660" s="337"/>
      <c r="J1660" s="131"/>
      <c r="K1660" s="458" t="str">
        <f t="shared" si="948"/>
        <v/>
      </c>
      <c r="L1660" s="458">
        <f t="shared" si="949"/>
        <v>0</v>
      </c>
      <c r="M1660" s="458">
        <f t="shared" si="950"/>
        <v>0</v>
      </c>
      <c r="N1660" s="459" t="str">
        <f t="shared" si="961"/>
        <v/>
      </c>
      <c r="O1660" s="459" t="str">
        <f t="shared" si="962"/>
        <v/>
      </c>
      <c r="P1660" s="459" t="str">
        <f t="shared" si="963"/>
        <v/>
      </c>
      <c r="Q1660" s="459" t="str">
        <f t="shared" si="964"/>
        <v/>
      </c>
      <c r="R1660" s="459" t="str">
        <f t="shared" si="965"/>
        <v/>
      </c>
      <c r="S1660" s="459" t="str">
        <f t="shared" si="966"/>
        <v/>
      </c>
      <c r="T1660" s="566" t="str">
        <f t="shared" si="951"/>
        <v/>
      </c>
      <c r="U1660" s="702"/>
      <c r="V1660" s="132"/>
      <c r="W1660" s="133"/>
      <c r="X1660" s="134"/>
      <c r="Y1660" s="135"/>
      <c r="Z1660" s="137"/>
      <c r="AA1660" s="136"/>
      <c r="AB1660" s="566" t="str">
        <f t="shared" si="952"/>
        <v/>
      </c>
      <c r="AC1660" s="568" t="str">
        <f t="shared" si="953"/>
        <v/>
      </c>
      <c r="AD1660" s="137"/>
      <c r="AE1660" s="137"/>
      <c r="AF1660" s="138"/>
      <c r="AG1660" s="138"/>
      <c r="AH1660" s="592" t="str">
        <f t="shared" si="954"/>
        <v/>
      </c>
      <c r="AI1660" s="592" t="str">
        <f t="shared" si="955"/>
        <v/>
      </c>
      <c r="AJ1660" s="592" t="str">
        <f t="shared" si="956"/>
        <v/>
      </c>
      <c r="AK1660" s="460" t="str">
        <f>IF(AU1660="","",IF(OR(AZ1660=8,AZ1660=9),0,IF(OR(AW1660=3,AW1660=4,AW1660=5,AW1660=6),IF(LEFT(BF1660,1)="1",INDEX(係数_NOX・PM低減,MATCH(AY1660,【参考】排出係数!$AI$801:$AI$804,1),1),VLOOKUP(AU1660,INDEX((係数_バス貨物_ガソリン,係数_バス貨物_CNG,係数_バス貨物_軽油,係数_バス貨物_メタノール,係数_バス貨物_LPG),MATCH(AY1660,【参考】排出係数!$AI$4:$AI$671,1),1,BE1660):INDEX((係数_バス貨物_ガソリン,係数_バス貨物_CNG,係数_バス貨物_軽油,係数_バス貨物_メタノール,係数_バス貨物_LPG),MATCH(AY1660+1,【参考】排出係数!$AI$4:$AI$671,1)-1,5,BE1660),4,FALSE)),IF(AND(BE1660=3,LEFT(BF1660,1)="1"),0.48,VLOOKUP(AU1660,INDEX((係数_乗用_ガソリン,係数_乗用_CNG,係数_乗用_軽油,係数_乗用_メタノール,係数_乗用_LPG),1,1,BE1660):INDEX((係数_乗用_ガソリン,係数_乗用_CNG,係数_乗用_軽油,係数_乗用_メタノール,係数_乗用_LPG),125,5,BE1660),4,FALSE)))))</f>
        <v/>
      </c>
      <c r="AL1660" s="461" t="str">
        <f t="shared" si="957"/>
        <v/>
      </c>
      <c r="AM1660" s="460" t="str">
        <f>IF(AU1660="","",IF(OR(AZ1660=8,AZ1660=9),0,IF(OR(AW1660=3,AW1660=4,AW1660=5,AW1660=6),IF(LEFT(BH1660,1)="1",INDEX(係数_PM低減,MATCH(AY1660,【参考】排出係数!$AI$801:$AI$804,1),MATCH(BI1660,【参考】排出係数!$AL$798:$AO$798,1)),VLOOKUP(AU1660,INDEX((係数_バス貨物_ガソリン,係数_バス貨物_CNG,係数_バス貨物_軽油,係数_バス貨物_メタノール,係数_バス貨物_LPG),MATCH(AY1660,【参考】排出係数!$AI$4:$AI$671,1),1,BE1660):INDEX((係数_バス貨物_ガソリン,係数_バス貨物_CNG,係数_バス貨物_軽油,係数_バス貨物_メタノール,係数_バス貨物_LPG),MATCH(AY1660+1,【参考】排出係数!$AI$4:$AI$671,1)-1,5,BE1660),5,FALSE)),IF(AND(BE1660=3,LEFT(BF1660,1)="1"),0.055,VLOOKUP(AU1660,INDEX((係数_乗用_ガソリン,係数_乗用_CNG,係数_乗用_軽油,係数_乗用_メタノール,係数_乗用_LPG),1,1,BE1660):INDEX((係数_乗用_ガソリン,係数_乗用_CNG,係数_乗用_軽油,係数_乗用_メタノール,係数_乗用_LPG),125,5,BE1660),5,FALSE)))))</f>
        <v/>
      </c>
      <c r="AN1660" s="461" t="str">
        <f t="shared" si="958"/>
        <v/>
      </c>
      <c r="AO1660" s="462" t="str">
        <f t="shared" si="959"/>
        <v/>
      </c>
      <c r="AP1660" s="463" t="str">
        <f t="shared" si="960"/>
        <v/>
      </c>
      <c r="AQ1660" s="464"/>
      <c r="AR1660" s="619"/>
      <c r="AS1660" s="465" t="str">
        <f t="shared" si="968"/>
        <v/>
      </c>
      <c r="AT1660" s="465" t="str">
        <f t="shared" si="969"/>
        <v/>
      </c>
      <c r="AU1660" s="466" t="str">
        <f t="shared" si="970"/>
        <v/>
      </c>
      <c r="AV1660" s="467" t="str">
        <f t="shared" si="971"/>
        <v/>
      </c>
      <c r="AW1660" s="467" t="str">
        <f t="shared" si="972"/>
        <v/>
      </c>
      <c r="AX1660" s="467" t="str">
        <f t="shared" si="973"/>
        <v/>
      </c>
      <c r="AY1660" s="467" t="str">
        <f t="shared" si="974"/>
        <v/>
      </c>
      <c r="AZ1660" s="467" t="str">
        <f t="shared" si="975"/>
        <v/>
      </c>
      <c r="BA1660" s="468" t="str">
        <f>IF(AS1660="","",IF(OR(AU1660="",AU1660="-"),"－",IF(OR(AZ1660=8,AZ1660=9),"",IF(OR(AW1660=3,AW1660=4,AW1660=5,AW1660=6),VLOOKUP(AU1660,INDEX((係数_バス貨物_ガソリン,係数_バス貨物_CNG,係数_バス貨物_軽油,係数_バス貨物_メタノール,係数_バス貨物_LPG),MATCH(AY1660,【参考】排出係数!$AI$4:$AI$671,1),1,BE1660):INDEX((係数_バス貨物_ガソリン,係数_バス貨物_CNG,係数_バス貨物_軽油,係数_バス貨物_メタノール,係数_バス貨物_LPG),MATCH(AY1660+1,【参考】排出係数!$AI$4:$AI$671,1)-1,5,BE1660),2,FALSE),IF(OR(AW1660=1,AW1660=2),VLOOKUP(AU1660,INDEX((係数_乗用_ガソリン,係数_乗用_CNG,係数_乗用_軽油,係数_乗用_メタノール,係数_乗用_LPG),1,1,BE1660):INDEX((係数_乗用_ガソリン,係数_乗用_CNG,係数_乗用_軽油,係数_乗用_メタノール,係数_乗用_LPG),125,5,BE1660),2,FALSE))))))</f>
        <v/>
      </c>
      <c r="BB1660" s="468" t="str">
        <f>IF(T1660="","",IF(OR(AU1660="",AU1660="-"),"－",IF(OR(AZ1660=8,AZ1660=9),"",IF(OR(AW1660=3,AW1660=4,AW1660=5,AW1660=6),VLOOKUP(AU1660,INDEX((係数_バス貨物_ガソリン,係数_バス貨物_CNG,係数_バス貨物_軽油,係数_バス貨物_メタノール,係数_バス貨物_LPG),MATCH(AY1660,【参考】排出係数!$AI$4:$AI$671,1),1,BE1660):INDEX((係数_バス貨物_ガソリン,係数_バス貨物_CNG,係数_バス貨物_軽油,係数_バス貨物_メタノール,係数_バス貨物_LPG),MATCH(AY1660+1,【参考】排出係数!$AI$4:$AI$671,1)-1,5,BE1660),3,FALSE),IF(OR(AW1660=1,AW1660=2),VLOOKUP(AU1660,INDEX((係数_乗用_ガソリン,係数_乗用_CNG,係数_乗用_軽油,係数_乗用_メタノール,係数_乗用_LPG),1,1,BE1660):INDEX((係数_乗用_ガソリン,係数_乗用_CNG,係数_乗用_軽油,係数_乗用_メタノール,係数_乗用_LPG),125,5,BE1660),3,FALSE))))))</f>
        <v/>
      </c>
      <c r="BC1660" s="467" t="str">
        <f t="shared" si="976"/>
        <v/>
      </c>
      <c r="BD1660" s="567" t="str">
        <f t="shared" si="977"/>
        <v/>
      </c>
      <c r="BE1660" s="467" t="str">
        <f t="shared" si="978"/>
        <v/>
      </c>
      <c r="BF1660" s="469" t="str">
        <f t="shared" ca="1" si="979"/>
        <v/>
      </c>
      <c r="BG1660" s="469" t="str">
        <f t="shared" ca="1" si="980"/>
        <v/>
      </c>
      <c r="BH1660" s="467" t="str">
        <f t="shared" si="981"/>
        <v/>
      </c>
      <c r="BI1660" s="467" t="str">
        <f t="shared" ca="1" si="982"/>
        <v/>
      </c>
      <c r="BJ1660" s="469" t="str">
        <f t="shared" si="983"/>
        <v/>
      </c>
      <c r="BK1660" s="470" t="str">
        <f t="shared" si="967"/>
        <v/>
      </c>
      <c r="BL1660" s="775" t="str">
        <f t="shared" si="984"/>
        <v/>
      </c>
      <c r="BM1660" s="775" t="str">
        <f t="shared" si="985"/>
        <v/>
      </c>
    </row>
    <row r="1661" spans="1:65">
      <c r="A1661" s="473">
        <v>1605</v>
      </c>
      <c r="B1661" s="132"/>
      <c r="C1661" s="332"/>
      <c r="D1661" s="333"/>
      <c r="E1661" s="333"/>
      <c r="F1661" s="334"/>
      <c r="G1661" s="337"/>
      <c r="H1661" s="131"/>
      <c r="I1661" s="337"/>
      <c r="J1661" s="131"/>
      <c r="K1661" s="458" t="str">
        <f t="shared" si="948"/>
        <v/>
      </c>
      <c r="L1661" s="458">
        <f t="shared" si="949"/>
        <v>0</v>
      </c>
      <c r="M1661" s="458">
        <f t="shared" si="950"/>
        <v>0</v>
      </c>
      <c r="N1661" s="459" t="str">
        <f t="shared" si="961"/>
        <v/>
      </c>
      <c r="O1661" s="459" t="str">
        <f t="shared" si="962"/>
        <v/>
      </c>
      <c r="P1661" s="459" t="str">
        <f t="shared" si="963"/>
        <v/>
      </c>
      <c r="Q1661" s="459" t="str">
        <f t="shared" si="964"/>
        <v/>
      </c>
      <c r="R1661" s="459" t="str">
        <f t="shared" si="965"/>
        <v/>
      </c>
      <c r="S1661" s="459" t="str">
        <f t="shared" si="966"/>
        <v/>
      </c>
      <c r="T1661" s="566" t="str">
        <f t="shared" si="951"/>
        <v/>
      </c>
      <c r="U1661" s="702"/>
      <c r="V1661" s="132"/>
      <c r="W1661" s="133"/>
      <c r="X1661" s="134"/>
      <c r="Y1661" s="135"/>
      <c r="Z1661" s="137"/>
      <c r="AA1661" s="136"/>
      <c r="AB1661" s="566" t="str">
        <f t="shared" si="952"/>
        <v/>
      </c>
      <c r="AC1661" s="568" t="str">
        <f t="shared" si="953"/>
        <v/>
      </c>
      <c r="AD1661" s="137"/>
      <c r="AE1661" s="137"/>
      <c r="AF1661" s="138"/>
      <c r="AG1661" s="138"/>
      <c r="AH1661" s="592" t="str">
        <f t="shared" si="954"/>
        <v/>
      </c>
      <c r="AI1661" s="592" t="str">
        <f t="shared" si="955"/>
        <v/>
      </c>
      <c r="AJ1661" s="592" t="str">
        <f t="shared" si="956"/>
        <v/>
      </c>
      <c r="AK1661" s="460" t="str">
        <f>IF(AU1661="","",IF(OR(AZ1661=8,AZ1661=9),0,IF(OR(AW1661=3,AW1661=4,AW1661=5,AW1661=6),IF(LEFT(BF1661,1)="1",INDEX(係数_NOX・PM低減,MATCH(AY1661,【参考】排出係数!$AI$801:$AI$804,1),1),VLOOKUP(AU1661,INDEX((係数_バス貨物_ガソリン,係数_バス貨物_CNG,係数_バス貨物_軽油,係数_バス貨物_メタノール,係数_バス貨物_LPG),MATCH(AY1661,【参考】排出係数!$AI$4:$AI$671,1),1,BE1661):INDEX((係数_バス貨物_ガソリン,係数_バス貨物_CNG,係数_バス貨物_軽油,係数_バス貨物_メタノール,係数_バス貨物_LPG),MATCH(AY1661+1,【参考】排出係数!$AI$4:$AI$671,1)-1,5,BE1661),4,FALSE)),IF(AND(BE1661=3,LEFT(BF1661,1)="1"),0.48,VLOOKUP(AU1661,INDEX((係数_乗用_ガソリン,係数_乗用_CNG,係数_乗用_軽油,係数_乗用_メタノール,係数_乗用_LPG),1,1,BE1661):INDEX((係数_乗用_ガソリン,係数_乗用_CNG,係数_乗用_軽油,係数_乗用_メタノール,係数_乗用_LPG),125,5,BE1661),4,FALSE)))))</f>
        <v/>
      </c>
      <c r="AL1661" s="461" t="str">
        <f t="shared" si="957"/>
        <v/>
      </c>
      <c r="AM1661" s="460" t="str">
        <f>IF(AU1661="","",IF(OR(AZ1661=8,AZ1661=9),0,IF(OR(AW1661=3,AW1661=4,AW1661=5,AW1661=6),IF(LEFT(BH1661,1)="1",INDEX(係数_PM低減,MATCH(AY1661,【参考】排出係数!$AI$801:$AI$804,1),MATCH(BI1661,【参考】排出係数!$AL$798:$AO$798,1)),VLOOKUP(AU1661,INDEX((係数_バス貨物_ガソリン,係数_バス貨物_CNG,係数_バス貨物_軽油,係数_バス貨物_メタノール,係数_バス貨物_LPG),MATCH(AY1661,【参考】排出係数!$AI$4:$AI$671,1),1,BE1661):INDEX((係数_バス貨物_ガソリン,係数_バス貨物_CNG,係数_バス貨物_軽油,係数_バス貨物_メタノール,係数_バス貨物_LPG),MATCH(AY1661+1,【参考】排出係数!$AI$4:$AI$671,1)-1,5,BE1661),5,FALSE)),IF(AND(BE1661=3,LEFT(BF1661,1)="1"),0.055,VLOOKUP(AU1661,INDEX((係数_乗用_ガソリン,係数_乗用_CNG,係数_乗用_軽油,係数_乗用_メタノール,係数_乗用_LPG),1,1,BE1661):INDEX((係数_乗用_ガソリン,係数_乗用_CNG,係数_乗用_軽油,係数_乗用_メタノール,係数_乗用_LPG),125,5,BE1661),5,FALSE)))))</f>
        <v/>
      </c>
      <c r="AN1661" s="461" t="str">
        <f t="shared" si="958"/>
        <v/>
      </c>
      <c r="AO1661" s="462" t="str">
        <f t="shared" si="959"/>
        <v/>
      </c>
      <c r="AP1661" s="463" t="str">
        <f t="shared" si="960"/>
        <v/>
      </c>
      <c r="AQ1661" s="464"/>
      <c r="AR1661" s="619"/>
      <c r="AS1661" s="465" t="str">
        <f t="shared" si="968"/>
        <v/>
      </c>
      <c r="AT1661" s="465" t="str">
        <f t="shared" si="969"/>
        <v/>
      </c>
      <c r="AU1661" s="466" t="str">
        <f t="shared" si="970"/>
        <v/>
      </c>
      <c r="AV1661" s="467" t="str">
        <f t="shared" si="971"/>
        <v/>
      </c>
      <c r="AW1661" s="467" t="str">
        <f t="shared" si="972"/>
        <v/>
      </c>
      <c r="AX1661" s="467" t="str">
        <f t="shared" si="973"/>
        <v/>
      </c>
      <c r="AY1661" s="467" t="str">
        <f t="shared" si="974"/>
        <v/>
      </c>
      <c r="AZ1661" s="467" t="str">
        <f t="shared" si="975"/>
        <v/>
      </c>
      <c r="BA1661" s="468" t="str">
        <f>IF(AS1661="","",IF(OR(AU1661="",AU1661="-"),"－",IF(OR(AZ1661=8,AZ1661=9),"",IF(OR(AW1661=3,AW1661=4,AW1661=5,AW1661=6),VLOOKUP(AU1661,INDEX((係数_バス貨物_ガソリン,係数_バス貨物_CNG,係数_バス貨物_軽油,係数_バス貨物_メタノール,係数_バス貨物_LPG),MATCH(AY1661,【参考】排出係数!$AI$4:$AI$671,1),1,BE1661):INDEX((係数_バス貨物_ガソリン,係数_バス貨物_CNG,係数_バス貨物_軽油,係数_バス貨物_メタノール,係数_バス貨物_LPG),MATCH(AY1661+1,【参考】排出係数!$AI$4:$AI$671,1)-1,5,BE1661),2,FALSE),IF(OR(AW1661=1,AW1661=2),VLOOKUP(AU1661,INDEX((係数_乗用_ガソリン,係数_乗用_CNG,係数_乗用_軽油,係数_乗用_メタノール,係数_乗用_LPG),1,1,BE1661):INDEX((係数_乗用_ガソリン,係数_乗用_CNG,係数_乗用_軽油,係数_乗用_メタノール,係数_乗用_LPG),125,5,BE1661),2,FALSE))))))</f>
        <v/>
      </c>
      <c r="BB1661" s="468" t="str">
        <f>IF(T1661="","",IF(OR(AU1661="",AU1661="-"),"－",IF(OR(AZ1661=8,AZ1661=9),"",IF(OR(AW1661=3,AW1661=4,AW1661=5,AW1661=6),VLOOKUP(AU1661,INDEX((係数_バス貨物_ガソリン,係数_バス貨物_CNG,係数_バス貨物_軽油,係数_バス貨物_メタノール,係数_バス貨物_LPG),MATCH(AY1661,【参考】排出係数!$AI$4:$AI$671,1),1,BE1661):INDEX((係数_バス貨物_ガソリン,係数_バス貨物_CNG,係数_バス貨物_軽油,係数_バス貨物_メタノール,係数_バス貨物_LPG),MATCH(AY1661+1,【参考】排出係数!$AI$4:$AI$671,1)-1,5,BE1661),3,FALSE),IF(OR(AW1661=1,AW1661=2),VLOOKUP(AU1661,INDEX((係数_乗用_ガソリン,係数_乗用_CNG,係数_乗用_軽油,係数_乗用_メタノール,係数_乗用_LPG),1,1,BE1661):INDEX((係数_乗用_ガソリン,係数_乗用_CNG,係数_乗用_軽油,係数_乗用_メタノール,係数_乗用_LPG),125,5,BE1661),3,FALSE))))))</f>
        <v/>
      </c>
      <c r="BC1661" s="467" t="str">
        <f t="shared" si="976"/>
        <v/>
      </c>
      <c r="BD1661" s="567" t="str">
        <f t="shared" si="977"/>
        <v/>
      </c>
      <c r="BE1661" s="467" t="str">
        <f t="shared" si="978"/>
        <v/>
      </c>
      <c r="BF1661" s="469" t="str">
        <f t="shared" ca="1" si="979"/>
        <v/>
      </c>
      <c r="BG1661" s="469" t="str">
        <f t="shared" ca="1" si="980"/>
        <v/>
      </c>
      <c r="BH1661" s="467" t="str">
        <f t="shared" si="981"/>
        <v/>
      </c>
      <c r="BI1661" s="467" t="str">
        <f t="shared" ca="1" si="982"/>
        <v/>
      </c>
      <c r="BJ1661" s="469" t="str">
        <f t="shared" si="983"/>
        <v/>
      </c>
      <c r="BK1661" s="470" t="str">
        <f t="shared" si="967"/>
        <v/>
      </c>
      <c r="BL1661" s="775" t="str">
        <f t="shared" si="984"/>
        <v/>
      </c>
      <c r="BM1661" s="775" t="str">
        <f t="shared" si="985"/>
        <v/>
      </c>
    </row>
    <row r="1662" spans="1:65">
      <c r="A1662" s="473">
        <v>1606</v>
      </c>
      <c r="B1662" s="132"/>
      <c r="C1662" s="332"/>
      <c r="D1662" s="333"/>
      <c r="E1662" s="333"/>
      <c r="F1662" s="334"/>
      <c r="G1662" s="337"/>
      <c r="H1662" s="131"/>
      <c r="I1662" s="337"/>
      <c r="J1662" s="131"/>
      <c r="K1662" s="458" t="str">
        <f t="shared" si="948"/>
        <v/>
      </c>
      <c r="L1662" s="458">
        <f t="shared" si="949"/>
        <v>0</v>
      </c>
      <c r="M1662" s="458">
        <f t="shared" si="950"/>
        <v>0</v>
      </c>
      <c r="N1662" s="459" t="str">
        <f t="shared" si="961"/>
        <v/>
      </c>
      <c r="O1662" s="459" t="str">
        <f t="shared" si="962"/>
        <v/>
      </c>
      <c r="P1662" s="459" t="str">
        <f t="shared" si="963"/>
        <v/>
      </c>
      <c r="Q1662" s="459" t="str">
        <f t="shared" si="964"/>
        <v/>
      </c>
      <c r="R1662" s="459" t="str">
        <f t="shared" si="965"/>
        <v/>
      </c>
      <c r="S1662" s="459" t="str">
        <f t="shared" si="966"/>
        <v/>
      </c>
      <c r="T1662" s="566" t="str">
        <f t="shared" si="951"/>
        <v/>
      </c>
      <c r="U1662" s="702"/>
      <c r="V1662" s="132"/>
      <c r="W1662" s="133"/>
      <c r="X1662" s="134"/>
      <c r="Y1662" s="135"/>
      <c r="Z1662" s="137"/>
      <c r="AA1662" s="136"/>
      <c r="AB1662" s="566" t="str">
        <f t="shared" si="952"/>
        <v/>
      </c>
      <c r="AC1662" s="568" t="str">
        <f t="shared" si="953"/>
        <v/>
      </c>
      <c r="AD1662" s="137"/>
      <c r="AE1662" s="137"/>
      <c r="AF1662" s="138"/>
      <c r="AG1662" s="138"/>
      <c r="AH1662" s="592" t="str">
        <f t="shared" si="954"/>
        <v/>
      </c>
      <c r="AI1662" s="592" t="str">
        <f t="shared" si="955"/>
        <v/>
      </c>
      <c r="AJ1662" s="592" t="str">
        <f t="shared" si="956"/>
        <v/>
      </c>
      <c r="AK1662" s="460" t="str">
        <f>IF(AU1662="","",IF(OR(AZ1662=8,AZ1662=9),0,IF(OR(AW1662=3,AW1662=4,AW1662=5,AW1662=6),IF(LEFT(BF1662,1)="1",INDEX(係数_NOX・PM低減,MATCH(AY1662,【参考】排出係数!$AI$801:$AI$804,1),1),VLOOKUP(AU1662,INDEX((係数_バス貨物_ガソリン,係数_バス貨物_CNG,係数_バス貨物_軽油,係数_バス貨物_メタノール,係数_バス貨物_LPG),MATCH(AY1662,【参考】排出係数!$AI$4:$AI$671,1),1,BE1662):INDEX((係数_バス貨物_ガソリン,係数_バス貨物_CNG,係数_バス貨物_軽油,係数_バス貨物_メタノール,係数_バス貨物_LPG),MATCH(AY1662+1,【参考】排出係数!$AI$4:$AI$671,1)-1,5,BE1662),4,FALSE)),IF(AND(BE1662=3,LEFT(BF1662,1)="1"),0.48,VLOOKUP(AU1662,INDEX((係数_乗用_ガソリン,係数_乗用_CNG,係数_乗用_軽油,係数_乗用_メタノール,係数_乗用_LPG),1,1,BE1662):INDEX((係数_乗用_ガソリン,係数_乗用_CNG,係数_乗用_軽油,係数_乗用_メタノール,係数_乗用_LPG),125,5,BE1662),4,FALSE)))))</f>
        <v/>
      </c>
      <c r="AL1662" s="461" t="str">
        <f t="shared" si="957"/>
        <v/>
      </c>
      <c r="AM1662" s="460" t="str">
        <f>IF(AU1662="","",IF(OR(AZ1662=8,AZ1662=9),0,IF(OR(AW1662=3,AW1662=4,AW1662=5,AW1662=6),IF(LEFT(BH1662,1)="1",INDEX(係数_PM低減,MATCH(AY1662,【参考】排出係数!$AI$801:$AI$804,1),MATCH(BI1662,【参考】排出係数!$AL$798:$AO$798,1)),VLOOKUP(AU1662,INDEX((係数_バス貨物_ガソリン,係数_バス貨物_CNG,係数_バス貨物_軽油,係数_バス貨物_メタノール,係数_バス貨物_LPG),MATCH(AY1662,【参考】排出係数!$AI$4:$AI$671,1),1,BE1662):INDEX((係数_バス貨物_ガソリン,係数_バス貨物_CNG,係数_バス貨物_軽油,係数_バス貨物_メタノール,係数_バス貨物_LPG),MATCH(AY1662+1,【参考】排出係数!$AI$4:$AI$671,1)-1,5,BE1662),5,FALSE)),IF(AND(BE1662=3,LEFT(BF1662,1)="1"),0.055,VLOOKUP(AU1662,INDEX((係数_乗用_ガソリン,係数_乗用_CNG,係数_乗用_軽油,係数_乗用_メタノール,係数_乗用_LPG),1,1,BE1662):INDEX((係数_乗用_ガソリン,係数_乗用_CNG,係数_乗用_軽油,係数_乗用_メタノール,係数_乗用_LPG),125,5,BE1662),5,FALSE)))))</f>
        <v/>
      </c>
      <c r="AN1662" s="461" t="str">
        <f t="shared" si="958"/>
        <v/>
      </c>
      <c r="AO1662" s="462" t="str">
        <f t="shared" si="959"/>
        <v/>
      </c>
      <c r="AP1662" s="463" t="str">
        <f t="shared" si="960"/>
        <v/>
      </c>
      <c r="AQ1662" s="464"/>
      <c r="AR1662" s="619"/>
      <c r="AS1662" s="465" t="str">
        <f t="shared" si="968"/>
        <v/>
      </c>
      <c r="AT1662" s="465" t="str">
        <f t="shared" si="969"/>
        <v/>
      </c>
      <c r="AU1662" s="466" t="str">
        <f t="shared" si="970"/>
        <v/>
      </c>
      <c r="AV1662" s="467" t="str">
        <f t="shared" si="971"/>
        <v/>
      </c>
      <c r="AW1662" s="467" t="str">
        <f t="shared" si="972"/>
        <v/>
      </c>
      <c r="AX1662" s="467" t="str">
        <f t="shared" si="973"/>
        <v/>
      </c>
      <c r="AY1662" s="467" t="str">
        <f t="shared" si="974"/>
        <v/>
      </c>
      <c r="AZ1662" s="467" t="str">
        <f t="shared" si="975"/>
        <v/>
      </c>
      <c r="BA1662" s="468" t="str">
        <f>IF(AS1662="","",IF(OR(AU1662="",AU1662="-"),"－",IF(OR(AZ1662=8,AZ1662=9),"",IF(OR(AW1662=3,AW1662=4,AW1662=5,AW1662=6),VLOOKUP(AU1662,INDEX((係数_バス貨物_ガソリン,係数_バス貨物_CNG,係数_バス貨物_軽油,係数_バス貨物_メタノール,係数_バス貨物_LPG),MATCH(AY1662,【参考】排出係数!$AI$4:$AI$671,1),1,BE1662):INDEX((係数_バス貨物_ガソリン,係数_バス貨物_CNG,係数_バス貨物_軽油,係数_バス貨物_メタノール,係数_バス貨物_LPG),MATCH(AY1662+1,【参考】排出係数!$AI$4:$AI$671,1)-1,5,BE1662),2,FALSE),IF(OR(AW1662=1,AW1662=2),VLOOKUP(AU1662,INDEX((係数_乗用_ガソリン,係数_乗用_CNG,係数_乗用_軽油,係数_乗用_メタノール,係数_乗用_LPG),1,1,BE1662):INDEX((係数_乗用_ガソリン,係数_乗用_CNG,係数_乗用_軽油,係数_乗用_メタノール,係数_乗用_LPG),125,5,BE1662),2,FALSE))))))</f>
        <v/>
      </c>
      <c r="BB1662" s="468" t="str">
        <f>IF(T1662="","",IF(OR(AU1662="",AU1662="-"),"－",IF(OR(AZ1662=8,AZ1662=9),"",IF(OR(AW1662=3,AW1662=4,AW1662=5,AW1662=6),VLOOKUP(AU1662,INDEX((係数_バス貨物_ガソリン,係数_バス貨物_CNG,係数_バス貨物_軽油,係数_バス貨物_メタノール,係数_バス貨物_LPG),MATCH(AY1662,【参考】排出係数!$AI$4:$AI$671,1),1,BE1662):INDEX((係数_バス貨物_ガソリン,係数_バス貨物_CNG,係数_バス貨物_軽油,係数_バス貨物_メタノール,係数_バス貨物_LPG),MATCH(AY1662+1,【参考】排出係数!$AI$4:$AI$671,1)-1,5,BE1662),3,FALSE),IF(OR(AW1662=1,AW1662=2),VLOOKUP(AU1662,INDEX((係数_乗用_ガソリン,係数_乗用_CNG,係数_乗用_軽油,係数_乗用_メタノール,係数_乗用_LPG),1,1,BE1662):INDEX((係数_乗用_ガソリン,係数_乗用_CNG,係数_乗用_軽油,係数_乗用_メタノール,係数_乗用_LPG),125,5,BE1662),3,FALSE))))))</f>
        <v/>
      </c>
      <c r="BC1662" s="467" t="str">
        <f t="shared" si="976"/>
        <v/>
      </c>
      <c r="BD1662" s="567" t="str">
        <f t="shared" si="977"/>
        <v/>
      </c>
      <c r="BE1662" s="467" t="str">
        <f t="shared" si="978"/>
        <v/>
      </c>
      <c r="BF1662" s="469" t="str">
        <f t="shared" ca="1" si="979"/>
        <v/>
      </c>
      <c r="BG1662" s="469" t="str">
        <f t="shared" ca="1" si="980"/>
        <v/>
      </c>
      <c r="BH1662" s="467" t="str">
        <f t="shared" si="981"/>
        <v/>
      </c>
      <c r="BI1662" s="467" t="str">
        <f t="shared" ca="1" si="982"/>
        <v/>
      </c>
      <c r="BJ1662" s="469" t="str">
        <f t="shared" si="983"/>
        <v/>
      </c>
      <c r="BK1662" s="470" t="str">
        <f t="shared" si="967"/>
        <v/>
      </c>
      <c r="BL1662" s="775" t="str">
        <f t="shared" si="984"/>
        <v/>
      </c>
      <c r="BM1662" s="775" t="str">
        <f t="shared" si="985"/>
        <v/>
      </c>
    </row>
    <row r="1663" spans="1:65">
      <c r="A1663" s="473">
        <v>1607</v>
      </c>
      <c r="B1663" s="132"/>
      <c r="C1663" s="332"/>
      <c r="D1663" s="333"/>
      <c r="E1663" s="333"/>
      <c r="F1663" s="334"/>
      <c r="G1663" s="337"/>
      <c r="H1663" s="131"/>
      <c r="I1663" s="337"/>
      <c r="J1663" s="131"/>
      <c r="K1663" s="458" t="str">
        <f t="shared" si="948"/>
        <v/>
      </c>
      <c r="L1663" s="458">
        <f t="shared" si="949"/>
        <v>0</v>
      </c>
      <c r="M1663" s="458">
        <f t="shared" si="950"/>
        <v>0</v>
      </c>
      <c r="N1663" s="459" t="str">
        <f t="shared" si="961"/>
        <v/>
      </c>
      <c r="O1663" s="459" t="str">
        <f t="shared" si="962"/>
        <v/>
      </c>
      <c r="P1663" s="459" t="str">
        <f t="shared" si="963"/>
        <v/>
      </c>
      <c r="Q1663" s="459" t="str">
        <f t="shared" si="964"/>
        <v/>
      </c>
      <c r="R1663" s="459" t="str">
        <f t="shared" si="965"/>
        <v/>
      </c>
      <c r="S1663" s="459" t="str">
        <f t="shared" si="966"/>
        <v/>
      </c>
      <c r="T1663" s="566" t="str">
        <f t="shared" si="951"/>
        <v/>
      </c>
      <c r="U1663" s="702"/>
      <c r="V1663" s="132"/>
      <c r="W1663" s="133"/>
      <c r="X1663" s="134"/>
      <c r="Y1663" s="135"/>
      <c r="Z1663" s="137"/>
      <c r="AA1663" s="136"/>
      <c r="AB1663" s="566" t="str">
        <f t="shared" si="952"/>
        <v/>
      </c>
      <c r="AC1663" s="568" t="str">
        <f t="shared" si="953"/>
        <v/>
      </c>
      <c r="AD1663" s="137"/>
      <c r="AE1663" s="137"/>
      <c r="AF1663" s="138"/>
      <c r="AG1663" s="138"/>
      <c r="AH1663" s="592" t="str">
        <f t="shared" si="954"/>
        <v/>
      </c>
      <c r="AI1663" s="592" t="str">
        <f t="shared" si="955"/>
        <v/>
      </c>
      <c r="AJ1663" s="592" t="str">
        <f t="shared" si="956"/>
        <v/>
      </c>
      <c r="AK1663" s="460" t="str">
        <f>IF(AU1663="","",IF(OR(AZ1663=8,AZ1663=9),0,IF(OR(AW1663=3,AW1663=4,AW1663=5,AW1663=6),IF(LEFT(BF1663,1)="1",INDEX(係数_NOX・PM低減,MATCH(AY1663,【参考】排出係数!$AI$801:$AI$804,1),1),VLOOKUP(AU1663,INDEX((係数_バス貨物_ガソリン,係数_バス貨物_CNG,係数_バス貨物_軽油,係数_バス貨物_メタノール,係数_バス貨物_LPG),MATCH(AY1663,【参考】排出係数!$AI$4:$AI$671,1),1,BE1663):INDEX((係数_バス貨物_ガソリン,係数_バス貨物_CNG,係数_バス貨物_軽油,係数_バス貨物_メタノール,係数_バス貨物_LPG),MATCH(AY1663+1,【参考】排出係数!$AI$4:$AI$671,1)-1,5,BE1663),4,FALSE)),IF(AND(BE1663=3,LEFT(BF1663,1)="1"),0.48,VLOOKUP(AU1663,INDEX((係数_乗用_ガソリン,係数_乗用_CNG,係数_乗用_軽油,係数_乗用_メタノール,係数_乗用_LPG),1,1,BE1663):INDEX((係数_乗用_ガソリン,係数_乗用_CNG,係数_乗用_軽油,係数_乗用_メタノール,係数_乗用_LPG),125,5,BE1663),4,FALSE)))))</f>
        <v/>
      </c>
      <c r="AL1663" s="461" t="str">
        <f t="shared" si="957"/>
        <v/>
      </c>
      <c r="AM1663" s="460" t="str">
        <f>IF(AU1663="","",IF(OR(AZ1663=8,AZ1663=9),0,IF(OR(AW1663=3,AW1663=4,AW1663=5,AW1663=6),IF(LEFT(BH1663,1)="1",INDEX(係数_PM低減,MATCH(AY1663,【参考】排出係数!$AI$801:$AI$804,1),MATCH(BI1663,【参考】排出係数!$AL$798:$AO$798,1)),VLOOKUP(AU1663,INDEX((係数_バス貨物_ガソリン,係数_バス貨物_CNG,係数_バス貨物_軽油,係数_バス貨物_メタノール,係数_バス貨物_LPG),MATCH(AY1663,【参考】排出係数!$AI$4:$AI$671,1),1,BE1663):INDEX((係数_バス貨物_ガソリン,係数_バス貨物_CNG,係数_バス貨物_軽油,係数_バス貨物_メタノール,係数_バス貨物_LPG),MATCH(AY1663+1,【参考】排出係数!$AI$4:$AI$671,1)-1,5,BE1663),5,FALSE)),IF(AND(BE1663=3,LEFT(BF1663,1)="1"),0.055,VLOOKUP(AU1663,INDEX((係数_乗用_ガソリン,係数_乗用_CNG,係数_乗用_軽油,係数_乗用_メタノール,係数_乗用_LPG),1,1,BE1663):INDEX((係数_乗用_ガソリン,係数_乗用_CNG,係数_乗用_軽油,係数_乗用_メタノール,係数_乗用_LPG),125,5,BE1663),5,FALSE)))))</f>
        <v/>
      </c>
      <c r="AN1663" s="461" t="str">
        <f t="shared" si="958"/>
        <v/>
      </c>
      <c r="AO1663" s="462" t="str">
        <f t="shared" si="959"/>
        <v/>
      </c>
      <c r="AP1663" s="463" t="str">
        <f t="shared" si="960"/>
        <v/>
      </c>
      <c r="AQ1663" s="464"/>
      <c r="AR1663" s="619"/>
      <c r="AS1663" s="465" t="str">
        <f t="shared" si="968"/>
        <v/>
      </c>
      <c r="AT1663" s="465" t="str">
        <f t="shared" si="969"/>
        <v/>
      </c>
      <c r="AU1663" s="466" t="str">
        <f t="shared" si="970"/>
        <v/>
      </c>
      <c r="AV1663" s="467" t="str">
        <f t="shared" si="971"/>
        <v/>
      </c>
      <c r="AW1663" s="467" t="str">
        <f t="shared" si="972"/>
        <v/>
      </c>
      <c r="AX1663" s="467" t="str">
        <f t="shared" si="973"/>
        <v/>
      </c>
      <c r="AY1663" s="467" t="str">
        <f t="shared" si="974"/>
        <v/>
      </c>
      <c r="AZ1663" s="467" t="str">
        <f t="shared" si="975"/>
        <v/>
      </c>
      <c r="BA1663" s="468" t="str">
        <f>IF(AS1663="","",IF(OR(AU1663="",AU1663="-"),"－",IF(OR(AZ1663=8,AZ1663=9),"",IF(OR(AW1663=3,AW1663=4,AW1663=5,AW1663=6),VLOOKUP(AU1663,INDEX((係数_バス貨物_ガソリン,係数_バス貨物_CNG,係数_バス貨物_軽油,係数_バス貨物_メタノール,係数_バス貨物_LPG),MATCH(AY1663,【参考】排出係数!$AI$4:$AI$671,1),1,BE1663):INDEX((係数_バス貨物_ガソリン,係数_バス貨物_CNG,係数_バス貨物_軽油,係数_バス貨物_メタノール,係数_バス貨物_LPG),MATCH(AY1663+1,【参考】排出係数!$AI$4:$AI$671,1)-1,5,BE1663),2,FALSE),IF(OR(AW1663=1,AW1663=2),VLOOKUP(AU1663,INDEX((係数_乗用_ガソリン,係数_乗用_CNG,係数_乗用_軽油,係数_乗用_メタノール,係数_乗用_LPG),1,1,BE1663):INDEX((係数_乗用_ガソリン,係数_乗用_CNG,係数_乗用_軽油,係数_乗用_メタノール,係数_乗用_LPG),125,5,BE1663),2,FALSE))))))</f>
        <v/>
      </c>
      <c r="BB1663" s="468" t="str">
        <f>IF(T1663="","",IF(OR(AU1663="",AU1663="-"),"－",IF(OR(AZ1663=8,AZ1663=9),"",IF(OR(AW1663=3,AW1663=4,AW1663=5,AW1663=6),VLOOKUP(AU1663,INDEX((係数_バス貨物_ガソリン,係数_バス貨物_CNG,係数_バス貨物_軽油,係数_バス貨物_メタノール,係数_バス貨物_LPG),MATCH(AY1663,【参考】排出係数!$AI$4:$AI$671,1),1,BE1663):INDEX((係数_バス貨物_ガソリン,係数_バス貨物_CNG,係数_バス貨物_軽油,係数_バス貨物_メタノール,係数_バス貨物_LPG),MATCH(AY1663+1,【参考】排出係数!$AI$4:$AI$671,1)-1,5,BE1663),3,FALSE),IF(OR(AW1663=1,AW1663=2),VLOOKUP(AU1663,INDEX((係数_乗用_ガソリン,係数_乗用_CNG,係数_乗用_軽油,係数_乗用_メタノール,係数_乗用_LPG),1,1,BE1663):INDEX((係数_乗用_ガソリン,係数_乗用_CNG,係数_乗用_軽油,係数_乗用_メタノール,係数_乗用_LPG),125,5,BE1663),3,FALSE))))))</f>
        <v/>
      </c>
      <c r="BC1663" s="467" t="str">
        <f t="shared" si="976"/>
        <v/>
      </c>
      <c r="BD1663" s="567" t="str">
        <f t="shared" si="977"/>
        <v/>
      </c>
      <c r="BE1663" s="467" t="str">
        <f t="shared" si="978"/>
        <v/>
      </c>
      <c r="BF1663" s="469" t="str">
        <f t="shared" ca="1" si="979"/>
        <v/>
      </c>
      <c r="BG1663" s="469" t="str">
        <f t="shared" ca="1" si="980"/>
        <v/>
      </c>
      <c r="BH1663" s="467" t="str">
        <f t="shared" si="981"/>
        <v/>
      </c>
      <c r="BI1663" s="467" t="str">
        <f t="shared" ca="1" si="982"/>
        <v/>
      </c>
      <c r="BJ1663" s="469" t="str">
        <f t="shared" si="983"/>
        <v/>
      </c>
      <c r="BK1663" s="470" t="str">
        <f t="shared" si="967"/>
        <v/>
      </c>
      <c r="BL1663" s="775" t="str">
        <f t="shared" si="984"/>
        <v/>
      </c>
      <c r="BM1663" s="775" t="str">
        <f t="shared" si="985"/>
        <v/>
      </c>
    </row>
    <row r="1664" spans="1:65">
      <c r="A1664" s="473">
        <v>1608</v>
      </c>
      <c r="B1664" s="132"/>
      <c r="C1664" s="332"/>
      <c r="D1664" s="333"/>
      <c r="E1664" s="333"/>
      <c r="F1664" s="334"/>
      <c r="G1664" s="337"/>
      <c r="H1664" s="131"/>
      <c r="I1664" s="337"/>
      <c r="J1664" s="131"/>
      <c r="K1664" s="458" t="str">
        <f t="shared" si="948"/>
        <v/>
      </c>
      <c r="L1664" s="458">
        <f t="shared" si="949"/>
        <v>0</v>
      </c>
      <c r="M1664" s="458">
        <f t="shared" si="950"/>
        <v>0</v>
      </c>
      <c r="N1664" s="459" t="str">
        <f t="shared" si="961"/>
        <v/>
      </c>
      <c r="O1664" s="459" t="str">
        <f t="shared" si="962"/>
        <v/>
      </c>
      <c r="P1664" s="459" t="str">
        <f t="shared" si="963"/>
        <v/>
      </c>
      <c r="Q1664" s="459" t="str">
        <f t="shared" si="964"/>
        <v/>
      </c>
      <c r="R1664" s="459" t="str">
        <f t="shared" si="965"/>
        <v/>
      </c>
      <c r="S1664" s="459" t="str">
        <f t="shared" si="966"/>
        <v/>
      </c>
      <c r="T1664" s="566" t="str">
        <f t="shared" si="951"/>
        <v/>
      </c>
      <c r="U1664" s="702"/>
      <c r="V1664" s="132"/>
      <c r="W1664" s="133"/>
      <c r="X1664" s="134"/>
      <c r="Y1664" s="135"/>
      <c r="Z1664" s="137"/>
      <c r="AA1664" s="136"/>
      <c r="AB1664" s="566" t="str">
        <f t="shared" si="952"/>
        <v/>
      </c>
      <c r="AC1664" s="568" t="str">
        <f t="shared" si="953"/>
        <v/>
      </c>
      <c r="AD1664" s="137"/>
      <c r="AE1664" s="137"/>
      <c r="AF1664" s="138"/>
      <c r="AG1664" s="138"/>
      <c r="AH1664" s="592" t="str">
        <f t="shared" si="954"/>
        <v/>
      </c>
      <c r="AI1664" s="592" t="str">
        <f t="shared" si="955"/>
        <v/>
      </c>
      <c r="AJ1664" s="592" t="str">
        <f t="shared" si="956"/>
        <v/>
      </c>
      <c r="AK1664" s="460" t="str">
        <f>IF(AU1664="","",IF(OR(AZ1664=8,AZ1664=9),0,IF(OR(AW1664=3,AW1664=4,AW1664=5,AW1664=6),IF(LEFT(BF1664,1)="1",INDEX(係数_NOX・PM低減,MATCH(AY1664,【参考】排出係数!$AI$801:$AI$804,1),1),VLOOKUP(AU1664,INDEX((係数_バス貨物_ガソリン,係数_バス貨物_CNG,係数_バス貨物_軽油,係数_バス貨物_メタノール,係数_バス貨物_LPG),MATCH(AY1664,【参考】排出係数!$AI$4:$AI$671,1),1,BE1664):INDEX((係数_バス貨物_ガソリン,係数_バス貨物_CNG,係数_バス貨物_軽油,係数_バス貨物_メタノール,係数_バス貨物_LPG),MATCH(AY1664+1,【参考】排出係数!$AI$4:$AI$671,1)-1,5,BE1664),4,FALSE)),IF(AND(BE1664=3,LEFT(BF1664,1)="1"),0.48,VLOOKUP(AU1664,INDEX((係数_乗用_ガソリン,係数_乗用_CNG,係数_乗用_軽油,係数_乗用_メタノール,係数_乗用_LPG),1,1,BE1664):INDEX((係数_乗用_ガソリン,係数_乗用_CNG,係数_乗用_軽油,係数_乗用_メタノール,係数_乗用_LPG),125,5,BE1664),4,FALSE)))))</f>
        <v/>
      </c>
      <c r="AL1664" s="461" t="str">
        <f t="shared" si="957"/>
        <v/>
      </c>
      <c r="AM1664" s="460" t="str">
        <f>IF(AU1664="","",IF(OR(AZ1664=8,AZ1664=9),0,IF(OR(AW1664=3,AW1664=4,AW1664=5,AW1664=6),IF(LEFT(BH1664,1)="1",INDEX(係数_PM低減,MATCH(AY1664,【参考】排出係数!$AI$801:$AI$804,1),MATCH(BI1664,【参考】排出係数!$AL$798:$AO$798,1)),VLOOKUP(AU1664,INDEX((係数_バス貨物_ガソリン,係数_バス貨物_CNG,係数_バス貨物_軽油,係数_バス貨物_メタノール,係数_バス貨物_LPG),MATCH(AY1664,【参考】排出係数!$AI$4:$AI$671,1),1,BE1664):INDEX((係数_バス貨物_ガソリン,係数_バス貨物_CNG,係数_バス貨物_軽油,係数_バス貨物_メタノール,係数_バス貨物_LPG),MATCH(AY1664+1,【参考】排出係数!$AI$4:$AI$671,1)-1,5,BE1664),5,FALSE)),IF(AND(BE1664=3,LEFT(BF1664,1)="1"),0.055,VLOOKUP(AU1664,INDEX((係数_乗用_ガソリン,係数_乗用_CNG,係数_乗用_軽油,係数_乗用_メタノール,係数_乗用_LPG),1,1,BE1664):INDEX((係数_乗用_ガソリン,係数_乗用_CNG,係数_乗用_軽油,係数_乗用_メタノール,係数_乗用_LPG),125,5,BE1664),5,FALSE)))))</f>
        <v/>
      </c>
      <c r="AN1664" s="461" t="str">
        <f t="shared" si="958"/>
        <v/>
      </c>
      <c r="AO1664" s="462" t="str">
        <f t="shared" si="959"/>
        <v/>
      </c>
      <c r="AP1664" s="463" t="str">
        <f t="shared" si="960"/>
        <v/>
      </c>
      <c r="AQ1664" s="464"/>
      <c r="AR1664" s="619"/>
      <c r="AS1664" s="465" t="str">
        <f t="shared" si="968"/>
        <v/>
      </c>
      <c r="AT1664" s="465" t="str">
        <f t="shared" si="969"/>
        <v/>
      </c>
      <c r="AU1664" s="466" t="str">
        <f t="shared" si="970"/>
        <v/>
      </c>
      <c r="AV1664" s="467" t="str">
        <f t="shared" si="971"/>
        <v/>
      </c>
      <c r="AW1664" s="467" t="str">
        <f t="shared" si="972"/>
        <v/>
      </c>
      <c r="AX1664" s="467" t="str">
        <f t="shared" si="973"/>
        <v/>
      </c>
      <c r="AY1664" s="467" t="str">
        <f t="shared" si="974"/>
        <v/>
      </c>
      <c r="AZ1664" s="467" t="str">
        <f t="shared" si="975"/>
        <v/>
      </c>
      <c r="BA1664" s="468" t="str">
        <f>IF(AS1664="","",IF(OR(AU1664="",AU1664="-"),"－",IF(OR(AZ1664=8,AZ1664=9),"",IF(OR(AW1664=3,AW1664=4,AW1664=5,AW1664=6),VLOOKUP(AU1664,INDEX((係数_バス貨物_ガソリン,係数_バス貨物_CNG,係数_バス貨物_軽油,係数_バス貨物_メタノール,係数_バス貨物_LPG),MATCH(AY1664,【参考】排出係数!$AI$4:$AI$671,1),1,BE1664):INDEX((係数_バス貨物_ガソリン,係数_バス貨物_CNG,係数_バス貨物_軽油,係数_バス貨物_メタノール,係数_バス貨物_LPG),MATCH(AY1664+1,【参考】排出係数!$AI$4:$AI$671,1)-1,5,BE1664),2,FALSE),IF(OR(AW1664=1,AW1664=2),VLOOKUP(AU1664,INDEX((係数_乗用_ガソリン,係数_乗用_CNG,係数_乗用_軽油,係数_乗用_メタノール,係数_乗用_LPG),1,1,BE1664):INDEX((係数_乗用_ガソリン,係数_乗用_CNG,係数_乗用_軽油,係数_乗用_メタノール,係数_乗用_LPG),125,5,BE1664),2,FALSE))))))</f>
        <v/>
      </c>
      <c r="BB1664" s="468" t="str">
        <f>IF(T1664="","",IF(OR(AU1664="",AU1664="-"),"－",IF(OR(AZ1664=8,AZ1664=9),"",IF(OR(AW1664=3,AW1664=4,AW1664=5,AW1664=6),VLOOKUP(AU1664,INDEX((係数_バス貨物_ガソリン,係数_バス貨物_CNG,係数_バス貨物_軽油,係数_バス貨物_メタノール,係数_バス貨物_LPG),MATCH(AY1664,【参考】排出係数!$AI$4:$AI$671,1),1,BE1664):INDEX((係数_バス貨物_ガソリン,係数_バス貨物_CNG,係数_バス貨物_軽油,係数_バス貨物_メタノール,係数_バス貨物_LPG),MATCH(AY1664+1,【参考】排出係数!$AI$4:$AI$671,1)-1,5,BE1664),3,FALSE),IF(OR(AW1664=1,AW1664=2),VLOOKUP(AU1664,INDEX((係数_乗用_ガソリン,係数_乗用_CNG,係数_乗用_軽油,係数_乗用_メタノール,係数_乗用_LPG),1,1,BE1664):INDEX((係数_乗用_ガソリン,係数_乗用_CNG,係数_乗用_軽油,係数_乗用_メタノール,係数_乗用_LPG),125,5,BE1664),3,FALSE))))))</f>
        <v/>
      </c>
      <c r="BC1664" s="467" t="str">
        <f t="shared" si="976"/>
        <v/>
      </c>
      <c r="BD1664" s="567" t="str">
        <f t="shared" si="977"/>
        <v/>
      </c>
      <c r="BE1664" s="467" t="str">
        <f t="shared" si="978"/>
        <v/>
      </c>
      <c r="BF1664" s="469" t="str">
        <f t="shared" ca="1" si="979"/>
        <v/>
      </c>
      <c r="BG1664" s="469" t="str">
        <f t="shared" ca="1" si="980"/>
        <v/>
      </c>
      <c r="BH1664" s="467" t="str">
        <f t="shared" si="981"/>
        <v/>
      </c>
      <c r="BI1664" s="467" t="str">
        <f t="shared" ca="1" si="982"/>
        <v/>
      </c>
      <c r="BJ1664" s="469" t="str">
        <f t="shared" si="983"/>
        <v/>
      </c>
      <c r="BK1664" s="470" t="str">
        <f t="shared" si="967"/>
        <v/>
      </c>
      <c r="BL1664" s="775" t="str">
        <f t="shared" si="984"/>
        <v/>
      </c>
      <c r="BM1664" s="775" t="str">
        <f t="shared" si="985"/>
        <v/>
      </c>
    </row>
    <row r="1665" spans="1:65">
      <c r="A1665" s="473">
        <v>1609</v>
      </c>
      <c r="B1665" s="132"/>
      <c r="C1665" s="332"/>
      <c r="D1665" s="333"/>
      <c r="E1665" s="333"/>
      <c r="F1665" s="334"/>
      <c r="G1665" s="337"/>
      <c r="H1665" s="131"/>
      <c r="I1665" s="337"/>
      <c r="J1665" s="131"/>
      <c r="K1665" s="458" t="str">
        <f t="shared" si="948"/>
        <v/>
      </c>
      <c r="L1665" s="458">
        <f t="shared" si="949"/>
        <v>0</v>
      </c>
      <c r="M1665" s="458">
        <f t="shared" si="950"/>
        <v>0</v>
      </c>
      <c r="N1665" s="459" t="str">
        <f t="shared" si="961"/>
        <v/>
      </c>
      <c r="O1665" s="459" t="str">
        <f t="shared" si="962"/>
        <v/>
      </c>
      <c r="P1665" s="459" t="str">
        <f t="shared" si="963"/>
        <v/>
      </c>
      <c r="Q1665" s="459" t="str">
        <f t="shared" si="964"/>
        <v/>
      </c>
      <c r="R1665" s="459" t="str">
        <f t="shared" si="965"/>
        <v/>
      </c>
      <c r="S1665" s="459" t="str">
        <f t="shared" si="966"/>
        <v/>
      </c>
      <c r="T1665" s="566" t="str">
        <f t="shared" si="951"/>
        <v/>
      </c>
      <c r="U1665" s="702"/>
      <c r="V1665" s="132"/>
      <c r="W1665" s="133"/>
      <c r="X1665" s="134"/>
      <c r="Y1665" s="135"/>
      <c r="Z1665" s="137"/>
      <c r="AA1665" s="136"/>
      <c r="AB1665" s="566" t="str">
        <f t="shared" si="952"/>
        <v/>
      </c>
      <c r="AC1665" s="568" t="str">
        <f t="shared" si="953"/>
        <v/>
      </c>
      <c r="AD1665" s="137"/>
      <c r="AE1665" s="137"/>
      <c r="AF1665" s="138"/>
      <c r="AG1665" s="138"/>
      <c r="AH1665" s="592" t="str">
        <f t="shared" si="954"/>
        <v/>
      </c>
      <c r="AI1665" s="592" t="str">
        <f t="shared" si="955"/>
        <v/>
      </c>
      <c r="AJ1665" s="592" t="str">
        <f t="shared" si="956"/>
        <v/>
      </c>
      <c r="AK1665" s="460" t="str">
        <f>IF(AU1665="","",IF(OR(AZ1665=8,AZ1665=9),0,IF(OR(AW1665=3,AW1665=4,AW1665=5,AW1665=6),IF(LEFT(BF1665,1)="1",INDEX(係数_NOX・PM低減,MATCH(AY1665,【参考】排出係数!$AI$801:$AI$804,1),1),VLOOKUP(AU1665,INDEX((係数_バス貨物_ガソリン,係数_バス貨物_CNG,係数_バス貨物_軽油,係数_バス貨物_メタノール,係数_バス貨物_LPG),MATCH(AY1665,【参考】排出係数!$AI$4:$AI$671,1),1,BE1665):INDEX((係数_バス貨物_ガソリン,係数_バス貨物_CNG,係数_バス貨物_軽油,係数_バス貨物_メタノール,係数_バス貨物_LPG),MATCH(AY1665+1,【参考】排出係数!$AI$4:$AI$671,1)-1,5,BE1665),4,FALSE)),IF(AND(BE1665=3,LEFT(BF1665,1)="1"),0.48,VLOOKUP(AU1665,INDEX((係数_乗用_ガソリン,係数_乗用_CNG,係数_乗用_軽油,係数_乗用_メタノール,係数_乗用_LPG),1,1,BE1665):INDEX((係数_乗用_ガソリン,係数_乗用_CNG,係数_乗用_軽油,係数_乗用_メタノール,係数_乗用_LPG),125,5,BE1665),4,FALSE)))))</f>
        <v/>
      </c>
      <c r="AL1665" s="461" t="str">
        <f t="shared" si="957"/>
        <v/>
      </c>
      <c r="AM1665" s="460" t="str">
        <f>IF(AU1665="","",IF(OR(AZ1665=8,AZ1665=9),0,IF(OR(AW1665=3,AW1665=4,AW1665=5,AW1665=6),IF(LEFT(BH1665,1)="1",INDEX(係数_PM低減,MATCH(AY1665,【参考】排出係数!$AI$801:$AI$804,1),MATCH(BI1665,【参考】排出係数!$AL$798:$AO$798,1)),VLOOKUP(AU1665,INDEX((係数_バス貨物_ガソリン,係数_バス貨物_CNG,係数_バス貨物_軽油,係数_バス貨物_メタノール,係数_バス貨物_LPG),MATCH(AY1665,【参考】排出係数!$AI$4:$AI$671,1),1,BE1665):INDEX((係数_バス貨物_ガソリン,係数_バス貨物_CNG,係数_バス貨物_軽油,係数_バス貨物_メタノール,係数_バス貨物_LPG),MATCH(AY1665+1,【参考】排出係数!$AI$4:$AI$671,1)-1,5,BE1665),5,FALSE)),IF(AND(BE1665=3,LEFT(BF1665,1)="1"),0.055,VLOOKUP(AU1665,INDEX((係数_乗用_ガソリン,係数_乗用_CNG,係数_乗用_軽油,係数_乗用_メタノール,係数_乗用_LPG),1,1,BE1665):INDEX((係数_乗用_ガソリン,係数_乗用_CNG,係数_乗用_軽油,係数_乗用_メタノール,係数_乗用_LPG),125,5,BE1665),5,FALSE)))))</f>
        <v/>
      </c>
      <c r="AN1665" s="461" t="str">
        <f t="shared" si="958"/>
        <v/>
      </c>
      <c r="AO1665" s="462" t="str">
        <f t="shared" si="959"/>
        <v/>
      </c>
      <c r="AP1665" s="463" t="str">
        <f t="shared" si="960"/>
        <v/>
      </c>
      <c r="AQ1665" s="464"/>
      <c r="AR1665" s="619"/>
      <c r="AS1665" s="465" t="str">
        <f t="shared" si="968"/>
        <v/>
      </c>
      <c r="AT1665" s="465" t="str">
        <f t="shared" si="969"/>
        <v/>
      </c>
      <c r="AU1665" s="466" t="str">
        <f t="shared" si="970"/>
        <v/>
      </c>
      <c r="AV1665" s="467" t="str">
        <f t="shared" si="971"/>
        <v/>
      </c>
      <c r="AW1665" s="467" t="str">
        <f t="shared" si="972"/>
        <v/>
      </c>
      <c r="AX1665" s="467" t="str">
        <f t="shared" si="973"/>
        <v/>
      </c>
      <c r="AY1665" s="467" t="str">
        <f t="shared" si="974"/>
        <v/>
      </c>
      <c r="AZ1665" s="467" t="str">
        <f t="shared" si="975"/>
        <v/>
      </c>
      <c r="BA1665" s="468" t="str">
        <f>IF(AS1665="","",IF(OR(AU1665="",AU1665="-"),"－",IF(OR(AZ1665=8,AZ1665=9),"",IF(OR(AW1665=3,AW1665=4,AW1665=5,AW1665=6),VLOOKUP(AU1665,INDEX((係数_バス貨物_ガソリン,係数_バス貨物_CNG,係数_バス貨物_軽油,係数_バス貨物_メタノール,係数_バス貨物_LPG),MATCH(AY1665,【参考】排出係数!$AI$4:$AI$671,1),1,BE1665):INDEX((係数_バス貨物_ガソリン,係数_バス貨物_CNG,係数_バス貨物_軽油,係数_バス貨物_メタノール,係数_バス貨物_LPG),MATCH(AY1665+1,【参考】排出係数!$AI$4:$AI$671,1)-1,5,BE1665),2,FALSE),IF(OR(AW1665=1,AW1665=2),VLOOKUP(AU1665,INDEX((係数_乗用_ガソリン,係数_乗用_CNG,係数_乗用_軽油,係数_乗用_メタノール,係数_乗用_LPG),1,1,BE1665):INDEX((係数_乗用_ガソリン,係数_乗用_CNG,係数_乗用_軽油,係数_乗用_メタノール,係数_乗用_LPG),125,5,BE1665),2,FALSE))))))</f>
        <v/>
      </c>
      <c r="BB1665" s="468" t="str">
        <f>IF(T1665="","",IF(OR(AU1665="",AU1665="-"),"－",IF(OR(AZ1665=8,AZ1665=9),"",IF(OR(AW1665=3,AW1665=4,AW1665=5,AW1665=6),VLOOKUP(AU1665,INDEX((係数_バス貨物_ガソリン,係数_バス貨物_CNG,係数_バス貨物_軽油,係数_バス貨物_メタノール,係数_バス貨物_LPG),MATCH(AY1665,【参考】排出係数!$AI$4:$AI$671,1),1,BE1665):INDEX((係数_バス貨物_ガソリン,係数_バス貨物_CNG,係数_バス貨物_軽油,係数_バス貨物_メタノール,係数_バス貨物_LPG),MATCH(AY1665+1,【参考】排出係数!$AI$4:$AI$671,1)-1,5,BE1665),3,FALSE),IF(OR(AW1665=1,AW1665=2),VLOOKUP(AU1665,INDEX((係数_乗用_ガソリン,係数_乗用_CNG,係数_乗用_軽油,係数_乗用_メタノール,係数_乗用_LPG),1,1,BE1665):INDEX((係数_乗用_ガソリン,係数_乗用_CNG,係数_乗用_軽油,係数_乗用_メタノール,係数_乗用_LPG),125,5,BE1665),3,FALSE))))))</f>
        <v/>
      </c>
      <c r="BC1665" s="467" t="str">
        <f t="shared" si="976"/>
        <v/>
      </c>
      <c r="BD1665" s="567" t="str">
        <f t="shared" si="977"/>
        <v/>
      </c>
      <c r="BE1665" s="467" t="str">
        <f t="shared" si="978"/>
        <v/>
      </c>
      <c r="BF1665" s="469" t="str">
        <f t="shared" ca="1" si="979"/>
        <v/>
      </c>
      <c r="BG1665" s="469" t="str">
        <f t="shared" ca="1" si="980"/>
        <v/>
      </c>
      <c r="BH1665" s="467" t="str">
        <f t="shared" si="981"/>
        <v/>
      </c>
      <c r="BI1665" s="467" t="str">
        <f t="shared" ca="1" si="982"/>
        <v/>
      </c>
      <c r="BJ1665" s="469" t="str">
        <f t="shared" si="983"/>
        <v/>
      </c>
      <c r="BK1665" s="470" t="str">
        <f t="shared" si="967"/>
        <v/>
      </c>
      <c r="BL1665" s="775" t="str">
        <f t="shared" si="984"/>
        <v/>
      </c>
      <c r="BM1665" s="775" t="str">
        <f t="shared" si="985"/>
        <v/>
      </c>
    </row>
    <row r="1666" spans="1:65">
      <c r="A1666" s="473">
        <v>1610</v>
      </c>
      <c r="B1666" s="132"/>
      <c r="C1666" s="332"/>
      <c r="D1666" s="333"/>
      <c r="E1666" s="333"/>
      <c r="F1666" s="334"/>
      <c r="G1666" s="337"/>
      <c r="H1666" s="131"/>
      <c r="I1666" s="337"/>
      <c r="J1666" s="131"/>
      <c r="K1666" s="458" t="str">
        <f t="shared" si="948"/>
        <v/>
      </c>
      <c r="L1666" s="458">
        <f t="shared" si="949"/>
        <v>0</v>
      </c>
      <c r="M1666" s="458">
        <f t="shared" si="950"/>
        <v>0</v>
      </c>
      <c r="N1666" s="459" t="str">
        <f t="shared" si="961"/>
        <v/>
      </c>
      <c r="O1666" s="459" t="str">
        <f t="shared" si="962"/>
        <v/>
      </c>
      <c r="P1666" s="459" t="str">
        <f t="shared" si="963"/>
        <v/>
      </c>
      <c r="Q1666" s="459" t="str">
        <f t="shared" si="964"/>
        <v/>
      </c>
      <c r="R1666" s="459" t="str">
        <f t="shared" si="965"/>
        <v/>
      </c>
      <c r="S1666" s="459" t="str">
        <f t="shared" si="966"/>
        <v/>
      </c>
      <c r="T1666" s="566" t="str">
        <f t="shared" si="951"/>
        <v/>
      </c>
      <c r="U1666" s="702"/>
      <c r="V1666" s="132"/>
      <c r="W1666" s="133"/>
      <c r="X1666" s="134"/>
      <c r="Y1666" s="135"/>
      <c r="Z1666" s="137"/>
      <c r="AA1666" s="136"/>
      <c r="AB1666" s="566" t="str">
        <f t="shared" si="952"/>
        <v/>
      </c>
      <c r="AC1666" s="568" t="str">
        <f t="shared" si="953"/>
        <v/>
      </c>
      <c r="AD1666" s="137"/>
      <c r="AE1666" s="137"/>
      <c r="AF1666" s="138"/>
      <c r="AG1666" s="138"/>
      <c r="AH1666" s="592" t="str">
        <f t="shared" si="954"/>
        <v/>
      </c>
      <c r="AI1666" s="592" t="str">
        <f t="shared" si="955"/>
        <v/>
      </c>
      <c r="AJ1666" s="592" t="str">
        <f t="shared" si="956"/>
        <v/>
      </c>
      <c r="AK1666" s="460" t="str">
        <f>IF(AU1666="","",IF(OR(AZ1666=8,AZ1666=9),0,IF(OR(AW1666=3,AW1666=4,AW1666=5,AW1666=6),IF(LEFT(BF1666,1)="1",INDEX(係数_NOX・PM低減,MATCH(AY1666,【参考】排出係数!$AI$801:$AI$804,1),1),VLOOKUP(AU1666,INDEX((係数_バス貨物_ガソリン,係数_バス貨物_CNG,係数_バス貨物_軽油,係数_バス貨物_メタノール,係数_バス貨物_LPG),MATCH(AY1666,【参考】排出係数!$AI$4:$AI$671,1),1,BE1666):INDEX((係数_バス貨物_ガソリン,係数_バス貨物_CNG,係数_バス貨物_軽油,係数_バス貨物_メタノール,係数_バス貨物_LPG),MATCH(AY1666+1,【参考】排出係数!$AI$4:$AI$671,1)-1,5,BE1666),4,FALSE)),IF(AND(BE1666=3,LEFT(BF1666,1)="1"),0.48,VLOOKUP(AU1666,INDEX((係数_乗用_ガソリン,係数_乗用_CNG,係数_乗用_軽油,係数_乗用_メタノール,係数_乗用_LPG),1,1,BE1666):INDEX((係数_乗用_ガソリン,係数_乗用_CNG,係数_乗用_軽油,係数_乗用_メタノール,係数_乗用_LPG),125,5,BE1666),4,FALSE)))))</f>
        <v/>
      </c>
      <c r="AL1666" s="461" t="str">
        <f t="shared" si="957"/>
        <v/>
      </c>
      <c r="AM1666" s="460" t="str">
        <f>IF(AU1666="","",IF(OR(AZ1666=8,AZ1666=9),0,IF(OR(AW1666=3,AW1666=4,AW1666=5,AW1666=6),IF(LEFT(BH1666,1)="1",INDEX(係数_PM低減,MATCH(AY1666,【参考】排出係数!$AI$801:$AI$804,1),MATCH(BI1666,【参考】排出係数!$AL$798:$AO$798,1)),VLOOKUP(AU1666,INDEX((係数_バス貨物_ガソリン,係数_バス貨物_CNG,係数_バス貨物_軽油,係数_バス貨物_メタノール,係数_バス貨物_LPG),MATCH(AY1666,【参考】排出係数!$AI$4:$AI$671,1),1,BE1666):INDEX((係数_バス貨物_ガソリン,係数_バス貨物_CNG,係数_バス貨物_軽油,係数_バス貨物_メタノール,係数_バス貨物_LPG),MATCH(AY1666+1,【参考】排出係数!$AI$4:$AI$671,1)-1,5,BE1666),5,FALSE)),IF(AND(BE1666=3,LEFT(BF1666,1)="1"),0.055,VLOOKUP(AU1666,INDEX((係数_乗用_ガソリン,係数_乗用_CNG,係数_乗用_軽油,係数_乗用_メタノール,係数_乗用_LPG),1,1,BE1666):INDEX((係数_乗用_ガソリン,係数_乗用_CNG,係数_乗用_軽油,係数_乗用_メタノール,係数_乗用_LPG),125,5,BE1666),5,FALSE)))))</f>
        <v/>
      </c>
      <c r="AN1666" s="461" t="str">
        <f t="shared" si="958"/>
        <v/>
      </c>
      <c r="AO1666" s="462" t="str">
        <f t="shared" si="959"/>
        <v/>
      </c>
      <c r="AP1666" s="463" t="str">
        <f t="shared" si="960"/>
        <v/>
      </c>
      <c r="AQ1666" s="464"/>
      <c r="AR1666" s="619"/>
      <c r="AS1666" s="465" t="str">
        <f t="shared" si="968"/>
        <v/>
      </c>
      <c r="AT1666" s="465" t="str">
        <f t="shared" si="969"/>
        <v/>
      </c>
      <c r="AU1666" s="466" t="str">
        <f t="shared" si="970"/>
        <v/>
      </c>
      <c r="AV1666" s="467" t="str">
        <f t="shared" si="971"/>
        <v/>
      </c>
      <c r="AW1666" s="467" t="str">
        <f t="shared" si="972"/>
        <v/>
      </c>
      <c r="AX1666" s="467" t="str">
        <f t="shared" si="973"/>
        <v/>
      </c>
      <c r="AY1666" s="467" t="str">
        <f t="shared" si="974"/>
        <v/>
      </c>
      <c r="AZ1666" s="467" t="str">
        <f t="shared" si="975"/>
        <v/>
      </c>
      <c r="BA1666" s="468" t="str">
        <f>IF(AS1666="","",IF(OR(AU1666="",AU1666="-"),"－",IF(OR(AZ1666=8,AZ1666=9),"",IF(OR(AW1666=3,AW1666=4,AW1666=5,AW1666=6),VLOOKUP(AU1666,INDEX((係数_バス貨物_ガソリン,係数_バス貨物_CNG,係数_バス貨物_軽油,係数_バス貨物_メタノール,係数_バス貨物_LPG),MATCH(AY1666,【参考】排出係数!$AI$4:$AI$671,1),1,BE1666):INDEX((係数_バス貨物_ガソリン,係数_バス貨物_CNG,係数_バス貨物_軽油,係数_バス貨物_メタノール,係数_バス貨物_LPG),MATCH(AY1666+1,【参考】排出係数!$AI$4:$AI$671,1)-1,5,BE1666),2,FALSE),IF(OR(AW1666=1,AW1666=2),VLOOKUP(AU1666,INDEX((係数_乗用_ガソリン,係数_乗用_CNG,係数_乗用_軽油,係数_乗用_メタノール,係数_乗用_LPG),1,1,BE1666):INDEX((係数_乗用_ガソリン,係数_乗用_CNG,係数_乗用_軽油,係数_乗用_メタノール,係数_乗用_LPG),125,5,BE1666),2,FALSE))))))</f>
        <v/>
      </c>
      <c r="BB1666" s="468" t="str">
        <f>IF(T1666="","",IF(OR(AU1666="",AU1666="-"),"－",IF(OR(AZ1666=8,AZ1666=9),"",IF(OR(AW1666=3,AW1666=4,AW1666=5,AW1666=6),VLOOKUP(AU1666,INDEX((係数_バス貨物_ガソリン,係数_バス貨物_CNG,係数_バス貨物_軽油,係数_バス貨物_メタノール,係数_バス貨物_LPG),MATCH(AY1666,【参考】排出係数!$AI$4:$AI$671,1),1,BE1666):INDEX((係数_バス貨物_ガソリン,係数_バス貨物_CNG,係数_バス貨物_軽油,係数_バス貨物_メタノール,係数_バス貨物_LPG),MATCH(AY1666+1,【参考】排出係数!$AI$4:$AI$671,1)-1,5,BE1666),3,FALSE),IF(OR(AW1666=1,AW1666=2),VLOOKUP(AU1666,INDEX((係数_乗用_ガソリン,係数_乗用_CNG,係数_乗用_軽油,係数_乗用_メタノール,係数_乗用_LPG),1,1,BE1666):INDEX((係数_乗用_ガソリン,係数_乗用_CNG,係数_乗用_軽油,係数_乗用_メタノール,係数_乗用_LPG),125,5,BE1666),3,FALSE))))))</f>
        <v/>
      </c>
      <c r="BC1666" s="467" t="str">
        <f t="shared" si="976"/>
        <v/>
      </c>
      <c r="BD1666" s="567" t="str">
        <f t="shared" si="977"/>
        <v/>
      </c>
      <c r="BE1666" s="467" t="str">
        <f t="shared" si="978"/>
        <v/>
      </c>
      <c r="BF1666" s="469" t="str">
        <f t="shared" ca="1" si="979"/>
        <v/>
      </c>
      <c r="BG1666" s="469" t="str">
        <f t="shared" ca="1" si="980"/>
        <v/>
      </c>
      <c r="BH1666" s="467" t="str">
        <f t="shared" si="981"/>
        <v/>
      </c>
      <c r="BI1666" s="467" t="str">
        <f t="shared" ca="1" si="982"/>
        <v/>
      </c>
      <c r="BJ1666" s="469" t="str">
        <f t="shared" si="983"/>
        <v/>
      </c>
      <c r="BK1666" s="470" t="str">
        <f t="shared" si="967"/>
        <v/>
      </c>
      <c r="BL1666" s="775" t="str">
        <f t="shared" si="984"/>
        <v/>
      </c>
      <c r="BM1666" s="775" t="str">
        <f t="shared" si="985"/>
        <v/>
      </c>
    </row>
    <row r="1667" spans="1:65">
      <c r="A1667" s="473">
        <v>1611</v>
      </c>
      <c r="B1667" s="132"/>
      <c r="C1667" s="332"/>
      <c r="D1667" s="333"/>
      <c r="E1667" s="333"/>
      <c r="F1667" s="334"/>
      <c r="G1667" s="337"/>
      <c r="H1667" s="131"/>
      <c r="I1667" s="337"/>
      <c r="J1667" s="131"/>
      <c r="K1667" s="458" t="str">
        <f t="shared" si="948"/>
        <v/>
      </c>
      <c r="L1667" s="458">
        <f t="shared" si="949"/>
        <v>0</v>
      </c>
      <c r="M1667" s="458">
        <f t="shared" si="950"/>
        <v>0</v>
      </c>
      <c r="N1667" s="459" t="str">
        <f t="shared" si="961"/>
        <v/>
      </c>
      <c r="O1667" s="459" t="str">
        <f t="shared" si="962"/>
        <v/>
      </c>
      <c r="P1667" s="459" t="str">
        <f t="shared" si="963"/>
        <v/>
      </c>
      <c r="Q1667" s="459" t="str">
        <f t="shared" si="964"/>
        <v/>
      </c>
      <c r="R1667" s="459" t="str">
        <f t="shared" si="965"/>
        <v/>
      </c>
      <c r="S1667" s="459" t="str">
        <f t="shared" si="966"/>
        <v/>
      </c>
      <c r="T1667" s="566" t="str">
        <f t="shared" si="951"/>
        <v/>
      </c>
      <c r="U1667" s="702"/>
      <c r="V1667" s="132"/>
      <c r="W1667" s="133"/>
      <c r="X1667" s="134"/>
      <c r="Y1667" s="135"/>
      <c r="Z1667" s="137"/>
      <c r="AA1667" s="136"/>
      <c r="AB1667" s="566" t="str">
        <f t="shared" si="952"/>
        <v/>
      </c>
      <c r="AC1667" s="568" t="str">
        <f t="shared" si="953"/>
        <v/>
      </c>
      <c r="AD1667" s="137"/>
      <c r="AE1667" s="137"/>
      <c r="AF1667" s="138"/>
      <c r="AG1667" s="138"/>
      <c r="AH1667" s="592" t="str">
        <f t="shared" si="954"/>
        <v/>
      </c>
      <c r="AI1667" s="592" t="str">
        <f t="shared" si="955"/>
        <v/>
      </c>
      <c r="AJ1667" s="592" t="str">
        <f t="shared" si="956"/>
        <v/>
      </c>
      <c r="AK1667" s="460" t="str">
        <f>IF(AU1667="","",IF(OR(AZ1667=8,AZ1667=9),0,IF(OR(AW1667=3,AW1667=4,AW1667=5,AW1667=6),IF(LEFT(BF1667,1)="1",INDEX(係数_NOX・PM低減,MATCH(AY1667,【参考】排出係数!$AI$801:$AI$804,1),1),VLOOKUP(AU1667,INDEX((係数_バス貨物_ガソリン,係数_バス貨物_CNG,係数_バス貨物_軽油,係数_バス貨物_メタノール,係数_バス貨物_LPG),MATCH(AY1667,【参考】排出係数!$AI$4:$AI$671,1),1,BE1667):INDEX((係数_バス貨物_ガソリン,係数_バス貨物_CNG,係数_バス貨物_軽油,係数_バス貨物_メタノール,係数_バス貨物_LPG),MATCH(AY1667+1,【参考】排出係数!$AI$4:$AI$671,1)-1,5,BE1667),4,FALSE)),IF(AND(BE1667=3,LEFT(BF1667,1)="1"),0.48,VLOOKUP(AU1667,INDEX((係数_乗用_ガソリン,係数_乗用_CNG,係数_乗用_軽油,係数_乗用_メタノール,係数_乗用_LPG),1,1,BE1667):INDEX((係数_乗用_ガソリン,係数_乗用_CNG,係数_乗用_軽油,係数_乗用_メタノール,係数_乗用_LPG),125,5,BE1667),4,FALSE)))))</f>
        <v/>
      </c>
      <c r="AL1667" s="461" t="str">
        <f t="shared" si="957"/>
        <v/>
      </c>
      <c r="AM1667" s="460" t="str">
        <f>IF(AU1667="","",IF(OR(AZ1667=8,AZ1667=9),0,IF(OR(AW1667=3,AW1667=4,AW1667=5,AW1667=6),IF(LEFT(BH1667,1)="1",INDEX(係数_PM低減,MATCH(AY1667,【参考】排出係数!$AI$801:$AI$804,1),MATCH(BI1667,【参考】排出係数!$AL$798:$AO$798,1)),VLOOKUP(AU1667,INDEX((係数_バス貨物_ガソリン,係数_バス貨物_CNG,係数_バス貨物_軽油,係数_バス貨物_メタノール,係数_バス貨物_LPG),MATCH(AY1667,【参考】排出係数!$AI$4:$AI$671,1),1,BE1667):INDEX((係数_バス貨物_ガソリン,係数_バス貨物_CNG,係数_バス貨物_軽油,係数_バス貨物_メタノール,係数_バス貨物_LPG),MATCH(AY1667+1,【参考】排出係数!$AI$4:$AI$671,1)-1,5,BE1667),5,FALSE)),IF(AND(BE1667=3,LEFT(BF1667,1)="1"),0.055,VLOOKUP(AU1667,INDEX((係数_乗用_ガソリン,係数_乗用_CNG,係数_乗用_軽油,係数_乗用_メタノール,係数_乗用_LPG),1,1,BE1667):INDEX((係数_乗用_ガソリン,係数_乗用_CNG,係数_乗用_軽油,係数_乗用_メタノール,係数_乗用_LPG),125,5,BE1667),5,FALSE)))))</f>
        <v/>
      </c>
      <c r="AN1667" s="461" t="str">
        <f t="shared" si="958"/>
        <v/>
      </c>
      <c r="AO1667" s="462" t="str">
        <f t="shared" si="959"/>
        <v/>
      </c>
      <c r="AP1667" s="463" t="str">
        <f t="shared" si="960"/>
        <v/>
      </c>
      <c r="AQ1667" s="464"/>
      <c r="AR1667" s="619"/>
      <c r="AS1667" s="465" t="str">
        <f t="shared" si="968"/>
        <v/>
      </c>
      <c r="AT1667" s="465" t="str">
        <f t="shared" si="969"/>
        <v/>
      </c>
      <c r="AU1667" s="466" t="str">
        <f t="shared" si="970"/>
        <v/>
      </c>
      <c r="AV1667" s="467" t="str">
        <f t="shared" si="971"/>
        <v/>
      </c>
      <c r="AW1667" s="467" t="str">
        <f t="shared" si="972"/>
        <v/>
      </c>
      <c r="AX1667" s="467" t="str">
        <f t="shared" si="973"/>
        <v/>
      </c>
      <c r="AY1667" s="467" t="str">
        <f t="shared" si="974"/>
        <v/>
      </c>
      <c r="AZ1667" s="467" t="str">
        <f t="shared" si="975"/>
        <v/>
      </c>
      <c r="BA1667" s="468" t="str">
        <f>IF(AS1667="","",IF(OR(AU1667="",AU1667="-"),"－",IF(OR(AZ1667=8,AZ1667=9),"",IF(OR(AW1667=3,AW1667=4,AW1667=5,AW1667=6),VLOOKUP(AU1667,INDEX((係数_バス貨物_ガソリン,係数_バス貨物_CNG,係数_バス貨物_軽油,係数_バス貨物_メタノール,係数_バス貨物_LPG),MATCH(AY1667,【参考】排出係数!$AI$4:$AI$671,1),1,BE1667):INDEX((係数_バス貨物_ガソリン,係数_バス貨物_CNG,係数_バス貨物_軽油,係数_バス貨物_メタノール,係数_バス貨物_LPG),MATCH(AY1667+1,【参考】排出係数!$AI$4:$AI$671,1)-1,5,BE1667),2,FALSE),IF(OR(AW1667=1,AW1667=2),VLOOKUP(AU1667,INDEX((係数_乗用_ガソリン,係数_乗用_CNG,係数_乗用_軽油,係数_乗用_メタノール,係数_乗用_LPG),1,1,BE1667):INDEX((係数_乗用_ガソリン,係数_乗用_CNG,係数_乗用_軽油,係数_乗用_メタノール,係数_乗用_LPG),125,5,BE1667),2,FALSE))))))</f>
        <v/>
      </c>
      <c r="BB1667" s="468" t="str">
        <f>IF(T1667="","",IF(OR(AU1667="",AU1667="-"),"－",IF(OR(AZ1667=8,AZ1667=9),"",IF(OR(AW1667=3,AW1667=4,AW1667=5,AW1667=6),VLOOKUP(AU1667,INDEX((係数_バス貨物_ガソリン,係数_バス貨物_CNG,係数_バス貨物_軽油,係数_バス貨物_メタノール,係数_バス貨物_LPG),MATCH(AY1667,【参考】排出係数!$AI$4:$AI$671,1),1,BE1667):INDEX((係数_バス貨物_ガソリン,係数_バス貨物_CNG,係数_バス貨物_軽油,係数_バス貨物_メタノール,係数_バス貨物_LPG),MATCH(AY1667+1,【参考】排出係数!$AI$4:$AI$671,1)-1,5,BE1667),3,FALSE),IF(OR(AW1667=1,AW1667=2),VLOOKUP(AU1667,INDEX((係数_乗用_ガソリン,係数_乗用_CNG,係数_乗用_軽油,係数_乗用_メタノール,係数_乗用_LPG),1,1,BE1667):INDEX((係数_乗用_ガソリン,係数_乗用_CNG,係数_乗用_軽油,係数_乗用_メタノール,係数_乗用_LPG),125,5,BE1667),3,FALSE))))))</f>
        <v/>
      </c>
      <c r="BC1667" s="467" t="str">
        <f t="shared" si="976"/>
        <v/>
      </c>
      <c r="BD1667" s="567" t="str">
        <f t="shared" si="977"/>
        <v/>
      </c>
      <c r="BE1667" s="467" t="str">
        <f t="shared" si="978"/>
        <v/>
      </c>
      <c r="BF1667" s="469" t="str">
        <f t="shared" ca="1" si="979"/>
        <v/>
      </c>
      <c r="BG1667" s="469" t="str">
        <f t="shared" ca="1" si="980"/>
        <v/>
      </c>
      <c r="BH1667" s="467" t="str">
        <f t="shared" si="981"/>
        <v/>
      </c>
      <c r="BI1667" s="467" t="str">
        <f t="shared" ca="1" si="982"/>
        <v/>
      </c>
      <c r="BJ1667" s="469" t="str">
        <f t="shared" si="983"/>
        <v/>
      </c>
      <c r="BK1667" s="470" t="str">
        <f t="shared" si="967"/>
        <v/>
      </c>
      <c r="BL1667" s="775" t="str">
        <f t="shared" si="984"/>
        <v/>
      </c>
      <c r="BM1667" s="775" t="str">
        <f t="shared" si="985"/>
        <v/>
      </c>
    </row>
    <row r="1668" spans="1:65">
      <c r="A1668" s="473">
        <v>1612</v>
      </c>
      <c r="B1668" s="132"/>
      <c r="C1668" s="332"/>
      <c r="D1668" s="333"/>
      <c r="E1668" s="333"/>
      <c r="F1668" s="334"/>
      <c r="G1668" s="337"/>
      <c r="H1668" s="131"/>
      <c r="I1668" s="337"/>
      <c r="J1668" s="131"/>
      <c r="K1668" s="458" t="str">
        <f t="shared" si="948"/>
        <v/>
      </c>
      <c r="L1668" s="458">
        <f t="shared" si="949"/>
        <v>0</v>
      </c>
      <c r="M1668" s="458">
        <f t="shared" si="950"/>
        <v>0</v>
      </c>
      <c r="N1668" s="459" t="str">
        <f t="shared" si="961"/>
        <v/>
      </c>
      <c r="O1668" s="459" t="str">
        <f t="shared" si="962"/>
        <v/>
      </c>
      <c r="P1668" s="459" t="str">
        <f t="shared" si="963"/>
        <v/>
      </c>
      <c r="Q1668" s="459" t="str">
        <f t="shared" si="964"/>
        <v/>
      </c>
      <c r="R1668" s="459" t="str">
        <f t="shared" si="965"/>
        <v/>
      </c>
      <c r="S1668" s="459" t="str">
        <f t="shared" si="966"/>
        <v/>
      </c>
      <c r="T1668" s="566" t="str">
        <f t="shared" si="951"/>
        <v/>
      </c>
      <c r="U1668" s="702"/>
      <c r="V1668" s="132"/>
      <c r="W1668" s="133"/>
      <c r="X1668" s="134"/>
      <c r="Y1668" s="135"/>
      <c r="Z1668" s="137"/>
      <c r="AA1668" s="136"/>
      <c r="AB1668" s="566" t="str">
        <f t="shared" si="952"/>
        <v/>
      </c>
      <c r="AC1668" s="568" t="str">
        <f t="shared" si="953"/>
        <v/>
      </c>
      <c r="AD1668" s="137"/>
      <c r="AE1668" s="137"/>
      <c r="AF1668" s="138"/>
      <c r="AG1668" s="138"/>
      <c r="AH1668" s="592" t="str">
        <f t="shared" si="954"/>
        <v/>
      </c>
      <c r="AI1668" s="592" t="str">
        <f t="shared" si="955"/>
        <v/>
      </c>
      <c r="AJ1668" s="592" t="str">
        <f t="shared" si="956"/>
        <v/>
      </c>
      <c r="AK1668" s="460" t="str">
        <f>IF(AU1668="","",IF(OR(AZ1668=8,AZ1668=9),0,IF(OR(AW1668=3,AW1668=4,AW1668=5,AW1668=6),IF(LEFT(BF1668,1)="1",INDEX(係数_NOX・PM低減,MATCH(AY1668,【参考】排出係数!$AI$801:$AI$804,1),1),VLOOKUP(AU1668,INDEX((係数_バス貨物_ガソリン,係数_バス貨物_CNG,係数_バス貨物_軽油,係数_バス貨物_メタノール,係数_バス貨物_LPG),MATCH(AY1668,【参考】排出係数!$AI$4:$AI$671,1),1,BE1668):INDEX((係数_バス貨物_ガソリン,係数_バス貨物_CNG,係数_バス貨物_軽油,係数_バス貨物_メタノール,係数_バス貨物_LPG),MATCH(AY1668+1,【参考】排出係数!$AI$4:$AI$671,1)-1,5,BE1668),4,FALSE)),IF(AND(BE1668=3,LEFT(BF1668,1)="1"),0.48,VLOOKUP(AU1668,INDEX((係数_乗用_ガソリン,係数_乗用_CNG,係数_乗用_軽油,係数_乗用_メタノール,係数_乗用_LPG),1,1,BE1668):INDEX((係数_乗用_ガソリン,係数_乗用_CNG,係数_乗用_軽油,係数_乗用_メタノール,係数_乗用_LPG),125,5,BE1668),4,FALSE)))))</f>
        <v/>
      </c>
      <c r="AL1668" s="461" t="str">
        <f t="shared" si="957"/>
        <v/>
      </c>
      <c r="AM1668" s="460" t="str">
        <f>IF(AU1668="","",IF(OR(AZ1668=8,AZ1668=9),0,IF(OR(AW1668=3,AW1668=4,AW1668=5,AW1668=6),IF(LEFT(BH1668,1)="1",INDEX(係数_PM低減,MATCH(AY1668,【参考】排出係数!$AI$801:$AI$804,1),MATCH(BI1668,【参考】排出係数!$AL$798:$AO$798,1)),VLOOKUP(AU1668,INDEX((係数_バス貨物_ガソリン,係数_バス貨物_CNG,係数_バス貨物_軽油,係数_バス貨物_メタノール,係数_バス貨物_LPG),MATCH(AY1668,【参考】排出係数!$AI$4:$AI$671,1),1,BE1668):INDEX((係数_バス貨物_ガソリン,係数_バス貨物_CNG,係数_バス貨物_軽油,係数_バス貨物_メタノール,係数_バス貨物_LPG),MATCH(AY1668+1,【参考】排出係数!$AI$4:$AI$671,1)-1,5,BE1668),5,FALSE)),IF(AND(BE1668=3,LEFT(BF1668,1)="1"),0.055,VLOOKUP(AU1668,INDEX((係数_乗用_ガソリン,係数_乗用_CNG,係数_乗用_軽油,係数_乗用_メタノール,係数_乗用_LPG),1,1,BE1668):INDEX((係数_乗用_ガソリン,係数_乗用_CNG,係数_乗用_軽油,係数_乗用_メタノール,係数_乗用_LPG),125,5,BE1668),5,FALSE)))))</f>
        <v/>
      </c>
      <c r="AN1668" s="461" t="str">
        <f t="shared" si="958"/>
        <v/>
      </c>
      <c r="AO1668" s="462" t="str">
        <f t="shared" si="959"/>
        <v/>
      </c>
      <c r="AP1668" s="463" t="str">
        <f t="shared" si="960"/>
        <v/>
      </c>
      <c r="AQ1668" s="464"/>
      <c r="AR1668" s="619"/>
      <c r="AS1668" s="465" t="str">
        <f t="shared" si="968"/>
        <v/>
      </c>
      <c r="AT1668" s="465" t="str">
        <f t="shared" si="969"/>
        <v/>
      </c>
      <c r="AU1668" s="466" t="str">
        <f t="shared" si="970"/>
        <v/>
      </c>
      <c r="AV1668" s="467" t="str">
        <f t="shared" si="971"/>
        <v/>
      </c>
      <c r="AW1668" s="467" t="str">
        <f t="shared" si="972"/>
        <v/>
      </c>
      <c r="AX1668" s="467" t="str">
        <f t="shared" si="973"/>
        <v/>
      </c>
      <c r="AY1668" s="467" t="str">
        <f t="shared" si="974"/>
        <v/>
      </c>
      <c r="AZ1668" s="467" t="str">
        <f t="shared" si="975"/>
        <v/>
      </c>
      <c r="BA1668" s="468" t="str">
        <f>IF(AS1668="","",IF(OR(AU1668="",AU1668="-"),"－",IF(OR(AZ1668=8,AZ1668=9),"",IF(OR(AW1668=3,AW1668=4,AW1668=5,AW1668=6),VLOOKUP(AU1668,INDEX((係数_バス貨物_ガソリン,係数_バス貨物_CNG,係数_バス貨物_軽油,係数_バス貨物_メタノール,係数_バス貨物_LPG),MATCH(AY1668,【参考】排出係数!$AI$4:$AI$671,1),1,BE1668):INDEX((係数_バス貨物_ガソリン,係数_バス貨物_CNG,係数_バス貨物_軽油,係数_バス貨物_メタノール,係数_バス貨物_LPG),MATCH(AY1668+1,【参考】排出係数!$AI$4:$AI$671,1)-1,5,BE1668),2,FALSE),IF(OR(AW1668=1,AW1668=2),VLOOKUP(AU1668,INDEX((係数_乗用_ガソリン,係数_乗用_CNG,係数_乗用_軽油,係数_乗用_メタノール,係数_乗用_LPG),1,1,BE1668):INDEX((係数_乗用_ガソリン,係数_乗用_CNG,係数_乗用_軽油,係数_乗用_メタノール,係数_乗用_LPG),125,5,BE1668),2,FALSE))))))</f>
        <v/>
      </c>
      <c r="BB1668" s="468" t="str">
        <f>IF(T1668="","",IF(OR(AU1668="",AU1668="-"),"－",IF(OR(AZ1668=8,AZ1668=9),"",IF(OR(AW1668=3,AW1668=4,AW1668=5,AW1668=6),VLOOKUP(AU1668,INDEX((係数_バス貨物_ガソリン,係数_バス貨物_CNG,係数_バス貨物_軽油,係数_バス貨物_メタノール,係数_バス貨物_LPG),MATCH(AY1668,【参考】排出係数!$AI$4:$AI$671,1),1,BE1668):INDEX((係数_バス貨物_ガソリン,係数_バス貨物_CNG,係数_バス貨物_軽油,係数_バス貨物_メタノール,係数_バス貨物_LPG),MATCH(AY1668+1,【参考】排出係数!$AI$4:$AI$671,1)-1,5,BE1668),3,FALSE),IF(OR(AW1668=1,AW1668=2),VLOOKUP(AU1668,INDEX((係数_乗用_ガソリン,係数_乗用_CNG,係数_乗用_軽油,係数_乗用_メタノール,係数_乗用_LPG),1,1,BE1668):INDEX((係数_乗用_ガソリン,係数_乗用_CNG,係数_乗用_軽油,係数_乗用_メタノール,係数_乗用_LPG),125,5,BE1668),3,FALSE))))))</f>
        <v/>
      </c>
      <c r="BC1668" s="467" t="str">
        <f t="shared" si="976"/>
        <v/>
      </c>
      <c r="BD1668" s="567" t="str">
        <f t="shared" si="977"/>
        <v/>
      </c>
      <c r="BE1668" s="467" t="str">
        <f t="shared" si="978"/>
        <v/>
      </c>
      <c r="BF1668" s="469" t="str">
        <f t="shared" ca="1" si="979"/>
        <v/>
      </c>
      <c r="BG1668" s="469" t="str">
        <f t="shared" ca="1" si="980"/>
        <v/>
      </c>
      <c r="BH1668" s="467" t="str">
        <f t="shared" si="981"/>
        <v/>
      </c>
      <c r="BI1668" s="467" t="str">
        <f t="shared" ca="1" si="982"/>
        <v/>
      </c>
      <c r="BJ1668" s="469" t="str">
        <f t="shared" si="983"/>
        <v/>
      </c>
      <c r="BK1668" s="470" t="str">
        <f t="shared" si="967"/>
        <v/>
      </c>
      <c r="BL1668" s="775" t="str">
        <f t="shared" si="984"/>
        <v/>
      </c>
      <c r="BM1668" s="775" t="str">
        <f t="shared" si="985"/>
        <v/>
      </c>
    </row>
    <row r="1669" spans="1:65">
      <c r="A1669" s="473">
        <v>1613</v>
      </c>
      <c r="B1669" s="132"/>
      <c r="C1669" s="332"/>
      <c r="D1669" s="333"/>
      <c r="E1669" s="333"/>
      <c r="F1669" s="334"/>
      <c r="G1669" s="337"/>
      <c r="H1669" s="131"/>
      <c r="I1669" s="337"/>
      <c r="J1669" s="131"/>
      <c r="K1669" s="458" t="str">
        <f t="shared" si="948"/>
        <v/>
      </c>
      <c r="L1669" s="458">
        <f t="shared" si="949"/>
        <v>0</v>
      </c>
      <c r="M1669" s="458">
        <f t="shared" si="950"/>
        <v>0</v>
      </c>
      <c r="N1669" s="459" t="str">
        <f t="shared" si="961"/>
        <v/>
      </c>
      <c r="O1669" s="459" t="str">
        <f t="shared" si="962"/>
        <v/>
      </c>
      <c r="P1669" s="459" t="str">
        <f t="shared" si="963"/>
        <v/>
      </c>
      <c r="Q1669" s="459" t="str">
        <f t="shared" si="964"/>
        <v/>
      </c>
      <c r="R1669" s="459" t="str">
        <f t="shared" si="965"/>
        <v/>
      </c>
      <c r="S1669" s="459" t="str">
        <f t="shared" si="966"/>
        <v/>
      </c>
      <c r="T1669" s="566" t="str">
        <f t="shared" si="951"/>
        <v/>
      </c>
      <c r="U1669" s="702"/>
      <c r="V1669" s="132"/>
      <c r="W1669" s="133"/>
      <c r="X1669" s="134"/>
      <c r="Y1669" s="135"/>
      <c r="Z1669" s="137"/>
      <c r="AA1669" s="136"/>
      <c r="AB1669" s="566" t="str">
        <f t="shared" si="952"/>
        <v/>
      </c>
      <c r="AC1669" s="568" t="str">
        <f t="shared" si="953"/>
        <v/>
      </c>
      <c r="AD1669" s="137"/>
      <c r="AE1669" s="137"/>
      <c r="AF1669" s="138"/>
      <c r="AG1669" s="138"/>
      <c r="AH1669" s="592" t="str">
        <f t="shared" si="954"/>
        <v/>
      </c>
      <c r="AI1669" s="592" t="str">
        <f t="shared" si="955"/>
        <v/>
      </c>
      <c r="AJ1669" s="592" t="str">
        <f t="shared" si="956"/>
        <v/>
      </c>
      <c r="AK1669" s="460" t="str">
        <f>IF(AU1669="","",IF(OR(AZ1669=8,AZ1669=9),0,IF(OR(AW1669=3,AW1669=4,AW1669=5,AW1669=6),IF(LEFT(BF1669,1)="1",INDEX(係数_NOX・PM低減,MATCH(AY1669,【参考】排出係数!$AI$801:$AI$804,1),1),VLOOKUP(AU1669,INDEX((係数_バス貨物_ガソリン,係数_バス貨物_CNG,係数_バス貨物_軽油,係数_バス貨物_メタノール,係数_バス貨物_LPG),MATCH(AY1669,【参考】排出係数!$AI$4:$AI$671,1),1,BE1669):INDEX((係数_バス貨物_ガソリン,係数_バス貨物_CNG,係数_バス貨物_軽油,係数_バス貨物_メタノール,係数_バス貨物_LPG),MATCH(AY1669+1,【参考】排出係数!$AI$4:$AI$671,1)-1,5,BE1669),4,FALSE)),IF(AND(BE1669=3,LEFT(BF1669,1)="1"),0.48,VLOOKUP(AU1669,INDEX((係数_乗用_ガソリン,係数_乗用_CNG,係数_乗用_軽油,係数_乗用_メタノール,係数_乗用_LPG),1,1,BE1669):INDEX((係数_乗用_ガソリン,係数_乗用_CNG,係数_乗用_軽油,係数_乗用_メタノール,係数_乗用_LPG),125,5,BE1669),4,FALSE)))))</f>
        <v/>
      </c>
      <c r="AL1669" s="461" t="str">
        <f t="shared" si="957"/>
        <v/>
      </c>
      <c r="AM1669" s="460" t="str">
        <f>IF(AU1669="","",IF(OR(AZ1669=8,AZ1669=9),0,IF(OR(AW1669=3,AW1669=4,AW1669=5,AW1669=6),IF(LEFT(BH1669,1)="1",INDEX(係数_PM低減,MATCH(AY1669,【参考】排出係数!$AI$801:$AI$804,1),MATCH(BI1669,【参考】排出係数!$AL$798:$AO$798,1)),VLOOKUP(AU1669,INDEX((係数_バス貨物_ガソリン,係数_バス貨物_CNG,係数_バス貨物_軽油,係数_バス貨物_メタノール,係数_バス貨物_LPG),MATCH(AY1669,【参考】排出係数!$AI$4:$AI$671,1),1,BE1669):INDEX((係数_バス貨物_ガソリン,係数_バス貨物_CNG,係数_バス貨物_軽油,係数_バス貨物_メタノール,係数_バス貨物_LPG),MATCH(AY1669+1,【参考】排出係数!$AI$4:$AI$671,1)-1,5,BE1669),5,FALSE)),IF(AND(BE1669=3,LEFT(BF1669,1)="1"),0.055,VLOOKUP(AU1669,INDEX((係数_乗用_ガソリン,係数_乗用_CNG,係数_乗用_軽油,係数_乗用_メタノール,係数_乗用_LPG),1,1,BE1669):INDEX((係数_乗用_ガソリン,係数_乗用_CNG,係数_乗用_軽油,係数_乗用_メタノール,係数_乗用_LPG),125,5,BE1669),5,FALSE)))))</f>
        <v/>
      </c>
      <c r="AN1669" s="461" t="str">
        <f t="shared" si="958"/>
        <v/>
      </c>
      <c r="AO1669" s="462" t="str">
        <f t="shared" si="959"/>
        <v/>
      </c>
      <c r="AP1669" s="463" t="str">
        <f t="shared" si="960"/>
        <v/>
      </c>
      <c r="AQ1669" s="464"/>
      <c r="AR1669" s="619"/>
      <c r="AS1669" s="465" t="str">
        <f t="shared" si="968"/>
        <v/>
      </c>
      <c r="AT1669" s="465" t="str">
        <f t="shared" si="969"/>
        <v/>
      </c>
      <c r="AU1669" s="466" t="str">
        <f t="shared" si="970"/>
        <v/>
      </c>
      <c r="AV1669" s="467" t="str">
        <f t="shared" si="971"/>
        <v/>
      </c>
      <c r="AW1669" s="467" t="str">
        <f t="shared" si="972"/>
        <v/>
      </c>
      <c r="AX1669" s="467" t="str">
        <f t="shared" si="973"/>
        <v/>
      </c>
      <c r="AY1669" s="467" t="str">
        <f t="shared" si="974"/>
        <v/>
      </c>
      <c r="AZ1669" s="467" t="str">
        <f t="shared" si="975"/>
        <v/>
      </c>
      <c r="BA1669" s="468" t="str">
        <f>IF(AS1669="","",IF(OR(AU1669="",AU1669="-"),"－",IF(OR(AZ1669=8,AZ1669=9),"",IF(OR(AW1669=3,AW1669=4,AW1669=5,AW1669=6),VLOOKUP(AU1669,INDEX((係数_バス貨物_ガソリン,係数_バス貨物_CNG,係数_バス貨物_軽油,係数_バス貨物_メタノール,係数_バス貨物_LPG),MATCH(AY1669,【参考】排出係数!$AI$4:$AI$671,1),1,BE1669):INDEX((係数_バス貨物_ガソリン,係数_バス貨物_CNG,係数_バス貨物_軽油,係数_バス貨物_メタノール,係数_バス貨物_LPG),MATCH(AY1669+1,【参考】排出係数!$AI$4:$AI$671,1)-1,5,BE1669),2,FALSE),IF(OR(AW1669=1,AW1669=2),VLOOKUP(AU1669,INDEX((係数_乗用_ガソリン,係数_乗用_CNG,係数_乗用_軽油,係数_乗用_メタノール,係数_乗用_LPG),1,1,BE1669):INDEX((係数_乗用_ガソリン,係数_乗用_CNG,係数_乗用_軽油,係数_乗用_メタノール,係数_乗用_LPG),125,5,BE1669),2,FALSE))))))</f>
        <v/>
      </c>
      <c r="BB1669" s="468" t="str">
        <f>IF(T1669="","",IF(OR(AU1669="",AU1669="-"),"－",IF(OR(AZ1669=8,AZ1669=9),"",IF(OR(AW1669=3,AW1669=4,AW1669=5,AW1669=6),VLOOKUP(AU1669,INDEX((係数_バス貨物_ガソリン,係数_バス貨物_CNG,係数_バス貨物_軽油,係数_バス貨物_メタノール,係数_バス貨物_LPG),MATCH(AY1669,【参考】排出係数!$AI$4:$AI$671,1),1,BE1669):INDEX((係数_バス貨物_ガソリン,係数_バス貨物_CNG,係数_バス貨物_軽油,係数_バス貨物_メタノール,係数_バス貨物_LPG),MATCH(AY1669+1,【参考】排出係数!$AI$4:$AI$671,1)-1,5,BE1669),3,FALSE),IF(OR(AW1669=1,AW1669=2),VLOOKUP(AU1669,INDEX((係数_乗用_ガソリン,係数_乗用_CNG,係数_乗用_軽油,係数_乗用_メタノール,係数_乗用_LPG),1,1,BE1669):INDEX((係数_乗用_ガソリン,係数_乗用_CNG,係数_乗用_軽油,係数_乗用_メタノール,係数_乗用_LPG),125,5,BE1669),3,FALSE))))))</f>
        <v/>
      </c>
      <c r="BC1669" s="467" t="str">
        <f t="shared" si="976"/>
        <v/>
      </c>
      <c r="BD1669" s="567" t="str">
        <f t="shared" si="977"/>
        <v/>
      </c>
      <c r="BE1669" s="467" t="str">
        <f t="shared" si="978"/>
        <v/>
      </c>
      <c r="BF1669" s="469" t="str">
        <f t="shared" ca="1" si="979"/>
        <v/>
      </c>
      <c r="BG1669" s="469" t="str">
        <f t="shared" ca="1" si="980"/>
        <v/>
      </c>
      <c r="BH1669" s="467" t="str">
        <f t="shared" si="981"/>
        <v/>
      </c>
      <c r="BI1669" s="467" t="str">
        <f t="shared" ca="1" si="982"/>
        <v/>
      </c>
      <c r="BJ1669" s="469" t="str">
        <f t="shared" si="983"/>
        <v/>
      </c>
      <c r="BK1669" s="470" t="str">
        <f t="shared" si="967"/>
        <v/>
      </c>
      <c r="BL1669" s="775" t="str">
        <f t="shared" si="984"/>
        <v/>
      </c>
      <c r="BM1669" s="775" t="str">
        <f t="shared" si="985"/>
        <v/>
      </c>
    </row>
    <row r="1670" spans="1:65">
      <c r="A1670" s="473">
        <v>1614</v>
      </c>
      <c r="B1670" s="132"/>
      <c r="C1670" s="332"/>
      <c r="D1670" s="333"/>
      <c r="E1670" s="333"/>
      <c r="F1670" s="334"/>
      <c r="G1670" s="337"/>
      <c r="H1670" s="131"/>
      <c r="I1670" s="337"/>
      <c r="J1670" s="131"/>
      <c r="K1670" s="458" t="str">
        <f t="shared" si="948"/>
        <v/>
      </c>
      <c r="L1670" s="458">
        <f t="shared" si="949"/>
        <v>0</v>
      </c>
      <c r="M1670" s="458">
        <f t="shared" si="950"/>
        <v>0</v>
      </c>
      <c r="N1670" s="459" t="str">
        <f t="shared" si="961"/>
        <v/>
      </c>
      <c r="O1670" s="459" t="str">
        <f t="shared" si="962"/>
        <v/>
      </c>
      <c r="P1670" s="459" t="str">
        <f t="shared" si="963"/>
        <v/>
      </c>
      <c r="Q1670" s="459" t="str">
        <f t="shared" si="964"/>
        <v/>
      </c>
      <c r="R1670" s="459" t="str">
        <f t="shared" si="965"/>
        <v/>
      </c>
      <c r="S1670" s="459" t="str">
        <f t="shared" si="966"/>
        <v/>
      </c>
      <c r="T1670" s="566" t="str">
        <f t="shared" si="951"/>
        <v/>
      </c>
      <c r="U1670" s="702"/>
      <c r="V1670" s="132"/>
      <c r="W1670" s="133"/>
      <c r="X1670" s="134"/>
      <c r="Y1670" s="135"/>
      <c r="Z1670" s="137"/>
      <c r="AA1670" s="136"/>
      <c r="AB1670" s="566" t="str">
        <f t="shared" si="952"/>
        <v/>
      </c>
      <c r="AC1670" s="568" t="str">
        <f t="shared" si="953"/>
        <v/>
      </c>
      <c r="AD1670" s="137"/>
      <c r="AE1670" s="137"/>
      <c r="AF1670" s="138"/>
      <c r="AG1670" s="138"/>
      <c r="AH1670" s="592" t="str">
        <f t="shared" si="954"/>
        <v/>
      </c>
      <c r="AI1670" s="592" t="str">
        <f t="shared" si="955"/>
        <v/>
      </c>
      <c r="AJ1670" s="592" t="str">
        <f t="shared" si="956"/>
        <v/>
      </c>
      <c r="AK1670" s="460" t="str">
        <f>IF(AU1670="","",IF(OR(AZ1670=8,AZ1670=9),0,IF(OR(AW1670=3,AW1670=4,AW1670=5,AW1670=6),IF(LEFT(BF1670,1)="1",INDEX(係数_NOX・PM低減,MATCH(AY1670,【参考】排出係数!$AI$801:$AI$804,1),1),VLOOKUP(AU1670,INDEX((係数_バス貨物_ガソリン,係数_バス貨物_CNG,係数_バス貨物_軽油,係数_バス貨物_メタノール,係数_バス貨物_LPG),MATCH(AY1670,【参考】排出係数!$AI$4:$AI$671,1),1,BE1670):INDEX((係数_バス貨物_ガソリン,係数_バス貨物_CNG,係数_バス貨物_軽油,係数_バス貨物_メタノール,係数_バス貨物_LPG),MATCH(AY1670+1,【参考】排出係数!$AI$4:$AI$671,1)-1,5,BE1670),4,FALSE)),IF(AND(BE1670=3,LEFT(BF1670,1)="1"),0.48,VLOOKUP(AU1670,INDEX((係数_乗用_ガソリン,係数_乗用_CNG,係数_乗用_軽油,係数_乗用_メタノール,係数_乗用_LPG),1,1,BE1670):INDEX((係数_乗用_ガソリン,係数_乗用_CNG,係数_乗用_軽油,係数_乗用_メタノール,係数_乗用_LPG),125,5,BE1670),4,FALSE)))))</f>
        <v/>
      </c>
      <c r="AL1670" s="461" t="str">
        <f t="shared" si="957"/>
        <v/>
      </c>
      <c r="AM1670" s="460" t="str">
        <f>IF(AU1670="","",IF(OR(AZ1670=8,AZ1670=9),0,IF(OR(AW1670=3,AW1670=4,AW1670=5,AW1670=6),IF(LEFT(BH1670,1)="1",INDEX(係数_PM低減,MATCH(AY1670,【参考】排出係数!$AI$801:$AI$804,1),MATCH(BI1670,【参考】排出係数!$AL$798:$AO$798,1)),VLOOKUP(AU1670,INDEX((係数_バス貨物_ガソリン,係数_バス貨物_CNG,係数_バス貨物_軽油,係数_バス貨物_メタノール,係数_バス貨物_LPG),MATCH(AY1670,【参考】排出係数!$AI$4:$AI$671,1),1,BE1670):INDEX((係数_バス貨物_ガソリン,係数_バス貨物_CNG,係数_バス貨物_軽油,係数_バス貨物_メタノール,係数_バス貨物_LPG),MATCH(AY1670+1,【参考】排出係数!$AI$4:$AI$671,1)-1,5,BE1670),5,FALSE)),IF(AND(BE1670=3,LEFT(BF1670,1)="1"),0.055,VLOOKUP(AU1670,INDEX((係数_乗用_ガソリン,係数_乗用_CNG,係数_乗用_軽油,係数_乗用_メタノール,係数_乗用_LPG),1,1,BE1670):INDEX((係数_乗用_ガソリン,係数_乗用_CNG,係数_乗用_軽油,係数_乗用_メタノール,係数_乗用_LPG),125,5,BE1670),5,FALSE)))))</f>
        <v/>
      </c>
      <c r="AN1670" s="461" t="str">
        <f t="shared" si="958"/>
        <v/>
      </c>
      <c r="AO1670" s="462" t="str">
        <f t="shared" si="959"/>
        <v/>
      </c>
      <c r="AP1670" s="463" t="str">
        <f t="shared" si="960"/>
        <v/>
      </c>
      <c r="AQ1670" s="464"/>
      <c r="AR1670" s="619"/>
      <c r="AS1670" s="465" t="str">
        <f t="shared" si="968"/>
        <v/>
      </c>
      <c r="AT1670" s="465" t="str">
        <f t="shared" si="969"/>
        <v/>
      </c>
      <c r="AU1670" s="466" t="str">
        <f t="shared" si="970"/>
        <v/>
      </c>
      <c r="AV1670" s="467" t="str">
        <f t="shared" si="971"/>
        <v/>
      </c>
      <c r="AW1670" s="467" t="str">
        <f t="shared" si="972"/>
        <v/>
      </c>
      <c r="AX1670" s="467" t="str">
        <f t="shared" si="973"/>
        <v/>
      </c>
      <c r="AY1670" s="467" t="str">
        <f t="shared" si="974"/>
        <v/>
      </c>
      <c r="AZ1670" s="467" t="str">
        <f t="shared" si="975"/>
        <v/>
      </c>
      <c r="BA1670" s="468" t="str">
        <f>IF(AS1670="","",IF(OR(AU1670="",AU1670="-"),"－",IF(OR(AZ1670=8,AZ1670=9),"",IF(OR(AW1670=3,AW1670=4,AW1670=5,AW1670=6),VLOOKUP(AU1670,INDEX((係数_バス貨物_ガソリン,係数_バス貨物_CNG,係数_バス貨物_軽油,係数_バス貨物_メタノール,係数_バス貨物_LPG),MATCH(AY1670,【参考】排出係数!$AI$4:$AI$671,1),1,BE1670):INDEX((係数_バス貨物_ガソリン,係数_バス貨物_CNG,係数_バス貨物_軽油,係数_バス貨物_メタノール,係数_バス貨物_LPG),MATCH(AY1670+1,【参考】排出係数!$AI$4:$AI$671,1)-1,5,BE1670),2,FALSE),IF(OR(AW1670=1,AW1670=2),VLOOKUP(AU1670,INDEX((係数_乗用_ガソリン,係数_乗用_CNG,係数_乗用_軽油,係数_乗用_メタノール,係数_乗用_LPG),1,1,BE1670):INDEX((係数_乗用_ガソリン,係数_乗用_CNG,係数_乗用_軽油,係数_乗用_メタノール,係数_乗用_LPG),125,5,BE1670),2,FALSE))))))</f>
        <v/>
      </c>
      <c r="BB1670" s="468" t="str">
        <f>IF(T1670="","",IF(OR(AU1670="",AU1670="-"),"－",IF(OR(AZ1670=8,AZ1670=9),"",IF(OR(AW1670=3,AW1670=4,AW1670=5,AW1670=6),VLOOKUP(AU1670,INDEX((係数_バス貨物_ガソリン,係数_バス貨物_CNG,係数_バス貨物_軽油,係数_バス貨物_メタノール,係数_バス貨物_LPG),MATCH(AY1670,【参考】排出係数!$AI$4:$AI$671,1),1,BE1670):INDEX((係数_バス貨物_ガソリン,係数_バス貨物_CNG,係数_バス貨物_軽油,係数_バス貨物_メタノール,係数_バス貨物_LPG),MATCH(AY1670+1,【参考】排出係数!$AI$4:$AI$671,1)-1,5,BE1670),3,FALSE),IF(OR(AW1670=1,AW1670=2),VLOOKUP(AU1670,INDEX((係数_乗用_ガソリン,係数_乗用_CNG,係数_乗用_軽油,係数_乗用_メタノール,係数_乗用_LPG),1,1,BE1670):INDEX((係数_乗用_ガソリン,係数_乗用_CNG,係数_乗用_軽油,係数_乗用_メタノール,係数_乗用_LPG),125,5,BE1670),3,FALSE))))))</f>
        <v/>
      </c>
      <c r="BC1670" s="467" t="str">
        <f t="shared" si="976"/>
        <v/>
      </c>
      <c r="BD1670" s="567" t="str">
        <f t="shared" si="977"/>
        <v/>
      </c>
      <c r="BE1670" s="467" t="str">
        <f t="shared" si="978"/>
        <v/>
      </c>
      <c r="BF1670" s="469" t="str">
        <f t="shared" ca="1" si="979"/>
        <v/>
      </c>
      <c r="BG1670" s="469" t="str">
        <f t="shared" ca="1" si="980"/>
        <v/>
      </c>
      <c r="BH1670" s="467" t="str">
        <f t="shared" si="981"/>
        <v/>
      </c>
      <c r="BI1670" s="467" t="str">
        <f t="shared" ca="1" si="982"/>
        <v/>
      </c>
      <c r="BJ1670" s="469" t="str">
        <f t="shared" si="983"/>
        <v/>
      </c>
      <c r="BK1670" s="470" t="str">
        <f t="shared" si="967"/>
        <v/>
      </c>
      <c r="BL1670" s="775" t="str">
        <f t="shared" si="984"/>
        <v/>
      </c>
      <c r="BM1670" s="775" t="str">
        <f t="shared" si="985"/>
        <v/>
      </c>
    </row>
    <row r="1671" spans="1:65">
      <c r="A1671" s="473">
        <v>1615</v>
      </c>
      <c r="B1671" s="132"/>
      <c r="C1671" s="332"/>
      <c r="D1671" s="333"/>
      <c r="E1671" s="333"/>
      <c r="F1671" s="334"/>
      <c r="G1671" s="337"/>
      <c r="H1671" s="131"/>
      <c r="I1671" s="337"/>
      <c r="J1671" s="131"/>
      <c r="K1671" s="458" t="str">
        <f t="shared" si="948"/>
        <v/>
      </c>
      <c r="L1671" s="458">
        <f t="shared" si="949"/>
        <v>0</v>
      </c>
      <c r="M1671" s="458">
        <f t="shared" si="950"/>
        <v>0</v>
      </c>
      <c r="N1671" s="459" t="str">
        <f t="shared" si="961"/>
        <v/>
      </c>
      <c r="O1671" s="459" t="str">
        <f t="shared" si="962"/>
        <v/>
      </c>
      <c r="P1671" s="459" t="str">
        <f t="shared" si="963"/>
        <v/>
      </c>
      <c r="Q1671" s="459" t="str">
        <f t="shared" si="964"/>
        <v/>
      </c>
      <c r="R1671" s="459" t="str">
        <f t="shared" si="965"/>
        <v/>
      </c>
      <c r="S1671" s="459" t="str">
        <f t="shared" si="966"/>
        <v/>
      </c>
      <c r="T1671" s="566" t="str">
        <f t="shared" si="951"/>
        <v/>
      </c>
      <c r="U1671" s="702"/>
      <c r="V1671" s="132"/>
      <c r="W1671" s="133"/>
      <c r="X1671" s="134"/>
      <c r="Y1671" s="135"/>
      <c r="Z1671" s="137"/>
      <c r="AA1671" s="136"/>
      <c r="AB1671" s="566" t="str">
        <f t="shared" si="952"/>
        <v/>
      </c>
      <c r="AC1671" s="568" t="str">
        <f t="shared" si="953"/>
        <v/>
      </c>
      <c r="AD1671" s="137"/>
      <c r="AE1671" s="137"/>
      <c r="AF1671" s="138"/>
      <c r="AG1671" s="138"/>
      <c r="AH1671" s="592" t="str">
        <f t="shared" si="954"/>
        <v/>
      </c>
      <c r="AI1671" s="592" t="str">
        <f t="shared" si="955"/>
        <v/>
      </c>
      <c r="AJ1671" s="592" t="str">
        <f t="shared" si="956"/>
        <v/>
      </c>
      <c r="AK1671" s="460" t="str">
        <f>IF(AU1671="","",IF(OR(AZ1671=8,AZ1671=9),0,IF(OR(AW1671=3,AW1671=4,AW1671=5,AW1671=6),IF(LEFT(BF1671,1)="1",INDEX(係数_NOX・PM低減,MATCH(AY1671,【参考】排出係数!$AI$801:$AI$804,1),1),VLOOKUP(AU1671,INDEX((係数_バス貨物_ガソリン,係数_バス貨物_CNG,係数_バス貨物_軽油,係数_バス貨物_メタノール,係数_バス貨物_LPG),MATCH(AY1671,【参考】排出係数!$AI$4:$AI$671,1),1,BE1671):INDEX((係数_バス貨物_ガソリン,係数_バス貨物_CNG,係数_バス貨物_軽油,係数_バス貨物_メタノール,係数_バス貨物_LPG),MATCH(AY1671+1,【参考】排出係数!$AI$4:$AI$671,1)-1,5,BE1671),4,FALSE)),IF(AND(BE1671=3,LEFT(BF1671,1)="1"),0.48,VLOOKUP(AU1671,INDEX((係数_乗用_ガソリン,係数_乗用_CNG,係数_乗用_軽油,係数_乗用_メタノール,係数_乗用_LPG),1,1,BE1671):INDEX((係数_乗用_ガソリン,係数_乗用_CNG,係数_乗用_軽油,係数_乗用_メタノール,係数_乗用_LPG),125,5,BE1671),4,FALSE)))))</f>
        <v/>
      </c>
      <c r="AL1671" s="461" t="str">
        <f t="shared" si="957"/>
        <v/>
      </c>
      <c r="AM1671" s="460" t="str">
        <f>IF(AU1671="","",IF(OR(AZ1671=8,AZ1671=9),0,IF(OR(AW1671=3,AW1671=4,AW1671=5,AW1671=6),IF(LEFT(BH1671,1)="1",INDEX(係数_PM低減,MATCH(AY1671,【参考】排出係数!$AI$801:$AI$804,1),MATCH(BI1671,【参考】排出係数!$AL$798:$AO$798,1)),VLOOKUP(AU1671,INDEX((係数_バス貨物_ガソリン,係数_バス貨物_CNG,係数_バス貨物_軽油,係数_バス貨物_メタノール,係数_バス貨物_LPG),MATCH(AY1671,【参考】排出係数!$AI$4:$AI$671,1),1,BE1671):INDEX((係数_バス貨物_ガソリン,係数_バス貨物_CNG,係数_バス貨物_軽油,係数_バス貨物_メタノール,係数_バス貨物_LPG),MATCH(AY1671+1,【参考】排出係数!$AI$4:$AI$671,1)-1,5,BE1671),5,FALSE)),IF(AND(BE1671=3,LEFT(BF1671,1)="1"),0.055,VLOOKUP(AU1671,INDEX((係数_乗用_ガソリン,係数_乗用_CNG,係数_乗用_軽油,係数_乗用_メタノール,係数_乗用_LPG),1,1,BE1671):INDEX((係数_乗用_ガソリン,係数_乗用_CNG,係数_乗用_軽油,係数_乗用_メタノール,係数_乗用_LPG),125,5,BE1671),5,FALSE)))))</f>
        <v/>
      </c>
      <c r="AN1671" s="461" t="str">
        <f t="shared" si="958"/>
        <v/>
      </c>
      <c r="AO1671" s="462" t="str">
        <f t="shared" si="959"/>
        <v/>
      </c>
      <c r="AP1671" s="463" t="str">
        <f t="shared" si="960"/>
        <v/>
      </c>
      <c r="AQ1671" s="464"/>
      <c r="AR1671" s="619"/>
      <c r="AS1671" s="465" t="str">
        <f t="shared" si="968"/>
        <v/>
      </c>
      <c r="AT1671" s="465" t="str">
        <f t="shared" si="969"/>
        <v/>
      </c>
      <c r="AU1671" s="466" t="str">
        <f t="shared" si="970"/>
        <v/>
      </c>
      <c r="AV1671" s="467" t="str">
        <f t="shared" si="971"/>
        <v/>
      </c>
      <c r="AW1671" s="467" t="str">
        <f t="shared" si="972"/>
        <v/>
      </c>
      <c r="AX1671" s="467" t="str">
        <f t="shared" si="973"/>
        <v/>
      </c>
      <c r="AY1671" s="467" t="str">
        <f t="shared" si="974"/>
        <v/>
      </c>
      <c r="AZ1671" s="467" t="str">
        <f t="shared" si="975"/>
        <v/>
      </c>
      <c r="BA1671" s="468" t="str">
        <f>IF(AS1671="","",IF(OR(AU1671="",AU1671="-"),"－",IF(OR(AZ1671=8,AZ1671=9),"",IF(OR(AW1671=3,AW1671=4,AW1671=5,AW1671=6),VLOOKUP(AU1671,INDEX((係数_バス貨物_ガソリン,係数_バス貨物_CNG,係数_バス貨物_軽油,係数_バス貨物_メタノール,係数_バス貨物_LPG),MATCH(AY1671,【参考】排出係数!$AI$4:$AI$671,1),1,BE1671):INDEX((係数_バス貨物_ガソリン,係数_バス貨物_CNG,係数_バス貨物_軽油,係数_バス貨物_メタノール,係数_バス貨物_LPG),MATCH(AY1671+1,【参考】排出係数!$AI$4:$AI$671,1)-1,5,BE1671),2,FALSE),IF(OR(AW1671=1,AW1671=2),VLOOKUP(AU1671,INDEX((係数_乗用_ガソリン,係数_乗用_CNG,係数_乗用_軽油,係数_乗用_メタノール,係数_乗用_LPG),1,1,BE1671):INDEX((係数_乗用_ガソリン,係数_乗用_CNG,係数_乗用_軽油,係数_乗用_メタノール,係数_乗用_LPG),125,5,BE1671),2,FALSE))))))</f>
        <v/>
      </c>
      <c r="BB1671" s="468" t="str">
        <f>IF(T1671="","",IF(OR(AU1671="",AU1671="-"),"－",IF(OR(AZ1671=8,AZ1671=9),"",IF(OR(AW1671=3,AW1671=4,AW1671=5,AW1671=6),VLOOKUP(AU1671,INDEX((係数_バス貨物_ガソリン,係数_バス貨物_CNG,係数_バス貨物_軽油,係数_バス貨物_メタノール,係数_バス貨物_LPG),MATCH(AY1671,【参考】排出係数!$AI$4:$AI$671,1),1,BE1671):INDEX((係数_バス貨物_ガソリン,係数_バス貨物_CNG,係数_バス貨物_軽油,係数_バス貨物_メタノール,係数_バス貨物_LPG),MATCH(AY1671+1,【参考】排出係数!$AI$4:$AI$671,1)-1,5,BE1671),3,FALSE),IF(OR(AW1671=1,AW1671=2),VLOOKUP(AU1671,INDEX((係数_乗用_ガソリン,係数_乗用_CNG,係数_乗用_軽油,係数_乗用_メタノール,係数_乗用_LPG),1,1,BE1671):INDEX((係数_乗用_ガソリン,係数_乗用_CNG,係数_乗用_軽油,係数_乗用_メタノール,係数_乗用_LPG),125,5,BE1671),3,FALSE))))))</f>
        <v/>
      </c>
      <c r="BC1671" s="467" t="str">
        <f t="shared" si="976"/>
        <v/>
      </c>
      <c r="BD1671" s="567" t="str">
        <f t="shared" si="977"/>
        <v/>
      </c>
      <c r="BE1671" s="467" t="str">
        <f t="shared" si="978"/>
        <v/>
      </c>
      <c r="BF1671" s="469" t="str">
        <f t="shared" ca="1" si="979"/>
        <v/>
      </c>
      <c r="BG1671" s="469" t="str">
        <f t="shared" ca="1" si="980"/>
        <v/>
      </c>
      <c r="BH1671" s="467" t="str">
        <f t="shared" si="981"/>
        <v/>
      </c>
      <c r="BI1671" s="467" t="str">
        <f t="shared" ca="1" si="982"/>
        <v/>
      </c>
      <c r="BJ1671" s="469" t="str">
        <f t="shared" si="983"/>
        <v/>
      </c>
      <c r="BK1671" s="470" t="str">
        <f t="shared" si="967"/>
        <v/>
      </c>
      <c r="BL1671" s="775" t="str">
        <f t="shared" si="984"/>
        <v/>
      </c>
      <c r="BM1671" s="775" t="str">
        <f t="shared" si="985"/>
        <v/>
      </c>
    </row>
    <row r="1672" spans="1:65">
      <c r="A1672" s="473">
        <v>1616</v>
      </c>
      <c r="B1672" s="132"/>
      <c r="C1672" s="332"/>
      <c r="D1672" s="333"/>
      <c r="E1672" s="333"/>
      <c r="F1672" s="334"/>
      <c r="G1672" s="337"/>
      <c r="H1672" s="131"/>
      <c r="I1672" s="337"/>
      <c r="J1672" s="131"/>
      <c r="K1672" s="458" t="str">
        <f t="shared" si="948"/>
        <v/>
      </c>
      <c r="L1672" s="458">
        <f t="shared" si="949"/>
        <v>0</v>
      </c>
      <c r="M1672" s="458">
        <f t="shared" si="950"/>
        <v>0</v>
      </c>
      <c r="N1672" s="459" t="str">
        <f t="shared" si="961"/>
        <v/>
      </c>
      <c r="O1672" s="459" t="str">
        <f t="shared" si="962"/>
        <v/>
      </c>
      <c r="P1672" s="459" t="str">
        <f t="shared" si="963"/>
        <v/>
      </c>
      <c r="Q1672" s="459" t="str">
        <f t="shared" si="964"/>
        <v/>
      </c>
      <c r="R1672" s="459" t="str">
        <f t="shared" si="965"/>
        <v/>
      </c>
      <c r="S1672" s="459" t="str">
        <f t="shared" si="966"/>
        <v/>
      </c>
      <c r="T1672" s="566" t="str">
        <f t="shared" si="951"/>
        <v/>
      </c>
      <c r="U1672" s="702"/>
      <c r="V1672" s="132"/>
      <c r="W1672" s="133"/>
      <c r="X1672" s="134"/>
      <c r="Y1672" s="135"/>
      <c r="Z1672" s="137"/>
      <c r="AA1672" s="136"/>
      <c r="AB1672" s="566" t="str">
        <f t="shared" si="952"/>
        <v/>
      </c>
      <c r="AC1672" s="568" t="str">
        <f t="shared" si="953"/>
        <v/>
      </c>
      <c r="AD1672" s="137"/>
      <c r="AE1672" s="137"/>
      <c r="AF1672" s="138"/>
      <c r="AG1672" s="138"/>
      <c r="AH1672" s="592" t="str">
        <f t="shared" si="954"/>
        <v/>
      </c>
      <c r="AI1672" s="592" t="str">
        <f t="shared" si="955"/>
        <v/>
      </c>
      <c r="AJ1672" s="592" t="str">
        <f t="shared" si="956"/>
        <v/>
      </c>
      <c r="AK1672" s="460" t="str">
        <f>IF(AU1672="","",IF(OR(AZ1672=8,AZ1672=9),0,IF(OR(AW1672=3,AW1672=4,AW1672=5,AW1672=6),IF(LEFT(BF1672,1)="1",INDEX(係数_NOX・PM低減,MATCH(AY1672,【参考】排出係数!$AI$801:$AI$804,1),1),VLOOKUP(AU1672,INDEX((係数_バス貨物_ガソリン,係数_バス貨物_CNG,係数_バス貨物_軽油,係数_バス貨物_メタノール,係数_バス貨物_LPG),MATCH(AY1672,【参考】排出係数!$AI$4:$AI$671,1),1,BE1672):INDEX((係数_バス貨物_ガソリン,係数_バス貨物_CNG,係数_バス貨物_軽油,係数_バス貨物_メタノール,係数_バス貨物_LPG),MATCH(AY1672+1,【参考】排出係数!$AI$4:$AI$671,1)-1,5,BE1672),4,FALSE)),IF(AND(BE1672=3,LEFT(BF1672,1)="1"),0.48,VLOOKUP(AU1672,INDEX((係数_乗用_ガソリン,係数_乗用_CNG,係数_乗用_軽油,係数_乗用_メタノール,係数_乗用_LPG),1,1,BE1672):INDEX((係数_乗用_ガソリン,係数_乗用_CNG,係数_乗用_軽油,係数_乗用_メタノール,係数_乗用_LPG),125,5,BE1672),4,FALSE)))))</f>
        <v/>
      </c>
      <c r="AL1672" s="461" t="str">
        <f t="shared" si="957"/>
        <v/>
      </c>
      <c r="AM1672" s="460" t="str">
        <f>IF(AU1672="","",IF(OR(AZ1672=8,AZ1672=9),0,IF(OR(AW1672=3,AW1672=4,AW1672=5,AW1672=6),IF(LEFT(BH1672,1)="1",INDEX(係数_PM低減,MATCH(AY1672,【参考】排出係数!$AI$801:$AI$804,1),MATCH(BI1672,【参考】排出係数!$AL$798:$AO$798,1)),VLOOKUP(AU1672,INDEX((係数_バス貨物_ガソリン,係数_バス貨物_CNG,係数_バス貨物_軽油,係数_バス貨物_メタノール,係数_バス貨物_LPG),MATCH(AY1672,【参考】排出係数!$AI$4:$AI$671,1),1,BE1672):INDEX((係数_バス貨物_ガソリン,係数_バス貨物_CNG,係数_バス貨物_軽油,係数_バス貨物_メタノール,係数_バス貨物_LPG),MATCH(AY1672+1,【参考】排出係数!$AI$4:$AI$671,1)-1,5,BE1672),5,FALSE)),IF(AND(BE1672=3,LEFT(BF1672,1)="1"),0.055,VLOOKUP(AU1672,INDEX((係数_乗用_ガソリン,係数_乗用_CNG,係数_乗用_軽油,係数_乗用_メタノール,係数_乗用_LPG),1,1,BE1672):INDEX((係数_乗用_ガソリン,係数_乗用_CNG,係数_乗用_軽油,係数_乗用_メタノール,係数_乗用_LPG),125,5,BE1672),5,FALSE)))))</f>
        <v/>
      </c>
      <c r="AN1672" s="461" t="str">
        <f t="shared" si="958"/>
        <v/>
      </c>
      <c r="AO1672" s="462" t="str">
        <f t="shared" si="959"/>
        <v/>
      </c>
      <c r="AP1672" s="463" t="str">
        <f t="shared" si="960"/>
        <v/>
      </c>
      <c r="AQ1672" s="464"/>
      <c r="AR1672" s="619"/>
      <c r="AS1672" s="465" t="str">
        <f t="shared" si="968"/>
        <v/>
      </c>
      <c r="AT1672" s="465" t="str">
        <f t="shared" si="969"/>
        <v/>
      </c>
      <c r="AU1672" s="466" t="str">
        <f t="shared" si="970"/>
        <v/>
      </c>
      <c r="AV1672" s="467" t="str">
        <f t="shared" si="971"/>
        <v/>
      </c>
      <c r="AW1672" s="467" t="str">
        <f t="shared" si="972"/>
        <v/>
      </c>
      <c r="AX1672" s="467" t="str">
        <f t="shared" si="973"/>
        <v/>
      </c>
      <c r="AY1672" s="467" t="str">
        <f t="shared" si="974"/>
        <v/>
      </c>
      <c r="AZ1672" s="467" t="str">
        <f t="shared" si="975"/>
        <v/>
      </c>
      <c r="BA1672" s="468" t="str">
        <f>IF(AS1672="","",IF(OR(AU1672="",AU1672="-"),"－",IF(OR(AZ1672=8,AZ1672=9),"",IF(OR(AW1672=3,AW1672=4,AW1672=5,AW1672=6),VLOOKUP(AU1672,INDEX((係数_バス貨物_ガソリン,係数_バス貨物_CNG,係数_バス貨物_軽油,係数_バス貨物_メタノール,係数_バス貨物_LPG),MATCH(AY1672,【参考】排出係数!$AI$4:$AI$671,1),1,BE1672):INDEX((係数_バス貨物_ガソリン,係数_バス貨物_CNG,係数_バス貨物_軽油,係数_バス貨物_メタノール,係数_バス貨物_LPG),MATCH(AY1672+1,【参考】排出係数!$AI$4:$AI$671,1)-1,5,BE1672),2,FALSE),IF(OR(AW1672=1,AW1672=2),VLOOKUP(AU1672,INDEX((係数_乗用_ガソリン,係数_乗用_CNG,係数_乗用_軽油,係数_乗用_メタノール,係数_乗用_LPG),1,1,BE1672):INDEX((係数_乗用_ガソリン,係数_乗用_CNG,係数_乗用_軽油,係数_乗用_メタノール,係数_乗用_LPG),125,5,BE1672),2,FALSE))))))</f>
        <v/>
      </c>
      <c r="BB1672" s="468" t="str">
        <f>IF(T1672="","",IF(OR(AU1672="",AU1672="-"),"－",IF(OR(AZ1672=8,AZ1672=9),"",IF(OR(AW1672=3,AW1672=4,AW1672=5,AW1672=6),VLOOKUP(AU1672,INDEX((係数_バス貨物_ガソリン,係数_バス貨物_CNG,係数_バス貨物_軽油,係数_バス貨物_メタノール,係数_バス貨物_LPG),MATCH(AY1672,【参考】排出係数!$AI$4:$AI$671,1),1,BE1672):INDEX((係数_バス貨物_ガソリン,係数_バス貨物_CNG,係数_バス貨物_軽油,係数_バス貨物_メタノール,係数_バス貨物_LPG),MATCH(AY1672+1,【参考】排出係数!$AI$4:$AI$671,1)-1,5,BE1672),3,FALSE),IF(OR(AW1672=1,AW1672=2),VLOOKUP(AU1672,INDEX((係数_乗用_ガソリン,係数_乗用_CNG,係数_乗用_軽油,係数_乗用_メタノール,係数_乗用_LPG),1,1,BE1672):INDEX((係数_乗用_ガソリン,係数_乗用_CNG,係数_乗用_軽油,係数_乗用_メタノール,係数_乗用_LPG),125,5,BE1672),3,FALSE))))))</f>
        <v/>
      </c>
      <c r="BC1672" s="467" t="str">
        <f t="shared" si="976"/>
        <v/>
      </c>
      <c r="BD1672" s="567" t="str">
        <f t="shared" si="977"/>
        <v/>
      </c>
      <c r="BE1672" s="467" t="str">
        <f t="shared" si="978"/>
        <v/>
      </c>
      <c r="BF1672" s="469" t="str">
        <f t="shared" ca="1" si="979"/>
        <v/>
      </c>
      <c r="BG1672" s="469" t="str">
        <f t="shared" ca="1" si="980"/>
        <v/>
      </c>
      <c r="BH1672" s="467" t="str">
        <f t="shared" si="981"/>
        <v/>
      </c>
      <c r="BI1672" s="467" t="str">
        <f t="shared" ca="1" si="982"/>
        <v/>
      </c>
      <c r="BJ1672" s="469" t="str">
        <f t="shared" si="983"/>
        <v/>
      </c>
      <c r="BK1672" s="470" t="str">
        <f t="shared" si="967"/>
        <v/>
      </c>
      <c r="BL1672" s="775" t="str">
        <f t="shared" si="984"/>
        <v/>
      </c>
      <c r="BM1672" s="775" t="str">
        <f t="shared" si="985"/>
        <v/>
      </c>
    </row>
    <row r="1673" spans="1:65">
      <c r="A1673" s="473">
        <v>1617</v>
      </c>
      <c r="B1673" s="132"/>
      <c r="C1673" s="332"/>
      <c r="D1673" s="333"/>
      <c r="E1673" s="333"/>
      <c r="F1673" s="334"/>
      <c r="G1673" s="337"/>
      <c r="H1673" s="131"/>
      <c r="I1673" s="337"/>
      <c r="J1673" s="131"/>
      <c r="K1673" s="458" t="str">
        <f t="shared" si="948"/>
        <v/>
      </c>
      <c r="L1673" s="458">
        <f t="shared" si="949"/>
        <v>0</v>
      </c>
      <c r="M1673" s="458">
        <f t="shared" si="950"/>
        <v>0</v>
      </c>
      <c r="N1673" s="459" t="str">
        <f t="shared" si="961"/>
        <v/>
      </c>
      <c r="O1673" s="459" t="str">
        <f t="shared" si="962"/>
        <v/>
      </c>
      <c r="P1673" s="459" t="str">
        <f t="shared" si="963"/>
        <v/>
      </c>
      <c r="Q1673" s="459" t="str">
        <f t="shared" si="964"/>
        <v/>
      </c>
      <c r="R1673" s="459" t="str">
        <f t="shared" si="965"/>
        <v/>
      </c>
      <c r="S1673" s="459" t="str">
        <f t="shared" si="966"/>
        <v/>
      </c>
      <c r="T1673" s="566" t="str">
        <f t="shared" si="951"/>
        <v/>
      </c>
      <c r="U1673" s="702"/>
      <c r="V1673" s="132"/>
      <c r="W1673" s="133"/>
      <c r="X1673" s="134"/>
      <c r="Y1673" s="135"/>
      <c r="Z1673" s="137"/>
      <c r="AA1673" s="136"/>
      <c r="AB1673" s="566" t="str">
        <f t="shared" si="952"/>
        <v/>
      </c>
      <c r="AC1673" s="568" t="str">
        <f t="shared" si="953"/>
        <v/>
      </c>
      <c r="AD1673" s="137"/>
      <c r="AE1673" s="137"/>
      <c r="AF1673" s="138"/>
      <c r="AG1673" s="138"/>
      <c r="AH1673" s="592" t="str">
        <f t="shared" si="954"/>
        <v/>
      </c>
      <c r="AI1673" s="592" t="str">
        <f t="shared" si="955"/>
        <v/>
      </c>
      <c r="AJ1673" s="592" t="str">
        <f t="shared" si="956"/>
        <v/>
      </c>
      <c r="AK1673" s="460" t="str">
        <f>IF(AU1673="","",IF(OR(AZ1673=8,AZ1673=9),0,IF(OR(AW1673=3,AW1673=4,AW1673=5,AW1673=6),IF(LEFT(BF1673,1)="1",INDEX(係数_NOX・PM低減,MATCH(AY1673,【参考】排出係数!$AI$801:$AI$804,1),1),VLOOKUP(AU1673,INDEX((係数_バス貨物_ガソリン,係数_バス貨物_CNG,係数_バス貨物_軽油,係数_バス貨物_メタノール,係数_バス貨物_LPG),MATCH(AY1673,【参考】排出係数!$AI$4:$AI$671,1),1,BE1673):INDEX((係数_バス貨物_ガソリン,係数_バス貨物_CNG,係数_バス貨物_軽油,係数_バス貨物_メタノール,係数_バス貨物_LPG),MATCH(AY1673+1,【参考】排出係数!$AI$4:$AI$671,1)-1,5,BE1673),4,FALSE)),IF(AND(BE1673=3,LEFT(BF1673,1)="1"),0.48,VLOOKUP(AU1673,INDEX((係数_乗用_ガソリン,係数_乗用_CNG,係数_乗用_軽油,係数_乗用_メタノール,係数_乗用_LPG),1,1,BE1673):INDEX((係数_乗用_ガソリン,係数_乗用_CNG,係数_乗用_軽油,係数_乗用_メタノール,係数_乗用_LPG),125,5,BE1673),4,FALSE)))))</f>
        <v/>
      </c>
      <c r="AL1673" s="461" t="str">
        <f t="shared" si="957"/>
        <v/>
      </c>
      <c r="AM1673" s="460" t="str">
        <f>IF(AU1673="","",IF(OR(AZ1673=8,AZ1673=9),0,IF(OR(AW1673=3,AW1673=4,AW1673=5,AW1673=6),IF(LEFT(BH1673,1)="1",INDEX(係数_PM低減,MATCH(AY1673,【参考】排出係数!$AI$801:$AI$804,1),MATCH(BI1673,【参考】排出係数!$AL$798:$AO$798,1)),VLOOKUP(AU1673,INDEX((係数_バス貨物_ガソリン,係数_バス貨物_CNG,係数_バス貨物_軽油,係数_バス貨物_メタノール,係数_バス貨物_LPG),MATCH(AY1673,【参考】排出係数!$AI$4:$AI$671,1),1,BE1673):INDEX((係数_バス貨物_ガソリン,係数_バス貨物_CNG,係数_バス貨物_軽油,係数_バス貨物_メタノール,係数_バス貨物_LPG),MATCH(AY1673+1,【参考】排出係数!$AI$4:$AI$671,1)-1,5,BE1673),5,FALSE)),IF(AND(BE1673=3,LEFT(BF1673,1)="1"),0.055,VLOOKUP(AU1673,INDEX((係数_乗用_ガソリン,係数_乗用_CNG,係数_乗用_軽油,係数_乗用_メタノール,係数_乗用_LPG),1,1,BE1673):INDEX((係数_乗用_ガソリン,係数_乗用_CNG,係数_乗用_軽油,係数_乗用_メタノール,係数_乗用_LPG),125,5,BE1673),5,FALSE)))))</f>
        <v/>
      </c>
      <c r="AN1673" s="461" t="str">
        <f t="shared" si="958"/>
        <v/>
      </c>
      <c r="AO1673" s="462" t="str">
        <f t="shared" si="959"/>
        <v/>
      </c>
      <c r="AP1673" s="463" t="str">
        <f t="shared" si="960"/>
        <v/>
      </c>
      <c r="AQ1673" s="464"/>
      <c r="AR1673" s="619"/>
      <c r="AS1673" s="465" t="str">
        <f t="shared" si="968"/>
        <v/>
      </c>
      <c r="AT1673" s="465" t="str">
        <f t="shared" si="969"/>
        <v/>
      </c>
      <c r="AU1673" s="466" t="str">
        <f t="shared" si="970"/>
        <v/>
      </c>
      <c r="AV1673" s="467" t="str">
        <f t="shared" si="971"/>
        <v/>
      </c>
      <c r="AW1673" s="467" t="str">
        <f t="shared" si="972"/>
        <v/>
      </c>
      <c r="AX1673" s="467" t="str">
        <f t="shared" si="973"/>
        <v/>
      </c>
      <c r="AY1673" s="467" t="str">
        <f t="shared" si="974"/>
        <v/>
      </c>
      <c r="AZ1673" s="467" t="str">
        <f t="shared" si="975"/>
        <v/>
      </c>
      <c r="BA1673" s="468" t="str">
        <f>IF(AS1673="","",IF(OR(AU1673="",AU1673="-"),"－",IF(OR(AZ1673=8,AZ1673=9),"",IF(OR(AW1673=3,AW1673=4,AW1673=5,AW1673=6),VLOOKUP(AU1673,INDEX((係数_バス貨物_ガソリン,係数_バス貨物_CNG,係数_バス貨物_軽油,係数_バス貨物_メタノール,係数_バス貨物_LPG),MATCH(AY1673,【参考】排出係数!$AI$4:$AI$671,1),1,BE1673):INDEX((係数_バス貨物_ガソリン,係数_バス貨物_CNG,係数_バス貨物_軽油,係数_バス貨物_メタノール,係数_バス貨物_LPG),MATCH(AY1673+1,【参考】排出係数!$AI$4:$AI$671,1)-1,5,BE1673),2,FALSE),IF(OR(AW1673=1,AW1673=2),VLOOKUP(AU1673,INDEX((係数_乗用_ガソリン,係数_乗用_CNG,係数_乗用_軽油,係数_乗用_メタノール,係数_乗用_LPG),1,1,BE1673):INDEX((係数_乗用_ガソリン,係数_乗用_CNG,係数_乗用_軽油,係数_乗用_メタノール,係数_乗用_LPG),125,5,BE1673),2,FALSE))))))</f>
        <v/>
      </c>
      <c r="BB1673" s="468" t="str">
        <f>IF(T1673="","",IF(OR(AU1673="",AU1673="-"),"－",IF(OR(AZ1673=8,AZ1673=9),"",IF(OR(AW1673=3,AW1673=4,AW1673=5,AW1673=6),VLOOKUP(AU1673,INDEX((係数_バス貨物_ガソリン,係数_バス貨物_CNG,係数_バス貨物_軽油,係数_バス貨物_メタノール,係数_バス貨物_LPG),MATCH(AY1673,【参考】排出係数!$AI$4:$AI$671,1),1,BE1673):INDEX((係数_バス貨物_ガソリン,係数_バス貨物_CNG,係数_バス貨物_軽油,係数_バス貨物_メタノール,係数_バス貨物_LPG),MATCH(AY1673+1,【参考】排出係数!$AI$4:$AI$671,1)-1,5,BE1673),3,FALSE),IF(OR(AW1673=1,AW1673=2),VLOOKUP(AU1673,INDEX((係数_乗用_ガソリン,係数_乗用_CNG,係数_乗用_軽油,係数_乗用_メタノール,係数_乗用_LPG),1,1,BE1673):INDEX((係数_乗用_ガソリン,係数_乗用_CNG,係数_乗用_軽油,係数_乗用_メタノール,係数_乗用_LPG),125,5,BE1673),3,FALSE))))))</f>
        <v/>
      </c>
      <c r="BC1673" s="467" t="str">
        <f t="shared" si="976"/>
        <v/>
      </c>
      <c r="BD1673" s="567" t="str">
        <f t="shared" si="977"/>
        <v/>
      </c>
      <c r="BE1673" s="467" t="str">
        <f t="shared" si="978"/>
        <v/>
      </c>
      <c r="BF1673" s="469" t="str">
        <f t="shared" ca="1" si="979"/>
        <v/>
      </c>
      <c r="BG1673" s="469" t="str">
        <f t="shared" ca="1" si="980"/>
        <v/>
      </c>
      <c r="BH1673" s="467" t="str">
        <f t="shared" si="981"/>
        <v/>
      </c>
      <c r="BI1673" s="467" t="str">
        <f t="shared" ca="1" si="982"/>
        <v/>
      </c>
      <c r="BJ1673" s="469" t="str">
        <f t="shared" si="983"/>
        <v/>
      </c>
      <c r="BK1673" s="470" t="str">
        <f t="shared" si="967"/>
        <v/>
      </c>
      <c r="BL1673" s="775" t="str">
        <f t="shared" si="984"/>
        <v/>
      </c>
      <c r="BM1673" s="775" t="str">
        <f t="shared" si="985"/>
        <v/>
      </c>
    </row>
    <row r="1674" spans="1:65">
      <c r="A1674" s="473">
        <v>1618</v>
      </c>
      <c r="B1674" s="132"/>
      <c r="C1674" s="332"/>
      <c r="D1674" s="333"/>
      <c r="E1674" s="333"/>
      <c r="F1674" s="334"/>
      <c r="G1674" s="337"/>
      <c r="H1674" s="131"/>
      <c r="I1674" s="337"/>
      <c r="J1674" s="131"/>
      <c r="K1674" s="458" t="str">
        <f t="shared" si="948"/>
        <v/>
      </c>
      <c r="L1674" s="458">
        <f t="shared" si="949"/>
        <v>0</v>
      </c>
      <c r="M1674" s="458">
        <f t="shared" si="950"/>
        <v>0</v>
      </c>
      <c r="N1674" s="459" t="str">
        <f t="shared" si="961"/>
        <v/>
      </c>
      <c r="O1674" s="459" t="str">
        <f t="shared" si="962"/>
        <v/>
      </c>
      <c r="P1674" s="459" t="str">
        <f t="shared" si="963"/>
        <v/>
      </c>
      <c r="Q1674" s="459" t="str">
        <f t="shared" si="964"/>
        <v/>
      </c>
      <c r="R1674" s="459" t="str">
        <f t="shared" si="965"/>
        <v/>
      </c>
      <c r="S1674" s="459" t="str">
        <f t="shared" si="966"/>
        <v/>
      </c>
      <c r="T1674" s="566" t="str">
        <f t="shared" si="951"/>
        <v/>
      </c>
      <c r="U1674" s="702"/>
      <c r="V1674" s="132"/>
      <c r="W1674" s="133"/>
      <c r="X1674" s="134"/>
      <c r="Y1674" s="135"/>
      <c r="Z1674" s="137"/>
      <c r="AA1674" s="136"/>
      <c r="AB1674" s="566" t="str">
        <f t="shared" si="952"/>
        <v/>
      </c>
      <c r="AC1674" s="568" t="str">
        <f t="shared" si="953"/>
        <v/>
      </c>
      <c r="AD1674" s="137"/>
      <c r="AE1674" s="137"/>
      <c r="AF1674" s="138"/>
      <c r="AG1674" s="138"/>
      <c r="AH1674" s="592" t="str">
        <f t="shared" si="954"/>
        <v/>
      </c>
      <c r="AI1674" s="592" t="str">
        <f t="shared" si="955"/>
        <v/>
      </c>
      <c r="AJ1674" s="592" t="str">
        <f t="shared" si="956"/>
        <v/>
      </c>
      <c r="AK1674" s="460" t="str">
        <f>IF(AU1674="","",IF(OR(AZ1674=8,AZ1674=9),0,IF(OR(AW1674=3,AW1674=4,AW1674=5,AW1674=6),IF(LEFT(BF1674,1)="1",INDEX(係数_NOX・PM低減,MATCH(AY1674,【参考】排出係数!$AI$801:$AI$804,1),1),VLOOKUP(AU1674,INDEX((係数_バス貨物_ガソリン,係数_バス貨物_CNG,係数_バス貨物_軽油,係数_バス貨物_メタノール,係数_バス貨物_LPG),MATCH(AY1674,【参考】排出係数!$AI$4:$AI$671,1),1,BE1674):INDEX((係数_バス貨物_ガソリン,係数_バス貨物_CNG,係数_バス貨物_軽油,係数_バス貨物_メタノール,係数_バス貨物_LPG),MATCH(AY1674+1,【参考】排出係数!$AI$4:$AI$671,1)-1,5,BE1674),4,FALSE)),IF(AND(BE1674=3,LEFT(BF1674,1)="1"),0.48,VLOOKUP(AU1674,INDEX((係数_乗用_ガソリン,係数_乗用_CNG,係数_乗用_軽油,係数_乗用_メタノール,係数_乗用_LPG),1,1,BE1674):INDEX((係数_乗用_ガソリン,係数_乗用_CNG,係数_乗用_軽油,係数_乗用_メタノール,係数_乗用_LPG),125,5,BE1674),4,FALSE)))))</f>
        <v/>
      </c>
      <c r="AL1674" s="461" t="str">
        <f t="shared" si="957"/>
        <v/>
      </c>
      <c r="AM1674" s="460" t="str">
        <f>IF(AU1674="","",IF(OR(AZ1674=8,AZ1674=9),0,IF(OR(AW1674=3,AW1674=4,AW1674=5,AW1674=6),IF(LEFT(BH1674,1)="1",INDEX(係数_PM低減,MATCH(AY1674,【参考】排出係数!$AI$801:$AI$804,1),MATCH(BI1674,【参考】排出係数!$AL$798:$AO$798,1)),VLOOKUP(AU1674,INDEX((係数_バス貨物_ガソリン,係数_バス貨物_CNG,係数_バス貨物_軽油,係数_バス貨物_メタノール,係数_バス貨物_LPG),MATCH(AY1674,【参考】排出係数!$AI$4:$AI$671,1),1,BE1674):INDEX((係数_バス貨物_ガソリン,係数_バス貨物_CNG,係数_バス貨物_軽油,係数_バス貨物_メタノール,係数_バス貨物_LPG),MATCH(AY1674+1,【参考】排出係数!$AI$4:$AI$671,1)-1,5,BE1674),5,FALSE)),IF(AND(BE1674=3,LEFT(BF1674,1)="1"),0.055,VLOOKUP(AU1674,INDEX((係数_乗用_ガソリン,係数_乗用_CNG,係数_乗用_軽油,係数_乗用_メタノール,係数_乗用_LPG),1,1,BE1674):INDEX((係数_乗用_ガソリン,係数_乗用_CNG,係数_乗用_軽油,係数_乗用_メタノール,係数_乗用_LPG),125,5,BE1674),5,FALSE)))))</f>
        <v/>
      </c>
      <c r="AN1674" s="461" t="str">
        <f t="shared" si="958"/>
        <v/>
      </c>
      <c r="AO1674" s="462" t="str">
        <f t="shared" si="959"/>
        <v/>
      </c>
      <c r="AP1674" s="463" t="str">
        <f t="shared" si="960"/>
        <v/>
      </c>
      <c r="AQ1674" s="464"/>
      <c r="AR1674" s="619"/>
      <c r="AS1674" s="465" t="str">
        <f t="shared" si="968"/>
        <v/>
      </c>
      <c r="AT1674" s="465" t="str">
        <f t="shared" si="969"/>
        <v/>
      </c>
      <c r="AU1674" s="466" t="str">
        <f t="shared" si="970"/>
        <v/>
      </c>
      <c r="AV1674" s="467" t="str">
        <f t="shared" si="971"/>
        <v/>
      </c>
      <c r="AW1674" s="467" t="str">
        <f t="shared" si="972"/>
        <v/>
      </c>
      <c r="AX1674" s="467" t="str">
        <f t="shared" si="973"/>
        <v/>
      </c>
      <c r="AY1674" s="467" t="str">
        <f t="shared" si="974"/>
        <v/>
      </c>
      <c r="AZ1674" s="467" t="str">
        <f t="shared" si="975"/>
        <v/>
      </c>
      <c r="BA1674" s="468" t="str">
        <f>IF(AS1674="","",IF(OR(AU1674="",AU1674="-"),"－",IF(OR(AZ1674=8,AZ1674=9),"",IF(OR(AW1674=3,AW1674=4,AW1674=5,AW1674=6),VLOOKUP(AU1674,INDEX((係数_バス貨物_ガソリン,係数_バス貨物_CNG,係数_バス貨物_軽油,係数_バス貨物_メタノール,係数_バス貨物_LPG),MATCH(AY1674,【参考】排出係数!$AI$4:$AI$671,1),1,BE1674):INDEX((係数_バス貨物_ガソリン,係数_バス貨物_CNG,係数_バス貨物_軽油,係数_バス貨物_メタノール,係数_バス貨物_LPG),MATCH(AY1674+1,【参考】排出係数!$AI$4:$AI$671,1)-1,5,BE1674),2,FALSE),IF(OR(AW1674=1,AW1674=2),VLOOKUP(AU1674,INDEX((係数_乗用_ガソリン,係数_乗用_CNG,係数_乗用_軽油,係数_乗用_メタノール,係数_乗用_LPG),1,1,BE1674):INDEX((係数_乗用_ガソリン,係数_乗用_CNG,係数_乗用_軽油,係数_乗用_メタノール,係数_乗用_LPG),125,5,BE1674),2,FALSE))))))</f>
        <v/>
      </c>
      <c r="BB1674" s="468" t="str">
        <f>IF(T1674="","",IF(OR(AU1674="",AU1674="-"),"－",IF(OR(AZ1674=8,AZ1674=9),"",IF(OR(AW1674=3,AW1674=4,AW1674=5,AW1674=6),VLOOKUP(AU1674,INDEX((係数_バス貨物_ガソリン,係数_バス貨物_CNG,係数_バス貨物_軽油,係数_バス貨物_メタノール,係数_バス貨物_LPG),MATCH(AY1674,【参考】排出係数!$AI$4:$AI$671,1),1,BE1674):INDEX((係数_バス貨物_ガソリン,係数_バス貨物_CNG,係数_バス貨物_軽油,係数_バス貨物_メタノール,係数_バス貨物_LPG),MATCH(AY1674+1,【参考】排出係数!$AI$4:$AI$671,1)-1,5,BE1674),3,FALSE),IF(OR(AW1674=1,AW1674=2),VLOOKUP(AU1674,INDEX((係数_乗用_ガソリン,係数_乗用_CNG,係数_乗用_軽油,係数_乗用_メタノール,係数_乗用_LPG),1,1,BE1674):INDEX((係数_乗用_ガソリン,係数_乗用_CNG,係数_乗用_軽油,係数_乗用_メタノール,係数_乗用_LPG),125,5,BE1674),3,FALSE))))))</f>
        <v/>
      </c>
      <c r="BC1674" s="467" t="str">
        <f t="shared" si="976"/>
        <v/>
      </c>
      <c r="BD1674" s="567" t="str">
        <f t="shared" si="977"/>
        <v/>
      </c>
      <c r="BE1674" s="467" t="str">
        <f t="shared" si="978"/>
        <v/>
      </c>
      <c r="BF1674" s="469" t="str">
        <f t="shared" ca="1" si="979"/>
        <v/>
      </c>
      <c r="BG1674" s="469" t="str">
        <f t="shared" ca="1" si="980"/>
        <v/>
      </c>
      <c r="BH1674" s="467" t="str">
        <f t="shared" si="981"/>
        <v/>
      </c>
      <c r="BI1674" s="467" t="str">
        <f t="shared" ca="1" si="982"/>
        <v/>
      </c>
      <c r="BJ1674" s="469" t="str">
        <f t="shared" si="983"/>
        <v/>
      </c>
      <c r="BK1674" s="470" t="str">
        <f t="shared" si="967"/>
        <v/>
      </c>
      <c r="BL1674" s="775" t="str">
        <f t="shared" si="984"/>
        <v/>
      </c>
      <c r="BM1674" s="775" t="str">
        <f t="shared" si="985"/>
        <v/>
      </c>
    </row>
    <row r="1675" spans="1:65">
      <c r="A1675" s="473">
        <v>1619</v>
      </c>
      <c r="B1675" s="132"/>
      <c r="C1675" s="332"/>
      <c r="D1675" s="333"/>
      <c r="E1675" s="333"/>
      <c r="F1675" s="334"/>
      <c r="G1675" s="337"/>
      <c r="H1675" s="131"/>
      <c r="I1675" s="337"/>
      <c r="J1675" s="131"/>
      <c r="K1675" s="458" t="str">
        <f t="shared" si="948"/>
        <v/>
      </c>
      <c r="L1675" s="458">
        <f t="shared" si="949"/>
        <v>0</v>
      </c>
      <c r="M1675" s="458">
        <f t="shared" si="950"/>
        <v>0</v>
      </c>
      <c r="N1675" s="459" t="str">
        <f t="shared" si="961"/>
        <v/>
      </c>
      <c r="O1675" s="459" t="str">
        <f t="shared" si="962"/>
        <v/>
      </c>
      <c r="P1675" s="459" t="str">
        <f t="shared" si="963"/>
        <v/>
      </c>
      <c r="Q1675" s="459" t="str">
        <f t="shared" si="964"/>
        <v/>
      </c>
      <c r="R1675" s="459" t="str">
        <f t="shared" si="965"/>
        <v/>
      </c>
      <c r="S1675" s="459" t="str">
        <f t="shared" si="966"/>
        <v/>
      </c>
      <c r="T1675" s="566" t="str">
        <f t="shared" si="951"/>
        <v/>
      </c>
      <c r="U1675" s="702"/>
      <c r="V1675" s="132"/>
      <c r="W1675" s="133"/>
      <c r="X1675" s="134"/>
      <c r="Y1675" s="135"/>
      <c r="Z1675" s="137"/>
      <c r="AA1675" s="136"/>
      <c r="AB1675" s="566" t="str">
        <f t="shared" si="952"/>
        <v/>
      </c>
      <c r="AC1675" s="568" t="str">
        <f t="shared" si="953"/>
        <v/>
      </c>
      <c r="AD1675" s="137"/>
      <c r="AE1675" s="137"/>
      <c r="AF1675" s="138"/>
      <c r="AG1675" s="138"/>
      <c r="AH1675" s="592" t="str">
        <f t="shared" si="954"/>
        <v/>
      </c>
      <c r="AI1675" s="592" t="str">
        <f t="shared" si="955"/>
        <v/>
      </c>
      <c r="AJ1675" s="592" t="str">
        <f t="shared" si="956"/>
        <v/>
      </c>
      <c r="AK1675" s="460" t="str">
        <f>IF(AU1675="","",IF(OR(AZ1675=8,AZ1675=9),0,IF(OR(AW1675=3,AW1675=4,AW1675=5,AW1675=6),IF(LEFT(BF1675,1)="1",INDEX(係数_NOX・PM低減,MATCH(AY1675,【参考】排出係数!$AI$801:$AI$804,1),1),VLOOKUP(AU1675,INDEX((係数_バス貨物_ガソリン,係数_バス貨物_CNG,係数_バス貨物_軽油,係数_バス貨物_メタノール,係数_バス貨物_LPG),MATCH(AY1675,【参考】排出係数!$AI$4:$AI$671,1),1,BE1675):INDEX((係数_バス貨物_ガソリン,係数_バス貨物_CNG,係数_バス貨物_軽油,係数_バス貨物_メタノール,係数_バス貨物_LPG),MATCH(AY1675+1,【参考】排出係数!$AI$4:$AI$671,1)-1,5,BE1675),4,FALSE)),IF(AND(BE1675=3,LEFT(BF1675,1)="1"),0.48,VLOOKUP(AU1675,INDEX((係数_乗用_ガソリン,係数_乗用_CNG,係数_乗用_軽油,係数_乗用_メタノール,係数_乗用_LPG),1,1,BE1675):INDEX((係数_乗用_ガソリン,係数_乗用_CNG,係数_乗用_軽油,係数_乗用_メタノール,係数_乗用_LPG),125,5,BE1675),4,FALSE)))))</f>
        <v/>
      </c>
      <c r="AL1675" s="461" t="str">
        <f t="shared" si="957"/>
        <v/>
      </c>
      <c r="AM1675" s="460" t="str">
        <f>IF(AU1675="","",IF(OR(AZ1675=8,AZ1675=9),0,IF(OR(AW1675=3,AW1675=4,AW1675=5,AW1675=6),IF(LEFT(BH1675,1)="1",INDEX(係数_PM低減,MATCH(AY1675,【参考】排出係数!$AI$801:$AI$804,1),MATCH(BI1675,【参考】排出係数!$AL$798:$AO$798,1)),VLOOKUP(AU1675,INDEX((係数_バス貨物_ガソリン,係数_バス貨物_CNG,係数_バス貨物_軽油,係数_バス貨物_メタノール,係数_バス貨物_LPG),MATCH(AY1675,【参考】排出係数!$AI$4:$AI$671,1),1,BE1675):INDEX((係数_バス貨物_ガソリン,係数_バス貨物_CNG,係数_バス貨物_軽油,係数_バス貨物_メタノール,係数_バス貨物_LPG),MATCH(AY1675+1,【参考】排出係数!$AI$4:$AI$671,1)-1,5,BE1675),5,FALSE)),IF(AND(BE1675=3,LEFT(BF1675,1)="1"),0.055,VLOOKUP(AU1675,INDEX((係数_乗用_ガソリン,係数_乗用_CNG,係数_乗用_軽油,係数_乗用_メタノール,係数_乗用_LPG),1,1,BE1675):INDEX((係数_乗用_ガソリン,係数_乗用_CNG,係数_乗用_軽油,係数_乗用_メタノール,係数_乗用_LPG),125,5,BE1675),5,FALSE)))))</f>
        <v/>
      </c>
      <c r="AN1675" s="461" t="str">
        <f t="shared" si="958"/>
        <v/>
      </c>
      <c r="AO1675" s="462" t="str">
        <f t="shared" si="959"/>
        <v/>
      </c>
      <c r="AP1675" s="463" t="str">
        <f t="shared" si="960"/>
        <v/>
      </c>
      <c r="AQ1675" s="464"/>
      <c r="AR1675" s="619"/>
      <c r="AS1675" s="465" t="str">
        <f t="shared" si="968"/>
        <v/>
      </c>
      <c r="AT1675" s="465" t="str">
        <f t="shared" si="969"/>
        <v/>
      </c>
      <c r="AU1675" s="466" t="str">
        <f t="shared" si="970"/>
        <v/>
      </c>
      <c r="AV1675" s="467" t="str">
        <f t="shared" si="971"/>
        <v/>
      </c>
      <c r="AW1675" s="467" t="str">
        <f t="shared" si="972"/>
        <v/>
      </c>
      <c r="AX1675" s="467" t="str">
        <f t="shared" si="973"/>
        <v/>
      </c>
      <c r="AY1675" s="467" t="str">
        <f t="shared" si="974"/>
        <v/>
      </c>
      <c r="AZ1675" s="467" t="str">
        <f t="shared" si="975"/>
        <v/>
      </c>
      <c r="BA1675" s="468" t="str">
        <f>IF(AS1675="","",IF(OR(AU1675="",AU1675="-"),"－",IF(OR(AZ1675=8,AZ1675=9),"",IF(OR(AW1675=3,AW1675=4,AW1675=5,AW1675=6),VLOOKUP(AU1675,INDEX((係数_バス貨物_ガソリン,係数_バス貨物_CNG,係数_バス貨物_軽油,係数_バス貨物_メタノール,係数_バス貨物_LPG),MATCH(AY1675,【参考】排出係数!$AI$4:$AI$671,1),1,BE1675):INDEX((係数_バス貨物_ガソリン,係数_バス貨物_CNG,係数_バス貨物_軽油,係数_バス貨物_メタノール,係数_バス貨物_LPG),MATCH(AY1675+1,【参考】排出係数!$AI$4:$AI$671,1)-1,5,BE1675),2,FALSE),IF(OR(AW1675=1,AW1675=2),VLOOKUP(AU1675,INDEX((係数_乗用_ガソリン,係数_乗用_CNG,係数_乗用_軽油,係数_乗用_メタノール,係数_乗用_LPG),1,1,BE1675):INDEX((係数_乗用_ガソリン,係数_乗用_CNG,係数_乗用_軽油,係数_乗用_メタノール,係数_乗用_LPG),125,5,BE1675),2,FALSE))))))</f>
        <v/>
      </c>
      <c r="BB1675" s="468" t="str">
        <f>IF(T1675="","",IF(OR(AU1675="",AU1675="-"),"－",IF(OR(AZ1675=8,AZ1675=9),"",IF(OR(AW1675=3,AW1675=4,AW1675=5,AW1675=6),VLOOKUP(AU1675,INDEX((係数_バス貨物_ガソリン,係数_バス貨物_CNG,係数_バス貨物_軽油,係数_バス貨物_メタノール,係数_バス貨物_LPG),MATCH(AY1675,【参考】排出係数!$AI$4:$AI$671,1),1,BE1675):INDEX((係数_バス貨物_ガソリン,係数_バス貨物_CNG,係数_バス貨物_軽油,係数_バス貨物_メタノール,係数_バス貨物_LPG),MATCH(AY1675+1,【参考】排出係数!$AI$4:$AI$671,1)-1,5,BE1675),3,FALSE),IF(OR(AW1675=1,AW1675=2),VLOOKUP(AU1675,INDEX((係数_乗用_ガソリン,係数_乗用_CNG,係数_乗用_軽油,係数_乗用_メタノール,係数_乗用_LPG),1,1,BE1675):INDEX((係数_乗用_ガソリン,係数_乗用_CNG,係数_乗用_軽油,係数_乗用_メタノール,係数_乗用_LPG),125,5,BE1675),3,FALSE))))))</f>
        <v/>
      </c>
      <c r="BC1675" s="467" t="str">
        <f t="shared" si="976"/>
        <v/>
      </c>
      <c r="BD1675" s="567" t="str">
        <f t="shared" si="977"/>
        <v/>
      </c>
      <c r="BE1675" s="467" t="str">
        <f t="shared" si="978"/>
        <v/>
      </c>
      <c r="BF1675" s="469" t="str">
        <f t="shared" ca="1" si="979"/>
        <v/>
      </c>
      <c r="BG1675" s="469" t="str">
        <f t="shared" ca="1" si="980"/>
        <v/>
      </c>
      <c r="BH1675" s="467" t="str">
        <f t="shared" si="981"/>
        <v/>
      </c>
      <c r="BI1675" s="467" t="str">
        <f t="shared" ca="1" si="982"/>
        <v/>
      </c>
      <c r="BJ1675" s="469" t="str">
        <f t="shared" si="983"/>
        <v/>
      </c>
      <c r="BK1675" s="470" t="str">
        <f t="shared" si="967"/>
        <v/>
      </c>
      <c r="BL1675" s="775" t="str">
        <f t="shared" si="984"/>
        <v/>
      </c>
      <c r="BM1675" s="775" t="str">
        <f t="shared" si="985"/>
        <v/>
      </c>
    </row>
    <row r="1676" spans="1:65">
      <c r="A1676" s="473">
        <v>1620</v>
      </c>
      <c r="B1676" s="132"/>
      <c r="C1676" s="332"/>
      <c r="D1676" s="333"/>
      <c r="E1676" s="333"/>
      <c r="F1676" s="334"/>
      <c r="G1676" s="337"/>
      <c r="H1676" s="131"/>
      <c r="I1676" s="337"/>
      <c r="J1676" s="131"/>
      <c r="K1676" s="458" t="str">
        <f t="shared" si="948"/>
        <v/>
      </c>
      <c r="L1676" s="458">
        <f t="shared" si="949"/>
        <v>0</v>
      </c>
      <c r="M1676" s="458">
        <f t="shared" si="950"/>
        <v>0</v>
      </c>
      <c r="N1676" s="459" t="str">
        <f t="shared" si="961"/>
        <v/>
      </c>
      <c r="O1676" s="459" t="str">
        <f t="shared" si="962"/>
        <v/>
      </c>
      <c r="P1676" s="459" t="str">
        <f t="shared" si="963"/>
        <v/>
      </c>
      <c r="Q1676" s="459" t="str">
        <f t="shared" si="964"/>
        <v/>
      </c>
      <c r="R1676" s="459" t="str">
        <f t="shared" si="965"/>
        <v/>
      </c>
      <c r="S1676" s="459" t="str">
        <f t="shared" si="966"/>
        <v/>
      </c>
      <c r="T1676" s="566" t="str">
        <f t="shared" si="951"/>
        <v/>
      </c>
      <c r="U1676" s="702"/>
      <c r="V1676" s="132"/>
      <c r="W1676" s="133"/>
      <c r="X1676" s="134"/>
      <c r="Y1676" s="135"/>
      <c r="Z1676" s="137"/>
      <c r="AA1676" s="136"/>
      <c r="AB1676" s="566" t="str">
        <f t="shared" si="952"/>
        <v/>
      </c>
      <c r="AC1676" s="568" t="str">
        <f t="shared" si="953"/>
        <v/>
      </c>
      <c r="AD1676" s="137"/>
      <c r="AE1676" s="137"/>
      <c r="AF1676" s="138"/>
      <c r="AG1676" s="138"/>
      <c r="AH1676" s="592" t="str">
        <f t="shared" si="954"/>
        <v/>
      </c>
      <c r="AI1676" s="592" t="str">
        <f t="shared" si="955"/>
        <v/>
      </c>
      <c r="AJ1676" s="592" t="str">
        <f t="shared" si="956"/>
        <v/>
      </c>
      <c r="AK1676" s="460" t="str">
        <f>IF(AU1676="","",IF(OR(AZ1676=8,AZ1676=9),0,IF(OR(AW1676=3,AW1676=4,AW1676=5,AW1676=6),IF(LEFT(BF1676,1)="1",INDEX(係数_NOX・PM低減,MATCH(AY1676,【参考】排出係数!$AI$801:$AI$804,1),1),VLOOKUP(AU1676,INDEX((係数_バス貨物_ガソリン,係数_バス貨物_CNG,係数_バス貨物_軽油,係数_バス貨物_メタノール,係数_バス貨物_LPG),MATCH(AY1676,【参考】排出係数!$AI$4:$AI$671,1),1,BE1676):INDEX((係数_バス貨物_ガソリン,係数_バス貨物_CNG,係数_バス貨物_軽油,係数_バス貨物_メタノール,係数_バス貨物_LPG),MATCH(AY1676+1,【参考】排出係数!$AI$4:$AI$671,1)-1,5,BE1676),4,FALSE)),IF(AND(BE1676=3,LEFT(BF1676,1)="1"),0.48,VLOOKUP(AU1676,INDEX((係数_乗用_ガソリン,係数_乗用_CNG,係数_乗用_軽油,係数_乗用_メタノール,係数_乗用_LPG),1,1,BE1676):INDEX((係数_乗用_ガソリン,係数_乗用_CNG,係数_乗用_軽油,係数_乗用_メタノール,係数_乗用_LPG),125,5,BE1676),4,FALSE)))))</f>
        <v/>
      </c>
      <c r="AL1676" s="461" t="str">
        <f t="shared" si="957"/>
        <v/>
      </c>
      <c r="AM1676" s="460" t="str">
        <f>IF(AU1676="","",IF(OR(AZ1676=8,AZ1676=9),0,IF(OR(AW1676=3,AW1676=4,AW1676=5,AW1676=6),IF(LEFT(BH1676,1)="1",INDEX(係数_PM低減,MATCH(AY1676,【参考】排出係数!$AI$801:$AI$804,1),MATCH(BI1676,【参考】排出係数!$AL$798:$AO$798,1)),VLOOKUP(AU1676,INDEX((係数_バス貨物_ガソリン,係数_バス貨物_CNG,係数_バス貨物_軽油,係数_バス貨物_メタノール,係数_バス貨物_LPG),MATCH(AY1676,【参考】排出係数!$AI$4:$AI$671,1),1,BE1676):INDEX((係数_バス貨物_ガソリン,係数_バス貨物_CNG,係数_バス貨物_軽油,係数_バス貨物_メタノール,係数_バス貨物_LPG),MATCH(AY1676+1,【参考】排出係数!$AI$4:$AI$671,1)-1,5,BE1676),5,FALSE)),IF(AND(BE1676=3,LEFT(BF1676,1)="1"),0.055,VLOOKUP(AU1676,INDEX((係数_乗用_ガソリン,係数_乗用_CNG,係数_乗用_軽油,係数_乗用_メタノール,係数_乗用_LPG),1,1,BE1676):INDEX((係数_乗用_ガソリン,係数_乗用_CNG,係数_乗用_軽油,係数_乗用_メタノール,係数_乗用_LPG),125,5,BE1676),5,FALSE)))))</f>
        <v/>
      </c>
      <c r="AN1676" s="461" t="str">
        <f t="shared" si="958"/>
        <v/>
      </c>
      <c r="AO1676" s="462" t="str">
        <f t="shared" si="959"/>
        <v/>
      </c>
      <c r="AP1676" s="463" t="str">
        <f t="shared" si="960"/>
        <v/>
      </c>
      <c r="AQ1676" s="464"/>
      <c r="AR1676" s="619"/>
      <c r="AS1676" s="465" t="str">
        <f t="shared" si="968"/>
        <v/>
      </c>
      <c r="AT1676" s="465" t="str">
        <f t="shared" si="969"/>
        <v/>
      </c>
      <c r="AU1676" s="466" t="str">
        <f t="shared" si="970"/>
        <v/>
      </c>
      <c r="AV1676" s="467" t="str">
        <f t="shared" si="971"/>
        <v/>
      </c>
      <c r="AW1676" s="467" t="str">
        <f t="shared" si="972"/>
        <v/>
      </c>
      <c r="AX1676" s="467" t="str">
        <f t="shared" si="973"/>
        <v/>
      </c>
      <c r="AY1676" s="467" t="str">
        <f t="shared" si="974"/>
        <v/>
      </c>
      <c r="AZ1676" s="467" t="str">
        <f t="shared" si="975"/>
        <v/>
      </c>
      <c r="BA1676" s="468" t="str">
        <f>IF(AS1676="","",IF(OR(AU1676="",AU1676="-"),"－",IF(OR(AZ1676=8,AZ1676=9),"",IF(OR(AW1676=3,AW1676=4,AW1676=5,AW1676=6),VLOOKUP(AU1676,INDEX((係数_バス貨物_ガソリン,係数_バス貨物_CNG,係数_バス貨物_軽油,係数_バス貨物_メタノール,係数_バス貨物_LPG),MATCH(AY1676,【参考】排出係数!$AI$4:$AI$671,1),1,BE1676):INDEX((係数_バス貨物_ガソリン,係数_バス貨物_CNG,係数_バス貨物_軽油,係数_バス貨物_メタノール,係数_バス貨物_LPG),MATCH(AY1676+1,【参考】排出係数!$AI$4:$AI$671,1)-1,5,BE1676),2,FALSE),IF(OR(AW1676=1,AW1676=2),VLOOKUP(AU1676,INDEX((係数_乗用_ガソリン,係数_乗用_CNG,係数_乗用_軽油,係数_乗用_メタノール,係数_乗用_LPG),1,1,BE1676):INDEX((係数_乗用_ガソリン,係数_乗用_CNG,係数_乗用_軽油,係数_乗用_メタノール,係数_乗用_LPG),125,5,BE1676),2,FALSE))))))</f>
        <v/>
      </c>
      <c r="BB1676" s="468" t="str">
        <f>IF(T1676="","",IF(OR(AU1676="",AU1676="-"),"－",IF(OR(AZ1676=8,AZ1676=9),"",IF(OR(AW1676=3,AW1676=4,AW1676=5,AW1676=6),VLOOKUP(AU1676,INDEX((係数_バス貨物_ガソリン,係数_バス貨物_CNG,係数_バス貨物_軽油,係数_バス貨物_メタノール,係数_バス貨物_LPG),MATCH(AY1676,【参考】排出係数!$AI$4:$AI$671,1),1,BE1676):INDEX((係数_バス貨物_ガソリン,係数_バス貨物_CNG,係数_バス貨物_軽油,係数_バス貨物_メタノール,係数_バス貨物_LPG),MATCH(AY1676+1,【参考】排出係数!$AI$4:$AI$671,1)-1,5,BE1676),3,FALSE),IF(OR(AW1676=1,AW1676=2),VLOOKUP(AU1676,INDEX((係数_乗用_ガソリン,係数_乗用_CNG,係数_乗用_軽油,係数_乗用_メタノール,係数_乗用_LPG),1,1,BE1676):INDEX((係数_乗用_ガソリン,係数_乗用_CNG,係数_乗用_軽油,係数_乗用_メタノール,係数_乗用_LPG),125,5,BE1676),3,FALSE))))))</f>
        <v/>
      </c>
      <c r="BC1676" s="467" t="str">
        <f t="shared" si="976"/>
        <v/>
      </c>
      <c r="BD1676" s="567" t="str">
        <f t="shared" si="977"/>
        <v/>
      </c>
      <c r="BE1676" s="467" t="str">
        <f t="shared" si="978"/>
        <v/>
      </c>
      <c r="BF1676" s="469" t="str">
        <f t="shared" ca="1" si="979"/>
        <v/>
      </c>
      <c r="BG1676" s="469" t="str">
        <f t="shared" ca="1" si="980"/>
        <v/>
      </c>
      <c r="BH1676" s="467" t="str">
        <f t="shared" si="981"/>
        <v/>
      </c>
      <c r="BI1676" s="467" t="str">
        <f t="shared" ca="1" si="982"/>
        <v/>
      </c>
      <c r="BJ1676" s="469" t="str">
        <f t="shared" si="983"/>
        <v/>
      </c>
      <c r="BK1676" s="470" t="str">
        <f t="shared" si="967"/>
        <v/>
      </c>
      <c r="BL1676" s="775" t="str">
        <f t="shared" si="984"/>
        <v/>
      </c>
      <c r="BM1676" s="775" t="str">
        <f t="shared" si="985"/>
        <v/>
      </c>
    </row>
    <row r="1677" spans="1:65">
      <c r="A1677" s="473">
        <v>1621</v>
      </c>
      <c r="B1677" s="132"/>
      <c r="C1677" s="332"/>
      <c r="D1677" s="333"/>
      <c r="E1677" s="333"/>
      <c r="F1677" s="334"/>
      <c r="G1677" s="337"/>
      <c r="H1677" s="131"/>
      <c r="I1677" s="337"/>
      <c r="J1677" s="131"/>
      <c r="K1677" s="458" t="str">
        <f t="shared" si="948"/>
        <v/>
      </c>
      <c r="L1677" s="458">
        <f t="shared" si="949"/>
        <v>0</v>
      </c>
      <c r="M1677" s="458">
        <f t="shared" si="950"/>
        <v>0</v>
      </c>
      <c r="N1677" s="459" t="str">
        <f t="shared" si="961"/>
        <v/>
      </c>
      <c r="O1677" s="459" t="str">
        <f t="shared" si="962"/>
        <v/>
      </c>
      <c r="P1677" s="459" t="str">
        <f t="shared" si="963"/>
        <v/>
      </c>
      <c r="Q1677" s="459" t="str">
        <f t="shared" si="964"/>
        <v/>
      </c>
      <c r="R1677" s="459" t="str">
        <f t="shared" si="965"/>
        <v/>
      </c>
      <c r="S1677" s="459" t="str">
        <f t="shared" si="966"/>
        <v/>
      </c>
      <c r="T1677" s="566" t="str">
        <f t="shared" si="951"/>
        <v/>
      </c>
      <c r="U1677" s="702"/>
      <c r="V1677" s="132"/>
      <c r="W1677" s="133"/>
      <c r="X1677" s="134"/>
      <c r="Y1677" s="135"/>
      <c r="Z1677" s="137"/>
      <c r="AA1677" s="136"/>
      <c r="AB1677" s="566" t="str">
        <f t="shared" si="952"/>
        <v/>
      </c>
      <c r="AC1677" s="568" t="str">
        <f t="shared" si="953"/>
        <v/>
      </c>
      <c r="AD1677" s="137"/>
      <c r="AE1677" s="137"/>
      <c r="AF1677" s="138"/>
      <c r="AG1677" s="138"/>
      <c r="AH1677" s="592" t="str">
        <f t="shared" si="954"/>
        <v/>
      </c>
      <c r="AI1677" s="592" t="str">
        <f t="shared" si="955"/>
        <v/>
      </c>
      <c r="AJ1677" s="592" t="str">
        <f t="shared" si="956"/>
        <v/>
      </c>
      <c r="AK1677" s="460" t="str">
        <f>IF(AU1677="","",IF(OR(AZ1677=8,AZ1677=9),0,IF(OR(AW1677=3,AW1677=4,AW1677=5,AW1677=6),IF(LEFT(BF1677,1)="1",INDEX(係数_NOX・PM低減,MATCH(AY1677,【参考】排出係数!$AI$801:$AI$804,1),1),VLOOKUP(AU1677,INDEX((係数_バス貨物_ガソリン,係数_バス貨物_CNG,係数_バス貨物_軽油,係数_バス貨物_メタノール,係数_バス貨物_LPG),MATCH(AY1677,【参考】排出係数!$AI$4:$AI$671,1),1,BE1677):INDEX((係数_バス貨物_ガソリン,係数_バス貨物_CNG,係数_バス貨物_軽油,係数_バス貨物_メタノール,係数_バス貨物_LPG),MATCH(AY1677+1,【参考】排出係数!$AI$4:$AI$671,1)-1,5,BE1677),4,FALSE)),IF(AND(BE1677=3,LEFT(BF1677,1)="1"),0.48,VLOOKUP(AU1677,INDEX((係数_乗用_ガソリン,係数_乗用_CNG,係数_乗用_軽油,係数_乗用_メタノール,係数_乗用_LPG),1,1,BE1677):INDEX((係数_乗用_ガソリン,係数_乗用_CNG,係数_乗用_軽油,係数_乗用_メタノール,係数_乗用_LPG),125,5,BE1677),4,FALSE)))))</f>
        <v/>
      </c>
      <c r="AL1677" s="461" t="str">
        <f t="shared" si="957"/>
        <v/>
      </c>
      <c r="AM1677" s="460" t="str">
        <f>IF(AU1677="","",IF(OR(AZ1677=8,AZ1677=9),0,IF(OR(AW1677=3,AW1677=4,AW1677=5,AW1677=6),IF(LEFT(BH1677,1)="1",INDEX(係数_PM低減,MATCH(AY1677,【参考】排出係数!$AI$801:$AI$804,1),MATCH(BI1677,【参考】排出係数!$AL$798:$AO$798,1)),VLOOKUP(AU1677,INDEX((係数_バス貨物_ガソリン,係数_バス貨物_CNG,係数_バス貨物_軽油,係数_バス貨物_メタノール,係数_バス貨物_LPG),MATCH(AY1677,【参考】排出係数!$AI$4:$AI$671,1),1,BE1677):INDEX((係数_バス貨物_ガソリン,係数_バス貨物_CNG,係数_バス貨物_軽油,係数_バス貨物_メタノール,係数_バス貨物_LPG),MATCH(AY1677+1,【参考】排出係数!$AI$4:$AI$671,1)-1,5,BE1677),5,FALSE)),IF(AND(BE1677=3,LEFT(BF1677,1)="1"),0.055,VLOOKUP(AU1677,INDEX((係数_乗用_ガソリン,係数_乗用_CNG,係数_乗用_軽油,係数_乗用_メタノール,係数_乗用_LPG),1,1,BE1677):INDEX((係数_乗用_ガソリン,係数_乗用_CNG,係数_乗用_軽油,係数_乗用_メタノール,係数_乗用_LPG),125,5,BE1677),5,FALSE)))))</f>
        <v/>
      </c>
      <c r="AN1677" s="461" t="str">
        <f t="shared" si="958"/>
        <v/>
      </c>
      <c r="AO1677" s="462" t="str">
        <f t="shared" si="959"/>
        <v/>
      </c>
      <c r="AP1677" s="463" t="str">
        <f t="shared" si="960"/>
        <v/>
      </c>
      <c r="AQ1677" s="464"/>
      <c r="AR1677" s="619"/>
      <c r="AS1677" s="465" t="str">
        <f t="shared" si="968"/>
        <v/>
      </c>
      <c r="AT1677" s="465" t="str">
        <f t="shared" si="969"/>
        <v/>
      </c>
      <c r="AU1677" s="466" t="str">
        <f t="shared" si="970"/>
        <v/>
      </c>
      <c r="AV1677" s="467" t="str">
        <f t="shared" si="971"/>
        <v/>
      </c>
      <c r="AW1677" s="467" t="str">
        <f t="shared" si="972"/>
        <v/>
      </c>
      <c r="AX1677" s="467" t="str">
        <f t="shared" si="973"/>
        <v/>
      </c>
      <c r="AY1677" s="467" t="str">
        <f t="shared" si="974"/>
        <v/>
      </c>
      <c r="AZ1677" s="467" t="str">
        <f t="shared" si="975"/>
        <v/>
      </c>
      <c r="BA1677" s="468" t="str">
        <f>IF(AS1677="","",IF(OR(AU1677="",AU1677="-"),"－",IF(OR(AZ1677=8,AZ1677=9),"",IF(OR(AW1677=3,AW1677=4,AW1677=5,AW1677=6),VLOOKUP(AU1677,INDEX((係数_バス貨物_ガソリン,係数_バス貨物_CNG,係数_バス貨物_軽油,係数_バス貨物_メタノール,係数_バス貨物_LPG),MATCH(AY1677,【参考】排出係数!$AI$4:$AI$671,1),1,BE1677):INDEX((係数_バス貨物_ガソリン,係数_バス貨物_CNG,係数_バス貨物_軽油,係数_バス貨物_メタノール,係数_バス貨物_LPG),MATCH(AY1677+1,【参考】排出係数!$AI$4:$AI$671,1)-1,5,BE1677),2,FALSE),IF(OR(AW1677=1,AW1677=2),VLOOKUP(AU1677,INDEX((係数_乗用_ガソリン,係数_乗用_CNG,係数_乗用_軽油,係数_乗用_メタノール,係数_乗用_LPG),1,1,BE1677):INDEX((係数_乗用_ガソリン,係数_乗用_CNG,係数_乗用_軽油,係数_乗用_メタノール,係数_乗用_LPG),125,5,BE1677),2,FALSE))))))</f>
        <v/>
      </c>
      <c r="BB1677" s="468" t="str">
        <f>IF(T1677="","",IF(OR(AU1677="",AU1677="-"),"－",IF(OR(AZ1677=8,AZ1677=9),"",IF(OR(AW1677=3,AW1677=4,AW1677=5,AW1677=6),VLOOKUP(AU1677,INDEX((係数_バス貨物_ガソリン,係数_バス貨物_CNG,係数_バス貨物_軽油,係数_バス貨物_メタノール,係数_バス貨物_LPG),MATCH(AY1677,【参考】排出係数!$AI$4:$AI$671,1),1,BE1677):INDEX((係数_バス貨物_ガソリン,係数_バス貨物_CNG,係数_バス貨物_軽油,係数_バス貨物_メタノール,係数_バス貨物_LPG),MATCH(AY1677+1,【参考】排出係数!$AI$4:$AI$671,1)-1,5,BE1677),3,FALSE),IF(OR(AW1677=1,AW1677=2),VLOOKUP(AU1677,INDEX((係数_乗用_ガソリン,係数_乗用_CNG,係数_乗用_軽油,係数_乗用_メタノール,係数_乗用_LPG),1,1,BE1677):INDEX((係数_乗用_ガソリン,係数_乗用_CNG,係数_乗用_軽油,係数_乗用_メタノール,係数_乗用_LPG),125,5,BE1677),3,FALSE))))))</f>
        <v/>
      </c>
      <c r="BC1677" s="467" t="str">
        <f t="shared" si="976"/>
        <v/>
      </c>
      <c r="BD1677" s="567" t="str">
        <f t="shared" si="977"/>
        <v/>
      </c>
      <c r="BE1677" s="467" t="str">
        <f t="shared" si="978"/>
        <v/>
      </c>
      <c r="BF1677" s="469" t="str">
        <f t="shared" ca="1" si="979"/>
        <v/>
      </c>
      <c r="BG1677" s="469" t="str">
        <f t="shared" ca="1" si="980"/>
        <v/>
      </c>
      <c r="BH1677" s="467" t="str">
        <f t="shared" si="981"/>
        <v/>
      </c>
      <c r="BI1677" s="467" t="str">
        <f t="shared" ca="1" si="982"/>
        <v/>
      </c>
      <c r="BJ1677" s="469" t="str">
        <f t="shared" si="983"/>
        <v/>
      </c>
      <c r="BK1677" s="470" t="str">
        <f t="shared" si="967"/>
        <v/>
      </c>
      <c r="BL1677" s="775" t="str">
        <f t="shared" si="984"/>
        <v/>
      </c>
      <c r="BM1677" s="775" t="str">
        <f t="shared" si="985"/>
        <v/>
      </c>
    </row>
    <row r="1678" spans="1:65">
      <c r="A1678" s="473">
        <v>1622</v>
      </c>
      <c r="B1678" s="132"/>
      <c r="C1678" s="332"/>
      <c r="D1678" s="333"/>
      <c r="E1678" s="333"/>
      <c r="F1678" s="334"/>
      <c r="G1678" s="337"/>
      <c r="H1678" s="131"/>
      <c r="I1678" s="337"/>
      <c r="J1678" s="131"/>
      <c r="K1678" s="458" t="str">
        <f t="shared" si="948"/>
        <v/>
      </c>
      <c r="L1678" s="458">
        <f t="shared" si="949"/>
        <v>0</v>
      </c>
      <c r="M1678" s="458">
        <f t="shared" si="950"/>
        <v>0</v>
      </c>
      <c r="N1678" s="459" t="str">
        <f t="shared" si="961"/>
        <v/>
      </c>
      <c r="O1678" s="459" t="str">
        <f t="shared" si="962"/>
        <v/>
      </c>
      <c r="P1678" s="459" t="str">
        <f t="shared" si="963"/>
        <v/>
      </c>
      <c r="Q1678" s="459" t="str">
        <f t="shared" si="964"/>
        <v/>
      </c>
      <c r="R1678" s="459" t="str">
        <f t="shared" si="965"/>
        <v/>
      </c>
      <c r="S1678" s="459" t="str">
        <f t="shared" si="966"/>
        <v/>
      </c>
      <c r="T1678" s="566" t="str">
        <f t="shared" si="951"/>
        <v/>
      </c>
      <c r="U1678" s="702"/>
      <c r="V1678" s="132"/>
      <c r="W1678" s="133"/>
      <c r="X1678" s="134"/>
      <c r="Y1678" s="135"/>
      <c r="Z1678" s="137"/>
      <c r="AA1678" s="136"/>
      <c r="AB1678" s="566" t="str">
        <f t="shared" si="952"/>
        <v/>
      </c>
      <c r="AC1678" s="568" t="str">
        <f t="shared" si="953"/>
        <v/>
      </c>
      <c r="AD1678" s="137"/>
      <c r="AE1678" s="137"/>
      <c r="AF1678" s="138"/>
      <c r="AG1678" s="138"/>
      <c r="AH1678" s="592" t="str">
        <f t="shared" si="954"/>
        <v/>
      </c>
      <c r="AI1678" s="592" t="str">
        <f t="shared" si="955"/>
        <v/>
      </c>
      <c r="AJ1678" s="592" t="str">
        <f t="shared" si="956"/>
        <v/>
      </c>
      <c r="AK1678" s="460" t="str">
        <f>IF(AU1678="","",IF(OR(AZ1678=8,AZ1678=9),0,IF(OR(AW1678=3,AW1678=4,AW1678=5,AW1678=6),IF(LEFT(BF1678,1)="1",INDEX(係数_NOX・PM低減,MATCH(AY1678,【参考】排出係数!$AI$801:$AI$804,1),1),VLOOKUP(AU1678,INDEX((係数_バス貨物_ガソリン,係数_バス貨物_CNG,係数_バス貨物_軽油,係数_バス貨物_メタノール,係数_バス貨物_LPG),MATCH(AY1678,【参考】排出係数!$AI$4:$AI$671,1),1,BE1678):INDEX((係数_バス貨物_ガソリン,係数_バス貨物_CNG,係数_バス貨物_軽油,係数_バス貨物_メタノール,係数_バス貨物_LPG),MATCH(AY1678+1,【参考】排出係数!$AI$4:$AI$671,1)-1,5,BE1678),4,FALSE)),IF(AND(BE1678=3,LEFT(BF1678,1)="1"),0.48,VLOOKUP(AU1678,INDEX((係数_乗用_ガソリン,係数_乗用_CNG,係数_乗用_軽油,係数_乗用_メタノール,係数_乗用_LPG),1,1,BE1678):INDEX((係数_乗用_ガソリン,係数_乗用_CNG,係数_乗用_軽油,係数_乗用_メタノール,係数_乗用_LPG),125,5,BE1678),4,FALSE)))))</f>
        <v/>
      </c>
      <c r="AL1678" s="461" t="str">
        <f t="shared" si="957"/>
        <v/>
      </c>
      <c r="AM1678" s="460" t="str">
        <f>IF(AU1678="","",IF(OR(AZ1678=8,AZ1678=9),0,IF(OR(AW1678=3,AW1678=4,AW1678=5,AW1678=6),IF(LEFT(BH1678,1)="1",INDEX(係数_PM低減,MATCH(AY1678,【参考】排出係数!$AI$801:$AI$804,1),MATCH(BI1678,【参考】排出係数!$AL$798:$AO$798,1)),VLOOKUP(AU1678,INDEX((係数_バス貨物_ガソリン,係数_バス貨物_CNG,係数_バス貨物_軽油,係数_バス貨物_メタノール,係数_バス貨物_LPG),MATCH(AY1678,【参考】排出係数!$AI$4:$AI$671,1),1,BE1678):INDEX((係数_バス貨物_ガソリン,係数_バス貨物_CNG,係数_バス貨物_軽油,係数_バス貨物_メタノール,係数_バス貨物_LPG),MATCH(AY1678+1,【参考】排出係数!$AI$4:$AI$671,1)-1,5,BE1678),5,FALSE)),IF(AND(BE1678=3,LEFT(BF1678,1)="1"),0.055,VLOOKUP(AU1678,INDEX((係数_乗用_ガソリン,係数_乗用_CNG,係数_乗用_軽油,係数_乗用_メタノール,係数_乗用_LPG),1,1,BE1678):INDEX((係数_乗用_ガソリン,係数_乗用_CNG,係数_乗用_軽油,係数_乗用_メタノール,係数_乗用_LPG),125,5,BE1678),5,FALSE)))))</f>
        <v/>
      </c>
      <c r="AN1678" s="461" t="str">
        <f t="shared" si="958"/>
        <v/>
      </c>
      <c r="AO1678" s="462" t="str">
        <f t="shared" si="959"/>
        <v/>
      </c>
      <c r="AP1678" s="463" t="str">
        <f t="shared" si="960"/>
        <v/>
      </c>
      <c r="AQ1678" s="464"/>
      <c r="AR1678" s="619"/>
      <c r="AS1678" s="465" t="str">
        <f t="shared" si="968"/>
        <v/>
      </c>
      <c r="AT1678" s="465" t="str">
        <f t="shared" si="969"/>
        <v/>
      </c>
      <c r="AU1678" s="466" t="str">
        <f t="shared" si="970"/>
        <v/>
      </c>
      <c r="AV1678" s="467" t="str">
        <f t="shared" si="971"/>
        <v/>
      </c>
      <c r="AW1678" s="467" t="str">
        <f t="shared" si="972"/>
        <v/>
      </c>
      <c r="AX1678" s="467" t="str">
        <f t="shared" si="973"/>
        <v/>
      </c>
      <c r="AY1678" s="467" t="str">
        <f t="shared" si="974"/>
        <v/>
      </c>
      <c r="AZ1678" s="467" t="str">
        <f t="shared" si="975"/>
        <v/>
      </c>
      <c r="BA1678" s="468" t="str">
        <f>IF(AS1678="","",IF(OR(AU1678="",AU1678="-"),"－",IF(OR(AZ1678=8,AZ1678=9),"",IF(OR(AW1678=3,AW1678=4,AW1678=5,AW1678=6),VLOOKUP(AU1678,INDEX((係数_バス貨物_ガソリン,係数_バス貨物_CNG,係数_バス貨物_軽油,係数_バス貨物_メタノール,係数_バス貨物_LPG),MATCH(AY1678,【参考】排出係数!$AI$4:$AI$671,1),1,BE1678):INDEX((係数_バス貨物_ガソリン,係数_バス貨物_CNG,係数_バス貨物_軽油,係数_バス貨物_メタノール,係数_バス貨物_LPG),MATCH(AY1678+1,【参考】排出係数!$AI$4:$AI$671,1)-1,5,BE1678),2,FALSE),IF(OR(AW1678=1,AW1678=2),VLOOKUP(AU1678,INDEX((係数_乗用_ガソリン,係数_乗用_CNG,係数_乗用_軽油,係数_乗用_メタノール,係数_乗用_LPG),1,1,BE1678):INDEX((係数_乗用_ガソリン,係数_乗用_CNG,係数_乗用_軽油,係数_乗用_メタノール,係数_乗用_LPG),125,5,BE1678),2,FALSE))))))</f>
        <v/>
      </c>
      <c r="BB1678" s="468" t="str">
        <f>IF(T1678="","",IF(OR(AU1678="",AU1678="-"),"－",IF(OR(AZ1678=8,AZ1678=9),"",IF(OR(AW1678=3,AW1678=4,AW1678=5,AW1678=6),VLOOKUP(AU1678,INDEX((係数_バス貨物_ガソリン,係数_バス貨物_CNG,係数_バス貨物_軽油,係数_バス貨物_メタノール,係数_バス貨物_LPG),MATCH(AY1678,【参考】排出係数!$AI$4:$AI$671,1),1,BE1678):INDEX((係数_バス貨物_ガソリン,係数_バス貨物_CNG,係数_バス貨物_軽油,係数_バス貨物_メタノール,係数_バス貨物_LPG),MATCH(AY1678+1,【参考】排出係数!$AI$4:$AI$671,1)-1,5,BE1678),3,FALSE),IF(OR(AW1678=1,AW1678=2),VLOOKUP(AU1678,INDEX((係数_乗用_ガソリン,係数_乗用_CNG,係数_乗用_軽油,係数_乗用_メタノール,係数_乗用_LPG),1,1,BE1678):INDEX((係数_乗用_ガソリン,係数_乗用_CNG,係数_乗用_軽油,係数_乗用_メタノール,係数_乗用_LPG),125,5,BE1678),3,FALSE))))))</f>
        <v/>
      </c>
      <c r="BC1678" s="467" t="str">
        <f t="shared" si="976"/>
        <v/>
      </c>
      <c r="BD1678" s="567" t="str">
        <f t="shared" si="977"/>
        <v/>
      </c>
      <c r="BE1678" s="467" t="str">
        <f t="shared" si="978"/>
        <v/>
      </c>
      <c r="BF1678" s="469" t="str">
        <f t="shared" ca="1" si="979"/>
        <v/>
      </c>
      <c r="BG1678" s="469" t="str">
        <f t="shared" ca="1" si="980"/>
        <v/>
      </c>
      <c r="BH1678" s="467" t="str">
        <f t="shared" si="981"/>
        <v/>
      </c>
      <c r="BI1678" s="467" t="str">
        <f t="shared" ca="1" si="982"/>
        <v/>
      </c>
      <c r="BJ1678" s="469" t="str">
        <f t="shared" si="983"/>
        <v/>
      </c>
      <c r="BK1678" s="470" t="str">
        <f t="shared" si="967"/>
        <v/>
      </c>
      <c r="BL1678" s="775" t="str">
        <f t="shared" si="984"/>
        <v/>
      </c>
      <c r="BM1678" s="775" t="str">
        <f t="shared" si="985"/>
        <v/>
      </c>
    </row>
    <row r="1679" spans="1:65">
      <c r="A1679" s="473">
        <v>1623</v>
      </c>
      <c r="B1679" s="132"/>
      <c r="C1679" s="332"/>
      <c r="D1679" s="333"/>
      <c r="E1679" s="333"/>
      <c r="F1679" s="334"/>
      <c r="G1679" s="337"/>
      <c r="H1679" s="131"/>
      <c r="I1679" s="337"/>
      <c r="J1679" s="131"/>
      <c r="K1679" s="458" t="str">
        <f t="shared" si="948"/>
        <v/>
      </c>
      <c r="L1679" s="458">
        <f t="shared" si="949"/>
        <v>0</v>
      </c>
      <c r="M1679" s="458">
        <f t="shared" si="950"/>
        <v>0</v>
      </c>
      <c r="N1679" s="459" t="str">
        <f t="shared" si="961"/>
        <v/>
      </c>
      <c r="O1679" s="459" t="str">
        <f t="shared" si="962"/>
        <v/>
      </c>
      <c r="P1679" s="459" t="str">
        <f t="shared" si="963"/>
        <v/>
      </c>
      <c r="Q1679" s="459" t="str">
        <f t="shared" si="964"/>
        <v/>
      </c>
      <c r="R1679" s="459" t="str">
        <f t="shared" si="965"/>
        <v/>
      </c>
      <c r="S1679" s="459" t="str">
        <f t="shared" si="966"/>
        <v/>
      </c>
      <c r="T1679" s="566" t="str">
        <f t="shared" si="951"/>
        <v/>
      </c>
      <c r="U1679" s="702"/>
      <c r="V1679" s="132"/>
      <c r="W1679" s="133"/>
      <c r="X1679" s="134"/>
      <c r="Y1679" s="135"/>
      <c r="Z1679" s="137"/>
      <c r="AA1679" s="136"/>
      <c r="AB1679" s="566" t="str">
        <f t="shared" si="952"/>
        <v/>
      </c>
      <c r="AC1679" s="568" t="str">
        <f t="shared" si="953"/>
        <v/>
      </c>
      <c r="AD1679" s="137"/>
      <c r="AE1679" s="137"/>
      <c r="AF1679" s="138"/>
      <c r="AG1679" s="138"/>
      <c r="AH1679" s="592" t="str">
        <f t="shared" si="954"/>
        <v/>
      </c>
      <c r="AI1679" s="592" t="str">
        <f t="shared" si="955"/>
        <v/>
      </c>
      <c r="AJ1679" s="592" t="str">
        <f t="shared" si="956"/>
        <v/>
      </c>
      <c r="AK1679" s="460" t="str">
        <f>IF(AU1679="","",IF(OR(AZ1679=8,AZ1679=9),0,IF(OR(AW1679=3,AW1679=4,AW1679=5,AW1679=6),IF(LEFT(BF1679,1)="1",INDEX(係数_NOX・PM低減,MATCH(AY1679,【参考】排出係数!$AI$801:$AI$804,1),1),VLOOKUP(AU1679,INDEX((係数_バス貨物_ガソリン,係数_バス貨物_CNG,係数_バス貨物_軽油,係数_バス貨物_メタノール,係数_バス貨物_LPG),MATCH(AY1679,【参考】排出係数!$AI$4:$AI$671,1),1,BE1679):INDEX((係数_バス貨物_ガソリン,係数_バス貨物_CNG,係数_バス貨物_軽油,係数_バス貨物_メタノール,係数_バス貨物_LPG),MATCH(AY1679+1,【参考】排出係数!$AI$4:$AI$671,1)-1,5,BE1679),4,FALSE)),IF(AND(BE1679=3,LEFT(BF1679,1)="1"),0.48,VLOOKUP(AU1679,INDEX((係数_乗用_ガソリン,係数_乗用_CNG,係数_乗用_軽油,係数_乗用_メタノール,係数_乗用_LPG),1,1,BE1679):INDEX((係数_乗用_ガソリン,係数_乗用_CNG,係数_乗用_軽油,係数_乗用_メタノール,係数_乗用_LPG),125,5,BE1679),4,FALSE)))))</f>
        <v/>
      </c>
      <c r="AL1679" s="461" t="str">
        <f t="shared" si="957"/>
        <v/>
      </c>
      <c r="AM1679" s="460" t="str">
        <f>IF(AU1679="","",IF(OR(AZ1679=8,AZ1679=9),0,IF(OR(AW1679=3,AW1679=4,AW1679=5,AW1679=6),IF(LEFT(BH1679,1)="1",INDEX(係数_PM低減,MATCH(AY1679,【参考】排出係数!$AI$801:$AI$804,1),MATCH(BI1679,【参考】排出係数!$AL$798:$AO$798,1)),VLOOKUP(AU1679,INDEX((係数_バス貨物_ガソリン,係数_バス貨物_CNG,係数_バス貨物_軽油,係数_バス貨物_メタノール,係数_バス貨物_LPG),MATCH(AY1679,【参考】排出係数!$AI$4:$AI$671,1),1,BE1679):INDEX((係数_バス貨物_ガソリン,係数_バス貨物_CNG,係数_バス貨物_軽油,係数_バス貨物_メタノール,係数_バス貨物_LPG),MATCH(AY1679+1,【参考】排出係数!$AI$4:$AI$671,1)-1,5,BE1679),5,FALSE)),IF(AND(BE1679=3,LEFT(BF1679,1)="1"),0.055,VLOOKUP(AU1679,INDEX((係数_乗用_ガソリン,係数_乗用_CNG,係数_乗用_軽油,係数_乗用_メタノール,係数_乗用_LPG),1,1,BE1679):INDEX((係数_乗用_ガソリン,係数_乗用_CNG,係数_乗用_軽油,係数_乗用_メタノール,係数_乗用_LPG),125,5,BE1679),5,FALSE)))))</f>
        <v/>
      </c>
      <c r="AN1679" s="461" t="str">
        <f t="shared" si="958"/>
        <v/>
      </c>
      <c r="AO1679" s="462" t="str">
        <f t="shared" si="959"/>
        <v/>
      </c>
      <c r="AP1679" s="463" t="str">
        <f t="shared" si="960"/>
        <v/>
      </c>
      <c r="AQ1679" s="464"/>
      <c r="AR1679" s="619"/>
      <c r="AS1679" s="465" t="str">
        <f t="shared" si="968"/>
        <v/>
      </c>
      <c r="AT1679" s="465" t="str">
        <f t="shared" si="969"/>
        <v/>
      </c>
      <c r="AU1679" s="466" t="str">
        <f t="shared" si="970"/>
        <v/>
      </c>
      <c r="AV1679" s="467" t="str">
        <f t="shared" si="971"/>
        <v/>
      </c>
      <c r="AW1679" s="467" t="str">
        <f t="shared" si="972"/>
        <v/>
      </c>
      <c r="AX1679" s="467" t="str">
        <f t="shared" si="973"/>
        <v/>
      </c>
      <c r="AY1679" s="467" t="str">
        <f t="shared" si="974"/>
        <v/>
      </c>
      <c r="AZ1679" s="467" t="str">
        <f t="shared" si="975"/>
        <v/>
      </c>
      <c r="BA1679" s="468" t="str">
        <f>IF(AS1679="","",IF(OR(AU1679="",AU1679="-"),"－",IF(OR(AZ1679=8,AZ1679=9),"",IF(OR(AW1679=3,AW1679=4,AW1679=5,AW1679=6),VLOOKUP(AU1679,INDEX((係数_バス貨物_ガソリン,係数_バス貨物_CNG,係数_バス貨物_軽油,係数_バス貨物_メタノール,係数_バス貨物_LPG),MATCH(AY1679,【参考】排出係数!$AI$4:$AI$671,1),1,BE1679):INDEX((係数_バス貨物_ガソリン,係数_バス貨物_CNG,係数_バス貨物_軽油,係数_バス貨物_メタノール,係数_バス貨物_LPG),MATCH(AY1679+1,【参考】排出係数!$AI$4:$AI$671,1)-1,5,BE1679),2,FALSE),IF(OR(AW1679=1,AW1679=2),VLOOKUP(AU1679,INDEX((係数_乗用_ガソリン,係数_乗用_CNG,係数_乗用_軽油,係数_乗用_メタノール,係数_乗用_LPG),1,1,BE1679):INDEX((係数_乗用_ガソリン,係数_乗用_CNG,係数_乗用_軽油,係数_乗用_メタノール,係数_乗用_LPG),125,5,BE1679),2,FALSE))))))</f>
        <v/>
      </c>
      <c r="BB1679" s="468" t="str">
        <f>IF(T1679="","",IF(OR(AU1679="",AU1679="-"),"－",IF(OR(AZ1679=8,AZ1679=9),"",IF(OR(AW1679=3,AW1679=4,AW1679=5,AW1679=6),VLOOKUP(AU1679,INDEX((係数_バス貨物_ガソリン,係数_バス貨物_CNG,係数_バス貨物_軽油,係数_バス貨物_メタノール,係数_バス貨物_LPG),MATCH(AY1679,【参考】排出係数!$AI$4:$AI$671,1),1,BE1679):INDEX((係数_バス貨物_ガソリン,係数_バス貨物_CNG,係数_バス貨物_軽油,係数_バス貨物_メタノール,係数_バス貨物_LPG),MATCH(AY1679+1,【参考】排出係数!$AI$4:$AI$671,1)-1,5,BE1679),3,FALSE),IF(OR(AW1679=1,AW1679=2),VLOOKUP(AU1679,INDEX((係数_乗用_ガソリン,係数_乗用_CNG,係数_乗用_軽油,係数_乗用_メタノール,係数_乗用_LPG),1,1,BE1679):INDEX((係数_乗用_ガソリン,係数_乗用_CNG,係数_乗用_軽油,係数_乗用_メタノール,係数_乗用_LPG),125,5,BE1679),3,FALSE))))))</f>
        <v/>
      </c>
      <c r="BC1679" s="467" t="str">
        <f t="shared" si="976"/>
        <v/>
      </c>
      <c r="BD1679" s="567" t="str">
        <f t="shared" si="977"/>
        <v/>
      </c>
      <c r="BE1679" s="467" t="str">
        <f t="shared" si="978"/>
        <v/>
      </c>
      <c r="BF1679" s="469" t="str">
        <f t="shared" ca="1" si="979"/>
        <v/>
      </c>
      <c r="BG1679" s="469" t="str">
        <f t="shared" ca="1" si="980"/>
        <v/>
      </c>
      <c r="BH1679" s="467" t="str">
        <f t="shared" si="981"/>
        <v/>
      </c>
      <c r="BI1679" s="467" t="str">
        <f t="shared" ca="1" si="982"/>
        <v/>
      </c>
      <c r="BJ1679" s="469" t="str">
        <f t="shared" si="983"/>
        <v/>
      </c>
      <c r="BK1679" s="470" t="str">
        <f t="shared" si="967"/>
        <v/>
      </c>
      <c r="BL1679" s="775" t="str">
        <f t="shared" si="984"/>
        <v/>
      </c>
      <c r="BM1679" s="775" t="str">
        <f t="shared" si="985"/>
        <v/>
      </c>
    </row>
    <row r="1680" spans="1:65">
      <c r="A1680" s="473">
        <v>1624</v>
      </c>
      <c r="B1680" s="132"/>
      <c r="C1680" s="332"/>
      <c r="D1680" s="333"/>
      <c r="E1680" s="333"/>
      <c r="F1680" s="334"/>
      <c r="G1680" s="337"/>
      <c r="H1680" s="131"/>
      <c r="I1680" s="337"/>
      <c r="J1680" s="131"/>
      <c r="K1680" s="458" t="str">
        <f t="shared" si="948"/>
        <v/>
      </c>
      <c r="L1680" s="458">
        <f t="shared" si="949"/>
        <v>0</v>
      </c>
      <c r="M1680" s="458">
        <f t="shared" si="950"/>
        <v>0</v>
      </c>
      <c r="N1680" s="459" t="str">
        <f t="shared" si="961"/>
        <v/>
      </c>
      <c r="O1680" s="459" t="str">
        <f t="shared" si="962"/>
        <v/>
      </c>
      <c r="P1680" s="459" t="str">
        <f t="shared" si="963"/>
        <v/>
      </c>
      <c r="Q1680" s="459" t="str">
        <f t="shared" si="964"/>
        <v/>
      </c>
      <c r="R1680" s="459" t="str">
        <f t="shared" si="965"/>
        <v/>
      </c>
      <c r="S1680" s="459" t="str">
        <f t="shared" si="966"/>
        <v/>
      </c>
      <c r="T1680" s="566" t="str">
        <f t="shared" si="951"/>
        <v/>
      </c>
      <c r="U1680" s="702"/>
      <c r="V1680" s="132"/>
      <c r="W1680" s="133"/>
      <c r="X1680" s="134"/>
      <c r="Y1680" s="135"/>
      <c r="Z1680" s="137"/>
      <c r="AA1680" s="136"/>
      <c r="AB1680" s="566" t="str">
        <f t="shared" si="952"/>
        <v/>
      </c>
      <c r="AC1680" s="568" t="str">
        <f t="shared" si="953"/>
        <v/>
      </c>
      <c r="AD1680" s="137"/>
      <c r="AE1680" s="137"/>
      <c r="AF1680" s="138"/>
      <c r="AG1680" s="138"/>
      <c r="AH1680" s="592" t="str">
        <f t="shared" si="954"/>
        <v/>
      </c>
      <c r="AI1680" s="592" t="str">
        <f t="shared" si="955"/>
        <v/>
      </c>
      <c r="AJ1680" s="592" t="str">
        <f t="shared" si="956"/>
        <v/>
      </c>
      <c r="AK1680" s="460" t="str">
        <f>IF(AU1680="","",IF(OR(AZ1680=8,AZ1680=9),0,IF(OR(AW1680=3,AW1680=4,AW1680=5,AW1680=6),IF(LEFT(BF1680,1)="1",INDEX(係数_NOX・PM低減,MATCH(AY1680,【参考】排出係数!$AI$801:$AI$804,1),1),VLOOKUP(AU1680,INDEX((係数_バス貨物_ガソリン,係数_バス貨物_CNG,係数_バス貨物_軽油,係数_バス貨物_メタノール,係数_バス貨物_LPG),MATCH(AY1680,【参考】排出係数!$AI$4:$AI$671,1),1,BE1680):INDEX((係数_バス貨物_ガソリン,係数_バス貨物_CNG,係数_バス貨物_軽油,係数_バス貨物_メタノール,係数_バス貨物_LPG),MATCH(AY1680+1,【参考】排出係数!$AI$4:$AI$671,1)-1,5,BE1680),4,FALSE)),IF(AND(BE1680=3,LEFT(BF1680,1)="1"),0.48,VLOOKUP(AU1680,INDEX((係数_乗用_ガソリン,係数_乗用_CNG,係数_乗用_軽油,係数_乗用_メタノール,係数_乗用_LPG),1,1,BE1680):INDEX((係数_乗用_ガソリン,係数_乗用_CNG,係数_乗用_軽油,係数_乗用_メタノール,係数_乗用_LPG),125,5,BE1680),4,FALSE)))))</f>
        <v/>
      </c>
      <c r="AL1680" s="461" t="str">
        <f t="shared" si="957"/>
        <v/>
      </c>
      <c r="AM1680" s="460" t="str">
        <f>IF(AU1680="","",IF(OR(AZ1680=8,AZ1680=9),0,IF(OR(AW1680=3,AW1680=4,AW1680=5,AW1680=6),IF(LEFT(BH1680,1)="1",INDEX(係数_PM低減,MATCH(AY1680,【参考】排出係数!$AI$801:$AI$804,1),MATCH(BI1680,【参考】排出係数!$AL$798:$AO$798,1)),VLOOKUP(AU1680,INDEX((係数_バス貨物_ガソリン,係数_バス貨物_CNG,係数_バス貨物_軽油,係数_バス貨物_メタノール,係数_バス貨物_LPG),MATCH(AY1680,【参考】排出係数!$AI$4:$AI$671,1),1,BE1680):INDEX((係数_バス貨物_ガソリン,係数_バス貨物_CNG,係数_バス貨物_軽油,係数_バス貨物_メタノール,係数_バス貨物_LPG),MATCH(AY1680+1,【参考】排出係数!$AI$4:$AI$671,1)-1,5,BE1680),5,FALSE)),IF(AND(BE1680=3,LEFT(BF1680,1)="1"),0.055,VLOOKUP(AU1680,INDEX((係数_乗用_ガソリン,係数_乗用_CNG,係数_乗用_軽油,係数_乗用_メタノール,係数_乗用_LPG),1,1,BE1680):INDEX((係数_乗用_ガソリン,係数_乗用_CNG,係数_乗用_軽油,係数_乗用_メタノール,係数_乗用_LPG),125,5,BE1680),5,FALSE)))))</f>
        <v/>
      </c>
      <c r="AN1680" s="461" t="str">
        <f t="shared" si="958"/>
        <v/>
      </c>
      <c r="AO1680" s="462" t="str">
        <f t="shared" si="959"/>
        <v/>
      </c>
      <c r="AP1680" s="463" t="str">
        <f t="shared" si="960"/>
        <v/>
      </c>
      <c r="AQ1680" s="464"/>
      <c r="AR1680" s="619"/>
      <c r="AS1680" s="465" t="str">
        <f t="shared" si="968"/>
        <v/>
      </c>
      <c r="AT1680" s="465" t="str">
        <f t="shared" si="969"/>
        <v/>
      </c>
      <c r="AU1680" s="466" t="str">
        <f t="shared" si="970"/>
        <v/>
      </c>
      <c r="AV1680" s="467" t="str">
        <f t="shared" si="971"/>
        <v/>
      </c>
      <c r="AW1680" s="467" t="str">
        <f t="shared" si="972"/>
        <v/>
      </c>
      <c r="AX1680" s="467" t="str">
        <f t="shared" si="973"/>
        <v/>
      </c>
      <c r="AY1680" s="467" t="str">
        <f t="shared" si="974"/>
        <v/>
      </c>
      <c r="AZ1680" s="467" t="str">
        <f t="shared" si="975"/>
        <v/>
      </c>
      <c r="BA1680" s="468" t="str">
        <f>IF(AS1680="","",IF(OR(AU1680="",AU1680="-"),"－",IF(OR(AZ1680=8,AZ1680=9),"",IF(OR(AW1680=3,AW1680=4,AW1680=5,AW1680=6),VLOOKUP(AU1680,INDEX((係数_バス貨物_ガソリン,係数_バス貨物_CNG,係数_バス貨物_軽油,係数_バス貨物_メタノール,係数_バス貨物_LPG),MATCH(AY1680,【参考】排出係数!$AI$4:$AI$671,1),1,BE1680):INDEX((係数_バス貨物_ガソリン,係数_バス貨物_CNG,係数_バス貨物_軽油,係数_バス貨物_メタノール,係数_バス貨物_LPG),MATCH(AY1680+1,【参考】排出係数!$AI$4:$AI$671,1)-1,5,BE1680),2,FALSE),IF(OR(AW1680=1,AW1680=2),VLOOKUP(AU1680,INDEX((係数_乗用_ガソリン,係数_乗用_CNG,係数_乗用_軽油,係数_乗用_メタノール,係数_乗用_LPG),1,1,BE1680):INDEX((係数_乗用_ガソリン,係数_乗用_CNG,係数_乗用_軽油,係数_乗用_メタノール,係数_乗用_LPG),125,5,BE1680),2,FALSE))))))</f>
        <v/>
      </c>
      <c r="BB1680" s="468" t="str">
        <f>IF(T1680="","",IF(OR(AU1680="",AU1680="-"),"－",IF(OR(AZ1680=8,AZ1680=9),"",IF(OR(AW1680=3,AW1680=4,AW1680=5,AW1680=6),VLOOKUP(AU1680,INDEX((係数_バス貨物_ガソリン,係数_バス貨物_CNG,係数_バス貨物_軽油,係数_バス貨物_メタノール,係数_バス貨物_LPG),MATCH(AY1680,【参考】排出係数!$AI$4:$AI$671,1),1,BE1680):INDEX((係数_バス貨物_ガソリン,係数_バス貨物_CNG,係数_バス貨物_軽油,係数_バス貨物_メタノール,係数_バス貨物_LPG),MATCH(AY1680+1,【参考】排出係数!$AI$4:$AI$671,1)-1,5,BE1680),3,FALSE),IF(OR(AW1680=1,AW1680=2),VLOOKUP(AU1680,INDEX((係数_乗用_ガソリン,係数_乗用_CNG,係数_乗用_軽油,係数_乗用_メタノール,係数_乗用_LPG),1,1,BE1680):INDEX((係数_乗用_ガソリン,係数_乗用_CNG,係数_乗用_軽油,係数_乗用_メタノール,係数_乗用_LPG),125,5,BE1680),3,FALSE))))))</f>
        <v/>
      </c>
      <c r="BC1680" s="467" t="str">
        <f t="shared" si="976"/>
        <v/>
      </c>
      <c r="BD1680" s="567" t="str">
        <f t="shared" si="977"/>
        <v/>
      </c>
      <c r="BE1680" s="467" t="str">
        <f t="shared" si="978"/>
        <v/>
      </c>
      <c r="BF1680" s="469" t="str">
        <f t="shared" ca="1" si="979"/>
        <v/>
      </c>
      <c r="BG1680" s="469" t="str">
        <f t="shared" ca="1" si="980"/>
        <v/>
      </c>
      <c r="BH1680" s="467" t="str">
        <f t="shared" si="981"/>
        <v/>
      </c>
      <c r="BI1680" s="467" t="str">
        <f t="shared" ca="1" si="982"/>
        <v/>
      </c>
      <c r="BJ1680" s="469" t="str">
        <f t="shared" si="983"/>
        <v/>
      </c>
      <c r="BK1680" s="470" t="str">
        <f t="shared" si="967"/>
        <v/>
      </c>
      <c r="BL1680" s="775" t="str">
        <f t="shared" si="984"/>
        <v/>
      </c>
      <c r="BM1680" s="775" t="str">
        <f t="shared" si="985"/>
        <v/>
      </c>
    </row>
    <row r="1681" spans="1:65">
      <c r="A1681" s="473">
        <v>1625</v>
      </c>
      <c r="B1681" s="132"/>
      <c r="C1681" s="332"/>
      <c r="D1681" s="333"/>
      <c r="E1681" s="333"/>
      <c r="F1681" s="334"/>
      <c r="G1681" s="337"/>
      <c r="H1681" s="131"/>
      <c r="I1681" s="337"/>
      <c r="J1681" s="131"/>
      <c r="K1681" s="458" t="str">
        <f t="shared" si="948"/>
        <v/>
      </c>
      <c r="L1681" s="458">
        <f t="shared" si="949"/>
        <v>0</v>
      </c>
      <c r="M1681" s="458">
        <f t="shared" si="950"/>
        <v>0</v>
      </c>
      <c r="N1681" s="459" t="str">
        <f t="shared" si="961"/>
        <v/>
      </c>
      <c r="O1681" s="459" t="str">
        <f t="shared" si="962"/>
        <v/>
      </c>
      <c r="P1681" s="459" t="str">
        <f t="shared" si="963"/>
        <v/>
      </c>
      <c r="Q1681" s="459" t="str">
        <f t="shared" si="964"/>
        <v/>
      </c>
      <c r="R1681" s="459" t="str">
        <f t="shared" si="965"/>
        <v/>
      </c>
      <c r="S1681" s="459" t="str">
        <f t="shared" si="966"/>
        <v/>
      </c>
      <c r="T1681" s="566" t="str">
        <f t="shared" si="951"/>
        <v/>
      </c>
      <c r="U1681" s="702"/>
      <c r="V1681" s="132"/>
      <c r="W1681" s="133"/>
      <c r="X1681" s="134"/>
      <c r="Y1681" s="135"/>
      <c r="Z1681" s="137"/>
      <c r="AA1681" s="136"/>
      <c r="AB1681" s="566" t="str">
        <f t="shared" si="952"/>
        <v/>
      </c>
      <c r="AC1681" s="568" t="str">
        <f t="shared" si="953"/>
        <v/>
      </c>
      <c r="AD1681" s="137"/>
      <c r="AE1681" s="137"/>
      <c r="AF1681" s="138"/>
      <c r="AG1681" s="138"/>
      <c r="AH1681" s="592" t="str">
        <f t="shared" si="954"/>
        <v/>
      </c>
      <c r="AI1681" s="592" t="str">
        <f t="shared" si="955"/>
        <v/>
      </c>
      <c r="AJ1681" s="592" t="str">
        <f t="shared" si="956"/>
        <v/>
      </c>
      <c r="AK1681" s="460" t="str">
        <f>IF(AU1681="","",IF(OR(AZ1681=8,AZ1681=9),0,IF(OR(AW1681=3,AW1681=4,AW1681=5,AW1681=6),IF(LEFT(BF1681,1)="1",INDEX(係数_NOX・PM低減,MATCH(AY1681,【参考】排出係数!$AI$801:$AI$804,1),1),VLOOKUP(AU1681,INDEX((係数_バス貨物_ガソリン,係数_バス貨物_CNG,係数_バス貨物_軽油,係数_バス貨物_メタノール,係数_バス貨物_LPG),MATCH(AY1681,【参考】排出係数!$AI$4:$AI$671,1),1,BE1681):INDEX((係数_バス貨物_ガソリン,係数_バス貨物_CNG,係数_バス貨物_軽油,係数_バス貨物_メタノール,係数_バス貨物_LPG),MATCH(AY1681+1,【参考】排出係数!$AI$4:$AI$671,1)-1,5,BE1681),4,FALSE)),IF(AND(BE1681=3,LEFT(BF1681,1)="1"),0.48,VLOOKUP(AU1681,INDEX((係数_乗用_ガソリン,係数_乗用_CNG,係数_乗用_軽油,係数_乗用_メタノール,係数_乗用_LPG),1,1,BE1681):INDEX((係数_乗用_ガソリン,係数_乗用_CNG,係数_乗用_軽油,係数_乗用_メタノール,係数_乗用_LPG),125,5,BE1681),4,FALSE)))))</f>
        <v/>
      </c>
      <c r="AL1681" s="461" t="str">
        <f t="shared" si="957"/>
        <v/>
      </c>
      <c r="AM1681" s="460" t="str">
        <f>IF(AU1681="","",IF(OR(AZ1681=8,AZ1681=9),0,IF(OR(AW1681=3,AW1681=4,AW1681=5,AW1681=6),IF(LEFT(BH1681,1)="1",INDEX(係数_PM低減,MATCH(AY1681,【参考】排出係数!$AI$801:$AI$804,1),MATCH(BI1681,【参考】排出係数!$AL$798:$AO$798,1)),VLOOKUP(AU1681,INDEX((係数_バス貨物_ガソリン,係数_バス貨物_CNG,係数_バス貨物_軽油,係数_バス貨物_メタノール,係数_バス貨物_LPG),MATCH(AY1681,【参考】排出係数!$AI$4:$AI$671,1),1,BE1681):INDEX((係数_バス貨物_ガソリン,係数_バス貨物_CNG,係数_バス貨物_軽油,係数_バス貨物_メタノール,係数_バス貨物_LPG),MATCH(AY1681+1,【参考】排出係数!$AI$4:$AI$671,1)-1,5,BE1681),5,FALSE)),IF(AND(BE1681=3,LEFT(BF1681,1)="1"),0.055,VLOOKUP(AU1681,INDEX((係数_乗用_ガソリン,係数_乗用_CNG,係数_乗用_軽油,係数_乗用_メタノール,係数_乗用_LPG),1,1,BE1681):INDEX((係数_乗用_ガソリン,係数_乗用_CNG,係数_乗用_軽油,係数_乗用_メタノール,係数_乗用_LPG),125,5,BE1681),5,FALSE)))))</f>
        <v/>
      </c>
      <c r="AN1681" s="461" t="str">
        <f t="shared" si="958"/>
        <v/>
      </c>
      <c r="AO1681" s="462" t="str">
        <f t="shared" si="959"/>
        <v/>
      </c>
      <c r="AP1681" s="463" t="str">
        <f t="shared" si="960"/>
        <v/>
      </c>
      <c r="AQ1681" s="464"/>
      <c r="AR1681" s="619"/>
      <c r="AS1681" s="465" t="str">
        <f t="shared" si="968"/>
        <v/>
      </c>
      <c r="AT1681" s="465" t="str">
        <f t="shared" si="969"/>
        <v/>
      </c>
      <c r="AU1681" s="466" t="str">
        <f t="shared" si="970"/>
        <v/>
      </c>
      <c r="AV1681" s="467" t="str">
        <f t="shared" si="971"/>
        <v/>
      </c>
      <c r="AW1681" s="467" t="str">
        <f t="shared" si="972"/>
        <v/>
      </c>
      <c r="AX1681" s="467" t="str">
        <f t="shared" si="973"/>
        <v/>
      </c>
      <c r="AY1681" s="467" t="str">
        <f t="shared" si="974"/>
        <v/>
      </c>
      <c r="AZ1681" s="467" t="str">
        <f t="shared" si="975"/>
        <v/>
      </c>
      <c r="BA1681" s="468" t="str">
        <f>IF(AS1681="","",IF(OR(AU1681="",AU1681="-"),"－",IF(OR(AZ1681=8,AZ1681=9),"",IF(OR(AW1681=3,AW1681=4,AW1681=5,AW1681=6),VLOOKUP(AU1681,INDEX((係数_バス貨物_ガソリン,係数_バス貨物_CNG,係数_バス貨物_軽油,係数_バス貨物_メタノール,係数_バス貨物_LPG),MATCH(AY1681,【参考】排出係数!$AI$4:$AI$671,1),1,BE1681):INDEX((係数_バス貨物_ガソリン,係数_バス貨物_CNG,係数_バス貨物_軽油,係数_バス貨物_メタノール,係数_バス貨物_LPG),MATCH(AY1681+1,【参考】排出係数!$AI$4:$AI$671,1)-1,5,BE1681),2,FALSE),IF(OR(AW1681=1,AW1681=2),VLOOKUP(AU1681,INDEX((係数_乗用_ガソリン,係数_乗用_CNG,係数_乗用_軽油,係数_乗用_メタノール,係数_乗用_LPG),1,1,BE1681):INDEX((係数_乗用_ガソリン,係数_乗用_CNG,係数_乗用_軽油,係数_乗用_メタノール,係数_乗用_LPG),125,5,BE1681),2,FALSE))))))</f>
        <v/>
      </c>
      <c r="BB1681" s="468" t="str">
        <f>IF(T1681="","",IF(OR(AU1681="",AU1681="-"),"－",IF(OR(AZ1681=8,AZ1681=9),"",IF(OR(AW1681=3,AW1681=4,AW1681=5,AW1681=6),VLOOKUP(AU1681,INDEX((係数_バス貨物_ガソリン,係数_バス貨物_CNG,係数_バス貨物_軽油,係数_バス貨物_メタノール,係数_バス貨物_LPG),MATCH(AY1681,【参考】排出係数!$AI$4:$AI$671,1),1,BE1681):INDEX((係数_バス貨物_ガソリン,係数_バス貨物_CNG,係数_バス貨物_軽油,係数_バス貨物_メタノール,係数_バス貨物_LPG),MATCH(AY1681+1,【参考】排出係数!$AI$4:$AI$671,1)-1,5,BE1681),3,FALSE),IF(OR(AW1681=1,AW1681=2),VLOOKUP(AU1681,INDEX((係数_乗用_ガソリン,係数_乗用_CNG,係数_乗用_軽油,係数_乗用_メタノール,係数_乗用_LPG),1,1,BE1681):INDEX((係数_乗用_ガソリン,係数_乗用_CNG,係数_乗用_軽油,係数_乗用_メタノール,係数_乗用_LPG),125,5,BE1681),3,FALSE))))))</f>
        <v/>
      </c>
      <c r="BC1681" s="467" t="str">
        <f t="shared" si="976"/>
        <v/>
      </c>
      <c r="BD1681" s="567" t="str">
        <f t="shared" si="977"/>
        <v/>
      </c>
      <c r="BE1681" s="467" t="str">
        <f t="shared" si="978"/>
        <v/>
      </c>
      <c r="BF1681" s="469" t="str">
        <f t="shared" ca="1" si="979"/>
        <v/>
      </c>
      <c r="BG1681" s="469" t="str">
        <f t="shared" ca="1" si="980"/>
        <v/>
      </c>
      <c r="BH1681" s="467" t="str">
        <f t="shared" si="981"/>
        <v/>
      </c>
      <c r="BI1681" s="467" t="str">
        <f t="shared" ca="1" si="982"/>
        <v/>
      </c>
      <c r="BJ1681" s="469" t="str">
        <f t="shared" si="983"/>
        <v/>
      </c>
      <c r="BK1681" s="470" t="str">
        <f t="shared" si="967"/>
        <v/>
      </c>
      <c r="BL1681" s="775" t="str">
        <f t="shared" si="984"/>
        <v/>
      </c>
      <c r="BM1681" s="775" t="str">
        <f t="shared" si="985"/>
        <v/>
      </c>
    </row>
    <row r="1682" spans="1:65">
      <c r="A1682" s="473">
        <v>1626</v>
      </c>
      <c r="B1682" s="132"/>
      <c r="C1682" s="332"/>
      <c r="D1682" s="333"/>
      <c r="E1682" s="333"/>
      <c r="F1682" s="334"/>
      <c r="G1682" s="337"/>
      <c r="H1682" s="131"/>
      <c r="I1682" s="337"/>
      <c r="J1682" s="131"/>
      <c r="K1682" s="458" t="str">
        <f t="shared" si="948"/>
        <v/>
      </c>
      <c r="L1682" s="458">
        <f t="shared" si="949"/>
        <v>0</v>
      </c>
      <c r="M1682" s="458">
        <f t="shared" si="950"/>
        <v>0</v>
      </c>
      <c r="N1682" s="459" t="str">
        <f t="shared" si="961"/>
        <v/>
      </c>
      <c r="O1682" s="459" t="str">
        <f t="shared" si="962"/>
        <v/>
      </c>
      <c r="P1682" s="459" t="str">
        <f t="shared" si="963"/>
        <v/>
      </c>
      <c r="Q1682" s="459" t="str">
        <f t="shared" si="964"/>
        <v/>
      </c>
      <c r="R1682" s="459" t="str">
        <f t="shared" si="965"/>
        <v/>
      </c>
      <c r="S1682" s="459" t="str">
        <f t="shared" si="966"/>
        <v/>
      </c>
      <c r="T1682" s="566" t="str">
        <f t="shared" si="951"/>
        <v/>
      </c>
      <c r="U1682" s="702"/>
      <c r="V1682" s="132"/>
      <c r="W1682" s="133"/>
      <c r="X1682" s="134"/>
      <c r="Y1682" s="135"/>
      <c r="Z1682" s="137"/>
      <c r="AA1682" s="136"/>
      <c r="AB1682" s="566" t="str">
        <f t="shared" si="952"/>
        <v/>
      </c>
      <c r="AC1682" s="568" t="str">
        <f t="shared" si="953"/>
        <v/>
      </c>
      <c r="AD1682" s="137"/>
      <c r="AE1682" s="137"/>
      <c r="AF1682" s="138"/>
      <c r="AG1682" s="138"/>
      <c r="AH1682" s="592" t="str">
        <f t="shared" si="954"/>
        <v/>
      </c>
      <c r="AI1682" s="592" t="str">
        <f t="shared" si="955"/>
        <v/>
      </c>
      <c r="AJ1682" s="592" t="str">
        <f t="shared" si="956"/>
        <v/>
      </c>
      <c r="AK1682" s="460" t="str">
        <f>IF(AU1682="","",IF(OR(AZ1682=8,AZ1682=9),0,IF(OR(AW1682=3,AW1682=4,AW1682=5,AW1682=6),IF(LEFT(BF1682,1)="1",INDEX(係数_NOX・PM低減,MATCH(AY1682,【参考】排出係数!$AI$801:$AI$804,1),1),VLOOKUP(AU1682,INDEX((係数_バス貨物_ガソリン,係数_バス貨物_CNG,係数_バス貨物_軽油,係数_バス貨物_メタノール,係数_バス貨物_LPG),MATCH(AY1682,【参考】排出係数!$AI$4:$AI$671,1),1,BE1682):INDEX((係数_バス貨物_ガソリン,係数_バス貨物_CNG,係数_バス貨物_軽油,係数_バス貨物_メタノール,係数_バス貨物_LPG),MATCH(AY1682+1,【参考】排出係数!$AI$4:$AI$671,1)-1,5,BE1682),4,FALSE)),IF(AND(BE1682=3,LEFT(BF1682,1)="1"),0.48,VLOOKUP(AU1682,INDEX((係数_乗用_ガソリン,係数_乗用_CNG,係数_乗用_軽油,係数_乗用_メタノール,係数_乗用_LPG),1,1,BE1682):INDEX((係数_乗用_ガソリン,係数_乗用_CNG,係数_乗用_軽油,係数_乗用_メタノール,係数_乗用_LPG),125,5,BE1682),4,FALSE)))))</f>
        <v/>
      </c>
      <c r="AL1682" s="461" t="str">
        <f t="shared" si="957"/>
        <v/>
      </c>
      <c r="AM1682" s="460" t="str">
        <f>IF(AU1682="","",IF(OR(AZ1682=8,AZ1682=9),0,IF(OR(AW1682=3,AW1682=4,AW1682=5,AW1682=6),IF(LEFT(BH1682,1)="1",INDEX(係数_PM低減,MATCH(AY1682,【参考】排出係数!$AI$801:$AI$804,1),MATCH(BI1682,【参考】排出係数!$AL$798:$AO$798,1)),VLOOKUP(AU1682,INDEX((係数_バス貨物_ガソリン,係数_バス貨物_CNG,係数_バス貨物_軽油,係数_バス貨物_メタノール,係数_バス貨物_LPG),MATCH(AY1682,【参考】排出係数!$AI$4:$AI$671,1),1,BE1682):INDEX((係数_バス貨物_ガソリン,係数_バス貨物_CNG,係数_バス貨物_軽油,係数_バス貨物_メタノール,係数_バス貨物_LPG),MATCH(AY1682+1,【参考】排出係数!$AI$4:$AI$671,1)-1,5,BE1682),5,FALSE)),IF(AND(BE1682=3,LEFT(BF1682,1)="1"),0.055,VLOOKUP(AU1682,INDEX((係数_乗用_ガソリン,係数_乗用_CNG,係数_乗用_軽油,係数_乗用_メタノール,係数_乗用_LPG),1,1,BE1682):INDEX((係数_乗用_ガソリン,係数_乗用_CNG,係数_乗用_軽油,係数_乗用_メタノール,係数_乗用_LPG),125,5,BE1682),5,FALSE)))))</f>
        <v/>
      </c>
      <c r="AN1682" s="461" t="str">
        <f t="shared" si="958"/>
        <v/>
      </c>
      <c r="AO1682" s="462" t="str">
        <f t="shared" si="959"/>
        <v/>
      </c>
      <c r="AP1682" s="463" t="str">
        <f t="shared" si="960"/>
        <v/>
      </c>
      <c r="AQ1682" s="464"/>
      <c r="AR1682" s="619"/>
      <c r="AS1682" s="465" t="str">
        <f t="shared" si="968"/>
        <v/>
      </c>
      <c r="AT1682" s="465" t="str">
        <f t="shared" si="969"/>
        <v/>
      </c>
      <c r="AU1682" s="466" t="str">
        <f t="shared" si="970"/>
        <v/>
      </c>
      <c r="AV1682" s="467" t="str">
        <f t="shared" si="971"/>
        <v/>
      </c>
      <c r="AW1682" s="467" t="str">
        <f t="shared" si="972"/>
        <v/>
      </c>
      <c r="AX1682" s="467" t="str">
        <f t="shared" si="973"/>
        <v/>
      </c>
      <c r="AY1682" s="467" t="str">
        <f t="shared" si="974"/>
        <v/>
      </c>
      <c r="AZ1682" s="467" t="str">
        <f t="shared" si="975"/>
        <v/>
      </c>
      <c r="BA1682" s="468" t="str">
        <f>IF(AS1682="","",IF(OR(AU1682="",AU1682="-"),"－",IF(OR(AZ1682=8,AZ1682=9),"",IF(OR(AW1682=3,AW1682=4,AW1682=5,AW1682=6),VLOOKUP(AU1682,INDEX((係数_バス貨物_ガソリン,係数_バス貨物_CNG,係数_バス貨物_軽油,係数_バス貨物_メタノール,係数_バス貨物_LPG),MATCH(AY1682,【参考】排出係数!$AI$4:$AI$671,1),1,BE1682):INDEX((係数_バス貨物_ガソリン,係数_バス貨物_CNG,係数_バス貨物_軽油,係数_バス貨物_メタノール,係数_バス貨物_LPG),MATCH(AY1682+1,【参考】排出係数!$AI$4:$AI$671,1)-1,5,BE1682),2,FALSE),IF(OR(AW1682=1,AW1682=2),VLOOKUP(AU1682,INDEX((係数_乗用_ガソリン,係数_乗用_CNG,係数_乗用_軽油,係数_乗用_メタノール,係数_乗用_LPG),1,1,BE1682):INDEX((係数_乗用_ガソリン,係数_乗用_CNG,係数_乗用_軽油,係数_乗用_メタノール,係数_乗用_LPG),125,5,BE1682),2,FALSE))))))</f>
        <v/>
      </c>
      <c r="BB1682" s="468" t="str">
        <f>IF(T1682="","",IF(OR(AU1682="",AU1682="-"),"－",IF(OR(AZ1682=8,AZ1682=9),"",IF(OR(AW1682=3,AW1682=4,AW1682=5,AW1682=6),VLOOKUP(AU1682,INDEX((係数_バス貨物_ガソリン,係数_バス貨物_CNG,係数_バス貨物_軽油,係数_バス貨物_メタノール,係数_バス貨物_LPG),MATCH(AY1682,【参考】排出係数!$AI$4:$AI$671,1),1,BE1682):INDEX((係数_バス貨物_ガソリン,係数_バス貨物_CNG,係数_バス貨物_軽油,係数_バス貨物_メタノール,係数_バス貨物_LPG),MATCH(AY1682+1,【参考】排出係数!$AI$4:$AI$671,1)-1,5,BE1682),3,FALSE),IF(OR(AW1682=1,AW1682=2),VLOOKUP(AU1682,INDEX((係数_乗用_ガソリン,係数_乗用_CNG,係数_乗用_軽油,係数_乗用_メタノール,係数_乗用_LPG),1,1,BE1682):INDEX((係数_乗用_ガソリン,係数_乗用_CNG,係数_乗用_軽油,係数_乗用_メタノール,係数_乗用_LPG),125,5,BE1682),3,FALSE))))))</f>
        <v/>
      </c>
      <c r="BC1682" s="467" t="str">
        <f t="shared" si="976"/>
        <v/>
      </c>
      <c r="BD1682" s="567" t="str">
        <f t="shared" si="977"/>
        <v/>
      </c>
      <c r="BE1682" s="467" t="str">
        <f t="shared" si="978"/>
        <v/>
      </c>
      <c r="BF1682" s="469" t="str">
        <f t="shared" ca="1" si="979"/>
        <v/>
      </c>
      <c r="BG1682" s="469" t="str">
        <f t="shared" ca="1" si="980"/>
        <v/>
      </c>
      <c r="BH1682" s="467" t="str">
        <f t="shared" si="981"/>
        <v/>
      </c>
      <c r="BI1682" s="467" t="str">
        <f t="shared" ca="1" si="982"/>
        <v/>
      </c>
      <c r="BJ1682" s="469" t="str">
        <f t="shared" si="983"/>
        <v/>
      </c>
      <c r="BK1682" s="470" t="str">
        <f t="shared" si="967"/>
        <v/>
      </c>
      <c r="BL1682" s="775" t="str">
        <f t="shared" si="984"/>
        <v/>
      </c>
      <c r="BM1682" s="775" t="str">
        <f t="shared" si="985"/>
        <v/>
      </c>
    </row>
    <row r="1683" spans="1:65">
      <c r="A1683" s="473">
        <v>1627</v>
      </c>
      <c r="B1683" s="132"/>
      <c r="C1683" s="332"/>
      <c r="D1683" s="333"/>
      <c r="E1683" s="333"/>
      <c r="F1683" s="334"/>
      <c r="G1683" s="337"/>
      <c r="H1683" s="131"/>
      <c r="I1683" s="337"/>
      <c r="J1683" s="131"/>
      <c r="K1683" s="458" t="str">
        <f t="shared" si="948"/>
        <v/>
      </c>
      <c r="L1683" s="458">
        <f t="shared" si="949"/>
        <v>0</v>
      </c>
      <c r="M1683" s="458">
        <f t="shared" si="950"/>
        <v>0</v>
      </c>
      <c r="N1683" s="459" t="str">
        <f t="shared" si="961"/>
        <v/>
      </c>
      <c r="O1683" s="459" t="str">
        <f t="shared" si="962"/>
        <v/>
      </c>
      <c r="P1683" s="459" t="str">
        <f t="shared" si="963"/>
        <v/>
      </c>
      <c r="Q1683" s="459" t="str">
        <f t="shared" si="964"/>
        <v/>
      </c>
      <c r="R1683" s="459" t="str">
        <f t="shared" si="965"/>
        <v/>
      </c>
      <c r="S1683" s="459" t="str">
        <f t="shared" si="966"/>
        <v/>
      </c>
      <c r="T1683" s="566" t="str">
        <f t="shared" si="951"/>
        <v/>
      </c>
      <c r="U1683" s="702"/>
      <c r="V1683" s="132"/>
      <c r="W1683" s="133"/>
      <c r="X1683" s="134"/>
      <c r="Y1683" s="135"/>
      <c r="Z1683" s="137"/>
      <c r="AA1683" s="136"/>
      <c r="AB1683" s="566" t="str">
        <f t="shared" si="952"/>
        <v/>
      </c>
      <c r="AC1683" s="568" t="str">
        <f t="shared" si="953"/>
        <v/>
      </c>
      <c r="AD1683" s="137"/>
      <c r="AE1683" s="137"/>
      <c r="AF1683" s="138"/>
      <c r="AG1683" s="138"/>
      <c r="AH1683" s="592" t="str">
        <f t="shared" si="954"/>
        <v/>
      </c>
      <c r="AI1683" s="592" t="str">
        <f t="shared" si="955"/>
        <v/>
      </c>
      <c r="AJ1683" s="592" t="str">
        <f t="shared" si="956"/>
        <v/>
      </c>
      <c r="AK1683" s="460" t="str">
        <f>IF(AU1683="","",IF(OR(AZ1683=8,AZ1683=9),0,IF(OR(AW1683=3,AW1683=4,AW1683=5,AW1683=6),IF(LEFT(BF1683,1)="1",INDEX(係数_NOX・PM低減,MATCH(AY1683,【参考】排出係数!$AI$801:$AI$804,1),1),VLOOKUP(AU1683,INDEX((係数_バス貨物_ガソリン,係数_バス貨物_CNG,係数_バス貨物_軽油,係数_バス貨物_メタノール,係数_バス貨物_LPG),MATCH(AY1683,【参考】排出係数!$AI$4:$AI$671,1),1,BE1683):INDEX((係数_バス貨物_ガソリン,係数_バス貨物_CNG,係数_バス貨物_軽油,係数_バス貨物_メタノール,係数_バス貨物_LPG),MATCH(AY1683+1,【参考】排出係数!$AI$4:$AI$671,1)-1,5,BE1683),4,FALSE)),IF(AND(BE1683=3,LEFT(BF1683,1)="1"),0.48,VLOOKUP(AU1683,INDEX((係数_乗用_ガソリン,係数_乗用_CNG,係数_乗用_軽油,係数_乗用_メタノール,係数_乗用_LPG),1,1,BE1683):INDEX((係数_乗用_ガソリン,係数_乗用_CNG,係数_乗用_軽油,係数_乗用_メタノール,係数_乗用_LPG),125,5,BE1683),4,FALSE)))))</f>
        <v/>
      </c>
      <c r="AL1683" s="461" t="str">
        <f t="shared" si="957"/>
        <v/>
      </c>
      <c r="AM1683" s="460" t="str">
        <f>IF(AU1683="","",IF(OR(AZ1683=8,AZ1683=9),0,IF(OR(AW1683=3,AW1683=4,AW1683=5,AW1683=6),IF(LEFT(BH1683,1)="1",INDEX(係数_PM低減,MATCH(AY1683,【参考】排出係数!$AI$801:$AI$804,1),MATCH(BI1683,【参考】排出係数!$AL$798:$AO$798,1)),VLOOKUP(AU1683,INDEX((係数_バス貨物_ガソリン,係数_バス貨物_CNG,係数_バス貨物_軽油,係数_バス貨物_メタノール,係数_バス貨物_LPG),MATCH(AY1683,【参考】排出係数!$AI$4:$AI$671,1),1,BE1683):INDEX((係数_バス貨物_ガソリン,係数_バス貨物_CNG,係数_バス貨物_軽油,係数_バス貨物_メタノール,係数_バス貨物_LPG),MATCH(AY1683+1,【参考】排出係数!$AI$4:$AI$671,1)-1,5,BE1683),5,FALSE)),IF(AND(BE1683=3,LEFT(BF1683,1)="1"),0.055,VLOOKUP(AU1683,INDEX((係数_乗用_ガソリン,係数_乗用_CNG,係数_乗用_軽油,係数_乗用_メタノール,係数_乗用_LPG),1,1,BE1683):INDEX((係数_乗用_ガソリン,係数_乗用_CNG,係数_乗用_軽油,係数_乗用_メタノール,係数_乗用_LPG),125,5,BE1683),5,FALSE)))))</f>
        <v/>
      </c>
      <c r="AN1683" s="461" t="str">
        <f t="shared" si="958"/>
        <v/>
      </c>
      <c r="AO1683" s="462" t="str">
        <f t="shared" si="959"/>
        <v/>
      </c>
      <c r="AP1683" s="463" t="str">
        <f t="shared" si="960"/>
        <v/>
      </c>
      <c r="AQ1683" s="464"/>
      <c r="AR1683" s="619"/>
      <c r="AS1683" s="465" t="str">
        <f t="shared" si="968"/>
        <v/>
      </c>
      <c r="AT1683" s="465" t="str">
        <f t="shared" si="969"/>
        <v/>
      </c>
      <c r="AU1683" s="466" t="str">
        <f t="shared" si="970"/>
        <v/>
      </c>
      <c r="AV1683" s="467" t="str">
        <f t="shared" si="971"/>
        <v/>
      </c>
      <c r="AW1683" s="467" t="str">
        <f t="shared" si="972"/>
        <v/>
      </c>
      <c r="AX1683" s="467" t="str">
        <f t="shared" si="973"/>
        <v/>
      </c>
      <c r="AY1683" s="467" t="str">
        <f t="shared" si="974"/>
        <v/>
      </c>
      <c r="AZ1683" s="467" t="str">
        <f t="shared" si="975"/>
        <v/>
      </c>
      <c r="BA1683" s="468" t="str">
        <f>IF(AS1683="","",IF(OR(AU1683="",AU1683="-"),"－",IF(OR(AZ1683=8,AZ1683=9),"",IF(OR(AW1683=3,AW1683=4,AW1683=5,AW1683=6),VLOOKUP(AU1683,INDEX((係数_バス貨物_ガソリン,係数_バス貨物_CNG,係数_バス貨物_軽油,係数_バス貨物_メタノール,係数_バス貨物_LPG),MATCH(AY1683,【参考】排出係数!$AI$4:$AI$671,1),1,BE1683):INDEX((係数_バス貨物_ガソリン,係数_バス貨物_CNG,係数_バス貨物_軽油,係数_バス貨物_メタノール,係数_バス貨物_LPG),MATCH(AY1683+1,【参考】排出係数!$AI$4:$AI$671,1)-1,5,BE1683),2,FALSE),IF(OR(AW1683=1,AW1683=2),VLOOKUP(AU1683,INDEX((係数_乗用_ガソリン,係数_乗用_CNG,係数_乗用_軽油,係数_乗用_メタノール,係数_乗用_LPG),1,1,BE1683):INDEX((係数_乗用_ガソリン,係数_乗用_CNG,係数_乗用_軽油,係数_乗用_メタノール,係数_乗用_LPG),125,5,BE1683),2,FALSE))))))</f>
        <v/>
      </c>
      <c r="BB1683" s="468" t="str">
        <f>IF(T1683="","",IF(OR(AU1683="",AU1683="-"),"－",IF(OR(AZ1683=8,AZ1683=9),"",IF(OR(AW1683=3,AW1683=4,AW1683=5,AW1683=6),VLOOKUP(AU1683,INDEX((係数_バス貨物_ガソリン,係数_バス貨物_CNG,係数_バス貨物_軽油,係数_バス貨物_メタノール,係数_バス貨物_LPG),MATCH(AY1683,【参考】排出係数!$AI$4:$AI$671,1),1,BE1683):INDEX((係数_バス貨物_ガソリン,係数_バス貨物_CNG,係数_バス貨物_軽油,係数_バス貨物_メタノール,係数_バス貨物_LPG),MATCH(AY1683+1,【参考】排出係数!$AI$4:$AI$671,1)-1,5,BE1683),3,FALSE),IF(OR(AW1683=1,AW1683=2),VLOOKUP(AU1683,INDEX((係数_乗用_ガソリン,係数_乗用_CNG,係数_乗用_軽油,係数_乗用_メタノール,係数_乗用_LPG),1,1,BE1683):INDEX((係数_乗用_ガソリン,係数_乗用_CNG,係数_乗用_軽油,係数_乗用_メタノール,係数_乗用_LPG),125,5,BE1683),3,FALSE))))))</f>
        <v/>
      </c>
      <c r="BC1683" s="467" t="str">
        <f t="shared" si="976"/>
        <v/>
      </c>
      <c r="BD1683" s="567" t="str">
        <f t="shared" si="977"/>
        <v/>
      </c>
      <c r="BE1683" s="467" t="str">
        <f t="shared" si="978"/>
        <v/>
      </c>
      <c r="BF1683" s="469" t="str">
        <f t="shared" ca="1" si="979"/>
        <v/>
      </c>
      <c r="BG1683" s="469" t="str">
        <f t="shared" ca="1" si="980"/>
        <v/>
      </c>
      <c r="BH1683" s="467" t="str">
        <f t="shared" si="981"/>
        <v/>
      </c>
      <c r="BI1683" s="467" t="str">
        <f t="shared" ca="1" si="982"/>
        <v/>
      </c>
      <c r="BJ1683" s="469" t="str">
        <f t="shared" si="983"/>
        <v/>
      </c>
      <c r="BK1683" s="470" t="str">
        <f t="shared" si="967"/>
        <v/>
      </c>
      <c r="BL1683" s="775" t="str">
        <f t="shared" si="984"/>
        <v/>
      </c>
      <c r="BM1683" s="775" t="str">
        <f t="shared" si="985"/>
        <v/>
      </c>
    </row>
    <row r="1684" spans="1:65">
      <c r="A1684" s="473">
        <v>1628</v>
      </c>
      <c r="B1684" s="132"/>
      <c r="C1684" s="332"/>
      <c r="D1684" s="333"/>
      <c r="E1684" s="333"/>
      <c r="F1684" s="334"/>
      <c r="G1684" s="337"/>
      <c r="H1684" s="131"/>
      <c r="I1684" s="337"/>
      <c r="J1684" s="131"/>
      <c r="K1684" s="458" t="str">
        <f t="shared" si="948"/>
        <v/>
      </c>
      <c r="L1684" s="458">
        <f t="shared" si="949"/>
        <v>0</v>
      </c>
      <c r="M1684" s="458">
        <f t="shared" si="950"/>
        <v>0</v>
      </c>
      <c r="N1684" s="459" t="str">
        <f t="shared" si="961"/>
        <v/>
      </c>
      <c r="O1684" s="459" t="str">
        <f t="shared" si="962"/>
        <v/>
      </c>
      <c r="P1684" s="459" t="str">
        <f t="shared" si="963"/>
        <v/>
      </c>
      <c r="Q1684" s="459" t="str">
        <f t="shared" si="964"/>
        <v/>
      </c>
      <c r="R1684" s="459" t="str">
        <f t="shared" si="965"/>
        <v/>
      </c>
      <c r="S1684" s="459" t="str">
        <f t="shared" si="966"/>
        <v/>
      </c>
      <c r="T1684" s="566" t="str">
        <f t="shared" si="951"/>
        <v/>
      </c>
      <c r="U1684" s="702"/>
      <c r="V1684" s="132"/>
      <c r="W1684" s="133"/>
      <c r="X1684" s="134"/>
      <c r="Y1684" s="135"/>
      <c r="Z1684" s="137"/>
      <c r="AA1684" s="136"/>
      <c r="AB1684" s="566" t="str">
        <f t="shared" si="952"/>
        <v/>
      </c>
      <c r="AC1684" s="568" t="str">
        <f t="shared" si="953"/>
        <v/>
      </c>
      <c r="AD1684" s="137"/>
      <c r="AE1684" s="137"/>
      <c r="AF1684" s="138"/>
      <c r="AG1684" s="138"/>
      <c r="AH1684" s="592" t="str">
        <f t="shared" si="954"/>
        <v/>
      </c>
      <c r="AI1684" s="592" t="str">
        <f t="shared" si="955"/>
        <v/>
      </c>
      <c r="AJ1684" s="592" t="str">
        <f t="shared" si="956"/>
        <v/>
      </c>
      <c r="AK1684" s="460" t="str">
        <f>IF(AU1684="","",IF(OR(AZ1684=8,AZ1684=9),0,IF(OR(AW1684=3,AW1684=4,AW1684=5,AW1684=6),IF(LEFT(BF1684,1)="1",INDEX(係数_NOX・PM低減,MATCH(AY1684,【参考】排出係数!$AI$801:$AI$804,1),1),VLOOKUP(AU1684,INDEX((係数_バス貨物_ガソリン,係数_バス貨物_CNG,係数_バス貨物_軽油,係数_バス貨物_メタノール,係数_バス貨物_LPG),MATCH(AY1684,【参考】排出係数!$AI$4:$AI$671,1),1,BE1684):INDEX((係数_バス貨物_ガソリン,係数_バス貨物_CNG,係数_バス貨物_軽油,係数_バス貨物_メタノール,係数_バス貨物_LPG),MATCH(AY1684+1,【参考】排出係数!$AI$4:$AI$671,1)-1,5,BE1684),4,FALSE)),IF(AND(BE1684=3,LEFT(BF1684,1)="1"),0.48,VLOOKUP(AU1684,INDEX((係数_乗用_ガソリン,係数_乗用_CNG,係数_乗用_軽油,係数_乗用_メタノール,係数_乗用_LPG),1,1,BE1684):INDEX((係数_乗用_ガソリン,係数_乗用_CNG,係数_乗用_軽油,係数_乗用_メタノール,係数_乗用_LPG),125,5,BE1684),4,FALSE)))))</f>
        <v/>
      </c>
      <c r="AL1684" s="461" t="str">
        <f t="shared" si="957"/>
        <v/>
      </c>
      <c r="AM1684" s="460" t="str">
        <f>IF(AU1684="","",IF(OR(AZ1684=8,AZ1684=9),0,IF(OR(AW1684=3,AW1684=4,AW1684=5,AW1684=6),IF(LEFT(BH1684,1)="1",INDEX(係数_PM低減,MATCH(AY1684,【参考】排出係数!$AI$801:$AI$804,1),MATCH(BI1684,【参考】排出係数!$AL$798:$AO$798,1)),VLOOKUP(AU1684,INDEX((係数_バス貨物_ガソリン,係数_バス貨物_CNG,係数_バス貨物_軽油,係数_バス貨物_メタノール,係数_バス貨物_LPG),MATCH(AY1684,【参考】排出係数!$AI$4:$AI$671,1),1,BE1684):INDEX((係数_バス貨物_ガソリン,係数_バス貨物_CNG,係数_バス貨物_軽油,係数_バス貨物_メタノール,係数_バス貨物_LPG),MATCH(AY1684+1,【参考】排出係数!$AI$4:$AI$671,1)-1,5,BE1684),5,FALSE)),IF(AND(BE1684=3,LEFT(BF1684,1)="1"),0.055,VLOOKUP(AU1684,INDEX((係数_乗用_ガソリン,係数_乗用_CNG,係数_乗用_軽油,係数_乗用_メタノール,係数_乗用_LPG),1,1,BE1684):INDEX((係数_乗用_ガソリン,係数_乗用_CNG,係数_乗用_軽油,係数_乗用_メタノール,係数_乗用_LPG),125,5,BE1684),5,FALSE)))))</f>
        <v/>
      </c>
      <c r="AN1684" s="461" t="str">
        <f t="shared" si="958"/>
        <v/>
      </c>
      <c r="AO1684" s="462" t="str">
        <f t="shared" si="959"/>
        <v/>
      </c>
      <c r="AP1684" s="463" t="str">
        <f t="shared" si="960"/>
        <v/>
      </c>
      <c r="AQ1684" s="464"/>
      <c r="AR1684" s="619"/>
      <c r="AS1684" s="465" t="str">
        <f t="shared" si="968"/>
        <v/>
      </c>
      <c r="AT1684" s="465" t="str">
        <f t="shared" si="969"/>
        <v/>
      </c>
      <c r="AU1684" s="466" t="str">
        <f t="shared" si="970"/>
        <v/>
      </c>
      <c r="AV1684" s="467" t="str">
        <f t="shared" si="971"/>
        <v/>
      </c>
      <c r="AW1684" s="467" t="str">
        <f t="shared" si="972"/>
        <v/>
      </c>
      <c r="AX1684" s="467" t="str">
        <f t="shared" si="973"/>
        <v/>
      </c>
      <c r="AY1684" s="467" t="str">
        <f t="shared" si="974"/>
        <v/>
      </c>
      <c r="AZ1684" s="467" t="str">
        <f t="shared" si="975"/>
        <v/>
      </c>
      <c r="BA1684" s="468" t="str">
        <f>IF(AS1684="","",IF(OR(AU1684="",AU1684="-"),"－",IF(OR(AZ1684=8,AZ1684=9),"",IF(OR(AW1684=3,AW1684=4,AW1684=5,AW1684=6),VLOOKUP(AU1684,INDEX((係数_バス貨物_ガソリン,係数_バス貨物_CNG,係数_バス貨物_軽油,係数_バス貨物_メタノール,係数_バス貨物_LPG),MATCH(AY1684,【参考】排出係数!$AI$4:$AI$671,1),1,BE1684):INDEX((係数_バス貨物_ガソリン,係数_バス貨物_CNG,係数_バス貨物_軽油,係数_バス貨物_メタノール,係数_バス貨物_LPG),MATCH(AY1684+1,【参考】排出係数!$AI$4:$AI$671,1)-1,5,BE1684),2,FALSE),IF(OR(AW1684=1,AW1684=2),VLOOKUP(AU1684,INDEX((係数_乗用_ガソリン,係数_乗用_CNG,係数_乗用_軽油,係数_乗用_メタノール,係数_乗用_LPG),1,1,BE1684):INDEX((係数_乗用_ガソリン,係数_乗用_CNG,係数_乗用_軽油,係数_乗用_メタノール,係数_乗用_LPG),125,5,BE1684),2,FALSE))))))</f>
        <v/>
      </c>
      <c r="BB1684" s="468" t="str">
        <f>IF(T1684="","",IF(OR(AU1684="",AU1684="-"),"－",IF(OR(AZ1684=8,AZ1684=9),"",IF(OR(AW1684=3,AW1684=4,AW1684=5,AW1684=6),VLOOKUP(AU1684,INDEX((係数_バス貨物_ガソリン,係数_バス貨物_CNG,係数_バス貨物_軽油,係数_バス貨物_メタノール,係数_バス貨物_LPG),MATCH(AY1684,【参考】排出係数!$AI$4:$AI$671,1),1,BE1684):INDEX((係数_バス貨物_ガソリン,係数_バス貨物_CNG,係数_バス貨物_軽油,係数_バス貨物_メタノール,係数_バス貨物_LPG),MATCH(AY1684+1,【参考】排出係数!$AI$4:$AI$671,1)-1,5,BE1684),3,FALSE),IF(OR(AW1684=1,AW1684=2),VLOOKUP(AU1684,INDEX((係数_乗用_ガソリン,係数_乗用_CNG,係数_乗用_軽油,係数_乗用_メタノール,係数_乗用_LPG),1,1,BE1684):INDEX((係数_乗用_ガソリン,係数_乗用_CNG,係数_乗用_軽油,係数_乗用_メタノール,係数_乗用_LPG),125,5,BE1684),3,FALSE))))))</f>
        <v/>
      </c>
      <c r="BC1684" s="467" t="str">
        <f t="shared" si="976"/>
        <v/>
      </c>
      <c r="BD1684" s="567" t="str">
        <f t="shared" si="977"/>
        <v/>
      </c>
      <c r="BE1684" s="467" t="str">
        <f t="shared" si="978"/>
        <v/>
      </c>
      <c r="BF1684" s="469" t="str">
        <f t="shared" ca="1" si="979"/>
        <v/>
      </c>
      <c r="BG1684" s="469" t="str">
        <f t="shared" ca="1" si="980"/>
        <v/>
      </c>
      <c r="BH1684" s="467" t="str">
        <f t="shared" si="981"/>
        <v/>
      </c>
      <c r="BI1684" s="467" t="str">
        <f t="shared" ca="1" si="982"/>
        <v/>
      </c>
      <c r="BJ1684" s="469" t="str">
        <f t="shared" si="983"/>
        <v/>
      </c>
      <c r="BK1684" s="470" t="str">
        <f t="shared" si="967"/>
        <v/>
      </c>
      <c r="BL1684" s="775" t="str">
        <f t="shared" si="984"/>
        <v/>
      </c>
      <c r="BM1684" s="775" t="str">
        <f t="shared" si="985"/>
        <v/>
      </c>
    </row>
    <row r="1685" spans="1:65">
      <c r="A1685" s="473">
        <v>1629</v>
      </c>
      <c r="B1685" s="132"/>
      <c r="C1685" s="332"/>
      <c r="D1685" s="333"/>
      <c r="E1685" s="333"/>
      <c r="F1685" s="334"/>
      <c r="G1685" s="337"/>
      <c r="H1685" s="131"/>
      <c r="I1685" s="337"/>
      <c r="J1685" s="131"/>
      <c r="K1685" s="458" t="str">
        <f t="shared" si="948"/>
        <v/>
      </c>
      <c r="L1685" s="458">
        <f t="shared" si="949"/>
        <v>0</v>
      </c>
      <c r="M1685" s="458">
        <f t="shared" si="950"/>
        <v>0</v>
      </c>
      <c r="N1685" s="459" t="str">
        <f t="shared" si="961"/>
        <v/>
      </c>
      <c r="O1685" s="459" t="str">
        <f t="shared" si="962"/>
        <v/>
      </c>
      <c r="P1685" s="459" t="str">
        <f t="shared" si="963"/>
        <v/>
      </c>
      <c r="Q1685" s="459" t="str">
        <f t="shared" si="964"/>
        <v/>
      </c>
      <c r="R1685" s="459" t="str">
        <f t="shared" si="965"/>
        <v/>
      </c>
      <c r="S1685" s="459" t="str">
        <f t="shared" si="966"/>
        <v/>
      </c>
      <c r="T1685" s="566" t="str">
        <f t="shared" si="951"/>
        <v/>
      </c>
      <c r="U1685" s="702"/>
      <c r="V1685" s="132"/>
      <c r="W1685" s="133"/>
      <c r="X1685" s="134"/>
      <c r="Y1685" s="135"/>
      <c r="Z1685" s="137"/>
      <c r="AA1685" s="136"/>
      <c r="AB1685" s="566" t="str">
        <f t="shared" si="952"/>
        <v/>
      </c>
      <c r="AC1685" s="568" t="str">
        <f t="shared" si="953"/>
        <v/>
      </c>
      <c r="AD1685" s="137"/>
      <c r="AE1685" s="137"/>
      <c r="AF1685" s="138"/>
      <c r="AG1685" s="138"/>
      <c r="AH1685" s="592" t="str">
        <f t="shared" si="954"/>
        <v/>
      </c>
      <c r="AI1685" s="592" t="str">
        <f t="shared" si="955"/>
        <v/>
      </c>
      <c r="AJ1685" s="592" t="str">
        <f t="shared" si="956"/>
        <v/>
      </c>
      <c r="AK1685" s="460" t="str">
        <f>IF(AU1685="","",IF(OR(AZ1685=8,AZ1685=9),0,IF(OR(AW1685=3,AW1685=4,AW1685=5,AW1685=6),IF(LEFT(BF1685,1)="1",INDEX(係数_NOX・PM低減,MATCH(AY1685,【参考】排出係数!$AI$801:$AI$804,1),1),VLOOKUP(AU1685,INDEX((係数_バス貨物_ガソリン,係数_バス貨物_CNG,係数_バス貨物_軽油,係数_バス貨物_メタノール,係数_バス貨物_LPG),MATCH(AY1685,【参考】排出係数!$AI$4:$AI$671,1),1,BE1685):INDEX((係数_バス貨物_ガソリン,係数_バス貨物_CNG,係数_バス貨物_軽油,係数_バス貨物_メタノール,係数_バス貨物_LPG),MATCH(AY1685+1,【参考】排出係数!$AI$4:$AI$671,1)-1,5,BE1685),4,FALSE)),IF(AND(BE1685=3,LEFT(BF1685,1)="1"),0.48,VLOOKUP(AU1685,INDEX((係数_乗用_ガソリン,係数_乗用_CNG,係数_乗用_軽油,係数_乗用_メタノール,係数_乗用_LPG),1,1,BE1685):INDEX((係数_乗用_ガソリン,係数_乗用_CNG,係数_乗用_軽油,係数_乗用_メタノール,係数_乗用_LPG),125,5,BE1685),4,FALSE)))))</f>
        <v/>
      </c>
      <c r="AL1685" s="461" t="str">
        <f t="shared" si="957"/>
        <v/>
      </c>
      <c r="AM1685" s="460" t="str">
        <f>IF(AU1685="","",IF(OR(AZ1685=8,AZ1685=9),0,IF(OR(AW1685=3,AW1685=4,AW1685=5,AW1685=6),IF(LEFT(BH1685,1)="1",INDEX(係数_PM低減,MATCH(AY1685,【参考】排出係数!$AI$801:$AI$804,1),MATCH(BI1685,【参考】排出係数!$AL$798:$AO$798,1)),VLOOKUP(AU1685,INDEX((係数_バス貨物_ガソリン,係数_バス貨物_CNG,係数_バス貨物_軽油,係数_バス貨物_メタノール,係数_バス貨物_LPG),MATCH(AY1685,【参考】排出係数!$AI$4:$AI$671,1),1,BE1685):INDEX((係数_バス貨物_ガソリン,係数_バス貨物_CNG,係数_バス貨物_軽油,係数_バス貨物_メタノール,係数_バス貨物_LPG),MATCH(AY1685+1,【参考】排出係数!$AI$4:$AI$671,1)-1,5,BE1685),5,FALSE)),IF(AND(BE1685=3,LEFT(BF1685,1)="1"),0.055,VLOOKUP(AU1685,INDEX((係数_乗用_ガソリン,係数_乗用_CNG,係数_乗用_軽油,係数_乗用_メタノール,係数_乗用_LPG),1,1,BE1685):INDEX((係数_乗用_ガソリン,係数_乗用_CNG,係数_乗用_軽油,係数_乗用_メタノール,係数_乗用_LPG),125,5,BE1685),5,FALSE)))))</f>
        <v/>
      </c>
      <c r="AN1685" s="461" t="str">
        <f t="shared" si="958"/>
        <v/>
      </c>
      <c r="AO1685" s="462" t="str">
        <f t="shared" si="959"/>
        <v/>
      </c>
      <c r="AP1685" s="463" t="str">
        <f t="shared" si="960"/>
        <v/>
      </c>
      <c r="AQ1685" s="464"/>
      <c r="AR1685" s="619"/>
      <c r="AS1685" s="465" t="str">
        <f t="shared" si="968"/>
        <v/>
      </c>
      <c r="AT1685" s="465" t="str">
        <f t="shared" si="969"/>
        <v/>
      </c>
      <c r="AU1685" s="466" t="str">
        <f t="shared" si="970"/>
        <v/>
      </c>
      <c r="AV1685" s="467" t="str">
        <f t="shared" si="971"/>
        <v/>
      </c>
      <c r="AW1685" s="467" t="str">
        <f t="shared" si="972"/>
        <v/>
      </c>
      <c r="AX1685" s="467" t="str">
        <f t="shared" si="973"/>
        <v/>
      </c>
      <c r="AY1685" s="467" t="str">
        <f t="shared" si="974"/>
        <v/>
      </c>
      <c r="AZ1685" s="467" t="str">
        <f t="shared" si="975"/>
        <v/>
      </c>
      <c r="BA1685" s="468" t="str">
        <f>IF(AS1685="","",IF(OR(AU1685="",AU1685="-"),"－",IF(OR(AZ1685=8,AZ1685=9),"",IF(OR(AW1685=3,AW1685=4,AW1685=5,AW1685=6),VLOOKUP(AU1685,INDEX((係数_バス貨物_ガソリン,係数_バス貨物_CNG,係数_バス貨物_軽油,係数_バス貨物_メタノール,係数_バス貨物_LPG),MATCH(AY1685,【参考】排出係数!$AI$4:$AI$671,1),1,BE1685):INDEX((係数_バス貨物_ガソリン,係数_バス貨物_CNG,係数_バス貨物_軽油,係数_バス貨物_メタノール,係数_バス貨物_LPG),MATCH(AY1685+1,【参考】排出係数!$AI$4:$AI$671,1)-1,5,BE1685),2,FALSE),IF(OR(AW1685=1,AW1685=2),VLOOKUP(AU1685,INDEX((係数_乗用_ガソリン,係数_乗用_CNG,係数_乗用_軽油,係数_乗用_メタノール,係数_乗用_LPG),1,1,BE1685):INDEX((係数_乗用_ガソリン,係数_乗用_CNG,係数_乗用_軽油,係数_乗用_メタノール,係数_乗用_LPG),125,5,BE1685),2,FALSE))))))</f>
        <v/>
      </c>
      <c r="BB1685" s="468" t="str">
        <f>IF(T1685="","",IF(OR(AU1685="",AU1685="-"),"－",IF(OR(AZ1685=8,AZ1685=9),"",IF(OR(AW1685=3,AW1685=4,AW1685=5,AW1685=6),VLOOKUP(AU1685,INDEX((係数_バス貨物_ガソリン,係数_バス貨物_CNG,係数_バス貨物_軽油,係数_バス貨物_メタノール,係数_バス貨物_LPG),MATCH(AY1685,【参考】排出係数!$AI$4:$AI$671,1),1,BE1685):INDEX((係数_バス貨物_ガソリン,係数_バス貨物_CNG,係数_バス貨物_軽油,係数_バス貨物_メタノール,係数_バス貨物_LPG),MATCH(AY1685+1,【参考】排出係数!$AI$4:$AI$671,1)-1,5,BE1685),3,FALSE),IF(OR(AW1685=1,AW1685=2),VLOOKUP(AU1685,INDEX((係数_乗用_ガソリン,係数_乗用_CNG,係数_乗用_軽油,係数_乗用_メタノール,係数_乗用_LPG),1,1,BE1685):INDEX((係数_乗用_ガソリン,係数_乗用_CNG,係数_乗用_軽油,係数_乗用_メタノール,係数_乗用_LPG),125,5,BE1685),3,FALSE))))))</f>
        <v/>
      </c>
      <c r="BC1685" s="467" t="str">
        <f t="shared" si="976"/>
        <v/>
      </c>
      <c r="BD1685" s="567" t="str">
        <f t="shared" si="977"/>
        <v/>
      </c>
      <c r="BE1685" s="467" t="str">
        <f t="shared" si="978"/>
        <v/>
      </c>
      <c r="BF1685" s="469" t="str">
        <f t="shared" ca="1" si="979"/>
        <v/>
      </c>
      <c r="BG1685" s="469" t="str">
        <f t="shared" ca="1" si="980"/>
        <v/>
      </c>
      <c r="BH1685" s="467" t="str">
        <f t="shared" si="981"/>
        <v/>
      </c>
      <c r="BI1685" s="467" t="str">
        <f t="shared" ca="1" si="982"/>
        <v/>
      </c>
      <c r="BJ1685" s="469" t="str">
        <f t="shared" si="983"/>
        <v/>
      </c>
      <c r="BK1685" s="470" t="str">
        <f t="shared" si="967"/>
        <v/>
      </c>
      <c r="BL1685" s="775" t="str">
        <f t="shared" si="984"/>
        <v/>
      </c>
      <c r="BM1685" s="775" t="str">
        <f t="shared" si="985"/>
        <v/>
      </c>
    </row>
    <row r="1686" spans="1:65">
      <c r="A1686" s="473">
        <v>1630</v>
      </c>
      <c r="B1686" s="132"/>
      <c r="C1686" s="332"/>
      <c r="D1686" s="333"/>
      <c r="E1686" s="333"/>
      <c r="F1686" s="334"/>
      <c r="G1686" s="337"/>
      <c r="H1686" s="131"/>
      <c r="I1686" s="337"/>
      <c r="J1686" s="131"/>
      <c r="K1686" s="458" t="str">
        <f t="shared" si="948"/>
        <v/>
      </c>
      <c r="L1686" s="458">
        <f t="shared" si="949"/>
        <v>0</v>
      </c>
      <c r="M1686" s="458">
        <f t="shared" si="950"/>
        <v>0</v>
      </c>
      <c r="N1686" s="459" t="str">
        <f t="shared" si="961"/>
        <v/>
      </c>
      <c r="O1686" s="459" t="str">
        <f t="shared" si="962"/>
        <v/>
      </c>
      <c r="P1686" s="459" t="str">
        <f t="shared" si="963"/>
        <v/>
      </c>
      <c r="Q1686" s="459" t="str">
        <f t="shared" si="964"/>
        <v/>
      </c>
      <c r="R1686" s="459" t="str">
        <f t="shared" si="965"/>
        <v/>
      </c>
      <c r="S1686" s="459" t="str">
        <f t="shared" si="966"/>
        <v/>
      </c>
      <c r="T1686" s="566" t="str">
        <f t="shared" si="951"/>
        <v/>
      </c>
      <c r="U1686" s="702"/>
      <c r="V1686" s="132"/>
      <c r="W1686" s="133"/>
      <c r="X1686" s="134"/>
      <c r="Y1686" s="135"/>
      <c r="Z1686" s="137"/>
      <c r="AA1686" s="136"/>
      <c r="AB1686" s="566" t="str">
        <f t="shared" si="952"/>
        <v/>
      </c>
      <c r="AC1686" s="568" t="str">
        <f t="shared" si="953"/>
        <v/>
      </c>
      <c r="AD1686" s="137"/>
      <c r="AE1686" s="137"/>
      <c r="AF1686" s="138"/>
      <c r="AG1686" s="138"/>
      <c r="AH1686" s="592" t="str">
        <f t="shared" si="954"/>
        <v/>
      </c>
      <c r="AI1686" s="592" t="str">
        <f t="shared" si="955"/>
        <v/>
      </c>
      <c r="AJ1686" s="592" t="str">
        <f t="shared" si="956"/>
        <v/>
      </c>
      <c r="AK1686" s="460" t="str">
        <f>IF(AU1686="","",IF(OR(AZ1686=8,AZ1686=9),0,IF(OR(AW1686=3,AW1686=4,AW1686=5,AW1686=6),IF(LEFT(BF1686,1)="1",INDEX(係数_NOX・PM低減,MATCH(AY1686,【参考】排出係数!$AI$801:$AI$804,1),1),VLOOKUP(AU1686,INDEX((係数_バス貨物_ガソリン,係数_バス貨物_CNG,係数_バス貨物_軽油,係数_バス貨物_メタノール,係数_バス貨物_LPG),MATCH(AY1686,【参考】排出係数!$AI$4:$AI$671,1),1,BE1686):INDEX((係数_バス貨物_ガソリン,係数_バス貨物_CNG,係数_バス貨物_軽油,係数_バス貨物_メタノール,係数_バス貨物_LPG),MATCH(AY1686+1,【参考】排出係数!$AI$4:$AI$671,1)-1,5,BE1686),4,FALSE)),IF(AND(BE1686=3,LEFT(BF1686,1)="1"),0.48,VLOOKUP(AU1686,INDEX((係数_乗用_ガソリン,係数_乗用_CNG,係数_乗用_軽油,係数_乗用_メタノール,係数_乗用_LPG),1,1,BE1686):INDEX((係数_乗用_ガソリン,係数_乗用_CNG,係数_乗用_軽油,係数_乗用_メタノール,係数_乗用_LPG),125,5,BE1686),4,FALSE)))))</f>
        <v/>
      </c>
      <c r="AL1686" s="461" t="str">
        <f t="shared" si="957"/>
        <v/>
      </c>
      <c r="AM1686" s="460" t="str">
        <f>IF(AU1686="","",IF(OR(AZ1686=8,AZ1686=9),0,IF(OR(AW1686=3,AW1686=4,AW1686=5,AW1686=6),IF(LEFT(BH1686,1)="1",INDEX(係数_PM低減,MATCH(AY1686,【参考】排出係数!$AI$801:$AI$804,1),MATCH(BI1686,【参考】排出係数!$AL$798:$AO$798,1)),VLOOKUP(AU1686,INDEX((係数_バス貨物_ガソリン,係数_バス貨物_CNG,係数_バス貨物_軽油,係数_バス貨物_メタノール,係数_バス貨物_LPG),MATCH(AY1686,【参考】排出係数!$AI$4:$AI$671,1),1,BE1686):INDEX((係数_バス貨物_ガソリン,係数_バス貨物_CNG,係数_バス貨物_軽油,係数_バス貨物_メタノール,係数_バス貨物_LPG),MATCH(AY1686+1,【参考】排出係数!$AI$4:$AI$671,1)-1,5,BE1686),5,FALSE)),IF(AND(BE1686=3,LEFT(BF1686,1)="1"),0.055,VLOOKUP(AU1686,INDEX((係数_乗用_ガソリン,係数_乗用_CNG,係数_乗用_軽油,係数_乗用_メタノール,係数_乗用_LPG),1,1,BE1686):INDEX((係数_乗用_ガソリン,係数_乗用_CNG,係数_乗用_軽油,係数_乗用_メタノール,係数_乗用_LPG),125,5,BE1686),5,FALSE)))))</f>
        <v/>
      </c>
      <c r="AN1686" s="461" t="str">
        <f t="shared" si="958"/>
        <v/>
      </c>
      <c r="AO1686" s="462" t="str">
        <f t="shared" si="959"/>
        <v/>
      </c>
      <c r="AP1686" s="463" t="str">
        <f t="shared" si="960"/>
        <v/>
      </c>
      <c r="AQ1686" s="464"/>
      <c r="AR1686" s="619"/>
      <c r="AS1686" s="465" t="str">
        <f t="shared" si="968"/>
        <v/>
      </c>
      <c r="AT1686" s="465" t="str">
        <f t="shared" si="969"/>
        <v/>
      </c>
      <c r="AU1686" s="466" t="str">
        <f t="shared" si="970"/>
        <v/>
      </c>
      <c r="AV1686" s="467" t="str">
        <f t="shared" si="971"/>
        <v/>
      </c>
      <c r="AW1686" s="467" t="str">
        <f t="shared" si="972"/>
        <v/>
      </c>
      <c r="AX1686" s="467" t="str">
        <f t="shared" si="973"/>
        <v/>
      </c>
      <c r="AY1686" s="467" t="str">
        <f t="shared" si="974"/>
        <v/>
      </c>
      <c r="AZ1686" s="467" t="str">
        <f t="shared" si="975"/>
        <v/>
      </c>
      <c r="BA1686" s="468" t="str">
        <f>IF(AS1686="","",IF(OR(AU1686="",AU1686="-"),"－",IF(OR(AZ1686=8,AZ1686=9),"",IF(OR(AW1686=3,AW1686=4,AW1686=5,AW1686=6),VLOOKUP(AU1686,INDEX((係数_バス貨物_ガソリン,係数_バス貨物_CNG,係数_バス貨物_軽油,係数_バス貨物_メタノール,係数_バス貨物_LPG),MATCH(AY1686,【参考】排出係数!$AI$4:$AI$671,1),1,BE1686):INDEX((係数_バス貨物_ガソリン,係数_バス貨物_CNG,係数_バス貨物_軽油,係数_バス貨物_メタノール,係数_バス貨物_LPG),MATCH(AY1686+1,【参考】排出係数!$AI$4:$AI$671,1)-1,5,BE1686),2,FALSE),IF(OR(AW1686=1,AW1686=2),VLOOKUP(AU1686,INDEX((係数_乗用_ガソリン,係数_乗用_CNG,係数_乗用_軽油,係数_乗用_メタノール,係数_乗用_LPG),1,1,BE1686):INDEX((係数_乗用_ガソリン,係数_乗用_CNG,係数_乗用_軽油,係数_乗用_メタノール,係数_乗用_LPG),125,5,BE1686),2,FALSE))))))</f>
        <v/>
      </c>
      <c r="BB1686" s="468" t="str">
        <f>IF(T1686="","",IF(OR(AU1686="",AU1686="-"),"－",IF(OR(AZ1686=8,AZ1686=9),"",IF(OR(AW1686=3,AW1686=4,AW1686=5,AW1686=6),VLOOKUP(AU1686,INDEX((係数_バス貨物_ガソリン,係数_バス貨物_CNG,係数_バス貨物_軽油,係数_バス貨物_メタノール,係数_バス貨物_LPG),MATCH(AY1686,【参考】排出係数!$AI$4:$AI$671,1),1,BE1686):INDEX((係数_バス貨物_ガソリン,係数_バス貨物_CNG,係数_バス貨物_軽油,係数_バス貨物_メタノール,係数_バス貨物_LPG),MATCH(AY1686+1,【参考】排出係数!$AI$4:$AI$671,1)-1,5,BE1686),3,FALSE),IF(OR(AW1686=1,AW1686=2),VLOOKUP(AU1686,INDEX((係数_乗用_ガソリン,係数_乗用_CNG,係数_乗用_軽油,係数_乗用_メタノール,係数_乗用_LPG),1,1,BE1686):INDEX((係数_乗用_ガソリン,係数_乗用_CNG,係数_乗用_軽油,係数_乗用_メタノール,係数_乗用_LPG),125,5,BE1686),3,FALSE))))))</f>
        <v/>
      </c>
      <c r="BC1686" s="467" t="str">
        <f t="shared" si="976"/>
        <v/>
      </c>
      <c r="BD1686" s="567" t="str">
        <f t="shared" si="977"/>
        <v/>
      </c>
      <c r="BE1686" s="467" t="str">
        <f t="shared" si="978"/>
        <v/>
      </c>
      <c r="BF1686" s="469" t="str">
        <f t="shared" ca="1" si="979"/>
        <v/>
      </c>
      <c r="BG1686" s="469" t="str">
        <f t="shared" ca="1" si="980"/>
        <v/>
      </c>
      <c r="BH1686" s="467" t="str">
        <f t="shared" si="981"/>
        <v/>
      </c>
      <c r="BI1686" s="467" t="str">
        <f t="shared" ca="1" si="982"/>
        <v/>
      </c>
      <c r="BJ1686" s="469" t="str">
        <f t="shared" si="983"/>
        <v/>
      </c>
      <c r="BK1686" s="470" t="str">
        <f t="shared" si="967"/>
        <v/>
      </c>
      <c r="BL1686" s="775" t="str">
        <f t="shared" si="984"/>
        <v/>
      </c>
      <c r="BM1686" s="775" t="str">
        <f t="shared" si="985"/>
        <v/>
      </c>
    </row>
    <row r="1687" spans="1:65">
      <c r="A1687" s="473">
        <v>1631</v>
      </c>
      <c r="B1687" s="132"/>
      <c r="C1687" s="332"/>
      <c r="D1687" s="333"/>
      <c r="E1687" s="333"/>
      <c r="F1687" s="334"/>
      <c r="G1687" s="337"/>
      <c r="H1687" s="131"/>
      <c r="I1687" s="337"/>
      <c r="J1687" s="131"/>
      <c r="K1687" s="458" t="str">
        <f t="shared" si="948"/>
        <v/>
      </c>
      <c r="L1687" s="458">
        <f t="shared" si="949"/>
        <v>0</v>
      </c>
      <c r="M1687" s="458">
        <f t="shared" si="950"/>
        <v>0</v>
      </c>
      <c r="N1687" s="459" t="str">
        <f t="shared" si="961"/>
        <v/>
      </c>
      <c r="O1687" s="459" t="str">
        <f t="shared" si="962"/>
        <v/>
      </c>
      <c r="P1687" s="459" t="str">
        <f t="shared" si="963"/>
        <v/>
      </c>
      <c r="Q1687" s="459" t="str">
        <f t="shared" si="964"/>
        <v/>
      </c>
      <c r="R1687" s="459" t="str">
        <f t="shared" si="965"/>
        <v/>
      </c>
      <c r="S1687" s="459" t="str">
        <f t="shared" si="966"/>
        <v/>
      </c>
      <c r="T1687" s="566" t="str">
        <f t="shared" si="951"/>
        <v/>
      </c>
      <c r="U1687" s="702"/>
      <c r="V1687" s="132"/>
      <c r="W1687" s="133"/>
      <c r="X1687" s="134"/>
      <c r="Y1687" s="135"/>
      <c r="Z1687" s="137"/>
      <c r="AA1687" s="136"/>
      <c r="AB1687" s="566" t="str">
        <f t="shared" si="952"/>
        <v/>
      </c>
      <c r="AC1687" s="568" t="str">
        <f t="shared" si="953"/>
        <v/>
      </c>
      <c r="AD1687" s="137"/>
      <c r="AE1687" s="137"/>
      <c r="AF1687" s="138"/>
      <c r="AG1687" s="138"/>
      <c r="AH1687" s="592" t="str">
        <f t="shared" si="954"/>
        <v/>
      </c>
      <c r="AI1687" s="592" t="str">
        <f t="shared" si="955"/>
        <v/>
      </c>
      <c r="AJ1687" s="592" t="str">
        <f t="shared" si="956"/>
        <v/>
      </c>
      <c r="AK1687" s="460" t="str">
        <f>IF(AU1687="","",IF(OR(AZ1687=8,AZ1687=9),0,IF(OR(AW1687=3,AW1687=4,AW1687=5,AW1687=6),IF(LEFT(BF1687,1)="1",INDEX(係数_NOX・PM低減,MATCH(AY1687,【参考】排出係数!$AI$801:$AI$804,1),1),VLOOKUP(AU1687,INDEX((係数_バス貨物_ガソリン,係数_バス貨物_CNG,係数_バス貨物_軽油,係数_バス貨物_メタノール,係数_バス貨物_LPG),MATCH(AY1687,【参考】排出係数!$AI$4:$AI$671,1),1,BE1687):INDEX((係数_バス貨物_ガソリン,係数_バス貨物_CNG,係数_バス貨物_軽油,係数_バス貨物_メタノール,係数_バス貨物_LPG),MATCH(AY1687+1,【参考】排出係数!$AI$4:$AI$671,1)-1,5,BE1687),4,FALSE)),IF(AND(BE1687=3,LEFT(BF1687,1)="1"),0.48,VLOOKUP(AU1687,INDEX((係数_乗用_ガソリン,係数_乗用_CNG,係数_乗用_軽油,係数_乗用_メタノール,係数_乗用_LPG),1,1,BE1687):INDEX((係数_乗用_ガソリン,係数_乗用_CNG,係数_乗用_軽油,係数_乗用_メタノール,係数_乗用_LPG),125,5,BE1687),4,FALSE)))))</f>
        <v/>
      </c>
      <c r="AL1687" s="461" t="str">
        <f t="shared" si="957"/>
        <v/>
      </c>
      <c r="AM1687" s="460" t="str">
        <f>IF(AU1687="","",IF(OR(AZ1687=8,AZ1687=9),0,IF(OR(AW1687=3,AW1687=4,AW1687=5,AW1687=6),IF(LEFT(BH1687,1)="1",INDEX(係数_PM低減,MATCH(AY1687,【参考】排出係数!$AI$801:$AI$804,1),MATCH(BI1687,【参考】排出係数!$AL$798:$AO$798,1)),VLOOKUP(AU1687,INDEX((係数_バス貨物_ガソリン,係数_バス貨物_CNG,係数_バス貨物_軽油,係数_バス貨物_メタノール,係数_バス貨物_LPG),MATCH(AY1687,【参考】排出係数!$AI$4:$AI$671,1),1,BE1687):INDEX((係数_バス貨物_ガソリン,係数_バス貨物_CNG,係数_バス貨物_軽油,係数_バス貨物_メタノール,係数_バス貨物_LPG),MATCH(AY1687+1,【参考】排出係数!$AI$4:$AI$671,1)-1,5,BE1687),5,FALSE)),IF(AND(BE1687=3,LEFT(BF1687,1)="1"),0.055,VLOOKUP(AU1687,INDEX((係数_乗用_ガソリン,係数_乗用_CNG,係数_乗用_軽油,係数_乗用_メタノール,係数_乗用_LPG),1,1,BE1687):INDEX((係数_乗用_ガソリン,係数_乗用_CNG,係数_乗用_軽油,係数_乗用_メタノール,係数_乗用_LPG),125,5,BE1687),5,FALSE)))))</f>
        <v/>
      </c>
      <c r="AN1687" s="461" t="str">
        <f t="shared" si="958"/>
        <v/>
      </c>
      <c r="AO1687" s="462" t="str">
        <f t="shared" si="959"/>
        <v/>
      </c>
      <c r="AP1687" s="463" t="str">
        <f t="shared" si="960"/>
        <v/>
      </c>
      <c r="AQ1687" s="464"/>
      <c r="AR1687" s="619"/>
      <c r="AS1687" s="465" t="str">
        <f t="shared" si="968"/>
        <v/>
      </c>
      <c r="AT1687" s="465" t="str">
        <f t="shared" si="969"/>
        <v/>
      </c>
      <c r="AU1687" s="466" t="str">
        <f t="shared" si="970"/>
        <v/>
      </c>
      <c r="AV1687" s="467" t="str">
        <f t="shared" si="971"/>
        <v/>
      </c>
      <c r="AW1687" s="467" t="str">
        <f t="shared" si="972"/>
        <v/>
      </c>
      <c r="AX1687" s="467" t="str">
        <f t="shared" si="973"/>
        <v/>
      </c>
      <c r="AY1687" s="467" t="str">
        <f t="shared" si="974"/>
        <v/>
      </c>
      <c r="AZ1687" s="467" t="str">
        <f t="shared" si="975"/>
        <v/>
      </c>
      <c r="BA1687" s="468" t="str">
        <f>IF(AS1687="","",IF(OR(AU1687="",AU1687="-"),"－",IF(OR(AZ1687=8,AZ1687=9),"",IF(OR(AW1687=3,AW1687=4,AW1687=5,AW1687=6),VLOOKUP(AU1687,INDEX((係数_バス貨物_ガソリン,係数_バス貨物_CNG,係数_バス貨物_軽油,係数_バス貨物_メタノール,係数_バス貨物_LPG),MATCH(AY1687,【参考】排出係数!$AI$4:$AI$671,1),1,BE1687):INDEX((係数_バス貨物_ガソリン,係数_バス貨物_CNG,係数_バス貨物_軽油,係数_バス貨物_メタノール,係数_バス貨物_LPG),MATCH(AY1687+1,【参考】排出係数!$AI$4:$AI$671,1)-1,5,BE1687),2,FALSE),IF(OR(AW1687=1,AW1687=2),VLOOKUP(AU1687,INDEX((係数_乗用_ガソリン,係数_乗用_CNG,係数_乗用_軽油,係数_乗用_メタノール,係数_乗用_LPG),1,1,BE1687):INDEX((係数_乗用_ガソリン,係数_乗用_CNG,係数_乗用_軽油,係数_乗用_メタノール,係数_乗用_LPG),125,5,BE1687),2,FALSE))))))</f>
        <v/>
      </c>
      <c r="BB1687" s="468" t="str">
        <f>IF(T1687="","",IF(OR(AU1687="",AU1687="-"),"－",IF(OR(AZ1687=8,AZ1687=9),"",IF(OR(AW1687=3,AW1687=4,AW1687=5,AW1687=6),VLOOKUP(AU1687,INDEX((係数_バス貨物_ガソリン,係数_バス貨物_CNG,係数_バス貨物_軽油,係数_バス貨物_メタノール,係数_バス貨物_LPG),MATCH(AY1687,【参考】排出係数!$AI$4:$AI$671,1),1,BE1687):INDEX((係数_バス貨物_ガソリン,係数_バス貨物_CNG,係数_バス貨物_軽油,係数_バス貨物_メタノール,係数_バス貨物_LPG),MATCH(AY1687+1,【参考】排出係数!$AI$4:$AI$671,1)-1,5,BE1687),3,FALSE),IF(OR(AW1687=1,AW1687=2),VLOOKUP(AU1687,INDEX((係数_乗用_ガソリン,係数_乗用_CNG,係数_乗用_軽油,係数_乗用_メタノール,係数_乗用_LPG),1,1,BE1687):INDEX((係数_乗用_ガソリン,係数_乗用_CNG,係数_乗用_軽油,係数_乗用_メタノール,係数_乗用_LPG),125,5,BE1687),3,FALSE))))))</f>
        <v/>
      </c>
      <c r="BC1687" s="467" t="str">
        <f t="shared" si="976"/>
        <v/>
      </c>
      <c r="BD1687" s="567" t="str">
        <f t="shared" si="977"/>
        <v/>
      </c>
      <c r="BE1687" s="467" t="str">
        <f t="shared" si="978"/>
        <v/>
      </c>
      <c r="BF1687" s="469" t="str">
        <f t="shared" ca="1" si="979"/>
        <v/>
      </c>
      <c r="BG1687" s="469" t="str">
        <f t="shared" ca="1" si="980"/>
        <v/>
      </c>
      <c r="BH1687" s="467" t="str">
        <f t="shared" si="981"/>
        <v/>
      </c>
      <c r="BI1687" s="467" t="str">
        <f t="shared" ca="1" si="982"/>
        <v/>
      </c>
      <c r="BJ1687" s="469" t="str">
        <f t="shared" si="983"/>
        <v/>
      </c>
      <c r="BK1687" s="470" t="str">
        <f t="shared" si="967"/>
        <v/>
      </c>
      <c r="BL1687" s="775" t="str">
        <f t="shared" si="984"/>
        <v/>
      </c>
      <c r="BM1687" s="775" t="str">
        <f t="shared" si="985"/>
        <v/>
      </c>
    </row>
    <row r="1688" spans="1:65">
      <c r="A1688" s="473">
        <v>1632</v>
      </c>
      <c r="B1688" s="132"/>
      <c r="C1688" s="332"/>
      <c r="D1688" s="333"/>
      <c r="E1688" s="333"/>
      <c r="F1688" s="334"/>
      <c r="G1688" s="337"/>
      <c r="H1688" s="131"/>
      <c r="I1688" s="337"/>
      <c r="J1688" s="131"/>
      <c r="K1688" s="458" t="str">
        <f t="shared" si="948"/>
        <v/>
      </c>
      <c r="L1688" s="458">
        <f t="shared" si="949"/>
        <v>0</v>
      </c>
      <c r="M1688" s="458">
        <f t="shared" si="950"/>
        <v>0</v>
      </c>
      <c r="N1688" s="459" t="str">
        <f t="shared" si="961"/>
        <v/>
      </c>
      <c r="O1688" s="459" t="str">
        <f t="shared" si="962"/>
        <v/>
      </c>
      <c r="P1688" s="459" t="str">
        <f t="shared" si="963"/>
        <v/>
      </c>
      <c r="Q1688" s="459" t="str">
        <f t="shared" si="964"/>
        <v/>
      </c>
      <c r="R1688" s="459" t="str">
        <f t="shared" si="965"/>
        <v/>
      </c>
      <c r="S1688" s="459" t="str">
        <f t="shared" si="966"/>
        <v/>
      </c>
      <c r="T1688" s="566" t="str">
        <f t="shared" si="951"/>
        <v/>
      </c>
      <c r="U1688" s="702"/>
      <c r="V1688" s="132"/>
      <c r="W1688" s="133"/>
      <c r="X1688" s="134"/>
      <c r="Y1688" s="135"/>
      <c r="Z1688" s="137"/>
      <c r="AA1688" s="136"/>
      <c r="AB1688" s="566" t="str">
        <f t="shared" si="952"/>
        <v/>
      </c>
      <c r="AC1688" s="568" t="str">
        <f t="shared" si="953"/>
        <v/>
      </c>
      <c r="AD1688" s="137"/>
      <c r="AE1688" s="137"/>
      <c r="AF1688" s="138"/>
      <c r="AG1688" s="138"/>
      <c r="AH1688" s="592" t="str">
        <f t="shared" si="954"/>
        <v/>
      </c>
      <c r="AI1688" s="592" t="str">
        <f t="shared" si="955"/>
        <v/>
      </c>
      <c r="AJ1688" s="592" t="str">
        <f t="shared" si="956"/>
        <v/>
      </c>
      <c r="AK1688" s="460" t="str">
        <f>IF(AU1688="","",IF(OR(AZ1688=8,AZ1688=9),0,IF(OR(AW1688=3,AW1688=4,AW1688=5,AW1688=6),IF(LEFT(BF1688,1)="1",INDEX(係数_NOX・PM低減,MATCH(AY1688,【参考】排出係数!$AI$801:$AI$804,1),1),VLOOKUP(AU1688,INDEX((係数_バス貨物_ガソリン,係数_バス貨物_CNG,係数_バス貨物_軽油,係数_バス貨物_メタノール,係数_バス貨物_LPG),MATCH(AY1688,【参考】排出係数!$AI$4:$AI$671,1),1,BE1688):INDEX((係数_バス貨物_ガソリン,係数_バス貨物_CNG,係数_バス貨物_軽油,係数_バス貨物_メタノール,係数_バス貨物_LPG),MATCH(AY1688+1,【参考】排出係数!$AI$4:$AI$671,1)-1,5,BE1688),4,FALSE)),IF(AND(BE1688=3,LEFT(BF1688,1)="1"),0.48,VLOOKUP(AU1688,INDEX((係数_乗用_ガソリン,係数_乗用_CNG,係数_乗用_軽油,係数_乗用_メタノール,係数_乗用_LPG),1,1,BE1688):INDEX((係数_乗用_ガソリン,係数_乗用_CNG,係数_乗用_軽油,係数_乗用_メタノール,係数_乗用_LPG),125,5,BE1688),4,FALSE)))))</f>
        <v/>
      </c>
      <c r="AL1688" s="461" t="str">
        <f t="shared" si="957"/>
        <v/>
      </c>
      <c r="AM1688" s="460" t="str">
        <f>IF(AU1688="","",IF(OR(AZ1688=8,AZ1688=9),0,IF(OR(AW1688=3,AW1688=4,AW1688=5,AW1688=6),IF(LEFT(BH1688,1)="1",INDEX(係数_PM低減,MATCH(AY1688,【参考】排出係数!$AI$801:$AI$804,1),MATCH(BI1688,【参考】排出係数!$AL$798:$AO$798,1)),VLOOKUP(AU1688,INDEX((係数_バス貨物_ガソリン,係数_バス貨物_CNG,係数_バス貨物_軽油,係数_バス貨物_メタノール,係数_バス貨物_LPG),MATCH(AY1688,【参考】排出係数!$AI$4:$AI$671,1),1,BE1688):INDEX((係数_バス貨物_ガソリン,係数_バス貨物_CNG,係数_バス貨物_軽油,係数_バス貨物_メタノール,係数_バス貨物_LPG),MATCH(AY1688+1,【参考】排出係数!$AI$4:$AI$671,1)-1,5,BE1688),5,FALSE)),IF(AND(BE1688=3,LEFT(BF1688,1)="1"),0.055,VLOOKUP(AU1688,INDEX((係数_乗用_ガソリン,係数_乗用_CNG,係数_乗用_軽油,係数_乗用_メタノール,係数_乗用_LPG),1,1,BE1688):INDEX((係数_乗用_ガソリン,係数_乗用_CNG,係数_乗用_軽油,係数_乗用_メタノール,係数_乗用_LPG),125,5,BE1688),5,FALSE)))))</f>
        <v/>
      </c>
      <c r="AN1688" s="461" t="str">
        <f t="shared" si="958"/>
        <v/>
      </c>
      <c r="AO1688" s="462" t="str">
        <f t="shared" si="959"/>
        <v/>
      </c>
      <c r="AP1688" s="463" t="str">
        <f t="shared" si="960"/>
        <v/>
      </c>
      <c r="AQ1688" s="464"/>
      <c r="AR1688" s="619"/>
      <c r="AS1688" s="465" t="str">
        <f t="shared" si="968"/>
        <v/>
      </c>
      <c r="AT1688" s="465" t="str">
        <f t="shared" si="969"/>
        <v/>
      </c>
      <c r="AU1688" s="466" t="str">
        <f t="shared" si="970"/>
        <v/>
      </c>
      <c r="AV1688" s="467" t="str">
        <f t="shared" si="971"/>
        <v/>
      </c>
      <c r="AW1688" s="467" t="str">
        <f t="shared" si="972"/>
        <v/>
      </c>
      <c r="AX1688" s="467" t="str">
        <f t="shared" si="973"/>
        <v/>
      </c>
      <c r="AY1688" s="467" t="str">
        <f t="shared" si="974"/>
        <v/>
      </c>
      <c r="AZ1688" s="467" t="str">
        <f t="shared" si="975"/>
        <v/>
      </c>
      <c r="BA1688" s="468" t="str">
        <f>IF(AS1688="","",IF(OR(AU1688="",AU1688="-"),"－",IF(OR(AZ1688=8,AZ1688=9),"",IF(OR(AW1688=3,AW1688=4,AW1688=5,AW1688=6),VLOOKUP(AU1688,INDEX((係数_バス貨物_ガソリン,係数_バス貨物_CNG,係数_バス貨物_軽油,係数_バス貨物_メタノール,係数_バス貨物_LPG),MATCH(AY1688,【参考】排出係数!$AI$4:$AI$671,1),1,BE1688):INDEX((係数_バス貨物_ガソリン,係数_バス貨物_CNG,係数_バス貨物_軽油,係数_バス貨物_メタノール,係数_バス貨物_LPG),MATCH(AY1688+1,【参考】排出係数!$AI$4:$AI$671,1)-1,5,BE1688),2,FALSE),IF(OR(AW1688=1,AW1688=2),VLOOKUP(AU1688,INDEX((係数_乗用_ガソリン,係数_乗用_CNG,係数_乗用_軽油,係数_乗用_メタノール,係数_乗用_LPG),1,1,BE1688):INDEX((係数_乗用_ガソリン,係数_乗用_CNG,係数_乗用_軽油,係数_乗用_メタノール,係数_乗用_LPG),125,5,BE1688),2,FALSE))))))</f>
        <v/>
      </c>
      <c r="BB1688" s="468" t="str">
        <f>IF(T1688="","",IF(OR(AU1688="",AU1688="-"),"－",IF(OR(AZ1688=8,AZ1688=9),"",IF(OR(AW1688=3,AW1688=4,AW1688=5,AW1688=6),VLOOKUP(AU1688,INDEX((係数_バス貨物_ガソリン,係数_バス貨物_CNG,係数_バス貨物_軽油,係数_バス貨物_メタノール,係数_バス貨物_LPG),MATCH(AY1688,【参考】排出係数!$AI$4:$AI$671,1),1,BE1688):INDEX((係数_バス貨物_ガソリン,係数_バス貨物_CNG,係数_バス貨物_軽油,係数_バス貨物_メタノール,係数_バス貨物_LPG),MATCH(AY1688+1,【参考】排出係数!$AI$4:$AI$671,1)-1,5,BE1688),3,FALSE),IF(OR(AW1688=1,AW1688=2),VLOOKUP(AU1688,INDEX((係数_乗用_ガソリン,係数_乗用_CNG,係数_乗用_軽油,係数_乗用_メタノール,係数_乗用_LPG),1,1,BE1688):INDEX((係数_乗用_ガソリン,係数_乗用_CNG,係数_乗用_軽油,係数_乗用_メタノール,係数_乗用_LPG),125,5,BE1688),3,FALSE))))))</f>
        <v/>
      </c>
      <c r="BC1688" s="467" t="str">
        <f t="shared" si="976"/>
        <v/>
      </c>
      <c r="BD1688" s="567" t="str">
        <f t="shared" si="977"/>
        <v/>
      </c>
      <c r="BE1688" s="467" t="str">
        <f t="shared" si="978"/>
        <v/>
      </c>
      <c r="BF1688" s="469" t="str">
        <f t="shared" ca="1" si="979"/>
        <v/>
      </c>
      <c r="BG1688" s="469" t="str">
        <f t="shared" ca="1" si="980"/>
        <v/>
      </c>
      <c r="BH1688" s="467" t="str">
        <f t="shared" si="981"/>
        <v/>
      </c>
      <c r="BI1688" s="467" t="str">
        <f t="shared" ca="1" si="982"/>
        <v/>
      </c>
      <c r="BJ1688" s="469" t="str">
        <f t="shared" si="983"/>
        <v/>
      </c>
      <c r="BK1688" s="470" t="str">
        <f t="shared" si="967"/>
        <v/>
      </c>
      <c r="BL1688" s="775" t="str">
        <f t="shared" si="984"/>
        <v/>
      </c>
      <c r="BM1688" s="775" t="str">
        <f t="shared" si="985"/>
        <v/>
      </c>
    </row>
    <row r="1689" spans="1:65">
      <c r="A1689" s="473">
        <v>1633</v>
      </c>
      <c r="B1689" s="132"/>
      <c r="C1689" s="332"/>
      <c r="D1689" s="333"/>
      <c r="E1689" s="333"/>
      <c r="F1689" s="334"/>
      <c r="G1689" s="337"/>
      <c r="H1689" s="131"/>
      <c r="I1689" s="337"/>
      <c r="J1689" s="131"/>
      <c r="K1689" s="458" t="str">
        <f t="shared" si="948"/>
        <v/>
      </c>
      <c r="L1689" s="458">
        <f t="shared" si="949"/>
        <v>0</v>
      </c>
      <c r="M1689" s="458">
        <f t="shared" si="950"/>
        <v>0</v>
      </c>
      <c r="N1689" s="459" t="str">
        <f t="shared" si="961"/>
        <v/>
      </c>
      <c r="O1689" s="459" t="str">
        <f t="shared" si="962"/>
        <v/>
      </c>
      <c r="P1689" s="459" t="str">
        <f t="shared" si="963"/>
        <v/>
      </c>
      <c r="Q1689" s="459" t="str">
        <f t="shared" si="964"/>
        <v/>
      </c>
      <c r="R1689" s="459" t="str">
        <f t="shared" si="965"/>
        <v/>
      </c>
      <c r="S1689" s="459" t="str">
        <f t="shared" si="966"/>
        <v/>
      </c>
      <c r="T1689" s="566" t="str">
        <f t="shared" si="951"/>
        <v/>
      </c>
      <c r="U1689" s="702"/>
      <c r="V1689" s="132"/>
      <c r="W1689" s="133"/>
      <c r="X1689" s="134"/>
      <c r="Y1689" s="135"/>
      <c r="Z1689" s="137"/>
      <c r="AA1689" s="136"/>
      <c r="AB1689" s="566" t="str">
        <f t="shared" si="952"/>
        <v/>
      </c>
      <c r="AC1689" s="568" t="str">
        <f t="shared" si="953"/>
        <v/>
      </c>
      <c r="AD1689" s="137"/>
      <c r="AE1689" s="137"/>
      <c r="AF1689" s="138"/>
      <c r="AG1689" s="138"/>
      <c r="AH1689" s="592" t="str">
        <f t="shared" si="954"/>
        <v/>
      </c>
      <c r="AI1689" s="592" t="str">
        <f t="shared" si="955"/>
        <v/>
      </c>
      <c r="AJ1689" s="592" t="str">
        <f t="shared" si="956"/>
        <v/>
      </c>
      <c r="AK1689" s="460" t="str">
        <f>IF(AU1689="","",IF(OR(AZ1689=8,AZ1689=9),0,IF(OR(AW1689=3,AW1689=4,AW1689=5,AW1689=6),IF(LEFT(BF1689,1)="1",INDEX(係数_NOX・PM低減,MATCH(AY1689,【参考】排出係数!$AI$801:$AI$804,1),1),VLOOKUP(AU1689,INDEX((係数_バス貨物_ガソリン,係数_バス貨物_CNG,係数_バス貨物_軽油,係数_バス貨物_メタノール,係数_バス貨物_LPG),MATCH(AY1689,【参考】排出係数!$AI$4:$AI$671,1),1,BE1689):INDEX((係数_バス貨物_ガソリン,係数_バス貨物_CNG,係数_バス貨物_軽油,係数_バス貨物_メタノール,係数_バス貨物_LPG),MATCH(AY1689+1,【参考】排出係数!$AI$4:$AI$671,1)-1,5,BE1689),4,FALSE)),IF(AND(BE1689=3,LEFT(BF1689,1)="1"),0.48,VLOOKUP(AU1689,INDEX((係数_乗用_ガソリン,係数_乗用_CNG,係数_乗用_軽油,係数_乗用_メタノール,係数_乗用_LPG),1,1,BE1689):INDEX((係数_乗用_ガソリン,係数_乗用_CNG,係数_乗用_軽油,係数_乗用_メタノール,係数_乗用_LPG),125,5,BE1689),4,FALSE)))))</f>
        <v/>
      </c>
      <c r="AL1689" s="461" t="str">
        <f t="shared" si="957"/>
        <v/>
      </c>
      <c r="AM1689" s="460" t="str">
        <f>IF(AU1689="","",IF(OR(AZ1689=8,AZ1689=9),0,IF(OR(AW1689=3,AW1689=4,AW1689=5,AW1689=6),IF(LEFT(BH1689,1)="1",INDEX(係数_PM低減,MATCH(AY1689,【参考】排出係数!$AI$801:$AI$804,1),MATCH(BI1689,【参考】排出係数!$AL$798:$AO$798,1)),VLOOKUP(AU1689,INDEX((係数_バス貨物_ガソリン,係数_バス貨物_CNG,係数_バス貨物_軽油,係数_バス貨物_メタノール,係数_バス貨物_LPG),MATCH(AY1689,【参考】排出係数!$AI$4:$AI$671,1),1,BE1689):INDEX((係数_バス貨物_ガソリン,係数_バス貨物_CNG,係数_バス貨物_軽油,係数_バス貨物_メタノール,係数_バス貨物_LPG),MATCH(AY1689+1,【参考】排出係数!$AI$4:$AI$671,1)-1,5,BE1689),5,FALSE)),IF(AND(BE1689=3,LEFT(BF1689,1)="1"),0.055,VLOOKUP(AU1689,INDEX((係数_乗用_ガソリン,係数_乗用_CNG,係数_乗用_軽油,係数_乗用_メタノール,係数_乗用_LPG),1,1,BE1689):INDEX((係数_乗用_ガソリン,係数_乗用_CNG,係数_乗用_軽油,係数_乗用_メタノール,係数_乗用_LPG),125,5,BE1689),5,FALSE)))))</f>
        <v/>
      </c>
      <c r="AN1689" s="461" t="str">
        <f t="shared" si="958"/>
        <v/>
      </c>
      <c r="AO1689" s="462" t="str">
        <f t="shared" si="959"/>
        <v/>
      </c>
      <c r="AP1689" s="463" t="str">
        <f t="shared" si="960"/>
        <v/>
      </c>
      <c r="AQ1689" s="464"/>
      <c r="AR1689" s="619"/>
      <c r="AS1689" s="465" t="str">
        <f t="shared" si="968"/>
        <v/>
      </c>
      <c r="AT1689" s="465" t="str">
        <f t="shared" si="969"/>
        <v/>
      </c>
      <c r="AU1689" s="466" t="str">
        <f t="shared" si="970"/>
        <v/>
      </c>
      <c r="AV1689" s="467" t="str">
        <f t="shared" si="971"/>
        <v/>
      </c>
      <c r="AW1689" s="467" t="str">
        <f t="shared" si="972"/>
        <v/>
      </c>
      <c r="AX1689" s="467" t="str">
        <f t="shared" si="973"/>
        <v/>
      </c>
      <c r="AY1689" s="467" t="str">
        <f t="shared" si="974"/>
        <v/>
      </c>
      <c r="AZ1689" s="467" t="str">
        <f t="shared" si="975"/>
        <v/>
      </c>
      <c r="BA1689" s="468" t="str">
        <f>IF(AS1689="","",IF(OR(AU1689="",AU1689="-"),"－",IF(OR(AZ1689=8,AZ1689=9),"",IF(OR(AW1689=3,AW1689=4,AW1689=5,AW1689=6),VLOOKUP(AU1689,INDEX((係数_バス貨物_ガソリン,係数_バス貨物_CNG,係数_バス貨物_軽油,係数_バス貨物_メタノール,係数_バス貨物_LPG),MATCH(AY1689,【参考】排出係数!$AI$4:$AI$671,1),1,BE1689):INDEX((係数_バス貨物_ガソリン,係数_バス貨物_CNG,係数_バス貨物_軽油,係数_バス貨物_メタノール,係数_バス貨物_LPG),MATCH(AY1689+1,【参考】排出係数!$AI$4:$AI$671,1)-1,5,BE1689),2,FALSE),IF(OR(AW1689=1,AW1689=2),VLOOKUP(AU1689,INDEX((係数_乗用_ガソリン,係数_乗用_CNG,係数_乗用_軽油,係数_乗用_メタノール,係数_乗用_LPG),1,1,BE1689):INDEX((係数_乗用_ガソリン,係数_乗用_CNG,係数_乗用_軽油,係数_乗用_メタノール,係数_乗用_LPG),125,5,BE1689),2,FALSE))))))</f>
        <v/>
      </c>
      <c r="BB1689" s="468" t="str">
        <f>IF(T1689="","",IF(OR(AU1689="",AU1689="-"),"－",IF(OR(AZ1689=8,AZ1689=9),"",IF(OR(AW1689=3,AW1689=4,AW1689=5,AW1689=6),VLOOKUP(AU1689,INDEX((係数_バス貨物_ガソリン,係数_バス貨物_CNG,係数_バス貨物_軽油,係数_バス貨物_メタノール,係数_バス貨物_LPG),MATCH(AY1689,【参考】排出係数!$AI$4:$AI$671,1),1,BE1689):INDEX((係数_バス貨物_ガソリン,係数_バス貨物_CNG,係数_バス貨物_軽油,係数_バス貨物_メタノール,係数_バス貨物_LPG),MATCH(AY1689+1,【参考】排出係数!$AI$4:$AI$671,1)-1,5,BE1689),3,FALSE),IF(OR(AW1689=1,AW1689=2),VLOOKUP(AU1689,INDEX((係数_乗用_ガソリン,係数_乗用_CNG,係数_乗用_軽油,係数_乗用_メタノール,係数_乗用_LPG),1,1,BE1689):INDEX((係数_乗用_ガソリン,係数_乗用_CNG,係数_乗用_軽油,係数_乗用_メタノール,係数_乗用_LPG),125,5,BE1689),3,FALSE))))))</f>
        <v/>
      </c>
      <c r="BC1689" s="467" t="str">
        <f t="shared" si="976"/>
        <v/>
      </c>
      <c r="BD1689" s="567" t="str">
        <f t="shared" si="977"/>
        <v/>
      </c>
      <c r="BE1689" s="467" t="str">
        <f t="shared" si="978"/>
        <v/>
      </c>
      <c r="BF1689" s="469" t="str">
        <f t="shared" ca="1" si="979"/>
        <v/>
      </c>
      <c r="BG1689" s="469" t="str">
        <f t="shared" ca="1" si="980"/>
        <v/>
      </c>
      <c r="BH1689" s="467" t="str">
        <f t="shared" si="981"/>
        <v/>
      </c>
      <c r="BI1689" s="467" t="str">
        <f t="shared" ca="1" si="982"/>
        <v/>
      </c>
      <c r="BJ1689" s="469" t="str">
        <f t="shared" si="983"/>
        <v/>
      </c>
      <c r="BK1689" s="470" t="str">
        <f t="shared" si="967"/>
        <v/>
      </c>
      <c r="BL1689" s="775" t="str">
        <f t="shared" si="984"/>
        <v/>
      </c>
      <c r="BM1689" s="775" t="str">
        <f t="shared" si="985"/>
        <v/>
      </c>
    </row>
    <row r="1690" spans="1:65">
      <c r="A1690" s="473">
        <v>1634</v>
      </c>
      <c r="B1690" s="132"/>
      <c r="C1690" s="332"/>
      <c r="D1690" s="333"/>
      <c r="E1690" s="333"/>
      <c r="F1690" s="334"/>
      <c r="G1690" s="337"/>
      <c r="H1690" s="131"/>
      <c r="I1690" s="337"/>
      <c r="J1690" s="131"/>
      <c r="K1690" s="458" t="str">
        <f t="shared" si="948"/>
        <v/>
      </c>
      <c r="L1690" s="458">
        <f t="shared" si="949"/>
        <v>0</v>
      </c>
      <c r="M1690" s="458">
        <f t="shared" si="950"/>
        <v>0</v>
      </c>
      <c r="N1690" s="459" t="str">
        <f t="shared" si="961"/>
        <v/>
      </c>
      <c r="O1690" s="459" t="str">
        <f t="shared" si="962"/>
        <v/>
      </c>
      <c r="P1690" s="459" t="str">
        <f t="shared" si="963"/>
        <v/>
      </c>
      <c r="Q1690" s="459" t="str">
        <f t="shared" si="964"/>
        <v/>
      </c>
      <c r="R1690" s="459" t="str">
        <f t="shared" si="965"/>
        <v/>
      </c>
      <c r="S1690" s="459" t="str">
        <f t="shared" si="966"/>
        <v/>
      </c>
      <c r="T1690" s="566" t="str">
        <f t="shared" si="951"/>
        <v/>
      </c>
      <c r="U1690" s="702"/>
      <c r="V1690" s="132"/>
      <c r="W1690" s="133"/>
      <c r="X1690" s="134"/>
      <c r="Y1690" s="135"/>
      <c r="Z1690" s="137"/>
      <c r="AA1690" s="136"/>
      <c r="AB1690" s="566" t="str">
        <f t="shared" si="952"/>
        <v/>
      </c>
      <c r="AC1690" s="568" t="str">
        <f t="shared" si="953"/>
        <v/>
      </c>
      <c r="AD1690" s="137"/>
      <c r="AE1690" s="137"/>
      <c r="AF1690" s="138"/>
      <c r="AG1690" s="138"/>
      <c r="AH1690" s="592" t="str">
        <f t="shared" si="954"/>
        <v/>
      </c>
      <c r="AI1690" s="592" t="str">
        <f t="shared" si="955"/>
        <v/>
      </c>
      <c r="AJ1690" s="592" t="str">
        <f t="shared" si="956"/>
        <v/>
      </c>
      <c r="AK1690" s="460" t="str">
        <f>IF(AU1690="","",IF(OR(AZ1690=8,AZ1690=9),0,IF(OR(AW1690=3,AW1690=4,AW1690=5,AW1690=6),IF(LEFT(BF1690,1)="1",INDEX(係数_NOX・PM低減,MATCH(AY1690,【参考】排出係数!$AI$801:$AI$804,1),1),VLOOKUP(AU1690,INDEX((係数_バス貨物_ガソリン,係数_バス貨物_CNG,係数_バス貨物_軽油,係数_バス貨物_メタノール,係数_バス貨物_LPG),MATCH(AY1690,【参考】排出係数!$AI$4:$AI$671,1),1,BE1690):INDEX((係数_バス貨物_ガソリン,係数_バス貨物_CNG,係数_バス貨物_軽油,係数_バス貨物_メタノール,係数_バス貨物_LPG),MATCH(AY1690+1,【参考】排出係数!$AI$4:$AI$671,1)-1,5,BE1690),4,FALSE)),IF(AND(BE1690=3,LEFT(BF1690,1)="1"),0.48,VLOOKUP(AU1690,INDEX((係数_乗用_ガソリン,係数_乗用_CNG,係数_乗用_軽油,係数_乗用_メタノール,係数_乗用_LPG),1,1,BE1690):INDEX((係数_乗用_ガソリン,係数_乗用_CNG,係数_乗用_軽油,係数_乗用_メタノール,係数_乗用_LPG),125,5,BE1690),4,FALSE)))))</f>
        <v/>
      </c>
      <c r="AL1690" s="461" t="str">
        <f t="shared" si="957"/>
        <v/>
      </c>
      <c r="AM1690" s="460" t="str">
        <f>IF(AU1690="","",IF(OR(AZ1690=8,AZ1690=9),0,IF(OR(AW1690=3,AW1690=4,AW1690=5,AW1690=6),IF(LEFT(BH1690,1)="1",INDEX(係数_PM低減,MATCH(AY1690,【参考】排出係数!$AI$801:$AI$804,1),MATCH(BI1690,【参考】排出係数!$AL$798:$AO$798,1)),VLOOKUP(AU1690,INDEX((係数_バス貨物_ガソリン,係数_バス貨物_CNG,係数_バス貨物_軽油,係数_バス貨物_メタノール,係数_バス貨物_LPG),MATCH(AY1690,【参考】排出係数!$AI$4:$AI$671,1),1,BE1690):INDEX((係数_バス貨物_ガソリン,係数_バス貨物_CNG,係数_バス貨物_軽油,係数_バス貨物_メタノール,係数_バス貨物_LPG),MATCH(AY1690+1,【参考】排出係数!$AI$4:$AI$671,1)-1,5,BE1690),5,FALSE)),IF(AND(BE1690=3,LEFT(BF1690,1)="1"),0.055,VLOOKUP(AU1690,INDEX((係数_乗用_ガソリン,係数_乗用_CNG,係数_乗用_軽油,係数_乗用_メタノール,係数_乗用_LPG),1,1,BE1690):INDEX((係数_乗用_ガソリン,係数_乗用_CNG,係数_乗用_軽油,係数_乗用_メタノール,係数_乗用_LPG),125,5,BE1690),5,FALSE)))))</f>
        <v/>
      </c>
      <c r="AN1690" s="461" t="str">
        <f t="shared" si="958"/>
        <v/>
      </c>
      <c r="AO1690" s="462" t="str">
        <f t="shared" si="959"/>
        <v/>
      </c>
      <c r="AP1690" s="463" t="str">
        <f t="shared" si="960"/>
        <v/>
      </c>
      <c r="AQ1690" s="464"/>
      <c r="AR1690" s="619"/>
      <c r="AS1690" s="465" t="str">
        <f t="shared" si="968"/>
        <v/>
      </c>
      <c r="AT1690" s="465" t="str">
        <f t="shared" si="969"/>
        <v/>
      </c>
      <c r="AU1690" s="466" t="str">
        <f t="shared" si="970"/>
        <v/>
      </c>
      <c r="AV1690" s="467" t="str">
        <f t="shared" si="971"/>
        <v/>
      </c>
      <c r="AW1690" s="467" t="str">
        <f t="shared" si="972"/>
        <v/>
      </c>
      <c r="AX1690" s="467" t="str">
        <f t="shared" si="973"/>
        <v/>
      </c>
      <c r="AY1690" s="467" t="str">
        <f t="shared" si="974"/>
        <v/>
      </c>
      <c r="AZ1690" s="467" t="str">
        <f t="shared" si="975"/>
        <v/>
      </c>
      <c r="BA1690" s="468" t="str">
        <f>IF(AS1690="","",IF(OR(AU1690="",AU1690="-"),"－",IF(OR(AZ1690=8,AZ1690=9),"",IF(OR(AW1690=3,AW1690=4,AW1690=5,AW1690=6),VLOOKUP(AU1690,INDEX((係数_バス貨物_ガソリン,係数_バス貨物_CNG,係数_バス貨物_軽油,係数_バス貨物_メタノール,係数_バス貨物_LPG),MATCH(AY1690,【参考】排出係数!$AI$4:$AI$671,1),1,BE1690):INDEX((係数_バス貨物_ガソリン,係数_バス貨物_CNG,係数_バス貨物_軽油,係数_バス貨物_メタノール,係数_バス貨物_LPG),MATCH(AY1690+1,【参考】排出係数!$AI$4:$AI$671,1)-1,5,BE1690),2,FALSE),IF(OR(AW1690=1,AW1690=2),VLOOKUP(AU1690,INDEX((係数_乗用_ガソリン,係数_乗用_CNG,係数_乗用_軽油,係数_乗用_メタノール,係数_乗用_LPG),1,1,BE1690):INDEX((係数_乗用_ガソリン,係数_乗用_CNG,係数_乗用_軽油,係数_乗用_メタノール,係数_乗用_LPG),125,5,BE1690),2,FALSE))))))</f>
        <v/>
      </c>
      <c r="BB1690" s="468" t="str">
        <f>IF(T1690="","",IF(OR(AU1690="",AU1690="-"),"－",IF(OR(AZ1690=8,AZ1690=9),"",IF(OR(AW1690=3,AW1690=4,AW1690=5,AW1690=6),VLOOKUP(AU1690,INDEX((係数_バス貨物_ガソリン,係数_バス貨物_CNG,係数_バス貨物_軽油,係数_バス貨物_メタノール,係数_バス貨物_LPG),MATCH(AY1690,【参考】排出係数!$AI$4:$AI$671,1),1,BE1690):INDEX((係数_バス貨物_ガソリン,係数_バス貨物_CNG,係数_バス貨物_軽油,係数_バス貨物_メタノール,係数_バス貨物_LPG),MATCH(AY1690+1,【参考】排出係数!$AI$4:$AI$671,1)-1,5,BE1690),3,FALSE),IF(OR(AW1690=1,AW1690=2),VLOOKUP(AU1690,INDEX((係数_乗用_ガソリン,係数_乗用_CNG,係数_乗用_軽油,係数_乗用_メタノール,係数_乗用_LPG),1,1,BE1690):INDEX((係数_乗用_ガソリン,係数_乗用_CNG,係数_乗用_軽油,係数_乗用_メタノール,係数_乗用_LPG),125,5,BE1690),3,FALSE))))))</f>
        <v/>
      </c>
      <c r="BC1690" s="467" t="str">
        <f t="shared" si="976"/>
        <v/>
      </c>
      <c r="BD1690" s="567" t="str">
        <f t="shared" si="977"/>
        <v/>
      </c>
      <c r="BE1690" s="467" t="str">
        <f t="shared" si="978"/>
        <v/>
      </c>
      <c r="BF1690" s="469" t="str">
        <f t="shared" ca="1" si="979"/>
        <v/>
      </c>
      <c r="BG1690" s="469" t="str">
        <f t="shared" ca="1" si="980"/>
        <v/>
      </c>
      <c r="BH1690" s="467" t="str">
        <f t="shared" si="981"/>
        <v/>
      </c>
      <c r="BI1690" s="467" t="str">
        <f t="shared" ca="1" si="982"/>
        <v/>
      </c>
      <c r="BJ1690" s="469" t="str">
        <f t="shared" si="983"/>
        <v/>
      </c>
      <c r="BK1690" s="470" t="str">
        <f t="shared" si="967"/>
        <v/>
      </c>
      <c r="BL1690" s="775" t="str">
        <f t="shared" si="984"/>
        <v/>
      </c>
      <c r="BM1690" s="775" t="str">
        <f t="shared" si="985"/>
        <v/>
      </c>
    </row>
    <row r="1691" spans="1:65">
      <c r="A1691" s="473">
        <v>1635</v>
      </c>
      <c r="B1691" s="132"/>
      <c r="C1691" s="332"/>
      <c r="D1691" s="333"/>
      <c r="E1691" s="333"/>
      <c r="F1691" s="334"/>
      <c r="G1691" s="337"/>
      <c r="H1691" s="131"/>
      <c r="I1691" s="337"/>
      <c r="J1691" s="131"/>
      <c r="K1691" s="458" t="str">
        <f t="shared" si="948"/>
        <v/>
      </c>
      <c r="L1691" s="458">
        <f t="shared" si="949"/>
        <v>0</v>
      </c>
      <c r="M1691" s="458">
        <f t="shared" si="950"/>
        <v>0</v>
      </c>
      <c r="N1691" s="459" t="str">
        <f t="shared" si="961"/>
        <v/>
      </c>
      <c r="O1691" s="459" t="str">
        <f t="shared" si="962"/>
        <v/>
      </c>
      <c r="P1691" s="459" t="str">
        <f t="shared" si="963"/>
        <v/>
      </c>
      <c r="Q1691" s="459" t="str">
        <f t="shared" si="964"/>
        <v/>
      </c>
      <c r="R1691" s="459" t="str">
        <f t="shared" si="965"/>
        <v/>
      </c>
      <c r="S1691" s="459" t="str">
        <f t="shared" si="966"/>
        <v/>
      </c>
      <c r="T1691" s="566" t="str">
        <f t="shared" si="951"/>
        <v/>
      </c>
      <c r="U1691" s="702"/>
      <c r="V1691" s="132"/>
      <c r="W1691" s="133"/>
      <c r="X1691" s="134"/>
      <c r="Y1691" s="135"/>
      <c r="Z1691" s="137"/>
      <c r="AA1691" s="136"/>
      <c r="AB1691" s="566" t="str">
        <f t="shared" si="952"/>
        <v/>
      </c>
      <c r="AC1691" s="568" t="str">
        <f t="shared" si="953"/>
        <v/>
      </c>
      <c r="AD1691" s="137"/>
      <c r="AE1691" s="137"/>
      <c r="AF1691" s="138"/>
      <c r="AG1691" s="138"/>
      <c r="AH1691" s="592" t="str">
        <f t="shared" si="954"/>
        <v/>
      </c>
      <c r="AI1691" s="592" t="str">
        <f t="shared" si="955"/>
        <v/>
      </c>
      <c r="AJ1691" s="592" t="str">
        <f t="shared" si="956"/>
        <v/>
      </c>
      <c r="AK1691" s="460" t="str">
        <f>IF(AU1691="","",IF(OR(AZ1691=8,AZ1691=9),0,IF(OR(AW1691=3,AW1691=4,AW1691=5,AW1691=6),IF(LEFT(BF1691,1)="1",INDEX(係数_NOX・PM低減,MATCH(AY1691,【参考】排出係数!$AI$801:$AI$804,1),1),VLOOKUP(AU1691,INDEX((係数_バス貨物_ガソリン,係数_バス貨物_CNG,係数_バス貨物_軽油,係数_バス貨物_メタノール,係数_バス貨物_LPG),MATCH(AY1691,【参考】排出係数!$AI$4:$AI$671,1),1,BE1691):INDEX((係数_バス貨物_ガソリン,係数_バス貨物_CNG,係数_バス貨物_軽油,係数_バス貨物_メタノール,係数_バス貨物_LPG),MATCH(AY1691+1,【参考】排出係数!$AI$4:$AI$671,1)-1,5,BE1691),4,FALSE)),IF(AND(BE1691=3,LEFT(BF1691,1)="1"),0.48,VLOOKUP(AU1691,INDEX((係数_乗用_ガソリン,係数_乗用_CNG,係数_乗用_軽油,係数_乗用_メタノール,係数_乗用_LPG),1,1,BE1691):INDEX((係数_乗用_ガソリン,係数_乗用_CNG,係数_乗用_軽油,係数_乗用_メタノール,係数_乗用_LPG),125,5,BE1691),4,FALSE)))))</f>
        <v/>
      </c>
      <c r="AL1691" s="461" t="str">
        <f t="shared" si="957"/>
        <v/>
      </c>
      <c r="AM1691" s="460" t="str">
        <f>IF(AU1691="","",IF(OR(AZ1691=8,AZ1691=9),0,IF(OR(AW1691=3,AW1691=4,AW1691=5,AW1691=6),IF(LEFT(BH1691,1)="1",INDEX(係数_PM低減,MATCH(AY1691,【参考】排出係数!$AI$801:$AI$804,1),MATCH(BI1691,【参考】排出係数!$AL$798:$AO$798,1)),VLOOKUP(AU1691,INDEX((係数_バス貨物_ガソリン,係数_バス貨物_CNG,係数_バス貨物_軽油,係数_バス貨物_メタノール,係数_バス貨物_LPG),MATCH(AY1691,【参考】排出係数!$AI$4:$AI$671,1),1,BE1691):INDEX((係数_バス貨物_ガソリン,係数_バス貨物_CNG,係数_バス貨物_軽油,係数_バス貨物_メタノール,係数_バス貨物_LPG),MATCH(AY1691+1,【参考】排出係数!$AI$4:$AI$671,1)-1,5,BE1691),5,FALSE)),IF(AND(BE1691=3,LEFT(BF1691,1)="1"),0.055,VLOOKUP(AU1691,INDEX((係数_乗用_ガソリン,係数_乗用_CNG,係数_乗用_軽油,係数_乗用_メタノール,係数_乗用_LPG),1,1,BE1691):INDEX((係数_乗用_ガソリン,係数_乗用_CNG,係数_乗用_軽油,係数_乗用_メタノール,係数_乗用_LPG),125,5,BE1691),5,FALSE)))))</f>
        <v/>
      </c>
      <c r="AN1691" s="461" t="str">
        <f t="shared" si="958"/>
        <v/>
      </c>
      <c r="AO1691" s="462" t="str">
        <f t="shared" si="959"/>
        <v/>
      </c>
      <c r="AP1691" s="463" t="str">
        <f t="shared" si="960"/>
        <v/>
      </c>
      <c r="AQ1691" s="464"/>
      <c r="AR1691" s="619"/>
      <c r="AS1691" s="465" t="str">
        <f t="shared" si="968"/>
        <v/>
      </c>
      <c r="AT1691" s="465" t="str">
        <f t="shared" si="969"/>
        <v/>
      </c>
      <c r="AU1691" s="466" t="str">
        <f t="shared" si="970"/>
        <v/>
      </c>
      <c r="AV1691" s="467" t="str">
        <f t="shared" si="971"/>
        <v/>
      </c>
      <c r="AW1691" s="467" t="str">
        <f t="shared" si="972"/>
        <v/>
      </c>
      <c r="AX1691" s="467" t="str">
        <f t="shared" si="973"/>
        <v/>
      </c>
      <c r="AY1691" s="467" t="str">
        <f t="shared" si="974"/>
        <v/>
      </c>
      <c r="AZ1691" s="467" t="str">
        <f t="shared" si="975"/>
        <v/>
      </c>
      <c r="BA1691" s="468" t="str">
        <f>IF(AS1691="","",IF(OR(AU1691="",AU1691="-"),"－",IF(OR(AZ1691=8,AZ1691=9),"",IF(OR(AW1691=3,AW1691=4,AW1691=5,AW1691=6),VLOOKUP(AU1691,INDEX((係数_バス貨物_ガソリン,係数_バス貨物_CNG,係数_バス貨物_軽油,係数_バス貨物_メタノール,係数_バス貨物_LPG),MATCH(AY1691,【参考】排出係数!$AI$4:$AI$671,1),1,BE1691):INDEX((係数_バス貨物_ガソリン,係数_バス貨物_CNG,係数_バス貨物_軽油,係数_バス貨物_メタノール,係数_バス貨物_LPG),MATCH(AY1691+1,【参考】排出係数!$AI$4:$AI$671,1)-1,5,BE1691),2,FALSE),IF(OR(AW1691=1,AW1691=2),VLOOKUP(AU1691,INDEX((係数_乗用_ガソリン,係数_乗用_CNG,係数_乗用_軽油,係数_乗用_メタノール,係数_乗用_LPG),1,1,BE1691):INDEX((係数_乗用_ガソリン,係数_乗用_CNG,係数_乗用_軽油,係数_乗用_メタノール,係数_乗用_LPG),125,5,BE1691),2,FALSE))))))</f>
        <v/>
      </c>
      <c r="BB1691" s="468" t="str">
        <f>IF(T1691="","",IF(OR(AU1691="",AU1691="-"),"－",IF(OR(AZ1691=8,AZ1691=9),"",IF(OR(AW1691=3,AW1691=4,AW1691=5,AW1691=6),VLOOKUP(AU1691,INDEX((係数_バス貨物_ガソリン,係数_バス貨物_CNG,係数_バス貨物_軽油,係数_バス貨物_メタノール,係数_バス貨物_LPG),MATCH(AY1691,【参考】排出係数!$AI$4:$AI$671,1),1,BE1691):INDEX((係数_バス貨物_ガソリン,係数_バス貨物_CNG,係数_バス貨物_軽油,係数_バス貨物_メタノール,係数_バス貨物_LPG),MATCH(AY1691+1,【参考】排出係数!$AI$4:$AI$671,1)-1,5,BE1691),3,FALSE),IF(OR(AW1691=1,AW1691=2),VLOOKUP(AU1691,INDEX((係数_乗用_ガソリン,係数_乗用_CNG,係数_乗用_軽油,係数_乗用_メタノール,係数_乗用_LPG),1,1,BE1691):INDEX((係数_乗用_ガソリン,係数_乗用_CNG,係数_乗用_軽油,係数_乗用_メタノール,係数_乗用_LPG),125,5,BE1691),3,FALSE))))))</f>
        <v/>
      </c>
      <c r="BC1691" s="467" t="str">
        <f t="shared" si="976"/>
        <v/>
      </c>
      <c r="BD1691" s="567" t="str">
        <f t="shared" si="977"/>
        <v/>
      </c>
      <c r="BE1691" s="467" t="str">
        <f t="shared" si="978"/>
        <v/>
      </c>
      <c r="BF1691" s="469" t="str">
        <f t="shared" ca="1" si="979"/>
        <v/>
      </c>
      <c r="BG1691" s="469" t="str">
        <f t="shared" ca="1" si="980"/>
        <v/>
      </c>
      <c r="BH1691" s="467" t="str">
        <f t="shared" si="981"/>
        <v/>
      </c>
      <c r="BI1691" s="467" t="str">
        <f t="shared" ca="1" si="982"/>
        <v/>
      </c>
      <c r="BJ1691" s="469" t="str">
        <f t="shared" si="983"/>
        <v/>
      </c>
      <c r="BK1691" s="470" t="str">
        <f t="shared" si="967"/>
        <v/>
      </c>
      <c r="BL1691" s="775" t="str">
        <f t="shared" si="984"/>
        <v/>
      </c>
      <c r="BM1691" s="775" t="str">
        <f t="shared" si="985"/>
        <v/>
      </c>
    </row>
    <row r="1692" spans="1:65">
      <c r="A1692" s="473">
        <v>1636</v>
      </c>
      <c r="B1692" s="132"/>
      <c r="C1692" s="332"/>
      <c r="D1692" s="333"/>
      <c r="E1692" s="333"/>
      <c r="F1692" s="334"/>
      <c r="G1692" s="337"/>
      <c r="H1692" s="131"/>
      <c r="I1692" s="337"/>
      <c r="J1692" s="131"/>
      <c r="K1692" s="458" t="str">
        <f t="shared" si="948"/>
        <v/>
      </c>
      <c r="L1692" s="458">
        <f t="shared" si="949"/>
        <v>0</v>
      </c>
      <c r="M1692" s="458">
        <f t="shared" si="950"/>
        <v>0</v>
      </c>
      <c r="N1692" s="459" t="str">
        <f t="shared" si="961"/>
        <v/>
      </c>
      <c r="O1692" s="459" t="str">
        <f t="shared" si="962"/>
        <v/>
      </c>
      <c r="P1692" s="459" t="str">
        <f t="shared" si="963"/>
        <v/>
      </c>
      <c r="Q1692" s="459" t="str">
        <f t="shared" si="964"/>
        <v/>
      </c>
      <c r="R1692" s="459" t="str">
        <f t="shared" si="965"/>
        <v/>
      </c>
      <c r="S1692" s="459" t="str">
        <f t="shared" si="966"/>
        <v/>
      </c>
      <c r="T1692" s="566" t="str">
        <f t="shared" si="951"/>
        <v/>
      </c>
      <c r="U1692" s="702"/>
      <c r="V1692" s="132"/>
      <c r="W1692" s="133"/>
      <c r="X1692" s="134"/>
      <c r="Y1692" s="135"/>
      <c r="Z1692" s="137"/>
      <c r="AA1692" s="136"/>
      <c r="AB1692" s="566" t="str">
        <f t="shared" si="952"/>
        <v/>
      </c>
      <c r="AC1692" s="568" t="str">
        <f t="shared" si="953"/>
        <v/>
      </c>
      <c r="AD1692" s="137"/>
      <c r="AE1692" s="137"/>
      <c r="AF1692" s="138"/>
      <c r="AG1692" s="138"/>
      <c r="AH1692" s="592" t="str">
        <f t="shared" si="954"/>
        <v/>
      </c>
      <c r="AI1692" s="592" t="str">
        <f t="shared" si="955"/>
        <v/>
      </c>
      <c r="AJ1692" s="592" t="str">
        <f t="shared" si="956"/>
        <v/>
      </c>
      <c r="AK1692" s="460" t="str">
        <f>IF(AU1692="","",IF(OR(AZ1692=8,AZ1692=9),0,IF(OR(AW1692=3,AW1692=4,AW1692=5,AW1692=6),IF(LEFT(BF1692,1)="1",INDEX(係数_NOX・PM低減,MATCH(AY1692,【参考】排出係数!$AI$801:$AI$804,1),1),VLOOKUP(AU1692,INDEX((係数_バス貨物_ガソリン,係数_バス貨物_CNG,係数_バス貨物_軽油,係数_バス貨物_メタノール,係数_バス貨物_LPG),MATCH(AY1692,【参考】排出係数!$AI$4:$AI$671,1),1,BE1692):INDEX((係数_バス貨物_ガソリン,係数_バス貨物_CNG,係数_バス貨物_軽油,係数_バス貨物_メタノール,係数_バス貨物_LPG),MATCH(AY1692+1,【参考】排出係数!$AI$4:$AI$671,1)-1,5,BE1692),4,FALSE)),IF(AND(BE1692=3,LEFT(BF1692,1)="1"),0.48,VLOOKUP(AU1692,INDEX((係数_乗用_ガソリン,係数_乗用_CNG,係数_乗用_軽油,係数_乗用_メタノール,係数_乗用_LPG),1,1,BE1692):INDEX((係数_乗用_ガソリン,係数_乗用_CNG,係数_乗用_軽油,係数_乗用_メタノール,係数_乗用_LPG),125,5,BE1692),4,FALSE)))))</f>
        <v/>
      </c>
      <c r="AL1692" s="461" t="str">
        <f t="shared" si="957"/>
        <v/>
      </c>
      <c r="AM1692" s="460" t="str">
        <f>IF(AU1692="","",IF(OR(AZ1692=8,AZ1692=9),0,IF(OR(AW1692=3,AW1692=4,AW1692=5,AW1692=6),IF(LEFT(BH1692,1)="1",INDEX(係数_PM低減,MATCH(AY1692,【参考】排出係数!$AI$801:$AI$804,1),MATCH(BI1692,【参考】排出係数!$AL$798:$AO$798,1)),VLOOKUP(AU1692,INDEX((係数_バス貨物_ガソリン,係数_バス貨物_CNG,係数_バス貨物_軽油,係数_バス貨物_メタノール,係数_バス貨物_LPG),MATCH(AY1692,【参考】排出係数!$AI$4:$AI$671,1),1,BE1692):INDEX((係数_バス貨物_ガソリン,係数_バス貨物_CNG,係数_バス貨物_軽油,係数_バス貨物_メタノール,係数_バス貨物_LPG),MATCH(AY1692+1,【参考】排出係数!$AI$4:$AI$671,1)-1,5,BE1692),5,FALSE)),IF(AND(BE1692=3,LEFT(BF1692,1)="1"),0.055,VLOOKUP(AU1692,INDEX((係数_乗用_ガソリン,係数_乗用_CNG,係数_乗用_軽油,係数_乗用_メタノール,係数_乗用_LPG),1,1,BE1692):INDEX((係数_乗用_ガソリン,係数_乗用_CNG,係数_乗用_軽油,係数_乗用_メタノール,係数_乗用_LPG),125,5,BE1692),5,FALSE)))))</f>
        <v/>
      </c>
      <c r="AN1692" s="461" t="str">
        <f t="shared" si="958"/>
        <v/>
      </c>
      <c r="AO1692" s="462" t="str">
        <f t="shared" si="959"/>
        <v/>
      </c>
      <c r="AP1692" s="463" t="str">
        <f t="shared" si="960"/>
        <v/>
      </c>
      <c r="AQ1692" s="464"/>
      <c r="AR1692" s="619"/>
      <c r="AS1692" s="465" t="str">
        <f t="shared" si="968"/>
        <v/>
      </c>
      <c r="AT1692" s="465" t="str">
        <f t="shared" si="969"/>
        <v/>
      </c>
      <c r="AU1692" s="466" t="str">
        <f t="shared" si="970"/>
        <v/>
      </c>
      <c r="AV1692" s="467" t="str">
        <f t="shared" si="971"/>
        <v/>
      </c>
      <c r="AW1692" s="467" t="str">
        <f t="shared" si="972"/>
        <v/>
      </c>
      <c r="AX1692" s="467" t="str">
        <f t="shared" si="973"/>
        <v/>
      </c>
      <c r="AY1692" s="467" t="str">
        <f t="shared" si="974"/>
        <v/>
      </c>
      <c r="AZ1692" s="467" t="str">
        <f t="shared" si="975"/>
        <v/>
      </c>
      <c r="BA1692" s="468" t="str">
        <f>IF(AS1692="","",IF(OR(AU1692="",AU1692="-"),"－",IF(OR(AZ1692=8,AZ1692=9),"",IF(OR(AW1692=3,AW1692=4,AW1692=5,AW1692=6),VLOOKUP(AU1692,INDEX((係数_バス貨物_ガソリン,係数_バス貨物_CNG,係数_バス貨物_軽油,係数_バス貨物_メタノール,係数_バス貨物_LPG),MATCH(AY1692,【参考】排出係数!$AI$4:$AI$671,1),1,BE1692):INDEX((係数_バス貨物_ガソリン,係数_バス貨物_CNG,係数_バス貨物_軽油,係数_バス貨物_メタノール,係数_バス貨物_LPG),MATCH(AY1692+1,【参考】排出係数!$AI$4:$AI$671,1)-1,5,BE1692),2,FALSE),IF(OR(AW1692=1,AW1692=2),VLOOKUP(AU1692,INDEX((係数_乗用_ガソリン,係数_乗用_CNG,係数_乗用_軽油,係数_乗用_メタノール,係数_乗用_LPG),1,1,BE1692):INDEX((係数_乗用_ガソリン,係数_乗用_CNG,係数_乗用_軽油,係数_乗用_メタノール,係数_乗用_LPG),125,5,BE1692),2,FALSE))))))</f>
        <v/>
      </c>
      <c r="BB1692" s="468" t="str">
        <f>IF(T1692="","",IF(OR(AU1692="",AU1692="-"),"－",IF(OR(AZ1692=8,AZ1692=9),"",IF(OR(AW1692=3,AW1692=4,AW1692=5,AW1692=6),VLOOKUP(AU1692,INDEX((係数_バス貨物_ガソリン,係数_バス貨物_CNG,係数_バス貨物_軽油,係数_バス貨物_メタノール,係数_バス貨物_LPG),MATCH(AY1692,【参考】排出係数!$AI$4:$AI$671,1),1,BE1692):INDEX((係数_バス貨物_ガソリン,係数_バス貨物_CNG,係数_バス貨物_軽油,係数_バス貨物_メタノール,係数_バス貨物_LPG),MATCH(AY1692+1,【参考】排出係数!$AI$4:$AI$671,1)-1,5,BE1692),3,FALSE),IF(OR(AW1692=1,AW1692=2),VLOOKUP(AU1692,INDEX((係数_乗用_ガソリン,係数_乗用_CNG,係数_乗用_軽油,係数_乗用_メタノール,係数_乗用_LPG),1,1,BE1692):INDEX((係数_乗用_ガソリン,係数_乗用_CNG,係数_乗用_軽油,係数_乗用_メタノール,係数_乗用_LPG),125,5,BE1692),3,FALSE))))))</f>
        <v/>
      </c>
      <c r="BC1692" s="467" t="str">
        <f t="shared" si="976"/>
        <v/>
      </c>
      <c r="BD1692" s="567" t="str">
        <f t="shared" si="977"/>
        <v/>
      </c>
      <c r="BE1692" s="467" t="str">
        <f t="shared" si="978"/>
        <v/>
      </c>
      <c r="BF1692" s="469" t="str">
        <f t="shared" ca="1" si="979"/>
        <v/>
      </c>
      <c r="BG1692" s="469" t="str">
        <f t="shared" ca="1" si="980"/>
        <v/>
      </c>
      <c r="BH1692" s="467" t="str">
        <f t="shared" si="981"/>
        <v/>
      </c>
      <c r="BI1692" s="467" t="str">
        <f t="shared" ca="1" si="982"/>
        <v/>
      </c>
      <c r="BJ1692" s="469" t="str">
        <f t="shared" si="983"/>
        <v/>
      </c>
      <c r="BK1692" s="470" t="str">
        <f t="shared" si="967"/>
        <v/>
      </c>
      <c r="BL1692" s="775" t="str">
        <f t="shared" si="984"/>
        <v/>
      </c>
      <c r="BM1692" s="775" t="str">
        <f t="shared" si="985"/>
        <v/>
      </c>
    </row>
    <row r="1693" spans="1:65">
      <c r="A1693" s="473">
        <v>1637</v>
      </c>
      <c r="B1693" s="132"/>
      <c r="C1693" s="332"/>
      <c r="D1693" s="333"/>
      <c r="E1693" s="333"/>
      <c r="F1693" s="334"/>
      <c r="G1693" s="337"/>
      <c r="H1693" s="131"/>
      <c r="I1693" s="337"/>
      <c r="J1693" s="131"/>
      <c r="K1693" s="458" t="str">
        <f t="shared" si="948"/>
        <v/>
      </c>
      <c r="L1693" s="458">
        <f t="shared" si="949"/>
        <v>0</v>
      </c>
      <c r="M1693" s="458">
        <f t="shared" si="950"/>
        <v>0</v>
      </c>
      <c r="N1693" s="459" t="str">
        <f t="shared" si="961"/>
        <v/>
      </c>
      <c r="O1693" s="459" t="str">
        <f t="shared" si="962"/>
        <v/>
      </c>
      <c r="P1693" s="459" t="str">
        <f t="shared" si="963"/>
        <v/>
      </c>
      <c r="Q1693" s="459" t="str">
        <f t="shared" si="964"/>
        <v/>
      </c>
      <c r="R1693" s="459" t="str">
        <f t="shared" si="965"/>
        <v/>
      </c>
      <c r="S1693" s="459" t="str">
        <f t="shared" si="966"/>
        <v/>
      </c>
      <c r="T1693" s="566" t="str">
        <f t="shared" si="951"/>
        <v/>
      </c>
      <c r="U1693" s="702"/>
      <c r="V1693" s="132"/>
      <c r="W1693" s="133"/>
      <c r="X1693" s="134"/>
      <c r="Y1693" s="135"/>
      <c r="Z1693" s="137"/>
      <c r="AA1693" s="136"/>
      <c r="AB1693" s="566" t="str">
        <f t="shared" si="952"/>
        <v/>
      </c>
      <c r="AC1693" s="568" t="str">
        <f t="shared" si="953"/>
        <v/>
      </c>
      <c r="AD1693" s="137"/>
      <c r="AE1693" s="137"/>
      <c r="AF1693" s="138"/>
      <c r="AG1693" s="138"/>
      <c r="AH1693" s="592" t="str">
        <f t="shared" si="954"/>
        <v/>
      </c>
      <c r="AI1693" s="592" t="str">
        <f t="shared" si="955"/>
        <v/>
      </c>
      <c r="AJ1693" s="592" t="str">
        <f t="shared" si="956"/>
        <v/>
      </c>
      <c r="AK1693" s="460" t="str">
        <f>IF(AU1693="","",IF(OR(AZ1693=8,AZ1693=9),0,IF(OR(AW1693=3,AW1693=4,AW1693=5,AW1693=6),IF(LEFT(BF1693,1)="1",INDEX(係数_NOX・PM低減,MATCH(AY1693,【参考】排出係数!$AI$801:$AI$804,1),1),VLOOKUP(AU1693,INDEX((係数_バス貨物_ガソリン,係数_バス貨物_CNG,係数_バス貨物_軽油,係数_バス貨物_メタノール,係数_バス貨物_LPG),MATCH(AY1693,【参考】排出係数!$AI$4:$AI$671,1),1,BE1693):INDEX((係数_バス貨物_ガソリン,係数_バス貨物_CNG,係数_バス貨物_軽油,係数_バス貨物_メタノール,係数_バス貨物_LPG),MATCH(AY1693+1,【参考】排出係数!$AI$4:$AI$671,1)-1,5,BE1693),4,FALSE)),IF(AND(BE1693=3,LEFT(BF1693,1)="1"),0.48,VLOOKUP(AU1693,INDEX((係数_乗用_ガソリン,係数_乗用_CNG,係数_乗用_軽油,係数_乗用_メタノール,係数_乗用_LPG),1,1,BE1693):INDEX((係数_乗用_ガソリン,係数_乗用_CNG,係数_乗用_軽油,係数_乗用_メタノール,係数_乗用_LPG),125,5,BE1693),4,FALSE)))))</f>
        <v/>
      </c>
      <c r="AL1693" s="461" t="str">
        <f t="shared" si="957"/>
        <v/>
      </c>
      <c r="AM1693" s="460" t="str">
        <f>IF(AU1693="","",IF(OR(AZ1693=8,AZ1693=9),0,IF(OR(AW1693=3,AW1693=4,AW1693=5,AW1693=6),IF(LEFT(BH1693,1)="1",INDEX(係数_PM低減,MATCH(AY1693,【参考】排出係数!$AI$801:$AI$804,1),MATCH(BI1693,【参考】排出係数!$AL$798:$AO$798,1)),VLOOKUP(AU1693,INDEX((係数_バス貨物_ガソリン,係数_バス貨物_CNG,係数_バス貨物_軽油,係数_バス貨物_メタノール,係数_バス貨物_LPG),MATCH(AY1693,【参考】排出係数!$AI$4:$AI$671,1),1,BE1693):INDEX((係数_バス貨物_ガソリン,係数_バス貨物_CNG,係数_バス貨物_軽油,係数_バス貨物_メタノール,係数_バス貨物_LPG),MATCH(AY1693+1,【参考】排出係数!$AI$4:$AI$671,1)-1,5,BE1693),5,FALSE)),IF(AND(BE1693=3,LEFT(BF1693,1)="1"),0.055,VLOOKUP(AU1693,INDEX((係数_乗用_ガソリン,係数_乗用_CNG,係数_乗用_軽油,係数_乗用_メタノール,係数_乗用_LPG),1,1,BE1693):INDEX((係数_乗用_ガソリン,係数_乗用_CNG,係数_乗用_軽油,係数_乗用_メタノール,係数_乗用_LPG),125,5,BE1693),5,FALSE)))))</f>
        <v/>
      </c>
      <c r="AN1693" s="461" t="str">
        <f t="shared" si="958"/>
        <v/>
      </c>
      <c r="AO1693" s="462" t="str">
        <f t="shared" si="959"/>
        <v/>
      </c>
      <c r="AP1693" s="463" t="str">
        <f t="shared" si="960"/>
        <v/>
      </c>
      <c r="AQ1693" s="464"/>
      <c r="AR1693" s="619"/>
      <c r="AS1693" s="465" t="str">
        <f t="shared" si="968"/>
        <v/>
      </c>
      <c r="AT1693" s="465" t="str">
        <f t="shared" si="969"/>
        <v/>
      </c>
      <c r="AU1693" s="466" t="str">
        <f t="shared" si="970"/>
        <v/>
      </c>
      <c r="AV1693" s="467" t="str">
        <f t="shared" si="971"/>
        <v/>
      </c>
      <c r="AW1693" s="467" t="str">
        <f t="shared" si="972"/>
        <v/>
      </c>
      <c r="AX1693" s="467" t="str">
        <f t="shared" si="973"/>
        <v/>
      </c>
      <c r="AY1693" s="467" t="str">
        <f t="shared" si="974"/>
        <v/>
      </c>
      <c r="AZ1693" s="467" t="str">
        <f t="shared" si="975"/>
        <v/>
      </c>
      <c r="BA1693" s="468" t="str">
        <f>IF(AS1693="","",IF(OR(AU1693="",AU1693="-"),"－",IF(OR(AZ1693=8,AZ1693=9),"",IF(OR(AW1693=3,AW1693=4,AW1693=5,AW1693=6),VLOOKUP(AU1693,INDEX((係数_バス貨物_ガソリン,係数_バス貨物_CNG,係数_バス貨物_軽油,係数_バス貨物_メタノール,係数_バス貨物_LPG),MATCH(AY1693,【参考】排出係数!$AI$4:$AI$671,1),1,BE1693):INDEX((係数_バス貨物_ガソリン,係数_バス貨物_CNG,係数_バス貨物_軽油,係数_バス貨物_メタノール,係数_バス貨物_LPG),MATCH(AY1693+1,【参考】排出係数!$AI$4:$AI$671,1)-1,5,BE1693),2,FALSE),IF(OR(AW1693=1,AW1693=2),VLOOKUP(AU1693,INDEX((係数_乗用_ガソリン,係数_乗用_CNG,係数_乗用_軽油,係数_乗用_メタノール,係数_乗用_LPG),1,1,BE1693):INDEX((係数_乗用_ガソリン,係数_乗用_CNG,係数_乗用_軽油,係数_乗用_メタノール,係数_乗用_LPG),125,5,BE1693),2,FALSE))))))</f>
        <v/>
      </c>
      <c r="BB1693" s="468" t="str">
        <f>IF(T1693="","",IF(OR(AU1693="",AU1693="-"),"－",IF(OR(AZ1693=8,AZ1693=9),"",IF(OR(AW1693=3,AW1693=4,AW1693=5,AW1693=6),VLOOKUP(AU1693,INDEX((係数_バス貨物_ガソリン,係数_バス貨物_CNG,係数_バス貨物_軽油,係数_バス貨物_メタノール,係数_バス貨物_LPG),MATCH(AY1693,【参考】排出係数!$AI$4:$AI$671,1),1,BE1693):INDEX((係数_バス貨物_ガソリン,係数_バス貨物_CNG,係数_バス貨物_軽油,係数_バス貨物_メタノール,係数_バス貨物_LPG),MATCH(AY1693+1,【参考】排出係数!$AI$4:$AI$671,1)-1,5,BE1693),3,FALSE),IF(OR(AW1693=1,AW1693=2),VLOOKUP(AU1693,INDEX((係数_乗用_ガソリン,係数_乗用_CNG,係数_乗用_軽油,係数_乗用_メタノール,係数_乗用_LPG),1,1,BE1693):INDEX((係数_乗用_ガソリン,係数_乗用_CNG,係数_乗用_軽油,係数_乗用_メタノール,係数_乗用_LPG),125,5,BE1693),3,FALSE))))))</f>
        <v/>
      </c>
      <c r="BC1693" s="467" t="str">
        <f t="shared" si="976"/>
        <v/>
      </c>
      <c r="BD1693" s="567" t="str">
        <f t="shared" si="977"/>
        <v/>
      </c>
      <c r="BE1693" s="467" t="str">
        <f t="shared" si="978"/>
        <v/>
      </c>
      <c r="BF1693" s="469" t="str">
        <f t="shared" ca="1" si="979"/>
        <v/>
      </c>
      <c r="BG1693" s="469" t="str">
        <f t="shared" ca="1" si="980"/>
        <v/>
      </c>
      <c r="BH1693" s="467" t="str">
        <f t="shared" si="981"/>
        <v/>
      </c>
      <c r="BI1693" s="467" t="str">
        <f t="shared" ca="1" si="982"/>
        <v/>
      </c>
      <c r="BJ1693" s="469" t="str">
        <f t="shared" si="983"/>
        <v/>
      </c>
      <c r="BK1693" s="470" t="str">
        <f t="shared" si="967"/>
        <v/>
      </c>
      <c r="BL1693" s="775" t="str">
        <f t="shared" si="984"/>
        <v/>
      </c>
      <c r="BM1693" s="775" t="str">
        <f t="shared" si="985"/>
        <v/>
      </c>
    </row>
    <row r="1694" spans="1:65">
      <c r="A1694" s="473">
        <v>1638</v>
      </c>
      <c r="B1694" s="132"/>
      <c r="C1694" s="332"/>
      <c r="D1694" s="333"/>
      <c r="E1694" s="333"/>
      <c r="F1694" s="334"/>
      <c r="G1694" s="337"/>
      <c r="H1694" s="131"/>
      <c r="I1694" s="337"/>
      <c r="J1694" s="131"/>
      <c r="K1694" s="458" t="str">
        <f t="shared" si="948"/>
        <v/>
      </c>
      <c r="L1694" s="458">
        <f t="shared" si="949"/>
        <v>0</v>
      </c>
      <c r="M1694" s="458">
        <f t="shared" si="950"/>
        <v>0</v>
      </c>
      <c r="N1694" s="459" t="str">
        <f t="shared" si="961"/>
        <v/>
      </c>
      <c r="O1694" s="459" t="str">
        <f t="shared" si="962"/>
        <v/>
      </c>
      <c r="P1694" s="459" t="str">
        <f t="shared" si="963"/>
        <v/>
      </c>
      <c r="Q1694" s="459" t="str">
        <f t="shared" si="964"/>
        <v/>
      </c>
      <c r="R1694" s="459" t="str">
        <f t="shared" si="965"/>
        <v/>
      </c>
      <c r="S1694" s="459" t="str">
        <f t="shared" si="966"/>
        <v/>
      </c>
      <c r="T1694" s="566" t="str">
        <f t="shared" si="951"/>
        <v/>
      </c>
      <c r="U1694" s="702"/>
      <c r="V1694" s="132"/>
      <c r="W1694" s="133"/>
      <c r="X1694" s="134"/>
      <c r="Y1694" s="135"/>
      <c r="Z1694" s="137"/>
      <c r="AA1694" s="136"/>
      <c r="AB1694" s="566" t="str">
        <f t="shared" si="952"/>
        <v/>
      </c>
      <c r="AC1694" s="568" t="str">
        <f t="shared" si="953"/>
        <v/>
      </c>
      <c r="AD1694" s="137"/>
      <c r="AE1694" s="137"/>
      <c r="AF1694" s="138"/>
      <c r="AG1694" s="138"/>
      <c r="AH1694" s="592" t="str">
        <f t="shared" si="954"/>
        <v/>
      </c>
      <c r="AI1694" s="592" t="str">
        <f t="shared" si="955"/>
        <v/>
      </c>
      <c r="AJ1694" s="592" t="str">
        <f t="shared" si="956"/>
        <v/>
      </c>
      <c r="AK1694" s="460" t="str">
        <f>IF(AU1694="","",IF(OR(AZ1694=8,AZ1694=9),0,IF(OR(AW1694=3,AW1694=4,AW1694=5,AW1694=6),IF(LEFT(BF1694,1)="1",INDEX(係数_NOX・PM低減,MATCH(AY1694,【参考】排出係数!$AI$801:$AI$804,1),1),VLOOKUP(AU1694,INDEX((係数_バス貨物_ガソリン,係数_バス貨物_CNG,係数_バス貨物_軽油,係数_バス貨物_メタノール,係数_バス貨物_LPG),MATCH(AY1694,【参考】排出係数!$AI$4:$AI$671,1),1,BE1694):INDEX((係数_バス貨物_ガソリン,係数_バス貨物_CNG,係数_バス貨物_軽油,係数_バス貨物_メタノール,係数_バス貨物_LPG),MATCH(AY1694+1,【参考】排出係数!$AI$4:$AI$671,1)-1,5,BE1694),4,FALSE)),IF(AND(BE1694=3,LEFT(BF1694,1)="1"),0.48,VLOOKUP(AU1694,INDEX((係数_乗用_ガソリン,係数_乗用_CNG,係数_乗用_軽油,係数_乗用_メタノール,係数_乗用_LPG),1,1,BE1694):INDEX((係数_乗用_ガソリン,係数_乗用_CNG,係数_乗用_軽油,係数_乗用_メタノール,係数_乗用_LPG),125,5,BE1694),4,FALSE)))))</f>
        <v/>
      </c>
      <c r="AL1694" s="461" t="str">
        <f t="shared" si="957"/>
        <v/>
      </c>
      <c r="AM1694" s="460" t="str">
        <f>IF(AU1694="","",IF(OR(AZ1694=8,AZ1694=9),0,IF(OR(AW1694=3,AW1694=4,AW1694=5,AW1694=6),IF(LEFT(BH1694,1)="1",INDEX(係数_PM低減,MATCH(AY1694,【参考】排出係数!$AI$801:$AI$804,1),MATCH(BI1694,【参考】排出係数!$AL$798:$AO$798,1)),VLOOKUP(AU1694,INDEX((係数_バス貨物_ガソリン,係数_バス貨物_CNG,係数_バス貨物_軽油,係数_バス貨物_メタノール,係数_バス貨物_LPG),MATCH(AY1694,【参考】排出係数!$AI$4:$AI$671,1),1,BE1694):INDEX((係数_バス貨物_ガソリン,係数_バス貨物_CNG,係数_バス貨物_軽油,係数_バス貨物_メタノール,係数_バス貨物_LPG),MATCH(AY1694+1,【参考】排出係数!$AI$4:$AI$671,1)-1,5,BE1694),5,FALSE)),IF(AND(BE1694=3,LEFT(BF1694,1)="1"),0.055,VLOOKUP(AU1694,INDEX((係数_乗用_ガソリン,係数_乗用_CNG,係数_乗用_軽油,係数_乗用_メタノール,係数_乗用_LPG),1,1,BE1694):INDEX((係数_乗用_ガソリン,係数_乗用_CNG,係数_乗用_軽油,係数_乗用_メタノール,係数_乗用_LPG),125,5,BE1694),5,FALSE)))))</f>
        <v/>
      </c>
      <c r="AN1694" s="461" t="str">
        <f t="shared" si="958"/>
        <v/>
      </c>
      <c r="AO1694" s="462" t="str">
        <f t="shared" si="959"/>
        <v/>
      </c>
      <c r="AP1694" s="463" t="str">
        <f t="shared" si="960"/>
        <v/>
      </c>
      <c r="AQ1694" s="464"/>
      <c r="AR1694" s="619"/>
      <c r="AS1694" s="465" t="str">
        <f t="shared" si="968"/>
        <v/>
      </c>
      <c r="AT1694" s="465" t="str">
        <f t="shared" si="969"/>
        <v/>
      </c>
      <c r="AU1694" s="466" t="str">
        <f t="shared" si="970"/>
        <v/>
      </c>
      <c r="AV1694" s="467" t="str">
        <f t="shared" si="971"/>
        <v/>
      </c>
      <c r="AW1694" s="467" t="str">
        <f t="shared" si="972"/>
        <v/>
      </c>
      <c r="AX1694" s="467" t="str">
        <f t="shared" si="973"/>
        <v/>
      </c>
      <c r="AY1694" s="467" t="str">
        <f t="shared" si="974"/>
        <v/>
      </c>
      <c r="AZ1694" s="467" t="str">
        <f t="shared" si="975"/>
        <v/>
      </c>
      <c r="BA1694" s="468" t="str">
        <f>IF(AS1694="","",IF(OR(AU1694="",AU1694="-"),"－",IF(OR(AZ1694=8,AZ1694=9),"",IF(OR(AW1694=3,AW1694=4,AW1694=5,AW1694=6),VLOOKUP(AU1694,INDEX((係数_バス貨物_ガソリン,係数_バス貨物_CNG,係数_バス貨物_軽油,係数_バス貨物_メタノール,係数_バス貨物_LPG),MATCH(AY1694,【参考】排出係数!$AI$4:$AI$671,1),1,BE1694):INDEX((係数_バス貨物_ガソリン,係数_バス貨物_CNG,係数_バス貨物_軽油,係数_バス貨物_メタノール,係数_バス貨物_LPG),MATCH(AY1694+1,【参考】排出係数!$AI$4:$AI$671,1)-1,5,BE1694),2,FALSE),IF(OR(AW1694=1,AW1694=2),VLOOKUP(AU1694,INDEX((係数_乗用_ガソリン,係数_乗用_CNG,係数_乗用_軽油,係数_乗用_メタノール,係数_乗用_LPG),1,1,BE1694):INDEX((係数_乗用_ガソリン,係数_乗用_CNG,係数_乗用_軽油,係数_乗用_メタノール,係数_乗用_LPG),125,5,BE1694),2,FALSE))))))</f>
        <v/>
      </c>
      <c r="BB1694" s="468" t="str">
        <f>IF(T1694="","",IF(OR(AU1694="",AU1694="-"),"－",IF(OR(AZ1694=8,AZ1694=9),"",IF(OR(AW1694=3,AW1694=4,AW1694=5,AW1694=6),VLOOKUP(AU1694,INDEX((係数_バス貨物_ガソリン,係数_バス貨物_CNG,係数_バス貨物_軽油,係数_バス貨物_メタノール,係数_バス貨物_LPG),MATCH(AY1694,【参考】排出係数!$AI$4:$AI$671,1),1,BE1694):INDEX((係数_バス貨物_ガソリン,係数_バス貨物_CNG,係数_バス貨物_軽油,係数_バス貨物_メタノール,係数_バス貨物_LPG),MATCH(AY1694+1,【参考】排出係数!$AI$4:$AI$671,1)-1,5,BE1694),3,FALSE),IF(OR(AW1694=1,AW1694=2),VLOOKUP(AU1694,INDEX((係数_乗用_ガソリン,係数_乗用_CNG,係数_乗用_軽油,係数_乗用_メタノール,係数_乗用_LPG),1,1,BE1694):INDEX((係数_乗用_ガソリン,係数_乗用_CNG,係数_乗用_軽油,係数_乗用_メタノール,係数_乗用_LPG),125,5,BE1694),3,FALSE))))))</f>
        <v/>
      </c>
      <c r="BC1694" s="467" t="str">
        <f t="shared" si="976"/>
        <v/>
      </c>
      <c r="BD1694" s="567" t="str">
        <f t="shared" si="977"/>
        <v/>
      </c>
      <c r="BE1694" s="467" t="str">
        <f t="shared" si="978"/>
        <v/>
      </c>
      <c r="BF1694" s="469" t="str">
        <f t="shared" ca="1" si="979"/>
        <v/>
      </c>
      <c r="BG1694" s="469" t="str">
        <f t="shared" ca="1" si="980"/>
        <v/>
      </c>
      <c r="BH1694" s="467" t="str">
        <f t="shared" si="981"/>
        <v/>
      </c>
      <c r="BI1694" s="467" t="str">
        <f t="shared" ca="1" si="982"/>
        <v/>
      </c>
      <c r="BJ1694" s="469" t="str">
        <f t="shared" si="983"/>
        <v/>
      </c>
      <c r="BK1694" s="470" t="str">
        <f t="shared" si="967"/>
        <v/>
      </c>
      <c r="BL1694" s="775" t="str">
        <f t="shared" si="984"/>
        <v/>
      </c>
      <c r="BM1694" s="775" t="str">
        <f t="shared" si="985"/>
        <v/>
      </c>
    </row>
    <row r="1695" spans="1:65">
      <c r="A1695" s="473">
        <v>1639</v>
      </c>
      <c r="B1695" s="132"/>
      <c r="C1695" s="332"/>
      <c r="D1695" s="333"/>
      <c r="E1695" s="333"/>
      <c r="F1695" s="334"/>
      <c r="G1695" s="337"/>
      <c r="H1695" s="131"/>
      <c r="I1695" s="337"/>
      <c r="J1695" s="131"/>
      <c r="K1695" s="458" t="str">
        <f t="shared" si="948"/>
        <v/>
      </c>
      <c r="L1695" s="458">
        <f t="shared" si="949"/>
        <v>0</v>
      </c>
      <c r="M1695" s="458">
        <f t="shared" si="950"/>
        <v>0</v>
      </c>
      <c r="N1695" s="459" t="str">
        <f t="shared" si="961"/>
        <v/>
      </c>
      <c r="O1695" s="459" t="str">
        <f t="shared" si="962"/>
        <v/>
      </c>
      <c r="P1695" s="459" t="str">
        <f t="shared" si="963"/>
        <v/>
      </c>
      <c r="Q1695" s="459" t="str">
        <f t="shared" si="964"/>
        <v/>
      </c>
      <c r="R1695" s="459" t="str">
        <f t="shared" si="965"/>
        <v/>
      </c>
      <c r="S1695" s="459" t="str">
        <f t="shared" si="966"/>
        <v/>
      </c>
      <c r="T1695" s="566" t="str">
        <f t="shared" si="951"/>
        <v/>
      </c>
      <c r="U1695" s="702"/>
      <c r="V1695" s="132"/>
      <c r="W1695" s="133"/>
      <c r="X1695" s="134"/>
      <c r="Y1695" s="135"/>
      <c r="Z1695" s="137"/>
      <c r="AA1695" s="136"/>
      <c r="AB1695" s="566" t="str">
        <f t="shared" si="952"/>
        <v/>
      </c>
      <c r="AC1695" s="568" t="str">
        <f t="shared" si="953"/>
        <v/>
      </c>
      <c r="AD1695" s="137"/>
      <c r="AE1695" s="137"/>
      <c r="AF1695" s="138"/>
      <c r="AG1695" s="138"/>
      <c r="AH1695" s="592" t="str">
        <f t="shared" si="954"/>
        <v/>
      </c>
      <c r="AI1695" s="592" t="str">
        <f t="shared" si="955"/>
        <v/>
      </c>
      <c r="AJ1695" s="592" t="str">
        <f t="shared" si="956"/>
        <v/>
      </c>
      <c r="AK1695" s="460" t="str">
        <f>IF(AU1695="","",IF(OR(AZ1695=8,AZ1695=9),0,IF(OR(AW1695=3,AW1695=4,AW1695=5,AW1695=6),IF(LEFT(BF1695,1)="1",INDEX(係数_NOX・PM低減,MATCH(AY1695,【参考】排出係数!$AI$801:$AI$804,1),1),VLOOKUP(AU1695,INDEX((係数_バス貨物_ガソリン,係数_バス貨物_CNG,係数_バス貨物_軽油,係数_バス貨物_メタノール,係数_バス貨物_LPG),MATCH(AY1695,【参考】排出係数!$AI$4:$AI$671,1),1,BE1695):INDEX((係数_バス貨物_ガソリン,係数_バス貨物_CNG,係数_バス貨物_軽油,係数_バス貨物_メタノール,係数_バス貨物_LPG),MATCH(AY1695+1,【参考】排出係数!$AI$4:$AI$671,1)-1,5,BE1695),4,FALSE)),IF(AND(BE1695=3,LEFT(BF1695,1)="1"),0.48,VLOOKUP(AU1695,INDEX((係数_乗用_ガソリン,係数_乗用_CNG,係数_乗用_軽油,係数_乗用_メタノール,係数_乗用_LPG),1,1,BE1695):INDEX((係数_乗用_ガソリン,係数_乗用_CNG,係数_乗用_軽油,係数_乗用_メタノール,係数_乗用_LPG),125,5,BE1695),4,FALSE)))))</f>
        <v/>
      </c>
      <c r="AL1695" s="461" t="str">
        <f t="shared" si="957"/>
        <v/>
      </c>
      <c r="AM1695" s="460" t="str">
        <f>IF(AU1695="","",IF(OR(AZ1695=8,AZ1695=9),0,IF(OR(AW1695=3,AW1695=4,AW1695=5,AW1695=6),IF(LEFT(BH1695,1)="1",INDEX(係数_PM低減,MATCH(AY1695,【参考】排出係数!$AI$801:$AI$804,1),MATCH(BI1695,【参考】排出係数!$AL$798:$AO$798,1)),VLOOKUP(AU1695,INDEX((係数_バス貨物_ガソリン,係数_バス貨物_CNG,係数_バス貨物_軽油,係数_バス貨物_メタノール,係数_バス貨物_LPG),MATCH(AY1695,【参考】排出係数!$AI$4:$AI$671,1),1,BE1695):INDEX((係数_バス貨物_ガソリン,係数_バス貨物_CNG,係数_バス貨物_軽油,係数_バス貨物_メタノール,係数_バス貨物_LPG),MATCH(AY1695+1,【参考】排出係数!$AI$4:$AI$671,1)-1,5,BE1695),5,FALSE)),IF(AND(BE1695=3,LEFT(BF1695,1)="1"),0.055,VLOOKUP(AU1695,INDEX((係数_乗用_ガソリン,係数_乗用_CNG,係数_乗用_軽油,係数_乗用_メタノール,係数_乗用_LPG),1,1,BE1695):INDEX((係数_乗用_ガソリン,係数_乗用_CNG,係数_乗用_軽油,係数_乗用_メタノール,係数_乗用_LPG),125,5,BE1695),5,FALSE)))))</f>
        <v/>
      </c>
      <c r="AN1695" s="461" t="str">
        <f t="shared" si="958"/>
        <v/>
      </c>
      <c r="AO1695" s="462" t="str">
        <f t="shared" si="959"/>
        <v/>
      </c>
      <c r="AP1695" s="463" t="str">
        <f t="shared" si="960"/>
        <v/>
      </c>
      <c r="AQ1695" s="464"/>
      <c r="AR1695" s="619"/>
      <c r="AS1695" s="465" t="str">
        <f t="shared" si="968"/>
        <v/>
      </c>
      <c r="AT1695" s="465" t="str">
        <f t="shared" si="969"/>
        <v/>
      </c>
      <c r="AU1695" s="466" t="str">
        <f t="shared" si="970"/>
        <v/>
      </c>
      <c r="AV1695" s="467" t="str">
        <f t="shared" si="971"/>
        <v/>
      </c>
      <c r="AW1695" s="467" t="str">
        <f t="shared" si="972"/>
        <v/>
      </c>
      <c r="AX1695" s="467" t="str">
        <f t="shared" si="973"/>
        <v/>
      </c>
      <c r="AY1695" s="467" t="str">
        <f t="shared" si="974"/>
        <v/>
      </c>
      <c r="AZ1695" s="467" t="str">
        <f t="shared" si="975"/>
        <v/>
      </c>
      <c r="BA1695" s="468" t="str">
        <f>IF(AS1695="","",IF(OR(AU1695="",AU1695="-"),"－",IF(OR(AZ1695=8,AZ1695=9),"",IF(OR(AW1695=3,AW1695=4,AW1695=5,AW1695=6),VLOOKUP(AU1695,INDEX((係数_バス貨物_ガソリン,係数_バス貨物_CNG,係数_バス貨物_軽油,係数_バス貨物_メタノール,係数_バス貨物_LPG),MATCH(AY1695,【参考】排出係数!$AI$4:$AI$671,1),1,BE1695):INDEX((係数_バス貨物_ガソリン,係数_バス貨物_CNG,係数_バス貨物_軽油,係数_バス貨物_メタノール,係数_バス貨物_LPG),MATCH(AY1695+1,【参考】排出係数!$AI$4:$AI$671,1)-1,5,BE1695),2,FALSE),IF(OR(AW1695=1,AW1695=2),VLOOKUP(AU1695,INDEX((係数_乗用_ガソリン,係数_乗用_CNG,係数_乗用_軽油,係数_乗用_メタノール,係数_乗用_LPG),1,1,BE1695):INDEX((係数_乗用_ガソリン,係数_乗用_CNG,係数_乗用_軽油,係数_乗用_メタノール,係数_乗用_LPG),125,5,BE1695),2,FALSE))))))</f>
        <v/>
      </c>
      <c r="BB1695" s="468" t="str">
        <f>IF(T1695="","",IF(OR(AU1695="",AU1695="-"),"－",IF(OR(AZ1695=8,AZ1695=9),"",IF(OR(AW1695=3,AW1695=4,AW1695=5,AW1695=6),VLOOKUP(AU1695,INDEX((係数_バス貨物_ガソリン,係数_バス貨物_CNG,係数_バス貨物_軽油,係数_バス貨物_メタノール,係数_バス貨物_LPG),MATCH(AY1695,【参考】排出係数!$AI$4:$AI$671,1),1,BE1695):INDEX((係数_バス貨物_ガソリン,係数_バス貨物_CNG,係数_バス貨物_軽油,係数_バス貨物_メタノール,係数_バス貨物_LPG),MATCH(AY1695+1,【参考】排出係数!$AI$4:$AI$671,1)-1,5,BE1695),3,FALSE),IF(OR(AW1695=1,AW1695=2),VLOOKUP(AU1695,INDEX((係数_乗用_ガソリン,係数_乗用_CNG,係数_乗用_軽油,係数_乗用_メタノール,係数_乗用_LPG),1,1,BE1695):INDEX((係数_乗用_ガソリン,係数_乗用_CNG,係数_乗用_軽油,係数_乗用_メタノール,係数_乗用_LPG),125,5,BE1695),3,FALSE))))))</f>
        <v/>
      </c>
      <c r="BC1695" s="467" t="str">
        <f t="shared" si="976"/>
        <v/>
      </c>
      <c r="BD1695" s="567" t="str">
        <f t="shared" si="977"/>
        <v/>
      </c>
      <c r="BE1695" s="467" t="str">
        <f t="shared" si="978"/>
        <v/>
      </c>
      <c r="BF1695" s="469" t="str">
        <f t="shared" ca="1" si="979"/>
        <v/>
      </c>
      <c r="BG1695" s="469" t="str">
        <f t="shared" ca="1" si="980"/>
        <v/>
      </c>
      <c r="BH1695" s="467" t="str">
        <f t="shared" si="981"/>
        <v/>
      </c>
      <c r="BI1695" s="467" t="str">
        <f t="shared" ca="1" si="982"/>
        <v/>
      </c>
      <c r="BJ1695" s="469" t="str">
        <f t="shared" si="983"/>
        <v/>
      </c>
      <c r="BK1695" s="470" t="str">
        <f t="shared" si="967"/>
        <v/>
      </c>
      <c r="BL1695" s="775" t="str">
        <f t="shared" si="984"/>
        <v/>
      </c>
      <c r="BM1695" s="775" t="str">
        <f t="shared" si="985"/>
        <v/>
      </c>
    </row>
    <row r="1696" spans="1:65">
      <c r="A1696" s="473">
        <v>1640</v>
      </c>
      <c r="B1696" s="132"/>
      <c r="C1696" s="332"/>
      <c r="D1696" s="333"/>
      <c r="E1696" s="333"/>
      <c r="F1696" s="334"/>
      <c r="G1696" s="337"/>
      <c r="H1696" s="131"/>
      <c r="I1696" s="337"/>
      <c r="J1696" s="131"/>
      <c r="K1696" s="458" t="str">
        <f t="shared" si="948"/>
        <v/>
      </c>
      <c r="L1696" s="458">
        <f t="shared" si="949"/>
        <v>0</v>
      </c>
      <c r="M1696" s="458">
        <f t="shared" si="950"/>
        <v>0</v>
      </c>
      <c r="N1696" s="459" t="str">
        <f t="shared" si="961"/>
        <v/>
      </c>
      <c r="O1696" s="459" t="str">
        <f t="shared" si="962"/>
        <v/>
      </c>
      <c r="P1696" s="459" t="str">
        <f t="shared" si="963"/>
        <v/>
      </c>
      <c r="Q1696" s="459" t="str">
        <f t="shared" si="964"/>
        <v/>
      </c>
      <c r="R1696" s="459" t="str">
        <f t="shared" si="965"/>
        <v/>
      </c>
      <c r="S1696" s="459" t="str">
        <f t="shared" si="966"/>
        <v/>
      </c>
      <c r="T1696" s="566" t="str">
        <f t="shared" si="951"/>
        <v/>
      </c>
      <c r="U1696" s="702"/>
      <c r="V1696" s="132"/>
      <c r="W1696" s="133"/>
      <c r="X1696" s="134"/>
      <c r="Y1696" s="135"/>
      <c r="Z1696" s="137"/>
      <c r="AA1696" s="136"/>
      <c r="AB1696" s="566" t="str">
        <f t="shared" si="952"/>
        <v/>
      </c>
      <c r="AC1696" s="568" t="str">
        <f t="shared" si="953"/>
        <v/>
      </c>
      <c r="AD1696" s="137"/>
      <c r="AE1696" s="137"/>
      <c r="AF1696" s="138"/>
      <c r="AG1696" s="138"/>
      <c r="AH1696" s="592" t="str">
        <f t="shared" si="954"/>
        <v/>
      </c>
      <c r="AI1696" s="592" t="str">
        <f t="shared" si="955"/>
        <v/>
      </c>
      <c r="AJ1696" s="592" t="str">
        <f t="shared" si="956"/>
        <v/>
      </c>
      <c r="AK1696" s="460" t="str">
        <f>IF(AU1696="","",IF(OR(AZ1696=8,AZ1696=9),0,IF(OR(AW1696=3,AW1696=4,AW1696=5,AW1696=6),IF(LEFT(BF1696,1)="1",INDEX(係数_NOX・PM低減,MATCH(AY1696,【参考】排出係数!$AI$801:$AI$804,1),1),VLOOKUP(AU1696,INDEX((係数_バス貨物_ガソリン,係数_バス貨物_CNG,係数_バス貨物_軽油,係数_バス貨物_メタノール,係数_バス貨物_LPG),MATCH(AY1696,【参考】排出係数!$AI$4:$AI$671,1),1,BE1696):INDEX((係数_バス貨物_ガソリン,係数_バス貨物_CNG,係数_バス貨物_軽油,係数_バス貨物_メタノール,係数_バス貨物_LPG),MATCH(AY1696+1,【参考】排出係数!$AI$4:$AI$671,1)-1,5,BE1696),4,FALSE)),IF(AND(BE1696=3,LEFT(BF1696,1)="1"),0.48,VLOOKUP(AU1696,INDEX((係数_乗用_ガソリン,係数_乗用_CNG,係数_乗用_軽油,係数_乗用_メタノール,係数_乗用_LPG),1,1,BE1696):INDEX((係数_乗用_ガソリン,係数_乗用_CNG,係数_乗用_軽油,係数_乗用_メタノール,係数_乗用_LPG),125,5,BE1696),4,FALSE)))))</f>
        <v/>
      </c>
      <c r="AL1696" s="461" t="str">
        <f t="shared" si="957"/>
        <v/>
      </c>
      <c r="AM1696" s="460" t="str">
        <f>IF(AU1696="","",IF(OR(AZ1696=8,AZ1696=9),0,IF(OR(AW1696=3,AW1696=4,AW1696=5,AW1696=6),IF(LEFT(BH1696,1)="1",INDEX(係数_PM低減,MATCH(AY1696,【参考】排出係数!$AI$801:$AI$804,1),MATCH(BI1696,【参考】排出係数!$AL$798:$AO$798,1)),VLOOKUP(AU1696,INDEX((係数_バス貨物_ガソリン,係数_バス貨物_CNG,係数_バス貨物_軽油,係数_バス貨物_メタノール,係数_バス貨物_LPG),MATCH(AY1696,【参考】排出係数!$AI$4:$AI$671,1),1,BE1696):INDEX((係数_バス貨物_ガソリン,係数_バス貨物_CNG,係数_バス貨物_軽油,係数_バス貨物_メタノール,係数_バス貨物_LPG),MATCH(AY1696+1,【参考】排出係数!$AI$4:$AI$671,1)-1,5,BE1696),5,FALSE)),IF(AND(BE1696=3,LEFT(BF1696,1)="1"),0.055,VLOOKUP(AU1696,INDEX((係数_乗用_ガソリン,係数_乗用_CNG,係数_乗用_軽油,係数_乗用_メタノール,係数_乗用_LPG),1,1,BE1696):INDEX((係数_乗用_ガソリン,係数_乗用_CNG,係数_乗用_軽油,係数_乗用_メタノール,係数_乗用_LPG),125,5,BE1696),5,FALSE)))))</f>
        <v/>
      </c>
      <c r="AN1696" s="461" t="str">
        <f t="shared" si="958"/>
        <v/>
      </c>
      <c r="AO1696" s="462" t="str">
        <f t="shared" si="959"/>
        <v/>
      </c>
      <c r="AP1696" s="463" t="str">
        <f t="shared" si="960"/>
        <v/>
      </c>
      <c r="AQ1696" s="464"/>
      <c r="AR1696" s="619"/>
      <c r="AS1696" s="465" t="str">
        <f t="shared" si="968"/>
        <v/>
      </c>
      <c r="AT1696" s="465" t="str">
        <f t="shared" si="969"/>
        <v/>
      </c>
      <c r="AU1696" s="466" t="str">
        <f t="shared" si="970"/>
        <v/>
      </c>
      <c r="AV1696" s="467" t="str">
        <f t="shared" si="971"/>
        <v/>
      </c>
      <c r="AW1696" s="467" t="str">
        <f t="shared" si="972"/>
        <v/>
      </c>
      <c r="AX1696" s="467" t="str">
        <f t="shared" si="973"/>
        <v/>
      </c>
      <c r="AY1696" s="467" t="str">
        <f t="shared" si="974"/>
        <v/>
      </c>
      <c r="AZ1696" s="467" t="str">
        <f t="shared" si="975"/>
        <v/>
      </c>
      <c r="BA1696" s="468" t="str">
        <f>IF(AS1696="","",IF(OR(AU1696="",AU1696="-"),"－",IF(OR(AZ1696=8,AZ1696=9),"",IF(OR(AW1696=3,AW1696=4,AW1696=5,AW1696=6),VLOOKUP(AU1696,INDEX((係数_バス貨物_ガソリン,係数_バス貨物_CNG,係数_バス貨物_軽油,係数_バス貨物_メタノール,係数_バス貨物_LPG),MATCH(AY1696,【参考】排出係数!$AI$4:$AI$671,1),1,BE1696):INDEX((係数_バス貨物_ガソリン,係数_バス貨物_CNG,係数_バス貨物_軽油,係数_バス貨物_メタノール,係数_バス貨物_LPG),MATCH(AY1696+1,【参考】排出係数!$AI$4:$AI$671,1)-1,5,BE1696),2,FALSE),IF(OR(AW1696=1,AW1696=2),VLOOKUP(AU1696,INDEX((係数_乗用_ガソリン,係数_乗用_CNG,係数_乗用_軽油,係数_乗用_メタノール,係数_乗用_LPG),1,1,BE1696):INDEX((係数_乗用_ガソリン,係数_乗用_CNG,係数_乗用_軽油,係数_乗用_メタノール,係数_乗用_LPG),125,5,BE1696),2,FALSE))))))</f>
        <v/>
      </c>
      <c r="BB1696" s="468" t="str">
        <f>IF(T1696="","",IF(OR(AU1696="",AU1696="-"),"－",IF(OR(AZ1696=8,AZ1696=9),"",IF(OR(AW1696=3,AW1696=4,AW1696=5,AW1696=6),VLOOKUP(AU1696,INDEX((係数_バス貨物_ガソリン,係数_バス貨物_CNG,係数_バス貨物_軽油,係数_バス貨物_メタノール,係数_バス貨物_LPG),MATCH(AY1696,【参考】排出係数!$AI$4:$AI$671,1),1,BE1696):INDEX((係数_バス貨物_ガソリン,係数_バス貨物_CNG,係数_バス貨物_軽油,係数_バス貨物_メタノール,係数_バス貨物_LPG),MATCH(AY1696+1,【参考】排出係数!$AI$4:$AI$671,1)-1,5,BE1696),3,FALSE),IF(OR(AW1696=1,AW1696=2),VLOOKUP(AU1696,INDEX((係数_乗用_ガソリン,係数_乗用_CNG,係数_乗用_軽油,係数_乗用_メタノール,係数_乗用_LPG),1,1,BE1696):INDEX((係数_乗用_ガソリン,係数_乗用_CNG,係数_乗用_軽油,係数_乗用_メタノール,係数_乗用_LPG),125,5,BE1696),3,FALSE))))))</f>
        <v/>
      </c>
      <c r="BC1696" s="467" t="str">
        <f t="shared" si="976"/>
        <v/>
      </c>
      <c r="BD1696" s="567" t="str">
        <f t="shared" si="977"/>
        <v/>
      </c>
      <c r="BE1696" s="467" t="str">
        <f t="shared" si="978"/>
        <v/>
      </c>
      <c r="BF1696" s="469" t="str">
        <f t="shared" ca="1" si="979"/>
        <v/>
      </c>
      <c r="BG1696" s="469" t="str">
        <f t="shared" ca="1" si="980"/>
        <v/>
      </c>
      <c r="BH1696" s="467" t="str">
        <f t="shared" si="981"/>
        <v/>
      </c>
      <c r="BI1696" s="467" t="str">
        <f t="shared" ca="1" si="982"/>
        <v/>
      </c>
      <c r="BJ1696" s="469" t="str">
        <f t="shared" si="983"/>
        <v/>
      </c>
      <c r="BK1696" s="470" t="str">
        <f t="shared" si="967"/>
        <v/>
      </c>
      <c r="BL1696" s="775" t="str">
        <f t="shared" si="984"/>
        <v/>
      </c>
      <c r="BM1696" s="775" t="str">
        <f t="shared" si="985"/>
        <v/>
      </c>
    </row>
    <row r="1697" spans="1:65">
      <c r="A1697" s="473">
        <v>1641</v>
      </c>
      <c r="B1697" s="132"/>
      <c r="C1697" s="332"/>
      <c r="D1697" s="333"/>
      <c r="E1697" s="333"/>
      <c r="F1697" s="334"/>
      <c r="G1697" s="337"/>
      <c r="H1697" s="131"/>
      <c r="I1697" s="337"/>
      <c r="J1697" s="131"/>
      <c r="K1697" s="458" t="str">
        <f t="shared" si="948"/>
        <v/>
      </c>
      <c r="L1697" s="458">
        <f t="shared" si="949"/>
        <v>0</v>
      </c>
      <c r="M1697" s="458">
        <f t="shared" si="950"/>
        <v>0</v>
      </c>
      <c r="N1697" s="459" t="str">
        <f t="shared" si="961"/>
        <v/>
      </c>
      <c r="O1697" s="459" t="str">
        <f t="shared" si="962"/>
        <v/>
      </c>
      <c r="P1697" s="459" t="str">
        <f t="shared" si="963"/>
        <v/>
      </c>
      <c r="Q1697" s="459" t="str">
        <f t="shared" si="964"/>
        <v/>
      </c>
      <c r="R1697" s="459" t="str">
        <f t="shared" si="965"/>
        <v/>
      </c>
      <c r="S1697" s="459" t="str">
        <f t="shared" si="966"/>
        <v/>
      </c>
      <c r="T1697" s="566" t="str">
        <f t="shared" si="951"/>
        <v/>
      </c>
      <c r="U1697" s="702"/>
      <c r="V1697" s="132"/>
      <c r="W1697" s="133"/>
      <c r="X1697" s="134"/>
      <c r="Y1697" s="135"/>
      <c r="Z1697" s="137"/>
      <c r="AA1697" s="136"/>
      <c r="AB1697" s="566" t="str">
        <f t="shared" si="952"/>
        <v/>
      </c>
      <c r="AC1697" s="568" t="str">
        <f t="shared" si="953"/>
        <v/>
      </c>
      <c r="AD1697" s="137"/>
      <c r="AE1697" s="137"/>
      <c r="AF1697" s="138"/>
      <c r="AG1697" s="138"/>
      <c r="AH1697" s="592" t="str">
        <f t="shared" si="954"/>
        <v/>
      </c>
      <c r="AI1697" s="592" t="str">
        <f t="shared" si="955"/>
        <v/>
      </c>
      <c r="AJ1697" s="592" t="str">
        <f t="shared" si="956"/>
        <v/>
      </c>
      <c r="AK1697" s="460" t="str">
        <f>IF(AU1697="","",IF(OR(AZ1697=8,AZ1697=9),0,IF(OR(AW1697=3,AW1697=4,AW1697=5,AW1697=6),IF(LEFT(BF1697,1)="1",INDEX(係数_NOX・PM低減,MATCH(AY1697,【参考】排出係数!$AI$801:$AI$804,1),1),VLOOKUP(AU1697,INDEX((係数_バス貨物_ガソリン,係数_バス貨物_CNG,係数_バス貨物_軽油,係数_バス貨物_メタノール,係数_バス貨物_LPG),MATCH(AY1697,【参考】排出係数!$AI$4:$AI$671,1),1,BE1697):INDEX((係数_バス貨物_ガソリン,係数_バス貨物_CNG,係数_バス貨物_軽油,係数_バス貨物_メタノール,係数_バス貨物_LPG),MATCH(AY1697+1,【参考】排出係数!$AI$4:$AI$671,1)-1,5,BE1697),4,FALSE)),IF(AND(BE1697=3,LEFT(BF1697,1)="1"),0.48,VLOOKUP(AU1697,INDEX((係数_乗用_ガソリン,係数_乗用_CNG,係数_乗用_軽油,係数_乗用_メタノール,係数_乗用_LPG),1,1,BE1697):INDEX((係数_乗用_ガソリン,係数_乗用_CNG,係数_乗用_軽油,係数_乗用_メタノール,係数_乗用_LPG),125,5,BE1697),4,FALSE)))))</f>
        <v/>
      </c>
      <c r="AL1697" s="461" t="str">
        <f t="shared" si="957"/>
        <v/>
      </c>
      <c r="AM1697" s="460" t="str">
        <f>IF(AU1697="","",IF(OR(AZ1697=8,AZ1697=9),0,IF(OR(AW1697=3,AW1697=4,AW1697=5,AW1697=6),IF(LEFT(BH1697,1)="1",INDEX(係数_PM低減,MATCH(AY1697,【参考】排出係数!$AI$801:$AI$804,1),MATCH(BI1697,【参考】排出係数!$AL$798:$AO$798,1)),VLOOKUP(AU1697,INDEX((係数_バス貨物_ガソリン,係数_バス貨物_CNG,係数_バス貨物_軽油,係数_バス貨物_メタノール,係数_バス貨物_LPG),MATCH(AY1697,【参考】排出係数!$AI$4:$AI$671,1),1,BE1697):INDEX((係数_バス貨物_ガソリン,係数_バス貨物_CNG,係数_バス貨物_軽油,係数_バス貨物_メタノール,係数_バス貨物_LPG),MATCH(AY1697+1,【参考】排出係数!$AI$4:$AI$671,1)-1,5,BE1697),5,FALSE)),IF(AND(BE1697=3,LEFT(BF1697,1)="1"),0.055,VLOOKUP(AU1697,INDEX((係数_乗用_ガソリン,係数_乗用_CNG,係数_乗用_軽油,係数_乗用_メタノール,係数_乗用_LPG),1,1,BE1697):INDEX((係数_乗用_ガソリン,係数_乗用_CNG,係数_乗用_軽油,係数_乗用_メタノール,係数_乗用_LPG),125,5,BE1697),5,FALSE)))))</f>
        <v/>
      </c>
      <c r="AN1697" s="461" t="str">
        <f t="shared" si="958"/>
        <v/>
      </c>
      <c r="AO1697" s="462" t="str">
        <f t="shared" si="959"/>
        <v/>
      </c>
      <c r="AP1697" s="463" t="str">
        <f t="shared" si="960"/>
        <v/>
      </c>
      <c r="AQ1697" s="464"/>
      <c r="AR1697" s="619"/>
      <c r="AS1697" s="465" t="str">
        <f t="shared" si="968"/>
        <v/>
      </c>
      <c r="AT1697" s="465" t="str">
        <f t="shared" si="969"/>
        <v/>
      </c>
      <c r="AU1697" s="466" t="str">
        <f t="shared" si="970"/>
        <v/>
      </c>
      <c r="AV1697" s="467" t="str">
        <f t="shared" si="971"/>
        <v/>
      </c>
      <c r="AW1697" s="467" t="str">
        <f t="shared" si="972"/>
        <v/>
      </c>
      <c r="AX1697" s="467" t="str">
        <f t="shared" si="973"/>
        <v/>
      </c>
      <c r="AY1697" s="467" t="str">
        <f t="shared" si="974"/>
        <v/>
      </c>
      <c r="AZ1697" s="467" t="str">
        <f t="shared" si="975"/>
        <v/>
      </c>
      <c r="BA1697" s="468" t="str">
        <f>IF(AS1697="","",IF(OR(AU1697="",AU1697="-"),"－",IF(OR(AZ1697=8,AZ1697=9),"",IF(OR(AW1697=3,AW1697=4,AW1697=5,AW1697=6),VLOOKUP(AU1697,INDEX((係数_バス貨物_ガソリン,係数_バス貨物_CNG,係数_バス貨物_軽油,係数_バス貨物_メタノール,係数_バス貨物_LPG),MATCH(AY1697,【参考】排出係数!$AI$4:$AI$671,1),1,BE1697):INDEX((係数_バス貨物_ガソリン,係数_バス貨物_CNG,係数_バス貨物_軽油,係数_バス貨物_メタノール,係数_バス貨物_LPG),MATCH(AY1697+1,【参考】排出係数!$AI$4:$AI$671,1)-1,5,BE1697),2,FALSE),IF(OR(AW1697=1,AW1697=2),VLOOKUP(AU1697,INDEX((係数_乗用_ガソリン,係数_乗用_CNG,係数_乗用_軽油,係数_乗用_メタノール,係数_乗用_LPG),1,1,BE1697):INDEX((係数_乗用_ガソリン,係数_乗用_CNG,係数_乗用_軽油,係数_乗用_メタノール,係数_乗用_LPG),125,5,BE1697),2,FALSE))))))</f>
        <v/>
      </c>
      <c r="BB1697" s="468" t="str">
        <f>IF(T1697="","",IF(OR(AU1697="",AU1697="-"),"－",IF(OR(AZ1697=8,AZ1697=9),"",IF(OR(AW1697=3,AW1697=4,AW1697=5,AW1697=6),VLOOKUP(AU1697,INDEX((係数_バス貨物_ガソリン,係数_バス貨物_CNG,係数_バス貨物_軽油,係数_バス貨物_メタノール,係数_バス貨物_LPG),MATCH(AY1697,【参考】排出係数!$AI$4:$AI$671,1),1,BE1697):INDEX((係数_バス貨物_ガソリン,係数_バス貨物_CNG,係数_バス貨物_軽油,係数_バス貨物_メタノール,係数_バス貨物_LPG),MATCH(AY1697+1,【参考】排出係数!$AI$4:$AI$671,1)-1,5,BE1697),3,FALSE),IF(OR(AW1697=1,AW1697=2),VLOOKUP(AU1697,INDEX((係数_乗用_ガソリン,係数_乗用_CNG,係数_乗用_軽油,係数_乗用_メタノール,係数_乗用_LPG),1,1,BE1697):INDEX((係数_乗用_ガソリン,係数_乗用_CNG,係数_乗用_軽油,係数_乗用_メタノール,係数_乗用_LPG),125,5,BE1697),3,FALSE))))))</f>
        <v/>
      </c>
      <c r="BC1697" s="467" t="str">
        <f t="shared" si="976"/>
        <v/>
      </c>
      <c r="BD1697" s="567" t="str">
        <f t="shared" si="977"/>
        <v/>
      </c>
      <c r="BE1697" s="467" t="str">
        <f t="shared" si="978"/>
        <v/>
      </c>
      <c r="BF1697" s="469" t="str">
        <f t="shared" ca="1" si="979"/>
        <v/>
      </c>
      <c r="BG1697" s="469" t="str">
        <f t="shared" ca="1" si="980"/>
        <v/>
      </c>
      <c r="BH1697" s="467" t="str">
        <f t="shared" si="981"/>
        <v/>
      </c>
      <c r="BI1697" s="467" t="str">
        <f t="shared" ca="1" si="982"/>
        <v/>
      </c>
      <c r="BJ1697" s="469" t="str">
        <f t="shared" si="983"/>
        <v/>
      </c>
      <c r="BK1697" s="470" t="str">
        <f t="shared" si="967"/>
        <v/>
      </c>
      <c r="BL1697" s="775" t="str">
        <f t="shared" si="984"/>
        <v/>
      </c>
      <c r="BM1697" s="775" t="str">
        <f t="shared" si="985"/>
        <v/>
      </c>
    </row>
    <row r="1698" spans="1:65">
      <c r="A1698" s="473">
        <v>1642</v>
      </c>
      <c r="B1698" s="132"/>
      <c r="C1698" s="332"/>
      <c r="D1698" s="333"/>
      <c r="E1698" s="333"/>
      <c r="F1698" s="334"/>
      <c r="G1698" s="337"/>
      <c r="H1698" s="131"/>
      <c r="I1698" s="337"/>
      <c r="J1698" s="131"/>
      <c r="K1698" s="458" t="str">
        <f t="shared" si="948"/>
        <v/>
      </c>
      <c r="L1698" s="458">
        <f t="shared" si="949"/>
        <v>0</v>
      </c>
      <c r="M1698" s="458">
        <f t="shared" si="950"/>
        <v>0</v>
      </c>
      <c r="N1698" s="459" t="str">
        <f t="shared" si="961"/>
        <v/>
      </c>
      <c r="O1698" s="459" t="str">
        <f t="shared" si="962"/>
        <v/>
      </c>
      <c r="P1698" s="459" t="str">
        <f t="shared" si="963"/>
        <v/>
      </c>
      <c r="Q1698" s="459" t="str">
        <f t="shared" si="964"/>
        <v/>
      </c>
      <c r="R1698" s="459" t="str">
        <f t="shared" si="965"/>
        <v/>
      </c>
      <c r="S1698" s="459" t="str">
        <f t="shared" si="966"/>
        <v/>
      </c>
      <c r="T1698" s="566" t="str">
        <f t="shared" si="951"/>
        <v/>
      </c>
      <c r="U1698" s="702"/>
      <c r="V1698" s="132"/>
      <c r="W1698" s="133"/>
      <c r="X1698" s="134"/>
      <c r="Y1698" s="135"/>
      <c r="Z1698" s="137"/>
      <c r="AA1698" s="136"/>
      <c r="AB1698" s="566" t="str">
        <f t="shared" si="952"/>
        <v/>
      </c>
      <c r="AC1698" s="568" t="str">
        <f t="shared" si="953"/>
        <v/>
      </c>
      <c r="AD1698" s="137"/>
      <c r="AE1698" s="137"/>
      <c r="AF1698" s="138"/>
      <c r="AG1698" s="138"/>
      <c r="AH1698" s="592" t="str">
        <f t="shared" si="954"/>
        <v/>
      </c>
      <c r="AI1698" s="592" t="str">
        <f t="shared" si="955"/>
        <v/>
      </c>
      <c r="AJ1698" s="592" t="str">
        <f t="shared" si="956"/>
        <v/>
      </c>
      <c r="AK1698" s="460" t="str">
        <f>IF(AU1698="","",IF(OR(AZ1698=8,AZ1698=9),0,IF(OR(AW1698=3,AW1698=4,AW1698=5,AW1698=6),IF(LEFT(BF1698,1)="1",INDEX(係数_NOX・PM低減,MATCH(AY1698,【参考】排出係数!$AI$801:$AI$804,1),1),VLOOKUP(AU1698,INDEX((係数_バス貨物_ガソリン,係数_バス貨物_CNG,係数_バス貨物_軽油,係数_バス貨物_メタノール,係数_バス貨物_LPG),MATCH(AY1698,【参考】排出係数!$AI$4:$AI$671,1),1,BE1698):INDEX((係数_バス貨物_ガソリン,係数_バス貨物_CNG,係数_バス貨物_軽油,係数_バス貨物_メタノール,係数_バス貨物_LPG),MATCH(AY1698+1,【参考】排出係数!$AI$4:$AI$671,1)-1,5,BE1698),4,FALSE)),IF(AND(BE1698=3,LEFT(BF1698,1)="1"),0.48,VLOOKUP(AU1698,INDEX((係数_乗用_ガソリン,係数_乗用_CNG,係数_乗用_軽油,係数_乗用_メタノール,係数_乗用_LPG),1,1,BE1698):INDEX((係数_乗用_ガソリン,係数_乗用_CNG,係数_乗用_軽油,係数_乗用_メタノール,係数_乗用_LPG),125,5,BE1698),4,FALSE)))))</f>
        <v/>
      </c>
      <c r="AL1698" s="461" t="str">
        <f t="shared" si="957"/>
        <v/>
      </c>
      <c r="AM1698" s="460" t="str">
        <f>IF(AU1698="","",IF(OR(AZ1698=8,AZ1698=9),0,IF(OR(AW1698=3,AW1698=4,AW1698=5,AW1698=6),IF(LEFT(BH1698,1)="1",INDEX(係数_PM低減,MATCH(AY1698,【参考】排出係数!$AI$801:$AI$804,1),MATCH(BI1698,【参考】排出係数!$AL$798:$AO$798,1)),VLOOKUP(AU1698,INDEX((係数_バス貨物_ガソリン,係数_バス貨物_CNG,係数_バス貨物_軽油,係数_バス貨物_メタノール,係数_バス貨物_LPG),MATCH(AY1698,【参考】排出係数!$AI$4:$AI$671,1),1,BE1698):INDEX((係数_バス貨物_ガソリン,係数_バス貨物_CNG,係数_バス貨物_軽油,係数_バス貨物_メタノール,係数_バス貨物_LPG),MATCH(AY1698+1,【参考】排出係数!$AI$4:$AI$671,1)-1,5,BE1698),5,FALSE)),IF(AND(BE1698=3,LEFT(BF1698,1)="1"),0.055,VLOOKUP(AU1698,INDEX((係数_乗用_ガソリン,係数_乗用_CNG,係数_乗用_軽油,係数_乗用_メタノール,係数_乗用_LPG),1,1,BE1698):INDEX((係数_乗用_ガソリン,係数_乗用_CNG,係数_乗用_軽油,係数_乗用_メタノール,係数_乗用_LPG),125,5,BE1698),5,FALSE)))))</f>
        <v/>
      </c>
      <c r="AN1698" s="461" t="str">
        <f t="shared" si="958"/>
        <v/>
      </c>
      <c r="AO1698" s="462" t="str">
        <f t="shared" si="959"/>
        <v/>
      </c>
      <c r="AP1698" s="463" t="str">
        <f t="shared" si="960"/>
        <v/>
      </c>
      <c r="AQ1698" s="464"/>
      <c r="AR1698" s="619"/>
      <c r="AS1698" s="465" t="str">
        <f t="shared" si="968"/>
        <v/>
      </c>
      <c r="AT1698" s="465" t="str">
        <f t="shared" si="969"/>
        <v/>
      </c>
      <c r="AU1698" s="466" t="str">
        <f t="shared" si="970"/>
        <v/>
      </c>
      <c r="AV1698" s="467" t="str">
        <f t="shared" si="971"/>
        <v/>
      </c>
      <c r="AW1698" s="467" t="str">
        <f t="shared" si="972"/>
        <v/>
      </c>
      <c r="AX1698" s="467" t="str">
        <f t="shared" si="973"/>
        <v/>
      </c>
      <c r="AY1698" s="467" t="str">
        <f t="shared" si="974"/>
        <v/>
      </c>
      <c r="AZ1698" s="467" t="str">
        <f t="shared" si="975"/>
        <v/>
      </c>
      <c r="BA1698" s="468" t="str">
        <f>IF(AS1698="","",IF(OR(AU1698="",AU1698="-"),"－",IF(OR(AZ1698=8,AZ1698=9),"",IF(OR(AW1698=3,AW1698=4,AW1698=5,AW1698=6),VLOOKUP(AU1698,INDEX((係数_バス貨物_ガソリン,係数_バス貨物_CNG,係数_バス貨物_軽油,係数_バス貨物_メタノール,係数_バス貨物_LPG),MATCH(AY1698,【参考】排出係数!$AI$4:$AI$671,1),1,BE1698):INDEX((係数_バス貨物_ガソリン,係数_バス貨物_CNG,係数_バス貨物_軽油,係数_バス貨物_メタノール,係数_バス貨物_LPG),MATCH(AY1698+1,【参考】排出係数!$AI$4:$AI$671,1)-1,5,BE1698),2,FALSE),IF(OR(AW1698=1,AW1698=2),VLOOKUP(AU1698,INDEX((係数_乗用_ガソリン,係数_乗用_CNG,係数_乗用_軽油,係数_乗用_メタノール,係数_乗用_LPG),1,1,BE1698):INDEX((係数_乗用_ガソリン,係数_乗用_CNG,係数_乗用_軽油,係数_乗用_メタノール,係数_乗用_LPG),125,5,BE1698),2,FALSE))))))</f>
        <v/>
      </c>
      <c r="BB1698" s="468" t="str">
        <f>IF(T1698="","",IF(OR(AU1698="",AU1698="-"),"－",IF(OR(AZ1698=8,AZ1698=9),"",IF(OR(AW1698=3,AW1698=4,AW1698=5,AW1698=6),VLOOKUP(AU1698,INDEX((係数_バス貨物_ガソリン,係数_バス貨物_CNG,係数_バス貨物_軽油,係数_バス貨物_メタノール,係数_バス貨物_LPG),MATCH(AY1698,【参考】排出係数!$AI$4:$AI$671,1),1,BE1698):INDEX((係数_バス貨物_ガソリン,係数_バス貨物_CNG,係数_バス貨物_軽油,係数_バス貨物_メタノール,係数_バス貨物_LPG),MATCH(AY1698+1,【参考】排出係数!$AI$4:$AI$671,1)-1,5,BE1698),3,FALSE),IF(OR(AW1698=1,AW1698=2),VLOOKUP(AU1698,INDEX((係数_乗用_ガソリン,係数_乗用_CNG,係数_乗用_軽油,係数_乗用_メタノール,係数_乗用_LPG),1,1,BE1698):INDEX((係数_乗用_ガソリン,係数_乗用_CNG,係数_乗用_軽油,係数_乗用_メタノール,係数_乗用_LPG),125,5,BE1698),3,FALSE))))))</f>
        <v/>
      </c>
      <c r="BC1698" s="467" t="str">
        <f t="shared" si="976"/>
        <v/>
      </c>
      <c r="BD1698" s="567" t="str">
        <f t="shared" si="977"/>
        <v/>
      </c>
      <c r="BE1698" s="467" t="str">
        <f t="shared" si="978"/>
        <v/>
      </c>
      <c r="BF1698" s="469" t="str">
        <f t="shared" ca="1" si="979"/>
        <v/>
      </c>
      <c r="BG1698" s="469" t="str">
        <f t="shared" ca="1" si="980"/>
        <v/>
      </c>
      <c r="BH1698" s="467" t="str">
        <f t="shared" si="981"/>
        <v/>
      </c>
      <c r="BI1698" s="467" t="str">
        <f t="shared" ca="1" si="982"/>
        <v/>
      </c>
      <c r="BJ1698" s="469" t="str">
        <f t="shared" si="983"/>
        <v/>
      </c>
      <c r="BK1698" s="470" t="str">
        <f t="shared" si="967"/>
        <v/>
      </c>
      <c r="BL1698" s="775" t="str">
        <f t="shared" si="984"/>
        <v/>
      </c>
      <c r="BM1698" s="775" t="str">
        <f t="shared" si="985"/>
        <v/>
      </c>
    </row>
    <row r="1699" spans="1:65">
      <c r="A1699" s="473">
        <v>1643</v>
      </c>
      <c r="B1699" s="132"/>
      <c r="C1699" s="332"/>
      <c r="D1699" s="333"/>
      <c r="E1699" s="333"/>
      <c r="F1699" s="334"/>
      <c r="G1699" s="337"/>
      <c r="H1699" s="131"/>
      <c r="I1699" s="337"/>
      <c r="J1699" s="131"/>
      <c r="K1699" s="458" t="str">
        <f t="shared" si="948"/>
        <v/>
      </c>
      <c r="L1699" s="458">
        <f t="shared" si="949"/>
        <v>0</v>
      </c>
      <c r="M1699" s="458">
        <f t="shared" si="950"/>
        <v>0</v>
      </c>
      <c r="N1699" s="459" t="str">
        <f t="shared" si="961"/>
        <v/>
      </c>
      <c r="O1699" s="459" t="str">
        <f t="shared" si="962"/>
        <v/>
      </c>
      <c r="P1699" s="459" t="str">
        <f t="shared" si="963"/>
        <v/>
      </c>
      <c r="Q1699" s="459" t="str">
        <f t="shared" si="964"/>
        <v/>
      </c>
      <c r="R1699" s="459" t="str">
        <f t="shared" si="965"/>
        <v/>
      </c>
      <c r="S1699" s="459" t="str">
        <f t="shared" si="966"/>
        <v/>
      </c>
      <c r="T1699" s="566" t="str">
        <f t="shared" si="951"/>
        <v/>
      </c>
      <c r="U1699" s="702"/>
      <c r="V1699" s="132"/>
      <c r="W1699" s="133"/>
      <c r="X1699" s="134"/>
      <c r="Y1699" s="135"/>
      <c r="Z1699" s="137"/>
      <c r="AA1699" s="136"/>
      <c r="AB1699" s="566" t="str">
        <f t="shared" si="952"/>
        <v/>
      </c>
      <c r="AC1699" s="568" t="str">
        <f t="shared" si="953"/>
        <v/>
      </c>
      <c r="AD1699" s="137"/>
      <c r="AE1699" s="137"/>
      <c r="AF1699" s="138"/>
      <c r="AG1699" s="138"/>
      <c r="AH1699" s="592" t="str">
        <f t="shared" si="954"/>
        <v/>
      </c>
      <c r="AI1699" s="592" t="str">
        <f t="shared" si="955"/>
        <v/>
      </c>
      <c r="AJ1699" s="592" t="str">
        <f t="shared" si="956"/>
        <v/>
      </c>
      <c r="AK1699" s="460" t="str">
        <f>IF(AU1699="","",IF(OR(AZ1699=8,AZ1699=9),0,IF(OR(AW1699=3,AW1699=4,AW1699=5,AW1699=6),IF(LEFT(BF1699,1)="1",INDEX(係数_NOX・PM低減,MATCH(AY1699,【参考】排出係数!$AI$801:$AI$804,1),1),VLOOKUP(AU1699,INDEX((係数_バス貨物_ガソリン,係数_バス貨物_CNG,係数_バス貨物_軽油,係数_バス貨物_メタノール,係数_バス貨物_LPG),MATCH(AY1699,【参考】排出係数!$AI$4:$AI$671,1),1,BE1699):INDEX((係数_バス貨物_ガソリン,係数_バス貨物_CNG,係数_バス貨物_軽油,係数_バス貨物_メタノール,係数_バス貨物_LPG),MATCH(AY1699+1,【参考】排出係数!$AI$4:$AI$671,1)-1,5,BE1699),4,FALSE)),IF(AND(BE1699=3,LEFT(BF1699,1)="1"),0.48,VLOOKUP(AU1699,INDEX((係数_乗用_ガソリン,係数_乗用_CNG,係数_乗用_軽油,係数_乗用_メタノール,係数_乗用_LPG),1,1,BE1699):INDEX((係数_乗用_ガソリン,係数_乗用_CNG,係数_乗用_軽油,係数_乗用_メタノール,係数_乗用_LPG),125,5,BE1699),4,FALSE)))))</f>
        <v/>
      </c>
      <c r="AL1699" s="461" t="str">
        <f t="shared" si="957"/>
        <v/>
      </c>
      <c r="AM1699" s="460" t="str">
        <f>IF(AU1699="","",IF(OR(AZ1699=8,AZ1699=9),0,IF(OR(AW1699=3,AW1699=4,AW1699=5,AW1699=6),IF(LEFT(BH1699,1)="1",INDEX(係数_PM低減,MATCH(AY1699,【参考】排出係数!$AI$801:$AI$804,1),MATCH(BI1699,【参考】排出係数!$AL$798:$AO$798,1)),VLOOKUP(AU1699,INDEX((係数_バス貨物_ガソリン,係数_バス貨物_CNG,係数_バス貨物_軽油,係数_バス貨物_メタノール,係数_バス貨物_LPG),MATCH(AY1699,【参考】排出係数!$AI$4:$AI$671,1),1,BE1699):INDEX((係数_バス貨物_ガソリン,係数_バス貨物_CNG,係数_バス貨物_軽油,係数_バス貨物_メタノール,係数_バス貨物_LPG),MATCH(AY1699+1,【参考】排出係数!$AI$4:$AI$671,1)-1,5,BE1699),5,FALSE)),IF(AND(BE1699=3,LEFT(BF1699,1)="1"),0.055,VLOOKUP(AU1699,INDEX((係数_乗用_ガソリン,係数_乗用_CNG,係数_乗用_軽油,係数_乗用_メタノール,係数_乗用_LPG),1,1,BE1699):INDEX((係数_乗用_ガソリン,係数_乗用_CNG,係数_乗用_軽油,係数_乗用_メタノール,係数_乗用_LPG),125,5,BE1699),5,FALSE)))))</f>
        <v/>
      </c>
      <c r="AN1699" s="461" t="str">
        <f t="shared" si="958"/>
        <v/>
      </c>
      <c r="AO1699" s="462" t="str">
        <f t="shared" si="959"/>
        <v/>
      </c>
      <c r="AP1699" s="463" t="str">
        <f t="shared" si="960"/>
        <v/>
      </c>
      <c r="AQ1699" s="464"/>
      <c r="AR1699" s="619"/>
      <c r="AS1699" s="465" t="str">
        <f t="shared" si="968"/>
        <v/>
      </c>
      <c r="AT1699" s="465" t="str">
        <f t="shared" si="969"/>
        <v/>
      </c>
      <c r="AU1699" s="466" t="str">
        <f t="shared" si="970"/>
        <v/>
      </c>
      <c r="AV1699" s="467" t="str">
        <f t="shared" si="971"/>
        <v/>
      </c>
      <c r="AW1699" s="467" t="str">
        <f t="shared" si="972"/>
        <v/>
      </c>
      <c r="AX1699" s="467" t="str">
        <f t="shared" si="973"/>
        <v/>
      </c>
      <c r="AY1699" s="467" t="str">
        <f t="shared" si="974"/>
        <v/>
      </c>
      <c r="AZ1699" s="467" t="str">
        <f t="shared" si="975"/>
        <v/>
      </c>
      <c r="BA1699" s="468" t="str">
        <f>IF(AS1699="","",IF(OR(AU1699="",AU1699="-"),"－",IF(OR(AZ1699=8,AZ1699=9),"",IF(OR(AW1699=3,AW1699=4,AW1699=5,AW1699=6),VLOOKUP(AU1699,INDEX((係数_バス貨物_ガソリン,係数_バス貨物_CNG,係数_バス貨物_軽油,係数_バス貨物_メタノール,係数_バス貨物_LPG),MATCH(AY1699,【参考】排出係数!$AI$4:$AI$671,1),1,BE1699):INDEX((係数_バス貨物_ガソリン,係数_バス貨物_CNG,係数_バス貨物_軽油,係数_バス貨物_メタノール,係数_バス貨物_LPG),MATCH(AY1699+1,【参考】排出係数!$AI$4:$AI$671,1)-1,5,BE1699),2,FALSE),IF(OR(AW1699=1,AW1699=2),VLOOKUP(AU1699,INDEX((係数_乗用_ガソリン,係数_乗用_CNG,係数_乗用_軽油,係数_乗用_メタノール,係数_乗用_LPG),1,1,BE1699):INDEX((係数_乗用_ガソリン,係数_乗用_CNG,係数_乗用_軽油,係数_乗用_メタノール,係数_乗用_LPG),125,5,BE1699),2,FALSE))))))</f>
        <v/>
      </c>
      <c r="BB1699" s="468" t="str">
        <f>IF(T1699="","",IF(OR(AU1699="",AU1699="-"),"－",IF(OR(AZ1699=8,AZ1699=9),"",IF(OR(AW1699=3,AW1699=4,AW1699=5,AW1699=6),VLOOKUP(AU1699,INDEX((係数_バス貨物_ガソリン,係数_バス貨物_CNG,係数_バス貨物_軽油,係数_バス貨物_メタノール,係数_バス貨物_LPG),MATCH(AY1699,【参考】排出係数!$AI$4:$AI$671,1),1,BE1699):INDEX((係数_バス貨物_ガソリン,係数_バス貨物_CNG,係数_バス貨物_軽油,係数_バス貨物_メタノール,係数_バス貨物_LPG),MATCH(AY1699+1,【参考】排出係数!$AI$4:$AI$671,1)-1,5,BE1699),3,FALSE),IF(OR(AW1699=1,AW1699=2),VLOOKUP(AU1699,INDEX((係数_乗用_ガソリン,係数_乗用_CNG,係数_乗用_軽油,係数_乗用_メタノール,係数_乗用_LPG),1,1,BE1699):INDEX((係数_乗用_ガソリン,係数_乗用_CNG,係数_乗用_軽油,係数_乗用_メタノール,係数_乗用_LPG),125,5,BE1699),3,FALSE))))))</f>
        <v/>
      </c>
      <c r="BC1699" s="467" t="str">
        <f t="shared" si="976"/>
        <v/>
      </c>
      <c r="BD1699" s="567" t="str">
        <f t="shared" si="977"/>
        <v/>
      </c>
      <c r="BE1699" s="467" t="str">
        <f t="shared" si="978"/>
        <v/>
      </c>
      <c r="BF1699" s="469" t="str">
        <f t="shared" ca="1" si="979"/>
        <v/>
      </c>
      <c r="BG1699" s="469" t="str">
        <f t="shared" ca="1" si="980"/>
        <v/>
      </c>
      <c r="BH1699" s="467" t="str">
        <f t="shared" si="981"/>
        <v/>
      </c>
      <c r="BI1699" s="467" t="str">
        <f t="shared" ca="1" si="982"/>
        <v/>
      </c>
      <c r="BJ1699" s="469" t="str">
        <f t="shared" si="983"/>
        <v/>
      </c>
      <c r="BK1699" s="470" t="str">
        <f t="shared" si="967"/>
        <v/>
      </c>
      <c r="BL1699" s="775" t="str">
        <f t="shared" si="984"/>
        <v/>
      </c>
      <c r="BM1699" s="775" t="str">
        <f t="shared" si="985"/>
        <v/>
      </c>
    </row>
    <row r="1700" spans="1:65">
      <c r="A1700" s="473">
        <v>1644</v>
      </c>
      <c r="B1700" s="132"/>
      <c r="C1700" s="332"/>
      <c r="D1700" s="333"/>
      <c r="E1700" s="333"/>
      <c r="F1700" s="334"/>
      <c r="G1700" s="337"/>
      <c r="H1700" s="131"/>
      <c r="I1700" s="337"/>
      <c r="J1700" s="131"/>
      <c r="K1700" s="458" t="str">
        <f t="shared" si="948"/>
        <v/>
      </c>
      <c r="L1700" s="458">
        <f t="shared" si="949"/>
        <v>0</v>
      </c>
      <c r="M1700" s="458">
        <f t="shared" si="950"/>
        <v>0</v>
      </c>
      <c r="N1700" s="459" t="str">
        <f t="shared" si="961"/>
        <v/>
      </c>
      <c r="O1700" s="459" t="str">
        <f t="shared" si="962"/>
        <v/>
      </c>
      <c r="P1700" s="459" t="str">
        <f t="shared" si="963"/>
        <v/>
      </c>
      <c r="Q1700" s="459" t="str">
        <f t="shared" si="964"/>
        <v/>
      </c>
      <c r="R1700" s="459" t="str">
        <f t="shared" si="965"/>
        <v/>
      </c>
      <c r="S1700" s="459" t="str">
        <f t="shared" si="966"/>
        <v/>
      </c>
      <c r="T1700" s="566" t="str">
        <f t="shared" si="951"/>
        <v/>
      </c>
      <c r="U1700" s="702"/>
      <c r="V1700" s="132"/>
      <c r="W1700" s="133"/>
      <c r="X1700" s="134"/>
      <c r="Y1700" s="135"/>
      <c r="Z1700" s="137"/>
      <c r="AA1700" s="136"/>
      <c r="AB1700" s="566" t="str">
        <f t="shared" si="952"/>
        <v/>
      </c>
      <c r="AC1700" s="568" t="str">
        <f t="shared" si="953"/>
        <v/>
      </c>
      <c r="AD1700" s="137"/>
      <c r="AE1700" s="137"/>
      <c r="AF1700" s="138"/>
      <c r="AG1700" s="138"/>
      <c r="AH1700" s="592" t="str">
        <f t="shared" si="954"/>
        <v/>
      </c>
      <c r="AI1700" s="592" t="str">
        <f t="shared" si="955"/>
        <v/>
      </c>
      <c r="AJ1700" s="592" t="str">
        <f t="shared" si="956"/>
        <v/>
      </c>
      <c r="AK1700" s="460" t="str">
        <f>IF(AU1700="","",IF(OR(AZ1700=8,AZ1700=9),0,IF(OR(AW1700=3,AW1700=4,AW1700=5,AW1700=6),IF(LEFT(BF1700,1)="1",INDEX(係数_NOX・PM低減,MATCH(AY1700,【参考】排出係数!$AI$801:$AI$804,1),1),VLOOKUP(AU1700,INDEX((係数_バス貨物_ガソリン,係数_バス貨物_CNG,係数_バス貨物_軽油,係数_バス貨物_メタノール,係数_バス貨物_LPG),MATCH(AY1700,【参考】排出係数!$AI$4:$AI$671,1),1,BE1700):INDEX((係数_バス貨物_ガソリン,係数_バス貨物_CNG,係数_バス貨物_軽油,係数_バス貨物_メタノール,係数_バス貨物_LPG),MATCH(AY1700+1,【参考】排出係数!$AI$4:$AI$671,1)-1,5,BE1700),4,FALSE)),IF(AND(BE1700=3,LEFT(BF1700,1)="1"),0.48,VLOOKUP(AU1700,INDEX((係数_乗用_ガソリン,係数_乗用_CNG,係数_乗用_軽油,係数_乗用_メタノール,係数_乗用_LPG),1,1,BE1700):INDEX((係数_乗用_ガソリン,係数_乗用_CNG,係数_乗用_軽油,係数_乗用_メタノール,係数_乗用_LPG),125,5,BE1700),4,FALSE)))))</f>
        <v/>
      </c>
      <c r="AL1700" s="461" t="str">
        <f t="shared" si="957"/>
        <v/>
      </c>
      <c r="AM1700" s="460" t="str">
        <f>IF(AU1700="","",IF(OR(AZ1700=8,AZ1700=9),0,IF(OR(AW1700=3,AW1700=4,AW1700=5,AW1700=6),IF(LEFT(BH1700,1)="1",INDEX(係数_PM低減,MATCH(AY1700,【参考】排出係数!$AI$801:$AI$804,1),MATCH(BI1700,【参考】排出係数!$AL$798:$AO$798,1)),VLOOKUP(AU1700,INDEX((係数_バス貨物_ガソリン,係数_バス貨物_CNG,係数_バス貨物_軽油,係数_バス貨物_メタノール,係数_バス貨物_LPG),MATCH(AY1700,【参考】排出係数!$AI$4:$AI$671,1),1,BE1700):INDEX((係数_バス貨物_ガソリン,係数_バス貨物_CNG,係数_バス貨物_軽油,係数_バス貨物_メタノール,係数_バス貨物_LPG),MATCH(AY1700+1,【参考】排出係数!$AI$4:$AI$671,1)-1,5,BE1700),5,FALSE)),IF(AND(BE1700=3,LEFT(BF1700,1)="1"),0.055,VLOOKUP(AU1700,INDEX((係数_乗用_ガソリン,係数_乗用_CNG,係数_乗用_軽油,係数_乗用_メタノール,係数_乗用_LPG),1,1,BE1700):INDEX((係数_乗用_ガソリン,係数_乗用_CNG,係数_乗用_軽油,係数_乗用_メタノール,係数_乗用_LPG),125,5,BE1700),5,FALSE)))))</f>
        <v/>
      </c>
      <c r="AN1700" s="461" t="str">
        <f t="shared" si="958"/>
        <v/>
      </c>
      <c r="AO1700" s="462" t="str">
        <f t="shared" si="959"/>
        <v/>
      </c>
      <c r="AP1700" s="463" t="str">
        <f t="shared" si="960"/>
        <v/>
      </c>
      <c r="AQ1700" s="464"/>
      <c r="AR1700" s="619"/>
      <c r="AS1700" s="465" t="str">
        <f t="shared" si="968"/>
        <v/>
      </c>
      <c r="AT1700" s="465" t="str">
        <f t="shared" si="969"/>
        <v/>
      </c>
      <c r="AU1700" s="466" t="str">
        <f t="shared" si="970"/>
        <v/>
      </c>
      <c r="AV1700" s="467" t="str">
        <f t="shared" si="971"/>
        <v/>
      </c>
      <c r="AW1700" s="467" t="str">
        <f t="shared" si="972"/>
        <v/>
      </c>
      <c r="AX1700" s="467" t="str">
        <f t="shared" si="973"/>
        <v/>
      </c>
      <c r="AY1700" s="467" t="str">
        <f t="shared" si="974"/>
        <v/>
      </c>
      <c r="AZ1700" s="467" t="str">
        <f t="shared" si="975"/>
        <v/>
      </c>
      <c r="BA1700" s="468" t="str">
        <f>IF(AS1700="","",IF(OR(AU1700="",AU1700="-"),"－",IF(OR(AZ1700=8,AZ1700=9),"",IF(OR(AW1700=3,AW1700=4,AW1700=5,AW1700=6),VLOOKUP(AU1700,INDEX((係数_バス貨物_ガソリン,係数_バス貨物_CNG,係数_バス貨物_軽油,係数_バス貨物_メタノール,係数_バス貨物_LPG),MATCH(AY1700,【参考】排出係数!$AI$4:$AI$671,1),1,BE1700):INDEX((係数_バス貨物_ガソリン,係数_バス貨物_CNG,係数_バス貨物_軽油,係数_バス貨物_メタノール,係数_バス貨物_LPG),MATCH(AY1700+1,【参考】排出係数!$AI$4:$AI$671,1)-1,5,BE1700),2,FALSE),IF(OR(AW1700=1,AW1700=2),VLOOKUP(AU1700,INDEX((係数_乗用_ガソリン,係数_乗用_CNG,係数_乗用_軽油,係数_乗用_メタノール,係数_乗用_LPG),1,1,BE1700):INDEX((係数_乗用_ガソリン,係数_乗用_CNG,係数_乗用_軽油,係数_乗用_メタノール,係数_乗用_LPG),125,5,BE1700),2,FALSE))))))</f>
        <v/>
      </c>
      <c r="BB1700" s="468" t="str">
        <f>IF(T1700="","",IF(OR(AU1700="",AU1700="-"),"－",IF(OR(AZ1700=8,AZ1700=9),"",IF(OR(AW1700=3,AW1700=4,AW1700=5,AW1700=6),VLOOKUP(AU1700,INDEX((係数_バス貨物_ガソリン,係数_バス貨物_CNG,係数_バス貨物_軽油,係数_バス貨物_メタノール,係数_バス貨物_LPG),MATCH(AY1700,【参考】排出係数!$AI$4:$AI$671,1),1,BE1700):INDEX((係数_バス貨物_ガソリン,係数_バス貨物_CNG,係数_バス貨物_軽油,係数_バス貨物_メタノール,係数_バス貨物_LPG),MATCH(AY1700+1,【参考】排出係数!$AI$4:$AI$671,1)-1,5,BE1700),3,FALSE),IF(OR(AW1700=1,AW1700=2),VLOOKUP(AU1700,INDEX((係数_乗用_ガソリン,係数_乗用_CNG,係数_乗用_軽油,係数_乗用_メタノール,係数_乗用_LPG),1,1,BE1700):INDEX((係数_乗用_ガソリン,係数_乗用_CNG,係数_乗用_軽油,係数_乗用_メタノール,係数_乗用_LPG),125,5,BE1700),3,FALSE))))))</f>
        <v/>
      </c>
      <c r="BC1700" s="467" t="str">
        <f t="shared" si="976"/>
        <v/>
      </c>
      <c r="BD1700" s="567" t="str">
        <f t="shared" si="977"/>
        <v/>
      </c>
      <c r="BE1700" s="467" t="str">
        <f t="shared" si="978"/>
        <v/>
      </c>
      <c r="BF1700" s="469" t="str">
        <f t="shared" ca="1" si="979"/>
        <v/>
      </c>
      <c r="BG1700" s="469" t="str">
        <f t="shared" ca="1" si="980"/>
        <v/>
      </c>
      <c r="BH1700" s="467" t="str">
        <f t="shared" si="981"/>
        <v/>
      </c>
      <c r="BI1700" s="467" t="str">
        <f t="shared" ca="1" si="982"/>
        <v/>
      </c>
      <c r="BJ1700" s="469" t="str">
        <f t="shared" si="983"/>
        <v/>
      </c>
      <c r="BK1700" s="470" t="str">
        <f t="shared" si="967"/>
        <v/>
      </c>
      <c r="BL1700" s="775" t="str">
        <f t="shared" si="984"/>
        <v/>
      </c>
      <c r="BM1700" s="775" t="str">
        <f t="shared" si="985"/>
        <v/>
      </c>
    </row>
    <row r="1701" spans="1:65">
      <c r="A1701" s="473">
        <v>1645</v>
      </c>
      <c r="B1701" s="132"/>
      <c r="C1701" s="332"/>
      <c r="D1701" s="333"/>
      <c r="E1701" s="333"/>
      <c r="F1701" s="334"/>
      <c r="G1701" s="337"/>
      <c r="H1701" s="131"/>
      <c r="I1701" s="337"/>
      <c r="J1701" s="131"/>
      <c r="K1701" s="458" t="str">
        <f t="shared" si="948"/>
        <v/>
      </c>
      <c r="L1701" s="458">
        <f t="shared" si="949"/>
        <v>0</v>
      </c>
      <c r="M1701" s="458">
        <f t="shared" si="950"/>
        <v>0</v>
      </c>
      <c r="N1701" s="459" t="str">
        <f t="shared" si="961"/>
        <v/>
      </c>
      <c r="O1701" s="459" t="str">
        <f t="shared" si="962"/>
        <v/>
      </c>
      <c r="P1701" s="459" t="str">
        <f t="shared" si="963"/>
        <v/>
      </c>
      <c r="Q1701" s="459" t="str">
        <f t="shared" si="964"/>
        <v/>
      </c>
      <c r="R1701" s="459" t="str">
        <f t="shared" si="965"/>
        <v/>
      </c>
      <c r="S1701" s="459" t="str">
        <f t="shared" si="966"/>
        <v/>
      </c>
      <c r="T1701" s="566" t="str">
        <f t="shared" si="951"/>
        <v/>
      </c>
      <c r="U1701" s="702"/>
      <c r="V1701" s="132"/>
      <c r="W1701" s="133"/>
      <c r="X1701" s="134"/>
      <c r="Y1701" s="135"/>
      <c r="Z1701" s="137"/>
      <c r="AA1701" s="136"/>
      <c r="AB1701" s="566" t="str">
        <f t="shared" si="952"/>
        <v/>
      </c>
      <c r="AC1701" s="568" t="str">
        <f t="shared" si="953"/>
        <v/>
      </c>
      <c r="AD1701" s="137"/>
      <c r="AE1701" s="137"/>
      <c r="AF1701" s="138"/>
      <c r="AG1701" s="138"/>
      <c r="AH1701" s="592" t="str">
        <f t="shared" si="954"/>
        <v/>
      </c>
      <c r="AI1701" s="592" t="str">
        <f t="shared" si="955"/>
        <v/>
      </c>
      <c r="AJ1701" s="592" t="str">
        <f t="shared" si="956"/>
        <v/>
      </c>
      <c r="AK1701" s="460" t="str">
        <f>IF(AU1701="","",IF(OR(AZ1701=8,AZ1701=9),0,IF(OR(AW1701=3,AW1701=4,AW1701=5,AW1701=6),IF(LEFT(BF1701,1)="1",INDEX(係数_NOX・PM低減,MATCH(AY1701,【参考】排出係数!$AI$801:$AI$804,1),1),VLOOKUP(AU1701,INDEX((係数_バス貨物_ガソリン,係数_バス貨物_CNG,係数_バス貨物_軽油,係数_バス貨物_メタノール,係数_バス貨物_LPG),MATCH(AY1701,【参考】排出係数!$AI$4:$AI$671,1),1,BE1701):INDEX((係数_バス貨物_ガソリン,係数_バス貨物_CNG,係数_バス貨物_軽油,係数_バス貨物_メタノール,係数_バス貨物_LPG),MATCH(AY1701+1,【参考】排出係数!$AI$4:$AI$671,1)-1,5,BE1701),4,FALSE)),IF(AND(BE1701=3,LEFT(BF1701,1)="1"),0.48,VLOOKUP(AU1701,INDEX((係数_乗用_ガソリン,係数_乗用_CNG,係数_乗用_軽油,係数_乗用_メタノール,係数_乗用_LPG),1,1,BE1701):INDEX((係数_乗用_ガソリン,係数_乗用_CNG,係数_乗用_軽油,係数_乗用_メタノール,係数_乗用_LPG),125,5,BE1701),4,FALSE)))))</f>
        <v/>
      </c>
      <c r="AL1701" s="461" t="str">
        <f t="shared" si="957"/>
        <v/>
      </c>
      <c r="AM1701" s="460" t="str">
        <f>IF(AU1701="","",IF(OR(AZ1701=8,AZ1701=9),0,IF(OR(AW1701=3,AW1701=4,AW1701=5,AW1701=6),IF(LEFT(BH1701,1)="1",INDEX(係数_PM低減,MATCH(AY1701,【参考】排出係数!$AI$801:$AI$804,1),MATCH(BI1701,【参考】排出係数!$AL$798:$AO$798,1)),VLOOKUP(AU1701,INDEX((係数_バス貨物_ガソリン,係数_バス貨物_CNG,係数_バス貨物_軽油,係数_バス貨物_メタノール,係数_バス貨物_LPG),MATCH(AY1701,【参考】排出係数!$AI$4:$AI$671,1),1,BE1701):INDEX((係数_バス貨物_ガソリン,係数_バス貨物_CNG,係数_バス貨物_軽油,係数_バス貨物_メタノール,係数_バス貨物_LPG),MATCH(AY1701+1,【参考】排出係数!$AI$4:$AI$671,1)-1,5,BE1701),5,FALSE)),IF(AND(BE1701=3,LEFT(BF1701,1)="1"),0.055,VLOOKUP(AU1701,INDEX((係数_乗用_ガソリン,係数_乗用_CNG,係数_乗用_軽油,係数_乗用_メタノール,係数_乗用_LPG),1,1,BE1701):INDEX((係数_乗用_ガソリン,係数_乗用_CNG,係数_乗用_軽油,係数_乗用_メタノール,係数_乗用_LPG),125,5,BE1701),5,FALSE)))))</f>
        <v/>
      </c>
      <c r="AN1701" s="461" t="str">
        <f t="shared" si="958"/>
        <v/>
      </c>
      <c r="AO1701" s="462" t="str">
        <f t="shared" si="959"/>
        <v/>
      </c>
      <c r="AP1701" s="463" t="str">
        <f t="shared" si="960"/>
        <v/>
      </c>
      <c r="AQ1701" s="464"/>
      <c r="AR1701" s="619"/>
      <c r="AS1701" s="465" t="str">
        <f t="shared" si="968"/>
        <v/>
      </c>
      <c r="AT1701" s="465" t="str">
        <f t="shared" si="969"/>
        <v/>
      </c>
      <c r="AU1701" s="466" t="str">
        <f t="shared" si="970"/>
        <v/>
      </c>
      <c r="AV1701" s="467" t="str">
        <f t="shared" si="971"/>
        <v/>
      </c>
      <c r="AW1701" s="467" t="str">
        <f t="shared" si="972"/>
        <v/>
      </c>
      <c r="AX1701" s="467" t="str">
        <f t="shared" si="973"/>
        <v/>
      </c>
      <c r="AY1701" s="467" t="str">
        <f t="shared" si="974"/>
        <v/>
      </c>
      <c r="AZ1701" s="467" t="str">
        <f t="shared" si="975"/>
        <v/>
      </c>
      <c r="BA1701" s="468" t="str">
        <f>IF(AS1701="","",IF(OR(AU1701="",AU1701="-"),"－",IF(OR(AZ1701=8,AZ1701=9),"",IF(OR(AW1701=3,AW1701=4,AW1701=5,AW1701=6),VLOOKUP(AU1701,INDEX((係数_バス貨物_ガソリン,係数_バス貨物_CNG,係数_バス貨物_軽油,係数_バス貨物_メタノール,係数_バス貨物_LPG),MATCH(AY1701,【参考】排出係数!$AI$4:$AI$671,1),1,BE1701):INDEX((係数_バス貨物_ガソリン,係数_バス貨物_CNG,係数_バス貨物_軽油,係数_バス貨物_メタノール,係数_バス貨物_LPG),MATCH(AY1701+1,【参考】排出係数!$AI$4:$AI$671,1)-1,5,BE1701),2,FALSE),IF(OR(AW1701=1,AW1701=2),VLOOKUP(AU1701,INDEX((係数_乗用_ガソリン,係数_乗用_CNG,係数_乗用_軽油,係数_乗用_メタノール,係数_乗用_LPG),1,1,BE1701):INDEX((係数_乗用_ガソリン,係数_乗用_CNG,係数_乗用_軽油,係数_乗用_メタノール,係数_乗用_LPG),125,5,BE1701),2,FALSE))))))</f>
        <v/>
      </c>
      <c r="BB1701" s="468" t="str">
        <f>IF(T1701="","",IF(OR(AU1701="",AU1701="-"),"－",IF(OR(AZ1701=8,AZ1701=9),"",IF(OR(AW1701=3,AW1701=4,AW1701=5,AW1701=6),VLOOKUP(AU1701,INDEX((係数_バス貨物_ガソリン,係数_バス貨物_CNG,係数_バス貨物_軽油,係数_バス貨物_メタノール,係数_バス貨物_LPG),MATCH(AY1701,【参考】排出係数!$AI$4:$AI$671,1),1,BE1701):INDEX((係数_バス貨物_ガソリン,係数_バス貨物_CNG,係数_バス貨物_軽油,係数_バス貨物_メタノール,係数_バス貨物_LPG),MATCH(AY1701+1,【参考】排出係数!$AI$4:$AI$671,1)-1,5,BE1701),3,FALSE),IF(OR(AW1701=1,AW1701=2),VLOOKUP(AU1701,INDEX((係数_乗用_ガソリン,係数_乗用_CNG,係数_乗用_軽油,係数_乗用_メタノール,係数_乗用_LPG),1,1,BE1701):INDEX((係数_乗用_ガソリン,係数_乗用_CNG,係数_乗用_軽油,係数_乗用_メタノール,係数_乗用_LPG),125,5,BE1701),3,FALSE))))))</f>
        <v/>
      </c>
      <c r="BC1701" s="467" t="str">
        <f t="shared" si="976"/>
        <v/>
      </c>
      <c r="BD1701" s="567" t="str">
        <f t="shared" si="977"/>
        <v/>
      </c>
      <c r="BE1701" s="467" t="str">
        <f t="shared" si="978"/>
        <v/>
      </c>
      <c r="BF1701" s="469" t="str">
        <f t="shared" ca="1" si="979"/>
        <v/>
      </c>
      <c r="BG1701" s="469" t="str">
        <f t="shared" ca="1" si="980"/>
        <v/>
      </c>
      <c r="BH1701" s="467" t="str">
        <f t="shared" si="981"/>
        <v/>
      </c>
      <c r="BI1701" s="467" t="str">
        <f t="shared" ca="1" si="982"/>
        <v/>
      </c>
      <c r="BJ1701" s="469" t="str">
        <f t="shared" si="983"/>
        <v/>
      </c>
      <c r="BK1701" s="470" t="str">
        <f t="shared" si="967"/>
        <v/>
      </c>
      <c r="BL1701" s="775" t="str">
        <f t="shared" si="984"/>
        <v/>
      </c>
      <c r="BM1701" s="775" t="str">
        <f t="shared" si="985"/>
        <v/>
      </c>
    </row>
    <row r="1702" spans="1:65">
      <c r="A1702" s="473">
        <v>1646</v>
      </c>
      <c r="B1702" s="132"/>
      <c r="C1702" s="332"/>
      <c r="D1702" s="333"/>
      <c r="E1702" s="333"/>
      <c r="F1702" s="334"/>
      <c r="G1702" s="337"/>
      <c r="H1702" s="131"/>
      <c r="I1702" s="337"/>
      <c r="J1702" s="131"/>
      <c r="K1702" s="458" t="str">
        <f t="shared" si="948"/>
        <v/>
      </c>
      <c r="L1702" s="458">
        <f t="shared" si="949"/>
        <v>0</v>
      </c>
      <c r="M1702" s="458">
        <f t="shared" si="950"/>
        <v>0</v>
      </c>
      <c r="N1702" s="459" t="str">
        <f t="shared" si="961"/>
        <v/>
      </c>
      <c r="O1702" s="459" t="str">
        <f t="shared" si="962"/>
        <v/>
      </c>
      <c r="P1702" s="459" t="str">
        <f t="shared" si="963"/>
        <v/>
      </c>
      <c r="Q1702" s="459" t="str">
        <f t="shared" si="964"/>
        <v/>
      </c>
      <c r="R1702" s="459" t="str">
        <f t="shared" si="965"/>
        <v/>
      </c>
      <c r="S1702" s="459" t="str">
        <f t="shared" si="966"/>
        <v/>
      </c>
      <c r="T1702" s="566" t="str">
        <f t="shared" si="951"/>
        <v/>
      </c>
      <c r="U1702" s="702"/>
      <c r="V1702" s="132"/>
      <c r="W1702" s="133"/>
      <c r="X1702" s="134"/>
      <c r="Y1702" s="135"/>
      <c r="Z1702" s="137"/>
      <c r="AA1702" s="136"/>
      <c r="AB1702" s="566" t="str">
        <f t="shared" si="952"/>
        <v/>
      </c>
      <c r="AC1702" s="568" t="str">
        <f t="shared" si="953"/>
        <v/>
      </c>
      <c r="AD1702" s="137"/>
      <c r="AE1702" s="137"/>
      <c r="AF1702" s="138"/>
      <c r="AG1702" s="138"/>
      <c r="AH1702" s="592" t="str">
        <f t="shared" si="954"/>
        <v/>
      </c>
      <c r="AI1702" s="592" t="str">
        <f t="shared" si="955"/>
        <v/>
      </c>
      <c r="AJ1702" s="592" t="str">
        <f t="shared" si="956"/>
        <v/>
      </c>
      <c r="AK1702" s="460" t="str">
        <f>IF(AU1702="","",IF(OR(AZ1702=8,AZ1702=9),0,IF(OR(AW1702=3,AW1702=4,AW1702=5,AW1702=6),IF(LEFT(BF1702,1)="1",INDEX(係数_NOX・PM低減,MATCH(AY1702,【参考】排出係数!$AI$801:$AI$804,1),1),VLOOKUP(AU1702,INDEX((係数_バス貨物_ガソリン,係数_バス貨物_CNG,係数_バス貨物_軽油,係数_バス貨物_メタノール,係数_バス貨物_LPG),MATCH(AY1702,【参考】排出係数!$AI$4:$AI$671,1),1,BE1702):INDEX((係数_バス貨物_ガソリン,係数_バス貨物_CNG,係数_バス貨物_軽油,係数_バス貨物_メタノール,係数_バス貨物_LPG),MATCH(AY1702+1,【参考】排出係数!$AI$4:$AI$671,1)-1,5,BE1702),4,FALSE)),IF(AND(BE1702=3,LEFT(BF1702,1)="1"),0.48,VLOOKUP(AU1702,INDEX((係数_乗用_ガソリン,係数_乗用_CNG,係数_乗用_軽油,係数_乗用_メタノール,係数_乗用_LPG),1,1,BE1702):INDEX((係数_乗用_ガソリン,係数_乗用_CNG,係数_乗用_軽油,係数_乗用_メタノール,係数_乗用_LPG),125,5,BE1702),4,FALSE)))))</f>
        <v/>
      </c>
      <c r="AL1702" s="461" t="str">
        <f t="shared" si="957"/>
        <v/>
      </c>
      <c r="AM1702" s="460" t="str">
        <f>IF(AU1702="","",IF(OR(AZ1702=8,AZ1702=9),0,IF(OR(AW1702=3,AW1702=4,AW1702=5,AW1702=6),IF(LEFT(BH1702,1)="1",INDEX(係数_PM低減,MATCH(AY1702,【参考】排出係数!$AI$801:$AI$804,1),MATCH(BI1702,【参考】排出係数!$AL$798:$AO$798,1)),VLOOKUP(AU1702,INDEX((係数_バス貨物_ガソリン,係数_バス貨物_CNG,係数_バス貨物_軽油,係数_バス貨物_メタノール,係数_バス貨物_LPG),MATCH(AY1702,【参考】排出係数!$AI$4:$AI$671,1),1,BE1702):INDEX((係数_バス貨物_ガソリン,係数_バス貨物_CNG,係数_バス貨物_軽油,係数_バス貨物_メタノール,係数_バス貨物_LPG),MATCH(AY1702+1,【参考】排出係数!$AI$4:$AI$671,1)-1,5,BE1702),5,FALSE)),IF(AND(BE1702=3,LEFT(BF1702,1)="1"),0.055,VLOOKUP(AU1702,INDEX((係数_乗用_ガソリン,係数_乗用_CNG,係数_乗用_軽油,係数_乗用_メタノール,係数_乗用_LPG),1,1,BE1702):INDEX((係数_乗用_ガソリン,係数_乗用_CNG,係数_乗用_軽油,係数_乗用_メタノール,係数_乗用_LPG),125,5,BE1702),5,FALSE)))))</f>
        <v/>
      </c>
      <c r="AN1702" s="461" t="str">
        <f t="shared" si="958"/>
        <v/>
      </c>
      <c r="AO1702" s="462" t="str">
        <f t="shared" si="959"/>
        <v/>
      </c>
      <c r="AP1702" s="463" t="str">
        <f t="shared" si="960"/>
        <v/>
      </c>
      <c r="AQ1702" s="464"/>
      <c r="AR1702" s="619"/>
      <c r="AS1702" s="465" t="str">
        <f t="shared" si="968"/>
        <v/>
      </c>
      <c r="AT1702" s="465" t="str">
        <f t="shared" si="969"/>
        <v/>
      </c>
      <c r="AU1702" s="466" t="str">
        <f t="shared" si="970"/>
        <v/>
      </c>
      <c r="AV1702" s="467" t="str">
        <f t="shared" si="971"/>
        <v/>
      </c>
      <c r="AW1702" s="467" t="str">
        <f t="shared" si="972"/>
        <v/>
      </c>
      <c r="AX1702" s="467" t="str">
        <f t="shared" si="973"/>
        <v/>
      </c>
      <c r="AY1702" s="467" t="str">
        <f t="shared" si="974"/>
        <v/>
      </c>
      <c r="AZ1702" s="467" t="str">
        <f t="shared" si="975"/>
        <v/>
      </c>
      <c r="BA1702" s="468" t="str">
        <f>IF(AS1702="","",IF(OR(AU1702="",AU1702="-"),"－",IF(OR(AZ1702=8,AZ1702=9),"",IF(OR(AW1702=3,AW1702=4,AW1702=5,AW1702=6),VLOOKUP(AU1702,INDEX((係数_バス貨物_ガソリン,係数_バス貨物_CNG,係数_バス貨物_軽油,係数_バス貨物_メタノール,係数_バス貨物_LPG),MATCH(AY1702,【参考】排出係数!$AI$4:$AI$671,1),1,BE1702):INDEX((係数_バス貨物_ガソリン,係数_バス貨物_CNG,係数_バス貨物_軽油,係数_バス貨物_メタノール,係数_バス貨物_LPG),MATCH(AY1702+1,【参考】排出係数!$AI$4:$AI$671,1)-1,5,BE1702),2,FALSE),IF(OR(AW1702=1,AW1702=2),VLOOKUP(AU1702,INDEX((係数_乗用_ガソリン,係数_乗用_CNG,係数_乗用_軽油,係数_乗用_メタノール,係数_乗用_LPG),1,1,BE1702):INDEX((係数_乗用_ガソリン,係数_乗用_CNG,係数_乗用_軽油,係数_乗用_メタノール,係数_乗用_LPG),125,5,BE1702),2,FALSE))))))</f>
        <v/>
      </c>
      <c r="BB1702" s="468" t="str">
        <f>IF(T1702="","",IF(OR(AU1702="",AU1702="-"),"－",IF(OR(AZ1702=8,AZ1702=9),"",IF(OR(AW1702=3,AW1702=4,AW1702=5,AW1702=6),VLOOKUP(AU1702,INDEX((係数_バス貨物_ガソリン,係数_バス貨物_CNG,係数_バス貨物_軽油,係数_バス貨物_メタノール,係数_バス貨物_LPG),MATCH(AY1702,【参考】排出係数!$AI$4:$AI$671,1),1,BE1702):INDEX((係数_バス貨物_ガソリン,係数_バス貨物_CNG,係数_バス貨物_軽油,係数_バス貨物_メタノール,係数_バス貨物_LPG),MATCH(AY1702+1,【参考】排出係数!$AI$4:$AI$671,1)-1,5,BE1702),3,FALSE),IF(OR(AW1702=1,AW1702=2),VLOOKUP(AU1702,INDEX((係数_乗用_ガソリン,係数_乗用_CNG,係数_乗用_軽油,係数_乗用_メタノール,係数_乗用_LPG),1,1,BE1702):INDEX((係数_乗用_ガソリン,係数_乗用_CNG,係数_乗用_軽油,係数_乗用_メタノール,係数_乗用_LPG),125,5,BE1702),3,FALSE))))))</f>
        <v/>
      </c>
      <c r="BC1702" s="467" t="str">
        <f t="shared" si="976"/>
        <v/>
      </c>
      <c r="BD1702" s="567" t="str">
        <f t="shared" si="977"/>
        <v/>
      </c>
      <c r="BE1702" s="467" t="str">
        <f t="shared" si="978"/>
        <v/>
      </c>
      <c r="BF1702" s="469" t="str">
        <f t="shared" ca="1" si="979"/>
        <v/>
      </c>
      <c r="BG1702" s="469" t="str">
        <f t="shared" ca="1" si="980"/>
        <v/>
      </c>
      <c r="BH1702" s="467" t="str">
        <f t="shared" si="981"/>
        <v/>
      </c>
      <c r="BI1702" s="467" t="str">
        <f t="shared" ca="1" si="982"/>
        <v/>
      </c>
      <c r="BJ1702" s="469" t="str">
        <f t="shared" si="983"/>
        <v/>
      </c>
      <c r="BK1702" s="470" t="str">
        <f t="shared" si="967"/>
        <v/>
      </c>
      <c r="BL1702" s="775" t="str">
        <f t="shared" si="984"/>
        <v/>
      </c>
      <c r="BM1702" s="775" t="str">
        <f t="shared" si="985"/>
        <v/>
      </c>
    </row>
    <row r="1703" spans="1:65">
      <c r="A1703" s="473">
        <v>1647</v>
      </c>
      <c r="B1703" s="132"/>
      <c r="C1703" s="332"/>
      <c r="D1703" s="333"/>
      <c r="E1703" s="333"/>
      <c r="F1703" s="334"/>
      <c r="G1703" s="337"/>
      <c r="H1703" s="131"/>
      <c r="I1703" s="337"/>
      <c r="J1703" s="131"/>
      <c r="K1703" s="458" t="str">
        <f t="shared" si="948"/>
        <v/>
      </c>
      <c r="L1703" s="458">
        <f t="shared" si="949"/>
        <v>0</v>
      </c>
      <c r="M1703" s="458">
        <f t="shared" si="950"/>
        <v>0</v>
      </c>
      <c r="N1703" s="459" t="str">
        <f t="shared" si="961"/>
        <v/>
      </c>
      <c r="O1703" s="459" t="str">
        <f t="shared" si="962"/>
        <v/>
      </c>
      <c r="P1703" s="459" t="str">
        <f t="shared" si="963"/>
        <v/>
      </c>
      <c r="Q1703" s="459" t="str">
        <f t="shared" si="964"/>
        <v/>
      </c>
      <c r="R1703" s="459" t="str">
        <f t="shared" si="965"/>
        <v/>
      </c>
      <c r="S1703" s="459" t="str">
        <f t="shared" si="966"/>
        <v/>
      </c>
      <c r="T1703" s="566" t="str">
        <f t="shared" si="951"/>
        <v/>
      </c>
      <c r="U1703" s="702"/>
      <c r="V1703" s="132"/>
      <c r="W1703" s="133"/>
      <c r="X1703" s="134"/>
      <c r="Y1703" s="135"/>
      <c r="Z1703" s="137"/>
      <c r="AA1703" s="136"/>
      <c r="AB1703" s="566" t="str">
        <f t="shared" si="952"/>
        <v/>
      </c>
      <c r="AC1703" s="568" t="str">
        <f t="shared" si="953"/>
        <v/>
      </c>
      <c r="AD1703" s="137"/>
      <c r="AE1703" s="137"/>
      <c r="AF1703" s="138"/>
      <c r="AG1703" s="138"/>
      <c r="AH1703" s="592" t="str">
        <f t="shared" si="954"/>
        <v/>
      </c>
      <c r="AI1703" s="592" t="str">
        <f t="shared" si="955"/>
        <v/>
      </c>
      <c r="AJ1703" s="592" t="str">
        <f t="shared" si="956"/>
        <v/>
      </c>
      <c r="AK1703" s="460" t="str">
        <f>IF(AU1703="","",IF(OR(AZ1703=8,AZ1703=9),0,IF(OR(AW1703=3,AW1703=4,AW1703=5,AW1703=6),IF(LEFT(BF1703,1)="1",INDEX(係数_NOX・PM低減,MATCH(AY1703,【参考】排出係数!$AI$801:$AI$804,1),1),VLOOKUP(AU1703,INDEX((係数_バス貨物_ガソリン,係数_バス貨物_CNG,係数_バス貨物_軽油,係数_バス貨物_メタノール,係数_バス貨物_LPG),MATCH(AY1703,【参考】排出係数!$AI$4:$AI$671,1),1,BE1703):INDEX((係数_バス貨物_ガソリン,係数_バス貨物_CNG,係数_バス貨物_軽油,係数_バス貨物_メタノール,係数_バス貨物_LPG),MATCH(AY1703+1,【参考】排出係数!$AI$4:$AI$671,1)-1,5,BE1703),4,FALSE)),IF(AND(BE1703=3,LEFT(BF1703,1)="1"),0.48,VLOOKUP(AU1703,INDEX((係数_乗用_ガソリン,係数_乗用_CNG,係数_乗用_軽油,係数_乗用_メタノール,係数_乗用_LPG),1,1,BE1703):INDEX((係数_乗用_ガソリン,係数_乗用_CNG,係数_乗用_軽油,係数_乗用_メタノール,係数_乗用_LPG),125,5,BE1703),4,FALSE)))))</f>
        <v/>
      </c>
      <c r="AL1703" s="461" t="str">
        <f t="shared" si="957"/>
        <v/>
      </c>
      <c r="AM1703" s="460" t="str">
        <f>IF(AU1703="","",IF(OR(AZ1703=8,AZ1703=9),0,IF(OR(AW1703=3,AW1703=4,AW1703=5,AW1703=6),IF(LEFT(BH1703,1)="1",INDEX(係数_PM低減,MATCH(AY1703,【参考】排出係数!$AI$801:$AI$804,1),MATCH(BI1703,【参考】排出係数!$AL$798:$AO$798,1)),VLOOKUP(AU1703,INDEX((係数_バス貨物_ガソリン,係数_バス貨物_CNG,係数_バス貨物_軽油,係数_バス貨物_メタノール,係数_バス貨物_LPG),MATCH(AY1703,【参考】排出係数!$AI$4:$AI$671,1),1,BE1703):INDEX((係数_バス貨物_ガソリン,係数_バス貨物_CNG,係数_バス貨物_軽油,係数_バス貨物_メタノール,係数_バス貨物_LPG),MATCH(AY1703+1,【参考】排出係数!$AI$4:$AI$671,1)-1,5,BE1703),5,FALSE)),IF(AND(BE1703=3,LEFT(BF1703,1)="1"),0.055,VLOOKUP(AU1703,INDEX((係数_乗用_ガソリン,係数_乗用_CNG,係数_乗用_軽油,係数_乗用_メタノール,係数_乗用_LPG),1,1,BE1703):INDEX((係数_乗用_ガソリン,係数_乗用_CNG,係数_乗用_軽油,係数_乗用_メタノール,係数_乗用_LPG),125,5,BE1703),5,FALSE)))))</f>
        <v/>
      </c>
      <c r="AN1703" s="461" t="str">
        <f t="shared" si="958"/>
        <v/>
      </c>
      <c r="AO1703" s="462" t="str">
        <f t="shared" si="959"/>
        <v/>
      </c>
      <c r="AP1703" s="463" t="str">
        <f t="shared" si="960"/>
        <v/>
      </c>
      <c r="AQ1703" s="464"/>
      <c r="AR1703" s="619"/>
      <c r="AS1703" s="465" t="str">
        <f t="shared" si="968"/>
        <v/>
      </c>
      <c r="AT1703" s="465" t="str">
        <f t="shared" si="969"/>
        <v/>
      </c>
      <c r="AU1703" s="466" t="str">
        <f t="shared" si="970"/>
        <v/>
      </c>
      <c r="AV1703" s="467" t="str">
        <f t="shared" si="971"/>
        <v/>
      </c>
      <c r="AW1703" s="467" t="str">
        <f t="shared" si="972"/>
        <v/>
      </c>
      <c r="AX1703" s="467" t="str">
        <f t="shared" si="973"/>
        <v/>
      </c>
      <c r="AY1703" s="467" t="str">
        <f t="shared" si="974"/>
        <v/>
      </c>
      <c r="AZ1703" s="467" t="str">
        <f t="shared" si="975"/>
        <v/>
      </c>
      <c r="BA1703" s="468" t="str">
        <f>IF(AS1703="","",IF(OR(AU1703="",AU1703="-"),"－",IF(OR(AZ1703=8,AZ1703=9),"",IF(OR(AW1703=3,AW1703=4,AW1703=5,AW1703=6),VLOOKUP(AU1703,INDEX((係数_バス貨物_ガソリン,係数_バス貨物_CNG,係数_バス貨物_軽油,係数_バス貨物_メタノール,係数_バス貨物_LPG),MATCH(AY1703,【参考】排出係数!$AI$4:$AI$671,1),1,BE1703):INDEX((係数_バス貨物_ガソリン,係数_バス貨物_CNG,係数_バス貨物_軽油,係数_バス貨物_メタノール,係数_バス貨物_LPG),MATCH(AY1703+1,【参考】排出係数!$AI$4:$AI$671,1)-1,5,BE1703),2,FALSE),IF(OR(AW1703=1,AW1703=2),VLOOKUP(AU1703,INDEX((係数_乗用_ガソリン,係数_乗用_CNG,係数_乗用_軽油,係数_乗用_メタノール,係数_乗用_LPG),1,1,BE1703):INDEX((係数_乗用_ガソリン,係数_乗用_CNG,係数_乗用_軽油,係数_乗用_メタノール,係数_乗用_LPG),125,5,BE1703),2,FALSE))))))</f>
        <v/>
      </c>
      <c r="BB1703" s="468" t="str">
        <f>IF(T1703="","",IF(OR(AU1703="",AU1703="-"),"－",IF(OR(AZ1703=8,AZ1703=9),"",IF(OR(AW1703=3,AW1703=4,AW1703=5,AW1703=6),VLOOKUP(AU1703,INDEX((係数_バス貨物_ガソリン,係数_バス貨物_CNG,係数_バス貨物_軽油,係数_バス貨物_メタノール,係数_バス貨物_LPG),MATCH(AY1703,【参考】排出係数!$AI$4:$AI$671,1),1,BE1703):INDEX((係数_バス貨物_ガソリン,係数_バス貨物_CNG,係数_バス貨物_軽油,係数_バス貨物_メタノール,係数_バス貨物_LPG),MATCH(AY1703+1,【参考】排出係数!$AI$4:$AI$671,1)-1,5,BE1703),3,FALSE),IF(OR(AW1703=1,AW1703=2),VLOOKUP(AU1703,INDEX((係数_乗用_ガソリン,係数_乗用_CNG,係数_乗用_軽油,係数_乗用_メタノール,係数_乗用_LPG),1,1,BE1703):INDEX((係数_乗用_ガソリン,係数_乗用_CNG,係数_乗用_軽油,係数_乗用_メタノール,係数_乗用_LPG),125,5,BE1703),3,FALSE))))))</f>
        <v/>
      </c>
      <c r="BC1703" s="467" t="str">
        <f t="shared" si="976"/>
        <v/>
      </c>
      <c r="BD1703" s="567" t="str">
        <f t="shared" si="977"/>
        <v/>
      </c>
      <c r="BE1703" s="467" t="str">
        <f t="shared" si="978"/>
        <v/>
      </c>
      <c r="BF1703" s="469" t="str">
        <f t="shared" ca="1" si="979"/>
        <v/>
      </c>
      <c r="BG1703" s="469" t="str">
        <f t="shared" ca="1" si="980"/>
        <v/>
      </c>
      <c r="BH1703" s="467" t="str">
        <f t="shared" si="981"/>
        <v/>
      </c>
      <c r="BI1703" s="467" t="str">
        <f t="shared" ca="1" si="982"/>
        <v/>
      </c>
      <c r="BJ1703" s="469" t="str">
        <f t="shared" si="983"/>
        <v/>
      </c>
      <c r="BK1703" s="470" t="str">
        <f t="shared" si="967"/>
        <v/>
      </c>
      <c r="BL1703" s="775" t="str">
        <f t="shared" si="984"/>
        <v/>
      </c>
      <c r="BM1703" s="775" t="str">
        <f t="shared" si="985"/>
        <v/>
      </c>
    </row>
    <row r="1704" spans="1:65">
      <c r="A1704" s="473">
        <v>1648</v>
      </c>
      <c r="B1704" s="132"/>
      <c r="C1704" s="332"/>
      <c r="D1704" s="333"/>
      <c r="E1704" s="333"/>
      <c r="F1704" s="334"/>
      <c r="G1704" s="337"/>
      <c r="H1704" s="131"/>
      <c r="I1704" s="337"/>
      <c r="J1704" s="131"/>
      <c r="K1704" s="458" t="str">
        <f t="shared" si="948"/>
        <v/>
      </c>
      <c r="L1704" s="458">
        <f t="shared" si="949"/>
        <v>0</v>
      </c>
      <c r="M1704" s="458">
        <f t="shared" si="950"/>
        <v>0</v>
      </c>
      <c r="N1704" s="459" t="str">
        <f t="shared" si="961"/>
        <v/>
      </c>
      <c r="O1704" s="459" t="str">
        <f t="shared" si="962"/>
        <v/>
      </c>
      <c r="P1704" s="459" t="str">
        <f t="shared" si="963"/>
        <v/>
      </c>
      <c r="Q1704" s="459" t="str">
        <f t="shared" si="964"/>
        <v/>
      </c>
      <c r="R1704" s="459" t="str">
        <f t="shared" si="965"/>
        <v/>
      </c>
      <c r="S1704" s="459" t="str">
        <f t="shared" si="966"/>
        <v/>
      </c>
      <c r="T1704" s="566" t="str">
        <f t="shared" si="951"/>
        <v/>
      </c>
      <c r="U1704" s="702"/>
      <c r="V1704" s="132"/>
      <c r="W1704" s="133"/>
      <c r="X1704" s="134"/>
      <c r="Y1704" s="135"/>
      <c r="Z1704" s="137"/>
      <c r="AA1704" s="136"/>
      <c r="AB1704" s="566" t="str">
        <f t="shared" si="952"/>
        <v/>
      </c>
      <c r="AC1704" s="568" t="str">
        <f t="shared" si="953"/>
        <v/>
      </c>
      <c r="AD1704" s="137"/>
      <c r="AE1704" s="137"/>
      <c r="AF1704" s="138"/>
      <c r="AG1704" s="138"/>
      <c r="AH1704" s="592" t="str">
        <f t="shared" si="954"/>
        <v/>
      </c>
      <c r="AI1704" s="592" t="str">
        <f t="shared" si="955"/>
        <v/>
      </c>
      <c r="AJ1704" s="592" t="str">
        <f t="shared" si="956"/>
        <v/>
      </c>
      <c r="AK1704" s="460" t="str">
        <f>IF(AU1704="","",IF(OR(AZ1704=8,AZ1704=9),0,IF(OR(AW1704=3,AW1704=4,AW1704=5,AW1704=6),IF(LEFT(BF1704,1)="1",INDEX(係数_NOX・PM低減,MATCH(AY1704,【参考】排出係数!$AI$801:$AI$804,1),1),VLOOKUP(AU1704,INDEX((係数_バス貨物_ガソリン,係数_バス貨物_CNG,係数_バス貨物_軽油,係数_バス貨物_メタノール,係数_バス貨物_LPG),MATCH(AY1704,【参考】排出係数!$AI$4:$AI$671,1),1,BE1704):INDEX((係数_バス貨物_ガソリン,係数_バス貨物_CNG,係数_バス貨物_軽油,係数_バス貨物_メタノール,係数_バス貨物_LPG),MATCH(AY1704+1,【参考】排出係数!$AI$4:$AI$671,1)-1,5,BE1704),4,FALSE)),IF(AND(BE1704=3,LEFT(BF1704,1)="1"),0.48,VLOOKUP(AU1704,INDEX((係数_乗用_ガソリン,係数_乗用_CNG,係数_乗用_軽油,係数_乗用_メタノール,係数_乗用_LPG),1,1,BE1704):INDEX((係数_乗用_ガソリン,係数_乗用_CNG,係数_乗用_軽油,係数_乗用_メタノール,係数_乗用_LPG),125,5,BE1704),4,FALSE)))))</f>
        <v/>
      </c>
      <c r="AL1704" s="461" t="str">
        <f t="shared" si="957"/>
        <v/>
      </c>
      <c r="AM1704" s="460" t="str">
        <f>IF(AU1704="","",IF(OR(AZ1704=8,AZ1704=9),0,IF(OR(AW1704=3,AW1704=4,AW1704=5,AW1704=6),IF(LEFT(BH1704,1)="1",INDEX(係数_PM低減,MATCH(AY1704,【参考】排出係数!$AI$801:$AI$804,1),MATCH(BI1704,【参考】排出係数!$AL$798:$AO$798,1)),VLOOKUP(AU1704,INDEX((係数_バス貨物_ガソリン,係数_バス貨物_CNG,係数_バス貨物_軽油,係数_バス貨物_メタノール,係数_バス貨物_LPG),MATCH(AY1704,【参考】排出係数!$AI$4:$AI$671,1),1,BE1704):INDEX((係数_バス貨物_ガソリン,係数_バス貨物_CNG,係数_バス貨物_軽油,係数_バス貨物_メタノール,係数_バス貨物_LPG),MATCH(AY1704+1,【参考】排出係数!$AI$4:$AI$671,1)-1,5,BE1704),5,FALSE)),IF(AND(BE1704=3,LEFT(BF1704,1)="1"),0.055,VLOOKUP(AU1704,INDEX((係数_乗用_ガソリン,係数_乗用_CNG,係数_乗用_軽油,係数_乗用_メタノール,係数_乗用_LPG),1,1,BE1704):INDEX((係数_乗用_ガソリン,係数_乗用_CNG,係数_乗用_軽油,係数_乗用_メタノール,係数_乗用_LPG),125,5,BE1704),5,FALSE)))))</f>
        <v/>
      </c>
      <c r="AN1704" s="461" t="str">
        <f t="shared" si="958"/>
        <v/>
      </c>
      <c r="AO1704" s="462" t="str">
        <f t="shared" si="959"/>
        <v/>
      </c>
      <c r="AP1704" s="463" t="str">
        <f t="shared" si="960"/>
        <v/>
      </c>
      <c r="AQ1704" s="464"/>
      <c r="AR1704" s="619"/>
      <c r="AS1704" s="465" t="str">
        <f t="shared" si="968"/>
        <v/>
      </c>
      <c r="AT1704" s="465" t="str">
        <f t="shared" si="969"/>
        <v/>
      </c>
      <c r="AU1704" s="466" t="str">
        <f t="shared" si="970"/>
        <v/>
      </c>
      <c r="AV1704" s="467" t="str">
        <f t="shared" si="971"/>
        <v/>
      </c>
      <c r="AW1704" s="467" t="str">
        <f t="shared" si="972"/>
        <v/>
      </c>
      <c r="AX1704" s="467" t="str">
        <f t="shared" si="973"/>
        <v/>
      </c>
      <c r="AY1704" s="467" t="str">
        <f t="shared" si="974"/>
        <v/>
      </c>
      <c r="AZ1704" s="467" t="str">
        <f t="shared" si="975"/>
        <v/>
      </c>
      <c r="BA1704" s="468" t="str">
        <f>IF(AS1704="","",IF(OR(AU1704="",AU1704="-"),"－",IF(OR(AZ1704=8,AZ1704=9),"",IF(OR(AW1704=3,AW1704=4,AW1704=5,AW1704=6),VLOOKUP(AU1704,INDEX((係数_バス貨物_ガソリン,係数_バス貨物_CNG,係数_バス貨物_軽油,係数_バス貨物_メタノール,係数_バス貨物_LPG),MATCH(AY1704,【参考】排出係数!$AI$4:$AI$671,1),1,BE1704):INDEX((係数_バス貨物_ガソリン,係数_バス貨物_CNG,係数_バス貨物_軽油,係数_バス貨物_メタノール,係数_バス貨物_LPG),MATCH(AY1704+1,【参考】排出係数!$AI$4:$AI$671,1)-1,5,BE1704),2,FALSE),IF(OR(AW1704=1,AW1704=2),VLOOKUP(AU1704,INDEX((係数_乗用_ガソリン,係数_乗用_CNG,係数_乗用_軽油,係数_乗用_メタノール,係数_乗用_LPG),1,1,BE1704):INDEX((係数_乗用_ガソリン,係数_乗用_CNG,係数_乗用_軽油,係数_乗用_メタノール,係数_乗用_LPG),125,5,BE1704),2,FALSE))))))</f>
        <v/>
      </c>
      <c r="BB1704" s="468" t="str">
        <f>IF(T1704="","",IF(OR(AU1704="",AU1704="-"),"－",IF(OR(AZ1704=8,AZ1704=9),"",IF(OR(AW1704=3,AW1704=4,AW1704=5,AW1704=6),VLOOKUP(AU1704,INDEX((係数_バス貨物_ガソリン,係数_バス貨物_CNG,係数_バス貨物_軽油,係数_バス貨物_メタノール,係数_バス貨物_LPG),MATCH(AY1704,【参考】排出係数!$AI$4:$AI$671,1),1,BE1704):INDEX((係数_バス貨物_ガソリン,係数_バス貨物_CNG,係数_バス貨物_軽油,係数_バス貨物_メタノール,係数_バス貨物_LPG),MATCH(AY1704+1,【参考】排出係数!$AI$4:$AI$671,1)-1,5,BE1704),3,FALSE),IF(OR(AW1704=1,AW1704=2),VLOOKUP(AU1704,INDEX((係数_乗用_ガソリン,係数_乗用_CNG,係数_乗用_軽油,係数_乗用_メタノール,係数_乗用_LPG),1,1,BE1704):INDEX((係数_乗用_ガソリン,係数_乗用_CNG,係数_乗用_軽油,係数_乗用_メタノール,係数_乗用_LPG),125,5,BE1704),3,FALSE))))))</f>
        <v/>
      </c>
      <c r="BC1704" s="467" t="str">
        <f t="shared" si="976"/>
        <v/>
      </c>
      <c r="BD1704" s="567" t="str">
        <f t="shared" si="977"/>
        <v/>
      </c>
      <c r="BE1704" s="467" t="str">
        <f t="shared" si="978"/>
        <v/>
      </c>
      <c r="BF1704" s="469" t="str">
        <f t="shared" ca="1" si="979"/>
        <v/>
      </c>
      <c r="BG1704" s="469" t="str">
        <f t="shared" ca="1" si="980"/>
        <v/>
      </c>
      <c r="BH1704" s="467" t="str">
        <f t="shared" si="981"/>
        <v/>
      </c>
      <c r="BI1704" s="467" t="str">
        <f t="shared" ca="1" si="982"/>
        <v/>
      </c>
      <c r="BJ1704" s="469" t="str">
        <f t="shared" si="983"/>
        <v/>
      </c>
      <c r="BK1704" s="470" t="str">
        <f t="shared" si="967"/>
        <v/>
      </c>
      <c r="BL1704" s="775" t="str">
        <f t="shared" si="984"/>
        <v/>
      </c>
      <c r="BM1704" s="775" t="str">
        <f t="shared" si="985"/>
        <v/>
      </c>
    </row>
    <row r="1705" spans="1:65">
      <c r="A1705" s="473">
        <v>1649</v>
      </c>
      <c r="B1705" s="132"/>
      <c r="C1705" s="332"/>
      <c r="D1705" s="333"/>
      <c r="E1705" s="333"/>
      <c r="F1705" s="334"/>
      <c r="G1705" s="337"/>
      <c r="H1705" s="131"/>
      <c r="I1705" s="337"/>
      <c r="J1705" s="131"/>
      <c r="K1705" s="458" t="str">
        <f t="shared" si="948"/>
        <v/>
      </c>
      <c r="L1705" s="458">
        <f t="shared" si="949"/>
        <v>0</v>
      </c>
      <c r="M1705" s="458">
        <f t="shared" si="950"/>
        <v>0</v>
      </c>
      <c r="N1705" s="459" t="str">
        <f t="shared" si="961"/>
        <v/>
      </c>
      <c r="O1705" s="459" t="str">
        <f t="shared" si="962"/>
        <v/>
      </c>
      <c r="P1705" s="459" t="str">
        <f t="shared" si="963"/>
        <v/>
      </c>
      <c r="Q1705" s="459" t="str">
        <f t="shared" si="964"/>
        <v/>
      </c>
      <c r="R1705" s="459" t="str">
        <f t="shared" si="965"/>
        <v/>
      </c>
      <c r="S1705" s="459" t="str">
        <f t="shared" si="966"/>
        <v/>
      </c>
      <c r="T1705" s="566" t="str">
        <f t="shared" si="951"/>
        <v/>
      </c>
      <c r="U1705" s="702"/>
      <c r="V1705" s="132"/>
      <c r="W1705" s="133"/>
      <c r="X1705" s="134"/>
      <c r="Y1705" s="135"/>
      <c r="Z1705" s="137"/>
      <c r="AA1705" s="136"/>
      <c r="AB1705" s="566" t="str">
        <f t="shared" si="952"/>
        <v/>
      </c>
      <c r="AC1705" s="568" t="str">
        <f t="shared" si="953"/>
        <v/>
      </c>
      <c r="AD1705" s="137"/>
      <c r="AE1705" s="137"/>
      <c r="AF1705" s="138"/>
      <c r="AG1705" s="138"/>
      <c r="AH1705" s="592" t="str">
        <f t="shared" si="954"/>
        <v/>
      </c>
      <c r="AI1705" s="592" t="str">
        <f t="shared" si="955"/>
        <v/>
      </c>
      <c r="AJ1705" s="592" t="str">
        <f t="shared" si="956"/>
        <v/>
      </c>
      <c r="AK1705" s="460" t="str">
        <f>IF(AU1705="","",IF(OR(AZ1705=8,AZ1705=9),0,IF(OR(AW1705=3,AW1705=4,AW1705=5,AW1705=6),IF(LEFT(BF1705,1)="1",INDEX(係数_NOX・PM低減,MATCH(AY1705,【参考】排出係数!$AI$801:$AI$804,1),1),VLOOKUP(AU1705,INDEX((係数_バス貨物_ガソリン,係数_バス貨物_CNG,係数_バス貨物_軽油,係数_バス貨物_メタノール,係数_バス貨物_LPG),MATCH(AY1705,【参考】排出係数!$AI$4:$AI$671,1),1,BE1705):INDEX((係数_バス貨物_ガソリン,係数_バス貨物_CNG,係数_バス貨物_軽油,係数_バス貨物_メタノール,係数_バス貨物_LPG),MATCH(AY1705+1,【参考】排出係数!$AI$4:$AI$671,1)-1,5,BE1705),4,FALSE)),IF(AND(BE1705=3,LEFT(BF1705,1)="1"),0.48,VLOOKUP(AU1705,INDEX((係数_乗用_ガソリン,係数_乗用_CNG,係数_乗用_軽油,係数_乗用_メタノール,係数_乗用_LPG),1,1,BE1705):INDEX((係数_乗用_ガソリン,係数_乗用_CNG,係数_乗用_軽油,係数_乗用_メタノール,係数_乗用_LPG),125,5,BE1705),4,FALSE)))))</f>
        <v/>
      </c>
      <c r="AL1705" s="461" t="str">
        <f t="shared" si="957"/>
        <v/>
      </c>
      <c r="AM1705" s="460" t="str">
        <f>IF(AU1705="","",IF(OR(AZ1705=8,AZ1705=9),0,IF(OR(AW1705=3,AW1705=4,AW1705=5,AW1705=6),IF(LEFT(BH1705,1)="1",INDEX(係数_PM低減,MATCH(AY1705,【参考】排出係数!$AI$801:$AI$804,1),MATCH(BI1705,【参考】排出係数!$AL$798:$AO$798,1)),VLOOKUP(AU1705,INDEX((係数_バス貨物_ガソリン,係数_バス貨物_CNG,係数_バス貨物_軽油,係数_バス貨物_メタノール,係数_バス貨物_LPG),MATCH(AY1705,【参考】排出係数!$AI$4:$AI$671,1),1,BE1705):INDEX((係数_バス貨物_ガソリン,係数_バス貨物_CNG,係数_バス貨物_軽油,係数_バス貨物_メタノール,係数_バス貨物_LPG),MATCH(AY1705+1,【参考】排出係数!$AI$4:$AI$671,1)-1,5,BE1705),5,FALSE)),IF(AND(BE1705=3,LEFT(BF1705,1)="1"),0.055,VLOOKUP(AU1705,INDEX((係数_乗用_ガソリン,係数_乗用_CNG,係数_乗用_軽油,係数_乗用_メタノール,係数_乗用_LPG),1,1,BE1705):INDEX((係数_乗用_ガソリン,係数_乗用_CNG,係数_乗用_軽油,係数_乗用_メタノール,係数_乗用_LPG),125,5,BE1705),5,FALSE)))))</f>
        <v/>
      </c>
      <c r="AN1705" s="461" t="str">
        <f t="shared" si="958"/>
        <v/>
      </c>
      <c r="AO1705" s="462" t="str">
        <f t="shared" si="959"/>
        <v/>
      </c>
      <c r="AP1705" s="463" t="str">
        <f t="shared" si="960"/>
        <v/>
      </c>
      <c r="AQ1705" s="464"/>
      <c r="AR1705" s="619"/>
      <c r="AS1705" s="465" t="str">
        <f t="shared" si="968"/>
        <v/>
      </c>
      <c r="AT1705" s="465" t="str">
        <f t="shared" si="969"/>
        <v/>
      </c>
      <c r="AU1705" s="466" t="str">
        <f t="shared" si="970"/>
        <v/>
      </c>
      <c r="AV1705" s="467" t="str">
        <f t="shared" si="971"/>
        <v/>
      </c>
      <c r="AW1705" s="467" t="str">
        <f t="shared" si="972"/>
        <v/>
      </c>
      <c r="AX1705" s="467" t="str">
        <f t="shared" si="973"/>
        <v/>
      </c>
      <c r="AY1705" s="467" t="str">
        <f t="shared" si="974"/>
        <v/>
      </c>
      <c r="AZ1705" s="467" t="str">
        <f t="shared" si="975"/>
        <v/>
      </c>
      <c r="BA1705" s="468" t="str">
        <f>IF(AS1705="","",IF(OR(AU1705="",AU1705="-"),"－",IF(OR(AZ1705=8,AZ1705=9),"",IF(OR(AW1705=3,AW1705=4,AW1705=5,AW1705=6),VLOOKUP(AU1705,INDEX((係数_バス貨物_ガソリン,係数_バス貨物_CNG,係数_バス貨物_軽油,係数_バス貨物_メタノール,係数_バス貨物_LPG),MATCH(AY1705,【参考】排出係数!$AI$4:$AI$671,1),1,BE1705):INDEX((係数_バス貨物_ガソリン,係数_バス貨物_CNG,係数_バス貨物_軽油,係数_バス貨物_メタノール,係数_バス貨物_LPG),MATCH(AY1705+1,【参考】排出係数!$AI$4:$AI$671,1)-1,5,BE1705),2,FALSE),IF(OR(AW1705=1,AW1705=2),VLOOKUP(AU1705,INDEX((係数_乗用_ガソリン,係数_乗用_CNG,係数_乗用_軽油,係数_乗用_メタノール,係数_乗用_LPG),1,1,BE1705):INDEX((係数_乗用_ガソリン,係数_乗用_CNG,係数_乗用_軽油,係数_乗用_メタノール,係数_乗用_LPG),125,5,BE1705),2,FALSE))))))</f>
        <v/>
      </c>
      <c r="BB1705" s="468" t="str">
        <f>IF(T1705="","",IF(OR(AU1705="",AU1705="-"),"－",IF(OR(AZ1705=8,AZ1705=9),"",IF(OR(AW1705=3,AW1705=4,AW1705=5,AW1705=6),VLOOKUP(AU1705,INDEX((係数_バス貨物_ガソリン,係数_バス貨物_CNG,係数_バス貨物_軽油,係数_バス貨物_メタノール,係数_バス貨物_LPG),MATCH(AY1705,【参考】排出係数!$AI$4:$AI$671,1),1,BE1705):INDEX((係数_バス貨物_ガソリン,係数_バス貨物_CNG,係数_バス貨物_軽油,係数_バス貨物_メタノール,係数_バス貨物_LPG),MATCH(AY1705+1,【参考】排出係数!$AI$4:$AI$671,1)-1,5,BE1705),3,FALSE),IF(OR(AW1705=1,AW1705=2),VLOOKUP(AU1705,INDEX((係数_乗用_ガソリン,係数_乗用_CNG,係数_乗用_軽油,係数_乗用_メタノール,係数_乗用_LPG),1,1,BE1705):INDEX((係数_乗用_ガソリン,係数_乗用_CNG,係数_乗用_軽油,係数_乗用_メタノール,係数_乗用_LPG),125,5,BE1705),3,FALSE))))))</f>
        <v/>
      </c>
      <c r="BC1705" s="467" t="str">
        <f t="shared" si="976"/>
        <v/>
      </c>
      <c r="BD1705" s="567" t="str">
        <f t="shared" si="977"/>
        <v/>
      </c>
      <c r="BE1705" s="467" t="str">
        <f t="shared" si="978"/>
        <v/>
      </c>
      <c r="BF1705" s="469" t="str">
        <f t="shared" ca="1" si="979"/>
        <v/>
      </c>
      <c r="BG1705" s="469" t="str">
        <f t="shared" ca="1" si="980"/>
        <v/>
      </c>
      <c r="BH1705" s="467" t="str">
        <f t="shared" si="981"/>
        <v/>
      </c>
      <c r="BI1705" s="467" t="str">
        <f t="shared" ca="1" si="982"/>
        <v/>
      </c>
      <c r="BJ1705" s="469" t="str">
        <f t="shared" si="983"/>
        <v/>
      </c>
      <c r="BK1705" s="470" t="str">
        <f t="shared" si="967"/>
        <v/>
      </c>
      <c r="BL1705" s="775" t="str">
        <f t="shared" si="984"/>
        <v/>
      </c>
      <c r="BM1705" s="775" t="str">
        <f t="shared" si="985"/>
        <v/>
      </c>
    </row>
    <row r="1706" spans="1:65">
      <c r="A1706" s="473">
        <v>1650</v>
      </c>
      <c r="B1706" s="132"/>
      <c r="C1706" s="332"/>
      <c r="D1706" s="333"/>
      <c r="E1706" s="333"/>
      <c r="F1706" s="334"/>
      <c r="G1706" s="337"/>
      <c r="H1706" s="131"/>
      <c r="I1706" s="337"/>
      <c r="J1706" s="131"/>
      <c r="K1706" s="458" t="str">
        <f t="shared" si="948"/>
        <v/>
      </c>
      <c r="L1706" s="458">
        <f t="shared" si="949"/>
        <v>0</v>
      </c>
      <c r="M1706" s="458">
        <f t="shared" si="950"/>
        <v>0</v>
      </c>
      <c r="N1706" s="459" t="str">
        <f t="shared" si="961"/>
        <v/>
      </c>
      <c r="O1706" s="459" t="str">
        <f t="shared" si="962"/>
        <v/>
      </c>
      <c r="P1706" s="459" t="str">
        <f t="shared" si="963"/>
        <v/>
      </c>
      <c r="Q1706" s="459" t="str">
        <f t="shared" si="964"/>
        <v/>
      </c>
      <c r="R1706" s="459" t="str">
        <f t="shared" si="965"/>
        <v/>
      </c>
      <c r="S1706" s="459" t="str">
        <f t="shared" si="966"/>
        <v/>
      </c>
      <c r="T1706" s="566" t="str">
        <f t="shared" si="951"/>
        <v/>
      </c>
      <c r="U1706" s="702"/>
      <c r="V1706" s="132"/>
      <c r="W1706" s="133"/>
      <c r="X1706" s="134"/>
      <c r="Y1706" s="135"/>
      <c r="Z1706" s="137"/>
      <c r="AA1706" s="136"/>
      <c r="AB1706" s="566" t="str">
        <f t="shared" si="952"/>
        <v/>
      </c>
      <c r="AC1706" s="568" t="str">
        <f t="shared" si="953"/>
        <v/>
      </c>
      <c r="AD1706" s="137"/>
      <c r="AE1706" s="137"/>
      <c r="AF1706" s="138"/>
      <c r="AG1706" s="138"/>
      <c r="AH1706" s="592" t="str">
        <f t="shared" si="954"/>
        <v/>
      </c>
      <c r="AI1706" s="592" t="str">
        <f t="shared" si="955"/>
        <v/>
      </c>
      <c r="AJ1706" s="592" t="str">
        <f t="shared" si="956"/>
        <v/>
      </c>
      <c r="AK1706" s="460" t="str">
        <f>IF(AU1706="","",IF(OR(AZ1706=8,AZ1706=9),0,IF(OR(AW1706=3,AW1706=4,AW1706=5,AW1706=6),IF(LEFT(BF1706,1)="1",INDEX(係数_NOX・PM低減,MATCH(AY1706,【参考】排出係数!$AI$801:$AI$804,1),1),VLOOKUP(AU1706,INDEX((係数_バス貨物_ガソリン,係数_バス貨物_CNG,係数_バス貨物_軽油,係数_バス貨物_メタノール,係数_バス貨物_LPG),MATCH(AY1706,【参考】排出係数!$AI$4:$AI$671,1),1,BE1706):INDEX((係数_バス貨物_ガソリン,係数_バス貨物_CNG,係数_バス貨物_軽油,係数_バス貨物_メタノール,係数_バス貨物_LPG),MATCH(AY1706+1,【参考】排出係数!$AI$4:$AI$671,1)-1,5,BE1706),4,FALSE)),IF(AND(BE1706=3,LEFT(BF1706,1)="1"),0.48,VLOOKUP(AU1706,INDEX((係数_乗用_ガソリン,係数_乗用_CNG,係数_乗用_軽油,係数_乗用_メタノール,係数_乗用_LPG),1,1,BE1706):INDEX((係数_乗用_ガソリン,係数_乗用_CNG,係数_乗用_軽油,係数_乗用_メタノール,係数_乗用_LPG),125,5,BE1706),4,FALSE)))))</f>
        <v/>
      </c>
      <c r="AL1706" s="461" t="str">
        <f t="shared" si="957"/>
        <v/>
      </c>
      <c r="AM1706" s="460" t="str">
        <f>IF(AU1706="","",IF(OR(AZ1706=8,AZ1706=9),0,IF(OR(AW1706=3,AW1706=4,AW1706=5,AW1706=6),IF(LEFT(BH1706,1)="1",INDEX(係数_PM低減,MATCH(AY1706,【参考】排出係数!$AI$801:$AI$804,1),MATCH(BI1706,【参考】排出係数!$AL$798:$AO$798,1)),VLOOKUP(AU1706,INDEX((係数_バス貨物_ガソリン,係数_バス貨物_CNG,係数_バス貨物_軽油,係数_バス貨物_メタノール,係数_バス貨物_LPG),MATCH(AY1706,【参考】排出係数!$AI$4:$AI$671,1),1,BE1706):INDEX((係数_バス貨物_ガソリン,係数_バス貨物_CNG,係数_バス貨物_軽油,係数_バス貨物_メタノール,係数_バス貨物_LPG),MATCH(AY1706+1,【参考】排出係数!$AI$4:$AI$671,1)-1,5,BE1706),5,FALSE)),IF(AND(BE1706=3,LEFT(BF1706,1)="1"),0.055,VLOOKUP(AU1706,INDEX((係数_乗用_ガソリン,係数_乗用_CNG,係数_乗用_軽油,係数_乗用_メタノール,係数_乗用_LPG),1,1,BE1706):INDEX((係数_乗用_ガソリン,係数_乗用_CNG,係数_乗用_軽油,係数_乗用_メタノール,係数_乗用_LPG),125,5,BE1706),5,FALSE)))))</f>
        <v/>
      </c>
      <c r="AN1706" s="461" t="str">
        <f t="shared" si="958"/>
        <v/>
      </c>
      <c r="AO1706" s="462" t="str">
        <f t="shared" si="959"/>
        <v/>
      </c>
      <c r="AP1706" s="463" t="str">
        <f t="shared" si="960"/>
        <v/>
      </c>
      <c r="AQ1706" s="464"/>
      <c r="AR1706" s="619"/>
      <c r="AS1706" s="465" t="str">
        <f t="shared" si="968"/>
        <v/>
      </c>
      <c r="AT1706" s="465" t="str">
        <f t="shared" si="969"/>
        <v/>
      </c>
      <c r="AU1706" s="466" t="str">
        <f t="shared" si="970"/>
        <v/>
      </c>
      <c r="AV1706" s="467" t="str">
        <f t="shared" si="971"/>
        <v/>
      </c>
      <c r="AW1706" s="467" t="str">
        <f t="shared" si="972"/>
        <v/>
      </c>
      <c r="AX1706" s="467" t="str">
        <f t="shared" si="973"/>
        <v/>
      </c>
      <c r="AY1706" s="467" t="str">
        <f t="shared" si="974"/>
        <v/>
      </c>
      <c r="AZ1706" s="467" t="str">
        <f t="shared" si="975"/>
        <v/>
      </c>
      <c r="BA1706" s="468" t="str">
        <f>IF(AS1706="","",IF(OR(AU1706="",AU1706="-"),"－",IF(OR(AZ1706=8,AZ1706=9),"",IF(OR(AW1706=3,AW1706=4,AW1706=5,AW1706=6),VLOOKUP(AU1706,INDEX((係数_バス貨物_ガソリン,係数_バス貨物_CNG,係数_バス貨物_軽油,係数_バス貨物_メタノール,係数_バス貨物_LPG),MATCH(AY1706,【参考】排出係数!$AI$4:$AI$671,1),1,BE1706):INDEX((係数_バス貨物_ガソリン,係数_バス貨物_CNG,係数_バス貨物_軽油,係数_バス貨物_メタノール,係数_バス貨物_LPG),MATCH(AY1706+1,【参考】排出係数!$AI$4:$AI$671,1)-1,5,BE1706),2,FALSE),IF(OR(AW1706=1,AW1706=2),VLOOKUP(AU1706,INDEX((係数_乗用_ガソリン,係数_乗用_CNG,係数_乗用_軽油,係数_乗用_メタノール,係数_乗用_LPG),1,1,BE1706):INDEX((係数_乗用_ガソリン,係数_乗用_CNG,係数_乗用_軽油,係数_乗用_メタノール,係数_乗用_LPG),125,5,BE1706),2,FALSE))))))</f>
        <v/>
      </c>
      <c r="BB1706" s="468" t="str">
        <f>IF(T1706="","",IF(OR(AU1706="",AU1706="-"),"－",IF(OR(AZ1706=8,AZ1706=9),"",IF(OR(AW1706=3,AW1706=4,AW1706=5,AW1706=6),VLOOKUP(AU1706,INDEX((係数_バス貨物_ガソリン,係数_バス貨物_CNG,係数_バス貨物_軽油,係数_バス貨物_メタノール,係数_バス貨物_LPG),MATCH(AY1706,【参考】排出係数!$AI$4:$AI$671,1),1,BE1706):INDEX((係数_バス貨物_ガソリン,係数_バス貨物_CNG,係数_バス貨物_軽油,係数_バス貨物_メタノール,係数_バス貨物_LPG),MATCH(AY1706+1,【参考】排出係数!$AI$4:$AI$671,1)-1,5,BE1706),3,FALSE),IF(OR(AW1706=1,AW1706=2),VLOOKUP(AU1706,INDEX((係数_乗用_ガソリン,係数_乗用_CNG,係数_乗用_軽油,係数_乗用_メタノール,係数_乗用_LPG),1,1,BE1706):INDEX((係数_乗用_ガソリン,係数_乗用_CNG,係数_乗用_軽油,係数_乗用_メタノール,係数_乗用_LPG),125,5,BE1706),3,FALSE))))))</f>
        <v/>
      </c>
      <c r="BC1706" s="467" t="str">
        <f t="shared" si="976"/>
        <v/>
      </c>
      <c r="BD1706" s="567" t="str">
        <f t="shared" si="977"/>
        <v/>
      </c>
      <c r="BE1706" s="467" t="str">
        <f t="shared" si="978"/>
        <v/>
      </c>
      <c r="BF1706" s="469" t="str">
        <f t="shared" ca="1" si="979"/>
        <v/>
      </c>
      <c r="BG1706" s="469" t="str">
        <f t="shared" ca="1" si="980"/>
        <v/>
      </c>
      <c r="BH1706" s="467" t="str">
        <f t="shared" si="981"/>
        <v/>
      </c>
      <c r="BI1706" s="467" t="str">
        <f t="shared" ca="1" si="982"/>
        <v/>
      </c>
      <c r="BJ1706" s="469" t="str">
        <f t="shared" si="983"/>
        <v/>
      </c>
      <c r="BK1706" s="470" t="str">
        <f t="shared" si="967"/>
        <v/>
      </c>
      <c r="BL1706" s="775" t="str">
        <f t="shared" si="984"/>
        <v/>
      </c>
      <c r="BM1706" s="775" t="str">
        <f t="shared" si="985"/>
        <v/>
      </c>
    </row>
    <row r="1707" spans="1:65">
      <c r="A1707" s="473">
        <v>1651</v>
      </c>
      <c r="B1707" s="132"/>
      <c r="C1707" s="332"/>
      <c r="D1707" s="333"/>
      <c r="E1707" s="333"/>
      <c r="F1707" s="334"/>
      <c r="G1707" s="337"/>
      <c r="H1707" s="131"/>
      <c r="I1707" s="337"/>
      <c r="J1707" s="131"/>
      <c r="K1707" s="458" t="str">
        <f t="shared" si="948"/>
        <v/>
      </c>
      <c r="L1707" s="458">
        <f t="shared" si="949"/>
        <v>0</v>
      </c>
      <c r="M1707" s="458">
        <f t="shared" si="950"/>
        <v>0</v>
      </c>
      <c r="N1707" s="459" t="str">
        <f t="shared" si="961"/>
        <v/>
      </c>
      <c r="O1707" s="459" t="str">
        <f t="shared" si="962"/>
        <v/>
      </c>
      <c r="P1707" s="459" t="str">
        <f t="shared" si="963"/>
        <v/>
      </c>
      <c r="Q1707" s="459" t="str">
        <f t="shared" si="964"/>
        <v/>
      </c>
      <c r="R1707" s="459" t="str">
        <f t="shared" si="965"/>
        <v/>
      </c>
      <c r="S1707" s="459" t="str">
        <f t="shared" si="966"/>
        <v/>
      </c>
      <c r="T1707" s="566" t="str">
        <f t="shared" si="951"/>
        <v/>
      </c>
      <c r="U1707" s="702"/>
      <c r="V1707" s="132"/>
      <c r="W1707" s="133"/>
      <c r="X1707" s="134"/>
      <c r="Y1707" s="135"/>
      <c r="Z1707" s="137"/>
      <c r="AA1707" s="136"/>
      <c r="AB1707" s="566" t="str">
        <f t="shared" si="952"/>
        <v/>
      </c>
      <c r="AC1707" s="568" t="str">
        <f t="shared" si="953"/>
        <v/>
      </c>
      <c r="AD1707" s="137"/>
      <c r="AE1707" s="137"/>
      <c r="AF1707" s="138"/>
      <c r="AG1707" s="138"/>
      <c r="AH1707" s="592" t="str">
        <f t="shared" si="954"/>
        <v/>
      </c>
      <c r="AI1707" s="592" t="str">
        <f t="shared" si="955"/>
        <v/>
      </c>
      <c r="AJ1707" s="592" t="str">
        <f t="shared" si="956"/>
        <v/>
      </c>
      <c r="AK1707" s="460" t="str">
        <f>IF(AU1707="","",IF(OR(AZ1707=8,AZ1707=9),0,IF(OR(AW1707=3,AW1707=4,AW1707=5,AW1707=6),IF(LEFT(BF1707,1)="1",INDEX(係数_NOX・PM低減,MATCH(AY1707,【参考】排出係数!$AI$801:$AI$804,1),1),VLOOKUP(AU1707,INDEX((係数_バス貨物_ガソリン,係数_バス貨物_CNG,係数_バス貨物_軽油,係数_バス貨物_メタノール,係数_バス貨物_LPG),MATCH(AY1707,【参考】排出係数!$AI$4:$AI$671,1),1,BE1707):INDEX((係数_バス貨物_ガソリン,係数_バス貨物_CNG,係数_バス貨物_軽油,係数_バス貨物_メタノール,係数_バス貨物_LPG),MATCH(AY1707+1,【参考】排出係数!$AI$4:$AI$671,1)-1,5,BE1707),4,FALSE)),IF(AND(BE1707=3,LEFT(BF1707,1)="1"),0.48,VLOOKUP(AU1707,INDEX((係数_乗用_ガソリン,係数_乗用_CNG,係数_乗用_軽油,係数_乗用_メタノール,係数_乗用_LPG),1,1,BE1707):INDEX((係数_乗用_ガソリン,係数_乗用_CNG,係数_乗用_軽油,係数_乗用_メタノール,係数_乗用_LPG),125,5,BE1707),4,FALSE)))))</f>
        <v/>
      </c>
      <c r="AL1707" s="461" t="str">
        <f t="shared" si="957"/>
        <v/>
      </c>
      <c r="AM1707" s="460" t="str">
        <f>IF(AU1707="","",IF(OR(AZ1707=8,AZ1707=9),0,IF(OR(AW1707=3,AW1707=4,AW1707=5,AW1707=6),IF(LEFT(BH1707,1)="1",INDEX(係数_PM低減,MATCH(AY1707,【参考】排出係数!$AI$801:$AI$804,1),MATCH(BI1707,【参考】排出係数!$AL$798:$AO$798,1)),VLOOKUP(AU1707,INDEX((係数_バス貨物_ガソリン,係数_バス貨物_CNG,係数_バス貨物_軽油,係数_バス貨物_メタノール,係数_バス貨物_LPG),MATCH(AY1707,【参考】排出係数!$AI$4:$AI$671,1),1,BE1707):INDEX((係数_バス貨物_ガソリン,係数_バス貨物_CNG,係数_バス貨物_軽油,係数_バス貨物_メタノール,係数_バス貨物_LPG),MATCH(AY1707+1,【参考】排出係数!$AI$4:$AI$671,1)-1,5,BE1707),5,FALSE)),IF(AND(BE1707=3,LEFT(BF1707,1)="1"),0.055,VLOOKUP(AU1707,INDEX((係数_乗用_ガソリン,係数_乗用_CNG,係数_乗用_軽油,係数_乗用_メタノール,係数_乗用_LPG),1,1,BE1707):INDEX((係数_乗用_ガソリン,係数_乗用_CNG,係数_乗用_軽油,係数_乗用_メタノール,係数_乗用_LPG),125,5,BE1707),5,FALSE)))))</f>
        <v/>
      </c>
      <c r="AN1707" s="461" t="str">
        <f t="shared" si="958"/>
        <v/>
      </c>
      <c r="AO1707" s="462" t="str">
        <f t="shared" si="959"/>
        <v/>
      </c>
      <c r="AP1707" s="463" t="str">
        <f t="shared" si="960"/>
        <v/>
      </c>
      <c r="AQ1707" s="464"/>
      <c r="AR1707" s="619"/>
      <c r="AS1707" s="465" t="str">
        <f t="shared" si="968"/>
        <v/>
      </c>
      <c r="AT1707" s="465" t="str">
        <f t="shared" si="969"/>
        <v/>
      </c>
      <c r="AU1707" s="466" t="str">
        <f t="shared" si="970"/>
        <v/>
      </c>
      <c r="AV1707" s="467" t="str">
        <f t="shared" si="971"/>
        <v/>
      </c>
      <c r="AW1707" s="467" t="str">
        <f t="shared" si="972"/>
        <v/>
      </c>
      <c r="AX1707" s="467" t="str">
        <f t="shared" si="973"/>
        <v/>
      </c>
      <c r="AY1707" s="467" t="str">
        <f t="shared" si="974"/>
        <v/>
      </c>
      <c r="AZ1707" s="467" t="str">
        <f t="shared" si="975"/>
        <v/>
      </c>
      <c r="BA1707" s="468" t="str">
        <f>IF(AS1707="","",IF(OR(AU1707="",AU1707="-"),"－",IF(OR(AZ1707=8,AZ1707=9),"",IF(OR(AW1707=3,AW1707=4,AW1707=5,AW1707=6),VLOOKUP(AU1707,INDEX((係数_バス貨物_ガソリン,係数_バス貨物_CNG,係数_バス貨物_軽油,係数_バス貨物_メタノール,係数_バス貨物_LPG),MATCH(AY1707,【参考】排出係数!$AI$4:$AI$671,1),1,BE1707):INDEX((係数_バス貨物_ガソリン,係数_バス貨物_CNG,係数_バス貨物_軽油,係数_バス貨物_メタノール,係数_バス貨物_LPG),MATCH(AY1707+1,【参考】排出係数!$AI$4:$AI$671,1)-1,5,BE1707),2,FALSE),IF(OR(AW1707=1,AW1707=2),VLOOKUP(AU1707,INDEX((係数_乗用_ガソリン,係数_乗用_CNG,係数_乗用_軽油,係数_乗用_メタノール,係数_乗用_LPG),1,1,BE1707):INDEX((係数_乗用_ガソリン,係数_乗用_CNG,係数_乗用_軽油,係数_乗用_メタノール,係数_乗用_LPG),125,5,BE1707),2,FALSE))))))</f>
        <v/>
      </c>
      <c r="BB1707" s="468" t="str">
        <f>IF(T1707="","",IF(OR(AU1707="",AU1707="-"),"－",IF(OR(AZ1707=8,AZ1707=9),"",IF(OR(AW1707=3,AW1707=4,AW1707=5,AW1707=6),VLOOKUP(AU1707,INDEX((係数_バス貨物_ガソリン,係数_バス貨物_CNG,係数_バス貨物_軽油,係数_バス貨物_メタノール,係数_バス貨物_LPG),MATCH(AY1707,【参考】排出係数!$AI$4:$AI$671,1),1,BE1707):INDEX((係数_バス貨物_ガソリン,係数_バス貨物_CNG,係数_バス貨物_軽油,係数_バス貨物_メタノール,係数_バス貨物_LPG),MATCH(AY1707+1,【参考】排出係数!$AI$4:$AI$671,1)-1,5,BE1707),3,FALSE),IF(OR(AW1707=1,AW1707=2),VLOOKUP(AU1707,INDEX((係数_乗用_ガソリン,係数_乗用_CNG,係数_乗用_軽油,係数_乗用_メタノール,係数_乗用_LPG),1,1,BE1707):INDEX((係数_乗用_ガソリン,係数_乗用_CNG,係数_乗用_軽油,係数_乗用_メタノール,係数_乗用_LPG),125,5,BE1707),3,FALSE))))))</f>
        <v/>
      </c>
      <c r="BC1707" s="467" t="str">
        <f t="shared" si="976"/>
        <v/>
      </c>
      <c r="BD1707" s="567" t="str">
        <f t="shared" si="977"/>
        <v/>
      </c>
      <c r="BE1707" s="467" t="str">
        <f t="shared" si="978"/>
        <v/>
      </c>
      <c r="BF1707" s="469" t="str">
        <f t="shared" ca="1" si="979"/>
        <v/>
      </c>
      <c r="BG1707" s="469" t="str">
        <f t="shared" ca="1" si="980"/>
        <v/>
      </c>
      <c r="BH1707" s="467" t="str">
        <f t="shared" si="981"/>
        <v/>
      </c>
      <c r="BI1707" s="467" t="str">
        <f t="shared" ca="1" si="982"/>
        <v/>
      </c>
      <c r="BJ1707" s="469" t="str">
        <f t="shared" si="983"/>
        <v/>
      </c>
      <c r="BK1707" s="470" t="str">
        <f t="shared" si="967"/>
        <v/>
      </c>
      <c r="BL1707" s="775" t="str">
        <f t="shared" si="984"/>
        <v/>
      </c>
      <c r="BM1707" s="775" t="str">
        <f t="shared" si="985"/>
        <v/>
      </c>
    </row>
    <row r="1708" spans="1:65">
      <c r="A1708" s="473">
        <v>1652</v>
      </c>
      <c r="B1708" s="132"/>
      <c r="C1708" s="332"/>
      <c r="D1708" s="333"/>
      <c r="E1708" s="333"/>
      <c r="F1708" s="334"/>
      <c r="G1708" s="337"/>
      <c r="H1708" s="131"/>
      <c r="I1708" s="337"/>
      <c r="J1708" s="131"/>
      <c r="K1708" s="458" t="str">
        <f t="shared" ref="K1708:K1771" si="986">C1708&amp;D1708&amp;E1708&amp;F1708</f>
        <v/>
      </c>
      <c r="L1708" s="458">
        <f t="shared" ref="L1708:L1771" si="987">IF(G1708&gt;0,DATE((G1708),(H1708+1),0),0)</f>
        <v>0</v>
      </c>
      <c r="M1708" s="458">
        <f t="shared" ref="M1708:M1771" si="988">IF(I1708&gt;0,DATE((I1708),(J1708+1),0),0)</f>
        <v>0</v>
      </c>
      <c r="N1708" s="459" t="str">
        <f t="shared" si="961"/>
        <v/>
      </c>
      <c r="O1708" s="459" t="str">
        <f t="shared" si="962"/>
        <v/>
      </c>
      <c r="P1708" s="459" t="str">
        <f t="shared" si="963"/>
        <v/>
      </c>
      <c r="Q1708" s="459" t="str">
        <f t="shared" si="964"/>
        <v/>
      </c>
      <c r="R1708" s="459" t="str">
        <f t="shared" si="965"/>
        <v/>
      </c>
      <c r="S1708" s="459" t="str">
        <f t="shared" si="966"/>
        <v/>
      </c>
      <c r="T1708" s="566" t="str">
        <f t="shared" ref="T1708:T1771" si="989">N1708&amp;O1708&amp;P1708&amp;Q1708&amp;R1708&amp;S1708</f>
        <v/>
      </c>
      <c r="U1708" s="702"/>
      <c r="V1708" s="132"/>
      <c r="W1708" s="133"/>
      <c r="X1708" s="134"/>
      <c r="Y1708" s="135"/>
      <c r="Z1708" s="137"/>
      <c r="AA1708" s="136"/>
      <c r="AB1708" s="566" t="str">
        <f t="shared" ref="AB1708:AB1771" si="990">IF(AS1708="","",IF(AZ1708=1,VLOOKUP(BA1708,低公害車判別,2,FALSE),IF(AZ1708=3,VLOOKUP(BA1708,低公害車判別,2,FALSE),IF(AZ1708=4,VLOOKUP(BB1708,低公害車判別,2,FALSE),"低公害車"))))</f>
        <v/>
      </c>
      <c r="AC1708" s="568" t="str">
        <f t="shared" ref="AC1708:AC1771" si="991">IF(AS1708="","",IF((BA1708="")+(BA1708="－"),IF((BB1708="")+(BB1708=0),"－",BB1708),IF((BA1708="PM☆☆☆")+(BA1708="☆及びPM☆☆☆")+(BA1708="☆☆及びPM☆☆☆")+(BA1708="☆☆☆及びPM☆☆☆"),"PM☆☆☆",IF((BA1708="PM☆☆☆☆")+(BA1708="☆及びPM☆☆☆☆")+(BA1708="☆☆及びPM☆☆☆☆")+(BA1708="☆☆☆及びPM☆☆☆☆"),"PM☆☆☆☆",IF((BA1708="新☆")+(BA1708="新NOx☆")+(BA1708="新PM☆"),"新☆（新長期）",BA1708)))))</f>
        <v/>
      </c>
      <c r="AD1708" s="137"/>
      <c r="AE1708" s="137"/>
      <c r="AF1708" s="138"/>
      <c r="AG1708" s="138"/>
      <c r="AH1708" s="592" t="str">
        <f t="shared" ref="AH1708:AH1771" si="992">IF(C1708="","",IF(LEFT(C1708,2)="横浜","○",""))</f>
        <v/>
      </c>
      <c r="AI1708" s="592" t="str">
        <f t="shared" ref="AI1708:AI1771" si="993">IF(C1708="","",IF(LEFT(C1708,2)="川崎","○",""))</f>
        <v/>
      </c>
      <c r="AJ1708" s="592" t="str">
        <f t="shared" ref="AJ1708:AJ1771" si="994">IF(C1708="","",IF(OR(AH1708="○",AI1708="○"),"","○"))</f>
        <v/>
      </c>
      <c r="AK1708" s="460" t="str">
        <f>IF(AU1708="","",IF(OR(AZ1708=8,AZ1708=9),0,IF(OR(AW1708=3,AW1708=4,AW1708=5,AW1708=6),IF(LEFT(BF1708,1)="1",INDEX(係数_NOX・PM低減,MATCH(AY1708,【参考】排出係数!$AI$801:$AI$804,1),1),VLOOKUP(AU1708,INDEX((係数_バス貨物_ガソリン,係数_バス貨物_CNG,係数_バス貨物_軽油,係数_バス貨物_メタノール,係数_バス貨物_LPG),MATCH(AY1708,【参考】排出係数!$AI$4:$AI$671,1),1,BE1708):INDEX((係数_バス貨物_ガソリン,係数_バス貨物_CNG,係数_バス貨物_軽油,係数_バス貨物_メタノール,係数_バス貨物_LPG),MATCH(AY1708+1,【参考】排出係数!$AI$4:$AI$671,1)-1,5,BE1708),4,FALSE)),IF(AND(BE1708=3,LEFT(BF1708,1)="1"),0.48,VLOOKUP(AU1708,INDEX((係数_乗用_ガソリン,係数_乗用_CNG,係数_乗用_軽油,係数_乗用_メタノール,係数_乗用_LPG),1,1,BE1708):INDEX((係数_乗用_ガソリン,係数_乗用_CNG,係数_乗用_軽油,係数_乗用_メタノール,係数_乗用_LPG),125,5,BE1708),4,FALSE)))))</f>
        <v/>
      </c>
      <c r="AL1708" s="461" t="str">
        <f t="shared" ref="AL1708:AL1771" si="995">IF(AU1708="","",IF(Z1708&lt;=3.5*1000,AD1708*AK1708/1000,IF(Z1708&gt;3.5*1000,AD1708*Z1708*AK1708/1000/1000)))</f>
        <v/>
      </c>
      <c r="AM1708" s="460" t="str">
        <f>IF(AU1708="","",IF(OR(AZ1708=8,AZ1708=9),0,IF(OR(AW1708=3,AW1708=4,AW1708=5,AW1708=6),IF(LEFT(BH1708,1)="1",INDEX(係数_PM低減,MATCH(AY1708,【参考】排出係数!$AI$801:$AI$804,1),MATCH(BI1708,【参考】排出係数!$AL$798:$AO$798,1)),VLOOKUP(AU1708,INDEX((係数_バス貨物_ガソリン,係数_バス貨物_CNG,係数_バス貨物_軽油,係数_バス貨物_メタノール,係数_バス貨物_LPG),MATCH(AY1708,【参考】排出係数!$AI$4:$AI$671,1),1,BE1708):INDEX((係数_バス貨物_ガソリン,係数_バス貨物_CNG,係数_バス貨物_軽油,係数_バス貨物_メタノール,係数_バス貨物_LPG),MATCH(AY1708+1,【参考】排出係数!$AI$4:$AI$671,1)-1,5,BE1708),5,FALSE)),IF(AND(BE1708=3,LEFT(BF1708,1)="1"),0.055,VLOOKUP(AU1708,INDEX((係数_乗用_ガソリン,係数_乗用_CNG,係数_乗用_軽油,係数_乗用_メタノール,係数_乗用_LPG),1,1,BE1708):INDEX((係数_乗用_ガソリン,係数_乗用_CNG,係数_乗用_軽油,係数_乗用_メタノール,係数_乗用_LPG),125,5,BE1708),5,FALSE)))))</f>
        <v/>
      </c>
      <c r="AN1708" s="461" t="str">
        <f t="shared" ref="AN1708:AN1771" si="996">IF(AU1708="","",IF(Z1708&lt;=3.5*1000,AD1708*AM1708/1000,IF(Z1708&gt;3.5*1000,AD1708*Z1708*AM1708/1000/1000)))</f>
        <v/>
      </c>
      <c r="AO1708" s="462" t="str">
        <f t="shared" ref="AO1708:AO1771" si="997">IF(AU1708="","",IF(Z1708&lt;500,"車両重量",IF(OR(AZ1708=8,AZ1708=9),0,IF(OR(AZ1708=1,AZ1708=2,AZ1708=11),2.32,IF(OR(AZ1708=4,AZ1708=5,AZ1708=11),2.58,IF(AZ1708=3,3,IF(AZ1708=6,2.23,IF(AZ1708=7,1.37,0))))))))</f>
        <v/>
      </c>
      <c r="AP1708" s="463" t="str">
        <f t="shared" ref="AP1708:AP1771" si="998">IF(AU1708="","",AE1708*AO1708/1000)</f>
        <v/>
      </c>
      <c r="AQ1708" s="464"/>
      <c r="AR1708" s="619"/>
      <c r="AS1708" s="465" t="str">
        <f t="shared" si="968"/>
        <v/>
      </c>
      <c r="AT1708" s="465" t="str">
        <f t="shared" si="969"/>
        <v/>
      </c>
      <c r="AU1708" s="466" t="str">
        <f t="shared" si="970"/>
        <v/>
      </c>
      <c r="AV1708" s="467" t="str">
        <f t="shared" si="971"/>
        <v/>
      </c>
      <c r="AW1708" s="467" t="str">
        <f t="shared" si="972"/>
        <v/>
      </c>
      <c r="AX1708" s="467" t="str">
        <f t="shared" si="973"/>
        <v/>
      </c>
      <c r="AY1708" s="467" t="str">
        <f t="shared" si="974"/>
        <v/>
      </c>
      <c r="AZ1708" s="467" t="str">
        <f t="shared" si="975"/>
        <v/>
      </c>
      <c r="BA1708" s="468" t="str">
        <f>IF(AS1708="","",IF(OR(AU1708="",AU1708="-"),"－",IF(OR(AZ1708=8,AZ1708=9),"",IF(OR(AW1708=3,AW1708=4,AW1708=5,AW1708=6),VLOOKUP(AU1708,INDEX((係数_バス貨物_ガソリン,係数_バス貨物_CNG,係数_バス貨物_軽油,係数_バス貨物_メタノール,係数_バス貨物_LPG),MATCH(AY1708,【参考】排出係数!$AI$4:$AI$671,1),1,BE1708):INDEX((係数_バス貨物_ガソリン,係数_バス貨物_CNG,係数_バス貨物_軽油,係数_バス貨物_メタノール,係数_バス貨物_LPG),MATCH(AY1708+1,【参考】排出係数!$AI$4:$AI$671,1)-1,5,BE1708),2,FALSE),IF(OR(AW1708=1,AW1708=2),VLOOKUP(AU1708,INDEX((係数_乗用_ガソリン,係数_乗用_CNG,係数_乗用_軽油,係数_乗用_メタノール,係数_乗用_LPG),1,1,BE1708):INDEX((係数_乗用_ガソリン,係数_乗用_CNG,係数_乗用_軽油,係数_乗用_メタノール,係数_乗用_LPG),125,5,BE1708),2,FALSE))))))</f>
        <v/>
      </c>
      <c r="BB1708" s="468" t="str">
        <f>IF(T1708="","",IF(OR(AU1708="",AU1708="-"),"－",IF(OR(AZ1708=8,AZ1708=9),"",IF(OR(AW1708=3,AW1708=4,AW1708=5,AW1708=6),VLOOKUP(AU1708,INDEX((係数_バス貨物_ガソリン,係数_バス貨物_CNG,係数_バス貨物_軽油,係数_バス貨物_メタノール,係数_バス貨物_LPG),MATCH(AY1708,【参考】排出係数!$AI$4:$AI$671,1),1,BE1708):INDEX((係数_バス貨物_ガソリン,係数_バス貨物_CNG,係数_バス貨物_軽油,係数_バス貨物_メタノール,係数_バス貨物_LPG),MATCH(AY1708+1,【参考】排出係数!$AI$4:$AI$671,1)-1,5,BE1708),3,FALSE),IF(OR(AW1708=1,AW1708=2),VLOOKUP(AU1708,INDEX((係数_乗用_ガソリン,係数_乗用_CNG,係数_乗用_軽油,係数_乗用_メタノール,係数_乗用_LPG),1,1,BE1708):INDEX((係数_乗用_ガソリン,係数_乗用_CNG,係数_乗用_軽油,係数_乗用_メタノール,係数_乗用_LPG),125,5,BE1708),3,FALSE))))))</f>
        <v/>
      </c>
      <c r="BC1708" s="467" t="str">
        <f t="shared" si="976"/>
        <v/>
      </c>
      <c r="BD1708" s="567" t="str">
        <f t="shared" si="977"/>
        <v/>
      </c>
      <c r="BE1708" s="467" t="str">
        <f t="shared" si="978"/>
        <v/>
      </c>
      <c r="BF1708" s="469" t="str">
        <f t="shared" ca="1" si="979"/>
        <v/>
      </c>
      <c r="BG1708" s="469" t="str">
        <f t="shared" ca="1" si="980"/>
        <v/>
      </c>
      <c r="BH1708" s="467" t="str">
        <f t="shared" si="981"/>
        <v/>
      </c>
      <c r="BI1708" s="467" t="str">
        <f t="shared" ca="1" si="982"/>
        <v/>
      </c>
      <c r="BJ1708" s="469" t="str">
        <f t="shared" si="983"/>
        <v/>
      </c>
      <c r="BK1708" s="470" t="str">
        <f t="shared" si="967"/>
        <v/>
      </c>
      <c r="BL1708" s="775" t="str">
        <f t="shared" si="984"/>
        <v/>
      </c>
      <c r="BM1708" s="775" t="str">
        <f t="shared" si="985"/>
        <v/>
      </c>
    </row>
    <row r="1709" spans="1:65">
      <c r="A1709" s="473">
        <v>1653</v>
      </c>
      <c r="B1709" s="132"/>
      <c r="C1709" s="332"/>
      <c r="D1709" s="333"/>
      <c r="E1709" s="333"/>
      <c r="F1709" s="334"/>
      <c r="G1709" s="337"/>
      <c r="H1709" s="131"/>
      <c r="I1709" s="337"/>
      <c r="J1709" s="131"/>
      <c r="K1709" s="458" t="str">
        <f t="shared" si="986"/>
        <v/>
      </c>
      <c r="L1709" s="458">
        <f t="shared" si="987"/>
        <v>0</v>
      </c>
      <c r="M1709" s="458">
        <f t="shared" si="988"/>
        <v>0</v>
      </c>
      <c r="N1709" s="459" t="str">
        <f t="shared" si="961"/>
        <v/>
      </c>
      <c r="O1709" s="459" t="str">
        <f t="shared" si="962"/>
        <v/>
      </c>
      <c r="P1709" s="459" t="str">
        <f t="shared" si="963"/>
        <v/>
      </c>
      <c r="Q1709" s="459" t="str">
        <f t="shared" si="964"/>
        <v/>
      </c>
      <c r="R1709" s="459" t="str">
        <f t="shared" si="965"/>
        <v/>
      </c>
      <c r="S1709" s="459" t="str">
        <f t="shared" si="966"/>
        <v/>
      </c>
      <c r="T1709" s="566" t="str">
        <f t="shared" si="989"/>
        <v/>
      </c>
      <c r="U1709" s="702"/>
      <c r="V1709" s="132"/>
      <c r="W1709" s="133"/>
      <c r="X1709" s="134"/>
      <c r="Y1709" s="135"/>
      <c r="Z1709" s="137"/>
      <c r="AA1709" s="136"/>
      <c r="AB1709" s="566" t="str">
        <f t="shared" si="990"/>
        <v/>
      </c>
      <c r="AC1709" s="568" t="str">
        <f t="shared" si="991"/>
        <v/>
      </c>
      <c r="AD1709" s="137"/>
      <c r="AE1709" s="137"/>
      <c r="AF1709" s="138"/>
      <c r="AG1709" s="138"/>
      <c r="AH1709" s="592" t="str">
        <f t="shared" si="992"/>
        <v/>
      </c>
      <c r="AI1709" s="592" t="str">
        <f t="shared" si="993"/>
        <v/>
      </c>
      <c r="AJ1709" s="592" t="str">
        <f t="shared" si="994"/>
        <v/>
      </c>
      <c r="AK1709" s="460" t="str">
        <f>IF(AU1709="","",IF(OR(AZ1709=8,AZ1709=9),0,IF(OR(AW1709=3,AW1709=4,AW1709=5,AW1709=6),IF(LEFT(BF1709,1)="1",INDEX(係数_NOX・PM低減,MATCH(AY1709,【参考】排出係数!$AI$801:$AI$804,1),1),VLOOKUP(AU1709,INDEX((係数_バス貨物_ガソリン,係数_バス貨物_CNG,係数_バス貨物_軽油,係数_バス貨物_メタノール,係数_バス貨物_LPG),MATCH(AY1709,【参考】排出係数!$AI$4:$AI$671,1),1,BE1709):INDEX((係数_バス貨物_ガソリン,係数_バス貨物_CNG,係数_バス貨物_軽油,係数_バス貨物_メタノール,係数_バス貨物_LPG),MATCH(AY1709+1,【参考】排出係数!$AI$4:$AI$671,1)-1,5,BE1709),4,FALSE)),IF(AND(BE1709=3,LEFT(BF1709,1)="1"),0.48,VLOOKUP(AU1709,INDEX((係数_乗用_ガソリン,係数_乗用_CNG,係数_乗用_軽油,係数_乗用_メタノール,係数_乗用_LPG),1,1,BE1709):INDEX((係数_乗用_ガソリン,係数_乗用_CNG,係数_乗用_軽油,係数_乗用_メタノール,係数_乗用_LPG),125,5,BE1709),4,FALSE)))))</f>
        <v/>
      </c>
      <c r="AL1709" s="461" t="str">
        <f t="shared" si="995"/>
        <v/>
      </c>
      <c r="AM1709" s="460" t="str">
        <f>IF(AU1709="","",IF(OR(AZ1709=8,AZ1709=9),0,IF(OR(AW1709=3,AW1709=4,AW1709=5,AW1709=6),IF(LEFT(BH1709,1)="1",INDEX(係数_PM低減,MATCH(AY1709,【参考】排出係数!$AI$801:$AI$804,1),MATCH(BI1709,【参考】排出係数!$AL$798:$AO$798,1)),VLOOKUP(AU1709,INDEX((係数_バス貨物_ガソリン,係数_バス貨物_CNG,係数_バス貨物_軽油,係数_バス貨物_メタノール,係数_バス貨物_LPG),MATCH(AY1709,【参考】排出係数!$AI$4:$AI$671,1),1,BE1709):INDEX((係数_バス貨物_ガソリン,係数_バス貨物_CNG,係数_バス貨物_軽油,係数_バス貨物_メタノール,係数_バス貨物_LPG),MATCH(AY1709+1,【参考】排出係数!$AI$4:$AI$671,1)-1,5,BE1709),5,FALSE)),IF(AND(BE1709=3,LEFT(BF1709,1)="1"),0.055,VLOOKUP(AU1709,INDEX((係数_乗用_ガソリン,係数_乗用_CNG,係数_乗用_軽油,係数_乗用_メタノール,係数_乗用_LPG),1,1,BE1709):INDEX((係数_乗用_ガソリン,係数_乗用_CNG,係数_乗用_軽油,係数_乗用_メタノール,係数_乗用_LPG),125,5,BE1709),5,FALSE)))))</f>
        <v/>
      </c>
      <c r="AN1709" s="461" t="str">
        <f t="shared" si="996"/>
        <v/>
      </c>
      <c r="AO1709" s="462" t="str">
        <f t="shared" si="997"/>
        <v/>
      </c>
      <c r="AP1709" s="463" t="str">
        <f t="shared" si="998"/>
        <v/>
      </c>
      <c r="AQ1709" s="464"/>
      <c r="AR1709" s="619"/>
      <c r="AS1709" s="465" t="str">
        <f t="shared" si="968"/>
        <v/>
      </c>
      <c r="AT1709" s="465" t="str">
        <f t="shared" si="969"/>
        <v/>
      </c>
      <c r="AU1709" s="466" t="str">
        <f t="shared" si="970"/>
        <v/>
      </c>
      <c r="AV1709" s="467" t="str">
        <f t="shared" si="971"/>
        <v/>
      </c>
      <c r="AW1709" s="467" t="str">
        <f t="shared" si="972"/>
        <v/>
      </c>
      <c r="AX1709" s="467" t="str">
        <f t="shared" si="973"/>
        <v/>
      </c>
      <c r="AY1709" s="467" t="str">
        <f t="shared" si="974"/>
        <v/>
      </c>
      <c r="AZ1709" s="467" t="str">
        <f t="shared" si="975"/>
        <v/>
      </c>
      <c r="BA1709" s="468" t="str">
        <f>IF(AS1709="","",IF(OR(AU1709="",AU1709="-"),"－",IF(OR(AZ1709=8,AZ1709=9),"",IF(OR(AW1709=3,AW1709=4,AW1709=5,AW1709=6),VLOOKUP(AU1709,INDEX((係数_バス貨物_ガソリン,係数_バス貨物_CNG,係数_バス貨物_軽油,係数_バス貨物_メタノール,係数_バス貨物_LPG),MATCH(AY1709,【参考】排出係数!$AI$4:$AI$671,1),1,BE1709):INDEX((係数_バス貨物_ガソリン,係数_バス貨物_CNG,係数_バス貨物_軽油,係数_バス貨物_メタノール,係数_バス貨物_LPG),MATCH(AY1709+1,【参考】排出係数!$AI$4:$AI$671,1)-1,5,BE1709),2,FALSE),IF(OR(AW1709=1,AW1709=2),VLOOKUP(AU1709,INDEX((係数_乗用_ガソリン,係数_乗用_CNG,係数_乗用_軽油,係数_乗用_メタノール,係数_乗用_LPG),1,1,BE1709):INDEX((係数_乗用_ガソリン,係数_乗用_CNG,係数_乗用_軽油,係数_乗用_メタノール,係数_乗用_LPG),125,5,BE1709),2,FALSE))))))</f>
        <v/>
      </c>
      <c r="BB1709" s="468" t="str">
        <f>IF(T1709="","",IF(OR(AU1709="",AU1709="-"),"－",IF(OR(AZ1709=8,AZ1709=9),"",IF(OR(AW1709=3,AW1709=4,AW1709=5,AW1709=6),VLOOKUP(AU1709,INDEX((係数_バス貨物_ガソリン,係数_バス貨物_CNG,係数_バス貨物_軽油,係数_バス貨物_メタノール,係数_バス貨物_LPG),MATCH(AY1709,【参考】排出係数!$AI$4:$AI$671,1),1,BE1709):INDEX((係数_バス貨物_ガソリン,係数_バス貨物_CNG,係数_バス貨物_軽油,係数_バス貨物_メタノール,係数_バス貨物_LPG),MATCH(AY1709+1,【参考】排出係数!$AI$4:$AI$671,1)-1,5,BE1709),3,FALSE),IF(OR(AW1709=1,AW1709=2),VLOOKUP(AU1709,INDEX((係数_乗用_ガソリン,係数_乗用_CNG,係数_乗用_軽油,係数_乗用_メタノール,係数_乗用_LPG),1,1,BE1709):INDEX((係数_乗用_ガソリン,係数_乗用_CNG,係数_乗用_軽油,係数_乗用_メタノール,係数_乗用_LPG),125,5,BE1709),3,FALSE))))))</f>
        <v/>
      </c>
      <c r="BC1709" s="467" t="str">
        <f t="shared" si="976"/>
        <v/>
      </c>
      <c r="BD1709" s="567" t="str">
        <f t="shared" si="977"/>
        <v/>
      </c>
      <c r="BE1709" s="467" t="str">
        <f t="shared" si="978"/>
        <v/>
      </c>
      <c r="BF1709" s="469" t="str">
        <f t="shared" ca="1" si="979"/>
        <v/>
      </c>
      <c r="BG1709" s="469" t="str">
        <f t="shared" ca="1" si="980"/>
        <v/>
      </c>
      <c r="BH1709" s="467" t="str">
        <f t="shared" si="981"/>
        <v/>
      </c>
      <c r="BI1709" s="467" t="str">
        <f t="shared" ca="1" si="982"/>
        <v/>
      </c>
      <c r="BJ1709" s="469" t="str">
        <f t="shared" si="983"/>
        <v/>
      </c>
      <c r="BK1709" s="470" t="str">
        <f t="shared" si="967"/>
        <v/>
      </c>
      <c r="BL1709" s="775" t="str">
        <f t="shared" si="984"/>
        <v/>
      </c>
      <c r="BM1709" s="775" t="str">
        <f t="shared" si="985"/>
        <v/>
      </c>
    </row>
    <row r="1710" spans="1:65">
      <c r="A1710" s="473">
        <v>1654</v>
      </c>
      <c r="B1710" s="132"/>
      <c r="C1710" s="332"/>
      <c r="D1710" s="333"/>
      <c r="E1710" s="333"/>
      <c r="F1710" s="334"/>
      <c r="G1710" s="337"/>
      <c r="H1710" s="131"/>
      <c r="I1710" s="337"/>
      <c r="J1710" s="131"/>
      <c r="K1710" s="458" t="str">
        <f t="shared" si="986"/>
        <v/>
      </c>
      <c r="L1710" s="458">
        <f t="shared" si="987"/>
        <v>0</v>
      </c>
      <c r="M1710" s="458">
        <f t="shared" si="988"/>
        <v>0</v>
      </c>
      <c r="N1710" s="459" t="str">
        <f t="shared" si="961"/>
        <v/>
      </c>
      <c r="O1710" s="459" t="str">
        <f t="shared" si="962"/>
        <v/>
      </c>
      <c r="P1710" s="459" t="str">
        <f t="shared" si="963"/>
        <v/>
      </c>
      <c r="Q1710" s="459" t="str">
        <f t="shared" si="964"/>
        <v/>
      </c>
      <c r="R1710" s="459" t="str">
        <f t="shared" si="965"/>
        <v/>
      </c>
      <c r="S1710" s="459" t="str">
        <f t="shared" si="966"/>
        <v/>
      </c>
      <c r="T1710" s="566" t="str">
        <f t="shared" si="989"/>
        <v/>
      </c>
      <c r="U1710" s="702"/>
      <c r="V1710" s="132"/>
      <c r="W1710" s="133"/>
      <c r="X1710" s="134"/>
      <c r="Y1710" s="135"/>
      <c r="Z1710" s="137"/>
      <c r="AA1710" s="136"/>
      <c r="AB1710" s="566" t="str">
        <f t="shared" si="990"/>
        <v/>
      </c>
      <c r="AC1710" s="568" t="str">
        <f t="shared" si="991"/>
        <v/>
      </c>
      <c r="AD1710" s="137"/>
      <c r="AE1710" s="137"/>
      <c r="AF1710" s="138"/>
      <c r="AG1710" s="138"/>
      <c r="AH1710" s="592" t="str">
        <f t="shared" si="992"/>
        <v/>
      </c>
      <c r="AI1710" s="592" t="str">
        <f t="shared" si="993"/>
        <v/>
      </c>
      <c r="AJ1710" s="592" t="str">
        <f t="shared" si="994"/>
        <v/>
      </c>
      <c r="AK1710" s="460" t="str">
        <f>IF(AU1710="","",IF(OR(AZ1710=8,AZ1710=9),0,IF(OR(AW1710=3,AW1710=4,AW1710=5,AW1710=6),IF(LEFT(BF1710,1)="1",INDEX(係数_NOX・PM低減,MATCH(AY1710,【参考】排出係数!$AI$801:$AI$804,1),1),VLOOKUP(AU1710,INDEX((係数_バス貨物_ガソリン,係数_バス貨物_CNG,係数_バス貨物_軽油,係数_バス貨物_メタノール,係数_バス貨物_LPG),MATCH(AY1710,【参考】排出係数!$AI$4:$AI$671,1),1,BE1710):INDEX((係数_バス貨物_ガソリン,係数_バス貨物_CNG,係数_バス貨物_軽油,係数_バス貨物_メタノール,係数_バス貨物_LPG),MATCH(AY1710+1,【参考】排出係数!$AI$4:$AI$671,1)-1,5,BE1710),4,FALSE)),IF(AND(BE1710=3,LEFT(BF1710,1)="1"),0.48,VLOOKUP(AU1710,INDEX((係数_乗用_ガソリン,係数_乗用_CNG,係数_乗用_軽油,係数_乗用_メタノール,係数_乗用_LPG),1,1,BE1710):INDEX((係数_乗用_ガソリン,係数_乗用_CNG,係数_乗用_軽油,係数_乗用_メタノール,係数_乗用_LPG),125,5,BE1710),4,FALSE)))))</f>
        <v/>
      </c>
      <c r="AL1710" s="461" t="str">
        <f t="shared" si="995"/>
        <v/>
      </c>
      <c r="AM1710" s="460" t="str">
        <f>IF(AU1710="","",IF(OR(AZ1710=8,AZ1710=9),0,IF(OR(AW1710=3,AW1710=4,AW1710=5,AW1710=6),IF(LEFT(BH1710,1)="1",INDEX(係数_PM低減,MATCH(AY1710,【参考】排出係数!$AI$801:$AI$804,1),MATCH(BI1710,【参考】排出係数!$AL$798:$AO$798,1)),VLOOKUP(AU1710,INDEX((係数_バス貨物_ガソリン,係数_バス貨物_CNG,係数_バス貨物_軽油,係数_バス貨物_メタノール,係数_バス貨物_LPG),MATCH(AY1710,【参考】排出係数!$AI$4:$AI$671,1),1,BE1710):INDEX((係数_バス貨物_ガソリン,係数_バス貨物_CNG,係数_バス貨物_軽油,係数_バス貨物_メタノール,係数_バス貨物_LPG),MATCH(AY1710+1,【参考】排出係数!$AI$4:$AI$671,1)-1,5,BE1710),5,FALSE)),IF(AND(BE1710=3,LEFT(BF1710,1)="1"),0.055,VLOOKUP(AU1710,INDEX((係数_乗用_ガソリン,係数_乗用_CNG,係数_乗用_軽油,係数_乗用_メタノール,係数_乗用_LPG),1,1,BE1710):INDEX((係数_乗用_ガソリン,係数_乗用_CNG,係数_乗用_軽油,係数_乗用_メタノール,係数_乗用_LPG),125,5,BE1710),5,FALSE)))))</f>
        <v/>
      </c>
      <c r="AN1710" s="461" t="str">
        <f t="shared" si="996"/>
        <v/>
      </c>
      <c r="AO1710" s="462" t="str">
        <f t="shared" si="997"/>
        <v/>
      </c>
      <c r="AP1710" s="463" t="str">
        <f t="shared" si="998"/>
        <v/>
      </c>
      <c r="AQ1710" s="464"/>
      <c r="AR1710" s="619"/>
      <c r="AS1710" s="465" t="str">
        <f t="shared" si="968"/>
        <v/>
      </c>
      <c r="AT1710" s="465" t="str">
        <f t="shared" si="969"/>
        <v/>
      </c>
      <c r="AU1710" s="466" t="str">
        <f t="shared" si="970"/>
        <v/>
      </c>
      <c r="AV1710" s="467" t="str">
        <f t="shared" si="971"/>
        <v/>
      </c>
      <c r="AW1710" s="467" t="str">
        <f t="shared" si="972"/>
        <v/>
      </c>
      <c r="AX1710" s="467" t="str">
        <f t="shared" si="973"/>
        <v/>
      </c>
      <c r="AY1710" s="467" t="str">
        <f t="shared" si="974"/>
        <v/>
      </c>
      <c r="AZ1710" s="467" t="str">
        <f t="shared" si="975"/>
        <v/>
      </c>
      <c r="BA1710" s="468" t="str">
        <f>IF(AS1710="","",IF(OR(AU1710="",AU1710="-"),"－",IF(OR(AZ1710=8,AZ1710=9),"",IF(OR(AW1710=3,AW1710=4,AW1710=5,AW1710=6),VLOOKUP(AU1710,INDEX((係数_バス貨物_ガソリン,係数_バス貨物_CNG,係数_バス貨物_軽油,係数_バス貨物_メタノール,係数_バス貨物_LPG),MATCH(AY1710,【参考】排出係数!$AI$4:$AI$671,1),1,BE1710):INDEX((係数_バス貨物_ガソリン,係数_バス貨物_CNG,係数_バス貨物_軽油,係数_バス貨物_メタノール,係数_バス貨物_LPG),MATCH(AY1710+1,【参考】排出係数!$AI$4:$AI$671,1)-1,5,BE1710),2,FALSE),IF(OR(AW1710=1,AW1710=2),VLOOKUP(AU1710,INDEX((係数_乗用_ガソリン,係数_乗用_CNG,係数_乗用_軽油,係数_乗用_メタノール,係数_乗用_LPG),1,1,BE1710):INDEX((係数_乗用_ガソリン,係数_乗用_CNG,係数_乗用_軽油,係数_乗用_メタノール,係数_乗用_LPG),125,5,BE1710),2,FALSE))))))</f>
        <v/>
      </c>
      <c r="BB1710" s="468" t="str">
        <f>IF(T1710="","",IF(OR(AU1710="",AU1710="-"),"－",IF(OR(AZ1710=8,AZ1710=9),"",IF(OR(AW1710=3,AW1710=4,AW1710=5,AW1710=6),VLOOKUP(AU1710,INDEX((係数_バス貨物_ガソリン,係数_バス貨物_CNG,係数_バス貨物_軽油,係数_バス貨物_メタノール,係数_バス貨物_LPG),MATCH(AY1710,【参考】排出係数!$AI$4:$AI$671,1),1,BE1710):INDEX((係数_バス貨物_ガソリン,係数_バス貨物_CNG,係数_バス貨物_軽油,係数_バス貨物_メタノール,係数_バス貨物_LPG),MATCH(AY1710+1,【参考】排出係数!$AI$4:$AI$671,1)-1,5,BE1710),3,FALSE),IF(OR(AW1710=1,AW1710=2),VLOOKUP(AU1710,INDEX((係数_乗用_ガソリン,係数_乗用_CNG,係数_乗用_軽油,係数_乗用_メタノール,係数_乗用_LPG),1,1,BE1710):INDEX((係数_乗用_ガソリン,係数_乗用_CNG,係数_乗用_軽油,係数_乗用_メタノール,係数_乗用_LPG),125,5,BE1710),3,FALSE))))))</f>
        <v/>
      </c>
      <c r="BC1710" s="467" t="str">
        <f t="shared" si="976"/>
        <v/>
      </c>
      <c r="BD1710" s="567" t="str">
        <f t="shared" si="977"/>
        <v/>
      </c>
      <c r="BE1710" s="467" t="str">
        <f t="shared" si="978"/>
        <v/>
      </c>
      <c r="BF1710" s="469" t="str">
        <f t="shared" ca="1" si="979"/>
        <v/>
      </c>
      <c r="BG1710" s="469" t="str">
        <f t="shared" ca="1" si="980"/>
        <v/>
      </c>
      <c r="BH1710" s="467" t="str">
        <f t="shared" si="981"/>
        <v/>
      </c>
      <c r="BI1710" s="467" t="str">
        <f t="shared" ca="1" si="982"/>
        <v/>
      </c>
      <c r="BJ1710" s="469" t="str">
        <f t="shared" si="983"/>
        <v/>
      </c>
      <c r="BK1710" s="470" t="str">
        <f t="shared" si="967"/>
        <v/>
      </c>
      <c r="BL1710" s="775" t="str">
        <f t="shared" si="984"/>
        <v/>
      </c>
      <c r="BM1710" s="775" t="str">
        <f t="shared" si="985"/>
        <v/>
      </c>
    </row>
    <row r="1711" spans="1:65">
      <c r="A1711" s="473">
        <v>1655</v>
      </c>
      <c r="B1711" s="132"/>
      <c r="C1711" s="332"/>
      <c r="D1711" s="333"/>
      <c r="E1711" s="333"/>
      <c r="F1711" s="334"/>
      <c r="G1711" s="337"/>
      <c r="H1711" s="131"/>
      <c r="I1711" s="337"/>
      <c r="J1711" s="131"/>
      <c r="K1711" s="458" t="str">
        <f t="shared" si="986"/>
        <v/>
      </c>
      <c r="L1711" s="458">
        <f t="shared" si="987"/>
        <v>0</v>
      </c>
      <c r="M1711" s="458">
        <f t="shared" si="988"/>
        <v>0</v>
      </c>
      <c r="N1711" s="459" t="str">
        <f t="shared" si="961"/>
        <v/>
      </c>
      <c r="O1711" s="459" t="str">
        <f t="shared" si="962"/>
        <v/>
      </c>
      <c r="P1711" s="459" t="str">
        <f t="shared" si="963"/>
        <v/>
      </c>
      <c r="Q1711" s="459" t="str">
        <f t="shared" si="964"/>
        <v/>
      </c>
      <c r="R1711" s="459" t="str">
        <f t="shared" si="965"/>
        <v/>
      </c>
      <c r="S1711" s="459" t="str">
        <f t="shared" si="966"/>
        <v/>
      </c>
      <c r="T1711" s="566" t="str">
        <f t="shared" si="989"/>
        <v/>
      </c>
      <c r="U1711" s="702"/>
      <c r="V1711" s="132"/>
      <c r="W1711" s="133"/>
      <c r="X1711" s="134"/>
      <c r="Y1711" s="135"/>
      <c r="Z1711" s="137"/>
      <c r="AA1711" s="136"/>
      <c r="AB1711" s="566" t="str">
        <f t="shared" si="990"/>
        <v/>
      </c>
      <c r="AC1711" s="568" t="str">
        <f t="shared" si="991"/>
        <v/>
      </c>
      <c r="AD1711" s="137"/>
      <c r="AE1711" s="137"/>
      <c r="AF1711" s="138"/>
      <c r="AG1711" s="138"/>
      <c r="AH1711" s="592" t="str">
        <f t="shared" si="992"/>
        <v/>
      </c>
      <c r="AI1711" s="592" t="str">
        <f t="shared" si="993"/>
        <v/>
      </c>
      <c r="AJ1711" s="592" t="str">
        <f t="shared" si="994"/>
        <v/>
      </c>
      <c r="AK1711" s="460" t="str">
        <f>IF(AU1711="","",IF(OR(AZ1711=8,AZ1711=9),0,IF(OR(AW1711=3,AW1711=4,AW1711=5,AW1711=6),IF(LEFT(BF1711,1)="1",INDEX(係数_NOX・PM低減,MATCH(AY1711,【参考】排出係数!$AI$801:$AI$804,1),1),VLOOKUP(AU1711,INDEX((係数_バス貨物_ガソリン,係数_バス貨物_CNG,係数_バス貨物_軽油,係数_バス貨物_メタノール,係数_バス貨物_LPG),MATCH(AY1711,【参考】排出係数!$AI$4:$AI$671,1),1,BE1711):INDEX((係数_バス貨物_ガソリン,係数_バス貨物_CNG,係数_バス貨物_軽油,係数_バス貨物_メタノール,係数_バス貨物_LPG),MATCH(AY1711+1,【参考】排出係数!$AI$4:$AI$671,1)-1,5,BE1711),4,FALSE)),IF(AND(BE1711=3,LEFT(BF1711,1)="1"),0.48,VLOOKUP(AU1711,INDEX((係数_乗用_ガソリン,係数_乗用_CNG,係数_乗用_軽油,係数_乗用_メタノール,係数_乗用_LPG),1,1,BE1711):INDEX((係数_乗用_ガソリン,係数_乗用_CNG,係数_乗用_軽油,係数_乗用_メタノール,係数_乗用_LPG),125,5,BE1711),4,FALSE)))))</f>
        <v/>
      </c>
      <c r="AL1711" s="461" t="str">
        <f t="shared" si="995"/>
        <v/>
      </c>
      <c r="AM1711" s="460" t="str">
        <f>IF(AU1711="","",IF(OR(AZ1711=8,AZ1711=9),0,IF(OR(AW1711=3,AW1711=4,AW1711=5,AW1711=6),IF(LEFT(BH1711,1)="1",INDEX(係数_PM低減,MATCH(AY1711,【参考】排出係数!$AI$801:$AI$804,1),MATCH(BI1711,【参考】排出係数!$AL$798:$AO$798,1)),VLOOKUP(AU1711,INDEX((係数_バス貨物_ガソリン,係数_バス貨物_CNG,係数_バス貨物_軽油,係数_バス貨物_メタノール,係数_バス貨物_LPG),MATCH(AY1711,【参考】排出係数!$AI$4:$AI$671,1),1,BE1711):INDEX((係数_バス貨物_ガソリン,係数_バス貨物_CNG,係数_バス貨物_軽油,係数_バス貨物_メタノール,係数_バス貨物_LPG),MATCH(AY1711+1,【参考】排出係数!$AI$4:$AI$671,1)-1,5,BE1711),5,FALSE)),IF(AND(BE1711=3,LEFT(BF1711,1)="1"),0.055,VLOOKUP(AU1711,INDEX((係数_乗用_ガソリン,係数_乗用_CNG,係数_乗用_軽油,係数_乗用_メタノール,係数_乗用_LPG),1,1,BE1711):INDEX((係数_乗用_ガソリン,係数_乗用_CNG,係数_乗用_軽油,係数_乗用_メタノール,係数_乗用_LPG),125,5,BE1711),5,FALSE)))))</f>
        <v/>
      </c>
      <c r="AN1711" s="461" t="str">
        <f t="shared" si="996"/>
        <v/>
      </c>
      <c r="AO1711" s="462" t="str">
        <f t="shared" si="997"/>
        <v/>
      </c>
      <c r="AP1711" s="463" t="str">
        <f t="shared" si="998"/>
        <v/>
      </c>
      <c r="AQ1711" s="464"/>
      <c r="AR1711" s="619"/>
      <c r="AS1711" s="465" t="str">
        <f t="shared" si="968"/>
        <v/>
      </c>
      <c r="AT1711" s="465" t="str">
        <f t="shared" si="969"/>
        <v/>
      </c>
      <c r="AU1711" s="466" t="str">
        <f t="shared" si="970"/>
        <v/>
      </c>
      <c r="AV1711" s="467" t="str">
        <f t="shared" si="971"/>
        <v/>
      </c>
      <c r="AW1711" s="467" t="str">
        <f t="shared" si="972"/>
        <v/>
      </c>
      <c r="AX1711" s="467" t="str">
        <f t="shared" si="973"/>
        <v/>
      </c>
      <c r="AY1711" s="467" t="str">
        <f t="shared" si="974"/>
        <v/>
      </c>
      <c r="AZ1711" s="467" t="str">
        <f t="shared" si="975"/>
        <v/>
      </c>
      <c r="BA1711" s="468" t="str">
        <f>IF(AS1711="","",IF(OR(AU1711="",AU1711="-"),"－",IF(OR(AZ1711=8,AZ1711=9),"",IF(OR(AW1711=3,AW1711=4,AW1711=5,AW1711=6),VLOOKUP(AU1711,INDEX((係数_バス貨物_ガソリン,係数_バス貨物_CNG,係数_バス貨物_軽油,係数_バス貨物_メタノール,係数_バス貨物_LPG),MATCH(AY1711,【参考】排出係数!$AI$4:$AI$671,1),1,BE1711):INDEX((係数_バス貨物_ガソリン,係数_バス貨物_CNG,係数_バス貨物_軽油,係数_バス貨物_メタノール,係数_バス貨物_LPG),MATCH(AY1711+1,【参考】排出係数!$AI$4:$AI$671,1)-1,5,BE1711),2,FALSE),IF(OR(AW1711=1,AW1711=2),VLOOKUP(AU1711,INDEX((係数_乗用_ガソリン,係数_乗用_CNG,係数_乗用_軽油,係数_乗用_メタノール,係数_乗用_LPG),1,1,BE1711):INDEX((係数_乗用_ガソリン,係数_乗用_CNG,係数_乗用_軽油,係数_乗用_メタノール,係数_乗用_LPG),125,5,BE1711),2,FALSE))))))</f>
        <v/>
      </c>
      <c r="BB1711" s="468" t="str">
        <f>IF(T1711="","",IF(OR(AU1711="",AU1711="-"),"－",IF(OR(AZ1711=8,AZ1711=9),"",IF(OR(AW1711=3,AW1711=4,AW1711=5,AW1711=6),VLOOKUP(AU1711,INDEX((係数_バス貨物_ガソリン,係数_バス貨物_CNG,係数_バス貨物_軽油,係数_バス貨物_メタノール,係数_バス貨物_LPG),MATCH(AY1711,【参考】排出係数!$AI$4:$AI$671,1),1,BE1711):INDEX((係数_バス貨物_ガソリン,係数_バス貨物_CNG,係数_バス貨物_軽油,係数_バス貨物_メタノール,係数_バス貨物_LPG),MATCH(AY1711+1,【参考】排出係数!$AI$4:$AI$671,1)-1,5,BE1711),3,FALSE),IF(OR(AW1711=1,AW1711=2),VLOOKUP(AU1711,INDEX((係数_乗用_ガソリン,係数_乗用_CNG,係数_乗用_軽油,係数_乗用_メタノール,係数_乗用_LPG),1,1,BE1711):INDEX((係数_乗用_ガソリン,係数_乗用_CNG,係数_乗用_軽油,係数_乗用_メタノール,係数_乗用_LPG),125,5,BE1711),3,FALSE))))))</f>
        <v/>
      </c>
      <c r="BC1711" s="467" t="str">
        <f t="shared" si="976"/>
        <v/>
      </c>
      <c r="BD1711" s="567" t="str">
        <f t="shared" si="977"/>
        <v/>
      </c>
      <c r="BE1711" s="467" t="str">
        <f t="shared" si="978"/>
        <v/>
      </c>
      <c r="BF1711" s="469" t="str">
        <f t="shared" ca="1" si="979"/>
        <v/>
      </c>
      <c r="BG1711" s="469" t="str">
        <f t="shared" ca="1" si="980"/>
        <v/>
      </c>
      <c r="BH1711" s="467" t="str">
        <f t="shared" si="981"/>
        <v/>
      </c>
      <c r="BI1711" s="467" t="str">
        <f t="shared" ca="1" si="982"/>
        <v/>
      </c>
      <c r="BJ1711" s="469" t="str">
        <f t="shared" si="983"/>
        <v/>
      </c>
      <c r="BK1711" s="470" t="str">
        <f t="shared" si="967"/>
        <v/>
      </c>
      <c r="BL1711" s="775" t="str">
        <f t="shared" si="984"/>
        <v/>
      </c>
      <c r="BM1711" s="775" t="str">
        <f t="shared" si="985"/>
        <v/>
      </c>
    </row>
    <row r="1712" spans="1:65">
      <c r="A1712" s="473">
        <v>1656</v>
      </c>
      <c r="B1712" s="132"/>
      <c r="C1712" s="332"/>
      <c r="D1712" s="333"/>
      <c r="E1712" s="333"/>
      <c r="F1712" s="334"/>
      <c r="G1712" s="337"/>
      <c r="H1712" s="131"/>
      <c r="I1712" s="337"/>
      <c r="J1712" s="131"/>
      <c r="K1712" s="458" t="str">
        <f t="shared" si="986"/>
        <v/>
      </c>
      <c r="L1712" s="458">
        <f t="shared" si="987"/>
        <v>0</v>
      </c>
      <c r="M1712" s="458">
        <f t="shared" si="988"/>
        <v>0</v>
      </c>
      <c r="N1712" s="459" t="str">
        <f t="shared" si="961"/>
        <v/>
      </c>
      <c r="O1712" s="459" t="str">
        <f t="shared" si="962"/>
        <v/>
      </c>
      <c r="P1712" s="459" t="str">
        <f t="shared" si="963"/>
        <v/>
      </c>
      <c r="Q1712" s="459" t="str">
        <f t="shared" si="964"/>
        <v/>
      </c>
      <c r="R1712" s="459" t="str">
        <f t="shared" si="965"/>
        <v/>
      </c>
      <c r="S1712" s="459" t="str">
        <f t="shared" si="966"/>
        <v/>
      </c>
      <c r="T1712" s="566" t="str">
        <f t="shared" si="989"/>
        <v/>
      </c>
      <c r="U1712" s="702"/>
      <c r="V1712" s="132"/>
      <c r="W1712" s="133"/>
      <c r="X1712" s="134"/>
      <c r="Y1712" s="135"/>
      <c r="Z1712" s="137"/>
      <c r="AA1712" s="136"/>
      <c r="AB1712" s="566" t="str">
        <f t="shared" si="990"/>
        <v/>
      </c>
      <c r="AC1712" s="568" t="str">
        <f t="shared" si="991"/>
        <v/>
      </c>
      <c r="AD1712" s="137"/>
      <c r="AE1712" s="137"/>
      <c r="AF1712" s="138"/>
      <c r="AG1712" s="138"/>
      <c r="AH1712" s="592" t="str">
        <f t="shared" si="992"/>
        <v/>
      </c>
      <c r="AI1712" s="592" t="str">
        <f t="shared" si="993"/>
        <v/>
      </c>
      <c r="AJ1712" s="592" t="str">
        <f t="shared" si="994"/>
        <v/>
      </c>
      <c r="AK1712" s="460" t="str">
        <f>IF(AU1712="","",IF(OR(AZ1712=8,AZ1712=9),0,IF(OR(AW1712=3,AW1712=4,AW1712=5,AW1712=6),IF(LEFT(BF1712,1)="1",INDEX(係数_NOX・PM低減,MATCH(AY1712,【参考】排出係数!$AI$801:$AI$804,1),1),VLOOKUP(AU1712,INDEX((係数_バス貨物_ガソリン,係数_バス貨物_CNG,係数_バス貨物_軽油,係数_バス貨物_メタノール,係数_バス貨物_LPG),MATCH(AY1712,【参考】排出係数!$AI$4:$AI$671,1),1,BE1712):INDEX((係数_バス貨物_ガソリン,係数_バス貨物_CNG,係数_バス貨物_軽油,係数_バス貨物_メタノール,係数_バス貨物_LPG),MATCH(AY1712+1,【参考】排出係数!$AI$4:$AI$671,1)-1,5,BE1712),4,FALSE)),IF(AND(BE1712=3,LEFT(BF1712,1)="1"),0.48,VLOOKUP(AU1712,INDEX((係数_乗用_ガソリン,係数_乗用_CNG,係数_乗用_軽油,係数_乗用_メタノール,係数_乗用_LPG),1,1,BE1712):INDEX((係数_乗用_ガソリン,係数_乗用_CNG,係数_乗用_軽油,係数_乗用_メタノール,係数_乗用_LPG),125,5,BE1712),4,FALSE)))))</f>
        <v/>
      </c>
      <c r="AL1712" s="461" t="str">
        <f t="shared" si="995"/>
        <v/>
      </c>
      <c r="AM1712" s="460" t="str">
        <f>IF(AU1712="","",IF(OR(AZ1712=8,AZ1712=9),0,IF(OR(AW1712=3,AW1712=4,AW1712=5,AW1712=6),IF(LEFT(BH1712,1)="1",INDEX(係数_PM低減,MATCH(AY1712,【参考】排出係数!$AI$801:$AI$804,1),MATCH(BI1712,【参考】排出係数!$AL$798:$AO$798,1)),VLOOKUP(AU1712,INDEX((係数_バス貨物_ガソリン,係数_バス貨物_CNG,係数_バス貨物_軽油,係数_バス貨物_メタノール,係数_バス貨物_LPG),MATCH(AY1712,【参考】排出係数!$AI$4:$AI$671,1),1,BE1712):INDEX((係数_バス貨物_ガソリン,係数_バス貨物_CNG,係数_バス貨物_軽油,係数_バス貨物_メタノール,係数_バス貨物_LPG),MATCH(AY1712+1,【参考】排出係数!$AI$4:$AI$671,1)-1,5,BE1712),5,FALSE)),IF(AND(BE1712=3,LEFT(BF1712,1)="1"),0.055,VLOOKUP(AU1712,INDEX((係数_乗用_ガソリン,係数_乗用_CNG,係数_乗用_軽油,係数_乗用_メタノール,係数_乗用_LPG),1,1,BE1712):INDEX((係数_乗用_ガソリン,係数_乗用_CNG,係数_乗用_軽油,係数_乗用_メタノール,係数_乗用_LPG),125,5,BE1712),5,FALSE)))))</f>
        <v/>
      </c>
      <c r="AN1712" s="461" t="str">
        <f t="shared" si="996"/>
        <v/>
      </c>
      <c r="AO1712" s="462" t="str">
        <f t="shared" si="997"/>
        <v/>
      </c>
      <c r="AP1712" s="463" t="str">
        <f t="shared" si="998"/>
        <v/>
      </c>
      <c r="AQ1712" s="464"/>
      <c r="AR1712" s="619"/>
      <c r="AS1712" s="465" t="str">
        <f t="shared" si="968"/>
        <v/>
      </c>
      <c r="AT1712" s="465" t="str">
        <f t="shared" si="969"/>
        <v/>
      </c>
      <c r="AU1712" s="466" t="str">
        <f t="shared" si="970"/>
        <v/>
      </c>
      <c r="AV1712" s="467" t="str">
        <f t="shared" si="971"/>
        <v/>
      </c>
      <c r="AW1712" s="467" t="str">
        <f t="shared" si="972"/>
        <v/>
      </c>
      <c r="AX1712" s="467" t="str">
        <f t="shared" si="973"/>
        <v/>
      </c>
      <c r="AY1712" s="467" t="str">
        <f t="shared" si="974"/>
        <v/>
      </c>
      <c r="AZ1712" s="467" t="str">
        <f t="shared" si="975"/>
        <v/>
      </c>
      <c r="BA1712" s="468" t="str">
        <f>IF(AS1712="","",IF(OR(AU1712="",AU1712="-"),"－",IF(OR(AZ1712=8,AZ1712=9),"",IF(OR(AW1712=3,AW1712=4,AW1712=5,AW1712=6),VLOOKUP(AU1712,INDEX((係数_バス貨物_ガソリン,係数_バス貨物_CNG,係数_バス貨物_軽油,係数_バス貨物_メタノール,係数_バス貨物_LPG),MATCH(AY1712,【参考】排出係数!$AI$4:$AI$671,1),1,BE1712):INDEX((係数_バス貨物_ガソリン,係数_バス貨物_CNG,係数_バス貨物_軽油,係数_バス貨物_メタノール,係数_バス貨物_LPG),MATCH(AY1712+1,【参考】排出係数!$AI$4:$AI$671,1)-1,5,BE1712),2,FALSE),IF(OR(AW1712=1,AW1712=2),VLOOKUP(AU1712,INDEX((係数_乗用_ガソリン,係数_乗用_CNG,係数_乗用_軽油,係数_乗用_メタノール,係数_乗用_LPG),1,1,BE1712):INDEX((係数_乗用_ガソリン,係数_乗用_CNG,係数_乗用_軽油,係数_乗用_メタノール,係数_乗用_LPG),125,5,BE1712),2,FALSE))))))</f>
        <v/>
      </c>
      <c r="BB1712" s="468" t="str">
        <f>IF(T1712="","",IF(OR(AU1712="",AU1712="-"),"－",IF(OR(AZ1712=8,AZ1712=9),"",IF(OR(AW1712=3,AW1712=4,AW1712=5,AW1712=6),VLOOKUP(AU1712,INDEX((係数_バス貨物_ガソリン,係数_バス貨物_CNG,係数_バス貨物_軽油,係数_バス貨物_メタノール,係数_バス貨物_LPG),MATCH(AY1712,【参考】排出係数!$AI$4:$AI$671,1),1,BE1712):INDEX((係数_バス貨物_ガソリン,係数_バス貨物_CNG,係数_バス貨物_軽油,係数_バス貨物_メタノール,係数_バス貨物_LPG),MATCH(AY1712+1,【参考】排出係数!$AI$4:$AI$671,1)-1,5,BE1712),3,FALSE),IF(OR(AW1712=1,AW1712=2),VLOOKUP(AU1712,INDEX((係数_乗用_ガソリン,係数_乗用_CNG,係数_乗用_軽油,係数_乗用_メタノール,係数_乗用_LPG),1,1,BE1712):INDEX((係数_乗用_ガソリン,係数_乗用_CNG,係数_乗用_軽油,係数_乗用_メタノール,係数_乗用_LPG),125,5,BE1712),3,FALSE))))))</f>
        <v/>
      </c>
      <c r="BC1712" s="467" t="str">
        <f t="shared" si="976"/>
        <v/>
      </c>
      <c r="BD1712" s="567" t="str">
        <f t="shared" si="977"/>
        <v/>
      </c>
      <c r="BE1712" s="467" t="str">
        <f t="shared" si="978"/>
        <v/>
      </c>
      <c r="BF1712" s="469" t="str">
        <f t="shared" ca="1" si="979"/>
        <v/>
      </c>
      <c r="BG1712" s="469" t="str">
        <f t="shared" ca="1" si="980"/>
        <v/>
      </c>
      <c r="BH1712" s="467" t="str">
        <f t="shared" si="981"/>
        <v/>
      </c>
      <c r="BI1712" s="467" t="str">
        <f t="shared" ca="1" si="982"/>
        <v/>
      </c>
      <c r="BJ1712" s="469" t="str">
        <f t="shared" si="983"/>
        <v/>
      </c>
      <c r="BK1712" s="470" t="str">
        <f t="shared" si="967"/>
        <v/>
      </c>
      <c r="BL1712" s="775" t="str">
        <f t="shared" si="984"/>
        <v/>
      </c>
      <c r="BM1712" s="775" t="str">
        <f t="shared" si="985"/>
        <v/>
      </c>
    </row>
    <row r="1713" spans="1:65">
      <c r="A1713" s="473">
        <v>1657</v>
      </c>
      <c r="B1713" s="132"/>
      <c r="C1713" s="332"/>
      <c r="D1713" s="333"/>
      <c r="E1713" s="333"/>
      <c r="F1713" s="334"/>
      <c r="G1713" s="337"/>
      <c r="H1713" s="131"/>
      <c r="I1713" s="337"/>
      <c r="J1713" s="131"/>
      <c r="K1713" s="458" t="str">
        <f t="shared" si="986"/>
        <v/>
      </c>
      <c r="L1713" s="458">
        <f t="shared" si="987"/>
        <v>0</v>
      </c>
      <c r="M1713" s="458">
        <f t="shared" si="988"/>
        <v>0</v>
      </c>
      <c r="N1713" s="459" t="str">
        <f t="shared" si="961"/>
        <v/>
      </c>
      <c r="O1713" s="459" t="str">
        <f t="shared" si="962"/>
        <v/>
      </c>
      <c r="P1713" s="459" t="str">
        <f t="shared" si="963"/>
        <v/>
      </c>
      <c r="Q1713" s="459" t="str">
        <f t="shared" si="964"/>
        <v/>
      </c>
      <c r="R1713" s="459" t="str">
        <f t="shared" si="965"/>
        <v/>
      </c>
      <c r="S1713" s="459" t="str">
        <f t="shared" si="966"/>
        <v/>
      </c>
      <c r="T1713" s="566" t="str">
        <f t="shared" si="989"/>
        <v/>
      </c>
      <c r="U1713" s="702"/>
      <c r="V1713" s="132"/>
      <c r="W1713" s="133"/>
      <c r="X1713" s="134"/>
      <c r="Y1713" s="135"/>
      <c r="Z1713" s="137"/>
      <c r="AA1713" s="136"/>
      <c r="AB1713" s="566" t="str">
        <f t="shared" si="990"/>
        <v/>
      </c>
      <c r="AC1713" s="568" t="str">
        <f t="shared" si="991"/>
        <v/>
      </c>
      <c r="AD1713" s="137"/>
      <c r="AE1713" s="137"/>
      <c r="AF1713" s="138"/>
      <c r="AG1713" s="138"/>
      <c r="AH1713" s="592" t="str">
        <f t="shared" si="992"/>
        <v/>
      </c>
      <c r="AI1713" s="592" t="str">
        <f t="shared" si="993"/>
        <v/>
      </c>
      <c r="AJ1713" s="592" t="str">
        <f t="shared" si="994"/>
        <v/>
      </c>
      <c r="AK1713" s="460" t="str">
        <f>IF(AU1713="","",IF(OR(AZ1713=8,AZ1713=9),0,IF(OR(AW1713=3,AW1713=4,AW1713=5,AW1713=6),IF(LEFT(BF1713,1)="1",INDEX(係数_NOX・PM低減,MATCH(AY1713,【参考】排出係数!$AI$801:$AI$804,1),1),VLOOKUP(AU1713,INDEX((係数_バス貨物_ガソリン,係数_バス貨物_CNG,係数_バス貨物_軽油,係数_バス貨物_メタノール,係数_バス貨物_LPG),MATCH(AY1713,【参考】排出係数!$AI$4:$AI$671,1),1,BE1713):INDEX((係数_バス貨物_ガソリン,係数_バス貨物_CNG,係数_バス貨物_軽油,係数_バス貨物_メタノール,係数_バス貨物_LPG),MATCH(AY1713+1,【参考】排出係数!$AI$4:$AI$671,1)-1,5,BE1713),4,FALSE)),IF(AND(BE1713=3,LEFT(BF1713,1)="1"),0.48,VLOOKUP(AU1713,INDEX((係数_乗用_ガソリン,係数_乗用_CNG,係数_乗用_軽油,係数_乗用_メタノール,係数_乗用_LPG),1,1,BE1713):INDEX((係数_乗用_ガソリン,係数_乗用_CNG,係数_乗用_軽油,係数_乗用_メタノール,係数_乗用_LPG),125,5,BE1713),4,FALSE)))))</f>
        <v/>
      </c>
      <c r="AL1713" s="461" t="str">
        <f t="shared" si="995"/>
        <v/>
      </c>
      <c r="AM1713" s="460" t="str">
        <f>IF(AU1713="","",IF(OR(AZ1713=8,AZ1713=9),0,IF(OR(AW1713=3,AW1713=4,AW1713=5,AW1713=6),IF(LEFT(BH1713,1)="1",INDEX(係数_PM低減,MATCH(AY1713,【参考】排出係数!$AI$801:$AI$804,1),MATCH(BI1713,【参考】排出係数!$AL$798:$AO$798,1)),VLOOKUP(AU1713,INDEX((係数_バス貨物_ガソリン,係数_バス貨物_CNG,係数_バス貨物_軽油,係数_バス貨物_メタノール,係数_バス貨物_LPG),MATCH(AY1713,【参考】排出係数!$AI$4:$AI$671,1),1,BE1713):INDEX((係数_バス貨物_ガソリン,係数_バス貨物_CNG,係数_バス貨物_軽油,係数_バス貨物_メタノール,係数_バス貨物_LPG),MATCH(AY1713+1,【参考】排出係数!$AI$4:$AI$671,1)-1,5,BE1713),5,FALSE)),IF(AND(BE1713=3,LEFT(BF1713,1)="1"),0.055,VLOOKUP(AU1713,INDEX((係数_乗用_ガソリン,係数_乗用_CNG,係数_乗用_軽油,係数_乗用_メタノール,係数_乗用_LPG),1,1,BE1713):INDEX((係数_乗用_ガソリン,係数_乗用_CNG,係数_乗用_軽油,係数_乗用_メタノール,係数_乗用_LPG),125,5,BE1713),5,FALSE)))))</f>
        <v/>
      </c>
      <c r="AN1713" s="461" t="str">
        <f t="shared" si="996"/>
        <v/>
      </c>
      <c r="AO1713" s="462" t="str">
        <f t="shared" si="997"/>
        <v/>
      </c>
      <c r="AP1713" s="463" t="str">
        <f t="shared" si="998"/>
        <v/>
      </c>
      <c r="AQ1713" s="464"/>
      <c r="AR1713" s="619"/>
      <c r="AS1713" s="465" t="str">
        <f t="shared" si="968"/>
        <v/>
      </c>
      <c r="AT1713" s="465" t="str">
        <f t="shared" si="969"/>
        <v/>
      </c>
      <c r="AU1713" s="466" t="str">
        <f t="shared" si="970"/>
        <v/>
      </c>
      <c r="AV1713" s="467" t="str">
        <f t="shared" si="971"/>
        <v/>
      </c>
      <c r="AW1713" s="467" t="str">
        <f t="shared" si="972"/>
        <v/>
      </c>
      <c r="AX1713" s="467" t="str">
        <f t="shared" si="973"/>
        <v/>
      </c>
      <c r="AY1713" s="467" t="str">
        <f t="shared" si="974"/>
        <v/>
      </c>
      <c r="AZ1713" s="467" t="str">
        <f t="shared" si="975"/>
        <v/>
      </c>
      <c r="BA1713" s="468" t="str">
        <f>IF(AS1713="","",IF(OR(AU1713="",AU1713="-"),"－",IF(OR(AZ1713=8,AZ1713=9),"",IF(OR(AW1713=3,AW1713=4,AW1713=5,AW1713=6),VLOOKUP(AU1713,INDEX((係数_バス貨物_ガソリン,係数_バス貨物_CNG,係数_バス貨物_軽油,係数_バス貨物_メタノール,係数_バス貨物_LPG),MATCH(AY1713,【参考】排出係数!$AI$4:$AI$671,1),1,BE1713):INDEX((係数_バス貨物_ガソリン,係数_バス貨物_CNG,係数_バス貨物_軽油,係数_バス貨物_メタノール,係数_バス貨物_LPG),MATCH(AY1713+1,【参考】排出係数!$AI$4:$AI$671,1)-1,5,BE1713),2,FALSE),IF(OR(AW1713=1,AW1713=2),VLOOKUP(AU1713,INDEX((係数_乗用_ガソリン,係数_乗用_CNG,係数_乗用_軽油,係数_乗用_メタノール,係数_乗用_LPG),1,1,BE1713):INDEX((係数_乗用_ガソリン,係数_乗用_CNG,係数_乗用_軽油,係数_乗用_メタノール,係数_乗用_LPG),125,5,BE1713),2,FALSE))))))</f>
        <v/>
      </c>
      <c r="BB1713" s="468" t="str">
        <f>IF(T1713="","",IF(OR(AU1713="",AU1713="-"),"－",IF(OR(AZ1713=8,AZ1713=9),"",IF(OR(AW1713=3,AW1713=4,AW1713=5,AW1713=6),VLOOKUP(AU1713,INDEX((係数_バス貨物_ガソリン,係数_バス貨物_CNG,係数_バス貨物_軽油,係数_バス貨物_メタノール,係数_バス貨物_LPG),MATCH(AY1713,【参考】排出係数!$AI$4:$AI$671,1),1,BE1713):INDEX((係数_バス貨物_ガソリン,係数_バス貨物_CNG,係数_バス貨物_軽油,係数_バス貨物_メタノール,係数_バス貨物_LPG),MATCH(AY1713+1,【参考】排出係数!$AI$4:$AI$671,1)-1,5,BE1713),3,FALSE),IF(OR(AW1713=1,AW1713=2),VLOOKUP(AU1713,INDEX((係数_乗用_ガソリン,係数_乗用_CNG,係数_乗用_軽油,係数_乗用_メタノール,係数_乗用_LPG),1,1,BE1713):INDEX((係数_乗用_ガソリン,係数_乗用_CNG,係数_乗用_軽油,係数_乗用_メタノール,係数_乗用_LPG),125,5,BE1713),3,FALSE))))))</f>
        <v/>
      </c>
      <c r="BC1713" s="467" t="str">
        <f t="shared" si="976"/>
        <v/>
      </c>
      <c r="BD1713" s="567" t="str">
        <f t="shared" si="977"/>
        <v/>
      </c>
      <c r="BE1713" s="467" t="str">
        <f t="shared" si="978"/>
        <v/>
      </c>
      <c r="BF1713" s="469" t="str">
        <f t="shared" ca="1" si="979"/>
        <v/>
      </c>
      <c r="BG1713" s="469" t="str">
        <f t="shared" ca="1" si="980"/>
        <v/>
      </c>
      <c r="BH1713" s="467" t="str">
        <f t="shared" si="981"/>
        <v/>
      </c>
      <c r="BI1713" s="467" t="str">
        <f t="shared" ca="1" si="982"/>
        <v/>
      </c>
      <c r="BJ1713" s="469" t="str">
        <f t="shared" si="983"/>
        <v/>
      </c>
      <c r="BK1713" s="470" t="str">
        <f t="shared" si="967"/>
        <v/>
      </c>
      <c r="BL1713" s="775" t="str">
        <f t="shared" si="984"/>
        <v/>
      </c>
      <c r="BM1713" s="775" t="str">
        <f t="shared" si="985"/>
        <v/>
      </c>
    </row>
    <row r="1714" spans="1:65">
      <c r="A1714" s="473">
        <v>1658</v>
      </c>
      <c r="B1714" s="132"/>
      <c r="C1714" s="332"/>
      <c r="D1714" s="333"/>
      <c r="E1714" s="333"/>
      <c r="F1714" s="334"/>
      <c r="G1714" s="337"/>
      <c r="H1714" s="131"/>
      <c r="I1714" s="337"/>
      <c r="J1714" s="131"/>
      <c r="K1714" s="458" t="str">
        <f t="shared" si="986"/>
        <v/>
      </c>
      <c r="L1714" s="458">
        <f t="shared" si="987"/>
        <v>0</v>
      </c>
      <c r="M1714" s="458">
        <f t="shared" si="988"/>
        <v>0</v>
      </c>
      <c r="N1714" s="459" t="str">
        <f t="shared" si="961"/>
        <v/>
      </c>
      <c r="O1714" s="459" t="str">
        <f t="shared" si="962"/>
        <v/>
      </c>
      <c r="P1714" s="459" t="str">
        <f t="shared" si="963"/>
        <v/>
      </c>
      <c r="Q1714" s="459" t="str">
        <f t="shared" si="964"/>
        <v/>
      </c>
      <c r="R1714" s="459" t="str">
        <f t="shared" si="965"/>
        <v/>
      </c>
      <c r="S1714" s="459" t="str">
        <f t="shared" si="966"/>
        <v/>
      </c>
      <c r="T1714" s="566" t="str">
        <f t="shared" si="989"/>
        <v/>
      </c>
      <c r="U1714" s="702"/>
      <c r="V1714" s="132"/>
      <c r="W1714" s="133"/>
      <c r="X1714" s="134"/>
      <c r="Y1714" s="135"/>
      <c r="Z1714" s="137"/>
      <c r="AA1714" s="136"/>
      <c r="AB1714" s="566" t="str">
        <f t="shared" si="990"/>
        <v/>
      </c>
      <c r="AC1714" s="568" t="str">
        <f t="shared" si="991"/>
        <v/>
      </c>
      <c r="AD1714" s="137"/>
      <c r="AE1714" s="137"/>
      <c r="AF1714" s="138"/>
      <c r="AG1714" s="138"/>
      <c r="AH1714" s="592" t="str">
        <f t="shared" si="992"/>
        <v/>
      </c>
      <c r="AI1714" s="592" t="str">
        <f t="shared" si="993"/>
        <v/>
      </c>
      <c r="AJ1714" s="592" t="str">
        <f t="shared" si="994"/>
        <v/>
      </c>
      <c r="AK1714" s="460" t="str">
        <f>IF(AU1714="","",IF(OR(AZ1714=8,AZ1714=9),0,IF(OR(AW1714=3,AW1714=4,AW1714=5,AW1714=6),IF(LEFT(BF1714,1)="1",INDEX(係数_NOX・PM低減,MATCH(AY1714,【参考】排出係数!$AI$801:$AI$804,1),1),VLOOKUP(AU1714,INDEX((係数_バス貨物_ガソリン,係数_バス貨物_CNG,係数_バス貨物_軽油,係数_バス貨物_メタノール,係数_バス貨物_LPG),MATCH(AY1714,【参考】排出係数!$AI$4:$AI$671,1),1,BE1714):INDEX((係数_バス貨物_ガソリン,係数_バス貨物_CNG,係数_バス貨物_軽油,係数_バス貨物_メタノール,係数_バス貨物_LPG),MATCH(AY1714+1,【参考】排出係数!$AI$4:$AI$671,1)-1,5,BE1714),4,FALSE)),IF(AND(BE1714=3,LEFT(BF1714,1)="1"),0.48,VLOOKUP(AU1714,INDEX((係数_乗用_ガソリン,係数_乗用_CNG,係数_乗用_軽油,係数_乗用_メタノール,係数_乗用_LPG),1,1,BE1714):INDEX((係数_乗用_ガソリン,係数_乗用_CNG,係数_乗用_軽油,係数_乗用_メタノール,係数_乗用_LPG),125,5,BE1714),4,FALSE)))))</f>
        <v/>
      </c>
      <c r="AL1714" s="461" t="str">
        <f t="shared" si="995"/>
        <v/>
      </c>
      <c r="AM1714" s="460" t="str">
        <f>IF(AU1714="","",IF(OR(AZ1714=8,AZ1714=9),0,IF(OR(AW1714=3,AW1714=4,AW1714=5,AW1714=6),IF(LEFT(BH1714,1)="1",INDEX(係数_PM低減,MATCH(AY1714,【参考】排出係数!$AI$801:$AI$804,1),MATCH(BI1714,【参考】排出係数!$AL$798:$AO$798,1)),VLOOKUP(AU1714,INDEX((係数_バス貨物_ガソリン,係数_バス貨物_CNG,係数_バス貨物_軽油,係数_バス貨物_メタノール,係数_バス貨物_LPG),MATCH(AY1714,【参考】排出係数!$AI$4:$AI$671,1),1,BE1714):INDEX((係数_バス貨物_ガソリン,係数_バス貨物_CNG,係数_バス貨物_軽油,係数_バス貨物_メタノール,係数_バス貨物_LPG),MATCH(AY1714+1,【参考】排出係数!$AI$4:$AI$671,1)-1,5,BE1714),5,FALSE)),IF(AND(BE1714=3,LEFT(BF1714,1)="1"),0.055,VLOOKUP(AU1714,INDEX((係数_乗用_ガソリン,係数_乗用_CNG,係数_乗用_軽油,係数_乗用_メタノール,係数_乗用_LPG),1,1,BE1714):INDEX((係数_乗用_ガソリン,係数_乗用_CNG,係数_乗用_軽油,係数_乗用_メタノール,係数_乗用_LPG),125,5,BE1714),5,FALSE)))))</f>
        <v/>
      </c>
      <c r="AN1714" s="461" t="str">
        <f t="shared" si="996"/>
        <v/>
      </c>
      <c r="AO1714" s="462" t="str">
        <f t="shared" si="997"/>
        <v/>
      </c>
      <c r="AP1714" s="463" t="str">
        <f t="shared" si="998"/>
        <v/>
      </c>
      <c r="AQ1714" s="464"/>
      <c r="AR1714" s="619"/>
      <c r="AS1714" s="465" t="str">
        <f t="shared" si="968"/>
        <v/>
      </c>
      <c r="AT1714" s="465" t="str">
        <f t="shared" si="969"/>
        <v/>
      </c>
      <c r="AU1714" s="466" t="str">
        <f t="shared" si="970"/>
        <v/>
      </c>
      <c r="AV1714" s="467" t="str">
        <f t="shared" si="971"/>
        <v/>
      </c>
      <c r="AW1714" s="467" t="str">
        <f t="shared" si="972"/>
        <v/>
      </c>
      <c r="AX1714" s="467" t="str">
        <f t="shared" si="973"/>
        <v/>
      </c>
      <c r="AY1714" s="467" t="str">
        <f t="shared" si="974"/>
        <v/>
      </c>
      <c r="AZ1714" s="467" t="str">
        <f t="shared" si="975"/>
        <v/>
      </c>
      <c r="BA1714" s="468" t="str">
        <f>IF(AS1714="","",IF(OR(AU1714="",AU1714="-"),"－",IF(OR(AZ1714=8,AZ1714=9),"",IF(OR(AW1714=3,AW1714=4,AW1714=5,AW1714=6),VLOOKUP(AU1714,INDEX((係数_バス貨物_ガソリン,係数_バス貨物_CNG,係数_バス貨物_軽油,係数_バス貨物_メタノール,係数_バス貨物_LPG),MATCH(AY1714,【参考】排出係数!$AI$4:$AI$671,1),1,BE1714):INDEX((係数_バス貨物_ガソリン,係数_バス貨物_CNG,係数_バス貨物_軽油,係数_バス貨物_メタノール,係数_バス貨物_LPG),MATCH(AY1714+1,【参考】排出係数!$AI$4:$AI$671,1)-1,5,BE1714),2,FALSE),IF(OR(AW1714=1,AW1714=2),VLOOKUP(AU1714,INDEX((係数_乗用_ガソリン,係数_乗用_CNG,係数_乗用_軽油,係数_乗用_メタノール,係数_乗用_LPG),1,1,BE1714):INDEX((係数_乗用_ガソリン,係数_乗用_CNG,係数_乗用_軽油,係数_乗用_メタノール,係数_乗用_LPG),125,5,BE1714),2,FALSE))))))</f>
        <v/>
      </c>
      <c r="BB1714" s="468" t="str">
        <f>IF(T1714="","",IF(OR(AU1714="",AU1714="-"),"－",IF(OR(AZ1714=8,AZ1714=9),"",IF(OR(AW1714=3,AW1714=4,AW1714=5,AW1714=6),VLOOKUP(AU1714,INDEX((係数_バス貨物_ガソリン,係数_バス貨物_CNG,係数_バス貨物_軽油,係数_バス貨物_メタノール,係数_バス貨物_LPG),MATCH(AY1714,【参考】排出係数!$AI$4:$AI$671,1),1,BE1714):INDEX((係数_バス貨物_ガソリン,係数_バス貨物_CNG,係数_バス貨物_軽油,係数_バス貨物_メタノール,係数_バス貨物_LPG),MATCH(AY1714+1,【参考】排出係数!$AI$4:$AI$671,1)-1,5,BE1714),3,FALSE),IF(OR(AW1714=1,AW1714=2),VLOOKUP(AU1714,INDEX((係数_乗用_ガソリン,係数_乗用_CNG,係数_乗用_軽油,係数_乗用_メタノール,係数_乗用_LPG),1,1,BE1714):INDEX((係数_乗用_ガソリン,係数_乗用_CNG,係数_乗用_軽油,係数_乗用_メタノール,係数_乗用_LPG),125,5,BE1714),3,FALSE))))))</f>
        <v/>
      </c>
      <c r="BC1714" s="467" t="str">
        <f t="shared" si="976"/>
        <v/>
      </c>
      <c r="BD1714" s="567" t="str">
        <f t="shared" si="977"/>
        <v/>
      </c>
      <c r="BE1714" s="467" t="str">
        <f t="shared" si="978"/>
        <v/>
      </c>
      <c r="BF1714" s="469" t="str">
        <f t="shared" ca="1" si="979"/>
        <v/>
      </c>
      <c r="BG1714" s="469" t="str">
        <f t="shared" ca="1" si="980"/>
        <v/>
      </c>
      <c r="BH1714" s="467" t="str">
        <f t="shared" si="981"/>
        <v/>
      </c>
      <c r="BI1714" s="467" t="str">
        <f t="shared" ca="1" si="982"/>
        <v/>
      </c>
      <c r="BJ1714" s="469" t="str">
        <f t="shared" si="983"/>
        <v/>
      </c>
      <c r="BK1714" s="470" t="str">
        <f t="shared" si="967"/>
        <v/>
      </c>
      <c r="BL1714" s="775" t="str">
        <f t="shared" si="984"/>
        <v/>
      </c>
      <c r="BM1714" s="775" t="str">
        <f t="shared" si="985"/>
        <v/>
      </c>
    </row>
    <row r="1715" spans="1:65">
      <c r="A1715" s="473">
        <v>1659</v>
      </c>
      <c r="B1715" s="132"/>
      <c r="C1715" s="332"/>
      <c r="D1715" s="333"/>
      <c r="E1715" s="333"/>
      <c r="F1715" s="334"/>
      <c r="G1715" s="337"/>
      <c r="H1715" s="131"/>
      <c r="I1715" s="337"/>
      <c r="J1715" s="131"/>
      <c r="K1715" s="458" t="str">
        <f t="shared" si="986"/>
        <v/>
      </c>
      <c r="L1715" s="458">
        <f t="shared" si="987"/>
        <v>0</v>
      </c>
      <c r="M1715" s="458">
        <f t="shared" si="988"/>
        <v>0</v>
      </c>
      <c r="N1715" s="459" t="str">
        <f t="shared" si="961"/>
        <v/>
      </c>
      <c r="O1715" s="459" t="str">
        <f t="shared" si="962"/>
        <v/>
      </c>
      <c r="P1715" s="459" t="str">
        <f t="shared" si="963"/>
        <v/>
      </c>
      <c r="Q1715" s="459" t="str">
        <f t="shared" si="964"/>
        <v/>
      </c>
      <c r="R1715" s="459" t="str">
        <f t="shared" si="965"/>
        <v/>
      </c>
      <c r="S1715" s="459" t="str">
        <f t="shared" si="966"/>
        <v/>
      </c>
      <c r="T1715" s="566" t="str">
        <f t="shared" si="989"/>
        <v/>
      </c>
      <c r="U1715" s="702"/>
      <c r="V1715" s="132"/>
      <c r="W1715" s="133"/>
      <c r="X1715" s="134"/>
      <c r="Y1715" s="135"/>
      <c r="Z1715" s="137"/>
      <c r="AA1715" s="136"/>
      <c r="AB1715" s="566" t="str">
        <f t="shared" si="990"/>
        <v/>
      </c>
      <c r="AC1715" s="568" t="str">
        <f t="shared" si="991"/>
        <v/>
      </c>
      <c r="AD1715" s="137"/>
      <c r="AE1715" s="137"/>
      <c r="AF1715" s="138"/>
      <c r="AG1715" s="138"/>
      <c r="AH1715" s="592" t="str">
        <f t="shared" si="992"/>
        <v/>
      </c>
      <c r="AI1715" s="592" t="str">
        <f t="shared" si="993"/>
        <v/>
      </c>
      <c r="AJ1715" s="592" t="str">
        <f t="shared" si="994"/>
        <v/>
      </c>
      <c r="AK1715" s="460" t="str">
        <f>IF(AU1715="","",IF(OR(AZ1715=8,AZ1715=9),0,IF(OR(AW1715=3,AW1715=4,AW1715=5,AW1715=6),IF(LEFT(BF1715,1)="1",INDEX(係数_NOX・PM低減,MATCH(AY1715,【参考】排出係数!$AI$801:$AI$804,1),1),VLOOKUP(AU1715,INDEX((係数_バス貨物_ガソリン,係数_バス貨物_CNG,係数_バス貨物_軽油,係数_バス貨物_メタノール,係数_バス貨物_LPG),MATCH(AY1715,【参考】排出係数!$AI$4:$AI$671,1),1,BE1715):INDEX((係数_バス貨物_ガソリン,係数_バス貨物_CNG,係数_バス貨物_軽油,係数_バス貨物_メタノール,係数_バス貨物_LPG),MATCH(AY1715+1,【参考】排出係数!$AI$4:$AI$671,1)-1,5,BE1715),4,FALSE)),IF(AND(BE1715=3,LEFT(BF1715,1)="1"),0.48,VLOOKUP(AU1715,INDEX((係数_乗用_ガソリン,係数_乗用_CNG,係数_乗用_軽油,係数_乗用_メタノール,係数_乗用_LPG),1,1,BE1715):INDEX((係数_乗用_ガソリン,係数_乗用_CNG,係数_乗用_軽油,係数_乗用_メタノール,係数_乗用_LPG),125,5,BE1715),4,FALSE)))))</f>
        <v/>
      </c>
      <c r="AL1715" s="461" t="str">
        <f t="shared" si="995"/>
        <v/>
      </c>
      <c r="AM1715" s="460" t="str">
        <f>IF(AU1715="","",IF(OR(AZ1715=8,AZ1715=9),0,IF(OR(AW1715=3,AW1715=4,AW1715=5,AW1715=6),IF(LEFT(BH1715,1)="1",INDEX(係数_PM低減,MATCH(AY1715,【参考】排出係数!$AI$801:$AI$804,1),MATCH(BI1715,【参考】排出係数!$AL$798:$AO$798,1)),VLOOKUP(AU1715,INDEX((係数_バス貨物_ガソリン,係数_バス貨物_CNG,係数_バス貨物_軽油,係数_バス貨物_メタノール,係数_バス貨物_LPG),MATCH(AY1715,【参考】排出係数!$AI$4:$AI$671,1),1,BE1715):INDEX((係数_バス貨物_ガソリン,係数_バス貨物_CNG,係数_バス貨物_軽油,係数_バス貨物_メタノール,係数_バス貨物_LPG),MATCH(AY1715+1,【参考】排出係数!$AI$4:$AI$671,1)-1,5,BE1715),5,FALSE)),IF(AND(BE1715=3,LEFT(BF1715,1)="1"),0.055,VLOOKUP(AU1715,INDEX((係数_乗用_ガソリン,係数_乗用_CNG,係数_乗用_軽油,係数_乗用_メタノール,係数_乗用_LPG),1,1,BE1715):INDEX((係数_乗用_ガソリン,係数_乗用_CNG,係数_乗用_軽油,係数_乗用_メタノール,係数_乗用_LPG),125,5,BE1715),5,FALSE)))))</f>
        <v/>
      </c>
      <c r="AN1715" s="461" t="str">
        <f t="shared" si="996"/>
        <v/>
      </c>
      <c r="AO1715" s="462" t="str">
        <f t="shared" si="997"/>
        <v/>
      </c>
      <c r="AP1715" s="463" t="str">
        <f t="shared" si="998"/>
        <v/>
      </c>
      <c r="AQ1715" s="464"/>
      <c r="AR1715" s="619"/>
      <c r="AS1715" s="465" t="str">
        <f t="shared" si="968"/>
        <v/>
      </c>
      <c r="AT1715" s="465" t="str">
        <f t="shared" si="969"/>
        <v/>
      </c>
      <c r="AU1715" s="466" t="str">
        <f t="shared" si="970"/>
        <v/>
      </c>
      <c r="AV1715" s="467" t="str">
        <f t="shared" si="971"/>
        <v/>
      </c>
      <c r="AW1715" s="467" t="str">
        <f t="shared" si="972"/>
        <v/>
      </c>
      <c r="AX1715" s="467" t="str">
        <f t="shared" si="973"/>
        <v/>
      </c>
      <c r="AY1715" s="467" t="str">
        <f t="shared" si="974"/>
        <v/>
      </c>
      <c r="AZ1715" s="467" t="str">
        <f t="shared" si="975"/>
        <v/>
      </c>
      <c r="BA1715" s="468" t="str">
        <f>IF(AS1715="","",IF(OR(AU1715="",AU1715="-"),"－",IF(OR(AZ1715=8,AZ1715=9),"",IF(OR(AW1715=3,AW1715=4,AW1715=5,AW1715=6),VLOOKUP(AU1715,INDEX((係数_バス貨物_ガソリン,係数_バス貨物_CNG,係数_バス貨物_軽油,係数_バス貨物_メタノール,係数_バス貨物_LPG),MATCH(AY1715,【参考】排出係数!$AI$4:$AI$671,1),1,BE1715):INDEX((係数_バス貨物_ガソリン,係数_バス貨物_CNG,係数_バス貨物_軽油,係数_バス貨物_メタノール,係数_バス貨物_LPG),MATCH(AY1715+1,【参考】排出係数!$AI$4:$AI$671,1)-1,5,BE1715),2,FALSE),IF(OR(AW1715=1,AW1715=2),VLOOKUP(AU1715,INDEX((係数_乗用_ガソリン,係数_乗用_CNG,係数_乗用_軽油,係数_乗用_メタノール,係数_乗用_LPG),1,1,BE1715):INDEX((係数_乗用_ガソリン,係数_乗用_CNG,係数_乗用_軽油,係数_乗用_メタノール,係数_乗用_LPG),125,5,BE1715),2,FALSE))))))</f>
        <v/>
      </c>
      <c r="BB1715" s="468" t="str">
        <f>IF(T1715="","",IF(OR(AU1715="",AU1715="-"),"－",IF(OR(AZ1715=8,AZ1715=9),"",IF(OR(AW1715=3,AW1715=4,AW1715=5,AW1715=6),VLOOKUP(AU1715,INDEX((係数_バス貨物_ガソリン,係数_バス貨物_CNG,係数_バス貨物_軽油,係数_バス貨物_メタノール,係数_バス貨物_LPG),MATCH(AY1715,【参考】排出係数!$AI$4:$AI$671,1),1,BE1715):INDEX((係数_バス貨物_ガソリン,係数_バス貨物_CNG,係数_バス貨物_軽油,係数_バス貨物_メタノール,係数_バス貨物_LPG),MATCH(AY1715+1,【参考】排出係数!$AI$4:$AI$671,1)-1,5,BE1715),3,FALSE),IF(OR(AW1715=1,AW1715=2),VLOOKUP(AU1715,INDEX((係数_乗用_ガソリン,係数_乗用_CNG,係数_乗用_軽油,係数_乗用_メタノール,係数_乗用_LPG),1,1,BE1715):INDEX((係数_乗用_ガソリン,係数_乗用_CNG,係数_乗用_軽油,係数_乗用_メタノール,係数_乗用_LPG),125,5,BE1715),3,FALSE))))))</f>
        <v/>
      </c>
      <c r="BC1715" s="467" t="str">
        <f t="shared" si="976"/>
        <v/>
      </c>
      <c r="BD1715" s="567" t="str">
        <f t="shared" si="977"/>
        <v/>
      </c>
      <c r="BE1715" s="467" t="str">
        <f t="shared" si="978"/>
        <v/>
      </c>
      <c r="BF1715" s="469" t="str">
        <f t="shared" ca="1" si="979"/>
        <v/>
      </c>
      <c r="BG1715" s="469" t="str">
        <f t="shared" ca="1" si="980"/>
        <v/>
      </c>
      <c r="BH1715" s="467" t="str">
        <f t="shared" si="981"/>
        <v/>
      </c>
      <c r="BI1715" s="467" t="str">
        <f t="shared" ca="1" si="982"/>
        <v/>
      </c>
      <c r="BJ1715" s="469" t="str">
        <f t="shared" si="983"/>
        <v/>
      </c>
      <c r="BK1715" s="470" t="str">
        <f t="shared" si="967"/>
        <v/>
      </c>
      <c r="BL1715" s="775" t="str">
        <f t="shared" si="984"/>
        <v/>
      </c>
      <c r="BM1715" s="775" t="str">
        <f t="shared" si="985"/>
        <v/>
      </c>
    </row>
    <row r="1716" spans="1:65">
      <c r="A1716" s="473">
        <v>1660</v>
      </c>
      <c r="B1716" s="132"/>
      <c r="C1716" s="332"/>
      <c r="D1716" s="333"/>
      <c r="E1716" s="333"/>
      <c r="F1716" s="334"/>
      <c r="G1716" s="337"/>
      <c r="H1716" s="131"/>
      <c r="I1716" s="337"/>
      <c r="J1716" s="131"/>
      <c r="K1716" s="458" t="str">
        <f t="shared" si="986"/>
        <v/>
      </c>
      <c r="L1716" s="458">
        <f t="shared" si="987"/>
        <v>0</v>
      </c>
      <c r="M1716" s="458">
        <f t="shared" si="988"/>
        <v>0</v>
      </c>
      <c r="N1716" s="459" t="str">
        <f t="shared" si="961"/>
        <v/>
      </c>
      <c r="O1716" s="459" t="str">
        <f t="shared" si="962"/>
        <v/>
      </c>
      <c r="P1716" s="459" t="str">
        <f t="shared" si="963"/>
        <v/>
      </c>
      <c r="Q1716" s="459" t="str">
        <f t="shared" si="964"/>
        <v/>
      </c>
      <c r="R1716" s="459" t="str">
        <f t="shared" si="965"/>
        <v/>
      </c>
      <c r="S1716" s="459" t="str">
        <f t="shared" si="966"/>
        <v/>
      </c>
      <c r="T1716" s="566" t="str">
        <f t="shared" si="989"/>
        <v/>
      </c>
      <c r="U1716" s="702"/>
      <c r="V1716" s="132"/>
      <c r="W1716" s="133"/>
      <c r="X1716" s="134"/>
      <c r="Y1716" s="135"/>
      <c r="Z1716" s="137"/>
      <c r="AA1716" s="136"/>
      <c r="AB1716" s="566" t="str">
        <f t="shared" si="990"/>
        <v/>
      </c>
      <c r="AC1716" s="568" t="str">
        <f t="shared" si="991"/>
        <v/>
      </c>
      <c r="AD1716" s="137"/>
      <c r="AE1716" s="137"/>
      <c r="AF1716" s="138"/>
      <c r="AG1716" s="138"/>
      <c r="AH1716" s="592" t="str">
        <f t="shared" si="992"/>
        <v/>
      </c>
      <c r="AI1716" s="592" t="str">
        <f t="shared" si="993"/>
        <v/>
      </c>
      <c r="AJ1716" s="592" t="str">
        <f t="shared" si="994"/>
        <v/>
      </c>
      <c r="AK1716" s="460" t="str">
        <f>IF(AU1716="","",IF(OR(AZ1716=8,AZ1716=9),0,IF(OR(AW1716=3,AW1716=4,AW1716=5,AW1716=6),IF(LEFT(BF1716,1)="1",INDEX(係数_NOX・PM低減,MATCH(AY1716,【参考】排出係数!$AI$801:$AI$804,1),1),VLOOKUP(AU1716,INDEX((係数_バス貨物_ガソリン,係数_バス貨物_CNG,係数_バス貨物_軽油,係数_バス貨物_メタノール,係数_バス貨物_LPG),MATCH(AY1716,【参考】排出係数!$AI$4:$AI$671,1),1,BE1716):INDEX((係数_バス貨物_ガソリン,係数_バス貨物_CNG,係数_バス貨物_軽油,係数_バス貨物_メタノール,係数_バス貨物_LPG),MATCH(AY1716+1,【参考】排出係数!$AI$4:$AI$671,1)-1,5,BE1716),4,FALSE)),IF(AND(BE1716=3,LEFT(BF1716,1)="1"),0.48,VLOOKUP(AU1716,INDEX((係数_乗用_ガソリン,係数_乗用_CNG,係数_乗用_軽油,係数_乗用_メタノール,係数_乗用_LPG),1,1,BE1716):INDEX((係数_乗用_ガソリン,係数_乗用_CNG,係数_乗用_軽油,係数_乗用_メタノール,係数_乗用_LPG),125,5,BE1716),4,FALSE)))))</f>
        <v/>
      </c>
      <c r="AL1716" s="461" t="str">
        <f t="shared" si="995"/>
        <v/>
      </c>
      <c r="AM1716" s="460" t="str">
        <f>IF(AU1716="","",IF(OR(AZ1716=8,AZ1716=9),0,IF(OR(AW1716=3,AW1716=4,AW1716=5,AW1716=6),IF(LEFT(BH1716,1)="1",INDEX(係数_PM低減,MATCH(AY1716,【参考】排出係数!$AI$801:$AI$804,1),MATCH(BI1716,【参考】排出係数!$AL$798:$AO$798,1)),VLOOKUP(AU1716,INDEX((係数_バス貨物_ガソリン,係数_バス貨物_CNG,係数_バス貨物_軽油,係数_バス貨物_メタノール,係数_バス貨物_LPG),MATCH(AY1716,【参考】排出係数!$AI$4:$AI$671,1),1,BE1716):INDEX((係数_バス貨物_ガソリン,係数_バス貨物_CNG,係数_バス貨物_軽油,係数_バス貨物_メタノール,係数_バス貨物_LPG),MATCH(AY1716+1,【参考】排出係数!$AI$4:$AI$671,1)-1,5,BE1716),5,FALSE)),IF(AND(BE1716=3,LEFT(BF1716,1)="1"),0.055,VLOOKUP(AU1716,INDEX((係数_乗用_ガソリン,係数_乗用_CNG,係数_乗用_軽油,係数_乗用_メタノール,係数_乗用_LPG),1,1,BE1716):INDEX((係数_乗用_ガソリン,係数_乗用_CNG,係数_乗用_軽油,係数_乗用_メタノール,係数_乗用_LPG),125,5,BE1716),5,FALSE)))))</f>
        <v/>
      </c>
      <c r="AN1716" s="461" t="str">
        <f t="shared" si="996"/>
        <v/>
      </c>
      <c r="AO1716" s="462" t="str">
        <f t="shared" si="997"/>
        <v/>
      </c>
      <c r="AP1716" s="463" t="str">
        <f t="shared" si="998"/>
        <v/>
      </c>
      <c r="AQ1716" s="464"/>
      <c r="AR1716" s="619"/>
      <c r="AS1716" s="465" t="str">
        <f t="shared" si="968"/>
        <v/>
      </c>
      <c r="AT1716" s="465" t="str">
        <f t="shared" si="969"/>
        <v/>
      </c>
      <c r="AU1716" s="466" t="str">
        <f t="shared" si="970"/>
        <v/>
      </c>
      <c r="AV1716" s="467" t="str">
        <f t="shared" si="971"/>
        <v/>
      </c>
      <c r="AW1716" s="467" t="str">
        <f t="shared" si="972"/>
        <v/>
      </c>
      <c r="AX1716" s="467" t="str">
        <f t="shared" si="973"/>
        <v/>
      </c>
      <c r="AY1716" s="467" t="str">
        <f t="shared" si="974"/>
        <v/>
      </c>
      <c r="AZ1716" s="467" t="str">
        <f t="shared" si="975"/>
        <v/>
      </c>
      <c r="BA1716" s="468" t="str">
        <f>IF(AS1716="","",IF(OR(AU1716="",AU1716="-"),"－",IF(OR(AZ1716=8,AZ1716=9),"",IF(OR(AW1716=3,AW1716=4,AW1716=5,AW1716=6),VLOOKUP(AU1716,INDEX((係数_バス貨物_ガソリン,係数_バス貨物_CNG,係数_バス貨物_軽油,係数_バス貨物_メタノール,係数_バス貨物_LPG),MATCH(AY1716,【参考】排出係数!$AI$4:$AI$671,1),1,BE1716):INDEX((係数_バス貨物_ガソリン,係数_バス貨物_CNG,係数_バス貨物_軽油,係数_バス貨物_メタノール,係数_バス貨物_LPG),MATCH(AY1716+1,【参考】排出係数!$AI$4:$AI$671,1)-1,5,BE1716),2,FALSE),IF(OR(AW1716=1,AW1716=2),VLOOKUP(AU1716,INDEX((係数_乗用_ガソリン,係数_乗用_CNG,係数_乗用_軽油,係数_乗用_メタノール,係数_乗用_LPG),1,1,BE1716):INDEX((係数_乗用_ガソリン,係数_乗用_CNG,係数_乗用_軽油,係数_乗用_メタノール,係数_乗用_LPG),125,5,BE1716),2,FALSE))))))</f>
        <v/>
      </c>
      <c r="BB1716" s="468" t="str">
        <f>IF(T1716="","",IF(OR(AU1716="",AU1716="-"),"－",IF(OR(AZ1716=8,AZ1716=9),"",IF(OR(AW1716=3,AW1716=4,AW1716=5,AW1716=6),VLOOKUP(AU1716,INDEX((係数_バス貨物_ガソリン,係数_バス貨物_CNG,係数_バス貨物_軽油,係数_バス貨物_メタノール,係数_バス貨物_LPG),MATCH(AY1716,【参考】排出係数!$AI$4:$AI$671,1),1,BE1716):INDEX((係数_バス貨物_ガソリン,係数_バス貨物_CNG,係数_バス貨物_軽油,係数_バス貨物_メタノール,係数_バス貨物_LPG),MATCH(AY1716+1,【参考】排出係数!$AI$4:$AI$671,1)-1,5,BE1716),3,FALSE),IF(OR(AW1716=1,AW1716=2),VLOOKUP(AU1716,INDEX((係数_乗用_ガソリン,係数_乗用_CNG,係数_乗用_軽油,係数_乗用_メタノール,係数_乗用_LPG),1,1,BE1716):INDEX((係数_乗用_ガソリン,係数_乗用_CNG,係数_乗用_軽油,係数_乗用_メタノール,係数_乗用_LPG),125,5,BE1716),3,FALSE))))))</f>
        <v/>
      </c>
      <c r="BC1716" s="467" t="str">
        <f t="shared" si="976"/>
        <v/>
      </c>
      <c r="BD1716" s="567" t="str">
        <f t="shared" si="977"/>
        <v/>
      </c>
      <c r="BE1716" s="467" t="str">
        <f t="shared" si="978"/>
        <v/>
      </c>
      <c r="BF1716" s="469" t="str">
        <f t="shared" ca="1" si="979"/>
        <v/>
      </c>
      <c r="BG1716" s="469" t="str">
        <f t="shared" ca="1" si="980"/>
        <v/>
      </c>
      <c r="BH1716" s="467" t="str">
        <f t="shared" si="981"/>
        <v/>
      </c>
      <c r="BI1716" s="467" t="str">
        <f t="shared" ca="1" si="982"/>
        <v/>
      </c>
      <c r="BJ1716" s="469" t="str">
        <f t="shared" si="983"/>
        <v/>
      </c>
      <c r="BK1716" s="470" t="str">
        <f t="shared" si="967"/>
        <v/>
      </c>
      <c r="BL1716" s="775" t="str">
        <f t="shared" si="984"/>
        <v/>
      </c>
      <c r="BM1716" s="775" t="str">
        <f t="shared" si="985"/>
        <v/>
      </c>
    </row>
    <row r="1717" spans="1:65">
      <c r="A1717" s="473">
        <v>1661</v>
      </c>
      <c r="B1717" s="132"/>
      <c r="C1717" s="332"/>
      <c r="D1717" s="333"/>
      <c r="E1717" s="333"/>
      <c r="F1717" s="334"/>
      <c r="G1717" s="337"/>
      <c r="H1717" s="131"/>
      <c r="I1717" s="337"/>
      <c r="J1717" s="131"/>
      <c r="K1717" s="458" t="str">
        <f t="shared" si="986"/>
        <v/>
      </c>
      <c r="L1717" s="458">
        <f t="shared" si="987"/>
        <v>0</v>
      </c>
      <c r="M1717" s="458">
        <f t="shared" si="988"/>
        <v>0</v>
      </c>
      <c r="N1717" s="459" t="str">
        <f t="shared" si="961"/>
        <v/>
      </c>
      <c r="O1717" s="459" t="str">
        <f t="shared" si="962"/>
        <v/>
      </c>
      <c r="P1717" s="459" t="str">
        <f t="shared" si="963"/>
        <v/>
      </c>
      <c r="Q1717" s="459" t="str">
        <f t="shared" si="964"/>
        <v/>
      </c>
      <c r="R1717" s="459" t="str">
        <f t="shared" si="965"/>
        <v/>
      </c>
      <c r="S1717" s="459" t="str">
        <f t="shared" si="966"/>
        <v/>
      </c>
      <c r="T1717" s="566" t="str">
        <f t="shared" si="989"/>
        <v/>
      </c>
      <c r="U1717" s="702"/>
      <c r="V1717" s="132"/>
      <c r="W1717" s="133"/>
      <c r="X1717" s="134"/>
      <c r="Y1717" s="135"/>
      <c r="Z1717" s="137"/>
      <c r="AA1717" s="136"/>
      <c r="AB1717" s="566" t="str">
        <f t="shared" si="990"/>
        <v/>
      </c>
      <c r="AC1717" s="568" t="str">
        <f t="shared" si="991"/>
        <v/>
      </c>
      <c r="AD1717" s="137"/>
      <c r="AE1717" s="137"/>
      <c r="AF1717" s="138"/>
      <c r="AG1717" s="138"/>
      <c r="AH1717" s="592" t="str">
        <f t="shared" si="992"/>
        <v/>
      </c>
      <c r="AI1717" s="592" t="str">
        <f t="shared" si="993"/>
        <v/>
      </c>
      <c r="AJ1717" s="592" t="str">
        <f t="shared" si="994"/>
        <v/>
      </c>
      <c r="AK1717" s="460" t="str">
        <f>IF(AU1717="","",IF(OR(AZ1717=8,AZ1717=9),0,IF(OR(AW1717=3,AW1717=4,AW1717=5,AW1717=6),IF(LEFT(BF1717,1)="1",INDEX(係数_NOX・PM低減,MATCH(AY1717,【参考】排出係数!$AI$801:$AI$804,1),1),VLOOKUP(AU1717,INDEX((係数_バス貨物_ガソリン,係数_バス貨物_CNG,係数_バス貨物_軽油,係数_バス貨物_メタノール,係数_バス貨物_LPG),MATCH(AY1717,【参考】排出係数!$AI$4:$AI$671,1),1,BE1717):INDEX((係数_バス貨物_ガソリン,係数_バス貨物_CNG,係数_バス貨物_軽油,係数_バス貨物_メタノール,係数_バス貨物_LPG),MATCH(AY1717+1,【参考】排出係数!$AI$4:$AI$671,1)-1,5,BE1717),4,FALSE)),IF(AND(BE1717=3,LEFT(BF1717,1)="1"),0.48,VLOOKUP(AU1717,INDEX((係数_乗用_ガソリン,係数_乗用_CNG,係数_乗用_軽油,係数_乗用_メタノール,係数_乗用_LPG),1,1,BE1717):INDEX((係数_乗用_ガソリン,係数_乗用_CNG,係数_乗用_軽油,係数_乗用_メタノール,係数_乗用_LPG),125,5,BE1717),4,FALSE)))))</f>
        <v/>
      </c>
      <c r="AL1717" s="461" t="str">
        <f t="shared" si="995"/>
        <v/>
      </c>
      <c r="AM1717" s="460" t="str">
        <f>IF(AU1717="","",IF(OR(AZ1717=8,AZ1717=9),0,IF(OR(AW1717=3,AW1717=4,AW1717=5,AW1717=6),IF(LEFT(BH1717,1)="1",INDEX(係数_PM低減,MATCH(AY1717,【参考】排出係数!$AI$801:$AI$804,1),MATCH(BI1717,【参考】排出係数!$AL$798:$AO$798,1)),VLOOKUP(AU1717,INDEX((係数_バス貨物_ガソリン,係数_バス貨物_CNG,係数_バス貨物_軽油,係数_バス貨物_メタノール,係数_バス貨物_LPG),MATCH(AY1717,【参考】排出係数!$AI$4:$AI$671,1),1,BE1717):INDEX((係数_バス貨物_ガソリン,係数_バス貨物_CNG,係数_バス貨物_軽油,係数_バス貨物_メタノール,係数_バス貨物_LPG),MATCH(AY1717+1,【参考】排出係数!$AI$4:$AI$671,1)-1,5,BE1717),5,FALSE)),IF(AND(BE1717=3,LEFT(BF1717,1)="1"),0.055,VLOOKUP(AU1717,INDEX((係数_乗用_ガソリン,係数_乗用_CNG,係数_乗用_軽油,係数_乗用_メタノール,係数_乗用_LPG),1,1,BE1717):INDEX((係数_乗用_ガソリン,係数_乗用_CNG,係数_乗用_軽油,係数_乗用_メタノール,係数_乗用_LPG),125,5,BE1717),5,FALSE)))))</f>
        <v/>
      </c>
      <c r="AN1717" s="461" t="str">
        <f t="shared" si="996"/>
        <v/>
      </c>
      <c r="AO1717" s="462" t="str">
        <f t="shared" si="997"/>
        <v/>
      </c>
      <c r="AP1717" s="463" t="str">
        <f t="shared" si="998"/>
        <v/>
      </c>
      <c r="AQ1717" s="464"/>
      <c r="AR1717" s="619"/>
      <c r="AS1717" s="465" t="str">
        <f t="shared" si="968"/>
        <v/>
      </c>
      <c r="AT1717" s="465" t="str">
        <f t="shared" si="969"/>
        <v/>
      </c>
      <c r="AU1717" s="466" t="str">
        <f t="shared" si="970"/>
        <v/>
      </c>
      <c r="AV1717" s="467" t="str">
        <f t="shared" si="971"/>
        <v/>
      </c>
      <c r="AW1717" s="467" t="str">
        <f t="shared" si="972"/>
        <v/>
      </c>
      <c r="AX1717" s="467" t="str">
        <f t="shared" si="973"/>
        <v/>
      </c>
      <c r="AY1717" s="467" t="str">
        <f t="shared" si="974"/>
        <v/>
      </c>
      <c r="AZ1717" s="467" t="str">
        <f t="shared" si="975"/>
        <v/>
      </c>
      <c r="BA1717" s="468" t="str">
        <f>IF(AS1717="","",IF(OR(AU1717="",AU1717="-"),"－",IF(OR(AZ1717=8,AZ1717=9),"",IF(OR(AW1717=3,AW1717=4,AW1717=5,AW1717=6),VLOOKUP(AU1717,INDEX((係数_バス貨物_ガソリン,係数_バス貨物_CNG,係数_バス貨物_軽油,係数_バス貨物_メタノール,係数_バス貨物_LPG),MATCH(AY1717,【参考】排出係数!$AI$4:$AI$671,1),1,BE1717):INDEX((係数_バス貨物_ガソリン,係数_バス貨物_CNG,係数_バス貨物_軽油,係数_バス貨物_メタノール,係数_バス貨物_LPG),MATCH(AY1717+1,【参考】排出係数!$AI$4:$AI$671,1)-1,5,BE1717),2,FALSE),IF(OR(AW1717=1,AW1717=2),VLOOKUP(AU1717,INDEX((係数_乗用_ガソリン,係数_乗用_CNG,係数_乗用_軽油,係数_乗用_メタノール,係数_乗用_LPG),1,1,BE1717):INDEX((係数_乗用_ガソリン,係数_乗用_CNG,係数_乗用_軽油,係数_乗用_メタノール,係数_乗用_LPG),125,5,BE1717),2,FALSE))))))</f>
        <v/>
      </c>
      <c r="BB1717" s="468" t="str">
        <f>IF(T1717="","",IF(OR(AU1717="",AU1717="-"),"－",IF(OR(AZ1717=8,AZ1717=9),"",IF(OR(AW1717=3,AW1717=4,AW1717=5,AW1717=6),VLOOKUP(AU1717,INDEX((係数_バス貨物_ガソリン,係数_バス貨物_CNG,係数_バス貨物_軽油,係数_バス貨物_メタノール,係数_バス貨物_LPG),MATCH(AY1717,【参考】排出係数!$AI$4:$AI$671,1),1,BE1717):INDEX((係数_バス貨物_ガソリン,係数_バス貨物_CNG,係数_バス貨物_軽油,係数_バス貨物_メタノール,係数_バス貨物_LPG),MATCH(AY1717+1,【参考】排出係数!$AI$4:$AI$671,1)-1,5,BE1717),3,FALSE),IF(OR(AW1717=1,AW1717=2),VLOOKUP(AU1717,INDEX((係数_乗用_ガソリン,係数_乗用_CNG,係数_乗用_軽油,係数_乗用_メタノール,係数_乗用_LPG),1,1,BE1717):INDEX((係数_乗用_ガソリン,係数_乗用_CNG,係数_乗用_軽油,係数_乗用_メタノール,係数_乗用_LPG),125,5,BE1717),3,FALSE))))))</f>
        <v/>
      </c>
      <c r="BC1717" s="467" t="str">
        <f t="shared" si="976"/>
        <v/>
      </c>
      <c r="BD1717" s="567" t="str">
        <f t="shared" si="977"/>
        <v/>
      </c>
      <c r="BE1717" s="467" t="str">
        <f t="shared" si="978"/>
        <v/>
      </c>
      <c r="BF1717" s="469" t="str">
        <f t="shared" ca="1" si="979"/>
        <v/>
      </c>
      <c r="BG1717" s="469" t="str">
        <f t="shared" ca="1" si="980"/>
        <v/>
      </c>
      <c r="BH1717" s="467" t="str">
        <f t="shared" si="981"/>
        <v/>
      </c>
      <c r="BI1717" s="467" t="str">
        <f t="shared" ca="1" si="982"/>
        <v/>
      </c>
      <c r="BJ1717" s="469" t="str">
        <f t="shared" si="983"/>
        <v/>
      </c>
      <c r="BK1717" s="470" t="str">
        <f t="shared" si="967"/>
        <v/>
      </c>
      <c r="BL1717" s="775" t="str">
        <f t="shared" si="984"/>
        <v/>
      </c>
      <c r="BM1717" s="775" t="str">
        <f t="shared" si="985"/>
        <v/>
      </c>
    </row>
    <row r="1718" spans="1:65">
      <c r="A1718" s="473">
        <v>1662</v>
      </c>
      <c r="B1718" s="132"/>
      <c r="C1718" s="332"/>
      <c r="D1718" s="333"/>
      <c r="E1718" s="333"/>
      <c r="F1718" s="334"/>
      <c r="G1718" s="337"/>
      <c r="H1718" s="131"/>
      <c r="I1718" s="337"/>
      <c r="J1718" s="131"/>
      <c r="K1718" s="458" t="str">
        <f t="shared" si="986"/>
        <v/>
      </c>
      <c r="L1718" s="458">
        <f t="shared" si="987"/>
        <v>0</v>
      </c>
      <c r="M1718" s="458">
        <f t="shared" si="988"/>
        <v>0</v>
      </c>
      <c r="N1718" s="459" t="str">
        <f t="shared" si="961"/>
        <v/>
      </c>
      <c r="O1718" s="459" t="str">
        <f t="shared" si="962"/>
        <v/>
      </c>
      <c r="P1718" s="459" t="str">
        <f t="shared" si="963"/>
        <v/>
      </c>
      <c r="Q1718" s="459" t="str">
        <f t="shared" si="964"/>
        <v/>
      </c>
      <c r="R1718" s="459" t="str">
        <f t="shared" si="965"/>
        <v/>
      </c>
      <c r="S1718" s="459" t="str">
        <f t="shared" si="966"/>
        <v/>
      </c>
      <c r="T1718" s="566" t="str">
        <f t="shared" si="989"/>
        <v/>
      </c>
      <c r="U1718" s="702"/>
      <c r="V1718" s="132"/>
      <c r="W1718" s="133"/>
      <c r="X1718" s="134"/>
      <c r="Y1718" s="135"/>
      <c r="Z1718" s="137"/>
      <c r="AA1718" s="136"/>
      <c r="AB1718" s="566" t="str">
        <f t="shared" si="990"/>
        <v/>
      </c>
      <c r="AC1718" s="568" t="str">
        <f t="shared" si="991"/>
        <v/>
      </c>
      <c r="AD1718" s="137"/>
      <c r="AE1718" s="137"/>
      <c r="AF1718" s="138"/>
      <c r="AG1718" s="138"/>
      <c r="AH1718" s="592" t="str">
        <f t="shared" si="992"/>
        <v/>
      </c>
      <c r="AI1718" s="592" t="str">
        <f t="shared" si="993"/>
        <v/>
      </c>
      <c r="AJ1718" s="592" t="str">
        <f t="shared" si="994"/>
        <v/>
      </c>
      <c r="AK1718" s="460" t="str">
        <f>IF(AU1718="","",IF(OR(AZ1718=8,AZ1718=9),0,IF(OR(AW1718=3,AW1718=4,AW1718=5,AW1718=6),IF(LEFT(BF1718,1)="1",INDEX(係数_NOX・PM低減,MATCH(AY1718,【参考】排出係数!$AI$801:$AI$804,1),1),VLOOKUP(AU1718,INDEX((係数_バス貨物_ガソリン,係数_バス貨物_CNG,係数_バス貨物_軽油,係数_バス貨物_メタノール,係数_バス貨物_LPG),MATCH(AY1718,【参考】排出係数!$AI$4:$AI$671,1),1,BE1718):INDEX((係数_バス貨物_ガソリン,係数_バス貨物_CNG,係数_バス貨物_軽油,係数_バス貨物_メタノール,係数_バス貨物_LPG),MATCH(AY1718+1,【参考】排出係数!$AI$4:$AI$671,1)-1,5,BE1718),4,FALSE)),IF(AND(BE1718=3,LEFT(BF1718,1)="1"),0.48,VLOOKUP(AU1718,INDEX((係数_乗用_ガソリン,係数_乗用_CNG,係数_乗用_軽油,係数_乗用_メタノール,係数_乗用_LPG),1,1,BE1718):INDEX((係数_乗用_ガソリン,係数_乗用_CNG,係数_乗用_軽油,係数_乗用_メタノール,係数_乗用_LPG),125,5,BE1718),4,FALSE)))))</f>
        <v/>
      </c>
      <c r="AL1718" s="461" t="str">
        <f t="shared" si="995"/>
        <v/>
      </c>
      <c r="AM1718" s="460" t="str">
        <f>IF(AU1718="","",IF(OR(AZ1718=8,AZ1718=9),0,IF(OR(AW1718=3,AW1718=4,AW1718=5,AW1718=6),IF(LEFT(BH1718,1)="1",INDEX(係数_PM低減,MATCH(AY1718,【参考】排出係数!$AI$801:$AI$804,1),MATCH(BI1718,【参考】排出係数!$AL$798:$AO$798,1)),VLOOKUP(AU1718,INDEX((係数_バス貨物_ガソリン,係数_バス貨物_CNG,係数_バス貨物_軽油,係数_バス貨物_メタノール,係数_バス貨物_LPG),MATCH(AY1718,【参考】排出係数!$AI$4:$AI$671,1),1,BE1718):INDEX((係数_バス貨物_ガソリン,係数_バス貨物_CNG,係数_バス貨物_軽油,係数_バス貨物_メタノール,係数_バス貨物_LPG),MATCH(AY1718+1,【参考】排出係数!$AI$4:$AI$671,1)-1,5,BE1718),5,FALSE)),IF(AND(BE1718=3,LEFT(BF1718,1)="1"),0.055,VLOOKUP(AU1718,INDEX((係数_乗用_ガソリン,係数_乗用_CNG,係数_乗用_軽油,係数_乗用_メタノール,係数_乗用_LPG),1,1,BE1718):INDEX((係数_乗用_ガソリン,係数_乗用_CNG,係数_乗用_軽油,係数_乗用_メタノール,係数_乗用_LPG),125,5,BE1718),5,FALSE)))))</f>
        <v/>
      </c>
      <c r="AN1718" s="461" t="str">
        <f t="shared" si="996"/>
        <v/>
      </c>
      <c r="AO1718" s="462" t="str">
        <f t="shared" si="997"/>
        <v/>
      </c>
      <c r="AP1718" s="463" t="str">
        <f t="shared" si="998"/>
        <v/>
      </c>
      <c r="AQ1718" s="464"/>
      <c r="AR1718" s="619"/>
      <c r="AS1718" s="465" t="str">
        <f t="shared" si="968"/>
        <v/>
      </c>
      <c r="AT1718" s="465" t="str">
        <f t="shared" si="969"/>
        <v/>
      </c>
      <c r="AU1718" s="466" t="str">
        <f t="shared" si="970"/>
        <v/>
      </c>
      <c r="AV1718" s="467" t="str">
        <f t="shared" si="971"/>
        <v/>
      </c>
      <c r="AW1718" s="467" t="str">
        <f t="shared" si="972"/>
        <v/>
      </c>
      <c r="AX1718" s="467" t="str">
        <f t="shared" si="973"/>
        <v/>
      </c>
      <c r="AY1718" s="467" t="str">
        <f t="shared" si="974"/>
        <v/>
      </c>
      <c r="AZ1718" s="467" t="str">
        <f t="shared" si="975"/>
        <v/>
      </c>
      <c r="BA1718" s="468" t="str">
        <f>IF(AS1718="","",IF(OR(AU1718="",AU1718="-"),"－",IF(OR(AZ1718=8,AZ1718=9),"",IF(OR(AW1718=3,AW1718=4,AW1718=5,AW1718=6),VLOOKUP(AU1718,INDEX((係数_バス貨物_ガソリン,係数_バス貨物_CNG,係数_バス貨物_軽油,係数_バス貨物_メタノール,係数_バス貨物_LPG),MATCH(AY1718,【参考】排出係数!$AI$4:$AI$671,1),1,BE1718):INDEX((係数_バス貨物_ガソリン,係数_バス貨物_CNG,係数_バス貨物_軽油,係数_バス貨物_メタノール,係数_バス貨物_LPG),MATCH(AY1718+1,【参考】排出係数!$AI$4:$AI$671,1)-1,5,BE1718),2,FALSE),IF(OR(AW1718=1,AW1718=2),VLOOKUP(AU1718,INDEX((係数_乗用_ガソリン,係数_乗用_CNG,係数_乗用_軽油,係数_乗用_メタノール,係数_乗用_LPG),1,1,BE1718):INDEX((係数_乗用_ガソリン,係数_乗用_CNG,係数_乗用_軽油,係数_乗用_メタノール,係数_乗用_LPG),125,5,BE1718),2,FALSE))))))</f>
        <v/>
      </c>
      <c r="BB1718" s="468" t="str">
        <f>IF(T1718="","",IF(OR(AU1718="",AU1718="-"),"－",IF(OR(AZ1718=8,AZ1718=9),"",IF(OR(AW1718=3,AW1718=4,AW1718=5,AW1718=6),VLOOKUP(AU1718,INDEX((係数_バス貨物_ガソリン,係数_バス貨物_CNG,係数_バス貨物_軽油,係数_バス貨物_メタノール,係数_バス貨物_LPG),MATCH(AY1718,【参考】排出係数!$AI$4:$AI$671,1),1,BE1718):INDEX((係数_バス貨物_ガソリン,係数_バス貨物_CNG,係数_バス貨物_軽油,係数_バス貨物_メタノール,係数_バス貨物_LPG),MATCH(AY1718+1,【参考】排出係数!$AI$4:$AI$671,1)-1,5,BE1718),3,FALSE),IF(OR(AW1718=1,AW1718=2),VLOOKUP(AU1718,INDEX((係数_乗用_ガソリン,係数_乗用_CNG,係数_乗用_軽油,係数_乗用_メタノール,係数_乗用_LPG),1,1,BE1718):INDEX((係数_乗用_ガソリン,係数_乗用_CNG,係数_乗用_軽油,係数_乗用_メタノール,係数_乗用_LPG),125,5,BE1718),3,FALSE))))))</f>
        <v/>
      </c>
      <c r="BC1718" s="467" t="str">
        <f t="shared" si="976"/>
        <v/>
      </c>
      <c r="BD1718" s="567" t="str">
        <f t="shared" si="977"/>
        <v/>
      </c>
      <c r="BE1718" s="467" t="str">
        <f t="shared" si="978"/>
        <v/>
      </c>
      <c r="BF1718" s="469" t="str">
        <f t="shared" ca="1" si="979"/>
        <v/>
      </c>
      <c r="BG1718" s="469" t="str">
        <f t="shared" ca="1" si="980"/>
        <v/>
      </c>
      <c r="BH1718" s="467" t="str">
        <f t="shared" si="981"/>
        <v/>
      </c>
      <c r="BI1718" s="467" t="str">
        <f t="shared" ca="1" si="982"/>
        <v/>
      </c>
      <c r="BJ1718" s="469" t="str">
        <f t="shared" si="983"/>
        <v/>
      </c>
      <c r="BK1718" s="470" t="str">
        <f t="shared" si="967"/>
        <v/>
      </c>
      <c r="BL1718" s="775" t="str">
        <f t="shared" si="984"/>
        <v/>
      </c>
      <c r="BM1718" s="775" t="str">
        <f t="shared" si="985"/>
        <v/>
      </c>
    </row>
    <row r="1719" spans="1:65">
      <c r="A1719" s="473">
        <v>1663</v>
      </c>
      <c r="B1719" s="132"/>
      <c r="C1719" s="332"/>
      <c r="D1719" s="333"/>
      <c r="E1719" s="333"/>
      <c r="F1719" s="334"/>
      <c r="G1719" s="337"/>
      <c r="H1719" s="131"/>
      <c r="I1719" s="337"/>
      <c r="J1719" s="131"/>
      <c r="K1719" s="458" t="str">
        <f t="shared" si="986"/>
        <v/>
      </c>
      <c r="L1719" s="458">
        <f t="shared" si="987"/>
        <v>0</v>
      </c>
      <c r="M1719" s="458">
        <f t="shared" si="988"/>
        <v>0</v>
      </c>
      <c r="N1719" s="459" t="str">
        <f t="shared" ref="N1719:N1782" si="999">IF(OR($L1719&gt;$U$48,$M1719&gt;$U$48,AND($L1719&gt;$M1719,$M1719&lt;&gt;0),AND($L1719=0,$M1719&lt;&gt;0)),"ERROR","")</f>
        <v/>
      </c>
      <c r="O1719" s="459" t="str">
        <f t="shared" ref="O1719:O1782" si="1000">IF(AND($N1719&lt;&gt;"ERROR",$L1719&lt;=$U$49,$M1719&lt;=$U$49,$M1719&lt;&gt;0),"(減車済)","")</f>
        <v/>
      </c>
      <c r="P1719" s="459" t="str">
        <f t="shared" ref="P1719:P1782" si="1001">IF(AND($N1719&lt;&gt;"ERROR",$L1719&lt;$U$49,AND($M1719&gt;$U$49,$M1719&lt;=$W$49),$M1719&lt;&gt;0),"減車","")</f>
        <v/>
      </c>
      <c r="Q1719" s="459" t="str">
        <f t="shared" ref="Q1719:Q1782" si="1002">IF(AND($N1719&lt;&gt;"ERROR",$L1719&gt;$U$49,$M1719&lt;=$W$49,$M1719&lt;&gt;0),"一時使用","")</f>
        <v/>
      </c>
      <c r="R1719" s="459" t="str">
        <f t="shared" ref="R1719:R1782" si="1003">IF(AND($N1719&lt;&gt;"ERROR",AND($L1719&gt;0,$L1719&lt;=$U$49),$M1719=0),"継続","")</f>
        <v/>
      </c>
      <c r="S1719" s="459" t="str">
        <f t="shared" ref="S1719:S1782" si="1004">IF(AND($N1719&lt;&gt;"ERROR",AND($L1719&gt;$U$49),$M1719=0),"新規","")</f>
        <v/>
      </c>
      <c r="T1719" s="566" t="str">
        <f t="shared" si="989"/>
        <v/>
      </c>
      <c r="U1719" s="702"/>
      <c r="V1719" s="132"/>
      <c r="W1719" s="133"/>
      <c r="X1719" s="134"/>
      <c r="Y1719" s="135"/>
      <c r="Z1719" s="137"/>
      <c r="AA1719" s="136"/>
      <c r="AB1719" s="566" t="str">
        <f t="shared" si="990"/>
        <v/>
      </c>
      <c r="AC1719" s="568" t="str">
        <f t="shared" si="991"/>
        <v/>
      </c>
      <c r="AD1719" s="137"/>
      <c r="AE1719" s="137"/>
      <c r="AF1719" s="138"/>
      <c r="AG1719" s="138"/>
      <c r="AH1719" s="592" t="str">
        <f t="shared" si="992"/>
        <v/>
      </c>
      <c r="AI1719" s="592" t="str">
        <f t="shared" si="993"/>
        <v/>
      </c>
      <c r="AJ1719" s="592" t="str">
        <f t="shared" si="994"/>
        <v/>
      </c>
      <c r="AK1719" s="460" t="str">
        <f>IF(AU1719="","",IF(OR(AZ1719=8,AZ1719=9),0,IF(OR(AW1719=3,AW1719=4,AW1719=5,AW1719=6),IF(LEFT(BF1719,1)="1",INDEX(係数_NOX・PM低減,MATCH(AY1719,【参考】排出係数!$AI$801:$AI$804,1),1),VLOOKUP(AU1719,INDEX((係数_バス貨物_ガソリン,係数_バス貨物_CNG,係数_バス貨物_軽油,係数_バス貨物_メタノール,係数_バス貨物_LPG),MATCH(AY1719,【参考】排出係数!$AI$4:$AI$671,1),1,BE1719):INDEX((係数_バス貨物_ガソリン,係数_バス貨物_CNG,係数_バス貨物_軽油,係数_バス貨物_メタノール,係数_バス貨物_LPG),MATCH(AY1719+1,【参考】排出係数!$AI$4:$AI$671,1)-1,5,BE1719),4,FALSE)),IF(AND(BE1719=3,LEFT(BF1719,1)="1"),0.48,VLOOKUP(AU1719,INDEX((係数_乗用_ガソリン,係数_乗用_CNG,係数_乗用_軽油,係数_乗用_メタノール,係数_乗用_LPG),1,1,BE1719):INDEX((係数_乗用_ガソリン,係数_乗用_CNG,係数_乗用_軽油,係数_乗用_メタノール,係数_乗用_LPG),125,5,BE1719),4,FALSE)))))</f>
        <v/>
      </c>
      <c r="AL1719" s="461" t="str">
        <f t="shared" si="995"/>
        <v/>
      </c>
      <c r="AM1719" s="460" t="str">
        <f>IF(AU1719="","",IF(OR(AZ1719=8,AZ1719=9),0,IF(OR(AW1719=3,AW1719=4,AW1719=5,AW1719=6),IF(LEFT(BH1719,1)="1",INDEX(係数_PM低減,MATCH(AY1719,【参考】排出係数!$AI$801:$AI$804,1),MATCH(BI1719,【参考】排出係数!$AL$798:$AO$798,1)),VLOOKUP(AU1719,INDEX((係数_バス貨物_ガソリン,係数_バス貨物_CNG,係数_バス貨物_軽油,係数_バス貨物_メタノール,係数_バス貨物_LPG),MATCH(AY1719,【参考】排出係数!$AI$4:$AI$671,1),1,BE1719):INDEX((係数_バス貨物_ガソリン,係数_バス貨物_CNG,係数_バス貨物_軽油,係数_バス貨物_メタノール,係数_バス貨物_LPG),MATCH(AY1719+1,【参考】排出係数!$AI$4:$AI$671,1)-1,5,BE1719),5,FALSE)),IF(AND(BE1719=3,LEFT(BF1719,1)="1"),0.055,VLOOKUP(AU1719,INDEX((係数_乗用_ガソリン,係数_乗用_CNG,係数_乗用_軽油,係数_乗用_メタノール,係数_乗用_LPG),1,1,BE1719):INDEX((係数_乗用_ガソリン,係数_乗用_CNG,係数_乗用_軽油,係数_乗用_メタノール,係数_乗用_LPG),125,5,BE1719),5,FALSE)))))</f>
        <v/>
      </c>
      <c r="AN1719" s="461" t="str">
        <f t="shared" si="996"/>
        <v/>
      </c>
      <c r="AO1719" s="462" t="str">
        <f t="shared" si="997"/>
        <v/>
      </c>
      <c r="AP1719" s="463" t="str">
        <f t="shared" si="998"/>
        <v/>
      </c>
      <c r="AQ1719" s="464"/>
      <c r="AR1719" s="619"/>
      <c r="AS1719" s="465" t="str">
        <f t="shared" si="968"/>
        <v/>
      </c>
      <c r="AT1719" s="465" t="str">
        <f t="shared" si="969"/>
        <v/>
      </c>
      <c r="AU1719" s="466" t="str">
        <f t="shared" si="970"/>
        <v/>
      </c>
      <c r="AV1719" s="467" t="str">
        <f t="shared" si="971"/>
        <v/>
      </c>
      <c r="AW1719" s="467" t="str">
        <f t="shared" si="972"/>
        <v/>
      </c>
      <c r="AX1719" s="467" t="str">
        <f t="shared" si="973"/>
        <v/>
      </c>
      <c r="AY1719" s="467" t="str">
        <f t="shared" si="974"/>
        <v/>
      </c>
      <c r="AZ1719" s="467" t="str">
        <f t="shared" si="975"/>
        <v/>
      </c>
      <c r="BA1719" s="468" t="str">
        <f>IF(AS1719="","",IF(OR(AU1719="",AU1719="-"),"－",IF(OR(AZ1719=8,AZ1719=9),"",IF(OR(AW1719=3,AW1719=4,AW1719=5,AW1719=6),VLOOKUP(AU1719,INDEX((係数_バス貨物_ガソリン,係数_バス貨物_CNG,係数_バス貨物_軽油,係数_バス貨物_メタノール,係数_バス貨物_LPG),MATCH(AY1719,【参考】排出係数!$AI$4:$AI$671,1),1,BE1719):INDEX((係数_バス貨物_ガソリン,係数_バス貨物_CNG,係数_バス貨物_軽油,係数_バス貨物_メタノール,係数_バス貨物_LPG),MATCH(AY1719+1,【参考】排出係数!$AI$4:$AI$671,1)-1,5,BE1719),2,FALSE),IF(OR(AW1719=1,AW1719=2),VLOOKUP(AU1719,INDEX((係数_乗用_ガソリン,係数_乗用_CNG,係数_乗用_軽油,係数_乗用_メタノール,係数_乗用_LPG),1,1,BE1719):INDEX((係数_乗用_ガソリン,係数_乗用_CNG,係数_乗用_軽油,係数_乗用_メタノール,係数_乗用_LPG),125,5,BE1719),2,FALSE))))))</f>
        <v/>
      </c>
      <c r="BB1719" s="468" t="str">
        <f>IF(T1719="","",IF(OR(AU1719="",AU1719="-"),"－",IF(OR(AZ1719=8,AZ1719=9),"",IF(OR(AW1719=3,AW1719=4,AW1719=5,AW1719=6),VLOOKUP(AU1719,INDEX((係数_バス貨物_ガソリン,係数_バス貨物_CNG,係数_バス貨物_軽油,係数_バス貨物_メタノール,係数_バス貨物_LPG),MATCH(AY1719,【参考】排出係数!$AI$4:$AI$671,1),1,BE1719):INDEX((係数_バス貨物_ガソリン,係数_バス貨物_CNG,係数_バス貨物_軽油,係数_バス貨物_メタノール,係数_バス貨物_LPG),MATCH(AY1719+1,【参考】排出係数!$AI$4:$AI$671,1)-1,5,BE1719),3,FALSE),IF(OR(AW1719=1,AW1719=2),VLOOKUP(AU1719,INDEX((係数_乗用_ガソリン,係数_乗用_CNG,係数_乗用_軽油,係数_乗用_メタノール,係数_乗用_LPG),1,1,BE1719):INDEX((係数_乗用_ガソリン,係数_乗用_CNG,係数_乗用_軽油,係数_乗用_メタノール,係数_乗用_LPG),125,5,BE1719),3,FALSE))))))</f>
        <v/>
      </c>
      <c r="BC1719" s="467" t="str">
        <f t="shared" si="976"/>
        <v/>
      </c>
      <c r="BD1719" s="567" t="str">
        <f t="shared" si="977"/>
        <v/>
      </c>
      <c r="BE1719" s="467" t="str">
        <f t="shared" si="978"/>
        <v/>
      </c>
      <c r="BF1719" s="469" t="str">
        <f t="shared" ca="1" si="979"/>
        <v/>
      </c>
      <c r="BG1719" s="469" t="str">
        <f t="shared" ca="1" si="980"/>
        <v/>
      </c>
      <c r="BH1719" s="467" t="str">
        <f t="shared" si="981"/>
        <v/>
      </c>
      <c r="BI1719" s="467" t="str">
        <f t="shared" ca="1" si="982"/>
        <v/>
      </c>
      <c r="BJ1719" s="469" t="str">
        <f t="shared" si="983"/>
        <v/>
      </c>
      <c r="BK1719" s="470" t="str">
        <f t="shared" si="967"/>
        <v/>
      </c>
      <c r="BL1719" s="775" t="str">
        <f t="shared" si="984"/>
        <v/>
      </c>
      <c r="BM1719" s="775" t="str">
        <f t="shared" si="985"/>
        <v/>
      </c>
    </row>
    <row r="1720" spans="1:65">
      <c r="A1720" s="473">
        <v>1664</v>
      </c>
      <c r="B1720" s="132"/>
      <c r="C1720" s="332"/>
      <c r="D1720" s="333"/>
      <c r="E1720" s="333"/>
      <c r="F1720" s="334"/>
      <c r="G1720" s="337"/>
      <c r="H1720" s="131"/>
      <c r="I1720" s="337"/>
      <c r="J1720" s="131"/>
      <c r="K1720" s="458" t="str">
        <f t="shared" si="986"/>
        <v/>
      </c>
      <c r="L1720" s="458">
        <f t="shared" si="987"/>
        <v>0</v>
      </c>
      <c r="M1720" s="458">
        <f t="shared" si="988"/>
        <v>0</v>
      </c>
      <c r="N1720" s="459" t="str">
        <f t="shared" si="999"/>
        <v/>
      </c>
      <c r="O1720" s="459" t="str">
        <f t="shared" si="1000"/>
        <v/>
      </c>
      <c r="P1720" s="459" t="str">
        <f t="shared" si="1001"/>
        <v/>
      </c>
      <c r="Q1720" s="459" t="str">
        <f t="shared" si="1002"/>
        <v/>
      </c>
      <c r="R1720" s="459" t="str">
        <f t="shared" si="1003"/>
        <v/>
      </c>
      <c r="S1720" s="459" t="str">
        <f t="shared" si="1004"/>
        <v/>
      </c>
      <c r="T1720" s="566" t="str">
        <f t="shared" si="989"/>
        <v/>
      </c>
      <c r="U1720" s="702"/>
      <c r="V1720" s="132"/>
      <c r="W1720" s="133"/>
      <c r="X1720" s="134"/>
      <c r="Y1720" s="135"/>
      <c r="Z1720" s="137"/>
      <c r="AA1720" s="136"/>
      <c r="AB1720" s="566" t="str">
        <f t="shared" si="990"/>
        <v/>
      </c>
      <c r="AC1720" s="568" t="str">
        <f t="shared" si="991"/>
        <v/>
      </c>
      <c r="AD1720" s="137"/>
      <c r="AE1720" s="137"/>
      <c r="AF1720" s="138"/>
      <c r="AG1720" s="138"/>
      <c r="AH1720" s="592" t="str">
        <f t="shared" si="992"/>
        <v/>
      </c>
      <c r="AI1720" s="592" t="str">
        <f t="shared" si="993"/>
        <v/>
      </c>
      <c r="AJ1720" s="592" t="str">
        <f t="shared" si="994"/>
        <v/>
      </c>
      <c r="AK1720" s="460" t="str">
        <f>IF(AU1720="","",IF(OR(AZ1720=8,AZ1720=9),0,IF(OR(AW1720=3,AW1720=4,AW1720=5,AW1720=6),IF(LEFT(BF1720,1)="1",INDEX(係数_NOX・PM低減,MATCH(AY1720,【参考】排出係数!$AI$801:$AI$804,1),1),VLOOKUP(AU1720,INDEX((係数_バス貨物_ガソリン,係数_バス貨物_CNG,係数_バス貨物_軽油,係数_バス貨物_メタノール,係数_バス貨物_LPG),MATCH(AY1720,【参考】排出係数!$AI$4:$AI$671,1),1,BE1720):INDEX((係数_バス貨物_ガソリン,係数_バス貨物_CNG,係数_バス貨物_軽油,係数_バス貨物_メタノール,係数_バス貨物_LPG),MATCH(AY1720+1,【参考】排出係数!$AI$4:$AI$671,1)-1,5,BE1720),4,FALSE)),IF(AND(BE1720=3,LEFT(BF1720,1)="1"),0.48,VLOOKUP(AU1720,INDEX((係数_乗用_ガソリン,係数_乗用_CNG,係数_乗用_軽油,係数_乗用_メタノール,係数_乗用_LPG),1,1,BE1720):INDEX((係数_乗用_ガソリン,係数_乗用_CNG,係数_乗用_軽油,係数_乗用_メタノール,係数_乗用_LPG),125,5,BE1720),4,FALSE)))))</f>
        <v/>
      </c>
      <c r="AL1720" s="461" t="str">
        <f t="shared" si="995"/>
        <v/>
      </c>
      <c r="AM1720" s="460" t="str">
        <f>IF(AU1720="","",IF(OR(AZ1720=8,AZ1720=9),0,IF(OR(AW1720=3,AW1720=4,AW1720=5,AW1720=6),IF(LEFT(BH1720,1)="1",INDEX(係数_PM低減,MATCH(AY1720,【参考】排出係数!$AI$801:$AI$804,1),MATCH(BI1720,【参考】排出係数!$AL$798:$AO$798,1)),VLOOKUP(AU1720,INDEX((係数_バス貨物_ガソリン,係数_バス貨物_CNG,係数_バス貨物_軽油,係数_バス貨物_メタノール,係数_バス貨物_LPG),MATCH(AY1720,【参考】排出係数!$AI$4:$AI$671,1),1,BE1720):INDEX((係数_バス貨物_ガソリン,係数_バス貨物_CNG,係数_バス貨物_軽油,係数_バス貨物_メタノール,係数_バス貨物_LPG),MATCH(AY1720+1,【参考】排出係数!$AI$4:$AI$671,1)-1,5,BE1720),5,FALSE)),IF(AND(BE1720=3,LEFT(BF1720,1)="1"),0.055,VLOOKUP(AU1720,INDEX((係数_乗用_ガソリン,係数_乗用_CNG,係数_乗用_軽油,係数_乗用_メタノール,係数_乗用_LPG),1,1,BE1720):INDEX((係数_乗用_ガソリン,係数_乗用_CNG,係数_乗用_軽油,係数_乗用_メタノール,係数_乗用_LPG),125,5,BE1720),5,FALSE)))))</f>
        <v/>
      </c>
      <c r="AN1720" s="461" t="str">
        <f t="shared" si="996"/>
        <v/>
      </c>
      <c r="AO1720" s="462" t="str">
        <f t="shared" si="997"/>
        <v/>
      </c>
      <c r="AP1720" s="463" t="str">
        <f t="shared" si="998"/>
        <v/>
      </c>
      <c r="AQ1720" s="464"/>
      <c r="AR1720" s="619"/>
      <c r="AS1720" s="465" t="str">
        <f t="shared" si="968"/>
        <v/>
      </c>
      <c r="AT1720" s="465" t="str">
        <f t="shared" si="969"/>
        <v/>
      </c>
      <c r="AU1720" s="466" t="str">
        <f t="shared" si="970"/>
        <v/>
      </c>
      <c r="AV1720" s="467" t="str">
        <f t="shared" si="971"/>
        <v/>
      </c>
      <c r="AW1720" s="467" t="str">
        <f t="shared" si="972"/>
        <v/>
      </c>
      <c r="AX1720" s="467" t="str">
        <f t="shared" si="973"/>
        <v/>
      </c>
      <c r="AY1720" s="467" t="str">
        <f t="shared" si="974"/>
        <v/>
      </c>
      <c r="AZ1720" s="467" t="str">
        <f t="shared" si="975"/>
        <v/>
      </c>
      <c r="BA1720" s="468" t="str">
        <f>IF(AS1720="","",IF(OR(AU1720="",AU1720="-"),"－",IF(OR(AZ1720=8,AZ1720=9),"",IF(OR(AW1720=3,AW1720=4,AW1720=5,AW1720=6),VLOOKUP(AU1720,INDEX((係数_バス貨物_ガソリン,係数_バス貨物_CNG,係数_バス貨物_軽油,係数_バス貨物_メタノール,係数_バス貨物_LPG),MATCH(AY1720,【参考】排出係数!$AI$4:$AI$671,1),1,BE1720):INDEX((係数_バス貨物_ガソリン,係数_バス貨物_CNG,係数_バス貨物_軽油,係数_バス貨物_メタノール,係数_バス貨物_LPG),MATCH(AY1720+1,【参考】排出係数!$AI$4:$AI$671,1)-1,5,BE1720),2,FALSE),IF(OR(AW1720=1,AW1720=2),VLOOKUP(AU1720,INDEX((係数_乗用_ガソリン,係数_乗用_CNG,係数_乗用_軽油,係数_乗用_メタノール,係数_乗用_LPG),1,1,BE1720):INDEX((係数_乗用_ガソリン,係数_乗用_CNG,係数_乗用_軽油,係数_乗用_メタノール,係数_乗用_LPG),125,5,BE1720),2,FALSE))))))</f>
        <v/>
      </c>
      <c r="BB1720" s="468" t="str">
        <f>IF(T1720="","",IF(OR(AU1720="",AU1720="-"),"－",IF(OR(AZ1720=8,AZ1720=9),"",IF(OR(AW1720=3,AW1720=4,AW1720=5,AW1720=6),VLOOKUP(AU1720,INDEX((係数_バス貨物_ガソリン,係数_バス貨物_CNG,係数_バス貨物_軽油,係数_バス貨物_メタノール,係数_バス貨物_LPG),MATCH(AY1720,【参考】排出係数!$AI$4:$AI$671,1),1,BE1720):INDEX((係数_バス貨物_ガソリン,係数_バス貨物_CNG,係数_バス貨物_軽油,係数_バス貨物_メタノール,係数_バス貨物_LPG),MATCH(AY1720+1,【参考】排出係数!$AI$4:$AI$671,1)-1,5,BE1720),3,FALSE),IF(OR(AW1720=1,AW1720=2),VLOOKUP(AU1720,INDEX((係数_乗用_ガソリン,係数_乗用_CNG,係数_乗用_軽油,係数_乗用_メタノール,係数_乗用_LPG),1,1,BE1720):INDEX((係数_乗用_ガソリン,係数_乗用_CNG,係数_乗用_軽油,係数_乗用_メタノール,係数_乗用_LPG),125,5,BE1720),3,FALSE))))))</f>
        <v/>
      </c>
      <c r="BC1720" s="467" t="str">
        <f t="shared" si="976"/>
        <v/>
      </c>
      <c r="BD1720" s="567" t="str">
        <f t="shared" si="977"/>
        <v/>
      </c>
      <c r="BE1720" s="467" t="str">
        <f t="shared" si="978"/>
        <v/>
      </c>
      <c r="BF1720" s="469" t="str">
        <f t="shared" ca="1" si="979"/>
        <v/>
      </c>
      <c r="BG1720" s="469" t="str">
        <f t="shared" ca="1" si="980"/>
        <v/>
      </c>
      <c r="BH1720" s="467" t="str">
        <f t="shared" si="981"/>
        <v/>
      </c>
      <c r="BI1720" s="467" t="str">
        <f t="shared" ca="1" si="982"/>
        <v/>
      </c>
      <c r="BJ1720" s="469" t="str">
        <f t="shared" si="983"/>
        <v/>
      </c>
      <c r="BK1720" s="470" t="str">
        <f t="shared" si="967"/>
        <v/>
      </c>
      <c r="BL1720" s="775" t="str">
        <f t="shared" si="984"/>
        <v/>
      </c>
      <c r="BM1720" s="775" t="str">
        <f t="shared" si="985"/>
        <v/>
      </c>
    </row>
    <row r="1721" spans="1:65">
      <c r="A1721" s="473">
        <v>1665</v>
      </c>
      <c r="B1721" s="132"/>
      <c r="C1721" s="332"/>
      <c r="D1721" s="333"/>
      <c r="E1721" s="333"/>
      <c r="F1721" s="334"/>
      <c r="G1721" s="337"/>
      <c r="H1721" s="131"/>
      <c r="I1721" s="337"/>
      <c r="J1721" s="131"/>
      <c r="K1721" s="458" t="str">
        <f t="shared" si="986"/>
        <v/>
      </c>
      <c r="L1721" s="458">
        <f t="shared" si="987"/>
        <v>0</v>
      </c>
      <c r="M1721" s="458">
        <f t="shared" si="988"/>
        <v>0</v>
      </c>
      <c r="N1721" s="459" t="str">
        <f t="shared" si="999"/>
        <v/>
      </c>
      <c r="O1721" s="459" t="str">
        <f t="shared" si="1000"/>
        <v/>
      </c>
      <c r="P1721" s="459" t="str">
        <f t="shared" si="1001"/>
        <v/>
      </c>
      <c r="Q1721" s="459" t="str">
        <f t="shared" si="1002"/>
        <v/>
      </c>
      <c r="R1721" s="459" t="str">
        <f t="shared" si="1003"/>
        <v/>
      </c>
      <c r="S1721" s="459" t="str">
        <f t="shared" si="1004"/>
        <v/>
      </c>
      <c r="T1721" s="566" t="str">
        <f t="shared" si="989"/>
        <v/>
      </c>
      <c r="U1721" s="702"/>
      <c r="V1721" s="132"/>
      <c r="W1721" s="133"/>
      <c r="X1721" s="134"/>
      <c r="Y1721" s="135"/>
      <c r="Z1721" s="137"/>
      <c r="AA1721" s="136"/>
      <c r="AB1721" s="566" t="str">
        <f t="shared" si="990"/>
        <v/>
      </c>
      <c r="AC1721" s="568" t="str">
        <f t="shared" si="991"/>
        <v/>
      </c>
      <c r="AD1721" s="137"/>
      <c r="AE1721" s="137"/>
      <c r="AF1721" s="138"/>
      <c r="AG1721" s="138"/>
      <c r="AH1721" s="592" t="str">
        <f t="shared" si="992"/>
        <v/>
      </c>
      <c r="AI1721" s="592" t="str">
        <f t="shared" si="993"/>
        <v/>
      </c>
      <c r="AJ1721" s="592" t="str">
        <f t="shared" si="994"/>
        <v/>
      </c>
      <c r="AK1721" s="460" t="str">
        <f>IF(AU1721="","",IF(OR(AZ1721=8,AZ1721=9),0,IF(OR(AW1721=3,AW1721=4,AW1721=5,AW1721=6),IF(LEFT(BF1721,1)="1",INDEX(係数_NOX・PM低減,MATCH(AY1721,【参考】排出係数!$AI$801:$AI$804,1),1),VLOOKUP(AU1721,INDEX((係数_バス貨物_ガソリン,係数_バス貨物_CNG,係数_バス貨物_軽油,係数_バス貨物_メタノール,係数_バス貨物_LPG),MATCH(AY1721,【参考】排出係数!$AI$4:$AI$671,1),1,BE1721):INDEX((係数_バス貨物_ガソリン,係数_バス貨物_CNG,係数_バス貨物_軽油,係数_バス貨物_メタノール,係数_バス貨物_LPG),MATCH(AY1721+1,【参考】排出係数!$AI$4:$AI$671,1)-1,5,BE1721),4,FALSE)),IF(AND(BE1721=3,LEFT(BF1721,1)="1"),0.48,VLOOKUP(AU1721,INDEX((係数_乗用_ガソリン,係数_乗用_CNG,係数_乗用_軽油,係数_乗用_メタノール,係数_乗用_LPG),1,1,BE1721):INDEX((係数_乗用_ガソリン,係数_乗用_CNG,係数_乗用_軽油,係数_乗用_メタノール,係数_乗用_LPG),125,5,BE1721),4,FALSE)))))</f>
        <v/>
      </c>
      <c r="AL1721" s="461" t="str">
        <f t="shared" si="995"/>
        <v/>
      </c>
      <c r="AM1721" s="460" t="str">
        <f>IF(AU1721="","",IF(OR(AZ1721=8,AZ1721=9),0,IF(OR(AW1721=3,AW1721=4,AW1721=5,AW1721=6),IF(LEFT(BH1721,1)="1",INDEX(係数_PM低減,MATCH(AY1721,【参考】排出係数!$AI$801:$AI$804,1),MATCH(BI1721,【参考】排出係数!$AL$798:$AO$798,1)),VLOOKUP(AU1721,INDEX((係数_バス貨物_ガソリン,係数_バス貨物_CNG,係数_バス貨物_軽油,係数_バス貨物_メタノール,係数_バス貨物_LPG),MATCH(AY1721,【参考】排出係数!$AI$4:$AI$671,1),1,BE1721):INDEX((係数_バス貨物_ガソリン,係数_バス貨物_CNG,係数_バス貨物_軽油,係数_バス貨物_メタノール,係数_バス貨物_LPG),MATCH(AY1721+1,【参考】排出係数!$AI$4:$AI$671,1)-1,5,BE1721),5,FALSE)),IF(AND(BE1721=3,LEFT(BF1721,1)="1"),0.055,VLOOKUP(AU1721,INDEX((係数_乗用_ガソリン,係数_乗用_CNG,係数_乗用_軽油,係数_乗用_メタノール,係数_乗用_LPG),1,1,BE1721):INDEX((係数_乗用_ガソリン,係数_乗用_CNG,係数_乗用_軽油,係数_乗用_メタノール,係数_乗用_LPG),125,5,BE1721),5,FALSE)))))</f>
        <v/>
      </c>
      <c r="AN1721" s="461" t="str">
        <f t="shared" si="996"/>
        <v/>
      </c>
      <c r="AO1721" s="462" t="str">
        <f t="shared" si="997"/>
        <v/>
      </c>
      <c r="AP1721" s="463" t="str">
        <f t="shared" si="998"/>
        <v/>
      </c>
      <c r="AQ1721" s="464"/>
      <c r="AR1721" s="619"/>
      <c r="AS1721" s="465" t="str">
        <f t="shared" si="968"/>
        <v/>
      </c>
      <c r="AT1721" s="465" t="str">
        <f t="shared" si="969"/>
        <v/>
      </c>
      <c r="AU1721" s="466" t="str">
        <f t="shared" si="970"/>
        <v/>
      </c>
      <c r="AV1721" s="467" t="str">
        <f t="shared" si="971"/>
        <v/>
      </c>
      <c r="AW1721" s="467" t="str">
        <f t="shared" si="972"/>
        <v/>
      </c>
      <c r="AX1721" s="467" t="str">
        <f t="shared" si="973"/>
        <v/>
      </c>
      <c r="AY1721" s="467" t="str">
        <f t="shared" si="974"/>
        <v/>
      </c>
      <c r="AZ1721" s="467" t="str">
        <f t="shared" si="975"/>
        <v/>
      </c>
      <c r="BA1721" s="468" t="str">
        <f>IF(AS1721="","",IF(OR(AU1721="",AU1721="-"),"－",IF(OR(AZ1721=8,AZ1721=9),"",IF(OR(AW1721=3,AW1721=4,AW1721=5,AW1721=6),VLOOKUP(AU1721,INDEX((係数_バス貨物_ガソリン,係数_バス貨物_CNG,係数_バス貨物_軽油,係数_バス貨物_メタノール,係数_バス貨物_LPG),MATCH(AY1721,【参考】排出係数!$AI$4:$AI$671,1),1,BE1721):INDEX((係数_バス貨物_ガソリン,係数_バス貨物_CNG,係数_バス貨物_軽油,係数_バス貨物_メタノール,係数_バス貨物_LPG),MATCH(AY1721+1,【参考】排出係数!$AI$4:$AI$671,1)-1,5,BE1721),2,FALSE),IF(OR(AW1721=1,AW1721=2),VLOOKUP(AU1721,INDEX((係数_乗用_ガソリン,係数_乗用_CNG,係数_乗用_軽油,係数_乗用_メタノール,係数_乗用_LPG),1,1,BE1721):INDEX((係数_乗用_ガソリン,係数_乗用_CNG,係数_乗用_軽油,係数_乗用_メタノール,係数_乗用_LPG),125,5,BE1721),2,FALSE))))))</f>
        <v/>
      </c>
      <c r="BB1721" s="468" t="str">
        <f>IF(T1721="","",IF(OR(AU1721="",AU1721="-"),"－",IF(OR(AZ1721=8,AZ1721=9),"",IF(OR(AW1721=3,AW1721=4,AW1721=5,AW1721=6),VLOOKUP(AU1721,INDEX((係数_バス貨物_ガソリン,係数_バス貨物_CNG,係数_バス貨物_軽油,係数_バス貨物_メタノール,係数_バス貨物_LPG),MATCH(AY1721,【参考】排出係数!$AI$4:$AI$671,1),1,BE1721):INDEX((係数_バス貨物_ガソリン,係数_バス貨物_CNG,係数_バス貨物_軽油,係数_バス貨物_メタノール,係数_バス貨物_LPG),MATCH(AY1721+1,【参考】排出係数!$AI$4:$AI$671,1)-1,5,BE1721),3,FALSE),IF(OR(AW1721=1,AW1721=2),VLOOKUP(AU1721,INDEX((係数_乗用_ガソリン,係数_乗用_CNG,係数_乗用_軽油,係数_乗用_メタノール,係数_乗用_LPG),1,1,BE1721):INDEX((係数_乗用_ガソリン,係数_乗用_CNG,係数_乗用_軽油,係数_乗用_メタノール,係数_乗用_LPG),125,5,BE1721),3,FALSE))))))</f>
        <v/>
      </c>
      <c r="BC1721" s="467" t="str">
        <f t="shared" si="976"/>
        <v/>
      </c>
      <c r="BD1721" s="567" t="str">
        <f t="shared" si="977"/>
        <v/>
      </c>
      <c r="BE1721" s="467" t="str">
        <f t="shared" si="978"/>
        <v/>
      </c>
      <c r="BF1721" s="469" t="str">
        <f t="shared" ca="1" si="979"/>
        <v/>
      </c>
      <c r="BG1721" s="469" t="str">
        <f t="shared" ca="1" si="980"/>
        <v/>
      </c>
      <c r="BH1721" s="467" t="str">
        <f t="shared" si="981"/>
        <v/>
      </c>
      <c r="BI1721" s="467" t="str">
        <f t="shared" ca="1" si="982"/>
        <v/>
      </c>
      <c r="BJ1721" s="469" t="str">
        <f t="shared" si="983"/>
        <v/>
      </c>
      <c r="BK1721" s="470" t="str">
        <f t="shared" ref="BK1721:BK1784" si="1005">IF(AS1721="","",VLOOKUP(T1721,車両の増減,2,FALSE))</f>
        <v/>
      </c>
      <c r="BL1721" s="775" t="str">
        <f t="shared" si="984"/>
        <v/>
      </c>
      <c r="BM1721" s="775" t="str">
        <f t="shared" si="985"/>
        <v/>
      </c>
    </row>
    <row r="1722" spans="1:65">
      <c r="A1722" s="473">
        <v>1666</v>
      </c>
      <c r="B1722" s="132"/>
      <c r="C1722" s="332"/>
      <c r="D1722" s="333"/>
      <c r="E1722" s="333"/>
      <c r="F1722" s="334"/>
      <c r="G1722" s="337"/>
      <c r="H1722" s="131"/>
      <c r="I1722" s="337"/>
      <c r="J1722" s="131"/>
      <c r="K1722" s="458" t="str">
        <f t="shared" si="986"/>
        <v/>
      </c>
      <c r="L1722" s="458">
        <f t="shared" si="987"/>
        <v>0</v>
      </c>
      <c r="M1722" s="458">
        <f t="shared" si="988"/>
        <v>0</v>
      </c>
      <c r="N1722" s="459" t="str">
        <f t="shared" si="999"/>
        <v/>
      </c>
      <c r="O1722" s="459" t="str">
        <f t="shared" si="1000"/>
        <v/>
      </c>
      <c r="P1722" s="459" t="str">
        <f t="shared" si="1001"/>
        <v/>
      </c>
      <c r="Q1722" s="459" t="str">
        <f t="shared" si="1002"/>
        <v/>
      </c>
      <c r="R1722" s="459" t="str">
        <f t="shared" si="1003"/>
        <v/>
      </c>
      <c r="S1722" s="459" t="str">
        <f t="shared" si="1004"/>
        <v/>
      </c>
      <c r="T1722" s="566" t="str">
        <f t="shared" si="989"/>
        <v/>
      </c>
      <c r="U1722" s="702"/>
      <c r="V1722" s="132"/>
      <c r="W1722" s="133"/>
      <c r="X1722" s="134"/>
      <c r="Y1722" s="135"/>
      <c r="Z1722" s="137"/>
      <c r="AA1722" s="136"/>
      <c r="AB1722" s="566" t="str">
        <f t="shared" si="990"/>
        <v/>
      </c>
      <c r="AC1722" s="568" t="str">
        <f t="shared" si="991"/>
        <v/>
      </c>
      <c r="AD1722" s="137"/>
      <c r="AE1722" s="137"/>
      <c r="AF1722" s="138"/>
      <c r="AG1722" s="138"/>
      <c r="AH1722" s="592" t="str">
        <f t="shared" si="992"/>
        <v/>
      </c>
      <c r="AI1722" s="592" t="str">
        <f t="shared" si="993"/>
        <v/>
      </c>
      <c r="AJ1722" s="592" t="str">
        <f t="shared" si="994"/>
        <v/>
      </c>
      <c r="AK1722" s="460" t="str">
        <f>IF(AU1722="","",IF(OR(AZ1722=8,AZ1722=9),0,IF(OR(AW1722=3,AW1722=4,AW1722=5,AW1722=6),IF(LEFT(BF1722,1)="1",INDEX(係数_NOX・PM低減,MATCH(AY1722,【参考】排出係数!$AI$801:$AI$804,1),1),VLOOKUP(AU1722,INDEX((係数_バス貨物_ガソリン,係数_バス貨物_CNG,係数_バス貨物_軽油,係数_バス貨物_メタノール,係数_バス貨物_LPG),MATCH(AY1722,【参考】排出係数!$AI$4:$AI$671,1),1,BE1722):INDEX((係数_バス貨物_ガソリン,係数_バス貨物_CNG,係数_バス貨物_軽油,係数_バス貨物_メタノール,係数_バス貨物_LPG),MATCH(AY1722+1,【参考】排出係数!$AI$4:$AI$671,1)-1,5,BE1722),4,FALSE)),IF(AND(BE1722=3,LEFT(BF1722,1)="1"),0.48,VLOOKUP(AU1722,INDEX((係数_乗用_ガソリン,係数_乗用_CNG,係数_乗用_軽油,係数_乗用_メタノール,係数_乗用_LPG),1,1,BE1722):INDEX((係数_乗用_ガソリン,係数_乗用_CNG,係数_乗用_軽油,係数_乗用_メタノール,係数_乗用_LPG),125,5,BE1722),4,FALSE)))))</f>
        <v/>
      </c>
      <c r="AL1722" s="461" t="str">
        <f t="shared" si="995"/>
        <v/>
      </c>
      <c r="AM1722" s="460" t="str">
        <f>IF(AU1722="","",IF(OR(AZ1722=8,AZ1722=9),0,IF(OR(AW1722=3,AW1722=4,AW1722=5,AW1722=6),IF(LEFT(BH1722,1)="1",INDEX(係数_PM低減,MATCH(AY1722,【参考】排出係数!$AI$801:$AI$804,1),MATCH(BI1722,【参考】排出係数!$AL$798:$AO$798,1)),VLOOKUP(AU1722,INDEX((係数_バス貨物_ガソリン,係数_バス貨物_CNG,係数_バス貨物_軽油,係数_バス貨物_メタノール,係数_バス貨物_LPG),MATCH(AY1722,【参考】排出係数!$AI$4:$AI$671,1),1,BE1722):INDEX((係数_バス貨物_ガソリン,係数_バス貨物_CNG,係数_バス貨物_軽油,係数_バス貨物_メタノール,係数_バス貨物_LPG),MATCH(AY1722+1,【参考】排出係数!$AI$4:$AI$671,1)-1,5,BE1722),5,FALSE)),IF(AND(BE1722=3,LEFT(BF1722,1)="1"),0.055,VLOOKUP(AU1722,INDEX((係数_乗用_ガソリン,係数_乗用_CNG,係数_乗用_軽油,係数_乗用_メタノール,係数_乗用_LPG),1,1,BE1722):INDEX((係数_乗用_ガソリン,係数_乗用_CNG,係数_乗用_軽油,係数_乗用_メタノール,係数_乗用_LPG),125,5,BE1722),5,FALSE)))))</f>
        <v/>
      </c>
      <c r="AN1722" s="461" t="str">
        <f t="shared" si="996"/>
        <v/>
      </c>
      <c r="AO1722" s="462" t="str">
        <f t="shared" si="997"/>
        <v/>
      </c>
      <c r="AP1722" s="463" t="str">
        <f t="shared" si="998"/>
        <v/>
      </c>
      <c r="AQ1722" s="464"/>
      <c r="AR1722" s="619"/>
      <c r="AS1722" s="465" t="str">
        <f t="shared" ref="AS1722:AS1785" si="1006">IF(OR(T1722="(減車済)",T1722=""),"",1)</f>
        <v/>
      </c>
      <c r="AT1722" s="465" t="str">
        <f t="shared" ref="AT1722:AT1785" si="1007">IF(OR(T1722="継続",T1722="新規"),1,"")</f>
        <v/>
      </c>
      <c r="AU1722" s="466" t="str">
        <f t="shared" ref="AU1722:AU1785" si="1008">IF(AS1722="","",UPPER(ASC(X1722)))</f>
        <v/>
      </c>
      <c r="AV1722" s="467" t="str">
        <f t="shared" ref="AV1722:AV1785" si="1009">IF(AS1722="","",IF(V1722="","",IF(V1722="普通",1,IF(V1722="小型",2,0))))</f>
        <v/>
      </c>
      <c r="AW1722" s="467" t="str">
        <f t="shared" ref="AW1722:AW1785" si="1010">IF(AS1722="","",IF(W1722="","",VLOOKUP(W1722,用途,2,FALSE)))</f>
        <v/>
      </c>
      <c r="AX1722" s="467" t="str">
        <f t="shared" ref="AX1722:AX1785" si="1011">IF(AS1722="","",IF(Y1722="","",IF(Y1722&lt;=10,1,IF(Y1722&lt;30,2,IF(Y1722&gt;=30,3,0)))))</f>
        <v/>
      </c>
      <c r="AY1722" s="467" t="str">
        <f t="shared" ref="AY1722:AY1785" si="1012">IF(AS1722="","",IF(Z1722="","",IF(Z1722&lt;=1.7*1000,1,IF(Z1722&lt;=2.5*1000,2,IF(Z1722&lt;=3.5*1000,3,IF(Z1722&lt;8*1000,4,IF(Z1722&gt;=8*1000,5,"")))))))</f>
        <v/>
      </c>
      <c r="AZ1722" s="467" t="str">
        <f t="shared" ref="AZ1722:AZ1785" si="1013">IF(AS1722="","",IF(AA1722="","",VLOOKUP(AA1722,燃料の種類,2,FALSE)))</f>
        <v/>
      </c>
      <c r="BA1722" s="468" t="str">
        <f>IF(AS1722="","",IF(OR(AU1722="",AU1722="-"),"－",IF(OR(AZ1722=8,AZ1722=9),"",IF(OR(AW1722=3,AW1722=4,AW1722=5,AW1722=6),VLOOKUP(AU1722,INDEX((係数_バス貨物_ガソリン,係数_バス貨物_CNG,係数_バス貨物_軽油,係数_バス貨物_メタノール,係数_バス貨物_LPG),MATCH(AY1722,【参考】排出係数!$AI$4:$AI$671,1),1,BE1722):INDEX((係数_バス貨物_ガソリン,係数_バス貨物_CNG,係数_バス貨物_軽油,係数_バス貨物_メタノール,係数_バス貨物_LPG),MATCH(AY1722+1,【参考】排出係数!$AI$4:$AI$671,1)-1,5,BE1722),2,FALSE),IF(OR(AW1722=1,AW1722=2),VLOOKUP(AU1722,INDEX((係数_乗用_ガソリン,係数_乗用_CNG,係数_乗用_軽油,係数_乗用_メタノール,係数_乗用_LPG),1,1,BE1722):INDEX((係数_乗用_ガソリン,係数_乗用_CNG,係数_乗用_軽油,係数_乗用_メタノール,係数_乗用_LPG),125,5,BE1722),2,FALSE))))))</f>
        <v/>
      </c>
      <c r="BB1722" s="468" t="str">
        <f>IF(T1722="","",IF(OR(AU1722="",AU1722="-"),"－",IF(OR(AZ1722=8,AZ1722=9),"",IF(OR(AW1722=3,AW1722=4,AW1722=5,AW1722=6),VLOOKUP(AU1722,INDEX((係数_バス貨物_ガソリン,係数_バス貨物_CNG,係数_バス貨物_軽油,係数_バス貨物_メタノール,係数_バス貨物_LPG),MATCH(AY1722,【参考】排出係数!$AI$4:$AI$671,1),1,BE1722):INDEX((係数_バス貨物_ガソリン,係数_バス貨物_CNG,係数_バス貨物_軽油,係数_バス貨物_メタノール,係数_バス貨物_LPG),MATCH(AY1722+1,【参考】排出係数!$AI$4:$AI$671,1)-1,5,BE1722),3,FALSE),IF(OR(AW1722=1,AW1722=2),VLOOKUP(AU1722,INDEX((係数_乗用_ガソリン,係数_乗用_CNG,係数_乗用_軽油,係数_乗用_メタノール,係数_乗用_LPG),1,1,BE1722):INDEX((係数_乗用_ガソリン,係数_乗用_CNG,係数_乗用_軽油,係数_乗用_メタノール,係数_乗用_LPG),125,5,BE1722),3,FALSE))))))</f>
        <v/>
      </c>
      <c r="BC1722" s="467" t="str">
        <f t="shared" ref="BC1722:BC1785" si="1014">IF((AS1722="")+(AC1722=""),"",IF(燃料区分1=4,VLOOKUP(BB1722,排ガス低減レベル,2,FALSE),VLOOKUP(AC1722,排ガス低減レベル,2,FALSE)))</f>
        <v/>
      </c>
      <c r="BD1722" s="567" t="str">
        <f t="shared" ref="BD1722:BD1785" si="1015">IF(AT1722="","",IF(AW1722=3,B1722&amp;"-"&amp;SUM(AW1722*100,AX1722*10,AY1722)&amp;"A",IF(OR(AW1722=2,AW1722=4,AW1722=6),B1722&amp;"-"&amp;AY1722*10&amp;"A",IF(AW1722=1,B1722&amp;"-"&amp;AW1722&amp;"A",IF(AW1722=5,B1722&amp;"-"&amp;SUM(AW1722*100,AV1722*10,AY1722)&amp;"A","")))))</f>
        <v/>
      </c>
      <c r="BE1722" s="467" t="str">
        <f t="shared" ref="BE1722:BE1785" si="1016">IF(OR(AZ1722=1,AZ1722=2,AZ1722=11),1,IF(AZ1722=6,2,IF(OR(AZ1722=4,AZ1722=5,AZ1722=10),3,IF(AZ1722=7,4,IF(AZ1722=3,5, IF(OR(AZ1722=8,AZ1722=9),6,""))))))</f>
        <v/>
      </c>
      <c r="BF1722" s="469" t="str">
        <f t="shared" ref="BF1722:BF1785" ca="1" si="1017">(IF(OR(AZ1722=4,AZ1722=5),OFFSET($CH$1,MATCH($AF1722,$CG$2:$CG$4,0),0)&amp;BK1722,""))</f>
        <v/>
      </c>
      <c r="BG1722" s="469" t="str">
        <f t="shared" ref="BG1722:BG1785" ca="1" si="1018">(IF(OR(AZ1722=4,AZ1722=5),OFFSET($CJ$1,MATCH($AG1722,$CI$2:$CI$5,0),0)&amp;BK1722,""))</f>
        <v/>
      </c>
      <c r="BH1722" s="467" t="str">
        <f t="shared" ref="BH1722:BH1785" si="1019">IF(OR(AZ1722=4,AZ1722=5),IF(OR(LEFT(BF1722,1)="1",LEFT(BG1722,1)="2",LEFT(BG1722,1)="3"),1,2)&amp;BK1722,"")</f>
        <v/>
      </c>
      <c r="BI1722" s="467" t="str">
        <f t="shared" ref="BI1722:BI1785" ca="1" si="1020">IF(LEFT(BF1722)="1",1,IF(LEFT(BG1722,1)="2",2,IF(LEFT(BG1722,1)="3",3,"")))</f>
        <v/>
      </c>
      <c r="BJ1722" s="469" t="str">
        <f t="shared" ref="BJ1722:BJ1785" si="1021">IF(AT1722="","",B1722&amp;"-"&amp;AZ1722)</f>
        <v/>
      </c>
      <c r="BK1722" s="470" t="str">
        <f t="shared" si="1005"/>
        <v/>
      </c>
      <c r="BL1722" s="775" t="str">
        <f t="shared" ref="BL1722:BL1785" si="1022">IF(AND(OR($T1722="新規",$T1722="継続"),ISBLANK($AD1722)),1,"")</f>
        <v/>
      </c>
      <c r="BM1722" s="775" t="str">
        <f t="shared" ref="BM1722:BM1785" si="1023">IF(AND(OR($T1722="新規",$T1722="継続"),ISBLANK($AE1722)),1,"")</f>
        <v/>
      </c>
    </row>
    <row r="1723" spans="1:65">
      <c r="A1723" s="473">
        <v>1667</v>
      </c>
      <c r="B1723" s="132"/>
      <c r="C1723" s="332"/>
      <c r="D1723" s="333"/>
      <c r="E1723" s="333"/>
      <c r="F1723" s="334"/>
      <c r="G1723" s="337"/>
      <c r="H1723" s="131"/>
      <c r="I1723" s="337"/>
      <c r="J1723" s="131"/>
      <c r="K1723" s="458" t="str">
        <f t="shared" si="986"/>
        <v/>
      </c>
      <c r="L1723" s="458">
        <f t="shared" si="987"/>
        <v>0</v>
      </c>
      <c r="M1723" s="458">
        <f t="shared" si="988"/>
        <v>0</v>
      </c>
      <c r="N1723" s="459" t="str">
        <f t="shared" si="999"/>
        <v/>
      </c>
      <c r="O1723" s="459" t="str">
        <f t="shared" si="1000"/>
        <v/>
      </c>
      <c r="P1723" s="459" t="str">
        <f t="shared" si="1001"/>
        <v/>
      </c>
      <c r="Q1723" s="459" t="str">
        <f t="shared" si="1002"/>
        <v/>
      </c>
      <c r="R1723" s="459" t="str">
        <f t="shared" si="1003"/>
        <v/>
      </c>
      <c r="S1723" s="459" t="str">
        <f t="shared" si="1004"/>
        <v/>
      </c>
      <c r="T1723" s="566" t="str">
        <f t="shared" si="989"/>
        <v/>
      </c>
      <c r="U1723" s="702"/>
      <c r="V1723" s="132"/>
      <c r="W1723" s="133"/>
      <c r="X1723" s="134"/>
      <c r="Y1723" s="135"/>
      <c r="Z1723" s="137"/>
      <c r="AA1723" s="136"/>
      <c r="AB1723" s="566" t="str">
        <f t="shared" si="990"/>
        <v/>
      </c>
      <c r="AC1723" s="568" t="str">
        <f t="shared" si="991"/>
        <v/>
      </c>
      <c r="AD1723" s="137"/>
      <c r="AE1723" s="137"/>
      <c r="AF1723" s="138"/>
      <c r="AG1723" s="138"/>
      <c r="AH1723" s="592" t="str">
        <f t="shared" si="992"/>
        <v/>
      </c>
      <c r="AI1723" s="592" t="str">
        <f t="shared" si="993"/>
        <v/>
      </c>
      <c r="AJ1723" s="592" t="str">
        <f t="shared" si="994"/>
        <v/>
      </c>
      <c r="AK1723" s="460" t="str">
        <f>IF(AU1723="","",IF(OR(AZ1723=8,AZ1723=9),0,IF(OR(AW1723=3,AW1723=4,AW1723=5,AW1723=6),IF(LEFT(BF1723,1)="1",INDEX(係数_NOX・PM低減,MATCH(AY1723,【参考】排出係数!$AI$801:$AI$804,1),1),VLOOKUP(AU1723,INDEX((係数_バス貨物_ガソリン,係数_バス貨物_CNG,係数_バス貨物_軽油,係数_バス貨物_メタノール,係数_バス貨物_LPG),MATCH(AY1723,【参考】排出係数!$AI$4:$AI$671,1),1,BE1723):INDEX((係数_バス貨物_ガソリン,係数_バス貨物_CNG,係数_バス貨物_軽油,係数_バス貨物_メタノール,係数_バス貨物_LPG),MATCH(AY1723+1,【参考】排出係数!$AI$4:$AI$671,1)-1,5,BE1723),4,FALSE)),IF(AND(BE1723=3,LEFT(BF1723,1)="1"),0.48,VLOOKUP(AU1723,INDEX((係数_乗用_ガソリン,係数_乗用_CNG,係数_乗用_軽油,係数_乗用_メタノール,係数_乗用_LPG),1,1,BE1723):INDEX((係数_乗用_ガソリン,係数_乗用_CNG,係数_乗用_軽油,係数_乗用_メタノール,係数_乗用_LPG),125,5,BE1723),4,FALSE)))))</f>
        <v/>
      </c>
      <c r="AL1723" s="461" t="str">
        <f t="shared" si="995"/>
        <v/>
      </c>
      <c r="AM1723" s="460" t="str">
        <f>IF(AU1723="","",IF(OR(AZ1723=8,AZ1723=9),0,IF(OR(AW1723=3,AW1723=4,AW1723=5,AW1723=6),IF(LEFT(BH1723,1)="1",INDEX(係数_PM低減,MATCH(AY1723,【参考】排出係数!$AI$801:$AI$804,1),MATCH(BI1723,【参考】排出係数!$AL$798:$AO$798,1)),VLOOKUP(AU1723,INDEX((係数_バス貨物_ガソリン,係数_バス貨物_CNG,係数_バス貨物_軽油,係数_バス貨物_メタノール,係数_バス貨物_LPG),MATCH(AY1723,【参考】排出係数!$AI$4:$AI$671,1),1,BE1723):INDEX((係数_バス貨物_ガソリン,係数_バス貨物_CNG,係数_バス貨物_軽油,係数_バス貨物_メタノール,係数_バス貨物_LPG),MATCH(AY1723+1,【参考】排出係数!$AI$4:$AI$671,1)-1,5,BE1723),5,FALSE)),IF(AND(BE1723=3,LEFT(BF1723,1)="1"),0.055,VLOOKUP(AU1723,INDEX((係数_乗用_ガソリン,係数_乗用_CNG,係数_乗用_軽油,係数_乗用_メタノール,係数_乗用_LPG),1,1,BE1723):INDEX((係数_乗用_ガソリン,係数_乗用_CNG,係数_乗用_軽油,係数_乗用_メタノール,係数_乗用_LPG),125,5,BE1723),5,FALSE)))))</f>
        <v/>
      </c>
      <c r="AN1723" s="461" t="str">
        <f t="shared" si="996"/>
        <v/>
      </c>
      <c r="AO1723" s="462" t="str">
        <f t="shared" si="997"/>
        <v/>
      </c>
      <c r="AP1723" s="463" t="str">
        <f t="shared" si="998"/>
        <v/>
      </c>
      <c r="AQ1723" s="464"/>
      <c r="AR1723" s="619"/>
      <c r="AS1723" s="465" t="str">
        <f t="shared" si="1006"/>
        <v/>
      </c>
      <c r="AT1723" s="465" t="str">
        <f t="shared" si="1007"/>
        <v/>
      </c>
      <c r="AU1723" s="466" t="str">
        <f t="shared" si="1008"/>
        <v/>
      </c>
      <c r="AV1723" s="467" t="str">
        <f t="shared" si="1009"/>
        <v/>
      </c>
      <c r="AW1723" s="467" t="str">
        <f t="shared" si="1010"/>
        <v/>
      </c>
      <c r="AX1723" s="467" t="str">
        <f t="shared" si="1011"/>
        <v/>
      </c>
      <c r="AY1723" s="467" t="str">
        <f t="shared" si="1012"/>
        <v/>
      </c>
      <c r="AZ1723" s="467" t="str">
        <f t="shared" si="1013"/>
        <v/>
      </c>
      <c r="BA1723" s="468" t="str">
        <f>IF(AS1723="","",IF(OR(AU1723="",AU1723="-"),"－",IF(OR(AZ1723=8,AZ1723=9),"",IF(OR(AW1723=3,AW1723=4,AW1723=5,AW1723=6),VLOOKUP(AU1723,INDEX((係数_バス貨物_ガソリン,係数_バス貨物_CNG,係数_バス貨物_軽油,係数_バス貨物_メタノール,係数_バス貨物_LPG),MATCH(AY1723,【参考】排出係数!$AI$4:$AI$671,1),1,BE1723):INDEX((係数_バス貨物_ガソリン,係数_バス貨物_CNG,係数_バス貨物_軽油,係数_バス貨物_メタノール,係数_バス貨物_LPG),MATCH(AY1723+1,【参考】排出係数!$AI$4:$AI$671,1)-1,5,BE1723),2,FALSE),IF(OR(AW1723=1,AW1723=2),VLOOKUP(AU1723,INDEX((係数_乗用_ガソリン,係数_乗用_CNG,係数_乗用_軽油,係数_乗用_メタノール,係数_乗用_LPG),1,1,BE1723):INDEX((係数_乗用_ガソリン,係数_乗用_CNG,係数_乗用_軽油,係数_乗用_メタノール,係数_乗用_LPG),125,5,BE1723),2,FALSE))))))</f>
        <v/>
      </c>
      <c r="BB1723" s="468" t="str">
        <f>IF(T1723="","",IF(OR(AU1723="",AU1723="-"),"－",IF(OR(AZ1723=8,AZ1723=9),"",IF(OR(AW1723=3,AW1723=4,AW1723=5,AW1723=6),VLOOKUP(AU1723,INDEX((係数_バス貨物_ガソリン,係数_バス貨物_CNG,係数_バス貨物_軽油,係数_バス貨物_メタノール,係数_バス貨物_LPG),MATCH(AY1723,【参考】排出係数!$AI$4:$AI$671,1),1,BE1723):INDEX((係数_バス貨物_ガソリン,係数_バス貨物_CNG,係数_バス貨物_軽油,係数_バス貨物_メタノール,係数_バス貨物_LPG),MATCH(AY1723+1,【参考】排出係数!$AI$4:$AI$671,1)-1,5,BE1723),3,FALSE),IF(OR(AW1723=1,AW1723=2),VLOOKUP(AU1723,INDEX((係数_乗用_ガソリン,係数_乗用_CNG,係数_乗用_軽油,係数_乗用_メタノール,係数_乗用_LPG),1,1,BE1723):INDEX((係数_乗用_ガソリン,係数_乗用_CNG,係数_乗用_軽油,係数_乗用_メタノール,係数_乗用_LPG),125,5,BE1723),3,FALSE))))))</f>
        <v/>
      </c>
      <c r="BC1723" s="467" t="str">
        <f t="shared" si="1014"/>
        <v/>
      </c>
      <c r="BD1723" s="567" t="str">
        <f t="shared" si="1015"/>
        <v/>
      </c>
      <c r="BE1723" s="467" t="str">
        <f t="shared" si="1016"/>
        <v/>
      </c>
      <c r="BF1723" s="469" t="str">
        <f t="shared" ca="1" si="1017"/>
        <v/>
      </c>
      <c r="BG1723" s="469" t="str">
        <f t="shared" ca="1" si="1018"/>
        <v/>
      </c>
      <c r="BH1723" s="467" t="str">
        <f t="shared" si="1019"/>
        <v/>
      </c>
      <c r="BI1723" s="467" t="str">
        <f t="shared" ca="1" si="1020"/>
        <v/>
      </c>
      <c r="BJ1723" s="469" t="str">
        <f t="shared" si="1021"/>
        <v/>
      </c>
      <c r="BK1723" s="470" t="str">
        <f t="shared" si="1005"/>
        <v/>
      </c>
      <c r="BL1723" s="775" t="str">
        <f t="shared" si="1022"/>
        <v/>
      </c>
      <c r="BM1723" s="775" t="str">
        <f t="shared" si="1023"/>
        <v/>
      </c>
    </row>
    <row r="1724" spans="1:65">
      <c r="A1724" s="473">
        <v>1668</v>
      </c>
      <c r="B1724" s="132"/>
      <c r="C1724" s="332"/>
      <c r="D1724" s="333"/>
      <c r="E1724" s="333"/>
      <c r="F1724" s="334"/>
      <c r="G1724" s="337"/>
      <c r="H1724" s="131"/>
      <c r="I1724" s="337"/>
      <c r="J1724" s="131"/>
      <c r="K1724" s="458" t="str">
        <f t="shared" si="986"/>
        <v/>
      </c>
      <c r="L1724" s="458">
        <f t="shared" si="987"/>
        <v>0</v>
      </c>
      <c r="M1724" s="458">
        <f t="shared" si="988"/>
        <v>0</v>
      </c>
      <c r="N1724" s="459" t="str">
        <f t="shared" si="999"/>
        <v/>
      </c>
      <c r="O1724" s="459" t="str">
        <f t="shared" si="1000"/>
        <v/>
      </c>
      <c r="P1724" s="459" t="str">
        <f t="shared" si="1001"/>
        <v/>
      </c>
      <c r="Q1724" s="459" t="str">
        <f t="shared" si="1002"/>
        <v/>
      </c>
      <c r="R1724" s="459" t="str">
        <f t="shared" si="1003"/>
        <v/>
      </c>
      <c r="S1724" s="459" t="str">
        <f t="shared" si="1004"/>
        <v/>
      </c>
      <c r="T1724" s="566" t="str">
        <f t="shared" si="989"/>
        <v/>
      </c>
      <c r="U1724" s="702"/>
      <c r="V1724" s="132"/>
      <c r="W1724" s="133"/>
      <c r="X1724" s="134"/>
      <c r="Y1724" s="135"/>
      <c r="Z1724" s="137"/>
      <c r="AA1724" s="136"/>
      <c r="AB1724" s="566" t="str">
        <f t="shared" si="990"/>
        <v/>
      </c>
      <c r="AC1724" s="568" t="str">
        <f t="shared" si="991"/>
        <v/>
      </c>
      <c r="AD1724" s="137"/>
      <c r="AE1724" s="137"/>
      <c r="AF1724" s="138"/>
      <c r="AG1724" s="138"/>
      <c r="AH1724" s="592" t="str">
        <f t="shared" si="992"/>
        <v/>
      </c>
      <c r="AI1724" s="592" t="str">
        <f t="shared" si="993"/>
        <v/>
      </c>
      <c r="AJ1724" s="592" t="str">
        <f t="shared" si="994"/>
        <v/>
      </c>
      <c r="AK1724" s="460" t="str">
        <f>IF(AU1724="","",IF(OR(AZ1724=8,AZ1724=9),0,IF(OR(AW1724=3,AW1724=4,AW1724=5,AW1724=6),IF(LEFT(BF1724,1)="1",INDEX(係数_NOX・PM低減,MATCH(AY1724,【参考】排出係数!$AI$801:$AI$804,1),1),VLOOKUP(AU1724,INDEX((係数_バス貨物_ガソリン,係数_バス貨物_CNG,係数_バス貨物_軽油,係数_バス貨物_メタノール,係数_バス貨物_LPG),MATCH(AY1724,【参考】排出係数!$AI$4:$AI$671,1),1,BE1724):INDEX((係数_バス貨物_ガソリン,係数_バス貨物_CNG,係数_バス貨物_軽油,係数_バス貨物_メタノール,係数_バス貨物_LPG),MATCH(AY1724+1,【参考】排出係数!$AI$4:$AI$671,1)-1,5,BE1724),4,FALSE)),IF(AND(BE1724=3,LEFT(BF1724,1)="1"),0.48,VLOOKUP(AU1724,INDEX((係数_乗用_ガソリン,係数_乗用_CNG,係数_乗用_軽油,係数_乗用_メタノール,係数_乗用_LPG),1,1,BE1724):INDEX((係数_乗用_ガソリン,係数_乗用_CNG,係数_乗用_軽油,係数_乗用_メタノール,係数_乗用_LPG),125,5,BE1724),4,FALSE)))))</f>
        <v/>
      </c>
      <c r="AL1724" s="461" t="str">
        <f t="shared" si="995"/>
        <v/>
      </c>
      <c r="AM1724" s="460" t="str">
        <f>IF(AU1724="","",IF(OR(AZ1724=8,AZ1724=9),0,IF(OR(AW1724=3,AW1724=4,AW1724=5,AW1724=6),IF(LEFT(BH1724,1)="1",INDEX(係数_PM低減,MATCH(AY1724,【参考】排出係数!$AI$801:$AI$804,1),MATCH(BI1724,【参考】排出係数!$AL$798:$AO$798,1)),VLOOKUP(AU1724,INDEX((係数_バス貨物_ガソリン,係数_バス貨物_CNG,係数_バス貨物_軽油,係数_バス貨物_メタノール,係数_バス貨物_LPG),MATCH(AY1724,【参考】排出係数!$AI$4:$AI$671,1),1,BE1724):INDEX((係数_バス貨物_ガソリン,係数_バス貨物_CNG,係数_バス貨物_軽油,係数_バス貨物_メタノール,係数_バス貨物_LPG),MATCH(AY1724+1,【参考】排出係数!$AI$4:$AI$671,1)-1,5,BE1724),5,FALSE)),IF(AND(BE1724=3,LEFT(BF1724,1)="1"),0.055,VLOOKUP(AU1724,INDEX((係数_乗用_ガソリン,係数_乗用_CNG,係数_乗用_軽油,係数_乗用_メタノール,係数_乗用_LPG),1,1,BE1724):INDEX((係数_乗用_ガソリン,係数_乗用_CNG,係数_乗用_軽油,係数_乗用_メタノール,係数_乗用_LPG),125,5,BE1724),5,FALSE)))))</f>
        <v/>
      </c>
      <c r="AN1724" s="461" t="str">
        <f t="shared" si="996"/>
        <v/>
      </c>
      <c r="AO1724" s="462" t="str">
        <f t="shared" si="997"/>
        <v/>
      </c>
      <c r="AP1724" s="463" t="str">
        <f t="shared" si="998"/>
        <v/>
      </c>
      <c r="AQ1724" s="464"/>
      <c r="AR1724" s="619"/>
      <c r="AS1724" s="465" t="str">
        <f t="shared" si="1006"/>
        <v/>
      </c>
      <c r="AT1724" s="465" t="str">
        <f t="shared" si="1007"/>
        <v/>
      </c>
      <c r="AU1724" s="466" t="str">
        <f t="shared" si="1008"/>
        <v/>
      </c>
      <c r="AV1724" s="467" t="str">
        <f t="shared" si="1009"/>
        <v/>
      </c>
      <c r="AW1724" s="467" t="str">
        <f t="shared" si="1010"/>
        <v/>
      </c>
      <c r="AX1724" s="467" t="str">
        <f t="shared" si="1011"/>
        <v/>
      </c>
      <c r="AY1724" s="467" t="str">
        <f t="shared" si="1012"/>
        <v/>
      </c>
      <c r="AZ1724" s="467" t="str">
        <f t="shared" si="1013"/>
        <v/>
      </c>
      <c r="BA1724" s="468" t="str">
        <f>IF(AS1724="","",IF(OR(AU1724="",AU1724="-"),"－",IF(OR(AZ1724=8,AZ1724=9),"",IF(OR(AW1724=3,AW1724=4,AW1724=5,AW1724=6),VLOOKUP(AU1724,INDEX((係数_バス貨物_ガソリン,係数_バス貨物_CNG,係数_バス貨物_軽油,係数_バス貨物_メタノール,係数_バス貨物_LPG),MATCH(AY1724,【参考】排出係数!$AI$4:$AI$671,1),1,BE1724):INDEX((係数_バス貨物_ガソリン,係数_バス貨物_CNG,係数_バス貨物_軽油,係数_バス貨物_メタノール,係数_バス貨物_LPG),MATCH(AY1724+1,【参考】排出係数!$AI$4:$AI$671,1)-1,5,BE1724),2,FALSE),IF(OR(AW1724=1,AW1724=2),VLOOKUP(AU1724,INDEX((係数_乗用_ガソリン,係数_乗用_CNG,係数_乗用_軽油,係数_乗用_メタノール,係数_乗用_LPG),1,1,BE1724):INDEX((係数_乗用_ガソリン,係数_乗用_CNG,係数_乗用_軽油,係数_乗用_メタノール,係数_乗用_LPG),125,5,BE1724),2,FALSE))))))</f>
        <v/>
      </c>
      <c r="BB1724" s="468" t="str">
        <f>IF(T1724="","",IF(OR(AU1724="",AU1724="-"),"－",IF(OR(AZ1724=8,AZ1724=9),"",IF(OR(AW1724=3,AW1724=4,AW1724=5,AW1724=6),VLOOKUP(AU1724,INDEX((係数_バス貨物_ガソリン,係数_バス貨物_CNG,係数_バス貨物_軽油,係数_バス貨物_メタノール,係数_バス貨物_LPG),MATCH(AY1724,【参考】排出係数!$AI$4:$AI$671,1),1,BE1724):INDEX((係数_バス貨物_ガソリン,係数_バス貨物_CNG,係数_バス貨物_軽油,係数_バス貨物_メタノール,係数_バス貨物_LPG),MATCH(AY1724+1,【参考】排出係数!$AI$4:$AI$671,1)-1,5,BE1724),3,FALSE),IF(OR(AW1724=1,AW1724=2),VLOOKUP(AU1724,INDEX((係数_乗用_ガソリン,係数_乗用_CNG,係数_乗用_軽油,係数_乗用_メタノール,係数_乗用_LPG),1,1,BE1724):INDEX((係数_乗用_ガソリン,係数_乗用_CNG,係数_乗用_軽油,係数_乗用_メタノール,係数_乗用_LPG),125,5,BE1724),3,FALSE))))))</f>
        <v/>
      </c>
      <c r="BC1724" s="467" t="str">
        <f t="shared" si="1014"/>
        <v/>
      </c>
      <c r="BD1724" s="567" t="str">
        <f t="shared" si="1015"/>
        <v/>
      </c>
      <c r="BE1724" s="467" t="str">
        <f t="shared" si="1016"/>
        <v/>
      </c>
      <c r="BF1724" s="469" t="str">
        <f t="shared" ca="1" si="1017"/>
        <v/>
      </c>
      <c r="BG1724" s="469" t="str">
        <f t="shared" ca="1" si="1018"/>
        <v/>
      </c>
      <c r="BH1724" s="467" t="str">
        <f t="shared" si="1019"/>
        <v/>
      </c>
      <c r="BI1724" s="467" t="str">
        <f t="shared" ca="1" si="1020"/>
        <v/>
      </c>
      <c r="BJ1724" s="469" t="str">
        <f t="shared" si="1021"/>
        <v/>
      </c>
      <c r="BK1724" s="470" t="str">
        <f t="shared" si="1005"/>
        <v/>
      </c>
      <c r="BL1724" s="775" t="str">
        <f t="shared" si="1022"/>
        <v/>
      </c>
      <c r="BM1724" s="775" t="str">
        <f t="shared" si="1023"/>
        <v/>
      </c>
    </row>
    <row r="1725" spans="1:65">
      <c r="A1725" s="473">
        <v>1669</v>
      </c>
      <c r="B1725" s="132"/>
      <c r="C1725" s="332"/>
      <c r="D1725" s="333"/>
      <c r="E1725" s="333"/>
      <c r="F1725" s="334"/>
      <c r="G1725" s="337"/>
      <c r="H1725" s="131"/>
      <c r="I1725" s="337"/>
      <c r="J1725" s="131"/>
      <c r="K1725" s="458" t="str">
        <f t="shared" si="986"/>
        <v/>
      </c>
      <c r="L1725" s="458">
        <f t="shared" si="987"/>
        <v>0</v>
      </c>
      <c r="M1725" s="458">
        <f t="shared" si="988"/>
        <v>0</v>
      </c>
      <c r="N1725" s="459" t="str">
        <f t="shared" si="999"/>
        <v/>
      </c>
      <c r="O1725" s="459" t="str">
        <f t="shared" si="1000"/>
        <v/>
      </c>
      <c r="P1725" s="459" t="str">
        <f t="shared" si="1001"/>
        <v/>
      </c>
      <c r="Q1725" s="459" t="str">
        <f t="shared" si="1002"/>
        <v/>
      </c>
      <c r="R1725" s="459" t="str">
        <f t="shared" si="1003"/>
        <v/>
      </c>
      <c r="S1725" s="459" t="str">
        <f t="shared" si="1004"/>
        <v/>
      </c>
      <c r="T1725" s="566" t="str">
        <f t="shared" si="989"/>
        <v/>
      </c>
      <c r="U1725" s="702"/>
      <c r="V1725" s="132"/>
      <c r="W1725" s="133"/>
      <c r="X1725" s="134"/>
      <c r="Y1725" s="135"/>
      <c r="Z1725" s="137"/>
      <c r="AA1725" s="136"/>
      <c r="AB1725" s="566" t="str">
        <f t="shared" si="990"/>
        <v/>
      </c>
      <c r="AC1725" s="568" t="str">
        <f t="shared" si="991"/>
        <v/>
      </c>
      <c r="AD1725" s="137"/>
      <c r="AE1725" s="137"/>
      <c r="AF1725" s="138"/>
      <c r="AG1725" s="138"/>
      <c r="AH1725" s="592" t="str">
        <f t="shared" si="992"/>
        <v/>
      </c>
      <c r="AI1725" s="592" t="str">
        <f t="shared" si="993"/>
        <v/>
      </c>
      <c r="AJ1725" s="592" t="str">
        <f t="shared" si="994"/>
        <v/>
      </c>
      <c r="AK1725" s="460" t="str">
        <f>IF(AU1725="","",IF(OR(AZ1725=8,AZ1725=9),0,IF(OR(AW1725=3,AW1725=4,AW1725=5,AW1725=6),IF(LEFT(BF1725,1)="1",INDEX(係数_NOX・PM低減,MATCH(AY1725,【参考】排出係数!$AI$801:$AI$804,1),1),VLOOKUP(AU1725,INDEX((係数_バス貨物_ガソリン,係数_バス貨物_CNG,係数_バス貨物_軽油,係数_バス貨物_メタノール,係数_バス貨物_LPG),MATCH(AY1725,【参考】排出係数!$AI$4:$AI$671,1),1,BE1725):INDEX((係数_バス貨物_ガソリン,係数_バス貨物_CNG,係数_バス貨物_軽油,係数_バス貨物_メタノール,係数_バス貨物_LPG),MATCH(AY1725+1,【参考】排出係数!$AI$4:$AI$671,1)-1,5,BE1725),4,FALSE)),IF(AND(BE1725=3,LEFT(BF1725,1)="1"),0.48,VLOOKUP(AU1725,INDEX((係数_乗用_ガソリン,係数_乗用_CNG,係数_乗用_軽油,係数_乗用_メタノール,係数_乗用_LPG),1,1,BE1725):INDEX((係数_乗用_ガソリン,係数_乗用_CNG,係数_乗用_軽油,係数_乗用_メタノール,係数_乗用_LPG),125,5,BE1725),4,FALSE)))))</f>
        <v/>
      </c>
      <c r="AL1725" s="461" t="str">
        <f t="shared" si="995"/>
        <v/>
      </c>
      <c r="AM1725" s="460" t="str">
        <f>IF(AU1725="","",IF(OR(AZ1725=8,AZ1725=9),0,IF(OR(AW1725=3,AW1725=4,AW1725=5,AW1725=6),IF(LEFT(BH1725,1)="1",INDEX(係数_PM低減,MATCH(AY1725,【参考】排出係数!$AI$801:$AI$804,1),MATCH(BI1725,【参考】排出係数!$AL$798:$AO$798,1)),VLOOKUP(AU1725,INDEX((係数_バス貨物_ガソリン,係数_バス貨物_CNG,係数_バス貨物_軽油,係数_バス貨物_メタノール,係数_バス貨物_LPG),MATCH(AY1725,【参考】排出係数!$AI$4:$AI$671,1),1,BE1725):INDEX((係数_バス貨物_ガソリン,係数_バス貨物_CNG,係数_バス貨物_軽油,係数_バス貨物_メタノール,係数_バス貨物_LPG),MATCH(AY1725+1,【参考】排出係数!$AI$4:$AI$671,1)-1,5,BE1725),5,FALSE)),IF(AND(BE1725=3,LEFT(BF1725,1)="1"),0.055,VLOOKUP(AU1725,INDEX((係数_乗用_ガソリン,係数_乗用_CNG,係数_乗用_軽油,係数_乗用_メタノール,係数_乗用_LPG),1,1,BE1725):INDEX((係数_乗用_ガソリン,係数_乗用_CNG,係数_乗用_軽油,係数_乗用_メタノール,係数_乗用_LPG),125,5,BE1725),5,FALSE)))))</f>
        <v/>
      </c>
      <c r="AN1725" s="461" t="str">
        <f t="shared" si="996"/>
        <v/>
      </c>
      <c r="AO1725" s="462" t="str">
        <f t="shared" si="997"/>
        <v/>
      </c>
      <c r="AP1725" s="463" t="str">
        <f t="shared" si="998"/>
        <v/>
      </c>
      <c r="AQ1725" s="464"/>
      <c r="AR1725" s="619"/>
      <c r="AS1725" s="465" t="str">
        <f t="shared" si="1006"/>
        <v/>
      </c>
      <c r="AT1725" s="465" t="str">
        <f t="shared" si="1007"/>
        <v/>
      </c>
      <c r="AU1725" s="466" t="str">
        <f t="shared" si="1008"/>
        <v/>
      </c>
      <c r="AV1725" s="467" t="str">
        <f t="shared" si="1009"/>
        <v/>
      </c>
      <c r="AW1725" s="467" t="str">
        <f t="shared" si="1010"/>
        <v/>
      </c>
      <c r="AX1725" s="467" t="str">
        <f t="shared" si="1011"/>
        <v/>
      </c>
      <c r="AY1725" s="467" t="str">
        <f t="shared" si="1012"/>
        <v/>
      </c>
      <c r="AZ1725" s="467" t="str">
        <f t="shared" si="1013"/>
        <v/>
      </c>
      <c r="BA1725" s="468" t="str">
        <f>IF(AS1725="","",IF(OR(AU1725="",AU1725="-"),"－",IF(OR(AZ1725=8,AZ1725=9),"",IF(OR(AW1725=3,AW1725=4,AW1725=5,AW1725=6),VLOOKUP(AU1725,INDEX((係数_バス貨物_ガソリン,係数_バス貨物_CNG,係数_バス貨物_軽油,係数_バス貨物_メタノール,係数_バス貨物_LPG),MATCH(AY1725,【参考】排出係数!$AI$4:$AI$671,1),1,BE1725):INDEX((係数_バス貨物_ガソリン,係数_バス貨物_CNG,係数_バス貨物_軽油,係数_バス貨物_メタノール,係数_バス貨物_LPG),MATCH(AY1725+1,【参考】排出係数!$AI$4:$AI$671,1)-1,5,BE1725),2,FALSE),IF(OR(AW1725=1,AW1725=2),VLOOKUP(AU1725,INDEX((係数_乗用_ガソリン,係数_乗用_CNG,係数_乗用_軽油,係数_乗用_メタノール,係数_乗用_LPG),1,1,BE1725):INDEX((係数_乗用_ガソリン,係数_乗用_CNG,係数_乗用_軽油,係数_乗用_メタノール,係数_乗用_LPG),125,5,BE1725),2,FALSE))))))</f>
        <v/>
      </c>
      <c r="BB1725" s="468" t="str">
        <f>IF(T1725="","",IF(OR(AU1725="",AU1725="-"),"－",IF(OR(AZ1725=8,AZ1725=9),"",IF(OR(AW1725=3,AW1725=4,AW1725=5,AW1725=6),VLOOKUP(AU1725,INDEX((係数_バス貨物_ガソリン,係数_バス貨物_CNG,係数_バス貨物_軽油,係数_バス貨物_メタノール,係数_バス貨物_LPG),MATCH(AY1725,【参考】排出係数!$AI$4:$AI$671,1),1,BE1725):INDEX((係数_バス貨物_ガソリン,係数_バス貨物_CNG,係数_バス貨物_軽油,係数_バス貨物_メタノール,係数_バス貨物_LPG),MATCH(AY1725+1,【参考】排出係数!$AI$4:$AI$671,1)-1,5,BE1725),3,FALSE),IF(OR(AW1725=1,AW1725=2),VLOOKUP(AU1725,INDEX((係数_乗用_ガソリン,係数_乗用_CNG,係数_乗用_軽油,係数_乗用_メタノール,係数_乗用_LPG),1,1,BE1725):INDEX((係数_乗用_ガソリン,係数_乗用_CNG,係数_乗用_軽油,係数_乗用_メタノール,係数_乗用_LPG),125,5,BE1725),3,FALSE))))))</f>
        <v/>
      </c>
      <c r="BC1725" s="467" t="str">
        <f t="shared" si="1014"/>
        <v/>
      </c>
      <c r="BD1725" s="567" t="str">
        <f t="shared" si="1015"/>
        <v/>
      </c>
      <c r="BE1725" s="467" t="str">
        <f t="shared" si="1016"/>
        <v/>
      </c>
      <c r="BF1725" s="469" t="str">
        <f t="shared" ca="1" si="1017"/>
        <v/>
      </c>
      <c r="BG1725" s="469" t="str">
        <f t="shared" ca="1" si="1018"/>
        <v/>
      </c>
      <c r="BH1725" s="467" t="str">
        <f t="shared" si="1019"/>
        <v/>
      </c>
      <c r="BI1725" s="467" t="str">
        <f t="shared" ca="1" si="1020"/>
        <v/>
      </c>
      <c r="BJ1725" s="469" t="str">
        <f t="shared" si="1021"/>
        <v/>
      </c>
      <c r="BK1725" s="470" t="str">
        <f t="shared" si="1005"/>
        <v/>
      </c>
      <c r="BL1725" s="775" t="str">
        <f t="shared" si="1022"/>
        <v/>
      </c>
      <c r="BM1725" s="775" t="str">
        <f t="shared" si="1023"/>
        <v/>
      </c>
    </row>
    <row r="1726" spans="1:65">
      <c r="A1726" s="473">
        <v>1670</v>
      </c>
      <c r="B1726" s="132"/>
      <c r="C1726" s="332"/>
      <c r="D1726" s="333"/>
      <c r="E1726" s="333"/>
      <c r="F1726" s="334"/>
      <c r="G1726" s="337"/>
      <c r="H1726" s="131"/>
      <c r="I1726" s="337"/>
      <c r="J1726" s="131"/>
      <c r="K1726" s="458" t="str">
        <f t="shared" si="986"/>
        <v/>
      </c>
      <c r="L1726" s="458">
        <f t="shared" si="987"/>
        <v>0</v>
      </c>
      <c r="M1726" s="458">
        <f t="shared" si="988"/>
        <v>0</v>
      </c>
      <c r="N1726" s="459" t="str">
        <f t="shared" si="999"/>
        <v/>
      </c>
      <c r="O1726" s="459" t="str">
        <f t="shared" si="1000"/>
        <v/>
      </c>
      <c r="P1726" s="459" t="str">
        <f t="shared" si="1001"/>
        <v/>
      </c>
      <c r="Q1726" s="459" t="str">
        <f t="shared" si="1002"/>
        <v/>
      </c>
      <c r="R1726" s="459" t="str">
        <f t="shared" si="1003"/>
        <v/>
      </c>
      <c r="S1726" s="459" t="str">
        <f t="shared" si="1004"/>
        <v/>
      </c>
      <c r="T1726" s="566" t="str">
        <f t="shared" si="989"/>
        <v/>
      </c>
      <c r="U1726" s="702"/>
      <c r="V1726" s="132"/>
      <c r="W1726" s="133"/>
      <c r="X1726" s="134"/>
      <c r="Y1726" s="135"/>
      <c r="Z1726" s="137"/>
      <c r="AA1726" s="136"/>
      <c r="AB1726" s="566" t="str">
        <f t="shared" si="990"/>
        <v/>
      </c>
      <c r="AC1726" s="568" t="str">
        <f t="shared" si="991"/>
        <v/>
      </c>
      <c r="AD1726" s="137"/>
      <c r="AE1726" s="137"/>
      <c r="AF1726" s="138"/>
      <c r="AG1726" s="138"/>
      <c r="AH1726" s="592" t="str">
        <f t="shared" si="992"/>
        <v/>
      </c>
      <c r="AI1726" s="592" t="str">
        <f t="shared" si="993"/>
        <v/>
      </c>
      <c r="AJ1726" s="592" t="str">
        <f t="shared" si="994"/>
        <v/>
      </c>
      <c r="AK1726" s="460" t="str">
        <f>IF(AU1726="","",IF(OR(AZ1726=8,AZ1726=9),0,IF(OR(AW1726=3,AW1726=4,AW1726=5,AW1726=6),IF(LEFT(BF1726,1)="1",INDEX(係数_NOX・PM低減,MATCH(AY1726,【参考】排出係数!$AI$801:$AI$804,1),1),VLOOKUP(AU1726,INDEX((係数_バス貨物_ガソリン,係数_バス貨物_CNG,係数_バス貨物_軽油,係数_バス貨物_メタノール,係数_バス貨物_LPG),MATCH(AY1726,【参考】排出係数!$AI$4:$AI$671,1),1,BE1726):INDEX((係数_バス貨物_ガソリン,係数_バス貨物_CNG,係数_バス貨物_軽油,係数_バス貨物_メタノール,係数_バス貨物_LPG),MATCH(AY1726+1,【参考】排出係数!$AI$4:$AI$671,1)-1,5,BE1726),4,FALSE)),IF(AND(BE1726=3,LEFT(BF1726,1)="1"),0.48,VLOOKUP(AU1726,INDEX((係数_乗用_ガソリン,係数_乗用_CNG,係数_乗用_軽油,係数_乗用_メタノール,係数_乗用_LPG),1,1,BE1726):INDEX((係数_乗用_ガソリン,係数_乗用_CNG,係数_乗用_軽油,係数_乗用_メタノール,係数_乗用_LPG),125,5,BE1726),4,FALSE)))))</f>
        <v/>
      </c>
      <c r="AL1726" s="461" t="str">
        <f t="shared" si="995"/>
        <v/>
      </c>
      <c r="AM1726" s="460" t="str">
        <f>IF(AU1726="","",IF(OR(AZ1726=8,AZ1726=9),0,IF(OR(AW1726=3,AW1726=4,AW1726=5,AW1726=6),IF(LEFT(BH1726,1)="1",INDEX(係数_PM低減,MATCH(AY1726,【参考】排出係数!$AI$801:$AI$804,1),MATCH(BI1726,【参考】排出係数!$AL$798:$AO$798,1)),VLOOKUP(AU1726,INDEX((係数_バス貨物_ガソリン,係数_バス貨物_CNG,係数_バス貨物_軽油,係数_バス貨物_メタノール,係数_バス貨物_LPG),MATCH(AY1726,【参考】排出係数!$AI$4:$AI$671,1),1,BE1726):INDEX((係数_バス貨物_ガソリン,係数_バス貨物_CNG,係数_バス貨物_軽油,係数_バス貨物_メタノール,係数_バス貨物_LPG),MATCH(AY1726+1,【参考】排出係数!$AI$4:$AI$671,1)-1,5,BE1726),5,FALSE)),IF(AND(BE1726=3,LEFT(BF1726,1)="1"),0.055,VLOOKUP(AU1726,INDEX((係数_乗用_ガソリン,係数_乗用_CNG,係数_乗用_軽油,係数_乗用_メタノール,係数_乗用_LPG),1,1,BE1726):INDEX((係数_乗用_ガソリン,係数_乗用_CNG,係数_乗用_軽油,係数_乗用_メタノール,係数_乗用_LPG),125,5,BE1726),5,FALSE)))))</f>
        <v/>
      </c>
      <c r="AN1726" s="461" t="str">
        <f t="shared" si="996"/>
        <v/>
      </c>
      <c r="AO1726" s="462" t="str">
        <f t="shared" si="997"/>
        <v/>
      </c>
      <c r="AP1726" s="463" t="str">
        <f t="shared" si="998"/>
        <v/>
      </c>
      <c r="AQ1726" s="464"/>
      <c r="AR1726" s="619"/>
      <c r="AS1726" s="465" t="str">
        <f t="shared" si="1006"/>
        <v/>
      </c>
      <c r="AT1726" s="465" t="str">
        <f t="shared" si="1007"/>
        <v/>
      </c>
      <c r="AU1726" s="466" t="str">
        <f t="shared" si="1008"/>
        <v/>
      </c>
      <c r="AV1726" s="467" t="str">
        <f t="shared" si="1009"/>
        <v/>
      </c>
      <c r="AW1726" s="467" t="str">
        <f t="shared" si="1010"/>
        <v/>
      </c>
      <c r="AX1726" s="467" t="str">
        <f t="shared" si="1011"/>
        <v/>
      </c>
      <c r="AY1726" s="467" t="str">
        <f t="shared" si="1012"/>
        <v/>
      </c>
      <c r="AZ1726" s="467" t="str">
        <f t="shared" si="1013"/>
        <v/>
      </c>
      <c r="BA1726" s="468" t="str">
        <f>IF(AS1726="","",IF(OR(AU1726="",AU1726="-"),"－",IF(OR(AZ1726=8,AZ1726=9),"",IF(OR(AW1726=3,AW1726=4,AW1726=5,AW1726=6),VLOOKUP(AU1726,INDEX((係数_バス貨物_ガソリン,係数_バス貨物_CNG,係数_バス貨物_軽油,係数_バス貨物_メタノール,係数_バス貨物_LPG),MATCH(AY1726,【参考】排出係数!$AI$4:$AI$671,1),1,BE1726):INDEX((係数_バス貨物_ガソリン,係数_バス貨物_CNG,係数_バス貨物_軽油,係数_バス貨物_メタノール,係数_バス貨物_LPG),MATCH(AY1726+1,【参考】排出係数!$AI$4:$AI$671,1)-1,5,BE1726),2,FALSE),IF(OR(AW1726=1,AW1726=2),VLOOKUP(AU1726,INDEX((係数_乗用_ガソリン,係数_乗用_CNG,係数_乗用_軽油,係数_乗用_メタノール,係数_乗用_LPG),1,1,BE1726):INDEX((係数_乗用_ガソリン,係数_乗用_CNG,係数_乗用_軽油,係数_乗用_メタノール,係数_乗用_LPG),125,5,BE1726),2,FALSE))))))</f>
        <v/>
      </c>
      <c r="BB1726" s="468" t="str">
        <f>IF(T1726="","",IF(OR(AU1726="",AU1726="-"),"－",IF(OR(AZ1726=8,AZ1726=9),"",IF(OR(AW1726=3,AW1726=4,AW1726=5,AW1726=6),VLOOKUP(AU1726,INDEX((係数_バス貨物_ガソリン,係数_バス貨物_CNG,係数_バス貨物_軽油,係数_バス貨物_メタノール,係数_バス貨物_LPG),MATCH(AY1726,【参考】排出係数!$AI$4:$AI$671,1),1,BE1726):INDEX((係数_バス貨物_ガソリン,係数_バス貨物_CNG,係数_バス貨物_軽油,係数_バス貨物_メタノール,係数_バス貨物_LPG),MATCH(AY1726+1,【参考】排出係数!$AI$4:$AI$671,1)-1,5,BE1726),3,FALSE),IF(OR(AW1726=1,AW1726=2),VLOOKUP(AU1726,INDEX((係数_乗用_ガソリン,係数_乗用_CNG,係数_乗用_軽油,係数_乗用_メタノール,係数_乗用_LPG),1,1,BE1726):INDEX((係数_乗用_ガソリン,係数_乗用_CNG,係数_乗用_軽油,係数_乗用_メタノール,係数_乗用_LPG),125,5,BE1726),3,FALSE))))))</f>
        <v/>
      </c>
      <c r="BC1726" s="467" t="str">
        <f t="shared" si="1014"/>
        <v/>
      </c>
      <c r="BD1726" s="567" t="str">
        <f t="shared" si="1015"/>
        <v/>
      </c>
      <c r="BE1726" s="467" t="str">
        <f t="shared" si="1016"/>
        <v/>
      </c>
      <c r="BF1726" s="469" t="str">
        <f t="shared" ca="1" si="1017"/>
        <v/>
      </c>
      <c r="BG1726" s="469" t="str">
        <f t="shared" ca="1" si="1018"/>
        <v/>
      </c>
      <c r="BH1726" s="467" t="str">
        <f t="shared" si="1019"/>
        <v/>
      </c>
      <c r="BI1726" s="467" t="str">
        <f t="shared" ca="1" si="1020"/>
        <v/>
      </c>
      <c r="BJ1726" s="469" t="str">
        <f t="shared" si="1021"/>
        <v/>
      </c>
      <c r="BK1726" s="470" t="str">
        <f t="shared" si="1005"/>
        <v/>
      </c>
      <c r="BL1726" s="775" t="str">
        <f t="shared" si="1022"/>
        <v/>
      </c>
      <c r="BM1726" s="775" t="str">
        <f t="shared" si="1023"/>
        <v/>
      </c>
    </row>
    <row r="1727" spans="1:65">
      <c r="A1727" s="473">
        <v>1671</v>
      </c>
      <c r="B1727" s="132"/>
      <c r="C1727" s="332"/>
      <c r="D1727" s="333"/>
      <c r="E1727" s="333"/>
      <c r="F1727" s="334"/>
      <c r="G1727" s="337"/>
      <c r="H1727" s="131"/>
      <c r="I1727" s="337"/>
      <c r="J1727" s="131"/>
      <c r="K1727" s="458" t="str">
        <f t="shared" si="986"/>
        <v/>
      </c>
      <c r="L1727" s="458">
        <f t="shared" si="987"/>
        <v>0</v>
      </c>
      <c r="M1727" s="458">
        <f t="shared" si="988"/>
        <v>0</v>
      </c>
      <c r="N1727" s="459" t="str">
        <f t="shared" si="999"/>
        <v/>
      </c>
      <c r="O1727" s="459" t="str">
        <f t="shared" si="1000"/>
        <v/>
      </c>
      <c r="P1727" s="459" t="str">
        <f t="shared" si="1001"/>
        <v/>
      </c>
      <c r="Q1727" s="459" t="str">
        <f t="shared" si="1002"/>
        <v/>
      </c>
      <c r="R1727" s="459" t="str">
        <f t="shared" si="1003"/>
        <v/>
      </c>
      <c r="S1727" s="459" t="str">
        <f t="shared" si="1004"/>
        <v/>
      </c>
      <c r="T1727" s="566" t="str">
        <f t="shared" si="989"/>
        <v/>
      </c>
      <c r="U1727" s="702"/>
      <c r="V1727" s="132"/>
      <c r="W1727" s="133"/>
      <c r="X1727" s="134"/>
      <c r="Y1727" s="135"/>
      <c r="Z1727" s="137"/>
      <c r="AA1727" s="136"/>
      <c r="AB1727" s="566" t="str">
        <f t="shared" si="990"/>
        <v/>
      </c>
      <c r="AC1727" s="568" t="str">
        <f t="shared" si="991"/>
        <v/>
      </c>
      <c r="AD1727" s="137"/>
      <c r="AE1727" s="137"/>
      <c r="AF1727" s="138"/>
      <c r="AG1727" s="138"/>
      <c r="AH1727" s="592" t="str">
        <f t="shared" si="992"/>
        <v/>
      </c>
      <c r="AI1727" s="592" t="str">
        <f t="shared" si="993"/>
        <v/>
      </c>
      <c r="AJ1727" s="592" t="str">
        <f t="shared" si="994"/>
        <v/>
      </c>
      <c r="AK1727" s="460" t="str">
        <f>IF(AU1727="","",IF(OR(AZ1727=8,AZ1727=9),0,IF(OR(AW1727=3,AW1727=4,AW1727=5,AW1727=6),IF(LEFT(BF1727,1)="1",INDEX(係数_NOX・PM低減,MATCH(AY1727,【参考】排出係数!$AI$801:$AI$804,1),1),VLOOKUP(AU1727,INDEX((係数_バス貨物_ガソリン,係数_バス貨物_CNG,係数_バス貨物_軽油,係数_バス貨物_メタノール,係数_バス貨物_LPG),MATCH(AY1727,【参考】排出係数!$AI$4:$AI$671,1),1,BE1727):INDEX((係数_バス貨物_ガソリン,係数_バス貨物_CNG,係数_バス貨物_軽油,係数_バス貨物_メタノール,係数_バス貨物_LPG),MATCH(AY1727+1,【参考】排出係数!$AI$4:$AI$671,1)-1,5,BE1727),4,FALSE)),IF(AND(BE1727=3,LEFT(BF1727,1)="1"),0.48,VLOOKUP(AU1727,INDEX((係数_乗用_ガソリン,係数_乗用_CNG,係数_乗用_軽油,係数_乗用_メタノール,係数_乗用_LPG),1,1,BE1727):INDEX((係数_乗用_ガソリン,係数_乗用_CNG,係数_乗用_軽油,係数_乗用_メタノール,係数_乗用_LPG),125,5,BE1727),4,FALSE)))))</f>
        <v/>
      </c>
      <c r="AL1727" s="461" t="str">
        <f t="shared" si="995"/>
        <v/>
      </c>
      <c r="AM1727" s="460" t="str">
        <f>IF(AU1727="","",IF(OR(AZ1727=8,AZ1727=9),0,IF(OR(AW1727=3,AW1727=4,AW1727=5,AW1727=6),IF(LEFT(BH1727,1)="1",INDEX(係数_PM低減,MATCH(AY1727,【参考】排出係数!$AI$801:$AI$804,1),MATCH(BI1727,【参考】排出係数!$AL$798:$AO$798,1)),VLOOKUP(AU1727,INDEX((係数_バス貨物_ガソリン,係数_バス貨物_CNG,係数_バス貨物_軽油,係数_バス貨物_メタノール,係数_バス貨物_LPG),MATCH(AY1727,【参考】排出係数!$AI$4:$AI$671,1),1,BE1727):INDEX((係数_バス貨物_ガソリン,係数_バス貨物_CNG,係数_バス貨物_軽油,係数_バス貨物_メタノール,係数_バス貨物_LPG),MATCH(AY1727+1,【参考】排出係数!$AI$4:$AI$671,1)-1,5,BE1727),5,FALSE)),IF(AND(BE1727=3,LEFT(BF1727,1)="1"),0.055,VLOOKUP(AU1727,INDEX((係数_乗用_ガソリン,係数_乗用_CNG,係数_乗用_軽油,係数_乗用_メタノール,係数_乗用_LPG),1,1,BE1727):INDEX((係数_乗用_ガソリン,係数_乗用_CNG,係数_乗用_軽油,係数_乗用_メタノール,係数_乗用_LPG),125,5,BE1727),5,FALSE)))))</f>
        <v/>
      </c>
      <c r="AN1727" s="461" t="str">
        <f t="shared" si="996"/>
        <v/>
      </c>
      <c r="AO1727" s="462" t="str">
        <f t="shared" si="997"/>
        <v/>
      </c>
      <c r="AP1727" s="463" t="str">
        <f t="shared" si="998"/>
        <v/>
      </c>
      <c r="AQ1727" s="464"/>
      <c r="AR1727" s="619"/>
      <c r="AS1727" s="465" t="str">
        <f t="shared" si="1006"/>
        <v/>
      </c>
      <c r="AT1727" s="465" t="str">
        <f t="shared" si="1007"/>
        <v/>
      </c>
      <c r="AU1727" s="466" t="str">
        <f t="shared" si="1008"/>
        <v/>
      </c>
      <c r="AV1727" s="467" t="str">
        <f t="shared" si="1009"/>
        <v/>
      </c>
      <c r="AW1727" s="467" t="str">
        <f t="shared" si="1010"/>
        <v/>
      </c>
      <c r="AX1727" s="467" t="str">
        <f t="shared" si="1011"/>
        <v/>
      </c>
      <c r="AY1727" s="467" t="str">
        <f t="shared" si="1012"/>
        <v/>
      </c>
      <c r="AZ1727" s="467" t="str">
        <f t="shared" si="1013"/>
        <v/>
      </c>
      <c r="BA1727" s="468" t="str">
        <f>IF(AS1727="","",IF(OR(AU1727="",AU1727="-"),"－",IF(OR(AZ1727=8,AZ1727=9),"",IF(OR(AW1727=3,AW1727=4,AW1727=5,AW1727=6),VLOOKUP(AU1727,INDEX((係数_バス貨物_ガソリン,係数_バス貨物_CNG,係数_バス貨物_軽油,係数_バス貨物_メタノール,係数_バス貨物_LPG),MATCH(AY1727,【参考】排出係数!$AI$4:$AI$671,1),1,BE1727):INDEX((係数_バス貨物_ガソリン,係数_バス貨物_CNG,係数_バス貨物_軽油,係数_バス貨物_メタノール,係数_バス貨物_LPG),MATCH(AY1727+1,【参考】排出係数!$AI$4:$AI$671,1)-1,5,BE1727),2,FALSE),IF(OR(AW1727=1,AW1727=2),VLOOKUP(AU1727,INDEX((係数_乗用_ガソリン,係数_乗用_CNG,係数_乗用_軽油,係数_乗用_メタノール,係数_乗用_LPG),1,1,BE1727):INDEX((係数_乗用_ガソリン,係数_乗用_CNG,係数_乗用_軽油,係数_乗用_メタノール,係数_乗用_LPG),125,5,BE1727),2,FALSE))))))</f>
        <v/>
      </c>
      <c r="BB1727" s="468" t="str">
        <f>IF(T1727="","",IF(OR(AU1727="",AU1727="-"),"－",IF(OR(AZ1727=8,AZ1727=9),"",IF(OR(AW1727=3,AW1727=4,AW1727=5,AW1727=6),VLOOKUP(AU1727,INDEX((係数_バス貨物_ガソリン,係数_バス貨物_CNG,係数_バス貨物_軽油,係数_バス貨物_メタノール,係数_バス貨物_LPG),MATCH(AY1727,【参考】排出係数!$AI$4:$AI$671,1),1,BE1727):INDEX((係数_バス貨物_ガソリン,係数_バス貨物_CNG,係数_バス貨物_軽油,係数_バス貨物_メタノール,係数_バス貨物_LPG),MATCH(AY1727+1,【参考】排出係数!$AI$4:$AI$671,1)-1,5,BE1727),3,FALSE),IF(OR(AW1727=1,AW1727=2),VLOOKUP(AU1727,INDEX((係数_乗用_ガソリン,係数_乗用_CNG,係数_乗用_軽油,係数_乗用_メタノール,係数_乗用_LPG),1,1,BE1727):INDEX((係数_乗用_ガソリン,係数_乗用_CNG,係数_乗用_軽油,係数_乗用_メタノール,係数_乗用_LPG),125,5,BE1727),3,FALSE))))))</f>
        <v/>
      </c>
      <c r="BC1727" s="467" t="str">
        <f t="shared" si="1014"/>
        <v/>
      </c>
      <c r="BD1727" s="567" t="str">
        <f t="shared" si="1015"/>
        <v/>
      </c>
      <c r="BE1727" s="467" t="str">
        <f t="shared" si="1016"/>
        <v/>
      </c>
      <c r="BF1727" s="469" t="str">
        <f t="shared" ca="1" si="1017"/>
        <v/>
      </c>
      <c r="BG1727" s="469" t="str">
        <f t="shared" ca="1" si="1018"/>
        <v/>
      </c>
      <c r="BH1727" s="467" t="str">
        <f t="shared" si="1019"/>
        <v/>
      </c>
      <c r="BI1727" s="467" t="str">
        <f t="shared" ca="1" si="1020"/>
        <v/>
      </c>
      <c r="BJ1727" s="469" t="str">
        <f t="shared" si="1021"/>
        <v/>
      </c>
      <c r="BK1727" s="470" t="str">
        <f t="shared" si="1005"/>
        <v/>
      </c>
      <c r="BL1727" s="775" t="str">
        <f t="shared" si="1022"/>
        <v/>
      </c>
      <c r="BM1727" s="775" t="str">
        <f t="shared" si="1023"/>
        <v/>
      </c>
    </row>
    <row r="1728" spans="1:65">
      <c r="A1728" s="473">
        <v>1672</v>
      </c>
      <c r="B1728" s="132"/>
      <c r="C1728" s="332"/>
      <c r="D1728" s="333"/>
      <c r="E1728" s="333"/>
      <c r="F1728" s="334"/>
      <c r="G1728" s="337"/>
      <c r="H1728" s="131"/>
      <c r="I1728" s="337"/>
      <c r="J1728" s="131"/>
      <c r="K1728" s="458" t="str">
        <f t="shared" si="986"/>
        <v/>
      </c>
      <c r="L1728" s="458">
        <f t="shared" si="987"/>
        <v>0</v>
      </c>
      <c r="M1728" s="458">
        <f t="shared" si="988"/>
        <v>0</v>
      </c>
      <c r="N1728" s="459" t="str">
        <f t="shared" si="999"/>
        <v/>
      </c>
      <c r="O1728" s="459" t="str">
        <f t="shared" si="1000"/>
        <v/>
      </c>
      <c r="P1728" s="459" t="str">
        <f t="shared" si="1001"/>
        <v/>
      </c>
      <c r="Q1728" s="459" t="str">
        <f t="shared" si="1002"/>
        <v/>
      </c>
      <c r="R1728" s="459" t="str">
        <f t="shared" si="1003"/>
        <v/>
      </c>
      <c r="S1728" s="459" t="str">
        <f t="shared" si="1004"/>
        <v/>
      </c>
      <c r="T1728" s="566" t="str">
        <f t="shared" si="989"/>
        <v/>
      </c>
      <c r="U1728" s="702"/>
      <c r="V1728" s="132"/>
      <c r="W1728" s="133"/>
      <c r="X1728" s="134"/>
      <c r="Y1728" s="135"/>
      <c r="Z1728" s="137"/>
      <c r="AA1728" s="136"/>
      <c r="AB1728" s="566" t="str">
        <f t="shared" si="990"/>
        <v/>
      </c>
      <c r="AC1728" s="568" t="str">
        <f t="shared" si="991"/>
        <v/>
      </c>
      <c r="AD1728" s="137"/>
      <c r="AE1728" s="137"/>
      <c r="AF1728" s="138"/>
      <c r="AG1728" s="138"/>
      <c r="AH1728" s="592" t="str">
        <f t="shared" si="992"/>
        <v/>
      </c>
      <c r="AI1728" s="592" t="str">
        <f t="shared" si="993"/>
        <v/>
      </c>
      <c r="AJ1728" s="592" t="str">
        <f t="shared" si="994"/>
        <v/>
      </c>
      <c r="AK1728" s="460" t="str">
        <f>IF(AU1728="","",IF(OR(AZ1728=8,AZ1728=9),0,IF(OR(AW1728=3,AW1728=4,AW1728=5,AW1728=6),IF(LEFT(BF1728,1)="1",INDEX(係数_NOX・PM低減,MATCH(AY1728,【参考】排出係数!$AI$801:$AI$804,1),1),VLOOKUP(AU1728,INDEX((係数_バス貨物_ガソリン,係数_バス貨物_CNG,係数_バス貨物_軽油,係数_バス貨物_メタノール,係数_バス貨物_LPG),MATCH(AY1728,【参考】排出係数!$AI$4:$AI$671,1),1,BE1728):INDEX((係数_バス貨物_ガソリン,係数_バス貨物_CNG,係数_バス貨物_軽油,係数_バス貨物_メタノール,係数_バス貨物_LPG),MATCH(AY1728+1,【参考】排出係数!$AI$4:$AI$671,1)-1,5,BE1728),4,FALSE)),IF(AND(BE1728=3,LEFT(BF1728,1)="1"),0.48,VLOOKUP(AU1728,INDEX((係数_乗用_ガソリン,係数_乗用_CNG,係数_乗用_軽油,係数_乗用_メタノール,係数_乗用_LPG),1,1,BE1728):INDEX((係数_乗用_ガソリン,係数_乗用_CNG,係数_乗用_軽油,係数_乗用_メタノール,係数_乗用_LPG),125,5,BE1728),4,FALSE)))))</f>
        <v/>
      </c>
      <c r="AL1728" s="461" t="str">
        <f t="shared" si="995"/>
        <v/>
      </c>
      <c r="AM1728" s="460" t="str">
        <f>IF(AU1728="","",IF(OR(AZ1728=8,AZ1728=9),0,IF(OR(AW1728=3,AW1728=4,AW1728=5,AW1728=6),IF(LEFT(BH1728,1)="1",INDEX(係数_PM低減,MATCH(AY1728,【参考】排出係数!$AI$801:$AI$804,1),MATCH(BI1728,【参考】排出係数!$AL$798:$AO$798,1)),VLOOKUP(AU1728,INDEX((係数_バス貨物_ガソリン,係数_バス貨物_CNG,係数_バス貨物_軽油,係数_バス貨物_メタノール,係数_バス貨物_LPG),MATCH(AY1728,【参考】排出係数!$AI$4:$AI$671,1),1,BE1728):INDEX((係数_バス貨物_ガソリン,係数_バス貨物_CNG,係数_バス貨物_軽油,係数_バス貨物_メタノール,係数_バス貨物_LPG),MATCH(AY1728+1,【参考】排出係数!$AI$4:$AI$671,1)-1,5,BE1728),5,FALSE)),IF(AND(BE1728=3,LEFT(BF1728,1)="1"),0.055,VLOOKUP(AU1728,INDEX((係数_乗用_ガソリン,係数_乗用_CNG,係数_乗用_軽油,係数_乗用_メタノール,係数_乗用_LPG),1,1,BE1728):INDEX((係数_乗用_ガソリン,係数_乗用_CNG,係数_乗用_軽油,係数_乗用_メタノール,係数_乗用_LPG),125,5,BE1728),5,FALSE)))))</f>
        <v/>
      </c>
      <c r="AN1728" s="461" t="str">
        <f t="shared" si="996"/>
        <v/>
      </c>
      <c r="AO1728" s="462" t="str">
        <f t="shared" si="997"/>
        <v/>
      </c>
      <c r="AP1728" s="463" t="str">
        <f t="shared" si="998"/>
        <v/>
      </c>
      <c r="AQ1728" s="464"/>
      <c r="AR1728" s="619"/>
      <c r="AS1728" s="465" t="str">
        <f t="shared" si="1006"/>
        <v/>
      </c>
      <c r="AT1728" s="465" t="str">
        <f t="shared" si="1007"/>
        <v/>
      </c>
      <c r="AU1728" s="466" t="str">
        <f t="shared" si="1008"/>
        <v/>
      </c>
      <c r="AV1728" s="467" t="str">
        <f t="shared" si="1009"/>
        <v/>
      </c>
      <c r="AW1728" s="467" t="str">
        <f t="shared" si="1010"/>
        <v/>
      </c>
      <c r="AX1728" s="467" t="str">
        <f t="shared" si="1011"/>
        <v/>
      </c>
      <c r="AY1728" s="467" t="str">
        <f t="shared" si="1012"/>
        <v/>
      </c>
      <c r="AZ1728" s="467" t="str">
        <f t="shared" si="1013"/>
        <v/>
      </c>
      <c r="BA1728" s="468" t="str">
        <f>IF(AS1728="","",IF(OR(AU1728="",AU1728="-"),"－",IF(OR(AZ1728=8,AZ1728=9),"",IF(OR(AW1728=3,AW1728=4,AW1728=5,AW1728=6),VLOOKUP(AU1728,INDEX((係数_バス貨物_ガソリン,係数_バス貨物_CNG,係数_バス貨物_軽油,係数_バス貨物_メタノール,係数_バス貨物_LPG),MATCH(AY1728,【参考】排出係数!$AI$4:$AI$671,1),1,BE1728):INDEX((係数_バス貨物_ガソリン,係数_バス貨物_CNG,係数_バス貨物_軽油,係数_バス貨物_メタノール,係数_バス貨物_LPG),MATCH(AY1728+1,【参考】排出係数!$AI$4:$AI$671,1)-1,5,BE1728),2,FALSE),IF(OR(AW1728=1,AW1728=2),VLOOKUP(AU1728,INDEX((係数_乗用_ガソリン,係数_乗用_CNG,係数_乗用_軽油,係数_乗用_メタノール,係数_乗用_LPG),1,1,BE1728):INDEX((係数_乗用_ガソリン,係数_乗用_CNG,係数_乗用_軽油,係数_乗用_メタノール,係数_乗用_LPG),125,5,BE1728),2,FALSE))))))</f>
        <v/>
      </c>
      <c r="BB1728" s="468" t="str">
        <f>IF(T1728="","",IF(OR(AU1728="",AU1728="-"),"－",IF(OR(AZ1728=8,AZ1728=9),"",IF(OR(AW1728=3,AW1728=4,AW1728=5,AW1728=6),VLOOKUP(AU1728,INDEX((係数_バス貨物_ガソリン,係数_バス貨物_CNG,係数_バス貨物_軽油,係数_バス貨物_メタノール,係数_バス貨物_LPG),MATCH(AY1728,【参考】排出係数!$AI$4:$AI$671,1),1,BE1728):INDEX((係数_バス貨物_ガソリン,係数_バス貨物_CNG,係数_バス貨物_軽油,係数_バス貨物_メタノール,係数_バス貨物_LPG),MATCH(AY1728+1,【参考】排出係数!$AI$4:$AI$671,1)-1,5,BE1728),3,FALSE),IF(OR(AW1728=1,AW1728=2),VLOOKUP(AU1728,INDEX((係数_乗用_ガソリン,係数_乗用_CNG,係数_乗用_軽油,係数_乗用_メタノール,係数_乗用_LPG),1,1,BE1728):INDEX((係数_乗用_ガソリン,係数_乗用_CNG,係数_乗用_軽油,係数_乗用_メタノール,係数_乗用_LPG),125,5,BE1728),3,FALSE))))))</f>
        <v/>
      </c>
      <c r="BC1728" s="467" t="str">
        <f t="shared" si="1014"/>
        <v/>
      </c>
      <c r="BD1728" s="567" t="str">
        <f t="shared" si="1015"/>
        <v/>
      </c>
      <c r="BE1728" s="467" t="str">
        <f t="shared" si="1016"/>
        <v/>
      </c>
      <c r="BF1728" s="469" t="str">
        <f t="shared" ca="1" si="1017"/>
        <v/>
      </c>
      <c r="BG1728" s="469" t="str">
        <f t="shared" ca="1" si="1018"/>
        <v/>
      </c>
      <c r="BH1728" s="467" t="str">
        <f t="shared" si="1019"/>
        <v/>
      </c>
      <c r="BI1728" s="467" t="str">
        <f t="shared" ca="1" si="1020"/>
        <v/>
      </c>
      <c r="BJ1728" s="469" t="str">
        <f t="shared" si="1021"/>
        <v/>
      </c>
      <c r="BK1728" s="470" t="str">
        <f t="shared" si="1005"/>
        <v/>
      </c>
      <c r="BL1728" s="775" t="str">
        <f t="shared" si="1022"/>
        <v/>
      </c>
      <c r="BM1728" s="775" t="str">
        <f t="shared" si="1023"/>
        <v/>
      </c>
    </row>
    <row r="1729" spans="1:65">
      <c r="A1729" s="473">
        <v>1673</v>
      </c>
      <c r="B1729" s="132"/>
      <c r="C1729" s="332"/>
      <c r="D1729" s="333"/>
      <c r="E1729" s="333"/>
      <c r="F1729" s="334"/>
      <c r="G1729" s="337"/>
      <c r="H1729" s="131"/>
      <c r="I1729" s="337"/>
      <c r="J1729" s="131"/>
      <c r="K1729" s="458" t="str">
        <f t="shared" si="986"/>
        <v/>
      </c>
      <c r="L1729" s="458">
        <f t="shared" si="987"/>
        <v>0</v>
      </c>
      <c r="M1729" s="458">
        <f t="shared" si="988"/>
        <v>0</v>
      </c>
      <c r="N1729" s="459" t="str">
        <f t="shared" si="999"/>
        <v/>
      </c>
      <c r="O1729" s="459" t="str">
        <f t="shared" si="1000"/>
        <v/>
      </c>
      <c r="P1729" s="459" t="str">
        <f t="shared" si="1001"/>
        <v/>
      </c>
      <c r="Q1729" s="459" t="str">
        <f t="shared" si="1002"/>
        <v/>
      </c>
      <c r="R1729" s="459" t="str">
        <f t="shared" si="1003"/>
        <v/>
      </c>
      <c r="S1729" s="459" t="str">
        <f t="shared" si="1004"/>
        <v/>
      </c>
      <c r="T1729" s="566" t="str">
        <f t="shared" si="989"/>
        <v/>
      </c>
      <c r="U1729" s="702"/>
      <c r="V1729" s="132"/>
      <c r="W1729" s="133"/>
      <c r="X1729" s="134"/>
      <c r="Y1729" s="135"/>
      <c r="Z1729" s="137"/>
      <c r="AA1729" s="136"/>
      <c r="AB1729" s="566" t="str">
        <f t="shared" si="990"/>
        <v/>
      </c>
      <c r="AC1729" s="568" t="str">
        <f t="shared" si="991"/>
        <v/>
      </c>
      <c r="AD1729" s="137"/>
      <c r="AE1729" s="137"/>
      <c r="AF1729" s="138"/>
      <c r="AG1729" s="138"/>
      <c r="AH1729" s="592" t="str">
        <f t="shared" si="992"/>
        <v/>
      </c>
      <c r="AI1729" s="592" t="str">
        <f t="shared" si="993"/>
        <v/>
      </c>
      <c r="AJ1729" s="592" t="str">
        <f t="shared" si="994"/>
        <v/>
      </c>
      <c r="AK1729" s="460" t="str">
        <f>IF(AU1729="","",IF(OR(AZ1729=8,AZ1729=9),0,IF(OR(AW1729=3,AW1729=4,AW1729=5,AW1729=6),IF(LEFT(BF1729,1)="1",INDEX(係数_NOX・PM低減,MATCH(AY1729,【参考】排出係数!$AI$801:$AI$804,1),1),VLOOKUP(AU1729,INDEX((係数_バス貨物_ガソリン,係数_バス貨物_CNG,係数_バス貨物_軽油,係数_バス貨物_メタノール,係数_バス貨物_LPG),MATCH(AY1729,【参考】排出係数!$AI$4:$AI$671,1),1,BE1729):INDEX((係数_バス貨物_ガソリン,係数_バス貨物_CNG,係数_バス貨物_軽油,係数_バス貨物_メタノール,係数_バス貨物_LPG),MATCH(AY1729+1,【参考】排出係数!$AI$4:$AI$671,1)-1,5,BE1729),4,FALSE)),IF(AND(BE1729=3,LEFT(BF1729,1)="1"),0.48,VLOOKUP(AU1729,INDEX((係数_乗用_ガソリン,係数_乗用_CNG,係数_乗用_軽油,係数_乗用_メタノール,係数_乗用_LPG),1,1,BE1729):INDEX((係数_乗用_ガソリン,係数_乗用_CNG,係数_乗用_軽油,係数_乗用_メタノール,係数_乗用_LPG),125,5,BE1729),4,FALSE)))))</f>
        <v/>
      </c>
      <c r="AL1729" s="461" t="str">
        <f t="shared" si="995"/>
        <v/>
      </c>
      <c r="AM1729" s="460" t="str">
        <f>IF(AU1729="","",IF(OR(AZ1729=8,AZ1729=9),0,IF(OR(AW1729=3,AW1729=4,AW1729=5,AW1729=6),IF(LEFT(BH1729,1)="1",INDEX(係数_PM低減,MATCH(AY1729,【参考】排出係数!$AI$801:$AI$804,1),MATCH(BI1729,【参考】排出係数!$AL$798:$AO$798,1)),VLOOKUP(AU1729,INDEX((係数_バス貨物_ガソリン,係数_バス貨物_CNG,係数_バス貨物_軽油,係数_バス貨物_メタノール,係数_バス貨物_LPG),MATCH(AY1729,【参考】排出係数!$AI$4:$AI$671,1),1,BE1729):INDEX((係数_バス貨物_ガソリン,係数_バス貨物_CNG,係数_バス貨物_軽油,係数_バス貨物_メタノール,係数_バス貨物_LPG),MATCH(AY1729+1,【参考】排出係数!$AI$4:$AI$671,1)-1,5,BE1729),5,FALSE)),IF(AND(BE1729=3,LEFT(BF1729,1)="1"),0.055,VLOOKUP(AU1729,INDEX((係数_乗用_ガソリン,係数_乗用_CNG,係数_乗用_軽油,係数_乗用_メタノール,係数_乗用_LPG),1,1,BE1729):INDEX((係数_乗用_ガソリン,係数_乗用_CNG,係数_乗用_軽油,係数_乗用_メタノール,係数_乗用_LPG),125,5,BE1729),5,FALSE)))))</f>
        <v/>
      </c>
      <c r="AN1729" s="461" t="str">
        <f t="shared" si="996"/>
        <v/>
      </c>
      <c r="AO1729" s="462" t="str">
        <f t="shared" si="997"/>
        <v/>
      </c>
      <c r="AP1729" s="463" t="str">
        <f t="shared" si="998"/>
        <v/>
      </c>
      <c r="AQ1729" s="464"/>
      <c r="AR1729" s="619"/>
      <c r="AS1729" s="465" t="str">
        <f t="shared" si="1006"/>
        <v/>
      </c>
      <c r="AT1729" s="465" t="str">
        <f t="shared" si="1007"/>
        <v/>
      </c>
      <c r="AU1729" s="466" t="str">
        <f t="shared" si="1008"/>
        <v/>
      </c>
      <c r="AV1729" s="467" t="str">
        <f t="shared" si="1009"/>
        <v/>
      </c>
      <c r="AW1729" s="467" t="str">
        <f t="shared" si="1010"/>
        <v/>
      </c>
      <c r="AX1729" s="467" t="str">
        <f t="shared" si="1011"/>
        <v/>
      </c>
      <c r="AY1729" s="467" t="str">
        <f t="shared" si="1012"/>
        <v/>
      </c>
      <c r="AZ1729" s="467" t="str">
        <f t="shared" si="1013"/>
        <v/>
      </c>
      <c r="BA1729" s="468" t="str">
        <f>IF(AS1729="","",IF(OR(AU1729="",AU1729="-"),"－",IF(OR(AZ1729=8,AZ1729=9),"",IF(OR(AW1729=3,AW1729=4,AW1729=5,AW1729=6),VLOOKUP(AU1729,INDEX((係数_バス貨物_ガソリン,係数_バス貨物_CNG,係数_バス貨物_軽油,係数_バス貨物_メタノール,係数_バス貨物_LPG),MATCH(AY1729,【参考】排出係数!$AI$4:$AI$671,1),1,BE1729):INDEX((係数_バス貨物_ガソリン,係数_バス貨物_CNG,係数_バス貨物_軽油,係数_バス貨物_メタノール,係数_バス貨物_LPG),MATCH(AY1729+1,【参考】排出係数!$AI$4:$AI$671,1)-1,5,BE1729),2,FALSE),IF(OR(AW1729=1,AW1729=2),VLOOKUP(AU1729,INDEX((係数_乗用_ガソリン,係数_乗用_CNG,係数_乗用_軽油,係数_乗用_メタノール,係数_乗用_LPG),1,1,BE1729):INDEX((係数_乗用_ガソリン,係数_乗用_CNG,係数_乗用_軽油,係数_乗用_メタノール,係数_乗用_LPG),125,5,BE1729),2,FALSE))))))</f>
        <v/>
      </c>
      <c r="BB1729" s="468" t="str">
        <f>IF(T1729="","",IF(OR(AU1729="",AU1729="-"),"－",IF(OR(AZ1729=8,AZ1729=9),"",IF(OR(AW1729=3,AW1729=4,AW1729=5,AW1729=6),VLOOKUP(AU1729,INDEX((係数_バス貨物_ガソリン,係数_バス貨物_CNG,係数_バス貨物_軽油,係数_バス貨物_メタノール,係数_バス貨物_LPG),MATCH(AY1729,【参考】排出係数!$AI$4:$AI$671,1),1,BE1729):INDEX((係数_バス貨物_ガソリン,係数_バス貨物_CNG,係数_バス貨物_軽油,係数_バス貨物_メタノール,係数_バス貨物_LPG),MATCH(AY1729+1,【参考】排出係数!$AI$4:$AI$671,1)-1,5,BE1729),3,FALSE),IF(OR(AW1729=1,AW1729=2),VLOOKUP(AU1729,INDEX((係数_乗用_ガソリン,係数_乗用_CNG,係数_乗用_軽油,係数_乗用_メタノール,係数_乗用_LPG),1,1,BE1729):INDEX((係数_乗用_ガソリン,係数_乗用_CNG,係数_乗用_軽油,係数_乗用_メタノール,係数_乗用_LPG),125,5,BE1729),3,FALSE))))))</f>
        <v/>
      </c>
      <c r="BC1729" s="467" t="str">
        <f t="shared" si="1014"/>
        <v/>
      </c>
      <c r="BD1729" s="567" t="str">
        <f t="shared" si="1015"/>
        <v/>
      </c>
      <c r="BE1729" s="467" t="str">
        <f t="shared" si="1016"/>
        <v/>
      </c>
      <c r="BF1729" s="469" t="str">
        <f t="shared" ca="1" si="1017"/>
        <v/>
      </c>
      <c r="BG1729" s="469" t="str">
        <f t="shared" ca="1" si="1018"/>
        <v/>
      </c>
      <c r="BH1729" s="467" t="str">
        <f t="shared" si="1019"/>
        <v/>
      </c>
      <c r="BI1729" s="467" t="str">
        <f t="shared" ca="1" si="1020"/>
        <v/>
      </c>
      <c r="BJ1729" s="469" t="str">
        <f t="shared" si="1021"/>
        <v/>
      </c>
      <c r="BK1729" s="470" t="str">
        <f t="shared" si="1005"/>
        <v/>
      </c>
      <c r="BL1729" s="775" t="str">
        <f t="shared" si="1022"/>
        <v/>
      </c>
      <c r="BM1729" s="775" t="str">
        <f t="shared" si="1023"/>
        <v/>
      </c>
    </row>
    <row r="1730" spans="1:65">
      <c r="A1730" s="473">
        <v>1674</v>
      </c>
      <c r="B1730" s="132"/>
      <c r="C1730" s="332"/>
      <c r="D1730" s="333"/>
      <c r="E1730" s="333"/>
      <c r="F1730" s="334"/>
      <c r="G1730" s="337"/>
      <c r="H1730" s="131"/>
      <c r="I1730" s="337"/>
      <c r="J1730" s="131"/>
      <c r="K1730" s="458" t="str">
        <f t="shared" si="986"/>
        <v/>
      </c>
      <c r="L1730" s="458">
        <f t="shared" si="987"/>
        <v>0</v>
      </c>
      <c r="M1730" s="458">
        <f t="shared" si="988"/>
        <v>0</v>
      </c>
      <c r="N1730" s="459" t="str">
        <f t="shared" si="999"/>
        <v/>
      </c>
      <c r="O1730" s="459" t="str">
        <f t="shared" si="1000"/>
        <v/>
      </c>
      <c r="P1730" s="459" t="str">
        <f t="shared" si="1001"/>
        <v/>
      </c>
      <c r="Q1730" s="459" t="str">
        <f t="shared" si="1002"/>
        <v/>
      </c>
      <c r="R1730" s="459" t="str">
        <f t="shared" si="1003"/>
        <v/>
      </c>
      <c r="S1730" s="459" t="str">
        <f t="shared" si="1004"/>
        <v/>
      </c>
      <c r="T1730" s="566" t="str">
        <f t="shared" si="989"/>
        <v/>
      </c>
      <c r="U1730" s="702"/>
      <c r="V1730" s="132"/>
      <c r="W1730" s="133"/>
      <c r="X1730" s="134"/>
      <c r="Y1730" s="135"/>
      <c r="Z1730" s="137"/>
      <c r="AA1730" s="136"/>
      <c r="AB1730" s="566" t="str">
        <f t="shared" si="990"/>
        <v/>
      </c>
      <c r="AC1730" s="568" t="str">
        <f t="shared" si="991"/>
        <v/>
      </c>
      <c r="AD1730" s="137"/>
      <c r="AE1730" s="137"/>
      <c r="AF1730" s="138"/>
      <c r="AG1730" s="138"/>
      <c r="AH1730" s="592" t="str">
        <f t="shared" si="992"/>
        <v/>
      </c>
      <c r="AI1730" s="592" t="str">
        <f t="shared" si="993"/>
        <v/>
      </c>
      <c r="AJ1730" s="592" t="str">
        <f t="shared" si="994"/>
        <v/>
      </c>
      <c r="AK1730" s="460" t="str">
        <f>IF(AU1730="","",IF(OR(AZ1730=8,AZ1730=9),0,IF(OR(AW1730=3,AW1730=4,AW1730=5,AW1730=6),IF(LEFT(BF1730,1)="1",INDEX(係数_NOX・PM低減,MATCH(AY1730,【参考】排出係数!$AI$801:$AI$804,1),1),VLOOKUP(AU1730,INDEX((係数_バス貨物_ガソリン,係数_バス貨物_CNG,係数_バス貨物_軽油,係数_バス貨物_メタノール,係数_バス貨物_LPG),MATCH(AY1730,【参考】排出係数!$AI$4:$AI$671,1),1,BE1730):INDEX((係数_バス貨物_ガソリン,係数_バス貨物_CNG,係数_バス貨物_軽油,係数_バス貨物_メタノール,係数_バス貨物_LPG),MATCH(AY1730+1,【参考】排出係数!$AI$4:$AI$671,1)-1,5,BE1730),4,FALSE)),IF(AND(BE1730=3,LEFT(BF1730,1)="1"),0.48,VLOOKUP(AU1730,INDEX((係数_乗用_ガソリン,係数_乗用_CNG,係数_乗用_軽油,係数_乗用_メタノール,係数_乗用_LPG),1,1,BE1730):INDEX((係数_乗用_ガソリン,係数_乗用_CNG,係数_乗用_軽油,係数_乗用_メタノール,係数_乗用_LPG),125,5,BE1730),4,FALSE)))))</f>
        <v/>
      </c>
      <c r="AL1730" s="461" t="str">
        <f t="shared" si="995"/>
        <v/>
      </c>
      <c r="AM1730" s="460" t="str">
        <f>IF(AU1730="","",IF(OR(AZ1730=8,AZ1730=9),0,IF(OR(AW1730=3,AW1730=4,AW1730=5,AW1730=6),IF(LEFT(BH1730,1)="1",INDEX(係数_PM低減,MATCH(AY1730,【参考】排出係数!$AI$801:$AI$804,1),MATCH(BI1730,【参考】排出係数!$AL$798:$AO$798,1)),VLOOKUP(AU1730,INDEX((係数_バス貨物_ガソリン,係数_バス貨物_CNG,係数_バス貨物_軽油,係数_バス貨物_メタノール,係数_バス貨物_LPG),MATCH(AY1730,【参考】排出係数!$AI$4:$AI$671,1),1,BE1730):INDEX((係数_バス貨物_ガソリン,係数_バス貨物_CNG,係数_バス貨物_軽油,係数_バス貨物_メタノール,係数_バス貨物_LPG),MATCH(AY1730+1,【参考】排出係数!$AI$4:$AI$671,1)-1,5,BE1730),5,FALSE)),IF(AND(BE1730=3,LEFT(BF1730,1)="1"),0.055,VLOOKUP(AU1730,INDEX((係数_乗用_ガソリン,係数_乗用_CNG,係数_乗用_軽油,係数_乗用_メタノール,係数_乗用_LPG),1,1,BE1730):INDEX((係数_乗用_ガソリン,係数_乗用_CNG,係数_乗用_軽油,係数_乗用_メタノール,係数_乗用_LPG),125,5,BE1730),5,FALSE)))))</f>
        <v/>
      </c>
      <c r="AN1730" s="461" t="str">
        <f t="shared" si="996"/>
        <v/>
      </c>
      <c r="AO1730" s="462" t="str">
        <f t="shared" si="997"/>
        <v/>
      </c>
      <c r="AP1730" s="463" t="str">
        <f t="shared" si="998"/>
        <v/>
      </c>
      <c r="AQ1730" s="464"/>
      <c r="AR1730" s="619"/>
      <c r="AS1730" s="465" t="str">
        <f t="shared" si="1006"/>
        <v/>
      </c>
      <c r="AT1730" s="465" t="str">
        <f t="shared" si="1007"/>
        <v/>
      </c>
      <c r="AU1730" s="466" t="str">
        <f t="shared" si="1008"/>
        <v/>
      </c>
      <c r="AV1730" s="467" t="str">
        <f t="shared" si="1009"/>
        <v/>
      </c>
      <c r="AW1730" s="467" t="str">
        <f t="shared" si="1010"/>
        <v/>
      </c>
      <c r="AX1730" s="467" t="str">
        <f t="shared" si="1011"/>
        <v/>
      </c>
      <c r="AY1730" s="467" t="str">
        <f t="shared" si="1012"/>
        <v/>
      </c>
      <c r="AZ1730" s="467" t="str">
        <f t="shared" si="1013"/>
        <v/>
      </c>
      <c r="BA1730" s="468" t="str">
        <f>IF(AS1730="","",IF(OR(AU1730="",AU1730="-"),"－",IF(OR(AZ1730=8,AZ1730=9),"",IF(OR(AW1730=3,AW1730=4,AW1730=5,AW1730=6),VLOOKUP(AU1730,INDEX((係数_バス貨物_ガソリン,係数_バス貨物_CNG,係数_バス貨物_軽油,係数_バス貨物_メタノール,係数_バス貨物_LPG),MATCH(AY1730,【参考】排出係数!$AI$4:$AI$671,1),1,BE1730):INDEX((係数_バス貨物_ガソリン,係数_バス貨物_CNG,係数_バス貨物_軽油,係数_バス貨物_メタノール,係数_バス貨物_LPG),MATCH(AY1730+1,【参考】排出係数!$AI$4:$AI$671,1)-1,5,BE1730),2,FALSE),IF(OR(AW1730=1,AW1730=2),VLOOKUP(AU1730,INDEX((係数_乗用_ガソリン,係数_乗用_CNG,係数_乗用_軽油,係数_乗用_メタノール,係数_乗用_LPG),1,1,BE1730):INDEX((係数_乗用_ガソリン,係数_乗用_CNG,係数_乗用_軽油,係数_乗用_メタノール,係数_乗用_LPG),125,5,BE1730),2,FALSE))))))</f>
        <v/>
      </c>
      <c r="BB1730" s="468" t="str">
        <f>IF(T1730="","",IF(OR(AU1730="",AU1730="-"),"－",IF(OR(AZ1730=8,AZ1730=9),"",IF(OR(AW1730=3,AW1730=4,AW1730=5,AW1730=6),VLOOKUP(AU1730,INDEX((係数_バス貨物_ガソリン,係数_バス貨物_CNG,係数_バス貨物_軽油,係数_バス貨物_メタノール,係数_バス貨物_LPG),MATCH(AY1730,【参考】排出係数!$AI$4:$AI$671,1),1,BE1730):INDEX((係数_バス貨物_ガソリン,係数_バス貨物_CNG,係数_バス貨物_軽油,係数_バス貨物_メタノール,係数_バス貨物_LPG),MATCH(AY1730+1,【参考】排出係数!$AI$4:$AI$671,1)-1,5,BE1730),3,FALSE),IF(OR(AW1730=1,AW1730=2),VLOOKUP(AU1730,INDEX((係数_乗用_ガソリン,係数_乗用_CNG,係数_乗用_軽油,係数_乗用_メタノール,係数_乗用_LPG),1,1,BE1730):INDEX((係数_乗用_ガソリン,係数_乗用_CNG,係数_乗用_軽油,係数_乗用_メタノール,係数_乗用_LPG),125,5,BE1730),3,FALSE))))))</f>
        <v/>
      </c>
      <c r="BC1730" s="467" t="str">
        <f t="shared" si="1014"/>
        <v/>
      </c>
      <c r="BD1730" s="567" t="str">
        <f t="shared" si="1015"/>
        <v/>
      </c>
      <c r="BE1730" s="467" t="str">
        <f t="shared" si="1016"/>
        <v/>
      </c>
      <c r="BF1730" s="469" t="str">
        <f t="shared" ca="1" si="1017"/>
        <v/>
      </c>
      <c r="BG1730" s="469" t="str">
        <f t="shared" ca="1" si="1018"/>
        <v/>
      </c>
      <c r="BH1730" s="467" t="str">
        <f t="shared" si="1019"/>
        <v/>
      </c>
      <c r="BI1730" s="467" t="str">
        <f t="shared" ca="1" si="1020"/>
        <v/>
      </c>
      <c r="BJ1730" s="469" t="str">
        <f t="shared" si="1021"/>
        <v/>
      </c>
      <c r="BK1730" s="470" t="str">
        <f t="shared" si="1005"/>
        <v/>
      </c>
      <c r="BL1730" s="775" t="str">
        <f t="shared" si="1022"/>
        <v/>
      </c>
      <c r="BM1730" s="775" t="str">
        <f t="shared" si="1023"/>
        <v/>
      </c>
    </row>
    <row r="1731" spans="1:65">
      <c r="A1731" s="473">
        <v>1675</v>
      </c>
      <c r="B1731" s="132"/>
      <c r="C1731" s="332"/>
      <c r="D1731" s="333"/>
      <c r="E1731" s="333"/>
      <c r="F1731" s="334"/>
      <c r="G1731" s="337"/>
      <c r="H1731" s="131"/>
      <c r="I1731" s="337"/>
      <c r="J1731" s="131"/>
      <c r="K1731" s="458" t="str">
        <f t="shared" si="986"/>
        <v/>
      </c>
      <c r="L1731" s="458">
        <f t="shared" si="987"/>
        <v>0</v>
      </c>
      <c r="M1731" s="458">
        <f t="shared" si="988"/>
        <v>0</v>
      </c>
      <c r="N1731" s="459" t="str">
        <f t="shared" si="999"/>
        <v/>
      </c>
      <c r="O1731" s="459" t="str">
        <f t="shared" si="1000"/>
        <v/>
      </c>
      <c r="P1731" s="459" t="str">
        <f t="shared" si="1001"/>
        <v/>
      </c>
      <c r="Q1731" s="459" t="str">
        <f t="shared" si="1002"/>
        <v/>
      </c>
      <c r="R1731" s="459" t="str">
        <f t="shared" si="1003"/>
        <v/>
      </c>
      <c r="S1731" s="459" t="str">
        <f t="shared" si="1004"/>
        <v/>
      </c>
      <c r="T1731" s="566" t="str">
        <f t="shared" si="989"/>
        <v/>
      </c>
      <c r="U1731" s="702"/>
      <c r="V1731" s="132"/>
      <c r="W1731" s="133"/>
      <c r="X1731" s="134"/>
      <c r="Y1731" s="135"/>
      <c r="Z1731" s="137"/>
      <c r="AA1731" s="136"/>
      <c r="AB1731" s="566" t="str">
        <f t="shared" si="990"/>
        <v/>
      </c>
      <c r="AC1731" s="568" t="str">
        <f t="shared" si="991"/>
        <v/>
      </c>
      <c r="AD1731" s="137"/>
      <c r="AE1731" s="137"/>
      <c r="AF1731" s="138"/>
      <c r="AG1731" s="138"/>
      <c r="AH1731" s="592" t="str">
        <f t="shared" si="992"/>
        <v/>
      </c>
      <c r="AI1731" s="592" t="str">
        <f t="shared" si="993"/>
        <v/>
      </c>
      <c r="AJ1731" s="592" t="str">
        <f t="shared" si="994"/>
        <v/>
      </c>
      <c r="AK1731" s="460" t="str">
        <f>IF(AU1731="","",IF(OR(AZ1731=8,AZ1731=9),0,IF(OR(AW1731=3,AW1731=4,AW1731=5,AW1731=6),IF(LEFT(BF1731,1)="1",INDEX(係数_NOX・PM低減,MATCH(AY1731,【参考】排出係数!$AI$801:$AI$804,1),1),VLOOKUP(AU1731,INDEX((係数_バス貨物_ガソリン,係数_バス貨物_CNG,係数_バス貨物_軽油,係数_バス貨物_メタノール,係数_バス貨物_LPG),MATCH(AY1731,【参考】排出係数!$AI$4:$AI$671,1),1,BE1731):INDEX((係数_バス貨物_ガソリン,係数_バス貨物_CNG,係数_バス貨物_軽油,係数_バス貨物_メタノール,係数_バス貨物_LPG),MATCH(AY1731+1,【参考】排出係数!$AI$4:$AI$671,1)-1,5,BE1731),4,FALSE)),IF(AND(BE1731=3,LEFT(BF1731,1)="1"),0.48,VLOOKUP(AU1731,INDEX((係数_乗用_ガソリン,係数_乗用_CNG,係数_乗用_軽油,係数_乗用_メタノール,係数_乗用_LPG),1,1,BE1731):INDEX((係数_乗用_ガソリン,係数_乗用_CNG,係数_乗用_軽油,係数_乗用_メタノール,係数_乗用_LPG),125,5,BE1731),4,FALSE)))))</f>
        <v/>
      </c>
      <c r="AL1731" s="461" t="str">
        <f t="shared" si="995"/>
        <v/>
      </c>
      <c r="AM1731" s="460" t="str">
        <f>IF(AU1731="","",IF(OR(AZ1731=8,AZ1731=9),0,IF(OR(AW1731=3,AW1731=4,AW1731=5,AW1731=6),IF(LEFT(BH1731,1)="1",INDEX(係数_PM低減,MATCH(AY1731,【参考】排出係数!$AI$801:$AI$804,1),MATCH(BI1731,【参考】排出係数!$AL$798:$AO$798,1)),VLOOKUP(AU1731,INDEX((係数_バス貨物_ガソリン,係数_バス貨物_CNG,係数_バス貨物_軽油,係数_バス貨物_メタノール,係数_バス貨物_LPG),MATCH(AY1731,【参考】排出係数!$AI$4:$AI$671,1),1,BE1731):INDEX((係数_バス貨物_ガソリン,係数_バス貨物_CNG,係数_バス貨物_軽油,係数_バス貨物_メタノール,係数_バス貨物_LPG),MATCH(AY1731+1,【参考】排出係数!$AI$4:$AI$671,1)-1,5,BE1731),5,FALSE)),IF(AND(BE1731=3,LEFT(BF1731,1)="1"),0.055,VLOOKUP(AU1731,INDEX((係数_乗用_ガソリン,係数_乗用_CNG,係数_乗用_軽油,係数_乗用_メタノール,係数_乗用_LPG),1,1,BE1731):INDEX((係数_乗用_ガソリン,係数_乗用_CNG,係数_乗用_軽油,係数_乗用_メタノール,係数_乗用_LPG),125,5,BE1731),5,FALSE)))))</f>
        <v/>
      </c>
      <c r="AN1731" s="461" t="str">
        <f t="shared" si="996"/>
        <v/>
      </c>
      <c r="AO1731" s="462" t="str">
        <f t="shared" si="997"/>
        <v/>
      </c>
      <c r="AP1731" s="463" t="str">
        <f t="shared" si="998"/>
        <v/>
      </c>
      <c r="AQ1731" s="464"/>
      <c r="AR1731" s="619"/>
      <c r="AS1731" s="465" t="str">
        <f t="shared" si="1006"/>
        <v/>
      </c>
      <c r="AT1731" s="465" t="str">
        <f t="shared" si="1007"/>
        <v/>
      </c>
      <c r="AU1731" s="466" t="str">
        <f t="shared" si="1008"/>
        <v/>
      </c>
      <c r="AV1731" s="467" t="str">
        <f t="shared" si="1009"/>
        <v/>
      </c>
      <c r="AW1731" s="467" t="str">
        <f t="shared" si="1010"/>
        <v/>
      </c>
      <c r="AX1731" s="467" t="str">
        <f t="shared" si="1011"/>
        <v/>
      </c>
      <c r="AY1731" s="467" t="str">
        <f t="shared" si="1012"/>
        <v/>
      </c>
      <c r="AZ1731" s="467" t="str">
        <f t="shared" si="1013"/>
        <v/>
      </c>
      <c r="BA1731" s="468" t="str">
        <f>IF(AS1731="","",IF(OR(AU1731="",AU1731="-"),"－",IF(OR(AZ1731=8,AZ1731=9),"",IF(OR(AW1731=3,AW1731=4,AW1731=5,AW1731=6),VLOOKUP(AU1731,INDEX((係数_バス貨物_ガソリン,係数_バス貨物_CNG,係数_バス貨物_軽油,係数_バス貨物_メタノール,係数_バス貨物_LPG),MATCH(AY1731,【参考】排出係数!$AI$4:$AI$671,1),1,BE1731):INDEX((係数_バス貨物_ガソリン,係数_バス貨物_CNG,係数_バス貨物_軽油,係数_バス貨物_メタノール,係数_バス貨物_LPG),MATCH(AY1731+1,【参考】排出係数!$AI$4:$AI$671,1)-1,5,BE1731),2,FALSE),IF(OR(AW1731=1,AW1731=2),VLOOKUP(AU1731,INDEX((係数_乗用_ガソリン,係数_乗用_CNG,係数_乗用_軽油,係数_乗用_メタノール,係数_乗用_LPG),1,1,BE1731):INDEX((係数_乗用_ガソリン,係数_乗用_CNG,係数_乗用_軽油,係数_乗用_メタノール,係数_乗用_LPG),125,5,BE1731),2,FALSE))))))</f>
        <v/>
      </c>
      <c r="BB1731" s="468" t="str">
        <f>IF(T1731="","",IF(OR(AU1731="",AU1731="-"),"－",IF(OR(AZ1731=8,AZ1731=9),"",IF(OR(AW1731=3,AW1731=4,AW1731=5,AW1731=6),VLOOKUP(AU1731,INDEX((係数_バス貨物_ガソリン,係数_バス貨物_CNG,係数_バス貨物_軽油,係数_バス貨物_メタノール,係数_バス貨物_LPG),MATCH(AY1731,【参考】排出係数!$AI$4:$AI$671,1),1,BE1731):INDEX((係数_バス貨物_ガソリン,係数_バス貨物_CNG,係数_バス貨物_軽油,係数_バス貨物_メタノール,係数_バス貨物_LPG),MATCH(AY1731+1,【参考】排出係数!$AI$4:$AI$671,1)-1,5,BE1731),3,FALSE),IF(OR(AW1731=1,AW1731=2),VLOOKUP(AU1731,INDEX((係数_乗用_ガソリン,係数_乗用_CNG,係数_乗用_軽油,係数_乗用_メタノール,係数_乗用_LPG),1,1,BE1731):INDEX((係数_乗用_ガソリン,係数_乗用_CNG,係数_乗用_軽油,係数_乗用_メタノール,係数_乗用_LPG),125,5,BE1731),3,FALSE))))))</f>
        <v/>
      </c>
      <c r="BC1731" s="467" t="str">
        <f t="shared" si="1014"/>
        <v/>
      </c>
      <c r="BD1731" s="567" t="str">
        <f t="shared" si="1015"/>
        <v/>
      </c>
      <c r="BE1731" s="467" t="str">
        <f t="shared" si="1016"/>
        <v/>
      </c>
      <c r="BF1731" s="469" t="str">
        <f t="shared" ca="1" si="1017"/>
        <v/>
      </c>
      <c r="BG1731" s="469" t="str">
        <f t="shared" ca="1" si="1018"/>
        <v/>
      </c>
      <c r="BH1731" s="467" t="str">
        <f t="shared" si="1019"/>
        <v/>
      </c>
      <c r="BI1731" s="467" t="str">
        <f t="shared" ca="1" si="1020"/>
        <v/>
      </c>
      <c r="BJ1731" s="469" t="str">
        <f t="shared" si="1021"/>
        <v/>
      </c>
      <c r="BK1731" s="470" t="str">
        <f t="shared" si="1005"/>
        <v/>
      </c>
      <c r="BL1731" s="775" t="str">
        <f t="shared" si="1022"/>
        <v/>
      </c>
      <c r="BM1731" s="775" t="str">
        <f t="shared" si="1023"/>
        <v/>
      </c>
    </row>
    <row r="1732" spans="1:65">
      <c r="A1732" s="473">
        <v>1676</v>
      </c>
      <c r="B1732" s="132"/>
      <c r="C1732" s="332"/>
      <c r="D1732" s="333"/>
      <c r="E1732" s="333"/>
      <c r="F1732" s="334"/>
      <c r="G1732" s="337"/>
      <c r="H1732" s="131"/>
      <c r="I1732" s="337"/>
      <c r="J1732" s="131"/>
      <c r="K1732" s="458" t="str">
        <f t="shared" si="986"/>
        <v/>
      </c>
      <c r="L1732" s="458">
        <f t="shared" si="987"/>
        <v>0</v>
      </c>
      <c r="M1732" s="458">
        <f t="shared" si="988"/>
        <v>0</v>
      </c>
      <c r="N1732" s="459" t="str">
        <f t="shared" si="999"/>
        <v/>
      </c>
      <c r="O1732" s="459" t="str">
        <f t="shared" si="1000"/>
        <v/>
      </c>
      <c r="P1732" s="459" t="str">
        <f t="shared" si="1001"/>
        <v/>
      </c>
      <c r="Q1732" s="459" t="str">
        <f t="shared" si="1002"/>
        <v/>
      </c>
      <c r="R1732" s="459" t="str">
        <f t="shared" si="1003"/>
        <v/>
      </c>
      <c r="S1732" s="459" t="str">
        <f t="shared" si="1004"/>
        <v/>
      </c>
      <c r="T1732" s="566" t="str">
        <f t="shared" si="989"/>
        <v/>
      </c>
      <c r="U1732" s="702"/>
      <c r="V1732" s="132"/>
      <c r="W1732" s="133"/>
      <c r="X1732" s="134"/>
      <c r="Y1732" s="135"/>
      <c r="Z1732" s="137"/>
      <c r="AA1732" s="136"/>
      <c r="AB1732" s="566" t="str">
        <f t="shared" si="990"/>
        <v/>
      </c>
      <c r="AC1732" s="568" t="str">
        <f t="shared" si="991"/>
        <v/>
      </c>
      <c r="AD1732" s="137"/>
      <c r="AE1732" s="137"/>
      <c r="AF1732" s="138"/>
      <c r="AG1732" s="138"/>
      <c r="AH1732" s="592" t="str">
        <f t="shared" si="992"/>
        <v/>
      </c>
      <c r="AI1732" s="592" t="str">
        <f t="shared" si="993"/>
        <v/>
      </c>
      <c r="AJ1732" s="592" t="str">
        <f t="shared" si="994"/>
        <v/>
      </c>
      <c r="AK1732" s="460" t="str">
        <f>IF(AU1732="","",IF(OR(AZ1732=8,AZ1732=9),0,IF(OR(AW1732=3,AW1732=4,AW1732=5,AW1732=6),IF(LEFT(BF1732,1)="1",INDEX(係数_NOX・PM低減,MATCH(AY1732,【参考】排出係数!$AI$801:$AI$804,1),1),VLOOKUP(AU1732,INDEX((係数_バス貨物_ガソリン,係数_バス貨物_CNG,係数_バス貨物_軽油,係数_バス貨物_メタノール,係数_バス貨物_LPG),MATCH(AY1732,【参考】排出係数!$AI$4:$AI$671,1),1,BE1732):INDEX((係数_バス貨物_ガソリン,係数_バス貨物_CNG,係数_バス貨物_軽油,係数_バス貨物_メタノール,係数_バス貨物_LPG),MATCH(AY1732+1,【参考】排出係数!$AI$4:$AI$671,1)-1,5,BE1732),4,FALSE)),IF(AND(BE1732=3,LEFT(BF1732,1)="1"),0.48,VLOOKUP(AU1732,INDEX((係数_乗用_ガソリン,係数_乗用_CNG,係数_乗用_軽油,係数_乗用_メタノール,係数_乗用_LPG),1,1,BE1732):INDEX((係数_乗用_ガソリン,係数_乗用_CNG,係数_乗用_軽油,係数_乗用_メタノール,係数_乗用_LPG),125,5,BE1732),4,FALSE)))))</f>
        <v/>
      </c>
      <c r="AL1732" s="461" t="str">
        <f t="shared" si="995"/>
        <v/>
      </c>
      <c r="AM1732" s="460" t="str">
        <f>IF(AU1732="","",IF(OR(AZ1732=8,AZ1732=9),0,IF(OR(AW1732=3,AW1732=4,AW1732=5,AW1732=6),IF(LEFT(BH1732,1)="1",INDEX(係数_PM低減,MATCH(AY1732,【参考】排出係数!$AI$801:$AI$804,1),MATCH(BI1732,【参考】排出係数!$AL$798:$AO$798,1)),VLOOKUP(AU1732,INDEX((係数_バス貨物_ガソリン,係数_バス貨物_CNG,係数_バス貨物_軽油,係数_バス貨物_メタノール,係数_バス貨物_LPG),MATCH(AY1732,【参考】排出係数!$AI$4:$AI$671,1),1,BE1732):INDEX((係数_バス貨物_ガソリン,係数_バス貨物_CNG,係数_バス貨物_軽油,係数_バス貨物_メタノール,係数_バス貨物_LPG),MATCH(AY1732+1,【参考】排出係数!$AI$4:$AI$671,1)-1,5,BE1732),5,FALSE)),IF(AND(BE1732=3,LEFT(BF1732,1)="1"),0.055,VLOOKUP(AU1732,INDEX((係数_乗用_ガソリン,係数_乗用_CNG,係数_乗用_軽油,係数_乗用_メタノール,係数_乗用_LPG),1,1,BE1732):INDEX((係数_乗用_ガソリン,係数_乗用_CNG,係数_乗用_軽油,係数_乗用_メタノール,係数_乗用_LPG),125,5,BE1732),5,FALSE)))))</f>
        <v/>
      </c>
      <c r="AN1732" s="461" t="str">
        <f t="shared" si="996"/>
        <v/>
      </c>
      <c r="AO1732" s="462" t="str">
        <f t="shared" si="997"/>
        <v/>
      </c>
      <c r="AP1732" s="463" t="str">
        <f t="shared" si="998"/>
        <v/>
      </c>
      <c r="AQ1732" s="464"/>
      <c r="AR1732" s="619"/>
      <c r="AS1732" s="465" t="str">
        <f t="shared" si="1006"/>
        <v/>
      </c>
      <c r="AT1732" s="465" t="str">
        <f t="shared" si="1007"/>
        <v/>
      </c>
      <c r="AU1732" s="466" t="str">
        <f t="shared" si="1008"/>
        <v/>
      </c>
      <c r="AV1732" s="467" t="str">
        <f t="shared" si="1009"/>
        <v/>
      </c>
      <c r="AW1732" s="467" t="str">
        <f t="shared" si="1010"/>
        <v/>
      </c>
      <c r="AX1732" s="467" t="str">
        <f t="shared" si="1011"/>
        <v/>
      </c>
      <c r="AY1732" s="467" t="str">
        <f t="shared" si="1012"/>
        <v/>
      </c>
      <c r="AZ1732" s="467" t="str">
        <f t="shared" si="1013"/>
        <v/>
      </c>
      <c r="BA1732" s="468" t="str">
        <f>IF(AS1732="","",IF(OR(AU1732="",AU1732="-"),"－",IF(OR(AZ1732=8,AZ1732=9),"",IF(OR(AW1732=3,AW1732=4,AW1732=5,AW1732=6),VLOOKUP(AU1732,INDEX((係数_バス貨物_ガソリン,係数_バス貨物_CNG,係数_バス貨物_軽油,係数_バス貨物_メタノール,係数_バス貨物_LPG),MATCH(AY1732,【参考】排出係数!$AI$4:$AI$671,1),1,BE1732):INDEX((係数_バス貨物_ガソリン,係数_バス貨物_CNG,係数_バス貨物_軽油,係数_バス貨物_メタノール,係数_バス貨物_LPG),MATCH(AY1732+1,【参考】排出係数!$AI$4:$AI$671,1)-1,5,BE1732),2,FALSE),IF(OR(AW1732=1,AW1732=2),VLOOKUP(AU1732,INDEX((係数_乗用_ガソリン,係数_乗用_CNG,係数_乗用_軽油,係数_乗用_メタノール,係数_乗用_LPG),1,1,BE1732):INDEX((係数_乗用_ガソリン,係数_乗用_CNG,係数_乗用_軽油,係数_乗用_メタノール,係数_乗用_LPG),125,5,BE1732),2,FALSE))))))</f>
        <v/>
      </c>
      <c r="BB1732" s="468" t="str">
        <f>IF(T1732="","",IF(OR(AU1732="",AU1732="-"),"－",IF(OR(AZ1732=8,AZ1732=9),"",IF(OR(AW1732=3,AW1732=4,AW1732=5,AW1732=6),VLOOKUP(AU1732,INDEX((係数_バス貨物_ガソリン,係数_バス貨物_CNG,係数_バス貨物_軽油,係数_バス貨物_メタノール,係数_バス貨物_LPG),MATCH(AY1732,【参考】排出係数!$AI$4:$AI$671,1),1,BE1732):INDEX((係数_バス貨物_ガソリン,係数_バス貨物_CNG,係数_バス貨物_軽油,係数_バス貨物_メタノール,係数_バス貨物_LPG),MATCH(AY1732+1,【参考】排出係数!$AI$4:$AI$671,1)-1,5,BE1732),3,FALSE),IF(OR(AW1732=1,AW1732=2),VLOOKUP(AU1732,INDEX((係数_乗用_ガソリン,係数_乗用_CNG,係数_乗用_軽油,係数_乗用_メタノール,係数_乗用_LPG),1,1,BE1732):INDEX((係数_乗用_ガソリン,係数_乗用_CNG,係数_乗用_軽油,係数_乗用_メタノール,係数_乗用_LPG),125,5,BE1732),3,FALSE))))))</f>
        <v/>
      </c>
      <c r="BC1732" s="467" t="str">
        <f t="shared" si="1014"/>
        <v/>
      </c>
      <c r="BD1732" s="567" t="str">
        <f t="shared" si="1015"/>
        <v/>
      </c>
      <c r="BE1732" s="467" t="str">
        <f t="shared" si="1016"/>
        <v/>
      </c>
      <c r="BF1732" s="469" t="str">
        <f t="shared" ca="1" si="1017"/>
        <v/>
      </c>
      <c r="BG1732" s="469" t="str">
        <f t="shared" ca="1" si="1018"/>
        <v/>
      </c>
      <c r="BH1732" s="467" t="str">
        <f t="shared" si="1019"/>
        <v/>
      </c>
      <c r="BI1732" s="467" t="str">
        <f t="shared" ca="1" si="1020"/>
        <v/>
      </c>
      <c r="BJ1732" s="469" t="str">
        <f t="shared" si="1021"/>
        <v/>
      </c>
      <c r="BK1732" s="470" t="str">
        <f t="shared" si="1005"/>
        <v/>
      </c>
      <c r="BL1732" s="775" t="str">
        <f t="shared" si="1022"/>
        <v/>
      </c>
      <c r="BM1732" s="775" t="str">
        <f t="shared" si="1023"/>
        <v/>
      </c>
    </row>
    <row r="1733" spans="1:65">
      <c r="A1733" s="473">
        <v>1677</v>
      </c>
      <c r="B1733" s="132"/>
      <c r="C1733" s="332"/>
      <c r="D1733" s="333"/>
      <c r="E1733" s="333"/>
      <c r="F1733" s="334"/>
      <c r="G1733" s="337"/>
      <c r="H1733" s="131"/>
      <c r="I1733" s="337"/>
      <c r="J1733" s="131"/>
      <c r="K1733" s="458" t="str">
        <f t="shared" si="986"/>
        <v/>
      </c>
      <c r="L1733" s="458">
        <f t="shared" si="987"/>
        <v>0</v>
      </c>
      <c r="M1733" s="458">
        <f t="shared" si="988"/>
        <v>0</v>
      </c>
      <c r="N1733" s="459" t="str">
        <f t="shared" si="999"/>
        <v/>
      </c>
      <c r="O1733" s="459" t="str">
        <f t="shared" si="1000"/>
        <v/>
      </c>
      <c r="P1733" s="459" t="str">
        <f t="shared" si="1001"/>
        <v/>
      </c>
      <c r="Q1733" s="459" t="str">
        <f t="shared" si="1002"/>
        <v/>
      </c>
      <c r="R1733" s="459" t="str">
        <f t="shared" si="1003"/>
        <v/>
      </c>
      <c r="S1733" s="459" t="str">
        <f t="shared" si="1004"/>
        <v/>
      </c>
      <c r="T1733" s="566" t="str">
        <f t="shared" si="989"/>
        <v/>
      </c>
      <c r="U1733" s="702"/>
      <c r="V1733" s="132"/>
      <c r="W1733" s="133"/>
      <c r="X1733" s="134"/>
      <c r="Y1733" s="135"/>
      <c r="Z1733" s="137"/>
      <c r="AA1733" s="136"/>
      <c r="AB1733" s="566" t="str">
        <f t="shared" si="990"/>
        <v/>
      </c>
      <c r="AC1733" s="568" t="str">
        <f t="shared" si="991"/>
        <v/>
      </c>
      <c r="AD1733" s="137"/>
      <c r="AE1733" s="137"/>
      <c r="AF1733" s="138"/>
      <c r="AG1733" s="138"/>
      <c r="AH1733" s="592" t="str">
        <f t="shared" si="992"/>
        <v/>
      </c>
      <c r="AI1733" s="592" t="str">
        <f t="shared" si="993"/>
        <v/>
      </c>
      <c r="AJ1733" s="592" t="str">
        <f t="shared" si="994"/>
        <v/>
      </c>
      <c r="AK1733" s="460" t="str">
        <f>IF(AU1733="","",IF(OR(AZ1733=8,AZ1733=9),0,IF(OR(AW1733=3,AW1733=4,AW1733=5,AW1733=6),IF(LEFT(BF1733,1)="1",INDEX(係数_NOX・PM低減,MATCH(AY1733,【参考】排出係数!$AI$801:$AI$804,1),1),VLOOKUP(AU1733,INDEX((係数_バス貨物_ガソリン,係数_バス貨物_CNG,係数_バス貨物_軽油,係数_バス貨物_メタノール,係数_バス貨物_LPG),MATCH(AY1733,【参考】排出係数!$AI$4:$AI$671,1),1,BE1733):INDEX((係数_バス貨物_ガソリン,係数_バス貨物_CNG,係数_バス貨物_軽油,係数_バス貨物_メタノール,係数_バス貨物_LPG),MATCH(AY1733+1,【参考】排出係数!$AI$4:$AI$671,1)-1,5,BE1733),4,FALSE)),IF(AND(BE1733=3,LEFT(BF1733,1)="1"),0.48,VLOOKUP(AU1733,INDEX((係数_乗用_ガソリン,係数_乗用_CNG,係数_乗用_軽油,係数_乗用_メタノール,係数_乗用_LPG),1,1,BE1733):INDEX((係数_乗用_ガソリン,係数_乗用_CNG,係数_乗用_軽油,係数_乗用_メタノール,係数_乗用_LPG),125,5,BE1733),4,FALSE)))))</f>
        <v/>
      </c>
      <c r="AL1733" s="461" t="str">
        <f t="shared" si="995"/>
        <v/>
      </c>
      <c r="AM1733" s="460" t="str">
        <f>IF(AU1733="","",IF(OR(AZ1733=8,AZ1733=9),0,IF(OR(AW1733=3,AW1733=4,AW1733=5,AW1733=6),IF(LEFT(BH1733,1)="1",INDEX(係数_PM低減,MATCH(AY1733,【参考】排出係数!$AI$801:$AI$804,1),MATCH(BI1733,【参考】排出係数!$AL$798:$AO$798,1)),VLOOKUP(AU1733,INDEX((係数_バス貨物_ガソリン,係数_バス貨物_CNG,係数_バス貨物_軽油,係数_バス貨物_メタノール,係数_バス貨物_LPG),MATCH(AY1733,【参考】排出係数!$AI$4:$AI$671,1),1,BE1733):INDEX((係数_バス貨物_ガソリン,係数_バス貨物_CNG,係数_バス貨物_軽油,係数_バス貨物_メタノール,係数_バス貨物_LPG),MATCH(AY1733+1,【参考】排出係数!$AI$4:$AI$671,1)-1,5,BE1733),5,FALSE)),IF(AND(BE1733=3,LEFT(BF1733,1)="1"),0.055,VLOOKUP(AU1733,INDEX((係数_乗用_ガソリン,係数_乗用_CNG,係数_乗用_軽油,係数_乗用_メタノール,係数_乗用_LPG),1,1,BE1733):INDEX((係数_乗用_ガソリン,係数_乗用_CNG,係数_乗用_軽油,係数_乗用_メタノール,係数_乗用_LPG),125,5,BE1733),5,FALSE)))))</f>
        <v/>
      </c>
      <c r="AN1733" s="461" t="str">
        <f t="shared" si="996"/>
        <v/>
      </c>
      <c r="AO1733" s="462" t="str">
        <f t="shared" si="997"/>
        <v/>
      </c>
      <c r="AP1733" s="463" t="str">
        <f t="shared" si="998"/>
        <v/>
      </c>
      <c r="AQ1733" s="464"/>
      <c r="AR1733" s="619"/>
      <c r="AS1733" s="465" t="str">
        <f t="shared" si="1006"/>
        <v/>
      </c>
      <c r="AT1733" s="465" t="str">
        <f t="shared" si="1007"/>
        <v/>
      </c>
      <c r="AU1733" s="466" t="str">
        <f t="shared" si="1008"/>
        <v/>
      </c>
      <c r="AV1733" s="467" t="str">
        <f t="shared" si="1009"/>
        <v/>
      </c>
      <c r="AW1733" s="467" t="str">
        <f t="shared" si="1010"/>
        <v/>
      </c>
      <c r="AX1733" s="467" t="str">
        <f t="shared" si="1011"/>
        <v/>
      </c>
      <c r="AY1733" s="467" t="str">
        <f t="shared" si="1012"/>
        <v/>
      </c>
      <c r="AZ1733" s="467" t="str">
        <f t="shared" si="1013"/>
        <v/>
      </c>
      <c r="BA1733" s="468" t="str">
        <f>IF(AS1733="","",IF(OR(AU1733="",AU1733="-"),"－",IF(OR(AZ1733=8,AZ1733=9),"",IF(OR(AW1733=3,AW1733=4,AW1733=5,AW1733=6),VLOOKUP(AU1733,INDEX((係数_バス貨物_ガソリン,係数_バス貨物_CNG,係数_バス貨物_軽油,係数_バス貨物_メタノール,係数_バス貨物_LPG),MATCH(AY1733,【参考】排出係数!$AI$4:$AI$671,1),1,BE1733):INDEX((係数_バス貨物_ガソリン,係数_バス貨物_CNG,係数_バス貨物_軽油,係数_バス貨物_メタノール,係数_バス貨物_LPG),MATCH(AY1733+1,【参考】排出係数!$AI$4:$AI$671,1)-1,5,BE1733),2,FALSE),IF(OR(AW1733=1,AW1733=2),VLOOKUP(AU1733,INDEX((係数_乗用_ガソリン,係数_乗用_CNG,係数_乗用_軽油,係数_乗用_メタノール,係数_乗用_LPG),1,1,BE1733):INDEX((係数_乗用_ガソリン,係数_乗用_CNG,係数_乗用_軽油,係数_乗用_メタノール,係数_乗用_LPG),125,5,BE1733),2,FALSE))))))</f>
        <v/>
      </c>
      <c r="BB1733" s="468" t="str">
        <f>IF(T1733="","",IF(OR(AU1733="",AU1733="-"),"－",IF(OR(AZ1733=8,AZ1733=9),"",IF(OR(AW1733=3,AW1733=4,AW1733=5,AW1733=6),VLOOKUP(AU1733,INDEX((係数_バス貨物_ガソリン,係数_バス貨物_CNG,係数_バス貨物_軽油,係数_バス貨物_メタノール,係数_バス貨物_LPG),MATCH(AY1733,【参考】排出係数!$AI$4:$AI$671,1),1,BE1733):INDEX((係数_バス貨物_ガソリン,係数_バス貨物_CNG,係数_バス貨物_軽油,係数_バス貨物_メタノール,係数_バス貨物_LPG),MATCH(AY1733+1,【参考】排出係数!$AI$4:$AI$671,1)-1,5,BE1733),3,FALSE),IF(OR(AW1733=1,AW1733=2),VLOOKUP(AU1733,INDEX((係数_乗用_ガソリン,係数_乗用_CNG,係数_乗用_軽油,係数_乗用_メタノール,係数_乗用_LPG),1,1,BE1733):INDEX((係数_乗用_ガソリン,係数_乗用_CNG,係数_乗用_軽油,係数_乗用_メタノール,係数_乗用_LPG),125,5,BE1733),3,FALSE))))))</f>
        <v/>
      </c>
      <c r="BC1733" s="467" t="str">
        <f t="shared" si="1014"/>
        <v/>
      </c>
      <c r="BD1733" s="567" t="str">
        <f t="shared" si="1015"/>
        <v/>
      </c>
      <c r="BE1733" s="467" t="str">
        <f t="shared" si="1016"/>
        <v/>
      </c>
      <c r="BF1733" s="469" t="str">
        <f t="shared" ca="1" si="1017"/>
        <v/>
      </c>
      <c r="BG1733" s="469" t="str">
        <f t="shared" ca="1" si="1018"/>
        <v/>
      </c>
      <c r="BH1733" s="467" t="str">
        <f t="shared" si="1019"/>
        <v/>
      </c>
      <c r="BI1733" s="467" t="str">
        <f t="shared" ca="1" si="1020"/>
        <v/>
      </c>
      <c r="BJ1733" s="469" t="str">
        <f t="shared" si="1021"/>
        <v/>
      </c>
      <c r="BK1733" s="470" t="str">
        <f t="shared" si="1005"/>
        <v/>
      </c>
      <c r="BL1733" s="775" t="str">
        <f t="shared" si="1022"/>
        <v/>
      </c>
      <c r="BM1733" s="775" t="str">
        <f t="shared" si="1023"/>
        <v/>
      </c>
    </row>
    <row r="1734" spans="1:65">
      <c r="A1734" s="473">
        <v>1678</v>
      </c>
      <c r="B1734" s="132"/>
      <c r="C1734" s="332"/>
      <c r="D1734" s="333"/>
      <c r="E1734" s="333"/>
      <c r="F1734" s="334"/>
      <c r="G1734" s="337"/>
      <c r="H1734" s="131"/>
      <c r="I1734" s="337"/>
      <c r="J1734" s="131"/>
      <c r="K1734" s="458" t="str">
        <f t="shared" si="986"/>
        <v/>
      </c>
      <c r="L1734" s="458">
        <f t="shared" si="987"/>
        <v>0</v>
      </c>
      <c r="M1734" s="458">
        <f t="shared" si="988"/>
        <v>0</v>
      </c>
      <c r="N1734" s="459" t="str">
        <f t="shared" si="999"/>
        <v/>
      </c>
      <c r="O1734" s="459" t="str">
        <f t="shared" si="1000"/>
        <v/>
      </c>
      <c r="P1734" s="459" t="str">
        <f t="shared" si="1001"/>
        <v/>
      </c>
      <c r="Q1734" s="459" t="str">
        <f t="shared" si="1002"/>
        <v/>
      </c>
      <c r="R1734" s="459" t="str">
        <f t="shared" si="1003"/>
        <v/>
      </c>
      <c r="S1734" s="459" t="str">
        <f t="shared" si="1004"/>
        <v/>
      </c>
      <c r="T1734" s="566" t="str">
        <f t="shared" si="989"/>
        <v/>
      </c>
      <c r="U1734" s="702"/>
      <c r="V1734" s="132"/>
      <c r="W1734" s="133"/>
      <c r="X1734" s="134"/>
      <c r="Y1734" s="135"/>
      <c r="Z1734" s="137"/>
      <c r="AA1734" s="136"/>
      <c r="AB1734" s="566" t="str">
        <f t="shared" si="990"/>
        <v/>
      </c>
      <c r="AC1734" s="568" t="str">
        <f t="shared" si="991"/>
        <v/>
      </c>
      <c r="AD1734" s="137"/>
      <c r="AE1734" s="137"/>
      <c r="AF1734" s="138"/>
      <c r="AG1734" s="138"/>
      <c r="AH1734" s="592" t="str">
        <f t="shared" si="992"/>
        <v/>
      </c>
      <c r="AI1734" s="592" t="str">
        <f t="shared" si="993"/>
        <v/>
      </c>
      <c r="AJ1734" s="592" t="str">
        <f t="shared" si="994"/>
        <v/>
      </c>
      <c r="AK1734" s="460" t="str">
        <f>IF(AU1734="","",IF(OR(AZ1734=8,AZ1734=9),0,IF(OR(AW1734=3,AW1734=4,AW1734=5,AW1734=6),IF(LEFT(BF1734,1)="1",INDEX(係数_NOX・PM低減,MATCH(AY1734,【参考】排出係数!$AI$801:$AI$804,1),1),VLOOKUP(AU1734,INDEX((係数_バス貨物_ガソリン,係数_バス貨物_CNG,係数_バス貨物_軽油,係数_バス貨物_メタノール,係数_バス貨物_LPG),MATCH(AY1734,【参考】排出係数!$AI$4:$AI$671,1),1,BE1734):INDEX((係数_バス貨物_ガソリン,係数_バス貨物_CNG,係数_バス貨物_軽油,係数_バス貨物_メタノール,係数_バス貨物_LPG),MATCH(AY1734+1,【参考】排出係数!$AI$4:$AI$671,1)-1,5,BE1734),4,FALSE)),IF(AND(BE1734=3,LEFT(BF1734,1)="1"),0.48,VLOOKUP(AU1734,INDEX((係数_乗用_ガソリン,係数_乗用_CNG,係数_乗用_軽油,係数_乗用_メタノール,係数_乗用_LPG),1,1,BE1734):INDEX((係数_乗用_ガソリン,係数_乗用_CNG,係数_乗用_軽油,係数_乗用_メタノール,係数_乗用_LPG),125,5,BE1734),4,FALSE)))))</f>
        <v/>
      </c>
      <c r="AL1734" s="461" t="str">
        <f t="shared" si="995"/>
        <v/>
      </c>
      <c r="AM1734" s="460" t="str">
        <f>IF(AU1734="","",IF(OR(AZ1734=8,AZ1734=9),0,IF(OR(AW1734=3,AW1734=4,AW1734=5,AW1734=6),IF(LEFT(BH1734,1)="1",INDEX(係数_PM低減,MATCH(AY1734,【参考】排出係数!$AI$801:$AI$804,1),MATCH(BI1734,【参考】排出係数!$AL$798:$AO$798,1)),VLOOKUP(AU1734,INDEX((係数_バス貨物_ガソリン,係数_バス貨物_CNG,係数_バス貨物_軽油,係数_バス貨物_メタノール,係数_バス貨物_LPG),MATCH(AY1734,【参考】排出係数!$AI$4:$AI$671,1),1,BE1734):INDEX((係数_バス貨物_ガソリン,係数_バス貨物_CNG,係数_バス貨物_軽油,係数_バス貨物_メタノール,係数_バス貨物_LPG),MATCH(AY1734+1,【参考】排出係数!$AI$4:$AI$671,1)-1,5,BE1734),5,FALSE)),IF(AND(BE1734=3,LEFT(BF1734,1)="1"),0.055,VLOOKUP(AU1734,INDEX((係数_乗用_ガソリン,係数_乗用_CNG,係数_乗用_軽油,係数_乗用_メタノール,係数_乗用_LPG),1,1,BE1734):INDEX((係数_乗用_ガソリン,係数_乗用_CNG,係数_乗用_軽油,係数_乗用_メタノール,係数_乗用_LPG),125,5,BE1734),5,FALSE)))))</f>
        <v/>
      </c>
      <c r="AN1734" s="461" t="str">
        <f t="shared" si="996"/>
        <v/>
      </c>
      <c r="AO1734" s="462" t="str">
        <f t="shared" si="997"/>
        <v/>
      </c>
      <c r="AP1734" s="463" t="str">
        <f t="shared" si="998"/>
        <v/>
      </c>
      <c r="AQ1734" s="464"/>
      <c r="AR1734" s="619"/>
      <c r="AS1734" s="465" t="str">
        <f t="shared" si="1006"/>
        <v/>
      </c>
      <c r="AT1734" s="465" t="str">
        <f t="shared" si="1007"/>
        <v/>
      </c>
      <c r="AU1734" s="466" t="str">
        <f t="shared" si="1008"/>
        <v/>
      </c>
      <c r="AV1734" s="467" t="str">
        <f t="shared" si="1009"/>
        <v/>
      </c>
      <c r="AW1734" s="467" t="str">
        <f t="shared" si="1010"/>
        <v/>
      </c>
      <c r="AX1734" s="467" t="str">
        <f t="shared" si="1011"/>
        <v/>
      </c>
      <c r="AY1734" s="467" t="str">
        <f t="shared" si="1012"/>
        <v/>
      </c>
      <c r="AZ1734" s="467" t="str">
        <f t="shared" si="1013"/>
        <v/>
      </c>
      <c r="BA1734" s="468" t="str">
        <f>IF(AS1734="","",IF(OR(AU1734="",AU1734="-"),"－",IF(OR(AZ1734=8,AZ1734=9),"",IF(OR(AW1734=3,AW1734=4,AW1734=5,AW1734=6),VLOOKUP(AU1734,INDEX((係数_バス貨物_ガソリン,係数_バス貨物_CNG,係数_バス貨物_軽油,係数_バス貨物_メタノール,係数_バス貨物_LPG),MATCH(AY1734,【参考】排出係数!$AI$4:$AI$671,1),1,BE1734):INDEX((係数_バス貨物_ガソリン,係数_バス貨物_CNG,係数_バス貨物_軽油,係数_バス貨物_メタノール,係数_バス貨物_LPG),MATCH(AY1734+1,【参考】排出係数!$AI$4:$AI$671,1)-1,5,BE1734),2,FALSE),IF(OR(AW1734=1,AW1734=2),VLOOKUP(AU1734,INDEX((係数_乗用_ガソリン,係数_乗用_CNG,係数_乗用_軽油,係数_乗用_メタノール,係数_乗用_LPG),1,1,BE1734):INDEX((係数_乗用_ガソリン,係数_乗用_CNG,係数_乗用_軽油,係数_乗用_メタノール,係数_乗用_LPG),125,5,BE1734),2,FALSE))))))</f>
        <v/>
      </c>
      <c r="BB1734" s="468" t="str">
        <f>IF(T1734="","",IF(OR(AU1734="",AU1734="-"),"－",IF(OR(AZ1734=8,AZ1734=9),"",IF(OR(AW1734=3,AW1734=4,AW1734=5,AW1734=6),VLOOKUP(AU1734,INDEX((係数_バス貨物_ガソリン,係数_バス貨物_CNG,係数_バス貨物_軽油,係数_バス貨物_メタノール,係数_バス貨物_LPG),MATCH(AY1734,【参考】排出係数!$AI$4:$AI$671,1),1,BE1734):INDEX((係数_バス貨物_ガソリン,係数_バス貨物_CNG,係数_バス貨物_軽油,係数_バス貨物_メタノール,係数_バス貨物_LPG),MATCH(AY1734+1,【参考】排出係数!$AI$4:$AI$671,1)-1,5,BE1734),3,FALSE),IF(OR(AW1734=1,AW1734=2),VLOOKUP(AU1734,INDEX((係数_乗用_ガソリン,係数_乗用_CNG,係数_乗用_軽油,係数_乗用_メタノール,係数_乗用_LPG),1,1,BE1734):INDEX((係数_乗用_ガソリン,係数_乗用_CNG,係数_乗用_軽油,係数_乗用_メタノール,係数_乗用_LPG),125,5,BE1734),3,FALSE))))))</f>
        <v/>
      </c>
      <c r="BC1734" s="467" t="str">
        <f t="shared" si="1014"/>
        <v/>
      </c>
      <c r="BD1734" s="567" t="str">
        <f t="shared" si="1015"/>
        <v/>
      </c>
      <c r="BE1734" s="467" t="str">
        <f t="shared" si="1016"/>
        <v/>
      </c>
      <c r="BF1734" s="469" t="str">
        <f t="shared" ca="1" si="1017"/>
        <v/>
      </c>
      <c r="BG1734" s="469" t="str">
        <f t="shared" ca="1" si="1018"/>
        <v/>
      </c>
      <c r="BH1734" s="467" t="str">
        <f t="shared" si="1019"/>
        <v/>
      </c>
      <c r="BI1734" s="467" t="str">
        <f t="shared" ca="1" si="1020"/>
        <v/>
      </c>
      <c r="BJ1734" s="469" t="str">
        <f t="shared" si="1021"/>
        <v/>
      </c>
      <c r="BK1734" s="470" t="str">
        <f t="shared" si="1005"/>
        <v/>
      </c>
      <c r="BL1734" s="775" t="str">
        <f t="shared" si="1022"/>
        <v/>
      </c>
      <c r="BM1734" s="775" t="str">
        <f t="shared" si="1023"/>
        <v/>
      </c>
    </row>
    <row r="1735" spans="1:65">
      <c r="A1735" s="473">
        <v>1679</v>
      </c>
      <c r="B1735" s="132"/>
      <c r="C1735" s="332"/>
      <c r="D1735" s="333"/>
      <c r="E1735" s="333"/>
      <c r="F1735" s="334"/>
      <c r="G1735" s="337"/>
      <c r="H1735" s="131"/>
      <c r="I1735" s="337"/>
      <c r="J1735" s="131"/>
      <c r="K1735" s="458" t="str">
        <f t="shared" si="986"/>
        <v/>
      </c>
      <c r="L1735" s="458">
        <f t="shared" si="987"/>
        <v>0</v>
      </c>
      <c r="M1735" s="458">
        <f t="shared" si="988"/>
        <v>0</v>
      </c>
      <c r="N1735" s="459" t="str">
        <f t="shared" si="999"/>
        <v/>
      </c>
      <c r="O1735" s="459" t="str">
        <f t="shared" si="1000"/>
        <v/>
      </c>
      <c r="P1735" s="459" t="str">
        <f t="shared" si="1001"/>
        <v/>
      </c>
      <c r="Q1735" s="459" t="str">
        <f t="shared" si="1002"/>
        <v/>
      </c>
      <c r="R1735" s="459" t="str">
        <f t="shared" si="1003"/>
        <v/>
      </c>
      <c r="S1735" s="459" t="str">
        <f t="shared" si="1004"/>
        <v/>
      </c>
      <c r="T1735" s="566" t="str">
        <f t="shared" si="989"/>
        <v/>
      </c>
      <c r="U1735" s="702"/>
      <c r="V1735" s="132"/>
      <c r="W1735" s="133"/>
      <c r="X1735" s="134"/>
      <c r="Y1735" s="135"/>
      <c r="Z1735" s="137"/>
      <c r="AA1735" s="136"/>
      <c r="AB1735" s="566" t="str">
        <f t="shared" si="990"/>
        <v/>
      </c>
      <c r="AC1735" s="568" t="str">
        <f t="shared" si="991"/>
        <v/>
      </c>
      <c r="AD1735" s="137"/>
      <c r="AE1735" s="137"/>
      <c r="AF1735" s="138"/>
      <c r="AG1735" s="138"/>
      <c r="AH1735" s="592" t="str">
        <f t="shared" si="992"/>
        <v/>
      </c>
      <c r="AI1735" s="592" t="str">
        <f t="shared" si="993"/>
        <v/>
      </c>
      <c r="AJ1735" s="592" t="str">
        <f t="shared" si="994"/>
        <v/>
      </c>
      <c r="AK1735" s="460" t="str">
        <f>IF(AU1735="","",IF(OR(AZ1735=8,AZ1735=9),0,IF(OR(AW1735=3,AW1735=4,AW1735=5,AW1735=6),IF(LEFT(BF1735,1)="1",INDEX(係数_NOX・PM低減,MATCH(AY1735,【参考】排出係数!$AI$801:$AI$804,1),1),VLOOKUP(AU1735,INDEX((係数_バス貨物_ガソリン,係数_バス貨物_CNG,係数_バス貨物_軽油,係数_バス貨物_メタノール,係数_バス貨物_LPG),MATCH(AY1735,【参考】排出係数!$AI$4:$AI$671,1),1,BE1735):INDEX((係数_バス貨物_ガソリン,係数_バス貨物_CNG,係数_バス貨物_軽油,係数_バス貨物_メタノール,係数_バス貨物_LPG),MATCH(AY1735+1,【参考】排出係数!$AI$4:$AI$671,1)-1,5,BE1735),4,FALSE)),IF(AND(BE1735=3,LEFT(BF1735,1)="1"),0.48,VLOOKUP(AU1735,INDEX((係数_乗用_ガソリン,係数_乗用_CNG,係数_乗用_軽油,係数_乗用_メタノール,係数_乗用_LPG),1,1,BE1735):INDEX((係数_乗用_ガソリン,係数_乗用_CNG,係数_乗用_軽油,係数_乗用_メタノール,係数_乗用_LPG),125,5,BE1735),4,FALSE)))))</f>
        <v/>
      </c>
      <c r="AL1735" s="461" t="str">
        <f t="shared" si="995"/>
        <v/>
      </c>
      <c r="AM1735" s="460" t="str">
        <f>IF(AU1735="","",IF(OR(AZ1735=8,AZ1735=9),0,IF(OR(AW1735=3,AW1735=4,AW1735=5,AW1735=6),IF(LEFT(BH1735,1)="1",INDEX(係数_PM低減,MATCH(AY1735,【参考】排出係数!$AI$801:$AI$804,1),MATCH(BI1735,【参考】排出係数!$AL$798:$AO$798,1)),VLOOKUP(AU1735,INDEX((係数_バス貨物_ガソリン,係数_バス貨物_CNG,係数_バス貨物_軽油,係数_バス貨物_メタノール,係数_バス貨物_LPG),MATCH(AY1735,【参考】排出係数!$AI$4:$AI$671,1),1,BE1735):INDEX((係数_バス貨物_ガソリン,係数_バス貨物_CNG,係数_バス貨物_軽油,係数_バス貨物_メタノール,係数_バス貨物_LPG),MATCH(AY1735+1,【参考】排出係数!$AI$4:$AI$671,1)-1,5,BE1735),5,FALSE)),IF(AND(BE1735=3,LEFT(BF1735,1)="1"),0.055,VLOOKUP(AU1735,INDEX((係数_乗用_ガソリン,係数_乗用_CNG,係数_乗用_軽油,係数_乗用_メタノール,係数_乗用_LPG),1,1,BE1735):INDEX((係数_乗用_ガソリン,係数_乗用_CNG,係数_乗用_軽油,係数_乗用_メタノール,係数_乗用_LPG),125,5,BE1735),5,FALSE)))))</f>
        <v/>
      </c>
      <c r="AN1735" s="461" t="str">
        <f t="shared" si="996"/>
        <v/>
      </c>
      <c r="AO1735" s="462" t="str">
        <f t="shared" si="997"/>
        <v/>
      </c>
      <c r="AP1735" s="463" t="str">
        <f t="shared" si="998"/>
        <v/>
      </c>
      <c r="AQ1735" s="464"/>
      <c r="AR1735" s="619"/>
      <c r="AS1735" s="465" t="str">
        <f t="shared" si="1006"/>
        <v/>
      </c>
      <c r="AT1735" s="465" t="str">
        <f t="shared" si="1007"/>
        <v/>
      </c>
      <c r="AU1735" s="466" t="str">
        <f t="shared" si="1008"/>
        <v/>
      </c>
      <c r="AV1735" s="467" t="str">
        <f t="shared" si="1009"/>
        <v/>
      </c>
      <c r="AW1735" s="467" t="str">
        <f t="shared" si="1010"/>
        <v/>
      </c>
      <c r="AX1735" s="467" t="str">
        <f t="shared" si="1011"/>
        <v/>
      </c>
      <c r="AY1735" s="467" t="str">
        <f t="shared" si="1012"/>
        <v/>
      </c>
      <c r="AZ1735" s="467" t="str">
        <f t="shared" si="1013"/>
        <v/>
      </c>
      <c r="BA1735" s="468" t="str">
        <f>IF(AS1735="","",IF(OR(AU1735="",AU1735="-"),"－",IF(OR(AZ1735=8,AZ1735=9),"",IF(OR(AW1735=3,AW1735=4,AW1735=5,AW1735=6),VLOOKUP(AU1735,INDEX((係数_バス貨物_ガソリン,係数_バス貨物_CNG,係数_バス貨物_軽油,係数_バス貨物_メタノール,係数_バス貨物_LPG),MATCH(AY1735,【参考】排出係数!$AI$4:$AI$671,1),1,BE1735):INDEX((係数_バス貨物_ガソリン,係数_バス貨物_CNG,係数_バス貨物_軽油,係数_バス貨物_メタノール,係数_バス貨物_LPG),MATCH(AY1735+1,【参考】排出係数!$AI$4:$AI$671,1)-1,5,BE1735),2,FALSE),IF(OR(AW1735=1,AW1735=2),VLOOKUP(AU1735,INDEX((係数_乗用_ガソリン,係数_乗用_CNG,係数_乗用_軽油,係数_乗用_メタノール,係数_乗用_LPG),1,1,BE1735):INDEX((係数_乗用_ガソリン,係数_乗用_CNG,係数_乗用_軽油,係数_乗用_メタノール,係数_乗用_LPG),125,5,BE1735),2,FALSE))))))</f>
        <v/>
      </c>
      <c r="BB1735" s="468" t="str">
        <f>IF(T1735="","",IF(OR(AU1735="",AU1735="-"),"－",IF(OR(AZ1735=8,AZ1735=9),"",IF(OR(AW1735=3,AW1735=4,AW1735=5,AW1735=6),VLOOKUP(AU1735,INDEX((係数_バス貨物_ガソリン,係数_バス貨物_CNG,係数_バス貨物_軽油,係数_バス貨物_メタノール,係数_バス貨物_LPG),MATCH(AY1735,【参考】排出係数!$AI$4:$AI$671,1),1,BE1735):INDEX((係数_バス貨物_ガソリン,係数_バス貨物_CNG,係数_バス貨物_軽油,係数_バス貨物_メタノール,係数_バス貨物_LPG),MATCH(AY1735+1,【参考】排出係数!$AI$4:$AI$671,1)-1,5,BE1735),3,FALSE),IF(OR(AW1735=1,AW1735=2),VLOOKUP(AU1735,INDEX((係数_乗用_ガソリン,係数_乗用_CNG,係数_乗用_軽油,係数_乗用_メタノール,係数_乗用_LPG),1,1,BE1735):INDEX((係数_乗用_ガソリン,係数_乗用_CNG,係数_乗用_軽油,係数_乗用_メタノール,係数_乗用_LPG),125,5,BE1735),3,FALSE))))))</f>
        <v/>
      </c>
      <c r="BC1735" s="467" t="str">
        <f t="shared" si="1014"/>
        <v/>
      </c>
      <c r="BD1735" s="567" t="str">
        <f t="shared" si="1015"/>
        <v/>
      </c>
      <c r="BE1735" s="467" t="str">
        <f t="shared" si="1016"/>
        <v/>
      </c>
      <c r="BF1735" s="469" t="str">
        <f t="shared" ca="1" si="1017"/>
        <v/>
      </c>
      <c r="BG1735" s="469" t="str">
        <f t="shared" ca="1" si="1018"/>
        <v/>
      </c>
      <c r="BH1735" s="467" t="str">
        <f t="shared" si="1019"/>
        <v/>
      </c>
      <c r="BI1735" s="467" t="str">
        <f t="shared" ca="1" si="1020"/>
        <v/>
      </c>
      <c r="BJ1735" s="469" t="str">
        <f t="shared" si="1021"/>
        <v/>
      </c>
      <c r="BK1735" s="470" t="str">
        <f t="shared" si="1005"/>
        <v/>
      </c>
      <c r="BL1735" s="775" t="str">
        <f t="shared" si="1022"/>
        <v/>
      </c>
      <c r="BM1735" s="775" t="str">
        <f t="shared" si="1023"/>
        <v/>
      </c>
    </row>
    <row r="1736" spans="1:65">
      <c r="A1736" s="473">
        <v>1680</v>
      </c>
      <c r="B1736" s="132"/>
      <c r="C1736" s="332"/>
      <c r="D1736" s="333"/>
      <c r="E1736" s="333"/>
      <c r="F1736" s="334"/>
      <c r="G1736" s="337"/>
      <c r="H1736" s="131"/>
      <c r="I1736" s="337"/>
      <c r="J1736" s="131"/>
      <c r="K1736" s="458" t="str">
        <f t="shared" si="986"/>
        <v/>
      </c>
      <c r="L1736" s="458">
        <f t="shared" si="987"/>
        <v>0</v>
      </c>
      <c r="M1736" s="458">
        <f t="shared" si="988"/>
        <v>0</v>
      </c>
      <c r="N1736" s="459" t="str">
        <f t="shared" si="999"/>
        <v/>
      </c>
      <c r="O1736" s="459" t="str">
        <f t="shared" si="1000"/>
        <v/>
      </c>
      <c r="P1736" s="459" t="str">
        <f t="shared" si="1001"/>
        <v/>
      </c>
      <c r="Q1736" s="459" t="str">
        <f t="shared" si="1002"/>
        <v/>
      </c>
      <c r="R1736" s="459" t="str">
        <f t="shared" si="1003"/>
        <v/>
      </c>
      <c r="S1736" s="459" t="str">
        <f t="shared" si="1004"/>
        <v/>
      </c>
      <c r="T1736" s="566" t="str">
        <f t="shared" si="989"/>
        <v/>
      </c>
      <c r="U1736" s="702"/>
      <c r="V1736" s="132"/>
      <c r="W1736" s="133"/>
      <c r="X1736" s="134"/>
      <c r="Y1736" s="135"/>
      <c r="Z1736" s="137"/>
      <c r="AA1736" s="136"/>
      <c r="AB1736" s="566" t="str">
        <f t="shared" si="990"/>
        <v/>
      </c>
      <c r="AC1736" s="568" t="str">
        <f t="shared" si="991"/>
        <v/>
      </c>
      <c r="AD1736" s="137"/>
      <c r="AE1736" s="137"/>
      <c r="AF1736" s="138"/>
      <c r="AG1736" s="138"/>
      <c r="AH1736" s="592" t="str">
        <f t="shared" si="992"/>
        <v/>
      </c>
      <c r="AI1736" s="592" t="str">
        <f t="shared" si="993"/>
        <v/>
      </c>
      <c r="AJ1736" s="592" t="str">
        <f t="shared" si="994"/>
        <v/>
      </c>
      <c r="AK1736" s="460" t="str">
        <f>IF(AU1736="","",IF(OR(AZ1736=8,AZ1736=9),0,IF(OR(AW1736=3,AW1736=4,AW1736=5,AW1736=6),IF(LEFT(BF1736,1)="1",INDEX(係数_NOX・PM低減,MATCH(AY1736,【参考】排出係数!$AI$801:$AI$804,1),1),VLOOKUP(AU1736,INDEX((係数_バス貨物_ガソリン,係数_バス貨物_CNG,係数_バス貨物_軽油,係数_バス貨物_メタノール,係数_バス貨物_LPG),MATCH(AY1736,【参考】排出係数!$AI$4:$AI$671,1),1,BE1736):INDEX((係数_バス貨物_ガソリン,係数_バス貨物_CNG,係数_バス貨物_軽油,係数_バス貨物_メタノール,係数_バス貨物_LPG),MATCH(AY1736+1,【参考】排出係数!$AI$4:$AI$671,1)-1,5,BE1736),4,FALSE)),IF(AND(BE1736=3,LEFT(BF1736,1)="1"),0.48,VLOOKUP(AU1736,INDEX((係数_乗用_ガソリン,係数_乗用_CNG,係数_乗用_軽油,係数_乗用_メタノール,係数_乗用_LPG),1,1,BE1736):INDEX((係数_乗用_ガソリン,係数_乗用_CNG,係数_乗用_軽油,係数_乗用_メタノール,係数_乗用_LPG),125,5,BE1736),4,FALSE)))))</f>
        <v/>
      </c>
      <c r="AL1736" s="461" t="str">
        <f t="shared" si="995"/>
        <v/>
      </c>
      <c r="AM1736" s="460" t="str">
        <f>IF(AU1736="","",IF(OR(AZ1736=8,AZ1736=9),0,IF(OR(AW1736=3,AW1736=4,AW1736=5,AW1736=6),IF(LEFT(BH1736,1)="1",INDEX(係数_PM低減,MATCH(AY1736,【参考】排出係数!$AI$801:$AI$804,1),MATCH(BI1736,【参考】排出係数!$AL$798:$AO$798,1)),VLOOKUP(AU1736,INDEX((係数_バス貨物_ガソリン,係数_バス貨物_CNG,係数_バス貨物_軽油,係数_バス貨物_メタノール,係数_バス貨物_LPG),MATCH(AY1736,【参考】排出係数!$AI$4:$AI$671,1),1,BE1736):INDEX((係数_バス貨物_ガソリン,係数_バス貨物_CNG,係数_バス貨物_軽油,係数_バス貨物_メタノール,係数_バス貨物_LPG),MATCH(AY1736+1,【参考】排出係数!$AI$4:$AI$671,1)-1,5,BE1736),5,FALSE)),IF(AND(BE1736=3,LEFT(BF1736,1)="1"),0.055,VLOOKUP(AU1736,INDEX((係数_乗用_ガソリン,係数_乗用_CNG,係数_乗用_軽油,係数_乗用_メタノール,係数_乗用_LPG),1,1,BE1736):INDEX((係数_乗用_ガソリン,係数_乗用_CNG,係数_乗用_軽油,係数_乗用_メタノール,係数_乗用_LPG),125,5,BE1736),5,FALSE)))))</f>
        <v/>
      </c>
      <c r="AN1736" s="461" t="str">
        <f t="shared" si="996"/>
        <v/>
      </c>
      <c r="AO1736" s="462" t="str">
        <f t="shared" si="997"/>
        <v/>
      </c>
      <c r="AP1736" s="463" t="str">
        <f t="shared" si="998"/>
        <v/>
      </c>
      <c r="AQ1736" s="464"/>
      <c r="AR1736" s="619"/>
      <c r="AS1736" s="465" t="str">
        <f t="shared" si="1006"/>
        <v/>
      </c>
      <c r="AT1736" s="465" t="str">
        <f t="shared" si="1007"/>
        <v/>
      </c>
      <c r="AU1736" s="466" t="str">
        <f t="shared" si="1008"/>
        <v/>
      </c>
      <c r="AV1736" s="467" t="str">
        <f t="shared" si="1009"/>
        <v/>
      </c>
      <c r="AW1736" s="467" t="str">
        <f t="shared" si="1010"/>
        <v/>
      </c>
      <c r="AX1736" s="467" t="str">
        <f t="shared" si="1011"/>
        <v/>
      </c>
      <c r="AY1736" s="467" t="str">
        <f t="shared" si="1012"/>
        <v/>
      </c>
      <c r="AZ1736" s="467" t="str">
        <f t="shared" si="1013"/>
        <v/>
      </c>
      <c r="BA1736" s="468" t="str">
        <f>IF(AS1736="","",IF(OR(AU1736="",AU1736="-"),"－",IF(OR(AZ1736=8,AZ1736=9),"",IF(OR(AW1736=3,AW1736=4,AW1736=5,AW1736=6),VLOOKUP(AU1736,INDEX((係数_バス貨物_ガソリン,係数_バス貨物_CNG,係数_バス貨物_軽油,係数_バス貨物_メタノール,係数_バス貨物_LPG),MATCH(AY1736,【参考】排出係数!$AI$4:$AI$671,1),1,BE1736):INDEX((係数_バス貨物_ガソリン,係数_バス貨物_CNG,係数_バス貨物_軽油,係数_バス貨物_メタノール,係数_バス貨物_LPG),MATCH(AY1736+1,【参考】排出係数!$AI$4:$AI$671,1)-1,5,BE1736),2,FALSE),IF(OR(AW1736=1,AW1736=2),VLOOKUP(AU1736,INDEX((係数_乗用_ガソリン,係数_乗用_CNG,係数_乗用_軽油,係数_乗用_メタノール,係数_乗用_LPG),1,1,BE1736):INDEX((係数_乗用_ガソリン,係数_乗用_CNG,係数_乗用_軽油,係数_乗用_メタノール,係数_乗用_LPG),125,5,BE1736),2,FALSE))))))</f>
        <v/>
      </c>
      <c r="BB1736" s="468" t="str">
        <f>IF(T1736="","",IF(OR(AU1736="",AU1736="-"),"－",IF(OR(AZ1736=8,AZ1736=9),"",IF(OR(AW1736=3,AW1736=4,AW1736=5,AW1736=6),VLOOKUP(AU1736,INDEX((係数_バス貨物_ガソリン,係数_バス貨物_CNG,係数_バス貨物_軽油,係数_バス貨物_メタノール,係数_バス貨物_LPG),MATCH(AY1736,【参考】排出係数!$AI$4:$AI$671,1),1,BE1736):INDEX((係数_バス貨物_ガソリン,係数_バス貨物_CNG,係数_バス貨物_軽油,係数_バス貨物_メタノール,係数_バス貨物_LPG),MATCH(AY1736+1,【参考】排出係数!$AI$4:$AI$671,1)-1,5,BE1736),3,FALSE),IF(OR(AW1736=1,AW1736=2),VLOOKUP(AU1736,INDEX((係数_乗用_ガソリン,係数_乗用_CNG,係数_乗用_軽油,係数_乗用_メタノール,係数_乗用_LPG),1,1,BE1736):INDEX((係数_乗用_ガソリン,係数_乗用_CNG,係数_乗用_軽油,係数_乗用_メタノール,係数_乗用_LPG),125,5,BE1736),3,FALSE))))))</f>
        <v/>
      </c>
      <c r="BC1736" s="467" t="str">
        <f t="shared" si="1014"/>
        <v/>
      </c>
      <c r="BD1736" s="567" t="str">
        <f t="shared" si="1015"/>
        <v/>
      </c>
      <c r="BE1736" s="467" t="str">
        <f t="shared" si="1016"/>
        <v/>
      </c>
      <c r="BF1736" s="469" t="str">
        <f t="shared" ca="1" si="1017"/>
        <v/>
      </c>
      <c r="BG1736" s="469" t="str">
        <f t="shared" ca="1" si="1018"/>
        <v/>
      </c>
      <c r="BH1736" s="467" t="str">
        <f t="shared" si="1019"/>
        <v/>
      </c>
      <c r="BI1736" s="467" t="str">
        <f t="shared" ca="1" si="1020"/>
        <v/>
      </c>
      <c r="BJ1736" s="469" t="str">
        <f t="shared" si="1021"/>
        <v/>
      </c>
      <c r="BK1736" s="470" t="str">
        <f t="shared" si="1005"/>
        <v/>
      </c>
      <c r="BL1736" s="775" t="str">
        <f t="shared" si="1022"/>
        <v/>
      </c>
      <c r="BM1736" s="775" t="str">
        <f t="shared" si="1023"/>
        <v/>
      </c>
    </row>
    <row r="1737" spans="1:65">
      <c r="A1737" s="473">
        <v>1681</v>
      </c>
      <c r="B1737" s="132"/>
      <c r="C1737" s="332"/>
      <c r="D1737" s="333"/>
      <c r="E1737" s="333"/>
      <c r="F1737" s="334"/>
      <c r="G1737" s="337"/>
      <c r="H1737" s="131"/>
      <c r="I1737" s="337"/>
      <c r="J1737" s="131"/>
      <c r="K1737" s="458" t="str">
        <f t="shared" si="986"/>
        <v/>
      </c>
      <c r="L1737" s="458">
        <f t="shared" si="987"/>
        <v>0</v>
      </c>
      <c r="M1737" s="458">
        <f t="shared" si="988"/>
        <v>0</v>
      </c>
      <c r="N1737" s="459" t="str">
        <f t="shared" si="999"/>
        <v/>
      </c>
      <c r="O1737" s="459" t="str">
        <f t="shared" si="1000"/>
        <v/>
      </c>
      <c r="P1737" s="459" t="str">
        <f t="shared" si="1001"/>
        <v/>
      </c>
      <c r="Q1737" s="459" t="str">
        <f t="shared" si="1002"/>
        <v/>
      </c>
      <c r="R1737" s="459" t="str">
        <f t="shared" si="1003"/>
        <v/>
      </c>
      <c r="S1737" s="459" t="str">
        <f t="shared" si="1004"/>
        <v/>
      </c>
      <c r="T1737" s="566" t="str">
        <f t="shared" si="989"/>
        <v/>
      </c>
      <c r="U1737" s="702"/>
      <c r="V1737" s="132"/>
      <c r="W1737" s="133"/>
      <c r="X1737" s="134"/>
      <c r="Y1737" s="135"/>
      <c r="Z1737" s="137"/>
      <c r="AA1737" s="136"/>
      <c r="AB1737" s="566" t="str">
        <f t="shared" si="990"/>
        <v/>
      </c>
      <c r="AC1737" s="568" t="str">
        <f t="shared" si="991"/>
        <v/>
      </c>
      <c r="AD1737" s="137"/>
      <c r="AE1737" s="137"/>
      <c r="AF1737" s="138"/>
      <c r="AG1737" s="138"/>
      <c r="AH1737" s="592" t="str">
        <f t="shared" si="992"/>
        <v/>
      </c>
      <c r="AI1737" s="592" t="str">
        <f t="shared" si="993"/>
        <v/>
      </c>
      <c r="AJ1737" s="592" t="str">
        <f t="shared" si="994"/>
        <v/>
      </c>
      <c r="AK1737" s="460" t="str">
        <f>IF(AU1737="","",IF(OR(AZ1737=8,AZ1737=9),0,IF(OR(AW1737=3,AW1737=4,AW1737=5,AW1737=6),IF(LEFT(BF1737,1)="1",INDEX(係数_NOX・PM低減,MATCH(AY1737,【参考】排出係数!$AI$801:$AI$804,1),1),VLOOKUP(AU1737,INDEX((係数_バス貨物_ガソリン,係数_バス貨物_CNG,係数_バス貨物_軽油,係数_バス貨物_メタノール,係数_バス貨物_LPG),MATCH(AY1737,【参考】排出係数!$AI$4:$AI$671,1),1,BE1737):INDEX((係数_バス貨物_ガソリン,係数_バス貨物_CNG,係数_バス貨物_軽油,係数_バス貨物_メタノール,係数_バス貨物_LPG),MATCH(AY1737+1,【参考】排出係数!$AI$4:$AI$671,1)-1,5,BE1737),4,FALSE)),IF(AND(BE1737=3,LEFT(BF1737,1)="1"),0.48,VLOOKUP(AU1737,INDEX((係数_乗用_ガソリン,係数_乗用_CNG,係数_乗用_軽油,係数_乗用_メタノール,係数_乗用_LPG),1,1,BE1737):INDEX((係数_乗用_ガソリン,係数_乗用_CNG,係数_乗用_軽油,係数_乗用_メタノール,係数_乗用_LPG),125,5,BE1737),4,FALSE)))))</f>
        <v/>
      </c>
      <c r="AL1737" s="461" t="str">
        <f t="shared" si="995"/>
        <v/>
      </c>
      <c r="AM1737" s="460" t="str">
        <f>IF(AU1737="","",IF(OR(AZ1737=8,AZ1737=9),0,IF(OR(AW1737=3,AW1737=4,AW1737=5,AW1737=6),IF(LEFT(BH1737,1)="1",INDEX(係数_PM低減,MATCH(AY1737,【参考】排出係数!$AI$801:$AI$804,1),MATCH(BI1737,【参考】排出係数!$AL$798:$AO$798,1)),VLOOKUP(AU1737,INDEX((係数_バス貨物_ガソリン,係数_バス貨物_CNG,係数_バス貨物_軽油,係数_バス貨物_メタノール,係数_バス貨物_LPG),MATCH(AY1737,【参考】排出係数!$AI$4:$AI$671,1),1,BE1737):INDEX((係数_バス貨物_ガソリン,係数_バス貨物_CNG,係数_バス貨物_軽油,係数_バス貨物_メタノール,係数_バス貨物_LPG),MATCH(AY1737+1,【参考】排出係数!$AI$4:$AI$671,1)-1,5,BE1737),5,FALSE)),IF(AND(BE1737=3,LEFT(BF1737,1)="1"),0.055,VLOOKUP(AU1737,INDEX((係数_乗用_ガソリン,係数_乗用_CNG,係数_乗用_軽油,係数_乗用_メタノール,係数_乗用_LPG),1,1,BE1737):INDEX((係数_乗用_ガソリン,係数_乗用_CNG,係数_乗用_軽油,係数_乗用_メタノール,係数_乗用_LPG),125,5,BE1737),5,FALSE)))))</f>
        <v/>
      </c>
      <c r="AN1737" s="461" t="str">
        <f t="shared" si="996"/>
        <v/>
      </c>
      <c r="AO1737" s="462" t="str">
        <f t="shared" si="997"/>
        <v/>
      </c>
      <c r="AP1737" s="463" t="str">
        <f t="shared" si="998"/>
        <v/>
      </c>
      <c r="AQ1737" s="464"/>
      <c r="AR1737" s="619"/>
      <c r="AS1737" s="465" t="str">
        <f t="shared" si="1006"/>
        <v/>
      </c>
      <c r="AT1737" s="465" t="str">
        <f t="shared" si="1007"/>
        <v/>
      </c>
      <c r="AU1737" s="466" t="str">
        <f t="shared" si="1008"/>
        <v/>
      </c>
      <c r="AV1737" s="467" t="str">
        <f t="shared" si="1009"/>
        <v/>
      </c>
      <c r="AW1737" s="467" t="str">
        <f t="shared" si="1010"/>
        <v/>
      </c>
      <c r="AX1737" s="467" t="str">
        <f t="shared" si="1011"/>
        <v/>
      </c>
      <c r="AY1737" s="467" t="str">
        <f t="shared" si="1012"/>
        <v/>
      </c>
      <c r="AZ1737" s="467" t="str">
        <f t="shared" si="1013"/>
        <v/>
      </c>
      <c r="BA1737" s="468" t="str">
        <f>IF(AS1737="","",IF(OR(AU1737="",AU1737="-"),"－",IF(OR(AZ1737=8,AZ1737=9),"",IF(OR(AW1737=3,AW1737=4,AW1737=5,AW1737=6),VLOOKUP(AU1737,INDEX((係数_バス貨物_ガソリン,係数_バス貨物_CNG,係数_バス貨物_軽油,係数_バス貨物_メタノール,係数_バス貨物_LPG),MATCH(AY1737,【参考】排出係数!$AI$4:$AI$671,1),1,BE1737):INDEX((係数_バス貨物_ガソリン,係数_バス貨物_CNG,係数_バス貨物_軽油,係数_バス貨物_メタノール,係数_バス貨物_LPG),MATCH(AY1737+1,【参考】排出係数!$AI$4:$AI$671,1)-1,5,BE1737),2,FALSE),IF(OR(AW1737=1,AW1737=2),VLOOKUP(AU1737,INDEX((係数_乗用_ガソリン,係数_乗用_CNG,係数_乗用_軽油,係数_乗用_メタノール,係数_乗用_LPG),1,1,BE1737):INDEX((係数_乗用_ガソリン,係数_乗用_CNG,係数_乗用_軽油,係数_乗用_メタノール,係数_乗用_LPG),125,5,BE1737),2,FALSE))))))</f>
        <v/>
      </c>
      <c r="BB1737" s="468" t="str">
        <f>IF(T1737="","",IF(OR(AU1737="",AU1737="-"),"－",IF(OR(AZ1737=8,AZ1737=9),"",IF(OR(AW1737=3,AW1737=4,AW1737=5,AW1737=6),VLOOKUP(AU1737,INDEX((係数_バス貨物_ガソリン,係数_バス貨物_CNG,係数_バス貨物_軽油,係数_バス貨物_メタノール,係数_バス貨物_LPG),MATCH(AY1737,【参考】排出係数!$AI$4:$AI$671,1),1,BE1737):INDEX((係数_バス貨物_ガソリン,係数_バス貨物_CNG,係数_バス貨物_軽油,係数_バス貨物_メタノール,係数_バス貨物_LPG),MATCH(AY1737+1,【参考】排出係数!$AI$4:$AI$671,1)-1,5,BE1737),3,FALSE),IF(OR(AW1737=1,AW1737=2),VLOOKUP(AU1737,INDEX((係数_乗用_ガソリン,係数_乗用_CNG,係数_乗用_軽油,係数_乗用_メタノール,係数_乗用_LPG),1,1,BE1737):INDEX((係数_乗用_ガソリン,係数_乗用_CNG,係数_乗用_軽油,係数_乗用_メタノール,係数_乗用_LPG),125,5,BE1737),3,FALSE))))))</f>
        <v/>
      </c>
      <c r="BC1737" s="467" t="str">
        <f t="shared" si="1014"/>
        <v/>
      </c>
      <c r="BD1737" s="567" t="str">
        <f t="shared" si="1015"/>
        <v/>
      </c>
      <c r="BE1737" s="467" t="str">
        <f t="shared" si="1016"/>
        <v/>
      </c>
      <c r="BF1737" s="469" t="str">
        <f t="shared" ca="1" si="1017"/>
        <v/>
      </c>
      <c r="BG1737" s="469" t="str">
        <f t="shared" ca="1" si="1018"/>
        <v/>
      </c>
      <c r="BH1737" s="467" t="str">
        <f t="shared" si="1019"/>
        <v/>
      </c>
      <c r="BI1737" s="467" t="str">
        <f t="shared" ca="1" si="1020"/>
        <v/>
      </c>
      <c r="BJ1737" s="469" t="str">
        <f t="shared" si="1021"/>
        <v/>
      </c>
      <c r="BK1737" s="470" t="str">
        <f t="shared" si="1005"/>
        <v/>
      </c>
      <c r="BL1737" s="775" t="str">
        <f t="shared" si="1022"/>
        <v/>
      </c>
      <c r="BM1737" s="775" t="str">
        <f t="shared" si="1023"/>
        <v/>
      </c>
    </row>
    <row r="1738" spans="1:65">
      <c r="A1738" s="473">
        <v>1682</v>
      </c>
      <c r="B1738" s="132"/>
      <c r="C1738" s="332"/>
      <c r="D1738" s="333"/>
      <c r="E1738" s="333"/>
      <c r="F1738" s="334"/>
      <c r="G1738" s="337"/>
      <c r="H1738" s="131"/>
      <c r="I1738" s="337"/>
      <c r="J1738" s="131"/>
      <c r="K1738" s="458" t="str">
        <f t="shared" si="986"/>
        <v/>
      </c>
      <c r="L1738" s="458">
        <f t="shared" si="987"/>
        <v>0</v>
      </c>
      <c r="M1738" s="458">
        <f t="shared" si="988"/>
        <v>0</v>
      </c>
      <c r="N1738" s="459" t="str">
        <f t="shared" si="999"/>
        <v/>
      </c>
      <c r="O1738" s="459" t="str">
        <f t="shared" si="1000"/>
        <v/>
      </c>
      <c r="P1738" s="459" t="str">
        <f t="shared" si="1001"/>
        <v/>
      </c>
      <c r="Q1738" s="459" t="str">
        <f t="shared" si="1002"/>
        <v/>
      </c>
      <c r="R1738" s="459" t="str">
        <f t="shared" si="1003"/>
        <v/>
      </c>
      <c r="S1738" s="459" t="str">
        <f t="shared" si="1004"/>
        <v/>
      </c>
      <c r="T1738" s="566" t="str">
        <f t="shared" si="989"/>
        <v/>
      </c>
      <c r="U1738" s="702"/>
      <c r="V1738" s="132"/>
      <c r="W1738" s="133"/>
      <c r="X1738" s="134"/>
      <c r="Y1738" s="135"/>
      <c r="Z1738" s="137"/>
      <c r="AA1738" s="136"/>
      <c r="AB1738" s="566" t="str">
        <f t="shared" si="990"/>
        <v/>
      </c>
      <c r="AC1738" s="568" t="str">
        <f t="shared" si="991"/>
        <v/>
      </c>
      <c r="AD1738" s="137"/>
      <c r="AE1738" s="137"/>
      <c r="AF1738" s="138"/>
      <c r="AG1738" s="138"/>
      <c r="AH1738" s="592" t="str">
        <f t="shared" si="992"/>
        <v/>
      </c>
      <c r="AI1738" s="592" t="str">
        <f t="shared" si="993"/>
        <v/>
      </c>
      <c r="AJ1738" s="592" t="str">
        <f t="shared" si="994"/>
        <v/>
      </c>
      <c r="AK1738" s="460" t="str">
        <f>IF(AU1738="","",IF(OR(AZ1738=8,AZ1738=9),0,IF(OR(AW1738=3,AW1738=4,AW1738=5,AW1738=6),IF(LEFT(BF1738,1)="1",INDEX(係数_NOX・PM低減,MATCH(AY1738,【参考】排出係数!$AI$801:$AI$804,1),1),VLOOKUP(AU1738,INDEX((係数_バス貨物_ガソリン,係数_バス貨物_CNG,係数_バス貨物_軽油,係数_バス貨物_メタノール,係数_バス貨物_LPG),MATCH(AY1738,【参考】排出係数!$AI$4:$AI$671,1),1,BE1738):INDEX((係数_バス貨物_ガソリン,係数_バス貨物_CNG,係数_バス貨物_軽油,係数_バス貨物_メタノール,係数_バス貨物_LPG),MATCH(AY1738+1,【参考】排出係数!$AI$4:$AI$671,1)-1,5,BE1738),4,FALSE)),IF(AND(BE1738=3,LEFT(BF1738,1)="1"),0.48,VLOOKUP(AU1738,INDEX((係数_乗用_ガソリン,係数_乗用_CNG,係数_乗用_軽油,係数_乗用_メタノール,係数_乗用_LPG),1,1,BE1738):INDEX((係数_乗用_ガソリン,係数_乗用_CNG,係数_乗用_軽油,係数_乗用_メタノール,係数_乗用_LPG),125,5,BE1738),4,FALSE)))))</f>
        <v/>
      </c>
      <c r="AL1738" s="461" t="str">
        <f t="shared" si="995"/>
        <v/>
      </c>
      <c r="AM1738" s="460" t="str">
        <f>IF(AU1738="","",IF(OR(AZ1738=8,AZ1738=9),0,IF(OR(AW1738=3,AW1738=4,AW1738=5,AW1738=6),IF(LEFT(BH1738,1)="1",INDEX(係数_PM低減,MATCH(AY1738,【参考】排出係数!$AI$801:$AI$804,1),MATCH(BI1738,【参考】排出係数!$AL$798:$AO$798,1)),VLOOKUP(AU1738,INDEX((係数_バス貨物_ガソリン,係数_バス貨物_CNG,係数_バス貨物_軽油,係数_バス貨物_メタノール,係数_バス貨物_LPG),MATCH(AY1738,【参考】排出係数!$AI$4:$AI$671,1),1,BE1738):INDEX((係数_バス貨物_ガソリン,係数_バス貨物_CNG,係数_バス貨物_軽油,係数_バス貨物_メタノール,係数_バス貨物_LPG),MATCH(AY1738+1,【参考】排出係数!$AI$4:$AI$671,1)-1,5,BE1738),5,FALSE)),IF(AND(BE1738=3,LEFT(BF1738,1)="1"),0.055,VLOOKUP(AU1738,INDEX((係数_乗用_ガソリン,係数_乗用_CNG,係数_乗用_軽油,係数_乗用_メタノール,係数_乗用_LPG),1,1,BE1738):INDEX((係数_乗用_ガソリン,係数_乗用_CNG,係数_乗用_軽油,係数_乗用_メタノール,係数_乗用_LPG),125,5,BE1738),5,FALSE)))))</f>
        <v/>
      </c>
      <c r="AN1738" s="461" t="str">
        <f t="shared" si="996"/>
        <v/>
      </c>
      <c r="AO1738" s="462" t="str">
        <f t="shared" si="997"/>
        <v/>
      </c>
      <c r="AP1738" s="463" t="str">
        <f t="shared" si="998"/>
        <v/>
      </c>
      <c r="AQ1738" s="464"/>
      <c r="AR1738" s="619"/>
      <c r="AS1738" s="465" t="str">
        <f t="shared" si="1006"/>
        <v/>
      </c>
      <c r="AT1738" s="465" t="str">
        <f t="shared" si="1007"/>
        <v/>
      </c>
      <c r="AU1738" s="466" t="str">
        <f t="shared" si="1008"/>
        <v/>
      </c>
      <c r="AV1738" s="467" t="str">
        <f t="shared" si="1009"/>
        <v/>
      </c>
      <c r="AW1738" s="467" t="str">
        <f t="shared" si="1010"/>
        <v/>
      </c>
      <c r="AX1738" s="467" t="str">
        <f t="shared" si="1011"/>
        <v/>
      </c>
      <c r="AY1738" s="467" t="str">
        <f t="shared" si="1012"/>
        <v/>
      </c>
      <c r="AZ1738" s="467" t="str">
        <f t="shared" si="1013"/>
        <v/>
      </c>
      <c r="BA1738" s="468" t="str">
        <f>IF(AS1738="","",IF(OR(AU1738="",AU1738="-"),"－",IF(OR(AZ1738=8,AZ1738=9),"",IF(OR(AW1738=3,AW1738=4,AW1738=5,AW1738=6),VLOOKUP(AU1738,INDEX((係数_バス貨物_ガソリン,係数_バス貨物_CNG,係数_バス貨物_軽油,係数_バス貨物_メタノール,係数_バス貨物_LPG),MATCH(AY1738,【参考】排出係数!$AI$4:$AI$671,1),1,BE1738):INDEX((係数_バス貨物_ガソリン,係数_バス貨物_CNG,係数_バス貨物_軽油,係数_バス貨物_メタノール,係数_バス貨物_LPG),MATCH(AY1738+1,【参考】排出係数!$AI$4:$AI$671,1)-1,5,BE1738),2,FALSE),IF(OR(AW1738=1,AW1738=2),VLOOKUP(AU1738,INDEX((係数_乗用_ガソリン,係数_乗用_CNG,係数_乗用_軽油,係数_乗用_メタノール,係数_乗用_LPG),1,1,BE1738):INDEX((係数_乗用_ガソリン,係数_乗用_CNG,係数_乗用_軽油,係数_乗用_メタノール,係数_乗用_LPG),125,5,BE1738),2,FALSE))))))</f>
        <v/>
      </c>
      <c r="BB1738" s="468" t="str">
        <f>IF(T1738="","",IF(OR(AU1738="",AU1738="-"),"－",IF(OR(AZ1738=8,AZ1738=9),"",IF(OR(AW1738=3,AW1738=4,AW1738=5,AW1738=6),VLOOKUP(AU1738,INDEX((係数_バス貨物_ガソリン,係数_バス貨物_CNG,係数_バス貨物_軽油,係数_バス貨物_メタノール,係数_バス貨物_LPG),MATCH(AY1738,【参考】排出係数!$AI$4:$AI$671,1),1,BE1738):INDEX((係数_バス貨物_ガソリン,係数_バス貨物_CNG,係数_バス貨物_軽油,係数_バス貨物_メタノール,係数_バス貨物_LPG),MATCH(AY1738+1,【参考】排出係数!$AI$4:$AI$671,1)-1,5,BE1738),3,FALSE),IF(OR(AW1738=1,AW1738=2),VLOOKUP(AU1738,INDEX((係数_乗用_ガソリン,係数_乗用_CNG,係数_乗用_軽油,係数_乗用_メタノール,係数_乗用_LPG),1,1,BE1738):INDEX((係数_乗用_ガソリン,係数_乗用_CNG,係数_乗用_軽油,係数_乗用_メタノール,係数_乗用_LPG),125,5,BE1738),3,FALSE))))))</f>
        <v/>
      </c>
      <c r="BC1738" s="467" t="str">
        <f t="shared" si="1014"/>
        <v/>
      </c>
      <c r="BD1738" s="567" t="str">
        <f t="shared" si="1015"/>
        <v/>
      </c>
      <c r="BE1738" s="467" t="str">
        <f t="shared" si="1016"/>
        <v/>
      </c>
      <c r="BF1738" s="469" t="str">
        <f t="shared" ca="1" si="1017"/>
        <v/>
      </c>
      <c r="BG1738" s="469" t="str">
        <f t="shared" ca="1" si="1018"/>
        <v/>
      </c>
      <c r="BH1738" s="467" t="str">
        <f t="shared" si="1019"/>
        <v/>
      </c>
      <c r="BI1738" s="467" t="str">
        <f t="shared" ca="1" si="1020"/>
        <v/>
      </c>
      <c r="BJ1738" s="469" t="str">
        <f t="shared" si="1021"/>
        <v/>
      </c>
      <c r="BK1738" s="470" t="str">
        <f t="shared" si="1005"/>
        <v/>
      </c>
      <c r="BL1738" s="775" t="str">
        <f t="shared" si="1022"/>
        <v/>
      </c>
      <c r="BM1738" s="775" t="str">
        <f t="shared" si="1023"/>
        <v/>
      </c>
    </row>
    <row r="1739" spans="1:65">
      <c r="A1739" s="473">
        <v>1683</v>
      </c>
      <c r="B1739" s="132"/>
      <c r="C1739" s="332"/>
      <c r="D1739" s="333"/>
      <c r="E1739" s="333"/>
      <c r="F1739" s="334"/>
      <c r="G1739" s="337"/>
      <c r="H1739" s="131"/>
      <c r="I1739" s="337"/>
      <c r="J1739" s="131"/>
      <c r="K1739" s="458" t="str">
        <f t="shared" si="986"/>
        <v/>
      </c>
      <c r="L1739" s="458">
        <f t="shared" si="987"/>
        <v>0</v>
      </c>
      <c r="M1739" s="458">
        <f t="shared" si="988"/>
        <v>0</v>
      </c>
      <c r="N1739" s="459" t="str">
        <f t="shared" si="999"/>
        <v/>
      </c>
      <c r="O1739" s="459" t="str">
        <f t="shared" si="1000"/>
        <v/>
      </c>
      <c r="P1739" s="459" t="str">
        <f t="shared" si="1001"/>
        <v/>
      </c>
      <c r="Q1739" s="459" t="str">
        <f t="shared" si="1002"/>
        <v/>
      </c>
      <c r="R1739" s="459" t="str">
        <f t="shared" si="1003"/>
        <v/>
      </c>
      <c r="S1739" s="459" t="str">
        <f t="shared" si="1004"/>
        <v/>
      </c>
      <c r="T1739" s="566" t="str">
        <f t="shared" si="989"/>
        <v/>
      </c>
      <c r="U1739" s="702"/>
      <c r="V1739" s="132"/>
      <c r="W1739" s="133"/>
      <c r="X1739" s="134"/>
      <c r="Y1739" s="135"/>
      <c r="Z1739" s="137"/>
      <c r="AA1739" s="136"/>
      <c r="AB1739" s="566" t="str">
        <f t="shared" si="990"/>
        <v/>
      </c>
      <c r="AC1739" s="568" t="str">
        <f t="shared" si="991"/>
        <v/>
      </c>
      <c r="AD1739" s="137"/>
      <c r="AE1739" s="137"/>
      <c r="AF1739" s="138"/>
      <c r="AG1739" s="138"/>
      <c r="AH1739" s="592" t="str">
        <f t="shared" si="992"/>
        <v/>
      </c>
      <c r="AI1739" s="592" t="str">
        <f t="shared" si="993"/>
        <v/>
      </c>
      <c r="AJ1739" s="592" t="str">
        <f t="shared" si="994"/>
        <v/>
      </c>
      <c r="AK1739" s="460" t="str">
        <f>IF(AU1739="","",IF(OR(AZ1739=8,AZ1739=9),0,IF(OR(AW1739=3,AW1739=4,AW1739=5,AW1739=6),IF(LEFT(BF1739,1)="1",INDEX(係数_NOX・PM低減,MATCH(AY1739,【参考】排出係数!$AI$801:$AI$804,1),1),VLOOKUP(AU1739,INDEX((係数_バス貨物_ガソリン,係数_バス貨物_CNG,係数_バス貨物_軽油,係数_バス貨物_メタノール,係数_バス貨物_LPG),MATCH(AY1739,【参考】排出係数!$AI$4:$AI$671,1),1,BE1739):INDEX((係数_バス貨物_ガソリン,係数_バス貨物_CNG,係数_バス貨物_軽油,係数_バス貨物_メタノール,係数_バス貨物_LPG),MATCH(AY1739+1,【参考】排出係数!$AI$4:$AI$671,1)-1,5,BE1739),4,FALSE)),IF(AND(BE1739=3,LEFT(BF1739,1)="1"),0.48,VLOOKUP(AU1739,INDEX((係数_乗用_ガソリン,係数_乗用_CNG,係数_乗用_軽油,係数_乗用_メタノール,係数_乗用_LPG),1,1,BE1739):INDEX((係数_乗用_ガソリン,係数_乗用_CNG,係数_乗用_軽油,係数_乗用_メタノール,係数_乗用_LPG),125,5,BE1739),4,FALSE)))))</f>
        <v/>
      </c>
      <c r="AL1739" s="461" t="str">
        <f t="shared" si="995"/>
        <v/>
      </c>
      <c r="AM1739" s="460" t="str">
        <f>IF(AU1739="","",IF(OR(AZ1739=8,AZ1739=9),0,IF(OR(AW1739=3,AW1739=4,AW1739=5,AW1739=6),IF(LEFT(BH1739,1)="1",INDEX(係数_PM低減,MATCH(AY1739,【参考】排出係数!$AI$801:$AI$804,1),MATCH(BI1739,【参考】排出係数!$AL$798:$AO$798,1)),VLOOKUP(AU1739,INDEX((係数_バス貨物_ガソリン,係数_バス貨物_CNG,係数_バス貨物_軽油,係数_バス貨物_メタノール,係数_バス貨物_LPG),MATCH(AY1739,【参考】排出係数!$AI$4:$AI$671,1),1,BE1739):INDEX((係数_バス貨物_ガソリン,係数_バス貨物_CNG,係数_バス貨物_軽油,係数_バス貨物_メタノール,係数_バス貨物_LPG),MATCH(AY1739+1,【参考】排出係数!$AI$4:$AI$671,1)-1,5,BE1739),5,FALSE)),IF(AND(BE1739=3,LEFT(BF1739,1)="1"),0.055,VLOOKUP(AU1739,INDEX((係数_乗用_ガソリン,係数_乗用_CNG,係数_乗用_軽油,係数_乗用_メタノール,係数_乗用_LPG),1,1,BE1739):INDEX((係数_乗用_ガソリン,係数_乗用_CNG,係数_乗用_軽油,係数_乗用_メタノール,係数_乗用_LPG),125,5,BE1739),5,FALSE)))))</f>
        <v/>
      </c>
      <c r="AN1739" s="461" t="str">
        <f t="shared" si="996"/>
        <v/>
      </c>
      <c r="AO1739" s="462" t="str">
        <f t="shared" si="997"/>
        <v/>
      </c>
      <c r="AP1739" s="463" t="str">
        <f t="shared" si="998"/>
        <v/>
      </c>
      <c r="AQ1739" s="464"/>
      <c r="AR1739" s="619"/>
      <c r="AS1739" s="465" t="str">
        <f t="shared" si="1006"/>
        <v/>
      </c>
      <c r="AT1739" s="465" t="str">
        <f t="shared" si="1007"/>
        <v/>
      </c>
      <c r="AU1739" s="466" t="str">
        <f t="shared" si="1008"/>
        <v/>
      </c>
      <c r="AV1739" s="467" t="str">
        <f t="shared" si="1009"/>
        <v/>
      </c>
      <c r="AW1739" s="467" t="str">
        <f t="shared" si="1010"/>
        <v/>
      </c>
      <c r="AX1739" s="467" t="str">
        <f t="shared" si="1011"/>
        <v/>
      </c>
      <c r="AY1739" s="467" t="str">
        <f t="shared" si="1012"/>
        <v/>
      </c>
      <c r="AZ1739" s="467" t="str">
        <f t="shared" si="1013"/>
        <v/>
      </c>
      <c r="BA1739" s="468" t="str">
        <f>IF(AS1739="","",IF(OR(AU1739="",AU1739="-"),"－",IF(OR(AZ1739=8,AZ1739=9),"",IF(OR(AW1739=3,AW1739=4,AW1739=5,AW1739=6),VLOOKUP(AU1739,INDEX((係数_バス貨物_ガソリン,係数_バス貨物_CNG,係数_バス貨物_軽油,係数_バス貨物_メタノール,係数_バス貨物_LPG),MATCH(AY1739,【参考】排出係数!$AI$4:$AI$671,1),1,BE1739):INDEX((係数_バス貨物_ガソリン,係数_バス貨物_CNG,係数_バス貨物_軽油,係数_バス貨物_メタノール,係数_バス貨物_LPG),MATCH(AY1739+1,【参考】排出係数!$AI$4:$AI$671,1)-1,5,BE1739),2,FALSE),IF(OR(AW1739=1,AW1739=2),VLOOKUP(AU1739,INDEX((係数_乗用_ガソリン,係数_乗用_CNG,係数_乗用_軽油,係数_乗用_メタノール,係数_乗用_LPG),1,1,BE1739):INDEX((係数_乗用_ガソリン,係数_乗用_CNG,係数_乗用_軽油,係数_乗用_メタノール,係数_乗用_LPG),125,5,BE1739),2,FALSE))))))</f>
        <v/>
      </c>
      <c r="BB1739" s="468" t="str">
        <f>IF(T1739="","",IF(OR(AU1739="",AU1739="-"),"－",IF(OR(AZ1739=8,AZ1739=9),"",IF(OR(AW1739=3,AW1739=4,AW1739=5,AW1739=6),VLOOKUP(AU1739,INDEX((係数_バス貨物_ガソリン,係数_バス貨物_CNG,係数_バス貨物_軽油,係数_バス貨物_メタノール,係数_バス貨物_LPG),MATCH(AY1739,【参考】排出係数!$AI$4:$AI$671,1),1,BE1739):INDEX((係数_バス貨物_ガソリン,係数_バス貨物_CNG,係数_バス貨物_軽油,係数_バス貨物_メタノール,係数_バス貨物_LPG),MATCH(AY1739+1,【参考】排出係数!$AI$4:$AI$671,1)-1,5,BE1739),3,FALSE),IF(OR(AW1739=1,AW1739=2),VLOOKUP(AU1739,INDEX((係数_乗用_ガソリン,係数_乗用_CNG,係数_乗用_軽油,係数_乗用_メタノール,係数_乗用_LPG),1,1,BE1739):INDEX((係数_乗用_ガソリン,係数_乗用_CNG,係数_乗用_軽油,係数_乗用_メタノール,係数_乗用_LPG),125,5,BE1739),3,FALSE))))))</f>
        <v/>
      </c>
      <c r="BC1739" s="467" t="str">
        <f t="shared" si="1014"/>
        <v/>
      </c>
      <c r="BD1739" s="567" t="str">
        <f t="shared" si="1015"/>
        <v/>
      </c>
      <c r="BE1739" s="467" t="str">
        <f t="shared" si="1016"/>
        <v/>
      </c>
      <c r="BF1739" s="469" t="str">
        <f t="shared" ca="1" si="1017"/>
        <v/>
      </c>
      <c r="BG1739" s="469" t="str">
        <f t="shared" ca="1" si="1018"/>
        <v/>
      </c>
      <c r="BH1739" s="467" t="str">
        <f t="shared" si="1019"/>
        <v/>
      </c>
      <c r="BI1739" s="467" t="str">
        <f t="shared" ca="1" si="1020"/>
        <v/>
      </c>
      <c r="BJ1739" s="469" t="str">
        <f t="shared" si="1021"/>
        <v/>
      </c>
      <c r="BK1739" s="470" t="str">
        <f t="shared" si="1005"/>
        <v/>
      </c>
      <c r="BL1739" s="775" t="str">
        <f t="shared" si="1022"/>
        <v/>
      </c>
      <c r="BM1739" s="775" t="str">
        <f t="shared" si="1023"/>
        <v/>
      </c>
    </row>
    <row r="1740" spans="1:65">
      <c r="A1740" s="473">
        <v>1684</v>
      </c>
      <c r="B1740" s="132"/>
      <c r="C1740" s="332"/>
      <c r="D1740" s="333"/>
      <c r="E1740" s="333"/>
      <c r="F1740" s="334"/>
      <c r="G1740" s="337"/>
      <c r="H1740" s="131"/>
      <c r="I1740" s="337"/>
      <c r="J1740" s="131"/>
      <c r="K1740" s="458" t="str">
        <f t="shared" si="986"/>
        <v/>
      </c>
      <c r="L1740" s="458">
        <f t="shared" si="987"/>
        <v>0</v>
      </c>
      <c r="M1740" s="458">
        <f t="shared" si="988"/>
        <v>0</v>
      </c>
      <c r="N1740" s="459" t="str">
        <f t="shared" si="999"/>
        <v/>
      </c>
      <c r="O1740" s="459" t="str">
        <f t="shared" si="1000"/>
        <v/>
      </c>
      <c r="P1740" s="459" t="str">
        <f t="shared" si="1001"/>
        <v/>
      </c>
      <c r="Q1740" s="459" t="str">
        <f t="shared" si="1002"/>
        <v/>
      </c>
      <c r="R1740" s="459" t="str">
        <f t="shared" si="1003"/>
        <v/>
      </c>
      <c r="S1740" s="459" t="str">
        <f t="shared" si="1004"/>
        <v/>
      </c>
      <c r="T1740" s="566" t="str">
        <f t="shared" si="989"/>
        <v/>
      </c>
      <c r="U1740" s="702"/>
      <c r="V1740" s="132"/>
      <c r="W1740" s="133"/>
      <c r="X1740" s="134"/>
      <c r="Y1740" s="135"/>
      <c r="Z1740" s="137"/>
      <c r="AA1740" s="136"/>
      <c r="AB1740" s="566" t="str">
        <f t="shared" si="990"/>
        <v/>
      </c>
      <c r="AC1740" s="568" t="str">
        <f t="shared" si="991"/>
        <v/>
      </c>
      <c r="AD1740" s="137"/>
      <c r="AE1740" s="137"/>
      <c r="AF1740" s="138"/>
      <c r="AG1740" s="138"/>
      <c r="AH1740" s="592" t="str">
        <f t="shared" si="992"/>
        <v/>
      </c>
      <c r="AI1740" s="592" t="str">
        <f t="shared" si="993"/>
        <v/>
      </c>
      <c r="AJ1740" s="592" t="str">
        <f t="shared" si="994"/>
        <v/>
      </c>
      <c r="AK1740" s="460" t="str">
        <f>IF(AU1740="","",IF(OR(AZ1740=8,AZ1740=9),0,IF(OR(AW1740=3,AW1740=4,AW1740=5,AW1740=6),IF(LEFT(BF1740,1)="1",INDEX(係数_NOX・PM低減,MATCH(AY1740,【参考】排出係数!$AI$801:$AI$804,1),1),VLOOKUP(AU1740,INDEX((係数_バス貨物_ガソリン,係数_バス貨物_CNG,係数_バス貨物_軽油,係数_バス貨物_メタノール,係数_バス貨物_LPG),MATCH(AY1740,【参考】排出係数!$AI$4:$AI$671,1),1,BE1740):INDEX((係数_バス貨物_ガソリン,係数_バス貨物_CNG,係数_バス貨物_軽油,係数_バス貨物_メタノール,係数_バス貨物_LPG),MATCH(AY1740+1,【参考】排出係数!$AI$4:$AI$671,1)-1,5,BE1740),4,FALSE)),IF(AND(BE1740=3,LEFT(BF1740,1)="1"),0.48,VLOOKUP(AU1740,INDEX((係数_乗用_ガソリン,係数_乗用_CNG,係数_乗用_軽油,係数_乗用_メタノール,係数_乗用_LPG),1,1,BE1740):INDEX((係数_乗用_ガソリン,係数_乗用_CNG,係数_乗用_軽油,係数_乗用_メタノール,係数_乗用_LPG),125,5,BE1740),4,FALSE)))))</f>
        <v/>
      </c>
      <c r="AL1740" s="461" t="str">
        <f t="shared" si="995"/>
        <v/>
      </c>
      <c r="AM1740" s="460" t="str">
        <f>IF(AU1740="","",IF(OR(AZ1740=8,AZ1740=9),0,IF(OR(AW1740=3,AW1740=4,AW1740=5,AW1740=6),IF(LEFT(BH1740,1)="1",INDEX(係数_PM低減,MATCH(AY1740,【参考】排出係数!$AI$801:$AI$804,1),MATCH(BI1740,【参考】排出係数!$AL$798:$AO$798,1)),VLOOKUP(AU1740,INDEX((係数_バス貨物_ガソリン,係数_バス貨物_CNG,係数_バス貨物_軽油,係数_バス貨物_メタノール,係数_バス貨物_LPG),MATCH(AY1740,【参考】排出係数!$AI$4:$AI$671,1),1,BE1740):INDEX((係数_バス貨物_ガソリン,係数_バス貨物_CNG,係数_バス貨物_軽油,係数_バス貨物_メタノール,係数_バス貨物_LPG),MATCH(AY1740+1,【参考】排出係数!$AI$4:$AI$671,1)-1,5,BE1740),5,FALSE)),IF(AND(BE1740=3,LEFT(BF1740,1)="1"),0.055,VLOOKUP(AU1740,INDEX((係数_乗用_ガソリン,係数_乗用_CNG,係数_乗用_軽油,係数_乗用_メタノール,係数_乗用_LPG),1,1,BE1740):INDEX((係数_乗用_ガソリン,係数_乗用_CNG,係数_乗用_軽油,係数_乗用_メタノール,係数_乗用_LPG),125,5,BE1740),5,FALSE)))))</f>
        <v/>
      </c>
      <c r="AN1740" s="461" t="str">
        <f t="shared" si="996"/>
        <v/>
      </c>
      <c r="AO1740" s="462" t="str">
        <f t="shared" si="997"/>
        <v/>
      </c>
      <c r="AP1740" s="463" t="str">
        <f t="shared" si="998"/>
        <v/>
      </c>
      <c r="AQ1740" s="464"/>
      <c r="AR1740" s="619"/>
      <c r="AS1740" s="465" t="str">
        <f t="shared" si="1006"/>
        <v/>
      </c>
      <c r="AT1740" s="465" t="str">
        <f t="shared" si="1007"/>
        <v/>
      </c>
      <c r="AU1740" s="466" t="str">
        <f t="shared" si="1008"/>
        <v/>
      </c>
      <c r="AV1740" s="467" t="str">
        <f t="shared" si="1009"/>
        <v/>
      </c>
      <c r="AW1740" s="467" t="str">
        <f t="shared" si="1010"/>
        <v/>
      </c>
      <c r="AX1740" s="467" t="str">
        <f t="shared" si="1011"/>
        <v/>
      </c>
      <c r="AY1740" s="467" t="str">
        <f t="shared" si="1012"/>
        <v/>
      </c>
      <c r="AZ1740" s="467" t="str">
        <f t="shared" si="1013"/>
        <v/>
      </c>
      <c r="BA1740" s="468" t="str">
        <f>IF(AS1740="","",IF(OR(AU1740="",AU1740="-"),"－",IF(OR(AZ1740=8,AZ1740=9),"",IF(OR(AW1740=3,AW1740=4,AW1740=5,AW1740=6),VLOOKUP(AU1740,INDEX((係数_バス貨物_ガソリン,係数_バス貨物_CNG,係数_バス貨物_軽油,係数_バス貨物_メタノール,係数_バス貨物_LPG),MATCH(AY1740,【参考】排出係数!$AI$4:$AI$671,1),1,BE1740):INDEX((係数_バス貨物_ガソリン,係数_バス貨物_CNG,係数_バス貨物_軽油,係数_バス貨物_メタノール,係数_バス貨物_LPG),MATCH(AY1740+1,【参考】排出係数!$AI$4:$AI$671,1)-1,5,BE1740),2,FALSE),IF(OR(AW1740=1,AW1740=2),VLOOKUP(AU1740,INDEX((係数_乗用_ガソリン,係数_乗用_CNG,係数_乗用_軽油,係数_乗用_メタノール,係数_乗用_LPG),1,1,BE1740):INDEX((係数_乗用_ガソリン,係数_乗用_CNG,係数_乗用_軽油,係数_乗用_メタノール,係数_乗用_LPG),125,5,BE1740),2,FALSE))))))</f>
        <v/>
      </c>
      <c r="BB1740" s="468" t="str">
        <f>IF(T1740="","",IF(OR(AU1740="",AU1740="-"),"－",IF(OR(AZ1740=8,AZ1740=9),"",IF(OR(AW1740=3,AW1740=4,AW1740=5,AW1740=6),VLOOKUP(AU1740,INDEX((係数_バス貨物_ガソリン,係数_バス貨物_CNG,係数_バス貨物_軽油,係数_バス貨物_メタノール,係数_バス貨物_LPG),MATCH(AY1740,【参考】排出係数!$AI$4:$AI$671,1),1,BE1740):INDEX((係数_バス貨物_ガソリン,係数_バス貨物_CNG,係数_バス貨物_軽油,係数_バス貨物_メタノール,係数_バス貨物_LPG),MATCH(AY1740+1,【参考】排出係数!$AI$4:$AI$671,1)-1,5,BE1740),3,FALSE),IF(OR(AW1740=1,AW1740=2),VLOOKUP(AU1740,INDEX((係数_乗用_ガソリン,係数_乗用_CNG,係数_乗用_軽油,係数_乗用_メタノール,係数_乗用_LPG),1,1,BE1740):INDEX((係数_乗用_ガソリン,係数_乗用_CNG,係数_乗用_軽油,係数_乗用_メタノール,係数_乗用_LPG),125,5,BE1740),3,FALSE))))))</f>
        <v/>
      </c>
      <c r="BC1740" s="467" t="str">
        <f t="shared" si="1014"/>
        <v/>
      </c>
      <c r="BD1740" s="567" t="str">
        <f t="shared" si="1015"/>
        <v/>
      </c>
      <c r="BE1740" s="467" t="str">
        <f t="shared" si="1016"/>
        <v/>
      </c>
      <c r="BF1740" s="469" t="str">
        <f t="shared" ca="1" si="1017"/>
        <v/>
      </c>
      <c r="BG1740" s="469" t="str">
        <f t="shared" ca="1" si="1018"/>
        <v/>
      </c>
      <c r="BH1740" s="467" t="str">
        <f t="shared" si="1019"/>
        <v/>
      </c>
      <c r="BI1740" s="467" t="str">
        <f t="shared" ca="1" si="1020"/>
        <v/>
      </c>
      <c r="BJ1740" s="469" t="str">
        <f t="shared" si="1021"/>
        <v/>
      </c>
      <c r="BK1740" s="470" t="str">
        <f t="shared" si="1005"/>
        <v/>
      </c>
      <c r="BL1740" s="775" t="str">
        <f t="shared" si="1022"/>
        <v/>
      </c>
      <c r="BM1740" s="775" t="str">
        <f t="shared" si="1023"/>
        <v/>
      </c>
    </row>
    <row r="1741" spans="1:65">
      <c r="A1741" s="473">
        <v>1685</v>
      </c>
      <c r="B1741" s="132"/>
      <c r="C1741" s="332"/>
      <c r="D1741" s="333"/>
      <c r="E1741" s="333"/>
      <c r="F1741" s="334"/>
      <c r="G1741" s="337"/>
      <c r="H1741" s="131"/>
      <c r="I1741" s="337"/>
      <c r="J1741" s="131"/>
      <c r="K1741" s="458" t="str">
        <f t="shared" si="986"/>
        <v/>
      </c>
      <c r="L1741" s="458">
        <f t="shared" si="987"/>
        <v>0</v>
      </c>
      <c r="M1741" s="458">
        <f t="shared" si="988"/>
        <v>0</v>
      </c>
      <c r="N1741" s="459" t="str">
        <f t="shared" si="999"/>
        <v/>
      </c>
      <c r="O1741" s="459" t="str">
        <f t="shared" si="1000"/>
        <v/>
      </c>
      <c r="P1741" s="459" t="str">
        <f t="shared" si="1001"/>
        <v/>
      </c>
      <c r="Q1741" s="459" t="str">
        <f t="shared" si="1002"/>
        <v/>
      </c>
      <c r="R1741" s="459" t="str">
        <f t="shared" si="1003"/>
        <v/>
      </c>
      <c r="S1741" s="459" t="str">
        <f t="shared" si="1004"/>
        <v/>
      </c>
      <c r="T1741" s="566" t="str">
        <f t="shared" si="989"/>
        <v/>
      </c>
      <c r="U1741" s="702"/>
      <c r="V1741" s="132"/>
      <c r="W1741" s="133"/>
      <c r="X1741" s="134"/>
      <c r="Y1741" s="135"/>
      <c r="Z1741" s="137"/>
      <c r="AA1741" s="136"/>
      <c r="AB1741" s="566" t="str">
        <f t="shared" si="990"/>
        <v/>
      </c>
      <c r="AC1741" s="568" t="str">
        <f t="shared" si="991"/>
        <v/>
      </c>
      <c r="AD1741" s="137"/>
      <c r="AE1741" s="137"/>
      <c r="AF1741" s="138"/>
      <c r="AG1741" s="138"/>
      <c r="AH1741" s="592" t="str">
        <f t="shared" si="992"/>
        <v/>
      </c>
      <c r="AI1741" s="592" t="str">
        <f t="shared" si="993"/>
        <v/>
      </c>
      <c r="AJ1741" s="592" t="str">
        <f t="shared" si="994"/>
        <v/>
      </c>
      <c r="AK1741" s="460" t="str">
        <f>IF(AU1741="","",IF(OR(AZ1741=8,AZ1741=9),0,IF(OR(AW1741=3,AW1741=4,AW1741=5,AW1741=6),IF(LEFT(BF1741,1)="1",INDEX(係数_NOX・PM低減,MATCH(AY1741,【参考】排出係数!$AI$801:$AI$804,1),1),VLOOKUP(AU1741,INDEX((係数_バス貨物_ガソリン,係数_バス貨物_CNG,係数_バス貨物_軽油,係数_バス貨物_メタノール,係数_バス貨物_LPG),MATCH(AY1741,【参考】排出係数!$AI$4:$AI$671,1),1,BE1741):INDEX((係数_バス貨物_ガソリン,係数_バス貨物_CNG,係数_バス貨物_軽油,係数_バス貨物_メタノール,係数_バス貨物_LPG),MATCH(AY1741+1,【参考】排出係数!$AI$4:$AI$671,1)-1,5,BE1741),4,FALSE)),IF(AND(BE1741=3,LEFT(BF1741,1)="1"),0.48,VLOOKUP(AU1741,INDEX((係数_乗用_ガソリン,係数_乗用_CNG,係数_乗用_軽油,係数_乗用_メタノール,係数_乗用_LPG),1,1,BE1741):INDEX((係数_乗用_ガソリン,係数_乗用_CNG,係数_乗用_軽油,係数_乗用_メタノール,係数_乗用_LPG),125,5,BE1741),4,FALSE)))))</f>
        <v/>
      </c>
      <c r="AL1741" s="461" t="str">
        <f t="shared" si="995"/>
        <v/>
      </c>
      <c r="AM1741" s="460" t="str">
        <f>IF(AU1741="","",IF(OR(AZ1741=8,AZ1741=9),0,IF(OR(AW1741=3,AW1741=4,AW1741=5,AW1741=6),IF(LEFT(BH1741,1)="1",INDEX(係数_PM低減,MATCH(AY1741,【参考】排出係数!$AI$801:$AI$804,1),MATCH(BI1741,【参考】排出係数!$AL$798:$AO$798,1)),VLOOKUP(AU1741,INDEX((係数_バス貨物_ガソリン,係数_バス貨物_CNG,係数_バス貨物_軽油,係数_バス貨物_メタノール,係数_バス貨物_LPG),MATCH(AY1741,【参考】排出係数!$AI$4:$AI$671,1),1,BE1741):INDEX((係数_バス貨物_ガソリン,係数_バス貨物_CNG,係数_バス貨物_軽油,係数_バス貨物_メタノール,係数_バス貨物_LPG),MATCH(AY1741+1,【参考】排出係数!$AI$4:$AI$671,1)-1,5,BE1741),5,FALSE)),IF(AND(BE1741=3,LEFT(BF1741,1)="1"),0.055,VLOOKUP(AU1741,INDEX((係数_乗用_ガソリン,係数_乗用_CNG,係数_乗用_軽油,係数_乗用_メタノール,係数_乗用_LPG),1,1,BE1741):INDEX((係数_乗用_ガソリン,係数_乗用_CNG,係数_乗用_軽油,係数_乗用_メタノール,係数_乗用_LPG),125,5,BE1741),5,FALSE)))))</f>
        <v/>
      </c>
      <c r="AN1741" s="461" t="str">
        <f t="shared" si="996"/>
        <v/>
      </c>
      <c r="AO1741" s="462" t="str">
        <f t="shared" si="997"/>
        <v/>
      </c>
      <c r="AP1741" s="463" t="str">
        <f t="shared" si="998"/>
        <v/>
      </c>
      <c r="AQ1741" s="464"/>
      <c r="AR1741" s="619"/>
      <c r="AS1741" s="465" t="str">
        <f t="shared" si="1006"/>
        <v/>
      </c>
      <c r="AT1741" s="465" t="str">
        <f t="shared" si="1007"/>
        <v/>
      </c>
      <c r="AU1741" s="466" t="str">
        <f t="shared" si="1008"/>
        <v/>
      </c>
      <c r="AV1741" s="467" t="str">
        <f t="shared" si="1009"/>
        <v/>
      </c>
      <c r="AW1741" s="467" t="str">
        <f t="shared" si="1010"/>
        <v/>
      </c>
      <c r="AX1741" s="467" t="str">
        <f t="shared" si="1011"/>
        <v/>
      </c>
      <c r="AY1741" s="467" t="str">
        <f t="shared" si="1012"/>
        <v/>
      </c>
      <c r="AZ1741" s="467" t="str">
        <f t="shared" si="1013"/>
        <v/>
      </c>
      <c r="BA1741" s="468" t="str">
        <f>IF(AS1741="","",IF(OR(AU1741="",AU1741="-"),"－",IF(OR(AZ1741=8,AZ1741=9),"",IF(OR(AW1741=3,AW1741=4,AW1741=5,AW1741=6),VLOOKUP(AU1741,INDEX((係数_バス貨物_ガソリン,係数_バス貨物_CNG,係数_バス貨物_軽油,係数_バス貨物_メタノール,係数_バス貨物_LPG),MATCH(AY1741,【参考】排出係数!$AI$4:$AI$671,1),1,BE1741):INDEX((係数_バス貨物_ガソリン,係数_バス貨物_CNG,係数_バス貨物_軽油,係数_バス貨物_メタノール,係数_バス貨物_LPG),MATCH(AY1741+1,【参考】排出係数!$AI$4:$AI$671,1)-1,5,BE1741),2,FALSE),IF(OR(AW1741=1,AW1741=2),VLOOKUP(AU1741,INDEX((係数_乗用_ガソリン,係数_乗用_CNG,係数_乗用_軽油,係数_乗用_メタノール,係数_乗用_LPG),1,1,BE1741):INDEX((係数_乗用_ガソリン,係数_乗用_CNG,係数_乗用_軽油,係数_乗用_メタノール,係数_乗用_LPG),125,5,BE1741),2,FALSE))))))</f>
        <v/>
      </c>
      <c r="BB1741" s="468" t="str">
        <f>IF(T1741="","",IF(OR(AU1741="",AU1741="-"),"－",IF(OR(AZ1741=8,AZ1741=9),"",IF(OR(AW1741=3,AW1741=4,AW1741=5,AW1741=6),VLOOKUP(AU1741,INDEX((係数_バス貨物_ガソリン,係数_バス貨物_CNG,係数_バス貨物_軽油,係数_バス貨物_メタノール,係数_バス貨物_LPG),MATCH(AY1741,【参考】排出係数!$AI$4:$AI$671,1),1,BE1741):INDEX((係数_バス貨物_ガソリン,係数_バス貨物_CNG,係数_バス貨物_軽油,係数_バス貨物_メタノール,係数_バス貨物_LPG),MATCH(AY1741+1,【参考】排出係数!$AI$4:$AI$671,1)-1,5,BE1741),3,FALSE),IF(OR(AW1741=1,AW1741=2),VLOOKUP(AU1741,INDEX((係数_乗用_ガソリン,係数_乗用_CNG,係数_乗用_軽油,係数_乗用_メタノール,係数_乗用_LPG),1,1,BE1741):INDEX((係数_乗用_ガソリン,係数_乗用_CNG,係数_乗用_軽油,係数_乗用_メタノール,係数_乗用_LPG),125,5,BE1741),3,FALSE))))))</f>
        <v/>
      </c>
      <c r="BC1741" s="467" t="str">
        <f t="shared" si="1014"/>
        <v/>
      </c>
      <c r="BD1741" s="567" t="str">
        <f t="shared" si="1015"/>
        <v/>
      </c>
      <c r="BE1741" s="467" t="str">
        <f t="shared" si="1016"/>
        <v/>
      </c>
      <c r="BF1741" s="469" t="str">
        <f t="shared" ca="1" si="1017"/>
        <v/>
      </c>
      <c r="BG1741" s="469" t="str">
        <f t="shared" ca="1" si="1018"/>
        <v/>
      </c>
      <c r="BH1741" s="467" t="str">
        <f t="shared" si="1019"/>
        <v/>
      </c>
      <c r="BI1741" s="467" t="str">
        <f t="shared" ca="1" si="1020"/>
        <v/>
      </c>
      <c r="BJ1741" s="469" t="str">
        <f t="shared" si="1021"/>
        <v/>
      </c>
      <c r="BK1741" s="470" t="str">
        <f t="shared" si="1005"/>
        <v/>
      </c>
      <c r="BL1741" s="775" t="str">
        <f t="shared" si="1022"/>
        <v/>
      </c>
      <c r="BM1741" s="775" t="str">
        <f t="shared" si="1023"/>
        <v/>
      </c>
    </row>
    <row r="1742" spans="1:65">
      <c r="A1742" s="473">
        <v>1686</v>
      </c>
      <c r="B1742" s="132"/>
      <c r="C1742" s="332"/>
      <c r="D1742" s="333"/>
      <c r="E1742" s="333"/>
      <c r="F1742" s="334"/>
      <c r="G1742" s="337"/>
      <c r="H1742" s="131"/>
      <c r="I1742" s="337"/>
      <c r="J1742" s="131"/>
      <c r="K1742" s="458" t="str">
        <f t="shared" si="986"/>
        <v/>
      </c>
      <c r="L1742" s="458">
        <f t="shared" si="987"/>
        <v>0</v>
      </c>
      <c r="M1742" s="458">
        <f t="shared" si="988"/>
        <v>0</v>
      </c>
      <c r="N1742" s="459" t="str">
        <f t="shared" si="999"/>
        <v/>
      </c>
      <c r="O1742" s="459" t="str">
        <f t="shared" si="1000"/>
        <v/>
      </c>
      <c r="P1742" s="459" t="str">
        <f t="shared" si="1001"/>
        <v/>
      </c>
      <c r="Q1742" s="459" t="str">
        <f t="shared" si="1002"/>
        <v/>
      </c>
      <c r="R1742" s="459" t="str">
        <f t="shared" si="1003"/>
        <v/>
      </c>
      <c r="S1742" s="459" t="str">
        <f t="shared" si="1004"/>
        <v/>
      </c>
      <c r="T1742" s="566" t="str">
        <f t="shared" si="989"/>
        <v/>
      </c>
      <c r="U1742" s="702"/>
      <c r="V1742" s="132"/>
      <c r="W1742" s="133"/>
      <c r="X1742" s="134"/>
      <c r="Y1742" s="135"/>
      <c r="Z1742" s="137"/>
      <c r="AA1742" s="136"/>
      <c r="AB1742" s="566" t="str">
        <f t="shared" si="990"/>
        <v/>
      </c>
      <c r="AC1742" s="568" t="str">
        <f t="shared" si="991"/>
        <v/>
      </c>
      <c r="AD1742" s="137"/>
      <c r="AE1742" s="137"/>
      <c r="AF1742" s="138"/>
      <c r="AG1742" s="138"/>
      <c r="AH1742" s="592" t="str">
        <f t="shared" si="992"/>
        <v/>
      </c>
      <c r="AI1742" s="592" t="str">
        <f t="shared" si="993"/>
        <v/>
      </c>
      <c r="AJ1742" s="592" t="str">
        <f t="shared" si="994"/>
        <v/>
      </c>
      <c r="AK1742" s="460" t="str">
        <f>IF(AU1742="","",IF(OR(AZ1742=8,AZ1742=9),0,IF(OR(AW1742=3,AW1742=4,AW1742=5,AW1742=6),IF(LEFT(BF1742,1)="1",INDEX(係数_NOX・PM低減,MATCH(AY1742,【参考】排出係数!$AI$801:$AI$804,1),1),VLOOKUP(AU1742,INDEX((係数_バス貨物_ガソリン,係数_バス貨物_CNG,係数_バス貨物_軽油,係数_バス貨物_メタノール,係数_バス貨物_LPG),MATCH(AY1742,【参考】排出係数!$AI$4:$AI$671,1),1,BE1742):INDEX((係数_バス貨物_ガソリン,係数_バス貨物_CNG,係数_バス貨物_軽油,係数_バス貨物_メタノール,係数_バス貨物_LPG),MATCH(AY1742+1,【参考】排出係数!$AI$4:$AI$671,1)-1,5,BE1742),4,FALSE)),IF(AND(BE1742=3,LEFT(BF1742,1)="1"),0.48,VLOOKUP(AU1742,INDEX((係数_乗用_ガソリン,係数_乗用_CNG,係数_乗用_軽油,係数_乗用_メタノール,係数_乗用_LPG),1,1,BE1742):INDEX((係数_乗用_ガソリン,係数_乗用_CNG,係数_乗用_軽油,係数_乗用_メタノール,係数_乗用_LPG),125,5,BE1742),4,FALSE)))))</f>
        <v/>
      </c>
      <c r="AL1742" s="461" t="str">
        <f t="shared" si="995"/>
        <v/>
      </c>
      <c r="AM1742" s="460" t="str">
        <f>IF(AU1742="","",IF(OR(AZ1742=8,AZ1742=9),0,IF(OR(AW1742=3,AW1742=4,AW1742=5,AW1742=6),IF(LEFT(BH1742,1)="1",INDEX(係数_PM低減,MATCH(AY1742,【参考】排出係数!$AI$801:$AI$804,1),MATCH(BI1742,【参考】排出係数!$AL$798:$AO$798,1)),VLOOKUP(AU1742,INDEX((係数_バス貨物_ガソリン,係数_バス貨物_CNG,係数_バス貨物_軽油,係数_バス貨物_メタノール,係数_バス貨物_LPG),MATCH(AY1742,【参考】排出係数!$AI$4:$AI$671,1),1,BE1742):INDEX((係数_バス貨物_ガソリン,係数_バス貨物_CNG,係数_バス貨物_軽油,係数_バス貨物_メタノール,係数_バス貨物_LPG),MATCH(AY1742+1,【参考】排出係数!$AI$4:$AI$671,1)-1,5,BE1742),5,FALSE)),IF(AND(BE1742=3,LEFT(BF1742,1)="1"),0.055,VLOOKUP(AU1742,INDEX((係数_乗用_ガソリン,係数_乗用_CNG,係数_乗用_軽油,係数_乗用_メタノール,係数_乗用_LPG),1,1,BE1742):INDEX((係数_乗用_ガソリン,係数_乗用_CNG,係数_乗用_軽油,係数_乗用_メタノール,係数_乗用_LPG),125,5,BE1742),5,FALSE)))))</f>
        <v/>
      </c>
      <c r="AN1742" s="461" t="str">
        <f t="shared" si="996"/>
        <v/>
      </c>
      <c r="AO1742" s="462" t="str">
        <f t="shared" si="997"/>
        <v/>
      </c>
      <c r="AP1742" s="463" t="str">
        <f t="shared" si="998"/>
        <v/>
      </c>
      <c r="AQ1742" s="464"/>
      <c r="AR1742" s="619"/>
      <c r="AS1742" s="465" t="str">
        <f t="shared" si="1006"/>
        <v/>
      </c>
      <c r="AT1742" s="465" t="str">
        <f t="shared" si="1007"/>
        <v/>
      </c>
      <c r="AU1742" s="466" t="str">
        <f t="shared" si="1008"/>
        <v/>
      </c>
      <c r="AV1742" s="467" t="str">
        <f t="shared" si="1009"/>
        <v/>
      </c>
      <c r="AW1742" s="467" t="str">
        <f t="shared" si="1010"/>
        <v/>
      </c>
      <c r="AX1742" s="467" t="str">
        <f t="shared" si="1011"/>
        <v/>
      </c>
      <c r="AY1742" s="467" t="str">
        <f t="shared" si="1012"/>
        <v/>
      </c>
      <c r="AZ1742" s="467" t="str">
        <f t="shared" si="1013"/>
        <v/>
      </c>
      <c r="BA1742" s="468" t="str">
        <f>IF(AS1742="","",IF(OR(AU1742="",AU1742="-"),"－",IF(OR(AZ1742=8,AZ1742=9),"",IF(OR(AW1742=3,AW1742=4,AW1742=5,AW1742=6),VLOOKUP(AU1742,INDEX((係数_バス貨物_ガソリン,係数_バス貨物_CNG,係数_バス貨物_軽油,係数_バス貨物_メタノール,係数_バス貨物_LPG),MATCH(AY1742,【参考】排出係数!$AI$4:$AI$671,1),1,BE1742):INDEX((係数_バス貨物_ガソリン,係数_バス貨物_CNG,係数_バス貨物_軽油,係数_バス貨物_メタノール,係数_バス貨物_LPG),MATCH(AY1742+1,【参考】排出係数!$AI$4:$AI$671,1)-1,5,BE1742),2,FALSE),IF(OR(AW1742=1,AW1742=2),VLOOKUP(AU1742,INDEX((係数_乗用_ガソリン,係数_乗用_CNG,係数_乗用_軽油,係数_乗用_メタノール,係数_乗用_LPG),1,1,BE1742):INDEX((係数_乗用_ガソリン,係数_乗用_CNG,係数_乗用_軽油,係数_乗用_メタノール,係数_乗用_LPG),125,5,BE1742),2,FALSE))))))</f>
        <v/>
      </c>
      <c r="BB1742" s="468" t="str">
        <f>IF(T1742="","",IF(OR(AU1742="",AU1742="-"),"－",IF(OR(AZ1742=8,AZ1742=9),"",IF(OR(AW1742=3,AW1742=4,AW1742=5,AW1742=6),VLOOKUP(AU1742,INDEX((係数_バス貨物_ガソリン,係数_バス貨物_CNG,係数_バス貨物_軽油,係数_バス貨物_メタノール,係数_バス貨物_LPG),MATCH(AY1742,【参考】排出係数!$AI$4:$AI$671,1),1,BE1742):INDEX((係数_バス貨物_ガソリン,係数_バス貨物_CNG,係数_バス貨物_軽油,係数_バス貨物_メタノール,係数_バス貨物_LPG),MATCH(AY1742+1,【参考】排出係数!$AI$4:$AI$671,1)-1,5,BE1742),3,FALSE),IF(OR(AW1742=1,AW1742=2),VLOOKUP(AU1742,INDEX((係数_乗用_ガソリン,係数_乗用_CNG,係数_乗用_軽油,係数_乗用_メタノール,係数_乗用_LPG),1,1,BE1742):INDEX((係数_乗用_ガソリン,係数_乗用_CNG,係数_乗用_軽油,係数_乗用_メタノール,係数_乗用_LPG),125,5,BE1742),3,FALSE))))))</f>
        <v/>
      </c>
      <c r="BC1742" s="467" t="str">
        <f t="shared" si="1014"/>
        <v/>
      </c>
      <c r="BD1742" s="567" t="str">
        <f t="shared" si="1015"/>
        <v/>
      </c>
      <c r="BE1742" s="467" t="str">
        <f t="shared" si="1016"/>
        <v/>
      </c>
      <c r="BF1742" s="469" t="str">
        <f t="shared" ca="1" si="1017"/>
        <v/>
      </c>
      <c r="BG1742" s="469" t="str">
        <f t="shared" ca="1" si="1018"/>
        <v/>
      </c>
      <c r="BH1742" s="467" t="str">
        <f t="shared" si="1019"/>
        <v/>
      </c>
      <c r="BI1742" s="467" t="str">
        <f t="shared" ca="1" si="1020"/>
        <v/>
      </c>
      <c r="BJ1742" s="469" t="str">
        <f t="shared" si="1021"/>
        <v/>
      </c>
      <c r="BK1742" s="470" t="str">
        <f t="shared" si="1005"/>
        <v/>
      </c>
      <c r="BL1742" s="775" t="str">
        <f t="shared" si="1022"/>
        <v/>
      </c>
      <c r="BM1742" s="775" t="str">
        <f t="shared" si="1023"/>
        <v/>
      </c>
    </row>
    <row r="1743" spans="1:65">
      <c r="A1743" s="473">
        <v>1687</v>
      </c>
      <c r="B1743" s="132"/>
      <c r="C1743" s="332"/>
      <c r="D1743" s="333"/>
      <c r="E1743" s="333"/>
      <c r="F1743" s="334"/>
      <c r="G1743" s="337"/>
      <c r="H1743" s="131"/>
      <c r="I1743" s="337"/>
      <c r="J1743" s="131"/>
      <c r="K1743" s="458" t="str">
        <f t="shared" si="986"/>
        <v/>
      </c>
      <c r="L1743" s="458">
        <f t="shared" si="987"/>
        <v>0</v>
      </c>
      <c r="M1743" s="458">
        <f t="shared" si="988"/>
        <v>0</v>
      </c>
      <c r="N1743" s="459" t="str">
        <f t="shared" si="999"/>
        <v/>
      </c>
      <c r="O1743" s="459" t="str">
        <f t="shared" si="1000"/>
        <v/>
      </c>
      <c r="P1743" s="459" t="str">
        <f t="shared" si="1001"/>
        <v/>
      </c>
      <c r="Q1743" s="459" t="str">
        <f t="shared" si="1002"/>
        <v/>
      </c>
      <c r="R1743" s="459" t="str">
        <f t="shared" si="1003"/>
        <v/>
      </c>
      <c r="S1743" s="459" t="str">
        <f t="shared" si="1004"/>
        <v/>
      </c>
      <c r="T1743" s="566" t="str">
        <f t="shared" si="989"/>
        <v/>
      </c>
      <c r="U1743" s="702"/>
      <c r="V1743" s="132"/>
      <c r="W1743" s="133"/>
      <c r="X1743" s="134"/>
      <c r="Y1743" s="135"/>
      <c r="Z1743" s="137"/>
      <c r="AA1743" s="136"/>
      <c r="AB1743" s="566" t="str">
        <f t="shared" si="990"/>
        <v/>
      </c>
      <c r="AC1743" s="568" t="str">
        <f t="shared" si="991"/>
        <v/>
      </c>
      <c r="AD1743" s="137"/>
      <c r="AE1743" s="137"/>
      <c r="AF1743" s="138"/>
      <c r="AG1743" s="138"/>
      <c r="AH1743" s="592" t="str">
        <f t="shared" si="992"/>
        <v/>
      </c>
      <c r="AI1743" s="592" t="str">
        <f t="shared" si="993"/>
        <v/>
      </c>
      <c r="AJ1743" s="592" t="str">
        <f t="shared" si="994"/>
        <v/>
      </c>
      <c r="AK1743" s="460" t="str">
        <f>IF(AU1743="","",IF(OR(AZ1743=8,AZ1743=9),0,IF(OR(AW1743=3,AW1743=4,AW1743=5,AW1743=6),IF(LEFT(BF1743,1)="1",INDEX(係数_NOX・PM低減,MATCH(AY1743,【参考】排出係数!$AI$801:$AI$804,1),1),VLOOKUP(AU1743,INDEX((係数_バス貨物_ガソリン,係数_バス貨物_CNG,係数_バス貨物_軽油,係数_バス貨物_メタノール,係数_バス貨物_LPG),MATCH(AY1743,【参考】排出係数!$AI$4:$AI$671,1),1,BE1743):INDEX((係数_バス貨物_ガソリン,係数_バス貨物_CNG,係数_バス貨物_軽油,係数_バス貨物_メタノール,係数_バス貨物_LPG),MATCH(AY1743+1,【参考】排出係数!$AI$4:$AI$671,1)-1,5,BE1743),4,FALSE)),IF(AND(BE1743=3,LEFT(BF1743,1)="1"),0.48,VLOOKUP(AU1743,INDEX((係数_乗用_ガソリン,係数_乗用_CNG,係数_乗用_軽油,係数_乗用_メタノール,係数_乗用_LPG),1,1,BE1743):INDEX((係数_乗用_ガソリン,係数_乗用_CNG,係数_乗用_軽油,係数_乗用_メタノール,係数_乗用_LPG),125,5,BE1743),4,FALSE)))))</f>
        <v/>
      </c>
      <c r="AL1743" s="461" t="str">
        <f t="shared" si="995"/>
        <v/>
      </c>
      <c r="AM1743" s="460" t="str">
        <f>IF(AU1743="","",IF(OR(AZ1743=8,AZ1743=9),0,IF(OR(AW1743=3,AW1743=4,AW1743=5,AW1743=6),IF(LEFT(BH1743,1)="1",INDEX(係数_PM低減,MATCH(AY1743,【参考】排出係数!$AI$801:$AI$804,1),MATCH(BI1743,【参考】排出係数!$AL$798:$AO$798,1)),VLOOKUP(AU1743,INDEX((係数_バス貨物_ガソリン,係数_バス貨物_CNG,係数_バス貨物_軽油,係数_バス貨物_メタノール,係数_バス貨物_LPG),MATCH(AY1743,【参考】排出係数!$AI$4:$AI$671,1),1,BE1743):INDEX((係数_バス貨物_ガソリン,係数_バス貨物_CNG,係数_バス貨物_軽油,係数_バス貨物_メタノール,係数_バス貨物_LPG),MATCH(AY1743+1,【参考】排出係数!$AI$4:$AI$671,1)-1,5,BE1743),5,FALSE)),IF(AND(BE1743=3,LEFT(BF1743,1)="1"),0.055,VLOOKUP(AU1743,INDEX((係数_乗用_ガソリン,係数_乗用_CNG,係数_乗用_軽油,係数_乗用_メタノール,係数_乗用_LPG),1,1,BE1743):INDEX((係数_乗用_ガソリン,係数_乗用_CNG,係数_乗用_軽油,係数_乗用_メタノール,係数_乗用_LPG),125,5,BE1743),5,FALSE)))))</f>
        <v/>
      </c>
      <c r="AN1743" s="461" t="str">
        <f t="shared" si="996"/>
        <v/>
      </c>
      <c r="AO1743" s="462" t="str">
        <f t="shared" si="997"/>
        <v/>
      </c>
      <c r="AP1743" s="463" t="str">
        <f t="shared" si="998"/>
        <v/>
      </c>
      <c r="AQ1743" s="464"/>
      <c r="AR1743" s="619"/>
      <c r="AS1743" s="465" t="str">
        <f t="shared" si="1006"/>
        <v/>
      </c>
      <c r="AT1743" s="465" t="str">
        <f t="shared" si="1007"/>
        <v/>
      </c>
      <c r="AU1743" s="466" t="str">
        <f t="shared" si="1008"/>
        <v/>
      </c>
      <c r="AV1743" s="467" t="str">
        <f t="shared" si="1009"/>
        <v/>
      </c>
      <c r="AW1743" s="467" t="str">
        <f t="shared" si="1010"/>
        <v/>
      </c>
      <c r="AX1743" s="467" t="str">
        <f t="shared" si="1011"/>
        <v/>
      </c>
      <c r="AY1743" s="467" t="str">
        <f t="shared" si="1012"/>
        <v/>
      </c>
      <c r="AZ1743" s="467" t="str">
        <f t="shared" si="1013"/>
        <v/>
      </c>
      <c r="BA1743" s="468" t="str">
        <f>IF(AS1743="","",IF(OR(AU1743="",AU1743="-"),"－",IF(OR(AZ1743=8,AZ1743=9),"",IF(OR(AW1743=3,AW1743=4,AW1743=5,AW1743=6),VLOOKUP(AU1743,INDEX((係数_バス貨物_ガソリン,係数_バス貨物_CNG,係数_バス貨物_軽油,係数_バス貨物_メタノール,係数_バス貨物_LPG),MATCH(AY1743,【参考】排出係数!$AI$4:$AI$671,1),1,BE1743):INDEX((係数_バス貨物_ガソリン,係数_バス貨物_CNG,係数_バス貨物_軽油,係数_バス貨物_メタノール,係数_バス貨物_LPG),MATCH(AY1743+1,【参考】排出係数!$AI$4:$AI$671,1)-1,5,BE1743),2,FALSE),IF(OR(AW1743=1,AW1743=2),VLOOKUP(AU1743,INDEX((係数_乗用_ガソリン,係数_乗用_CNG,係数_乗用_軽油,係数_乗用_メタノール,係数_乗用_LPG),1,1,BE1743):INDEX((係数_乗用_ガソリン,係数_乗用_CNG,係数_乗用_軽油,係数_乗用_メタノール,係数_乗用_LPG),125,5,BE1743),2,FALSE))))))</f>
        <v/>
      </c>
      <c r="BB1743" s="468" t="str">
        <f>IF(T1743="","",IF(OR(AU1743="",AU1743="-"),"－",IF(OR(AZ1743=8,AZ1743=9),"",IF(OR(AW1743=3,AW1743=4,AW1743=5,AW1743=6),VLOOKUP(AU1743,INDEX((係数_バス貨物_ガソリン,係数_バス貨物_CNG,係数_バス貨物_軽油,係数_バス貨物_メタノール,係数_バス貨物_LPG),MATCH(AY1743,【参考】排出係数!$AI$4:$AI$671,1),1,BE1743):INDEX((係数_バス貨物_ガソリン,係数_バス貨物_CNG,係数_バス貨物_軽油,係数_バス貨物_メタノール,係数_バス貨物_LPG),MATCH(AY1743+1,【参考】排出係数!$AI$4:$AI$671,1)-1,5,BE1743),3,FALSE),IF(OR(AW1743=1,AW1743=2),VLOOKUP(AU1743,INDEX((係数_乗用_ガソリン,係数_乗用_CNG,係数_乗用_軽油,係数_乗用_メタノール,係数_乗用_LPG),1,1,BE1743):INDEX((係数_乗用_ガソリン,係数_乗用_CNG,係数_乗用_軽油,係数_乗用_メタノール,係数_乗用_LPG),125,5,BE1743),3,FALSE))))))</f>
        <v/>
      </c>
      <c r="BC1743" s="467" t="str">
        <f t="shared" si="1014"/>
        <v/>
      </c>
      <c r="BD1743" s="567" t="str">
        <f t="shared" si="1015"/>
        <v/>
      </c>
      <c r="BE1743" s="467" t="str">
        <f t="shared" si="1016"/>
        <v/>
      </c>
      <c r="BF1743" s="469" t="str">
        <f t="shared" ca="1" si="1017"/>
        <v/>
      </c>
      <c r="BG1743" s="469" t="str">
        <f t="shared" ca="1" si="1018"/>
        <v/>
      </c>
      <c r="BH1743" s="467" t="str">
        <f t="shared" si="1019"/>
        <v/>
      </c>
      <c r="BI1743" s="467" t="str">
        <f t="shared" ca="1" si="1020"/>
        <v/>
      </c>
      <c r="BJ1743" s="469" t="str">
        <f t="shared" si="1021"/>
        <v/>
      </c>
      <c r="BK1743" s="470" t="str">
        <f t="shared" si="1005"/>
        <v/>
      </c>
      <c r="BL1743" s="775" t="str">
        <f t="shared" si="1022"/>
        <v/>
      </c>
      <c r="BM1743" s="775" t="str">
        <f t="shared" si="1023"/>
        <v/>
      </c>
    </row>
    <row r="1744" spans="1:65">
      <c r="A1744" s="473">
        <v>1688</v>
      </c>
      <c r="B1744" s="132"/>
      <c r="C1744" s="332"/>
      <c r="D1744" s="333"/>
      <c r="E1744" s="333"/>
      <c r="F1744" s="334"/>
      <c r="G1744" s="337"/>
      <c r="H1744" s="131"/>
      <c r="I1744" s="337"/>
      <c r="J1744" s="131"/>
      <c r="K1744" s="458" t="str">
        <f t="shared" si="986"/>
        <v/>
      </c>
      <c r="L1744" s="458">
        <f t="shared" si="987"/>
        <v>0</v>
      </c>
      <c r="M1744" s="458">
        <f t="shared" si="988"/>
        <v>0</v>
      </c>
      <c r="N1744" s="459" t="str">
        <f t="shared" si="999"/>
        <v/>
      </c>
      <c r="O1744" s="459" t="str">
        <f t="shared" si="1000"/>
        <v/>
      </c>
      <c r="P1744" s="459" t="str">
        <f t="shared" si="1001"/>
        <v/>
      </c>
      <c r="Q1744" s="459" t="str">
        <f t="shared" si="1002"/>
        <v/>
      </c>
      <c r="R1744" s="459" t="str">
        <f t="shared" si="1003"/>
        <v/>
      </c>
      <c r="S1744" s="459" t="str">
        <f t="shared" si="1004"/>
        <v/>
      </c>
      <c r="T1744" s="566" t="str">
        <f t="shared" si="989"/>
        <v/>
      </c>
      <c r="U1744" s="702"/>
      <c r="V1744" s="132"/>
      <c r="W1744" s="133"/>
      <c r="X1744" s="134"/>
      <c r="Y1744" s="135"/>
      <c r="Z1744" s="137"/>
      <c r="AA1744" s="136"/>
      <c r="AB1744" s="566" t="str">
        <f t="shared" si="990"/>
        <v/>
      </c>
      <c r="AC1744" s="568" t="str">
        <f t="shared" si="991"/>
        <v/>
      </c>
      <c r="AD1744" s="137"/>
      <c r="AE1744" s="137"/>
      <c r="AF1744" s="138"/>
      <c r="AG1744" s="138"/>
      <c r="AH1744" s="592" t="str">
        <f t="shared" si="992"/>
        <v/>
      </c>
      <c r="AI1744" s="592" t="str">
        <f t="shared" si="993"/>
        <v/>
      </c>
      <c r="AJ1744" s="592" t="str">
        <f t="shared" si="994"/>
        <v/>
      </c>
      <c r="AK1744" s="460" t="str">
        <f>IF(AU1744="","",IF(OR(AZ1744=8,AZ1744=9),0,IF(OR(AW1744=3,AW1744=4,AW1744=5,AW1744=6),IF(LEFT(BF1744,1)="1",INDEX(係数_NOX・PM低減,MATCH(AY1744,【参考】排出係数!$AI$801:$AI$804,1),1),VLOOKUP(AU1744,INDEX((係数_バス貨物_ガソリン,係数_バス貨物_CNG,係数_バス貨物_軽油,係数_バス貨物_メタノール,係数_バス貨物_LPG),MATCH(AY1744,【参考】排出係数!$AI$4:$AI$671,1),1,BE1744):INDEX((係数_バス貨物_ガソリン,係数_バス貨物_CNG,係数_バス貨物_軽油,係数_バス貨物_メタノール,係数_バス貨物_LPG),MATCH(AY1744+1,【参考】排出係数!$AI$4:$AI$671,1)-1,5,BE1744),4,FALSE)),IF(AND(BE1744=3,LEFT(BF1744,1)="1"),0.48,VLOOKUP(AU1744,INDEX((係数_乗用_ガソリン,係数_乗用_CNG,係数_乗用_軽油,係数_乗用_メタノール,係数_乗用_LPG),1,1,BE1744):INDEX((係数_乗用_ガソリン,係数_乗用_CNG,係数_乗用_軽油,係数_乗用_メタノール,係数_乗用_LPG),125,5,BE1744),4,FALSE)))))</f>
        <v/>
      </c>
      <c r="AL1744" s="461" t="str">
        <f t="shared" si="995"/>
        <v/>
      </c>
      <c r="AM1744" s="460" t="str">
        <f>IF(AU1744="","",IF(OR(AZ1744=8,AZ1744=9),0,IF(OR(AW1744=3,AW1744=4,AW1744=5,AW1744=6),IF(LEFT(BH1744,1)="1",INDEX(係数_PM低減,MATCH(AY1744,【参考】排出係数!$AI$801:$AI$804,1),MATCH(BI1744,【参考】排出係数!$AL$798:$AO$798,1)),VLOOKUP(AU1744,INDEX((係数_バス貨物_ガソリン,係数_バス貨物_CNG,係数_バス貨物_軽油,係数_バス貨物_メタノール,係数_バス貨物_LPG),MATCH(AY1744,【参考】排出係数!$AI$4:$AI$671,1),1,BE1744):INDEX((係数_バス貨物_ガソリン,係数_バス貨物_CNG,係数_バス貨物_軽油,係数_バス貨物_メタノール,係数_バス貨物_LPG),MATCH(AY1744+1,【参考】排出係数!$AI$4:$AI$671,1)-1,5,BE1744),5,FALSE)),IF(AND(BE1744=3,LEFT(BF1744,1)="1"),0.055,VLOOKUP(AU1744,INDEX((係数_乗用_ガソリン,係数_乗用_CNG,係数_乗用_軽油,係数_乗用_メタノール,係数_乗用_LPG),1,1,BE1744):INDEX((係数_乗用_ガソリン,係数_乗用_CNG,係数_乗用_軽油,係数_乗用_メタノール,係数_乗用_LPG),125,5,BE1744),5,FALSE)))))</f>
        <v/>
      </c>
      <c r="AN1744" s="461" t="str">
        <f t="shared" si="996"/>
        <v/>
      </c>
      <c r="AO1744" s="462" t="str">
        <f t="shared" si="997"/>
        <v/>
      </c>
      <c r="AP1744" s="463" t="str">
        <f t="shared" si="998"/>
        <v/>
      </c>
      <c r="AQ1744" s="464"/>
      <c r="AR1744" s="619"/>
      <c r="AS1744" s="465" t="str">
        <f t="shared" si="1006"/>
        <v/>
      </c>
      <c r="AT1744" s="465" t="str">
        <f t="shared" si="1007"/>
        <v/>
      </c>
      <c r="AU1744" s="466" t="str">
        <f t="shared" si="1008"/>
        <v/>
      </c>
      <c r="AV1744" s="467" t="str">
        <f t="shared" si="1009"/>
        <v/>
      </c>
      <c r="AW1744" s="467" t="str">
        <f t="shared" si="1010"/>
        <v/>
      </c>
      <c r="AX1744" s="467" t="str">
        <f t="shared" si="1011"/>
        <v/>
      </c>
      <c r="AY1744" s="467" t="str">
        <f t="shared" si="1012"/>
        <v/>
      </c>
      <c r="AZ1744" s="467" t="str">
        <f t="shared" si="1013"/>
        <v/>
      </c>
      <c r="BA1744" s="468" t="str">
        <f>IF(AS1744="","",IF(OR(AU1744="",AU1744="-"),"－",IF(OR(AZ1744=8,AZ1744=9),"",IF(OR(AW1744=3,AW1744=4,AW1744=5,AW1744=6),VLOOKUP(AU1744,INDEX((係数_バス貨物_ガソリン,係数_バス貨物_CNG,係数_バス貨物_軽油,係数_バス貨物_メタノール,係数_バス貨物_LPG),MATCH(AY1744,【参考】排出係数!$AI$4:$AI$671,1),1,BE1744):INDEX((係数_バス貨物_ガソリン,係数_バス貨物_CNG,係数_バス貨物_軽油,係数_バス貨物_メタノール,係数_バス貨物_LPG),MATCH(AY1744+1,【参考】排出係数!$AI$4:$AI$671,1)-1,5,BE1744),2,FALSE),IF(OR(AW1744=1,AW1744=2),VLOOKUP(AU1744,INDEX((係数_乗用_ガソリン,係数_乗用_CNG,係数_乗用_軽油,係数_乗用_メタノール,係数_乗用_LPG),1,1,BE1744):INDEX((係数_乗用_ガソリン,係数_乗用_CNG,係数_乗用_軽油,係数_乗用_メタノール,係数_乗用_LPG),125,5,BE1744),2,FALSE))))))</f>
        <v/>
      </c>
      <c r="BB1744" s="468" t="str">
        <f>IF(T1744="","",IF(OR(AU1744="",AU1744="-"),"－",IF(OR(AZ1744=8,AZ1744=9),"",IF(OR(AW1744=3,AW1744=4,AW1744=5,AW1744=6),VLOOKUP(AU1744,INDEX((係数_バス貨物_ガソリン,係数_バス貨物_CNG,係数_バス貨物_軽油,係数_バス貨物_メタノール,係数_バス貨物_LPG),MATCH(AY1744,【参考】排出係数!$AI$4:$AI$671,1),1,BE1744):INDEX((係数_バス貨物_ガソリン,係数_バス貨物_CNG,係数_バス貨物_軽油,係数_バス貨物_メタノール,係数_バス貨物_LPG),MATCH(AY1744+1,【参考】排出係数!$AI$4:$AI$671,1)-1,5,BE1744),3,FALSE),IF(OR(AW1744=1,AW1744=2),VLOOKUP(AU1744,INDEX((係数_乗用_ガソリン,係数_乗用_CNG,係数_乗用_軽油,係数_乗用_メタノール,係数_乗用_LPG),1,1,BE1744):INDEX((係数_乗用_ガソリン,係数_乗用_CNG,係数_乗用_軽油,係数_乗用_メタノール,係数_乗用_LPG),125,5,BE1744),3,FALSE))))))</f>
        <v/>
      </c>
      <c r="BC1744" s="467" t="str">
        <f t="shared" si="1014"/>
        <v/>
      </c>
      <c r="BD1744" s="567" t="str">
        <f t="shared" si="1015"/>
        <v/>
      </c>
      <c r="BE1744" s="467" t="str">
        <f t="shared" si="1016"/>
        <v/>
      </c>
      <c r="BF1744" s="469" t="str">
        <f t="shared" ca="1" si="1017"/>
        <v/>
      </c>
      <c r="BG1744" s="469" t="str">
        <f t="shared" ca="1" si="1018"/>
        <v/>
      </c>
      <c r="BH1744" s="467" t="str">
        <f t="shared" si="1019"/>
        <v/>
      </c>
      <c r="BI1744" s="467" t="str">
        <f t="shared" ca="1" si="1020"/>
        <v/>
      </c>
      <c r="BJ1744" s="469" t="str">
        <f t="shared" si="1021"/>
        <v/>
      </c>
      <c r="BK1744" s="470" t="str">
        <f t="shared" si="1005"/>
        <v/>
      </c>
      <c r="BL1744" s="775" t="str">
        <f t="shared" si="1022"/>
        <v/>
      </c>
      <c r="BM1744" s="775" t="str">
        <f t="shared" si="1023"/>
        <v/>
      </c>
    </row>
    <row r="1745" spans="1:65">
      <c r="A1745" s="473">
        <v>1689</v>
      </c>
      <c r="B1745" s="132"/>
      <c r="C1745" s="332"/>
      <c r="D1745" s="333"/>
      <c r="E1745" s="333"/>
      <c r="F1745" s="334"/>
      <c r="G1745" s="337"/>
      <c r="H1745" s="131"/>
      <c r="I1745" s="337"/>
      <c r="J1745" s="131"/>
      <c r="K1745" s="458" t="str">
        <f t="shared" si="986"/>
        <v/>
      </c>
      <c r="L1745" s="458">
        <f t="shared" si="987"/>
        <v>0</v>
      </c>
      <c r="M1745" s="458">
        <f t="shared" si="988"/>
        <v>0</v>
      </c>
      <c r="N1745" s="459" t="str">
        <f t="shared" si="999"/>
        <v/>
      </c>
      <c r="O1745" s="459" t="str">
        <f t="shared" si="1000"/>
        <v/>
      </c>
      <c r="P1745" s="459" t="str">
        <f t="shared" si="1001"/>
        <v/>
      </c>
      <c r="Q1745" s="459" t="str">
        <f t="shared" si="1002"/>
        <v/>
      </c>
      <c r="R1745" s="459" t="str">
        <f t="shared" si="1003"/>
        <v/>
      </c>
      <c r="S1745" s="459" t="str">
        <f t="shared" si="1004"/>
        <v/>
      </c>
      <c r="T1745" s="566" t="str">
        <f t="shared" si="989"/>
        <v/>
      </c>
      <c r="U1745" s="702"/>
      <c r="V1745" s="132"/>
      <c r="W1745" s="133"/>
      <c r="X1745" s="134"/>
      <c r="Y1745" s="135"/>
      <c r="Z1745" s="137"/>
      <c r="AA1745" s="136"/>
      <c r="AB1745" s="566" t="str">
        <f t="shared" si="990"/>
        <v/>
      </c>
      <c r="AC1745" s="568" t="str">
        <f t="shared" si="991"/>
        <v/>
      </c>
      <c r="AD1745" s="137"/>
      <c r="AE1745" s="137"/>
      <c r="AF1745" s="138"/>
      <c r="AG1745" s="138"/>
      <c r="AH1745" s="592" t="str">
        <f t="shared" si="992"/>
        <v/>
      </c>
      <c r="AI1745" s="592" t="str">
        <f t="shared" si="993"/>
        <v/>
      </c>
      <c r="AJ1745" s="592" t="str">
        <f t="shared" si="994"/>
        <v/>
      </c>
      <c r="AK1745" s="460" t="str">
        <f>IF(AU1745="","",IF(OR(AZ1745=8,AZ1745=9),0,IF(OR(AW1745=3,AW1745=4,AW1745=5,AW1745=6),IF(LEFT(BF1745,1)="1",INDEX(係数_NOX・PM低減,MATCH(AY1745,【参考】排出係数!$AI$801:$AI$804,1),1),VLOOKUP(AU1745,INDEX((係数_バス貨物_ガソリン,係数_バス貨物_CNG,係数_バス貨物_軽油,係数_バス貨物_メタノール,係数_バス貨物_LPG),MATCH(AY1745,【参考】排出係数!$AI$4:$AI$671,1),1,BE1745):INDEX((係数_バス貨物_ガソリン,係数_バス貨物_CNG,係数_バス貨物_軽油,係数_バス貨物_メタノール,係数_バス貨物_LPG),MATCH(AY1745+1,【参考】排出係数!$AI$4:$AI$671,1)-1,5,BE1745),4,FALSE)),IF(AND(BE1745=3,LEFT(BF1745,1)="1"),0.48,VLOOKUP(AU1745,INDEX((係数_乗用_ガソリン,係数_乗用_CNG,係数_乗用_軽油,係数_乗用_メタノール,係数_乗用_LPG),1,1,BE1745):INDEX((係数_乗用_ガソリン,係数_乗用_CNG,係数_乗用_軽油,係数_乗用_メタノール,係数_乗用_LPG),125,5,BE1745),4,FALSE)))))</f>
        <v/>
      </c>
      <c r="AL1745" s="461" t="str">
        <f t="shared" si="995"/>
        <v/>
      </c>
      <c r="AM1745" s="460" t="str">
        <f>IF(AU1745="","",IF(OR(AZ1745=8,AZ1745=9),0,IF(OR(AW1745=3,AW1745=4,AW1745=5,AW1745=6),IF(LEFT(BH1745,1)="1",INDEX(係数_PM低減,MATCH(AY1745,【参考】排出係数!$AI$801:$AI$804,1),MATCH(BI1745,【参考】排出係数!$AL$798:$AO$798,1)),VLOOKUP(AU1745,INDEX((係数_バス貨物_ガソリン,係数_バス貨物_CNG,係数_バス貨物_軽油,係数_バス貨物_メタノール,係数_バス貨物_LPG),MATCH(AY1745,【参考】排出係数!$AI$4:$AI$671,1),1,BE1745):INDEX((係数_バス貨物_ガソリン,係数_バス貨物_CNG,係数_バス貨物_軽油,係数_バス貨物_メタノール,係数_バス貨物_LPG),MATCH(AY1745+1,【参考】排出係数!$AI$4:$AI$671,1)-1,5,BE1745),5,FALSE)),IF(AND(BE1745=3,LEFT(BF1745,1)="1"),0.055,VLOOKUP(AU1745,INDEX((係数_乗用_ガソリン,係数_乗用_CNG,係数_乗用_軽油,係数_乗用_メタノール,係数_乗用_LPG),1,1,BE1745):INDEX((係数_乗用_ガソリン,係数_乗用_CNG,係数_乗用_軽油,係数_乗用_メタノール,係数_乗用_LPG),125,5,BE1745),5,FALSE)))))</f>
        <v/>
      </c>
      <c r="AN1745" s="461" t="str">
        <f t="shared" si="996"/>
        <v/>
      </c>
      <c r="AO1745" s="462" t="str">
        <f t="shared" si="997"/>
        <v/>
      </c>
      <c r="AP1745" s="463" t="str">
        <f t="shared" si="998"/>
        <v/>
      </c>
      <c r="AQ1745" s="464"/>
      <c r="AR1745" s="619"/>
      <c r="AS1745" s="465" t="str">
        <f t="shared" si="1006"/>
        <v/>
      </c>
      <c r="AT1745" s="465" t="str">
        <f t="shared" si="1007"/>
        <v/>
      </c>
      <c r="AU1745" s="466" t="str">
        <f t="shared" si="1008"/>
        <v/>
      </c>
      <c r="AV1745" s="467" t="str">
        <f t="shared" si="1009"/>
        <v/>
      </c>
      <c r="AW1745" s="467" t="str">
        <f t="shared" si="1010"/>
        <v/>
      </c>
      <c r="AX1745" s="467" t="str">
        <f t="shared" si="1011"/>
        <v/>
      </c>
      <c r="AY1745" s="467" t="str">
        <f t="shared" si="1012"/>
        <v/>
      </c>
      <c r="AZ1745" s="467" t="str">
        <f t="shared" si="1013"/>
        <v/>
      </c>
      <c r="BA1745" s="468" t="str">
        <f>IF(AS1745="","",IF(OR(AU1745="",AU1745="-"),"－",IF(OR(AZ1745=8,AZ1745=9),"",IF(OR(AW1745=3,AW1745=4,AW1745=5,AW1745=6),VLOOKUP(AU1745,INDEX((係数_バス貨物_ガソリン,係数_バス貨物_CNG,係数_バス貨物_軽油,係数_バス貨物_メタノール,係数_バス貨物_LPG),MATCH(AY1745,【参考】排出係数!$AI$4:$AI$671,1),1,BE1745):INDEX((係数_バス貨物_ガソリン,係数_バス貨物_CNG,係数_バス貨物_軽油,係数_バス貨物_メタノール,係数_バス貨物_LPG),MATCH(AY1745+1,【参考】排出係数!$AI$4:$AI$671,1)-1,5,BE1745),2,FALSE),IF(OR(AW1745=1,AW1745=2),VLOOKUP(AU1745,INDEX((係数_乗用_ガソリン,係数_乗用_CNG,係数_乗用_軽油,係数_乗用_メタノール,係数_乗用_LPG),1,1,BE1745):INDEX((係数_乗用_ガソリン,係数_乗用_CNG,係数_乗用_軽油,係数_乗用_メタノール,係数_乗用_LPG),125,5,BE1745),2,FALSE))))))</f>
        <v/>
      </c>
      <c r="BB1745" s="468" t="str">
        <f>IF(T1745="","",IF(OR(AU1745="",AU1745="-"),"－",IF(OR(AZ1745=8,AZ1745=9),"",IF(OR(AW1745=3,AW1745=4,AW1745=5,AW1745=6),VLOOKUP(AU1745,INDEX((係数_バス貨物_ガソリン,係数_バス貨物_CNG,係数_バス貨物_軽油,係数_バス貨物_メタノール,係数_バス貨物_LPG),MATCH(AY1745,【参考】排出係数!$AI$4:$AI$671,1),1,BE1745):INDEX((係数_バス貨物_ガソリン,係数_バス貨物_CNG,係数_バス貨物_軽油,係数_バス貨物_メタノール,係数_バス貨物_LPG),MATCH(AY1745+1,【参考】排出係数!$AI$4:$AI$671,1)-1,5,BE1745),3,FALSE),IF(OR(AW1745=1,AW1745=2),VLOOKUP(AU1745,INDEX((係数_乗用_ガソリン,係数_乗用_CNG,係数_乗用_軽油,係数_乗用_メタノール,係数_乗用_LPG),1,1,BE1745):INDEX((係数_乗用_ガソリン,係数_乗用_CNG,係数_乗用_軽油,係数_乗用_メタノール,係数_乗用_LPG),125,5,BE1745),3,FALSE))))))</f>
        <v/>
      </c>
      <c r="BC1745" s="467" t="str">
        <f t="shared" si="1014"/>
        <v/>
      </c>
      <c r="BD1745" s="567" t="str">
        <f t="shared" si="1015"/>
        <v/>
      </c>
      <c r="BE1745" s="467" t="str">
        <f t="shared" si="1016"/>
        <v/>
      </c>
      <c r="BF1745" s="469" t="str">
        <f t="shared" ca="1" si="1017"/>
        <v/>
      </c>
      <c r="BG1745" s="469" t="str">
        <f t="shared" ca="1" si="1018"/>
        <v/>
      </c>
      <c r="BH1745" s="467" t="str">
        <f t="shared" si="1019"/>
        <v/>
      </c>
      <c r="BI1745" s="467" t="str">
        <f t="shared" ca="1" si="1020"/>
        <v/>
      </c>
      <c r="BJ1745" s="469" t="str">
        <f t="shared" si="1021"/>
        <v/>
      </c>
      <c r="BK1745" s="470" t="str">
        <f t="shared" si="1005"/>
        <v/>
      </c>
      <c r="BL1745" s="775" t="str">
        <f t="shared" si="1022"/>
        <v/>
      </c>
      <c r="BM1745" s="775" t="str">
        <f t="shared" si="1023"/>
        <v/>
      </c>
    </row>
    <row r="1746" spans="1:65">
      <c r="A1746" s="473">
        <v>1690</v>
      </c>
      <c r="B1746" s="132"/>
      <c r="C1746" s="332"/>
      <c r="D1746" s="333"/>
      <c r="E1746" s="333"/>
      <c r="F1746" s="334"/>
      <c r="G1746" s="337"/>
      <c r="H1746" s="131"/>
      <c r="I1746" s="337"/>
      <c r="J1746" s="131"/>
      <c r="K1746" s="458" t="str">
        <f t="shared" si="986"/>
        <v/>
      </c>
      <c r="L1746" s="458">
        <f t="shared" si="987"/>
        <v>0</v>
      </c>
      <c r="M1746" s="458">
        <f t="shared" si="988"/>
        <v>0</v>
      </c>
      <c r="N1746" s="459" t="str">
        <f t="shared" si="999"/>
        <v/>
      </c>
      <c r="O1746" s="459" t="str">
        <f t="shared" si="1000"/>
        <v/>
      </c>
      <c r="P1746" s="459" t="str">
        <f t="shared" si="1001"/>
        <v/>
      </c>
      <c r="Q1746" s="459" t="str">
        <f t="shared" si="1002"/>
        <v/>
      </c>
      <c r="R1746" s="459" t="str">
        <f t="shared" si="1003"/>
        <v/>
      </c>
      <c r="S1746" s="459" t="str">
        <f t="shared" si="1004"/>
        <v/>
      </c>
      <c r="T1746" s="566" t="str">
        <f t="shared" si="989"/>
        <v/>
      </c>
      <c r="U1746" s="702"/>
      <c r="V1746" s="132"/>
      <c r="W1746" s="133"/>
      <c r="X1746" s="134"/>
      <c r="Y1746" s="135"/>
      <c r="Z1746" s="137"/>
      <c r="AA1746" s="136"/>
      <c r="AB1746" s="566" t="str">
        <f t="shared" si="990"/>
        <v/>
      </c>
      <c r="AC1746" s="568" t="str">
        <f t="shared" si="991"/>
        <v/>
      </c>
      <c r="AD1746" s="137"/>
      <c r="AE1746" s="137"/>
      <c r="AF1746" s="138"/>
      <c r="AG1746" s="138"/>
      <c r="AH1746" s="592" t="str">
        <f t="shared" si="992"/>
        <v/>
      </c>
      <c r="AI1746" s="592" t="str">
        <f t="shared" si="993"/>
        <v/>
      </c>
      <c r="AJ1746" s="592" t="str">
        <f t="shared" si="994"/>
        <v/>
      </c>
      <c r="AK1746" s="460" t="str">
        <f>IF(AU1746="","",IF(OR(AZ1746=8,AZ1746=9),0,IF(OR(AW1746=3,AW1746=4,AW1746=5,AW1746=6),IF(LEFT(BF1746,1)="1",INDEX(係数_NOX・PM低減,MATCH(AY1746,【参考】排出係数!$AI$801:$AI$804,1),1),VLOOKUP(AU1746,INDEX((係数_バス貨物_ガソリン,係数_バス貨物_CNG,係数_バス貨物_軽油,係数_バス貨物_メタノール,係数_バス貨物_LPG),MATCH(AY1746,【参考】排出係数!$AI$4:$AI$671,1),1,BE1746):INDEX((係数_バス貨物_ガソリン,係数_バス貨物_CNG,係数_バス貨物_軽油,係数_バス貨物_メタノール,係数_バス貨物_LPG),MATCH(AY1746+1,【参考】排出係数!$AI$4:$AI$671,1)-1,5,BE1746),4,FALSE)),IF(AND(BE1746=3,LEFT(BF1746,1)="1"),0.48,VLOOKUP(AU1746,INDEX((係数_乗用_ガソリン,係数_乗用_CNG,係数_乗用_軽油,係数_乗用_メタノール,係数_乗用_LPG),1,1,BE1746):INDEX((係数_乗用_ガソリン,係数_乗用_CNG,係数_乗用_軽油,係数_乗用_メタノール,係数_乗用_LPG),125,5,BE1746),4,FALSE)))))</f>
        <v/>
      </c>
      <c r="AL1746" s="461" t="str">
        <f t="shared" si="995"/>
        <v/>
      </c>
      <c r="AM1746" s="460" t="str">
        <f>IF(AU1746="","",IF(OR(AZ1746=8,AZ1746=9),0,IF(OR(AW1746=3,AW1746=4,AW1746=5,AW1746=6),IF(LEFT(BH1746,1)="1",INDEX(係数_PM低減,MATCH(AY1746,【参考】排出係数!$AI$801:$AI$804,1),MATCH(BI1746,【参考】排出係数!$AL$798:$AO$798,1)),VLOOKUP(AU1746,INDEX((係数_バス貨物_ガソリン,係数_バス貨物_CNG,係数_バス貨物_軽油,係数_バス貨物_メタノール,係数_バス貨物_LPG),MATCH(AY1746,【参考】排出係数!$AI$4:$AI$671,1),1,BE1746):INDEX((係数_バス貨物_ガソリン,係数_バス貨物_CNG,係数_バス貨物_軽油,係数_バス貨物_メタノール,係数_バス貨物_LPG),MATCH(AY1746+1,【参考】排出係数!$AI$4:$AI$671,1)-1,5,BE1746),5,FALSE)),IF(AND(BE1746=3,LEFT(BF1746,1)="1"),0.055,VLOOKUP(AU1746,INDEX((係数_乗用_ガソリン,係数_乗用_CNG,係数_乗用_軽油,係数_乗用_メタノール,係数_乗用_LPG),1,1,BE1746):INDEX((係数_乗用_ガソリン,係数_乗用_CNG,係数_乗用_軽油,係数_乗用_メタノール,係数_乗用_LPG),125,5,BE1746),5,FALSE)))))</f>
        <v/>
      </c>
      <c r="AN1746" s="461" t="str">
        <f t="shared" si="996"/>
        <v/>
      </c>
      <c r="AO1746" s="462" t="str">
        <f t="shared" si="997"/>
        <v/>
      </c>
      <c r="AP1746" s="463" t="str">
        <f t="shared" si="998"/>
        <v/>
      </c>
      <c r="AQ1746" s="464"/>
      <c r="AR1746" s="619"/>
      <c r="AS1746" s="465" t="str">
        <f t="shared" si="1006"/>
        <v/>
      </c>
      <c r="AT1746" s="465" t="str">
        <f t="shared" si="1007"/>
        <v/>
      </c>
      <c r="AU1746" s="466" t="str">
        <f t="shared" si="1008"/>
        <v/>
      </c>
      <c r="AV1746" s="467" t="str">
        <f t="shared" si="1009"/>
        <v/>
      </c>
      <c r="AW1746" s="467" t="str">
        <f t="shared" si="1010"/>
        <v/>
      </c>
      <c r="AX1746" s="467" t="str">
        <f t="shared" si="1011"/>
        <v/>
      </c>
      <c r="AY1746" s="467" t="str">
        <f t="shared" si="1012"/>
        <v/>
      </c>
      <c r="AZ1746" s="467" t="str">
        <f t="shared" si="1013"/>
        <v/>
      </c>
      <c r="BA1746" s="468" t="str">
        <f>IF(AS1746="","",IF(OR(AU1746="",AU1746="-"),"－",IF(OR(AZ1746=8,AZ1746=9),"",IF(OR(AW1746=3,AW1746=4,AW1746=5,AW1746=6),VLOOKUP(AU1746,INDEX((係数_バス貨物_ガソリン,係数_バス貨物_CNG,係数_バス貨物_軽油,係数_バス貨物_メタノール,係数_バス貨物_LPG),MATCH(AY1746,【参考】排出係数!$AI$4:$AI$671,1),1,BE1746):INDEX((係数_バス貨物_ガソリン,係数_バス貨物_CNG,係数_バス貨物_軽油,係数_バス貨物_メタノール,係数_バス貨物_LPG),MATCH(AY1746+1,【参考】排出係数!$AI$4:$AI$671,1)-1,5,BE1746),2,FALSE),IF(OR(AW1746=1,AW1746=2),VLOOKUP(AU1746,INDEX((係数_乗用_ガソリン,係数_乗用_CNG,係数_乗用_軽油,係数_乗用_メタノール,係数_乗用_LPG),1,1,BE1746):INDEX((係数_乗用_ガソリン,係数_乗用_CNG,係数_乗用_軽油,係数_乗用_メタノール,係数_乗用_LPG),125,5,BE1746),2,FALSE))))))</f>
        <v/>
      </c>
      <c r="BB1746" s="468" t="str">
        <f>IF(T1746="","",IF(OR(AU1746="",AU1746="-"),"－",IF(OR(AZ1746=8,AZ1746=9),"",IF(OR(AW1746=3,AW1746=4,AW1746=5,AW1746=6),VLOOKUP(AU1746,INDEX((係数_バス貨物_ガソリン,係数_バス貨物_CNG,係数_バス貨物_軽油,係数_バス貨物_メタノール,係数_バス貨物_LPG),MATCH(AY1746,【参考】排出係数!$AI$4:$AI$671,1),1,BE1746):INDEX((係数_バス貨物_ガソリン,係数_バス貨物_CNG,係数_バス貨物_軽油,係数_バス貨物_メタノール,係数_バス貨物_LPG),MATCH(AY1746+1,【参考】排出係数!$AI$4:$AI$671,1)-1,5,BE1746),3,FALSE),IF(OR(AW1746=1,AW1746=2),VLOOKUP(AU1746,INDEX((係数_乗用_ガソリン,係数_乗用_CNG,係数_乗用_軽油,係数_乗用_メタノール,係数_乗用_LPG),1,1,BE1746):INDEX((係数_乗用_ガソリン,係数_乗用_CNG,係数_乗用_軽油,係数_乗用_メタノール,係数_乗用_LPG),125,5,BE1746),3,FALSE))))))</f>
        <v/>
      </c>
      <c r="BC1746" s="467" t="str">
        <f t="shared" si="1014"/>
        <v/>
      </c>
      <c r="BD1746" s="567" t="str">
        <f t="shared" si="1015"/>
        <v/>
      </c>
      <c r="BE1746" s="467" t="str">
        <f t="shared" si="1016"/>
        <v/>
      </c>
      <c r="BF1746" s="469" t="str">
        <f t="shared" ca="1" si="1017"/>
        <v/>
      </c>
      <c r="BG1746" s="469" t="str">
        <f t="shared" ca="1" si="1018"/>
        <v/>
      </c>
      <c r="BH1746" s="467" t="str">
        <f t="shared" si="1019"/>
        <v/>
      </c>
      <c r="BI1746" s="467" t="str">
        <f t="shared" ca="1" si="1020"/>
        <v/>
      </c>
      <c r="BJ1746" s="469" t="str">
        <f t="shared" si="1021"/>
        <v/>
      </c>
      <c r="BK1746" s="470" t="str">
        <f t="shared" si="1005"/>
        <v/>
      </c>
      <c r="BL1746" s="775" t="str">
        <f t="shared" si="1022"/>
        <v/>
      </c>
      <c r="BM1746" s="775" t="str">
        <f t="shared" si="1023"/>
        <v/>
      </c>
    </row>
    <row r="1747" spans="1:65">
      <c r="A1747" s="473">
        <v>1691</v>
      </c>
      <c r="B1747" s="132"/>
      <c r="C1747" s="332"/>
      <c r="D1747" s="333"/>
      <c r="E1747" s="333"/>
      <c r="F1747" s="334"/>
      <c r="G1747" s="337"/>
      <c r="H1747" s="131"/>
      <c r="I1747" s="337"/>
      <c r="J1747" s="131"/>
      <c r="K1747" s="458" t="str">
        <f t="shared" si="986"/>
        <v/>
      </c>
      <c r="L1747" s="458">
        <f t="shared" si="987"/>
        <v>0</v>
      </c>
      <c r="M1747" s="458">
        <f t="shared" si="988"/>
        <v>0</v>
      </c>
      <c r="N1747" s="459" t="str">
        <f t="shared" si="999"/>
        <v/>
      </c>
      <c r="O1747" s="459" t="str">
        <f t="shared" si="1000"/>
        <v/>
      </c>
      <c r="P1747" s="459" t="str">
        <f t="shared" si="1001"/>
        <v/>
      </c>
      <c r="Q1747" s="459" t="str">
        <f t="shared" si="1002"/>
        <v/>
      </c>
      <c r="R1747" s="459" t="str">
        <f t="shared" si="1003"/>
        <v/>
      </c>
      <c r="S1747" s="459" t="str">
        <f t="shared" si="1004"/>
        <v/>
      </c>
      <c r="T1747" s="566" t="str">
        <f t="shared" si="989"/>
        <v/>
      </c>
      <c r="U1747" s="702"/>
      <c r="V1747" s="132"/>
      <c r="W1747" s="133"/>
      <c r="X1747" s="134"/>
      <c r="Y1747" s="135"/>
      <c r="Z1747" s="137"/>
      <c r="AA1747" s="136"/>
      <c r="AB1747" s="566" t="str">
        <f t="shared" si="990"/>
        <v/>
      </c>
      <c r="AC1747" s="568" t="str">
        <f t="shared" si="991"/>
        <v/>
      </c>
      <c r="AD1747" s="137"/>
      <c r="AE1747" s="137"/>
      <c r="AF1747" s="138"/>
      <c r="AG1747" s="138"/>
      <c r="AH1747" s="592" t="str">
        <f t="shared" si="992"/>
        <v/>
      </c>
      <c r="AI1747" s="592" t="str">
        <f t="shared" si="993"/>
        <v/>
      </c>
      <c r="AJ1747" s="592" t="str">
        <f t="shared" si="994"/>
        <v/>
      </c>
      <c r="AK1747" s="460" t="str">
        <f>IF(AU1747="","",IF(OR(AZ1747=8,AZ1747=9),0,IF(OR(AW1747=3,AW1747=4,AW1747=5,AW1747=6),IF(LEFT(BF1747,1)="1",INDEX(係数_NOX・PM低減,MATCH(AY1747,【参考】排出係数!$AI$801:$AI$804,1),1),VLOOKUP(AU1747,INDEX((係数_バス貨物_ガソリン,係数_バス貨物_CNG,係数_バス貨物_軽油,係数_バス貨物_メタノール,係数_バス貨物_LPG),MATCH(AY1747,【参考】排出係数!$AI$4:$AI$671,1),1,BE1747):INDEX((係数_バス貨物_ガソリン,係数_バス貨物_CNG,係数_バス貨物_軽油,係数_バス貨物_メタノール,係数_バス貨物_LPG),MATCH(AY1747+1,【参考】排出係数!$AI$4:$AI$671,1)-1,5,BE1747),4,FALSE)),IF(AND(BE1747=3,LEFT(BF1747,1)="1"),0.48,VLOOKUP(AU1747,INDEX((係数_乗用_ガソリン,係数_乗用_CNG,係数_乗用_軽油,係数_乗用_メタノール,係数_乗用_LPG),1,1,BE1747):INDEX((係数_乗用_ガソリン,係数_乗用_CNG,係数_乗用_軽油,係数_乗用_メタノール,係数_乗用_LPG),125,5,BE1747),4,FALSE)))))</f>
        <v/>
      </c>
      <c r="AL1747" s="461" t="str">
        <f t="shared" si="995"/>
        <v/>
      </c>
      <c r="AM1747" s="460" t="str">
        <f>IF(AU1747="","",IF(OR(AZ1747=8,AZ1747=9),0,IF(OR(AW1747=3,AW1747=4,AW1747=5,AW1747=6),IF(LEFT(BH1747,1)="1",INDEX(係数_PM低減,MATCH(AY1747,【参考】排出係数!$AI$801:$AI$804,1),MATCH(BI1747,【参考】排出係数!$AL$798:$AO$798,1)),VLOOKUP(AU1747,INDEX((係数_バス貨物_ガソリン,係数_バス貨物_CNG,係数_バス貨物_軽油,係数_バス貨物_メタノール,係数_バス貨物_LPG),MATCH(AY1747,【参考】排出係数!$AI$4:$AI$671,1),1,BE1747):INDEX((係数_バス貨物_ガソリン,係数_バス貨物_CNG,係数_バス貨物_軽油,係数_バス貨物_メタノール,係数_バス貨物_LPG),MATCH(AY1747+1,【参考】排出係数!$AI$4:$AI$671,1)-1,5,BE1747),5,FALSE)),IF(AND(BE1747=3,LEFT(BF1747,1)="1"),0.055,VLOOKUP(AU1747,INDEX((係数_乗用_ガソリン,係数_乗用_CNG,係数_乗用_軽油,係数_乗用_メタノール,係数_乗用_LPG),1,1,BE1747):INDEX((係数_乗用_ガソリン,係数_乗用_CNG,係数_乗用_軽油,係数_乗用_メタノール,係数_乗用_LPG),125,5,BE1747),5,FALSE)))))</f>
        <v/>
      </c>
      <c r="AN1747" s="461" t="str">
        <f t="shared" si="996"/>
        <v/>
      </c>
      <c r="AO1747" s="462" t="str">
        <f t="shared" si="997"/>
        <v/>
      </c>
      <c r="AP1747" s="463" t="str">
        <f t="shared" si="998"/>
        <v/>
      </c>
      <c r="AQ1747" s="464"/>
      <c r="AR1747" s="619"/>
      <c r="AS1747" s="465" t="str">
        <f t="shared" si="1006"/>
        <v/>
      </c>
      <c r="AT1747" s="465" t="str">
        <f t="shared" si="1007"/>
        <v/>
      </c>
      <c r="AU1747" s="466" t="str">
        <f t="shared" si="1008"/>
        <v/>
      </c>
      <c r="AV1747" s="467" t="str">
        <f t="shared" si="1009"/>
        <v/>
      </c>
      <c r="AW1747" s="467" t="str">
        <f t="shared" si="1010"/>
        <v/>
      </c>
      <c r="AX1747" s="467" t="str">
        <f t="shared" si="1011"/>
        <v/>
      </c>
      <c r="AY1747" s="467" t="str">
        <f t="shared" si="1012"/>
        <v/>
      </c>
      <c r="AZ1747" s="467" t="str">
        <f t="shared" si="1013"/>
        <v/>
      </c>
      <c r="BA1747" s="468" t="str">
        <f>IF(AS1747="","",IF(OR(AU1747="",AU1747="-"),"－",IF(OR(AZ1747=8,AZ1747=9),"",IF(OR(AW1747=3,AW1747=4,AW1747=5,AW1747=6),VLOOKUP(AU1747,INDEX((係数_バス貨物_ガソリン,係数_バス貨物_CNG,係数_バス貨物_軽油,係数_バス貨物_メタノール,係数_バス貨物_LPG),MATCH(AY1747,【参考】排出係数!$AI$4:$AI$671,1),1,BE1747):INDEX((係数_バス貨物_ガソリン,係数_バス貨物_CNG,係数_バス貨物_軽油,係数_バス貨物_メタノール,係数_バス貨物_LPG),MATCH(AY1747+1,【参考】排出係数!$AI$4:$AI$671,1)-1,5,BE1747),2,FALSE),IF(OR(AW1747=1,AW1747=2),VLOOKUP(AU1747,INDEX((係数_乗用_ガソリン,係数_乗用_CNG,係数_乗用_軽油,係数_乗用_メタノール,係数_乗用_LPG),1,1,BE1747):INDEX((係数_乗用_ガソリン,係数_乗用_CNG,係数_乗用_軽油,係数_乗用_メタノール,係数_乗用_LPG),125,5,BE1747),2,FALSE))))))</f>
        <v/>
      </c>
      <c r="BB1747" s="468" t="str">
        <f>IF(T1747="","",IF(OR(AU1747="",AU1747="-"),"－",IF(OR(AZ1747=8,AZ1747=9),"",IF(OR(AW1747=3,AW1747=4,AW1747=5,AW1747=6),VLOOKUP(AU1747,INDEX((係数_バス貨物_ガソリン,係数_バス貨物_CNG,係数_バス貨物_軽油,係数_バス貨物_メタノール,係数_バス貨物_LPG),MATCH(AY1747,【参考】排出係数!$AI$4:$AI$671,1),1,BE1747):INDEX((係数_バス貨物_ガソリン,係数_バス貨物_CNG,係数_バス貨物_軽油,係数_バス貨物_メタノール,係数_バス貨物_LPG),MATCH(AY1747+1,【参考】排出係数!$AI$4:$AI$671,1)-1,5,BE1747),3,FALSE),IF(OR(AW1747=1,AW1747=2),VLOOKUP(AU1747,INDEX((係数_乗用_ガソリン,係数_乗用_CNG,係数_乗用_軽油,係数_乗用_メタノール,係数_乗用_LPG),1,1,BE1747):INDEX((係数_乗用_ガソリン,係数_乗用_CNG,係数_乗用_軽油,係数_乗用_メタノール,係数_乗用_LPG),125,5,BE1747),3,FALSE))))))</f>
        <v/>
      </c>
      <c r="BC1747" s="467" t="str">
        <f t="shared" si="1014"/>
        <v/>
      </c>
      <c r="BD1747" s="567" t="str">
        <f t="shared" si="1015"/>
        <v/>
      </c>
      <c r="BE1747" s="467" t="str">
        <f t="shared" si="1016"/>
        <v/>
      </c>
      <c r="BF1747" s="469" t="str">
        <f t="shared" ca="1" si="1017"/>
        <v/>
      </c>
      <c r="BG1747" s="469" t="str">
        <f t="shared" ca="1" si="1018"/>
        <v/>
      </c>
      <c r="BH1747" s="467" t="str">
        <f t="shared" si="1019"/>
        <v/>
      </c>
      <c r="BI1747" s="467" t="str">
        <f t="shared" ca="1" si="1020"/>
        <v/>
      </c>
      <c r="BJ1747" s="469" t="str">
        <f t="shared" si="1021"/>
        <v/>
      </c>
      <c r="BK1747" s="470" t="str">
        <f t="shared" si="1005"/>
        <v/>
      </c>
      <c r="BL1747" s="775" t="str">
        <f t="shared" si="1022"/>
        <v/>
      </c>
      <c r="BM1747" s="775" t="str">
        <f t="shared" si="1023"/>
        <v/>
      </c>
    </row>
    <row r="1748" spans="1:65">
      <c r="A1748" s="473">
        <v>1692</v>
      </c>
      <c r="B1748" s="132"/>
      <c r="C1748" s="332"/>
      <c r="D1748" s="333"/>
      <c r="E1748" s="333"/>
      <c r="F1748" s="334"/>
      <c r="G1748" s="337"/>
      <c r="H1748" s="131"/>
      <c r="I1748" s="337"/>
      <c r="J1748" s="131"/>
      <c r="K1748" s="458" t="str">
        <f t="shared" si="986"/>
        <v/>
      </c>
      <c r="L1748" s="458">
        <f t="shared" si="987"/>
        <v>0</v>
      </c>
      <c r="M1748" s="458">
        <f t="shared" si="988"/>
        <v>0</v>
      </c>
      <c r="N1748" s="459" t="str">
        <f t="shared" si="999"/>
        <v/>
      </c>
      <c r="O1748" s="459" t="str">
        <f t="shared" si="1000"/>
        <v/>
      </c>
      <c r="P1748" s="459" t="str">
        <f t="shared" si="1001"/>
        <v/>
      </c>
      <c r="Q1748" s="459" t="str">
        <f t="shared" si="1002"/>
        <v/>
      </c>
      <c r="R1748" s="459" t="str">
        <f t="shared" si="1003"/>
        <v/>
      </c>
      <c r="S1748" s="459" t="str">
        <f t="shared" si="1004"/>
        <v/>
      </c>
      <c r="T1748" s="566" t="str">
        <f t="shared" si="989"/>
        <v/>
      </c>
      <c r="U1748" s="702"/>
      <c r="V1748" s="132"/>
      <c r="W1748" s="133"/>
      <c r="X1748" s="134"/>
      <c r="Y1748" s="135"/>
      <c r="Z1748" s="137"/>
      <c r="AA1748" s="136"/>
      <c r="AB1748" s="566" t="str">
        <f t="shared" si="990"/>
        <v/>
      </c>
      <c r="AC1748" s="568" t="str">
        <f t="shared" si="991"/>
        <v/>
      </c>
      <c r="AD1748" s="137"/>
      <c r="AE1748" s="137"/>
      <c r="AF1748" s="138"/>
      <c r="AG1748" s="138"/>
      <c r="AH1748" s="592" t="str">
        <f t="shared" si="992"/>
        <v/>
      </c>
      <c r="AI1748" s="592" t="str">
        <f t="shared" si="993"/>
        <v/>
      </c>
      <c r="AJ1748" s="592" t="str">
        <f t="shared" si="994"/>
        <v/>
      </c>
      <c r="AK1748" s="460" t="str">
        <f>IF(AU1748="","",IF(OR(AZ1748=8,AZ1748=9),0,IF(OR(AW1748=3,AW1748=4,AW1748=5,AW1748=6),IF(LEFT(BF1748,1)="1",INDEX(係数_NOX・PM低減,MATCH(AY1748,【参考】排出係数!$AI$801:$AI$804,1),1),VLOOKUP(AU1748,INDEX((係数_バス貨物_ガソリン,係数_バス貨物_CNG,係数_バス貨物_軽油,係数_バス貨物_メタノール,係数_バス貨物_LPG),MATCH(AY1748,【参考】排出係数!$AI$4:$AI$671,1),1,BE1748):INDEX((係数_バス貨物_ガソリン,係数_バス貨物_CNG,係数_バス貨物_軽油,係数_バス貨物_メタノール,係数_バス貨物_LPG),MATCH(AY1748+1,【参考】排出係数!$AI$4:$AI$671,1)-1,5,BE1748),4,FALSE)),IF(AND(BE1748=3,LEFT(BF1748,1)="1"),0.48,VLOOKUP(AU1748,INDEX((係数_乗用_ガソリン,係数_乗用_CNG,係数_乗用_軽油,係数_乗用_メタノール,係数_乗用_LPG),1,1,BE1748):INDEX((係数_乗用_ガソリン,係数_乗用_CNG,係数_乗用_軽油,係数_乗用_メタノール,係数_乗用_LPG),125,5,BE1748),4,FALSE)))))</f>
        <v/>
      </c>
      <c r="AL1748" s="461" t="str">
        <f t="shared" si="995"/>
        <v/>
      </c>
      <c r="AM1748" s="460" t="str">
        <f>IF(AU1748="","",IF(OR(AZ1748=8,AZ1748=9),0,IF(OR(AW1748=3,AW1748=4,AW1748=5,AW1748=6),IF(LEFT(BH1748,1)="1",INDEX(係数_PM低減,MATCH(AY1748,【参考】排出係数!$AI$801:$AI$804,1),MATCH(BI1748,【参考】排出係数!$AL$798:$AO$798,1)),VLOOKUP(AU1748,INDEX((係数_バス貨物_ガソリン,係数_バス貨物_CNG,係数_バス貨物_軽油,係数_バス貨物_メタノール,係数_バス貨物_LPG),MATCH(AY1748,【参考】排出係数!$AI$4:$AI$671,1),1,BE1748):INDEX((係数_バス貨物_ガソリン,係数_バス貨物_CNG,係数_バス貨物_軽油,係数_バス貨物_メタノール,係数_バス貨物_LPG),MATCH(AY1748+1,【参考】排出係数!$AI$4:$AI$671,1)-1,5,BE1748),5,FALSE)),IF(AND(BE1748=3,LEFT(BF1748,1)="1"),0.055,VLOOKUP(AU1748,INDEX((係数_乗用_ガソリン,係数_乗用_CNG,係数_乗用_軽油,係数_乗用_メタノール,係数_乗用_LPG),1,1,BE1748):INDEX((係数_乗用_ガソリン,係数_乗用_CNG,係数_乗用_軽油,係数_乗用_メタノール,係数_乗用_LPG),125,5,BE1748),5,FALSE)))))</f>
        <v/>
      </c>
      <c r="AN1748" s="461" t="str">
        <f t="shared" si="996"/>
        <v/>
      </c>
      <c r="AO1748" s="462" t="str">
        <f t="shared" si="997"/>
        <v/>
      </c>
      <c r="AP1748" s="463" t="str">
        <f t="shared" si="998"/>
        <v/>
      </c>
      <c r="AQ1748" s="464"/>
      <c r="AR1748" s="619"/>
      <c r="AS1748" s="465" t="str">
        <f t="shared" si="1006"/>
        <v/>
      </c>
      <c r="AT1748" s="465" t="str">
        <f t="shared" si="1007"/>
        <v/>
      </c>
      <c r="AU1748" s="466" t="str">
        <f t="shared" si="1008"/>
        <v/>
      </c>
      <c r="AV1748" s="467" t="str">
        <f t="shared" si="1009"/>
        <v/>
      </c>
      <c r="AW1748" s="467" t="str">
        <f t="shared" si="1010"/>
        <v/>
      </c>
      <c r="AX1748" s="467" t="str">
        <f t="shared" si="1011"/>
        <v/>
      </c>
      <c r="AY1748" s="467" t="str">
        <f t="shared" si="1012"/>
        <v/>
      </c>
      <c r="AZ1748" s="467" t="str">
        <f t="shared" si="1013"/>
        <v/>
      </c>
      <c r="BA1748" s="468" t="str">
        <f>IF(AS1748="","",IF(OR(AU1748="",AU1748="-"),"－",IF(OR(AZ1748=8,AZ1748=9),"",IF(OR(AW1748=3,AW1748=4,AW1748=5,AW1748=6),VLOOKUP(AU1748,INDEX((係数_バス貨物_ガソリン,係数_バス貨物_CNG,係数_バス貨物_軽油,係数_バス貨物_メタノール,係数_バス貨物_LPG),MATCH(AY1748,【参考】排出係数!$AI$4:$AI$671,1),1,BE1748):INDEX((係数_バス貨物_ガソリン,係数_バス貨物_CNG,係数_バス貨物_軽油,係数_バス貨物_メタノール,係数_バス貨物_LPG),MATCH(AY1748+1,【参考】排出係数!$AI$4:$AI$671,1)-1,5,BE1748),2,FALSE),IF(OR(AW1748=1,AW1748=2),VLOOKUP(AU1748,INDEX((係数_乗用_ガソリン,係数_乗用_CNG,係数_乗用_軽油,係数_乗用_メタノール,係数_乗用_LPG),1,1,BE1748):INDEX((係数_乗用_ガソリン,係数_乗用_CNG,係数_乗用_軽油,係数_乗用_メタノール,係数_乗用_LPG),125,5,BE1748),2,FALSE))))))</f>
        <v/>
      </c>
      <c r="BB1748" s="468" t="str">
        <f>IF(T1748="","",IF(OR(AU1748="",AU1748="-"),"－",IF(OR(AZ1748=8,AZ1748=9),"",IF(OR(AW1748=3,AW1748=4,AW1748=5,AW1748=6),VLOOKUP(AU1748,INDEX((係数_バス貨物_ガソリン,係数_バス貨物_CNG,係数_バス貨物_軽油,係数_バス貨物_メタノール,係数_バス貨物_LPG),MATCH(AY1748,【参考】排出係数!$AI$4:$AI$671,1),1,BE1748):INDEX((係数_バス貨物_ガソリン,係数_バス貨物_CNG,係数_バス貨物_軽油,係数_バス貨物_メタノール,係数_バス貨物_LPG),MATCH(AY1748+1,【参考】排出係数!$AI$4:$AI$671,1)-1,5,BE1748),3,FALSE),IF(OR(AW1748=1,AW1748=2),VLOOKUP(AU1748,INDEX((係数_乗用_ガソリン,係数_乗用_CNG,係数_乗用_軽油,係数_乗用_メタノール,係数_乗用_LPG),1,1,BE1748):INDEX((係数_乗用_ガソリン,係数_乗用_CNG,係数_乗用_軽油,係数_乗用_メタノール,係数_乗用_LPG),125,5,BE1748),3,FALSE))))))</f>
        <v/>
      </c>
      <c r="BC1748" s="467" t="str">
        <f t="shared" si="1014"/>
        <v/>
      </c>
      <c r="BD1748" s="567" t="str">
        <f t="shared" si="1015"/>
        <v/>
      </c>
      <c r="BE1748" s="467" t="str">
        <f t="shared" si="1016"/>
        <v/>
      </c>
      <c r="BF1748" s="469" t="str">
        <f t="shared" ca="1" si="1017"/>
        <v/>
      </c>
      <c r="BG1748" s="469" t="str">
        <f t="shared" ca="1" si="1018"/>
        <v/>
      </c>
      <c r="BH1748" s="467" t="str">
        <f t="shared" si="1019"/>
        <v/>
      </c>
      <c r="BI1748" s="467" t="str">
        <f t="shared" ca="1" si="1020"/>
        <v/>
      </c>
      <c r="BJ1748" s="469" t="str">
        <f t="shared" si="1021"/>
        <v/>
      </c>
      <c r="BK1748" s="470" t="str">
        <f t="shared" si="1005"/>
        <v/>
      </c>
      <c r="BL1748" s="775" t="str">
        <f t="shared" si="1022"/>
        <v/>
      </c>
      <c r="BM1748" s="775" t="str">
        <f t="shared" si="1023"/>
        <v/>
      </c>
    </row>
    <row r="1749" spans="1:65">
      <c r="A1749" s="473">
        <v>1693</v>
      </c>
      <c r="B1749" s="132"/>
      <c r="C1749" s="332"/>
      <c r="D1749" s="333"/>
      <c r="E1749" s="333"/>
      <c r="F1749" s="334"/>
      <c r="G1749" s="337"/>
      <c r="H1749" s="131"/>
      <c r="I1749" s="337"/>
      <c r="J1749" s="131"/>
      <c r="K1749" s="458" t="str">
        <f t="shared" si="986"/>
        <v/>
      </c>
      <c r="L1749" s="458">
        <f t="shared" si="987"/>
        <v>0</v>
      </c>
      <c r="M1749" s="458">
        <f t="shared" si="988"/>
        <v>0</v>
      </c>
      <c r="N1749" s="459" t="str">
        <f t="shared" si="999"/>
        <v/>
      </c>
      <c r="O1749" s="459" t="str">
        <f t="shared" si="1000"/>
        <v/>
      </c>
      <c r="P1749" s="459" t="str">
        <f t="shared" si="1001"/>
        <v/>
      </c>
      <c r="Q1749" s="459" t="str">
        <f t="shared" si="1002"/>
        <v/>
      </c>
      <c r="R1749" s="459" t="str">
        <f t="shared" si="1003"/>
        <v/>
      </c>
      <c r="S1749" s="459" t="str">
        <f t="shared" si="1004"/>
        <v/>
      </c>
      <c r="T1749" s="566" t="str">
        <f t="shared" si="989"/>
        <v/>
      </c>
      <c r="U1749" s="702"/>
      <c r="V1749" s="132"/>
      <c r="W1749" s="133"/>
      <c r="X1749" s="134"/>
      <c r="Y1749" s="135"/>
      <c r="Z1749" s="137"/>
      <c r="AA1749" s="136"/>
      <c r="AB1749" s="566" t="str">
        <f t="shared" si="990"/>
        <v/>
      </c>
      <c r="AC1749" s="568" t="str">
        <f t="shared" si="991"/>
        <v/>
      </c>
      <c r="AD1749" s="137"/>
      <c r="AE1749" s="137"/>
      <c r="AF1749" s="138"/>
      <c r="AG1749" s="138"/>
      <c r="AH1749" s="592" t="str">
        <f t="shared" si="992"/>
        <v/>
      </c>
      <c r="AI1749" s="592" t="str">
        <f t="shared" si="993"/>
        <v/>
      </c>
      <c r="AJ1749" s="592" t="str">
        <f t="shared" si="994"/>
        <v/>
      </c>
      <c r="AK1749" s="460" t="str">
        <f>IF(AU1749="","",IF(OR(AZ1749=8,AZ1749=9),0,IF(OR(AW1749=3,AW1749=4,AW1749=5,AW1749=6),IF(LEFT(BF1749,1)="1",INDEX(係数_NOX・PM低減,MATCH(AY1749,【参考】排出係数!$AI$801:$AI$804,1),1),VLOOKUP(AU1749,INDEX((係数_バス貨物_ガソリン,係数_バス貨物_CNG,係数_バス貨物_軽油,係数_バス貨物_メタノール,係数_バス貨物_LPG),MATCH(AY1749,【参考】排出係数!$AI$4:$AI$671,1),1,BE1749):INDEX((係数_バス貨物_ガソリン,係数_バス貨物_CNG,係数_バス貨物_軽油,係数_バス貨物_メタノール,係数_バス貨物_LPG),MATCH(AY1749+1,【参考】排出係数!$AI$4:$AI$671,1)-1,5,BE1749),4,FALSE)),IF(AND(BE1749=3,LEFT(BF1749,1)="1"),0.48,VLOOKUP(AU1749,INDEX((係数_乗用_ガソリン,係数_乗用_CNG,係数_乗用_軽油,係数_乗用_メタノール,係数_乗用_LPG),1,1,BE1749):INDEX((係数_乗用_ガソリン,係数_乗用_CNG,係数_乗用_軽油,係数_乗用_メタノール,係数_乗用_LPG),125,5,BE1749),4,FALSE)))))</f>
        <v/>
      </c>
      <c r="AL1749" s="461" t="str">
        <f t="shared" si="995"/>
        <v/>
      </c>
      <c r="AM1749" s="460" t="str">
        <f>IF(AU1749="","",IF(OR(AZ1749=8,AZ1749=9),0,IF(OR(AW1749=3,AW1749=4,AW1749=5,AW1749=6),IF(LEFT(BH1749,1)="1",INDEX(係数_PM低減,MATCH(AY1749,【参考】排出係数!$AI$801:$AI$804,1),MATCH(BI1749,【参考】排出係数!$AL$798:$AO$798,1)),VLOOKUP(AU1749,INDEX((係数_バス貨物_ガソリン,係数_バス貨物_CNG,係数_バス貨物_軽油,係数_バス貨物_メタノール,係数_バス貨物_LPG),MATCH(AY1749,【参考】排出係数!$AI$4:$AI$671,1),1,BE1749):INDEX((係数_バス貨物_ガソリン,係数_バス貨物_CNG,係数_バス貨物_軽油,係数_バス貨物_メタノール,係数_バス貨物_LPG),MATCH(AY1749+1,【参考】排出係数!$AI$4:$AI$671,1)-1,5,BE1749),5,FALSE)),IF(AND(BE1749=3,LEFT(BF1749,1)="1"),0.055,VLOOKUP(AU1749,INDEX((係数_乗用_ガソリン,係数_乗用_CNG,係数_乗用_軽油,係数_乗用_メタノール,係数_乗用_LPG),1,1,BE1749):INDEX((係数_乗用_ガソリン,係数_乗用_CNG,係数_乗用_軽油,係数_乗用_メタノール,係数_乗用_LPG),125,5,BE1749),5,FALSE)))))</f>
        <v/>
      </c>
      <c r="AN1749" s="461" t="str">
        <f t="shared" si="996"/>
        <v/>
      </c>
      <c r="AO1749" s="462" t="str">
        <f t="shared" si="997"/>
        <v/>
      </c>
      <c r="AP1749" s="463" t="str">
        <f t="shared" si="998"/>
        <v/>
      </c>
      <c r="AQ1749" s="464"/>
      <c r="AR1749" s="619"/>
      <c r="AS1749" s="465" t="str">
        <f t="shared" si="1006"/>
        <v/>
      </c>
      <c r="AT1749" s="465" t="str">
        <f t="shared" si="1007"/>
        <v/>
      </c>
      <c r="AU1749" s="466" t="str">
        <f t="shared" si="1008"/>
        <v/>
      </c>
      <c r="AV1749" s="467" t="str">
        <f t="shared" si="1009"/>
        <v/>
      </c>
      <c r="AW1749" s="467" t="str">
        <f t="shared" si="1010"/>
        <v/>
      </c>
      <c r="AX1749" s="467" t="str">
        <f t="shared" si="1011"/>
        <v/>
      </c>
      <c r="AY1749" s="467" t="str">
        <f t="shared" si="1012"/>
        <v/>
      </c>
      <c r="AZ1749" s="467" t="str">
        <f t="shared" si="1013"/>
        <v/>
      </c>
      <c r="BA1749" s="468" t="str">
        <f>IF(AS1749="","",IF(OR(AU1749="",AU1749="-"),"－",IF(OR(AZ1749=8,AZ1749=9),"",IF(OR(AW1749=3,AW1749=4,AW1749=5,AW1749=6),VLOOKUP(AU1749,INDEX((係数_バス貨物_ガソリン,係数_バス貨物_CNG,係数_バス貨物_軽油,係数_バス貨物_メタノール,係数_バス貨物_LPG),MATCH(AY1749,【参考】排出係数!$AI$4:$AI$671,1),1,BE1749):INDEX((係数_バス貨物_ガソリン,係数_バス貨物_CNG,係数_バス貨物_軽油,係数_バス貨物_メタノール,係数_バス貨物_LPG),MATCH(AY1749+1,【参考】排出係数!$AI$4:$AI$671,1)-1,5,BE1749),2,FALSE),IF(OR(AW1749=1,AW1749=2),VLOOKUP(AU1749,INDEX((係数_乗用_ガソリン,係数_乗用_CNG,係数_乗用_軽油,係数_乗用_メタノール,係数_乗用_LPG),1,1,BE1749):INDEX((係数_乗用_ガソリン,係数_乗用_CNG,係数_乗用_軽油,係数_乗用_メタノール,係数_乗用_LPG),125,5,BE1749),2,FALSE))))))</f>
        <v/>
      </c>
      <c r="BB1749" s="468" t="str">
        <f>IF(T1749="","",IF(OR(AU1749="",AU1749="-"),"－",IF(OR(AZ1749=8,AZ1749=9),"",IF(OR(AW1749=3,AW1749=4,AW1749=5,AW1749=6),VLOOKUP(AU1749,INDEX((係数_バス貨物_ガソリン,係数_バス貨物_CNG,係数_バス貨物_軽油,係数_バス貨物_メタノール,係数_バス貨物_LPG),MATCH(AY1749,【参考】排出係数!$AI$4:$AI$671,1),1,BE1749):INDEX((係数_バス貨物_ガソリン,係数_バス貨物_CNG,係数_バス貨物_軽油,係数_バス貨物_メタノール,係数_バス貨物_LPG),MATCH(AY1749+1,【参考】排出係数!$AI$4:$AI$671,1)-1,5,BE1749),3,FALSE),IF(OR(AW1749=1,AW1749=2),VLOOKUP(AU1749,INDEX((係数_乗用_ガソリン,係数_乗用_CNG,係数_乗用_軽油,係数_乗用_メタノール,係数_乗用_LPG),1,1,BE1749):INDEX((係数_乗用_ガソリン,係数_乗用_CNG,係数_乗用_軽油,係数_乗用_メタノール,係数_乗用_LPG),125,5,BE1749),3,FALSE))))))</f>
        <v/>
      </c>
      <c r="BC1749" s="467" t="str">
        <f t="shared" si="1014"/>
        <v/>
      </c>
      <c r="BD1749" s="567" t="str">
        <f t="shared" si="1015"/>
        <v/>
      </c>
      <c r="BE1749" s="467" t="str">
        <f t="shared" si="1016"/>
        <v/>
      </c>
      <c r="BF1749" s="469" t="str">
        <f t="shared" ca="1" si="1017"/>
        <v/>
      </c>
      <c r="BG1749" s="469" t="str">
        <f t="shared" ca="1" si="1018"/>
        <v/>
      </c>
      <c r="BH1749" s="467" t="str">
        <f t="shared" si="1019"/>
        <v/>
      </c>
      <c r="BI1749" s="467" t="str">
        <f t="shared" ca="1" si="1020"/>
        <v/>
      </c>
      <c r="BJ1749" s="469" t="str">
        <f t="shared" si="1021"/>
        <v/>
      </c>
      <c r="BK1749" s="470" t="str">
        <f t="shared" si="1005"/>
        <v/>
      </c>
      <c r="BL1749" s="775" t="str">
        <f t="shared" si="1022"/>
        <v/>
      </c>
      <c r="BM1749" s="775" t="str">
        <f t="shared" si="1023"/>
        <v/>
      </c>
    </row>
    <row r="1750" spans="1:65">
      <c r="A1750" s="473">
        <v>1694</v>
      </c>
      <c r="B1750" s="132"/>
      <c r="C1750" s="332"/>
      <c r="D1750" s="333"/>
      <c r="E1750" s="333"/>
      <c r="F1750" s="334"/>
      <c r="G1750" s="337"/>
      <c r="H1750" s="131"/>
      <c r="I1750" s="337"/>
      <c r="J1750" s="131"/>
      <c r="K1750" s="458" t="str">
        <f t="shared" si="986"/>
        <v/>
      </c>
      <c r="L1750" s="458">
        <f t="shared" si="987"/>
        <v>0</v>
      </c>
      <c r="M1750" s="458">
        <f t="shared" si="988"/>
        <v>0</v>
      </c>
      <c r="N1750" s="459" t="str">
        <f t="shared" si="999"/>
        <v/>
      </c>
      <c r="O1750" s="459" t="str">
        <f t="shared" si="1000"/>
        <v/>
      </c>
      <c r="P1750" s="459" t="str">
        <f t="shared" si="1001"/>
        <v/>
      </c>
      <c r="Q1750" s="459" t="str">
        <f t="shared" si="1002"/>
        <v/>
      </c>
      <c r="R1750" s="459" t="str">
        <f t="shared" si="1003"/>
        <v/>
      </c>
      <c r="S1750" s="459" t="str">
        <f t="shared" si="1004"/>
        <v/>
      </c>
      <c r="T1750" s="566" t="str">
        <f t="shared" si="989"/>
        <v/>
      </c>
      <c r="U1750" s="702"/>
      <c r="V1750" s="132"/>
      <c r="W1750" s="133"/>
      <c r="X1750" s="134"/>
      <c r="Y1750" s="135"/>
      <c r="Z1750" s="137"/>
      <c r="AA1750" s="136"/>
      <c r="AB1750" s="566" t="str">
        <f t="shared" si="990"/>
        <v/>
      </c>
      <c r="AC1750" s="568" t="str">
        <f t="shared" si="991"/>
        <v/>
      </c>
      <c r="AD1750" s="137"/>
      <c r="AE1750" s="137"/>
      <c r="AF1750" s="138"/>
      <c r="AG1750" s="138"/>
      <c r="AH1750" s="592" t="str">
        <f t="shared" si="992"/>
        <v/>
      </c>
      <c r="AI1750" s="592" t="str">
        <f t="shared" si="993"/>
        <v/>
      </c>
      <c r="AJ1750" s="592" t="str">
        <f t="shared" si="994"/>
        <v/>
      </c>
      <c r="AK1750" s="460" t="str">
        <f>IF(AU1750="","",IF(OR(AZ1750=8,AZ1750=9),0,IF(OR(AW1750=3,AW1750=4,AW1750=5,AW1750=6),IF(LEFT(BF1750,1)="1",INDEX(係数_NOX・PM低減,MATCH(AY1750,【参考】排出係数!$AI$801:$AI$804,1),1),VLOOKUP(AU1750,INDEX((係数_バス貨物_ガソリン,係数_バス貨物_CNG,係数_バス貨物_軽油,係数_バス貨物_メタノール,係数_バス貨物_LPG),MATCH(AY1750,【参考】排出係数!$AI$4:$AI$671,1),1,BE1750):INDEX((係数_バス貨物_ガソリン,係数_バス貨物_CNG,係数_バス貨物_軽油,係数_バス貨物_メタノール,係数_バス貨物_LPG),MATCH(AY1750+1,【参考】排出係数!$AI$4:$AI$671,1)-1,5,BE1750),4,FALSE)),IF(AND(BE1750=3,LEFT(BF1750,1)="1"),0.48,VLOOKUP(AU1750,INDEX((係数_乗用_ガソリン,係数_乗用_CNG,係数_乗用_軽油,係数_乗用_メタノール,係数_乗用_LPG),1,1,BE1750):INDEX((係数_乗用_ガソリン,係数_乗用_CNG,係数_乗用_軽油,係数_乗用_メタノール,係数_乗用_LPG),125,5,BE1750),4,FALSE)))))</f>
        <v/>
      </c>
      <c r="AL1750" s="461" t="str">
        <f t="shared" si="995"/>
        <v/>
      </c>
      <c r="AM1750" s="460" t="str">
        <f>IF(AU1750="","",IF(OR(AZ1750=8,AZ1750=9),0,IF(OR(AW1750=3,AW1750=4,AW1750=5,AW1750=6),IF(LEFT(BH1750,1)="1",INDEX(係数_PM低減,MATCH(AY1750,【参考】排出係数!$AI$801:$AI$804,1),MATCH(BI1750,【参考】排出係数!$AL$798:$AO$798,1)),VLOOKUP(AU1750,INDEX((係数_バス貨物_ガソリン,係数_バス貨物_CNG,係数_バス貨物_軽油,係数_バス貨物_メタノール,係数_バス貨物_LPG),MATCH(AY1750,【参考】排出係数!$AI$4:$AI$671,1),1,BE1750):INDEX((係数_バス貨物_ガソリン,係数_バス貨物_CNG,係数_バス貨物_軽油,係数_バス貨物_メタノール,係数_バス貨物_LPG),MATCH(AY1750+1,【参考】排出係数!$AI$4:$AI$671,1)-1,5,BE1750),5,FALSE)),IF(AND(BE1750=3,LEFT(BF1750,1)="1"),0.055,VLOOKUP(AU1750,INDEX((係数_乗用_ガソリン,係数_乗用_CNG,係数_乗用_軽油,係数_乗用_メタノール,係数_乗用_LPG),1,1,BE1750):INDEX((係数_乗用_ガソリン,係数_乗用_CNG,係数_乗用_軽油,係数_乗用_メタノール,係数_乗用_LPG),125,5,BE1750),5,FALSE)))))</f>
        <v/>
      </c>
      <c r="AN1750" s="461" t="str">
        <f t="shared" si="996"/>
        <v/>
      </c>
      <c r="AO1750" s="462" t="str">
        <f t="shared" si="997"/>
        <v/>
      </c>
      <c r="AP1750" s="463" t="str">
        <f t="shared" si="998"/>
        <v/>
      </c>
      <c r="AQ1750" s="464"/>
      <c r="AR1750" s="619"/>
      <c r="AS1750" s="465" t="str">
        <f t="shared" si="1006"/>
        <v/>
      </c>
      <c r="AT1750" s="465" t="str">
        <f t="shared" si="1007"/>
        <v/>
      </c>
      <c r="AU1750" s="466" t="str">
        <f t="shared" si="1008"/>
        <v/>
      </c>
      <c r="AV1750" s="467" t="str">
        <f t="shared" si="1009"/>
        <v/>
      </c>
      <c r="AW1750" s="467" t="str">
        <f t="shared" si="1010"/>
        <v/>
      </c>
      <c r="AX1750" s="467" t="str">
        <f t="shared" si="1011"/>
        <v/>
      </c>
      <c r="AY1750" s="467" t="str">
        <f t="shared" si="1012"/>
        <v/>
      </c>
      <c r="AZ1750" s="467" t="str">
        <f t="shared" si="1013"/>
        <v/>
      </c>
      <c r="BA1750" s="468" t="str">
        <f>IF(AS1750="","",IF(OR(AU1750="",AU1750="-"),"－",IF(OR(AZ1750=8,AZ1750=9),"",IF(OR(AW1750=3,AW1750=4,AW1750=5,AW1750=6),VLOOKUP(AU1750,INDEX((係数_バス貨物_ガソリン,係数_バス貨物_CNG,係数_バス貨物_軽油,係数_バス貨物_メタノール,係数_バス貨物_LPG),MATCH(AY1750,【参考】排出係数!$AI$4:$AI$671,1),1,BE1750):INDEX((係数_バス貨物_ガソリン,係数_バス貨物_CNG,係数_バス貨物_軽油,係数_バス貨物_メタノール,係数_バス貨物_LPG),MATCH(AY1750+1,【参考】排出係数!$AI$4:$AI$671,1)-1,5,BE1750),2,FALSE),IF(OR(AW1750=1,AW1750=2),VLOOKUP(AU1750,INDEX((係数_乗用_ガソリン,係数_乗用_CNG,係数_乗用_軽油,係数_乗用_メタノール,係数_乗用_LPG),1,1,BE1750):INDEX((係数_乗用_ガソリン,係数_乗用_CNG,係数_乗用_軽油,係数_乗用_メタノール,係数_乗用_LPG),125,5,BE1750),2,FALSE))))))</f>
        <v/>
      </c>
      <c r="BB1750" s="468" t="str">
        <f>IF(T1750="","",IF(OR(AU1750="",AU1750="-"),"－",IF(OR(AZ1750=8,AZ1750=9),"",IF(OR(AW1750=3,AW1750=4,AW1750=5,AW1750=6),VLOOKUP(AU1750,INDEX((係数_バス貨物_ガソリン,係数_バス貨物_CNG,係数_バス貨物_軽油,係数_バス貨物_メタノール,係数_バス貨物_LPG),MATCH(AY1750,【参考】排出係数!$AI$4:$AI$671,1),1,BE1750):INDEX((係数_バス貨物_ガソリン,係数_バス貨物_CNG,係数_バス貨物_軽油,係数_バス貨物_メタノール,係数_バス貨物_LPG),MATCH(AY1750+1,【参考】排出係数!$AI$4:$AI$671,1)-1,5,BE1750),3,FALSE),IF(OR(AW1750=1,AW1750=2),VLOOKUP(AU1750,INDEX((係数_乗用_ガソリン,係数_乗用_CNG,係数_乗用_軽油,係数_乗用_メタノール,係数_乗用_LPG),1,1,BE1750):INDEX((係数_乗用_ガソリン,係数_乗用_CNG,係数_乗用_軽油,係数_乗用_メタノール,係数_乗用_LPG),125,5,BE1750),3,FALSE))))))</f>
        <v/>
      </c>
      <c r="BC1750" s="467" t="str">
        <f t="shared" si="1014"/>
        <v/>
      </c>
      <c r="BD1750" s="567" t="str">
        <f t="shared" si="1015"/>
        <v/>
      </c>
      <c r="BE1750" s="467" t="str">
        <f t="shared" si="1016"/>
        <v/>
      </c>
      <c r="BF1750" s="469" t="str">
        <f t="shared" ca="1" si="1017"/>
        <v/>
      </c>
      <c r="BG1750" s="469" t="str">
        <f t="shared" ca="1" si="1018"/>
        <v/>
      </c>
      <c r="BH1750" s="467" t="str">
        <f t="shared" si="1019"/>
        <v/>
      </c>
      <c r="BI1750" s="467" t="str">
        <f t="shared" ca="1" si="1020"/>
        <v/>
      </c>
      <c r="BJ1750" s="469" t="str">
        <f t="shared" si="1021"/>
        <v/>
      </c>
      <c r="BK1750" s="470" t="str">
        <f t="shared" si="1005"/>
        <v/>
      </c>
      <c r="BL1750" s="775" t="str">
        <f t="shared" si="1022"/>
        <v/>
      </c>
      <c r="BM1750" s="775" t="str">
        <f t="shared" si="1023"/>
        <v/>
      </c>
    </row>
    <row r="1751" spans="1:65">
      <c r="A1751" s="473">
        <v>1695</v>
      </c>
      <c r="B1751" s="132"/>
      <c r="C1751" s="332"/>
      <c r="D1751" s="333"/>
      <c r="E1751" s="333"/>
      <c r="F1751" s="334"/>
      <c r="G1751" s="337"/>
      <c r="H1751" s="131"/>
      <c r="I1751" s="337"/>
      <c r="J1751" s="131"/>
      <c r="K1751" s="458" t="str">
        <f t="shared" si="986"/>
        <v/>
      </c>
      <c r="L1751" s="458">
        <f t="shared" si="987"/>
        <v>0</v>
      </c>
      <c r="M1751" s="458">
        <f t="shared" si="988"/>
        <v>0</v>
      </c>
      <c r="N1751" s="459" t="str">
        <f t="shared" si="999"/>
        <v/>
      </c>
      <c r="O1751" s="459" t="str">
        <f t="shared" si="1000"/>
        <v/>
      </c>
      <c r="P1751" s="459" t="str">
        <f t="shared" si="1001"/>
        <v/>
      </c>
      <c r="Q1751" s="459" t="str">
        <f t="shared" si="1002"/>
        <v/>
      </c>
      <c r="R1751" s="459" t="str">
        <f t="shared" si="1003"/>
        <v/>
      </c>
      <c r="S1751" s="459" t="str">
        <f t="shared" si="1004"/>
        <v/>
      </c>
      <c r="T1751" s="566" t="str">
        <f t="shared" si="989"/>
        <v/>
      </c>
      <c r="U1751" s="702"/>
      <c r="V1751" s="132"/>
      <c r="W1751" s="133"/>
      <c r="X1751" s="134"/>
      <c r="Y1751" s="135"/>
      <c r="Z1751" s="137"/>
      <c r="AA1751" s="136"/>
      <c r="AB1751" s="566" t="str">
        <f t="shared" si="990"/>
        <v/>
      </c>
      <c r="AC1751" s="568" t="str">
        <f t="shared" si="991"/>
        <v/>
      </c>
      <c r="AD1751" s="137"/>
      <c r="AE1751" s="137"/>
      <c r="AF1751" s="138"/>
      <c r="AG1751" s="138"/>
      <c r="AH1751" s="592" t="str">
        <f t="shared" si="992"/>
        <v/>
      </c>
      <c r="AI1751" s="592" t="str">
        <f t="shared" si="993"/>
        <v/>
      </c>
      <c r="AJ1751" s="592" t="str">
        <f t="shared" si="994"/>
        <v/>
      </c>
      <c r="AK1751" s="460" t="str">
        <f>IF(AU1751="","",IF(OR(AZ1751=8,AZ1751=9),0,IF(OR(AW1751=3,AW1751=4,AW1751=5,AW1751=6),IF(LEFT(BF1751,1)="1",INDEX(係数_NOX・PM低減,MATCH(AY1751,【参考】排出係数!$AI$801:$AI$804,1),1),VLOOKUP(AU1751,INDEX((係数_バス貨物_ガソリン,係数_バス貨物_CNG,係数_バス貨物_軽油,係数_バス貨物_メタノール,係数_バス貨物_LPG),MATCH(AY1751,【参考】排出係数!$AI$4:$AI$671,1),1,BE1751):INDEX((係数_バス貨物_ガソリン,係数_バス貨物_CNG,係数_バス貨物_軽油,係数_バス貨物_メタノール,係数_バス貨物_LPG),MATCH(AY1751+1,【参考】排出係数!$AI$4:$AI$671,1)-1,5,BE1751),4,FALSE)),IF(AND(BE1751=3,LEFT(BF1751,1)="1"),0.48,VLOOKUP(AU1751,INDEX((係数_乗用_ガソリン,係数_乗用_CNG,係数_乗用_軽油,係数_乗用_メタノール,係数_乗用_LPG),1,1,BE1751):INDEX((係数_乗用_ガソリン,係数_乗用_CNG,係数_乗用_軽油,係数_乗用_メタノール,係数_乗用_LPG),125,5,BE1751),4,FALSE)))))</f>
        <v/>
      </c>
      <c r="AL1751" s="461" t="str">
        <f t="shared" si="995"/>
        <v/>
      </c>
      <c r="AM1751" s="460" t="str">
        <f>IF(AU1751="","",IF(OR(AZ1751=8,AZ1751=9),0,IF(OR(AW1751=3,AW1751=4,AW1751=5,AW1751=6),IF(LEFT(BH1751,1)="1",INDEX(係数_PM低減,MATCH(AY1751,【参考】排出係数!$AI$801:$AI$804,1),MATCH(BI1751,【参考】排出係数!$AL$798:$AO$798,1)),VLOOKUP(AU1751,INDEX((係数_バス貨物_ガソリン,係数_バス貨物_CNG,係数_バス貨物_軽油,係数_バス貨物_メタノール,係数_バス貨物_LPG),MATCH(AY1751,【参考】排出係数!$AI$4:$AI$671,1),1,BE1751):INDEX((係数_バス貨物_ガソリン,係数_バス貨物_CNG,係数_バス貨物_軽油,係数_バス貨物_メタノール,係数_バス貨物_LPG),MATCH(AY1751+1,【参考】排出係数!$AI$4:$AI$671,1)-1,5,BE1751),5,FALSE)),IF(AND(BE1751=3,LEFT(BF1751,1)="1"),0.055,VLOOKUP(AU1751,INDEX((係数_乗用_ガソリン,係数_乗用_CNG,係数_乗用_軽油,係数_乗用_メタノール,係数_乗用_LPG),1,1,BE1751):INDEX((係数_乗用_ガソリン,係数_乗用_CNG,係数_乗用_軽油,係数_乗用_メタノール,係数_乗用_LPG),125,5,BE1751),5,FALSE)))))</f>
        <v/>
      </c>
      <c r="AN1751" s="461" t="str">
        <f t="shared" si="996"/>
        <v/>
      </c>
      <c r="AO1751" s="462" t="str">
        <f t="shared" si="997"/>
        <v/>
      </c>
      <c r="AP1751" s="463" t="str">
        <f t="shared" si="998"/>
        <v/>
      </c>
      <c r="AQ1751" s="464"/>
      <c r="AR1751" s="619"/>
      <c r="AS1751" s="465" t="str">
        <f t="shared" si="1006"/>
        <v/>
      </c>
      <c r="AT1751" s="465" t="str">
        <f t="shared" si="1007"/>
        <v/>
      </c>
      <c r="AU1751" s="466" t="str">
        <f t="shared" si="1008"/>
        <v/>
      </c>
      <c r="AV1751" s="467" t="str">
        <f t="shared" si="1009"/>
        <v/>
      </c>
      <c r="AW1751" s="467" t="str">
        <f t="shared" si="1010"/>
        <v/>
      </c>
      <c r="AX1751" s="467" t="str">
        <f t="shared" si="1011"/>
        <v/>
      </c>
      <c r="AY1751" s="467" t="str">
        <f t="shared" si="1012"/>
        <v/>
      </c>
      <c r="AZ1751" s="467" t="str">
        <f t="shared" si="1013"/>
        <v/>
      </c>
      <c r="BA1751" s="468" t="str">
        <f>IF(AS1751="","",IF(OR(AU1751="",AU1751="-"),"－",IF(OR(AZ1751=8,AZ1751=9),"",IF(OR(AW1751=3,AW1751=4,AW1751=5,AW1751=6),VLOOKUP(AU1751,INDEX((係数_バス貨物_ガソリン,係数_バス貨物_CNG,係数_バス貨物_軽油,係数_バス貨物_メタノール,係数_バス貨物_LPG),MATCH(AY1751,【参考】排出係数!$AI$4:$AI$671,1),1,BE1751):INDEX((係数_バス貨物_ガソリン,係数_バス貨物_CNG,係数_バス貨物_軽油,係数_バス貨物_メタノール,係数_バス貨物_LPG),MATCH(AY1751+1,【参考】排出係数!$AI$4:$AI$671,1)-1,5,BE1751),2,FALSE),IF(OR(AW1751=1,AW1751=2),VLOOKUP(AU1751,INDEX((係数_乗用_ガソリン,係数_乗用_CNG,係数_乗用_軽油,係数_乗用_メタノール,係数_乗用_LPG),1,1,BE1751):INDEX((係数_乗用_ガソリン,係数_乗用_CNG,係数_乗用_軽油,係数_乗用_メタノール,係数_乗用_LPG),125,5,BE1751),2,FALSE))))))</f>
        <v/>
      </c>
      <c r="BB1751" s="468" t="str">
        <f>IF(T1751="","",IF(OR(AU1751="",AU1751="-"),"－",IF(OR(AZ1751=8,AZ1751=9),"",IF(OR(AW1751=3,AW1751=4,AW1751=5,AW1751=6),VLOOKUP(AU1751,INDEX((係数_バス貨物_ガソリン,係数_バス貨物_CNG,係数_バス貨物_軽油,係数_バス貨物_メタノール,係数_バス貨物_LPG),MATCH(AY1751,【参考】排出係数!$AI$4:$AI$671,1),1,BE1751):INDEX((係数_バス貨物_ガソリン,係数_バス貨物_CNG,係数_バス貨物_軽油,係数_バス貨物_メタノール,係数_バス貨物_LPG),MATCH(AY1751+1,【参考】排出係数!$AI$4:$AI$671,1)-1,5,BE1751),3,FALSE),IF(OR(AW1751=1,AW1751=2),VLOOKUP(AU1751,INDEX((係数_乗用_ガソリン,係数_乗用_CNG,係数_乗用_軽油,係数_乗用_メタノール,係数_乗用_LPG),1,1,BE1751):INDEX((係数_乗用_ガソリン,係数_乗用_CNG,係数_乗用_軽油,係数_乗用_メタノール,係数_乗用_LPG),125,5,BE1751),3,FALSE))))))</f>
        <v/>
      </c>
      <c r="BC1751" s="467" t="str">
        <f t="shared" si="1014"/>
        <v/>
      </c>
      <c r="BD1751" s="567" t="str">
        <f t="shared" si="1015"/>
        <v/>
      </c>
      <c r="BE1751" s="467" t="str">
        <f t="shared" si="1016"/>
        <v/>
      </c>
      <c r="BF1751" s="469" t="str">
        <f t="shared" ca="1" si="1017"/>
        <v/>
      </c>
      <c r="BG1751" s="469" t="str">
        <f t="shared" ca="1" si="1018"/>
        <v/>
      </c>
      <c r="BH1751" s="467" t="str">
        <f t="shared" si="1019"/>
        <v/>
      </c>
      <c r="BI1751" s="467" t="str">
        <f t="shared" ca="1" si="1020"/>
        <v/>
      </c>
      <c r="BJ1751" s="469" t="str">
        <f t="shared" si="1021"/>
        <v/>
      </c>
      <c r="BK1751" s="470" t="str">
        <f t="shared" si="1005"/>
        <v/>
      </c>
      <c r="BL1751" s="775" t="str">
        <f t="shared" si="1022"/>
        <v/>
      </c>
      <c r="BM1751" s="775" t="str">
        <f t="shared" si="1023"/>
        <v/>
      </c>
    </row>
    <row r="1752" spans="1:65">
      <c r="A1752" s="473">
        <v>1696</v>
      </c>
      <c r="B1752" s="132"/>
      <c r="C1752" s="332"/>
      <c r="D1752" s="333"/>
      <c r="E1752" s="333"/>
      <c r="F1752" s="334"/>
      <c r="G1752" s="337"/>
      <c r="H1752" s="131"/>
      <c r="I1752" s="337"/>
      <c r="J1752" s="131"/>
      <c r="K1752" s="458" t="str">
        <f t="shared" si="986"/>
        <v/>
      </c>
      <c r="L1752" s="458">
        <f t="shared" si="987"/>
        <v>0</v>
      </c>
      <c r="M1752" s="458">
        <f t="shared" si="988"/>
        <v>0</v>
      </c>
      <c r="N1752" s="459" t="str">
        <f t="shared" si="999"/>
        <v/>
      </c>
      <c r="O1752" s="459" t="str">
        <f t="shared" si="1000"/>
        <v/>
      </c>
      <c r="P1752" s="459" t="str">
        <f t="shared" si="1001"/>
        <v/>
      </c>
      <c r="Q1752" s="459" t="str">
        <f t="shared" si="1002"/>
        <v/>
      </c>
      <c r="R1752" s="459" t="str">
        <f t="shared" si="1003"/>
        <v/>
      </c>
      <c r="S1752" s="459" t="str">
        <f t="shared" si="1004"/>
        <v/>
      </c>
      <c r="T1752" s="566" t="str">
        <f t="shared" si="989"/>
        <v/>
      </c>
      <c r="U1752" s="702"/>
      <c r="V1752" s="132"/>
      <c r="W1752" s="133"/>
      <c r="X1752" s="134"/>
      <c r="Y1752" s="135"/>
      <c r="Z1752" s="137"/>
      <c r="AA1752" s="136"/>
      <c r="AB1752" s="566" t="str">
        <f t="shared" si="990"/>
        <v/>
      </c>
      <c r="AC1752" s="568" t="str">
        <f t="shared" si="991"/>
        <v/>
      </c>
      <c r="AD1752" s="137"/>
      <c r="AE1752" s="137"/>
      <c r="AF1752" s="138"/>
      <c r="AG1752" s="138"/>
      <c r="AH1752" s="592" t="str">
        <f t="shared" si="992"/>
        <v/>
      </c>
      <c r="AI1752" s="592" t="str">
        <f t="shared" si="993"/>
        <v/>
      </c>
      <c r="AJ1752" s="592" t="str">
        <f t="shared" si="994"/>
        <v/>
      </c>
      <c r="AK1752" s="460" t="str">
        <f>IF(AU1752="","",IF(OR(AZ1752=8,AZ1752=9),0,IF(OR(AW1752=3,AW1752=4,AW1752=5,AW1752=6),IF(LEFT(BF1752,1)="1",INDEX(係数_NOX・PM低減,MATCH(AY1752,【参考】排出係数!$AI$801:$AI$804,1),1),VLOOKUP(AU1752,INDEX((係数_バス貨物_ガソリン,係数_バス貨物_CNG,係数_バス貨物_軽油,係数_バス貨物_メタノール,係数_バス貨物_LPG),MATCH(AY1752,【参考】排出係数!$AI$4:$AI$671,1),1,BE1752):INDEX((係数_バス貨物_ガソリン,係数_バス貨物_CNG,係数_バス貨物_軽油,係数_バス貨物_メタノール,係数_バス貨物_LPG),MATCH(AY1752+1,【参考】排出係数!$AI$4:$AI$671,1)-1,5,BE1752),4,FALSE)),IF(AND(BE1752=3,LEFT(BF1752,1)="1"),0.48,VLOOKUP(AU1752,INDEX((係数_乗用_ガソリン,係数_乗用_CNG,係数_乗用_軽油,係数_乗用_メタノール,係数_乗用_LPG),1,1,BE1752):INDEX((係数_乗用_ガソリン,係数_乗用_CNG,係数_乗用_軽油,係数_乗用_メタノール,係数_乗用_LPG),125,5,BE1752),4,FALSE)))))</f>
        <v/>
      </c>
      <c r="AL1752" s="461" t="str">
        <f t="shared" si="995"/>
        <v/>
      </c>
      <c r="AM1752" s="460" t="str">
        <f>IF(AU1752="","",IF(OR(AZ1752=8,AZ1752=9),0,IF(OR(AW1752=3,AW1752=4,AW1752=5,AW1752=6),IF(LEFT(BH1752,1)="1",INDEX(係数_PM低減,MATCH(AY1752,【参考】排出係数!$AI$801:$AI$804,1),MATCH(BI1752,【参考】排出係数!$AL$798:$AO$798,1)),VLOOKUP(AU1752,INDEX((係数_バス貨物_ガソリン,係数_バス貨物_CNG,係数_バス貨物_軽油,係数_バス貨物_メタノール,係数_バス貨物_LPG),MATCH(AY1752,【参考】排出係数!$AI$4:$AI$671,1),1,BE1752):INDEX((係数_バス貨物_ガソリン,係数_バス貨物_CNG,係数_バス貨物_軽油,係数_バス貨物_メタノール,係数_バス貨物_LPG),MATCH(AY1752+1,【参考】排出係数!$AI$4:$AI$671,1)-1,5,BE1752),5,FALSE)),IF(AND(BE1752=3,LEFT(BF1752,1)="1"),0.055,VLOOKUP(AU1752,INDEX((係数_乗用_ガソリン,係数_乗用_CNG,係数_乗用_軽油,係数_乗用_メタノール,係数_乗用_LPG),1,1,BE1752):INDEX((係数_乗用_ガソリン,係数_乗用_CNG,係数_乗用_軽油,係数_乗用_メタノール,係数_乗用_LPG),125,5,BE1752),5,FALSE)))))</f>
        <v/>
      </c>
      <c r="AN1752" s="461" t="str">
        <f t="shared" si="996"/>
        <v/>
      </c>
      <c r="AO1752" s="462" t="str">
        <f t="shared" si="997"/>
        <v/>
      </c>
      <c r="AP1752" s="463" t="str">
        <f t="shared" si="998"/>
        <v/>
      </c>
      <c r="AQ1752" s="464"/>
      <c r="AR1752" s="619"/>
      <c r="AS1752" s="465" t="str">
        <f t="shared" si="1006"/>
        <v/>
      </c>
      <c r="AT1752" s="465" t="str">
        <f t="shared" si="1007"/>
        <v/>
      </c>
      <c r="AU1752" s="466" t="str">
        <f t="shared" si="1008"/>
        <v/>
      </c>
      <c r="AV1752" s="467" t="str">
        <f t="shared" si="1009"/>
        <v/>
      </c>
      <c r="AW1752" s="467" t="str">
        <f t="shared" si="1010"/>
        <v/>
      </c>
      <c r="AX1752" s="467" t="str">
        <f t="shared" si="1011"/>
        <v/>
      </c>
      <c r="AY1752" s="467" t="str">
        <f t="shared" si="1012"/>
        <v/>
      </c>
      <c r="AZ1752" s="467" t="str">
        <f t="shared" si="1013"/>
        <v/>
      </c>
      <c r="BA1752" s="468" t="str">
        <f>IF(AS1752="","",IF(OR(AU1752="",AU1752="-"),"－",IF(OR(AZ1752=8,AZ1752=9),"",IF(OR(AW1752=3,AW1752=4,AW1752=5,AW1752=6),VLOOKUP(AU1752,INDEX((係数_バス貨物_ガソリン,係数_バス貨物_CNG,係数_バス貨物_軽油,係数_バス貨物_メタノール,係数_バス貨物_LPG),MATCH(AY1752,【参考】排出係数!$AI$4:$AI$671,1),1,BE1752):INDEX((係数_バス貨物_ガソリン,係数_バス貨物_CNG,係数_バス貨物_軽油,係数_バス貨物_メタノール,係数_バス貨物_LPG),MATCH(AY1752+1,【参考】排出係数!$AI$4:$AI$671,1)-1,5,BE1752),2,FALSE),IF(OR(AW1752=1,AW1752=2),VLOOKUP(AU1752,INDEX((係数_乗用_ガソリン,係数_乗用_CNG,係数_乗用_軽油,係数_乗用_メタノール,係数_乗用_LPG),1,1,BE1752):INDEX((係数_乗用_ガソリン,係数_乗用_CNG,係数_乗用_軽油,係数_乗用_メタノール,係数_乗用_LPG),125,5,BE1752),2,FALSE))))))</f>
        <v/>
      </c>
      <c r="BB1752" s="468" t="str">
        <f>IF(T1752="","",IF(OR(AU1752="",AU1752="-"),"－",IF(OR(AZ1752=8,AZ1752=9),"",IF(OR(AW1752=3,AW1752=4,AW1752=5,AW1752=6),VLOOKUP(AU1752,INDEX((係数_バス貨物_ガソリン,係数_バス貨物_CNG,係数_バス貨物_軽油,係数_バス貨物_メタノール,係数_バス貨物_LPG),MATCH(AY1752,【参考】排出係数!$AI$4:$AI$671,1),1,BE1752):INDEX((係数_バス貨物_ガソリン,係数_バス貨物_CNG,係数_バス貨物_軽油,係数_バス貨物_メタノール,係数_バス貨物_LPG),MATCH(AY1752+1,【参考】排出係数!$AI$4:$AI$671,1)-1,5,BE1752),3,FALSE),IF(OR(AW1752=1,AW1752=2),VLOOKUP(AU1752,INDEX((係数_乗用_ガソリン,係数_乗用_CNG,係数_乗用_軽油,係数_乗用_メタノール,係数_乗用_LPG),1,1,BE1752):INDEX((係数_乗用_ガソリン,係数_乗用_CNG,係数_乗用_軽油,係数_乗用_メタノール,係数_乗用_LPG),125,5,BE1752),3,FALSE))))))</f>
        <v/>
      </c>
      <c r="BC1752" s="467" t="str">
        <f t="shared" si="1014"/>
        <v/>
      </c>
      <c r="BD1752" s="567" t="str">
        <f t="shared" si="1015"/>
        <v/>
      </c>
      <c r="BE1752" s="467" t="str">
        <f t="shared" si="1016"/>
        <v/>
      </c>
      <c r="BF1752" s="469" t="str">
        <f t="shared" ca="1" si="1017"/>
        <v/>
      </c>
      <c r="BG1752" s="469" t="str">
        <f t="shared" ca="1" si="1018"/>
        <v/>
      </c>
      <c r="BH1752" s="467" t="str">
        <f t="shared" si="1019"/>
        <v/>
      </c>
      <c r="BI1752" s="467" t="str">
        <f t="shared" ca="1" si="1020"/>
        <v/>
      </c>
      <c r="BJ1752" s="469" t="str">
        <f t="shared" si="1021"/>
        <v/>
      </c>
      <c r="BK1752" s="470" t="str">
        <f t="shared" si="1005"/>
        <v/>
      </c>
      <c r="BL1752" s="775" t="str">
        <f t="shared" si="1022"/>
        <v/>
      </c>
      <c r="BM1752" s="775" t="str">
        <f t="shared" si="1023"/>
        <v/>
      </c>
    </row>
    <row r="1753" spans="1:65">
      <c r="A1753" s="473">
        <v>1697</v>
      </c>
      <c r="B1753" s="132"/>
      <c r="C1753" s="332"/>
      <c r="D1753" s="333"/>
      <c r="E1753" s="333"/>
      <c r="F1753" s="334"/>
      <c r="G1753" s="337"/>
      <c r="H1753" s="131"/>
      <c r="I1753" s="337"/>
      <c r="J1753" s="131"/>
      <c r="K1753" s="458" t="str">
        <f t="shared" si="986"/>
        <v/>
      </c>
      <c r="L1753" s="458">
        <f t="shared" si="987"/>
        <v>0</v>
      </c>
      <c r="M1753" s="458">
        <f t="shared" si="988"/>
        <v>0</v>
      </c>
      <c r="N1753" s="459" t="str">
        <f t="shared" si="999"/>
        <v/>
      </c>
      <c r="O1753" s="459" t="str">
        <f t="shared" si="1000"/>
        <v/>
      </c>
      <c r="P1753" s="459" t="str">
        <f t="shared" si="1001"/>
        <v/>
      </c>
      <c r="Q1753" s="459" t="str">
        <f t="shared" si="1002"/>
        <v/>
      </c>
      <c r="R1753" s="459" t="str">
        <f t="shared" si="1003"/>
        <v/>
      </c>
      <c r="S1753" s="459" t="str">
        <f t="shared" si="1004"/>
        <v/>
      </c>
      <c r="T1753" s="566" t="str">
        <f t="shared" si="989"/>
        <v/>
      </c>
      <c r="U1753" s="702"/>
      <c r="V1753" s="132"/>
      <c r="W1753" s="133"/>
      <c r="X1753" s="134"/>
      <c r="Y1753" s="135"/>
      <c r="Z1753" s="137"/>
      <c r="AA1753" s="136"/>
      <c r="AB1753" s="566" t="str">
        <f t="shared" si="990"/>
        <v/>
      </c>
      <c r="AC1753" s="568" t="str">
        <f t="shared" si="991"/>
        <v/>
      </c>
      <c r="AD1753" s="137"/>
      <c r="AE1753" s="137"/>
      <c r="AF1753" s="138"/>
      <c r="AG1753" s="138"/>
      <c r="AH1753" s="592" t="str">
        <f t="shared" si="992"/>
        <v/>
      </c>
      <c r="AI1753" s="592" t="str">
        <f t="shared" si="993"/>
        <v/>
      </c>
      <c r="AJ1753" s="592" t="str">
        <f t="shared" si="994"/>
        <v/>
      </c>
      <c r="AK1753" s="460" t="str">
        <f>IF(AU1753="","",IF(OR(AZ1753=8,AZ1753=9),0,IF(OR(AW1753=3,AW1753=4,AW1753=5,AW1753=6),IF(LEFT(BF1753,1)="1",INDEX(係数_NOX・PM低減,MATCH(AY1753,【参考】排出係数!$AI$801:$AI$804,1),1),VLOOKUP(AU1753,INDEX((係数_バス貨物_ガソリン,係数_バス貨物_CNG,係数_バス貨物_軽油,係数_バス貨物_メタノール,係数_バス貨物_LPG),MATCH(AY1753,【参考】排出係数!$AI$4:$AI$671,1),1,BE1753):INDEX((係数_バス貨物_ガソリン,係数_バス貨物_CNG,係数_バス貨物_軽油,係数_バス貨物_メタノール,係数_バス貨物_LPG),MATCH(AY1753+1,【参考】排出係数!$AI$4:$AI$671,1)-1,5,BE1753),4,FALSE)),IF(AND(BE1753=3,LEFT(BF1753,1)="1"),0.48,VLOOKUP(AU1753,INDEX((係数_乗用_ガソリン,係数_乗用_CNG,係数_乗用_軽油,係数_乗用_メタノール,係数_乗用_LPG),1,1,BE1753):INDEX((係数_乗用_ガソリン,係数_乗用_CNG,係数_乗用_軽油,係数_乗用_メタノール,係数_乗用_LPG),125,5,BE1753),4,FALSE)))))</f>
        <v/>
      </c>
      <c r="AL1753" s="461" t="str">
        <f t="shared" si="995"/>
        <v/>
      </c>
      <c r="AM1753" s="460" t="str">
        <f>IF(AU1753="","",IF(OR(AZ1753=8,AZ1753=9),0,IF(OR(AW1753=3,AW1753=4,AW1753=5,AW1753=6),IF(LEFT(BH1753,1)="1",INDEX(係数_PM低減,MATCH(AY1753,【参考】排出係数!$AI$801:$AI$804,1),MATCH(BI1753,【参考】排出係数!$AL$798:$AO$798,1)),VLOOKUP(AU1753,INDEX((係数_バス貨物_ガソリン,係数_バス貨物_CNG,係数_バス貨物_軽油,係数_バス貨物_メタノール,係数_バス貨物_LPG),MATCH(AY1753,【参考】排出係数!$AI$4:$AI$671,1),1,BE1753):INDEX((係数_バス貨物_ガソリン,係数_バス貨物_CNG,係数_バス貨物_軽油,係数_バス貨物_メタノール,係数_バス貨物_LPG),MATCH(AY1753+1,【参考】排出係数!$AI$4:$AI$671,1)-1,5,BE1753),5,FALSE)),IF(AND(BE1753=3,LEFT(BF1753,1)="1"),0.055,VLOOKUP(AU1753,INDEX((係数_乗用_ガソリン,係数_乗用_CNG,係数_乗用_軽油,係数_乗用_メタノール,係数_乗用_LPG),1,1,BE1753):INDEX((係数_乗用_ガソリン,係数_乗用_CNG,係数_乗用_軽油,係数_乗用_メタノール,係数_乗用_LPG),125,5,BE1753),5,FALSE)))))</f>
        <v/>
      </c>
      <c r="AN1753" s="461" t="str">
        <f t="shared" si="996"/>
        <v/>
      </c>
      <c r="AO1753" s="462" t="str">
        <f t="shared" si="997"/>
        <v/>
      </c>
      <c r="AP1753" s="463" t="str">
        <f t="shared" si="998"/>
        <v/>
      </c>
      <c r="AQ1753" s="464"/>
      <c r="AR1753" s="619"/>
      <c r="AS1753" s="465" t="str">
        <f t="shared" si="1006"/>
        <v/>
      </c>
      <c r="AT1753" s="465" t="str">
        <f t="shared" si="1007"/>
        <v/>
      </c>
      <c r="AU1753" s="466" t="str">
        <f t="shared" si="1008"/>
        <v/>
      </c>
      <c r="AV1753" s="467" t="str">
        <f t="shared" si="1009"/>
        <v/>
      </c>
      <c r="AW1753" s="467" t="str">
        <f t="shared" si="1010"/>
        <v/>
      </c>
      <c r="AX1753" s="467" t="str">
        <f t="shared" si="1011"/>
        <v/>
      </c>
      <c r="AY1753" s="467" t="str">
        <f t="shared" si="1012"/>
        <v/>
      </c>
      <c r="AZ1753" s="467" t="str">
        <f t="shared" si="1013"/>
        <v/>
      </c>
      <c r="BA1753" s="468" t="str">
        <f>IF(AS1753="","",IF(OR(AU1753="",AU1753="-"),"－",IF(OR(AZ1753=8,AZ1753=9),"",IF(OR(AW1753=3,AW1753=4,AW1753=5,AW1753=6),VLOOKUP(AU1753,INDEX((係数_バス貨物_ガソリン,係数_バス貨物_CNG,係数_バス貨物_軽油,係数_バス貨物_メタノール,係数_バス貨物_LPG),MATCH(AY1753,【参考】排出係数!$AI$4:$AI$671,1),1,BE1753):INDEX((係数_バス貨物_ガソリン,係数_バス貨物_CNG,係数_バス貨物_軽油,係数_バス貨物_メタノール,係数_バス貨物_LPG),MATCH(AY1753+1,【参考】排出係数!$AI$4:$AI$671,1)-1,5,BE1753),2,FALSE),IF(OR(AW1753=1,AW1753=2),VLOOKUP(AU1753,INDEX((係数_乗用_ガソリン,係数_乗用_CNG,係数_乗用_軽油,係数_乗用_メタノール,係数_乗用_LPG),1,1,BE1753):INDEX((係数_乗用_ガソリン,係数_乗用_CNG,係数_乗用_軽油,係数_乗用_メタノール,係数_乗用_LPG),125,5,BE1753),2,FALSE))))))</f>
        <v/>
      </c>
      <c r="BB1753" s="468" t="str">
        <f>IF(T1753="","",IF(OR(AU1753="",AU1753="-"),"－",IF(OR(AZ1753=8,AZ1753=9),"",IF(OR(AW1753=3,AW1753=4,AW1753=5,AW1753=6),VLOOKUP(AU1753,INDEX((係数_バス貨物_ガソリン,係数_バス貨物_CNG,係数_バス貨物_軽油,係数_バス貨物_メタノール,係数_バス貨物_LPG),MATCH(AY1753,【参考】排出係数!$AI$4:$AI$671,1),1,BE1753):INDEX((係数_バス貨物_ガソリン,係数_バス貨物_CNG,係数_バス貨物_軽油,係数_バス貨物_メタノール,係数_バス貨物_LPG),MATCH(AY1753+1,【参考】排出係数!$AI$4:$AI$671,1)-1,5,BE1753),3,FALSE),IF(OR(AW1753=1,AW1753=2),VLOOKUP(AU1753,INDEX((係数_乗用_ガソリン,係数_乗用_CNG,係数_乗用_軽油,係数_乗用_メタノール,係数_乗用_LPG),1,1,BE1753):INDEX((係数_乗用_ガソリン,係数_乗用_CNG,係数_乗用_軽油,係数_乗用_メタノール,係数_乗用_LPG),125,5,BE1753),3,FALSE))))))</f>
        <v/>
      </c>
      <c r="BC1753" s="467" t="str">
        <f t="shared" si="1014"/>
        <v/>
      </c>
      <c r="BD1753" s="567" t="str">
        <f t="shared" si="1015"/>
        <v/>
      </c>
      <c r="BE1753" s="467" t="str">
        <f t="shared" si="1016"/>
        <v/>
      </c>
      <c r="BF1753" s="469" t="str">
        <f t="shared" ca="1" si="1017"/>
        <v/>
      </c>
      <c r="BG1753" s="469" t="str">
        <f t="shared" ca="1" si="1018"/>
        <v/>
      </c>
      <c r="BH1753" s="467" t="str">
        <f t="shared" si="1019"/>
        <v/>
      </c>
      <c r="BI1753" s="467" t="str">
        <f t="shared" ca="1" si="1020"/>
        <v/>
      </c>
      <c r="BJ1753" s="469" t="str">
        <f t="shared" si="1021"/>
        <v/>
      </c>
      <c r="BK1753" s="470" t="str">
        <f t="shared" si="1005"/>
        <v/>
      </c>
      <c r="BL1753" s="775" t="str">
        <f t="shared" si="1022"/>
        <v/>
      </c>
      <c r="BM1753" s="775" t="str">
        <f t="shared" si="1023"/>
        <v/>
      </c>
    </row>
    <row r="1754" spans="1:65">
      <c r="A1754" s="473">
        <v>1698</v>
      </c>
      <c r="B1754" s="132"/>
      <c r="C1754" s="332"/>
      <c r="D1754" s="333"/>
      <c r="E1754" s="333"/>
      <c r="F1754" s="334"/>
      <c r="G1754" s="337"/>
      <c r="H1754" s="131"/>
      <c r="I1754" s="337"/>
      <c r="J1754" s="131"/>
      <c r="K1754" s="458" t="str">
        <f t="shared" si="986"/>
        <v/>
      </c>
      <c r="L1754" s="458">
        <f t="shared" si="987"/>
        <v>0</v>
      </c>
      <c r="M1754" s="458">
        <f t="shared" si="988"/>
        <v>0</v>
      </c>
      <c r="N1754" s="459" t="str">
        <f t="shared" si="999"/>
        <v/>
      </c>
      <c r="O1754" s="459" t="str">
        <f t="shared" si="1000"/>
        <v/>
      </c>
      <c r="P1754" s="459" t="str">
        <f t="shared" si="1001"/>
        <v/>
      </c>
      <c r="Q1754" s="459" t="str">
        <f t="shared" si="1002"/>
        <v/>
      </c>
      <c r="R1754" s="459" t="str">
        <f t="shared" si="1003"/>
        <v/>
      </c>
      <c r="S1754" s="459" t="str">
        <f t="shared" si="1004"/>
        <v/>
      </c>
      <c r="T1754" s="566" t="str">
        <f t="shared" si="989"/>
        <v/>
      </c>
      <c r="U1754" s="702"/>
      <c r="V1754" s="132"/>
      <c r="W1754" s="133"/>
      <c r="X1754" s="134"/>
      <c r="Y1754" s="135"/>
      <c r="Z1754" s="137"/>
      <c r="AA1754" s="136"/>
      <c r="AB1754" s="566" t="str">
        <f t="shared" si="990"/>
        <v/>
      </c>
      <c r="AC1754" s="568" t="str">
        <f t="shared" si="991"/>
        <v/>
      </c>
      <c r="AD1754" s="137"/>
      <c r="AE1754" s="137"/>
      <c r="AF1754" s="138"/>
      <c r="AG1754" s="138"/>
      <c r="AH1754" s="592" t="str">
        <f t="shared" si="992"/>
        <v/>
      </c>
      <c r="AI1754" s="592" t="str">
        <f t="shared" si="993"/>
        <v/>
      </c>
      <c r="AJ1754" s="592" t="str">
        <f t="shared" si="994"/>
        <v/>
      </c>
      <c r="AK1754" s="460" t="str">
        <f>IF(AU1754="","",IF(OR(AZ1754=8,AZ1754=9),0,IF(OR(AW1754=3,AW1754=4,AW1754=5,AW1754=6),IF(LEFT(BF1754,1)="1",INDEX(係数_NOX・PM低減,MATCH(AY1754,【参考】排出係数!$AI$801:$AI$804,1),1),VLOOKUP(AU1754,INDEX((係数_バス貨物_ガソリン,係数_バス貨物_CNG,係数_バス貨物_軽油,係数_バス貨物_メタノール,係数_バス貨物_LPG),MATCH(AY1754,【参考】排出係数!$AI$4:$AI$671,1),1,BE1754):INDEX((係数_バス貨物_ガソリン,係数_バス貨物_CNG,係数_バス貨物_軽油,係数_バス貨物_メタノール,係数_バス貨物_LPG),MATCH(AY1754+1,【参考】排出係数!$AI$4:$AI$671,1)-1,5,BE1754),4,FALSE)),IF(AND(BE1754=3,LEFT(BF1754,1)="1"),0.48,VLOOKUP(AU1754,INDEX((係数_乗用_ガソリン,係数_乗用_CNG,係数_乗用_軽油,係数_乗用_メタノール,係数_乗用_LPG),1,1,BE1754):INDEX((係数_乗用_ガソリン,係数_乗用_CNG,係数_乗用_軽油,係数_乗用_メタノール,係数_乗用_LPG),125,5,BE1754),4,FALSE)))))</f>
        <v/>
      </c>
      <c r="AL1754" s="461" t="str">
        <f t="shared" si="995"/>
        <v/>
      </c>
      <c r="AM1754" s="460" t="str">
        <f>IF(AU1754="","",IF(OR(AZ1754=8,AZ1754=9),0,IF(OR(AW1754=3,AW1754=4,AW1754=5,AW1754=6),IF(LEFT(BH1754,1)="1",INDEX(係数_PM低減,MATCH(AY1754,【参考】排出係数!$AI$801:$AI$804,1),MATCH(BI1754,【参考】排出係数!$AL$798:$AO$798,1)),VLOOKUP(AU1754,INDEX((係数_バス貨物_ガソリン,係数_バス貨物_CNG,係数_バス貨物_軽油,係数_バス貨物_メタノール,係数_バス貨物_LPG),MATCH(AY1754,【参考】排出係数!$AI$4:$AI$671,1),1,BE1754):INDEX((係数_バス貨物_ガソリン,係数_バス貨物_CNG,係数_バス貨物_軽油,係数_バス貨物_メタノール,係数_バス貨物_LPG),MATCH(AY1754+1,【参考】排出係数!$AI$4:$AI$671,1)-1,5,BE1754),5,FALSE)),IF(AND(BE1754=3,LEFT(BF1754,1)="1"),0.055,VLOOKUP(AU1754,INDEX((係数_乗用_ガソリン,係数_乗用_CNG,係数_乗用_軽油,係数_乗用_メタノール,係数_乗用_LPG),1,1,BE1754):INDEX((係数_乗用_ガソリン,係数_乗用_CNG,係数_乗用_軽油,係数_乗用_メタノール,係数_乗用_LPG),125,5,BE1754),5,FALSE)))))</f>
        <v/>
      </c>
      <c r="AN1754" s="461" t="str">
        <f t="shared" si="996"/>
        <v/>
      </c>
      <c r="AO1754" s="462" t="str">
        <f t="shared" si="997"/>
        <v/>
      </c>
      <c r="AP1754" s="463" t="str">
        <f t="shared" si="998"/>
        <v/>
      </c>
      <c r="AQ1754" s="464"/>
      <c r="AR1754" s="619"/>
      <c r="AS1754" s="465" t="str">
        <f t="shared" si="1006"/>
        <v/>
      </c>
      <c r="AT1754" s="465" t="str">
        <f t="shared" si="1007"/>
        <v/>
      </c>
      <c r="AU1754" s="466" t="str">
        <f t="shared" si="1008"/>
        <v/>
      </c>
      <c r="AV1754" s="467" t="str">
        <f t="shared" si="1009"/>
        <v/>
      </c>
      <c r="AW1754" s="467" t="str">
        <f t="shared" si="1010"/>
        <v/>
      </c>
      <c r="AX1754" s="467" t="str">
        <f t="shared" si="1011"/>
        <v/>
      </c>
      <c r="AY1754" s="467" t="str">
        <f t="shared" si="1012"/>
        <v/>
      </c>
      <c r="AZ1754" s="467" t="str">
        <f t="shared" si="1013"/>
        <v/>
      </c>
      <c r="BA1754" s="468" t="str">
        <f>IF(AS1754="","",IF(OR(AU1754="",AU1754="-"),"－",IF(OR(AZ1754=8,AZ1754=9),"",IF(OR(AW1754=3,AW1754=4,AW1754=5,AW1754=6),VLOOKUP(AU1754,INDEX((係数_バス貨物_ガソリン,係数_バス貨物_CNG,係数_バス貨物_軽油,係数_バス貨物_メタノール,係数_バス貨物_LPG),MATCH(AY1754,【参考】排出係数!$AI$4:$AI$671,1),1,BE1754):INDEX((係数_バス貨物_ガソリン,係数_バス貨物_CNG,係数_バス貨物_軽油,係数_バス貨物_メタノール,係数_バス貨物_LPG),MATCH(AY1754+1,【参考】排出係数!$AI$4:$AI$671,1)-1,5,BE1754),2,FALSE),IF(OR(AW1754=1,AW1754=2),VLOOKUP(AU1754,INDEX((係数_乗用_ガソリン,係数_乗用_CNG,係数_乗用_軽油,係数_乗用_メタノール,係数_乗用_LPG),1,1,BE1754):INDEX((係数_乗用_ガソリン,係数_乗用_CNG,係数_乗用_軽油,係数_乗用_メタノール,係数_乗用_LPG),125,5,BE1754),2,FALSE))))))</f>
        <v/>
      </c>
      <c r="BB1754" s="468" t="str">
        <f>IF(T1754="","",IF(OR(AU1754="",AU1754="-"),"－",IF(OR(AZ1754=8,AZ1754=9),"",IF(OR(AW1754=3,AW1754=4,AW1754=5,AW1754=6),VLOOKUP(AU1754,INDEX((係数_バス貨物_ガソリン,係数_バス貨物_CNG,係数_バス貨物_軽油,係数_バス貨物_メタノール,係数_バス貨物_LPG),MATCH(AY1754,【参考】排出係数!$AI$4:$AI$671,1),1,BE1754):INDEX((係数_バス貨物_ガソリン,係数_バス貨物_CNG,係数_バス貨物_軽油,係数_バス貨物_メタノール,係数_バス貨物_LPG),MATCH(AY1754+1,【参考】排出係数!$AI$4:$AI$671,1)-1,5,BE1754),3,FALSE),IF(OR(AW1754=1,AW1754=2),VLOOKUP(AU1754,INDEX((係数_乗用_ガソリン,係数_乗用_CNG,係数_乗用_軽油,係数_乗用_メタノール,係数_乗用_LPG),1,1,BE1754):INDEX((係数_乗用_ガソリン,係数_乗用_CNG,係数_乗用_軽油,係数_乗用_メタノール,係数_乗用_LPG),125,5,BE1754),3,FALSE))))))</f>
        <v/>
      </c>
      <c r="BC1754" s="467" t="str">
        <f t="shared" si="1014"/>
        <v/>
      </c>
      <c r="BD1754" s="567" t="str">
        <f t="shared" si="1015"/>
        <v/>
      </c>
      <c r="BE1754" s="467" t="str">
        <f t="shared" si="1016"/>
        <v/>
      </c>
      <c r="BF1754" s="469" t="str">
        <f t="shared" ca="1" si="1017"/>
        <v/>
      </c>
      <c r="BG1754" s="469" t="str">
        <f t="shared" ca="1" si="1018"/>
        <v/>
      </c>
      <c r="BH1754" s="467" t="str">
        <f t="shared" si="1019"/>
        <v/>
      </c>
      <c r="BI1754" s="467" t="str">
        <f t="shared" ca="1" si="1020"/>
        <v/>
      </c>
      <c r="BJ1754" s="469" t="str">
        <f t="shared" si="1021"/>
        <v/>
      </c>
      <c r="BK1754" s="470" t="str">
        <f t="shared" si="1005"/>
        <v/>
      </c>
      <c r="BL1754" s="775" t="str">
        <f t="shared" si="1022"/>
        <v/>
      </c>
      <c r="BM1754" s="775" t="str">
        <f t="shared" si="1023"/>
        <v/>
      </c>
    </row>
    <row r="1755" spans="1:65">
      <c r="A1755" s="473">
        <v>1699</v>
      </c>
      <c r="B1755" s="132"/>
      <c r="C1755" s="332"/>
      <c r="D1755" s="333"/>
      <c r="E1755" s="333"/>
      <c r="F1755" s="334"/>
      <c r="G1755" s="337"/>
      <c r="H1755" s="131"/>
      <c r="I1755" s="337"/>
      <c r="J1755" s="131"/>
      <c r="K1755" s="458" t="str">
        <f t="shared" si="986"/>
        <v/>
      </c>
      <c r="L1755" s="458">
        <f t="shared" si="987"/>
        <v>0</v>
      </c>
      <c r="M1755" s="458">
        <f t="shared" si="988"/>
        <v>0</v>
      </c>
      <c r="N1755" s="459" t="str">
        <f t="shared" si="999"/>
        <v/>
      </c>
      <c r="O1755" s="459" t="str">
        <f t="shared" si="1000"/>
        <v/>
      </c>
      <c r="P1755" s="459" t="str">
        <f t="shared" si="1001"/>
        <v/>
      </c>
      <c r="Q1755" s="459" t="str">
        <f t="shared" si="1002"/>
        <v/>
      </c>
      <c r="R1755" s="459" t="str">
        <f t="shared" si="1003"/>
        <v/>
      </c>
      <c r="S1755" s="459" t="str">
        <f t="shared" si="1004"/>
        <v/>
      </c>
      <c r="T1755" s="566" t="str">
        <f t="shared" si="989"/>
        <v/>
      </c>
      <c r="U1755" s="702"/>
      <c r="V1755" s="132"/>
      <c r="W1755" s="133"/>
      <c r="X1755" s="134"/>
      <c r="Y1755" s="135"/>
      <c r="Z1755" s="137"/>
      <c r="AA1755" s="136"/>
      <c r="AB1755" s="566" t="str">
        <f t="shared" si="990"/>
        <v/>
      </c>
      <c r="AC1755" s="568" t="str">
        <f t="shared" si="991"/>
        <v/>
      </c>
      <c r="AD1755" s="137"/>
      <c r="AE1755" s="137"/>
      <c r="AF1755" s="138"/>
      <c r="AG1755" s="138"/>
      <c r="AH1755" s="592" t="str">
        <f t="shared" si="992"/>
        <v/>
      </c>
      <c r="AI1755" s="592" t="str">
        <f t="shared" si="993"/>
        <v/>
      </c>
      <c r="AJ1755" s="592" t="str">
        <f t="shared" si="994"/>
        <v/>
      </c>
      <c r="AK1755" s="460" t="str">
        <f>IF(AU1755="","",IF(OR(AZ1755=8,AZ1755=9),0,IF(OR(AW1755=3,AW1755=4,AW1755=5,AW1755=6),IF(LEFT(BF1755,1)="1",INDEX(係数_NOX・PM低減,MATCH(AY1755,【参考】排出係数!$AI$801:$AI$804,1),1),VLOOKUP(AU1755,INDEX((係数_バス貨物_ガソリン,係数_バス貨物_CNG,係数_バス貨物_軽油,係数_バス貨物_メタノール,係数_バス貨物_LPG),MATCH(AY1755,【参考】排出係数!$AI$4:$AI$671,1),1,BE1755):INDEX((係数_バス貨物_ガソリン,係数_バス貨物_CNG,係数_バス貨物_軽油,係数_バス貨物_メタノール,係数_バス貨物_LPG),MATCH(AY1755+1,【参考】排出係数!$AI$4:$AI$671,1)-1,5,BE1755),4,FALSE)),IF(AND(BE1755=3,LEFT(BF1755,1)="1"),0.48,VLOOKUP(AU1755,INDEX((係数_乗用_ガソリン,係数_乗用_CNG,係数_乗用_軽油,係数_乗用_メタノール,係数_乗用_LPG),1,1,BE1755):INDEX((係数_乗用_ガソリン,係数_乗用_CNG,係数_乗用_軽油,係数_乗用_メタノール,係数_乗用_LPG),125,5,BE1755),4,FALSE)))))</f>
        <v/>
      </c>
      <c r="AL1755" s="461" t="str">
        <f t="shared" si="995"/>
        <v/>
      </c>
      <c r="AM1755" s="460" t="str">
        <f>IF(AU1755="","",IF(OR(AZ1755=8,AZ1755=9),0,IF(OR(AW1755=3,AW1755=4,AW1755=5,AW1755=6),IF(LEFT(BH1755,1)="1",INDEX(係数_PM低減,MATCH(AY1755,【参考】排出係数!$AI$801:$AI$804,1),MATCH(BI1755,【参考】排出係数!$AL$798:$AO$798,1)),VLOOKUP(AU1755,INDEX((係数_バス貨物_ガソリン,係数_バス貨物_CNG,係数_バス貨物_軽油,係数_バス貨物_メタノール,係数_バス貨物_LPG),MATCH(AY1755,【参考】排出係数!$AI$4:$AI$671,1),1,BE1755):INDEX((係数_バス貨物_ガソリン,係数_バス貨物_CNG,係数_バス貨物_軽油,係数_バス貨物_メタノール,係数_バス貨物_LPG),MATCH(AY1755+1,【参考】排出係数!$AI$4:$AI$671,1)-1,5,BE1755),5,FALSE)),IF(AND(BE1755=3,LEFT(BF1755,1)="1"),0.055,VLOOKUP(AU1755,INDEX((係数_乗用_ガソリン,係数_乗用_CNG,係数_乗用_軽油,係数_乗用_メタノール,係数_乗用_LPG),1,1,BE1755):INDEX((係数_乗用_ガソリン,係数_乗用_CNG,係数_乗用_軽油,係数_乗用_メタノール,係数_乗用_LPG),125,5,BE1755),5,FALSE)))))</f>
        <v/>
      </c>
      <c r="AN1755" s="461" t="str">
        <f t="shared" si="996"/>
        <v/>
      </c>
      <c r="AO1755" s="462" t="str">
        <f t="shared" si="997"/>
        <v/>
      </c>
      <c r="AP1755" s="463" t="str">
        <f t="shared" si="998"/>
        <v/>
      </c>
      <c r="AQ1755" s="464"/>
      <c r="AR1755" s="619"/>
      <c r="AS1755" s="465" t="str">
        <f t="shared" si="1006"/>
        <v/>
      </c>
      <c r="AT1755" s="465" t="str">
        <f t="shared" si="1007"/>
        <v/>
      </c>
      <c r="AU1755" s="466" t="str">
        <f t="shared" si="1008"/>
        <v/>
      </c>
      <c r="AV1755" s="467" t="str">
        <f t="shared" si="1009"/>
        <v/>
      </c>
      <c r="AW1755" s="467" t="str">
        <f t="shared" si="1010"/>
        <v/>
      </c>
      <c r="AX1755" s="467" t="str">
        <f t="shared" si="1011"/>
        <v/>
      </c>
      <c r="AY1755" s="467" t="str">
        <f t="shared" si="1012"/>
        <v/>
      </c>
      <c r="AZ1755" s="467" t="str">
        <f t="shared" si="1013"/>
        <v/>
      </c>
      <c r="BA1755" s="468" t="str">
        <f>IF(AS1755="","",IF(OR(AU1755="",AU1755="-"),"－",IF(OR(AZ1755=8,AZ1755=9),"",IF(OR(AW1755=3,AW1755=4,AW1755=5,AW1755=6),VLOOKUP(AU1755,INDEX((係数_バス貨物_ガソリン,係数_バス貨物_CNG,係数_バス貨物_軽油,係数_バス貨物_メタノール,係数_バス貨物_LPG),MATCH(AY1755,【参考】排出係数!$AI$4:$AI$671,1),1,BE1755):INDEX((係数_バス貨物_ガソリン,係数_バス貨物_CNG,係数_バス貨物_軽油,係数_バス貨物_メタノール,係数_バス貨物_LPG),MATCH(AY1755+1,【参考】排出係数!$AI$4:$AI$671,1)-1,5,BE1755),2,FALSE),IF(OR(AW1755=1,AW1755=2),VLOOKUP(AU1755,INDEX((係数_乗用_ガソリン,係数_乗用_CNG,係数_乗用_軽油,係数_乗用_メタノール,係数_乗用_LPG),1,1,BE1755):INDEX((係数_乗用_ガソリン,係数_乗用_CNG,係数_乗用_軽油,係数_乗用_メタノール,係数_乗用_LPG),125,5,BE1755),2,FALSE))))))</f>
        <v/>
      </c>
      <c r="BB1755" s="468" t="str">
        <f>IF(T1755="","",IF(OR(AU1755="",AU1755="-"),"－",IF(OR(AZ1755=8,AZ1755=9),"",IF(OR(AW1755=3,AW1755=4,AW1755=5,AW1755=6),VLOOKUP(AU1755,INDEX((係数_バス貨物_ガソリン,係数_バス貨物_CNG,係数_バス貨物_軽油,係数_バス貨物_メタノール,係数_バス貨物_LPG),MATCH(AY1755,【参考】排出係数!$AI$4:$AI$671,1),1,BE1755):INDEX((係数_バス貨物_ガソリン,係数_バス貨物_CNG,係数_バス貨物_軽油,係数_バス貨物_メタノール,係数_バス貨物_LPG),MATCH(AY1755+1,【参考】排出係数!$AI$4:$AI$671,1)-1,5,BE1755),3,FALSE),IF(OR(AW1755=1,AW1755=2),VLOOKUP(AU1755,INDEX((係数_乗用_ガソリン,係数_乗用_CNG,係数_乗用_軽油,係数_乗用_メタノール,係数_乗用_LPG),1,1,BE1755):INDEX((係数_乗用_ガソリン,係数_乗用_CNG,係数_乗用_軽油,係数_乗用_メタノール,係数_乗用_LPG),125,5,BE1755),3,FALSE))))))</f>
        <v/>
      </c>
      <c r="BC1755" s="467" t="str">
        <f t="shared" si="1014"/>
        <v/>
      </c>
      <c r="BD1755" s="567" t="str">
        <f t="shared" si="1015"/>
        <v/>
      </c>
      <c r="BE1755" s="467" t="str">
        <f t="shared" si="1016"/>
        <v/>
      </c>
      <c r="BF1755" s="469" t="str">
        <f t="shared" ca="1" si="1017"/>
        <v/>
      </c>
      <c r="BG1755" s="469" t="str">
        <f t="shared" ca="1" si="1018"/>
        <v/>
      </c>
      <c r="BH1755" s="467" t="str">
        <f t="shared" si="1019"/>
        <v/>
      </c>
      <c r="BI1755" s="467" t="str">
        <f t="shared" ca="1" si="1020"/>
        <v/>
      </c>
      <c r="BJ1755" s="469" t="str">
        <f t="shared" si="1021"/>
        <v/>
      </c>
      <c r="BK1755" s="470" t="str">
        <f t="shared" si="1005"/>
        <v/>
      </c>
      <c r="BL1755" s="775" t="str">
        <f t="shared" si="1022"/>
        <v/>
      </c>
      <c r="BM1755" s="775" t="str">
        <f t="shared" si="1023"/>
        <v/>
      </c>
    </row>
    <row r="1756" spans="1:65">
      <c r="A1756" s="473">
        <v>1700</v>
      </c>
      <c r="B1756" s="132"/>
      <c r="C1756" s="332"/>
      <c r="D1756" s="333"/>
      <c r="E1756" s="333"/>
      <c r="F1756" s="334"/>
      <c r="G1756" s="337"/>
      <c r="H1756" s="131"/>
      <c r="I1756" s="337"/>
      <c r="J1756" s="131"/>
      <c r="K1756" s="458" t="str">
        <f t="shared" si="986"/>
        <v/>
      </c>
      <c r="L1756" s="458">
        <f t="shared" si="987"/>
        <v>0</v>
      </c>
      <c r="M1756" s="458">
        <f t="shared" si="988"/>
        <v>0</v>
      </c>
      <c r="N1756" s="459" t="str">
        <f t="shared" si="999"/>
        <v/>
      </c>
      <c r="O1756" s="459" t="str">
        <f t="shared" si="1000"/>
        <v/>
      </c>
      <c r="P1756" s="459" t="str">
        <f t="shared" si="1001"/>
        <v/>
      </c>
      <c r="Q1756" s="459" t="str">
        <f t="shared" si="1002"/>
        <v/>
      </c>
      <c r="R1756" s="459" t="str">
        <f t="shared" si="1003"/>
        <v/>
      </c>
      <c r="S1756" s="459" t="str">
        <f t="shared" si="1004"/>
        <v/>
      </c>
      <c r="T1756" s="566" t="str">
        <f t="shared" si="989"/>
        <v/>
      </c>
      <c r="U1756" s="702"/>
      <c r="V1756" s="132"/>
      <c r="W1756" s="133"/>
      <c r="X1756" s="134"/>
      <c r="Y1756" s="135"/>
      <c r="Z1756" s="137"/>
      <c r="AA1756" s="136"/>
      <c r="AB1756" s="566" t="str">
        <f t="shared" si="990"/>
        <v/>
      </c>
      <c r="AC1756" s="568" t="str">
        <f t="shared" si="991"/>
        <v/>
      </c>
      <c r="AD1756" s="137"/>
      <c r="AE1756" s="137"/>
      <c r="AF1756" s="138"/>
      <c r="AG1756" s="138"/>
      <c r="AH1756" s="592" t="str">
        <f t="shared" si="992"/>
        <v/>
      </c>
      <c r="AI1756" s="592" t="str">
        <f t="shared" si="993"/>
        <v/>
      </c>
      <c r="AJ1756" s="592" t="str">
        <f t="shared" si="994"/>
        <v/>
      </c>
      <c r="AK1756" s="460" t="str">
        <f>IF(AU1756="","",IF(OR(AZ1756=8,AZ1756=9),0,IF(OR(AW1756=3,AW1756=4,AW1756=5,AW1756=6),IF(LEFT(BF1756,1)="1",INDEX(係数_NOX・PM低減,MATCH(AY1756,【参考】排出係数!$AI$801:$AI$804,1),1),VLOOKUP(AU1756,INDEX((係数_バス貨物_ガソリン,係数_バス貨物_CNG,係数_バス貨物_軽油,係数_バス貨物_メタノール,係数_バス貨物_LPG),MATCH(AY1756,【参考】排出係数!$AI$4:$AI$671,1),1,BE1756):INDEX((係数_バス貨物_ガソリン,係数_バス貨物_CNG,係数_バス貨物_軽油,係数_バス貨物_メタノール,係数_バス貨物_LPG),MATCH(AY1756+1,【参考】排出係数!$AI$4:$AI$671,1)-1,5,BE1756),4,FALSE)),IF(AND(BE1756=3,LEFT(BF1756,1)="1"),0.48,VLOOKUP(AU1756,INDEX((係数_乗用_ガソリン,係数_乗用_CNG,係数_乗用_軽油,係数_乗用_メタノール,係数_乗用_LPG),1,1,BE1756):INDEX((係数_乗用_ガソリン,係数_乗用_CNG,係数_乗用_軽油,係数_乗用_メタノール,係数_乗用_LPG),125,5,BE1756),4,FALSE)))))</f>
        <v/>
      </c>
      <c r="AL1756" s="461" t="str">
        <f t="shared" si="995"/>
        <v/>
      </c>
      <c r="AM1756" s="460" t="str">
        <f>IF(AU1756="","",IF(OR(AZ1756=8,AZ1756=9),0,IF(OR(AW1756=3,AW1756=4,AW1756=5,AW1756=6),IF(LEFT(BH1756,1)="1",INDEX(係数_PM低減,MATCH(AY1756,【参考】排出係数!$AI$801:$AI$804,1),MATCH(BI1756,【参考】排出係数!$AL$798:$AO$798,1)),VLOOKUP(AU1756,INDEX((係数_バス貨物_ガソリン,係数_バス貨物_CNG,係数_バス貨物_軽油,係数_バス貨物_メタノール,係数_バス貨物_LPG),MATCH(AY1756,【参考】排出係数!$AI$4:$AI$671,1),1,BE1756):INDEX((係数_バス貨物_ガソリン,係数_バス貨物_CNG,係数_バス貨物_軽油,係数_バス貨物_メタノール,係数_バス貨物_LPG),MATCH(AY1756+1,【参考】排出係数!$AI$4:$AI$671,1)-1,5,BE1756),5,FALSE)),IF(AND(BE1756=3,LEFT(BF1756,1)="1"),0.055,VLOOKUP(AU1756,INDEX((係数_乗用_ガソリン,係数_乗用_CNG,係数_乗用_軽油,係数_乗用_メタノール,係数_乗用_LPG),1,1,BE1756):INDEX((係数_乗用_ガソリン,係数_乗用_CNG,係数_乗用_軽油,係数_乗用_メタノール,係数_乗用_LPG),125,5,BE1756),5,FALSE)))))</f>
        <v/>
      </c>
      <c r="AN1756" s="461" t="str">
        <f t="shared" si="996"/>
        <v/>
      </c>
      <c r="AO1756" s="462" t="str">
        <f t="shared" si="997"/>
        <v/>
      </c>
      <c r="AP1756" s="463" t="str">
        <f t="shared" si="998"/>
        <v/>
      </c>
      <c r="AQ1756" s="464"/>
      <c r="AR1756" s="619"/>
      <c r="AS1756" s="465" t="str">
        <f t="shared" si="1006"/>
        <v/>
      </c>
      <c r="AT1756" s="465" t="str">
        <f t="shared" si="1007"/>
        <v/>
      </c>
      <c r="AU1756" s="466" t="str">
        <f t="shared" si="1008"/>
        <v/>
      </c>
      <c r="AV1756" s="467" t="str">
        <f t="shared" si="1009"/>
        <v/>
      </c>
      <c r="AW1756" s="467" t="str">
        <f t="shared" si="1010"/>
        <v/>
      </c>
      <c r="AX1756" s="467" t="str">
        <f t="shared" si="1011"/>
        <v/>
      </c>
      <c r="AY1756" s="467" t="str">
        <f t="shared" si="1012"/>
        <v/>
      </c>
      <c r="AZ1756" s="467" t="str">
        <f t="shared" si="1013"/>
        <v/>
      </c>
      <c r="BA1756" s="468" t="str">
        <f>IF(AS1756="","",IF(OR(AU1756="",AU1756="-"),"－",IF(OR(AZ1756=8,AZ1756=9),"",IF(OR(AW1756=3,AW1756=4,AW1756=5,AW1756=6),VLOOKUP(AU1756,INDEX((係数_バス貨物_ガソリン,係数_バス貨物_CNG,係数_バス貨物_軽油,係数_バス貨物_メタノール,係数_バス貨物_LPG),MATCH(AY1756,【参考】排出係数!$AI$4:$AI$671,1),1,BE1756):INDEX((係数_バス貨物_ガソリン,係数_バス貨物_CNG,係数_バス貨物_軽油,係数_バス貨物_メタノール,係数_バス貨物_LPG),MATCH(AY1756+1,【参考】排出係数!$AI$4:$AI$671,1)-1,5,BE1756),2,FALSE),IF(OR(AW1756=1,AW1756=2),VLOOKUP(AU1756,INDEX((係数_乗用_ガソリン,係数_乗用_CNG,係数_乗用_軽油,係数_乗用_メタノール,係数_乗用_LPG),1,1,BE1756):INDEX((係数_乗用_ガソリン,係数_乗用_CNG,係数_乗用_軽油,係数_乗用_メタノール,係数_乗用_LPG),125,5,BE1756),2,FALSE))))))</f>
        <v/>
      </c>
      <c r="BB1756" s="468" t="str">
        <f>IF(T1756="","",IF(OR(AU1756="",AU1756="-"),"－",IF(OR(AZ1756=8,AZ1756=9),"",IF(OR(AW1756=3,AW1756=4,AW1756=5,AW1756=6),VLOOKUP(AU1756,INDEX((係数_バス貨物_ガソリン,係数_バス貨物_CNG,係数_バス貨物_軽油,係数_バス貨物_メタノール,係数_バス貨物_LPG),MATCH(AY1756,【参考】排出係数!$AI$4:$AI$671,1),1,BE1756):INDEX((係数_バス貨物_ガソリン,係数_バス貨物_CNG,係数_バス貨物_軽油,係数_バス貨物_メタノール,係数_バス貨物_LPG),MATCH(AY1756+1,【参考】排出係数!$AI$4:$AI$671,1)-1,5,BE1756),3,FALSE),IF(OR(AW1756=1,AW1756=2),VLOOKUP(AU1756,INDEX((係数_乗用_ガソリン,係数_乗用_CNG,係数_乗用_軽油,係数_乗用_メタノール,係数_乗用_LPG),1,1,BE1756):INDEX((係数_乗用_ガソリン,係数_乗用_CNG,係数_乗用_軽油,係数_乗用_メタノール,係数_乗用_LPG),125,5,BE1756),3,FALSE))))))</f>
        <v/>
      </c>
      <c r="BC1756" s="467" t="str">
        <f t="shared" si="1014"/>
        <v/>
      </c>
      <c r="BD1756" s="567" t="str">
        <f t="shared" si="1015"/>
        <v/>
      </c>
      <c r="BE1756" s="467" t="str">
        <f t="shared" si="1016"/>
        <v/>
      </c>
      <c r="BF1756" s="469" t="str">
        <f t="shared" ca="1" si="1017"/>
        <v/>
      </c>
      <c r="BG1756" s="469" t="str">
        <f t="shared" ca="1" si="1018"/>
        <v/>
      </c>
      <c r="BH1756" s="467" t="str">
        <f t="shared" si="1019"/>
        <v/>
      </c>
      <c r="BI1756" s="467" t="str">
        <f t="shared" ca="1" si="1020"/>
        <v/>
      </c>
      <c r="BJ1756" s="469" t="str">
        <f t="shared" si="1021"/>
        <v/>
      </c>
      <c r="BK1756" s="470" t="str">
        <f t="shared" si="1005"/>
        <v/>
      </c>
      <c r="BL1756" s="775" t="str">
        <f t="shared" si="1022"/>
        <v/>
      </c>
      <c r="BM1756" s="775" t="str">
        <f t="shared" si="1023"/>
        <v/>
      </c>
    </row>
    <row r="1757" spans="1:65">
      <c r="A1757" s="473">
        <v>1701</v>
      </c>
      <c r="B1757" s="132"/>
      <c r="C1757" s="332"/>
      <c r="D1757" s="333"/>
      <c r="E1757" s="333"/>
      <c r="F1757" s="334"/>
      <c r="G1757" s="337"/>
      <c r="H1757" s="131"/>
      <c r="I1757" s="337"/>
      <c r="J1757" s="131"/>
      <c r="K1757" s="458" t="str">
        <f t="shared" si="986"/>
        <v/>
      </c>
      <c r="L1757" s="458">
        <f t="shared" si="987"/>
        <v>0</v>
      </c>
      <c r="M1757" s="458">
        <f t="shared" si="988"/>
        <v>0</v>
      </c>
      <c r="N1757" s="459" t="str">
        <f t="shared" si="999"/>
        <v/>
      </c>
      <c r="O1757" s="459" t="str">
        <f t="shared" si="1000"/>
        <v/>
      </c>
      <c r="P1757" s="459" t="str">
        <f t="shared" si="1001"/>
        <v/>
      </c>
      <c r="Q1757" s="459" t="str">
        <f t="shared" si="1002"/>
        <v/>
      </c>
      <c r="R1757" s="459" t="str">
        <f t="shared" si="1003"/>
        <v/>
      </c>
      <c r="S1757" s="459" t="str">
        <f t="shared" si="1004"/>
        <v/>
      </c>
      <c r="T1757" s="566" t="str">
        <f t="shared" si="989"/>
        <v/>
      </c>
      <c r="U1757" s="702"/>
      <c r="V1757" s="132"/>
      <c r="W1757" s="133"/>
      <c r="X1757" s="134"/>
      <c r="Y1757" s="135"/>
      <c r="Z1757" s="137"/>
      <c r="AA1757" s="136"/>
      <c r="AB1757" s="566" t="str">
        <f t="shared" si="990"/>
        <v/>
      </c>
      <c r="AC1757" s="568" t="str">
        <f t="shared" si="991"/>
        <v/>
      </c>
      <c r="AD1757" s="137"/>
      <c r="AE1757" s="137"/>
      <c r="AF1757" s="138"/>
      <c r="AG1757" s="138"/>
      <c r="AH1757" s="592" t="str">
        <f t="shared" si="992"/>
        <v/>
      </c>
      <c r="AI1757" s="592" t="str">
        <f t="shared" si="993"/>
        <v/>
      </c>
      <c r="AJ1757" s="592" t="str">
        <f t="shared" si="994"/>
        <v/>
      </c>
      <c r="AK1757" s="460" t="str">
        <f>IF(AU1757="","",IF(OR(AZ1757=8,AZ1757=9),0,IF(OR(AW1757=3,AW1757=4,AW1757=5,AW1757=6),IF(LEFT(BF1757,1)="1",INDEX(係数_NOX・PM低減,MATCH(AY1757,【参考】排出係数!$AI$801:$AI$804,1),1),VLOOKUP(AU1757,INDEX((係数_バス貨物_ガソリン,係数_バス貨物_CNG,係数_バス貨物_軽油,係数_バス貨物_メタノール,係数_バス貨物_LPG),MATCH(AY1757,【参考】排出係数!$AI$4:$AI$671,1),1,BE1757):INDEX((係数_バス貨物_ガソリン,係数_バス貨物_CNG,係数_バス貨物_軽油,係数_バス貨物_メタノール,係数_バス貨物_LPG),MATCH(AY1757+1,【参考】排出係数!$AI$4:$AI$671,1)-1,5,BE1757),4,FALSE)),IF(AND(BE1757=3,LEFT(BF1757,1)="1"),0.48,VLOOKUP(AU1757,INDEX((係数_乗用_ガソリン,係数_乗用_CNG,係数_乗用_軽油,係数_乗用_メタノール,係数_乗用_LPG),1,1,BE1757):INDEX((係数_乗用_ガソリン,係数_乗用_CNG,係数_乗用_軽油,係数_乗用_メタノール,係数_乗用_LPG),125,5,BE1757),4,FALSE)))))</f>
        <v/>
      </c>
      <c r="AL1757" s="461" t="str">
        <f t="shared" si="995"/>
        <v/>
      </c>
      <c r="AM1757" s="460" t="str">
        <f>IF(AU1757="","",IF(OR(AZ1757=8,AZ1757=9),0,IF(OR(AW1757=3,AW1757=4,AW1757=5,AW1757=6),IF(LEFT(BH1757,1)="1",INDEX(係数_PM低減,MATCH(AY1757,【参考】排出係数!$AI$801:$AI$804,1),MATCH(BI1757,【参考】排出係数!$AL$798:$AO$798,1)),VLOOKUP(AU1757,INDEX((係数_バス貨物_ガソリン,係数_バス貨物_CNG,係数_バス貨物_軽油,係数_バス貨物_メタノール,係数_バス貨物_LPG),MATCH(AY1757,【参考】排出係数!$AI$4:$AI$671,1),1,BE1757):INDEX((係数_バス貨物_ガソリン,係数_バス貨物_CNG,係数_バス貨物_軽油,係数_バス貨物_メタノール,係数_バス貨物_LPG),MATCH(AY1757+1,【参考】排出係数!$AI$4:$AI$671,1)-1,5,BE1757),5,FALSE)),IF(AND(BE1757=3,LEFT(BF1757,1)="1"),0.055,VLOOKUP(AU1757,INDEX((係数_乗用_ガソリン,係数_乗用_CNG,係数_乗用_軽油,係数_乗用_メタノール,係数_乗用_LPG),1,1,BE1757):INDEX((係数_乗用_ガソリン,係数_乗用_CNG,係数_乗用_軽油,係数_乗用_メタノール,係数_乗用_LPG),125,5,BE1757),5,FALSE)))))</f>
        <v/>
      </c>
      <c r="AN1757" s="461" t="str">
        <f t="shared" si="996"/>
        <v/>
      </c>
      <c r="AO1757" s="462" t="str">
        <f t="shared" si="997"/>
        <v/>
      </c>
      <c r="AP1757" s="463" t="str">
        <f t="shared" si="998"/>
        <v/>
      </c>
      <c r="AQ1757" s="464"/>
      <c r="AR1757" s="619"/>
      <c r="AS1757" s="465" t="str">
        <f t="shared" si="1006"/>
        <v/>
      </c>
      <c r="AT1757" s="465" t="str">
        <f t="shared" si="1007"/>
        <v/>
      </c>
      <c r="AU1757" s="466" t="str">
        <f t="shared" si="1008"/>
        <v/>
      </c>
      <c r="AV1757" s="467" t="str">
        <f t="shared" si="1009"/>
        <v/>
      </c>
      <c r="AW1757" s="467" t="str">
        <f t="shared" si="1010"/>
        <v/>
      </c>
      <c r="AX1757" s="467" t="str">
        <f t="shared" si="1011"/>
        <v/>
      </c>
      <c r="AY1757" s="467" t="str">
        <f t="shared" si="1012"/>
        <v/>
      </c>
      <c r="AZ1757" s="467" t="str">
        <f t="shared" si="1013"/>
        <v/>
      </c>
      <c r="BA1757" s="468" t="str">
        <f>IF(AS1757="","",IF(OR(AU1757="",AU1757="-"),"－",IF(OR(AZ1757=8,AZ1757=9),"",IF(OR(AW1757=3,AW1757=4,AW1757=5,AW1757=6),VLOOKUP(AU1757,INDEX((係数_バス貨物_ガソリン,係数_バス貨物_CNG,係数_バス貨物_軽油,係数_バス貨物_メタノール,係数_バス貨物_LPG),MATCH(AY1757,【参考】排出係数!$AI$4:$AI$671,1),1,BE1757):INDEX((係数_バス貨物_ガソリン,係数_バス貨物_CNG,係数_バス貨物_軽油,係数_バス貨物_メタノール,係数_バス貨物_LPG),MATCH(AY1757+1,【参考】排出係数!$AI$4:$AI$671,1)-1,5,BE1757),2,FALSE),IF(OR(AW1757=1,AW1757=2),VLOOKUP(AU1757,INDEX((係数_乗用_ガソリン,係数_乗用_CNG,係数_乗用_軽油,係数_乗用_メタノール,係数_乗用_LPG),1,1,BE1757):INDEX((係数_乗用_ガソリン,係数_乗用_CNG,係数_乗用_軽油,係数_乗用_メタノール,係数_乗用_LPG),125,5,BE1757),2,FALSE))))))</f>
        <v/>
      </c>
      <c r="BB1757" s="468" t="str">
        <f>IF(T1757="","",IF(OR(AU1757="",AU1757="-"),"－",IF(OR(AZ1757=8,AZ1757=9),"",IF(OR(AW1757=3,AW1757=4,AW1757=5,AW1757=6),VLOOKUP(AU1757,INDEX((係数_バス貨物_ガソリン,係数_バス貨物_CNG,係数_バス貨物_軽油,係数_バス貨物_メタノール,係数_バス貨物_LPG),MATCH(AY1757,【参考】排出係数!$AI$4:$AI$671,1),1,BE1757):INDEX((係数_バス貨物_ガソリン,係数_バス貨物_CNG,係数_バス貨物_軽油,係数_バス貨物_メタノール,係数_バス貨物_LPG),MATCH(AY1757+1,【参考】排出係数!$AI$4:$AI$671,1)-1,5,BE1757),3,FALSE),IF(OR(AW1757=1,AW1757=2),VLOOKUP(AU1757,INDEX((係数_乗用_ガソリン,係数_乗用_CNG,係数_乗用_軽油,係数_乗用_メタノール,係数_乗用_LPG),1,1,BE1757):INDEX((係数_乗用_ガソリン,係数_乗用_CNG,係数_乗用_軽油,係数_乗用_メタノール,係数_乗用_LPG),125,5,BE1757),3,FALSE))))))</f>
        <v/>
      </c>
      <c r="BC1757" s="467" t="str">
        <f t="shared" si="1014"/>
        <v/>
      </c>
      <c r="BD1757" s="567" t="str">
        <f t="shared" si="1015"/>
        <v/>
      </c>
      <c r="BE1757" s="467" t="str">
        <f t="shared" si="1016"/>
        <v/>
      </c>
      <c r="BF1757" s="469" t="str">
        <f t="shared" ca="1" si="1017"/>
        <v/>
      </c>
      <c r="BG1757" s="469" t="str">
        <f t="shared" ca="1" si="1018"/>
        <v/>
      </c>
      <c r="BH1757" s="467" t="str">
        <f t="shared" si="1019"/>
        <v/>
      </c>
      <c r="BI1757" s="467" t="str">
        <f t="shared" ca="1" si="1020"/>
        <v/>
      </c>
      <c r="BJ1757" s="469" t="str">
        <f t="shared" si="1021"/>
        <v/>
      </c>
      <c r="BK1757" s="470" t="str">
        <f t="shared" si="1005"/>
        <v/>
      </c>
      <c r="BL1757" s="775" t="str">
        <f t="shared" si="1022"/>
        <v/>
      </c>
      <c r="BM1757" s="775" t="str">
        <f t="shared" si="1023"/>
        <v/>
      </c>
    </row>
    <row r="1758" spans="1:65">
      <c r="A1758" s="473">
        <v>1702</v>
      </c>
      <c r="B1758" s="132"/>
      <c r="C1758" s="332"/>
      <c r="D1758" s="333"/>
      <c r="E1758" s="333"/>
      <c r="F1758" s="334"/>
      <c r="G1758" s="337"/>
      <c r="H1758" s="131"/>
      <c r="I1758" s="337"/>
      <c r="J1758" s="131"/>
      <c r="K1758" s="458" t="str">
        <f t="shared" si="986"/>
        <v/>
      </c>
      <c r="L1758" s="458">
        <f t="shared" si="987"/>
        <v>0</v>
      </c>
      <c r="M1758" s="458">
        <f t="shared" si="988"/>
        <v>0</v>
      </c>
      <c r="N1758" s="459" t="str">
        <f t="shared" si="999"/>
        <v/>
      </c>
      <c r="O1758" s="459" t="str">
        <f t="shared" si="1000"/>
        <v/>
      </c>
      <c r="P1758" s="459" t="str">
        <f t="shared" si="1001"/>
        <v/>
      </c>
      <c r="Q1758" s="459" t="str">
        <f t="shared" si="1002"/>
        <v/>
      </c>
      <c r="R1758" s="459" t="str">
        <f t="shared" si="1003"/>
        <v/>
      </c>
      <c r="S1758" s="459" t="str">
        <f t="shared" si="1004"/>
        <v/>
      </c>
      <c r="T1758" s="566" t="str">
        <f t="shared" si="989"/>
        <v/>
      </c>
      <c r="U1758" s="702"/>
      <c r="V1758" s="132"/>
      <c r="W1758" s="133"/>
      <c r="X1758" s="134"/>
      <c r="Y1758" s="135"/>
      <c r="Z1758" s="137"/>
      <c r="AA1758" s="136"/>
      <c r="AB1758" s="566" t="str">
        <f t="shared" si="990"/>
        <v/>
      </c>
      <c r="AC1758" s="568" t="str">
        <f t="shared" si="991"/>
        <v/>
      </c>
      <c r="AD1758" s="137"/>
      <c r="AE1758" s="137"/>
      <c r="AF1758" s="138"/>
      <c r="AG1758" s="138"/>
      <c r="AH1758" s="592" t="str">
        <f t="shared" si="992"/>
        <v/>
      </c>
      <c r="AI1758" s="592" t="str">
        <f t="shared" si="993"/>
        <v/>
      </c>
      <c r="AJ1758" s="592" t="str">
        <f t="shared" si="994"/>
        <v/>
      </c>
      <c r="AK1758" s="460" t="str">
        <f>IF(AU1758="","",IF(OR(AZ1758=8,AZ1758=9),0,IF(OR(AW1758=3,AW1758=4,AW1758=5,AW1758=6),IF(LEFT(BF1758,1)="1",INDEX(係数_NOX・PM低減,MATCH(AY1758,【参考】排出係数!$AI$801:$AI$804,1),1),VLOOKUP(AU1758,INDEX((係数_バス貨物_ガソリン,係数_バス貨物_CNG,係数_バス貨物_軽油,係数_バス貨物_メタノール,係数_バス貨物_LPG),MATCH(AY1758,【参考】排出係数!$AI$4:$AI$671,1),1,BE1758):INDEX((係数_バス貨物_ガソリン,係数_バス貨物_CNG,係数_バス貨物_軽油,係数_バス貨物_メタノール,係数_バス貨物_LPG),MATCH(AY1758+1,【参考】排出係数!$AI$4:$AI$671,1)-1,5,BE1758),4,FALSE)),IF(AND(BE1758=3,LEFT(BF1758,1)="1"),0.48,VLOOKUP(AU1758,INDEX((係数_乗用_ガソリン,係数_乗用_CNG,係数_乗用_軽油,係数_乗用_メタノール,係数_乗用_LPG),1,1,BE1758):INDEX((係数_乗用_ガソリン,係数_乗用_CNG,係数_乗用_軽油,係数_乗用_メタノール,係数_乗用_LPG),125,5,BE1758),4,FALSE)))))</f>
        <v/>
      </c>
      <c r="AL1758" s="461" t="str">
        <f t="shared" si="995"/>
        <v/>
      </c>
      <c r="AM1758" s="460" t="str">
        <f>IF(AU1758="","",IF(OR(AZ1758=8,AZ1758=9),0,IF(OR(AW1758=3,AW1758=4,AW1758=5,AW1758=6),IF(LEFT(BH1758,1)="1",INDEX(係数_PM低減,MATCH(AY1758,【参考】排出係数!$AI$801:$AI$804,1),MATCH(BI1758,【参考】排出係数!$AL$798:$AO$798,1)),VLOOKUP(AU1758,INDEX((係数_バス貨物_ガソリン,係数_バス貨物_CNG,係数_バス貨物_軽油,係数_バス貨物_メタノール,係数_バス貨物_LPG),MATCH(AY1758,【参考】排出係数!$AI$4:$AI$671,1),1,BE1758):INDEX((係数_バス貨物_ガソリン,係数_バス貨物_CNG,係数_バス貨物_軽油,係数_バス貨物_メタノール,係数_バス貨物_LPG),MATCH(AY1758+1,【参考】排出係数!$AI$4:$AI$671,1)-1,5,BE1758),5,FALSE)),IF(AND(BE1758=3,LEFT(BF1758,1)="1"),0.055,VLOOKUP(AU1758,INDEX((係数_乗用_ガソリン,係数_乗用_CNG,係数_乗用_軽油,係数_乗用_メタノール,係数_乗用_LPG),1,1,BE1758):INDEX((係数_乗用_ガソリン,係数_乗用_CNG,係数_乗用_軽油,係数_乗用_メタノール,係数_乗用_LPG),125,5,BE1758),5,FALSE)))))</f>
        <v/>
      </c>
      <c r="AN1758" s="461" t="str">
        <f t="shared" si="996"/>
        <v/>
      </c>
      <c r="AO1758" s="462" t="str">
        <f t="shared" si="997"/>
        <v/>
      </c>
      <c r="AP1758" s="463" t="str">
        <f t="shared" si="998"/>
        <v/>
      </c>
      <c r="AQ1758" s="464"/>
      <c r="AR1758" s="619"/>
      <c r="AS1758" s="465" t="str">
        <f t="shared" si="1006"/>
        <v/>
      </c>
      <c r="AT1758" s="465" t="str">
        <f t="shared" si="1007"/>
        <v/>
      </c>
      <c r="AU1758" s="466" t="str">
        <f t="shared" si="1008"/>
        <v/>
      </c>
      <c r="AV1758" s="467" t="str">
        <f t="shared" si="1009"/>
        <v/>
      </c>
      <c r="AW1758" s="467" t="str">
        <f t="shared" si="1010"/>
        <v/>
      </c>
      <c r="AX1758" s="467" t="str">
        <f t="shared" si="1011"/>
        <v/>
      </c>
      <c r="AY1758" s="467" t="str">
        <f t="shared" si="1012"/>
        <v/>
      </c>
      <c r="AZ1758" s="467" t="str">
        <f t="shared" si="1013"/>
        <v/>
      </c>
      <c r="BA1758" s="468" t="str">
        <f>IF(AS1758="","",IF(OR(AU1758="",AU1758="-"),"－",IF(OR(AZ1758=8,AZ1758=9),"",IF(OR(AW1758=3,AW1758=4,AW1758=5,AW1758=6),VLOOKUP(AU1758,INDEX((係数_バス貨物_ガソリン,係数_バス貨物_CNG,係数_バス貨物_軽油,係数_バス貨物_メタノール,係数_バス貨物_LPG),MATCH(AY1758,【参考】排出係数!$AI$4:$AI$671,1),1,BE1758):INDEX((係数_バス貨物_ガソリン,係数_バス貨物_CNG,係数_バス貨物_軽油,係数_バス貨物_メタノール,係数_バス貨物_LPG),MATCH(AY1758+1,【参考】排出係数!$AI$4:$AI$671,1)-1,5,BE1758),2,FALSE),IF(OR(AW1758=1,AW1758=2),VLOOKUP(AU1758,INDEX((係数_乗用_ガソリン,係数_乗用_CNG,係数_乗用_軽油,係数_乗用_メタノール,係数_乗用_LPG),1,1,BE1758):INDEX((係数_乗用_ガソリン,係数_乗用_CNG,係数_乗用_軽油,係数_乗用_メタノール,係数_乗用_LPG),125,5,BE1758),2,FALSE))))))</f>
        <v/>
      </c>
      <c r="BB1758" s="468" t="str">
        <f>IF(T1758="","",IF(OR(AU1758="",AU1758="-"),"－",IF(OR(AZ1758=8,AZ1758=9),"",IF(OR(AW1758=3,AW1758=4,AW1758=5,AW1758=6),VLOOKUP(AU1758,INDEX((係数_バス貨物_ガソリン,係数_バス貨物_CNG,係数_バス貨物_軽油,係数_バス貨物_メタノール,係数_バス貨物_LPG),MATCH(AY1758,【参考】排出係数!$AI$4:$AI$671,1),1,BE1758):INDEX((係数_バス貨物_ガソリン,係数_バス貨物_CNG,係数_バス貨物_軽油,係数_バス貨物_メタノール,係数_バス貨物_LPG),MATCH(AY1758+1,【参考】排出係数!$AI$4:$AI$671,1)-1,5,BE1758),3,FALSE),IF(OR(AW1758=1,AW1758=2),VLOOKUP(AU1758,INDEX((係数_乗用_ガソリン,係数_乗用_CNG,係数_乗用_軽油,係数_乗用_メタノール,係数_乗用_LPG),1,1,BE1758):INDEX((係数_乗用_ガソリン,係数_乗用_CNG,係数_乗用_軽油,係数_乗用_メタノール,係数_乗用_LPG),125,5,BE1758),3,FALSE))))))</f>
        <v/>
      </c>
      <c r="BC1758" s="467" t="str">
        <f t="shared" si="1014"/>
        <v/>
      </c>
      <c r="BD1758" s="567" t="str">
        <f t="shared" si="1015"/>
        <v/>
      </c>
      <c r="BE1758" s="467" t="str">
        <f t="shared" si="1016"/>
        <v/>
      </c>
      <c r="BF1758" s="469" t="str">
        <f t="shared" ca="1" si="1017"/>
        <v/>
      </c>
      <c r="BG1758" s="469" t="str">
        <f t="shared" ca="1" si="1018"/>
        <v/>
      </c>
      <c r="BH1758" s="467" t="str">
        <f t="shared" si="1019"/>
        <v/>
      </c>
      <c r="BI1758" s="467" t="str">
        <f t="shared" ca="1" si="1020"/>
        <v/>
      </c>
      <c r="BJ1758" s="469" t="str">
        <f t="shared" si="1021"/>
        <v/>
      </c>
      <c r="BK1758" s="470" t="str">
        <f t="shared" si="1005"/>
        <v/>
      </c>
      <c r="BL1758" s="775" t="str">
        <f t="shared" si="1022"/>
        <v/>
      </c>
      <c r="BM1758" s="775" t="str">
        <f t="shared" si="1023"/>
        <v/>
      </c>
    </row>
    <row r="1759" spans="1:65">
      <c r="A1759" s="473">
        <v>1703</v>
      </c>
      <c r="B1759" s="132"/>
      <c r="C1759" s="332"/>
      <c r="D1759" s="333"/>
      <c r="E1759" s="333"/>
      <c r="F1759" s="334"/>
      <c r="G1759" s="337"/>
      <c r="H1759" s="131"/>
      <c r="I1759" s="337"/>
      <c r="J1759" s="131"/>
      <c r="K1759" s="458" t="str">
        <f t="shared" si="986"/>
        <v/>
      </c>
      <c r="L1759" s="458">
        <f t="shared" si="987"/>
        <v>0</v>
      </c>
      <c r="M1759" s="458">
        <f t="shared" si="988"/>
        <v>0</v>
      </c>
      <c r="N1759" s="459" t="str">
        <f t="shared" si="999"/>
        <v/>
      </c>
      <c r="O1759" s="459" t="str">
        <f t="shared" si="1000"/>
        <v/>
      </c>
      <c r="P1759" s="459" t="str">
        <f t="shared" si="1001"/>
        <v/>
      </c>
      <c r="Q1759" s="459" t="str">
        <f t="shared" si="1002"/>
        <v/>
      </c>
      <c r="R1759" s="459" t="str">
        <f t="shared" si="1003"/>
        <v/>
      </c>
      <c r="S1759" s="459" t="str">
        <f t="shared" si="1004"/>
        <v/>
      </c>
      <c r="T1759" s="566" t="str">
        <f t="shared" si="989"/>
        <v/>
      </c>
      <c r="U1759" s="702"/>
      <c r="V1759" s="132"/>
      <c r="W1759" s="133"/>
      <c r="X1759" s="134"/>
      <c r="Y1759" s="135"/>
      <c r="Z1759" s="137"/>
      <c r="AA1759" s="136"/>
      <c r="AB1759" s="566" t="str">
        <f t="shared" si="990"/>
        <v/>
      </c>
      <c r="AC1759" s="568" t="str">
        <f t="shared" si="991"/>
        <v/>
      </c>
      <c r="AD1759" s="137"/>
      <c r="AE1759" s="137"/>
      <c r="AF1759" s="138"/>
      <c r="AG1759" s="138"/>
      <c r="AH1759" s="592" t="str">
        <f t="shared" si="992"/>
        <v/>
      </c>
      <c r="AI1759" s="592" t="str">
        <f t="shared" si="993"/>
        <v/>
      </c>
      <c r="AJ1759" s="592" t="str">
        <f t="shared" si="994"/>
        <v/>
      </c>
      <c r="AK1759" s="460" t="str">
        <f>IF(AU1759="","",IF(OR(AZ1759=8,AZ1759=9),0,IF(OR(AW1759=3,AW1759=4,AW1759=5,AW1759=6),IF(LEFT(BF1759,1)="1",INDEX(係数_NOX・PM低減,MATCH(AY1759,【参考】排出係数!$AI$801:$AI$804,1),1),VLOOKUP(AU1759,INDEX((係数_バス貨物_ガソリン,係数_バス貨物_CNG,係数_バス貨物_軽油,係数_バス貨物_メタノール,係数_バス貨物_LPG),MATCH(AY1759,【参考】排出係数!$AI$4:$AI$671,1),1,BE1759):INDEX((係数_バス貨物_ガソリン,係数_バス貨物_CNG,係数_バス貨物_軽油,係数_バス貨物_メタノール,係数_バス貨物_LPG),MATCH(AY1759+1,【参考】排出係数!$AI$4:$AI$671,1)-1,5,BE1759),4,FALSE)),IF(AND(BE1759=3,LEFT(BF1759,1)="1"),0.48,VLOOKUP(AU1759,INDEX((係数_乗用_ガソリン,係数_乗用_CNG,係数_乗用_軽油,係数_乗用_メタノール,係数_乗用_LPG),1,1,BE1759):INDEX((係数_乗用_ガソリン,係数_乗用_CNG,係数_乗用_軽油,係数_乗用_メタノール,係数_乗用_LPG),125,5,BE1759),4,FALSE)))))</f>
        <v/>
      </c>
      <c r="AL1759" s="461" t="str">
        <f t="shared" si="995"/>
        <v/>
      </c>
      <c r="AM1759" s="460" t="str">
        <f>IF(AU1759="","",IF(OR(AZ1759=8,AZ1759=9),0,IF(OR(AW1759=3,AW1759=4,AW1759=5,AW1759=6),IF(LEFT(BH1759,1)="1",INDEX(係数_PM低減,MATCH(AY1759,【参考】排出係数!$AI$801:$AI$804,1),MATCH(BI1759,【参考】排出係数!$AL$798:$AO$798,1)),VLOOKUP(AU1759,INDEX((係数_バス貨物_ガソリン,係数_バス貨物_CNG,係数_バス貨物_軽油,係数_バス貨物_メタノール,係数_バス貨物_LPG),MATCH(AY1759,【参考】排出係数!$AI$4:$AI$671,1),1,BE1759):INDEX((係数_バス貨物_ガソリン,係数_バス貨物_CNG,係数_バス貨物_軽油,係数_バス貨物_メタノール,係数_バス貨物_LPG),MATCH(AY1759+1,【参考】排出係数!$AI$4:$AI$671,1)-1,5,BE1759),5,FALSE)),IF(AND(BE1759=3,LEFT(BF1759,1)="1"),0.055,VLOOKUP(AU1759,INDEX((係数_乗用_ガソリン,係数_乗用_CNG,係数_乗用_軽油,係数_乗用_メタノール,係数_乗用_LPG),1,1,BE1759):INDEX((係数_乗用_ガソリン,係数_乗用_CNG,係数_乗用_軽油,係数_乗用_メタノール,係数_乗用_LPG),125,5,BE1759),5,FALSE)))))</f>
        <v/>
      </c>
      <c r="AN1759" s="461" t="str">
        <f t="shared" si="996"/>
        <v/>
      </c>
      <c r="AO1759" s="462" t="str">
        <f t="shared" si="997"/>
        <v/>
      </c>
      <c r="AP1759" s="463" t="str">
        <f t="shared" si="998"/>
        <v/>
      </c>
      <c r="AQ1759" s="464"/>
      <c r="AR1759" s="619"/>
      <c r="AS1759" s="465" t="str">
        <f t="shared" si="1006"/>
        <v/>
      </c>
      <c r="AT1759" s="465" t="str">
        <f t="shared" si="1007"/>
        <v/>
      </c>
      <c r="AU1759" s="466" t="str">
        <f t="shared" si="1008"/>
        <v/>
      </c>
      <c r="AV1759" s="467" t="str">
        <f t="shared" si="1009"/>
        <v/>
      </c>
      <c r="AW1759" s="467" t="str">
        <f t="shared" si="1010"/>
        <v/>
      </c>
      <c r="AX1759" s="467" t="str">
        <f t="shared" si="1011"/>
        <v/>
      </c>
      <c r="AY1759" s="467" t="str">
        <f t="shared" si="1012"/>
        <v/>
      </c>
      <c r="AZ1759" s="467" t="str">
        <f t="shared" si="1013"/>
        <v/>
      </c>
      <c r="BA1759" s="468" t="str">
        <f>IF(AS1759="","",IF(OR(AU1759="",AU1759="-"),"－",IF(OR(AZ1759=8,AZ1759=9),"",IF(OR(AW1759=3,AW1759=4,AW1759=5,AW1759=6),VLOOKUP(AU1759,INDEX((係数_バス貨物_ガソリン,係数_バス貨物_CNG,係数_バス貨物_軽油,係数_バス貨物_メタノール,係数_バス貨物_LPG),MATCH(AY1759,【参考】排出係数!$AI$4:$AI$671,1),1,BE1759):INDEX((係数_バス貨物_ガソリン,係数_バス貨物_CNG,係数_バス貨物_軽油,係数_バス貨物_メタノール,係数_バス貨物_LPG),MATCH(AY1759+1,【参考】排出係数!$AI$4:$AI$671,1)-1,5,BE1759),2,FALSE),IF(OR(AW1759=1,AW1759=2),VLOOKUP(AU1759,INDEX((係数_乗用_ガソリン,係数_乗用_CNG,係数_乗用_軽油,係数_乗用_メタノール,係数_乗用_LPG),1,1,BE1759):INDEX((係数_乗用_ガソリン,係数_乗用_CNG,係数_乗用_軽油,係数_乗用_メタノール,係数_乗用_LPG),125,5,BE1759),2,FALSE))))))</f>
        <v/>
      </c>
      <c r="BB1759" s="468" t="str">
        <f>IF(T1759="","",IF(OR(AU1759="",AU1759="-"),"－",IF(OR(AZ1759=8,AZ1759=9),"",IF(OR(AW1759=3,AW1759=4,AW1759=5,AW1759=6),VLOOKUP(AU1759,INDEX((係数_バス貨物_ガソリン,係数_バス貨物_CNG,係数_バス貨物_軽油,係数_バス貨物_メタノール,係数_バス貨物_LPG),MATCH(AY1759,【参考】排出係数!$AI$4:$AI$671,1),1,BE1759):INDEX((係数_バス貨物_ガソリン,係数_バス貨物_CNG,係数_バス貨物_軽油,係数_バス貨物_メタノール,係数_バス貨物_LPG),MATCH(AY1759+1,【参考】排出係数!$AI$4:$AI$671,1)-1,5,BE1759),3,FALSE),IF(OR(AW1759=1,AW1759=2),VLOOKUP(AU1759,INDEX((係数_乗用_ガソリン,係数_乗用_CNG,係数_乗用_軽油,係数_乗用_メタノール,係数_乗用_LPG),1,1,BE1759):INDEX((係数_乗用_ガソリン,係数_乗用_CNG,係数_乗用_軽油,係数_乗用_メタノール,係数_乗用_LPG),125,5,BE1759),3,FALSE))))))</f>
        <v/>
      </c>
      <c r="BC1759" s="467" t="str">
        <f t="shared" si="1014"/>
        <v/>
      </c>
      <c r="BD1759" s="567" t="str">
        <f t="shared" si="1015"/>
        <v/>
      </c>
      <c r="BE1759" s="467" t="str">
        <f t="shared" si="1016"/>
        <v/>
      </c>
      <c r="BF1759" s="469" t="str">
        <f t="shared" ca="1" si="1017"/>
        <v/>
      </c>
      <c r="BG1759" s="469" t="str">
        <f t="shared" ca="1" si="1018"/>
        <v/>
      </c>
      <c r="BH1759" s="467" t="str">
        <f t="shared" si="1019"/>
        <v/>
      </c>
      <c r="BI1759" s="467" t="str">
        <f t="shared" ca="1" si="1020"/>
        <v/>
      </c>
      <c r="BJ1759" s="469" t="str">
        <f t="shared" si="1021"/>
        <v/>
      </c>
      <c r="BK1759" s="470" t="str">
        <f t="shared" si="1005"/>
        <v/>
      </c>
      <c r="BL1759" s="775" t="str">
        <f t="shared" si="1022"/>
        <v/>
      </c>
      <c r="BM1759" s="775" t="str">
        <f t="shared" si="1023"/>
        <v/>
      </c>
    </row>
    <row r="1760" spans="1:65">
      <c r="A1760" s="473">
        <v>1704</v>
      </c>
      <c r="B1760" s="132"/>
      <c r="C1760" s="332"/>
      <c r="D1760" s="333"/>
      <c r="E1760" s="333"/>
      <c r="F1760" s="334"/>
      <c r="G1760" s="337"/>
      <c r="H1760" s="131"/>
      <c r="I1760" s="337"/>
      <c r="J1760" s="131"/>
      <c r="K1760" s="458" t="str">
        <f t="shared" si="986"/>
        <v/>
      </c>
      <c r="L1760" s="458">
        <f t="shared" si="987"/>
        <v>0</v>
      </c>
      <c r="M1760" s="458">
        <f t="shared" si="988"/>
        <v>0</v>
      </c>
      <c r="N1760" s="459" t="str">
        <f t="shared" si="999"/>
        <v/>
      </c>
      <c r="O1760" s="459" t="str">
        <f t="shared" si="1000"/>
        <v/>
      </c>
      <c r="P1760" s="459" t="str">
        <f t="shared" si="1001"/>
        <v/>
      </c>
      <c r="Q1760" s="459" t="str">
        <f t="shared" si="1002"/>
        <v/>
      </c>
      <c r="R1760" s="459" t="str">
        <f t="shared" si="1003"/>
        <v/>
      </c>
      <c r="S1760" s="459" t="str">
        <f t="shared" si="1004"/>
        <v/>
      </c>
      <c r="T1760" s="566" t="str">
        <f t="shared" si="989"/>
        <v/>
      </c>
      <c r="U1760" s="702"/>
      <c r="V1760" s="132"/>
      <c r="W1760" s="133"/>
      <c r="X1760" s="134"/>
      <c r="Y1760" s="135"/>
      <c r="Z1760" s="137"/>
      <c r="AA1760" s="136"/>
      <c r="AB1760" s="566" t="str">
        <f t="shared" si="990"/>
        <v/>
      </c>
      <c r="AC1760" s="568" t="str">
        <f t="shared" si="991"/>
        <v/>
      </c>
      <c r="AD1760" s="137"/>
      <c r="AE1760" s="137"/>
      <c r="AF1760" s="138"/>
      <c r="AG1760" s="138"/>
      <c r="AH1760" s="592" t="str">
        <f t="shared" si="992"/>
        <v/>
      </c>
      <c r="AI1760" s="592" t="str">
        <f t="shared" si="993"/>
        <v/>
      </c>
      <c r="AJ1760" s="592" t="str">
        <f t="shared" si="994"/>
        <v/>
      </c>
      <c r="AK1760" s="460" t="str">
        <f>IF(AU1760="","",IF(OR(AZ1760=8,AZ1760=9),0,IF(OR(AW1760=3,AW1760=4,AW1760=5,AW1760=6),IF(LEFT(BF1760,1)="1",INDEX(係数_NOX・PM低減,MATCH(AY1760,【参考】排出係数!$AI$801:$AI$804,1),1),VLOOKUP(AU1760,INDEX((係数_バス貨物_ガソリン,係数_バス貨物_CNG,係数_バス貨物_軽油,係数_バス貨物_メタノール,係数_バス貨物_LPG),MATCH(AY1760,【参考】排出係数!$AI$4:$AI$671,1),1,BE1760):INDEX((係数_バス貨物_ガソリン,係数_バス貨物_CNG,係数_バス貨物_軽油,係数_バス貨物_メタノール,係数_バス貨物_LPG),MATCH(AY1760+1,【参考】排出係数!$AI$4:$AI$671,1)-1,5,BE1760),4,FALSE)),IF(AND(BE1760=3,LEFT(BF1760,1)="1"),0.48,VLOOKUP(AU1760,INDEX((係数_乗用_ガソリン,係数_乗用_CNG,係数_乗用_軽油,係数_乗用_メタノール,係数_乗用_LPG),1,1,BE1760):INDEX((係数_乗用_ガソリン,係数_乗用_CNG,係数_乗用_軽油,係数_乗用_メタノール,係数_乗用_LPG),125,5,BE1760),4,FALSE)))))</f>
        <v/>
      </c>
      <c r="AL1760" s="461" t="str">
        <f t="shared" si="995"/>
        <v/>
      </c>
      <c r="AM1760" s="460" t="str">
        <f>IF(AU1760="","",IF(OR(AZ1760=8,AZ1760=9),0,IF(OR(AW1760=3,AW1760=4,AW1760=5,AW1760=6),IF(LEFT(BH1760,1)="1",INDEX(係数_PM低減,MATCH(AY1760,【参考】排出係数!$AI$801:$AI$804,1),MATCH(BI1760,【参考】排出係数!$AL$798:$AO$798,1)),VLOOKUP(AU1760,INDEX((係数_バス貨物_ガソリン,係数_バス貨物_CNG,係数_バス貨物_軽油,係数_バス貨物_メタノール,係数_バス貨物_LPG),MATCH(AY1760,【参考】排出係数!$AI$4:$AI$671,1),1,BE1760):INDEX((係数_バス貨物_ガソリン,係数_バス貨物_CNG,係数_バス貨物_軽油,係数_バス貨物_メタノール,係数_バス貨物_LPG),MATCH(AY1760+1,【参考】排出係数!$AI$4:$AI$671,1)-1,5,BE1760),5,FALSE)),IF(AND(BE1760=3,LEFT(BF1760,1)="1"),0.055,VLOOKUP(AU1760,INDEX((係数_乗用_ガソリン,係数_乗用_CNG,係数_乗用_軽油,係数_乗用_メタノール,係数_乗用_LPG),1,1,BE1760):INDEX((係数_乗用_ガソリン,係数_乗用_CNG,係数_乗用_軽油,係数_乗用_メタノール,係数_乗用_LPG),125,5,BE1760),5,FALSE)))))</f>
        <v/>
      </c>
      <c r="AN1760" s="461" t="str">
        <f t="shared" si="996"/>
        <v/>
      </c>
      <c r="AO1760" s="462" t="str">
        <f t="shared" si="997"/>
        <v/>
      </c>
      <c r="AP1760" s="463" t="str">
        <f t="shared" si="998"/>
        <v/>
      </c>
      <c r="AQ1760" s="464"/>
      <c r="AR1760" s="619"/>
      <c r="AS1760" s="465" t="str">
        <f t="shared" si="1006"/>
        <v/>
      </c>
      <c r="AT1760" s="465" t="str">
        <f t="shared" si="1007"/>
        <v/>
      </c>
      <c r="AU1760" s="466" t="str">
        <f t="shared" si="1008"/>
        <v/>
      </c>
      <c r="AV1760" s="467" t="str">
        <f t="shared" si="1009"/>
        <v/>
      </c>
      <c r="AW1760" s="467" t="str">
        <f t="shared" si="1010"/>
        <v/>
      </c>
      <c r="AX1760" s="467" t="str">
        <f t="shared" si="1011"/>
        <v/>
      </c>
      <c r="AY1760" s="467" t="str">
        <f t="shared" si="1012"/>
        <v/>
      </c>
      <c r="AZ1760" s="467" t="str">
        <f t="shared" si="1013"/>
        <v/>
      </c>
      <c r="BA1760" s="468" t="str">
        <f>IF(AS1760="","",IF(OR(AU1760="",AU1760="-"),"－",IF(OR(AZ1760=8,AZ1760=9),"",IF(OR(AW1760=3,AW1760=4,AW1760=5,AW1760=6),VLOOKUP(AU1760,INDEX((係数_バス貨物_ガソリン,係数_バス貨物_CNG,係数_バス貨物_軽油,係数_バス貨物_メタノール,係数_バス貨物_LPG),MATCH(AY1760,【参考】排出係数!$AI$4:$AI$671,1),1,BE1760):INDEX((係数_バス貨物_ガソリン,係数_バス貨物_CNG,係数_バス貨物_軽油,係数_バス貨物_メタノール,係数_バス貨物_LPG),MATCH(AY1760+1,【参考】排出係数!$AI$4:$AI$671,1)-1,5,BE1760),2,FALSE),IF(OR(AW1760=1,AW1760=2),VLOOKUP(AU1760,INDEX((係数_乗用_ガソリン,係数_乗用_CNG,係数_乗用_軽油,係数_乗用_メタノール,係数_乗用_LPG),1,1,BE1760):INDEX((係数_乗用_ガソリン,係数_乗用_CNG,係数_乗用_軽油,係数_乗用_メタノール,係数_乗用_LPG),125,5,BE1760),2,FALSE))))))</f>
        <v/>
      </c>
      <c r="BB1760" s="468" t="str">
        <f>IF(T1760="","",IF(OR(AU1760="",AU1760="-"),"－",IF(OR(AZ1760=8,AZ1760=9),"",IF(OR(AW1760=3,AW1760=4,AW1760=5,AW1760=6),VLOOKUP(AU1760,INDEX((係数_バス貨物_ガソリン,係数_バス貨物_CNG,係数_バス貨物_軽油,係数_バス貨物_メタノール,係数_バス貨物_LPG),MATCH(AY1760,【参考】排出係数!$AI$4:$AI$671,1),1,BE1760):INDEX((係数_バス貨物_ガソリン,係数_バス貨物_CNG,係数_バス貨物_軽油,係数_バス貨物_メタノール,係数_バス貨物_LPG),MATCH(AY1760+1,【参考】排出係数!$AI$4:$AI$671,1)-1,5,BE1760),3,FALSE),IF(OR(AW1760=1,AW1760=2),VLOOKUP(AU1760,INDEX((係数_乗用_ガソリン,係数_乗用_CNG,係数_乗用_軽油,係数_乗用_メタノール,係数_乗用_LPG),1,1,BE1760):INDEX((係数_乗用_ガソリン,係数_乗用_CNG,係数_乗用_軽油,係数_乗用_メタノール,係数_乗用_LPG),125,5,BE1760),3,FALSE))))))</f>
        <v/>
      </c>
      <c r="BC1760" s="467" t="str">
        <f t="shared" si="1014"/>
        <v/>
      </c>
      <c r="BD1760" s="567" t="str">
        <f t="shared" si="1015"/>
        <v/>
      </c>
      <c r="BE1760" s="467" t="str">
        <f t="shared" si="1016"/>
        <v/>
      </c>
      <c r="BF1760" s="469" t="str">
        <f t="shared" ca="1" si="1017"/>
        <v/>
      </c>
      <c r="BG1760" s="469" t="str">
        <f t="shared" ca="1" si="1018"/>
        <v/>
      </c>
      <c r="BH1760" s="467" t="str">
        <f t="shared" si="1019"/>
        <v/>
      </c>
      <c r="BI1760" s="467" t="str">
        <f t="shared" ca="1" si="1020"/>
        <v/>
      </c>
      <c r="BJ1760" s="469" t="str">
        <f t="shared" si="1021"/>
        <v/>
      </c>
      <c r="BK1760" s="470" t="str">
        <f t="shared" si="1005"/>
        <v/>
      </c>
      <c r="BL1760" s="775" t="str">
        <f t="shared" si="1022"/>
        <v/>
      </c>
      <c r="BM1760" s="775" t="str">
        <f t="shared" si="1023"/>
        <v/>
      </c>
    </row>
    <row r="1761" spans="1:65">
      <c r="A1761" s="473">
        <v>1705</v>
      </c>
      <c r="B1761" s="132"/>
      <c r="C1761" s="332"/>
      <c r="D1761" s="333"/>
      <c r="E1761" s="333"/>
      <c r="F1761" s="334"/>
      <c r="G1761" s="337"/>
      <c r="H1761" s="131"/>
      <c r="I1761" s="337"/>
      <c r="J1761" s="131"/>
      <c r="K1761" s="458" t="str">
        <f t="shared" si="986"/>
        <v/>
      </c>
      <c r="L1761" s="458">
        <f t="shared" si="987"/>
        <v>0</v>
      </c>
      <c r="M1761" s="458">
        <f t="shared" si="988"/>
        <v>0</v>
      </c>
      <c r="N1761" s="459" t="str">
        <f t="shared" si="999"/>
        <v/>
      </c>
      <c r="O1761" s="459" t="str">
        <f t="shared" si="1000"/>
        <v/>
      </c>
      <c r="P1761" s="459" t="str">
        <f t="shared" si="1001"/>
        <v/>
      </c>
      <c r="Q1761" s="459" t="str">
        <f t="shared" si="1002"/>
        <v/>
      </c>
      <c r="R1761" s="459" t="str">
        <f t="shared" si="1003"/>
        <v/>
      </c>
      <c r="S1761" s="459" t="str">
        <f t="shared" si="1004"/>
        <v/>
      </c>
      <c r="T1761" s="566" t="str">
        <f t="shared" si="989"/>
        <v/>
      </c>
      <c r="U1761" s="702"/>
      <c r="V1761" s="132"/>
      <c r="W1761" s="133"/>
      <c r="X1761" s="134"/>
      <c r="Y1761" s="135"/>
      <c r="Z1761" s="137"/>
      <c r="AA1761" s="136"/>
      <c r="AB1761" s="566" t="str">
        <f t="shared" si="990"/>
        <v/>
      </c>
      <c r="AC1761" s="568" t="str">
        <f t="shared" si="991"/>
        <v/>
      </c>
      <c r="AD1761" s="137"/>
      <c r="AE1761" s="137"/>
      <c r="AF1761" s="138"/>
      <c r="AG1761" s="138"/>
      <c r="AH1761" s="592" t="str">
        <f t="shared" si="992"/>
        <v/>
      </c>
      <c r="AI1761" s="592" t="str">
        <f t="shared" si="993"/>
        <v/>
      </c>
      <c r="AJ1761" s="592" t="str">
        <f t="shared" si="994"/>
        <v/>
      </c>
      <c r="AK1761" s="460" t="str">
        <f>IF(AU1761="","",IF(OR(AZ1761=8,AZ1761=9),0,IF(OR(AW1761=3,AW1761=4,AW1761=5,AW1761=6),IF(LEFT(BF1761,1)="1",INDEX(係数_NOX・PM低減,MATCH(AY1761,【参考】排出係数!$AI$801:$AI$804,1),1),VLOOKUP(AU1761,INDEX((係数_バス貨物_ガソリン,係数_バス貨物_CNG,係数_バス貨物_軽油,係数_バス貨物_メタノール,係数_バス貨物_LPG),MATCH(AY1761,【参考】排出係数!$AI$4:$AI$671,1),1,BE1761):INDEX((係数_バス貨物_ガソリン,係数_バス貨物_CNG,係数_バス貨物_軽油,係数_バス貨物_メタノール,係数_バス貨物_LPG),MATCH(AY1761+1,【参考】排出係数!$AI$4:$AI$671,1)-1,5,BE1761),4,FALSE)),IF(AND(BE1761=3,LEFT(BF1761,1)="1"),0.48,VLOOKUP(AU1761,INDEX((係数_乗用_ガソリン,係数_乗用_CNG,係数_乗用_軽油,係数_乗用_メタノール,係数_乗用_LPG),1,1,BE1761):INDEX((係数_乗用_ガソリン,係数_乗用_CNG,係数_乗用_軽油,係数_乗用_メタノール,係数_乗用_LPG),125,5,BE1761),4,FALSE)))))</f>
        <v/>
      </c>
      <c r="AL1761" s="461" t="str">
        <f t="shared" si="995"/>
        <v/>
      </c>
      <c r="AM1761" s="460" t="str">
        <f>IF(AU1761="","",IF(OR(AZ1761=8,AZ1761=9),0,IF(OR(AW1761=3,AW1761=4,AW1761=5,AW1761=6),IF(LEFT(BH1761,1)="1",INDEX(係数_PM低減,MATCH(AY1761,【参考】排出係数!$AI$801:$AI$804,1),MATCH(BI1761,【参考】排出係数!$AL$798:$AO$798,1)),VLOOKUP(AU1761,INDEX((係数_バス貨物_ガソリン,係数_バス貨物_CNG,係数_バス貨物_軽油,係数_バス貨物_メタノール,係数_バス貨物_LPG),MATCH(AY1761,【参考】排出係数!$AI$4:$AI$671,1),1,BE1761):INDEX((係数_バス貨物_ガソリン,係数_バス貨物_CNG,係数_バス貨物_軽油,係数_バス貨物_メタノール,係数_バス貨物_LPG),MATCH(AY1761+1,【参考】排出係数!$AI$4:$AI$671,1)-1,5,BE1761),5,FALSE)),IF(AND(BE1761=3,LEFT(BF1761,1)="1"),0.055,VLOOKUP(AU1761,INDEX((係数_乗用_ガソリン,係数_乗用_CNG,係数_乗用_軽油,係数_乗用_メタノール,係数_乗用_LPG),1,1,BE1761):INDEX((係数_乗用_ガソリン,係数_乗用_CNG,係数_乗用_軽油,係数_乗用_メタノール,係数_乗用_LPG),125,5,BE1761),5,FALSE)))))</f>
        <v/>
      </c>
      <c r="AN1761" s="461" t="str">
        <f t="shared" si="996"/>
        <v/>
      </c>
      <c r="AO1761" s="462" t="str">
        <f t="shared" si="997"/>
        <v/>
      </c>
      <c r="AP1761" s="463" t="str">
        <f t="shared" si="998"/>
        <v/>
      </c>
      <c r="AQ1761" s="464"/>
      <c r="AR1761" s="619"/>
      <c r="AS1761" s="465" t="str">
        <f t="shared" si="1006"/>
        <v/>
      </c>
      <c r="AT1761" s="465" t="str">
        <f t="shared" si="1007"/>
        <v/>
      </c>
      <c r="AU1761" s="466" t="str">
        <f t="shared" si="1008"/>
        <v/>
      </c>
      <c r="AV1761" s="467" t="str">
        <f t="shared" si="1009"/>
        <v/>
      </c>
      <c r="AW1761" s="467" t="str">
        <f t="shared" si="1010"/>
        <v/>
      </c>
      <c r="AX1761" s="467" t="str">
        <f t="shared" si="1011"/>
        <v/>
      </c>
      <c r="AY1761" s="467" t="str">
        <f t="shared" si="1012"/>
        <v/>
      </c>
      <c r="AZ1761" s="467" t="str">
        <f t="shared" si="1013"/>
        <v/>
      </c>
      <c r="BA1761" s="468" t="str">
        <f>IF(AS1761="","",IF(OR(AU1761="",AU1761="-"),"－",IF(OR(AZ1761=8,AZ1761=9),"",IF(OR(AW1761=3,AW1761=4,AW1761=5,AW1761=6),VLOOKUP(AU1761,INDEX((係数_バス貨物_ガソリン,係数_バス貨物_CNG,係数_バス貨物_軽油,係数_バス貨物_メタノール,係数_バス貨物_LPG),MATCH(AY1761,【参考】排出係数!$AI$4:$AI$671,1),1,BE1761):INDEX((係数_バス貨物_ガソリン,係数_バス貨物_CNG,係数_バス貨物_軽油,係数_バス貨物_メタノール,係数_バス貨物_LPG),MATCH(AY1761+1,【参考】排出係数!$AI$4:$AI$671,1)-1,5,BE1761),2,FALSE),IF(OR(AW1761=1,AW1761=2),VLOOKUP(AU1761,INDEX((係数_乗用_ガソリン,係数_乗用_CNG,係数_乗用_軽油,係数_乗用_メタノール,係数_乗用_LPG),1,1,BE1761):INDEX((係数_乗用_ガソリン,係数_乗用_CNG,係数_乗用_軽油,係数_乗用_メタノール,係数_乗用_LPG),125,5,BE1761),2,FALSE))))))</f>
        <v/>
      </c>
      <c r="BB1761" s="468" t="str">
        <f>IF(T1761="","",IF(OR(AU1761="",AU1761="-"),"－",IF(OR(AZ1761=8,AZ1761=9),"",IF(OR(AW1761=3,AW1761=4,AW1761=5,AW1761=6),VLOOKUP(AU1761,INDEX((係数_バス貨物_ガソリン,係数_バス貨物_CNG,係数_バス貨物_軽油,係数_バス貨物_メタノール,係数_バス貨物_LPG),MATCH(AY1761,【参考】排出係数!$AI$4:$AI$671,1),1,BE1761):INDEX((係数_バス貨物_ガソリン,係数_バス貨物_CNG,係数_バス貨物_軽油,係数_バス貨物_メタノール,係数_バス貨物_LPG),MATCH(AY1761+1,【参考】排出係数!$AI$4:$AI$671,1)-1,5,BE1761),3,FALSE),IF(OR(AW1761=1,AW1761=2),VLOOKUP(AU1761,INDEX((係数_乗用_ガソリン,係数_乗用_CNG,係数_乗用_軽油,係数_乗用_メタノール,係数_乗用_LPG),1,1,BE1761):INDEX((係数_乗用_ガソリン,係数_乗用_CNG,係数_乗用_軽油,係数_乗用_メタノール,係数_乗用_LPG),125,5,BE1761),3,FALSE))))))</f>
        <v/>
      </c>
      <c r="BC1761" s="467" t="str">
        <f t="shared" si="1014"/>
        <v/>
      </c>
      <c r="BD1761" s="567" t="str">
        <f t="shared" si="1015"/>
        <v/>
      </c>
      <c r="BE1761" s="467" t="str">
        <f t="shared" si="1016"/>
        <v/>
      </c>
      <c r="BF1761" s="469" t="str">
        <f t="shared" ca="1" si="1017"/>
        <v/>
      </c>
      <c r="BG1761" s="469" t="str">
        <f t="shared" ca="1" si="1018"/>
        <v/>
      </c>
      <c r="BH1761" s="467" t="str">
        <f t="shared" si="1019"/>
        <v/>
      </c>
      <c r="BI1761" s="467" t="str">
        <f t="shared" ca="1" si="1020"/>
        <v/>
      </c>
      <c r="BJ1761" s="469" t="str">
        <f t="shared" si="1021"/>
        <v/>
      </c>
      <c r="BK1761" s="470" t="str">
        <f t="shared" si="1005"/>
        <v/>
      </c>
      <c r="BL1761" s="775" t="str">
        <f t="shared" si="1022"/>
        <v/>
      </c>
      <c r="BM1761" s="775" t="str">
        <f t="shared" si="1023"/>
        <v/>
      </c>
    </row>
    <row r="1762" spans="1:65">
      <c r="A1762" s="473">
        <v>1706</v>
      </c>
      <c r="B1762" s="132"/>
      <c r="C1762" s="332"/>
      <c r="D1762" s="333"/>
      <c r="E1762" s="333"/>
      <c r="F1762" s="334"/>
      <c r="G1762" s="337"/>
      <c r="H1762" s="131"/>
      <c r="I1762" s="337"/>
      <c r="J1762" s="131"/>
      <c r="K1762" s="458" t="str">
        <f t="shared" si="986"/>
        <v/>
      </c>
      <c r="L1762" s="458">
        <f t="shared" si="987"/>
        <v>0</v>
      </c>
      <c r="M1762" s="458">
        <f t="shared" si="988"/>
        <v>0</v>
      </c>
      <c r="N1762" s="459" t="str">
        <f t="shared" si="999"/>
        <v/>
      </c>
      <c r="O1762" s="459" t="str">
        <f t="shared" si="1000"/>
        <v/>
      </c>
      <c r="P1762" s="459" t="str">
        <f t="shared" si="1001"/>
        <v/>
      </c>
      <c r="Q1762" s="459" t="str">
        <f t="shared" si="1002"/>
        <v/>
      </c>
      <c r="R1762" s="459" t="str">
        <f t="shared" si="1003"/>
        <v/>
      </c>
      <c r="S1762" s="459" t="str">
        <f t="shared" si="1004"/>
        <v/>
      </c>
      <c r="T1762" s="566" t="str">
        <f t="shared" si="989"/>
        <v/>
      </c>
      <c r="U1762" s="702"/>
      <c r="V1762" s="132"/>
      <c r="W1762" s="133"/>
      <c r="X1762" s="134"/>
      <c r="Y1762" s="135"/>
      <c r="Z1762" s="137"/>
      <c r="AA1762" s="136"/>
      <c r="AB1762" s="566" t="str">
        <f t="shared" si="990"/>
        <v/>
      </c>
      <c r="AC1762" s="568" t="str">
        <f t="shared" si="991"/>
        <v/>
      </c>
      <c r="AD1762" s="137"/>
      <c r="AE1762" s="137"/>
      <c r="AF1762" s="138"/>
      <c r="AG1762" s="138"/>
      <c r="AH1762" s="592" t="str">
        <f t="shared" si="992"/>
        <v/>
      </c>
      <c r="AI1762" s="592" t="str">
        <f t="shared" si="993"/>
        <v/>
      </c>
      <c r="AJ1762" s="592" t="str">
        <f t="shared" si="994"/>
        <v/>
      </c>
      <c r="AK1762" s="460" t="str">
        <f>IF(AU1762="","",IF(OR(AZ1762=8,AZ1762=9),0,IF(OR(AW1762=3,AW1762=4,AW1762=5,AW1762=6),IF(LEFT(BF1762,1)="1",INDEX(係数_NOX・PM低減,MATCH(AY1762,【参考】排出係数!$AI$801:$AI$804,1),1),VLOOKUP(AU1762,INDEX((係数_バス貨物_ガソリン,係数_バス貨物_CNG,係数_バス貨物_軽油,係数_バス貨物_メタノール,係数_バス貨物_LPG),MATCH(AY1762,【参考】排出係数!$AI$4:$AI$671,1),1,BE1762):INDEX((係数_バス貨物_ガソリン,係数_バス貨物_CNG,係数_バス貨物_軽油,係数_バス貨物_メタノール,係数_バス貨物_LPG),MATCH(AY1762+1,【参考】排出係数!$AI$4:$AI$671,1)-1,5,BE1762),4,FALSE)),IF(AND(BE1762=3,LEFT(BF1762,1)="1"),0.48,VLOOKUP(AU1762,INDEX((係数_乗用_ガソリン,係数_乗用_CNG,係数_乗用_軽油,係数_乗用_メタノール,係数_乗用_LPG),1,1,BE1762):INDEX((係数_乗用_ガソリン,係数_乗用_CNG,係数_乗用_軽油,係数_乗用_メタノール,係数_乗用_LPG),125,5,BE1762),4,FALSE)))))</f>
        <v/>
      </c>
      <c r="AL1762" s="461" t="str">
        <f t="shared" si="995"/>
        <v/>
      </c>
      <c r="AM1762" s="460" t="str">
        <f>IF(AU1762="","",IF(OR(AZ1762=8,AZ1762=9),0,IF(OR(AW1762=3,AW1762=4,AW1762=5,AW1762=6),IF(LEFT(BH1762,1)="1",INDEX(係数_PM低減,MATCH(AY1762,【参考】排出係数!$AI$801:$AI$804,1),MATCH(BI1762,【参考】排出係数!$AL$798:$AO$798,1)),VLOOKUP(AU1762,INDEX((係数_バス貨物_ガソリン,係数_バス貨物_CNG,係数_バス貨物_軽油,係数_バス貨物_メタノール,係数_バス貨物_LPG),MATCH(AY1762,【参考】排出係数!$AI$4:$AI$671,1),1,BE1762):INDEX((係数_バス貨物_ガソリン,係数_バス貨物_CNG,係数_バス貨物_軽油,係数_バス貨物_メタノール,係数_バス貨物_LPG),MATCH(AY1762+1,【参考】排出係数!$AI$4:$AI$671,1)-1,5,BE1762),5,FALSE)),IF(AND(BE1762=3,LEFT(BF1762,1)="1"),0.055,VLOOKUP(AU1762,INDEX((係数_乗用_ガソリン,係数_乗用_CNG,係数_乗用_軽油,係数_乗用_メタノール,係数_乗用_LPG),1,1,BE1762):INDEX((係数_乗用_ガソリン,係数_乗用_CNG,係数_乗用_軽油,係数_乗用_メタノール,係数_乗用_LPG),125,5,BE1762),5,FALSE)))))</f>
        <v/>
      </c>
      <c r="AN1762" s="461" t="str">
        <f t="shared" si="996"/>
        <v/>
      </c>
      <c r="AO1762" s="462" t="str">
        <f t="shared" si="997"/>
        <v/>
      </c>
      <c r="AP1762" s="463" t="str">
        <f t="shared" si="998"/>
        <v/>
      </c>
      <c r="AQ1762" s="464"/>
      <c r="AR1762" s="619"/>
      <c r="AS1762" s="465" t="str">
        <f t="shared" si="1006"/>
        <v/>
      </c>
      <c r="AT1762" s="465" t="str">
        <f t="shared" si="1007"/>
        <v/>
      </c>
      <c r="AU1762" s="466" t="str">
        <f t="shared" si="1008"/>
        <v/>
      </c>
      <c r="AV1762" s="467" t="str">
        <f t="shared" si="1009"/>
        <v/>
      </c>
      <c r="AW1762" s="467" t="str">
        <f t="shared" si="1010"/>
        <v/>
      </c>
      <c r="AX1762" s="467" t="str">
        <f t="shared" si="1011"/>
        <v/>
      </c>
      <c r="AY1762" s="467" t="str">
        <f t="shared" si="1012"/>
        <v/>
      </c>
      <c r="AZ1762" s="467" t="str">
        <f t="shared" si="1013"/>
        <v/>
      </c>
      <c r="BA1762" s="468" t="str">
        <f>IF(AS1762="","",IF(OR(AU1762="",AU1762="-"),"－",IF(OR(AZ1762=8,AZ1762=9),"",IF(OR(AW1762=3,AW1762=4,AW1762=5,AW1762=6),VLOOKUP(AU1762,INDEX((係数_バス貨物_ガソリン,係数_バス貨物_CNG,係数_バス貨物_軽油,係数_バス貨物_メタノール,係数_バス貨物_LPG),MATCH(AY1762,【参考】排出係数!$AI$4:$AI$671,1),1,BE1762):INDEX((係数_バス貨物_ガソリン,係数_バス貨物_CNG,係数_バス貨物_軽油,係数_バス貨物_メタノール,係数_バス貨物_LPG),MATCH(AY1762+1,【参考】排出係数!$AI$4:$AI$671,1)-1,5,BE1762),2,FALSE),IF(OR(AW1762=1,AW1762=2),VLOOKUP(AU1762,INDEX((係数_乗用_ガソリン,係数_乗用_CNG,係数_乗用_軽油,係数_乗用_メタノール,係数_乗用_LPG),1,1,BE1762):INDEX((係数_乗用_ガソリン,係数_乗用_CNG,係数_乗用_軽油,係数_乗用_メタノール,係数_乗用_LPG),125,5,BE1762),2,FALSE))))))</f>
        <v/>
      </c>
      <c r="BB1762" s="468" t="str">
        <f>IF(T1762="","",IF(OR(AU1762="",AU1762="-"),"－",IF(OR(AZ1762=8,AZ1762=9),"",IF(OR(AW1762=3,AW1762=4,AW1762=5,AW1762=6),VLOOKUP(AU1762,INDEX((係数_バス貨物_ガソリン,係数_バス貨物_CNG,係数_バス貨物_軽油,係数_バス貨物_メタノール,係数_バス貨物_LPG),MATCH(AY1762,【参考】排出係数!$AI$4:$AI$671,1),1,BE1762):INDEX((係数_バス貨物_ガソリン,係数_バス貨物_CNG,係数_バス貨物_軽油,係数_バス貨物_メタノール,係数_バス貨物_LPG),MATCH(AY1762+1,【参考】排出係数!$AI$4:$AI$671,1)-1,5,BE1762),3,FALSE),IF(OR(AW1762=1,AW1762=2),VLOOKUP(AU1762,INDEX((係数_乗用_ガソリン,係数_乗用_CNG,係数_乗用_軽油,係数_乗用_メタノール,係数_乗用_LPG),1,1,BE1762):INDEX((係数_乗用_ガソリン,係数_乗用_CNG,係数_乗用_軽油,係数_乗用_メタノール,係数_乗用_LPG),125,5,BE1762),3,FALSE))))))</f>
        <v/>
      </c>
      <c r="BC1762" s="467" t="str">
        <f t="shared" si="1014"/>
        <v/>
      </c>
      <c r="BD1762" s="567" t="str">
        <f t="shared" si="1015"/>
        <v/>
      </c>
      <c r="BE1762" s="467" t="str">
        <f t="shared" si="1016"/>
        <v/>
      </c>
      <c r="BF1762" s="469" t="str">
        <f t="shared" ca="1" si="1017"/>
        <v/>
      </c>
      <c r="BG1762" s="469" t="str">
        <f t="shared" ca="1" si="1018"/>
        <v/>
      </c>
      <c r="BH1762" s="467" t="str">
        <f t="shared" si="1019"/>
        <v/>
      </c>
      <c r="BI1762" s="467" t="str">
        <f t="shared" ca="1" si="1020"/>
        <v/>
      </c>
      <c r="BJ1762" s="469" t="str">
        <f t="shared" si="1021"/>
        <v/>
      </c>
      <c r="BK1762" s="470" t="str">
        <f t="shared" si="1005"/>
        <v/>
      </c>
      <c r="BL1762" s="775" t="str">
        <f t="shared" si="1022"/>
        <v/>
      </c>
      <c r="BM1762" s="775" t="str">
        <f t="shared" si="1023"/>
        <v/>
      </c>
    </row>
    <row r="1763" spans="1:65">
      <c r="A1763" s="473">
        <v>1707</v>
      </c>
      <c r="B1763" s="132"/>
      <c r="C1763" s="332"/>
      <c r="D1763" s="333"/>
      <c r="E1763" s="333"/>
      <c r="F1763" s="334"/>
      <c r="G1763" s="337"/>
      <c r="H1763" s="131"/>
      <c r="I1763" s="337"/>
      <c r="J1763" s="131"/>
      <c r="K1763" s="458" t="str">
        <f t="shared" si="986"/>
        <v/>
      </c>
      <c r="L1763" s="458">
        <f t="shared" si="987"/>
        <v>0</v>
      </c>
      <c r="M1763" s="458">
        <f t="shared" si="988"/>
        <v>0</v>
      </c>
      <c r="N1763" s="459" t="str">
        <f t="shared" si="999"/>
        <v/>
      </c>
      <c r="O1763" s="459" t="str">
        <f t="shared" si="1000"/>
        <v/>
      </c>
      <c r="P1763" s="459" t="str">
        <f t="shared" si="1001"/>
        <v/>
      </c>
      <c r="Q1763" s="459" t="str">
        <f t="shared" si="1002"/>
        <v/>
      </c>
      <c r="R1763" s="459" t="str">
        <f t="shared" si="1003"/>
        <v/>
      </c>
      <c r="S1763" s="459" t="str">
        <f t="shared" si="1004"/>
        <v/>
      </c>
      <c r="T1763" s="566" t="str">
        <f t="shared" si="989"/>
        <v/>
      </c>
      <c r="U1763" s="702"/>
      <c r="V1763" s="132"/>
      <c r="W1763" s="133"/>
      <c r="X1763" s="134"/>
      <c r="Y1763" s="135"/>
      <c r="Z1763" s="137"/>
      <c r="AA1763" s="136"/>
      <c r="AB1763" s="566" t="str">
        <f t="shared" si="990"/>
        <v/>
      </c>
      <c r="AC1763" s="568" t="str">
        <f t="shared" si="991"/>
        <v/>
      </c>
      <c r="AD1763" s="137"/>
      <c r="AE1763" s="137"/>
      <c r="AF1763" s="138"/>
      <c r="AG1763" s="138"/>
      <c r="AH1763" s="592" t="str">
        <f t="shared" si="992"/>
        <v/>
      </c>
      <c r="AI1763" s="592" t="str">
        <f t="shared" si="993"/>
        <v/>
      </c>
      <c r="AJ1763" s="592" t="str">
        <f t="shared" si="994"/>
        <v/>
      </c>
      <c r="AK1763" s="460" t="str">
        <f>IF(AU1763="","",IF(OR(AZ1763=8,AZ1763=9),0,IF(OR(AW1763=3,AW1763=4,AW1763=5,AW1763=6),IF(LEFT(BF1763,1)="1",INDEX(係数_NOX・PM低減,MATCH(AY1763,【参考】排出係数!$AI$801:$AI$804,1),1),VLOOKUP(AU1763,INDEX((係数_バス貨物_ガソリン,係数_バス貨物_CNG,係数_バス貨物_軽油,係数_バス貨物_メタノール,係数_バス貨物_LPG),MATCH(AY1763,【参考】排出係数!$AI$4:$AI$671,1),1,BE1763):INDEX((係数_バス貨物_ガソリン,係数_バス貨物_CNG,係数_バス貨物_軽油,係数_バス貨物_メタノール,係数_バス貨物_LPG),MATCH(AY1763+1,【参考】排出係数!$AI$4:$AI$671,1)-1,5,BE1763),4,FALSE)),IF(AND(BE1763=3,LEFT(BF1763,1)="1"),0.48,VLOOKUP(AU1763,INDEX((係数_乗用_ガソリン,係数_乗用_CNG,係数_乗用_軽油,係数_乗用_メタノール,係数_乗用_LPG),1,1,BE1763):INDEX((係数_乗用_ガソリン,係数_乗用_CNG,係数_乗用_軽油,係数_乗用_メタノール,係数_乗用_LPG),125,5,BE1763),4,FALSE)))))</f>
        <v/>
      </c>
      <c r="AL1763" s="461" t="str">
        <f t="shared" si="995"/>
        <v/>
      </c>
      <c r="AM1763" s="460" t="str">
        <f>IF(AU1763="","",IF(OR(AZ1763=8,AZ1763=9),0,IF(OR(AW1763=3,AW1763=4,AW1763=5,AW1763=6),IF(LEFT(BH1763,1)="1",INDEX(係数_PM低減,MATCH(AY1763,【参考】排出係数!$AI$801:$AI$804,1),MATCH(BI1763,【参考】排出係数!$AL$798:$AO$798,1)),VLOOKUP(AU1763,INDEX((係数_バス貨物_ガソリン,係数_バス貨物_CNG,係数_バス貨物_軽油,係数_バス貨物_メタノール,係数_バス貨物_LPG),MATCH(AY1763,【参考】排出係数!$AI$4:$AI$671,1),1,BE1763):INDEX((係数_バス貨物_ガソリン,係数_バス貨物_CNG,係数_バス貨物_軽油,係数_バス貨物_メタノール,係数_バス貨物_LPG),MATCH(AY1763+1,【参考】排出係数!$AI$4:$AI$671,1)-1,5,BE1763),5,FALSE)),IF(AND(BE1763=3,LEFT(BF1763,1)="1"),0.055,VLOOKUP(AU1763,INDEX((係数_乗用_ガソリン,係数_乗用_CNG,係数_乗用_軽油,係数_乗用_メタノール,係数_乗用_LPG),1,1,BE1763):INDEX((係数_乗用_ガソリン,係数_乗用_CNG,係数_乗用_軽油,係数_乗用_メタノール,係数_乗用_LPG),125,5,BE1763),5,FALSE)))))</f>
        <v/>
      </c>
      <c r="AN1763" s="461" t="str">
        <f t="shared" si="996"/>
        <v/>
      </c>
      <c r="AO1763" s="462" t="str">
        <f t="shared" si="997"/>
        <v/>
      </c>
      <c r="AP1763" s="463" t="str">
        <f t="shared" si="998"/>
        <v/>
      </c>
      <c r="AQ1763" s="464"/>
      <c r="AR1763" s="619"/>
      <c r="AS1763" s="465" t="str">
        <f t="shared" si="1006"/>
        <v/>
      </c>
      <c r="AT1763" s="465" t="str">
        <f t="shared" si="1007"/>
        <v/>
      </c>
      <c r="AU1763" s="466" t="str">
        <f t="shared" si="1008"/>
        <v/>
      </c>
      <c r="AV1763" s="467" t="str">
        <f t="shared" si="1009"/>
        <v/>
      </c>
      <c r="AW1763" s="467" t="str">
        <f t="shared" si="1010"/>
        <v/>
      </c>
      <c r="AX1763" s="467" t="str">
        <f t="shared" si="1011"/>
        <v/>
      </c>
      <c r="AY1763" s="467" t="str">
        <f t="shared" si="1012"/>
        <v/>
      </c>
      <c r="AZ1763" s="467" t="str">
        <f t="shared" si="1013"/>
        <v/>
      </c>
      <c r="BA1763" s="468" t="str">
        <f>IF(AS1763="","",IF(OR(AU1763="",AU1763="-"),"－",IF(OR(AZ1763=8,AZ1763=9),"",IF(OR(AW1763=3,AW1763=4,AW1763=5,AW1763=6),VLOOKUP(AU1763,INDEX((係数_バス貨物_ガソリン,係数_バス貨物_CNG,係数_バス貨物_軽油,係数_バス貨物_メタノール,係数_バス貨物_LPG),MATCH(AY1763,【参考】排出係数!$AI$4:$AI$671,1),1,BE1763):INDEX((係数_バス貨物_ガソリン,係数_バス貨物_CNG,係数_バス貨物_軽油,係数_バス貨物_メタノール,係数_バス貨物_LPG),MATCH(AY1763+1,【参考】排出係数!$AI$4:$AI$671,1)-1,5,BE1763),2,FALSE),IF(OR(AW1763=1,AW1763=2),VLOOKUP(AU1763,INDEX((係数_乗用_ガソリン,係数_乗用_CNG,係数_乗用_軽油,係数_乗用_メタノール,係数_乗用_LPG),1,1,BE1763):INDEX((係数_乗用_ガソリン,係数_乗用_CNG,係数_乗用_軽油,係数_乗用_メタノール,係数_乗用_LPG),125,5,BE1763),2,FALSE))))))</f>
        <v/>
      </c>
      <c r="BB1763" s="468" t="str">
        <f>IF(T1763="","",IF(OR(AU1763="",AU1763="-"),"－",IF(OR(AZ1763=8,AZ1763=9),"",IF(OR(AW1763=3,AW1763=4,AW1763=5,AW1763=6),VLOOKUP(AU1763,INDEX((係数_バス貨物_ガソリン,係数_バス貨物_CNG,係数_バス貨物_軽油,係数_バス貨物_メタノール,係数_バス貨物_LPG),MATCH(AY1763,【参考】排出係数!$AI$4:$AI$671,1),1,BE1763):INDEX((係数_バス貨物_ガソリン,係数_バス貨物_CNG,係数_バス貨物_軽油,係数_バス貨物_メタノール,係数_バス貨物_LPG),MATCH(AY1763+1,【参考】排出係数!$AI$4:$AI$671,1)-1,5,BE1763),3,FALSE),IF(OR(AW1763=1,AW1763=2),VLOOKUP(AU1763,INDEX((係数_乗用_ガソリン,係数_乗用_CNG,係数_乗用_軽油,係数_乗用_メタノール,係数_乗用_LPG),1,1,BE1763):INDEX((係数_乗用_ガソリン,係数_乗用_CNG,係数_乗用_軽油,係数_乗用_メタノール,係数_乗用_LPG),125,5,BE1763),3,FALSE))))))</f>
        <v/>
      </c>
      <c r="BC1763" s="467" t="str">
        <f t="shared" si="1014"/>
        <v/>
      </c>
      <c r="BD1763" s="567" t="str">
        <f t="shared" si="1015"/>
        <v/>
      </c>
      <c r="BE1763" s="467" t="str">
        <f t="shared" si="1016"/>
        <v/>
      </c>
      <c r="BF1763" s="469" t="str">
        <f t="shared" ca="1" si="1017"/>
        <v/>
      </c>
      <c r="BG1763" s="469" t="str">
        <f t="shared" ca="1" si="1018"/>
        <v/>
      </c>
      <c r="BH1763" s="467" t="str">
        <f t="shared" si="1019"/>
        <v/>
      </c>
      <c r="BI1763" s="467" t="str">
        <f t="shared" ca="1" si="1020"/>
        <v/>
      </c>
      <c r="BJ1763" s="469" t="str">
        <f t="shared" si="1021"/>
        <v/>
      </c>
      <c r="BK1763" s="470" t="str">
        <f t="shared" si="1005"/>
        <v/>
      </c>
      <c r="BL1763" s="775" t="str">
        <f t="shared" si="1022"/>
        <v/>
      </c>
      <c r="BM1763" s="775" t="str">
        <f t="shared" si="1023"/>
        <v/>
      </c>
    </row>
    <row r="1764" spans="1:65">
      <c r="A1764" s="473">
        <v>1708</v>
      </c>
      <c r="B1764" s="132"/>
      <c r="C1764" s="332"/>
      <c r="D1764" s="333"/>
      <c r="E1764" s="333"/>
      <c r="F1764" s="334"/>
      <c r="G1764" s="337"/>
      <c r="H1764" s="131"/>
      <c r="I1764" s="337"/>
      <c r="J1764" s="131"/>
      <c r="K1764" s="458" t="str">
        <f t="shared" si="986"/>
        <v/>
      </c>
      <c r="L1764" s="458">
        <f t="shared" si="987"/>
        <v>0</v>
      </c>
      <c r="M1764" s="458">
        <f t="shared" si="988"/>
        <v>0</v>
      </c>
      <c r="N1764" s="459" t="str">
        <f t="shared" si="999"/>
        <v/>
      </c>
      <c r="O1764" s="459" t="str">
        <f t="shared" si="1000"/>
        <v/>
      </c>
      <c r="P1764" s="459" t="str">
        <f t="shared" si="1001"/>
        <v/>
      </c>
      <c r="Q1764" s="459" t="str">
        <f t="shared" si="1002"/>
        <v/>
      </c>
      <c r="R1764" s="459" t="str">
        <f t="shared" si="1003"/>
        <v/>
      </c>
      <c r="S1764" s="459" t="str">
        <f t="shared" si="1004"/>
        <v/>
      </c>
      <c r="T1764" s="566" t="str">
        <f t="shared" si="989"/>
        <v/>
      </c>
      <c r="U1764" s="702"/>
      <c r="V1764" s="132"/>
      <c r="W1764" s="133"/>
      <c r="X1764" s="134"/>
      <c r="Y1764" s="135"/>
      <c r="Z1764" s="137"/>
      <c r="AA1764" s="136"/>
      <c r="AB1764" s="566" t="str">
        <f t="shared" si="990"/>
        <v/>
      </c>
      <c r="AC1764" s="568" t="str">
        <f t="shared" si="991"/>
        <v/>
      </c>
      <c r="AD1764" s="137"/>
      <c r="AE1764" s="137"/>
      <c r="AF1764" s="138"/>
      <c r="AG1764" s="138"/>
      <c r="AH1764" s="592" t="str">
        <f t="shared" si="992"/>
        <v/>
      </c>
      <c r="AI1764" s="592" t="str">
        <f t="shared" si="993"/>
        <v/>
      </c>
      <c r="AJ1764" s="592" t="str">
        <f t="shared" si="994"/>
        <v/>
      </c>
      <c r="AK1764" s="460" t="str">
        <f>IF(AU1764="","",IF(OR(AZ1764=8,AZ1764=9),0,IF(OR(AW1764=3,AW1764=4,AW1764=5,AW1764=6),IF(LEFT(BF1764,1)="1",INDEX(係数_NOX・PM低減,MATCH(AY1764,【参考】排出係数!$AI$801:$AI$804,1),1),VLOOKUP(AU1764,INDEX((係数_バス貨物_ガソリン,係数_バス貨物_CNG,係数_バス貨物_軽油,係数_バス貨物_メタノール,係数_バス貨物_LPG),MATCH(AY1764,【参考】排出係数!$AI$4:$AI$671,1),1,BE1764):INDEX((係数_バス貨物_ガソリン,係数_バス貨物_CNG,係数_バス貨物_軽油,係数_バス貨物_メタノール,係数_バス貨物_LPG),MATCH(AY1764+1,【参考】排出係数!$AI$4:$AI$671,1)-1,5,BE1764),4,FALSE)),IF(AND(BE1764=3,LEFT(BF1764,1)="1"),0.48,VLOOKUP(AU1764,INDEX((係数_乗用_ガソリン,係数_乗用_CNG,係数_乗用_軽油,係数_乗用_メタノール,係数_乗用_LPG),1,1,BE1764):INDEX((係数_乗用_ガソリン,係数_乗用_CNG,係数_乗用_軽油,係数_乗用_メタノール,係数_乗用_LPG),125,5,BE1764),4,FALSE)))))</f>
        <v/>
      </c>
      <c r="AL1764" s="461" t="str">
        <f t="shared" si="995"/>
        <v/>
      </c>
      <c r="AM1764" s="460" t="str">
        <f>IF(AU1764="","",IF(OR(AZ1764=8,AZ1764=9),0,IF(OR(AW1764=3,AW1764=4,AW1764=5,AW1764=6),IF(LEFT(BH1764,1)="1",INDEX(係数_PM低減,MATCH(AY1764,【参考】排出係数!$AI$801:$AI$804,1),MATCH(BI1764,【参考】排出係数!$AL$798:$AO$798,1)),VLOOKUP(AU1764,INDEX((係数_バス貨物_ガソリン,係数_バス貨物_CNG,係数_バス貨物_軽油,係数_バス貨物_メタノール,係数_バス貨物_LPG),MATCH(AY1764,【参考】排出係数!$AI$4:$AI$671,1),1,BE1764):INDEX((係数_バス貨物_ガソリン,係数_バス貨物_CNG,係数_バス貨物_軽油,係数_バス貨物_メタノール,係数_バス貨物_LPG),MATCH(AY1764+1,【参考】排出係数!$AI$4:$AI$671,1)-1,5,BE1764),5,FALSE)),IF(AND(BE1764=3,LEFT(BF1764,1)="1"),0.055,VLOOKUP(AU1764,INDEX((係数_乗用_ガソリン,係数_乗用_CNG,係数_乗用_軽油,係数_乗用_メタノール,係数_乗用_LPG),1,1,BE1764):INDEX((係数_乗用_ガソリン,係数_乗用_CNG,係数_乗用_軽油,係数_乗用_メタノール,係数_乗用_LPG),125,5,BE1764),5,FALSE)))))</f>
        <v/>
      </c>
      <c r="AN1764" s="461" t="str">
        <f t="shared" si="996"/>
        <v/>
      </c>
      <c r="AO1764" s="462" t="str">
        <f t="shared" si="997"/>
        <v/>
      </c>
      <c r="AP1764" s="463" t="str">
        <f t="shared" si="998"/>
        <v/>
      </c>
      <c r="AQ1764" s="464"/>
      <c r="AR1764" s="619"/>
      <c r="AS1764" s="465" t="str">
        <f t="shared" si="1006"/>
        <v/>
      </c>
      <c r="AT1764" s="465" t="str">
        <f t="shared" si="1007"/>
        <v/>
      </c>
      <c r="AU1764" s="466" t="str">
        <f t="shared" si="1008"/>
        <v/>
      </c>
      <c r="AV1764" s="467" t="str">
        <f t="shared" si="1009"/>
        <v/>
      </c>
      <c r="AW1764" s="467" t="str">
        <f t="shared" si="1010"/>
        <v/>
      </c>
      <c r="AX1764" s="467" t="str">
        <f t="shared" si="1011"/>
        <v/>
      </c>
      <c r="AY1764" s="467" t="str">
        <f t="shared" si="1012"/>
        <v/>
      </c>
      <c r="AZ1764" s="467" t="str">
        <f t="shared" si="1013"/>
        <v/>
      </c>
      <c r="BA1764" s="468" t="str">
        <f>IF(AS1764="","",IF(OR(AU1764="",AU1764="-"),"－",IF(OR(AZ1764=8,AZ1764=9),"",IF(OR(AW1764=3,AW1764=4,AW1764=5,AW1764=6),VLOOKUP(AU1764,INDEX((係数_バス貨物_ガソリン,係数_バス貨物_CNG,係数_バス貨物_軽油,係数_バス貨物_メタノール,係数_バス貨物_LPG),MATCH(AY1764,【参考】排出係数!$AI$4:$AI$671,1),1,BE1764):INDEX((係数_バス貨物_ガソリン,係数_バス貨物_CNG,係数_バス貨物_軽油,係数_バス貨物_メタノール,係数_バス貨物_LPG),MATCH(AY1764+1,【参考】排出係数!$AI$4:$AI$671,1)-1,5,BE1764),2,FALSE),IF(OR(AW1764=1,AW1764=2),VLOOKUP(AU1764,INDEX((係数_乗用_ガソリン,係数_乗用_CNG,係数_乗用_軽油,係数_乗用_メタノール,係数_乗用_LPG),1,1,BE1764):INDEX((係数_乗用_ガソリン,係数_乗用_CNG,係数_乗用_軽油,係数_乗用_メタノール,係数_乗用_LPG),125,5,BE1764),2,FALSE))))))</f>
        <v/>
      </c>
      <c r="BB1764" s="468" t="str">
        <f>IF(T1764="","",IF(OR(AU1764="",AU1764="-"),"－",IF(OR(AZ1764=8,AZ1764=9),"",IF(OR(AW1764=3,AW1764=4,AW1764=5,AW1764=6),VLOOKUP(AU1764,INDEX((係数_バス貨物_ガソリン,係数_バス貨物_CNG,係数_バス貨物_軽油,係数_バス貨物_メタノール,係数_バス貨物_LPG),MATCH(AY1764,【参考】排出係数!$AI$4:$AI$671,1),1,BE1764):INDEX((係数_バス貨物_ガソリン,係数_バス貨物_CNG,係数_バス貨物_軽油,係数_バス貨物_メタノール,係数_バス貨物_LPG),MATCH(AY1764+1,【参考】排出係数!$AI$4:$AI$671,1)-1,5,BE1764),3,FALSE),IF(OR(AW1764=1,AW1764=2),VLOOKUP(AU1764,INDEX((係数_乗用_ガソリン,係数_乗用_CNG,係数_乗用_軽油,係数_乗用_メタノール,係数_乗用_LPG),1,1,BE1764):INDEX((係数_乗用_ガソリン,係数_乗用_CNG,係数_乗用_軽油,係数_乗用_メタノール,係数_乗用_LPG),125,5,BE1764),3,FALSE))))))</f>
        <v/>
      </c>
      <c r="BC1764" s="467" t="str">
        <f t="shared" si="1014"/>
        <v/>
      </c>
      <c r="BD1764" s="567" t="str">
        <f t="shared" si="1015"/>
        <v/>
      </c>
      <c r="BE1764" s="467" t="str">
        <f t="shared" si="1016"/>
        <v/>
      </c>
      <c r="BF1764" s="469" t="str">
        <f t="shared" ca="1" si="1017"/>
        <v/>
      </c>
      <c r="BG1764" s="469" t="str">
        <f t="shared" ca="1" si="1018"/>
        <v/>
      </c>
      <c r="BH1764" s="467" t="str">
        <f t="shared" si="1019"/>
        <v/>
      </c>
      <c r="BI1764" s="467" t="str">
        <f t="shared" ca="1" si="1020"/>
        <v/>
      </c>
      <c r="BJ1764" s="469" t="str">
        <f t="shared" si="1021"/>
        <v/>
      </c>
      <c r="BK1764" s="470" t="str">
        <f t="shared" si="1005"/>
        <v/>
      </c>
      <c r="BL1764" s="775" t="str">
        <f t="shared" si="1022"/>
        <v/>
      </c>
      <c r="BM1764" s="775" t="str">
        <f t="shared" si="1023"/>
        <v/>
      </c>
    </row>
    <row r="1765" spans="1:65">
      <c r="A1765" s="473">
        <v>1709</v>
      </c>
      <c r="B1765" s="132"/>
      <c r="C1765" s="332"/>
      <c r="D1765" s="333"/>
      <c r="E1765" s="333"/>
      <c r="F1765" s="334"/>
      <c r="G1765" s="337"/>
      <c r="H1765" s="131"/>
      <c r="I1765" s="337"/>
      <c r="J1765" s="131"/>
      <c r="K1765" s="458" t="str">
        <f t="shared" si="986"/>
        <v/>
      </c>
      <c r="L1765" s="458">
        <f t="shared" si="987"/>
        <v>0</v>
      </c>
      <c r="M1765" s="458">
        <f t="shared" si="988"/>
        <v>0</v>
      </c>
      <c r="N1765" s="459" t="str">
        <f t="shared" si="999"/>
        <v/>
      </c>
      <c r="O1765" s="459" t="str">
        <f t="shared" si="1000"/>
        <v/>
      </c>
      <c r="P1765" s="459" t="str">
        <f t="shared" si="1001"/>
        <v/>
      </c>
      <c r="Q1765" s="459" t="str">
        <f t="shared" si="1002"/>
        <v/>
      </c>
      <c r="R1765" s="459" t="str">
        <f t="shared" si="1003"/>
        <v/>
      </c>
      <c r="S1765" s="459" t="str">
        <f t="shared" si="1004"/>
        <v/>
      </c>
      <c r="T1765" s="566" t="str">
        <f t="shared" si="989"/>
        <v/>
      </c>
      <c r="U1765" s="702"/>
      <c r="V1765" s="132"/>
      <c r="W1765" s="133"/>
      <c r="X1765" s="134"/>
      <c r="Y1765" s="135"/>
      <c r="Z1765" s="137"/>
      <c r="AA1765" s="136"/>
      <c r="AB1765" s="566" t="str">
        <f t="shared" si="990"/>
        <v/>
      </c>
      <c r="AC1765" s="568" t="str">
        <f t="shared" si="991"/>
        <v/>
      </c>
      <c r="AD1765" s="137"/>
      <c r="AE1765" s="137"/>
      <c r="AF1765" s="138"/>
      <c r="AG1765" s="138"/>
      <c r="AH1765" s="592" t="str">
        <f t="shared" si="992"/>
        <v/>
      </c>
      <c r="AI1765" s="592" t="str">
        <f t="shared" si="993"/>
        <v/>
      </c>
      <c r="AJ1765" s="592" t="str">
        <f t="shared" si="994"/>
        <v/>
      </c>
      <c r="AK1765" s="460" t="str">
        <f>IF(AU1765="","",IF(OR(AZ1765=8,AZ1765=9),0,IF(OR(AW1765=3,AW1765=4,AW1765=5,AW1765=6),IF(LEFT(BF1765,1)="1",INDEX(係数_NOX・PM低減,MATCH(AY1765,【参考】排出係数!$AI$801:$AI$804,1),1),VLOOKUP(AU1765,INDEX((係数_バス貨物_ガソリン,係数_バス貨物_CNG,係数_バス貨物_軽油,係数_バス貨物_メタノール,係数_バス貨物_LPG),MATCH(AY1765,【参考】排出係数!$AI$4:$AI$671,1),1,BE1765):INDEX((係数_バス貨物_ガソリン,係数_バス貨物_CNG,係数_バス貨物_軽油,係数_バス貨物_メタノール,係数_バス貨物_LPG),MATCH(AY1765+1,【参考】排出係数!$AI$4:$AI$671,1)-1,5,BE1765),4,FALSE)),IF(AND(BE1765=3,LEFT(BF1765,1)="1"),0.48,VLOOKUP(AU1765,INDEX((係数_乗用_ガソリン,係数_乗用_CNG,係数_乗用_軽油,係数_乗用_メタノール,係数_乗用_LPG),1,1,BE1765):INDEX((係数_乗用_ガソリン,係数_乗用_CNG,係数_乗用_軽油,係数_乗用_メタノール,係数_乗用_LPG),125,5,BE1765),4,FALSE)))))</f>
        <v/>
      </c>
      <c r="AL1765" s="461" t="str">
        <f t="shared" si="995"/>
        <v/>
      </c>
      <c r="AM1765" s="460" t="str">
        <f>IF(AU1765="","",IF(OR(AZ1765=8,AZ1765=9),0,IF(OR(AW1765=3,AW1765=4,AW1765=5,AW1765=6),IF(LEFT(BH1765,1)="1",INDEX(係数_PM低減,MATCH(AY1765,【参考】排出係数!$AI$801:$AI$804,1),MATCH(BI1765,【参考】排出係数!$AL$798:$AO$798,1)),VLOOKUP(AU1765,INDEX((係数_バス貨物_ガソリン,係数_バス貨物_CNG,係数_バス貨物_軽油,係数_バス貨物_メタノール,係数_バス貨物_LPG),MATCH(AY1765,【参考】排出係数!$AI$4:$AI$671,1),1,BE1765):INDEX((係数_バス貨物_ガソリン,係数_バス貨物_CNG,係数_バス貨物_軽油,係数_バス貨物_メタノール,係数_バス貨物_LPG),MATCH(AY1765+1,【参考】排出係数!$AI$4:$AI$671,1)-1,5,BE1765),5,FALSE)),IF(AND(BE1765=3,LEFT(BF1765,1)="1"),0.055,VLOOKUP(AU1765,INDEX((係数_乗用_ガソリン,係数_乗用_CNG,係数_乗用_軽油,係数_乗用_メタノール,係数_乗用_LPG),1,1,BE1765):INDEX((係数_乗用_ガソリン,係数_乗用_CNG,係数_乗用_軽油,係数_乗用_メタノール,係数_乗用_LPG),125,5,BE1765),5,FALSE)))))</f>
        <v/>
      </c>
      <c r="AN1765" s="461" t="str">
        <f t="shared" si="996"/>
        <v/>
      </c>
      <c r="AO1765" s="462" t="str">
        <f t="shared" si="997"/>
        <v/>
      </c>
      <c r="AP1765" s="463" t="str">
        <f t="shared" si="998"/>
        <v/>
      </c>
      <c r="AQ1765" s="464"/>
      <c r="AR1765" s="619"/>
      <c r="AS1765" s="465" t="str">
        <f t="shared" si="1006"/>
        <v/>
      </c>
      <c r="AT1765" s="465" t="str">
        <f t="shared" si="1007"/>
        <v/>
      </c>
      <c r="AU1765" s="466" t="str">
        <f t="shared" si="1008"/>
        <v/>
      </c>
      <c r="AV1765" s="467" t="str">
        <f t="shared" si="1009"/>
        <v/>
      </c>
      <c r="AW1765" s="467" t="str">
        <f t="shared" si="1010"/>
        <v/>
      </c>
      <c r="AX1765" s="467" t="str">
        <f t="shared" si="1011"/>
        <v/>
      </c>
      <c r="AY1765" s="467" t="str">
        <f t="shared" si="1012"/>
        <v/>
      </c>
      <c r="AZ1765" s="467" t="str">
        <f t="shared" si="1013"/>
        <v/>
      </c>
      <c r="BA1765" s="468" t="str">
        <f>IF(AS1765="","",IF(OR(AU1765="",AU1765="-"),"－",IF(OR(AZ1765=8,AZ1765=9),"",IF(OR(AW1765=3,AW1765=4,AW1765=5,AW1765=6),VLOOKUP(AU1765,INDEX((係数_バス貨物_ガソリン,係数_バス貨物_CNG,係数_バス貨物_軽油,係数_バス貨物_メタノール,係数_バス貨物_LPG),MATCH(AY1765,【参考】排出係数!$AI$4:$AI$671,1),1,BE1765):INDEX((係数_バス貨物_ガソリン,係数_バス貨物_CNG,係数_バス貨物_軽油,係数_バス貨物_メタノール,係数_バス貨物_LPG),MATCH(AY1765+1,【参考】排出係数!$AI$4:$AI$671,1)-1,5,BE1765),2,FALSE),IF(OR(AW1765=1,AW1765=2),VLOOKUP(AU1765,INDEX((係数_乗用_ガソリン,係数_乗用_CNG,係数_乗用_軽油,係数_乗用_メタノール,係数_乗用_LPG),1,1,BE1765):INDEX((係数_乗用_ガソリン,係数_乗用_CNG,係数_乗用_軽油,係数_乗用_メタノール,係数_乗用_LPG),125,5,BE1765),2,FALSE))))))</f>
        <v/>
      </c>
      <c r="BB1765" s="468" t="str">
        <f>IF(T1765="","",IF(OR(AU1765="",AU1765="-"),"－",IF(OR(AZ1765=8,AZ1765=9),"",IF(OR(AW1765=3,AW1765=4,AW1765=5,AW1765=6),VLOOKUP(AU1765,INDEX((係数_バス貨物_ガソリン,係数_バス貨物_CNG,係数_バス貨物_軽油,係数_バス貨物_メタノール,係数_バス貨物_LPG),MATCH(AY1765,【参考】排出係数!$AI$4:$AI$671,1),1,BE1765):INDEX((係数_バス貨物_ガソリン,係数_バス貨物_CNG,係数_バス貨物_軽油,係数_バス貨物_メタノール,係数_バス貨物_LPG),MATCH(AY1765+1,【参考】排出係数!$AI$4:$AI$671,1)-1,5,BE1765),3,FALSE),IF(OR(AW1765=1,AW1765=2),VLOOKUP(AU1765,INDEX((係数_乗用_ガソリン,係数_乗用_CNG,係数_乗用_軽油,係数_乗用_メタノール,係数_乗用_LPG),1,1,BE1765):INDEX((係数_乗用_ガソリン,係数_乗用_CNG,係数_乗用_軽油,係数_乗用_メタノール,係数_乗用_LPG),125,5,BE1765),3,FALSE))))))</f>
        <v/>
      </c>
      <c r="BC1765" s="467" t="str">
        <f t="shared" si="1014"/>
        <v/>
      </c>
      <c r="BD1765" s="567" t="str">
        <f t="shared" si="1015"/>
        <v/>
      </c>
      <c r="BE1765" s="467" t="str">
        <f t="shared" si="1016"/>
        <v/>
      </c>
      <c r="BF1765" s="469" t="str">
        <f t="shared" ca="1" si="1017"/>
        <v/>
      </c>
      <c r="BG1765" s="469" t="str">
        <f t="shared" ca="1" si="1018"/>
        <v/>
      </c>
      <c r="BH1765" s="467" t="str">
        <f t="shared" si="1019"/>
        <v/>
      </c>
      <c r="BI1765" s="467" t="str">
        <f t="shared" ca="1" si="1020"/>
        <v/>
      </c>
      <c r="BJ1765" s="469" t="str">
        <f t="shared" si="1021"/>
        <v/>
      </c>
      <c r="BK1765" s="470" t="str">
        <f t="shared" si="1005"/>
        <v/>
      </c>
      <c r="BL1765" s="775" t="str">
        <f t="shared" si="1022"/>
        <v/>
      </c>
      <c r="BM1765" s="775" t="str">
        <f t="shared" si="1023"/>
        <v/>
      </c>
    </row>
    <row r="1766" spans="1:65">
      <c r="A1766" s="473">
        <v>1710</v>
      </c>
      <c r="B1766" s="132"/>
      <c r="C1766" s="332"/>
      <c r="D1766" s="333"/>
      <c r="E1766" s="333"/>
      <c r="F1766" s="334"/>
      <c r="G1766" s="337"/>
      <c r="H1766" s="131"/>
      <c r="I1766" s="337"/>
      <c r="J1766" s="131"/>
      <c r="K1766" s="458" t="str">
        <f t="shared" si="986"/>
        <v/>
      </c>
      <c r="L1766" s="458">
        <f t="shared" si="987"/>
        <v>0</v>
      </c>
      <c r="M1766" s="458">
        <f t="shared" si="988"/>
        <v>0</v>
      </c>
      <c r="N1766" s="459" t="str">
        <f t="shared" si="999"/>
        <v/>
      </c>
      <c r="O1766" s="459" t="str">
        <f t="shared" si="1000"/>
        <v/>
      </c>
      <c r="P1766" s="459" t="str">
        <f t="shared" si="1001"/>
        <v/>
      </c>
      <c r="Q1766" s="459" t="str">
        <f t="shared" si="1002"/>
        <v/>
      </c>
      <c r="R1766" s="459" t="str">
        <f t="shared" si="1003"/>
        <v/>
      </c>
      <c r="S1766" s="459" t="str">
        <f t="shared" si="1004"/>
        <v/>
      </c>
      <c r="T1766" s="566" t="str">
        <f t="shared" si="989"/>
        <v/>
      </c>
      <c r="U1766" s="702"/>
      <c r="V1766" s="132"/>
      <c r="W1766" s="133"/>
      <c r="X1766" s="134"/>
      <c r="Y1766" s="135"/>
      <c r="Z1766" s="137"/>
      <c r="AA1766" s="136"/>
      <c r="AB1766" s="566" t="str">
        <f t="shared" si="990"/>
        <v/>
      </c>
      <c r="AC1766" s="568" t="str">
        <f t="shared" si="991"/>
        <v/>
      </c>
      <c r="AD1766" s="137"/>
      <c r="AE1766" s="137"/>
      <c r="AF1766" s="138"/>
      <c r="AG1766" s="138"/>
      <c r="AH1766" s="592" t="str">
        <f t="shared" si="992"/>
        <v/>
      </c>
      <c r="AI1766" s="592" t="str">
        <f t="shared" si="993"/>
        <v/>
      </c>
      <c r="AJ1766" s="592" t="str">
        <f t="shared" si="994"/>
        <v/>
      </c>
      <c r="AK1766" s="460" t="str">
        <f>IF(AU1766="","",IF(OR(AZ1766=8,AZ1766=9),0,IF(OR(AW1766=3,AW1766=4,AW1766=5,AW1766=6),IF(LEFT(BF1766,1)="1",INDEX(係数_NOX・PM低減,MATCH(AY1766,【参考】排出係数!$AI$801:$AI$804,1),1),VLOOKUP(AU1766,INDEX((係数_バス貨物_ガソリン,係数_バス貨物_CNG,係数_バス貨物_軽油,係数_バス貨物_メタノール,係数_バス貨物_LPG),MATCH(AY1766,【参考】排出係数!$AI$4:$AI$671,1),1,BE1766):INDEX((係数_バス貨物_ガソリン,係数_バス貨物_CNG,係数_バス貨物_軽油,係数_バス貨物_メタノール,係数_バス貨物_LPG),MATCH(AY1766+1,【参考】排出係数!$AI$4:$AI$671,1)-1,5,BE1766),4,FALSE)),IF(AND(BE1766=3,LEFT(BF1766,1)="1"),0.48,VLOOKUP(AU1766,INDEX((係数_乗用_ガソリン,係数_乗用_CNG,係数_乗用_軽油,係数_乗用_メタノール,係数_乗用_LPG),1,1,BE1766):INDEX((係数_乗用_ガソリン,係数_乗用_CNG,係数_乗用_軽油,係数_乗用_メタノール,係数_乗用_LPG),125,5,BE1766),4,FALSE)))))</f>
        <v/>
      </c>
      <c r="AL1766" s="461" t="str">
        <f t="shared" si="995"/>
        <v/>
      </c>
      <c r="AM1766" s="460" t="str">
        <f>IF(AU1766="","",IF(OR(AZ1766=8,AZ1766=9),0,IF(OR(AW1766=3,AW1766=4,AW1766=5,AW1766=6),IF(LEFT(BH1766,1)="1",INDEX(係数_PM低減,MATCH(AY1766,【参考】排出係数!$AI$801:$AI$804,1),MATCH(BI1766,【参考】排出係数!$AL$798:$AO$798,1)),VLOOKUP(AU1766,INDEX((係数_バス貨物_ガソリン,係数_バス貨物_CNG,係数_バス貨物_軽油,係数_バス貨物_メタノール,係数_バス貨物_LPG),MATCH(AY1766,【参考】排出係数!$AI$4:$AI$671,1),1,BE1766):INDEX((係数_バス貨物_ガソリン,係数_バス貨物_CNG,係数_バス貨物_軽油,係数_バス貨物_メタノール,係数_バス貨物_LPG),MATCH(AY1766+1,【参考】排出係数!$AI$4:$AI$671,1)-1,5,BE1766),5,FALSE)),IF(AND(BE1766=3,LEFT(BF1766,1)="1"),0.055,VLOOKUP(AU1766,INDEX((係数_乗用_ガソリン,係数_乗用_CNG,係数_乗用_軽油,係数_乗用_メタノール,係数_乗用_LPG),1,1,BE1766):INDEX((係数_乗用_ガソリン,係数_乗用_CNG,係数_乗用_軽油,係数_乗用_メタノール,係数_乗用_LPG),125,5,BE1766),5,FALSE)))))</f>
        <v/>
      </c>
      <c r="AN1766" s="461" t="str">
        <f t="shared" si="996"/>
        <v/>
      </c>
      <c r="AO1766" s="462" t="str">
        <f t="shared" si="997"/>
        <v/>
      </c>
      <c r="AP1766" s="463" t="str">
        <f t="shared" si="998"/>
        <v/>
      </c>
      <c r="AQ1766" s="464"/>
      <c r="AR1766" s="619"/>
      <c r="AS1766" s="465" t="str">
        <f t="shared" si="1006"/>
        <v/>
      </c>
      <c r="AT1766" s="465" t="str">
        <f t="shared" si="1007"/>
        <v/>
      </c>
      <c r="AU1766" s="466" t="str">
        <f t="shared" si="1008"/>
        <v/>
      </c>
      <c r="AV1766" s="467" t="str">
        <f t="shared" si="1009"/>
        <v/>
      </c>
      <c r="AW1766" s="467" t="str">
        <f t="shared" si="1010"/>
        <v/>
      </c>
      <c r="AX1766" s="467" t="str">
        <f t="shared" si="1011"/>
        <v/>
      </c>
      <c r="AY1766" s="467" t="str">
        <f t="shared" si="1012"/>
        <v/>
      </c>
      <c r="AZ1766" s="467" t="str">
        <f t="shared" si="1013"/>
        <v/>
      </c>
      <c r="BA1766" s="468" t="str">
        <f>IF(AS1766="","",IF(OR(AU1766="",AU1766="-"),"－",IF(OR(AZ1766=8,AZ1766=9),"",IF(OR(AW1766=3,AW1766=4,AW1766=5,AW1766=6),VLOOKUP(AU1766,INDEX((係数_バス貨物_ガソリン,係数_バス貨物_CNG,係数_バス貨物_軽油,係数_バス貨物_メタノール,係数_バス貨物_LPG),MATCH(AY1766,【参考】排出係数!$AI$4:$AI$671,1),1,BE1766):INDEX((係数_バス貨物_ガソリン,係数_バス貨物_CNG,係数_バス貨物_軽油,係数_バス貨物_メタノール,係数_バス貨物_LPG),MATCH(AY1766+1,【参考】排出係数!$AI$4:$AI$671,1)-1,5,BE1766),2,FALSE),IF(OR(AW1766=1,AW1766=2),VLOOKUP(AU1766,INDEX((係数_乗用_ガソリン,係数_乗用_CNG,係数_乗用_軽油,係数_乗用_メタノール,係数_乗用_LPG),1,1,BE1766):INDEX((係数_乗用_ガソリン,係数_乗用_CNG,係数_乗用_軽油,係数_乗用_メタノール,係数_乗用_LPG),125,5,BE1766),2,FALSE))))))</f>
        <v/>
      </c>
      <c r="BB1766" s="468" t="str">
        <f>IF(T1766="","",IF(OR(AU1766="",AU1766="-"),"－",IF(OR(AZ1766=8,AZ1766=9),"",IF(OR(AW1766=3,AW1766=4,AW1766=5,AW1766=6),VLOOKUP(AU1766,INDEX((係数_バス貨物_ガソリン,係数_バス貨物_CNG,係数_バス貨物_軽油,係数_バス貨物_メタノール,係数_バス貨物_LPG),MATCH(AY1766,【参考】排出係数!$AI$4:$AI$671,1),1,BE1766):INDEX((係数_バス貨物_ガソリン,係数_バス貨物_CNG,係数_バス貨物_軽油,係数_バス貨物_メタノール,係数_バス貨物_LPG),MATCH(AY1766+1,【参考】排出係数!$AI$4:$AI$671,1)-1,5,BE1766),3,FALSE),IF(OR(AW1766=1,AW1766=2),VLOOKUP(AU1766,INDEX((係数_乗用_ガソリン,係数_乗用_CNG,係数_乗用_軽油,係数_乗用_メタノール,係数_乗用_LPG),1,1,BE1766):INDEX((係数_乗用_ガソリン,係数_乗用_CNG,係数_乗用_軽油,係数_乗用_メタノール,係数_乗用_LPG),125,5,BE1766),3,FALSE))))))</f>
        <v/>
      </c>
      <c r="BC1766" s="467" t="str">
        <f t="shared" si="1014"/>
        <v/>
      </c>
      <c r="BD1766" s="567" t="str">
        <f t="shared" si="1015"/>
        <v/>
      </c>
      <c r="BE1766" s="467" t="str">
        <f t="shared" si="1016"/>
        <v/>
      </c>
      <c r="BF1766" s="469" t="str">
        <f t="shared" ca="1" si="1017"/>
        <v/>
      </c>
      <c r="BG1766" s="469" t="str">
        <f t="shared" ca="1" si="1018"/>
        <v/>
      </c>
      <c r="BH1766" s="467" t="str">
        <f t="shared" si="1019"/>
        <v/>
      </c>
      <c r="BI1766" s="467" t="str">
        <f t="shared" ca="1" si="1020"/>
        <v/>
      </c>
      <c r="BJ1766" s="469" t="str">
        <f t="shared" si="1021"/>
        <v/>
      </c>
      <c r="BK1766" s="470" t="str">
        <f t="shared" si="1005"/>
        <v/>
      </c>
      <c r="BL1766" s="775" t="str">
        <f t="shared" si="1022"/>
        <v/>
      </c>
      <c r="BM1766" s="775" t="str">
        <f t="shared" si="1023"/>
        <v/>
      </c>
    </row>
    <row r="1767" spans="1:65">
      <c r="A1767" s="473">
        <v>1711</v>
      </c>
      <c r="B1767" s="132"/>
      <c r="C1767" s="332"/>
      <c r="D1767" s="333"/>
      <c r="E1767" s="333"/>
      <c r="F1767" s="334"/>
      <c r="G1767" s="337"/>
      <c r="H1767" s="131"/>
      <c r="I1767" s="337"/>
      <c r="J1767" s="131"/>
      <c r="K1767" s="458" t="str">
        <f t="shared" si="986"/>
        <v/>
      </c>
      <c r="L1767" s="458">
        <f t="shared" si="987"/>
        <v>0</v>
      </c>
      <c r="M1767" s="458">
        <f t="shared" si="988"/>
        <v>0</v>
      </c>
      <c r="N1767" s="459" t="str">
        <f t="shared" si="999"/>
        <v/>
      </c>
      <c r="O1767" s="459" t="str">
        <f t="shared" si="1000"/>
        <v/>
      </c>
      <c r="P1767" s="459" t="str">
        <f t="shared" si="1001"/>
        <v/>
      </c>
      <c r="Q1767" s="459" t="str">
        <f t="shared" si="1002"/>
        <v/>
      </c>
      <c r="R1767" s="459" t="str">
        <f t="shared" si="1003"/>
        <v/>
      </c>
      <c r="S1767" s="459" t="str">
        <f t="shared" si="1004"/>
        <v/>
      </c>
      <c r="T1767" s="566" t="str">
        <f t="shared" si="989"/>
        <v/>
      </c>
      <c r="U1767" s="702"/>
      <c r="V1767" s="132"/>
      <c r="W1767" s="133"/>
      <c r="X1767" s="134"/>
      <c r="Y1767" s="135"/>
      <c r="Z1767" s="137"/>
      <c r="AA1767" s="136"/>
      <c r="AB1767" s="566" t="str">
        <f t="shared" si="990"/>
        <v/>
      </c>
      <c r="AC1767" s="568" t="str">
        <f t="shared" si="991"/>
        <v/>
      </c>
      <c r="AD1767" s="137"/>
      <c r="AE1767" s="137"/>
      <c r="AF1767" s="138"/>
      <c r="AG1767" s="138"/>
      <c r="AH1767" s="592" t="str">
        <f t="shared" si="992"/>
        <v/>
      </c>
      <c r="AI1767" s="592" t="str">
        <f t="shared" si="993"/>
        <v/>
      </c>
      <c r="AJ1767" s="592" t="str">
        <f t="shared" si="994"/>
        <v/>
      </c>
      <c r="AK1767" s="460" t="str">
        <f>IF(AU1767="","",IF(OR(AZ1767=8,AZ1767=9),0,IF(OR(AW1767=3,AW1767=4,AW1767=5,AW1767=6),IF(LEFT(BF1767,1)="1",INDEX(係数_NOX・PM低減,MATCH(AY1767,【参考】排出係数!$AI$801:$AI$804,1),1),VLOOKUP(AU1767,INDEX((係数_バス貨物_ガソリン,係数_バス貨物_CNG,係数_バス貨物_軽油,係数_バス貨物_メタノール,係数_バス貨物_LPG),MATCH(AY1767,【参考】排出係数!$AI$4:$AI$671,1),1,BE1767):INDEX((係数_バス貨物_ガソリン,係数_バス貨物_CNG,係数_バス貨物_軽油,係数_バス貨物_メタノール,係数_バス貨物_LPG),MATCH(AY1767+1,【参考】排出係数!$AI$4:$AI$671,1)-1,5,BE1767),4,FALSE)),IF(AND(BE1767=3,LEFT(BF1767,1)="1"),0.48,VLOOKUP(AU1767,INDEX((係数_乗用_ガソリン,係数_乗用_CNG,係数_乗用_軽油,係数_乗用_メタノール,係数_乗用_LPG),1,1,BE1767):INDEX((係数_乗用_ガソリン,係数_乗用_CNG,係数_乗用_軽油,係数_乗用_メタノール,係数_乗用_LPG),125,5,BE1767),4,FALSE)))))</f>
        <v/>
      </c>
      <c r="AL1767" s="461" t="str">
        <f t="shared" si="995"/>
        <v/>
      </c>
      <c r="AM1767" s="460" t="str">
        <f>IF(AU1767="","",IF(OR(AZ1767=8,AZ1767=9),0,IF(OR(AW1767=3,AW1767=4,AW1767=5,AW1767=6),IF(LEFT(BH1767,1)="1",INDEX(係数_PM低減,MATCH(AY1767,【参考】排出係数!$AI$801:$AI$804,1),MATCH(BI1767,【参考】排出係数!$AL$798:$AO$798,1)),VLOOKUP(AU1767,INDEX((係数_バス貨物_ガソリン,係数_バス貨物_CNG,係数_バス貨物_軽油,係数_バス貨物_メタノール,係数_バス貨物_LPG),MATCH(AY1767,【参考】排出係数!$AI$4:$AI$671,1),1,BE1767):INDEX((係数_バス貨物_ガソリン,係数_バス貨物_CNG,係数_バス貨物_軽油,係数_バス貨物_メタノール,係数_バス貨物_LPG),MATCH(AY1767+1,【参考】排出係数!$AI$4:$AI$671,1)-1,5,BE1767),5,FALSE)),IF(AND(BE1767=3,LEFT(BF1767,1)="1"),0.055,VLOOKUP(AU1767,INDEX((係数_乗用_ガソリン,係数_乗用_CNG,係数_乗用_軽油,係数_乗用_メタノール,係数_乗用_LPG),1,1,BE1767):INDEX((係数_乗用_ガソリン,係数_乗用_CNG,係数_乗用_軽油,係数_乗用_メタノール,係数_乗用_LPG),125,5,BE1767),5,FALSE)))))</f>
        <v/>
      </c>
      <c r="AN1767" s="461" t="str">
        <f t="shared" si="996"/>
        <v/>
      </c>
      <c r="AO1767" s="462" t="str">
        <f t="shared" si="997"/>
        <v/>
      </c>
      <c r="AP1767" s="463" t="str">
        <f t="shared" si="998"/>
        <v/>
      </c>
      <c r="AQ1767" s="464"/>
      <c r="AR1767" s="619"/>
      <c r="AS1767" s="465" t="str">
        <f t="shared" si="1006"/>
        <v/>
      </c>
      <c r="AT1767" s="465" t="str">
        <f t="shared" si="1007"/>
        <v/>
      </c>
      <c r="AU1767" s="466" t="str">
        <f t="shared" si="1008"/>
        <v/>
      </c>
      <c r="AV1767" s="467" t="str">
        <f t="shared" si="1009"/>
        <v/>
      </c>
      <c r="AW1767" s="467" t="str">
        <f t="shared" si="1010"/>
        <v/>
      </c>
      <c r="AX1767" s="467" t="str">
        <f t="shared" si="1011"/>
        <v/>
      </c>
      <c r="AY1767" s="467" t="str">
        <f t="shared" si="1012"/>
        <v/>
      </c>
      <c r="AZ1767" s="467" t="str">
        <f t="shared" si="1013"/>
        <v/>
      </c>
      <c r="BA1767" s="468" t="str">
        <f>IF(AS1767="","",IF(OR(AU1767="",AU1767="-"),"－",IF(OR(AZ1767=8,AZ1767=9),"",IF(OR(AW1767=3,AW1767=4,AW1767=5,AW1767=6),VLOOKUP(AU1767,INDEX((係数_バス貨物_ガソリン,係数_バス貨物_CNG,係数_バス貨物_軽油,係数_バス貨物_メタノール,係数_バス貨物_LPG),MATCH(AY1767,【参考】排出係数!$AI$4:$AI$671,1),1,BE1767):INDEX((係数_バス貨物_ガソリン,係数_バス貨物_CNG,係数_バス貨物_軽油,係数_バス貨物_メタノール,係数_バス貨物_LPG),MATCH(AY1767+1,【参考】排出係数!$AI$4:$AI$671,1)-1,5,BE1767),2,FALSE),IF(OR(AW1767=1,AW1767=2),VLOOKUP(AU1767,INDEX((係数_乗用_ガソリン,係数_乗用_CNG,係数_乗用_軽油,係数_乗用_メタノール,係数_乗用_LPG),1,1,BE1767):INDEX((係数_乗用_ガソリン,係数_乗用_CNG,係数_乗用_軽油,係数_乗用_メタノール,係数_乗用_LPG),125,5,BE1767),2,FALSE))))))</f>
        <v/>
      </c>
      <c r="BB1767" s="468" t="str">
        <f>IF(T1767="","",IF(OR(AU1767="",AU1767="-"),"－",IF(OR(AZ1767=8,AZ1767=9),"",IF(OR(AW1767=3,AW1767=4,AW1767=5,AW1767=6),VLOOKUP(AU1767,INDEX((係数_バス貨物_ガソリン,係数_バス貨物_CNG,係数_バス貨物_軽油,係数_バス貨物_メタノール,係数_バス貨物_LPG),MATCH(AY1767,【参考】排出係数!$AI$4:$AI$671,1),1,BE1767):INDEX((係数_バス貨物_ガソリン,係数_バス貨物_CNG,係数_バス貨物_軽油,係数_バス貨物_メタノール,係数_バス貨物_LPG),MATCH(AY1767+1,【参考】排出係数!$AI$4:$AI$671,1)-1,5,BE1767),3,FALSE),IF(OR(AW1767=1,AW1767=2),VLOOKUP(AU1767,INDEX((係数_乗用_ガソリン,係数_乗用_CNG,係数_乗用_軽油,係数_乗用_メタノール,係数_乗用_LPG),1,1,BE1767):INDEX((係数_乗用_ガソリン,係数_乗用_CNG,係数_乗用_軽油,係数_乗用_メタノール,係数_乗用_LPG),125,5,BE1767),3,FALSE))))))</f>
        <v/>
      </c>
      <c r="BC1767" s="467" t="str">
        <f t="shared" si="1014"/>
        <v/>
      </c>
      <c r="BD1767" s="567" t="str">
        <f t="shared" si="1015"/>
        <v/>
      </c>
      <c r="BE1767" s="467" t="str">
        <f t="shared" si="1016"/>
        <v/>
      </c>
      <c r="BF1767" s="469" t="str">
        <f t="shared" ca="1" si="1017"/>
        <v/>
      </c>
      <c r="BG1767" s="469" t="str">
        <f t="shared" ca="1" si="1018"/>
        <v/>
      </c>
      <c r="BH1767" s="467" t="str">
        <f t="shared" si="1019"/>
        <v/>
      </c>
      <c r="BI1767" s="467" t="str">
        <f t="shared" ca="1" si="1020"/>
        <v/>
      </c>
      <c r="BJ1767" s="469" t="str">
        <f t="shared" si="1021"/>
        <v/>
      </c>
      <c r="BK1767" s="470" t="str">
        <f t="shared" si="1005"/>
        <v/>
      </c>
      <c r="BL1767" s="775" t="str">
        <f t="shared" si="1022"/>
        <v/>
      </c>
      <c r="BM1767" s="775" t="str">
        <f t="shared" si="1023"/>
        <v/>
      </c>
    </row>
    <row r="1768" spans="1:65">
      <c r="A1768" s="473">
        <v>1712</v>
      </c>
      <c r="B1768" s="132"/>
      <c r="C1768" s="332"/>
      <c r="D1768" s="333"/>
      <c r="E1768" s="333"/>
      <c r="F1768" s="334"/>
      <c r="G1768" s="337"/>
      <c r="H1768" s="131"/>
      <c r="I1768" s="337"/>
      <c r="J1768" s="131"/>
      <c r="K1768" s="458" t="str">
        <f t="shared" si="986"/>
        <v/>
      </c>
      <c r="L1768" s="458">
        <f t="shared" si="987"/>
        <v>0</v>
      </c>
      <c r="M1768" s="458">
        <f t="shared" si="988"/>
        <v>0</v>
      </c>
      <c r="N1768" s="459" t="str">
        <f t="shared" si="999"/>
        <v/>
      </c>
      <c r="O1768" s="459" t="str">
        <f t="shared" si="1000"/>
        <v/>
      </c>
      <c r="P1768" s="459" t="str">
        <f t="shared" si="1001"/>
        <v/>
      </c>
      <c r="Q1768" s="459" t="str">
        <f t="shared" si="1002"/>
        <v/>
      </c>
      <c r="R1768" s="459" t="str">
        <f t="shared" si="1003"/>
        <v/>
      </c>
      <c r="S1768" s="459" t="str">
        <f t="shared" si="1004"/>
        <v/>
      </c>
      <c r="T1768" s="566" t="str">
        <f t="shared" si="989"/>
        <v/>
      </c>
      <c r="U1768" s="702"/>
      <c r="V1768" s="132"/>
      <c r="W1768" s="133"/>
      <c r="X1768" s="134"/>
      <c r="Y1768" s="135"/>
      <c r="Z1768" s="137"/>
      <c r="AA1768" s="136"/>
      <c r="AB1768" s="566" t="str">
        <f t="shared" si="990"/>
        <v/>
      </c>
      <c r="AC1768" s="568" t="str">
        <f t="shared" si="991"/>
        <v/>
      </c>
      <c r="AD1768" s="137"/>
      <c r="AE1768" s="137"/>
      <c r="AF1768" s="138"/>
      <c r="AG1768" s="138"/>
      <c r="AH1768" s="592" t="str">
        <f t="shared" si="992"/>
        <v/>
      </c>
      <c r="AI1768" s="592" t="str">
        <f t="shared" si="993"/>
        <v/>
      </c>
      <c r="AJ1768" s="592" t="str">
        <f t="shared" si="994"/>
        <v/>
      </c>
      <c r="AK1768" s="460" t="str">
        <f>IF(AU1768="","",IF(OR(AZ1768=8,AZ1768=9),0,IF(OR(AW1768=3,AW1768=4,AW1768=5,AW1768=6),IF(LEFT(BF1768,1)="1",INDEX(係数_NOX・PM低減,MATCH(AY1768,【参考】排出係数!$AI$801:$AI$804,1),1),VLOOKUP(AU1768,INDEX((係数_バス貨物_ガソリン,係数_バス貨物_CNG,係数_バス貨物_軽油,係数_バス貨物_メタノール,係数_バス貨物_LPG),MATCH(AY1768,【参考】排出係数!$AI$4:$AI$671,1),1,BE1768):INDEX((係数_バス貨物_ガソリン,係数_バス貨物_CNG,係数_バス貨物_軽油,係数_バス貨物_メタノール,係数_バス貨物_LPG),MATCH(AY1768+1,【参考】排出係数!$AI$4:$AI$671,1)-1,5,BE1768),4,FALSE)),IF(AND(BE1768=3,LEFT(BF1768,1)="1"),0.48,VLOOKUP(AU1768,INDEX((係数_乗用_ガソリン,係数_乗用_CNG,係数_乗用_軽油,係数_乗用_メタノール,係数_乗用_LPG),1,1,BE1768):INDEX((係数_乗用_ガソリン,係数_乗用_CNG,係数_乗用_軽油,係数_乗用_メタノール,係数_乗用_LPG),125,5,BE1768),4,FALSE)))))</f>
        <v/>
      </c>
      <c r="AL1768" s="461" t="str">
        <f t="shared" si="995"/>
        <v/>
      </c>
      <c r="AM1768" s="460" t="str">
        <f>IF(AU1768="","",IF(OR(AZ1768=8,AZ1768=9),0,IF(OR(AW1768=3,AW1768=4,AW1768=5,AW1768=6),IF(LEFT(BH1768,1)="1",INDEX(係数_PM低減,MATCH(AY1768,【参考】排出係数!$AI$801:$AI$804,1),MATCH(BI1768,【参考】排出係数!$AL$798:$AO$798,1)),VLOOKUP(AU1768,INDEX((係数_バス貨物_ガソリン,係数_バス貨物_CNG,係数_バス貨物_軽油,係数_バス貨物_メタノール,係数_バス貨物_LPG),MATCH(AY1768,【参考】排出係数!$AI$4:$AI$671,1),1,BE1768):INDEX((係数_バス貨物_ガソリン,係数_バス貨物_CNG,係数_バス貨物_軽油,係数_バス貨物_メタノール,係数_バス貨物_LPG),MATCH(AY1768+1,【参考】排出係数!$AI$4:$AI$671,1)-1,5,BE1768),5,FALSE)),IF(AND(BE1768=3,LEFT(BF1768,1)="1"),0.055,VLOOKUP(AU1768,INDEX((係数_乗用_ガソリン,係数_乗用_CNG,係数_乗用_軽油,係数_乗用_メタノール,係数_乗用_LPG),1,1,BE1768):INDEX((係数_乗用_ガソリン,係数_乗用_CNG,係数_乗用_軽油,係数_乗用_メタノール,係数_乗用_LPG),125,5,BE1768),5,FALSE)))))</f>
        <v/>
      </c>
      <c r="AN1768" s="461" t="str">
        <f t="shared" si="996"/>
        <v/>
      </c>
      <c r="AO1768" s="462" t="str">
        <f t="shared" si="997"/>
        <v/>
      </c>
      <c r="AP1768" s="463" t="str">
        <f t="shared" si="998"/>
        <v/>
      </c>
      <c r="AQ1768" s="464"/>
      <c r="AR1768" s="619"/>
      <c r="AS1768" s="465" t="str">
        <f t="shared" si="1006"/>
        <v/>
      </c>
      <c r="AT1768" s="465" t="str">
        <f t="shared" si="1007"/>
        <v/>
      </c>
      <c r="AU1768" s="466" t="str">
        <f t="shared" si="1008"/>
        <v/>
      </c>
      <c r="AV1768" s="467" t="str">
        <f t="shared" si="1009"/>
        <v/>
      </c>
      <c r="AW1768" s="467" t="str">
        <f t="shared" si="1010"/>
        <v/>
      </c>
      <c r="AX1768" s="467" t="str">
        <f t="shared" si="1011"/>
        <v/>
      </c>
      <c r="AY1768" s="467" t="str">
        <f t="shared" si="1012"/>
        <v/>
      </c>
      <c r="AZ1768" s="467" t="str">
        <f t="shared" si="1013"/>
        <v/>
      </c>
      <c r="BA1768" s="468" t="str">
        <f>IF(AS1768="","",IF(OR(AU1768="",AU1768="-"),"－",IF(OR(AZ1768=8,AZ1768=9),"",IF(OR(AW1768=3,AW1768=4,AW1768=5,AW1768=6),VLOOKUP(AU1768,INDEX((係数_バス貨物_ガソリン,係数_バス貨物_CNG,係数_バス貨物_軽油,係数_バス貨物_メタノール,係数_バス貨物_LPG),MATCH(AY1768,【参考】排出係数!$AI$4:$AI$671,1),1,BE1768):INDEX((係数_バス貨物_ガソリン,係数_バス貨物_CNG,係数_バス貨物_軽油,係数_バス貨物_メタノール,係数_バス貨物_LPG),MATCH(AY1768+1,【参考】排出係数!$AI$4:$AI$671,1)-1,5,BE1768),2,FALSE),IF(OR(AW1768=1,AW1768=2),VLOOKUP(AU1768,INDEX((係数_乗用_ガソリン,係数_乗用_CNG,係数_乗用_軽油,係数_乗用_メタノール,係数_乗用_LPG),1,1,BE1768):INDEX((係数_乗用_ガソリン,係数_乗用_CNG,係数_乗用_軽油,係数_乗用_メタノール,係数_乗用_LPG),125,5,BE1768),2,FALSE))))))</f>
        <v/>
      </c>
      <c r="BB1768" s="468" t="str">
        <f>IF(T1768="","",IF(OR(AU1768="",AU1768="-"),"－",IF(OR(AZ1768=8,AZ1768=9),"",IF(OR(AW1768=3,AW1768=4,AW1768=5,AW1768=6),VLOOKUP(AU1768,INDEX((係数_バス貨物_ガソリン,係数_バス貨物_CNG,係数_バス貨物_軽油,係数_バス貨物_メタノール,係数_バス貨物_LPG),MATCH(AY1768,【参考】排出係数!$AI$4:$AI$671,1),1,BE1768):INDEX((係数_バス貨物_ガソリン,係数_バス貨物_CNG,係数_バス貨物_軽油,係数_バス貨物_メタノール,係数_バス貨物_LPG),MATCH(AY1768+1,【参考】排出係数!$AI$4:$AI$671,1)-1,5,BE1768),3,FALSE),IF(OR(AW1768=1,AW1768=2),VLOOKUP(AU1768,INDEX((係数_乗用_ガソリン,係数_乗用_CNG,係数_乗用_軽油,係数_乗用_メタノール,係数_乗用_LPG),1,1,BE1768):INDEX((係数_乗用_ガソリン,係数_乗用_CNG,係数_乗用_軽油,係数_乗用_メタノール,係数_乗用_LPG),125,5,BE1768),3,FALSE))))))</f>
        <v/>
      </c>
      <c r="BC1768" s="467" t="str">
        <f t="shared" si="1014"/>
        <v/>
      </c>
      <c r="BD1768" s="567" t="str">
        <f t="shared" si="1015"/>
        <v/>
      </c>
      <c r="BE1768" s="467" t="str">
        <f t="shared" si="1016"/>
        <v/>
      </c>
      <c r="BF1768" s="469" t="str">
        <f t="shared" ca="1" si="1017"/>
        <v/>
      </c>
      <c r="BG1768" s="469" t="str">
        <f t="shared" ca="1" si="1018"/>
        <v/>
      </c>
      <c r="BH1768" s="467" t="str">
        <f t="shared" si="1019"/>
        <v/>
      </c>
      <c r="BI1768" s="467" t="str">
        <f t="shared" ca="1" si="1020"/>
        <v/>
      </c>
      <c r="BJ1768" s="469" t="str">
        <f t="shared" si="1021"/>
        <v/>
      </c>
      <c r="BK1768" s="470" t="str">
        <f t="shared" si="1005"/>
        <v/>
      </c>
      <c r="BL1768" s="775" t="str">
        <f t="shared" si="1022"/>
        <v/>
      </c>
      <c r="BM1768" s="775" t="str">
        <f t="shared" si="1023"/>
        <v/>
      </c>
    </row>
    <row r="1769" spans="1:65">
      <c r="A1769" s="473">
        <v>1713</v>
      </c>
      <c r="B1769" s="132"/>
      <c r="C1769" s="332"/>
      <c r="D1769" s="333"/>
      <c r="E1769" s="333"/>
      <c r="F1769" s="334"/>
      <c r="G1769" s="337"/>
      <c r="H1769" s="131"/>
      <c r="I1769" s="337"/>
      <c r="J1769" s="131"/>
      <c r="K1769" s="458" t="str">
        <f t="shared" si="986"/>
        <v/>
      </c>
      <c r="L1769" s="458">
        <f t="shared" si="987"/>
        <v>0</v>
      </c>
      <c r="M1769" s="458">
        <f t="shared" si="988"/>
        <v>0</v>
      </c>
      <c r="N1769" s="459" t="str">
        <f t="shared" si="999"/>
        <v/>
      </c>
      <c r="O1769" s="459" t="str">
        <f t="shared" si="1000"/>
        <v/>
      </c>
      <c r="P1769" s="459" t="str">
        <f t="shared" si="1001"/>
        <v/>
      </c>
      <c r="Q1769" s="459" t="str">
        <f t="shared" si="1002"/>
        <v/>
      </c>
      <c r="R1769" s="459" t="str">
        <f t="shared" si="1003"/>
        <v/>
      </c>
      <c r="S1769" s="459" t="str">
        <f t="shared" si="1004"/>
        <v/>
      </c>
      <c r="T1769" s="566" t="str">
        <f t="shared" si="989"/>
        <v/>
      </c>
      <c r="U1769" s="702"/>
      <c r="V1769" s="132"/>
      <c r="W1769" s="133"/>
      <c r="X1769" s="134"/>
      <c r="Y1769" s="135"/>
      <c r="Z1769" s="137"/>
      <c r="AA1769" s="136"/>
      <c r="AB1769" s="566" t="str">
        <f t="shared" si="990"/>
        <v/>
      </c>
      <c r="AC1769" s="568" t="str">
        <f t="shared" si="991"/>
        <v/>
      </c>
      <c r="AD1769" s="137"/>
      <c r="AE1769" s="137"/>
      <c r="AF1769" s="138"/>
      <c r="AG1769" s="138"/>
      <c r="AH1769" s="592" t="str">
        <f t="shared" si="992"/>
        <v/>
      </c>
      <c r="AI1769" s="592" t="str">
        <f t="shared" si="993"/>
        <v/>
      </c>
      <c r="AJ1769" s="592" t="str">
        <f t="shared" si="994"/>
        <v/>
      </c>
      <c r="AK1769" s="460" t="str">
        <f>IF(AU1769="","",IF(OR(AZ1769=8,AZ1769=9),0,IF(OR(AW1769=3,AW1769=4,AW1769=5,AW1769=6),IF(LEFT(BF1769,1)="1",INDEX(係数_NOX・PM低減,MATCH(AY1769,【参考】排出係数!$AI$801:$AI$804,1),1),VLOOKUP(AU1769,INDEX((係数_バス貨物_ガソリン,係数_バス貨物_CNG,係数_バス貨物_軽油,係数_バス貨物_メタノール,係数_バス貨物_LPG),MATCH(AY1769,【参考】排出係数!$AI$4:$AI$671,1),1,BE1769):INDEX((係数_バス貨物_ガソリン,係数_バス貨物_CNG,係数_バス貨物_軽油,係数_バス貨物_メタノール,係数_バス貨物_LPG),MATCH(AY1769+1,【参考】排出係数!$AI$4:$AI$671,1)-1,5,BE1769),4,FALSE)),IF(AND(BE1769=3,LEFT(BF1769,1)="1"),0.48,VLOOKUP(AU1769,INDEX((係数_乗用_ガソリン,係数_乗用_CNG,係数_乗用_軽油,係数_乗用_メタノール,係数_乗用_LPG),1,1,BE1769):INDEX((係数_乗用_ガソリン,係数_乗用_CNG,係数_乗用_軽油,係数_乗用_メタノール,係数_乗用_LPG),125,5,BE1769),4,FALSE)))))</f>
        <v/>
      </c>
      <c r="AL1769" s="461" t="str">
        <f t="shared" si="995"/>
        <v/>
      </c>
      <c r="AM1769" s="460" t="str">
        <f>IF(AU1769="","",IF(OR(AZ1769=8,AZ1769=9),0,IF(OR(AW1769=3,AW1769=4,AW1769=5,AW1769=6),IF(LEFT(BH1769,1)="1",INDEX(係数_PM低減,MATCH(AY1769,【参考】排出係数!$AI$801:$AI$804,1),MATCH(BI1769,【参考】排出係数!$AL$798:$AO$798,1)),VLOOKUP(AU1769,INDEX((係数_バス貨物_ガソリン,係数_バス貨物_CNG,係数_バス貨物_軽油,係数_バス貨物_メタノール,係数_バス貨物_LPG),MATCH(AY1769,【参考】排出係数!$AI$4:$AI$671,1),1,BE1769):INDEX((係数_バス貨物_ガソリン,係数_バス貨物_CNG,係数_バス貨物_軽油,係数_バス貨物_メタノール,係数_バス貨物_LPG),MATCH(AY1769+1,【参考】排出係数!$AI$4:$AI$671,1)-1,5,BE1769),5,FALSE)),IF(AND(BE1769=3,LEFT(BF1769,1)="1"),0.055,VLOOKUP(AU1769,INDEX((係数_乗用_ガソリン,係数_乗用_CNG,係数_乗用_軽油,係数_乗用_メタノール,係数_乗用_LPG),1,1,BE1769):INDEX((係数_乗用_ガソリン,係数_乗用_CNG,係数_乗用_軽油,係数_乗用_メタノール,係数_乗用_LPG),125,5,BE1769),5,FALSE)))))</f>
        <v/>
      </c>
      <c r="AN1769" s="461" t="str">
        <f t="shared" si="996"/>
        <v/>
      </c>
      <c r="AO1769" s="462" t="str">
        <f t="shared" si="997"/>
        <v/>
      </c>
      <c r="AP1769" s="463" t="str">
        <f t="shared" si="998"/>
        <v/>
      </c>
      <c r="AQ1769" s="464"/>
      <c r="AR1769" s="619"/>
      <c r="AS1769" s="465" t="str">
        <f t="shared" si="1006"/>
        <v/>
      </c>
      <c r="AT1769" s="465" t="str">
        <f t="shared" si="1007"/>
        <v/>
      </c>
      <c r="AU1769" s="466" t="str">
        <f t="shared" si="1008"/>
        <v/>
      </c>
      <c r="AV1769" s="467" t="str">
        <f t="shared" si="1009"/>
        <v/>
      </c>
      <c r="AW1769" s="467" t="str">
        <f t="shared" si="1010"/>
        <v/>
      </c>
      <c r="AX1769" s="467" t="str">
        <f t="shared" si="1011"/>
        <v/>
      </c>
      <c r="AY1769" s="467" t="str">
        <f t="shared" si="1012"/>
        <v/>
      </c>
      <c r="AZ1769" s="467" t="str">
        <f t="shared" si="1013"/>
        <v/>
      </c>
      <c r="BA1769" s="468" t="str">
        <f>IF(AS1769="","",IF(OR(AU1769="",AU1769="-"),"－",IF(OR(AZ1769=8,AZ1769=9),"",IF(OR(AW1769=3,AW1769=4,AW1769=5,AW1769=6),VLOOKUP(AU1769,INDEX((係数_バス貨物_ガソリン,係数_バス貨物_CNG,係数_バス貨物_軽油,係数_バス貨物_メタノール,係数_バス貨物_LPG),MATCH(AY1769,【参考】排出係数!$AI$4:$AI$671,1),1,BE1769):INDEX((係数_バス貨物_ガソリン,係数_バス貨物_CNG,係数_バス貨物_軽油,係数_バス貨物_メタノール,係数_バス貨物_LPG),MATCH(AY1769+1,【参考】排出係数!$AI$4:$AI$671,1)-1,5,BE1769),2,FALSE),IF(OR(AW1769=1,AW1769=2),VLOOKUP(AU1769,INDEX((係数_乗用_ガソリン,係数_乗用_CNG,係数_乗用_軽油,係数_乗用_メタノール,係数_乗用_LPG),1,1,BE1769):INDEX((係数_乗用_ガソリン,係数_乗用_CNG,係数_乗用_軽油,係数_乗用_メタノール,係数_乗用_LPG),125,5,BE1769),2,FALSE))))))</f>
        <v/>
      </c>
      <c r="BB1769" s="468" t="str">
        <f>IF(T1769="","",IF(OR(AU1769="",AU1769="-"),"－",IF(OR(AZ1769=8,AZ1769=9),"",IF(OR(AW1769=3,AW1769=4,AW1769=5,AW1769=6),VLOOKUP(AU1769,INDEX((係数_バス貨物_ガソリン,係数_バス貨物_CNG,係数_バス貨物_軽油,係数_バス貨物_メタノール,係数_バス貨物_LPG),MATCH(AY1769,【参考】排出係数!$AI$4:$AI$671,1),1,BE1769):INDEX((係数_バス貨物_ガソリン,係数_バス貨物_CNG,係数_バス貨物_軽油,係数_バス貨物_メタノール,係数_バス貨物_LPG),MATCH(AY1769+1,【参考】排出係数!$AI$4:$AI$671,1)-1,5,BE1769),3,FALSE),IF(OR(AW1769=1,AW1769=2),VLOOKUP(AU1769,INDEX((係数_乗用_ガソリン,係数_乗用_CNG,係数_乗用_軽油,係数_乗用_メタノール,係数_乗用_LPG),1,1,BE1769):INDEX((係数_乗用_ガソリン,係数_乗用_CNG,係数_乗用_軽油,係数_乗用_メタノール,係数_乗用_LPG),125,5,BE1769),3,FALSE))))))</f>
        <v/>
      </c>
      <c r="BC1769" s="467" t="str">
        <f t="shared" si="1014"/>
        <v/>
      </c>
      <c r="BD1769" s="567" t="str">
        <f t="shared" si="1015"/>
        <v/>
      </c>
      <c r="BE1769" s="467" t="str">
        <f t="shared" si="1016"/>
        <v/>
      </c>
      <c r="BF1769" s="469" t="str">
        <f t="shared" ca="1" si="1017"/>
        <v/>
      </c>
      <c r="BG1769" s="469" t="str">
        <f t="shared" ca="1" si="1018"/>
        <v/>
      </c>
      <c r="BH1769" s="467" t="str">
        <f t="shared" si="1019"/>
        <v/>
      </c>
      <c r="BI1769" s="467" t="str">
        <f t="shared" ca="1" si="1020"/>
        <v/>
      </c>
      <c r="BJ1769" s="469" t="str">
        <f t="shared" si="1021"/>
        <v/>
      </c>
      <c r="BK1769" s="470" t="str">
        <f t="shared" si="1005"/>
        <v/>
      </c>
      <c r="BL1769" s="775" t="str">
        <f t="shared" si="1022"/>
        <v/>
      </c>
      <c r="BM1769" s="775" t="str">
        <f t="shared" si="1023"/>
        <v/>
      </c>
    </row>
    <row r="1770" spans="1:65">
      <c r="A1770" s="473">
        <v>1714</v>
      </c>
      <c r="B1770" s="132"/>
      <c r="C1770" s="332"/>
      <c r="D1770" s="333"/>
      <c r="E1770" s="333"/>
      <c r="F1770" s="334"/>
      <c r="G1770" s="337"/>
      <c r="H1770" s="131"/>
      <c r="I1770" s="337"/>
      <c r="J1770" s="131"/>
      <c r="K1770" s="458" t="str">
        <f t="shared" si="986"/>
        <v/>
      </c>
      <c r="L1770" s="458">
        <f t="shared" si="987"/>
        <v>0</v>
      </c>
      <c r="M1770" s="458">
        <f t="shared" si="988"/>
        <v>0</v>
      </c>
      <c r="N1770" s="459" t="str">
        <f t="shared" si="999"/>
        <v/>
      </c>
      <c r="O1770" s="459" t="str">
        <f t="shared" si="1000"/>
        <v/>
      </c>
      <c r="P1770" s="459" t="str">
        <f t="shared" si="1001"/>
        <v/>
      </c>
      <c r="Q1770" s="459" t="str">
        <f t="shared" si="1002"/>
        <v/>
      </c>
      <c r="R1770" s="459" t="str">
        <f t="shared" si="1003"/>
        <v/>
      </c>
      <c r="S1770" s="459" t="str">
        <f t="shared" si="1004"/>
        <v/>
      </c>
      <c r="T1770" s="566" t="str">
        <f t="shared" si="989"/>
        <v/>
      </c>
      <c r="U1770" s="702"/>
      <c r="V1770" s="132"/>
      <c r="W1770" s="133"/>
      <c r="X1770" s="134"/>
      <c r="Y1770" s="135"/>
      <c r="Z1770" s="137"/>
      <c r="AA1770" s="136"/>
      <c r="AB1770" s="566" t="str">
        <f t="shared" si="990"/>
        <v/>
      </c>
      <c r="AC1770" s="568" t="str">
        <f t="shared" si="991"/>
        <v/>
      </c>
      <c r="AD1770" s="137"/>
      <c r="AE1770" s="137"/>
      <c r="AF1770" s="138"/>
      <c r="AG1770" s="138"/>
      <c r="AH1770" s="592" t="str">
        <f t="shared" si="992"/>
        <v/>
      </c>
      <c r="AI1770" s="592" t="str">
        <f t="shared" si="993"/>
        <v/>
      </c>
      <c r="AJ1770" s="592" t="str">
        <f t="shared" si="994"/>
        <v/>
      </c>
      <c r="AK1770" s="460" t="str">
        <f>IF(AU1770="","",IF(OR(AZ1770=8,AZ1770=9),0,IF(OR(AW1770=3,AW1770=4,AW1770=5,AW1770=6),IF(LEFT(BF1770,1)="1",INDEX(係数_NOX・PM低減,MATCH(AY1770,【参考】排出係数!$AI$801:$AI$804,1),1),VLOOKUP(AU1770,INDEX((係数_バス貨物_ガソリン,係数_バス貨物_CNG,係数_バス貨物_軽油,係数_バス貨物_メタノール,係数_バス貨物_LPG),MATCH(AY1770,【参考】排出係数!$AI$4:$AI$671,1),1,BE1770):INDEX((係数_バス貨物_ガソリン,係数_バス貨物_CNG,係数_バス貨物_軽油,係数_バス貨物_メタノール,係数_バス貨物_LPG),MATCH(AY1770+1,【参考】排出係数!$AI$4:$AI$671,1)-1,5,BE1770),4,FALSE)),IF(AND(BE1770=3,LEFT(BF1770,1)="1"),0.48,VLOOKUP(AU1770,INDEX((係数_乗用_ガソリン,係数_乗用_CNG,係数_乗用_軽油,係数_乗用_メタノール,係数_乗用_LPG),1,1,BE1770):INDEX((係数_乗用_ガソリン,係数_乗用_CNG,係数_乗用_軽油,係数_乗用_メタノール,係数_乗用_LPG),125,5,BE1770),4,FALSE)))))</f>
        <v/>
      </c>
      <c r="AL1770" s="461" t="str">
        <f t="shared" si="995"/>
        <v/>
      </c>
      <c r="AM1770" s="460" t="str">
        <f>IF(AU1770="","",IF(OR(AZ1770=8,AZ1770=9),0,IF(OR(AW1770=3,AW1770=4,AW1770=5,AW1770=6),IF(LEFT(BH1770,1)="1",INDEX(係数_PM低減,MATCH(AY1770,【参考】排出係数!$AI$801:$AI$804,1),MATCH(BI1770,【参考】排出係数!$AL$798:$AO$798,1)),VLOOKUP(AU1770,INDEX((係数_バス貨物_ガソリン,係数_バス貨物_CNG,係数_バス貨物_軽油,係数_バス貨物_メタノール,係数_バス貨物_LPG),MATCH(AY1770,【参考】排出係数!$AI$4:$AI$671,1),1,BE1770):INDEX((係数_バス貨物_ガソリン,係数_バス貨物_CNG,係数_バス貨物_軽油,係数_バス貨物_メタノール,係数_バス貨物_LPG),MATCH(AY1770+1,【参考】排出係数!$AI$4:$AI$671,1)-1,5,BE1770),5,FALSE)),IF(AND(BE1770=3,LEFT(BF1770,1)="1"),0.055,VLOOKUP(AU1770,INDEX((係数_乗用_ガソリン,係数_乗用_CNG,係数_乗用_軽油,係数_乗用_メタノール,係数_乗用_LPG),1,1,BE1770):INDEX((係数_乗用_ガソリン,係数_乗用_CNG,係数_乗用_軽油,係数_乗用_メタノール,係数_乗用_LPG),125,5,BE1770),5,FALSE)))))</f>
        <v/>
      </c>
      <c r="AN1770" s="461" t="str">
        <f t="shared" si="996"/>
        <v/>
      </c>
      <c r="AO1770" s="462" t="str">
        <f t="shared" si="997"/>
        <v/>
      </c>
      <c r="AP1770" s="463" t="str">
        <f t="shared" si="998"/>
        <v/>
      </c>
      <c r="AQ1770" s="464"/>
      <c r="AR1770" s="619"/>
      <c r="AS1770" s="465" t="str">
        <f t="shared" si="1006"/>
        <v/>
      </c>
      <c r="AT1770" s="465" t="str">
        <f t="shared" si="1007"/>
        <v/>
      </c>
      <c r="AU1770" s="466" t="str">
        <f t="shared" si="1008"/>
        <v/>
      </c>
      <c r="AV1770" s="467" t="str">
        <f t="shared" si="1009"/>
        <v/>
      </c>
      <c r="AW1770" s="467" t="str">
        <f t="shared" si="1010"/>
        <v/>
      </c>
      <c r="AX1770" s="467" t="str">
        <f t="shared" si="1011"/>
        <v/>
      </c>
      <c r="AY1770" s="467" t="str">
        <f t="shared" si="1012"/>
        <v/>
      </c>
      <c r="AZ1770" s="467" t="str">
        <f t="shared" si="1013"/>
        <v/>
      </c>
      <c r="BA1770" s="468" t="str">
        <f>IF(AS1770="","",IF(OR(AU1770="",AU1770="-"),"－",IF(OR(AZ1770=8,AZ1770=9),"",IF(OR(AW1770=3,AW1770=4,AW1770=5,AW1770=6),VLOOKUP(AU1770,INDEX((係数_バス貨物_ガソリン,係数_バス貨物_CNG,係数_バス貨物_軽油,係数_バス貨物_メタノール,係数_バス貨物_LPG),MATCH(AY1770,【参考】排出係数!$AI$4:$AI$671,1),1,BE1770):INDEX((係数_バス貨物_ガソリン,係数_バス貨物_CNG,係数_バス貨物_軽油,係数_バス貨物_メタノール,係数_バス貨物_LPG),MATCH(AY1770+1,【参考】排出係数!$AI$4:$AI$671,1)-1,5,BE1770),2,FALSE),IF(OR(AW1770=1,AW1770=2),VLOOKUP(AU1770,INDEX((係数_乗用_ガソリン,係数_乗用_CNG,係数_乗用_軽油,係数_乗用_メタノール,係数_乗用_LPG),1,1,BE1770):INDEX((係数_乗用_ガソリン,係数_乗用_CNG,係数_乗用_軽油,係数_乗用_メタノール,係数_乗用_LPG),125,5,BE1770),2,FALSE))))))</f>
        <v/>
      </c>
      <c r="BB1770" s="468" t="str">
        <f>IF(T1770="","",IF(OR(AU1770="",AU1770="-"),"－",IF(OR(AZ1770=8,AZ1770=9),"",IF(OR(AW1770=3,AW1770=4,AW1770=5,AW1770=6),VLOOKUP(AU1770,INDEX((係数_バス貨物_ガソリン,係数_バス貨物_CNG,係数_バス貨物_軽油,係数_バス貨物_メタノール,係数_バス貨物_LPG),MATCH(AY1770,【参考】排出係数!$AI$4:$AI$671,1),1,BE1770):INDEX((係数_バス貨物_ガソリン,係数_バス貨物_CNG,係数_バス貨物_軽油,係数_バス貨物_メタノール,係数_バス貨物_LPG),MATCH(AY1770+1,【参考】排出係数!$AI$4:$AI$671,1)-1,5,BE1770),3,FALSE),IF(OR(AW1770=1,AW1770=2),VLOOKUP(AU1770,INDEX((係数_乗用_ガソリン,係数_乗用_CNG,係数_乗用_軽油,係数_乗用_メタノール,係数_乗用_LPG),1,1,BE1770):INDEX((係数_乗用_ガソリン,係数_乗用_CNG,係数_乗用_軽油,係数_乗用_メタノール,係数_乗用_LPG),125,5,BE1770),3,FALSE))))))</f>
        <v/>
      </c>
      <c r="BC1770" s="467" t="str">
        <f t="shared" si="1014"/>
        <v/>
      </c>
      <c r="BD1770" s="567" t="str">
        <f t="shared" si="1015"/>
        <v/>
      </c>
      <c r="BE1770" s="467" t="str">
        <f t="shared" si="1016"/>
        <v/>
      </c>
      <c r="BF1770" s="469" t="str">
        <f t="shared" ca="1" si="1017"/>
        <v/>
      </c>
      <c r="BG1770" s="469" t="str">
        <f t="shared" ca="1" si="1018"/>
        <v/>
      </c>
      <c r="BH1770" s="467" t="str">
        <f t="shared" si="1019"/>
        <v/>
      </c>
      <c r="BI1770" s="467" t="str">
        <f t="shared" ca="1" si="1020"/>
        <v/>
      </c>
      <c r="BJ1770" s="469" t="str">
        <f t="shared" si="1021"/>
        <v/>
      </c>
      <c r="BK1770" s="470" t="str">
        <f t="shared" si="1005"/>
        <v/>
      </c>
      <c r="BL1770" s="775" t="str">
        <f t="shared" si="1022"/>
        <v/>
      </c>
      <c r="BM1770" s="775" t="str">
        <f t="shared" si="1023"/>
        <v/>
      </c>
    </row>
    <row r="1771" spans="1:65">
      <c r="A1771" s="473">
        <v>1715</v>
      </c>
      <c r="B1771" s="132"/>
      <c r="C1771" s="332"/>
      <c r="D1771" s="333"/>
      <c r="E1771" s="333"/>
      <c r="F1771" s="334"/>
      <c r="G1771" s="337"/>
      <c r="H1771" s="131"/>
      <c r="I1771" s="337"/>
      <c r="J1771" s="131"/>
      <c r="K1771" s="458" t="str">
        <f t="shared" si="986"/>
        <v/>
      </c>
      <c r="L1771" s="458">
        <f t="shared" si="987"/>
        <v>0</v>
      </c>
      <c r="M1771" s="458">
        <f t="shared" si="988"/>
        <v>0</v>
      </c>
      <c r="N1771" s="459" t="str">
        <f t="shared" si="999"/>
        <v/>
      </c>
      <c r="O1771" s="459" t="str">
        <f t="shared" si="1000"/>
        <v/>
      </c>
      <c r="P1771" s="459" t="str">
        <f t="shared" si="1001"/>
        <v/>
      </c>
      <c r="Q1771" s="459" t="str">
        <f t="shared" si="1002"/>
        <v/>
      </c>
      <c r="R1771" s="459" t="str">
        <f t="shared" si="1003"/>
        <v/>
      </c>
      <c r="S1771" s="459" t="str">
        <f t="shared" si="1004"/>
        <v/>
      </c>
      <c r="T1771" s="566" t="str">
        <f t="shared" si="989"/>
        <v/>
      </c>
      <c r="U1771" s="702"/>
      <c r="V1771" s="132"/>
      <c r="W1771" s="133"/>
      <c r="X1771" s="134"/>
      <c r="Y1771" s="135"/>
      <c r="Z1771" s="137"/>
      <c r="AA1771" s="136"/>
      <c r="AB1771" s="566" t="str">
        <f t="shared" si="990"/>
        <v/>
      </c>
      <c r="AC1771" s="568" t="str">
        <f t="shared" si="991"/>
        <v/>
      </c>
      <c r="AD1771" s="137"/>
      <c r="AE1771" s="137"/>
      <c r="AF1771" s="138"/>
      <c r="AG1771" s="138"/>
      <c r="AH1771" s="592" t="str">
        <f t="shared" si="992"/>
        <v/>
      </c>
      <c r="AI1771" s="592" t="str">
        <f t="shared" si="993"/>
        <v/>
      </c>
      <c r="AJ1771" s="592" t="str">
        <f t="shared" si="994"/>
        <v/>
      </c>
      <c r="AK1771" s="460" t="str">
        <f>IF(AU1771="","",IF(OR(AZ1771=8,AZ1771=9),0,IF(OR(AW1771=3,AW1771=4,AW1771=5,AW1771=6),IF(LEFT(BF1771,1)="1",INDEX(係数_NOX・PM低減,MATCH(AY1771,【参考】排出係数!$AI$801:$AI$804,1),1),VLOOKUP(AU1771,INDEX((係数_バス貨物_ガソリン,係数_バス貨物_CNG,係数_バス貨物_軽油,係数_バス貨物_メタノール,係数_バス貨物_LPG),MATCH(AY1771,【参考】排出係数!$AI$4:$AI$671,1),1,BE1771):INDEX((係数_バス貨物_ガソリン,係数_バス貨物_CNG,係数_バス貨物_軽油,係数_バス貨物_メタノール,係数_バス貨物_LPG),MATCH(AY1771+1,【参考】排出係数!$AI$4:$AI$671,1)-1,5,BE1771),4,FALSE)),IF(AND(BE1771=3,LEFT(BF1771,1)="1"),0.48,VLOOKUP(AU1771,INDEX((係数_乗用_ガソリン,係数_乗用_CNG,係数_乗用_軽油,係数_乗用_メタノール,係数_乗用_LPG),1,1,BE1771):INDEX((係数_乗用_ガソリン,係数_乗用_CNG,係数_乗用_軽油,係数_乗用_メタノール,係数_乗用_LPG),125,5,BE1771),4,FALSE)))))</f>
        <v/>
      </c>
      <c r="AL1771" s="461" t="str">
        <f t="shared" si="995"/>
        <v/>
      </c>
      <c r="AM1771" s="460" t="str">
        <f>IF(AU1771="","",IF(OR(AZ1771=8,AZ1771=9),0,IF(OR(AW1771=3,AW1771=4,AW1771=5,AW1771=6),IF(LEFT(BH1771,1)="1",INDEX(係数_PM低減,MATCH(AY1771,【参考】排出係数!$AI$801:$AI$804,1),MATCH(BI1771,【参考】排出係数!$AL$798:$AO$798,1)),VLOOKUP(AU1771,INDEX((係数_バス貨物_ガソリン,係数_バス貨物_CNG,係数_バス貨物_軽油,係数_バス貨物_メタノール,係数_バス貨物_LPG),MATCH(AY1771,【参考】排出係数!$AI$4:$AI$671,1),1,BE1771):INDEX((係数_バス貨物_ガソリン,係数_バス貨物_CNG,係数_バス貨物_軽油,係数_バス貨物_メタノール,係数_バス貨物_LPG),MATCH(AY1771+1,【参考】排出係数!$AI$4:$AI$671,1)-1,5,BE1771),5,FALSE)),IF(AND(BE1771=3,LEFT(BF1771,1)="1"),0.055,VLOOKUP(AU1771,INDEX((係数_乗用_ガソリン,係数_乗用_CNG,係数_乗用_軽油,係数_乗用_メタノール,係数_乗用_LPG),1,1,BE1771):INDEX((係数_乗用_ガソリン,係数_乗用_CNG,係数_乗用_軽油,係数_乗用_メタノール,係数_乗用_LPG),125,5,BE1771),5,FALSE)))))</f>
        <v/>
      </c>
      <c r="AN1771" s="461" t="str">
        <f t="shared" si="996"/>
        <v/>
      </c>
      <c r="AO1771" s="462" t="str">
        <f t="shared" si="997"/>
        <v/>
      </c>
      <c r="AP1771" s="463" t="str">
        <f t="shared" si="998"/>
        <v/>
      </c>
      <c r="AQ1771" s="464"/>
      <c r="AR1771" s="619"/>
      <c r="AS1771" s="465" t="str">
        <f t="shared" si="1006"/>
        <v/>
      </c>
      <c r="AT1771" s="465" t="str">
        <f t="shared" si="1007"/>
        <v/>
      </c>
      <c r="AU1771" s="466" t="str">
        <f t="shared" si="1008"/>
        <v/>
      </c>
      <c r="AV1771" s="467" t="str">
        <f t="shared" si="1009"/>
        <v/>
      </c>
      <c r="AW1771" s="467" t="str">
        <f t="shared" si="1010"/>
        <v/>
      </c>
      <c r="AX1771" s="467" t="str">
        <f t="shared" si="1011"/>
        <v/>
      </c>
      <c r="AY1771" s="467" t="str">
        <f t="shared" si="1012"/>
        <v/>
      </c>
      <c r="AZ1771" s="467" t="str">
        <f t="shared" si="1013"/>
        <v/>
      </c>
      <c r="BA1771" s="468" t="str">
        <f>IF(AS1771="","",IF(OR(AU1771="",AU1771="-"),"－",IF(OR(AZ1771=8,AZ1771=9),"",IF(OR(AW1771=3,AW1771=4,AW1771=5,AW1771=6),VLOOKUP(AU1771,INDEX((係数_バス貨物_ガソリン,係数_バス貨物_CNG,係数_バス貨物_軽油,係数_バス貨物_メタノール,係数_バス貨物_LPG),MATCH(AY1771,【参考】排出係数!$AI$4:$AI$671,1),1,BE1771):INDEX((係数_バス貨物_ガソリン,係数_バス貨物_CNG,係数_バス貨物_軽油,係数_バス貨物_メタノール,係数_バス貨物_LPG),MATCH(AY1771+1,【参考】排出係数!$AI$4:$AI$671,1)-1,5,BE1771),2,FALSE),IF(OR(AW1771=1,AW1771=2),VLOOKUP(AU1771,INDEX((係数_乗用_ガソリン,係数_乗用_CNG,係数_乗用_軽油,係数_乗用_メタノール,係数_乗用_LPG),1,1,BE1771):INDEX((係数_乗用_ガソリン,係数_乗用_CNG,係数_乗用_軽油,係数_乗用_メタノール,係数_乗用_LPG),125,5,BE1771),2,FALSE))))))</f>
        <v/>
      </c>
      <c r="BB1771" s="468" t="str">
        <f>IF(T1771="","",IF(OR(AU1771="",AU1771="-"),"－",IF(OR(AZ1771=8,AZ1771=9),"",IF(OR(AW1771=3,AW1771=4,AW1771=5,AW1771=6),VLOOKUP(AU1771,INDEX((係数_バス貨物_ガソリン,係数_バス貨物_CNG,係数_バス貨物_軽油,係数_バス貨物_メタノール,係数_バス貨物_LPG),MATCH(AY1771,【参考】排出係数!$AI$4:$AI$671,1),1,BE1771):INDEX((係数_バス貨物_ガソリン,係数_バス貨物_CNG,係数_バス貨物_軽油,係数_バス貨物_メタノール,係数_バス貨物_LPG),MATCH(AY1771+1,【参考】排出係数!$AI$4:$AI$671,1)-1,5,BE1771),3,FALSE),IF(OR(AW1771=1,AW1771=2),VLOOKUP(AU1771,INDEX((係数_乗用_ガソリン,係数_乗用_CNG,係数_乗用_軽油,係数_乗用_メタノール,係数_乗用_LPG),1,1,BE1771):INDEX((係数_乗用_ガソリン,係数_乗用_CNG,係数_乗用_軽油,係数_乗用_メタノール,係数_乗用_LPG),125,5,BE1771),3,FALSE))))))</f>
        <v/>
      </c>
      <c r="BC1771" s="467" t="str">
        <f t="shared" si="1014"/>
        <v/>
      </c>
      <c r="BD1771" s="567" t="str">
        <f t="shared" si="1015"/>
        <v/>
      </c>
      <c r="BE1771" s="467" t="str">
        <f t="shared" si="1016"/>
        <v/>
      </c>
      <c r="BF1771" s="469" t="str">
        <f t="shared" ca="1" si="1017"/>
        <v/>
      </c>
      <c r="BG1771" s="469" t="str">
        <f t="shared" ca="1" si="1018"/>
        <v/>
      </c>
      <c r="BH1771" s="467" t="str">
        <f t="shared" si="1019"/>
        <v/>
      </c>
      <c r="BI1771" s="467" t="str">
        <f t="shared" ca="1" si="1020"/>
        <v/>
      </c>
      <c r="BJ1771" s="469" t="str">
        <f t="shared" si="1021"/>
        <v/>
      </c>
      <c r="BK1771" s="470" t="str">
        <f t="shared" si="1005"/>
        <v/>
      </c>
      <c r="BL1771" s="775" t="str">
        <f t="shared" si="1022"/>
        <v/>
      </c>
      <c r="BM1771" s="775" t="str">
        <f t="shared" si="1023"/>
        <v/>
      </c>
    </row>
    <row r="1772" spans="1:65">
      <c r="A1772" s="473">
        <v>1716</v>
      </c>
      <c r="B1772" s="132"/>
      <c r="C1772" s="332"/>
      <c r="D1772" s="333"/>
      <c r="E1772" s="333"/>
      <c r="F1772" s="334"/>
      <c r="G1772" s="337"/>
      <c r="H1772" s="131"/>
      <c r="I1772" s="337"/>
      <c r="J1772" s="131"/>
      <c r="K1772" s="458" t="str">
        <f t="shared" ref="K1772:K1835" si="1024">C1772&amp;D1772&amp;E1772&amp;F1772</f>
        <v/>
      </c>
      <c r="L1772" s="458">
        <f t="shared" ref="L1772:L1835" si="1025">IF(G1772&gt;0,DATE((G1772),(H1772+1),0),0)</f>
        <v>0</v>
      </c>
      <c r="M1772" s="458">
        <f t="shared" ref="M1772:M1835" si="1026">IF(I1772&gt;0,DATE((I1772),(J1772+1),0),0)</f>
        <v>0</v>
      </c>
      <c r="N1772" s="459" t="str">
        <f t="shared" si="999"/>
        <v/>
      </c>
      <c r="O1772" s="459" t="str">
        <f t="shared" si="1000"/>
        <v/>
      </c>
      <c r="P1772" s="459" t="str">
        <f t="shared" si="1001"/>
        <v/>
      </c>
      <c r="Q1772" s="459" t="str">
        <f t="shared" si="1002"/>
        <v/>
      </c>
      <c r="R1772" s="459" t="str">
        <f t="shared" si="1003"/>
        <v/>
      </c>
      <c r="S1772" s="459" t="str">
        <f t="shared" si="1004"/>
        <v/>
      </c>
      <c r="T1772" s="566" t="str">
        <f t="shared" ref="T1772:T1835" si="1027">N1772&amp;O1772&amp;P1772&amp;Q1772&amp;R1772&amp;S1772</f>
        <v/>
      </c>
      <c r="U1772" s="702"/>
      <c r="V1772" s="132"/>
      <c r="W1772" s="133"/>
      <c r="X1772" s="134"/>
      <c r="Y1772" s="135"/>
      <c r="Z1772" s="137"/>
      <c r="AA1772" s="136"/>
      <c r="AB1772" s="566" t="str">
        <f t="shared" ref="AB1772:AB1835" si="1028">IF(AS1772="","",IF(AZ1772=1,VLOOKUP(BA1772,低公害車判別,2,FALSE),IF(AZ1772=3,VLOOKUP(BA1772,低公害車判別,2,FALSE),IF(AZ1772=4,VLOOKUP(BB1772,低公害車判別,2,FALSE),"低公害車"))))</f>
        <v/>
      </c>
      <c r="AC1772" s="568" t="str">
        <f t="shared" ref="AC1772:AC1835" si="1029">IF(AS1772="","",IF((BA1772="")+(BA1772="－"),IF((BB1772="")+(BB1772=0),"－",BB1772),IF((BA1772="PM☆☆☆")+(BA1772="☆及びPM☆☆☆")+(BA1772="☆☆及びPM☆☆☆")+(BA1772="☆☆☆及びPM☆☆☆"),"PM☆☆☆",IF((BA1772="PM☆☆☆☆")+(BA1772="☆及びPM☆☆☆☆")+(BA1772="☆☆及びPM☆☆☆☆")+(BA1772="☆☆☆及びPM☆☆☆☆"),"PM☆☆☆☆",IF((BA1772="新☆")+(BA1772="新NOx☆")+(BA1772="新PM☆"),"新☆（新長期）",BA1772)))))</f>
        <v/>
      </c>
      <c r="AD1772" s="137"/>
      <c r="AE1772" s="137"/>
      <c r="AF1772" s="138"/>
      <c r="AG1772" s="138"/>
      <c r="AH1772" s="592" t="str">
        <f t="shared" ref="AH1772:AH1835" si="1030">IF(C1772="","",IF(LEFT(C1772,2)="横浜","○",""))</f>
        <v/>
      </c>
      <c r="AI1772" s="592" t="str">
        <f t="shared" ref="AI1772:AI1835" si="1031">IF(C1772="","",IF(LEFT(C1772,2)="川崎","○",""))</f>
        <v/>
      </c>
      <c r="AJ1772" s="592" t="str">
        <f t="shared" ref="AJ1772:AJ1835" si="1032">IF(C1772="","",IF(OR(AH1772="○",AI1772="○"),"","○"))</f>
        <v/>
      </c>
      <c r="AK1772" s="460" t="str">
        <f>IF(AU1772="","",IF(OR(AZ1772=8,AZ1772=9),0,IF(OR(AW1772=3,AW1772=4,AW1772=5,AW1772=6),IF(LEFT(BF1772,1)="1",INDEX(係数_NOX・PM低減,MATCH(AY1772,【参考】排出係数!$AI$801:$AI$804,1),1),VLOOKUP(AU1772,INDEX((係数_バス貨物_ガソリン,係数_バス貨物_CNG,係数_バス貨物_軽油,係数_バス貨物_メタノール,係数_バス貨物_LPG),MATCH(AY1772,【参考】排出係数!$AI$4:$AI$671,1),1,BE1772):INDEX((係数_バス貨物_ガソリン,係数_バス貨物_CNG,係数_バス貨物_軽油,係数_バス貨物_メタノール,係数_バス貨物_LPG),MATCH(AY1772+1,【参考】排出係数!$AI$4:$AI$671,1)-1,5,BE1772),4,FALSE)),IF(AND(BE1772=3,LEFT(BF1772,1)="1"),0.48,VLOOKUP(AU1772,INDEX((係数_乗用_ガソリン,係数_乗用_CNG,係数_乗用_軽油,係数_乗用_メタノール,係数_乗用_LPG),1,1,BE1772):INDEX((係数_乗用_ガソリン,係数_乗用_CNG,係数_乗用_軽油,係数_乗用_メタノール,係数_乗用_LPG),125,5,BE1772),4,FALSE)))))</f>
        <v/>
      </c>
      <c r="AL1772" s="461" t="str">
        <f t="shared" ref="AL1772:AL1835" si="1033">IF(AU1772="","",IF(Z1772&lt;=3.5*1000,AD1772*AK1772/1000,IF(Z1772&gt;3.5*1000,AD1772*Z1772*AK1772/1000/1000)))</f>
        <v/>
      </c>
      <c r="AM1772" s="460" t="str">
        <f>IF(AU1772="","",IF(OR(AZ1772=8,AZ1772=9),0,IF(OR(AW1772=3,AW1772=4,AW1772=5,AW1772=6),IF(LEFT(BH1772,1)="1",INDEX(係数_PM低減,MATCH(AY1772,【参考】排出係数!$AI$801:$AI$804,1),MATCH(BI1772,【参考】排出係数!$AL$798:$AO$798,1)),VLOOKUP(AU1772,INDEX((係数_バス貨物_ガソリン,係数_バス貨物_CNG,係数_バス貨物_軽油,係数_バス貨物_メタノール,係数_バス貨物_LPG),MATCH(AY1772,【参考】排出係数!$AI$4:$AI$671,1),1,BE1772):INDEX((係数_バス貨物_ガソリン,係数_バス貨物_CNG,係数_バス貨物_軽油,係数_バス貨物_メタノール,係数_バス貨物_LPG),MATCH(AY1772+1,【参考】排出係数!$AI$4:$AI$671,1)-1,5,BE1772),5,FALSE)),IF(AND(BE1772=3,LEFT(BF1772,1)="1"),0.055,VLOOKUP(AU1772,INDEX((係数_乗用_ガソリン,係数_乗用_CNG,係数_乗用_軽油,係数_乗用_メタノール,係数_乗用_LPG),1,1,BE1772):INDEX((係数_乗用_ガソリン,係数_乗用_CNG,係数_乗用_軽油,係数_乗用_メタノール,係数_乗用_LPG),125,5,BE1772),5,FALSE)))))</f>
        <v/>
      </c>
      <c r="AN1772" s="461" t="str">
        <f t="shared" ref="AN1772:AN1835" si="1034">IF(AU1772="","",IF(Z1772&lt;=3.5*1000,AD1772*AM1772/1000,IF(Z1772&gt;3.5*1000,AD1772*Z1772*AM1772/1000/1000)))</f>
        <v/>
      </c>
      <c r="AO1772" s="462" t="str">
        <f t="shared" ref="AO1772:AO1835" si="1035">IF(AU1772="","",IF(Z1772&lt;500,"車両重量",IF(OR(AZ1772=8,AZ1772=9),0,IF(OR(AZ1772=1,AZ1772=2,AZ1772=11),2.32,IF(OR(AZ1772=4,AZ1772=5,AZ1772=11),2.58,IF(AZ1772=3,3,IF(AZ1772=6,2.23,IF(AZ1772=7,1.37,0))))))))</f>
        <v/>
      </c>
      <c r="AP1772" s="463" t="str">
        <f t="shared" ref="AP1772:AP1835" si="1036">IF(AU1772="","",AE1772*AO1772/1000)</f>
        <v/>
      </c>
      <c r="AQ1772" s="464"/>
      <c r="AR1772" s="619"/>
      <c r="AS1772" s="465" t="str">
        <f t="shared" si="1006"/>
        <v/>
      </c>
      <c r="AT1772" s="465" t="str">
        <f t="shared" si="1007"/>
        <v/>
      </c>
      <c r="AU1772" s="466" t="str">
        <f t="shared" si="1008"/>
        <v/>
      </c>
      <c r="AV1772" s="467" t="str">
        <f t="shared" si="1009"/>
        <v/>
      </c>
      <c r="AW1772" s="467" t="str">
        <f t="shared" si="1010"/>
        <v/>
      </c>
      <c r="AX1772" s="467" t="str">
        <f t="shared" si="1011"/>
        <v/>
      </c>
      <c r="AY1772" s="467" t="str">
        <f t="shared" si="1012"/>
        <v/>
      </c>
      <c r="AZ1772" s="467" t="str">
        <f t="shared" si="1013"/>
        <v/>
      </c>
      <c r="BA1772" s="468" t="str">
        <f>IF(AS1772="","",IF(OR(AU1772="",AU1772="-"),"－",IF(OR(AZ1772=8,AZ1772=9),"",IF(OR(AW1772=3,AW1772=4,AW1772=5,AW1772=6),VLOOKUP(AU1772,INDEX((係数_バス貨物_ガソリン,係数_バス貨物_CNG,係数_バス貨物_軽油,係数_バス貨物_メタノール,係数_バス貨物_LPG),MATCH(AY1772,【参考】排出係数!$AI$4:$AI$671,1),1,BE1772):INDEX((係数_バス貨物_ガソリン,係数_バス貨物_CNG,係数_バス貨物_軽油,係数_バス貨物_メタノール,係数_バス貨物_LPG),MATCH(AY1772+1,【参考】排出係数!$AI$4:$AI$671,1)-1,5,BE1772),2,FALSE),IF(OR(AW1772=1,AW1772=2),VLOOKUP(AU1772,INDEX((係数_乗用_ガソリン,係数_乗用_CNG,係数_乗用_軽油,係数_乗用_メタノール,係数_乗用_LPG),1,1,BE1772):INDEX((係数_乗用_ガソリン,係数_乗用_CNG,係数_乗用_軽油,係数_乗用_メタノール,係数_乗用_LPG),125,5,BE1772),2,FALSE))))))</f>
        <v/>
      </c>
      <c r="BB1772" s="468" t="str">
        <f>IF(T1772="","",IF(OR(AU1772="",AU1772="-"),"－",IF(OR(AZ1772=8,AZ1772=9),"",IF(OR(AW1772=3,AW1772=4,AW1772=5,AW1772=6),VLOOKUP(AU1772,INDEX((係数_バス貨物_ガソリン,係数_バス貨物_CNG,係数_バス貨物_軽油,係数_バス貨物_メタノール,係数_バス貨物_LPG),MATCH(AY1772,【参考】排出係数!$AI$4:$AI$671,1),1,BE1772):INDEX((係数_バス貨物_ガソリン,係数_バス貨物_CNG,係数_バス貨物_軽油,係数_バス貨物_メタノール,係数_バス貨物_LPG),MATCH(AY1772+1,【参考】排出係数!$AI$4:$AI$671,1)-1,5,BE1772),3,FALSE),IF(OR(AW1772=1,AW1772=2),VLOOKUP(AU1772,INDEX((係数_乗用_ガソリン,係数_乗用_CNG,係数_乗用_軽油,係数_乗用_メタノール,係数_乗用_LPG),1,1,BE1772):INDEX((係数_乗用_ガソリン,係数_乗用_CNG,係数_乗用_軽油,係数_乗用_メタノール,係数_乗用_LPG),125,5,BE1772),3,FALSE))))))</f>
        <v/>
      </c>
      <c r="BC1772" s="467" t="str">
        <f t="shared" si="1014"/>
        <v/>
      </c>
      <c r="BD1772" s="567" t="str">
        <f t="shared" si="1015"/>
        <v/>
      </c>
      <c r="BE1772" s="467" t="str">
        <f t="shared" si="1016"/>
        <v/>
      </c>
      <c r="BF1772" s="469" t="str">
        <f t="shared" ca="1" si="1017"/>
        <v/>
      </c>
      <c r="BG1772" s="469" t="str">
        <f t="shared" ca="1" si="1018"/>
        <v/>
      </c>
      <c r="BH1772" s="467" t="str">
        <f t="shared" si="1019"/>
        <v/>
      </c>
      <c r="BI1772" s="467" t="str">
        <f t="shared" ca="1" si="1020"/>
        <v/>
      </c>
      <c r="BJ1772" s="469" t="str">
        <f t="shared" si="1021"/>
        <v/>
      </c>
      <c r="BK1772" s="470" t="str">
        <f t="shared" si="1005"/>
        <v/>
      </c>
      <c r="BL1772" s="775" t="str">
        <f t="shared" si="1022"/>
        <v/>
      </c>
      <c r="BM1772" s="775" t="str">
        <f t="shared" si="1023"/>
        <v/>
      </c>
    </row>
    <row r="1773" spans="1:65">
      <c r="A1773" s="473">
        <v>1717</v>
      </c>
      <c r="B1773" s="132"/>
      <c r="C1773" s="332"/>
      <c r="D1773" s="333"/>
      <c r="E1773" s="333"/>
      <c r="F1773" s="334"/>
      <c r="G1773" s="337"/>
      <c r="H1773" s="131"/>
      <c r="I1773" s="337"/>
      <c r="J1773" s="131"/>
      <c r="K1773" s="458" t="str">
        <f t="shared" si="1024"/>
        <v/>
      </c>
      <c r="L1773" s="458">
        <f t="shared" si="1025"/>
        <v>0</v>
      </c>
      <c r="M1773" s="458">
        <f t="shared" si="1026"/>
        <v>0</v>
      </c>
      <c r="N1773" s="459" t="str">
        <f t="shared" si="999"/>
        <v/>
      </c>
      <c r="O1773" s="459" t="str">
        <f t="shared" si="1000"/>
        <v/>
      </c>
      <c r="P1773" s="459" t="str">
        <f t="shared" si="1001"/>
        <v/>
      </c>
      <c r="Q1773" s="459" t="str">
        <f t="shared" si="1002"/>
        <v/>
      </c>
      <c r="R1773" s="459" t="str">
        <f t="shared" si="1003"/>
        <v/>
      </c>
      <c r="S1773" s="459" t="str">
        <f t="shared" si="1004"/>
        <v/>
      </c>
      <c r="T1773" s="566" t="str">
        <f t="shared" si="1027"/>
        <v/>
      </c>
      <c r="U1773" s="702"/>
      <c r="V1773" s="132"/>
      <c r="W1773" s="133"/>
      <c r="X1773" s="134"/>
      <c r="Y1773" s="135"/>
      <c r="Z1773" s="137"/>
      <c r="AA1773" s="136"/>
      <c r="AB1773" s="566" t="str">
        <f t="shared" si="1028"/>
        <v/>
      </c>
      <c r="AC1773" s="568" t="str">
        <f t="shared" si="1029"/>
        <v/>
      </c>
      <c r="AD1773" s="137"/>
      <c r="AE1773" s="137"/>
      <c r="AF1773" s="138"/>
      <c r="AG1773" s="138"/>
      <c r="AH1773" s="592" t="str">
        <f t="shared" si="1030"/>
        <v/>
      </c>
      <c r="AI1773" s="592" t="str">
        <f t="shared" si="1031"/>
        <v/>
      </c>
      <c r="AJ1773" s="592" t="str">
        <f t="shared" si="1032"/>
        <v/>
      </c>
      <c r="AK1773" s="460" t="str">
        <f>IF(AU1773="","",IF(OR(AZ1773=8,AZ1773=9),0,IF(OR(AW1773=3,AW1773=4,AW1773=5,AW1773=6),IF(LEFT(BF1773,1)="1",INDEX(係数_NOX・PM低減,MATCH(AY1773,【参考】排出係数!$AI$801:$AI$804,1),1),VLOOKUP(AU1773,INDEX((係数_バス貨物_ガソリン,係数_バス貨物_CNG,係数_バス貨物_軽油,係数_バス貨物_メタノール,係数_バス貨物_LPG),MATCH(AY1773,【参考】排出係数!$AI$4:$AI$671,1),1,BE1773):INDEX((係数_バス貨物_ガソリン,係数_バス貨物_CNG,係数_バス貨物_軽油,係数_バス貨物_メタノール,係数_バス貨物_LPG),MATCH(AY1773+1,【参考】排出係数!$AI$4:$AI$671,1)-1,5,BE1773),4,FALSE)),IF(AND(BE1773=3,LEFT(BF1773,1)="1"),0.48,VLOOKUP(AU1773,INDEX((係数_乗用_ガソリン,係数_乗用_CNG,係数_乗用_軽油,係数_乗用_メタノール,係数_乗用_LPG),1,1,BE1773):INDEX((係数_乗用_ガソリン,係数_乗用_CNG,係数_乗用_軽油,係数_乗用_メタノール,係数_乗用_LPG),125,5,BE1773),4,FALSE)))))</f>
        <v/>
      </c>
      <c r="AL1773" s="461" t="str">
        <f t="shared" si="1033"/>
        <v/>
      </c>
      <c r="AM1773" s="460" t="str">
        <f>IF(AU1773="","",IF(OR(AZ1773=8,AZ1773=9),0,IF(OR(AW1773=3,AW1773=4,AW1773=5,AW1773=6),IF(LEFT(BH1773,1)="1",INDEX(係数_PM低減,MATCH(AY1773,【参考】排出係数!$AI$801:$AI$804,1),MATCH(BI1773,【参考】排出係数!$AL$798:$AO$798,1)),VLOOKUP(AU1773,INDEX((係数_バス貨物_ガソリン,係数_バス貨物_CNG,係数_バス貨物_軽油,係数_バス貨物_メタノール,係数_バス貨物_LPG),MATCH(AY1773,【参考】排出係数!$AI$4:$AI$671,1),1,BE1773):INDEX((係数_バス貨物_ガソリン,係数_バス貨物_CNG,係数_バス貨物_軽油,係数_バス貨物_メタノール,係数_バス貨物_LPG),MATCH(AY1773+1,【参考】排出係数!$AI$4:$AI$671,1)-1,5,BE1773),5,FALSE)),IF(AND(BE1773=3,LEFT(BF1773,1)="1"),0.055,VLOOKUP(AU1773,INDEX((係数_乗用_ガソリン,係数_乗用_CNG,係数_乗用_軽油,係数_乗用_メタノール,係数_乗用_LPG),1,1,BE1773):INDEX((係数_乗用_ガソリン,係数_乗用_CNG,係数_乗用_軽油,係数_乗用_メタノール,係数_乗用_LPG),125,5,BE1773),5,FALSE)))))</f>
        <v/>
      </c>
      <c r="AN1773" s="461" t="str">
        <f t="shared" si="1034"/>
        <v/>
      </c>
      <c r="AO1773" s="462" t="str">
        <f t="shared" si="1035"/>
        <v/>
      </c>
      <c r="AP1773" s="463" t="str">
        <f t="shared" si="1036"/>
        <v/>
      </c>
      <c r="AQ1773" s="464"/>
      <c r="AR1773" s="619"/>
      <c r="AS1773" s="465" t="str">
        <f t="shared" si="1006"/>
        <v/>
      </c>
      <c r="AT1773" s="465" t="str">
        <f t="shared" si="1007"/>
        <v/>
      </c>
      <c r="AU1773" s="466" t="str">
        <f t="shared" si="1008"/>
        <v/>
      </c>
      <c r="AV1773" s="467" t="str">
        <f t="shared" si="1009"/>
        <v/>
      </c>
      <c r="AW1773" s="467" t="str">
        <f t="shared" si="1010"/>
        <v/>
      </c>
      <c r="AX1773" s="467" t="str">
        <f t="shared" si="1011"/>
        <v/>
      </c>
      <c r="AY1773" s="467" t="str">
        <f t="shared" si="1012"/>
        <v/>
      </c>
      <c r="AZ1773" s="467" t="str">
        <f t="shared" si="1013"/>
        <v/>
      </c>
      <c r="BA1773" s="468" t="str">
        <f>IF(AS1773="","",IF(OR(AU1773="",AU1773="-"),"－",IF(OR(AZ1773=8,AZ1773=9),"",IF(OR(AW1773=3,AW1773=4,AW1773=5,AW1773=6),VLOOKUP(AU1773,INDEX((係数_バス貨物_ガソリン,係数_バス貨物_CNG,係数_バス貨物_軽油,係数_バス貨物_メタノール,係数_バス貨物_LPG),MATCH(AY1773,【参考】排出係数!$AI$4:$AI$671,1),1,BE1773):INDEX((係数_バス貨物_ガソリン,係数_バス貨物_CNG,係数_バス貨物_軽油,係数_バス貨物_メタノール,係数_バス貨物_LPG),MATCH(AY1773+1,【参考】排出係数!$AI$4:$AI$671,1)-1,5,BE1773),2,FALSE),IF(OR(AW1773=1,AW1773=2),VLOOKUP(AU1773,INDEX((係数_乗用_ガソリン,係数_乗用_CNG,係数_乗用_軽油,係数_乗用_メタノール,係数_乗用_LPG),1,1,BE1773):INDEX((係数_乗用_ガソリン,係数_乗用_CNG,係数_乗用_軽油,係数_乗用_メタノール,係数_乗用_LPG),125,5,BE1773),2,FALSE))))))</f>
        <v/>
      </c>
      <c r="BB1773" s="468" t="str">
        <f>IF(T1773="","",IF(OR(AU1773="",AU1773="-"),"－",IF(OR(AZ1773=8,AZ1773=9),"",IF(OR(AW1773=3,AW1773=4,AW1773=5,AW1773=6),VLOOKUP(AU1773,INDEX((係数_バス貨物_ガソリン,係数_バス貨物_CNG,係数_バス貨物_軽油,係数_バス貨物_メタノール,係数_バス貨物_LPG),MATCH(AY1773,【参考】排出係数!$AI$4:$AI$671,1),1,BE1773):INDEX((係数_バス貨物_ガソリン,係数_バス貨物_CNG,係数_バス貨物_軽油,係数_バス貨物_メタノール,係数_バス貨物_LPG),MATCH(AY1773+1,【参考】排出係数!$AI$4:$AI$671,1)-1,5,BE1773),3,FALSE),IF(OR(AW1773=1,AW1773=2),VLOOKUP(AU1773,INDEX((係数_乗用_ガソリン,係数_乗用_CNG,係数_乗用_軽油,係数_乗用_メタノール,係数_乗用_LPG),1,1,BE1773):INDEX((係数_乗用_ガソリン,係数_乗用_CNG,係数_乗用_軽油,係数_乗用_メタノール,係数_乗用_LPG),125,5,BE1773),3,FALSE))))))</f>
        <v/>
      </c>
      <c r="BC1773" s="467" t="str">
        <f t="shared" si="1014"/>
        <v/>
      </c>
      <c r="BD1773" s="567" t="str">
        <f t="shared" si="1015"/>
        <v/>
      </c>
      <c r="BE1773" s="467" t="str">
        <f t="shared" si="1016"/>
        <v/>
      </c>
      <c r="BF1773" s="469" t="str">
        <f t="shared" ca="1" si="1017"/>
        <v/>
      </c>
      <c r="BG1773" s="469" t="str">
        <f t="shared" ca="1" si="1018"/>
        <v/>
      </c>
      <c r="BH1773" s="467" t="str">
        <f t="shared" si="1019"/>
        <v/>
      </c>
      <c r="BI1773" s="467" t="str">
        <f t="shared" ca="1" si="1020"/>
        <v/>
      </c>
      <c r="BJ1773" s="469" t="str">
        <f t="shared" si="1021"/>
        <v/>
      </c>
      <c r="BK1773" s="470" t="str">
        <f t="shared" si="1005"/>
        <v/>
      </c>
      <c r="BL1773" s="775" t="str">
        <f t="shared" si="1022"/>
        <v/>
      </c>
      <c r="BM1773" s="775" t="str">
        <f t="shared" si="1023"/>
        <v/>
      </c>
    </row>
    <row r="1774" spans="1:65">
      <c r="A1774" s="473">
        <v>1718</v>
      </c>
      <c r="B1774" s="132"/>
      <c r="C1774" s="332"/>
      <c r="D1774" s="333"/>
      <c r="E1774" s="333"/>
      <c r="F1774" s="334"/>
      <c r="G1774" s="337"/>
      <c r="H1774" s="131"/>
      <c r="I1774" s="337"/>
      <c r="J1774" s="131"/>
      <c r="K1774" s="458" t="str">
        <f t="shared" si="1024"/>
        <v/>
      </c>
      <c r="L1774" s="458">
        <f t="shared" si="1025"/>
        <v>0</v>
      </c>
      <c r="M1774" s="458">
        <f t="shared" si="1026"/>
        <v>0</v>
      </c>
      <c r="N1774" s="459" t="str">
        <f t="shared" si="999"/>
        <v/>
      </c>
      <c r="O1774" s="459" t="str">
        <f t="shared" si="1000"/>
        <v/>
      </c>
      <c r="P1774" s="459" t="str">
        <f t="shared" si="1001"/>
        <v/>
      </c>
      <c r="Q1774" s="459" t="str">
        <f t="shared" si="1002"/>
        <v/>
      </c>
      <c r="R1774" s="459" t="str">
        <f t="shared" si="1003"/>
        <v/>
      </c>
      <c r="S1774" s="459" t="str">
        <f t="shared" si="1004"/>
        <v/>
      </c>
      <c r="T1774" s="566" t="str">
        <f t="shared" si="1027"/>
        <v/>
      </c>
      <c r="U1774" s="702"/>
      <c r="V1774" s="132"/>
      <c r="W1774" s="133"/>
      <c r="X1774" s="134"/>
      <c r="Y1774" s="135"/>
      <c r="Z1774" s="137"/>
      <c r="AA1774" s="136"/>
      <c r="AB1774" s="566" t="str">
        <f t="shared" si="1028"/>
        <v/>
      </c>
      <c r="AC1774" s="568" t="str">
        <f t="shared" si="1029"/>
        <v/>
      </c>
      <c r="AD1774" s="137"/>
      <c r="AE1774" s="137"/>
      <c r="AF1774" s="138"/>
      <c r="AG1774" s="138"/>
      <c r="AH1774" s="592" t="str">
        <f t="shared" si="1030"/>
        <v/>
      </c>
      <c r="AI1774" s="592" t="str">
        <f t="shared" si="1031"/>
        <v/>
      </c>
      <c r="AJ1774" s="592" t="str">
        <f t="shared" si="1032"/>
        <v/>
      </c>
      <c r="AK1774" s="460" t="str">
        <f>IF(AU1774="","",IF(OR(AZ1774=8,AZ1774=9),0,IF(OR(AW1774=3,AW1774=4,AW1774=5,AW1774=6),IF(LEFT(BF1774,1)="1",INDEX(係数_NOX・PM低減,MATCH(AY1774,【参考】排出係数!$AI$801:$AI$804,1),1),VLOOKUP(AU1774,INDEX((係数_バス貨物_ガソリン,係数_バス貨物_CNG,係数_バス貨物_軽油,係数_バス貨物_メタノール,係数_バス貨物_LPG),MATCH(AY1774,【参考】排出係数!$AI$4:$AI$671,1),1,BE1774):INDEX((係数_バス貨物_ガソリン,係数_バス貨物_CNG,係数_バス貨物_軽油,係数_バス貨物_メタノール,係数_バス貨物_LPG),MATCH(AY1774+1,【参考】排出係数!$AI$4:$AI$671,1)-1,5,BE1774),4,FALSE)),IF(AND(BE1774=3,LEFT(BF1774,1)="1"),0.48,VLOOKUP(AU1774,INDEX((係数_乗用_ガソリン,係数_乗用_CNG,係数_乗用_軽油,係数_乗用_メタノール,係数_乗用_LPG),1,1,BE1774):INDEX((係数_乗用_ガソリン,係数_乗用_CNG,係数_乗用_軽油,係数_乗用_メタノール,係数_乗用_LPG),125,5,BE1774),4,FALSE)))))</f>
        <v/>
      </c>
      <c r="AL1774" s="461" t="str">
        <f t="shared" si="1033"/>
        <v/>
      </c>
      <c r="AM1774" s="460" t="str">
        <f>IF(AU1774="","",IF(OR(AZ1774=8,AZ1774=9),0,IF(OR(AW1774=3,AW1774=4,AW1774=5,AW1774=6),IF(LEFT(BH1774,1)="1",INDEX(係数_PM低減,MATCH(AY1774,【参考】排出係数!$AI$801:$AI$804,1),MATCH(BI1774,【参考】排出係数!$AL$798:$AO$798,1)),VLOOKUP(AU1774,INDEX((係数_バス貨物_ガソリン,係数_バス貨物_CNG,係数_バス貨物_軽油,係数_バス貨物_メタノール,係数_バス貨物_LPG),MATCH(AY1774,【参考】排出係数!$AI$4:$AI$671,1),1,BE1774):INDEX((係数_バス貨物_ガソリン,係数_バス貨物_CNG,係数_バス貨物_軽油,係数_バス貨物_メタノール,係数_バス貨物_LPG),MATCH(AY1774+1,【参考】排出係数!$AI$4:$AI$671,1)-1,5,BE1774),5,FALSE)),IF(AND(BE1774=3,LEFT(BF1774,1)="1"),0.055,VLOOKUP(AU1774,INDEX((係数_乗用_ガソリン,係数_乗用_CNG,係数_乗用_軽油,係数_乗用_メタノール,係数_乗用_LPG),1,1,BE1774):INDEX((係数_乗用_ガソリン,係数_乗用_CNG,係数_乗用_軽油,係数_乗用_メタノール,係数_乗用_LPG),125,5,BE1774),5,FALSE)))))</f>
        <v/>
      </c>
      <c r="AN1774" s="461" t="str">
        <f t="shared" si="1034"/>
        <v/>
      </c>
      <c r="AO1774" s="462" t="str">
        <f t="shared" si="1035"/>
        <v/>
      </c>
      <c r="AP1774" s="463" t="str">
        <f t="shared" si="1036"/>
        <v/>
      </c>
      <c r="AQ1774" s="464"/>
      <c r="AR1774" s="619"/>
      <c r="AS1774" s="465" t="str">
        <f t="shared" si="1006"/>
        <v/>
      </c>
      <c r="AT1774" s="465" t="str">
        <f t="shared" si="1007"/>
        <v/>
      </c>
      <c r="AU1774" s="466" t="str">
        <f t="shared" si="1008"/>
        <v/>
      </c>
      <c r="AV1774" s="467" t="str">
        <f t="shared" si="1009"/>
        <v/>
      </c>
      <c r="AW1774" s="467" t="str">
        <f t="shared" si="1010"/>
        <v/>
      </c>
      <c r="AX1774" s="467" t="str">
        <f t="shared" si="1011"/>
        <v/>
      </c>
      <c r="AY1774" s="467" t="str">
        <f t="shared" si="1012"/>
        <v/>
      </c>
      <c r="AZ1774" s="467" t="str">
        <f t="shared" si="1013"/>
        <v/>
      </c>
      <c r="BA1774" s="468" t="str">
        <f>IF(AS1774="","",IF(OR(AU1774="",AU1774="-"),"－",IF(OR(AZ1774=8,AZ1774=9),"",IF(OR(AW1774=3,AW1774=4,AW1774=5,AW1774=6),VLOOKUP(AU1774,INDEX((係数_バス貨物_ガソリン,係数_バス貨物_CNG,係数_バス貨物_軽油,係数_バス貨物_メタノール,係数_バス貨物_LPG),MATCH(AY1774,【参考】排出係数!$AI$4:$AI$671,1),1,BE1774):INDEX((係数_バス貨物_ガソリン,係数_バス貨物_CNG,係数_バス貨物_軽油,係数_バス貨物_メタノール,係数_バス貨物_LPG),MATCH(AY1774+1,【参考】排出係数!$AI$4:$AI$671,1)-1,5,BE1774),2,FALSE),IF(OR(AW1774=1,AW1774=2),VLOOKUP(AU1774,INDEX((係数_乗用_ガソリン,係数_乗用_CNG,係数_乗用_軽油,係数_乗用_メタノール,係数_乗用_LPG),1,1,BE1774):INDEX((係数_乗用_ガソリン,係数_乗用_CNG,係数_乗用_軽油,係数_乗用_メタノール,係数_乗用_LPG),125,5,BE1774),2,FALSE))))))</f>
        <v/>
      </c>
      <c r="BB1774" s="468" t="str">
        <f>IF(T1774="","",IF(OR(AU1774="",AU1774="-"),"－",IF(OR(AZ1774=8,AZ1774=9),"",IF(OR(AW1774=3,AW1774=4,AW1774=5,AW1774=6),VLOOKUP(AU1774,INDEX((係数_バス貨物_ガソリン,係数_バス貨物_CNG,係数_バス貨物_軽油,係数_バス貨物_メタノール,係数_バス貨物_LPG),MATCH(AY1774,【参考】排出係数!$AI$4:$AI$671,1),1,BE1774):INDEX((係数_バス貨物_ガソリン,係数_バス貨物_CNG,係数_バス貨物_軽油,係数_バス貨物_メタノール,係数_バス貨物_LPG),MATCH(AY1774+1,【参考】排出係数!$AI$4:$AI$671,1)-1,5,BE1774),3,FALSE),IF(OR(AW1774=1,AW1774=2),VLOOKUP(AU1774,INDEX((係数_乗用_ガソリン,係数_乗用_CNG,係数_乗用_軽油,係数_乗用_メタノール,係数_乗用_LPG),1,1,BE1774):INDEX((係数_乗用_ガソリン,係数_乗用_CNG,係数_乗用_軽油,係数_乗用_メタノール,係数_乗用_LPG),125,5,BE1774),3,FALSE))))))</f>
        <v/>
      </c>
      <c r="BC1774" s="467" t="str">
        <f t="shared" si="1014"/>
        <v/>
      </c>
      <c r="BD1774" s="567" t="str">
        <f t="shared" si="1015"/>
        <v/>
      </c>
      <c r="BE1774" s="467" t="str">
        <f t="shared" si="1016"/>
        <v/>
      </c>
      <c r="BF1774" s="469" t="str">
        <f t="shared" ca="1" si="1017"/>
        <v/>
      </c>
      <c r="BG1774" s="469" t="str">
        <f t="shared" ca="1" si="1018"/>
        <v/>
      </c>
      <c r="BH1774" s="467" t="str">
        <f t="shared" si="1019"/>
        <v/>
      </c>
      <c r="BI1774" s="467" t="str">
        <f t="shared" ca="1" si="1020"/>
        <v/>
      </c>
      <c r="BJ1774" s="469" t="str">
        <f t="shared" si="1021"/>
        <v/>
      </c>
      <c r="BK1774" s="470" t="str">
        <f t="shared" si="1005"/>
        <v/>
      </c>
      <c r="BL1774" s="775" t="str">
        <f t="shared" si="1022"/>
        <v/>
      </c>
      <c r="BM1774" s="775" t="str">
        <f t="shared" si="1023"/>
        <v/>
      </c>
    </row>
    <row r="1775" spans="1:65">
      <c r="A1775" s="473">
        <v>1719</v>
      </c>
      <c r="B1775" s="132"/>
      <c r="C1775" s="332"/>
      <c r="D1775" s="333"/>
      <c r="E1775" s="333"/>
      <c r="F1775" s="334"/>
      <c r="G1775" s="337"/>
      <c r="H1775" s="131"/>
      <c r="I1775" s="337"/>
      <c r="J1775" s="131"/>
      <c r="K1775" s="458" t="str">
        <f t="shared" si="1024"/>
        <v/>
      </c>
      <c r="L1775" s="458">
        <f t="shared" si="1025"/>
        <v>0</v>
      </c>
      <c r="M1775" s="458">
        <f t="shared" si="1026"/>
        <v>0</v>
      </c>
      <c r="N1775" s="459" t="str">
        <f t="shared" si="999"/>
        <v/>
      </c>
      <c r="O1775" s="459" t="str">
        <f t="shared" si="1000"/>
        <v/>
      </c>
      <c r="P1775" s="459" t="str">
        <f t="shared" si="1001"/>
        <v/>
      </c>
      <c r="Q1775" s="459" t="str">
        <f t="shared" si="1002"/>
        <v/>
      </c>
      <c r="R1775" s="459" t="str">
        <f t="shared" si="1003"/>
        <v/>
      </c>
      <c r="S1775" s="459" t="str">
        <f t="shared" si="1004"/>
        <v/>
      </c>
      <c r="T1775" s="566" t="str">
        <f t="shared" si="1027"/>
        <v/>
      </c>
      <c r="U1775" s="702"/>
      <c r="V1775" s="132"/>
      <c r="W1775" s="133"/>
      <c r="X1775" s="134"/>
      <c r="Y1775" s="135"/>
      <c r="Z1775" s="137"/>
      <c r="AA1775" s="136"/>
      <c r="AB1775" s="566" t="str">
        <f t="shared" si="1028"/>
        <v/>
      </c>
      <c r="AC1775" s="568" t="str">
        <f t="shared" si="1029"/>
        <v/>
      </c>
      <c r="AD1775" s="137"/>
      <c r="AE1775" s="137"/>
      <c r="AF1775" s="138"/>
      <c r="AG1775" s="138"/>
      <c r="AH1775" s="592" t="str">
        <f t="shared" si="1030"/>
        <v/>
      </c>
      <c r="AI1775" s="592" t="str">
        <f t="shared" si="1031"/>
        <v/>
      </c>
      <c r="AJ1775" s="592" t="str">
        <f t="shared" si="1032"/>
        <v/>
      </c>
      <c r="AK1775" s="460" t="str">
        <f>IF(AU1775="","",IF(OR(AZ1775=8,AZ1775=9),0,IF(OR(AW1775=3,AW1775=4,AW1775=5,AW1775=6),IF(LEFT(BF1775,1)="1",INDEX(係数_NOX・PM低減,MATCH(AY1775,【参考】排出係数!$AI$801:$AI$804,1),1),VLOOKUP(AU1775,INDEX((係数_バス貨物_ガソリン,係数_バス貨物_CNG,係数_バス貨物_軽油,係数_バス貨物_メタノール,係数_バス貨物_LPG),MATCH(AY1775,【参考】排出係数!$AI$4:$AI$671,1),1,BE1775):INDEX((係数_バス貨物_ガソリン,係数_バス貨物_CNG,係数_バス貨物_軽油,係数_バス貨物_メタノール,係数_バス貨物_LPG),MATCH(AY1775+1,【参考】排出係数!$AI$4:$AI$671,1)-1,5,BE1775),4,FALSE)),IF(AND(BE1775=3,LEFT(BF1775,1)="1"),0.48,VLOOKUP(AU1775,INDEX((係数_乗用_ガソリン,係数_乗用_CNG,係数_乗用_軽油,係数_乗用_メタノール,係数_乗用_LPG),1,1,BE1775):INDEX((係数_乗用_ガソリン,係数_乗用_CNG,係数_乗用_軽油,係数_乗用_メタノール,係数_乗用_LPG),125,5,BE1775),4,FALSE)))))</f>
        <v/>
      </c>
      <c r="AL1775" s="461" t="str">
        <f t="shared" si="1033"/>
        <v/>
      </c>
      <c r="AM1775" s="460" t="str">
        <f>IF(AU1775="","",IF(OR(AZ1775=8,AZ1775=9),0,IF(OR(AW1775=3,AW1775=4,AW1775=5,AW1775=6),IF(LEFT(BH1775,1)="1",INDEX(係数_PM低減,MATCH(AY1775,【参考】排出係数!$AI$801:$AI$804,1),MATCH(BI1775,【参考】排出係数!$AL$798:$AO$798,1)),VLOOKUP(AU1775,INDEX((係数_バス貨物_ガソリン,係数_バス貨物_CNG,係数_バス貨物_軽油,係数_バス貨物_メタノール,係数_バス貨物_LPG),MATCH(AY1775,【参考】排出係数!$AI$4:$AI$671,1),1,BE1775):INDEX((係数_バス貨物_ガソリン,係数_バス貨物_CNG,係数_バス貨物_軽油,係数_バス貨物_メタノール,係数_バス貨物_LPG),MATCH(AY1775+1,【参考】排出係数!$AI$4:$AI$671,1)-1,5,BE1775),5,FALSE)),IF(AND(BE1775=3,LEFT(BF1775,1)="1"),0.055,VLOOKUP(AU1775,INDEX((係数_乗用_ガソリン,係数_乗用_CNG,係数_乗用_軽油,係数_乗用_メタノール,係数_乗用_LPG),1,1,BE1775):INDEX((係数_乗用_ガソリン,係数_乗用_CNG,係数_乗用_軽油,係数_乗用_メタノール,係数_乗用_LPG),125,5,BE1775),5,FALSE)))))</f>
        <v/>
      </c>
      <c r="AN1775" s="461" t="str">
        <f t="shared" si="1034"/>
        <v/>
      </c>
      <c r="AO1775" s="462" t="str">
        <f t="shared" si="1035"/>
        <v/>
      </c>
      <c r="AP1775" s="463" t="str">
        <f t="shared" si="1036"/>
        <v/>
      </c>
      <c r="AQ1775" s="464"/>
      <c r="AR1775" s="619"/>
      <c r="AS1775" s="465" t="str">
        <f t="shared" si="1006"/>
        <v/>
      </c>
      <c r="AT1775" s="465" t="str">
        <f t="shared" si="1007"/>
        <v/>
      </c>
      <c r="AU1775" s="466" t="str">
        <f t="shared" si="1008"/>
        <v/>
      </c>
      <c r="AV1775" s="467" t="str">
        <f t="shared" si="1009"/>
        <v/>
      </c>
      <c r="AW1775" s="467" t="str">
        <f t="shared" si="1010"/>
        <v/>
      </c>
      <c r="AX1775" s="467" t="str">
        <f t="shared" si="1011"/>
        <v/>
      </c>
      <c r="AY1775" s="467" t="str">
        <f t="shared" si="1012"/>
        <v/>
      </c>
      <c r="AZ1775" s="467" t="str">
        <f t="shared" si="1013"/>
        <v/>
      </c>
      <c r="BA1775" s="468" t="str">
        <f>IF(AS1775="","",IF(OR(AU1775="",AU1775="-"),"－",IF(OR(AZ1775=8,AZ1775=9),"",IF(OR(AW1775=3,AW1775=4,AW1775=5,AW1775=6),VLOOKUP(AU1775,INDEX((係数_バス貨物_ガソリン,係数_バス貨物_CNG,係数_バス貨物_軽油,係数_バス貨物_メタノール,係数_バス貨物_LPG),MATCH(AY1775,【参考】排出係数!$AI$4:$AI$671,1),1,BE1775):INDEX((係数_バス貨物_ガソリン,係数_バス貨物_CNG,係数_バス貨物_軽油,係数_バス貨物_メタノール,係数_バス貨物_LPG),MATCH(AY1775+1,【参考】排出係数!$AI$4:$AI$671,1)-1,5,BE1775),2,FALSE),IF(OR(AW1775=1,AW1775=2),VLOOKUP(AU1775,INDEX((係数_乗用_ガソリン,係数_乗用_CNG,係数_乗用_軽油,係数_乗用_メタノール,係数_乗用_LPG),1,1,BE1775):INDEX((係数_乗用_ガソリン,係数_乗用_CNG,係数_乗用_軽油,係数_乗用_メタノール,係数_乗用_LPG),125,5,BE1775),2,FALSE))))))</f>
        <v/>
      </c>
      <c r="BB1775" s="468" t="str">
        <f>IF(T1775="","",IF(OR(AU1775="",AU1775="-"),"－",IF(OR(AZ1775=8,AZ1775=9),"",IF(OR(AW1775=3,AW1775=4,AW1775=5,AW1775=6),VLOOKUP(AU1775,INDEX((係数_バス貨物_ガソリン,係数_バス貨物_CNG,係数_バス貨物_軽油,係数_バス貨物_メタノール,係数_バス貨物_LPG),MATCH(AY1775,【参考】排出係数!$AI$4:$AI$671,1),1,BE1775):INDEX((係数_バス貨物_ガソリン,係数_バス貨物_CNG,係数_バス貨物_軽油,係数_バス貨物_メタノール,係数_バス貨物_LPG),MATCH(AY1775+1,【参考】排出係数!$AI$4:$AI$671,1)-1,5,BE1775),3,FALSE),IF(OR(AW1775=1,AW1775=2),VLOOKUP(AU1775,INDEX((係数_乗用_ガソリン,係数_乗用_CNG,係数_乗用_軽油,係数_乗用_メタノール,係数_乗用_LPG),1,1,BE1775):INDEX((係数_乗用_ガソリン,係数_乗用_CNG,係数_乗用_軽油,係数_乗用_メタノール,係数_乗用_LPG),125,5,BE1775),3,FALSE))))))</f>
        <v/>
      </c>
      <c r="BC1775" s="467" t="str">
        <f t="shared" si="1014"/>
        <v/>
      </c>
      <c r="BD1775" s="567" t="str">
        <f t="shared" si="1015"/>
        <v/>
      </c>
      <c r="BE1775" s="467" t="str">
        <f t="shared" si="1016"/>
        <v/>
      </c>
      <c r="BF1775" s="469" t="str">
        <f t="shared" ca="1" si="1017"/>
        <v/>
      </c>
      <c r="BG1775" s="469" t="str">
        <f t="shared" ca="1" si="1018"/>
        <v/>
      </c>
      <c r="BH1775" s="467" t="str">
        <f t="shared" si="1019"/>
        <v/>
      </c>
      <c r="BI1775" s="467" t="str">
        <f t="shared" ca="1" si="1020"/>
        <v/>
      </c>
      <c r="BJ1775" s="469" t="str">
        <f t="shared" si="1021"/>
        <v/>
      </c>
      <c r="BK1775" s="470" t="str">
        <f t="shared" si="1005"/>
        <v/>
      </c>
      <c r="BL1775" s="775" t="str">
        <f t="shared" si="1022"/>
        <v/>
      </c>
      <c r="BM1775" s="775" t="str">
        <f t="shared" si="1023"/>
        <v/>
      </c>
    </row>
    <row r="1776" spans="1:65">
      <c r="A1776" s="473">
        <v>1720</v>
      </c>
      <c r="B1776" s="132"/>
      <c r="C1776" s="332"/>
      <c r="D1776" s="333"/>
      <c r="E1776" s="333"/>
      <c r="F1776" s="334"/>
      <c r="G1776" s="337"/>
      <c r="H1776" s="131"/>
      <c r="I1776" s="337"/>
      <c r="J1776" s="131"/>
      <c r="K1776" s="458" t="str">
        <f t="shared" si="1024"/>
        <v/>
      </c>
      <c r="L1776" s="458">
        <f t="shared" si="1025"/>
        <v>0</v>
      </c>
      <c r="M1776" s="458">
        <f t="shared" si="1026"/>
        <v>0</v>
      </c>
      <c r="N1776" s="459" t="str">
        <f t="shared" si="999"/>
        <v/>
      </c>
      <c r="O1776" s="459" t="str">
        <f t="shared" si="1000"/>
        <v/>
      </c>
      <c r="P1776" s="459" t="str">
        <f t="shared" si="1001"/>
        <v/>
      </c>
      <c r="Q1776" s="459" t="str">
        <f t="shared" si="1002"/>
        <v/>
      </c>
      <c r="R1776" s="459" t="str">
        <f t="shared" si="1003"/>
        <v/>
      </c>
      <c r="S1776" s="459" t="str">
        <f t="shared" si="1004"/>
        <v/>
      </c>
      <c r="T1776" s="566" t="str">
        <f t="shared" si="1027"/>
        <v/>
      </c>
      <c r="U1776" s="702"/>
      <c r="V1776" s="132"/>
      <c r="W1776" s="133"/>
      <c r="X1776" s="134"/>
      <c r="Y1776" s="135"/>
      <c r="Z1776" s="137"/>
      <c r="AA1776" s="136"/>
      <c r="AB1776" s="566" t="str">
        <f t="shared" si="1028"/>
        <v/>
      </c>
      <c r="AC1776" s="568" t="str">
        <f t="shared" si="1029"/>
        <v/>
      </c>
      <c r="AD1776" s="137"/>
      <c r="AE1776" s="137"/>
      <c r="AF1776" s="138"/>
      <c r="AG1776" s="138"/>
      <c r="AH1776" s="592" t="str">
        <f t="shared" si="1030"/>
        <v/>
      </c>
      <c r="AI1776" s="592" t="str">
        <f t="shared" si="1031"/>
        <v/>
      </c>
      <c r="AJ1776" s="592" t="str">
        <f t="shared" si="1032"/>
        <v/>
      </c>
      <c r="AK1776" s="460" t="str">
        <f>IF(AU1776="","",IF(OR(AZ1776=8,AZ1776=9),0,IF(OR(AW1776=3,AW1776=4,AW1776=5,AW1776=6),IF(LEFT(BF1776,1)="1",INDEX(係数_NOX・PM低減,MATCH(AY1776,【参考】排出係数!$AI$801:$AI$804,1),1),VLOOKUP(AU1776,INDEX((係数_バス貨物_ガソリン,係数_バス貨物_CNG,係数_バス貨物_軽油,係数_バス貨物_メタノール,係数_バス貨物_LPG),MATCH(AY1776,【参考】排出係数!$AI$4:$AI$671,1),1,BE1776):INDEX((係数_バス貨物_ガソリン,係数_バス貨物_CNG,係数_バス貨物_軽油,係数_バス貨物_メタノール,係数_バス貨物_LPG),MATCH(AY1776+1,【参考】排出係数!$AI$4:$AI$671,1)-1,5,BE1776),4,FALSE)),IF(AND(BE1776=3,LEFT(BF1776,1)="1"),0.48,VLOOKUP(AU1776,INDEX((係数_乗用_ガソリン,係数_乗用_CNG,係数_乗用_軽油,係数_乗用_メタノール,係数_乗用_LPG),1,1,BE1776):INDEX((係数_乗用_ガソリン,係数_乗用_CNG,係数_乗用_軽油,係数_乗用_メタノール,係数_乗用_LPG),125,5,BE1776),4,FALSE)))))</f>
        <v/>
      </c>
      <c r="AL1776" s="461" t="str">
        <f t="shared" si="1033"/>
        <v/>
      </c>
      <c r="AM1776" s="460" t="str">
        <f>IF(AU1776="","",IF(OR(AZ1776=8,AZ1776=9),0,IF(OR(AW1776=3,AW1776=4,AW1776=5,AW1776=6),IF(LEFT(BH1776,1)="1",INDEX(係数_PM低減,MATCH(AY1776,【参考】排出係数!$AI$801:$AI$804,1),MATCH(BI1776,【参考】排出係数!$AL$798:$AO$798,1)),VLOOKUP(AU1776,INDEX((係数_バス貨物_ガソリン,係数_バス貨物_CNG,係数_バス貨物_軽油,係数_バス貨物_メタノール,係数_バス貨物_LPG),MATCH(AY1776,【参考】排出係数!$AI$4:$AI$671,1),1,BE1776):INDEX((係数_バス貨物_ガソリン,係数_バス貨物_CNG,係数_バス貨物_軽油,係数_バス貨物_メタノール,係数_バス貨物_LPG),MATCH(AY1776+1,【参考】排出係数!$AI$4:$AI$671,1)-1,5,BE1776),5,FALSE)),IF(AND(BE1776=3,LEFT(BF1776,1)="1"),0.055,VLOOKUP(AU1776,INDEX((係数_乗用_ガソリン,係数_乗用_CNG,係数_乗用_軽油,係数_乗用_メタノール,係数_乗用_LPG),1,1,BE1776):INDEX((係数_乗用_ガソリン,係数_乗用_CNG,係数_乗用_軽油,係数_乗用_メタノール,係数_乗用_LPG),125,5,BE1776),5,FALSE)))))</f>
        <v/>
      </c>
      <c r="AN1776" s="461" t="str">
        <f t="shared" si="1034"/>
        <v/>
      </c>
      <c r="AO1776" s="462" t="str">
        <f t="shared" si="1035"/>
        <v/>
      </c>
      <c r="AP1776" s="463" t="str">
        <f t="shared" si="1036"/>
        <v/>
      </c>
      <c r="AQ1776" s="464"/>
      <c r="AR1776" s="619"/>
      <c r="AS1776" s="465" t="str">
        <f t="shared" si="1006"/>
        <v/>
      </c>
      <c r="AT1776" s="465" t="str">
        <f t="shared" si="1007"/>
        <v/>
      </c>
      <c r="AU1776" s="466" t="str">
        <f t="shared" si="1008"/>
        <v/>
      </c>
      <c r="AV1776" s="467" t="str">
        <f t="shared" si="1009"/>
        <v/>
      </c>
      <c r="AW1776" s="467" t="str">
        <f t="shared" si="1010"/>
        <v/>
      </c>
      <c r="AX1776" s="467" t="str">
        <f t="shared" si="1011"/>
        <v/>
      </c>
      <c r="AY1776" s="467" t="str">
        <f t="shared" si="1012"/>
        <v/>
      </c>
      <c r="AZ1776" s="467" t="str">
        <f t="shared" si="1013"/>
        <v/>
      </c>
      <c r="BA1776" s="468" t="str">
        <f>IF(AS1776="","",IF(OR(AU1776="",AU1776="-"),"－",IF(OR(AZ1776=8,AZ1776=9),"",IF(OR(AW1776=3,AW1776=4,AW1776=5,AW1776=6),VLOOKUP(AU1776,INDEX((係数_バス貨物_ガソリン,係数_バス貨物_CNG,係数_バス貨物_軽油,係数_バス貨物_メタノール,係数_バス貨物_LPG),MATCH(AY1776,【参考】排出係数!$AI$4:$AI$671,1),1,BE1776):INDEX((係数_バス貨物_ガソリン,係数_バス貨物_CNG,係数_バス貨物_軽油,係数_バス貨物_メタノール,係数_バス貨物_LPG),MATCH(AY1776+1,【参考】排出係数!$AI$4:$AI$671,1)-1,5,BE1776),2,FALSE),IF(OR(AW1776=1,AW1776=2),VLOOKUP(AU1776,INDEX((係数_乗用_ガソリン,係数_乗用_CNG,係数_乗用_軽油,係数_乗用_メタノール,係数_乗用_LPG),1,1,BE1776):INDEX((係数_乗用_ガソリン,係数_乗用_CNG,係数_乗用_軽油,係数_乗用_メタノール,係数_乗用_LPG),125,5,BE1776),2,FALSE))))))</f>
        <v/>
      </c>
      <c r="BB1776" s="468" t="str">
        <f>IF(T1776="","",IF(OR(AU1776="",AU1776="-"),"－",IF(OR(AZ1776=8,AZ1776=9),"",IF(OR(AW1776=3,AW1776=4,AW1776=5,AW1776=6),VLOOKUP(AU1776,INDEX((係数_バス貨物_ガソリン,係数_バス貨物_CNG,係数_バス貨物_軽油,係数_バス貨物_メタノール,係数_バス貨物_LPG),MATCH(AY1776,【参考】排出係数!$AI$4:$AI$671,1),1,BE1776):INDEX((係数_バス貨物_ガソリン,係数_バス貨物_CNG,係数_バス貨物_軽油,係数_バス貨物_メタノール,係数_バス貨物_LPG),MATCH(AY1776+1,【参考】排出係数!$AI$4:$AI$671,1)-1,5,BE1776),3,FALSE),IF(OR(AW1776=1,AW1776=2),VLOOKUP(AU1776,INDEX((係数_乗用_ガソリン,係数_乗用_CNG,係数_乗用_軽油,係数_乗用_メタノール,係数_乗用_LPG),1,1,BE1776):INDEX((係数_乗用_ガソリン,係数_乗用_CNG,係数_乗用_軽油,係数_乗用_メタノール,係数_乗用_LPG),125,5,BE1776),3,FALSE))))))</f>
        <v/>
      </c>
      <c r="BC1776" s="467" t="str">
        <f t="shared" si="1014"/>
        <v/>
      </c>
      <c r="BD1776" s="567" t="str">
        <f t="shared" si="1015"/>
        <v/>
      </c>
      <c r="BE1776" s="467" t="str">
        <f t="shared" si="1016"/>
        <v/>
      </c>
      <c r="BF1776" s="469" t="str">
        <f t="shared" ca="1" si="1017"/>
        <v/>
      </c>
      <c r="BG1776" s="469" t="str">
        <f t="shared" ca="1" si="1018"/>
        <v/>
      </c>
      <c r="BH1776" s="467" t="str">
        <f t="shared" si="1019"/>
        <v/>
      </c>
      <c r="BI1776" s="467" t="str">
        <f t="shared" ca="1" si="1020"/>
        <v/>
      </c>
      <c r="BJ1776" s="469" t="str">
        <f t="shared" si="1021"/>
        <v/>
      </c>
      <c r="BK1776" s="470" t="str">
        <f t="shared" si="1005"/>
        <v/>
      </c>
      <c r="BL1776" s="775" t="str">
        <f t="shared" si="1022"/>
        <v/>
      </c>
      <c r="BM1776" s="775" t="str">
        <f t="shared" si="1023"/>
        <v/>
      </c>
    </row>
    <row r="1777" spans="1:65">
      <c r="A1777" s="473">
        <v>1721</v>
      </c>
      <c r="B1777" s="132"/>
      <c r="C1777" s="332"/>
      <c r="D1777" s="333"/>
      <c r="E1777" s="333"/>
      <c r="F1777" s="334"/>
      <c r="G1777" s="337"/>
      <c r="H1777" s="131"/>
      <c r="I1777" s="337"/>
      <c r="J1777" s="131"/>
      <c r="K1777" s="458" t="str">
        <f t="shared" si="1024"/>
        <v/>
      </c>
      <c r="L1777" s="458">
        <f t="shared" si="1025"/>
        <v>0</v>
      </c>
      <c r="M1777" s="458">
        <f t="shared" si="1026"/>
        <v>0</v>
      </c>
      <c r="N1777" s="459" t="str">
        <f t="shared" si="999"/>
        <v/>
      </c>
      <c r="O1777" s="459" t="str">
        <f t="shared" si="1000"/>
        <v/>
      </c>
      <c r="P1777" s="459" t="str">
        <f t="shared" si="1001"/>
        <v/>
      </c>
      <c r="Q1777" s="459" t="str">
        <f t="shared" si="1002"/>
        <v/>
      </c>
      <c r="R1777" s="459" t="str">
        <f t="shared" si="1003"/>
        <v/>
      </c>
      <c r="S1777" s="459" t="str">
        <f t="shared" si="1004"/>
        <v/>
      </c>
      <c r="T1777" s="566" t="str">
        <f t="shared" si="1027"/>
        <v/>
      </c>
      <c r="U1777" s="702"/>
      <c r="V1777" s="132"/>
      <c r="W1777" s="133"/>
      <c r="X1777" s="134"/>
      <c r="Y1777" s="135"/>
      <c r="Z1777" s="137"/>
      <c r="AA1777" s="136"/>
      <c r="AB1777" s="566" t="str">
        <f t="shared" si="1028"/>
        <v/>
      </c>
      <c r="AC1777" s="568" t="str">
        <f t="shared" si="1029"/>
        <v/>
      </c>
      <c r="AD1777" s="137"/>
      <c r="AE1777" s="137"/>
      <c r="AF1777" s="138"/>
      <c r="AG1777" s="138"/>
      <c r="AH1777" s="592" t="str">
        <f t="shared" si="1030"/>
        <v/>
      </c>
      <c r="AI1777" s="592" t="str">
        <f t="shared" si="1031"/>
        <v/>
      </c>
      <c r="AJ1777" s="592" t="str">
        <f t="shared" si="1032"/>
        <v/>
      </c>
      <c r="AK1777" s="460" t="str">
        <f>IF(AU1777="","",IF(OR(AZ1777=8,AZ1777=9),0,IF(OR(AW1777=3,AW1777=4,AW1777=5,AW1777=6),IF(LEFT(BF1777,1)="1",INDEX(係数_NOX・PM低減,MATCH(AY1777,【参考】排出係数!$AI$801:$AI$804,1),1),VLOOKUP(AU1777,INDEX((係数_バス貨物_ガソリン,係数_バス貨物_CNG,係数_バス貨物_軽油,係数_バス貨物_メタノール,係数_バス貨物_LPG),MATCH(AY1777,【参考】排出係数!$AI$4:$AI$671,1),1,BE1777):INDEX((係数_バス貨物_ガソリン,係数_バス貨物_CNG,係数_バス貨物_軽油,係数_バス貨物_メタノール,係数_バス貨物_LPG),MATCH(AY1777+1,【参考】排出係数!$AI$4:$AI$671,1)-1,5,BE1777),4,FALSE)),IF(AND(BE1777=3,LEFT(BF1777,1)="1"),0.48,VLOOKUP(AU1777,INDEX((係数_乗用_ガソリン,係数_乗用_CNG,係数_乗用_軽油,係数_乗用_メタノール,係数_乗用_LPG),1,1,BE1777):INDEX((係数_乗用_ガソリン,係数_乗用_CNG,係数_乗用_軽油,係数_乗用_メタノール,係数_乗用_LPG),125,5,BE1777),4,FALSE)))))</f>
        <v/>
      </c>
      <c r="AL1777" s="461" t="str">
        <f t="shared" si="1033"/>
        <v/>
      </c>
      <c r="AM1777" s="460" t="str">
        <f>IF(AU1777="","",IF(OR(AZ1777=8,AZ1777=9),0,IF(OR(AW1777=3,AW1777=4,AW1777=5,AW1777=6),IF(LEFT(BH1777,1)="1",INDEX(係数_PM低減,MATCH(AY1777,【参考】排出係数!$AI$801:$AI$804,1),MATCH(BI1777,【参考】排出係数!$AL$798:$AO$798,1)),VLOOKUP(AU1777,INDEX((係数_バス貨物_ガソリン,係数_バス貨物_CNG,係数_バス貨物_軽油,係数_バス貨物_メタノール,係数_バス貨物_LPG),MATCH(AY1777,【参考】排出係数!$AI$4:$AI$671,1),1,BE1777):INDEX((係数_バス貨物_ガソリン,係数_バス貨物_CNG,係数_バス貨物_軽油,係数_バス貨物_メタノール,係数_バス貨物_LPG),MATCH(AY1777+1,【参考】排出係数!$AI$4:$AI$671,1)-1,5,BE1777),5,FALSE)),IF(AND(BE1777=3,LEFT(BF1777,1)="1"),0.055,VLOOKUP(AU1777,INDEX((係数_乗用_ガソリン,係数_乗用_CNG,係数_乗用_軽油,係数_乗用_メタノール,係数_乗用_LPG),1,1,BE1777):INDEX((係数_乗用_ガソリン,係数_乗用_CNG,係数_乗用_軽油,係数_乗用_メタノール,係数_乗用_LPG),125,5,BE1777),5,FALSE)))))</f>
        <v/>
      </c>
      <c r="AN1777" s="461" t="str">
        <f t="shared" si="1034"/>
        <v/>
      </c>
      <c r="AO1777" s="462" t="str">
        <f t="shared" si="1035"/>
        <v/>
      </c>
      <c r="AP1777" s="463" t="str">
        <f t="shared" si="1036"/>
        <v/>
      </c>
      <c r="AQ1777" s="464"/>
      <c r="AR1777" s="619"/>
      <c r="AS1777" s="465" t="str">
        <f t="shared" si="1006"/>
        <v/>
      </c>
      <c r="AT1777" s="465" t="str">
        <f t="shared" si="1007"/>
        <v/>
      </c>
      <c r="AU1777" s="466" t="str">
        <f t="shared" si="1008"/>
        <v/>
      </c>
      <c r="AV1777" s="467" t="str">
        <f t="shared" si="1009"/>
        <v/>
      </c>
      <c r="AW1777" s="467" t="str">
        <f t="shared" si="1010"/>
        <v/>
      </c>
      <c r="AX1777" s="467" t="str">
        <f t="shared" si="1011"/>
        <v/>
      </c>
      <c r="AY1777" s="467" t="str">
        <f t="shared" si="1012"/>
        <v/>
      </c>
      <c r="AZ1777" s="467" t="str">
        <f t="shared" si="1013"/>
        <v/>
      </c>
      <c r="BA1777" s="468" t="str">
        <f>IF(AS1777="","",IF(OR(AU1777="",AU1777="-"),"－",IF(OR(AZ1777=8,AZ1777=9),"",IF(OR(AW1777=3,AW1777=4,AW1777=5,AW1777=6),VLOOKUP(AU1777,INDEX((係数_バス貨物_ガソリン,係数_バス貨物_CNG,係数_バス貨物_軽油,係数_バス貨物_メタノール,係数_バス貨物_LPG),MATCH(AY1777,【参考】排出係数!$AI$4:$AI$671,1),1,BE1777):INDEX((係数_バス貨物_ガソリン,係数_バス貨物_CNG,係数_バス貨物_軽油,係数_バス貨物_メタノール,係数_バス貨物_LPG),MATCH(AY1777+1,【参考】排出係数!$AI$4:$AI$671,1)-1,5,BE1777),2,FALSE),IF(OR(AW1777=1,AW1777=2),VLOOKUP(AU1777,INDEX((係数_乗用_ガソリン,係数_乗用_CNG,係数_乗用_軽油,係数_乗用_メタノール,係数_乗用_LPG),1,1,BE1777):INDEX((係数_乗用_ガソリン,係数_乗用_CNG,係数_乗用_軽油,係数_乗用_メタノール,係数_乗用_LPG),125,5,BE1777),2,FALSE))))))</f>
        <v/>
      </c>
      <c r="BB1777" s="468" t="str">
        <f>IF(T1777="","",IF(OR(AU1777="",AU1777="-"),"－",IF(OR(AZ1777=8,AZ1777=9),"",IF(OR(AW1777=3,AW1777=4,AW1777=5,AW1777=6),VLOOKUP(AU1777,INDEX((係数_バス貨物_ガソリン,係数_バス貨物_CNG,係数_バス貨物_軽油,係数_バス貨物_メタノール,係数_バス貨物_LPG),MATCH(AY1777,【参考】排出係数!$AI$4:$AI$671,1),1,BE1777):INDEX((係数_バス貨物_ガソリン,係数_バス貨物_CNG,係数_バス貨物_軽油,係数_バス貨物_メタノール,係数_バス貨物_LPG),MATCH(AY1777+1,【参考】排出係数!$AI$4:$AI$671,1)-1,5,BE1777),3,FALSE),IF(OR(AW1777=1,AW1777=2),VLOOKUP(AU1777,INDEX((係数_乗用_ガソリン,係数_乗用_CNG,係数_乗用_軽油,係数_乗用_メタノール,係数_乗用_LPG),1,1,BE1777):INDEX((係数_乗用_ガソリン,係数_乗用_CNG,係数_乗用_軽油,係数_乗用_メタノール,係数_乗用_LPG),125,5,BE1777),3,FALSE))))))</f>
        <v/>
      </c>
      <c r="BC1777" s="467" t="str">
        <f t="shared" si="1014"/>
        <v/>
      </c>
      <c r="BD1777" s="567" t="str">
        <f t="shared" si="1015"/>
        <v/>
      </c>
      <c r="BE1777" s="467" t="str">
        <f t="shared" si="1016"/>
        <v/>
      </c>
      <c r="BF1777" s="469" t="str">
        <f t="shared" ca="1" si="1017"/>
        <v/>
      </c>
      <c r="BG1777" s="469" t="str">
        <f t="shared" ca="1" si="1018"/>
        <v/>
      </c>
      <c r="BH1777" s="467" t="str">
        <f t="shared" si="1019"/>
        <v/>
      </c>
      <c r="BI1777" s="467" t="str">
        <f t="shared" ca="1" si="1020"/>
        <v/>
      </c>
      <c r="BJ1777" s="469" t="str">
        <f t="shared" si="1021"/>
        <v/>
      </c>
      <c r="BK1777" s="470" t="str">
        <f t="shared" si="1005"/>
        <v/>
      </c>
      <c r="BL1777" s="775" t="str">
        <f t="shared" si="1022"/>
        <v/>
      </c>
      <c r="BM1777" s="775" t="str">
        <f t="shared" si="1023"/>
        <v/>
      </c>
    </row>
    <row r="1778" spans="1:65">
      <c r="A1778" s="473">
        <v>1722</v>
      </c>
      <c r="B1778" s="132"/>
      <c r="C1778" s="332"/>
      <c r="D1778" s="333"/>
      <c r="E1778" s="333"/>
      <c r="F1778" s="334"/>
      <c r="G1778" s="337"/>
      <c r="H1778" s="131"/>
      <c r="I1778" s="337"/>
      <c r="J1778" s="131"/>
      <c r="K1778" s="458" t="str">
        <f t="shared" si="1024"/>
        <v/>
      </c>
      <c r="L1778" s="458">
        <f t="shared" si="1025"/>
        <v>0</v>
      </c>
      <c r="M1778" s="458">
        <f t="shared" si="1026"/>
        <v>0</v>
      </c>
      <c r="N1778" s="459" t="str">
        <f t="shared" si="999"/>
        <v/>
      </c>
      <c r="O1778" s="459" t="str">
        <f t="shared" si="1000"/>
        <v/>
      </c>
      <c r="P1778" s="459" t="str">
        <f t="shared" si="1001"/>
        <v/>
      </c>
      <c r="Q1778" s="459" t="str">
        <f t="shared" si="1002"/>
        <v/>
      </c>
      <c r="R1778" s="459" t="str">
        <f t="shared" si="1003"/>
        <v/>
      </c>
      <c r="S1778" s="459" t="str">
        <f t="shared" si="1004"/>
        <v/>
      </c>
      <c r="T1778" s="566" t="str">
        <f t="shared" si="1027"/>
        <v/>
      </c>
      <c r="U1778" s="702"/>
      <c r="V1778" s="132"/>
      <c r="W1778" s="133"/>
      <c r="X1778" s="134"/>
      <c r="Y1778" s="135"/>
      <c r="Z1778" s="137"/>
      <c r="AA1778" s="136"/>
      <c r="AB1778" s="566" t="str">
        <f t="shared" si="1028"/>
        <v/>
      </c>
      <c r="AC1778" s="568" t="str">
        <f t="shared" si="1029"/>
        <v/>
      </c>
      <c r="AD1778" s="137"/>
      <c r="AE1778" s="137"/>
      <c r="AF1778" s="138"/>
      <c r="AG1778" s="138"/>
      <c r="AH1778" s="592" t="str">
        <f t="shared" si="1030"/>
        <v/>
      </c>
      <c r="AI1778" s="592" t="str">
        <f t="shared" si="1031"/>
        <v/>
      </c>
      <c r="AJ1778" s="592" t="str">
        <f t="shared" si="1032"/>
        <v/>
      </c>
      <c r="AK1778" s="460" t="str">
        <f>IF(AU1778="","",IF(OR(AZ1778=8,AZ1778=9),0,IF(OR(AW1778=3,AW1778=4,AW1778=5,AW1778=6),IF(LEFT(BF1778,1)="1",INDEX(係数_NOX・PM低減,MATCH(AY1778,【参考】排出係数!$AI$801:$AI$804,1),1),VLOOKUP(AU1778,INDEX((係数_バス貨物_ガソリン,係数_バス貨物_CNG,係数_バス貨物_軽油,係数_バス貨物_メタノール,係数_バス貨物_LPG),MATCH(AY1778,【参考】排出係数!$AI$4:$AI$671,1),1,BE1778):INDEX((係数_バス貨物_ガソリン,係数_バス貨物_CNG,係数_バス貨物_軽油,係数_バス貨物_メタノール,係数_バス貨物_LPG),MATCH(AY1778+1,【参考】排出係数!$AI$4:$AI$671,1)-1,5,BE1778),4,FALSE)),IF(AND(BE1778=3,LEFT(BF1778,1)="1"),0.48,VLOOKUP(AU1778,INDEX((係数_乗用_ガソリン,係数_乗用_CNG,係数_乗用_軽油,係数_乗用_メタノール,係数_乗用_LPG),1,1,BE1778):INDEX((係数_乗用_ガソリン,係数_乗用_CNG,係数_乗用_軽油,係数_乗用_メタノール,係数_乗用_LPG),125,5,BE1778),4,FALSE)))))</f>
        <v/>
      </c>
      <c r="AL1778" s="461" t="str">
        <f t="shared" si="1033"/>
        <v/>
      </c>
      <c r="AM1778" s="460" t="str">
        <f>IF(AU1778="","",IF(OR(AZ1778=8,AZ1778=9),0,IF(OR(AW1778=3,AW1778=4,AW1778=5,AW1778=6),IF(LEFT(BH1778,1)="1",INDEX(係数_PM低減,MATCH(AY1778,【参考】排出係数!$AI$801:$AI$804,1),MATCH(BI1778,【参考】排出係数!$AL$798:$AO$798,1)),VLOOKUP(AU1778,INDEX((係数_バス貨物_ガソリン,係数_バス貨物_CNG,係数_バス貨物_軽油,係数_バス貨物_メタノール,係数_バス貨物_LPG),MATCH(AY1778,【参考】排出係数!$AI$4:$AI$671,1),1,BE1778):INDEX((係数_バス貨物_ガソリン,係数_バス貨物_CNG,係数_バス貨物_軽油,係数_バス貨物_メタノール,係数_バス貨物_LPG),MATCH(AY1778+1,【参考】排出係数!$AI$4:$AI$671,1)-1,5,BE1778),5,FALSE)),IF(AND(BE1778=3,LEFT(BF1778,1)="1"),0.055,VLOOKUP(AU1778,INDEX((係数_乗用_ガソリン,係数_乗用_CNG,係数_乗用_軽油,係数_乗用_メタノール,係数_乗用_LPG),1,1,BE1778):INDEX((係数_乗用_ガソリン,係数_乗用_CNG,係数_乗用_軽油,係数_乗用_メタノール,係数_乗用_LPG),125,5,BE1778),5,FALSE)))))</f>
        <v/>
      </c>
      <c r="AN1778" s="461" t="str">
        <f t="shared" si="1034"/>
        <v/>
      </c>
      <c r="AO1778" s="462" t="str">
        <f t="shared" si="1035"/>
        <v/>
      </c>
      <c r="AP1778" s="463" t="str">
        <f t="shared" si="1036"/>
        <v/>
      </c>
      <c r="AQ1778" s="464"/>
      <c r="AR1778" s="619"/>
      <c r="AS1778" s="465" t="str">
        <f t="shared" si="1006"/>
        <v/>
      </c>
      <c r="AT1778" s="465" t="str">
        <f t="shared" si="1007"/>
        <v/>
      </c>
      <c r="AU1778" s="466" t="str">
        <f t="shared" si="1008"/>
        <v/>
      </c>
      <c r="AV1778" s="467" t="str">
        <f t="shared" si="1009"/>
        <v/>
      </c>
      <c r="AW1778" s="467" t="str">
        <f t="shared" si="1010"/>
        <v/>
      </c>
      <c r="AX1778" s="467" t="str">
        <f t="shared" si="1011"/>
        <v/>
      </c>
      <c r="AY1778" s="467" t="str">
        <f t="shared" si="1012"/>
        <v/>
      </c>
      <c r="AZ1778" s="467" t="str">
        <f t="shared" si="1013"/>
        <v/>
      </c>
      <c r="BA1778" s="468" t="str">
        <f>IF(AS1778="","",IF(OR(AU1778="",AU1778="-"),"－",IF(OR(AZ1778=8,AZ1778=9),"",IF(OR(AW1778=3,AW1778=4,AW1778=5,AW1778=6),VLOOKUP(AU1778,INDEX((係数_バス貨物_ガソリン,係数_バス貨物_CNG,係数_バス貨物_軽油,係数_バス貨物_メタノール,係数_バス貨物_LPG),MATCH(AY1778,【参考】排出係数!$AI$4:$AI$671,1),1,BE1778):INDEX((係数_バス貨物_ガソリン,係数_バス貨物_CNG,係数_バス貨物_軽油,係数_バス貨物_メタノール,係数_バス貨物_LPG),MATCH(AY1778+1,【参考】排出係数!$AI$4:$AI$671,1)-1,5,BE1778),2,FALSE),IF(OR(AW1778=1,AW1778=2),VLOOKUP(AU1778,INDEX((係数_乗用_ガソリン,係数_乗用_CNG,係数_乗用_軽油,係数_乗用_メタノール,係数_乗用_LPG),1,1,BE1778):INDEX((係数_乗用_ガソリン,係数_乗用_CNG,係数_乗用_軽油,係数_乗用_メタノール,係数_乗用_LPG),125,5,BE1778),2,FALSE))))))</f>
        <v/>
      </c>
      <c r="BB1778" s="468" t="str">
        <f>IF(T1778="","",IF(OR(AU1778="",AU1778="-"),"－",IF(OR(AZ1778=8,AZ1778=9),"",IF(OR(AW1778=3,AW1778=4,AW1778=5,AW1778=6),VLOOKUP(AU1778,INDEX((係数_バス貨物_ガソリン,係数_バス貨物_CNG,係数_バス貨物_軽油,係数_バス貨物_メタノール,係数_バス貨物_LPG),MATCH(AY1778,【参考】排出係数!$AI$4:$AI$671,1),1,BE1778):INDEX((係数_バス貨物_ガソリン,係数_バス貨物_CNG,係数_バス貨物_軽油,係数_バス貨物_メタノール,係数_バス貨物_LPG),MATCH(AY1778+1,【参考】排出係数!$AI$4:$AI$671,1)-1,5,BE1778),3,FALSE),IF(OR(AW1778=1,AW1778=2),VLOOKUP(AU1778,INDEX((係数_乗用_ガソリン,係数_乗用_CNG,係数_乗用_軽油,係数_乗用_メタノール,係数_乗用_LPG),1,1,BE1778):INDEX((係数_乗用_ガソリン,係数_乗用_CNG,係数_乗用_軽油,係数_乗用_メタノール,係数_乗用_LPG),125,5,BE1778),3,FALSE))))))</f>
        <v/>
      </c>
      <c r="BC1778" s="467" t="str">
        <f t="shared" si="1014"/>
        <v/>
      </c>
      <c r="BD1778" s="567" t="str">
        <f t="shared" si="1015"/>
        <v/>
      </c>
      <c r="BE1778" s="467" t="str">
        <f t="shared" si="1016"/>
        <v/>
      </c>
      <c r="BF1778" s="469" t="str">
        <f t="shared" ca="1" si="1017"/>
        <v/>
      </c>
      <c r="BG1778" s="469" t="str">
        <f t="shared" ca="1" si="1018"/>
        <v/>
      </c>
      <c r="BH1778" s="467" t="str">
        <f t="shared" si="1019"/>
        <v/>
      </c>
      <c r="BI1778" s="467" t="str">
        <f t="shared" ca="1" si="1020"/>
        <v/>
      </c>
      <c r="BJ1778" s="469" t="str">
        <f t="shared" si="1021"/>
        <v/>
      </c>
      <c r="BK1778" s="470" t="str">
        <f t="shared" si="1005"/>
        <v/>
      </c>
      <c r="BL1778" s="775" t="str">
        <f t="shared" si="1022"/>
        <v/>
      </c>
      <c r="BM1778" s="775" t="str">
        <f t="shared" si="1023"/>
        <v/>
      </c>
    </row>
    <row r="1779" spans="1:65">
      <c r="A1779" s="473">
        <v>1723</v>
      </c>
      <c r="B1779" s="132"/>
      <c r="C1779" s="332"/>
      <c r="D1779" s="333"/>
      <c r="E1779" s="333"/>
      <c r="F1779" s="334"/>
      <c r="G1779" s="337"/>
      <c r="H1779" s="131"/>
      <c r="I1779" s="337"/>
      <c r="J1779" s="131"/>
      <c r="K1779" s="458" t="str">
        <f t="shared" si="1024"/>
        <v/>
      </c>
      <c r="L1779" s="458">
        <f t="shared" si="1025"/>
        <v>0</v>
      </c>
      <c r="M1779" s="458">
        <f t="shared" si="1026"/>
        <v>0</v>
      </c>
      <c r="N1779" s="459" t="str">
        <f t="shared" si="999"/>
        <v/>
      </c>
      <c r="O1779" s="459" t="str">
        <f t="shared" si="1000"/>
        <v/>
      </c>
      <c r="P1779" s="459" t="str">
        <f t="shared" si="1001"/>
        <v/>
      </c>
      <c r="Q1779" s="459" t="str">
        <f t="shared" si="1002"/>
        <v/>
      </c>
      <c r="R1779" s="459" t="str">
        <f t="shared" si="1003"/>
        <v/>
      </c>
      <c r="S1779" s="459" t="str">
        <f t="shared" si="1004"/>
        <v/>
      </c>
      <c r="T1779" s="566" t="str">
        <f t="shared" si="1027"/>
        <v/>
      </c>
      <c r="U1779" s="702"/>
      <c r="V1779" s="132"/>
      <c r="W1779" s="133"/>
      <c r="X1779" s="134"/>
      <c r="Y1779" s="135"/>
      <c r="Z1779" s="137"/>
      <c r="AA1779" s="136"/>
      <c r="AB1779" s="566" t="str">
        <f t="shared" si="1028"/>
        <v/>
      </c>
      <c r="AC1779" s="568" t="str">
        <f t="shared" si="1029"/>
        <v/>
      </c>
      <c r="AD1779" s="137"/>
      <c r="AE1779" s="137"/>
      <c r="AF1779" s="138"/>
      <c r="AG1779" s="138"/>
      <c r="AH1779" s="592" t="str">
        <f t="shared" si="1030"/>
        <v/>
      </c>
      <c r="AI1779" s="592" t="str">
        <f t="shared" si="1031"/>
        <v/>
      </c>
      <c r="AJ1779" s="592" t="str">
        <f t="shared" si="1032"/>
        <v/>
      </c>
      <c r="AK1779" s="460" t="str">
        <f>IF(AU1779="","",IF(OR(AZ1779=8,AZ1779=9),0,IF(OR(AW1779=3,AW1779=4,AW1779=5,AW1779=6),IF(LEFT(BF1779,1)="1",INDEX(係数_NOX・PM低減,MATCH(AY1779,【参考】排出係数!$AI$801:$AI$804,1),1),VLOOKUP(AU1779,INDEX((係数_バス貨物_ガソリン,係数_バス貨物_CNG,係数_バス貨物_軽油,係数_バス貨物_メタノール,係数_バス貨物_LPG),MATCH(AY1779,【参考】排出係数!$AI$4:$AI$671,1),1,BE1779):INDEX((係数_バス貨物_ガソリン,係数_バス貨物_CNG,係数_バス貨物_軽油,係数_バス貨物_メタノール,係数_バス貨物_LPG),MATCH(AY1779+1,【参考】排出係数!$AI$4:$AI$671,1)-1,5,BE1779),4,FALSE)),IF(AND(BE1779=3,LEFT(BF1779,1)="1"),0.48,VLOOKUP(AU1779,INDEX((係数_乗用_ガソリン,係数_乗用_CNG,係数_乗用_軽油,係数_乗用_メタノール,係数_乗用_LPG),1,1,BE1779):INDEX((係数_乗用_ガソリン,係数_乗用_CNG,係数_乗用_軽油,係数_乗用_メタノール,係数_乗用_LPG),125,5,BE1779),4,FALSE)))))</f>
        <v/>
      </c>
      <c r="AL1779" s="461" t="str">
        <f t="shared" si="1033"/>
        <v/>
      </c>
      <c r="AM1779" s="460" t="str">
        <f>IF(AU1779="","",IF(OR(AZ1779=8,AZ1779=9),0,IF(OR(AW1779=3,AW1779=4,AW1779=5,AW1779=6),IF(LEFT(BH1779,1)="1",INDEX(係数_PM低減,MATCH(AY1779,【参考】排出係数!$AI$801:$AI$804,1),MATCH(BI1779,【参考】排出係数!$AL$798:$AO$798,1)),VLOOKUP(AU1779,INDEX((係数_バス貨物_ガソリン,係数_バス貨物_CNG,係数_バス貨物_軽油,係数_バス貨物_メタノール,係数_バス貨物_LPG),MATCH(AY1779,【参考】排出係数!$AI$4:$AI$671,1),1,BE1779):INDEX((係数_バス貨物_ガソリン,係数_バス貨物_CNG,係数_バス貨物_軽油,係数_バス貨物_メタノール,係数_バス貨物_LPG),MATCH(AY1779+1,【参考】排出係数!$AI$4:$AI$671,1)-1,5,BE1779),5,FALSE)),IF(AND(BE1779=3,LEFT(BF1779,1)="1"),0.055,VLOOKUP(AU1779,INDEX((係数_乗用_ガソリン,係数_乗用_CNG,係数_乗用_軽油,係数_乗用_メタノール,係数_乗用_LPG),1,1,BE1779):INDEX((係数_乗用_ガソリン,係数_乗用_CNG,係数_乗用_軽油,係数_乗用_メタノール,係数_乗用_LPG),125,5,BE1779),5,FALSE)))))</f>
        <v/>
      </c>
      <c r="AN1779" s="461" t="str">
        <f t="shared" si="1034"/>
        <v/>
      </c>
      <c r="AO1779" s="462" t="str">
        <f t="shared" si="1035"/>
        <v/>
      </c>
      <c r="AP1779" s="463" t="str">
        <f t="shared" si="1036"/>
        <v/>
      </c>
      <c r="AQ1779" s="464"/>
      <c r="AR1779" s="619"/>
      <c r="AS1779" s="465" t="str">
        <f t="shared" si="1006"/>
        <v/>
      </c>
      <c r="AT1779" s="465" t="str">
        <f t="shared" si="1007"/>
        <v/>
      </c>
      <c r="AU1779" s="466" t="str">
        <f t="shared" si="1008"/>
        <v/>
      </c>
      <c r="AV1779" s="467" t="str">
        <f t="shared" si="1009"/>
        <v/>
      </c>
      <c r="AW1779" s="467" t="str">
        <f t="shared" si="1010"/>
        <v/>
      </c>
      <c r="AX1779" s="467" t="str">
        <f t="shared" si="1011"/>
        <v/>
      </c>
      <c r="AY1779" s="467" t="str">
        <f t="shared" si="1012"/>
        <v/>
      </c>
      <c r="AZ1779" s="467" t="str">
        <f t="shared" si="1013"/>
        <v/>
      </c>
      <c r="BA1779" s="468" t="str">
        <f>IF(AS1779="","",IF(OR(AU1779="",AU1779="-"),"－",IF(OR(AZ1779=8,AZ1779=9),"",IF(OR(AW1779=3,AW1779=4,AW1779=5,AW1779=6),VLOOKUP(AU1779,INDEX((係数_バス貨物_ガソリン,係数_バス貨物_CNG,係数_バス貨物_軽油,係数_バス貨物_メタノール,係数_バス貨物_LPG),MATCH(AY1779,【参考】排出係数!$AI$4:$AI$671,1),1,BE1779):INDEX((係数_バス貨物_ガソリン,係数_バス貨物_CNG,係数_バス貨物_軽油,係数_バス貨物_メタノール,係数_バス貨物_LPG),MATCH(AY1779+1,【参考】排出係数!$AI$4:$AI$671,1)-1,5,BE1779),2,FALSE),IF(OR(AW1779=1,AW1779=2),VLOOKUP(AU1779,INDEX((係数_乗用_ガソリン,係数_乗用_CNG,係数_乗用_軽油,係数_乗用_メタノール,係数_乗用_LPG),1,1,BE1779):INDEX((係数_乗用_ガソリン,係数_乗用_CNG,係数_乗用_軽油,係数_乗用_メタノール,係数_乗用_LPG),125,5,BE1779),2,FALSE))))))</f>
        <v/>
      </c>
      <c r="BB1779" s="468" t="str">
        <f>IF(T1779="","",IF(OR(AU1779="",AU1779="-"),"－",IF(OR(AZ1779=8,AZ1779=9),"",IF(OR(AW1779=3,AW1779=4,AW1779=5,AW1779=6),VLOOKUP(AU1779,INDEX((係数_バス貨物_ガソリン,係数_バス貨物_CNG,係数_バス貨物_軽油,係数_バス貨物_メタノール,係数_バス貨物_LPG),MATCH(AY1779,【参考】排出係数!$AI$4:$AI$671,1),1,BE1779):INDEX((係数_バス貨物_ガソリン,係数_バス貨物_CNG,係数_バス貨物_軽油,係数_バス貨物_メタノール,係数_バス貨物_LPG),MATCH(AY1779+1,【参考】排出係数!$AI$4:$AI$671,1)-1,5,BE1779),3,FALSE),IF(OR(AW1779=1,AW1779=2),VLOOKUP(AU1779,INDEX((係数_乗用_ガソリン,係数_乗用_CNG,係数_乗用_軽油,係数_乗用_メタノール,係数_乗用_LPG),1,1,BE1779):INDEX((係数_乗用_ガソリン,係数_乗用_CNG,係数_乗用_軽油,係数_乗用_メタノール,係数_乗用_LPG),125,5,BE1779),3,FALSE))))))</f>
        <v/>
      </c>
      <c r="BC1779" s="467" t="str">
        <f t="shared" si="1014"/>
        <v/>
      </c>
      <c r="BD1779" s="567" t="str">
        <f t="shared" si="1015"/>
        <v/>
      </c>
      <c r="BE1779" s="467" t="str">
        <f t="shared" si="1016"/>
        <v/>
      </c>
      <c r="BF1779" s="469" t="str">
        <f t="shared" ca="1" si="1017"/>
        <v/>
      </c>
      <c r="BG1779" s="469" t="str">
        <f t="shared" ca="1" si="1018"/>
        <v/>
      </c>
      <c r="BH1779" s="467" t="str">
        <f t="shared" si="1019"/>
        <v/>
      </c>
      <c r="BI1779" s="467" t="str">
        <f t="shared" ca="1" si="1020"/>
        <v/>
      </c>
      <c r="BJ1779" s="469" t="str">
        <f t="shared" si="1021"/>
        <v/>
      </c>
      <c r="BK1779" s="470" t="str">
        <f t="shared" si="1005"/>
        <v/>
      </c>
      <c r="BL1779" s="775" t="str">
        <f t="shared" si="1022"/>
        <v/>
      </c>
      <c r="BM1779" s="775" t="str">
        <f t="shared" si="1023"/>
        <v/>
      </c>
    </row>
    <row r="1780" spans="1:65">
      <c r="A1780" s="473">
        <v>1724</v>
      </c>
      <c r="B1780" s="132"/>
      <c r="C1780" s="332"/>
      <c r="D1780" s="333"/>
      <c r="E1780" s="333"/>
      <c r="F1780" s="334"/>
      <c r="G1780" s="337"/>
      <c r="H1780" s="131"/>
      <c r="I1780" s="337"/>
      <c r="J1780" s="131"/>
      <c r="K1780" s="458" t="str">
        <f t="shared" si="1024"/>
        <v/>
      </c>
      <c r="L1780" s="458">
        <f t="shared" si="1025"/>
        <v>0</v>
      </c>
      <c r="M1780" s="458">
        <f t="shared" si="1026"/>
        <v>0</v>
      </c>
      <c r="N1780" s="459" t="str">
        <f t="shared" si="999"/>
        <v/>
      </c>
      <c r="O1780" s="459" t="str">
        <f t="shared" si="1000"/>
        <v/>
      </c>
      <c r="P1780" s="459" t="str">
        <f t="shared" si="1001"/>
        <v/>
      </c>
      <c r="Q1780" s="459" t="str">
        <f t="shared" si="1002"/>
        <v/>
      </c>
      <c r="R1780" s="459" t="str">
        <f t="shared" si="1003"/>
        <v/>
      </c>
      <c r="S1780" s="459" t="str">
        <f t="shared" si="1004"/>
        <v/>
      </c>
      <c r="T1780" s="566" t="str">
        <f t="shared" si="1027"/>
        <v/>
      </c>
      <c r="U1780" s="702"/>
      <c r="V1780" s="132"/>
      <c r="W1780" s="133"/>
      <c r="X1780" s="134"/>
      <c r="Y1780" s="135"/>
      <c r="Z1780" s="137"/>
      <c r="AA1780" s="136"/>
      <c r="AB1780" s="566" t="str">
        <f t="shared" si="1028"/>
        <v/>
      </c>
      <c r="AC1780" s="568" t="str">
        <f t="shared" si="1029"/>
        <v/>
      </c>
      <c r="AD1780" s="137"/>
      <c r="AE1780" s="137"/>
      <c r="AF1780" s="138"/>
      <c r="AG1780" s="138"/>
      <c r="AH1780" s="592" t="str">
        <f t="shared" si="1030"/>
        <v/>
      </c>
      <c r="AI1780" s="592" t="str">
        <f t="shared" si="1031"/>
        <v/>
      </c>
      <c r="AJ1780" s="592" t="str">
        <f t="shared" si="1032"/>
        <v/>
      </c>
      <c r="AK1780" s="460" t="str">
        <f>IF(AU1780="","",IF(OR(AZ1780=8,AZ1780=9),0,IF(OR(AW1780=3,AW1780=4,AW1780=5,AW1780=6),IF(LEFT(BF1780,1)="1",INDEX(係数_NOX・PM低減,MATCH(AY1780,【参考】排出係数!$AI$801:$AI$804,1),1),VLOOKUP(AU1780,INDEX((係数_バス貨物_ガソリン,係数_バス貨物_CNG,係数_バス貨物_軽油,係数_バス貨物_メタノール,係数_バス貨物_LPG),MATCH(AY1780,【参考】排出係数!$AI$4:$AI$671,1),1,BE1780):INDEX((係数_バス貨物_ガソリン,係数_バス貨物_CNG,係数_バス貨物_軽油,係数_バス貨物_メタノール,係数_バス貨物_LPG),MATCH(AY1780+1,【参考】排出係数!$AI$4:$AI$671,1)-1,5,BE1780),4,FALSE)),IF(AND(BE1780=3,LEFT(BF1780,1)="1"),0.48,VLOOKUP(AU1780,INDEX((係数_乗用_ガソリン,係数_乗用_CNG,係数_乗用_軽油,係数_乗用_メタノール,係数_乗用_LPG),1,1,BE1780):INDEX((係数_乗用_ガソリン,係数_乗用_CNG,係数_乗用_軽油,係数_乗用_メタノール,係数_乗用_LPG),125,5,BE1780),4,FALSE)))))</f>
        <v/>
      </c>
      <c r="AL1780" s="461" t="str">
        <f t="shared" si="1033"/>
        <v/>
      </c>
      <c r="AM1780" s="460" t="str">
        <f>IF(AU1780="","",IF(OR(AZ1780=8,AZ1780=9),0,IF(OR(AW1780=3,AW1780=4,AW1780=5,AW1780=6),IF(LEFT(BH1780,1)="1",INDEX(係数_PM低減,MATCH(AY1780,【参考】排出係数!$AI$801:$AI$804,1),MATCH(BI1780,【参考】排出係数!$AL$798:$AO$798,1)),VLOOKUP(AU1780,INDEX((係数_バス貨物_ガソリン,係数_バス貨物_CNG,係数_バス貨物_軽油,係数_バス貨物_メタノール,係数_バス貨物_LPG),MATCH(AY1780,【参考】排出係数!$AI$4:$AI$671,1),1,BE1780):INDEX((係数_バス貨物_ガソリン,係数_バス貨物_CNG,係数_バス貨物_軽油,係数_バス貨物_メタノール,係数_バス貨物_LPG),MATCH(AY1780+1,【参考】排出係数!$AI$4:$AI$671,1)-1,5,BE1780),5,FALSE)),IF(AND(BE1780=3,LEFT(BF1780,1)="1"),0.055,VLOOKUP(AU1780,INDEX((係数_乗用_ガソリン,係数_乗用_CNG,係数_乗用_軽油,係数_乗用_メタノール,係数_乗用_LPG),1,1,BE1780):INDEX((係数_乗用_ガソリン,係数_乗用_CNG,係数_乗用_軽油,係数_乗用_メタノール,係数_乗用_LPG),125,5,BE1780),5,FALSE)))))</f>
        <v/>
      </c>
      <c r="AN1780" s="461" t="str">
        <f t="shared" si="1034"/>
        <v/>
      </c>
      <c r="AO1780" s="462" t="str">
        <f t="shared" si="1035"/>
        <v/>
      </c>
      <c r="AP1780" s="463" t="str">
        <f t="shared" si="1036"/>
        <v/>
      </c>
      <c r="AQ1780" s="464"/>
      <c r="AR1780" s="619"/>
      <c r="AS1780" s="465" t="str">
        <f t="shared" si="1006"/>
        <v/>
      </c>
      <c r="AT1780" s="465" t="str">
        <f t="shared" si="1007"/>
        <v/>
      </c>
      <c r="AU1780" s="466" t="str">
        <f t="shared" si="1008"/>
        <v/>
      </c>
      <c r="AV1780" s="467" t="str">
        <f t="shared" si="1009"/>
        <v/>
      </c>
      <c r="AW1780" s="467" t="str">
        <f t="shared" si="1010"/>
        <v/>
      </c>
      <c r="AX1780" s="467" t="str">
        <f t="shared" si="1011"/>
        <v/>
      </c>
      <c r="AY1780" s="467" t="str">
        <f t="shared" si="1012"/>
        <v/>
      </c>
      <c r="AZ1780" s="467" t="str">
        <f t="shared" si="1013"/>
        <v/>
      </c>
      <c r="BA1780" s="468" t="str">
        <f>IF(AS1780="","",IF(OR(AU1780="",AU1780="-"),"－",IF(OR(AZ1780=8,AZ1780=9),"",IF(OR(AW1780=3,AW1780=4,AW1780=5,AW1780=6),VLOOKUP(AU1780,INDEX((係数_バス貨物_ガソリン,係数_バス貨物_CNG,係数_バス貨物_軽油,係数_バス貨物_メタノール,係数_バス貨物_LPG),MATCH(AY1780,【参考】排出係数!$AI$4:$AI$671,1),1,BE1780):INDEX((係数_バス貨物_ガソリン,係数_バス貨物_CNG,係数_バス貨物_軽油,係数_バス貨物_メタノール,係数_バス貨物_LPG),MATCH(AY1780+1,【参考】排出係数!$AI$4:$AI$671,1)-1,5,BE1780),2,FALSE),IF(OR(AW1780=1,AW1780=2),VLOOKUP(AU1780,INDEX((係数_乗用_ガソリン,係数_乗用_CNG,係数_乗用_軽油,係数_乗用_メタノール,係数_乗用_LPG),1,1,BE1780):INDEX((係数_乗用_ガソリン,係数_乗用_CNG,係数_乗用_軽油,係数_乗用_メタノール,係数_乗用_LPG),125,5,BE1780),2,FALSE))))))</f>
        <v/>
      </c>
      <c r="BB1780" s="468" t="str">
        <f>IF(T1780="","",IF(OR(AU1780="",AU1780="-"),"－",IF(OR(AZ1780=8,AZ1780=9),"",IF(OR(AW1780=3,AW1780=4,AW1780=5,AW1780=6),VLOOKUP(AU1780,INDEX((係数_バス貨物_ガソリン,係数_バス貨物_CNG,係数_バス貨物_軽油,係数_バス貨物_メタノール,係数_バス貨物_LPG),MATCH(AY1780,【参考】排出係数!$AI$4:$AI$671,1),1,BE1780):INDEX((係数_バス貨物_ガソリン,係数_バス貨物_CNG,係数_バス貨物_軽油,係数_バス貨物_メタノール,係数_バス貨物_LPG),MATCH(AY1780+1,【参考】排出係数!$AI$4:$AI$671,1)-1,5,BE1780),3,FALSE),IF(OR(AW1780=1,AW1780=2),VLOOKUP(AU1780,INDEX((係数_乗用_ガソリン,係数_乗用_CNG,係数_乗用_軽油,係数_乗用_メタノール,係数_乗用_LPG),1,1,BE1780):INDEX((係数_乗用_ガソリン,係数_乗用_CNG,係数_乗用_軽油,係数_乗用_メタノール,係数_乗用_LPG),125,5,BE1780),3,FALSE))))))</f>
        <v/>
      </c>
      <c r="BC1780" s="467" t="str">
        <f t="shared" si="1014"/>
        <v/>
      </c>
      <c r="BD1780" s="567" t="str">
        <f t="shared" si="1015"/>
        <v/>
      </c>
      <c r="BE1780" s="467" t="str">
        <f t="shared" si="1016"/>
        <v/>
      </c>
      <c r="BF1780" s="469" t="str">
        <f t="shared" ca="1" si="1017"/>
        <v/>
      </c>
      <c r="BG1780" s="469" t="str">
        <f t="shared" ca="1" si="1018"/>
        <v/>
      </c>
      <c r="BH1780" s="467" t="str">
        <f t="shared" si="1019"/>
        <v/>
      </c>
      <c r="BI1780" s="467" t="str">
        <f t="shared" ca="1" si="1020"/>
        <v/>
      </c>
      <c r="BJ1780" s="469" t="str">
        <f t="shared" si="1021"/>
        <v/>
      </c>
      <c r="BK1780" s="470" t="str">
        <f t="shared" si="1005"/>
        <v/>
      </c>
      <c r="BL1780" s="775" t="str">
        <f t="shared" si="1022"/>
        <v/>
      </c>
      <c r="BM1780" s="775" t="str">
        <f t="shared" si="1023"/>
        <v/>
      </c>
    </row>
    <row r="1781" spans="1:65">
      <c r="A1781" s="473">
        <v>1725</v>
      </c>
      <c r="B1781" s="132"/>
      <c r="C1781" s="332"/>
      <c r="D1781" s="333"/>
      <c r="E1781" s="333"/>
      <c r="F1781" s="334"/>
      <c r="G1781" s="337"/>
      <c r="H1781" s="131"/>
      <c r="I1781" s="337"/>
      <c r="J1781" s="131"/>
      <c r="K1781" s="458" t="str">
        <f t="shared" si="1024"/>
        <v/>
      </c>
      <c r="L1781" s="458">
        <f t="shared" si="1025"/>
        <v>0</v>
      </c>
      <c r="M1781" s="458">
        <f t="shared" si="1026"/>
        <v>0</v>
      </c>
      <c r="N1781" s="459" t="str">
        <f t="shared" si="999"/>
        <v/>
      </c>
      <c r="O1781" s="459" t="str">
        <f t="shared" si="1000"/>
        <v/>
      </c>
      <c r="P1781" s="459" t="str">
        <f t="shared" si="1001"/>
        <v/>
      </c>
      <c r="Q1781" s="459" t="str">
        <f t="shared" si="1002"/>
        <v/>
      </c>
      <c r="R1781" s="459" t="str">
        <f t="shared" si="1003"/>
        <v/>
      </c>
      <c r="S1781" s="459" t="str">
        <f t="shared" si="1004"/>
        <v/>
      </c>
      <c r="T1781" s="566" t="str">
        <f t="shared" si="1027"/>
        <v/>
      </c>
      <c r="U1781" s="702"/>
      <c r="V1781" s="132"/>
      <c r="W1781" s="133"/>
      <c r="X1781" s="134"/>
      <c r="Y1781" s="135"/>
      <c r="Z1781" s="137"/>
      <c r="AA1781" s="136"/>
      <c r="AB1781" s="566" t="str">
        <f t="shared" si="1028"/>
        <v/>
      </c>
      <c r="AC1781" s="568" t="str">
        <f t="shared" si="1029"/>
        <v/>
      </c>
      <c r="AD1781" s="137"/>
      <c r="AE1781" s="137"/>
      <c r="AF1781" s="138"/>
      <c r="AG1781" s="138"/>
      <c r="AH1781" s="592" t="str">
        <f t="shared" si="1030"/>
        <v/>
      </c>
      <c r="AI1781" s="592" t="str">
        <f t="shared" si="1031"/>
        <v/>
      </c>
      <c r="AJ1781" s="592" t="str">
        <f t="shared" si="1032"/>
        <v/>
      </c>
      <c r="AK1781" s="460" t="str">
        <f>IF(AU1781="","",IF(OR(AZ1781=8,AZ1781=9),0,IF(OR(AW1781=3,AW1781=4,AW1781=5,AW1781=6),IF(LEFT(BF1781,1)="1",INDEX(係数_NOX・PM低減,MATCH(AY1781,【参考】排出係数!$AI$801:$AI$804,1),1),VLOOKUP(AU1781,INDEX((係数_バス貨物_ガソリン,係数_バス貨物_CNG,係数_バス貨物_軽油,係数_バス貨物_メタノール,係数_バス貨物_LPG),MATCH(AY1781,【参考】排出係数!$AI$4:$AI$671,1),1,BE1781):INDEX((係数_バス貨物_ガソリン,係数_バス貨物_CNG,係数_バス貨物_軽油,係数_バス貨物_メタノール,係数_バス貨物_LPG),MATCH(AY1781+1,【参考】排出係数!$AI$4:$AI$671,1)-1,5,BE1781),4,FALSE)),IF(AND(BE1781=3,LEFT(BF1781,1)="1"),0.48,VLOOKUP(AU1781,INDEX((係数_乗用_ガソリン,係数_乗用_CNG,係数_乗用_軽油,係数_乗用_メタノール,係数_乗用_LPG),1,1,BE1781):INDEX((係数_乗用_ガソリン,係数_乗用_CNG,係数_乗用_軽油,係数_乗用_メタノール,係数_乗用_LPG),125,5,BE1781),4,FALSE)))))</f>
        <v/>
      </c>
      <c r="AL1781" s="461" t="str">
        <f t="shared" si="1033"/>
        <v/>
      </c>
      <c r="AM1781" s="460" t="str">
        <f>IF(AU1781="","",IF(OR(AZ1781=8,AZ1781=9),0,IF(OR(AW1781=3,AW1781=4,AW1781=5,AW1781=6),IF(LEFT(BH1781,1)="1",INDEX(係数_PM低減,MATCH(AY1781,【参考】排出係数!$AI$801:$AI$804,1),MATCH(BI1781,【参考】排出係数!$AL$798:$AO$798,1)),VLOOKUP(AU1781,INDEX((係数_バス貨物_ガソリン,係数_バス貨物_CNG,係数_バス貨物_軽油,係数_バス貨物_メタノール,係数_バス貨物_LPG),MATCH(AY1781,【参考】排出係数!$AI$4:$AI$671,1),1,BE1781):INDEX((係数_バス貨物_ガソリン,係数_バス貨物_CNG,係数_バス貨物_軽油,係数_バス貨物_メタノール,係数_バス貨物_LPG),MATCH(AY1781+1,【参考】排出係数!$AI$4:$AI$671,1)-1,5,BE1781),5,FALSE)),IF(AND(BE1781=3,LEFT(BF1781,1)="1"),0.055,VLOOKUP(AU1781,INDEX((係数_乗用_ガソリン,係数_乗用_CNG,係数_乗用_軽油,係数_乗用_メタノール,係数_乗用_LPG),1,1,BE1781):INDEX((係数_乗用_ガソリン,係数_乗用_CNG,係数_乗用_軽油,係数_乗用_メタノール,係数_乗用_LPG),125,5,BE1781),5,FALSE)))))</f>
        <v/>
      </c>
      <c r="AN1781" s="461" t="str">
        <f t="shared" si="1034"/>
        <v/>
      </c>
      <c r="AO1781" s="462" t="str">
        <f t="shared" si="1035"/>
        <v/>
      </c>
      <c r="AP1781" s="463" t="str">
        <f t="shared" si="1036"/>
        <v/>
      </c>
      <c r="AQ1781" s="464"/>
      <c r="AR1781" s="619"/>
      <c r="AS1781" s="465" t="str">
        <f t="shared" si="1006"/>
        <v/>
      </c>
      <c r="AT1781" s="465" t="str">
        <f t="shared" si="1007"/>
        <v/>
      </c>
      <c r="AU1781" s="466" t="str">
        <f t="shared" si="1008"/>
        <v/>
      </c>
      <c r="AV1781" s="467" t="str">
        <f t="shared" si="1009"/>
        <v/>
      </c>
      <c r="AW1781" s="467" t="str">
        <f t="shared" si="1010"/>
        <v/>
      </c>
      <c r="AX1781" s="467" t="str">
        <f t="shared" si="1011"/>
        <v/>
      </c>
      <c r="AY1781" s="467" t="str">
        <f t="shared" si="1012"/>
        <v/>
      </c>
      <c r="AZ1781" s="467" t="str">
        <f t="shared" si="1013"/>
        <v/>
      </c>
      <c r="BA1781" s="468" t="str">
        <f>IF(AS1781="","",IF(OR(AU1781="",AU1781="-"),"－",IF(OR(AZ1781=8,AZ1781=9),"",IF(OR(AW1781=3,AW1781=4,AW1781=5,AW1781=6),VLOOKUP(AU1781,INDEX((係数_バス貨物_ガソリン,係数_バス貨物_CNG,係数_バス貨物_軽油,係数_バス貨物_メタノール,係数_バス貨物_LPG),MATCH(AY1781,【参考】排出係数!$AI$4:$AI$671,1),1,BE1781):INDEX((係数_バス貨物_ガソリン,係数_バス貨物_CNG,係数_バス貨物_軽油,係数_バス貨物_メタノール,係数_バス貨物_LPG),MATCH(AY1781+1,【参考】排出係数!$AI$4:$AI$671,1)-1,5,BE1781),2,FALSE),IF(OR(AW1781=1,AW1781=2),VLOOKUP(AU1781,INDEX((係数_乗用_ガソリン,係数_乗用_CNG,係数_乗用_軽油,係数_乗用_メタノール,係数_乗用_LPG),1,1,BE1781):INDEX((係数_乗用_ガソリン,係数_乗用_CNG,係数_乗用_軽油,係数_乗用_メタノール,係数_乗用_LPG),125,5,BE1781),2,FALSE))))))</f>
        <v/>
      </c>
      <c r="BB1781" s="468" t="str">
        <f>IF(T1781="","",IF(OR(AU1781="",AU1781="-"),"－",IF(OR(AZ1781=8,AZ1781=9),"",IF(OR(AW1781=3,AW1781=4,AW1781=5,AW1781=6),VLOOKUP(AU1781,INDEX((係数_バス貨物_ガソリン,係数_バス貨物_CNG,係数_バス貨物_軽油,係数_バス貨物_メタノール,係数_バス貨物_LPG),MATCH(AY1781,【参考】排出係数!$AI$4:$AI$671,1),1,BE1781):INDEX((係数_バス貨物_ガソリン,係数_バス貨物_CNG,係数_バス貨物_軽油,係数_バス貨物_メタノール,係数_バス貨物_LPG),MATCH(AY1781+1,【参考】排出係数!$AI$4:$AI$671,1)-1,5,BE1781),3,FALSE),IF(OR(AW1781=1,AW1781=2),VLOOKUP(AU1781,INDEX((係数_乗用_ガソリン,係数_乗用_CNG,係数_乗用_軽油,係数_乗用_メタノール,係数_乗用_LPG),1,1,BE1781):INDEX((係数_乗用_ガソリン,係数_乗用_CNG,係数_乗用_軽油,係数_乗用_メタノール,係数_乗用_LPG),125,5,BE1781),3,FALSE))))))</f>
        <v/>
      </c>
      <c r="BC1781" s="467" t="str">
        <f t="shared" si="1014"/>
        <v/>
      </c>
      <c r="BD1781" s="567" t="str">
        <f t="shared" si="1015"/>
        <v/>
      </c>
      <c r="BE1781" s="467" t="str">
        <f t="shared" si="1016"/>
        <v/>
      </c>
      <c r="BF1781" s="469" t="str">
        <f t="shared" ca="1" si="1017"/>
        <v/>
      </c>
      <c r="BG1781" s="469" t="str">
        <f t="shared" ca="1" si="1018"/>
        <v/>
      </c>
      <c r="BH1781" s="467" t="str">
        <f t="shared" si="1019"/>
        <v/>
      </c>
      <c r="BI1781" s="467" t="str">
        <f t="shared" ca="1" si="1020"/>
        <v/>
      </c>
      <c r="BJ1781" s="469" t="str">
        <f t="shared" si="1021"/>
        <v/>
      </c>
      <c r="BK1781" s="470" t="str">
        <f t="shared" si="1005"/>
        <v/>
      </c>
      <c r="BL1781" s="775" t="str">
        <f t="shared" si="1022"/>
        <v/>
      </c>
      <c r="BM1781" s="775" t="str">
        <f t="shared" si="1023"/>
        <v/>
      </c>
    </row>
    <row r="1782" spans="1:65">
      <c r="A1782" s="473">
        <v>1726</v>
      </c>
      <c r="B1782" s="132"/>
      <c r="C1782" s="332"/>
      <c r="D1782" s="333"/>
      <c r="E1782" s="333"/>
      <c r="F1782" s="334"/>
      <c r="G1782" s="337"/>
      <c r="H1782" s="131"/>
      <c r="I1782" s="337"/>
      <c r="J1782" s="131"/>
      <c r="K1782" s="458" t="str">
        <f t="shared" si="1024"/>
        <v/>
      </c>
      <c r="L1782" s="458">
        <f t="shared" si="1025"/>
        <v>0</v>
      </c>
      <c r="M1782" s="458">
        <f t="shared" si="1026"/>
        <v>0</v>
      </c>
      <c r="N1782" s="459" t="str">
        <f t="shared" si="999"/>
        <v/>
      </c>
      <c r="O1782" s="459" t="str">
        <f t="shared" si="1000"/>
        <v/>
      </c>
      <c r="P1782" s="459" t="str">
        <f t="shared" si="1001"/>
        <v/>
      </c>
      <c r="Q1782" s="459" t="str">
        <f t="shared" si="1002"/>
        <v/>
      </c>
      <c r="R1782" s="459" t="str">
        <f t="shared" si="1003"/>
        <v/>
      </c>
      <c r="S1782" s="459" t="str">
        <f t="shared" si="1004"/>
        <v/>
      </c>
      <c r="T1782" s="566" t="str">
        <f t="shared" si="1027"/>
        <v/>
      </c>
      <c r="U1782" s="702"/>
      <c r="V1782" s="132"/>
      <c r="W1782" s="133"/>
      <c r="X1782" s="134"/>
      <c r="Y1782" s="135"/>
      <c r="Z1782" s="137"/>
      <c r="AA1782" s="136"/>
      <c r="AB1782" s="566" t="str">
        <f t="shared" si="1028"/>
        <v/>
      </c>
      <c r="AC1782" s="568" t="str">
        <f t="shared" si="1029"/>
        <v/>
      </c>
      <c r="AD1782" s="137"/>
      <c r="AE1782" s="137"/>
      <c r="AF1782" s="138"/>
      <c r="AG1782" s="138"/>
      <c r="AH1782" s="592" t="str">
        <f t="shared" si="1030"/>
        <v/>
      </c>
      <c r="AI1782" s="592" t="str">
        <f t="shared" si="1031"/>
        <v/>
      </c>
      <c r="AJ1782" s="592" t="str">
        <f t="shared" si="1032"/>
        <v/>
      </c>
      <c r="AK1782" s="460" t="str">
        <f>IF(AU1782="","",IF(OR(AZ1782=8,AZ1782=9),0,IF(OR(AW1782=3,AW1782=4,AW1782=5,AW1782=6),IF(LEFT(BF1782,1)="1",INDEX(係数_NOX・PM低減,MATCH(AY1782,【参考】排出係数!$AI$801:$AI$804,1),1),VLOOKUP(AU1782,INDEX((係数_バス貨物_ガソリン,係数_バス貨物_CNG,係数_バス貨物_軽油,係数_バス貨物_メタノール,係数_バス貨物_LPG),MATCH(AY1782,【参考】排出係数!$AI$4:$AI$671,1),1,BE1782):INDEX((係数_バス貨物_ガソリン,係数_バス貨物_CNG,係数_バス貨物_軽油,係数_バス貨物_メタノール,係数_バス貨物_LPG),MATCH(AY1782+1,【参考】排出係数!$AI$4:$AI$671,1)-1,5,BE1782),4,FALSE)),IF(AND(BE1782=3,LEFT(BF1782,1)="1"),0.48,VLOOKUP(AU1782,INDEX((係数_乗用_ガソリン,係数_乗用_CNG,係数_乗用_軽油,係数_乗用_メタノール,係数_乗用_LPG),1,1,BE1782):INDEX((係数_乗用_ガソリン,係数_乗用_CNG,係数_乗用_軽油,係数_乗用_メタノール,係数_乗用_LPG),125,5,BE1782),4,FALSE)))))</f>
        <v/>
      </c>
      <c r="AL1782" s="461" t="str">
        <f t="shared" si="1033"/>
        <v/>
      </c>
      <c r="AM1782" s="460" t="str">
        <f>IF(AU1782="","",IF(OR(AZ1782=8,AZ1782=9),0,IF(OR(AW1782=3,AW1782=4,AW1782=5,AW1782=6),IF(LEFT(BH1782,1)="1",INDEX(係数_PM低減,MATCH(AY1782,【参考】排出係数!$AI$801:$AI$804,1),MATCH(BI1782,【参考】排出係数!$AL$798:$AO$798,1)),VLOOKUP(AU1782,INDEX((係数_バス貨物_ガソリン,係数_バス貨物_CNG,係数_バス貨物_軽油,係数_バス貨物_メタノール,係数_バス貨物_LPG),MATCH(AY1782,【参考】排出係数!$AI$4:$AI$671,1),1,BE1782):INDEX((係数_バス貨物_ガソリン,係数_バス貨物_CNG,係数_バス貨物_軽油,係数_バス貨物_メタノール,係数_バス貨物_LPG),MATCH(AY1782+1,【参考】排出係数!$AI$4:$AI$671,1)-1,5,BE1782),5,FALSE)),IF(AND(BE1782=3,LEFT(BF1782,1)="1"),0.055,VLOOKUP(AU1782,INDEX((係数_乗用_ガソリン,係数_乗用_CNG,係数_乗用_軽油,係数_乗用_メタノール,係数_乗用_LPG),1,1,BE1782):INDEX((係数_乗用_ガソリン,係数_乗用_CNG,係数_乗用_軽油,係数_乗用_メタノール,係数_乗用_LPG),125,5,BE1782),5,FALSE)))))</f>
        <v/>
      </c>
      <c r="AN1782" s="461" t="str">
        <f t="shared" si="1034"/>
        <v/>
      </c>
      <c r="AO1782" s="462" t="str">
        <f t="shared" si="1035"/>
        <v/>
      </c>
      <c r="AP1782" s="463" t="str">
        <f t="shared" si="1036"/>
        <v/>
      </c>
      <c r="AQ1782" s="464"/>
      <c r="AR1782" s="619"/>
      <c r="AS1782" s="465" t="str">
        <f t="shared" si="1006"/>
        <v/>
      </c>
      <c r="AT1782" s="465" t="str">
        <f t="shared" si="1007"/>
        <v/>
      </c>
      <c r="AU1782" s="466" t="str">
        <f t="shared" si="1008"/>
        <v/>
      </c>
      <c r="AV1782" s="467" t="str">
        <f t="shared" si="1009"/>
        <v/>
      </c>
      <c r="AW1782" s="467" t="str">
        <f t="shared" si="1010"/>
        <v/>
      </c>
      <c r="AX1782" s="467" t="str">
        <f t="shared" si="1011"/>
        <v/>
      </c>
      <c r="AY1782" s="467" t="str">
        <f t="shared" si="1012"/>
        <v/>
      </c>
      <c r="AZ1782" s="467" t="str">
        <f t="shared" si="1013"/>
        <v/>
      </c>
      <c r="BA1782" s="468" t="str">
        <f>IF(AS1782="","",IF(OR(AU1782="",AU1782="-"),"－",IF(OR(AZ1782=8,AZ1782=9),"",IF(OR(AW1782=3,AW1782=4,AW1782=5,AW1782=6),VLOOKUP(AU1782,INDEX((係数_バス貨物_ガソリン,係数_バス貨物_CNG,係数_バス貨物_軽油,係数_バス貨物_メタノール,係数_バス貨物_LPG),MATCH(AY1782,【参考】排出係数!$AI$4:$AI$671,1),1,BE1782):INDEX((係数_バス貨物_ガソリン,係数_バス貨物_CNG,係数_バス貨物_軽油,係数_バス貨物_メタノール,係数_バス貨物_LPG),MATCH(AY1782+1,【参考】排出係数!$AI$4:$AI$671,1)-1,5,BE1782),2,FALSE),IF(OR(AW1782=1,AW1782=2),VLOOKUP(AU1782,INDEX((係数_乗用_ガソリン,係数_乗用_CNG,係数_乗用_軽油,係数_乗用_メタノール,係数_乗用_LPG),1,1,BE1782):INDEX((係数_乗用_ガソリン,係数_乗用_CNG,係数_乗用_軽油,係数_乗用_メタノール,係数_乗用_LPG),125,5,BE1782),2,FALSE))))))</f>
        <v/>
      </c>
      <c r="BB1782" s="468" t="str">
        <f>IF(T1782="","",IF(OR(AU1782="",AU1782="-"),"－",IF(OR(AZ1782=8,AZ1782=9),"",IF(OR(AW1782=3,AW1782=4,AW1782=5,AW1782=6),VLOOKUP(AU1782,INDEX((係数_バス貨物_ガソリン,係数_バス貨物_CNG,係数_バス貨物_軽油,係数_バス貨物_メタノール,係数_バス貨物_LPG),MATCH(AY1782,【参考】排出係数!$AI$4:$AI$671,1),1,BE1782):INDEX((係数_バス貨物_ガソリン,係数_バス貨物_CNG,係数_バス貨物_軽油,係数_バス貨物_メタノール,係数_バス貨物_LPG),MATCH(AY1782+1,【参考】排出係数!$AI$4:$AI$671,1)-1,5,BE1782),3,FALSE),IF(OR(AW1782=1,AW1782=2),VLOOKUP(AU1782,INDEX((係数_乗用_ガソリン,係数_乗用_CNG,係数_乗用_軽油,係数_乗用_メタノール,係数_乗用_LPG),1,1,BE1782):INDEX((係数_乗用_ガソリン,係数_乗用_CNG,係数_乗用_軽油,係数_乗用_メタノール,係数_乗用_LPG),125,5,BE1782),3,FALSE))))))</f>
        <v/>
      </c>
      <c r="BC1782" s="467" t="str">
        <f t="shared" si="1014"/>
        <v/>
      </c>
      <c r="BD1782" s="567" t="str">
        <f t="shared" si="1015"/>
        <v/>
      </c>
      <c r="BE1782" s="467" t="str">
        <f t="shared" si="1016"/>
        <v/>
      </c>
      <c r="BF1782" s="469" t="str">
        <f t="shared" ca="1" si="1017"/>
        <v/>
      </c>
      <c r="BG1782" s="469" t="str">
        <f t="shared" ca="1" si="1018"/>
        <v/>
      </c>
      <c r="BH1782" s="467" t="str">
        <f t="shared" si="1019"/>
        <v/>
      </c>
      <c r="BI1782" s="467" t="str">
        <f t="shared" ca="1" si="1020"/>
        <v/>
      </c>
      <c r="BJ1782" s="469" t="str">
        <f t="shared" si="1021"/>
        <v/>
      </c>
      <c r="BK1782" s="470" t="str">
        <f t="shared" si="1005"/>
        <v/>
      </c>
      <c r="BL1782" s="775" t="str">
        <f t="shared" si="1022"/>
        <v/>
      </c>
      <c r="BM1782" s="775" t="str">
        <f t="shared" si="1023"/>
        <v/>
      </c>
    </row>
    <row r="1783" spans="1:65">
      <c r="A1783" s="473">
        <v>1727</v>
      </c>
      <c r="B1783" s="132"/>
      <c r="C1783" s="332"/>
      <c r="D1783" s="333"/>
      <c r="E1783" s="333"/>
      <c r="F1783" s="334"/>
      <c r="G1783" s="337"/>
      <c r="H1783" s="131"/>
      <c r="I1783" s="337"/>
      <c r="J1783" s="131"/>
      <c r="K1783" s="458" t="str">
        <f t="shared" si="1024"/>
        <v/>
      </c>
      <c r="L1783" s="458">
        <f t="shared" si="1025"/>
        <v>0</v>
      </c>
      <c r="M1783" s="458">
        <f t="shared" si="1026"/>
        <v>0</v>
      </c>
      <c r="N1783" s="459" t="str">
        <f t="shared" ref="N1783:N1846" si="1037">IF(OR($L1783&gt;$U$48,$M1783&gt;$U$48,AND($L1783&gt;$M1783,$M1783&lt;&gt;0),AND($L1783=0,$M1783&lt;&gt;0)),"ERROR","")</f>
        <v/>
      </c>
      <c r="O1783" s="459" t="str">
        <f t="shared" ref="O1783:O1846" si="1038">IF(AND($N1783&lt;&gt;"ERROR",$L1783&lt;=$U$49,$M1783&lt;=$U$49,$M1783&lt;&gt;0),"(減車済)","")</f>
        <v/>
      </c>
      <c r="P1783" s="459" t="str">
        <f t="shared" ref="P1783:P1846" si="1039">IF(AND($N1783&lt;&gt;"ERROR",$L1783&lt;$U$49,AND($M1783&gt;$U$49,$M1783&lt;=$W$49),$M1783&lt;&gt;0),"減車","")</f>
        <v/>
      </c>
      <c r="Q1783" s="459" t="str">
        <f t="shared" ref="Q1783:Q1846" si="1040">IF(AND($N1783&lt;&gt;"ERROR",$L1783&gt;$U$49,$M1783&lt;=$W$49,$M1783&lt;&gt;0),"一時使用","")</f>
        <v/>
      </c>
      <c r="R1783" s="459" t="str">
        <f t="shared" ref="R1783:R1846" si="1041">IF(AND($N1783&lt;&gt;"ERROR",AND($L1783&gt;0,$L1783&lt;=$U$49),$M1783=0),"継続","")</f>
        <v/>
      </c>
      <c r="S1783" s="459" t="str">
        <f t="shared" ref="S1783:S1846" si="1042">IF(AND($N1783&lt;&gt;"ERROR",AND($L1783&gt;$U$49),$M1783=0),"新規","")</f>
        <v/>
      </c>
      <c r="T1783" s="566" t="str">
        <f t="shared" si="1027"/>
        <v/>
      </c>
      <c r="U1783" s="702"/>
      <c r="V1783" s="132"/>
      <c r="W1783" s="133"/>
      <c r="X1783" s="134"/>
      <c r="Y1783" s="135"/>
      <c r="Z1783" s="137"/>
      <c r="AA1783" s="136"/>
      <c r="AB1783" s="566" t="str">
        <f t="shared" si="1028"/>
        <v/>
      </c>
      <c r="AC1783" s="568" t="str">
        <f t="shared" si="1029"/>
        <v/>
      </c>
      <c r="AD1783" s="137"/>
      <c r="AE1783" s="137"/>
      <c r="AF1783" s="138"/>
      <c r="AG1783" s="138"/>
      <c r="AH1783" s="592" t="str">
        <f t="shared" si="1030"/>
        <v/>
      </c>
      <c r="AI1783" s="592" t="str">
        <f t="shared" si="1031"/>
        <v/>
      </c>
      <c r="AJ1783" s="592" t="str">
        <f t="shared" si="1032"/>
        <v/>
      </c>
      <c r="AK1783" s="460" t="str">
        <f>IF(AU1783="","",IF(OR(AZ1783=8,AZ1783=9),0,IF(OR(AW1783=3,AW1783=4,AW1783=5,AW1783=6),IF(LEFT(BF1783,1)="1",INDEX(係数_NOX・PM低減,MATCH(AY1783,【参考】排出係数!$AI$801:$AI$804,1),1),VLOOKUP(AU1783,INDEX((係数_バス貨物_ガソリン,係数_バス貨物_CNG,係数_バス貨物_軽油,係数_バス貨物_メタノール,係数_バス貨物_LPG),MATCH(AY1783,【参考】排出係数!$AI$4:$AI$671,1),1,BE1783):INDEX((係数_バス貨物_ガソリン,係数_バス貨物_CNG,係数_バス貨物_軽油,係数_バス貨物_メタノール,係数_バス貨物_LPG),MATCH(AY1783+1,【参考】排出係数!$AI$4:$AI$671,1)-1,5,BE1783),4,FALSE)),IF(AND(BE1783=3,LEFT(BF1783,1)="1"),0.48,VLOOKUP(AU1783,INDEX((係数_乗用_ガソリン,係数_乗用_CNG,係数_乗用_軽油,係数_乗用_メタノール,係数_乗用_LPG),1,1,BE1783):INDEX((係数_乗用_ガソリン,係数_乗用_CNG,係数_乗用_軽油,係数_乗用_メタノール,係数_乗用_LPG),125,5,BE1783),4,FALSE)))))</f>
        <v/>
      </c>
      <c r="AL1783" s="461" t="str">
        <f t="shared" si="1033"/>
        <v/>
      </c>
      <c r="AM1783" s="460" t="str">
        <f>IF(AU1783="","",IF(OR(AZ1783=8,AZ1783=9),0,IF(OR(AW1783=3,AW1783=4,AW1783=5,AW1783=6),IF(LEFT(BH1783,1)="1",INDEX(係数_PM低減,MATCH(AY1783,【参考】排出係数!$AI$801:$AI$804,1),MATCH(BI1783,【参考】排出係数!$AL$798:$AO$798,1)),VLOOKUP(AU1783,INDEX((係数_バス貨物_ガソリン,係数_バス貨物_CNG,係数_バス貨物_軽油,係数_バス貨物_メタノール,係数_バス貨物_LPG),MATCH(AY1783,【参考】排出係数!$AI$4:$AI$671,1),1,BE1783):INDEX((係数_バス貨物_ガソリン,係数_バス貨物_CNG,係数_バス貨物_軽油,係数_バス貨物_メタノール,係数_バス貨物_LPG),MATCH(AY1783+1,【参考】排出係数!$AI$4:$AI$671,1)-1,5,BE1783),5,FALSE)),IF(AND(BE1783=3,LEFT(BF1783,1)="1"),0.055,VLOOKUP(AU1783,INDEX((係数_乗用_ガソリン,係数_乗用_CNG,係数_乗用_軽油,係数_乗用_メタノール,係数_乗用_LPG),1,1,BE1783):INDEX((係数_乗用_ガソリン,係数_乗用_CNG,係数_乗用_軽油,係数_乗用_メタノール,係数_乗用_LPG),125,5,BE1783),5,FALSE)))))</f>
        <v/>
      </c>
      <c r="AN1783" s="461" t="str">
        <f t="shared" si="1034"/>
        <v/>
      </c>
      <c r="AO1783" s="462" t="str">
        <f t="shared" si="1035"/>
        <v/>
      </c>
      <c r="AP1783" s="463" t="str">
        <f t="shared" si="1036"/>
        <v/>
      </c>
      <c r="AQ1783" s="464"/>
      <c r="AR1783" s="619"/>
      <c r="AS1783" s="465" t="str">
        <f t="shared" si="1006"/>
        <v/>
      </c>
      <c r="AT1783" s="465" t="str">
        <f t="shared" si="1007"/>
        <v/>
      </c>
      <c r="AU1783" s="466" t="str">
        <f t="shared" si="1008"/>
        <v/>
      </c>
      <c r="AV1783" s="467" t="str">
        <f t="shared" si="1009"/>
        <v/>
      </c>
      <c r="AW1783" s="467" t="str">
        <f t="shared" si="1010"/>
        <v/>
      </c>
      <c r="AX1783" s="467" t="str">
        <f t="shared" si="1011"/>
        <v/>
      </c>
      <c r="AY1783" s="467" t="str">
        <f t="shared" si="1012"/>
        <v/>
      </c>
      <c r="AZ1783" s="467" t="str">
        <f t="shared" si="1013"/>
        <v/>
      </c>
      <c r="BA1783" s="468" t="str">
        <f>IF(AS1783="","",IF(OR(AU1783="",AU1783="-"),"－",IF(OR(AZ1783=8,AZ1783=9),"",IF(OR(AW1783=3,AW1783=4,AW1783=5,AW1783=6),VLOOKUP(AU1783,INDEX((係数_バス貨物_ガソリン,係数_バス貨物_CNG,係数_バス貨物_軽油,係数_バス貨物_メタノール,係数_バス貨物_LPG),MATCH(AY1783,【参考】排出係数!$AI$4:$AI$671,1),1,BE1783):INDEX((係数_バス貨物_ガソリン,係数_バス貨物_CNG,係数_バス貨物_軽油,係数_バス貨物_メタノール,係数_バス貨物_LPG),MATCH(AY1783+1,【参考】排出係数!$AI$4:$AI$671,1)-1,5,BE1783),2,FALSE),IF(OR(AW1783=1,AW1783=2),VLOOKUP(AU1783,INDEX((係数_乗用_ガソリン,係数_乗用_CNG,係数_乗用_軽油,係数_乗用_メタノール,係数_乗用_LPG),1,1,BE1783):INDEX((係数_乗用_ガソリン,係数_乗用_CNG,係数_乗用_軽油,係数_乗用_メタノール,係数_乗用_LPG),125,5,BE1783),2,FALSE))))))</f>
        <v/>
      </c>
      <c r="BB1783" s="468" t="str">
        <f>IF(T1783="","",IF(OR(AU1783="",AU1783="-"),"－",IF(OR(AZ1783=8,AZ1783=9),"",IF(OR(AW1783=3,AW1783=4,AW1783=5,AW1783=6),VLOOKUP(AU1783,INDEX((係数_バス貨物_ガソリン,係数_バス貨物_CNG,係数_バス貨物_軽油,係数_バス貨物_メタノール,係数_バス貨物_LPG),MATCH(AY1783,【参考】排出係数!$AI$4:$AI$671,1),1,BE1783):INDEX((係数_バス貨物_ガソリン,係数_バス貨物_CNG,係数_バス貨物_軽油,係数_バス貨物_メタノール,係数_バス貨物_LPG),MATCH(AY1783+1,【参考】排出係数!$AI$4:$AI$671,1)-1,5,BE1783),3,FALSE),IF(OR(AW1783=1,AW1783=2),VLOOKUP(AU1783,INDEX((係数_乗用_ガソリン,係数_乗用_CNG,係数_乗用_軽油,係数_乗用_メタノール,係数_乗用_LPG),1,1,BE1783):INDEX((係数_乗用_ガソリン,係数_乗用_CNG,係数_乗用_軽油,係数_乗用_メタノール,係数_乗用_LPG),125,5,BE1783),3,FALSE))))))</f>
        <v/>
      </c>
      <c r="BC1783" s="467" t="str">
        <f t="shared" si="1014"/>
        <v/>
      </c>
      <c r="BD1783" s="567" t="str">
        <f t="shared" si="1015"/>
        <v/>
      </c>
      <c r="BE1783" s="467" t="str">
        <f t="shared" si="1016"/>
        <v/>
      </c>
      <c r="BF1783" s="469" t="str">
        <f t="shared" ca="1" si="1017"/>
        <v/>
      </c>
      <c r="BG1783" s="469" t="str">
        <f t="shared" ca="1" si="1018"/>
        <v/>
      </c>
      <c r="BH1783" s="467" t="str">
        <f t="shared" si="1019"/>
        <v/>
      </c>
      <c r="BI1783" s="467" t="str">
        <f t="shared" ca="1" si="1020"/>
        <v/>
      </c>
      <c r="BJ1783" s="469" t="str">
        <f t="shared" si="1021"/>
        <v/>
      </c>
      <c r="BK1783" s="470" t="str">
        <f t="shared" si="1005"/>
        <v/>
      </c>
      <c r="BL1783" s="775" t="str">
        <f t="shared" si="1022"/>
        <v/>
      </c>
      <c r="BM1783" s="775" t="str">
        <f t="shared" si="1023"/>
        <v/>
      </c>
    </row>
    <row r="1784" spans="1:65">
      <c r="A1784" s="473">
        <v>1728</v>
      </c>
      <c r="B1784" s="132"/>
      <c r="C1784" s="332"/>
      <c r="D1784" s="333"/>
      <c r="E1784" s="333"/>
      <c r="F1784" s="334"/>
      <c r="G1784" s="337"/>
      <c r="H1784" s="131"/>
      <c r="I1784" s="337"/>
      <c r="J1784" s="131"/>
      <c r="K1784" s="458" t="str">
        <f t="shared" si="1024"/>
        <v/>
      </c>
      <c r="L1784" s="458">
        <f t="shared" si="1025"/>
        <v>0</v>
      </c>
      <c r="M1784" s="458">
        <f t="shared" si="1026"/>
        <v>0</v>
      </c>
      <c r="N1784" s="459" t="str">
        <f t="shared" si="1037"/>
        <v/>
      </c>
      <c r="O1784" s="459" t="str">
        <f t="shared" si="1038"/>
        <v/>
      </c>
      <c r="P1784" s="459" t="str">
        <f t="shared" si="1039"/>
        <v/>
      </c>
      <c r="Q1784" s="459" t="str">
        <f t="shared" si="1040"/>
        <v/>
      </c>
      <c r="R1784" s="459" t="str">
        <f t="shared" si="1041"/>
        <v/>
      </c>
      <c r="S1784" s="459" t="str">
        <f t="shared" si="1042"/>
        <v/>
      </c>
      <c r="T1784" s="566" t="str">
        <f t="shared" si="1027"/>
        <v/>
      </c>
      <c r="U1784" s="702"/>
      <c r="V1784" s="132"/>
      <c r="W1784" s="133"/>
      <c r="X1784" s="134"/>
      <c r="Y1784" s="135"/>
      <c r="Z1784" s="137"/>
      <c r="AA1784" s="136"/>
      <c r="AB1784" s="566" t="str">
        <f t="shared" si="1028"/>
        <v/>
      </c>
      <c r="AC1784" s="568" t="str">
        <f t="shared" si="1029"/>
        <v/>
      </c>
      <c r="AD1784" s="137"/>
      <c r="AE1784" s="137"/>
      <c r="AF1784" s="138"/>
      <c r="AG1784" s="138"/>
      <c r="AH1784" s="592" t="str">
        <f t="shared" si="1030"/>
        <v/>
      </c>
      <c r="AI1784" s="592" t="str">
        <f t="shared" si="1031"/>
        <v/>
      </c>
      <c r="AJ1784" s="592" t="str">
        <f t="shared" si="1032"/>
        <v/>
      </c>
      <c r="AK1784" s="460" t="str">
        <f>IF(AU1784="","",IF(OR(AZ1784=8,AZ1784=9),0,IF(OR(AW1784=3,AW1784=4,AW1784=5,AW1784=6),IF(LEFT(BF1784,1)="1",INDEX(係数_NOX・PM低減,MATCH(AY1784,【参考】排出係数!$AI$801:$AI$804,1),1),VLOOKUP(AU1784,INDEX((係数_バス貨物_ガソリン,係数_バス貨物_CNG,係数_バス貨物_軽油,係数_バス貨物_メタノール,係数_バス貨物_LPG),MATCH(AY1784,【参考】排出係数!$AI$4:$AI$671,1),1,BE1784):INDEX((係数_バス貨物_ガソリン,係数_バス貨物_CNG,係数_バス貨物_軽油,係数_バス貨物_メタノール,係数_バス貨物_LPG),MATCH(AY1784+1,【参考】排出係数!$AI$4:$AI$671,1)-1,5,BE1784),4,FALSE)),IF(AND(BE1784=3,LEFT(BF1784,1)="1"),0.48,VLOOKUP(AU1784,INDEX((係数_乗用_ガソリン,係数_乗用_CNG,係数_乗用_軽油,係数_乗用_メタノール,係数_乗用_LPG),1,1,BE1784):INDEX((係数_乗用_ガソリン,係数_乗用_CNG,係数_乗用_軽油,係数_乗用_メタノール,係数_乗用_LPG),125,5,BE1784),4,FALSE)))))</f>
        <v/>
      </c>
      <c r="AL1784" s="461" t="str">
        <f t="shared" si="1033"/>
        <v/>
      </c>
      <c r="AM1784" s="460" t="str">
        <f>IF(AU1784="","",IF(OR(AZ1784=8,AZ1784=9),0,IF(OR(AW1784=3,AW1784=4,AW1784=5,AW1784=6),IF(LEFT(BH1784,1)="1",INDEX(係数_PM低減,MATCH(AY1784,【参考】排出係数!$AI$801:$AI$804,1),MATCH(BI1784,【参考】排出係数!$AL$798:$AO$798,1)),VLOOKUP(AU1784,INDEX((係数_バス貨物_ガソリン,係数_バス貨物_CNG,係数_バス貨物_軽油,係数_バス貨物_メタノール,係数_バス貨物_LPG),MATCH(AY1784,【参考】排出係数!$AI$4:$AI$671,1),1,BE1784):INDEX((係数_バス貨物_ガソリン,係数_バス貨物_CNG,係数_バス貨物_軽油,係数_バス貨物_メタノール,係数_バス貨物_LPG),MATCH(AY1784+1,【参考】排出係数!$AI$4:$AI$671,1)-1,5,BE1784),5,FALSE)),IF(AND(BE1784=3,LEFT(BF1784,1)="1"),0.055,VLOOKUP(AU1784,INDEX((係数_乗用_ガソリン,係数_乗用_CNG,係数_乗用_軽油,係数_乗用_メタノール,係数_乗用_LPG),1,1,BE1784):INDEX((係数_乗用_ガソリン,係数_乗用_CNG,係数_乗用_軽油,係数_乗用_メタノール,係数_乗用_LPG),125,5,BE1784),5,FALSE)))))</f>
        <v/>
      </c>
      <c r="AN1784" s="461" t="str">
        <f t="shared" si="1034"/>
        <v/>
      </c>
      <c r="AO1784" s="462" t="str">
        <f t="shared" si="1035"/>
        <v/>
      </c>
      <c r="AP1784" s="463" t="str">
        <f t="shared" si="1036"/>
        <v/>
      </c>
      <c r="AQ1784" s="464"/>
      <c r="AR1784" s="619"/>
      <c r="AS1784" s="465" t="str">
        <f t="shared" si="1006"/>
        <v/>
      </c>
      <c r="AT1784" s="465" t="str">
        <f t="shared" si="1007"/>
        <v/>
      </c>
      <c r="AU1784" s="466" t="str">
        <f t="shared" si="1008"/>
        <v/>
      </c>
      <c r="AV1784" s="467" t="str">
        <f t="shared" si="1009"/>
        <v/>
      </c>
      <c r="AW1784" s="467" t="str">
        <f t="shared" si="1010"/>
        <v/>
      </c>
      <c r="AX1784" s="467" t="str">
        <f t="shared" si="1011"/>
        <v/>
      </c>
      <c r="AY1784" s="467" t="str">
        <f t="shared" si="1012"/>
        <v/>
      </c>
      <c r="AZ1784" s="467" t="str">
        <f t="shared" si="1013"/>
        <v/>
      </c>
      <c r="BA1784" s="468" t="str">
        <f>IF(AS1784="","",IF(OR(AU1784="",AU1784="-"),"－",IF(OR(AZ1784=8,AZ1784=9),"",IF(OR(AW1784=3,AW1784=4,AW1784=5,AW1784=6),VLOOKUP(AU1784,INDEX((係数_バス貨物_ガソリン,係数_バス貨物_CNG,係数_バス貨物_軽油,係数_バス貨物_メタノール,係数_バス貨物_LPG),MATCH(AY1784,【参考】排出係数!$AI$4:$AI$671,1),1,BE1784):INDEX((係数_バス貨物_ガソリン,係数_バス貨物_CNG,係数_バス貨物_軽油,係数_バス貨物_メタノール,係数_バス貨物_LPG),MATCH(AY1784+1,【参考】排出係数!$AI$4:$AI$671,1)-1,5,BE1784),2,FALSE),IF(OR(AW1784=1,AW1784=2),VLOOKUP(AU1784,INDEX((係数_乗用_ガソリン,係数_乗用_CNG,係数_乗用_軽油,係数_乗用_メタノール,係数_乗用_LPG),1,1,BE1784):INDEX((係数_乗用_ガソリン,係数_乗用_CNG,係数_乗用_軽油,係数_乗用_メタノール,係数_乗用_LPG),125,5,BE1784),2,FALSE))))))</f>
        <v/>
      </c>
      <c r="BB1784" s="468" t="str">
        <f>IF(T1784="","",IF(OR(AU1784="",AU1784="-"),"－",IF(OR(AZ1784=8,AZ1784=9),"",IF(OR(AW1784=3,AW1784=4,AW1784=5,AW1784=6),VLOOKUP(AU1784,INDEX((係数_バス貨物_ガソリン,係数_バス貨物_CNG,係数_バス貨物_軽油,係数_バス貨物_メタノール,係数_バス貨物_LPG),MATCH(AY1784,【参考】排出係数!$AI$4:$AI$671,1),1,BE1784):INDEX((係数_バス貨物_ガソリン,係数_バス貨物_CNG,係数_バス貨物_軽油,係数_バス貨物_メタノール,係数_バス貨物_LPG),MATCH(AY1784+1,【参考】排出係数!$AI$4:$AI$671,1)-1,5,BE1784),3,FALSE),IF(OR(AW1784=1,AW1784=2),VLOOKUP(AU1784,INDEX((係数_乗用_ガソリン,係数_乗用_CNG,係数_乗用_軽油,係数_乗用_メタノール,係数_乗用_LPG),1,1,BE1784):INDEX((係数_乗用_ガソリン,係数_乗用_CNG,係数_乗用_軽油,係数_乗用_メタノール,係数_乗用_LPG),125,5,BE1784),3,FALSE))))))</f>
        <v/>
      </c>
      <c r="BC1784" s="467" t="str">
        <f t="shared" si="1014"/>
        <v/>
      </c>
      <c r="BD1784" s="567" t="str">
        <f t="shared" si="1015"/>
        <v/>
      </c>
      <c r="BE1784" s="467" t="str">
        <f t="shared" si="1016"/>
        <v/>
      </c>
      <c r="BF1784" s="469" t="str">
        <f t="shared" ca="1" si="1017"/>
        <v/>
      </c>
      <c r="BG1784" s="469" t="str">
        <f t="shared" ca="1" si="1018"/>
        <v/>
      </c>
      <c r="BH1784" s="467" t="str">
        <f t="shared" si="1019"/>
        <v/>
      </c>
      <c r="BI1784" s="467" t="str">
        <f t="shared" ca="1" si="1020"/>
        <v/>
      </c>
      <c r="BJ1784" s="469" t="str">
        <f t="shared" si="1021"/>
        <v/>
      </c>
      <c r="BK1784" s="470" t="str">
        <f t="shared" si="1005"/>
        <v/>
      </c>
      <c r="BL1784" s="775" t="str">
        <f t="shared" si="1022"/>
        <v/>
      </c>
      <c r="BM1784" s="775" t="str">
        <f t="shared" si="1023"/>
        <v/>
      </c>
    </row>
    <row r="1785" spans="1:65">
      <c r="A1785" s="473">
        <v>1729</v>
      </c>
      <c r="B1785" s="132"/>
      <c r="C1785" s="332"/>
      <c r="D1785" s="333"/>
      <c r="E1785" s="333"/>
      <c r="F1785" s="334"/>
      <c r="G1785" s="337"/>
      <c r="H1785" s="131"/>
      <c r="I1785" s="337"/>
      <c r="J1785" s="131"/>
      <c r="K1785" s="458" t="str">
        <f t="shared" si="1024"/>
        <v/>
      </c>
      <c r="L1785" s="458">
        <f t="shared" si="1025"/>
        <v>0</v>
      </c>
      <c r="M1785" s="458">
        <f t="shared" si="1026"/>
        <v>0</v>
      </c>
      <c r="N1785" s="459" t="str">
        <f t="shared" si="1037"/>
        <v/>
      </c>
      <c r="O1785" s="459" t="str">
        <f t="shared" si="1038"/>
        <v/>
      </c>
      <c r="P1785" s="459" t="str">
        <f t="shared" si="1039"/>
        <v/>
      </c>
      <c r="Q1785" s="459" t="str">
        <f t="shared" si="1040"/>
        <v/>
      </c>
      <c r="R1785" s="459" t="str">
        <f t="shared" si="1041"/>
        <v/>
      </c>
      <c r="S1785" s="459" t="str">
        <f t="shared" si="1042"/>
        <v/>
      </c>
      <c r="T1785" s="566" t="str">
        <f t="shared" si="1027"/>
        <v/>
      </c>
      <c r="U1785" s="702"/>
      <c r="V1785" s="132"/>
      <c r="W1785" s="133"/>
      <c r="X1785" s="134"/>
      <c r="Y1785" s="135"/>
      <c r="Z1785" s="137"/>
      <c r="AA1785" s="136"/>
      <c r="AB1785" s="566" t="str">
        <f t="shared" si="1028"/>
        <v/>
      </c>
      <c r="AC1785" s="568" t="str">
        <f t="shared" si="1029"/>
        <v/>
      </c>
      <c r="AD1785" s="137"/>
      <c r="AE1785" s="137"/>
      <c r="AF1785" s="138"/>
      <c r="AG1785" s="138"/>
      <c r="AH1785" s="592" t="str">
        <f t="shared" si="1030"/>
        <v/>
      </c>
      <c r="AI1785" s="592" t="str">
        <f t="shared" si="1031"/>
        <v/>
      </c>
      <c r="AJ1785" s="592" t="str">
        <f t="shared" si="1032"/>
        <v/>
      </c>
      <c r="AK1785" s="460" t="str">
        <f>IF(AU1785="","",IF(OR(AZ1785=8,AZ1785=9),0,IF(OR(AW1785=3,AW1785=4,AW1785=5,AW1785=6),IF(LEFT(BF1785,1)="1",INDEX(係数_NOX・PM低減,MATCH(AY1785,【参考】排出係数!$AI$801:$AI$804,1),1),VLOOKUP(AU1785,INDEX((係数_バス貨物_ガソリン,係数_バス貨物_CNG,係数_バス貨物_軽油,係数_バス貨物_メタノール,係数_バス貨物_LPG),MATCH(AY1785,【参考】排出係数!$AI$4:$AI$671,1),1,BE1785):INDEX((係数_バス貨物_ガソリン,係数_バス貨物_CNG,係数_バス貨物_軽油,係数_バス貨物_メタノール,係数_バス貨物_LPG),MATCH(AY1785+1,【参考】排出係数!$AI$4:$AI$671,1)-1,5,BE1785),4,FALSE)),IF(AND(BE1785=3,LEFT(BF1785,1)="1"),0.48,VLOOKUP(AU1785,INDEX((係数_乗用_ガソリン,係数_乗用_CNG,係数_乗用_軽油,係数_乗用_メタノール,係数_乗用_LPG),1,1,BE1785):INDEX((係数_乗用_ガソリン,係数_乗用_CNG,係数_乗用_軽油,係数_乗用_メタノール,係数_乗用_LPG),125,5,BE1785),4,FALSE)))))</f>
        <v/>
      </c>
      <c r="AL1785" s="461" t="str">
        <f t="shared" si="1033"/>
        <v/>
      </c>
      <c r="AM1785" s="460" t="str">
        <f>IF(AU1785="","",IF(OR(AZ1785=8,AZ1785=9),0,IF(OR(AW1785=3,AW1785=4,AW1785=5,AW1785=6),IF(LEFT(BH1785,1)="1",INDEX(係数_PM低減,MATCH(AY1785,【参考】排出係数!$AI$801:$AI$804,1),MATCH(BI1785,【参考】排出係数!$AL$798:$AO$798,1)),VLOOKUP(AU1785,INDEX((係数_バス貨物_ガソリン,係数_バス貨物_CNG,係数_バス貨物_軽油,係数_バス貨物_メタノール,係数_バス貨物_LPG),MATCH(AY1785,【参考】排出係数!$AI$4:$AI$671,1),1,BE1785):INDEX((係数_バス貨物_ガソリン,係数_バス貨物_CNG,係数_バス貨物_軽油,係数_バス貨物_メタノール,係数_バス貨物_LPG),MATCH(AY1785+1,【参考】排出係数!$AI$4:$AI$671,1)-1,5,BE1785),5,FALSE)),IF(AND(BE1785=3,LEFT(BF1785,1)="1"),0.055,VLOOKUP(AU1785,INDEX((係数_乗用_ガソリン,係数_乗用_CNG,係数_乗用_軽油,係数_乗用_メタノール,係数_乗用_LPG),1,1,BE1785):INDEX((係数_乗用_ガソリン,係数_乗用_CNG,係数_乗用_軽油,係数_乗用_メタノール,係数_乗用_LPG),125,5,BE1785),5,FALSE)))))</f>
        <v/>
      </c>
      <c r="AN1785" s="461" t="str">
        <f t="shared" si="1034"/>
        <v/>
      </c>
      <c r="AO1785" s="462" t="str">
        <f t="shared" si="1035"/>
        <v/>
      </c>
      <c r="AP1785" s="463" t="str">
        <f t="shared" si="1036"/>
        <v/>
      </c>
      <c r="AQ1785" s="464"/>
      <c r="AR1785" s="619"/>
      <c r="AS1785" s="465" t="str">
        <f t="shared" si="1006"/>
        <v/>
      </c>
      <c r="AT1785" s="465" t="str">
        <f t="shared" si="1007"/>
        <v/>
      </c>
      <c r="AU1785" s="466" t="str">
        <f t="shared" si="1008"/>
        <v/>
      </c>
      <c r="AV1785" s="467" t="str">
        <f t="shared" si="1009"/>
        <v/>
      </c>
      <c r="AW1785" s="467" t="str">
        <f t="shared" si="1010"/>
        <v/>
      </c>
      <c r="AX1785" s="467" t="str">
        <f t="shared" si="1011"/>
        <v/>
      </c>
      <c r="AY1785" s="467" t="str">
        <f t="shared" si="1012"/>
        <v/>
      </c>
      <c r="AZ1785" s="467" t="str">
        <f t="shared" si="1013"/>
        <v/>
      </c>
      <c r="BA1785" s="468" t="str">
        <f>IF(AS1785="","",IF(OR(AU1785="",AU1785="-"),"－",IF(OR(AZ1785=8,AZ1785=9),"",IF(OR(AW1785=3,AW1785=4,AW1785=5,AW1785=6),VLOOKUP(AU1785,INDEX((係数_バス貨物_ガソリン,係数_バス貨物_CNG,係数_バス貨物_軽油,係数_バス貨物_メタノール,係数_バス貨物_LPG),MATCH(AY1785,【参考】排出係数!$AI$4:$AI$671,1),1,BE1785):INDEX((係数_バス貨物_ガソリン,係数_バス貨物_CNG,係数_バス貨物_軽油,係数_バス貨物_メタノール,係数_バス貨物_LPG),MATCH(AY1785+1,【参考】排出係数!$AI$4:$AI$671,1)-1,5,BE1785),2,FALSE),IF(OR(AW1785=1,AW1785=2),VLOOKUP(AU1785,INDEX((係数_乗用_ガソリン,係数_乗用_CNG,係数_乗用_軽油,係数_乗用_メタノール,係数_乗用_LPG),1,1,BE1785):INDEX((係数_乗用_ガソリン,係数_乗用_CNG,係数_乗用_軽油,係数_乗用_メタノール,係数_乗用_LPG),125,5,BE1785),2,FALSE))))))</f>
        <v/>
      </c>
      <c r="BB1785" s="468" t="str">
        <f>IF(T1785="","",IF(OR(AU1785="",AU1785="-"),"－",IF(OR(AZ1785=8,AZ1785=9),"",IF(OR(AW1785=3,AW1785=4,AW1785=5,AW1785=6),VLOOKUP(AU1785,INDEX((係数_バス貨物_ガソリン,係数_バス貨物_CNG,係数_バス貨物_軽油,係数_バス貨物_メタノール,係数_バス貨物_LPG),MATCH(AY1785,【参考】排出係数!$AI$4:$AI$671,1),1,BE1785):INDEX((係数_バス貨物_ガソリン,係数_バス貨物_CNG,係数_バス貨物_軽油,係数_バス貨物_メタノール,係数_バス貨物_LPG),MATCH(AY1785+1,【参考】排出係数!$AI$4:$AI$671,1)-1,5,BE1785),3,FALSE),IF(OR(AW1785=1,AW1785=2),VLOOKUP(AU1785,INDEX((係数_乗用_ガソリン,係数_乗用_CNG,係数_乗用_軽油,係数_乗用_メタノール,係数_乗用_LPG),1,1,BE1785):INDEX((係数_乗用_ガソリン,係数_乗用_CNG,係数_乗用_軽油,係数_乗用_メタノール,係数_乗用_LPG),125,5,BE1785),3,FALSE))))))</f>
        <v/>
      </c>
      <c r="BC1785" s="467" t="str">
        <f t="shared" si="1014"/>
        <v/>
      </c>
      <c r="BD1785" s="567" t="str">
        <f t="shared" si="1015"/>
        <v/>
      </c>
      <c r="BE1785" s="467" t="str">
        <f t="shared" si="1016"/>
        <v/>
      </c>
      <c r="BF1785" s="469" t="str">
        <f t="shared" ca="1" si="1017"/>
        <v/>
      </c>
      <c r="BG1785" s="469" t="str">
        <f t="shared" ca="1" si="1018"/>
        <v/>
      </c>
      <c r="BH1785" s="467" t="str">
        <f t="shared" si="1019"/>
        <v/>
      </c>
      <c r="BI1785" s="467" t="str">
        <f t="shared" ca="1" si="1020"/>
        <v/>
      </c>
      <c r="BJ1785" s="469" t="str">
        <f t="shared" si="1021"/>
        <v/>
      </c>
      <c r="BK1785" s="470" t="str">
        <f t="shared" ref="BK1785:BK1848" si="1043">IF(AS1785="","",VLOOKUP(T1785,車両の増減,2,FALSE))</f>
        <v/>
      </c>
      <c r="BL1785" s="775" t="str">
        <f t="shared" si="1022"/>
        <v/>
      </c>
      <c r="BM1785" s="775" t="str">
        <f t="shared" si="1023"/>
        <v/>
      </c>
    </row>
    <row r="1786" spans="1:65">
      <c r="A1786" s="473">
        <v>1730</v>
      </c>
      <c r="B1786" s="132"/>
      <c r="C1786" s="332"/>
      <c r="D1786" s="333"/>
      <c r="E1786" s="333"/>
      <c r="F1786" s="334"/>
      <c r="G1786" s="337"/>
      <c r="H1786" s="131"/>
      <c r="I1786" s="337"/>
      <c r="J1786" s="131"/>
      <c r="K1786" s="458" t="str">
        <f t="shared" si="1024"/>
        <v/>
      </c>
      <c r="L1786" s="458">
        <f t="shared" si="1025"/>
        <v>0</v>
      </c>
      <c r="M1786" s="458">
        <f t="shared" si="1026"/>
        <v>0</v>
      </c>
      <c r="N1786" s="459" t="str">
        <f t="shared" si="1037"/>
        <v/>
      </c>
      <c r="O1786" s="459" t="str">
        <f t="shared" si="1038"/>
        <v/>
      </c>
      <c r="P1786" s="459" t="str">
        <f t="shared" si="1039"/>
        <v/>
      </c>
      <c r="Q1786" s="459" t="str">
        <f t="shared" si="1040"/>
        <v/>
      </c>
      <c r="R1786" s="459" t="str">
        <f t="shared" si="1041"/>
        <v/>
      </c>
      <c r="S1786" s="459" t="str">
        <f t="shared" si="1042"/>
        <v/>
      </c>
      <c r="T1786" s="566" t="str">
        <f t="shared" si="1027"/>
        <v/>
      </c>
      <c r="U1786" s="702"/>
      <c r="V1786" s="132"/>
      <c r="W1786" s="133"/>
      <c r="X1786" s="134"/>
      <c r="Y1786" s="135"/>
      <c r="Z1786" s="137"/>
      <c r="AA1786" s="136"/>
      <c r="AB1786" s="566" t="str">
        <f t="shared" si="1028"/>
        <v/>
      </c>
      <c r="AC1786" s="568" t="str">
        <f t="shared" si="1029"/>
        <v/>
      </c>
      <c r="AD1786" s="137"/>
      <c r="AE1786" s="137"/>
      <c r="AF1786" s="138"/>
      <c r="AG1786" s="138"/>
      <c r="AH1786" s="592" t="str">
        <f t="shared" si="1030"/>
        <v/>
      </c>
      <c r="AI1786" s="592" t="str">
        <f t="shared" si="1031"/>
        <v/>
      </c>
      <c r="AJ1786" s="592" t="str">
        <f t="shared" si="1032"/>
        <v/>
      </c>
      <c r="AK1786" s="460" t="str">
        <f>IF(AU1786="","",IF(OR(AZ1786=8,AZ1786=9),0,IF(OR(AW1786=3,AW1786=4,AW1786=5,AW1786=6),IF(LEFT(BF1786,1)="1",INDEX(係数_NOX・PM低減,MATCH(AY1786,【参考】排出係数!$AI$801:$AI$804,1),1),VLOOKUP(AU1786,INDEX((係数_バス貨物_ガソリン,係数_バス貨物_CNG,係数_バス貨物_軽油,係数_バス貨物_メタノール,係数_バス貨物_LPG),MATCH(AY1786,【参考】排出係数!$AI$4:$AI$671,1),1,BE1786):INDEX((係数_バス貨物_ガソリン,係数_バス貨物_CNG,係数_バス貨物_軽油,係数_バス貨物_メタノール,係数_バス貨物_LPG),MATCH(AY1786+1,【参考】排出係数!$AI$4:$AI$671,1)-1,5,BE1786),4,FALSE)),IF(AND(BE1786=3,LEFT(BF1786,1)="1"),0.48,VLOOKUP(AU1786,INDEX((係数_乗用_ガソリン,係数_乗用_CNG,係数_乗用_軽油,係数_乗用_メタノール,係数_乗用_LPG),1,1,BE1786):INDEX((係数_乗用_ガソリン,係数_乗用_CNG,係数_乗用_軽油,係数_乗用_メタノール,係数_乗用_LPG),125,5,BE1786),4,FALSE)))))</f>
        <v/>
      </c>
      <c r="AL1786" s="461" t="str">
        <f t="shared" si="1033"/>
        <v/>
      </c>
      <c r="AM1786" s="460" t="str">
        <f>IF(AU1786="","",IF(OR(AZ1786=8,AZ1786=9),0,IF(OR(AW1786=3,AW1786=4,AW1786=5,AW1786=6),IF(LEFT(BH1786,1)="1",INDEX(係数_PM低減,MATCH(AY1786,【参考】排出係数!$AI$801:$AI$804,1),MATCH(BI1786,【参考】排出係数!$AL$798:$AO$798,1)),VLOOKUP(AU1786,INDEX((係数_バス貨物_ガソリン,係数_バス貨物_CNG,係数_バス貨物_軽油,係数_バス貨物_メタノール,係数_バス貨物_LPG),MATCH(AY1786,【参考】排出係数!$AI$4:$AI$671,1),1,BE1786):INDEX((係数_バス貨物_ガソリン,係数_バス貨物_CNG,係数_バス貨物_軽油,係数_バス貨物_メタノール,係数_バス貨物_LPG),MATCH(AY1786+1,【参考】排出係数!$AI$4:$AI$671,1)-1,5,BE1786),5,FALSE)),IF(AND(BE1786=3,LEFT(BF1786,1)="1"),0.055,VLOOKUP(AU1786,INDEX((係数_乗用_ガソリン,係数_乗用_CNG,係数_乗用_軽油,係数_乗用_メタノール,係数_乗用_LPG),1,1,BE1786):INDEX((係数_乗用_ガソリン,係数_乗用_CNG,係数_乗用_軽油,係数_乗用_メタノール,係数_乗用_LPG),125,5,BE1786),5,FALSE)))))</f>
        <v/>
      </c>
      <c r="AN1786" s="461" t="str">
        <f t="shared" si="1034"/>
        <v/>
      </c>
      <c r="AO1786" s="462" t="str">
        <f t="shared" si="1035"/>
        <v/>
      </c>
      <c r="AP1786" s="463" t="str">
        <f t="shared" si="1036"/>
        <v/>
      </c>
      <c r="AQ1786" s="464"/>
      <c r="AR1786" s="619"/>
      <c r="AS1786" s="465" t="str">
        <f t="shared" ref="AS1786:AS1849" si="1044">IF(OR(T1786="(減車済)",T1786=""),"",1)</f>
        <v/>
      </c>
      <c r="AT1786" s="465" t="str">
        <f t="shared" ref="AT1786:AT1849" si="1045">IF(OR(T1786="継続",T1786="新規"),1,"")</f>
        <v/>
      </c>
      <c r="AU1786" s="466" t="str">
        <f t="shared" ref="AU1786:AU1849" si="1046">IF(AS1786="","",UPPER(ASC(X1786)))</f>
        <v/>
      </c>
      <c r="AV1786" s="467" t="str">
        <f t="shared" ref="AV1786:AV1849" si="1047">IF(AS1786="","",IF(V1786="","",IF(V1786="普通",1,IF(V1786="小型",2,0))))</f>
        <v/>
      </c>
      <c r="AW1786" s="467" t="str">
        <f t="shared" ref="AW1786:AW1849" si="1048">IF(AS1786="","",IF(W1786="","",VLOOKUP(W1786,用途,2,FALSE)))</f>
        <v/>
      </c>
      <c r="AX1786" s="467" t="str">
        <f t="shared" ref="AX1786:AX1849" si="1049">IF(AS1786="","",IF(Y1786="","",IF(Y1786&lt;=10,1,IF(Y1786&lt;30,2,IF(Y1786&gt;=30,3,0)))))</f>
        <v/>
      </c>
      <c r="AY1786" s="467" t="str">
        <f t="shared" ref="AY1786:AY1849" si="1050">IF(AS1786="","",IF(Z1786="","",IF(Z1786&lt;=1.7*1000,1,IF(Z1786&lt;=2.5*1000,2,IF(Z1786&lt;=3.5*1000,3,IF(Z1786&lt;8*1000,4,IF(Z1786&gt;=8*1000,5,"")))))))</f>
        <v/>
      </c>
      <c r="AZ1786" s="467" t="str">
        <f t="shared" ref="AZ1786:AZ1849" si="1051">IF(AS1786="","",IF(AA1786="","",VLOOKUP(AA1786,燃料の種類,2,FALSE)))</f>
        <v/>
      </c>
      <c r="BA1786" s="468" t="str">
        <f>IF(AS1786="","",IF(OR(AU1786="",AU1786="-"),"－",IF(OR(AZ1786=8,AZ1786=9),"",IF(OR(AW1786=3,AW1786=4,AW1786=5,AW1786=6),VLOOKUP(AU1786,INDEX((係数_バス貨物_ガソリン,係数_バス貨物_CNG,係数_バス貨物_軽油,係数_バス貨物_メタノール,係数_バス貨物_LPG),MATCH(AY1786,【参考】排出係数!$AI$4:$AI$671,1),1,BE1786):INDEX((係数_バス貨物_ガソリン,係数_バス貨物_CNG,係数_バス貨物_軽油,係数_バス貨物_メタノール,係数_バス貨物_LPG),MATCH(AY1786+1,【参考】排出係数!$AI$4:$AI$671,1)-1,5,BE1786),2,FALSE),IF(OR(AW1786=1,AW1786=2),VLOOKUP(AU1786,INDEX((係数_乗用_ガソリン,係数_乗用_CNG,係数_乗用_軽油,係数_乗用_メタノール,係数_乗用_LPG),1,1,BE1786):INDEX((係数_乗用_ガソリン,係数_乗用_CNG,係数_乗用_軽油,係数_乗用_メタノール,係数_乗用_LPG),125,5,BE1786),2,FALSE))))))</f>
        <v/>
      </c>
      <c r="BB1786" s="468" t="str">
        <f>IF(T1786="","",IF(OR(AU1786="",AU1786="-"),"－",IF(OR(AZ1786=8,AZ1786=9),"",IF(OR(AW1786=3,AW1786=4,AW1786=5,AW1786=6),VLOOKUP(AU1786,INDEX((係数_バス貨物_ガソリン,係数_バス貨物_CNG,係数_バス貨物_軽油,係数_バス貨物_メタノール,係数_バス貨物_LPG),MATCH(AY1786,【参考】排出係数!$AI$4:$AI$671,1),1,BE1786):INDEX((係数_バス貨物_ガソリン,係数_バス貨物_CNG,係数_バス貨物_軽油,係数_バス貨物_メタノール,係数_バス貨物_LPG),MATCH(AY1786+1,【参考】排出係数!$AI$4:$AI$671,1)-1,5,BE1786),3,FALSE),IF(OR(AW1786=1,AW1786=2),VLOOKUP(AU1786,INDEX((係数_乗用_ガソリン,係数_乗用_CNG,係数_乗用_軽油,係数_乗用_メタノール,係数_乗用_LPG),1,1,BE1786):INDEX((係数_乗用_ガソリン,係数_乗用_CNG,係数_乗用_軽油,係数_乗用_メタノール,係数_乗用_LPG),125,5,BE1786),3,FALSE))))))</f>
        <v/>
      </c>
      <c r="BC1786" s="467" t="str">
        <f t="shared" ref="BC1786:BC1849" si="1052">IF((AS1786="")+(AC1786=""),"",IF(燃料区分1=4,VLOOKUP(BB1786,排ガス低減レベル,2,FALSE),VLOOKUP(AC1786,排ガス低減レベル,2,FALSE)))</f>
        <v/>
      </c>
      <c r="BD1786" s="567" t="str">
        <f t="shared" ref="BD1786:BD1849" si="1053">IF(AT1786="","",IF(AW1786=3,B1786&amp;"-"&amp;SUM(AW1786*100,AX1786*10,AY1786)&amp;"A",IF(OR(AW1786=2,AW1786=4,AW1786=6),B1786&amp;"-"&amp;AY1786*10&amp;"A",IF(AW1786=1,B1786&amp;"-"&amp;AW1786&amp;"A",IF(AW1786=5,B1786&amp;"-"&amp;SUM(AW1786*100,AV1786*10,AY1786)&amp;"A","")))))</f>
        <v/>
      </c>
      <c r="BE1786" s="467" t="str">
        <f t="shared" ref="BE1786:BE1849" si="1054">IF(OR(AZ1786=1,AZ1786=2,AZ1786=11),1,IF(AZ1786=6,2,IF(OR(AZ1786=4,AZ1786=5,AZ1786=10),3,IF(AZ1786=7,4,IF(AZ1786=3,5, IF(OR(AZ1786=8,AZ1786=9),6,""))))))</f>
        <v/>
      </c>
      <c r="BF1786" s="469" t="str">
        <f t="shared" ref="BF1786:BF1849" ca="1" si="1055">(IF(OR(AZ1786=4,AZ1786=5),OFFSET($CH$1,MATCH($AF1786,$CG$2:$CG$4,0),0)&amp;BK1786,""))</f>
        <v/>
      </c>
      <c r="BG1786" s="469" t="str">
        <f t="shared" ref="BG1786:BG1849" ca="1" si="1056">(IF(OR(AZ1786=4,AZ1786=5),OFFSET($CJ$1,MATCH($AG1786,$CI$2:$CI$5,0),0)&amp;BK1786,""))</f>
        <v/>
      </c>
      <c r="BH1786" s="467" t="str">
        <f t="shared" ref="BH1786:BH1849" si="1057">IF(OR(AZ1786=4,AZ1786=5),IF(OR(LEFT(BF1786,1)="1",LEFT(BG1786,1)="2",LEFT(BG1786,1)="3"),1,2)&amp;BK1786,"")</f>
        <v/>
      </c>
      <c r="BI1786" s="467" t="str">
        <f t="shared" ref="BI1786:BI1849" ca="1" si="1058">IF(LEFT(BF1786)="1",1,IF(LEFT(BG1786,1)="2",2,IF(LEFT(BG1786,1)="3",3,"")))</f>
        <v/>
      </c>
      <c r="BJ1786" s="469" t="str">
        <f t="shared" ref="BJ1786:BJ1849" si="1059">IF(AT1786="","",B1786&amp;"-"&amp;AZ1786)</f>
        <v/>
      </c>
      <c r="BK1786" s="470" t="str">
        <f t="shared" si="1043"/>
        <v/>
      </c>
      <c r="BL1786" s="775" t="str">
        <f t="shared" ref="BL1786:BL1849" si="1060">IF(AND(OR($T1786="新規",$T1786="継続"),ISBLANK($AD1786)),1,"")</f>
        <v/>
      </c>
      <c r="BM1786" s="775" t="str">
        <f t="shared" ref="BM1786:BM1849" si="1061">IF(AND(OR($T1786="新規",$T1786="継続"),ISBLANK($AE1786)),1,"")</f>
        <v/>
      </c>
    </row>
    <row r="1787" spans="1:65">
      <c r="A1787" s="473">
        <v>1731</v>
      </c>
      <c r="B1787" s="132"/>
      <c r="C1787" s="332"/>
      <c r="D1787" s="333"/>
      <c r="E1787" s="333"/>
      <c r="F1787" s="334"/>
      <c r="G1787" s="337"/>
      <c r="H1787" s="131"/>
      <c r="I1787" s="337"/>
      <c r="J1787" s="131"/>
      <c r="K1787" s="458" t="str">
        <f t="shared" si="1024"/>
        <v/>
      </c>
      <c r="L1787" s="458">
        <f t="shared" si="1025"/>
        <v>0</v>
      </c>
      <c r="M1787" s="458">
        <f t="shared" si="1026"/>
        <v>0</v>
      </c>
      <c r="N1787" s="459" t="str">
        <f t="shared" si="1037"/>
        <v/>
      </c>
      <c r="O1787" s="459" t="str">
        <f t="shared" si="1038"/>
        <v/>
      </c>
      <c r="P1787" s="459" t="str">
        <f t="shared" si="1039"/>
        <v/>
      </c>
      <c r="Q1787" s="459" t="str">
        <f t="shared" si="1040"/>
        <v/>
      </c>
      <c r="R1787" s="459" t="str">
        <f t="shared" si="1041"/>
        <v/>
      </c>
      <c r="S1787" s="459" t="str">
        <f t="shared" si="1042"/>
        <v/>
      </c>
      <c r="T1787" s="566" t="str">
        <f t="shared" si="1027"/>
        <v/>
      </c>
      <c r="U1787" s="702"/>
      <c r="V1787" s="132"/>
      <c r="W1787" s="133"/>
      <c r="X1787" s="134"/>
      <c r="Y1787" s="135"/>
      <c r="Z1787" s="137"/>
      <c r="AA1787" s="136"/>
      <c r="AB1787" s="566" t="str">
        <f t="shared" si="1028"/>
        <v/>
      </c>
      <c r="AC1787" s="568" t="str">
        <f t="shared" si="1029"/>
        <v/>
      </c>
      <c r="AD1787" s="137"/>
      <c r="AE1787" s="137"/>
      <c r="AF1787" s="138"/>
      <c r="AG1787" s="138"/>
      <c r="AH1787" s="592" t="str">
        <f t="shared" si="1030"/>
        <v/>
      </c>
      <c r="AI1787" s="592" t="str">
        <f t="shared" si="1031"/>
        <v/>
      </c>
      <c r="AJ1787" s="592" t="str">
        <f t="shared" si="1032"/>
        <v/>
      </c>
      <c r="AK1787" s="460" t="str">
        <f>IF(AU1787="","",IF(OR(AZ1787=8,AZ1787=9),0,IF(OR(AW1787=3,AW1787=4,AW1787=5,AW1787=6),IF(LEFT(BF1787,1)="1",INDEX(係数_NOX・PM低減,MATCH(AY1787,【参考】排出係数!$AI$801:$AI$804,1),1),VLOOKUP(AU1787,INDEX((係数_バス貨物_ガソリン,係数_バス貨物_CNG,係数_バス貨物_軽油,係数_バス貨物_メタノール,係数_バス貨物_LPG),MATCH(AY1787,【参考】排出係数!$AI$4:$AI$671,1),1,BE1787):INDEX((係数_バス貨物_ガソリン,係数_バス貨物_CNG,係数_バス貨物_軽油,係数_バス貨物_メタノール,係数_バス貨物_LPG),MATCH(AY1787+1,【参考】排出係数!$AI$4:$AI$671,1)-1,5,BE1787),4,FALSE)),IF(AND(BE1787=3,LEFT(BF1787,1)="1"),0.48,VLOOKUP(AU1787,INDEX((係数_乗用_ガソリン,係数_乗用_CNG,係数_乗用_軽油,係数_乗用_メタノール,係数_乗用_LPG),1,1,BE1787):INDEX((係数_乗用_ガソリン,係数_乗用_CNG,係数_乗用_軽油,係数_乗用_メタノール,係数_乗用_LPG),125,5,BE1787),4,FALSE)))))</f>
        <v/>
      </c>
      <c r="AL1787" s="461" t="str">
        <f t="shared" si="1033"/>
        <v/>
      </c>
      <c r="AM1787" s="460" t="str">
        <f>IF(AU1787="","",IF(OR(AZ1787=8,AZ1787=9),0,IF(OR(AW1787=3,AW1787=4,AW1787=5,AW1787=6),IF(LEFT(BH1787,1)="1",INDEX(係数_PM低減,MATCH(AY1787,【参考】排出係数!$AI$801:$AI$804,1),MATCH(BI1787,【参考】排出係数!$AL$798:$AO$798,1)),VLOOKUP(AU1787,INDEX((係数_バス貨物_ガソリン,係数_バス貨物_CNG,係数_バス貨物_軽油,係数_バス貨物_メタノール,係数_バス貨物_LPG),MATCH(AY1787,【参考】排出係数!$AI$4:$AI$671,1),1,BE1787):INDEX((係数_バス貨物_ガソリン,係数_バス貨物_CNG,係数_バス貨物_軽油,係数_バス貨物_メタノール,係数_バス貨物_LPG),MATCH(AY1787+1,【参考】排出係数!$AI$4:$AI$671,1)-1,5,BE1787),5,FALSE)),IF(AND(BE1787=3,LEFT(BF1787,1)="1"),0.055,VLOOKUP(AU1787,INDEX((係数_乗用_ガソリン,係数_乗用_CNG,係数_乗用_軽油,係数_乗用_メタノール,係数_乗用_LPG),1,1,BE1787):INDEX((係数_乗用_ガソリン,係数_乗用_CNG,係数_乗用_軽油,係数_乗用_メタノール,係数_乗用_LPG),125,5,BE1787),5,FALSE)))))</f>
        <v/>
      </c>
      <c r="AN1787" s="461" t="str">
        <f t="shared" si="1034"/>
        <v/>
      </c>
      <c r="AO1787" s="462" t="str">
        <f t="shared" si="1035"/>
        <v/>
      </c>
      <c r="AP1787" s="463" t="str">
        <f t="shared" si="1036"/>
        <v/>
      </c>
      <c r="AQ1787" s="464"/>
      <c r="AR1787" s="619"/>
      <c r="AS1787" s="465" t="str">
        <f t="shared" si="1044"/>
        <v/>
      </c>
      <c r="AT1787" s="465" t="str">
        <f t="shared" si="1045"/>
        <v/>
      </c>
      <c r="AU1787" s="466" t="str">
        <f t="shared" si="1046"/>
        <v/>
      </c>
      <c r="AV1787" s="467" t="str">
        <f t="shared" si="1047"/>
        <v/>
      </c>
      <c r="AW1787" s="467" t="str">
        <f t="shared" si="1048"/>
        <v/>
      </c>
      <c r="AX1787" s="467" t="str">
        <f t="shared" si="1049"/>
        <v/>
      </c>
      <c r="AY1787" s="467" t="str">
        <f t="shared" si="1050"/>
        <v/>
      </c>
      <c r="AZ1787" s="467" t="str">
        <f t="shared" si="1051"/>
        <v/>
      </c>
      <c r="BA1787" s="468" t="str">
        <f>IF(AS1787="","",IF(OR(AU1787="",AU1787="-"),"－",IF(OR(AZ1787=8,AZ1787=9),"",IF(OR(AW1787=3,AW1787=4,AW1787=5,AW1787=6),VLOOKUP(AU1787,INDEX((係数_バス貨物_ガソリン,係数_バス貨物_CNG,係数_バス貨物_軽油,係数_バス貨物_メタノール,係数_バス貨物_LPG),MATCH(AY1787,【参考】排出係数!$AI$4:$AI$671,1),1,BE1787):INDEX((係数_バス貨物_ガソリン,係数_バス貨物_CNG,係数_バス貨物_軽油,係数_バス貨物_メタノール,係数_バス貨物_LPG),MATCH(AY1787+1,【参考】排出係数!$AI$4:$AI$671,1)-1,5,BE1787),2,FALSE),IF(OR(AW1787=1,AW1787=2),VLOOKUP(AU1787,INDEX((係数_乗用_ガソリン,係数_乗用_CNG,係数_乗用_軽油,係数_乗用_メタノール,係数_乗用_LPG),1,1,BE1787):INDEX((係数_乗用_ガソリン,係数_乗用_CNG,係数_乗用_軽油,係数_乗用_メタノール,係数_乗用_LPG),125,5,BE1787),2,FALSE))))))</f>
        <v/>
      </c>
      <c r="BB1787" s="468" t="str">
        <f>IF(T1787="","",IF(OR(AU1787="",AU1787="-"),"－",IF(OR(AZ1787=8,AZ1787=9),"",IF(OR(AW1787=3,AW1787=4,AW1787=5,AW1787=6),VLOOKUP(AU1787,INDEX((係数_バス貨物_ガソリン,係数_バス貨物_CNG,係数_バス貨物_軽油,係数_バス貨物_メタノール,係数_バス貨物_LPG),MATCH(AY1787,【参考】排出係数!$AI$4:$AI$671,1),1,BE1787):INDEX((係数_バス貨物_ガソリン,係数_バス貨物_CNG,係数_バス貨物_軽油,係数_バス貨物_メタノール,係数_バス貨物_LPG),MATCH(AY1787+1,【参考】排出係数!$AI$4:$AI$671,1)-1,5,BE1787),3,FALSE),IF(OR(AW1787=1,AW1787=2),VLOOKUP(AU1787,INDEX((係数_乗用_ガソリン,係数_乗用_CNG,係数_乗用_軽油,係数_乗用_メタノール,係数_乗用_LPG),1,1,BE1787):INDEX((係数_乗用_ガソリン,係数_乗用_CNG,係数_乗用_軽油,係数_乗用_メタノール,係数_乗用_LPG),125,5,BE1787),3,FALSE))))))</f>
        <v/>
      </c>
      <c r="BC1787" s="467" t="str">
        <f t="shared" si="1052"/>
        <v/>
      </c>
      <c r="BD1787" s="567" t="str">
        <f t="shared" si="1053"/>
        <v/>
      </c>
      <c r="BE1787" s="467" t="str">
        <f t="shared" si="1054"/>
        <v/>
      </c>
      <c r="BF1787" s="469" t="str">
        <f t="shared" ca="1" si="1055"/>
        <v/>
      </c>
      <c r="BG1787" s="469" t="str">
        <f t="shared" ca="1" si="1056"/>
        <v/>
      </c>
      <c r="BH1787" s="467" t="str">
        <f t="shared" si="1057"/>
        <v/>
      </c>
      <c r="BI1787" s="467" t="str">
        <f t="shared" ca="1" si="1058"/>
        <v/>
      </c>
      <c r="BJ1787" s="469" t="str">
        <f t="shared" si="1059"/>
        <v/>
      </c>
      <c r="BK1787" s="470" t="str">
        <f t="shared" si="1043"/>
        <v/>
      </c>
      <c r="BL1787" s="775" t="str">
        <f t="shared" si="1060"/>
        <v/>
      </c>
      <c r="BM1787" s="775" t="str">
        <f t="shared" si="1061"/>
        <v/>
      </c>
    </row>
    <row r="1788" spans="1:65">
      <c r="A1788" s="473">
        <v>1732</v>
      </c>
      <c r="B1788" s="132"/>
      <c r="C1788" s="332"/>
      <c r="D1788" s="333"/>
      <c r="E1788" s="333"/>
      <c r="F1788" s="334"/>
      <c r="G1788" s="337"/>
      <c r="H1788" s="131"/>
      <c r="I1788" s="337"/>
      <c r="J1788" s="131"/>
      <c r="K1788" s="458" t="str">
        <f t="shared" si="1024"/>
        <v/>
      </c>
      <c r="L1788" s="458">
        <f t="shared" si="1025"/>
        <v>0</v>
      </c>
      <c r="M1788" s="458">
        <f t="shared" si="1026"/>
        <v>0</v>
      </c>
      <c r="N1788" s="459" t="str">
        <f t="shared" si="1037"/>
        <v/>
      </c>
      <c r="O1788" s="459" t="str">
        <f t="shared" si="1038"/>
        <v/>
      </c>
      <c r="P1788" s="459" t="str">
        <f t="shared" si="1039"/>
        <v/>
      </c>
      <c r="Q1788" s="459" t="str">
        <f t="shared" si="1040"/>
        <v/>
      </c>
      <c r="R1788" s="459" t="str">
        <f t="shared" si="1041"/>
        <v/>
      </c>
      <c r="S1788" s="459" t="str">
        <f t="shared" si="1042"/>
        <v/>
      </c>
      <c r="T1788" s="566" t="str">
        <f t="shared" si="1027"/>
        <v/>
      </c>
      <c r="U1788" s="702"/>
      <c r="V1788" s="132"/>
      <c r="W1788" s="133"/>
      <c r="X1788" s="134"/>
      <c r="Y1788" s="135"/>
      <c r="Z1788" s="137"/>
      <c r="AA1788" s="136"/>
      <c r="AB1788" s="566" t="str">
        <f t="shared" si="1028"/>
        <v/>
      </c>
      <c r="AC1788" s="568" t="str">
        <f t="shared" si="1029"/>
        <v/>
      </c>
      <c r="AD1788" s="137"/>
      <c r="AE1788" s="137"/>
      <c r="AF1788" s="138"/>
      <c r="AG1788" s="138"/>
      <c r="AH1788" s="592" t="str">
        <f t="shared" si="1030"/>
        <v/>
      </c>
      <c r="AI1788" s="592" t="str">
        <f t="shared" si="1031"/>
        <v/>
      </c>
      <c r="AJ1788" s="592" t="str">
        <f t="shared" si="1032"/>
        <v/>
      </c>
      <c r="AK1788" s="460" t="str">
        <f>IF(AU1788="","",IF(OR(AZ1788=8,AZ1788=9),0,IF(OR(AW1788=3,AW1788=4,AW1788=5,AW1788=6),IF(LEFT(BF1788,1)="1",INDEX(係数_NOX・PM低減,MATCH(AY1788,【参考】排出係数!$AI$801:$AI$804,1),1),VLOOKUP(AU1788,INDEX((係数_バス貨物_ガソリン,係数_バス貨物_CNG,係数_バス貨物_軽油,係数_バス貨物_メタノール,係数_バス貨物_LPG),MATCH(AY1788,【参考】排出係数!$AI$4:$AI$671,1),1,BE1788):INDEX((係数_バス貨物_ガソリン,係数_バス貨物_CNG,係数_バス貨物_軽油,係数_バス貨物_メタノール,係数_バス貨物_LPG),MATCH(AY1788+1,【参考】排出係数!$AI$4:$AI$671,1)-1,5,BE1788),4,FALSE)),IF(AND(BE1788=3,LEFT(BF1788,1)="1"),0.48,VLOOKUP(AU1788,INDEX((係数_乗用_ガソリン,係数_乗用_CNG,係数_乗用_軽油,係数_乗用_メタノール,係数_乗用_LPG),1,1,BE1788):INDEX((係数_乗用_ガソリン,係数_乗用_CNG,係数_乗用_軽油,係数_乗用_メタノール,係数_乗用_LPG),125,5,BE1788),4,FALSE)))))</f>
        <v/>
      </c>
      <c r="AL1788" s="461" t="str">
        <f t="shared" si="1033"/>
        <v/>
      </c>
      <c r="AM1788" s="460" t="str">
        <f>IF(AU1788="","",IF(OR(AZ1788=8,AZ1788=9),0,IF(OR(AW1788=3,AW1788=4,AW1788=5,AW1788=6),IF(LEFT(BH1788,1)="1",INDEX(係数_PM低減,MATCH(AY1788,【参考】排出係数!$AI$801:$AI$804,1),MATCH(BI1788,【参考】排出係数!$AL$798:$AO$798,1)),VLOOKUP(AU1788,INDEX((係数_バス貨物_ガソリン,係数_バス貨物_CNG,係数_バス貨物_軽油,係数_バス貨物_メタノール,係数_バス貨物_LPG),MATCH(AY1788,【参考】排出係数!$AI$4:$AI$671,1),1,BE1788):INDEX((係数_バス貨物_ガソリン,係数_バス貨物_CNG,係数_バス貨物_軽油,係数_バス貨物_メタノール,係数_バス貨物_LPG),MATCH(AY1788+1,【参考】排出係数!$AI$4:$AI$671,1)-1,5,BE1788),5,FALSE)),IF(AND(BE1788=3,LEFT(BF1788,1)="1"),0.055,VLOOKUP(AU1788,INDEX((係数_乗用_ガソリン,係数_乗用_CNG,係数_乗用_軽油,係数_乗用_メタノール,係数_乗用_LPG),1,1,BE1788):INDEX((係数_乗用_ガソリン,係数_乗用_CNG,係数_乗用_軽油,係数_乗用_メタノール,係数_乗用_LPG),125,5,BE1788),5,FALSE)))))</f>
        <v/>
      </c>
      <c r="AN1788" s="461" t="str">
        <f t="shared" si="1034"/>
        <v/>
      </c>
      <c r="AO1788" s="462" t="str">
        <f t="shared" si="1035"/>
        <v/>
      </c>
      <c r="AP1788" s="463" t="str">
        <f t="shared" si="1036"/>
        <v/>
      </c>
      <c r="AQ1788" s="464"/>
      <c r="AR1788" s="619"/>
      <c r="AS1788" s="465" t="str">
        <f t="shared" si="1044"/>
        <v/>
      </c>
      <c r="AT1788" s="465" t="str">
        <f t="shared" si="1045"/>
        <v/>
      </c>
      <c r="AU1788" s="466" t="str">
        <f t="shared" si="1046"/>
        <v/>
      </c>
      <c r="AV1788" s="467" t="str">
        <f t="shared" si="1047"/>
        <v/>
      </c>
      <c r="AW1788" s="467" t="str">
        <f t="shared" si="1048"/>
        <v/>
      </c>
      <c r="AX1788" s="467" t="str">
        <f t="shared" si="1049"/>
        <v/>
      </c>
      <c r="AY1788" s="467" t="str">
        <f t="shared" si="1050"/>
        <v/>
      </c>
      <c r="AZ1788" s="467" t="str">
        <f t="shared" si="1051"/>
        <v/>
      </c>
      <c r="BA1788" s="468" t="str">
        <f>IF(AS1788="","",IF(OR(AU1788="",AU1788="-"),"－",IF(OR(AZ1788=8,AZ1788=9),"",IF(OR(AW1788=3,AW1788=4,AW1788=5,AW1788=6),VLOOKUP(AU1788,INDEX((係数_バス貨物_ガソリン,係数_バス貨物_CNG,係数_バス貨物_軽油,係数_バス貨物_メタノール,係数_バス貨物_LPG),MATCH(AY1788,【参考】排出係数!$AI$4:$AI$671,1),1,BE1788):INDEX((係数_バス貨物_ガソリン,係数_バス貨物_CNG,係数_バス貨物_軽油,係数_バス貨物_メタノール,係数_バス貨物_LPG),MATCH(AY1788+1,【参考】排出係数!$AI$4:$AI$671,1)-1,5,BE1788),2,FALSE),IF(OR(AW1788=1,AW1788=2),VLOOKUP(AU1788,INDEX((係数_乗用_ガソリン,係数_乗用_CNG,係数_乗用_軽油,係数_乗用_メタノール,係数_乗用_LPG),1,1,BE1788):INDEX((係数_乗用_ガソリン,係数_乗用_CNG,係数_乗用_軽油,係数_乗用_メタノール,係数_乗用_LPG),125,5,BE1788),2,FALSE))))))</f>
        <v/>
      </c>
      <c r="BB1788" s="468" t="str">
        <f>IF(T1788="","",IF(OR(AU1788="",AU1788="-"),"－",IF(OR(AZ1788=8,AZ1788=9),"",IF(OR(AW1788=3,AW1788=4,AW1788=5,AW1788=6),VLOOKUP(AU1788,INDEX((係数_バス貨物_ガソリン,係数_バス貨物_CNG,係数_バス貨物_軽油,係数_バス貨物_メタノール,係数_バス貨物_LPG),MATCH(AY1788,【参考】排出係数!$AI$4:$AI$671,1),1,BE1788):INDEX((係数_バス貨物_ガソリン,係数_バス貨物_CNG,係数_バス貨物_軽油,係数_バス貨物_メタノール,係数_バス貨物_LPG),MATCH(AY1788+1,【参考】排出係数!$AI$4:$AI$671,1)-1,5,BE1788),3,FALSE),IF(OR(AW1788=1,AW1788=2),VLOOKUP(AU1788,INDEX((係数_乗用_ガソリン,係数_乗用_CNG,係数_乗用_軽油,係数_乗用_メタノール,係数_乗用_LPG),1,1,BE1788):INDEX((係数_乗用_ガソリン,係数_乗用_CNG,係数_乗用_軽油,係数_乗用_メタノール,係数_乗用_LPG),125,5,BE1788),3,FALSE))))))</f>
        <v/>
      </c>
      <c r="BC1788" s="467" t="str">
        <f t="shared" si="1052"/>
        <v/>
      </c>
      <c r="BD1788" s="567" t="str">
        <f t="shared" si="1053"/>
        <v/>
      </c>
      <c r="BE1788" s="467" t="str">
        <f t="shared" si="1054"/>
        <v/>
      </c>
      <c r="BF1788" s="469" t="str">
        <f t="shared" ca="1" si="1055"/>
        <v/>
      </c>
      <c r="BG1788" s="469" t="str">
        <f t="shared" ca="1" si="1056"/>
        <v/>
      </c>
      <c r="BH1788" s="467" t="str">
        <f t="shared" si="1057"/>
        <v/>
      </c>
      <c r="BI1788" s="467" t="str">
        <f t="shared" ca="1" si="1058"/>
        <v/>
      </c>
      <c r="BJ1788" s="469" t="str">
        <f t="shared" si="1059"/>
        <v/>
      </c>
      <c r="BK1788" s="470" t="str">
        <f t="shared" si="1043"/>
        <v/>
      </c>
      <c r="BL1788" s="775" t="str">
        <f t="shared" si="1060"/>
        <v/>
      </c>
      <c r="BM1788" s="775" t="str">
        <f t="shared" si="1061"/>
        <v/>
      </c>
    </row>
    <row r="1789" spans="1:65">
      <c r="A1789" s="473">
        <v>1733</v>
      </c>
      <c r="B1789" s="132"/>
      <c r="C1789" s="332"/>
      <c r="D1789" s="333"/>
      <c r="E1789" s="333"/>
      <c r="F1789" s="334"/>
      <c r="G1789" s="337"/>
      <c r="H1789" s="131"/>
      <c r="I1789" s="337"/>
      <c r="J1789" s="131"/>
      <c r="K1789" s="458" t="str">
        <f t="shared" si="1024"/>
        <v/>
      </c>
      <c r="L1789" s="458">
        <f t="shared" si="1025"/>
        <v>0</v>
      </c>
      <c r="M1789" s="458">
        <f t="shared" si="1026"/>
        <v>0</v>
      </c>
      <c r="N1789" s="459" t="str">
        <f t="shared" si="1037"/>
        <v/>
      </c>
      <c r="O1789" s="459" t="str">
        <f t="shared" si="1038"/>
        <v/>
      </c>
      <c r="P1789" s="459" t="str">
        <f t="shared" si="1039"/>
        <v/>
      </c>
      <c r="Q1789" s="459" t="str">
        <f t="shared" si="1040"/>
        <v/>
      </c>
      <c r="R1789" s="459" t="str">
        <f t="shared" si="1041"/>
        <v/>
      </c>
      <c r="S1789" s="459" t="str">
        <f t="shared" si="1042"/>
        <v/>
      </c>
      <c r="T1789" s="566" t="str">
        <f t="shared" si="1027"/>
        <v/>
      </c>
      <c r="U1789" s="702"/>
      <c r="V1789" s="132"/>
      <c r="W1789" s="133"/>
      <c r="X1789" s="134"/>
      <c r="Y1789" s="135"/>
      <c r="Z1789" s="137"/>
      <c r="AA1789" s="136"/>
      <c r="AB1789" s="566" t="str">
        <f t="shared" si="1028"/>
        <v/>
      </c>
      <c r="AC1789" s="568" t="str">
        <f t="shared" si="1029"/>
        <v/>
      </c>
      <c r="AD1789" s="137"/>
      <c r="AE1789" s="137"/>
      <c r="AF1789" s="138"/>
      <c r="AG1789" s="138"/>
      <c r="AH1789" s="592" t="str">
        <f t="shared" si="1030"/>
        <v/>
      </c>
      <c r="AI1789" s="592" t="str">
        <f t="shared" si="1031"/>
        <v/>
      </c>
      <c r="AJ1789" s="592" t="str">
        <f t="shared" si="1032"/>
        <v/>
      </c>
      <c r="AK1789" s="460" t="str">
        <f>IF(AU1789="","",IF(OR(AZ1789=8,AZ1789=9),0,IF(OR(AW1789=3,AW1789=4,AW1789=5,AW1789=6),IF(LEFT(BF1789,1)="1",INDEX(係数_NOX・PM低減,MATCH(AY1789,【参考】排出係数!$AI$801:$AI$804,1),1),VLOOKUP(AU1789,INDEX((係数_バス貨物_ガソリン,係数_バス貨物_CNG,係数_バス貨物_軽油,係数_バス貨物_メタノール,係数_バス貨物_LPG),MATCH(AY1789,【参考】排出係数!$AI$4:$AI$671,1),1,BE1789):INDEX((係数_バス貨物_ガソリン,係数_バス貨物_CNG,係数_バス貨物_軽油,係数_バス貨物_メタノール,係数_バス貨物_LPG),MATCH(AY1789+1,【参考】排出係数!$AI$4:$AI$671,1)-1,5,BE1789),4,FALSE)),IF(AND(BE1789=3,LEFT(BF1789,1)="1"),0.48,VLOOKUP(AU1789,INDEX((係数_乗用_ガソリン,係数_乗用_CNG,係数_乗用_軽油,係数_乗用_メタノール,係数_乗用_LPG),1,1,BE1789):INDEX((係数_乗用_ガソリン,係数_乗用_CNG,係数_乗用_軽油,係数_乗用_メタノール,係数_乗用_LPG),125,5,BE1789),4,FALSE)))))</f>
        <v/>
      </c>
      <c r="AL1789" s="461" t="str">
        <f t="shared" si="1033"/>
        <v/>
      </c>
      <c r="AM1789" s="460" t="str">
        <f>IF(AU1789="","",IF(OR(AZ1789=8,AZ1789=9),0,IF(OR(AW1789=3,AW1789=4,AW1789=5,AW1789=6),IF(LEFT(BH1789,1)="1",INDEX(係数_PM低減,MATCH(AY1789,【参考】排出係数!$AI$801:$AI$804,1),MATCH(BI1789,【参考】排出係数!$AL$798:$AO$798,1)),VLOOKUP(AU1789,INDEX((係数_バス貨物_ガソリン,係数_バス貨物_CNG,係数_バス貨物_軽油,係数_バス貨物_メタノール,係数_バス貨物_LPG),MATCH(AY1789,【参考】排出係数!$AI$4:$AI$671,1),1,BE1789):INDEX((係数_バス貨物_ガソリン,係数_バス貨物_CNG,係数_バス貨物_軽油,係数_バス貨物_メタノール,係数_バス貨物_LPG),MATCH(AY1789+1,【参考】排出係数!$AI$4:$AI$671,1)-1,5,BE1789),5,FALSE)),IF(AND(BE1789=3,LEFT(BF1789,1)="1"),0.055,VLOOKUP(AU1789,INDEX((係数_乗用_ガソリン,係数_乗用_CNG,係数_乗用_軽油,係数_乗用_メタノール,係数_乗用_LPG),1,1,BE1789):INDEX((係数_乗用_ガソリン,係数_乗用_CNG,係数_乗用_軽油,係数_乗用_メタノール,係数_乗用_LPG),125,5,BE1789),5,FALSE)))))</f>
        <v/>
      </c>
      <c r="AN1789" s="461" t="str">
        <f t="shared" si="1034"/>
        <v/>
      </c>
      <c r="AO1789" s="462" t="str">
        <f t="shared" si="1035"/>
        <v/>
      </c>
      <c r="AP1789" s="463" t="str">
        <f t="shared" si="1036"/>
        <v/>
      </c>
      <c r="AQ1789" s="464"/>
      <c r="AR1789" s="619"/>
      <c r="AS1789" s="465" t="str">
        <f t="shared" si="1044"/>
        <v/>
      </c>
      <c r="AT1789" s="465" t="str">
        <f t="shared" si="1045"/>
        <v/>
      </c>
      <c r="AU1789" s="466" t="str">
        <f t="shared" si="1046"/>
        <v/>
      </c>
      <c r="AV1789" s="467" t="str">
        <f t="shared" si="1047"/>
        <v/>
      </c>
      <c r="AW1789" s="467" t="str">
        <f t="shared" si="1048"/>
        <v/>
      </c>
      <c r="AX1789" s="467" t="str">
        <f t="shared" si="1049"/>
        <v/>
      </c>
      <c r="AY1789" s="467" t="str">
        <f t="shared" si="1050"/>
        <v/>
      </c>
      <c r="AZ1789" s="467" t="str">
        <f t="shared" si="1051"/>
        <v/>
      </c>
      <c r="BA1789" s="468" t="str">
        <f>IF(AS1789="","",IF(OR(AU1789="",AU1789="-"),"－",IF(OR(AZ1789=8,AZ1789=9),"",IF(OR(AW1789=3,AW1789=4,AW1789=5,AW1789=6),VLOOKUP(AU1789,INDEX((係数_バス貨物_ガソリン,係数_バス貨物_CNG,係数_バス貨物_軽油,係数_バス貨物_メタノール,係数_バス貨物_LPG),MATCH(AY1789,【参考】排出係数!$AI$4:$AI$671,1),1,BE1789):INDEX((係数_バス貨物_ガソリン,係数_バス貨物_CNG,係数_バス貨物_軽油,係数_バス貨物_メタノール,係数_バス貨物_LPG),MATCH(AY1789+1,【参考】排出係数!$AI$4:$AI$671,1)-1,5,BE1789),2,FALSE),IF(OR(AW1789=1,AW1789=2),VLOOKUP(AU1789,INDEX((係数_乗用_ガソリン,係数_乗用_CNG,係数_乗用_軽油,係数_乗用_メタノール,係数_乗用_LPG),1,1,BE1789):INDEX((係数_乗用_ガソリン,係数_乗用_CNG,係数_乗用_軽油,係数_乗用_メタノール,係数_乗用_LPG),125,5,BE1789),2,FALSE))))))</f>
        <v/>
      </c>
      <c r="BB1789" s="468" t="str">
        <f>IF(T1789="","",IF(OR(AU1789="",AU1789="-"),"－",IF(OR(AZ1789=8,AZ1789=9),"",IF(OR(AW1789=3,AW1789=4,AW1789=5,AW1789=6),VLOOKUP(AU1789,INDEX((係数_バス貨物_ガソリン,係数_バス貨物_CNG,係数_バス貨物_軽油,係数_バス貨物_メタノール,係数_バス貨物_LPG),MATCH(AY1789,【参考】排出係数!$AI$4:$AI$671,1),1,BE1789):INDEX((係数_バス貨物_ガソリン,係数_バス貨物_CNG,係数_バス貨物_軽油,係数_バス貨物_メタノール,係数_バス貨物_LPG),MATCH(AY1789+1,【参考】排出係数!$AI$4:$AI$671,1)-1,5,BE1789),3,FALSE),IF(OR(AW1789=1,AW1789=2),VLOOKUP(AU1789,INDEX((係数_乗用_ガソリン,係数_乗用_CNG,係数_乗用_軽油,係数_乗用_メタノール,係数_乗用_LPG),1,1,BE1789):INDEX((係数_乗用_ガソリン,係数_乗用_CNG,係数_乗用_軽油,係数_乗用_メタノール,係数_乗用_LPG),125,5,BE1789),3,FALSE))))))</f>
        <v/>
      </c>
      <c r="BC1789" s="467" t="str">
        <f t="shared" si="1052"/>
        <v/>
      </c>
      <c r="BD1789" s="567" t="str">
        <f t="shared" si="1053"/>
        <v/>
      </c>
      <c r="BE1789" s="467" t="str">
        <f t="shared" si="1054"/>
        <v/>
      </c>
      <c r="BF1789" s="469" t="str">
        <f t="shared" ca="1" si="1055"/>
        <v/>
      </c>
      <c r="BG1789" s="469" t="str">
        <f t="shared" ca="1" si="1056"/>
        <v/>
      </c>
      <c r="BH1789" s="467" t="str">
        <f t="shared" si="1057"/>
        <v/>
      </c>
      <c r="BI1789" s="467" t="str">
        <f t="shared" ca="1" si="1058"/>
        <v/>
      </c>
      <c r="BJ1789" s="469" t="str">
        <f t="shared" si="1059"/>
        <v/>
      </c>
      <c r="BK1789" s="470" t="str">
        <f t="shared" si="1043"/>
        <v/>
      </c>
      <c r="BL1789" s="775" t="str">
        <f t="shared" si="1060"/>
        <v/>
      </c>
      <c r="BM1789" s="775" t="str">
        <f t="shared" si="1061"/>
        <v/>
      </c>
    </row>
    <row r="1790" spans="1:65">
      <c r="A1790" s="473">
        <v>1734</v>
      </c>
      <c r="B1790" s="132"/>
      <c r="C1790" s="332"/>
      <c r="D1790" s="333"/>
      <c r="E1790" s="333"/>
      <c r="F1790" s="334"/>
      <c r="G1790" s="337"/>
      <c r="H1790" s="131"/>
      <c r="I1790" s="337"/>
      <c r="J1790" s="131"/>
      <c r="K1790" s="458" t="str">
        <f t="shared" si="1024"/>
        <v/>
      </c>
      <c r="L1790" s="458">
        <f t="shared" si="1025"/>
        <v>0</v>
      </c>
      <c r="M1790" s="458">
        <f t="shared" si="1026"/>
        <v>0</v>
      </c>
      <c r="N1790" s="459" t="str">
        <f t="shared" si="1037"/>
        <v/>
      </c>
      <c r="O1790" s="459" t="str">
        <f t="shared" si="1038"/>
        <v/>
      </c>
      <c r="P1790" s="459" t="str">
        <f t="shared" si="1039"/>
        <v/>
      </c>
      <c r="Q1790" s="459" t="str">
        <f t="shared" si="1040"/>
        <v/>
      </c>
      <c r="R1790" s="459" t="str">
        <f t="shared" si="1041"/>
        <v/>
      </c>
      <c r="S1790" s="459" t="str">
        <f t="shared" si="1042"/>
        <v/>
      </c>
      <c r="T1790" s="566" t="str">
        <f t="shared" si="1027"/>
        <v/>
      </c>
      <c r="U1790" s="702"/>
      <c r="V1790" s="132"/>
      <c r="W1790" s="133"/>
      <c r="X1790" s="134"/>
      <c r="Y1790" s="135"/>
      <c r="Z1790" s="137"/>
      <c r="AA1790" s="136"/>
      <c r="AB1790" s="566" t="str">
        <f t="shared" si="1028"/>
        <v/>
      </c>
      <c r="AC1790" s="568" t="str">
        <f t="shared" si="1029"/>
        <v/>
      </c>
      <c r="AD1790" s="137"/>
      <c r="AE1790" s="137"/>
      <c r="AF1790" s="138"/>
      <c r="AG1790" s="138"/>
      <c r="AH1790" s="592" t="str">
        <f t="shared" si="1030"/>
        <v/>
      </c>
      <c r="AI1790" s="592" t="str">
        <f t="shared" si="1031"/>
        <v/>
      </c>
      <c r="AJ1790" s="592" t="str">
        <f t="shared" si="1032"/>
        <v/>
      </c>
      <c r="AK1790" s="460" t="str">
        <f>IF(AU1790="","",IF(OR(AZ1790=8,AZ1790=9),0,IF(OR(AW1790=3,AW1790=4,AW1790=5,AW1790=6),IF(LEFT(BF1790,1)="1",INDEX(係数_NOX・PM低減,MATCH(AY1790,【参考】排出係数!$AI$801:$AI$804,1),1),VLOOKUP(AU1790,INDEX((係数_バス貨物_ガソリン,係数_バス貨物_CNG,係数_バス貨物_軽油,係数_バス貨物_メタノール,係数_バス貨物_LPG),MATCH(AY1790,【参考】排出係数!$AI$4:$AI$671,1),1,BE1790):INDEX((係数_バス貨物_ガソリン,係数_バス貨物_CNG,係数_バス貨物_軽油,係数_バス貨物_メタノール,係数_バス貨物_LPG),MATCH(AY1790+1,【参考】排出係数!$AI$4:$AI$671,1)-1,5,BE1790),4,FALSE)),IF(AND(BE1790=3,LEFT(BF1790,1)="1"),0.48,VLOOKUP(AU1790,INDEX((係数_乗用_ガソリン,係数_乗用_CNG,係数_乗用_軽油,係数_乗用_メタノール,係数_乗用_LPG),1,1,BE1790):INDEX((係数_乗用_ガソリン,係数_乗用_CNG,係数_乗用_軽油,係数_乗用_メタノール,係数_乗用_LPG),125,5,BE1790),4,FALSE)))))</f>
        <v/>
      </c>
      <c r="AL1790" s="461" t="str">
        <f t="shared" si="1033"/>
        <v/>
      </c>
      <c r="AM1790" s="460" t="str">
        <f>IF(AU1790="","",IF(OR(AZ1790=8,AZ1790=9),0,IF(OR(AW1790=3,AW1790=4,AW1790=5,AW1790=6),IF(LEFT(BH1790,1)="1",INDEX(係数_PM低減,MATCH(AY1790,【参考】排出係数!$AI$801:$AI$804,1),MATCH(BI1790,【参考】排出係数!$AL$798:$AO$798,1)),VLOOKUP(AU1790,INDEX((係数_バス貨物_ガソリン,係数_バス貨物_CNG,係数_バス貨物_軽油,係数_バス貨物_メタノール,係数_バス貨物_LPG),MATCH(AY1790,【参考】排出係数!$AI$4:$AI$671,1),1,BE1790):INDEX((係数_バス貨物_ガソリン,係数_バス貨物_CNG,係数_バス貨物_軽油,係数_バス貨物_メタノール,係数_バス貨物_LPG),MATCH(AY1790+1,【参考】排出係数!$AI$4:$AI$671,1)-1,5,BE1790),5,FALSE)),IF(AND(BE1790=3,LEFT(BF1790,1)="1"),0.055,VLOOKUP(AU1790,INDEX((係数_乗用_ガソリン,係数_乗用_CNG,係数_乗用_軽油,係数_乗用_メタノール,係数_乗用_LPG),1,1,BE1790):INDEX((係数_乗用_ガソリン,係数_乗用_CNG,係数_乗用_軽油,係数_乗用_メタノール,係数_乗用_LPG),125,5,BE1790),5,FALSE)))))</f>
        <v/>
      </c>
      <c r="AN1790" s="461" t="str">
        <f t="shared" si="1034"/>
        <v/>
      </c>
      <c r="AO1790" s="462" t="str">
        <f t="shared" si="1035"/>
        <v/>
      </c>
      <c r="AP1790" s="463" t="str">
        <f t="shared" si="1036"/>
        <v/>
      </c>
      <c r="AQ1790" s="464"/>
      <c r="AR1790" s="619"/>
      <c r="AS1790" s="465" t="str">
        <f t="shared" si="1044"/>
        <v/>
      </c>
      <c r="AT1790" s="465" t="str">
        <f t="shared" si="1045"/>
        <v/>
      </c>
      <c r="AU1790" s="466" t="str">
        <f t="shared" si="1046"/>
        <v/>
      </c>
      <c r="AV1790" s="467" t="str">
        <f t="shared" si="1047"/>
        <v/>
      </c>
      <c r="AW1790" s="467" t="str">
        <f t="shared" si="1048"/>
        <v/>
      </c>
      <c r="AX1790" s="467" t="str">
        <f t="shared" si="1049"/>
        <v/>
      </c>
      <c r="AY1790" s="467" t="str">
        <f t="shared" si="1050"/>
        <v/>
      </c>
      <c r="AZ1790" s="467" t="str">
        <f t="shared" si="1051"/>
        <v/>
      </c>
      <c r="BA1790" s="468" t="str">
        <f>IF(AS1790="","",IF(OR(AU1790="",AU1790="-"),"－",IF(OR(AZ1790=8,AZ1790=9),"",IF(OR(AW1790=3,AW1790=4,AW1790=5,AW1790=6),VLOOKUP(AU1790,INDEX((係数_バス貨物_ガソリン,係数_バス貨物_CNG,係数_バス貨物_軽油,係数_バス貨物_メタノール,係数_バス貨物_LPG),MATCH(AY1790,【参考】排出係数!$AI$4:$AI$671,1),1,BE1790):INDEX((係数_バス貨物_ガソリン,係数_バス貨物_CNG,係数_バス貨物_軽油,係数_バス貨物_メタノール,係数_バス貨物_LPG),MATCH(AY1790+1,【参考】排出係数!$AI$4:$AI$671,1)-1,5,BE1790),2,FALSE),IF(OR(AW1790=1,AW1790=2),VLOOKUP(AU1790,INDEX((係数_乗用_ガソリン,係数_乗用_CNG,係数_乗用_軽油,係数_乗用_メタノール,係数_乗用_LPG),1,1,BE1790):INDEX((係数_乗用_ガソリン,係数_乗用_CNG,係数_乗用_軽油,係数_乗用_メタノール,係数_乗用_LPG),125,5,BE1790),2,FALSE))))))</f>
        <v/>
      </c>
      <c r="BB1790" s="468" t="str">
        <f>IF(T1790="","",IF(OR(AU1790="",AU1790="-"),"－",IF(OR(AZ1790=8,AZ1790=9),"",IF(OR(AW1790=3,AW1790=4,AW1790=5,AW1790=6),VLOOKUP(AU1790,INDEX((係数_バス貨物_ガソリン,係数_バス貨物_CNG,係数_バス貨物_軽油,係数_バス貨物_メタノール,係数_バス貨物_LPG),MATCH(AY1790,【参考】排出係数!$AI$4:$AI$671,1),1,BE1790):INDEX((係数_バス貨物_ガソリン,係数_バス貨物_CNG,係数_バス貨物_軽油,係数_バス貨物_メタノール,係数_バス貨物_LPG),MATCH(AY1790+1,【参考】排出係数!$AI$4:$AI$671,1)-1,5,BE1790),3,FALSE),IF(OR(AW1790=1,AW1790=2),VLOOKUP(AU1790,INDEX((係数_乗用_ガソリン,係数_乗用_CNG,係数_乗用_軽油,係数_乗用_メタノール,係数_乗用_LPG),1,1,BE1790):INDEX((係数_乗用_ガソリン,係数_乗用_CNG,係数_乗用_軽油,係数_乗用_メタノール,係数_乗用_LPG),125,5,BE1790),3,FALSE))))))</f>
        <v/>
      </c>
      <c r="BC1790" s="467" t="str">
        <f t="shared" si="1052"/>
        <v/>
      </c>
      <c r="BD1790" s="567" t="str">
        <f t="shared" si="1053"/>
        <v/>
      </c>
      <c r="BE1790" s="467" t="str">
        <f t="shared" si="1054"/>
        <v/>
      </c>
      <c r="BF1790" s="469" t="str">
        <f t="shared" ca="1" si="1055"/>
        <v/>
      </c>
      <c r="BG1790" s="469" t="str">
        <f t="shared" ca="1" si="1056"/>
        <v/>
      </c>
      <c r="BH1790" s="467" t="str">
        <f t="shared" si="1057"/>
        <v/>
      </c>
      <c r="BI1790" s="467" t="str">
        <f t="shared" ca="1" si="1058"/>
        <v/>
      </c>
      <c r="BJ1790" s="469" t="str">
        <f t="shared" si="1059"/>
        <v/>
      </c>
      <c r="BK1790" s="470" t="str">
        <f t="shared" si="1043"/>
        <v/>
      </c>
      <c r="BL1790" s="775" t="str">
        <f t="shared" si="1060"/>
        <v/>
      </c>
      <c r="BM1790" s="775" t="str">
        <f t="shared" si="1061"/>
        <v/>
      </c>
    </row>
    <row r="1791" spans="1:65">
      <c r="A1791" s="473">
        <v>1735</v>
      </c>
      <c r="B1791" s="132"/>
      <c r="C1791" s="332"/>
      <c r="D1791" s="333"/>
      <c r="E1791" s="333"/>
      <c r="F1791" s="334"/>
      <c r="G1791" s="337"/>
      <c r="H1791" s="131"/>
      <c r="I1791" s="337"/>
      <c r="J1791" s="131"/>
      <c r="K1791" s="458" t="str">
        <f t="shared" si="1024"/>
        <v/>
      </c>
      <c r="L1791" s="458">
        <f t="shared" si="1025"/>
        <v>0</v>
      </c>
      <c r="M1791" s="458">
        <f t="shared" si="1026"/>
        <v>0</v>
      </c>
      <c r="N1791" s="459" t="str">
        <f t="shared" si="1037"/>
        <v/>
      </c>
      <c r="O1791" s="459" t="str">
        <f t="shared" si="1038"/>
        <v/>
      </c>
      <c r="P1791" s="459" t="str">
        <f t="shared" si="1039"/>
        <v/>
      </c>
      <c r="Q1791" s="459" t="str">
        <f t="shared" si="1040"/>
        <v/>
      </c>
      <c r="R1791" s="459" t="str">
        <f t="shared" si="1041"/>
        <v/>
      </c>
      <c r="S1791" s="459" t="str">
        <f t="shared" si="1042"/>
        <v/>
      </c>
      <c r="T1791" s="566" t="str">
        <f t="shared" si="1027"/>
        <v/>
      </c>
      <c r="U1791" s="702"/>
      <c r="V1791" s="132"/>
      <c r="W1791" s="133"/>
      <c r="X1791" s="134"/>
      <c r="Y1791" s="135"/>
      <c r="Z1791" s="137"/>
      <c r="AA1791" s="136"/>
      <c r="AB1791" s="566" t="str">
        <f t="shared" si="1028"/>
        <v/>
      </c>
      <c r="AC1791" s="568" t="str">
        <f t="shared" si="1029"/>
        <v/>
      </c>
      <c r="AD1791" s="137"/>
      <c r="AE1791" s="137"/>
      <c r="AF1791" s="138"/>
      <c r="AG1791" s="138"/>
      <c r="AH1791" s="592" t="str">
        <f t="shared" si="1030"/>
        <v/>
      </c>
      <c r="AI1791" s="592" t="str">
        <f t="shared" si="1031"/>
        <v/>
      </c>
      <c r="AJ1791" s="592" t="str">
        <f t="shared" si="1032"/>
        <v/>
      </c>
      <c r="AK1791" s="460" t="str">
        <f>IF(AU1791="","",IF(OR(AZ1791=8,AZ1791=9),0,IF(OR(AW1791=3,AW1791=4,AW1791=5,AW1791=6),IF(LEFT(BF1791,1)="1",INDEX(係数_NOX・PM低減,MATCH(AY1791,【参考】排出係数!$AI$801:$AI$804,1),1),VLOOKUP(AU1791,INDEX((係数_バス貨物_ガソリン,係数_バス貨物_CNG,係数_バス貨物_軽油,係数_バス貨物_メタノール,係数_バス貨物_LPG),MATCH(AY1791,【参考】排出係数!$AI$4:$AI$671,1),1,BE1791):INDEX((係数_バス貨物_ガソリン,係数_バス貨物_CNG,係数_バス貨物_軽油,係数_バス貨物_メタノール,係数_バス貨物_LPG),MATCH(AY1791+1,【参考】排出係数!$AI$4:$AI$671,1)-1,5,BE1791),4,FALSE)),IF(AND(BE1791=3,LEFT(BF1791,1)="1"),0.48,VLOOKUP(AU1791,INDEX((係数_乗用_ガソリン,係数_乗用_CNG,係数_乗用_軽油,係数_乗用_メタノール,係数_乗用_LPG),1,1,BE1791):INDEX((係数_乗用_ガソリン,係数_乗用_CNG,係数_乗用_軽油,係数_乗用_メタノール,係数_乗用_LPG),125,5,BE1791),4,FALSE)))))</f>
        <v/>
      </c>
      <c r="AL1791" s="461" t="str">
        <f t="shared" si="1033"/>
        <v/>
      </c>
      <c r="AM1791" s="460" t="str">
        <f>IF(AU1791="","",IF(OR(AZ1791=8,AZ1791=9),0,IF(OR(AW1791=3,AW1791=4,AW1791=5,AW1791=6),IF(LEFT(BH1791,1)="1",INDEX(係数_PM低減,MATCH(AY1791,【参考】排出係数!$AI$801:$AI$804,1),MATCH(BI1791,【参考】排出係数!$AL$798:$AO$798,1)),VLOOKUP(AU1791,INDEX((係数_バス貨物_ガソリン,係数_バス貨物_CNG,係数_バス貨物_軽油,係数_バス貨物_メタノール,係数_バス貨物_LPG),MATCH(AY1791,【参考】排出係数!$AI$4:$AI$671,1),1,BE1791):INDEX((係数_バス貨物_ガソリン,係数_バス貨物_CNG,係数_バス貨物_軽油,係数_バス貨物_メタノール,係数_バス貨物_LPG),MATCH(AY1791+1,【参考】排出係数!$AI$4:$AI$671,1)-1,5,BE1791),5,FALSE)),IF(AND(BE1791=3,LEFT(BF1791,1)="1"),0.055,VLOOKUP(AU1791,INDEX((係数_乗用_ガソリン,係数_乗用_CNG,係数_乗用_軽油,係数_乗用_メタノール,係数_乗用_LPG),1,1,BE1791):INDEX((係数_乗用_ガソリン,係数_乗用_CNG,係数_乗用_軽油,係数_乗用_メタノール,係数_乗用_LPG),125,5,BE1791),5,FALSE)))))</f>
        <v/>
      </c>
      <c r="AN1791" s="461" t="str">
        <f t="shared" si="1034"/>
        <v/>
      </c>
      <c r="AO1791" s="462" t="str">
        <f t="shared" si="1035"/>
        <v/>
      </c>
      <c r="AP1791" s="463" t="str">
        <f t="shared" si="1036"/>
        <v/>
      </c>
      <c r="AQ1791" s="464"/>
      <c r="AR1791" s="619"/>
      <c r="AS1791" s="465" t="str">
        <f t="shared" si="1044"/>
        <v/>
      </c>
      <c r="AT1791" s="465" t="str">
        <f t="shared" si="1045"/>
        <v/>
      </c>
      <c r="AU1791" s="466" t="str">
        <f t="shared" si="1046"/>
        <v/>
      </c>
      <c r="AV1791" s="467" t="str">
        <f t="shared" si="1047"/>
        <v/>
      </c>
      <c r="AW1791" s="467" t="str">
        <f t="shared" si="1048"/>
        <v/>
      </c>
      <c r="AX1791" s="467" t="str">
        <f t="shared" si="1049"/>
        <v/>
      </c>
      <c r="AY1791" s="467" t="str">
        <f t="shared" si="1050"/>
        <v/>
      </c>
      <c r="AZ1791" s="467" t="str">
        <f t="shared" si="1051"/>
        <v/>
      </c>
      <c r="BA1791" s="468" t="str">
        <f>IF(AS1791="","",IF(OR(AU1791="",AU1791="-"),"－",IF(OR(AZ1791=8,AZ1791=9),"",IF(OR(AW1791=3,AW1791=4,AW1791=5,AW1791=6),VLOOKUP(AU1791,INDEX((係数_バス貨物_ガソリン,係数_バス貨物_CNG,係数_バス貨物_軽油,係数_バス貨物_メタノール,係数_バス貨物_LPG),MATCH(AY1791,【参考】排出係数!$AI$4:$AI$671,1),1,BE1791):INDEX((係数_バス貨物_ガソリン,係数_バス貨物_CNG,係数_バス貨物_軽油,係数_バス貨物_メタノール,係数_バス貨物_LPG),MATCH(AY1791+1,【参考】排出係数!$AI$4:$AI$671,1)-1,5,BE1791),2,FALSE),IF(OR(AW1791=1,AW1791=2),VLOOKUP(AU1791,INDEX((係数_乗用_ガソリン,係数_乗用_CNG,係数_乗用_軽油,係数_乗用_メタノール,係数_乗用_LPG),1,1,BE1791):INDEX((係数_乗用_ガソリン,係数_乗用_CNG,係数_乗用_軽油,係数_乗用_メタノール,係数_乗用_LPG),125,5,BE1791),2,FALSE))))))</f>
        <v/>
      </c>
      <c r="BB1791" s="468" t="str">
        <f>IF(T1791="","",IF(OR(AU1791="",AU1791="-"),"－",IF(OR(AZ1791=8,AZ1791=9),"",IF(OR(AW1791=3,AW1791=4,AW1791=5,AW1791=6),VLOOKUP(AU1791,INDEX((係数_バス貨物_ガソリン,係数_バス貨物_CNG,係数_バス貨物_軽油,係数_バス貨物_メタノール,係数_バス貨物_LPG),MATCH(AY1791,【参考】排出係数!$AI$4:$AI$671,1),1,BE1791):INDEX((係数_バス貨物_ガソリン,係数_バス貨物_CNG,係数_バス貨物_軽油,係数_バス貨物_メタノール,係数_バス貨物_LPG),MATCH(AY1791+1,【参考】排出係数!$AI$4:$AI$671,1)-1,5,BE1791),3,FALSE),IF(OR(AW1791=1,AW1791=2),VLOOKUP(AU1791,INDEX((係数_乗用_ガソリン,係数_乗用_CNG,係数_乗用_軽油,係数_乗用_メタノール,係数_乗用_LPG),1,1,BE1791):INDEX((係数_乗用_ガソリン,係数_乗用_CNG,係数_乗用_軽油,係数_乗用_メタノール,係数_乗用_LPG),125,5,BE1791),3,FALSE))))))</f>
        <v/>
      </c>
      <c r="BC1791" s="467" t="str">
        <f t="shared" si="1052"/>
        <v/>
      </c>
      <c r="BD1791" s="567" t="str">
        <f t="shared" si="1053"/>
        <v/>
      </c>
      <c r="BE1791" s="467" t="str">
        <f t="shared" si="1054"/>
        <v/>
      </c>
      <c r="BF1791" s="469" t="str">
        <f t="shared" ca="1" si="1055"/>
        <v/>
      </c>
      <c r="BG1791" s="469" t="str">
        <f t="shared" ca="1" si="1056"/>
        <v/>
      </c>
      <c r="BH1791" s="467" t="str">
        <f t="shared" si="1057"/>
        <v/>
      </c>
      <c r="BI1791" s="467" t="str">
        <f t="shared" ca="1" si="1058"/>
        <v/>
      </c>
      <c r="BJ1791" s="469" t="str">
        <f t="shared" si="1059"/>
        <v/>
      </c>
      <c r="BK1791" s="470" t="str">
        <f t="shared" si="1043"/>
        <v/>
      </c>
      <c r="BL1791" s="775" t="str">
        <f t="shared" si="1060"/>
        <v/>
      </c>
      <c r="BM1791" s="775" t="str">
        <f t="shared" si="1061"/>
        <v/>
      </c>
    </row>
    <row r="1792" spans="1:65">
      <c r="A1792" s="473">
        <v>1736</v>
      </c>
      <c r="B1792" s="132"/>
      <c r="C1792" s="332"/>
      <c r="D1792" s="333"/>
      <c r="E1792" s="333"/>
      <c r="F1792" s="334"/>
      <c r="G1792" s="337"/>
      <c r="H1792" s="131"/>
      <c r="I1792" s="337"/>
      <c r="J1792" s="131"/>
      <c r="K1792" s="458" t="str">
        <f t="shared" si="1024"/>
        <v/>
      </c>
      <c r="L1792" s="458">
        <f t="shared" si="1025"/>
        <v>0</v>
      </c>
      <c r="M1792" s="458">
        <f t="shared" si="1026"/>
        <v>0</v>
      </c>
      <c r="N1792" s="459" t="str">
        <f t="shared" si="1037"/>
        <v/>
      </c>
      <c r="O1792" s="459" t="str">
        <f t="shared" si="1038"/>
        <v/>
      </c>
      <c r="P1792" s="459" t="str">
        <f t="shared" si="1039"/>
        <v/>
      </c>
      <c r="Q1792" s="459" t="str">
        <f t="shared" si="1040"/>
        <v/>
      </c>
      <c r="R1792" s="459" t="str">
        <f t="shared" si="1041"/>
        <v/>
      </c>
      <c r="S1792" s="459" t="str">
        <f t="shared" si="1042"/>
        <v/>
      </c>
      <c r="T1792" s="566" t="str">
        <f t="shared" si="1027"/>
        <v/>
      </c>
      <c r="U1792" s="702"/>
      <c r="V1792" s="132"/>
      <c r="W1792" s="133"/>
      <c r="X1792" s="134"/>
      <c r="Y1792" s="135"/>
      <c r="Z1792" s="137"/>
      <c r="AA1792" s="136"/>
      <c r="AB1792" s="566" t="str">
        <f t="shared" si="1028"/>
        <v/>
      </c>
      <c r="AC1792" s="568" t="str">
        <f t="shared" si="1029"/>
        <v/>
      </c>
      <c r="AD1792" s="137"/>
      <c r="AE1792" s="137"/>
      <c r="AF1792" s="138"/>
      <c r="AG1792" s="138"/>
      <c r="AH1792" s="592" t="str">
        <f t="shared" si="1030"/>
        <v/>
      </c>
      <c r="AI1792" s="592" t="str">
        <f t="shared" si="1031"/>
        <v/>
      </c>
      <c r="AJ1792" s="592" t="str">
        <f t="shared" si="1032"/>
        <v/>
      </c>
      <c r="AK1792" s="460" t="str">
        <f>IF(AU1792="","",IF(OR(AZ1792=8,AZ1792=9),0,IF(OR(AW1792=3,AW1792=4,AW1792=5,AW1792=6),IF(LEFT(BF1792,1)="1",INDEX(係数_NOX・PM低減,MATCH(AY1792,【参考】排出係数!$AI$801:$AI$804,1),1),VLOOKUP(AU1792,INDEX((係数_バス貨物_ガソリン,係数_バス貨物_CNG,係数_バス貨物_軽油,係数_バス貨物_メタノール,係数_バス貨物_LPG),MATCH(AY1792,【参考】排出係数!$AI$4:$AI$671,1),1,BE1792):INDEX((係数_バス貨物_ガソリン,係数_バス貨物_CNG,係数_バス貨物_軽油,係数_バス貨物_メタノール,係数_バス貨物_LPG),MATCH(AY1792+1,【参考】排出係数!$AI$4:$AI$671,1)-1,5,BE1792),4,FALSE)),IF(AND(BE1792=3,LEFT(BF1792,1)="1"),0.48,VLOOKUP(AU1792,INDEX((係数_乗用_ガソリン,係数_乗用_CNG,係数_乗用_軽油,係数_乗用_メタノール,係数_乗用_LPG),1,1,BE1792):INDEX((係数_乗用_ガソリン,係数_乗用_CNG,係数_乗用_軽油,係数_乗用_メタノール,係数_乗用_LPG),125,5,BE1792),4,FALSE)))))</f>
        <v/>
      </c>
      <c r="AL1792" s="461" t="str">
        <f t="shared" si="1033"/>
        <v/>
      </c>
      <c r="AM1792" s="460" t="str">
        <f>IF(AU1792="","",IF(OR(AZ1792=8,AZ1792=9),0,IF(OR(AW1792=3,AW1792=4,AW1792=5,AW1792=6),IF(LEFT(BH1792,1)="1",INDEX(係数_PM低減,MATCH(AY1792,【参考】排出係数!$AI$801:$AI$804,1),MATCH(BI1792,【参考】排出係数!$AL$798:$AO$798,1)),VLOOKUP(AU1792,INDEX((係数_バス貨物_ガソリン,係数_バス貨物_CNG,係数_バス貨物_軽油,係数_バス貨物_メタノール,係数_バス貨物_LPG),MATCH(AY1792,【参考】排出係数!$AI$4:$AI$671,1),1,BE1792):INDEX((係数_バス貨物_ガソリン,係数_バス貨物_CNG,係数_バス貨物_軽油,係数_バス貨物_メタノール,係数_バス貨物_LPG),MATCH(AY1792+1,【参考】排出係数!$AI$4:$AI$671,1)-1,5,BE1792),5,FALSE)),IF(AND(BE1792=3,LEFT(BF1792,1)="1"),0.055,VLOOKUP(AU1792,INDEX((係数_乗用_ガソリン,係数_乗用_CNG,係数_乗用_軽油,係数_乗用_メタノール,係数_乗用_LPG),1,1,BE1792):INDEX((係数_乗用_ガソリン,係数_乗用_CNG,係数_乗用_軽油,係数_乗用_メタノール,係数_乗用_LPG),125,5,BE1792),5,FALSE)))))</f>
        <v/>
      </c>
      <c r="AN1792" s="461" t="str">
        <f t="shared" si="1034"/>
        <v/>
      </c>
      <c r="AO1792" s="462" t="str">
        <f t="shared" si="1035"/>
        <v/>
      </c>
      <c r="AP1792" s="463" t="str">
        <f t="shared" si="1036"/>
        <v/>
      </c>
      <c r="AQ1792" s="464"/>
      <c r="AR1792" s="619"/>
      <c r="AS1792" s="465" t="str">
        <f t="shared" si="1044"/>
        <v/>
      </c>
      <c r="AT1792" s="465" t="str">
        <f t="shared" si="1045"/>
        <v/>
      </c>
      <c r="AU1792" s="466" t="str">
        <f t="shared" si="1046"/>
        <v/>
      </c>
      <c r="AV1792" s="467" t="str">
        <f t="shared" si="1047"/>
        <v/>
      </c>
      <c r="AW1792" s="467" t="str">
        <f t="shared" si="1048"/>
        <v/>
      </c>
      <c r="AX1792" s="467" t="str">
        <f t="shared" si="1049"/>
        <v/>
      </c>
      <c r="AY1792" s="467" t="str">
        <f t="shared" si="1050"/>
        <v/>
      </c>
      <c r="AZ1792" s="467" t="str">
        <f t="shared" si="1051"/>
        <v/>
      </c>
      <c r="BA1792" s="468" t="str">
        <f>IF(AS1792="","",IF(OR(AU1792="",AU1792="-"),"－",IF(OR(AZ1792=8,AZ1792=9),"",IF(OR(AW1792=3,AW1792=4,AW1792=5,AW1792=6),VLOOKUP(AU1792,INDEX((係数_バス貨物_ガソリン,係数_バス貨物_CNG,係数_バス貨物_軽油,係数_バス貨物_メタノール,係数_バス貨物_LPG),MATCH(AY1792,【参考】排出係数!$AI$4:$AI$671,1),1,BE1792):INDEX((係数_バス貨物_ガソリン,係数_バス貨物_CNG,係数_バス貨物_軽油,係数_バス貨物_メタノール,係数_バス貨物_LPG),MATCH(AY1792+1,【参考】排出係数!$AI$4:$AI$671,1)-1,5,BE1792),2,FALSE),IF(OR(AW1792=1,AW1792=2),VLOOKUP(AU1792,INDEX((係数_乗用_ガソリン,係数_乗用_CNG,係数_乗用_軽油,係数_乗用_メタノール,係数_乗用_LPG),1,1,BE1792):INDEX((係数_乗用_ガソリン,係数_乗用_CNG,係数_乗用_軽油,係数_乗用_メタノール,係数_乗用_LPG),125,5,BE1792),2,FALSE))))))</f>
        <v/>
      </c>
      <c r="BB1792" s="468" t="str">
        <f>IF(T1792="","",IF(OR(AU1792="",AU1792="-"),"－",IF(OR(AZ1792=8,AZ1792=9),"",IF(OR(AW1792=3,AW1792=4,AW1792=5,AW1792=6),VLOOKUP(AU1792,INDEX((係数_バス貨物_ガソリン,係数_バス貨物_CNG,係数_バス貨物_軽油,係数_バス貨物_メタノール,係数_バス貨物_LPG),MATCH(AY1792,【参考】排出係数!$AI$4:$AI$671,1),1,BE1792):INDEX((係数_バス貨物_ガソリン,係数_バス貨物_CNG,係数_バス貨物_軽油,係数_バス貨物_メタノール,係数_バス貨物_LPG),MATCH(AY1792+1,【参考】排出係数!$AI$4:$AI$671,1)-1,5,BE1792),3,FALSE),IF(OR(AW1792=1,AW1792=2),VLOOKUP(AU1792,INDEX((係数_乗用_ガソリン,係数_乗用_CNG,係数_乗用_軽油,係数_乗用_メタノール,係数_乗用_LPG),1,1,BE1792):INDEX((係数_乗用_ガソリン,係数_乗用_CNG,係数_乗用_軽油,係数_乗用_メタノール,係数_乗用_LPG),125,5,BE1792),3,FALSE))))))</f>
        <v/>
      </c>
      <c r="BC1792" s="467" t="str">
        <f t="shared" si="1052"/>
        <v/>
      </c>
      <c r="BD1792" s="567" t="str">
        <f t="shared" si="1053"/>
        <v/>
      </c>
      <c r="BE1792" s="467" t="str">
        <f t="shared" si="1054"/>
        <v/>
      </c>
      <c r="BF1792" s="469" t="str">
        <f t="shared" ca="1" si="1055"/>
        <v/>
      </c>
      <c r="BG1792" s="469" t="str">
        <f t="shared" ca="1" si="1056"/>
        <v/>
      </c>
      <c r="BH1792" s="467" t="str">
        <f t="shared" si="1057"/>
        <v/>
      </c>
      <c r="BI1792" s="467" t="str">
        <f t="shared" ca="1" si="1058"/>
        <v/>
      </c>
      <c r="BJ1792" s="469" t="str">
        <f t="shared" si="1059"/>
        <v/>
      </c>
      <c r="BK1792" s="470" t="str">
        <f t="shared" si="1043"/>
        <v/>
      </c>
      <c r="BL1792" s="775" t="str">
        <f t="shared" si="1060"/>
        <v/>
      </c>
      <c r="BM1792" s="775" t="str">
        <f t="shared" si="1061"/>
        <v/>
      </c>
    </row>
    <row r="1793" spans="1:65">
      <c r="A1793" s="473">
        <v>1737</v>
      </c>
      <c r="B1793" s="132"/>
      <c r="C1793" s="332"/>
      <c r="D1793" s="333"/>
      <c r="E1793" s="333"/>
      <c r="F1793" s="334"/>
      <c r="G1793" s="337"/>
      <c r="H1793" s="131"/>
      <c r="I1793" s="337"/>
      <c r="J1793" s="131"/>
      <c r="K1793" s="458" t="str">
        <f t="shared" si="1024"/>
        <v/>
      </c>
      <c r="L1793" s="458">
        <f t="shared" si="1025"/>
        <v>0</v>
      </c>
      <c r="M1793" s="458">
        <f t="shared" si="1026"/>
        <v>0</v>
      </c>
      <c r="N1793" s="459" t="str">
        <f t="shared" si="1037"/>
        <v/>
      </c>
      <c r="O1793" s="459" t="str">
        <f t="shared" si="1038"/>
        <v/>
      </c>
      <c r="P1793" s="459" t="str">
        <f t="shared" si="1039"/>
        <v/>
      </c>
      <c r="Q1793" s="459" t="str">
        <f t="shared" si="1040"/>
        <v/>
      </c>
      <c r="R1793" s="459" t="str">
        <f t="shared" si="1041"/>
        <v/>
      </c>
      <c r="S1793" s="459" t="str">
        <f t="shared" si="1042"/>
        <v/>
      </c>
      <c r="T1793" s="566" t="str">
        <f t="shared" si="1027"/>
        <v/>
      </c>
      <c r="U1793" s="702"/>
      <c r="V1793" s="132"/>
      <c r="W1793" s="133"/>
      <c r="X1793" s="134"/>
      <c r="Y1793" s="135"/>
      <c r="Z1793" s="137"/>
      <c r="AA1793" s="136"/>
      <c r="AB1793" s="566" t="str">
        <f t="shared" si="1028"/>
        <v/>
      </c>
      <c r="AC1793" s="568" t="str">
        <f t="shared" si="1029"/>
        <v/>
      </c>
      <c r="AD1793" s="137"/>
      <c r="AE1793" s="137"/>
      <c r="AF1793" s="138"/>
      <c r="AG1793" s="138"/>
      <c r="AH1793" s="592" t="str">
        <f t="shared" si="1030"/>
        <v/>
      </c>
      <c r="AI1793" s="592" t="str">
        <f t="shared" si="1031"/>
        <v/>
      </c>
      <c r="AJ1793" s="592" t="str">
        <f t="shared" si="1032"/>
        <v/>
      </c>
      <c r="AK1793" s="460" t="str">
        <f>IF(AU1793="","",IF(OR(AZ1793=8,AZ1793=9),0,IF(OR(AW1793=3,AW1793=4,AW1793=5,AW1793=6),IF(LEFT(BF1793,1)="1",INDEX(係数_NOX・PM低減,MATCH(AY1793,【参考】排出係数!$AI$801:$AI$804,1),1),VLOOKUP(AU1793,INDEX((係数_バス貨物_ガソリン,係数_バス貨物_CNG,係数_バス貨物_軽油,係数_バス貨物_メタノール,係数_バス貨物_LPG),MATCH(AY1793,【参考】排出係数!$AI$4:$AI$671,1),1,BE1793):INDEX((係数_バス貨物_ガソリン,係数_バス貨物_CNG,係数_バス貨物_軽油,係数_バス貨物_メタノール,係数_バス貨物_LPG),MATCH(AY1793+1,【参考】排出係数!$AI$4:$AI$671,1)-1,5,BE1793),4,FALSE)),IF(AND(BE1793=3,LEFT(BF1793,1)="1"),0.48,VLOOKUP(AU1793,INDEX((係数_乗用_ガソリン,係数_乗用_CNG,係数_乗用_軽油,係数_乗用_メタノール,係数_乗用_LPG),1,1,BE1793):INDEX((係数_乗用_ガソリン,係数_乗用_CNG,係数_乗用_軽油,係数_乗用_メタノール,係数_乗用_LPG),125,5,BE1793),4,FALSE)))))</f>
        <v/>
      </c>
      <c r="AL1793" s="461" t="str">
        <f t="shared" si="1033"/>
        <v/>
      </c>
      <c r="AM1793" s="460" t="str">
        <f>IF(AU1793="","",IF(OR(AZ1793=8,AZ1793=9),0,IF(OR(AW1793=3,AW1793=4,AW1793=5,AW1793=6),IF(LEFT(BH1793,1)="1",INDEX(係数_PM低減,MATCH(AY1793,【参考】排出係数!$AI$801:$AI$804,1),MATCH(BI1793,【参考】排出係数!$AL$798:$AO$798,1)),VLOOKUP(AU1793,INDEX((係数_バス貨物_ガソリン,係数_バス貨物_CNG,係数_バス貨物_軽油,係数_バス貨物_メタノール,係数_バス貨物_LPG),MATCH(AY1793,【参考】排出係数!$AI$4:$AI$671,1),1,BE1793):INDEX((係数_バス貨物_ガソリン,係数_バス貨物_CNG,係数_バス貨物_軽油,係数_バス貨物_メタノール,係数_バス貨物_LPG),MATCH(AY1793+1,【参考】排出係数!$AI$4:$AI$671,1)-1,5,BE1793),5,FALSE)),IF(AND(BE1793=3,LEFT(BF1793,1)="1"),0.055,VLOOKUP(AU1793,INDEX((係数_乗用_ガソリン,係数_乗用_CNG,係数_乗用_軽油,係数_乗用_メタノール,係数_乗用_LPG),1,1,BE1793):INDEX((係数_乗用_ガソリン,係数_乗用_CNG,係数_乗用_軽油,係数_乗用_メタノール,係数_乗用_LPG),125,5,BE1793),5,FALSE)))))</f>
        <v/>
      </c>
      <c r="AN1793" s="461" t="str">
        <f t="shared" si="1034"/>
        <v/>
      </c>
      <c r="AO1793" s="462" t="str">
        <f t="shared" si="1035"/>
        <v/>
      </c>
      <c r="AP1793" s="463" t="str">
        <f t="shared" si="1036"/>
        <v/>
      </c>
      <c r="AQ1793" s="464"/>
      <c r="AR1793" s="619"/>
      <c r="AS1793" s="465" t="str">
        <f t="shared" si="1044"/>
        <v/>
      </c>
      <c r="AT1793" s="465" t="str">
        <f t="shared" si="1045"/>
        <v/>
      </c>
      <c r="AU1793" s="466" t="str">
        <f t="shared" si="1046"/>
        <v/>
      </c>
      <c r="AV1793" s="467" t="str">
        <f t="shared" si="1047"/>
        <v/>
      </c>
      <c r="AW1793" s="467" t="str">
        <f t="shared" si="1048"/>
        <v/>
      </c>
      <c r="AX1793" s="467" t="str">
        <f t="shared" si="1049"/>
        <v/>
      </c>
      <c r="AY1793" s="467" t="str">
        <f t="shared" si="1050"/>
        <v/>
      </c>
      <c r="AZ1793" s="467" t="str">
        <f t="shared" si="1051"/>
        <v/>
      </c>
      <c r="BA1793" s="468" t="str">
        <f>IF(AS1793="","",IF(OR(AU1793="",AU1793="-"),"－",IF(OR(AZ1793=8,AZ1793=9),"",IF(OR(AW1793=3,AW1793=4,AW1793=5,AW1793=6),VLOOKUP(AU1793,INDEX((係数_バス貨物_ガソリン,係数_バス貨物_CNG,係数_バス貨物_軽油,係数_バス貨物_メタノール,係数_バス貨物_LPG),MATCH(AY1793,【参考】排出係数!$AI$4:$AI$671,1),1,BE1793):INDEX((係数_バス貨物_ガソリン,係数_バス貨物_CNG,係数_バス貨物_軽油,係数_バス貨物_メタノール,係数_バス貨物_LPG),MATCH(AY1793+1,【参考】排出係数!$AI$4:$AI$671,1)-1,5,BE1793),2,FALSE),IF(OR(AW1793=1,AW1793=2),VLOOKUP(AU1793,INDEX((係数_乗用_ガソリン,係数_乗用_CNG,係数_乗用_軽油,係数_乗用_メタノール,係数_乗用_LPG),1,1,BE1793):INDEX((係数_乗用_ガソリン,係数_乗用_CNG,係数_乗用_軽油,係数_乗用_メタノール,係数_乗用_LPG),125,5,BE1793),2,FALSE))))))</f>
        <v/>
      </c>
      <c r="BB1793" s="468" t="str">
        <f>IF(T1793="","",IF(OR(AU1793="",AU1793="-"),"－",IF(OR(AZ1793=8,AZ1793=9),"",IF(OR(AW1793=3,AW1793=4,AW1793=5,AW1793=6),VLOOKUP(AU1793,INDEX((係数_バス貨物_ガソリン,係数_バス貨物_CNG,係数_バス貨物_軽油,係数_バス貨物_メタノール,係数_バス貨物_LPG),MATCH(AY1793,【参考】排出係数!$AI$4:$AI$671,1),1,BE1793):INDEX((係数_バス貨物_ガソリン,係数_バス貨物_CNG,係数_バス貨物_軽油,係数_バス貨物_メタノール,係数_バス貨物_LPG),MATCH(AY1793+1,【参考】排出係数!$AI$4:$AI$671,1)-1,5,BE1793),3,FALSE),IF(OR(AW1793=1,AW1793=2),VLOOKUP(AU1793,INDEX((係数_乗用_ガソリン,係数_乗用_CNG,係数_乗用_軽油,係数_乗用_メタノール,係数_乗用_LPG),1,1,BE1793):INDEX((係数_乗用_ガソリン,係数_乗用_CNG,係数_乗用_軽油,係数_乗用_メタノール,係数_乗用_LPG),125,5,BE1793),3,FALSE))))))</f>
        <v/>
      </c>
      <c r="BC1793" s="467" t="str">
        <f t="shared" si="1052"/>
        <v/>
      </c>
      <c r="BD1793" s="567" t="str">
        <f t="shared" si="1053"/>
        <v/>
      </c>
      <c r="BE1793" s="467" t="str">
        <f t="shared" si="1054"/>
        <v/>
      </c>
      <c r="BF1793" s="469" t="str">
        <f t="shared" ca="1" si="1055"/>
        <v/>
      </c>
      <c r="BG1793" s="469" t="str">
        <f t="shared" ca="1" si="1056"/>
        <v/>
      </c>
      <c r="BH1793" s="467" t="str">
        <f t="shared" si="1057"/>
        <v/>
      </c>
      <c r="BI1793" s="467" t="str">
        <f t="shared" ca="1" si="1058"/>
        <v/>
      </c>
      <c r="BJ1793" s="469" t="str">
        <f t="shared" si="1059"/>
        <v/>
      </c>
      <c r="BK1793" s="470" t="str">
        <f t="shared" si="1043"/>
        <v/>
      </c>
      <c r="BL1793" s="775" t="str">
        <f t="shared" si="1060"/>
        <v/>
      </c>
      <c r="BM1793" s="775" t="str">
        <f t="shared" si="1061"/>
        <v/>
      </c>
    </row>
    <row r="1794" spans="1:65">
      <c r="A1794" s="473">
        <v>1738</v>
      </c>
      <c r="B1794" s="132"/>
      <c r="C1794" s="332"/>
      <c r="D1794" s="333"/>
      <c r="E1794" s="333"/>
      <c r="F1794" s="334"/>
      <c r="G1794" s="337"/>
      <c r="H1794" s="131"/>
      <c r="I1794" s="337"/>
      <c r="J1794" s="131"/>
      <c r="K1794" s="458" t="str">
        <f t="shared" si="1024"/>
        <v/>
      </c>
      <c r="L1794" s="458">
        <f t="shared" si="1025"/>
        <v>0</v>
      </c>
      <c r="M1794" s="458">
        <f t="shared" si="1026"/>
        <v>0</v>
      </c>
      <c r="N1794" s="459" t="str">
        <f t="shared" si="1037"/>
        <v/>
      </c>
      <c r="O1794" s="459" t="str">
        <f t="shared" si="1038"/>
        <v/>
      </c>
      <c r="P1794" s="459" t="str">
        <f t="shared" si="1039"/>
        <v/>
      </c>
      <c r="Q1794" s="459" t="str">
        <f t="shared" si="1040"/>
        <v/>
      </c>
      <c r="R1794" s="459" t="str">
        <f t="shared" si="1041"/>
        <v/>
      </c>
      <c r="S1794" s="459" t="str">
        <f t="shared" si="1042"/>
        <v/>
      </c>
      <c r="T1794" s="566" t="str">
        <f t="shared" si="1027"/>
        <v/>
      </c>
      <c r="U1794" s="702"/>
      <c r="V1794" s="132"/>
      <c r="W1794" s="133"/>
      <c r="X1794" s="134"/>
      <c r="Y1794" s="135"/>
      <c r="Z1794" s="137"/>
      <c r="AA1794" s="136"/>
      <c r="AB1794" s="566" t="str">
        <f t="shared" si="1028"/>
        <v/>
      </c>
      <c r="AC1794" s="568" t="str">
        <f t="shared" si="1029"/>
        <v/>
      </c>
      <c r="AD1794" s="137"/>
      <c r="AE1794" s="137"/>
      <c r="AF1794" s="138"/>
      <c r="AG1794" s="138"/>
      <c r="AH1794" s="592" t="str">
        <f t="shared" si="1030"/>
        <v/>
      </c>
      <c r="AI1794" s="592" t="str">
        <f t="shared" si="1031"/>
        <v/>
      </c>
      <c r="AJ1794" s="592" t="str">
        <f t="shared" si="1032"/>
        <v/>
      </c>
      <c r="AK1794" s="460" t="str">
        <f>IF(AU1794="","",IF(OR(AZ1794=8,AZ1794=9),0,IF(OR(AW1794=3,AW1794=4,AW1794=5,AW1794=6),IF(LEFT(BF1794,1)="1",INDEX(係数_NOX・PM低減,MATCH(AY1794,【参考】排出係数!$AI$801:$AI$804,1),1),VLOOKUP(AU1794,INDEX((係数_バス貨物_ガソリン,係数_バス貨物_CNG,係数_バス貨物_軽油,係数_バス貨物_メタノール,係数_バス貨物_LPG),MATCH(AY1794,【参考】排出係数!$AI$4:$AI$671,1),1,BE1794):INDEX((係数_バス貨物_ガソリン,係数_バス貨物_CNG,係数_バス貨物_軽油,係数_バス貨物_メタノール,係数_バス貨物_LPG),MATCH(AY1794+1,【参考】排出係数!$AI$4:$AI$671,1)-1,5,BE1794),4,FALSE)),IF(AND(BE1794=3,LEFT(BF1794,1)="1"),0.48,VLOOKUP(AU1794,INDEX((係数_乗用_ガソリン,係数_乗用_CNG,係数_乗用_軽油,係数_乗用_メタノール,係数_乗用_LPG),1,1,BE1794):INDEX((係数_乗用_ガソリン,係数_乗用_CNG,係数_乗用_軽油,係数_乗用_メタノール,係数_乗用_LPG),125,5,BE1794),4,FALSE)))))</f>
        <v/>
      </c>
      <c r="AL1794" s="461" t="str">
        <f t="shared" si="1033"/>
        <v/>
      </c>
      <c r="AM1794" s="460" t="str">
        <f>IF(AU1794="","",IF(OR(AZ1794=8,AZ1794=9),0,IF(OR(AW1794=3,AW1794=4,AW1794=5,AW1794=6),IF(LEFT(BH1794,1)="1",INDEX(係数_PM低減,MATCH(AY1794,【参考】排出係数!$AI$801:$AI$804,1),MATCH(BI1794,【参考】排出係数!$AL$798:$AO$798,1)),VLOOKUP(AU1794,INDEX((係数_バス貨物_ガソリン,係数_バス貨物_CNG,係数_バス貨物_軽油,係数_バス貨物_メタノール,係数_バス貨物_LPG),MATCH(AY1794,【参考】排出係数!$AI$4:$AI$671,1),1,BE1794):INDEX((係数_バス貨物_ガソリン,係数_バス貨物_CNG,係数_バス貨物_軽油,係数_バス貨物_メタノール,係数_バス貨物_LPG),MATCH(AY1794+1,【参考】排出係数!$AI$4:$AI$671,1)-1,5,BE1794),5,FALSE)),IF(AND(BE1794=3,LEFT(BF1794,1)="1"),0.055,VLOOKUP(AU1794,INDEX((係数_乗用_ガソリン,係数_乗用_CNG,係数_乗用_軽油,係数_乗用_メタノール,係数_乗用_LPG),1,1,BE1794):INDEX((係数_乗用_ガソリン,係数_乗用_CNG,係数_乗用_軽油,係数_乗用_メタノール,係数_乗用_LPG),125,5,BE1794),5,FALSE)))))</f>
        <v/>
      </c>
      <c r="AN1794" s="461" t="str">
        <f t="shared" si="1034"/>
        <v/>
      </c>
      <c r="AO1794" s="462" t="str">
        <f t="shared" si="1035"/>
        <v/>
      </c>
      <c r="AP1794" s="463" t="str">
        <f t="shared" si="1036"/>
        <v/>
      </c>
      <c r="AQ1794" s="464"/>
      <c r="AR1794" s="619"/>
      <c r="AS1794" s="465" t="str">
        <f t="shared" si="1044"/>
        <v/>
      </c>
      <c r="AT1794" s="465" t="str">
        <f t="shared" si="1045"/>
        <v/>
      </c>
      <c r="AU1794" s="466" t="str">
        <f t="shared" si="1046"/>
        <v/>
      </c>
      <c r="AV1794" s="467" t="str">
        <f t="shared" si="1047"/>
        <v/>
      </c>
      <c r="AW1794" s="467" t="str">
        <f t="shared" si="1048"/>
        <v/>
      </c>
      <c r="AX1794" s="467" t="str">
        <f t="shared" si="1049"/>
        <v/>
      </c>
      <c r="AY1794" s="467" t="str">
        <f t="shared" si="1050"/>
        <v/>
      </c>
      <c r="AZ1794" s="467" t="str">
        <f t="shared" si="1051"/>
        <v/>
      </c>
      <c r="BA1794" s="468" t="str">
        <f>IF(AS1794="","",IF(OR(AU1794="",AU1794="-"),"－",IF(OR(AZ1794=8,AZ1794=9),"",IF(OR(AW1794=3,AW1794=4,AW1794=5,AW1794=6),VLOOKUP(AU1794,INDEX((係数_バス貨物_ガソリン,係数_バス貨物_CNG,係数_バス貨物_軽油,係数_バス貨物_メタノール,係数_バス貨物_LPG),MATCH(AY1794,【参考】排出係数!$AI$4:$AI$671,1),1,BE1794):INDEX((係数_バス貨物_ガソリン,係数_バス貨物_CNG,係数_バス貨物_軽油,係数_バス貨物_メタノール,係数_バス貨物_LPG),MATCH(AY1794+1,【参考】排出係数!$AI$4:$AI$671,1)-1,5,BE1794),2,FALSE),IF(OR(AW1794=1,AW1794=2),VLOOKUP(AU1794,INDEX((係数_乗用_ガソリン,係数_乗用_CNG,係数_乗用_軽油,係数_乗用_メタノール,係数_乗用_LPG),1,1,BE1794):INDEX((係数_乗用_ガソリン,係数_乗用_CNG,係数_乗用_軽油,係数_乗用_メタノール,係数_乗用_LPG),125,5,BE1794),2,FALSE))))))</f>
        <v/>
      </c>
      <c r="BB1794" s="468" t="str">
        <f>IF(T1794="","",IF(OR(AU1794="",AU1794="-"),"－",IF(OR(AZ1794=8,AZ1794=9),"",IF(OR(AW1794=3,AW1794=4,AW1794=5,AW1794=6),VLOOKUP(AU1794,INDEX((係数_バス貨物_ガソリン,係数_バス貨物_CNG,係数_バス貨物_軽油,係数_バス貨物_メタノール,係数_バス貨物_LPG),MATCH(AY1794,【参考】排出係数!$AI$4:$AI$671,1),1,BE1794):INDEX((係数_バス貨物_ガソリン,係数_バス貨物_CNG,係数_バス貨物_軽油,係数_バス貨物_メタノール,係数_バス貨物_LPG),MATCH(AY1794+1,【参考】排出係数!$AI$4:$AI$671,1)-1,5,BE1794),3,FALSE),IF(OR(AW1794=1,AW1794=2),VLOOKUP(AU1794,INDEX((係数_乗用_ガソリン,係数_乗用_CNG,係数_乗用_軽油,係数_乗用_メタノール,係数_乗用_LPG),1,1,BE1794):INDEX((係数_乗用_ガソリン,係数_乗用_CNG,係数_乗用_軽油,係数_乗用_メタノール,係数_乗用_LPG),125,5,BE1794),3,FALSE))))))</f>
        <v/>
      </c>
      <c r="BC1794" s="467" t="str">
        <f t="shared" si="1052"/>
        <v/>
      </c>
      <c r="BD1794" s="567" t="str">
        <f t="shared" si="1053"/>
        <v/>
      </c>
      <c r="BE1794" s="467" t="str">
        <f t="shared" si="1054"/>
        <v/>
      </c>
      <c r="BF1794" s="469" t="str">
        <f t="shared" ca="1" si="1055"/>
        <v/>
      </c>
      <c r="BG1794" s="469" t="str">
        <f t="shared" ca="1" si="1056"/>
        <v/>
      </c>
      <c r="BH1794" s="467" t="str">
        <f t="shared" si="1057"/>
        <v/>
      </c>
      <c r="BI1794" s="467" t="str">
        <f t="shared" ca="1" si="1058"/>
        <v/>
      </c>
      <c r="BJ1794" s="469" t="str">
        <f t="shared" si="1059"/>
        <v/>
      </c>
      <c r="BK1794" s="470" t="str">
        <f t="shared" si="1043"/>
        <v/>
      </c>
      <c r="BL1794" s="775" t="str">
        <f t="shared" si="1060"/>
        <v/>
      </c>
      <c r="BM1794" s="775" t="str">
        <f t="shared" si="1061"/>
        <v/>
      </c>
    </row>
    <row r="1795" spans="1:65">
      <c r="A1795" s="473">
        <v>1739</v>
      </c>
      <c r="B1795" s="132"/>
      <c r="C1795" s="332"/>
      <c r="D1795" s="333"/>
      <c r="E1795" s="333"/>
      <c r="F1795" s="334"/>
      <c r="G1795" s="337"/>
      <c r="H1795" s="131"/>
      <c r="I1795" s="337"/>
      <c r="J1795" s="131"/>
      <c r="K1795" s="458" t="str">
        <f t="shared" si="1024"/>
        <v/>
      </c>
      <c r="L1795" s="458">
        <f t="shared" si="1025"/>
        <v>0</v>
      </c>
      <c r="M1795" s="458">
        <f t="shared" si="1026"/>
        <v>0</v>
      </c>
      <c r="N1795" s="459" t="str">
        <f t="shared" si="1037"/>
        <v/>
      </c>
      <c r="O1795" s="459" t="str">
        <f t="shared" si="1038"/>
        <v/>
      </c>
      <c r="P1795" s="459" t="str">
        <f t="shared" si="1039"/>
        <v/>
      </c>
      <c r="Q1795" s="459" t="str">
        <f t="shared" si="1040"/>
        <v/>
      </c>
      <c r="R1795" s="459" t="str">
        <f t="shared" si="1041"/>
        <v/>
      </c>
      <c r="S1795" s="459" t="str">
        <f t="shared" si="1042"/>
        <v/>
      </c>
      <c r="T1795" s="566" t="str">
        <f t="shared" si="1027"/>
        <v/>
      </c>
      <c r="U1795" s="702"/>
      <c r="V1795" s="132"/>
      <c r="W1795" s="133"/>
      <c r="X1795" s="134"/>
      <c r="Y1795" s="135"/>
      <c r="Z1795" s="137"/>
      <c r="AA1795" s="136"/>
      <c r="AB1795" s="566" t="str">
        <f t="shared" si="1028"/>
        <v/>
      </c>
      <c r="AC1795" s="568" t="str">
        <f t="shared" si="1029"/>
        <v/>
      </c>
      <c r="AD1795" s="137"/>
      <c r="AE1795" s="137"/>
      <c r="AF1795" s="138"/>
      <c r="AG1795" s="138"/>
      <c r="AH1795" s="592" t="str">
        <f t="shared" si="1030"/>
        <v/>
      </c>
      <c r="AI1795" s="592" t="str">
        <f t="shared" si="1031"/>
        <v/>
      </c>
      <c r="AJ1795" s="592" t="str">
        <f t="shared" si="1032"/>
        <v/>
      </c>
      <c r="AK1795" s="460" t="str">
        <f>IF(AU1795="","",IF(OR(AZ1795=8,AZ1795=9),0,IF(OR(AW1795=3,AW1795=4,AW1795=5,AW1795=6),IF(LEFT(BF1795,1)="1",INDEX(係数_NOX・PM低減,MATCH(AY1795,【参考】排出係数!$AI$801:$AI$804,1),1),VLOOKUP(AU1795,INDEX((係数_バス貨物_ガソリン,係数_バス貨物_CNG,係数_バス貨物_軽油,係数_バス貨物_メタノール,係数_バス貨物_LPG),MATCH(AY1795,【参考】排出係数!$AI$4:$AI$671,1),1,BE1795):INDEX((係数_バス貨物_ガソリン,係数_バス貨物_CNG,係数_バス貨物_軽油,係数_バス貨物_メタノール,係数_バス貨物_LPG),MATCH(AY1795+1,【参考】排出係数!$AI$4:$AI$671,1)-1,5,BE1795),4,FALSE)),IF(AND(BE1795=3,LEFT(BF1795,1)="1"),0.48,VLOOKUP(AU1795,INDEX((係数_乗用_ガソリン,係数_乗用_CNG,係数_乗用_軽油,係数_乗用_メタノール,係数_乗用_LPG),1,1,BE1795):INDEX((係数_乗用_ガソリン,係数_乗用_CNG,係数_乗用_軽油,係数_乗用_メタノール,係数_乗用_LPG),125,5,BE1795),4,FALSE)))))</f>
        <v/>
      </c>
      <c r="AL1795" s="461" t="str">
        <f t="shared" si="1033"/>
        <v/>
      </c>
      <c r="AM1795" s="460" t="str">
        <f>IF(AU1795="","",IF(OR(AZ1795=8,AZ1795=9),0,IF(OR(AW1795=3,AW1795=4,AW1795=5,AW1795=6),IF(LEFT(BH1795,1)="1",INDEX(係数_PM低減,MATCH(AY1795,【参考】排出係数!$AI$801:$AI$804,1),MATCH(BI1795,【参考】排出係数!$AL$798:$AO$798,1)),VLOOKUP(AU1795,INDEX((係数_バス貨物_ガソリン,係数_バス貨物_CNG,係数_バス貨物_軽油,係数_バス貨物_メタノール,係数_バス貨物_LPG),MATCH(AY1795,【参考】排出係数!$AI$4:$AI$671,1),1,BE1795):INDEX((係数_バス貨物_ガソリン,係数_バス貨物_CNG,係数_バス貨物_軽油,係数_バス貨物_メタノール,係数_バス貨物_LPG),MATCH(AY1795+1,【参考】排出係数!$AI$4:$AI$671,1)-1,5,BE1795),5,FALSE)),IF(AND(BE1795=3,LEFT(BF1795,1)="1"),0.055,VLOOKUP(AU1795,INDEX((係数_乗用_ガソリン,係数_乗用_CNG,係数_乗用_軽油,係数_乗用_メタノール,係数_乗用_LPG),1,1,BE1795):INDEX((係数_乗用_ガソリン,係数_乗用_CNG,係数_乗用_軽油,係数_乗用_メタノール,係数_乗用_LPG),125,5,BE1795),5,FALSE)))))</f>
        <v/>
      </c>
      <c r="AN1795" s="461" t="str">
        <f t="shared" si="1034"/>
        <v/>
      </c>
      <c r="AO1795" s="462" t="str">
        <f t="shared" si="1035"/>
        <v/>
      </c>
      <c r="AP1795" s="463" t="str">
        <f t="shared" si="1036"/>
        <v/>
      </c>
      <c r="AQ1795" s="464"/>
      <c r="AR1795" s="619"/>
      <c r="AS1795" s="465" t="str">
        <f t="shared" si="1044"/>
        <v/>
      </c>
      <c r="AT1795" s="465" t="str">
        <f t="shared" si="1045"/>
        <v/>
      </c>
      <c r="AU1795" s="466" t="str">
        <f t="shared" si="1046"/>
        <v/>
      </c>
      <c r="AV1795" s="467" t="str">
        <f t="shared" si="1047"/>
        <v/>
      </c>
      <c r="AW1795" s="467" t="str">
        <f t="shared" si="1048"/>
        <v/>
      </c>
      <c r="AX1795" s="467" t="str">
        <f t="shared" si="1049"/>
        <v/>
      </c>
      <c r="AY1795" s="467" t="str">
        <f t="shared" si="1050"/>
        <v/>
      </c>
      <c r="AZ1795" s="467" t="str">
        <f t="shared" si="1051"/>
        <v/>
      </c>
      <c r="BA1795" s="468" t="str">
        <f>IF(AS1795="","",IF(OR(AU1795="",AU1795="-"),"－",IF(OR(AZ1795=8,AZ1795=9),"",IF(OR(AW1795=3,AW1795=4,AW1795=5,AW1795=6),VLOOKUP(AU1795,INDEX((係数_バス貨物_ガソリン,係数_バス貨物_CNG,係数_バス貨物_軽油,係数_バス貨物_メタノール,係数_バス貨物_LPG),MATCH(AY1795,【参考】排出係数!$AI$4:$AI$671,1),1,BE1795):INDEX((係数_バス貨物_ガソリン,係数_バス貨物_CNG,係数_バス貨物_軽油,係数_バス貨物_メタノール,係数_バス貨物_LPG),MATCH(AY1795+1,【参考】排出係数!$AI$4:$AI$671,1)-1,5,BE1795),2,FALSE),IF(OR(AW1795=1,AW1795=2),VLOOKUP(AU1795,INDEX((係数_乗用_ガソリン,係数_乗用_CNG,係数_乗用_軽油,係数_乗用_メタノール,係数_乗用_LPG),1,1,BE1795):INDEX((係数_乗用_ガソリン,係数_乗用_CNG,係数_乗用_軽油,係数_乗用_メタノール,係数_乗用_LPG),125,5,BE1795),2,FALSE))))))</f>
        <v/>
      </c>
      <c r="BB1795" s="468" t="str">
        <f>IF(T1795="","",IF(OR(AU1795="",AU1795="-"),"－",IF(OR(AZ1795=8,AZ1795=9),"",IF(OR(AW1795=3,AW1795=4,AW1795=5,AW1795=6),VLOOKUP(AU1795,INDEX((係数_バス貨物_ガソリン,係数_バス貨物_CNG,係数_バス貨物_軽油,係数_バス貨物_メタノール,係数_バス貨物_LPG),MATCH(AY1795,【参考】排出係数!$AI$4:$AI$671,1),1,BE1795):INDEX((係数_バス貨物_ガソリン,係数_バス貨物_CNG,係数_バス貨物_軽油,係数_バス貨物_メタノール,係数_バス貨物_LPG),MATCH(AY1795+1,【参考】排出係数!$AI$4:$AI$671,1)-1,5,BE1795),3,FALSE),IF(OR(AW1795=1,AW1795=2),VLOOKUP(AU1795,INDEX((係数_乗用_ガソリン,係数_乗用_CNG,係数_乗用_軽油,係数_乗用_メタノール,係数_乗用_LPG),1,1,BE1795):INDEX((係数_乗用_ガソリン,係数_乗用_CNG,係数_乗用_軽油,係数_乗用_メタノール,係数_乗用_LPG),125,5,BE1795),3,FALSE))))))</f>
        <v/>
      </c>
      <c r="BC1795" s="467" t="str">
        <f t="shared" si="1052"/>
        <v/>
      </c>
      <c r="BD1795" s="567" t="str">
        <f t="shared" si="1053"/>
        <v/>
      </c>
      <c r="BE1795" s="467" t="str">
        <f t="shared" si="1054"/>
        <v/>
      </c>
      <c r="BF1795" s="469" t="str">
        <f t="shared" ca="1" si="1055"/>
        <v/>
      </c>
      <c r="BG1795" s="469" t="str">
        <f t="shared" ca="1" si="1056"/>
        <v/>
      </c>
      <c r="BH1795" s="467" t="str">
        <f t="shared" si="1057"/>
        <v/>
      </c>
      <c r="BI1795" s="467" t="str">
        <f t="shared" ca="1" si="1058"/>
        <v/>
      </c>
      <c r="BJ1795" s="469" t="str">
        <f t="shared" si="1059"/>
        <v/>
      </c>
      <c r="BK1795" s="470" t="str">
        <f t="shared" si="1043"/>
        <v/>
      </c>
      <c r="BL1795" s="775" t="str">
        <f t="shared" si="1060"/>
        <v/>
      </c>
      <c r="BM1795" s="775" t="str">
        <f t="shared" si="1061"/>
        <v/>
      </c>
    </row>
    <row r="1796" spans="1:65">
      <c r="A1796" s="473">
        <v>1740</v>
      </c>
      <c r="B1796" s="132"/>
      <c r="C1796" s="332"/>
      <c r="D1796" s="333"/>
      <c r="E1796" s="333"/>
      <c r="F1796" s="334"/>
      <c r="G1796" s="337"/>
      <c r="H1796" s="131"/>
      <c r="I1796" s="337"/>
      <c r="J1796" s="131"/>
      <c r="K1796" s="458" t="str">
        <f t="shared" si="1024"/>
        <v/>
      </c>
      <c r="L1796" s="458">
        <f t="shared" si="1025"/>
        <v>0</v>
      </c>
      <c r="M1796" s="458">
        <f t="shared" si="1026"/>
        <v>0</v>
      </c>
      <c r="N1796" s="459" t="str">
        <f t="shared" si="1037"/>
        <v/>
      </c>
      <c r="O1796" s="459" t="str">
        <f t="shared" si="1038"/>
        <v/>
      </c>
      <c r="P1796" s="459" t="str">
        <f t="shared" si="1039"/>
        <v/>
      </c>
      <c r="Q1796" s="459" t="str">
        <f t="shared" si="1040"/>
        <v/>
      </c>
      <c r="R1796" s="459" t="str">
        <f t="shared" si="1041"/>
        <v/>
      </c>
      <c r="S1796" s="459" t="str">
        <f t="shared" si="1042"/>
        <v/>
      </c>
      <c r="T1796" s="566" t="str">
        <f t="shared" si="1027"/>
        <v/>
      </c>
      <c r="U1796" s="702"/>
      <c r="V1796" s="132"/>
      <c r="W1796" s="133"/>
      <c r="X1796" s="134"/>
      <c r="Y1796" s="135"/>
      <c r="Z1796" s="137"/>
      <c r="AA1796" s="136"/>
      <c r="AB1796" s="566" t="str">
        <f t="shared" si="1028"/>
        <v/>
      </c>
      <c r="AC1796" s="568" t="str">
        <f t="shared" si="1029"/>
        <v/>
      </c>
      <c r="AD1796" s="137"/>
      <c r="AE1796" s="137"/>
      <c r="AF1796" s="138"/>
      <c r="AG1796" s="138"/>
      <c r="AH1796" s="592" t="str">
        <f t="shared" si="1030"/>
        <v/>
      </c>
      <c r="AI1796" s="592" t="str">
        <f t="shared" si="1031"/>
        <v/>
      </c>
      <c r="AJ1796" s="592" t="str">
        <f t="shared" si="1032"/>
        <v/>
      </c>
      <c r="AK1796" s="460" t="str">
        <f>IF(AU1796="","",IF(OR(AZ1796=8,AZ1796=9),0,IF(OR(AW1796=3,AW1796=4,AW1796=5,AW1796=6),IF(LEFT(BF1796,1)="1",INDEX(係数_NOX・PM低減,MATCH(AY1796,【参考】排出係数!$AI$801:$AI$804,1),1),VLOOKUP(AU1796,INDEX((係数_バス貨物_ガソリン,係数_バス貨物_CNG,係数_バス貨物_軽油,係数_バス貨物_メタノール,係数_バス貨物_LPG),MATCH(AY1796,【参考】排出係数!$AI$4:$AI$671,1),1,BE1796):INDEX((係数_バス貨物_ガソリン,係数_バス貨物_CNG,係数_バス貨物_軽油,係数_バス貨物_メタノール,係数_バス貨物_LPG),MATCH(AY1796+1,【参考】排出係数!$AI$4:$AI$671,1)-1,5,BE1796),4,FALSE)),IF(AND(BE1796=3,LEFT(BF1796,1)="1"),0.48,VLOOKUP(AU1796,INDEX((係数_乗用_ガソリン,係数_乗用_CNG,係数_乗用_軽油,係数_乗用_メタノール,係数_乗用_LPG),1,1,BE1796):INDEX((係数_乗用_ガソリン,係数_乗用_CNG,係数_乗用_軽油,係数_乗用_メタノール,係数_乗用_LPG),125,5,BE1796),4,FALSE)))))</f>
        <v/>
      </c>
      <c r="AL1796" s="461" t="str">
        <f t="shared" si="1033"/>
        <v/>
      </c>
      <c r="AM1796" s="460" t="str">
        <f>IF(AU1796="","",IF(OR(AZ1796=8,AZ1796=9),0,IF(OR(AW1796=3,AW1796=4,AW1796=5,AW1796=6),IF(LEFT(BH1796,1)="1",INDEX(係数_PM低減,MATCH(AY1796,【参考】排出係数!$AI$801:$AI$804,1),MATCH(BI1796,【参考】排出係数!$AL$798:$AO$798,1)),VLOOKUP(AU1796,INDEX((係数_バス貨物_ガソリン,係数_バス貨物_CNG,係数_バス貨物_軽油,係数_バス貨物_メタノール,係数_バス貨物_LPG),MATCH(AY1796,【参考】排出係数!$AI$4:$AI$671,1),1,BE1796):INDEX((係数_バス貨物_ガソリン,係数_バス貨物_CNG,係数_バス貨物_軽油,係数_バス貨物_メタノール,係数_バス貨物_LPG),MATCH(AY1796+1,【参考】排出係数!$AI$4:$AI$671,1)-1,5,BE1796),5,FALSE)),IF(AND(BE1796=3,LEFT(BF1796,1)="1"),0.055,VLOOKUP(AU1796,INDEX((係数_乗用_ガソリン,係数_乗用_CNG,係数_乗用_軽油,係数_乗用_メタノール,係数_乗用_LPG),1,1,BE1796):INDEX((係数_乗用_ガソリン,係数_乗用_CNG,係数_乗用_軽油,係数_乗用_メタノール,係数_乗用_LPG),125,5,BE1796),5,FALSE)))))</f>
        <v/>
      </c>
      <c r="AN1796" s="461" t="str">
        <f t="shared" si="1034"/>
        <v/>
      </c>
      <c r="AO1796" s="462" t="str">
        <f t="shared" si="1035"/>
        <v/>
      </c>
      <c r="AP1796" s="463" t="str">
        <f t="shared" si="1036"/>
        <v/>
      </c>
      <c r="AQ1796" s="464"/>
      <c r="AR1796" s="619"/>
      <c r="AS1796" s="465" t="str">
        <f t="shared" si="1044"/>
        <v/>
      </c>
      <c r="AT1796" s="465" t="str">
        <f t="shared" si="1045"/>
        <v/>
      </c>
      <c r="AU1796" s="466" t="str">
        <f t="shared" si="1046"/>
        <v/>
      </c>
      <c r="AV1796" s="467" t="str">
        <f t="shared" si="1047"/>
        <v/>
      </c>
      <c r="AW1796" s="467" t="str">
        <f t="shared" si="1048"/>
        <v/>
      </c>
      <c r="AX1796" s="467" t="str">
        <f t="shared" si="1049"/>
        <v/>
      </c>
      <c r="AY1796" s="467" t="str">
        <f t="shared" si="1050"/>
        <v/>
      </c>
      <c r="AZ1796" s="467" t="str">
        <f t="shared" si="1051"/>
        <v/>
      </c>
      <c r="BA1796" s="468" t="str">
        <f>IF(AS1796="","",IF(OR(AU1796="",AU1796="-"),"－",IF(OR(AZ1796=8,AZ1796=9),"",IF(OR(AW1796=3,AW1796=4,AW1796=5,AW1796=6),VLOOKUP(AU1796,INDEX((係数_バス貨物_ガソリン,係数_バス貨物_CNG,係数_バス貨物_軽油,係数_バス貨物_メタノール,係数_バス貨物_LPG),MATCH(AY1796,【参考】排出係数!$AI$4:$AI$671,1),1,BE1796):INDEX((係数_バス貨物_ガソリン,係数_バス貨物_CNG,係数_バス貨物_軽油,係数_バス貨物_メタノール,係数_バス貨物_LPG),MATCH(AY1796+1,【参考】排出係数!$AI$4:$AI$671,1)-1,5,BE1796),2,FALSE),IF(OR(AW1796=1,AW1796=2),VLOOKUP(AU1796,INDEX((係数_乗用_ガソリン,係数_乗用_CNG,係数_乗用_軽油,係数_乗用_メタノール,係数_乗用_LPG),1,1,BE1796):INDEX((係数_乗用_ガソリン,係数_乗用_CNG,係数_乗用_軽油,係数_乗用_メタノール,係数_乗用_LPG),125,5,BE1796),2,FALSE))))))</f>
        <v/>
      </c>
      <c r="BB1796" s="468" t="str">
        <f>IF(T1796="","",IF(OR(AU1796="",AU1796="-"),"－",IF(OR(AZ1796=8,AZ1796=9),"",IF(OR(AW1796=3,AW1796=4,AW1796=5,AW1796=6),VLOOKUP(AU1796,INDEX((係数_バス貨物_ガソリン,係数_バス貨物_CNG,係数_バス貨物_軽油,係数_バス貨物_メタノール,係数_バス貨物_LPG),MATCH(AY1796,【参考】排出係数!$AI$4:$AI$671,1),1,BE1796):INDEX((係数_バス貨物_ガソリン,係数_バス貨物_CNG,係数_バス貨物_軽油,係数_バス貨物_メタノール,係数_バス貨物_LPG),MATCH(AY1796+1,【参考】排出係数!$AI$4:$AI$671,1)-1,5,BE1796),3,FALSE),IF(OR(AW1796=1,AW1796=2),VLOOKUP(AU1796,INDEX((係数_乗用_ガソリン,係数_乗用_CNG,係数_乗用_軽油,係数_乗用_メタノール,係数_乗用_LPG),1,1,BE1796):INDEX((係数_乗用_ガソリン,係数_乗用_CNG,係数_乗用_軽油,係数_乗用_メタノール,係数_乗用_LPG),125,5,BE1796),3,FALSE))))))</f>
        <v/>
      </c>
      <c r="BC1796" s="467" t="str">
        <f t="shared" si="1052"/>
        <v/>
      </c>
      <c r="BD1796" s="567" t="str">
        <f t="shared" si="1053"/>
        <v/>
      </c>
      <c r="BE1796" s="467" t="str">
        <f t="shared" si="1054"/>
        <v/>
      </c>
      <c r="BF1796" s="469" t="str">
        <f t="shared" ca="1" si="1055"/>
        <v/>
      </c>
      <c r="BG1796" s="469" t="str">
        <f t="shared" ca="1" si="1056"/>
        <v/>
      </c>
      <c r="BH1796" s="467" t="str">
        <f t="shared" si="1057"/>
        <v/>
      </c>
      <c r="BI1796" s="467" t="str">
        <f t="shared" ca="1" si="1058"/>
        <v/>
      </c>
      <c r="BJ1796" s="469" t="str">
        <f t="shared" si="1059"/>
        <v/>
      </c>
      <c r="BK1796" s="470" t="str">
        <f t="shared" si="1043"/>
        <v/>
      </c>
      <c r="BL1796" s="775" t="str">
        <f t="shared" si="1060"/>
        <v/>
      </c>
      <c r="BM1796" s="775" t="str">
        <f t="shared" si="1061"/>
        <v/>
      </c>
    </row>
    <row r="1797" spans="1:65">
      <c r="A1797" s="473">
        <v>1741</v>
      </c>
      <c r="B1797" s="132"/>
      <c r="C1797" s="332"/>
      <c r="D1797" s="333"/>
      <c r="E1797" s="333"/>
      <c r="F1797" s="334"/>
      <c r="G1797" s="337"/>
      <c r="H1797" s="131"/>
      <c r="I1797" s="337"/>
      <c r="J1797" s="131"/>
      <c r="K1797" s="458" t="str">
        <f t="shared" si="1024"/>
        <v/>
      </c>
      <c r="L1797" s="458">
        <f t="shared" si="1025"/>
        <v>0</v>
      </c>
      <c r="M1797" s="458">
        <f t="shared" si="1026"/>
        <v>0</v>
      </c>
      <c r="N1797" s="459" t="str">
        <f t="shared" si="1037"/>
        <v/>
      </c>
      <c r="O1797" s="459" t="str">
        <f t="shared" si="1038"/>
        <v/>
      </c>
      <c r="P1797" s="459" t="str">
        <f t="shared" si="1039"/>
        <v/>
      </c>
      <c r="Q1797" s="459" t="str">
        <f t="shared" si="1040"/>
        <v/>
      </c>
      <c r="R1797" s="459" t="str">
        <f t="shared" si="1041"/>
        <v/>
      </c>
      <c r="S1797" s="459" t="str">
        <f t="shared" si="1042"/>
        <v/>
      </c>
      <c r="T1797" s="566" t="str">
        <f t="shared" si="1027"/>
        <v/>
      </c>
      <c r="U1797" s="702"/>
      <c r="V1797" s="132"/>
      <c r="W1797" s="133"/>
      <c r="X1797" s="134"/>
      <c r="Y1797" s="135"/>
      <c r="Z1797" s="137"/>
      <c r="AA1797" s="136"/>
      <c r="AB1797" s="566" t="str">
        <f t="shared" si="1028"/>
        <v/>
      </c>
      <c r="AC1797" s="568" t="str">
        <f t="shared" si="1029"/>
        <v/>
      </c>
      <c r="AD1797" s="137"/>
      <c r="AE1797" s="137"/>
      <c r="AF1797" s="138"/>
      <c r="AG1797" s="138"/>
      <c r="AH1797" s="592" t="str">
        <f t="shared" si="1030"/>
        <v/>
      </c>
      <c r="AI1797" s="592" t="str">
        <f t="shared" si="1031"/>
        <v/>
      </c>
      <c r="AJ1797" s="592" t="str">
        <f t="shared" si="1032"/>
        <v/>
      </c>
      <c r="AK1797" s="460" t="str">
        <f>IF(AU1797="","",IF(OR(AZ1797=8,AZ1797=9),0,IF(OR(AW1797=3,AW1797=4,AW1797=5,AW1797=6),IF(LEFT(BF1797,1)="1",INDEX(係数_NOX・PM低減,MATCH(AY1797,【参考】排出係数!$AI$801:$AI$804,1),1),VLOOKUP(AU1797,INDEX((係数_バス貨物_ガソリン,係数_バス貨物_CNG,係数_バス貨物_軽油,係数_バス貨物_メタノール,係数_バス貨物_LPG),MATCH(AY1797,【参考】排出係数!$AI$4:$AI$671,1),1,BE1797):INDEX((係数_バス貨物_ガソリン,係数_バス貨物_CNG,係数_バス貨物_軽油,係数_バス貨物_メタノール,係数_バス貨物_LPG),MATCH(AY1797+1,【参考】排出係数!$AI$4:$AI$671,1)-1,5,BE1797),4,FALSE)),IF(AND(BE1797=3,LEFT(BF1797,1)="1"),0.48,VLOOKUP(AU1797,INDEX((係数_乗用_ガソリン,係数_乗用_CNG,係数_乗用_軽油,係数_乗用_メタノール,係数_乗用_LPG),1,1,BE1797):INDEX((係数_乗用_ガソリン,係数_乗用_CNG,係数_乗用_軽油,係数_乗用_メタノール,係数_乗用_LPG),125,5,BE1797),4,FALSE)))))</f>
        <v/>
      </c>
      <c r="AL1797" s="461" t="str">
        <f t="shared" si="1033"/>
        <v/>
      </c>
      <c r="AM1797" s="460" t="str">
        <f>IF(AU1797="","",IF(OR(AZ1797=8,AZ1797=9),0,IF(OR(AW1797=3,AW1797=4,AW1797=5,AW1797=6),IF(LEFT(BH1797,1)="1",INDEX(係数_PM低減,MATCH(AY1797,【参考】排出係数!$AI$801:$AI$804,1),MATCH(BI1797,【参考】排出係数!$AL$798:$AO$798,1)),VLOOKUP(AU1797,INDEX((係数_バス貨物_ガソリン,係数_バス貨物_CNG,係数_バス貨物_軽油,係数_バス貨物_メタノール,係数_バス貨物_LPG),MATCH(AY1797,【参考】排出係数!$AI$4:$AI$671,1),1,BE1797):INDEX((係数_バス貨物_ガソリン,係数_バス貨物_CNG,係数_バス貨物_軽油,係数_バス貨物_メタノール,係数_バス貨物_LPG),MATCH(AY1797+1,【参考】排出係数!$AI$4:$AI$671,1)-1,5,BE1797),5,FALSE)),IF(AND(BE1797=3,LEFT(BF1797,1)="1"),0.055,VLOOKUP(AU1797,INDEX((係数_乗用_ガソリン,係数_乗用_CNG,係数_乗用_軽油,係数_乗用_メタノール,係数_乗用_LPG),1,1,BE1797):INDEX((係数_乗用_ガソリン,係数_乗用_CNG,係数_乗用_軽油,係数_乗用_メタノール,係数_乗用_LPG),125,5,BE1797),5,FALSE)))))</f>
        <v/>
      </c>
      <c r="AN1797" s="461" t="str">
        <f t="shared" si="1034"/>
        <v/>
      </c>
      <c r="AO1797" s="462" t="str">
        <f t="shared" si="1035"/>
        <v/>
      </c>
      <c r="AP1797" s="463" t="str">
        <f t="shared" si="1036"/>
        <v/>
      </c>
      <c r="AQ1797" s="464"/>
      <c r="AR1797" s="619"/>
      <c r="AS1797" s="465" t="str">
        <f t="shared" si="1044"/>
        <v/>
      </c>
      <c r="AT1797" s="465" t="str">
        <f t="shared" si="1045"/>
        <v/>
      </c>
      <c r="AU1797" s="466" t="str">
        <f t="shared" si="1046"/>
        <v/>
      </c>
      <c r="AV1797" s="467" t="str">
        <f t="shared" si="1047"/>
        <v/>
      </c>
      <c r="AW1797" s="467" t="str">
        <f t="shared" si="1048"/>
        <v/>
      </c>
      <c r="AX1797" s="467" t="str">
        <f t="shared" si="1049"/>
        <v/>
      </c>
      <c r="AY1797" s="467" t="str">
        <f t="shared" si="1050"/>
        <v/>
      </c>
      <c r="AZ1797" s="467" t="str">
        <f t="shared" si="1051"/>
        <v/>
      </c>
      <c r="BA1797" s="468" t="str">
        <f>IF(AS1797="","",IF(OR(AU1797="",AU1797="-"),"－",IF(OR(AZ1797=8,AZ1797=9),"",IF(OR(AW1797=3,AW1797=4,AW1797=5,AW1797=6),VLOOKUP(AU1797,INDEX((係数_バス貨物_ガソリン,係数_バス貨物_CNG,係数_バス貨物_軽油,係数_バス貨物_メタノール,係数_バス貨物_LPG),MATCH(AY1797,【参考】排出係数!$AI$4:$AI$671,1),1,BE1797):INDEX((係数_バス貨物_ガソリン,係数_バス貨物_CNG,係数_バス貨物_軽油,係数_バス貨物_メタノール,係数_バス貨物_LPG),MATCH(AY1797+1,【参考】排出係数!$AI$4:$AI$671,1)-1,5,BE1797),2,FALSE),IF(OR(AW1797=1,AW1797=2),VLOOKUP(AU1797,INDEX((係数_乗用_ガソリン,係数_乗用_CNG,係数_乗用_軽油,係数_乗用_メタノール,係数_乗用_LPG),1,1,BE1797):INDEX((係数_乗用_ガソリン,係数_乗用_CNG,係数_乗用_軽油,係数_乗用_メタノール,係数_乗用_LPG),125,5,BE1797),2,FALSE))))))</f>
        <v/>
      </c>
      <c r="BB1797" s="468" t="str">
        <f>IF(T1797="","",IF(OR(AU1797="",AU1797="-"),"－",IF(OR(AZ1797=8,AZ1797=9),"",IF(OR(AW1797=3,AW1797=4,AW1797=5,AW1797=6),VLOOKUP(AU1797,INDEX((係数_バス貨物_ガソリン,係数_バス貨物_CNG,係数_バス貨物_軽油,係数_バス貨物_メタノール,係数_バス貨物_LPG),MATCH(AY1797,【参考】排出係数!$AI$4:$AI$671,1),1,BE1797):INDEX((係数_バス貨物_ガソリン,係数_バス貨物_CNG,係数_バス貨物_軽油,係数_バス貨物_メタノール,係数_バス貨物_LPG),MATCH(AY1797+1,【参考】排出係数!$AI$4:$AI$671,1)-1,5,BE1797),3,FALSE),IF(OR(AW1797=1,AW1797=2),VLOOKUP(AU1797,INDEX((係数_乗用_ガソリン,係数_乗用_CNG,係数_乗用_軽油,係数_乗用_メタノール,係数_乗用_LPG),1,1,BE1797):INDEX((係数_乗用_ガソリン,係数_乗用_CNG,係数_乗用_軽油,係数_乗用_メタノール,係数_乗用_LPG),125,5,BE1797),3,FALSE))))))</f>
        <v/>
      </c>
      <c r="BC1797" s="467" t="str">
        <f t="shared" si="1052"/>
        <v/>
      </c>
      <c r="BD1797" s="567" t="str">
        <f t="shared" si="1053"/>
        <v/>
      </c>
      <c r="BE1797" s="467" t="str">
        <f t="shared" si="1054"/>
        <v/>
      </c>
      <c r="BF1797" s="469" t="str">
        <f t="shared" ca="1" si="1055"/>
        <v/>
      </c>
      <c r="BG1797" s="469" t="str">
        <f t="shared" ca="1" si="1056"/>
        <v/>
      </c>
      <c r="BH1797" s="467" t="str">
        <f t="shared" si="1057"/>
        <v/>
      </c>
      <c r="BI1797" s="467" t="str">
        <f t="shared" ca="1" si="1058"/>
        <v/>
      </c>
      <c r="BJ1797" s="469" t="str">
        <f t="shared" si="1059"/>
        <v/>
      </c>
      <c r="BK1797" s="470" t="str">
        <f t="shared" si="1043"/>
        <v/>
      </c>
      <c r="BL1797" s="775" t="str">
        <f t="shared" si="1060"/>
        <v/>
      </c>
      <c r="BM1797" s="775" t="str">
        <f t="shared" si="1061"/>
        <v/>
      </c>
    </row>
    <row r="1798" spans="1:65">
      <c r="A1798" s="473">
        <v>1742</v>
      </c>
      <c r="B1798" s="132"/>
      <c r="C1798" s="332"/>
      <c r="D1798" s="333"/>
      <c r="E1798" s="333"/>
      <c r="F1798" s="334"/>
      <c r="G1798" s="337"/>
      <c r="H1798" s="131"/>
      <c r="I1798" s="337"/>
      <c r="J1798" s="131"/>
      <c r="K1798" s="458" t="str">
        <f t="shared" si="1024"/>
        <v/>
      </c>
      <c r="L1798" s="458">
        <f t="shared" si="1025"/>
        <v>0</v>
      </c>
      <c r="M1798" s="458">
        <f t="shared" si="1026"/>
        <v>0</v>
      </c>
      <c r="N1798" s="459" t="str">
        <f t="shared" si="1037"/>
        <v/>
      </c>
      <c r="O1798" s="459" t="str">
        <f t="shared" si="1038"/>
        <v/>
      </c>
      <c r="P1798" s="459" t="str">
        <f t="shared" si="1039"/>
        <v/>
      </c>
      <c r="Q1798" s="459" t="str">
        <f t="shared" si="1040"/>
        <v/>
      </c>
      <c r="R1798" s="459" t="str">
        <f t="shared" si="1041"/>
        <v/>
      </c>
      <c r="S1798" s="459" t="str">
        <f t="shared" si="1042"/>
        <v/>
      </c>
      <c r="T1798" s="566" t="str">
        <f t="shared" si="1027"/>
        <v/>
      </c>
      <c r="U1798" s="702"/>
      <c r="V1798" s="132"/>
      <c r="W1798" s="133"/>
      <c r="X1798" s="134"/>
      <c r="Y1798" s="135"/>
      <c r="Z1798" s="137"/>
      <c r="AA1798" s="136"/>
      <c r="AB1798" s="566" t="str">
        <f t="shared" si="1028"/>
        <v/>
      </c>
      <c r="AC1798" s="568" t="str">
        <f t="shared" si="1029"/>
        <v/>
      </c>
      <c r="AD1798" s="137"/>
      <c r="AE1798" s="137"/>
      <c r="AF1798" s="138"/>
      <c r="AG1798" s="138"/>
      <c r="AH1798" s="592" t="str">
        <f t="shared" si="1030"/>
        <v/>
      </c>
      <c r="AI1798" s="592" t="str">
        <f t="shared" si="1031"/>
        <v/>
      </c>
      <c r="AJ1798" s="592" t="str">
        <f t="shared" si="1032"/>
        <v/>
      </c>
      <c r="AK1798" s="460" t="str">
        <f>IF(AU1798="","",IF(OR(AZ1798=8,AZ1798=9),0,IF(OR(AW1798=3,AW1798=4,AW1798=5,AW1798=6),IF(LEFT(BF1798,1)="1",INDEX(係数_NOX・PM低減,MATCH(AY1798,【参考】排出係数!$AI$801:$AI$804,1),1),VLOOKUP(AU1798,INDEX((係数_バス貨物_ガソリン,係数_バス貨物_CNG,係数_バス貨物_軽油,係数_バス貨物_メタノール,係数_バス貨物_LPG),MATCH(AY1798,【参考】排出係数!$AI$4:$AI$671,1),1,BE1798):INDEX((係数_バス貨物_ガソリン,係数_バス貨物_CNG,係数_バス貨物_軽油,係数_バス貨物_メタノール,係数_バス貨物_LPG),MATCH(AY1798+1,【参考】排出係数!$AI$4:$AI$671,1)-1,5,BE1798),4,FALSE)),IF(AND(BE1798=3,LEFT(BF1798,1)="1"),0.48,VLOOKUP(AU1798,INDEX((係数_乗用_ガソリン,係数_乗用_CNG,係数_乗用_軽油,係数_乗用_メタノール,係数_乗用_LPG),1,1,BE1798):INDEX((係数_乗用_ガソリン,係数_乗用_CNG,係数_乗用_軽油,係数_乗用_メタノール,係数_乗用_LPG),125,5,BE1798),4,FALSE)))))</f>
        <v/>
      </c>
      <c r="AL1798" s="461" t="str">
        <f t="shared" si="1033"/>
        <v/>
      </c>
      <c r="AM1798" s="460" t="str">
        <f>IF(AU1798="","",IF(OR(AZ1798=8,AZ1798=9),0,IF(OR(AW1798=3,AW1798=4,AW1798=5,AW1798=6),IF(LEFT(BH1798,1)="1",INDEX(係数_PM低減,MATCH(AY1798,【参考】排出係数!$AI$801:$AI$804,1),MATCH(BI1798,【参考】排出係数!$AL$798:$AO$798,1)),VLOOKUP(AU1798,INDEX((係数_バス貨物_ガソリン,係数_バス貨物_CNG,係数_バス貨物_軽油,係数_バス貨物_メタノール,係数_バス貨物_LPG),MATCH(AY1798,【参考】排出係数!$AI$4:$AI$671,1),1,BE1798):INDEX((係数_バス貨物_ガソリン,係数_バス貨物_CNG,係数_バス貨物_軽油,係数_バス貨物_メタノール,係数_バス貨物_LPG),MATCH(AY1798+1,【参考】排出係数!$AI$4:$AI$671,1)-1,5,BE1798),5,FALSE)),IF(AND(BE1798=3,LEFT(BF1798,1)="1"),0.055,VLOOKUP(AU1798,INDEX((係数_乗用_ガソリン,係数_乗用_CNG,係数_乗用_軽油,係数_乗用_メタノール,係数_乗用_LPG),1,1,BE1798):INDEX((係数_乗用_ガソリン,係数_乗用_CNG,係数_乗用_軽油,係数_乗用_メタノール,係数_乗用_LPG),125,5,BE1798),5,FALSE)))))</f>
        <v/>
      </c>
      <c r="AN1798" s="461" t="str">
        <f t="shared" si="1034"/>
        <v/>
      </c>
      <c r="AO1798" s="462" t="str">
        <f t="shared" si="1035"/>
        <v/>
      </c>
      <c r="AP1798" s="463" t="str">
        <f t="shared" si="1036"/>
        <v/>
      </c>
      <c r="AQ1798" s="464"/>
      <c r="AR1798" s="619"/>
      <c r="AS1798" s="465" t="str">
        <f t="shared" si="1044"/>
        <v/>
      </c>
      <c r="AT1798" s="465" t="str">
        <f t="shared" si="1045"/>
        <v/>
      </c>
      <c r="AU1798" s="466" t="str">
        <f t="shared" si="1046"/>
        <v/>
      </c>
      <c r="AV1798" s="467" t="str">
        <f t="shared" si="1047"/>
        <v/>
      </c>
      <c r="AW1798" s="467" t="str">
        <f t="shared" si="1048"/>
        <v/>
      </c>
      <c r="AX1798" s="467" t="str">
        <f t="shared" si="1049"/>
        <v/>
      </c>
      <c r="AY1798" s="467" t="str">
        <f t="shared" si="1050"/>
        <v/>
      </c>
      <c r="AZ1798" s="467" t="str">
        <f t="shared" si="1051"/>
        <v/>
      </c>
      <c r="BA1798" s="468" t="str">
        <f>IF(AS1798="","",IF(OR(AU1798="",AU1798="-"),"－",IF(OR(AZ1798=8,AZ1798=9),"",IF(OR(AW1798=3,AW1798=4,AW1798=5,AW1798=6),VLOOKUP(AU1798,INDEX((係数_バス貨物_ガソリン,係数_バス貨物_CNG,係数_バス貨物_軽油,係数_バス貨物_メタノール,係数_バス貨物_LPG),MATCH(AY1798,【参考】排出係数!$AI$4:$AI$671,1),1,BE1798):INDEX((係数_バス貨物_ガソリン,係数_バス貨物_CNG,係数_バス貨物_軽油,係数_バス貨物_メタノール,係数_バス貨物_LPG),MATCH(AY1798+1,【参考】排出係数!$AI$4:$AI$671,1)-1,5,BE1798),2,FALSE),IF(OR(AW1798=1,AW1798=2),VLOOKUP(AU1798,INDEX((係数_乗用_ガソリン,係数_乗用_CNG,係数_乗用_軽油,係数_乗用_メタノール,係数_乗用_LPG),1,1,BE1798):INDEX((係数_乗用_ガソリン,係数_乗用_CNG,係数_乗用_軽油,係数_乗用_メタノール,係数_乗用_LPG),125,5,BE1798),2,FALSE))))))</f>
        <v/>
      </c>
      <c r="BB1798" s="468" t="str">
        <f>IF(T1798="","",IF(OR(AU1798="",AU1798="-"),"－",IF(OR(AZ1798=8,AZ1798=9),"",IF(OR(AW1798=3,AW1798=4,AW1798=5,AW1798=6),VLOOKUP(AU1798,INDEX((係数_バス貨物_ガソリン,係数_バス貨物_CNG,係数_バス貨物_軽油,係数_バス貨物_メタノール,係数_バス貨物_LPG),MATCH(AY1798,【参考】排出係数!$AI$4:$AI$671,1),1,BE1798):INDEX((係数_バス貨物_ガソリン,係数_バス貨物_CNG,係数_バス貨物_軽油,係数_バス貨物_メタノール,係数_バス貨物_LPG),MATCH(AY1798+1,【参考】排出係数!$AI$4:$AI$671,1)-1,5,BE1798),3,FALSE),IF(OR(AW1798=1,AW1798=2),VLOOKUP(AU1798,INDEX((係数_乗用_ガソリン,係数_乗用_CNG,係数_乗用_軽油,係数_乗用_メタノール,係数_乗用_LPG),1,1,BE1798):INDEX((係数_乗用_ガソリン,係数_乗用_CNG,係数_乗用_軽油,係数_乗用_メタノール,係数_乗用_LPG),125,5,BE1798),3,FALSE))))))</f>
        <v/>
      </c>
      <c r="BC1798" s="467" t="str">
        <f t="shared" si="1052"/>
        <v/>
      </c>
      <c r="BD1798" s="567" t="str">
        <f t="shared" si="1053"/>
        <v/>
      </c>
      <c r="BE1798" s="467" t="str">
        <f t="shared" si="1054"/>
        <v/>
      </c>
      <c r="BF1798" s="469" t="str">
        <f t="shared" ca="1" si="1055"/>
        <v/>
      </c>
      <c r="BG1798" s="469" t="str">
        <f t="shared" ca="1" si="1056"/>
        <v/>
      </c>
      <c r="BH1798" s="467" t="str">
        <f t="shared" si="1057"/>
        <v/>
      </c>
      <c r="BI1798" s="467" t="str">
        <f t="shared" ca="1" si="1058"/>
        <v/>
      </c>
      <c r="BJ1798" s="469" t="str">
        <f t="shared" si="1059"/>
        <v/>
      </c>
      <c r="BK1798" s="470" t="str">
        <f t="shared" si="1043"/>
        <v/>
      </c>
      <c r="BL1798" s="775" t="str">
        <f t="shared" si="1060"/>
        <v/>
      </c>
      <c r="BM1798" s="775" t="str">
        <f t="shared" si="1061"/>
        <v/>
      </c>
    </row>
    <row r="1799" spans="1:65">
      <c r="A1799" s="473">
        <v>1743</v>
      </c>
      <c r="B1799" s="132"/>
      <c r="C1799" s="332"/>
      <c r="D1799" s="333"/>
      <c r="E1799" s="333"/>
      <c r="F1799" s="334"/>
      <c r="G1799" s="337"/>
      <c r="H1799" s="131"/>
      <c r="I1799" s="337"/>
      <c r="J1799" s="131"/>
      <c r="K1799" s="458" t="str">
        <f t="shared" si="1024"/>
        <v/>
      </c>
      <c r="L1799" s="458">
        <f t="shared" si="1025"/>
        <v>0</v>
      </c>
      <c r="M1799" s="458">
        <f t="shared" si="1026"/>
        <v>0</v>
      </c>
      <c r="N1799" s="459" t="str">
        <f t="shared" si="1037"/>
        <v/>
      </c>
      <c r="O1799" s="459" t="str">
        <f t="shared" si="1038"/>
        <v/>
      </c>
      <c r="P1799" s="459" t="str">
        <f t="shared" si="1039"/>
        <v/>
      </c>
      <c r="Q1799" s="459" t="str">
        <f t="shared" si="1040"/>
        <v/>
      </c>
      <c r="R1799" s="459" t="str">
        <f t="shared" si="1041"/>
        <v/>
      </c>
      <c r="S1799" s="459" t="str">
        <f t="shared" si="1042"/>
        <v/>
      </c>
      <c r="T1799" s="566" t="str">
        <f t="shared" si="1027"/>
        <v/>
      </c>
      <c r="U1799" s="702"/>
      <c r="V1799" s="132"/>
      <c r="W1799" s="133"/>
      <c r="X1799" s="134"/>
      <c r="Y1799" s="135"/>
      <c r="Z1799" s="137"/>
      <c r="AA1799" s="136"/>
      <c r="AB1799" s="566" t="str">
        <f t="shared" si="1028"/>
        <v/>
      </c>
      <c r="AC1799" s="568" t="str">
        <f t="shared" si="1029"/>
        <v/>
      </c>
      <c r="AD1799" s="137"/>
      <c r="AE1799" s="137"/>
      <c r="AF1799" s="138"/>
      <c r="AG1799" s="138"/>
      <c r="AH1799" s="592" t="str">
        <f t="shared" si="1030"/>
        <v/>
      </c>
      <c r="AI1799" s="592" t="str">
        <f t="shared" si="1031"/>
        <v/>
      </c>
      <c r="AJ1799" s="592" t="str">
        <f t="shared" si="1032"/>
        <v/>
      </c>
      <c r="AK1799" s="460" t="str">
        <f>IF(AU1799="","",IF(OR(AZ1799=8,AZ1799=9),0,IF(OR(AW1799=3,AW1799=4,AW1799=5,AW1799=6),IF(LEFT(BF1799,1)="1",INDEX(係数_NOX・PM低減,MATCH(AY1799,【参考】排出係数!$AI$801:$AI$804,1),1),VLOOKUP(AU1799,INDEX((係数_バス貨物_ガソリン,係数_バス貨物_CNG,係数_バス貨物_軽油,係数_バス貨物_メタノール,係数_バス貨物_LPG),MATCH(AY1799,【参考】排出係数!$AI$4:$AI$671,1),1,BE1799):INDEX((係数_バス貨物_ガソリン,係数_バス貨物_CNG,係数_バス貨物_軽油,係数_バス貨物_メタノール,係数_バス貨物_LPG),MATCH(AY1799+1,【参考】排出係数!$AI$4:$AI$671,1)-1,5,BE1799),4,FALSE)),IF(AND(BE1799=3,LEFT(BF1799,1)="1"),0.48,VLOOKUP(AU1799,INDEX((係数_乗用_ガソリン,係数_乗用_CNG,係数_乗用_軽油,係数_乗用_メタノール,係数_乗用_LPG),1,1,BE1799):INDEX((係数_乗用_ガソリン,係数_乗用_CNG,係数_乗用_軽油,係数_乗用_メタノール,係数_乗用_LPG),125,5,BE1799),4,FALSE)))))</f>
        <v/>
      </c>
      <c r="AL1799" s="461" t="str">
        <f t="shared" si="1033"/>
        <v/>
      </c>
      <c r="AM1799" s="460" t="str">
        <f>IF(AU1799="","",IF(OR(AZ1799=8,AZ1799=9),0,IF(OR(AW1799=3,AW1799=4,AW1799=5,AW1799=6),IF(LEFT(BH1799,1)="1",INDEX(係数_PM低減,MATCH(AY1799,【参考】排出係数!$AI$801:$AI$804,1),MATCH(BI1799,【参考】排出係数!$AL$798:$AO$798,1)),VLOOKUP(AU1799,INDEX((係数_バス貨物_ガソリン,係数_バス貨物_CNG,係数_バス貨物_軽油,係数_バス貨物_メタノール,係数_バス貨物_LPG),MATCH(AY1799,【参考】排出係数!$AI$4:$AI$671,1),1,BE1799):INDEX((係数_バス貨物_ガソリン,係数_バス貨物_CNG,係数_バス貨物_軽油,係数_バス貨物_メタノール,係数_バス貨物_LPG),MATCH(AY1799+1,【参考】排出係数!$AI$4:$AI$671,1)-1,5,BE1799),5,FALSE)),IF(AND(BE1799=3,LEFT(BF1799,1)="1"),0.055,VLOOKUP(AU1799,INDEX((係数_乗用_ガソリン,係数_乗用_CNG,係数_乗用_軽油,係数_乗用_メタノール,係数_乗用_LPG),1,1,BE1799):INDEX((係数_乗用_ガソリン,係数_乗用_CNG,係数_乗用_軽油,係数_乗用_メタノール,係数_乗用_LPG),125,5,BE1799),5,FALSE)))))</f>
        <v/>
      </c>
      <c r="AN1799" s="461" t="str">
        <f t="shared" si="1034"/>
        <v/>
      </c>
      <c r="AO1799" s="462" t="str">
        <f t="shared" si="1035"/>
        <v/>
      </c>
      <c r="AP1799" s="463" t="str">
        <f t="shared" si="1036"/>
        <v/>
      </c>
      <c r="AQ1799" s="464"/>
      <c r="AR1799" s="619"/>
      <c r="AS1799" s="465" t="str">
        <f t="shared" si="1044"/>
        <v/>
      </c>
      <c r="AT1799" s="465" t="str">
        <f t="shared" si="1045"/>
        <v/>
      </c>
      <c r="AU1799" s="466" t="str">
        <f t="shared" si="1046"/>
        <v/>
      </c>
      <c r="AV1799" s="467" t="str">
        <f t="shared" si="1047"/>
        <v/>
      </c>
      <c r="AW1799" s="467" t="str">
        <f t="shared" si="1048"/>
        <v/>
      </c>
      <c r="AX1799" s="467" t="str">
        <f t="shared" si="1049"/>
        <v/>
      </c>
      <c r="AY1799" s="467" t="str">
        <f t="shared" si="1050"/>
        <v/>
      </c>
      <c r="AZ1799" s="467" t="str">
        <f t="shared" si="1051"/>
        <v/>
      </c>
      <c r="BA1799" s="468" t="str">
        <f>IF(AS1799="","",IF(OR(AU1799="",AU1799="-"),"－",IF(OR(AZ1799=8,AZ1799=9),"",IF(OR(AW1799=3,AW1799=4,AW1799=5,AW1799=6),VLOOKUP(AU1799,INDEX((係数_バス貨物_ガソリン,係数_バス貨物_CNG,係数_バス貨物_軽油,係数_バス貨物_メタノール,係数_バス貨物_LPG),MATCH(AY1799,【参考】排出係数!$AI$4:$AI$671,1),1,BE1799):INDEX((係数_バス貨物_ガソリン,係数_バス貨物_CNG,係数_バス貨物_軽油,係数_バス貨物_メタノール,係数_バス貨物_LPG),MATCH(AY1799+1,【参考】排出係数!$AI$4:$AI$671,1)-1,5,BE1799),2,FALSE),IF(OR(AW1799=1,AW1799=2),VLOOKUP(AU1799,INDEX((係数_乗用_ガソリン,係数_乗用_CNG,係数_乗用_軽油,係数_乗用_メタノール,係数_乗用_LPG),1,1,BE1799):INDEX((係数_乗用_ガソリン,係数_乗用_CNG,係数_乗用_軽油,係数_乗用_メタノール,係数_乗用_LPG),125,5,BE1799),2,FALSE))))))</f>
        <v/>
      </c>
      <c r="BB1799" s="468" t="str">
        <f>IF(T1799="","",IF(OR(AU1799="",AU1799="-"),"－",IF(OR(AZ1799=8,AZ1799=9),"",IF(OR(AW1799=3,AW1799=4,AW1799=5,AW1799=6),VLOOKUP(AU1799,INDEX((係数_バス貨物_ガソリン,係数_バス貨物_CNG,係数_バス貨物_軽油,係数_バス貨物_メタノール,係数_バス貨物_LPG),MATCH(AY1799,【参考】排出係数!$AI$4:$AI$671,1),1,BE1799):INDEX((係数_バス貨物_ガソリン,係数_バス貨物_CNG,係数_バス貨物_軽油,係数_バス貨物_メタノール,係数_バス貨物_LPG),MATCH(AY1799+1,【参考】排出係数!$AI$4:$AI$671,1)-1,5,BE1799),3,FALSE),IF(OR(AW1799=1,AW1799=2),VLOOKUP(AU1799,INDEX((係数_乗用_ガソリン,係数_乗用_CNG,係数_乗用_軽油,係数_乗用_メタノール,係数_乗用_LPG),1,1,BE1799):INDEX((係数_乗用_ガソリン,係数_乗用_CNG,係数_乗用_軽油,係数_乗用_メタノール,係数_乗用_LPG),125,5,BE1799),3,FALSE))))))</f>
        <v/>
      </c>
      <c r="BC1799" s="467" t="str">
        <f t="shared" si="1052"/>
        <v/>
      </c>
      <c r="BD1799" s="567" t="str">
        <f t="shared" si="1053"/>
        <v/>
      </c>
      <c r="BE1799" s="467" t="str">
        <f t="shared" si="1054"/>
        <v/>
      </c>
      <c r="BF1799" s="469" t="str">
        <f t="shared" ca="1" si="1055"/>
        <v/>
      </c>
      <c r="BG1799" s="469" t="str">
        <f t="shared" ca="1" si="1056"/>
        <v/>
      </c>
      <c r="BH1799" s="467" t="str">
        <f t="shared" si="1057"/>
        <v/>
      </c>
      <c r="BI1799" s="467" t="str">
        <f t="shared" ca="1" si="1058"/>
        <v/>
      </c>
      <c r="BJ1799" s="469" t="str">
        <f t="shared" si="1059"/>
        <v/>
      </c>
      <c r="BK1799" s="470" t="str">
        <f t="shared" si="1043"/>
        <v/>
      </c>
      <c r="BL1799" s="775" t="str">
        <f t="shared" si="1060"/>
        <v/>
      </c>
      <c r="BM1799" s="775" t="str">
        <f t="shared" si="1061"/>
        <v/>
      </c>
    </row>
    <row r="1800" spans="1:65">
      <c r="A1800" s="473">
        <v>1744</v>
      </c>
      <c r="B1800" s="132"/>
      <c r="C1800" s="332"/>
      <c r="D1800" s="333"/>
      <c r="E1800" s="333"/>
      <c r="F1800" s="334"/>
      <c r="G1800" s="337"/>
      <c r="H1800" s="131"/>
      <c r="I1800" s="337"/>
      <c r="J1800" s="131"/>
      <c r="K1800" s="458" t="str">
        <f t="shared" si="1024"/>
        <v/>
      </c>
      <c r="L1800" s="458">
        <f t="shared" si="1025"/>
        <v>0</v>
      </c>
      <c r="M1800" s="458">
        <f t="shared" si="1026"/>
        <v>0</v>
      </c>
      <c r="N1800" s="459" t="str">
        <f t="shared" si="1037"/>
        <v/>
      </c>
      <c r="O1800" s="459" t="str">
        <f t="shared" si="1038"/>
        <v/>
      </c>
      <c r="P1800" s="459" t="str">
        <f t="shared" si="1039"/>
        <v/>
      </c>
      <c r="Q1800" s="459" t="str">
        <f t="shared" si="1040"/>
        <v/>
      </c>
      <c r="R1800" s="459" t="str">
        <f t="shared" si="1041"/>
        <v/>
      </c>
      <c r="S1800" s="459" t="str">
        <f t="shared" si="1042"/>
        <v/>
      </c>
      <c r="T1800" s="566" t="str">
        <f t="shared" si="1027"/>
        <v/>
      </c>
      <c r="U1800" s="702"/>
      <c r="V1800" s="132"/>
      <c r="W1800" s="133"/>
      <c r="X1800" s="134"/>
      <c r="Y1800" s="135"/>
      <c r="Z1800" s="137"/>
      <c r="AA1800" s="136"/>
      <c r="AB1800" s="566" t="str">
        <f t="shared" si="1028"/>
        <v/>
      </c>
      <c r="AC1800" s="568" t="str">
        <f t="shared" si="1029"/>
        <v/>
      </c>
      <c r="AD1800" s="137"/>
      <c r="AE1800" s="137"/>
      <c r="AF1800" s="138"/>
      <c r="AG1800" s="138"/>
      <c r="AH1800" s="592" t="str">
        <f t="shared" si="1030"/>
        <v/>
      </c>
      <c r="AI1800" s="592" t="str">
        <f t="shared" si="1031"/>
        <v/>
      </c>
      <c r="AJ1800" s="592" t="str">
        <f t="shared" si="1032"/>
        <v/>
      </c>
      <c r="AK1800" s="460" t="str">
        <f>IF(AU1800="","",IF(OR(AZ1800=8,AZ1800=9),0,IF(OR(AW1800=3,AW1800=4,AW1800=5,AW1800=6),IF(LEFT(BF1800,1)="1",INDEX(係数_NOX・PM低減,MATCH(AY1800,【参考】排出係数!$AI$801:$AI$804,1),1),VLOOKUP(AU1800,INDEX((係数_バス貨物_ガソリン,係数_バス貨物_CNG,係数_バス貨物_軽油,係数_バス貨物_メタノール,係数_バス貨物_LPG),MATCH(AY1800,【参考】排出係数!$AI$4:$AI$671,1),1,BE1800):INDEX((係数_バス貨物_ガソリン,係数_バス貨物_CNG,係数_バス貨物_軽油,係数_バス貨物_メタノール,係数_バス貨物_LPG),MATCH(AY1800+1,【参考】排出係数!$AI$4:$AI$671,1)-1,5,BE1800),4,FALSE)),IF(AND(BE1800=3,LEFT(BF1800,1)="1"),0.48,VLOOKUP(AU1800,INDEX((係数_乗用_ガソリン,係数_乗用_CNG,係数_乗用_軽油,係数_乗用_メタノール,係数_乗用_LPG),1,1,BE1800):INDEX((係数_乗用_ガソリン,係数_乗用_CNG,係数_乗用_軽油,係数_乗用_メタノール,係数_乗用_LPG),125,5,BE1800),4,FALSE)))))</f>
        <v/>
      </c>
      <c r="AL1800" s="461" t="str">
        <f t="shared" si="1033"/>
        <v/>
      </c>
      <c r="AM1800" s="460" t="str">
        <f>IF(AU1800="","",IF(OR(AZ1800=8,AZ1800=9),0,IF(OR(AW1800=3,AW1800=4,AW1800=5,AW1800=6),IF(LEFT(BH1800,1)="1",INDEX(係数_PM低減,MATCH(AY1800,【参考】排出係数!$AI$801:$AI$804,1),MATCH(BI1800,【参考】排出係数!$AL$798:$AO$798,1)),VLOOKUP(AU1800,INDEX((係数_バス貨物_ガソリン,係数_バス貨物_CNG,係数_バス貨物_軽油,係数_バス貨物_メタノール,係数_バス貨物_LPG),MATCH(AY1800,【参考】排出係数!$AI$4:$AI$671,1),1,BE1800):INDEX((係数_バス貨物_ガソリン,係数_バス貨物_CNG,係数_バス貨物_軽油,係数_バス貨物_メタノール,係数_バス貨物_LPG),MATCH(AY1800+1,【参考】排出係数!$AI$4:$AI$671,1)-1,5,BE1800),5,FALSE)),IF(AND(BE1800=3,LEFT(BF1800,1)="1"),0.055,VLOOKUP(AU1800,INDEX((係数_乗用_ガソリン,係数_乗用_CNG,係数_乗用_軽油,係数_乗用_メタノール,係数_乗用_LPG),1,1,BE1800):INDEX((係数_乗用_ガソリン,係数_乗用_CNG,係数_乗用_軽油,係数_乗用_メタノール,係数_乗用_LPG),125,5,BE1800),5,FALSE)))))</f>
        <v/>
      </c>
      <c r="AN1800" s="461" t="str">
        <f t="shared" si="1034"/>
        <v/>
      </c>
      <c r="AO1800" s="462" t="str">
        <f t="shared" si="1035"/>
        <v/>
      </c>
      <c r="AP1800" s="463" t="str">
        <f t="shared" si="1036"/>
        <v/>
      </c>
      <c r="AQ1800" s="464"/>
      <c r="AR1800" s="619"/>
      <c r="AS1800" s="465" t="str">
        <f t="shared" si="1044"/>
        <v/>
      </c>
      <c r="AT1800" s="465" t="str">
        <f t="shared" si="1045"/>
        <v/>
      </c>
      <c r="AU1800" s="466" t="str">
        <f t="shared" si="1046"/>
        <v/>
      </c>
      <c r="AV1800" s="467" t="str">
        <f t="shared" si="1047"/>
        <v/>
      </c>
      <c r="AW1800" s="467" t="str">
        <f t="shared" si="1048"/>
        <v/>
      </c>
      <c r="AX1800" s="467" t="str">
        <f t="shared" si="1049"/>
        <v/>
      </c>
      <c r="AY1800" s="467" t="str">
        <f t="shared" si="1050"/>
        <v/>
      </c>
      <c r="AZ1800" s="467" t="str">
        <f t="shared" si="1051"/>
        <v/>
      </c>
      <c r="BA1800" s="468" t="str">
        <f>IF(AS1800="","",IF(OR(AU1800="",AU1800="-"),"－",IF(OR(AZ1800=8,AZ1800=9),"",IF(OR(AW1800=3,AW1800=4,AW1800=5,AW1800=6),VLOOKUP(AU1800,INDEX((係数_バス貨物_ガソリン,係数_バス貨物_CNG,係数_バス貨物_軽油,係数_バス貨物_メタノール,係数_バス貨物_LPG),MATCH(AY1800,【参考】排出係数!$AI$4:$AI$671,1),1,BE1800):INDEX((係数_バス貨物_ガソリン,係数_バス貨物_CNG,係数_バス貨物_軽油,係数_バス貨物_メタノール,係数_バス貨物_LPG),MATCH(AY1800+1,【参考】排出係数!$AI$4:$AI$671,1)-1,5,BE1800),2,FALSE),IF(OR(AW1800=1,AW1800=2),VLOOKUP(AU1800,INDEX((係数_乗用_ガソリン,係数_乗用_CNG,係数_乗用_軽油,係数_乗用_メタノール,係数_乗用_LPG),1,1,BE1800):INDEX((係数_乗用_ガソリン,係数_乗用_CNG,係数_乗用_軽油,係数_乗用_メタノール,係数_乗用_LPG),125,5,BE1800),2,FALSE))))))</f>
        <v/>
      </c>
      <c r="BB1800" s="468" t="str">
        <f>IF(T1800="","",IF(OR(AU1800="",AU1800="-"),"－",IF(OR(AZ1800=8,AZ1800=9),"",IF(OR(AW1800=3,AW1800=4,AW1800=5,AW1800=6),VLOOKUP(AU1800,INDEX((係数_バス貨物_ガソリン,係数_バス貨物_CNG,係数_バス貨物_軽油,係数_バス貨物_メタノール,係数_バス貨物_LPG),MATCH(AY1800,【参考】排出係数!$AI$4:$AI$671,1),1,BE1800):INDEX((係数_バス貨物_ガソリン,係数_バス貨物_CNG,係数_バス貨物_軽油,係数_バス貨物_メタノール,係数_バス貨物_LPG),MATCH(AY1800+1,【参考】排出係数!$AI$4:$AI$671,1)-1,5,BE1800),3,FALSE),IF(OR(AW1800=1,AW1800=2),VLOOKUP(AU1800,INDEX((係数_乗用_ガソリン,係数_乗用_CNG,係数_乗用_軽油,係数_乗用_メタノール,係数_乗用_LPG),1,1,BE1800):INDEX((係数_乗用_ガソリン,係数_乗用_CNG,係数_乗用_軽油,係数_乗用_メタノール,係数_乗用_LPG),125,5,BE1800),3,FALSE))))))</f>
        <v/>
      </c>
      <c r="BC1800" s="467" t="str">
        <f t="shared" si="1052"/>
        <v/>
      </c>
      <c r="BD1800" s="567" t="str">
        <f t="shared" si="1053"/>
        <v/>
      </c>
      <c r="BE1800" s="467" t="str">
        <f t="shared" si="1054"/>
        <v/>
      </c>
      <c r="BF1800" s="469" t="str">
        <f t="shared" ca="1" si="1055"/>
        <v/>
      </c>
      <c r="BG1800" s="469" t="str">
        <f t="shared" ca="1" si="1056"/>
        <v/>
      </c>
      <c r="BH1800" s="467" t="str">
        <f t="shared" si="1057"/>
        <v/>
      </c>
      <c r="BI1800" s="467" t="str">
        <f t="shared" ca="1" si="1058"/>
        <v/>
      </c>
      <c r="BJ1800" s="469" t="str">
        <f t="shared" si="1059"/>
        <v/>
      </c>
      <c r="BK1800" s="470" t="str">
        <f t="shared" si="1043"/>
        <v/>
      </c>
      <c r="BL1800" s="775" t="str">
        <f t="shared" si="1060"/>
        <v/>
      </c>
      <c r="BM1800" s="775" t="str">
        <f t="shared" si="1061"/>
        <v/>
      </c>
    </row>
    <row r="1801" spans="1:65">
      <c r="A1801" s="473">
        <v>1745</v>
      </c>
      <c r="B1801" s="132"/>
      <c r="C1801" s="332"/>
      <c r="D1801" s="333"/>
      <c r="E1801" s="333"/>
      <c r="F1801" s="334"/>
      <c r="G1801" s="337"/>
      <c r="H1801" s="131"/>
      <c r="I1801" s="337"/>
      <c r="J1801" s="131"/>
      <c r="K1801" s="458" t="str">
        <f t="shared" si="1024"/>
        <v/>
      </c>
      <c r="L1801" s="458">
        <f t="shared" si="1025"/>
        <v>0</v>
      </c>
      <c r="M1801" s="458">
        <f t="shared" si="1026"/>
        <v>0</v>
      </c>
      <c r="N1801" s="459" t="str">
        <f t="shared" si="1037"/>
        <v/>
      </c>
      <c r="O1801" s="459" t="str">
        <f t="shared" si="1038"/>
        <v/>
      </c>
      <c r="P1801" s="459" t="str">
        <f t="shared" si="1039"/>
        <v/>
      </c>
      <c r="Q1801" s="459" t="str">
        <f t="shared" si="1040"/>
        <v/>
      </c>
      <c r="R1801" s="459" t="str">
        <f t="shared" si="1041"/>
        <v/>
      </c>
      <c r="S1801" s="459" t="str">
        <f t="shared" si="1042"/>
        <v/>
      </c>
      <c r="T1801" s="566" t="str">
        <f t="shared" si="1027"/>
        <v/>
      </c>
      <c r="U1801" s="702"/>
      <c r="V1801" s="132"/>
      <c r="W1801" s="133"/>
      <c r="X1801" s="134"/>
      <c r="Y1801" s="135"/>
      <c r="Z1801" s="137"/>
      <c r="AA1801" s="136"/>
      <c r="AB1801" s="566" t="str">
        <f t="shared" si="1028"/>
        <v/>
      </c>
      <c r="AC1801" s="568" t="str">
        <f t="shared" si="1029"/>
        <v/>
      </c>
      <c r="AD1801" s="137"/>
      <c r="AE1801" s="137"/>
      <c r="AF1801" s="138"/>
      <c r="AG1801" s="138"/>
      <c r="AH1801" s="592" t="str">
        <f t="shared" si="1030"/>
        <v/>
      </c>
      <c r="AI1801" s="592" t="str">
        <f t="shared" si="1031"/>
        <v/>
      </c>
      <c r="AJ1801" s="592" t="str">
        <f t="shared" si="1032"/>
        <v/>
      </c>
      <c r="AK1801" s="460" t="str">
        <f>IF(AU1801="","",IF(OR(AZ1801=8,AZ1801=9),0,IF(OR(AW1801=3,AW1801=4,AW1801=5,AW1801=6),IF(LEFT(BF1801,1)="1",INDEX(係数_NOX・PM低減,MATCH(AY1801,【参考】排出係数!$AI$801:$AI$804,1),1),VLOOKUP(AU1801,INDEX((係数_バス貨物_ガソリン,係数_バス貨物_CNG,係数_バス貨物_軽油,係数_バス貨物_メタノール,係数_バス貨物_LPG),MATCH(AY1801,【参考】排出係数!$AI$4:$AI$671,1),1,BE1801):INDEX((係数_バス貨物_ガソリン,係数_バス貨物_CNG,係数_バス貨物_軽油,係数_バス貨物_メタノール,係数_バス貨物_LPG),MATCH(AY1801+1,【参考】排出係数!$AI$4:$AI$671,1)-1,5,BE1801),4,FALSE)),IF(AND(BE1801=3,LEFT(BF1801,1)="1"),0.48,VLOOKUP(AU1801,INDEX((係数_乗用_ガソリン,係数_乗用_CNG,係数_乗用_軽油,係数_乗用_メタノール,係数_乗用_LPG),1,1,BE1801):INDEX((係数_乗用_ガソリン,係数_乗用_CNG,係数_乗用_軽油,係数_乗用_メタノール,係数_乗用_LPG),125,5,BE1801),4,FALSE)))))</f>
        <v/>
      </c>
      <c r="AL1801" s="461" t="str">
        <f t="shared" si="1033"/>
        <v/>
      </c>
      <c r="AM1801" s="460" t="str">
        <f>IF(AU1801="","",IF(OR(AZ1801=8,AZ1801=9),0,IF(OR(AW1801=3,AW1801=4,AW1801=5,AW1801=6),IF(LEFT(BH1801,1)="1",INDEX(係数_PM低減,MATCH(AY1801,【参考】排出係数!$AI$801:$AI$804,1),MATCH(BI1801,【参考】排出係数!$AL$798:$AO$798,1)),VLOOKUP(AU1801,INDEX((係数_バス貨物_ガソリン,係数_バス貨物_CNG,係数_バス貨物_軽油,係数_バス貨物_メタノール,係数_バス貨物_LPG),MATCH(AY1801,【参考】排出係数!$AI$4:$AI$671,1),1,BE1801):INDEX((係数_バス貨物_ガソリン,係数_バス貨物_CNG,係数_バス貨物_軽油,係数_バス貨物_メタノール,係数_バス貨物_LPG),MATCH(AY1801+1,【参考】排出係数!$AI$4:$AI$671,1)-1,5,BE1801),5,FALSE)),IF(AND(BE1801=3,LEFT(BF1801,1)="1"),0.055,VLOOKUP(AU1801,INDEX((係数_乗用_ガソリン,係数_乗用_CNG,係数_乗用_軽油,係数_乗用_メタノール,係数_乗用_LPG),1,1,BE1801):INDEX((係数_乗用_ガソリン,係数_乗用_CNG,係数_乗用_軽油,係数_乗用_メタノール,係数_乗用_LPG),125,5,BE1801),5,FALSE)))))</f>
        <v/>
      </c>
      <c r="AN1801" s="461" t="str">
        <f t="shared" si="1034"/>
        <v/>
      </c>
      <c r="AO1801" s="462" t="str">
        <f t="shared" si="1035"/>
        <v/>
      </c>
      <c r="AP1801" s="463" t="str">
        <f t="shared" si="1036"/>
        <v/>
      </c>
      <c r="AQ1801" s="464"/>
      <c r="AR1801" s="619"/>
      <c r="AS1801" s="465" t="str">
        <f t="shared" si="1044"/>
        <v/>
      </c>
      <c r="AT1801" s="465" t="str">
        <f t="shared" si="1045"/>
        <v/>
      </c>
      <c r="AU1801" s="466" t="str">
        <f t="shared" si="1046"/>
        <v/>
      </c>
      <c r="AV1801" s="467" t="str">
        <f t="shared" si="1047"/>
        <v/>
      </c>
      <c r="AW1801" s="467" t="str">
        <f t="shared" si="1048"/>
        <v/>
      </c>
      <c r="AX1801" s="467" t="str">
        <f t="shared" si="1049"/>
        <v/>
      </c>
      <c r="AY1801" s="467" t="str">
        <f t="shared" si="1050"/>
        <v/>
      </c>
      <c r="AZ1801" s="467" t="str">
        <f t="shared" si="1051"/>
        <v/>
      </c>
      <c r="BA1801" s="468" t="str">
        <f>IF(AS1801="","",IF(OR(AU1801="",AU1801="-"),"－",IF(OR(AZ1801=8,AZ1801=9),"",IF(OR(AW1801=3,AW1801=4,AW1801=5,AW1801=6),VLOOKUP(AU1801,INDEX((係数_バス貨物_ガソリン,係数_バス貨物_CNG,係数_バス貨物_軽油,係数_バス貨物_メタノール,係数_バス貨物_LPG),MATCH(AY1801,【参考】排出係数!$AI$4:$AI$671,1),1,BE1801):INDEX((係数_バス貨物_ガソリン,係数_バス貨物_CNG,係数_バス貨物_軽油,係数_バス貨物_メタノール,係数_バス貨物_LPG),MATCH(AY1801+1,【参考】排出係数!$AI$4:$AI$671,1)-1,5,BE1801),2,FALSE),IF(OR(AW1801=1,AW1801=2),VLOOKUP(AU1801,INDEX((係数_乗用_ガソリン,係数_乗用_CNG,係数_乗用_軽油,係数_乗用_メタノール,係数_乗用_LPG),1,1,BE1801):INDEX((係数_乗用_ガソリン,係数_乗用_CNG,係数_乗用_軽油,係数_乗用_メタノール,係数_乗用_LPG),125,5,BE1801),2,FALSE))))))</f>
        <v/>
      </c>
      <c r="BB1801" s="468" t="str">
        <f>IF(T1801="","",IF(OR(AU1801="",AU1801="-"),"－",IF(OR(AZ1801=8,AZ1801=9),"",IF(OR(AW1801=3,AW1801=4,AW1801=5,AW1801=6),VLOOKUP(AU1801,INDEX((係数_バス貨物_ガソリン,係数_バス貨物_CNG,係数_バス貨物_軽油,係数_バス貨物_メタノール,係数_バス貨物_LPG),MATCH(AY1801,【参考】排出係数!$AI$4:$AI$671,1),1,BE1801):INDEX((係数_バス貨物_ガソリン,係数_バス貨物_CNG,係数_バス貨物_軽油,係数_バス貨物_メタノール,係数_バス貨物_LPG),MATCH(AY1801+1,【参考】排出係数!$AI$4:$AI$671,1)-1,5,BE1801),3,FALSE),IF(OR(AW1801=1,AW1801=2),VLOOKUP(AU1801,INDEX((係数_乗用_ガソリン,係数_乗用_CNG,係数_乗用_軽油,係数_乗用_メタノール,係数_乗用_LPG),1,1,BE1801):INDEX((係数_乗用_ガソリン,係数_乗用_CNG,係数_乗用_軽油,係数_乗用_メタノール,係数_乗用_LPG),125,5,BE1801),3,FALSE))))))</f>
        <v/>
      </c>
      <c r="BC1801" s="467" t="str">
        <f t="shared" si="1052"/>
        <v/>
      </c>
      <c r="BD1801" s="567" t="str">
        <f t="shared" si="1053"/>
        <v/>
      </c>
      <c r="BE1801" s="467" t="str">
        <f t="shared" si="1054"/>
        <v/>
      </c>
      <c r="BF1801" s="469" t="str">
        <f t="shared" ca="1" si="1055"/>
        <v/>
      </c>
      <c r="BG1801" s="469" t="str">
        <f t="shared" ca="1" si="1056"/>
        <v/>
      </c>
      <c r="BH1801" s="467" t="str">
        <f t="shared" si="1057"/>
        <v/>
      </c>
      <c r="BI1801" s="467" t="str">
        <f t="shared" ca="1" si="1058"/>
        <v/>
      </c>
      <c r="BJ1801" s="469" t="str">
        <f t="shared" si="1059"/>
        <v/>
      </c>
      <c r="BK1801" s="470" t="str">
        <f t="shared" si="1043"/>
        <v/>
      </c>
      <c r="BL1801" s="775" t="str">
        <f t="shared" si="1060"/>
        <v/>
      </c>
      <c r="BM1801" s="775" t="str">
        <f t="shared" si="1061"/>
        <v/>
      </c>
    </row>
    <row r="1802" spans="1:65">
      <c r="A1802" s="473">
        <v>1746</v>
      </c>
      <c r="B1802" s="132"/>
      <c r="C1802" s="332"/>
      <c r="D1802" s="333"/>
      <c r="E1802" s="333"/>
      <c r="F1802" s="334"/>
      <c r="G1802" s="337"/>
      <c r="H1802" s="131"/>
      <c r="I1802" s="337"/>
      <c r="J1802" s="131"/>
      <c r="K1802" s="458" t="str">
        <f t="shared" si="1024"/>
        <v/>
      </c>
      <c r="L1802" s="458">
        <f t="shared" si="1025"/>
        <v>0</v>
      </c>
      <c r="M1802" s="458">
        <f t="shared" si="1026"/>
        <v>0</v>
      </c>
      <c r="N1802" s="459" t="str">
        <f t="shared" si="1037"/>
        <v/>
      </c>
      <c r="O1802" s="459" t="str">
        <f t="shared" si="1038"/>
        <v/>
      </c>
      <c r="P1802" s="459" t="str">
        <f t="shared" si="1039"/>
        <v/>
      </c>
      <c r="Q1802" s="459" t="str">
        <f t="shared" si="1040"/>
        <v/>
      </c>
      <c r="R1802" s="459" t="str">
        <f t="shared" si="1041"/>
        <v/>
      </c>
      <c r="S1802" s="459" t="str">
        <f t="shared" si="1042"/>
        <v/>
      </c>
      <c r="T1802" s="566" t="str">
        <f t="shared" si="1027"/>
        <v/>
      </c>
      <c r="U1802" s="702"/>
      <c r="V1802" s="132"/>
      <c r="W1802" s="133"/>
      <c r="X1802" s="134"/>
      <c r="Y1802" s="135"/>
      <c r="Z1802" s="137"/>
      <c r="AA1802" s="136"/>
      <c r="AB1802" s="566" t="str">
        <f t="shared" si="1028"/>
        <v/>
      </c>
      <c r="AC1802" s="568" t="str">
        <f t="shared" si="1029"/>
        <v/>
      </c>
      <c r="AD1802" s="137"/>
      <c r="AE1802" s="137"/>
      <c r="AF1802" s="138"/>
      <c r="AG1802" s="138"/>
      <c r="AH1802" s="592" t="str">
        <f t="shared" si="1030"/>
        <v/>
      </c>
      <c r="AI1802" s="592" t="str">
        <f t="shared" si="1031"/>
        <v/>
      </c>
      <c r="AJ1802" s="592" t="str">
        <f t="shared" si="1032"/>
        <v/>
      </c>
      <c r="AK1802" s="460" t="str">
        <f>IF(AU1802="","",IF(OR(AZ1802=8,AZ1802=9),0,IF(OR(AW1802=3,AW1802=4,AW1802=5,AW1802=6),IF(LEFT(BF1802,1)="1",INDEX(係数_NOX・PM低減,MATCH(AY1802,【参考】排出係数!$AI$801:$AI$804,1),1),VLOOKUP(AU1802,INDEX((係数_バス貨物_ガソリン,係数_バス貨物_CNG,係数_バス貨物_軽油,係数_バス貨物_メタノール,係数_バス貨物_LPG),MATCH(AY1802,【参考】排出係数!$AI$4:$AI$671,1),1,BE1802):INDEX((係数_バス貨物_ガソリン,係数_バス貨物_CNG,係数_バス貨物_軽油,係数_バス貨物_メタノール,係数_バス貨物_LPG),MATCH(AY1802+1,【参考】排出係数!$AI$4:$AI$671,1)-1,5,BE1802),4,FALSE)),IF(AND(BE1802=3,LEFT(BF1802,1)="1"),0.48,VLOOKUP(AU1802,INDEX((係数_乗用_ガソリン,係数_乗用_CNG,係数_乗用_軽油,係数_乗用_メタノール,係数_乗用_LPG),1,1,BE1802):INDEX((係数_乗用_ガソリン,係数_乗用_CNG,係数_乗用_軽油,係数_乗用_メタノール,係数_乗用_LPG),125,5,BE1802),4,FALSE)))))</f>
        <v/>
      </c>
      <c r="AL1802" s="461" t="str">
        <f t="shared" si="1033"/>
        <v/>
      </c>
      <c r="AM1802" s="460" t="str">
        <f>IF(AU1802="","",IF(OR(AZ1802=8,AZ1802=9),0,IF(OR(AW1802=3,AW1802=4,AW1802=5,AW1802=6),IF(LEFT(BH1802,1)="1",INDEX(係数_PM低減,MATCH(AY1802,【参考】排出係数!$AI$801:$AI$804,1),MATCH(BI1802,【参考】排出係数!$AL$798:$AO$798,1)),VLOOKUP(AU1802,INDEX((係数_バス貨物_ガソリン,係数_バス貨物_CNG,係数_バス貨物_軽油,係数_バス貨物_メタノール,係数_バス貨物_LPG),MATCH(AY1802,【参考】排出係数!$AI$4:$AI$671,1),1,BE1802):INDEX((係数_バス貨物_ガソリン,係数_バス貨物_CNG,係数_バス貨物_軽油,係数_バス貨物_メタノール,係数_バス貨物_LPG),MATCH(AY1802+1,【参考】排出係数!$AI$4:$AI$671,1)-1,5,BE1802),5,FALSE)),IF(AND(BE1802=3,LEFT(BF1802,1)="1"),0.055,VLOOKUP(AU1802,INDEX((係数_乗用_ガソリン,係数_乗用_CNG,係数_乗用_軽油,係数_乗用_メタノール,係数_乗用_LPG),1,1,BE1802):INDEX((係数_乗用_ガソリン,係数_乗用_CNG,係数_乗用_軽油,係数_乗用_メタノール,係数_乗用_LPG),125,5,BE1802),5,FALSE)))))</f>
        <v/>
      </c>
      <c r="AN1802" s="461" t="str">
        <f t="shared" si="1034"/>
        <v/>
      </c>
      <c r="AO1802" s="462" t="str">
        <f t="shared" si="1035"/>
        <v/>
      </c>
      <c r="AP1802" s="463" t="str">
        <f t="shared" si="1036"/>
        <v/>
      </c>
      <c r="AQ1802" s="464"/>
      <c r="AR1802" s="619"/>
      <c r="AS1802" s="465" t="str">
        <f t="shared" si="1044"/>
        <v/>
      </c>
      <c r="AT1802" s="465" t="str">
        <f t="shared" si="1045"/>
        <v/>
      </c>
      <c r="AU1802" s="466" t="str">
        <f t="shared" si="1046"/>
        <v/>
      </c>
      <c r="AV1802" s="467" t="str">
        <f t="shared" si="1047"/>
        <v/>
      </c>
      <c r="AW1802" s="467" t="str">
        <f t="shared" si="1048"/>
        <v/>
      </c>
      <c r="AX1802" s="467" t="str">
        <f t="shared" si="1049"/>
        <v/>
      </c>
      <c r="AY1802" s="467" t="str">
        <f t="shared" si="1050"/>
        <v/>
      </c>
      <c r="AZ1802" s="467" t="str">
        <f t="shared" si="1051"/>
        <v/>
      </c>
      <c r="BA1802" s="468" t="str">
        <f>IF(AS1802="","",IF(OR(AU1802="",AU1802="-"),"－",IF(OR(AZ1802=8,AZ1802=9),"",IF(OR(AW1802=3,AW1802=4,AW1802=5,AW1802=6),VLOOKUP(AU1802,INDEX((係数_バス貨物_ガソリン,係数_バス貨物_CNG,係数_バス貨物_軽油,係数_バス貨物_メタノール,係数_バス貨物_LPG),MATCH(AY1802,【参考】排出係数!$AI$4:$AI$671,1),1,BE1802):INDEX((係数_バス貨物_ガソリン,係数_バス貨物_CNG,係数_バス貨物_軽油,係数_バス貨物_メタノール,係数_バス貨物_LPG),MATCH(AY1802+1,【参考】排出係数!$AI$4:$AI$671,1)-1,5,BE1802),2,FALSE),IF(OR(AW1802=1,AW1802=2),VLOOKUP(AU1802,INDEX((係数_乗用_ガソリン,係数_乗用_CNG,係数_乗用_軽油,係数_乗用_メタノール,係数_乗用_LPG),1,1,BE1802):INDEX((係数_乗用_ガソリン,係数_乗用_CNG,係数_乗用_軽油,係数_乗用_メタノール,係数_乗用_LPG),125,5,BE1802),2,FALSE))))))</f>
        <v/>
      </c>
      <c r="BB1802" s="468" t="str">
        <f>IF(T1802="","",IF(OR(AU1802="",AU1802="-"),"－",IF(OR(AZ1802=8,AZ1802=9),"",IF(OR(AW1802=3,AW1802=4,AW1802=5,AW1802=6),VLOOKUP(AU1802,INDEX((係数_バス貨物_ガソリン,係数_バス貨物_CNG,係数_バス貨物_軽油,係数_バス貨物_メタノール,係数_バス貨物_LPG),MATCH(AY1802,【参考】排出係数!$AI$4:$AI$671,1),1,BE1802):INDEX((係数_バス貨物_ガソリン,係数_バス貨物_CNG,係数_バス貨物_軽油,係数_バス貨物_メタノール,係数_バス貨物_LPG),MATCH(AY1802+1,【参考】排出係数!$AI$4:$AI$671,1)-1,5,BE1802),3,FALSE),IF(OR(AW1802=1,AW1802=2),VLOOKUP(AU1802,INDEX((係数_乗用_ガソリン,係数_乗用_CNG,係数_乗用_軽油,係数_乗用_メタノール,係数_乗用_LPG),1,1,BE1802):INDEX((係数_乗用_ガソリン,係数_乗用_CNG,係数_乗用_軽油,係数_乗用_メタノール,係数_乗用_LPG),125,5,BE1802),3,FALSE))))))</f>
        <v/>
      </c>
      <c r="BC1802" s="467" t="str">
        <f t="shared" si="1052"/>
        <v/>
      </c>
      <c r="BD1802" s="567" t="str">
        <f t="shared" si="1053"/>
        <v/>
      </c>
      <c r="BE1802" s="467" t="str">
        <f t="shared" si="1054"/>
        <v/>
      </c>
      <c r="BF1802" s="469" t="str">
        <f t="shared" ca="1" si="1055"/>
        <v/>
      </c>
      <c r="BG1802" s="469" t="str">
        <f t="shared" ca="1" si="1056"/>
        <v/>
      </c>
      <c r="BH1802" s="467" t="str">
        <f t="shared" si="1057"/>
        <v/>
      </c>
      <c r="BI1802" s="467" t="str">
        <f t="shared" ca="1" si="1058"/>
        <v/>
      </c>
      <c r="BJ1802" s="469" t="str">
        <f t="shared" si="1059"/>
        <v/>
      </c>
      <c r="BK1802" s="470" t="str">
        <f t="shared" si="1043"/>
        <v/>
      </c>
      <c r="BL1802" s="775" t="str">
        <f t="shared" si="1060"/>
        <v/>
      </c>
      <c r="BM1802" s="775" t="str">
        <f t="shared" si="1061"/>
        <v/>
      </c>
    </row>
    <row r="1803" spans="1:65">
      <c r="A1803" s="473">
        <v>1747</v>
      </c>
      <c r="B1803" s="132"/>
      <c r="C1803" s="332"/>
      <c r="D1803" s="333"/>
      <c r="E1803" s="333"/>
      <c r="F1803" s="334"/>
      <c r="G1803" s="337"/>
      <c r="H1803" s="131"/>
      <c r="I1803" s="337"/>
      <c r="J1803" s="131"/>
      <c r="K1803" s="458" t="str">
        <f t="shared" si="1024"/>
        <v/>
      </c>
      <c r="L1803" s="458">
        <f t="shared" si="1025"/>
        <v>0</v>
      </c>
      <c r="M1803" s="458">
        <f t="shared" si="1026"/>
        <v>0</v>
      </c>
      <c r="N1803" s="459" t="str">
        <f t="shared" si="1037"/>
        <v/>
      </c>
      <c r="O1803" s="459" t="str">
        <f t="shared" si="1038"/>
        <v/>
      </c>
      <c r="P1803" s="459" t="str">
        <f t="shared" si="1039"/>
        <v/>
      </c>
      <c r="Q1803" s="459" t="str">
        <f t="shared" si="1040"/>
        <v/>
      </c>
      <c r="R1803" s="459" t="str">
        <f t="shared" si="1041"/>
        <v/>
      </c>
      <c r="S1803" s="459" t="str">
        <f t="shared" si="1042"/>
        <v/>
      </c>
      <c r="T1803" s="566" t="str">
        <f t="shared" si="1027"/>
        <v/>
      </c>
      <c r="U1803" s="702"/>
      <c r="V1803" s="132"/>
      <c r="W1803" s="133"/>
      <c r="X1803" s="134"/>
      <c r="Y1803" s="135"/>
      <c r="Z1803" s="137"/>
      <c r="AA1803" s="136"/>
      <c r="AB1803" s="566" t="str">
        <f t="shared" si="1028"/>
        <v/>
      </c>
      <c r="AC1803" s="568" t="str">
        <f t="shared" si="1029"/>
        <v/>
      </c>
      <c r="AD1803" s="137"/>
      <c r="AE1803" s="137"/>
      <c r="AF1803" s="138"/>
      <c r="AG1803" s="138"/>
      <c r="AH1803" s="592" t="str">
        <f t="shared" si="1030"/>
        <v/>
      </c>
      <c r="AI1803" s="592" t="str">
        <f t="shared" si="1031"/>
        <v/>
      </c>
      <c r="AJ1803" s="592" t="str">
        <f t="shared" si="1032"/>
        <v/>
      </c>
      <c r="AK1803" s="460" t="str">
        <f>IF(AU1803="","",IF(OR(AZ1803=8,AZ1803=9),0,IF(OR(AW1803=3,AW1803=4,AW1803=5,AW1803=6),IF(LEFT(BF1803,1)="1",INDEX(係数_NOX・PM低減,MATCH(AY1803,【参考】排出係数!$AI$801:$AI$804,1),1),VLOOKUP(AU1803,INDEX((係数_バス貨物_ガソリン,係数_バス貨物_CNG,係数_バス貨物_軽油,係数_バス貨物_メタノール,係数_バス貨物_LPG),MATCH(AY1803,【参考】排出係数!$AI$4:$AI$671,1),1,BE1803):INDEX((係数_バス貨物_ガソリン,係数_バス貨物_CNG,係数_バス貨物_軽油,係数_バス貨物_メタノール,係数_バス貨物_LPG),MATCH(AY1803+1,【参考】排出係数!$AI$4:$AI$671,1)-1,5,BE1803),4,FALSE)),IF(AND(BE1803=3,LEFT(BF1803,1)="1"),0.48,VLOOKUP(AU1803,INDEX((係数_乗用_ガソリン,係数_乗用_CNG,係数_乗用_軽油,係数_乗用_メタノール,係数_乗用_LPG),1,1,BE1803):INDEX((係数_乗用_ガソリン,係数_乗用_CNG,係数_乗用_軽油,係数_乗用_メタノール,係数_乗用_LPG),125,5,BE1803),4,FALSE)))))</f>
        <v/>
      </c>
      <c r="AL1803" s="461" t="str">
        <f t="shared" si="1033"/>
        <v/>
      </c>
      <c r="AM1803" s="460" t="str">
        <f>IF(AU1803="","",IF(OR(AZ1803=8,AZ1803=9),0,IF(OR(AW1803=3,AW1803=4,AW1803=5,AW1803=6),IF(LEFT(BH1803,1)="1",INDEX(係数_PM低減,MATCH(AY1803,【参考】排出係数!$AI$801:$AI$804,1),MATCH(BI1803,【参考】排出係数!$AL$798:$AO$798,1)),VLOOKUP(AU1803,INDEX((係数_バス貨物_ガソリン,係数_バス貨物_CNG,係数_バス貨物_軽油,係数_バス貨物_メタノール,係数_バス貨物_LPG),MATCH(AY1803,【参考】排出係数!$AI$4:$AI$671,1),1,BE1803):INDEX((係数_バス貨物_ガソリン,係数_バス貨物_CNG,係数_バス貨物_軽油,係数_バス貨物_メタノール,係数_バス貨物_LPG),MATCH(AY1803+1,【参考】排出係数!$AI$4:$AI$671,1)-1,5,BE1803),5,FALSE)),IF(AND(BE1803=3,LEFT(BF1803,1)="1"),0.055,VLOOKUP(AU1803,INDEX((係数_乗用_ガソリン,係数_乗用_CNG,係数_乗用_軽油,係数_乗用_メタノール,係数_乗用_LPG),1,1,BE1803):INDEX((係数_乗用_ガソリン,係数_乗用_CNG,係数_乗用_軽油,係数_乗用_メタノール,係数_乗用_LPG),125,5,BE1803),5,FALSE)))))</f>
        <v/>
      </c>
      <c r="AN1803" s="461" t="str">
        <f t="shared" si="1034"/>
        <v/>
      </c>
      <c r="AO1803" s="462" t="str">
        <f t="shared" si="1035"/>
        <v/>
      </c>
      <c r="AP1803" s="463" t="str">
        <f t="shared" si="1036"/>
        <v/>
      </c>
      <c r="AQ1803" s="464"/>
      <c r="AR1803" s="619"/>
      <c r="AS1803" s="465" t="str">
        <f t="shared" si="1044"/>
        <v/>
      </c>
      <c r="AT1803" s="465" t="str">
        <f t="shared" si="1045"/>
        <v/>
      </c>
      <c r="AU1803" s="466" t="str">
        <f t="shared" si="1046"/>
        <v/>
      </c>
      <c r="AV1803" s="467" t="str">
        <f t="shared" si="1047"/>
        <v/>
      </c>
      <c r="AW1803" s="467" t="str">
        <f t="shared" si="1048"/>
        <v/>
      </c>
      <c r="AX1803" s="467" t="str">
        <f t="shared" si="1049"/>
        <v/>
      </c>
      <c r="AY1803" s="467" t="str">
        <f t="shared" si="1050"/>
        <v/>
      </c>
      <c r="AZ1803" s="467" t="str">
        <f t="shared" si="1051"/>
        <v/>
      </c>
      <c r="BA1803" s="468" t="str">
        <f>IF(AS1803="","",IF(OR(AU1803="",AU1803="-"),"－",IF(OR(AZ1803=8,AZ1803=9),"",IF(OR(AW1803=3,AW1803=4,AW1803=5,AW1803=6),VLOOKUP(AU1803,INDEX((係数_バス貨物_ガソリン,係数_バス貨物_CNG,係数_バス貨物_軽油,係数_バス貨物_メタノール,係数_バス貨物_LPG),MATCH(AY1803,【参考】排出係数!$AI$4:$AI$671,1),1,BE1803):INDEX((係数_バス貨物_ガソリン,係数_バス貨物_CNG,係数_バス貨物_軽油,係数_バス貨物_メタノール,係数_バス貨物_LPG),MATCH(AY1803+1,【参考】排出係数!$AI$4:$AI$671,1)-1,5,BE1803),2,FALSE),IF(OR(AW1803=1,AW1803=2),VLOOKUP(AU1803,INDEX((係数_乗用_ガソリン,係数_乗用_CNG,係数_乗用_軽油,係数_乗用_メタノール,係数_乗用_LPG),1,1,BE1803):INDEX((係数_乗用_ガソリン,係数_乗用_CNG,係数_乗用_軽油,係数_乗用_メタノール,係数_乗用_LPG),125,5,BE1803),2,FALSE))))))</f>
        <v/>
      </c>
      <c r="BB1803" s="468" t="str">
        <f>IF(T1803="","",IF(OR(AU1803="",AU1803="-"),"－",IF(OR(AZ1803=8,AZ1803=9),"",IF(OR(AW1803=3,AW1803=4,AW1803=5,AW1803=6),VLOOKUP(AU1803,INDEX((係数_バス貨物_ガソリン,係数_バス貨物_CNG,係数_バス貨物_軽油,係数_バス貨物_メタノール,係数_バス貨物_LPG),MATCH(AY1803,【参考】排出係数!$AI$4:$AI$671,1),1,BE1803):INDEX((係数_バス貨物_ガソリン,係数_バス貨物_CNG,係数_バス貨物_軽油,係数_バス貨物_メタノール,係数_バス貨物_LPG),MATCH(AY1803+1,【参考】排出係数!$AI$4:$AI$671,1)-1,5,BE1803),3,FALSE),IF(OR(AW1803=1,AW1803=2),VLOOKUP(AU1803,INDEX((係数_乗用_ガソリン,係数_乗用_CNG,係数_乗用_軽油,係数_乗用_メタノール,係数_乗用_LPG),1,1,BE1803):INDEX((係数_乗用_ガソリン,係数_乗用_CNG,係数_乗用_軽油,係数_乗用_メタノール,係数_乗用_LPG),125,5,BE1803),3,FALSE))))))</f>
        <v/>
      </c>
      <c r="BC1803" s="467" t="str">
        <f t="shared" si="1052"/>
        <v/>
      </c>
      <c r="BD1803" s="567" t="str">
        <f t="shared" si="1053"/>
        <v/>
      </c>
      <c r="BE1803" s="467" t="str">
        <f t="shared" si="1054"/>
        <v/>
      </c>
      <c r="BF1803" s="469" t="str">
        <f t="shared" ca="1" si="1055"/>
        <v/>
      </c>
      <c r="BG1803" s="469" t="str">
        <f t="shared" ca="1" si="1056"/>
        <v/>
      </c>
      <c r="BH1803" s="467" t="str">
        <f t="shared" si="1057"/>
        <v/>
      </c>
      <c r="BI1803" s="467" t="str">
        <f t="shared" ca="1" si="1058"/>
        <v/>
      </c>
      <c r="BJ1803" s="469" t="str">
        <f t="shared" si="1059"/>
        <v/>
      </c>
      <c r="BK1803" s="470" t="str">
        <f t="shared" si="1043"/>
        <v/>
      </c>
      <c r="BL1803" s="775" t="str">
        <f t="shared" si="1060"/>
        <v/>
      </c>
      <c r="BM1803" s="775" t="str">
        <f t="shared" si="1061"/>
        <v/>
      </c>
    </row>
    <row r="1804" spans="1:65">
      <c r="A1804" s="473">
        <v>1748</v>
      </c>
      <c r="B1804" s="132"/>
      <c r="C1804" s="332"/>
      <c r="D1804" s="333"/>
      <c r="E1804" s="333"/>
      <c r="F1804" s="334"/>
      <c r="G1804" s="337"/>
      <c r="H1804" s="131"/>
      <c r="I1804" s="337"/>
      <c r="J1804" s="131"/>
      <c r="K1804" s="458" t="str">
        <f t="shared" si="1024"/>
        <v/>
      </c>
      <c r="L1804" s="458">
        <f t="shared" si="1025"/>
        <v>0</v>
      </c>
      <c r="M1804" s="458">
        <f t="shared" si="1026"/>
        <v>0</v>
      </c>
      <c r="N1804" s="459" t="str">
        <f t="shared" si="1037"/>
        <v/>
      </c>
      <c r="O1804" s="459" t="str">
        <f t="shared" si="1038"/>
        <v/>
      </c>
      <c r="P1804" s="459" t="str">
        <f t="shared" si="1039"/>
        <v/>
      </c>
      <c r="Q1804" s="459" t="str">
        <f t="shared" si="1040"/>
        <v/>
      </c>
      <c r="R1804" s="459" t="str">
        <f t="shared" si="1041"/>
        <v/>
      </c>
      <c r="S1804" s="459" t="str">
        <f t="shared" si="1042"/>
        <v/>
      </c>
      <c r="T1804" s="566" t="str">
        <f t="shared" si="1027"/>
        <v/>
      </c>
      <c r="U1804" s="702"/>
      <c r="V1804" s="132"/>
      <c r="W1804" s="133"/>
      <c r="X1804" s="134"/>
      <c r="Y1804" s="135"/>
      <c r="Z1804" s="137"/>
      <c r="AA1804" s="136"/>
      <c r="AB1804" s="566" t="str">
        <f t="shared" si="1028"/>
        <v/>
      </c>
      <c r="AC1804" s="568" t="str">
        <f t="shared" si="1029"/>
        <v/>
      </c>
      <c r="AD1804" s="137"/>
      <c r="AE1804" s="137"/>
      <c r="AF1804" s="138"/>
      <c r="AG1804" s="138"/>
      <c r="AH1804" s="592" t="str">
        <f t="shared" si="1030"/>
        <v/>
      </c>
      <c r="AI1804" s="592" t="str">
        <f t="shared" si="1031"/>
        <v/>
      </c>
      <c r="AJ1804" s="592" t="str">
        <f t="shared" si="1032"/>
        <v/>
      </c>
      <c r="AK1804" s="460" t="str">
        <f>IF(AU1804="","",IF(OR(AZ1804=8,AZ1804=9),0,IF(OR(AW1804=3,AW1804=4,AW1804=5,AW1804=6),IF(LEFT(BF1804,1)="1",INDEX(係数_NOX・PM低減,MATCH(AY1804,【参考】排出係数!$AI$801:$AI$804,1),1),VLOOKUP(AU1804,INDEX((係数_バス貨物_ガソリン,係数_バス貨物_CNG,係数_バス貨物_軽油,係数_バス貨物_メタノール,係数_バス貨物_LPG),MATCH(AY1804,【参考】排出係数!$AI$4:$AI$671,1),1,BE1804):INDEX((係数_バス貨物_ガソリン,係数_バス貨物_CNG,係数_バス貨物_軽油,係数_バス貨物_メタノール,係数_バス貨物_LPG),MATCH(AY1804+1,【参考】排出係数!$AI$4:$AI$671,1)-1,5,BE1804),4,FALSE)),IF(AND(BE1804=3,LEFT(BF1804,1)="1"),0.48,VLOOKUP(AU1804,INDEX((係数_乗用_ガソリン,係数_乗用_CNG,係数_乗用_軽油,係数_乗用_メタノール,係数_乗用_LPG),1,1,BE1804):INDEX((係数_乗用_ガソリン,係数_乗用_CNG,係数_乗用_軽油,係数_乗用_メタノール,係数_乗用_LPG),125,5,BE1804),4,FALSE)))))</f>
        <v/>
      </c>
      <c r="AL1804" s="461" t="str">
        <f t="shared" si="1033"/>
        <v/>
      </c>
      <c r="AM1804" s="460" t="str">
        <f>IF(AU1804="","",IF(OR(AZ1804=8,AZ1804=9),0,IF(OR(AW1804=3,AW1804=4,AW1804=5,AW1804=6),IF(LEFT(BH1804,1)="1",INDEX(係数_PM低減,MATCH(AY1804,【参考】排出係数!$AI$801:$AI$804,1),MATCH(BI1804,【参考】排出係数!$AL$798:$AO$798,1)),VLOOKUP(AU1804,INDEX((係数_バス貨物_ガソリン,係数_バス貨物_CNG,係数_バス貨物_軽油,係数_バス貨物_メタノール,係数_バス貨物_LPG),MATCH(AY1804,【参考】排出係数!$AI$4:$AI$671,1),1,BE1804):INDEX((係数_バス貨物_ガソリン,係数_バス貨物_CNG,係数_バス貨物_軽油,係数_バス貨物_メタノール,係数_バス貨物_LPG),MATCH(AY1804+1,【参考】排出係数!$AI$4:$AI$671,1)-1,5,BE1804),5,FALSE)),IF(AND(BE1804=3,LEFT(BF1804,1)="1"),0.055,VLOOKUP(AU1804,INDEX((係数_乗用_ガソリン,係数_乗用_CNG,係数_乗用_軽油,係数_乗用_メタノール,係数_乗用_LPG),1,1,BE1804):INDEX((係数_乗用_ガソリン,係数_乗用_CNG,係数_乗用_軽油,係数_乗用_メタノール,係数_乗用_LPG),125,5,BE1804),5,FALSE)))))</f>
        <v/>
      </c>
      <c r="AN1804" s="461" t="str">
        <f t="shared" si="1034"/>
        <v/>
      </c>
      <c r="AO1804" s="462" t="str">
        <f t="shared" si="1035"/>
        <v/>
      </c>
      <c r="AP1804" s="463" t="str">
        <f t="shared" si="1036"/>
        <v/>
      </c>
      <c r="AQ1804" s="464"/>
      <c r="AR1804" s="619"/>
      <c r="AS1804" s="465" t="str">
        <f t="shared" si="1044"/>
        <v/>
      </c>
      <c r="AT1804" s="465" t="str">
        <f t="shared" si="1045"/>
        <v/>
      </c>
      <c r="AU1804" s="466" t="str">
        <f t="shared" si="1046"/>
        <v/>
      </c>
      <c r="AV1804" s="467" t="str">
        <f t="shared" si="1047"/>
        <v/>
      </c>
      <c r="AW1804" s="467" t="str">
        <f t="shared" si="1048"/>
        <v/>
      </c>
      <c r="AX1804" s="467" t="str">
        <f t="shared" si="1049"/>
        <v/>
      </c>
      <c r="AY1804" s="467" t="str">
        <f t="shared" si="1050"/>
        <v/>
      </c>
      <c r="AZ1804" s="467" t="str">
        <f t="shared" si="1051"/>
        <v/>
      </c>
      <c r="BA1804" s="468" t="str">
        <f>IF(AS1804="","",IF(OR(AU1804="",AU1804="-"),"－",IF(OR(AZ1804=8,AZ1804=9),"",IF(OR(AW1804=3,AW1804=4,AW1804=5,AW1804=6),VLOOKUP(AU1804,INDEX((係数_バス貨物_ガソリン,係数_バス貨物_CNG,係数_バス貨物_軽油,係数_バス貨物_メタノール,係数_バス貨物_LPG),MATCH(AY1804,【参考】排出係数!$AI$4:$AI$671,1),1,BE1804):INDEX((係数_バス貨物_ガソリン,係数_バス貨物_CNG,係数_バス貨物_軽油,係数_バス貨物_メタノール,係数_バス貨物_LPG),MATCH(AY1804+1,【参考】排出係数!$AI$4:$AI$671,1)-1,5,BE1804),2,FALSE),IF(OR(AW1804=1,AW1804=2),VLOOKUP(AU1804,INDEX((係数_乗用_ガソリン,係数_乗用_CNG,係数_乗用_軽油,係数_乗用_メタノール,係数_乗用_LPG),1,1,BE1804):INDEX((係数_乗用_ガソリン,係数_乗用_CNG,係数_乗用_軽油,係数_乗用_メタノール,係数_乗用_LPG),125,5,BE1804),2,FALSE))))))</f>
        <v/>
      </c>
      <c r="BB1804" s="468" t="str">
        <f>IF(T1804="","",IF(OR(AU1804="",AU1804="-"),"－",IF(OR(AZ1804=8,AZ1804=9),"",IF(OR(AW1804=3,AW1804=4,AW1804=5,AW1804=6),VLOOKUP(AU1804,INDEX((係数_バス貨物_ガソリン,係数_バス貨物_CNG,係数_バス貨物_軽油,係数_バス貨物_メタノール,係数_バス貨物_LPG),MATCH(AY1804,【参考】排出係数!$AI$4:$AI$671,1),1,BE1804):INDEX((係数_バス貨物_ガソリン,係数_バス貨物_CNG,係数_バス貨物_軽油,係数_バス貨物_メタノール,係数_バス貨物_LPG),MATCH(AY1804+1,【参考】排出係数!$AI$4:$AI$671,1)-1,5,BE1804),3,FALSE),IF(OR(AW1804=1,AW1804=2),VLOOKUP(AU1804,INDEX((係数_乗用_ガソリン,係数_乗用_CNG,係数_乗用_軽油,係数_乗用_メタノール,係数_乗用_LPG),1,1,BE1804):INDEX((係数_乗用_ガソリン,係数_乗用_CNG,係数_乗用_軽油,係数_乗用_メタノール,係数_乗用_LPG),125,5,BE1804),3,FALSE))))))</f>
        <v/>
      </c>
      <c r="BC1804" s="467" t="str">
        <f t="shared" si="1052"/>
        <v/>
      </c>
      <c r="BD1804" s="567" t="str">
        <f t="shared" si="1053"/>
        <v/>
      </c>
      <c r="BE1804" s="467" t="str">
        <f t="shared" si="1054"/>
        <v/>
      </c>
      <c r="BF1804" s="469" t="str">
        <f t="shared" ca="1" si="1055"/>
        <v/>
      </c>
      <c r="BG1804" s="469" t="str">
        <f t="shared" ca="1" si="1056"/>
        <v/>
      </c>
      <c r="BH1804" s="467" t="str">
        <f t="shared" si="1057"/>
        <v/>
      </c>
      <c r="BI1804" s="467" t="str">
        <f t="shared" ca="1" si="1058"/>
        <v/>
      </c>
      <c r="BJ1804" s="469" t="str">
        <f t="shared" si="1059"/>
        <v/>
      </c>
      <c r="BK1804" s="470" t="str">
        <f t="shared" si="1043"/>
        <v/>
      </c>
      <c r="BL1804" s="775" t="str">
        <f t="shared" si="1060"/>
        <v/>
      </c>
      <c r="BM1804" s="775" t="str">
        <f t="shared" si="1061"/>
        <v/>
      </c>
    </row>
    <row r="1805" spans="1:65">
      <c r="A1805" s="473">
        <v>1749</v>
      </c>
      <c r="B1805" s="132"/>
      <c r="C1805" s="332"/>
      <c r="D1805" s="333"/>
      <c r="E1805" s="333"/>
      <c r="F1805" s="334"/>
      <c r="G1805" s="337"/>
      <c r="H1805" s="131"/>
      <c r="I1805" s="337"/>
      <c r="J1805" s="131"/>
      <c r="K1805" s="458" t="str">
        <f t="shared" si="1024"/>
        <v/>
      </c>
      <c r="L1805" s="458">
        <f t="shared" si="1025"/>
        <v>0</v>
      </c>
      <c r="M1805" s="458">
        <f t="shared" si="1026"/>
        <v>0</v>
      </c>
      <c r="N1805" s="459" t="str">
        <f t="shared" si="1037"/>
        <v/>
      </c>
      <c r="O1805" s="459" t="str">
        <f t="shared" si="1038"/>
        <v/>
      </c>
      <c r="P1805" s="459" t="str">
        <f t="shared" si="1039"/>
        <v/>
      </c>
      <c r="Q1805" s="459" t="str">
        <f t="shared" si="1040"/>
        <v/>
      </c>
      <c r="R1805" s="459" t="str">
        <f t="shared" si="1041"/>
        <v/>
      </c>
      <c r="S1805" s="459" t="str">
        <f t="shared" si="1042"/>
        <v/>
      </c>
      <c r="T1805" s="566" t="str">
        <f t="shared" si="1027"/>
        <v/>
      </c>
      <c r="U1805" s="702"/>
      <c r="V1805" s="132"/>
      <c r="W1805" s="133"/>
      <c r="X1805" s="134"/>
      <c r="Y1805" s="135"/>
      <c r="Z1805" s="137"/>
      <c r="AA1805" s="136"/>
      <c r="AB1805" s="566" t="str">
        <f t="shared" si="1028"/>
        <v/>
      </c>
      <c r="AC1805" s="568" t="str">
        <f t="shared" si="1029"/>
        <v/>
      </c>
      <c r="AD1805" s="137"/>
      <c r="AE1805" s="137"/>
      <c r="AF1805" s="138"/>
      <c r="AG1805" s="138"/>
      <c r="AH1805" s="592" t="str">
        <f t="shared" si="1030"/>
        <v/>
      </c>
      <c r="AI1805" s="592" t="str">
        <f t="shared" si="1031"/>
        <v/>
      </c>
      <c r="AJ1805" s="592" t="str">
        <f t="shared" si="1032"/>
        <v/>
      </c>
      <c r="AK1805" s="460" t="str">
        <f>IF(AU1805="","",IF(OR(AZ1805=8,AZ1805=9),0,IF(OR(AW1805=3,AW1805=4,AW1805=5,AW1805=6),IF(LEFT(BF1805,1)="1",INDEX(係数_NOX・PM低減,MATCH(AY1805,【参考】排出係数!$AI$801:$AI$804,1),1),VLOOKUP(AU1805,INDEX((係数_バス貨物_ガソリン,係数_バス貨物_CNG,係数_バス貨物_軽油,係数_バス貨物_メタノール,係数_バス貨物_LPG),MATCH(AY1805,【参考】排出係数!$AI$4:$AI$671,1),1,BE1805):INDEX((係数_バス貨物_ガソリン,係数_バス貨物_CNG,係数_バス貨物_軽油,係数_バス貨物_メタノール,係数_バス貨物_LPG),MATCH(AY1805+1,【参考】排出係数!$AI$4:$AI$671,1)-1,5,BE1805),4,FALSE)),IF(AND(BE1805=3,LEFT(BF1805,1)="1"),0.48,VLOOKUP(AU1805,INDEX((係数_乗用_ガソリン,係数_乗用_CNG,係数_乗用_軽油,係数_乗用_メタノール,係数_乗用_LPG),1,1,BE1805):INDEX((係数_乗用_ガソリン,係数_乗用_CNG,係数_乗用_軽油,係数_乗用_メタノール,係数_乗用_LPG),125,5,BE1805),4,FALSE)))))</f>
        <v/>
      </c>
      <c r="AL1805" s="461" t="str">
        <f t="shared" si="1033"/>
        <v/>
      </c>
      <c r="AM1805" s="460" t="str">
        <f>IF(AU1805="","",IF(OR(AZ1805=8,AZ1805=9),0,IF(OR(AW1805=3,AW1805=4,AW1805=5,AW1805=6),IF(LEFT(BH1805,1)="1",INDEX(係数_PM低減,MATCH(AY1805,【参考】排出係数!$AI$801:$AI$804,1),MATCH(BI1805,【参考】排出係数!$AL$798:$AO$798,1)),VLOOKUP(AU1805,INDEX((係数_バス貨物_ガソリン,係数_バス貨物_CNG,係数_バス貨物_軽油,係数_バス貨物_メタノール,係数_バス貨物_LPG),MATCH(AY1805,【参考】排出係数!$AI$4:$AI$671,1),1,BE1805):INDEX((係数_バス貨物_ガソリン,係数_バス貨物_CNG,係数_バス貨物_軽油,係数_バス貨物_メタノール,係数_バス貨物_LPG),MATCH(AY1805+1,【参考】排出係数!$AI$4:$AI$671,1)-1,5,BE1805),5,FALSE)),IF(AND(BE1805=3,LEFT(BF1805,1)="1"),0.055,VLOOKUP(AU1805,INDEX((係数_乗用_ガソリン,係数_乗用_CNG,係数_乗用_軽油,係数_乗用_メタノール,係数_乗用_LPG),1,1,BE1805):INDEX((係数_乗用_ガソリン,係数_乗用_CNG,係数_乗用_軽油,係数_乗用_メタノール,係数_乗用_LPG),125,5,BE1805),5,FALSE)))))</f>
        <v/>
      </c>
      <c r="AN1805" s="461" t="str">
        <f t="shared" si="1034"/>
        <v/>
      </c>
      <c r="AO1805" s="462" t="str">
        <f t="shared" si="1035"/>
        <v/>
      </c>
      <c r="AP1805" s="463" t="str">
        <f t="shared" si="1036"/>
        <v/>
      </c>
      <c r="AQ1805" s="464"/>
      <c r="AR1805" s="619"/>
      <c r="AS1805" s="465" t="str">
        <f t="shared" si="1044"/>
        <v/>
      </c>
      <c r="AT1805" s="465" t="str">
        <f t="shared" si="1045"/>
        <v/>
      </c>
      <c r="AU1805" s="466" t="str">
        <f t="shared" si="1046"/>
        <v/>
      </c>
      <c r="AV1805" s="467" t="str">
        <f t="shared" si="1047"/>
        <v/>
      </c>
      <c r="AW1805" s="467" t="str">
        <f t="shared" si="1048"/>
        <v/>
      </c>
      <c r="AX1805" s="467" t="str">
        <f t="shared" si="1049"/>
        <v/>
      </c>
      <c r="AY1805" s="467" t="str">
        <f t="shared" si="1050"/>
        <v/>
      </c>
      <c r="AZ1805" s="467" t="str">
        <f t="shared" si="1051"/>
        <v/>
      </c>
      <c r="BA1805" s="468" t="str">
        <f>IF(AS1805="","",IF(OR(AU1805="",AU1805="-"),"－",IF(OR(AZ1805=8,AZ1805=9),"",IF(OR(AW1805=3,AW1805=4,AW1805=5,AW1805=6),VLOOKUP(AU1805,INDEX((係数_バス貨物_ガソリン,係数_バス貨物_CNG,係数_バス貨物_軽油,係数_バス貨物_メタノール,係数_バス貨物_LPG),MATCH(AY1805,【参考】排出係数!$AI$4:$AI$671,1),1,BE1805):INDEX((係数_バス貨物_ガソリン,係数_バス貨物_CNG,係数_バス貨物_軽油,係数_バス貨物_メタノール,係数_バス貨物_LPG),MATCH(AY1805+1,【参考】排出係数!$AI$4:$AI$671,1)-1,5,BE1805),2,FALSE),IF(OR(AW1805=1,AW1805=2),VLOOKUP(AU1805,INDEX((係数_乗用_ガソリン,係数_乗用_CNG,係数_乗用_軽油,係数_乗用_メタノール,係数_乗用_LPG),1,1,BE1805):INDEX((係数_乗用_ガソリン,係数_乗用_CNG,係数_乗用_軽油,係数_乗用_メタノール,係数_乗用_LPG),125,5,BE1805),2,FALSE))))))</f>
        <v/>
      </c>
      <c r="BB1805" s="468" t="str">
        <f>IF(T1805="","",IF(OR(AU1805="",AU1805="-"),"－",IF(OR(AZ1805=8,AZ1805=9),"",IF(OR(AW1805=3,AW1805=4,AW1805=5,AW1805=6),VLOOKUP(AU1805,INDEX((係数_バス貨物_ガソリン,係数_バス貨物_CNG,係数_バス貨物_軽油,係数_バス貨物_メタノール,係数_バス貨物_LPG),MATCH(AY1805,【参考】排出係数!$AI$4:$AI$671,1),1,BE1805):INDEX((係数_バス貨物_ガソリン,係数_バス貨物_CNG,係数_バス貨物_軽油,係数_バス貨物_メタノール,係数_バス貨物_LPG),MATCH(AY1805+1,【参考】排出係数!$AI$4:$AI$671,1)-1,5,BE1805),3,FALSE),IF(OR(AW1805=1,AW1805=2),VLOOKUP(AU1805,INDEX((係数_乗用_ガソリン,係数_乗用_CNG,係数_乗用_軽油,係数_乗用_メタノール,係数_乗用_LPG),1,1,BE1805):INDEX((係数_乗用_ガソリン,係数_乗用_CNG,係数_乗用_軽油,係数_乗用_メタノール,係数_乗用_LPG),125,5,BE1805),3,FALSE))))))</f>
        <v/>
      </c>
      <c r="BC1805" s="467" t="str">
        <f t="shared" si="1052"/>
        <v/>
      </c>
      <c r="BD1805" s="567" t="str">
        <f t="shared" si="1053"/>
        <v/>
      </c>
      <c r="BE1805" s="467" t="str">
        <f t="shared" si="1054"/>
        <v/>
      </c>
      <c r="BF1805" s="469" t="str">
        <f t="shared" ca="1" si="1055"/>
        <v/>
      </c>
      <c r="BG1805" s="469" t="str">
        <f t="shared" ca="1" si="1056"/>
        <v/>
      </c>
      <c r="BH1805" s="467" t="str">
        <f t="shared" si="1057"/>
        <v/>
      </c>
      <c r="BI1805" s="467" t="str">
        <f t="shared" ca="1" si="1058"/>
        <v/>
      </c>
      <c r="BJ1805" s="469" t="str">
        <f t="shared" si="1059"/>
        <v/>
      </c>
      <c r="BK1805" s="470" t="str">
        <f t="shared" si="1043"/>
        <v/>
      </c>
      <c r="BL1805" s="775" t="str">
        <f t="shared" si="1060"/>
        <v/>
      </c>
      <c r="BM1805" s="775" t="str">
        <f t="shared" si="1061"/>
        <v/>
      </c>
    </row>
    <row r="1806" spans="1:65">
      <c r="A1806" s="473">
        <v>1750</v>
      </c>
      <c r="B1806" s="132"/>
      <c r="C1806" s="332"/>
      <c r="D1806" s="333"/>
      <c r="E1806" s="333"/>
      <c r="F1806" s="334"/>
      <c r="G1806" s="337"/>
      <c r="H1806" s="131"/>
      <c r="I1806" s="337"/>
      <c r="J1806" s="131"/>
      <c r="K1806" s="458" t="str">
        <f t="shared" si="1024"/>
        <v/>
      </c>
      <c r="L1806" s="458">
        <f t="shared" si="1025"/>
        <v>0</v>
      </c>
      <c r="M1806" s="458">
        <f t="shared" si="1026"/>
        <v>0</v>
      </c>
      <c r="N1806" s="459" t="str">
        <f t="shared" si="1037"/>
        <v/>
      </c>
      <c r="O1806" s="459" t="str">
        <f t="shared" si="1038"/>
        <v/>
      </c>
      <c r="P1806" s="459" t="str">
        <f t="shared" si="1039"/>
        <v/>
      </c>
      <c r="Q1806" s="459" t="str">
        <f t="shared" si="1040"/>
        <v/>
      </c>
      <c r="R1806" s="459" t="str">
        <f t="shared" si="1041"/>
        <v/>
      </c>
      <c r="S1806" s="459" t="str">
        <f t="shared" si="1042"/>
        <v/>
      </c>
      <c r="T1806" s="566" t="str">
        <f t="shared" si="1027"/>
        <v/>
      </c>
      <c r="U1806" s="702"/>
      <c r="V1806" s="132"/>
      <c r="W1806" s="133"/>
      <c r="X1806" s="134"/>
      <c r="Y1806" s="135"/>
      <c r="Z1806" s="137"/>
      <c r="AA1806" s="136"/>
      <c r="AB1806" s="566" t="str">
        <f t="shared" si="1028"/>
        <v/>
      </c>
      <c r="AC1806" s="568" t="str">
        <f t="shared" si="1029"/>
        <v/>
      </c>
      <c r="AD1806" s="137"/>
      <c r="AE1806" s="137"/>
      <c r="AF1806" s="138"/>
      <c r="AG1806" s="138"/>
      <c r="AH1806" s="592" t="str">
        <f t="shared" si="1030"/>
        <v/>
      </c>
      <c r="AI1806" s="592" t="str">
        <f t="shared" si="1031"/>
        <v/>
      </c>
      <c r="AJ1806" s="592" t="str">
        <f t="shared" si="1032"/>
        <v/>
      </c>
      <c r="AK1806" s="460" t="str">
        <f>IF(AU1806="","",IF(OR(AZ1806=8,AZ1806=9),0,IF(OR(AW1806=3,AW1806=4,AW1806=5,AW1806=6),IF(LEFT(BF1806,1)="1",INDEX(係数_NOX・PM低減,MATCH(AY1806,【参考】排出係数!$AI$801:$AI$804,1),1),VLOOKUP(AU1806,INDEX((係数_バス貨物_ガソリン,係数_バス貨物_CNG,係数_バス貨物_軽油,係数_バス貨物_メタノール,係数_バス貨物_LPG),MATCH(AY1806,【参考】排出係数!$AI$4:$AI$671,1),1,BE1806):INDEX((係数_バス貨物_ガソリン,係数_バス貨物_CNG,係数_バス貨物_軽油,係数_バス貨物_メタノール,係数_バス貨物_LPG),MATCH(AY1806+1,【参考】排出係数!$AI$4:$AI$671,1)-1,5,BE1806),4,FALSE)),IF(AND(BE1806=3,LEFT(BF1806,1)="1"),0.48,VLOOKUP(AU1806,INDEX((係数_乗用_ガソリン,係数_乗用_CNG,係数_乗用_軽油,係数_乗用_メタノール,係数_乗用_LPG),1,1,BE1806):INDEX((係数_乗用_ガソリン,係数_乗用_CNG,係数_乗用_軽油,係数_乗用_メタノール,係数_乗用_LPG),125,5,BE1806),4,FALSE)))))</f>
        <v/>
      </c>
      <c r="AL1806" s="461" t="str">
        <f t="shared" si="1033"/>
        <v/>
      </c>
      <c r="AM1806" s="460" t="str">
        <f>IF(AU1806="","",IF(OR(AZ1806=8,AZ1806=9),0,IF(OR(AW1806=3,AW1806=4,AW1806=5,AW1806=6),IF(LEFT(BH1806,1)="1",INDEX(係数_PM低減,MATCH(AY1806,【参考】排出係数!$AI$801:$AI$804,1),MATCH(BI1806,【参考】排出係数!$AL$798:$AO$798,1)),VLOOKUP(AU1806,INDEX((係数_バス貨物_ガソリン,係数_バス貨物_CNG,係数_バス貨物_軽油,係数_バス貨物_メタノール,係数_バス貨物_LPG),MATCH(AY1806,【参考】排出係数!$AI$4:$AI$671,1),1,BE1806):INDEX((係数_バス貨物_ガソリン,係数_バス貨物_CNG,係数_バス貨物_軽油,係数_バス貨物_メタノール,係数_バス貨物_LPG),MATCH(AY1806+1,【参考】排出係数!$AI$4:$AI$671,1)-1,5,BE1806),5,FALSE)),IF(AND(BE1806=3,LEFT(BF1806,1)="1"),0.055,VLOOKUP(AU1806,INDEX((係数_乗用_ガソリン,係数_乗用_CNG,係数_乗用_軽油,係数_乗用_メタノール,係数_乗用_LPG),1,1,BE1806):INDEX((係数_乗用_ガソリン,係数_乗用_CNG,係数_乗用_軽油,係数_乗用_メタノール,係数_乗用_LPG),125,5,BE1806),5,FALSE)))))</f>
        <v/>
      </c>
      <c r="AN1806" s="461" t="str">
        <f t="shared" si="1034"/>
        <v/>
      </c>
      <c r="AO1806" s="462" t="str">
        <f t="shared" si="1035"/>
        <v/>
      </c>
      <c r="AP1806" s="463" t="str">
        <f t="shared" si="1036"/>
        <v/>
      </c>
      <c r="AQ1806" s="464"/>
      <c r="AR1806" s="619"/>
      <c r="AS1806" s="465" t="str">
        <f t="shared" si="1044"/>
        <v/>
      </c>
      <c r="AT1806" s="465" t="str">
        <f t="shared" si="1045"/>
        <v/>
      </c>
      <c r="AU1806" s="466" t="str">
        <f t="shared" si="1046"/>
        <v/>
      </c>
      <c r="AV1806" s="467" t="str">
        <f t="shared" si="1047"/>
        <v/>
      </c>
      <c r="AW1806" s="467" t="str">
        <f t="shared" si="1048"/>
        <v/>
      </c>
      <c r="AX1806" s="467" t="str">
        <f t="shared" si="1049"/>
        <v/>
      </c>
      <c r="AY1806" s="467" t="str">
        <f t="shared" si="1050"/>
        <v/>
      </c>
      <c r="AZ1806" s="467" t="str">
        <f t="shared" si="1051"/>
        <v/>
      </c>
      <c r="BA1806" s="468" t="str">
        <f>IF(AS1806="","",IF(OR(AU1806="",AU1806="-"),"－",IF(OR(AZ1806=8,AZ1806=9),"",IF(OR(AW1806=3,AW1806=4,AW1806=5,AW1806=6),VLOOKUP(AU1806,INDEX((係数_バス貨物_ガソリン,係数_バス貨物_CNG,係数_バス貨物_軽油,係数_バス貨物_メタノール,係数_バス貨物_LPG),MATCH(AY1806,【参考】排出係数!$AI$4:$AI$671,1),1,BE1806):INDEX((係数_バス貨物_ガソリン,係数_バス貨物_CNG,係数_バス貨物_軽油,係数_バス貨物_メタノール,係数_バス貨物_LPG),MATCH(AY1806+1,【参考】排出係数!$AI$4:$AI$671,1)-1,5,BE1806),2,FALSE),IF(OR(AW1806=1,AW1806=2),VLOOKUP(AU1806,INDEX((係数_乗用_ガソリン,係数_乗用_CNG,係数_乗用_軽油,係数_乗用_メタノール,係数_乗用_LPG),1,1,BE1806):INDEX((係数_乗用_ガソリン,係数_乗用_CNG,係数_乗用_軽油,係数_乗用_メタノール,係数_乗用_LPG),125,5,BE1806),2,FALSE))))))</f>
        <v/>
      </c>
      <c r="BB1806" s="468" t="str">
        <f>IF(T1806="","",IF(OR(AU1806="",AU1806="-"),"－",IF(OR(AZ1806=8,AZ1806=9),"",IF(OR(AW1806=3,AW1806=4,AW1806=5,AW1806=6),VLOOKUP(AU1806,INDEX((係数_バス貨物_ガソリン,係数_バス貨物_CNG,係数_バス貨物_軽油,係数_バス貨物_メタノール,係数_バス貨物_LPG),MATCH(AY1806,【参考】排出係数!$AI$4:$AI$671,1),1,BE1806):INDEX((係数_バス貨物_ガソリン,係数_バス貨物_CNG,係数_バス貨物_軽油,係数_バス貨物_メタノール,係数_バス貨物_LPG),MATCH(AY1806+1,【参考】排出係数!$AI$4:$AI$671,1)-1,5,BE1806),3,FALSE),IF(OR(AW1806=1,AW1806=2),VLOOKUP(AU1806,INDEX((係数_乗用_ガソリン,係数_乗用_CNG,係数_乗用_軽油,係数_乗用_メタノール,係数_乗用_LPG),1,1,BE1806):INDEX((係数_乗用_ガソリン,係数_乗用_CNG,係数_乗用_軽油,係数_乗用_メタノール,係数_乗用_LPG),125,5,BE1806),3,FALSE))))))</f>
        <v/>
      </c>
      <c r="BC1806" s="467" t="str">
        <f t="shared" si="1052"/>
        <v/>
      </c>
      <c r="BD1806" s="567" t="str">
        <f t="shared" si="1053"/>
        <v/>
      </c>
      <c r="BE1806" s="467" t="str">
        <f t="shared" si="1054"/>
        <v/>
      </c>
      <c r="BF1806" s="469" t="str">
        <f t="shared" ca="1" si="1055"/>
        <v/>
      </c>
      <c r="BG1806" s="469" t="str">
        <f t="shared" ca="1" si="1056"/>
        <v/>
      </c>
      <c r="BH1806" s="467" t="str">
        <f t="shared" si="1057"/>
        <v/>
      </c>
      <c r="BI1806" s="467" t="str">
        <f t="shared" ca="1" si="1058"/>
        <v/>
      </c>
      <c r="BJ1806" s="469" t="str">
        <f t="shared" si="1059"/>
        <v/>
      </c>
      <c r="BK1806" s="470" t="str">
        <f t="shared" si="1043"/>
        <v/>
      </c>
      <c r="BL1806" s="775" t="str">
        <f t="shared" si="1060"/>
        <v/>
      </c>
      <c r="BM1806" s="775" t="str">
        <f t="shared" si="1061"/>
        <v/>
      </c>
    </row>
    <row r="1807" spans="1:65">
      <c r="A1807" s="473">
        <v>1751</v>
      </c>
      <c r="B1807" s="132"/>
      <c r="C1807" s="332"/>
      <c r="D1807" s="333"/>
      <c r="E1807" s="333"/>
      <c r="F1807" s="334"/>
      <c r="G1807" s="337"/>
      <c r="H1807" s="131"/>
      <c r="I1807" s="337"/>
      <c r="J1807" s="131"/>
      <c r="K1807" s="458" t="str">
        <f t="shared" si="1024"/>
        <v/>
      </c>
      <c r="L1807" s="458">
        <f t="shared" si="1025"/>
        <v>0</v>
      </c>
      <c r="M1807" s="458">
        <f t="shared" si="1026"/>
        <v>0</v>
      </c>
      <c r="N1807" s="459" t="str">
        <f t="shared" si="1037"/>
        <v/>
      </c>
      <c r="O1807" s="459" t="str">
        <f t="shared" si="1038"/>
        <v/>
      </c>
      <c r="P1807" s="459" t="str">
        <f t="shared" si="1039"/>
        <v/>
      </c>
      <c r="Q1807" s="459" t="str">
        <f t="shared" si="1040"/>
        <v/>
      </c>
      <c r="R1807" s="459" t="str">
        <f t="shared" si="1041"/>
        <v/>
      </c>
      <c r="S1807" s="459" t="str">
        <f t="shared" si="1042"/>
        <v/>
      </c>
      <c r="T1807" s="566" t="str">
        <f t="shared" si="1027"/>
        <v/>
      </c>
      <c r="U1807" s="702"/>
      <c r="V1807" s="132"/>
      <c r="W1807" s="133"/>
      <c r="X1807" s="134"/>
      <c r="Y1807" s="135"/>
      <c r="Z1807" s="137"/>
      <c r="AA1807" s="136"/>
      <c r="AB1807" s="566" t="str">
        <f t="shared" si="1028"/>
        <v/>
      </c>
      <c r="AC1807" s="568" t="str">
        <f t="shared" si="1029"/>
        <v/>
      </c>
      <c r="AD1807" s="137"/>
      <c r="AE1807" s="137"/>
      <c r="AF1807" s="138"/>
      <c r="AG1807" s="138"/>
      <c r="AH1807" s="592" t="str">
        <f t="shared" si="1030"/>
        <v/>
      </c>
      <c r="AI1807" s="592" t="str">
        <f t="shared" si="1031"/>
        <v/>
      </c>
      <c r="AJ1807" s="592" t="str">
        <f t="shared" si="1032"/>
        <v/>
      </c>
      <c r="AK1807" s="460" t="str">
        <f>IF(AU1807="","",IF(OR(AZ1807=8,AZ1807=9),0,IF(OR(AW1807=3,AW1807=4,AW1807=5,AW1807=6),IF(LEFT(BF1807,1)="1",INDEX(係数_NOX・PM低減,MATCH(AY1807,【参考】排出係数!$AI$801:$AI$804,1),1),VLOOKUP(AU1807,INDEX((係数_バス貨物_ガソリン,係数_バス貨物_CNG,係数_バス貨物_軽油,係数_バス貨物_メタノール,係数_バス貨物_LPG),MATCH(AY1807,【参考】排出係数!$AI$4:$AI$671,1),1,BE1807):INDEX((係数_バス貨物_ガソリン,係数_バス貨物_CNG,係数_バス貨物_軽油,係数_バス貨物_メタノール,係数_バス貨物_LPG),MATCH(AY1807+1,【参考】排出係数!$AI$4:$AI$671,1)-1,5,BE1807),4,FALSE)),IF(AND(BE1807=3,LEFT(BF1807,1)="1"),0.48,VLOOKUP(AU1807,INDEX((係数_乗用_ガソリン,係数_乗用_CNG,係数_乗用_軽油,係数_乗用_メタノール,係数_乗用_LPG),1,1,BE1807):INDEX((係数_乗用_ガソリン,係数_乗用_CNG,係数_乗用_軽油,係数_乗用_メタノール,係数_乗用_LPG),125,5,BE1807),4,FALSE)))))</f>
        <v/>
      </c>
      <c r="AL1807" s="461" t="str">
        <f t="shared" si="1033"/>
        <v/>
      </c>
      <c r="AM1807" s="460" t="str">
        <f>IF(AU1807="","",IF(OR(AZ1807=8,AZ1807=9),0,IF(OR(AW1807=3,AW1807=4,AW1807=5,AW1807=6),IF(LEFT(BH1807,1)="1",INDEX(係数_PM低減,MATCH(AY1807,【参考】排出係数!$AI$801:$AI$804,1),MATCH(BI1807,【参考】排出係数!$AL$798:$AO$798,1)),VLOOKUP(AU1807,INDEX((係数_バス貨物_ガソリン,係数_バス貨物_CNG,係数_バス貨物_軽油,係数_バス貨物_メタノール,係数_バス貨物_LPG),MATCH(AY1807,【参考】排出係数!$AI$4:$AI$671,1),1,BE1807):INDEX((係数_バス貨物_ガソリン,係数_バス貨物_CNG,係数_バス貨物_軽油,係数_バス貨物_メタノール,係数_バス貨物_LPG),MATCH(AY1807+1,【参考】排出係数!$AI$4:$AI$671,1)-1,5,BE1807),5,FALSE)),IF(AND(BE1807=3,LEFT(BF1807,1)="1"),0.055,VLOOKUP(AU1807,INDEX((係数_乗用_ガソリン,係数_乗用_CNG,係数_乗用_軽油,係数_乗用_メタノール,係数_乗用_LPG),1,1,BE1807):INDEX((係数_乗用_ガソリン,係数_乗用_CNG,係数_乗用_軽油,係数_乗用_メタノール,係数_乗用_LPG),125,5,BE1807),5,FALSE)))))</f>
        <v/>
      </c>
      <c r="AN1807" s="461" t="str">
        <f t="shared" si="1034"/>
        <v/>
      </c>
      <c r="AO1807" s="462" t="str">
        <f t="shared" si="1035"/>
        <v/>
      </c>
      <c r="AP1807" s="463" t="str">
        <f t="shared" si="1036"/>
        <v/>
      </c>
      <c r="AQ1807" s="464"/>
      <c r="AR1807" s="619"/>
      <c r="AS1807" s="465" t="str">
        <f t="shared" si="1044"/>
        <v/>
      </c>
      <c r="AT1807" s="465" t="str">
        <f t="shared" si="1045"/>
        <v/>
      </c>
      <c r="AU1807" s="466" t="str">
        <f t="shared" si="1046"/>
        <v/>
      </c>
      <c r="AV1807" s="467" t="str">
        <f t="shared" si="1047"/>
        <v/>
      </c>
      <c r="AW1807" s="467" t="str">
        <f t="shared" si="1048"/>
        <v/>
      </c>
      <c r="AX1807" s="467" t="str">
        <f t="shared" si="1049"/>
        <v/>
      </c>
      <c r="AY1807" s="467" t="str">
        <f t="shared" si="1050"/>
        <v/>
      </c>
      <c r="AZ1807" s="467" t="str">
        <f t="shared" si="1051"/>
        <v/>
      </c>
      <c r="BA1807" s="468" t="str">
        <f>IF(AS1807="","",IF(OR(AU1807="",AU1807="-"),"－",IF(OR(AZ1807=8,AZ1807=9),"",IF(OR(AW1807=3,AW1807=4,AW1807=5,AW1807=6),VLOOKUP(AU1807,INDEX((係数_バス貨物_ガソリン,係数_バス貨物_CNG,係数_バス貨物_軽油,係数_バス貨物_メタノール,係数_バス貨物_LPG),MATCH(AY1807,【参考】排出係数!$AI$4:$AI$671,1),1,BE1807):INDEX((係数_バス貨物_ガソリン,係数_バス貨物_CNG,係数_バス貨物_軽油,係数_バス貨物_メタノール,係数_バス貨物_LPG),MATCH(AY1807+1,【参考】排出係数!$AI$4:$AI$671,1)-1,5,BE1807),2,FALSE),IF(OR(AW1807=1,AW1807=2),VLOOKUP(AU1807,INDEX((係数_乗用_ガソリン,係数_乗用_CNG,係数_乗用_軽油,係数_乗用_メタノール,係数_乗用_LPG),1,1,BE1807):INDEX((係数_乗用_ガソリン,係数_乗用_CNG,係数_乗用_軽油,係数_乗用_メタノール,係数_乗用_LPG),125,5,BE1807),2,FALSE))))))</f>
        <v/>
      </c>
      <c r="BB1807" s="468" t="str">
        <f>IF(T1807="","",IF(OR(AU1807="",AU1807="-"),"－",IF(OR(AZ1807=8,AZ1807=9),"",IF(OR(AW1807=3,AW1807=4,AW1807=5,AW1807=6),VLOOKUP(AU1807,INDEX((係数_バス貨物_ガソリン,係数_バス貨物_CNG,係数_バス貨物_軽油,係数_バス貨物_メタノール,係数_バス貨物_LPG),MATCH(AY1807,【参考】排出係数!$AI$4:$AI$671,1),1,BE1807):INDEX((係数_バス貨物_ガソリン,係数_バス貨物_CNG,係数_バス貨物_軽油,係数_バス貨物_メタノール,係数_バス貨物_LPG),MATCH(AY1807+1,【参考】排出係数!$AI$4:$AI$671,1)-1,5,BE1807),3,FALSE),IF(OR(AW1807=1,AW1807=2),VLOOKUP(AU1807,INDEX((係数_乗用_ガソリン,係数_乗用_CNG,係数_乗用_軽油,係数_乗用_メタノール,係数_乗用_LPG),1,1,BE1807):INDEX((係数_乗用_ガソリン,係数_乗用_CNG,係数_乗用_軽油,係数_乗用_メタノール,係数_乗用_LPG),125,5,BE1807),3,FALSE))))))</f>
        <v/>
      </c>
      <c r="BC1807" s="467" t="str">
        <f t="shared" si="1052"/>
        <v/>
      </c>
      <c r="BD1807" s="567" t="str">
        <f t="shared" si="1053"/>
        <v/>
      </c>
      <c r="BE1807" s="467" t="str">
        <f t="shared" si="1054"/>
        <v/>
      </c>
      <c r="BF1807" s="469" t="str">
        <f t="shared" ca="1" si="1055"/>
        <v/>
      </c>
      <c r="BG1807" s="469" t="str">
        <f t="shared" ca="1" si="1056"/>
        <v/>
      </c>
      <c r="BH1807" s="467" t="str">
        <f t="shared" si="1057"/>
        <v/>
      </c>
      <c r="BI1807" s="467" t="str">
        <f t="shared" ca="1" si="1058"/>
        <v/>
      </c>
      <c r="BJ1807" s="469" t="str">
        <f t="shared" si="1059"/>
        <v/>
      </c>
      <c r="BK1807" s="470" t="str">
        <f t="shared" si="1043"/>
        <v/>
      </c>
      <c r="BL1807" s="775" t="str">
        <f t="shared" si="1060"/>
        <v/>
      </c>
      <c r="BM1807" s="775" t="str">
        <f t="shared" si="1061"/>
        <v/>
      </c>
    </row>
    <row r="1808" spans="1:65">
      <c r="A1808" s="473">
        <v>1752</v>
      </c>
      <c r="B1808" s="132"/>
      <c r="C1808" s="332"/>
      <c r="D1808" s="333"/>
      <c r="E1808" s="333"/>
      <c r="F1808" s="334"/>
      <c r="G1808" s="337"/>
      <c r="H1808" s="131"/>
      <c r="I1808" s="337"/>
      <c r="J1808" s="131"/>
      <c r="K1808" s="458" t="str">
        <f t="shared" si="1024"/>
        <v/>
      </c>
      <c r="L1808" s="458">
        <f t="shared" si="1025"/>
        <v>0</v>
      </c>
      <c r="M1808" s="458">
        <f t="shared" si="1026"/>
        <v>0</v>
      </c>
      <c r="N1808" s="459" t="str">
        <f t="shared" si="1037"/>
        <v/>
      </c>
      <c r="O1808" s="459" t="str">
        <f t="shared" si="1038"/>
        <v/>
      </c>
      <c r="P1808" s="459" t="str">
        <f t="shared" si="1039"/>
        <v/>
      </c>
      <c r="Q1808" s="459" t="str">
        <f t="shared" si="1040"/>
        <v/>
      </c>
      <c r="R1808" s="459" t="str">
        <f t="shared" si="1041"/>
        <v/>
      </c>
      <c r="S1808" s="459" t="str">
        <f t="shared" si="1042"/>
        <v/>
      </c>
      <c r="T1808" s="566" t="str">
        <f t="shared" si="1027"/>
        <v/>
      </c>
      <c r="U1808" s="702"/>
      <c r="V1808" s="132"/>
      <c r="W1808" s="133"/>
      <c r="X1808" s="134"/>
      <c r="Y1808" s="135"/>
      <c r="Z1808" s="137"/>
      <c r="AA1808" s="136"/>
      <c r="AB1808" s="566" t="str">
        <f t="shared" si="1028"/>
        <v/>
      </c>
      <c r="AC1808" s="568" t="str">
        <f t="shared" si="1029"/>
        <v/>
      </c>
      <c r="AD1808" s="137"/>
      <c r="AE1808" s="137"/>
      <c r="AF1808" s="138"/>
      <c r="AG1808" s="138"/>
      <c r="AH1808" s="592" t="str">
        <f t="shared" si="1030"/>
        <v/>
      </c>
      <c r="AI1808" s="592" t="str">
        <f t="shared" si="1031"/>
        <v/>
      </c>
      <c r="AJ1808" s="592" t="str">
        <f t="shared" si="1032"/>
        <v/>
      </c>
      <c r="AK1808" s="460" t="str">
        <f>IF(AU1808="","",IF(OR(AZ1808=8,AZ1808=9),0,IF(OR(AW1808=3,AW1808=4,AW1808=5,AW1808=6),IF(LEFT(BF1808,1)="1",INDEX(係数_NOX・PM低減,MATCH(AY1808,【参考】排出係数!$AI$801:$AI$804,1),1),VLOOKUP(AU1808,INDEX((係数_バス貨物_ガソリン,係数_バス貨物_CNG,係数_バス貨物_軽油,係数_バス貨物_メタノール,係数_バス貨物_LPG),MATCH(AY1808,【参考】排出係数!$AI$4:$AI$671,1),1,BE1808):INDEX((係数_バス貨物_ガソリン,係数_バス貨物_CNG,係数_バス貨物_軽油,係数_バス貨物_メタノール,係数_バス貨物_LPG),MATCH(AY1808+1,【参考】排出係数!$AI$4:$AI$671,1)-1,5,BE1808),4,FALSE)),IF(AND(BE1808=3,LEFT(BF1808,1)="1"),0.48,VLOOKUP(AU1808,INDEX((係数_乗用_ガソリン,係数_乗用_CNG,係数_乗用_軽油,係数_乗用_メタノール,係数_乗用_LPG),1,1,BE1808):INDEX((係数_乗用_ガソリン,係数_乗用_CNG,係数_乗用_軽油,係数_乗用_メタノール,係数_乗用_LPG),125,5,BE1808),4,FALSE)))))</f>
        <v/>
      </c>
      <c r="AL1808" s="461" t="str">
        <f t="shared" si="1033"/>
        <v/>
      </c>
      <c r="AM1808" s="460" t="str">
        <f>IF(AU1808="","",IF(OR(AZ1808=8,AZ1808=9),0,IF(OR(AW1808=3,AW1808=4,AW1808=5,AW1808=6),IF(LEFT(BH1808,1)="1",INDEX(係数_PM低減,MATCH(AY1808,【参考】排出係数!$AI$801:$AI$804,1),MATCH(BI1808,【参考】排出係数!$AL$798:$AO$798,1)),VLOOKUP(AU1808,INDEX((係数_バス貨物_ガソリン,係数_バス貨物_CNG,係数_バス貨物_軽油,係数_バス貨物_メタノール,係数_バス貨物_LPG),MATCH(AY1808,【参考】排出係数!$AI$4:$AI$671,1),1,BE1808):INDEX((係数_バス貨物_ガソリン,係数_バス貨物_CNG,係数_バス貨物_軽油,係数_バス貨物_メタノール,係数_バス貨物_LPG),MATCH(AY1808+1,【参考】排出係数!$AI$4:$AI$671,1)-1,5,BE1808),5,FALSE)),IF(AND(BE1808=3,LEFT(BF1808,1)="1"),0.055,VLOOKUP(AU1808,INDEX((係数_乗用_ガソリン,係数_乗用_CNG,係数_乗用_軽油,係数_乗用_メタノール,係数_乗用_LPG),1,1,BE1808):INDEX((係数_乗用_ガソリン,係数_乗用_CNG,係数_乗用_軽油,係数_乗用_メタノール,係数_乗用_LPG),125,5,BE1808),5,FALSE)))))</f>
        <v/>
      </c>
      <c r="AN1808" s="461" t="str">
        <f t="shared" si="1034"/>
        <v/>
      </c>
      <c r="AO1808" s="462" t="str">
        <f t="shared" si="1035"/>
        <v/>
      </c>
      <c r="AP1808" s="463" t="str">
        <f t="shared" si="1036"/>
        <v/>
      </c>
      <c r="AQ1808" s="464"/>
      <c r="AR1808" s="619"/>
      <c r="AS1808" s="465" t="str">
        <f t="shared" si="1044"/>
        <v/>
      </c>
      <c r="AT1808" s="465" t="str">
        <f t="shared" si="1045"/>
        <v/>
      </c>
      <c r="AU1808" s="466" t="str">
        <f t="shared" si="1046"/>
        <v/>
      </c>
      <c r="AV1808" s="467" t="str">
        <f t="shared" si="1047"/>
        <v/>
      </c>
      <c r="AW1808" s="467" t="str">
        <f t="shared" si="1048"/>
        <v/>
      </c>
      <c r="AX1808" s="467" t="str">
        <f t="shared" si="1049"/>
        <v/>
      </c>
      <c r="AY1808" s="467" t="str">
        <f t="shared" si="1050"/>
        <v/>
      </c>
      <c r="AZ1808" s="467" t="str">
        <f t="shared" si="1051"/>
        <v/>
      </c>
      <c r="BA1808" s="468" t="str">
        <f>IF(AS1808="","",IF(OR(AU1808="",AU1808="-"),"－",IF(OR(AZ1808=8,AZ1808=9),"",IF(OR(AW1808=3,AW1808=4,AW1808=5,AW1808=6),VLOOKUP(AU1808,INDEX((係数_バス貨物_ガソリン,係数_バス貨物_CNG,係数_バス貨物_軽油,係数_バス貨物_メタノール,係数_バス貨物_LPG),MATCH(AY1808,【参考】排出係数!$AI$4:$AI$671,1),1,BE1808):INDEX((係数_バス貨物_ガソリン,係数_バス貨物_CNG,係数_バス貨物_軽油,係数_バス貨物_メタノール,係数_バス貨物_LPG),MATCH(AY1808+1,【参考】排出係数!$AI$4:$AI$671,1)-1,5,BE1808),2,FALSE),IF(OR(AW1808=1,AW1808=2),VLOOKUP(AU1808,INDEX((係数_乗用_ガソリン,係数_乗用_CNG,係数_乗用_軽油,係数_乗用_メタノール,係数_乗用_LPG),1,1,BE1808):INDEX((係数_乗用_ガソリン,係数_乗用_CNG,係数_乗用_軽油,係数_乗用_メタノール,係数_乗用_LPG),125,5,BE1808),2,FALSE))))))</f>
        <v/>
      </c>
      <c r="BB1808" s="468" t="str">
        <f>IF(T1808="","",IF(OR(AU1808="",AU1808="-"),"－",IF(OR(AZ1808=8,AZ1808=9),"",IF(OR(AW1808=3,AW1808=4,AW1808=5,AW1808=6),VLOOKUP(AU1808,INDEX((係数_バス貨物_ガソリン,係数_バス貨物_CNG,係数_バス貨物_軽油,係数_バス貨物_メタノール,係数_バス貨物_LPG),MATCH(AY1808,【参考】排出係数!$AI$4:$AI$671,1),1,BE1808):INDEX((係数_バス貨物_ガソリン,係数_バス貨物_CNG,係数_バス貨物_軽油,係数_バス貨物_メタノール,係数_バス貨物_LPG),MATCH(AY1808+1,【参考】排出係数!$AI$4:$AI$671,1)-1,5,BE1808),3,FALSE),IF(OR(AW1808=1,AW1808=2),VLOOKUP(AU1808,INDEX((係数_乗用_ガソリン,係数_乗用_CNG,係数_乗用_軽油,係数_乗用_メタノール,係数_乗用_LPG),1,1,BE1808):INDEX((係数_乗用_ガソリン,係数_乗用_CNG,係数_乗用_軽油,係数_乗用_メタノール,係数_乗用_LPG),125,5,BE1808),3,FALSE))))))</f>
        <v/>
      </c>
      <c r="BC1808" s="467" t="str">
        <f t="shared" si="1052"/>
        <v/>
      </c>
      <c r="BD1808" s="567" t="str">
        <f t="shared" si="1053"/>
        <v/>
      </c>
      <c r="BE1808" s="467" t="str">
        <f t="shared" si="1054"/>
        <v/>
      </c>
      <c r="BF1808" s="469" t="str">
        <f t="shared" ca="1" si="1055"/>
        <v/>
      </c>
      <c r="BG1808" s="469" t="str">
        <f t="shared" ca="1" si="1056"/>
        <v/>
      </c>
      <c r="BH1808" s="467" t="str">
        <f t="shared" si="1057"/>
        <v/>
      </c>
      <c r="BI1808" s="467" t="str">
        <f t="shared" ca="1" si="1058"/>
        <v/>
      </c>
      <c r="BJ1808" s="469" t="str">
        <f t="shared" si="1059"/>
        <v/>
      </c>
      <c r="BK1808" s="470" t="str">
        <f t="shared" si="1043"/>
        <v/>
      </c>
      <c r="BL1808" s="775" t="str">
        <f t="shared" si="1060"/>
        <v/>
      </c>
      <c r="BM1808" s="775" t="str">
        <f t="shared" si="1061"/>
        <v/>
      </c>
    </row>
    <row r="1809" spans="1:65">
      <c r="A1809" s="473">
        <v>1753</v>
      </c>
      <c r="B1809" s="132"/>
      <c r="C1809" s="332"/>
      <c r="D1809" s="333"/>
      <c r="E1809" s="333"/>
      <c r="F1809" s="334"/>
      <c r="G1809" s="337"/>
      <c r="H1809" s="131"/>
      <c r="I1809" s="337"/>
      <c r="J1809" s="131"/>
      <c r="K1809" s="458" t="str">
        <f t="shared" si="1024"/>
        <v/>
      </c>
      <c r="L1809" s="458">
        <f t="shared" si="1025"/>
        <v>0</v>
      </c>
      <c r="M1809" s="458">
        <f t="shared" si="1026"/>
        <v>0</v>
      </c>
      <c r="N1809" s="459" t="str">
        <f t="shared" si="1037"/>
        <v/>
      </c>
      <c r="O1809" s="459" t="str">
        <f t="shared" si="1038"/>
        <v/>
      </c>
      <c r="P1809" s="459" t="str">
        <f t="shared" si="1039"/>
        <v/>
      </c>
      <c r="Q1809" s="459" t="str">
        <f t="shared" si="1040"/>
        <v/>
      </c>
      <c r="R1809" s="459" t="str">
        <f t="shared" si="1041"/>
        <v/>
      </c>
      <c r="S1809" s="459" t="str">
        <f t="shared" si="1042"/>
        <v/>
      </c>
      <c r="T1809" s="566" t="str">
        <f t="shared" si="1027"/>
        <v/>
      </c>
      <c r="U1809" s="702"/>
      <c r="V1809" s="132"/>
      <c r="W1809" s="133"/>
      <c r="X1809" s="134"/>
      <c r="Y1809" s="135"/>
      <c r="Z1809" s="137"/>
      <c r="AA1809" s="136"/>
      <c r="AB1809" s="566" t="str">
        <f t="shared" si="1028"/>
        <v/>
      </c>
      <c r="AC1809" s="568" t="str">
        <f t="shared" si="1029"/>
        <v/>
      </c>
      <c r="AD1809" s="137"/>
      <c r="AE1809" s="137"/>
      <c r="AF1809" s="138"/>
      <c r="AG1809" s="138"/>
      <c r="AH1809" s="592" t="str">
        <f t="shared" si="1030"/>
        <v/>
      </c>
      <c r="AI1809" s="592" t="str">
        <f t="shared" si="1031"/>
        <v/>
      </c>
      <c r="AJ1809" s="592" t="str">
        <f t="shared" si="1032"/>
        <v/>
      </c>
      <c r="AK1809" s="460" t="str">
        <f>IF(AU1809="","",IF(OR(AZ1809=8,AZ1809=9),0,IF(OR(AW1809=3,AW1809=4,AW1809=5,AW1809=6),IF(LEFT(BF1809,1)="1",INDEX(係数_NOX・PM低減,MATCH(AY1809,【参考】排出係数!$AI$801:$AI$804,1),1),VLOOKUP(AU1809,INDEX((係数_バス貨物_ガソリン,係数_バス貨物_CNG,係数_バス貨物_軽油,係数_バス貨物_メタノール,係数_バス貨物_LPG),MATCH(AY1809,【参考】排出係数!$AI$4:$AI$671,1),1,BE1809):INDEX((係数_バス貨物_ガソリン,係数_バス貨物_CNG,係数_バス貨物_軽油,係数_バス貨物_メタノール,係数_バス貨物_LPG),MATCH(AY1809+1,【参考】排出係数!$AI$4:$AI$671,1)-1,5,BE1809),4,FALSE)),IF(AND(BE1809=3,LEFT(BF1809,1)="1"),0.48,VLOOKUP(AU1809,INDEX((係数_乗用_ガソリン,係数_乗用_CNG,係数_乗用_軽油,係数_乗用_メタノール,係数_乗用_LPG),1,1,BE1809):INDEX((係数_乗用_ガソリン,係数_乗用_CNG,係数_乗用_軽油,係数_乗用_メタノール,係数_乗用_LPG),125,5,BE1809),4,FALSE)))))</f>
        <v/>
      </c>
      <c r="AL1809" s="461" t="str">
        <f t="shared" si="1033"/>
        <v/>
      </c>
      <c r="AM1809" s="460" t="str">
        <f>IF(AU1809="","",IF(OR(AZ1809=8,AZ1809=9),0,IF(OR(AW1809=3,AW1809=4,AW1809=5,AW1809=6),IF(LEFT(BH1809,1)="1",INDEX(係数_PM低減,MATCH(AY1809,【参考】排出係数!$AI$801:$AI$804,1),MATCH(BI1809,【参考】排出係数!$AL$798:$AO$798,1)),VLOOKUP(AU1809,INDEX((係数_バス貨物_ガソリン,係数_バス貨物_CNG,係数_バス貨物_軽油,係数_バス貨物_メタノール,係数_バス貨物_LPG),MATCH(AY1809,【参考】排出係数!$AI$4:$AI$671,1),1,BE1809):INDEX((係数_バス貨物_ガソリン,係数_バス貨物_CNG,係数_バス貨物_軽油,係数_バス貨物_メタノール,係数_バス貨物_LPG),MATCH(AY1809+1,【参考】排出係数!$AI$4:$AI$671,1)-1,5,BE1809),5,FALSE)),IF(AND(BE1809=3,LEFT(BF1809,1)="1"),0.055,VLOOKUP(AU1809,INDEX((係数_乗用_ガソリン,係数_乗用_CNG,係数_乗用_軽油,係数_乗用_メタノール,係数_乗用_LPG),1,1,BE1809):INDEX((係数_乗用_ガソリン,係数_乗用_CNG,係数_乗用_軽油,係数_乗用_メタノール,係数_乗用_LPG),125,5,BE1809),5,FALSE)))))</f>
        <v/>
      </c>
      <c r="AN1809" s="461" t="str">
        <f t="shared" si="1034"/>
        <v/>
      </c>
      <c r="AO1809" s="462" t="str">
        <f t="shared" si="1035"/>
        <v/>
      </c>
      <c r="AP1809" s="463" t="str">
        <f t="shared" si="1036"/>
        <v/>
      </c>
      <c r="AQ1809" s="464"/>
      <c r="AR1809" s="619"/>
      <c r="AS1809" s="465" t="str">
        <f t="shared" si="1044"/>
        <v/>
      </c>
      <c r="AT1809" s="465" t="str">
        <f t="shared" si="1045"/>
        <v/>
      </c>
      <c r="AU1809" s="466" t="str">
        <f t="shared" si="1046"/>
        <v/>
      </c>
      <c r="AV1809" s="467" t="str">
        <f t="shared" si="1047"/>
        <v/>
      </c>
      <c r="AW1809" s="467" t="str">
        <f t="shared" si="1048"/>
        <v/>
      </c>
      <c r="AX1809" s="467" t="str">
        <f t="shared" si="1049"/>
        <v/>
      </c>
      <c r="AY1809" s="467" t="str">
        <f t="shared" si="1050"/>
        <v/>
      </c>
      <c r="AZ1809" s="467" t="str">
        <f t="shared" si="1051"/>
        <v/>
      </c>
      <c r="BA1809" s="468" t="str">
        <f>IF(AS1809="","",IF(OR(AU1809="",AU1809="-"),"－",IF(OR(AZ1809=8,AZ1809=9),"",IF(OR(AW1809=3,AW1809=4,AW1809=5,AW1809=6),VLOOKUP(AU1809,INDEX((係数_バス貨物_ガソリン,係数_バス貨物_CNG,係数_バス貨物_軽油,係数_バス貨物_メタノール,係数_バス貨物_LPG),MATCH(AY1809,【参考】排出係数!$AI$4:$AI$671,1),1,BE1809):INDEX((係数_バス貨物_ガソリン,係数_バス貨物_CNG,係数_バス貨物_軽油,係数_バス貨物_メタノール,係数_バス貨物_LPG),MATCH(AY1809+1,【参考】排出係数!$AI$4:$AI$671,1)-1,5,BE1809),2,FALSE),IF(OR(AW1809=1,AW1809=2),VLOOKUP(AU1809,INDEX((係数_乗用_ガソリン,係数_乗用_CNG,係数_乗用_軽油,係数_乗用_メタノール,係数_乗用_LPG),1,1,BE1809):INDEX((係数_乗用_ガソリン,係数_乗用_CNG,係数_乗用_軽油,係数_乗用_メタノール,係数_乗用_LPG),125,5,BE1809),2,FALSE))))))</f>
        <v/>
      </c>
      <c r="BB1809" s="468" t="str">
        <f>IF(T1809="","",IF(OR(AU1809="",AU1809="-"),"－",IF(OR(AZ1809=8,AZ1809=9),"",IF(OR(AW1809=3,AW1809=4,AW1809=5,AW1809=6),VLOOKUP(AU1809,INDEX((係数_バス貨物_ガソリン,係数_バス貨物_CNG,係数_バス貨物_軽油,係数_バス貨物_メタノール,係数_バス貨物_LPG),MATCH(AY1809,【参考】排出係数!$AI$4:$AI$671,1),1,BE1809):INDEX((係数_バス貨物_ガソリン,係数_バス貨物_CNG,係数_バス貨物_軽油,係数_バス貨物_メタノール,係数_バス貨物_LPG),MATCH(AY1809+1,【参考】排出係数!$AI$4:$AI$671,1)-1,5,BE1809),3,FALSE),IF(OR(AW1809=1,AW1809=2),VLOOKUP(AU1809,INDEX((係数_乗用_ガソリン,係数_乗用_CNG,係数_乗用_軽油,係数_乗用_メタノール,係数_乗用_LPG),1,1,BE1809):INDEX((係数_乗用_ガソリン,係数_乗用_CNG,係数_乗用_軽油,係数_乗用_メタノール,係数_乗用_LPG),125,5,BE1809),3,FALSE))))))</f>
        <v/>
      </c>
      <c r="BC1809" s="467" t="str">
        <f t="shared" si="1052"/>
        <v/>
      </c>
      <c r="BD1809" s="567" t="str">
        <f t="shared" si="1053"/>
        <v/>
      </c>
      <c r="BE1809" s="467" t="str">
        <f t="shared" si="1054"/>
        <v/>
      </c>
      <c r="BF1809" s="469" t="str">
        <f t="shared" ca="1" si="1055"/>
        <v/>
      </c>
      <c r="BG1809" s="469" t="str">
        <f t="shared" ca="1" si="1056"/>
        <v/>
      </c>
      <c r="BH1809" s="467" t="str">
        <f t="shared" si="1057"/>
        <v/>
      </c>
      <c r="BI1809" s="467" t="str">
        <f t="shared" ca="1" si="1058"/>
        <v/>
      </c>
      <c r="BJ1809" s="469" t="str">
        <f t="shared" si="1059"/>
        <v/>
      </c>
      <c r="BK1809" s="470" t="str">
        <f t="shared" si="1043"/>
        <v/>
      </c>
      <c r="BL1809" s="775" t="str">
        <f t="shared" si="1060"/>
        <v/>
      </c>
      <c r="BM1809" s="775" t="str">
        <f t="shared" si="1061"/>
        <v/>
      </c>
    </row>
    <row r="1810" spans="1:65">
      <c r="A1810" s="473">
        <v>1754</v>
      </c>
      <c r="B1810" s="132"/>
      <c r="C1810" s="332"/>
      <c r="D1810" s="333"/>
      <c r="E1810" s="333"/>
      <c r="F1810" s="334"/>
      <c r="G1810" s="337"/>
      <c r="H1810" s="131"/>
      <c r="I1810" s="337"/>
      <c r="J1810" s="131"/>
      <c r="K1810" s="458" t="str">
        <f t="shared" si="1024"/>
        <v/>
      </c>
      <c r="L1810" s="458">
        <f t="shared" si="1025"/>
        <v>0</v>
      </c>
      <c r="M1810" s="458">
        <f t="shared" si="1026"/>
        <v>0</v>
      </c>
      <c r="N1810" s="459" t="str">
        <f t="shared" si="1037"/>
        <v/>
      </c>
      <c r="O1810" s="459" t="str">
        <f t="shared" si="1038"/>
        <v/>
      </c>
      <c r="P1810" s="459" t="str">
        <f t="shared" si="1039"/>
        <v/>
      </c>
      <c r="Q1810" s="459" t="str">
        <f t="shared" si="1040"/>
        <v/>
      </c>
      <c r="R1810" s="459" t="str">
        <f t="shared" si="1041"/>
        <v/>
      </c>
      <c r="S1810" s="459" t="str">
        <f t="shared" si="1042"/>
        <v/>
      </c>
      <c r="T1810" s="566" t="str">
        <f t="shared" si="1027"/>
        <v/>
      </c>
      <c r="U1810" s="702"/>
      <c r="V1810" s="132"/>
      <c r="W1810" s="133"/>
      <c r="X1810" s="134"/>
      <c r="Y1810" s="135"/>
      <c r="Z1810" s="137"/>
      <c r="AA1810" s="136"/>
      <c r="AB1810" s="566" t="str">
        <f t="shared" si="1028"/>
        <v/>
      </c>
      <c r="AC1810" s="568" t="str">
        <f t="shared" si="1029"/>
        <v/>
      </c>
      <c r="AD1810" s="137"/>
      <c r="AE1810" s="137"/>
      <c r="AF1810" s="138"/>
      <c r="AG1810" s="138"/>
      <c r="AH1810" s="592" t="str">
        <f t="shared" si="1030"/>
        <v/>
      </c>
      <c r="AI1810" s="592" t="str">
        <f t="shared" si="1031"/>
        <v/>
      </c>
      <c r="AJ1810" s="592" t="str">
        <f t="shared" si="1032"/>
        <v/>
      </c>
      <c r="AK1810" s="460" t="str">
        <f>IF(AU1810="","",IF(OR(AZ1810=8,AZ1810=9),0,IF(OR(AW1810=3,AW1810=4,AW1810=5,AW1810=6),IF(LEFT(BF1810,1)="1",INDEX(係数_NOX・PM低減,MATCH(AY1810,【参考】排出係数!$AI$801:$AI$804,1),1),VLOOKUP(AU1810,INDEX((係数_バス貨物_ガソリン,係数_バス貨物_CNG,係数_バス貨物_軽油,係数_バス貨物_メタノール,係数_バス貨物_LPG),MATCH(AY1810,【参考】排出係数!$AI$4:$AI$671,1),1,BE1810):INDEX((係数_バス貨物_ガソリン,係数_バス貨物_CNG,係数_バス貨物_軽油,係数_バス貨物_メタノール,係数_バス貨物_LPG),MATCH(AY1810+1,【参考】排出係数!$AI$4:$AI$671,1)-1,5,BE1810),4,FALSE)),IF(AND(BE1810=3,LEFT(BF1810,1)="1"),0.48,VLOOKUP(AU1810,INDEX((係数_乗用_ガソリン,係数_乗用_CNG,係数_乗用_軽油,係数_乗用_メタノール,係数_乗用_LPG),1,1,BE1810):INDEX((係数_乗用_ガソリン,係数_乗用_CNG,係数_乗用_軽油,係数_乗用_メタノール,係数_乗用_LPG),125,5,BE1810),4,FALSE)))))</f>
        <v/>
      </c>
      <c r="AL1810" s="461" t="str">
        <f t="shared" si="1033"/>
        <v/>
      </c>
      <c r="AM1810" s="460" t="str">
        <f>IF(AU1810="","",IF(OR(AZ1810=8,AZ1810=9),0,IF(OR(AW1810=3,AW1810=4,AW1810=5,AW1810=6),IF(LEFT(BH1810,1)="1",INDEX(係数_PM低減,MATCH(AY1810,【参考】排出係数!$AI$801:$AI$804,1),MATCH(BI1810,【参考】排出係数!$AL$798:$AO$798,1)),VLOOKUP(AU1810,INDEX((係数_バス貨物_ガソリン,係数_バス貨物_CNG,係数_バス貨物_軽油,係数_バス貨物_メタノール,係数_バス貨物_LPG),MATCH(AY1810,【参考】排出係数!$AI$4:$AI$671,1),1,BE1810):INDEX((係数_バス貨物_ガソリン,係数_バス貨物_CNG,係数_バス貨物_軽油,係数_バス貨物_メタノール,係数_バス貨物_LPG),MATCH(AY1810+1,【参考】排出係数!$AI$4:$AI$671,1)-1,5,BE1810),5,FALSE)),IF(AND(BE1810=3,LEFT(BF1810,1)="1"),0.055,VLOOKUP(AU1810,INDEX((係数_乗用_ガソリン,係数_乗用_CNG,係数_乗用_軽油,係数_乗用_メタノール,係数_乗用_LPG),1,1,BE1810):INDEX((係数_乗用_ガソリン,係数_乗用_CNG,係数_乗用_軽油,係数_乗用_メタノール,係数_乗用_LPG),125,5,BE1810),5,FALSE)))))</f>
        <v/>
      </c>
      <c r="AN1810" s="461" t="str">
        <f t="shared" si="1034"/>
        <v/>
      </c>
      <c r="AO1810" s="462" t="str">
        <f t="shared" si="1035"/>
        <v/>
      </c>
      <c r="AP1810" s="463" t="str">
        <f t="shared" si="1036"/>
        <v/>
      </c>
      <c r="AQ1810" s="464"/>
      <c r="AR1810" s="619"/>
      <c r="AS1810" s="465" t="str">
        <f t="shared" si="1044"/>
        <v/>
      </c>
      <c r="AT1810" s="465" t="str">
        <f t="shared" si="1045"/>
        <v/>
      </c>
      <c r="AU1810" s="466" t="str">
        <f t="shared" si="1046"/>
        <v/>
      </c>
      <c r="AV1810" s="467" t="str">
        <f t="shared" si="1047"/>
        <v/>
      </c>
      <c r="AW1810" s="467" t="str">
        <f t="shared" si="1048"/>
        <v/>
      </c>
      <c r="AX1810" s="467" t="str">
        <f t="shared" si="1049"/>
        <v/>
      </c>
      <c r="AY1810" s="467" t="str">
        <f t="shared" si="1050"/>
        <v/>
      </c>
      <c r="AZ1810" s="467" t="str">
        <f t="shared" si="1051"/>
        <v/>
      </c>
      <c r="BA1810" s="468" t="str">
        <f>IF(AS1810="","",IF(OR(AU1810="",AU1810="-"),"－",IF(OR(AZ1810=8,AZ1810=9),"",IF(OR(AW1810=3,AW1810=4,AW1810=5,AW1810=6),VLOOKUP(AU1810,INDEX((係数_バス貨物_ガソリン,係数_バス貨物_CNG,係数_バス貨物_軽油,係数_バス貨物_メタノール,係数_バス貨物_LPG),MATCH(AY1810,【参考】排出係数!$AI$4:$AI$671,1),1,BE1810):INDEX((係数_バス貨物_ガソリン,係数_バス貨物_CNG,係数_バス貨物_軽油,係数_バス貨物_メタノール,係数_バス貨物_LPG),MATCH(AY1810+1,【参考】排出係数!$AI$4:$AI$671,1)-1,5,BE1810),2,FALSE),IF(OR(AW1810=1,AW1810=2),VLOOKUP(AU1810,INDEX((係数_乗用_ガソリン,係数_乗用_CNG,係数_乗用_軽油,係数_乗用_メタノール,係数_乗用_LPG),1,1,BE1810):INDEX((係数_乗用_ガソリン,係数_乗用_CNG,係数_乗用_軽油,係数_乗用_メタノール,係数_乗用_LPG),125,5,BE1810),2,FALSE))))))</f>
        <v/>
      </c>
      <c r="BB1810" s="468" t="str">
        <f>IF(T1810="","",IF(OR(AU1810="",AU1810="-"),"－",IF(OR(AZ1810=8,AZ1810=9),"",IF(OR(AW1810=3,AW1810=4,AW1810=5,AW1810=6),VLOOKUP(AU1810,INDEX((係数_バス貨物_ガソリン,係数_バス貨物_CNG,係数_バス貨物_軽油,係数_バス貨物_メタノール,係数_バス貨物_LPG),MATCH(AY1810,【参考】排出係数!$AI$4:$AI$671,1),1,BE1810):INDEX((係数_バス貨物_ガソリン,係数_バス貨物_CNG,係数_バス貨物_軽油,係数_バス貨物_メタノール,係数_バス貨物_LPG),MATCH(AY1810+1,【参考】排出係数!$AI$4:$AI$671,1)-1,5,BE1810),3,FALSE),IF(OR(AW1810=1,AW1810=2),VLOOKUP(AU1810,INDEX((係数_乗用_ガソリン,係数_乗用_CNG,係数_乗用_軽油,係数_乗用_メタノール,係数_乗用_LPG),1,1,BE1810):INDEX((係数_乗用_ガソリン,係数_乗用_CNG,係数_乗用_軽油,係数_乗用_メタノール,係数_乗用_LPG),125,5,BE1810),3,FALSE))))))</f>
        <v/>
      </c>
      <c r="BC1810" s="467" t="str">
        <f t="shared" si="1052"/>
        <v/>
      </c>
      <c r="BD1810" s="567" t="str">
        <f t="shared" si="1053"/>
        <v/>
      </c>
      <c r="BE1810" s="467" t="str">
        <f t="shared" si="1054"/>
        <v/>
      </c>
      <c r="BF1810" s="469" t="str">
        <f t="shared" ca="1" si="1055"/>
        <v/>
      </c>
      <c r="BG1810" s="469" t="str">
        <f t="shared" ca="1" si="1056"/>
        <v/>
      </c>
      <c r="BH1810" s="467" t="str">
        <f t="shared" si="1057"/>
        <v/>
      </c>
      <c r="BI1810" s="467" t="str">
        <f t="shared" ca="1" si="1058"/>
        <v/>
      </c>
      <c r="BJ1810" s="469" t="str">
        <f t="shared" si="1059"/>
        <v/>
      </c>
      <c r="BK1810" s="470" t="str">
        <f t="shared" si="1043"/>
        <v/>
      </c>
      <c r="BL1810" s="775" t="str">
        <f t="shared" si="1060"/>
        <v/>
      </c>
      <c r="BM1810" s="775" t="str">
        <f t="shared" si="1061"/>
        <v/>
      </c>
    </row>
    <row r="1811" spans="1:65">
      <c r="A1811" s="473">
        <v>1755</v>
      </c>
      <c r="B1811" s="132"/>
      <c r="C1811" s="332"/>
      <c r="D1811" s="333"/>
      <c r="E1811" s="333"/>
      <c r="F1811" s="334"/>
      <c r="G1811" s="337"/>
      <c r="H1811" s="131"/>
      <c r="I1811" s="337"/>
      <c r="J1811" s="131"/>
      <c r="K1811" s="458" t="str">
        <f t="shared" si="1024"/>
        <v/>
      </c>
      <c r="L1811" s="458">
        <f t="shared" si="1025"/>
        <v>0</v>
      </c>
      <c r="M1811" s="458">
        <f t="shared" si="1026"/>
        <v>0</v>
      </c>
      <c r="N1811" s="459" t="str">
        <f t="shared" si="1037"/>
        <v/>
      </c>
      <c r="O1811" s="459" t="str">
        <f t="shared" si="1038"/>
        <v/>
      </c>
      <c r="P1811" s="459" t="str">
        <f t="shared" si="1039"/>
        <v/>
      </c>
      <c r="Q1811" s="459" t="str">
        <f t="shared" si="1040"/>
        <v/>
      </c>
      <c r="R1811" s="459" t="str">
        <f t="shared" si="1041"/>
        <v/>
      </c>
      <c r="S1811" s="459" t="str">
        <f t="shared" si="1042"/>
        <v/>
      </c>
      <c r="T1811" s="566" t="str">
        <f t="shared" si="1027"/>
        <v/>
      </c>
      <c r="U1811" s="702"/>
      <c r="V1811" s="132"/>
      <c r="W1811" s="133"/>
      <c r="X1811" s="134"/>
      <c r="Y1811" s="135"/>
      <c r="Z1811" s="137"/>
      <c r="AA1811" s="136"/>
      <c r="AB1811" s="566" t="str">
        <f t="shared" si="1028"/>
        <v/>
      </c>
      <c r="AC1811" s="568" t="str">
        <f t="shared" si="1029"/>
        <v/>
      </c>
      <c r="AD1811" s="137"/>
      <c r="AE1811" s="137"/>
      <c r="AF1811" s="138"/>
      <c r="AG1811" s="138"/>
      <c r="AH1811" s="592" t="str">
        <f t="shared" si="1030"/>
        <v/>
      </c>
      <c r="AI1811" s="592" t="str">
        <f t="shared" si="1031"/>
        <v/>
      </c>
      <c r="AJ1811" s="592" t="str">
        <f t="shared" si="1032"/>
        <v/>
      </c>
      <c r="AK1811" s="460" t="str">
        <f>IF(AU1811="","",IF(OR(AZ1811=8,AZ1811=9),0,IF(OR(AW1811=3,AW1811=4,AW1811=5,AW1811=6),IF(LEFT(BF1811,1)="1",INDEX(係数_NOX・PM低減,MATCH(AY1811,【参考】排出係数!$AI$801:$AI$804,1),1),VLOOKUP(AU1811,INDEX((係数_バス貨物_ガソリン,係数_バス貨物_CNG,係数_バス貨物_軽油,係数_バス貨物_メタノール,係数_バス貨物_LPG),MATCH(AY1811,【参考】排出係数!$AI$4:$AI$671,1),1,BE1811):INDEX((係数_バス貨物_ガソリン,係数_バス貨物_CNG,係数_バス貨物_軽油,係数_バス貨物_メタノール,係数_バス貨物_LPG),MATCH(AY1811+1,【参考】排出係数!$AI$4:$AI$671,1)-1,5,BE1811),4,FALSE)),IF(AND(BE1811=3,LEFT(BF1811,1)="1"),0.48,VLOOKUP(AU1811,INDEX((係数_乗用_ガソリン,係数_乗用_CNG,係数_乗用_軽油,係数_乗用_メタノール,係数_乗用_LPG),1,1,BE1811):INDEX((係数_乗用_ガソリン,係数_乗用_CNG,係数_乗用_軽油,係数_乗用_メタノール,係数_乗用_LPG),125,5,BE1811),4,FALSE)))))</f>
        <v/>
      </c>
      <c r="AL1811" s="461" t="str">
        <f t="shared" si="1033"/>
        <v/>
      </c>
      <c r="AM1811" s="460" t="str">
        <f>IF(AU1811="","",IF(OR(AZ1811=8,AZ1811=9),0,IF(OR(AW1811=3,AW1811=4,AW1811=5,AW1811=6),IF(LEFT(BH1811,1)="1",INDEX(係数_PM低減,MATCH(AY1811,【参考】排出係数!$AI$801:$AI$804,1),MATCH(BI1811,【参考】排出係数!$AL$798:$AO$798,1)),VLOOKUP(AU1811,INDEX((係数_バス貨物_ガソリン,係数_バス貨物_CNG,係数_バス貨物_軽油,係数_バス貨物_メタノール,係数_バス貨物_LPG),MATCH(AY1811,【参考】排出係数!$AI$4:$AI$671,1),1,BE1811):INDEX((係数_バス貨物_ガソリン,係数_バス貨物_CNG,係数_バス貨物_軽油,係数_バス貨物_メタノール,係数_バス貨物_LPG),MATCH(AY1811+1,【参考】排出係数!$AI$4:$AI$671,1)-1,5,BE1811),5,FALSE)),IF(AND(BE1811=3,LEFT(BF1811,1)="1"),0.055,VLOOKUP(AU1811,INDEX((係数_乗用_ガソリン,係数_乗用_CNG,係数_乗用_軽油,係数_乗用_メタノール,係数_乗用_LPG),1,1,BE1811):INDEX((係数_乗用_ガソリン,係数_乗用_CNG,係数_乗用_軽油,係数_乗用_メタノール,係数_乗用_LPG),125,5,BE1811),5,FALSE)))))</f>
        <v/>
      </c>
      <c r="AN1811" s="461" t="str">
        <f t="shared" si="1034"/>
        <v/>
      </c>
      <c r="AO1811" s="462" t="str">
        <f t="shared" si="1035"/>
        <v/>
      </c>
      <c r="AP1811" s="463" t="str">
        <f t="shared" si="1036"/>
        <v/>
      </c>
      <c r="AQ1811" s="464"/>
      <c r="AR1811" s="619"/>
      <c r="AS1811" s="465" t="str">
        <f t="shared" si="1044"/>
        <v/>
      </c>
      <c r="AT1811" s="465" t="str">
        <f t="shared" si="1045"/>
        <v/>
      </c>
      <c r="AU1811" s="466" t="str">
        <f t="shared" si="1046"/>
        <v/>
      </c>
      <c r="AV1811" s="467" t="str">
        <f t="shared" si="1047"/>
        <v/>
      </c>
      <c r="AW1811" s="467" t="str">
        <f t="shared" si="1048"/>
        <v/>
      </c>
      <c r="AX1811" s="467" t="str">
        <f t="shared" si="1049"/>
        <v/>
      </c>
      <c r="AY1811" s="467" t="str">
        <f t="shared" si="1050"/>
        <v/>
      </c>
      <c r="AZ1811" s="467" t="str">
        <f t="shared" si="1051"/>
        <v/>
      </c>
      <c r="BA1811" s="468" t="str">
        <f>IF(AS1811="","",IF(OR(AU1811="",AU1811="-"),"－",IF(OR(AZ1811=8,AZ1811=9),"",IF(OR(AW1811=3,AW1811=4,AW1811=5,AW1811=6),VLOOKUP(AU1811,INDEX((係数_バス貨物_ガソリン,係数_バス貨物_CNG,係数_バス貨物_軽油,係数_バス貨物_メタノール,係数_バス貨物_LPG),MATCH(AY1811,【参考】排出係数!$AI$4:$AI$671,1),1,BE1811):INDEX((係数_バス貨物_ガソリン,係数_バス貨物_CNG,係数_バス貨物_軽油,係数_バス貨物_メタノール,係数_バス貨物_LPG),MATCH(AY1811+1,【参考】排出係数!$AI$4:$AI$671,1)-1,5,BE1811),2,FALSE),IF(OR(AW1811=1,AW1811=2),VLOOKUP(AU1811,INDEX((係数_乗用_ガソリン,係数_乗用_CNG,係数_乗用_軽油,係数_乗用_メタノール,係数_乗用_LPG),1,1,BE1811):INDEX((係数_乗用_ガソリン,係数_乗用_CNG,係数_乗用_軽油,係数_乗用_メタノール,係数_乗用_LPG),125,5,BE1811),2,FALSE))))))</f>
        <v/>
      </c>
      <c r="BB1811" s="468" t="str">
        <f>IF(T1811="","",IF(OR(AU1811="",AU1811="-"),"－",IF(OR(AZ1811=8,AZ1811=9),"",IF(OR(AW1811=3,AW1811=4,AW1811=5,AW1811=6),VLOOKUP(AU1811,INDEX((係数_バス貨物_ガソリン,係数_バス貨物_CNG,係数_バス貨物_軽油,係数_バス貨物_メタノール,係数_バス貨物_LPG),MATCH(AY1811,【参考】排出係数!$AI$4:$AI$671,1),1,BE1811):INDEX((係数_バス貨物_ガソリン,係数_バス貨物_CNG,係数_バス貨物_軽油,係数_バス貨物_メタノール,係数_バス貨物_LPG),MATCH(AY1811+1,【参考】排出係数!$AI$4:$AI$671,1)-1,5,BE1811),3,FALSE),IF(OR(AW1811=1,AW1811=2),VLOOKUP(AU1811,INDEX((係数_乗用_ガソリン,係数_乗用_CNG,係数_乗用_軽油,係数_乗用_メタノール,係数_乗用_LPG),1,1,BE1811):INDEX((係数_乗用_ガソリン,係数_乗用_CNG,係数_乗用_軽油,係数_乗用_メタノール,係数_乗用_LPG),125,5,BE1811),3,FALSE))))))</f>
        <v/>
      </c>
      <c r="BC1811" s="467" t="str">
        <f t="shared" si="1052"/>
        <v/>
      </c>
      <c r="BD1811" s="567" t="str">
        <f t="shared" si="1053"/>
        <v/>
      </c>
      <c r="BE1811" s="467" t="str">
        <f t="shared" si="1054"/>
        <v/>
      </c>
      <c r="BF1811" s="469" t="str">
        <f t="shared" ca="1" si="1055"/>
        <v/>
      </c>
      <c r="BG1811" s="469" t="str">
        <f t="shared" ca="1" si="1056"/>
        <v/>
      </c>
      <c r="BH1811" s="467" t="str">
        <f t="shared" si="1057"/>
        <v/>
      </c>
      <c r="BI1811" s="467" t="str">
        <f t="shared" ca="1" si="1058"/>
        <v/>
      </c>
      <c r="BJ1811" s="469" t="str">
        <f t="shared" si="1059"/>
        <v/>
      </c>
      <c r="BK1811" s="470" t="str">
        <f t="shared" si="1043"/>
        <v/>
      </c>
      <c r="BL1811" s="775" t="str">
        <f t="shared" si="1060"/>
        <v/>
      </c>
      <c r="BM1811" s="775" t="str">
        <f t="shared" si="1061"/>
        <v/>
      </c>
    </row>
    <row r="1812" spans="1:65">
      <c r="A1812" s="473">
        <v>1756</v>
      </c>
      <c r="B1812" s="132"/>
      <c r="C1812" s="332"/>
      <c r="D1812" s="333"/>
      <c r="E1812" s="333"/>
      <c r="F1812" s="334"/>
      <c r="G1812" s="337"/>
      <c r="H1812" s="131"/>
      <c r="I1812" s="337"/>
      <c r="J1812" s="131"/>
      <c r="K1812" s="458" t="str">
        <f t="shared" si="1024"/>
        <v/>
      </c>
      <c r="L1812" s="458">
        <f t="shared" si="1025"/>
        <v>0</v>
      </c>
      <c r="M1812" s="458">
        <f t="shared" si="1026"/>
        <v>0</v>
      </c>
      <c r="N1812" s="459" t="str">
        <f t="shared" si="1037"/>
        <v/>
      </c>
      <c r="O1812" s="459" t="str">
        <f t="shared" si="1038"/>
        <v/>
      </c>
      <c r="P1812" s="459" t="str">
        <f t="shared" si="1039"/>
        <v/>
      </c>
      <c r="Q1812" s="459" t="str">
        <f t="shared" si="1040"/>
        <v/>
      </c>
      <c r="R1812" s="459" t="str">
        <f t="shared" si="1041"/>
        <v/>
      </c>
      <c r="S1812" s="459" t="str">
        <f t="shared" si="1042"/>
        <v/>
      </c>
      <c r="T1812" s="566" t="str">
        <f t="shared" si="1027"/>
        <v/>
      </c>
      <c r="U1812" s="702"/>
      <c r="V1812" s="132"/>
      <c r="W1812" s="133"/>
      <c r="X1812" s="134"/>
      <c r="Y1812" s="135"/>
      <c r="Z1812" s="137"/>
      <c r="AA1812" s="136"/>
      <c r="AB1812" s="566" t="str">
        <f t="shared" si="1028"/>
        <v/>
      </c>
      <c r="AC1812" s="568" t="str">
        <f t="shared" si="1029"/>
        <v/>
      </c>
      <c r="AD1812" s="137"/>
      <c r="AE1812" s="137"/>
      <c r="AF1812" s="138"/>
      <c r="AG1812" s="138"/>
      <c r="AH1812" s="592" t="str">
        <f t="shared" si="1030"/>
        <v/>
      </c>
      <c r="AI1812" s="592" t="str">
        <f t="shared" si="1031"/>
        <v/>
      </c>
      <c r="AJ1812" s="592" t="str">
        <f t="shared" si="1032"/>
        <v/>
      </c>
      <c r="AK1812" s="460" t="str">
        <f>IF(AU1812="","",IF(OR(AZ1812=8,AZ1812=9),0,IF(OR(AW1812=3,AW1812=4,AW1812=5,AW1812=6),IF(LEFT(BF1812,1)="1",INDEX(係数_NOX・PM低減,MATCH(AY1812,【参考】排出係数!$AI$801:$AI$804,1),1),VLOOKUP(AU1812,INDEX((係数_バス貨物_ガソリン,係数_バス貨物_CNG,係数_バス貨物_軽油,係数_バス貨物_メタノール,係数_バス貨物_LPG),MATCH(AY1812,【参考】排出係数!$AI$4:$AI$671,1),1,BE1812):INDEX((係数_バス貨物_ガソリン,係数_バス貨物_CNG,係数_バス貨物_軽油,係数_バス貨物_メタノール,係数_バス貨物_LPG),MATCH(AY1812+1,【参考】排出係数!$AI$4:$AI$671,1)-1,5,BE1812),4,FALSE)),IF(AND(BE1812=3,LEFT(BF1812,1)="1"),0.48,VLOOKUP(AU1812,INDEX((係数_乗用_ガソリン,係数_乗用_CNG,係数_乗用_軽油,係数_乗用_メタノール,係数_乗用_LPG),1,1,BE1812):INDEX((係数_乗用_ガソリン,係数_乗用_CNG,係数_乗用_軽油,係数_乗用_メタノール,係数_乗用_LPG),125,5,BE1812),4,FALSE)))))</f>
        <v/>
      </c>
      <c r="AL1812" s="461" t="str">
        <f t="shared" si="1033"/>
        <v/>
      </c>
      <c r="AM1812" s="460" t="str">
        <f>IF(AU1812="","",IF(OR(AZ1812=8,AZ1812=9),0,IF(OR(AW1812=3,AW1812=4,AW1812=5,AW1812=6),IF(LEFT(BH1812,1)="1",INDEX(係数_PM低減,MATCH(AY1812,【参考】排出係数!$AI$801:$AI$804,1),MATCH(BI1812,【参考】排出係数!$AL$798:$AO$798,1)),VLOOKUP(AU1812,INDEX((係数_バス貨物_ガソリン,係数_バス貨物_CNG,係数_バス貨物_軽油,係数_バス貨物_メタノール,係数_バス貨物_LPG),MATCH(AY1812,【参考】排出係数!$AI$4:$AI$671,1),1,BE1812):INDEX((係数_バス貨物_ガソリン,係数_バス貨物_CNG,係数_バス貨物_軽油,係数_バス貨物_メタノール,係数_バス貨物_LPG),MATCH(AY1812+1,【参考】排出係数!$AI$4:$AI$671,1)-1,5,BE1812),5,FALSE)),IF(AND(BE1812=3,LEFT(BF1812,1)="1"),0.055,VLOOKUP(AU1812,INDEX((係数_乗用_ガソリン,係数_乗用_CNG,係数_乗用_軽油,係数_乗用_メタノール,係数_乗用_LPG),1,1,BE1812):INDEX((係数_乗用_ガソリン,係数_乗用_CNG,係数_乗用_軽油,係数_乗用_メタノール,係数_乗用_LPG),125,5,BE1812),5,FALSE)))))</f>
        <v/>
      </c>
      <c r="AN1812" s="461" t="str">
        <f t="shared" si="1034"/>
        <v/>
      </c>
      <c r="AO1812" s="462" t="str">
        <f t="shared" si="1035"/>
        <v/>
      </c>
      <c r="AP1812" s="463" t="str">
        <f t="shared" si="1036"/>
        <v/>
      </c>
      <c r="AQ1812" s="464"/>
      <c r="AR1812" s="619"/>
      <c r="AS1812" s="465" t="str">
        <f t="shared" si="1044"/>
        <v/>
      </c>
      <c r="AT1812" s="465" t="str">
        <f t="shared" si="1045"/>
        <v/>
      </c>
      <c r="AU1812" s="466" t="str">
        <f t="shared" si="1046"/>
        <v/>
      </c>
      <c r="AV1812" s="467" t="str">
        <f t="shared" si="1047"/>
        <v/>
      </c>
      <c r="AW1812" s="467" t="str">
        <f t="shared" si="1048"/>
        <v/>
      </c>
      <c r="AX1812" s="467" t="str">
        <f t="shared" si="1049"/>
        <v/>
      </c>
      <c r="AY1812" s="467" t="str">
        <f t="shared" si="1050"/>
        <v/>
      </c>
      <c r="AZ1812" s="467" t="str">
        <f t="shared" si="1051"/>
        <v/>
      </c>
      <c r="BA1812" s="468" t="str">
        <f>IF(AS1812="","",IF(OR(AU1812="",AU1812="-"),"－",IF(OR(AZ1812=8,AZ1812=9),"",IF(OR(AW1812=3,AW1812=4,AW1812=5,AW1812=6),VLOOKUP(AU1812,INDEX((係数_バス貨物_ガソリン,係数_バス貨物_CNG,係数_バス貨物_軽油,係数_バス貨物_メタノール,係数_バス貨物_LPG),MATCH(AY1812,【参考】排出係数!$AI$4:$AI$671,1),1,BE1812):INDEX((係数_バス貨物_ガソリン,係数_バス貨物_CNG,係数_バス貨物_軽油,係数_バス貨物_メタノール,係数_バス貨物_LPG),MATCH(AY1812+1,【参考】排出係数!$AI$4:$AI$671,1)-1,5,BE1812),2,FALSE),IF(OR(AW1812=1,AW1812=2),VLOOKUP(AU1812,INDEX((係数_乗用_ガソリン,係数_乗用_CNG,係数_乗用_軽油,係数_乗用_メタノール,係数_乗用_LPG),1,1,BE1812):INDEX((係数_乗用_ガソリン,係数_乗用_CNG,係数_乗用_軽油,係数_乗用_メタノール,係数_乗用_LPG),125,5,BE1812),2,FALSE))))))</f>
        <v/>
      </c>
      <c r="BB1812" s="468" t="str">
        <f>IF(T1812="","",IF(OR(AU1812="",AU1812="-"),"－",IF(OR(AZ1812=8,AZ1812=9),"",IF(OR(AW1812=3,AW1812=4,AW1812=5,AW1812=6),VLOOKUP(AU1812,INDEX((係数_バス貨物_ガソリン,係数_バス貨物_CNG,係数_バス貨物_軽油,係数_バス貨物_メタノール,係数_バス貨物_LPG),MATCH(AY1812,【参考】排出係数!$AI$4:$AI$671,1),1,BE1812):INDEX((係数_バス貨物_ガソリン,係数_バス貨物_CNG,係数_バス貨物_軽油,係数_バス貨物_メタノール,係数_バス貨物_LPG),MATCH(AY1812+1,【参考】排出係数!$AI$4:$AI$671,1)-1,5,BE1812),3,FALSE),IF(OR(AW1812=1,AW1812=2),VLOOKUP(AU1812,INDEX((係数_乗用_ガソリン,係数_乗用_CNG,係数_乗用_軽油,係数_乗用_メタノール,係数_乗用_LPG),1,1,BE1812):INDEX((係数_乗用_ガソリン,係数_乗用_CNG,係数_乗用_軽油,係数_乗用_メタノール,係数_乗用_LPG),125,5,BE1812),3,FALSE))))))</f>
        <v/>
      </c>
      <c r="BC1812" s="467" t="str">
        <f t="shared" si="1052"/>
        <v/>
      </c>
      <c r="BD1812" s="567" t="str">
        <f t="shared" si="1053"/>
        <v/>
      </c>
      <c r="BE1812" s="467" t="str">
        <f t="shared" si="1054"/>
        <v/>
      </c>
      <c r="BF1812" s="469" t="str">
        <f t="shared" ca="1" si="1055"/>
        <v/>
      </c>
      <c r="BG1812" s="469" t="str">
        <f t="shared" ca="1" si="1056"/>
        <v/>
      </c>
      <c r="BH1812" s="467" t="str">
        <f t="shared" si="1057"/>
        <v/>
      </c>
      <c r="BI1812" s="467" t="str">
        <f t="shared" ca="1" si="1058"/>
        <v/>
      </c>
      <c r="BJ1812" s="469" t="str">
        <f t="shared" si="1059"/>
        <v/>
      </c>
      <c r="BK1812" s="470" t="str">
        <f t="shared" si="1043"/>
        <v/>
      </c>
      <c r="BL1812" s="775" t="str">
        <f t="shared" si="1060"/>
        <v/>
      </c>
      <c r="BM1812" s="775" t="str">
        <f t="shared" si="1061"/>
        <v/>
      </c>
    </row>
    <row r="1813" spans="1:65">
      <c r="A1813" s="473">
        <v>1757</v>
      </c>
      <c r="B1813" s="132"/>
      <c r="C1813" s="332"/>
      <c r="D1813" s="333"/>
      <c r="E1813" s="333"/>
      <c r="F1813" s="334"/>
      <c r="G1813" s="337"/>
      <c r="H1813" s="131"/>
      <c r="I1813" s="337"/>
      <c r="J1813" s="131"/>
      <c r="K1813" s="458" t="str">
        <f t="shared" si="1024"/>
        <v/>
      </c>
      <c r="L1813" s="458">
        <f t="shared" si="1025"/>
        <v>0</v>
      </c>
      <c r="M1813" s="458">
        <f t="shared" si="1026"/>
        <v>0</v>
      </c>
      <c r="N1813" s="459" t="str">
        <f t="shared" si="1037"/>
        <v/>
      </c>
      <c r="O1813" s="459" t="str">
        <f t="shared" si="1038"/>
        <v/>
      </c>
      <c r="P1813" s="459" t="str">
        <f t="shared" si="1039"/>
        <v/>
      </c>
      <c r="Q1813" s="459" t="str">
        <f t="shared" si="1040"/>
        <v/>
      </c>
      <c r="R1813" s="459" t="str">
        <f t="shared" si="1041"/>
        <v/>
      </c>
      <c r="S1813" s="459" t="str">
        <f t="shared" si="1042"/>
        <v/>
      </c>
      <c r="T1813" s="566" t="str">
        <f t="shared" si="1027"/>
        <v/>
      </c>
      <c r="U1813" s="702"/>
      <c r="V1813" s="132"/>
      <c r="W1813" s="133"/>
      <c r="X1813" s="134"/>
      <c r="Y1813" s="135"/>
      <c r="Z1813" s="137"/>
      <c r="AA1813" s="136"/>
      <c r="AB1813" s="566" t="str">
        <f t="shared" si="1028"/>
        <v/>
      </c>
      <c r="AC1813" s="568" t="str">
        <f t="shared" si="1029"/>
        <v/>
      </c>
      <c r="AD1813" s="137"/>
      <c r="AE1813" s="137"/>
      <c r="AF1813" s="138"/>
      <c r="AG1813" s="138"/>
      <c r="AH1813" s="592" t="str">
        <f t="shared" si="1030"/>
        <v/>
      </c>
      <c r="AI1813" s="592" t="str">
        <f t="shared" si="1031"/>
        <v/>
      </c>
      <c r="AJ1813" s="592" t="str">
        <f t="shared" si="1032"/>
        <v/>
      </c>
      <c r="AK1813" s="460" t="str">
        <f>IF(AU1813="","",IF(OR(AZ1813=8,AZ1813=9),0,IF(OR(AW1813=3,AW1813=4,AW1813=5,AW1813=6),IF(LEFT(BF1813,1)="1",INDEX(係数_NOX・PM低減,MATCH(AY1813,【参考】排出係数!$AI$801:$AI$804,1),1),VLOOKUP(AU1813,INDEX((係数_バス貨物_ガソリン,係数_バス貨物_CNG,係数_バス貨物_軽油,係数_バス貨物_メタノール,係数_バス貨物_LPG),MATCH(AY1813,【参考】排出係数!$AI$4:$AI$671,1),1,BE1813):INDEX((係数_バス貨物_ガソリン,係数_バス貨物_CNG,係数_バス貨物_軽油,係数_バス貨物_メタノール,係数_バス貨物_LPG),MATCH(AY1813+1,【参考】排出係数!$AI$4:$AI$671,1)-1,5,BE1813),4,FALSE)),IF(AND(BE1813=3,LEFT(BF1813,1)="1"),0.48,VLOOKUP(AU1813,INDEX((係数_乗用_ガソリン,係数_乗用_CNG,係数_乗用_軽油,係数_乗用_メタノール,係数_乗用_LPG),1,1,BE1813):INDEX((係数_乗用_ガソリン,係数_乗用_CNG,係数_乗用_軽油,係数_乗用_メタノール,係数_乗用_LPG),125,5,BE1813),4,FALSE)))))</f>
        <v/>
      </c>
      <c r="AL1813" s="461" t="str">
        <f t="shared" si="1033"/>
        <v/>
      </c>
      <c r="AM1813" s="460" t="str">
        <f>IF(AU1813="","",IF(OR(AZ1813=8,AZ1813=9),0,IF(OR(AW1813=3,AW1813=4,AW1813=5,AW1813=6),IF(LEFT(BH1813,1)="1",INDEX(係数_PM低減,MATCH(AY1813,【参考】排出係数!$AI$801:$AI$804,1),MATCH(BI1813,【参考】排出係数!$AL$798:$AO$798,1)),VLOOKUP(AU1813,INDEX((係数_バス貨物_ガソリン,係数_バス貨物_CNG,係数_バス貨物_軽油,係数_バス貨物_メタノール,係数_バス貨物_LPG),MATCH(AY1813,【参考】排出係数!$AI$4:$AI$671,1),1,BE1813):INDEX((係数_バス貨物_ガソリン,係数_バス貨物_CNG,係数_バス貨物_軽油,係数_バス貨物_メタノール,係数_バス貨物_LPG),MATCH(AY1813+1,【参考】排出係数!$AI$4:$AI$671,1)-1,5,BE1813),5,FALSE)),IF(AND(BE1813=3,LEFT(BF1813,1)="1"),0.055,VLOOKUP(AU1813,INDEX((係数_乗用_ガソリン,係数_乗用_CNG,係数_乗用_軽油,係数_乗用_メタノール,係数_乗用_LPG),1,1,BE1813):INDEX((係数_乗用_ガソリン,係数_乗用_CNG,係数_乗用_軽油,係数_乗用_メタノール,係数_乗用_LPG),125,5,BE1813),5,FALSE)))))</f>
        <v/>
      </c>
      <c r="AN1813" s="461" t="str">
        <f t="shared" si="1034"/>
        <v/>
      </c>
      <c r="AO1813" s="462" t="str">
        <f t="shared" si="1035"/>
        <v/>
      </c>
      <c r="AP1813" s="463" t="str">
        <f t="shared" si="1036"/>
        <v/>
      </c>
      <c r="AQ1813" s="464"/>
      <c r="AR1813" s="619"/>
      <c r="AS1813" s="465" t="str">
        <f t="shared" si="1044"/>
        <v/>
      </c>
      <c r="AT1813" s="465" t="str">
        <f t="shared" si="1045"/>
        <v/>
      </c>
      <c r="AU1813" s="466" t="str">
        <f t="shared" si="1046"/>
        <v/>
      </c>
      <c r="AV1813" s="467" t="str">
        <f t="shared" si="1047"/>
        <v/>
      </c>
      <c r="AW1813" s="467" t="str">
        <f t="shared" si="1048"/>
        <v/>
      </c>
      <c r="AX1813" s="467" t="str">
        <f t="shared" si="1049"/>
        <v/>
      </c>
      <c r="AY1813" s="467" t="str">
        <f t="shared" si="1050"/>
        <v/>
      </c>
      <c r="AZ1813" s="467" t="str">
        <f t="shared" si="1051"/>
        <v/>
      </c>
      <c r="BA1813" s="468" t="str">
        <f>IF(AS1813="","",IF(OR(AU1813="",AU1813="-"),"－",IF(OR(AZ1813=8,AZ1813=9),"",IF(OR(AW1813=3,AW1813=4,AW1813=5,AW1813=6),VLOOKUP(AU1813,INDEX((係数_バス貨物_ガソリン,係数_バス貨物_CNG,係数_バス貨物_軽油,係数_バス貨物_メタノール,係数_バス貨物_LPG),MATCH(AY1813,【参考】排出係数!$AI$4:$AI$671,1),1,BE1813):INDEX((係数_バス貨物_ガソリン,係数_バス貨物_CNG,係数_バス貨物_軽油,係数_バス貨物_メタノール,係数_バス貨物_LPG),MATCH(AY1813+1,【参考】排出係数!$AI$4:$AI$671,1)-1,5,BE1813),2,FALSE),IF(OR(AW1813=1,AW1813=2),VLOOKUP(AU1813,INDEX((係数_乗用_ガソリン,係数_乗用_CNG,係数_乗用_軽油,係数_乗用_メタノール,係数_乗用_LPG),1,1,BE1813):INDEX((係数_乗用_ガソリン,係数_乗用_CNG,係数_乗用_軽油,係数_乗用_メタノール,係数_乗用_LPG),125,5,BE1813),2,FALSE))))))</f>
        <v/>
      </c>
      <c r="BB1813" s="468" t="str">
        <f>IF(T1813="","",IF(OR(AU1813="",AU1813="-"),"－",IF(OR(AZ1813=8,AZ1813=9),"",IF(OR(AW1813=3,AW1813=4,AW1813=5,AW1813=6),VLOOKUP(AU1813,INDEX((係数_バス貨物_ガソリン,係数_バス貨物_CNG,係数_バス貨物_軽油,係数_バス貨物_メタノール,係数_バス貨物_LPG),MATCH(AY1813,【参考】排出係数!$AI$4:$AI$671,1),1,BE1813):INDEX((係数_バス貨物_ガソリン,係数_バス貨物_CNG,係数_バス貨物_軽油,係数_バス貨物_メタノール,係数_バス貨物_LPG),MATCH(AY1813+1,【参考】排出係数!$AI$4:$AI$671,1)-1,5,BE1813),3,FALSE),IF(OR(AW1813=1,AW1813=2),VLOOKUP(AU1813,INDEX((係数_乗用_ガソリン,係数_乗用_CNG,係数_乗用_軽油,係数_乗用_メタノール,係数_乗用_LPG),1,1,BE1813):INDEX((係数_乗用_ガソリン,係数_乗用_CNG,係数_乗用_軽油,係数_乗用_メタノール,係数_乗用_LPG),125,5,BE1813),3,FALSE))))))</f>
        <v/>
      </c>
      <c r="BC1813" s="467" t="str">
        <f t="shared" si="1052"/>
        <v/>
      </c>
      <c r="BD1813" s="567" t="str">
        <f t="shared" si="1053"/>
        <v/>
      </c>
      <c r="BE1813" s="467" t="str">
        <f t="shared" si="1054"/>
        <v/>
      </c>
      <c r="BF1813" s="469" t="str">
        <f t="shared" ca="1" si="1055"/>
        <v/>
      </c>
      <c r="BG1813" s="469" t="str">
        <f t="shared" ca="1" si="1056"/>
        <v/>
      </c>
      <c r="BH1813" s="467" t="str">
        <f t="shared" si="1057"/>
        <v/>
      </c>
      <c r="BI1813" s="467" t="str">
        <f t="shared" ca="1" si="1058"/>
        <v/>
      </c>
      <c r="BJ1813" s="469" t="str">
        <f t="shared" si="1059"/>
        <v/>
      </c>
      <c r="BK1813" s="470" t="str">
        <f t="shared" si="1043"/>
        <v/>
      </c>
      <c r="BL1813" s="775" t="str">
        <f t="shared" si="1060"/>
        <v/>
      </c>
      <c r="BM1813" s="775" t="str">
        <f t="shared" si="1061"/>
        <v/>
      </c>
    </row>
    <row r="1814" spans="1:65">
      <c r="A1814" s="473">
        <v>1758</v>
      </c>
      <c r="B1814" s="132"/>
      <c r="C1814" s="332"/>
      <c r="D1814" s="333"/>
      <c r="E1814" s="333"/>
      <c r="F1814" s="334"/>
      <c r="G1814" s="337"/>
      <c r="H1814" s="131"/>
      <c r="I1814" s="337"/>
      <c r="J1814" s="131"/>
      <c r="K1814" s="458" t="str">
        <f t="shared" si="1024"/>
        <v/>
      </c>
      <c r="L1814" s="458">
        <f t="shared" si="1025"/>
        <v>0</v>
      </c>
      <c r="M1814" s="458">
        <f t="shared" si="1026"/>
        <v>0</v>
      </c>
      <c r="N1814" s="459" t="str">
        <f t="shared" si="1037"/>
        <v/>
      </c>
      <c r="O1814" s="459" t="str">
        <f t="shared" si="1038"/>
        <v/>
      </c>
      <c r="P1814" s="459" t="str">
        <f t="shared" si="1039"/>
        <v/>
      </c>
      <c r="Q1814" s="459" t="str">
        <f t="shared" si="1040"/>
        <v/>
      </c>
      <c r="R1814" s="459" t="str">
        <f t="shared" si="1041"/>
        <v/>
      </c>
      <c r="S1814" s="459" t="str">
        <f t="shared" si="1042"/>
        <v/>
      </c>
      <c r="T1814" s="566" t="str">
        <f t="shared" si="1027"/>
        <v/>
      </c>
      <c r="U1814" s="702"/>
      <c r="V1814" s="132"/>
      <c r="W1814" s="133"/>
      <c r="X1814" s="134"/>
      <c r="Y1814" s="135"/>
      <c r="Z1814" s="137"/>
      <c r="AA1814" s="136"/>
      <c r="AB1814" s="566" t="str">
        <f t="shared" si="1028"/>
        <v/>
      </c>
      <c r="AC1814" s="568" t="str">
        <f t="shared" si="1029"/>
        <v/>
      </c>
      <c r="AD1814" s="137"/>
      <c r="AE1814" s="137"/>
      <c r="AF1814" s="138"/>
      <c r="AG1814" s="138"/>
      <c r="AH1814" s="592" t="str">
        <f t="shared" si="1030"/>
        <v/>
      </c>
      <c r="AI1814" s="592" t="str">
        <f t="shared" si="1031"/>
        <v/>
      </c>
      <c r="AJ1814" s="592" t="str">
        <f t="shared" si="1032"/>
        <v/>
      </c>
      <c r="AK1814" s="460" t="str">
        <f>IF(AU1814="","",IF(OR(AZ1814=8,AZ1814=9),0,IF(OR(AW1814=3,AW1814=4,AW1814=5,AW1814=6),IF(LEFT(BF1814,1)="1",INDEX(係数_NOX・PM低減,MATCH(AY1814,【参考】排出係数!$AI$801:$AI$804,1),1),VLOOKUP(AU1814,INDEX((係数_バス貨物_ガソリン,係数_バス貨物_CNG,係数_バス貨物_軽油,係数_バス貨物_メタノール,係数_バス貨物_LPG),MATCH(AY1814,【参考】排出係数!$AI$4:$AI$671,1),1,BE1814):INDEX((係数_バス貨物_ガソリン,係数_バス貨物_CNG,係数_バス貨物_軽油,係数_バス貨物_メタノール,係数_バス貨物_LPG),MATCH(AY1814+1,【参考】排出係数!$AI$4:$AI$671,1)-1,5,BE1814),4,FALSE)),IF(AND(BE1814=3,LEFT(BF1814,1)="1"),0.48,VLOOKUP(AU1814,INDEX((係数_乗用_ガソリン,係数_乗用_CNG,係数_乗用_軽油,係数_乗用_メタノール,係数_乗用_LPG),1,1,BE1814):INDEX((係数_乗用_ガソリン,係数_乗用_CNG,係数_乗用_軽油,係数_乗用_メタノール,係数_乗用_LPG),125,5,BE1814),4,FALSE)))))</f>
        <v/>
      </c>
      <c r="AL1814" s="461" t="str">
        <f t="shared" si="1033"/>
        <v/>
      </c>
      <c r="AM1814" s="460" t="str">
        <f>IF(AU1814="","",IF(OR(AZ1814=8,AZ1814=9),0,IF(OR(AW1814=3,AW1814=4,AW1814=5,AW1814=6),IF(LEFT(BH1814,1)="1",INDEX(係数_PM低減,MATCH(AY1814,【参考】排出係数!$AI$801:$AI$804,1),MATCH(BI1814,【参考】排出係数!$AL$798:$AO$798,1)),VLOOKUP(AU1814,INDEX((係数_バス貨物_ガソリン,係数_バス貨物_CNG,係数_バス貨物_軽油,係数_バス貨物_メタノール,係数_バス貨物_LPG),MATCH(AY1814,【参考】排出係数!$AI$4:$AI$671,1),1,BE1814):INDEX((係数_バス貨物_ガソリン,係数_バス貨物_CNG,係数_バス貨物_軽油,係数_バス貨物_メタノール,係数_バス貨物_LPG),MATCH(AY1814+1,【参考】排出係数!$AI$4:$AI$671,1)-1,5,BE1814),5,FALSE)),IF(AND(BE1814=3,LEFT(BF1814,1)="1"),0.055,VLOOKUP(AU1814,INDEX((係数_乗用_ガソリン,係数_乗用_CNG,係数_乗用_軽油,係数_乗用_メタノール,係数_乗用_LPG),1,1,BE1814):INDEX((係数_乗用_ガソリン,係数_乗用_CNG,係数_乗用_軽油,係数_乗用_メタノール,係数_乗用_LPG),125,5,BE1814),5,FALSE)))))</f>
        <v/>
      </c>
      <c r="AN1814" s="461" t="str">
        <f t="shared" si="1034"/>
        <v/>
      </c>
      <c r="AO1814" s="462" t="str">
        <f t="shared" si="1035"/>
        <v/>
      </c>
      <c r="AP1814" s="463" t="str">
        <f t="shared" si="1036"/>
        <v/>
      </c>
      <c r="AQ1814" s="464"/>
      <c r="AR1814" s="619"/>
      <c r="AS1814" s="465" t="str">
        <f t="shared" si="1044"/>
        <v/>
      </c>
      <c r="AT1814" s="465" t="str">
        <f t="shared" si="1045"/>
        <v/>
      </c>
      <c r="AU1814" s="466" t="str">
        <f t="shared" si="1046"/>
        <v/>
      </c>
      <c r="AV1814" s="467" t="str">
        <f t="shared" si="1047"/>
        <v/>
      </c>
      <c r="AW1814" s="467" t="str">
        <f t="shared" si="1048"/>
        <v/>
      </c>
      <c r="AX1814" s="467" t="str">
        <f t="shared" si="1049"/>
        <v/>
      </c>
      <c r="AY1814" s="467" t="str">
        <f t="shared" si="1050"/>
        <v/>
      </c>
      <c r="AZ1814" s="467" t="str">
        <f t="shared" si="1051"/>
        <v/>
      </c>
      <c r="BA1814" s="468" t="str">
        <f>IF(AS1814="","",IF(OR(AU1814="",AU1814="-"),"－",IF(OR(AZ1814=8,AZ1814=9),"",IF(OR(AW1814=3,AW1814=4,AW1814=5,AW1814=6),VLOOKUP(AU1814,INDEX((係数_バス貨物_ガソリン,係数_バス貨物_CNG,係数_バス貨物_軽油,係数_バス貨物_メタノール,係数_バス貨物_LPG),MATCH(AY1814,【参考】排出係数!$AI$4:$AI$671,1),1,BE1814):INDEX((係数_バス貨物_ガソリン,係数_バス貨物_CNG,係数_バス貨物_軽油,係数_バス貨物_メタノール,係数_バス貨物_LPG),MATCH(AY1814+1,【参考】排出係数!$AI$4:$AI$671,1)-1,5,BE1814),2,FALSE),IF(OR(AW1814=1,AW1814=2),VLOOKUP(AU1814,INDEX((係数_乗用_ガソリン,係数_乗用_CNG,係数_乗用_軽油,係数_乗用_メタノール,係数_乗用_LPG),1,1,BE1814):INDEX((係数_乗用_ガソリン,係数_乗用_CNG,係数_乗用_軽油,係数_乗用_メタノール,係数_乗用_LPG),125,5,BE1814),2,FALSE))))))</f>
        <v/>
      </c>
      <c r="BB1814" s="468" t="str">
        <f>IF(T1814="","",IF(OR(AU1814="",AU1814="-"),"－",IF(OR(AZ1814=8,AZ1814=9),"",IF(OR(AW1814=3,AW1814=4,AW1814=5,AW1814=6),VLOOKUP(AU1814,INDEX((係数_バス貨物_ガソリン,係数_バス貨物_CNG,係数_バス貨物_軽油,係数_バス貨物_メタノール,係数_バス貨物_LPG),MATCH(AY1814,【参考】排出係数!$AI$4:$AI$671,1),1,BE1814):INDEX((係数_バス貨物_ガソリン,係数_バス貨物_CNG,係数_バス貨物_軽油,係数_バス貨物_メタノール,係数_バス貨物_LPG),MATCH(AY1814+1,【参考】排出係数!$AI$4:$AI$671,1)-1,5,BE1814),3,FALSE),IF(OR(AW1814=1,AW1814=2),VLOOKUP(AU1814,INDEX((係数_乗用_ガソリン,係数_乗用_CNG,係数_乗用_軽油,係数_乗用_メタノール,係数_乗用_LPG),1,1,BE1814):INDEX((係数_乗用_ガソリン,係数_乗用_CNG,係数_乗用_軽油,係数_乗用_メタノール,係数_乗用_LPG),125,5,BE1814),3,FALSE))))))</f>
        <v/>
      </c>
      <c r="BC1814" s="467" t="str">
        <f t="shared" si="1052"/>
        <v/>
      </c>
      <c r="BD1814" s="567" t="str">
        <f t="shared" si="1053"/>
        <v/>
      </c>
      <c r="BE1814" s="467" t="str">
        <f t="shared" si="1054"/>
        <v/>
      </c>
      <c r="BF1814" s="469" t="str">
        <f t="shared" ca="1" si="1055"/>
        <v/>
      </c>
      <c r="BG1814" s="469" t="str">
        <f t="shared" ca="1" si="1056"/>
        <v/>
      </c>
      <c r="BH1814" s="467" t="str">
        <f t="shared" si="1057"/>
        <v/>
      </c>
      <c r="BI1814" s="467" t="str">
        <f t="shared" ca="1" si="1058"/>
        <v/>
      </c>
      <c r="BJ1814" s="469" t="str">
        <f t="shared" si="1059"/>
        <v/>
      </c>
      <c r="BK1814" s="470" t="str">
        <f t="shared" si="1043"/>
        <v/>
      </c>
      <c r="BL1814" s="775" t="str">
        <f t="shared" si="1060"/>
        <v/>
      </c>
      <c r="BM1814" s="775" t="str">
        <f t="shared" si="1061"/>
        <v/>
      </c>
    </row>
    <row r="1815" spans="1:65">
      <c r="A1815" s="473">
        <v>1759</v>
      </c>
      <c r="B1815" s="132"/>
      <c r="C1815" s="332"/>
      <c r="D1815" s="333"/>
      <c r="E1815" s="333"/>
      <c r="F1815" s="334"/>
      <c r="G1815" s="337"/>
      <c r="H1815" s="131"/>
      <c r="I1815" s="337"/>
      <c r="J1815" s="131"/>
      <c r="K1815" s="458" t="str">
        <f t="shared" si="1024"/>
        <v/>
      </c>
      <c r="L1815" s="458">
        <f t="shared" si="1025"/>
        <v>0</v>
      </c>
      <c r="M1815" s="458">
        <f t="shared" si="1026"/>
        <v>0</v>
      </c>
      <c r="N1815" s="459" t="str">
        <f t="shared" si="1037"/>
        <v/>
      </c>
      <c r="O1815" s="459" t="str">
        <f t="shared" si="1038"/>
        <v/>
      </c>
      <c r="P1815" s="459" t="str">
        <f t="shared" si="1039"/>
        <v/>
      </c>
      <c r="Q1815" s="459" t="str">
        <f t="shared" si="1040"/>
        <v/>
      </c>
      <c r="R1815" s="459" t="str">
        <f t="shared" si="1041"/>
        <v/>
      </c>
      <c r="S1815" s="459" t="str">
        <f t="shared" si="1042"/>
        <v/>
      </c>
      <c r="T1815" s="566" t="str">
        <f t="shared" si="1027"/>
        <v/>
      </c>
      <c r="U1815" s="702"/>
      <c r="V1815" s="132"/>
      <c r="W1815" s="133"/>
      <c r="X1815" s="134"/>
      <c r="Y1815" s="135"/>
      <c r="Z1815" s="137"/>
      <c r="AA1815" s="136"/>
      <c r="AB1815" s="566" t="str">
        <f t="shared" si="1028"/>
        <v/>
      </c>
      <c r="AC1815" s="568" t="str">
        <f t="shared" si="1029"/>
        <v/>
      </c>
      <c r="AD1815" s="137"/>
      <c r="AE1815" s="137"/>
      <c r="AF1815" s="138"/>
      <c r="AG1815" s="138"/>
      <c r="AH1815" s="592" t="str">
        <f t="shared" si="1030"/>
        <v/>
      </c>
      <c r="AI1815" s="592" t="str">
        <f t="shared" si="1031"/>
        <v/>
      </c>
      <c r="AJ1815" s="592" t="str">
        <f t="shared" si="1032"/>
        <v/>
      </c>
      <c r="AK1815" s="460" t="str">
        <f>IF(AU1815="","",IF(OR(AZ1815=8,AZ1815=9),0,IF(OR(AW1815=3,AW1815=4,AW1815=5,AW1815=6),IF(LEFT(BF1815,1)="1",INDEX(係数_NOX・PM低減,MATCH(AY1815,【参考】排出係数!$AI$801:$AI$804,1),1),VLOOKUP(AU1815,INDEX((係数_バス貨物_ガソリン,係数_バス貨物_CNG,係数_バス貨物_軽油,係数_バス貨物_メタノール,係数_バス貨物_LPG),MATCH(AY1815,【参考】排出係数!$AI$4:$AI$671,1),1,BE1815):INDEX((係数_バス貨物_ガソリン,係数_バス貨物_CNG,係数_バス貨物_軽油,係数_バス貨物_メタノール,係数_バス貨物_LPG),MATCH(AY1815+1,【参考】排出係数!$AI$4:$AI$671,1)-1,5,BE1815),4,FALSE)),IF(AND(BE1815=3,LEFT(BF1815,1)="1"),0.48,VLOOKUP(AU1815,INDEX((係数_乗用_ガソリン,係数_乗用_CNG,係数_乗用_軽油,係数_乗用_メタノール,係数_乗用_LPG),1,1,BE1815):INDEX((係数_乗用_ガソリン,係数_乗用_CNG,係数_乗用_軽油,係数_乗用_メタノール,係数_乗用_LPG),125,5,BE1815),4,FALSE)))))</f>
        <v/>
      </c>
      <c r="AL1815" s="461" t="str">
        <f t="shared" si="1033"/>
        <v/>
      </c>
      <c r="AM1815" s="460" t="str">
        <f>IF(AU1815="","",IF(OR(AZ1815=8,AZ1815=9),0,IF(OR(AW1815=3,AW1815=4,AW1815=5,AW1815=6),IF(LEFT(BH1815,1)="1",INDEX(係数_PM低減,MATCH(AY1815,【参考】排出係数!$AI$801:$AI$804,1),MATCH(BI1815,【参考】排出係数!$AL$798:$AO$798,1)),VLOOKUP(AU1815,INDEX((係数_バス貨物_ガソリン,係数_バス貨物_CNG,係数_バス貨物_軽油,係数_バス貨物_メタノール,係数_バス貨物_LPG),MATCH(AY1815,【参考】排出係数!$AI$4:$AI$671,1),1,BE1815):INDEX((係数_バス貨物_ガソリン,係数_バス貨物_CNG,係数_バス貨物_軽油,係数_バス貨物_メタノール,係数_バス貨物_LPG),MATCH(AY1815+1,【参考】排出係数!$AI$4:$AI$671,1)-1,5,BE1815),5,FALSE)),IF(AND(BE1815=3,LEFT(BF1815,1)="1"),0.055,VLOOKUP(AU1815,INDEX((係数_乗用_ガソリン,係数_乗用_CNG,係数_乗用_軽油,係数_乗用_メタノール,係数_乗用_LPG),1,1,BE1815):INDEX((係数_乗用_ガソリン,係数_乗用_CNG,係数_乗用_軽油,係数_乗用_メタノール,係数_乗用_LPG),125,5,BE1815),5,FALSE)))))</f>
        <v/>
      </c>
      <c r="AN1815" s="461" t="str">
        <f t="shared" si="1034"/>
        <v/>
      </c>
      <c r="AO1815" s="462" t="str">
        <f t="shared" si="1035"/>
        <v/>
      </c>
      <c r="AP1815" s="463" t="str">
        <f t="shared" si="1036"/>
        <v/>
      </c>
      <c r="AQ1815" s="464"/>
      <c r="AR1815" s="619"/>
      <c r="AS1815" s="465" t="str">
        <f t="shared" si="1044"/>
        <v/>
      </c>
      <c r="AT1815" s="465" t="str">
        <f t="shared" si="1045"/>
        <v/>
      </c>
      <c r="AU1815" s="466" t="str">
        <f t="shared" si="1046"/>
        <v/>
      </c>
      <c r="AV1815" s="467" t="str">
        <f t="shared" si="1047"/>
        <v/>
      </c>
      <c r="AW1815" s="467" t="str">
        <f t="shared" si="1048"/>
        <v/>
      </c>
      <c r="AX1815" s="467" t="str">
        <f t="shared" si="1049"/>
        <v/>
      </c>
      <c r="AY1815" s="467" t="str">
        <f t="shared" si="1050"/>
        <v/>
      </c>
      <c r="AZ1815" s="467" t="str">
        <f t="shared" si="1051"/>
        <v/>
      </c>
      <c r="BA1815" s="468" t="str">
        <f>IF(AS1815="","",IF(OR(AU1815="",AU1815="-"),"－",IF(OR(AZ1815=8,AZ1815=9),"",IF(OR(AW1815=3,AW1815=4,AW1815=5,AW1815=6),VLOOKUP(AU1815,INDEX((係数_バス貨物_ガソリン,係数_バス貨物_CNG,係数_バス貨物_軽油,係数_バス貨物_メタノール,係数_バス貨物_LPG),MATCH(AY1815,【参考】排出係数!$AI$4:$AI$671,1),1,BE1815):INDEX((係数_バス貨物_ガソリン,係数_バス貨物_CNG,係数_バス貨物_軽油,係数_バス貨物_メタノール,係数_バス貨物_LPG),MATCH(AY1815+1,【参考】排出係数!$AI$4:$AI$671,1)-1,5,BE1815),2,FALSE),IF(OR(AW1815=1,AW1815=2),VLOOKUP(AU1815,INDEX((係数_乗用_ガソリン,係数_乗用_CNG,係数_乗用_軽油,係数_乗用_メタノール,係数_乗用_LPG),1,1,BE1815):INDEX((係数_乗用_ガソリン,係数_乗用_CNG,係数_乗用_軽油,係数_乗用_メタノール,係数_乗用_LPG),125,5,BE1815),2,FALSE))))))</f>
        <v/>
      </c>
      <c r="BB1815" s="468" t="str">
        <f>IF(T1815="","",IF(OR(AU1815="",AU1815="-"),"－",IF(OR(AZ1815=8,AZ1815=9),"",IF(OR(AW1815=3,AW1815=4,AW1815=5,AW1815=6),VLOOKUP(AU1815,INDEX((係数_バス貨物_ガソリン,係数_バス貨物_CNG,係数_バス貨物_軽油,係数_バス貨物_メタノール,係数_バス貨物_LPG),MATCH(AY1815,【参考】排出係数!$AI$4:$AI$671,1),1,BE1815):INDEX((係数_バス貨物_ガソリン,係数_バス貨物_CNG,係数_バス貨物_軽油,係数_バス貨物_メタノール,係数_バス貨物_LPG),MATCH(AY1815+1,【参考】排出係数!$AI$4:$AI$671,1)-1,5,BE1815),3,FALSE),IF(OR(AW1815=1,AW1815=2),VLOOKUP(AU1815,INDEX((係数_乗用_ガソリン,係数_乗用_CNG,係数_乗用_軽油,係数_乗用_メタノール,係数_乗用_LPG),1,1,BE1815):INDEX((係数_乗用_ガソリン,係数_乗用_CNG,係数_乗用_軽油,係数_乗用_メタノール,係数_乗用_LPG),125,5,BE1815),3,FALSE))))))</f>
        <v/>
      </c>
      <c r="BC1815" s="467" t="str">
        <f t="shared" si="1052"/>
        <v/>
      </c>
      <c r="BD1815" s="567" t="str">
        <f t="shared" si="1053"/>
        <v/>
      </c>
      <c r="BE1815" s="467" t="str">
        <f t="shared" si="1054"/>
        <v/>
      </c>
      <c r="BF1815" s="469" t="str">
        <f t="shared" ca="1" si="1055"/>
        <v/>
      </c>
      <c r="BG1815" s="469" t="str">
        <f t="shared" ca="1" si="1056"/>
        <v/>
      </c>
      <c r="BH1815" s="467" t="str">
        <f t="shared" si="1057"/>
        <v/>
      </c>
      <c r="BI1815" s="467" t="str">
        <f t="shared" ca="1" si="1058"/>
        <v/>
      </c>
      <c r="BJ1815" s="469" t="str">
        <f t="shared" si="1059"/>
        <v/>
      </c>
      <c r="BK1815" s="470" t="str">
        <f t="shared" si="1043"/>
        <v/>
      </c>
      <c r="BL1815" s="775" t="str">
        <f t="shared" si="1060"/>
        <v/>
      </c>
      <c r="BM1815" s="775" t="str">
        <f t="shared" si="1061"/>
        <v/>
      </c>
    </row>
    <row r="1816" spans="1:65">
      <c r="A1816" s="473">
        <v>1760</v>
      </c>
      <c r="B1816" s="132"/>
      <c r="C1816" s="332"/>
      <c r="D1816" s="333"/>
      <c r="E1816" s="333"/>
      <c r="F1816" s="334"/>
      <c r="G1816" s="337"/>
      <c r="H1816" s="131"/>
      <c r="I1816" s="337"/>
      <c r="J1816" s="131"/>
      <c r="K1816" s="458" t="str">
        <f t="shared" si="1024"/>
        <v/>
      </c>
      <c r="L1816" s="458">
        <f t="shared" si="1025"/>
        <v>0</v>
      </c>
      <c r="M1816" s="458">
        <f t="shared" si="1026"/>
        <v>0</v>
      </c>
      <c r="N1816" s="459" t="str">
        <f t="shared" si="1037"/>
        <v/>
      </c>
      <c r="O1816" s="459" t="str">
        <f t="shared" si="1038"/>
        <v/>
      </c>
      <c r="P1816" s="459" t="str">
        <f t="shared" si="1039"/>
        <v/>
      </c>
      <c r="Q1816" s="459" t="str">
        <f t="shared" si="1040"/>
        <v/>
      </c>
      <c r="R1816" s="459" t="str">
        <f t="shared" si="1041"/>
        <v/>
      </c>
      <c r="S1816" s="459" t="str">
        <f t="shared" si="1042"/>
        <v/>
      </c>
      <c r="T1816" s="566" t="str">
        <f t="shared" si="1027"/>
        <v/>
      </c>
      <c r="U1816" s="702"/>
      <c r="V1816" s="132"/>
      <c r="W1816" s="133"/>
      <c r="X1816" s="134"/>
      <c r="Y1816" s="135"/>
      <c r="Z1816" s="137"/>
      <c r="AA1816" s="136"/>
      <c r="AB1816" s="566" t="str">
        <f t="shared" si="1028"/>
        <v/>
      </c>
      <c r="AC1816" s="568" t="str">
        <f t="shared" si="1029"/>
        <v/>
      </c>
      <c r="AD1816" s="137"/>
      <c r="AE1816" s="137"/>
      <c r="AF1816" s="138"/>
      <c r="AG1816" s="138"/>
      <c r="AH1816" s="592" t="str">
        <f t="shared" si="1030"/>
        <v/>
      </c>
      <c r="AI1816" s="592" t="str">
        <f t="shared" si="1031"/>
        <v/>
      </c>
      <c r="AJ1816" s="592" t="str">
        <f t="shared" si="1032"/>
        <v/>
      </c>
      <c r="AK1816" s="460" t="str">
        <f>IF(AU1816="","",IF(OR(AZ1816=8,AZ1816=9),0,IF(OR(AW1816=3,AW1816=4,AW1816=5,AW1816=6),IF(LEFT(BF1816,1)="1",INDEX(係数_NOX・PM低減,MATCH(AY1816,【参考】排出係数!$AI$801:$AI$804,1),1),VLOOKUP(AU1816,INDEX((係数_バス貨物_ガソリン,係数_バス貨物_CNG,係数_バス貨物_軽油,係数_バス貨物_メタノール,係数_バス貨物_LPG),MATCH(AY1816,【参考】排出係数!$AI$4:$AI$671,1),1,BE1816):INDEX((係数_バス貨物_ガソリン,係数_バス貨物_CNG,係数_バス貨物_軽油,係数_バス貨物_メタノール,係数_バス貨物_LPG),MATCH(AY1816+1,【参考】排出係数!$AI$4:$AI$671,1)-1,5,BE1816),4,FALSE)),IF(AND(BE1816=3,LEFT(BF1816,1)="1"),0.48,VLOOKUP(AU1816,INDEX((係数_乗用_ガソリン,係数_乗用_CNG,係数_乗用_軽油,係数_乗用_メタノール,係数_乗用_LPG),1,1,BE1816):INDEX((係数_乗用_ガソリン,係数_乗用_CNG,係数_乗用_軽油,係数_乗用_メタノール,係数_乗用_LPG),125,5,BE1816),4,FALSE)))))</f>
        <v/>
      </c>
      <c r="AL1816" s="461" t="str">
        <f t="shared" si="1033"/>
        <v/>
      </c>
      <c r="AM1816" s="460" t="str">
        <f>IF(AU1816="","",IF(OR(AZ1816=8,AZ1816=9),0,IF(OR(AW1816=3,AW1816=4,AW1816=5,AW1816=6),IF(LEFT(BH1816,1)="1",INDEX(係数_PM低減,MATCH(AY1816,【参考】排出係数!$AI$801:$AI$804,1),MATCH(BI1816,【参考】排出係数!$AL$798:$AO$798,1)),VLOOKUP(AU1816,INDEX((係数_バス貨物_ガソリン,係数_バス貨物_CNG,係数_バス貨物_軽油,係数_バス貨物_メタノール,係数_バス貨物_LPG),MATCH(AY1816,【参考】排出係数!$AI$4:$AI$671,1),1,BE1816):INDEX((係数_バス貨物_ガソリン,係数_バス貨物_CNG,係数_バス貨物_軽油,係数_バス貨物_メタノール,係数_バス貨物_LPG),MATCH(AY1816+1,【参考】排出係数!$AI$4:$AI$671,1)-1,5,BE1816),5,FALSE)),IF(AND(BE1816=3,LEFT(BF1816,1)="1"),0.055,VLOOKUP(AU1816,INDEX((係数_乗用_ガソリン,係数_乗用_CNG,係数_乗用_軽油,係数_乗用_メタノール,係数_乗用_LPG),1,1,BE1816):INDEX((係数_乗用_ガソリン,係数_乗用_CNG,係数_乗用_軽油,係数_乗用_メタノール,係数_乗用_LPG),125,5,BE1816),5,FALSE)))))</f>
        <v/>
      </c>
      <c r="AN1816" s="461" t="str">
        <f t="shared" si="1034"/>
        <v/>
      </c>
      <c r="AO1816" s="462" t="str">
        <f t="shared" si="1035"/>
        <v/>
      </c>
      <c r="AP1816" s="463" t="str">
        <f t="shared" si="1036"/>
        <v/>
      </c>
      <c r="AQ1816" s="464"/>
      <c r="AR1816" s="619"/>
      <c r="AS1816" s="465" t="str">
        <f t="shared" si="1044"/>
        <v/>
      </c>
      <c r="AT1816" s="465" t="str">
        <f t="shared" si="1045"/>
        <v/>
      </c>
      <c r="AU1816" s="466" t="str">
        <f t="shared" si="1046"/>
        <v/>
      </c>
      <c r="AV1816" s="467" t="str">
        <f t="shared" si="1047"/>
        <v/>
      </c>
      <c r="AW1816" s="467" t="str">
        <f t="shared" si="1048"/>
        <v/>
      </c>
      <c r="AX1816" s="467" t="str">
        <f t="shared" si="1049"/>
        <v/>
      </c>
      <c r="AY1816" s="467" t="str">
        <f t="shared" si="1050"/>
        <v/>
      </c>
      <c r="AZ1816" s="467" t="str">
        <f t="shared" si="1051"/>
        <v/>
      </c>
      <c r="BA1816" s="468" t="str">
        <f>IF(AS1816="","",IF(OR(AU1816="",AU1816="-"),"－",IF(OR(AZ1816=8,AZ1816=9),"",IF(OR(AW1816=3,AW1816=4,AW1816=5,AW1816=6),VLOOKUP(AU1816,INDEX((係数_バス貨物_ガソリン,係数_バス貨物_CNG,係数_バス貨物_軽油,係数_バス貨物_メタノール,係数_バス貨物_LPG),MATCH(AY1816,【参考】排出係数!$AI$4:$AI$671,1),1,BE1816):INDEX((係数_バス貨物_ガソリン,係数_バス貨物_CNG,係数_バス貨物_軽油,係数_バス貨物_メタノール,係数_バス貨物_LPG),MATCH(AY1816+1,【参考】排出係数!$AI$4:$AI$671,1)-1,5,BE1816),2,FALSE),IF(OR(AW1816=1,AW1816=2),VLOOKUP(AU1816,INDEX((係数_乗用_ガソリン,係数_乗用_CNG,係数_乗用_軽油,係数_乗用_メタノール,係数_乗用_LPG),1,1,BE1816):INDEX((係数_乗用_ガソリン,係数_乗用_CNG,係数_乗用_軽油,係数_乗用_メタノール,係数_乗用_LPG),125,5,BE1816),2,FALSE))))))</f>
        <v/>
      </c>
      <c r="BB1816" s="468" t="str">
        <f>IF(T1816="","",IF(OR(AU1816="",AU1816="-"),"－",IF(OR(AZ1816=8,AZ1816=9),"",IF(OR(AW1816=3,AW1816=4,AW1816=5,AW1816=6),VLOOKUP(AU1816,INDEX((係数_バス貨物_ガソリン,係数_バス貨物_CNG,係数_バス貨物_軽油,係数_バス貨物_メタノール,係数_バス貨物_LPG),MATCH(AY1816,【参考】排出係数!$AI$4:$AI$671,1),1,BE1816):INDEX((係数_バス貨物_ガソリン,係数_バス貨物_CNG,係数_バス貨物_軽油,係数_バス貨物_メタノール,係数_バス貨物_LPG),MATCH(AY1816+1,【参考】排出係数!$AI$4:$AI$671,1)-1,5,BE1816),3,FALSE),IF(OR(AW1816=1,AW1816=2),VLOOKUP(AU1816,INDEX((係数_乗用_ガソリン,係数_乗用_CNG,係数_乗用_軽油,係数_乗用_メタノール,係数_乗用_LPG),1,1,BE1816):INDEX((係数_乗用_ガソリン,係数_乗用_CNG,係数_乗用_軽油,係数_乗用_メタノール,係数_乗用_LPG),125,5,BE1816),3,FALSE))))))</f>
        <v/>
      </c>
      <c r="BC1816" s="467" t="str">
        <f t="shared" si="1052"/>
        <v/>
      </c>
      <c r="BD1816" s="567" t="str">
        <f t="shared" si="1053"/>
        <v/>
      </c>
      <c r="BE1816" s="467" t="str">
        <f t="shared" si="1054"/>
        <v/>
      </c>
      <c r="BF1816" s="469" t="str">
        <f t="shared" ca="1" si="1055"/>
        <v/>
      </c>
      <c r="BG1816" s="469" t="str">
        <f t="shared" ca="1" si="1056"/>
        <v/>
      </c>
      <c r="BH1816" s="467" t="str">
        <f t="shared" si="1057"/>
        <v/>
      </c>
      <c r="BI1816" s="467" t="str">
        <f t="shared" ca="1" si="1058"/>
        <v/>
      </c>
      <c r="BJ1816" s="469" t="str">
        <f t="shared" si="1059"/>
        <v/>
      </c>
      <c r="BK1816" s="470" t="str">
        <f t="shared" si="1043"/>
        <v/>
      </c>
      <c r="BL1816" s="775" t="str">
        <f t="shared" si="1060"/>
        <v/>
      </c>
      <c r="BM1816" s="775" t="str">
        <f t="shared" si="1061"/>
        <v/>
      </c>
    </row>
    <row r="1817" spans="1:65">
      <c r="A1817" s="473">
        <v>1761</v>
      </c>
      <c r="B1817" s="132"/>
      <c r="C1817" s="332"/>
      <c r="D1817" s="333"/>
      <c r="E1817" s="333"/>
      <c r="F1817" s="334"/>
      <c r="G1817" s="337"/>
      <c r="H1817" s="131"/>
      <c r="I1817" s="337"/>
      <c r="J1817" s="131"/>
      <c r="K1817" s="458" t="str">
        <f t="shared" si="1024"/>
        <v/>
      </c>
      <c r="L1817" s="458">
        <f t="shared" si="1025"/>
        <v>0</v>
      </c>
      <c r="M1817" s="458">
        <f t="shared" si="1026"/>
        <v>0</v>
      </c>
      <c r="N1817" s="459" t="str">
        <f t="shared" si="1037"/>
        <v/>
      </c>
      <c r="O1817" s="459" t="str">
        <f t="shared" si="1038"/>
        <v/>
      </c>
      <c r="P1817" s="459" t="str">
        <f t="shared" si="1039"/>
        <v/>
      </c>
      <c r="Q1817" s="459" t="str">
        <f t="shared" si="1040"/>
        <v/>
      </c>
      <c r="R1817" s="459" t="str">
        <f t="shared" si="1041"/>
        <v/>
      </c>
      <c r="S1817" s="459" t="str">
        <f t="shared" si="1042"/>
        <v/>
      </c>
      <c r="T1817" s="566" t="str">
        <f t="shared" si="1027"/>
        <v/>
      </c>
      <c r="U1817" s="702"/>
      <c r="V1817" s="132"/>
      <c r="W1817" s="133"/>
      <c r="X1817" s="134"/>
      <c r="Y1817" s="135"/>
      <c r="Z1817" s="137"/>
      <c r="AA1817" s="136"/>
      <c r="AB1817" s="566" t="str">
        <f t="shared" si="1028"/>
        <v/>
      </c>
      <c r="AC1817" s="568" t="str">
        <f t="shared" si="1029"/>
        <v/>
      </c>
      <c r="AD1817" s="137"/>
      <c r="AE1817" s="137"/>
      <c r="AF1817" s="138"/>
      <c r="AG1817" s="138"/>
      <c r="AH1817" s="592" t="str">
        <f t="shared" si="1030"/>
        <v/>
      </c>
      <c r="AI1817" s="592" t="str">
        <f t="shared" si="1031"/>
        <v/>
      </c>
      <c r="AJ1817" s="592" t="str">
        <f t="shared" si="1032"/>
        <v/>
      </c>
      <c r="AK1817" s="460" t="str">
        <f>IF(AU1817="","",IF(OR(AZ1817=8,AZ1817=9),0,IF(OR(AW1817=3,AW1817=4,AW1817=5,AW1817=6),IF(LEFT(BF1817,1)="1",INDEX(係数_NOX・PM低減,MATCH(AY1817,【参考】排出係数!$AI$801:$AI$804,1),1),VLOOKUP(AU1817,INDEX((係数_バス貨物_ガソリン,係数_バス貨物_CNG,係数_バス貨物_軽油,係数_バス貨物_メタノール,係数_バス貨物_LPG),MATCH(AY1817,【参考】排出係数!$AI$4:$AI$671,1),1,BE1817):INDEX((係数_バス貨物_ガソリン,係数_バス貨物_CNG,係数_バス貨物_軽油,係数_バス貨物_メタノール,係数_バス貨物_LPG),MATCH(AY1817+1,【参考】排出係数!$AI$4:$AI$671,1)-1,5,BE1817),4,FALSE)),IF(AND(BE1817=3,LEFT(BF1817,1)="1"),0.48,VLOOKUP(AU1817,INDEX((係数_乗用_ガソリン,係数_乗用_CNG,係数_乗用_軽油,係数_乗用_メタノール,係数_乗用_LPG),1,1,BE1817):INDEX((係数_乗用_ガソリン,係数_乗用_CNG,係数_乗用_軽油,係数_乗用_メタノール,係数_乗用_LPG),125,5,BE1817),4,FALSE)))))</f>
        <v/>
      </c>
      <c r="AL1817" s="461" t="str">
        <f t="shared" si="1033"/>
        <v/>
      </c>
      <c r="AM1817" s="460" t="str">
        <f>IF(AU1817="","",IF(OR(AZ1817=8,AZ1817=9),0,IF(OR(AW1817=3,AW1817=4,AW1817=5,AW1817=6),IF(LEFT(BH1817,1)="1",INDEX(係数_PM低減,MATCH(AY1817,【参考】排出係数!$AI$801:$AI$804,1),MATCH(BI1817,【参考】排出係数!$AL$798:$AO$798,1)),VLOOKUP(AU1817,INDEX((係数_バス貨物_ガソリン,係数_バス貨物_CNG,係数_バス貨物_軽油,係数_バス貨物_メタノール,係数_バス貨物_LPG),MATCH(AY1817,【参考】排出係数!$AI$4:$AI$671,1),1,BE1817):INDEX((係数_バス貨物_ガソリン,係数_バス貨物_CNG,係数_バス貨物_軽油,係数_バス貨物_メタノール,係数_バス貨物_LPG),MATCH(AY1817+1,【参考】排出係数!$AI$4:$AI$671,1)-1,5,BE1817),5,FALSE)),IF(AND(BE1817=3,LEFT(BF1817,1)="1"),0.055,VLOOKUP(AU1817,INDEX((係数_乗用_ガソリン,係数_乗用_CNG,係数_乗用_軽油,係数_乗用_メタノール,係数_乗用_LPG),1,1,BE1817):INDEX((係数_乗用_ガソリン,係数_乗用_CNG,係数_乗用_軽油,係数_乗用_メタノール,係数_乗用_LPG),125,5,BE1817),5,FALSE)))))</f>
        <v/>
      </c>
      <c r="AN1817" s="461" t="str">
        <f t="shared" si="1034"/>
        <v/>
      </c>
      <c r="AO1817" s="462" t="str">
        <f t="shared" si="1035"/>
        <v/>
      </c>
      <c r="AP1817" s="463" t="str">
        <f t="shared" si="1036"/>
        <v/>
      </c>
      <c r="AQ1817" s="464"/>
      <c r="AR1817" s="619"/>
      <c r="AS1817" s="465" t="str">
        <f t="shared" si="1044"/>
        <v/>
      </c>
      <c r="AT1817" s="465" t="str">
        <f t="shared" si="1045"/>
        <v/>
      </c>
      <c r="AU1817" s="466" t="str">
        <f t="shared" si="1046"/>
        <v/>
      </c>
      <c r="AV1817" s="467" t="str">
        <f t="shared" si="1047"/>
        <v/>
      </c>
      <c r="AW1817" s="467" t="str">
        <f t="shared" si="1048"/>
        <v/>
      </c>
      <c r="AX1817" s="467" t="str">
        <f t="shared" si="1049"/>
        <v/>
      </c>
      <c r="AY1817" s="467" t="str">
        <f t="shared" si="1050"/>
        <v/>
      </c>
      <c r="AZ1817" s="467" t="str">
        <f t="shared" si="1051"/>
        <v/>
      </c>
      <c r="BA1817" s="468" t="str">
        <f>IF(AS1817="","",IF(OR(AU1817="",AU1817="-"),"－",IF(OR(AZ1817=8,AZ1817=9),"",IF(OR(AW1817=3,AW1817=4,AW1817=5,AW1817=6),VLOOKUP(AU1817,INDEX((係数_バス貨物_ガソリン,係数_バス貨物_CNG,係数_バス貨物_軽油,係数_バス貨物_メタノール,係数_バス貨物_LPG),MATCH(AY1817,【参考】排出係数!$AI$4:$AI$671,1),1,BE1817):INDEX((係数_バス貨物_ガソリン,係数_バス貨物_CNG,係数_バス貨物_軽油,係数_バス貨物_メタノール,係数_バス貨物_LPG),MATCH(AY1817+1,【参考】排出係数!$AI$4:$AI$671,1)-1,5,BE1817),2,FALSE),IF(OR(AW1817=1,AW1817=2),VLOOKUP(AU1817,INDEX((係数_乗用_ガソリン,係数_乗用_CNG,係数_乗用_軽油,係数_乗用_メタノール,係数_乗用_LPG),1,1,BE1817):INDEX((係数_乗用_ガソリン,係数_乗用_CNG,係数_乗用_軽油,係数_乗用_メタノール,係数_乗用_LPG),125,5,BE1817),2,FALSE))))))</f>
        <v/>
      </c>
      <c r="BB1817" s="468" t="str">
        <f>IF(T1817="","",IF(OR(AU1817="",AU1817="-"),"－",IF(OR(AZ1817=8,AZ1817=9),"",IF(OR(AW1817=3,AW1817=4,AW1817=5,AW1817=6),VLOOKUP(AU1817,INDEX((係数_バス貨物_ガソリン,係数_バス貨物_CNG,係数_バス貨物_軽油,係数_バス貨物_メタノール,係数_バス貨物_LPG),MATCH(AY1817,【参考】排出係数!$AI$4:$AI$671,1),1,BE1817):INDEX((係数_バス貨物_ガソリン,係数_バス貨物_CNG,係数_バス貨物_軽油,係数_バス貨物_メタノール,係数_バス貨物_LPG),MATCH(AY1817+1,【参考】排出係数!$AI$4:$AI$671,1)-1,5,BE1817),3,FALSE),IF(OR(AW1817=1,AW1817=2),VLOOKUP(AU1817,INDEX((係数_乗用_ガソリン,係数_乗用_CNG,係数_乗用_軽油,係数_乗用_メタノール,係数_乗用_LPG),1,1,BE1817):INDEX((係数_乗用_ガソリン,係数_乗用_CNG,係数_乗用_軽油,係数_乗用_メタノール,係数_乗用_LPG),125,5,BE1817),3,FALSE))))))</f>
        <v/>
      </c>
      <c r="BC1817" s="467" t="str">
        <f t="shared" si="1052"/>
        <v/>
      </c>
      <c r="BD1817" s="567" t="str">
        <f t="shared" si="1053"/>
        <v/>
      </c>
      <c r="BE1817" s="467" t="str">
        <f t="shared" si="1054"/>
        <v/>
      </c>
      <c r="BF1817" s="469" t="str">
        <f t="shared" ca="1" si="1055"/>
        <v/>
      </c>
      <c r="BG1817" s="469" t="str">
        <f t="shared" ca="1" si="1056"/>
        <v/>
      </c>
      <c r="BH1817" s="467" t="str">
        <f t="shared" si="1057"/>
        <v/>
      </c>
      <c r="BI1817" s="467" t="str">
        <f t="shared" ca="1" si="1058"/>
        <v/>
      </c>
      <c r="BJ1817" s="469" t="str">
        <f t="shared" si="1059"/>
        <v/>
      </c>
      <c r="BK1817" s="470" t="str">
        <f t="shared" si="1043"/>
        <v/>
      </c>
      <c r="BL1817" s="775" t="str">
        <f t="shared" si="1060"/>
        <v/>
      </c>
      <c r="BM1817" s="775" t="str">
        <f t="shared" si="1061"/>
        <v/>
      </c>
    </row>
    <row r="1818" spans="1:65">
      <c r="A1818" s="473">
        <v>1762</v>
      </c>
      <c r="B1818" s="132"/>
      <c r="C1818" s="332"/>
      <c r="D1818" s="333"/>
      <c r="E1818" s="333"/>
      <c r="F1818" s="334"/>
      <c r="G1818" s="337"/>
      <c r="H1818" s="131"/>
      <c r="I1818" s="337"/>
      <c r="J1818" s="131"/>
      <c r="K1818" s="458" t="str">
        <f t="shared" si="1024"/>
        <v/>
      </c>
      <c r="L1818" s="458">
        <f t="shared" si="1025"/>
        <v>0</v>
      </c>
      <c r="M1818" s="458">
        <f t="shared" si="1026"/>
        <v>0</v>
      </c>
      <c r="N1818" s="459" t="str">
        <f t="shared" si="1037"/>
        <v/>
      </c>
      <c r="O1818" s="459" t="str">
        <f t="shared" si="1038"/>
        <v/>
      </c>
      <c r="P1818" s="459" t="str">
        <f t="shared" si="1039"/>
        <v/>
      </c>
      <c r="Q1818" s="459" t="str">
        <f t="shared" si="1040"/>
        <v/>
      </c>
      <c r="R1818" s="459" t="str">
        <f t="shared" si="1041"/>
        <v/>
      </c>
      <c r="S1818" s="459" t="str">
        <f t="shared" si="1042"/>
        <v/>
      </c>
      <c r="T1818" s="566" t="str">
        <f t="shared" si="1027"/>
        <v/>
      </c>
      <c r="U1818" s="702"/>
      <c r="V1818" s="132"/>
      <c r="W1818" s="133"/>
      <c r="X1818" s="134"/>
      <c r="Y1818" s="135"/>
      <c r="Z1818" s="137"/>
      <c r="AA1818" s="136"/>
      <c r="AB1818" s="566" t="str">
        <f t="shared" si="1028"/>
        <v/>
      </c>
      <c r="AC1818" s="568" t="str">
        <f t="shared" si="1029"/>
        <v/>
      </c>
      <c r="AD1818" s="137"/>
      <c r="AE1818" s="137"/>
      <c r="AF1818" s="138"/>
      <c r="AG1818" s="138"/>
      <c r="AH1818" s="592" t="str">
        <f t="shared" si="1030"/>
        <v/>
      </c>
      <c r="AI1818" s="592" t="str">
        <f t="shared" si="1031"/>
        <v/>
      </c>
      <c r="AJ1818" s="592" t="str">
        <f t="shared" si="1032"/>
        <v/>
      </c>
      <c r="AK1818" s="460" t="str">
        <f>IF(AU1818="","",IF(OR(AZ1818=8,AZ1818=9),0,IF(OR(AW1818=3,AW1818=4,AW1818=5,AW1818=6),IF(LEFT(BF1818,1)="1",INDEX(係数_NOX・PM低減,MATCH(AY1818,【参考】排出係数!$AI$801:$AI$804,1),1),VLOOKUP(AU1818,INDEX((係数_バス貨物_ガソリン,係数_バス貨物_CNG,係数_バス貨物_軽油,係数_バス貨物_メタノール,係数_バス貨物_LPG),MATCH(AY1818,【参考】排出係数!$AI$4:$AI$671,1),1,BE1818):INDEX((係数_バス貨物_ガソリン,係数_バス貨物_CNG,係数_バス貨物_軽油,係数_バス貨物_メタノール,係数_バス貨物_LPG),MATCH(AY1818+1,【参考】排出係数!$AI$4:$AI$671,1)-1,5,BE1818),4,FALSE)),IF(AND(BE1818=3,LEFT(BF1818,1)="1"),0.48,VLOOKUP(AU1818,INDEX((係数_乗用_ガソリン,係数_乗用_CNG,係数_乗用_軽油,係数_乗用_メタノール,係数_乗用_LPG),1,1,BE1818):INDEX((係数_乗用_ガソリン,係数_乗用_CNG,係数_乗用_軽油,係数_乗用_メタノール,係数_乗用_LPG),125,5,BE1818),4,FALSE)))))</f>
        <v/>
      </c>
      <c r="AL1818" s="461" t="str">
        <f t="shared" si="1033"/>
        <v/>
      </c>
      <c r="AM1818" s="460" t="str">
        <f>IF(AU1818="","",IF(OR(AZ1818=8,AZ1818=9),0,IF(OR(AW1818=3,AW1818=4,AW1818=5,AW1818=6),IF(LEFT(BH1818,1)="1",INDEX(係数_PM低減,MATCH(AY1818,【参考】排出係数!$AI$801:$AI$804,1),MATCH(BI1818,【参考】排出係数!$AL$798:$AO$798,1)),VLOOKUP(AU1818,INDEX((係数_バス貨物_ガソリン,係数_バス貨物_CNG,係数_バス貨物_軽油,係数_バス貨物_メタノール,係数_バス貨物_LPG),MATCH(AY1818,【参考】排出係数!$AI$4:$AI$671,1),1,BE1818):INDEX((係数_バス貨物_ガソリン,係数_バス貨物_CNG,係数_バス貨物_軽油,係数_バス貨物_メタノール,係数_バス貨物_LPG),MATCH(AY1818+1,【参考】排出係数!$AI$4:$AI$671,1)-1,5,BE1818),5,FALSE)),IF(AND(BE1818=3,LEFT(BF1818,1)="1"),0.055,VLOOKUP(AU1818,INDEX((係数_乗用_ガソリン,係数_乗用_CNG,係数_乗用_軽油,係数_乗用_メタノール,係数_乗用_LPG),1,1,BE1818):INDEX((係数_乗用_ガソリン,係数_乗用_CNG,係数_乗用_軽油,係数_乗用_メタノール,係数_乗用_LPG),125,5,BE1818),5,FALSE)))))</f>
        <v/>
      </c>
      <c r="AN1818" s="461" t="str">
        <f t="shared" si="1034"/>
        <v/>
      </c>
      <c r="AO1818" s="462" t="str">
        <f t="shared" si="1035"/>
        <v/>
      </c>
      <c r="AP1818" s="463" t="str">
        <f t="shared" si="1036"/>
        <v/>
      </c>
      <c r="AQ1818" s="464"/>
      <c r="AR1818" s="619"/>
      <c r="AS1818" s="465" t="str">
        <f t="shared" si="1044"/>
        <v/>
      </c>
      <c r="AT1818" s="465" t="str">
        <f t="shared" si="1045"/>
        <v/>
      </c>
      <c r="AU1818" s="466" t="str">
        <f t="shared" si="1046"/>
        <v/>
      </c>
      <c r="AV1818" s="467" t="str">
        <f t="shared" si="1047"/>
        <v/>
      </c>
      <c r="AW1818" s="467" t="str">
        <f t="shared" si="1048"/>
        <v/>
      </c>
      <c r="AX1818" s="467" t="str">
        <f t="shared" si="1049"/>
        <v/>
      </c>
      <c r="AY1818" s="467" t="str">
        <f t="shared" si="1050"/>
        <v/>
      </c>
      <c r="AZ1818" s="467" t="str">
        <f t="shared" si="1051"/>
        <v/>
      </c>
      <c r="BA1818" s="468" t="str">
        <f>IF(AS1818="","",IF(OR(AU1818="",AU1818="-"),"－",IF(OR(AZ1818=8,AZ1818=9),"",IF(OR(AW1818=3,AW1818=4,AW1818=5,AW1818=6),VLOOKUP(AU1818,INDEX((係数_バス貨物_ガソリン,係数_バス貨物_CNG,係数_バス貨物_軽油,係数_バス貨物_メタノール,係数_バス貨物_LPG),MATCH(AY1818,【参考】排出係数!$AI$4:$AI$671,1),1,BE1818):INDEX((係数_バス貨物_ガソリン,係数_バス貨物_CNG,係数_バス貨物_軽油,係数_バス貨物_メタノール,係数_バス貨物_LPG),MATCH(AY1818+1,【参考】排出係数!$AI$4:$AI$671,1)-1,5,BE1818),2,FALSE),IF(OR(AW1818=1,AW1818=2),VLOOKUP(AU1818,INDEX((係数_乗用_ガソリン,係数_乗用_CNG,係数_乗用_軽油,係数_乗用_メタノール,係数_乗用_LPG),1,1,BE1818):INDEX((係数_乗用_ガソリン,係数_乗用_CNG,係数_乗用_軽油,係数_乗用_メタノール,係数_乗用_LPG),125,5,BE1818),2,FALSE))))))</f>
        <v/>
      </c>
      <c r="BB1818" s="468" t="str">
        <f>IF(T1818="","",IF(OR(AU1818="",AU1818="-"),"－",IF(OR(AZ1818=8,AZ1818=9),"",IF(OR(AW1818=3,AW1818=4,AW1818=5,AW1818=6),VLOOKUP(AU1818,INDEX((係数_バス貨物_ガソリン,係数_バス貨物_CNG,係数_バス貨物_軽油,係数_バス貨物_メタノール,係数_バス貨物_LPG),MATCH(AY1818,【参考】排出係数!$AI$4:$AI$671,1),1,BE1818):INDEX((係数_バス貨物_ガソリン,係数_バス貨物_CNG,係数_バス貨物_軽油,係数_バス貨物_メタノール,係数_バス貨物_LPG),MATCH(AY1818+1,【参考】排出係数!$AI$4:$AI$671,1)-1,5,BE1818),3,FALSE),IF(OR(AW1818=1,AW1818=2),VLOOKUP(AU1818,INDEX((係数_乗用_ガソリン,係数_乗用_CNG,係数_乗用_軽油,係数_乗用_メタノール,係数_乗用_LPG),1,1,BE1818):INDEX((係数_乗用_ガソリン,係数_乗用_CNG,係数_乗用_軽油,係数_乗用_メタノール,係数_乗用_LPG),125,5,BE1818),3,FALSE))))))</f>
        <v/>
      </c>
      <c r="BC1818" s="467" t="str">
        <f t="shared" si="1052"/>
        <v/>
      </c>
      <c r="BD1818" s="567" t="str">
        <f t="shared" si="1053"/>
        <v/>
      </c>
      <c r="BE1818" s="467" t="str">
        <f t="shared" si="1054"/>
        <v/>
      </c>
      <c r="BF1818" s="469" t="str">
        <f t="shared" ca="1" si="1055"/>
        <v/>
      </c>
      <c r="BG1818" s="469" t="str">
        <f t="shared" ca="1" si="1056"/>
        <v/>
      </c>
      <c r="BH1818" s="467" t="str">
        <f t="shared" si="1057"/>
        <v/>
      </c>
      <c r="BI1818" s="467" t="str">
        <f t="shared" ca="1" si="1058"/>
        <v/>
      </c>
      <c r="BJ1818" s="469" t="str">
        <f t="shared" si="1059"/>
        <v/>
      </c>
      <c r="BK1818" s="470" t="str">
        <f t="shared" si="1043"/>
        <v/>
      </c>
      <c r="BL1818" s="775" t="str">
        <f t="shared" si="1060"/>
        <v/>
      </c>
      <c r="BM1818" s="775" t="str">
        <f t="shared" si="1061"/>
        <v/>
      </c>
    </row>
    <row r="1819" spans="1:65">
      <c r="A1819" s="473">
        <v>1763</v>
      </c>
      <c r="B1819" s="132"/>
      <c r="C1819" s="332"/>
      <c r="D1819" s="333"/>
      <c r="E1819" s="333"/>
      <c r="F1819" s="334"/>
      <c r="G1819" s="337"/>
      <c r="H1819" s="131"/>
      <c r="I1819" s="337"/>
      <c r="J1819" s="131"/>
      <c r="K1819" s="458" t="str">
        <f t="shared" si="1024"/>
        <v/>
      </c>
      <c r="L1819" s="458">
        <f t="shared" si="1025"/>
        <v>0</v>
      </c>
      <c r="M1819" s="458">
        <f t="shared" si="1026"/>
        <v>0</v>
      </c>
      <c r="N1819" s="459" t="str">
        <f t="shared" si="1037"/>
        <v/>
      </c>
      <c r="O1819" s="459" t="str">
        <f t="shared" si="1038"/>
        <v/>
      </c>
      <c r="P1819" s="459" t="str">
        <f t="shared" si="1039"/>
        <v/>
      </c>
      <c r="Q1819" s="459" t="str">
        <f t="shared" si="1040"/>
        <v/>
      </c>
      <c r="R1819" s="459" t="str">
        <f t="shared" si="1041"/>
        <v/>
      </c>
      <c r="S1819" s="459" t="str">
        <f t="shared" si="1042"/>
        <v/>
      </c>
      <c r="T1819" s="566" t="str">
        <f t="shared" si="1027"/>
        <v/>
      </c>
      <c r="U1819" s="702"/>
      <c r="V1819" s="132"/>
      <c r="W1819" s="133"/>
      <c r="X1819" s="134"/>
      <c r="Y1819" s="135"/>
      <c r="Z1819" s="137"/>
      <c r="AA1819" s="136"/>
      <c r="AB1819" s="566" t="str">
        <f t="shared" si="1028"/>
        <v/>
      </c>
      <c r="AC1819" s="568" t="str">
        <f t="shared" si="1029"/>
        <v/>
      </c>
      <c r="AD1819" s="137"/>
      <c r="AE1819" s="137"/>
      <c r="AF1819" s="138"/>
      <c r="AG1819" s="138"/>
      <c r="AH1819" s="592" t="str">
        <f t="shared" si="1030"/>
        <v/>
      </c>
      <c r="AI1819" s="592" t="str">
        <f t="shared" si="1031"/>
        <v/>
      </c>
      <c r="AJ1819" s="592" t="str">
        <f t="shared" si="1032"/>
        <v/>
      </c>
      <c r="AK1819" s="460" t="str">
        <f>IF(AU1819="","",IF(OR(AZ1819=8,AZ1819=9),0,IF(OR(AW1819=3,AW1819=4,AW1819=5,AW1819=6),IF(LEFT(BF1819,1)="1",INDEX(係数_NOX・PM低減,MATCH(AY1819,【参考】排出係数!$AI$801:$AI$804,1),1),VLOOKUP(AU1819,INDEX((係数_バス貨物_ガソリン,係数_バス貨物_CNG,係数_バス貨物_軽油,係数_バス貨物_メタノール,係数_バス貨物_LPG),MATCH(AY1819,【参考】排出係数!$AI$4:$AI$671,1),1,BE1819):INDEX((係数_バス貨物_ガソリン,係数_バス貨物_CNG,係数_バス貨物_軽油,係数_バス貨物_メタノール,係数_バス貨物_LPG),MATCH(AY1819+1,【参考】排出係数!$AI$4:$AI$671,1)-1,5,BE1819),4,FALSE)),IF(AND(BE1819=3,LEFT(BF1819,1)="1"),0.48,VLOOKUP(AU1819,INDEX((係数_乗用_ガソリン,係数_乗用_CNG,係数_乗用_軽油,係数_乗用_メタノール,係数_乗用_LPG),1,1,BE1819):INDEX((係数_乗用_ガソリン,係数_乗用_CNG,係数_乗用_軽油,係数_乗用_メタノール,係数_乗用_LPG),125,5,BE1819),4,FALSE)))))</f>
        <v/>
      </c>
      <c r="AL1819" s="461" t="str">
        <f t="shared" si="1033"/>
        <v/>
      </c>
      <c r="AM1819" s="460" t="str">
        <f>IF(AU1819="","",IF(OR(AZ1819=8,AZ1819=9),0,IF(OR(AW1819=3,AW1819=4,AW1819=5,AW1819=6),IF(LEFT(BH1819,1)="1",INDEX(係数_PM低減,MATCH(AY1819,【参考】排出係数!$AI$801:$AI$804,1),MATCH(BI1819,【参考】排出係数!$AL$798:$AO$798,1)),VLOOKUP(AU1819,INDEX((係数_バス貨物_ガソリン,係数_バス貨物_CNG,係数_バス貨物_軽油,係数_バス貨物_メタノール,係数_バス貨物_LPG),MATCH(AY1819,【参考】排出係数!$AI$4:$AI$671,1),1,BE1819):INDEX((係数_バス貨物_ガソリン,係数_バス貨物_CNG,係数_バス貨物_軽油,係数_バス貨物_メタノール,係数_バス貨物_LPG),MATCH(AY1819+1,【参考】排出係数!$AI$4:$AI$671,1)-1,5,BE1819),5,FALSE)),IF(AND(BE1819=3,LEFT(BF1819,1)="1"),0.055,VLOOKUP(AU1819,INDEX((係数_乗用_ガソリン,係数_乗用_CNG,係数_乗用_軽油,係数_乗用_メタノール,係数_乗用_LPG),1,1,BE1819):INDEX((係数_乗用_ガソリン,係数_乗用_CNG,係数_乗用_軽油,係数_乗用_メタノール,係数_乗用_LPG),125,5,BE1819),5,FALSE)))))</f>
        <v/>
      </c>
      <c r="AN1819" s="461" t="str">
        <f t="shared" si="1034"/>
        <v/>
      </c>
      <c r="AO1819" s="462" t="str">
        <f t="shared" si="1035"/>
        <v/>
      </c>
      <c r="AP1819" s="463" t="str">
        <f t="shared" si="1036"/>
        <v/>
      </c>
      <c r="AQ1819" s="464"/>
      <c r="AR1819" s="619"/>
      <c r="AS1819" s="465" t="str">
        <f t="shared" si="1044"/>
        <v/>
      </c>
      <c r="AT1819" s="465" t="str">
        <f t="shared" si="1045"/>
        <v/>
      </c>
      <c r="AU1819" s="466" t="str">
        <f t="shared" si="1046"/>
        <v/>
      </c>
      <c r="AV1819" s="467" t="str">
        <f t="shared" si="1047"/>
        <v/>
      </c>
      <c r="AW1819" s="467" t="str">
        <f t="shared" si="1048"/>
        <v/>
      </c>
      <c r="AX1819" s="467" t="str">
        <f t="shared" si="1049"/>
        <v/>
      </c>
      <c r="AY1819" s="467" t="str">
        <f t="shared" si="1050"/>
        <v/>
      </c>
      <c r="AZ1819" s="467" t="str">
        <f t="shared" si="1051"/>
        <v/>
      </c>
      <c r="BA1819" s="468" t="str">
        <f>IF(AS1819="","",IF(OR(AU1819="",AU1819="-"),"－",IF(OR(AZ1819=8,AZ1819=9),"",IF(OR(AW1819=3,AW1819=4,AW1819=5,AW1819=6),VLOOKUP(AU1819,INDEX((係数_バス貨物_ガソリン,係数_バス貨物_CNG,係数_バス貨物_軽油,係数_バス貨物_メタノール,係数_バス貨物_LPG),MATCH(AY1819,【参考】排出係数!$AI$4:$AI$671,1),1,BE1819):INDEX((係数_バス貨物_ガソリン,係数_バス貨物_CNG,係数_バス貨物_軽油,係数_バス貨物_メタノール,係数_バス貨物_LPG),MATCH(AY1819+1,【参考】排出係数!$AI$4:$AI$671,1)-1,5,BE1819),2,FALSE),IF(OR(AW1819=1,AW1819=2),VLOOKUP(AU1819,INDEX((係数_乗用_ガソリン,係数_乗用_CNG,係数_乗用_軽油,係数_乗用_メタノール,係数_乗用_LPG),1,1,BE1819):INDEX((係数_乗用_ガソリン,係数_乗用_CNG,係数_乗用_軽油,係数_乗用_メタノール,係数_乗用_LPG),125,5,BE1819),2,FALSE))))))</f>
        <v/>
      </c>
      <c r="BB1819" s="468" t="str">
        <f>IF(T1819="","",IF(OR(AU1819="",AU1819="-"),"－",IF(OR(AZ1819=8,AZ1819=9),"",IF(OR(AW1819=3,AW1819=4,AW1819=5,AW1819=6),VLOOKUP(AU1819,INDEX((係数_バス貨物_ガソリン,係数_バス貨物_CNG,係数_バス貨物_軽油,係数_バス貨物_メタノール,係数_バス貨物_LPG),MATCH(AY1819,【参考】排出係数!$AI$4:$AI$671,1),1,BE1819):INDEX((係数_バス貨物_ガソリン,係数_バス貨物_CNG,係数_バス貨物_軽油,係数_バス貨物_メタノール,係数_バス貨物_LPG),MATCH(AY1819+1,【参考】排出係数!$AI$4:$AI$671,1)-1,5,BE1819),3,FALSE),IF(OR(AW1819=1,AW1819=2),VLOOKUP(AU1819,INDEX((係数_乗用_ガソリン,係数_乗用_CNG,係数_乗用_軽油,係数_乗用_メタノール,係数_乗用_LPG),1,1,BE1819):INDEX((係数_乗用_ガソリン,係数_乗用_CNG,係数_乗用_軽油,係数_乗用_メタノール,係数_乗用_LPG),125,5,BE1819),3,FALSE))))))</f>
        <v/>
      </c>
      <c r="BC1819" s="467" t="str">
        <f t="shared" si="1052"/>
        <v/>
      </c>
      <c r="BD1819" s="567" t="str">
        <f t="shared" si="1053"/>
        <v/>
      </c>
      <c r="BE1819" s="467" t="str">
        <f t="shared" si="1054"/>
        <v/>
      </c>
      <c r="BF1819" s="469" t="str">
        <f t="shared" ca="1" si="1055"/>
        <v/>
      </c>
      <c r="BG1819" s="469" t="str">
        <f t="shared" ca="1" si="1056"/>
        <v/>
      </c>
      <c r="BH1819" s="467" t="str">
        <f t="shared" si="1057"/>
        <v/>
      </c>
      <c r="BI1819" s="467" t="str">
        <f t="shared" ca="1" si="1058"/>
        <v/>
      </c>
      <c r="BJ1819" s="469" t="str">
        <f t="shared" si="1059"/>
        <v/>
      </c>
      <c r="BK1819" s="470" t="str">
        <f t="shared" si="1043"/>
        <v/>
      </c>
      <c r="BL1819" s="775" t="str">
        <f t="shared" si="1060"/>
        <v/>
      </c>
      <c r="BM1819" s="775" t="str">
        <f t="shared" si="1061"/>
        <v/>
      </c>
    </row>
    <row r="1820" spans="1:65">
      <c r="A1820" s="473">
        <v>1764</v>
      </c>
      <c r="B1820" s="132"/>
      <c r="C1820" s="332"/>
      <c r="D1820" s="333"/>
      <c r="E1820" s="333"/>
      <c r="F1820" s="334"/>
      <c r="G1820" s="337"/>
      <c r="H1820" s="131"/>
      <c r="I1820" s="337"/>
      <c r="J1820" s="131"/>
      <c r="K1820" s="458" t="str">
        <f t="shared" si="1024"/>
        <v/>
      </c>
      <c r="L1820" s="458">
        <f t="shared" si="1025"/>
        <v>0</v>
      </c>
      <c r="M1820" s="458">
        <f t="shared" si="1026"/>
        <v>0</v>
      </c>
      <c r="N1820" s="459" t="str">
        <f t="shared" si="1037"/>
        <v/>
      </c>
      <c r="O1820" s="459" t="str">
        <f t="shared" si="1038"/>
        <v/>
      </c>
      <c r="P1820" s="459" t="str">
        <f t="shared" si="1039"/>
        <v/>
      </c>
      <c r="Q1820" s="459" t="str">
        <f t="shared" si="1040"/>
        <v/>
      </c>
      <c r="R1820" s="459" t="str">
        <f t="shared" si="1041"/>
        <v/>
      </c>
      <c r="S1820" s="459" t="str">
        <f t="shared" si="1042"/>
        <v/>
      </c>
      <c r="T1820" s="566" t="str">
        <f t="shared" si="1027"/>
        <v/>
      </c>
      <c r="U1820" s="702"/>
      <c r="V1820" s="132"/>
      <c r="W1820" s="133"/>
      <c r="X1820" s="134"/>
      <c r="Y1820" s="135"/>
      <c r="Z1820" s="137"/>
      <c r="AA1820" s="136"/>
      <c r="AB1820" s="566" t="str">
        <f t="shared" si="1028"/>
        <v/>
      </c>
      <c r="AC1820" s="568" t="str">
        <f t="shared" si="1029"/>
        <v/>
      </c>
      <c r="AD1820" s="137"/>
      <c r="AE1820" s="137"/>
      <c r="AF1820" s="138"/>
      <c r="AG1820" s="138"/>
      <c r="AH1820" s="592" t="str">
        <f t="shared" si="1030"/>
        <v/>
      </c>
      <c r="AI1820" s="592" t="str">
        <f t="shared" si="1031"/>
        <v/>
      </c>
      <c r="AJ1820" s="592" t="str">
        <f t="shared" si="1032"/>
        <v/>
      </c>
      <c r="AK1820" s="460" t="str">
        <f>IF(AU1820="","",IF(OR(AZ1820=8,AZ1820=9),0,IF(OR(AW1820=3,AW1820=4,AW1820=5,AW1820=6),IF(LEFT(BF1820,1)="1",INDEX(係数_NOX・PM低減,MATCH(AY1820,【参考】排出係数!$AI$801:$AI$804,1),1),VLOOKUP(AU1820,INDEX((係数_バス貨物_ガソリン,係数_バス貨物_CNG,係数_バス貨物_軽油,係数_バス貨物_メタノール,係数_バス貨物_LPG),MATCH(AY1820,【参考】排出係数!$AI$4:$AI$671,1),1,BE1820):INDEX((係数_バス貨物_ガソリン,係数_バス貨物_CNG,係数_バス貨物_軽油,係数_バス貨物_メタノール,係数_バス貨物_LPG),MATCH(AY1820+1,【参考】排出係数!$AI$4:$AI$671,1)-1,5,BE1820),4,FALSE)),IF(AND(BE1820=3,LEFT(BF1820,1)="1"),0.48,VLOOKUP(AU1820,INDEX((係数_乗用_ガソリン,係数_乗用_CNG,係数_乗用_軽油,係数_乗用_メタノール,係数_乗用_LPG),1,1,BE1820):INDEX((係数_乗用_ガソリン,係数_乗用_CNG,係数_乗用_軽油,係数_乗用_メタノール,係数_乗用_LPG),125,5,BE1820),4,FALSE)))))</f>
        <v/>
      </c>
      <c r="AL1820" s="461" t="str">
        <f t="shared" si="1033"/>
        <v/>
      </c>
      <c r="AM1820" s="460" t="str">
        <f>IF(AU1820="","",IF(OR(AZ1820=8,AZ1820=9),0,IF(OR(AW1820=3,AW1820=4,AW1820=5,AW1820=6),IF(LEFT(BH1820,1)="1",INDEX(係数_PM低減,MATCH(AY1820,【参考】排出係数!$AI$801:$AI$804,1),MATCH(BI1820,【参考】排出係数!$AL$798:$AO$798,1)),VLOOKUP(AU1820,INDEX((係数_バス貨物_ガソリン,係数_バス貨物_CNG,係数_バス貨物_軽油,係数_バス貨物_メタノール,係数_バス貨物_LPG),MATCH(AY1820,【参考】排出係数!$AI$4:$AI$671,1),1,BE1820):INDEX((係数_バス貨物_ガソリン,係数_バス貨物_CNG,係数_バス貨物_軽油,係数_バス貨物_メタノール,係数_バス貨物_LPG),MATCH(AY1820+1,【参考】排出係数!$AI$4:$AI$671,1)-1,5,BE1820),5,FALSE)),IF(AND(BE1820=3,LEFT(BF1820,1)="1"),0.055,VLOOKUP(AU1820,INDEX((係数_乗用_ガソリン,係数_乗用_CNG,係数_乗用_軽油,係数_乗用_メタノール,係数_乗用_LPG),1,1,BE1820):INDEX((係数_乗用_ガソリン,係数_乗用_CNG,係数_乗用_軽油,係数_乗用_メタノール,係数_乗用_LPG),125,5,BE1820),5,FALSE)))))</f>
        <v/>
      </c>
      <c r="AN1820" s="461" t="str">
        <f t="shared" si="1034"/>
        <v/>
      </c>
      <c r="AO1820" s="462" t="str">
        <f t="shared" si="1035"/>
        <v/>
      </c>
      <c r="AP1820" s="463" t="str">
        <f t="shared" si="1036"/>
        <v/>
      </c>
      <c r="AQ1820" s="464"/>
      <c r="AR1820" s="619"/>
      <c r="AS1820" s="465" t="str">
        <f t="shared" si="1044"/>
        <v/>
      </c>
      <c r="AT1820" s="465" t="str">
        <f t="shared" si="1045"/>
        <v/>
      </c>
      <c r="AU1820" s="466" t="str">
        <f t="shared" si="1046"/>
        <v/>
      </c>
      <c r="AV1820" s="467" t="str">
        <f t="shared" si="1047"/>
        <v/>
      </c>
      <c r="AW1820" s="467" t="str">
        <f t="shared" si="1048"/>
        <v/>
      </c>
      <c r="AX1820" s="467" t="str">
        <f t="shared" si="1049"/>
        <v/>
      </c>
      <c r="AY1820" s="467" t="str">
        <f t="shared" si="1050"/>
        <v/>
      </c>
      <c r="AZ1820" s="467" t="str">
        <f t="shared" si="1051"/>
        <v/>
      </c>
      <c r="BA1820" s="468" t="str">
        <f>IF(AS1820="","",IF(OR(AU1820="",AU1820="-"),"－",IF(OR(AZ1820=8,AZ1820=9),"",IF(OR(AW1820=3,AW1820=4,AW1820=5,AW1820=6),VLOOKUP(AU1820,INDEX((係数_バス貨物_ガソリン,係数_バス貨物_CNG,係数_バス貨物_軽油,係数_バス貨物_メタノール,係数_バス貨物_LPG),MATCH(AY1820,【参考】排出係数!$AI$4:$AI$671,1),1,BE1820):INDEX((係数_バス貨物_ガソリン,係数_バス貨物_CNG,係数_バス貨物_軽油,係数_バス貨物_メタノール,係数_バス貨物_LPG),MATCH(AY1820+1,【参考】排出係数!$AI$4:$AI$671,1)-1,5,BE1820),2,FALSE),IF(OR(AW1820=1,AW1820=2),VLOOKUP(AU1820,INDEX((係数_乗用_ガソリン,係数_乗用_CNG,係数_乗用_軽油,係数_乗用_メタノール,係数_乗用_LPG),1,1,BE1820):INDEX((係数_乗用_ガソリン,係数_乗用_CNG,係数_乗用_軽油,係数_乗用_メタノール,係数_乗用_LPG),125,5,BE1820),2,FALSE))))))</f>
        <v/>
      </c>
      <c r="BB1820" s="468" t="str">
        <f>IF(T1820="","",IF(OR(AU1820="",AU1820="-"),"－",IF(OR(AZ1820=8,AZ1820=9),"",IF(OR(AW1820=3,AW1820=4,AW1820=5,AW1820=6),VLOOKUP(AU1820,INDEX((係数_バス貨物_ガソリン,係数_バス貨物_CNG,係数_バス貨物_軽油,係数_バス貨物_メタノール,係数_バス貨物_LPG),MATCH(AY1820,【参考】排出係数!$AI$4:$AI$671,1),1,BE1820):INDEX((係数_バス貨物_ガソリン,係数_バス貨物_CNG,係数_バス貨物_軽油,係数_バス貨物_メタノール,係数_バス貨物_LPG),MATCH(AY1820+1,【参考】排出係数!$AI$4:$AI$671,1)-1,5,BE1820),3,FALSE),IF(OR(AW1820=1,AW1820=2),VLOOKUP(AU1820,INDEX((係数_乗用_ガソリン,係数_乗用_CNG,係数_乗用_軽油,係数_乗用_メタノール,係数_乗用_LPG),1,1,BE1820):INDEX((係数_乗用_ガソリン,係数_乗用_CNG,係数_乗用_軽油,係数_乗用_メタノール,係数_乗用_LPG),125,5,BE1820),3,FALSE))))))</f>
        <v/>
      </c>
      <c r="BC1820" s="467" t="str">
        <f t="shared" si="1052"/>
        <v/>
      </c>
      <c r="BD1820" s="567" t="str">
        <f t="shared" si="1053"/>
        <v/>
      </c>
      <c r="BE1820" s="467" t="str">
        <f t="shared" si="1054"/>
        <v/>
      </c>
      <c r="BF1820" s="469" t="str">
        <f t="shared" ca="1" si="1055"/>
        <v/>
      </c>
      <c r="BG1820" s="469" t="str">
        <f t="shared" ca="1" si="1056"/>
        <v/>
      </c>
      <c r="BH1820" s="467" t="str">
        <f t="shared" si="1057"/>
        <v/>
      </c>
      <c r="BI1820" s="467" t="str">
        <f t="shared" ca="1" si="1058"/>
        <v/>
      </c>
      <c r="BJ1820" s="469" t="str">
        <f t="shared" si="1059"/>
        <v/>
      </c>
      <c r="BK1820" s="470" t="str">
        <f t="shared" si="1043"/>
        <v/>
      </c>
      <c r="BL1820" s="775" t="str">
        <f t="shared" si="1060"/>
        <v/>
      </c>
      <c r="BM1820" s="775" t="str">
        <f t="shared" si="1061"/>
        <v/>
      </c>
    </row>
    <row r="1821" spans="1:65">
      <c r="A1821" s="473">
        <v>1765</v>
      </c>
      <c r="B1821" s="132"/>
      <c r="C1821" s="332"/>
      <c r="D1821" s="333"/>
      <c r="E1821" s="333"/>
      <c r="F1821" s="334"/>
      <c r="G1821" s="337"/>
      <c r="H1821" s="131"/>
      <c r="I1821" s="337"/>
      <c r="J1821" s="131"/>
      <c r="K1821" s="458" t="str">
        <f t="shared" si="1024"/>
        <v/>
      </c>
      <c r="L1821" s="458">
        <f t="shared" si="1025"/>
        <v>0</v>
      </c>
      <c r="M1821" s="458">
        <f t="shared" si="1026"/>
        <v>0</v>
      </c>
      <c r="N1821" s="459" t="str">
        <f t="shared" si="1037"/>
        <v/>
      </c>
      <c r="O1821" s="459" t="str">
        <f t="shared" si="1038"/>
        <v/>
      </c>
      <c r="P1821" s="459" t="str">
        <f t="shared" si="1039"/>
        <v/>
      </c>
      <c r="Q1821" s="459" t="str">
        <f t="shared" si="1040"/>
        <v/>
      </c>
      <c r="R1821" s="459" t="str">
        <f t="shared" si="1041"/>
        <v/>
      </c>
      <c r="S1821" s="459" t="str">
        <f t="shared" si="1042"/>
        <v/>
      </c>
      <c r="T1821" s="566" t="str">
        <f t="shared" si="1027"/>
        <v/>
      </c>
      <c r="U1821" s="702"/>
      <c r="V1821" s="132"/>
      <c r="W1821" s="133"/>
      <c r="X1821" s="134"/>
      <c r="Y1821" s="135"/>
      <c r="Z1821" s="137"/>
      <c r="AA1821" s="136"/>
      <c r="AB1821" s="566" t="str">
        <f t="shared" si="1028"/>
        <v/>
      </c>
      <c r="AC1821" s="568" t="str">
        <f t="shared" si="1029"/>
        <v/>
      </c>
      <c r="AD1821" s="137"/>
      <c r="AE1821" s="137"/>
      <c r="AF1821" s="138"/>
      <c r="AG1821" s="138"/>
      <c r="AH1821" s="592" t="str">
        <f t="shared" si="1030"/>
        <v/>
      </c>
      <c r="AI1821" s="592" t="str">
        <f t="shared" si="1031"/>
        <v/>
      </c>
      <c r="AJ1821" s="592" t="str">
        <f t="shared" si="1032"/>
        <v/>
      </c>
      <c r="AK1821" s="460" t="str">
        <f>IF(AU1821="","",IF(OR(AZ1821=8,AZ1821=9),0,IF(OR(AW1821=3,AW1821=4,AW1821=5,AW1821=6),IF(LEFT(BF1821,1)="1",INDEX(係数_NOX・PM低減,MATCH(AY1821,【参考】排出係数!$AI$801:$AI$804,1),1),VLOOKUP(AU1821,INDEX((係数_バス貨物_ガソリン,係数_バス貨物_CNG,係数_バス貨物_軽油,係数_バス貨物_メタノール,係数_バス貨物_LPG),MATCH(AY1821,【参考】排出係数!$AI$4:$AI$671,1),1,BE1821):INDEX((係数_バス貨物_ガソリン,係数_バス貨物_CNG,係数_バス貨物_軽油,係数_バス貨物_メタノール,係数_バス貨物_LPG),MATCH(AY1821+1,【参考】排出係数!$AI$4:$AI$671,1)-1,5,BE1821),4,FALSE)),IF(AND(BE1821=3,LEFT(BF1821,1)="1"),0.48,VLOOKUP(AU1821,INDEX((係数_乗用_ガソリン,係数_乗用_CNG,係数_乗用_軽油,係数_乗用_メタノール,係数_乗用_LPG),1,1,BE1821):INDEX((係数_乗用_ガソリン,係数_乗用_CNG,係数_乗用_軽油,係数_乗用_メタノール,係数_乗用_LPG),125,5,BE1821),4,FALSE)))))</f>
        <v/>
      </c>
      <c r="AL1821" s="461" t="str">
        <f t="shared" si="1033"/>
        <v/>
      </c>
      <c r="AM1821" s="460" t="str">
        <f>IF(AU1821="","",IF(OR(AZ1821=8,AZ1821=9),0,IF(OR(AW1821=3,AW1821=4,AW1821=5,AW1821=6),IF(LEFT(BH1821,1)="1",INDEX(係数_PM低減,MATCH(AY1821,【参考】排出係数!$AI$801:$AI$804,1),MATCH(BI1821,【参考】排出係数!$AL$798:$AO$798,1)),VLOOKUP(AU1821,INDEX((係数_バス貨物_ガソリン,係数_バス貨物_CNG,係数_バス貨物_軽油,係数_バス貨物_メタノール,係数_バス貨物_LPG),MATCH(AY1821,【参考】排出係数!$AI$4:$AI$671,1),1,BE1821):INDEX((係数_バス貨物_ガソリン,係数_バス貨物_CNG,係数_バス貨物_軽油,係数_バス貨物_メタノール,係数_バス貨物_LPG),MATCH(AY1821+1,【参考】排出係数!$AI$4:$AI$671,1)-1,5,BE1821),5,FALSE)),IF(AND(BE1821=3,LEFT(BF1821,1)="1"),0.055,VLOOKUP(AU1821,INDEX((係数_乗用_ガソリン,係数_乗用_CNG,係数_乗用_軽油,係数_乗用_メタノール,係数_乗用_LPG),1,1,BE1821):INDEX((係数_乗用_ガソリン,係数_乗用_CNG,係数_乗用_軽油,係数_乗用_メタノール,係数_乗用_LPG),125,5,BE1821),5,FALSE)))))</f>
        <v/>
      </c>
      <c r="AN1821" s="461" t="str">
        <f t="shared" si="1034"/>
        <v/>
      </c>
      <c r="AO1821" s="462" t="str">
        <f t="shared" si="1035"/>
        <v/>
      </c>
      <c r="AP1821" s="463" t="str">
        <f t="shared" si="1036"/>
        <v/>
      </c>
      <c r="AQ1821" s="464"/>
      <c r="AR1821" s="619"/>
      <c r="AS1821" s="465" t="str">
        <f t="shared" si="1044"/>
        <v/>
      </c>
      <c r="AT1821" s="465" t="str">
        <f t="shared" si="1045"/>
        <v/>
      </c>
      <c r="AU1821" s="466" t="str">
        <f t="shared" si="1046"/>
        <v/>
      </c>
      <c r="AV1821" s="467" t="str">
        <f t="shared" si="1047"/>
        <v/>
      </c>
      <c r="AW1821" s="467" t="str">
        <f t="shared" si="1048"/>
        <v/>
      </c>
      <c r="AX1821" s="467" t="str">
        <f t="shared" si="1049"/>
        <v/>
      </c>
      <c r="AY1821" s="467" t="str">
        <f t="shared" si="1050"/>
        <v/>
      </c>
      <c r="AZ1821" s="467" t="str">
        <f t="shared" si="1051"/>
        <v/>
      </c>
      <c r="BA1821" s="468" t="str">
        <f>IF(AS1821="","",IF(OR(AU1821="",AU1821="-"),"－",IF(OR(AZ1821=8,AZ1821=9),"",IF(OR(AW1821=3,AW1821=4,AW1821=5,AW1821=6),VLOOKUP(AU1821,INDEX((係数_バス貨物_ガソリン,係数_バス貨物_CNG,係数_バス貨物_軽油,係数_バス貨物_メタノール,係数_バス貨物_LPG),MATCH(AY1821,【参考】排出係数!$AI$4:$AI$671,1),1,BE1821):INDEX((係数_バス貨物_ガソリン,係数_バス貨物_CNG,係数_バス貨物_軽油,係数_バス貨物_メタノール,係数_バス貨物_LPG),MATCH(AY1821+1,【参考】排出係数!$AI$4:$AI$671,1)-1,5,BE1821),2,FALSE),IF(OR(AW1821=1,AW1821=2),VLOOKUP(AU1821,INDEX((係数_乗用_ガソリン,係数_乗用_CNG,係数_乗用_軽油,係数_乗用_メタノール,係数_乗用_LPG),1,1,BE1821):INDEX((係数_乗用_ガソリン,係数_乗用_CNG,係数_乗用_軽油,係数_乗用_メタノール,係数_乗用_LPG),125,5,BE1821),2,FALSE))))))</f>
        <v/>
      </c>
      <c r="BB1821" s="468" t="str">
        <f>IF(T1821="","",IF(OR(AU1821="",AU1821="-"),"－",IF(OR(AZ1821=8,AZ1821=9),"",IF(OR(AW1821=3,AW1821=4,AW1821=5,AW1821=6),VLOOKUP(AU1821,INDEX((係数_バス貨物_ガソリン,係数_バス貨物_CNG,係数_バス貨物_軽油,係数_バス貨物_メタノール,係数_バス貨物_LPG),MATCH(AY1821,【参考】排出係数!$AI$4:$AI$671,1),1,BE1821):INDEX((係数_バス貨物_ガソリン,係数_バス貨物_CNG,係数_バス貨物_軽油,係数_バス貨物_メタノール,係数_バス貨物_LPG),MATCH(AY1821+1,【参考】排出係数!$AI$4:$AI$671,1)-1,5,BE1821),3,FALSE),IF(OR(AW1821=1,AW1821=2),VLOOKUP(AU1821,INDEX((係数_乗用_ガソリン,係数_乗用_CNG,係数_乗用_軽油,係数_乗用_メタノール,係数_乗用_LPG),1,1,BE1821):INDEX((係数_乗用_ガソリン,係数_乗用_CNG,係数_乗用_軽油,係数_乗用_メタノール,係数_乗用_LPG),125,5,BE1821),3,FALSE))))))</f>
        <v/>
      </c>
      <c r="BC1821" s="467" t="str">
        <f t="shared" si="1052"/>
        <v/>
      </c>
      <c r="BD1821" s="567" t="str">
        <f t="shared" si="1053"/>
        <v/>
      </c>
      <c r="BE1821" s="467" t="str">
        <f t="shared" si="1054"/>
        <v/>
      </c>
      <c r="BF1821" s="469" t="str">
        <f t="shared" ca="1" si="1055"/>
        <v/>
      </c>
      <c r="BG1821" s="469" t="str">
        <f t="shared" ca="1" si="1056"/>
        <v/>
      </c>
      <c r="BH1821" s="467" t="str">
        <f t="shared" si="1057"/>
        <v/>
      </c>
      <c r="BI1821" s="467" t="str">
        <f t="shared" ca="1" si="1058"/>
        <v/>
      </c>
      <c r="BJ1821" s="469" t="str">
        <f t="shared" si="1059"/>
        <v/>
      </c>
      <c r="BK1821" s="470" t="str">
        <f t="shared" si="1043"/>
        <v/>
      </c>
      <c r="BL1821" s="775" t="str">
        <f t="shared" si="1060"/>
        <v/>
      </c>
      <c r="BM1821" s="775" t="str">
        <f t="shared" si="1061"/>
        <v/>
      </c>
    </row>
    <row r="1822" spans="1:65">
      <c r="A1822" s="473">
        <v>1766</v>
      </c>
      <c r="B1822" s="132"/>
      <c r="C1822" s="332"/>
      <c r="D1822" s="333"/>
      <c r="E1822" s="333"/>
      <c r="F1822" s="334"/>
      <c r="G1822" s="337"/>
      <c r="H1822" s="131"/>
      <c r="I1822" s="337"/>
      <c r="J1822" s="131"/>
      <c r="K1822" s="458" t="str">
        <f t="shared" si="1024"/>
        <v/>
      </c>
      <c r="L1822" s="458">
        <f t="shared" si="1025"/>
        <v>0</v>
      </c>
      <c r="M1822" s="458">
        <f t="shared" si="1026"/>
        <v>0</v>
      </c>
      <c r="N1822" s="459" t="str">
        <f t="shared" si="1037"/>
        <v/>
      </c>
      <c r="O1822" s="459" t="str">
        <f t="shared" si="1038"/>
        <v/>
      </c>
      <c r="P1822" s="459" t="str">
        <f t="shared" si="1039"/>
        <v/>
      </c>
      <c r="Q1822" s="459" t="str">
        <f t="shared" si="1040"/>
        <v/>
      </c>
      <c r="R1822" s="459" t="str">
        <f t="shared" si="1041"/>
        <v/>
      </c>
      <c r="S1822" s="459" t="str">
        <f t="shared" si="1042"/>
        <v/>
      </c>
      <c r="T1822" s="566" t="str">
        <f t="shared" si="1027"/>
        <v/>
      </c>
      <c r="U1822" s="702"/>
      <c r="V1822" s="132"/>
      <c r="W1822" s="133"/>
      <c r="X1822" s="134"/>
      <c r="Y1822" s="135"/>
      <c r="Z1822" s="137"/>
      <c r="AA1822" s="136"/>
      <c r="AB1822" s="566" t="str">
        <f t="shared" si="1028"/>
        <v/>
      </c>
      <c r="AC1822" s="568" t="str">
        <f t="shared" si="1029"/>
        <v/>
      </c>
      <c r="AD1822" s="137"/>
      <c r="AE1822" s="137"/>
      <c r="AF1822" s="138"/>
      <c r="AG1822" s="138"/>
      <c r="AH1822" s="592" t="str">
        <f t="shared" si="1030"/>
        <v/>
      </c>
      <c r="AI1822" s="592" t="str">
        <f t="shared" si="1031"/>
        <v/>
      </c>
      <c r="AJ1822" s="592" t="str">
        <f t="shared" si="1032"/>
        <v/>
      </c>
      <c r="AK1822" s="460" t="str">
        <f>IF(AU1822="","",IF(OR(AZ1822=8,AZ1822=9),0,IF(OR(AW1822=3,AW1822=4,AW1822=5,AW1822=6),IF(LEFT(BF1822,1)="1",INDEX(係数_NOX・PM低減,MATCH(AY1822,【参考】排出係数!$AI$801:$AI$804,1),1),VLOOKUP(AU1822,INDEX((係数_バス貨物_ガソリン,係数_バス貨物_CNG,係数_バス貨物_軽油,係数_バス貨物_メタノール,係数_バス貨物_LPG),MATCH(AY1822,【参考】排出係数!$AI$4:$AI$671,1),1,BE1822):INDEX((係数_バス貨物_ガソリン,係数_バス貨物_CNG,係数_バス貨物_軽油,係数_バス貨物_メタノール,係数_バス貨物_LPG),MATCH(AY1822+1,【参考】排出係数!$AI$4:$AI$671,1)-1,5,BE1822),4,FALSE)),IF(AND(BE1822=3,LEFT(BF1822,1)="1"),0.48,VLOOKUP(AU1822,INDEX((係数_乗用_ガソリン,係数_乗用_CNG,係数_乗用_軽油,係数_乗用_メタノール,係数_乗用_LPG),1,1,BE1822):INDEX((係数_乗用_ガソリン,係数_乗用_CNG,係数_乗用_軽油,係数_乗用_メタノール,係数_乗用_LPG),125,5,BE1822),4,FALSE)))))</f>
        <v/>
      </c>
      <c r="AL1822" s="461" t="str">
        <f t="shared" si="1033"/>
        <v/>
      </c>
      <c r="AM1822" s="460" t="str">
        <f>IF(AU1822="","",IF(OR(AZ1822=8,AZ1822=9),0,IF(OR(AW1822=3,AW1822=4,AW1822=5,AW1822=6),IF(LEFT(BH1822,1)="1",INDEX(係数_PM低減,MATCH(AY1822,【参考】排出係数!$AI$801:$AI$804,1),MATCH(BI1822,【参考】排出係数!$AL$798:$AO$798,1)),VLOOKUP(AU1822,INDEX((係数_バス貨物_ガソリン,係数_バス貨物_CNG,係数_バス貨物_軽油,係数_バス貨物_メタノール,係数_バス貨物_LPG),MATCH(AY1822,【参考】排出係数!$AI$4:$AI$671,1),1,BE1822):INDEX((係数_バス貨物_ガソリン,係数_バス貨物_CNG,係数_バス貨物_軽油,係数_バス貨物_メタノール,係数_バス貨物_LPG),MATCH(AY1822+1,【参考】排出係数!$AI$4:$AI$671,1)-1,5,BE1822),5,FALSE)),IF(AND(BE1822=3,LEFT(BF1822,1)="1"),0.055,VLOOKUP(AU1822,INDEX((係数_乗用_ガソリン,係数_乗用_CNG,係数_乗用_軽油,係数_乗用_メタノール,係数_乗用_LPG),1,1,BE1822):INDEX((係数_乗用_ガソリン,係数_乗用_CNG,係数_乗用_軽油,係数_乗用_メタノール,係数_乗用_LPG),125,5,BE1822),5,FALSE)))))</f>
        <v/>
      </c>
      <c r="AN1822" s="461" t="str">
        <f t="shared" si="1034"/>
        <v/>
      </c>
      <c r="AO1822" s="462" t="str">
        <f t="shared" si="1035"/>
        <v/>
      </c>
      <c r="AP1822" s="463" t="str">
        <f t="shared" si="1036"/>
        <v/>
      </c>
      <c r="AQ1822" s="464"/>
      <c r="AR1822" s="619"/>
      <c r="AS1822" s="465" t="str">
        <f t="shared" si="1044"/>
        <v/>
      </c>
      <c r="AT1822" s="465" t="str">
        <f t="shared" si="1045"/>
        <v/>
      </c>
      <c r="AU1822" s="466" t="str">
        <f t="shared" si="1046"/>
        <v/>
      </c>
      <c r="AV1822" s="467" t="str">
        <f t="shared" si="1047"/>
        <v/>
      </c>
      <c r="AW1822" s="467" t="str">
        <f t="shared" si="1048"/>
        <v/>
      </c>
      <c r="AX1822" s="467" t="str">
        <f t="shared" si="1049"/>
        <v/>
      </c>
      <c r="AY1822" s="467" t="str">
        <f t="shared" si="1050"/>
        <v/>
      </c>
      <c r="AZ1822" s="467" t="str">
        <f t="shared" si="1051"/>
        <v/>
      </c>
      <c r="BA1822" s="468" t="str">
        <f>IF(AS1822="","",IF(OR(AU1822="",AU1822="-"),"－",IF(OR(AZ1822=8,AZ1822=9),"",IF(OR(AW1822=3,AW1822=4,AW1822=5,AW1822=6),VLOOKUP(AU1822,INDEX((係数_バス貨物_ガソリン,係数_バス貨物_CNG,係数_バス貨物_軽油,係数_バス貨物_メタノール,係数_バス貨物_LPG),MATCH(AY1822,【参考】排出係数!$AI$4:$AI$671,1),1,BE1822):INDEX((係数_バス貨物_ガソリン,係数_バス貨物_CNG,係数_バス貨物_軽油,係数_バス貨物_メタノール,係数_バス貨物_LPG),MATCH(AY1822+1,【参考】排出係数!$AI$4:$AI$671,1)-1,5,BE1822),2,FALSE),IF(OR(AW1822=1,AW1822=2),VLOOKUP(AU1822,INDEX((係数_乗用_ガソリン,係数_乗用_CNG,係数_乗用_軽油,係数_乗用_メタノール,係数_乗用_LPG),1,1,BE1822):INDEX((係数_乗用_ガソリン,係数_乗用_CNG,係数_乗用_軽油,係数_乗用_メタノール,係数_乗用_LPG),125,5,BE1822),2,FALSE))))))</f>
        <v/>
      </c>
      <c r="BB1822" s="468" t="str">
        <f>IF(T1822="","",IF(OR(AU1822="",AU1822="-"),"－",IF(OR(AZ1822=8,AZ1822=9),"",IF(OR(AW1822=3,AW1822=4,AW1822=5,AW1822=6),VLOOKUP(AU1822,INDEX((係数_バス貨物_ガソリン,係数_バス貨物_CNG,係数_バス貨物_軽油,係数_バス貨物_メタノール,係数_バス貨物_LPG),MATCH(AY1822,【参考】排出係数!$AI$4:$AI$671,1),1,BE1822):INDEX((係数_バス貨物_ガソリン,係数_バス貨物_CNG,係数_バス貨物_軽油,係数_バス貨物_メタノール,係数_バス貨物_LPG),MATCH(AY1822+1,【参考】排出係数!$AI$4:$AI$671,1)-1,5,BE1822),3,FALSE),IF(OR(AW1822=1,AW1822=2),VLOOKUP(AU1822,INDEX((係数_乗用_ガソリン,係数_乗用_CNG,係数_乗用_軽油,係数_乗用_メタノール,係数_乗用_LPG),1,1,BE1822):INDEX((係数_乗用_ガソリン,係数_乗用_CNG,係数_乗用_軽油,係数_乗用_メタノール,係数_乗用_LPG),125,5,BE1822),3,FALSE))))))</f>
        <v/>
      </c>
      <c r="BC1822" s="467" t="str">
        <f t="shared" si="1052"/>
        <v/>
      </c>
      <c r="BD1822" s="567" t="str">
        <f t="shared" si="1053"/>
        <v/>
      </c>
      <c r="BE1822" s="467" t="str">
        <f t="shared" si="1054"/>
        <v/>
      </c>
      <c r="BF1822" s="469" t="str">
        <f t="shared" ca="1" si="1055"/>
        <v/>
      </c>
      <c r="BG1822" s="469" t="str">
        <f t="shared" ca="1" si="1056"/>
        <v/>
      </c>
      <c r="BH1822" s="467" t="str">
        <f t="shared" si="1057"/>
        <v/>
      </c>
      <c r="BI1822" s="467" t="str">
        <f t="shared" ca="1" si="1058"/>
        <v/>
      </c>
      <c r="BJ1822" s="469" t="str">
        <f t="shared" si="1059"/>
        <v/>
      </c>
      <c r="BK1822" s="470" t="str">
        <f t="shared" si="1043"/>
        <v/>
      </c>
      <c r="BL1822" s="775" t="str">
        <f t="shared" si="1060"/>
        <v/>
      </c>
      <c r="BM1822" s="775" t="str">
        <f t="shared" si="1061"/>
        <v/>
      </c>
    </row>
    <row r="1823" spans="1:65">
      <c r="A1823" s="473">
        <v>1767</v>
      </c>
      <c r="B1823" s="132"/>
      <c r="C1823" s="332"/>
      <c r="D1823" s="333"/>
      <c r="E1823" s="333"/>
      <c r="F1823" s="334"/>
      <c r="G1823" s="337"/>
      <c r="H1823" s="131"/>
      <c r="I1823" s="337"/>
      <c r="J1823" s="131"/>
      <c r="K1823" s="458" t="str">
        <f t="shared" si="1024"/>
        <v/>
      </c>
      <c r="L1823" s="458">
        <f t="shared" si="1025"/>
        <v>0</v>
      </c>
      <c r="M1823" s="458">
        <f t="shared" si="1026"/>
        <v>0</v>
      </c>
      <c r="N1823" s="459" t="str">
        <f t="shared" si="1037"/>
        <v/>
      </c>
      <c r="O1823" s="459" t="str">
        <f t="shared" si="1038"/>
        <v/>
      </c>
      <c r="P1823" s="459" t="str">
        <f t="shared" si="1039"/>
        <v/>
      </c>
      <c r="Q1823" s="459" t="str">
        <f t="shared" si="1040"/>
        <v/>
      </c>
      <c r="R1823" s="459" t="str">
        <f t="shared" si="1041"/>
        <v/>
      </c>
      <c r="S1823" s="459" t="str">
        <f t="shared" si="1042"/>
        <v/>
      </c>
      <c r="T1823" s="566" t="str">
        <f t="shared" si="1027"/>
        <v/>
      </c>
      <c r="U1823" s="702"/>
      <c r="V1823" s="132"/>
      <c r="W1823" s="133"/>
      <c r="X1823" s="134"/>
      <c r="Y1823" s="135"/>
      <c r="Z1823" s="137"/>
      <c r="AA1823" s="136"/>
      <c r="AB1823" s="566" t="str">
        <f t="shared" si="1028"/>
        <v/>
      </c>
      <c r="AC1823" s="568" t="str">
        <f t="shared" si="1029"/>
        <v/>
      </c>
      <c r="AD1823" s="137"/>
      <c r="AE1823" s="137"/>
      <c r="AF1823" s="138"/>
      <c r="AG1823" s="138"/>
      <c r="AH1823" s="592" t="str">
        <f t="shared" si="1030"/>
        <v/>
      </c>
      <c r="AI1823" s="592" t="str">
        <f t="shared" si="1031"/>
        <v/>
      </c>
      <c r="AJ1823" s="592" t="str">
        <f t="shared" si="1032"/>
        <v/>
      </c>
      <c r="AK1823" s="460" t="str">
        <f>IF(AU1823="","",IF(OR(AZ1823=8,AZ1823=9),0,IF(OR(AW1823=3,AW1823=4,AW1823=5,AW1823=6),IF(LEFT(BF1823,1)="1",INDEX(係数_NOX・PM低減,MATCH(AY1823,【参考】排出係数!$AI$801:$AI$804,1),1),VLOOKUP(AU1823,INDEX((係数_バス貨物_ガソリン,係数_バス貨物_CNG,係数_バス貨物_軽油,係数_バス貨物_メタノール,係数_バス貨物_LPG),MATCH(AY1823,【参考】排出係数!$AI$4:$AI$671,1),1,BE1823):INDEX((係数_バス貨物_ガソリン,係数_バス貨物_CNG,係数_バス貨物_軽油,係数_バス貨物_メタノール,係数_バス貨物_LPG),MATCH(AY1823+1,【参考】排出係数!$AI$4:$AI$671,1)-1,5,BE1823),4,FALSE)),IF(AND(BE1823=3,LEFT(BF1823,1)="1"),0.48,VLOOKUP(AU1823,INDEX((係数_乗用_ガソリン,係数_乗用_CNG,係数_乗用_軽油,係数_乗用_メタノール,係数_乗用_LPG),1,1,BE1823):INDEX((係数_乗用_ガソリン,係数_乗用_CNG,係数_乗用_軽油,係数_乗用_メタノール,係数_乗用_LPG),125,5,BE1823),4,FALSE)))))</f>
        <v/>
      </c>
      <c r="AL1823" s="461" t="str">
        <f t="shared" si="1033"/>
        <v/>
      </c>
      <c r="AM1823" s="460" t="str">
        <f>IF(AU1823="","",IF(OR(AZ1823=8,AZ1823=9),0,IF(OR(AW1823=3,AW1823=4,AW1823=5,AW1823=6),IF(LEFT(BH1823,1)="1",INDEX(係数_PM低減,MATCH(AY1823,【参考】排出係数!$AI$801:$AI$804,1),MATCH(BI1823,【参考】排出係数!$AL$798:$AO$798,1)),VLOOKUP(AU1823,INDEX((係数_バス貨物_ガソリン,係数_バス貨物_CNG,係数_バス貨物_軽油,係数_バス貨物_メタノール,係数_バス貨物_LPG),MATCH(AY1823,【参考】排出係数!$AI$4:$AI$671,1),1,BE1823):INDEX((係数_バス貨物_ガソリン,係数_バス貨物_CNG,係数_バス貨物_軽油,係数_バス貨物_メタノール,係数_バス貨物_LPG),MATCH(AY1823+1,【参考】排出係数!$AI$4:$AI$671,1)-1,5,BE1823),5,FALSE)),IF(AND(BE1823=3,LEFT(BF1823,1)="1"),0.055,VLOOKUP(AU1823,INDEX((係数_乗用_ガソリン,係数_乗用_CNG,係数_乗用_軽油,係数_乗用_メタノール,係数_乗用_LPG),1,1,BE1823):INDEX((係数_乗用_ガソリン,係数_乗用_CNG,係数_乗用_軽油,係数_乗用_メタノール,係数_乗用_LPG),125,5,BE1823),5,FALSE)))))</f>
        <v/>
      </c>
      <c r="AN1823" s="461" t="str">
        <f t="shared" si="1034"/>
        <v/>
      </c>
      <c r="AO1823" s="462" t="str">
        <f t="shared" si="1035"/>
        <v/>
      </c>
      <c r="AP1823" s="463" t="str">
        <f t="shared" si="1036"/>
        <v/>
      </c>
      <c r="AQ1823" s="464"/>
      <c r="AR1823" s="619"/>
      <c r="AS1823" s="465" t="str">
        <f t="shared" si="1044"/>
        <v/>
      </c>
      <c r="AT1823" s="465" t="str">
        <f t="shared" si="1045"/>
        <v/>
      </c>
      <c r="AU1823" s="466" t="str">
        <f t="shared" si="1046"/>
        <v/>
      </c>
      <c r="AV1823" s="467" t="str">
        <f t="shared" si="1047"/>
        <v/>
      </c>
      <c r="AW1823" s="467" t="str">
        <f t="shared" si="1048"/>
        <v/>
      </c>
      <c r="AX1823" s="467" t="str">
        <f t="shared" si="1049"/>
        <v/>
      </c>
      <c r="AY1823" s="467" t="str">
        <f t="shared" si="1050"/>
        <v/>
      </c>
      <c r="AZ1823" s="467" t="str">
        <f t="shared" si="1051"/>
        <v/>
      </c>
      <c r="BA1823" s="468" t="str">
        <f>IF(AS1823="","",IF(OR(AU1823="",AU1823="-"),"－",IF(OR(AZ1823=8,AZ1823=9),"",IF(OR(AW1823=3,AW1823=4,AW1823=5,AW1823=6),VLOOKUP(AU1823,INDEX((係数_バス貨物_ガソリン,係数_バス貨物_CNG,係数_バス貨物_軽油,係数_バス貨物_メタノール,係数_バス貨物_LPG),MATCH(AY1823,【参考】排出係数!$AI$4:$AI$671,1),1,BE1823):INDEX((係数_バス貨物_ガソリン,係数_バス貨物_CNG,係数_バス貨物_軽油,係数_バス貨物_メタノール,係数_バス貨物_LPG),MATCH(AY1823+1,【参考】排出係数!$AI$4:$AI$671,1)-1,5,BE1823),2,FALSE),IF(OR(AW1823=1,AW1823=2),VLOOKUP(AU1823,INDEX((係数_乗用_ガソリン,係数_乗用_CNG,係数_乗用_軽油,係数_乗用_メタノール,係数_乗用_LPG),1,1,BE1823):INDEX((係数_乗用_ガソリン,係数_乗用_CNG,係数_乗用_軽油,係数_乗用_メタノール,係数_乗用_LPG),125,5,BE1823),2,FALSE))))))</f>
        <v/>
      </c>
      <c r="BB1823" s="468" t="str">
        <f>IF(T1823="","",IF(OR(AU1823="",AU1823="-"),"－",IF(OR(AZ1823=8,AZ1823=9),"",IF(OR(AW1823=3,AW1823=4,AW1823=5,AW1823=6),VLOOKUP(AU1823,INDEX((係数_バス貨物_ガソリン,係数_バス貨物_CNG,係数_バス貨物_軽油,係数_バス貨物_メタノール,係数_バス貨物_LPG),MATCH(AY1823,【参考】排出係数!$AI$4:$AI$671,1),1,BE1823):INDEX((係数_バス貨物_ガソリン,係数_バス貨物_CNG,係数_バス貨物_軽油,係数_バス貨物_メタノール,係数_バス貨物_LPG),MATCH(AY1823+1,【参考】排出係数!$AI$4:$AI$671,1)-1,5,BE1823),3,FALSE),IF(OR(AW1823=1,AW1823=2),VLOOKUP(AU1823,INDEX((係数_乗用_ガソリン,係数_乗用_CNG,係数_乗用_軽油,係数_乗用_メタノール,係数_乗用_LPG),1,1,BE1823):INDEX((係数_乗用_ガソリン,係数_乗用_CNG,係数_乗用_軽油,係数_乗用_メタノール,係数_乗用_LPG),125,5,BE1823),3,FALSE))))))</f>
        <v/>
      </c>
      <c r="BC1823" s="467" t="str">
        <f t="shared" si="1052"/>
        <v/>
      </c>
      <c r="BD1823" s="567" t="str">
        <f t="shared" si="1053"/>
        <v/>
      </c>
      <c r="BE1823" s="467" t="str">
        <f t="shared" si="1054"/>
        <v/>
      </c>
      <c r="BF1823" s="469" t="str">
        <f t="shared" ca="1" si="1055"/>
        <v/>
      </c>
      <c r="BG1823" s="469" t="str">
        <f t="shared" ca="1" si="1056"/>
        <v/>
      </c>
      <c r="BH1823" s="467" t="str">
        <f t="shared" si="1057"/>
        <v/>
      </c>
      <c r="BI1823" s="467" t="str">
        <f t="shared" ca="1" si="1058"/>
        <v/>
      </c>
      <c r="BJ1823" s="469" t="str">
        <f t="shared" si="1059"/>
        <v/>
      </c>
      <c r="BK1823" s="470" t="str">
        <f t="shared" si="1043"/>
        <v/>
      </c>
      <c r="BL1823" s="775" t="str">
        <f t="shared" si="1060"/>
        <v/>
      </c>
      <c r="BM1823" s="775" t="str">
        <f t="shared" si="1061"/>
        <v/>
      </c>
    </row>
    <row r="1824" spans="1:65">
      <c r="A1824" s="473">
        <v>1768</v>
      </c>
      <c r="B1824" s="132"/>
      <c r="C1824" s="332"/>
      <c r="D1824" s="333"/>
      <c r="E1824" s="333"/>
      <c r="F1824" s="334"/>
      <c r="G1824" s="337"/>
      <c r="H1824" s="131"/>
      <c r="I1824" s="337"/>
      <c r="J1824" s="131"/>
      <c r="K1824" s="458" t="str">
        <f t="shared" si="1024"/>
        <v/>
      </c>
      <c r="L1824" s="458">
        <f t="shared" si="1025"/>
        <v>0</v>
      </c>
      <c r="M1824" s="458">
        <f t="shared" si="1026"/>
        <v>0</v>
      </c>
      <c r="N1824" s="459" t="str">
        <f t="shared" si="1037"/>
        <v/>
      </c>
      <c r="O1824" s="459" t="str">
        <f t="shared" si="1038"/>
        <v/>
      </c>
      <c r="P1824" s="459" t="str">
        <f t="shared" si="1039"/>
        <v/>
      </c>
      <c r="Q1824" s="459" t="str">
        <f t="shared" si="1040"/>
        <v/>
      </c>
      <c r="R1824" s="459" t="str">
        <f t="shared" si="1041"/>
        <v/>
      </c>
      <c r="S1824" s="459" t="str">
        <f t="shared" si="1042"/>
        <v/>
      </c>
      <c r="T1824" s="566" t="str">
        <f t="shared" si="1027"/>
        <v/>
      </c>
      <c r="U1824" s="702"/>
      <c r="V1824" s="132"/>
      <c r="W1824" s="133"/>
      <c r="X1824" s="134"/>
      <c r="Y1824" s="135"/>
      <c r="Z1824" s="137"/>
      <c r="AA1824" s="136"/>
      <c r="AB1824" s="566" t="str">
        <f t="shared" si="1028"/>
        <v/>
      </c>
      <c r="AC1824" s="568" t="str">
        <f t="shared" si="1029"/>
        <v/>
      </c>
      <c r="AD1824" s="137"/>
      <c r="AE1824" s="137"/>
      <c r="AF1824" s="138"/>
      <c r="AG1824" s="138"/>
      <c r="AH1824" s="592" t="str">
        <f t="shared" si="1030"/>
        <v/>
      </c>
      <c r="AI1824" s="592" t="str">
        <f t="shared" si="1031"/>
        <v/>
      </c>
      <c r="AJ1824" s="592" t="str">
        <f t="shared" si="1032"/>
        <v/>
      </c>
      <c r="AK1824" s="460" t="str">
        <f>IF(AU1824="","",IF(OR(AZ1824=8,AZ1824=9),0,IF(OR(AW1824=3,AW1824=4,AW1824=5,AW1824=6),IF(LEFT(BF1824,1)="1",INDEX(係数_NOX・PM低減,MATCH(AY1824,【参考】排出係数!$AI$801:$AI$804,1),1),VLOOKUP(AU1824,INDEX((係数_バス貨物_ガソリン,係数_バス貨物_CNG,係数_バス貨物_軽油,係数_バス貨物_メタノール,係数_バス貨物_LPG),MATCH(AY1824,【参考】排出係数!$AI$4:$AI$671,1),1,BE1824):INDEX((係数_バス貨物_ガソリン,係数_バス貨物_CNG,係数_バス貨物_軽油,係数_バス貨物_メタノール,係数_バス貨物_LPG),MATCH(AY1824+1,【参考】排出係数!$AI$4:$AI$671,1)-1,5,BE1824),4,FALSE)),IF(AND(BE1824=3,LEFT(BF1824,1)="1"),0.48,VLOOKUP(AU1824,INDEX((係数_乗用_ガソリン,係数_乗用_CNG,係数_乗用_軽油,係数_乗用_メタノール,係数_乗用_LPG),1,1,BE1824):INDEX((係数_乗用_ガソリン,係数_乗用_CNG,係数_乗用_軽油,係数_乗用_メタノール,係数_乗用_LPG),125,5,BE1824),4,FALSE)))))</f>
        <v/>
      </c>
      <c r="AL1824" s="461" t="str">
        <f t="shared" si="1033"/>
        <v/>
      </c>
      <c r="AM1824" s="460" t="str">
        <f>IF(AU1824="","",IF(OR(AZ1824=8,AZ1824=9),0,IF(OR(AW1824=3,AW1824=4,AW1824=5,AW1824=6),IF(LEFT(BH1824,1)="1",INDEX(係数_PM低減,MATCH(AY1824,【参考】排出係数!$AI$801:$AI$804,1),MATCH(BI1824,【参考】排出係数!$AL$798:$AO$798,1)),VLOOKUP(AU1824,INDEX((係数_バス貨物_ガソリン,係数_バス貨物_CNG,係数_バス貨物_軽油,係数_バス貨物_メタノール,係数_バス貨物_LPG),MATCH(AY1824,【参考】排出係数!$AI$4:$AI$671,1),1,BE1824):INDEX((係数_バス貨物_ガソリン,係数_バス貨物_CNG,係数_バス貨物_軽油,係数_バス貨物_メタノール,係数_バス貨物_LPG),MATCH(AY1824+1,【参考】排出係数!$AI$4:$AI$671,1)-1,5,BE1824),5,FALSE)),IF(AND(BE1824=3,LEFT(BF1824,1)="1"),0.055,VLOOKUP(AU1824,INDEX((係数_乗用_ガソリン,係数_乗用_CNG,係数_乗用_軽油,係数_乗用_メタノール,係数_乗用_LPG),1,1,BE1824):INDEX((係数_乗用_ガソリン,係数_乗用_CNG,係数_乗用_軽油,係数_乗用_メタノール,係数_乗用_LPG),125,5,BE1824),5,FALSE)))))</f>
        <v/>
      </c>
      <c r="AN1824" s="461" t="str">
        <f t="shared" si="1034"/>
        <v/>
      </c>
      <c r="AO1824" s="462" t="str">
        <f t="shared" si="1035"/>
        <v/>
      </c>
      <c r="AP1824" s="463" t="str">
        <f t="shared" si="1036"/>
        <v/>
      </c>
      <c r="AQ1824" s="464"/>
      <c r="AR1824" s="619"/>
      <c r="AS1824" s="465" t="str">
        <f t="shared" si="1044"/>
        <v/>
      </c>
      <c r="AT1824" s="465" t="str">
        <f t="shared" si="1045"/>
        <v/>
      </c>
      <c r="AU1824" s="466" t="str">
        <f t="shared" si="1046"/>
        <v/>
      </c>
      <c r="AV1824" s="467" t="str">
        <f t="shared" si="1047"/>
        <v/>
      </c>
      <c r="AW1824" s="467" t="str">
        <f t="shared" si="1048"/>
        <v/>
      </c>
      <c r="AX1824" s="467" t="str">
        <f t="shared" si="1049"/>
        <v/>
      </c>
      <c r="AY1824" s="467" t="str">
        <f t="shared" si="1050"/>
        <v/>
      </c>
      <c r="AZ1824" s="467" t="str">
        <f t="shared" si="1051"/>
        <v/>
      </c>
      <c r="BA1824" s="468" t="str">
        <f>IF(AS1824="","",IF(OR(AU1824="",AU1824="-"),"－",IF(OR(AZ1824=8,AZ1824=9),"",IF(OR(AW1824=3,AW1824=4,AW1824=5,AW1824=6),VLOOKUP(AU1824,INDEX((係数_バス貨物_ガソリン,係数_バス貨物_CNG,係数_バス貨物_軽油,係数_バス貨物_メタノール,係数_バス貨物_LPG),MATCH(AY1824,【参考】排出係数!$AI$4:$AI$671,1),1,BE1824):INDEX((係数_バス貨物_ガソリン,係数_バス貨物_CNG,係数_バス貨物_軽油,係数_バス貨物_メタノール,係数_バス貨物_LPG),MATCH(AY1824+1,【参考】排出係数!$AI$4:$AI$671,1)-1,5,BE1824),2,FALSE),IF(OR(AW1824=1,AW1824=2),VLOOKUP(AU1824,INDEX((係数_乗用_ガソリン,係数_乗用_CNG,係数_乗用_軽油,係数_乗用_メタノール,係数_乗用_LPG),1,1,BE1824):INDEX((係数_乗用_ガソリン,係数_乗用_CNG,係数_乗用_軽油,係数_乗用_メタノール,係数_乗用_LPG),125,5,BE1824),2,FALSE))))))</f>
        <v/>
      </c>
      <c r="BB1824" s="468" t="str">
        <f>IF(T1824="","",IF(OR(AU1824="",AU1824="-"),"－",IF(OR(AZ1824=8,AZ1824=9),"",IF(OR(AW1824=3,AW1824=4,AW1824=5,AW1824=6),VLOOKUP(AU1824,INDEX((係数_バス貨物_ガソリン,係数_バス貨物_CNG,係数_バス貨物_軽油,係数_バス貨物_メタノール,係数_バス貨物_LPG),MATCH(AY1824,【参考】排出係数!$AI$4:$AI$671,1),1,BE1824):INDEX((係数_バス貨物_ガソリン,係数_バス貨物_CNG,係数_バス貨物_軽油,係数_バス貨物_メタノール,係数_バス貨物_LPG),MATCH(AY1824+1,【参考】排出係数!$AI$4:$AI$671,1)-1,5,BE1824),3,FALSE),IF(OR(AW1824=1,AW1824=2),VLOOKUP(AU1824,INDEX((係数_乗用_ガソリン,係数_乗用_CNG,係数_乗用_軽油,係数_乗用_メタノール,係数_乗用_LPG),1,1,BE1824):INDEX((係数_乗用_ガソリン,係数_乗用_CNG,係数_乗用_軽油,係数_乗用_メタノール,係数_乗用_LPG),125,5,BE1824),3,FALSE))))))</f>
        <v/>
      </c>
      <c r="BC1824" s="467" t="str">
        <f t="shared" si="1052"/>
        <v/>
      </c>
      <c r="BD1824" s="567" t="str">
        <f t="shared" si="1053"/>
        <v/>
      </c>
      <c r="BE1824" s="467" t="str">
        <f t="shared" si="1054"/>
        <v/>
      </c>
      <c r="BF1824" s="469" t="str">
        <f t="shared" ca="1" si="1055"/>
        <v/>
      </c>
      <c r="BG1824" s="469" t="str">
        <f t="shared" ca="1" si="1056"/>
        <v/>
      </c>
      <c r="BH1824" s="467" t="str">
        <f t="shared" si="1057"/>
        <v/>
      </c>
      <c r="BI1824" s="467" t="str">
        <f t="shared" ca="1" si="1058"/>
        <v/>
      </c>
      <c r="BJ1824" s="469" t="str">
        <f t="shared" si="1059"/>
        <v/>
      </c>
      <c r="BK1824" s="470" t="str">
        <f t="shared" si="1043"/>
        <v/>
      </c>
      <c r="BL1824" s="775" t="str">
        <f t="shared" si="1060"/>
        <v/>
      </c>
      <c r="BM1824" s="775" t="str">
        <f t="shared" si="1061"/>
        <v/>
      </c>
    </row>
    <row r="1825" spans="1:65">
      <c r="A1825" s="473">
        <v>1769</v>
      </c>
      <c r="B1825" s="132"/>
      <c r="C1825" s="332"/>
      <c r="D1825" s="333"/>
      <c r="E1825" s="333"/>
      <c r="F1825" s="334"/>
      <c r="G1825" s="337"/>
      <c r="H1825" s="131"/>
      <c r="I1825" s="337"/>
      <c r="J1825" s="131"/>
      <c r="K1825" s="458" t="str">
        <f t="shared" si="1024"/>
        <v/>
      </c>
      <c r="L1825" s="458">
        <f t="shared" si="1025"/>
        <v>0</v>
      </c>
      <c r="M1825" s="458">
        <f t="shared" si="1026"/>
        <v>0</v>
      </c>
      <c r="N1825" s="459" t="str">
        <f t="shared" si="1037"/>
        <v/>
      </c>
      <c r="O1825" s="459" t="str">
        <f t="shared" si="1038"/>
        <v/>
      </c>
      <c r="P1825" s="459" t="str">
        <f t="shared" si="1039"/>
        <v/>
      </c>
      <c r="Q1825" s="459" t="str">
        <f t="shared" si="1040"/>
        <v/>
      </c>
      <c r="R1825" s="459" t="str">
        <f t="shared" si="1041"/>
        <v/>
      </c>
      <c r="S1825" s="459" t="str">
        <f t="shared" si="1042"/>
        <v/>
      </c>
      <c r="T1825" s="566" t="str">
        <f t="shared" si="1027"/>
        <v/>
      </c>
      <c r="U1825" s="702"/>
      <c r="V1825" s="132"/>
      <c r="W1825" s="133"/>
      <c r="X1825" s="134"/>
      <c r="Y1825" s="135"/>
      <c r="Z1825" s="137"/>
      <c r="AA1825" s="136"/>
      <c r="AB1825" s="566" t="str">
        <f t="shared" si="1028"/>
        <v/>
      </c>
      <c r="AC1825" s="568" t="str">
        <f t="shared" si="1029"/>
        <v/>
      </c>
      <c r="AD1825" s="137"/>
      <c r="AE1825" s="137"/>
      <c r="AF1825" s="138"/>
      <c r="AG1825" s="138"/>
      <c r="AH1825" s="592" t="str">
        <f t="shared" si="1030"/>
        <v/>
      </c>
      <c r="AI1825" s="592" t="str">
        <f t="shared" si="1031"/>
        <v/>
      </c>
      <c r="AJ1825" s="592" t="str">
        <f t="shared" si="1032"/>
        <v/>
      </c>
      <c r="AK1825" s="460" t="str">
        <f>IF(AU1825="","",IF(OR(AZ1825=8,AZ1825=9),0,IF(OR(AW1825=3,AW1825=4,AW1825=5,AW1825=6),IF(LEFT(BF1825,1)="1",INDEX(係数_NOX・PM低減,MATCH(AY1825,【参考】排出係数!$AI$801:$AI$804,1),1),VLOOKUP(AU1825,INDEX((係数_バス貨物_ガソリン,係数_バス貨物_CNG,係数_バス貨物_軽油,係数_バス貨物_メタノール,係数_バス貨物_LPG),MATCH(AY1825,【参考】排出係数!$AI$4:$AI$671,1),1,BE1825):INDEX((係数_バス貨物_ガソリン,係数_バス貨物_CNG,係数_バス貨物_軽油,係数_バス貨物_メタノール,係数_バス貨物_LPG),MATCH(AY1825+1,【参考】排出係数!$AI$4:$AI$671,1)-1,5,BE1825),4,FALSE)),IF(AND(BE1825=3,LEFT(BF1825,1)="1"),0.48,VLOOKUP(AU1825,INDEX((係数_乗用_ガソリン,係数_乗用_CNG,係数_乗用_軽油,係数_乗用_メタノール,係数_乗用_LPG),1,1,BE1825):INDEX((係数_乗用_ガソリン,係数_乗用_CNG,係数_乗用_軽油,係数_乗用_メタノール,係数_乗用_LPG),125,5,BE1825),4,FALSE)))))</f>
        <v/>
      </c>
      <c r="AL1825" s="461" t="str">
        <f t="shared" si="1033"/>
        <v/>
      </c>
      <c r="AM1825" s="460" t="str">
        <f>IF(AU1825="","",IF(OR(AZ1825=8,AZ1825=9),0,IF(OR(AW1825=3,AW1825=4,AW1825=5,AW1825=6),IF(LEFT(BH1825,1)="1",INDEX(係数_PM低減,MATCH(AY1825,【参考】排出係数!$AI$801:$AI$804,1),MATCH(BI1825,【参考】排出係数!$AL$798:$AO$798,1)),VLOOKUP(AU1825,INDEX((係数_バス貨物_ガソリン,係数_バス貨物_CNG,係数_バス貨物_軽油,係数_バス貨物_メタノール,係数_バス貨物_LPG),MATCH(AY1825,【参考】排出係数!$AI$4:$AI$671,1),1,BE1825):INDEX((係数_バス貨物_ガソリン,係数_バス貨物_CNG,係数_バス貨物_軽油,係数_バス貨物_メタノール,係数_バス貨物_LPG),MATCH(AY1825+1,【参考】排出係数!$AI$4:$AI$671,1)-1,5,BE1825),5,FALSE)),IF(AND(BE1825=3,LEFT(BF1825,1)="1"),0.055,VLOOKUP(AU1825,INDEX((係数_乗用_ガソリン,係数_乗用_CNG,係数_乗用_軽油,係数_乗用_メタノール,係数_乗用_LPG),1,1,BE1825):INDEX((係数_乗用_ガソリン,係数_乗用_CNG,係数_乗用_軽油,係数_乗用_メタノール,係数_乗用_LPG),125,5,BE1825),5,FALSE)))))</f>
        <v/>
      </c>
      <c r="AN1825" s="461" t="str">
        <f t="shared" si="1034"/>
        <v/>
      </c>
      <c r="AO1825" s="462" t="str">
        <f t="shared" si="1035"/>
        <v/>
      </c>
      <c r="AP1825" s="463" t="str">
        <f t="shared" si="1036"/>
        <v/>
      </c>
      <c r="AQ1825" s="464"/>
      <c r="AR1825" s="619"/>
      <c r="AS1825" s="465" t="str">
        <f t="shared" si="1044"/>
        <v/>
      </c>
      <c r="AT1825" s="465" t="str">
        <f t="shared" si="1045"/>
        <v/>
      </c>
      <c r="AU1825" s="466" t="str">
        <f t="shared" si="1046"/>
        <v/>
      </c>
      <c r="AV1825" s="467" t="str">
        <f t="shared" si="1047"/>
        <v/>
      </c>
      <c r="AW1825" s="467" t="str">
        <f t="shared" si="1048"/>
        <v/>
      </c>
      <c r="AX1825" s="467" t="str">
        <f t="shared" si="1049"/>
        <v/>
      </c>
      <c r="AY1825" s="467" t="str">
        <f t="shared" si="1050"/>
        <v/>
      </c>
      <c r="AZ1825" s="467" t="str">
        <f t="shared" si="1051"/>
        <v/>
      </c>
      <c r="BA1825" s="468" t="str">
        <f>IF(AS1825="","",IF(OR(AU1825="",AU1825="-"),"－",IF(OR(AZ1825=8,AZ1825=9),"",IF(OR(AW1825=3,AW1825=4,AW1825=5,AW1825=6),VLOOKUP(AU1825,INDEX((係数_バス貨物_ガソリン,係数_バス貨物_CNG,係数_バス貨物_軽油,係数_バス貨物_メタノール,係数_バス貨物_LPG),MATCH(AY1825,【参考】排出係数!$AI$4:$AI$671,1),1,BE1825):INDEX((係数_バス貨物_ガソリン,係数_バス貨物_CNG,係数_バス貨物_軽油,係数_バス貨物_メタノール,係数_バス貨物_LPG),MATCH(AY1825+1,【参考】排出係数!$AI$4:$AI$671,1)-1,5,BE1825),2,FALSE),IF(OR(AW1825=1,AW1825=2),VLOOKUP(AU1825,INDEX((係数_乗用_ガソリン,係数_乗用_CNG,係数_乗用_軽油,係数_乗用_メタノール,係数_乗用_LPG),1,1,BE1825):INDEX((係数_乗用_ガソリン,係数_乗用_CNG,係数_乗用_軽油,係数_乗用_メタノール,係数_乗用_LPG),125,5,BE1825),2,FALSE))))))</f>
        <v/>
      </c>
      <c r="BB1825" s="468" t="str">
        <f>IF(T1825="","",IF(OR(AU1825="",AU1825="-"),"－",IF(OR(AZ1825=8,AZ1825=9),"",IF(OR(AW1825=3,AW1825=4,AW1825=5,AW1825=6),VLOOKUP(AU1825,INDEX((係数_バス貨物_ガソリン,係数_バス貨物_CNG,係数_バス貨物_軽油,係数_バス貨物_メタノール,係数_バス貨物_LPG),MATCH(AY1825,【参考】排出係数!$AI$4:$AI$671,1),1,BE1825):INDEX((係数_バス貨物_ガソリン,係数_バス貨物_CNG,係数_バス貨物_軽油,係数_バス貨物_メタノール,係数_バス貨物_LPG),MATCH(AY1825+1,【参考】排出係数!$AI$4:$AI$671,1)-1,5,BE1825),3,FALSE),IF(OR(AW1825=1,AW1825=2),VLOOKUP(AU1825,INDEX((係数_乗用_ガソリン,係数_乗用_CNG,係数_乗用_軽油,係数_乗用_メタノール,係数_乗用_LPG),1,1,BE1825):INDEX((係数_乗用_ガソリン,係数_乗用_CNG,係数_乗用_軽油,係数_乗用_メタノール,係数_乗用_LPG),125,5,BE1825),3,FALSE))))))</f>
        <v/>
      </c>
      <c r="BC1825" s="467" t="str">
        <f t="shared" si="1052"/>
        <v/>
      </c>
      <c r="BD1825" s="567" t="str">
        <f t="shared" si="1053"/>
        <v/>
      </c>
      <c r="BE1825" s="467" t="str">
        <f t="shared" si="1054"/>
        <v/>
      </c>
      <c r="BF1825" s="469" t="str">
        <f t="shared" ca="1" si="1055"/>
        <v/>
      </c>
      <c r="BG1825" s="469" t="str">
        <f t="shared" ca="1" si="1056"/>
        <v/>
      </c>
      <c r="BH1825" s="467" t="str">
        <f t="shared" si="1057"/>
        <v/>
      </c>
      <c r="BI1825" s="467" t="str">
        <f t="shared" ca="1" si="1058"/>
        <v/>
      </c>
      <c r="BJ1825" s="469" t="str">
        <f t="shared" si="1059"/>
        <v/>
      </c>
      <c r="BK1825" s="470" t="str">
        <f t="shared" si="1043"/>
        <v/>
      </c>
      <c r="BL1825" s="775" t="str">
        <f t="shared" si="1060"/>
        <v/>
      </c>
      <c r="BM1825" s="775" t="str">
        <f t="shared" si="1061"/>
        <v/>
      </c>
    </row>
    <row r="1826" spans="1:65">
      <c r="A1826" s="473">
        <v>1770</v>
      </c>
      <c r="B1826" s="132"/>
      <c r="C1826" s="332"/>
      <c r="D1826" s="333"/>
      <c r="E1826" s="333"/>
      <c r="F1826" s="334"/>
      <c r="G1826" s="337"/>
      <c r="H1826" s="131"/>
      <c r="I1826" s="337"/>
      <c r="J1826" s="131"/>
      <c r="K1826" s="458" t="str">
        <f t="shared" si="1024"/>
        <v/>
      </c>
      <c r="L1826" s="458">
        <f t="shared" si="1025"/>
        <v>0</v>
      </c>
      <c r="M1826" s="458">
        <f t="shared" si="1026"/>
        <v>0</v>
      </c>
      <c r="N1826" s="459" t="str">
        <f t="shared" si="1037"/>
        <v/>
      </c>
      <c r="O1826" s="459" t="str">
        <f t="shared" si="1038"/>
        <v/>
      </c>
      <c r="P1826" s="459" t="str">
        <f t="shared" si="1039"/>
        <v/>
      </c>
      <c r="Q1826" s="459" t="str">
        <f t="shared" si="1040"/>
        <v/>
      </c>
      <c r="R1826" s="459" t="str">
        <f t="shared" si="1041"/>
        <v/>
      </c>
      <c r="S1826" s="459" t="str">
        <f t="shared" si="1042"/>
        <v/>
      </c>
      <c r="T1826" s="566" t="str">
        <f t="shared" si="1027"/>
        <v/>
      </c>
      <c r="U1826" s="702"/>
      <c r="V1826" s="132"/>
      <c r="W1826" s="133"/>
      <c r="X1826" s="134"/>
      <c r="Y1826" s="135"/>
      <c r="Z1826" s="137"/>
      <c r="AA1826" s="136"/>
      <c r="AB1826" s="566" t="str">
        <f t="shared" si="1028"/>
        <v/>
      </c>
      <c r="AC1826" s="568" t="str">
        <f t="shared" si="1029"/>
        <v/>
      </c>
      <c r="AD1826" s="137"/>
      <c r="AE1826" s="137"/>
      <c r="AF1826" s="138"/>
      <c r="AG1826" s="138"/>
      <c r="AH1826" s="592" t="str">
        <f t="shared" si="1030"/>
        <v/>
      </c>
      <c r="AI1826" s="592" t="str">
        <f t="shared" si="1031"/>
        <v/>
      </c>
      <c r="AJ1826" s="592" t="str">
        <f t="shared" si="1032"/>
        <v/>
      </c>
      <c r="AK1826" s="460" t="str">
        <f>IF(AU1826="","",IF(OR(AZ1826=8,AZ1826=9),0,IF(OR(AW1826=3,AW1826=4,AW1826=5,AW1826=6),IF(LEFT(BF1826,1)="1",INDEX(係数_NOX・PM低減,MATCH(AY1826,【参考】排出係数!$AI$801:$AI$804,1),1),VLOOKUP(AU1826,INDEX((係数_バス貨物_ガソリン,係数_バス貨物_CNG,係数_バス貨物_軽油,係数_バス貨物_メタノール,係数_バス貨物_LPG),MATCH(AY1826,【参考】排出係数!$AI$4:$AI$671,1),1,BE1826):INDEX((係数_バス貨物_ガソリン,係数_バス貨物_CNG,係数_バス貨物_軽油,係数_バス貨物_メタノール,係数_バス貨物_LPG),MATCH(AY1826+1,【参考】排出係数!$AI$4:$AI$671,1)-1,5,BE1826),4,FALSE)),IF(AND(BE1826=3,LEFT(BF1826,1)="1"),0.48,VLOOKUP(AU1826,INDEX((係数_乗用_ガソリン,係数_乗用_CNG,係数_乗用_軽油,係数_乗用_メタノール,係数_乗用_LPG),1,1,BE1826):INDEX((係数_乗用_ガソリン,係数_乗用_CNG,係数_乗用_軽油,係数_乗用_メタノール,係数_乗用_LPG),125,5,BE1826),4,FALSE)))))</f>
        <v/>
      </c>
      <c r="AL1826" s="461" t="str">
        <f t="shared" si="1033"/>
        <v/>
      </c>
      <c r="AM1826" s="460" t="str">
        <f>IF(AU1826="","",IF(OR(AZ1826=8,AZ1826=9),0,IF(OR(AW1826=3,AW1826=4,AW1826=5,AW1826=6),IF(LEFT(BH1826,1)="1",INDEX(係数_PM低減,MATCH(AY1826,【参考】排出係数!$AI$801:$AI$804,1),MATCH(BI1826,【参考】排出係数!$AL$798:$AO$798,1)),VLOOKUP(AU1826,INDEX((係数_バス貨物_ガソリン,係数_バス貨物_CNG,係数_バス貨物_軽油,係数_バス貨物_メタノール,係数_バス貨物_LPG),MATCH(AY1826,【参考】排出係数!$AI$4:$AI$671,1),1,BE1826):INDEX((係数_バス貨物_ガソリン,係数_バス貨物_CNG,係数_バス貨物_軽油,係数_バス貨物_メタノール,係数_バス貨物_LPG),MATCH(AY1826+1,【参考】排出係数!$AI$4:$AI$671,1)-1,5,BE1826),5,FALSE)),IF(AND(BE1826=3,LEFT(BF1826,1)="1"),0.055,VLOOKUP(AU1826,INDEX((係数_乗用_ガソリン,係数_乗用_CNG,係数_乗用_軽油,係数_乗用_メタノール,係数_乗用_LPG),1,1,BE1826):INDEX((係数_乗用_ガソリン,係数_乗用_CNG,係数_乗用_軽油,係数_乗用_メタノール,係数_乗用_LPG),125,5,BE1826),5,FALSE)))))</f>
        <v/>
      </c>
      <c r="AN1826" s="461" t="str">
        <f t="shared" si="1034"/>
        <v/>
      </c>
      <c r="AO1826" s="462" t="str">
        <f t="shared" si="1035"/>
        <v/>
      </c>
      <c r="AP1826" s="463" t="str">
        <f t="shared" si="1036"/>
        <v/>
      </c>
      <c r="AQ1826" s="464"/>
      <c r="AR1826" s="619"/>
      <c r="AS1826" s="465" t="str">
        <f t="shared" si="1044"/>
        <v/>
      </c>
      <c r="AT1826" s="465" t="str">
        <f t="shared" si="1045"/>
        <v/>
      </c>
      <c r="AU1826" s="466" t="str">
        <f t="shared" si="1046"/>
        <v/>
      </c>
      <c r="AV1826" s="467" t="str">
        <f t="shared" si="1047"/>
        <v/>
      </c>
      <c r="AW1826" s="467" t="str">
        <f t="shared" si="1048"/>
        <v/>
      </c>
      <c r="AX1826" s="467" t="str">
        <f t="shared" si="1049"/>
        <v/>
      </c>
      <c r="AY1826" s="467" t="str">
        <f t="shared" si="1050"/>
        <v/>
      </c>
      <c r="AZ1826" s="467" t="str">
        <f t="shared" si="1051"/>
        <v/>
      </c>
      <c r="BA1826" s="468" t="str">
        <f>IF(AS1826="","",IF(OR(AU1826="",AU1826="-"),"－",IF(OR(AZ1826=8,AZ1826=9),"",IF(OR(AW1826=3,AW1826=4,AW1826=5,AW1826=6),VLOOKUP(AU1826,INDEX((係数_バス貨物_ガソリン,係数_バス貨物_CNG,係数_バス貨物_軽油,係数_バス貨物_メタノール,係数_バス貨物_LPG),MATCH(AY1826,【参考】排出係数!$AI$4:$AI$671,1),1,BE1826):INDEX((係数_バス貨物_ガソリン,係数_バス貨物_CNG,係数_バス貨物_軽油,係数_バス貨物_メタノール,係数_バス貨物_LPG),MATCH(AY1826+1,【参考】排出係数!$AI$4:$AI$671,1)-1,5,BE1826),2,FALSE),IF(OR(AW1826=1,AW1826=2),VLOOKUP(AU1826,INDEX((係数_乗用_ガソリン,係数_乗用_CNG,係数_乗用_軽油,係数_乗用_メタノール,係数_乗用_LPG),1,1,BE1826):INDEX((係数_乗用_ガソリン,係数_乗用_CNG,係数_乗用_軽油,係数_乗用_メタノール,係数_乗用_LPG),125,5,BE1826),2,FALSE))))))</f>
        <v/>
      </c>
      <c r="BB1826" s="468" t="str">
        <f>IF(T1826="","",IF(OR(AU1826="",AU1826="-"),"－",IF(OR(AZ1826=8,AZ1826=9),"",IF(OR(AW1826=3,AW1826=4,AW1826=5,AW1826=6),VLOOKUP(AU1826,INDEX((係数_バス貨物_ガソリン,係数_バス貨物_CNG,係数_バス貨物_軽油,係数_バス貨物_メタノール,係数_バス貨物_LPG),MATCH(AY1826,【参考】排出係数!$AI$4:$AI$671,1),1,BE1826):INDEX((係数_バス貨物_ガソリン,係数_バス貨物_CNG,係数_バス貨物_軽油,係数_バス貨物_メタノール,係数_バス貨物_LPG),MATCH(AY1826+1,【参考】排出係数!$AI$4:$AI$671,1)-1,5,BE1826),3,FALSE),IF(OR(AW1826=1,AW1826=2),VLOOKUP(AU1826,INDEX((係数_乗用_ガソリン,係数_乗用_CNG,係数_乗用_軽油,係数_乗用_メタノール,係数_乗用_LPG),1,1,BE1826):INDEX((係数_乗用_ガソリン,係数_乗用_CNG,係数_乗用_軽油,係数_乗用_メタノール,係数_乗用_LPG),125,5,BE1826),3,FALSE))))))</f>
        <v/>
      </c>
      <c r="BC1826" s="467" t="str">
        <f t="shared" si="1052"/>
        <v/>
      </c>
      <c r="BD1826" s="567" t="str">
        <f t="shared" si="1053"/>
        <v/>
      </c>
      <c r="BE1826" s="467" t="str">
        <f t="shared" si="1054"/>
        <v/>
      </c>
      <c r="BF1826" s="469" t="str">
        <f t="shared" ca="1" si="1055"/>
        <v/>
      </c>
      <c r="BG1826" s="469" t="str">
        <f t="shared" ca="1" si="1056"/>
        <v/>
      </c>
      <c r="BH1826" s="467" t="str">
        <f t="shared" si="1057"/>
        <v/>
      </c>
      <c r="BI1826" s="467" t="str">
        <f t="shared" ca="1" si="1058"/>
        <v/>
      </c>
      <c r="BJ1826" s="469" t="str">
        <f t="shared" si="1059"/>
        <v/>
      </c>
      <c r="BK1826" s="470" t="str">
        <f t="shared" si="1043"/>
        <v/>
      </c>
      <c r="BL1826" s="775" t="str">
        <f t="shared" si="1060"/>
        <v/>
      </c>
      <c r="BM1826" s="775" t="str">
        <f t="shared" si="1061"/>
        <v/>
      </c>
    </row>
    <row r="1827" spans="1:65">
      <c r="A1827" s="473">
        <v>1771</v>
      </c>
      <c r="B1827" s="132"/>
      <c r="C1827" s="332"/>
      <c r="D1827" s="333"/>
      <c r="E1827" s="333"/>
      <c r="F1827" s="334"/>
      <c r="G1827" s="337"/>
      <c r="H1827" s="131"/>
      <c r="I1827" s="337"/>
      <c r="J1827" s="131"/>
      <c r="K1827" s="458" t="str">
        <f t="shared" si="1024"/>
        <v/>
      </c>
      <c r="L1827" s="458">
        <f t="shared" si="1025"/>
        <v>0</v>
      </c>
      <c r="M1827" s="458">
        <f t="shared" si="1026"/>
        <v>0</v>
      </c>
      <c r="N1827" s="459" t="str">
        <f t="shared" si="1037"/>
        <v/>
      </c>
      <c r="O1827" s="459" t="str">
        <f t="shared" si="1038"/>
        <v/>
      </c>
      <c r="P1827" s="459" t="str">
        <f t="shared" si="1039"/>
        <v/>
      </c>
      <c r="Q1827" s="459" t="str">
        <f t="shared" si="1040"/>
        <v/>
      </c>
      <c r="R1827" s="459" t="str">
        <f t="shared" si="1041"/>
        <v/>
      </c>
      <c r="S1827" s="459" t="str">
        <f t="shared" si="1042"/>
        <v/>
      </c>
      <c r="T1827" s="566" t="str">
        <f t="shared" si="1027"/>
        <v/>
      </c>
      <c r="U1827" s="702"/>
      <c r="V1827" s="132"/>
      <c r="W1827" s="133"/>
      <c r="X1827" s="134"/>
      <c r="Y1827" s="135"/>
      <c r="Z1827" s="137"/>
      <c r="AA1827" s="136"/>
      <c r="AB1827" s="566" t="str">
        <f t="shared" si="1028"/>
        <v/>
      </c>
      <c r="AC1827" s="568" t="str">
        <f t="shared" si="1029"/>
        <v/>
      </c>
      <c r="AD1827" s="137"/>
      <c r="AE1827" s="137"/>
      <c r="AF1827" s="138"/>
      <c r="AG1827" s="138"/>
      <c r="AH1827" s="592" t="str">
        <f t="shared" si="1030"/>
        <v/>
      </c>
      <c r="AI1827" s="592" t="str">
        <f t="shared" si="1031"/>
        <v/>
      </c>
      <c r="AJ1827" s="592" t="str">
        <f t="shared" si="1032"/>
        <v/>
      </c>
      <c r="AK1827" s="460" t="str">
        <f>IF(AU1827="","",IF(OR(AZ1827=8,AZ1827=9),0,IF(OR(AW1827=3,AW1827=4,AW1827=5,AW1827=6),IF(LEFT(BF1827,1)="1",INDEX(係数_NOX・PM低減,MATCH(AY1827,【参考】排出係数!$AI$801:$AI$804,1),1),VLOOKUP(AU1827,INDEX((係数_バス貨物_ガソリン,係数_バス貨物_CNG,係数_バス貨物_軽油,係数_バス貨物_メタノール,係数_バス貨物_LPG),MATCH(AY1827,【参考】排出係数!$AI$4:$AI$671,1),1,BE1827):INDEX((係数_バス貨物_ガソリン,係数_バス貨物_CNG,係数_バス貨物_軽油,係数_バス貨物_メタノール,係数_バス貨物_LPG),MATCH(AY1827+1,【参考】排出係数!$AI$4:$AI$671,1)-1,5,BE1827),4,FALSE)),IF(AND(BE1827=3,LEFT(BF1827,1)="1"),0.48,VLOOKUP(AU1827,INDEX((係数_乗用_ガソリン,係数_乗用_CNG,係数_乗用_軽油,係数_乗用_メタノール,係数_乗用_LPG),1,1,BE1827):INDEX((係数_乗用_ガソリン,係数_乗用_CNG,係数_乗用_軽油,係数_乗用_メタノール,係数_乗用_LPG),125,5,BE1827),4,FALSE)))))</f>
        <v/>
      </c>
      <c r="AL1827" s="461" t="str">
        <f t="shared" si="1033"/>
        <v/>
      </c>
      <c r="AM1827" s="460" t="str">
        <f>IF(AU1827="","",IF(OR(AZ1827=8,AZ1827=9),0,IF(OR(AW1827=3,AW1827=4,AW1827=5,AW1827=6),IF(LEFT(BH1827,1)="1",INDEX(係数_PM低減,MATCH(AY1827,【参考】排出係数!$AI$801:$AI$804,1),MATCH(BI1827,【参考】排出係数!$AL$798:$AO$798,1)),VLOOKUP(AU1827,INDEX((係数_バス貨物_ガソリン,係数_バス貨物_CNG,係数_バス貨物_軽油,係数_バス貨物_メタノール,係数_バス貨物_LPG),MATCH(AY1827,【参考】排出係数!$AI$4:$AI$671,1),1,BE1827):INDEX((係数_バス貨物_ガソリン,係数_バス貨物_CNG,係数_バス貨物_軽油,係数_バス貨物_メタノール,係数_バス貨物_LPG),MATCH(AY1827+1,【参考】排出係数!$AI$4:$AI$671,1)-1,5,BE1827),5,FALSE)),IF(AND(BE1827=3,LEFT(BF1827,1)="1"),0.055,VLOOKUP(AU1827,INDEX((係数_乗用_ガソリン,係数_乗用_CNG,係数_乗用_軽油,係数_乗用_メタノール,係数_乗用_LPG),1,1,BE1827):INDEX((係数_乗用_ガソリン,係数_乗用_CNG,係数_乗用_軽油,係数_乗用_メタノール,係数_乗用_LPG),125,5,BE1827),5,FALSE)))))</f>
        <v/>
      </c>
      <c r="AN1827" s="461" t="str">
        <f t="shared" si="1034"/>
        <v/>
      </c>
      <c r="AO1827" s="462" t="str">
        <f t="shared" si="1035"/>
        <v/>
      </c>
      <c r="AP1827" s="463" t="str">
        <f t="shared" si="1036"/>
        <v/>
      </c>
      <c r="AQ1827" s="464"/>
      <c r="AR1827" s="619"/>
      <c r="AS1827" s="465" t="str">
        <f t="shared" si="1044"/>
        <v/>
      </c>
      <c r="AT1827" s="465" t="str">
        <f t="shared" si="1045"/>
        <v/>
      </c>
      <c r="AU1827" s="466" t="str">
        <f t="shared" si="1046"/>
        <v/>
      </c>
      <c r="AV1827" s="467" t="str">
        <f t="shared" si="1047"/>
        <v/>
      </c>
      <c r="AW1827" s="467" t="str">
        <f t="shared" si="1048"/>
        <v/>
      </c>
      <c r="AX1827" s="467" t="str">
        <f t="shared" si="1049"/>
        <v/>
      </c>
      <c r="AY1827" s="467" t="str">
        <f t="shared" si="1050"/>
        <v/>
      </c>
      <c r="AZ1827" s="467" t="str">
        <f t="shared" si="1051"/>
        <v/>
      </c>
      <c r="BA1827" s="468" t="str">
        <f>IF(AS1827="","",IF(OR(AU1827="",AU1827="-"),"－",IF(OR(AZ1827=8,AZ1827=9),"",IF(OR(AW1827=3,AW1827=4,AW1827=5,AW1827=6),VLOOKUP(AU1827,INDEX((係数_バス貨物_ガソリン,係数_バス貨物_CNG,係数_バス貨物_軽油,係数_バス貨物_メタノール,係数_バス貨物_LPG),MATCH(AY1827,【参考】排出係数!$AI$4:$AI$671,1),1,BE1827):INDEX((係数_バス貨物_ガソリン,係数_バス貨物_CNG,係数_バス貨物_軽油,係数_バス貨物_メタノール,係数_バス貨物_LPG),MATCH(AY1827+1,【参考】排出係数!$AI$4:$AI$671,1)-1,5,BE1827),2,FALSE),IF(OR(AW1827=1,AW1827=2),VLOOKUP(AU1827,INDEX((係数_乗用_ガソリン,係数_乗用_CNG,係数_乗用_軽油,係数_乗用_メタノール,係数_乗用_LPG),1,1,BE1827):INDEX((係数_乗用_ガソリン,係数_乗用_CNG,係数_乗用_軽油,係数_乗用_メタノール,係数_乗用_LPG),125,5,BE1827),2,FALSE))))))</f>
        <v/>
      </c>
      <c r="BB1827" s="468" t="str">
        <f>IF(T1827="","",IF(OR(AU1827="",AU1827="-"),"－",IF(OR(AZ1827=8,AZ1827=9),"",IF(OR(AW1827=3,AW1827=4,AW1827=5,AW1827=6),VLOOKUP(AU1827,INDEX((係数_バス貨物_ガソリン,係数_バス貨物_CNG,係数_バス貨物_軽油,係数_バス貨物_メタノール,係数_バス貨物_LPG),MATCH(AY1827,【参考】排出係数!$AI$4:$AI$671,1),1,BE1827):INDEX((係数_バス貨物_ガソリン,係数_バス貨物_CNG,係数_バス貨物_軽油,係数_バス貨物_メタノール,係数_バス貨物_LPG),MATCH(AY1827+1,【参考】排出係数!$AI$4:$AI$671,1)-1,5,BE1827),3,FALSE),IF(OR(AW1827=1,AW1827=2),VLOOKUP(AU1827,INDEX((係数_乗用_ガソリン,係数_乗用_CNG,係数_乗用_軽油,係数_乗用_メタノール,係数_乗用_LPG),1,1,BE1827):INDEX((係数_乗用_ガソリン,係数_乗用_CNG,係数_乗用_軽油,係数_乗用_メタノール,係数_乗用_LPG),125,5,BE1827),3,FALSE))))))</f>
        <v/>
      </c>
      <c r="BC1827" s="467" t="str">
        <f t="shared" si="1052"/>
        <v/>
      </c>
      <c r="BD1827" s="567" t="str">
        <f t="shared" si="1053"/>
        <v/>
      </c>
      <c r="BE1827" s="467" t="str">
        <f t="shared" si="1054"/>
        <v/>
      </c>
      <c r="BF1827" s="469" t="str">
        <f t="shared" ca="1" si="1055"/>
        <v/>
      </c>
      <c r="BG1827" s="469" t="str">
        <f t="shared" ca="1" si="1056"/>
        <v/>
      </c>
      <c r="BH1827" s="467" t="str">
        <f t="shared" si="1057"/>
        <v/>
      </c>
      <c r="BI1827" s="467" t="str">
        <f t="shared" ca="1" si="1058"/>
        <v/>
      </c>
      <c r="BJ1827" s="469" t="str">
        <f t="shared" si="1059"/>
        <v/>
      </c>
      <c r="BK1827" s="470" t="str">
        <f t="shared" si="1043"/>
        <v/>
      </c>
      <c r="BL1827" s="775" t="str">
        <f t="shared" si="1060"/>
        <v/>
      </c>
      <c r="BM1827" s="775" t="str">
        <f t="shared" si="1061"/>
        <v/>
      </c>
    </row>
    <row r="1828" spans="1:65">
      <c r="A1828" s="473">
        <v>1772</v>
      </c>
      <c r="B1828" s="132"/>
      <c r="C1828" s="332"/>
      <c r="D1828" s="333"/>
      <c r="E1828" s="333"/>
      <c r="F1828" s="334"/>
      <c r="G1828" s="337"/>
      <c r="H1828" s="131"/>
      <c r="I1828" s="337"/>
      <c r="J1828" s="131"/>
      <c r="K1828" s="458" t="str">
        <f t="shared" si="1024"/>
        <v/>
      </c>
      <c r="L1828" s="458">
        <f t="shared" si="1025"/>
        <v>0</v>
      </c>
      <c r="M1828" s="458">
        <f t="shared" si="1026"/>
        <v>0</v>
      </c>
      <c r="N1828" s="459" t="str">
        <f t="shared" si="1037"/>
        <v/>
      </c>
      <c r="O1828" s="459" t="str">
        <f t="shared" si="1038"/>
        <v/>
      </c>
      <c r="P1828" s="459" t="str">
        <f t="shared" si="1039"/>
        <v/>
      </c>
      <c r="Q1828" s="459" t="str">
        <f t="shared" si="1040"/>
        <v/>
      </c>
      <c r="R1828" s="459" t="str">
        <f t="shared" si="1041"/>
        <v/>
      </c>
      <c r="S1828" s="459" t="str">
        <f t="shared" si="1042"/>
        <v/>
      </c>
      <c r="T1828" s="566" t="str">
        <f t="shared" si="1027"/>
        <v/>
      </c>
      <c r="U1828" s="702"/>
      <c r="V1828" s="132"/>
      <c r="W1828" s="133"/>
      <c r="X1828" s="134"/>
      <c r="Y1828" s="135"/>
      <c r="Z1828" s="137"/>
      <c r="AA1828" s="136"/>
      <c r="AB1828" s="566" t="str">
        <f t="shared" si="1028"/>
        <v/>
      </c>
      <c r="AC1828" s="568" t="str">
        <f t="shared" si="1029"/>
        <v/>
      </c>
      <c r="AD1828" s="137"/>
      <c r="AE1828" s="137"/>
      <c r="AF1828" s="138"/>
      <c r="AG1828" s="138"/>
      <c r="AH1828" s="592" t="str">
        <f t="shared" si="1030"/>
        <v/>
      </c>
      <c r="AI1828" s="592" t="str">
        <f t="shared" si="1031"/>
        <v/>
      </c>
      <c r="AJ1828" s="592" t="str">
        <f t="shared" si="1032"/>
        <v/>
      </c>
      <c r="AK1828" s="460" t="str">
        <f>IF(AU1828="","",IF(OR(AZ1828=8,AZ1828=9),0,IF(OR(AW1828=3,AW1828=4,AW1828=5,AW1828=6),IF(LEFT(BF1828,1)="1",INDEX(係数_NOX・PM低減,MATCH(AY1828,【参考】排出係数!$AI$801:$AI$804,1),1),VLOOKUP(AU1828,INDEX((係数_バス貨物_ガソリン,係数_バス貨物_CNG,係数_バス貨物_軽油,係数_バス貨物_メタノール,係数_バス貨物_LPG),MATCH(AY1828,【参考】排出係数!$AI$4:$AI$671,1),1,BE1828):INDEX((係数_バス貨物_ガソリン,係数_バス貨物_CNG,係数_バス貨物_軽油,係数_バス貨物_メタノール,係数_バス貨物_LPG),MATCH(AY1828+1,【参考】排出係数!$AI$4:$AI$671,1)-1,5,BE1828),4,FALSE)),IF(AND(BE1828=3,LEFT(BF1828,1)="1"),0.48,VLOOKUP(AU1828,INDEX((係数_乗用_ガソリン,係数_乗用_CNG,係数_乗用_軽油,係数_乗用_メタノール,係数_乗用_LPG),1,1,BE1828):INDEX((係数_乗用_ガソリン,係数_乗用_CNG,係数_乗用_軽油,係数_乗用_メタノール,係数_乗用_LPG),125,5,BE1828),4,FALSE)))))</f>
        <v/>
      </c>
      <c r="AL1828" s="461" t="str">
        <f t="shared" si="1033"/>
        <v/>
      </c>
      <c r="AM1828" s="460" t="str">
        <f>IF(AU1828="","",IF(OR(AZ1828=8,AZ1828=9),0,IF(OR(AW1828=3,AW1828=4,AW1828=5,AW1828=6),IF(LEFT(BH1828,1)="1",INDEX(係数_PM低減,MATCH(AY1828,【参考】排出係数!$AI$801:$AI$804,1),MATCH(BI1828,【参考】排出係数!$AL$798:$AO$798,1)),VLOOKUP(AU1828,INDEX((係数_バス貨物_ガソリン,係数_バス貨物_CNG,係数_バス貨物_軽油,係数_バス貨物_メタノール,係数_バス貨物_LPG),MATCH(AY1828,【参考】排出係数!$AI$4:$AI$671,1),1,BE1828):INDEX((係数_バス貨物_ガソリン,係数_バス貨物_CNG,係数_バス貨物_軽油,係数_バス貨物_メタノール,係数_バス貨物_LPG),MATCH(AY1828+1,【参考】排出係数!$AI$4:$AI$671,1)-1,5,BE1828),5,FALSE)),IF(AND(BE1828=3,LEFT(BF1828,1)="1"),0.055,VLOOKUP(AU1828,INDEX((係数_乗用_ガソリン,係数_乗用_CNG,係数_乗用_軽油,係数_乗用_メタノール,係数_乗用_LPG),1,1,BE1828):INDEX((係数_乗用_ガソリン,係数_乗用_CNG,係数_乗用_軽油,係数_乗用_メタノール,係数_乗用_LPG),125,5,BE1828),5,FALSE)))))</f>
        <v/>
      </c>
      <c r="AN1828" s="461" t="str">
        <f t="shared" si="1034"/>
        <v/>
      </c>
      <c r="AO1828" s="462" t="str">
        <f t="shared" si="1035"/>
        <v/>
      </c>
      <c r="AP1828" s="463" t="str">
        <f t="shared" si="1036"/>
        <v/>
      </c>
      <c r="AQ1828" s="464"/>
      <c r="AR1828" s="619"/>
      <c r="AS1828" s="465" t="str">
        <f t="shared" si="1044"/>
        <v/>
      </c>
      <c r="AT1828" s="465" t="str">
        <f t="shared" si="1045"/>
        <v/>
      </c>
      <c r="AU1828" s="466" t="str">
        <f t="shared" si="1046"/>
        <v/>
      </c>
      <c r="AV1828" s="467" t="str">
        <f t="shared" si="1047"/>
        <v/>
      </c>
      <c r="AW1828" s="467" t="str">
        <f t="shared" si="1048"/>
        <v/>
      </c>
      <c r="AX1828" s="467" t="str">
        <f t="shared" si="1049"/>
        <v/>
      </c>
      <c r="AY1828" s="467" t="str">
        <f t="shared" si="1050"/>
        <v/>
      </c>
      <c r="AZ1828" s="467" t="str">
        <f t="shared" si="1051"/>
        <v/>
      </c>
      <c r="BA1828" s="468" t="str">
        <f>IF(AS1828="","",IF(OR(AU1828="",AU1828="-"),"－",IF(OR(AZ1828=8,AZ1828=9),"",IF(OR(AW1828=3,AW1828=4,AW1828=5,AW1828=6),VLOOKUP(AU1828,INDEX((係数_バス貨物_ガソリン,係数_バス貨物_CNG,係数_バス貨物_軽油,係数_バス貨物_メタノール,係数_バス貨物_LPG),MATCH(AY1828,【参考】排出係数!$AI$4:$AI$671,1),1,BE1828):INDEX((係数_バス貨物_ガソリン,係数_バス貨物_CNG,係数_バス貨物_軽油,係数_バス貨物_メタノール,係数_バス貨物_LPG),MATCH(AY1828+1,【参考】排出係数!$AI$4:$AI$671,1)-1,5,BE1828),2,FALSE),IF(OR(AW1828=1,AW1828=2),VLOOKUP(AU1828,INDEX((係数_乗用_ガソリン,係数_乗用_CNG,係数_乗用_軽油,係数_乗用_メタノール,係数_乗用_LPG),1,1,BE1828):INDEX((係数_乗用_ガソリン,係数_乗用_CNG,係数_乗用_軽油,係数_乗用_メタノール,係数_乗用_LPG),125,5,BE1828),2,FALSE))))))</f>
        <v/>
      </c>
      <c r="BB1828" s="468" t="str">
        <f>IF(T1828="","",IF(OR(AU1828="",AU1828="-"),"－",IF(OR(AZ1828=8,AZ1828=9),"",IF(OR(AW1828=3,AW1828=4,AW1828=5,AW1828=6),VLOOKUP(AU1828,INDEX((係数_バス貨物_ガソリン,係数_バス貨物_CNG,係数_バス貨物_軽油,係数_バス貨物_メタノール,係数_バス貨物_LPG),MATCH(AY1828,【参考】排出係数!$AI$4:$AI$671,1),1,BE1828):INDEX((係数_バス貨物_ガソリン,係数_バス貨物_CNG,係数_バス貨物_軽油,係数_バス貨物_メタノール,係数_バス貨物_LPG),MATCH(AY1828+1,【参考】排出係数!$AI$4:$AI$671,1)-1,5,BE1828),3,FALSE),IF(OR(AW1828=1,AW1828=2),VLOOKUP(AU1828,INDEX((係数_乗用_ガソリン,係数_乗用_CNG,係数_乗用_軽油,係数_乗用_メタノール,係数_乗用_LPG),1,1,BE1828):INDEX((係数_乗用_ガソリン,係数_乗用_CNG,係数_乗用_軽油,係数_乗用_メタノール,係数_乗用_LPG),125,5,BE1828),3,FALSE))))))</f>
        <v/>
      </c>
      <c r="BC1828" s="467" t="str">
        <f t="shared" si="1052"/>
        <v/>
      </c>
      <c r="BD1828" s="567" t="str">
        <f t="shared" si="1053"/>
        <v/>
      </c>
      <c r="BE1828" s="467" t="str">
        <f t="shared" si="1054"/>
        <v/>
      </c>
      <c r="BF1828" s="469" t="str">
        <f t="shared" ca="1" si="1055"/>
        <v/>
      </c>
      <c r="BG1828" s="469" t="str">
        <f t="shared" ca="1" si="1056"/>
        <v/>
      </c>
      <c r="BH1828" s="467" t="str">
        <f t="shared" si="1057"/>
        <v/>
      </c>
      <c r="BI1828" s="467" t="str">
        <f t="shared" ca="1" si="1058"/>
        <v/>
      </c>
      <c r="BJ1828" s="469" t="str">
        <f t="shared" si="1059"/>
        <v/>
      </c>
      <c r="BK1828" s="470" t="str">
        <f t="shared" si="1043"/>
        <v/>
      </c>
      <c r="BL1828" s="775" t="str">
        <f t="shared" si="1060"/>
        <v/>
      </c>
      <c r="BM1828" s="775" t="str">
        <f t="shared" si="1061"/>
        <v/>
      </c>
    </row>
    <row r="1829" spans="1:65">
      <c r="A1829" s="473">
        <v>1773</v>
      </c>
      <c r="B1829" s="132"/>
      <c r="C1829" s="332"/>
      <c r="D1829" s="333"/>
      <c r="E1829" s="333"/>
      <c r="F1829" s="334"/>
      <c r="G1829" s="337"/>
      <c r="H1829" s="131"/>
      <c r="I1829" s="337"/>
      <c r="J1829" s="131"/>
      <c r="K1829" s="458" t="str">
        <f t="shared" si="1024"/>
        <v/>
      </c>
      <c r="L1829" s="458">
        <f t="shared" si="1025"/>
        <v>0</v>
      </c>
      <c r="M1829" s="458">
        <f t="shared" si="1026"/>
        <v>0</v>
      </c>
      <c r="N1829" s="459" t="str">
        <f t="shared" si="1037"/>
        <v/>
      </c>
      <c r="O1829" s="459" t="str">
        <f t="shared" si="1038"/>
        <v/>
      </c>
      <c r="P1829" s="459" t="str">
        <f t="shared" si="1039"/>
        <v/>
      </c>
      <c r="Q1829" s="459" t="str">
        <f t="shared" si="1040"/>
        <v/>
      </c>
      <c r="R1829" s="459" t="str">
        <f t="shared" si="1041"/>
        <v/>
      </c>
      <c r="S1829" s="459" t="str">
        <f t="shared" si="1042"/>
        <v/>
      </c>
      <c r="T1829" s="566" t="str">
        <f t="shared" si="1027"/>
        <v/>
      </c>
      <c r="U1829" s="702"/>
      <c r="V1829" s="132"/>
      <c r="W1829" s="133"/>
      <c r="X1829" s="134"/>
      <c r="Y1829" s="135"/>
      <c r="Z1829" s="137"/>
      <c r="AA1829" s="136"/>
      <c r="AB1829" s="566" t="str">
        <f t="shared" si="1028"/>
        <v/>
      </c>
      <c r="AC1829" s="568" t="str">
        <f t="shared" si="1029"/>
        <v/>
      </c>
      <c r="AD1829" s="137"/>
      <c r="AE1829" s="137"/>
      <c r="AF1829" s="138"/>
      <c r="AG1829" s="138"/>
      <c r="AH1829" s="592" t="str">
        <f t="shared" si="1030"/>
        <v/>
      </c>
      <c r="AI1829" s="592" t="str">
        <f t="shared" si="1031"/>
        <v/>
      </c>
      <c r="AJ1829" s="592" t="str">
        <f t="shared" si="1032"/>
        <v/>
      </c>
      <c r="AK1829" s="460" t="str">
        <f>IF(AU1829="","",IF(OR(AZ1829=8,AZ1829=9),0,IF(OR(AW1829=3,AW1829=4,AW1829=5,AW1829=6),IF(LEFT(BF1829,1)="1",INDEX(係数_NOX・PM低減,MATCH(AY1829,【参考】排出係数!$AI$801:$AI$804,1),1),VLOOKUP(AU1829,INDEX((係数_バス貨物_ガソリン,係数_バス貨物_CNG,係数_バス貨物_軽油,係数_バス貨物_メタノール,係数_バス貨物_LPG),MATCH(AY1829,【参考】排出係数!$AI$4:$AI$671,1),1,BE1829):INDEX((係数_バス貨物_ガソリン,係数_バス貨物_CNG,係数_バス貨物_軽油,係数_バス貨物_メタノール,係数_バス貨物_LPG),MATCH(AY1829+1,【参考】排出係数!$AI$4:$AI$671,1)-1,5,BE1829),4,FALSE)),IF(AND(BE1829=3,LEFT(BF1829,1)="1"),0.48,VLOOKUP(AU1829,INDEX((係数_乗用_ガソリン,係数_乗用_CNG,係数_乗用_軽油,係数_乗用_メタノール,係数_乗用_LPG),1,1,BE1829):INDEX((係数_乗用_ガソリン,係数_乗用_CNG,係数_乗用_軽油,係数_乗用_メタノール,係数_乗用_LPG),125,5,BE1829),4,FALSE)))))</f>
        <v/>
      </c>
      <c r="AL1829" s="461" t="str">
        <f t="shared" si="1033"/>
        <v/>
      </c>
      <c r="AM1829" s="460" t="str">
        <f>IF(AU1829="","",IF(OR(AZ1829=8,AZ1829=9),0,IF(OR(AW1829=3,AW1829=4,AW1829=5,AW1829=6),IF(LEFT(BH1829,1)="1",INDEX(係数_PM低減,MATCH(AY1829,【参考】排出係数!$AI$801:$AI$804,1),MATCH(BI1829,【参考】排出係数!$AL$798:$AO$798,1)),VLOOKUP(AU1829,INDEX((係数_バス貨物_ガソリン,係数_バス貨物_CNG,係数_バス貨物_軽油,係数_バス貨物_メタノール,係数_バス貨物_LPG),MATCH(AY1829,【参考】排出係数!$AI$4:$AI$671,1),1,BE1829):INDEX((係数_バス貨物_ガソリン,係数_バス貨物_CNG,係数_バス貨物_軽油,係数_バス貨物_メタノール,係数_バス貨物_LPG),MATCH(AY1829+1,【参考】排出係数!$AI$4:$AI$671,1)-1,5,BE1829),5,FALSE)),IF(AND(BE1829=3,LEFT(BF1829,1)="1"),0.055,VLOOKUP(AU1829,INDEX((係数_乗用_ガソリン,係数_乗用_CNG,係数_乗用_軽油,係数_乗用_メタノール,係数_乗用_LPG),1,1,BE1829):INDEX((係数_乗用_ガソリン,係数_乗用_CNG,係数_乗用_軽油,係数_乗用_メタノール,係数_乗用_LPG),125,5,BE1829),5,FALSE)))))</f>
        <v/>
      </c>
      <c r="AN1829" s="461" t="str">
        <f t="shared" si="1034"/>
        <v/>
      </c>
      <c r="AO1829" s="462" t="str">
        <f t="shared" si="1035"/>
        <v/>
      </c>
      <c r="AP1829" s="463" t="str">
        <f t="shared" si="1036"/>
        <v/>
      </c>
      <c r="AQ1829" s="464"/>
      <c r="AR1829" s="619"/>
      <c r="AS1829" s="465" t="str">
        <f t="shared" si="1044"/>
        <v/>
      </c>
      <c r="AT1829" s="465" t="str">
        <f t="shared" si="1045"/>
        <v/>
      </c>
      <c r="AU1829" s="466" t="str">
        <f t="shared" si="1046"/>
        <v/>
      </c>
      <c r="AV1829" s="467" t="str">
        <f t="shared" si="1047"/>
        <v/>
      </c>
      <c r="AW1829" s="467" t="str">
        <f t="shared" si="1048"/>
        <v/>
      </c>
      <c r="AX1829" s="467" t="str">
        <f t="shared" si="1049"/>
        <v/>
      </c>
      <c r="AY1829" s="467" t="str">
        <f t="shared" si="1050"/>
        <v/>
      </c>
      <c r="AZ1829" s="467" t="str">
        <f t="shared" si="1051"/>
        <v/>
      </c>
      <c r="BA1829" s="468" t="str">
        <f>IF(AS1829="","",IF(OR(AU1829="",AU1829="-"),"－",IF(OR(AZ1829=8,AZ1829=9),"",IF(OR(AW1829=3,AW1829=4,AW1829=5,AW1829=6),VLOOKUP(AU1829,INDEX((係数_バス貨物_ガソリン,係数_バス貨物_CNG,係数_バス貨物_軽油,係数_バス貨物_メタノール,係数_バス貨物_LPG),MATCH(AY1829,【参考】排出係数!$AI$4:$AI$671,1),1,BE1829):INDEX((係数_バス貨物_ガソリン,係数_バス貨物_CNG,係数_バス貨物_軽油,係数_バス貨物_メタノール,係数_バス貨物_LPG),MATCH(AY1829+1,【参考】排出係数!$AI$4:$AI$671,1)-1,5,BE1829),2,FALSE),IF(OR(AW1829=1,AW1829=2),VLOOKUP(AU1829,INDEX((係数_乗用_ガソリン,係数_乗用_CNG,係数_乗用_軽油,係数_乗用_メタノール,係数_乗用_LPG),1,1,BE1829):INDEX((係数_乗用_ガソリン,係数_乗用_CNG,係数_乗用_軽油,係数_乗用_メタノール,係数_乗用_LPG),125,5,BE1829),2,FALSE))))))</f>
        <v/>
      </c>
      <c r="BB1829" s="468" t="str">
        <f>IF(T1829="","",IF(OR(AU1829="",AU1829="-"),"－",IF(OR(AZ1829=8,AZ1829=9),"",IF(OR(AW1829=3,AW1829=4,AW1829=5,AW1829=6),VLOOKUP(AU1829,INDEX((係数_バス貨物_ガソリン,係数_バス貨物_CNG,係数_バス貨物_軽油,係数_バス貨物_メタノール,係数_バス貨物_LPG),MATCH(AY1829,【参考】排出係数!$AI$4:$AI$671,1),1,BE1829):INDEX((係数_バス貨物_ガソリン,係数_バス貨物_CNG,係数_バス貨物_軽油,係数_バス貨物_メタノール,係数_バス貨物_LPG),MATCH(AY1829+1,【参考】排出係数!$AI$4:$AI$671,1)-1,5,BE1829),3,FALSE),IF(OR(AW1829=1,AW1829=2),VLOOKUP(AU1829,INDEX((係数_乗用_ガソリン,係数_乗用_CNG,係数_乗用_軽油,係数_乗用_メタノール,係数_乗用_LPG),1,1,BE1829):INDEX((係数_乗用_ガソリン,係数_乗用_CNG,係数_乗用_軽油,係数_乗用_メタノール,係数_乗用_LPG),125,5,BE1829),3,FALSE))))))</f>
        <v/>
      </c>
      <c r="BC1829" s="467" t="str">
        <f t="shared" si="1052"/>
        <v/>
      </c>
      <c r="BD1829" s="567" t="str">
        <f t="shared" si="1053"/>
        <v/>
      </c>
      <c r="BE1829" s="467" t="str">
        <f t="shared" si="1054"/>
        <v/>
      </c>
      <c r="BF1829" s="469" t="str">
        <f t="shared" ca="1" si="1055"/>
        <v/>
      </c>
      <c r="BG1829" s="469" t="str">
        <f t="shared" ca="1" si="1056"/>
        <v/>
      </c>
      <c r="BH1829" s="467" t="str">
        <f t="shared" si="1057"/>
        <v/>
      </c>
      <c r="BI1829" s="467" t="str">
        <f t="shared" ca="1" si="1058"/>
        <v/>
      </c>
      <c r="BJ1829" s="469" t="str">
        <f t="shared" si="1059"/>
        <v/>
      </c>
      <c r="BK1829" s="470" t="str">
        <f t="shared" si="1043"/>
        <v/>
      </c>
      <c r="BL1829" s="775" t="str">
        <f t="shared" si="1060"/>
        <v/>
      </c>
      <c r="BM1829" s="775" t="str">
        <f t="shared" si="1061"/>
        <v/>
      </c>
    </row>
    <row r="1830" spans="1:65">
      <c r="A1830" s="473">
        <v>1774</v>
      </c>
      <c r="B1830" s="132"/>
      <c r="C1830" s="332"/>
      <c r="D1830" s="333"/>
      <c r="E1830" s="333"/>
      <c r="F1830" s="334"/>
      <c r="G1830" s="337"/>
      <c r="H1830" s="131"/>
      <c r="I1830" s="337"/>
      <c r="J1830" s="131"/>
      <c r="K1830" s="458" t="str">
        <f t="shared" si="1024"/>
        <v/>
      </c>
      <c r="L1830" s="458">
        <f t="shared" si="1025"/>
        <v>0</v>
      </c>
      <c r="M1830" s="458">
        <f t="shared" si="1026"/>
        <v>0</v>
      </c>
      <c r="N1830" s="459" t="str">
        <f t="shared" si="1037"/>
        <v/>
      </c>
      <c r="O1830" s="459" t="str">
        <f t="shared" si="1038"/>
        <v/>
      </c>
      <c r="P1830" s="459" t="str">
        <f t="shared" si="1039"/>
        <v/>
      </c>
      <c r="Q1830" s="459" t="str">
        <f t="shared" si="1040"/>
        <v/>
      </c>
      <c r="R1830" s="459" t="str">
        <f t="shared" si="1041"/>
        <v/>
      </c>
      <c r="S1830" s="459" t="str">
        <f t="shared" si="1042"/>
        <v/>
      </c>
      <c r="T1830" s="566" t="str">
        <f t="shared" si="1027"/>
        <v/>
      </c>
      <c r="U1830" s="702"/>
      <c r="V1830" s="132"/>
      <c r="W1830" s="133"/>
      <c r="X1830" s="134"/>
      <c r="Y1830" s="135"/>
      <c r="Z1830" s="137"/>
      <c r="AA1830" s="136"/>
      <c r="AB1830" s="566" t="str">
        <f t="shared" si="1028"/>
        <v/>
      </c>
      <c r="AC1830" s="568" t="str">
        <f t="shared" si="1029"/>
        <v/>
      </c>
      <c r="AD1830" s="137"/>
      <c r="AE1830" s="137"/>
      <c r="AF1830" s="138"/>
      <c r="AG1830" s="138"/>
      <c r="AH1830" s="592" t="str">
        <f t="shared" si="1030"/>
        <v/>
      </c>
      <c r="AI1830" s="592" t="str">
        <f t="shared" si="1031"/>
        <v/>
      </c>
      <c r="AJ1830" s="592" t="str">
        <f t="shared" si="1032"/>
        <v/>
      </c>
      <c r="AK1830" s="460" t="str">
        <f>IF(AU1830="","",IF(OR(AZ1830=8,AZ1830=9),0,IF(OR(AW1830=3,AW1830=4,AW1830=5,AW1830=6),IF(LEFT(BF1830,1)="1",INDEX(係数_NOX・PM低減,MATCH(AY1830,【参考】排出係数!$AI$801:$AI$804,1),1),VLOOKUP(AU1830,INDEX((係数_バス貨物_ガソリン,係数_バス貨物_CNG,係数_バス貨物_軽油,係数_バス貨物_メタノール,係数_バス貨物_LPG),MATCH(AY1830,【参考】排出係数!$AI$4:$AI$671,1),1,BE1830):INDEX((係数_バス貨物_ガソリン,係数_バス貨物_CNG,係数_バス貨物_軽油,係数_バス貨物_メタノール,係数_バス貨物_LPG),MATCH(AY1830+1,【参考】排出係数!$AI$4:$AI$671,1)-1,5,BE1830),4,FALSE)),IF(AND(BE1830=3,LEFT(BF1830,1)="1"),0.48,VLOOKUP(AU1830,INDEX((係数_乗用_ガソリン,係数_乗用_CNG,係数_乗用_軽油,係数_乗用_メタノール,係数_乗用_LPG),1,1,BE1830):INDEX((係数_乗用_ガソリン,係数_乗用_CNG,係数_乗用_軽油,係数_乗用_メタノール,係数_乗用_LPG),125,5,BE1830),4,FALSE)))))</f>
        <v/>
      </c>
      <c r="AL1830" s="461" t="str">
        <f t="shared" si="1033"/>
        <v/>
      </c>
      <c r="AM1830" s="460" t="str">
        <f>IF(AU1830="","",IF(OR(AZ1830=8,AZ1830=9),0,IF(OR(AW1830=3,AW1830=4,AW1830=5,AW1830=6),IF(LEFT(BH1830,1)="1",INDEX(係数_PM低減,MATCH(AY1830,【参考】排出係数!$AI$801:$AI$804,1),MATCH(BI1830,【参考】排出係数!$AL$798:$AO$798,1)),VLOOKUP(AU1830,INDEX((係数_バス貨物_ガソリン,係数_バス貨物_CNG,係数_バス貨物_軽油,係数_バス貨物_メタノール,係数_バス貨物_LPG),MATCH(AY1830,【参考】排出係数!$AI$4:$AI$671,1),1,BE1830):INDEX((係数_バス貨物_ガソリン,係数_バス貨物_CNG,係数_バス貨物_軽油,係数_バス貨物_メタノール,係数_バス貨物_LPG),MATCH(AY1830+1,【参考】排出係数!$AI$4:$AI$671,1)-1,5,BE1830),5,FALSE)),IF(AND(BE1830=3,LEFT(BF1830,1)="1"),0.055,VLOOKUP(AU1830,INDEX((係数_乗用_ガソリン,係数_乗用_CNG,係数_乗用_軽油,係数_乗用_メタノール,係数_乗用_LPG),1,1,BE1830):INDEX((係数_乗用_ガソリン,係数_乗用_CNG,係数_乗用_軽油,係数_乗用_メタノール,係数_乗用_LPG),125,5,BE1830),5,FALSE)))))</f>
        <v/>
      </c>
      <c r="AN1830" s="461" t="str">
        <f t="shared" si="1034"/>
        <v/>
      </c>
      <c r="AO1830" s="462" t="str">
        <f t="shared" si="1035"/>
        <v/>
      </c>
      <c r="AP1830" s="463" t="str">
        <f t="shared" si="1036"/>
        <v/>
      </c>
      <c r="AQ1830" s="464"/>
      <c r="AR1830" s="619"/>
      <c r="AS1830" s="465" t="str">
        <f t="shared" si="1044"/>
        <v/>
      </c>
      <c r="AT1830" s="465" t="str">
        <f t="shared" si="1045"/>
        <v/>
      </c>
      <c r="AU1830" s="466" t="str">
        <f t="shared" si="1046"/>
        <v/>
      </c>
      <c r="AV1830" s="467" t="str">
        <f t="shared" si="1047"/>
        <v/>
      </c>
      <c r="AW1830" s="467" t="str">
        <f t="shared" si="1048"/>
        <v/>
      </c>
      <c r="AX1830" s="467" t="str">
        <f t="shared" si="1049"/>
        <v/>
      </c>
      <c r="AY1830" s="467" t="str">
        <f t="shared" si="1050"/>
        <v/>
      </c>
      <c r="AZ1830" s="467" t="str">
        <f t="shared" si="1051"/>
        <v/>
      </c>
      <c r="BA1830" s="468" t="str">
        <f>IF(AS1830="","",IF(OR(AU1830="",AU1830="-"),"－",IF(OR(AZ1830=8,AZ1830=9),"",IF(OR(AW1830=3,AW1830=4,AW1830=5,AW1830=6),VLOOKUP(AU1830,INDEX((係数_バス貨物_ガソリン,係数_バス貨物_CNG,係数_バス貨物_軽油,係数_バス貨物_メタノール,係数_バス貨物_LPG),MATCH(AY1830,【参考】排出係数!$AI$4:$AI$671,1),1,BE1830):INDEX((係数_バス貨物_ガソリン,係数_バス貨物_CNG,係数_バス貨物_軽油,係数_バス貨物_メタノール,係数_バス貨物_LPG),MATCH(AY1830+1,【参考】排出係数!$AI$4:$AI$671,1)-1,5,BE1830),2,FALSE),IF(OR(AW1830=1,AW1830=2),VLOOKUP(AU1830,INDEX((係数_乗用_ガソリン,係数_乗用_CNG,係数_乗用_軽油,係数_乗用_メタノール,係数_乗用_LPG),1,1,BE1830):INDEX((係数_乗用_ガソリン,係数_乗用_CNG,係数_乗用_軽油,係数_乗用_メタノール,係数_乗用_LPG),125,5,BE1830),2,FALSE))))))</f>
        <v/>
      </c>
      <c r="BB1830" s="468" t="str">
        <f>IF(T1830="","",IF(OR(AU1830="",AU1830="-"),"－",IF(OR(AZ1830=8,AZ1830=9),"",IF(OR(AW1830=3,AW1830=4,AW1830=5,AW1830=6),VLOOKUP(AU1830,INDEX((係数_バス貨物_ガソリン,係数_バス貨物_CNG,係数_バス貨物_軽油,係数_バス貨物_メタノール,係数_バス貨物_LPG),MATCH(AY1830,【参考】排出係数!$AI$4:$AI$671,1),1,BE1830):INDEX((係数_バス貨物_ガソリン,係数_バス貨物_CNG,係数_バス貨物_軽油,係数_バス貨物_メタノール,係数_バス貨物_LPG),MATCH(AY1830+1,【参考】排出係数!$AI$4:$AI$671,1)-1,5,BE1830),3,FALSE),IF(OR(AW1830=1,AW1830=2),VLOOKUP(AU1830,INDEX((係数_乗用_ガソリン,係数_乗用_CNG,係数_乗用_軽油,係数_乗用_メタノール,係数_乗用_LPG),1,1,BE1830):INDEX((係数_乗用_ガソリン,係数_乗用_CNG,係数_乗用_軽油,係数_乗用_メタノール,係数_乗用_LPG),125,5,BE1830),3,FALSE))))))</f>
        <v/>
      </c>
      <c r="BC1830" s="467" t="str">
        <f t="shared" si="1052"/>
        <v/>
      </c>
      <c r="BD1830" s="567" t="str">
        <f t="shared" si="1053"/>
        <v/>
      </c>
      <c r="BE1830" s="467" t="str">
        <f t="shared" si="1054"/>
        <v/>
      </c>
      <c r="BF1830" s="469" t="str">
        <f t="shared" ca="1" si="1055"/>
        <v/>
      </c>
      <c r="BG1830" s="469" t="str">
        <f t="shared" ca="1" si="1056"/>
        <v/>
      </c>
      <c r="BH1830" s="467" t="str">
        <f t="shared" si="1057"/>
        <v/>
      </c>
      <c r="BI1830" s="467" t="str">
        <f t="shared" ca="1" si="1058"/>
        <v/>
      </c>
      <c r="BJ1830" s="469" t="str">
        <f t="shared" si="1059"/>
        <v/>
      </c>
      <c r="BK1830" s="470" t="str">
        <f t="shared" si="1043"/>
        <v/>
      </c>
      <c r="BL1830" s="775" t="str">
        <f t="shared" si="1060"/>
        <v/>
      </c>
      <c r="BM1830" s="775" t="str">
        <f t="shared" si="1061"/>
        <v/>
      </c>
    </row>
    <row r="1831" spans="1:65">
      <c r="A1831" s="473">
        <v>1775</v>
      </c>
      <c r="B1831" s="132"/>
      <c r="C1831" s="332"/>
      <c r="D1831" s="333"/>
      <c r="E1831" s="333"/>
      <c r="F1831" s="334"/>
      <c r="G1831" s="337"/>
      <c r="H1831" s="131"/>
      <c r="I1831" s="337"/>
      <c r="J1831" s="131"/>
      <c r="K1831" s="458" t="str">
        <f t="shared" si="1024"/>
        <v/>
      </c>
      <c r="L1831" s="458">
        <f t="shared" si="1025"/>
        <v>0</v>
      </c>
      <c r="M1831" s="458">
        <f t="shared" si="1026"/>
        <v>0</v>
      </c>
      <c r="N1831" s="459" t="str">
        <f t="shared" si="1037"/>
        <v/>
      </c>
      <c r="O1831" s="459" t="str">
        <f t="shared" si="1038"/>
        <v/>
      </c>
      <c r="P1831" s="459" t="str">
        <f t="shared" si="1039"/>
        <v/>
      </c>
      <c r="Q1831" s="459" t="str">
        <f t="shared" si="1040"/>
        <v/>
      </c>
      <c r="R1831" s="459" t="str">
        <f t="shared" si="1041"/>
        <v/>
      </c>
      <c r="S1831" s="459" t="str">
        <f t="shared" si="1042"/>
        <v/>
      </c>
      <c r="T1831" s="566" t="str">
        <f t="shared" si="1027"/>
        <v/>
      </c>
      <c r="U1831" s="702"/>
      <c r="V1831" s="132"/>
      <c r="W1831" s="133"/>
      <c r="X1831" s="134"/>
      <c r="Y1831" s="135"/>
      <c r="Z1831" s="137"/>
      <c r="AA1831" s="136"/>
      <c r="AB1831" s="566" t="str">
        <f t="shared" si="1028"/>
        <v/>
      </c>
      <c r="AC1831" s="568" t="str">
        <f t="shared" si="1029"/>
        <v/>
      </c>
      <c r="AD1831" s="137"/>
      <c r="AE1831" s="137"/>
      <c r="AF1831" s="138"/>
      <c r="AG1831" s="138"/>
      <c r="AH1831" s="592" t="str">
        <f t="shared" si="1030"/>
        <v/>
      </c>
      <c r="AI1831" s="592" t="str">
        <f t="shared" si="1031"/>
        <v/>
      </c>
      <c r="AJ1831" s="592" t="str">
        <f t="shared" si="1032"/>
        <v/>
      </c>
      <c r="AK1831" s="460" t="str">
        <f>IF(AU1831="","",IF(OR(AZ1831=8,AZ1831=9),0,IF(OR(AW1831=3,AW1831=4,AW1831=5,AW1831=6),IF(LEFT(BF1831,1)="1",INDEX(係数_NOX・PM低減,MATCH(AY1831,【参考】排出係数!$AI$801:$AI$804,1),1),VLOOKUP(AU1831,INDEX((係数_バス貨物_ガソリン,係数_バス貨物_CNG,係数_バス貨物_軽油,係数_バス貨物_メタノール,係数_バス貨物_LPG),MATCH(AY1831,【参考】排出係数!$AI$4:$AI$671,1),1,BE1831):INDEX((係数_バス貨物_ガソリン,係数_バス貨物_CNG,係数_バス貨物_軽油,係数_バス貨物_メタノール,係数_バス貨物_LPG),MATCH(AY1831+1,【参考】排出係数!$AI$4:$AI$671,1)-1,5,BE1831),4,FALSE)),IF(AND(BE1831=3,LEFT(BF1831,1)="1"),0.48,VLOOKUP(AU1831,INDEX((係数_乗用_ガソリン,係数_乗用_CNG,係数_乗用_軽油,係数_乗用_メタノール,係数_乗用_LPG),1,1,BE1831):INDEX((係数_乗用_ガソリン,係数_乗用_CNG,係数_乗用_軽油,係数_乗用_メタノール,係数_乗用_LPG),125,5,BE1831),4,FALSE)))))</f>
        <v/>
      </c>
      <c r="AL1831" s="461" t="str">
        <f t="shared" si="1033"/>
        <v/>
      </c>
      <c r="AM1831" s="460" t="str">
        <f>IF(AU1831="","",IF(OR(AZ1831=8,AZ1831=9),0,IF(OR(AW1831=3,AW1831=4,AW1831=5,AW1831=6),IF(LEFT(BH1831,1)="1",INDEX(係数_PM低減,MATCH(AY1831,【参考】排出係数!$AI$801:$AI$804,1),MATCH(BI1831,【参考】排出係数!$AL$798:$AO$798,1)),VLOOKUP(AU1831,INDEX((係数_バス貨物_ガソリン,係数_バス貨物_CNG,係数_バス貨物_軽油,係数_バス貨物_メタノール,係数_バス貨物_LPG),MATCH(AY1831,【参考】排出係数!$AI$4:$AI$671,1),1,BE1831):INDEX((係数_バス貨物_ガソリン,係数_バス貨物_CNG,係数_バス貨物_軽油,係数_バス貨物_メタノール,係数_バス貨物_LPG),MATCH(AY1831+1,【参考】排出係数!$AI$4:$AI$671,1)-1,5,BE1831),5,FALSE)),IF(AND(BE1831=3,LEFT(BF1831,1)="1"),0.055,VLOOKUP(AU1831,INDEX((係数_乗用_ガソリン,係数_乗用_CNG,係数_乗用_軽油,係数_乗用_メタノール,係数_乗用_LPG),1,1,BE1831):INDEX((係数_乗用_ガソリン,係数_乗用_CNG,係数_乗用_軽油,係数_乗用_メタノール,係数_乗用_LPG),125,5,BE1831),5,FALSE)))))</f>
        <v/>
      </c>
      <c r="AN1831" s="461" t="str">
        <f t="shared" si="1034"/>
        <v/>
      </c>
      <c r="AO1831" s="462" t="str">
        <f t="shared" si="1035"/>
        <v/>
      </c>
      <c r="AP1831" s="463" t="str">
        <f t="shared" si="1036"/>
        <v/>
      </c>
      <c r="AQ1831" s="464"/>
      <c r="AR1831" s="619"/>
      <c r="AS1831" s="465" t="str">
        <f t="shared" si="1044"/>
        <v/>
      </c>
      <c r="AT1831" s="465" t="str">
        <f t="shared" si="1045"/>
        <v/>
      </c>
      <c r="AU1831" s="466" t="str">
        <f t="shared" si="1046"/>
        <v/>
      </c>
      <c r="AV1831" s="467" t="str">
        <f t="shared" si="1047"/>
        <v/>
      </c>
      <c r="AW1831" s="467" t="str">
        <f t="shared" si="1048"/>
        <v/>
      </c>
      <c r="AX1831" s="467" t="str">
        <f t="shared" si="1049"/>
        <v/>
      </c>
      <c r="AY1831" s="467" t="str">
        <f t="shared" si="1050"/>
        <v/>
      </c>
      <c r="AZ1831" s="467" t="str">
        <f t="shared" si="1051"/>
        <v/>
      </c>
      <c r="BA1831" s="468" t="str">
        <f>IF(AS1831="","",IF(OR(AU1831="",AU1831="-"),"－",IF(OR(AZ1831=8,AZ1831=9),"",IF(OR(AW1831=3,AW1831=4,AW1831=5,AW1831=6),VLOOKUP(AU1831,INDEX((係数_バス貨物_ガソリン,係数_バス貨物_CNG,係数_バス貨物_軽油,係数_バス貨物_メタノール,係数_バス貨物_LPG),MATCH(AY1831,【参考】排出係数!$AI$4:$AI$671,1),1,BE1831):INDEX((係数_バス貨物_ガソリン,係数_バス貨物_CNG,係数_バス貨物_軽油,係数_バス貨物_メタノール,係数_バス貨物_LPG),MATCH(AY1831+1,【参考】排出係数!$AI$4:$AI$671,1)-1,5,BE1831),2,FALSE),IF(OR(AW1831=1,AW1831=2),VLOOKUP(AU1831,INDEX((係数_乗用_ガソリン,係数_乗用_CNG,係数_乗用_軽油,係数_乗用_メタノール,係数_乗用_LPG),1,1,BE1831):INDEX((係数_乗用_ガソリン,係数_乗用_CNG,係数_乗用_軽油,係数_乗用_メタノール,係数_乗用_LPG),125,5,BE1831),2,FALSE))))))</f>
        <v/>
      </c>
      <c r="BB1831" s="468" t="str">
        <f>IF(T1831="","",IF(OR(AU1831="",AU1831="-"),"－",IF(OR(AZ1831=8,AZ1831=9),"",IF(OR(AW1831=3,AW1831=4,AW1831=5,AW1831=6),VLOOKUP(AU1831,INDEX((係数_バス貨物_ガソリン,係数_バス貨物_CNG,係数_バス貨物_軽油,係数_バス貨物_メタノール,係数_バス貨物_LPG),MATCH(AY1831,【参考】排出係数!$AI$4:$AI$671,1),1,BE1831):INDEX((係数_バス貨物_ガソリン,係数_バス貨物_CNG,係数_バス貨物_軽油,係数_バス貨物_メタノール,係数_バス貨物_LPG),MATCH(AY1831+1,【参考】排出係数!$AI$4:$AI$671,1)-1,5,BE1831),3,FALSE),IF(OR(AW1831=1,AW1831=2),VLOOKUP(AU1831,INDEX((係数_乗用_ガソリン,係数_乗用_CNG,係数_乗用_軽油,係数_乗用_メタノール,係数_乗用_LPG),1,1,BE1831):INDEX((係数_乗用_ガソリン,係数_乗用_CNG,係数_乗用_軽油,係数_乗用_メタノール,係数_乗用_LPG),125,5,BE1831),3,FALSE))))))</f>
        <v/>
      </c>
      <c r="BC1831" s="467" t="str">
        <f t="shared" si="1052"/>
        <v/>
      </c>
      <c r="BD1831" s="567" t="str">
        <f t="shared" si="1053"/>
        <v/>
      </c>
      <c r="BE1831" s="467" t="str">
        <f t="shared" si="1054"/>
        <v/>
      </c>
      <c r="BF1831" s="469" t="str">
        <f t="shared" ca="1" si="1055"/>
        <v/>
      </c>
      <c r="BG1831" s="469" t="str">
        <f t="shared" ca="1" si="1056"/>
        <v/>
      </c>
      <c r="BH1831" s="467" t="str">
        <f t="shared" si="1057"/>
        <v/>
      </c>
      <c r="BI1831" s="467" t="str">
        <f t="shared" ca="1" si="1058"/>
        <v/>
      </c>
      <c r="BJ1831" s="469" t="str">
        <f t="shared" si="1059"/>
        <v/>
      </c>
      <c r="BK1831" s="470" t="str">
        <f t="shared" si="1043"/>
        <v/>
      </c>
      <c r="BL1831" s="775" t="str">
        <f t="shared" si="1060"/>
        <v/>
      </c>
      <c r="BM1831" s="775" t="str">
        <f t="shared" si="1061"/>
        <v/>
      </c>
    </row>
    <row r="1832" spans="1:65">
      <c r="A1832" s="473">
        <v>1776</v>
      </c>
      <c r="B1832" s="132"/>
      <c r="C1832" s="332"/>
      <c r="D1832" s="333"/>
      <c r="E1832" s="333"/>
      <c r="F1832" s="334"/>
      <c r="G1832" s="337"/>
      <c r="H1832" s="131"/>
      <c r="I1832" s="337"/>
      <c r="J1832" s="131"/>
      <c r="K1832" s="458" t="str">
        <f t="shared" si="1024"/>
        <v/>
      </c>
      <c r="L1832" s="458">
        <f t="shared" si="1025"/>
        <v>0</v>
      </c>
      <c r="M1832" s="458">
        <f t="shared" si="1026"/>
        <v>0</v>
      </c>
      <c r="N1832" s="459" t="str">
        <f t="shared" si="1037"/>
        <v/>
      </c>
      <c r="O1832" s="459" t="str">
        <f t="shared" si="1038"/>
        <v/>
      </c>
      <c r="P1832" s="459" t="str">
        <f t="shared" si="1039"/>
        <v/>
      </c>
      <c r="Q1832" s="459" t="str">
        <f t="shared" si="1040"/>
        <v/>
      </c>
      <c r="R1832" s="459" t="str">
        <f t="shared" si="1041"/>
        <v/>
      </c>
      <c r="S1832" s="459" t="str">
        <f t="shared" si="1042"/>
        <v/>
      </c>
      <c r="T1832" s="566" t="str">
        <f t="shared" si="1027"/>
        <v/>
      </c>
      <c r="U1832" s="702"/>
      <c r="V1832" s="132"/>
      <c r="W1832" s="133"/>
      <c r="X1832" s="134"/>
      <c r="Y1832" s="135"/>
      <c r="Z1832" s="137"/>
      <c r="AA1832" s="136"/>
      <c r="AB1832" s="566" t="str">
        <f t="shared" si="1028"/>
        <v/>
      </c>
      <c r="AC1832" s="568" t="str">
        <f t="shared" si="1029"/>
        <v/>
      </c>
      <c r="AD1832" s="137"/>
      <c r="AE1832" s="137"/>
      <c r="AF1832" s="138"/>
      <c r="AG1832" s="138"/>
      <c r="AH1832" s="592" t="str">
        <f t="shared" si="1030"/>
        <v/>
      </c>
      <c r="AI1832" s="592" t="str">
        <f t="shared" si="1031"/>
        <v/>
      </c>
      <c r="AJ1832" s="592" t="str">
        <f t="shared" si="1032"/>
        <v/>
      </c>
      <c r="AK1832" s="460" t="str">
        <f>IF(AU1832="","",IF(OR(AZ1832=8,AZ1832=9),0,IF(OR(AW1832=3,AW1832=4,AW1832=5,AW1832=6),IF(LEFT(BF1832,1)="1",INDEX(係数_NOX・PM低減,MATCH(AY1832,【参考】排出係数!$AI$801:$AI$804,1),1),VLOOKUP(AU1832,INDEX((係数_バス貨物_ガソリン,係数_バス貨物_CNG,係数_バス貨物_軽油,係数_バス貨物_メタノール,係数_バス貨物_LPG),MATCH(AY1832,【参考】排出係数!$AI$4:$AI$671,1),1,BE1832):INDEX((係数_バス貨物_ガソリン,係数_バス貨物_CNG,係数_バス貨物_軽油,係数_バス貨物_メタノール,係数_バス貨物_LPG),MATCH(AY1832+1,【参考】排出係数!$AI$4:$AI$671,1)-1,5,BE1832),4,FALSE)),IF(AND(BE1832=3,LEFT(BF1832,1)="1"),0.48,VLOOKUP(AU1832,INDEX((係数_乗用_ガソリン,係数_乗用_CNG,係数_乗用_軽油,係数_乗用_メタノール,係数_乗用_LPG),1,1,BE1832):INDEX((係数_乗用_ガソリン,係数_乗用_CNG,係数_乗用_軽油,係数_乗用_メタノール,係数_乗用_LPG),125,5,BE1832),4,FALSE)))))</f>
        <v/>
      </c>
      <c r="AL1832" s="461" t="str">
        <f t="shared" si="1033"/>
        <v/>
      </c>
      <c r="AM1832" s="460" t="str">
        <f>IF(AU1832="","",IF(OR(AZ1832=8,AZ1832=9),0,IF(OR(AW1832=3,AW1832=4,AW1832=5,AW1832=6),IF(LEFT(BH1832,1)="1",INDEX(係数_PM低減,MATCH(AY1832,【参考】排出係数!$AI$801:$AI$804,1),MATCH(BI1832,【参考】排出係数!$AL$798:$AO$798,1)),VLOOKUP(AU1832,INDEX((係数_バス貨物_ガソリン,係数_バス貨物_CNG,係数_バス貨物_軽油,係数_バス貨物_メタノール,係数_バス貨物_LPG),MATCH(AY1832,【参考】排出係数!$AI$4:$AI$671,1),1,BE1832):INDEX((係数_バス貨物_ガソリン,係数_バス貨物_CNG,係数_バス貨物_軽油,係数_バス貨物_メタノール,係数_バス貨物_LPG),MATCH(AY1832+1,【参考】排出係数!$AI$4:$AI$671,1)-1,5,BE1832),5,FALSE)),IF(AND(BE1832=3,LEFT(BF1832,1)="1"),0.055,VLOOKUP(AU1832,INDEX((係数_乗用_ガソリン,係数_乗用_CNG,係数_乗用_軽油,係数_乗用_メタノール,係数_乗用_LPG),1,1,BE1832):INDEX((係数_乗用_ガソリン,係数_乗用_CNG,係数_乗用_軽油,係数_乗用_メタノール,係数_乗用_LPG),125,5,BE1832),5,FALSE)))))</f>
        <v/>
      </c>
      <c r="AN1832" s="461" t="str">
        <f t="shared" si="1034"/>
        <v/>
      </c>
      <c r="AO1832" s="462" t="str">
        <f t="shared" si="1035"/>
        <v/>
      </c>
      <c r="AP1832" s="463" t="str">
        <f t="shared" si="1036"/>
        <v/>
      </c>
      <c r="AQ1832" s="464"/>
      <c r="AR1832" s="619"/>
      <c r="AS1832" s="465" t="str">
        <f t="shared" si="1044"/>
        <v/>
      </c>
      <c r="AT1832" s="465" t="str">
        <f t="shared" si="1045"/>
        <v/>
      </c>
      <c r="AU1832" s="466" t="str">
        <f t="shared" si="1046"/>
        <v/>
      </c>
      <c r="AV1832" s="467" t="str">
        <f t="shared" si="1047"/>
        <v/>
      </c>
      <c r="AW1832" s="467" t="str">
        <f t="shared" si="1048"/>
        <v/>
      </c>
      <c r="AX1832" s="467" t="str">
        <f t="shared" si="1049"/>
        <v/>
      </c>
      <c r="AY1832" s="467" t="str">
        <f t="shared" si="1050"/>
        <v/>
      </c>
      <c r="AZ1832" s="467" t="str">
        <f t="shared" si="1051"/>
        <v/>
      </c>
      <c r="BA1832" s="468" t="str">
        <f>IF(AS1832="","",IF(OR(AU1832="",AU1832="-"),"－",IF(OR(AZ1832=8,AZ1832=9),"",IF(OR(AW1832=3,AW1832=4,AW1832=5,AW1832=6),VLOOKUP(AU1832,INDEX((係数_バス貨物_ガソリン,係数_バス貨物_CNG,係数_バス貨物_軽油,係数_バス貨物_メタノール,係数_バス貨物_LPG),MATCH(AY1832,【参考】排出係数!$AI$4:$AI$671,1),1,BE1832):INDEX((係数_バス貨物_ガソリン,係数_バス貨物_CNG,係数_バス貨物_軽油,係数_バス貨物_メタノール,係数_バス貨物_LPG),MATCH(AY1832+1,【参考】排出係数!$AI$4:$AI$671,1)-1,5,BE1832),2,FALSE),IF(OR(AW1832=1,AW1832=2),VLOOKUP(AU1832,INDEX((係数_乗用_ガソリン,係数_乗用_CNG,係数_乗用_軽油,係数_乗用_メタノール,係数_乗用_LPG),1,1,BE1832):INDEX((係数_乗用_ガソリン,係数_乗用_CNG,係数_乗用_軽油,係数_乗用_メタノール,係数_乗用_LPG),125,5,BE1832),2,FALSE))))))</f>
        <v/>
      </c>
      <c r="BB1832" s="468" t="str">
        <f>IF(T1832="","",IF(OR(AU1832="",AU1832="-"),"－",IF(OR(AZ1832=8,AZ1832=9),"",IF(OR(AW1832=3,AW1832=4,AW1832=5,AW1832=6),VLOOKUP(AU1832,INDEX((係数_バス貨物_ガソリン,係数_バス貨物_CNG,係数_バス貨物_軽油,係数_バス貨物_メタノール,係数_バス貨物_LPG),MATCH(AY1832,【参考】排出係数!$AI$4:$AI$671,1),1,BE1832):INDEX((係数_バス貨物_ガソリン,係数_バス貨物_CNG,係数_バス貨物_軽油,係数_バス貨物_メタノール,係数_バス貨物_LPG),MATCH(AY1832+1,【参考】排出係数!$AI$4:$AI$671,1)-1,5,BE1832),3,FALSE),IF(OR(AW1832=1,AW1832=2),VLOOKUP(AU1832,INDEX((係数_乗用_ガソリン,係数_乗用_CNG,係数_乗用_軽油,係数_乗用_メタノール,係数_乗用_LPG),1,1,BE1832):INDEX((係数_乗用_ガソリン,係数_乗用_CNG,係数_乗用_軽油,係数_乗用_メタノール,係数_乗用_LPG),125,5,BE1832),3,FALSE))))))</f>
        <v/>
      </c>
      <c r="BC1832" s="467" t="str">
        <f t="shared" si="1052"/>
        <v/>
      </c>
      <c r="BD1832" s="567" t="str">
        <f t="shared" si="1053"/>
        <v/>
      </c>
      <c r="BE1832" s="467" t="str">
        <f t="shared" si="1054"/>
        <v/>
      </c>
      <c r="BF1832" s="469" t="str">
        <f t="shared" ca="1" si="1055"/>
        <v/>
      </c>
      <c r="BG1832" s="469" t="str">
        <f t="shared" ca="1" si="1056"/>
        <v/>
      </c>
      <c r="BH1832" s="467" t="str">
        <f t="shared" si="1057"/>
        <v/>
      </c>
      <c r="BI1832" s="467" t="str">
        <f t="shared" ca="1" si="1058"/>
        <v/>
      </c>
      <c r="BJ1832" s="469" t="str">
        <f t="shared" si="1059"/>
        <v/>
      </c>
      <c r="BK1832" s="470" t="str">
        <f t="shared" si="1043"/>
        <v/>
      </c>
      <c r="BL1832" s="775" t="str">
        <f t="shared" si="1060"/>
        <v/>
      </c>
      <c r="BM1832" s="775" t="str">
        <f t="shared" si="1061"/>
        <v/>
      </c>
    </row>
    <row r="1833" spans="1:65">
      <c r="A1833" s="473">
        <v>1777</v>
      </c>
      <c r="B1833" s="132"/>
      <c r="C1833" s="332"/>
      <c r="D1833" s="333"/>
      <c r="E1833" s="333"/>
      <c r="F1833" s="334"/>
      <c r="G1833" s="337"/>
      <c r="H1833" s="131"/>
      <c r="I1833" s="337"/>
      <c r="J1833" s="131"/>
      <c r="K1833" s="458" t="str">
        <f t="shared" si="1024"/>
        <v/>
      </c>
      <c r="L1833" s="458">
        <f t="shared" si="1025"/>
        <v>0</v>
      </c>
      <c r="M1833" s="458">
        <f t="shared" si="1026"/>
        <v>0</v>
      </c>
      <c r="N1833" s="459" t="str">
        <f t="shared" si="1037"/>
        <v/>
      </c>
      <c r="O1833" s="459" t="str">
        <f t="shared" si="1038"/>
        <v/>
      </c>
      <c r="P1833" s="459" t="str">
        <f t="shared" si="1039"/>
        <v/>
      </c>
      <c r="Q1833" s="459" t="str">
        <f t="shared" si="1040"/>
        <v/>
      </c>
      <c r="R1833" s="459" t="str">
        <f t="shared" si="1041"/>
        <v/>
      </c>
      <c r="S1833" s="459" t="str">
        <f t="shared" si="1042"/>
        <v/>
      </c>
      <c r="T1833" s="566" t="str">
        <f t="shared" si="1027"/>
        <v/>
      </c>
      <c r="U1833" s="702"/>
      <c r="V1833" s="132"/>
      <c r="W1833" s="133"/>
      <c r="X1833" s="134"/>
      <c r="Y1833" s="135"/>
      <c r="Z1833" s="137"/>
      <c r="AA1833" s="136"/>
      <c r="AB1833" s="566" t="str">
        <f t="shared" si="1028"/>
        <v/>
      </c>
      <c r="AC1833" s="568" t="str">
        <f t="shared" si="1029"/>
        <v/>
      </c>
      <c r="AD1833" s="137"/>
      <c r="AE1833" s="137"/>
      <c r="AF1833" s="138"/>
      <c r="AG1833" s="138"/>
      <c r="AH1833" s="592" t="str">
        <f t="shared" si="1030"/>
        <v/>
      </c>
      <c r="AI1833" s="592" t="str">
        <f t="shared" si="1031"/>
        <v/>
      </c>
      <c r="AJ1833" s="592" t="str">
        <f t="shared" si="1032"/>
        <v/>
      </c>
      <c r="AK1833" s="460" t="str">
        <f>IF(AU1833="","",IF(OR(AZ1833=8,AZ1833=9),0,IF(OR(AW1833=3,AW1833=4,AW1833=5,AW1833=6),IF(LEFT(BF1833,1)="1",INDEX(係数_NOX・PM低減,MATCH(AY1833,【参考】排出係数!$AI$801:$AI$804,1),1),VLOOKUP(AU1833,INDEX((係数_バス貨物_ガソリン,係数_バス貨物_CNG,係数_バス貨物_軽油,係数_バス貨物_メタノール,係数_バス貨物_LPG),MATCH(AY1833,【参考】排出係数!$AI$4:$AI$671,1),1,BE1833):INDEX((係数_バス貨物_ガソリン,係数_バス貨物_CNG,係数_バス貨物_軽油,係数_バス貨物_メタノール,係数_バス貨物_LPG),MATCH(AY1833+1,【参考】排出係数!$AI$4:$AI$671,1)-1,5,BE1833),4,FALSE)),IF(AND(BE1833=3,LEFT(BF1833,1)="1"),0.48,VLOOKUP(AU1833,INDEX((係数_乗用_ガソリン,係数_乗用_CNG,係数_乗用_軽油,係数_乗用_メタノール,係数_乗用_LPG),1,1,BE1833):INDEX((係数_乗用_ガソリン,係数_乗用_CNG,係数_乗用_軽油,係数_乗用_メタノール,係数_乗用_LPG),125,5,BE1833),4,FALSE)))))</f>
        <v/>
      </c>
      <c r="AL1833" s="461" t="str">
        <f t="shared" si="1033"/>
        <v/>
      </c>
      <c r="AM1833" s="460" t="str">
        <f>IF(AU1833="","",IF(OR(AZ1833=8,AZ1833=9),0,IF(OR(AW1833=3,AW1833=4,AW1833=5,AW1833=6),IF(LEFT(BH1833,1)="1",INDEX(係数_PM低減,MATCH(AY1833,【参考】排出係数!$AI$801:$AI$804,1),MATCH(BI1833,【参考】排出係数!$AL$798:$AO$798,1)),VLOOKUP(AU1833,INDEX((係数_バス貨物_ガソリン,係数_バス貨物_CNG,係数_バス貨物_軽油,係数_バス貨物_メタノール,係数_バス貨物_LPG),MATCH(AY1833,【参考】排出係数!$AI$4:$AI$671,1),1,BE1833):INDEX((係数_バス貨物_ガソリン,係数_バス貨物_CNG,係数_バス貨物_軽油,係数_バス貨物_メタノール,係数_バス貨物_LPG),MATCH(AY1833+1,【参考】排出係数!$AI$4:$AI$671,1)-1,5,BE1833),5,FALSE)),IF(AND(BE1833=3,LEFT(BF1833,1)="1"),0.055,VLOOKUP(AU1833,INDEX((係数_乗用_ガソリン,係数_乗用_CNG,係数_乗用_軽油,係数_乗用_メタノール,係数_乗用_LPG),1,1,BE1833):INDEX((係数_乗用_ガソリン,係数_乗用_CNG,係数_乗用_軽油,係数_乗用_メタノール,係数_乗用_LPG),125,5,BE1833),5,FALSE)))))</f>
        <v/>
      </c>
      <c r="AN1833" s="461" t="str">
        <f t="shared" si="1034"/>
        <v/>
      </c>
      <c r="AO1833" s="462" t="str">
        <f t="shared" si="1035"/>
        <v/>
      </c>
      <c r="AP1833" s="463" t="str">
        <f t="shared" si="1036"/>
        <v/>
      </c>
      <c r="AQ1833" s="464"/>
      <c r="AR1833" s="619"/>
      <c r="AS1833" s="465" t="str">
        <f t="shared" si="1044"/>
        <v/>
      </c>
      <c r="AT1833" s="465" t="str">
        <f t="shared" si="1045"/>
        <v/>
      </c>
      <c r="AU1833" s="466" t="str">
        <f t="shared" si="1046"/>
        <v/>
      </c>
      <c r="AV1833" s="467" t="str">
        <f t="shared" si="1047"/>
        <v/>
      </c>
      <c r="AW1833" s="467" t="str">
        <f t="shared" si="1048"/>
        <v/>
      </c>
      <c r="AX1833" s="467" t="str">
        <f t="shared" si="1049"/>
        <v/>
      </c>
      <c r="AY1833" s="467" t="str">
        <f t="shared" si="1050"/>
        <v/>
      </c>
      <c r="AZ1833" s="467" t="str">
        <f t="shared" si="1051"/>
        <v/>
      </c>
      <c r="BA1833" s="468" t="str">
        <f>IF(AS1833="","",IF(OR(AU1833="",AU1833="-"),"－",IF(OR(AZ1833=8,AZ1833=9),"",IF(OR(AW1833=3,AW1833=4,AW1833=5,AW1833=6),VLOOKUP(AU1833,INDEX((係数_バス貨物_ガソリン,係数_バス貨物_CNG,係数_バス貨物_軽油,係数_バス貨物_メタノール,係数_バス貨物_LPG),MATCH(AY1833,【参考】排出係数!$AI$4:$AI$671,1),1,BE1833):INDEX((係数_バス貨物_ガソリン,係数_バス貨物_CNG,係数_バス貨物_軽油,係数_バス貨物_メタノール,係数_バス貨物_LPG),MATCH(AY1833+1,【参考】排出係数!$AI$4:$AI$671,1)-1,5,BE1833),2,FALSE),IF(OR(AW1833=1,AW1833=2),VLOOKUP(AU1833,INDEX((係数_乗用_ガソリン,係数_乗用_CNG,係数_乗用_軽油,係数_乗用_メタノール,係数_乗用_LPG),1,1,BE1833):INDEX((係数_乗用_ガソリン,係数_乗用_CNG,係数_乗用_軽油,係数_乗用_メタノール,係数_乗用_LPG),125,5,BE1833),2,FALSE))))))</f>
        <v/>
      </c>
      <c r="BB1833" s="468" t="str">
        <f>IF(T1833="","",IF(OR(AU1833="",AU1833="-"),"－",IF(OR(AZ1833=8,AZ1833=9),"",IF(OR(AW1833=3,AW1833=4,AW1833=5,AW1833=6),VLOOKUP(AU1833,INDEX((係数_バス貨物_ガソリン,係数_バス貨物_CNG,係数_バス貨物_軽油,係数_バス貨物_メタノール,係数_バス貨物_LPG),MATCH(AY1833,【参考】排出係数!$AI$4:$AI$671,1),1,BE1833):INDEX((係数_バス貨物_ガソリン,係数_バス貨物_CNG,係数_バス貨物_軽油,係数_バス貨物_メタノール,係数_バス貨物_LPG),MATCH(AY1833+1,【参考】排出係数!$AI$4:$AI$671,1)-1,5,BE1833),3,FALSE),IF(OR(AW1833=1,AW1833=2),VLOOKUP(AU1833,INDEX((係数_乗用_ガソリン,係数_乗用_CNG,係数_乗用_軽油,係数_乗用_メタノール,係数_乗用_LPG),1,1,BE1833):INDEX((係数_乗用_ガソリン,係数_乗用_CNG,係数_乗用_軽油,係数_乗用_メタノール,係数_乗用_LPG),125,5,BE1833),3,FALSE))))))</f>
        <v/>
      </c>
      <c r="BC1833" s="467" t="str">
        <f t="shared" si="1052"/>
        <v/>
      </c>
      <c r="BD1833" s="567" t="str">
        <f t="shared" si="1053"/>
        <v/>
      </c>
      <c r="BE1833" s="467" t="str">
        <f t="shared" si="1054"/>
        <v/>
      </c>
      <c r="BF1833" s="469" t="str">
        <f t="shared" ca="1" si="1055"/>
        <v/>
      </c>
      <c r="BG1833" s="469" t="str">
        <f t="shared" ca="1" si="1056"/>
        <v/>
      </c>
      <c r="BH1833" s="467" t="str">
        <f t="shared" si="1057"/>
        <v/>
      </c>
      <c r="BI1833" s="467" t="str">
        <f t="shared" ca="1" si="1058"/>
        <v/>
      </c>
      <c r="BJ1833" s="469" t="str">
        <f t="shared" si="1059"/>
        <v/>
      </c>
      <c r="BK1833" s="470" t="str">
        <f t="shared" si="1043"/>
        <v/>
      </c>
      <c r="BL1833" s="775" t="str">
        <f t="shared" si="1060"/>
        <v/>
      </c>
      <c r="BM1833" s="775" t="str">
        <f t="shared" si="1061"/>
        <v/>
      </c>
    </row>
    <row r="1834" spans="1:65">
      <c r="A1834" s="473">
        <v>1778</v>
      </c>
      <c r="B1834" s="132"/>
      <c r="C1834" s="332"/>
      <c r="D1834" s="333"/>
      <c r="E1834" s="333"/>
      <c r="F1834" s="334"/>
      <c r="G1834" s="337"/>
      <c r="H1834" s="131"/>
      <c r="I1834" s="337"/>
      <c r="J1834" s="131"/>
      <c r="K1834" s="458" t="str">
        <f t="shared" si="1024"/>
        <v/>
      </c>
      <c r="L1834" s="458">
        <f t="shared" si="1025"/>
        <v>0</v>
      </c>
      <c r="M1834" s="458">
        <f t="shared" si="1026"/>
        <v>0</v>
      </c>
      <c r="N1834" s="459" t="str">
        <f t="shared" si="1037"/>
        <v/>
      </c>
      <c r="O1834" s="459" t="str">
        <f t="shared" si="1038"/>
        <v/>
      </c>
      <c r="P1834" s="459" t="str">
        <f t="shared" si="1039"/>
        <v/>
      </c>
      <c r="Q1834" s="459" t="str">
        <f t="shared" si="1040"/>
        <v/>
      </c>
      <c r="R1834" s="459" t="str">
        <f t="shared" si="1041"/>
        <v/>
      </c>
      <c r="S1834" s="459" t="str">
        <f t="shared" si="1042"/>
        <v/>
      </c>
      <c r="T1834" s="566" t="str">
        <f t="shared" si="1027"/>
        <v/>
      </c>
      <c r="U1834" s="702"/>
      <c r="V1834" s="132"/>
      <c r="W1834" s="133"/>
      <c r="X1834" s="134"/>
      <c r="Y1834" s="135"/>
      <c r="Z1834" s="137"/>
      <c r="AA1834" s="136"/>
      <c r="AB1834" s="566" t="str">
        <f t="shared" si="1028"/>
        <v/>
      </c>
      <c r="AC1834" s="568" t="str">
        <f t="shared" si="1029"/>
        <v/>
      </c>
      <c r="AD1834" s="137"/>
      <c r="AE1834" s="137"/>
      <c r="AF1834" s="138"/>
      <c r="AG1834" s="138"/>
      <c r="AH1834" s="592" t="str">
        <f t="shared" si="1030"/>
        <v/>
      </c>
      <c r="AI1834" s="592" t="str">
        <f t="shared" si="1031"/>
        <v/>
      </c>
      <c r="AJ1834" s="592" t="str">
        <f t="shared" si="1032"/>
        <v/>
      </c>
      <c r="AK1834" s="460" t="str">
        <f>IF(AU1834="","",IF(OR(AZ1834=8,AZ1834=9),0,IF(OR(AW1834=3,AW1834=4,AW1834=5,AW1834=6),IF(LEFT(BF1834,1)="1",INDEX(係数_NOX・PM低減,MATCH(AY1834,【参考】排出係数!$AI$801:$AI$804,1),1),VLOOKUP(AU1834,INDEX((係数_バス貨物_ガソリン,係数_バス貨物_CNG,係数_バス貨物_軽油,係数_バス貨物_メタノール,係数_バス貨物_LPG),MATCH(AY1834,【参考】排出係数!$AI$4:$AI$671,1),1,BE1834):INDEX((係数_バス貨物_ガソリン,係数_バス貨物_CNG,係数_バス貨物_軽油,係数_バス貨物_メタノール,係数_バス貨物_LPG),MATCH(AY1834+1,【参考】排出係数!$AI$4:$AI$671,1)-1,5,BE1834),4,FALSE)),IF(AND(BE1834=3,LEFT(BF1834,1)="1"),0.48,VLOOKUP(AU1834,INDEX((係数_乗用_ガソリン,係数_乗用_CNG,係数_乗用_軽油,係数_乗用_メタノール,係数_乗用_LPG),1,1,BE1834):INDEX((係数_乗用_ガソリン,係数_乗用_CNG,係数_乗用_軽油,係数_乗用_メタノール,係数_乗用_LPG),125,5,BE1834),4,FALSE)))))</f>
        <v/>
      </c>
      <c r="AL1834" s="461" t="str">
        <f t="shared" si="1033"/>
        <v/>
      </c>
      <c r="AM1834" s="460" t="str">
        <f>IF(AU1834="","",IF(OR(AZ1834=8,AZ1834=9),0,IF(OR(AW1834=3,AW1834=4,AW1834=5,AW1834=6),IF(LEFT(BH1834,1)="1",INDEX(係数_PM低減,MATCH(AY1834,【参考】排出係数!$AI$801:$AI$804,1),MATCH(BI1834,【参考】排出係数!$AL$798:$AO$798,1)),VLOOKUP(AU1834,INDEX((係数_バス貨物_ガソリン,係数_バス貨物_CNG,係数_バス貨物_軽油,係数_バス貨物_メタノール,係数_バス貨物_LPG),MATCH(AY1834,【参考】排出係数!$AI$4:$AI$671,1),1,BE1834):INDEX((係数_バス貨物_ガソリン,係数_バス貨物_CNG,係数_バス貨物_軽油,係数_バス貨物_メタノール,係数_バス貨物_LPG),MATCH(AY1834+1,【参考】排出係数!$AI$4:$AI$671,1)-1,5,BE1834),5,FALSE)),IF(AND(BE1834=3,LEFT(BF1834,1)="1"),0.055,VLOOKUP(AU1834,INDEX((係数_乗用_ガソリン,係数_乗用_CNG,係数_乗用_軽油,係数_乗用_メタノール,係数_乗用_LPG),1,1,BE1834):INDEX((係数_乗用_ガソリン,係数_乗用_CNG,係数_乗用_軽油,係数_乗用_メタノール,係数_乗用_LPG),125,5,BE1834),5,FALSE)))))</f>
        <v/>
      </c>
      <c r="AN1834" s="461" t="str">
        <f t="shared" si="1034"/>
        <v/>
      </c>
      <c r="AO1834" s="462" t="str">
        <f t="shared" si="1035"/>
        <v/>
      </c>
      <c r="AP1834" s="463" t="str">
        <f t="shared" si="1036"/>
        <v/>
      </c>
      <c r="AQ1834" s="464"/>
      <c r="AR1834" s="619"/>
      <c r="AS1834" s="465" t="str">
        <f t="shared" si="1044"/>
        <v/>
      </c>
      <c r="AT1834" s="465" t="str">
        <f t="shared" si="1045"/>
        <v/>
      </c>
      <c r="AU1834" s="466" t="str">
        <f t="shared" si="1046"/>
        <v/>
      </c>
      <c r="AV1834" s="467" t="str">
        <f t="shared" si="1047"/>
        <v/>
      </c>
      <c r="AW1834" s="467" t="str">
        <f t="shared" si="1048"/>
        <v/>
      </c>
      <c r="AX1834" s="467" t="str">
        <f t="shared" si="1049"/>
        <v/>
      </c>
      <c r="AY1834" s="467" t="str">
        <f t="shared" si="1050"/>
        <v/>
      </c>
      <c r="AZ1834" s="467" t="str">
        <f t="shared" si="1051"/>
        <v/>
      </c>
      <c r="BA1834" s="468" t="str">
        <f>IF(AS1834="","",IF(OR(AU1834="",AU1834="-"),"－",IF(OR(AZ1834=8,AZ1834=9),"",IF(OR(AW1834=3,AW1834=4,AW1834=5,AW1834=6),VLOOKUP(AU1834,INDEX((係数_バス貨物_ガソリン,係数_バス貨物_CNG,係数_バス貨物_軽油,係数_バス貨物_メタノール,係数_バス貨物_LPG),MATCH(AY1834,【参考】排出係数!$AI$4:$AI$671,1),1,BE1834):INDEX((係数_バス貨物_ガソリン,係数_バス貨物_CNG,係数_バス貨物_軽油,係数_バス貨物_メタノール,係数_バス貨物_LPG),MATCH(AY1834+1,【参考】排出係数!$AI$4:$AI$671,1)-1,5,BE1834),2,FALSE),IF(OR(AW1834=1,AW1834=2),VLOOKUP(AU1834,INDEX((係数_乗用_ガソリン,係数_乗用_CNG,係数_乗用_軽油,係数_乗用_メタノール,係数_乗用_LPG),1,1,BE1834):INDEX((係数_乗用_ガソリン,係数_乗用_CNG,係数_乗用_軽油,係数_乗用_メタノール,係数_乗用_LPG),125,5,BE1834),2,FALSE))))))</f>
        <v/>
      </c>
      <c r="BB1834" s="468" t="str">
        <f>IF(T1834="","",IF(OR(AU1834="",AU1834="-"),"－",IF(OR(AZ1834=8,AZ1834=9),"",IF(OR(AW1834=3,AW1834=4,AW1834=5,AW1834=6),VLOOKUP(AU1834,INDEX((係数_バス貨物_ガソリン,係数_バス貨物_CNG,係数_バス貨物_軽油,係数_バス貨物_メタノール,係数_バス貨物_LPG),MATCH(AY1834,【参考】排出係数!$AI$4:$AI$671,1),1,BE1834):INDEX((係数_バス貨物_ガソリン,係数_バス貨物_CNG,係数_バス貨物_軽油,係数_バス貨物_メタノール,係数_バス貨物_LPG),MATCH(AY1834+1,【参考】排出係数!$AI$4:$AI$671,1)-1,5,BE1834),3,FALSE),IF(OR(AW1834=1,AW1834=2),VLOOKUP(AU1834,INDEX((係数_乗用_ガソリン,係数_乗用_CNG,係数_乗用_軽油,係数_乗用_メタノール,係数_乗用_LPG),1,1,BE1834):INDEX((係数_乗用_ガソリン,係数_乗用_CNG,係数_乗用_軽油,係数_乗用_メタノール,係数_乗用_LPG),125,5,BE1834),3,FALSE))))))</f>
        <v/>
      </c>
      <c r="BC1834" s="467" t="str">
        <f t="shared" si="1052"/>
        <v/>
      </c>
      <c r="BD1834" s="567" t="str">
        <f t="shared" si="1053"/>
        <v/>
      </c>
      <c r="BE1834" s="467" t="str">
        <f t="shared" si="1054"/>
        <v/>
      </c>
      <c r="BF1834" s="469" t="str">
        <f t="shared" ca="1" si="1055"/>
        <v/>
      </c>
      <c r="BG1834" s="469" t="str">
        <f t="shared" ca="1" si="1056"/>
        <v/>
      </c>
      <c r="BH1834" s="467" t="str">
        <f t="shared" si="1057"/>
        <v/>
      </c>
      <c r="BI1834" s="467" t="str">
        <f t="shared" ca="1" si="1058"/>
        <v/>
      </c>
      <c r="BJ1834" s="469" t="str">
        <f t="shared" si="1059"/>
        <v/>
      </c>
      <c r="BK1834" s="470" t="str">
        <f t="shared" si="1043"/>
        <v/>
      </c>
      <c r="BL1834" s="775" t="str">
        <f t="shared" si="1060"/>
        <v/>
      </c>
      <c r="BM1834" s="775" t="str">
        <f t="shared" si="1061"/>
        <v/>
      </c>
    </row>
    <row r="1835" spans="1:65">
      <c r="A1835" s="473">
        <v>1779</v>
      </c>
      <c r="B1835" s="132"/>
      <c r="C1835" s="332"/>
      <c r="D1835" s="333"/>
      <c r="E1835" s="333"/>
      <c r="F1835" s="334"/>
      <c r="G1835" s="337"/>
      <c r="H1835" s="131"/>
      <c r="I1835" s="337"/>
      <c r="J1835" s="131"/>
      <c r="K1835" s="458" t="str">
        <f t="shared" si="1024"/>
        <v/>
      </c>
      <c r="L1835" s="458">
        <f t="shared" si="1025"/>
        <v>0</v>
      </c>
      <c r="M1835" s="458">
        <f t="shared" si="1026"/>
        <v>0</v>
      </c>
      <c r="N1835" s="459" t="str">
        <f t="shared" si="1037"/>
        <v/>
      </c>
      <c r="O1835" s="459" t="str">
        <f t="shared" si="1038"/>
        <v/>
      </c>
      <c r="P1835" s="459" t="str">
        <f t="shared" si="1039"/>
        <v/>
      </c>
      <c r="Q1835" s="459" t="str">
        <f t="shared" si="1040"/>
        <v/>
      </c>
      <c r="R1835" s="459" t="str">
        <f t="shared" si="1041"/>
        <v/>
      </c>
      <c r="S1835" s="459" t="str">
        <f t="shared" si="1042"/>
        <v/>
      </c>
      <c r="T1835" s="566" t="str">
        <f t="shared" si="1027"/>
        <v/>
      </c>
      <c r="U1835" s="702"/>
      <c r="V1835" s="132"/>
      <c r="W1835" s="133"/>
      <c r="X1835" s="134"/>
      <c r="Y1835" s="135"/>
      <c r="Z1835" s="137"/>
      <c r="AA1835" s="136"/>
      <c r="AB1835" s="566" t="str">
        <f t="shared" si="1028"/>
        <v/>
      </c>
      <c r="AC1835" s="568" t="str">
        <f t="shared" si="1029"/>
        <v/>
      </c>
      <c r="AD1835" s="137"/>
      <c r="AE1835" s="137"/>
      <c r="AF1835" s="138"/>
      <c r="AG1835" s="138"/>
      <c r="AH1835" s="592" t="str">
        <f t="shared" si="1030"/>
        <v/>
      </c>
      <c r="AI1835" s="592" t="str">
        <f t="shared" si="1031"/>
        <v/>
      </c>
      <c r="AJ1835" s="592" t="str">
        <f t="shared" si="1032"/>
        <v/>
      </c>
      <c r="AK1835" s="460" t="str">
        <f>IF(AU1835="","",IF(OR(AZ1835=8,AZ1835=9),0,IF(OR(AW1835=3,AW1835=4,AW1835=5,AW1835=6),IF(LEFT(BF1835,1)="1",INDEX(係数_NOX・PM低減,MATCH(AY1835,【参考】排出係数!$AI$801:$AI$804,1),1),VLOOKUP(AU1835,INDEX((係数_バス貨物_ガソリン,係数_バス貨物_CNG,係数_バス貨物_軽油,係数_バス貨物_メタノール,係数_バス貨物_LPG),MATCH(AY1835,【参考】排出係数!$AI$4:$AI$671,1),1,BE1835):INDEX((係数_バス貨物_ガソリン,係数_バス貨物_CNG,係数_バス貨物_軽油,係数_バス貨物_メタノール,係数_バス貨物_LPG),MATCH(AY1835+1,【参考】排出係数!$AI$4:$AI$671,1)-1,5,BE1835),4,FALSE)),IF(AND(BE1835=3,LEFT(BF1835,1)="1"),0.48,VLOOKUP(AU1835,INDEX((係数_乗用_ガソリン,係数_乗用_CNG,係数_乗用_軽油,係数_乗用_メタノール,係数_乗用_LPG),1,1,BE1835):INDEX((係数_乗用_ガソリン,係数_乗用_CNG,係数_乗用_軽油,係数_乗用_メタノール,係数_乗用_LPG),125,5,BE1835),4,FALSE)))))</f>
        <v/>
      </c>
      <c r="AL1835" s="461" t="str">
        <f t="shared" si="1033"/>
        <v/>
      </c>
      <c r="AM1835" s="460" t="str">
        <f>IF(AU1835="","",IF(OR(AZ1835=8,AZ1835=9),0,IF(OR(AW1835=3,AW1835=4,AW1835=5,AW1835=6),IF(LEFT(BH1835,1)="1",INDEX(係数_PM低減,MATCH(AY1835,【参考】排出係数!$AI$801:$AI$804,1),MATCH(BI1835,【参考】排出係数!$AL$798:$AO$798,1)),VLOOKUP(AU1835,INDEX((係数_バス貨物_ガソリン,係数_バス貨物_CNG,係数_バス貨物_軽油,係数_バス貨物_メタノール,係数_バス貨物_LPG),MATCH(AY1835,【参考】排出係数!$AI$4:$AI$671,1),1,BE1835):INDEX((係数_バス貨物_ガソリン,係数_バス貨物_CNG,係数_バス貨物_軽油,係数_バス貨物_メタノール,係数_バス貨物_LPG),MATCH(AY1835+1,【参考】排出係数!$AI$4:$AI$671,1)-1,5,BE1835),5,FALSE)),IF(AND(BE1835=3,LEFT(BF1835,1)="1"),0.055,VLOOKUP(AU1835,INDEX((係数_乗用_ガソリン,係数_乗用_CNG,係数_乗用_軽油,係数_乗用_メタノール,係数_乗用_LPG),1,1,BE1835):INDEX((係数_乗用_ガソリン,係数_乗用_CNG,係数_乗用_軽油,係数_乗用_メタノール,係数_乗用_LPG),125,5,BE1835),5,FALSE)))))</f>
        <v/>
      </c>
      <c r="AN1835" s="461" t="str">
        <f t="shared" si="1034"/>
        <v/>
      </c>
      <c r="AO1835" s="462" t="str">
        <f t="shared" si="1035"/>
        <v/>
      </c>
      <c r="AP1835" s="463" t="str">
        <f t="shared" si="1036"/>
        <v/>
      </c>
      <c r="AQ1835" s="464"/>
      <c r="AR1835" s="619"/>
      <c r="AS1835" s="465" t="str">
        <f t="shared" si="1044"/>
        <v/>
      </c>
      <c r="AT1835" s="465" t="str">
        <f t="shared" si="1045"/>
        <v/>
      </c>
      <c r="AU1835" s="466" t="str">
        <f t="shared" si="1046"/>
        <v/>
      </c>
      <c r="AV1835" s="467" t="str">
        <f t="shared" si="1047"/>
        <v/>
      </c>
      <c r="AW1835" s="467" t="str">
        <f t="shared" si="1048"/>
        <v/>
      </c>
      <c r="AX1835" s="467" t="str">
        <f t="shared" si="1049"/>
        <v/>
      </c>
      <c r="AY1835" s="467" t="str">
        <f t="shared" si="1050"/>
        <v/>
      </c>
      <c r="AZ1835" s="467" t="str">
        <f t="shared" si="1051"/>
        <v/>
      </c>
      <c r="BA1835" s="468" t="str">
        <f>IF(AS1835="","",IF(OR(AU1835="",AU1835="-"),"－",IF(OR(AZ1835=8,AZ1835=9),"",IF(OR(AW1835=3,AW1835=4,AW1835=5,AW1835=6),VLOOKUP(AU1835,INDEX((係数_バス貨物_ガソリン,係数_バス貨物_CNG,係数_バス貨物_軽油,係数_バス貨物_メタノール,係数_バス貨物_LPG),MATCH(AY1835,【参考】排出係数!$AI$4:$AI$671,1),1,BE1835):INDEX((係数_バス貨物_ガソリン,係数_バス貨物_CNG,係数_バス貨物_軽油,係数_バス貨物_メタノール,係数_バス貨物_LPG),MATCH(AY1835+1,【参考】排出係数!$AI$4:$AI$671,1)-1,5,BE1835),2,FALSE),IF(OR(AW1835=1,AW1835=2),VLOOKUP(AU1835,INDEX((係数_乗用_ガソリン,係数_乗用_CNG,係数_乗用_軽油,係数_乗用_メタノール,係数_乗用_LPG),1,1,BE1835):INDEX((係数_乗用_ガソリン,係数_乗用_CNG,係数_乗用_軽油,係数_乗用_メタノール,係数_乗用_LPG),125,5,BE1835),2,FALSE))))))</f>
        <v/>
      </c>
      <c r="BB1835" s="468" t="str">
        <f>IF(T1835="","",IF(OR(AU1835="",AU1835="-"),"－",IF(OR(AZ1835=8,AZ1835=9),"",IF(OR(AW1835=3,AW1835=4,AW1835=5,AW1835=6),VLOOKUP(AU1835,INDEX((係数_バス貨物_ガソリン,係数_バス貨物_CNG,係数_バス貨物_軽油,係数_バス貨物_メタノール,係数_バス貨物_LPG),MATCH(AY1835,【参考】排出係数!$AI$4:$AI$671,1),1,BE1835):INDEX((係数_バス貨物_ガソリン,係数_バス貨物_CNG,係数_バス貨物_軽油,係数_バス貨物_メタノール,係数_バス貨物_LPG),MATCH(AY1835+1,【参考】排出係数!$AI$4:$AI$671,1)-1,5,BE1835),3,FALSE),IF(OR(AW1835=1,AW1835=2),VLOOKUP(AU1835,INDEX((係数_乗用_ガソリン,係数_乗用_CNG,係数_乗用_軽油,係数_乗用_メタノール,係数_乗用_LPG),1,1,BE1835):INDEX((係数_乗用_ガソリン,係数_乗用_CNG,係数_乗用_軽油,係数_乗用_メタノール,係数_乗用_LPG),125,5,BE1835),3,FALSE))))))</f>
        <v/>
      </c>
      <c r="BC1835" s="467" t="str">
        <f t="shared" si="1052"/>
        <v/>
      </c>
      <c r="BD1835" s="567" t="str">
        <f t="shared" si="1053"/>
        <v/>
      </c>
      <c r="BE1835" s="467" t="str">
        <f t="shared" si="1054"/>
        <v/>
      </c>
      <c r="BF1835" s="469" t="str">
        <f t="shared" ca="1" si="1055"/>
        <v/>
      </c>
      <c r="BG1835" s="469" t="str">
        <f t="shared" ca="1" si="1056"/>
        <v/>
      </c>
      <c r="BH1835" s="467" t="str">
        <f t="shared" si="1057"/>
        <v/>
      </c>
      <c r="BI1835" s="467" t="str">
        <f t="shared" ca="1" si="1058"/>
        <v/>
      </c>
      <c r="BJ1835" s="469" t="str">
        <f t="shared" si="1059"/>
        <v/>
      </c>
      <c r="BK1835" s="470" t="str">
        <f t="shared" si="1043"/>
        <v/>
      </c>
      <c r="BL1835" s="775" t="str">
        <f t="shared" si="1060"/>
        <v/>
      </c>
      <c r="BM1835" s="775" t="str">
        <f t="shared" si="1061"/>
        <v/>
      </c>
    </row>
    <row r="1836" spans="1:65">
      <c r="A1836" s="473">
        <v>1780</v>
      </c>
      <c r="B1836" s="132"/>
      <c r="C1836" s="332"/>
      <c r="D1836" s="333"/>
      <c r="E1836" s="333"/>
      <c r="F1836" s="334"/>
      <c r="G1836" s="337"/>
      <c r="H1836" s="131"/>
      <c r="I1836" s="337"/>
      <c r="J1836" s="131"/>
      <c r="K1836" s="458" t="str">
        <f t="shared" ref="K1836:K1899" si="1062">C1836&amp;D1836&amp;E1836&amp;F1836</f>
        <v/>
      </c>
      <c r="L1836" s="458">
        <f t="shared" ref="L1836:L1899" si="1063">IF(G1836&gt;0,DATE((G1836),(H1836+1),0),0)</f>
        <v>0</v>
      </c>
      <c r="M1836" s="458">
        <f t="shared" ref="M1836:M1899" si="1064">IF(I1836&gt;0,DATE((I1836),(J1836+1),0),0)</f>
        <v>0</v>
      </c>
      <c r="N1836" s="459" t="str">
        <f t="shared" si="1037"/>
        <v/>
      </c>
      <c r="O1836" s="459" t="str">
        <f t="shared" si="1038"/>
        <v/>
      </c>
      <c r="P1836" s="459" t="str">
        <f t="shared" si="1039"/>
        <v/>
      </c>
      <c r="Q1836" s="459" t="str">
        <f t="shared" si="1040"/>
        <v/>
      </c>
      <c r="R1836" s="459" t="str">
        <f t="shared" si="1041"/>
        <v/>
      </c>
      <c r="S1836" s="459" t="str">
        <f t="shared" si="1042"/>
        <v/>
      </c>
      <c r="T1836" s="566" t="str">
        <f t="shared" ref="T1836:T1899" si="1065">N1836&amp;O1836&amp;P1836&amp;Q1836&amp;R1836&amp;S1836</f>
        <v/>
      </c>
      <c r="U1836" s="702"/>
      <c r="V1836" s="132"/>
      <c r="W1836" s="133"/>
      <c r="X1836" s="134"/>
      <c r="Y1836" s="135"/>
      <c r="Z1836" s="137"/>
      <c r="AA1836" s="136"/>
      <c r="AB1836" s="566" t="str">
        <f t="shared" ref="AB1836:AB1899" si="1066">IF(AS1836="","",IF(AZ1836=1,VLOOKUP(BA1836,低公害車判別,2,FALSE),IF(AZ1836=3,VLOOKUP(BA1836,低公害車判別,2,FALSE),IF(AZ1836=4,VLOOKUP(BB1836,低公害車判別,2,FALSE),"低公害車"))))</f>
        <v/>
      </c>
      <c r="AC1836" s="568" t="str">
        <f t="shared" ref="AC1836:AC1899" si="1067">IF(AS1836="","",IF((BA1836="")+(BA1836="－"),IF((BB1836="")+(BB1836=0),"－",BB1836),IF((BA1836="PM☆☆☆")+(BA1836="☆及びPM☆☆☆")+(BA1836="☆☆及びPM☆☆☆")+(BA1836="☆☆☆及びPM☆☆☆"),"PM☆☆☆",IF((BA1836="PM☆☆☆☆")+(BA1836="☆及びPM☆☆☆☆")+(BA1836="☆☆及びPM☆☆☆☆")+(BA1836="☆☆☆及びPM☆☆☆☆"),"PM☆☆☆☆",IF((BA1836="新☆")+(BA1836="新NOx☆")+(BA1836="新PM☆"),"新☆（新長期）",BA1836)))))</f>
        <v/>
      </c>
      <c r="AD1836" s="137"/>
      <c r="AE1836" s="137"/>
      <c r="AF1836" s="138"/>
      <c r="AG1836" s="138"/>
      <c r="AH1836" s="592" t="str">
        <f t="shared" ref="AH1836:AH1899" si="1068">IF(C1836="","",IF(LEFT(C1836,2)="横浜","○",""))</f>
        <v/>
      </c>
      <c r="AI1836" s="592" t="str">
        <f t="shared" ref="AI1836:AI1899" si="1069">IF(C1836="","",IF(LEFT(C1836,2)="川崎","○",""))</f>
        <v/>
      </c>
      <c r="AJ1836" s="592" t="str">
        <f t="shared" ref="AJ1836:AJ1899" si="1070">IF(C1836="","",IF(OR(AH1836="○",AI1836="○"),"","○"))</f>
        <v/>
      </c>
      <c r="AK1836" s="460" t="str">
        <f>IF(AU1836="","",IF(OR(AZ1836=8,AZ1836=9),0,IF(OR(AW1836=3,AW1836=4,AW1836=5,AW1836=6),IF(LEFT(BF1836,1)="1",INDEX(係数_NOX・PM低減,MATCH(AY1836,【参考】排出係数!$AI$801:$AI$804,1),1),VLOOKUP(AU1836,INDEX((係数_バス貨物_ガソリン,係数_バス貨物_CNG,係数_バス貨物_軽油,係数_バス貨物_メタノール,係数_バス貨物_LPG),MATCH(AY1836,【参考】排出係数!$AI$4:$AI$671,1),1,BE1836):INDEX((係数_バス貨物_ガソリン,係数_バス貨物_CNG,係数_バス貨物_軽油,係数_バス貨物_メタノール,係数_バス貨物_LPG),MATCH(AY1836+1,【参考】排出係数!$AI$4:$AI$671,1)-1,5,BE1836),4,FALSE)),IF(AND(BE1836=3,LEFT(BF1836,1)="1"),0.48,VLOOKUP(AU1836,INDEX((係数_乗用_ガソリン,係数_乗用_CNG,係数_乗用_軽油,係数_乗用_メタノール,係数_乗用_LPG),1,1,BE1836):INDEX((係数_乗用_ガソリン,係数_乗用_CNG,係数_乗用_軽油,係数_乗用_メタノール,係数_乗用_LPG),125,5,BE1836),4,FALSE)))))</f>
        <v/>
      </c>
      <c r="AL1836" s="461" t="str">
        <f t="shared" ref="AL1836:AL1899" si="1071">IF(AU1836="","",IF(Z1836&lt;=3.5*1000,AD1836*AK1836/1000,IF(Z1836&gt;3.5*1000,AD1836*Z1836*AK1836/1000/1000)))</f>
        <v/>
      </c>
      <c r="AM1836" s="460" t="str">
        <f>IF(AU1836="","",IF(OR(AZ1836=8,AZ1836=9),0,IF(OR(AW1836=3,AW1836=4,AW1836=5,AW1836=6),IF(LEFT(BH1836,1)="1",INDEX(係数_PM低減,MATCH(AY1836,【参考】排出係数!$AI$801:$AI$804,1),MATCH(BI1836,【参考】排出係数!$AL$798:$AO$798,1)),VLOOKUP(AU1836,INDEX((係数_バス貨物_ガソリン,係数_バス貨物_CNG,係数_バス貨物_軽油,係数_バス貨物_メタノール,係数_バス貨物_LPG),MATCH(AY1836,【参考】排出係数!$AI$4:$AI$671,1),1,BE1836):INDEX((係数_バス貨物_ガソリン,係数_バス貨物_CNG,係数_バス貨物_軽油,係数_バス貨物_メタノール,係数_バス貨物_LPG),MATCH(AY1836+1,【参考】排出係数!$AI$4:$AI$671,1)-1,5,BE1836),5,FALSE)),IF(AND(BE1836=3,LEFT(BF1836,1)="1"),0.055,VLOOKUP(AU1836,INDEX((係数_乗用_ガソリン,係数_乗用_CNG,係数_乗用_軽油,係数_乗用_メタノール,係数_乗用_LPG),1,1,BE1836):INDEX((係数_乗用_ガソリン,係数_乗用_CNG,係数_乗用_軽油,係数_乗用_メタノール,係数_乗用_LPG),125,5,BE1836),5,FALSE)))))</f>
        <v/>
      </c>
      <c r="AN1836" s="461" t="str">
        <f t="shared" ref="AN1836:AN1899" si="1072">IF(AU1836="","",IF(Z1836&lt;=3.5*1000,AD1836*AM1836/1000,IF(Z1836&gt;3.5*1000,AD1836*Z1836*AM1836/1000/1000)))</f>
        <v/>
      </c>
      <c r="AO1836" s="462" t="str">
        <f t="shared" ref="AO1836:AO1899" si="1073">IF(AU1836="","",IF(Z1836&lt;500,"車両重量",IF(OR(AZ1836=8,AZ1836=9),0,IF(OR(AZ1836=1,AZ1836=2,AZ1836=11),2.32,IF(OR(AZ1836=4,AZ1836=5,AZ1836=11),2.58,IF(AZ1836=3,3,IF(AZ1836=6,2.23,IF(AZ1836=7,1.37,0))))))))</f>
        <v/>
      </c>
      <c r="AP1836" s="463" t="str">
        <f t="shared" ref="AP1836:AP1899" si="1074">IF(AU1836="","",AE1836*AO1836/1000)</f>
        <v/>
      </c>
      <c r="AQ1836" s="464"/>
      <c r="AR1836" s="619"/>
      <c r="AS1836" s="465" t="str">
        <f t="shared" si="1044"/>
        <v/>
      </c>
      <c r="AT1836" s="465" t="str">
        <f t="shared" si="1045"/>
        <v/>
      </c>
      <c r="AU1836" s="466" t="str">
        <f t="shared" si="1046"/>
        <v/>
      </c>
      <c r="AV1836" s="467" t="str">
        <f t="shared" si="1047"/>
        <v/>
      </c>
      <c r="AW1836" s="467" t="str">
        <f t="shared" si="1048"/>
        <v/>
      </c>
      <c r="AX1836" s="467" t="str">
        <f t="shared" si="1049"/>
        <v/>
      </c>
      <c r="AY1836" s="467" t="str">
        <f t="shared" si="1050"/>
        <v/>
      </c>
      <c r="AZ1836" s="467" t="str">
        <f t="shared" si="1051"/>
        <v/>
      </c>
      <c r="BA1836" s="468" t="str">
        <f>IF(AS1836="","",IF(OR(AU1836="",AU1836="-"),"－",IF(OR(AZ1836=8,AZ1836=9),"",IF(OR(AW1836=3,AW1836=4,AW1836=5,AW1836=6),VLOOKUP(AU1836,INDEX((係数_バス貨物_ガソリン,係数_バス貨物_CNG,係数_バス貨物_軽油,係数_バス貨物_メタノール,係数_バス貨物_LPG),MATCH(AY1836,【参考】排出係数!$AI$4:$AI$671,1),1,BE1836):INDEX((係数_バス貨物_ガソリン,係数_バス貨物_CNG,係数_バス貨物_軽油,係数_バス貨物_メタノール,係数_バス貨物_LPG),MATCH(AY1836+1,【参考】排出係数!$AI$4:$AI$671,1)-1,5,BE1836),2,FALSE),IF(OR(AW1836=1,AW1836=2),VLOOKUP(AU1836,INDEX((係数_乗用_ガソリン,係数_乗用_CNG,係数_乗用_軽油,係数_乗用_メタノール,係数_乗用_LPG),1,1,BE1836):INDEX((係数_乗用_ガソリン,係数_乗用_CNG,係数_乗用_軽油,係数_乗用_メタノール,係数_乗用_LPG),125,5,BE1836),2,FALSE))))))</f>
        <v/>
      </c>
      <c r="BB1836" s="468" t="str">
        <f>IF(T1836="","",IF(OR(AU1836="",AU1836="-"),"－",IF(OR(AZ1836=8,AZ1836=9),"",IF(OR(AW1836=3,AW1836=4,AW1836=5,AW1836=6),VLOOKUP(AU1836,INDEX((係数_バス貨物_ガソリン,係数_バス貨物_CNG,係数_バス貨物_軽油,係数_バス貨物_メタノール,係数_バス貨物_LPG),MATCH(AY1836,【参考】排出係数!$AI$4:$AI$671,1),1,BE1836):INDEX((係数_バス貨物_ガソリン,係数_バス貨物_CNG,係数_バス貨物_軽油,係数_バス貨物_メタノール,係数_バス貨物_LPG),MATCH(AY1836+1,【参考】排出係数!$AI$4:$AI$671,1)-1,5,BE1836),3,FALSE),IF(OR(AW1836=1,AW1836=2),VLOOKUP(AU1836,INDEX((係数_乗用_ガソリン,係数_乗用_CNG,係数_乗用_軽油,係数_乗用_メタノール,係数_乗用_LPG),1,1,BE1836):INDEX((係数_乗用_ガソリン,係数_乗用_CNG,係数_乗用_軽油,係数_乗用_メタノール,係数_乗用_LPG),125,5,BE1836),3,FALSE))))))</f>
        <v/>
      </c>
      <c r="BC1836" s="467" t="str">
        <f t="shared" si="1052"/>
        <v/>
      </c>
      <c r="BD1836" s="567" t="str">
        <f t="shared" si="1053"/>
        <v/>
      </c>
      <c r="BE1836" s="467" t="str">
        <f t="shared" si="1054"/>
        <v/>
      </c>
      <c r="BF1836" s="469" t="str">
        <f t="shared" ca="1" si="1055"/>
        <v/>
      </c>
      <c r="BG1836" s="469" t="str">
        <f t="shared" ca="1" si="1056"/>
        <v/>
      </c>
      <c r="BH1836" s="467" t="str">
        <f t="shared" si="1057"/>
        <v/>
      </c>
      <c r="BI1836" s="467" t="str">
        <f t="shared" ca="1" si="1058"/>
        <v/>
      </c>
      <c r="BJ1836" s="469" t="str">
        <f t="shared" si="1059"/>
        <v/>
      </c>
      <c r="BK1836" s="470" t="str">
        <f t="shared" si="1043"/>
        <v/>
      </c>
      <c r="BL1836" s="775" t="str">
        <f t="shared" si="1060"/>
        <v/>
      </c>
      <c r="BM1836" s="775" t="str">
        <f t="shared" si="1061"/>
        <v/>
      </c>
    </row>
    <row r="1837" spans="1:65">
      <c r="A1837" s="473">
        <v>1781</v>
      </c>
      <c r="B1837" s="132"/>
      <c r="C1837" s="332"/>
      <c r="D1837" s="333"/>
      <c r="E1837" s="333"/>
      <c r="F1837" s="334"/>
      <c r="G1837" s="337"/>
      <c r="H1837" s="131"/>
      <c r="I1837" s="337"/>
      <c r="J1837" s="131"/>
      <c r="K1837" s="458" t="str">
        <f t="shared" si="1062"/>
        <v/>
      </c>
      <c r="L1837" s="458">
        <f t="shared" si="1063"/>
        <v>0</v>
      </c>
      <c r="M1837" s="458">
        <f t="shared" si="1064"/>
        <v>0</v>
      </c>
      <c r="N1837" s="459" t="str">
        <f t="shared" si="1037"/>
        <v/>
      </c>
      <c r="O1837" s="459" t="str">
        <f t="shared" si="1038"/>
        <v/>
      </c>
      <c r="P1837" s="459" t="str">
        <f t="shared" si="1039"/>
        <v/>
      </c>
      <c r="Q1837" s="459" t="str">
        <f t="shared" si="1040"/>
        <v/>
      </c>
      <c r="R1837" s="459" t="str">
        <f t="shared" si="1041"/>
        <v/>
      </c>
      <c r="S1837" s="459" t="str">
        <f t="shared" si="1042"/>
        <v/>
      </c>
      <c r="T1837" s="566" t="str">
        <f t="shared" si="1065"/>
        <v/>
      </c>
      <c r="U1837" s="702"/>
      <c r="V1837" s="132"/>
      <c r="W1837" s="133"/>
      <c r="X1837" s="134"/>
      <c r="Y1837" s="135"/>
      <c r="Z1837" s="137"/>
      <c r="AA1837" s="136"/>
      <c r="AB1837" s="566" t="str">
        <f t="shared" si="1066"/>
        <v/>
      </c>
      <c r="AC1837" s="568" t="str">
        <f t="shared" si="1067"/>
        <v/>
      </c>
      <c r="AD1837" s="137"/>
      <c r="AE1837" s="137"/>
      <c r="AF1837" s="138"/>
      <c r="AG1837" s="138"/>
      <c r="AH1837" s="592" t="str">
        <f t="shared" si="1068"/>
        <v/>
      </c>
      <c r="AI1837" s="592" t="str">
        <f t="shared" si="1069"/>
        <v/>
      </c>
      <c r="AJ1837" s="592" t="str">
        <f t="shared" si="1070"/>
        <v/>
      </c>
      <c r="AK1837" s="460" t="str">
        <f>IF(AU1837="","",IF(OR(AZ1837=8,AZ1837=9),0,IF(OR(AW1837=3,AW1837=4,AW1837=5,AW1837=6),IF(LEFT(BF1837,1)="1",INDEX(係数_NOX・PM低減,MATCH(AY1837,【参考】排出係数!$AI$801:$AI$804,1),1),VLOOKUP(AU1837,INDEX((係数_バス貨物_ガソリン,係数_バス貨物_CNG,係数_バス貨物_軽油,係数_バス貨物_メタノール,係数_バス貨物_LPG),MATCH(AY1837,【参考】排出係数!$AI$4:$AI$671,1),1,BE1837):INDEX((係数_バス貨物_ガソリン,係数_バス貨物_CNG,係数_バス貨物_軽油,係数_バス貨物_メタノール,係数_バス貨物_LPG),MATCH(AY1837+1,【参考】排出係数!$AI$4:$AI$671,1)-1,5,BE1837),4,FALSE)),IF(AND(BE1837=3,LEFT(BF1837,1)="1"),0.48,VLOOKUP(AU1837,INDEX((係数_乗用_ガソリン,係数_乗用_CNG,係数_乗用_軽油,係数_乗用_メタノール,係数_乗用_LPG),1,1,BE1837):INDEX((係数_乗用_ガソリン,係数_乗用_CNG,係数_乗用_軽油,係数_乗用_メタノール,係数_乗用_LPG),125,5,BE1837),4,FALSE)))))</f>
        <v/>
      </c>
      <c r="AL1837" s="461" t="str">
        <f t="shared" si="1071"/>
        <v/>
      </c>
      <c r="AM1837" s="460" t="str">
        <f>IF(AU1837="","",IF(OR(AZ1837=8,AZ1837=9),0,IF(OR(AW1837=3,AW1837=4,AW1837=5,AW1837=6),IF(LEFT(BH1837,1)="1",INDEX(係数_PM低減,MATCH(AY1837,【参考】排出係数!$AI$801:$AI$804,1),MATCH(BI1837,【参考】排出係数!$AL$798:$AO$798,1)),VLOOKUP(AU1837,INDEX((係数_バス貨物_ガソリン,係数_バス貨物_CNG,係数_バス貨物_軽油,係数_バス貨物_メタノール,係数_バス貨物_LPG),MATCH(AY1837,【参考】排出係数!$AI$4:$AI$671,1),1,BE1837):INDEX((係数_バス貨物_ガソリン,係数_バス貨物_CNG,係数_バス貨物_軽油,係数_バス貨物_メタノール,係数_バス貨物_LPG),MATCH(AY1837+1,【参考】排出係数!$AI$4:$AI$671,1)-1,5,BE1837),5,FALSE)),IF(AND(BE1837=3,LEFT(BF1837,1)="1"),0.055,VLOOKUP(AU1837,INDEX((係数_乗用_ガソリン,係数_乗用_CNG,係数_乗用_軽油,係数_乗用_メタノール,係数_乗用_LPG),1,1,BE1837):INDEX((係数_乗用_ガソリン,係数_乗用_CNG,係数_乗用_軽油,係数_乗用_メタノール,係数_乗用_LPG),125,5,BE1837),5,FALSE)))))</f>
        <v/>
      </c>
      <c r="AN1837" s="461" t="str">
        <f t="shared" si="1072"/>
        <v/>
      </c>
      <c r="AO1837" s="462" t="str">
        <f t="shared" si="1073"/>
        <v/>
      </c>
      <c r="AP1837" s="463" t="str">
        <f t="shared" si="1074"/>
        <v/>
      </c>
      <c r="AQ1837" s="464"/>
      <c r="AR1837" s="619"/>
      <c r="AS1837" s="465" t="str">
        <f t="shared" si="1044"/>
        <v/>
      </c>
      <c r="AT1837" s="465" t="str">
        <f t="shared" si="1045"/>
        <v/>
      </c>
      <c r="AU1837" s="466" t="str">
        <f t="shared" si="1046"/>
        <v/>
      </c>
      <c r="AV1837" s="467" t="str">
        <f t="shared" si="1047"/>
        <v/>
      </c>
      <c r="AW1837" s="467" t="str">
        <f t="shared" si="1048"/>
        <v/>
      </c>
      <c r="AX1837" s="467" t="str">
        <f t="shared" si="1049"/>
        <v/>
      </c>
      <c r="AY1837" s="467" t="str">
        <f t="shared" si="1050"/>
        <v/>
      </c>
      <c r="AZ1837" s="467" t="str">
        <f t="shared" si="1051"/>
        <v/>
      </c>
      <c r="BA1837" s="468" t="str">
        <f>IF(AS1837="","",IF(OR(AU1837="",AU1837="-"),"－",IF(OR(AZ1837=8,AZ1837=9),"",IF(OR(AW1837=3,AW1837=4,AW1837=5,AW1837=6),VLOOKUP(AU1837,INDEX((係数_バス貨物_ガソリン,係数_バス貨物_CNG,係数_バス貨物_軽油,係数_バス貨物_メタノール,係数_バス貨物_LPG),MATCH(AY1837,【参考】排出係数!$AI$4:$AI$671,1),1,BE1837):INDEX((係数_バス貨物_ガソリン,係数_バス貨物_CNG,係数_バス貨物_軽油,係数_バス貨物_メタノール,係数_バス貨物_LPG),MATCH(AY1837+1,【参考】排出係数!$AI$4:$AI$671,1)-1,5,BE1837),2,FALSE),IF(OR(AW1837=1,AW1837=2),VLOOKUP(AU1837,INDEX((係数_乗用_ガソリン,係数_乗用_CNG,係数_乗用_軽油,係数_乗用_メタノール,係数_乗用_LPG),1,1,BE1837):INDEX((係数_乗用_ガソリン,係数_乗用_CNG,係数_乗用_軽油,係数_乗用_メタノール,係数_乗用_LPG),125,5,BE1837),2,FALSE))))))</f>
        <v/>
      </c>
      <c r="BB1837" s="468" t="str">
        <f>IF(T1837="","",IF(OR(AU1837="",AU1837="-"),"－",IF(OR(AZ1837=8,AZ1837=9),"",IF(OR(AW1837=3,AW1837=4,AW1837=5,AW1837=6),VLOOKUP(AU1837,INDEX((係数_バス貨物_ガソリン,係数_バス貨物_CNG,係数_バス貨物_軽油,係数_バス貨物_メタノール,係数_バス貨物_LPG),MATCH(AY1837,【参考】排出係数!$AI$4:$AI$671,1),1,BE1837):INDEX((係数_バス貨物_ガソリン,係数_バス貨物_CNG,係数_バス貨物_軽油,係数_バス貨物_メタノール,係数_バス貨物_LPG),MATCH(AY1837+1,【参考】排出係数!$AI$4:$AI$671,1)-1,5,BE1837),3,FALSE),IF(OR(AW1837=1,AW1837=2),VLOOKUP(AU1837,INDEX((係数_乗用_ガソリン,係数_乗用_CNG,係数_乗用_軽油,係数_乗用_メタノール,係数_乗用_LPG),1,1,BE1837):INDEX((係数_乗用_ガソリン,係数_乗用_CNG,係数_乗用_軽油,係数_乗用_メタノール,係数_乗用_LPG),125,5,BE1837),3,FALSE))))))</f>
        <v/>
      </c>
      <c r="BC1837" s="467" t="str">
        <f t="shared" si="1052"/>
        <v/>
      </c>
      <c r="BD1837" s="567" t="str">
        <f t="shared" si="1053"/>
        <v/>
      </c>
      <c r="BE1837" s="467" t="str">
        <f t="shared" si="1054"/>
        <v/>
      </c>
      <c r="BF1837" s="469" t="str">
        <f t="shared" ca="1" si="1055"/>
        <v/>
      </c>
      <c r="BG1837" s="469" t="str">
        <f t="shared" ca="1" si="1056"/>
        <v/>
      </c>
      <c r="BH1837" s="467" t="str">
        <f t="shared" si="1057"/>
        <v/>
      </c>
      <c r="BI1837" s="467" t="str">
        <f t="shared" ca="1" si="1058"/>
        <v/>
      </c>
      <c r="BJ1837" s="469" t="str">
        <f t="shared" si="1059"/>
        <v/>
      </c>
      <c r="BK1837" s="470" t="str">
        <f t="shared" si="1043"/>
        <v/>
      </c>
      <c r="BL1837" s="775" t="str">
        <f t="shared" si="1060"/>
        <v/>
      </c>
      <c r="BM1837" s="775" t="str">
        <f t="shared" si="1061"/>
        <v/>
      </c>
    </row>
    <row r="1838" spans="1:65">
      <c r="A1838" s="473">
        <v>1782</v>
      </c>
      <c r="B1838" s="132"/>
      <c r="C1838" s="332"/>
      <c r="D1838" s="333"/>
      <c r="E1838" s="333"/>
      <c r="F1838" s="334"/>
      <c r="G1838" s="337"/>
      <c r="H1838" s="131"/>
      <c r="I1838" s="337"/>
      <c r="J1838" s="131"/>
      <c r="K1838" s="458" t="str">
        <f t="shared" si="1062"/>
        <v/>
      </c>
      <c r="L1838" s="458">
        <f t="shared" si="1063"/>
        <v>0</v>
      </c>
      <c r="M1838" s="458">
        <f t="shared" si="1064"/>
        <v>0</v>
      </c>
      <c r="N1838" s="459" t="str">
        <f t="shared" si="1037"/>
        <v/>
      </c>
      <c r="O1838" s="459" t="str">
        <f t="shared" si="1038"/>
        <v/>
      </c>
      <c r="P1838" s="459" t="str">
        <f t="shared" si="1039"/>
        <v/>
      </c>
      <c r="Q1838" s="459" t="str">
        <f t="shared" si="1040"/>
        <v/>
      </c>
      <c r="R1838" s="459" t="str">
        <f t="shared" si="1041"/>
        <v/>
      </c>
      <c r="S1838" s="459" t="str">
        <f t="shared" si="1042"/>
        <v/>
      </c>
      <c r="T1838" s="566" t="str">
        <f t="shared" si="1065"/>
        <v/>
      </c>
      <c r="U1838" s="702"/>
      <c r="V1838" s="132"/>
      <c r="W1838" s="133"/>
      <c r="X1838" s="134"/>
      <c r="Y1838" s="135"/>
      <c r="Z1838" s="137"/>
      <c r="AA1838" s="136"/>
      <c r="AB1838" s="566" t="str">
        <f t="shared" si="1066"/>
        <v/>
      </c>
      <c r="AC1838" s="568" t="str">
        <f t="shared" si="1067"/>
        <v/>
      </c>
      <c r="AD1838" s="137"/>
      <c r="AE1838" s="137"/>
      <c r="AF1838" s="138"/>
      <c r="AG1838" s="138"/>
      <c r="AH1838" s="592" t="str">
        <f t="shared" si="1068"/>
        <v/>
      </c>
      <c r="AI1838" s="592" t="str">
        <f t="shared" si="1069"/>
        <v/>
      </c>
      <c r="AJ1838" s="592" t="str">
        <f t="shared" si="1070"/>
        <v/>
      </c>
      <c r="AK1838" s="460" t="str">
        <f>IF(AU1838="","",IF(OR(AZ1838=8,AZ1838=9),0,IF(OR(AW1838=3,AW1838=4,AW1838=5,AW1838=6),IF(LEFT(BF1838,1)="1",INDEX(係数_NOX・PM低減,MATCH(AY1838,【参考】排出係数!$AI$801:$AI$804,1),1),VLOOKUP(AU1838,INDEX((係数_バス貨物_ガソリン,係数_バス貨物_CNG,係数_バス貨物_軽油,係数_バス貨物_メタノール,係数_バス貨物_LPG),MATCH(AY1838,【参考】排出係数!$AI$4:$AI$671,1),1,BE1838):INDEX((係数_バス貨物_ガソリン,係数_バス貨物_CNG,係数_バス貨物_軽油,係数_バス貨物_メタノール,係数_バス貨物_LPG),MATCH(AY1838+1,【参考】排出係数!$AI$4:$AI$671,1)-1,5,BE1838),4,FALSE)),IF(AND(BE1838=3,LEFT(BF1838,1)="1"),0.48,VLOOKUP(AU1838,INDEX((係数_乗用_ガソリン,係数_乗用_CNG,係数_乗用_軽油,係数_乗用_メタノール,係数_乗用_LPG),1,1,BE1838):INDEX((係数_乗用_ガソリン,係数_乗用_CNG,係数_乗用_軽油,係数_乗用_メタノール,係数_乗用_LPG),125,5,BE1838),4,FALSE)))))</f>
        <v/>
      </c>
      <c r="AL1838" s="461" t="str">
        <f t="shared" si="1071"/>
        <v/>
      </c>
      <c r="AM1838" s="460" t="str">
        <f>IF(AU1838="","",IF(OR(AZ1838=8,AZ1838=9),0,IF(OR(AW1838=3,AW1838=4,AW1838=5,AW1838=6),IF(LEFT(BH1838,1)="1",INDEX(係数_PM低減,MATCH(AY1838,【参考】排出係数!$AI$801:$AI$804,1),MATCH(BI1838,【参考】排出係数!$AL$798:$AO$798,1)),VLOOKUP(AU1838,INDEX((係数_バス貨物_ガソリン,係数_バス貨物_CNG,係数_バス貨物_軽油,係数_バス貨物_メタノール,係数_バス貨物_LPG),MATCH(AY1838,【参考】排出係数!$AI$4:$AI$671,1),1,BE1838):INDEX((係数_バス貨物_ガソリン,係数_バス貨物_CNG,係数_バス貨物_軽油,係数_バス貨物_メタノール,係数_バス貨物_LPG),MATCH(AY1838+1,【参考】排出係数!$AI$4:$AI$671,1)-1,5,BE1838),5,FALSE)),IF(AND(BE1838=3,LEFT(BF1838,1)="1"),0.055,VLOOKUP(AU1838,INDEX((係数_乗用_ガソリン,係数_乗用_CNG,係数_乗用_軽油,係数_乗用_メタノール,係数_乗用_LPG),1,1,BE1838):INDEX((係数_乗用_ガソリン,係数_乗用_CNG,係数_乗用_軽油,係数_乗用_メタノール,係数_乗用_LPG),125,5,BE1838),5,FALSE)))))</f>
        <v/>
      </c>
      <c r="AN1838" s="461" t="str">
        <f t="shared" si="1072"/>
        <v/>
      </c>
      <c r="AO1838" s="462" t="str">
        <f t="shared" si="1073"/>
        <v/>
      </c>
      <c r="AP1838" s="463" t="str">
        <f t="shared" si="1074"/>
        <v/>
      </c>
      <c r="AQ1838" s="464"/>
      <c r="AR1838" s="619"/>
      <c r="AS1838" s="465" t="str">
        <f t="shared" si="1044"/>
        <v/>
      </c>
      <c r="AT1838" s="465" t="str">
        <f t="shared" si="1045"/>
        <v/>
      </c>
      <c r="AU1838" s="466" t="str">
        <f t="shared" si="1046"/>
        <v/>
      </c>
      <c r="AV1838" s="467" t="str">
        <f t="shared" si="1047"/>
        <v/>
      </c>
      <c r="AW1838" s="467" t="str">
        <f t="shared" si="1048"/>
        <v/>
      </c>
      <c r="AX1838" s="467" t="str">
        <f t="shared" si="1049"/>
        <v/>
      </c>
      <c r="AY1838" s="467" t="str">
        <f t="shared" si="1050"/>
        <v/>
      </c>
      <c r="AZ1838" s="467" t="str">
        <f t="shared" si="1051"/>
        <v/>
      </c>
      <c r="BA1838" s="468" t="str">
        <f>IF(AS1838="","",IF(OR(AU1838="",AU1838="-"),"－",IF(OR(AZ1838=8,AZ1838=9),"",IF(OR(AW1838=3,AW1838=4,AW1838=5,AW1838=6),VLOOKUP(AU1838,INDEX((係数_バス貨物_ガソリン,係数_バス貨物_CNG,係数_バス貨物_軽油,係数_バス貨物_メタノール,係数_バス貨物_LPG),MATCH(AY1838,【参考】排出係数!$AI$4:$AI$671,1),1,BE1838):INDEX((係数_バス貨物_ガソリン,係数_バス貨物_CNG,係数_バス貨物_軽油,係数_バス貨物_メタノール,係数_バス貨物_LPG),MATCH(AY1838+1,【参考】排出係数!$AI$4:$AI$671,1)-1,5,BE1838),2,FALSE),IF(OR(AW1838=1,AW1838=2),VLOOKUP(AU1838,INDEX((係数_乗用_ガソリン,係数_乗用_CNG,係数_乗用_軽油,係数_乗用_メタノール,係数_乗用_LPG),1,1,BE1838):INDEX((係数_乗用_ガソリン,係数_乗用_CNG,係数_乗用_軽油,係数_乗用_メタノール,係数_乗用_LPG),125,5,BE1838),2,FALSE))))))</f>
        <v/>
      </c>
      <c r="BB1838" s="468" t="str">
        <f>IF(T1838="","",IF(OR(AU1838="",AU1838="-"),"－",IF(OR(AZ1838=8,AZ1838=9),"",IF(OR(AW1838=3,AW1838=4,AW1838=5,AW1838=6),VLOOKUP(AU1838,INDEX((係数_バス貨物_ガソリン,係数_バス貨物_CNG,係数_バス貨物_軽油,係数_バス貨物_メタノール,係数_バス貨物_LPG),MATCH(AY1838,【参考】排出係数!$AI$4:$AI$671,1),1,BE1838):INDEX((係数_バス貨物_ガソリン,係数_バス貨物_CNG,係数_バス貨物_軽油,係数_バス貨物_メタノール,係数_バス貨物_LPG),MATCH(AY1838+1,【参考】排出係数!$AI$4:$AI$671,1)-1,5,BE1838),3,FALSE),IF(OR(AW1838=1,AW1838=2),VLOOKUP(AU1838,INDEX((係数_乗用_ガソリン,係数_乗用_CNG,係数_乗用_軽油,係数_乗用_メタノール,係数_乗用_LPG),1,1,BE1838):INDEX((係数_乗用_ガソリン,係数_乗用_CNG,係数_乗用_軽油,係数_乗用_メタノール,係数_乗用_LPG),125,5,BE1838),3,FALSE))))))</f>
        <v/>
      </c>
      <c r="BC1838" s="467" t="str">
        <f t="shared" si="1052"/>
        <v/>
      </c>
      <c r="BD1838" s="567" t="str">
        <f t="shared" si="1053"/>
        <v/>
      </c>
      <c r="BE1838" s="467" t="str">
        <f t="shared" si="1054"/>
        <v/>
      </c>
      <c r="BF1838" s="469" t="str">
        <f t="shared" ca="1" si="1055"/>
        <v/>
      </c>
      <c r="BG1838" s="469" t="str">
        <f t="shared" ca="1" si="1056"/>
        <v/>
      </c>
      <c r="BH1838" s="467" t="str">
        <f t="shared" si="1057"/>
        <v/>
      </c>
      <c r="BI1838" s="467" t="str">
        <f t="shared" ca="1" si="1058"/>
        <v/>
      </c>
      <c r="BJ1838" s="469" t="str">
        <f t="shared" si="1059"/>
        <v/>
      </c>
      <c r="BK1838" s="470" t="str">
        <f t="shared" si="1043"/>
        <v/>
      </c>
      <c r="BL1838" s="775" t="str">
        <f t="shared" si="1060"/>
        <v/>
      </c>
      <c r="BM1838" s="775" t="str">
        <f t="shared" si="1061"/>
        <v/>
      </c>
    </row>
    <row r="1839" spans="1:65">
      <c r="A1839" s="473">
        <v>1783</v>
      </c>
      <c r="B1839" s="132"/>
      <c r="C1839" s="332"/>
      <c r="D1839" s="333"/>
      <c r="E1839" s="333"/>
      <c r="F1839" s="334"/>
      <c r="G1839" s="337"/>
      <c r="H1839" s="131"/>
      <c r="I1839" s="337"/>
      <c r="J1839" s="131"/>
      <c r="K1839" s="458" t="str">
        <f t="shared" si="1062"/>
        <v/>
      </c>
      <c r="L1839" s="458">
        <f t="shared" si="1063"/>
        <v>0</v>
      </c>
      <c r="M1839" s="458">
        <f t="shared" si="1064"/>
        <v>0</v>
      </c>
      <c r="N1839" s="459" t="str">
        <f t="shared" si="1037"/>
        <v/>
      </c>
      <c r="O1839" s="459" t="str">
        <f t="shared" si="1038"/>
        <v/>
      </c>
      <c r="P1839" s="459" t="str">
        <f t="shared" si="1039"/>
        <v/>
      </c>
      <c r="Q1839" s="459" t="str">
        <f t="shared" si="1040"/>
        <v/>
      </c>
      <c r="R1839" s="459" t="str">
        <f t="shared" si="1041"/>
        <v/>
      </c>
      <c r="S1839" s="459" t="str">
        <f t="shared" si="1042"/>
        <v/>
      </c>
      <c r="T1839" s="566" t="str">
        <f t="shared" si="1065"/>
        <v/>
      </c>
      <c r="U1839" s="702"/>
      <c r="V1839" s="132"/>
      <c r="W1839" s="133"/>
      <c r="X1839" s="134"/>
      <c r="Y1839" s="135"/>
      <c r="Z1839" s="137"/>
      <c r="AA1839" s="136"/>
      <c r="AB1839" s="566" t="str">
        <f t="shared" si="1066"/>
        <v/>
      </c>
      <c r="AC1839" s="568" t="str">
        <f t="shared" si="1067"/>
        <v/>
      </c>
      <c r="AD1839" s="137"/>
      <c r="AE1839" s="137"/>
      <c r="AF1839" s="138"/>
      <c r="AG1839" s="138"/>
      <c r="AH1839" s="592" t="str">
        <f t="shared" si="1068"/>
        <v/>
      </c>
      <c r="AI1839" s="592" t="str">
        <f t="shared" si="1069"/>
        <v/>
      </c>
      <c r="AJ1839" s="592" t="str">
        <f t="shared" si="1070"/>
        <v/>
      </c>
      <c r="AK1839" s="460" t="str">
        <f>IF(AU1839="","",IF(OR(AZ1839=8,AZ1839=9),0,IF(OR(AW1839=3,AW1839=4,AW1839=5,AW1839=6),IF(LEFT(BF1839,1)="1",INDEX(係数_NOX・PM低減,MATCH(AY1839,【参考】排出係数!$AI$801:$AI$804,1),1),VLOOKUP(AU1839,INDEX((係数_バス貨物_ガソリン,係数_バス貨物_CNG,係数_バス貨物_軽油,係数_バス貨物_メタノール,係数_バス貨物_LPG),MATCH(AY1839,【参考】排出係数!$AI$4:$AI$671,1),1,BE1839):INDEX((係数_バス貨物_ガソリン,係数_バス貨物_CNG,係数_バス貨物_軽油,係数_バス貨物_メタノール,係数_バス貨物_LPG),MATCH(AY1839+1,【参考】排出係数!$AI$4:$AI$671,1)-1,5,BE1839),4,FALSE)),IF(AND(BE1839=3,LEFT(BF1839,1)="1"),0.48,VLOOKUP(AU1839,INDEX((係数_乗用_ガソリン,係数_乗用_CNG,係数_乗用_軽油,係数_乗用_メタノール,係数_乗用_LPG),1,1,BE1839):INDEX((係数_乗用_ガソリン,係数_乗用_CNG,係数_乗用_軽油,係数_乗用_メタノール,係数_乗用_LPG),125,5,BE1839),4,FALSE)))))</f>
        <v/>
      </c>
      <c r="AL1839" s="461" t="str">
        <f t="shared" si="1071"/>
        <v/>
      </c>
      <c r="AM1839" s="460" t="str">
        <f>IF(AU1839="","",IF(OR(AZ1839=8,AZ1839=9),0,IF(OR(AW1839=3,AW1839=4,AW1839=5,AW1839=6),IF(LEFT(BH1839,1)="1",INDEX(係数_PM低減,MATCH(AY1839,【参考】排出係数!$AI$801:$AI$804,1),MATCH(BI1839,【参考】排出係数!$AL$798:$AO$798,1)),VLOOKUP(AU1839,INDEX((係数_バス貨物_ガソリン,係数_バス貨物_CNG,係数_バス貨物_軽油,係数_バス貨物_メタノール,係数_バス貨物_LPG),MATCH(AY1839,【参考】排出係数!$AI$4:$AI$671,1),1,BE1839):INDEX((係数_バス貨物_ガソリン,係数_バス貨物_CNG,係数_バス貨物_軽油,係数_バス貨物_メタノール,係数_バス貨物_LPG),MATCH(AY1839+1,【参考】排出係数!$AI$4:$AI$671,1)-1,5,BE1839),5,FALSE)),IF(AND(BE1839=3,LEFT(BF1839,1)="1"),0.055,VLOOKUP(AU1839,INDEX((係数_乗用_ガソリン,係数_乗用_CNG,係数_乗用_軽油,係数_乗用_メタノール,係数_乗用_LPG),1,1,BE1839):INDEX((係数_乗用_ガソリン,係数_乗用_CNG,係数_乗用_軽油,係数_乗用_メタノール,係数_乗用_LPG),125,5,BE1839),5,FALSE)))))</f>
        <v/>
      </c>
      <c r="AN1839" s="461" t="str">
        <f t="shared" si="1072"/>
        <v/>
      </c>
      <c r="AO1839" s="462" t="str">
        <f t="shared" si="1073"/>
        <v/>
      </c>
      <c r="AP1839" s="463" t="str">
        <f t="shared" si="1074"/>
        <v/>
      </c>
      <c r="AQ1839" s="464"/>
      <c r="AR1839" s="619"/>
      <c r="AS1839" s="465" t="str">
        <f t="shared" si="1044"/>
        <v/>
      </c>
      <c r="AT1839" s="465" t="str">
        <f t="shared" si="1045"/>
        <v/>
      </c>
      <c r="AU1839" s="466" t="str">
        <f t="shared" si="1046"/>
        <v/>
      </c>
      <c r="AV1839" s="467" t="str">
        <f t="shared" si="1047"/>
        <v/>
      </c>
      <c r="AW1839" s="467" t="str">
        <f t="shared" si="1048"/>
        <v/>
      </c>
      <c r="AX1839" s="467" t="str">
        <f t="shared" si="1049"/>
        <v/>
      </c>
      <c r="AY1839" s="467" t="str">
        <f t="shared" si="1050"/>
        <v/>
      </c>
      <c r="AZ1839" s="467" t="str">
        <f t="shared" si="1051"/>
        <v/>
      </c>
      <c r="BA1839" s="468" t="str">
        <f>IF(AS1839="","",IF(OR(AU1839="",AU1839="-"),"－",IF(OR(AZ1839=8,AZ1839=9),"",IF(OR(AW1839=3,AW1839=4,AW1839=5,AW1839=6),VLOOKUP(AU1839,INDEX((係数_バス貨物_ガソリン,係数_バス貨物_CNG,係数_バス貨物_軽油,係数_バス貨物_メタノール,係数_バス貨物_LPG),MATCH(AY1839,【参考】排出係数!$AI$4:$AI$671,1),1,BE1839):INDEX((係数_バス貨物_ガソリン,係数_バス貨物_CNG,係数_バス貨物_軽油,係数_バス貨物_メタノール,係数_バス貨物_LPG),MATCH(AY1839+1,【参考】排出係数!$AI$4:$AI$671,1)-1,5,BE1839),2,FALSE),IF(OR(AW1839=1,AW1839=2),VLOOKUP(AU1839,INDEX((係数_乗用_ガソリン,係数_乗用_CNG,係数_乗用_軽油,係数_乗用_メタノール,係数_乗用_LPG),1,1,BE1839):INDEX((係数_乗用_ガソリン,係数_乗用_CNG,係数_乗用_軽油,係数_乗用_メタノール,係数_乗用_LPG),125,5,BE1839),2,FALSE))))))</f>
        <v/>
      </c>
      <c r="BB1839" s="468" t="str">
        <f>IF(T1839="","",IF(OR(AU1839="",AU1839="-"),"－",IF(OR(AZ1839=8,AZ1839=9),"",IF(OR(AW1839=3,AW1839=4,AW1839=5,AW1839=6),VLOOKUP(AU1839,INDEX((係数_バス貨物_ガソリン,係数_バス貨物_CNG,係数_バス貨物_軽油,係数_バス貨物_メタノール,係数_バス貨物_LPG),MATCH(AY1839,【参考】排出係数!$AI$4:$AI$671,1),1,BE1839):INDEX((係数_バス貨物_ガソリン,係数_バス貨物_CNG,係数_バス貨物_軽油,係数_バス貨物_メタノール,係数_バス貨物_LPG),MATCH(AY1839+1,【参考】排出係数!$AI$4:$AI$671,1)-1,5,BE1839),3,FALSE),IF(OR(AW1839=1,AW1839=2),VLOOKUP(AU1839,INDEX((係数_乗用_ガソリン,係数_乗用_CNG,係数_乗用_軽油,係数_乗用_メタノール,係数_乗用_LPG),1,1,BE1839):INDEX((係数_乗用_ガソリン,係数_乗用_CNG,係数_乗用_軽油,係数_乗用_メタノール,係数_乗用_LPG),125,5,BE1839),3,FALSE))))))</f>
        <v/>
      </c>
      <c r="BC1839" s="467" t="str">
        <f t="shared" si="1052"/>
        <v/>
      </c>
      <c r="BD1839" s="567" t="str">
        <f t="shared" si="1053"/>
        <v/>
      </c>
      <c r="BE1839" s="467" t="str">
        <f t="shared" si="1054"/>
        <v/>
      </c>
      <c r="BF1839" s="469" t="str">
        <f t="shared" ca="1" si="1055"/>
        <v/>
      </c>
      <c r="BG1839" s="469" t="str">
        <f t="shared" ca="1" si="1056"/>
        <v/>
      </c>
      <c r="BH1839" s="467" t="str">
        <f t="shared" si="1057"/>
        <v/>
      </c>
      <c r="BI1839" s="467" t="str">
        <f t="shared" ca="1" si="1058"/>
        <v/>
      </c>
      <c r="BJ1839" s="469" t="str">
        <f t="shared" si="1059"/>
        <v/>
      </c>
      <c r="BK1839" s="470" t="str">
        <f t="shared" si="1043"/>
        <v/>
      </c>
      <c r="BL1839" s="775" t="str">
        <f t="shared" si="1060"/>
        <v/>
      </c>
      <c r="BM1839" s="775" t="str">
        <f t="shared" si="1061"/>
        <v/>
      </c>
    </row>
    <row r="1840" spans="1:65">
      <c r="A1840" s="473">
        <v>1784</v>
      </c>
      <c r="B1840" s="132"/>
      <c r="C1840" s="332"/>
      <c r="D1840" s="333"/>
      <c r="E1840" s="333"/>
      <c r="F1840" s="334"/>
      <c r="G1840" s="337"/>
      <c r="H1840" s="131"/>
      <c r="I1840" s="337"/>
      <c r="J1840" s="131"/>
      <c r="K1840" s="458" t="str">
        <f t="shared" si="1062"/>
        <v/>
      </c>
      <c r="L1840" s="458">
        <f t="shared" si="1063"/>
        <v>0</v>
      </c>
      <c r="M1840" s="458">
        <f t="shared" si="1064"/>
        <v>0</v>
      </c>
      <c r="N1840" s="459" t="str">
        <f t="shared" si="1037"/>
        <v/>
      </c>
      <c r="O1840" s="459" t="str">
        <f t="shared" si="1038"/>
        <v/>
      </c>
      <c r="P1840" s="459" t="str">
        <f t="shared" si="1039"/>
        <v/>
      </c>
      <c r="Q1840" s="459" t="str">
        <f t="shared" si="1040"/>
        <v/>
      </c>
      <c r="R1840" s="459" t="str">
        <f t="shared" si="1041"/>
        <v/>
      </c>
      <c r="S1840" s="459" t="str">
        <f t="shared" si="1042"/>
        <v/>
      </c>
      <c r="T1840" s="566" t="str">
        <f t="shared" si="1065"/>
        <v/>
      </c>
      <c r="U1840" s="702"/>
      <c r="V1840" s="132"/>
      <c r="W1840" s="133"/>
      <c r="X1840" s="134"/>
      <c r="Y1840" s="135"/>
      <c r="Z1840" s="137"/>
      <c r="AA1840" s="136"/>
      <c r="AB1840" s="566" t="str">
        <f t="shared" si="1066"/>
        <v/>
      </c>
      <c r="AC1840" s="568" t="str">
        <f t="shared" si="1067"/>
        <v/>
      </c>
      <c r="AD1840" s="137"/>
      <c r="AE1840" s="137"/>
      <c r="AF1840" s="138"/>
      <c r="AG1840" s="138"/>
      <c r="AH1840" s="592" t="str">
        <f t="shared" si="1068"/>
        <v/>
      </c>
      <c r="AI1840" s="592" t="str">
        <f t="shared" si="1069"/>
        <v/>
      </c>
      <c r="AJ1840" s="592" t="str">
        <f t="shared" si="1070"/>
        <v/>
      </c>
      <c r="AK1840" s="460" t="str">
        <f>IF(AU1840="","",IF(OR(AZ1840=8,AZ1840=9),0,IF(OR(AW1840=3,AW1840=4,AW1840=5,AW1840=6),IF(LEFT(BF1840,1)="1",INDEX(係数_NOX・PM低減,MATCH(AY1840,【参考】排出係数!$AI$801:$AI$804,1),1),VLOOKUP(AU1840,INDEX((係数_バス貨物_ガソリン,係数_バス貨物_CNG,係数_バス貨物_軽油,係数_バス貨物_メタノール,係数_バス貨物_LPG),MATCH(AY1840,【参考】排出係数!$AI$4:$AI$671,1),1,BE1840):INDEX((係数_バス貨物_ガソリン,係数_バス貨物_CNG,係数_バス貨物_軽油,係数_バス貨物_メタノール,係数_バス貨物_LPG),MATCH(AY1840+1,【参考】排出係数!$AI$4:$AI$671,1)-1,5,BE1840),4,FALSE)),IF(AND(BE1840=3,LEFT(BF1840,1)="1"),0.48,VLOOKUP(AU1840,INDEX((係数_乗用_ガソリン,係数_乗用_CNG,係数_乗用_軽油,係数_乗用_メタノール,係数_乗用_LPG),1,1,BE1840):INDEX((係数_乗用_ガソリン,係数_乗用_CNG,係数_乗用_軽油,係数_乗用_メタノール,係数_乗用_LPG),125,5,BE1840),4,FALSE)))))</f>
        <v/>
      </c>
      <c r="AL1840" s="461" t="str">
        <f t="shared" si="1071"/>
        <v/>
      </c>
      <c r="AM1840" s="460" t="str">
        <f>IF(AU1840="","",IF(OR(AZ1840=8,AZ1840=9),0,IF(OR(AW1840=3,AW1840=4,AW1840=5,AW1840=6),IF(LEFT(BH1840,1)="1",INDEX(係数_PM低減,MATCH(AY1840,【参考】排出係数!$AI$801:$AI$804,1),MATCH(BI1840,【参考】排出係数!$AL$798:$AO$798,1)),VLOOKUP(AU1840,INDEX((係数_バス貨物_ガソリン,係数_バス貨物_CNG,係数_バス貨物_軽油,係数_バス貨物_メタノール,係数_バス貨物_LPG),MATCH(AY1840,【参考】排出係数!$AI$4:$AI$671,1),1,BE1840):INDEX((係数_バス貨物_ガソリン,係数_バス貨物_CNG,係数_バス貨物_軽油,係数_バス貨物_メタノール,係数_バス貨物_LPG),MATCH(AY1840+1,【参考】排出係数!$AI$4:$AI$671,1)-1,5,BE1840),5,FALSE)),IF(AND(BE1840=3,LEFT(BF1840,1)="1"),0.055,VLOOKUP(AU1840,INDEX((係数_乗用_ガソリン,係数_乗用_CNG,係数_乗用_軽油,係数_乗用_メタノール,係数_乗用_LPG),1,1,BE1840):INDEX((係数_乗用_ガソリン,係数_乗用_CNG,係数_乗用_軽油,係数_乗用_メタノール,係数_乗用_LPG),125,5,BE1840),5,FALSE)))))</f>
        <v/>
      </c>
      <c r="AN1840" s="461" t="str">
        <f t="shared" si="1072"/>
        <v/>
      </c>
      <c r="AO1840" s="462" t="str">
        <f t="shared" si="1073"/>
        <v/>
      </c>
      <c r="AP1840" s="463" t="str">
        <f t="shared" si="1074"/>
        <v/>
      </c>
      <c r="AQ1840" s="464"/>
      <c r="AR1840" s="619"/>
      <c r="AS1840" s="465" t="str">
        <f t="shared" si="1044"/>
        <v/>
      </c>
      <c r="AT1840" s="465" t="str">
        <f t="shared" si="1045"/>
        <v/>
      </c>
      <c r="AU1840" s="466" t="str">
        <f t="shared" si="1046"/>
        <v/>
      </c>
      <c r="AV1840" s="467" t="str">
        <f t="shared" si="1047"/>
        <v/>
      </c>
      <c r="AW1840" s="467" t="str">
        <f t="shared" si="1048"/>
        <v/>
      </c>
      <c r="AX1840" s="467" t="str">
        <f t="shared" si="1049"/>
        <v/>
      </c>
      <c r="AY1840" s="467" t="str">
        <f t="shared" si="1050"/>
        <v/>
      </c>
      <c r="AZ1840" s="467" t="str">
        <f t="shared" si="1051"/>
        <v/>
      </c>
      <c r="BA1840" s="468" t="str">
        <f>IF(AS1840="","",IF(OR(AU1840="",AU1840="-"),"－",IF(OR(AZ1840=8,AZ1840=9),"",IF(OR(AW1840=3,AW1840=4,AW1840=5,AW1840=6),VLOOKUP(AU1840,INDEX((係数_バス貨物_ガソリン,係数_バス貨物_CNG,係数_バス貨物_軽油,係数_バス貨物_メタノール,係数_バス貨物_LPG),MATCH(AY1840,【参考】排出係数!$AI$4:$AI$671,1),1,BE1840):INDEX((係数_バス貨物_ガソリン,係数_バス貨物_CNG,係数_バス貨物_軽油,係数_バス貨物_メタノール,係数_バス貨物_LPG),MATCH(AY1840+1,【参考】排出係数!$AI$4:$AI$671,1)-1,5,BE1840),2,FALSE),IF(OR(AW1840=1,AW1840=2),VLOOKUP(AU1840,INDEX((係数_乗用_ガソリン,係数_乗用_CNG,係数_乗用_軽油,係数_乗用_メタノール,係数_乗用_LPG),1,1,BE1840):INDEX((係数_乗用_ガソリン,係数_乗用_CNG,係数_乗用_軽油,係数_乗用_メタノール,係数_乗用_LPG),125,5,BE1840),2,FALSE))))))</f>
        <v/>
      </c>
      <c r="BB1840" s="468" t="str">
        <f>IF(T1840="","",IF(OR(AU1840="",AU1840="-"),"－",IF(OR(AZ1840=8,AZ1840=9),"",IF(OR(AW1840=3,AW1840=4,AW1840=5,AW1840=6),VLOOKUP(AU1840,INDEX((係数_バス貨物_ガソリン,係数_バス貨物_CNG,係数_バス貨物_軽油,係数_バス貨物_メタノール,係数_バス貨物_LPG),MATCH(AY1840,【参考】排出係数!$AI$4:$AI$671,1),1,BE1840):INDEX((係数_バス貨物_ガソリン,係数_バス貨物_CNG,係数_バス貨物_軽油,係数_バス貨物_メタノール,係数_バス貨物_LPG),MATCH(AY1840+1,【参考】排出係数!$AI$4:$AI$671,1)-1,5,BE1840),3,FALSE),IF(OR(AW1840=1,AW1840=2),VLOOKUP(AU1840,INDEX((係数_乗用_ガソリン,係数_乗用_CNG,係数_乗用_軽油,係数_乗用_メタノール,係数_乗用_LPG),1,1,BE1840):INDEX((係数_乗用_ガソリン,係数_乗用_CNG,係数_乗用_軽油,係数_乗用_メタノール,係数_乗用_LPG),125,5,BE1840),3,FALSE))))))</f>
        <v/>
      </c>
      <c r="BC1840" s="467" t="str">
        <f t="shared" si="1052"/>
        <v/>
      </c>
      <c r="BD1840" s="567" t="str">
        <f t="shared" si="1053"/>
        <v/>
      </c>
      <c r="BE1840" s="467" t="str">
        <f t="shared" si="1054"/>
        <v/>
      </c>
      <c r="BF1840" s="469" t="str">
        <f t="shared" ca="1" si="1055"/>
        <v/>
      </c>
      <c r="BG1840" s="469" t="str">
        <f t="shared" ca="1" si="1056"/>
        <v/>
      </c>
      <c r="BH1840" s="467" t="str">
        <f t="shared" si="1057"/>
        <v/>
      </c>
      <c r="BI1840" s="467" t="str">
        <f t="shared" ca="1" si="1058"/>
        <v/>
      </c>
      <c r="BJ1840" s="469" t="str">
        <f t="shared" si="1059"/>
        <v/>
      </c>
      <c r="BK1840" s="470" t="str">
        <f t="shared" si="1043"/>
        <v/>
      </c>
      <c r="BL1840" s="775" t="str">
        <f t="shared" si="1060"/>
        <v/>
      </c>
      <c r="BM1840" s="775" t="str">
        <f t="shared" si="1061"/>
        <v/>
      </c>
    </row>
    <row r="1841" spans="1:65">
      <c r="A1841" s="473">
        <v>1785</v>
      </c>
      <c r="B1841" s="132"/>
      <c r="C1841" s="332"/>
      <c r="D1841" s="333"/>
      <c r="E1841" s="333"/>
      <c r="F1841" s="334"/>
      <c r="G1841" s="337"/>
      <c r="H1841" s="131"/>
      <c r="I1841" s="337"/>
      <c r="J1841" s="131"/>
      <c r="K1841" s="458" t="str">
        <f t="shared" si="1062"/>
        <v/>
      </c>
      <c r="L1841" s="458">
        <f t="shared" si="1063"/>
        <v>0</v>
      </c>
      <c r="M1841" s="458">
        <f t="shared" si="1064"/>
        <v>0</v>
      </c>
      <c r="N1841" s="459" t="str">
        <f t="shared" si="1037"/>
        <v/>
      </c>
      <c r="O1841" s="459" t="str">
        <f t="shared" si="1038"/>
        <v/>
      </c>
      <c r="P1841" s="459" t="str">
        <f t="shared" si="1039"/>
        <v/>
      </c>
      <c r="Q1841" s="459" t="str">
        <f t="shared" si="1040"/>
        <v/>
      </c>
      <c r="R1841" s="459" t="str">
        <f t="shared" si="1041"/>
        <v/>
      </c>
      <c r="S1841" s="459" t="str">
        <f t="shared" si="1042"/>
        <v/>
      </c>
      <c r="T1841" s="566" t="str">
        <f t="shared" si="1065"/>
        <v/>
      </c>
      <c r="U1841" s="702"/>
      <c r="V1841" s="132"/>
      <c r="W1841" s="133"/>
      <c r="X1841" s="134"/>
      <c r="Y1841" s="135"/>
      <c r="Z1841" s="137"/>
      <c r="AA1841" s="136"/>
      <c r="AB1841" s="566" t="str">
        <f t="shared" si="1066"/>
        <v/>
      </c>
      <c r="AC1841" s="568" t="str">
        <f t="shared" si="1067"/>
        <v/>
      </c>
      <c r="AD1841" s="137"/>
      <c r="AE1841" s="137"/>
      <c r="AF1841" s="138"/>
      <c r="AG1841" s="138"/>
      <c r="AH1841" s="592" t="str">
        <f t="shared" si="1068"/>
        <v/>
      </c>
      <c r="AI1841" s="592" t="str">
        <f t="shared" si="1069"/>
        <v/>
      </c>
      <c r="AJ1841" s="592" t="str">
        <f t="shared" si="1070"/>
        <v/>
      </c>
      <c r="AK1841" s="460" t="str">
        <f>IF(AU1841="","",IF(OR(AZ1841=8,AZ1841=9),0,IF(OR(AW1841=3,AW1841=4,AW1841=5,AW1841=6),IF(LEFT(BF1841,1)="1",INDEX(係数_NOX・PM低減,MATCH(AY1841,【参考】排出係数!$AI$801:$AI$804,1),1),VLOOKUP(AU1841,INDEX((係数_バス貨物_ガソリン,係数_バス貨物_CNG,係数_バス貨物_軽油,係数_バス貨物_メタノール,係数_バス貨物_LPG),MATCH(AY1841,【参考】排出係数!$AI$4:$AI$671,1),1,BE1841):INDEX((係数_バス貨物_ガソリン,係数_バス貨物_CNG,係数_バス貨物_軽油,係数_バス貨物_メタノール,係数_バス貨物_LPG),MATCH(AY1841+1,【参考】排出係数!$AI$4:$AI$671,1)-1,5,BE1841),4,FALSE)),IF(AND(BE1841=3,LEFT(BF1841,1)="1"),0.48,VLOOKUP(AU1841,INDEX((係数_乗用_ガソリン,係数_乗用_CNG,係数_乗用_軽油,係数_乗用_メタノール,係数_乗用_LPG),1,1,BE1841):INDEX((係数_乗用_ガソリン,係数_乗用_CNG,係数_乗用_軽油,係数_乗用_メタノール,係数_乗用_LPG),125,5,BE1841),4,FALSE)))))</f>
        <v/>
      </c>
      <c r="AL1841" s="461" t="str">
        <f t="shared" si="1071"/>
        <v/>
      </c>
      <c r="AM1841" s="460" t="str">
        <f>IF(AU1841="","",IF(OR(AZ1841=8,AZ1841=9),0,IF(OR(AW1841=3,AW1841=4,AW1841=5,AW1841=6),IF(LEFT(BH1841,1)="1",INDEX(係数_PM低減,MATCH(AY1841,【参考】排出係数!$AI$801:$AI$804,1),MATCH(BI1841,【参考】排出係数!$AL$798:$AO$798,1)),VLOOKUP(AU1841,INDEX((係数_バス貨物_ガソリン,係数_バス貨物_CNG,係数_バス貨物_軽油,係数_バス貨物_メタノール,係数_バス貨物_LPG),MATCH(AY1841,【参考】排出係数!$AI$4:$AI$671,1),1,BE1841):INDEX((係数_バス貨物_ガソリン,係数_バス貨物_CNG,係数_バス貨物_軽油,係数_バス貨物_メタノール,係数_バス貨物_LPG),MATCH(AY1841+1,【参考】排出係数!$AI$4:$AI$671,1)-1,5,BE1841),5,FALSE)),IF(AND(BE1841=3,LEFT(BF1841,1)="1"),0.055,VLOOKUP(AU1841,INDEX((係数_乗用_ガソリン,係数_乗用_CNG,係数_乗用_軽油,係数_乗用_メタノール,係数_乗用_LPG),1,1,BE1841):INDEX((係数_乗用_ガソリン,係数_乗用_CNG,係数_乗用_軽油,係数_乗用_メタノール,係数_乗用_LPG),125,5,BE1841),5,FALSE)))))</f>
        <v/>
      </c>
      <c r="AN1841" s="461" t="str">
        <f t="shared" si="1072"/>
        <v/>
      </c>
      <c r="AO1841" s="462" t="str">
        <f t="shared" si="1073"/>
        <v/>
      </c>
      <c r="AP1841" s="463" t="str">
        <f t="shared" si="1074"/>
        <v/>
      </c>
      <c r="AQ1841" s="464"/>
      <c r="AR1841" s="619"/>
      <c r="AS1841" s="465" t="str">
        <f t="shared" si="1044"/>
        <v/>
      </c>
      <c r="AT1841" s="465" t="str">
        <f t="shared" si="1045"/>
        <v/>
      </c>
      <c r="AU1841" s="466" t="str">
        <f t="shared" si="1046"/>
        <v/>
      </c>
      <c r="AV1841" s="467" t="str">
        <f t="shared" si="1047"/>
        <v/>
      </c>
      <c r="AW1841" s="467" t="str">
        <f t="shared" si="1048"/>
        <v/>
      </c>
      <c r="AX1841" s="467" t="str">
        <f t="shared" si="1049"/>
        <v/>
      </c>
      <c r="AY1841" s="467" t="str">
        <f t="shared" si="1050"/>
        <v/>
      </c>
      <c r="AZ1841" s="467" t="str">
        <f t="shared" si="1051"/>
        <v/>
      </c>
      <c r="BA1841" s="468" t="str">
        <f>IF(AS1841="","",IF(OR(AU1841="",AU1841="-"),"－",IF(OR(AZ1841=8,AZ1841=9),"",IF(OR(AW1841=3,AW1841=4,AW1841=5,AW1841=6),VLOOKUP(AU1841,INDEX((係数_バス貨物_ガソリン,係数_バス貨物_CNG,係数_バス貨物_軽油,係数_バス貨物_メタノール,係数_バス貨物_LPG),MATCH(AY1841,【参考】排出係数!$AI$4:$AI$671,1),1,BE1841):INDEX((係数_バス貨物_ガソリン,係数_バス貨物_CNG,係数_バス貨物_軽油,係数_バス貨物_メタノール,係数_バス貨物_LPG),MATCH(AY1841+1,【参考】排出係数!$AI$4:$AI$671,1)-1,5,BE1841),2,FALSE),IF(OR(AW1841=1,AW1841=2),VLOOKUP(AU1841,INDEX((係数_乗用_ガソリン,係数_乗用_CNG,係数_乗用_軽油,係数_乗用_メタノール,係数_乗用_LPG),1,1,BE1841):INDEX((係数_乗用_ガソリン,係数_乗用_CNG,係数_乗用_軽油,係数_乗用_メタノール,係数_乗用_LPG),125,5,BE1841),2,FALSE))))))</f>
        <v/>
      </c>
      <c r="BB1841" s="468" t="str">
        <f>IF(T1841="","",IF(OR(AU1841="",AU1841="-"),"－",IF(OR(AZ1841=8,AZ1841=9),"",IF(OR(AW1841=3,AW1841=4,AW1841=5,AW1841=6),VLOOKUP(AU1841,INDEX((係数_バス貨物_ガソリン,係数_バス貨物_CNG,係数_バス貨物_軽油,係数_バス貨物_メタノール,係数_バス貨物_LPG),MATCH(AY1841,【参考】排出係数!$AI$4:$AI$671,1),1,BE1841):INDEX((係数_バス貨物_ガソリン,係数_バス貨物_CNG,係数_バス貨物_軽油,係数_バス貨物_メタノール,係数_バス貨物_LPG),MATCH(AY1841+1,【参考】排出係数!$AI$4:$AI$671,1)-1,5,BE1841),3,FALSE),IF(OR(AW1841=1,AW1841=2),VLOOKUP(AU1841,INDEX((係数_乗用_ガソリン,係数_乗用_CNG,係数_乗用_軽油,係数_乗用_メタノール,係数_乗用_LPG),1,1,BE1841):INDEX((係数_乗用_ガソリン,係数_乗用_CNG,係数_乗用_軽油,係数_乗用_メタノール,係数_乗用_LPG),125,5,BE1841),3,FALSE))))))</f>
        <v/>
      </c>
      <c r="BC1841" s="467" t="str">
        <f t="shared" si="1052"/>
        <v/>
      </c>
      <c r="BD1841" s="567" t="str">
        <f t="shared" si="1053"/>
        <v/>
      </c>
      <c r="BE1841" s="467" t="str">
        <f t="shared" si="1054"/>
        <v/>
      </c>
      <c r="BF1841" s="469" t="str">
        <f t="shared" ca="1" si="1055"/>
        <v/>
      </c>
      <c r="BG1841" s="469" t="str">
        <f t="shared" ca="1" si="1056"/>
        <v/>
      </c>
      <c r="BH1841" s="467" t="str">
        <f t="shared" si="1057"/>
        <v/>
      </c>
      <c r="BI1841" s="467" t="str">
        <f t="shared" ca="1" si="1058"/>
        <v/>
      </c>
      <c r="BJ1841" s="469" t="str">
        <f t="shared" si="1059"/>
        <v/>
      </c>
      <c r="BK1841" s="470" t="str">
        <f t="shared" si="1043"/>
        <v/>
      </c>
      <c r="BL1841" s="775" t="str">
        <f t="shared" si="1060"/>
        <v/>
      </c>
      <c r="BM1841" s="775" t="str">
        <f t="shared" si="1061"/>
        <v/>
      </c>
    </row>
    <row r="1842" spans="1:65">
      <c r="A1842" s="473">
        <v>1786</v>
      </c>
      <c r="B1842" s="132"/>
      <c r="C1842" s="332"/>
      <c r="D1842" s="333"/>
      <c r="E1842" s="333"/>
      <c r="F1842" s="334"/>
      <c r="G1842" s="337"/>
      <c r="H1842" s="131"/>
      <c r="I1842" s="337"/>
      <c r="J1842" s="131"/>
      <c r="K1842" s="458" t="str">
        <f t="shared" si="1062"/>
        <v/>
      </c>
      <c r="L1842" s="458">
        <f t="shared" si="1063"/>
        <v>0</v>
      </c>
      <c r="M1842" s="458">
        <f t="shared" si="1064"/>
        <v>0</v>
      </c>
      <c r="N1842" s="459" t="str">
        <f t="shared" si="1037"/>
        <v/>
      </c>
      <c r="O1842" s="459" t="str">
        <f t="shared" si="1038"/>
        <v/>
      </c>
      <c r="P1842" s="459" t="str">
        <f t="shared" si="1039"/>
        <v/>
      </c>
      <c r="Q1842" s="459" t="str">
        <f t="shared" si="1040"/>
        <v/>
      </c>
      <c r="R1842" s="459" t="str">
        <f t="shared" si="1041"/>
        <v/>
      </c>
      <c r="S1842" s="459" t="str">
        <f t="shared" si="1042"/>
        <v/>
      </c>
      <c r="T1842" s="566" t="str">
        <f t="shared" si="1065"/>
        <v/>
      </c>
      <c r="U1842" s="702"/>
      <c r="V1842" s="132"/>
      <c r="W1842" s="133"/>
      <c r="X1842" s="134"/>
      <c r="Y1842" s="135"/>
      <c r="Z1842" s="137"/>
      <c r="AA1842" s="136"/>
      <c r="AB1842" s="566" t="str">
        <f t="shared" si="1066"/>
        <v/>
      </c>
      <c r="AC1842" s="568" t="str">
        <f t="shared" si="1067"/>
        <v/>
      </c>
      <c r="AD1842" s="137"/>
      <c r="AE1842" s="137"/>
      <c r="AF1842" s="138"/>
      <c r="AG1842" s="138"/>
      <c r="AH1842" s="592" t="str">
        <f t="shared" si="1068"/>
        <v/>
      </c>
      <c r="AI1842" s="592" t="str">
        <f t="shared" si="1069"/>
        <v/>
      </c>
      <c r="AJ1842" s="592" t="str">
        <f t="shared" si="1070"/>
        <v/>
      </c>
      <c r="AK1842" s="460" t="str">
        <f>IF(AU1842="","",IF(OR(AZ1842=8,AZ1842=9),0,IF(OR(AW1842=3,AW1842=4,AW1842=5,AW1842=6),IF(LEFT(BF1842,1)="1",INDEX(係数_NOX・PM低減,MATCH(AY1842,【参考】排出係数!$AI$801:$AI$804,1),1),VLOOKUP(AU1842,INDEX((係数_バス貨物_ガソリン,係数_バス貨物_CNG,係数_バス貨物_軽油,係数_バス貨物_メタノール,係数_バス貨物_LPG),MATCH(AY1842,【参考】排出係数!$AI$4:$AI$671,1),1,BE1842):INDEX((係数_バス貨物_ガソリン,係数_バス貨物_CNG,係数_バス貨物_軽油,係数_バス貨物_メタノール,係数_バス貨物_LPG),MATCH(AY1842+1,【参考】排出係数!$AI$4:$AI$671,1)-1,5,BE1842),4,FALSE)),IF(AND(BE1842=3,LEFT(BF1842,1)="1"),0.48,VLOOKUP(AU1842,INDEX((係数_乗用_ガソリン,係数_乗用_CNG,係数_乗用_軽油,係数_乗用_メタノール,係数_乗用_LPG),1,1,BE1842):INDEX((係数_乗用_ガソリン,係数_乗用_CNG,係数_乗用_軽油,係数_乗用_メタノール,係数_乗用_LPG),125,5,BE1842),4,FALSE)))))</f>
        <v/>
      </c>
      <c r="AL1842" s="461" t="str">
        <f t="shared" si="1071"/>
        <v/>
      </c>
      <c r="AM1842" s="460" t="str">
        <f>IF(AU1842="","",IF(OR(AZ1842=8,AZ1842=9),0,IF(OR(AW1842=3,AW1842=4,AW1842=5,AW1842=6),IF(LEFT(BH1842,1)="1",INDEX(係数_PM低減,MATCH(AY1842,【参考】排出係数!$AI$801:$AI$804,1),MATCH(BI1842,【参考】排出係数!$AL$798:$AO$798,1)),VLOOKUP(AU1842,INDEX((係数_バス貨物_ガソリン,係数_バス貨物_CNG,係数_バス貨物_軽油,係数_バス貨物_メタノール,係数_バス貨物_LPG),MATCH(AY1842,【参考】排出係数!$AI$4:$AI$671,1),1,BE1842):INDEX((係数_バス貨物_ガソリン,係数_バス貨物_CNG,係数_バス貨物_軽油,係数_バス貨物_メタノール,係数_バス貨物_LPG),MATCH(AY1842+1,【参考】排出係数!$AI$4:$AI$671,1)-1,5,BE1842),5,FALSE)),IF(AND(BE1842=3,LEFT(BF1842,1)="1"),0.055,VLOOKUP(AU1842,INDEX((係数_乗用_ガソリン,係数_乗用_CNG,係数_乗用_軽油,係数_乗用_メタノール,係数_乗用_LPG),1,1,BE1842):INDEX((係数_乗用_ガソリン,係数_乗用_CNG,係数_乗用_軽油,係数_乗用_メタノール,係数_乗用_LPG),125,5,BE1842),5,FALSE)))))</f>
        <v/>
      </c>
      <c r="AN1842" s="461" t="str">
        <f t="shared" si="1072"/>
        <v/>
      </c>
      <c r="AO1842" s="462" t="str">
        <f t="shared" si="1073"/>
        <v/>
      </c>
      <c r="AP1842" s="463" t="str">
        <f t="shared" si="1074"/>
        <v/>
      </c>
      <c r="AQ1842" s="464"/>
      <c r="AR1842" s="619"/>
      <c r="AS1842" s="465" t="str">
        <f t="shared" si="1044"/>
        <v/>
      </c>
      <c r="AT1842" s="465" t="str">
        <f t="shared" si="1045"/>
        <v/>
      </c>
      <c r="AU1842" s="466" t="str">
        <f t="shared" si="1046"/>
        <v/>
      </c>
      <c r="AV1842" s="467" t="str">
        <f t="shared" si="1047"/>
        <v/>
      </c>
      <c r="AW1842" s="467" t="str">
        <f t="shared" si="1048"/>
        <v/>
      </c>
      <c r="AX1842" s="467" t="str">
        <f t="shared" si="1049"/>
        <v/>
      </c>
      <c r="AY1842" s="467" t="str">
        <f t="shared" si="1050"/>
        <v/>
      </c>
      <c r="AZ1842" s="467" t="str">
        <f t="shared" si="1051"/>
        <v/>
      </c>
      <c r="BA1842" s="468" t="str">
        <f>IF(AS1842="","",IF(OR(AU1842="",AU1842="-"),"－",IF(OR(AZ1842=8,AZ1842=9),"",IF(OR(AW1842=3,AW1842=4,AW1842=5,AW1842=6),VLOOKUP(AU1842,INDEX((係数_バス貨物_ガソリン,係数_バス貨物_CNG,係数_バス貨物_軽油,係数_バス貨物_メタノール,係数_バス貨物_LPG),MATCH(AY1842,【参考】排出係数!$AI$4:$AI$671,1),1,BE1842):INDEX((係数_バス貨物_ガソリン,係数_バス貨物_CNG,係数_バス貨物_軽油,係数_バス貨物_メタノール,係数_バス貨物_LPG),MATCH(AY1842+1,【参考】排出係数!$AI$4:$AI$671,1)-1,5,BE1842),2,FALSE),IF(OR(AW1842=1,AW1842=2),VLOOKUP(AU1842,INDEX((係数_乗用_ガソリン,係数_乗用_CNG,係数_乗用_軽油,係数_乗用_メタノール,係数_乗用_LPG),1,1,BE1842):INDEX((係数_乗用_ガソリン,係数_乗用_CNG,係数_乗用_軽油,係数_乗用_メタノール,係数_乗用_LPG),125,5,BE1842),2,FALSE))))))</f>
        <v/>
      </c>
      <c r="BB1842" s="468" t="str">
        <f>IF(T1842="","",IF(OR(AU1842="",AU1842="-"),"－",IF(OR(AZ1842=8,AZ1842=9),"",IF(OR(AW1842=3,AW1842=4,AW1842=5,AW1842=6),VLOOKUP(AU1842,INDEX((係数_バス貨物_ガソリン,係数_バス貨物_CNG,係数_バス貨物_軽油,係数_バス貨物_メタノール,係数_バス貨物_LPG),MATCH(AY1842,【参考】排出係数!$AI$4:$AI$671,1),1,BE1842):INDEX((係数_バス貨物_ガソリン,係数_バス貨物_CNG,係数_バス貨物_軽油,係数_バス貨物_メタノール,係数_バス貨物_LPG),MATCH(AY1842+1,【参考】排出係数!$AI$4:$AI$671,1)-1,5,BE1842),3,FALSE),IF(OR(AW1842=1,AW1842=2),VLOOKUP(AU1842,INDEX((係数_乗用_ガソリン,係数_乗用_CNG,係数_乗用_軽油,係数_乗用_メタノール,係数_乗用_LPG),1,1,BE1842):INDEX((係数_乗用_ガソリン,係数_乗用_CNG,係数_乗用_軽油,係数_乗用_メタノール,係数_乗用_LPG),125,5,BE1842),3,FALSE))))))</f>
        <v/>
      </c>
      <c r="BC1842" s="467" t="str">
        <f t="shared" si="1052"/>
        <v/>
      </c>
      <c r="BD1842" s="567" t="str">
        <f t="shared" si="1053"/>
        <v/>
      </c>
      <c r="BE1842" s="467" t="str">
        <f t="shared" si="1054"/>
        <v/>
      </c>
      <c r="BF1842" s="469" t="str">
        <f t="shared" ca="1" si="1055"/>
        <v/>
      </c>
      <c r="BG1842" s="469" t="str">
        <f t="shared" ca="1" si="1056"/>
        <v/>
      </c>
      <c r="BH1842" s="467" t="str">
        <f t="shared" si="1057"/>
        <v/>
      </c>
      <c r="BI1842" s="467" t="str">
        <f t="shared" ca="1" si="1058"/>
        <v/>
      </c>
      <c r="BJ1842" s="469" t="str">
        <f t="shared" si="1059"/>
        <v/>
      </c>
      <c r="BK1842" s="470" t="str">
        <f t="shared" si="1043"/>
        <v/>
      </c>
      <c r="BL1842" s="775" t="str">
        <f t="shared" si="1060"/>
        <v/>
      </c>
      <c r="BM1842" s="775" t="str">
        <f t="shared" si="1061"/>
        <v/>
      </c>
    </row>
    <row r="1843" spans="1:65">
      <c r="A1843" s="473">
        <v>1787</v>
      </c>
      <c r="B1843" s="132"/>
      <c r="C1843" s="332"/>
      <c r="D1843" s="333"/>
      <c r="E1843" s="333"/>
      <c r="F1843" s="334"/>
      <c r="G1843" s="337"/>
      <c r="H1843" s="131"/>
      <c r="I1843" s="337"/>
      <c r="J1843" s="131"/>
      <c r="K1843" s="458" t="str">
        <f t="shared" si="1062"/>
        <v/>
      </c>
      <c r="L1843" s="458">
        <f t="shared" si="1063"/>
        <v>0</v>
      </c>
      <c r="M1843" s="458">
        <f t="shared" si="1064"/>
        <v>0</v>
      </c>
      <c r="N1843" s="459" t="str">
        <f t="shared" si="1037"/>
        <v/>
      </c>
      <c r="O1843" s="459" t="str">
        <f t="shared" si="1038"/>
        <v/>
      </c>
      <c r="P1843" s="459" t="str">
        <f t="shared" si="1039"/>
        <v/>
      </c>
      <c r="Q1843" s="459" t="str">
        <f t="shared" si="1040"/>
        <v/>
      </c>
      <c r="R1843" s="459" t="str">
        <f t="shared" si="1041"/>
        <v/>
      </c>
      <c r="S1843" s="459" t="str">
        <f t="shared" si="1042"/>
        <v/>
      </c>
      <c r="T1843" s="566" t="str">
        <f t="shared" si="1065"/>
        <v/>
      </c>
      <c r="U1843" s="702"/>
      <c r="V1843" s="132"/>
      <c r="W1843" s="133"/>
      <c r="X1843" s="134"/>
      <c r="Y1843" s="135"/>
      <c r="Z1843" s="137"/>
      <c r="AA1843" s="136"/>
      <c r="AB1843" s="566" t="str">
        <f t="shared" si="1066"/>
        <v/>
      </c>
      <c r="AC1843" s="568" t="str">
        <f t="shared" si="1067"/>
        <v/>
      </c>
      <c r="AD1843" s="137"/>
      <c r="AE1843" s="137"/>
      <c r="AF1843" s="138"/>
      <c r="AG1843" s="138"/>
      <c r="AH1843" s="592" t="str">
        <f t="shared" si="1068"/>
        <v/>
      </c>
      <c r="AI1843" s="592" t="str">
        <f t="shared" si="1069"/>
        <v/>
      </c>
      <c r="AJ1843" s="592" t="str">
        <f t="shared" si="1070"/>
        <v/>
      </c>
      <c r="AK1843" s="460" t="str">
        <f>IF(AU1843="","",IF(OR(AZ1843=8,AZ1843=9),0,IF(OR(AW1843=3,AW1843=4,AW1843=5,AW1843=6),IF(LEFT(BF1843,1)="1",INDEX(係数_NOX・PM低減,MATCH(AY1843,【参考】排出係数!$AI$801:$AI$804,1),1),VLOOKUP(AU1843,INDEX((係数_バス貨物_ガソリン,係数_バス貨物_CNG,係数_バス貨物_軽油,係数_バス貨物_メタノール,係数_バス貨物_LPG),MATCH(AY1843,【参考】排出係数!$AI$4:$AI$671,1),1,BE1843):INDEX((係数_バス貨物_ガソリン,係数_バス貨物_CNG,係数_バス貨物_軽油,係数_バス貨物_メタノール,係数_バス貨物_LPG),MATCH(AY1843+1,【参考】排出係数!$AI$4:$AI$671,1)-1,5,BE1843),4,FALSE)),IF(AND(BE1843=3,LEFT(BF1843,1)="1"),0.48,VLOOKUP(AU1843,INDEX((係数_乗用_ガソリン,係数_乗用_CNG,係数_乗用_軽油,係数_乗用_メタノール,係数_乗用_LPG),1,1,BE1843):INDEX((係数_乗用_ガソリン,係数_乗用_CNG,係数_乗用_軽油,係数_乗用_メタノール,係数_乗用_LPG),125,5,BE1843),4,FALSE)))))</f>
        <v/>
      </c>
      <c r="AL1843" s="461" t="str">
        <f t="shared" si="1071"/>
        <v/>
      </c>
      <c r="AM1843" s="460" t="str">
        <f>IF(AU1843="","",IF(OR(AZ1843=8,AZ1843=9),0,IF(OR(AW1843=3,AW1843=4,AW1843=5,AW1843=6),IF(LEFT(BH1843,1)="1",INDEX(係数_PM低減,MATCH(AY1843,【参考】排出係数!$AI$801:$AI$804,1),MATCH(BI1843,【参考】排出係数!$AL$798:$AO$798,1)),VLOOKUP(AU1843,INDEX((係数_バス貨物_ガソリン,係数_バス貨物_CNG,係数_バス貨物_軽油,係数_バス貨物_メタノール,係数_バス貨物_LPG),MATCH(AY1843,【参考】排出係数!$AI$4:$AI$671,1),1,BE1843):INDEX((係数_バス貨物_ガソリン,係数_バス貨物_CNG,係数_バス貨物_軽油,係数_バス貨物_メタノール,係数_バス貨物_LPG),MATCH(AY1843+1,【参考】排出係数!$AI$4:$AI$671,1)-1,5,BE1843),5,FALSE)),IF(AND(BE1843=3,LEFT(BF1843,1)="1"),0.055,VLOOKUP(AU1843,INDEX((係数_乗用_ガソリン,係数_乗用_CNG,係数_乗用_軽油,係数_乗用_メタノール,係数_乗用_LPG),1,1,BE1843):INDEX((係数_乗用_ガソリン,係数_乗用_CNG,係数_乗用_軽油,係数_乗用_メタノール,係数_乗用_LPG),125,5,BE1843),5,FALSE)))))</f>
        <v/>
      </c>
      <c r="AN1843" s="461" t="str">
        <f t="shared" si="1072"/>
        <v/>
      </c>
      <c r="AO1843" s="462" t="str">
        <f t="shared" si="1073"/>
        <v/>
      </c>
      <c r="AP1843" s="463" t="str">
        <f t="shared" si="1074"/>
        <v/>
      </c>
      <c r="AQ1843" s="464"/>
      <c r="AR1843" s="619"/>
      <c r="AS1843" s="465" t="str">
        <f t="shared" si="1044"/>
        <v/>
      </c>
      <c r="AT1843" s="465" t="str">
        <f t="shared" si="1045"/>
        <v/>
      </c>
      <c r="AU1843" s="466" t="str">
        <f t="shared" si="1046"/>
        <v/>
      </c>
      <c r="AV1843" s="467" t="str">
        <f t="shared" si="1047"/>
        <v/>
      </c>
      <c r="AW1843" s="467" t="str">
        <f t="shared" si="1048"/>
        <v/>
      </c>
      <c r="AX1843" s="467" t="str">
        <f t="shared" si="1049"/>
        <v/>
      </c>
      <c r="AY1843" s="467" t="str">
        <f t="shared" si="1050"/>
        <v/>
      </c>
      <c r="AZ1843" s="467" t="str">
        <f t="shared" si="1051"/>
        <v/>
      </c>
      <c r="BA1843" s="468" t="str">
        <f>IF(AS1843="","",IF(OR(AU1843="",AU1843="-"),"－",IF(OR(AZ1843=8,AZ1843=9),"",IF(OR(AW1843=3,AW1843=4,AW1843=5,AW1843=6),VLOOKUP(AU1843,INDEX((係数_バス貨物_ガソリン,係数_バス貨物_CNG,係数_バス貨物_軽油,係数_バス貨物_メタノール,係数_バス貨物_LPG),MATCH(AY1843,【参考】排出係数!$AI$4:$AI$671,1),1,BE1843):INDEX((係数_バス貨物_ガソリン,係数_バス貨物_CNG,係数_バス貨物_軽油,係数_バス貨物_メタノール,係数_バス貨物_LPG),MATCH(AY1843+1,【参考】排出係数!$AI$4:$AI$671,1)-1,5,BE1843),2,FALSE),IF(OR(AW1843=1,AW1843=2),VLOOKUP(AU1843,INDEX((係数_乗用_ガソリン,係数_乗用_CNG,係数_乗用_軽油,係数_乗用_メタノール,係数_乗用_LPG),1,1,BE1843):INDEX((係数_乗用_ガソリン,係数_乗用_CNG,係数_乗用_軽油,係数_乗用_メタノール,係数_乗用_LPG),125,5,BE1843),2,FALSE))))))</f>
        <v/>
      </c>
      <c r="BB1843" s="468" t="str">
        <f>IF(T1843="","",IF(OR(AU1843="",AU1843="-"),"－",IF(OR(AZ1843=8,AZ1843=9),"",IF(OR(AW1843=3,AW1843=4,AW1843=5,AW1843=6),VLOOKUP(AU1843,INDEX((係数_バス貨物_ガソリン,係数_バス貨物_CNG,係数_バス貨物_軽油,係数_バス貨物_メタノール,係数_バス貨物_LPG),MATCH(AY1843,【参考】排出係数!$AI$4:$AI$671,1),1,BE1843):INDEX((係数_バス貨物_ガソリン,係数_バス貨物_CNG,係数_バス貨物_軽油,係数_バス貨物_メタノール,係数_バス貨物_LPG),MATCH(AY1843+1,【参考】排出係数!$AI$4:$AI$671,1)-1,5,BE1843),3,FALSE),IF(OR(AW1843=1,AW1843=2),VLOOKUP(AU1843,INDEX((係数_乗用_ガソリン,係数_乗用_CNG,係数_乗用_軽油,係数_乗用_メタノール,係数_乗用_LPG),1,1,BE1843):INDEX((係数_乗用_ガソリン,係数_乗用_CNG,係数_乗用_軽油,係数_乗用_メタノール,係数_乗用_LPG),125,5,BE1843),3,FALSE))))))</f>
        <v/>
      </c>
      <c r="BC1843" s="467" t="str">
        <f t="shared" si="1052"/>
        <v/>
      </c>
      <c r="BD1843" s="567" t="str">
        <f t="shared" si="1053"/>
        <v/>
      </c>
      <c r="BE1843" s="467" t="str">
        <f t="shared" si="1054"/>
        <v/>
      </c>
      <c r="BF1843" s="469" t="str">
        <f t="shared" ca="1" si="1055"/>
        <v/>
      </c>
      <c r="BG1843" s="469" t="str">
        <f t="shared" ca="1" si="1056"/>
        <v/>
      </c>
      <c r="BH1843" s="467" t="str">
        <f t="shared" si="1057"/>
        <v/>
      </c>
      <c r="BI1843" s="467" t="str">
        <f t="shared" ca="1" si="1058"/>
        <v/>
      </c>
      <c r="BJ1843" s="469" t="str">
        <f t="shared" si="1059"/>
        <v/>
      </c>
      <c r="BK1843" s="470" t="str">
        <f t="shared" si="1043"/>
        <v/>
      </c>
      <c r="BL1843" s="775" t="str">
        <f t="shared" si="1060"/>
        <v/>
      </c>
      <c r="BM1843" s="775" t="str">
        <f t="shared" si="1061"/>
        <v/>
      </c>
    </row>
    <row r="1844" spans="1:65">
      <c r="A1844" s="473">
        <v>1788</v>
      </c>
      <c r="B1844" s="132"/>
      <c r="C1844" s="332"/>
      <c r="D1844" s="333"/>
      <c r="E1844" s="333"/>
      <c r="F1844" s="334"/>
      <c r="G1844" s="337"/>
      <c r="H1844" s="131"/>
      <c r="I1844" s="337"/>
      <c r="J1844" s="131"/>
      <c r="K1844" s="458" t="str">
        <f t="shared" si="1062"/>
        <v/>
      </c>
      <c r="L1844" s="458">
        <f t="shared" si="1063"/>
        <v>0</v>
      </c>
      <c r="M1844" s="458">
        <f t="shared" si="1064"/>
        <v>0</v>
      </c>
      <c r="N1844" s="459" t="str">
        <f t="shared" si="1037"/>
        <v/>
      </c>
      <c r="O1844" s="459" t="str">
        <f t="shared" si="1038"/>
        <v/>
      </c>
      <c r="P1844" s="459" t="str">
        <f t="shared" si="1039"/>
        <v/>
      </c>
      <c r="Q1844" s="459" t="str">
        <f t="shared" si="1040"/>
        <v/>
      </c>
      <c r="R1844" s="459" t="str">
        <f t="shared" si="1041"/>
        <v/>
      </c>
      <c r="S1844" s="459" t="str">
        <f t="shared" si="1042"/>
        <v/>
      </c>
      <c r="T1844" s="566" t="str">
        <f t="shared" si="1065"/>
        <v/>
      </c>
      <c r="U1844" s="702"/>
      <c r="V1844" s="132"/>
      <c r="W1844" s="133"/>
      <c r="X1844" s="134"/>
      <c r="Y1844" s="135"/>
      <c r="Z1844" s="137"/>
      <c r="AA1844" s="136"/>
      <c r="AB1844" s="566" t="str">
        <f t="shared" si="1066"/>
        <v/>
      </c>
      <c r="AC1844" s="568" t="str">
        <f t="shared" si="1067"/>
        <v/>
      </c>
      <c r="AD1844" s="137"/>
      <c r="AE1844" s="137"/>
      <c r="AF1844" s="138"/>
      <c r="AG1844" s="138"/>
      <c r="AH1844" s="592" t="str">
        <f t="shared" si="1068"/>
        <v/>
      </c>
      <c r="AI1844" s="592" t="str">
        <f t="shared" si="1069"/>
        <v/>
      </c>
      <c r="AJ1844" s="592" t="str">
        <f t="shared" si="1070"/>
        <v/>
      </c>
      <c r="AK1844" s="460" t="str">
        <f>IF(AU1844="","",IF(OR(AZ1844=8,AZ1844=9),0,IF(OR(AW1844=3,AW1844=4,AW1844=5,AW1844=6),IF(LEFT(BF1844,1)="1",INDEX(係数_NOX・PM低減,MATCH(AY1844,【参考】排出係数!$AI$801:$AI$804,1),1),VLOOKUP(AU1844,INDEX((係数_バス貨物_ガソリン,係数_バス貨物_CNG,係数_バス貨物_軽油,係数_バス貨物_メタノール,係数_バス貨物_LPG),MATCH(AY1844,【参考】排出係数!$AI$4:$AI$671,1),1,BE1844):INDEX((係数_バス貨物_ガソリン,係数_バス貨物_CNG,係数_バス貨物_軽油,係数_バス貨物_メタノール,係数_バス貨物_LPG),MATCH(AY1844+1,【参考】排出係数!$AI$4:$AI$671,1)-1,5,BE1844),4,FALSE)),IF(AND(BE1844=3,LEFT(BF1844,1)="1"),0.48,VLOOKUP(AU1844,INDEX((係数_乗用_ガソリン,係数_乗用_CNG,係数_乗用_軽油,係数_乗用_メタノール,係数_乗用_LPG),1,1,BE1844):INDEX((係数_乗用_ガソリン,係数_乗用_CNG,係数_乗用_軽油,係数_乗用_メタノール,係数_乗用_LPG),125,5,BE1844),4,FALSE)))))</f>
        <v/>
      </c>
      <c r="AL1844" s="461" t="str">
        <f t="shared" si="1071"/>
        <v/>
      </c>
      <c r="AM1844" s="460" t="str">
        <f>IF(AU1844="","",IF(OR(AZ1844=8,AZ1844=9),0,IF(OR(AW1844=3,AW1844=4,AW1844=5,AW1844=6),IF(LEFT(BH1844,1)="1",INDEX(係数_PM低減,MATCH(AY1844,【参考】排出係数!$AI$801:$AI$804,1),MATCH(BI1844,【参考】排出係数!$AL$798:$AO$798,1)),VLOOKUP(AU1844,INDEX((係数_バス貨物_ガソリン,係数_バス貨物_CNG,係数_バス貨物_軽油,係数_バス貨物_メタノール,係数_バス貨物_LPG),MATCH(AY1844,【参考】排出係数!$AI$4:$AI$671,1),1,BE1844):INDEX((係数_バス貨物_ガソリン,係数_バス貨物_CNG,係数_バス貨物_軽油,係数_バス貨物_メタノール,係数_バス貨物_LPG),MATCH(AY1844+1,【参考】排出係数!$AI$4:$AI$671,1)-1,5,BE1844),5,FALSE)),IF(AND(BE1844=3,LEFT(BF1844,1)="1"),0.055,VLOOKUP(AU1844,INDEX((係数_乗用_ガソリン,係数_乗用_CNG,係数_乗用_軽油,係数_乗用_メタノール,係数_乗用_LPG),1,1,BE1844):INDEX((係数_乗用_ガソリン,係数_乗用_CNG,係数_乗用_軽油,係数_乗用_メタノール,係数_乗用_LPG),125,5,BE1844),5,FALSE)))))</f>
        <v/>
      </c>
      <c r="AN1844" s="461" t="str">
        <f t="shared" si="1072"/>
        <v/>
      </c>
      <c r="AO1844" s="462" t="str">
        <f t="shared" si="1073"/>
        <v/>
      </c>
      <c r="AP1844" s="463" t="str">
        <f t="shared" si="1074"/>
        <v/>
      </c>
      <c r="AQ1844" s="464"/>
      <c r="AR1844" s="619"/>
      <c r="AS1844" s="465" t="str">
        <f t="shared" si="1044"/>
        <v/>
      </c>
      <c r="AT1844" s="465" t="str">
        <f t="shared" si="1045"/>
        <v/>
      </c>
      <c r="AU1844" s="466" t="str">
        <f t="shared" si="1046"/>
        <v/>
      </c>
      <c r="AV1844" s="467" t="str">
        <f t="shared" si="1047"/>
        <v/>
      </c>
      <c r="AW1844" s="467" t="str">
        <f t="shared" si="1048"/>
        <v/>
      </c>
      <c r="AX1844" s="467" t="str">
        <f t="shared" si="1049"/>
        <v/>
      </c>
      <c r="AY1844" s="467" t="str">
        <f t="shared" si="1050"/>
        <v/>
      </c>
      <c r="AZ1844" s="467" t="str">
        <f t="shared" si="1051"/>
        <v/>
      </c>
      <c r="BA1844" s="468" t="str">
        <f>IF(AS1844="","",IF(OR(AU1844="",AU1844="-"),"－",IF(OR(AZ1844=8,AZ1844=9),"",IF(OR(AW1844=3,AW1844=4,AW1844=5,AW1844=6),VLOOKUP(AU1844,INDEX((係数_バス貨物_ガソリン,係数_バス貨物_CNG,係数_バス貨物_軽油,係数_バス貨物_メタノール,係数_バス貨物_LPG),MATCH(AY1844,【参考】排出係数!$AI$4:$AI$671,1),1,BE1844):INDEX((係数_バス貨物_ガソリン,係数_バス貨物_CNG,係数_バス貨物_軽油,係数_バス貨物_メタノール,係数_バス貨物_LPG),MATCH(AY1844+1,【参考】排出係数!$AI$4:$AI$671,1)-1,5,BE1844),2,FALSE),IF(OR(AW1844=1,AW1844=2),VLOOKUP(AU1844,INDEX((係数_乗用_ガソリン,係数_乗用_CNG,係数_乗用_軽油,係数_乗用_メタノール,係数_乗用_LPG),1,1,BE1844):INDEX((係数_乗用_ガソリン,係数_乗用_CNG,係数_乗用_軽油,係数_乗用_メタノール,係数_乗用_LPG),125,5,BE1844),2,FALSE))))))</f>
        <v/>
      </c>
      <c r="BB1844" s="468" t="str">
        <f>IF(T1844="","",IF(OR(AU1844="",AU1844="-"),"－",IF(OR(AZ1844=8,AZ1844=9),"",IF(OR(AW1844=3,AW1844=4,AW1844=5,AW1844=6),VLOOKUP(AU1844,INDEX((係数_バス貨物_ガソリン,係数_バス貨物_CNG,係数_バス貨物_軽油,係数_バス貨物_メタノール,係数_バス貨物_LPG),MATCH(AY1844,【参考】排出係数!$AI$4:$AI$671,1),1,BE1844):INDEX((係数_バス貨物_ガソリン,係数_バス貨物_CNG,係数_バス貨物_軽油,係数_バス貨物_メタノール,係数_バス貨物_LPG),MATCH(AY1844+1,【参考】排出係数!$AI$4:$AI$671,1)-1,5,BE1844),3,FALSE),IF(OR(AW1844=1,AW1844=2),VLOOKUP(AU1844,INDEX((係数_乗用_ガソリン,係数_乗用_CNG,係数_乗用_軽油,係数_乗用_メタノール,係数_乗用_LPG),1,1,BE1844):INDEX((係数_乗用_ガソリン,係数_乗用_CNG,係数_乗用_軽油,係数_乗用_メタノール,係数_乗用_LPG),125,5,BE1844),3,FALSE))))))</f>
        <v/>
      </c>
      <c r="BC1844" s="467" t="str">
        <f t="shared" si="1052"/>
        <v/>
      </c>
      <c r="BD1844" s="567" t="str">
        <f t="shared" si="1053"/>
        <v/>
      </c>
      <c r="BE1844" s="467" t="str">
        <f t="shared" si="1054"/>
        <v/>
      </c>
      <c r="BF1844" s="469" t="str">
        <f t="shared" ca="1" si="1055"/>
        <v/>
      </c>
      <c r="BG1844" s="469" t="str">
        <f t="shared" ca="1" si="1056"/>
        <v/>
      </c>
      <c r="BH1844" s="467" t="str">
        <f t="shared" si="1057"/>
        <v/>
      </c>
      <c r="BI1844" s="467" t="str">
        <f t="shared" ca="1" si="1058"/>
        <v/>
      </c>
      <c r="BJ1844" s="469" t="str">
        <f t="shared" si="1059"/>
        <v/>
      </c>
      <c r="BK1844" s="470" t="str">
        <f t="shared" si="1043"/>
        <v/>
      </c>
      <c r="BL1844" s="775" t="str">
        <f t="shared" si="1060"/>
        <v/>
      </c>
      <c r="BM1844" s="775" t="str">
        <f t="shared" si="1061"/>
        <v/>
      </c>
    </row>
    <row r="1845" spans="1:65">
      <c r="A1845" s="473">
        <v>1789</v>
      </c>
      <c r="B1845" s="132"/>
      <c r="C1845" s="332"/>
      <c r="D1845" s="333"/>
      <c r="E1845" s="333"/>
      <c r="F1845" s="334"/>
      <c r="G1845" s="337"/>
      <c r="H1845" s="131"/>
      <c r="I1845" s="337"/>
      <c r="J1845" s="131"/>
      <c r="K1845" s="458" t="str">
        <f t="shared" si="1062"/>
        <v/>
      </c>
      <c r="L1845" s="458">
        <f t="shared" si="1063"/>
        <v>0</v>
      </c>
      <c r="M1845" s="458">
        <f t="shared" si="1064"/>
        <v>0</v>
      </c>
      <c r="N1845" s="459" t="str">
        <f t="shared" si="1037"/>
        <v/>
      </c>
      <c r="O1845" s="459" t="str">
        <f t="shared" si="1038"/>
        <v/>
      </c>
      <c r="P1845" s="459" t="str">
        <f t="shared" si="1039"/>
        <v/>
      </c>
      <c r="Q1845" s="459" t="str">
        <f t="shared" si="1040"/>
        <v/>
      </c>
      <c r="R1845" s="459" t="str">
        <f t="shared" si="1041"/>
        <v/>
      </c>
      <c r="S1845" s="459" t="str">
        <f t="shared" si="1042"/>
        <v/>
      </c>
      <c r="T1845" s="566" t="str">
        <f t="shared" si="1065"/>
        <v/>
      </c>
      <c r="U1845" s="702"/>
      <c r="V1845" s="132"/>
      <c r="W1845" s="133"/>
      <c r="X1845" s="134"/>
      <c r="Y1845" s="135"/>
      <c r="Z1845" s="137"/>
      <c r="AA1845" s="136"/>
      <c r="AB1845" s="566" t="str">
        <f t="shared" si="1066"/>
        <v/>
      </c>
      <c r="AC1845" s="568" t="str">
        <f t="shared" si="1067"/>
        <v/>
      </c>
      <c r="AD1845" s="137"/>
      <c r="AE1845" s="137"/>
      <c r="AF1845" s="138"/>
      <c r="AG1845" s="138"/>
      <c r="AH1845" s="592" t="str">
        <f t="shared" si="1068"/>
        <v/>
      </c>
      <c r="AI1845" s="592" t="str">
        <f t="shared" si="1069"/>
        <v/>
      </c>
      <c r="AJ1845" s="592" t="str">
        <f t="shared" si="1070"/>
        <v/>
      </c>
      <c r="AK1845" s="460" t="str">
        <f>IF(AU1845="","",IF(OR(AZ1845=8,AZ1845=9),0,IF(OR(AW1845=3,AW1845=4,AW1845=5,AW1845=6),IF(LEFT(BF1845,1)="1",INDEX(係数_NOX・PM低減,MATCH(AY1845,【参考】排出係数!$AI$801:$AI$804,1),1),VLOOKUP(AU1845,INDEX((係数_バス貨物_ガソリン,係数_バス貨物_CNG,係数_バス貨物_軽油,係数_バス貨物_メタノール,係数_バス貨物_LPG),MATCH(AY1845,【参考】排出係数!$AI$4:$AI$671,1),1,BE1845):INDEX((係数_バス貨物_ガソリン,係数_バス貨物_CNG,係数_バス貨物_軽油,係数_バス貨物_メタノール,係数_バス貨物_LPG),MATCH(AY1845+1,【参考】排出係数!$AI$4:$AI$671,1)-1,5,BE1845),4,FALSE)),IF(AND(BE1845=3,LEFT(BF1845,1)="1"),0.48,VLOOKUP(AU1845,INDEX((係数_乗用_ガソリン,係数_乗用_CNG,係数_乗用_軽油,係数_乗用_メタノール,係数_乗用_LPG),1,1,BE1845):INDEX((係数_乗用_ガソリン,係数_乗用_CNG,係数_乗用_軽油,係数_乗用_メタノール,係数_乗用_LPG),125,5,BE1845),4,FALSE)))))</f>
        <v/>
      </c>
      <c r="AL1845" s="461" t="str">
        <f t="shared" si="1071"/>
        <v/>
      </c>
      <c r="AM1845" s="460" t="str">
        <f>IF(AU1845="","",IF(OR(AZ1845=8,AZ1845=9),0,IF(OR(AW1845=3,AW1845=4,AW1845=5,AW1845=6),IF(LEFT(BH1845,1)="1",INDEX(係数_PM低減,MATCH(AY1845,【参考】排出係数!$AI$801:$AI$804,1),MATCH(BI1845,【参考】排出係数!$AL$798:$AO$798,1)),VLOOKUP(AU1845,INDEX((係数_バス貨物_ガソリン,係数_バス貨物_CNG,係数_バス貨物_軽油,係数_バス貨物_メタノール,係数_バス貨物_LPG),MATCH(AY1845,【参考】排出係数!$AI$4:$AI$671,1),1,BE1845):INDEX((係数_バス貨物_ガソリン,係数_バス貨物_CNG,係数_バス貨物_軽油,係数_バス貨物_メタノール,係数_バス貨物_LPG),MATCH(AY1845+1,【参考】排出係数!$AI$4:$AI$671,1)-1,5,BE1845),5,FALSE)),IF(AND(BE1845=3,LEFT(BF1845,1)="1"),0.055,VLOOKUP(AU1845,INDEX((係数_乗用_ガソリン,係数_乗用_CNG,係数_乗用_軽油,係数_乗用_メタノール,係数_乗用_LPG),1,1,BE1845):INDEX((係数_乗用_ガソリン,係数_乗用_CNG,係数_乗用_軽油,係数_乗用_メタノール,係数_乗用_LPG),125,5,BE1845),5,FALSE)))))</f>
        <v/>
      </c>
      <c r="AN1845" s="461" t="str">
        <f t="shared" si="1072"/>
        <v/>
      </c>
      <c r="AO1845" s="462" t="str">
        <f t="shared" si="1073"/>
        <v/>
      </c>
      <c r="AP1845" s="463" t="str">
        <f t="shared" si="1074"/>
        <v/>
      </c>
      <c r="AQ1845" s="464"/>
      <c r="AR1845" s="619"/>
      <c r="AS1845" s="465" t="str">
        <f t="shared" si="1044"/>
        <v/>
      </c>
      <c r="AT1845" s="465" t="str">
        <f t="shared" si="1045"/>
        <v/>
      </c>
      <c r="AU1845" s="466" t="str">
        <f t="shared" si="1046"/>
        <v/>
      </c>
      <c r="AV1845" s="467" t="str">
        <f t="shared" si="1047"/>
        <v/>
      </c>
      <c r="AW1845" s="467" t="str">
        <f t="shared" si="1048"/>
        <v/>
      </c>
      <c r="AX1845" s="467" t="str">
        <f t="shared" si="1049"/>
        <v/>
      </c>
      <c r="AY1845" s="467" t="str">
        <f t="shared" si="1050"/>
        <v/>
      </c>
      <c r="AZ1845" s="467" t="str">
        <f t="shared" si="1051"/>
        <v/>
      </c>
      <c r="BA1845" s="468" t="str">
        <f>IF(AS1845="","",IF(OR(AU1845="",AU1845="-"),"－",IF(OR(AZ1845=8,AZ1845=9),"",IF(OR(AW1845=3,AW1845=4,AW1845=5,AW1845=6),VLOOKUP(AU1845,INDEX((係数_バス貨物_ガソリン,係数_バス貨物_CNG,係数_バス貨物_軽油,係数_バス貨物_メタノール,係数_バス貨物_LPG),MATCH(AY1845,【参考】排出係数!$AI$4:$AI$671,1),1,BE1845):INDEX((係数_バス貨物_ガソリン,係数_バス貨物_CNG,係数_バス貨物_軽油,係数_バス貨物_メタノール,係数_バス貨物_LPG),MATCH(AY1845+1,【参考】排出係数!$AI$4:$AI$671,1)-1,5,BE1845),2,FALSE),IF(OR(AW1845=1,AW1845=2),VLOOKUP(AU1845,INDEX((係数_乗用_ガソリン,係数_乗用_CNG,係数_乗用_軽油,係数_乗用_メタノール,係数_乗用_LPG),1,1,BE1845):INDEX((係数_乗用_ガソリン,係数_乗用_CNG,係数_乗用_軽油,係数_乗用_メタノール,係数_乗用_LPG),125,5,BE1845),2,FALSE))))))</f>
        <v/>
      </c>
      <c r="BB1845" s="468" t="str">
        <f>IF(T1845="","",IF(OR(AU1845="",AU1845="-"),"－",IF(OR(AZ1845=8,AZ1845=9),"",IF(OR(AW1845=3,AW1845=4,AW1845=5,AW1845=6),VLOOKUP(AU1845,INDEX((係数_バス貨物_ガソリン,係数_バス貨物_CNG,係数_バス貨物_軽油,係数_バス貨物_メタノール,係数_バス貨物_LPG),MATCH(AY1845,【参考】排出係数!$AI$4:$AI$671,1),1,BE1845):INDEX((係数_バス貨物_ガソリン,係数_バス貨物_CNG,係数_バス貨物_軽油,係数_バス貨物_メタノール,係数_バス貨物_LPG),MATCH(AY1845+1,【参考】排出係数!$AI$4:$AI$671,1)-1,5,BE1845),3,FALSE),IF(OR(AW1845=1,AW1845=2),VLOOKUP(AU1845,INDEX((係数_乗用_ガソリン,係数_乗用_CNG,係数_乗用_軽油,係数_乗用_メタノール,係数_乗用_LPG),1,1,BE1845):INDEX((係数_乗用_ガソリン,係数_乗用_CNG,係数_乗用_軽油,係数_乗用_メタノール,係数_乗用_LPG),125,5,BE1845),3,FALSE))))))</f>
        <v/>
      </c>
      <c r="BC1845" s="467" t="str">
        <f t="shared" si="1052"/>
        <v/>
      </c>
      <c r="BD1845" s="567" t="str">
        <f t="shared" si="1053"/>
        <v/>
      </c>
      <c r="BE1845" s="467" t="str">
        <f t="shared" si="1054"/>
        <v/>
      </c>
      <c r="BF1845" s="469" t="str">
        <f t="shared" ca="1" si="1055"/>
        <v/>
      </c>
      <c r="BG1845" s="469" t="str">
        <f t="shared" ca="1" si="1056"/>
        <v/>
      </c>
      <c r="BH1845" s="467" t="str">
        <f t="shared" si="1057"/>
        <v/>
      </c>
      <c r="BI1845" s="467" t="str">
        <f t="shared" ca="1" si="1058"/>
        <v/>
      </c>
      <c r="BJ1845" s="469" t="str">
        <f t="shared" si="1059"/>
        <v/>
      </c>
      <c r="BK1845" s="470" t="str">
        <f t="shared" si="1043"/>
        <v/>
      </c>
      <c r="BL1845" s="775" t="str">
        <f t="shared" si="1060"/>
        <v/>
      </c>
      <c r="BM1845" s="775" t="str">
        <f t="shared" si="1061"/>
        <v/>
      </c>
    </row>
    <row r="1846" spans="1:65">
      <c r="A1846" s="473">
        <v>1790</v>
      </c>
      <c r="B1846" s="132"/>
      <c r="C1846" s="332"/>
      <c r="D1846" s="333"/>
      <c r="E1846" s="333"/>
      <c r="F1846" s="334"/>
      <c r="G1846" s="337"/>
      <c r="H1846" s="131"/>
      <c r="I1846" s="337"/>
      <c r="J1846" s="131"/>
      <c r="K1846" s="458" t="str">
        <f t="shared" si="1062"/>
        <v/>
      </c>
      <c r="L1846" s="458">
        <f t="shared" si="1063"/>
        <v>0</v>
      </c>
      <c r="M1846" s="458">
        <f t="shared" si="1064"/>
        <v>0</v>
      </c>
      <c r="N1846" s="459" t="str">
        <f t="shared" si="1037"/>
        <v/>
      </c>
      <c r="O1846" s="459" t="str">
        <f t="shared" si="1038"/>
        <v/>
      </c>
      <c r="P1846" s="459" t="str">
        <f t="shared" si="1039"/>
        <v/>
      </c>
      <c r="Q1846" s="459" t="str">
        <f t="shared" si="1040"/>
        <v/>
      </c>
      <c r="R1846" s="459" t="str">
        <f t="shared" si="1041"/>
        <v/>
      </c>
      <c r="S1846" s="459" t="str">
        <f t="shared" si="1042"/>
        <v/>
      </c>
      <c r="T1846" s="566" t="str">
        <f t="shared" si="1065"/>
        <v/>
      </c>
      <c r="U1846" s="702"/>
      <c r="V1846" s="132"/>
      <c r="W1846" s="133"/>
      <c r="X1846" s="134"/>
      <c r="Y1846" s="135"/>
      <c r="Z1846" s="137"/>
      <c r="AA1846" s="136"/>
      <c r="AB1846" s="566" t="str">
        <f t="shared" si="1066"/>
        <v/>
      </c>
      <c r="AC1846" s="568" t="str">
        <f t="shared" si="1067"/>
        <v/>
      </c>
      <c r="AD1846" s="137"/>
      <c r="AE1846" s="137"/>
      <c r="AF1846" s="138"/>
      <c r="AG1846" s="138"/>
      <c r="AH1846" s="592" t="str">
        <f t="shared" si="1068"/>
        <v/>
      </c>
      <c r="AI1846" s="592" t="str">
        <f t="shared" si="1069"/>
        <v/>
      </c>
      <c r="AJ1846" s="592" t="str">
        <f t="shared" si="1070"/>
        <v/>
      </c>
      <c r="AK1846" s="460" t="str">
        <f>IF(AU1846="","",IF(OR(AZ1846=8,AZ1846=9),0,IF(OR(AW1846=3,AW1846=4,AW1846=5,AW1846=6),IF(LEFT(BF1846,1)="1",INDEX(係数_NOX・PM低減,MATCH(AY1846,【参考】排出係数!$AI$801:$AI$804,1),1),VLOOKUP(AU1846,INDEX((係数_バス貨物_ガソリン,係数_バス貨物_CNG,係数_バス貨物_軽油,係数_バス貨物_メタノール,係数_バス貨物_LPG),MATCH(AY1846,【参考】排出係数!$AI$4:$AI$671,1),1,BE1846):INDEX((係数_バス貨物_ガソリン,係数_バス貨物_CNG,係数_バス貨物_軽油,係数_バス貨物_メタノール,係数_バス貨物_LPG),MATCH(AY1846+1,【参考】排出係数!$AI$4:$AI$671,1)-1,5,BE1846),4,FALSE)),IF(AND(BE1846=3,LEFT(BF1846,1)="1"),0.48,VLOOKUP(AU1846,INDEX((係数_乗用_ガソリン,係数_乗用_CNG,係数_乗用_軽油,係数_乗用_メタノール,係数_乗用_LPG),1,1,BE1846):INDEX((係数_乗用_ガソリン,係数_乗用_CNG,係数_乗用_軽油,係数_乗用_メタノール,係数_乗用_LPG),125,5,BE1846),4,FALSE)))))</f>
        <v/>
      </c>
      <c r="AL1846" s="461" t="str">
        <f t="shared" si="1071"/>
        <v/>
      </c>
      <c r="AM1846" s="460" t="str">
        <f>IF(AU1846="","",IF(OR(AZ1846=8,AZ1846=9),0,IF(OR(AW1846=3,AW1846=4,AW1846=5,AW1846=6),IF(LEFT(BH1846,1)="1",INDEX(係数_PM低減,MATCH(AY1846,【参考】排出係数!$AI$801:$AI$804,1),MATCH(BI1846,【参考】排出係数!$AL$798:$AO$798,1)),VLOOKUP(AU1846,INDEX((係数_バス貨物_ガソリン,係数_バス貨物_CNG,係数_バス貨物_軽油,係数_バス貨物_メタノール,係数_バス貨物_LPG),MATCH(AY1846,【参考】排出係数!$AI$4:$AI$671,1),1,BE1846):INDEX((係数_バス貨物_ガソリン,係数_バス貨物_CNG,係数_バス貨物_軽油,係数_バス貨物_メタノール,係数_バス貨物_LPG),MATCH(AY1846+1,【参考】排出係数!$AI$4:$AI$671,1)-1,5,BE1846),5,FALSE)),IF(AND(BE1846=3,LEFT(BF1846,1)="1"),0.055,VLOOKUP(AU1846,INDEX((係数_乗用_ガソリン,係数_乗用_CNG,係数_乗用_軽油,係数_乗用_メタノール,係数_乗用_LPG),1,1,BE1846):INDEX((係数_乗用_ガソリン,係数_乗用_CNG,係数_乗用_軽油,係数_乗用_メタノール,係数_乗用_LPG),125,5,BE1846),5,FALSE)))))</f>
        <v/>
      </c>
      <c r="AN1846" s="461" t="str">
        <f t="shared" si="1072"/>
        <v/>
      </c>
      <c r="AO1846" s="462" t="str">
        <f t="shared" si="1073"/>
        <v/>
      </c>
      <c r="AP1846" s="463" t="str">
        <f t="shared" si="1074"/>
        <v/>
      </c>
      <c r="AQ1846" s="464"/>
      <c r="AR1846" s="619"/>
      <c r="AS1846" s="465" t="str">
        <f t="shared" si="1044"/>
        <v/>
      </c>
      <c r="AT1846" s="465" t="str">
        <f t="shared" si="1045"/>
        <v/>
      </c>
      <c r="AU1846" s="466" t="str">
        <f t="shared" si="1046"/>
        <v/>
      </c>
      <c r="AV1846" s="467" t="str">
        <f t="shared" si="1047"/>
        <v/>
      </c>
      <c r="AW1846" s="467" t="str">
        <f t="shared" si="1048"/>
        <v/>
      </c>
      <c r="AX1846" s="467" t="str">
        <f t="shared" si="1049"/>
        <v/>
      </c>
      <c r="AY1846" s="467" t="str">
        <f t="shared" si="1050"/>
        <v/>
      </c>
      <c r="AZ1846" s="467" t="str">
        <f t="shared" si="1051"/>
        <v/>
      </c>
      <c r="BA1846" s="468" t="str">
        <f>IF(AS1846="","",IF(OR(AU1846="",AU1846="-"),"－",IF(OR(AZ1846=8,AZ1846=9),"",IF(OR(AW1846=3,AW1846=4,AW1846=5,AW1846=6),VLOOKUP(AU1846,INDEX((係数_バス貨物_ガソリン,係数_バス貨物_CNG,係数_バス貨物_軽油,係数_バス貨物_メタノール,係数_バス貨物_LPG),MATCH(AY1846,【参考】排出係数!$AI$4:$AI$671,1),1,BE1846):INDEX((係数_バス貨物_ガソリン,係数_バス貨物_CNG,係数_バス貨物_軽油,係数_バス貨物_メタノール,係数_バス貨物_LPG),MATCH(AY1846+1,【参考】排出係数!$AI$4:$AI$671,1)-1,5,BE1846),2,FALSE),IF(OR(AW1846=1,AW1846=2),VLOOKUP(AU1846,INDEX((係数_乗用_ガソリン,係数_乗用_CNG,係数_乗用_軽油,係数_乗用_メタノール,係数_乗用_LPG),1,1,BE1846):INDEX((係数_乗用_ガソリン,係数_乗用_CNG,係数_乗用_軽油,係数_乗用_メタノール,係数_乗用_LPG),125,5,BE1846),2,FALSE))))))</f>
        <v/>
      </c>
      <c r="BB1846" s="468" t="str">
        <f>IF(T1846="","",IF(OR(AU1846="",AU1846="-"),"－",IF(OR(AZ1846=8,AZ1846=9),"",IF(OR(AW1846=3,AW1846=4,AW1846=5,AW1846=6),VLOOKUP(AU1846,INDEX((係数_バス貨物_ガソリン,係数_バス貨物_CNG,係数_バス貨物_軽油,係数_バス貨物_メタノール,係数_バス貨物_LPG),MATCH(AY1846,【参考】排出係数!$AI$4:$AI$671,1),1,BE1846):INDEX((係数_バス貨物_ガソリン,係数_バス貨物_CNG,係数_バス貨物_軽油,係数_バス貨物_メタノール,係数_バス貨物_LPG),MATCH(AY1846+1,【参考】排出係数!$AI$4:$AI$671,1)-1,5,BE1846),3,FALSE),IF(OR(AW1846=1,AW1846=2),VLOOKUP(AU1846,INDEX((係数_乗用_ガソリン,係数_乗用_CNG,係数_乗用_軽油,係数_乗用_メタノール,係数_乗用_LPG),1,1,BE1846):INDEX((係数_乗用_ガソリン,係数_乗用_CNG,係数_乗用_軽油,係数_乗用_メタノール,係数_乗用_LPG),125,5,BE1846),3,FALSE))))))</f>
        <v/>
      </c>
      <c r="BC1846" s="467" t="str">
        <f t="shared" si="1052"/>
        <v/>
      </c>
      <c r="BD1846" s="567" t="str">
        <f t="shared" si="1053"/>
        <v/>
      </c>
      <c r="BE1846" s="467" t="str">
        <f t="shared" si="1054"/>
        <v/>
      </c>
      <c r="BF1846" s="469" t="str">
        <f t="shared" ca="1" si="1055"/>
        <v/>
      </c>
      <c r="BG1846" s="469" t="str">
        <f t="shared" ca="1" si="1056"/>
        <v/>
      </c>
      <c r="BH1846" s="467" t="str">
        <f t="shared" si="1057"/>
        <v/>
      </c>
      <c r="BI1846" s="467" t="str">
        <f t="shared" ca="1" si="1058"/>
        <v/>
      </c>
      <c r="BJ1846" s="469" t="str">
        <f t="shared" si="1059"/>
        <v/>
      </c>
      <c r="BK1846" s="470" t="str">
        <f t="shared" si="1043"/>
        <v/>
      </c>
      <c r="BL1846" s="775" t="str">
        <f t="shared" si="1060"/>
        <v/>
      </c>
      <c r="BM1846" s="775" t="str">
        <f t="shared" si="1061"/>
        <v/>
      </c>
    </row>
    <row r="1847" spans="1:65">
      <c r="A1847" s="473">
        <v>1791</v>
      </c>
      <c r="B1847" s="132"/>
      <c r="C1847" s="332"/>
      <c r="D1847" s="333"/>
      <c r="E1847" s="333"/>
      <c r="F1847" s="334"/>
      <c r="G1847" s="337"/>
      <c r="H1847" s="131"/>
      <c r="I1847" s="337"/>
      <c r="J1847" s="131"/>
      <c r="K1847" s="458" t="str">
        <f t="shared" si="1062"/>
        <v/>
      </c>
      <c r="L1847" s="458">
        <f t="shared" si="1063"/>
        <v>0</v>
      </c>
      <c r="M1847" s="458">
        <f t="shared" si="1064"/>
        <v>0</v>
      </c>
      <c r="N1847" s="459" t="str">
        <f t="shared" ref="N1847:N1910" si="1075">IF(OR($L1847&gt;$U$48,$M1847&gt;$U$48,AND($L1847&gt;$M1847,$M1847&lt;&gt;0),AND($L1847=0,$M1847&lt;&gt;0)),"ERROR","")</f>
        <v/>
      </c>
      <c r="O1847" s="459" t="str">
        <f t="shared" ref="O1847:O1910" si="1076">IF(AND($N1847&lt;&gt;"ERROR",$L1847&lt;=$U$49,$M1847&lt;=$U$49,$M1847&lt;&gt;0),"(減車済)","")</f>
        <v/>
      </c>
      <c r="P1847" s="459" t="str">
        <f t="shared" ref="P1847:P1910" si="1077">IF(AND($N1847&lt;&gt;"ERROR",$L1847&lt;$U$49,AND($M1847&gt;$U$49,$M1847&lt;=$W$49),$M1847&lt;&gt;0),"減車","")</f>
        <v/>
      </c>
      <c r="Q1847" s="459" t="str">
        <f t="shared" ref="Q1847:Q1910" si="1078">IF(AND($N1847&lt;&gt;"ERROR",$L1847&gt;$U$49,$M1847&lt;=$W$49,$M1847&lt;&gt;0),"一時使用","")</f>
        <v/>
      </c>
      <c r="R1847" s="459" t="str">
        <f t="shared" ref="R1847:R1910" si="1079">IF(AND($N1847&lt;&gt;"ERROR",AND($L1847&gt;0,$L1847&lt;=$U$49),$M1847=0),"継続","")</f>
        <v/>
      </c>
      <c r="S1847" s="459" t="str">
        <f t="shared" ref="S1847:S1910" si="1080">IF(AND($N1847&lt;&gt;"ERROR",AND($L1847&gt;$U$49),$M1847=0),"新規","")</f>
        <v/>
      </c>
      <c r="T1847" s="566" t="str">
        <f t="shared" si="1065"/>
        <v/>
      </c>
      <c r="U1847" s="702"/>
      <c r="V1847" s="132"/>
      <c r="W1847" s="133"/>
      <c r="X1847" s="134"/>
      <c r="Y1847" s="135"/>
      <c r="Z1847" s="137"/>
      <c r="AA1847" s="136"/>
      <c r="AB1847" s="566" t="str">
        <f t="shared" si="1066"/>
        <v/>
      </c>
      <c r="AC1847" s="568" t="str">
        <f t="shared" si="1067"/>
        <v/>
      </c>
      <c r="AD1847" s="137"/>
      <c r="AE1847" s="137"/>
      <c r="AF1847" s="138"/>
      <c r="AG1847" s="138"/>
      <c r="AH1847" s="592" t="str">
        <f t="shared" si="1068"/>
        <v/>
      </c>
      <c r="AI1847" s="592" t="str">
        <f t="shared" si="1069"/>
        <v/>
      </c>
      <c r="AJ1847" s="592" t="str">
        <f t="shared" si="1070"/>
        <v/>
      </c>
      <c r="AK1847" s="460" t="str">
        <f>IF(AU1847="","",IF(OR(AZ1847=8,AZ1847=9),0,IF(OR(AW1847=3,AW1847=4,AW1847=5,AW1847=6),IF(LEFT(BF1847,1)="1",INDEX(係数_NOX・PM低減,MATCH(AY1847,【参考】排出係数!$AI$801:$AI$804,1),1),VLOOKUP(AU1847,INDEX((係数_バス貨物_ガソリン,係数_バス貨物_CNG,係数_バス貨物_軽油,係数_バス貨物_メタノール,係数_バス貨物_LPG),MATCH(AY1847,【参考】排出係数!$AI$4:$AI$671,1),1,BE1847):INDEX((係数_バス貨物_ガソリン,係数_バス貨物_CNG,係数_バス貨物_軽油,係数_バス貨物_メタノール,係数_バス貨物_LPG),MATCH(AY1847+1,【参考】排出係数!$AI$4:$AI$671,1)-1,5,BE1847),4,FALSE)),IF(AND(BE1847=3,LEFT(BF1847,1)="1"),0.48,VLOOKUP(AU1847,INDEX((係数_乗用_ガソリン,係数_乗用_CNG,係数_乗用_軽油,係数_乗用_メタノール,係数_乗用_LPG),1,1,BE1847):INDEX((係数_乗用_ガソリン,係数_乗用_CNG,係数_乗用_軽油,係数_乗用_メタノール,係数_乗用_LPG),125,5,BE1847),4,FALSE)))))</f>
        <v/>
      </c>
      <c r="AL1847" s="461" t="str">
        <f t="shared" si="1071"/>
        <v/>
      </c>
      <c r="AM1847" s="460" t="str">
        <f>IF(AU1847="","",IF(OR(AZ1847=8,AZ1847=9),0,IF(OR(AW1847=3,AW1847=4,AW1847=5,AW1847=6),IF(LEFT(BH1847,1)="1",INDEX(係数_PM低減,MATCH(AY1847,【参考】排出係数!$AI$801:$AI$804,1),MATCH(BI1847,【参考】排出係数!$AL$798:$AO$798,1)),VLOOKUP(AU1847,INDEX((係数_バス貨物_ガソリン,係数_バス貨物_CNG,係数_バス貨物_軽油,係数_バス貨物_メタノール,係数_バス貨物_LPG),MATCH(AY1847,【参考】排出係数!$AI$4:$AI$671,1),1,BE1847):INDEX((係数_バス貨物_ガソリン,係数_バス貨物_CNG,係数_バス貨物_軽油,係数_バス貨物_メタノール,係数_バス貨物_LPG),MATCH(AY1847+1,【参考】排出係数!$AI$4:$AI$671,1)-1,5,BE1847),5,FALSE)),IF(AND(BE1847=3,LEFT(BF1847,1)="1"),0.055,VLOOKUP(AU1847,INDEX((係数_乗用_ガソリン,係数_乗用_CNG,係数_乗用_軽油,係数_乗用_メタノール,係数_乗用_LPG),1,1,BE1847):INDEX((係数_乗用_ガソリン,係数_乗用_CNG,係数_乗用_軽油,係数_乗用_メタノール,係数_乗用_LPG),125,5,BE1847),5,FALSE)))))</f>
        <v/>
      </c>
      <c r="AN1847" s="461" t="str">
        <f t="shared" si="1072"/>
        <v/>
      </c>
      <c r="AO1847" s="462" t="str">
        <f t="shared" si="1073"/>
        <v/>
      </c>
      <c r="AP1847" s="463" t="str">
        <f t="shared" si="1074"/>
        <v/>
      </c>
      <c r="AQ1847" s="464"/>
      <c r="AR1847" s="619"/>
      <c r="AS1847" s="465" t="str">
        <f t="shared" si="1044"/>
        <v/>
      </c>
      <c r="AT1847" s="465" t="str">
        <f t="shared" si="1045"/>
        <v/>
      </c>
      <c r="AU1847" s="466" t="str">
        <f t="shared" si="1046"/>
        <v/>
      </c>
      <c r="AV1847" s="467" t="str">
        <f t="shared" si="1047"/>
        <v/>
      </c>
      <c r="AW1847" s="467" t="str">
        <f t="shared" si="1048"/>
        <v/>
      </c>
      <c r="AX1847" s="467" t="str">
        <f t="shared" si="1049"/>
        <v/>
      </c>
      <c r="AY1847" s="467" t="str">
        <f t="shared" si="1050"/>
        <v/>
      </c>
      <c r="AZ1847" s="467" t="str">
        <f t="shared" si="1051"/>
        <v/>
      </c>
      <c r="BA1847" s="468" t="str">
        <f>IF(AS1847="","",IF(OR(AU1847="",AU1847="-"),"－",IF(OR(AZ1847=8,AZ1847=9),"",IF(OR(AW1847=3,AW1847=4,AW1847=5,AW1847=6),VLOOKUP(AU1847,INDEX((係数_バス貨物_ガソリン,係数_バス貨物_CNG,係数_バス貨物_軽油,係数_バス貨物_メタノール,係数_バス貨物_LPG),MATCH(AY1847,【参考】排出係数!$AI$4:$AI$671,1),1,BE1847):INDEX((係数_バス貨物_ガソリン,係数_バス貨物_CNG,係数_バス貨物_軽油,係数_バス貨物_メタノール,係数_バス貨物_LPG),MATCH(AY1847+1,【参考】排出係数!$AI$4:$AI$671,1)-1,5,BE1847),2,FALSE),IF(OR(AW1847=1,AW1847=2),VLOOKUP(AU1847,INDEX((係数_乗用_ガソリン,係数_乗用_CNG,係数_乗用_軽油,係数_乗用_メタノール,係数_乗用_LPG),1,1,BE1847):INDEX((係数_乗用_ガソリン,係数_乗用_CNG,係数_乗用_軽油,係数_乗用_メタノール,係数_乗用_LPG),125,5,BE1847),2,FALSE))))))</f>
        <v/>
      </c>
      <c r="BB1847" s="468" t="str">
        <f>IF(T1847="","",IF(OR(AU1847="",AU1847="-"),"－",IF(OR(AZ1847=8,AZ1847=9),"",IF(OR(AW1847=3,AW1847=4,AW1847=5,AW1847=6),VLOOKUP(AU1847,INDEX((係数_バス貨物_ガソリン,係数_バス貨物_CNG,係数_バス貨物_軽油,係数_バス貨物_メタノール,係数_バス貨物_LPG),MATCH(AY1847,【参考】排出係数!$AI$4:$AI$671,1),1,BE1847):INDEX((係数_バス貨物_ガソリン,係数_バス貨物_CNG,係数_バス貨物_軽油,係数_バス貨物_メタノール,係数_バス貨物_LPG),MATCH(AY1847+1,【参考】排出係数!$AI$4:$AI$671,1)-1,5,BE1847),3,FALSE),IF(OR(AW1847=1,AW1847=2),VLOOKUP(AU1847,INDEX((係数_乗用_ガソリン,係数_乗用_CNG,係数_乗用_軽油,係数_乗用_メタノール,係数_乗用_LPG),1,1,BE1847):INDEX((係数_乗用_ガソリン,係数_乗用_CNG,係数_乗用_軽油,係数_乗用_メタノール,係数_乗用_LPG),125,5,BE1847),3,FALSE))))))</f>
        <v/>
      </c>
      <c r="BC1847" s="467" t="str">
        <f t="shared" si="1052"/>
        <v/>
      </c>
      <c r="BD1847" s="567" t="str">
        <f t="shared" si="1053"/>
        <v/>
      </c>
      <c r="BE1847" s="467" t="str">
        <f t="shared" si="1054"/>
        <v/>
      </c>
      <c r="BF1847" s="469" t="str">
        <f t="shared" ca="1" si="1055"/>
        <v/>
      </c>
      <c r="BG1847" s="469" t="str">
        <f t="shared" ca="1" si="1056"/>
        <v/>
      </c>
      <c r="BH1847" s="467" t="str">
        <f t="shared" si="1057"/>
        <v/>
      </c>
      <c r="BI1847" s="467" t="str">
        <f t="shared" ca="1" si="1058"/>
        <v/>
      </c>
      <c r="BJ1847" s="469" t="str">
        <f t="shared" si="1059"/>
        <v/>
      </c>
      <c r="BK1847" s="470" t="str">
        <f t="shared" si="1043"/>
        <v/>
      </c>
      <c r="BL1847" s="775" t="str">
        <f t="shared" si="1060"/>
        <v/>
      </c>
      <c r="BM1847" s="775" t="str">
        <f t="shared" si="1061"/>
        <v/>
      </c>
    </row>
    <row r="1848" spans="1:65">
      <c r="A1848" s="473">
        <v>1792</v>
      </c>
      <c r="B1848" s="132"/>
      <c r="C1848" s="332"/>
      <c r="D1848" s="333"/>
      <c r="E1848" s="333"/>
      <c r="F1848" s="334"/>
      <c r="G1848" s="337"/>
      <c r="H1848" s="131"/>
      <c r="I1848" s="337"/>
      <c r="J1848" s="131"/>
      <c r="K1848" s="458" t="str">
        <f t="shared" si="1062"/>
        <v/>
      </c>
      <c r="L1848" s="458">
        <f t="shared" si="1063"/>
        <v>0</v>
      </c>
      <c r="M1848" s="458">
        <f t="shared" si="1064"/>
        <v>0</v>
      </c>
      <c r="N1848" s="459" t="str">
        <f t="shared" si="1075"/>
        <v/>
      </c>
      <c r="O1848" s="459" t="str">
        <f t="shared" si="1076"/>
        <v/>
      </c>
      <c r="P1848" s="459" t="str">
        <f t="shared" si="1077"/>
        <v/>
      </c>
      <c r="Q1848" s="459" t="str">
        <f t="shared" si="1078"/>
        <v/>
      </c>
      <c r="R1848" s="459" t="str">
        <f t="shared" si="1079"/>
        <v/>
      </c>
      <c r="S1848" s="459" t="str">
        <f t="shared" si="1080"/>
        <v/>
      </c>
      <c r="T1848" s="566" t="str">
        <f t="shared" si="1065"/>
        <v/>
      </c>
      <c r="U1848" s="702"/>
      <c r="V1848" s="132"/>
      <c r="W1848" s="133"/>
      <c r="X1848" s="134"/>
      <c r="Y1848" s="135"/>
      <c r="Z1848" s="137"/>
      <c r="AA1848" s="136"/>
      <c r="AB1848" s="566" t="str">
        <f t="shared" si="1066"/>
        <v/>
      </c>
      <c r="AC1848" s="568" t="str">
        <f t="shared" si="1067"/>
        <v/>
      </c>
      <c r="AD1848" s="137"/>
      <c r="AE1848" s="137"/>
      <c r="AF1848" s="138"/>
      <c r="AG1848" s="138"/>
      <c r="AH1848" s="592" t="str">
        <f t="shared" si="1068"/>
        <v/>
      </c>
      <c r="AI1848" s="592" t="str">
        <f t="shared" si="1069"/>
        <v/>
      </c>
      <c r="AJ1848" s="592" t="str">
        <f t="shared" si="1070"/>
        <v/>
      </c>
      <c r="AK1848" s="460" t="str">
        <f>IF(AU1848="","",IF(OR(AZ1848=8,AZ1848=9),0,IF(OR(AW1848=3,AW1848=4,AW1848=5,AW1848=6),IF(LEFT(BF1848,1)="1",INDEX(係数_NOX・PM低減,MATCH(AY1848,【参考】排出係数!$AI$801:$AI$804,1),1),VLOOKUP(AU1848,INDEX((係数_バス貨物_ガソリン,係数_バス貨物_CNG,係数_バス貨物_軽油,係数_バス貨物_メタノール,係数_バス貨物_LPG),MATCH(AY1848,【参考】排出係数!$AI$4:$AI$671,1),1,BE1848):INDEX((係数_バス貨物_ガソリン,係数_バス貨物_CNG,係数_バス貨物_軽油,係数_バス貨物_メタノール,係数_バス貨物_LPG),MATCH(AY1848+1,【参考】排出係数!$AI$4:$AI$671,1)-1,5,BE1848),4,FALSE)),IF(AND(BE1848=3,LEFT(BF1848,1)="1"),0.48,VLOOKUP(AU1848,INDEX((係数_乗用_ガソリン,係数_乗用_CNG,係数_乗用_軽油,係数_乗用_メタノール,係数_乗用_LPG),1,1,BE1848):INDEX((係数_乗用_ガソリン,係数_乗用_CNG,係数_乗用_軽油,係数_乗用_メタノール,係数_乗用_LPG),125,5,BE1848),4,FALSE)))))</f>
        <v/>
      </c>
      <c r="AL1848" s="461" t="str">
        <f t="shared" si="1071"/>
        <v/>
      </c>
      <c r="AM1848" s="460" t="str">
        <f>IF(AU1848="","",IF(OR(AZ1848=8,AZ1848=9),0,IF(OR(AW1848=3,AW1848=4,AW1848=5,AW1848=6),IF(LEFT(BH1848,1)="1",INDEX(係数_PM低減,MATCH(AY1848,【参考】排出係数!$AI$801:$AI$804,1),MATCH(BI1848,【参考】排出係数!$AL$798:$AO$798,1)),VLOOKUP(AU1848,INDEX((係数_バス貨物_ガソリン,係数_バス貨物_CNG,係数_バス貨物_軽油,係数_バス貨物_メタノール,係数_バス貨物_LPG),MATCH(AY1848,【参考】排出係数!$AI$4:$AI$671,1),1,BE1848):INDEX((係数_バス貨物_ガソリン,係数_バス貨物_CNG,係数_バス貨物_軽油,係数_バス貨物_メタノール,係数_バス貨物_LPG),MATCH(AY1848+1,【参考】排出係数!$AI$4:$AI$671,1)-1,5,BE1848),5,FALSE)),IF(AND(BE1848=3,LEFT(BF1848,1)="1"),0.055,VLOOKUP(AU1848,INDEX((係数_乗用_ガソリン,係数_乗用_CNG,係数_乗用_軽油,係数_乗用_メタノール,係数_乗用_LPG),1,1,BE1848):INDEX((係数_乗用_ガソリン,係数_乗用_CNG,係数_乗用_軽油,係数_乗用_メタノール,係数_乗用_LPG),125,5,BE1848),5,FALSE)))))</f>
        <v/>
      </c>
      <c r="AN1848" s="461" t="str">
        <f t="shared" si="1072"/>
        <v/>
      </c>
      <c r="AO1848" s="462" t="str">
        <f t="shared" si="1073"/>
        <v/>
      </c>
      <c r="AP1848" s="463" t="str">
        <f t="shared" si="1074"/>
        <v/>
      </c>
      <c r="AQ1848" s="464"/>
      <c r="AR1848" s="619"/>
      <c r="AS1848" s="465" t="str">
        <f t="shared" si="1044"/>
        <v/>
      </c>
      <c r="AT1848" s="465" t="str">
        <f t="shared" si="1045"/>
        <v/>
      </c>
      <c r="AU1848" s="466" t="str">
        <f t="shared" si="1046"/>
        <v/>
      </c>
      <c r="AV1848" s="467" t="str">
        <f t="shared" si="1047"/>
        <v/>
      </c>
      <c r="AW1848" s="467" t="str">
        <f t="shared" si="1048"/>
        <v/>
      </c>
      <c r="AX1848" s="467" t="str">
        <f t="shared" si="1049"/>
        <v/>
      </c>
      <c r="AY1848" s="467" t="str">
        <f t="shared" si="1050"/>
        <v/>
      </c>
      <c r="AZ1848" s="467" t="str">
        <f t="shared" si="1051"/>
        <v/>
      </c>
      <c r="BA1848" s="468" t="str">
        <f>IF(AS1848="","",IF(OR(AU1848="",AU1848="-"),"－",IF(OR(AZ1848=8,AZ1848=9),"",IF(OR(AW1848=3,AW1848=4,AW1848=5,AW1848=6),VLOOKUP(AU1848,INDEX((係数_バス貨物_ガソリン,係数_バス貨物_CNG,係数_バス貨物_軽油,係数_バス貨物_メタノール,係数_バス貨物_LPG),MATCH(AY1848,【参考】排出係数!$AI$4:$AI$671,1),1,BE1848):INDEX((係数_バス貨物_ガソリン,係数_バス貨物_CNG,係数_バス貨物_軽油,係数_バス貨物_メタノール,係数_バス貨物_LPG),MATCH(AY1848+1,【参考】排出係数!$AI$4:$AI$671,1)-1,5,BE1848),2,FALSE),IF(OR(AW1848=1,AW1848=2),VLOOKUP(AU1848,INDEX((係数_乗用_ガソリン,係数_乗用_CNG,係数_乗用_軽油,係数_乗用_メタノール,係数_乗用_LPG),1,1,BE1848):INDEX((係数_乗用_ガソリン,係数_乗用_CNG,係数_乗用_軽油,係数_乗用_メタノール,係数_乗用_LPG),125,5,BE1848),2,FALSE))))))</f>
        <v/>
      </c>
      <c r="BB1848" s="468" t="str">
        <f>IF(T1848="","",IF(OR(AU1848="",AU1848="-"),"－",IF(OR(AZ1848=8,AZ1848=9),"",IF(OR(AW1848=3,AW1848=4,AW1848=5,AW1848=6),VLOOKUP(AU1848,INDEX((係数_バス貨物_ガソリン,係数_バス貨物_CNG,係数_バス貨物_軽油,係数_バス貨物_メタノール,係数_バス貨物_LPG),MATCH(AY1848,【参考】排出係数!$AI$4:$AI$671,1),1,BE1848):INDEX((係数_バス貨物_ガソリン,係数_バス貨物_CNG,係数_バス貨物_軽油,係数_バス貨物_メタノール,係数_バス貨物_LPG),MATCH(AY1848+1,【参考】排出係数!$AI$4:$AI$671,1)-1,5,BE1848),3,FALSE),IF(OR(AW1848=1,AW1848=2),VLOOKUP(AU1848,INDEX((係数_乗用_ガソリン,係数_乗用_CNG,係数_乗用_軽油,係数_乗用_メタノール,係数_乗用_LPG),1,1,BE1848):INDEX((係数_乗用_ガソリン,係数_乗用_CNG,係数_乗用_軽油,係数_乗用_メタノール,係数_乗用_LPG),125,5,BE1848),3,FALSE))))))</f>
        <v/>
      </c>
      <c r="BC1848" s="467" t="str">
        <f t="shared" si="1052"/>
        <v/>
      </c>
      <c r="BD1848" s="567" t="str">
        <f t="shared" si="1053"/>
        <v/>
      </c>
      <c r="BE1848" s="467" t="str">
        <f t="shared" si="1054"/>
        <v/>
      </c>
      <c r="BF1848" s="469" t="str">
        <f t="shared" ca="1" si="1055"/>
        <v/>
      </c>
      <c r="BG1848" s="469" t="str">
        <f t="shared" ca="1" si="1056"/>
        <v/>
      </c>
      <c r="BH1848" s="467" t="str">
        <f t="shared" si="1057"/>
        <v/>
      </c>
      <c r="BI1848" s="467" t="str">
        <f t="shared" ca="1" si="1058"/>
        <v/>
      </c>
      <c r="BJ1848" s="469" t="str">
        <f t="shared" si="1059"/>
        <v/>
      </c>
      <c r="BK1848" s="470" t="str">
        <f t="shared" si="1043"/>
        <v/>
      </c>
      <c r="BL1848" s="775" t="str">
        <f t="shared" si="1060"/>
        <v/>
      </c>
      <c r="BM1848" s="775" t="str">
        <f t="shared" si="1061"/>
        <v/>
      </c>
    </row>
    <row r="1849" spans="1:65">
      <c r="A1849" s="473">
        <v>1793</v>
      </c>
      <c r="B1849" s="132"/>
      <c r="C1849" s="332"/>
      <c r="D1849" s="333"/>
      <c r="E1849" s="333"/>
      <c r="F1849" s="334"/>
      <c r="G1849" s="337"/>
      <c r="H1849" s="131"/>
      <c r="I1849" s="337"/>
      <c r="J1849" s="131"/>
      <c r="K1849" s="458" t="str">
        <f t="shared" si="1062"/>
        <v/>
      </c>
      <c r="L1849" s="458">
        <f t="shared" si="1063"/>
        <v>0</v>
      </c>
      <c r="M1849" s="458">
        <f t="shared" si="1064"/>
        <v>0</v>
      </c>
      <c r="N1849" s="459" t="str">
        <f t="shared" si="1075"/>
        <v/>
      </c>
      <c r="O1849" s="459" t="str">
        <f t="shared" si="1076"/>
        <v/>
      </c>
      <c r="P1849" s="459" t="str">
        <f t="shared" si="1077"/>
        <v/>
      </c>
      <c r="Q1849" s="459" t="str">
        <f t="shared" si="1078"/>
        <v/>
      </c>
      <c r="R1849" s="459" t="str">
        <f t="shared" si="1079"/>
        <v/>
      </c>
      <c r="S1849" s="459" t="str">
        <f t="shared" si="1080"/>
        <v/>
      </c>
      <c r="T1849" s="566" t="str">
        <f t="shared" si="1065"/>
        <v/>
      </c>
      <c r="U1849" s="702"/>
      <c r="V1849" s="132"/>
      <c r="W1849" s="133"/>
      <c r="X1849" s="134"/>
      <c r="Y1849" s="135"/>
      <c r="Z1849" s="137"/>
      <c r="AA1849" s="136"/>
      <c r="AB1849" s="566" t="str">
        <f t="shared" si="1066"/>
        <v/>
      </c>
      <c r="AC1849" s="568" t="str">
        <f t="shared" si="1067"/>
        <v/>
      </c>
      <c r="AD1849" s="137"/>
      <c r="AE1849" s="137"/>
      <c r="AF1849" s="138"/>
      <c r="AG1849" s="138"/>
      <c r="AH1849" s="592" t="str">
        <f t="shared" si="1068"/>
        <v/>
      </c>
      <c r="AI1849" s="592" t="str">
        <f t="shared" si="1069"/>
        <v/>
      </c>
      <c r="AJ1849" s="592" t="str">
        <f t="shared" si="1070"/>
        <v/>
      </c>
      <c r="AK1849" s="460" t="str">
        <f>IF(AU1849="","",IF(OR(AZ1849=8,AZ1849=9),0,IF(OR(AW1849=3,AW1849=4,AW1849=5,AW1849=6),IF(LEFT(BF1849,1)="1",INDEX(係数_NOX・PM低減,MATCH(AY1849,【参考】排出係数!$AI$801:$AI$804,1),1),VLOOKUP(AU1849,INDEX((係数_バス貨物_ガソリン,係数_バス貨物_CNG,係数_バス貨物_軽油,係数_バス貨物_メタノール,係数_バス貨物_LPG),MATCH(AY1849,【参考】排出係数!$AI$4:$AI$671,1),1,BE1849):INDEX((係数_バス貨物_ガソリン,係数_バス貨物_CNG,係数_バス貨物_軽油,係数_バス貨物_メタノール,係数_バス貨物_LPG),MATCH(AY1849+1,【参考】排出係数!$AI$4:$AI$671,1)-1,5,BE1849),4,FALSE)),IF(AND(BE1849=3,LEFT(BF1849,1)="1"),0.48,VLOOKUP(AU1849,INDEX((係数_乗用_ガソリン,係数_乗用_CNG,係数_乗用_軽油,係数_乗用_メタノール,係数_乗用_LPG),1,1,BE1849):INDEX((係数_乗用_ガソリン,係数_乗用_CNG,係数_乗用_軽油,係数_乗用_メタノール,係数_乗用_LPG),125,5,BE1849),4,FALSE)))))</f>
        <v/>
      </c>
      <c r="AL1849" s="461" t="str">
        <f t="shared" si="1071"/>
        <v/>
      </c>
      <c r="AM1849" s="460" t="str">
        <f>IF(AU1849="","",IF(OR(AZ1849=8,AZ1849=9),0,IF(OR(AW1849=3,AW1849=4,AW1849=5,AW1849=6),IF(LEFT(BH1849,1)="1",INDEX(係数_PM低減,MATCH(AY1849,【参考】排出係数!$AI$801:$AI$804,1),MATCH(BI1849,【参考】排出係数!$AL$798:$AO$798,1)),VLOOKUP(AU1849,INDEX((係数_バス貨物_ガソリン,係数_バス貨物_CNG,係数_バス貨物_軽油,係数_バス貨物_メタノール,係数_バス貨物_LPG),MATCH(AY1849,【参考】排出係数!$AI$4:$AI$671,1),1,BE1849):INDEX((係数_バス貨物_ガソリン,係数_バス貨物_CNG,係数_バス貨物_軽油,係数_バス貨物_メタノール,係数_バス貨物_LPG),MATCH(AY1849+1,【参考】排出係数!$AI$4:$AI$671,1)-1,5,BE1849),5,FALSE)),IF(AND(BE1849=3,LEFT(BF1849,1)="1"),0.055,VLOOKUP(AU1849,INDEX((係数_乗用_ガソリン,係数_乗用_CNG,係数_乗用_軽油,係数_乗用_メタノール,係数_乗用_LPG),1,1,BE1849):INDEX((係数_乗用_ガソリン,係数_乗用_CNG,係数_乗用_軽油,係数_乗用_メタノール,係数_乗用_LPG),125,5,BE1849),5,FALSE)))))</f>
        <v/>
      </c>
      <c r="AN1849" s="461" t="str">
        <f t="shared" si="1072"/>
        <v/>
      </c>
      <c r="AO1849" s="462" t="str">
        <f t="shared" si="1073"/>
        <v/>
      </c>
      <c r="AP1849" s="463" t="str">
        <f t="shared" si="1074"/>
        <v/>
      </c>
      <c r="AQ1849" s="464"/>
      <c r="AR1849" s="619"/>
      <c r="AS1849" s="465" t="str">
        <f t="shared" si="1044"/>
        <v/>
      </c>
      <c r="AT1849" s="465" t="str">
        <f t="shared" si="1045"/>
        <v/>
      </c>
      <c r="AU1849" s="466" t="str">
        <f t="shared" si="1046"/>
        <v/>
      </c>
      <c r="AV1849" s="467" t="str">
        <f t="shared" si="1047"/>
        <v/>
      </c>
      <c r="AW1849" s="467" t="str">
        <f t="shared" si="1048"/>
        <v/>
      </c>
      <c r="AX1849" s="467" t="str">
        <f t="shared" si="1049"/>
        <v/>
      </c>
      <c r="AY1849" s="467" t="str">
        <f t="shared" si="1050"/>
        <v/>
      </c>
      <c r="AZ1849" s="467" t="str">
        <f t="shared" si="1051"/>
        <v/>
      </c>
      <c r="BA1849" s="468" t="str">
        <f>IF(AS1849="","",IF(OR(AU1849="",AU1849="-"),"－",IF(OR(AZ1849=8,AZ1849=9),"",IF(OR(AW1849=3,AW1849=4,AW1849=5,AW1849=6),VLOOKUP(AU1849,INDEX((係数_バス貨物_ガソリン,係数_バス貨物_CNG,係数_バス貨物_軽油,係数_バス貨物_メタノール,係数_バス貨物_LPG),MATCH(AY1849,【参考】排出係数!$AI$4:$AI$671,1),1,BE1849):INDEX((係数_バス貨物_ガソリン,係数_バス貨物_CNG,係数_バス貨物_軽油,係数_バス貨物_メタノール,係数_バス貨物_LPG),MATCH(AY1849+1,【参考】排出係数!$AI$4:$AI$671,1)-1,5,BE1849),2,FALSE),IF(OR(AW1849=1,AW1849=2),VLOOKUP(AU1849,INDEX((係数_乗用_ガソリン,係数_乗用_CNG,係数_乗用_軽油,係数_乗用_メタノール,係数_乗用_LPG),1,1,BE1849):INDEX((係数_乗用_ガソリン,係数_乗用_CNG,係数_乗用_軽油,係数_乗用_メタノール,係数_乗用_LPG),125,5,BE1849),2,FALSE))))))</f>
        <v/>
      </c>
      <c r="BB1849" s="468" t="str">
        <f>IF(T1849="","",IF(OR(AU1849="",AU1849="-"),"－",IF(OR(AZ1849=8,AZ1849=9),"",IF(OR(AW1849=3,AW1849=4,AW1849=5,AW1849=6),VLOOKUP(AU1849,INDEX((係数_バス貨物_ガソリン,係数_バス貨物_CNG,係数_バス貨物_軽油,係数_バス貨物_メタノール,係数_バス貨物_LPG),MATCH(AY1849,【参考】排出係数!$AI$4:$AI$671,1),1,BE1849):INDEX((係数_バス貨物_ガソリン,係数_バス貨物_CNG,係数_バス貨物_軽油,係数_バス貨物_メタノール,係数_バス貨物_LPG),MATCH(AY1849+1,【参考】排出係数!$AI$4:$AI$671,1)-1,5,BE1849),3,FALSE),IF(OR(AW1849=1,AW1849=2),VLOOKUP(AU1849,INDEX((係数_乗用_ガソリン,係数_乗用_CNG,係数_乗用_軽油,係数_乗用_メタノール,係数_乗用_LPG),1,1,BE1849):INDEX((係数_乗用_ガソリン,係数_乗用_CNG,係数_乗用_軽油,係数_乗用_メタノール,係数_乗用_LPG),125,5,BE1849),3,FALSE))))))</f>
        <v/>
      </c>
      <c r="BC1849" s="467" t="str">
        <f t="shared" si="1052"/>
        <v/>
      </c>
      <c r="BD1849" s="567" t="str">
        <f t="shared" si="1053"/>
        <v/>
      </c>
      <c r="BE1849" s="467" t="str">
        <f t="shared" si="1054"/>
        <v/>
      </c>
      <c r="BF1849" s="469" t="str">
        <f t="shared" ca="1" si="1055"/>
        <v/>
      </c>
      <c r="BG1849" s="469" t="str">
        <f t="shared" ca="1" si="1056"/>
        <v/>
      </c>
      <c r="BH1849" s="467" t="str">
        <f t="shared" si="1057"/>
        <v/>
      </c>
      <c r="BI1849" s="467" t="str">
        <f t="shared" ca="1" si="1058"/>
        <v/>
      </c>
      <c r="BJ1849" s="469" t="str">
        <f t="shared" si="1059"/>
        <v/>
      </c>
      <c r="BK1849" s="470" t="str">
        <f t="shared" ref="BK1849:BK1912" si="1081">IF(AS1849="","",VLOOKUP(T1849,車両の増減,2,FALSE))</f>
        <v/>
      </c>
      <c r="BL1849" s="775" t="str">
        <f t="shared" si="1060"/>
        <v/>
      </c>
      <c r="BM1849" s="775" t="str">
        <f t="shared" si="1061"/>
        <v/>
      </c>
    </row>
    <row r="1850" spans="1:65">
      <c r="A1850" s="473">
        <v>1794</v>
      </c>
      <c r="B1850" s="132"/>
      <c r="C1850" s="332"/>
      <c r="D1850" s="333"/>
      <c r="E1850" s="333"/>
      <c r="F1850" s="334"/>
      <c r="G1850" s="337"/>
      <c r="H1850" s="131"/>
      <c r="I1850" s="337"/>
      <c r="J1850" s="131"/>
      <c r="K1850" s="458" t="str">
        <f t="shared" si="1062"/>
        <v/>
      </c>
      <c r="L1850" s="458">
        <f t="shared" si="1063"/>
        <v>0</v>
      </c>
      <c r="M1850" s="458">
        <f t="shared" si="1064"/>
        <v>0</v>
      </c>
      <c r="N1850" s="459" t="str">
        <f t="shared" si="1075"/>
        <v/>
      </c>
      <c r="O1850" s="459" t="str">
        <f t="shared" si="1076"/>
        <v/>
      </c>
      <c r="P1850" s="459" t="str">
        <f t="shared" si="1077"/>
        <v/>
      </c>
      <c r="Q1850" s="459" t="str">
        <f t="shared" si="1078"/>
        <v/>
      </c>
      <c r="R1850" s="459" t="str">
        <f t="shared" si="1079"/>
        <v/>
      </c>
      <c r="S1850" s="459" t="str">
        <f t="shared" si="1080"/>
        <v/>
      </c>
      <c r="T1850" s="566" t="str">
        <f t="shared" si="1065"/>
        <v/>
      </c>
      <c r="U1850" s="702"/>
      <c r="V1850" s="132"/>
      <c r="W1850" s="133"/>
      <c r="X1850" s="134"/>
      <c r="Y1850" s="135"/>
      <c r="Z1850" s="137"/>
      <c r="AA1850" s="136"/>
      <c r="AB1850" s="566" t="str">
        <f t="shared" si="1066"/>
        <v/>
      </c>
      <c r="AC1850" s="568" t="str">
        <f t="shared" si="1067"/>
        <v/>
      </c>
      <c r="AD1850" s="137"/>
      <c r="AE1850" s="137"/>
      <c r="AF1850" s="138"/>
      <c r="AG1850" s="138"/>
      <c r="AH1850" s="592" t="str">
        <f t="shared" si="1068"/>
        <v/>
      </c>
      <c r="AI1850" s="592" t="str">
        <f t="shared" si="1069"/>
        <v/>
      </c>
      <c r="AJ1850" s="592" t="str">
        <f t="shared" si="1070"/>
        <v/>
      </c>
      <c r="AK1850" s="460" t="str">
        <f>IF(AU1850="","",IF(OR(AZ1850=8,AZ1850=9),0,IF(OR(AW1850=3,AW1850=4,AW1850=5,AW1850=6),IF(LEFT(BF1850,1)="1",INDEX(係数_NOX・PM低減,MATCH(AY1850,【参考】排出係数!$AI$801:$AI$804,1),1),VLOOKUP(AU1850,INDEX((係数_バス貨物_ガソリン,係数_バス貨物_CNG,係数_バス貨物_軽油,係数_バス貨物_メタノール,係数_バス貨物_LPG),MATCH(AY1850,【参考】排出係数!$AI$4:$AI$671,1),1,BE1850):INDEX((係数_バス貨物_ガソリン,係数_バス貨物_CNG,係数_バス貨物_軽油,係数_バス貨物_メタノール,係数_バス貨物_LPG),MATCH(AY1850+1,【参考】排出係数!$AI$4:$AI$671,1)-1,5,BE1850),4,FALSE)),IF(AND(BE1850=3,LEFT(BF1850,1)="1"),0.48,VLOOKUP(AU1850,INDEX((係数_乗用_ガソリン,係数_乗用_CNG,係数_乗用_軽油,係数_乗用_メタノール,係数_乗用_LPG),1,1,BE1850):INDEX((係数_乗用_ガソリン,係数_乗用_CNG,係数_乗用_軽油,係数_乗用_メタノール,係数_乗用_LPG),125,5,BE1850),4,FALSE)))))</f>
        <v/>
      </c>
      <c r="AL1850" s="461" t="str">
        <f t="shared" si="1071"/>
        <v/>
      </c>
      <c r="AM1850" s="460" t="str">
        <f>IF(AU1850="","",IF(OR(AZ1850=8,AZ1850=9),0,IF(OR(AW1850=3,AW1850=4,AW1850=5,AW1850=6),IF(LEFT(BH1850,1)="1",INDEX(係数_PM低減,MATCH(AY1850,【参考】排出係数!$AI$801:$AI$804,1),MATCH(BI1850,【参考】排出係数!$AL$798:$AO$798,1)),VLOOKUP(AU1850,INDEX((係数_バス貨物_ガソリン,係数_バス貨物_CNG,係数_バス貨物_軽油,係数_バス貨物_メタノール,係数_バス貨物_LPG),MATCH(AY1850,【参考】排出係数!$AI$4:$AI$671,1),1,BE1850):INDEX((係数_バス貨物_ガソリン,係数_バス貨物_CNG,係数_バス貨物_軽油,係数_バス貨物_メタノール,係数_バス貨物_LPG),MATCH(AY1850+1,【参考】排出係数!$AI$4:$AI$671,1)-1,5,BE1850),5,FALSE)),IF(AND(BE1850=3,LEFT(BF1850,1)="1"),0.055,VLOOKUP(AU1850,INDEX((係数_乗用_ガソリン,係数_乗用_CNG,係数_乗用_軽油,係数_乗用_メタノール,係数_乗用_LPG),1,1,BE1850):INDEX((係数_乗用_ガソリン,係数_乗用_CNG,係数_乗用_軽油,係数_乗用_メタノール,係数_乗用_LPG),125,5,BE1850),5,FALSE)))))</f>
        <v/>
      </c>
      <c r="AN1850" s="461" t="str">
        <f t="shared" si="1072"/>
        <v/>
      </c>
      <c r="AO1850" s="462" t="str">
        <f t="shared" si="1073"/>
        <v/>
      </c>
      <c r="AP1850" s="463" t="str">
        <f t="shared" si="1074"/>
        <v/>
      </c>
      <c r="AQ1850" s="464"/>
      <c r="AR1850" s="619"/>
      <c r="AS1850" s="465" t="str">
        <f t="shared" ref="AS1850:AS1913" si="1082">IF(OR(T1850="(減車済)",T1850=""),"",1)</f>
        <v/>
      </c>
      <c r="AT1850" s="465" t="str">
        <f t="shared" ref="AT1850:AT1913" si="1083">IF(OR(T1850="継続",T1850="新規"),1,"")</f>
        <v/>
      </c>
      <c r="AU1850" s="466" t="str">
        <f t="shared" ref="AU1850:AU1913" si="1084">IF(AS1850="","",UPPER(ASC(X1850)))</f>
        <v/>
      </c>
      <c r="AV1850" s="467" t="str">
        <f t="shared" ref="AV1850:AV1913" si="1085">IF(AS1850="","",IF(V1850="","",IF(V1850="普通",1,IF(V1850="小型",2,0))))</f>
        <v/>
      </c>
      <c r="AW1850" s="467" t="str">
        <f t="shared" ref="AW1850:AW1913" si="1086">IF(AS1850="","",IF(W1850="","",VLOOKUP(W1850,用途,2,FALSE)))</f>
        <v/>
      </c>
      <c r="AX1850" s="467" t="str">
        <f t="shared" ref="AX1850:AX1913" si="1087">IF(AS1850="","",IF(Y1850="","",IF(Y1850&lt;=10,1,IF(Y1850&lt;30,2,IF(Y1850&gt;=30,3,0)))))</f>
        <v/>
      </c>
      <c r="AY1850" s="467" t="str">
        <f t="shared" ref="AY1850:AY1913" si="1088">IF(AS1850="","",IF(Z1850="","",IF(Z1850&lt;=1.7*1000,1,IF(Z1850&lt;=2.5*1000,2,IF(Z1850&lt;=3.5*1000,3,IF(Z1850&lt;8*1000,4,IF(Z1850&gt;=8*1000,5,"")))))))</f>
        <v/>
      </c>
      <c r="AZ1850" s="467" t="str">
        <f t="shared" ref="AZ1850:AZ1913" si="1089">IF(AS1850="","",IF(AA1850="","",VLOOKUP(AA1850,燃料の種類,2,FALSE)))</f>
        <v/>
      </c>
      <c r="BA1850" s="468" t="str">
        <f>IF(AS1850="","",IF(OR(AU1850="",AU1850="-"),"－",IF(OR(AZ1850=8,AZ1850=9),"",IF(OR(AW1850=3,AW1850=4,AW1850=5,AW1850=6),VLOOKUP(AU1850,INDEX((係数_バス貨物_ガソリン,係数_バス貨物_CNG,係数_バス貨物_軽油,係数_バス貨物_メタノール,係数_バス貨物_LPG),MATCH(AY1850,【参考】排出係数!$AI$4:$AI$671,1),1,BE1850):INDEX((係数_バス貨物_ガソリン,係数_バス貨物_CNG,係数_バス貨物_軽油,係数_バス貨物_メタノール,係数_バス貨物_LPG),MATCH(AY1850+1,【参考】排出係数!$AI$4:$AI$671,1)-1,5,BE1850),2,FALSE),IF(OR(AW1850=1,AW1850=2),VLOOKUP(AU1850,INDEX((係数_乗用_ガソリン,係数_乗用_CNG,係数_乗用_軽油,係数_乗用_メタノール,係数_乗用_LPG),1,1,BE1850):INDEX((係数_乗用_ガソリン,係数_乗用_CNG,係数_乗用_軽油,係数_乗用_メタノール,係数_乗用_LPG),125,5,BE1850),2,FALSE))))))</f>
        <v/>
      </c>
      <c r="BB1850" s="468" t="str">
        <f>IF(T1850="","",IF(OR(AU1850="",AU1850="-"),"－",IF(OR(AZ1850=8,AZ1850=9),"",IF(OR(AW1850=3,AW1850=4,AW1850=5,AW1850=6),VLOOKUP(AU1850,INDEX((係数_バス貨物_ガソリン,係数_バス貨物_CNG,係数_バス貨物_軽油,係数_バス貨物_メタノール,係数_バス貨物_LPG),MATCH(AY1850,【参考】排出係数!$AI$4:$AI$671,1),1,BE1850):INDEX((係数_バス貨物_ガソリン,係数_バス貨物_CNG,係数_バス貨物_軽油,係数_バス貨物_メタノール,係数_バス貨物_LPG),MATCH(AY1850+1,【参考】排出係数!$AI$4:$AI$671,1)-1,5,BE1850),3,FALSE),IF(OR(AW1850=1,AW1850=2),VLOOKUP(AU1850,INDEX((係数_乗用_ガソリン,係数_乗用_CNG,係数_乗用_軽油,係数_乗用_メタノール,係数_乗用_LPG),1,1,BE1850):INDEX((係数_乗用_ガソリン,係数_乗用_CNG,係数_乗用_軽油,係数_乗用_メタノール,係数_乗用_LPG),125,5,BE1850),3,FALSE))))))</f>
        <v/>
      </c>
      <c r="BC1850" s="467" t="str">
        <f t="shared" ref="BC1850:BC1913" si="1090">IF((AS1850="")+(AC1850=""),"",IF(燃料区分1=4,VLOOKUP(BB1850,排ガス低減レベル,2,FALSE),VLOOKUP(AC1850,排ガス低減レベル,2,FALSE)))</f>
        <v/>
      </c>
      <c r="BD1850" s="567" t="str">
        <f t="shared" ref="BD1850:BD1913" si="1091">IF(AT1850="","",IF(AW1850=3,B1850&amp;"-"&amp;SUM(AW1850*100,AX1850*10,AY1850)&amp;"A",IF(OR(AW1850=2,AW1850=4,AW1850=6),B1850&amp;"-"&amp;AY1850*10&amp;"A",IF(AW1850=1,B1850&amp;"-"&amp;AW1850&amp;"A",IF(AW1850=5,B1850&amp;"-"&amp;SUM(AW1850*100,AV1850*10,AY1850)&amp;"A","")))))</f>
        <v/>
      </c>
      <c r="BE1850" s="467" t="str">
        <f t="shared" ref="BE1850:BE1913" si="1092">IF(OR(AZ1850=1,AZ1850=2,AZ1850=11),1,IF(AZ1850=6,2,IF(OR(AZ1850=4,AZ1850=5,AZ1850=10),3,IF(AZ1850=7,4,IF(AZ1850=3,5, IF(OR(AZ1850=8,AZ1850=9),6,""))))))</f>
        <v/>
      </c>
      <c r="BF1850" s="469" t="str">
        <f t="shared" ref="BF1850:BF1913" ca="1" si="1093">(IF(OR(AZ1850=4,AZ1850=5),OFFSET($CH$1,MATCH($AF1850,$CG$2:$CG$4,0),0)&amp;BK1850,""))</f>
        <v/>
      </c>
      <c r="BG1850" s="469" t="str">
        <f t="shared" ref="BG1850:BG1913" ca="1" si="1094">(IF(OR(AZ1850=4,AZ1850=5),OFFSET($CJ$1,MATCH($AG1850,$CI$2:$CI$5,0),0)&amp;BK1850,""))</f>
        <v/>
      </c>
      <c r="BH1850" s="467" t="str">
        <f t="shared" ref="BH1850:BH1913" si="1095">IF(OR(AZ1850=4,AZ1850=5),IF(OR(LEFT(BF1850,1)="1",LEFT(BG1850,1)="2",LEFT(BG1850,1)="3"),1,2)&amp;BK1850,"")</f>
        <v/>
      </c>
      <c r="BI1850" s="467" t="str">
        <f t="shared" ref="BI1850:BI1913" ca="1" si="1096">IF(LEFT(BF1850)="1",1,IF(LEFT(BG1850,1)="2",2,IF(LEFT(BG1850,1)="3",3,"")))</f>
        <v/>
      </c>
      <c r="BJ1850" s="469" t="str">
        <f t="shared" ref="BJ1850:BJ1913" si="1097">IF(AT1850="","",B1850&amp;"-"&amp;AZ1850)</f>
        <v/>
      </c>
      <c r="BK1850" s="470" t="str">
        <f t="shared" si="1081"/>
        <v/>
      </c>
      <c r="BL1850" s="775" t="str">
        <f t="shared" ref="BL1850:BL1913" si="1098">IF(AND(OR($T1850="新規",$T1850="継続"),ISBLANK($AD1850)),1,"")</f>
        <v/>
      </c>
      <c r="BM1850" s="775" t="str">
        <f t="shared" ref="BM1850:BM1913" si="1099">IF(AND(OR($T1850="新規",$T1850="継続"),ISBLANK($AE1850)),1,"")</f>
        <v/>
      </c>
    </row>
    <row r="1851" spans="1:65">
      <c r="A1851" s="473">
        <v>1795</v>
      </c>
      <c r="B1851" s="132"/>
      <c r="C1851" s="332"/>
      <c r="D1851" s="333"/>
      <c r="E1851" s="333"/>
      <c r="F1851" s="334"/>
      <c r="G1851" s="337"/>
      <c r="H1851" s="131"/>
      <c r="I1851" s="337"/>
      <c r="J1851" s="131"/>
      <c r="K1851" s="458" t="str">
        <f t="shared" si="1062"/>
        <v/>
      </c>
      <c r="L1851" s="458">
        <f t="shared" si="1063"/>
        <v>0</v>
      </c>
      <c r="M1851" s="458">
        <f t="shared" si="1064"/>
        <v>0</v>
      </c>
      <c r="N1851" s="459" t="str">
        <f t="shared" si="1075"/>
        <v/>
      </c>
      <c r="O1851" s="459" t="str">
        <f t="shared" si="1076"/>
        <v/>
      </c>
      <c r="P1851" s="459" t="str">
        <f t="shared" si="1077"/>
        <v/>
      </c>
      <c r="Q1851" s="459" t="str">
        <f t="shared" si="1078"/>
        <v/>
      </c>
      <c r="R1851" s="459" t="str">
        <f t="shared" si="1079"/>
        <v/>
      </c>
      <c r="S1851" s="459" t="str">
        <f t="shared" si="1080"/>
        <v/>
      </c>
      <c r="T1851" s="566" t="str">
        <f t="shared" si="1065"/>
        <v/>
      </c>
      <c r="U1851" s="702"/>
      <c r="V1851" s="132"/>
      <c r="W1851" s="133"/>
      <c r="X1851" s="134"/>
      <c r="Y1851" s="135"/>
      <c r="Z1851" s="137"/>
      <c r="AA1851" s="136"/>
      <c r="AB1851" s="566" t="str">
        <f t="shared" si="1066"/>
        <v/>
      </c>
      <c r="AC1851" s="568" t="str">
        <f t="shared" si="1067"/>
        <v/>
      </c>
      <c r="AD1851" s="137"/>
      <c r="AE1851" s="137"/>
      <c r="AF1851" s="138"/>
      <c r="AG1851" s="138"/>
      <c r="AH1851" s="592" t="str">
        <f t="shared" si="1068"/>
        <v/>
      </c>
      <c r="AI1851" s="592" t="str">
        <f t="shared" si="1069"/>
        <v/>
      </c>
      <c r="AJ1851" s="592" t="str">
        <f t="shared" si="1070"/>
        <v/>
      </c>
      <c r="AK1851" s="460" t="str">
        <f>IF(AU1851="","",IF(OR(AZ1851=8,AZ1851=9),0,IF(OR(AW1851=3,AW1851=4,AW1851=5,AW1851=6),IF(LEFT(BF1851,1)="1",INDEX(係数_NOX・PM低減,MATCH(AY1851,【参考】排出係数!$AI$801:$AI$804,1),1),VLOOKUP(AU1851,INDEX((係数_バス貨物_ガソリン,係数_バス貨物_CNG,係数_バス貨物_軽油,係数_バス貨物_メタノール,係数_バス貨物_LPG),MATCH(AY1851,【参考】排出係数!$AI$4:$AI$671,1),1,BE1851):INDEX((係数_バス貨物_ガソリン,係数_バス貨物_CNG,係数_バス貨物_軽油,係数_バス貨物_メタノール,係数_バス貨物_LPG),MATCH(AY1851+1,【参考】排出係数!$AI$4:$AI$671,1)-1,5,BE1851),4,FALSE)),IF(AND(BE1851=3,LEFT(BF1851,1)="1"),0.48,VLOOKUP(AU1851,INDEX((係数_乗用_ガソリン,係数_乗用_CNG,係数_乗用_軽油,係数_乗用_メタノール,係数_乗用_LPG),1,1,BE1851):INDEX((係数_乗用_ガソリン,係数_乗用_CNG,係数_乗用_軽油,係数_乗用_メタノール,係数_乗用_LPG),125,5,BE1851),4,FALSE)))))</f>
        <v/>
      </c>
      <c r="AL1851" s="461" t="str">
        <f t="shared" si="1071"/>
        <v/>
      </c>
      <c r="AM1851" s="460" t="str">
        <f>IF(AU1851="","",IF(OR(AZ1851=8,AZ1851=9),0,IF(OR(AW1851=3,AW1851=4,AW1851=5,AW1851=6),IF(LEFT(BH1851,1)="1",INDEX(係数_PM低減,MATCH(AY1851,【参考】排出係数!$AI$801:$AI$804,1),MATCH(BI1851,【参考】排出係数!$AL$798:$AO$798,1)),VLOOKUP(AU1851,INDEX((係数_バス貨物_ガソリン,係数_バス貨物_CNG,係数_バス貨物_軽油,係数_バス貨物_メタノール,係数_バス貨物_LPG),MATCH(AY1851,【参考】排出係数!$AI$4:$AI$671,1),1,BE1851):INDEX((係数_バス貨物_ガソリン,係数_バス貨物_CNG,係数_バス貨物_軽油,係数_バス貨物_メタノール,係数_バス貨物_LPG),MATCH(AY1851+1,【参考】排出係数!$AI$4:$AI$671,1)-1,5,BE1851),5,FALSE)),IF(AND(BE1851=3,LEFT(BF1851,1)="1"),0.055,VLOOKUP(AU1851,INDEX((係数_乗用_ガソリン,係数_乗用_CNG,係数_乗用_軽油,係数_乗用_メタノール,係数_乗用_LPG),1,1,BE1851):INDEX((係数_乗用_ガソリン,係数_乗用_CNG,係数_乗用_軽油,係数_乗用_メタノール,係数_乗用_LPG),125,5,BE1851),5,FALSE)))))</f>
        <v/>
      </c>
      <c r="AN1851" s="461" t="str">
        <f t="shared" si="1072"/>
        <v/>
      </c>
      <c r="AO1851" s="462" t="str">
        <f t="shared" si="1073"/>
        <v/>
      </c>
      <c r="AP1851" s="463" t="str">
        <f t="shared" si="1074"/>
        <v/>
      </c>
      <c r="AQ1851" s="464"/>
      <c r="AR1851" s="619"/>
      <c r="AS1851" s="465" t="str">
        <f t="shared" si="1082"/>
        <v/>
      </c>
      <c r="AT1851" s="465" t="str">
        <f t="shared" si="1083"/>
        <v/>
      </c>
      <c r="AU1851" s="466" t="str">
        <f t="shared" si="1084"/>
        <v/>
      </c>
      <c r="AV1851" s="467" t="str">
        <f t="shared" si="1085"/>
        <v/>
      </c>
      <c r="AW1851" s="467" t="str">
        <f t="shared" si="1086"/>
        <v/>
      </c>
      <c r="AX1851" s="467" t="str">
        <f t="shared" si="1087"/>
        <v/>
      </c>
      <c r="AY1851" s="467" t="str">
        <f t="shared" si="1088"/>
        <v/>
      </c>
      <c r="AZ1851" s="467" t="str">
        <f t="shared" si="1089"/>
        <v/>
      </c>
      <c r="BA1851" s="468" t="str">
        <f>IF(AS1851="","",IF(OR(AU1851="",AU1851="-"),"－",IF(OR(AZ1851=8,AZ1851=9),"",IF(OR(AW1851=3,AW1851=4,AW1851=5,AW1851=6),VLOOKUP(AU1851,INDEX((係数_バス貨物_ガソリン,係数_バス貨物_CNG,係数_バス貨物_軽油,係数_バス貨物_メタノール,係数_バス貨物_LPG),MATCH(AY1851,【参考】排出係数!$AI$4:$AI$671,1),1,BE1851):INDEX((係数_バス貨物_ガソリン,係数_バス貨物_CNG,係数_バス貨物_軽油,係数_バス貨物_メタノール,係数_バス貨物_LPG),MATCH(AY1851+1,【参考】排出係数!$AI$4:$AI$671,1)-1,5,BE1851),2,FALSE),IF(OR(AW1851=1,AW1851=2),VLOOKUP(AU1851,INDEX((係数_乗用_ガソリン,係数_乗用_CNG,係数_乗用_軽油,係数_乗用_メタノール,係数_乗用_LPG),1,1,BE1851):INDEX((係数_乗用_ガソリン,係数_乗用_CNG,係数_乗用_軽油,係数_乗用_メタノール,係数_乗用_LPG),125,5,BE1851),2,FALSE))))))</f>
        <v/>
      </c>
      <c r="BB1851" s="468" t="str">
        <f>IF(T1851="","",IF(OR(AU1851="",AU1851="-"),"－",IF(OR(AZ1851=8,AZ1851=9),"",IF(OR(AW1851=3,AW1851=4,AW1851=5,AW1851=6),VLOOKUP(AU1851,INDEX((係数_バス貨物_ガソリン,係数_バス貨物_CNG,係数_バス貨物_軽油,係数_バス貨物_メタノール,係数_バス貨物_LPG),MATCH(AY1851,【参考】排出係数!$AI$4:$AI$671,1),1,BE1851):INDEX((係数_バス貨物_ガソリン,係数_バス貨物_CNG,係数_バス貨物_軽油,係数_バス貨物_メタノール,係数_バス貨物_LPG),MATCH(AY1851+1,【参考】排出係数!$AI$4:$AI$671,1)-1,5,BE1851),3,FALSE),IF(OR(AW1851=1,AW1851=2),VLOOKUP(AU1851,INDEX((係数_乗用_ガソリン,係数_乗用_CNG,係数_乗用_軽油,係数_乗用_メタノール,係数_乗用_LPG),1,1,BE1851):INDEX((係数_乗用_ガソリン,係数_乗用_CNG,係数_乗用_軽油,係数_乗用_メタノール,係数_乗用_LPG),125,5,BE1851),3,FALSE))))))</f>
        <v/>
      </c>
      <c r="BC1851" s="467" t="str">
        <f t="shared" si="1090"/>
        <v/>
      </c>
      <c r="BD1851" s="567" t="str">
        <f t="shared" si="1091"/>
        <v/>
      </c>
      <c r="BE1851" s="467" t="str">
        <f t="shared" si="1092"/>
        <v/>
      </c>
      <c r="BF1851" s="469" t="str">
        <f t="shared" ca="1" si="1093"/>
        <v/>
      </c>
      <c r="BG1851" s="469" t="str">
        <f t="shared" ca="1" si="1094"/>
        <v/>
      </c>
      <c r="BH1851" s="467" t="str">
        <f t="shared" si="1095"/>
        <v/>
      </c>
      <c r="BI1851" s="467" t="str">
        <f t="shared" ca="1" si="1096"/>
        <v/>
      </c>
      <c r="BJ1851" s="469" t="str">
        <f t="shared" si="1097"/>
        <v/>
      </c>
      <c r="BK1851" s="470" t="str">
        <f t="shared" si="1081"/>
        <v/>
      </c>
      <c r="BL1851" s="775" t="str">
        <f t="shared" si="1098"/>
        <v/>
      </c>
      <c r="BM1851" s="775" t="str">
        <f t="shared" si="1099"/>
        <v/>
      </c>
    </row>
    <row r="1852" spans="1:65">
      <c r="A1852" s="473">
        <v>1796</v>
      </c>
      <c r="B1852" s="132"/>
      <c r="C1852" s="332"/>
      <c r="D1852" s="333"/>
      <c r="E1852" s="333"/>
      <c r="F1852" s="334"/>
      <c r="G1852" s="337"/>
      <c r="H1852" s="131"/>
      <c r="I1852" s="337"/>
      <c r="J1852" s="131"/>
      <c r="K1852" s="458" t="str">
        <f t="shared" si="1062"/>
        <v/>
      </c>
      <c r="L1852" s="458">
        <f t="shared" si="1063"/>
        <v>0</v>
      </c>
      <c r="M1852" s="458">
        <f t="shared" si="1064"/>
        <v>0</v>
      </c>
      <c r="N1852" s="459" t="str">
        <f t="shared" si="1075"/>
        <v/>
      </c>
      <c r="O1852" s="459" t="str">
        <f t="shared" si="1076"/>
        <v/>
      </c>
      <c r="P1852" s="459" t="str">
        <f t="shared" si="1077"/>
        <v/>
      </c>
      <c r="Q1852" s="459" t="str">
        <f t="shared" si="1078"/>
        <v/>
      </c>
      <c r="R1852" s="459" t="str">
        <f t="shared" si="1079"/>
        <v/>
      </c>
      <c r="S1852" s="459" t="str">
        <f t="shared" si="1080"/>
        <v/>
      </c>
      <c r="T1852" s="566" t="str">
        <f t="shared" si="1065"/>
        <v/>
      </c>
      <c r="U1852" s="702"/>
      <c r="V1852" s="132"/>
      <c r="W1852" s="133"/>
      <c r="X1852" s="134"/>
      <c r="Y1852" s="135"/>
      <c r="Z1852" s="137"/>
      <c r="AA1852" s="136"/>
      <c r="AB1852" s="566" t="str">
        <f t="shared" si="1066"/>
        <v/>
      </c>
      <c r="AC1852" s="568" t="str">
        <f t="shared" si="1067"/>
        <v/>
      </c>
      <c r="AD1852" s="137"/>
      <c r="AE1852" s="137"/>
      <c r="AF1852" s="138"/>
      <c r="AG1852" s="138"/>
      <c r="AH1852" s="592" t="str">
        <f t="shared" si="1068"/>
        <v/>
      </c>
      <c r="AI1852" s="592" t="str">
        <f t="shared" si="1069"/>
        <v/>
      </c>
      <c r="AJ1852" s="592" t="str">
        <f t="shared" si="1070"/>
        <v/>
      </c>
      <c r="AK1852" s="460" t="str">
        <f>IF(AU1852="","",IF(OR(AZ1852=8,AZ1852=9),0,IF(OR(AW1852=3,AW1852=4,AW1852=5,AW1852=6),IF(LEFT(BF1852,1)="1",INDEX(係数_NOX・PM低減,MATCH(AY1852,【参考】排出係数!$AI$801:$AI$804,1),1),VLOOKUP(AU1852,INDEX((係数_バス貨物_ガソリン,係数_バス貨物_CNG,係数_バス貨物_軽油,係数_バス貨物_メタノール,係数_バス貨物_LPG),MATCH(AY1852,【参考】排出係数!$AI$4:$AI$671,1),1,BE1852):INDEX((係数_バス貨物_ガソリン,係数_バス貨物_CNG,係数_バス貨物_軽油,係数_バス貨物_メタノール,係数_バス貨物_LPG),MATCH(AY1852+1,【参考】排出係数!$AI$4:$AI$671,1)-1,5,BE1852),4,FALSE)),IF(AND(BE1852=3,LEFT(BF1852,1)="1"),0.48,VLOOKUP(AU1852,INDEX((係数_乗用_ガソリン,係数_乗用_CNG,係数_乗用_軽油,係数_乗用_メタノール,係数_乗用_LPG),1,1,BE1852):INDEX((係数_乗用_ガソリン,係数_乗用_CNG,係数_乗用_軽油,係数_乗用_メタノール,係数_乗用_LPG),125,5,BE1852),4,FALSE)))))</f>
        <v/>
      </c>
      <c r="AL1852" s="461" t="str">
        <f t="shared" si="1071"/>
        <v/>
      </c>
      <c r="AM1852" s="460" t="str">
        <f>IF(AU1852="","",IF(OR(AZ1852=8,AZ1852=9),0,IF(OR(AW1852=3,AW1852=4,AW1852=5,AW1852=6),IF(LEFT(BH1852,1)="1",INDEX(係数_PM低減,MATCH(AY1852,【参考】排出係数!$AI$801:$AI$804,1),MATCH(BI1852,【参考】排出係数!$AL$798:$AO$798,1)),VLOOKUP(AU1852,INDEX((係数_バス貨物_ガソリン,係数_バス貨物_CNG,係数_バス貨物_軽油,係数_バス貨物_メタノール,係数_バス貨物_LPG),MATCH(AY1852,【参考】排出係数!$AI$4:$AI$671,1),1,BE1852):INDEX((係数_バス貨物_ガソリン,係数_バス貨物_CNG,係数_バス貨物_軽油,係数_バス貨物_メタノール,係数_バス貨物_LPG),MATCH(AY1852+1,【参考】排出係数!$AI$4:$AI$671,1)-1,5,BE1852),5,FALSE)),IF(AND(BE1852=3,LEFT(BF1852,1)="1"),0.055,VLOOKUP(AU1852,INDEX((係数_乗用_ガソリン,係数_乗用_CNG,係数_乗用_軽油,係数_乗用_メタノール,係数_乗用_LPG),1,1,BE1852):INDEX((係数_乗用_ガソリン,係数_乗用_CNG,係数_乗用_軽油,係数_乗用_メタノール,係数_乗用_LPG),125,5,BE1852),5,FALSE)))))</f>
        <v/>
      </c>
      <c r="AN1852" s="461" t="str">
        <f t="shared" si="1072"/>
        <v/>
      </c>
      <c r="AO1852" s="462" t="str">
        <f t="shared" si="1073"/>
        <v/>
      </c>
      <c r="AP1852" s="463" t="str">
        <f t="shared" si="1074"/>
        <v/>
      </c>
      <c r="AQ1852" s="464"/>
      <c r="AR1852" s="619"/>
      <c r="AS1852" s="465" t="str">
        <f t="shared" si="1082"/>
        <v/>
      </c>
      <c r="AT1852" s="465" t="str">
        <f t="shared" si="1083"/>
        <v/>
      </c>
      <c r="AU1852" s="466" t="str">
        <f t="shared" si="1084"/>
        <v/>
      </c>
      <c r="AV1852" s="467" t="str">
        <f t="shared" si="1085"/>
        <v/>
      </c>
      <c r="AW1852" s="467" t="str">
        <f t="shared" si="1086"/>
        <v/>
      </c>
      <c r="AX1852" s="467" t="str">
        <f t="shared" si="1087"/>
        <v/>
      </c>
      <c r="AY1852" s="467" t="str">
        <f t="shared" si="1088"/>
        <v/>
      </c>
      <c r="AZ1852" s="467" t="str">
        <f t="shared" si="1089"/>
        <v/>
      </c>
      <c r="BA1852" s="468" t="str">
        <f>IF(AS1852="","",IF(OR(AU1852="",AU1852="-"),"－",IF(OR(AZ1852=8,AZ1852=9),"",IF(OR(AW1852=3,AW1852=4,AW1852=5,AW1852=6),VLOOKUP(AU1852,INDEX((係数_バス貨物_ガソリン,係数_バス貨物_CNG,係数_バス貨物_軽油,係数_バス貨物_メタノール,係数_バス貨物_LPG),MATCH(AY1852,【参考】排出係数!$AI$4:$AI$671,1),1,BE1852):INDEX((係数_バス貨物_ガソリン,係数_バス貨物_CNG,係数_バス貨物_軽油,係数_バス貨物_メタノール,係数_バス貨物_LPG),MATCH(AY1852+1,【参考】排出係数!$AI$4:$AI$671,1)-1,5,BE1852),2,FALSE),IF(OR(AW1852=1,AW1852=2),VLOOKUP(AU1852,INDEX((係数_乗用_ガソリン,係数_乗用_CNG,係数_乗用_軽油,係数_乗用_メタノール,係数_乗用_LPG),1,1,BE1852):INDEX((係数_乗用_ガソリン,係数_乗用_CNG,係数_乗用_軽油,係数_乗用_メタノール,係数_乗用_LPG),125,5,BE1852),2,FALSE))))))</f>
        <v/>
      </c>
      <c r="BB1852" s="468" t="str">
        <f>IF(T1852="","",IF(OR(AU1852="",AU1852="-"),"－",IF(OR(AZ1852=8,AZ1852=9),"",IF(OR(AW1852=3,AW1852=4,AW1852=5,AW1852=6),VLOOKUP(AU1852,INDEX((係数_バス貨物_ガソリン,係数_バス貨物_CNG,係数_バス貨物_軽油,係数_バス貨物_メタノール,係数_バス貨物_LPG),MATCH(AY1852,【参考】排出係数!$AI$4:$AI$671,1),1,BE1852):INDEX((係数_バス貨物_ガソリン,係数_バス貨物_CNG,係数_バス貨物_軽油,係数_バス貨物_メタノール,係数_バス貨物_LPG),MATCH(AY1852+1,【参考】排出係数!$AI$4:$AI$671,1)-1,5,BE1852),3,FALSE),IF(OR(AW1852=1,AW1852=2),VLOOKUP(AU1852,INDEX((係数_乗用_ガソリン,係数_乗用_CNG,係数_乗用_軽油,係数_乗用_メタノール,係数_乗用_LPG),1,1,BE1852):INDEX((係数_乗用_ガソリン,係数_乗用_CNG,係数_乗用_軽油,係数_乗用_メタノール,係数_乗用_LPG),125,5,BE1852),3,FALSE))))))</f>
        <v/>
      </c>
      <c r="BC1852" s="467" t="str">
        <f t="shared" si="1090"/>
        <v/>
      </c>
      <c r="BD1852" s="567" t="str">
        <f t="shared" si="1091"/>
        <v/>
      </c>
      <c r="BE1852" s="467" t="str">
        <f t="shared" si="1092"/>
        <v/>
      </c>
      <c r="BF1852" s="469" t="str">
        <f t="shared" ca="1" si="1093"/>
        <v/>
      </c>
      <c r="BG1852" s="469" t="str">
        <f t="shared" ca="1" si="1094"/>
        <v/>
      </c>
      <c r="BH1852" s="467" t="str">
        <f t="shared" si="1095"/>
        <v/>
      </c>
      <c r="BI1852" s="467" t="str">
        <f t="shared" ca="1" si="1096"/>
        <v/>
      </c>
      <c r="BJ1852" s="469" t="str">
        <f t="shared" si="1097"/>
        <v/>
      </c>
      <c r="BK1852" s="470" t="str">
        <f t="shared" si="1081"/>
        <v/>
      </c>
      <c r="BL1852" s="775" t="str">
        <f t="shared" si="1098"/>
        <v/>
      </c>
      <c r="BM1852" s="775" t="str">
        <f t="shared" si="1099"/>
        <v/>
      </c>
    </row>
    <row r="1853" spans="1:65">
      <c r="A1853" s="473">
        <v>1797</v>
      </c>
      <c r="B1853" s="132"/>
      <c r="C1853" s="332"/>
      <c r="D1853" s="333"/>
      <c r="E1853" s="333"/>
      <c r="F1853" s="334"/>
      <c r="G1853" s="337"/>
      <c r="H1853" s="131"/>
      <c r="I1853" s="337"/>
      <c r="J1853" s="131"/>
      <c r="K1853" s="458" t="str">
        <f t="shared" si="1062"/>
        <v/>
      </c>
      <c r="L1853" s="458">
        <f t="shared" si="1063"/>
        <v>0</v>
      </c>
      <c r="M1853" s="458">
        <f t="shared" si="1064"/>
        <v>0</v>
      </c>
      <c r="N1853" s="459" t="str">
        <f t="shared" si="1075"/>
        <v/>
      </c>
      <c r="O1853" s="459" t="str">
        <f t="shared" si="1076"/>
        <v/>
      </c>
      <c r="P1853" s="459" t="str">
        <f t="shared" si="1077"/>
        <v/>
      </c>
      <c r="Q1853" s="459" t="str">
        <f t="shared" si="1078"/>
        <v/>
      </c>
      <c r="R1853" s="459" t="str">
        <f t="shared" si="1079"/>
        <v/>
      </c>
      <c r="S1853" s="459" t="str">
        <f t="shared" si="1080"/>
        <v/>
      </c>
      <c r="T1853" s="566" t="str">
        <f t="shared" si="1065"/>
        <v/>
      </c>
      <c r="U1853" s="702"/>
      <c r="V1853" s="132"/>
      <c r="W1853" s="133"/>
      <c r="X1853" s="134"/>
      <c r="Y1853" s="135"/>
      <c r="Z1853" s="137"/>
      <c r="AA1853" s="136"/>
      <c r="AB1853" s="566" t="str">
        <f t="shared" si="1066"/>
        <v/>
      </c>
      <c r="AC1853" s="568" t="str">
        <f t="shared" si="1067"/>
        <v/>
      </c>
      <c r="AD1853" s="137"/>
      <c r="AE1853" s="137"/>
      <c r="AF1853" s="138"/>
      <c r="AG1853" s="138"/>
      <c r="AH1853" s="592" t="str">
        <f t="shared" si="1068"/>
        <v/>
      </c>
      <c r="AI1853" s="592" t="str">
        <f t="shared" si="1069"/>
        <v/>
      </c>
      <c r="AJ1853" s="592" t="str">
        <f t="shared" si="1070"/>
        <v/>
      </c>
      <c r="AK1853" s="460" t="str">
        <f>IF(AU1853="","",IF(OR(AZ1853=8,AZ1853=9),0,IF(OR(AW1853=3,AW1853=4,AW1853=5,AW1853=6),IF(LEFT(BF1853,1)="1",INDEX(係数_NOX・PM低減,MATCH(AY1853,【参考】排出係数!$AI$801:$AI$804,1),1),VLOOKUP(AU1853,INDEX((係数_バス貨物_ガソリン,係数_バス貨物_CNG,係数_バス貨物_軽油,係数_バス貨物_メタノール,係数_バス貨物_LPG),MATCH(AY1853,【参考】排出係数!$AI$4:$AI$671,1),1,BE1853):INDEX((係数_バス貨物_ガソリン,係数_バス貨物_CNG,係数_バス貨物_軽油,係数_バス貨物_メタノール,係数_バス貨物_LPG),MATCH(AY1853+1,【参考】排出係数!$AI$4:$AI$671,1)-1,5,BE1853),4,FALSE)),IF(AND(BE1853=3,LEFT(BF1853,1)="1"),0.48,VLOOKUP(AU1853,INDEX((係数_乗用_ガソリン,係数_乗用_CNG,係数_乗用_軽油,係数_乗用_メタノール,係数_乗用_LPG),1,1,BE1853):INDEX((係数_乗用_ガソリン,係数_乗用_CNG,係数_乗用_軽油,係数_乗用_メタノール,係数_乗用_LPG),125,5,BE1853),4,FALSE)))))</f>
        <v/>
      </c>
      <c r="AL1853" s="461" t="str">
        <f t="shared" si="1071"/>
        <v/>
      </c>
      <c r="AM1853" s="460" t="str">
        <f>IF(AU1853="","",IF(OR(AZ1853=8,AZ1853=9),0,IF(OR(AW1853=3,AW1853=4,AW1853=5,AW1853=6),IF(LEFT(BH1853,1)="1",INDEX(係数_PM低減,MATCH(AY1853,【参考】排出係数!$AI$801:$AI$804,1),MATCH(BI1853,【参考】排出係数!$AL$798:$AO$798,1)),VLOOKUP(AU1853,INDEX((係数_バス貨物_ガソリン,係数_バス貨物_CNG,係数_バス貨物_軽油,係数_バス貨物_メタノール,係数_バス貨物_LPG),MATCH(AY1853,【参考】排出係数!$AI$4:$AI$671,1),1,BE1853):INDEX((係数_バス貨物_ガソリン,係数_バス貨物_CNG,係数_バス貨物_軽油,係数_バス貨物_メタノール,係数_バス貨物_LPG),MATCH(AY1853+1,【参考】排出係数!$AI$4:$AI$671,1)-1,5,BE1853),5,FALSE)),IF(AND(BE1853=3,LEFT(BF1853,1)="1"),0.055,VLOOKUP(AU1853,INDEX((係数_乗用_ガソリン,係数_乗用_CNG,係数_乗用_軽油,係数_乗用_メタノール,係数_乗用_LPG),1,1,BE1853):INDEX((係数_乗用_ガソリン,係数_乗用_CNG,係数_乗用_軽油,係数_乗用_メタノール,係数_乗用_LPG),125,5,BE1853),5,FALSE)))))</f>
        <v/>
      </c>
      <c r="AN1853" s="461" t="str">
        <f t="shared" si="1072"/>
        <v/>
      </c>
      <c r="AO1853" s="462" t="str">
        <f t="shared" si="1073"/>
        <v/>
      </c>
      <c r="AP1853" s="463" t="str">
        <f t="shared" si="1074"/>
        <v/>
      </c>
      <c r="AQ1853" s="464"/>
      <c r="AR1853" s="619"/>
      <c r="AS1853" s="465" t="str">
        <f t="shared" si="1082"/>
        <v/>
      </c>
      <c r="AT1853" s="465" t="str">
        <f t="shared" si="1083"/>
        <v/>
      </c>
      <c r="AU1853" s="466" t="str">
        <f t="shared" si="1084"/>
        <v/>
      </c>
      <c r="AV1853" s="467" t="str">
        <f t="shared" si="1085"/>
        <v/>
      </c>
      <c r="AW1853" s="467" t="str">
        <f t="shared" si="1086"/>
        <v/>
      </c>
      <c r="AX1853" s="467" t="str">
        <f t="shared" si="1087"/>
        <v/>
      </c>
      <c r="AY1853" s="467" t="str">
        <f t="shared" si="1088"/>
        <v/>
      </c>
      <c r="AZ1853" s="467" t="str">
        <f t="shared" si="1089"/>
        <v/>
      </c>
      <c r="BA1853" s="468" t="str">
        <f>IF(AS1853="","",IF(OR(AU1853="",AU1853="-"),"－",IF(OR(AZ1853=8,AZ1853=9),"",IF(OR(AW1853=3,AW1853=4,AW1853=5,AW1853=6),VLOOKUP(AU1853,INDEX((係数_バス貨物_ガソリン,係数_バス貨物_CNG,係数_バス貨物_軽油,係数_バス貨物_メタノール,係数_バス貨物_LPG),MATCH(AY1853,【参考】排出係数!$AI$4:$AI$671,1),1,BE1853):INDEX((係数_バス貨物_ガソリン,係数_バス貨物_CNG,係数_バス貨物_軽油,係数_バス貨物_メタノール,係数_バス貨物_LPG),MATCH(AY1853+1,【参考】排出係数!$AI$4:$AI$671,1)-1,5,BE1853),2,FALSE),IF(OR(AW1853=1,AW1853=2),VLOOKUP(AU1853,INDEX((係数_乗用_ガソリン,係数_乗用_CNG,係数_乗用_軽油,係数_乗用_メタノール,係数_乗用_LPG),1,1,BE1853):INDEX((係数_乗用_ガソリン,係数_乗用_CNG,係数_乗用_軽油,係数_乗用_メタノール,係数_乗用_LPG),125,5,BE1853),2,FALSE))))))</f>
        <v/>
      </c>
      <c r="BB1853" s="468" t="str">
        <f>IF(T1853="","",IF(OR(AU1853="",AU1853="-"),"－",IF(OR(AZ1853=8,AZ1853=9),"",IF(OR(AW1853=3,AW1853=4,AW1853=5,AW1853=6),VLOOKUP(AU1853,INDEX((係数_バス貨物_ガソリン,係数_バス貨物_CNG,係数_バス貨物_軽油,係数_バス貨物_メタノール,係数_バス貨物_LPG),MATCH(AY1853,【参考】排出係数!$AI$4:$AI$671,1),1,BE1853):INDEX((係数_バス貨物_ガソリン,係数_バス貨物_CNG,係数_バス貨物_軽油,係数_バス貨物_メタノール,係数_バス貨物_LPG),MATCH(AY1853+1,【参考】排出係数!$AI$4:$AI$671,1)-1,5,BE1853),3,FALSE),IF(OR(AW1853=1,AW1853=2),VLOOKUP(AU1853,INDEX((係数_乗用_ガソリン,係数_乗用_CNG,係数_乗用_軽油,係数_乗用_メタノール,係数_乗用_LPG),1,1,BE1853):INDEX((係数_乗用_ガソリン,係数_乗用_CNG,係数_乗用_軽油,係数_乗用_メタノール,係数_乗用_LPG),125,5,BE1853),3,FALSE))))))</f>
        <v/>
      </c>
      <c r="BC1853" s="467" t="str">
        <f t="shared" si="1090"/>
        <v/>
      </c>
      <c r="BD1853" s="567" t="str">
        <f t="shared" si="1091"/>
        <v/>
      </c>
      <c r="BE1853" s="467" t="str">
        <f t="shared" si="1092"/>
        <v/>
      </c>
      <c r="BF1853" s="469" t="str">
        <f t="shared" ca="1" si="1093"/>
        <v/>
      </c>
      <c r="BG1853" s="469" t="str">
        <f t="shared" ca="1" si="1094"/>
        <v/>
      </c>
      <c r="BH1853" s="467" t="str">
        <f t="shared" si="1095"/>
        <v/>
      </c>
      <c r="BI1853" s="467" t="str">
        <f t="shared" ca="1" si="1096"/>
        <v/>
      </c>
      <c r="BJ1853" s="469" t="str">
        <f t="shared" si="1097"/>
        <v/>
      </c>
      <c r="BK1853" s="470" t="str">
        <f t="shared" si="1081"/>
        <v/>
      </c>
      <c r="BL1853" s="775" t="str">
        <f t="shared" si="1098"/>
        <v/>
      </c>
      <c r="BM1853" s="775" t="str">
        <f t="shared" si="1099"/>
        <v/>
      </c>
    </row>
    <row r="1854" spans="1:65">
      <c r="A1854" s="473">
        <v>1798</v>
      </c>
      <c r="B1854" s="132"/>
      <c r="C1854" s="332"/>
      <c r="D1854" s="333"/>
      <c r="E1854" s="333"/>
      <c r="F1854" s="334"/>
      <c r="G1854" s="337"/>
      <c r="H1854" s="131"/>
      <c r="I1854" s="337"/>
      <c r="J1854" s="131"/>
      <c r="K1854" s="458" t="str">
        <f t="shared" si="1062"/>
        <v/>
      </c>
      <c r="L1854" s="458">
        <f t="shared" si="1063"/>
        <v>0</v>
      </c>
      <c r="M1854" s="458">
        <f t="shared" si="1064"/>
        <v>0</v>
      </c>
      <c r="N1854" s="459" t="str">
        <f t="shared" si="1075"/>
        <v/>
      </c>
      <c r="O1854" s="459" t="str">
        <f t="shared" si="1076"/>
        <v/>
      </c>
      <c r="P1854" s="459" t="str">
        <f t="shared" si="1077"/>
        <v/>
      </c>
      <c r="Q1854" s="459" t="str">
        <f t="shared" si="1078"/>
        <v/>
      </c>
      <c r="R1854" s="459" t="str">
        <f t="shared" si="1079"/>
        <v/>
      </c>
      <c r="S1854" s="459" t="str">
        <f t="shared" si="1080"/>
        <v/>
      </c>
      <c r="T1854" s="566" t="str">
        <f t="shared" si="1065"/>
        <v/>
      </c>
      <c r="U1854" s="702"/>
      <c r="V1854" s="132"/>
      <c r="W1854" s="133"/>
      <c r="X1854" s="134"/>
      <c r="Y1854" s="135"/>
      <c r="Z1854" s="137"/>
      <c r="AA1854" s="136"/>
      <c r="AB1854" s="566" t="str">
        <f t="shared" si="1066"/>
        <v/>
      </c>
      <c r="AC1854" s="568" t="str">
        <f t="shared" si="1067"/>
        <v/>
      </c>
      <c r="AD1854" s="137"/>
      <c r="AE1854" s="137"/>
      <c r="AF1854" s="138"/>
      <c r="AG1854" s="138"/>
      <c r="AH1854" s="592" t="str">
        <f t="shared" si="1068"/>
        <v/>
      </c>
      <c r="AI1854" s="592" t="str">
        <f t="shared" si="1069"/>
        <v/>
      </c>
      <c r="AJ1854" s="592" t="str">
        <f t="shared" si="1070"/>
        <v/>
      </c>
      <c r="AK1854" s="460" t="str">
        <f>IF(AU1854="","",IF(OR(AZ1854=8,AZ1854=9),0,IF(OR(AW1854=3,AW1854=4,AW1854=5,AW1854=6),IF(LEFT(BF1854,1)="1",INDEX(係数_NOX・PM低減,MATCH(AY1854,【参考】排出係数!$AI$801:$AI$804,1),1),VLOOKUP(AU1854,INDEX((係数_バス貨物_ガソリン,係数_バス貨物_CNG,係数_バス貨物_軽油,係数_バス貨物_メタノール,係数_バス貨物_LPG),MATCH(AY1854,【参考】排出係数!$AI$4:$AI$671,1),1,BE1854):INDEX((係数_バス貨物_ガソリン,係数_バス貨物_CNG,係数_バス貨物_軽油,係数_バス貨物_メタノール,係数_バス貨物_LPG),MATCH(AY1854+1,【参考】排出係数!$AI$4:$AI$671,1)-1,5,BE1854),4,FALSE)),IF(AND(BE1854=3,LEFT(BF1854,1)="1"),0.48,VLOOKUP(AU1854,INDEX((係数_乗用_ガソリン,係数_乗用_CNG,係数_乗用_軽油,係数_乗用_メタノール,係数_乗用_LPG),1,1,BE1854):INDEX((係数_乗用_ガソリン,係数_乗用_CNG,係数_乗用_軽油,係数_乗用_メタノール,係数_乗用_LPG),125,5,BE1854),4,FALSE)))))</f>
        <v/>
      </c>
      <c r="AL1854" s="461" t="str">
        <f t="shared" si="1071"/>
        <v/>
      </c>
      <c r="AM1854" s="460" t="str">
        <f>IF(AU1854="","",IF(OR(AZ1854=8,AZ1854=9),0,IF(OR(AW1854=3,AW1854=4,AW1854=5,AW1854=6),IF(LEFT(BH1854,1)="1",INDEX(係数_PM低減,MATCH(AY1854,【参考】排出係数!$AI$801:$AI$804,1),MATCH(BI1854,【参考】排出係数!$AL$798:$AO$798,1)),VLOOKUP(AU1854,INDEX((係数_バス貨物_ガソリン,係数_バス貨物_CNG,係数_バス貨物_軽油,係数_バス貨物_メタノール,係数_バス貨物_LPG),MATCH(AY1854,【参考】排出係数!$AI$4:$AI$671,1),1,BE1854):INDEX((係数_バス貨物_ガソリン,係数_バス貨物_CNG,係数_バス貨物_軽油,係数_バス貨物_メタノール,係数_バス貨物_LPG),MATCH(AY1854+1,【参考】排出係数!$AI$4:$AI$671,1)-1,5,BE1854),5,FALSE)),IF(AND(BE1854=3,LEFT(BF1854,1)="1"),0.055,VLOOKUP(AU1854,INDEX((係数_乗用_ガソリン,係数_乗用_CNG,係数_乗用_軽油,係数_乗用_メタノール,係数_乗用_LPG),1,1,BE1854):INDEX((係数_乗用_ガソリン,係数_乗用_CNG,係数_乗用_軽油,係数_乗用_メタノール,係数_乗用_LPG),125,5,BE1854),5,FALSE)))))</f>
        <v/>
      </c>
      <c r="AN1854" s="461" t="str">
        <f t="shared" si="1072"/>
        <v/>
      </c>
      <c r="AO1854" s="462" t="str">
        <f t="shared" si="1073"/>
        <v/>
      </c>
      <c r="AP1854" s="463" t="str">
        <f t="shared" si="1074"/>
        <v/>
      </c>
      <c r="AQ1854" s="464"/>
      <c r="AR1854" s="619"/>
      <c r="AS1854" s="465" t="str">
        <f t="shared" si="1082"/>
        <v/>
      </c>
      <c r="AT1854" s="465" t="str">
        <f t="shared" si="1083"/>
        <v/>
      </c>
      <c r="AU1854" s="466" t="str">
        <f t="shared" si="1084"/>
        <v/>
      </c>
      <c r="AV1854" s="467" t="str">
        <f t="shared" si="1085"/>
        <v/>
      </c>
      <c r="AW1854" s="467" t="str">
        <f t="shared" si="1086"/>
        <v/>
      </c>
      <c r="AX1854" s="467" t="str">
        <f t="shared" si="1087"/>
        <v/>
      </c>
      <c r="AY1854" s="467" t="str">
        <f t="shared" si="1088"/>
        <v/>
      </c>
      <c r="AZ1854" s="467" t="str">
        <f t="shared" si="1089"/>
        <v/>
      </c>
      <c r="BA1854" s="468" t="str">
        <f>IF(AS1854="","",IF(OR(AU1854="",AU1854="-"),"－",IF(OR(AZ1854=8,AZ1854=9),"",IF(OR(AW1854=3,AW1854=4,AW1854=5,AW1854=6),VLOOKUP(AU1854,INDEX((係数_バス貨物_ガソリン,係数_バス貨物_CNG,係数_バス貨物_軽油,係数_バス貨物_メタノール,係数_バス貨物_LPG),MATCH(AY1854,【参考】排出係数!$AI$4:$AI$671,1),1,BE1854):INDEX((係数_バス貨物_ガソリン,係数_バス貨物_CNG,係数_バス貨物_軽油,係数_バス貨物_メタノール,係数_バス貨物_LPG),MATCH(AY1854+1,【参考】排出係数!$AI$4:$AI$671,1)-1,5,BE1854),2,FALSE),IF(OR(AW1854=1,AW1854=2),VLOOKUP(AU1854,INDEX((係数_乗用_ガソリン,係数_乗用_CNG,係数_乗用_軽油,係数_乗用_メタノール,係数_乗用_LPG),1,1,BE1854):INDEX((係数_乗用_ガソリン,係数_乗用_CNG,係数_乗用_軽油,係数_乗用_メタノール,係数_乗用_LPG),125,5,BE1854),2,FALSE))))))</f>
        <v/>
      </c>
      <c r="BB1854" s="468" t="str">
        <f>IF(T1854="","",IF(OR(AU1854="",AU1854="-"),"－",IF(OR(AZ1854=8,AZ1854=9),"",IF(OR(AW1854=3,AW1854=4,AW1854=5,AW1854=6),VLOOKUP(AU1854,INDEX((係数_バス貨物_ガソリン,係数_バス貨物_CNG,係数_バス貨物_軽油,係数_バス貨物_メタノール,係数_バス貨物_LPG),MATCH(AY1854,【参考】排出係数!$AI$4:$AI$671,1),1,BE1854):INDEX((係数_バス貨物_ガソリン,係数_バス貨物_CNG,係数_バス貨物_軽油,係数_バス貨物_メタノール,係数_バス貨物_LPG),MATCH(AY1854+1,【参考】排出係数!$AI$4:$AI$671,1)-1,5,BE1854),3,FALSE),IF(OR(AW1854=1,AW1854=2),VLOOKUP(AU1854,INDEX((係数_乗用_ガソリン,係数_乗用_CNG,係数_乗用_軽油,係数_乗用_メタノール,係数_乗用_LPG),1,1,BE1854):INDEX((係数_乗用_ガソリン,係数_乗用_CNG,係数_乗用_軽油,係数_乗用_メタノール,係数_乗用_LPG),125,5,BE1854),3,FALSE))))))</f>
        <v/>
      </c>
      <c r="BC1854" s="467" t="str">
        <f t="shared" si="1090"/>
        <v/>
      </c>
      <c r="BD1854" s="567" t="str">
        <f t="shared" si="1091"/>
        <v/>
      </c>
      <c r="BE1854" s="467" t="str">
        <f t="shared" si="1092"/>
        <v/>
      </c>
      <c r="BF1854" s="469" t="str">
        <f t="shared" ca="1" si="1093"/>
        <v/>
      </c>
      <c r="BG1854" s="469" t="str">
        <f t="shared" ca="1" si="1094"/>
        <v/>
      </c>
      <c r="BH1854" s="467" t="str">
        <f t="shared" si="1095"/>
        <v/>
      </c>
      <c r="BI1854" s="467" t="str">
        <f t="shared" ca="1" si="1096"/>
        <v/>
      </c>
      <c r="BJ1854" s="469" t="str">
        <f t="shared" si="1097"/>
        <v/>
      </c>
      <c r="BK1854" s="470" t="str">
        <f t="shared" si="1081"/>
        <v/>
      </c>
      <c r="BL1854" s="775" t="str">
        <f t="shared" si="1098"/>
        <v/>
      </c>
      <c r="BM1854" s="775" t="str">
        <f t="shared" si="1099"/>
        <v/>
      </c>
    </row>
    <row r="1855" spans="1:65">
      <c r="A1855" s="473">
        <v>1799</v>
      </c>
      <c r="B1855" s="132"/>
      <c r="C1855" s="332"/>
      <c r="D1855" s="333"/>
      <c r="E1855" s="333"/>
      <c r="F1855" s="334"/>
      <c r="G1855" s="337"/>
      <c r="H1855" s="131"/>
      <c r="I1855" s="337"/>
      <c r="J1855" s="131"/>
      <c r="K1855" s="458" t="str">
        <f t="shared" si="1062"/>
        <v/>
      </c>
      <c r="L1855" s="458">
        <f t="shared" si="1063"/>
        <v>0</v>
      </c>
      <c r="M1855" s="458">
        <f t="shared" si="1064"/>
        <v>0</v>
      </c>
      <c r="N1855" s="459" t="str">
        <f t="shared" si="1075"/>
        <v/>
      </c>
      <c r="O1855" s="459" t="str">
        <f t="shared" si="1076"/>
        <v/>
      </c>
      <c r="P1855" s="459" t="str">
        <f t="shared" si="1077"/>
        <v/>
      </c>
      <c r="Q1855" s="459" t="str">
        <f t="shared" si="1078"/>
        <v/>
      </c>
      <c r="R1855" s="459" t="str">
        <f t="shared" si="1079"/>
        <v/>
      </c>
      <c r="S1855" s="459" t="str">
        <f t="shared" si="1080"/>
        <v/>
      </c>
      <c r="T1855" s="566" t="str">
        <f t="shared" si="1065"/>
        <v/>
      </c>
      <c r="U1855" s="702"/>
      <c r="V1855" s="132"/>
      <c r="W1855" s="133"/>
      <c r="X1855" s="134"/>
      <c r="Y1855" s="135"/>
      <c r="Z1855" s="137"/>
      <c r="AA1855" s="136"/>
      <c r="AB1855" s="566" t="str">
        <f t="shared" si="1066"/>
        <v/>
      </c>
      <c r="AC1855" s="568" t="str">
        <f t="shared" si="1067"/>
        <v/>
      </c>
      <c r="AD1855" s="137"/>
      <c r="AE1855" s="137"/>
      <c r="AF1855" s="138"/>
      <c r="AG1855" s="138"/>
      <c r="AH1855" s="592" t="str">
        <f t="shared" si="1068"/>
        <v/>
      </c>
      <c r="AI1855" s="592" t="str">
        <f t="shared" si="1069"/>
        <v/>
      </c>
      <c r="AJ1855" s="592" t="str">
        <f t="shared" si="1070"/>
        <v/>
      </c>
      <c r="AK1855" s="460" t="str">
        <f>IF(AU1855="","",IF(OR(AZ1855=8,AZ1855=9),0,IF(OR(AW1855=3,AW1855=4,AW1855=5,AW1855=6),IF(LEFT(BF1855,1)="1",INDEX(係数_NOX・PM低減,MATCH(AY1855,【参考】排出係数!$AI$801:$AI$804,1),1),VLOOKUP(AU1855,INDEX((係数_バス貨物_ガソリン,係数_バス貨物_CNG,係数_バス貨物_軽油,係数_バス貨物_メタノール,係数_バス貨物_LPG),MATCH(AY1855,【参考】排出係数!$AI$4:$AI$671,1),1,BE1855):INDEX((係数_バス貨物_ガソリン,係数_バス貨物_CNG,係数_バス貨物_軽油,係数_バス貨物_メタノール,係数_バス貨物_LPG),MATCH(AY1855+1,【参考】排出係数!$AI$4:$AI$671,1)-1,5,BE1855),4,FALSE)),IF(AND(BE1855=3,LEFT(BF1855,1)="1"),0.48,VLOOKUP(AU1855,INDEX((係数_乗用_ガソリン,係数_乗用_CNG,係数_乗用_軽油,係数_乗用_メタノール,係数_乗用_LPG),1,1,BE1855):INDEX((係数_乗用_ガソリン,係数_乗用_CNG,係数_乗用_軽油,係数_乗用_メタノール,係数_乗用_LPG),125,5,BE1855),4,FALSE)))))</f>
        <v/>
      </c>
      <c r="AL1855" s="461" t="str">
        <f t="shared" si="1071"/>
        <v/>
      </c>
      <c r="AM1855" s="460" t="str">
        <f>IF(AU1855="","",IF(OR(AZ1855=8,AZ1855=9),0,IF(OR(AW1855=3,AW1855=4,AW1855=5,AW1855=6),IF(LEFT(BH1855,1)="1",INDEX(係数_PM低減,MATCH(AY1855,【参考】排出係数!$AI$801:$AI$804,1),MATCH(BI1855,【参考】排出係数!$AL$798:$AO$798,1)),VLOOKUP(AU1855,INDEX((係数_バス貨物_ガソリン,係数_バス貨物_CNG,係数_バス貨物_軽油,係数_バス貨物_メタノール,係数_バス貨物_LPG),MATCH(AY1855,【参考】排出係数!$AI$4:$AI$671,1),1,BE1855):INDEX((係数_バス貨物_ガソリン,係数_バス貨物_CNG,係数_バス貨物_軽油,係数_バス貨物_メタノール,係数_バス貨物_LPG),MATCH(AY1855+1,【参考】排出係数!$AI$4:$AI$671,1)-1,5,BE1855),5,FALSE)),IF(AND(BE1855=3,LEFT(BF1855,1)="1"),0.055,VLOOKUP(AU1855,INDEX((係数_乗用_ガソリン,係数_乗用_CNG,係数_乗用_軽油,係数_乗用_メタノール,係数_乗用_LPG),1,1,BE1855):INDEX((係数_乗用_ガソリン,係数_乗用_CNG,係数_乗用_軽油,係数_乗用_メタノール,係数_乗用_LPG),125,5,BE1855),5,FALSE)))))</f>
        <v/>
      </c>
      <c r="AN1855" s="461" t="str">
        <f t="shared" si="1072"/>
        <v/>
      </c>
      <c r="AO1855" s="462" t="str">
        <f t="shared" si="1073"/>
        <v/>
      </c>
      <c r="AP1855" s="463" t="str">
        <f t="shared" si="1074"/>
        <v/>
      </c>
      <c r="AQ1855" s="464"/>
      <c r="AR1855" s="619"/>
      <c r="AS1855" s="465" t="str">
        <f t="shared" si="1082"/>
        <v/>
      </c>
      <c r="AT1855" s="465" t="str">
        <f t="shared" si="1083"/>
        <v/>
      </c>
      <c r="AU1855" s="466" t="str">
        <f t="shared" si="1084"/>
        <v/>
      </c>
      <c r="AV1855" s="467" t="str">
        <f t="shared" si="1085"/>
        <v/>
      </c>
      <c r="AW1855" s="467" t="str">
        <f t="shared" si="1086"/>
        <v/>
      </c>
      <c r="AX1855" s="467" t="str">
        <f t="shared" si="1087"/>
        <v/>
      </c>
      <c r="AY1855" s="467" t="str">
        <f t="shared" si="1088"/>
        <v/>
      </c>
      <c r="AZ1855" s="467" t="str">
        <f t="shared" si="1089"/>
        <v/>
      </c>
      <c r="BA1855" s="468" t="str">
        <f>IF(AS1855="","",IF(OR(AU1855="",AU1855="-"),"－",IF(OR(AZ1855=8,AZ1855=9),"",IF(OR(AW1855=3,AW1855=4,AW1855=5,AW1855=6),VLOOKUP(AU1855,INDEX((係数_バス貨物_ガソリン,係数_バス貨物_CNG,係数_バス貨物_軽油,係数_バス貨物_メタノール,係数_バス貨物_LPG),MATCH(AY1855,【参考】排出係数!$AI$4:$AI$671,1),1,BE1855):INDEX((係数_バス貨物_ガソリン,係数_バス貨物_CNG,係数_バス貨物_軽油,係数_バス貨物_メタノール,係数_バス貨物_LPG),MATCH(AY1855+1,【参考】排出係数!$AI$4:$AI$671,1)-1,5,BE1855),2,FALSE),IF(OR(AW1855=1,AW1855=2),VLOOKUP(AU1855,INDEX((係数_乗用_ガソリン,係数_乗用_CNG,係数_乗用_軽油,係数_乗用_メタノール,係数_乗用_LPG),1,1,BE1855):INDEX((係数_乗用_ガソリン,係数_乗用_CNG,係数_乗用_軽油,係数_乗用_メタノール,係数_乗用_LPG),125,5,BE1855),2,FALSE))))))</f>
        <v/>
      </c>
      <c r="BB1855" s="468" t="str">
        <f>IF(T1855="","",IF(OR(AU1855="",AU1855="-"),"－",IF(OR(AZ1855=8,AZ1855=9),"",IF(OR(AW1855=3,AW1855=4,AW1855=5,AW1855=6),VLOOKUP(AU1855,INDEX((係数_バス貨物_ガソリン,係数_バス貨物_CNG,係数_バス貨物_軽油,係数_バス貨物_メタノール,係数_バス貨物_LPG),MATCH(AY1855,【参考】排出係数!$AI$4:$AI$671,1),1,BE1855):INDEX((係数_バス貨物_ガソリン,係数_バス貨物_CNG,係数_バス貨物_軽油,係数_バス貨物_メタノール,係数_バス貨物_LPG),MATCH(AY1855+1,【参考】排出係数!$AI$4:$AI$671,1)-1,5,BE1855),3,FALSE),IF(OR(AW1855=1,AW1855=2),VLOOKUP(AU1855,INDEX((係数_乗用_ガソリン,係数_乗用_CNG,係数_乗用_軽油,係数_乗用_メタノール,係数_乗用_LPG),1,1,BE1855):INDEX((係数_乗用_ガソリン,係数_乗用_CNG,係数_乗用_軽油,係数_乗用_メタノール,係数_乗用_LPG),125,5,BE1855),3,FALSE))))))</f>
        <v/>
      </c>
      <c r="BC1855" s="467" t="str">
        <f t="shared" si="1090"/>
        <v/>
      </c>
      <c r="BD1855" s="567" t="str">
        <f t="shared" si="1091"/>
        <v/>
      </c>
      <c r="BE1855" s="467" t="str">
        <f t="shared" si="1092"/>
        <v/>
      </c>
      <c r="BF1855" s="469" t="str">
        <f t="shared" ca="1" si="1093"/>
        <v/>
      </c>
      <c r="BG1855" s="469" t="str">
        <f t="shared" ca="1" si="1094"/>
        <v/>
      </c>
      <c r="BH1855" s="467" t="str">
        <f t="shared" si="1095"/>
        <v/>
      </c>
      <c r="BI1855" s="467" t="str">
        <f t="shared" ca="1" si="1096"/>
        <v/>
      </c>
      <c r="BJ1855" s="469" t="str">
        <f t="shared" si="1097"/>
        <v/>
      </c>
      <c r="BK1855" s="470" t="str">
        <f t="shared" si="1081"/>
        <v/>
      </c>
      <c r="BL1855" s="775" t="str">
        <f t="shared" si="1098"/>
        <v/>
      </c>
      <c r="BM1855" s="775" t="str">
        <f t="shared" si="1099"/>
        <v/>
      </c>
    </row>
    <row r="1856" spans="1:65">
      <c r="A1856" s="473">
        <v>1800</v>
      </c>
      <c r="B1856" s="132"/>
      <c r="C1856" s="332"/>
      <c r="D1856" s="333"/>
      <c r="E1856" s="333"/>
      <c r="F1856" s="334"/>
      <c r="G1856" s="337"/>
      <c r="H1856" s="131"/>
      <c r="I1856" s="337"/>
      <c r="J1856" s="131"/>
      <c r="K1856" s="458" t="str">
        <f t="shared" si="1062"/>
        <v/>
      </c>
      <c r="L1856" s="458">
        <f t="shared" si="1063"/>
        <v>0</v>
      </c>
      <c r="M1856" s="458">
        <f t="shared" si="1064"/>
        <v>0</v>
      </c>
      <c r="N1856" s="459" t="str">
        <f t="shared" si="1075"/>
        <v/>
      </c>
      <c r="O1856" s="459" t="str">
        <f t="shared" si="1076"/>
        <v/>
      </c>
      <c r="P1856" s="459" t="str">
        <f t="shared" si="1077"/>
        <v/>
      </c>
      <c r="Q1856" s="459" t="str">
        <f t="shared" si="1078"/>
        <v/>
      </c>
      <c r="R1856" s="459" t="str">
        <f t="shared" si="1079"/>
        <v/>
      </c>
      <c r="S1856" s="459" t="str">
        <f t="shared" si="1080"/>
        <v/>
      </c>
      <c r="T1856" s="566" t="str">
        <f t="shared" si="1065"/>
        <v/>
      </c>
      <c r="U1856" s="702"/>
      <c r="V1856" s="132"/>
      <c r="W1856" s="133"/>
      <c r="X1856" s="134"/>
      <c r="Y1856" s="135"/>
      <c r="Z1856" s="137"/>
      <c r="AA1856" s="136"/>
      <c r="AB1856" s="566" t="str">
        <f t="shared" si="1066"/>
        <v/>
      </c>
      <c r="AC1856" s="568" t="str">
        <f t="shared" si="1067"/>
        <v/>
      </c>
      <c r="AD1856" s="137"/>
      <c r="AE1856" s="137"/>
      <c r="AF1856" s="138"/>
      <c r="AG1856" s="138"/>
      <c r="AH1856" s="592" t="str">
        <f t="shared" si="1068"/>
        <v/>
      </c>
      <c r="AI1856" s="592" t="str">
        <f t="shared" si="1069"/>
        <v/>
      </c>
      <c r="AJ1856" s="592" t="str">
        <f t="shared" si="1070"/>
        <v/>
      </c>
      <c r="AK1856" s="460" t="str">
        <f>IF(AU1856="","",IF(OR(AZ1856=8,AZ1856=9),0,IF(OR(AW1856=3,AW1856=4,AW1856=5,AW1856=6),IF(LEFT(BF1856,1)="1",INDEX(係数_NOX・PM低減,MATCH(AY1856,【参考】排出係数!$AI$801:$AI$804,1),1),VLOOKUP(AU1856,INDEX((係数_バス貨物_ガソリン,係数_バス貨物_CNG,係数_バス貨物_軽油,係数_バス貨物_メタノール,係数_バス貨物_LPG),MATCH(AY1856,【参考】排出係数!$AI$4:$AI$671,1),1,BE1856):INDEX((係数_バス貨物_ガソリン,係数_バス貨物_CNG,係数_バス貨物_軽油,係数_バス貨物_メタノール,係数_バス貨物_LPG),MATCH(AY1856+1,【参考】排出係数!$AI$4:$AI$671,1)-1,5,BE1856),4,FALSE)),IF(AND(BE1856=3,LEFT(BF1856,1)="1"),0.48,VLOOKUP(AU1856,INDEX((係数_乗用_ガソリン,係数_乗用_CNG,係数_乗用_軽油,係数_乗用_メタノール,係数_乗用_LPG),1,1,BE1856):INDEX((係数_乗用_ガソリン,係数_乗用_CNG,係数_乗用_軽油,係数_乗用_メタノール,係数_乗用_LPG),125,5,BE1856),4,FALSE)))))</f>
        <v/>
      </c>
      <c r="AL1856" s="461" t="str">
        <f t="shared" si="1071"/>
        <v/>
      </c>
      <c r="AM1856" s="460" t="str">
        <f>IF(AU1856="","",IF(OR(AZ1856=8,AZ1856=9),0,IF(OR(AW1856=3,AW1856=4,AW1856=5,AW1856=6),IF(LEFT(BH1856,1)="1",INDEX(係数_PM低減,MATCH(AY1856,【参考】排出係数!$AI$801:$AI$804,1),MATCH(BI1856,【参考】排出係数!$AL$798:$AO$798,1)),VLOOKUP(AU1856,INDEX((係数_バス貨物_ガソリン,係数_バス貨物_CNG,係数_バス貨物_軽油,係数_バス貨物_メタノール,係数_バス貨物_LPG),MATCH(AY1856,【参考】排出係数!$AI$4:$AI$671,1),1,BE1856):INDEX((係数_バス貨物_ガソリン,係数_バス貨物_CNG,係数_バス貨物_軽油,係数_バス貨物_メタノール,係数_バス貨物_LPG),MATCH(AY1856+1,【参考】排出係数!$AI$4:$AI$671,1)-1,5,BE1856),5,FALSE)),IF(AND(BE1856=3,LEFT(BF1856,1)="1"),0.055,VLOOKUP(AU1856,INDEX((係数_乗用_ガソリン,係数_乗用_CNG,係数_乗用_軽油,係数_乗用_メタノール,係数_乗用_LPG),1,1,BE1856):INDEX((係数_乗用_ガソリン,係数_乗用_CNG,係数_乗用_軽油,係数_乗用_メタノール,係数_乗用_LPG),125,5,BE1856),5,FALSE)))))</f>
        <v/>
      </c>
      <c r="AN1856" s="461" t="str">
        <f t="shared" si="1072"/>
        <v/>
      </c>
      <c r="AO1856" s="462" t="str">
        <f t="shared" si="1073"/>
        <v/>
      </c>
      <c r="AP1856" s="463" t="str">
        <f t="shared" si="1074"/>
        <v/>
      </c>
      <c r="AQ1856" s="464"/>
      <c r="AR1856" s="619"/>
      <c r="AS1856" s="465" t="str">
        <f t="shared" si="1082"/>
        <v/>
      </c>
      <c r="AT1856" s="465" t="str">
        <f t="shared" si="1083"/>
        <v/>
      </c>
      <c r="AU1856" s="466" t="str">
        <f t="shared" si="1084"/>
        <v/>
      </c>
      <c r="AV1856" s="467" t="str">
        <f t="shared" si="1085"/>
        <v/>
      </c>
      <c r="AW1856" s="467" t="str">
        <f t="shared" si="1086"/>
        <v/>
      </c>
      <c r="AX1856" s="467" t="str">
        <f t="shared" si="1087"/>
        <v/>
      </c>
      <c r="AY1856" s="467" t="str">
        <f t="shared" si="1088"/>
        <v/>
      </c>
      <c r="AZ1856" s="467" t="str">
        <f t="shared" si="1089"/>
        <v/>
      </c>
      <c r="BA1856" s="468" t="str">
        <f>IF(AS1856="","",IF(OR(AU1856="",AU1856="-"),"－",IF(OR(AZ1856=8,AZ1856=9),"",IF(OR(AW1856=3,AW1856=4,AW1856=5,AW1856=6),VLOOKUP(AU1856,INDEX((係数_バス貨物_ガソリン,係数_バス貨物_CNG,係数_バス貨物_軽油,係数_バス貨物_メタノール,係数_バス貨物_LPG),MATCH(AY1856,【参考】排出係数!$AI$4:$AI$671,1),1,BE1856):INDEX((係数_バス貨物_ガソリン,係数_バス貨物_CNG,係数_バス貨物_軽油,係数_バス貨物_メタノール,係数_バス貨物_LPG),MATCH(AY1856+1,【参考】排出係数!$AI$4:$AI$671,1)-1,5,BE1856),2,FALSE),IF(OR(AW1856=1,AW1856=2),VLOOKUP(AU1856,INDEX((係数_乗用_ガソリン,係数_乗用_CNG,係数_乗用_軽油,係数_乗用_メタノール,係数_乗用_LPG),1,1,BE1856):INDEX((係数_乗用_ガソリン,係数_乗用_CNG,係数_乗用_軽油,係数_乗用_メタノール,係数_乗用_LPG),125,5,BE1856),2,FALSE))))))</f>
        <v/>
      </c>
      <c r="BB1856" s="468" t="str">
        <f>IF(T1856="","",IF(OR(AU1856="",AU1856="-"),"－",IF(OR(AZ1856=8,AZ1856=9),"",IF(OR(AW1856=3,AW1856=4,AW1856=5,AW1856=6),VLOOKUP(AU1856,INDEX((係数_バス貨物_ガソリン,係数_バス貨物_CNG,係数_バス貨物_軽油,係数_バス貨物_メタノール,係数_バス貨物_LPG),MATCH(AY1856,【参考】排出係数!$AI$4:$AI$671,1),1,BE1856):INDEX((係数_バス貨物_ガソリン,係数_バス貨物_CNG,係数_バス貨物_軽油,係数_バス貨物_メタノール,係数_バス貨物_LPG),MATCH(AY1856+1,【参考】排出係数!$AI$4:$AI$671,1)-1,5,BE1856),3,FALSE),IF(OR(AW1856=1,AW1856=2),VLOOKUP(AU1856,INDEX((係数_乗用_ガソリン,係数_乗用_CNG,係数_乗用_軽油,係数_乗用_メタノール,係数_乗用_LPG),1,1,BE1856):INDEX((係数_乗用_ガソリン,係数_乗用_CNG,係数_乗用_軽油,係数_乗用_メタノール,係数_乗用_LPG),125,5,BE1856),3,FALSE))))))</f>
        <v/>
      </c>
      <c r="BC1856" s="467" t="str">
        <f t="shared" si="1090"/>
        <v/>
      </c>
      <c r="BD1856" s="567" t="str">
        <f t="shared" si="1091"/>
        <v/>
      </c>
      <c r="BE1856" s="467" t="str">
        <f t="shared" si="1092"/>
        <v/>
      </c>
      <c r="BF1856" s="469" t="str">
        <f t="shared" ca="1" si="1093"/>
        <v/>
      </c>
      <c r="BG1856" s="469" t="str">
        <f t="shared" ca="1" si="1094"/>
        <v/>
      </c>
      <c r="BH1856" s="467" t="str">
        <f t="shared" si="1095"/>
        <v/>
      </c>
      <c r="BI1856" s="467" t="str">
        <f t="shared" ca="1" si="1096"/>
        <v/>
      </c>
      <c r="BJ1856" s="469" t="str">
        <f t="shared" si="1097"/>
        <v/>
      </c>
      <c r="BK1856" s="470" t="str">
        <f t="shared" si="1081"/>
        <v/>
      </c>
      <c r="BL1856" s="775" t="str">
        <f t="shared" si="1098"/>
        <v/>
      </c>
      <c r="BM1856" s="775" t="str">
        <f t="shared" si="1099"/>
        <v/>
      </c>
    </row>
    <row r="1857" spans="1:65">
      <c r="A1857" s="473">
        <v>1801</v>
      </c>
      <c r="B1857" s="132"/>
      <c r="C1857" s="332"/>
      <c r="D1857" s="333"/>
      <c r="E1857" s="333"/>
      <c r="F1857" s="334"/>
      <c r="G1857" s="337"/>
      <c r="H1857" s="131"/>
      <c r="I1857" s="337"/>
      <c r="J1857" s="131"/>
      <c r="K1857" s="458" t="str">
        <f t="shared" si="1062"/>
        <v/>
      </c>
      <c r="L1857" s="458">
        <f t="shared" si="1063"/>
        <v>0</v>
      </c>
      <c r="M1857" s="458">
        <f t="shared" si="1064"/>
        <v>0</v>
      </c>
      <c r="N1857" s="459" t="str">
        <f t="shared" si="1075"/>
        <v/>
      </c>
      <c r="O1857" s="459" t="str">
        <f t="shared" si="1076"/>
        <v/>
      </c>
      <c r="P1857" s="459" t="str">
        <f t="shared" si="1077"/>
        <v/>
      </c>
      <c r="Q1857" s="459" t="str">
        <f t="shared" si="1078"/>
        <v/>
      </c>
      <c r="R1857" s="459" t="str">
        <f t="shared" si="1079"/>
        <v/>
      </c>
      <c r="S1857" s="459" t="str">
        <f t="shared" si="1080"/>
        <v/>
      </c>
      <c r="T1857" s="566" t="str">
        <f t="shared" si="1065"/>
        <v/>
      </c>
      <c r="U1857" s="702"/>
      <c r="V1857" s="132"/>
      <c r="W1857" s="133"/>
      <c r="X1857" s="134"/>
      <c r="Y1857" s="135"/>
      <c r="Z1857" s="137"/>
      <c r="AA1857" s="136"/>
      <c r="AB1857" s="566" t="str">
        <f t="shared" si="1066"/>
        <v/>
      </c>
      <c r="AC1857" s="568" t="str">
        <f t="shared" si="1067"/>
        <v/>
      </c>
      <c r="AD1857" s="137"/>
      <c r="AE1857" s="137"/>
      <c r="AF1857" s="138"/>
      <c r="AG1857" s="138"/>
      <c r="AH1857" s="592" t="str">
        <f t="shared" si="1068"/>
        <v/>
      </c>
      <c r="AI1857" s="592" t="str">
        <f t="shared" si="1069"/>
        <v/>
      </c>
      <c r="AJ1857" s="592" t="str">
        <f t="shared" si="1070"/>
        <v/>
      </c>
      <c r="AK1857" s="460" t="str">
        <f>IF(AU1857="","",IF(OR(AZ1857=8,AZ1857=9),0,IF(OR(AW1857=3,AW1857=4,AW1857=5,AW1857=6),IF(LEFT(BF1857,1)="1",INDEX(係数_NOX・PM低減,MATCH(AY1857,【参考】排出係数!$AI$801:$AI$804,1),1),VLOOKUP(AU1857,INDEX((係数_バス貨物_ガソリン,係数_バス貨物_CNG,係数_バス貨物_軽油,係数_バス貨物_メタノール,係数_バス貨物_LPG),MATCH(AY1857,【参考】排出係数!$AI$4:$AI$671,1),1,BE1857):INDEX((係数_バス貨物_ガソリン,係数_バス貨物_CNG,係数_バス貨物_軽油,係数_バス貨物_メタノール,係数_バス貨物_LPG),MATCH(AY1857+1,【参考】排出係数!$AI$4:$AI$671,1)-1,5,BE1857),4,FALSE)),IF(AND(BE1857=3,LEFT(BF1857,1)="1"),0.48,VLOOKUP(AU1857,INDEX((係数_乗用_ガソリン,係数_乗用_CNG,係数_乗用_軽油,係数_乗用_メタノール,係数_乗用_LPG),1,1,BE1857):INDEX((係数_乗用_ガソリン,係数_乗用_CNG,係数_乗用_軽油,係数_乗用_メタノール,係数_乗用_LPG),125,5,BE1857),4,FALSE)))))</f>
        <v/>
      </c>
      <c r="AL1857" s="461" t="str">
        <f t="shared" si="1071"/>
        <v/>
      </c>
      <c r="AM1857" s="460" t="str">
        <f>IF(AU1857="","",IF(OR(AZ1857=8,AZ1857=9),0,IF(OR(AW1857=3,AW1857=4,AW1857=5,AW1857=6),IF(LEFT(BH1857,1)="1",INDEX(係数_PM低減,MATCH(AY1857,【参考】排出係数!$AI$801:$AI$804,1),MATCH(BI1857,【参考】排出係数!$AL$798:$AO$798,1)),VLOOKUP(AU1857,INDEX((係数_バス貨物_ガソリン,係数_バス貨物_CNG,係数_バス貨物_軽油,係数_バス貨物_メタノール,係数_バス貨物_LPG),MATCH(AY1857,【参考】排出係数!$AI$4:$AI$671,1),1,BE1857):INDEX((係数_バス貨物_ガソリン,係数_バス貨物_CNG,係数_バス貨物_軽油,係数_バス貨物_メタノール,係数_バス貨物_LPG),MATCH(AY1857+1,【参考】排出係数!$AI$4:$AI$671,1)-1,5,BE1857),5,FALSE)),IF(AND(BE1857=3,LEFT(BF1857,1)="1"),0.055,VLOOKUP(AU1857,INDEX((係数_乗用_ガソリン,係数_乗用_CNG,係数_乗用_軽油,係数_乗用_メタノール,係数_乗用_LPG),1,1,BE1857):INDEX((係数_乗用_ガソリン,係数_乗用_CNG,係数_乗用_軽油,係数_乗用_メタノール,係数_乗用_LPG),125,5,BE1857),5,FALSE)))))</f>
        <v/>
      </c>
      <c r="AN1857" s="461" t="str">
        <f t="shared" si="1072"/>
        <v/>
      </c>
      <c r="AO1857" s="462" t="str">
        <f t="shared" si="1073"/>
        <v/>
      </c>
      <c r="AP1857" s="463" t="str">
        <f t="shared" si="1074"/>
        <v/>
      </c>
      <c r="AQ1857" s="464"/>
      <c r="AR1857" s="619"/>
      <c r="AS1857" s="465" t="str">
        <f t="shared" si="1082"/>
        <v/>
      </c>
      <c r="AT1857" s="465" t="str">
        <f t="shared" si="1083"/>
        <v/>
      </c>
      <c r="AU1857" s="466" t="str">
        <f t="shared" si="1084"/>
        <v/>
      </c>
      <c r="AV1857" s="467" t="str">
        <f t="shared" si="1085"/>
        <v/>
      </c>
      <c r="AW1857" s="467" t="str">
        <f t="shared" si="1086"/>
        <v/>
      </c>
      <c r="AX1857" s="467" t="str">
        <f t="shared" si="1087"/>
        <v/>
      </c>
      <c r="AY1857" s="467" t="str">
        <f t="shared" si="1088"/>
        <v/>
      </c>
      <c r="AZ1857" s="467" t="str">
        <f t="shared" si="1089"/>
        <v/>
      </c>
      <c r="BA1857" s="468" t="str">
        <f>IF(AS1857="","",IF(OR(AU1857="",AU1857="-"),"－",IF(OR(AZ1857=8,AZ1857=9),"",IF(OR(AW1857=3,AW1857=4,AW1857=5,AW1857=6),VLOOKUP(AU1857,INDEX((係数_バス貨物_ガソリン,係数_バス貨物_CNG,係数_バス貨物_軽油,係数_バス貨物_メタノール,係数_バス貨物_LPG),MATCH(AY1857,【参考】排出係数!$AI$4:$AI$671,1),1,BE1857):INDEX((係数_バス貨物_ガソリン,係数_バス貨物_CNG,係数_バス貨物_軽油,係数_バス貨物_メタノール,係数_バス貨物_LPG),MATCH(AY1857+1,【参考】排出係数!$AI$4:$AI$671,1)-1,5,BE1857),2,FALSE),IF(OR(AW1857=1,AW1857=2),VLOOKUP(AU1857,INDEX((係数_乗用_ガソリン,係数_乗用_CNG,係数_乗用_軽油,係数_乗用_メタノール,係数_乗用_LPG),1,1,BE1857):INDEX((係数_乗用_ガソリン,係数_乗用_CNG,係数_乗用_軽油,係数_乗用_メタノール,係数_乗用_LPG),125,5,BE1857),2,FALSE))))))</f>
        <v/>
      </c>
      <c r="BB1857" s="468" t="str">
        <f>IF(T1857="","",IF(OR(AU1857="",AU1857="-"),"－",IF(OR(AZ1857=8,AZ1857=9),"",IF(OR(AW1857=3,AW1857=4,AW1857=5,AW1857=6),VLOOKUP(AU1857,INDEX((係数_バス貨物_ガソリン,係数_バス貨物_CNG,係数_バス貨物_軽油,係数_バス貨物_メタノール,係数_バス貨物_LPG),MATCH(AY1857,【参考】排出係数!$AI$4:$AI$671,1),1,BE1857):INDEX((係数_バス貨物_ガソリン,係数_バス貨物_CNG,係数_バス貨物_軽油,係数_バス貨物_メタノール,係数_バス貨物_LPG),MATCH(AY1857+1,【参考】排出係数!$AI$4:$AI$671,1)-1,5,BE1857),3,FALSE),IF(OR(AW1857=1,AW1857=2),VLOOKUP(AU1857,INDEX((係数_乗用_ガソリン,係数_乗用_CNG,係数_乗用_軽油,係数_乗用_メタノール,係数_乗用_LPG),1,1,BE1857):INDEX((係数_乗用_ガソリン,係数_乗用_CNG,係数_乗用_軽油,係数_乗用_メタノール,係数_乗用_LPG),125,5,BE1857),3,FALSE))))))</f>
        <v/>
      </c>
      <c r="BC1857" s="467" t="str">
        <f t="shared" si="1090"/>
        <v/>
      </c>
      <c r="BD1857" s="567" t="str">
        <f t="shared" si="1091"/>
        <v/>
      </c>
      <c r="BE1857" s="467" t="str">
        <f t="shared" si="1092"/>
        <v/>
      </c>
      <c r="BF1857" s="469" t="str">
        <f t="shared" ca="1" si="1093"/>
        <v/>
      </c>
      <c r="BG1857" s="469" t="str">
        <f t="shared" ca="1" si="1094"/>
        <v/>
      </c>
      <c r="BH1857" s="467" t="str">
        <f t="shared" si="1095"/>
        <v/>
      </c>
      <c r="BI1857" s="467" t="str">
        <f t="shared" ca="1" si="1096"/>
        <v/>
      </c>
      <c r="BJ1857" s="469" t="str">
        <f t="shared" si="1097"/>
        <v/>
      </c>
      <c r="BK1857" s="470" t="str">
        <f t="shared" si="1081"/>
        <v/>
      </c>
      <c r="BL1857" s="775" t="str">
        <f t="shared" si="1098"/>
        <v/>
      </c>
      <c r="BM1857" s="775" t="str">
        <f t="shared" si="1099"/>
        <v/>
      </c>
    </row>
    <row r="1858" spans="1:65">
      <c r="A1858" s="473">
        <v>1802</v>
      </c>
      <c r="B1858" s="132"/>
      <c r="C1858" s="332"/>
      <c r="D1858" s="333"/>
      <c r="E1858" s="333"/>
      <c r="F1858" s="334"/>
      <c r="G1858" s="337"/>
      <c r="H1858" s="131"/>
      <c r="I1858" s="337"/>
      <c r="J1858" s="131"/>
      <c r="K1858" s="458" t="str">
        <f t="shared" si="1062"/>
        <v/>
      </c>
      <c r="L1858" s="458">
        <f t="shared" si="1063"/>
        <v>0</v>
      </c>
      <c r="M1858" s="458">
        <f t="shared" si="1064"/>
        <v>0</v>
      </c>
      <c r="N1858" s="459" t="str">
        <f t="shared" si="1075"/>
        <v/>
      </c>
      <c r="O1858" s="459" t="str">
        <f t="shared" si="1076"/>
        <v/>
      </c>
      <c r="P1858" s="459" t="str">
        <f t="shared" si="1077"/>
        <v/>
      </c>
      <c r="Q1858" s="459" t="str">
        <f t="shared" si="1078"/>
        <v/>
      </c>
      <c r="R1858" s="459" t="str">
        <f t="shared" si="1079"/>
        <v/>
      </c>
      <c r="S1858" s="459" t="str">
        <f t="shared" si="1080"/>
        <v/>
      </c>
      <c r="T1858" s="566" t="str">
        <f t="shared" si="1065"/>
        <v/>
      </c>
      <c r="U1858" s="702"/>
      <c r="V1858" s="132"/>
      <c r="W1858" s="133"/>
      <c r="X1858" s="134"/>
      <c r="Y1858" s="135"/>
      <c r="Z1858" s="137"/>
      <c r="AA1858" s="136"/>
      <c r="AB1858" s="566" t="str">
        <f t="shared" si="1066"/>
        <v/>
      </c>
      <c r="AC1858" s="568" t="str">
        <f t="shared" si="1067"/>
        <v/>
      </c>
      <c r="AD1858" s="137"/>
      <c r="AE1858" s="137"/>
      <c r="AF1858" s="138"/>
      <c r="AG1858" s="138"/>
      <c r="AH1858" s="592" t="str">
        <f t="shared" si="1068"/>
        <v/>
      </c>
      <c r="AI1858" s="592" t="str">
        <f t="shared" si="1069"/>
        <v/>
      </c>
      <c r="AJ1858" s="592" t="str">
        <f t="shared" si="1070"/>
        <v/>
      </c>
      <c r="AK1858" s="460" t="str">
        <f>IF(AU1858="","",IF(OR(AZ1858=8,AZ1858=9),0,IF(OR(AW1858=3,AW1858=4,AW1858=5,AW1858=6),IF(LEFT(BF1858,1)="1",INDEX(係数_NOX・PM低減,MATCH(AY1858,【参考】排出係数!$AI$801:$AI$804,1),1),VLOOKUP(AU1858,INDEX((係数_バス貨物_ガソリン,係数_バス貨物_CNG,係数_バス貨物_軽油,係数_バス貨物_メタノール,係数_バス貨物_LPG),MATCH(AY1858,【参考】排出係数!$AI$4:$AI$671,1),1,BE1858):INDEX((係数_バス貨物_ガソリン,係数_バス貨物_CNG,係数_バス貨物_軽油,係数_バス貨物_メタノール,係数_バス貨物_LPG),MATCH(AY1858+1,【参考】排出係数!$AI$4:$AI$671,1)-1,5,BE1858),4,FALSE)),IF(AND(BE1858=3,LEFT(BF1858,1)="1"),0.48,VLOOKUP(AU1858,INDEX((係数_乗用_ガソリン,係数_乗用_CNG,係数_乗用_軽油,係数_乗用_メタノール,係数_乗用_LPG),1,1,BE1858):INDEX((係数_乗用_ガソリン,係数_乗用_CNG,係数_乗用_軽油,係数_乗用_メタノール,係数_乗用_LPG),125,5,BE1858),4,FALSE)))))</f>
        <v/>
      </c>
      <c r="AL1858" s="461" t="str">
        <f t="shared" si="1071"/>
        <v/>
      </c>
      <c r="AM1858" s="460" t="str">
        <f>IF(AU1858="","",IF(OR(AZ1858=8,AZ1858=9),0,IF(OR(AW1858=3,AW1858=4,AW1858=5,AW1858=6),IF(LEFT(BH1858,1)="1",INDEX(係数_PM低減,MATCH(AY1858,【参考】排出係数!$AI$801:$AI$804,1),MATCH(BI1858,【参考】排出係数!$AL$798:$AO$798,1)),VLOOKUP(AU1858,INDEX((係数_バス貨物_ガソリン,係数_バス貨物_CNG,係数_バス貨物_軽油,係数_バス貨物_メタノール,係数_バス貨物_LPG),MATCH(AY1858,【参考】排出係数!$AI$4:$AI$671,1),1,BE1858):INDEX((係数_バス貨物_ガソリン,係数_バス貨物_CNG,係数_バス貨物_軽油,係数_バス貨物_メタノール,係数_バス貨物_LPG),MATCH(AY1858+1,【参考】排出係数!$AI$4:$AI$671,1)-1,5,BE1858),5,FALSE)),IF(AND(BE1858=3,LEFT(BF1858,1)="1"),0.055,VLOOKUP(AU1858,INDEX((係数_乗用_ガソリン,係数_乗用_CNG,係数_乗用_軽油,係数_乗用_メタノール,係数_乗用_LPG),1,1,BE1858):INDEX((係数_乗用_ガソリン,係数_乗用_CNG,係数_乗用_軽油,係数_乗用_メタノール,係数_乗用_LPG),125,5,BE1858),5,FALSE)))))</f>
        <v/>
      </c>
      <c r="AN1858" s="461" t="str">
        <f t="shared" si="1072"/>
        <v/>
      </c>
      <c r="AO1858" s="462" t="str">
        <f t="shared" si="1073"/>
        <v/>
      </c>
      <c r="AP1858" s="463" t="str">
        <f t="shared" si="1074"/>
        <v/>
      </c>
      <c r="AQ1858" s="464"/>
      <c r="AR1858" s="619"/>
      <c r="AS1858" s="465" t="str">
        <f t="shared" si="1082"/>
        <v/>
      </c>
      <c r="AT1858" s="465" t="str">
        <f t="shared" si="1083"/>
        <v/>
      </c>
      <c r="AU1858" s="466" t="str">
        <f t="shared" si="1084"/>
        <v/>
      </c>
      <c r="AV1858" s="467" t="str">
        <f t="shared" si="1085"/>
        <v/>
      </c>
      <c r="AW1858" s="467" t="str">
        <f t="shared" si="1086"/>
        <v/>
      </c>
      <c r="AX1858" s="467" t="str">
        <f t="shared" si="1087"/>
        <v/>
      </c>
      <c r="AY1858" s="467" t="str">
        <f t="shared" si="1088"/>
        <v/>
      </c>
      <c r="AZ1858" s="467" t="str">
        <f t="shared" si="1089"/>
        <v/>
      </c>
      <c r="BA1858" s="468" t="str">
        <f>IF(AS1858="","",IF(OR(AU1858="",AU1858="-"),"－",IF(OR(AZ1858=8,AZ1858=9),"",IF(OR(AW1858=3,AW1858=4,AW1858=5,AW1858=6),VLOOKUP(AU1858,INDEX((係数_バス貨物_ガソリン,係数_バス貨物_CNG,係数_バス貨物_軽油,係数_バス貨物_メタノール,係数_バス貨物_LPG),MATCH(AY1858,【参考】排出係数!$AI$4:$AI$671,1),1,BE1858):INDEX((係数_バス貨物_ガソリン,係数_バス貨物_CNG,係数_バス貨物_軽油,係数_バス貨物_メタノール,係数_バス貨物_LPG),MATCH(AY1858+1,【参考】排出係数!$AI$4:$AI$671,1)-1,5,BE1858),2,FALSE),IF(OR(AW1858=1,AW1858=2),VLOOKUP(AU1858,INDEX((係数_乗用_ガソリン,係数_乗用_CNG,係数_乗用_軽油,係数_乗用_メタノール,係数_乗用_LPG),1,1,BE1858):INDEX((係数_乗用_ガソリン,係数_乗用_CNG,係数_乗用_軽油,係数_乗用_メタノール,係数_乗用_LPG),125,5,BE1858),2,FALSE))))))</f>
        <v/>
      </c>
      <c r="BB1858" s="468" t="str">
        <f>IF(T1858="","",IF(OR(AU1858="",AU1858="-"),"－",IF(OR(AZ1858=8,AZ1858=9),"",IF(OR(AW1858=3,AW1858=4,AW1858=5,AW1858=6),VLOOKUP(AU1858,INDEX((係数_バス貨物_ガソリン,係数_バス貨物_CNG,係数_バス貨物_軽油,係数_バス貨物_メタノール,係数_バス貨物_LPG),MATCH(AY1858,【参考】排出係数!$AI$4:$AI$671,1),1,BE1858):INDEX((係数_バス貨物_ガソリン,係数_バス貨物_CNG,係数_バス貨物_軽油,係数_バス貨物_メタノール,係数_バス貨物_LPG),MATCH(AY1858+1,【参考】排出係数!$AI$4:$AI$671,1)-1,5,BE1858),3,FALSE),IF(OR(AW1858=1,AW1858=2),VLOOKUP(AU1858,INDEX((係数_乗用_ガソリン,係数_乗用_CNG,係数_乗用_軽油,係数_乗用_メタノール,係数_乗用_LPG),1,1,BE1858):INDEX((係数_乗用_ガソリン,係数_乗用_CNG,係数_乗用_軽油,係数_乗用_メタノール,係数_乗用_LPG),125,5,BE1858),3,FALSE))))))</f>
        <v/>
      </c>
      <c r="BC1858" s="467" t="str">
        <f t="shared" si="1090"/>
        <v/>
      </c>
      <c r="BD1858" s="567" t="str">
        <f t="shared" si="1091"/>
        <v/>
      </c>
      <c r="BE1858" s="467" t="str">
        <f t="shared" si="1092"/>
        <v/>
      </c>
      <c r="BF1858" s="469" t="str">
        <f t="shared" ca="1" si="1093"/>
        <v/>
      </c>
      <c r="BG1858" s="469" t="str">
        <f t="shared" ca="1" si="1094"/>
        <v/>
      </c>
      <c r="BH1858" s="467" t="str">
        <f t="shared" si="1095"/>
        <v/>
      </c>
      <c r="BI1858" s="467" t="str">
        <f t="shared" ca="1" si="1096"/>
        <v/>
      </c>
      <c r="BJ1858" s="469" t="str">
        <f t="shared" si="1097"/>
        <v/>
      </c>
      <c r="BK1858" s="470" t="str">
        <f t="shared" si="1081"/>
        <v/>
      </c>
      <c r="BL1858" s="775" t="str">
        <f t="shared" si="1098"/>
        <v/>
      </c>
      <c r="BM1858" s="775" t="str">
        <f t="shared" si="1099"/>
        <v/>
      </c>
    </row>
    <row r="1859" spans="1:65">
      <c r="A1859" s="473">
        <v>1803</v>
      </c>
      <c r="B1859" s="132"/>
      <c r="C1859" s="332"/>
      <c r="D1859" s="333"/>
      <c r="E1859" s="333"/>
      <c r="F1859" s="334"/>
      <c r="G1859" s="337"/>
      <c r="H1859" s="131"/>
      <c r="I1859" s="337"/>
      <c r="J1859" s="131"/>
      <c r="K1859" s="458" t="str">
        <f t="shared" si="1062"/>
        <v/>
      </c>
      <c r="L1859" s="458">
        <f t="shared" si="1063"/>
        <v>0</v>
      </c>
      <c r="M1859" s="458">
        <f t="shared" si="1064"/>
        <v>0</v>
      </c>
      <c r="N1859" s="459" t="str">
        <f t="shared" si="1075"/>
        <v/>
      </c>
      <c r="O1859" s="459" t="str">
        <f t="shared" si="1076"/>
        <v/>
      </c>
      <c r="P1859" s="459" t="str">
        <f t="shared" si="1077"/>
        <v/>
      </c>
      <c r="Q1859" s="459" t="str">
        <f t="shared" si="1078"/>
        <v/>
      </c>
      <c r="R1859" s="459" t="str">
        <f t="shared" si="1079"/>
        <v/>
      </c>
      <c r="S1859" s="459" t="str">
        <f t="shared" si="1080"/>
        <v/>
      </c>
      <c r="T1859" s="566" t="str">
        <f t="shared" si="1065"/>
        <v/>
      </c>
      <c r="U1859" s="702"/>
      <c r="V1859" s="132"/>
      <c r="W1859" s="133"/>
      <c r="X1859" s="134"/>
      <c r="Y1859" s="135"/>
      <c r="Z1859" s="137"/>
      <c r="AA1859" s="136"/>
      <c r="AB1859" s="566" t="str">
        <f t="shared" si="1066"/>
        <v/>
      </c>
      <c r="AC1859" s="568" t="str">
        <f t="shared" si="1067"/>
        <v/>
      </c>
      <c r="AD1859" s="137"/>
      <c r="AE1859" s="137"/>
      <c r="AF1859" s="138"/>
      <c r="AG1859" s="138"/>
      <c r="AH1859" s="592" t="str">
        <f t="shared" si="1068"/>
        <v/>
      </c>
      <c r="AI1859" s="592" t="str">
        <f t="shared" si="1069"/>
        <v/>
      </c>
      <c r="AJ1859" s="592" t="str">
        <f t="shared" si="1070"/>
        <v/>
      </c>
      <c r="AK1859" s="460" t="str">
        <f>IF(AU1859="","",IF(OR(AZ1859=8,AZ1859=9),0,IF(OR(AW1859=3,AW1859=4,AW1859=5,AW1859=6),IF(LEFT(BF1859,1)="1",INDEX(係数_NOX・PM低減,MATCH(AY1859,【参考】排出係数!$AI$801:$AI$804,1),1),VLOOKUP(AU1859,INDEX((係数_バス貨物_ガソリン,係数_バス貨物_CNG,係数_バス貨物_軽油,係数_バス貨物_メタノール,係数_バス貨物_LPG),MATCH(AY1859,【参考】排出係数!$AI$4:$AI$671,1),1,BE1859):INDEX((係数_バス貨物_ガソリン,係数_バス貨物_CNG,係数_バス貨物_軽油,係数_バス貨物_メタノール,係数_バス貨物_LPG),MATCH(AY1859+1,【参考】排出係数!$AI$4:$AI$671,1)-1,5,BE1859),4,FALSE)),IF(AND(BE1859=3,LEFT(BF1859,1)="1"),0.48,VLOOKUP(AU1859,INDEX((係数_乗用_ガソリン,係数_乗用_CNG,係数_乗用_軽油,係数_乗用_メタノール,係数_乗用_LPG),1,1,BE1859):INDEX((係数_乗用_ガソリン,係数_乗用_CNG,係数_乗用_軽油,係数_乗用_メタノール,係数_乗用_LPG),125,5,BE1859),4,FALSE)))))</f>
        <v/>
      </c>
      <c r="AL1859" s="461" t="str">
        <f t="shared" si="1071"/>
        <v/>
      </c>
      <c r="AM1859" s="460" t="str">
        <f>IF(AU1859="","",IF(OR(AZ1859=8,AZ1859=9),0,IF(OR(AW1859=3,AW1859=4,AW1859=5,AW1859=6),IF(LEFT(BH1859,1)="1",INDEX(係数_PM低減,MATCH(AY1859,【参考】排出係数!$AI$801:$AI$804,1),MATCH(BI1859,【参考】排出係数!$AL$798:$AO$798,1)),VLOOKUP(AU1859,INDEX((係数_バス貨物_ガソリン,係数_バス貨物_CNG,係数_バス貨物_軽油,係数_バス貨物_メタノール,係数_バス貨物_LPG),MATCH(AY1859,【参考】排出係数!$AI$4:$AI$671,1),1,BE1859):INDEX((係数_バス貨物_ガソリン,係数_バス貨物_CNG,係数_バス貨物_軽油,係数_バス貨物_メタノール,係数_バス貨物_LPG),MATCH(AY1859+1,【参考】排出係数!$AI$4:$AI$671,1)-1,5,BE1859),5,FALSE)),IF(AND(BE1859=3,LEFT(BF1859,1)="1"),0.055,VLOOKUP(AU1859,INDEX((係数_乗用_ガソリン,係数_乗用_CNG,係数_乗用_軽油,係数_乗用_メタノール,係数_乗用_LPG),1,1,BE1859):INDEX((係数_乗用_ガソリン,係数_乗用_CNG,係数_乗用_軽油,係数_乗用_メタノール,係数_乗用_LPG),125,5,BE1859),5,FALSE)))))</f>
        <v/>
      </c>
      <c r="AN1859" s="461" t="str">
        <f t="shared" si="1072"/>
        <v/>
      </c>
      <c r="AO1859" s="462" t="str">
        <f t="shared" si="1073"/>
        <v/>
      </c>
      <c r="AP1859" s="463" t="str">
        <f t="shared" si="1074"/>
        <v/>
      </c>
      <c r="AQ1859" s="464"/>
      <c r="AR1859" s="619"/>
      <c r="AS1859" s="465" t="str">
        <f t="shared" si="1082"/>
        <v/>
      </c>
      <c r="AT1859" s="465" t="str">
        <f t="shared" si="1083"/>
        <v/>
      </c>
      <c r="AU1859" s="466" t="str">
        <f t="shared" si="1084"/>
        <v/>
      </c>
      <c r="AV1859" s="467" t="str">
        <f t="shared" si="1085"/>
        <v/>
      </c>
      <c r="AW1859" s="467" t="str">
        <f t="shared" si="1086"/>
        <v/>
      </c>
      <c r="AX1859" s="467" t="str">
        <f t="shared" si="1087"/>
        <v/>
      </c>
      <c r="AY1859" s="467" t="str">
        <f t="shared" si="1088"/>
        <v/>
      </c>
      <c r="AZ1859" s="467" t="str">
        <f t="shared" si="1089"/>
        <v/>
      </c>
      <c r="BA1859" s="468" t="str">
        <f>IF(AS1859="","",IF(OR(AU1859="",AU1859="-"),"－",IF(OR(AZ1859=8,AZ1859=9),"",IF(OR(AW1859=3,AW1859=4,AW1859=5,AW1859=6),VLOOKUP(AU1859,INDEX((係数_バス貨物_ガソリン,係数_バス貨物_CNG,係数_バス貨物_軽油,係数_バス貨物_メタノール,係数_バス貨物_LPG),MATCH(AY1859,【参考】排出係数!$AI$4:$AI$671,1),1,BE1859):INDEX((係数_バス貨物_ガソリン,係数_バス貨物_CNG,係数_バス貨物_軽油,係数_バス貨物_メタノール,係数_バス貨物_LPG),MATCH(AY1859+1,【参考】排出係数!$AI$4:$AI$671,1)-1,5,BE1859),2,FALSE),IF(OR(AW1859=1,AW1859=2),VLOOKUP(AU1859,INDEX((係数_乗用_ガソリン,係数_乗用_CNG,係数_乗用_軽油,係数_乗用_メタノール,係数_乗用_LPG),1,1,BE1859):INDEX((係数_乗用_ガソリン,係数_乗用_CNG,係数_乗用_軽油,係数_乗用_メタノール,係数_乗用_LPG),125,5,BE1859),2,FALSE))))))</f>
        <v/>
      </c>
      <c r="BB1859" s="468" t="str">
        <f>IF(T1859="","",IF(OR(AU1859="",AU1859="-"),"－",IF(OR(AZ1859=8,AZ1859=9),"",IF(OR(AW1859=3,AW1859=4,AW1859=5,AW1859=6),VLOOKUP(AU1859,INDEX((係数_バス貨物_ガソリン,係数_バス貨物_CNG,係数_バス貨物_軽油,係数_バス貨物_メタノール,係数_バス貨物_LPG),MATCH(AY1859,【参考】排出係数!$AI$4:$AI$671,1),1,BE1859):INDEX((係数_バス貨物_ガソリン,係数_バス貨物_CNG,係数_バス貨物_軽油,係数_バス貨物_メタノール,係数_バス貨物_LPG),MATCH(AY1859+1,【参考】排出係数!$AI$4:$AI$671,1)-1,5,BE1859),3,FALSE),IF(OR(AW1859=1,AW1859=2),VLOOKUP(AU1859,INDEX((係数_乗用_ガソリン,係数_乗用_CNG,係数_乗用_軽油,係数_乗用_メタノール,係数_乗用_LPG),1,1,BE1859):INDEX((係数_乗用_ガソリン,係数_乗用_CNG,係数_乗用_軽油,係数_乗用_メタノール,係数_乗用_LPG),125,5,BE1859),3,FALSE))))))</f>
        <v/>
      </c>
      <c r="BC1859" s="467" t="str">
        <f t="shared" si="1090"/>
        <v/>
      </c>
      <c r="BD1859" s="567" t="str">
        <f t="shared" si="1091"/>
        <v/>
      </c>
      <c r="BE1859" s="467" t="str">
        <f t="shared" si="1092"/>
        <v/>
      </c>
      <c r="BF1859" s="469" t="str">
        <f t="shared" ca="1" si="1093"/>
        <v/>
      </c>
      <c r="BG1859" s="469" t="str">
        <f t="shared" ca="1" si="1094"/>
        <v/>
      </c>
      <c r="BH1859" s="467" t="str">
        <f t="shared" si="1095"/>
        <v/>
      </c>
      <c r="BI1859" s="467" t="str">
        <f t="shared" ca="1" si="1096"/>
        <v/>
      </c>
      <c r="BJ1859" s="469" t="str">
        <f t="shared" si="1097"/>
        <v/>
      </c>
      <c r="BK1859" s="470" t="str">
        <f t="shared" si="1081"/>
        <v/>
      </c>
      <c r="BL1859" s="775" t="str">
        <f t="shared" si="1098"/>
        <v/>
      </c>
      <c r="BM1859" s="775" t="str">
        <f t="shared" si="1099"/>
        <v/>
      </c>
    </row>
    <row r="1860" spans="1:65">
      <c r="A1860" s="473">
        <v>1804</v>
      </c>
      <c r="B1860" s="132"/>
      <c r="C1860" s="332"/>
      <c r="D1860" s="333"/>
      <c r="E1860" s="333"/>
      <c r="F1860" s="334"/>
      <c r="G1860" s="337"/>
      <c r="H1860" s="131"/>
      <c r="I1860" s="337"/>
      <c r="J1860" s="131"/>
      <c r="K1860" s="458" t="str">
        <f t="shared" si="1062"/>
        <v/>
      </c>
      <c r="L1860" s="458">
        <f t="shared" si="1063"/>
        <v>0</v>
      </c>
      <c r="M1860" s="458">
        <f t="shared" si="1064"/>
        <v>0</v>
      </c>
      <c r="N1860" s="459" t="str">
        <f t="shared" si="1075"/>
        <v/>
      </c>
      <c r="O1860" s="459" t="str">
        <f t="shared" si="1076"/>
        <v/>
      </c>
      <c r="P1860" s="459" t="str">
        <f t="shared" si="1077"/>
        <v/>
      </c>
      <c r="Q1860" s="459" t="str">
        <f t="shared" si="1078"/>
        <v/>
      </c>
      <c r="R1860" s="459" t="str">
        <f t="shared" si="1079"/>
        <v/>
      </c>
      <c r="S1860" s="459" t="str">
        <f t="shared" si="1080"/>
        <v/>
      </c>
      <c r="T1860" s="566" t="str">
        <f t="shared" si="1065"/>
        <v/>
      </c>
      <c r="U1860" s="702"/>
      <c r="V1860" s="132"/>
      <c r="W1860" s="133"/>
      <c r="X1860" s="134"/>
      <c r="Y1860" s="135"/>
      <c r="Z1860" s="137"/>
      <c r="AA1860" s="136"/>
      <c r="AB1860" s="566" t="str">
        <f t="shared" si="1066"/>
        <v/>
      </c>
      <c r="AC1860" s="568" t="str">
        <f t="shared" si="1067"/>
        <v/>
      </c>
      <c r="AD1860" s="137"/>
      <c r="AE1860" s="137"/>
      <c r="AF1860" s="138"/>
      <c r="AG1860" s="138"/>
      <c r="AH1860" s="592" t="str">
        <f t="shared" si="1068"/>
        <v/>
      </c>
      <c r="AI1860" s="592" t="str">
        <f t="shared" si="1069"/>
        <v/>
      </c>
      <c r="AJ1860" s="592" t="str">
        <f t="shared" si="1070"/>
        <v/>
      </c>
      <c r="AK1860" s="460" t="str">
        <f>IF(AU1860="","",IF(OR(AZ1860=8,AZ1860=9),0,IF(OR(AW1860=3,AW1860=4,AW1860=5,AW1860=6),IF(LEFT(BF1860,1)="1",INDEX(係数_NOX・PM低減,MATCH(AY1860,【参考】排出係数!$AI$801:$AI$804,1),1),VLOOKUP(AU1860,INDEX((係数_バス貨物_ガソリン,係数_バス貨物_CNG,係数_バス貨物_軽油,係数_バス貨物_メタノール,係数_バス貨物_LPG),MATCH(AY1860,【参考】排出係数!$AI$4:$AI$671,1),1,BE1860):INDEX((係数_バス貨物_ガソリン,係数_バス貨物_CNG,係数_バス貨物_軽油,係数_バス貨物_メタノール,係数_バス貨物_LPG),MATCH(AY1860+1,【参考】排出係数!$AI$4:$AI$671,1)-1,5,BE1860),4,FALSE)),IF(AND(BE1860=3,LEFT(BF1860,1)="1"),0.48,VLOOKUP(AU1860,INDEX((係数_乗用_ガソリン,係数_乗用_CNG,係数_乗用_軽油,係数_乗用_メタノール,係数_乗用_LPG),1,1,BE1860):INDEX((係数_乗用_ガソリン,係数_乗用_CNG,係数_乗用_軽油,係数_乗用_メタノール,係数_乗用_LPG),125,5,BE1860),4,FALSE)))))</f>
        <v/>
      </c>
      <c r="AL1860" s="461" t="str">
        <f t="shared" si="1071"/>
        <v/>
      </c>
      <c r="AM1860" s="460" t="str">
        <f>IF(AU1860="","",IF(OR(AZ1860=8,AZ1860=9),0,IF(OR(AW1860=3,AW1860=4,AW1860=5,AW1860=6),IF(LEFT(BH1860,1)="1",INDEX(係数_PM低減,MATCH(AY1860,【参考】排出係数!$AI$801:$AI$804,1),MATCH(BI1860,【参考】排出係数!$AL$798:$AO$798,1)),VLOOKUP(AU1860,INDEX((係数_バス貨物_ガソリン,係数_バス貨物_CNG,係数_バス貨物_軽油,係数_バス貨物_メタノール,係数_バス貨物_LPG),MATCH(AY1860,【参考】排出係数!$AI$4:$AI$671,1),1,BE1860):INDEX((係数_バス貨物_ガソリン,係数_バス貨物_CNG,係数_バス貨物_軽油,係数_バス貨物_メタノール,係数_バス貨物_LPG),MATCH(AY1860+1,【参考】排出係数!$AI$4:$AI$671,1)-1,5,BE1860),5,FALSE)),IF(AND(BE1860=3,LEFT(BF1860,1)="1"),0.055,VLOOKUP(AU1860,INDEX((係数_乗用_ガソリン,係数_乗用_CNG,係数_乗用_軽油,係数_乗用_メタノール,係数_乗用_LPG),1,1,BE1860):INDEX((係数_乗用_ガソリン,係数_乗用_CNG,係数_乗用_軽油,係数_乗用_メタノール,係数_乗用_LPG),125,5,BE1860),5,FALSE)))))</f>
        <v/>
      </c>
      <c r="AN1860" s="461" t="str">
        <f t="shared" si="1072"/>
        <v/>
      </c>
      <c r="AO1860" s="462" t="str">
        <f t="shared" si="1073"/>
        <v/>
      </c>
      <c r="AP1860" s="463" t="str">
        <f t="shared" si="1074"/>
        <v/>
      </c>
      <c r="AQ1860" s="464"/>
      <c r="AR1860" s="619"/>
      <c r="AS1860" s="465" t="str">
        <f t="shared" si="1082"/>
        <v/>
      </c>
      <c r="AT1860" s="465" t="str">
        <f t="shared" si="1083"/>
        <v/>
      </c>
      <c r="AU1860" s="466" t="str">
        <f t="shared" si="1084"/>
        <v/>
      </c>
      <c r="AV1860" s="467" t="str">
        <f t="shared" si="1085"/>
        <v/>
      </c>
      <c r="AW1860" s="467" t="str">
        <f t="shared" si="1086"/>
        <v/>
      </c>
      <c r="AX1860" s="467" t="str">
        <f t="shared" si="1087"/>
        <v/>
      </c>
      <c r="AY1860" s="467" t="str">
        <f t="shared" si="1088"/>
        <v/>
      </c>
      <c r="AZ1860" s="467" t="str">
        <f t="shared" si="1089"/>
        <v/>
      </c>
      <c r="BA1860" s="468" t="str">
        <f>IF(AS1860="","",IF(OR(AU1860="",AU1860="-"),"－",IF(OR(AZ1860=8,AZ1860=9),"",IF(OR(AW1860=3,AW1860=4,AW1860=5,AW1860=6),VLOOKUP(AU1860,INDEX((係数_バス貨物_ガソリン,係数_バス貨物_CNG,係数_バス貨物_軽油,係数_バス貨物_メタノール,係数_バス貨物_LPG),MATCH(AY1860,【参考】排出係数!$AI$4:$AI$671,1),1,BE1860):INDEX((係数_バス貨物_ガソリン,係数_バス貨物_CNG,係数_バス貨物_軽油,係数_バス貨物_メタノール,係数_バス貨物_LPG),MATCH(AY1860+1,【参考】排出係数!$AI$4:$AI$671,1)-1,5,BE1860),2,FALSE),IF(OR(AW1860=1,AW1860=2),VLOOKUP(AU1860,INDEX((係数_乗用_ガソリン,係数_乗用_CNG,係数_乗用_軽油,係数_乗用_メタノール,係数_乗用_LPG),1,1,BE1860):INDEX((係数_乗用_ガソリン,係数_乗用_CNG,係数_乗用_軽油,係数_乗用_メタノール,係数_乗用_LPG),125,5,BE1860),2,FALSE))))))</f>
        <v/>
      </c>
      <c r="BB1860" s="468" t="str">
        <f>IF(T1860="","",IF(OR(AU1860="",AU1860="-"),"－",IF(OR(AZ1860=8,AZ1860=9),"",IF(OR(AW1860=3,AW1860=4,AW1860=5,AW1860=6),VLOOKUP(AU1860,INDEX((係数_バス貨物_ガソリン,係数_バス貨物_CNG,係数_バス貨物_軽油,係数_バス貨物_メタノール,係数_バス貨物_LPG),MATCH(AY1860,【参考】排出係数!$AI$4:$AI$671,1),1,BE1860):INDEX((係数_バス貨物_ガソリン,係数_バス貨物_CNG,係数_バス貨物_軽油,係数_バス貨物_メタノール,係数_バス貨物_LPG),MATCH(AY1860+1,【参考】排出係数!$AI$4:$AI$671,1)-1,5,BE1860),3,FALSE),IF(OR(AW1860=1,AW1860=2),VLOOKUP(AU1860,INDEX((係数_乗用_ガソリン,係数_乗用_CNG,係数_乗用_軽油,係数_乗用_メタノール,係数_乗用_LPG),1,1,BE1860):INDEX((係数_乗用_ガソリン,係数_乗用_CNG,係数_乗用_軽油,係数_乗用_メタノール,係数_乗用_LPG),125,5,BE1860),3,FALSE))))))</f>
        <v/>
      </c>
      <c r="BC1860" s="467" t="str">
        <f t="shared" si="1090"/>
        <v/>
      </c>
      <c r="BD1860" s="567" t="str">
        <f t="shared" si="1091"/>
        <v/>
      </c>
      <c r="BE1860" s="467" t="str">
        <f t="shared" si="1092"/>
        <v/>
      </c>
      <c r="BF1860" s="469" t="str">
        <f t="shared" ca="1" si="1093"/>
        <v/>
      </c>
      <c r="BG1860" s="469" t="str">
        <f t="shared" ca="1" si="1094"/>
        <v/>
      </c>
      <c r="BH1860" s="467" t="str">
        <f t="shared" si="1095"/>
        <v/>
      </c>
      <c r="BI1860" s="467" t="str">
        <f t="shared" ca="1" si="1096"/>
        <v/>
      </c>
      <c r="BJ1860" s="469" t="str">
        <f t="shared" si="1097"/>
        <v/>
      </c>
      <c r="BK1860" s="470" t="str">
        <f t="shared" si="1081"/>
        <v/>
      </c>
      <c r="BL1860" s="775" t="str">
        <f t="shared" si="1098"/>
        <v/>
      </c>
      <c r="BM1860" s="775" t="str">
        <f t="shared" si="1099"/>
        <v/>
      </c>
    </row>
    <row r="1861" spans="1:65">
      <c r="A1861" s="473">
        <v>1805</v>
      </c>
      <c r="B1861" s="132"/>
      <c r="C1861" s="332"/>
      <c r="D1861" s="333"/>
      <c r="E1861" s="333"/>
      <c r="F1861" s="334"/>
      <c r="G1861" s="337"/>
      <c r="H1861" s="131"/>
      <c r="I1861" s="337"/>
      <c r="J1861" s="131"/>
      <c r="K1861" s="458" t="str">
        <f t="shared" si="1062"/>
        <v/>
      </c>
      <c r="L1861" s="458">
        <f t="shared" si="1063"/>
        <v>0</v>
      </c>
      <c r="M1861" s="458">
        <f t="shared" si="1064"/>
        <v>0</v>
      </c>
      <c r="N1861" s="459" t="str">
        <f t="shared" si="1075"/>
        <v/>
      </c>
      <c r="O1861" s="459" t="str">
        <f t="shared" si="1076"/>
        <v/>
      </c>
      <c r="P1861" s="459" t="str">
        <f t="shared" si="1077"/>
        <v/>
      </c>
      <c r="Q1861" s="459" t="str">
        <f t="shared" si="1078"/>
        <v/>
      </c>
      <c r="R1861" s="459" t="str">
        <f t="shared" si="1079"/>
        <v/>
      </c>
      <c r="S1861" s="459" t="str">
        <f t="shared" si="1080"/>
        <v/>
      </c>
      <c r="T1861" s="566" t="str">
        <f t="shared" si="1065"/>
        <v/>
      </c>
      <c r="U1861" s="702"/>
      <c r="V1861" s="132"/>
      <c r="W1861" s="133"/>
      <c r="X1861" s="134"/>
      <c r="Y1861" s="135"/>
      <c r="Z1861" s="137"/>
      <c r="AA1861" s="136"/>
      <c r="AB1861" s="566" t="str">
        <f t="shared" si="1066"/>
        <v/>
      </c>
      <c r="AC1861" s="568" t="str">
        <f t="shared" si="1067"/>
        <v/>
      </c>
      <c r="AD1861" s="137"/>
      <c r="AE1861" s="137"/>
      <c r="AF1861" s="138"/>
      <c r="AG1861" s="138"/>
      <c r="AH1861" s="592" t="str">
        <f t="shared" si="1068"/>
        <v/>
      </c>
      <c r="AI1861" s="592" t="str">
        <f t="shared" si="1069"/>
        <v/>
      </c>
      <c r="AJ1861" s="592" t="str">
        <f t="shared" si="1070"/>
        <v/>
      </c>
      <c r="AK1861" s="460" t="str">
        <f>IF(AU1861="","",IF(OR(AZ1861=8,AZ1861=9),0,IF(OR(AW1861=3,AW1861=4,AW1861=5,AW1861=6),IF(LEFT(BF1861,1)="1",INDEX(係数_NOX・PM低減,MATCH(AY1861,【参考】排出係数!$AI$801:$AI$804,1),1),VLOOKUP(AU1861,INDEX((係数_バス貨物_ガソリン,係数_バス貨物_CNG,係数_バス貨物_軽油,係数_バス貨物_メタノール,係数_バス貨物_LPG),MATCH(AY1861,【参考】排出係数!$AI$4:$AI$671,1),1,BE1861):INDEX((係数_バス貨物_ガソリン,係数_バス貨物_CNG,係数_バス貨物_軽油,係数_バス貨物_メタノール,係数_バス貨物_LPG),MATCH(AY1861+1,【参考】排出係数!$AI$4:$AI$671,1)-1,5,BE1861),4,FALSE)),IF(AND(BE1861=3,LEFT(BF1861,1)="1"),0.48,VLOOKUP(AU1861,INDEX((係数_乗用_ガソリン,係数_乗用_CNG,係数_乗用_軽油,係数_乗用_メタノール,係数_乗用_LPG),1,1,BE1861):INDEX((係数_乗用_ガソリン,係数_乗用_CNG,係数_乗用_軽油,係数_乗用_メタノール,係数_乗用_LPG),125,5,BE1861),4,FALSE)))))</f>
        <v/>
      </c>
      <c r="AL1861" s="461" t="str">
        <f t="shared" si="1071"/>
        <v/>
      </c>
      <c r="AM1861" s="460" t="str">
        <f>IF(AU1861="","",IF(OR(AZ1861=8,AZ1861=9),0,IF(OR(AW1861=3,AW1861=4,AW1861=5,AW1861=6),IF(LEFT(BH1861,1)="1",INDEX(係数_PM低減,MATCH(AY1861,【参考】排出係数!$AI$801:$AI$804,1),MATCH(BI1861,【参考】排出係数!$AL$798:$AO$798,1)),VLOOKUP(AU1861,INDEX((係数_バス貨物_ガソリン,係数_バス貨物_CNG,係数_バス貨物_軽油,係数_バス貨物_メタノール,係数_バス貨物_LPG),MATCH(AY1861,【参考】排出係数!$AI$4:$AI$671,1),1,BE1861):INDEX((係数_バス貨物_ガソリン,係数_バス貨物_CNG,係数_バス貨物_軽油,係数_バス貨物_メタノール,係数_バス貨物_LPG),MATCH(AY1861+1,【参考】排出係数!$AI$4:$AI$671,1)-1,5,BE1861),5,FALSE)),IF(AND(BE1861=3,LEFT(BF1861,1)="1"),0.055,VLOOKUP(AU1861,INDEX((係数_乗用_ガソリン,係数_乗用_CNG,係数_乗用_軽油,係数_乗用_メタノール,係数_乗用_LPG),1,1,BE1861):INDEX((係数_乗用_ガソリン,係数_乗用_CNG,係数_乗用_軽油,係数_乗用_メタノール,係数_乗用_LPG),125,5,BE1861),5,FALSE)))))</f>
        <v/>
      </c>
      <c r="AN1861" s="461" t="str">
        <f t="shared" si="1072"/>
        <v/>
      </c>
      <c r="AO1861" s="462" t="str">
        <f t="shared" si="1073"/>
        <v/>
      </c>
      <c r="AP1861" s="463" t="str">
        <f t="shared" si="1074"/>
        <v/>
      </c>
      <c r="AQ1861" s="464"/>
      <c r="AR1861" s="619"/>
      <c r="AS1861" s="465" t="str">
        <f t="shared" si="1082"/>
        <v/>
      </c>
      <c r="AT1861" s="465" t="str">
        <f t="shared" si="1083"/>
        <v/>
      </c>
      <c r="AU1861" s="466" t="str">
        <f t="shared" si="1084"/>
        <v/>
      </c>
      <c r="AV1861" s="467" t="str">
        <f t="shared" si="1085"/>
        <v/>
      </c>
      <c r="AW1861" s="467" t="str">
        <f t="shared" si="1086"/>
        <v/>
      </c>
      <c r="AX1861" s="467" t="str">
        <f t="shared" si="1087"/>
        <v/>
      </c>
      <c r="AY1861" s="467" t="str">
        <f t="shared" si="1088"/>
        <v/>
      </c>
      <c r="AZ1861" s="467" t="str">
        <f t="shared" si="1089"/>
        <v/>
      </c>
      <c r="BA1861" s="468" t="str">
        <f>IF(AS1861="","",IF(OR(AU1861="",AU1861="-"),"－",IF(OR(AZ1861=8,AZ1861=9),"",IF(OR(AW1861=3,AW1861=4,AW1861=5,AW1861=6),VLOOKUP(AU1861,INDEX((係数_バス貨物_ガソリン,係数_バス貨物_CNG,係数_バス貨物_軽油,係数_バス貨物_メタノール,係数_バス貨物_LPG),MATCH(AY1861,【参考】排出係数!$AI$4:$AI$671,1),1,BE1861):INDEX((係数_バス貨物_ガソリン,係数_バス貨物_CNG,係数_バス貨物_軽油,係数_バス貨物_メタノール,係数_バス貨物_LPG),MATCH(AY1861+1,【参考】排出係数!$AI$4:$AI$671,1)-1,5,BE1861),2,FALSE),IF(OR(AW1861=1,AW1861=2),VLOOKUP(AU1861,INDEX((係数_乗用_ガソリン,係数_乗用_CNG,係数_乗用_軽油,係数_乗用_メタノール,係数_乗用_LPG),1,1,BE1861):INDEX((係数_乗用_ガソリン,係数_乗用_CNG,係数_乗用_軽油,係数_乗用_メタノール,係数_乗用_LPG),125,5,BE1861),2,FALSE))))))</f>
        <v/>
      </c>
      <c r="BB1861" s="468" t="str">
        <f>IF(T1861="","",IF(OR(AU1861="",AU1861="-"),"－",IF(OR(AZ1861=8,AZ1861=9),"",IF(OR(AW1861=3,AW1861=4,AW1861=5,AW1861=6),VLOOKUP(AU1861,INDEX((係数_バス貨物_ガソリン,係数_バス貨物_CNG,係数_バス貨物_軽油,係数_バス貨物_メタノール,係数_バス貨物_LPG),MATCH(AY1861,【参考】排出係数!$AI$4:$AI$671,1),1,BE1861):INDEX((係数_バス貨物_ガソリン,係数_バス貨物_CNG,係数_バス貨物_軽油,係数_バス貨物_メタノール,係数_バス貨物_LPG),MATCH(AY1861+1,【参考】排出係数!$AI$4:$AI$671,1)-1,5,BE1861),3,FALSE),IF(OR(AW1861=1,AW1861=2),VLOOKUP(AU1861,INDEX((係数_乗用_ガソリン,係数_乗用_CNG,係数_乗用_軽油,係数_乗用_メタノール,係数_乗用_LPG),1,1,BE1861):INDEX((係数_乗用_ガソリン,係数_乗用_CNG,係数_乗用_軽油,係数_乗用_メタノール,係数_乗用_LPG),125,5,BE1861),3,FALSE))))))</f>
        <v/>
      </c>
      <c r="BC1861" s="467" t="str">
        <f t="shared" si="1090"/>
        <v/>
      </c>
      <c r="BD1861" s="567" t="str">
        <f t="shared" si="1091"/>
        <v/>
      </c>
      <c r="BE1861" s="467" t="str">
        <f t="shared" si="1092"/>
        <v/>
      </c>
      <c r="BF1861" s="469" t="str">
        <f t="shared" ca="1" si="1093"/>
        <v/>
      </c>
      <c r="BG1861" s="469" t="str">
        <f t="shared" ca="1" si="1094"/>
        <v/>
      </c>
      <c r="BH1861" s="467" t="str">
        <f t="shared" si="1095"/>
        <v/>
      </c>
      <c r="BI1861" s="467" t="str">
        <f t="shared" ca="1" si="1096"/>
        <v/>
      </c>
      <c r="BJ1861" s="469" t="str">
        <f t="shared" si="1097"/>
        <v/>
      </c>
      <c r="BK1861" s="470" t="str">
        <f t="shared" si="1081"/>
        <v/>
      </c>
      <c r="BL1861" s="775" t="str">
        <f t="shared" si="1098"/>
        <v/>
      </c>
      <c r="BM1861" s="775" t="str">
        <f t="shared" si="1099"/>
        <v/>
      </c>
    </row>
    <row r="1862" spans="1:65">
      <c r="A1862" s="473">
        <v>1806</v>
      </c>
      <c r="B1862" s="132"/>
      <c r="C1862" s="332"/>
      <c r="D1862" s="333"/>
      <c r="E1862" s="333"/>
      <c r="F1862" s="334"/>
      <c r="G1862" s="337"/>
      <c r="H1862" s="131"/>
      <c r="I1862" s="337"/>
      <c r="J1862" s="131"/>
      <c r="K1862" s="458" t="str">
        <f t="shared" si="1062"/>
        <v/>
      </c>
      <c r="L1862" s="458">
        <f t="shared" si="1063"/>
        <v>0</v>
      </c>
      <c r="M1862" s="458">
        <f t="shared" si="1064"/>
        <v>0</v>
      </c>
      <c r="N1862" s="459" t="str">
        <f t="shared" si="1075"/>
        <v/>
      </c>
      <c r="O1862" s="459" t="str">
        <f t="shared" si="1076"/>
        <v/>
      </c>
      <c r="P1862" s="459" t="str">
        <f t="shared" si="1077"/>
        <v/>
      </c>
      <c r="Q1862" s="459" t="str">
        <f t="shared" si="1078"/>
        <v/>
      </c>
      <c r="R1862" s="459" t="str">
        <f t="shared" si="1079"/>
        <v/>
      </c>
      <c r="S1862" s="459" t="str">
        <f t="shared" si="1080"/>
        <v/>
      </c>
      <c r="T1862" s="566" t="str">
        <f t="shared" si="1065"/>
        <v/>
      </c>
      <c r="U1862" s="702"/>
      <c r="V1862" s="132"/>
      <c r="W1862" s="133"/>
      <c r="X1862" s="134"/>
      <c r="Y1862" s="135"/>
      <c r="Z1862" s="137"/>
      <c r="AA1862" s="136"/>
      <c r="AB1862" s="566" t="str">
        <f t="shared" si="1066"/>
        <v/>
      </c>
      <c r="AC1862" s="568" t="str">
        <f t="shared" si="1067"/>
        <v/>
      </c>
      <c r="AD1862" s="137"/>
      <c r="AE1862" s="137"/>
      <c r="AF1862" s="138"/>
      <c r="AG1862" s="138"/>
      <c r="AH1862" s="592" t="str">
        <f t="shared" si="1068"/>
        <v/>
      </c>
      <c r="AI1862" s="592" t="str">
        <f t="shared" si="1069"/>
        <v/>
      </c>
      <c r="AJ1862" s="592" t="str">
        <f t="shared" si="1070"/>
        <v/>
      </c>
      <c r="AK1862" s="460" t="str">
        <f>IF(AU1862="","",IF(OR(AZ1862=8,AZ1862=9),0,IF(OR(AW1862=3,AW1862=4,AW1862=5,AW1862=6),IF(LEFT(BF1862,1)="1",INDEX(係数_NOX・PM低減,MATCH(AY1862,【参考】排出係数!$AI$801:$AI$804,1),1),VLOOKUP(AU1862,INDEX((係数_バス貨物_ガソリン,係数_バス貨物_CNG,係数_バス貨物_軽油,係数_バス貨物_メタノール,係数_バス貨物_LPG),MATCH(AY1862,【参考】排出係数!$AI$4:$AI$671,1),1,BE1862):INDEX((係数_バス貨物_ガソリン,係数_バス貨物_CNG,係数_バス貨物_軽油,係数_バス貨物_メタノール,係数_バス貨物_LPG),MATCH(AY1862+1,【参考】排出係数!$AI$4:$AI$671,1)-1,5,BE1862),4,FALSE)),IF(AND(BE1862=3,LEFT(BF1862,1)="1"),0.48,VLOOKUP(AU1862,INDEX((係数_乗用_ガソリン,係数_乗用_CNG,係数_乗用_軽油,係数_乗用_メタノール,係数_乗用_LPG),1,1,BE1862):INDEX((係数_乗用_ガソリン,係数_乗用_CNG,係数_乗用_軽油,係数_乗用_メタノール,係数_乗用_LPG),125,5,BE1862),4,FALSE)))))</f>
        <v/>
      </c>
      <c r="AL1862" s="461" t="str">
        <f t="shared" si="1071"/>
        <v/>
      </c>
      <c r="AM1862" s="460" t="str">
        <f>IF(AU1862="","",IF(OR(AZ1862=8,AZ1862=9),0,IF(OR(AW1862=3,AW1862=4,AW1862=5,AW1862=6),IF(LEFT(BH1862,1)="1",INDEX(係数_PM低減,MATCH(AY1862,【参考】排出係数!$AI$801:$AI$804,1),MATCH(BI1862,【参考】排出係数!$AL$798:$AO$798,1)),VLOOKUP(AU1862,INDEX((係数_バス貨物_ガソリン,係数_バス貨物_CNG,係数_バス貨物_軽油,係数_バス貨物_メタノール,係数_バス貨物_LPG),MATCH(AY1862,【参考】排出係数!$AI$4:$AI$671,1),1,BE1862):INDEX((係数_バス貨物_ガソリン,係数_バス貨物_CNG,係数_バス貨物_軽油,係数_バス貨物_メタノール,係数_バス貨物_LPG),MATCH(AY1862+1,【参考】排出係数!$AI$4:$AI$671,1)-1,5,BE1862),5,FALSE)),IF(AND(BE1862=3,LEFT(BF1862,1)="1"),0.055,VLOOKUP(AU1862,INDEX((係数_乗用_ガソリン,係数_乗用_CNG,係数_乗用_軽油,係数_乗用_メタノール,係数_乗用_LPG),1,1,BE1862):INDEX((係数_乗用_ガソリン,係数_乗用_CNG,係数_乗用_軽油,係数_乗用_メタノール,係数_乗用_LPG),125,5,BE1862),5,FALSE)))))</f>
        <v/>
      </c>
      <c r="AN1862" s="461" t="str">
        <f t="shared" si="1072"/>
        <v/>
      </c>
      <c r="AO1862" s="462" t="str">
        <f t="shared" si="1073"/>
        <v/>
      </c>
      <c r="AP1862" s="463" t="str">
        <f t="shared" si="1074"/>
        <v/>
      </c>
      <c r="AQ1862" s="464"/>
      <c r="AR1862" s="619"/>
      <c r="AS1862" s="465" t="str">
        <f t="shared" si="1082"/>
        <v/>
      </c>
      <c r="AT1862" s="465" t="str">
        <f t="shared" si="1083"/>
        <v/>
      </c>
      <c r="AU1862" s="466" t="str">
        <f t="shared" si="1084"/>
        <v/>
      </c>
      <c r="AV1862" s="467" t="str">
        <f t="shared" si="1085"/>
        <v/>
      </c>
      <c r="AW1862" s="467" t="str">
        <f t="shared" si="1086"/>
        <v/>
      </c>
      <c r="AX1862" s="467" t="str">
        <f t="shared" si="1087"/>
        <v/>
      </c>
      <c r="AY1862" s="467" t="str">
        <f t="shared" si="1088"/>
        <v/>
      </c>
      <c r="AZ1862" s="467" t="str">
        <f t="shared" si="1089"/>
        <v/>
      </c>
      <c r="BA1862" s="468" t="str">
        <f>IF(AS1862="","",IF(OR(AU1862="",AU1862="-"),"－",IF(OR(AZ1862=8,AZ1862=9),"",IF(OR(AW1862=3,AW1862=4,AW1862=5,AW1862=6),VLOOKUP(AU1862,INDEX((係数_バス貨物_ガソリン,係数_バス貨物_CNG,係数_バス貨物_軽油,係数_バス貨物_メタノール,係数_バス貨物_LPG),MATCH(AY1862,【参考】排出係数!$AI$4:$AI$671,1),1,BE1862):INDEX((係数_バス貨物_ガソリン,係数_バス貨物_CNG,係数_バス貨物_軽油,係数_バス貨物_メタノール,係数_バス貨物_LPG),MATCH(AY1862+1,【参考】排出係数!$AI$4:$AI$671,1)-1,5,BE1862),2,FALSE),IF(OR(AW1862=1,AW1862=2),VLOOKUP(AU1862,INDEX((係数_乗用_ガソリン,係数_乗用_CNG,係数_乗用_軽油,係数_乗用_メタノール,係数_乗用_LPG),1,1,BE1862):INDEX((係数_乗用_ガソリン,係数_乗用_CNG,係数_乗用_軽油,係数_乗用_メタノール,係数_乗用_LPG),125,5,BE1862),2,FALSE))))))</f>
        <v/>
      </c>
      <c r="BB1862" s="468" t="str">
        <f>IF(T1862="","",IF(OR(AU1862="",AU1862="-"),"－",IF(OR(AZ1862=8,AZ1862=9),"",IF(OR(AW1862=3,AW1862=4,AW1862=5,AW1862=6),VLOOKUP(AU1862,INDEX((係数_バス貨物_ガソリン,係数_バス貨物_CNG,係数_バス貨物_軽油,係数_バス貨物_メタノール,係数_バス貨物_LPG),MATCH(AY1862,【参考】排出係数!$AI$4:$AI$671,1),1,BE1862):INDEX((係数_バス貨物_ガソリン,係数_バス貨物_CNG,係数_バス貨物_軽油,係数_バス貨物_メタノール,係数_バス貨物_LPG),MATCH(AY1862+1,【参考】排出係数!$AI$4:$AI$671,1)-1,5,BE1862),3,FALSE),IF(OR(AW1862=1,AW1862=2),VLOOKUP(AU1862,INDEX((係数_乗用_ガソリン,係数_乗用_CNG,係数_乗用_軽油,係数_乗用_メタノール,係数_乗用_LPG),1,1,BE1862):INDEX((係数_乗用_ガソリン,係数_乗用_CNG,係数_乗用_軽油,係数_乗用_メタノール,係数_乗用_LPG),125,5,BE1862),3,FALSE))))))</f>
        <v/>
      </c>
      <c r="BC1862" s="467" t="str">
        <f t="shared" si="1090"/>
        <v/>
      </c>
      <c r="BD1862" s="567" t="str">
        <f t="shared" si="1091"/>
        <v/>
      </c>
      <c r="BE1862" s="467" t="str">
        <f t="shared" si="1092"/>
        <v/>
      </c>
      <c r="BF1862" s="469" t="str">
        <f t="shared" ca="1" si="1093"/>
        <v/>
      </c>
      <c r="BG1862" s="469" t="str">
        <f t="shared" ca="1" si="1094"/>
        <v/>
      </c>
      <c r="BH1862" s="467" t="str">
        <f t="shared" si="1095"/>
        <v/>
      </c>
      <c r="BI1862" s="467" t="str">
        <f t="shared" ca="1" si="1096"/>
        <v/>
      </c>
      <c r="BJ1862" s="469" t="str">
        <f t="shared" si="1097"/>
        <v/>
      </c>
      <c r="BK1862" s="470" t="str">
        <f t="shared" si="1081"/>
        <v/>
      </c>
      <c r="BL1862" s="775" t="str">
        <f t="shared" si="1098"/>
        <v/>
      </c>
      <c r="BM1862" s="775" t="str">
        <f t="shared" si="1099"/>
        <v/>
      </c>
    </row>
    <row r="1863" spans="1:65">
      <c r="A1863" s="473">
        <v>1807</v>
      </c>
      <c r="B1863" s="132"/>
      <c r="C1863" s="332"/>
      <c r="D1863" s="333"/>
      <c r="E1863" s="333"/>
      <c r="F1863" s="334"/>
      <c r="G1863" s="337"/>
      <c r="H1863" s="131"/>
      <c r="I1863" s="337"/>
      <c r="J1863" s="131"/>
      <c r="K1863" s="458" t="str">
        <f t="shared" si="1062"/>
        <v/>
      </c>
      <c r="L1863" s="458">
        <f t="shared" si="1063"/>
        <v>0</v>
      </c>
      <c r="M1863" s="458">
        <f t="shared" si="1064"/>
        <v>0</v>
      </c>
      <c r="N1863" s="459" t="str">
        <f t="shared" si="1075"/>
        <v/>
      </c>
      <c r="O1863" s="459" t="str">
        <f t="shared" si="1076"/>
        <v/>
      </c>
      <c r="P1863" s="459" t="str">
        <f t="shared" si="1077"/>
        <v/>
      </c>
      <c r="Q1863" s="459" t="str">
        <f t="shared" si="1078"/>
        <v/>
      </c>
      <c r="R1863" s="459" t="str">
        <f t="shared" si="1079"/>
        <v/>
      </c>
      <c r="S1863" s="459" t="str">
        <f t="shared" si="1080"/>
        <v/>
      </c>
      <c r="T1863" s="566" t="str">
        <f t="shared" si="1065"/>
        <v/>
      </c>
      <c r="U1863" s="702"/>
      <c r="V1863" s="132"/>
      <c r="W1863" s="133"/>
      <c r="X1863" s="134"/>
      <c r="Y1863" s="135"/>
      <c r="Z1863" s="137"/>
      <c r="AA1863" s="136"/>
      <c r="AB1863" s="566" t="str">
        <f t="shared" si="1066"/>
        <v/>
      </c>
      <c r="AC1863" s="568" t="str">
        <f t="shared" si="1067"/>
        <v/>
      </c>
      <c r="AD1863" s="137"/>
      <c r="AE1863" s="137"/>
      <c r="AF1863" s="138"/>
      <c r="AG1863" s="138"/>
      <c r="AH1863" s="592" t="str">
        <f t="shared" si="1068"/>
        <v/>
      </c>
      <c r="AI1863" s="592" t="str">
        <f t="shared" si="1069"/>
        <v/>
      </c>
      <c r="AJ1863" s="592" t="str">
        <f t="shared" si="1070"/>
        <v/>
      </c>
      <c r="AK1863" s="460" t="str">
        <f>IF(AU1863="","",IF(OR(AZ1863=8,AZ1863=9),0,IF(OR(AW1863=3,AW1863=4,AW1863=5,AW1863=6),IF(LEFT(BF1863,1)="1",INDEX(係数_NOX・PM低減,MATCH(AY1863,【参考】排出係数!$AI$801:$AI$804,1),1),VLOOKUP(AU1863,INDEX((係数_バス貨物_ガソリン,係数_バス貨物_CNG,係数_バス貨物_軽油,係数_バス貨物_メタノール,係数_バス貨物_LPG),MATCH(AY1863,【参考】排出係数!$AI$4:$AI$671,1),1,BE1863):INDEX((係数_バス貨物_ガソリン,係数_バス貨物_CNG,係数_バス貨物_軽油,係数_バス貨物_メタノール,係数_バス貨物_LPG),MATCH(AY1863+1,【参考】排出係数!$AI$4:$AI$671,1)-1,5,BE1863),4,FALSE)),IF(AND(BE1863=3,LEFT(BF1863,1)="1"),0.48,VLOOKUP(AU1863,INDEX((係数_乗用_ガソリン,係数_乗用_CNG,係数_乗用_軽油,係数_乗用_メタノール,係数_乗用_LPG),1,1,BE1863):INDEX((係数_乗用_ガソリン,係数_乗用_CNG,係数_乗用_軽油,係数_乗用_メタノール,係数_乗用_LPG),125,5,BE1863),4,FALSE)))))</f>
        <v/>
      </c>
      <c r="AL1863" s="461" t="str">
        <f t="shared" si="1071"/>
        <v/>
      </c>
      <c r="AM1863" s="460" t="str">
        <f>IF(AU1863="","",IF(OR(AZ1863=8,AZ1863=9),0,IF(OR(AW1863=3,AW1863=4,AW1863=5,AW1863=6),IF(LEFT(BH1863,1)="1",INDEX(係数_PM低減,MATCH(AY1863,【参考】排出係数!$AI$801:$AI$804,1),MATCH(BI1863,【参考】排出係数!$AL$798:$AO$798,1)),VLOOKUP(AU1863,INDEX((係数_バス貨物_ガソリン,係数_バス貨物_CNG,係数_バス貨物_軽油,係数_バス貨物_メタノール,係数_バス貨物_LPG),MATCH(AY1863,【参考】排出係数!$AI$4:$AI$671,1),1,BE1863):INDEX((係数_バス貨物_ガソリン,係数_バス貨物_CNG,係数_バス貨物_軽油,係数_バス貨物_メタノール,係数_バス貨物_LPG),MATCH(AY1863+1,【参考】排出係数!$AI$4:$AI$671,1)-1,5,BE1863),5,FALSE)),IF(AND(BE1863=3,LEFT(BF1863,1)="1"),0.055,VLOOKUP(AU1863,INDEX((係数_乗用_ガソリン,係数_乗用_CNG,係数_乗用_軽油,係数_乗用_メタノール,係数_乗用_LPG),1,1,BE1863):INDEX((係数_乗用_ガソリン,係数_乗用_CNG,係数_乗用_軽油,係数_乗用_メタノール,係数_乗用_LPG),125,5,BE1863),5,FALSE)))))</f>
        <v/>
      </c>
      <c r="AN1863" s="461" t="str">
        <f t="shared" si="1072"/>
        <v/>
      </c>
      <c r="AO1863" s="462" t="str">
        <f t="shared" si="1073"/>
        <v/>
      </c>
      <c r="AP1863" s="463" t="str">
        <f t="shared" si="1074"/>
        <v/>
      </c>
      <c r="AQ1863" s="464"/>
      <c r="AR1863" s="619"/>
      <c r="AS1863" s="465" t="str">
        <f t="shared" si="1082"/>
        <v/>
      </c>
      <c r="AT1863" s="465" t="str">
        <f t="shared" si="1083"/>
        <v/>
      </c>
      <c r="AU1863" s="466" t="str">
        <f t="shared" si="1084"/>
        <v/>
      </c>
      <c r="AV1863" s="467" t="str">
        <f t="shared" si="1085"/>
        <v/>
      </c>
      <c r="AW1863" s="467" t="str">
        <f t="shared" si="1086"/>
        <v/>
      </c>
      <c r="AX1863" s="467" t="str">
        <f t="shared" si="1087"/>
        <v/>
      </c>
      <c r="AY1863" s="467" t="str">
        <f t="shared" si="1088"/>
        <v/>
      </c>
      <c r="AZ1863" s="467" t="str">
        <f t="shared" si="1089"/>
        <v/>
      </c>
      <c r="BA1863" s="468" t="str">
        <f>IF(AS1863="","",IF(OR(AU1863="",AU1863="-"),"－",IF(OR(AZ1863=8,AZ1863=9),"",IF(OR(AW1863=3,AW1863=4,AW1863=5,AW1863=6),VLOOKUP(AU1863,INDEX((係数_バス貨物_ガソリン,係数_バス貨物_CNG,係数_バス貨物_軽油,係数_バス貨物_メタノール,係数_バス貨物_LPG),MATCH(AY1863,【参考】排出係数!$AI$4:$AI$671,1),1,BE1863):INDEX((係数_バス貨物_ガソリン,係数_バス貨物_CNG,係数_バス貨物_軽油,係数_バス貨物_メタノール,係数_バス貨物_LPG),MATCH(AY1863+1,【参考】排出係数!$AI$4:$AI$671,1)-1,5,BE1863),2,FALSE),IF(OR(AW1863=1,AW1863=2),VLOOKUP(AU1863,INDEX((係数_乗用_ガソリン,係数_乗用_CNG,係数_乗用_軽油,係数_乗用_メタノール,係数_乗用_LPG),1,1,BE1863):INDEX((係数_乗用_ガソリン,係数_乗用_CNG,係数_乗用_軽油,係数_乗用_メタノール,係数_乗用_LPG),125,5,BE1863),2,FALSE))))))</f>
        <v/>
      </c>
      <c r="BB1863" s="468" t="str">
        <f>IF(T1863="","",IF(OR(AU1863="",AU1863="-"),"－",IF(OR(AZ1863=8,AZ1863=9),"",IF(OR(AW1863=3,AW1863=4,AW1863=5,AW1863=6),VLOOKUP(AU1863,INDEX((係数_バス貨物_ガソリン,係数_バス貨物_CNG,係数_バス貨物_軽油,係数_バス貨物_メタノール,係数_バス貨物_LPG),MATCH(AY1863,【参考】排出係数!$AI$4:$AI$671,1),1,BE1863):INDEX((係数_バス貨物_ガソリン,係数_バス貨物_CNG,係数_バス貨物_軽油,係数_バス貨物_メタノール,係数_バス貨物_LPG),MATCH(AY1863+1,【参考】排出係数!$AI$4:$AI$671,1)-1,5,BE1863),3,FALSE),IF(OR(AW1863=1,AW1863=2),VLOOKUP(AU1863,INDEX((係数_乗用_ガソリン,係数_乗用_CNG,係数_乗用_軽油,係数_乗用_メタノール,係数_乗用_LPG),1,1,BE1863):INDEX((係数_乗用_ガソリン,係数_乗用_CNG,係数_乗用_軽油,係数_乗用_メタノール,係数_乗用_LPG),125,5,BE1863),3,FALSE))))))</f>
        <v/>
      </c>
      <c r="BC1863" s="467" t="str">
        <f t="shared" si="1090"/>
        <v/>
      </c>
      <c r="BD1863" s="567" t="str">
        <f t="shared" si="1091"/>
        <v/>
      </c>
      <c r="BE1863" s="467" t="str">
        <f t="shared" si="1092"/>
        <v/>
      </c>
      <c r="BF1863" s="469" t="str">
        <f t="shared" ca="1" si="1093"/>
        <v/>
      </c>
      <c r="BG1863" s="469" t="str">
        <f t="shared" ca="1" si="1094"/>
        <v/>
      </c>
      <c r="BH1863" s="467" t="str">
        <f t="shared" si="1095"/>
        <v/>
      </c>
      <c r="BI1863" s="467" t="str">
        <f t="shared" ca="1" si="1096"/>
        <v/>
      </c>
      <c r="BJ1863" s="469" t="str">
        <f t="shared" si="1097"/>
        <v/>
      </c>
      <c r="BK1863" s="470" t="str">
        <f t="shared" si="1081"/>
        <v/>
      </c>
      <c r="BL1863" s="775" t="str">
        <f t="shared" si="1098"/>
        <v/>
      </c>
      <c r="BM1863" s="775" t="str">
        <f t="shared" si="1099"/>
        <v/>
      </c>
    </row>
    <row r="1864" spans="1:65">
      <c r="A1864" s="473">
        <v>1808</v>
      </c>
      <c r="B1864" s="132"/>
      <c r="C1864" s="332"/>
      <c r="D1864" s="333"/>
      <c r="E1864" s="333"/>
      <c r="F1864" s="334"/>
      <c r="G1864" s="337"/>
      <c r="H1864" s="131"/>
      <c r="I1864" s="337"/>
      <c r="J1864" s="131"/>
      <c r="K1864" s="458" t="str">
        <f t="shared" si="1062"/>
        <v/>
      </c>
      <c r="L1864" s="458">
        <f t="shared" si="1063"/>
        <v>0</v>
      </c>
      <c r="M1864" s="458">
        <f t="shared" si="1064"/>
        <v>0</v>
      </c>
      <c r="N1864" s="459" t="str">
        <f t="shared" si="1075"/>
        <v/>
      </c>
      <c r="O1864" s="459" t="str">
        <f t="shared" si="1076"/>
        <v/>
      </c>
      <c r="P1864" s="459" t="str">
        <f t="shared" si="1077"/>
        <v/>
      </c>
      <c r="Q1864" s="459" t="str">
        <f t="shared" si="1078"/>
        <v/>
      </c>
      <c r="R1864" s="459" t="str">
        <f t="shared" si="1079"/>
        <v/>
      </c>
      <c r="S1864" s="459" t="str">
        <f t="shared" si="1080"/>
        <v/>
      </c>
      <c r="T1864" s="566" t="str">
        <f t="shared" si="1065"/>
        <v/>
      </c>
      <c r="U1864" s="702"/>
      <c r="V1864" s="132"/>
      <c r="W1864" s="133"/>
      <c r="X1864" s="134"/>
      <c r="Y1864" s="135"/>
      <c r="Z1864" s="137"/>
      <c r="AA1864" s="136"/>
      <c r="AB1864" s="566" t="str">
        <f t="shared" si="1066"/>
        <v/>
      </c>
      <c r="AC1864" s="568" t="str">
        <f t="shared" si="1067"/>
        <v/>
      </c>
      <c r="AD1864" s="137"/>
      <c r="AE1864" s="137"/>
      <c r="AF1864" s="138"/>
      <c r="AG1864" s="138"/>
      <c r="AH1864" s="592" t="str">
        <f t="shared" si="1068"/>
        <v/>
      </c>
      <c r="AI1864" s="592" t="str">
        <f t="shared" si="1069"/>
        <v/>
      </c>
      <c r="AJ1864" s="592" t="str">
        <f t="shared" si="1070"/>
        <v/>
      </c>
      <c r="AK1864" s="460" t="str">
        <f>IF(AU1864="","",IF(OR(AZ1864=8,AZ1864=9),0,IF(OR(AW1864=3,AW1864=4,AW1864=5,AW1864=6),IF(LEFT(BF1864,1)="1",INDEX(係数_NOX・PM低減,MATCH(AY1864,【参考】排出係数!$AI$801:$AI$804,1),1),VLOOKUP(AU1864,INDEX((係数_バス貨物_ガソリン,係数_バス貨物_CNG,係数_バス貨物_軽油,係数_バス貨物_メタノール,係数_バス貨物_LPG),MATCH(AY1864,【参考】排出係数!$AI$4:$AI$671,1),1,BE1864):INDEX((係数_バス貨物_ガソリン,係数_バス貨物_CNG,係数_バス貨物_軽油,係数_バス貨物_メタノール,係数_バス貨物_LPG),MATCH(AY1864+1,【参考】排出係数!$AI$4:$AI$671,1)-1,5,BE1864),4,FALSE)),IF(AND(BE1864=3,LEFT(BF1864,1)="1"),0.48,VLOOKUP(AU1864,INDEX((係数_乗用_ガソリン,係数_乗用_CNG,係数_乗用_軽油,係数_乗用_メタノール,係数_乗用_LPG),1,1,BE1864):INDEX((係数_乗用_ガソリン,係数_乗用_CNG,係数_乗用_軽油,係数_乗用_メタノール,係数_乗用_LPG),125,5,BE1864),4,FALSE)))))</f>
        <v/>
      </c>
      <c r="AL1864" s="461" t="str">
        <f t="shared" si="1071"/>
        <v/>
      </c>
      <c r="AM1864" s="460" t="str">
        <f>IF(AU1864="","",IF(OR(AZ1864=8,AZ1864=9),0,IF(OR(AW1864=3,AW1864=4,AW1864=5,AW1864=6),IF(LEFT(BH1864,1)="1",INDEX(係数_PM低減,MATCH(AY1864,【参考】排出係数!$AI$801:$AI$804,1),MATCH(BI1864,【参考】排出係数!$AL$798:$AO$798,1)),VLOOKUP(AU1864,INDEX((係数_バス貨物_ガソリン,係数_バス貨物_CNG,係数_バス貨物_軽油,係数_バス貨物_メタノール,係数_バス貨物_LPG),MATCH(AY1864,【参考】排出係数!$AI$4:$AI$671,1),1,BE1864):INDEX((係数_バス貨物_ガソリン,係数_バス貨物_CNG,係数_バス貨物_軽油,係数_バス貨物_メタノール,係数_バス貨物_LPG),MATCH(AY1864+1,【参考】排出係数!$AI$4:$AI$671,1)-1,5,BE1864),5,FALSE)),IF(AND(BE1864=3,LEFT(BF1864,1)="1"),0.055,VLOOKUP(AU1864,INDEX((係数_乗用_ガソリン,係数_乗用_CNG,係数_乗用_軽油,係数_乗用_メタノール,係数_乗用_LPG),1,1,BE1864):INDEX((係数_乗用_ガソリン,係数_乗用_CNG,係数_乗用_軽油,係数_乗用_メタノール,係数_乗用_LPG),125,5,BE1864),5,FALSE)))))</f>
        <v/>
      </c>
      <c r="AN1864" s="461" t="str">
        <f t="shared" si="1072"/>
        <v/>
      </c>
      <c r="AO1864" s="462" t="str">
        <f t="shared" si="1073"/>
        <v/>
      </c>
      <c r="AP1864" s="463" t="str">
        <f t="shared" si="1074"/>
        <v/>
      </c>
      <c r="AQ1864" s="464"/>
      <c r="AR1864" s="619"/>
      <c r="AS1864" s="465" t="str">
        <f t="shared" si="1082"/>
        <v/>
      </c>
      <c r="AT1864" s="465" t="str">
        <f t="shared" si="1083"/>
        <v/>
      </c>
      <c r="AU1864" s="466" t="str">
        <f t="shared" si="1084"/>
        <v/>
      </c>
      <c r="AV1864" s="467" t="str">
        <f t="shared" si="1085"/>
        <v/>
      </c>
      <c r="AW1864" s="467" t="str">
        <f t="shared" si="1086"/>
        <v/>
      </c>
      <c r="AX1864" s="467" t="str">
        <f t="shared" si="1087"/>
        <v/>
      </c>
      <c r="AY1864" s="467" t="str">
        <f t="shared" si="1088"/>
        <v/>
      </c>
      <c r="AZ1864" s="467" t="str">
        <f t="shared" si="1089"/>
        <v/>
      </c>
      <c r="BA1864" s="468" t="str">
        <f>IF(AS1864="","",IF(OR(AU1864="",AU1864="-"),"－",IF(OR(AZ1864=8,AZ1864=9),"",IF(OR(AW1864=3,AW1864=4,AW1864=5,AW1864=6),VLOOKUP(AU1864,INDEX((係数_バス貨物_ガソリン,係数_バス貨物_CNG,係数_バス貨物_軽油,係数_バス貨物_メタノール,係数_バス貨物_LPG),MATCH(AY1864,【参考】排出係数!$AI$4:$AI$671,1),1,BE1864):INDEX((係数_バス貨物_ガソリン,係数_バス貨物_CNG,係数_バス貨物_軽油,係数_バス貨物_メタノール,係数_バス貨物_LPG),MATCH(AY1864+1,【参考】排出係数!$AI$4:$AI$671,1)-1,5,BE1864),2,FALSE),IF(OR(AW1864=1,AW1864=2),VLOOKUP(AU1864,INDEX((係数_乗用_ガソリン,係数_乗用_CNG,係数_乗用_軽油,係数_乗用_メタノール,係数_乗用_LPG),1,1,BE1864):INDEX((係数_乗用_ガソリン,係数_乗用_CNG,係数_乗用_軽油,係数_乗用_メタノール,係数_乗用_LPG),125,5,BE1864),2,FALSE))))))</f>
        <v/>
      </c>
      <c r="BB1864" s="468" t="str">
        <f>IF(T1864="","",IF(OR(AU1864="",AU1864="-"),"－",IF(OR(AZ1864=8,AZ1864=9),"",IF(OR(AW1864=3,AW1864=4,AW1864=5,AW1864=6),VLOOKUP(AU1864,INDEX((係数_バス貨物_ガソリン,係数_バス貨物_CNG,係数_バス貨物_軽油,係数_バス貨物_メタノール,係数_バス貨物_LPG),MATCH(AY1864,【参考】排出係数!$AI$4:$AI$671,1),1,BE1864):INDEX((係数_バス貨物_ガソリン,係数_バス貨物_CNG,係数_バス貨物_軽油,係数_バス貨物_メタノール,係数_バス貨物_LPG),MATCH(AY1864+1,【参考】排出係数!$AI$4:$AI$671,1)-1,5,BE1864),3,FALSE),IF(OR(AW1864=1,AW1864=2),VLOOKUP(AU1864,INDEX((係数_乗用_ガソリン,係数_乗用_CNG,係数_乗用_軽油,係数_乗用_メタノール,係数_乗用_LPG),1,1,BE1864):INDEX((係数_乗用_ガソリン,係数_乗用_CNG,係数_乗用_軽油,係数_乗用_メタノール,係数_乗用_LPG),125,5,BE1864),3,FALSE))))))</f>
        <v/>
      </c>
      <c r="BC1864" s="467" t="str">
        <f t="shared" si="1090"/>
        <v/>
      </c>
      <c r="BD1864" s="567" t="str">
        <f t="shared" si="1091"/>
        <v/>
      </c>
      <c r="BE1864" s="467" t="str">
        <f t="shared" si="1092"/>
        <v/>
      </c>
      <c r="BF1864" s="469" t="str">
        <f t="shared" ca="1" si="1093"/>
        <v/>
      </c>
      <c r="BG1864" s="469" t="str">
        <f t="shared" ca="1" si="1094"/>
        <v/>
      </c>
      <c r="BH1864" s="467" t="str">
        <f t="shared" si="1095"/>
        <v/>
      </c>
      <c r="BI1864" s="467" t="str">
        <f t="shared" ca="1" si="1096"/>
        <v/>
      </c>
      <c r="BJ1864" s="469" t="str">
        <f t="shared" si="1097"/>
        <v/>
      </c>
      <c r="BK1864" s="470" t="str">
        <f t="shared" si="1081"/>
        <v/>
      </c>
      <c r="BL1864" s="775" t="str">
        <f t="shared" si="1098"/>
        <v/>
      </c>
      <c r="BM1864" s="775" t="str">
        <f t="shared" si="1099"/>
        <v/>
      </c>
    </row>
    <row r="1865" spans="1:65">
      <c r="A1865" s="473">
        <v>1809</v>
      </c>
      <c r="B1865" s="132"/>
      <c r="C1865" s="332"/>
      <c r="D1865" s="333"/>
      <c r="E1865" s="333"/>
      <c r="F1865" s="334"/>
      <c r="G1865" s="337"/>
      <c r="H1865" s="131"/>
      <c r="I1865" s="337"/>
      <c r="J1865" s="131"/>
      <c r="K1865" s="458" t="str">
        <f t="shared" si="1062"/>
        <v/>
      </c>
      <c r="L1865" s="458">
        <f t="shared" si="1063"/>
        <v>0</v>
      </c>
      <c r="M1865" s="458">
        <f t="shared" si="1064"/>
        <v>0</v>
      </c>
      <c r="N1865" s="459" t="str">
        <f t="shared" si="1075"/>
        <v/>
      </c>
      <c r="O1865" s="459" t="str">
        <f t="shared" si="1076"/>
        <v/>
      </c>
      <c r="P1865" s="459" t="str">
        <f t="shared" si="1077"/>
        <v/>
      </c>
      <c r="Q1865" s="459" t="str">
        <f t="shared" si="1078"/>
        <v/>
      </c>
      <c r="R1865" s="459" t="str">
        <f t="shared" si="1079"/>
        <v/>
      </c>
      <c r="S1865" s="459" t="str">
        <f t="shared" si="1080"/>
        <v/>
      </c>
      <c r="T1865" s="566" t="str">
        <f t="shared" si="1065"/>
        <v/>
      </c>
      <c r="U1865" s="702"/>
      <c r="V1865" s="132"/>
      <c r="W1865" s="133"/>
      <c r="X1865" s="134"/>
      <c r="Y1865" s="135"/>
      <c r="Z1865" s="137"/>
      <c r="AA1865" s="136"/>
      <c r="AB1865" s="566" t="str">
        <f t="shared" si="1066"/>
        <v/>
      </c>
      <c r="AC1865" s="568" t="str">
        <f t="shared" si="1067"/>
        <v/>
      </c>
      <c r="AD1865" s="137"/>
      <c r="AE1865" s="137"/>
      <c r="AF1865" s="138"/>
      <c r="AG1865" s="138"/>
      <c r="AH1865" s="592" t="str">
        <f t="shared" si="1068"/>
        <v/>
      </c>
      <c r="AI1865" s="592" t="str">
        <f t="shared" si="1069"/>
        <v/>
      </c>
      <c r="AJ1865" s="592" t="str">
        <f t="shared" si="1070"/>
        <v/>
      </c>
      <c r="AK1865" s="460" t="str">
        <f>IF(AU1865="","",IF(OR(AZ1865=8,AZ1865=9),0,IF(OR(AW1865=3,AW1865=4,AW1865=5,AW1865=6),IF(LEFT(BF1865,1)="1",INDEX(係数_NOX・PM低減,MATCH(AY1865,【参考】排出係数!$AI$801:$AI$804,1),1),VLOOKUP(AU1865,INDEX((係数_バス貨物_ガソリン,係数_バス貨物_CNG,係数_バス貨物_軽油,係数_バス貨物_メタノール,係数_バス貨物_LPG),MATCH(AY1865,【参考】排出係数!$AI$4:$AI$671,1),1,BE1865):INDEX((係数_バス貨物_ガソリン,係数_バス貨物_CNG,係数_バス貨物_軽油,係数_バス貨物_メタノール,係数_バス貨物_LPG),MATCH(AY1865+1,【参考】排出係数!$AI$4:$AI$671,1)-1,5,BE1865),4,FALSE)),IF(AND(BE1865=3,LEFT(BF1865,1)="1"),0.48,VLOOKUP(AU1865,INDEX((係数_乗用_ガソリン,係数_乗用_CNG,係数_乗用_軽油,係数_乗用_メタノール,係数_乗用_LPG),1,1,BE1865):INDEX((係数_乗用_ガソリン,係数_乗用_CNG,係数_乗用_軽油,係数_乗用_メタノール,係数_乗用_LPG),125,5,BE1865),4,FALSE)))))</f>
        <v/>
      </c>
      <c r="AL1865" s="461" t="str">
        <f t="shared" si="1071"/>
        <v/>
      </c>
      <c r="AM1865" s="460" t="str">
        <f>IF(AU1865="","",IF(OR(AZ1865=8,AZ1865=9),0,IF(OR(AW1865=3,AW1865=4,AW1865=5,AW1865=6),IF(LEFT(BH1865,1)="1",INDEX(係数_PM低減,MATCH(AY1865,【参考】排出係数!$AI$801:$AI$804,1),MATCH(BI1865,【参考】排出係数!$AL$798:$AO$798,1)),VLOOKUP(AU1865,INDEX((係数_バス貨物_ガソリン,係数_バス貨物_CNG,係数_バス貨物_軽油,係数_バス貨物_メタノール,係数_バス貨物_LPG),MATCH(AY1865,【参考】排出係数!$AI$4:$AI$671,1),1,BE1865):INDEX((係数_バス貨物_ガソリン,係数_バス貨物_CNG,係数_バス貨物_軽油,係数_バス貨物_メタノール,係数_バス貨物_LPG),MATCH(AY1865+1,【参考】排出係数!$AI$4:$AI$671,1)-1,5,BE1865),5,FALSE)),IF(AND(BE1865=3,LEFT(BF1865,1)="1"),0.055,VLOOKUP(AU1865,INDEX((係数_乗用_ガソリン,係数_乗用_CNG,係数_乗用_軽油,係数_乗用_メタノール,係数_乗用_LPG),1,1,BE1865):INDEX((係数_乗用_ガソリン,係数_乗用_CNG,係数_乗用_軽油,係数_乗用_メタノール,係数_乗用_LPG),125,5,BE1865),5,FALSE)))))</f>
        <v/>
      </c>
      <c r="AN1865" s="461" t="str">
        <f t="shared" si="1072"/>
        <v/>
      </c>
      <c r="AO1865" s="462" t="str">
        <f t="shared" si="1073"/>
        <v/>
      </c>
      <c r="AP1865" s="463" t="str">
        <f t="shared" si="1074"/>
        <v/>
      </c>
      <c r="AQ1865" s="464"/>
      <c r="AR1865" s="619"/>
      <c r="AS1865" s="465" t="str">
        <f t="shared" si="1082"/>
        <v/>
      </c>
      <c r="AT1865" s="465" t="str">
        <f t="shared" si="1083"/>
        <v/>
      </c>
      <c r="AU1865" s="466" t="str">
        <f t="shared" si="1084"/>
        <v/>
      </c>
      <c r="AV1865" s="467" t="str">
        <f t="shared" si="1085"/>
        <v/>
      </c>
      <c r="AW1865" s="467" t="str">
        <f t="shared" si="1086"/>
        <v/>
      </c>
      <c r="AX1865" s="467" t="str">
        <f t="shared" si="1087"/>
        <v/>
      </c>
      <c r="AY1865" s="467" t="str">
        <f t="shared" si="1088"/>
        <v/>
      </c>
      <c r="AZ1865" s="467" t="str">
        <f t="shared" si="1089"/>
        <v/>
      </c>
      <c r="BA1865" s="468" t="str">
        <f>IF(AS1865="","",IF(OR(AU1865="",AU1865="-"),"－",IF(OR(AZ1865=8,AZ1865=9),"",IF(OR(AW1865=3,AW1865=4,AW1865=5,AW1865=6),VLOOKUP(AU1865,INDEX((係数_バス貨物_ガソリン,係数_バス貨物_CNG,係数_バス貨物_軽油,係数_バス貨物_メタノール,係数_バス貨物_LPG),MATCH(AY1865,【参考】排出係数!$AI$4:$AI$671,1),1,BE1865):INDEX((係数_バス貨物_ガソリン,係数_バス貨物_CNG,係数_バス貨物_軽油,係数_バス貨物_メタノール,係数_バス貨物_LPG),MATCH(AY1865+1,【参考】排出係数!$AI$4:$AI$671,1)-1,5,BE1865),2,FALSE),IF(OR(AW1865=1,AW1865=2),VLOOKUP(AU1865,INDEX((係数_乗用_ガソリン,係数_乗用_CNG,係数_乗用_軽油,係数_乗用_メタノール,係数_乗用_LPG),1,1,BE1865):INDEX((係数_乗用_ガソリン,係数_乗用_CNG,係数_乗用_軽油,係数_乗用_メタノール,係数_乗用_LPG),125,5,BE1865),2,FALSE))))))</f>
        <v/>
      </c>
      <c r="BB1865" s="468" t="str">
        <f>IF(T1865="","",IF(OR(AU1865="",AU1865="-"),"－",IF(OR(AZ1865=8,AZ1865=9),"",IF(OR(AW1865=3,AW1865=4,AW1865=5,AW1865=6),VLOOKUP(AU1865,INDEX((係数_バス貨物_ガソリン,係数_バス貨物_CNG,係数_バス貨物_軽油,係数_バス貨物_メタノール,係数_バス貨物_LPG),MATCH(AY1865,【参考】排出係数!$AI$4:$AI$671,1),1,BE1865):INDEX((係数_バス貨物_ガソリン,係数_バス貨物_CNG,係数_バス貨物_軽油,係数_バス貨物_メタノール,係数_バス貨物_LPG),MATCH(AY1865+1,【参考】排出係数!$AI$4:$AI$671,1)-1,5,BE1865),3,FALSE),IF(OR(AW1865=1,AW1865=2),VLOOKUP(AU1865,INDEX((係数_乗用_ガソリン,係数_乗用_CNG,係数_乗用_軽油,係数_乗用_メタノール,係数_乗用_LPG),1,1,BE1865):INDEX((係数_乗用_ガソリン,係数_乗用_CNG,係数_乗用_軽油,係数_乗用_メタノール,係数_乗用_LPG),125,5,BE1865),3,FALSE))))))</f>
        <v/>
      </c>
      <c r="BC1865" s="467" t="str">
        <f t="shared" si="1090"/>
        <v/>
      </c>
      <c r="BD1865" s="567" t="str">
        <f t="shared" si="1091"/>
        <v/>
      </c>
      <c r="BE1865" s="467" t="str">
        <f t="shared" si="1092"/>
        <v/>
      </c>
      <c r="BF1865" s="469" t="str">
        <f t="shared" ca="1" si="1093"/>
        <v/>
      </c>
      <c r="BG1865" s="469" t="str">
        <f t="shared" ca="1" si="1094"/>
        <v/>
      </c>
      <c r="BH1865" s="467" t="str">
        <f t="shared" si="1095"/>
        <v/>
      </c>
      <c r="BI1865" s="467" t="str">
        <f t="shared" ca="1" si="1096"/>
        <v/>
      </c>
      <c r="BJ1865" s="469" t="str">
        <f t="shared" si="1097"/>
        <v/>
      </c>
      <c r="BK1865" s="470" t="str">
        <f t="shared" si="1081"/>
        <v/>
      </c>
      <c r="BL1865" s="775" t="str">
        <f t="shared" si="1098"/>
        <v/>
      </c>
      <c r="BM1865" s="775" t="str">
        <f t="shared" si="1099"/>
        <v/>
      </c>
    </row>
    <row r="1866" spans="1:65">
      <c r="A1866" s="473">
        <v>1810</v>
      </c>
      <c r="B1866" s="132"/>
      <c r="C1866" s="332"/>
      <c r="D1866" s="333"/>
      <c r="E1866" s="333"/>
      <c r="F1866" s="334"/>
      <c r="G1866" s="337"/>
      <c r="H1866" s="131"/>
      <c r="I1866" s="337"/>
      <c r="J1866" s="131"/>
      <c r="K1866" s="458" t="str">
        <f t="shared" si="1062"/>
        <v/>
      </c>
      <c r="L1866" s="458">
        <f t="shared" si="1063"/>
        <v>0</v>
      </c>
      <c r="M1866" s="458">
        <f t="shared" si="1064"/>
        <v>0</v>
      </c>
      <c r="N1866" s="459" t="str">
        <f t="shared" si="1075"/>
        <v/>
      </c>
      <c r="O1866" s="459" t="str">
        <f t="shared" si="1076"/>
        <v/>
      </c>
      <c r="P1866" s="459" t="str">
        <f t="shared" si="1077"/>
        <v/>
      </c>
      <c r="Q1866" s="459" t="str">
        <f t="shared" si="1078"/>
        <v/>
      </c>
      <c r="R1866" s="459" t="str">
        <f t="shared" si="1079"/>
        <v/>
      </c>
      <c r="S1866" s="459" t="str">
        <f t="shared" si="1080"/>
        <v/>
      </c>
      <c r="T1866" s="566" t="str">
        <f t="shared" si="1065"/>
        <v/>
      </c>
      <c r="U1866" s="702"/>
      <c r="V1866" s="132"/>
      <c r="W1866" s="133"/>
      <c r="X1866" s="134"/>
      <c r="Y1866" s="135"/>
      <c r="Z1866" s="137"/>
      <c r="AA1866" s="136"/>
      <c r="AB1866" s="566" t="str">
        <f t="shared" si="1066"/>
        <v/>
      </c>
      <c r="AC1866" s="568" t="str">
        <f t="shared" si="1067"/>
        <v/>
      </c>
      <c r="AD1866" s="137"/>
      <c r="AE1866" s="137"/>
      <c r="AF1866" s="138"/>
      <c r="AG1866" s="138"/>
      <c r="AH1866" s="592" t="str">
        <f t="shared" si="1068"/>
        <v/>
      </c>
      <c r="AI1866" s="592" t="str">
        <f t="shared" si="1069"/>
        <v/>
      </c>
      <c r="AJ1866" s="592" t="str">
        <f t="shared" si="1070"/>
        <v/>
      </c>
      <c r="AK1866" s="460" t="str">
        <f>IF(AU1866="","",IF(OR(AZ1866=8,AZ1866=9),0,IF(OR(AW1866=3,AW1866=4,AW1866=5,AW1866=6),IF(LEFT(BF1866,1)="1",INDEX(係数_NOX・PM低減,MATCH(AY1866,【参考】排出係数!$AI$801:$AI$804,1),1),VLOOKUP(AU1866,INDEX((係数_バス貨物_ガソリン,係数_バス貨物_CNG,係数_バス貨物_軽油,係数_バス貨物_メタノール,係数_バス貨物_LPG),MATCH(AY1866,【参考】排出係数!$AI$4:$AI$671,1),1,BE1866):INDEX((係数_バス貨物_ガソリン,係数_バス貨物_CNG,係数_バス貨物_軽油,係数_バス貨物_メタノール,係数_バス貨物_LPG),MATCH(AY1866+1,【参考】排出係数!$AI$4:$AI$671,1)-1,5,BE1866),4,FALSE)),IF(AND(BE1866=3,LEFT(BF1866,1)="1"),0.48,VLOOKUP(AU1866,INDEX((係数_乗用_ガソリン,係数_乗用_CNG,係数_乗用_軽油,係数_乗用_メタノール,係数_乗用_LPG),1,1,BE1866):INDEX((係数_乗用_ガソリン,係数_乗用_CNG,係数_乗用_軽油,係数_乗用_メタノール,係数_乗用_LPG),125,5,BE1866),4,FALSE)))))</f>
        <v/>
      </c>
      <c r="AL1866" s="461" t="str">
        <f t="shared" si="1071"/>
        <v/>
      </c>
      <c r="AM1866" s="460" t="str">
        <f>IF(AU1866="","",IF(OR(AZ1866=8,AZ1866=9),0,IF(OR(AW1866=3,AW1866=4,AW1866=5,AW1866=6),IF(LEFT(BH1866,1)="1",INDEX(係数_PM低減,MATCH(AY1866,【参考】排出係数!$AI$801:$AI$804,1),MATCH(BI1866,【参考】排出係数!$AL$798:$AO$798,1)),VLOOKUP(AU1866,INDEX((係数_バス貨物_ガソリン,係数_バス貨物_CNG,係数_バス貨物_軽油,係数_バス貨物_メタノール,係数_バス貨物_LPG),MATCH(AY1866,【参考】排出係数!$AI$4:$AI$671,1),1,BE1866):INDEX((係数_バス貨物_ガソリン,係数_バス貨物_CNG,係数_バス貨物_軽油,係数_バス貨物_メタノール,係数_バス貨物_LPG),MATCH(AY1866+1,【参考】排出係数!$AI$4:$AI$671,1)-1,5,BE1866),5,FALSE)),IF(AND(BE1866=3,LEFT(BF1866,1)="1"),0.055,VLOOKUP(AU1866,INDEX((係数_乗用_ガソリン,係数_乗用_CNG,係数_乗用_軽油,係数_乗用_メタノール,係数_乗用_LPG),1,1,BE1866):INDEX((係数_乗用_ガソリン,係数_乗用_CNG,係数_乗用_軽油,係数_乗用_メタノール,係数_乗用_LPG),125,5,BE1866),5,FALSE)))))</f>
        <v/>
      </c>
      <c r="AN1866" s="461" t="str">
        <f t="shared" si="1072"/>
        <v/>
      </c>
      <c r="AO1866" s="462" t="str">
        <f t="shared" si="1073"/>
        <v/>
      </c>
      <c r="AP1866" s="463" t="str">
        <f t="shared" si="1074"/>
        <v/>
      </c>
      <c r="AQ1866" s="464"/>
      <c r="AR1866" s="619"/>
      <c r="AS1866" s="465" t="str">
        <f t="shared" si="1082"/>
        <v/>
      </c>
      <c r="AT1866" s="465" t="str">
        <f t="shared" si="1083"/>
        <v/>
      </c>
      <c r="AU1866" s="466" t="str">
        <f t="shared" si="1084"/>
        <v/>
      </c>
      <c r="AV1866" s="467" t="str">
        <f t="shared" si="1085"/>
        <v/>
      </c>
      <c r="AW1866" s="467" t="str">
        <f t="shared" si="1086"/>
        <v/>
      </c>
      <c r="AX1866" s="467" t="str">
        <f t="shared" si="1087"/>
        <v/>
      </c>
      <c r="AY1866" s="467" t="str">
        <f t="shared" si="1088"/>
        <v/>
      </c>
      <c r="AZ1866" s="467" t="str">
        <f t="shared" si="1089"/>
        <v/>
      </c>
      <c r="BA1866" s="468" t="str">
        <f>IF(AS1866="","",IF(OR(AU1866="",AU1866="-"),"－",IF(OR(AZ1866=8,AZ1866=9),"",IF(OR(AW1866=3,AW1866=4,AW1866=5,AW1866=6),VLOOKUP(AU1866,INDEX((係数_バス貨物_ガソリン,係数_バス貨物_CNG,係数_バス貨物_軽油,係数_バス貨物_メタノール,係数_バス貨物_LPG),MATCH(AY1866,【参考】排出係数!$AI$4:$AI$671,1),1,BE1866):INDEX((係数_バス貨物_ガソリン,係数_バス貨物_CNG,係数_バス貨物_軽油,係数_バス貨物_メタノール,係数_バス貨物_LPG),MATCH(AY1866+1,【参考】排出係数!$AI$4:$AI$671,1)-1,5,BE1866),2,FALSE),IF(OR(AW1866=1,AW1866=2),VLOOKUP(AU1866,INDEX((係数_乗用_ガソリン,係数_乗用_CNG,係数_乗用_軽油,係数_乗用_メタノール,係数_乗用_LPG),1,1,BE1866):INDEX((係数_乗用_ガソリン,係数_乗用_CNG,係数_乗用_軽油,係数_乗用_メタノール,係数_乗用_LPG),125,5,BE1866),2,FALSE))))))</f>
        <v/>
      </c>
      <c r="BB1866" s="468" t="str">
        <f>IF(T1866="","",IF(OR(AU1866="",AU1866="-"),"－",IF(OR(AZ1866=8,AZ1866=9),"",IF(OR(AW1866=3,AW1866=4,AW1866=5,AW1866=6),VLOOKUP(AU1866,INDEX((係数_バス貨物_ガソリン,係数_バス貨物_CNG,係数_バス貨物_軽油,係数_バス貨物_メタノール,係数_バス貨物_LPG),MATCH(AY1866,【参考】排出係数!$AI$4:$AI$671,1),1,BE1866):INDEX((係数_バス貨物_ガソリン,係数_バス貨物_CNG,係数_バス貨物_軽油,係数_バス貨物_メタノール,係数_バス貨物_LPG),MATCH(AY1866+1,【参考】排出係数!$AI$4:$AI$671,1)-1,5,BE1866),3,FALSE),IF(OR(AW1866=1,AW1866=2),VLOOKUP(AU1866,INDEX((係数_乗用_ガソリン,係数_乗用_CNG,係数_乗用_軽油,係数_乗用_メタノール,係数_乗用_LPG),1,1,BE1866):INDEX((係数_乗用_ガソリン,係数_乗用_CNG,係数_乗用_軽油,係数_乗用_メタノール,係数_乗用_LPG),125,5,BE1866),3,FALSE))))))</f>
        <v/>
      </c>
      <c r="BC1866" s="467" t="str">
        <f t="shared" si="1090"/>
        <v/>
      </c>
      <c r="BD1866" s="567" t="str">
        <f t="shared" si="1091"/>
        <v/>
      </c>
      <c r="BE1866" s="467" t="str">
        <f t="shared" si="1092"/>
        <v/>
      </c>
      <c r="BF1866" s="469" t="str">
        <f t="shared" ca="1" si="1093"/>
        <v/>
      </c>
      <c r="BG1866" s="469" t="str">
        <f t="shared" ca="1" si="1094"/>
        <v/>
      </c>
      <c r="BH1866" s="467" t="str">
        <f t="shared" si="1095"/>
        <v/>
      </c>
      <c r="BI1866" s="467" t="str">
        <f t="shared" ca="1" si="1096"/>
        <v/>
      </c>
      <c r="BJ1866" s="469" t="str">
        <f t="shared" si="1097"/>
        <v/>
      </c>
      <c r="BK1866" s="470" t="str">
        <f t="shared" si="1081"/>
        <v/>
      </c>
      <c r="BL1866" s="775" t="str">
        <f t="shared" si="1098"/>
        <v/>
      </c>
      <c r="BM1866" s="775" t="str">
        <f t="shared" si="1099"/>
        <v/>
      </c>
    </row>
    <row r="1867" spans="1:65">
      <c r="A1867" s="473">
        <v>1811</v>
      </c>
      <c r="B1867" s="132"/>
      <c r="C1867" s="332"/>
      <c r="D1867" s="333"/>
      <c r="E1867" s="333"/>
      <c r="F1867" s="334"/>
      <c r="G1867" s="337"/>
      <c r="H1867" s="131"/>
      <c r="I1867" s="337"/>
      <c r="J1867" s="131"/>
      <c r="K1867" s="458" t="str">
        <f t="shared" si="1062"/>
        <v/>
      </c>
      <c r="L1867" s="458">
        <f t="shared" si="1063"/>
        <v>0</v>
      </c>
      <c r="M1867" s="458">
        <f t="shared" si="1064"/>
        <v>0</v>
      </c>
      <c r="N1867" s="459" t="str">
        <f t="shared" si="1075"/>
        <v/>
      </c>
      <c r="O1867" s="459" t="str">
        <f t="shared" si="1076"/>
        <v/>
      </c>
      <c r="P1867" s="459" t="str">
        <f t="shared" si="1077"/>
        <v/>
      </c>
      <c r="Q1867" s="459" t="str">
        <f t="shared" si="1078"/>
        <v/>
      </c>
      <c r="R1867" s="459" t="str">
        <f t="shared" si="1079"/>
        <v/>
      </c>
      <c r="S1867" s="459" t="str">
        <f t="shared" si="1080"/>
        <v/>
      </c>
      <c r="T1867" s="566" t="str">
        <f t="shared" si="1065"/>
        <v/>
      </c>
      <c r="U1867" s="702"/>
      <c r="V1867" s="132"/>
      <c r="W1867" s="133"/>
      <c r="X1867" s="134"/>
      <c r="Y1867" s="135"/>
      <c r="Z1867" s="137"/>
      <c r="AA1867" s="136"/>
      <c r="AB1867" s="566" t="str">
        <f t="shared" si="1066"/>
        <v/>
      </c>
      <c r="AC1867" s="568" t="str">
        <f t="shared" si="1067"/>
        <v/>
      </c>
      <c r="AD1867" s="137"/>
      <c r="AE1867" s="137"/>
      <c r="AF1867" s="138"/>
      <c r="AG1867" s="138"/>
      <c r="AH1867" s="592" t="str">
        <f t="shared" si="1068"/>
        <v/>
      </c>
      <c r="AI1867" s="592" t="str">
        <f t="shared" si="1069"/>
        <v/>
      </c>
      <c r="AJ1867" s="592" t="str">
        <f t="shared" si="1070"/>
        <v/>
      </c>
      <c r="AK1867" s="460" t="str">
        <f>IF(AU1867="","",IF(OR(AZ1867=8,AZ1867=9),0,IF(OR(AW1867=3,AW1867=4,AW1867=5,AW1867=6),IF(LEFT(BF1867,1)="1",INDEX(係数_NOX・PM低減,MATCH(AY1867,【参考】排出係数!$AI$801:$AI$804,1),1),VLOOKUP(AU1867,INDEX((係数_バス貨物_ガソリン,係数_バス貨物_CNG,係数_バス貨物_軽油,係数_バス貨物_メタノール,係数_バス貨物_LPG),MATCH(AY1867,【参考】排出係数!$AI$4:$AI$671,1),1,BE1867):INDEX((係数_バス貨物_ガソリン,係数_バス貨物_CNG,係数_バス貨物_軽油,係数_バス貨物_メタノール,係数_バス貨物_LPG),MATCH(AY1867+1,【参考】排出係数!$AI$4:$AI$671,1)-1,5,BE1867),4,FALSE)),IF(AND(BE1867=3,LEFT(BF1867,1)="1"),0.48,VLOOKUP(AU1867,INDEX((係数_乗用_ガソリン,係数_乗用_CNG,係数_乗用_軽油,係数_乗用_メタノール,係数_乗用_LPG),1,1,BE1867):INDEX((係数_乗用_ガソリン,係数_乗用_CNG,係数_乗用_軽油,係数_乗用_メタノール,係数_乗用_LPG),125,5,BE1867),4,FALSE)))))</f>
        <v/>
      </c>
      <c r="AL1867" s="461" t="str">
        <f t="shared" si="1071"/>
        <v/>
      </c>
      <c r="AM1867" s="460" t="str">
        <f>IF(AU1867="","",IF(OR(AZ1867=8,AZ1867=9),0,IF(OR(AW1867=3,AW1867=4,AW1867=5,AW1867=6),IF(LEFT(BH1867,1)="1",INDEX(係数_PM低減,MATCH(AY1867,【参考】排出係数!$AI$801:$AI$804,1),MATCH(BI1867,【参考】排出係数!$AL$798:$AO$798,1)),VLOOKUP(AU1867,INDEX((係数_バス貨物_ガソリン,係数_バス貨物_CNG,係数_バス貨物_軽油,係数_バス貨物_メタノール,係数_バス貨物_LPG),MATCH(AY1867,【参考】排出係数!$AI$4:$AI$671,1),1,BE1867):INDEX((係数_バス貨物_ガソリン,係数_バス貨物_CNG,係数_バス貨物_軽油,係数_バス貨物_メタノール,係数_バス貨物_LPG),MATCH(AY1867+1,【参考】排出係数!$AI$4:$AI$671,1)-1,5,BE1867),5,FALSE)),IF(AND(BE1867=3,LEFT(BF1867,1)="1"),0.055,VLOOKUP(AU1867,INDEX((係数_乗用_ガソリン,係数_乗用_CNG,係数_乗用_軽油,係数_乗用_メタノール,係数_乗用_LPG),1,1,BE1867):INDEX((係数_乗用_ガソリン,係数_乗用_CNG,係数_乗用_軽油,係数_乗用_メタノール,係数_乗用_LPG),125,5,BE1867),5,FALSE)))))</f>
        <v/>
      </c>
      <c r="AN1867" s="461" t="str">
        <f t="shared" si="1072"/>
        <v/>
      </c>
      <c r="AO1867" s="462" t="str">
        <f t="shared" si="1073"/>
        <v/>
      </c>
      <c r="AP1867" s="463" t="str">
        <f t="shared" si="1074"/>
        <v/>
      </c>
      <c r="AQ1867" s="464"/>
      <c r="AR1867" s="619"/>
      <c r="AS1867" s="465" t="str">
        <f t="shared" si="1082"/>
        <v/>
      </c>
      <c r="AT1867" s="465" t="str">
        <f t="shared" si="1083"/>
        <v/>
      </c>
      <c r="AU1867" s="466" t="str">
        <f t="shared" si="1084"/>
        <v/>
      </c>
      <c r="AV1867" s="467" t="str">
        <f t="shared" si="1085"/>
        <v/>
      </c>
      <c r="AW1867" s="467" t="str">
        <f t="shared" si="1086"/>
        <v/>
      </c>
      <c r="AX1867" s="467" t="str">
        <f t="shared" si="1087"/>
        <v/>
      </c>
      <c r="AY1867" s="467" t="str">
        <f t="shared" si="1088"/>
        <v/>
      </c>
      <c r="AZ1867" s="467" t="str">
        <f t="shared" si="1089"/>
        <v/>
      </c>
      <c r="BA1867" s="468" t="str">
        <f>IF(AS1867="","",IF(OR(AU1867="",AU1867="-"),"－",IF(OR(AZ1867=8,AZ1867=9),"",IF(OR(AW1867=3,AW1867=4,AW1867=5,AW1867=6),VLOOKUP(AU1867,INDEX((係数_バス貨物_ガソリン,係数_バス貨物_CNG,係数_バス貨物_軽油,係数_バス貨物_メタノール,係数_バス貨物_LPG),MATCH(AY1867,【参考】排出係数!$AI$4:$AI$671,1),1,BE1867):INDEX((係数_バス貨物_ガソリン,係数_バス貨物_CNG,係数_バス貨物_軽油,係数_バス貨物_メタノール,係数_バス貨物_LPG),MATCH(AY1867+1,【参考】排出係数!$AI$4:$AI$671,1)-1,5,BE1867),2,FALSE),IF(OR(AW1867=1,AW1867=2),VLOOKUP(AU1867,INDEX((係数_乗用_ガソリン,係数_乗用_CNG,係数_乗用_軽油,係数_乗用_メタノール,係数_乗用_LPG),1,1,BE1867):INDEX((係数_乗用_ガソリン,係数_乗用_CNG,係数_乗用_軽油,係数_乗用_メタノール,係数_乗用_LPG),125,5,BE1867),2,FALSE))))))</f>
        <v/>
      </c>
      <c r="BB1867" s="468" t="str">
        <f>IF(T1867="","",IF(OR(AU1867="",AU1867="-"),"－",IF(OR(AZ1867=8,AZ1867=9),"",IF(OR(AW1867=3,AW1867=4,AW1867=5,AW1867=6),VLOOKUP(AU1867,INDEX((係数_バス貨物_ガソリン,係数_バス貨物_CNG,係数_バス貨物_軽油,係数_バス貨物_メタノール,係数_バス貨物_LPG),MATCH(AY1867,【参考】排出係数!$AI$4:$AI$671,1),1,BE1867):INDEX((係数_バス貨物_ガソリン,係数_バス貨物_CNG,係数_バス貨物_軽油,係数_バス貨物_メタノール,係数_バス貨物_LPG),MATCH(AY1867+1,【参考】排出係数!$AI$4:$AI$671,1)-1,5,BE1867),3,FALSE),IF(OR(AW1867=1,AW1867=2),VLOOKUP(AU1867,INDEX((係数_乗用_ガソリン,係数_乗用_CNG,係数_乗用_軽油,係数_乗用_メタノール,係数_乗用_LPG),1,1,BE1867):INDEX((係数_乗用_ガソリン,係数_乗用_CNG,係数_乗用_軽油,係数_乗用_メタノール,係数_乗用_LPG),125,5,BE1867),3,FALSE))))))</f>
        <v/>
      </c>
      <c r="BC1867" s="467" t="str">
        <f t="shared" si="1090"/>
        <v/>
      </c>
      <c r="BD1867" s="567" t="str">
        <f t="shared" si="1091"/>
        <v/>
      </c>
      <c r="BE1867" s="467" t="str">
        <f t="shared" si="1092"/>
        <v/>
      </c>
      <c r="BF1867" s="469" t="str">
        <f t="shared" ca="1" si="1093"/>
        <v/>
      </c>
      <c r="BG1867" s="469" t="str">
        <f t="shared" ca="1" si="1094"/>
        <v/>
      </c>
      <c r="BH1867" s="467" t="str">
        <f t="shared" si="1095"/>
        <v/>
      </c>
      <c r="BI1867" s="467" t="str">
        <f t="shared" ca="1" si="1096"/>
        <v/>
      </c>
      <c r="BJ1867" s="469" t="str">
        <f t="shared" si="1097"/>
        <v/>
      </c>
      <c r="BK1867" s="470" t="str">
        <f t="shared" si="1081"/>
        <v/>
      </c>
      <c r="BL1867" s="775" t="str">
        <f t="shared" si="1098"/>
        <v/>
      </c>
      <c r="BM1867" s="775" t="str">
        <f t="shared" si="1099"/>
        <v/>
      </c>
    </row>
    <row r="1868" spans="1:65">
      <c r="A1868" s="473">
        <v>1812</v>
      </c>
      <c r="B1868" s="132"/>
      <c r="C1868" s="332"/>
      <c r="D1868" s="333"/>
      <c r="E1868" s="333"/>
      <c r="F1868" s="334"/>
      <c r="G1868" s="337"/>
      <c r="H1868" s="131"/>
      <c r="I1868" s="337"/>
      <c r="J1868" s="131"/>
      <c r="K1868" s="458" t="str">
        <f t="shared" si="1062"/>
        <v/>
      </c>
      <c r="L1868" s="458">
        <f t="shared" si="1063"/>
        <v>0</v>
      </c>
      <c r="M1868" s="458">
        <f t="shared" si="1064"/>
        <v>0</v>
      </c>
      <c r="N1868" s="459" t="str">
        <f t="shared" si="1075"/>
        <v/>
      </c>
      <c r="O1868" s="459" t="str">
        <f t="shared" si="1076"/>
        <v/>
      </c>
      <c r="P1868" s="459" t="str">
        <f t="shared" si="1077"/>
        <v/>
      </c>
      <c r="Q1868" s="459" t="str">
        <f t="shared" si="1078"/>
        <v/>
      </c>
      <c r="R1868" s="459" t="str">
        <f t="shared" si="1079"/>
        <v/>
      </c>
      <c r="S1868" s="459" t="str">
        <f t="shared" si="1080"/>
        <v/>
      </c>
      <c r="T1868" s="566" t="str">
        <f t="shared" si="1065"/>
        <v/>
      </c>
      <c r="U1868" s="702"/>
      <c r="V1868" s="132"/>
      <c r="W1868" s="133"/>
      <c r="X1868" s="134"/>
      <c r="Y1868" s="135"/>
      <c r="Z1868" s="137"/>
      <c r="AA1868" s="136"/>
      <c r="AB1868" s="566" t="str">
        <f t="shared" si="1066"/>
        <v/>
      </c>
      <c r="AC1868" s="568" t="str">
        <f t="shared" si="1067"/>
        <v/>
      </c>
      <c r="AD1868" s="137"/>
      <c r="AE1868" s="137"/>
      <c r="AF1868" s="138"/>
      <c r="AG1868" s="138"/>
      <c r="AH1868" s="592" t="str">
        <f t="shared" si="1068"/>
        <v/>
      </c>
      <c r="AI1868" s="592" t="str">
        <f t="shared" si="1069"/>
        <v/>
      </c>
      <c r="AJ1868" s="592" t="str">
        <f t="shared" si="1070"/>
        <v/>
      </c>
      <c r="AK1868" s="460" t="str">
        <f>IF(AU1868="","",IF(OR(AZ1868=8,AZ1868=9),0,IF(OR(AW1868=3,AW1868=4,AW1868=5,AW1868=6),IF(LEFT(BF1868,1)="1",INDEX(係数_NOX・PM低減,MATCH(AY1868,【参考】排出係数!$AI$801:$AI$804,1),1),VLOOKUP(AU1868,INDEX((係数_バス貨物_ガソリン,係数_バス貨物_CNG,係数_バス貨物_軽油,係数_バス貨物_メタノール,係数_バス貨物_LPG),MATCH(AY1868,【参考】排出係数!$AI$4:$AI$671,1),1,BE1868):INDEX((係数_バス貨物_ガソリン,係数_バス貨物_CNG,係数_バス貨物_軽油,係数_バス貨物_メタノール,係数_バス貨物_LPG),MATCH(AY1868+1,【参考】排出係数!$AI$4:$AI$671,1)-1,5,BE1868),4,FALSE)),IF(AND(BE1868=3,LEFT(BF1868,1)="1"),0.48,VLOOKUP(AU1868,INDEX((係数_乗用_ガソリン,係数_乗用_CNG,係数_乗用_軽油,係数_乗用_メタノール,係数_乗用_LPG),1,1,BE1868):INDEX((係数_乗用_ガソリン,係数_乗用_CNG,係数_乗用_軽油,係数_乗用_メタノール,係数_乗用_LPG),125,5,BE1868),4,FALSE)))))</f>
        <v/>
      </c>
      <c r="AL1868" s="461" t="str">
        <f t="shared" si="1071"/>
        <v/>
      </c>
      <c r="AM1868" s="460" t="str">
        <f>IF(AU1868="","",IF(OR(AZ1868=8,AZ1868=9),0,IF(OR(AW1868=3,AW1868=4,AW1868=5,AW1868=6),IF(LEFT(BH1868,1)="1",INDEX(係数_PM低減,MATCH(AY1868,【参考】排出係数!$AI$801:$AI$804,1),MATCH(BI1868,【参考】排出係数!$AL$798:$AO$798,1)),VLOOKUP(AU1868,INDEX((係数_バス貨物_ガソリン,係数_バス貨物_CNG,係数_バス貨物_軽油,係数_バス貨物_メタノール,係数_バス貨物_LPG),MATCH(AY1868,【参考】排出係数!$AI$4:$AI$671,1),1,BE1868):INDEX((係数_バス貨物_ガソリン,係数_バス貨物_CNG,係数_バス貨物_軽油,係数_バス貨物_メタノール,係数_バス貨物_LPG),MATCH(AY1868+1,【参考】排出係数!$AI$4:$AI$671,1)-1,5,BE1868),5,FALSE)),IF(AND(BE1868=3,LEFT(BF1868,1)="1"),0.055,VLOOKUP(AU1868,INDEX((係数_乗用_ガソリン,係数_乗用_CNG,係数_乗用_軽油,係数_乗用_メタノール,係数_乗用_LPG),1,1,BE1868):INDEX((係数_乗用_ガソリン,係数_乗用_CNG,係数_乗用_軽油,係数_乗用_メタノール,係数_乗用_LPG),125,5,BE1868),5,FALSE)))))</f>
        <v/>
      </c>
      <c r="AN1868" s="461" t="str">
        <f t="shared" si="1072"/>
        <v/>
      </c>
      <c r="AO1868" s="462" t="str">
        <f t="shared" si="1073"/>
        <v/>
      </c>
      <c r="AP1868" s="463" t="str">
        <f t="shared" si="1074"/>
        <v/>
      </c>
      <c r="AQ1868" s="464"/>
      <c r="AR1868" s="619"/>
      <c r="AS1868" s="465" t="str">
        <f t="shared" si="1082"/>
        <v/>
      </c>
      <c r="AT1868" s="465" t="str">
        <f t="shared" si="1083"/>
        <v/>
      </c>
      <c r="AU1868" s="466" t="str">
        <f t="shared" si="1084"/>
        <v/>
      </c>
      <c r="AV1868" s="467" t="str">
        <f t="shared" si="1085"/>
        <v/>
      </c>
      <c r="AW1868" s="467" t="str">
        <f t="shared" si="1086"/>
        <v/>
      </c>
      <c r="AX1868" s="467" t="str">
        <f t="shared" si="1087"/>
        <v/>
      </c>
      <c r="AY1868" s="467" t="str">
        <f t="shared" si="1088"/>
        <v/>
      </c>
      <c r="AZ1868" s="467" t="str">
        <f t="shared" si="1089"/>
        <v/>
      </c>
      <c r="BA1868" s="468" t="str">
        <f>IF(AS1868="","",IF(OR(AU1868="",AU1868="-"),"－",IF(OR(AZ1868=8,AZ1868=9),"",IF(OR(AW1868=3,AW1868=4,AW1868=5,AW1868=6),VLOOKUP(AU1868,INDEX((係数_バス貨物_ガソリン,係数_バス貨物_CNG,係数_バス貨物_軽油,係数_バス貨物_メタノール,係数_バス貨物_LPG),MATCH(AY1868,【参考】排出係数!$AI$4:$AI$671,1),1,BE1868):INDEX((係数_バス貨物_ガソリン,係数_バス貨物_CNG,係数_バス貨物_軽油,係数_バス貨物_メタノール,係数_バス貨物_LPG),MATCH(AY1868+1,【参考】排出係数!$AI$4:$AI$671,1)-1,5,BE1868),2,FALSE),IF(OR(AW1868=1,AW1868=2),VLOOKUP(AU1868,INDEX((係数_乗用_ガソリン,係数_乗用_CNG,係数_乗用_軽油,係数_乗用_メタノール,係数_乗用_LPG),1,1,BE1868):INDEX((係数_乗用_ガソリン,係数_乗用_CNG,係数_乗用_軽油,係数_乗用_メタノール,係数_乗用_LPG),125,5,BE1868),2,FALSE))))))</f>
        <v/>
      </c>
      <c r="BB1868" s="468" t="str">
        <f>IF(T1868="","",IF(OR(AU1868="",AU1868="-"),"－",IF(OR(AZ1868=8,AZ1868=9),"",IF(OR(AW1868=3,AW1868=4,AW1868=5,AW1868=6),VLOOKUP(AU1868,INDEX((係数_バス貨物_ガソリン,係数_バス貨物_CNG,係数_バス貨物_軽油,係数_バス貨物_メタノール,係数_バス貨物_LPG),MATCH(AY1868,【参考】排出係数!$AI$4:$AI$671,1),1,BE1868):INDEX((係数_バス貨物_ガソリン,係数_バス貨物_CNG,係数_バス貨物_軽油,係数_バス貨物_メタノール,係数_バス貨物_LPG),MATCH(AY1868+1,【参考】排出係数!$AI$4:$AI$671,1)-1,5,BE1868),3,FALSE),IF(OR(AW1868=1,AW1868=2),VLOOKUP(AU1868,INDEX((係数_乗用_ガソリン,係数_乗用_CNG,係数_乗用_軽油,係数_乗用_メタノール,係数_乗用_LPG),1,1,BE1868):INDEX((係数_乗用_ガソリン,係数_乗用_CNG,係数_乗用_軽油,係数_乗用_メタノール,係数_乗用_LPG),125,5,BE1868),3,FALSE))))))</f>
        <v/>
      </c>
      <c r="BC1868" s="467" t="str">
        <f t="shared" si="1090"/>
        <v/>
      </c>
      <c r="BD1868" s="567" t="str">
        <f t="shared" si="1091"/>
        <v/>
      </c>
      <c r="BE1868" s="467" t="str">
        <f t="shared" si="1092"/>
        <v/>
      </c>
      <c r="BF1868" s="469" t="str">
        <f t="shared" ca="1" si="1093"/>
        <v/>
      </c>
      <c r="BG1868" s="469" t="str">
        <f t="shared" ca="1" si="1094"/>
        <v/>
      </c>
      <c r="BH1868" s="467" t="str">
        <f t="shared" si="1095"/>
        <v/>
      </c>
      <c r="BI1868" s="467" t="str">
        <f t="shared" ca="1" si="1096"/>
        <v/>
      </c>
      <c r="BJ1868" s="469" t="str">
        <f t="shared" si="1097"/>
        <v/>
      </c>
      <c r="BK1868" s="470" t="str">
        <f t="shared" si="1081"/>
        <v/>
      </c>
      <c r="BL1868" s="775" t="str">
        <f t="shared" si="1098"/>
        <v/>
      </c>
      <c r="BM1868" s="775" t="str">
        <f t="shared" si="1099"/>
        <v/>
      </c>
    </row>
    <row r="1869" spans="1:65">
      <c r="A1869" s="473">
        <v>1813</v>
      </c>
      <c r="B1869" s="132"/>
      <c r="C1869" s="332"/>
      <c r="D1869" s="333"/>
      <c r="E1869" s="333"/>
      <c r="F1869" s="334"/>
      <c r="G1869" s="337"/>
      <c r="H1869" s="131"/>
      <c r="I1869" s="337"/>
      <c r="J1869" s="131"/>
      <c r="K1869" s="458" t="str">
        <f t="shared" si="1062"/>
        <v/>
      </c>
      <c r="L1869" s="458">
        <f t="shared" si="1063"/>
        <v>0</v>
      </c>
      <c r="M1869" s="458">
        <f t="shared" si="1064"/>
        <v>0</v>
      </c>
      <c r="N1869" s="459" t="str">
        <f t="shared" si="1075"/>
        <v/>
      </c>
      <c r="O1869" s="459" t="str">
        <f t="shared" si="1076"/>
        <v/>
      </c>
      <c r="P1869" s="459" t="str">
        <f t="shared" si="1077"/>
        <v/>
      </c>
      <c r="Q1869" s="459" t="str">
        <f t="shared" si="1078"/>
        <v/>
      </c>
      <c r="R1869" s="459" t="str">
        <f t="shared" si="1079"/>
        <v/>
      </c>
      <c r="S1869" s="459" t="str">
        <f t="shared" si="1080"/>
        <v/>
      </c>
      <c r="T1869" s="566" t="str">
        <f t="shared" si="1065"/>
        <v/>
      </c>
      <c r="U1869" s="702"/>
      <c r="V1869" s="132"/>
      <c r="W1869" s="133"/>
      <c r="X1869" s="134"/>
      <c r="Y1869" s="135"/>
      <c r="Z1869" s="137"/>
      <c r="AA1869" s="136"/>
      <c r="AB1869" s="566" t="str">
        <f t="shared" si="1066"/>
        <v/>
      </c>
      <c r="AC1869" s="568" t="str">
        <f t="shared" si="1067"/>
        <v/>
      </c>
      <c r="AD1869" s="137"/>
      <c r="AE1869" s="137"/>
      <c r="AF1869" s="138"/>
      <c r="AG1869" s="138"/>
      <c r="AH1869" s="592" t="str">
        <f t="shared" si="1068"/>
        <v/>
      </c>
      <c r="AI1869" s="592" t="str">
        <f t="shared" si="1069"/>
        <v/>
      </c>
      <c r="AJ1869" s="592" t="str">
        <f t="shared" si="1070"/>
        <v/>
      </c>
      <c r="AK1869" s="460" t="str">
        <f>IF(AU1869="","",IF(OR(AZ1869=8,AZ1869=9),0,IF(OR(AW1869=3,AW1869=4,AW1869=5,AW1869=6),IF(LEFT(BF1869,1)="1",INDEX(係数_NOX・PM低減,MATCH(AY1869,【参考】排出係数!$AI$801:$AI$804,1),1),VLOOKUP(AU1869,INDEX((係数_バス貨物_ガソリン,係数_バス貨物_CNG,係数_バス貨物_軽油,係数_バス貨物_メタノール,係数_バス貨物_LPG),MATCH(AY1869,【参考】排出係数!$AI$4:$AI$671,1),1,BE1869):INDEX((係数_バス貨物_ガソリン,係数_バス貨物_CNG,係数_バス貨物_軽油,係数_バス貨物_メタノール,係数_バス貨物_LPG),MATCH(AY1869+1,【参考】排出係数!$AI$4:$AI$671,1)-1,5,BE1869),4,FALSE)),IF(AND(BE1869=3,LEFT(BF1869,1)="1"),0.48,VLOOKUP(AU1869,INDEX((係数_乗用_ガソリン,係数_乗用_CNG,係数_乗用_軽油,係数_乗用_メタノール,係数_乗用_LPG),1,1,BE1869):INDEX((係数_乗用_ガソリン,係数_乗用_CNG,係数_乗用_軽油,係数_乗用_メタノール,係数_乗用_LPG),125,5,BE1869),4,FALSE)))))</f>
        <v/>
      </c>
      <c r="AL1869" s="461" t="str">
        <f t="shared" si="1071"/>
        <v/>
      </c>
      <c r="AM1869" s="460" t="str">
        <f>IF(AU1869="","",IF(OR(AZ1869=8,AZ1869=9),0,IF(OR(AW1869=3,AW1869=4,AW1869=5,AW1869=6),IF(LEFT(BH1869,1)="1",INDEX(係数_PM低減,MATCH(AY1869,【参考】排出係数!$AI$801:$AI$804,1),MATCH(BI1869,【参考】排出係数!$AL$798:$AO$798,1)),VLOOKUP(AU1869,INDEX((係数_バス貨物_ガソリン,係数_バス貨物_CNG,係数_バス貨物_軽油,係数_バス貨物_メタノール,係数_バス貨物_LPG),MATCH(AY1869,【参考】排出係数!$AI$4:$AI$671,1),1,BE1869):INDEX((係数_バス貨物_ガソリン,係数_バス貨物_CNG,係数_バス貨物_軽油,係数_バス貨物_メタノール,係数_バス貨物_LPG),MATCH(AY1869+1,【参考】排出係数!$AI$4:$AI$671,1)-1,5,BE1869),5,FALSE)),IF(AND(BE1869=3,LEFT(BF1869,1)="1"),0.055,VLOOKUP(AU1869,INDEX((係数_乗用_ガソリン,係数_乗用_CNG,係数_乗用_軽油,係数_乗用_メタノール,係数_乗用_LPG),1,1,BE1869):INDEX((係数_乗用_ガソリン,係数_乗用_CNG,係数_乗用_軽油,係数_乗用_メタノール,係数_乗用_LPG),125,5,BE1869),5,FALSE)))))</f>
        <v/>
      </c>
      <c r="AN1869" s="461" t="str">
        <f t="shared" si="1072"/>
        <v/>
      </c>
      <c r="AO1869" s="462" t="str">
        <f t="shared" si="1073"/>
        <v/>
      </c>
      <c r="AP1869" s="463" t="str">
        <f t="shared" si="1074"/>
        <v/>
      </c>
      <c r="AQ1869" s="464"/>
      <c r="AR1869" s="619"/>
      <c r="AS1869" s="465" t="str">
        <f t="shared" si="1082"/>
        <v/>
      </c>
      <c r="AT1869" s="465" t="str">
        <f t="shared" si="1083"/>
        <v/>
      </c>
      <c r="AU1869" s="466" t="str">
        <f t="shared" si="1084"/>
        <v/>
      </c>
      <c r="AV1869" s="467" t="str">
        <f t="shared" si="1085"/>
        <v/>
      </c>
      <c r="AW1869" s="467" t="str">
        <f t="shared" si="1086"/>
        <v/>
      </c>
      <c r="AX1869" s="467" t="str">
        <f t="shared" si="1087"/>
        <v/>
      </c>
      <c r="AY1869" s="467" t="str">
        <f t="shared" si="1088"/>
        <v/>
      </c>
      <c r="AZ1869" s="467" t="str">
        <f t="shared" si="1089"/>
        <v/>
      </c>
      <c r="BA1869" s="468" t="str">
        <f>IF(AS1869="","",IF(OR(AU1869="",AU1869="-"),"－",IF(OR(AZ1869=8,AZ1869=9),"",IF(OR(AW1869=3,AW1869=4,AW1869=5,AW1869=6),VLOOKUP(AU1869,INDEX((係数_バス貨物_ガソリン,係数_バス貨物_CNG,係数_バス貨物_軽油,係数_バス貨物_メタノール,係数_バス貨物_LPG),MATCH(AY1869,【参考】排出係数!$AI$4:$AI$671,1),1,BE1869):INDEX((係数_バス貨物_ガソリン,係数_バス貨物_CNG,係数_バス貨物_軽油,係数_バス貨物_メタノール,係数_バス貨物_LPG),MATCH(AY1869+1,【参考】排出係数!$AI$4:$AI$671,1)-1,5,BE1869),2,FALSE),IF(OR(AW1869=1,AW1869=2),VLOOKUP(AU1869,INDEX((係数_乗用_ガソリン,係数_乗用_CNG,係数_乗用_軽油,係数_乗用_メタノール,係数_乗用_LPG),1,1,BE1869):INDEX((係数_乗用_ガソリン,係数_乗用_CNG,係数_乗用_軽油,係数_乗用_メタノール,係数_乗用_LPG),125,5,BE1869),2,FALSE))))))</f>
        <v/>
      </c>
      <c r="BB1869" s="468" t="str">
        <f>IF(T1869="","",IF(OR(AU1869="",AU1869="-"),"－",IF(OR(AZ1869=8,AZ1869=9),"",IF(OR(AW1869=3,AW1869=4,AW1869=5,AW1869=6),VLOOKUP(AU1869,INDEX((係数_バス貨物_ガソリン,係数_バス貨物_CNG,係数_バス貨物_軽油,係数_バス貨物_メタノール,係数_バス貨物_LPG),MATCH(AY1869,【参考】排出係数!$AI$4:$AI$671,1),1,BE1869):INDEX((係数_バス貨物_ガソリン,係数_バス貨物_CNG,係数_バス貨物_軽油,係数_バス貨物_メタノール,係数_バス貨物_LPG),MATCH(AY1869+1,【参考】排出係数!$AI$4:$AI$671,1)-1,5,BE1869),3,FALSE),IF(OR(AW1869=1,AW1869=2),VLOOKUP(AU1869,INDEX((係数_乗用_ガソリン,係数_乗用_CNG,係数_乗用_軽油,係数_乗用_メタノール,係数_乗用_LPG),1,1,BE1869):INDEX((係数_乗用_ガソリン,係数_乗用_CNG,係数_乗用_軽油,係数_乗用_メタノール,係数_乗用_LPG),125,5,BE1869),3,FALSE))))))</f>
        <v/>
      </c>
      <c r="BC1869" s="467" t="str">
        <f t="shared" si="1090"/>
        <v/>
      </c>
      <c r="BD1869" s="567" t="str">
        <f t="shared" si="1091"/>
        <v/>
      </c>
      <c r="BE1869" s="467" t="str">
        <f t="shared" si="1092"/>
        <v/>
      </c>
      <c r="BF1869" s="469" t="str">
        <f t="shared" ca="1" si="1093"/>
        <v/>
      </c>
      <c r="BG1869" s="469" t="str">
        <f t="shared" ca="1" si="1094"/>
        <v/>
      </c>
      <c r="BH1869" s="467" t="str">
        <f t="shared" si="1095"/>
        <v/>
      </c>
      <c r="BI1869" s="467" t="str">
        <f t="shared" ca="1" si="1096"/>
        <v/>
      </c>
      <c r="BJ1869" s="469" t="str">
        <f t="shared" si="1097"/>
        <v/>
      </c>
      <c r="BK1869" s="470" t="str">
        <f t="shared" si="1081"/>
        <v/>
      </c>
      <c r="BL1869" s="775" t="str">
        <f t="shared" si="1098"/>
        <v/>
      </c>
      <c r="BM1869" s="775" t="str">
        <f t="shared" si="1099"/>
        <v/>
      </c>
    </row>
    <row r="1870" spans="1:65">
      <c r="A1870" s="473">
        <v>1814</v>
      </c>
      <c r="B1870" s="132"/>
      <c r="C1870" s="332"/>
      <c r="D1870" s="333"/>
      <c r="E1870" s="333"/>
      <c r="F1870" s="334"/>
      <c r="G1870" s="337"/>
      <c r="H1870" s="131"/>
      <c r="I1870" s="337"/>
      <c r="J1870" s="131"/>
      <c r="K1870" s="458" t="str">
        <f t="shared" si="1062"/>
        <v/>
      </c>
      <c r="L1870" s="458">
        <f t="shared" si="1063"/>
        <v>0</v>
      </c>
      <c r="M1870" s="458">
        <f t="shared" si="1064"/>
        <v>0</v>
      </c>
      <c r="N1870" s="459" t="str">
        <f t="shared" si="1075"/>
        <v/>
      </c>
      <c r="O1870" s="459" t="str">
        <f t="shared" si="1076"/>
        <v/>
      </c>
      <c r="P1870" s="459" t="str">
        <f t="shared" si="1077"/>
        <v/>
      </c>
      <c r="Q1870" s="459" t="str">
        <f t="shared" si="1078"/>
        <v/>
      </c>
      <c r="R1870" s="459" t="str">
        <f t="shared" si="1079"/>
        <v/>
      </c>
      <c r="S1870" s="459" t="str">
        <f t="shared" si="1080"/>
        <v/>
      </c>
      <c r="T1870" s="566" t="str">
        <f t="shared" si="1065"/>
        <v/>
      </c>
      <c r="U1870" s="702"/>
      <c r="V1870" s="132"/>
      <c r="W1870" s="133"/>
      <c r="X1870" s="134"/>
      <c r="Y1870" s="135"/>
      <c r="Z1870" s="137"/>
      <c r="AA1870" s="136"/>
      <c r="AB1870" s="566" t="str">
        <f t="shared" si="1066"/>
        <v/>
      </c>
      <c r="AC1870" s="568" t="str">
        <f t="shared" si="1067"/>
        <v/>
      </c>
      <c r="AD1870" s="137"/>
      <c r="AE1870" s="137"/>
      <c r="AF1870" s="138"/>
      <c r="AG1870" s="138"/>
      <c r="AH1870" s="592" t="str">
        <f t="shared" si="1068"/>
        <v/>
      </c>
      <c r="AI1870" s="592" t="str">
        <f t="shared" si="1069"/>
        <v/>
      </c>
      <c r="AJ1870" s="592" t="str">
        <f t="shared" si="1070"/>
        <v/>
      </c>
      <c r="AK1870" s="460" t="str">
        <f>IF(AU1870="","",IF(OR(AZ1870=8,AZ1870=9),0,IF(OR(AW1870=3,AW1870=4,AW1870=5,AW1870=6),IF(LEFT(BF1870,1)="1",INDEX(係数_NOX・PM低減,MATCH(AY1870,【参考】排出係数!$AI$801:$AI$804,1),1),VLOOKUP(AU1870,INDEX((係数_バス貨物_ガソリン,係数_バス貨物_CNG,係数_バス貨物_軽油,係数_バス貨物_メタノール,係数_バス貨物_LPG),MATCH(AY1870,【参考】排出係数!$AI$4:$AI$671,1),1,BE1870):INDEX((係数_バス貨物_ガソリン,係数_バス貨物_CNG,係数_バス貨物_軽油,係数_バス貨物_メタノール,係数_バス貨物_LPG),MATCH(AY1870+1,【参考】排出係数!$AI$4:$AI$671,1)-1,5,BE1870),4,FALSE)),IF(AND(BE1870=3,LEFT(BF1870,1)="1"),0.48,VLOOKUP(AU1870,INDEX((係数_乗用_ガソリン,係数_乗用_CNG,係数_乗用_軽油,係数_乗用_メタノール,係数_乗用_LPG),1,1,BE1870):INDEX((係数_乗用_ガソリン,係数_乗用_CNG,係数_乗用_軽油,係数_乗用_メタノール,係数_乗用_LPG),125,5,BE1870),4,FALSE)))))</f>
        <v/>
      </c>
      <c r="AL1870" s="461" t="str">
        <f t="shared" si="1071"/>
        <v/>
      </c>
      <c r="AM1870" s="460" t="str">
        <f>IF(AU1870="","",IF(OR(AZ1870=8,AZ1870=9),0,IF(OR(AW1870=3,AW1870=4,AW1870=5,AW1870=6),IF(LEFT(BH1870,1)="1",INDEX(係数_PM低減,MATCH(AY1870,【参考】排出係数!$AI$801:$AI$804,1),MATCH(BI1870,【参考】排出係数!$AL$798:$AO$798,1)),VLOOKUP(AU1870,INDEX((係数_バス貨物_ガソリン,係数_バス貨物_CNG,係数_バス貨物_軽油,係数_バス貨物_メタノール,係数_バス貨物_LPG),MATCH(AY1870,【参考】排出係数!$AI$4:$AI$671,1),1,BE1870):INDEX((係数_バス貨物_ガソリン,係数_バス貨物_CNG,係数_バス貨物_軽油,係数_バス貨物_メタノール,係数_バス貨物_LPG),MATCH(AY1870+1,【参考】排出係数!$AI$4:$AI$671,1)-1,5,BE1870),5,FALSE)),IF(AND(BE1870=3,LEFT(BF1870,1)="1"),0.055,VLOOKUP(AU1870,INDEX((係数_乗用_ガソリン,係数_乗用_CNG,係数_乗用_軽油,係数_乗用_メタノール,係数_乗用_LPG),1,1,BE1870):INDEX((係数_乗用_ガソリン,係数_乗用_CNG,係数_乗用_軽油,係数_乗用_メタノール,係数_乗用_LPG),125,5,BE1870),5,FALSE)))))</f>
        <v/>
      </c>
      <c r="AN1870" s="461" t="str">
        <f t="shared" si="1072"/>
        <v/>
      </c>
      <c r="AO1870" s="462" t="str">
        <f t="shared" si="1073"/>
        <v/>
      </c>
      <c r="AP1870" s="463" t="str">
        <f t="shared" si="1074"/>
        <v/>
      </c>
      <c r="AQ1870" s="464"/>
      <c r="AR1870" s="619"/>
      <c r="AS1870" s="465" t="str">
        <f t="shared" si="1082"/>
        <v/>
      </c>
      <c r="AT1870" s="465" t="str">
        <f t="shared" si="1083"/>
        <v/>
      </c>
      <c r="AU1870" s="466" t="str">
        <f t="shared" si="1084"/>
        <v/>
      </c>
      <c r="AV1870" s="467" t="str">
        <f t="shared" si="1085"/>
        <v/>
      </c>
      <c r="AW1870" s="467" t="str">
        <f t="shared" si="1086"/>
        <v/>
      </c>
      <c r="AX1870" s="467" t="str">
        <f t="shared" si="1087"/>
        <v/>
      </c>
      <c r="AY1870" s="467" t="str">
        <f t="shared" si="1088"/>
        <v/>
      </c>
      <c r="AZ1870" s="467" t="str">
        <f t="shared" si="1089"/>
        <v/>
      </c>
      <c r="BA1870" s="468" t="str">
        <f>IF(AS1870="","",IF(OR(AU1870="",AU1870="-"),"－",IF(OR(AZ1870=8,AZ1870=9),"",IF(OR(AW1870=3,AW1870=4,AW1870=5,AW1870=6),VLOOKUP(AU1870,INDEX((係数_バス貨物_ガソリン,係数_バス貨物_CNG,係数_バス貨物_軽油,係数_バス貨物_メタノール,係数_バス貨物_LPG),MATCH(AY1870,【参考】排出係数!$AI$4:$AI$671,1),1,BE1870):INDEX((係数_バス貨物_ガソリン,係数_バス貨物_CNG,係数_バス貨物_軽油,係数_バス貨物_メタノール,係数_バス貨物_LPG),MATCH(AY1870+1,【参考】排出係数!$AI$4:$AI$671,1)-1,5,BE1870),2,FALSE),IF(OR(AW1870=1,AW1870=2),VLOOKUP(AU1870,INDEX((係数_乗用_ガソリン,係数_乗用_CNG,係数_乗用_軽油,係数_乗用_メタノール,係数_乗用_LPG),1,1,BE1870):INDEX((係数_乗用_ガソリン,係数_乗用_CNG,係数_乗用_軽油,係数_乗用_メタノール,係数_乗用_LPG),125,5,BE1870),2,FALSE))))))</f>
        <v/>
      </c>
      <c r="BB1870" s="468" t="str">
        <f>IF(T1870="","",IF(OR(AU1870="",AU1870="-"),"－",IF(OR(AZ1870=8,AZ1870=9),"",IF(OR(AW1870=3,AW1870=4,AW1870=5,AW1870=6),VLOOKUP(AU1870,INDEX((係数_バス貨物_ガソリン,係数_バス貨物_CNG,係数_バス貨物_軽油,係数_バス貨物_メタノール,係数_バス貨物_LPG),MATCH(AY1870,【参考】排出係数!$AI$4:$AI$671,1),1,BE1870):INDEX((係数_バス貨物_ガソリン,係数_バス貨物_CNG,係数_バス貨物_軽油,係数_バス貨物_メタノール,係数_バス貨物_LPG),MATCH(AY1870+1,【参考】排出係数!$AI$4:$AI$671,1)-1,5,BE1870),3,FALSE),IF(OR(AW1870=1,AW1870=2),VLOOKUP(AU1870,INDEX((係数_乗用_ガソリン,係数_乗用_CNG,係数_乗用_軽油,係数_乗用_メタノール,係数_乗用_LPG),1,1,BE1870):INDEX((係数_乗用_ガソリン,係数_乗用_CNG,係数_乗用_軽油,係数_乗用_メタノール,係数_乗用_LPG),125,5,BE1870),3,FALSE))))))</f>
        <v/>
      </c>
      <c r="BC1870" s="467" t="str">
        <f t="shared" si="1090"/>
        <v/>
      </c>
      <c r="BD1870" s="567" t="str">
        <f t="shared" si="1091"/>
        <v/>
      </c>
      <c r="BE1870" s="467" t="str">
        <f t="shared" si="1092"/>
        <v/>
      </c>
      <c r="BF1870" s="469" t="str">
        <f t="shared" ca="1" si="1093"/>
        <v/>
      </c>
      <c r="BG1870" s="469" t="str">
        <f t="shared" ca="1" si="1094"/>
        <v/>
      </c>
      <c r="BH1870" s="467" t="str">
        <f t="shared" si="1095"/>
        <v/>
      </c>
      <c r="BI1870" s="467" t="str">
        <f t="shared" ca="1" si="1096"/>
        <v/>
      </c>
      <c r="BJ1870" s="469" t="str">
        <f t="shared" si="1097"/>
        <v/>
      </c>
      <c r="BK1870" s="470" t="str">
        <f t="shared" si="1081"/>
        <v/>
      </c>
      <c r="BL1870" s="775" t="str">
        <f t="shared" si="1098"/>
        <v/>
      </c>
      <c r="BM1870" s="775" t="str">
        <f t="shared" si="1099"/>
        <v/>
      </c>
    </row>
    <row r="1871" spans="1:65">
      <c r="A1871" s="473">
        <v>1815</v>
      </c>
      <c r="B1871" s="132"/>
      <c r="C1871" s="332"/>
      <c r="D1871" s="333"/>
      <c r="E1871" s="333"/>
      <c r="F1871" s="334"/>
      <c r="G1871" s="337"/>
      <c r="H1871" s="131"/>
      <c r="I1871" s="337"/>
      <c r="J1871" s="131"/>
      <c r="K1871" s="458" t="str">
        <f t="shared" si="1062"/>
        <v/>
      </c>
      <c r="L1871" s="458">
        <f t="shared" si="1063"/>
        <v>0</v>
      </c>
      <c r="M1871" s="458">
        <f t="shared" si="1064"/>
        <v>0</v>
      </c>
      <c r="N1871" s="459" t="str">
        <f t="shared" si="1075"/>
        <v/>
      </c>
      <c r="O1871" s="459" t="str">
        <f t="shared" si="1076"/>
        <v/>
      </c>
      <c r="P1871" s="459" t="str">
        <f t="shared" si="1077"/>
        <v/>
      </c>
      <c r="Q1871" s="459" t="str">
        <f t="shared" si="1078"/>
        <v/>
      </c>
      <c r="R1871" s="459" t="str">
        <f t="shared" si="1079"/>
        <v/>
      </c>
      <c r="S1871" s="459" t="str">
        <f t="shared" si="1080"/>
        <v/>
      </c>
      <c r="T1871" s="566" t="str">
        <f t="shared" si="1065"/>
        <v/>
      </c>
      <c r="U1871" s="702"/>
      <c r="V1871" s="132"/>
      <c r="W1871" s="133"/>
      <c r="X1871" s="134"/>
      <c r="Y1871" s="135"/>
      <c r="Z1871" s="137"/>
      <c r="AA1871" s="136"/>
      <c r="AB1871" s="566" t="str">
        <f t="shared" si="1066"/>
        <v/>
      </c>
      <c r="AC1871" s="568" t="str">
        <f t="shared" si="1067"/>
        <v/>
      </c>
      <c r="AD1871" s="137"/>
      <c r="AE1871" s="137"/>
      <c r="AF1871" s="138"/>
      <c r="AG1871" s="138"/>
      <c r="AH1871" s="592" t="str">
        <f t="shared" si="1068"/>
        <v/>
      </c>
      <c r="AI1871" s="592" t="str">
        <f t="shared" si="1069"/>
        <v/>
      </c>
      <c r="AJ1871" s="592" t="str">
        <f t="shared" si="1070"/>
        <v/>
      </c>
      <c r="AK1871" s="460" t="str">
        <f>IF(AU1871="","",IF(OR(AZ1871=8,AZ1871=9),0,IF(OR(AW1871=3,AW1871=4,AW1871=5,AW1871=6),IF(LEFT(BF1871,1)="1",INDEX(係数_NOX・PM低減,MATCH(AY1871,【参考】排出係数!$AI$801:$AI$804,1),1),VLOOKUP(AU1871,INDEX((係数_バス貨物_ガソリン,係数_バス貨物_CNG,係数_バス貨物_軽油,係数_バス貨物_メタノール,係数_バス貨物_LPG),MATCH(AY1871,【参考】排出係数!$AI$4:$AI$671,1),1,BE1871):INDEX((係数_バス貨物_ガソリン,係数_バス貨物_CNG,係数_バス貨物_軽油,係数_バス貨物_メタノール,係数_バス貨物_LPG),MATCH(AY1871+1,【参考】排出係数!$AI$4:$AI$671,1)-1,5,BE1871),4,FALSE)),IF(AND(BE1871=3,LEFT(BF1871,1)="1"),0.48,VLOOKUP(AU1871,INDEX((係数_乗用_ガソリン,係数_乗用_CNG,係数_乗用_軽油,係数_乗用_メタノール,係数_乗用_LPG),1,1,BE1871):INDEX((係数_乗用_ガソリン,係数_乗用_CNG,係数_乗用_軽油,係数_乗用_メタノール,係数_乗用_LPG),125,5,BE1871),4,FALSE)))))</f>
        <v/>
      </c>
      <c r="AL1871" s="461" t="str">
        <f t="shared" si="1071"/>
        <v/>
      </c>
      <c r="AM1871" s="460" t="str">
        <f>IF(AU1871="","",IF(OR(AZ1871=8,AZ1871=9),0,IF(OR(AW1871=3,AW1871=4,AW1871=5,AW1871=6),IF(LEFT(BH1871,1)="1",INDEX(係数_PM低減,MATCH(AY1871,【参考】排出係数!$AI$801:$AI$804,1),MATCH(BI1871,【参考】排出係数!$AL$798:$AO$798,1)),VLOOKUP(AU1871,INDEX((係数_バス貨物_ガソリン,係数_バス貨物_CNG,係数_バス貨物_軽油,係数_バス貨物_メタノール,係数_バス貨物_LPG),MATCH(AY1871,【参考】排出係数!$AI$4:$AI$671,1),1,BE1871):INDEX((係数_バス貨物_ガソリン,係数_バス貨物_CNG,係数_バス貨物_軽油,係数_バス貨物_メタノール,係数_バス貨物_LPG),MATCH(AY1871+1,【参考】排出係数!$AI$4:$AI$671,1)-1,5,BE1871),5,FALSE)),IF(AND(BE1871=3,LEFT(BF1871,1)="1"),0.055,VLOOKUP(AU1871,INDEX((係数_乗用_ガソリン,係数_乗用_CNG,係数_乗用_軽油,係数_乗用_メタノール,係数_乗用_LPG),1,1,BE1871):INDEX((係数_乗用_ガソリン,係数_乗用_CNG,係数_乗用_軽油,係数_乗用_メタノール,係数_乗用_LPG),125,5,BE1871),5,FALSE)))))</f>
        <v/>
      </c>
      <c r="AN1871" s="461" t="str">
        <f t="shared" si="1072"/>
        <v/>
      </c>
      <c r="AO1871" s="462" t="str">
        <f t="shared" si="1073"/>
        <v/>
      </c>
      <c r="AP1871" s="463" t="str">
        <f t="shared" si="1074"/>
        <v/>
      </c>
      <c r="AQ1871" s="464"/>
      <c r="AR1871" s="619"/>
      <c r="AS1871" s="465" t="str">
        <f t="shared" si="1082"/>
        <v/>
      </c>
      <c r="AT1871" s="465" t="str">
        <f t="shared" si="1083"/>
        <v/>
      </c>
      <c r="AU1871" s="466" t="str">
        <f t="shared" si="1084"/>
        <v/>
      </c>
      <c r="AV1871" s="467" t="str">
        <f t="shared" si="1085"/>
        <v/>
      </c>
      <c r="AW1871" s="467" t="str">
        <f t="shared" si="1086"/>
        <v/>
      </c>
      <c r="AX1871" s="467" t="str">
        <f t="shared" si="1087"/>
        <v/>
      </c>
      <c r="AY1871" s="467" t="str">
        <f t="shared" si="1088"/>
        <v/>
      </c>
      <c r="AZ1871" s="467" t="str">
        <f t="shared" si="1089"/>
        <v/>
      </c>
      <c r="BA1871" s="468" t="str">
        <f>IF(AS1871="","",IF(OR(AU1871="",AU1871="-"),"－",IF(OR(AZ1871=8,AZ1871=9),"",IF(OR(AW1871=3,AW1871=4,AW1871=5,AW1871=6),VLOOKUP(AU1871,INDEX((係数_バス貨物_ガソリン,係数_バス貨物_CNG,係数_バス貨物_軽油,係数_バス貨物_メタノール,係数_バス貨物_LPG),MATCH(AY1871,【参考】排出係数!$AI$4:$AI$671,1),1,BE1871):INDEX((係数_バス貨物_ガソリン,係数_バス貨物_CNG,係数_バス貨物_軽油,係数_バス貨物_メタノール,係数_バス貨物_LPG),MATCH(AY1871+1,【参考】排出係数!$AI$4:$AI$671,1)-1,5,BE1871),2,FALSE),IF(OR(AW1871=1,AW1871=2),VLOOKUP(AU1871,INDEX((係数_乗用_ガソリン,係数_乗用_CNG,係数_乗用_軽油,係数_乗用_メタノール,係数_乗用_LPG),1,1,BE1871):INDEX((係数_乗用_ガソリン,係数_乗用_CNG,係数_乗用_軽油,係数_乗用_メタノール,係数_乗用_LPG),125,5,BE1871),2,FALSE))))))</f>
        <v/>
      </c>
      <c r="BB1871" s="468" t="str">
        <f>IF(T1871="","",IF(OR(AU1871="",AU1871="-"),"－",IF(OR(AZ1871=8,AZ1871=9),"",IF(OR(AW1871=3,AW1871=4,AW1871=5,AW1871=6),VLOOKUP(AU1871,INDEX((係数_バス貨物_ガソリン,係数_バス貨物_CNG,係数_バス貨物_軽油,係数_バス貨物_メタノール,係数_バス貨物_LPG),MATCH(AY1871,【参考】排出係数!$AI$4:$AI$671,1),1,BE1871):INDEX((係数_バス貨物_ガソリン,係数_バス貨物_CNG,係数_バス貨物_軽油,係数_バス貨物_メタノール,係数_バス貨物_LPG),MATCH(AY1871+1,【参考】排出係数!$AI$4:$AI$671,1)-1,5,BE1871),3,FALSE),IF(OR(AW1871=1,AW1871=2),VLOOKUP(AU1871,INDEX((係数_乗用_ガソリン,係数_乗用_CNG,係数_乗用_軽油,係数_乗用_メタノール,係数_乗用_LPG),1,1,BE1871):INDEX((係数_乗用_ガソリン,係数_乗用_CNG,係数_乗用_軽油,係数_乗用_メタノール,係数_乗用_LPG),125,5,BE1871),3,FALSE))))))</f>
        <v/>
      </c>
      <c r="BC1871" s="467" t="str">
        <f t="shared" si="1090"/>
        <v/>
      </c>
      <c r="BD1871" s="567" t="str">
        <f t="shared" si="1091"/>
        <v/>
      </c>
      <c r="BE1871" s="467" t="str">
        <f t="shared" si="1092"/>
        <v/>
      </c>
      <c r="BF1871" s="469" t="str">
        <f t="shared" ca="1" si="1093"/>
        <v/>
      </c>
      <c r="BG1871" s="469" t="str">
        <f t="shared" ca="1" si="1094"/>
        <v/>
      </c>
      <c r="BH1871" s="467" t="str">
        <f t="shared" si="1095"/>
        <v/>
      </c>
      <c r="BI1871" s="467" t="str">
        <f t="shared" ca="1" si="1096"/>
        <v/>
      </c>
      <c r="BJ1871" s="469" t="str">
        <f t="shared" si="1097"/>
        <v/>
      </c>
      <c r="BK1871" s="470" t="str">
        <f t="shared" si="1081"/>
        <v/>
      </c>
      <c r="BL1871" s="775" t="str">
        <f t="shared" si="1098"/>
        <v/>
      </c>
      <c r="BM1871" s="775" t="str">
        <f t="shared" si="1099"/>
        <v/>
      </c>
    </row>
    <row r="1872" spans="1:65">
      <c r="A1872" s="473">
        <v>1816</v>
      </c>
      <c r="B1872" s="132"/>
      <c r="C1872" s="332"/>
      <c r="D1872" s="333"/>
      <c r="E1872" s="333"/>
      <c r="F1872" s="334"/>
      <c r="G1872" s="337"/>
      <c r="H1872" s="131"/>
      <c r="I1872" s="337"/>
      <c r="J1872" s="131"/>
      <c r="K1872" s="458" t="str">
        <f t="shared" si="1062"/>
        <v/>
      </c>
      <c r="L1872" s="458">
        <f t="shared" si="1063"/>
        <v>0</v>
      </c>
      <c r="M1872" s="458">
        <f t="shared" si="1064"/>
        <v>0</v>
      </c>
      <c r="N1872" s="459" t="str">
        <f t="shared" si="1075"/>
        <v/>
      </c>
      <c r="O1872" s="459" t="str">
        <f t="shared" si="1076"/>
        <v/>
      </c>
      <c r="P1872" s="459" t="str">
        <f t="shared" si="1077"/>
        <v/>
      </c>
      <c r="Q1872" s="459" t="str">
        <f t="shared" si="1078"/>
        <v/>
      </c>
      <c r="R1872" s="459" t="str">
        <f t="shared" si="1079"/>
        <v/>
      </c>
      <c r="S1872" s="459" t="str">
        <f t="shared" si="1080"/>
        <v/>
      </c>
      <c r="T1872" s="566" t="str">
        <f t="shared" si="1065"/>
        <v/>
      </c>
      <c r="U1872" s="702"/>
      <c r="V1872" s="132"/>
      <c r="W1872" s="133"/>
      <c r="X1872" s="134"/>
      <c r="Y1872" s="135"/>
      <c r="Z1872" s="137"/>
      <c r="AA1872" s="136"/>
      <c r="AB1872" s="566" t="str">
        <f t="shared" si="1066"/>
        <v/>
      </c>
      <c r="AC1872" s="568" t="str">
        <f t="shared" si="1067"/>
        <v/>
      </c>
      <c r="AD1872" s="137"/>
      <c r="AE1872" s="137"/>
      <c r="AF1872" s="138"/>
      <c r="AG1872" s="138"/>
      <c r="AH1872" s="592" t="str">
        <f t="shared" si="1068"/>
        <v/>
      </c>
      <c r="AI1872" s="592" t="str">
        <f t="shared" si="1069"/>
        <v/>
      </c>
      <c r="AJ1872" s="592" t="str">
        <f t="shared" si="1070"/>
        <v/>
      </c>
      <c r="AK1872" s="460" t="str">
        <f>IF(AU1872="","",IF(OR(AZ1872=8,AZ1872=9),0,IF(OR(AW1872=3,AW1872=4,AW1872=5,AW1872=6),IF(LEFT(BF1872,1)="1",INDEX(係数_NOX・PM低減,MATCH(AY1872,【参考】排出係数!$AI$801:$AI$804,1),1),VLOOKUP(AU1872,INDEX((係数_バス貨物_ガソリン,係数_バス貨物_CNG,係数_バス貨物_軽油,係数_バス貨物_メタノール,係数_バス貨物_LPG),MATCH(AY1872,【参考】排出係数!$AI$4:$AI$671,1),1,BE1872):INDEX((係数_バス貨物_ガソリン,係数_バス貨物_CNG,係数_バス貨物_軽油,係数_バス貨物_メタノール,係数_バス貨物_LPG),MATCH(AY1872+1,【参考】排出係数!$AI$4:$AI$671,1)-1,5,BE1872),4,FALSE)),IF(AND(BE1872=3,LEFT(BF1872,1)="1"),0.48,VLOOKUP(AU1872,INDEX((係数_乗用_ガソリン,係数_乗用_CNG,係数_乗用_軽油,係数_乗用_メタノール,係数_乗用_LPG),1,1,BE1872):INDEX((係数_乗用_ガソリン,係数_乗用_CNG,係数_乗用_軽油,係数_乗用_メタノール,係数_乗用_LPG),125,5,BE1872),4,FALSE)))))</f>
        <v/>
      </c>
      <c r="AL1872" s="461" t="str">
        <f t="shared" si="1071"/>
        <v/>
      </c>
      <c r="AM1872" s="460" t="str">
        <f>IF(AU1872="","",IF(OR(AZ1872=8,AZ1872=9),0,IF(OR(AW1872=3,AW1872=4,AW1872=5,AW1872=6),IF(LEFT(BH1872,1)="1",INDEX(係数_PM低減,MATCH(AY1872,【参考】排出係数!$AI$801:$AI$804,1),MATCH(BI1872,【参考】排出係数!$AL$798:$AO$798,1)),VLOOKUP(AU1872,INDEX((係数_バス貨物_ガソリン,係数_バス貨物_CNG,係数_バス貨物_軽油,係数_バス貨物_メタノール,係数_バス貨物_LPG),MATCH(AY1872,【参考】排出係数!$AI$4:$AI$671,1),1,BE1872):INDEX((係数_バス貨物_ガソリン,係数_バス貨物_CNG,係数_バス貨物_軽油,係数_バス貨物_メタノール,係数_バス貨物_LPG),MATCH(AY1872+1,【参考】排出係数!$AI$4:$AI$671,1)-1,5,BE1872),5,FALSE)),IF(AND(BE1872=3,LEFT(BF1872,1)="1"),0.055,VLOOKUP(AU1872,INDEX((係数_乗用_ガソリン,係数_乗用_CNG,係数_乗用_軽油,係数_乗用_メタノール,係数_乗用_LPG),1,1,BE1872):INDEX((係数_乗用_ガソリン,係数_乗用_CNG,係数_乗用_軽油,係数_乗用_メタノール,係数_乗用_LPG),125,5,BE1872),5,FALSE)))))</f>
        <v/>
      </c>
      <c r="AN1872" s="461" t="str">
        <f t="shared" si="1072"/>
        <v/>
      </c>
      <c r="AO1872" s="462" t="str">
        <f t="shared" si="1073"/>
        <v/>
      </c>
      <c r="AP1872" s="463" t="str">
        <f t="shared" si="1074"/>
        <v/>
      </c>
      <c r="AQ1872" s="464"/>
      <c r="AR1872" s="619"/>
      <c r="AS1872" s="465" t="str">
        <f t="shared" si="1082"/>
        <v/>
      </c>
      <c r="AT1872" s="465" t="str">
        <f t="shared" si="1083"/>
        <v/>
      </c>
      <c r="AU1872" s="466" t="str">
        <f t="shared" si="1084"/>
        <v/>
      </c>
      <c r="AV1872" s="467" t="str">
        <f t="shared" si="1085"/>
        <v/>
      </c>
      <c r="AW1872" s="467" t="str">
        <f t="shared" si="1086"/>
        <v/>
      </c>
      <c r="AX1872" s="467" t="str">
        <f t="shared" si="1087"/>
        <v/>
      </c>
      <c r="AY1872" s="467" t="str">
        <f t="shared" si="1088"/>
        <v/>
      </c>
      <c r="AZ1872" s="467" t="str">
        <f t="shared" si="1089"/>
        <v/>
      </c>
      <c r="BA1872" s="468" t="str">
        <f>IF(AS1872="","",IF(OR(AU1872="",AU1872="-"),"－",IF(OR(AZ1872=8,AZ1872=9),"",IF(OR(AW1872=3,AW1872=4,AW1872=5,AW1872=6),VLOOKUP(AU1872,INDEX((係数_バス貨物_ガソリン,係数_バス貨物_CNG,係数_バス貨物_軽油,係数_バス貨物_メタノール,係数_バス貨物_LPG),MATCH(AY1872,【参考】排出係数!$AI$4:$AI$671,1),1,BE1872):INDEX((係数_バス貨物_ガソリン,係数_バス貨物_CNG,係数_バス貨物_軽油,係数_バス貨物_メタノール,係数_バス貨物_LPG),MATCH(AY1872+1,【参考】排出係数!$AI$4:$AI$671,1)-1,5,BE1872),2,FALSE),IF(OR(AW1872=1,AW1872=2),VLOOKUP(AU1872,INDEX((係数_乗用_ガソリン,係数_乗用_CNG,係数_乗用_軽油,係数_乗用_メタノール,係数_乗用_LPG),1,1,BE1872):INDEX((係数_乗用_ガソリン,係数_乗用_CNG,係数_乗用_軽油,係数_乗用_メタノール,係数_乗用_LPG),125,5,BE1872),2,FALSE))))))</f>
        <v/>
      </c>
      <c r="BB1872" s="468" t="str">
        <f>IF(T1872="","",IF(OR(AU1872="",AU1872="-"),"－",IF(OR(AZ1872=8,AZ1872=9),"",IF(OR(AW1872=3,AW1872=4,AW1872=5,AW1872=6),VLOOKUP(AU1872,INDEX((係数_バス貨物_ガソリン,係数_バス貨物_CNG,係数_バス貨物_軽油,係数_バス貨物_メタノール,係数_バス貨物_LPG),MATCH(AY1872,【参考】排出係数!$AI$4:$AI$671,1),1,BE1872):INDEX((係数_バス貨物_ガソリン,係数_バス貨物_CNG,係数_バス貨物_軽油,係数_バス貨物_メタノール,係数_バス貨物_LPG),MATCH(AY1872+1,【参考】排出係数!$AI$4:$AI$671,1)-1,5,BE1872),3,FALSE),IF(OR(AW1872=1,AW1872=2),VLOOKUP(AU1872,INDEX((係数_乗用_ガソリン,係数_乗用_CNG,係数_乗用_軽油,係数_乗用_メタノール,係数_乗用_LPG),1,1,BE1872):INDEX((係数_乗用_ガソリン,係数_乗用_CNG,係数_乗用_軽油,係数_乗用_メタノール,係数_乗用_LPG),125,5,BE1872),3,FALSE))))))</f>
        <v/>
      </c>
      <c r="BC1872" s="467" t="str">
        <f t="shared" si="1090"/>
        <v/>
      </c>
      <c r="BD1872" s="567" t="str">
        <f t="shared" si="1091"/>
        <v/>
      </c>
      <c r="BE1872" s="467" t="str">
        <f t="shared" si="1092"/>
        <v/>
      </c>
      <c r="BF1872" s="469" t="str">
        <f t="shared" ca="1" si="1093"/>
        <v/>
      </c>
      <c r="BG1872" s="469" t="str">
        <f t="shared" ca="1" si="1094"/>
        <v/>
      </c>
      <c r="BH1872" s="467" t="str">
        <f t="shared" si="1095"/>
        <v/>
      </c>
      <c r="BI1872" s="467" t="str">
        <f t="shared" ca="1" si="1096"/>
        <v/>
      </c>
      <c r="BJ1872" s="469" t="str">
        <f t="shared" si="1097"/>
        <v/>
      </c>
      <c r="BK1872" s="470" t="str">
        <f t="shared" si="1081"/>
        <v/>
      </c>
      <c r="BL1872" s="775" t="str">
        <f t="shared" si="1098"/>
        <v/>
      </c>
      <c r="BM1872" s="775" t="str">
        <f t="shared" si="1099"/>
        <v/>
      </c>
    </row>
    <row r="1873" spans="1:65">
      <c r="A1873" s="473">
        <v>1817</v>
      </c>
      <c r="B1873" s="132"/>
      <c r="C1873" s="332"/>
      <c r="D1873" s="333"/>
      <c r="E1873" s="333"/>
      <c r="F1873" s="334"/>
      <c r="G1873" s="337"/>
      <c r="H1873" s="131"/>
      <c r="I1873" s="337"/>
      <c r="J1873" s="131"/>
      <c r="K1873" s="458" t="str">
        <f t="shared" si="1062"/>
        <v/>
      </c>
      <c r="L1873" s="458">
        <f t="shared" si="1063"/>
        <v>0</v>
      </c>
      <c r="M1873" s="458">
        <f t="shared" si="1064"/>
        <v>0</v>
      </c>
      <c r="N1873" s="459" t="str">
        <f t="shared" si="1075"/>
        <v/>
      </c>
      <c r="O1873" s="459" t="str">
        <f t="shared" si="1076"/>
        <v/>
      </c>
      <c r="P1873" s="459" t="str">
        <f t="shared" si="1077"/>
        <v/>
      </c>
      <c r="Q1873" s="459" t="str">
        <f t="shared" si="1078"/>
        <v/>
      </c>
      <c r="R1873" s="459" t="str">
        <f t="shared" si="1079"/>
        <v/>
      </c>
      <c r="S1873" s="459" t="str">
        <f t="shared" si="1080"/>
        <v/>
      </c>
      <c r="T1873" s="566" t="str">
        <f t="shared" si="1065"/>
        <v/>
      </c>
      <c r="U1873" s="702"/>
      <c r="V1873" s="132"/>
      <c r="W1873" s="133"/>
      <c r="X1873" s="134"/>
      <c r="Y1873" s="135"/>
      <c r="Z1873" s="137"/>
      <c r="AA1873" s="136"/>
      <c r="AB1873" s="566" t="str">
        <f t="shared" si="1066"/>
        <v/>
      </c>
      <c r="AC1873" s="568" t="str">
        <f t="shared" si="1067"/>
        <v/>
      </c>
      <c r="AD1873" s="137"/>
      <c r="AE1873" s="137"/>
      <c r="AF1873" s="138"/>
      <c r="AG1873" s="138"/>
      <c r="AH1873" s="592" t="str">
        <f t="shared" si="1068"/>
        <v/>
      </c>
      <c r="AI1873" s="592" t="str">
        <f t="shared" si="1069"/>
        <v/>
      </c>
      <c r="AJ1873" s="592" t="str">
        <f t="shared" si="1070"/>
        <v/>
      </c>
      <c r="AK1873" s="460" t="str">
        <f>IF(AU1873="","",IF(OR(AZ1873=8,AZ1873=9),0,IF(OR(AW1873=3,AW1873=4,AW1873=5,AW1873=6),IF(LEFT(BF1873,1)="1",INDEX(係数_NOX・PM低減,MATCH(AY1873,【参考】排出係数!$AI$801:$AI$804,1),1),VLOOKUP(AU1873,INDEX((係数_バス貨物_ガソリン,係数_バス貨物_CNG,係数_バス貨物_軽油,係数_バス貨物_メタノール,係数_バス貨物_LPG),MATCH(AY1873,【参考】排出係数!$AI$4:$AI$671,1),1,BE1873):INDEX((係数_バス貨物_ガソリン,係数_バス貨物_CNG,係数_バス貨物_軽油,係数_バス貨物_メタノール,係数_バス貨物_LPG),MATCH(AY1873+1,【参考】排出係数!$AI$4:$AI$671,1)-1,5,BE1873),4,FALSE)),IF(AND(BE1873=3,LEFT(BF1873,1)="1"),0.48,VLOOKUP(AU1873,INDEX((係数_乗用_ガソリン,係数_乗用_CNG,係数_乗用_軽油,係数_乗用_メタノール,係数_乗用_LPG),1,1,BE1873):INDEX((係数_乗用_ガソリン,係数_乗用_CNG,係数_乗用_軽油,係数_乗用_メタノール,係数_乗用_LPG),125,5,BE1873),4,FALSE)))))</f>
        <v/>
      </c>
      <c r="AL1873" s="461" t="str">
        <f t="shared" si="1071"/>
        <v/>
      </c>
      <c r="AM1873" s="460" t="str">
        <f>IF(AU1873="","",IF(OR(AZ1873=8,AZ1873=9),0,IF(OR(AW1873=3,AW1873=4,AW1873=5,AW1873=6),IF(LEFT(BH1873,1)="1",INDEX(係数_PM低減,MATCH(AY1873,【参考】排出係数!$AI$801:$AI$804,1),MATCH(BI1873,【参考】排出係数!$AL$798:$AO$798,1)),VLOOKUP(AU1873,INDEX((係数_バス貨物_ガソリン,係数_バス貨物_CNG,係数_バス貨物_軽油,係数_バス貨物_メタノール,係数_バス貨物_LPG),MATCH(AY1873,【参考】排出係数!$AI$4:$AI$671,1),1,BE1873):INDEX((係数_バス貨物_ガソリン,係数_バス貨物_CNG,係数_バス貨物_軽油,係数_バス貨物_メタノール,係数_バス貨物_LPG),MATCH(AY1873+1,【参考】排出係数!$AI$4:$AI$671,1)-1,5,BE1873),5,FALSE)),IF(AND(BE1873=3,LEFT(BF1873,1)="1"),0.055,VLOOKUP(AU1873,INDEX((係数_乗用_ガソリン,係数_乗用_CNG,係数_乗用_軽油,係数_乗用_メタノール,係数_乗用_LPG),1,1,BE1873):INDEX((係数_乗用_ガソリン,係数_乗用_CNG,係数_乗用_軽油,係数_乗用_メタノール,係数_乗用_LPG),125,5,BE1873),5,FALSE)))))</f>
        <v/>
      </c>
      <c r="AN1873" s="461" t="str">
        <f t="shared" si="1072"/>
        <v/>
      </c>
      <c r="AO1873" s="462" t="str">
        <f t="shared" si="1073"/>
        <v/>
      </c>
      <c r="AP1873" s="463" t="str">
        <f t="shared" si="1074"/>
        <v/>
      </c>
      <c r="AQ1873" s="464"/>
      <c r="AR1873" s="619"/>
      <c r="AS1873" s="465" t="str">
        <f t="shared" si="1082"/>
        <v/>
      </c>
      <c r="AT1873" s="465" t="str">
        <f t="shared" si="1083"/>
        <v/>
      </c>
      <c r="AU1873" s="466" t="str">
        <f t="shared" si="1084"/>
        <v/>
      </c>
      <c r="AV1873" s="467" t="str">
        <f t="shared" si="1085"/>
        <v/>
      </c>
      <c r="AW1873" s="467" t="str">
        <f t="shared" si="1086"/>
        <v/>
      </c>
      <c r="AX1873" s="467" t="str">
        <f t="shared" si="1087"/>
        <v/>
      </c>
      <c r="AY1873" s="467" t="str">
        <f t="shared" si="1088"/>
        <v/>
      </c>
      <c r="AZ1873" s="467" t="str">
        <f t="shared" si="1089"/>
        <v/>
      </c>
      <c r="BA1873" s="468" t="str">
        <f>IF(AS1873="","",IF(OR(AU1873="",AU1873="-"),"－",IF(OR(AZ1873=8,AZ1873=9),"",IF(OR(AW1873=3,AW1873=4,AW1873=5,AW1873=6),VLOOKUP(AU1873,INDEX((係数_バス貨物_ガソリン,係数_バス貨物_CNG,係数_バス貨物_軽油,係数_バス貨物_メタノール,係数_バス貨物_LPG),MATCH(AY1873,【参考】排出係数!$AI$4:$AI$671,1),1,BE1873):INDEX((係数_バス貨物_ガソリン,係数_バス貨物_CNG,係数_バス貨物_軽油,係数_バス貨物_メタノール,係数_バス貨物_LPG),MATCH(AY1873+1,【参考】排出係数!$AI$4:$AI$671,1)-1,5,BE1873),2,FALSE),IF(OR(AW1873=1,AW1873=2),VLOOKUP(AU1873,INDEX((係数_乗用_ガソリン,係数_乗用_CNG,係数_乗用_軽油,係数_乗用_メタノール,係数_乗用_LPG),1,1,BE1873):INDEX((係数_乗用_ガソリン,係数_乗用_CNG,係数_乗用_軽油,係数_乗用_メタノール,係数_乗用_LPG),125,5,BE1873),2,FALSE))))))</f>
        <v/>
      </c>
      <c r="BB1873" s="468" t="str">
        <f>IF(T1873="","",IF(OR(AU1873="",AU1873="-"),"－",IF(OR(AZ1873=8,AZ1873=9),"",IF(OR(AW1873=3,AW1873=4,AW1873=5,AW1873=6),VLOOKUP(AU1873,INDEX((係数_バス貨物_ガソリン,係数_バス貨物_CNG,係数_バス貨物_軽油,係数_バス貨物_メタノール,係数_バス貨物_LPG),MATCH(AY1873,【参考】排出係数!$AI$4:$AI$671,1),1,BE1873):INDEX((係数_バス貨物_ガソリン,係数_バス貨物_CNG,係数_バス貨物_軽油,係数_バス貨物_メタノール,係数_バス貨物_LPG),MATCH(AY1873+1,【参考】排出係数!$AI$4:$AI$671,1)-1,5,BE1873),3,FALSE),IF(OR(AW1873=1,AW1873=2),VLOOKUP(AU1873,INDEX((係数_乗用_ガソリン,係数_乗用_CNG,係数_乗用_軽油,係数_乗用_メタノール,係数_乗用_LPG),1,1,BE1873):INDEX((係数_乗用_ガソリン,係数_乗用_CNG,係数_乗用_軽油,係数_乗用_メタノール,係数_乗用_LPG),125,5,BE1873),3,FALSE))))))</f>
        <v/>
      </c>
      <c r="BC1873" s="467" t="str">
        <f t="shared" si="1090"/>
        <v/>
      </c>
      <c r="BD1873" s="567" t="str">
        <f t="shared" si="1091"/>
        <v/>
      </c>
      <c r="BE1873" s="467" t="str">
        <f t="shared" si="1092"/>
        <v/>
      </c>
      <c r="BF1873" s="469" t="str">
        <f t="shared" ca="1" si="1093"/>
        <v/>
      </c>
      <c r="BG1873" s="469" t="str">
        <f t="shared" ca="1" si="1094"/>
        <v/>
      </c>
      <c r="BH1873" s="467" t="str">
        <f t="shared" si="1095"/>
        <v/>
      </c>
      <c r="BI1873" s="467" t="str">
        <f t="shared" ca="1" si="1096"/>
        <v/>
      </c>
      <c r="BJ1873" s="469" t="str">
        <f t="shared" si="1097"/>
        <v/>
      </c>
      <c r="BK1873" s="470" t="str">
        <f t="shared" si="1081"/>
        <v/>
      </c>
      <c r="BL1873" s="775" t="str">
        <f t="shared" si="1098"/>
        <v/>
      </c>
      <c r="BM1873" s="775" t="str">
        <f t="shared" si="1099"/>
        <v/>
      </c>
    </row>
    <row r="1874" spans="1:65">
      <c r="A1874" s="473">
        <v>1818</v>
      </c>
      <c r="B1874" s="132"/>
      <c r="C1874" s="332"/>
      <c r="D1874" s="333"/>
      <c r="E1874" s="333"/>
      <c r="F1874" s="334"/>
      <c r="G1874" s="337"/>
      <c r="H1874" s="131"/>
      <c r="I1874" s="337"/>
      <c r="J1874" s="131"/>
      <c r="K1874" s="458" t="str">
        <f t="shared" si="1062"/>
        <v/>
      </c>
      <c r="L1874" s="458">
        <f t="shared" si="1063"/>
        <v>0</v>
      </c>
      <c r="M1874" s="458">
        <f t="shared" si="1064"/>
        <v>0</v>
      </c>
      <c r="N1874" s="459" t="str">
        <f t="shared" si="1075"/>
        <v/>
      </c>
      <c r="O1874" s="459" t="str">
        <f t="shared" si="1076"/>
        <v/>
      </c>
      <c r="P1874" s="459" t="str">
        <f t="shared" si="1077"/>
        <v/>
      </c>
      <c r="Q1874" s="459" t="str">
        <f t="shared" si="1078"/>
        <v/>
      </c>
      <c r="R1874" s="459" t="str">
        <f t="shared" si="1079"/>
        <v/>
      </c>
      <c r="S1874" s="459" t="str">
        <f t="shared" si="1080"/>
        <v/>
      </c>
      <c r="T1874" s="566" t="str">
        <f t="shared" si="1065"/>
        <v/>
      </c>
      <c r="U1874" s="702"/>
      <c r="V1874" s="132"/>
      <c r="W1874" s="133"/>
      <c r="X1874" s="134"/>
      <c r="Y1874" s="135"/>
      <c r="Z1874" s="137"/>
      <c r="AA1874" s="136"/>
      <c r="AB1874" s="566" t="str">
        <f t="shared" si="1066"/>
        <v/>
      </c>
      <c r="AC1874" s="568" t="str">
        <f t="shared" si="1067"/>
        <v/>
      </c>
      <c r="AD1874" s="137"/>
      <c r="AE1874" s="137"/>
      <c r="AF1874" s="138"/>
      <c r="AG1874" s="138"/>
      <c r="AH1874" s="592" t="str">
        <f t="shared" si="1068"/>
        <v/>
      </c>
      <c r="AI1874" s="592" t="str">
        <f t="shared" si="1069"/>
        <v/>
      </c>
      <c r="AJ1874" s="592" t="str">
        <f t="shared" si="1070"/>
        <v/>
      </c>
      <c r="AK1874" s="460" t="str">
        <f>IF(AU1874="","",IF(OR(AZ1874=8,AZ1874=9),0,IF(OR(AW1874=3,AW1874=4,AW1874=5,AW1874=6),IF(LEFT(BF1874,1)="1",INDEX(係数_NOX・PM低減,MATCH(AY1874,【参考】排出係数!$AI$801:$AI$804,1),1),VLOOKUP(AU1874,INDEX((係数_バス貨物_ガソリン,係数_バス貨物_CNG,係数_バス貨物_軽油,係数_バス貨物_メタノール,係数_バス貨物_LPG),MATCH(AY1874,【参考】排出係数!$AI$4:$AI$671,1),1,BE1874):INDEX((係数_バス貨物_ガソリン,係数_バス貨物_CNG,係数_バス貨物_軽油,係数_バス貨物_メタノール,係数_バス貨物_LPG),MATCH(AY1874+1,【参考】排出係数!$AI$4:$AI$671,1)-1,5,BE1874),4,FALSE)),IF(AND(BE1874=3,LEFT(BF1874,1)="1"),0.48,VLOOKUP(AU1874,INDEX((係数_乗用_ガソリン,係数_乗用_CNG,係数_乗用_軽油,係数_乗用_メタノール,係数_乗用_LPG),1,1,BE1874):INDEX((係数_乗用_ガソリン,係数_乗用_CNG,係数_乗用_軽油,係数_乗用_メタノール,係数_乗用_LPG),125,5,BE1874),4,FALSE)))))</f>
        <v/>
      </c>
      <c r="AL1874" s="461" t="str">
        <f t="shared" si="1071"/>
        <v/>
      </c>
      <c r="AM1874" s="460" t="str">
        <f>IF(AU1874="","",IF(OR(AZ1874=8,AZ1874=9),0,IF(OR(AW1874=3,AW1874=4,AW1874=5,AW1874=6),IF(LEFT(BH1874,1)="1",INDEX(係数_PM低減,MATCH(AY1874,【参考】排出係数!$AI$801:$AI$804,1),MATCH(BI1874,【参考】排出係数!$AL$798:$AO$798,1)),VLOOKUP(AU1874,INDEX((係数_バス貨物_ガソリン,係数_バス貨物_CNG,係数_バス貨物_軽油,係数_バス貨物_メタノール,係数_バス貨物_LPG),MATCH(AY1874,【参考】排出係数!$AI$4:$AI$671,1),1,BE1874):INDEX((係数_バス貨物_ガソリン,係数_バス貨物_CNG,係数_バス貨物_軽油,係数_バス貨物_メタノール,係数_バス貨物_LPG),MATCH(AY1874+1,【参考】排出係数!$AI$4:$AI$671,1)-1,5,BE1874),5,FALSE)),IF(AND(BE1874=3,LEFT(BF1874,1)="1"),0.055,VLOOKUP(AU1874,INDEX((係数_乗用_ガソリン,係数_乗用_CNG,係数_乗用_軽油,係数_乗用_メタノール,係数_乗用_LPG),1,1,BE1874):INDEX((係数_乗用_ガソリン,係数_乗用_CNG,係数_乗用_軽油,係数_乗用_メタノール,係数_乗用_LPG),125,5,BE1874),5,FALSE)))))</f>
        <v/>
      </c>
      <c r="AN1874" s="461" t="str">
        <f t="shared" si="1072"/>
        <v/>
      </c>
      <c r="AO1874" s="462" t="str">
        <f t="shared" si="1073"/>
        <v/>
      </c>
      <c r="AP1874" s="463" t="str">
        <f t="shared" si="1074"/>
        <v/>
      </c>
      <c r="AQ1874" s="464"/>
      <c r="AR1874" s="619"/>
      <c r="AS1874" s="465" t="str">
        <f t="shared" si="1082"/>
        <v/>
      </c>
      <c r="AT1874" s="465" t="str">
        <f t="shared" si="1083"/>
        <v/>
      </c>
      <c r="AU1874" s="466" t="str">
        <f t="shared" si="1084"/>
        <v/>
      </c>
      <c r="AV1874" s="467" t="str">
        <f t="shared" si="1085"/>
        <v/>
      </c>
      <c r="AW1874" s="467" t="str">
        <f t="shared" si="1086"/>
        <v/>
      </c>
      <c r="AX1874" s="467" t="str">
        <f t="shared" si="1087"/>
        <v/>
      </c>
      <c r="AY1874" s="467" t="str">
        <f t="shared" si="1088"/>
        <v/>
      </c>
      <c r="AZ1874" s="467" t="str">
        <f t="shared" si="1089"/>
        <v/>
      </c>
      <c r="BA1874" s="468" t="str">
        <f>IF(AS1874="","",IF(OR(AU1874="",AU1874="-"),"－",IF(OR(AZ1874=8,AZ1874=9),"",IF(OR(AW1874=3,AW1874=4,AW1874=5,AW1874=6),VLOOKUP(AU1874,INDEX((係数_バス貨物_ガソリン,係数_バス貨物_CNG,係数_バス貨物_軽油,係数_バス貨物_メタノール,係数_バス貨物_LPG),MATCH(AY1874,【参考】排出係数!$AI$4:$AI$671,1),1,BE1874):INDEX((係数_バス貨物_ガソリン,係数_バス貨物_CNG,係数_バス貨物_軽油,係数_バス貨物_メタノール,係数_バス貨物_LPG),MATCH(AY1874+1,【参考】排出係数!$AI$4:$AI$671,1)-1,5,BE1874),2,FALSE),IF(OR(AW1874=1,AW1874=2),VLOOKUP(AU1874,INDEX((係数_乗用_ガソリン,係数_乗用_CNG,係数_乗用_軽油,係数_乗用_メタノール,係数_乗用_LPG),1,1,BE1874):INDEX((係数_乗用_ガソリン,係数_乗用_CNG,係数_乗用_軽油,係数_乗用_メタノール,係数_乗用_LPG),125,5,BE1874),2,FALSE))))))</f>
        <v/>
      </c>
      <c r="BB1874" s="468" t="str">
        <f>IF(T1874="","",IF(OR(AU1874="",AU1874="-"),"－",IF(OR(AZ1874=8,AZ1874=9),"",IF(OR(AW1874=3,AW1874=4,AW1874=5,AW1874=6),VLOOKUP(AU1874,INDEX((係数_バス貨物_ガソリン,係数_バス貨物_CNG,係数_バス貨物_軽油,係数_バス貨物_メタノール,係数_バス貨物_LPG),MATCH(AY1874,【参考】排出係数!$AI$4:$AI$671,1),1,BE1874):INDEX((係数_バス貨物_ガソリン,係数_バス貨物_CNG,係数_バス貨物_軽油,係数_バス貨物_メタノール,係数_バス貨物_LPG),MATCH(AY1874+1,【参考】排出係数!$AI$4:$AI$671,1)-1,5,BE1874),3,FALSE),IF(OR(AW1874=1,AW1874=2),VLOOKUP(AU1874,INDEX((係数_乗用_ガソリン,係数_乗用_CNG,係数_乗用_軽油,係数_乗用_メタノール,係数_乗用_LPG),1,1,BE1874):INDEX((係数_乗用_ガソリン,係数_乗用_CNG,係数_乗用_軽油,係数_乗用_メタノール,係数_乗用_LPG),125,5,BE1874),3,FALSE))))))</f>
        <v/>
      </c>
      <c r="BC1874" s="467" t="str">
        <f t="shared" si="1090"/>
        <v/>
      </c>
      <c r="BD1874" s="567" t="str">
        <f t="shared" si="1091"/>
        <v/>
      </c>
      <c r="BE1874" s="467" t="str">
        <f t="shared" si="1092"/>
        <v/>
      </c>
      <c r="BF1874" s="469" t="str">
        <f t="shared" ca="1" si="1093"/>
        <v/>
      </c>
      <c r="BG1874" s="469" t="str">
        <f t="shared" ca="1" si="1094"/>
        <v/>
      </c>
      <c r="BH1874" s="467" t="str">
        <f t="shared" si="1095"/>
        <v/>
      </c>
      <c r="BI1874" s="467" t="str">
        <f t="shared" ca="1" si="1096"/>
        <v/>
      </c>
      <c r="BJ1874" s="469" t="str">
        <f t="shared" si="1097"/>
        <v/>
      </c>
      <c r="BK1874" s="470" t="str">
        <f t="shared" si="1081"/>
        <v/>
      </c>
      <c r="BL1874" s="775" t="str">
        <f t="shared" si="1098"/>
        <v/>
      </c>
      <c r="BM1874" s="775" t="str">
        <f t="shared" si="1099"/>
        <v/>
      </c>
    </row>
    <row r="1875" spans="1:65">
      <c r="A1875" s="473">
        <v>1819</v>
      </c>
      <c r="B1875" s="132"/>
      <c r="C1875" s="332"/>
      <c r="D1875" s="333"/>
      <c r="E1875" s="333"/>
      <c r="F1875" s="334"/>
      <c r="G1875" s="337"/>
      <c r="H1875" s="131"/>
      <c r="I1875" s="337"/>
      <c r="J1875" s="131"/>
      <c r="K1875" s="458" t="str">
        <f t="shared" si="1062"/>
        <v/>
      </c>
      <c r="L1875" s="458">
        <f t="shared" si="1063"/>
        <v>0</v>
      </c>
      <c r="M1875" s="458">
        <f t="shared" si="1064"/>
        <v>0</v>
      </c>
      <c r="N1875" s="459" t="str">
        <f t="shared" si="1075"/>
        <v/>
      </c>
      <c r="O1875" s="459" t="str">
        <f t="shared" si="1076"/>
        <v/>
      </c>
      <c r="P1875" s="459" t="str">
        <f t="shared" si="1077"/>
        <v/>
      </c>
      <c r="Q1875" s="459" t="str">
        <f t="shared" si="1078"/>
        <v/>
      </c>
      <c r="R1875" s="459" t="str">
        <f t="shared" si="1079"/>
        <v/>
      </c>
      <c r="S1875" s="459" t="str">
        <f t="shared" si="1080"/>
        <v/>
      </c>
      <c r="T1875" s="566" t="str">
        <f t="shared" si="1065"/>
        <v/>
      </c>
      <c r="U1875" s="702"/>
      <c r="V1875" s="132"/>
      <c r="W1875" s="133"/>
      <c r="X1875" s="134"/>
      <c r="Y1875" s="135"/>
      <c r="Z1875" s="137"/>
      <c r="AA1875" s="136"/>
      <c r="AB1875" s="566" t="str">
        <f t="shared" si="1066"/>
        <v/>
      </c>
      <c r="AC1875" s="568" t="str">
        <f t="shared" si="1067"/>
        <v/>
      </c>
      <c r="AD1875" s="137"/>
      <c r="AE1875" s="137"/>
      <c r="AF1875" s="138"/>
      <c r="AG1875" s="138"/>
      <c r="AH1875" s="592" t="str">
        <f t="shared" si="1068"/>
        <v/>
      </c>
      <c r="AI1875" s="592" t="str">
        <f t="shared" si="1069"/>
        <v/>
      </c>
      <c r="AJ1875" s="592" t="str">
        <f t="shared" si="1070"/>
        <v/>
      </c>
      <c r="AK1875" s="460" t="str">
        <f>IF(AU1875="","",IF(OR(AZ1875=8,AZ1875=9),0,IF(OR(AW1875=3,AW1875=4,AW1875=5,AW1875=6),IF(LEFT(BF1875,1)="1",INDEX(係数_NOX・PM低減,MATCH(AY1875,【参考】排出係数!$AI$801:$AI$804,1),1),VLOOKUP(AU1875,INDEX((係数_バス貨物_ガソリン,係数_バス貨物_CNG,係数_バス貨物_軽油,係数_バス貨物_メタノール,係数_バス貨物_LPG),MATCH(AY1875,【参考】排出係数!$AI$4:$AI$671,1),1,BE1875):INDEX((係数_バス貨物_ガソリン,係数_バス貨物_CNG,係数_バス貨物_軽油,係数_バス貨物_メタノール,係数_バス貨物_LPG),MATCH(AY1875+1,【参考】排出係数!$AI$4:$AI$671,1)-1,5,BE1875),4,FALSE)),IF(AND(BE1875=3,LEFT(BF1875,1)="1"),0.48,VLOOKUP(AU1875,INDEX((係数_乗用_ガソリン,係数_乗用_CNG,係数_乗用_軽油,係数_乗用_メタノール,係数_乗用_LPG),1,1,BE1875):INDEX((係数_乗用_ガソリン,係数_乗用_CNG,係数_乗用_軽油,係数_乗用_メタノール,係数_乗用_LPG),125,5,BE1875),4,FALSE)))))</f>
        <v/>
      </c>
      <c r="AL1875" s="461" t="str">
        <f t="shared" si="1071"/>
        <v/>
      </c>
      <c r="AM1875" s="460" t="str">
        <f>IF(AU1875="","",IF(OR(AZ1875=8,AZ1875=9),0,IF(OR(AW1875=3,AW1875=4,AW1875=5,AW1875=6),IF(LEFT(BH1875,1)="1",INDEX(係数_PM低減,MATCH(AY1875,【参考】排出係数!$AI$801:$AI$804,1),MATCH(BI1875,【参考】排出係数!$AL$798:$AO$798,1)),VLOOKUP(AU1875,INDEX((係数_バス貨物_ガソリン,係数_バス貨物_CNG,係数_バス貨物_軽油,係数_バス貨物_メタノール,係数_バス貨物_LPG),MATCH(AY1875,【参考】排出係数!$AI$4:$AI$671,1),1,BE1875):INDEX((係数_バス貨物_ガソリン,係数_バス貨物_CNG,係数_バス貨物_軽油,係数_バス貨物_メタノール,係数_バス貨物_LPG),MATCH(AY1875+1,【参考】排出係数!$AI$4:$AI$671,1)-1,5,BE1875),5,FALSE)),IF(AND(BE1875=3,LEFT(BF1875,1)="1"),0.055,VLOOKUP(AU1875,INDEX((係数_乗用_ガソリン,係数_乗用_CNG,係数_乗用_軽油,係数_乗用_メタノール,係数_乗用_LPG),1,1,BE1875):INDEX((係数_乗用_ガソリン,係数_乗用_CNG,係数_乗用_軽油,係数_乗用_メタノール,係数_乗用_LPG),125,5,BE1875),5,FALSE)))))</f>
        <v/>
      </c>
      <c r="AN1875" s="461" t="str">
        <f t="shared" si="1072"/>
        <v/>
      </c>
      <c r="AO1875" s="462" t="str">
        <f t="shared" si="1073"/>
        <v/>
      </c>
      <c r="AP1875" s="463" t="str">
        <f t="shared" si="1074"/>
        <v/>
      </c>
      <c r="AQ1875" s="464"/>
      <c r="AR1875" s="619"/>
      <c r="AS1875" s="465" t="str">
        <f t="shared" si="1082"/>
        <v/>
      </c>
      <c r="AT1875" s="465" t="str">
        <f t="shared" si="1083"/>
        <v/>
      </c>
      <c r="AU1875" s="466" t="str">
        <f t="shared" si="1084"/>
        <v/>
      </c>
      <c r="AV1875" s="467" t="str">
        <f t="shared" si="1085"/>
        <v/>
      </c>
      <c r="AW1875" s="467" t="str">
        <f t="shared" si="1086"/>
        <v/>
      </c>
      <c r="AX1875" s="467" t="str">
        <f t="shared" si="1087"/>
        <v/>
      </c>
      <c r="AY1875" s="467" t="str">
        <f t="shared" si="1088"/>
        <v/>
      </c>
      <c r="AZ1875" s="467" t="str">
        <f t="shared" si="1089"/>
        <v/>
      </c>
      <c r="BA1875" s="468" t="str">
        <f>IF(AS1875="","",IF(OR(AU1875="",AU1875="-"),"－",IF(OR(AZ1875=8,AZ1875=9),"",IF(OR(AW1875=3,AW1875=4,AW1875=5,AW1875=6),VLOOKUP(AU1875,INDEX((係数_バス貨物_ガソリン,係数_バス貨物_CNG,係数_バス貨物_軽油,係数_バス貨物_メタノール,係数_バス貨物_LPG),MATCH(AY1875,【参考】排出係数!$AI$4:$AI$671,1),1,BE1875):INDEX((係数_バス貨物_ガソリン,係数_バス貨物_CNG,係数_バス貨物_軽油,係数_バス貨物_メタノール,係数_バス貨物_LPG),MATCH(AY1875+1,【参考】排出係数!$AI$4:$AI$671,1)-1,5,BE1875),2,FALSE),IF(OR(AW1875=1,AW1875=2),VLOOKUP(AU1875,INDEX((係数_乗用_ガソリン,係数_乗用_CNG,係数_乗用_軽油,係数_乗用_メタノール,係数_乗用_LPG),1,1,BE1875):INDEX((係数_乗用_ガソリン,係数_乗用_CNG,係数_乗用_軽油,係数_乗用_メタノール,係数_乗用_LPG),125,5,BE1875),2,FALSE))))))</f>
        <v/>
      </c>
      <c r="BB1875" s="468" t="str">
        <f>IF(T1875="","",IF(OR(AU1875="",AU1875="-"),"－",IF(OR(AZ1875=8,AZ1875=9),"",IF(OR(AW1875=3,AW1875=4,AW1875=5,AW1875=6),VLOOKUP(AU1875,INDEX((係数_バス貨物_ガソリン,係数_バス貨物_CNG,係数_バス貨物_軽油,係数_バス貨物_メタノール,係数_バス貨物_LPG),MATCH(AY1875,【参考】排出係数!$AI$4:$AI$671,1),1,BE1875):INDEX((係数_バス貨物_ガソリン,係数_バス貨物_CNG,係数_バス貨物_軽油,係数_バス貨物_メタノール,係数_バス貨物_LPG),MATCH(AY1875+1,【参考】排出係数!$AI$4:$AI$671,1)-1,5,BE1875),3,FALSE),IF(OR(AW1875=1,AW1875=2),VLOOKUP(AU1875,INDEX((係数_乗用_ガソリン,係数_乗用_CNG,係数_乗用_軽油,係数_乗用_メタノール,係数_乗用_LPG),1,1,BE1875):INDEX((係数_乗用_ガソリン,係数_乗用_CNG,係数_乗用_軽油,係数_乗用_メタノール,係数_乗用_LPG),125,5,BE1875),3,FALSE))))))</f>
        <v/>
      </c>
      <c r="BC1875" s="467" t="str">
        <f t="shared" si="1090"/>
        <v/>
      </c>
      <c r="BD1875" s="567" t="str">
        <f t="shared" si="1091"/>
        <v/>
      </c>
      <c r="BE1875" s="467" t="str">
        <f t="shared" si="1092"/>
        <v/>
      </c>
      <c r="BF1875" s="469" t="str">
        <f t="shared" ca="1" si="1093"/>
        <v/>
      </c>
      <c r="BG1875" s="469" t="str">
        <f t="shared" ca="1" si="1094"/>
        <v/>
      </c>
      <c r="BH1875" s="467" t="str">
        <f t="shared" si="1095"/>
        <v/>
      </c>
      <c r="BI1875" s="467" t="str">
        <f t="shared" ca="1" si="1096"/>
        <v/>
      </c>
      <c r="BJ1875" s="469" t="str">
        <f t="shared" si="1097"/>
        <v/>
      </c>
      <c r="BK1875" s="470" t="str">
        <f t="shared" si="1081"/>
        <v/>
      </c>
      <c r="BL1875" s="775" t="str">
        <f t="shared" si="1098"/>
        <v/>
      </c>
      <c r="BM1875" s="775" t="str">
        <f t="shared" si="1099"/>
        <v/>
      </c>
    </row>
    <row r="1876" spans="1:65">
      <c r="A1876" s="473">
        <v>1820</v>
      </c>
      <c r="B1876" s="132"/>
      <c r="C1876" s="332"/>
      <c r="D1876" s="333"/>
      <c r="E1876" s="333"/>
      <c r="F1876" s="334"/>
      <c r="G1876" s="337"/>
      <c r="H1876" s="131"/>
      <c r="I1876" s="337"/>
      <c r="J1876" s="131"/>
      <c r="K1876" s="458" t="str">
        <f t="shared" si="1062"/>
        <v/>
      </c>
      <c r="L1876" s="458">
        <f t="shared" si="1063"/>
        <v>0</v>
      </c>
      <c r="M1876" s="458">
        <f t="shared" si="1064"/>
        <v>0</v>
      </c>
      <c r="N1876" s="459" t="str">
        <f t="shared" si="1075"/>
        <v/>
      </c>
      <c r="O1876" s="459" t="str">
        <f t="shared" si="1076"/>
        <v/>
      </c>
      <c r="P1876" s="459" t="str">
        <f t="shared" si="1077"/>
        <v/>
      </c>
      <c r="Q1876" s="459" t="str">
        <f t="shared" si="1078"/>
        <v/>
      </c>
      <c r="R1876" s="459" t="str">
        <f t="shared" si="1079"/>
        <v/>
      </c>
      <c r="S1876" s="459" t="str">
        <f t="shared" si="1080"/>
        <v/>
      </c>
      <c r="T1876" s="566" t="str">
        <f t="shared" si="1065"/>
        <v/>
      </c>
      <c r="U1876" s="702"/>
      <c r="V1876" s="132"/>
      <c r="W1876" s="133"/>
      <c r="X1876" s="134"/>
      <c r="Y1876" s="135"/>
      <c r="Z1876" s="137"/>
      <c r="AA1876" s="136"/>
      <c r="AB1876" s="566" t="str">
        <f t="shared" si="1066"/>
        <v/>
      </c>
      <c r="AC1876" s="568" t="str">
        <f t="shared" si="1067"/>
        <v/>
      </c>
      <c r="AD1876" s="137"/>
      <c r="AE1876" s="137"/>
      <c r="AF1876" s="138"/>
      <c r="AG1876" s="138"/>
      <c r="AH1876" s="592" t="str">
        <f t="shared" si="1068"/>
        <v/>
      </c>
      <c r="AI1876" s="592" t="str">
        <f t="shared" si="1069"/>
        <v/>
      </c>
      <c r="AJ1876" s="592" t="str">
        <f t="shared" si="1070"/>
        <v/>
      </c>
      <c r="AK1876" s="460" t="str">
        <f>IF(AU1876="","",IF(OR(AZ1876=8,AZ1876=9),0,IF(OR(AW1876=3,AW1876=4,AW1876=5,AW1876=6),IF(LEFT(BF1876,1)="1",INDEX(係数_NOX・PM低減,MATCH(AY1876,【参考】排出係数!$AI$801:$AI$804,1),1),VLOOKUP(AU1876,INDEX((係数_バス貨物_ガソリン,係数_バス貨物_CNG,係数_バス貨物_軽油,係数_バス貨物_メタノール,係数_バス貨物_LPG),MATCH(AY1876,【参考】排出係数!$AI$4:$AI$671,1),1,BE1876):INDEX((係数_バス貨物_ガソリン,係数_バス貨物_CNG,係数_バス貨物_軽油,係数_バス貨物_メタノール,係数_バス貨物_LPG),MATCH(AY1876+1,【参考】排出係数!$AI$4:$AI$671,1)-1,5,BE1876),4,FALSE)),IF(AND(BE1876=3,LEFT(BF1876,1)="1"),0.48,VLOOKUP(AU1876,INDEX((係数_乗用_ガソリン,係数_乗用_CNG,係数_乗用_軽油,係数_乗用_メタノール,係数_乗用_LPG),1,1,BE1876):INDEX((係数_乗用_ガソリン,係数_乗用_CNG,係数_乗用_軽油,係数_乗用_メタノール,係数_乗用_LPG),125,5,BE1876),4,FALSE)))))</f>
        <v/>
      </c>
      <c r="AL1876" s="461" t="str">
        <f t="shared" si="1071"/>
        <v/>
      </c>
      <c r="AM1876" s="460" t="str">
        <f>IF(AU1876="","",IF(OR(AZ1876=8,AZ1876=9),0,IF(OR(AW1876=3,AW1876=4,AW1876=5,AW1876=6),IF(LEFT(BH1876,1)="1",INDEX(係数_PM低減,MATCH(AY1876,【参考】排出係数!$AI$801:$AI$804,1),MATCH(BI1876,【参考】排出係数!$AL$798:$AO$798,1)),VLOOKUP(AU1876,INDEX((係数_バス貨物_ガソリン,係数_バス貨物_CNG,係数_バス貨物_軽油,係数_バス貨物_メタノール,係数_バス貨物_LPG),MATCH(AY1876,【参考】排出係数!$AI$4:$AI$671,1),1,BE1876):INDEX((係数_バス貨物_ガソリン,係数_バス貨物_CNG,係数_バス貨物_軽油,係数_バス貨物_メタノール,係数_バス貨物_LPG),MATCH(AY1876+1,【参考】排出係数!$AI$4:$AI$671,1)-1,5,BE1876),5,FALSE)),IF(AND(BE1876=3,LEFT(BF1876,1)="1"),0.055,VLOOKUP(AU1876,INDEX((係数_乗用_ガソリン,係数_乗用_CNG,係数_乗用_軽油,係数_乗用_メタノール,係数_乗用_LPG),1,1,BE1876):INDEX((係数_乗用_ガソリン,係数_乗用_CNG,係数_乗用_軽油,係数_乗用_メタノール,係数_乗用_LPG),125,5,BE1876),5,FALSE)))))</f>
        <v/>
      </c>
      <c r="AN1876" s="461" t="str">
        <f t="shared" si="1072"/>
        <v/>
      </c>
      <c r="AO1876" s="462" t="str">
        <f t="shared" si="1073"/>
        <v/>
      </c>
      <c r="AP1876" s="463" t="str">
        <f t="shared" si="1074"/>
        <v/>
      </c>
      <c r="AQ1876" s="464"/>
      <c r="AR1876" s="619"/>
      <c r="AS1876" s="465" t="str">
        <f t="shared" si="1082"/>
        <v/>
      </c>
      <c r="AT1876" s="465" t="str">
        <f t="shared" si="1083"/>
        <v/>
      </c>
      <c r="AU1876" s="466" t="str">
        <f t="shared" si="1084"/>
        <v/>
      </c>
      <c r="AV1876" s="467" t="str">
        <f t="shared" si="1085"/>
        <v/>
      </c>
      <c r="AW1876" s="467" t="str">
        <f t="shared" si="1086"/>
        <v/>
      </c>
      <c r="AX1876" s="467" t="str">
        <f t="shared" si="1087"/>
        <v/>
      </c>
      <c r="AY1876" s="467" t="str">
        <f t="shared" si="1088"/>
        <v/>
      </c>
      <c r="AZ1876" s="467" t="str">
        <f t="shared" si="1089"/>
        <v/>
      </c>
      <c r="BA1876" s="468" t="str">
        <f>IF(AS1876="","",IF(OR(AU1876="",AU1876="-"),"－",IF(OR(AZ1876=8,AZ1876=9),"",IF(OR(AW1876=3,AW1876=4,AW1876=5,AW1876=6),VLOOKUP(AU1876,INDEX((係数_バス貨物_ガソリン,係数_バス貨物_CNG,係数_バス貨物_軽油,係数_バス貨物_メタノール,係数_バス貨物_LPG),MATCH(AY1876,【参考】排出係数!$AI$4:$AI$671,1),1,BE1876):INDEX((係数_バス貨物_ガソリン,係数_バス貨物_CNG,係数_バス貨物_軽油,係数_バス貨物_メタノール,係数_バス貨物_LPG),MATCH(AY1876+1,【参考】排出係数!$AI$4:$AI$671,1)-1,5,BE1876),2,FALSE),IF(OR(AW1876=1,AW1876=2),VLOOKUP(AU1876,INDEX((係数_乗用_ガソリン,係数_乗用_CNG,係数_乗用_軽油,係数_乗用_メタノール,係数_乗用_LPG),1,1,BE1876):INDEX((係数_乗用_ガソリン,係数_乗用_CNG,係数_乗用_軽油,係数_乗用_メタノール,係数_乗用_LPG),125,5,BE1876),2,FALSE))))))</f>
        <v/>
      </c>
      <c r="BB1876" s="468" t="str">
        <f>IF(T1876="","",IF(OR(AU1876="",AU1876="-"),"－",IF(OR(AZ1876=8,AZ1876=9),"",IF(OR(AW1876=3,AW1876=4,AW1876=5,AW1876=6),VLOOKUP(AU1876,INDEX((係数_バス貨物_ガソリン,係数_バス貨物_CNG,係数_バス貨物_軽油,係数_バス貨物_メタノール,係数_バス貨物_LPG),MATCH(AY1876,【参考】排出係数!$AI$4:$AI$671,1),1,BE1876):INDEX((係数_バス貨物_ガソリン,係数_バス貨物_CNG,係数_バス貨物_軽油,係数_バス貨物_メタノール,係数_バス貨物_LPG),MATCH(AY1876+1,【参考】排出係数!$AI$4:$AI$671,1)-1,5,BE1876),3,FALSE),IF(OR(AW1876=1,AW1876=2),VLOOKUP(AU1876,INDEX((係数_乗用_ガソリン,係数_乗用_CNG,係数_乗用_軽油,係数_乗用_メタノール,係数_乗用_LPG),1,1,BE1876):INDEX((係数_乗用_ガソリン,係数_乗用_CNG,係数_乗用_軽油,係数_乗用_メタノール,係数_乗用_LPG),125,5,BE1876),3,FALSE))))))</f>
        <v/>
      </c>
      <c r="BC1876" s="467" t="str">
        <f t="shared" si="1090"/>
        <v/>
      </c>
      <c r="BD1876" s="567" t="str">
        <f t="shared" si="1091"/>
        <v/>
      </c>
      <c r="BE1876" s="467" t="str">
        <f t="shared" si="1092"/>
        <v/>
      </c>
      <c r="BF1876" s="469" t="str">
        <f t="shared" ca="1" si="1093"/>
        <v/>
      </c>
      <c r="BG1876" s="469" t="str">
        <f t="shared" ca="1" si="1094"/>
        <v/>
      </c>
      <c r="BH1876" s="467" t="str">
        <f t="shared" si="1095"/>
        <v/>
      </c>
      <c r="BI1876" s="467" t="str">
        <f t="shared" ca="1" si="1096"/>
        <v/>
      </c>
      <c r="BJ1876" s="469" t="str">
        <f t="shared" si="1097"/>
        <v/>
      </c>
      <c r="BK1876" s="470" t="str">
        <f t="shared" si="1081"/>
        <v/>
      </c>
      <c r="BL1876" s="775" t="str">
        <f t="shared" si="1098"/>
        <v/>
      </c>
      <c r="BM1876" s="775" t="str">
        <f t="shared" si="1099"/>
        <v/>
      </c>
    </row>
    <row r="1877" spans="1:65">
      <c r="A1877" s="473">
        <v>1821</v>
      </c>
      <c r="B1877" s="132"/>
      <c r="C1877" s="332"/>
      <c r="D1877" s="333"/>
      <c r="E1877" s="333"/>
      <c r="F1877" s="334"/>
      <c r="G1877" s="337"/>
      <c r="H1877" s="131"/>
      <c r="I1877" s="337"/>
      <c r="J1877" s="131"/>
      <c r="K1877" s="458" t="str">
        <f t="shared" si="1062"/>
        <v/>
      </c>
      <c r="L1877" s="458">
        <f t="shared" si="1063"/>
        <v>0</v>
      </c>
      <c r="M1877" s="458">
        <f t="shared" si="1064"/>
        <v>0</v>
      </c>
      <c r="N1877" s="459" t="str">
        <f t="shared" si="1075"/>
        <v/>
      </c>
      <c r="O1877" s="459" t="str">
        <f t="shared" si="1076"/>
        <v/>
      </c>
      <c r="P1877" s="459" t="str">
        <f t="shared" si="1077"/>
        <v/>
      </c>
      <c r="Q1877" s="459" t="str">
        <f t="shared" si="1078"/>
        <v/>
      </c>
      <c r="R1877" s="459" t="str">
        <f t="shared" si="1079"/>
        <v/>
      </c>
      <c r="S1877" s="459" t="str">
        <f t="shared" si="1080"/>
        <v/>
      </c>
      <c r="T1877" s="566" t="str">
        <f t="shared" si="1065"/>
        <v/>
      </c>
      <c r="U1877" s="702"/>
      <c r="V1877" s="132"/>
      <c r="W1877" s="133"/>
      <c r="X1877" s="134"/>
      <c r="Y1877" s="135"/>
      <c r="Z1877" s="137"/>
      <c r="AA1877" s="136"/>
      <c r="AB1877" s="566" t="str">
        <f t="shared" si="1066"/>
        <v/>
      </c>
      <c r="AC1877" s="568" t="str">
        <f t="shared" si="1067"/>
        <v/>
      </c>
      <c r="AD1877" s="137"/>
      <c r="AE1877" s="137"/>
      <c r="AF1877" s="138"/>
      <c r="AG1877" s="138"/>
      <c r="AH1877" s="592" t="str">
        <f t="shared" si="1068"/>
        <v/>
      </c>
      <c r="AI1877" s="592" t="str">
        <f t="shared" si="1069"/>
        <v/>
      </c>
      <c r="AJ1877" s="592" t="str">
        <f t="shared" si="1070"/>
        <v/>
      </c>
      <c r="AK1877" s="460" t="str">
        <f>IF(AU1877="","",IF(OR(AZ1877=8,AZ1877=9),0,IF(OR(AW1877=3,AW1877=4,AW1877=5,AW1877=6),IF(LEFT(BF1877,1)="1",INDEX(係数_NOX・PM低減,MATCH(AY1877,【参考】排出係数!$AI$801:$AI$804,1),1),VLOOKUP(AU1877,INDEX((係数_バス貨物_ガソリン,係数_バス貨物_CNG,係数_バス貨物_軽油,係数_バス貨物_メタノール,係数_バス貨物_LPG),MATCH(AY1877,【参考】排出係数!$AI$4:$AI$671,1),1,BE1877):INDEX((係数_バス貨物_ガソリン,係数_バス貨物_CNG,係数_バス貨物_軽油,係数_バス貨物_メタノール,係数_バス貨物_LPG),MATCH(AY1877+1,【参考】排出係数!$AI$4:$AI$671,1)-1,5,BE1877),4,FALSE)),IF(AND(BE1877=3,LEFT(BF1877,1)="1"),0.48,VLOOKUP(AU1877,INDEX((係数_乗用_ガソリン,係数_乗用_CNG,係数_乗用_軽油,係数_乗用_メタノール,係数_乗用_LPG),1,1,BE1877):INDEX((係数_乗用_ガソリン,係数_乗用_CNG,係数_乗用_軽油,係数_乗用_メタノール,係数_乗用_LPG),125,5,BE1877),4,FALSE)))))</f>
        <v/>
      </c>
      <c r="AL1877" s="461" t="str">
        <f t="shared" si="1071"/>
        <v/>
      </c>
      <c r="AM1877" s="460" t="str">
        <f>IF(AU1877="","",IF(OR(AZ1877=8,AZ1877=9),0,IF(OR(AW1877=3,AW1877=4,AW1877=5,AW1877=6),IF(LEFT(BH1877,1)="1",INDEX(係数_PM低減,MATCH(AY1877,【参考】排出係数!$AI$801:$AI$804,1),MATCH(BI1877,【参考】排出係数!$AL$798:$AO$798,1)),VLOOKUP(AU1877,INDEX((係数_バス貨物_ガソリン,係数_バス貨物_CNG,係数_バス貨物_軽油,係数_バス貨物_メタノール,係数_バス貨物_LPG),MATCH(AY1877,【参考】排出係数!$AI$4:$AI$671,1),1,BE1877):INDEX((係数_バス貨物_ガソリン,係数_バス貨物_CNG,係数_バス貨物_軽油,係数_バス貨物_メタノール,係数_バス貨物_LPG),MATCH(AY1877+1,【参考】排出係数!$AI$4:$AI$671,1)-1,5,BE1877),5,FALSE)),IF(AND(BE1877=3,LEFT(BF1877,1)="1"),0.055,VLOOKUP(AU1877,INDEX((係数_乗用_ガソリン,係数_乗用_CNG,係数_乗用_軽油,係数_乗用_メタノール,係数_乗用_LPG),1,1,BE1877):INDEX((係数_乗用_ガソリン,係数_乗用_CNG,係数_乗用_軽油,係数_乗用_メタノール,係数_乗用_LPG),125,5,BE1877),5,FALSE)))))</f>
        <v/>
      </c>
      <c r="AN1877" s="461" t="str">
        <f t="shared" si="1072"/>
        <v/>
      </c>
      <c r="AO1877" s="462" t="str">
        <f t="shared" si="1073"/>
        <v/>
      </c>
      <c r="AP1877" s="463" t="str">
        <f t="shared" si="1074"/>
        <v/>
      </c>
      <c r="AQ1877" s="464"/>
      <c r="AR1877" s="619"/>
      <c r="AS1877" s="465" t="str">
        <f t="shared" si="1082"/>
        <v/>
      </c>
      <c r="AT1877" s="465" t="str">
        <f t="shared" si="1083"/>
        <v/>
      </c>
      <c r="AU1877" s="466" t="str">
        <f t="shared" si="1084"/>
        <v/>
      </c>
      <c r="AV1877" s="467" t="str">
        <f t="shared" si="1085"/>
        <v/>
      </c>
      <c r="AW1877" s="467" t="str">
        <f t="shared" si="1086"/>
        <v/>
      </c>
      <c r="AX1877" s="467" t="str">
        <f t="shared" si="1087"/>
        <v/>
      </c>
      <c r="AY1877" s="467" t="str">
        <f t="shared" si="1088"/>
        <v/>
      </c>
      <c r="AZ1877" s="467" t="str">
        <f t="shared" si="1089"/>
        <v/>
      </c>
      <c r="BA1877" s="468" t="str">
        <f>IF(AS1877="","",IF(OR(AU1877="",AU1877="-"),"－",IF(OR(AZ1877=8,AZ1877=9),"",IF(OR(AW1877=3,AW1877=4,AW1877=5,AW1877=6),VLOOKUP(AU1877,INDEX((係数_バス貨物_ガソリン,係数_バス貨物_CNG,係数_バス貨物_軽油,係数_バス貨物_メタノール,係数_バス貨物_LPG),MATCH(AY1877,【参考】排出係数!$AI$4:$AI$671,1),1,BE1877):INDEX((係数_バス貨物_ガソリン,係数_バス貨物_CNG,係数_バス貨物_軽油,係数_バス貨物_メタノール,係数_バス貨物_LPG),MATCH(AY1877+1,【参考】排出係数!$AI$4:$AI$671,1)-1,5,BE1877),2,FALSE),IF(OR(AW1877=1,AW1877=2),VLOOKUP(AU1877,INDEX((係数_乗用_ガソリン,係数_乗用_CNG,係数_乗用_軽油,係数_乗用_メタノール,係数_乗用_LPG),1,1,BE1877):INDEX((係数_乗用_ガソリン,係数_乗用_CNG,係数_乗用_軽油,係数_乗用_メタノール,係数_乗用_LPG),125,5,BE1877),2,FALSE))))))</f>
        <v/>
      </c>
      <c r="BB1877" s="468" t="str">
        <f>IF(T1877="","",IF(OR(AU1877="",AU1877="-"),"－",IF(OR(AZ1877=8,AZ1877=9),"",IF(OR(AW1877=3,AW1877=4,AW1877=5,AW1877=6),VLOOKUP(AU1877,INDEX((係数_バス貨物_ガソリン,係数_バス貨物_CNG,係数_バス貨物_軽油,係数_バス貨物_メタノール,係数_バス貨物_LPG),MATCH(AY1877,【参考】排出係数!$AI$4:$AI$671,1),1,BE1877):INDEX((係数_バス貨物_ガソリン,係数_バス貨物_CNG,係数_バス貨物_軽油,係数_バス貨物_メタノール,係数_バス貨物_LPG),MATCH(AY1877+1,【参考】排出係数!$AI$4:$AI$671,1)-1,5,BE1877),3,FALSE),IF(OR(AW1877=1,AW1877=2),VLOOKUP(AU1877,INDEX((係数_乗用_ガソリン,係数_乗用_CNG,係数_乗用_軽油,係数_乗用_メタノール,係数_乗用_LPG),1,1,BE1877):INDEX((係数_乗用_ガソリン,係数_乗用_CNG,係数_乗用_軽油,係数_乗用_メタノール,係数_乗用_LPG),125,5,BE1877),3,FALSE))))))</f>
        <v/>
      </c>
      <c r="BC1877" s="467" t="str">
        <f t="shared" si="1090"/>
        <v/>
      </c>
      <c r="BD1877" s="567" t="str">
        <f t="shared" si="1091"/>
        <v/>
      </c>
      <c r="BE1877" s="467" t="str">
        <f t="shared" si="1092"/>
        <v/>
      </c>
      <c r="BF1877" s="469" t="str">
        <f t="shared" ca="1" si="1093"/>
        <v/>
      </c>
      <c r="BG1877" s="469" t="str">
        <f t="shared" ca="1" si="1094"/>
        <v/>
      </c>
      <c r="BH1877" s="467" t="str">
        <f t="shared" si="1095"/>
        <v/>
      </c>
      <c r="BI1877" s="467" t="str">
        <f t="shared" ca="1" si="1096"/>
        <v/>
      </c>
      <c r="BJ1877" s="469" t="str">
        <f t="shared" si="1097"/>
        <v/>
      </c>
      <c r="BK1877" s="470" t="str">
        <f t="shared" si="1081"/>
        <v/>
      </c>
      <c r="BL1877" s="775" t="str">
        <f t="shared" si="1098"/>
        <v/>
      </c>
      <c r="BM1877" s="775" t="str">
        <f t="shared" si="1099"/>
        <v/>
      </c>
    </row>
    <row r="1878" spans="1:65">
      <c r="A1878" s="473">
        <v>1822</v>
      </c>
      <c r="B1878" s="132"/>
      <c r="C1878" s="332"/>
      <c r="D1878" s="333"/>
      <c r="E1878" s="333"/>
      <c r="F1878" s="334"/>
      <c r="G1878" s="337"/>
      <c r="H1878" s="131"/>
      <c r="I1878" s="337"/>
      <c r="J1878" s="131"/>
      <c r="K1878" s="458" t="str">
        <f t="shared" si="1062"/>
        <v/>
      </c>
      <c r="L1878" s="458">
        <f t="shared" si="1063"/>
        <v>0</v>
      </c>
      <c r="M1878" s="458">
        <f t="shared" si="1064"/>
        <v>0</v>
      </c>
      <c r="N1878" s="459" t="str">
        <f t="shared" si="1075"/>
        <v/>
      </c>
      <c r="O1878" s="459" t="str">
        <f t="shared" si="1076"/>
        <v/>
      </c>
      <c r="P1878" s="459" t="str">
        <f t="shared" si="1077"/>
        <v/>
      </c>
      <c r="Q1878" s="459" t="str">
        <f t="shared" si="1078"/>
        <v/>
      </c>
      <c r="R1878" s="459" t="str">
        <f t="shared" si="1079"/>
        <v/>
      </c>
      <c r="S1878" s="459" t="str">
        <f t="shared" si="1080"/>
        <v/>
      </c>
      <c r="T1878" s="566" t="str">
        <f t="shared" si="1065"/>
        <v/>
      </c>
      <c r="U1878" s="702"/>
      <c r="V1878" s="132"/>
      <c r="W1878" s="133"/>
      <c r="X1878" s="134"/>
      <c r="Y1878" s="135"/>
      <c r="Z1878" s="137"/>
      <c r="AA1878" s="136"/>
      <c r="AB1878" s="566" t="str">
        <f t="shared" si="1066"/>
        <v/>
      </c>
      <c r="AC1878" s="568" t="str">
        <f t="shared" si="1067"/>
        <v/>
      </c>
      <c r="AD1878" s="137"/>
      <c r="AE1878" s="137"/>
      <c r="AF1878" s="138"/>
      <c r="AG1878" s="138"/>
      <c r="AH1878" s="592" t="str">
        <f t="shared" si="1068"/>
        <v/>
      </c>
      <c r="AI1878" s="592" t="str">
        <f t="shared" si="1069"/>
        <v/>
      </c>
      <c r="AJ1878" s="592" t="str">
        <f t="shared" si="1070"/>
        <v/>
      </c>
      <c r="AK1878" s="460" t="str">
        <f>IF(AU1878="","",IF(OR(AZ1878=8,AZ1878=9),0,IF(OR(AW1878=3,AW1878=4,AW1878=5,AW1878=6),IF(LEFT(BF1878,1)="1",INDEX(係数_NOX・PM低減,MATCH(AY1878,【参考】排出係数!$AI$801:$AI$804,1),1),VLOOKUP(AU1878,INDEX((係数_バス貨物_ガソリン,係数_バス貨物_CNG,係数_バス貨物_軽油,係数_バス貨物_メタノール,係数_バス貨物_LPG),MATCH(AY1878,【参考】排出係数!$AI$4:$AI$671,1),1,BE1878):INDEX((係数_バス貨物_ガソリン,係数_バス貨物_CNG,係数_バス貨物_軽油,係数_バス貨物_メタノール,係数_バス貨物_LPG),MATCH(AY1878+1,【参考】排出係数!$AI$4:$AI$671,1)-1,5,BE1878),4,FALSE)),IF(AND(BE1878=3,LEFT(BF1878,1)="1"),0.48,VLOOKUP(AU1878,INDEX((係数_乗用_ガソリン,係数_乗用_CNG,係数_乗用_軽油,係数_乗用_メタノール,係数_乗用_LPG),1,1,BE1878):INDEX((係数_乗用_ガソリン,係数_乗用_CNG,係数_乗用_軽油,係数_乗用_メタノール,係数_乗用_LPG),125,5,BE1878),4,FALSE)))))</f>
        <v/>
      </c>
      <c r="AL1878" s="461" t="str">
        <f t="shared" si="1071"/>
        <v/>
      </c>
      <c r="AM1878" s="460" t="str">
        <f>IF(AU1878="","",IF(OR(AZ1878=8,AZ1878=9),0,IF(OR(AW1878=3,AW1878=4,AW1878=5,AW1878=6),IF(LEFT(BH1878,1)="1",INDEX(係数_PM低減,MATCH(AY1878,【参考】排出係数!$AI$801:$AI$804,1),MATCH(BI1878,【参考】排出係数!$AL$798:$AO$798,1)),VLOOKUP(AU1878,INDEX((係数_バス貨物_ガソリン,係数_バス貨物_CNG,係数_バス貨物_軽油,係数_バス貨物_メタノール,係数_バス貨物_LPG),MATCH(AY1878,【参考】排出係数!$AI$4:$AI$671,1),1,BE1878):INDEX((係数_バス貨物_ガソリン,係数_バス貨物_CNG,係数_バス貨物_軽油,係数_バス貨物_メタノール,係数_バス貨物_LPG),MATCH(AY1878+1,【参考】排出係数!$AI$4:$AI$671,1)-1,5,BE1878),5,FALSE)),IF(AND(BE1878=3,LEFT(BF1878,1)="1"),0.055,VLOOKUP(AU1878,INDEX((係数_乗用_ガソリン,係数_乗用_CNG,係数_乗用_軽油,係数_乗用_メタノール,係数_乗用_LPG),1,1,BE1878):INDEX((係数_乗用_ガソリン,係数_乗用_CNG,係数_乗用_軽油,係数_乗用_メタノール,係数_乗用_LPG),125,5,BE1878),5,FALSE)))))</f>
        <v/>
      </c>
      <c r="AN1878" s="461" t="str">
        <f t="shared" si="1072"/>
        <v/>
      </c>
      <c r="AO1878" s="462" t="str">
        <f t="shared" si="1073"/>
        <v/>
      </c>
      <c r="AP1878" s="463" t="str">
        <f t="shared" si="1074"/>
        <v/>
      </c>
      <c r="AQ1878" s="464"/>
      <c r="AR1878" s="619"/>
      <c r="AS1878" s="465" t="str">
        <f t="shared" si="1082"/>
        <v/>
      </c>
      <c r="AT1878" s="465" t="str">
        <f t="shared" si="1083"/>
        <v/>
      </c>
      <c r="AU1878" s="466" t="str">
        <f t="shared" si="1084"/>
        <v/>
      </c>
      <c r="AV1878" s="467" t="str">
        <f t="shared" si="1085"/>
        <v/>
      </c>
      <c r="AW1878" s="467" t="str">
        <f t="shared" si="1086"/>
        <v/>
      </c>
      <c r="AX1878" s="467" t="str">
        <f t="shared" si="1087"/>
        <v/>
      </c>
      <c r="AY1878" s="467" t="str">
        <f t="shared" si="1088"/>
        <v/>
      </c>
      <c r="AZ1878" s="467" t="str">
        <f t="shared" si="1089"/>
        <v/>
      </c>
      <c r="BA1878" s="468" t="str">
        <f>IF(AS1878="","",IF(OR(AU1878="",AU1878="-"),"－",IF(OR(AZ1878=8,AZ1878=9),"",IF(OR(AW1878=3,AW1878=4,AW1878=5,AW1878=6),VLOOKUP(AU1878,INDEX((係数_バス貨物_ガソリン,係数_バス貨物_CNG,係数_バス貨物_軽油,係数_バス貨物_メタノール,係数_バス貨物_LPG),MATCH(AY1878,【参考】排出係数!$AI$4:$AI$671,1),1,BE1878):INDEX((係数_バス貨物_ガソリン,係数_バス貨物_CNG,係数_バス貨物_軽油,係数_バス貨物_メタノール,係数_バス貨物_LPG),MATCH(AY1878+1,【参考】排出係数!$AI$4:$AI$671,1)-1,5,BE1878),2,FALSE),IF(OR(AW1878=1,AW1878=2),VLOOKUP(AU1878,INDEX((係数_乗用_ガソリン,係数_乗用_CNG,係数_乗用_軽油,係数_乗用_メタノール,係数_乗用_LPG),1,1,BE1878):INDEX((係数_乗用_ガソリン,係数_乗用_CNG,係数_乗用_軽油,係数_乗用_メタノール,係数_乗用_LPG),125,5,BE1878),2,FALSE))))))</f>
        <v/>
      </c>
      <c r="BB1878" s="468" t="str">
        <f>IF(T1878="","",IF(OR(AU1878="",AU1878="-"),"－",IF(OR(AZ1878=8,AZ1878=9),"",IF(OR(AW1878=3,AW1878=4,AW1878=5,AW1878=6),VLOOKUP(AU1878,INDEX((係数_バス貨物_ガソリン,係数_バス貨物_CNG,係数_バス貨物_軽油,係数_バス貨物_メタノール,係数_バス貨物_LPG),MATCH(AY1878,【参考】排出係数!$AI$4:$AI$671,1),1,BE1878):INDEX((係数_バス貨物_ガソリン,係数_バス貨物_CNG,係数_バス貨物_軽油,係数_バス貨物_メタノール,係数_バス貨物_LPG),MATCH(AY1878+1,【参考】排出係数!$AI$4:$AI$671,1)-1,5,BE1878),3,FALSE),IF(OR(AW1878=1,AW1878=2),VLOOKUP(AU1878,INDEX((係数_乗用_ガソリン,係数_乗用_CNG,係数_乗用_軽油,係数_乗用_メタノール,係数_乗用_LPG),1,1,BE1878):INDEX((係数_乗用_ガソリン,係数_乗用_CNG,係数_乗用_軽油,係数_乗用_メタノール,係数_乗用_LPG),125,5,BE1878),3,FALSE))))))</f>
        <v/>
      </c>
      <c r="BC1878" s="467" t="str">
        <f t="shared" si="1090"/>
        <v/>
      </c>
      <c r="BD1878" s="567" t="str">
        <f t="shared" si="1091"/>
        <v/>
      </c>
      <c r="BE1878" s="467" t="str">
        <f t="shared" si="1092"/>
        <v/>
      </c>
      <c r="BF1878" s="469" t="str">
        <f t="shared" ca="1" si="1093"/>
        <v/>
      </c>
      <c r="BG1878" s="469" t="str">
        <f t="shared" ca="1" si="1094"/>
        <v/>
      </c>
      <c r="BH1878" s="467" t="str">
        <f t="shared" si="1095"/>
        <v/>
      </c>
      <c r="BI1878" s="467" t="str">
        <f t="shared" ca="1" si="1096"/>
        <v/>
      </c>
      <c r="BJ1878" s="469" t="str">
        <f t="shared" si="1097"/>
        <v/>
      </c>
      <c r="BK1878" s="470" t="str">
        <f t="shared" si="1081"/>
        <v/>
      </c>
      <c r="BL1878" s="775" t="str">
        <f t="shared" si="1098"/>
        <v/>
      </c>
      <c r="BM1878" s="775" t="str">
        <f t="shared" si="1099"/>
        <v/>
      </c>
    </row>
    <row r="1879" spans="1:65">
      <c r="A1879" s="473">
        <v>1823</v>
      </c>
      <c r="B1879" s="132"/>
      <c r="C1879" s="332"/>
      <c r="D1879" s="333"/>
      <c r="E1879" s="333"/>
      <c r="F1879" s="334"/>
      <c r="G1879" s="337"/>
      <c r="H1879" s="131"/>
      <c r="I1879" s="337"/>
      <c r="J1879" s="131"/>
      <c r="K1879" s="458" t="str">
        <f t="shared" si="1062"/>
        <v/>
      </c>
      <c r="L1879" s="458">
        <f t="shared" si="1063"/>
        <v>0</v>
      </c>
      <c r="M1879" s="458">
        <f t="shared" si="1064"/>
        <v>0</v>
      </c>
      <c r="N1879" s="459" t="str">
        <f t="shared" si="1075"/>
        <v/>
      </c>
      <c r="O1879" s="459" t="str">
        <f t="shared" si="1076"/>
        <v/>
      </c>
      <c r="P1879" s="459" t="str">
        <f t="shared" si="1077"/>
        <v/>
      </c>
      <c r="Q1879" s="459" t="str">
        <f t="shared" si="1078"/>
        <v/>
      </c>
      <c r="R1879" s="459" t="str">
        <f t="shared" si="1079"/>
        <v/>
      </c>
      <c r="S1879" s="459" t="str">
        <f t="shared" si="1080"/>
        <v/>
      </c>
      <c r="T1879" s="566" t="str">
        <f t="shared" si="1065"/>
        <v/>
      </c>
      <c r="U1879" s="702"/>
      <c r="V1879" s="132"/>
      <c r="W1879" s="133"/>
      <c r="X1879" s="134"/>
      <c r="Y1879" s="135"/>
      <c r="Z1879" s="137"/>
      <c r="AA1879" s="136"/>
      <c r="AB1879" s="566" t="str">
        <f t="shared" si="1066"/>
        <v/>
      </c>
      <c r="AC1879" s="568" t="str">
        <f t="shared" si="1067"/>
        <v/>
      </c>
      <c r="AD1879" s="137"/>
      <c r="AE1879" s="137"/>
      <c r="AF1879" s="138"/>
      <c r="AG1879" s="138"/>
      <c r="AH1879" s="592" t="str">
        <f t="shared" si="1068"/>
        <v/>
      </c>
      <c r="AI1879" s="592" t="str">
        <f t="shared" si="1069"/>
        <v/>
      </c>
      <c r="AJ1879" s="592" t="str">
        <f t="shared" si="1070"/>
        <v/>
      </c>
      <c r="AK1879" s="460" t="str">
        <f>IF(AU1879="","",IF(OR(AZ1879=8,AZ1879=9),0,IF(OR(AW1879=3,AW1879=4,AW1879=5,AW1879=6),IF(LEFT(BF1879,1)="1",INDEX(係数_NOX・PM低減,MATCH(AY1879,【参考】排出係数!$AI$801:$AI$804,1),1),VLOOKUP(AU1879,INDEX((係数_バス貨物_ガソリン,係数_バス貨物_CNG,係数_バス貨物_軽油,係数_バス貨物_メタノール,係数_バス貨物_LPG),MATCH(AY1879,【参考】排出係数!$AI$4:$AI$671,1),1,BE1879):INDEX((係数_バス貨物_ガソリン,係数_バス貨物_CNG,係数_バス貨物_軽油,係数_バス貨物_メタノール,係数_バス貨物_LPG),MATCH(AY1879+1,【参考】排出係数!$AI$4:$AI$671,1)-1,5,BE1879),4,FALSE)),IF(AND(BE1879=3,LEFT(BF1879,1)="1"),0.48,VLOOKUP(AU1879,INDEX((係数_乗用_ガソリン,係数_乗用_CNG,係数_乗用_軽油,係数_乗用_メタノール,係数_乗用_LPG),1,1,BE1879):INDEX((係数_乗用_ガソリン,係数_乗用_CNG,係数_乗用_軽油,係数_乗用_メタノール,係数_乗用_LPG),125,5,BE1879),4,FALSE)))))</f>
        <v/>
      </c>
      <c r="AL1879" s="461" t="str">
        <f t="shared" si="1071"/>
        <v/>
      </c>
      <c r="AM1879" s="460" t="str">
        <f>IF(AU1879="","",IF(OR(AZ1879=8,AZ1879=9),0,IF(OR(AW1879=3,AW1879=4,AW1879=5,AW1879=6),IF(LEFT(BH1879,1)="1",INDEX(係数_PM低減,MATCH(AY1879,【参考】排出係数!$AI$801:$AI$804,1),MATCH(BI1879,【参考】排出係数!$AL$798:$AO$798,1)),VLOOKUP(AU1879,INDEX((係数_バス貨物_ガソリン,係数_バス貨物_CNG,係数_バス貨物_軽油,係数_バス貨物_メタノール,係数_バス貨物_LPG),MATCH(AY1879,【参考】排出係数!$AI$4:$AI$671,1),1,BE1879):INDEX((係数_バス貨物_ガソリン,係数_バス貨物_CNG,係数_バス貨物_軽油,係数_バス貨物_メタノール,係数_バス貨物_LPG),MATCH(AY1879+1,【参考】排出係数!$AI$4:$AI$671,1)-1,5,BE1879),5,FALSE)),IF(AND(BE1879=3,LEFT(BF1879,1)="1"),0.055,VLOOKUP(AU1879,INDEX((係数_乗用_ガソリン,係数_乗用_CNG,係数_乗用_軽油,係数_乗用_メタノール,係数_乗用_LPG),1,1,BE1879):INDEX((係数_乗用_ガソリン,係数_乗用_CNG,係数_乗用_軽油,係数_乗用_メタノール,係数_乗用_LPG),125,5,BE1879),5,FALSE)))))</f>
        <v/>
      </c>
      <c r="AN1879" s="461" t="str">
        <f t="shared" si="1072"/>
        <v/>
      </c>
      <c r="AO1879" s="462" t="str">
        <f t="shared" si="1073"/>
        <v/>
      </c>
      <c r="AP1879" s="463" t="str">
        <f t="shared" si="1074"/>
        <v/>
      </c>
      <c r="AQ1879" s="464"/>
      <c r="AR1879" s="619"/>
      <c r="AS1879" s="465" t="str">
        <f t="shared" si="1082"/>
        <v/>
      </c>
      <c r="AT1879" s="465" t="str">
        <f t="shared" si="1083"/>
        <v/>
      </c>
      <c r="AU1879" s="466" t="str">
        <f t="shared" si="1084"/>
        <v/>
      </c>
      <c r="AV1879" s="467" t="str">
        <f t="shared" si="1085"/>
        <v/>
      </c>
      <c r="AW1879" s="467" t="str">
        <f t="shared" si="1086"/>
        <v/>
      </c>
      <c r="AX1879" s="467" t="str">
        <f t="shared" si="1087"/>
        <v/>
      </c>
      <c r="AY1879" s="467" t="str">
        <f t="shared" si="1088"/>
        <v/>
      </c>
      <c r="AZ1879" s="467" t="str">
        <f t="shared" si="1089"/>
        <v/>
      </c>
      <c r="BA1879" s="468" t="str">
        <f>IF(AS1879="","",IF(OR(AU1879="",AU1879="-"),"－",IF(OR(AZ1879=8,AZ1879=9),"",IF(OR(AW1879=3,AW1879=4,AW1879=5,AW1879=6),VLOOKUP(AU1879,INDEX((係数_バス貨物_ガソリン,係数_バス貨物_CNG,係数_バス貨物_軽油,係数_バス貨物_メタノール,係数_バス貨物_LPG),MATCH(AY1879,【参考】排出係数!$AI$4:$AI$671,1),1,BE1879):INDEX((係数_バス貨物_ガソリン,係数_バス貨物_CNG,係数_バス貨物_軽油,係数_バス貨物_メタノール,係数_バス貨物_LPG),MATCH(AY1879+1,【参考】排出係数!$AI$4:$AI$671,1)-1,5,BE1879),2,FALSE),IF(OR(AW1879=1,AW1879=2),VLOOKUP(AU1879,INDEX((係数_乗用_ガソリン,係数_乗用_CNG,係数_乗用_軽油,係数_乗用_メタノール,係数_乗用_LPG),1,1,BE1879):INDEX((係数_乗用_ガソリン,係数_乗用_CNG,係数_乗用_軽油,係数_乗用_メタノール,係数_乗用_LPG),125,5,BE1879),2,FALSE))))))</f>
        <v/>
      </c>
      <c r="BB1879" s="468" t="str">
        <f>IF(T1879="","",IF(OR(AU1879="",AU1879="-"),"－",IF(OR(AZ1879=8,AZ1879=9),"",IF(OR(AW1879=3,AW1879=4,AW1879=5,AW1879=6),VLOOKUP(AU1879,INDEX((係数_バス貨物_ガソリン,係数_バス貨物_CNG,係数_バス貨物_軽油,係数_バス貨物_メタノール,係数_バス貨物_LPG),MATCH(AY1879,【参考】排出係数!$AI$4:$AI$671,1),1,BE1879):INDEX((係数_バス貨物_ガソリン,係数_バス貨物_CNG,係数_バス貨物_軽油,係数_バス貨物_メタノール,係数_バス貨物_LPG),MATCH(AY1879+1,【参考】排出係数!$AI$4:$AI$671,1)-1,5,BE1879),3,FALSE),IF(OR(AW1879=1,AW1879=2),VLOOKUP(AU1879,INDEX((係数_乗用_ガソリン,係数_乗用_CNG,係数_乗用_軽油,係数_乗用_メタノール,係数_乗用_LPG),1,1,BE1879):INDEX((係数_乗用_ガソリン,係数_乗用_CNG,係数_乗用_軽油,係数_乗用_メタノール,係数_乗用_LPG),125,5,BE1879),3,FALSE))))))</f>
        <v/>
      </c>
      <c r="BC1879" s="467" t="str">
        <f t="shared" si="1090"/>
        <v/>
      </c>
      <c r="BD1879" s="567" t="str">
        <f t="shared" si="1091"/>
        <v/>
      </c>
      <c r="BE1879" s="467" t="str">
        <f t="shared" si="1092"/>
        <v/>
      </c>
      <c r="BF1879" s="469" t="str">
        <f t="shared" ca="1" si="1093"/>
        <v/>
      </c>
      <c r="BG1879" s="469" t="str">
        <f t="shared" ca="1" si="1094"/>
        <v/>
      </c>
      <c r="BH1879" s="467" t="str">
        <f t="shared" si="1095"/>
        <v/>
      </c>
      <c r="BI1879" s="467" t="str">
        <f t="shared" ca="1" si="1096"/>
        <v/>
      </c>
      <c r="BJ1879" s="469" t="str">
        <f t="shared" si="1097"/>
        <v/>
      </c>
      <c r="BK1879" s="470" t="str">
        <f t="shared" si="1081"/>
        <v/>
      </c>
      <c r="BL1879" s="775" t="str">
        <f t="shared" si="1098"/>
        <v/>
      </c>
      <c r="BM1879" s="775" t="str">
        <f t="shared" si="1099"/>
        <v/>
      </c>
    </row>
    <row r="1880" spans="1:65">
      <c r="A1880" s="473">
        <v>1824</v>
      </c>
      <c r="B1880" s="132"/>
      <c r="C1880" s="332"/>
      <c r="D1880" s="333"/>
      <c r="E1880" s="333"/>
      <c r="F1880" s="334"/>
      <c r="G1880" s="337"/>
      <c r="H1880" s="131"/>
      <c r="I1880" s="337"/>
      <c r="J1880" s="131"/>
      <c r="K1880" s="458" t="str">
        <f t="shared" si="1062"/>
        <v/>
      </c>
      <c r="L1880" s="458">
        <f t="shared" si="1063"/>
        <v>0</v>
      </c>
      <c r="M1880" s="458">
        <f t="shared" si="1064"/>
        <v>0</v>
      </c>
      <c r="N1880" s="459" t="str">
        <f t="shared" si="1075"/>
        <v/>
      </c>
      <c r="O1880" s="459" t="str">
        <f t="shared" si="1076"/>
        <v/>
      </c>
      <c r="P1880" s="459" t="str">
        <f t="shared" si="1077"/>
        <v/>
      </c>
      <c r="Q1880" s="459" t="str">
        <f t="shared" si="1078"/>
        <v/>
      </c>
      <c r="R1880" s="459" t="str">
        <f t="shared" si="1079"/>
        <v/>
      </c>
      <c r="S1880" s="459" t="str">
        <f t="shared" si="1080"/>
        <v/>
      </c>
      <c r="T1880" s="566" t="str">
        <f t="shared" si="1065"/>
        <v/>
      </c>
      <c r="U1880" s="702"/>
      <c r="V1880" s="132"/>
      <c r="W1880" s="133"/>
      <c r="X1880" s="134"/>
      <c r="Y1880" s="135"/>
      <c r="Z1880" s="137"/>
      <c r="AA1880" s="136"/>
      <c r="AB1880" s="566" t="str">
        <f t="shared" si="1066"/>
        <v/>
      </c>
      <c r="AC1880" s="568" t="str">
        <f t="shared" si="1067"/>
        <v/>
      </c>
      <c r="AD1880" s="137"/>
      <c r="AE1880" s="137"/>
      <c r="AF1880" s="138"/>
      <c r="AG1880" s="138"/>
      <c r="AH1880" s="592" t="str">
        <f t="shared" si="1068"/>
        <v/>
      </c>
      <c r="AI1880" s="592" t="str">
        <f t="shared" si="1069"/>
        <v/>
      </c>
      <c r="AJ1880" s="592" t="str">
        <f t="shared" si="1070"/>
        <v/>
      </c>
      <c r="AK1880" s="460" t="str">
        <f>IF(AU1880="","",IF(OR(AZ1880=8,AZ1880=9),0,IF(OR(AW1880=3,AW1880=4,AW1880=5,AW1880=6),IF(LEFT(BF1880,1)="1",INDEX(係数_NOX・PM低減,MATCH(AY1880,【参考】排出係数!$AI$801:$AI$804,1),1),VLOOKUP(AU1880,INDEX((係数_バス貨物_ガソリン,係数_バス貨物_CNG,係数_バス貨物_軽油,係数_バス貨物_メタノール,係数_バス貨物_LPG),MATCH(AY1880,【参考】排出係数!$AI$4:$AI$671,1),1,BE1880):INDEX((係数_バス貨物_ガソリン,係数_バス貨物_CNG,係数_バス貨物_軽油,係数_バス貨物_メタノール,係数_バス貨物_LPG),MATCH(AY1880+1,【参考】排出係数!$AI$4:$AI$671,1)-1,5,BE1880),4,FALSE)),IF(AND(BE1880=3,LEFT(BF1880,1)="1"),0.48,VLOOKUP(AU1880,INDEX((係数_乗用_ガソリン,係数_乗用_CNG,係数_乗用_軽油,係数_乗用_メタノール,係数_乗用_LPG),1,1,BE1880):INDEX((係数_乗用_ガソリン,係数_乗用_CNG,係数_乗用_軽油,係数_乗用_メタノール,係数_乗用_LPG),125,5,BE1880),4,FALSE)))))</f>
        <v/>
      </c>
      <c r="AL1880" s="461" t="str">
        <f t="shared" si="1071"/>
        <v/>
      </c>
      <c r="AM1880" s="460" t="str">
        <f>IF(AU1880="","",IF(OR(AZ1880=8,AZ1880=9),0,IF(OR(AW1880=3,AW1880=4,AW1880=5,AW1880=6),IF(LEFT(BH1880,1)="1",INDEX(係数_PM低減,MATCH(AY1880,【参考】排出係数!$AI$801:$AI$804,1),MATCH(BI1880,【参考】排出係数!$AL$798:$AO$798,1)),VLOOKUP(AU1880,INDEX((係数_バス貨物_ガソリン,係数_バス貨物_CNG,係数_バス貨物_軽油,係数_バス貨物_メタノール,係数_バス貨物_LPG),MATCH(AY1880,【参考】排出係数!$AI$4:$AI$671,1),1,BE1880):INDEX((係数_バス貨物_ガソリン,係数_バス貨物_CNG,係数_バス貨物_軽油,係数_バス貨物_メタノール,係数_バス貨物_LPG),MATCH(AY1880+1,【参考】排出係数!$AI$4:$AI$671,1)-1,5,BE1880),5,FALSE)),IF(AND(BE1880=3,LEFT(BF1880,1)="1"),0.055,VLOOKUP(AU1880,INDEX((係数_乗用_ガソリン,係数_乗用_CNG,係数_乗用_軽油,係数_乗用_メタノール,係数_乗用_LPG),1,1,BE1880):INDEX((係数_乗用_ガソリン,係数_乗用_CNG,係数_乗用_軽油,係数_乗用_メタノール,係数_乗用_LPG),125,5,BE1880),5,FALSE)))))</f>
        <v/>
      </c>
      <c r="AN1880" s="461" t="str">
        <f t="shared" si="1072"/>
        <v/>
      </c>
      <c r="AO1880" s="462" t="str">
        <f t="shared" si="1073"/>
        <v/>
      </c>
      <c r="AP1880" s="463" t="str">
        <f t="shared" si="1074"/>
        <v/>
      </c>
      <c r="AQ1880" s="464"/>
      <c r="AR1880" s="619"/>
      <c r="AS1880" s="465" t="str">
        <f t="shared" si="1082"/>
        <v/>
      </c>
      <c r="AT1880" s="465" t="str">
        <f t="shared" si="1083"/>
        <v/>
      </c>
      <c r="AU1880" s="466" t="str">
        <f t="shared" si="1084"/>
        <v/>
      </c>
      <c r="AV1880" s="467" t="str">
        <f t="shared" si="1085"/>
        <v/>
      </c>
      <c r="AW1880" s="467" t="str">
        <f t="shared" si="1086"/>
        <v/>
      </c>
      <c r="AX1880" s="467" t="str">
        <f t="shared" si="1087"/>
        <v/>
      </c>
      <c r="AY1880" s="467" t="str">
        <f t="shared" si="1088"/>
        <v/>
      </c>
      <c r="AZ1880" s="467" t="str">
        <f t="shared" si="1089"/>
        <v/>
      </c>
      <c r="BA1880" s="468" t="str">
        <f>IF(AS1880="","",IF(OR(AU1880="",AU1880="-"),"－",IF(OR(AZ1880=8,AZ1880=9),"",IF(OR(AW1880=3,AW1880=4,AW1880=5,AW1880=6),VLOOKUP(AU1880,INDEX((係数_バス貨物_ガソリン,係数_バス貨物_CNG,係数_バス貨物_軽油,係数_バス貨物_メタノール,係数_バス貨物_LPG),MATCH(AY1880,【参考】排出係数!$AI$4:$AI$671,1),1,BE1880):INDEX((係数_バス貨物_ガソリン,係数_バス貨物_CNG,係数_バス貨物_軽油,係数_バス貨物_メタノール,係数_バス貨物_LPG),MATCH(AY1880+1,【参考】排出係数!$AI$4:$AI$671,1)-1,5,BE1880),2,FALSE),IF(OR(AW1880=1,AW1880=2),VLOOKUP(AU1880,INDEX((係数_乗用_ガソリン,係数_乗用_CNG,係数_乗用_軽油,係数_乗用_メタノール,係数_乗用_LPG),1,1,BE1880):INDEX((係数_乗用_ガソリン,係数_乗用_CNG,係数_乗用_軽油,係数_乗用_メタノール,係数_乗用_LPG),125,5,BE1880),2,FALSE))))))</f>
        <v/>
      </c>
      <c r="BB1880" s="468" t="str">
        <f>IF(T1880="","",IF(OR(AU1880="",AU1880="-"),"－",IF(OR(AZ1880=8,AZ1880=9),"",IF(OR(AW1880=3,AW1880=4,AW1880=5,AW1880=6),VLOOKUP(AU1880,INDEX((係数_バス貨物_ガソリン,係数_バス貨物_CNG,係数_バス貨物_軽油,係数_バス貨物_メタノール,係数_バス貨物_LPG),MATCH(AY1880,【参考】排出係数!$AI$4:$AI$671,1),1,BE1880):INDEX((係数_バス貨物_ガソリン,係数_バス貨物_CNG,係数_バス貨物_軽油,係数_バス貨物_メタノール,係数_バス貨物_LPG),MATCH(AY1880+1,【参考】排出係数!$AI$4:$AI$671,1)-1,5,BE1880),3,FALSE),IF(OR(AW1880=1,AW1880=2),VLOOKUP(AU1880,INDEX((係数_乗用_ガソリン,係数_乗用_CNG,係数_乗用_軽油,係数_乗用_メタノール,係数_乗用_LPG),1,1,BE1880):INDEX((係数_乗用_ガソリン,係数_乗用_CNG,係数_乗用_軽油,係数_乗用_メタノール,係数_乗用_LPG),125,5,BE1880),3,FALSE))))))</f>
        <v/>
      </c>
      <c r="BC1880" s="467" t="str">
        <f t="shared" si="1090"/>
        <v/>
      </c>
      <c r="BD1880" s="567" t="str">
        <f t="shared" si="1091"/>
        <v/>
      </c>
      <c r="BE1880" s="467" t="str">
        <f t="shared" si="1092"/>
        <v/>
      </c>
      <c r="BF1880" s="469" t="str">
        <f t="shared" ca="1" si="1093"/>
        <v/>
      </c>
      <c r="BG1880" s="469" t="str">
        <f t="shared" ca="1" si="1094"/>
        <v/>
      </c>
      <c r="BH1880" s="467" t="str">
        <f t="shared" si="1095"/>
        <v/>
      </c>
      <c r="BI1880" s="467" t="str">
        <f t="shared" ca="1" si="1096"/>
        <v/>
      </c>
      <c r="BJ1880" s="469" t="str">
        <f t="shared" si="1097"/>
        <v/>
      </c>
      <c r="BK1880" s="470" t="str">
        <f t="shared" si="1081"/>
        <v/>
      </c>
      <c r="BL1880" s="775" t="str">
        <f t="shared" si="1098"/>
        <v/>
      </c>
      <c r="BM1880" s="775" t="str">
        <f t="shared" si="1099"/>
        <v/>
      </c>
    </row>
    <row r="1881" spans="1:65">
      <c r="A1881" s="473">
        <v>1825</v>
      </c>
      <c r="B1881" s="132"/>
      <c r="C1881" s="332"/>
      <c r="D1881" s="333"/>
      <c r="E1881" s="333"/>
      <c r="F1881" s="334"/>
      <c r="G1881" s="337"/>
      <c r="H1881" s="131"/>
      <c r="I1881" s="337"/>
      <c r="J1881" s="131"/>
      <c r="K1881" s="458" t="str">
        <f t="shared" si="1062"/>
        <v/>
      </c>
      <c r="L1881" s="458">
        <f t="shared" si="1063"/>
        <v>0</v>
      </c>
      <c r="M1881" s="458">
        <f t="shared" si="1064"/>
        <v>0</v>
      </c>
      <c r="N1881" s="459" t="str">
        <f t="shared" si="1075"/>
        <v/>
      </c>
      <c r="O1881" s="459" t="str">
        <f t="shared" si="1076"/>
        <v/>
      </c>
      <c r="P1881" s="459" t="str">
        <f t="shared" si="1077"/>
        <v/>
      </c>
      <c r="Q1881" s="459" t="str">
        <f t="shared" si="1078"/>
        <v/>
      </c>
      <c r="R1881" s="459" t="str">
        <f t="shared" si="1079"/>
        <v/>
      </c>
      <c r="S1881" s="459" t="str">
        <f t="shared" si="1080"/>
        <v/>
      </c>
      <c r="T1881" s="566" t="str">
        <f t="shared" si="1065"/>
        <v/>
      </c>
      <c r="U1881" s="702"/>
      <c r="V1881" s="132"/>
      <c r="W1881" s="133"/>
      <c r="X1881" s="134"/>
      <c r="Y1881" s="135"/>
      <c r="Z1881" s="137"/>
      <c r="AA1881" s="136"/>
      <c r="AB1881" s="566" t="str">
        <f t="shared" si="1066"/>
        <v/>
      </c>
      <c r="AC1881" s="568" t="str">
        <f t="shared" si="1067"/>
        <v/>
      </c>
      <c r="AD1881" s="137"/>
      <c r="AE1881" s="137"/>
      <c r="AF1881" s="138"/>
      <c r="AG1881" s="138"/>
      <c r="AH1881" s="592" t="str">
        <f t="shared" si="1068"/>
        <v/>
      </c>
      <c r="AI1881" s="592" t="str">
        <f t="shared" si="1069"/>
        <v/>
      </c>
      <c r="AJ1881" s="592" t="str">
        <f t="shared" si="1070"/>
        <v/>
      </c>
      <c r="AK1881" s="460" t="str">
        <f>IF(AU1881="","",IF(OR(AZ1881=8,AZ1881=9),0,IF(OR(AW1881=3,AW1881=4,AW1881=5,AW1881=6),IF(LEFT(BF1881,1)="1",INDEX(係数_NOX・PM低減,MATCH(AY1881,【参考】排出係数!$AI$801:$AI$804,1),1),VLOOKUP(AU1881,INDEX((係数_バス貨物_ガソリン,係数_バス貨物_CNG,係数_バス貨物_軽油,係数_バス貨物_メタノール,係数_バス貨物_LPG),MATCH(AY1881,【参考】排出係数!$AI$4:$AI$671,1),1,BE1881):INDEX((係数_バス貨物_ガソリン,係数_バス貨物_CNG,係数_バス貨物_軽油,係数_バス貨物_メタノール,係数_バス貨物_LPG),MATCH(AY1881+1,【参考】排出係数!$AI$4:$AI$671,1)-1,5,BE1881),4,FALSE)),IF(AND(BE1881=3,LEFT(BF1881,1)="1"),0.48,VLOOKUP(AU1881,INDEX((係数_乗用_ガソリン,係数_乗用_CNG,係数_乗用_軽油,係数_乗用_メタノール,係数_乗用_LPG),1,1,BE1881):INDEX((係数_乗用_ガソリン,係数_乗用_CNG,係数_乗用_軽油,係数_乗用_メタノール,係数_乗用_LPG),125,5,BE1881),4,FALSE)))))</f>
        <v/>
      </c>
      <c r="AL1881" s="461" t="str">
        <f t="shared" si="1071"/>
        <v/>
      </c>
      <c r="AM1881" s="460" t="str">
        <f>IF(AU1881="","",IF(OR(AZ1881=8,AZ1881=9),0,IF(OR(AW1881=3,AW1881=4,AW1881=5,AW1881=6),IF(LEFT(BH1881,1)="1",INDEX(係数_PM低減,MATCH(AY1881,【参考】排出係数!$AI$801:$AI$804,1),MATCH(BI1881,【参考】排出係数!$AL$798:$AO$798,1)),VLOOKUP(AU1881,INDEX((係数_バス貨物_ガソリン,係数_バス貨物_CNG,係数_バス貨物_軽油,係数_バス貨物_メタノール,係数_バス貨物_LPG),MATCH(AY1881,【参考】排出係数!$AI$4:$AI$671,1),1,BE1881):INDEX((係数_バス貨物_ガソリン,係数_バス貨物_CNG,係数_バス貨物_軽油,係数_バス貨物_メタノール,係数_バス貨物_LPG),MATCH(AY1881+1,【参考】排出係数!$AI$4:$AI$671,1)-1,5,BE1881),5,FALSE)),IF(AND(BE1881=3,LEFT(BF1881,1)="1"),0.055,VLOOKUP(AU1881,INDEX((係数_乗用_ガソリン,係数_乗用_CNG,係数_乗用_軽油,係数_乗用_メタノール,係数_乗用_LPG),1,1,BE1881):INDEX((係数_乗用_ガソリン,係数_乗用_CNG,係数_乗用_軽油,係数_乗用_メタノール,係数_乗用_LPG),125,5,BE1881),5,FALSE)))))</f>
        <v/>
      </c>
      <c r="AN1881" s="461" t="str">
        <f t="shared" si="1072"/>
        <v/>
      </c>
      <c r="AO1881" s="462" t="str">
        <f t="shared" si="1073"/>
        <v/>
      </c>
      <c r="AP1881" s="463" t="str">
        <f t="shared" si="1074"/>
        <v/>
      </c>
      <c r="AQ1881" s="464"/>
      <c r="AR1881" s="619"/>
      <c r="AS1881" s="465" t="str">
        <f t="shared" si="1082"/>
        <v/>
      </c>
      <c r="AT1881" s="465" t="str">
        <f t="shared" si="1083"/>
        <v/>
      </c>
      <c r="AU1881" s="466" t="str">
        <f t="shared" si="1084"/>
        <v/>
      </c>
      <c r="AV1881" s="467" t="str">
        <f t="shared" si="1085"/>
        <v/>
      </c>
      <c r="AW1881" s="467" t="str">
        <f t="shared" si="1086"/>
        <v/>
      </c>
      <c r="AX1881" s="467" t="str">
        <f t="shared" si="1087"/>
        <v/>
      </c>
      <c r="AY1881" s="467" t="str">
        <f t="shared" si="1088"/>
        <v/>
      </c>
      <c r="AZ1881" s="467" t="str">
        <f t="shared" si="1089"/>
        <v/>
      </c>
      <c r="BA1881" s="468" t="str">
        <f>IF(AS1881="","",IF(OR(AU1881="",AU1881="-"),"－",IF(OR(AZ1881=8,AZ1881=9),"",IF(OR(AW1881=3,AW1881=4,AW1881=5,AW1881=6),VLOOKUP(AU1881,INDEX((係数_バス貨物_ガソリン,係数_バス貨物_CNG,係数_バス貨物_軽油,係数_バス貨物_メタノール,係数_バス貨物_LPG),MATCH(AY1881,【参考】排出係数!$AI$4:$AI$671,1),1,BE1881):INDEX((係数_バス貨物_ガソリン,係数_バス貨物_CNG,係数_バス貨物_軽油,係数_バス貨物_メタノール,係数_バス貨物_LPG),MATCH(AY1881+1,【参考】排出係数!$AI$4:$AI$671,1)-1,5,BE1881),2,FALSE),IF(OR(AW1881=1,AW1881=2),VLOOKUP(AU1881,INDEX((係数_乗用_ガソリン,係数_乗用_CNG,係数_乗用_軽油,係数_乗用_メタノール,係数_乗用_LPG),1,1,BE1881):INDEX((係数_乗用_ガソリン,係数_乗用_CNG,係数_乗用_軽油,係数_乗用_メタノール,係数_乗用_LPG),125,5,BE1881),2,FALSE))))))</f>
        <v/>
      </c>
      <c r="BB1881" s="468" t="str">
        <f>IF(T1881="","",IF(OR(AU1881="",AU1881="-"),"－",IF(OR(AZ1881=8,AZ1881=9),"",IF(OR(AW1881=3,AW1881=4,AW1881=5,AW1881=6),VLOOKUP(AU1881,INDEX((係数_バス貨物_ガソリン,係数_バス貨物_CNG,係数_バス貨物_軽油,係数_バス貨物_メタノール,係数_バス貨物_LPG),MATCH(AY1881,【参考】排出係数!$AI$4:$AI$671,1),1,BE1881):INDEX((係数_バス貨物_ガソリン,係数_バス貨物_CNG,係数_バス貨物_軽油,係数_バス貨物_メタノール,係数_バス貨物_LPG),MATCH(AY1881+1,【参考】排出係数!$AI$4:$AI$671,1)-1,5,BE1881),3,FALSE),IF(OR(AW1881=1,AW1881=2),VLOOKUP(AU1881,INDEX((係数_乗用_ガソリン,係数_乗用_CNG,係数_乗用_軽油,係数_乗用_メタノール,係数_乗用_LPG),1,1,BE1881):INDEX((係数_乗用_ガソリン,係数_乗用_CNG,係数_乗用_軽油,係数_乗用_メタノール,係数_乗用_LPG),125,5,BE1881),3,FALSE))))))</f>
        <v/>
      </c>
      <c r="BC1881" s="467" t="str">
        <f t="shared" si="1090"/>
        <v/>
      </c>
      <c r="BD1881" s="567" t="str">
        <f t="shared" si="1091"/>
        <v/>
      </c>
      <c r="BE1881" s="467" t="str">
        <f t="shared" si="1092"/>
        <v/>
      </c>
      <c r="BF1881" s="469" t="str">
        <f t="shared" ca="1" si="1093"/>
        <v/>
      </c>
      <c r="BG1881" s="469" t="str">
        <f t="shared" ca="1" si="1094"/>
        <v/>
      </c>
      <c r="BH1881" s="467" t="str">
        <f t="shared" si="1095"/>
        <v/>
      </c>
      <c r="BI1881" s="467" t="str">
        <f t="shared" ca="1" si="1096"/>
        <v/>
      </c>
      <c r="BJ1881" s="469" t="str">
        <f t="shared" si="1097"/>
        <v/>
      </c>
      <c r="BK1881" s="470" t="str">
        <f t="shared" si="1081"/>
        <v/>
      </c>
      <c r="BL1881" s="775" t="str">
        <f t="shared" si="1098"/>
        <v/>
      </c>
      <c r="BM1881" s="775" t="str">
        <f t="shared" si="1099"/>
        <v/>
      </c>
    </row>
    <row r="1882" spans="1:65">
      <c r="A1882" s="473">
        <v>1826</v>
      </c>
      <c r="B1882" s="132"/>
      <c r="C1882" s="332"/>
      <c r="D1882" s="333"/>
      <c r="E1882" s="333"/>
      <c r="F1882" s="334"/>
      <c r="G1882" s="337"/>
      <c r="H1882" s="131"/>
      <c r="I1882" s="337"/>
      <c r="J1882" s="131"/>
      <c r="K1882" s="458" t="str">
        <f t="shared" si="1062"/>
        <v/>
      </c>
      <c r="L1882" s="458">
        <f t="shared" si="1063"/>
        <v>0</v>
      </c>
      <c r="M1882" s="458">
        <f t="shared" si="1064"/>
        <v>0</v>
      </c>
      <c r="N1882" s="459" t="str">
        <f t="shared" si="1075"/>
        <v/>
      </c>
      <c r="O1882" s="459" t="str">
        <f t="shared" si="1076"/>
        <v/>
      </c>
      <c r="P1882" s="459" t="str">
        <f t="shared" si="1077"/>
        <v/>
      </c>
      <c r="Q1882" s="459" t="str">
        <f t="shared" si="1078"/>
        <v/>
      </c>
      <c r="R1882" s="459" t="str">
        <f t="shared" si="1079"/>
        <v/>
      </c>
      <c r="S1882" s="459" t="str">
        <f t="shared" si="1080"/>
        <v/>
      </c>
      <c r="T1882" s="566" t="str">
        <f t="shared" si="1065"/>
        <v/>
      </c>
      <c r="U1882" s="702"/>
      <c r="V1882" s="132"/>
      <c r="W1882" s="133"/>
      <c r="X1882" s="134"/>
      <c r="Y1882" s="135"/>
      <c r="Z1882" s="137"/>
      <c r="AA1882" s="136"/>
      <c r="AB1882" s="566" t="str">
        <f t="shared" si="1066"/>
        <v/>
      </c>
      <c r="AC1882" s="568" t="str">
        <f t="shared" si="1067"/>
        <v/>
      </c>
      <c r="AD1882" s="137"/>
      <c r="AE1882" s="137"/>
      <c r="AF1882" s="138"/>
      <c r="AG1882" s="138"/>
      <c r="AH1882" s="592" t="str">
        <f t="shared" si="1068"/>
        <v/>
      </c>
      <c r="AI1882" s="592" t="str">
        <f t="shared" si="1069"/>
        <v/>
      </c>
      <c r="AJ1882" s="592" t="str">
        <f t="shared" si="1070"/>
        <v/>
      </c>
      <c r="AK1882" s="460" t="str">
        <f>IF(AU1882="","",IF(OR(AZ1882=8,AZ1882=9),0,IF(OR(AW1882=3,AW1882=4,AW1882=5,AW1882=6),IF(LEFT(BF1882,1)="1",INDEX(係数_NOX・PM低減,MATCH(AY1882,【参考】排出係数!$AI$801:$AI$804,1),1),VLOOKUP(AU1882,INDEX((係数_バス貨物_ガソリン,係数_バス貨物_CNG,係数_バス貨物_軽油,係数_バス貨物_メタノール,係数_バス貨物_LPG),MATCH(AY1882,【参考】排出係数!$AI$4:$AI$671,1),1,BE1882):INDEX((係数_バス貨物_ガソリン,係数_バス貨物_CNG,係数_バス貨物_軽油,係数_バス貨物_メタノール,係数_バス貨物_LPG),MATCH(AY1882+1,【参考】排出係数!$AI$4:$AI$671,1)-1,5,BE1882),4,FALSE)),IF(AND(BE1882=3,LEFT(BF1882,1)="1"),0.48,VLOOKUP(AU1882,INDEX((係数_乗用_ガソリン,係数_乗用_CNG,係数_乗用_軽油,係数_乗用_メタノール,係数_乗用_LPG),1,1,BE1882):INDEX((係数_乗用_ガソリン,係数_乗用_CNG,係数_乗用_軽油,係数_乗用_メタノール,係数_乗用_LPG),125,5,BE1882),4,FALSE)))))</f>
        <v/>
      </c>
      <c r="AL1882" s="461" t="str">
        <f t="shared" si="1071"/>
        <v/>
      </c>
      <c r="AM1882" s="460" t="str">
        <f>IF(AU1882="","",IF(OR(AZ1882=8,AZ1882=9),0,IF(OR(AW1882=3,AW1882=4,AW1882=5,AW1882=6),IF(LEFT(BH1882,1)="1",INDEX(係数_PM低減,MATCH(AY1882,【参考】排出係数!$AI$801:$AI$804,1),MATCH(BI1882,【参考】排出係数!$AL$798:$AO$798,1)),VLOOKUP(AU1882,INDEX((係数_バス貨物_ガソリン,係数_バス貨物_CNG,係数_バス貨物_軽油,係数_バス貨物_メタノール,係数_バス貨物_LPG),MATCH(AY1882,【参考】排出係数!$AI$4:$AI$671,1),1,BE1882):INDEX((係数_バス貨物_ガソリン,係数_バス貨物_CNG,係数_バス貨物_軽油,係数_バス貨物_メタノール,係数_バス貨物_LPG),MATCH(AY1882+1,【参考】排出係数!$AI$4:$AI$671,1)-1,5,BE1882),5,FALSE)),IF(AND(BE1882=3,LEFT(BF1882,1)="1"),0.055,VLOOKUP(AU1882,INDEX((係数_乗用_ガソリン,係数_乗用_CNG,係数_乗用_軽油,係数_乗用_メタノール,係数_乗用_LPG),1,1,BE1882):INDEX((係数_乗用_ガソリン,係数_乗用_CNG,係数_乗用_軽油,係数_乗用_メタノール,係数_乗用_LPG),125,5,BE1882),5,FALSE)))))</f>
        <v/>
      </c>
      <c r="AN1882" s="461" t="str">
        <f t="shared" si="1072"/>
        <v/>
      </c>
      <c r="AO1882" s="462" t="str">
        <f t="shared" si="1073"/>
        <v/>
      </c>
      <c r="AP1882" s="463" t="str">
        <f t="shared" si="1074"/>
        <v/>
      </c>
      <c r="AQ1882" s="464"/>
      <c r="AR1882" s="619"/>
      <c r="AS1882" s="465" t="str">
        <f t="shared" si="1082"/>
        <v/>
      </c>
      <c r="AT1882" s="465" t="str">
        <f t="shared" si="1083"/>
        <v/>
      </c>
      <c r="AU1882" s="466" t="str">
        <f t="shared" si="1084"/>
        <v/>
      </c>
      <c r="AV1882" s="467" t="str">
        <f t="shared" si="1085"/>
        <v/>
      </c>
      <c r="AW1882" s="467" t="str">
        <f t="shared" si="1086"/>
        <v/>
      </c>
      <c r="AX1882" s="467" t="str">
        <f t="shared" si="1087"/>
        <v/>
      </c>
      <c r="AY1882" s="467" t="str">
        <f t="shared" si="1088"/>
        <v/>
      </c>
      <c r="AZ1882" s="467" t="str">
        <f t="shared" si="1089"/>
        <v/>
      </c>
      <c r="BA1882" s="468" t="str">
        <f>IF(AS1882="","",IF(OR(AU1882="",AU1882="-"),"－",IF(OR(AZ1882=8,AZ1882=9),"",IF(OR(AW1882=3,AW1882=4,AW1882=5,AW1882=6),VLOOKUP(AU1882,INDEX((係数_バス貨物_ガソリン,係数_バス貨物_CNG,係数_バス貨物_軽油,係数_バス貨物_メタノール,係数_バス貨物_LPG),MATCH(AY1882,【参考】排出係数!$AI$4:$AI$671,1),1,BE1882):INDEX((係数_バス貨物_ガソリン,係数_バス貨物_CNG,係数_バス貨物_軽油,係数_バス貨物_メタノール,係数_バス貨物_LPG),MATCH(AY1882+1,【参考】排出係数!$AI$4:$AI$671,1)-1,5,BE1882),2,FALSE),IF(OR(AW1882=1,AW1882=2),VLOOKUP(AU1882,INDEX((係数_乗用_ガソリン,係数_乗用_CNG,係数_乗用_軽油,係数_乗用_メタノール,係数_乗用_LPG),1,1,BE1882):INDEX((係数_乗用_ガソリン,係数_乗用_CNG,係数_乗用_軽油,係数_乗用_メタノール,係数_乗用_LPG),125,5,BE1882),2,FALSE))))))</f>
        <v/>
      </c>
      <c r="BB1882" s="468" t="str">
        <f>IF(T1882="","",IF(OR(AU1882="",AU1882="-"),"－",IF(OR(AZ1882=8,AZ1882=9),"",IF(OR(AW1882=3,AW1882=4,AW1882=5,AW1882=6),VLOOKUP(AU1882,INDEX((係数_バス貨物_ガソリン,係数_バス貨物_CNG,係数_バス貨物_軽油,係数_バス貨物_メタノール,係数_バス貨物_LPG),MATCH(AY1882,【参考】排出係数!$AI$4:$AI$671,1),1,BE1882):INDEX((係数_バス貨物_ガソリン,係数_バス貨物_CNG,係数_バス貨物_軽油,係数_バス貨物_メタノール,係数_バス貨物_LPG),MATCH(AY1882+1,【参考】排出係数!$AI$4:$AI$671,1)-1,5,BE1882),3,FALSE),IF(OR(AW1882=1,AW1882=2),VLOOKUP(AU1882,INDEX((係数_乗用_ガソリン,係数_乗用_CNG,係数_乗用_軽油,係数_乗用_メタノール,係数_乗用_LPG),1,1,BE1882):INDEX((係数_乗用_ガソリン,係数_乗用_CNG,係数_乗用_軽油,係数_乗用_メタノール,係数_乗用_LPG),125,5,BE1882),3,FALSE))))))</f>
        <v/>
      </c>
      <c r="BC1882" s="467" t="str">
        <f t="shared" si="1090"/>
        <v/>
      </c>
      <c r="BD1882" s="567" t="str">
        <f t="shared" si="1091"/>
        <v/>
      </c>
      <c r="BE1882" s="467" t="str">
        <f t="shared" si="1092"/>
        <v/>
      </c>
      <c r="BF1882" s="469" t="str">
        <f t="shared" ca="1" si="1093"/>
        <v/>
      </c>
      <c r="BG1882" s="469" t="str">
        <f t="shared" ca="1" si="1094"/>
        <v/>
      </c>
      <c r="BH1882" s="467" t="str">
        <f t="shared" si="1095"/>
        <v/>
      </c>
      <c r="BI1882" s="467" t="str">
        <f t="shared" ca="1" si="1096"/>
        <v/>
      </c>
      <c r="BJ1882" s="469" t="str">
        <f t="shared" si="1097"/>
        <v/>
      </c>
      <c r="BK1882" s="470" t="str">
        <f t="shared" si="1081"/>
        <v/>
      </c>
      <c r="BL1882" s="775" t="str">
        <f t="shared" si="1098"/>
        <v/>
      </c>
      <c r="BM1882" s="775" t="str">
        <f t="shared" si="1099"/>
        <v/>
      </c>
    </row>
    <row r="1883" spans="1:65">
      <c r="A1883" s="473">
        <v>1827</v>
      </c>
      <c r="B1883" s="132"/>
      <c r="C1883" s="332"/>
      <c r="D1883" s="333"/>
      <c r="E1883" s="333"/>
      <c r="F1883" s="334"/>
      <c r="G1883" s="337"/>
      <c r="H1883" s="131"/>
      <c r="I1883" s="337"/>
      <c r="J1883" s="131"/>
      <c r="K1883" s="458" t="str">
        <f t="shared" si="1062"/>
        <v/>
      </c>
      <c r="L1883" s="458">
        <f t="shared" si="1063"/>
        <v>0</v>
      </c>
      <c r="M1883" s="458">
        <f t="shared" si="1064"/>
        <v>0</v>
      </c>
      <c r="N1883" s="459" t="str">
        <f t="shared" si="1075"/>
        <v/>
      </c>
      <c r="O1883" s="459" t="str">
        <f t="shared" si="1076"/>
        <v/>
      </c>
      <c r="P1883" s="459" t="str">
        <f t="shared" si="1077"/>
        <v/>
      </c>
      <c r="Q1883" s="459" t="str">
        <f t="shared" si="1078"/>
        <v/>
      </c>
      <c r="R1883" s="459" t="str">
        <f t="shared" si="1079"/>
        <v/>
      </c>
      <c r="S1883" s="459" t="str">
        <f t="shared" si="1080"/>
        <v/>
      </c>
      <c r="T1883" s="566" t="str">
        <f t="shared" si="1065"/>
        <v/>
      </c>
      <c r="U1883" s="702"/>
      <c r="V1883" s="132"/>
      <c r="W1883" s="133"/>
      <c r="X1883" s="134"/>
      <c r="Y1883" s="135"/>
      <c r="Z1883" s="137"/>
      <c r="AA1883" s="136"/>
      <c r="AB1883" s="566" t="str">
        <f t="shared" si="1066"/>
        <v/>
      </c>
      <c r="AC1883" s="568" t="str">
        <f t="shared" si="1067"/>
        <v/>
      </c>
      <c r="AD1883" s="137"/>
      <c r="AE1883" s="137"/>
      <c r="AF1883" s="138"/>
      <c r="AG1883" s="138"/>
      <c r="AH1883" s="592" t="str">
        <f t="shared" si="1068"/>
        <v/>
      </c>
      <c r="AI1883" s="592" t="str">
        <f t="shared" si="1069"/>
        <v/>
      </c>
      <c r="AJ1883" s="592" t="str">
        <f t="shared" si="1070"/>
        <v/>
      </c>
      <c r="AK1883" s="460" t="str">
        <f>IF(AU1883="","",IF(OR(AZ1883=8,AZ1883=9),0,IF(OR(AW1883=3,AW1883=4,AW1883=5,AW1883=6),IF(LEFT(BF1883,1)="1",INDEX(係数_NOX・PM低減,MATCH(AY1883,【参考】排出係数!$AI$801:$AI$804,1),1),VLOOKUP(AU1883,INDEX((係数_バス貨物_ガソリン,係数_バス貨物_CNG,係数_バス貨物_軽油,係数_バス貨物_メタノール,係数_バス貨物_LPG),MATCH(AY1883,【参考】排出係数!$AI$4:$AI$671,1),1,BE1883):INDEX((係数_バス貨物_ガソリン,係数_バス貨物_CNG,係数_バス貨物_軽油,係数_バス貨物_メタノール,係数_バス貨物_LPG),MATCH(AY1883+1,【参考】排出係数!$AI$4:$AI$671,1)-1,5,BE1883),4,FALSE)),IF(AND(BE1883=3,LEFT(BF1883,1)="1"),0.48,VLOOKUP(AU1883,INDEX((係数_乗用_ガソリン,係数_乗用_CNG,係数_乗用_軽油,係数_乗用_メタノール,係数_乗用_LPG),1,1,BE1883):INDEX((係数_乗用_ガソリン,係数_乗用_CNG,係数_乗用_軽油,係数_乗用_メタノール,係数_乗用_LPG),125,5,BE1883),4,FALSE)))))</f>
        <v/>
      </c>
      <c r="AL1883" s="461" t="str">
        <f t="shared" si="1071"/>
        <v/>
      </c>
      <c r="AM1883" s="460" t="str">
        <f>IF(AU1883="","",IF(OR(AZ1883=8,AZ1883=9),0,IF(OR(AW1883=3,AW1883=4,AW1883=5,AW1883=6),IF(LEFT(BH1883,1)="1",INDEX(係数_PM低減,MATCH(AY1883,【参考】排出係数!$AI$801:$AI$804,1),MATCH(BI1883,【参考】排出係数!$AL$798:$AO$798,1)),VLOOKUP(AU1883,INDEX((係数_バス貨物_ガソリン,係数_バス貨物_CNG,係数_バス貨物_軽油,係数_バス貨物_メタノール,係数_バス貨物_LPG),MATCH(AY1883,【参考】排出係数!$AI$4:$AI$671,1),1,BE1883):INDEX((係数_バス貨物_ガソリン,係数_バス貨物_CNG,係数_バス貨物_軽油,係数_バス貨物_メタノール,係数_バス貨物_LPG),MATCH(AY1883+1,【参考】排出係数!$AI$4:$AI$671,1)-1,5,BE1883),5,FALSE)),IF(AND(BE1883=3,LEFT(BF1883,1)="1"),0.055,VLOOKUP(AU1883,INDEX((係数_乗用_ガソリン,係数_乗用_CNG,係数_乗用_軽油,係数_乗用_メタノール,係数_乗用_LPG),1,1,BE1883):INDEX((係数_乗用_ガソリン,係数_乗用_CNG,係数_乗用_軽油,係数_乗用_メタノール,係数_乗用_LPG),125,5,BE1883),5,FALSE)))))</f>
        <v/>
      </c>
      <c r="AN1883" s="461" t="str">
        <f t="shared" si="1072"/>
        <v/>
      </c>
      <c r="AO1883" s="462" t="str">
        <f t="shared" si="1073"/>
        <v/>
      </c>
      <c r="AP1883" s="463" t="str">
        <f t="shared" si="1074"/>
        <v/>
      </c>
      <c r="AQ1883" s="464"/>
      <c r="AR1883" s="619"/>
      <c r="AS1883" s="465" t="str">
        <f t="shared" si="1082"/>
        <v/>
      </c>
      <c r="AT1883" s="465" t="str">
        <f t="shared" si="1083"/>
        <v/>
      </c>
      <c r="AU1883" s="466" t="str">
        <f t="shared" si="1084"/>
        <v/>
      </c>
      <c r="AV1883" s="467" t="str">
        <f t="shared" si="1085"/>
        <v/>
      </c>
      <c r="AW1883" s="467" t="str">
        <f t="shared" si="1086"/>
        <v/>
      </c>
      <c r="AX1883" s="467" t="str">
        <f t="shared" si="1087"/>
        <v/>
      </c>
      <c r="AY1883" s="467" t="str">
        <f t="shared" si="1088"/>
        <v/>
      </c>
      <c r="AZ1883" s="467" t="str">
        <f t="shared" si="1089"/>
        <v/>
      </c>
      <c r="BA1883" s="468" t="str">
        <f>IF(AS1883="","",IF(OR(AU1883="",AU1883="-"),"－",IF(OR(AZ1883=8,AZ1883=9),"",IF(OR(AW1883=3,AW1883=4,AW1883=5,AW1883=6),VLOOKUP(AU1883,INDEX((係数_バス貨物_ガソリン,係数_バス貨物_CNG,係数_バス貨物_軽油,係数_バス貨物_メタノール,係数_バス貨物_LPG),MATCH(AY1883,【参考】排出係数!$AI$4:$AI$671,1),1,BE1883):INDEX((係数_バス貨物_ガソリン,係数_バス貨物_CNG,係数_バス貨物_軽油,係数_バス貨物_メタノール,係数_バス貨物_LPG),MATCH(AY1883+1,【参考】排出係数!$AI$4:$AI$671,1)-1,5,BE1883),2,FALSE),IF(OR(AW1883=1,AW1883=2),VLOOKUP(AU1883,INDEX((係数_乗用_ガソリン,係数_乗用_CNG,係数_乗用_軽油,係数_乗用_メタノール,係数_乗用_LPG),1,1,BE1883):INDEX((係数_乗用_ガソリン,係数_乗用_CNG,係数_乗用_軽油,係数_乗用_メタノール,係数_乗用_LPG),125,5,BE1883),2,FALSE))))))</f>
        <v/>
      </c>
      <c r="BB1883" s="468" t="str">
        <f>IF(T1883="","",IF(OR(AU1883="",AU1883="-"),"－",IF(OR(AZ1883=8,AZ1883=9),"",IF(OR(AW1883=3,AW1883=4,AW1883=5,AW1883=6),VLOOKUP(AU1883,INDEX((係数_バス貨物_ガソリン,係数_バス貨物_CNG,係数_バス貨物_軽油,係数_バス貨物_メタノール,係数_バス貨物_LPG),MATCH(AY1883,【参考】排出係数!$AI$4:$AI$671,1),1,BE1883):INDEX((係数_バス貨物_ガソリン,係数_バス貨物_CNG,係数_バス貨物_軽油,係数_バス貨物_メタノール,係数_バス貨物_LPG),MATCH(AY1883+1,【参考】排出係数!$AI$4:$AI$671,1)-1,5,BE1883),3,FALSE),IF(OR(AW1883=1,AW1883=2),VLOOKUP(AU1883,INDEX((係数_乗用_ガソリン,係数_乗用_CNG,係数_乗用_軽油,係数_乗用_メタノール,係数_乗用_LPG),1,1,BE1883):INDEX((係数_乗用_ガソリン,係数_乗用_CNG,係数_乗用_軽油,係数_乗用_メタノール,係数_乗用_LPG),125,5,BE1883),3,FALSE))))))</f>
        <v/>
      </c>
      <c r="BC1883" s="467" t="str">
        <f t="shared" si="1090"/>
        <v/>
      </c>
      <c r="BD1883" s="567" t="str">
        <f t="shared" si="1091"/>
        <v/>
      </c>
      <c r="BE1883" s="467" t="str">
        <f t="shared" si="1092"/>
        <v/>
      </c>
      <c r="BF1883" s="469" t="str">
        <f t="shared" ca="1" si="1093"/>
        <v/>
      </c>
      <c r="BG1883" s="469" t="str">
        <f t="shared" ca="1" si="1094"/>
        <v/>
      </c>
      <c r="BH1883" s="467" t="str">
        <f t="shared" si="1095"/>
        <v/>
      </c>
      <c r="BI1883" s="467" t="str">
        <f t="shared" ca="1" si="1096"/>
        <v/>
      </c>
      <c r="BJ1883" s="469" t="str">
        <f t="shared" si="1097"/>
        <v/>
      </c>
      <c r="BK1883" s="470" t="str">
        <f t="shared" si="1081"/>
        <v/>
      </c>
      <c r="BL1883" s="775" t="str">
        <f t="shared" si="1098"/>
        <v/>
      </c>
      <c r="BM1883" s="775" t="str">
        <f t="shared" si="1099"/>
        <v/>
      </c>
    </row>
    <row r="1884" spans="1:65">
      <c r="A1884" s="473">
        <v>1828</v>
      </c>
      <c r="B1884" s="132"/>
      <c r="C1884" s="332"/>
      <c r="D1884" s="333"/>
      <c r="E1884" s="333"/>
      <c r="F1884" s="334"/>
      <c r="G1884" s="337"/>
      <c r="H1884" s="131"/>
      <c r="I1884" s="337"/>
      <c r="J1884" s="131"/>
      <c r="K1884" s="458" t="str">
        <f t="shared" si="1062"/>
        <v/>
      </c>
      <c r="L1884" s="458">
        <f t="shared" si="1063"/>
        <v>0</v>
      </c>
      <c r="M1884" s="458">
        <f t="shared" si="1064"/>
        <v>0</v>
      </c>
      <c r="N1884" s="459" t="str">
        <f t="shared" si="1075"/>
        <v/>
      </c>
      <c r="O1884" s="459" t="str">
        <f t="shared" si="1076"/>
        <v/>
      </c>
      <c r="P1884" s="459" t="str">
        <f t="shared" si="1077"/>
        <v/>
      </c>
      <c r="Q1884" s="459" t="str">
        <f t="shared" si="1078"/>
        <v/>
      </c>
      <c r="R1884" s="459" t="str">
        <f t="shared" si="1079"/>
        <v/>
      </c>
      <c r="S1884" s="459" t="str">
        <f t="shared" si="1080"/>
        <v/>
      </c>
      <c r="T1884" s="566" t="str">
        <f t="shared" si="1065"/>
        <v/>
      </c>
      <c r="U1884" s="702"/>
      <c r="V1884" s="132"/>
      <c r="W1884" s="133"/>
      <c r="X1884" s="134"/>
      <c r="Y1884" s="135"/>
      <c r="Z1884" s="137"/>
      <c r="AA1884" s="136"/>
      <c r="AB1884" s="566" t="str">
        <f t="shared" si="1066"/>
        <v/>
      </c>
      <c r="AC1884" s="568" t="str">
        <f t="shared" si="1067"/>
        <v/>
      </c>
      <c r="AD1884" s="137"/>
      <c r="AE1884" s="137"/>
      <c r="AF1884" s="138"/>
      <c r="AG1884" s="138"/>
      <c r="AH1884" s="592" t="str">
        <f t="shared" si="1068"/>
        <v/>
      </c>
      <c r="AI1884" s="592" t="str">
        <f t="shared" si="1069"/>
        <v/>
      </c>
      <c r="AJ1884" s="592" t="str">
        <f t="shared" si="1070"/>
        <v/>
      </c>
      <c r="AK1884" s="460" t="str">
        <f>IF(AU1884="","",IF(OR(AZ1884=8,AZ1884=9),0,IF(OR(AW1884=3,AW1884=4,AW1884=5,AW1884=6),IF(LEFT(BF1884,1)="1",INDEX(係数_NOX・PM低減,MATCH(AY1884,【参考】排出係数!$AI$801:$AI$804,1),1),VLOOKUP(AU1884,INDEX((係数_バス貨物_ガソリン,係数_バス貨物_CNG,係数_バス貨物_軽油,係数_バス貨物_メタノール,係数_バス貨物_LPG),MATCH(AY1884,【参考】排出係数!$AI$4:$AI$671,1),1,BE1884):INDEX((係数_バス貨物_ガソリン,係数_バス貨物_CNG,係数_バス貨物_軽油,係数_バス貨物_メタノール,係数_バス貨物_LPG),MATCH(AY1884+1,【参考】排出係数!$AI$4:$AI$671,1)-1,5,BE1884),4,FALSE)),IF(AND(BE1884=3,LEFT(BF1884,1)="1"),0.48,VLOOKUP(AU1884,INDEX((係数_乗用_ガソリン,係数_乗用_CNG,係数_乗用_軽油,係数_乗用_メタノール,係数_乗用_LPG),1,1,BE1884):INDEX((係数_乗用_ガソリン,係数_乗用_CNG,係数_乗用_軽油,係数_乗用_メタノール,係数_乗用_LPG),125,5,BE1884),4,FALSE)))))</f>
        <v/>
      </c>
      <c r="AL1884" s="461" t="str">
        <f t="shared" si="1071"/>
        <v/>
      </c>
      <c r="AM1884" s="460" t="str">
        <f>IF(AU1884="","",IF(OR(AZ1884=8,AZ1884=9),0,IF(OR(AW1884=3,AW1884=4,AW1884=5,AW1884=6),IF(LEFT(BH1884,1)="1",INDEX(係数_PM低減,MATCH(AY1884,【参考】排出係数!$AI$801:$AI$804,1),MATCH(BI1884,【参考】排出係数!$AL$798:$AO$798,1)),VLOOKUP(AU1884,INDEX((係数_バス貨物_ガソリン,係数_バス貨物_CNG,係数_バス貨物_軽油,係数_バス貨物_メタノール,係数_バス貨物_LPG),MATCH(AY1884,【参考】排出係数!$AI$4:$AI$671,1),1,BE1884):INDEX((係数_バス貨物_ガソリン,係数_バス貨物_CNG,係数_バス貨物_軽油,係数_バス貨物_メタノール,係数_バス貨物_LPG),MATCH(AY1884+1,【参考】排出係数!$AI$4:$AI$671,1)-1,5,BE1884),5,FALSE)),IF(AND(BE1884=3,LEFT(BF1884,1)="1"),0.055,VLOOKUP(AU1884,INDEX((係数_乗用_ガソリン,係数_乗用_CNG,係数_乗用_軽油,係数_乗用_メタノール,係数_乗用_LPG),1,1,BE1884):INDEX((係数_乗用_ガソリン,係数_乗用_CNG,係数_乗用_軽油,係数_乗用_メタノール,係数_乗用_LPG),125,5,BE1884),5,FALSE)))))</f>
        <v/>
      </c>
      <c r="AN1884" s="461" t="str">
        <f t="shared" si="1072"/>
        <v/>
      </c>
      <c r="AO1884" s="462" t="str">
        <f t="shared" si="1073"/>
        <v/>
      </c>
      <c r="AP1884" s="463" t="str">
        <f t="shared" si="1074"/>
        <v/>
      </c>
      <c r="AQ1884" s="464"/>
      <c r="AR1884" s="619"/>
      <c r="AS1884" s="465" t="str">
        <f t="shared" si="1082"/>
        <v/>
      </c>
      <c r="AT1884" s="465" t="str">
        <f t="shared" si="1083"/>
        <v/>
      </c>
      <c r="AU1884" s="466" t="str">
        <f t="shared" si="1084"/>
        <v/>
      </c>
      <c r="AV1884" s="467" t="str">
        <f t="shared" si="1085"/>
        <v/>
      </c>
      <c r="AW1884" s="467" t="str">
        <f t="shared" si="1086"/>
        <v/>
      </c>
      <c r="AX1884" s="467" t="str">
        <f t="shared" si="1087"/>
        <v/>
      </c>
      <c r="AY1884" s="467" t="str">
        <f t="shared" si="1088"/>
        <v/>
      </c>
      <c r="AZ1884" s="467" t="str">
        <f t="shared" si="1089"/>
        <v/>
      </c>
      <c r="BA1884" s="468" t="str">
        <f>IF(AS1884="","",IF(OR(AU1884="",AU1884="-"),"－",IF(OR(AZ1884=8,AZ1884=9),"",IF(OR(AW1884=3,AW1884=4,AW1884=5,AW1884=6),VLOOKUP(AU1884,INDEX((係数_バス貨物_ガソリン,係数_バス貨物_CNG,係数_バス貨物_軽油,係数_バス貨物_メタノール,係数_バス貨物_LPG),MATCH(AY1884,【参考】排出係数!$AI$4:$AI$671,1),1,BE1884):INDEX((係数_バス貨物_ガソリン,係数_バス貨物_CNG,係数_バス貨物_軽油,係数_バス貨物_メタノール,係数_バス貨物_LPG),MATCH(AY1884+1,【参考】排出係数!$AI$4:$AI$671,1)-1,5,BE1884),2,FALSE),IF(OR(AW1884=1,AW1884=2),VLOOKUP(AU1884,INDEX((係数_乗用_ガソリン,係数_乗用_CNG,係数_乗用_軽油,係数_乗用_メタノール,係数_乗用_LPG),1,1,BE1884):INDEX((係数_乗用_ガソリン,係数_乗用_CNG,係数_乗用_軽油,係数_乗用_メタノール,係数_乗用_LPG),125,5,BE1884),2,FALSE))))))</f>
        <v/>
      </c>
      <c r="BB1884" s="468" t="str">
        <f>IF(T1884="","",IF(OR(AU1884="",AU1884="-"),"－",IF(OR(AZ1884=8,AZ1884=9),"",IF(OR(AW1884=3,AW1884=4,AW1884=5,AW1884=6),VLOOKUP(AU1884,INDEX((係数_バス貨物_ガソリン,係数_バス貨物_CNG,係数_バス貨物_軽油,係数_バス貨物_メタノール,係数_バス貨物_LPG),MATCH(AY1884,【参考】排出係数!$AI$4:$AI$671,1),1,BE1884):INDEX((係数_バス貨物_ガソリン,係数_バス貨物_CNG,係数_バス貨物_軽油,係数_バス貨物_メタノール,係数_バス貨物_LPG),MATCH(AY1884+1,【参考】排出係数!$AI$4:$AI$671,1)-1,5,BE1884),3,FALSE),IF(OR(AW1884=1,AW1884=2),VLOOKUP(AU1884,INDEX((係数_乗用_ガソリン,係数_乗用_CNG,係数_乗用_軽油,係数_乗用_メタノール,係数_乗用_LPG),1,1,BE1884):INDEX((係数_乗用_ガソリン,係数_乗用_CNG,係数_乗用_軽油,係数_乗用_メタノール,係数_乗用_LPG),125,5,BE1884),3,FALSE))))))</f>
        <v/>
      </c>
      <c r="BC1884" s="467" t="str">
        <f t="shared" si="1090"/>
        <v/>
      </c>
      <c r="BD1884" s="567" t="str">
        <f t="shared" si="1091"/>
        <v/>
      </c>
      <c r="BE1884" s="467" t="str">
        <f t="shared" si="1092"/>
        <v/>
      </c>
      <c r="BF1884" s="469" t="str">
        <f t="shared" ca="1" si="1093"/>
        <v/>
      </c>
      <c r="BG1884" s="469" t="str">
        <f t="shared" ca="1" si="1094"/>
        <v/>
      </c>
      <c r="BH1884" s="467" t="str">
        <f t="shared" si="1095"/>
        <v/>
      </c>
      <c r="BI1884" s="467" t="str">
        <f t="shared" ca="1" si="1096"/>
        <v/>
      </c>
      <c r="BJ1884" s="469" t="str">
        <f t="shared" si="1097"/>
        <v/>
      </c>
      <c r="BK1884" s="470" t="str">
        <f t="shared" si="1081"/>
        <v/>
      </c>
      <c r="BL1884" s="775" t="str">
        <f t="shared" si="1098"/>
        <v/>
      </c>
      <c r="BM1884" s="775" t="str">
        <f t="shared" si="1099"/>
        <v/>
      </c>
    </row>
    <row r="1885" spans="1:65">
      <c r="A1885" s="473">
        <v>1829</v>
      </c>
      <c r="B1885" s="132"/>
      <c r="C1885" s="332"/>
      <c r="D1885" s="333"/>
      <c r="E1885" s="333"/>
      <c r="F1885" s="334"/>
      <c r="G1885" s="337"/>
      <c r="H1885" s="131"/>
      <c r="I1885" s="337"/>
      <c r="J1885" s="131"/>
      <c r="K1885" s="458" t="str">
        <f t="shared" si="1062"/>
        <v/>
      </c>
      <c r="L1885" s="458">
        <f t="shared" si="1063"/>
        <v>0</v>
      </c>
      <c r="M1885" s="458">
        <f t="shared" si="1064"/>
        <v>0</v>
      </c>
      <c r="N1885" s="459" t="str">
        <f t="shared" si="1075"/>
        <v/>
      </c>
      <c r="O1885" s="459" t="str">
        <f t="shared" si="1076"/>
        <v/>
      </c>
      <c r="P1885" s="459" t="str">
        <f t="shared" si="1077"/>
        <v/>
      </c>
      <c r="Q1885" s="459" t="str">
        <f t="shared" si="1078"/>
        <v/>
      </c>
      <c r="R1885" s="459" t="str">
        <f t="shared" si="1079"/>
        <v/>
      </c>
      <c r="S1885" s="459" t="str">
        <f t="shared" si="1080"/>
        <v/>
      </c>
      <c r="T1885" s="566" t="str">
        <f t="shared" si="1065"/>
        <v/>
      </c>
      <c r="U1885" s="702"/>
      <c r="V1885" s="132"/>
      <c r="W1885" s="133"/>
      <c r="X1885" s="134"/>
      <c r="Y1885" s="135"/>
      <c r="Z1885" s="137"/>
      <c r="AA1885" s="136"/>
      <c r="AB1885" s="566" t="str">
        <f t="shared" si="1066"/>
        <v/>
      </c>
      <c r="AC1885" s="568" t="str">
        <f t="shared" si="1067"/>
        <v/>
      </c>
      <c r="AD1885" s="137"/>
      <c r="AE1885" s="137"/>
      <c r="AF1885" s="138"/>
      <c r="AG1885" s="138"/>
      <c r="AH1885" s="592" t="str">
        <f t="shared" si="1068"/>
        <v/>
      </c>
      <c r="AI1885" s="592" t="str">
        <f t="shared" si="1069"/>
        <v/>
      </c>
      <c r="AJ1885" s="592" t="str">
        <f t="shared" si="1070"/>
        <v/>
      </c>
      <c r="AK1885" s="460" t="str">
        <f>IF(AU1885="","",IF(OR(AZ1885=8,AZ1885=9),0,IF(OR(AW1885=3,AW1885=4,AW1885=5,AW1885=6),IF(LEFT(BF1885,1)="1",INDEX(係数_NOX・PM低減,MATCH(AY1885,【参考】排出係数!$AI$801:$AI$804,1),1),VLOOKUP(AU1885,INDEX((係数_バス貨物_ガソリン,係数_バス貨物_CNG,係数_バス貨物_軽油,係数_バス貨物_メタノール,係数_バス貨物_LPG),MATCH(AY1885,【参考】排出係数!$AI$4:$AI$671,1),1,BE1885):INDEX((係数_バス貨物_ガソリン,係数_バス貨物_CNG,係数_バス貨物_軽油,係数_バス貨物_メタノール,係数_バス貨物_LPG),MATCH(AY1885+1,【参考】排出係数!$AI$4:$AI$671,1)-1,5,BE1885),4,FALSE)),IF(AND(BE1885=3,LEFT(BF1885,1)="1"),0.48,VLOOKUP(AU1885,INDEX((係数_乗用_ガソリン,係数_乗用_CNG,係数_乗用_軽油,係数_乗用_メタノール,係数_乗用_LPG),1,1,BE1885):INDEX((係数_乗用_ガソリン,係数_乗用_CNG,係数_乗用_軽油,係数_乗用_メタノール,係数_乗用_LPG),125,5,BE1885),4,FALSE)))))</f>
        <v/>
      </c>
      <c r="AL1885" s="461" t="str">
        <f t="shared" si="1071"/>
        <v/>
      </c>
      <c r="AM1885" s="460" t="str">
        <f>IF(AU1885="","",IF(OR(AZ1885=8,AZ1885=9),0,IF(OR(AW1885=3,AW1885=4,AW1885=5,AW1885=6),IF(LEFT(BH1885,1)="1",INDEX(係数_PM低減,MATCH(AY1885,【参考】排出係数!$AI$801:$AI$804,1),MATCH(BI1885,【参考】排出係数!$AL$798:$AO$798,1)),VLOOKUP(AU1885,INDEX((係数_バス貨物_ガソリン,係数_バス貨物_CNG,係数_バス貨物_軽油,係数_バス貨物_メタノール,係数_バス貨物_LPG),MATCH(AY1885,【参考】排出係数!$AI$4:$AI$671,1),1,BE1885):INDEX((係数_バス貨物_ガソリン,係数_バス貨物_CNG,係数_バス貨物_軽油,係数_バス貨物_メタノール,係数_バス貨物_LPG),MATCH(AY1885+1,【参考】排出係数!$AI$4:$AI$671,1)-1,5,BE1885),5,FALSE)),IF(AND(BE1885=3,LEFT(BF1885,1)="1"),0.055,VLOOKUP(AU1885,INDEX((係数_乗用_ガソリン,係数_乗用_CNG,係数_乗用_軽油,係数_乗用_メタノール,係数_乗用_LPG),1,1,BE1885):INDEX((係数_乗用_ガソリン,係数_乗用_CNG,係数_乗用_軽油,係数_乗用_メタノール,係数_乗用_LPG),125,5,BE1885),5,FALSE)))))</f>
        <v/>
      </c>
      <c r="AN1885" s="461" t="str">
        <f t="shared" si="1072"/>
        <v/>
      </c>
      <c r="AO1885" s="462" t="str">
        <f t="shared" si="1073"/>
        <v/>
      </c>
      <c r="AP1885" s="463" t="str">
        <f t="shared" si="1074"/>
        <v/>
      </c>
      <c r="AQ1885" s="464"/>
      <c r="AR1885" s="619"/>
      <c r="AS1885" s="465" t="str">
        <f t="shared" si="1082"/>
        <v/>
      </c>
      <c r="AT1885" s="465" t="str">
        <f t="shared" si="1083"/>
        <v/>
      </c>
      <c r="AU1885" s="466" t="str">
        <f t="shared" si="1084"/>
        <v/>
      </c>
      <c r="AV1885" s="467" t="str">
        <f t="shared" si="1085"/>
        <v/>
      </c>
      <c r="AW1885" s="467" t="str">
        <f t="shared" si="1086"/>
        <v/>
      </c>
      <c r="AX1885" s="467" t="str">
        <f t="shared" si="1087"/>
        <v/>
      </c>
      <c r="AY1885" s="467" t="str">
        <f t="shared" si="1088"/>
        <v/>
      </c>
      <c r="AZ1885" s="467" t="str">
        <f t="shared" si="1089"/>
        <v/>
      </c>
      <c r="BA1885" s="468" t="str">
        <f>IF(AS1885="","",IF(OR(AU1885="",AU1885="-"),"－",IF(OR(AZ1885=8,AZ1885=9),"",IF(OR(AW1885=3,AW1885=4,AW1885=5,AW1885=6),VLOOKUP(AU1885,INDEX((係数_バス貨物_ガソリン,係数_バス貨物_CNG,係数_バス貨物_軽油,係数_バス貨物_メタノール,係数_バス貨物_LPG),MATCH(AY1885,【参考】排出係数!$AI$4:$AI$671,1),1,BE1885):INDEX((係数_バス貨物_ガソリン,係数_バス貨物_CNG,係数_バス貨物_軽油,係数_バス貨物_メタノール,係数_バス貨物_LPG),MATCH(AY1885+1,【参考】排出係数!$AI$4:$AI$671,1)-1,5,BE1885),2,FALSE),IF(OR(AW1885=1,AW1885=2),VLOOKUP(AU1885,INDEX((係数_乗用_ガソリン,係数_乗用_CNG,係数_乗用_軽油,係数_乗用_メタノール,係数_乗用_LPG),1,1,BE1885):INDEX((係数_乗用_ガソリン,係数_乗用_CNG,係数_乗用_軽油,係数_乗用_メタノール,係数_乗用_LPG),125,5,BE1885),2,FALSE))))))</f>
        <v/>
      </c>
      <c r="BB1885" s="468" t="str">
        <f>IF(T1885="","",IF(OR(AU1885="",AU1885="-"),"－",IF(OR(AZ1885=8,AZ1885=9),"",IF(OR(AW1885=3,AW1885=4,AW1885=5,AW1885=6),VLOOKUP(AU1885,INDEX((係数_バス貨物_ガソリン,係数_バス貨物_CNG,係数_バス貨物_軽油,係数_バス貨物_メタノール,係数_バス貨物_LPG),MATCH(AY1885,【参考】排出係数!$AI$4:$AI$671,1),1,BE1885):INDEX((係数_バス貨物_ガソリン,係数_バス貨物_CNG,係数_バス貨物_軽油,係数_バス貨物_メタノール,係数_バス貨物_LPG),MATCH(AY1885+1,【参考】排出係数!$AI$4:$AI$671,1)-1,5,BE1885),3,FALSE),IF(OR(AW1885=1,AW1885=2),VLOOKUP(AU1885,INDEX((係数_乗用_ガソリン,係数_乗用_CNG,係数_乗用_軽油,係数_乗用_メタノール,係数_乗用_LPG),1,1,BE1885):INDEX((係数_乗用_ガソリン,係数_乗用_CNG,係数_乗用_軽油,係数_乗用_メタノール,係数_乗用_LPG),125,5,BE1885),3,FALSE))))))</f>
        <v/>
      </c>
      <c r="BC1885" s="467" t="str">
        <f t="shared" si="1090"/>
        <v/>
      </c>
      <c r="BD1885" s="567" t="str">
        <f t="shared" si="1091"/>
        <v/>
      </c>
      <c r="BE1885" s="467" t="str">
        <f t="shared" si="1092"/>
        <v/>
      </c>
      <c r="BF1885" s="469" t="str">
        <f t="shared" ca="1" si="1093"/>
        <v/>
      </c>
      <c r="BG1885" s="469" t="str">
        <f t="shared" ca="1" si="1094"/>
        <v/>
      </c>
      <c r="BH1885" s="467" t="str">
        <f t="shared" si="1095"/>
        <v/>
      </c>
      <c r="BI1885" s="467" t="str">
        <f t="shared" ca="1" si="1096"/>
        <v/>
      </c>
      <c r="BJ1885" s="469" t="str">
        <f t="shared" si="1097"/>
        <v/>
      </c>
      <c r="BK1885" s="470" t="str">
        <f t="shared" si="1081"/>
        <v/>
      </c>
      <c r="BL1885" s="775" t="str">
        <f t="shared" si="1098"/>
        <v/>
      </c>
      <c r="BM1885" s="775" t="str">
        <f t="shared" si="1099"/>
        <v/>
      </c>
    </row>
    <row r="1886" spans="1:65">
      <c r="A1886" s="473">
        <v>1830</v>
      </c>
      <c r="B1886" s="132"/>
      <c r="C1886" s="332"/>
      <c r="D1886" s="333"/>
      <c r="E1886" s="333"/>
      <c r="F1886" s="334"/>
      <c r="G1886" s="337"/>
      <c r="H1886" s="131"/>
      <c r="I1886" s="337"/>
      <c r="J1886" s="131"/>
      <c r="K1886" s="458" t="str">
        <f t="shared" si="1062"/>
        <v/>
      </c>
      <c r="L1886" s="458">
        <f t="shared" si="1063"/>
        <v>0</v>
      </c>
      <c r="M1886" s="458">
        <f t="shared" si="1064"/>
        <v>0</v>
      </c>
      <c r="N1886" s="459" t="str">
        <f t="shared" si="1075"/>
        <v/>
      </c>
      <c r="O1886" s="459" t="str">
        <f t="shared" si="1076"/>
        <v/>
      </c>
      <c r="P1886" s="459" t="str">
        <f t="shared" si="1077"/>
        <v/>
      </c>
      <c r="Q1886" s="459" t="str">
        <f t="shared" si="1078"/>
        <v/>
      </c>
      <c r="R1886" s="459" t="str">
        <f t="shared" si="1079"/>
        <v/>
      </c>
      <c r="S1886" s="459" t="str">
        <f t="shared" si="1080"/>
        <v/>
      </c>
      <c r="T1886" s="566" t="str">
        <f t="shared" si="1065"/>
        <v/>
      </c>
      <c r="U1886" s="702"/>
      <c r="V1886" s="132"/>
      <c r="W1886" s="133"/>
      <c r="X1886" s="134"/>
      <c r="Y1886" s="135"/>
      <c r="Z1886" s="137"/>
      <c r="AA1886" s="136"/>
      <c r="AB1886" s="566" t="str">
        <f t="shared" si="1066"/>
        <v/>
      </c>
      <c r="AC1886" s="568" t="str">
        <f t="shared" si="1067"/>
        <v/>
      </c>
      <c r="AD1886" s="137"/>
      <c r="AE1886" s="137"/>
      <c r="AF1886" s="138"/>
      <c r="AG1886" s="138"/>
      <c r="AH1886" s="592" t="str">
        <f t="shared" si="1068"/>
        <v/>
      </c>
      <c r="AI1886" s="592" t="str">
        <f t="shared" si="1069"/>
        <v/>
      </c>
      <c r="AJ1886" s="592" t="str">
        <f t="shared" si="1070"/>
        <v/>
      </c>
      <c r="AK1886" s="460" t="str">
        <f>IF(AU1886="","",IF(OR(AZ1886=8,AZ1886=9),0,IF(OR(AW1886=3,AW1886=4,AW1886=5,AW1886=6),IF(LEFT(BF1886,1)="1",INDEX(係数_NOX・PM低減,MATCH(AY1886,【参考】排出係数!$AI$801:$AI$804,1),1),VLOOKUP(AU1886,INDEX((係数_バス貨物_ガソリン,係数_バス貨物_CNG,係数_バス貨物_軽油,係数_バス貨物_メタノール,係数_バス貨物_LPG),MATCH(AY1886,【参考】排出係数!$AI$4:$AI$671,1),1,BE1886):INDEX((係数_バス貨物_ガソリン,係数_バス貨物_CNG,係数_バス貨物_軽油,係数_バス貨物_メタノール,係数_バス貨物_LPG),MATCH(AY1886+1,【参考】排出係数!$AI$4:$AI$671,1)-1,5,BE1886),4,FALSE)),IF(AND(BE1886=3,LEFT(BF1886,1)="1"),0.48,VLOOKUP(AU1886,INDEX((係数_乗用_ガソリン,係数_乗用_CNG,係数_乗用_軽油,係数_乗用_メタノール,係数_乗用_LPG),1,1,BE1886):INDEX((係数_乗用_ガソリン,係数_乗用_CNG,係数_乗用_軽油,係数_乗用_メタノール,係数_乗用_LPG),125,5,BE1886),4,FALSE)))))</f>
        <v/>
      </c>
      <c r="AL1886" s="461" t="str">
        <f t="shared" si="1071"/>
        <v/>
      </c>
      <c r="AM1886" s="460" t="str">
        <f>IF(AU1886="","",IF(OR(AZ1886=8,AZ1886=9),0,IF(OR(AW1886=3,AW1886=4,AW1886=5,AW1886=6),IF(LEFT(BH1886,1)="1",INDEX(係数_PM低減,MATCH(AY1886,【参考】排出係数!$AI$801:$AI$804,1),MATCH(BI1886,【参考】排出係数!$AL$798:$AO$798,1)),VLOOKUP(AU1886,INDEX((係数_バス貨物_ガソリン,係数_バス貨物_CNG,係数_バス貨物_軽油,係数_バス貨物_メタノール,係数_バス貨物_LPG),MATCH(AY1886,【参考】排出係数!$AI$4:$AI$671,1),1,BE1886):INDEX((係数_バス貨物_ガソリン,係数_バス貨物_CNG,係数_バス貨物_軽油,係数_バス貨物_メタノール,係数_バス貨物_LPG),MATCH(AY1886+1,【参考】排出係数!$AI$4:$AI$671,1)-1,5,BE1886),5,FALSE)),IF(AND(BE1886=3,LEFT(BF1886,1)="1"),0.055,VLOOKUP(AU1886,INDEX((係数_乗用_ガソリン,係数_乗用_CNG,係数_乗用_軽油,係数_乗用_メタノール,係数_乗用_LPG),1,1,BE1886):INDEX((係数_乗用_ガソリン,係数_乗用_CNG,係数_乗用_軽油,係数_乗用_メタノール,係数_乗用_LPG),125,5,BE1886),5,FALSE)))))</f>
        <v/>
      </c>
      <c r="AN1886" s="461" t="str">
        <f t="shared" si="1072"/>
        <v/>
      </c>
      <c r="AO1886" s="462" t="str">
        <f t="shared" si="1073"/>
        <v/>
      </c>
      <c r="AP1886" s="463" t="str">
        <f t="shared" si="1074"/>
        <v/>
      </c>
      <c r="AQ1886" s="464"/>
      <c r="AR1886" s="619"/>
      <c r="AS1886" s="465" t="str">
        <f t="shared" si="1082"/>
        <v/>
      </c>
      <c r="AT1886" s="465" t="str">
        <f t="shared" si="1083"/>
        <v/>
      </c>
      <c r="AU1886" s="466" t="str">
        <f t="shared" si="1084"/>
        <v/>
      </c>
      <c r="AV1886" s="467" t="str">
        <f t="shared" si="1085"/>
        <v/>
      </c>
      <c r="AW1886" s="467" t="str">
        <f t="shared" si="1086"/>
        <v/>
      </c>
      <c r="AX1886" s="467" t="str">
        <f t="shared" si="1087"/>
        <v/>
      </c>
      <c r="AY1886" s="467" t="str">
        <f t="shared" si="1088"/>
        <v/>
      </c>
      <c r="AZ1886" s="467" t="str">
        <f t="shared" si="1089"/>
        <v/>
      </c>
      <c r="BA1886" s="468" t="str">
        <f>IF(AS1886="","",IF(OR(AU1886="",AU1886="-"),"－",IF(OR(AZ1886=8,AZ1886=9),"",IF(OR(AW1886=3,AW1886=4,AW1886=5,AW1886=6),VLOOKUP(AU1886,INDEX((係数_バス貨物_ガソリン,係数_バス貨物_CNG,係数_バス貨物_軽油,係数_バス貨物_メタノール,係数_バス貨物_LPG),MATCH(AY1886,【参考】排出係数!$AI$4:$AI$671,1),1,BE1886):INDEX((係数_バス貨物_ガソリン,係数_バス貨物_CNG,係数_バス貨物_軽油,係数_バス貨物_メタノール,係数_バス貨物_LPG),MATCH(AY1886+1,【参考】排出係数!$AI$4:$AI$671,1)-1,5,BE1886),2,FALSE),IF(OR(AW1886=1,AW1886=2),VLOOKUP(AU1886,INDEX((係数_乗用_ガソリン,係数_乗用_CNG,係数_乗用_軽油,係数_乗用_メタノール,係数_乗用_LPG),1,1,BE1886):INDEX((係数_乗用_ガソリン,係数_乗用_CNG,係数_乗用_軽油,係数_乗用_メタノール,係数_乗用_LPG),125,5,BE1886),2,FALSE))))))</f>
        <v/>
      </c>
      <c r="BB1886" s="468" t="str">
        <f>IF(T1886="","",IF(OR(AU1886="",AU1886="-"),"－",IF(OR(AZ1886=8,AZ1886=9),"",IF(OR(AW1886=3,AW1886=4,AW1886=5,AW1886=6),VLOOKUP(AU1886,INDEX((係数_バス貨物_ガソリン,係数_バス貨物_CNG,係数_バス貨物_軽油,係数_バス貨物_メタノール,係数_バス貨物_LPG),MATCH(AY1886,【参考】排出係数!$AI$4:$AI$671,1),1,BE1886):INDEX((係数_バス貨物_ガソリン,係数_バス貨物_CNG,係数_バス貨物_軽油,係数_バス貨物_メタノール,係数_バス貨物_LPG),MATCH(AY1886+1,【参考】排出係数!$AI$4:$AI$671,1)-1,5,BE1886),3,FALSE),IF(OR(AW1886=1,AW1886=2),VLOOKUP(AU1886,INDEX((係数_乗用_ガソリン,係数_乗用_CNG,係数_乗用_軽油,係数_乗用_メタノール,係数_乗用_LPG),1,1,BE1886):INDEX((係数_乗用_ガソリン,係数_乗用_CNG,係数_乗用_軽油,係数_乗用_メタノール,係数_乗用_LPG),125,5,BE1886),3,FALSE))))))</f>
        <v/>
      </c>
      <c r="BC1886" s="467" t="str">
        <f t="shared" si="1090"/>
        <v/>
      </c>
      <c r="BD1886" s="567" t="str">
        <f t="shared" si="1091"/>
        <v/>
      </c>
      <c r="BE1886" s="467" t="str">
        <f t="shared" si="1092"/>
        <v/>
      </c>
      <c r="BF1886" s="469" t="str">
        <f t="shared" ca="1" si="1093"/>
        <v/>
      </c>
      <c r="BG1886" s="469" t="str">
        <f t="shared" ca="1" si="1094"/>
        <v/>
      </c>
      <c r="BH1886" s="467" t="str">
        <f t="shared" si="1095"/>
        <v/>
      </c>
      <c r="BI1886" s="467" t="str">
        <f t="shared" ca="1" si="1096"/>
        <v/>
      </c>
      <c r="BJ1886" s="469" t="str">
        <f t="shared" si="1097"/>
        <v/>
      </c>
      <c r="BK1886" s="470" t="str">
        <f t="shared" si="1081"/>
        <v/>
      </c>
      <c r="BL1886" s="775" t="str">
        <f t="shared" si="1098"/>
        <v/>
      </c>
      <c r="BM1886" s="775" t="str">
        <f t="shared" si="1099"/>
        <v/>
      </c>
    </row>
    <row r="1887" spans="1:65">
      <c r="A1887" s="473">
        <v>1831</v>
      </c>
      <c r="B1887" s="132"/>
      <c r="C1887" s="332"/>
      <c r="D1887" s="333"/>
      <c r="E1887" s="333"/>
      <c r="F1887" s="334"/>
      <c r="G1887" s="337"/>
      <c r="H1887" s="131"/>
      <c r="I1887" s="337"/>
      <c r="J1887" s="131"/>
      <c r="K1887" s="458" t="str">
        <f t="shared" si="1062"/>
        <v/>
      </c>
      <c r="L1887" s="458">
        <f t="shared" si="1063"/>
        <v>0</v>
      </c>
      <c r="M1887" s="458">
        <f t="shared" si="1064"/>
        <v>0</v>
      </c>
      <c r="N1887" s="459" t="str">
        <f t="shared" si="1075"/>
        <v/>
      </c>
      <c r="O1887" s="459" t="str">
        <f t="shared" si="1076"/>
        <v/>
      </c>
      <c r="P1887" s="459" t="str">
        <f t="shared" si="1077"/>
        <v/>
      </c>
      <c r="Q1887" s="459" t="str">
        <f t="shared" si="1078"/>
        <v/>
      </c>
      <c r="R1887" s="459" t="str">
        <f t="shared" si="1079"/>
        <v/>
      </c>
      <c r="S1887" s="459" t="str">
        <f t="shared" si="1080"/>
        <v/>
      </c>
      <c r="T1887" s="566" t="str">
        <f t="shared" si="1065"/>
        <v/>
      </c>
      <c r="U1887" s="702"/>
      <c r="V1887" s="132"/>
      <c r="W1887" s="133"/>
      <c r="X1887" s="134"/>
      <c r="Y1887" s="135"/>
      <c r="Z1887" s="137"/>
      <c r="AA1887" s="136"/>
      <c r="AB1887" s="566" t="str">
        <f t="shared" si="1066"/>
        <v/>
      </c>
      <c r="AC1887" s="568" t="str">
        <f t="shared" si="1067"/>
        <v/>
      </c>
      <c r="AD1887" s="137"/>
      <c r="AE1887" s="137"/>
      <c r="AF1887" s="138"/>
      <c r="AG1887" s="138"/>
      <c r="AH1887" s="592" t="str">
        <f t="shared" si="1068"/>
        <v/>
      </c>
      <c r="AI1887" s="592" t="str">
        <f t="shared" si="1069"/>
        <v/>
      </c>
      <c r="AJ1887" s="592" t="str">
        <f t="shared" si="1070"/>
        <v/>
      </c>
      <c r="AK1887" s="460" t="str">
        <f>IF(AU1887="","",IF(OR(AZ1887=8,AZ1887=9),0,IF(OR(AW1887=3,AW1887=4,AW1887=5,AW1887=6),IF(LEFT(BF1887,1)="1",INDEX(係数_NOX・PM低減,MATCH(AY1887,【参考】排出係数!$AI$801:$AI$804,1),1),VLOOKUP(AU1887,INDEX((係数_バス貨物_ガソリン,係数_バス貨物_CNG,係数_バス貨物_軽油,係数_バス貨物_メタノール,係数_バス貨物_LPG),MATCH(AY1887,【参考】排出係数!$AI$4:$AI$671,1),1,BE1887):INDEX((係数_バス貨物_ガソリン,係数_バス貨物_CNG,係数_バス貨物_軽油,係数_バス貨物_メタノール,係数_バス貨物_LPG),MATCH(AY1887+1,【参考】排出係数!$AI$4:$AI$671,1)-1,5,BE1887),4,FALSE)),IF(AND(BE1887=3,LEFT(BF1887,1)="1"),0.48,VLOOKUP(AU1887,INDEX((係数_乗用_ガソリン,係数_乗用_CNG,係数_乗用_軽油,係数_乗用_メタノール,係数_乗用_LPG),1,1,BE1887):INDEX((係数_乗用_ガソリン,係数_乗用_CNG,係数_乗用_軽油,係数_乗用_メタノール,係数_乗用_LPG),125,5,BE1887),4,FALSE)))))</f>
        <v/>
      </c>
      <c r="AL1887" s="461" t="str">
        <f t="shared" si="1071"/>
        <v/>
      </c>
      <c r="AM1887" s="460" t="str">
        <f>IF(AU1887="","",IF(OR(AZ1887=8,AZ1887=9),0,IF(OR(AW1887=3,AW1887=4,AW1887=5,AW1887=6),IF(LEFT(BH1887,1)="1",INDEX(係数_PM低減,MATCH(AY1887,【参考】排出係数!$AI$801:$AI$804,1),MATCH(BI1887,【参考】排出係数!$AL$798:$AO$798,1)),VLOOKUP(AU1887,INDEX((係数_バス貨物_ガソリン,係数_バス貨物_CNG,係数_バス貨物_軽油,係数_バス貨物_メタノール,係数_バス貨物_LPG),MATCH(AY1887,【参考】排出係数!$AI$4:$AI$671,1),1,BE1887):INDEX((係数_バス貨物_ガソリン,係数_バス貨物_CNG,係数_バス貨物_軽油,係数_バス貨物_メタノール,係数_バス貨物_LPG),MATCH(AY1887+1,【参考】排出係数!$AI$4:$AI$671,1)-1,5,BE1887),5,FALSE)),IF(AND(BE1887=3,LEFT(BF1887,1)="1"),0.055,VLOOKUP(AU1887,INDEX((係数_乗用_ガソリン,係数_乗用_CNG,係数_乗用_軽油,係数_乗用_メタノール,係数_乗用_LPG),1,1,BE1887):INDEX((係数_乗用_ガソリン,係数_乗用_CNG,係数_乗用_軽油,係数_乗用_メタノール,係数_乗用_LPG),125,5,BE1887),5,FALSE)))))</f>
        <v/>
      </c>
      <c r="AN1887" s="461" t="str">
        <f t="shared" si="1072"/>
        <v/>
      </c>
      <c r="AO1887" s="462" t="str">
        <f t="shared" si="1073"/>
        <v/>
      </c>
      <c r="AP1887" s="463" t="str">
        <f t="shared" si="1074"/>
        <v/>
      </c>
      <c r="AQ1887" s="464"/>
      <c r="AR1887" s="619"/>
      <c r="AS1887" s="465" t="str">
        <f t="shared" si="1082"/>
        <v/>
      </c>
      <c r="AT1887" s="465" t="str">
        <f t="shared" si="1083"/>
        <v/>
      </c>
      <c r="AU1887" s="466" t="str">
        <f t="shared" si="1084"/>
        <v/>
      </c>
      <c r="AV1887" s="467" t="str">
        <f t="shared" si="1085"/>
        <v/>
      </c>
      <c r="AW1887" s="467" t="str">
        <f t="shared" si="1086"/>
        <v/>
      </c>
      <c r="AX1887" s="467" t="str">
        <f t="shared" si="1087"/>
        <v/>
      </c>
      <c r="AY1887" s="467" t="str">
        <f t="shared" si="1088"/>
        <v/>
      </c>
      <c r="AZ1887" s="467" t="str">
        <f t="shared" si="1089"/>
        <v/>
      </c>
      <c r="BA1887" s="468" t="str">
        <f>IF(AS1887="","",IF(OR(AU1887="",AU1887="-"),"－",IF(OR(AZ1887=8,AZ1887=9),"",IF(OR(AW1887=3,AW1887=4,AW1887=5,AW1887=6),VLOOKUP(AU1887,INDEX((係数_バス貨物_ガソリン,係数_バス貨物_CNG,係数_バス貨物_軽油,係数_バス貨物_メタノール,係数_バス貨物_LPG),MATCH(AY1887,【参考】排出係数!$AI$4:$AI$671,1),1,BE1887):INDEX((係数_バス貨物_ガソリン,係数_バス貨物_CNG,係数_バス貨物_軽油,係数_バス貨物_メタノール,係数_バス貨物_LPG),MATCH(AY1887+1,【参考】排出係数!$AI$4:$AI$671,1)-1,5,BE1887),2,FALSE),IF(OR(AW1887=1,AW1887=2),VLOOKUP(AU1887,INDEX((係数_乗用_ガソリン,係数_乗用_CNG,係数_乗用_軽油,係数_乗用_メタノール,係数_乗用_LPG),1,1,BE1887):INDEX((係数_乗用_ガソリン,係数_乗用_CNG,係数_乗用_軽油,係数_乗用_メタノール,係数_乗用_LPG),125,5,BE1887),2,FALSE))))))</f>
        <v/>
      </c>
      <c r="BB1887" s="468" t="str">
        <f>IF(T1887="","",IF(OR(AU1887="",AU1887="-"),"－",IF(OR(AZ1887=8,AZ1887=9),"",IF(OR(AW1887=3,AW1887=4,AW1887=5,AW1887=6),VLOOKUP(AU1887,INDEX((係数_バス貨物_ガソリン,係数_バス貨物_CNG,係数_バス貨物_軽油,係数_バス貨物_メタノール,係数_バス貨物_LPG),MATCH(AY1887,【参考】排出係数!$AI$4:$AI$671,1),1,BE1887):INDEX((係数_バス貨物_ガソリン,係数_バス貨物_CNG,係数_バス貨物_軽油,係数_バス貨物_メタノール,係数_バス貨物_LPG),MATCH(AY1887+1,【参考】排出係数!$AI$4:$AI$671,1)-1,5,BE1887),3,FALSE),IF(OR(AW1887=1,AW1887=2),VLOOKUP(AU1887,INDEX((係数_乗用_ガソリン,係数_乗用_CNG,係数_乗用_軽油,係数_乗用_メタノール,係数_乗用_LPG),1,1,BE1887):INDEX((係数_乗用_ガソリン,係数_乗用_CNG,係数_乗用_軽油,係数_乗用_メタノール,係数_乗用_LPG),125,5,BE1887),3,FALSE))))))</f>
        <v/>
      </c>
      <c r="BC1887" s="467" t="str">
        <f t="shared" si="1090"/>
        <v/>
      </c>
      <c r="BD1887" s="567" t="str">
        <f t="shared" si="1091"/>
        <v/>
      </c>
      <c r="BE1887" s="467" t="str">
        <f t="shared" si="1092"/>
        <v/>
      </c>
      <c r="BF1887" s="469" t="str">
        <f t="shared" ca="1" si="1093"/>
        <v/>
      </c>
      <c r="BG1887" s="469" t="str">
        <f t="shared" ca="1" si="1094"/>
        <v/>
      </c>
      <c r="BH1887" s="467" t="str">
        <f t="shared" si="1095"/>
        <v/>
      </c>
      <c r="BI1887" s="467" t="str">
        <f t="shared" ca="1" si="1096"/>
        <v/>
      </c>
      <c r="BJ1887" s="469" t="str">
        <f t="shared" si="1097"/>
        <v/>
      </c>
      <c r="BK1887" s="470" t="str">
        <f t="shared" si="1081"/>
        <v/>
      </c>
      <c r="BL1887" s="775" t="str">
        <f t="shared" si="1098"/>
        <v/>
      </c>
      <c r="BM1887" s="775" t="str">
        <f t="shared" si="1099"/>
        <v/>
      </c>
    </row>
    <row r="1888" spans="1:65">
      <c r="A1888" s="473">
        <v>1832</v>
      </c>
      <c r="B1888" s="132"/>
      <c r="C1888" s="332"/>
      <c r="D1888" s="333"/>
      <c r="E1888" s="333"/>
      <c r="F1888" s="334"/>
      <c r="G1888" s="337"/>
      <c r="H1888" s="131"/>
      <c r="I1888" s="337"/>
      <c r="J1888" s="131"/>
      <c r="K1888" s="458" t="str">
        <f t="shared" si="1062"/>
        <v/>
      </c>
      <c r="L1888" s="458">
        <f t="shared" si="1063"/>
        <v>0</v>
      </c>
      <c r="M1888" s="458">
        <f t="shared" si="1064"/>
        <v>0</v>
      </c>
      <c r="N1888" s="459" t="str">
        <f t="shared" si="1075"/>
        <v/>
      </c>
      <c r="O1888" s="459" t="str">
        <f t="shared" si="1076"/>
        <v/>
      </c>
      <c r="P1888" s="459" t="str">
        <f t="shared" si="1077"/>
        <v/>
      </c>
      <c r="Q1888" s="459" t="str">
        <f t="shared" si="1078"/>
        <v/>
      </c>
      <c r="R1888" s="459" t="str">
        <f t="shared" si="1079"/>
        <v/>
      </c>
      <c r="S1888" s="459" t="str">
        <f t="shared" si="1080"/>
        <v/>
      </c>
      <c r="T1888" s="566" t="str">
        <f t="shared" si="1065"/>
        <v/>
      </c>
      <c r="U1888" s="702"/>
      <c r="V1888" s="132"/>
      <c r="W1888" s="133"/>
      <c r="X1888" s="134"/>
      <c r="Y1888" s="135"/>
      <c r="Z1888" s="137"/>
      <c r="AA1888" s="136"/>
      <c r="AB1888" s="566" t="str">
        <f t="shared" si="1066"/>
        <v/>
      </c>
      <c r="AC1888" s="568" t="str">
        <f t="shared" si="1067"/>
        <v/>
      </c>
      <c r="AD1888" s="137"/>
      <c r="AE1888" s="137"/>
      <c r="AF1888" s="138"/>
      <c r="AG1888" s="138"/>
      <c r="AH1888" s="592" t="str">
        <f t="shared" si="1068"/>
        <v/>
      </c>
      <c r="AI1888" s="592" t="str">
        <f t="shared" si="1069"/>
        <v/>
      </c>
      <c r="AJ1888" s="592" t="str">
        <f t="shared" si="1070"/>
        <v/>
      </c>
      <c r="AK1888" s="460" t="str">
        <f>IF(AU1888="","",IF(OR(AZ1888=8,AZ1888=9),0,IF(OR(AW1888=3,AW1888=4,AW1888=5,AW1888=6),IF(LEFT(BF1888,1)="1",INDEX(係数_NOX・PM低減,MATCH(AY1888,【参考】排出係数!$AI$801:$AI$804,1),1),VLOOKUP(AU1888,INDEX((係数_バス貨物_ガソリン,係数_バス貨物_CNG,係数_バス貨物_軽油,係数_バス貨物_メタノール,係数_バス貨物_LPG),MATCH(AY1888,【参考】排出係数!$AI$4:$AI$671,1),1,BE1888):INDEX((係数_バス貨物_ガソリン,係数_バス貨物_CNG,係数_バス貨物_軽油,係数_バス貨物_メタノール,係数_バス貨物_LPG),MATCH(AY1888+1,【参考】排出係数!$AI$4:$AI$671,1)-1,5,BE1888),4,FALSE)),IF(AND(BE1888=3,LEFT(BF1888,1)="1"),0.48,VLOOKUP(AU1888,INDEX((係数_乗用_ガソリン,係数_乗用_CNG,係数_乗用_軽油,係数_乗用_メタノール,係数_乗用_LPG),1,1,BE1888):INDEX((係数_乗用_ガソリン,係数_乗用_CNG,係数_乗用_軽油,係数_乗用_メタノール,係数_乗用_LPG),125,5,BE1888),4,FALSE)))))</f>
        <v/>
      </c>
      <c r="AL1888" s="461" t="str">
        <f t="shared" si="1071"/>
        <v/>
      </c>
      <c r="AM1888" s="460" t="str">
        <f>IF(AU1888="","",IF(OR(AZ1888=8,AZ1888=9),0,IF(OR(AW1888=3,AW1888=4,AW1888=5,AW1888=6),IF(LEFT(BH1888,1)="1",INDEX(係数_PM低減,MATCH(AY1888,【参考】排出係数!$AI$801:$AI$804,1),MATCH(BI1888,【参考】排出係数!$AL$798:$AO$798,1)),VLOOKUP(AU1888,INDEX((係数_バス貨物_ガソリン,係数_バス貨物_CNG,係数_バス貨物_軽油,係数_バス貨物_メタノール,係数_バス貨物_LPG),MATCH(AY1888,【参考】排出係数!$AI$4:$AI$671,1),1,BE1888):INDEX((係数_バス貨物_ガソリン,係数_バス貨物_CNG,係数_バス貨物_軽油,係数_バス貨物_メタノール,係数_バス貨物_LPG),MATCH(AY1888+1,【参考】排出係数!$AI$4:$AI$671,1)-1,5,BE1888),5,FALSE)),IF(AND(BE1888=3,LEFT(BF1888,1)="1"),0.055,VLOOKUP(AU1888,INDEX((係数_乗用_ガソリン,係数_乗用_CNG,係数_乗用_軽油,係数_乗用_メタノール,係数_乗用_LPG),1,1,BE1888):INDEX((係数_乗用_ガソリン,係数_乗用_CNG,係数_乗用_軽油,係数_乗用_メタノール,係数_乗用_LPG),125,5,BE1888),5,FALSE)))))</f>
        <v/>
      </c>
      <c r="AN1888" s="461" t="str">
        <f t="shared" si="1072"/>
        <v/>
      </c>
      <c r="AO1888" s="462" t="str">
        <f t="shared" si="1073"/>
        <v/>
      </c>
      <c r="AP1888" s="463" t="str">
        <f t="shared" si="1074"/>
        <v/>
      </c>
      <c r="AQ1888" s="464"/>
      <c r="AR1888" s="619"/>
      <c r="AS1888" s="465" t="str">
        <f t="shared" si="1082"/>
        <v/>
      </c>
      <c r="AT1888" s="465" t="str">
        <f t="shared" si="1083"/>
        <v/>
      </c>
      <c r="AU1888" s="466" t="str">
        <f t="shared" si="1084"/>
        <v/>
      </c>
      <c r="AV1888" s="467" t="str">
        <f t="shared" si="1085"/>
        <v/>
      </c>
      <c r="AW1888" s="467" t="str">
        <f t="shared" si="1086"/>
        <v/>
      </c>
      <c r="AX1888" s="467" t="str">
        <f t="shared" si="1087"/>
        <v/>
      </c>
      <c r="AY1888" s="467" t="str">
        <f t="shared" si="1088"/>
        <v/>
      </c>
      <c r="AZ1888" s="467" t="str">
        <f t="shared" si="1089"/>
        <v/>
      </c>
      <c r="BA1888" s="468" t="str">
        <f>IF(AS1888="","",IF(OR(AU1888="",AU1888="-"),"－",IF(OR(AZ1888=8,AZ1888=9),"",IF(OR(AW1888=3,AW1888=4,AW1888=5,AW1888=6),VLOOKUP(AU1888,INDEX((係数_バス貨物_ガソリン,係数_バス貨物_CNG,係数_バス貨物_軽油,係数_バス貨物_メタノール,係数_バス貨物_LPG),MATCH(AY1888,【参考】排出係数!$AI$4:$AI$671,1),1,BE1888):INDEX((係数_バス貨物_ガソリン,係数_バス貨物_CNG,係数_バス貨物_軽油,係数_バス貨物_メタノール,係数_バス貨物_LPG),MATCH(AY1888+1,【参考】排出係数!$AI$4:$AI$671,1)-1,5,BE1888),2,FALSE),IF(OR(AW1888=1,AW1888=2),VLOOKUP(AU1888,INDEX((係数_乗用_ガソリン,係数_乗用_CNG,係数_乗用_軽油,係数_乗用_メタノール,係数_乗用_LPG),1,1,BE1888):INDEX((係数_乗用_ガソリン,係数_乗用_CNG,係数_乗用_軽油,係数_乗用_メタノール,係数_乗用_LPG),125,5,BE1888),2,FALSE))))))</f>
        <v/>
      </c>
      <c r="BB1888" s="468" t="str">
        <f>IF(T1888="","",IF(OR(AU1888="",AU1888="-"),"－",IF(OR(AZ1888=8,AZ1888=9),"",IF(OR(AW1888=3,AW1888=4,AW1888=5,AW1888=6),VLOOKUP(AU1888,INDEX((係数_バス貨物_ガソリン,係数_バス貨物_CNG,係数_バス貨物_軽油,係数_バス貨物_メタノール,係数_バス貨物_LPG),MATCH(AY1888,【参考】排出係数!$AI$4:$AI$671,1),1,BE1888):INDEX((係数_バス貨物_ガソリン,係数_バス貨物_CNG,係数_バス貨物_軽油,係数_バス貨物_メタノール,係数_バス貨物_LPG),MATCH(AY1888+1,【参考】排出係数!$AI$4:$AI$671,1)-1,5,BE1888),3,FALSE),IF(OR(AW1888=1,AW1888=2),VLOOKUP(AU1888,INDEX((係数_乗用_ガソリン,係数_乗用_CNG,係数_乗用_軽油,係数_乗用_メタノール,係数_乗用_LPG),1,1,BE1888):INDEX((係数_乗用_ガソリン,係数_乗用_CNG,係数_乗用_軽油,係数_乗用_メタノール,係数_乗用_LPG),125,5,BE1888),3,FALSE))))))</f>
        <v/>
      </c>
      <c r="BC1888" s="467" t="str">
        <f t="shared" si="1090"/>
        <v/>
      </c>
      <c r="BD1888" s="567" t="str">
        <f t="shared" si="1091"/>
        <v/>
      </c>
      <c r="BE1888" s="467" t="str">
        <f t="shared" si="1092"/>
        <v/>
      </c>
      <c r="BF1888" s="469" t="str">
        <f t="shared" ca="1" si="1093"/>
        <v/>
      </c>
      <c r="BG1888" s="469" t="str">
        <f t="shared" ca="1" si="1094"/>
        <v/>
      </c>
      <c r="BH1888" s="467" t="str">
        <f t="shared" si="1095"/>
        <v/>
      </c>
      <c r="BI1888" s="467" t="str">
        <f t="shared" ca="1" si="1096"/>
        <v/>
      </c>
      <c r="BJ1888" s="469" t="str">
        <f t="shared" si="1097"/>
        <v/>
      </c>
      <c r="BK1888" s="470" t="str">
        <f t="shared" si="1081"/>
        <v/>
      </c>
      <c r="BL1888" s="775" t="str">
        <f t="shared" si="1098"/>
        <v/>
      </c>
      <c r="BM1888" s="775" t="str">
        <f t="shared" si="1099"/>
        <v/>
      </c>
    </row>
    <row r="1889" spans="1:65">
      <c r="A1889" s="473">
        <v>1833</v>
      </c>
      <c r="B1889" s="132"/>
      <c r="C1889" s="332"/>
      <c r="D1889" s="333"/>
      <c r="E1889" s="333"/>
      <c r="F1889" s="334"/>
      <c r="G1889" s="337"/>
      <c r="H1889" s="131"/>
      <c r="I1889" s="337"/>
      <c r="J1889" s="131"/>
      <c r="K1889" s="458" t="str">
        <f t="shared" si="1062"/>
        <v/>
      </c>
      <c r="L1889" s="458">
        <f t="shared" si="1063"/>
        <v>0</v>
      </c>
      <c r="M1889" s="458">
        <f t="shared" si="1064"/>
        <v>0</v>
      </c>
      <c r="N1889" s="459" t="str">
        <f t="shared" si="1075"/>
        <v/>
      </c>
      <c r="O1889" s="459" t="str">
        <f t="shared" si="1076"/>
        <v/>
      </c>
      <c r="P1889" s="459" t="str">
        <f t="shared" si="1077"/>
        <v/>
      </c>
      <c r="Q1889" s="459" t="str">
        <f t="shared" si="1078"/>
        <v/>
      </c>
      <c r="R1889" s="459" t="str">
        <f t="shared" si="1079"/>
        <v/>
      </c>
      <c r="S1889" s="459" t="str">
        <f t="shared" si="1080"/>
        <v/>
      </c>
      <c r="T1889" s="566" t="str">
        <f t="shared" si="1065"/>
        <v/>
      </c>
      <c r="U1889" s="702"/>
      <c r="V1889" s="132"/>
      <c r="W1889" s="133"/>
      <c r="X1889" s="134"/>
      <c r="Y1889" s="135"/>
      <c r="Z1889" s="137"/>
      <c r="AA1889" s="136"/>
      <c r="AB1889" s="566" t="str">
        <f t="shared" si="1066"/>
        <v/>
      </c>
      <c r="AC1889" s="568" t="str">
        <f t="shared" si="1067"/>
        <v/>
      </c>
      <c r="AD1889" s="137"/>
      <c r="AE1889" s="137"/>
      <c r="AF1889" s="138"/>
      <c r="AG1889" s="138"/>
      <c r="AH1889" s="592" t="str">
        <f t="shared" si="1068"/>
        <v/>
      </c>
      <c r="AI1889" s="592" t="str">
        <f t="shared" si="1069"/>
        <v/>
      </c>
      <c r="AJ1889" s="592" t="str">
        <f t="shared" si="1070"/>
        <v/>
      </c>
      <c r="AK1889" s="460" t="str">
        <f>IF(AU1889="","",IF(OR(AZ1889=8,AZ1889=9),0,IF(OR(AW1889=3,AW1889=4,AW1889=5,AW1889=6),IF(LEFT(BF1889,1)="1",INDEX(係数_NOX・PM低減,MATCH(AY1889,【参考】排出係数!$AI$801:$AI$804,1),1),VLOOKUP(AU1889,INDEX((係数_バス貨物_ガソリン,係数_バス貨物_CNG,係数_バス貨物_軽油,係数_バス貨物_メタノール,係数_バス貨物_LPG),MATCH(AY1889,【参考】排出係数!$AI$4:$AI$671,1),1,BE1889):INDEX((係数_バス貨物_ガソリン,係数_バス貨物_CNG,係数_バス貨物_軽油,係数_バス貨物_メタノール,係数_バス貨物_LPG),MATCH(AY1889+1,【参考】排出係数!$AI$4:$AI$671,1)-1,5,BE1889),4,FALSE)),IF(AND(BE1889=3,LEFT(BF1889,1)="1"),0.48,VLOOKUP(AU1889,INDEX((係数_乗用_ガソリン,係数_乗用_CNG,係数_乗用_軽油,係数_乗用_メタノール,係数_乗用_LPG),1,1,BE1889):INDEX((係数_乗用_ガソリン,係数_乗用_CNG,係数_乗用_軽油,係数_乗用_メタノール,係数_乗用_LPG),125,5,BE1889),4,FALSE)))))</f>
        <v/>
      </c>
      <c r="AL1889" s="461" t="str">
        <f t="shared" si="1071"/>
        <v/>
      </c>
      <c r="AM1889" s="460" t="str">
        <f>IF(AU1889="","",IF(OR(AZ1889=8,AZ1889=9),0,IF(OR(AW1889=3,AW1889=4,AW1889=5,AW1889=6),IF(LEFT(BH1889,1)="1",INDEX(係数_PM低減,MATCH(AY1889,【参考】排出係数!$AI$801:$AI$804,1),MATCH(BI1889,【参考】排出係数!$AL$798:$AO$798,1)),VLOOKUP(AU1889,INDEX((係数_バス貨物_ガソリン,係数_バス貨物_CNG,係数_バス貨物_軽油,係数_バス貨物_メタノール,係数_バス貨物_LPG),MATCH(AY1889,【参考】排出係数!$AI$4:$AI$671,1),1,BE1889):INDEX((係数_バス貨物_ガソリン,係数_バス貨物_CNG,係数_バス貨物_軽油,係数_バス貨物_メタノール,係数_バス貨物_LPG),MATCH(AY1889+1,【参考】排出係数!$AI$4:$AI$671,1)-1,5,BE1889),5,FALSE)),IF(AND(BE1889=3,LEFT(BF1889,1)="1"),0.055,VLOOKUP(AU1889,INDEX((係数_乗用_ガソリン,係数_乗用_CNG,係数_乗用_軽油,係数_乗用_メタノール,係数_乗用_LPG),1,1,BE1889):INDEX((係数_乗用_ガソリン,係数_乗用_CNG,係数_乗用_軽油,係数_乗用_メタノール,係数_乗用_LPG),125,5,BE1889),5,FALSE)))))</f>
        <v/>
      </c>
      <c r="AN1889" s="461" t="str">
        <f t="shared" si="1072"/>
        <v/>
      </c>
      <c r="AO1889" s="462" t="str">
        <f t="shared" si="1073"/>
        <v/>
      </c>
      <c r="AP1889" s="463" t="str">
        <f t="shared" si="1074"/>
        <v/>
      </c>
      <c r="AQ1889" s="464"/>
      <c r="AR1889" s="619"/>
      <c r="AS1889" s="465" t="str">
        <f t="shared" si="1082"/>
        <v/>
      </c>
      <c r="AT1889" s="465" t="str">
        <f t="shared" si="1083"/>
        <v/>
      </c>
      <c r="AU1889" s="466" t="str">
        <f t="shared" si="1084"/>
        <v/>
      </c>
      <c r="AV1889" s="467" t="str">
        <f t="shared" si="1085"/>
        <v/>
      </c>
      <c r="AW1889" s="467" t="str">
        <f t="shared" si="1086"/>
        <v/>
      </c>
      <c r="AX1889" s="467" t="str">
        <f t="shared" si="1087"/>
        <v/>
      </c>
      <c r="AY1889" s="467" t="str">
        <f t="shared" si="1088"/>
        <v/>
      </c>
      <c r="AZ1889" s="467" t="str">
        <f t="shared" si="1089"/>
        <v/>
      </c>
      <c r="BA1889" s="468" t="str">
        <f>IF(AS1889="","",IF(OR(AU1889="",AU1889="-"),"－",IF(OR(AZ1889=8,AZ1889=9),"",IF(OR(AW1889=3,AW1889=4,AW1889=5,AW1889=6),VLOOKUP(AU1889,INDEX((係数_バス貨物_ガソリン,係数_バス貨物_CNG,係数_バス貨物_軽油,係数_バス貨物_メタノール,係数_バス貨物_LPG),MATCH(AY1889,【参考】排出係数!$AI$4:$AI$671,1),1,BE1889):INDEX((係数_バス貨物_ガソリン,係数_バス貨物_CNG,係数_バス貨物_軽油,係数_バス貨物_メタノール,係数_バス貨物_LPG),MATCH(AY1889+1,【参考】排出係数!$AI$4:$AI$671,1)-1,5,BE1889),2,FALSE),IF(OR(AW1889=1,AW1889=2),VLOOKUP(AU1889,INDEX((係数_乗用_ガソリン,係数_乗用_CNG,係数_乗用_軽油,係数_乗用_メタノール,係数_乗用_LPG),1,1,BE1889):INDEX((係数_乗用_ガソリン,係数_乗用_CNG,係数_乗用_軽油,係数_乗用_メタノール,係数_乗用_LPG),125,5,BE1889),2,FALSE))))))</f>
        <v/>
      </c>
      <c r="BB1889" s="468" t="str">
        <f>IF(T1889="","",IF(OR(AU1889="",AU1889="-"),"－",IF(OR(AZ1889=8,AZ1889=9),"",IF(OR(AW1889=3,AW1889=4,AW1889=5,AW1889=6),VLOOKUP(AU1889,INDEX((係数_バス貨物_ガソリン,係数_バス貨物_CNG,係数_バス貨物_軽油,係数_バス貨物_メタノール,係数_バス貨物_LPG),MATCH(AY1889,【参考】排出係数!$AI$4:$AI$671,1),1,BE1889):INDEX((係数_バス貨物_ガソリン,係数_バス貨物_CNG,係数_バス貨物_軽油,係数_バス貨物_メタノール,係数_バス貨物_LPG),MATCH(AY1889+1,【参考】排出係数!$AI$4:$AI$671,1)-1,5,BE1889),3,FALSE),IF(OR(AW1889=1,AW1889=2),VLOOKUP(AU1889,INDEX((係数_乗用_ガソリン,係数_乗用_CNG,係数_乗用_軽油,係数_乗用_メタノール,係数_乗用_LPG),1,1,BE1889):INDEX((係数_乗用_ガソリン,係数_乗用_CNG,係数_乗用_軽油,係数_乗用_メタノール,係数_乗用_LPG),125,5,BE1889),3,FALSE))))))</f>
        <v/>
      </c>
      <c r="BC1889" s="467" t="str">
        <f t="shared" si="1090"/>
        <v/>
      </c>
      <c r="BD1889" s="567" t="str">
        <f t="shared" si="1091"/>
        <v/>
      </c>
      <c r="BE1889" s="467" t="str">
        <f t="shared" si="1092"/>
        <v/>
      </c>
      <c r="BF1889" s="469" t="str">
        <f t="shared" ca="1" si="1093"/>
        <v/>
      </c>
      <c r="BG1889" s="469" t="str">
        <f t="shared" ca="1" si="1094"/>
        <v/>
      </c>
      <c r="BH1889" s="467" t="str">
        <f t="shared" si="1095"/>
        <v/>
      </c>
      <c r="BI1889" s="467" t="str">
        <f t="shared" ca="1" si="1096"/>
        <v/>
      </c>
      <c r="BJ1889" s="469" t="str">
        <f t="shared" si="1097"/>
        <v/>
      </c>
      <c r="BK1889" s="470" t="str">
        <f t="shared" si="1081"/>
        <v/>
      </c>
      <c r="BL1889" s="775" t="str">
        <f t="shared" si="1098"/>
        <v/>
      </c>
      <c r="BM1889" s="775" t="str">
        <f t="shared" si="1099"/>
        <v/>
      </c>
    </row>
    <row r="1890" spans="1:65">
      <c r="A1890" s="473">
        <v>1834</v>
      </c>
      <c r="B1890" s="132"/>
      <c r="C1890" s="332"/>
      <c r="D1890" s="333"/>
      <c r="E1890" s="333"/>
      <c r="F1890" s="334"/>
      <c r="G1890" s="337"/>
      <c r="H1890" s="131"/>
      <c r="I1890" s="337"/>
      <c r="J1890" s="131"/>
      <c r="K1890" s="458" t="str">
        <f t="shared" si="1062"/>
        <v/>
      </c>
      <c r="L1890" s="458">
        <f t="shared" si="1063"/>
        <v>0</v>
      </c>
      <c r="M1890" s="458">
        <f t="shared" si="1064"/>
        <v>0</v>
      </c>
      <c r="N1890" s="459" t="str">
        <f t="shared" si="1075"/>
        <v/>
      </c>
      <c r="O1890" s="459" t="str">
        <f t="shared" si="1076"/>
        <v/>
      </c>
      <c r="P1890" s="459" t="str">
        <f t="shared" si="1077"/>
        <v/>
      </c>
      <c r="Q1890" s="459" t="str">
        <f t="shared" si="1078"/>
        <v/>
      </c>
      <c r="R1890" s="459" t="str">
        <f t="shared" si="1079"/>
        <v/>
      </c>
      <c r="S1890" s="459" t="str">
        <f t="shared" si="1080"/>
        <v/>
      </c>
      <c r="T1890" s="566" t="str">
        <f t="shared" si="1065"/>
        <v/>
      </c>
      <c r="U1890" s="702"/>
      <c r="V1890" s="132"/>
      <c r="W1890" s="133"/>
      <c r="X1890" s="134"/>
      <c r="Y1890" s="135"/>
      <c r="Z1890" s="137"/>
      <c r="AA1890" s="136"/>
      <c r="AB1890" s="566" t="str">
        <f t="shared" si="1066"/>
        <v/>
      </c>
      <c r="AC1890" s="568" t="str">
        <f t="shared" si="1067"/>
        <v/>
      </c>
      <c r="AD1890" s="137"/>
      <c r="AE1890" s="137"/>
      <c r="AF1890" s="138"/>
      <c r="AG1890" s="138"/>
      <c r="AH1890" s="592" t="str">
        <f t="shared" si="1068"/>
        <v/>
      </c>
      <c r="AI1890" s="592" t="str">
        <f t="shared" si="1069"/>
        <v/>
      </c>
      <c r="AJ1890" s="592" t="str">
        <f t="shared" si="1070"/>
        <v/>
      </c>
      <c r="AK1890" s="460" t="str">
        <f>IF(AU1890="","",IF(OR(AZ1890=8,AZ1890=9),0,IF(OR(AW1890=3,AW1890=4,AW1890=5,AW1890=6),IF(LEFT(BF1890,1)="1",INDEX(係数_NOX・PM低減,MATCH(AY1890,【参考】排出係数!$AI$801:$AI$804,1),1),VLOOKUP(AU1890,INDEX((係数_バス貨物_ガソリン,係数_バス貨物_CNG,係数_バス貨物_軽油,係数_バス貨物_メタノール,係数_バス貨物_LPG),MATCH(AY1890,【参考】排出係数!$AI$4:$AI$671,1),1,BE1890):INDEX((係数_バス貨物_ガソリン,係数_バス貨物_CNG,係数_バス貨物_軽油,係数_バス貨物_メタノール,係数_バス貨物_LPG),MATCH(AY1890+1,【参考】排出係数!$AI$4:$AI$671,1)-1,5,BE1890),4,FALSE)),IF(AND(BE1890=3,LEFT(BF1890,1)="1"),0.48,VLOOKUP(AU1890,INDEX((係数_乗用_ガソリン,係数_乗用_CNG,係数_乗用_軽油,係数_乗用_メタノール,係数_乗用_LPG),1,1,BE1890):INDEX((係数_乗用_ガソリン,係数_乗用_CNG,係数_乗用_軽油,係数_乗用_メタノール,係数_乗用_LPG),125,5,BE1890),4,FALSE)))))</f>
        <v/>
      </c>
      <c r="AL1890" s="461" t="str">
        <f t="shared" si="1071"/>
        <v/>
      </c>
      <c r="AM1890" s="460" t="str">
        <f>IF(AU1890="","",IF(OR(AZ1890=8,AZ1890=9),0,IF(OR(AW1890=3,AW1890=4,AW1890=5,AW1890=6),IF(LEFT(BH1890,1)="1",INDEX(係数_PM低減,MATCH(AY1890,【参考】排出係数!$AI$801:$AI$804,1),MATCH(BI1890,【参考】排出係数!$AL$798:$AO$798,1)),VLOOKUP(AU1890,INDEX((係数_バス貨物_ガソリン,係数_バス貨物_CNG,係数_バス貨物_軽油,係数_バス貨物_メタノール,係数_バス貨物_LPG),MATCH(AY1890,【参考】排出係数!$AI$4:$AI$671,1),1,BE1890):INDEX((係数_バス貨物_ガソリン,係数_バス貨物_CNG,係数_バス貨物_軽油,係数_バス貨物_メタノール,係数_バス貨物_LPG),MATCH(AY1890+1,【参考】排出係数!$AI$4:$AI$671,1)-1,5,BE1890),5,FALSE)),IF(AND(BE1890=3,LEFT(BF1890,1)="1"),0.055,VLOOKUP(AU1890,INDEX((係数_乗用_ガソリン,係数_乗用_CNG,係数_乗用_軽油,係数_乗用_メタノール,係数_乗用_LPG),1,1,BE1890):INDEX((係数_乗用_ガソリン,係数_乗用_CNG,係数_乗用_軽油,係数_乗用_メタノール,係数_乗用_LPG),125,5,BE1890),5,FALSE)))))</f>
        <v/>
      </c>
      <c r="AN1890" s="461" t="str">
        <f t="shared" si="1072"/>
        <v/>
      </c>
      <c r="AO1890" s="462" t="str">
        <f t="shared" si="1073"/>
        <v/>
      </c>
      <c r="AP1890" s="463" t="str">
        <f t="shared" si="1074"/>
        <v/>
      </c>
      <c r="AQ1890" s="464"/>
      <c r="AR1890" s="619"/>
      <c r="AS1890" s="465" t="str">
        <f t="shared" si="1082"/>
        <v/>
      </c>
      <c r="AT1890" s="465" t="str">
        <f t="shared" si="1083"/>
        <v/>
      </c>
      <c r="AU1890" s="466" t="str">
        <f t="shared" si="1084"/>
        <v/>
      </c>
      <c r="AV1890" s="467" t="str">
        <f t="shared" si="1085"/>
        <v/>
      </c>
      <c r="AW1890" s="467" t="str">
        <f t="shared" si="1086"/>
        <v/>
      </c>
      <c r="AX1890" s="467" t="str">
        <f t="shared" si="1087"/>
        <v/>
      </c>
      <c r="AY1890" s="467" t="str">
        <f t="shared" si="1088"/>
        <v/>
      </c>
      <c r="AZ1890" s="467" t="str">
        <f t="shared" si="1089"/>
        <v/>
      </c>
      <c r="BA1890" s="468" t="str">
        <f>IF(AS1890="","",IF(OR(AU1890="",AU1890="-"),"－",IF(OR(AZ1890=8,AZ1890=9),"",IF(OR(AW1890=3,AW1890=4,AW1890=5,AW1890=6),VLOOKUP(AU1890,INDEX((係数_バス貨物_ガソリン,係数_バス貨物_CNG,係数_バス貨物_軽油,係数_バス貨物_メタノール,係数_バス貨物_LPG),MATCH(AY1890,【参考】排出係数!$AI$4:$AI$671,1),1,BE1890):INDEX((係数_バス貨物_ガソリン,係数_バス貨物_CNG,係数_バス貨物_軽油,係数_バス貨物_メタノール,係数_バス貨物_LPG),MATCH(AY1890+1,【参考】排出係数!$AI$4:$AI$671,1)-1,5,BE1890),2,FALSE),IF(OR(AW1890=1,AW1890=2),VLOOKUP(AU1890,INDEX((係数_乗用_ガソリン,係数_乗用_CNG,係数_乗用_軽油,係数_乗用_メタノール,係数_乗用_LPG),1,1,BE1890):INDEX((係数_乗用_ガソリン,係数_乗用_CNG,係数_乗用_軽油,係数_乗用_メタノール,係数_乗用_LPG),125,5,BE1890),2,FALSE))))))</f>
        <v/>
      </c>
      <c r="BB1890" s="468" t="str">
        <f>IF(T1890="","",IF(OR(AU1890="",AU1890="-"),"－",IF(OR(AZ1890=8,AZ1890=9),"",IF(OR(AW1890=3,AW1890=4,AW1890=5,AW1890=6),VLOOKUP(AU1890,INDEX((係数_バス貨物_ガソリン,係数_バス貨物_CNG,係数_バス貨物_軽油,係数_バス貨物_メタノール,係数_バス貨物_LPG),MATCH(AY1890,【参考】排出係数!$AI$4:$AI$671,1),1,BE1890):INDEX((係数_バス貨物_ガソリン,係数_バス貨物_CNG,係数_バス貨物_軽油,係数_バス貨物_メタノール,係数_バス貨物_LPG),MATCH(AY1890+1,【参考】排出係数!$AI$4:$AI$671,1)-1,5,BE1890),3,FALSE),IF(OR(AW1890=1,AW1890=2),VLOOKUP(AU1890,INDEX((係数_乗用_ガソリン,係数_乗用_CNG,係数_乗用_軽油,係数_乗用_メタノール,係数_乗用_LPG),1,1,BE1890):INDEX((係数_乗用_ガソリン,係数_乗用_CNG,係数_乗用_軽油,係数_乗用_メタノール,係数_乗用_LPG),125,5,BE1890),3,FALSE))))))</f>
        <v/>
      </c>
      <c r="BC1890" s="467" t="str">
        <f t="shared" si="1090"/>
        <v/>
      </c>
      <c r="BD1890" s="567" t="str">
        <f t="shared" si="1091"/>
        <v/>
      </c>
      <c r="BE1890" s="467" t="str">
        <f t="shared" si="1092"/>
        <v/>
      </c>
      <c r="BF1890" s="469" t="str">
        <f t="shared" ca="1" si="1093"/>
        <v/>
      </c>
      <c r="BG1890" s="469" t="str">
        <f t="shared" ca="1" si="1094"/>
        <v/>
      </c>
      <c r="BH1890" s="467" t="str">
        <f t="shared" si="1095"/>
        <v/>
      </c>
      <c r="BI1890" s="467" t="str">
        <f t="shared" ca="1" si="1096"/>
        <v/>
      </c>
      <c r="BJ1890" s="469" t="str">
        <f t="shared" si="1097"/>
        <v/>
      </c>
      <c r="BK1890" s="470" t="str">
        <f t="shared" si="1081"/>
        <v/>
      </c>
      <c r="BL1890" s="775" t="str">
        <f t="shared" si="1098"/>
        <v/>
      </c>
      <c r="BM1890" s="775" t="str">
        <f t="shared" si="1099"/>
        <v/>
      </c>
    </row>
    <row r="1891" spans="1:65">
      <c r="A1891" s="473">
        <v>1835</v>
      </c>
      <c r="B1891" s="132"/>
      <c r="C1891" s="332"/>
      <c r="D1891" s="333"/>
      <c r="E1891" s="333"/>
      <c r="F1891" s="334"/>
      <c r="G1891" s="337"/>
      <c r="H1891" s="131"/>
      <c r="I1891" s="337"/>
      <c r="J1891" s="131"/>
      <c r="K1891" s="458" t="str">
        <f t="shared" si="1062"/>
        <v/>
      </c>
      <c r="L1891" s="458">
        <f t="shared" si="1063"/>
        <v>0</v>
      </c>
      <c r="M1891" s="458">
        <f t="shared" si="1064"/>
        <v>0</v>
      </c>
      <c r="N1891" s="459" t="str">
        <f t="shared" si="1075"/>
        <v/>
      </c>
      <c r="O1891" s="459" t="str">
        <f t="shared" si="1076"/>
        <v/>
      </c>
      <c r="P1891" s="459" t="str">
        <f t="shared" si="1077"/>
        <v/>
      </c>
      <c r="Q1891" s="459" t="str">
        <f t="shared" si="1078"/>
        <v/>
      </c>
      <c r="R1891" s="459" t="str">
        <f t="shared" si="1079"/>
        <v/>
      </c>
      <c r="S1891" s="459" t="str">
        <f t="shared" si="1080"/>
        <v/>
      </c>
      <c r="T1891" s="566" t="str">
        <f t="shared" si="1065"/>
        <v/>
      </c>
      <c r="U1891" s="702"/>
      <c r="V1891" s="132"/>
      <c r="W1891" s="133"/>
      <c r="X1891" s="134"/>
      <c r="Y1891" s="135"/>
      <c r="Z1891" s="137"/>
      <c r="AA1891" s="136"/>
      <c r="AB1891" s="566" t="str">
        <f t="shared" si="1066"/>
        <v/>
      </c>
      <c r="AC1891" s="568" t="str">
        <f t="shared" si="1067"/>
        <v/>
      </c>
      <c r="AD1891" s="137"/>
      <c r="AE1891" s="137"/>
      <c r="AF1891" s="138"/>
      <c r="AG1891" s="138"/>
      <c r="AH1891" s="592" t="str">
        <f t="shared" si="1068"/>
        <v/>
      </c>
      <c r="AI1891" s="592" t="str">
        <f t="shared" si="1069"/>
        <v/>
      </c>
      <c r="AJ1891" s="592" t="str">
        <f t="shared" si="1070"/>
        <v/>
      </c>
      <c r="AK1891" s="460" t="str">
        <f>IF(AU1891="","",IF(OR(AZ1891=8,AZ1891=9),0,IF(OR(AW1891=3,AW1891=4,AW1891=5,AW1891=6),IF(LEFT(BF1891,1)="1",INDEX(係数_NOX・PM低減,MATCH(AY1891,【参考】排出係数!$AI$801:$AI$804,1),1),VLOOKUP(AU1891,INDEX((係数_バス貨物_ガソリン,係数_バス貨物_CNG,係数_バス貨物_軽油,係数_バス貨物_メタノール,係数_バス貨物_LPG),MATCH(AY1891,【参考】排出係数!$AI$4:$AI$671,1),1,BE1891):INDEX((係数_バス貨物_ガソリン,係数_バス貨物_CNG,係数_バス貨物_軽油,係数_バス貨物_メタノール,係数_バス貨物_LPG),MATCH(AY1891+1,【参考】排出係数!$AI$4:$AI$671,1)-1,5,BE1891),4,FALSE)),IF(AND(BE1891=3,LEFT(BF1891,1)="1"),0.48,VLOOKUP(AU1891,INDEX((係数_乗用_ガソリン,係数_乗用_CNG,係数_乗用_軽油,係数_乗用_メタノール,係数_乗用_LPG),1,1,BE1891):INDEX((係数_乗用_ガソリン,係数_乗用_CNG,係数_乗用_軽油,係数_乗用_メタノール,係数_乗用_LPG),125,5,BE1891),4,FALSE)))))</f>
        <v/>
      </c>
      <c r="AL1891" s="461" t="str">
        <f t="shared" si="1071"/>
        <v/>
      </c>
      <c r="AM1891" s="460" t="str">
        <f>IF(AU1891="","",IF(OR(AZ1891=8,AZ1891=9),0,IF(OR(AW1891=3,AW1891=4,AW1891=5,AW1891=6),IF(LEFT(BH1891,1)="1",INDEX(係数_PM低減,MATCH(AY1891,【参考】排出係数!$AI$801:$AI$804,1),MATCH(BI1891,【参考】排出係数!$AL$798:$AO$798,1)),VLOOKUP(AU1891,INDEX((係数_バス貨物_ガソリン,係数_バス貨物_CNG,係数_バス貨物_軽油,係数_バス貨物_メタノール,係数_バス貨物_LPG),MATCH(AY1891,【参考】排出係数!$AI$4:$AI$671,1),1,BE1891):INDEX((係数_バス貨物_ガソリン,係数_バス貨物_CNG,係数_バス貨物_軽油,係数_バス貨物_メタノール,係数_バス貨物_LPG),MATCH(AY1891+1,【参考】排出係数!$AI$4:$AI$671,1)-1,5,BE1891),5,FALSE)),IF(AND(BE1891=3,LEFT(BF1891,1)="1"),0.055,VLOOKUP(AU1891,INDEX((係数_乗用_ガソリン,係数_乗用_CNG,係数_乗用_軽油,係数_乗用_メタノール,係数_乗用_LPG),1,1,BE1891):INDEX((係数_乗用_ガソリン,係数_乗用_CNG,係数_乗用_軽油,係数_乗用_メタノール,係数_乗用_LPG),125,5,BE1891),5,FALSE)))))</f>
        <v/>
      </c>
      <c r="AN1891" s="461" t="str">
        <f t="shared" si="1072"/>
        <v/>
      </c>
      <c r="AO1891" s="462" t="str">
        <f t="shared" si="1073"/>
        <v/>
      </c>
      <c r="AP1891" s="463" t="str">
        <f t="shared" si="1074"/>
        <v/>
      </c>
      <c r="AQ1891" s="464"/>
      <c r="AR1891" s="619"/>
      <c r="AS1891" s="465" t="str">
        <f t="shared" si="1082"/>
        <v/>
      </c>
      <c r="AT1891" s="465" t="str">
        <f t="shared" si="1083"/>
        <v/>
      </c>
      <c r="AU1891" s="466" t="str">
        <f t="shared" si="1084"/>
        <v/>
      </c>
      <c r="AV1891" s="467" t="str">
        <f t="shared" si="1085"/>
        <v/>
      </c>
      <c r="AW1891" s="467" t="str">
        <f t="shared" si="1086"/>
        <v/>
      </c>
      <c r="AX1891" s="467" t="str">
        <f t="shared" si="1087"/>
        <v/>
      </c>
      <c r="AY1891" s="467" t="str">
        <f t="shared" si="1088"/>
        <v/>
      </c>
      <c r="AZ1891" s="467" t="str">
        <f t="shared" si="1089"/>
        <v/>
      </c>
      <c r="BA1891" s="468" t="str">
        <f>IF(AS1891="","",IF(OR(AU1891="",AU1891="-"),"－",IF(OR(AZ1891=8,AZ1891=9),"",IF(OR(AW1891=3,AW1891=4,AW1891=5,AW1891=6),VLOOKUP(AU1891,INDEX((係数_バス貨物_ガソリン,係数_バス貨物_CNG,係数_バス貨物_軽油,係数_バス貨物_メタノール,係数_バス貨物_LPG),MATCH(AY1891,【参考】排出係数!$AI$4:$AI$671,1),1,BE1891):INDEX((係数_バス貨物_ガソリン,係数_バス貨物_CNG,係数_バス貨物_軽油,係数_バス貨物_メタノール,係数_バス貨物_LPG),MATCH(AY1891+1,【参考】排出係数!$AI$4:$AI$671,1)-1,5,BE1891),2,FALSE),IF(OR(AW1891=1,AW1891=2),VLOOKUP(AU1891,INDEX((係数_乗用_ガソリン,係数_乗用_CNG,係数_乗用_軽油,係数_乗用_メタノール,係数_乗用_LPG),1,1,BE1891):INDEX((係数_乗用_ガソリン,係数_乗用_CNG,係数_乗用_軽油,係数_乗用_メタノール,係数_乗用_LPG),125,5,BE1891),2,FALSE))))))</f>
        <v/>
      </c>
      <c r="BB1891" s="468" t="str">
        <f>IF(T1891="","",IF(OR(AU1891="",AU1891="-"),"－",IF(OR(AZ1891=8,AZ1891=9),"",IF(OR(AW1891=3,AW1891=4,AW1891=5,AW1891=6),VLOOKUP(AU1891,INDEX((係数_バス貨物_ガソリン,係数_バス貨物_CNG,係数_バス貨物_軽油,係数_バス貨物_メタノール,係数_バス貨物_LPG),MATCH(AY1891,【参考】排出係数!$AI$4:$AI$671,1),1,BE1891):INDEX((係数_バス貨物_ガソリン,係数_バス貨物_CNG,係数_バス貨物_軽油,係数_バス貨物_メタノール,係数_バス貨物_LPG),MATCH(AY1891+1,【参考】排出係数!$AI$4:$AI$671,1)-1,5,BE1891),3,FALSE),IF(OR(AW1891=1,AW1891=2),VLOOKUP(AU1891,INDEX((係数_乗用_ガソリン,係数_乗用_CNG,係数_乗用_軽油,係数_乗用_メタノール,係数_乗用_LPG),1,1,BE1891):INDEX((係数_乗用_ガソリン,係数_乗用_CNG,係数_乗用_軽油,係数_乗用_メタノール,係数_乗用_LPG),125,5,BE1891),3,FALSE))))))</f>
        <v/>
      </c>
      <c r="BC1891" s="467" t="str">
        <f t="shared" si="1090"/>
        <v/>
      </c>
      <c r="BD1891" s="567" t="str">
        <f t="shared" si="1091"/>
        <v/>
      </c>
      <c r="BE1891" s="467" t="str">
        <f t="shared" si="1092"/>
        <v/>
      </c>
      <c r="BF1891" s="469" t="str">
        <f t="shared" ca="1" si="1093"/>
        <v/>
      </c>
      <c r="BG1891" s="469" t="str">
        <f t="shared" ca="1" si="1094"/>
        <v/>
      </c>
      <c r="BH1891" s="467" t="str">
        <f t="shared" si="1095"/>
        <v/>
      </c>
      <c r="BI1891" s="467" t="str">
        <f t="shared" ca="1" si="1096"/>
        <v/>
      </c>
      <c r="BJ1891" s="469" t="str">
        <f t="shared" si="1097"/>
        <v/>
      </c>
      <c r="BK1891" s="470" t="str">
        <f t="shared" si="1081"/>
        <v/>
      </c>
      <c r="BL1891" s="775" t="str">
        <f t="shared" si="1098"/>
        <v/>
      </c>
      <c r="BM1891" s="775" t="str">
        <f t="shared" si="1099"/>
        <v/>
      </c>
    </row>
    <row r="1892" spans="1:65">
      <c r="A1892" s="473">
        <v>1836</v>
      </c>
      <c r="B1892" s="132"/>
      <c r="C1892" s="332"/>
      <c r="D1892" s="333"/>
      <c r="E1892" s="333"/>
      <c r="F1892" s="334"/>
      <c r="G1892" s="337"/>
      <c r="H1892" s="131"/>
      <c r="I1892" s="337"/>
      <c r="J1892" s="131"/>
      <c r="K1892" s="458" t="str">
        <f t="shared" si="1062"/>
        <v/>
      </c>
      <c r="L1892" s="458">
        <f t="shared" si="1063"/>
        <v>0</v>
      </c>
      <c r="M1892" s="458">
        <f t="shared" si="1064"/>
        <v>0</v>
      </c>
      <c r="N1892" s="459" t="str">
        <f t="shared" si="1075"/>
        <v/>
      </c>
      <c r="O1892" s="459" t="str">
        <f t="shared" si="1076"/>
        <v/>
      </c>
      <c r="P1892" s="459" t="str">
        <f t="shared" si="1077"/>
        <v/>
      </c>
      <c r="Q1892" s="459" t="str">
        <f t="shared" si="1078"/>
        <v/>
      </c>
      <c r="R1892" s="459" t="str">
        <f t="shared" si="1079"/>
        <v/>
      </c>
      <c r="S1892" s="459" t="str">
        <f t="shared" si="1080"/>
        <v/>
      </c>
      <c r="T1892" s="566" t="str">
        <f t="shared" si="1065"/>
        <v/>
      </c>
      <c r="U1892" s="702"/>
      <c r="V1892" s="132"/>
      <c r="W1892" s="133"/>
      <c r="X1892" s="134"/>
      <c r="Y1892" s="135"/>
      <c r="Z1892" s="137"/>
      <c r="AA1892" s="136"/>
      <c r="AB1892" s="566" t="str">
        <f t="shared" si="1066"/>
        <v/>
      </c>
      <c r="AC1892" s="568" t="str">
        <f t="shared" si="1067"/>
        <v/>
      </c>
      <c r="AD1892" s="137"/>
      <c r="AE1892" s="137"/>
      <c r="AF1892" s="138"/>
      <c r="AG1892" s="138"/>
      <c r="AH1892" s="592" t="str">
        <f t="shared" si="1068"/>
        <v/>
      </c>
      <c r="AI1892" s="592" t="str">
        <f t="shared" si="1069"/>
        <v/>
      </c>
      <c r="AJ1892" s="592" t="str">
        <f t="shared" si="1070"/>
        <v/>
      </c>
      <c r="AK1892" s="460" t="str">
        <f>IF(AU1892="","",IF(OR(AZ1892=8,AZ1892=9),0,IF(OR(AW1892=3,AW1892=4,AW1892=5,AW1892=6),IF(LEFT(BF1892,1)="1",INDEX(係数_NOX・PM低減,MATCH(AY1892,【参考】排出係数!$AI$801:$AI$804,1),1),VLOOKUP(AU1892,INDEX((係数_バス貨物_ガソリン,係数_バス貨物_CNG,係数_バス貨物_軽油,係数_バス貨物_メタノール,係数_バス貨物_LPG),MATCH(AY1892,【参考】排出係数!$AI$4:$AI$671,1),1,BE1892):INDEX((係数_バス貨物_ガソリン,係数_バス貨物_CNG,係数_バス貨物_軽油,係数_バス貨物_メタノール,係数_バス貨物_LPG),MATCH(AY1892+1,【参考】排出係数!$AI$4:$AI$671,1)-1,5,BE1892),4,FALSE)),IF(AND(BE1892=3,LEFT(BF1892,1)="1"),0.48,VLOOKUP(AU1892,INDEX((係数_乗用_ガソリン,係数_乗用_CNG,係数_乗用_軽油,係数_乗用_メタノール,係数_乗用_LPG),1,1,BE1892):INDEX((係数_乗用_ガソリン,係数_乗用_CNG,係数_乗用_軽油,係数_乗用_メタノール,係数_乗用_LPG),125,5,BE1892),4,FALSE)))))</f>
        <v/>
      </c>
      <c r="AL1892" s="461" t="str">
        <f t="shared" si="1071"/>
        <v/>
      </c>
      <c r="AM1892" s="460" t="str">
        <f>IF(AU1892="","",IF(OR(AZ1892=8,AZ1892=9),0,IF(OR(AW1892=3,AW1892=4,AW1892=5,AW1892=6),IF(LEFT(BH1892,1)="1",INDEX(係数_PM低減,MATCH(AY1892,【参考】排出係数!$AI$801:$AI$804,1),MATCH(BI1892,【参考】排出係数!$AL$798:$AO$798,1)),VLOOKUP(AU1892,INDEX((係数_バス貨物_ガソリン,係数_バス貨物_CNG,係数_バス貨物_軽油,係数_バス貨物_メタノール,係数_バス貨物_LPG),MATCH(AY1892,【参考】排出係数!$AI$4:$AI$671,1),1,BE1892):INDEX((係数_バス貨物_ガソリン,係数_バス貨物_CNG,係数_バス貨物_軽油,係数_バス貨物_メタノール,係数_バス貨物_LPG),MATCH(AY1892+1,【参考】排出係数!$AI$4:$AI$671,1)-1,5,BE1892),5,FALSE)),IF(AND(BE1892=3,LEFT(BF1892,1)="1"),0.055,VLOOKUP(AU1892,INDEX((係数_乗用_ガソリン,係数_乗用_CNG,係数_乗用_軽油,係数_乗用_メタノール,係数_乗用_LPG),1,1,BE1892):INDEX((係数_乗用_ガソリン,係数_乗用_CNG,係数_乗用_軽油,係数_乗用_メタノール,係数_乗用_LPG),125,5,BE1892),5,FALSE)))))</f>
        <v/>
      </c>
      <c r="AN1892" s="461" t="str">
        <f t="shared" si="1072"/>
        <v/>
      </c>
      <c r="AO1892" s="462" t="str">
        <f t="shared" si="1073"/>
        <v/>
      </c>
      <c r="AP1892" s="463" t="str">
        <f t="shared" si="1074"/>
        <v/>
      </c>
      <c r="AQ1892" s="464"/>
      <c r="AR1892" s="619"/>
      <c r="AS1892" s="465" t="str">
        <f t="shared" si="1082"/>
        <v/>
      </c>
      <c r="AT1892" s="465" t="str">
        <f t="shared" si="1083"/>
        <v/>
      </c>
      <c r="AU1892" s="466" t="str">
        <f t="shared" si="1084"/>
        <v/>
      </c>
      <c r="AV1892" s="467" t="str">
        <f t="shared" si="1085"/>
        <v/>
      </c>
      <c r="AW1892" s="467" t="str">
        <f t="shared" si="1086"/>
        <v/>
      </c>
      <c r="AX1892" s="467" t="str">
        <f t="shared" si="1087"/>
        <v/>
      </c>
      <c r="AY1892" s="467" t="str">
        <f t="shared" si="1088"/>
        <v/>
      </c>
      <c r="AZ1892" s="467" t="str">
        <f t="shared" si="1089"/>
        <v/>
      </c>
      <c r="BA1892" s="468" t="str">
        <f>IF(AS1892="","",IF(OR(AU1892="",AU1892="-"),"－",IF(OR(AZ1892=8,AZ1892=9),"",IF(OR(AW1892=3,AW1892=4,AW1892=5,AW1892=6),VLOOKUP(AU1892,INDEX((係数_バス貨物_ガソリン,係数_バス貨物_CNG,係数_バス貨物_軽油,係数_バス貨物_メタノール,係数_バス貨物_LPG),MATCH(AY1892,【参考】排出係数!$AI$4:$AI$671,1),1,BE1892):INDEX((係数_バス貨物_ガソリン,係数_バス貨物_CNG,係数_バス貨物_軽油,係数_バス貨物_メタノール,係数_バス貨物_LPG),MATCH(AY1892+1,【参考】排出係数!$AI$4:$AI$671,1)-1,5,BE1892),2,FALSE),IF(OR(AW1892=1,AW1892=2),VLOOKUP(AU1892,INDEX((係数_乗用_ガソリン,係数_乗用_CNG,係数_乗用_軽油,係数_乗用_メタノール,係数_乗用_LPG),1,1,BE1892):INDEX((係数_乗用_ガソリン,係数_乗用_CNG,係数_乗用_軽油,係数_乗用_メタノール,係数_乗用_LPG),125,5,BE1892),2,FALSE))))))</f>
        <v/>
      </c>
      <c r="BB1892" s="468" t="str">
        <f>IF(T1892="","",IF(OR(AU1892="",AU1892="-"),"－",IF(OR(AZ1892=8,AZ1892=9),"",IF(OR(AW1892=3,AW1892=4,AW1892=5,AW1892=6),VLOOKUP(AU1892,INDEX((係数_バス貨物_ガソリン,係数_バス貨物_CNG,係数_バス貨物_軽油,係数_バス貨物_メタノール,係数_バス貨物_LPG),MATCH(AY1892,【参考】排出係数!$AI$4:$AI$671,1),1,BE1892):INDEX((係数_バス貨物_ガソリン,係数_バス貨物_CNG,係数_バス貨物_軽油,係数_バス貨物_メタノール,係数_バス貨物_LPG),MATCH(AY1892+1,【参考】排出係数!$AI$4:$AI$671,1)-1,5,BE1892),3,FALSE),IF(OR(AW1892=1,AW1892=2),VLOOKUP(AU1892,INDEX((係数_乗用_ガソリン,係数_乗用_CNG,係数_乗用_軽油,係数_乗用_メタノール,係数_乗用_LPG),1,1,BE1892):INDEX((係数_乗用_ガソリン,係数_乗用_CNG,係数_乗用_軽油,係数_乗用_メタノール,係数_乗用_LPG),125,5,BE1892),3,FALSE))))))</f>
        <v/>
      </c>
      <c r="BC1892" s="467" t="str">
        <f t="shared" si="1090"/>
        <v/>
      </c>
      <c r="BD1892" s="567" t="str">
        <f t="shared" si="1091"/>
        <v/>
      </c>
      <c r="BE1892" s="467" t="str">
        <f t="shared" si="1092"/>
        <v/>
      </c>
      <c r="BF1892" s="469" t="str">
        <f t="shared" ca="1" si="1093"/>
        <v/>
      </c>
      <c r="BG1892" s="469" t="str">
        <f t="shared" ca="1" si="1094"/>
        <v/>
      </c>
      <c r="BH1892" s="467" t="str">
        <f t="shared" si="1095"/>
        <v/>
      </c>
      <c r="BI1892" s="467" t="str">
        <f t="shared" ca="1" si="1096"/>
        <v/>
      </c>
      <c r="BJ1892" s="469" t="str">
        <f t="shared" si="1097"/>
        <v/>
      </c>
      <c r="BK1892" s="470" t="str">
        <f t="shared" si="1081"/>
        <v/>
      </c>
      <c r="BL1892" s="775" t="str">
        <f t="shared" si="1098"/>
        <v/>
      </c>
      <c r="BM1892" s="775" t="str">
        <f t="shared" si="1099"/>
        <v/>
      </c>
    </row>
    <row r="1893" spans="1:65">
      <c r="A1893" s="473">
        <v>1837</v>
      </c>
      <c r="B1893" s="132"/>
      <c r="C1893" s="332"/>
      <c r="D1893" s="333"/>
      <c r="E1893" s="333"/>
      <c r="F1893" s="334"/>
      <c r="G1893" s="337"/>
      <c r="H1893" s="131"/>
      <c r="I1893" s="337"/>
      <c r="J1893" s="131"/>
      <c r="K1893" s="458" t="str">
        <f t="shared" si="1062"/>
        <v/>
      </c>
      <c r="L1893" s="458">
        <f t="shared" si="1063"/>
        <v>0</v>
      </c>
      <c r="M1893" s="458">
        <f t="shared" si="1064"/>
        <v>0</v>
      </c>
      <c r="N1893" s="459" t="str">
        <f t="shared" si="1075"/>
        <v/>
      </c>
      <c r="O1893" s="459" t="str">
        <f t="shared" si="1076"/>
        <v/>
      </c>
      <c r="P1893" s="459" t="str">
        <f t="shared" si="1077"/>
        <v/>
      </c>
      <c r="Q1893" s="459" t="str">
        <f t="shared" si="1078"/>
        <v/>
      </c>
      <c r="R1893" s="459" t="str">
        <f t="shared" si="1079"/>
        <v/>
      </c>
      <c r="S1893" s="459" t="str">
        <f t="shared" si="1080"/>
        <v/>
      </c>
      <c r="T1893" s="566" t="str">
        <f t="shared" si="1065"/>
        <v/>
      </c>
      <c r="U1893" s="702"/>
      <c r="V1893" s="132"/>
      <c r="W1893" s="133"/>
      <c r="X1893" s="134"/>
      <c r="Y1893" s="135"/>
      <c r="Z1893" s="137"/>
      <c r="AA1893" s="136"/>
      <c r="AB1893" s="566" t="str">
        <f t="shared" si="1066"/>
        <v/>
      </c>
      <c r="AC1893" s="568" t="str">
        <f t="shared" si="1067"/>
        <v/>
      </c>
      <c r="AD1893" s="137"/>
      <c r="AE1893" s="137"/>
      <c r="AF1893" s="138"/>
      <c r="AG1893" s="138"/>
      <c r="AH1893" s="592" t="str">
        <f t="shared" si="1068"/>
        <v/>
      </c>
      <c r="AI1893" s="592" t="str">
        <f t="shared" si="1069"/>
        <v/>
      </c>
      <c r="AJ1893" s="592" t="str">
        <f t="shared" si="1070"/>
        <v/>
      </c>
      <c r="AK1893" s="460" t="str">
        <f>IF(AU1893="","",IF(OR(AZ1893=8,AZ1893=9),0,IF(OR(AW1893=3,AW1893=4,AW1893=5,AW1893=6),IF(LEFT(BF1893,1)="1",INDEX(係数_NOX・PM低減,MATCH(AY1893,【参考】排出係数!$AI$801:$AI$804,1),1),VLOOKUP(AU1893,INDEX((係数_バス貨物_ガソリン,係数_バス貨物_CNG,係数_バス貨物_軽油,係数_バス貨物_メタノール,係数_バス貨物_LPG),MATCH(AY1893,【参考】排出係数!$AI$4:$AI$671,1),1,BE1893):INDEX((係数_バス貨物_ガソリン,係数_バス貨物_CNG,係数_バス貨物_軽油,係数_バス貨物_メタノール,係数_バス貨物_LPG),MATCH(AY1893+1,【参考】排出係数!$AI$4:$AI$671,1)-1,5,BE1893),4,FALSE)),IF(AND(BE1893=3,LEFT(BF1893,1)="1"),0.48,VLOOKUP(AU1893,INDEX((係数_乗用_ガソリン,係数_乗用_CNG,係数_乗用_軽油,係数_乗用_メタノール,係数_乗用_LPG),1,1,BE1893):INDEX((係数_乗用_ガソリン,係数_乗用_CNG,係数_乗用_軽油,係数_乗用_メタノール,係数_乗用_LPG),125,5,BE1893),4,FALSE)))))</f>
        <v/>
      </c>
      <c r="AL1893" s="461" t="str">
        <f t="shared" si="1071"/>
        <v/>
      </c>
      <c r="AM1893" s="460" t="str">
        <f>IF(AU1893="","",IF(OR(AZ1893=8,AZ1893=9),0,IF(OR(AW1893=3,AW1893=4,AW1893=5,AW1893=6),IF(LEFT(BH1893,1)="1",INDEX(係数_PM低減,MATCH(AY1893,【参考】排出係数!$AI$801:$AI$804,1),MATCH(BI1893,【参考】排出係数!$AL$798:$AO$798,1)),VLOOKUP(AU1893,INDEX((係数_バス貨物_ガソリン,係数_バス貨物_CNG,係数_バス貨物_軽油,係数_バス貨物_メタノール,係数_バス貨物_LPG),MATCH(AY1893,【参考】排出係数!$AI$4:$AI$671,1),1,BE1893):INDEX((係数_バス貨物_ガソリン,係数_バス貨物_CNG,係数_バス貨物_軽油,係数_バス貨物_メタノール,係数_バス貨物_LPG),MATCH(AY1893+1,【参考】排出係数!$AI$4:$AI$671,1)-1,5,BE1893),5,FALSE)),IF(AND(BE1893=3,LEFT(BF1893,1)="1"),0.055,VLOOKUP(AU1893,INDEX((係数_乗用_ガソリン,係数_乗用_CNG,係数_乗用_軽油,係数_乗用_メタノール,係数_乗用_LPG),1,1,BE1893):INDEX((係数_乗用_ガソリン,係数_乗用_CNG,係数_乗用_軽油,係数_乗用_メタノール,係数_乗用_LPG),125,5,BE1893),5,FALSE)))))</f>
        <v/>
      </c>
      <c r="AN1893" s="461" t="str">
        <f t="shared" si="1072"/>
        <v/>
      </c>
      <c r="AO1893" s="462" t="str">
        <f t="shared" si="1073"/>
        <v/>
      </c>
      <c r="AP1893" s="463" t="str">
        <f t="shared" si="1074"/>
        <v/>
      </c>
      <c r="AQ1893" s="464"/>
      <c r="AR1893" s="619"/>
      <c r="AS1893" s="465" t="str">
        <f t="shared" si="1082"/>
        <v/>
      </c>
      <c r="AT1893" s="465" t="str">
        <f t="shared" si="1083"/>
        <v/>
      </c>
      <c r="AU1893" s="466" t="str">
        <f t="shared" si="1084"/>
        <v/>
      </c>
      <c r="AV1893" s="467" t="str">
        <f t="shared" si="1085"/>
        <v/>
      </c>
      <c r="AW1893" s="467" t="str">
        <f t="shared" si="1086"/>
        <v/>
      </c>
      <c r="AX1893" s="467" t="str">
        <f t="shared" si="1087"/>
        <v/>
      </c>
      <c r="AY1893" s="467" t="str">
        <f t="shared" si="1088"/>
        <v/>
      </c>
      <c r="AZ1893" s="467" t="str">
        <f t="shared" si="1089"/>
        <v/>
      </c>
      <c r="BA1893" s="468" t="str">
        <f>IF(AS1893="","",IF(OR(AU1893="",AU1893="-"),"－",IF(OR(AZ1893=8,AZ1893=9),"",IF(OR(AW1893=3,AW1893=4,AW1893=5,AW1893=6),VLOOKUP(AU1893,INDEX((係数_バス貨物_ガソリン,係数_バス貨物_CNG,係数_バス貨物_軽油,係数_バス貨物_メタノール,係数_バス貨物_LPG),MATCH(AY1893,【参考】排出係数!$AI$4:$AI$671,1),1,BE1893):INDEX((係数_バス貨物_ガソリン,係数_バス貨物_CNG,係数_バス貨物_軽油,係数_バス貨物_メタノール,係数_バス貨物_LPG),MATCH(AY1893+1,【参考】排出係数!$AI$4:$AI$671,1)-1,5,BE1893),2,FALSE),IF(OR(AW1893=1,AW1893=2),VLOOKUP(AU1893,INDEX((係数_乗用_ガソリン,係数_乗用_CNG,係数_乗用_軽油,係数_乗用_メタノール,係数_乗用_LPG),1,1,BE1893):INDEX((係数_乗用_ガソリン,係数_乗用_CNG,係数_乗用_軽油,係数_乗用_メタノール,係数_乗用_LPG),125,5,BE1893),2,FALSE))))))</f>
        <v/>
      </c>
      <c r="BB1893" s="468" t="str">
        <f>IF(T1893="","",IF(OR(AU1893="",AU1893="-"),"－",IF(OR(AZ1893=8,AZ1893=9),"",IF(OR(AW1893=3,AW1893=4,AW1893=5,AW1893=6),VLOOKUP(AU1893,INDEX((係数_バス貨物_ガソリン,係数_バス貨物_CNG,係数_バス貨物_軽油,係数_バス貨物_メタノール,係数_バス貨物_LPG),MATCH(AY1893,【参考】排出係数!$AI$4:$AI$671,1),1,BE1893):INDEX((係数_バス貨物_ガソリン,係数_バス貨物_CNG,係数_バス貨物_軽油,係数_バス貨物_メタノール,係数_バス貨物_LPG),MATCH(AY1893+1,【参考】排出係数!$AI$4:$AI$671,1)-1,5,BE1893),3,FALSE),IF(OR(AW1893=1,AW1893=2),VLOOKUP(AU1893,INDEX((係数_乗用_ガソリン,係数_乗用_CNG,係数_乗用_軽油,係数_乗用_メタノール,係数_乗用_LPG),1,1,BE1893):INDEX((係数_乗用_ガソリン,係数_乗用_CNG,係数_乗用_軽油,係数_乗用_メタノール,係数_乗用_LPG),125,5,BE1893),3,FALSE))))))</f>
        <v/>
      </c>
      <c r="BC1893" s="467" t="str">
        <f t="shared" si="1090"/>
        <v/>
      </c>
      <c r="BD1893" s="567" t="str">
        <f t="shared" si="1091"/>
        <v/>
      </c>
      <c r="BE1893" s="467" t="str">
        <f t="shared" si="1092"/>
        <v/>
      </c>
      <c r="BF1893" s="469" t="str">
        <f t="shared" ca="1" si="1093"/>
        <v/>
      </c>
      <c r="BG1893" s="469" t="str">
        <f t="shared" ca="1" si="1094"/>
        <v/>
      </c>
      <c r="BH1893" s="467" t="str">
        <f t="shared" si="1095"/>
        <v/>
      </c>
      <c r="BI1893" s="467" t="str">
        <f t="shared" ca="1" si="1096"/>
        <v/>
      </c>
      <c r="BJ1893" s="469" t="str">
        <f t="shared" si="1097"/>
        <v/>
      </c>
      <c r="BK1893" s="470" t="str">
        <f t="shared" si="1081"/>
        <v/>
      </c>
      <c r="BL1893" s="775" t="str">
        <f t="shared" si="1098"/>
        <v/>
      </c>
      <c r="BM1893" s="775" t="str">
        <f t="shared" si="1099"/>
        <v/>
      </c>
    </row>
    <row r="1894" spans="1:65">
      <c r="A1894" s="473">
        <v>1838</v>
      </c>
      <c r="B1894" s="132"/>
      <c r="C1894" s="332"/>
      <c r="D1894" s="333"/>
      <c r="E1894" s="333"/>
      <c r="F1894" s="334"/>
      <c r="G1894" s="337"/>
      <c r="H1894" s="131"/>
      <c r="I1894" s="337"/>
      <c r="J1894" s="131"/>
      <c r="K1894" s="458" t="str">
        <f t="shared" si="1062"/>
        <v/>
      </c>
      <c r="L1894" s="458">
        <f t="shared" si="1063"/>
        <v>0</v>
      </c>
      <c r="M1894" s="458">
        <f t="shared" si="1064"/>
        <v>0</v>
      </c>
      <c r="N1894" s="459" t="str">
        <f t="shared" si="1075"/>
        <v/>
      </c>
      <c r="O1894" s="459" t="str">
        <f t="shared" si="1076"/>
        <v/>
      </c>
      <c r="P1894" s="459" t="str">
        <f t="shared" si="1077"/>
        <v/>
      </c>
      <c r="Q1894" s="459" t="str">
        <f t="shared" si="1078"/>
        <v/>
      </c>
      <c r="R1894" s="459" t="str">
        <f t="shared" si="1079"/>
        <v/>
      </c>
      <c r="S1894" s="459" t="str">
        <f t="shared" si="1080"/>
        <v/>
      </c>
      <c r="T1894" s="566" t="str">
        <f t="shared" si="1065"/>
        <v/>
      </c>
      <c r="U1894" s="702"/>
      <c r="V1894" s="132"/>
      <c r="W1894" s="133"/>
      <c r="X1894" s="134"/>
      <c r="Y1894" s="135"/>
      <c r="Z1894" s="137"/>
      <c r="AA1894" s="136"/>
      <c r="AB1894" s="566" t="str">
        <f t="shared" si="1066"/>
        <v/>
      </c>
      <c r="AC1894" s="568" t="str">
        <f t="shared" si="1067"/>
        <v/>
      </c>
      <c r="AD1894" s="137"/>
      <c r="AE1894" s="137"/>
      <c r="AF1894" s="138"/>
      <c r="AG1894" s="138"/>
      <c r="AH1894" s="592" t="str">
        <f t="shared" si="1068"/>
        <v/>
      </c>
      <c r="AI1894" s="592" t="str">
        <f t="shared" si="1069"/>
        <v/>
      </c>
      <c r="AJ1894" s="592" t="str">
        <f t="shared" si="1070"/>
        <v/>
      </c>
      <c r="AK1894" s="460" t="str">
        <f>IF(AU1894="","",IF(OR(AZ1894=8,AZ1894=9),0,IF(OR(AW1894=3,AW1894=4,AW1894=5,AW1894=6),IF(LEFT(BF1894,1)="1",INDEX(係数_NOX・PM低減,MATCH(AY1894,【参考】排出係数!$AI$801:$AI$804,1),1),VLOOKUP(AU1894,INDEX((係数_バス貨物_ガソリン,係数_バス貨物_CNG,係数_バス貨物_軽油,係数_バス貨物_メタノール,係数_バス貨物_LPG),MATCH(AY1894,【参考】排出係数!$AI$4:$AI$671,1),1,BE1894):INDEX((係数_バス貨物_ガソリン,係数_バス貨物_CNG,係数_バス貨物_軽油,係数_バス貨物_メタノール,係数_バス貨物_LPG),MATCH(AY1894+1,【参考】排出係数!$AI$4:$AI$671,1)-1,5,BE1894),4,FALSE)),IF(AND(BE1894=3,LEFT(BF1894,1)="1"),0.48,VLOOKUP(AU1894,INDEX((係数_乗用_ガソリン,係数_乗用_CNG,係数_乗用_軽油,係数_乗用_メタノール,係数_乗用_LPG),1,1,BE1894):INDEX((係数_乗用_ガソリン,係数_乗用_CNG,係数_乗用_軽油,係数_乗用_メタノール,係数_乗用_LPG),125,5,BE1894),4,FALSE)))))</f>
        <v/>
      </c>
      <c r="AL1894" s="461" t="str">
        <f t="shared" si="1071"/>
        <v/>
      </c>
      <c r="AM1894" s="460" t="str">
        <f>IF(AU1894="","",IF(OR(AZ1894=8,AZ1894=9),0,IF(OR(AW1894=3,AW1894=4,AW1894=5,AW1894=6),IF(LEFT(BH1894,1)="1",INDEX(係数_PM低減,MATCH(AY1894,【参考】排出係数!$AI$801:$AI$804,1),MATCH(BI1894,【参考】排出係数!$AL$798:$AO$798,1)),VLOOKUP(AU1894,INDEX((係数_バス貨物_ガソリン,係数_バス貨物_CNG,係数_バス貨物_軽油,係数_バス貨物_メタノール,係数_バス貨物_LPG),MATCH(AY1894,【参考】排出係数!$AI$4:$AI$671,1),1,BE1894):INDEX((係数_バス貨物_ガソリン,係数_バス貨物_CNG,係数_バス貨物_軽油,係数_バス貨物_メタノール,係数_バス貨物_LPG),MATCH(AY1894+1,【参考】排出係数!$AI$4:$AI$671,1)-1,5,BE1894),5,FALSE)),IF(AND(BE1894=3,LEFT(BF1894,1)="1"),0.055,VLOOKUP(AU1894,INDEX((係数_乗用_ガソリン,係数_乗用_CNG,係数_乗用_軽油,係数_乗用_メタノール,係数_乗用_LPG),1,1,BE1894):INDEX((係数_乗用_ガソリン,係数_乗用_CNG,係数_乗用_軽油,係数_乗用_メタノール,係数_乗用_LPG),125,5,BE1894),5,FALSE)))))</f>
        <v/>
      </c>
      <c r="AN1894" s="461" t="str">
        <f t="shared" si="1072"/>
        <v/>
      </c>
      <c r="AO1894" s="462" t="str">
        <f t="shared" si="1073"/>
        <v/>
      </c>
      <c r="AP1894" s="463" t="str">
        <f t="shared" si="1074"/>
        <v/>
      </c>
      <c r="AQ1894" s="464"/>
      <c r="AR1894" s="619"/>
      <c r="AS1894" s="465" t="str">
        <f t="shared" si="1082"/>
        <v/>
      </c>
      <c r="AT1894" s="465" t="str">
        <f t="shared" si="1083"/>
        <v/>
      </c>
      <c r="AU1894" s="466" t="str">
        <f t="shared" si="1084"/>
        <v/>
      </c>
      <c r="AV1894" s="467" t="str">
        <f t="shared" si="1085"/>
        <v/>
      </c>
      <c r="AW1894" s="467" t="str">
        <f t="shared" si="1086"/>
        <v/>
      </c>
      <c r="AX1894" s="467" t="str">
        <f t="shared" si="1087"/>
        <v/>
      </c>
      <c r="AY1894" s="467" t="str">
        <f t="shared" si="1088"/>
        <v/>
      </c>
      <c r="AZ1894" s="467" t="str">
        <f t="shared" si="1089"/>
        <v/>
      </c>
      <c r="BA1894" s="468" t="str">
        <f>IF(AS1894="","",IF(OR(AU1894="",AU1894="-"),"－",IF(OR(AZ1894=8,AZ1894=9),"",IF(OR(AW1894=3,AW1894=4,AW1894=5,AW1894=6),VLOOKUP(AU1894,INDEX((係数_バス貨物_ガソリン,係数_バス貨物_CNG,係数_バス貨物_軽油,係数_バス貨物_メタノール,係数_バス貨物_LPG),MATCH(AY1894,【参考】排出係数!$AI$4:$AI$671,1),1,BE1894):INDEX((係数_バス貨物_ガソリン,係数_バス貨物_CNG,係数_バス貨物_軽油,係数_バス貨物_メタノール,係数_バス貨物_LPG),MATCH(AY1894+1,【参考】排出係数!$AI$4:$AI$671,1)-1,5,BE1894),2,FALSE),IF(OR(AW1894=1,AW1894=2),VLOOKUP(AU1894,INDEX((係数_乗用_ガソリン,係数_乗用_CNG,係数_乗用_軽油,係数_乗用_メタノール,係数_乗用_LPG),1,1,BE1894):INDEX((係数_乗用_ガソリン,係数_乗用_CNG,係数_乗用_軽油,係数_乗用_メタノール,係数_乗用_LPG),125,5,BE1894),2,FALSE))))))</f>
        <v/>
      </c>
      <c r="BB1894" s="468" t="str">
        <f>IF(T1894="","",IF(OR(AU1894="",AU1894="-"),"－",IF(OR(AZ1894=8,AZ1894=9),"",IF(OR(AW1894=3,AW1894=4,AW1894=5,AW1894=6),VLOOKUP(AU1894,INDEX((係数_バス貨物_ガソリン,係数_バス貨物_CNG,係数_バス貨物_軽油,係数_バス貨物_メタノール,係数_バス貨物_LPG),MATCH(AY1894,【参考】排出係数!$AI$4:$AI$671,1),1,BE1894):INDEX((係数_バス貨物_ガソリン,係数_バス貨物_CNG,係数_バス貨物_軽油,係数_バス貨物_メタノール,係数_バス貨物_LPG),MATCH(AY1894+1,【参考】排出係数!$AI$4:$AI$671,1)-1,5,BE1894),3,FALSE),IF(OR(AW1894=1,AW1894=2),VLOOKUP(AU1894,INDEX((係数_乗用_ガソリン,係数_乗用_CNG,係数_乗用_軽油,係数_乗用_メタノール,係数_乗用_LPG),1,1,BE1894):INDEX((係数_乗用_ガソリン,係数_乗用_CNG,係数_乗用_軽油,係数_乗用_メタノール,係数_乗用_LPG),125,5,BE1894),3,FALSE))))))</f>
        <v/>
      </c>
      <c r="BC1894" s="467" t="str">
        <f t="shared" si="1090"/>
        <v/>
      </c>
      <c r="BD1894" s="567" t="str">
        <f t="shared" si="1091"/>
        <v/>
      </c>
      <c r="BE1894" s="467" t="str">
        <f t="shared" si="1092"/>
        <v/>
      </c>
      <c r="BF1894" s="469" t="str">
        <f t="shared" ca="1" si="1093"/>
        <v/>
      </c>
      <c r="BG1894" s="469" t="str">
        <f t="shared" ca="1" si="1094"/>
        <v/>
      </c>
      <c r="BH1894" s="467" t="str">
        <f t="shared" si="1095"/>
        <v/>
      </c>
      <c r="BI1894" s="467" t="str">
        <f t="shared" ca="1" si="1096"/>
        <v/>
      </c>
      <c r="BJ1894" s="469" t="str">
        <f t="shared" si="1097"/>
        <v/>
      </c>
      <c r="BK1894" s="470" t="str">
        <f t="shared" si="1081"/>
        <v/>
      </c>
      <c r="BL1894" s="775" t="str">
        <f t="shared" si="1098"/>
        <v/>
      </c>
      <c r="BM1894" s="775" t="str">
        <f t="shared" si="1099"/>
        <v/>
      </c>
    </row>
    <row r="1895" spans="1:65">
      <c r="A1895" s="473">
        <v>1839</v>
      </c>
      <c r="B1895" s="132"/>
      <c r="C1895" s="332"/>
      <c r="D1895" s="333"/>
      <c r="E1895" s="333"/>
      <c r="F1895" s="334"/>
      <c r="G1895" s="337"/>
      <c r="H1895" s="131"/>
      <c r="I1895" s="337"/>
      <c r="J1895" s="131"/>
      <c r="K1895" s="458" t="str">
        <f t="shared" si="1062"/>
        <v/>
      </c>
      <c r="L1895" s="458">
        <f t="shared" si="1063"/>
        <v>0</v>
      </c>
      <c r="M1895" s="458">
        <f t="shared" si="1064"/>
        <v>0</v>
      </c>
      <c r="N1895" s="459" t="str">
        <f t="shared" si="1075"/>
        <v/>
      </c>
      <c r="O1895" s="459" t="str">
        <f t="shared" si="1076"/>
        <v/>
      </c>
      <c r="P1895" s="459" t="str">
        <f t="shared" si="1077"/>
        <v/>
      </c>
      <c r="Q1895" s="459" t="str">
        <f t="shared" si="1078"/>
        <v/>
      </c>
      <c r="R1895" s="459" t="str">
        <f t="shared" si="1079"/>
        <v/>
      </c>
      <c r="S1895" s="459" t="str">
        <f t="shared" si="1080"/>
        <v/>
      </c>
      <c r="T1895" s="566" t="str">
        <f t="shared" si="1065"/>
        <v/>
      </c>
      <c r="U1895" s="702"/>
      <c r="V1895" s="132"/>
      <c r="W1895" s="133"/>
      <c r="X1895" s="134"/>
      <c r="Y1895" s="135"/>
      <c r="Z1895" s="137"/>
      <c r="AA1895" s="136"/>
      <c r="AB1895" s="566" t="str">
        <f t="shared" si="1066"/>
        <v/>
      </c>
      <c r="AC1895" s="568" t="str">
        <f t="shared" si="1067"/>
        <v/>
      </c>
      <c r="AD1895" s="137"/>
      <c r="AE1895" s="137"/>
      <c r="AF1895" s="138"/>
      <c r="AG1895" s="138"/>
      <c r="AH1895" s="592" t="str">
        <f t="shared" si="1068"/>
        <v/>
      </c>
      <c r="AI1895" s="592" t="str">
        <f t="shared" si="1069"/>
        <v/>
      </c>
      <c r="AJ1895" s="592" t="str">
        <f t="shared" si="1070"/>
        <v/>
      </c>
      <c r="AK1895" s="460" t="str">
        <f>IF(AU1895="","",IF(OR(AZ1895=8,AZ1895=9),0,IF(OR(AW1895=3,AW1895=4,AW1895=5,AW1895=6),IF(LEFT(BF1895,1)="1",INDEX(係数_NOX・PM低減,MATCH(AY1895,【参考】排出係数!$AI$801:$AI$804,1),1),VLOOKUP(AU1895,INDEX((係数_バス貨物_ガソリン,係数_バス貨物_CNG,係数_バス貨物_軽油,係数_バス貨物_メタノール,係数_バス貨物_LPG),MATCH(AY1895,【参考】排出係数!$AI$4:$AI$671,1),1,BE1895):INDEX((係数_バス貨物_ガソリン,係数_バス貨物_CNG,係数_バス貨物_軽油,係数_バス貨物_メタノール,係数_バス貨物_LPG),MATCH(AY1895+1,【参考】排出係数!$AI$4:$AI$671,1)-1,5,BE1895),4,FALSE)),IF(AND(BE1895=3,LEFT(BF1895,1)="1"),0.48,VLOOKUP(AU1895,INDEX((係数_乗用_ガソリン,係数_乗用_CNG,係数_乗用_軽油,係数_乗用_メタノール,係数_乗用_LPG),1,1,BE1895):INDEX((係数_乗用_ガソリン,係数_乗用_CNG,係数_乗用_軽油,係数_乗用_メタノール,係数_乗用_LPG),125,5,BE1895),4,FALSE)))))</f>
        <v/>
      </c>
      <c r="AL1895" s="461" t="str">
        <f t="shared" si="1071"/>
        <v/>
      </c>
      <c r="AM1895" s="460" t="str">
        <f>IF(AU1895="","",IF(OR(AZ1895=8,AZ1895=9),0,IF(OR(AW1895=3,AW1895=4,AW1895=5,AW1895=6),IF(LEFT(BH1895,1)="1",INDEX(係数_PM低減,MATCH(AY1895,【参考】排出係数!$AI$801:$AI$804,1),MATCH(BI1895,【参考】排出係数!$AL$798:$AO$798,1)),VLOOKUP(AU1895,INDEX((係数_バス貨物_ガソリン,係数_バス貨物_CNG,係数_バス貨物_軽油,係数_バス貨物_メタノール,係数_バス貨物_LPG),MATCH(AY1895,【参考】排出係数!$AI$4:$AI$671,1),1,BE1895):INDEX((係数_バス貨物_ガソリン,係数_バス貨物_CNG,係数_バス貨物_軽油,係数_バス貨物_メタノール,係数_バス貨物_LPG),MATCH(AY1895+1,【参考】排出係数!$AI$4:$AI$671,1)-1,5,BE1895),5,FALSE)),IF(AND(BE1895=3,LEFT(BF1895,1)="1"),0.055,VLOOKUP(AU1895,INDEX((係数_乗用_ガソリン,係数_乗用_CNG,係数_乗用_軽油,係数_乗用_メタノール,係数_乗用_LPG),1,1,BE1895):INDEX((係数_乗用_ガソリン,係数_乗用_CNG,係数_乗用_軽油,係数_乗用_メタノール,係数_乗用_LPG),125,5,BE1895),5,FALSE)))))</f>
        <v/>
      </c>
      <c r="AN1895" s="461" t="str">
        <f t="shared" si="1072"/>
        <v/>
      </c>
      <c r="AO1895" s="462" t="str">
        <f t="shared" si="1073"/>
        <v/>
      </c>
      <c r="AP1895" s="463" t="str">
        <f t="shared" si="1074"/>
        <v/>
      </c>
      <c r="AQ1895" s="464"/>
      <c r="AR1895" s="619"/>
      <c r="AS1895" s="465" t="str">
        <f t="shared" si="1082"/>
        <v/>
      </c>
      <c r="AT1895" s="465" t="str">
        <f t="shared" si="1083"/>
        <v/>
      </c>
      <c r="AU1895" s="466" t="str">
        <f t="shared" si="1084"/>
        <v/>
      </c>
      <c r="AV1895" s="467" t="str">
        <f t="shared" si="1085"/>
        <v/>
      </c>
      <c r="AW1895" s="467" t="str">
        <f t="shared" si="1086"/>
        <v/>
      </c>
      <c r="AX1895" s="467" t="str">
        <f t="shared" si="1087"/>
        <v/>
      </c>
      <c r="AY1895" s="467" t="str">
        <f t="shared" si="1088"/>
        <v/>
      </c>
      <c r="AZ1895" s="467" t="str">
        <f t="shared" si="1089"/>
        <v/>
      </c>
      <c r="BA1895" s="468" t="str">
        <f>IF(AS1895="","",IF(OR(AU1895="",AU1895="-"),"－",IF(OR(AZ1895=8,AZ1895=9),"",IF(OR(AW1895=3,AW1895=4,AW1895=5,AW1895=6),VLOOKUP(AU1895,INDEX((係数_バス貨物_ガソリン,係数_バス貨物_CNG,係数_バス貨物_軽油,係数_バス貨物_メタノール,係数_バス貨物_LPG),MATCH(AY1895,【参考】排出係数!$AI$4:$AI$671,1),1,BE1895):INDEX((係数_バス貨物_ガソリン,係数_バス貨物_CNG,係数_バス貨物_軽油,係数_バス貨物_メタノール,係数_バス貨物_LPG),MATCH(AY1895+1,【参考】排出係数!$AI$4:$AI$671,1)-1,5,BE1895),2,FALSE),IF(OR(AW1895=1,AW1895=2),VLOOKUP(AU1895,INDEX((係数_乗用_ガソリン,係数_乗用_CNG,係数_乗用_軽油,係数_乗用_メタノール,係数_乗用_LPG),1,1,BE1895):INDEX((係数_乗用_ガソリン,係数_乗用_CNG,係数_乗用_軽油,係数_乗用_メタノール,係数_乗用_LPG),125,5,BE1895),2,FALSE))))))</f>
        <v/>
      </c>
      <c r="BB1895" s="468" t="str">
        <f>IF(T1895="","",IF(OR(AU1895="",AU1895="-"),"－",IF(OR(AZ1895=8,AZ1895=9),"",IF(OR(AW1895=3,AW1895=4,AW1895=5,AW1895=6),VLOOKUP(AU1895,INDEX((係数_バス貨物_ガソリン,係数_バス貨物_CNG,係数_バス貨物_軽油,係数_バス貨物_メタノール,係数_バス貨物_LPG),MATCH(AY1895,【参考】排出係数!$AI$4:$AI$671,1),1,BE1895):INDEX((係数_バス貨物_ガソリン,係数_バス貨物_CNG,係数_バス貨物_軽油,係数_バス貨物_メタノール,係数_バス貨物_LPG),MATCH(AY1895+1,【参考】排出係数!$AI$4:$AI$671,1)-1,5,BE1895),3,FALSE),IF(OR(AW1895=1,AW1895=2),VLOOKUP(AU1895,INDEX((係数_乗用_ガソリン,係数_乗用_CNG,係数_乗用_軽油,係数_乗用_メタノール,係数_乗用_LPG),1,1,BE1895):INDEX((係数_乗用_ガソリン,係数_乗用_CNG,係数_乗用_軽油,係数_乗用_メタノール,係数_乗用_LPG),125,5,BE1895),3,FALSE))))))</f>
        <v/>
      </c>
      <c r="BC1895" s="467" t="str">
        <f t="shared" si="1090"/>
        <v/>
      </c>
      <c r="BD1895" s="567" t="str">
        <f t="shared" si="1091"/>
        <v/>
      </c>
      <c r="BE1895" s="467" t="str">
        <f t="shared" si="1092"/>
        <v/>
      </c>
      <c r="BF1895" s="469" t="str">
        <f t="shared" ca="1" si="1093"/>
        <v/>
      </c>
      <c r="BG1895" s="469" t="str">
        <f t="shared" ca="1" si="1094"/>
        <v/>
      </c>
      <c r="BH1895" s="467" t="str">
        <f t="shared" si="1095"/>
        <v/>
      </c>
      <c r="BI1895" s="467" t="str">
        <f t="shared" ca="1" si="1096"/>
        <v/>
      </c>
      <c r="BJ1895" s="469" t="str">
        <f t="shared" si="1097"/>
        <v/>
      </c>
      <c r="BK1895" s="470" t="str">
        <f t="shared" si="1081"/>
        <v/>
      </c>
      <c r="BL1895" s="775" t="str">
        <f t="shared" si="1098"/>
        <v/>
      </c>
      <c r="BM1895" s="775" t="str">
        <f t="shared" si="1099"/>
        <v/>
      </c>
    </row>
    <row r="1896" spans="1:65">
      <c r="A1896" s="473">
        <v>1840</v>
      </c>
      <c r="B1896" s="132"/>
      <c r="C1896" s="332"/>
      <c r="D1896" s="333"/>
      <c r="E1896" s="333"/>
      <c r="F1896" s="334"/>
      <c r="G1896" s="337"/>
      <c r="H1896" s="131"/>
      <c r="I1896" s="337"/>
      <c r="J1896" s="131"/>
      <c r="K1896" s="458" t="str">
        <f t="shared" si="1062"/>
        <v/>
      </c>
      <c r="L1896" s="458">
        <f t="shared" si="1063"/>
        <v>0</v>
      </c>
      <c r="M1896" s="458">
        <f t="shared" si="1064"/>
        <v>0</v>
      </c>
      <c r="N1896" s="459" t="str">
        <f t="shared" si="1075"/>
        <v/>
      </c>
      <c r="O1896" s="459" t="str">
        <f t="shared" si="1076"/>
        <v/>
      </c>
      <c r="P1896" s="459" t="str">
        <f t="shared" si="1077"/>
        <v/>
      </c>
      <c r="Q1896" s="459" t="str">
        <f t="shared" si="1078"/>
        <v/>
      </c>
      <c r="R1896" s="459" t="str">
        <f t="shared" si="1079"/>
        <v/>
      </c>
      <c r="S1896" s="459" t="str">
        <f t="shared" si="1080"/>
        <v/>
      </c>
      <c r="T1896" s="566" t="str">
        <f t="shared" si="1065"/>
        <v/>
      </c>
      <c r="U1896" s="702"/>
      <c r="V1896" s="132"/>
      <c r="W1896" s="133"/>
      <c r="X1896" s="134"/>
      <c r="Y1896" s="135"/>
      <c r="Z1896" s="137"/>
      <c r="AA1896" s="136"/>
      <c r="AB1896" s="566" t="str">
        <f t="shared" si="1066"/>
        <v/>
      </c>
      <c r="AC1896" s="568" t="str">
        <f t="shared" si="1067"/>
        <v/>
      </c>
      <c r="AD1896" s="137"/>
      <c r="AE1896" s="137"/>
      <c r="AF1896" s="138"/>
      <c r="AG1896" s="138"/>
      <c r="AH1896" s="592" t="str">
        <f t="shared" si="1068"/>
        <v/>
      </c>
      <c r="AI1896" s="592" t="str">
        <f t="shared" si="1069"/>
        <v/>
      </c>
      <c r="AJ1896" s="592" t="str">
        <f t="shared" si="1070"/>
        <v/>
      </c>
      <c r="AK1896" s="460" t="str">
        <f>IF(AU1896="","",IF(OR(AZ1896=8,AZ1896=9),0,IF(OR(AW1896=3,AW1896=4,AW1896=5,AW1896=6),IF(LEFT(BF1896,1)="1",INDEX(係数_NOX・PM低減,MATCH(AY1896,【参考】排出係数!$AI$801:$AI$804,1),1),VLOOKUP(AU1896,INDEX((係数_バス貨物_ガソリン,係数_バス貨物_CNG,係数_バス貨物_軽油,係数_バス貨物_メタノール,係数_バス貨物_LPG),MATCH(AY1896,【参考】排出係数!$AI$4:$AI$671,1),1,BE1896):INDEX((係数_バス貨物_ガソリン,係数_バス貨物_CNG,係数_バス貨物_軽油,係数_バス貨物_メタノール,係数_バス貨物_LPG),MATCH(AY1896+1,【参考】排出係数!$AI$4:$AI$671,1)-1,5,BE1896),4,FALSE)),IF(AND(BE1896=3,LEFT(BF1896,1)="1"),0.48,VLOOKUP(AU1896,INDEX((係数_乗用_ガソリン,係数_乗用_CNG,係数_乗用_軽油,係数_乗用_メタノール,係数_乗用_LPG),1,1,BE1896):INDEX((係数_乗用_ガソリン,係数_乗用_CNG,係数_乗用_軽油,係数_乗用_メタノール,係数_乗用_LPG),125,5,BE1896),4,FALSE)))))</f>
        <v/>
      </c>
      <c r="AL1896" s="461" t="str">
        <f t="shared" si="1071"/>
        <v/>
      </c>
      <c r="AM1896" s="460" t="str">
        <f>IF(AU1896="","",IF(OR(AZ1896=8,AZ1896=9),0,IF(OR(AW1896=3,AW1896=4,AW1896=5,AW1896=6),IF(LEFT(BH1896,1)="1",INDEX(係数_PM低減,MATCH(AY1896,【参考】排出係数!$AI$801:$AI$804,1),MATCH(BI1896,【参考】排出係数!$AL$798:$AO$798,1)),VLOOKUP(AU1896,INDEX((係数_バス貨物_ガソリン,係数_バス貨物_CNG,係数_バス貨物_軽油,係数_バス貨物_メタノール,係数_バス貨物_LPG),MATCH(AY1896,【参考】排出係数!$AI$4:$AI$671,1),1,BE1896):INDEX((係数_バス貨物_ガソリン,係数_バス貨物_CNG,係数_バス貨物_軽油,係数_バス貨物_メタノール,係数_バス貨物_LPG),MATCH(AY1896+1,【参考】排出係数!$AI$4:$AI$671,1)-1,5,BE1896),5,FALSE)),IF(AND(BE1896=3,LEFT(BF1896,1)="1"),0.055,VLOOKUP(AU1896,INDEX((係数_乗用_ガソリン,係数_乗用_CNG,係数_乗用_軽油,係数_乗用_メタノール,係数_乗用_LPG),1,1,BE1896):INDEX((係数_乗用_ガソリン,係数_乗用_CNG,係数_乗用_軽油,係数_乗用_メタノール,係数_乗用_LPG),125,5,BE1896),5,FALSE)))))</f>
        <v/>
      </c>
      <c r="AN1896" s="461" t="str">
        <f t="shared" si="1072"/>
        <v/>
      </c>
      <c r="AO1896" s="462" t="str">
        <f t="shared" si="1073"/>
        <v/>
      </c>
      <c r="AP1896" s="463" t="str">
        <f t="shared" si="1074"/>
        <v/>
      </c>
      <c r="AQ1896" s="464"/>
      <c r="AR1896" s="619"/>
      <c r="AS1896" s="465" t="str">
        <f t="shared" si="1082"/>
        <v/>
      </c>
      <c r="AT1896" s="465" t="str">
        <f t="shared" si="1083"/>
        <v/>
      </c>
      <c r="AU1896" s="466" t="str">
        <f t="shared" si="1084"/>
        <v/>
      </c>
      <c r="AV1896" s="467" t="str">
        <f t="shared" si="1085"/>
        <v/>
      </c>
      <c r="AW1896" s="467" t="str">
        <f t="shared" si="1086"/>
        <v/>
      </c>
      <c r="AX1896" s="467" t="str">
        <f t="shared" si="1087"/>
        <v/>
      </c>
      <c r="AY1896" s="467" t="str">
        <f t="shared" si="1088"/>
        <v/>
      </c>
      <c r="AZ1896" s="467" t="str">
        <f t="shared" si="1089"/>
        <v/>
      </c>
      <c r="BA1896" s="468" t="str">
        <f>IF(AS1896="","",IF(OR(AU1896="",AU1896="-"),"－",IF(OR(AZ1896=8,AZ1896=9),"",IF(OR(AW1896=3,AW1896=4,AW1896=5,AW1896=6),VLOOKUP(AU1896,INDEX((係数_バス貨物_ガソリン,係数_バス貨物_CNG,係数_バス貨物_軽油,係数_バス貨物_メタノール,係数_バス貨物_LPG),MATCH(AY1896,【参考】排出係数!$AI$4:$AI$671,1),1,BE1896):INDEX((係数_バス貨物_ガソリン,係数_バス貨物_CNG,係数_バス貨物_軽油,係数_バス貨物_メタノール,係数_バス貨物_LPG),MATCH(AY1896+1,【参考】排出係数!$AI$4:$AI$671,1)-1,5,BE1896),2,FALSE),IF(OR(AW1896=1,AW1896=2),VLOOKUP(AU1896,INDEX((係数_乗用_ガソリン,係数_乗用_CNG,係数_乗用_軽油,係数_乗用_メタノール,係数_乗用_LPG),1,1,BE1896):INDEX((係数_乗用_ガソリン,係数_乗用_CNG,係数_乗用_軽油,係数_乗用_メタノール,係数_乗用_LPG),125,5,BE1896),2,FALSE))))))</f>
        <v/>
      </c>
      <c r="BB1896" s="468" t="str">
        <f>IF(T1896="","",IF(OR(AU1896="",AU1896="-"),"－",IF(OR(AZ1896=8,AZ1896=9),"",IF(OR(AW1896=3,AW1896=4,AW1896=5,AW1896=6),VLOOKUP(AU1896,INDEX((係数_バス貨物_ガソリン,係数_バス貨物_CNG,係数_バス貨物_軽油,係数_バス貨物_メタノール,係数_バス貨物_LPG),MATCH(AY1896,【参考】排出係数!$AI$4:$AI$671,1),1,BE1896):INDEX((係数_バス貨物_ガソリン,係数_バス貨物_CNG,係数_バス貨物_軽油,係数_バス貨物_メタノール,係数_バス貨物_LPG),MATCH(AY1896+1,【参考】排出係数!$AI$4:$AI$671,1)-1,5,BE1896),3,FALSE),IF(OR(AW1896=1,AW1896=2),VLOOKUP(AU1896,INDEX((係数_乗用_ガソリン,係数_乗用_CNG,係数_乗用_軽油,係数_乗用_メタノール,係数_乗用_LPG),1,1,BE1896):INDEX((係数_乗用_ガソリン,係数_乗用_CNG,係数_乗用_軽油,係数_乗用_メタノール,係数_乗用_LPG),125,5,BE1896),3,FALSE))))))</f>
        <v/>
      </c>
      <c r="BC1896" s="467" t="str">
        <f t="shared" si="1090"/>
        <v/>
      </c>
      <c r="BD1896" s="567" t="str">
        <f t="shared" si="1091"/>
        <v/>
      </c>
      <c r="BE1896" s="467" t="str">
        <f t="shared" si="1092"/>
        <v/>
      </c>
      <c r="BF1896" s="469" t="str">
        <f t="shared" ca="1" si="1093"/>
        <v/>
      </c>
      <c r="BG1896" s="469" t="str">
        <f t="shared" ca="1" si="1094"/>
        <v/>
      </c>
      <c r="BH1896" s="467" t="str">
        <f t="shared" si="1095"/>
        <v/>
      </c>
      <c r="BI1896" s="467" t="str">
        <f t="shared" ca="1" si="1096"/>
        <v/>
      </c>
      <c r="BJ1896" s="469" t="str">
        <f t="shared" si="1097"/>
        <v/>
      </c>
      <c r="BK1896" s="470" t="str">
        <f t="shared" si="1081"/>
        <v/>
      </c>
      <c r="BL1896" s="775" t="str">
        <f t="shared" si="1098"/>
        <v/>
      </c>
      <c r="BM1896" s="775" t="str">
        <f t="shared" si="1099"/>
        <v/>
      </c>
    </row>
    <row r="1897" spans="1:65">
      <c r="A1897" s="473">
        <v>1841</v>
      </c>
      <c r="B1897" s="132"/>
      <c r="C1897" s="332"/>
      <c r="D1897" s="333"/>
      <c r="E1897" s="333"/>
      <c r="F1897" s="334"/>
      <c r="G1897" s="337"/>
      <c r="H1897" s="131"/>
      <c r="I1897" s="337"/>
      <c r="J1897" s="131"/>
      <c r="K1897" s="458" t="str">
        <f t="shared" si="1062"/>
        <v/>
      </c>
      <c r="L1897" s="458">
        <f t="shared" si="1063"/>
        <v>0</v>
      </c>
      <c r="M1897" s="458">
        <f t="shared" si="1064"/>
        <v>0</v>
      </c>
      <c r="N1897" s="459" t="str">
        <f t="shared" si="1075"/>
        <v/>
      </c>
      <c r="O1897" s="459" t="str">
        <f t="shared" si="1076"/>
        <v/>
      </c>
      <c r="P1897" s="459" t="str">
        <f t="shared" si="1077"/>
        <v/>
      </c>
      <c r="Q1897" s="459" t="str">
        <f t="shared" si="1078"/>
        <v/>
      </c>
      <c r="R1897" s="459" t="str">
        <f t="shared" si="1079"/>
        <v/>
      </c>
      <c r="S1897" s="459" t="str">
        <f t="shared" si="1080"/>
        <v/>
      </c>
      <c r="T1897" s="566" t="str">
        <f t="shared" si="1065"/>
        <v/>
      </c>
      <c r="U1897" s="702"/>
      <c r="V1897" s="132"/>
      <c r="W1897" s="133"/>
      <c r="X1897" s="134"/>
      <c r="Y1897" s="135"/>
      <c r="Z1897" s="137"/>
      <c r="AA1897" s="136"/>
      <c r="AB1897" s="566" t="str">
        <f t="shared" si="1066"/>
        <v/>
      </c>
      <c r="AC1897" s="568" t="str">
        <f t="shared" si="1067"/>
        <v/>
      </c>
      <c r="AD1897" s="137"/>
      <c r="AE1897" s="137"/>
      <c r="AF1897" s="138"/>
      <c r="AG1897" s="138"/>
      <c r="AH1897" s="592" t="str">
        <f t="shared" si="1068"/>
        <v/>
      </c>
      <c r="AI1897" s="592" t="str">
        <f t="shared" si="1069"/>
        <v/>
      </c>
      <c r="AJ1897" s="592" t="str">
        <f t="shared" si="1070"/>
        <v/>
      </c>
      <c r="AK1897" s="460" t="str">
        <f>IF(AU1897="","",IF(OR(AZ1897=8,AZ1897=9),0,IF(OR(AW1897=3,AW1897=4,AW1897=5,AW1897=6),IF(LEFT(BF1897,1)="1",INDEX(係数_NOX・PM低減,MATCH(AY1897,【参考】排出係数!$AI$801:$AI$804,1),1),VLOOKUP(AU1897,INDEX((係数_バス貨物_ガソリン,係数_バス貨物_CNG,係数_バス貨物_軽油,係数_バス貨物_メタノール,係数_バス貨物_LPG),MATCH(AY1897,【参考】排出係数!$AI$4:$AI$671,1),1,BE1897):INDEX((係数_バス貨物_ガソリン,係数_バス貨物_CNG,係数_バス貨物_軽油,係数_バス貨物_メタノール,係数_バス貨物_LPG),MATCH(AY1897+1,【参考】排出係数!$AI$4:$AI$671,1)-1,5,BE1897),4,FALSE)),IF(AND(BE1897=3,LEFT(BF1897,1)="1"),0.48,VLOOKUP(AU1897,INDEX((係数_乗用_ガソリン,係数_乗用_CNG,係数_乗用_軽油,係数_乗用_メタノール,係数_乗用_LPG),1,1,BE1897):INDEX((係数_乗用_ガソリン,係数_乗用_CNG,係数_乗用_軽油,係数_乗用_メタノール,係数_乗用_LPG),125,5,BE1897),4,FALSE)))))</f>
        <v/>
      </c>
      <c r="AL1897" s="461" t="str">
        <f t="shared" si="1071"/>
        <v/>
      </c>
      <c r="AM1897" s="460" t="str">
        <f>IF(AU1897="","",IF(OR(AZ1897=8,AZ1897=9),0,IF(OR(AW1897=3,AW1897=4,AW1897=5,AW1897=6),IF(LEFT(BH1897,1)="1",INDEX(係数_PM低減,MATCH(AY1897,【参考】排出係数!$AI$801:$AI$804,1),MATCH(BI1897,【参考】排出係数!$AL$798:$AO$798,1)),VLOOKUP(AU1897,INDEX((係数_バス貨物_ガソリン,係数_バス貨物_CNG,係数_バス貨物_軽油,係数_バス貨物_メタノール,係数_バス貨物_LPG),MATCH(AY1897,【参考】排出係数!$AI$4:$AI$671,1),1,BE1897):INDEX((係数_バス貨物_ガソリン,係数_バス貨物_CNG,係数_バス貨物_軽油,係数_バス貨物_メタノール,係数_バス貨物_LPG),MATCH(AY1897+1,【参考】排出係数!$AI$4:$AI$671,1)-1,5,BE1897),5,FALSE)),IF(AND(BE1897=3,LEFT(BF1897,1)="1"),0.055,VLOOKUP(AU1897,INDEX((係数_乗用_ガソリン,係数_乗用_CNG,係数_乗用_軽油,係数_乗用_メタノール,係数_乗用_LPG),1,1,BE1897):INDEX((係数_乗用_ガソリン,係数_乗用_CNG,係数_乗用_軽油,係数_乗用_メタノール,係数_乗用_LPG),125,5,BE1897),5,FALSE)))))</f>
        <v/>
      </c>
      <c r="AN1897" s="461" t="str">
        <f t="shared" si="1072"/>
        <v/>
      </c>
      <c r="AO1897" s="462" t="str">
        <f t="shared" si="1073"/>
        <v/>
      </c>
      <c r="AP1897" s="463" t="str">
        <f t="shared" si="1074"/>
        <v/>
      </c>
      <c r="AQ1897" s="464"/>
      <c r="AR1897" s="619"/>
      <c r="AS1897" s="465" t="str">
        <f t="shared" si="1082"/>
        <v/>
      </c>
      <c r="AT1897" s="465" t="str">
        <f t="shared" si="1083"/>
        <v/>
      </c>
      <c r="AU1897" s="466" t="str">
        <f t="shared" si="1084"/>
        <v/>
      </c>
      <c r="AV1897" s="467" t="str">
        <f t="shared" si="1085"/>
        <v/>
      </c>
      <c r="AW1897" s="467" t="str">
        <f t="shared" si="1086"/>
        <v/>
      </c>
      <c r="AX1897" s="467" t="str">
        <f t="shared" si="1087"/>
        <v/>
      </c>
      <c r="AY1897" s="467" t="str">
        <f t="shared" si="1088"/>
        <v/>
      </c>
      <c r="AZ1897" s="467" t="str">
        <f t="shared" si="1089"/>
        <v/>
      </c>
      <c r="BA1897" s="468" t="str">
        <f>IF(AS1897="","",IF(OR(AU1897="",AU1897="-"),"－",IF(OR(AZ1897=8,AZ1897=9),"",IF(OR(AW1897=3,AW1897=4,AW1897=5,AW1897=6),VLOOKUP(AU1897,INDEX((係数_バス貨物_ガソリン,係数_バス貨物_CNG,係数_バス貨物_軽油,係数_バス貨物_メタノール,係数_バス貨物_LPG),MATCH(AY1897,【参考】排出係数!$AI$4:$AI$671,1),1,BE1897):INDEX((係数_バス貨物_ガソリン,係数_バス貨物_CNG,係数_バス貨物_軽油,係数_バス貨物_メタノール,係数_バス貨物_LPG),MATCH(AY1897+1,【参考】排出係数!$AI$4:$AI$671,1)-1,5,BE1897),2,FALSE),IF(OR(AW1897=1,AW1897=2),VLOOKUP(AU1897,INDEX((係数_乗用_ガソリン,係数_乗用_CNG,係数_乗用_軽油,係数_乗用_メタノール,係数_乗用_LPG),1,1,BE1897):INDEX((係数_乗用_ガソリン,係数_乗用_CNG,係数_乗用_軽油,係数_乗用_メタノール,係数_乗用_LPG),125,5,BE1897),2,FALSE))))))</f>
        <v/>
      </c>
      <c r="BB1897" s="468" t="str">
        <f>IF(T1897="","",IF(OR(AU1897="",AU1897="-"),"－",IF(OR(AZ1897=8,AZ1897=9),"",IF(OR(AW1897=3,AW1897=4,AW1897=5,AW1897=6),VLOOKUP(AU1897,INDEX((係数_バス貨物_ガソリン,係数_バス貨物_CNG,係数_バス貨物_軽油,係数_バス貨物_メタノール,係数_バス貨物_LPG),MATCH(AY1897,【参考】排出係数!$AI$4:$AI$671,1),1,BE1897):INDEX((係数_バス貨物_ガソリン,係数_バス貨物_CNG,係数_バス貨物_軽油,係数_バス貨物_メタノール,係数_バス貨物_LPG),MATCH(AY1897+1,【参考】排出係数!$AI$4:$AI$671,1)-1,5,BE1897),3,FALSE),IF(OR(AW1897=1,AW1897=2),VLOOKUP(AU1897,INDEX((係数_乗用_ガソリン,係数_乗用_CNG,係数_乗用_軽油,係数_乗用_メタノール,係数_乗用_LPG),1,1,BE1897):INDEX((係数_乗用_ガソリン,係数_乗用_CNG,係数_乗用_軽油,係数_乗用_メタノール,係数_乗用_LPG),125,5,BE1897),3,FALSE))))))</f>
        <v/>
      </c>
      <c r="BC1897" s="467" t="str">
        <f t="shared" si="1090"/>
        <v/>
      </c>
      <c r="BD1897" s="567" t="str">
        <f t="shared" si="1091"/>
        <v/>
      </c>
      <c r="BE1897" s="467" t="str">
        <f t="shared" si="1092"/>
        <v/>
      </c>
      <c r="BF1897" s="469" t="str">
        <f t="shared" ca="1" si="1093"/>
        <v/>
      </c>
      <c r="BG1897" s="469" t="str">
        <f t="shared" ca="1" si="1094"/>
        <v/>
      </c>
      <c r="BH1897" s="467" t="str">
        <f t="shared" si="1095"/>
        <v/>
      </c>
      <c r="BI1897" s="467" t="str">
        <f t="shared" ca="1" si="1096"/>
        <v/>
      </c>
      <c r="BJ1897" s="469" t="str">
        <f t="shared" si="1097"/>
        <v/>
      </c>
      <c r="BK1897" s="470" t="str">
        <f t="shared" si="1081"/>
        <v/>
      </c>
      <c r="BL1897" s="775" t="str">
        <f t="shared" si="1098"/>
        <v/>
      </c>
      <c r="BM1897" s="775" t="str">
        <f t="shared" si="1099"/>
        <v/>
      </c>
    </row>
    <row r="1898" spans="1:65">
      <c r="A1898" s="473">
        <v>1842</v>
      </c>
      <c r="B1898" s="132"/>
      <c r="C1898" s="332"/>
      <c r="D1898" s="333"/>
      <c r="E1898" s="333"/>
      <c r="F1898" s="334"/>
      <c r="G1898" s="337"/>
      <c r="H1898" s="131"/>
      <c r="I1898" s="337"/>
      <c r="J1898" s="131"/>
      <c r="K1898" s="458" t="str">
        <f t="shared" si="1062"/>
        <v/>
      </c>
      <c r="L1898" s="458">
        <f t="shared" si="1063"/>
        <v>0</v>
      </c>
      <c r="M1898" s="458">
        <f t="shared" si="1064"/>
        <v>0</v>
      </c>
      <c r="N1898" s="459" t="str">
        <f t="shared" si="1075"/>
        <v/>
      </c>
      <c r="O1898" s="459" t="str">
        <f t="shared" si="1076"/>
        <v/>
      </c>
      <c r="P1898" s="459" t="str">
        <f t="shared" si="1077"/>
        <v/>
      </c>
      <c r="Q1898" s="459" t="str">
        <f t="shared" si="1078"/>
        <v/>
      </c>
      <c r="R1898" s="459" t="str">
        <f t="shared" si="1079"/>
        <v/>
      </c>
      <c r="S1898" s="459" t="str">
        <f t="shared" si="1080"/>
        <v/>
      </c>
      <c r="T1898" s="566" t="str">
        <f t="shared" si="1065"/>
        <v/>
      </c>
      <c r="U1898" s="702"/>
      <c r="V1898" s="132"/>
      <c r="W1898" s="133"/>
      <c r="X1898" s="134"/>
      <c r="Y1898" s="135"/>
      <c r="Z1898" s="137"/>
      <c r="AA1898" s="136"/>
      <c r="AB1898" s="566" t="str">
        <f t="shared" si="1066"/>
        <v/>
      </c>
      <c r="AC1898" s="568" t="str">
        <f t="shared" si="1067"/>
        <v/>
      </c>
      <c r="AD1898" s="137"/>
      <c r="AE1898" s="137"/>
      <c r="AF1898" s="138"/>
      <c r="AG1898" s="138"/>
      <c r="AH1898" s="592" t="str">
        <f t="shared" si="1068"/>
        <v/>
      </c>
      <c r="AI1898" s="592" t="str">
        <f t="shared" si="1069"/>
        <v/>
      </c>
      <c r="AJ1898" s="592" t="str">
        <f t="shared" si="1070"/>
        <v/>
      </c>
      <c r="AK1898" s="460" t="str">
        <f>IF(AU1898="","",IF(OR(AZ1898=8,AZ1898=9),0,IF(OR(AW1898=3,AW1898=4,AW1898=5,AW1898=6),IF(LEFT(BF1898,1)="1",INDEX(係数_NOX・PM低減,MATCH(AY1898,【参考】排出係数!$AI$801:$AI$804,1),1),VLOOKUP(AU1898,INDEX((係数_バス貨物_ガソリン,係数_バス貨物_CNG,係数_バス貨物_軽油,係数_バス貨物_メタノール,係数_バス貨物_LPG),MATCH(AY1898,【参考】排出係数!$AI$4:$AI$671,1),1,BE1898):INDEX((係数_バス貨物_ガソリン,係数_バス貨物_CNG,係数_バス貨物_軽油,係数_バス貨物_メタノール,係数_バス貨物_LPG),MATCH(AY1898+1,【参考】排出係数!$AI$4:$AI$671,1)-1,5,BE1898),4,FALSE)),IF(AND(BE1898=3,LEFT(BF1898,1)="1"),0.48,VLOOKUP(AU1898,INDEX((係数_乗用_ガソリン,係数_乗用_CNG,係数_乗用_軽油,係数_乗用_メタノール,係数_乗用_LPG),1,1,BE1898):INDEX((係数_乗用_ガソリン,係数_乗用_CNG,係数_乗用_軽油,係数_乗用_メタノール,係数_乗用_LPG),125,5,BE1898),4,FALSE)))))</f>
        <v/>
      </c>
      <c r="AL1898" s="461" t="str">
        <f t="shared" si="1071"/>
        <v/>
      </c>
      <c r="AM1898" s="460" t="str">
        <f>IF(AU1898="","",IF(OR(AZ1898=8,AZ1898=9),0,IF(OR(AW1898=3,AW1898=4,AW1898=5,AW1898=6),IF(LEFT(BH1898,1)="1",INDEX(係数_PM低減,MATCH(AY1898,【参考】排出係数!$AI$801:$AI$804,1),MATCH(BI1898,【参考】排出係数!$AL$798:$AO$798,1)),VLOOKUP(AU1898,INDEX((係数_バス貨物_ガソリン,係数_バス貨物_CNG,係数_バス貨物_軽油,係数_バス貨物_メタノール,係数_バス貨物_LPG),MATCH(AY1898,【参考】排出係数!$AI$4:$AI$671,1),1,BE1898):INDEX((係数_バス貨物_ガソリン,係数_バス貨物_CNG,係数_バス貨物_軽油,係数_バス貨物_メタノール,係数_バス貨物_LPG),MATCH(AY1898+1,【参考】排出係数!$AI$4:$AI$671,1)-1,5,BE1898),5,FALSE)),IF(AND(BE1898=3,LEFT(BF1898,1)="1"),0.055,VLOOKUP(AU1898,INDEX((係数_乗用_ガソリン,係数_乗用_CNG,係数_乗用_軽油,係数_乗用_メタノール,係数_乗用_LPG),1,1,BE1898):INDEX((係数_乗用_ガソリン,係数_乗用_CNG,係数_乗用_軽油,係数_乗用_メタノール,係数_乗用_LPG),125,5,BE1898),5,FALSE)))))</f>
        <v/>
      </c>
      <c r="AN1898" s="461" t="str">
        <f t="shared" si="1072"/>
        <v/>
      </c>
      <c r="AO1898" s="462" t="str">
        <f t="shared" si="1073"/>
        <v/>
      </c>
      <c r="AP1898" s="463" t="str">
        <f t="shared" si="1074"/>
        <v/>
      </c>
      <c r="AQ1898" s="464"/>
      <c r="AR1898" s="619"/>
      <c r="AS1898" s="465" t="str">
        <f t="shared" si="1082"/>
        <v/>
      </c>
      <c r="AT1898" s="465" t="str">
        <f t="shared" si="1083"/>
        <v/>
      </c>
      <c r="AU1898" s="466" t="str">
        <f t="shared" si="1084"/>
        <v/>
      </c>
      <c r="AV1898" s="467" t="str">
        <f t="shared" si="1085"/>
        <v/>
      </c>
      <c r="AW1898" s="467" t="str">
        <f t="shared" si="1086"/>
        <v/>
      </c>
      <c r="AX1898" s="467" t="str">
        <f t="shared" si="1087"/>
        <v/>
      </c>
      <c r="AY1898" s="467" t="str">
        <f t="shared" si="1088"/>
        <v/>
      </c>
      <c r="AZ1898" s="467" t="str">
        <f t="shared" si="1089"/>
        <v/>
      </c>
      <c r="BA1898" s="468" t="str">
        <f>IF(AS1898="","",IF(OR(AU1898="",AU1898="-"),"－",IF(OR(AZ1898=8,AZ1898=9),"",IF(OR(AW1898=3,AW1898=4,AW1898=5,AW1898=6),VLOOKUP(AU1898,INDEX((係数_バス貨物_ガソリン,係数_バス貨物_CNG,係数_バス貨物_軽油,係数_バス貨物_メタノール,係数_バス貨物_LPG),MATCH(AY1898,【参考】排出係数!$AI$4:$AI$671,1),1,BE1898):INDEX((係数_バス貨物_ガソリン,係数_バス貨物_CNG,係数_バス貨物_軽油,係数_バス貨物_メタノール,係数_バス貨物_LPG),MATCH(AY1898+1,【参考】排出係数!$AI$4:$AI$671,1)-1,5,BE1898),2,FALSE),IF(OR(AW1898=1,AW1898=2),VLOOKUP(AU1898,INDEX((係数_乗用_ガソリン,係数_乗用_CNG,係数_乗用_軽油,係数_乗用_メタノール,係数_乗用_LPG),1,1,BE1898):INDEX((係数_乗用_ガソリン,係数_乗用_CNG,係数_乗用_軽油,係数_乗用_メタノール,係数_乗用_LPG),125,5,BE1898),2,FALSE))))))</f>
        <v/>
      </c>
      <c r="BB1898" s="468" t="str">
        <f>IF(T1898="","",IF(OR(AU1898="",AU1898="-"),"－",IF(OR(AZ1898=8,AZ1898=9),"",IF(OR(AW1898=3,AW1898=4,AW1898=5,AW1898=6),VLOOKUP(AU1898,INDEX((係数_バス貨物_ガソリン,係数_バス貨物_CNG,係数_バス貨物_軽油,係数_バス貨物_メタノール,係数_バス貨物_LPG),MATCH(AY1898,【参考】排出係数!$AI$4:$AI$671,1),1,BE1898):INDEX((係数_バス貨物_ガソリン,係数_バス貨物_CNG,係数_バス貨物_軽油,係数_バス貨物_メタノール,係数_バス貨物_LPG),MATCH(AY1898+1,【参考】排出係数!$AI$4:$AI$671,1)-1,5,BE1898),3,FALSE),IF(OR(AW1898=1,AW1898=2),VLOOKUP(AU1898,INDEX((係数_乗用_ガソリン,係数_乗用_CNG,係数_乗用_軽油,係数_乗用_メタノール,係数_乗用_LPG),1,1,BE1898):INDEX((係数_乗用_ガソリン,係数_乗用_CNG,係数_乗用_軽油,係数_乗用_メタノール,係数_乗用_LPG),125,5,BE1898),3,FALSE))))))</f>
        <v/>
      </c>
      <c r="BC1898" s="467" t="str">
        <f t="shared" si="1090"/>
        <v/>
      </c>
      <c r="BD1898" s="567" t="str">
        <f t="shared" si="1091"/>
        <v/>
      </c>
      <c r="BE1898" s="467" t="str">
        <f t="shared" si="1092"/>
        <v/>
      </c>
      <c r="BF1898" s="469" t="str">
        <f t="shared" ca="1" si="1093"/>
        <v/>
      </c>
      <c r="BG1898" s="469" t="str">
        <f t="shared" ca="1" si="1094"/>
        <v/>
      </c>
      <c r="BH1898" s="467" t="str">
        <f t="shared" si="1095"/>
        <v/>
      </c>
      <c r="BI1898" s="467" t="str">
        <f t="shared" ca="1" si="1096"/>
        <v/>
      </c>
      <c r="BJ1898" s="469" t="str">
        <f t="shared" si="1097"/>
        <v/>
      </c>
      <c r="BK1898" s="470" t="str">
        <f t="shared" si="1081"/>
        <v/>
      </c>
      <c r="BL1898" s="775" t="str">
        <f t="shared" si="1098"/>
        <v/>
      </c>
      <c r="BM1898" s="775" t="str">
        <f t="shared" si="1099"/>
        <v/>
      </c>
    </row>
    <row r="1899" spans="1:65">
      <c r="A1899" s="473">
        <v>1843</v>
      </c>
      <c r="B1899" s="132"/>
      <c r="C1899" s="332"/>
      <c r="D1899" s="333"/>
      <c r="E1899" s="333"/>
      <c r="F1899" s="334"/>
      <c r="G1899" s="337"/>
      <c r="H1899" s="131"/>
      <c r="I1899" s="337"/>
      <c r="J1899" s="131"/>
      <c r="K1899" s="458" t="str">
        <f t="shared" si="1062"/>
        <v/>
      </c>
      <c r="L1899" s="458">
        <f t="shared" si="1063"/>
        <v>0</v>
      </c>
      <c r="M1899" s="458">
        <f t="shared" si="1064"/>
        <v>0</v>
      </c>
      <c r="N1899" s="459" t="str">
        <f t="shared" si="1075"/>
        <v/>
      </c>
      <c r="O1899" s="459" t="str">
        <f t="shared" si="1076"/>
        <v/>
      </c>
      <c r="P1899" s="459" t="str">
        <f t="shared" si="1077"/>
        <v/>
      </c>
      <c r="Q1899" s="459" t="str">
        <f t="shared" si="1078"/>
        <v/>
      </c>
      <c r="R1899" s="459" t="str">
        <f t="shared" si="1079"/>
        <v/>
      </c>
      <c r="S1899" s="459" t="str">
        <f t="shared" si="1080"/>
        <v/>
      </c>
      <c r="T1899" s="566" t="str">
        <f t="shared" si="1065"/>
        <v/>
      </c>
      <c r="U1899" s="702"/>
      <c r="V1899" s="132"/>
      <c r="W1899" s="133"/>
      <c r="X1899" s="134"/>
      <c r="Y1899" s="135"/>
      <c r="Z1899" s="137"/>
      <c r="AA1899" s="136"/>
      <c r="AB1899" s="566" t="str">
        <f t="shared" si="1066"/>
        <v/>
      </c>
      <c r="AC1899" s="568" t="str">
        <f t="shared" si="1067"/>
        <v/>
      </c>
      <c r="AD1899" s="137"/>
      <c r="AE1899" s="137"/>
      <c r="AF1899" s="138"/>
      <c r="AG1899" s="138"/>
      <c r="AH1899" s="592" t="str">
        <f t="shared" si="1068"/>
        <v/>
      </c>
      <c r="AI1899" s="592" t="str">
        <f t="shared" si="1069"/>
        <v/>
      </c>
      <c r="AJ1899" s="592" t="str">
        <f t="shared" si="1070"/>
        <v/>
      </c>
      <c r="AK1899" s="460" t="str">
        <f>IF(AU1899="","",IF(OR(AZ1899=8,AZ1899=9),0,IF(OR(AW1899=3,AW1899=4,AW1899=5,AW1899=6),IF(LEFT(BF1899,1)="1",INDEX(係数_NOX・PM低減,MATCH(AY1899,【参考】排出係数!$AI$801:$AI$804,1),1),VLOOKUP(AU1899,INDEX((係数_バス貨物_ガソリン,係数_バス貨物_CNG,係数_バス貨物_軽油,係数_バス貨物_メタノール,係数_バス貨物_LPG),MATCH(AY1899,【参考】排出係数!$AI$4:$AI$671,1),1,BE1899):INDEX((係数_バス貨物_ガソリン,係数_バス貨物_CNG,係数_バス貨物_軽油,係数_バス貨物_メタノール,係数_バス貨物_LPG),MATCH(AY1899+1,【参考】排出係数!$AI$4:$AI$671,1)-1,5,BE1899),4,FALSE)),IF(AND(BE1899=3,LEFT(BF1899,1)="1"),0.48,VLOOKUP(AU1899,INDEX((係数_乗用_ガソリン,係数_乗用_CNG,係数_乗用_軽油,係数_乗用_メタノール,係数_乗用_LPG),1,1,BE1899):INDEX((係数_乗用_ガソリン,係数_乗用_CNG,係数_乗用_軽油,係数_乗用_メタノール,係数_乗用_LPG),125,5,BE1899),4,FALSE)))))</f>
        <v/>
      </c>
      <c r="AL1899" s="461" t="str">
        <f t="shared" si="1071"/>
        <v/>
      </c>
      <c r="AM1899" s="460" t="str">
        <f>IF(AU1899="","",IF(OR(AZ1899=8,AZ1899=9),0,IF(OR(AW1899=3,AW1899=4,AW1899=5,AW1899=6),IF(LEFT(BH1899,1)="1",INDEX(係数_PM低減,MATCH(AY1899,【参考】排出係数!$AI$801:$AI$804,1),MATCH(BI1899,【参考】排出係数!$AL$798:$AO$798,1)),VLOOKUP(AU1899,INDEX((係数_バス貨物_ガソリン,係数_バス貨物_CNG,係数_バス貨物_軽油,係数_バス貨物_メタノール,係数_バス貨物_LPG),MATCH(AY1899,【参考】排出係数!$AI$4:$AI$671,1),1,BE1899):INDEX((係数_バス貨物_ガソリン,係数_バス貨物_CNG,係数_バス貨物_軽油,係数_バス貨物_メタノール,係数_バス貨物_LPG),MATCH(AY1899+1,【参考】排出係数!$AI$4:$AI$671,1)-1,5,BE1899),5,FALSE)),IF(AND(BE1899=3,LEFT(BF1899,1)="1"),0.055,VLOOKUP(AU1899,INDEX((係数_乗用_ガソリン,係数_乗用_CNG,係数_乗用_軽油,係数_乗用_メタノール,係数_乗用_LPG),1,1,BE1899):INDEX((係数_乗用_ガソリン,係数_乗用_CNG,係数_乗用_軽油,係数_乗用_メタノール,係数_乗用_LPG),125,5,BE1899),5,FALSE)))))</f>
        <v/>
      </c>
      <c r="AN1899" s="461" t="str">
        <f t="shared" si="1072"/>
        <v/>
      </c>
      <c r="AO1899" s="462" t="str">
        <f t="shared" si="1073"/>
        <v/>
      </c>
      <c r="AP1899" s="463" t="str">
        <f t="shared" si="1074"/>
        <v/>
      </c>
      <c r="AQ1899" s="464"/>
      <c r="AR1899" s="619"/>
      <c r="AS1899" s="465" t="str">
        <f t="shared" si="1082"/>
        <v/>
      </c>
      <c r="AT1899" s="465" t="str">
        <f t="shared" si="1083"/>
        <v/>
      </c>
      <c r="AU1899" s="466" t="str">
        <f t="shared" si="1084"/>
        <v/>
      </c>
      <c r="AV1899" s="467" t="str">
        <f t="shared" si="1085"/>
        <v/>
      </c>
      <c r="AW1899" s="467" t="str">
        <f t="shared" si="1086"/>
        <v/>
      </c>
      <c r="AX1899" s="467" t="str">
        <f t="shared" si="1087"/>
        <v/>
      </c>
      <c r="AY1899" s="467" t="str">
        <f t="shared" si="1088"/>
        <v/>
      </c>
      <c r="AZ1899" s="467" t="str">
        <f t="shared" si="1089"/>
        <v/>
      </c>
      <c r="BA1899" s="468" t="str">
        <f>IF(AS1899="","",IF(OR(AU1899="",AU1899="-"),"－",IF(OR(AZ1899=8,AZ1899=9),"",IF(OR(AW1899=3,AW1899=4,AW1899=5,AW1899=6),VLOOKUP(AU1899,INDEX((係数_バス貨物_ガソリン,係数_バス貨物_CNG,係数_バス貨物_軽油,係数_バス貨物_メタノール,係数_バス貨物_LPG),MATCH(AY1899,【参考】排出係数!$AI$4:$AI$671,1),1,BE1899):INDEX((係数_バス貨物_ガソリン,係数_バス貨物_CNG,係数_バス貨物_軽油,係数_バス貨物_メタノール,係数_バス貨物_LPG),MATCH(AY1899+1,【参考】排出係数!$AI$4:$AI$671,1)-1,5,BE1899),2,FALSE),IF(OR(AW1899=1,AW1899=2),VLOOKUP(AU1899,INDEX((係数_乗用_ガソリン,係数_乗用_CNG,係数_乗用_軽油,係数_乗用_メタノール,係数_乗用_LPG),1,1,BE1899):INDEX((係数_乗用_ガソリン,係数_乗用_CNG,係数_乗用_軽油,係数_乗用_メタノール,係数_乗用_LPG),125,5,BE1899),2,FALSE))))))</f>
        <v/>
      </c>
      <c r="BB1899" s="468" t="str">
        <f>IF(T1899="","",IF(OR(AU1899="",AU1899="-"),"－",IF(OR(AZ1899=8,AZ1899=9),"",IF(OR(AW1899=3,AW1899=4,AW1899=5,AW1899=6),VLOOKUP(AU1899,INDEX((係数_バス貨物_ガソリン,係数_バス貨物_CNG,係数_バス貨物_軽油,係数_バス貨物_メタノール,係数_バス貨物_LPG),MATCH(AY1899,【参考】排出係数!$AI$4:$AI$671,1),1,BE1899):INDEX((係数_バス貨物_ガソリン,係数_バス貨物_CNG,係数_バス貨物_軽油,係数_バス貨物_メタノール,係数_バス貨物_LPG),MATCH(AY1899+1,【参考】排出係数!$AI$4:$AI$671,1)-1,5,BE1899),3,FALSE),IF(OR(AW1899=1,AW1899=2),VLOOKUP(AU1899,INDEX((係数_乗用_ガソリン,係数_乗用_CNG,係数_乗用_軽油,係数_乗用_メタノール,係数_乗用_LPG),1,1,BE1899):INDEX((係数_乗用_ガソリン,係数_乗用_CNG,係数_乗用_軽油,係数_乗用_メタノール,係数_乗用_LPG),125,5,BE1899),3,FALSE))))))</f>
        <v/>
      </c>
      <c r="BC1899" s="467" t="str">
        <f t="shared" si="1090"/>
        <v/>
      </c>
      <c r="BD1899" s="567" t="str">
        <f t="shared" si="1091"/>
        <v/>
      </c>
      <c r="BE1899" s="467" t="str">
        <f t="shared" si="1092"/>
        <v/>
      </c>
      <c r="BF1899" s="469" t="str">
        <f t="shared" ca="1" si="1093"/>
        <v/>
      </c>
      <c r="BG1899" s="469" t="str">
        <f t="shared" ca="1" si="1094"/>
        <v/>
      </c>
      <c r="BH1899" s="467" t="str">
        <f t="shared" si="1095"/>
        <v/>
      </c>
      <c r="BI1899" s="467" t="str">
        <f t="shared" ca="1" si="1096"/>
        <v/>
      </c>
      <c r="BJ1899" s="469" t="str">
        <f t="shared" si="1097"/>
        <v/>
      </c>
      <c r="BK1899" s="470" t="str">
        <f t="shared" si="1081"/>
        <v/>
      </c>
      <c r="BL1899" s="775" t="str">
        <f t="shared" si="1098"/>
        <v/>
      </c>
      <c r="BM1899" s="775" t="str">
        <f t="shared" si="1099"/>
        <v/>
      </c>
    </row>
    <row r="1900" spans="1:65">
      <c r="A1900" s="473">
        <v>1844</v>
      </c>
      <c r="B1900" s="132"/>
      <c r="C1900" s="332"/>
      <c r="D1900" s="333"/>
      <c r="E1900" s="333"/>
      <c r="F1900" s="334"/>
      <c r="G1900" s="337"/>
      <c r="H1900" s="131"/>
      <c r="I1900" s="337"/>
      <c r="J1900" s="131"/>
      <c r="K1900" s="458" t="str">
        <f t="shared" ref="K1900:K1963" si="1100">C1900&amp;D1900&amp;E1900&amp;F1900</f>
        <v/>
      </c>
      <c r="L1900" s="458">
        <f t="shared" ref="L1900:L1963" si="1101">IF(G1900&gt;0,DATE((G1900),(H1900+1),0),0)</f>
        <v>0</v>
      </c>
      <c r="M1900" s="458">
        <f t="shared" ref="M1900:M1963" si="1102">IF(I1900&gt;0,DATE((I1900),(J1900+1),0),0)</f>
        <v>0</v>
      </c>
      <c r="N1900" s="459" t="str">
        <f t="shared" si="1075"/>
        <v/>
      </c>
      <c r="O1900" s="459" t="str">
        <f t="shared" si="1076"/>
        <v/>
      </c>
      <c r="P1900" s="459" t="str">
        <f t="shared" si="1077"/>
        <v/>
      </c>
      <c r="Q1900" s="459" t="str">
        <f t="shared" si="1078"/>
        <v/>
      </c>
      <c r="R1900" s="459" t="str">
        <f t="shared" si="1079"/>
        <v/>
      </c>
      <c r="S1900" s="459" t="str">
        <f t="shared" si="1080"/>
        <v/>
      </c>
      <c r="T1900" s="566" t="str">
        <f t="shared" ref="T1900:T1963" si="1103">N1900&amp;O1900&amp;P1900&amp;Q1900&amp;R1900&amp;S1900</f>
        <v/>
      </c>
      <c r="U1900" s="702"/>
      <c r="V1900" s="132"/>
      <c r="W1900" s="133"/>
      <c r="X1900" s="134"/>
      <c r="Y1900" s="135"/>
      <c r="Z1900" s="137"/>
      <c r="AA1900" s="136"/>
      <c r="AB1900" s="566" t="str">
        <f t="shared" ref="AB1900:AB1963" si="1104">IF(AS1900="","",IF(AZ1900=1,VLOOKUP(BA1900,低公害車判別,2,FALSE),IF(AZ1900=3,VLOOKUP(BA1900,低公害車判別,2,FALSE),IF(AZ1900=4,VLOOKUP(BB1900,低公害車判別,2,FALSE),"低公害車"))))</f>
        <v/>
      </c>
      <c r="AC1900" s="568" t="str">
        <f t="shared" ref="AC1900:AC1963" si="1105">IF(AS1900="","",IF((BA1900="")+(BA1900="－"),IF((BB1900="")+(BB1900=0),"－",BB1900),IF((BA1900="PM☆☆☆")+(BA1900="☆及びPM☆☆☆")+(BA1900="☆☆及びPM☆☆☆")+(BA1900="☆☆☆及びPM☆☆☆"),"PM☆☆☆",IF((BA1900="PM☆☆☆☆")+(BA1900="☆及びPM☆☆☆☆")+(BA1900="☆☆及びPM☆☆☆☆")+(BA1900="☆☆☆及びPM☆☆☆☆"),"PM☆☆☆☆",IF((BA1900="新☆")+(BA1900="新NOx☆")+(BA1900="新PM☆"),"新☆（新長期）",BA1900)))))</f>
        <v/>
      </c>
      <c r="AD1900" s="137"/>
      <c r="AE1900" s="137"/>
      <c r="AF1900" s="138"/>
      <c r="AG1900" s="138"/>
      <c r="AH1900" s="592" t="str">
        <f t="shared" ref="AH1900:AH1963" si="1106">IF(C1900="","",IF(LEFT(C1900,2)="横浜","○",""))</f>
        <v/>
      </c>
      <c r="AI1900" s="592" t="str">
        <f t="shared" ref="AI1900:AI1963" si="1107">IF(C1900="","",IF(LEFT(C1900,2)="川崎","○",""))</f>
        <v/>
      </c>
      <c r="AJ1900" s="592" t="str">
        <f t="shared" ref="AJ1900:AJ1963" si="1108">IF(C1900="","",IF(OR(AH1900="○",AI1900="○"),"","○"))</f>
        <v/>
      </c>
      <c r="AK1900" s="460" t="str">
        <f>IF(AU1900="","",IF(OR(AZ1900=8,AZ1900=9),0,IF(OR(AW1900=3,AW1900=4,AW1900=5,AW1900=6),IF(LEFT(BF1900,1)="1",INDEX(係数_NOX・PM低減,MATCH(AY1900,【参考】排出係数!$AI$801:$AI$804,1),1),VLOOKUP(AU1900,INDEX((係数_バス貨物_ガソリン,係数_バス貨物_CNG,係数_バス貨物_軽油,係数_バス貨物_メタノール,係数_バス貨物_LPG),MATCH(AY1900,【参考】排出係数!$AI$4:$AI$671,1),1,BE1900):INDEX((係数_バス貨物_ガソリン,係数_バス貨物_CNG,係数_バス貨物_軽油,係数_バス貨物_メタノール,係数_バス貨物_LPG),MATCH(AY1900+1,【参考】排出係数!$AI$4:$AI$671,1)-1,5,BE1900),4,FALSE)),IF(AND(BE1900=3,LEFT(BF1900,1)="1"),0.48,VLOOKUP(AU1900,INDEX((係数_乗用_ガソリン,係数_乗用_CNG,係数_乗用_軽油,係数_乗用_メタノール,係数_乗用_LPG),1,1,BE1900):INDEX((係数_乗用_ガソリン,係数_乗用_CNG,係数_乗用_軽油,係数_乗用_メタノール,係数_乗用_LPG),125,5,BE1900),4,FALSE)))))</f>
        <v/>
      </c>
      <c r="AL1900" s="461" t="str">
        <f t="shared" ref="AL1900:AL1963" si="1109">IF(AU1900="","",IF(Z1900&lt;=3.5*1000,AD1900*AK1900/1000,IF(Z1900&gt;3.5*1000,AD1900*Z1900*AK1900/1000/1000)))</f>
        <v/>
      </c>
      <c r="AM1900" s="460" t="str">
        <f>IF(AU1900="","",IF(OR(AZ1900=8,AZ1900=9),0,IF(OR(AW1900=3,AW1900=4,AW1900=5,AW1900=6),IF(LEFT(BH1900,1)="1",INDEX(係数_PM低減,MATCH(AY1900,【参考】排出係数!$AI$801:$AI$804,1),MATCH(BI1900,【参考】排出係数!$AL$798:$AO$798,1)),VLOOKUP(AU1900,INDEX((係数_バス貨物_ガソリン,係数_バス貨物_CNG,係数_バス貨物_軽油,係数_バス貨物_メタノール,係数_バス貨物_LPG),MATCH(AY1900,【参考】排出係数!$AI$4:$AI$671,1),1,BE1900):INDEX((係数_バス貨物_ガソリン,係数_バス貨物_CNG,係数_バス貨物_軽油,係数_バス貨物_メタノール,係数_バス貨物_LPG),MATCH(AY1900+1,【参考】排出係数!$AI$4:$AI$671,1)-1,5,BE1900),5,FALSE)),IF(AND(BE1900=3,LEFT(BF1900,1)="1"),0.055,VLOOKUP(AU1900,INDEX((係数_乗用_ガソリン,係数_乗用_CNG,係数_乗用_軽油,係数_乗用_メタノール,係数_乗用_LPG),1,1,BE1900):INDEX((係数_乗用_ガソリン,係数_乗用_CNG,係数_乗用_軽油,係数_乗用_メタノール,係数_乗用_LPG),125,5,BE1900),5,FALSE)))))</f>
        <v/>
      </c>
      <c r="AN1900" s="461" t="str">
        <f t="shared" ref="AN1900:AN1963" si="1110">IF(AU1900="","",IF(Z1900&lt;=3.5*1000,AD1900*AM1900/1000,IF(Z1900&gt;3.5*1000,AD1900*Z1900*AM1900/1000/1000)))</f>
        <v/>
      </c>
      <c r="AO1900" s="462" t="str">
        <f t="shared" ref="AO1900:AO1963" si="1111">IF(AU1900="","",IF(Z1900&lt;500,"車両重量",IF(OR(AZ1900=8,AZ1900=9),0,IF(OR(AZ1900=1,AZ1900=2,AZ1900=11),2.32,IF(OR(AZ1900=4,AZ1900=5,AZ1900=11),2.58,IF(AZ1900=3,3,IF(AZ1900=6,2.23,IF(AZ1900=7,1.37,0))))))))</f>
        <v/>
      </c>
      <c r="AP1900" s="463" t="str">
        <f t="shared" ref="AP1900:AP1963" si="1112">IF(AU1900="","",AE1900*AO1900/1000)</f>
        <v/>
      </c>
      <c r="AQ1900" s="464"/>
      <c r="AR1900" s="619"/>
      <c r="AS1900" s="465" t="str">
        <f t="shared" si="1082"/>
        <v/>
      </c>
      <c r="AT1900" s="465" t="str">
        <f t="shared" si="1083"/>
        <v/>
      </c>
      <c r="AU1900" s="466" t="str">
        <f t="shared" si="1084"/>
        <v/>
      </c>
      <c r="AV1900" s="467" t="str">
        <f t="shared" si="1085"/>
        <v/>
      </c>
      <c r="AW1900" s="467" t="str">
        <f t="shared" si="1086"/>
        <v/>
      </c>
      <c r="AX1900" s="467" t="str">
        <f t="shared" si="1087"/>
        <v/>
      </c>
      <c r="AY1900" s="467" t="str">
        <f t="shared" si="1088"/>
        <v/>
      </c>
      <c r="AZ1900" s="467" t="str">
        <f t="shared" si="1089"/>
        <v/>
      </c>
      <c r="BA1900" s="468" t="str">
        <f>IF(AS1900="","",IF(OR(AU1900="",AU1900="-"),"－",IF(OR(AZ1900=8,AZ1900=9),"",IF(OR(AW1900=3,AW1900=4,AW1900=5,AW1900=6),VLOOKUP(AU1900,INDEX((係数_バス貨物_ガソリン,係数_バス貨物_CNG,係数_バス貨物_軽油,係数_バス貨物_メタノール,係数_バス貨物_LPG),MATCH(AY1900,【参考】排出係数!$AI$4:$AI$671,1),1,BE1900):INDEX((係数_バス貨物_ガソリン,係数_バス貨物_CNG,係数_バス貨物_軽油,係数_バス貨物_メタノール,係数_バス貨物_LPG),MATCH(AY1900+1,【参考】排出係数!$AI$4:$AI$671,1)-1,5,BE1900),2,FALSE),IF(OR(AW1900=1,AW1900=2),VLOOKUP(AU1900,INDEX((係数_乗用_ガソリン,係数_乗用_CNG,係数_乗用_軽油,係数_乗用_メタノール,係数_乗用_LPG),1,1,BE1900):INDEX((係数_乗用_ガソリン,係数_乗用_CNG,係数_乗用_軽油,係数_乗用_メタノール,係数_乗用_LPG),125,5,BE1900),2,FALSE))))))</f>
        <v/>
      </c>
      <c r="BB1900" s="468" t="str">
        <f>IF(T1900="","",IF(OR(AU1900="",AU1900="-"),"－",IF(OR(AZ1900=8,AZ1900=9),"",IF(OR(AW1900=3,AW1900=4,AW1900=5,AW1900=6),VLOOKUP(AU1900,INDEX((係数_バス貨物_ガソリン,係数_バス貨物_CNG,係数_バス貨物_軽油,係数_バス貨物_メタノール,係数_バス貨物_LPG),MATCH(AY1900,【参考】排出係数!$AI$4:$AI$671,1),1,BE1900):INDEX((係数_バス貨物_ガソリン,係数_バス貨物_CNG,係数_バス貨物_軽油,係数_バス貨物_メタノール,係数_バス貨物_LPG),MATCH(AY1900+1,【参考】排出係数!$AI$4:$AI$671,1)-1,5,BE1900),3,FALSE),IF(OR(AW1900=1,AW1900=2),VLOOKUP(AU1900,INDEX((係数_乗用_ガソリン,係数_乗用_CNG,係数_乗用_軽油,係数_乗用_メタノール,係数_乗用_LPG),1,1,BE1900):INDEX((係数_乗用_ガソリン,係数_乗用_CNG,係数_乗用_軽油,係数_乗用_メタノール,係数_乗用_LPG),125,5,BE1900),3,FALSE))))))</f>
        <v/>
      </c>
      <c r="BC1900" s="467" t="str">
        <f t="shared" si="1090"/>
        <v/>
      </c>
      <c r="BD1900" s="567" t="str">
        <f t="shared" si="1091"/>
        <v/>
      </c>
      <c r="BE1900" s="467" t="str">
        <f t="shared" si="1092"/>
        <v/>
      </c>
      <c r="BF1900" s="469" t="str">
        <f t="shared" ca="1" si="1093"/>
        <v/>
      </c>
      <c r="BG1900" s="469" t="str">
        <f t="shared" ca="1" si="1094"/>
        <v/>
      </c>
      <c r="BH1900" s="467" t="str">
        <f t="shared" si="1095"/>
        <v/>
      </c>
      <c r="BI1900" s="467" t="str">
        <f t="shared" ca="1" si="1096"/>
        <v/>
      </c>
      <c r="BJ1900" s="469" t="str">
        <f t="shared" si="1097"/>
        <v/>
      </c>
      <c r="BK1900" s="470" t="str">
        <f t="shared" si="1081"/>
        <v/>
      </c>
      <c r="BL1900" s="775" t="str">
        <f t="shared" si="1098"/>
        <v/>
      </c>
      <c r="BM1900" s="775" t="str">
        <f t="shared" si="1099"/>
        <v/>
      </c>
    </row>
    <row r="1901" spans="1:65">
      <c r="A1901" s="473">
        <v>1845</v>
      </c>
      <c r="B1901" s="132"/>
      <c r="C1901" s="332"/>
      <c r="D1901" s="333"/>
      <c r="E1901" s="333"/>
      <c r="F1901" s="334"/>
      <c r="G1901" s="337"/>
      <c r="H1901" s="131"/>
      <c r="I1901" s="337"/>
      <c r="J1901" s="131"/>
      <c r="K1901" s="458" t="str">
        <f t="shared" si="1100"/>
        <v/>
      </c>
      <c r="L1901" s="458">
        <f t="shared" si="1101"/>
        <v>0</v>
      </c>
      <c r="M1901" s="458">
        <f t="shared" si="1102"/>
        <v>0</v>
      </c>
      <c r="N1901" s="459" t="str">
        <f t="shared" si="1075"/>
        <v/>
      </c>
      <c r="O1901" s="459" t="str">
        <f t="shared" si="1076"/>
        <v/>
      </c>
      <c r="P1901" s="459" t="str">
        <f t="shared" si="1077"/>
        <v/>
      </c>
      <c r="Q1901" s="459" t="str">
        <f t="shared" si="1078"/>
        <v/>
      </c>
      <c r="R1901" s="459" t="str">
        <f t="shared" si="1079"/>
        <v/>
      </c>
      <c r="S1901" s="459" t="str">
        <f t="shared" si="1080"/>
        <v/>
      </c>
      <c r="T1901" s="566" t="str">
        <f t="shared" si="1103"/>
        <v/>
      </c>
      <c r="U1901" s="702"/>
      <c r="V1901" s="132"/>
      <c r="W1901" s="133"/>
      <c r="X1901" s="134"/>
      <c r="Y1901" s="135"/>
      <c r="Z1901" s="137"/>
      <c r="AA1901" s="136"/>
      <c r="AB1901" s="566" t="str">
        <f t="shared" si="1104"/>
        <v/>
      </c>
      <c r="AC1901" s="568" t="str">
        <f t="shared" si="1105"/>
        <v/>
      </c>
      <c r="AD1901" s="137"/>
      <c r="AE1901" s="137"/>
      <c r="AF1901" s="138"/>
      <c r="AG1901" s="138"/>
      <c r="AH1901" s="592" t="str">
        <f t="shared" si="1106"/>
        <v/>
      </c>
      <c r="AI1901" s="592" t="str">
        <f t="shared" si="1107"/>
        <v/>
      </c>
      <c r="AJ1901" s="592" t="str">
        <f t="shared" si="1108"/>
        <v/>
      </c>
      <c r="AK1901" s="460" t="str">
        <f>IF(AU1901="","",IF(OR(AZ1901=8,AZ1901=9),0,IF(OR(AW1901=3,AW1901=4,AW1901=5,AW1901=6),IF(LEFT(BF1901,1)="1",INDEX(係数_NOX・PM低減,MATCH(AY1901,【参考】排出係数!$AI$801:$AI$804,1),1),VLOOKUP(AU1901,INDEX((係数_バス貨物_ガソリン,係数_バス貨物_CNG,係数_バス貨物_軽油,係数_バス貨物_メタノール,係数_バス貨物_LPG),MATCH(AY1901,【参考】排出係数!$AI$4:$AI$671,1),1,BE1901):INDEX((係数_バス貨物_ガソリン,係数_バス貨物_CNG,係数_バス貨物_軽油,係数_バス貨物_メタノール,係数_バス貨物_LPG),MATCH(AY1901+1,【参考】排出係数!$AI$4:$AI$671,1)-1,5,BE1901),4,FALSE)),IF(AND(BE1901=3,LEFT(BF1901,1)="1"),0.48,VLOOKUP(AU1901,INDEX((係数_乗用_ガソリン,係数_乗用_CNG,係数_乗用_軽油,係数_乗用_メタノール,係数_乗用_LPG),1,1,BE1901):INDEX((係数_乗用_ガソリン,係数_乗用_CNG,係数_乗用_軽油,係数_乗用_メタノール,係数_乗用_LPG),125,5,BE1901),4,FALSE)))))</f>
        <v/>
      </c>
      <c r="AL1901" s="461" t="str">
        <f t="shared" si="1109"/>
        <v/>
      </c>
      <c r="AM1901" s="460" t="str">
        <f>IF(AU1901="","",IF(OR(AZ1901=8,AZ1901=9),0,IF(OR(AW1901=3,AW1901=4,AW1901=5,AW1901=6),IF(LEFT(BH1901,1)="1",INDEX(係数_PM低減,MATCH(AY1901,【参考】排出係数!$AI$801:$AI$804,1),MATCH(BI1901,【参考】排出係数!$AL$798:$AO$798,1)),VLOOKUP(AU1901,INDEX((係数_バス貨物_ガソリン,係数_バス貨物_CNG,係数_バス貨物_軽油,係数_バス貨物_メタノール,係数_バス貨物_LPG),MATCH(AY1901,【参考】排出係数!$AI$4:$AI$671,1),1,BE1901):INDEX((係数_バス貨物_ガソリン,係数_バス貨物_CNG,係数_バス貨物_軽油,係数_バス貨物_メタノール,係数_バス貨物_LPG),MATCH(AY1901+1,【参考】排出係数!$AI$4:$AI$671,1)-1,5,BE1901),5,FALSE)),IF(AND(BE1901=3,LEFT(BF1901,1)="1"),0.055,VLOOKUP(AU1901,INDEX((係数_乗用_ガソリン,係数_乗用_CNG,係数_乗用_軽油,係数_乗用_メタノール,係数_乗用_LPG),1,1,BE1901):INDEX((係数_乗用_ガソリン,係数_乗用_CNG,係数_乗用_軽油,係数_乗用_メタノール,係数_乗用_LPG),125,5,BE1901),5,FALSE)))))</f>
        <v/>
      </c>
      <c r="AN1901" s="461" t="str">
        <f t="shared" si="1110"/>
        <v/>
      </c>
      <c r="AO1901" s="462" t="str">
        <f t="shared" si="1111"/>
        <v/>
      </c>
      <c r="AP1901" s="463" t="str">
        <f t="shared" si="1112"/>
        <v/>
      </c>
      <c r="AQ1901" s="464"/>
      <c r="AR1901" s="619"/>
      <c r="AS1901" s="465" t="str">
        <f t="shared" si="1082"/>
        <v/>
      </c>
      <c r="AT1901" s="465" t="str">
        <f t="shared" si="1083"/>
        <v/>
      </c>
      <c r="AU1901" s="466" t="str">
        <f t="shared" si="1084"/>
        <v/>
      </c>
      <c r="AV1901" s="467" t="str">
        <f t="shared" si="1085"/>
        <v/>
      </c>
      <c r="AW1901" s="467" t="str">
        <f t="shared" si="1086"/>
        <v/>
      </c>
      <c r="AX1901" s="467" t="str">
        <f t="shared" si="1087"/>
        <v/>
      </c>
      <c r="AY1901" s="467" t="str">
        <f t="shared" si="1088"/>
        <v/>
      </c>
      <c r="AZ1901" s="467" t="str">
        <f t="shared" si="1089"/>
        <v/>
      </c>
      <c r="BA1901" s="468" t="str">
        <f>IF(AS1901="","",IF(OR(AU1901="",AU1901="-"),"－",IF(OR(AZ1901=8,AZ1901=9),"",IF(OR(AW1901=3,AW1901=4,AW1901=5,AW1901=6),VLOOKUP(AU1901,INDEX((係数_バス貨物_ガソリン,係数_バス貨物_CNG,係数_バス貨物_軽油,係数_バス貨物_メタノール,係数_バス貨物_LPG),MATCH(AY1901,【参考】排出係数!$AI$4:$AI$671,1),1,BE1901):INDEX((係数_バス貨物_ガソリン,係数_バス貨物_CNG,係数_バス貨物_軽油,係数_バス貨物_メタノール,係数_バス貨物_LPG),MATCH(AY1901+1,【参考】排出係数!$AI$4:$AI$671,1)-1,5,BE1901),2,FALSE),IF(OR(AW1901=1,AW1901=2),VLOOKUP(AU1901,INDEX((係数_乗用_ガソリン,係数_乗用_CNG,係数_乗用_軽油,係数_乗用_メタノール,係数_乗用_LPG),1,1,BE1901):INDEX((係数_乗用_ガソリン,係数_乗用_CNG,係数_乗用_軽油,係数_乗用_メタノール,係数_乗用_LPG),125,5,BE1901),2,FALSE))))))</f>
        <v/>
      </c>
      <c r="BB1901" s="468" t="str">
        <f>IF(T1901="","",IF(OR(AU1901="",AU1901="-"),"－",IF(OR(AZ1901=8,AZ1901=9),"",IF(OR(AW1901=3,AW1901=4,AW1901=5,AW1901=6),VLOOKUP(AU1901,INDEX((係数_バス貨物_ガソリン,係数_バス貨物_CNG,係数_バス貨物_軽油,係数_バス貨物_メタノール,係数_バス貨物_LPG),MATCH(AY1901,【参考】排出係数!$AI$4:$AI$671,1),1,BE1901):INDEX((係数_バス貨物_ガソリン,係数_バス貨物_CNG,係数_バス貨物_軽油,係数_バス貨物_メタノール,係数_バス貨物_LPG),MATCH(AY1901+1,【参考】排出係数!$AI$4:$AI$671,1)-1,5,BE1901),3,FALSE),IF(OR(AW1901=1,AW1901=2),VLOOKUP(AU1901,INDEX((係数_乗用_ガソリン,係数_乗用_CNG,係数_乗用_軽油,係数_乗用_メタノール,係数_乗用_LPG),1,1,BE1901):INDEX((係数_乗用_ガソリン,係数_乗用_CNG,係数_乗用_軽油,係数_乗用_メタノール,係数_乗用_LPG),125,5,BE1901),3,FALSE))))))</f>
        <v/>
      </c>
      <c r="BC1901" s="467" t="str">
        <f t="shared" si="1090"/>
        <v/>
      </c>
      <c r="BD1901" s="567" t="str">
        <f t="shared" si="1091"/>
        <v/>
      </c>
      <c r="BE1901" s="467" t="str">
        <f t="shared" si="1092"/>
        <v/>
      </c>
      <c r="BF1901" s="469" t="str">
        <f t="shared" ca="1" si="1093"/>
        <v/>
      </c>
      <c r="BG1901" s="469" t="str">
        <f t="shared" ca="1" si="1094"/>
        <v/>
      </c>
      <c r="BH1901" s="467" t="str">
        <f t="shared" si="1095"/>
        <v/>
      </c>
      <c r="BI1901" s="467" t="str">
        <f t="shared" ca="1" si="1096"/>
        <v/>
      </c>
      <c r="BJ1901" s="469" t="str">
        <f t="shared" si="1097"/>
        <v/>
      </c>
      <c r="BK1901" s="470" t="str">
        <f t="shared" si="1081"/>
        <v/>
      </c>
      <c r="BL1901" s="775" t="str">
        <f t="shared" si="1098"/>
        <v/>
      </c>
      <c r="BM1901" s="775" t="str">
        <f t="shared" si="1099"/>
        <v/>
      </c>
    </row>
    <row r="1902" spans="1:65">
      <c r="A1902" s="473">
        <v>1846</v>
      </c>
      <c r="B1902" s="132"/>
      <c r="C1902" s="332"/>
      <c r="D1902" s="333"/>
      <c r="E1902" s="333"/>
      <c r="F1902" s="334"/>
      <c r="G1902" s="337"/>
      <c r="H1902" s="131"/>
      <c r="I1902" s="337"/>
      <c r="J1902" s="131"/>
      <c r="K1902" s="458" t="str">
        <f t="shared" si="1100"/>
        <v/>
      </c>
      <c r="L1902" s="458">
        <f t="shared" si="1101"/>
        <v>0</v>
      </c>
      <c r="M1902" s="458">
        <f t="shared" si="1102"/>
        <v>0</v>
      </c>
      <c r="N1902" s="459" t="str">
        <f t="shared" si="1075"/>
        <v/>
      </c>
      <c r="O1902" s="459" t="str">
        <f t="shared" si="1076"/>
        <v/>
      </c>
      <c r="P1902" s="459" t="str">
        <f t="shared" si="1077"/>
        <v/>
      </c>
      <c r="Q1902" s="459" t="str">
        <f t="shared" si="1078"/>
        <v/>
      </c>
      <c r="R1902" s="459" t="str">
        <f t="shared" si="1079"/>
        <v/>
      </c>
      <c r="S1902" s="459" t="str">
        <f t="shared" si="1080"/>
        <v/>
      </c>
      <c r="T1902" s="566" t="str">
        <f t="shared" si="1103"/>
        <v/>
      </c>
      <c r="U1902" s="702"/>
      <c r="V1902" s="132"/>
      <c r="W1902" s="133"/>
      <c r="X1902" s="134"/>
      <c r="Y1902" s="135"/>
      <c r="Z1902" s="137"/>
      <c r="AA1902" s="136"/>
      <c r="AB1902" s="566" t="str">
        <f t="shared" si="1104"/>
        <v/>
      </c>
      <c r="AC1902" s="568" t="str">
        <f t="shared" si="1105"/>
        <v/>
      </c>
      <c r="AD1902" s="137"/>
      <c r="AE1902" s="137"/>
      <c r="AF1902" s="138"/>
      <c r="AG1902" s="138"/>
      <c r="AH1902" s="592" t="str">
        <f t="shared" si="1106"/>
        <v/>
      </c>
      <c r="AI1902" s="592" t="str">
        <f t="shared" si="1107"/>
        <v/>
      </c>
      <c r="AJ1902" s="592" t="str">
        <f t="shared" si="1108"/>
        <v/>
      </c>
      <c r="AK1902" s="460" t="str">
        <f>IF(AU1902="","",IF(OR(AZ1902=8,AZ1902=9),0,IF(OR(AW1902=3,AW1902=4,AW1902=5,AW1902=6),IF(LEFT(BF1902,1)="1",INDEX(係数_NOX・PM低減,MATCH(AY1902,【参考】排出係数!$AI$801:$AI$804,1),1),VLOOKUP(AU1902,INDEX((係数_バス貨物_ガソリン,係数_バス貨物_CNG,係数_バス貨物_軽油,係数_バス貨物_メタノール,係数_バス貨物_LPG),MATCH(AY1902,【参考】排出係数!$AI$4:$AI$671,1),1,BE1902):INDEX((係数_バス貨物_ガソリン,係数_バス貨物_CNG,係数_バス貨物_軽油,係数_バス貨物_メタノール,係数_バス貨物_LPG),MATCH(AY1902+1,【参考】排出係数!$AI$4:$AI$671,1)-1,5,BE1902),4,FALSE)),IF(AND(BE1902=3,LEFT(BF1902,1)="1"),0.48,VLOOKUP(AU1902,INDEX((係数_乗用_ガソリン,係数_乗用_CNG,係数_乗用_軽油,係数_乗用_メタノール,係数_乗用_LPG),1,1,BE1902):INDEX((係数_乗用_ガソリン,係数_乗用_CNG,係数_乗用_軽油,係数_乗用_メタノール,係数_乗用_LPG),125,5,BE1902),4,FALSE)))))</f>
        <v/>
      </c>
      <c r="AL1902" s="461" t="str">
        <f t="shared" si="1109"/>
        <v/>
      </c>
      <c r="AM1902" s="460" t="str">
        <f>IF(AU1902="","",IF(OR(AZ1902=8,AZ1902=9),0,IF(OR(AW1902=3,AW1902=4,AW1902=5,AW1902=6),IF(LEFT(BH1902,1)="1",INDEX(係数_PM低減,MATCH(AY1902,【参考】排出係数!$AI$801:$AI$804,1),MATCH(BI1902,【参考】排出係数!$AL$798:$AO$798,1)),VLOOKUP(AU1902,INDEX((係数_バス貨物_ガソリン,係数_バス貨物_CNG,係数_バス貨物_軽油,係数_バス貨物_メタノール,係数_バス貨物_LPG),MATCH(AY1902,【参考】排出係数!$AI$4:$AI$671,1),1,BE1902):INDEX((係数_バス貨物_ガソリン,係数_バス貨物_CNG,係数_バス貨物_軽油,係数_バス貨物_メタノール,係数_バス貨物_LPG),MATCH(AY1902+1,【参考】排出係数!$AI$4:$AI$671,1)-1,5,BE1902),5,FALSE)),IF(AND(BE1902=3,LEFT(BF1902,1)="1"),0.055,VLOOKUP(AU1902,INDEX((係数_乗用_ガソリン,係数_乗用_CNG,係数_乗用_軽油,係数_乗用_メタノール,係数_乗用_LPG),1,1,BE1902):INDEX((係数_乗用_ガソリン,係数_乗用_CNG,係数_乗用_軽油,係数_乗用_メタノール,係数_乗用_LPG),125,5,BE1902),5,FALSE)))))</f>
        <v/>
      </c>
      <c r="AN1902" s="461" t="str">
        <f t="shared" si="1110"/>
        <v/>
      </c>
      <c r="AO1902" s="462" t="str">
        <f t="shared" si="1111"/>
        <v/>
      </c>
      <c r="AP1902" s="463" t="str">
        <f t="shared" si="1112"/>
        <v/>
      </c>
      <c r="AQ1902" s="464"/>
      <c r="AR1902" s="619"/>
      <c r="AS1902" s="465" t="str">
        <f t="shared" si="1082"/>
        <v/>
      </c>
      <c r="AT1902" s="465" t="str">
        <f t="shared" si="1083"/>
        <v/>
      </c>
      <c r="AU1902" s="466" t="str">
        <f t="shared" si="1084"/>
        <v/>
      </c>
      <c r="AV1902" s="467" t="str">
        <f t="shared" si="1085"/>
        <v/>
      </c>
      <c r="AW1902" s="467" t="str">
        <f t="shared" si="1086"/>
        <v/>
      </c>
      <c r="AX1902" s="467" t="str">
        <f t="shared" si="1087"/>
        <v/>
      </c>
      <c r="AY1902" s="467" t="str">
        <f t="shared" si="1088"/>
        <v/>
      </c>
      <c r="AZ1902" s="467" t="str">
        <f t="shared" si="1089"/>
        <v/>
      </c>
      <c r="BA1902" s="468" t="str">
        <f>IF(AS1902="","",IF(OR(AU1902="",AU1902="-"),"－",IF(OR(AZ1902=8,AZ1902=9),"",IF(OR(AW1902=3,AW1902=4,AW1902=5,AW1902=6),VLOOKUP(AU1902,INDEX((係数_バス貨物_ガソリン,係数_バス貨物_CNG,係数_バス貨物_軽油,係数_バス貨物_メタノール,係数_バス貨物_LPG),MATCH(AY1902,【参考】排出係数!$AI$4:$AI$671,1),1,BE1902):INDEX((係数_バス貨物_ガソリン,係数_バス貨物_CNG,係数_バス貨物_軽油,係数_バス貨物_メタノール,係数_バス貨物_LPG),MATCH(AY1902+1,【参考】排出係数!$AI$4:$AI$671,1)-1,5,BE1902),2,FALSE),IF(OR(AW1902=1,AW1902=2),VLOOKUP(AU1902,INDEX((係数_乗用_ガソリン,係数_乗用_CNG,係数_乗用_軽油,係数_乗用_メタノール,係数_乗用_LPG),1,1,BE1902):INDEX((係数_乗用_ガソリン,係数_乗用_CNG,係数_乗用_軽油,係数_乗用_メタノール,係数_乗用_LPG),125,5,BE1902),2,FALSE))))))</f>
        <v/>
      </c>
      <c r="BB1902" s="468" t="str">
        <f>IF(T1902="","",IF(OR(AU1902="",AU1902="-"),"－",IF(OR(AZ1902=8,AZ1902=9),"",IF(OR(AW1902=3,AW1902=4,AW1902=5,AW1902=6),VLOOKUP(AU1902,INDEX((係数_バス貨物_ガソリン,係数_バス貨物_CNG,係数_バス貨物_軽油,係数_バス貨物_メタノール,係数_バス貨物_LPG),MATCH(AY1902,【参考】排出係数!$AI$4:$AI$671,1),1,BE1902):INDEX((係数_バス貨物_ガソリン,係数_バス貨物_CNG,係数_バス貨物_軽油,係数_バス貨物_メタノール,係数_バス貨物_LPG),MATCH(AY1902+1,【参考】排出係数!$AI$4:$AI$671,1)-1,5,BE1902),3,FALSE),IF(OR(AW1902=1,AW1902=2),VLOOKUP(AU1902,INDEX((係数_乗用_ガソリン,係数_乗用_CNG,係数_乗用_軽油,係数_乗用_メタノール,係数_乗用_LPG),1,1,BE1902):INDEX((係数_乗用_ガソリン,係数_乗用_CNG,係数_乗用_軽油,係数_乗用_メタノール,係数_乗用_LPG),125,5,BE1902),3,FALSE))))))</f>
        <v/>
      </c>
      <c r="BC1902" s="467" t="str">
        <f t="shared" si="1090"/>
        <v/>
      </c>
      <c r="BD1902" s="567" t="str">
        <f t="shared" si="1091"/>
        <v/>
      </c>
      <c r="BE1902" s="467" t="str">
        <f t="shared" si="1092"/>
        <v/>
      </c>
      <c r="BF1902" s="469" t="str">
        <f t="shared" ca="1" si="1093"/>
        <v/>
      </c>
      <c r="BG1902" s="469" t="str">
        <f t="shared" ca="1" si="1094"/>
        <v/>
      </c>
      <c r="BH1902" s="467" t="str">
        <f t="shared" si="1095"/>
        <v/>
      </c>
      <c r="BI1902" s="467" t="str">
        <f t="shared" ca="1" si="1096"/>
        <v/>
      </c>
      <c r="BJ1902" s="469" t="str">
        <f t="shared" si="1097"/>
        <v/>
      </c>
      <c r="BK1902" s="470" t="str">
        <f t="shared" si="1081"/>
        <v/>
      </c>
      <c r="BL1902" s="775" t="str">
        <f t="shared" si="1098"/>
        <v/>
      </c>
      <c r="BM1902" s="775" t="str">
        <f t="shared" si="1099"/>
        <v/>
      </c>
    </row>
    <row r="1903" spans="1:65">
      <c r="A1903" s="473">
        <v>1847</v>
      </c>
      <c r="B1903" s="132"/>
      <c r="C1903" s="332"/>
      <c r="D1903" s="333"/>
      <c r="E1903" s="333"/>
      <c r="F1903" s="334"/>
      <c r="G1903" s="337"/>
      <c r="H1903" s="131"/>
      <c r="I1903" s="337"/>
      <c r="J1903" s="131"/>
      <c r="K1903" s="458" t="str">
        <f t="shared" si="1100"/>
        <v/>
      </c>
      <c r="L1903" s="458">
        <f t="shared" si="1101"/>
        <v>0</v>
      </c>
      <c r="M1903" s="458">
        <f t="shared" si="1102"/>
        <v>0</v>
      </c>
      <c r="N1903" s="459" t="str">
        <f t="shared" si="1075"/>
        <v/>
      </c>
      <c r="O1903" s="459" t="str">
        <f t="shared" si="1076"/>
        <v/>
      </c>
      <c r="P1903" s="459" t="str">
        <f t="shared" si="1077"/>
        <v/>
      </c>
      <c r="Q1903" s="459" t="str">
        <f t="shared" si="1078"/>
        <v/>
      </c>
      <c r="R1903" s="459" t="str">
        <f t="shared" si="1079"/>
        <v/>
      </c>
      <c r="S1903" s="459" t="str">
        <f t="shared" si="1080"/>
        <v/>
      </c>
      <c r="T1903" s="566" t="str">
        <f t="shared" si="1103"/>
        <v/>
      </c>
      <c r="U1903" s="702"/>
      <c r="V1903" s="132"/>
      <c r="W1903" s="133"/>
      <c r="X1903" s="134"/>
      <c r="Y1903" s="135"/>
      <c r="Z1903" s="137"/>
      <c r="AA1903" s="136"/>
      <c r="AB1903" s="566" t="str">
        <f t="shared" si="1104"/>
        <v/>
      </c>
      <c r="AC1903" s="568" t="str">
        <f t="shared" si="1105"/>
        <v/>
      </c>
      <c r="AD1903" s="137"/>
      <c r="AE1903" s="137"/>
      <c r="AF1903" s="138"/>
      <c r="AG1903" s="138"/>
      <c r="AH1903" s="592" t="str">
        <f t="shared" si="1106"/>
        <v/>
      </c>
      <c r="AI1903" s="592" t="str">
        <f t="shared" si="1107"/>
        <v/>
      </c>
      <c r="AJ1903" s="592" t="str">
        <f t="shared" si="1108"/>
        <v/>
      </c>
      <c r="AK1903" s="460" t="str">
        <f>IF(AU1903="","",IF(OR(AZ1903=8,AZ1903=9),0,IF(OR(AW1903=3,AW1903=4,AW1903=5,AW1903=6),IF(LEFT(BF1903,1)="1",INDEX(係数_NOX・PM低減,MATCH(AY1903,【参考】排出係数!$AI$801:$AI$804,1),1),VLOOKUP(AU1903,INDEX((係数_バス貨物_ガソリン,係数_バス貨物_CNG,係数_バス貨物_軽油,係数_バス貨物_メタノール,係数_バス貨物_LPG),MATCH(AY1903,【参考】排出係数!$AI$4:$AI$671,1),1,BE1903):INDEX((係数_バス貨物_ガソリン,係数_バス貨物_CNG,係数_バス貨物_軽油,係数_バス貨物_メタノール,係数_バス貨物_LPG),MATCH(AY1903+1,【参考】排出係数!$AI$4:$AI$671,1)-1,5,BE1903),4,FALSE)),IF(AND(BE1903=3,LEFT(BF1903,1)="1"),0.48,VLOOKUP(AU1903,INDEX((係数_乗用_ガソリン,係数_乗用_CNG,係数_乗用_軽油,係数_乗用_メタノール,係数_乗用_LPG),1,1,BE1903):INDEX((係数_乗用_ガソリン,係数_乗用_CNG,係数_乗用_軽油,係数_乗用_メタノール,係数_乗用_LPG),125,5,BE1903),4,FALSE)))))</f>
        <v/>
      </c>
      <c r="AL1903" s="461" t="str">
        <f t="shared" si="1109"/>
        <v/>
      </c>
      <c r="AM1903" s="460" t="str">
        <f>IF(AU1903="","",IF(OR(AZ1903=8,AZ1903=9),0,IF(OR(AW1903=3,AW1903=4,AW1903=5,AW1903=6),IF(LEFT(BH1903,1)="1",INDEX(係数_PM低減,MATCH(AY1903,【参考】排出係数!$AI$801:$AI$804,1),MATCH(BI1903,【参考】排出係数!$AL$798:$AO$798,1)),VLOOKUP(AU1903,INDEX((係数_バス貨物_ガソリン,係数_バス貨物_CNG,係数_バス貨物_軽油,係数_バス貨物_メタノール,係数_バス貨物_LPG),MATCH(AY1903,【参考】排出係数!$AI$4:$AI$671,1),1,BE1903):INDEX((係数_バス貨物_ガソリン,係数_バス貨物_CNG,係数_バス貨物_軽油,係数_バス貨物_メタノール,係数_バス貨物_LPG),MATCH(AY1903+1,【参考】排出係数!$AI$4:$AI$671,1)-1,5,BE1903),5,FALSE)),IF(AND(BE1903=3,LEFT(BF1903,1)="1"),0.055,VLOOKUP(AU1903,INDEX((係数_乗用_ガソリン,係数_乗用_CNG,係数_乗用_軽油,係数_乗用_メタノール,係数_乗用_LPG),1,1,BE1903):INDEX((係数_乗用_ガソリン,係数_乗用_CNG,係数_乗用_軽油,係数_乗用_メタノール,係数_乗用_LPG),125,5,BE1903),5,FALSE)))))</f>
        <v/>
      </c>
      <c r="AN1903" s="461" t="str">
        <f t="shared" si="1110"/>
        <v/>
      </c>
      <c r="AO1903" s="462" t="str">
        <f t="shared" si="1111"/>
        <v/>
      </c>
      <c r="AP1903" s="463" t="str">
        <f t="shared" si="1112"/>
        <v/>
      </c>
      <c r="AQ1903" s="464"/>
      <c r="AR1903" s="619"/>
      <c r="AS1903" s="465" t="str">
        <f t="shared" si="1082"/>
        <v/>
      </c>
      <c r="AT1903" s="465" t="str">
        <f t="shared" si="1083"/>
        <v/>
      </c>
      <c r="AU1903" s="466" t="str">
        <f t="shared" si="1084"/>
        <v/>
      </c>
      <c r="AV1903" s="467" t="str">
        <f t="shared" si="1085"/>
        <v/>
      </c>
      <c r="AW1903" s="467" t="str">
        <f t="shared" si="1086"/>
        <v/>
      </c>
      <c r="AX1903" s="467" t="str">
        <f t="shared" si="1087"/>
        <v/>
      </c>
      <c r="AY1903" s="467" t="str">
        <f t="shared" si="1088"/>
        <v/>
      </c>
      <c r="AZ1903" s="467" t="str">
        <f t="shared" si="1089"/>
        <v/>
      </c>
      <c r="BA1903" s="468" t="str">
        <f>IF(AS1903="","",IF(OR(AU1903="",AU1903="-"),"－",IF(OR(AZ1903=8,AZ1903=9),"",IF(OR(AW1903=3,AW1903=4,AW1903=5,AW1903=6),VLOOKUP(AU1903,INDEX((係数_バス貨物_ガソリン,係数_バス貨物_CNG,係数_バス貨物_軽油,係数_バス貨物_メタノール,係数_バス貨物_LPG),MATCH(AY1903,【参考】排出係数!$AI$4:$AI$671,1),1,BE1903):INDEX((係数_バス貨物_ガソリン,係数_バス貨物_CNG,係数_バス貨物_軽油,係数_バス貨物_メタノール,係数_バス貨物_LPG),MATCH(AY1903+1,【参考】排出係数!$AI$4:$AI$671,1)-1,5,BE1903),2,FALSE),IF(OR(AW1903=1,AW1903=2),VLOOKUP(AU1903,INDEX((係数_乗用_ガソリン,係数_乗用_CNG,係数_乗用_軽油,係数_乗用_メタノール,係数_乗用_LPG),1,1,BE1903):INDEX((係数_乗用_ガソリン,係数_乗用_CNG,係数_乗用_軽油,係数_乗用_メタノール,係数_乗用_LPG),125,5,BE1903),2,FALSE))))))</f>
        <v/>
      </c>
      <c r="BB1903" s="468" t="str">
        <f>IF(T1903="","",IF(OR(AU1903="",AU1903="-"),"－",IF(OR(AZ1903=8,AZ1903=9),"",IF(OR(AW1903=3,AW1903=4,AW1903=5,AW1903=6),VLOOKUP(AU1903,INDEX((係数_バス貨物_ガソリン,係数_バス貨物_CNG,係数_バス貨物_軽油,係数_バス貨物_メタノール,係数_バス貨物_LPG),MATCH(AY1903,【参考】排出係数!$AI$4:$AI$671,1),1,BE1903):INDEX((係数_バス貨物_ガソリン,係数_バス貨物_CNG,係数_バス貨物_軽油,係数_バス貨物_メタノール,係数_バス貨物_LPG),MATCH(AY1903+1,【参考】排出係数!$AI$4:$AI$671,1)-1,5,BE1903),3,FALSE),IF(OR(AW1903=1,AW1903=2),VLOOKUP(AU1903,INDEX((係数_乗用_ガソリン,係数_乗用_CNG,係数_乗用_軽油,係数_乗用_メタノール,係数_乗用_LPG),1,1,BE1903):INDEX((係数_乗用_ガソリン,係数_乗用_CNG,係数_乗用_軽油,係数_乗用_メタノール,係数_乗用_LPG),125,5,BE1903),3,FALSE))))))</f>
        <v/>
      </c>
      <c r="BC1903" s="467" t="str">
        <f t="shared" si="1090"/>
        <v/>
      </c>
      <c r="BD1903" s="567" t="str">
        <f t="shared" si="1091"/>
        <v/>
      </c>
      <c r="BE1903" s="467" t="str">
        <f t="shared" si="1092"/>
        <v/>
      </c>
      <c r="BF1903" s="469" t="str">
        <f t="shared" ca="1" si="1093"/>
        <v/>
      </c>
      <c r="BG1903" s="469" t="str">
        <f t="shared" ca="1" si="1094"/>
        <v/>
      </c>
      <c r="BH1903" s="467" t="str">
        <f t="shared" si="1095"/>
        <v/>
      </c>
      <c r="BI1903" s="467" t="str">
        <f t="shared" ca="1" si="1096"/>
        <v/>
      </c>
      <c r="BJ1903" s="469" t="str">
        <f t="shared" si="1097"/>
        <v/>
      </c>
      <c r="BK1903" s="470" t="str">
        <f t="shared" si="1081"/>
        <v/>
      </c>
      <c r="BL1903" s="775" t="str">
        <f t="shared" si="1098"/>
        <v/>
      </c>
      <c r="BM1903" s="775" t="str">
        <f t="shared" si="1099"/>
        <v/>
      </c>
    </row>
    <row r="1904" spans="1:65">
      <c r="A1904" s="473">
        <v>1848</v>
      </c>
      <c r="B1904" s="132"/>
      <c r="C1904" s="332"/>
      <c r="D1904" s="333"/>
      <c r="E1904" s="333"/>
      <c r="F1904" s="334"/>
      <c r="G1904" s="337"/>
      <c r="H1904" s="131"/>
      <c r="I1904" s="337"/>
      <c r="J1904" s="131"/>
      <c r="K1904" s="458" t="str">
        <f t="shared" si="1100"/>
        <v/>
      </c>
      <c r="L1904" s="458">
        <f t="shared" si="1101"/>
        <v>0</v>
      </c>
      <c r="M1904" s="458">
        <f t="shared" si="1102"/>
        <v>0</v>
      </c>
      <c r="N1904" s="459" t="str">
        <f t="shared" si="1075"/>
        <v/>
      </c>
      <c r="O1904" s="459" t="str">
        <f t="shared" si="1076"/>
        <v/>
      </c>
      <c r="P1904" s="459" t="str">
        <f t="shared" si="1077"/>
        <v/>
      </c>
      <c r="Q1904" s="459" t="str">
        <f t="shared" si="1078"/>
        <v/>
      </c>
      <c r="R1904" s="459" t="str">
        <f t="shared" si="1079"/>
        <v/>
      </c>
      <c r="S1904" s="459" t="str">
        <f t="shared" si="1080"/>
        <v/>
      </c>
      <c r="T1904" s="566" t="str">
        <f t="shared" si="1103"/>
        <v/>
      </c>
      <c r="U1904" s="702"/>
      <c r="V1904" s="132"/>
      <c r="W1904" s="133"/>
      <c r="X1904" s="134"/>
      <c r="Y1904" s="135"/>
      <c r="Z1904" s="137"/>
      <c r="AA1904" s="136"/>
      <c r="AB1904" s="566" t="str">
        <f t="shared" si="1104"/>
        <v/>
      </c>
      <c r="AC1904" s="568" t="str">
        <f t="shared" si="1105"/>
        <v/>
      </c>
      <c r="AD1904" s="137"/>
      <c r="AE1904" s="137"/>
      <c r="AF1904" s="138"/>
      <c r="AG1904" s="138"/>
      <c r="AH1904" s="592" t="str">
        <f t="shared" si="1106"/>
        <v/>
      </c>
      <c r="AI1904" s="592" t="str">
        <f t="shared" si="1107"/>
        <v/>
      </c>
      <c r="AJ1904" s="592" t="str">
        <f t="shared" si="1108"/>
        <v/>
      </c>
      <c r="AK1904" s="460" t="str">
        <f>IF(AU1904="","",IF(OR(AZ1904=8,AZ1904=9),0,IF(OR(AW1904=3,AW1904=4,AW1904=5,AW1904=6),IF(LEFT(BF1904,1)="1",INDEX(係数_NOX・PM低減,MATCH(AY1904,【参考】排出係数!$AI$801:$AI$804,1),1),VLOOKUP(AU1904,INDEX((係数_バス貨物_ガソリン,係数_バス貨物_CNG,係数_バス貨物_軽油,係数_バス貨物_メタノール,係数_バス貨物_LPG),MATCH(AY1904,【参考】排出係数!$AI$4:$AI$671,1),1,BE1904):INDEX((係数_バス貨物_ガソリン,係数_バス貨物_CNG,係数_バス貨物_軽油,係数_バス貨物_メタノール,係数_バス貨物_LPG),MATCH(AY1904+1,【参考】排出係数!$AI$4:$AI$671,1)-1,5,BE1904),4,FALSE)),IF(AND(BE1904=3,LEFT(BF1904,1)="1"),0.48,VLOOKUP(AU1904,INDEX((係数_乗用_ガソリン,係数_乗用_CNG,係数_乗用_軽油,係数_乗用_メタノール,係数_乗用_LPG),1,1,BE1904):INDEX((係数_乗用_ガソリン,係数_乗用_CNG,係数_乗用_軽油,係数_乗用_メタノール,係数_乗用_LPG),125,5,BE1904),4,FALSE)))))</f>
        <v/>
      </c>
      <c r="AL1904" s="461" t="str">
        <f t="shared" si="1109"/>
        <v/>
      </c>
      <c r="AM1904" s="460" t="str">
        <f>IF(AU1904="","",IF(OR(AZ1904=8,AZ1904=9),0,IF(OR(AW1904=3,AW1904=4,AW1904=5,AW1904=6),IF(LEFT(BH1904,1)="1",INDEX(係数_PM低減,MATCH(AY1904,【参考】排出係数!$AI$801:$AI$804,1),MATCH(BI1904,【参考】排出係数!$AL$798:$AO$798,1)),VLOOKUP(AU1904,INDEX((係数_バス貨物_ガソリン,係数_バス貨物_CNG,係数_バス貨物_軽油,係数_バス貨物_メタノール,係数_バス貨物_LPG),MATCH(AY1904,【参考】排出係数!$AI$4:$AI$671,1),1,BE1904):INDEX((係数_バス貨物_ガソリン,係数_バス貨物_CNG,係数_バス貨物_軽油,係数_バス貨物_メタノール,係数_バス貨物_LPG),MATCH(AY1904+1,【参考】排出係数!$AI$4:$AI$671,1)-1,5,BE1904),5,FALSE)),IF(AND(BE1904=3,LEFT(BF1904,1)="1"),0.055,VLOOKUP(AU1904,INDEX((係数_乗用_ガソリン,係数_乗用_CNG,係数_乗用_軽油,係数_乗用_メタノール,係数_乗用_LPG),1,1,BE1904):INDEX((係数_乗用_ガソリン,係数_乗用_CNG,係数_乗用_軽油,係数_乗用_メタノール,係数_乗用_LPG),125,5,BE1904),5,FALSE)))))</f>
        <v/>
      </c>
      <c r="AN1904" s="461" t="str">
        <f t="shared" si="1110"/>
        <v/>
      </c>
      <c r="AO1904" s="462" t="str">
        <f t="shared" si="1111"/>
        <v/>
      </c>
      <c r="AP1904" s="463" t="str">
        <f t="shared" si="1112"/>
        <v/>
      </c>
      <c r="AQ1904" s="464"/>
      <c r="AR1904" s="619"/>
      <c r="AS1904" s="465" t="str">
        <f t="shared" si="1082"/>
        <v/>
      </c>
      <c r="AT1904" s="465" t="str">
        <f t="shared" si="1083"/>
        <v/>
      </c>
      <c r="AU1904" s="466" t="str">
        <f t="shared" si="1084"/>
        <v/>
      </c>
      <c r="AV1904" s="467" t="str">
        <f t="shared" si="1085"/>
        <v/>
      </c>
      <c r="AW1904" s="467" t="str">
        <f t="shared" si="1086"/>
        <v/>
      </c>
      <c r="AX1904" s="467" t="str">
        <f t="shared" si="1087"/>
        <v/>
      </c>
      <c r="AY1904" s="467" t="str">
        <f t="shared" si="1088"/>
        <v/>
      </c>
      <c r="AZ1904" s="467" t="str">
        <f t="shared" si="1089"/>
        <v/>
      </c>
      <c r="BA1904" s="468" t="str">
        <f>IF(AS1904="","",IF(OR(AU1904="",AU1904="-"),"－",IF(OR(AZ1904=8,AZ1904=9),"",IF(OR(AW1904=3,AW1904=4,AW1904=5,AW1904=6),VLOOKUP(AU1904,INDEX((係数_バス貨物_ガソリン,係数_バス貨物_CNG,係数_バス貨物_軽油,係数_バス貨物_メタノール,係数_バス貨物_LPG),MATCH(AY1904,【参考】排出係数!$AI$4:$AI$671,1),1,BE1904):INDEX((係数_バス貨物_ガソリン,係数_バス貨物_CNG,係数_バス貨物_軽油,係数_バス貨物_メタノール,係数_バス貨物_LPG),MATCH(AY1904+1,【参考】排出係数!$AI$4:$AI$671,1)-1,5,BE1904),2,FALSE),IF(OR(AW1904=1,AW1904=2),VLOOKUP(AU1904,INDEX((係数_乗用_ガソリン,係数_乗用_CNG,係数_乗用_軽油,係数_乗用_メタノール,係数_乗用_LPG),1,1,BE1904):INDEX((係数_乗用_ガソリン,係数_乗用_CNG,係数_乗用_軽油,係数_乗用_メタノール,係数_乗用_LPG),125,5,BE1904),2,FALSE))))))</f>
        <v/>
      </c>
      <c r="BB1904" s="468" t="str">
        <f>IF(T1904="","",IF(OR(AU1904="",AU1904="-"),"－",IF(OR(AZ1904=8,AZ1904=9),"",IF(OR(AW1904=3,AW1904=4,AW1904=5,AW1904=6),VLOOKUP(AU1904,INDEX((係数_バス貨物_ガソリン,係数_バス貨物_CNG,係数_バス貨物_軽油,係数_バス貨物_メタノール,係数_バス貨物_LPG),MATCH(AY1904,【参考】排出係数!$AI$4:$AI$671,1),1,BE1904):INDEX((係数_バス貨物_ガソリン,係数_バス貨物_CNG,係数_バス貨物_軽油,係数_バス貨物_メタノール,係数_バス貨物_LPG),MATCH(AY1904+1,【参考】排出係数!$AI$4:$AI$671,1)-1,5,BE1904),3,FALSE),IF(OR(AW1904=1,AW1904=2),VLOOKUP(AU1904,INDEX((係数_乗用_ガソリン,係数_乗用_CNG,係数_乗用_軽油,係数_乗用_メタノール,係数_乗用_LPG),1,1,BE1904):INDEX((係数_乗用_ガソリン,係数_乗用_CNG,係数_乗用_軽油,係数_乗用_メタノール,係数_乗用_LPG),125,5,BE1904),3,FALSE))))))</f>
        <v/>
      </c>
      <c r="BC1904" s="467" t="str">
        <f t="shared" si="1090"/>
        <v/>
      </c>
      <c r="BD1904" s="567" t="str">
        <f t="shared" si="1091"/>
        <v/>
      </c>
      <c r="BE1904" s="467" t="str">
        <f t="shared" si="1092"/>
        <v/>
      </c>
      <c r="BF1904" s="469" t="str">
        <f t="shared" ca="1" si="1093"/>
        <v/>
      </c>
      <c r="BG1904" s="469" t="str">
        <f t="shared" ca="1" si="1094"/>
        <v/>
      </c>
      <c r="BH1904" s="467" t="str">
        <f t="shared" si="1095"/>
        <v/>
      </c>
      <c r="BI1904" s="467" t="str">
        <f t="shared" ca="1" si="1096"/>
        <v/>
      </c>
      <c r="BJ1904" s="469" t="str">
        <f t="shared" si="1097"/>
        <v/>
      </c>
      <c r="BK1904" s="470" t="str">
        <f t="shared" si="1081"/>
        <v/>
      </c>
      <c r="BL1904" s="775" t="str">
        <f t="shared" si="1098"/>
        <v/>
      </c>
      <c r="BM1904" s="775" t="str">
        <f t="shared" si="1099"/>
        <v/>
      </c>
    </row>
    <row r="1905" spans="1:65">
      <c r="A1905" s="473">
        <v>1849</v>
      </c>
      <c r="B1905" s="132"/>
      <c r="C1905" s="332"/>
      <c r="D1905" s="333"/>
      <c r="E1905" s="333"/>
      <c r="F1905" s="334"/>
      <c r="G1905" s="337"/>
      <c r="H1905" s="131"/>
      <c r="I1905" s="337"/>
      <c r="J1905" s="131"/>
      <c r="K1905" s="458" t="str">
        <f t="shared" si="1100"/>
        <v/>
      </c>
      <c r="L1905" s="458">
        <f t="shared" si="1101"/>
        <v>0</v>
      </c>
      <c r="M1905" s="458">
        <f t="shared" si="1102"/>
        <v>0</v>
      </c>
      <c r="N1905" s="459" t="str">
        <f t="shared" si="1075"/>
        <v/>
      </c>
      <c r="O1905" s="459" t="str">
        <f t="shared" si="1076"/>
        <v/>
      </c>
      <c r="P1905" s="459" t="str">
        <f t="shared" si="1077"/>
        <v/>
      </c>
      <c r="Q1905" s="459" t="str">
        <f t="shared" si="1078"/>
        <v/>
      </c>
      <c r="R1905" s="459" t="str">
        <f t="shared" si="1079"/>
        <v/>
      </c>
      <c r="S1905" s="459" t="str">
        <f t="shared" si="1080"/>
        <v/>
      </c>
      <c r="T1905" s="566" t="str">
        <f t="shared" si="1103"/>
        <v/>
      </c>
      <c r="U1905" s="702"/>
      <c r="V1905" s="132"/>
      <c r="W1905" s="133"/>
      <c r="X1905" s="134"/>
      <c r="Y1905" s="135"/>
      <c r="Z1905" s="137"/>
      <c r="AA1905" s="136"/>
      <c r="AB1905" s="566" t="str">
        <f t="shared" si="1104"/>
        <v/>
      </c>
      <c r="AC1905" s="568" t="str">
        <f t="shared" si="1105"/>
        <v/>
      </c>
      <c r="AD1905" s="137"/>
      <c r="AE1905" s="137"/>
      <c r="AF1905" s="138"/>
      <c r="AG1905" s="138"/>
      <c r="AH1905" s="592" t="str">
        <f t="shared" si="1106"/>
        <v/>
      </c>
      <c r="AI1905" s="592" t="str">
        <f t="shared" si="1107"/>
        <v/>
      </c>
      <c r="AJ1905" s="592" t="str">
        <f t="shared" si="1108"/>
        <v/>
      </c>
      <c r="AK1905" s="460" t="str">
        <f>IF(AU1905="","",IF(OR(AZ1905=8,AZ1905=9),0,IF(OR(AW1905=3,AW1905=4,AW1905=5,AW1905=6),IF(LEFT(BF1905,1)="1",INDEX(係数_NOX・PM低減,MATCH(AY1905,【参考】排出係数!$AI$801:$AI$804,1),1),VLOOKUP(AU1905,INDEX((係数_バス貨物_ガソリン,係数_バス貨物_CNG,係数_バス貨物_軽油,係数_バス貨物_メタノール,係数_バス貨物_LPG),MATCH(AY1905,【参考】排出係数!$AI$4:$AI$671,1),1,BE1905):INDEX((係数_バス貨物_ガソリン,係数_バス貨物_CNG,係数_バス貨物_軽油,係数_バス貨物_メタノール,係数_バス貨物_LPG),MATCH(AY1905+1,【参考】排出係数!$AI$4:$AI$671,1)-1,5,BE1905),4,FALSE)),IF(AND(BE1905=3,LEFT(BF1905,1)="1"),0.48,VLOOKUP(AU1905,INDEX((係数_乗用_ガソリン,係数_乗用_CNG,係数_乗用_軽油,係数_乗用_メタノール,係数_乗用_LPG),1,1,BE1905):INDEX((係数_乗用_ガソリン,係数_乗用_CNG,係数_乗用_軽油,係数_乗用_メタノール,係数_乗用_LPG),125,5,BE1905),4,FALSE)))))</f>
        <v/>
      </c>
      <c r="AL1905" s="461" t="str">
        <f t="shared" si="1109"/>
        <v/>
      </c>
      <c r="AM1905" s="460" t="str">
        <f>IF(AU1905="","",IF(OR(AZ1905=8,AZ1905=9),0,IF(OR(AW1905=3,AW1905=4,AW1905=5,AW1905=6),IF(LEFT(BH1905,1)="1",INDEX(係数_PM低減,MATCH(AY1905,【参考】排出係数!$AI$801:$AI$804,1),MATCH(BI1905,【参考】排出係数!$AL$798:$AO$798,1)),VLOOKUP(AU1905,INDEX((係数_バス貨物_ガソリン,係数_バス貨物_CNG,係数_バス貨物_軽油,係数_バス貨物_メタノール,係数_バス貨物_LPG),MATCH(AY1905,【参考】排出係数!$AI$4:$AI$671,1),1,BE1905):INDEX((係数_バス貨物_ガソリン,係数_バス貨物_CNG,係数_バス貨物_軽油,係数_バス貨物_メタノール,係数_バス貨物_LPG),MATCH(AY1905+1,【参考】排出係数!$AI$4:$AI$671,1)-1,5,BE1905),5,FALSE)),IF(AND(BE1905=3,LEFT(BF1905,1)="1"),0.055,VLOOKUP(AU1905,INDEX((係数_乗用_ガソリン,係数_乗用_CNG,係数_乗用_軽油,係数_乗用_メタノール,係数_乗用_LPG),1,1,BE1905):INDEX((係数_乗用_ガソリン,係数_乗用_CNG,係数_乗用_軽油,係数_乗用_メタノール,係数_乗用_LPG),125,5,BE1905),5,FALSE)))))</f>
        <v/>
      </c>
      <c r="AN1905" s="461" t="str">
        <f t="shared" si="1110"/>
        <v/>
      </c>
      <c r="AO1905" s="462" t="str">
        <f t="shared" si="1111"/>
        <v/>
      </c>
      <c r="AP1905" s="463" t="str">
        <f t="shared" si="1112"/>
        <v/>
      </c>
      <c r="AQ1905" s="464"/>
      <c r="AR1905" s="619"/>
      <c r="AS1905" s="465" t="str">
        <f t="shared" si="1082"/>
        <v/>
      </c>
      <c r="AT1905" s="465" t="str">
        <f t="shared" si="1083"/>
        <v/>
      </c>
      <c r="AU1905" s="466" t="str">
        <f t="shared" si="1084"/>
        <v/>
      </c>
      <c r="AV1905" s="467" t="str">
        <f t="shared" si="1085"/>
        <v/>
      </c>
      <c r="AW1905" s="467" t="str">
        <f t="shared" si="1086"/>
        <v/>
      </c>
      <c r="AX1905" s="467" t="str">
        <f t="shared" si="1087"/>
        <v/>
      </c>
      <c r="AY1905" s="467" t="str">
        <f t="shared" si="1088"/>
        <v/>
      </c>
      <c r="AZ1905" s="467" t="str">
        <f t="shared" si="1089"/>
        <v/>
      </c>
      <c r="BA1905" s="468" t="str">
        <f>IF(AS1905="","",IF(OR(AU1905="",AU1905="-"),"－",IF(OR(AZ1905=8,AZ1905=9),"",IF(OR(AW1905=3,AW1905=4,AW1905=5,AW1905=6),VLOOKUP(AU1905,INDEX((係数_バス貨物_ガソリン,係数_バス貨物_CNG,係数_バス貨物_軽油,係数_バス貨物_メタノール,係数_バス貨物_LPG),MATCH(AY1905,【参考】排出係数!$AI$4:$AI$671,1),1,BE1905):INDEX((係数_バス貨物_ガソリン,係数_バス貨物_CNG,係数_バス貨物_軽油,係数_バス貨物_メタノール,係数_バス貨物_LPG),MATCH(AY1905+1,【参考】排出係数!$AI$4:$AI$671,1)-1,5,BE1905),2,FALSE),IF(OR(AW1905=1,AW1905=2),VLOOKUP(AU1905,INDEX((係数_乗用_ガソリン,係数_乗用_CNG,係数_乗用_軽油,係数_乗用_メタノール,係数_乗用_LPG),1,1,BE1905):INDEX((係数_乗用_ガソリン,係数_乗用_CNG,係数_乗用_軽油,係数_乗用_メタノール,係数_乗用_LPG),125,5,BE1905),2,FALSE))))))</f>
        <v/>
      </c>
      <c r="BB1905" s="468" t="str">
        <f>IF(T1905="","",IF(OR(AU1905="",AU1905="-"),"－",IF(OR(AZ1905=8,AZ1905=9),"",IF(OR(AW1905=3,AW1905=4,AW1905=5,AW1905=6),VLOOKUP(AU1905,INDEX((係数_バス貨物_ガソリン,係数_バス貨物_CNG,係数_バス貨物_軽油,係数_バス貨物_メタノール,係数_バス貨物_LPG),MATCH(AY1905,【参考】排出係数!$AI$4:$AI$671,1),1,BE1905):INDEX((係数_バス貨物_ガソリン,係数_バス貨物_CNG,係数_バス貨物_軽油,係数_バス貨物_メタノール,係数_バス貨物_LPG),MATCH(AY1905+1,【参考】排出係数!$AI$4:$AI$671,1)-1,5,BE1905),3,FALSE),IF(OR(AW1905=1,AW1905=2),VLOOKUP(AU1905,INDEX((係数_乗用_ガソリン,係数_乗用_CNG,係数_乗用_軽油,係数_乗用_メタノール,係数_乗用_LPG),1,1,BE1905):INDEX((係数_乗用_ガソリン,係数_乗用_CNG,係数_乗用_軽油,係数_乗用_メタノール,係数_乗用_LPG),125,5,BE1905),3,FALSE))))))</f>
        <v/>
      </c>
      <c r="BC1905" s="467" t="str">
        <f t="shared" si="1090"/>
        <v/>
      </c>
      <c r="BD1905" s="567" t="str">
        <f t="shared" si="1091"/>
        <v/>
      </c>
      <c r="BE1905" s="467" t="str">
        <f t="shared" si="1092"/>
        <v/>
      </c>
      <c r="BF1905" s="469" t="str">
        <f t="shared" ca="1" si="1093"/>
        <v/>
      </c>
      <c r="BG1905" s="469" t="str">
        <f t="shared" ca="1" si="1094"/>
        <v/>
      </c>
      <c r="BH1905" s="467" t="str">
        <f t="shared" si="1095"/>
        <v/>
      </c>
      <c r="BI1905" s="467" t="str">
        <f t="shared" ca="1" si="1096"/>
        <v/>
      </c>
      <c r="BJ1905" s="469" t="str">
        <f t="shared" si="1097"/>
        <v/>
      </c>
      <c r="BK1905" s="470" t="str">
        <f t="shared" si="1081"/>
        <v/>
      </c>
      <c r="BL1905" s="775" t="str">
        <f t="shared" si="1098"/>
        <v/>
      </c>
      <c r="BM1905" s="775" t="str">
        <f t="shared" si="1099"/>
        <v/>
      </c>
    </row>
    <row r="1906" spans="1:65">
      <c r="A1906" s="473">
        <v>1850</v>
      </c>
      <c r="B1906" s="132"/>
      <c r="C1906" s="332"/>
      <c r="D1906" s="333"/>
      <c r="E1906" s="333"/>
      <c r="F1906" s="334"/>
      <c r="G1906" s="337"/>
      <c r="H1906" s="131"/>
      <c r="I1906" s="337"/>
      <c r="J1906" s="131"/>
      <c r="K1906" s="458" t="str">
        <f t="shared" si="1100"/>
        <v/>
      </c>
      <c r="L1906" s="458">
        <f t="shared" si="1101"/>
        <v>0</v>
      </c>
      <c r="M1906" s="458">
        <f t="shared" si="1102"/>
        <v>0</v>
      </c>
      <c r="N1906" s="459" t="str">
        <f t="shared" si="1075"/>
        <v/>
      </c>
      <c r="O1906" s="459" t="str">
        <f t="shared" si="1076"/>
        <v/>
      </c>
      <c r="P1906" s="459" t="str">
        <f t="shared" si="1077"/>
        <v/>
      </c>
      <c r="Q1906" s="459" t="str">
        <f t="shared" si="1078"/>
        <v/>
      </c>
      <c r="R1906" s="459" t="str">
        <f t="shared" si="1079"/>
        <v/>
      </c>
      <c r="S1906" s="459" t="str">
        <f t="shared" si="1080"/>
        <v/>
      </c>
      <c r="T1906" s="566" t="str">
        <f t="shared" si="1103"/>
        <v/>
      </c>
      <c r="U1906" s="702"/>
      <c r="V1906" s="132"/>
      <c r="W1906" s="133"/>
      <c r="X1906" s="134"/>
      <c r="Y1906" s="135"/>
      <c r="Z1906" s="137"/>
      <c r="AA1906" s="136"/>
      <c r="AB1906" s="566" t="str">
        <f t="shared" si="1104"/>
        <v/>
      </c>
      <c r="AC1906" s="568" t="str">
        <f t="shared" si="1105"/>
        <v/>
      </c>
      <c r="AD1906" s="137"/>
      <c r="AE1906" s="137"/>
      <c r="AF1906" s="138"/>
      <c r="AG1906" s="138"/>
      <c r="AH1906" s="592" t="str">
        <f t="shared" si="1106"/>
        <v/>
      </c>
      <c r="AI1906" s="592" t="str">
        <f t="shared" si="1107"/>
        <v/>
      </c>
      <c r="AJ1906" s="592" t="str">
        <f t="shared" si="1108"/>
        <v/>
      </c>
      <c r="AK1906" s="460" t="str">
        <f>IF(AU1906="","",IF(OR(AZ1906=8,AZ1906=9),0,IF(OR(AW1906=3,AW1906=4,AW1906=5,AW1906=6),IF(LEFT(BF1906,1)="1",INDEX(係数_NOX・PM低減,MATCH(AY1906,【参考】排出係数!$AI$801:$AI$804,1),1),VLOOKUP(AU1906,INDEX((係数_バス貨物_ガソリン,係数_バス貨物_CNG,係数_バス貨物_軽油,係数_バス貨物_メタノール,係数_バス貨物_LPG),MATCH(AY1906,【参考】排出係数!$AI$4:$AI$671,1),1,BE1906):INDEX((係数_バス貨物_ガソリン,係数_バス貨物_CNG,係数_バス貨物_軽油,係数_バス貨物_メタノール,係数_バス貨物_LPG),MATCH(AY1906+1,【参考】排出係数!$AI$4:$AI$671,1)-1,5,BE1906),4,FALSE)),IF(AND(BE1906=3,LEFT(BF1906,1)="1"),0.48,VLOOKUP(AU1906,INDEX((係数_乗用_ガソリン,係数_乗用_CNG,係数_乗用_軽油,係数_乗用_メタノール,係数_乗用_LPG),1,1,BE1906):INDEX((係数_乗用_ガソリン,係数_乗用_CNG,係数_乗用_軽油,係数_乗用_メタノール,係数_乗用_LPG),125,5,BE1906),4,FALSE)))))</f>
        <v/>
      </c>
      <c r="AL1906" s="461" t="str">
        <f t="shared" si="1109"/>
        <v/>
      </c>
      <c r="AM1906" s="460" t="str">
        <f>IF(AU1906="","",IF(OR(AZ1906=8,AZ1906=9),0,IF(OR(AW1906=3,AW1906=4,AW1906=5,AW1906=6),IF(LEFT(BH1906,1)="1",INDEX(係数_PM低減,MATCH(AY1906,【参考】排出係数!$AI$801:$AI$804,1),MATCH(BI1906,【参考】排出係数!$AL$798:$AO$798,1)),VLOOKUP(AU1906,INDEX((係数_バス貨物_ガソリン,係数_バス貨物_CNG,係数_バス貨物_軽油,係数_バス貨物_メタノール,係数_バス貨物_LPG),MATCH(AY1906,【参考】排出係数!$AI$4:$AI$671,1),1,BE1906):INDEX((係数_バス貨物_ガソリン,係数_バス貨物_CNG,係数_バス貨物_軽油,係数_バス貨物_メタノール,係数_バス貨物_LPG),MATCH(AY1906+1,【参考】排出係数!$AI$4:$AI$671,1)-1,5,BE1906),5,FALSE)),IF(AND(BE1906=3,LEFT(BF1906,1)="1"),0.055,VLOOKUP(AU1906,INDEX((係数_乗用_ガソリン,係数_乗用_CNG,係数_乗用_軽油,係数_乗用_メタノール,係数_乗用_LPG),1,1,BE1906):INDEX((係数_乗用_ガソリン,係数_乗用_CNG,係数_乗用_軽油,係数_乗用_メタノール,係数_乗用_LPG),125,5,BE1906),5,FALSE)))))</f>
        <v/>
      </c>
      <c r="AN1906" s="461" t="str">
        <f t="shared" si="1110"/>
        <v/>
      </c>
      <c r="AO1906" s="462" t="str">
        <f t="shared" si="1111"/>
        <v/>
      </c>
      <c r="AP1906" s="463" t="str">
        <f t="shared" si="1112"/>
        <v/>
      </c>
      <c r="AQ1906" s="464"/>
      <c r="AR1906" s="619"/>
      <c r="AS1906" s="465" t="str">
        <f t="shared" si="1082"/>
        <v/>
      </c>
      <c r="AT1906" s="465" t="str">
        <f t="shared" si="1083"/>
        <v/>
      </c>
      <c r="AU1906" s="466" t="str">
        <f t="shared" si="1084"/>
        <v/>
      </c>
      <c r="AV1906" s="467" t="str">
        <f t="shared" si="1085"/>
        <v/>
      </c>
      <c r="AW1906" s="467" t="str">
        <f t="shared" si="1086"/>
        <v/>
      </c>
      <c r="AX1906" s="467" t="str">
        <f t="shared" si="1087"/>
        <v/>
      </c>
      <c r="AY1906" s="467" t="str">
        <f t="shared" si="1088"/>
        <v/>
      </c>
      <c r="AZ1906" s="467" t="str">
        <f t="shared" si="1089"/>
        <v/>
      </c>
      <c r="BA1906" s="468" t="str">
        <f>IF(AS1906="","",IF(OR(AU1906="",AU1906="-"),"－",IF(OR(AZ1906=8,AZ1906=9),"",IF(OR(AW1906=3,AW1906=4,AW1906=5,AW1906=6),VLOOKUP(AU1906,INDEX((係数_バス貨物_ガソリン,係数_バス貨物_CNG,係数_バス貨物_軽油,係数_バス貨物_メタノール,係数_バス貨物_LPG),MATCH(AY1906,【参考】排出係数!$AI$4:$AI$671,1),1,BE1906):INDEX((係数_バス貨物_ガソリン,係数_バス貨物_CNG,係数_バス貨物_軽油,係数_バス貨物_メタノール,係数_バス貨物_LPG),MATCH(AY1906+1,【参考】排出係数!$AI$4:$AI$671,1)-1,5,BE1906),2,FALSE),IF(OR(AW1906=1,AW1906=2),VLOOKUP(AU1906,INDEX((係数_乗用_ガソリン,係数_乗用_CNG,係数_乗用_軽油,係数_乗用_メタノール,係数_乗用_LPG),1,1,BE1906):INDEX((係数_乗用_ガソリン,係数_乗用_CNG,係数_乗用_軽油,係数_乗用_メタノール,係数_乗用_LPG),125,5,BE1906),2,FALSE))))))</f>
        <v/>
      </c>
      <c r="BB1906" s="468" t="str">
        <f>IF(T1906="","",IF(OR(AU1906="",AU1906="-"),"－",IF(OR(AZ1906=8,AZ1906=9),"",IF(OR(AW1906=3,AW1906=4,AW1906=5,AW1906=6),VLOOKUP(AU1906,INDEX((係数_バス貨物_ガソリン,係数_バス貨物_CNG,係数_バス貨物_軽油,係数_バス貨物_メタノール,係数_バス貨物_LPG),MATCH(AY1906,【参考】排出係数!$AI$4:$AI$671,1),1,BE1906):INDEX((係数_バス貨物_ガソリン,係数_バス貨物_CNG,係数_バス貨物_軽油,係数_バス貨物_メタノール,係数_バス貨物_LPG),MATCH(AY1906+1,【参考】排出係数!$AI$4:$AI$671,1)-1,5,BE1906),3,FALSE),IF(OR(AW1906=1,AW1906=2),VLOOKUP(AU1906,INDEX((係数_乗用_ガソリン,係数_乗用_CNG,係数_乗用_軽油,係数_乗用_メタノール,係数_乗用_LPG),1,1,BE1906):INDEX((係数_乗用_ガソリン,係数_乗用_CNG,係数_乗用_軽油,係数_乗用_メタノール,係数_乗用_LPG),125,5,BE1906),3,FALSE))))))</f>
        <v/>
      </c>
      <c r="BC1906" s="467" t="str">
        <f t="shared" si="1090"/>
        <v/>
      </c>
      <c r="BD1906" s="567" t="str">
        <f t="shared" si="1091"/>
        <v/>
      </c>
      <c r="BE1906" s="467" t="str">
        <f t="shared" si="1092"/>
        <v/>
      </c>
      <c r="BF1906" s="469" t="str">
        <f t="shared" ca="1" si="1093"/>
        <v/>
      </c>
      <c r="BG1906" s="469" t="str">
        <f t="shared" ca="1" si="1094"/>
        <v/>
      </c>
      <c r="BH1906" s="467" t="str">
        <f t="shared" si="1095"/>
        <v/>
      </c>
      <c r="BI1906" s="467" t="str">
        <f t="shared" ca="1" si="1096"/>
        <v/>
      </c>
      <c r="BJ1906" s="469" t="str">
        <f t="shared" si="1097"/>
        <v/>
      </c>
      <c r="BK1906" s="470" t="str">
        <f t="shared" si="1081"/>
        <v/>
      </c>
      <c r="BL1906" s="775" t="str">
        <f t="shared" si="1098"/>
        <v/>
      </c>
      <c r="BM1906" s="775" t="str">
        <f t="shared" si="1099"/>
        <v/>
      </c>
    </row>
    <row r="1907" spans="1:65">
      <c r="A1907" s="473">
        <v>1851</v>
      </c>
      <c r="B1907" s="132"/>
      <c r="C1907" s="332"/>
      <c r="D1907" s="333"/>
      <c r="E1907" s="333"/>
      <c r="F1907" s="334"/>
      <c r="G1907" s="337"/>
      <c r="H1907" s="131"/>
      <c r="I1907" s="337"/>
      <c r="J1907" s="131"/>
      <c r="K1907" s="458" t="str">
        <f t="shared" si="1100"/>
        <v/>
      </c>
      <c r="L1907" s="458">
        <f t="shared" si="1101"/>
        <v>0</v>
      </c>
      <c r="M1907" s="458">
        <f t="shared" si="1102"/>
        <v>0</v>
      </c>
      <c r="N1907" s="459" t="str">
        <f t="shared" si="1075"/>
        <v/>
      </c>
      <c r="O1907" s="459" t="str">
        <f t="shared" si="1076"/>
        <v/>
      </c>
      <c r="P1907" s="459" t="str">
        <f t="shared" si="1077"/>
        <v/>
      </c>
      <c r="Q1907" s="459" t="str">
        <f t="shared" si="1078"/>
        <v/>
      </c>
      <c r="R1907" s="459" t="str">
        <f t="shared" si="1079"/>
        <v/>
      </c>
      <c r="S1907" s="459" t="str">
        <f t="shared" si="1080"/>
        <v/>
      </c>
      <c r="T1907" s="566" t="str">
        <f t="shared" si="1103"/>
        <v/>
      </c>
      <c r="U1907" s="702"/>
      <c r="V1907" s="132"/>
      <c r="W1907" s="133"/>
      <c r="X1907" s="134"/>
      <c r="Y1907" s="135"/>
      <c r="Z1907" s="137"/>
      <c r="AA1907" s="136"/>
      <c r="AB1907" s="566" t="str">
        <f t="shared" si="1104"/>
        <v/>
      </c>
      <c r="AC1907" s="568" t="str">
        <f t="shared" si="1105"/>
        <v/>
      </c>
      <c r="AD1907" s="137"/>
      <c r="AE1907" s="137"/>
      <c r="AF1907" s="138"/>
      <c r="AG1907" s="138"/>
      <c r="AH1907" s="592" t="str">
        <f t="shared" si="1106"/>
        <v/>
      </c>
      <c r="AI1907" s="592" t="str">
        <f t="shared" si="1107"/>
        <v/>
      </c>
      <c r="AJ1907" s="592" t="str">
        <f t="shared" si="1108"/>
        <v/>
      </c>
      <c r="AK1907" s="460" t="str">
        <f>IF(AU1907="","",IF(OR(AZ1907=8,AZ1907=9),0,IF(OR(AW1907=3,AW1907=4,AW1907=5,AW1907=6),IF(LEFT(BF1907,1)="1",INDEX(係数_NOX・PM低減,MATCH(AY1907,【参考】排出係数!$AI$801:$AI$804,1),1),VLOOKUP(AU1907,INDEX((係数_バス貨物_ガソリン,係数_バス貨物_CNG,係数_バス貨物_軽油,係数_バス貨物_メタノール,係数_バス貨物_LPG),MATCH(AY1907,【参考】排出係数!$AI$4:$AI$671,1),1,BE1907):INDEX((係数_バス貨物_ガソリン,係数_バス貨物_CNG,係数_バス貨物_軽油,係数_バス貨物_メタノール,係数_バス貨物_LPG),MATCH(AY1907+1,【参考】排出係数!$AI$4:$AI$671,1)-1,5,BE1907),4,FALSE)),IF(AND(BE1907=3,LEFT(BF1907,1)="1"),0.48,VLOOKUP(AU1907,INDEX((係数_乗用_ガソリン,係数_乗用_CNG,係数_乗用_軽油,係数_乗用_メタノール,係数_乗用_LPG),1,1,BE1907):INDEX((係数_乗用_ガソリン,係数_乗用_CNG,係数_乗用_軽油,係数_乗用_メタノール,係数_乗用_LPG),125,5,BE1907),4,FALSE)))))</f>
        <v/>
      </c>
      <c r="AL1907" s="461" t="str">
        <f t="shared" si="1109"/>
        <v/>
      </c>
      <c r="AM1907" s="460" t="str">
        <f>IF(AU1907="","",IF(OR(AZ1907=8,AZ1907=9),0,IF(OR(AW1907=3,AW1907=4,AW1907=5,AW1907=6),IF(LEFT(BH1907,1)="1",INDEX(係数_PM低減,MATCH(AY1907,【参考】排出係数!$AI$801:$AI$804,1),MATCH(BI1907,【参考】排出係数!$AL$798:$AO$798,1)),VLOOKUP(AU1907,INDEX((係数_バス貨物_ガソリン,係数_バス貨物_CNG,係数_バス貨物_軽油,係数_バス貨物_メタノール,係数_バス貨物_LPG),MATCH(AY1907,【参考】排出係数!$AI$4:$AI$671,1),1,BE1907):INDEX((係数_バス貨物_ガソリン,係数_バス貨物_CNG,係数_バス貨物_軽油,係数_バス貨物_メタノール,係数_バス貨物_LPG),MATCH(AY1907+1,【参考】排出係数!$AI$4:$AI$671,1)-1,5,BE1907),5,FALSE)),IF(AND(BE1907=3,LEFT(BF1907,1)="1"),0.055,VLOOKUP(AU1907,INDEX((係数_乗用_ガソリン,係数_乗用_CNG,係数_乗用_軽油,係数_乗用_メタノール,係数_乗用_LPG),1,1,BE1907):INDEX((係数_乗用_ガソリン,係数_乗用_CNG,係数_乗用_軽油,係数_乗用_メタノール,係数_乗用_LPG),125,5,BE1907),5,FALSE)))))</f>
        <v/>
      </c>
      <c r="AN1907" s="461" t="str">
        <f t="shared" si="1110"/>
        <v/>
      </c>
      <c r="AO1907" s="462" t="str">
        <f t="shared" si="1111"/>
        <v/>
      </c>
      <c r="AP1907" s="463" t="str">
        <f t="shared" si="1112"/>
        <v/>
      </c>
      <c r="AQ1907" s="464"/>
      <c r="AR1907" s="619"/>
      <c r="AS1907" s="465" t="str">
        <f t="shared" si="1082"/>
        <v/>
      </c>
      <c r="AT1907" s="465" t="str">
        <f t="shared" si="1083"/>
        <v/>
      </c>
      <c r="AU1907" s="466" t="str">
        <f t="shared" si="1084"/>
        <v/>
      </c>
      <c r="AV1907" s="467" t="str">
        <f t="shared" si="1085"/>
        <v/>
      </c>
      <c r="AW1907" s="467" t="str">
        <f t="shared" si="1086"/>
        <v/>
      </c>
      <c r="AX1907" s="467" t="str">
        <f t="shared" si="1087"/>
        <v/>
      </c>
      <c r="AY1907" s="467" t="str">
        <f t="shared" si="1088"/>
        <v/>
      </c>
      <c r="AZ1907" s="467" t="str">
        <f t="shared" si="1089"/>
        <v/>
      </c>
      <c r="BA1907" s="468" t="str">
        <f>IF(AS1907="","",IF(OR(AU1907="",AU1907="-"),"－",IF(OR(AZ1907=8,AZ1907=9),"",IF(OR(AW1907=3,AW1907=4,AW1907=5,AW1907=6),VLOOKUP(AU1907,INDEX((係数_バス貨物_ガソリン,係数_バス貨物_CNG,係数_バス貨物_軽油,係数_バス貨物_メタノール,係数_バス貨物_LPG),MATCH(AY1907,【参考】排出係数!$AI$4:$AI$671,1),1,BE1907):INDEX((係数_バス貨物_ガソリン,係数_バス貨物_CNG,係数_バス貨物_軽油,係数_バス貨物_メタノール,係数_バス貨物_LPG),MATCH(AY1907+1,【参考】排出係数!$AI$4:$AI$671,1)-1,5,BE1907),2,FALSE),IF(OR(AW1907=1,AW1907=2),VLOOKUP(AU1907,INDEX((係数_乗用_ガソリン,係数_乗用_CNG,係数_乗用_軽油,係数_乗用_メタノール,係数_乗用_LPG),1,1,BE1907):INDEX((係数_乗用_ガソリン,係数_乗用_CNG,係数_乗用_軽油,係数_乗用_メタノール,係数_乗用_LPG),125,5,BE1907),2,FALSE))))))</f>
        <v/>
      </c>
      <c r="BB1907" s="468" t="str">
        <f>IF(T1907="","",IF(OR(AU1907="",AU1907="-"),"－",IF(OR(AZ1907=8,AZ1907=9),"",IF(OR(AW1907=3,AW1907=4,AW1907=5,AW1907=6),VLOOKUP(AU1907,INDEX((係数_バス貨物_ガソリン,係数_バス貨物_CNG,係数_バス貨物_軽油,係数_バス貨物_メタノール,係数_バス貨物_LPG),MATCH(AY1907,【参考】排出係数!$AI$4:$AI$671,1),1,BE1907):INDEX((係数_バス貨物_ガソリン,係数_バス貨物_CNG,係数_バス貨物_軽油,係数_バス貨物_メタノール,係数_バス貨物_LPG),MATCH(AY1907+1,【参考】排出係数!$AI$4:$AI$671,1)-1,5,BE1907),3,FALSE),IF(OR(AW1907=1,AW1907=2),VLOOKUP(AU1907,INDEX((係数_乗用_ガソリン,係数_乗用_CNG,係数_乗用_軽油,係数_乗用_メタノール,係数_乗用_LPG),1,1,BE1907):INDEX((係数_乗用_ガソリン,係数_乗用_CNG,係数_乗用_軽油,係数_乗用_メタノール,係数_乗用_LPG),125,5,BE1907),3,FALSE))))))</f>
        <v/>
      </c>
      <c r="BC1907" s="467" t="str">
        <f t="shared" si="1090"/>
        <v/>
      </c>
      <c r="BD1907" s="567" t="str">
        <f t="shared" si="1091"/>
        <v/>
      </c>
      <c r="BE1907" s="467" t="str">
        <f t="shared" si="1092"/>
        <v/>
      </c>
      <c r="BF1907" s="469" t="str">
        <f t="shared" ca="1" si="1093"/>
        <v/>
      </c>
      <c r="BG1907" s="469" t="str">
        <f t="shared" ca="1" si="1094"/>
        <v/>
      </c>
      <c r="BH1907" s="467" t="str">
        <f t="shared" si="1095"/>
        <v/>
      </c>
      <c r="BI1907" s="467" t="str">
        <f t="shared" ca="1" si="1096"/>
        <v/>
      </c>
      <c r="BJ1907" s="469" t="str">
        <f t="shared" si="1097"/>
        <v/>
      </c>
      <c r="BK1907" s="470" t="str">
        <f t="shared" si="1081"/>
        <v/>
      </c>
      <c r="BL1907" s="775" t="str">
        <f t="shared" si="1098"/>
        <v/>
      </c>
      <c r="BM1907" s="775" t="str">
        <f t="shared" si="1099"/>
        <v/>
      </c>
    </row>
    <row r="1908" spans="1:65">
      <c r="A1908" s="473">
        <v>1852</v>
      </c>
      <c r="B1908" s="132"/>
      <c r="C1908" s="332"/>
      <c r="D1908" s="333"/>
      <c r="E1908" s="333"/>
      <c r="F1908" s="334"/>
      <c r="G1908" s="337"/>
      <c r="H1908" s="131"/>
      <c r="I1908" s="337"/>
      <c r="J1908" s="131"/>
      <c r="K1908" s="458" t="str">
        <f t="shared" si="1100"/>
        <v/>
      </c>
      <c r="L1908" s="458">
        <f t="shared" si="1101"/>
        <v>0</v>
      </c>
      <c r="M1908" s="458">
        <f t="shared" si="1102"/>
        <v>0</v>
      </c>
      <c r="N1908" s="459" t="str">
        <f t="shared" si="1075"/>
        <v/>
      </c>
      <c r="O1908" s="459" t="str">
        <f t="shared" si="1076"/>
        <v/>
      </c>
      <c r="P1908" s="459" t="str">
        <f t="shared" si="1077"/>
        <v/>
      </c>
      <c r="Q1908" s="459" t="str">
        <f t="shared" si="1078"/>
        <v/>
      </c>
      <c r="R1908" s="459" t="str">
        <f t="shared" si="1079"/>
        <v/>
      </c>
      <c r="S1908" s="459" t="str">
        <f t="shared" si="1080"/>
        <v/>
      </c>
      <c r="T1908" s="566" t="str">
        <f t="shared" si="1103"/>
        <v/>
      </c>
      <c r="U1908" s="702"/>
      <c r="V1908" s="132"/>
      <c r="W1908" s="133"/>
      <c r="X1908" s="134"/>
      <c r="Y1908" s="135"/>
      <c r="Z1908" s="137"/>
      <c r="AA1908" s="136"/>
      <c r="AB1908" s="566" t="str">
        <f t="shared" si="1104"/>
        <v/>
      </c>
      <c r="AC1908" s="568" t="str">
        <f t="shared" si="1105"/>
        <v/>
      </c>
      <c r="AD1908" s="137"/>
      <c r="AE1908" s="137"/>
      <c r="AF1908" s="138"/>
      <c r="AG1908" s="138"/>
      <c r="AH1908" s="592" t="str">
        <f t="shared" si="1106"/>
        <v/>
      </c>
      <c r="AI1908" s="592" t="str">
        <f t="shared" si="1107"/>
        <v/>
      </c>
      <c r="AJ1908" s="592" t="str">
        <f t="shared" si="1108"/>
        <v/>
      </c>
      <c r="AK1908" s="460" t="str">
        <f>IF(AU1908="","",IF(OR(AZ1908=8,AZ1908=9),0,IF(OR(AW1908=3,AW1908=4,AW1908=5,AW1908=6),IF(LEFT(BF1908,1)="1",INDEX(係数_NOX・PM低減,MATCH(AY1908,【参考】排出係数!$AI$801:$AI$804,1),1),VLOOKUP(AU1908,INDEX((係数_バス貨物_ガソリン,係数_バス貨物_CNG,係数_バス貨物_軽油,係数_バス貨物_メタノール,係数_バス貨物_LPG),MATCH(AY1908,【参考】排出係数!$AI$4:$AI$671,1),1,BE1908):INDEX((係数_バス貨物_ガソリン,係数_バス貨物_CNG,係数_バス貨物_軽油,係数_バス貨物_メタノール,係数_バス貨物_LPG),MATCH(AY1908+1,【参考】排出係数!$AI$4:$AI$671,1)-1,5,BE1908),4,FALSE)),IF(AND(BE1908=3,LEFT(BF1908,1)="1"),0.48,VLOOKUP(AU1908,INDEX((係数_乗用_ガソリン,係数_乗用_CNG,係数_乗用_軽油,係数_乗用_メタノール,係数_乗用_LPG),1,1,BE1908):INDEX((係数_乗用_ガソリン,係数_乗用_CNG,係数_乗用_軽油,係数_乗用_メタノール,係数_乗用_LPG),125,5,BE1908),4,FALSE)))))</f>
        <v/>
      </c>
      <c r="AL1908" s="461" t="str">
        <f t="shared" si="1109"/>
        <v/>
      </c>
      <c r="AM1908" s="460" t="str">
        <f>IF(AU1908="","",IF(OR(AZ1908=8,AZ1908=9),0,IF(OR(AW1908=3,AW1908=4,AW1908=5,AW1908=6),IF(LEFT(BH1908,1)="1",INDEX(係数_PM低減,MATCH(AY1908,【参考】排出係数!$AI$801:$AI$804,1),MATCH(BI1908,【参考】排出係数!$AL$798:$AO$798,1)),VLOOKUP(AU1908,INDEX((係数_バス貨物_ガソリン,係数_バス貨物_CNG,係数_バス貨物_軽油,係数_バス貨物_メタノール,係数_バス貨物_LPG),MATCH(AY1908,【参考】排出係数!$AI$4:$AI$671,1),1,BE1908):INDEX((係数_バス貨物_ガソリン,係数_バス貨物_CNG,係数_バス貨物_軽油,係数_バス貨物_メタノール,係数_バス貨物_LPG),MATCH(AY1908+1,【参考】排出係数!$AI$4:$AI$671,1)-1,5,BE1908),5,FALSE)),IF(AND(BE1908=3,LEFT(BF1908,1)="1"),0.055,VLOOKUP(AU1908,INDEX((係数_乗用_ガソリン,係数_乗用_CNG,係数_乗用_軽油,係数_乗用_メタノール,係数_乗用_LPG),1,1,BE1908):INDEX((係数_乗用_ガソリン,係数_乗用_CNG,係数_乗用_軽油,係数_乗用_メタノール,係数_乗用_LPG),125,5,BE1908),5,FALSE)))))</f>
        <v/>
      </c>
      <c r="AN1908" s="461" t="str">
        <f t="shared" si="1110"/>
        <v/>
      </c>
      <c r="AO1908" s="462" t="str">
        <f t="shared" si="1111"/>
        <v/>
      </c>
      <c r="AP1908" s="463" t="str">
        <f t="shared" si="1112"/>
        <v/>
      </c>
      <c r="AQ1908" s="464"/>
      <c r="AR1908" s="619"/>
      <c r="AS1908" s="465" t="str">
        <f t="shared" si="1082"/>
        <v/>
      </c>
      <c r="AT1908" s="465" t="str">
        <f t="shared" si="1083"/>
        <v/>
      </c>
      <c r="AU1908" s="466" t="str">
        <f t="shared" si="1084"/>
        <v/>
      </c>
      <c r="AV1908" s="467" t="str">
        <f t="shared" si="1085"/>
        <v/>
      </c>
      <c r="AW1908" s="467" t="str">
        <f t="shared" si="1086"/>
        <v/>
      </c>
      <c r="AX1908" s="467" t="str">
        <f t="shared" si="1087"/>
        <v/>
      </c>
      <c r="AY1908" s="467" t="str">
        <f t="shared" si="1088"/>
        <v/>
      </c>
      <c r="AZ1908" s="467" t="str">
        <f t="shared" si="1089"/>
        <v/>
      </c>
      <c r="BA1908" s="468" t="str">
        <f>IF(AS1908="","",IF(OR(AU1908="",AU1908="-"),"－",IF(OR(AZ1908=8,AZ1908=9),"",IF(OR(AW1908=3,AW1908=4,AW1908=5,AW1908=6),VLOOKUP(AU1908,INDEX((係数_バス貨物_ガソリン,係数_バス貨物_CNG,係数_バス貨物_軽油,係数_バス貨物_メタノール,係数_バス貨物_LPG),MATCH(AY1908,【参考】排出係数!$AI$4:$AI$671,1),1,BE1908):INDEX((係数_バス貨物_ガソリン,係数_バス貨物_CNG,係数_バス貨物_軽油,係数_バス貨物_メタノール,係数_バス貨物_LPG),MATCH(AY1908+1,【参考】排出係数!$AI$4:$AI$671,1)-1,5,BE1908),2,FALSE),IF(OR(AW1908=1,AW1908=2),VLOOKUP(AU1908,INDEX((係数_乗用_ガソリン,係数_乗用_CNG,係数_乗用_軽油,係数_乗用_メタノール,係数_乗用_LPG),1,1,BE1908):INDEX((係数_乗用_ガソリン,係数_乗用_CNG,係数_乗用_軽油,係数_乗用_メタノール,係数_乗用_LPG),125,5,BE1908),2,FALSE))))))</f>
        <v/>
      </c>
      <c r="BB1908" s="468" t="str">
        <f>IF(T1908="","",IF(OR(AU1908="",AU1908="-"),"－",IF(OR(AZ1908=8,AZ1908=9),"",IF(OR(AW1908=3,AW1908=4,AW1908=5,AW1908=6),VLOOKUP(AU1908,INDEX((係数_バス貨物_ガソリン,係数_バス貨物_CNG,係数_バス貨物_軽油,係数_バス貨物_メタノール,係数_バス貨物_LPG),MATCH(AY1908,【参考】排出係数!$AI$4:$AI$671,1),1,BE1908):INDEX((係数_バス貨物_ガソリン,係数_バス貨物_CNG,係数_バス貨物_軽油,係数_バス貨物_メタノール,係数_バス貨物_LPG),MATCH(AY1908+1,【参考】排出係数!$AI$4:$AI$671,1)-1,5,BE1908),3,FALSE),IF(OR(AW1908=1,AW1908=2),VLOOKUP(AU1908,INDEX((係数_乗用_ガソリン,係数_乗用_CNG,係数_乗用_軽油,係数_乗用_メタノール,係数_乗用_LPG),1,1,BE1908):INDEX((係数_乗用_ガソリン,係数_乗用_CNG,係数_乗用_軽油,係数_乗用_メタノール,係数_乗用_LPG),125,5,BE1908),3,FALSE))))))</f>
        <v/>
      </c>
      <c r="BC1908" s="467" t="str">
        <f t="shared" si="1090"/>
        <v/>
      </c>
      <c r="BD1908" s="567" t="str">
        <f t="shared" si="1091"/>
        <v/>
      </c>
      <c r="BE1908" s="467" t="str">
        <f t="shared" si="1092"/>
        <v/>
      </c>
      <c r="BF1908" s="469" t="str">
        <f t="shared" ca="1" si="1093"/>
        <v/>
      </c>
      <c r="BG1908" s="469" t="str">
        <f t="shared" ca="1" si="1094"/>
        <v/>
      </c>
      <c r="BH1908" s="467" t="str">
        <f t="shared" si="1095"/>
        <v/>
      </c>
      <c r="BI1908" s="467" t="str">
        <f t="shared" ca="1" si="1096"/>
        <v/>
      </c>
      <c r="BJ1908" s="469" t="str">
        <f t="shared" si="1097"/>
        <v/>
      </c>
      <c r="BK1908" s="470" t="str">
        <f t="shared" si="1081"/>
        <v/>
      </c>
      <c r="BL1908" s="775" t="str">
        <f t="shared" si="1098"/>
        <v/>
      </c>
      <c r="BM1908" s="775" t="str">
        <f t="shared" si="1099"/>
        <v/>
      </c>
    </row>
    <row r="1909" spans="1:65">
      <c r="A1909" s="473">
        <v>1853</v>
      </c>
      <c r="B1909" s="132"/>
      <c r="C1909" s="332"/>
      <c r="D1909" s="333"/>
      <c r="E1909" s="333"/>
      <c r="F1909" s="334"/>
      <c r="G1909" s="337"/>
      <c r="H1909" s="131"/>
      <c r="I1909" s="337"/>
      <c r="J1909" s="131"/>
      <c r="K1909" s="458" t="str">
        <f t="shared" si="1100"/>
        <v/>
      </c>
      <c r="L1909" s="458">
        <f t="shared" si="1101"/>
        <v>0</v>
      </c>
      <c r="M1909" s="458">
        <f t="shared" si="1102"/>
        <v>0</v>
      </c>
      <c r="N1909" s="459" t="str">
        <f t="shared" si="1075"/>
        <v/>
      </c>
      <c r="O1909" s="459" t="str">
        <f t="shared" si="1076"/>
        <v/>
      </c>
      <c r="P1909" s="459" t="str">
        <f t="shared" si="1077"/>
        <v/>
      </c>
      <c r="Q1909" s="459" t="str">
        <f t="shared" si="1078"/>
        <v/>
      </c>
      <c r="R1909" s="459" t="str">
        <f t="shared" si="1079"/>
        <v/>
      </c>
      <c r="S1909" s="459" t="str">
        <f t="shared" si="1080"/>
        <v/>
      </c>
      <c r="T1909" s="566" t="str">
        <f t="shared" si="1103"/>
        <v/>
      </c>
      <c r="U1909" s="702"/>
      <c r="V1909" s="132"/>
      <c r="W1909" s="133"/>
      <c r="X1909" s="134"/>
      <c r="Y1909" s="135"/>
      <c r="Z1909" s="137"/>
      <c r="AA1909" s="136"/>
      <c r="AB1909" s="566" t="str">
        <f t="shared" si="1104"/>
        <v/>
      </c>
      <c r="AC1909" s="568" t="str">
        <f t="shared" si="1105"/>
        <v/>
      </c>
      <c r="AD1909" s="137"/>
      <c r="AE1909" s="137"/>
      <c r="AF1909" s="138"/>
      <c r="AG1909" s="138"/>
      <c r="AH1909" s="592" t="str">
        <f t="shared" si="1106"/>
        <v/>
      </c>
      <c r="AI1909" s="592" t="str">
        <f t="shared" si="1107"/>
        <v/>
      </c>
      <c r="AJ1909" s="592" t="str">
        <f t="shared" si="1108"/>
        <v/>
      </c>
      <c r="AK1909" s="460" t="str">
        <f>IF(AU1909="","",IF(OR(AZ1909=8,AZ1909=9),0,IF(OR(AW1909=3,AW1909=4,AW1909=5,AW1909=6),IF(LEFT(BF1909,1)="1",INDEX(係数_NOX・PM低減,MATCH(AY1909,【参考】排出係数!$AI$801:$AI$804,1),1),VLOOKUP(AU1909,INDEX((係数_バス貨物_ガソリン,係数_バス貨物_CNG,係数_バス貨物_軽油,係数_バス貨物_メタノール,係数_バス貨物_LPG),MATCH(AY1909,【参考】排出係数!$AI$4:$AI$671,1),1,BE1909):INDEX((係数_バス貨物_ガソリン,係数_バス貨物_CNG,係数_バス貨物_軽油,係数_バス貨物_メタノール,係数_バス貨物_LPG),MATCH(AY1909+1,【参考】排出係数!$AI$4:$AI$671,1)-1,5,BE1909),4,FALSE)),IF(AND(BE1909=3,LEFT(BF1909,1)="1"),0.48,VLOOKUP(AU1909,INDEX((係数_乗用_ガソリン,係数_乗用_CNG,係数_乗用_軽油,係数_乗用_メタノール,係数_乗用_LPG),1,1,BE1909):INDEX((係数_乗用_ガソリン,係数_乗用_CNG,係数_乗用_軽油,係数_乗用_メタノール,係数_乗用_LPG),125,5,BE1909),4,FALSE)))))</f>
        <v/>
      </c>
      <c r="AL1909" s="461" t="str">
        <f t="shared" si="1109"/>
        <v/>
      </c>
      <c r="AM1909" s="460" t="str">
        <f>IF(AU1909="","",IF(OR(AZ1909=8,AZ1909=9),0,IF(OR(AW1909=3,AW1909=4,AW1909=5,AW1909=6),IF(LEFT(BH1909,1)="1",INDEX(係数_PM低減,MATCH(AY1909,【参考】排出係数!$AI$801:$AI$804,1),MATCH(BI1909,【参考】排出係数!$AL$798:$AO$798,1)),VLOOKUP(AU1909,INDEX((係数_バス貨物_ガソリン,係数_バス貨物_CNG,係数_バス貨物_軽油,係数_バス貨物_メタノール,係数_バス貨物_LPG),MATCH(AY1909,【参考】排出係数!$AI$4:$AI$671,1),1,BE1909):INDEX((係数_バス貨物_ガソリン,係数_バス貨物_CNG,係数_バス貨物_軽油,係数_バス貨物_メタノール,係数_バス貨物_LPG),MATCH(AY1909+1,【参考】排出係数!$AI$4:$AI$671,1)-1,5,BE1909),5,FALSE)),IF(AND(BE1909=3,LEFT(BF1909,1)="1"),0.055,VLOOKUP(AU1909,INDEX((係数_乗用_ガソリン,係数_乗用_CNG,係数_乗用_軽油,係数_乗用_メタノール,係数_乗用_LPG),1,1,BE1909):INDEX((係数_乗用_ガソリン,係数_乗用_CNG,係数_乗用_軽油,係数_乗用_メタノール,係数_乗用_LPG),125,5,BE1909),5,FALSE)))))</f>
        <v/>
      </c>
      <c r="AN1909" s="461" t="str">
        <f t="shared" si="1110"/>
        <v/>
      </c>
      <c r="AO1909" s="462" t="str">
        <f t="shared" si="1111"/>
        <v/>
      </c>
      <c r="AP1909" s="463" t="str">
        <f t="shared" si="1112"/>
        <v/>
      </c>
      <c r="AQ1909" s="464"/>
      <c r="AR1909" s="619"/>
      <c r="AS1909" s="465" t="str">
        <f t="shared" si="1082"/>
        <v/>
      </c>
      <c r="AT1909" s="465" t="str">
        <f t="shared" si="1083"/>
        <v/>
      </c>
      <c r="AU1909" s="466" t="str">
        <f t="shared" si="1084"/>
        <v/>
      </c>
      <c r="AV1909" s="467" t="str">
        <f t="shared" si="1085"/>
        <v/>
      </c>
      <c r="AW1909" s="467" t="str">
        <f t="shared" si="1086"/>
        <v/>
      </c>
      <c r="AX1909" s="467" t="str">
        <f t="shared" si="1087"/>
        <v/>
      </c>
      <c r="AY1909" s="467" t="str">
        <f t="shared" si="1088"/>
        <v/>
      </c>
      <c r="AZ1909" s="467" t="str">
        <f t="shared" si="1089"/>
        <v/>
      </c>
      <c r="BA1909" s="468" t="str">
        <f>IF(AS1909="","",IF(OR(AU1909="",AU1909="-"),"－",IF(OR(AZ1909=8,AZ1909=9),"",IF(OR(AW1909=3,AW1909=4,AW1909=5,AW1909=6),VLOOKUP(AU1909,INDEX((係数_バス貨物_ガソリン,係数_バス貨物_CNG,係数_バス貨物_軽油,係数_バス貨物_メタノール,係数_バス貨物_LPG),MATCH(AY1909,【参考】排出係数!$AI$4:$AI$671,1),1,BE1909):INDEX((係数_バス貨物_ガソリン,係数_バス貨物_CNG,係数_バス貨物_軽油,係数_バス貨物_メタノール,係数_バス貨物_LPG),MATCH(AY1909+1,【参考】排出係数!$AI$4:$AI$671,1)-1,5,BE1909),2,FALSE),IF(OR(AW1909=1,AW1909=2),VLOOKUP(AU1909,INDEX((係数_乗用_ガソリン,係数_乗用_CNG,係数_乗用_軽油,係数_乗用_メタノール,係数_乗用_LPG),1,1,BE1909):INDEX((係数_乗用_ガソリン,係数_乗用_CNG,係数_乗用_軽油,係数_乗用_メタノール,係数_乗用_LPG),125,5,BE1909),2,FALSE))))))</f>
        <v/>
      </c>
      <c r="BB1909" s="468" t="str">
        <f>IF(T1909="","",IF(OR(AU1909="",AU1909="-"),"－",IF(OR(AZ1909=8,AZ1909=9),"",IF(OR(AW1909=3,AW1909=4,AW1909=5,AW1909=6),VLOOKUP(AU1909,INDEX((係数_バス貨物_ガソリン,係数_バス貨物_CNG,係数_バス貨物_軽油,係数_バス貨物_メタノール,係数_バス貨物_LPG),MATCH(AY1909,【参考】排出係数!$AI$4:$AI$671,1),1,BE1909):INDEX((係数_バス貨物_ガソリン,係数_バス貨物_CNG,係数_バス貨物_軽油,係数_バス貨物_メタノール,係数_バス貨物_LPG),MATCH(AY1909+1,【参考】排出係数!$AI$4:$AI$671,1)-1,5,BE1909),3,FALSE),IF(OR(AW1909=1,AW1909=2),VLOOKUP(AU1909,INDEX((係数_乗用_ガソリン,係数_乗用_CNG,係数_乗用_軽油,係数_乗用_メタノール,係数_乗用_LPG),1,1,BE1909):INDEX((係数_乗用_ガソリン,係数_乗用_CNG,係数_乗用_軽油,係数_乗用_メタノール,係数_乗用_LPG),125,5,BE1909),3,FALSE))))))</f>
        <v/>
      </c>
      <c r="BC1909" s="467" t="str">
        <f t="shared" si="1090"/>
        <v/>
      </c>
      <c r="BD1909" s="567" t="str">
        <f t="shared" si="1091"/>
        <v/>
      </c>
      <c r="BE1909" s="467" t="str">
        <f t="shared" si="1092"/>
        <v/>
      </c>
      <c r="BF1909" s="469" t="str">
        <f t="shared" ca="1" si="1093"/>
        <v/>
      </c>
      <c r="BG1909" s="469" t="str">
        <f t="shared" ca="1" si="1094"/>
        <v/>
      </c>
      <c r="BH1909" s="467" t="str">
        <f t="shared" si="1095"/>
        <v/>
      </c>
      <c r="BI1909" s="467" t="str">
        <f t="shared" ca="1" si="1096"/>
        <v/>
      </c>
      <c r="BJ1909" s="469" t="str">
        <f t="shared" si="1097"/>
        <v/>
      </c>
      <c r="BK1909" s="470" t="str">
        <f t="shared" si="1081"/>
        <v/>
      </c>
      <c r="BL1909" s="775" t="str">
        <f t="shared" si="1098"/>
        <v/>
      </c>
      <c r="BM1909" s="775" t="str">
        <f t="shared" si="1099"/>
        <v/>
      </c>
    </row>
    <row r="1910" spans="1:65">
      <c r="A1910" s="473">
        <v>1854</v>
      </c>
      <c r="B1910" s="132"/>
      <c r="C1910" s="332"/>
      <c r="D1910" s="333"/>
      <c r="E1910" s="333"/>
      <c r="F1910" s="334"/>
      <c r="G1910" s="337"/>
      <c r="H1910" s="131"/>
      <c r="I1910" s="337"/>
      <c r="J1910" s="131"/>
      <c r="K1910" s="458" t="str">
        <f t="shared" si="1100"/>
        <v/>
      </c>
      <c r="L1910" s="458">
        <f t="shared" si="1101"/>
        <v>0</v>
      </c>
      <c r="M1910" s="458">
        <f t="shared" si="1102"/>
        <v>0</v>
      </c>
      <c r="N1910" s="459" t="str">
        <f t="shared" si="1075"/>
        <v/>
      </c>
      <c r="O1910" s="459" t="str">
        <f t="shared" si="1076"/>
        <v/>
      </c>
      <c r="P1910" s="459" t="str">
        <f t="shared" si="1077"/>
        <v/>
      </c>
      <c r="Q1910" s="459" t="str">
        <f t="shared" si="1078"/>
        <v/>
      </c>
      <c r="R1910" s="459" t="str">
        <f t="shared" si="1079"/>
        <v/>
      </c>
      <c r="S1910" s="459" t="str">
        <f t="shared" si="1080"/>
        <v/>
      </c>
      <c r="T1910" s="566" t="str">
        <f t="shared" si="1103"/>
        <v/>
      </c>
      <c r="U1910" s="702"/>
      <c r="V1910" s="132"/>
      <c r="W1910" s="133"/>
      <c r="X1910" s="134"/>
      <c r="Y1910" s="135"/>
      <c r="Z1910" s="137"/>
      <c r="AA1910" s="136"/>
      <c r="AB1910" s="566" t="str">
        <f t="shared" si="1104"/>
        <v/>
      </c>
      <c r="AC1910" s="568" t="str">
        <f t="shared" si="1105"/>
        <v/>
      </c>
      <c r="AD1910" s="137"/>
      <c r="AE1910" s="137"/>
      <c r="AF1910" s="138"/>
      <c r="AG1910" s="138"/>
      <c r="AH1910" s="592" t="str">
        <f t="shared" si="1106"/>
        <v/>
      </c>
      <c r="AI1910" s="592" t="str">
        <f t="shared" si="1107"/>
        <v/>
      </c>
      <c r="AJ1910" s="592" t="str">
        <f t="shared" si="1108"/>
        <v/>
      </c>
      <c r="AK1910" s="460" t="str">
        <f>IF(AU1910="","",IF(OR(AZ1910=8,AZ1910=9),0,IF(OR(AW1910=3,AW1910=4,AW1910=5,AW1910=6),IF(LEFT(BF1910,1)="1",INDEX(係数_NOX・PM低減,MATCH(AY1910,【参考】排出係数!$AI$801:$AI$804,1),1),VLOOKUP(AU1910,INDEX((係数_バス貨物_ガソリン,係数_バス貨物_CNG,係数_バス貨物_軽油,係数_バス貨物_メタノール,係数_バス貨物_LPG),MATCH(AY1910,【参考】排出係数!$AI$4:$AI$671,1),1,BE1910):INDEX((係数_バス貨物_ガソリン,係数_バス貨物_CNG,係数_バス貨物_軽油,係数_バス貨物_メタノール,係数_バス貨物_LPG),MATCH(AY1910+1,【参考】排出係数!$AI$4:$AI$671,1)-1,5,BE1910),4,FALSE)),IF(AND(BE1910=3,LEFT(BF1910,1)="1"),0.48,VLOOKUP(AU1910,INDEX((係数_乗用_ガソリン,係数_乗用_CNG,係数_乗用_軽油,係数_乗用_メタノール,係数_乗用_LPG),1,1,BE1910):INDEX((係数_乗用_ガソリン,係数_乗用_CNG,係数_乗用_軽油,係数_乗用_メタノール,係数_乗用_LPG),125,5,BE1910),4,FALSE)))))</f>
        <v/>
      </c>
      <c r="AL1910" s="461" t="str">
        <f t="shared" si="1109"/>
        <v/>
      </c>
      <c r="AM1910" s="460" t="str">
        <f>IF(AU1910="","",IF(OR(AZ1910=8,AZ1910=9),0,IF(OR(AW1910=3,AW1910=4,AW1910=5,AW1910=6),IF(LEFT(BH1910,1)="1",INDEX(係数_PM低減,MATCH(AY1910,【参考】排出係数!$AI$801:$AI$804,1),MATCH(BI1910,【参考】排出係数!$AL$798:$AO$798,1)),VLOOKUP(AU1910,INDEX((係数_バス貨物_ガソリン,係数_バス貨物_CNG,係数_バス貨物_軽油,係数_バス貨物_メタノール,係数_バス貨物_LPG),MATCH(AY1910,【参考】排出係数!$AI$4:$AI$671,1),1,BE1910):INDEX((係数_バス貨物_ガソリン,係数_バス貨物_CNG,係数_バス貨物_軽油,係数_バス貨物_メタノール,係数_バス貨物_LPG),MATCH(AY1910+1,【参考】排出係数!$AI$4:$AI$671,1)-1,5,BE1910),5,FALSE)),IF(AND(BE1910=3,LEFT(BF1910,1)="1"),0.055,VLOOKUP(AU1910,INDEX((係数_乗用_ガソリン,係数_乗用_CNG,係数_乗用_軽油,係数_乗用_メタノール,係数_乗用_LPG),1,1,BE1910):INDEX((係数_乗用_ガソリン,係数_乗用_CNG,係数_乗用_軽油,係数_乗用_メタノール,係数_乗用_LPG),125,5,BE1910),5,FALSE)))))</f>
        <v/>
      </c>
      <c r="AN1910" s="461" t="str">
        <f t="shared" si="1110"/>
        <v/>
      </c>
      <c r="AO1910" s="462" t="str">
        <f t="shared" si="1111"/>
        <v/>
      </c>
      <c r="AP1910" s="463" t="str">
        <f t="shared" si="1112"/>
        <v/>
      </c>
      <c r="AQ1910" s="464"/>
      <c r="AR1910" s="619"/>
      <c r="AS1910" s="465" t="str">
        <f t="shared" si="1082"/>
        <v/>
      </c>
      <c r="AT1910" s="465" t="str">
        <f t="shared" si="1083"/>
        <v/>
      </c>
      <c r="AU1910" s="466" t="str">
        <f t="shared" si="1084"/>
        <v/>
      </c>
      <c r="AV1910" s="467" t="str">
        <f t="shared" si="1085"/>
        <v/>
      </c>
      <c r="AW1910" s="467" t="str">
        <f t="shared" si="1086"/>
        <v/>
      </c>
      <c r="AX1910" s="467" t="str">
        <f t="shared" si="1087"/>
        <v/>
      </c>
      <c r="AY1910" s="467" t="str">
        <f t="shared" si="1088"/>
        <v/>
      </c>
      <c r="AZ1910" s="467" t="str">
        <f t="shared" si="1089"/>
        <v/>
      </c>
      <c r="BA1910" s="468" t="str">
        <f>IF(AS1910="","",IF(OR(AU1910="",AU1910="-"),"－",IF(OR(AZ1910=8,AZ1910=9),"",IF(OR(AW1910=3,AW1910=4,AW1910=5,AW1910=6),VLOOKUP(AU1910,INDEX((係数_バス貨物_ガソリン,係数_バス貨物_CNG,係数_バス貨物_軽油,係数_バス貨物_メタノール,係数_バス貨物_LPG),MATCH(AY1910,【参考】排出係数!$AI$4:$AI$671,1),1,BE1910):INDEX((係数_バス貨物_ガソリン,係数_バス貨物_CNG,係数_バス貨物_軽油,係数_バス貨物_メタノール,係数_バス貨物_LPG),MATCH(AY1910+1,【参考】排出係数!$AI$4:$AI$671,1)-1,5,BE1910),2,FALSE),IF(OR(AW1910=1,AW1910=2),VLOOKUP(AU1910,INDEX((係数_乗用_ガソリン,係数_乗用_CNG,係数_乗用_軽油,係数_乗用_メタノール,係数_乗用_LPG),1,1,BE1910):INDEX((係数_乗用_ガソリン,係数_乗用_CNG,係数_乗用_軽油,係数_乗用_メタノール,係数_乗用_LPG),125,5,BE1910),2,FALSE))))))</f>
        <v/>
      </c>
      <c r="BB1910" s="468" t="str">
        <f>IF(T1910="","",IF(OR(AU1910="",AU1910="-"),"－",IF(OR(AZ1910=8,AZ1910=9),"",IF(OR(AW1910=3,AW1910=4,AW1910=5,AW1910=6),VLOOKUP(AU1910,INDEX((係数_バス貨物_ガソリン,係数_バス貨物_CNG,係数_バス貨物_軽油,係数_バス貨物_メタノール,係数_バス貨物_LPG),MATCH(AY1910,【参考】排出係数!$AI$4:$AI$671,1),1,BE1910):INDEX((係数_バス貨物_ガソリン,係数_バス貨物_CNG,係数_バス貨物_軽油,係数_バス貨物_メタノール,係数_バス貨物_LPG),MATCH(AY1910+1,【参考】排出係数!$AI$4:$AI$671,1)-1,5,BE1910),3,FALSE),IF(OR(AW1910=1,AW1910=2),VLOOKUP(AU1910,INDEX((係数_乗用_ガソリン,係数_乗用_CNG,係数_乗用_軽油,係数_乗用_メタノール,係数_乗用_LPG),1,1,BE1910):INDEX((係数_乗用_ガソリン,係数_乗用_CNG,係数_乗用_軽油,係数_乗用_メタノール,係数_乗用_LPG),125,5,BE1910),3,FALSE))))))</f>
        <v/>
      </c>
      <c r="BC1910" s="467" t="str">
        <f t="shared" si="1090"/>
        <v/>
      </c>
      <c r="BD1910" s="567" t="str">
        <f t="shared" si="1091"/>
        <v/>
      </c>
      <c r="BE1910" s="467" t="str">
        <f t="shared" si="1092"/>
        <v/>
      </c>
      <c r="BF1910" s="469" t="str">
        <f t="shared" ca="1" si="1093"/>
        <v/>
      </c>
      <c r="BG1910" s="469" t="str">
        <f t="shared" ca="1" si="1094"/>
        <v/>
      </c>
      <c r="BH1910" s="467" t="str">
        <f t="shared" si="1095"/>
        <v/>
      </c>
      <c r="BI1910" s="467" t="str">
        <f t="shared" ca="1" si="1096"/>
        <v/>
      </c>
      <c r="BJ1910" s="469" t="str">
        <f t="shared" si="1097"/>
        <v/>
      </c>
      <c r="BK1910" s="470" t="str">
        <f t="shared" si="1081"/>
        <v/>
      </c>
      <c r="BL1910" s="775" t="str">
        <f t="shared" si="1098"/>
        <v/>
      </c>
      <c r="BM1910" s="775" t="str">
        <f t="shared" si="1099"/>
        <v/>
      </c>
    </row>
    <row r="1911" spans="1:65">
      <c r="A1911" s="473">
        <v>1855</v>
      </c>
      <c r="B1911" s="132"/>
      <c r="C1911" s="332"/>
      <c r="D1911" s="333"/>
      <c r="E1911" s="333"/>
      <c r="F1911" s="334"/>
      <c r="G1911" s="337"/>
      <c r="H1911" s="131"/>
      <c r="I1911" s="337"/>
      <c r="J1911" s="131"/>
      <c r="K1911" s="458" t="str">
        <f t="shared" si="1100"/>
        <v/>
      </c>
      <c r="L1911" s="458">
        <f t="shared" si="1101"/>
        <v>0</v>
      </c>
      <c r="M1911" s="458">
        <f t="shared" si="1102"/>
        <v>0</v>
      </c>
      <c r="N1911" s="459" t="str">
        <f t="shared" ref="N1911:N1974" si="1113">IF(OR($L1911&gt;$U$48,$M1911&gt;$U$48,AND($L1911&gt;$M1911,$M1911&lt;&gt;0),AND($L1911=0,$M1911&lt;&gt;0)),"ERROR","")</f>
        <v/>
      </c>
      <c r="O1911" s="459" t="str">
        <f t="shared" ref="O1911:O1974" si="1114">IF(AND($N1911&lt;&gt;"ERROR",$L1911&lt;=$U$49,$M1911&lt;=$U$49,$M1911&lt;&gt;0),"(減車済)","")</f>
        <v/>
      </c>
      <c r="P1911" s="459" t="str">
        <f t="shared" ref="P1911:P1974" si="1115">IF(AND($N1911&lt;&gt;"ERROR",$L1911&lt;$U$49,AND($M1911&gt;$U$49,$M1911&lt;=$W$49),$M1911&lt;&gt;0),"減車","")</f>
        <v/>
      </c>
      <c r="Q1911" s="459" t="str">
        <f t="shared" ref="Q1911:Q1974" si="1116">IF(AND($N1911&lt;&gt;"ERROR",$L1911&gt;$U$49,$M1911&lt;=$W$49,$M1911&lt;&gt;0),"一時使用","")</f>
        <v/>
      </c>
      <c r="R1911" s="459" t="str">
        <f t="shared" ref="R1911:R1974" si="1117">IF(AND($N1911&lt;&gt;"ERROR",AND($L1911&gt;0,$L1911&lt;=$U$49),$M1911=0),"継続","")</f>
        <v/>
      </c>
      <c r="S1911" s="459" t="str">
        <f t="shared" ref="S1911:S1974" si="1118">IF(AND($N1911&lt;&gt;"ERROR",AND($L1911&gt;$U$49),$M1911=0),"新規","")</f>
        <v/>
      </c>
      <c r="T1911" s="566" t="str">
        <f t="shared" si="1103"/>
        <v/>
      </c>
      <c r="U1911" s="702"/>
      <c r="V1911" s="132"/>
      <c r="W1911" s="133"/>
      <c r="X1911" s="134"/>
      <c r="Y1911" s="135"/>
      <c r="Z1911" s="137"/>
      <c r="AA1911" s="136"/>
      <c r="AB1911" s="566" t="str">
        <f t="shared" si="1104"/>
        <v/>
      </c>
      <c r="AC1911" s="568" t="str">
        <f t="shared" si="1105"/>
        <v/>
      </c>
      <c r="AD1911" s="137"/>
      <c r="AE1911" s="137"/>
      <c r="AF1911" s="138"/>
      <c r="AG1911" s="138"/>
      <c r="AH1911" s="592" t="str">
        <f t="shared" si="1106"/>
        <v/>
      </c>
      <c r="AI1911" s="592" t="str">
        <f t="shared" si="1107"/>
        <v/>
      </c>
      <c r="AJ1911" s="592" t="str">
        <f t="shared" si="1108"/>
        <v/>
      </c>
      <c r="AK1911" s="460" t="str">
        <f>IF(AU1911="","",IF(OR(AZ1911=8,AZ1911=9),0,IF(OR(AW1911=3,AW1911=4,AW1911=5,AW1911=6),IF(LEFT(BF1911,1)="1",INDEX(係数_NOX・PM低減,MATCH(AY1911,【参考】排出係数!$AI$801:$AI$804,1),1),VLOOKUP(AU1911,INDEX((係数_バス貨物_ガソリン,係数_バス貨物_CNG,係数_バス貨物_軽油,係数_バス貨物_メタノール,係数_バス貨物_LPG),MATCH(AY1911,【参考】排出係数!$AI$4:$AI$671,1),1,BE1911):INDEX((係数_バス貨物_ガソリン,係数_バス貨物_CNG,係数_バス貨物_軽油,係数_バス貨物_メタノール,係数_バス貨物_LPG),MATCH(AY1911+1,【参考】排出係数!$AI$4:$AI$671,1)-1,5,BE1911),4,FALSE)),IF(AND(BE1911=3,LEFT(BF1911,1)="1"),0.48,VLOOKUP(AU1911,INDEX((係数_乗用_ガソリン,係数_乗用_CNG,係数_乗用_軽油,係数_乗用_メタノール,係数_乗用_LPG),1,1,BE1911):INDEX((係数_乗用_ガソリン,係数_乗用_CNG,係数_乗用_軽油,係数_乗用_メタノール,係数_乗用_LPG),125,5,BE1911),4,FALSE)))))</f>
        <v/>
      </c>
      <c r="AL1911" s="461" t="str">
        <f t="shared" si="1109"/>
        <v/>
      </c>
      <c r="AM1911" s="460" t="str">
        <f>IF(AU1911="","",IF(OR(AZ1911=8,AZ1911=9),0,IF(OR(AW1911=3,AW1911=4,AW1911=5,AW1911=6),IF(LEFT(BH1911,1)="1",INDEX(係数_PM低減,MATCH(AY1911,【参考】排出係数!$AI$801:$AI$804,1),MATCH(BI1911,【参考】排出係数!$AL$798:$AO$798,1)),VLOOKUP(AU1911,INDEX((係数_バス貨物_ガソリン,係数_バス貨物_CNG,係数_バス貨物_軽油,係数_バス貨物_メタノール,係数_バス貨物_LPG),MATCH(AY1911,【参考】排出係数!$AI$4:$AI$671,1),1,BE1911):INDEX((係数_バス貨物_ガソリン,係数_バス貨物_CNG,係数_バス貨物_軽油,係数_バス貨物_メタノール,係数_バス貨物_LPG),MATCH(AY1911+1,【参考】排出係数!$AI$4:$AI$671,1)-1,5,BE1911),5,FALSE)),IF(AND(BE1911=3,LEFT(BF1911,1)="1"),0.055,VLOOKUP(AU1911,INDEX((係数_乗用_ガソリン,係数_乗用_CNG,係数_乗用_軽油,係数_乗用_メタノール,係数_乗用_LPG),1,1,BE1911):INDEX((係数_乗用_ガソリン,係数_乗用_CNG,係数_乗用_軽油,係数_乗用_メタノール,係数_乗用_LPG),125,5,BE1911),5,FALSE)))))</f>
        <v/>
      </c>
      <c r="AN1911" s="461" t="str">
        <f t="shared" si="1110"/>
        <v/>
      </c>
      <c r="AO1911" s="462" t="str">
        <f t="shared" si="1111"/>
        <v/>
      </c>
      <c r="AP1911" s="463" t="str">
        <f t="shared" si="1112"/>
        <v/>
      </c>
      <c r="AQ1911" s="464"/>
      <c r="AR1911" s="619"/>
      <c r="AS1911" s="465" t="str">
        <f t="shared" si="1082"/>
        <v/>
      </c>
      <c r="AT1911" s="465" t="str">
        <f t="shared" si="1083"/>
        <v/>
      </c>
      <c r="AU1911" s="466" t="str">
        <f t="shared" si="1084"/>
        <v/>
      </c>
      <c r="AV1911" s="467" t="str">
        <f t="shared" si="1085"/>
        <v/>
      </c>
      <c r="AW1911" s="467" t="str">
        <f t="shared" si="1086"/>
        <v/>
      </c>
      <c r="AX1911" s="467" t="str">
        <f t="shared" si="1087"/>
        <v/>
      </c>
      <c r="AY1911" s="467" t="str">
        <f t="shared" si="1088"/>
        <v/>
      </c>
      <c r="AZ1911" s="467" t="str">
        <f t="shared" si="1089"/>
        <v/>
      </c>
      <c r="BA1911" s="468" t="str">
        <f>IF(AS1911="","",IF(OR(AU1911="",AU1911="-"),"－",IF(OR(AZ1911=8,AZ1911=9),"",IF(OR(AW1911=3,AW1911=4,AW1911=5,AW1911=6),VLOOKUP(AU1911,INDEX((係数_バス貨物_ガソリン,係数_バス貨物_CNG,係数_バス貨物_軽油,係数_バス貨物_メタノール,係数_バス貨物_LPG),MATCH(AY1911,【参考】排出係数!$AI$4:$AI$671,1),1,BE1911):INDEX((係数_バス貨物_ガソリン,係数_バス貨物_CNG,係数_バス貨物_軽油,係数_バス貨物_メタノール,係数_バス貨物_LPG),MATCH(AY1911+1,【参考】排出係数!$AI$4:$AI$671,1)-1,5,BE1911),2,FALSE),IF(OR(AW1911=1,AW1911=2),VLOOKUP(AU1911,INDEX((係数_乗用_ガソリン,係数_乗用_CNG,係数_乗用_軽油,係数_乗用_メタノール,係数_乗用_LPG),1,1,BE1911):INDEX((係数_乗用_ガソリン,係数_乗用_CNG,係数_乗用_軽油,係数_乗用_メタノール,係数_乗用_LPG),125,5,BE1911),2,FALSE))))))</f>
        <v/>
      </c>
      <c r="BB1911" s="468" t="str">
        <f>IF(T1911="","",IF(OR(AU1911="",AU1911="-"),"－",IF(OR(AZ1911=8,AZ1911=9),"",IF(OR(AW1911=3,AW1911=4,AW1911=5,AW1911=6),VLOOKUP(AU1911,INDEX((係数_バス貨物_ガソリン,係数_バス貨物_CNG,係数_バス貨物_軽油,係数_バス貨物_メタノール,係数_バス貨物_LPG),MATCH(AY1911,【参考】排出係数!$AI$4:$AI$671,1),1,BE1911):INDEX((係数_バス貨物_ガソリン,係数_バス貨物_CNG,係数_バス貨物_軽油,係数_バス貨物_メタノール,係数_バス貨物_LPG),MATCH(AY1911+1,【参考】排出係数!$AI$4:$AI$671,1)-1,5,BE1911),3,FALSE),IF(OR(AW1911=1,AW1911=2),VLOOKUP(AU1911,INDEX((係数_乗用_ガソリン,係数_乗用_CNG,係数_乗用_軽油,係数_乗用_メタノール,係数_乗用_LPG),1,1,BE1911):INDEX((係数_乗用_ガソリン,係数_乗用_CNG,係数_乗用_軽油,係数_乗用_メタノール,係数_乗用_LPG),125,5,BE1911),3,FALSE))))))</f>
        <v/>
      </c>
      <c r="BC1911" s="467" t="str">
        <f t="shared" si="1090"/>
        <v/>
      </c>
      <c r="BD1911" s="567" t="str">
        <f t="shared" si="1091"/>
        <v/>
      </c>
      <c r="BE1911" s="467" t="str">
        <f t="shared" si="1092"/>
        <v/>
      </c>
      <c r="BF1911" s="469" t="str">
        <f t="shared" ca="1" si="1093"/>
        <v/>
      </c>
      <c r="BG1911" s="469" t="str">
        <f t="shared" ca="1" si="1094"/>
        <v/>
      </c>
      <c r="BH1911" s="467" t="str">
        <f t="shared" si="1095"/>
        <v/>
      </c>
      <c r="BI1911" s="467" t="str">
        <f t="shared" ca="1" si="1096"/>
        <v/>
      </c>
      <c r="BJ1911" s="469" t="str">
        <f t="shared" si="1097"/>
        <v/>
      </c>
      <c r="BK1911" s="470" t="str">
        <f t="shared" si="1081"/>
        <v/>
      </c>
      <c r="BL1911" s="775" t="str">
        <f t="shared" si="1098"/>
        <v/>
      </c>
      <c r="BM1911" s="775" t="str">
        <f t="shared" si="1099"/>
        <v/>
      </c>
    </row>
    <row r="1912" spans="1:65">
      <c r="A1912" s="473">
        <v>1856</v>
      </c>
      <c r="B1912" s="132"/>
      <c r="C1912" s="332"/>
      <c r="D1912" s="333"/>
      <c r="E1912" s="333"/>
      <c r="F1912" s="334"/>
      <c r="G1912" s="337"/>
      <c r="H1912" s="131"/>
      <c r="I1912" s="337"/>
      <c r="J1912" s="131"/>
      <c r="K1912" s="458" t="str">
        <f t="shared" si="1100"/>
        <v/>
      </c>
      <c r="L1912" s="458">
        <f t="shared" si="1101"/>
        <v>0</v>
      </c>
      <c r="M1912" s="458">
        <f t="shared" si="1102"/>
        <v>0</v>
      </c>
      <c r="N1912" s="459" t="str">
        <f t="shared" si="1113"/>
        <v/>
      </c>
      <c r="O1912" s="459" t="str">
        <f t="shared" si="1114"/>
        <v/>
      </c>
      <c r="P1912" s="459" t="str">
        <f t="shared" si="1115"/>
        <v/>
      </c>
      <c r="Q1912" s="459" t="str">
        <f t="shared" si="1116"/>
        <v/>
      </c>
      <c r="R1912" s="459" t="str">
        <f t="shared" si="1117"/>
        <v/>
      </c>
      <c r="S1912" s="459" t="str">
        <f t="shared" si="1118"/>
        <v/>
      </c>
      <c r="T1912" s="566" t="str">
        <f t="shared" si="1103"/>
        <v/>
      </c>
      <c r="U1912" s="702"/>
      <c r="V1912" s="132"/>
      <c r="W1912" s="133"/>
      <c r="X1912" s="134"/>
      <c r="Y1912" s="135"/>
      <c r="Z1912" s="137"/>
      <c r="AA1912" s="136"/>
      <c r="AB1912" s="566" t="str">
        <f t="shared" si="1104"/>
        <v/>
      </c>
      <c r="AC1912" s="568" t="str">
        <f t="shared" si="1105"/>
        <v/>
      </c>
      <c r="AD1912" s="137"/>
      <c r="AE1912" s="137"/>
      <c r="AF1912" s="138"/>
      <c r="AG1912" s="138"/>
      <c r="AH1912" s="592" t="str">
        <f t="shared" si="1106"/>
        <v/>
      </c>
      <c r="AI1912" s="592" t="str">
        <f t="shared" si="1107"/>
        <v/>
      </c>
      <c r="AJ1912" s="592" t="str">
        <f t="shared" si="1108"/>
        <v/>
      </c>
      <c r="AK1912" s="460" t="str">
        <f>IF(AU1912="","",IF(OR(AZ1912=8,AZ1912=9),0,IF(OR(AW1912=3,AW1912=4,AW1912=5,AW1912=6),IF(LEFT(BF1912,1)="1",INDEX(係数_NOX・PM低減,MATCH(AY1912,【参考】排出係数!$AI$801:$AI$804,1),1),VLOOKUP(AU1912,INDEX((係数_バス貨物_ガソリン,係数_バス貨物_CNG,係数_バス貨物_軽油,係数_バス貨物_メタノール,係数_バス貨物_LPG),MATCH(AY1912,【参考】排出係数!$AI$4:$AI$671,1),1,BE1912):INDEX((係数_バス貨物_ガソリン,係数_バス貨物_CNG,係数_バス貨物_軽油,係数_バス貨物_メタノール,係数_バス貨物_LPG),MATCH(AY1912+1,【参考】排出係数!$AI$4:$AI$671,1)-1,5,BE1912),4,FALSE)),IF(AND(BE1912=3,LEFT(BF1912,1)="1"),0.48,VLOOKUP(AU1912,INDEX((係数_乗用_ガソリン,係数_乗用_CNG,係数_乗用_軽油,係数_乗用_メタノール,係数_乗用_LPG),1,1,BE1912):INDEX((係数_乗用_ガソリン,係数_乗用_CNG,係数_乗用_軽油,係数_乗用_メタノール,係数_乗用_LPG),125,5,BE1912),4,FALSE)))))</f>
        <v/>
      </c>
      <c r="AL1912" s="461" t="str">
        <f t="shared" si="1109"/>
        <v/>
      </c>
      <c r="AM1912" s="460" t="str">
        <f>IF(AU1912="","",IF(OR(AZ1912=8,AZ1912=9),0,IF(OR(AW1912=3,AW1912=4,AW1912=5,AW1912=6),IF(LEFT(BH1912,1)="1",INDEX(係数_PM低減,MATCH(AY1912,【参考】排出係数!$AI$801:$AI$804,1),MATCH(BI1912,【参考】排出係数!$AL$798:$AO$798,1)),VLOOKUP(AU1912,INDEX((係数_バス貨物_ガソリン,係数_バス貨物_CNG,係数_バス貨物_軽油,係数_バス貨物_メタノール,係数_バス貨物_LPG),MATCH(AY1912,【参考】排出係数!$AI$4:$AI$671,1),1,BE1912):INDEX((係数_バス貨物_ガソリン,係数_バス貨物_CNG,係数_バス貨物_軽油,係数_バス貨物_メタノール,係数_バス貨物_LPG),MATCH(AY1912+1,【参考】排出係数!$AI$4:$AI$671,1)-1,5,BE1912),5,FALSE)),IF(AND(BE1912=3,LEFT(BF1912,1)="1"),0.055,VLOOKUP(AU1912,INDEX((係数_乗用_ガソリン,係数_乗用_CNG,係数_乗用_軽油,係数_乗用_メタノール,係数_乗用_LPG),1,1,BE1912):INDEX((係数_乗用_ガソリン,係数_乗用_CNG,係数_乗用_軽油,係数_乗用_メタノール,係数_乗用_LPG),125,5,BE1912),5,FALSE)))))</f>
        <v/>
      </c>
      <c r="AN1912" s="461" t="str">
        <f t="shared" si="1110"/>
        <v/>
      </c>
      <c r="AO1912" s="462" t="str">
        <f t="shared" si="1111"/>
        <v/>
      </c>
      <c r="AP1912" s="463" t="str">
        <f t="shared" si="1112"/>
        <v/>
      </c>
      <c r="AQ1912" s="464"/>
      <c r="AR1912" s="619"/>
      <c r="AS1912" s="465" t="str">
        <f t="shared" si="1082"/>
        <v/>
      </c>
      <c r="AT1912" s="465" t="str">
        <f t="shared" si="1083"/>
        <v/>
      </c>
      <c r="AU1912" s="466" t="str">
        <f t="shared" si="1084"/>
        <v/>
      </c>
      <c r="AV1912" s="467" t="str">
        <f t="shared" si="1085"/>
        <v/>
      </c>
      <c r="AW1912" s="467" t="str">
        <f t="shared" si="1086"/>
        <v/>
      </c>
      <c r="AX1912" s="467" t="str">
        <f t="shared" si="1087"/>
        <v/>
      </c>
      <c r="AY1912" s="467" t="str">
        <f t="shared" si="1088"/>
        <v/>
      </c>
      <c r="AZ1912" s="467" t="str">
        <f t="shared" si="1089"/>
        <v/>
      </c>
      <c r="BA1912" s="468" t="str">
        <f>IF(AS1912="","",IF(OR(AU1912="",AU1912="-"),"－",IF(OR(AZ1912=8,AZ1912=9),"",IF(OR(AW1912=3,AW1912=4,AW1912=5,AW1912=6),VLOOKUP(AU1912,INDEX((係数_バス貨物_ガソリン,係数_バス貨物_CNG,係数_バス貨物_軽油,係数_バス貨物_メタノール,係数_バス貨物_LPG),MATCH(AY1912,【参考】排出係数!$AI$4:$AI$671,1),1,BE1912):INDEX((係数_バス貨物_ガソリン,係数_バス貨物_CNG,係数_バス貨物_軽油,係数_バス貨物_メタノール,係数_バス貨物_LPG),MATCH(AY1912+1,【参考】排出係数!$AI$4:$AI$671,1)-1,5,BE1912),2,FALSE),IF(OR(AW1912=1,AW1912=2),VLOOKUP(AU1912,INDEX((係数_乗用_ガソリン,係数_乗用_CNG,係数_乗用_軽油,係数_乗用_メタノール,係数_乗用_LPG),1,1,BE1912):INDEX((係数_乗用_ガソリン,係数_乗用_CNG,係数_乗用_軽油,係数_乗用_メタノール,係数_乗用_LPG),125,5,BE1912),2,FALSE))))))</f>
        <v/>
      </c>
      <c r="BB1912" s="468" t="str">
        <f>IF(T1912="","",IF(OR(AU1912="",AU1912="-"),"－",IF(OR(AZ1912=8,AZ1912=9),"",IF(OR(AW1912=3,AW1912=4,AW1912=5,AW1912=6),VLOOKUP(AU1912,INDEX((係数_バス貨物_ガソリン,係数_バス貨物_CNG,係数_バス貨物_軽油,係数_バス貨物_メタノール,係数_バス貨物_LPG),MATCH(AY1912,【参考】排出係数!$AI$4:$AI$671,1),1,BE1912):INDEX((係数_バス貨物_ガソリン,係数_バス貨物_CNG,係数_バス貨物_軽油,係数_バス貨物_メタノール,係数_バス貨物_LPG),MATCH(AY1912+1,【参考】排出係数!$AI$4:$AI$671,1)-1,5,BE1912),3,FALSE),IF(OR(AW1912=1,AW1912=2),VLOOKUP(AU1912,INDEX((係数_乗用_ガソリン,係数_乗用_CNG,係数_乗用_軽油,係数_乗用_メタノール,係数_乗用_LPG),1,1,BE1912):INDEX((係数_乗用_ガソリン,係数_乗用_CNG,係数_乗用_軽油,係数_乗用_メタノール,係数_乗用_LPG),125,5,BE1912),3,FALSE))))))</f>
        <v/>
      </c>
      <c r="BC1912" s="467" t="str">
        <f t="shared" si="1090"/>
        <v/>
      </c>
      <c r="BD1912" s="567" t="str">
        <f t="shared" si="1091"/>
        <v/>
      </c>
      <c r="BE1912" s="467" t="str">
        <f t="shared" si="1092"/>
        <v/>
      </c>
      <c r="BF1912" s="469" t="str">
        <f t="shared" ca="1" si="1093"/>
        <v/>
      </c>
      <c r="BG1912" s="469" t="str">
        <f t="shared" ca="1" si="1094"/>
        <v/>
      </c>
      <c r="BH1912" s="467" t="str">
        <f t="shared" si="1095"/>
        <v/>
      </c>
      <c r="BI1912" s="467" t="str">
        <f t="shared" ca="1" si="1096"/>
        <v/>
      </c>
      <c r="BJ1912" s="469" t="str">
        <f t="shared" si="1097"/>
        <v/>
      </c>
      <c r="BK1912" s="470" t="str">
        <f t="shared" si="1081"/>
        <v/>
      </c>
      <c r="BL1912" s="775" t="str">
        <f t="shared" si="1098"/>
        <v/>
      </c>
      <c r="BM1912" s="775" t="str">
        <f t="shared" si="1099"/>
        <v/>
      </c>
    </row>
    <row r="1913" spans="1:65">
      <c r="A1913" s="473">
        <v>1857</v>
      </c>
      <c r="B1913" s="132"/>
      <c r="C1913" s="332"/>
      <c r="D1913" s="333"/>
      <c r="E1913" s="333"/>
      <c r="F1913" s="334"/>
      <c r="G1913" s="337"/>
      <c r="H1913" s="131"/>
      <c r="I1913" s="337"/>
      <c r="J1913" s="131"/>
      <c r="K1913" s="458" t="str">
        <f t="shared" si="1100"/>
        <v/>
      </c>
      <c r="L1913" s="458">
        <f t="shared" si="1101"/>
        <v>0</v>
      </c>
      <c r="M1913" s="458">
        <f t="shared" si="1102"/>
        <v>0</v>
      </c>
      <c r="N1913" s="459" t="str">
        <f t="shared" si="1113"/>
        <v/>
      </c>
      <c r="O1913" s="459" t="str">
        <f t="shared" si="1114"/>
        <v/>
      </c>
      <c r="P1913" s="459" t="str">
        <f t="shared" si="1115"/>
        <v/>
      </c>
      <c r="Q1913" s="459" t="str">
        <f t="shared" si="1116"/>
        <v/>
      </c>
      <c r="R1913" s="459" t="str">
        <f t="shared" si="1117"/>
        <v/>
      </c>
      <c r="S1913" s="459" t="str">
        <f t="shared" si="1118"/>
        <v/>
      </c>
      <c r="T1913" s="566" t="str">
        <f t="shared" si="1103"/>
        <v/>
      </c>
      <c r="U1913" s="702"/>
      <c r="V1913" s="132"/>
      <c r="W1913" s="133"/>
      <c r="X1913" s="134"/>
      <c r="Y1913" s="135"/>
      <c r="Z1913" s="137"/>
      <c r="AA1913" s="136"/>
      <c r="AB1913" s="566" t="str">
        <f t="shared" si="1104"/>
        <v/>
      </c>
      <c r="AC1913" s="568" t="str">
        <f t="shared" si="1105"/>
        <v/>
      </c>
      <c r="AD1913" s="137"/>
      <c r="AE1913" s="137"/>
      <c r="AF1913" s="138"/>
      <c r="AG1913" s="138"/>
      <c r="AH1913" s="592" t="str">
        <f t="shared" si="1106"/>
        <v/>
      </c>
      <c r="AI1913" s="592" t="str">
        <f t="shared" si="1107"/>
        <v/>
      </c>
      <c r="AJ1913" s="592" t="str">
        <f t="shared" si="1108"/>
        <v/>
      </c>
      <c r="AK1913" s="460" t="str">
        <f>IF(AU1913="","",IF(OR(AZ1913=8,AZ1913=9),0,IF(OR(AW1913=3,AW1913=4,AW1913=5,AW1913=6),IF(LEFT(BF1913,1)="1",INDEX(係数_NOX・PM低減,MATCH(AY1913,【参考】排出係数!$AI$801:$AI$804,1),1),VLOOKUP(AU1913,INDEX((係数_バス貨物_ガソリン,係数_バス貨物_CNG,係数_バス貨物_軽油,係数_バス貨物_メタノール,係数_バス貨物_LPG),MATCH(AY1913,【参考】排出係数!$AI$4:$AI$671,1),1,BE1913):INDEX((係数_バス貨物_ガソリン,係数_バス貨物_CNG,係数_バス貨物_軽油,係数_バス貨物_メタノール,係数_バス貨物_LPG),MATCH(AY1913+1,【参考】排出係数!$AI$4:$AI$671,1)-1,5,BE1913),4,FALSE)),IF(AND(BE1913=3,LEFT(BF1913,1)="1"),0.48,VLOOKUP(AU1913,INDEX((係数_乗用_ガソリン,係数_乗用_CNG,係数_乗用_軽油,係数_乗用_メタノール,係数_乗用_LPG),1,1,BE1913):INDEX((係数_乗用_ガソリン,係数_乗用_CNG,係数_乗用_軽油,係数_乗用_メタノール,係数_乗用_LPG),125,5,BE1913),4,FALSE)))))</f>
        <v/>
      </c>
      <c r="AL1913" s="461" t="str">
        <f t="shared" si="1109"/>
        <v/>
      </c>
      <c r="AM1913" s="460" t="str">
        <f>IF(AU1913="","",IF(OR(AZ1913=8,AZ1913=9),0,IF(OR(AW1913=3,AW1913=4,AW1913=5,AW1913=6),IF(LEFT(BH1913,1)="1",INDEX(係数_PM低減,MATCH(AY1913,【参考】排出係数!$AI$801:$AI$804,1),MATCH(BI1913,【参考】排出係数!$AL$798:$AO$798,1)),VLOOKUP(AU1913,INDEX((係数_バス貨物_ガソリン,係数_バス貨物_CNG,係数_バス貨物_軽油,係数_バス貨物_メタノール,係数_バス貨物_LPG),MATCH(AY1913,【参考】排出係数!$AI$4:$AI$671,1),1,BE1913):INDEX((係数_バス貨物_ガソリン,係数_バス貨物_CNG,係数_バス貨物_軽油,係数_バス貨物_メタノール,係数_バス貨物_LPG),MATCH(AY1913+1,【参考】排出係数!$AI$4:$AI$671,1)-1,5,BE1913),5,FALSE)),IF(AND(BE1913=3,LEFT(BF1913,1)="1"),0.055,VLOOKUP(AU1913,INDEX((係数_乗用_ガソリン,係数_乗用_CNG,係数_乗用_軽油,係数_乗用_メタノール,係数_乗用_LPG),1,1,BE1913):INDEX((係数_乗用_ガソリン,係数_乗用_CNG,係数_乗用_軽油,係数_乗用_メタノール,係数_乗用_LPG),125,5,BE1913),5,FALSE)))))</f>
        <v/>
      </c>
      <c r="AN1913" s="461" t="str">
        <f t="shared" si="1110"/>
        <v/>
      </c>
      <c r="AO1913" s="462" t="str">
        <f t="shared" si="1111"/>
        <v/>
      </c>
      <c r="AP1913" s="463" t="str">
        <f t="shared" si="1112"/>
        <v/>
      </c>
      <c r="AQ1913" s="464"/>
      <c r="AR1913" s="619"/>
      <c r="AS1913" s="465" t="str">
        <f t="shared" si="1082"/>
        <v/>
      </c>
      <c r="AT1913" s="465" t="str">
        <f t="shared" si="1083"/>
        <v/>
      </c>
      <c r="AU1913" s="466" t="str">
        <f t="shared" si="1084"/>
        <v/>
      </c>
      <c r="AV1913" s="467" t="str">
        <f t="shared" si="1085"/>
        <v/>
      </c>
      <c r="AW1913" s="467" t="str">
        <f t="shared" si="1086"/>
        <v/>
      </c>
      <c r="AX1913" s="467" t="str">
        <f t="shared" si="1087"/>
        <v/>
      </c>
      <c r="AY1913" s="467" t="str">
        <f t="shared" si="1088"/>
        <v/>
      </c>
      <c r="AZ1913" s="467" t="str">
        <f t="shared" si="1089"/>
        <v/>
      </c>
      <c r="BA1913" s="468" t="str">
        <f>IF(AS1913="","",IF(OR(AU1913="",AU1913="-"),"－",IF(OR(AZ1913=8,AZ1913=9),"",IF(OR(AW1913=3,AW1913=4,AW1913=5,AW1913=6),VLOOKUP(AU1913,INDEX((係数_バス貨物_ガソリン,係数_バス貨物_CNG,係数_バス貨物_軽油,係数_バス貨物_メタノール,係数_バス貨物_LPG),MATCH(AY1913,【参考】排出係数!$AI$4:$AI$671,1),1,BE1913):INDEX((係数_バス貨物_ガソリン,係数_バス貨物_CNG,係数_バス貨物_軽油,係数_バス貨物_メタノール,係数_バス貨物_LPG),MATCH(AY1913+1,【参考】排出係数!$AI$4:$AI$671,1)-1,5,BE1913),2,FALSE),IF(OR(AW1913=1,AW1913=2),VLOOKUP(AU1913,INDEX((係数_乗用_ガソリン,係数_乗用_CNG,係数_乗用_軽油,係数_乗用_メタノール,係数_乗用_LPG),1,1,BE1913):INDEX((係数_乗用_ガソリン,係数_乗用_CNG,係数_乗用_軽油,係数_乗用_メタノール,係数_乗用_LPG),125,5,BE1913),2,FALSE))))))</f>
        <v/>
      </c>
      <c r="BB1913" s="468" t="str">
        <f>IF(T1913="","",IF(OR(AU1913="",AU1913="-"),"－",IF(OR(AZ1913=8,AZ1913=9),"",IF(OR(AW1913=3,AW1913=4,AW1913=5,AW1913=6),VLOOKUP(AU1913,INDEX((係数_バス貨物_ガソリン,係数_バス貨物_CNG,係数_バス貨物_軽油,係数_バス貨物_メタノール,係数_バス貨物_LPG),MATCH(AY1913,【参考】排出係数!$AI$4:$AI$671,1),1,BE1913):INDEX((係数_バス貨物_ガソリン,係数_バス貨物_CNG,係数_バス貨物_軽油,係数_バス貨物_メタノール,係数_バス貨物_LPG),MATCH(AY1913+1,【参考】排出係数!$AI$4:$AI$671,1)-1,5,BE1913),3,FALSE),IF(OR(AW1913=1,AW1913=2),VLOOKUP(AU1913,INDEX((係数_乗用_ガソリン,係数_乗用_CNG,係数_乗用_軽油,係数_乗用_メタノール,係数_乗用_LPG),1,1,BE1913):INDEX((係数_乗用_ガソリン,係数_乗用_CNG,係数_乗用_軽油,係数_乗用_メタノール,係数_乗用_LPG),125,5,BE1913),3,FALSE))))))</f>
        <v/>
      </c>
      <c r="BC1913" s="467" t="str">
        <f t="shared" si="1090"/>
        <v/>
      </c>
      <c r="BD1913" s="567" t="str">
        <f t="shared" si="1091"/>
        <v/>
      </c>
      <c r="BE1913" s="467" t="str">
        <f t="shared" si="1092"/>
        <v/>
      </c>
      <c r="BF1913" s="469" t="str">
        <f t="shared" ca="1" si="1093"/>
        <v/>
      </c>
      <c r="BG1913" s="469" t="str">
        <f t="shared" ca="1" si="1094"/>
        <v/>
      </c>
      <c r="BH1913" s="467" t="str">
        <f t="shared" si="1095"/>
        <v/>
      </c>
      <c r="BI1913" s="467" t="str">
        <f t="shared" ca="1" si="1096"/>
        <v/>
      </c>
      <c r="BJ1913" s="469" t="str">
        <f t="shared" si="1097"/>
        <v/>
      </c>
      <c r="BK1913" s="470" t="str">
        <f t="shared" ref="BK1913:BK1976" si="1119">IF(AS1913="","",VLOOKUP(T1913,車両の増減,2,FALSE))</f>
        <v/>
      </c>
      <c r="BL1913" s="775" t="str">
        <f t="shared" si="1098"/>
        <v/>
      </c>
      <c r="BM1913" s="775" t="str">
        <f t="shared" si="1099"/>
        <v/>
      </c>
    </row>
    <row r="1914" spans="1:65">
      <c r="A1914" s="473">
        <v>1858</v>
      </c>
      <c r="B1914" s="132"/>
      <c r="C1914" s="332"/>
      <c r="D1914" s="333"/>
      <c r="E1914" s="333"/>
      <c r="F1914" s="334"/>
      <c r="G1914" s="337"/>
      <c r="H1914" s="131"/>
      <c r="I1914" s="337"/>
      <c r="J1914" s="131"/>
      <c r="K1914" s="458" t="str">
        <f t="shared" si="1100"/>
        <v/>
      </c>
      <c r="L1914" s="458">
        <f t="shared" si="1101"/>
        <v>0</v>
      </c>
      <c r="M1914" s="458">
        <f t="shared" si="1102"/>
        <v>0</v>
      </c>
      <c r="N1914" s="459" t="str">
        <f t="shared" si="1113"/>
        <v/>
      </c>
      <c r="O1914" s="459" t="str">
        <f t="shared" si="1114"/>
        <v/>
      </c>
      <c r="P1914" s="459" t="str">
        <f t="shared" si="1115"/>
        <v/>
      </c>
      <c r="Q1914" s="459" t="str">
        <f t="shared" si="1116"/>
        <v/>
      </c>
      <c r="R1914" s="459" t="str">
        <f t="shared" si="1117"/>
        <v/>
      </c>
      <c r="S1914" s="459" t="str">
        <f t="shared" si="1118"/>
        <v/>
      </c>
      <c r="T1914" s="566" t="str">
        <f t="shared" si="1103"/>
        <v/>
      </c>
      <c r="U1914" s="702"/>
      <c r="V1914" s="132"/>
      <c r="W1914" s="133"/>
      <c r="X1914" s="134"/>
      <c r="Y1914" s="135"/>
      <c r="Z1914" s="137"/>
      <c r="AA1914" s="136"/>
      <c r="AB1914" s="566" t="str">
        <f t="shared" si="1104"/>
        <v/>
      </c>
      <c r="AC1914" s="568" t="str">
        <f t="shared" si="1105"/>
        <v/>
      </c>
      <c r="AD1914" s="137"/>
      <c r="AE1914" s="137"/>
      <c r="AF1914" s="138"/>
      <c r="AG1914" s="138"/>
      <c r="AH1914" s="592" t="str">
        <f t="shared" si="1106"/>
        <v/>
      </c>
      <c r="AI1914" s="592" t="str">
        <f t="shared" si="1107"/>
        <v/>
      </c>
      <c r="AJ1914" s="592" t="str">
        <f t="shared" si="1108"/>
        <v/>
      </c>
      <c r="AK1914" s="460" t="str">
        <f>IF(AU1914="","",IF(OR(AZ1914=8,AZ1914=9),0,IF(OR(AW1914=3,AW1914=4,AW1914=5,AW1914=6),IF(LEFT(BF1914,1)="1",INDEX(係数_NOX・PM低減,MATCH(AY1914,【参考】排出係数!$AI$801:$AI$804,1),1),VLOOKUP(AU1914,INDEX((係数_バス貨物_ガソリン,係数_バス貨物_CNG,係数_バス貨物_軽油,係数_バス貨物_メタノール,係数_バス貨物_LPG),MATCH(AY1914,【参考】排出係数!$AI$4:$AI$671,1),1,BE1914):INDEX((係数_バス貨物_ガソリン,係数_バス貨物_CNG,係数_バス貨物_軽油,係数_バス貨物_メタノール,係数_バス貨物_LPG),MATCH(AY1914+1,【参考】排出係数!$AI$4:$AI$671,1)-1,5,BE1914),4,FALSE)),IF(AND(BE1914=3,LEFT(BF1914,1)="1"),0.48,VLOOKUP(AU1914,INDEX((係数_乗用_ガソリン,係数_乗用_CNG,係数_乗用_軽油,係数_乗用_メタノール,係数_乗用_LPG),1,1,BE1914):INDEX((係数_乗用_ガソリン,係数_乗用_CNG,係数_乗用_軽油,係数_乗用_メタノール,係数_乗用_LPG),125,5,BE1914),4,FALSE)))))</f>
        <v/>
      </c>
      <c r="AL1914" s="461" t="str">
        <f t="shared" si="1109"/>
        <v/>
      </c>
      <c r="AM1914" s="460" t="str">
        <f>IF(AU1914="","",IF(OR(AZ1914=8,AZ1914=9),0,IF(OR(AW1914=3,AW1914=4,AW1914=5,AW1914=6),IF(LEFT(BH1914,1)="1",INDEX(係数_PM低減,MATCH(AY1914,【参考】排出係数!$AI$801:$AI$804,1),MATCH(BI1914,【参考】排出係数!$AL$798:$AO$798,1)),VLOOKUP(AU1914,INDEX((係数_バス貨物_ガソリン,係数_バス貨物_CNG,係数_バス貨物_軽油,係数_バス貨物_メタノール,係数_バス貨物_LPG),MATCH(AY1914,【参考】排出係数!$AI$4:$AI$671,1),1,BE1914):INDEX((係数_バス貨物_ガソリン,係数_バス貨物_CNG,係数_バス貨物_軽油,係数_バス貨物_メタノール,係数_バス貨物_LPG),MATCH(AY1914+1,【参考】排出係数!$AI$4:$AI$671,1)-1,5,BE1914),5,FALSE)),IF(AND(BE1914=3,LEFT(BF1914,1)="1"),0.055,VLOOKUP(AU1914,INDEX((係数_乗用_ガソリン,係数_乗用_CNG,係数_乗用_軽油,係数_乗用_メタノール,係数_乗用_LPG),1,1,BE1914):INDEX((係数_乗用_ガソリン,係数_乗用_CNG,係数_乗用_軽油,係数_乗用_メタノール,係数_乗用_LPG),125,5,BE1914),5,FALSE)))))</f>
        <v/>
      </c>
      <c r="AN1914" s="461" t="str">
        <f t="shared" si="1110"/>
        <v/>
      </c>
      <c r="AO1914" s="462" t="str">
        <f t="shared" si="1111"/>
        <v/>
      </c>
      <c r="AP1914" s="463" t="str">
        <f t="shared" si="1112"/>
        <v/>
      </c>
      <c r="AQ1914" s="464"/>
      <c r="AR1914" s="619"/>
      <c r="AS1914" s="465" t="str">
        <f t="shared" ref="AS1914:AS1977" si="1120">IF(OR(T1914="(減車済)",T1914=""),"",1)</f>
        <v/>
      </c>
      <c r="AT1914" s="465" t="str">
        <f t="shared" ref="AT1914:AT1977" si="1121">IF(OR(T1914="継続",T1914="新規"),1,"")</f>
        <v/>
      </c>
      <c r="AU1914" s="466" t="str">
        <f t="shared" ref="AU1914:AU1977" si="1122">IF(AS1914="","",UPPER(ASC(X1914)))</f>
        <v/>
      </c>
      <c r="AV1914" s="467" t="str">
        <f t="shared" ref="AV1914:AV1977" si="1123">IF(AS1914="","",IF(V1914="","",IF(V1914="普通",1,IF(V1914="小型",2,0))))</f>
        <v/>
      </c>
      <c r="AW1914" s="467" t="str">
        <f t="shared" ref="AW1914:AW1977" si="1124">IF(AS1914="","",IF(W1914="","",VLOOKUP(W1914,用途,2,FALSE)))</f>
        <v/>
      </c>
      <c r="AX1914" s="467" t="str">
        <f t="shared" ref="AX1914:AX1977" si="1125">IF(AS1914="","",IF(Y1914="","",IF(Y1914&lt;=10,1,IF(Y1914&lt;30,2,IF(Y1914&gt;=30,3,0)))))</f>
        <v/>
      </c>
      <c r="AY1914" s="467" t="str">
        <f t="shared" ref="AY1914:AY1977" si="1126">IF(AS1914="","",IF(Z1914="","",IF(Z1914&lt;=1.7*1000,1,IF(Z1914&lt;=2.5*1000,2,IF(Z1914&lt;=3.5*1000,3,IF(Z1914&lt;8*1000,4,IF(Z1914&gt;=8*1000,5,"")))))))</f>
        <v/>
      </c>
      <c r="AZ1914" s="467" t="str">
        <f t="shared" ref="AZ1914:AZ1977" si="1127">IF(AS1914="","",IF(AA1914="","",VLOOKUP(AA1914,燃料の種類,2,FALSE)))</f>
        <v/>
      </c>
      <c r="BA1914" s="468" t="str">
        <f>IF(AS1914="","",IF(OR(AU1914="",AU1914="-"),"－",IF(OR(AZ1914=8,AZ1914=9),"",IF(OR(AW1914=3,AW1914=4,AW1914=5,AW1914=6),VLOOKUP(AU1914,INDEX((係数_バス貨物_ガソリン,係数_バス貨物_CNG,係数_バス貨物_軽油,係数_バス貨物_メタノール,係数_バス貨物_LPG),MATCH(AY1914,【参考】排出係数!$AI$4:$AI$671,1),1,BE1914):INDEX((係数_バス貨物_ガソリン,係数_バス貨物_CNG,係数_バス貨物_軽油,係数_バス貨物_メタノール,係数_バス貨物_LPG),MATCH(AY1914+1,【参考】排出係数!$AI$4:$AI$671,1)-1,5,BE1914),2,FALSE),IF(OR(AW1914=1,AW1914=2),VLOOKUP(AU1914,INDEX((係数_乗用_ガソリン,係数_乗用_CNG,係数_乗用_軽油,係数_乗用_メタノール,係数_乗用_LPG),1,1,BE1914):INDEX((係数_乗用_ガソリン,係数_乗用_CNG,係数_乗用_軽油,係数_乗用_メタノール,係数_乗用_LPG),125,5,BE1914),2,FALSE))))))</f>
        <v/>
      </c>
      <c r="BB1914" s="468" t="str">
        <f>IF(T1914="","",IF(OR(AU1914="",AU1914="-"),"－",IF(OR(AZ1914=8,AZ1914=9),"",IF(OR(AW1914=3,AW1914=4,AW1914=5,AW1914=6),VLOOKUP(AU1914,INDEX((係数_バス貨物_ガソリン,係数_バス貨物_CNG,係数_バス貨物_軽油,係数_バス貨物_メタノール,係数_バス貨物_LPG),MATCH(AY1914,【参考】排出係数!$AI$4:$AI$671,1),1,BE1914):INDEX((係数_バス貨物_ガソリン,係数_バス貨物_CNG,係数_バス貨物_軽油,係数_バス貨物_メタノール,係数_バス貨物_LPG),MATCH(AY1914+1,【参考】排出係数!$AI$4:$AI$671,1)-1,5,BE1914),3,FALSE),IF(OR(AW1914=1,AW1914=2),VLOOKUP(AU1914,INDEX((係数_乗用_ガソリン,係数_乗用_CNG,係数_乗用_軽油,係数_乗用_メタノール,係数_乗用_LPG),1,1,BE1914):INDEX((係数_乗用_ガソリン,係数_乗用_CNG,係数_乗用_軽油,係数_乗用_メタノール,係数_乗用_LPG),125,5,BE1914),3,FALSE))))))</f>
        <v/>
      </c>
      <c r="BC1914" s="467" t="str">
        <f t="shared" ref="BC1914:BC1977" si="1128">IF((AS1914="")+(AC1914=""),"",IF(燃料区分1=4,VLOOKUP(BB1914,排ガス低減レベル,2,FALSE),VLOOKUP(AC1914,排ガス低減レベル,2,FALSE)))</f>
        <v/>
      </c>
      <c r="BD1914" s="567" t="str">
        <f t="shared" ref="BD1914:BD1977" si="1129">IF(AT1914="","",IF(AW1914=3,B1914&amp;"-"&amp;SUM(AW1914*100,AX1914*10,AY1914)&amp;"A",IF(OR(AW1914=2,AW1914=4,AW1914=6),B1914&amp;"-"&amp;AY1914*10&amp;"A",IF(AW1914=1,B1914&amp;"-"&amp;AW1914&amp;"A",IF(AW1914=5,B1914&amp;"-"&amp;SUM(AW1914*100,AV1914*10,AY1914)&amp;"A","")))))</f>
        <v/>
      </c>
      <c r="BE1914" s="467" t="str">
        <f t="shared" ref="BE1914:BE1977" si="1130">IF(OR(AZ1914=1,AZ1914=2,AZ1914=11),1,IF(AZ1914=6,2,IF(OR(AZ1914=4,AZ1914=5,AZ1914=10),3,IF(AZ1914=7,4,IF(AZ1914=3,5, IF(OR(AZ1914=8,AZ1914=9),6,""))))))</f>
        <v/>
      </c>
      <c r="BF1914" s="469" t="str">
        <f t="shared" ref="BF1914:BF1977" ca="1" si="1131">(IF(OR(AZ1914=4,AZ1914=5),OFFSET($CH$1,MATCH($AF1914,$CG$2:$CG$4,0),0)&amp;BK1914,""))</f>
        <v/>
      </c>
      <c r="BG1914" s="469" t="str">
        <f t="shared" ref="BG1914:BG1977" ca="1" si="1132">(IF(OR(AZ1914=4,AZ1914=5),OFFSET($CJ$1,MATCH($AG1914,$CI$2:$CI$5,0),0)&amp;BK1914,""))</f>
        <v/>
      </c>
      <c r="BH1914" s="467" t="str">
        <f t="shared" ref="BH1914:BH1977" si="1133">IF(OR(AZ1914=4,AZ1914=5),IF(OR(LEFT(BF1914,1)="1",LEFT(BG1914,1)="2",LEFT(BG1914,1)="3"),1,2)&amp;BK1914,"")</f>
        <v/>
      </c>
      <c r="BI1914" s="467" t="str">
        <f t="shared" ref="BI1914:BI1977" ca="1" si="1134">IF(LEFT(BF1914)="1",1,IF(LEFT(BG1914,1)="2",2,IF(LEFT(BG1914,1)="3",3,"")))</f>
        <v/>
      </c>
      <c r="BJ1914" s="469" t="str">
        <f t="shared" ref="BJ1914:BJ1977" si="1135">IF(AT1914="","",B1914&amp;"-"&amp;AZ1914)</f>
        <v/>
      </c>
      <c r="BK1914" s="470" t="str">
        <f t="shared" si="1119"/>
        <v/>
      </c>
      <c r="BL1914" s="775" t="str">
        <f t="shared" ref="BL1914:BL1977" si="1136">IF(AND(OR($T1914="新規",$T1914="継続"),ISBLANK($AD1914)),1,"")</f>
        <v/>
      </c>
      <c r="BM1914" s="775" t="str">
        <f t="shared" ref="BM1914:BM1977" si="1137">IF(AND(OR($T1914="新規",$T1914="継続"),ISBLANK($AE1914)),1,"")</f>
        <v/>
      </c>
    </row>
    <row r="1915" spans="1:65">
      <c r="A1915" s="473">
        <v>1859</v>
      </c>
      <c r="B1915" s="132"/>
      <c r="C1915" s="332"/>
      <c r="D1915" s="333"/>
      <c r="E1915" s="333"/>
      <c r="F1915" s="334"/>
      <c r="G1915" s="337"/>
      <c r="H1915" s="131"/>
      <c r="I1915" s="337"/>
      <c r="J1915" s="131"/>
      <c r="K1915" s="458" t="str">
        <f t="shared" si="1100"/>
        <v/>
      </c>
      <c r="L1915" s="458">
        <f t="shared" si="1101"/>
        <v>0</v>
      </c>
      <c r="M1915" s="458">
        <f t="shared" si="1102"/>
        <v>0</v>
      </c>
      <c r="N1915" s="459" t="str">
        <f t="shared" si="1113"/>
        <v/>
      </c>
      <c r="O1915" s="459" t="str">
        <f t="shared" si="1114"/>
        <v/>
      </c>
      <c r="P1915" s="459" t="str">
        <f t="shared" si="1115"/>
        <v/>
      </c>
      <c r="Q1915" s="459" t="str">
        <f t="shared" si="1116"/>
        <v/>
      </c>
      <c r="R1915" s="459" t="str">
        <f t="shared" si="1117"/>
        <v/>
      </c>
      <c r="S1915" s="459" t="str">
        <f t="shared" si="1118"/>
        <v/>
      </c>
      <c r="T1915" s="566" t="str">
        <f t="shared" si="1103"/>
        <v/>
      </c>
      <c r="U1915" s="702"/>
      <c r="V1915" s="132"/>
      <c r="W1915" s="133"/>
      <c r="X1915" s="134"/>
      <c r="Y1915" s="135"/>
      <c r="Z1915" s="137"/>
      <c r="AA1915" s="136"/>
      <c r="AB1915" s="566" t="str">
        <f t="shared" si="1104"/>
        <v/>
      </c>
      <c r="AC1915" s="568" t="str">
        <f t="shared" si="1105"/>
        <v/>
      </c>
      <c r="AD1915" s="137"/>
      <c r="AE1915" s="137"/>
      <c r="AF1915" s="138"/>
      <c r="AG1915" s="138"/>
      <c r="AH1915" s="592" t="str">
        <f t="shared" si="1106"/>
        <v/>
      </c>
      <c r="AI1915" s="592" t="str">
        <f t="shared" si="1107"/>
        <v/>
      </c>
      <c r="AJ1915" s="592" t="str">
        <f t="shared" si="1108"/>
        <v/>
      </c>
      <c r="AK1915" s="460" t="str">
        <f>IF(AU1915="","",IF(OR(AZ1915=8,AZ1915=9),0,IF(OR(AW1915=3,AW1915=4,AW1915=5,AW1915=6),IF(LEFT(BF1915,1)="1",INDEX(係数_NOX・PM低減,MATCH(AY1915,【参考】排出係数!$AI$801:$AI$804,1),1),VLOOKUP(AU1915,INDEX((係数_バス貨物_ガソリン,係数_バス貨物_CNG,係数_バス貨物_軽油,係数_バス貨物_メタノール,係数_バス貨物_LPG),MATCH(AY1915,【参考】排出係数!$AI$4:$AI$671,1),1,BE1915):INDEX((係数_バス貨物_ガソリン,係数_バス貨物_CNG,係数_バス貨物_軽油,係数_バス貨物_メタノール,係数_バス貨物_LPG),MATCH(AY1915+1,【参考】排出係数!$AI$4:$AI$671,1)-1,5,BE1915),4,FALSE)),IF(AND(BE1915=3,LEFT(BF1915,1)="1"),0.48,VLOOKUP(AU1915,INDEX((係数_乗用_ガソリン,係数_乗用_CNG,係数_乗用_軽油,係数_乗用_メタノール,係数_乗用_LPG),1,1,BE1915):INDEX((係数_乗用_ガソリン,係数_乗用_CNG,係数_乗用_軽油,係数_乗用_メタノール,係数_乗用_LPG),125,5,BE1915),4,FALSE)))))</f>
        <v/>
      </c>
      <c r="AL1915" s="461" t="str">
        <f t="shared" si="1109"/>
        <v/>
      </c>
      <c r="AM1915" s="460" t="str">
        <f>IF(AU1915="","",IF(OR(AZ1915=8,AZ1915=9),0,IF(OR(AW1915=3,AW1915=4,AW1915=5,AW1915=6),IF(LEFT(BH1915,1)="1",INDEX(係数_PM低減,MATCH(AY1915,【参考】排出係数!$AI$801:$AI$804,1),MATCH(BI1915,【参考】排出係数!$AL$798:$AO$798,1)),VLOOKUP(AU1915,INDEX((係数_バス貨物_ガソリン,係数_バス貨物_CNG,係数_バス貨物_軽油,係数_バス貨物_メタノール,係数_バス貨物_LPG),MATCH(AY1915,【参考】排出係数!$AI$4:$AI$671,1),1,BE1915):INDEX((係数_バス貨物_ガソリン,係数_バス貨物_CNG,係数_バス貨物_軽油,係数_バス貨物_メタノール,係数_バス貨物_LPG),MATCH(AY1915+1,【参考】排出係数!$AI$4:$AI$671,1)-1,5,BE1915),5,FALSE)),IF(AND(BE1915=3,LEFT(BF1915,1)="1"),0.055,VLOOKUP(AU1915,INDEX((係数_乗用_ガソリン,係数_乗用_CNG,係数_乗用_軽油,係数_乗用_メタノール,係数_乗用_LPG),1,1,BE1915):INDEX((係数_乗用_ガソリン,係数_乗用_CNG,係数_乗用_軽油,係数_乗用_メタノール,係数_乗用_LPG),125,5,BE1915),5,FALSE)))))</f>
        <v/>
      </c>
      <c r="AN1915" s="461" t="str">
        <f t="shared" si="1110"/>
        <v/>
      </c>
      <c r="AO1915" s="462" t="str">
        <f t="shared" si="1111"/>
        <v/>
      </c>
      <c r="AP1915" s="463" t="str">
        <f t="shared" si="1112"/>
        <v/>
      </c>
      <c r="AQ1915" s="464"/>
      <c r="AR1915" s="619"/>
      <c r="AS1915" s="465" t="str">
        <f t="shared" si="1120"/>
        <v/>
      </c>
      <c r="AT1915" s="465" t="str">
        <f t="shared" si="1121"/>
        <v/>
      </c>
      <c r="AU1915" s="466" t="str">
        <f t="shared" si="1122"/>
        <v/>
      </c>
      <c r="AV1915" s="467" t="str">
        <f t="shared" si="1123"/>
        <v/>
      </c>
      <c r="AW1915" s="467" t="str">
        <f t="shared" si="1124"/>
        <v/>
      </c>
      <c r="AX1915" s="467" t="str">
        <f t="shared" si="1125"/>
        <v/>
      </c>
      <c r="AY1915" s="467" t="str">
        <f t="shared" si="1126"/>
        <v/>
      </c>
      <c r="AZ1915" s="467" t="str">
        <f t="shared" si="1127"/>
        <v/>
      </c>
      <c r="BA1915" s="468" t="str">
        <f>IF(AS1915="","",IF(OR(AU1915="",AU1915="-"),"－",IF(OR(AZ1915=8,AZ1915=9),"",IF(OR(AW1915=3,AW1915=4,AW1915=5,AW1915=6),VLOOKUP(AU1915,INDEX((係数_バス貨物_ガソリン,係数_バス貨物_CNG,係数_バス貨物_軽油,係数_バス貨物_メタノール,係数_バス貨物_LPG),MATCH(AY1915,【参考】排出係数!$AI$4:$AI$671,1),1,BE1915):INDEX((係数_バス貨物_ガソリン,係数_バス貨物_CNG,係数_バス貨物_軽油,係数_バス貨物_メタノール,係数_バス貨物_LPG),MATCH(AY1915+1,【参考】排出係数!$AI$4:$AI$671,1)-1,5,BE1915),2,FALSE),IF(OR(AW1915=1,AW1915=2),VLOOKUP(AU1915,INDEX((係数_乗用_ガソリン,係数_乗用_CNG,係数_乗用_軽油,係数_乗用_メタノール,係数_乗用_LPG),1,1,BE1915):INDEX((係数_乗用_ガソリン,係数_乗用_CNG,係数_乗用_軽油,係数_乗用_メタノール,係数_乗用_LPG),125,5,BE1915),2,FALSE))))))</f>
        <v/>
      </c>
      <c r="BB1915" s="468" t="str">
        <f>IF(T1915="","",IF(OR(AU1915="",AU1915="-"),"－",IF(OR(AZ1915=8,AZ1915=9),"",IF(OR(AW1915=3,AW1915=4,AW1915=5,AW1915=6),VLOOKUP(AU1915,INDEX((係数_バス貨物_ガソリン,係数_バス貨物_CNG,係数_バス貨物_軽油,係数_バス貨物_メタノール,係数_バス貨物_LPG),MATCH(AY1915,【参考】排出係数!$AI$4:$AI$671,1),1,BE1915):INDEX((係数_バス貨物_ガソリン,係数_バス貨物_CNG,係数_バス貨物_軽油,係数_バス貨物_メタノール,係数_バス貨物_LPG),MATCH(AY1915+1,【参考】排出係数!$AI$4:$AI$671,1)-1,5,BE1915),3,FALSE),IF(OR(AW1915=1,AW1915=2),VLOOKUP(AU1915,INDEX((係数_乗用_ガソリン,係数_乗用_CNG,係数_乗用_軽油,係数_乗用_メタノール,係数_乗用_LPG),1,1,BE1915):INDEX((係数_乗用_ガソリン,係数_乗用_CNG,係数_乗用_軽油,係数_乗用_メタノール,係数_乗用_LPG),125,5,BE1915),3,FALSE))))))</f>
        <v/>
      </c>
      <c r="BC1915" s="467" t="str">
        <f t="shared" si="1128"/>
        <v/>
      </c>
      <c r="BD1915" s="567" t="str">
        <f t="shared" si="1129"/>
        <v/>
      </c>
      <c r="BE1915" s="467" t="str">
        <f t="shared" si="1130"/>
        <v/>
      </c>
      <c r="BF1915" s="469" t="str">
        <f t="shared" ca="1" si="1131"/>
        <v/>
      </c>
      <c r="BG1915" s="469" t="str">
        <f t="shared" ca="1" si="1132"/>
        <v/>
      </c>
      <c r="BH1915" s="467" t="str">
        <f t="shared" si="1133"/>
        <v/>
      </c>
      <c r="BI1915" s="467" t="str">
        <f t="shared" ca="1" si="1134"/>
        <v/>
      </c>
      <c r="BJ1915" s="469" t="str">
        <f t="shared" si="1135"/>
        <v/>
      </c>
      <c r="BK1915" s="470" t="str">
        <f t="shared" si="1119"/>
        <v/>
      </c>
      <c r="BL1915" s="775" t="str">
        <f t="shared" si="1136"/>
        <v/>
      </c>
      <c r="BM1915" s="775" t="str">
        <f t="shared" si="1137"/>
        <v/>
      </c>
    </row>
    <row r="1916" spans="1:65">
      <c r="A1916" s="473">
        <v>1860</v>
      </c>
      <c r="B1916" s="132"/>
      <c r="C1916" s="332"/>
      <c r="D1916" s="333"/>
      <c r="E1916" s="333"/>
      <c r="F1916" s="334"/>
      <c r="G1916" s="337"/>
      <c r="H1916" s="131"/>
      <c r="I1916" s="337"/>
      <c r="J1916" s="131"/>
      <c r="K1916" s="458" t="str">
        <f t="shared" si="1100"/>
        <v/>
      </c>
      <c r="L1916" s="458">
        <f t="shared" si="1101"/>
        <v>0</v>
      </c>
      <c r="M1916" s="458">
        <f t="shared" si="1102"/>
        <v>0</v>
      </c>
      <c r="N1916" s="459" t="str">
        <f t="shared" si="1113"/>
        <v/>
      </c>
      <c r="O1916" s="459" t="str">
        <f t="shared" si="1114"/>
        <v/>
      </c>
      <c r="P1916" s="459" t="str">
        <f t="shared" si="1115"/>
        <v/>
      </c>
      <c r="Q1916" s="459" t="str">
        <f t="shared" si="1116"/>
        <v/>
      </c>
      <c r="R1916" s="459" t="str">
        <f t="shared" si="1117"/>
        <v/>
      </c>
      <c r="S1916" s="459" t="str">
        <f t="shared" si="1118"/>
        <v/>
      </c>
      <c r="T1916" s="566" t="str">
        <f t="shared" si="1103"/>
        <v/>
      </c>
      <c r="U1916" s="702"/>
      <c r="V1916" s="132"/>
      <c r="W1916" s="133"/>
      <c r="X1916" s="134"/>
      <c r="Y1916" s="135"/>
      <c r="Z1916" s="137"/>
      <c r="AA1916" s="136"/>
      <c r="AB1916" s="566" t="str">
        <f t="shared" si="1104"/>
        <v/>
      </c>
      <c r="AC1916" s="568" t="str">
        <f t="shared" si="1105"/>
        <v/>
      </c>
      <c r="AD1916" s="137"/>
      <c r="AE1916" s="137"/>
      <c r="AF1916" s="138"/>
      <c r="AG1916" s="138"/>
      <c r="AH1916" s="592" t="str">
        <f t="shared" si="1106"/>
        <v/>
      </c>
      <c r="AI1916" s="592" t="str">
        <f t="shared" si="1107"/>
        <v/>
      </c>
      <c r="AJ1916" s="592" t="str">
        <f t="shared" si="1108"/>
        <v/>
      </c>
      <c r="AK1916" s="460" t="str">
        <f>IF(AU1916="","",IF(OR(AZ1916=8,AZ1916=9),0,IF(OR(AW1916=3,AW1916=4,AW1916=5,AW1916=6),IF(LEFT(BF1916,1)="1",INDEX(係数_NOX・PM低減,MATCH(AY1916,【参考】排出係数!$AI$801:$AI$804,1),1),VLOOKUP(AU1916,INDEX((係数_バス貨物_ガソリン,係数_バス貨物_CNG,係数_バス貨物_軽油,係数_バス貨物_メタノール,係数_バス貨物_LPG),MATCH(AY1916,【参考】排出係数!$AI$4:$AI$671,1),1,BE1916):INDEX((係数_バス貨物_ガソリン,係数_バス貨物_CNG,係数_バス貨物_軽油,係数_バス貨物_メタノール,係数_バス貨物_LPG),MATCH(AY1916+1,【参考】排出係数!$AI$4:$AI$671,1)-1,5,BE1916),4,FALSE)),IF(AND(BE1916=3,LEFT(BF1916,1)="1"),0.48,VLOOKUP(AU1916,INDEX((係数_乗用_ガソリン,係数_乗用_CNG,係数_乗用_軽油,係数_乗用_メタノール,係数_乗用_LPG),1,1,BE1916):INDEX((係数_乗用_ガソリン,係数_乗用_CNG,係数_乗用_軽油,係数_乗用_メタノール,係数_乗用_LPG),125,5,BE1916),4,FALSE)))))</f>
        <v/>
      </c>
      <c r="AL1916" s="461" t="str">
        <f t="shared" si="1109"/>
        <v/>
      </c>
      <c r="AM1916" s="460" t="str">
        <f>IF(AU1916="","",IF(OR(AZ1916=8,AZ1916=9),0,IF(OR(AW1916=3,AW1916=4,AW1916=5,AW1916=6),IF(LEFT(BH1916,1)="1",INDEX(係数_PM低減,MATCH(AY1916,【参考】排出係数!$AI$801:$AI$804,1),MATCH(BI1916,【参考】排出係数!$AL$798:$AO$798,1)),VLOOKUP(AU1916,INDEX((係数_バス貨物_ガソリン,係数_バス貨物_CNG,係数_バス貨物_軽油,係数_バス貨物_メタノール,係数_バス貨物_LPG),MATCH(AY1916,【参考】排出係数!$AI$4:$AI$671,1),1,BE1916):INDEX((係数_バス貨物_ガソリン,係数_バス貨物_CNG,係数_バス貨物_軽油,係数_バス貨物_メタノール,係数_バス貨物_LPG),MATCH(AY1916+1,【参考】排出係数!$AI$4:$AI$671,1)-1,5,BE1916),5,FALSE)),IF(AND(BE1916=3,LEFT(BF1916,1)="1"),0.055,VLOOKUP(AU1916,INDEX((係数_乗用_ガソリン,係数_乗用_CNG,係数_乗用_軽油,係数_乗用_メタノール,係数_乗用_LPG),1,1,BE1916):INDEX((係数_乗用_ガソリン,係数_乗用_CNG,係数_乗用_軽油,係数_乗用_メタノール,係数_乗用_LPG),125,5,BE1916),5,FALSE)))))</f>
        <v/>
      </c>
      <c r="AN1916" s="461" t="str">
        <f t="shared" si="1110"/>
        <v/>
      </c>
      <c r="AO1916" s="462" t="str">
        <f t="shared" si="1111"/>
        <v/>
      </c>
      <c r="AP1916" s="463" t="str">
        <f t="shared" si="1112"/>
        <v/>
      </c>
      <c r="AQ1916" s="464"/>
      <c r="AR1916" s="619"/>
      <c r="AS1916" s="465" t="str">
        <f t="shared" si="1120"/>
        <v/>
      </c>
      <c r="AT1916" s="465" t="str">
        <f t="shared" si="1121"/>
        <v/>
      </c>
      <c r="AU1916" s="466" t="str">
        <f t="shared" si="1122"/>
        <v/>
      </c>
      <c r="AV1916" s="467" t="str">
        <f t="shared" si="1123"/>
        <v/>
      </c>
      <c r="AW1916" s="467" t="str">
        <f t="shared" si="1124"/>
        <v/>
      </c>
      <c r="AX1916" s="467" t="str">
        <f t="shared" si="1125"/>
        <v/>
      </c>
      <c r="AY1916" s="467" t="str">
        <f t="shared" si="1126"/>
        <v/>
      </c>
      <c r="AZ1916" s="467" t="str">
        <f t="shared" si="1127"/>
        <v/>
      </c>
      <c r="BA1916" s="468" t="str">
        <f>IF(AS1916="","",IF(OR(AU1916="",AU1916="-"),"－",IF(OR(AZ1916=8,AZ1916=9),"",IF(OR(AW1916=3,AW1916=4,AW1916=5,AW1916=6),VLOOKUP(AU1916,INDEX((係数_バス貨物_ガソリン,係数_バス貨物_CNG,係数_バス貨物_軽油,係数_バス貨物_メタノール,係数_バス貨物_LPG),MATCH(AY1916,【参考】排出係数!$AI$4:$AI$671,1),1,BE1916):INDEX((係数_バス貨物_ガソリン,係数_バス貨物_CNG,係数_バス貨物_軽油,係数_バス貨物_メタノール,係数_バス貨物_LPG),MATCH(AY1916+1,【参考】排出係数!$AI$4:$AI$671,1)-1,5,BE1916),2,FALSE),IF(OR(AW1916=1,AW1916=2),VLOOKUP(AU1916,INDEX((係数_乗用_ガソリン,係数_乗用_CNG,係数_乗用_軽油,係数_乗用_メタノール,係数_乗用_LPG),1,1,BE1916):INDEX((係数_乗用_ガソリン,係数_乗用_CNG,係数_乗用_軽油,係数_乗用_メタノール,係数_乗用_LPG),125,5,BE1916),2,FALSE))))))</f>
        <v/>
      </c>
      <c r="BB1916" s="468" t="str">
        <f>IF(T1916="","",IF(OR(AU1916="",AU1916="-"),"－",IF(OR(AZ1916=8,AZ1916=9),"",IF(OR(AW1916=3,AW1916=4,AW1916=5,AW1916=6),VLOOKUP(AU1916,INDEX((係数_バス貨物_ガソリン,係数_バス貨物_CNG,係数_バス貨物_軽油,係数_バス貨物_メタノール,係数_バス貨物_LPG),MATCH(AY1916,【参考】排出係数!$AI$4:$AI$671,1),1,BE1916):INDEX((係数_バス貨物_ガソリン,係数_バス貨物_CNG,係数_バス貨物_軽油,係数_バス貨物_メタノール,係数_バス貨物_LPG),MATCH(AY1916+1,【参考】排出係数!$AI$4:$AI$671,1)-1,5,BE1916),3,FALSE),IF(OR(AW1916=1,AW1916=2),VLOOKUP(AU1916,INDEX((係数_乗用_ガソリン,係数_乗用_CNG,係数_乗用_軽油,係数_乗用_メタノール,係数_乗用_LPG),1,1,BE1916):INDEX((係数_乗用_ガソリン,係数_乗用_CNG,係数_乗用_軽油,係数_乗用_メタノール,係数_乗用_LPG),125,5,BE1916),3,FALSE))))))</f>
        <v/>
      </c>
      <c r="BC1916" s="467" t="str">
        <f t="shared" si="1128"/>
        <v/>
      </c>
      <c r="BD1916" s="567" t="str">
        <f t="shared" si="1129"/>
        <v/>
      </c>
      <c r="BE1916" s="467" t="str">
        <f t="shared" si="1130"/>
        <v/>
      </c>
      <c r="BF1916" s="469" t="str">
        <f t="shared" ca="1" si="1131"/>
        <v/>
      </c>
      <c r="BG1916" s="469" t="str">
        <f t="shared" ca="1" si="1132"/>
        <v/>
      </c>
      <c r="BH1916" s="467" t="str">
        <f t="shared" si="1133"/>
        <v/>
      </c>
      <c r="BI1916" s="467" t="str">
        <f t="shared" ca="1" si="1134"/>
        <v/>
      </c>
      <c r="BJ1916" s="469" t="str">
        <f t="shared" si="1135"/>
        <v/>
      </c>
      <c r="BK1916" s="470" t="str">
        <f t="shared" si="1119"/>
        <v/>
      </c>
      <c r="BL1916" s="775" t="str">
        <f t="shared" si="1136"/>
        <v/>
      </c>
      <c r="BM1916" s="775" t="str">
        <f t="shared" si="1137"/>
        <v/>
      </c>
    </row>
    <row r="1917" spans="1:65">
      <c r="A1917" s="473">
        <v>1861</v>
      </c>
      <c r="B1917" s="132"/>
      <c r="C1917" s="332"/>
      <c r="D1917" s="333"/>
      <c r="E1917" s="333"/>
      <c r="F1917" s="334"/>
      <c r="G1917" s="337"/>
      <c r="H1917" s="131"/>
      <c r="I1917" s="337"/>
      <c r="J1917" s="131"/>
      <c r="K1917" s="458" t="str">
        <f t="shared" si="1100"/>
        <v/>
      </c>
      <c r="L1917" s="458">
        <f t="shared" si="1101"/>
        <v>0</v>
      </c>
      <c r="M1917" s="458">
        <f t="shared" si="1102"/>
        <v>0</v>
      </c>
      <c r="N1917" s="459" t="str">
        <f t="shared" si="1113"/>
        <v/>
      </c>
      <c r="O1917" s="459" t="str">
        <f t="shared" si="1114"/>
        <v/>
      </c>
      <c r="P1917" s="459" t="str">
        <f t="shared" si="1115"/>
        <v/>
      </c>
      <c r="Q1917" s="459" t="str">
        <f t="shared" si="1116"/>
        <v/>
      </c>
      <c r="R1917" s="459" t="str">
        <f t="shared" si="1117"/>
        <v/>
      </c>
      <c r="S1917" s="459" t="str">
        <f t="shared" si="1118"/>
        <v/>
      </c>
      <c r="T1917" s="566" t="str">
        <f t="shared" si="1103"/>
        <v/>
      </c>
      <c r="U1917" s="702"/>
      <c r="V1917" s="132"/>
      <c r="W1917" s="133"/>
      <c r="X1917" s="134"/>
      <c r="Y1917" s="135"/>
      <c r="Z1917" s="137"/>
      <c r="AA1917" s="136"/>
      <c r="AB1917" s="566" t="str">
        <f t="shared" si="1104"/>
        <v/>
      </c>
      <c r="AC1917" s="568" t="str">
        <f t="shared" si="1105"/>
        <v/>
      </c>
      <c r="AD1917" s="137"/>
      <c r="AE1917" s="137"/>
      <c r="AF1917" s="138"/>
      <c r="AG1917" s="138"/>
      <c r="AH1917" s="592" t="str">
        <f t="shared" si="1106"/>
        <v/>
      </c>
      <c r="AI1917" s="592" t="str">
        <f t="shared" si="1107"/>
        <v/>
      </c>
      <c r="AJ1917" s="592" t="str">
        <f t="shared" si="1108"/>
        <v/>
      </c>
      <c r="AK1917" s="460" t="str">
        <f>IF(AU1917="","",IF(OR(AZ1917=8,AZ1917=9),0,IF(OR(AW1917=3,AW1917=4,AW1917=5,AW1917=6),IF(LEFT(BF1917,1)="1",INDEX(係数_NOX・PM低減,MATCH(AY1917,【参考】排出係数!$AI$801:$AI$804,1),1),VLOOKUP(AU1917,INDEX((係数_バス貨物_ガソリン,係数_バス貨物_CNG,係数_バス貨物_軽油,係数_バス貨物_メタノール,係数_バス貨物_LPG),MATCH(AY1917,【参考】排出係数!$AI$4:$AI$671,1),1,BE1917):INDEX((係数_バス貨物_ガソリン,係数_バス貨物_CNG,係数_バス貨物_軽油,係数_バス貨物_メタノール,係数_バス貨物_LPG),MATCH(AY1917+1,【参考】排出係数!$AI$4:$AI$671,1)-1,5,BE1917),4,FALSE)),IF(AND(BE1917=3,LEFT(BF1917,1)="1"),0.48,VLOOKUP(AU1917,INDEX((係数_乗用_ガソリン,係数_乗用_CNG,係数_乗用_軽油,係数_乗用_メタノール,係数_乗用_LPG),1,1,BE1917):INDEX((係数_乗用_ガソリン,係数_乗用_CNG,係数_乗用_軽油,係数_乗用_メタノール,係数_乗用_LPG),125,5,BE1917),4,FALSE)))))</f>
        <v/>
      </c>
      <c r="AL1917" s="461" t="str">
        <f t="shared" si="1109"/>
        <v/>
      </c>
      <c r="AM1917" s="460" t="str">
        <f>IF(AU1917="","",IF(OR(AZ1917=8,AZ1917=9),0,IF(OR(AW1917=3,AW1917=4,AW1917=5,AW1917=6),IF(LEFT(BH1917,1)="1",INDEX(係数_PM低減,MATCH(AY1917,【参考】排出係数!$AI$801:$AI$804,1),MATCH(BI1917,【参考】排出係数!$AL$798:$AO$798,1)),VLOOKUP(AU1917,INDEX((係数_バス貨物_ガソリン,係数_バス貨物_CNG,係数_バス貨物_軽油,係数_バス貨物_メタノール,係数_バス貨物_LPG),MATCH(AY1917,【参考】排出係数!$AI$4:$AI$671,1),1,BE1917):INDEX((係数_バス貨物_ガソリン,係数_バス貨物_CNG,係数_バス貨物_軽油,係数_バス貨物_メタノール,係数_バス貨物_LPG),MATCH(AY1917+1,【参考】排出係数!$AI$4:$AI$671,1)-1,5,BE1917),5,FALSE)),IF(AND(BE1917=3,LEFT(BF1917,1)="1"),0.055,VLOOKUP(AU1917,INDEX((係数_乗用_ガソリン,係数_乗用_CNG,係数_乗用_軽油,係数_乗用_メタノール,係数_乗用_LPG),1,1,BE1917):INDEX((係数_乗用_ガソリン,係数_乗用_CNG,係数_乗用_軽油,係数_乗用_メタノール,係数_乗用_LPG),125,5,BE1917),5,FALSE)))))</f>
        <v/>
      </c>
      <c r="AN1917" s="461" t="str">
        <f t="shared" si="1110"/>
        <v/>
      </c>
      <c r="AO1917" s="462" t="str">
        <f t="shared" si="1111"/>
        <v/>
      </c>
      <c r="AP1917" s="463" t="str">
        <f t="shared" si="1112"/>
        <v/>
      </c>
      <c r="AQ1917" s="464"/>
      <c r="AR1917" s="619"/>
      <c r="AS1917" s="465" t="str">
        <f t="shared" si="1120"/>
        <v/>
      </c>
      <c r="AT1917" s="465" t="str">
        <f t="shared" si="1121"/>
        <v/>
      </c>
      <c r="AU1917" s="466" t="str">
        <f t="shared" si="1122"/>
        <v/>
      </c>
      <c r="AV1917" s="467" t="str">
        <f t="shared" si="1123"/>
        <v/>
      </c>
      <c r="AW1917" s="467" t="str">
        <f t="shared" si="1124"/>
        <v/>
      </c>
      <c r="AX1917" s="467" t="str">
        <f t="shared" si="1125"/>
        <v/>
      </c>
      <c r="AY1917" s="467" t="str">
        <f t="shared" si="1126"/>
        <v/>
      </c>
      <c r="AZ1917" s="467" t="str">
        <f t="shared" si="1127"/>
        <v/>
      </c>
      <c r="BA1917" s="468" t="str">
        <f>IF(AS1917="","",IF(OR(AU1917="",AU1917="-"),"－",IF(OR(AZ1917=8,AZ1917=9),"",IF(OR(AW1917=3,AW1917=4,AW1917=5,AW1917=6),VLOOKUP(AU1917,INDEX((係数_バス貨物_ガソリン,係数_バス貨物_CNG,係数_バス貨物_軽油,係数_バス貨物_メタノール,係数_バス貨物_LPG),MATCH(AY1917,【参考】排出係数!$AI$4:$AI$671,1),1,BE1917):INDEX((係数_バス貨物_ガソリン,係数_バス貨物_CNG,係数_バス貨物_軽油,係数_バス貨物_メタノール,係数_バス貨物_LPG),MATCH(AY1917+1,【参考】排出係数!$AI$4:$AI$671,1)-1,5,BE1917),2,FALSE),IF(OR(AW1917=1,AW1917=2),VLOOKUP(AU1917,INDEX((係数_乗用_ガソリン,係数_乗用_CNG,係数_乗用_軽油,係数_乗用_メタノール,係数_乗用_LPG),1,1,BE1917):INDEX((係数_乗用_ガソリン,係数_乗用_CNG,係数_乗用_軽油,係数_乗用_メタノール,係数_乗用_LPG),125,5,BE1917),2,FALSE))))))</f>
        <v/>
      </c>
      <c r="BB1917" s="468" t="str">
        <f>IF(T1917="","",IF(OR(AU1917="",AU1917="-"),"－",IF(OR(AZ1917=8,AZ1917=9),"",IF(OR(AW1917=3,AW1917=4,AW1917=5,AW1917=6),VLOOKUP(AU1917,INDEX((係数_バス貨物_ガソリン,係数_バス貨物_CNG,係数_バス貨物_軽油,係数_バス貨物_メタノール,係数_バス貨物_LPG),MATCH(AY1917,【参考】排出係数!$AI$4:$AI$671,1),1,BE1917):INDEX((係数_バス貨物_ガソリン,係数_バス貨物_CNG,係数_バス貨物_軽油,係数_バス貨物_メタノール,係数_バス貨物_LPG),MATCH(AY1917+1,【参考】排出係数!$AI$4:$AI$671,1)-1,5,BE1917),3,FALSE),IF(OR(AW1917=1,AW1917=2),VLOOKUP(AU1917,INDEX((係数_乗用_ガソリン,係数_乗用_CNG,係数_乗用_軽油,係数_乗用_メタノール,係数_乗用_LPG),1,1,BE1917):INDEX((係数_乗用_ガソリン,係数_乗用_CNG,係数_乗用_軽油,係数_乗用_メタノール,係数_乗用_LPG),125,5,BE1917),3,FALSE))))))</f>
        <v/>
      </c>
      <c r="BC1917" s="467" t="str">
        <f t="shared" si="1128"/>
        <v/>
      </c>
      <c r="BD1917" s="567" t="str">
        <f t="shared" si="1129"/>
        <v/>
      </c>
      <c r="BE1917" s="467" t="str">
        <f t="shared" si="1130"/>
        <v/>
      </c>
      <c r="BF1917" s="469" t="str">
        <f t="shared" ca="1" si="1131"/>
        <v/>
      </c>
      <c r="BG1917" s="469" t="str">
        <f t="shared" ca="1" si="1132"/>
        <v/>
      </c>
      <c r="BH1917" s="467" t="str">
        <f t="shared" si="1133"/>
        <v/>
      </c>
      <c r="BI1917" s="467" t="str">
        <f t="shared" ca="1" si="1134"/>
        <v/>
      </c>
      <c r="BJ1917" s="469" t="str">
        <f t="shared" si="1135"/>
        <v/>
      </c>
      <c r="BK1917" s="470" t="str">
        <f t="shared" si="1119"/>
        <v/>
      </c>
      <c r="BL1917" s="775" t="str">
        <f t="shared" si="1136"/>
        <v/>
      </c>
      <c r="BM1917" s="775" t="str">
        <f t="shared" si="1137"/>
        <v/>
      </c>
    </row>
    <row r="1918" spans="1:65">
      <c r="A1918" s="473">
        <v>1862</v>
      </c>
      <c r="B1918" s="132"/>
      <c r="C1918" s="332"/>
      <c r="D1918" s="333"/>
      <c r="E1918" s="333"/>
      <c r="F1918" s="334"/>
      <c r="G1918" s="337"/>
      <c r="H1918" s="131"/>
      <c r="I1918" s="337"/>
      <c r="J1918" s="131"/>
      <c r="K1918" s="458" t="str">
        <f t="shared" si="1100"/>
        <v/>
      </c>
      <c r="L1918" s="458">
        <f t="shared" si="1101"/>
        <v>0</v>
      </c>
      <c r="M1918" s="458">
        <f t="shared" si="1102"/>
        <v>0</v>
      </c>
      <c r="N1918" s="459" t="str">
        <f t="shared" si="1113"/>
        <v/>
      </c>
      <c r="O1918" s="459" t="str">
        <f t="shared" si="1114"/>
        <v/>
      </c>
      <c r="P1918" s="459" t="str">
        <f t="shared" si="1115"/>
        <v/>
      </c>
      <c r="Q1918" s="459" t="str">
        <f t="shared" si="1116"/>
        <v/>
      </c>
      <c r="R1918" s="459" t="str">
        <f t="shared" si="1117"/>
        <v/>
      </c>
      <c r="S1918" s="459" t="str">
        <f t="shared" si="1118"/>
        <v/>
      </c>
      <c r="T1918" s="566" t="str">
        <f t="shared" si="1103"/>
        <v/>
      </c>
      <c r="U1918" s="702"/>
      <c r="V1918" s="132"/>
      <c r="W1918" s="133"/>
      <c r="X1918" s="134"/>
      <c r="Y1918" s="135"/>
      <c r="Z1918" s="137"/>
      <c r="AA1918" s="136"/>
      <c r="AB1918" s="566" t="str">
        <f t="shared" si="1104"/>
        <v/>
      </c>
      <c r="AC1918" s="568" t="str">
        <f t="shared" si="1105"/>
        <v/>
      </c>
      <c r="AD1918" s="137"/>
      <c r="AE1918" s="137"/>
      <c r="AF1918" s="138"/>
      <c r="AG1918" s="138"/>
      <c r="AH1918" s="592" t="str">
        <f t="shared" si="1106"/>
        <v/>
      </c>
      <c r="AI1918" s="592" t="str">
        <f t="shared" si="1107"/>
        <v/>
      </c>
      <c r="AJ1918" s="592" t="str">
        <f t="shared" si="1108"/>
        <v/>
      </c>
      <c r="AK1918" s="460" t="str">
        <f>IF(AU1918="","",IF(OR(AZ1918=8,AZ1918=9),0,IF(OR(AW1918=3,AW1918=4,AW1918=5,AW1918=6),IF(LEFT(BF1918,1)="1",INDEX(係数_NOX・PM低減,MATCH(AY1918,【参考】排出係数!$AI$801:$AI$804,1),1),VLOOKUP(AU1918,INDEX((係数_バス貨物_ガソリン,係数_バス貨物_CNG,係数_バス貨物_軽油,係数_バス貨物_メタノール,係数_バス貨物_LPG),MATCH(AY1918,【参考】排出係数!$AI$4:$AI$671,1),1,BE1918):INDEX((係数_バス貨物_ガソリン,係数_バス貨物_CNG,係数_バス貨物_軽油,係数_バス貨物_メタノール,係数_バス貨物_LPG),MATCH(AY1918+1,【参考】排出係数!$AI$4:$AI$671,1)-1,5,BE1918),4,FALSE)),IF(AND(BE1918=3,LEFT(BF1918,1)="1"),0.48,VLOOKUP(AU1918,INDEX((係数_乗用_ガソリン,係数_乗用_CNG,係数_乗用_軽油,係数_乗用_メタノール,係数_乗用_LPG),1,1,BE1918):INDEX((係数_乗用_ガソリン,係数_乗用_CNG,係数_乗用_軽油,係数_乗用_メタノール,係数_乗用_LPG),125,5,BE1918),4,FALSE)))))</f>
        <v/>
      </c>
      <c r="AL1918" s="461" t="str">
        <f t="shared" si="1109"/>
        <v/>
      </c>
      <c r="AM1918" s="460" t="str">
        <f>IF(AU1918="","",IF(OR(AZ1918=8,AZ1918=9),0,IF(OR(AW1918=3,AW1918=4,AW1918=5,AW1918=6),IF(LEFT(BH1918,1)="1",INDEX(係数_PM低減,MATCH(AY1918,【参考】排出係数!$AI$801:$AI$804,1),MATCH(BI1918,【参考】排出係数!$AL$798:$AO$798,1)),VLOOKUP(AU1918,INDEX((係数_バス貨物_ガソリン,係数_バス貨物_CNG,係数_バス貨物_軽油,係数_バス貨物_メタノール,係数_バス貨物_LPG),MATCH(AY1918,【参考】排出係数!$AI$4:$AI$671,1),1,BE1918):INDEX((係数_バス貨物_ガソリン,係数_バス貨物_CNG,係数_バス貨物_軽油,係数_バス貨物_メタノール,係数_バス貨物_LPG),MATCH(AY1918+1,【参考】排出係数!$AI$4:$AI$671,1)-1,5,BE1918),5,FALSE)),IF(AND(BE1918=3,LEFT(BF1918,1)="1"),0.055,VLOOKUP(AU1918,INDEX((係数_乗用_ガソリン,係数_乗用_CNG,係数_乗用_軽油,係数_乗用_メタノール,係数_乗用_LPG),1,1,BE1918):INDEX((係数_乗用_ガソリン,係数_乗用_CNG,係数_乗用_軽油,係数_乗用_メタノール,係数_乗用_LPG),125,5,BE1918),5,FALSE)))))</f>
        <v/>
      </c>
      <c r="AN1918" s="461" t="str">
        <f t="shared" si="1110"/>
        <v/>
      </c>
      <c r="AO1918" s="462" t="str">
        <f t="shared" si="1111"/>
        <v/>
      </c>
      <c r="AP1918" s="463" t="str">
        <f t="shared" si="1112"/>
        <v/>
      </c>
      <c r="AQ1918" s="464"/>
      <c r="AR1918" s="619"/>
      <c r="AS1918" s="465" t="str">
        <f t="shared" si="1120"/>
        <v/>
      </c>
      <c r="AT1918" s="465" t="str">
        <f t="shared" si="1121"/>
        <v/>
      </c>
      <c r="AU1918" s="466" t="str">
        <f t="shared" si="1122"/>
        <v/>
      </c>
      <c r="AV1918" s="467" t="str">
        <f t="shared" si="1123"/>
        <v/>
      </c>
      <c r="AW1918" s="467" t="str">
        <f t="shared" si="1124"/>
        <v/>
      </c>
      <c r="AX1918" s="467" t="str">
        <f t="shared" si="1125"/>
        <v/>
      </c>
      <c r="AY1918" s="467" t="str">
        <f t="shared" si="1126"/>
        <v/>
      </c>
      <c r="AZ1918" s="467" t="str">
        <f t="shared" si="1127"/>
        <v/>
      </c>
      <c r="BA1918" s="468" t="str">
        <f>IF(AS1918="","",IF(OR(AU1918="",AU1918="-"),"－",IF(OR(AZ1918=8,AZ1918=9),"",IF(OR(AW1918=3,AW1918=4,AW1918=5,AW1918=6),VLOOKUP(AU1918,INDEX((係数_バス貨物_ガソリン,係数_バス貨物_CNG,係数_バス貨物_軽油,係数_バス貨物_メタノール,係数_バス貨物_LPG),MATCH(AY1918,【参考】排出係数!$AI$4:$AI$671,1),1,BE1918):INDEX((係数_バス貨物_ガソリン,係数_バス貨物_CNG,係数_バス貨物_軽油,係数_バス貨物_メタノール,係数_バス貨物_LPG),MATCH(AY1918+1,【参考】排出係数!$AI$4:$AI$671,1)-1,5,BE1918),2,FALSE),IF(OR(AW1918=1,AW1918=2),VLOOKUP(AU1918,INDEX((係数_乗用_ガソリン,係数_乗用_CNG,係数_乗用_軽油,係数_乗用_メタノール,係数_乗用_LPG),1,1,BE1918):INDEX((係数_乗用_ガソリン,係数_乗用_CNG,係数_乗用_軽油,係数_乗用_メタノール,係数_乗用_LPG),125,5,BE1918),2,FALSE))))))</f>
        <v/>
      </c>
      <c r="BB1918" s="468" t="str">
        <f>IF(T1918="","",IF(OR(AU1918="",AU1918="-"),"－",IF(OR(AZ1918=8,AZ1918=9),"",IF(OR(AW1918=3,AW1918=4,AW1918=5,AW1918=6),VLOOKUP(AU1918,INDEX((係数_バス貨物_ガソリン,係数_バス貨物_CNG,係数_バス貨物_軽油,係数_バス貨物_メタノール,係数_バス貨物_LPG),MATCH(AY1918,【参考】排出係数!$AI$4:$AI$671,1),1,BE1918):INDEX((係数_バス貨物_ガソリン,係数_バス貨物_CNG,係数_バス貨物_軽油,係数_バス貨物_メタノール,係数_バス貨物_LPG),MATCH(AY1918+1,【参考】排出係数!$AI$4:$AI$671,1)-1,5,BE1918),3,FALSE),IF(OR(AW1918=1,AW1918=2),VLOOKUP(AU1918,INDEX((係数_乗用_ガソリン,係数_乗用_CNG,係数_乗用_軽油,係数_乗用_メタノール,係数_乗用_LPG),1,1,BE1918):INDEX((係数_乗用_ガソリン,係数_乗用_CNG,係数_乗用_軽油,係数_乗用_メタノール,係数_乗用_LPG),125,5,BE1918),3,FALSE))))))</f>
        <v/>
      </c>
      <c r="BC1918" s="467" t="str">
        <f t="shared" si="1128"/>
        <v/>
      </c>
      <c r="BD1918" s="567" t="str">
        <f t="shared" si="1129"/>
        <v/>
      </c>
      <c r="BE1918" s="467" t="str">
        <f t="shared" si="1130"/>
        <v/>
      </c>
      <c r="BF1918" s="469" t="str">
        <f t="shared" ca="1" si="1131"/>
        <v/>
      </c>
      <c r="BG1918" s="469" t="str">
        <f t="shared" ca="1" si="1132"/>
        <v/>
      </c>
      <c r="BH1918" s="467" t="str">
        <f t="shared" si="1133"/>
        <v/>
      </c>
      <c r="BI1918" s="467" t="str">
        <f t="shared" ca="1" si="1134"/>
        <v/>
      </c>
      <c r="BJ1918" s="469" t="str">
        <f t="shared" si="1135"/>
        <v/>
      </c>
      <c r="BK1918" s="470" t="str">
        <f t="shared" si="1119"/>
        <v/>
      </c>
      <c r="BL1918" s="775" t="str">
        <f t="shared" si="1136"/>
        <v/>
      </c>
      <c r="BM1918" s="775" t="str">
        <f t="shared" si="1137"/>
        <v/>
      </c>
    </row>
    <row r="1919" spans="1:65">
      <c r="A1919" s="473">
        <v>1863</v>
      </c>
      <c r="B1919" s="132"/>
      <c r="C1919" s="332"/>
      <c r="D1919" s="333"/>
      <c r="E1919" s="333"/>
      <c r="F1919" s="334"/>
      <c r="G1919" s="337"/>
      <c r="H1919" s="131"/>
      <c r="I1919" s="337"/>
      <c r="J1919" s="131"/>
      <c r="K1919" s="458" t="str">
        <f t="shared" si="1100"/>
        <v/>
      </c>
      <c r="L1919" s="458">
        <f t="shared" si="1101"/>
        <v>0</v>
      </c>
      <c r="M1919" s="458">
        <f t="shared" si="1102"/>
        <v>0</v>
      </c>
      <c r="N1919" s="459" t="str">
        <f t="shared" si="1113"/>
        <v/>
      </c>
      <c r="O1919" s="459" t="str">
        <f t="shared" si="1114"/>
        <v/>
      </c>
      <c r="P1919" s="459" t="str">
        <f t="shared" si="1115"/>
        <v/>
      </c>
      <c r="Q1919" s="459" t="str">
        <f t="shared" si="1116"/>
        <v/>
      </c>
      <c r="R1919" s="459" t="str">
        <f t="shared" si="1117"/>
        <v/>
      </c>
      <c r="S1919" s="459" t="str">
        <f t="shared" si="1118"/>
        <v/>
      </c>
      <c r="T1919" s="566" t="str">
        <f t="shared" si="1103"/>
        <v/>
      </c>
      <c r="U1919" s="702"/>
      <c r="V1919" s="132"/>
      <c r="W1919" s="133"/>
      <c r="X1919" s="134"/>
      <c r="Y1919" s="135"/>
      <c r="Z1919" s="137"/>
      <c r="AA1919" s="136"/>
      <c r="AB1919" s="566" t="str">
        <f t="shared" si="1104"/>
        <v/>
      </c>
      <c r="AC1919" s="568" t="str">
        <f t="shared" si="1105"/>
        <v/>
      </c>
      <c r="AD1919" s="137"/>
      <c r="AE1919" s="137"/>
      <c r="AF1919" s="138"/>
      <c r="AG1919" s="138"/>
      <c r="AH1919" s="592" t="str">
        <f t="shared" si="1106"/>
        <v/>
      </c>
      <c r="AI1919" s="592" t="str">
        <f t="shared" si="1107"/>
        <v/>
      </c>
      <c r="AJ1919" s="592" t="str">
        <f t="shared" si="1108"/>
        <v/>
      </c>
      <c r="AK1919" s="460" t="str">
        <f>IF(AU1919="","",IF(OR(AZ1919=8,AZ1919=9),0,IF(OR(AW1919=3,AW1919=4,AW1919=5,AW1919=6),IF(LEFT(BF1919,1)="1",INDEX(係数_NOX・PM低減,MATCH(AY1919,【参考】排出係数!$AI$801:$AI$804,1),1),VLOOKUP(AU1919,INDEX((係数_バス貨物_ガソリン,係数_バス貨物_CNG,係数_バス貨物_軽油,係数_バス貨物_メタノール,係数_バス貨物_LPG),MATCH(AY1919,【参考】排出係数!$AI$4:$AI$671,1),1,BE1919):INDEX((係数_バス貨物_ガソリン,係数_バス貨物_CNG,係数_バス貨物_軽油,係数_バス貨物_メタノール,係数_バス貨物_LPG),MATCH(AY1919+1,【参考】排出係数!$AI$4:$AI$671,1)-1,5,BE1919),4,FALSE)),IF(AND(BE1919=3,LEFT(BF1919,1)="1"),0.48,VLOOKUP(AU1919,INDEX((係数_乗用_ガソリン,係数_乗用_CNG,係数_乗用_軽油,係数_乗用_メタノール,係数_乗用_LPG),1,1,BE1919):INDEX((係数_乗用_ガソリン,係数_乗用_CNG,係数_乗用_軽油,係数_乗用_メタノール,係数_乗用_LPG),125,5,BE1919),4,FALSE)))))</f>
        <v/>
      </c>
      <c r="AL1919" s="461" t="str">
        <f t="shared" si="1109"/>
        <v/>
      </c>
      <c r="AM1919" s="460" t="str">
        <f>IF(AU1919="","",IF(OR(AZ1919=8,AZ1919=9),0,IF(OR(AW1919=3,AW1919=4,AW1919=5,AW1919=6),IF(LEFT(BH1919,1)="1",INDEX(係数_PM低減,MATCH(AY1919,【参考】排出係数!$AI$801:$AI$804,1),MATCH(BI1919,【参考】排出係数!$AL$798:$AO$798,1)),VLOOKUP(AU1919,INDEX((係数_バス貨物_ガソリン,係数_バス貨物_CNG,係数_バス貨物_軽油,係数_バス貨物_メタノール,係数_バス貨物_LPG),MATCH(AY1919,【参考】排出係数!$AI$4:$AI$671,1),1,BE1919):INDEX((係数_バス貨物_ガソリン,係数_バス貨物_CNG,係数_バス貨物_軽油,係数_バス貨物_メタノール,係数_バス貨物_LPG),MATCH(AY1919+1,【参考】排出係数!$AI$4:$AI$671,1)-1,5,BE1919),5,FALSE)),IF(AND(BE1919=3,LEFT(BF1919,1)="1"),0.055,VLOOKUP(AU1919,INDEX((係数_乗用_ガソリン,係数_乗用_CNG,係数_乗用_軽油,係数_乗用_メタノール,係数_乗用_LPG),1,1,BE1919):INDEX((係数_乗用_ガソリン,係数_乗用_CNG,係数_乗用_軽油,係数_乗用_メタノール,係数_乗用_LPG),125,5,BE1919),5,FALSE)))))</f>
        <v/>
      </c>
      <c r="AN1919" s="461" t="str">
        <f t="shared" si="1110"/>
        <v/>
      </c>
      <c r="AO1919" s="462" t="str">
        <f t="shared" si="1111"/>
        <v/>
      </c>
      <c r="AP1919" s="463" t="str">
        <f t="shared" si="1112"/>
        <v/>
      </c>
      <c r="AQ1919" s="464"/>
      <c r="AR1919" s="619"/>
      <c r="AS1919" s="465" t="str">
        <f t="shared" si="1120"/>
        <v/>
      </c>
      <c r="AT1919" s="465" t="str">
        <f t="shared" si="1121"/>
        <v/>
      </c>
      <c r="AU1919" s="466" t="str">
        <f t="shared" si="1122"/>
        <v/>
      </c>
      <c r="AV1919" s="467" t="str">
        <f t="shared" si="1123"/>
        <v/>
      </c>
      <c r="AW1919" s="467" t="str">
        <f t="shared" si="1124"/>
        <v/>
      </c>
      <c r="AX1919" s="467" t="str">
        <f t="shared" si="1125"/>
        <v/>
      </c>
      <c r="AY1919" s="467" t="str">
        <f t="shared" si="1126"/>
        <v/>
      </c>
      <c r="AZ1919" s="467" t="str">
        <f t="shared" si="1127"/>
        <v/>
      </c>
      <c r="BA1919" s="468" t="str">
        <f>IF(AS1919="","",IF(OR(AU1919="",AU1919="-"),"－",IF(OR(AZ1919=8,AZ1919=9),"",IF(OR(AW1919=3,AW1919=4,AW1919=5,AW1919=6),VLOOKUP(AU1919,INDEX((係数_バス貨物_ガソリン,係数_バス貨物_CNG,係数_バス貨物_軽油,係数_バス貨物_メタノール,係数_バス貨物_LPG),MATCH(AY1919,【参考】排出係数!$AI$4:$AI$671,1),1,BE1919):INDEX((係数_バス貨物_ガソリン,係数_バス貨物_CNG,係数_バス貨物_軽油,係数_バス貨物_メタノール,係数_バス貨物_LPG),MATCH(AY1919+1,【参考】排出係数!$AI$4:$AI$671,1)-1,5,BE1919),2,FALSE),IF(OR(AW1919=1,AW1919=2),VLOOKUP(AU1919,INDEX((係数_乗用_ガソリン,係数_乗用_CNG,係数_乗用_軽油,係数_乗用_メタノール,係数_乗用_LPG),1,1,BE1919):INDEX((係数_乗用_ガソリン,係数_乗用_CNG,係数_乗用_軽油,係数_乗用_メタノール,係数_乗用_LPG),125,5,BE1919),2,FALSE))))))</f>
        <v/>
      </c>
      <c r="BB1919" s="468" t="str">
        <f>IF(T1919="","",IF(OR(AU1919="",AU1919="-"),"－",IF(OR(AZ1919=8,AZ1919=9),"",IF(OR(AW1919=3,AW1919=4,AW1919=5,AW1919=6),VLOOKUP(AU1919,INDEX((係数_バス貨物_ガソリン,係数_バス貨物_CNG,係数_バス貨物_軽油,係数_バス貨物_メタノール,係数_バス貨物_LPG),MATCH(AY1919,【参考】排出係数!$AI$4:$AI$671,1),1,BE1919):INDEX((係数_バス貨物_ガソリン,係数_バス貨物_CNG,係数_バス貨物_軽油,係数_バス貨物_メタノール,係数_バス貨物_LPG),MATCH(AY1919+1,【参考】排出係数!$AI$4:$AI$671,1)-1,5,BE1919),3,FALSE),IF(OR(AW1919=1,AW1919=2),VLOOKUP(AU1919,INDEX((係数_乗用_ガソリン,係数_乗用_CNG,係数_乗用_軽油,係数_乗用_メタノール,係数_乗用_LPG),1,1,BE1919):INDEX((係数_乗用_ガソリン,係数_乗用_CNG,係数_乗用_軽油,係数_乗用_メタノール,係数_乗用_LPG),125,5,BE1919),3,FALSE))))))</f>
        <v/>
      </c>
      <c r="BC1919" s="467" t="str">
        <f t="shared" si="1128"/>
        <v/>
      </c>
      <c r="BD1919" s="567" t="str">
        <f t="shared" si="1129"/>
        <v/>
      </c>
      <c r="BE1919" s="467" t="str">
        <f t="shared" si="1130"/>
        <v/>
      </c>
      <c r="BF1919" s="469" t="str">
        <f t="shared" ca="1" si="1131"/>
        <v/>
      </c>
      <c r="BG1919" s="469" t="str">
        <f t="shared" ca="1" si="1132"/>
        <v/>
      </c>
      <c r="BH1919" s="467" t="str">
        <f t="shared" si="1133"/>
        <v/>
      </c>
      <c r="BI1919" s="467" t="str">
        <f t="shared" ca="1" si="1134"/>
        <v/>
      </c>
      <c r="BJ1919" s="469" t="str">
        <f t="shared" si="1135"/>
        <v/>
      </c>
      <c r="BK1919" s="470" t="str">
        <f t="shared" si="1119"/>
        <v/>
      </c>
      <c r="BL1919" s="775" t="str">
        <f t="shared" si="1136"/>
        <v/>
      </c>
      <c r="BM1919" s="775" t="str">
        <f t="shared" si="1137"/>
        <v/>
      </c>
    </row>
    <row r="1920" spans="1:65">
      <c r="A1920" s="473">
        <v>1864</v>
      </c>
      <c r="B1920" s="132"/>
      <c r="C1920" s="332"/>
      <c r="D1920" s="333"/>
      <c r="E1920" s="333"/>
      <c r="F1920" s="334"/>
      <c r="G1920" s="337"/>
      <c r="H1920" s="131"/>
      <c r="I1920" s="337"/>
      <c r="J1920" s="131"/>
      <c r="K1920" s="458" t="str">
        <f t="shared" si="1100"/>
        <v/>
      </c>
      <c r="L1920" s="458">
        <f t="shared" si="1101"/>
        <v>0</v>
      </c>
      <c r="M1920" s="458">
        <f t="shared" si="1102"/>
        <v>0</v>
      </c>
      <c r="N1920" s="459" t="str">
        <f t="shared" si="1113"/>
        <v/>
      </c>
      <c r="O1920" s="459" t="str">
        <f t="shared" si="1114"/>
        <v/>
      </c>
      <c r="P1920" s="459" t="str">
        <f t="shared" si="1115"/>
        <v/>
      </c>
      <c r="Q1920" s="459" t="str">
        <f t="shared" si="1116"/>
        <v/>
      </c>
      <c r="R1920" s="459" t="str">
        <f t="shared" si="1117"/>
        <v/>
      </c>
      <c r="S1920" s="459" t="str">
        <f t="shared" si="1118"/>
        <v/>
      </c>
      <c r="T1920" s="566" t="str">
        <f t="shared" si="1103"/>
        <v/>
      </c>
      <c r="U1920" s="702"/>
      <c r="V1920" s="132"/>
      <c r="W1920" s="133"/>
      <c r="X1920" s="134"/>
      <c r="Y1920" s="135"/>
      <c r="Z1920" s="137"/>
      <c r="AA1920" s="136"/>
      <c r="AB1920" s="566" t="str">
        <f t="shared" si="1104"/>
        <v/>
      </c>
      <c r="AC1920" s="568" t="str">
        <f t="shared" si="1105"/>
        <v/>
      </c>
      <c r="AD1920" s="137"/>
      <c r="AE1920" s="137"/>
      <c r="AF1920" s="138"/>
      <c r="AG1920" s="138"/>
      <c r="AH1920" s="592" t="str">
        <f t="shared" si="1106"/>
        <v/>
      </c>
      <c r="AI1920" s="592" t="str">
        <f t="shared" si="1107"/>
        <v/>
      </c>
      <c r="AJ1920" s="592" t="str">
        <f t="shared" si="1108"/>
        <v/>
      </c>
      <c r="AK1920" s="460" t="str">
        <f>IF(AU1920="","",IF(OR(AZ1920=8,AZ1920=9),0,IF(OR(AW1920=3,AW1920=4,AW1920=5,AW1920=6),IF(LEFT(BF1920,1)="1",INDEX(係数_NOX・PM低減,MATCH(AY1920,【参考】排出係数!$AI$801:$AI$804,1),1),VLOOKUP(AU1920,INDEX((係数_バス貨物_ガソリン,係数_バス貨物_CNG,係数_バス貨物_軽油,係数_バス貨物_メタノール,係数_バス貨物_LPG),MATCH(AY1920,【参考】排出係数!$AI$4:$AI$671,1),1,BE1920):INDEX((係数_バス貨物_ガソリン,係数_バス貨物_CNG,係数_バス貨物_軽油,係数_バス貨物_メタノール,係数_バス貨物_LPG),MATCH(AY1920+1,【参考】排出係数!$AI$4:$AI$671,1)-1,5,BE1920),4,FALSE)),IF(AND(BE1920=3,LEFT(BF1920,1)="1"),0.48,VLOOKUP(AU1920,INDEX((係数_乗用_ガソリン,係数_乗用_CNG,係数_乗用_軽油,係数_乗用_メタノール,係数_乗用_LPG),1,1,BE1920):INDEX((係数_乗用_ガソリン,係数_乗用_CNG,係数_乗用_軽油,係数_乗用_メタノール,係数_乗用_LPG),125,5,BE1920),4,FALSE)))))</f>
        <v/>
      </c>
      <c r="AL1920" s="461" t="str">
        <f t="shared" si="1109"/>
        <v/>
      </c>
      <c r="AM1920" s="460" t="str">
        <f>IF(AU1920="","",IF(OR(AZ1920=8,AZ1920=9),0,IF(OR(AW1920=3,AW1920=4,AW1920=5,AW1920=6),IF(LEFT(BH1920,1)="1",INDEX(係数_PM低減,MATCH(AY1920,【参考】排出係数!$AI$801:$AI$804,1),MATCH(BI1920,【参考】排出係数!$AL$798:$AO$798,1)),VLOOKUP(AU1920,INDEX((係数_バス貨物_ガソリン,係数_バス貨物_CNG,係数_バス貨物_軽油,係数_バス貨物_メタノール,係数_バス貨物_LPG),MATCH(AY1920,【参考】排出係数!$AI$4:$AI$671,1),1,BE1920):INDEX((係数_バス貨物_ガソリン,係数_バス貨物_CNG,係数_バス貨物_軽油,係数_バス貨物_メタノール,係数_バス貨物_LPG),MATCH(AY1920+1,【参考】排出係数!$AI$4:$AI$671,1)-1,5,BE1920),5,FALSE)),IF(AND(BE1920=3,LEFT(BF1920,1)="1"),0.055,VLOOKUP(AU1920,INDEX((係数_乗用_ガソリン,係数_乗用_CNG,係数_乗用_軽油,係数_乗用_メタノール,係数_乗用_LPG),1,1,BE1920):INDEX((係数_乗用_ガソリン,係数_乗用_CNG,係数_乗用_軽油,係数_乗用_メタノール,係数_乗用_LPG),125,5,BE1920),5,FALSE)))))</f>
        <v/>
      </c>
      <c r="AN1920" s="461" t="str">
        <f t="shared" si="1110"/>
        <v/>
      </c>
      <c r="AO1920" s="462" t="str">
        <f t="shared" si="1111"/>
        <v/>
      </c>
      <c r="AP1920" s="463" t="str">
        <f t="shared" si="1112"/>
        <v/>
      </c>
      <c r="AQ1920" s="464"/>
      <c r="AR1920" s="619"/>
      <c r="AS1920" s="465" t="str">
        <f t="shared" si="1120"/>
        <v/>
      </c>
      <c r="AT1920" s="465" t="str">
        <f t="shared" si="1121"/>
        <v/>
      </c>
      <c r="AU1920" s="466" t="str">
        <f t="shared" si="1122"/>
        <v/>
      </c>
      <c r="AV1920" s="467" t="str">
        <f t="shared" si="1123"/>
        <v/>
      </c>
      <c r="AW1920" s="467" t="str">
        <f t="shared" si="1124"/>
        <v/>
      </c>
      <c r="AX1920" s="467" t="str">
        <f t="shared" si="1125"/>
        <v/>
      </c>
      <c r="AY1920" s="467" t="str">
        <f t="shared" si="1126"/>
        <v/>
      </c>
      <c r="AZ1920" s="467" t="str">
        <f t="shared" si="1127"/>
        <v/>
      </c>
      <c r="BA1920" s="468" t="str">
        <f>IF(AS1920="","",IF(OR(AU1920="",AU1920="-"),"－",IF(OR(AZ1920=8,AZ1920=9),"",IF(OR(AW1920=3,AW1920=4,AW1920=5,AW1920=6),VLOOKUP(AU1920,INDEX((係数_バス貨物_ガソリン,係数_バス貨物_CNG,係数_バス貨物_軽油,係数_バス貨物_メタノール,係数_バス貨物_LPG),MATCH(AY1920,【参考】排出係数!$AI$4:$AI$671,1),1,BE1920):INDEX((係数_バス貨物_ガソリン,係数_バス貨物_CNG,係数_バス貨物_軽油,係数_バス貨物_メタノール,係数_バス貨物_LPG),MATCH(AY1920+1,【参考】排出係数!$AI$4:$AI$671,1)-1,5,BE1920),2,FALSE),IF(OR(AW1920=1,AW1920=2),VLOOKUP(AU1920,INDEX((係数_乗用_ガソリン,係数_乗用_CNG,係数_乗用_軽油,係数_乗用_メタノール,係数_乗用_LPG),1,1,BE1920):INDEX((係数_乗用_ガソリン,係数_乗用_CNG,係数_乗用_軽油,係数_乗用_メタノール,係数_乗用_LPG),125,5,BE1920),2,FALSE))))))</f>
        <v/>
      </c>
      <c r="BB1920" s="468" t="str">
        <f>IF(T1920="","",IF(OR(AU1920="",AU1920="-"),"－",IF(OR(AZ1920=8,AZ1920=9),"",IF(OR(AW1920=3,AW1920=4,AW1920=5,AW1920=6),VLOOKUP(AU1920,INDEX((係数_バス貨物_ガソリン,係数_バス貨物_CNG,係数_バス貨物_軽油,係数_バス貨物_メタノール,係数_バス貨物_LPG),MATCH(AY1920,【参考】排出係数!$AI$4:$AI$671,1),1,BE1920):INDEX((係数_バス貨物_ガソリン,係数_バス貨物_CNG,係数_バス貨物_軽油,係数_バス貨物_メタノール,係数_バス貨物_LPG),MATCH(AY1920+1,【参考】排出係数!$AI$4:$AI$671,1)-1,5,BE1920),3,FALSE),IF(OR(AW1920=1,AW1920=2),VLOOKUP(AU1920,INDEX((係数_乗用_ガソリン,係数_乗用_CNG,係数_乗用_軽油,係数_乗用_メタノール,係数_乗用_LPG),1,1,BE1920):INDEX((係数_乗用_ガソリン,係数_乗用_CNG,係数_乗用_軽油,係数_乗用_メタノール,係数_乗用_LPG),125,5,BE1920),3,FALSE))))))</f>
        <v/>
      </c>
      <c r="BC1920" s="467" t="str">
        <f t="shared" si="1128"/>
        <v/>
      </c>
      <c r="BD1920" s="567" t="str">
        <f t="shared" si="1129"/>
        <v/>
      </c>
      <c r="BE1920" s="467" t="str">
        <f t="shared" si="1130"/>
        <v/>
      </c>
      <c r="BF1920" s="469" t="str">
        <f t="shared" ca="1" si="1131"/>
        <v/>
      </c>
      <c r="BG1920" s="469" t="str">
        <f t="shared" ca="1" si="1132"/>
        <v/>
      </c>
      <c r="BH1920" s="467" t="str">
        <f t="shared" si="1133"/>
        <v/>
      </c>
      <c r="BI1920" s="467" t="str">
        <f t="shared" ca="1" si="1134"/>
        <v/>
      </c>
      <c r="BJ1920" s="469" t="str">
        <f t="shared" si="1135"/>
        <v/>
      </c>
      <c r="BK1920" s="470" t="str">
        <f t="shared" si="1119"/>
        <v/>
      </c>
      <c r="BL1920" s="775" t="str">
        <f t="shared" si="1136"/>
        <v/>
      </c>
      <c r="BM1920" s="775" t="str">
        <f t="shared" si="1137"/>
        <v/>
      </c>
    </row>
    <row r="1921" spans="1:65">
      <c r="A1921" s="473">
        <v>1865</v>
      </c>
      <c r="B1921" s="132"/>
      <c r="C1921" s="332"/>
      <c r="D1921" s="333"/>
      <c r="E1921" s="333"/>
      <c r="F1921" s="334"/>
      <c r="G1921" s="337"/>
      <c r="H1921" s="131"/>
      <c r="I1921" s="337"/>
      <c r="J1921" s="131"/>
      <c r="K1921" s="458" t="str">
        <f t="shared" si="1100"/>
        <v/>
      </c>
      <c r="L1921" s="458">
        <f t="shared" si="1101"/>
        <v>0</v>
      </c>
      <c r="M1921" s="458">
        <f t="shared" si="1102"/>
        <v>0</v>
      </c>
      <c r="N1921" s="459" t="str">
        <f t="shared" si="1113"/>
        <v/>
      </c>
      <c r="O1921" s="459" t="str">
        <f t="shared" si="1114"/>
        <v/>
      </c>
      <c r="P1921" s="459" t="str">
        <f t="shared" si="1115"/>
        <v/>
      </c>
      <c r="Q1921" s="459" t="str">
        <f t="shared" si="1116"/>
        <v/>
      </c>
      <c r="R1921" s="459" t="str">
        <f t="shared" si="1117"/>
        <v/>
      </c>
      <c r="S1921" s="459" t="str">
        <f t="shared" si="1118"/>
        <v/>
      </c>
      <c r="T1921" s="566" t="str">
        <f t="shared" si="1103"/>
        <v/>
      </c>
      <c r="U1921" s="702"/>
      <c r="V1921" s="132"/>
      <c r="W1921" s="133"/>
      <c r="X1921" s="134"/>
      <c r="Y1921" s="135"/>
      <c r="Z1921" s="137"/>
      <c r="AA1921" s="136"/>
      <c r="AB1921" s="566" t="str">
        <f t="shared" si="1104"/>
        <v/>
      </c>
      <c r="AC1921" s="568" t="str">
        <f t="shared" si="1105"/>
        <v/>
      </c>
      <c r="AD1921" s="137"/>
      <c r="AE1921" s="137"/>
      <c r="AF1921" s="138"/>
      <c r="AG1921" s="138"/>
      <c r="AH1921" s="592" t="str">
        <f t="shared" si="1106"/>
        <v/>
      </c>
      <c r="AI1921" s="592" t="str">
        <f t="shared" si="1107"/>
        <v/>
      </c>
      <c r="AJ1921" s="592" t="str">
        <f t="shared" si="1108"/>
        <v/>
      </c>
      <c r="AK1921" s="460" t="str">
        <f>IF(AU1921="","",IF(OR(AZ1921=8,AZ1921=9),0,IF(OR(AW1921=3,AW1921=4,AW1921=5,AW1921=6),IF(LEFT(BF1921,1)="1",INDEX(係数_NOX・PM低減,MATCH(AY1921,【参考】排出係数!$AI$801:$AI$804,1),1),VLOOKUP(AU1921,INDEX((係数_バス貨物_ガソリン,係数_バス貨物_CNG,係数_バス貨物_軽油,係数_バス貨物_メタノール,係数_バス貨物_LPG),MATCH(AY1921,【参考】排出係数!$AI$4:$AI$671,1),1,BE1921):INDEX((係数_バス貨物_ガソリン,係数_バス貨物_CNG,係数_バス貨物_軽油,係数_バス貨物_メタノール,係数_バス貨物_LPG),MATCH(AY1921+1,【参考】排出係数!$AI$4:$AI$671,1)-1,5,BE1921),4,FALSE)),IF(AND(BE1921=3,LEFT(BF1921,1)="1"),0.48,VLOOKUP(AU1921,INDEX((係数_乗用_ガソリン,係数_乗用_CNG,係数_乗用_軽油,係数_乗用_メタノール,係数_乗用_LPG),1,1,BE1921):INDEX((係数_乗用_ガソリン,係数_乗用_CNG,係数_乗用_軽油,係数_乗用_メタノール,係数_乗用_LPG),125,5,BE1921),4,FALSE)))))</f>
        <v/>
      </c>
      <c r="AL1921" s="461" t="str">
        <f t="shared" si="1109"/>
        <v/>
      </c>
      <c r="AM1921" s="460" t="str">
        <f>IF(AU1921="","",IF(OR(AZ1921=8,AZ1921=9),0,IF(OR(AW1921=3,AW1921=4,AW1921=5,AW1921=6),IF(LEFT(BH1921,1)="1",INDEX(係数_PM低減,MATCH(AY1921,【参考】排出係数!$AI$801:$AI$804,1),MATCH(BI1921,【参考】排出係数!$AL$798:$AO$798,1)),VLOOKUP(AU1921,INDEX((係数_バス貨物_ガソリン,係数_バス貨物_CNG,係数_バス貨物_軽油,係数_バス貨物_メタノール,係数_バス貨物_LPG),MATCH(AY1921,【参考】排出係数!$AI$4:$AI$671,1),1,BE1921):INDEX((係数_バス貨物_ガソリン,係数_バス貨物_CNG,係数_バス貨物_軽油,係数_バス貨物_メタノール,係数_バス貨物_LPG),MATCH(AY1921+1,【参考】排出係数!$AI$4:$AI$671,1)-1,5,BE1921),5,FALSE)),IF(AND(BE1921=3,LEFT(BF1921,1)="1"),0.055,VLOOKUP(AU1921,INDEX((係数_乗用_ガソリン,係数_乗用_CNG,係数_乗用_軽油,係数_乗用_メタノール,係数_乗用_LPG),1,1,BE1921):INDEX((係数_乗用_ガソリン,係数_乗用_CNG,係数_乗用_軽油,係数_乗用_メタノール,係数_乗用_LPG),125,5,BE1921),5,FALSE)))))</f>
        <v/>
      </c>
      <c r="AN1921" s="461" t="str">
        <f t="shared" si="1110"/>
        <v/>
      </c>
      <c r="AO1921" s="462" t="str">
        <f t="shared" si="1111"/>
        <v/>
      </c>
      <c r="AP1921" s="463" t="str">
        <f t="shared" si="1112"/>
        <v/>
      </c>
      <c r="AQ1921" s="464"/>
      <c r="AR1921" s="619"/>
      <c r="AS1921" s="465" t="str">
        <f t="shared" si="1120"/>
        <v/>
      </c>
      <c r="AT1921" s="465" t="str">
        <f t="shared" si="1121"/>
        <v/>
      </c>
      <c r="AU1921" s="466" t="str">
        <f t="shared" si="1122"/>
        <v/>
      </c>
      <c r="AV1921" s="467" t="str">
        <f t="shared" si="1123"/>
        <v/>
      </c>
      <c r="AW1921" s="467" t="str">
        <f t="shared" si="1124"/>
        <v/>
      </c>
      <c r="AX1921" s="467" t="str">
        <f t="shared" si="1125"/>
        <v/>
      </c>
      <c r="AY1921" s="467" t="str">
        <f t="shared" si="1126"/>
        <v/>
      </c>
      <c r="AZ1921" s="467" t="str">
        <f t="shared" si="1127"/>
        <v/>
      </c>
      <c r="BA1921" s="468" t="str">
        <f>IF(AS1921="","",IF(OR(AU1921="",AU1921="-"),"－",IF(OR(AZ1921=8,AZ1921=9),"",IF(OR(AW1921=3,AW1921=4,AW1921=5,AW1921=6),VLOOKUP(AU1921,INDEX((係数_バス貨物_ガソリン,係数_バス貨物_CNG,係数_バス貨物_軽油,係数_バス貨物_メタノール,係数_バス貨物_LPG),MATCH(AY1921,【参考】排出係数!$AI$4:$AI$671,1),1,BE1921):INDEX((係数_バス貨物_ガソリン,係数_バス貨物_CNG,係数_バス貨物_軽油,係数_バス貨物_メタノール,係数_バス貨物_LPG),MATCH(AY1921+1,【参考】排出係数!$AI$4:$AI$671,1)-1,5,BE1921),2,FALSE),IF(OR(AW1921=1,AW1921=2),VLOOKUP(AU1921,INDEX((係数_乗用_ガソリン,係数_乗用_CNG,係数_乗用_軽油,係数_乗用_メタノール,係数_乗用_LPG),1,1,BE1921):INDEX((係数_乗用_ガソリン,係数_乗用_CNG,係数_乗用_軽油,係数_乗用_メタノール,係数_乗用_LPG),125,5,BE1921),2,FALSE))))))</f>
        <v/>
      </c>
      <c r="BB1921" s="468" t="str">
        <f>IF(T1921="","",IF(OR(AU1921="",AU1921="-"),"－",IF(OR(AZ1921=8,AZ1921=9),"",IF(OR(AW1921=3,AW1921=4,AW1921=5,AW1921=6),VLOOKUP(AU1921,INDEX((係数_バス貨物_ガソリン,係数_バス貨物_CNG,係数_バス貨物_軽油,係数_バス貨物_メタノール,係数_バス貨物_LPG),MATCH(AY1921,【参考】排出係数!$AI$4:$AI$671,1),1,BE1921):INDEX((係数_バス貨物_ガソリン,係数_バス貨物_CNG,係数_バス貨物_軽油,係数_バス貨物_メタノール,係数_バス貨物_LPG),MATCH(AY1921+1,【参考】排出係数!$AI$4:$AI$671,1)-1,5,BE1921),3,FALSE),IF(OR(AW1921=1,AW1921=2),VLOOKUP(AU1921,INDEX((係数_乗用_ガソリン,係数_乗用_CNG,係数_乗用_軽油,係数_乗用_メタノール,係数_乗用_LPG),1,1,BE1921):INDEX((係数_乗用_ガソリン,係数_乗用_CNG,係数_乗用_軽油,係数_乗用_メタノール,係数_乗用_LPG),125,5,BE1921),3,FALSE))))))</f>
        <v/>
      </c>
      <c r="BC1921" s="467" t="str">
        <f t="shared" si="1128"/>
        <v/>
      </c>
      <c r="BD1921" s="567" t="str">
        <f t="shared" si="1129"/>
        <v/>
      </c>
      <c r="BE1921" s="467" t="str">
        <f t="shared" si="1130"/>
        <v/>
      </c>
      <c r="BF1921" s="469" t="str">
        <f t="shared" ca="1" si="1131"/>
        <v/>
      </c>
      <c r="BG1921" s="469" t="str">
        <f t="shared" ca="1" si="1132"/>
        <v/>
      </c>
      <c r="BH1921" s="467" t="str">
        <f t="shared" si="1133"/>
        <v/>
      </c>
      <c r="BI1921" s="467" t="str">
        <f t="shared" ca="1" si="1134"/>
        <v/>
      </c>
      <c r="BJ1921" s="469" t="str">
        <f t="shared" si="1135"/>
        <v/>
      </c>
      <c r="BK1921" s="470" t="str">
        <f t="shared" si="1119"/>
        <v/>
      </c>
      <c r="BL1921" s="775" t="str">
        <f t="shared" si="1136"/>
        <v/>
      </c>
      <c r="BM1921" s="775" t="str">
        <f t="shared" si="1137"/>
        <v/>
      </c>
    </row>
    <row r="1922" spans="1:65">
      <c r="A1922" s="473">
        <v>1866</v>
      </c>
      <c r="B1922" s="132"/>
      <c r="C1922" s="332"/>
      <c r="D1922" s="333"/>
      <c r="E1922" s="333"/>
      <c r="F1922" s="334"/>
      <c r="G1922" s="337"/>
      <c r="H1922" s="131"/>
      <c r="I1922" s="337"/>
      <c r="J1922" s="131"/>
      <c r="K1922" s="458" t="str">
        <f t="shared" si="1100"/>
        <v/>
      </c>
      <c r="L1922" s="458">
        <f t="shared" si="1101"/>
        <v>0</v>
      </c>
      <c r="M1922" s="458">
        <f t="shared" si="1102"/>
        <v>0</v>
      </c>
      <c r="N1922" s="459" t="str">
        <f t="shared" si="1113"/>
        <v/>
      </c>
      <c r="O1922" s="459" t="str">
        <f t="shared" si="1114"/>
        <v/>
      </c>
      <c r="P1922" s="459" t="str">
        <f t="shared" si="1115"/>
        <v/>
      </c>
      <c r="Q1922" s="459" t="str">
        <f t="shared" si="1116"/>
        <v/>
      </c>
      <c r="R1922" s="459" t="str">
        <f t="shared" si="1117"/>
        <v/>
      </c>
      <c r="S1922" s="459" t="str">
        <f t="shared" si="1118"/>
        <v/>
      </c>
      <c r="T1922" s="566" t="str">
        <f t="shared" si="1103"/>
        <v/>
      </c>
      <c r="U1922" s="702"/>
      <c r="V1922" s="132"/>
      <c r="W1922" s="133"/>
      <c r="X1922" s="134"/>
      <c r="Y1922" s="135"/>
      <c r="Z1922" s="137"/>
      <c r="AA1922" s="136"/>
      <c r="AB1922" s="566" t="str">
        <f t="shared" si="1104"/>
        <v/>
      </c>
      <c r="AC1922" s="568" t="str">
        <f t="shared" si="1105"/>
        <v/>
      </c>
      <c r="AD1922" s="137"/>
      <c r="AE1922" s="137"/>
      <c r="AF1922" s="138"/>
      <c r="AG1922" s="138"/>
      <c r="AH1922" s="592" t="str">
        <f t="shared" si="1106"/>
        <v/>
      </c>
      <c r="AI1922" s="592" t="str">
        <f t="shared" si="1107"/>
        <v/>
      </c>
      <c r="AJ1922" s="592" t="str">
        <f t="shared" si="1108"/>
        <v/>
      </c>
      <c r="AK1922" s="460" t="str">
        <f>IF(AU1922="","",IF(OR(AZ1922=8,AZ1922=9),0,IF(OR(AW1922=3,AW1922=4,AW1922=5,AW1922=6),IF(LEFT(BF1922,1)="1",INDEX(係数_NOX・PM低減,MATCH(AY1922,【参考】排出係数!$AI$801:$AI$804,1),1),VLOOKUP(AU1922,INDEX((係数_バス貨物_ガソリン,係数_バス貨物_CNG,係数_バス貨物_軽油,係数_バス貨物_メタノール,係数_バス貨物_LPG),MATCH(AY1922,【参考】排出係数!$AI$4:$AI$671,1),1,BE1922):INDEX((係数_バス貨物_ガソリン,係数_バス貨物_CNG,係数_バス貨物_軽油,係数_バス貨物_メタノール,係数_バス貨物_LPG),MATCH(AY1922+1,【参考】排出係数!$AI$4:$AI$671,1)-1,5,BE1922),4,FALSE)),IF(AND(BE1922=3,LEFT(BF1922,1)="1"),0.48,VLOOKUP(AU1922,INDEX((係数_乗用_ガソリン,係数_乗用_CNG,係数_乗用_軽油,係数_乗用_メタノール,係数_乗用_LPG),1,1,BE1922):INDEX((係数_乗用_ガソリン,係数_乗用_CNG,係数_乗用_軽油,係数_乗用_メタノール,係数_乗用_LPG),125,5,BE1922),4,FALSE)))))</f>
        <v/>
      </c>
      <c r="AL1922" s="461" t="str">
        <f t="shared" si="1109"/>
        <v/>
      </c>
      <c r="AM1922" s="460" t="str">
        <f>IF(AU1922="","",IF(OR(AZ1922=8,AZ1922=9),0,IF(OR(AW1922=3,AW1922=4,AW1922=5,AW1922=6),IF(LEFT(BH1922,1)="1",INDEX(係数_PM低減,MATCH(AY1922,【参考】排出係数!$AI$801:$AI$804,1),MATCH(BI1922,【参考】排出係数!$AL$798:$AO$798,1)),VLOOKUP(AU1922,INDEX((係数_バス貨物_ガソリン,係数_バス貨物_CNG,係数_バス貨物_軽油,係数_バス貨物_メタノール,係数_バス貨物_LPG),MATCH(AY1922,【参考】排出係数!$AI$4:$AI$671,1),1,BE1922):INDEX((係数_バス貨物_ガソリン,係数_バス貨物_CNG,係数_バス貨物_軽油,係数_バス貨物_メタノール,係数_バス貨物_LPG),MATCH(AY1922+1,【参考】排出係数!$AI$4:$AI$671,1)-1,5,BE1922),5,FALSE)),IF(AND(BE1922=3,LEFT(BF1922,1)="1"),0.055,VLOOKUP(AU1922,INDEX((係数_乗用_ガソリン,係数_乗用_CNG,係数_乗用_軽油,係数_乗用_メタノール,係数_乗用_LPG),1,1,BE1922):INDEX((係数_乗用_ガソリン,係数_乗用_CNG,係数_乗用_軽油,係数_乗用_メタノール,係数_乗用_LPG),125,5,BE1922),5,FALSE)))))</f>
        <v/>
      </c>
      <c r="AN1922" s="461" t="str">
        <f t="shared" si="1110"/>
        <v/>
      </c>
      <c r="AO1922" s="462" t="str">
        <f t="shared" si="1111"/>
        <v/>
      </c>
      <c r="AP1922" s="463" t="str">
        <f t="shared" si="1112"/>
        <v/>
      </c>
      <c r="AQ1922" s="464"/>
      <c r="AR1922" s="619"/>
      <c r="AS1922" s="465" t="str">
        <f t="shared" si="1120"/>
        <v/>
      </c>
      <c r="AT1922" s="465" t="str">
        <f t="shared" si="1121"/>
        <v/>
      </c>
      <c r="AU1922" s="466" t="str">
        <f t="shared" si="1122"/>
        <v/>
      </c>
      <c r="AV1922" s="467" t="str">
        <f t="shared" si="1123"/>
        <v/>
      </c>
      <c r="AW1922" s="467" t="str">
        <f t="shared" si="1124"/>
        <v/>
      </c>
      <c r="AX1922" s="467" t="str">
        <f t="shared" si="1125"/>
        <v/>
      </c>
      <c r="AY1922" s="467" t="str">
        <f t="shared" si="1126"/>
        <v/>
      </c>
      <c r="AZ1922" s="467" t="str">
        <f t="shared" si="1127"/>
        <v/>
      </c>
      <c r="BA1922" s="468" t="str">
        <f>IF(AS1922="","",IF(OR(AU1922="",AU1922="-"),"－",IF(OR(AZ1922=8,AZ1922=9),"",IF(OR(AW1922=3,AW1922=4,AW1922=5,AW1922=6),VLOOKUP(AU1922,INDEX((係数_バス貨物_ガソリン,係数_バス貨物_CNG,係数_バス貨物_軽油,係数_バス貨物_メタノール,係数_バス貨物_LPG),MATCH(AY1922,【参考】排出係数!$AI$4:$AI$671,1),1,BE1922):INDEX((係数_バス貨物_ガソリン,係数_バス貨物_CNG,係数_バス貨物_軽油,係数_バス貨物_メタノール,係数_バス貨物_LPG),MATCH(AY1922+1,【参考】排出係数!$AI$4:$AI$671,1)-1,5,BE1922),2,FALSE),IF(OR(AW1922=1,AW1922=2),VLOOKUP(AU1922,INDEX((係数_乗用_ガソリン,係数_乗用_CNG,係数_乗用_軽油,係数_乗用_メタノール,係数_乗用_LPG),1,1,BE1922):INDEX((係数_乗用_ガソリン,係数_乗用_CNG,係数_乗用_軽油,係数_乗用_メタノール,係数_乗用_LPG),125,5,BE1922),2,FALSE))))))</f>
        <v/>
      </c>
      <c r="BB1922" s="468" t="str">
        <f>IF(T1922="","",IF(OR(AU1922="",AU1922="-"),"－",IF(OR(AZ1922=8,AZ1922=9),"",IF(OR(AW1922=3,AW1922=4,AW1922=5,AW1922=6),VLOOKUP(AU1922,INDEX((係数_バス貨物_ガソリン,係数_バス貨物_CNG,係数_バス貨物_軽油,係数_バス貨物_メタノール,係数_バス貨物_LPG),MATCH(AY1922,【参考】排出係数!$AI$4:$AI$671,1),1,BE1922):INDEX((係数_バス貨物_ガソリン,係数_バス貨物_CNG,係数_バス貨物_軽油,係数_バス貨物_メタノール,係数_バス貨物_LPG),MATCH(AY1922+1,【参考】排出係数!$AI$4:$AI$671,1)-1,5,BE1922),3,FALSE),IF(OR(AW1922=1,AW1922=2),VLOOKUP(AU1922,INDEX((係数_乗用_ガソリン,係数_乗用_CNG,係数_乗用_軽油,係数_乗用_メタノール,係数_乗用_LPG),1,1,BE1922):INDEX((係数_乗用_ガソリン,係数_乗用_CNG,係数_乗用_軽油,係数_乗用_メタノール,係数_乗用_LPG),125,5,BE1922),3,FALSE))))))</f>
        <v/>
      </c>
      <c r="BC1922" s="467" t="str">
        <f t="shared" si="1128"/>
        <v/>
      </c>
      <c r="BD1922" s="567" t="str">
        <f t="shared" si="1129"/>
        <v/>
      </c>
      <c r="BE1922" s="467" t="str">
        <f t="shared" si="1130"/>
        <v/>
      </c>
      <c r="BF1922" s="469" t="str">
        <f t="shared" ca="1" si="1131"/>
        <v/>
      </c>
      <c r="BG1922" s="469" t="str">
        <f t="shared" ca="1" si="1132"/>
        <v/>
      </c>
      <c r="BH1922" s="467" t="str">
        <f t="shared" si="1133"/>
        <v/>
      </c>
      <c r="BI1922" s="467" t="str">
        <f t="shared" ca="1" si="1134"/>
        <v/>
      </c>
      <c r="BJ1922" s="469" t="str">
        <f t="shared" si="1135"/>
        <v/>
      </c>
      <c r="BK1922" s="470" t="str">
        <f t="shared" si="1119"/>
        <v/>
      </c>
      <c r="BL1922" s="775" t="str">
        <f t="shared" si="1136"/>
        <v/>
      </c>
      <c r="BM1922" s="775" t="str">
        <f t="shared" si="1137"/>
        <v/>
      </c>
    </row>
    <row r="1923" spans="1:65">
      <c r="A1923" s="473">
        <v>1867</v>
      </c>
      <c r="B1923" s="132"/>
      <c r="C1923" s="332"/>
      <c r="D1923" s="333"/>
      <c r="E1923" s="333"/>
      <c r="F1923" s="334"/>
      <c r="G1923" s="337"/>
      <c r="H1923" s="131"/>
      <c r="I1923" s="337"/>
      <c r="J1923" s="131"/>
      <c r="K1923" s="458" t="str">
        <f t="shared" si="1100"/>
        <v/>
      </c>
      <c r="L1923" s="458">
        <f t="shared" si="1101"/>
        <v>0</v>
      </c>
      <c r="M1923" s="458">
        <f t="shared" si="1102"/>
        <v>0</v>
      </c>
      <c r="N1923" s="459" t="str">
        <f t="shared" si="1113"/>
        <v/>
      </c>
      <c r="O1923" s="459" t="str">
        <f t="shared" si="1114"/>
        <v/>
      </c>
      <c r="P1923" s="459" t="str">
        <f t="shared" si="1115"/>
        <v/>
      </c>
      <c r="Q1923" s="459" t="str">
        <f t="shared" si="1116"/>
        <v/>
      </c>
      <c r="R1923" s="459" t="str">
        <f t="shared" si="1117"/>
        <v/>
      </c>
      <c r="S1923" s="459" t="str">
        <f t="shared" si="1118"/>
        <v/>
      </c>
      <c r="T1923" s="566" t="str">
        <f t="shared" si="1103"/>
        <v/>
      </c>
      <c r="U1923" s="702"/>
      <c r="V1923" s="132"/>
      <c r="W1923" s="133"/>
      <c r="X1923" s="134"/>
      <c r="Y1923" s="135"/>
      <c r="Z1923" s="137"/>
      <c r="AA1923" s="136"/>
      <c r="AB1923" s="566" t="str">
        <f t="shared" si="1104"/>
        <v/>
      </c>
      <c r="AC1923" s="568" t="str">
        <f t="shared" si="1105"/>
        <v/>
      </c>
      <c r="AD1923" s="137"/>
      <c r="AE1923" s="137"/>
      <c r="AF1923" s="138"/>
      <c r="AG1923" s="138"/>
      <c r="AH1923" s="592" t="str">
        <f t="shared" si="1106"/>
        <v/>
      </c>
      <c r="AI1923" s="592" t="str">
        <f t="shared" si="1107"/>
        <v/>
      </c>
      <c r="AJ1923" s="592" t="str">
        <f t="shared" si="1108"/>
        <v/>
      </c>
      <c r="AK1923" s="460" t="str">
        <f>IF(AU1923="","",IF(OR(AZ1923=8,AZ1923=9),0,IF(OR(AW1923=3,AW1923=4,AW1923=5,AW1923=6),IF(LEFT(BF1923,1)="1",INDEX(係数_NOX・PM低減,MATCH(AY1923,【参考】排出係数!$AI$801:$AI$804,1),1),VLOOKUP(AU1923,INDEX((係数_バス貨物_ガソリン,係数_バス貨物_CNG,係数_バス貨物_軽油,係数_バス貨物_メタノール,係数_バス貨物_LPG),MATCH(AY1923,【参考】排出係数!$AI$4:$AI$671,1),1,BE1923):INDEX((係数_バス貨物_ガソリン,係数_バス貨物_CNG,係数_バス貨物_軽油,係数_バス貨物_メタノール,係数_バス貨物_LPG),MATCH(AY1923+1,【参考】排出係数!$AI$4:$AI$671,1)-1,5,BE1923),4,FALSE)),IF(AND(BE1923=3,LEFT(BF1923,1)="1"),0.48,VLOOKUP(AU1923,INDEX((係数_乗用_ガソリン,係数_乗用_CNG,係数_乗用_軽油,係数_乗用_メタノール,係数_乗用_LPG),1,1,BE1923):INDEX((係数_乗用_ガソリン,係数_乗用_CNG,係数_乗用_軽油,係数_乗用_メタノール,係数_乗用_LPG),125,5,BE1923),4,FALSE)))))</f>
        <v/>
      </c>
      <c r="AL1923" s="461" t="str">
        <f t="shared" si="1109"/>
        <v/>
      </c>
      <c r="AM1923" s="460" t="str">
        <f>IF(AU1923="","",IF(OR(AZ1923=8,AZ1923=9),0,IF(OR(AW1923=3,AW1923=4,AW1923=5,AW1923=6),IF(LEFT(BH1923,1)="1",INDEX(係数_PM低減,MATCH(AY1923,【参考】排出係数!$AI$801:$AI$804,1),MATCH(BI1923,【参考】排出係数!$AL$798:$AO$798,1)),VLOOKUP(AU1923,INDEX((係数_バス貨物_ガソリン,係数_バス貨物_CNG,係数_バス貨物_軽油,係数_バス貨物_メタノール,係数_バス貨物_LPG),MATCH(AY1923,【参考】排出係数!$AI$4:$AI$671,1),1,BE1923):INDEX((係数_バス貨物_ガソリン,係数_バス貨物_CNG,係数_バス貨物_軽油,係数_バス貨物_メタノール,係数_バス貨物_LPG),MATCH(AY1923+1,【参考】排出係数!$AI$4:$AI$671,1)-1,5,BE1923),5,FALSE)),IF(AND(BE1923=3,LEFT(BF1923,1)="1"),0.055,VLOOKUP(AU1923,INDEX((係数_乗用_ガソリン,係数_乗用_CNG,係数_乗用_軽油,係数_乗用_メタノール,係数_乗用_LPG),1,1,BE1923):INDEX((係数_乗用_ガソリン,係数_乗用_CNG,係数_乗用_軽油,係数_乗用_メタノール,係数_乗用_LPG),125,5,BE1923),5,FALSE)))))</f>
        <v/>
      </c>
      <c r="AN1923" s="461" t="str">
        <f t="shared" si="1110"/>
        <v/>
      </c>
      <c r="AO1923" s="462" t="str">
        <f t="shared" si="1111"/>
        <v/>
      </c>
      <c r="AP1923" s="463" t="str">
        <f t="shared" si="1112"/>
        <v/>
      </c>
      <c r="AQ1923" s="464"/>
      <c r="AR1923" s="619"/>
      <c r="AS1923" s="465" t="str">
        <f t="shared" si="1120"/>
        <v/>
      </c>
      <c r="AT1923" s="465" t="str">
        <f t="shared" si="1121"/>
        <v/>
      </c>
      <c r="AU1923" s="466" t="str">
        <f t="shared" si="1122"/>
        <v/>
      </c>
      <c r="AV1923" s="467" t="str">
        <f t="shared" si="1123"/>
        <v/>
      </c>
      <c r="AW1923" s="467" t="str">
        <f t="shared" si="1124"/>
        <v/>
      </c>
      <c r="AX1923" s="467" t="str">
        <f t="shared" si="1125"/>
        <v/>
      </c>
      <c r="AY1923" s="467" t="str">
        <f t="shared" si="1126"/>
        <v/>
      </c>
      <c r="AZ1923" s="467" t="str">
        <f t="shared" si="1127"/>
        <v/>
      </c>
      <c r="BA1923" s="468" t="str">
        <f>IF(AS1923="","",IF(OR(AU1923="",AU1923="-"),"－",IF(OR(AZ1923=8,AZ1923=9),"",IF(OR(AW1923=3,AW1923=4,AW1923=5,AW1923=6),VLOOKUP(AU1923,INDEX((係数_バス貨物_ガソリン,係数_バス貨物_CNG,係数_バス貨物_軽油,係数_バス貨物_メタノール,係数_バス貨物_LPG),MATCH(AY1923,【参考】排出係数!$AI$4:$AI$671,1),1,BE1923):INDEX((係数_バス貨物_ガソリン,係数_バス貨物_CNG,係数_バス貨物_軽油,係数_バス貨物_メタノール,係数_バス貨物_LPG),MATCH(AY1923+1,【参考】排出係数!$AI$4:$AI$671,1)-1,5,BE1923),2,FALSE),IF(OR(AW1923=1,AW1923=2),VLOOKUP(AU1923,INDEX((係数_乗用_ガソリン,係数_乗用_CNG,係数_乗用_軽油,係数_乗用_メタノール,係数_乗用_LPG),1,1,BE1923):INDEX((係数_乗用_ガソリン,係数_乗用_CNG,係数_乗用_軽油,係数_乗用_メタノール,係数_乗用_LPG),125,5,BE1923),2,FALSE))))))</f>
        <v/>
      </c>
      <c r="BB1923" s="468" t="str">
        <f>IF(T1923="","",IF(OR(AU1923="",AU1923="-"),"－",IF(OR(AZ1923=8,AZ1923=9),"",IF(OR(AW1923=3,AW1923=4,AW1923=5,AW1923=6),VLOOKUP(AU1923,INDEX((係数_バス貨物_ガソリン,係数_バス貨物_CNG,係数_バス貨物_軽油,係数_バス貨物_メタノール,係数_バス貨物_LPG),MATCH(AY1923,【参考】排出係数!$AI$4:$AI$671,1),1,BE1923):INDEX((係数_バス貨物_ガソリン,係数_バス貨物_CNG,係数_バス貨物_軽油,係数_バス貨物_メタノール,係数_バス貨物_LPG),MATCH(AY1923+1,【参考】排出係数!$AI$4:$AI$671,1)-1,5,BE1923),3,FALSE),IF(OR(AW1923=1,AW1923=2),VLOOKUP(AU1923,INDEX((係数_乗用_ガソリン,係数_乗用_CNG,係数_乗用_軽油,係数_乗用_メタノール,係数_乗用_LPG),1,1,BE1923):INDEX((係数_乗用_ガソリン,係数_乗用_CNG,係数_乗用_軽油,係数_乗用_メタノール,係数_乗用_LPG),125,5,BE1923),3,FALSE))))))</f>
        <v/>
      </c>
      <c r="BC1923" s="467" t="str">
        <f t="shared" si="1128"/>
        <v/>
      </c>
      <c r="BD1923" s="567" t="str">
        <f t="shared" si="1129"/>
        <v/>
      </c>
      <c r="BE1923" s="467" t="str">
        <f t="shared" si="1130"/>
        <v/>
      </c>
      <c r="BF1923" s="469" t="str">
        <f t="shared" ca="1" si="1131"/>
        <v/>
      </c>
      <c r="BG1923" s="469" t="str">
        <f t="shared" ca="1" si="1132"/>
        <v/>
      </c>
      <c r="BH1923" s="467" t="str">
        <f t="shared" si="1133"/>
        <v/>
      </c>
      <c r="BI1923" s="467" t="str">
        <f t="shared" ca="1" si="1134"/>
        <v/>
      </c>
      <c r="BJ1923" s="469" t="str">
        <f t="shared" si="1135"/>
        <v/>
      </c>
      <c r="BK1923" s="470" t="str">
        <f t="shared" si="1119"/>
        <v/>
      </c>
      <c r="BL1923" s="775" t="str">
        <f t="shared" si="1136"/>
        <v/>
      </c>
      <c r="BM1923" s="775" t="str">
        <f t="shared" si="1137"/>
        <v/>
      </c>
    </row>
    <row r="1924" spans="1:65">
      <c r="A1924" s="473">
        <v>1868</v>
      </c>
      <c r="B1924" s="132"/>
      <c r="C1924" s="332"/>
      <c r="D1924" s="333"/>
      <c r="E1924" s="333"/>
      <c r="F1924" s="334"/>
      <c r="G1924" s="337"/>
      <c r="H1924" s="131"/>
      <c r="I1924" s="337"/>
      <c r="J1924" s="131"/>
      <c r="K1924" s="458" t="str">
        <f t="shared" si="1100"/>
        <v/>
      </c>
      <c r="L1924" s="458">
        <f t="shared" si="1101"/>
        <v>0</v>
      </c>
      <c r="M1924" s="458">
        <f t="shared" si="1102"/>
        <v>0</v>
      </c>
      <c r="N1924" s="459" t="str">
        <f t="shared" si="1113"/>
        <v/>
      </c>
      <c r="O1924" s="459" t="str">
        <f t="shared" si="1114"/>
        <v/>
      </c>
      <c r="P1924" s="459" t="str">
        <f t="shared" si="1115"/>
        <v/>
      </c>
      <c r="Q1924" s="459" t="str">
        <f t="shared" si="1116"/>
        <v/>
      </c>
      <c r="R1924" s="459" t="str">
        <f t="shared" si="1117"/>
        <v/>
      </c>
      <c r="S1924" s="459" t="str">
        <f t="shared" si="1118"/>
        <v/>
      </c>
      <c r="T1924" s="566" t="str">
        <f t="shared" si="1103"/>
        <v/>
      </c>
      <c r="U1924" s="702"/>
      <c r="V1924" s="132"/>
      <c r="W1924" s="133"/>
      <c r="X1924" s="134"/>
      <c r="Y1924" s="135"/>
      <c r="Z1924" s="137"/>
      <c r="AA1924" s="136"/>
      <c r="AB1924" s="566" t="str">
        <f t="shared" si="1104"/>
        <v/>
      </c>
      <c r="AC1924" s="568" t="str">
        <f t="shared" si="1105"/>
        <v/>
      </c>
      <c r="AD1924" s="137"/>
      <c r="AE1924" s="137"/>
      <c r="AF1924" s="138"/>
      <c r="AG1924" s="138"/>
      <c r="AH1924" s="592" t="str">
        <f t="shared" si="1106"/>
        <v/>
      </c>
      <c r="AI1924" s="592" t="str">
        <f t="shared" si="1107"/>
        <v/>
      </c>
      <c r="AJ1924" s="592" t="str">
        <f t="shared" si="1108"/>
        <v/>
      </c>
      <c r="AK1924" s="460" t="str">
        <f>IF(AU1924="","",IF(OR(AZ1924=8,AZ1924=9),0,IF(OR(AW1924=3,AW1924=4,AW1924=5,AW1924=6),IF(LEFT(BF1924,1)="1",INDEX(係数_NOX・PM低減,MATCH(AY1924,【参考】排出係数!$AI$801:$AI$804,1),1),VLOOKUP(AU1924,INDEX((係数_バス貨物_ガソリン,係数_バス貨物_CNG,係数_バス貨物_軽油,係数_バス貨物_メタノール,係数_バス貨物_LPG),MATCH(AY1924,【参考】排出係数!$AI$4:$AI$671,1),1,BE1924):INDEX((係数_バス貨物_ガソリン,係数_バス貨物_CNG,係数_バス貨物_軽油,係数_バス貨物_メタノール,係数_バス貨物_LPG),MATCH(AY1924+1,【参考】排出係数!$AI$4:$AI$671,1)-1,5,BE1924),4,FALSE)),IF(AND(BE1924=3,LEFT(BF1924,1)="1"),0.48,VLOOKUP(AU1924,INDEX((係数_乗用_ガソリン,係数_乗用_CNG,係数_乗用_軽油,係数_乗用_メタノール,係数_乗用_LPG),1,1,BE1924):INDEX((係数_乗用_ガソリン,係数_乗用_CNG,係数_乗用_軽油,係数_乗用_メタノール,係数_乗用_LPG),125,5,BE1924),4,FALSE)))))</f>
        <v/>
      </c>
      <c r="AL1924" s="461" t="str">
        <f t="shared" si="1109"/>
        <v/>
      </c>
      <c r="AM1924" s="460" t="str">
        <f>IF(AU1924="","",IF(OR(AZ1924=8,AZ1924=9),0,IF(OR(AW1924=3,AW1924=4,AW1924=5,AW1924=6),IF(LEFT(BH1924,1)="1",INDEX(係数_PM低減,MATCH(AY1924,【参考】排出係数!$AI$801:$AI$804,1),MATCH(BI1924,【参考】排出係数!$AL$798:$AO$798,1)),VLOOKUP(AU1924,INDEX((係数_バス貨物_ガソリン,係数_バス貨物_CNG,係数_バス貨物_軽油,係数_バス貨物_メタノール,係数_バス貨物_LPG),MATCH(AY1924,【参考】排出係数!$AI$4:$AI$671,1),1,BE1924):INDEX((係数_バス貨物_ガソリン,係数_バス貨物_CNG,係数_バス貨物_軽油,係数_バス貨物_メタノール,係数_バス貨物_LPG),MATCH(AY1924+1,【参考】排出係数!$AI$4:$AI$671,1)-1,5,BE1924),5,FALSE)),IF(AND(BE1924=3,LEFT(BF1924,1)="1"),0.055,VLOOKUP(AU1924,INDEX((係数_乗用_ガソリン,係数_乗用_CNG,係数_乗用_軽油,係数_乗用_メタノール,係数_乗用_LPG),1,1,BE1924):INDEX((係数_乗用_ガソリン,係数_乗用_CNG,係数_乗用_軽油,係数_乗用_メタノール,係数_乗用_LPG),125,5,BE1924),5,FALSE)))))</f>
        <v/>
      </c>
      <c r="AN1924" s="461" t="str">
        <f t="shared" si="1110"/>
        <v/>
      </c>
      <c r="AO1924" s="462" t="str">
        <f t="shared" si="1111"/>
        <v/>
      </c>
      <c r="AP1924" s="463" t="str">
        <f t="shared" si="1112"/>
        <v/>
      </c>
      <c r="AQ1924" s="464"/>
      <c r="AR1924" s="619"/>
      <c r="AS1924" s="465" t="str">
        <f t="shared" si="1120"/>
        <v/>
      </c>
      <c r="AT1924" s="465" t="str">
        <f t="shared" si="1121"/>
        <v/>
      </c>
      <c r="AU1924" s="466" t="str">
        <f t="shared" si="1122"/>
        <v/>
      </c>
      <c r="AV1924" s="467" t="str">
        <f t="shared" si="1123"/>
        <v/>
      </c>
      <c r="AW1924" s="467" t="str">
        <f t="shared" si="1124"/>
        <v/>
      </c>
      <c r="AX1924" s="467" t="str">
        <f t="shared" si="1125"/>
        <v/>
      </c>
      <c r="AY1924" s="467" t="str">
        <f t="shared" si="1126"/>
        <v/>
      </c>
      <c r="AZ1924" s="467" t="str">
        <f t="shared" si="1127"/>
        <v/>
      </c>
      <c r="BA1924" s="468" t="str">
        <f>IF(AS1924="","",IF(OR(AU1924="",AU1924="-"),"－",IF(OR(AZ1924=8,AZ1924=9),"",IF(OR(AW1924=3,AW1924=4,AW1924=5,AW1924=6),VLOOKUP(AU1924,INDEX((係数_バス貨物_ガソリン,係数_バス貨物_CNG,係数_バス貨物_軽油,係数_バス貨物_メタノール,係数_バス貨物_LPG),MATCH(AY1924,【参考】排出係数!$AI$4:$AI$671,1),1,BE1924):INDEX((係数_バス貨物_ガソリン,係数_バス貨物_CNG,係数_バス貨物_軽油,係数_バス貨物_メタノール,係数_バス貨物_LPG),MATCH(AY1924+1,【参考】排出係数!$AI$4:$AI$671,1)-1,5,BE1924),2,FALSE),IF(OR(AW1924=1,AW1924=2),VLOOKUP(AU1924,INDEX((係数_乗用_ガソリン,係数_乗用_CNG,係数_乗用_軽油,係数_乗用_メタノール,係数_乗用_LPG),1,1,BE1924):INDEX((係数_乗用_ガソリン,係数_乗用_CNG,係数_乗用_軽油,係数_乗用_メタノール,係数_乗用_LPG),125,5,BE1924),2,FALSE))))))</f>
        <v/>
      </c>
      <c r="BB1924" s="468" t="str">
        <f>IF(T1924="","",IF(OR(AU1924="",AU1924="-"),"－",IF(OR(AZ1924=8,AZ1924=9),"",IF(OR(AW1924=3,AW1924=4,AW1924=5,AW1924=6),VLOOKUP(AU1924,INDEX((係数_バス貨物_ガソリン,係数_バス貨物_CNG,係数_バス貨物_軽油,係数_バス貨物_メタノール,係数_バス貨物_LPG),MATCH(AY1924,【参考】排出係数!$AI$4:$AI$671,1),1,BE1924):INDEX((係数_バス貨物_ガソリン,係数_バス貨物_CNG,係数_バス貨物_軽油,係数_バス貨物_メタノール,係数_バス貨物_LPG),MATCH(AY1924+1,【参考】排出係数!$AI$4:$AI$671,1)-1,5,BE1924),3,FALSE),IF(OR(AW1924=1,AW1924=2),VLOOKUP(AU1924,INDEX((係数_乗用_ガソリン,係数_乗用_CNG,係数_乗用_軽油,係数_乗用_メタノール,係数_乗用_LPG),1,1,BE1924):INDEX((係数_乗用_ガソリン,係数_乗用_CNG,係数_乗用_軽油,係数_乗用_メタノール,係数_乗用_LPG),125,5,BE1924),3,FALSE))))))</f>
        <v/>
      </c>
      <c r="BC1924" s="467" t="str">
        <f t="shared" si="1128"/>
        <v/>
      </c>
      <c r="BD1924" s="567" t="str">
        <f t="shared" si="1129"/>
        <v/>
      </c>
      <c r="BE1924" s="467" t="str">
        <f t="shared" si="1130"/>
        <v/>
      </c>
      <c r="BF1924" s="469" t="str">
        <f t="shared" ca="1" si="1131"/>
        <v/>
      </c>
      <c r="BG1924" s="469" t="str">
        <f t="shared" ca="1" si="1132"/>
        <v/>
      </c>
      <c r="BH1924" s="467" t="str">
        <f t="shared" si="1133"/>
        <v/>
      </c>
      <c r="BI1924" s="467" t="str">
        <f t="shared" ca="1" si="1134"/>
        <v/>
      </c>
      <c r="BJ1924" s="469" t="str">
        <f t="shared" si="1135"/>
        <v/>
      </c>
      <c r="BK1924" s="470" t="str">
        <f t="shared" si="1119"/>
        <v/>
      </c>
      <c r="BL1924" s="775" t="str">
        <f t="shared" si="1136"/>
        <v/>
      </c>
      <c r="BM1924" s="775" t="str">
        <f t="shared" si="1137"/>
        <v/>
      </c>
    </row>
    <row r="1925" spans="1:65">
      <c r="A1925" s="473">
        <v>1869</v>
      </c>
      <c r="B1925" s="132"/>
      <c r="C1925" s="332"/>
      <c r="D1925" s="333"/>
      <c r="E1925" s="333"/>
      <c r="F1925" s="334"/>
      <c r="G1925" s="337"/>
      <c r="H1925" s="131"/>
      <c r="I1925" s="337"/>
      <c r="J1925" s="131"/>
      <c r="K1925" s="458" t="str">
        <f t="shared" si="1100"/>
        <v/>
      </c>
      <c r="L1925" s="458">
        <f t="shared" si="1101"/>
        <v>0</v>
      </c>
      <c r="M1925" s="458">
        <f t="shared" si="1102"/>
        <v>0</v>
      </c>
      <c r="N1925" s="459" t="str">
        <f t="shared" si="1113"/>
        <v/>
      </c>
      <c r="O1925" s="459" t="str">
        <f t="shared" si="1114"/>
        <v/>
      </c>
      <c r="P1925" s="459" t="str">
        <f t="shared" si="1115"/>
        <v/>
      </c>
      <c r="Q1925" s="459" t="str">
        <f t="shared" si="1116"/>
        <v/>
      </c>
      <c r="R1925" s="459" t="str">
        <f t="shared" si="1117"/>
        <v/>
      </c>
      <c r="S1925" s="459" t="str">
        <f t="shared" si="1118"/>
        <v/>
      </c>
      <c r="T1925" s="566" t="str">
        <f t="shared" si="1103"/>
        <v/>
      </c>
      <c r="U1925" s="702"/>
      <c r="V1925" s="132"/>
      <c r="W1925" s="133"/>
      <c r="X1925" s="134"/>
      <c r="Y1925" s="135"/>
      <c r="Z1925" s="137"/>
      <c r="AA1925" s="136"/>
      <c r="AB1925" s="566" t="str">
        <f t="shared" si="1104"/>
        <v/>
      </c>
      <c r="AC1925" s="568" t="str">
        <f t="shared" si="1105"/>
        <v/>
      </c>
      <c r="AD1925" s="137"/>
      <c r="AE1925" s="137"/>
      <c r="AF1925" s="138"/>
      <c r="AG1925" s="138"/>
      <c r="AH1925" s="592" t="str">
        <f t="shared" si="1106"/>
        <v/>
      </c>
      <c r="AI1925" s="592" t="str">
        <f t="shared" si="1107"/>
        <v/>
      </c>
      <c r="AJ1925" s="592" t="str">
        <f t="shared" si="1108"/>
        <v/>
      </c>
      <c r="AK1925" s="460" t="str">
        <f>IF(AU1925="","",IF(OR(AZ1925=8,AZ1925=9),0,IF(OR(AW1925=3,AW1925=4,AW1925=5,AW1925=6),IF(LEFT(BF1925,1)="1",INDEX(係数_NOX・PM低減,MATCH(AY1925,【参考】排出係数!$AI$801:$AI$804,1),1),VLOOKUP(AU1925,INDEX((係数_バス貨物_ガソリン,係数_バス貨物_CNG,係数_バス貨物_軽油,係数_バス貨物_メタノール,係数_バス貨物_LPG),MATCH(AY1925,【参考】排出係数!$AI$4:$AI$671,1),1,BE1925):INDEX((係数_バス貨物_ガソリン,係数_バス貨物_CNG,係数_バス貨物_軽油,係数_バス貨物_メタノール,係数_バス貨物_LPG),MATCH(AY1925+1,【参考】排出係数!$AI$4:$AI$671,1)-1,5,BE1925),4,FALSE)),IF(AND(BE1925=3,LEFT(BF1925,1)="1"),0.48,VLOOKUP(AU1925,INDEX((係数_乗用_ガソリン,係数_乗用_CNG,係数_乗用_軽油,係数_乗用_メタノール,係数_乗用_LPG),1,1,BE1925):INDEX((係数_乗用_ガソリン,係数_乗用_CNG,係数_乗用_軽油,係数_乗用_メタノール,係数_乗用_LPG),125,5,BE1925),4,FALSE)))))</f>
        <v/>
      </c>
      <c r="AL1925" s="461" t="str">
        <f t="shared" si="1109"/>
        <v/>
      </c>
      <c r="AM1925" s="460" t="str">
        <f>IF(AU1925="","",IF(OR(AZ1925=8,AZ1925=9),0,IF(OR(AW1925=3,AW1925=4,AW1925=5,AW1925=6),IF(LEFT(BH1925,1)="1",INDEX(係数_PM低減,MATCH(AY1925,【参考】排出係数!$AI$801:$AI$804,1),MATCH(BI1925,【参考】排出係数!$AL$798:$AO$798,1)),VLOOKUP(AU1925,INDEX((係数_バス貨物_ガソリン,係数_バス貨物_CNG,係数_バス貨物_軽油,係数_バス貨物_メタノール,係数_バス貨物_LPG),MATCH(AY1925,【参考】排出係数!$AI$4:$AI$671,1),1,BE1925):INDEX((係数_バス貨物_ガソリン,係数_バス貨物_CNG,係数_バス貨物_軽油,係数_バス貨物_メタノール,係数_バス貨物_LPG),MATCH(AY1925+1,【参考】排出係数!$AI$4:$AI$671,1)-1,5,BE1925),5,FALSE)),IF(AND(BE1925=3,LEFT(BF1925,1)="1"),0.055,VLOOKUP(AU1925,INDEX((係数_乗用_ガソリン,係数_乗用_CNG,係数_乗用_軽油,係数_乗用_メタノール,係数_乗用_LPG),1,1,BE1925):INDEX((係数_乗用_ガソリン,係数_乗用_CNG,係数_乗用_軽油,係数_乗用_メタノール,係数_乗用_LPG),125,5,BE1925),5,FALSE)))))</f>
        <v/>
      </c>
      <c r="AN1925" s="461" t="str">
        <f t="shared" si="1110"/>
        <v/>
      </c>
      <c r="AO1925" s="462" t="str">
        <f t="shared" si="1111"/>
        <v/>
      </c>
      <c r="AP1925" s="463" t="str">
        <f t="shared" si="1112"/>
        <v/>
      </c>
      <c r="AQ1925" s="464"/>
      <c r="AR1925" s="619"/>
      <c r="AS1925" s="465" t="str">
        <f t="shared" si="1120"/>
        <v/>
      </c>
      <c r="AT1925" s="465" t="str">
        <f t="shared" si="1121"/>
        <v/>
      </c>
      <c r="AU1925" s="466" t="str">
        <f t="shared" si="1122"/>
        <v/>
      </c>
      <c r="AV1925" s="467" t="str">
        <f t="shared" si="1123"/>
        <v/>
      </c>
      <c r="AW1925" s="467" t="str">
        <f t="shared" si="1124"/>
        <v/>
      </c>
      <c r="AX1925" s="467" t="str">
        <f t="shared" si="1125"/>
        <v/>
      </c>
      <c r="AY1925" s="467" t="str">
        <f t="shared" si="1126"/>
        <v/>
      </c>
      <c r="AZ1925" s="467" t="str">
        <f t="shared" si="1127"/>
        <v/>
      </c>
      <c r="BA1925" s="468" t="str">
        <f>IF(AS1925="","",IF(OR(AU1925="",AU1925="-"),"－",IF(OR(AZ1925=8,AZ1925=9),"",IF(OR(AW1925=3,AW1925=4,AW1925=5,AW1925=6),VLOOKUP(AU1925,INDEX((係数_バス貨物_ガソリン,係数_バス貨物_CNG,係数_バス貨物_軽油,係数_バス貨物_メタノール,係数_バス貨物_LPG),MATCH(AY1925,【参考】排出係数!$AI$4:$AI$671,1),1,BE1925):INDEX((係数_バス貨物_ガソリン,係数_バス貨物_CNG,係数_バス貨物_軽油,係数_バス貨物_メタノール,係数_バス貨物_LPG),MATCH(AY1925+1,【参考】排出係数!$AI$4:$AI$671,1)-1,5,BE1925),2,FALSE),IF(OR(AW1925=1,AW1925=2),VLOOKUP(AU1925,INDEX((係数_乗用_ガソリン,係数_乗用_CNG,係数_乗用_軽油,係数_乗用_メタノール,係数_乗用_LPG),1,1,BE1925):INDEX((係数_乗用_ガソリン,係数_乗用_CNG,係数_乗用_軽油,係数_乗用_メタノール,係数_乗用_LPG),125,5,BE1925),2,FALSE))))))</f>
        <v/>
      </c>
      <c r="BB1925" s="468" t="str">
        <f>IF(T1925="","",IF(OR(AU1925="",AU1925="-"),"－",IF(OR(AZ1925=8,AZ1925=9),"",IF(OR(AW1925=3,AW1925=4,AW1925=5,AW1925=6),VLOOKUP(AU1925,INDEX((係数_バス貨物_ガソリン,係数_バス貨物_CNG,係数_バス貨物_軽油,係数_バス貨物_メタノール,係数_バス貨物_LPG),MATCH(AY1925,【参考】排出係数!$AI$4:$AI$671,1),1,BE1925):INDEX((係数_バス貨物_ガソリン,係数_バス貨物_CNG,係数_バス貨物_軽油,係数_バス貨物_メタノール,係数_バス貨物_LPG),MATCH(AY1925+1,【参考】排出係数!$AI$4:$AI$671,1)-1,5,BE1925),3,FALSE),IF(OR(AW1925=1,AW1925=2),VLOOKUP(AU1925,INDEX((係数_乗用_ガソリン,係数_乗用_CNG,係数_乗用_軽油,係数_乗用_メタノール,係数_乗用_LPG),1,1,BE1925):INDEX((係数_乗用_ガソリン,係数_乗用_CNG,係数_乗用_軽油,係数_乗用_メタノール,係数_乗用_LPG),125,5,BE1925),3,FALSE))))))</f>
        <v/>
      </c>
      <c r="BC1925" s="467" t="str">
        <f t="shared" si="1128"/>
        <v/>
      </c>
      <c r="BD1925" s="567" t="str">
        <f t="shared" si="1129"/>
        <v/>
      </c>
      <c r="BE1925" s="467" t="str">
        <f t="shared" si="1130"/>
        <v/>
      </c>
      <c r="BF1925" s="469" t="str">
        <f t="shared" ca="1" si="1131"/>
        <v/>
      </c>
      <c r="BG1925" s="469" t="str">
        <f t="shared" ca="1" si="1132"/>
        <v/>
      </c>
      <c r="BH1925" s="467" t="str">
        <f t="shared" si="1133"/>
        <v/>
      </c>
      <c r="BI1925" s="467" t="str">
        <f t="shared" ca="1" si="1134"/>
        <v/>
      </c>
      <c r="BJ1925" s="469" t="str">
        <f t="shared" si="1135"/>
        <v/>
      </c>
      <c r="BK1925" s="470" t="str">
        <f t="shared" si="1119"/>
        <v/>
      </c>
      <c r="BL1925" s="775" t="str">
        <f t="shared" si="1136"/>
        <v/>
      </c>
      <c r="BM1925" s="775" t="str">
        <f t="shared" si="1137"/>
        <v/>
      </c>
    </row>
    <row r="1926" spans="1:65">
      <c r="A1926" s="473">
        <v>1870</v>
      </c>
      <c r="B1926" s="132"/>
      <c r="C1926" s="332"/>
      <c r="D1926" s="333"/>
      <c r="E1926" s="333"/>
      <c r="F1926" s="334"/>
      <c r="G1926" s="337"/>
      <c r="H1926" s="131"/>
      <c r="I1926" s="337"/>
      <c r="J1926" s="131"/>
      <c r="K1926" s="458" t="str">
        <f t="shared" si="1100"/>
        <v/>
      </c>
      <c r="L1926" s="458">
        <f t="shared" si="1101"/>
        <v>0</v>
      </c>
      <c r="M1926" s="458">
        <f t="shared" si="1102"/>
        <v>0</v>
      </c>
      <c r="N1926" s="459" t="str">
        <f t="shared" si="1113"/>
        <v/>
      </c>
      <c r="O1926" s="459" t="str">
        <f t="shared" si="1114"/>
        <v/>
      </c>
      <c r="P1926" s="459" t="str">
        <f t="shared" si="1115"/>
        <v/>
      </c>
      <c r="Q1926" s="459" t="str">
        <f t="shared" si="1116"/>
        <v/>
      </c>
      <c r="R1926" s="459" t="str">
        <f t="shared" si="1117"/>
        <v/>
      </c>
      <c r="S1926" s="459" t="str">
        <f t="shared" si="1118"/>
        <v/>
      </c>
      <c r="T1926" s="566" t="str">
        <f t="shared" si="1103"/>
        <v/>
      </c>
      <c r="U1926" s="702"/>
      <c r="V1926" s="132"/>
      <c r="W1926" s="133"/>
      <c r="X1926" s="134"/>
      <c r="Y1926" s="135"/>
      <c r="Z1926" s="137"/>
      <c r="AA1926" s="136"/>
      <c r="AB1926" s="566" t="str">
        <f t="shared" si="1104"/>
        <v/>
      </c>
      <c r="AC1926" s="568" t="str">
        <f t="shared" si="1105"/>
        <v/>
      </c>
      <c r="AD1926" s="137"/>
      <c r="AE1926" s="137"/>
      <c r="AF1926" s="138"/>
      <c r="AG1926" s="138"/>
      <c r="AH1926" s="592" t="str">
        <f t="shared" si="1106"/>
        <v/>
      </c>
      <c r="AI1926" s="592" t="str">
        <f t="shared" si="1107"/>
        <v/>
      </c>
      <c r="AJ1926" s="592" t="str">
        <f t="shared" si="1108"/>
        <v/>
      </c>
      <c r="AK1926" s="460" t="str">
        <f>IF(AU1926="","",IF(OR(AZ1926=8,AZ1926=9),0,IF(OR(AW1926=3,AW1926=4,AW1926=5,AW1926=6),IF(LEFT(BF1926,1)="1",INDEX(係数_NOX・PM低減,MATCH(AY1926,【参考】排出係数!$AI$801:$AI$804,1),1),VLOOKUP(AU1926,INDEX((係数_バス貨物_ガソリン,係数_バス貨物_CNG,係数_バス貨物_軽油,係数_バス貨物_メタノール,係数_バス貨物_LPG),MATCH(AY1926,【参考】排出係数!$AI$4:$AI$671,1),1,BE1926):INDEX((係数_バス貨物_ガソリン,係数_バス貨物_CNG,係数_バス貨物_軽油,係数_バス貨物_メタノール,係数_バス貨物_LPG),MATCH(AY1926+1,【参考】排出係数!$AI$4:$AI$671,1)-1,5,BE1926),4,FALSE)),IF(AND(BE1926=3,LEFT(BF1926,1)="1"),0.48,VLOOKUP(AU1926,INDEX((係数_乗用_ガソリン,係数_乗用_CNG,係数_乗用_軽油,係数_乗用_メタノール,係数_乗用_LPG),1,1,BE1926):INDEX((係数_乗用_ガソリン,係数_乗用_CNG,係数_乗用_軽油,係数_乗用_メタノール,係数_乗用_LPG),125,5,BE1926),4,FALSE)))))</f>
        <v/>
      </c>
      <c r="AL1926" s="461" t="str">
        <f t="shared" si="1109"/>
        <v/>
      </c>
      <c r="AM1926" s="460" t="str">
        <f>IF(AU1926="","",IF(OR(AZ1926=8,AZ1926=9),0,IF(OR(AW1926=3,AW1926=4,AW1926=5,AW1926=6),IF(LEFT(BH1926,1)="1",INDEX(係数_PM低減,MATCH(AY1926,【参考】排出係数!$AI$801:$AI$804,1),MATCH(BI1926,【参考】排出係数!$AL$798:$AO$798,1)),VLOOKUP(AU1926,INDEX((係数_バス貨物_ガソリン,係数_バス貨物_CNG,係数_バス貨物_軽油,係数_バス貨物_メタノール,係数_バス貨物_LPG),MATCH(AY1926,【参考】排出係数!$AI$4:$AI$671,1),1,BE1926):INDEX((係数_バス貨物_ガソリン,係数_バス貨物_CNG,係数_バス貨物_軽油,係数_バス貨物_メタノール,係数_バス貨物_LPG),MATCH(AY1926+1,【参考】排出係数!$AI$4:$AI$671,1)-1,5,BE1926),5,FALSE)),IF(AND(BE1926=3,LEFT(BF1926,1)="1"),0.055,VLOOKUP(AU1926,INDEX((係数_乗用_ガソリン,係数_乗用_CNG,係数_乗用_軽油,係数_乗用_メタノール,係数_乗用_LPG),1,1,BE1926):INDEX((係数_乗用_ガソリン,係数_乗用_CNG,係数_乗用_軽油,係数_乗用_メタノール,係数_乗用_LPG),125,5,BE1926),5,FALSE)))))</f>
        <v/>
      </c>
      <c r="AN1926" s="461" t="str">
        <f t="shared" si="1110"/>
        <v/>
      </c>
      <c r="AO1926" s="462" t="str">
        <f t="shared" si="1111"/>
        <v/>
      </c>
      <c r="AP1926" s="463" t="str">
        <f t="shared" si="1112"/>
        <v/>
      </c>
      <c r="AQ1926" s="464"/>
      <c r="AR1926" s="619"/>
      <c r="AS1926" s="465" t="str">
        <f t="shared" si="1120"/>
        <v/>
      </c>
      <c r="AT1926" s="465" t="str">
        <f t="shared" si="1121"/>
        <v/>
      </c>
      <c r="AU1926" s="466" t="str">
        <f t="shared" si="1122"/>
        <v/>
      </c>
      <c r="AV1926" s="467" t="str">
        <f t="shared" si="1123"/>
        <v/>
      </c>
      <c r="AW1926" s="467" t="str">
        <f t="shared" si="1124"/>
        <v/>
      </c>
      <c r="AX1926" s="467" t="str">
        <f t="shared" si="1125"/>
        <v/>
      </c>
      <c r="AY1926" s="467" t="str">
        <f t="shared" si="1126"/>
        <v/>
      </c>
      <c r="AZ1926" s="467" t="str">
        <f t="shared" si="1127"/>
        <v/>
      </c>
      <c r="BA1926" s="468" t="str">
        <f>IF(AS1926="","",IF(OR(AU1926="",AU1926="-"),"－",IF(OR(AZ1926=8,AZ1926=9),"",IF(OR(AW1926=3,AW1926=4,AW1926=5,AW1926=6),VLOOKUP(AU1926,INDEX((係数_バス貨物_ガソリン,係数_バス貨物_CNG,係数_バス貨物_軽油,係数_バス貨物_メタノール,係数_バス貨物_LPG),MATCH(AY1926,【参考】排出係数!$AI$4:$AI$671,1),1,BE1926):INDEX((係数_バス貨物_ガソリン,係数_バス貨物_CNG,係数_バス貨物_軽油,係数_バス貨物_メタノール,係数_バス貨物_LPG),MATCH(AY1926+1,【参考】排出係数!$AI$4:$AI$671,1)-1,5,BE1926),2,FALSE),IF(OR(AW1926=1,AW1926=2),VLOOKUP(AU1926,INDEX((係数_乗用_ガソリン,係数_乗用_CNG,係数_乗用_軽油,係数_乗用_メタノール,係数_乗用_LPG),1,1,BE1926):INDEX((係数_乗用_ガソリン,係数_乗用_CNG,係数_乗用_軽油,係数_乗用_メタノール,係数_乗用_LPG),125,5,BE1926),2,FALSE))))))</f>
        <v/>
      </c>
      <c r="BB1926" s="468" t="str">
        <f>IF(T1926="","",IF(OR(AU1926="",AU1926="-"),"－",IF(OR(AZ1926=8,AZ1926=9),"",IF(OR(AW1926=3,AW1926=4,AW1926=5,AW1926=6),VLOOKUP(AU1926,INDEX((係数_バス貨物_ガソリン,係数_バス貨物_CNG,係数_バス貨物_軽油,係数_バス貨物_メタノール,係数_バス貨物_LPG),MATCH(AY1926,【参考】排出係数!$AI$4:$AI$671,1),1,BE1926):INDEX((係数_バス貨物_ガソリン,係数_バス貨物_CNG,係数_バス貨物_軽油,係数_バス貨物_メタノール,係数_バス貨物_LPG),MATCH(AY1926+1,【参考】排出係数!$AI$4:$AI$671,1)-1,5,BE1926),3,FALSE),IF(OR(AW1926=1,AW1926=2),VLOOKUP(AU1926,INDEX((係数_乗用_ガソリン,係数_乗用_CNG,係数_乗用_軽油,係数_乗用_メタノール,係数_乗用_LPG),1,1,BE1926):INDEX((係数_乗用_ガソリン,係数_乗用_CNG,係数_乗用_軽油,係数_乗用_メタノール,係数_乗用_LPG),125,5,BE1926),3,FALSE))))))</f>
        <v/>
      </c>
      <c r="BC1926" s="467" t="str">
        <f t="shared" si="1128"/>
        <v/>
      </c>
      <c r="BD1926" s="567" t="str">
        <f t="shared" si="1129"/>
        <v/>
      </c>
      <c r="BE1926" s="467" t="str">
        <f t="shared" si="1130"/>
        <v/>
      </c>
      <c r="BF1926" s="469" t="str">
        <f t="shared" ca="1" si="1131"/>
        <v/>
      </c>
      <c r="BG1926" s="469" t="str">
        <f t="shared" ca="1" si="1132"/>
        <v/>
      </c>
      <c r="BH1926" s="467" t="str">
        <f t="shared" si="1133"/>
        <v/>
      </c>
      <c r="BI1926" s="467" t="str">
        <f t="shared" ca="1" si="1134"/>
        <v/>
      </c>
      <c r="BJ1926" s="469" t="str">
        <f t="shared" si="1135"/>
        <v/>
      </c>
      <c r="BK1926" s="470" t="str">
        <f t="shared" si="1119"/>
        <v/>
      </c>
      <c r="BL1926" s="775" t="str">
        <f t="shared" si="1136"/>
        <v/>
      </c>
      <c r="BM1926" s="775" t="str">
        <f t="shared" si="1137"/>
        <v/>
      </c>
    </row>
    <row r="1927" spans="1:65">
      <c r="A1927" s="473">
        <v>1871</v>
      </c>
      <c r="B1927" s="132"/>
      <c r="C1927" s="332"/>
      <c r="D1927" s="333"/>
      <c r="E1927" s="333"/>
      <c r="F1927" s="334"/>
      <c r="G1927" s="337"/>
      <c r="H1927" s="131"/>
      <c r="I1927" s="337"/>
      <c r="J1927" s="131"/>
      <c r="K1927" s="458" t="str">
        <f t="shared" si="1100"/>
        <v/>
      </c>
      <c r="L1927" s="458">
        <f t="shared" si="1101"/>
        <v>0</v>
      </c>
      <c r="M1927" s="458">
        <f t="shared" si="1102"/>
        <v>0</v>
      </c>
      <c r="N1927" s="459" t="str">
        <f t="shared" si="1113"/>
        <v/>
      </c>
      <c r="O1927" s="459" t="str">
        <f t="shared" si="1114"/>
        <v/>
      </c>
      <c r="P1927" s="459" t="str">
        <f t="shared" si="1115"/>
        <v/>
      </c>
      <c r="Q1927" s="459" t="str">
        <f t="shared" si="1116"/>
        <v/>
      </c>
      <c r="R1927" s="459" t="str">
        <f t="shared" si="1117"/>
        <v/>
      </c>
      <c r="S1927" s="459" t="str">
        <f t="shared" si="1118"/>
        <v/>
      </c>
      <c r="T1927" s="566" t="str">
        <f t="shared" si="1103"/>
        <v/>
      </c>
      <c r="U1927" s="702"/>
      <c r="V1927" s="132"/>
      <c r="W1927" s="133"/>
      <c r="X1927" s="134"/>
      <c r="Y1927" s="135"/>
      <c r="Z1927" s="137"/>
      <c r="AA1927" s="136"/>
      <c r="AB1927" s="566" t="str">
        <f t="shared" si="1104"/>
        <v/>
      </c>
      <c r="AC1927" s="568" t="str">
        <f t="shared" si="1105"/>
        <v/>
      </c>
      <c r="AD1927" s="137"/>
      <c r="AE1927" s="137"/>
      <c r="AF1927" s="138"/>
      <c r="AG1927" s="138"/>
      <c r="AH1927" s="592" t="str">
        <f t="shared" si="1106"/>
        <v/>
      </c>
      <c r="AI1927" s="592" t="str">
        <f t="shared" si="1107"/>
        <v/>
      </c>
      <c r="AJ1927" s="592" t="str">
        <f t="shared" si="1108"/>
        <v/>
      </c>
      <c r="AK1927" s="460" t="str">
        <f>IF(AU1927="","",IF(OR(AZ1927=8,AZ1927=9),0,IF(OR(AW1927=3,AW1927=4,AW1927=5,AW1927=6),IF(LEFT(BF1927,1)="1",INDEX(係数_NOX・PM低減,MATCH(AY1927,【参考】排出係数!$AI$801:$AI$804,1),1),VLOOKUP(AU1927,INDEX((係数_バス貨物_ガソリン,係数_バス貨物_CNG,係数_バス貨物_軽油,係数_バス貨物_メタノール,係数_バス貨物_LPG),MATCH(AY1927,【参考】排出係数!$AI$4:$AI$671,1),1,BE1927):INDEX((係数_バス貨物_ガソリン,係数_バス貨物_CNG,係数_バス貨物_軽油,係数_バス貨物_メタノール,係数_バス貨物_LPG),MATCH(AY1927+1,【参考】排出係数!$AI$4:$AI$671,1)-1,5,BE1927),4,FALSE)),IF(AND(BE1927=3,LEFT(BF1927,1)="1"),0.48,VLOOKUP(AU1927,INDEX((係数_乗用_ガソリン,係数_乗用_CNG,係数_乗用_軽油,係数_乗用_メタノール,係数_乗用_LPG),1,1,BE1927):INDEX((係数_乗用_ガソリン,係数_乗用_CNG,係数_乗用_軽油,係数_乗用_メタノール,係数_乗用_LPG),125,5,BE1927),4,FALSE)))))</f>
        <v/>
      </c>
      <c r="AL1927" s="461" t="str">
        <f t="shared" si="1109"/>
        <v/>
      </c>
      <c r="AM1927" s="460" t="str">
        <f>IF(AU1927="","",IF(OR(AZ1927=8,AZ1927=9),0,IF(OR(AW1927=3,AW1927=4,AW1927=5,AW1927=6),IF(LEFT(BH1927,1)="1",INDEX(係数_PM低減,MATCH(AY1927,【参考】排出係数!$AI$801:$AI$804,1),MATCH(BI1927,【参考】排出係数!$AL$798:$AO$798,1)),VLOOKUP(AU1927,INDEX((係数_バス貨物_ガソリン,係数_バス貨物_CNG,係数_バス貨物_軽油,係数_バス貨物_メタノール,係数_バス貨物_LPG),MATCH(AY1927,【参考】排出係数!$AI$4:$AI$671,1),1,BE1927):INDEX((係数_バス貨物_ガソリン,係数_バス貨物_CNG,係数_バス貨物_軽油,係数_バス貨物_メタノール,係数_バス貨物_LPG),MATCH(AY1927+1,【参考】排出係数!$AI$4:$AI$671,1)-1,5,BE1927),5,FALSE)),IF(AND(BE1927=3,LEFT(BF1927,1)="1"),0.055,VLOOKUP(AU1927,INDEX((係数_乗用_ガソリン,係数_乗用_CNG,係数_乗用_軽油,係数_乗用_メタノール,係数_乗用_LPG),1,1,BE1927):INDEX((係数_乗用_ガソリン,係数_乗用_CNG,係数_乗用_軽油,係数_乗用_メタノール,係数_乗用_LPG),125,5,BE1927),5,FALSE)))))</f>
        <v/>
      </c>
      <c r="AN1927" s="461" t="str">
        <f t="shared" si="1110"/>
        <v/>
      </c>
      <c r="AO1927" s="462" t="str">
        <f t="shared" si="1111"/>
        <v/>
      </c>
      <c r="AP1927" s="463" t="str">
        <f t="shared" si="1112"/>
        <v/>
      </c>
      <c r="AQ1927" s="464"/>
      <c r="AR1927" s="619"/>
      <c r="AS1927" s="465" t="str">
        <f t="shared" si="1120"/>
        <v/>
      </c>
      <c r="AT1927" s="465" t="str">
        <f t="shared" si="1121"/>
        <v/>
      </c>
      <c r="AU1927" s="466" t="str">
        <f t="shared" si="1122"/>
        <v/>
      </c>
      <c r="AV1927" s="467" t="str">
        <f t="shared" si="1123"/>
        <v/>
      </c>
      <c r="AW1927" s="467" t="str">
        <f t="shared" si="1124"/>
        <v/>
      </c>
      <c r="AX1927" s="467" t="str">
        <f t="shared" si="1125"/>
        <v/>
      </c>
      <c r="AY1927" s="467" t="str">
        <f t="shared" si="1126"/>
        <v/>
      </c>
      <c r="AZ1927" s="467" t="str">
        <f t="shared" si="1127"/>
        <v/>
      </c>
      <c r="BA1927" s="468" t="str">
        <f>IF(AS1927="","",IF(OR(AU1927="",AU1927="-"),"－",IF(OR(AZ1927=8,AZ1927=9),"",IF(OR(AW1927=3,AW1927=4,AW1927=5,AW1927=6),VLOOKUP(AU1927,INDEX((係数_バス貨物_ガソリン,係数_バス貨物_CNG,係数_バス貨物_軽油,係数_バス貨物_メタノール,係数_バス貨物_LPG),MATCH(AY1927,【参考】排出係数!$AI$4:$AI$671,1),1,BE1927):INDEX((係数_バス貨物_ガソリン,係数_バス貨物_CNG,係数_バス貨物_軽油,係数_バス貨物_メタノール,係数_バス貨物_LPG),MATCH(AY1927+1,【参考】排出係数!$AI$4:$AI$671,1)-1,5,BE1927),2,FALSE),IF(OR(AW1927=1,AW1927=2),VLOOKUP(AU1927,INDEX((係数_乗用_ガソリン,係数_乗用_CNG,係数_乗用_軽油,係数_乗用_メタノール,係数_乗用_LPG),1,1,BE1927):INDEX((係数_乗用_ガソリン,係数_乗用_CNG,係数_乗用_軽油,係数_乗用_メタノール,係数_乗用_LPG),125,5,BE1927),2,FALSE))))))</f>
        <v/>
      </c>
      <c r="BB1927" s="468" t="str">
        <f>IF(T1927="","",IF(OR(AU1927="",AU1927="-"),"－",IF(OR(AZ1927=8,AZ1927=9),"",IF(OR(AW1927=3,AW1927=4,AW1927=5,AW1927=6),VLOOKUP(AU1927,INDEX((係数_バス貨物_ガソリン,係数_バス貨物_CNG,係数_バス貨物_軽油,係数_バス貨物_メタノール,係数_バス貨物_LPG),MATCH(AY1927,【参考】排出係数!$AI$4:$AI$671,1),1,BE1927):INDEX((係数_バス貨物_ガソリン,係数_バス貨物_CNG,係数_バス貨物_軽油,係数_バス貨物_メタノール,係数_バス貨物_LPG),MATCH(AY1927+1,【参考】排出係数!$AI$4:$AI$671,1)-1,5,BE1927),3,FALSE),IF(OR(AW1927=1,AW1927=2),VLOOKUP(AU1927,INDEX((係数_乗用_ガソリン,係数_乗用_CNG,係数_乗用_軽油,係数_乗用_メタノール,係数_乗用_LPG),1,1,BE1927):INDEX((係数_乗用_ガソリン,係数_乗用_CNG,係数_乗用_軽油,係数_乗用_メタノール,係数_乗用_LPG),125,5,BE1927),3,FALSE))))))</f>
        <v/>
      </c>
      <c r="BC1927" s="467" t="str">
        <f t="shared" si="1128"/>
        <v/>
      </c>
      <c r="BD1927" s="567" t="str">
        <f t="shared" si="1129"/>
        <v/>
      </c>
      <c r="BE1927" s="467" t="str">
        <f t="shared" si="1130"/>
        <v/>
      </c>
      <c r="BF1927" s="469" t="str">
        <f t="shared" ca="1" si="1131"/>
        <v/>
      </c>
      <c r="BG1927" s="469" t="str">
        <f t="shared" ca="1" si="1132"/>
        <v/>
      </c>
      <c r="BH1927" s="467" t="str">
        <f t="shared" si="1133"/>
        <v/>
      </c>
      <c r="BI1927" s="467" t="str">
        <f t="shared" ca="1" si="1134"/>
        <v/>
      </c>
      <c r="BJ1927" s="469" t="str">
        <f t="shared" si="1135"/>
        <v/>
      </c>
      <c r="BK1927" s="470" t="str">
        <f t="shared" si="1119"/>
        <v/>
      </c>
      <c r="BL1927" s="775" t="str">
        <f t="shared" si="1136"/>
        <v/>
      </c>
      <c r="BM1927" s="775" t="str">
        <f t="shared" si="1137"/>
        <v/>
      </c>
    </row>
    <row r="1928" spans="1:65">
      <c r="A1928" s="473">
        <v>1872</v>
      </c>
      <c r="B1928" s="132"/>
      <c r="C1928" s="332"/>
      <c r="D1928" s="333"/>
      <c r="E1928" s="333"/>
      <c r="F1928" s="334"/>
      <c r="G1928" s="337"/>
      <c r="H1928" s="131"/>
      <c r="I1928" s="337"/>
      <c r="J1928" s="131"/>
      <c r="K1928" s="458" t="str">
        <f t="shared" si="1100"/>
        <v/>
      </c>
      <c r="L1928" s="458">
        <f t="shared" si="1101"/>
        <v>0</v>
      </c>
      <c r="M1928" s="458">
        <f t="shared" si="1102"/>
        <v>0</v>
      </c>
      <c r="N1928" s="459" t="str">
        <f t="shared" si="1113"/>
        <v/>
      </c>
      <c r="O1928" s="459" t="str">
        <f t="shared" si="1114"/>
        <v/>
      </c>
      <c r="P1928" s="459" t="str">
        <f t="shared" si="1115"/>
        <v/>
      </c>
      <c r="Q1928" s="459" t="str">
        <f t="shared" si="1116"/>
        <v/>
      </c>
      <c r="R1928" s="459" t="str">
        <f t="shared" si="1117"/>
        <v/>
      </c>
      <c r="S1928" s="459" t="str">
        <f t="shared" si="1118"/>
        <v/>
      </c>
      <c r="T1928" s="566" t="str">
        <f t="shared" si="1103"/>
        <v/>
      </c>
      <c r="U1928" s="702"/>
      <c r="V1928" s="132"/>
      <c r="W1928" s="133"/>
      <c r="X1928" s="134"/>
      <c r="Y1928" s="135"/>
      <c r="Z1928" s="137"/>
      <c r="AA1928" s="136"/>
      <c r="AB1928" s="566" t="str">
        <f t="shared" si="1104"/>
        <v/>
      </c>
      <c r="AC1928" s="568" t="str">
        <f t="shared" si="1105"/>
        <v/>
      </c>
      <c r="AD1928" s="137"/>
      <c r="AE1928" s="137"/>
      <c r="AF1928" s="138"/>
      <c r="AG1928" s="138"/>
      <c r="AH1928" s="592" t="str">
        <f t="shared" si="1106"/>
        <v/>
      </c>
      <c r="AI1928" s="592" t="str">
        <f t="shared" si="1107"/>
        <v/>
      </c>
      <c r="AJ1928" s="592" t="str">
        <f t="shared" si="1108"/>
        <v/>
      </c>
      <c r="AK1928" s="460" t="str">
        <f>IF(AU1928="","",IF(OR(AZ1928=8,AZ1928=9),0,IF(OR(AW1928=3,AW1928=4,AW1928=5,AW1928=6),IF(LEFT(BF1928,1)="1",INDEX(係数_NOX・PM低減,MATCH(AY1928,【参考】排出係数!$AI$801:$AI$804,1),1),VLOOKUP(AU1928,INDEX((係数_バス貨物_ガソリン,係数_バス貨物_CNG,係数_バス貨物_軽油,係数_バス貨物_メタノール,係数_バス貨物_LPG),MATCH(AY1928,【参考】排出係数!$AI$4:$AI$671,1),1,BE1928):INDEX((係数_バス貨物_ガソリン,係数_バス貨物_CNG,係数_バス貨物_軽油,係数_バス貨物_メタノール,係数_バス貨物_LPG),MATCH(AY1928+1,【参考】排出係数!$AI$4:$AI$671,1)-1,5,BE1928),4,FALSE)),IF(AND(BE1928=3,LEFT(BF1928,1)="1"),0.48,VLOOKUP(AU1928,INDEX((係数_乗用_ガソリン,係数_乗用_CNG,係数_乗用_軽油,係数_乗用_メタノール,係数_乗用_LPG),1,1,BE1928):INDEX((係数_乗用_ガソリン,係数_乗用_CNG,係数_乗用_軽油,係数_乗用_メタノール,係数_乗用_LPG),125,5,BE1928),4,FALSE)))))</f>
        <v/>
      </c>
      <c r="AL1928" s="461" t="str">
        <f t="shared" si="1109"/>
        <v/>
      </c>
      <c r="AM1928" s="460" t="str">
        <f>IF(AU1928="","",IF(OR(AZ1928=8,AZ1928=9),0,IF(OR(AW1928=3,AW1928=4,AW1928=5,AW1928=6),IF(LEFT(BH1928,1)="1",INDEX(係数_PM低減,MATCH(AY1928,【参考】排出係数!$AI$801:$AI$804,1),MATCH(BI1928,【参考】排出係数!$AL$798:$AO$798,1)),VLOOKUP(AU1928,INDEX((係数_バス貨物_ガソリン,係数_バス貨物_CNG,係数_バス貨物_軽油,係数_バス貨物_メタノール,係数_バス貨物_LPG),MATCH(AY1928,【参考】排出係数!$AI$4:$AI$671,1),1,BE1928):INDEX((係数_バス貨物_ガソリン,係数_バス貨物_CNG,係数_バス貨物_軽油,係数_バス貨物_メタノール,係数_バス貨物_LPG),MATCH(AY1928+1,【参考】排出係数!$AI$4:$AI$671,1)-1,5,BE1928),5,FALSE)),IF(AND(BE1928=3,LEFT(BF1928,1)="1"),0.055,VLOOKUP(AU1928,INDEX((係数_乗用_ガソリン,係数_乗用_CNG,係数_乗用_軽油,係数_乗用_メタノール,係数_乗用_LPG),1,1,BE1928):INDEX((係数_乗用_ガソリン,係数_乗用_CNG,係数_乗用_軽油,係数_乗用_メタノール,係数_乗用_LPG),125,5,BE1928),5,FALSE)))))</f>
        <v/>
      </c>
      <c r="AN1928" s="461" t="str">
        <f t="shared" si="1110"/>
        <v/>
      </c>
      <c r="AO1928" s="462" t="str">
        <f t="shared" si="1111"/>
        <v/>
      </c>
      <c r="AP1928" s="463" t="str">
        <f t="shared" si="1112"/>
        <v/>
      </c>
      <c r="AQ1928" s="464"/>
      <c r="AR1928" s="619"/>
      <c r="AS1928" s="465" t="str">
        <f t="shared" si="1120"/>
        <v/>
      </c>
      <c r="AT1928" s="465" t="str">
        <f t="shared" si="1121"/>
        <v/>
      </c>
      <c r="AU1928" s="466" t="str">
        <f t="shared" si="1122"/>
        <v/>
      </c>
      <c r="AV1928" s="467" t="str">
        <f t="shared" si="1123"/>
        <v/>
      </c>
      <c r="AW1928" s="467" t="str">
        <f t="shared" si="1124"/>
        <v/>
      </c>
      <c r="AX1928" s="467" t="str">
        <f t="shared" si="1125"/>
        <v/>
      </c>
      <c r="AY1928" s="467" t="str">
        <f t="shared" si="1126"/>
        <v/>
      </c>
      <c r="AZ1928" s="467" t="str">
        <f t="shared" si="1127"/>
        <v/>
      </c>
      <c r="BA1928" s="468" t="str">
        <f>IF(AS1928="","",IF(OR(AU1928="",AU1928="-"),"－",IF(OR(AZ1928=8,AZ1928=9),"",IF(OR(AW1928=3,AW1928=4,AW1928=5,AW1928=6),VLOOKUP(AU1928,INDEX((係数_バス貨物_ガソリン,係数_バス貨物_CNG,係数_バス貨物_軽油,係数_バス貨物_メタノール,係数_バス貨物_LPG),MATCH(AY1928,【参考】排出係数!$AI$4:$AI$671,1),1,BE1928):INDEX((係数_バス貨物_ガソリン,係数_バス貨物_CNG,係数_バス貨物_軽油,係数_バス貨物_メタノール,係数_バス貨物_LPG),MATCH(AY1928+1,【参考】排出係数!$AI$4:$AI$671,1)-1,5,BE1928),2,FALSE),IF(OR(AW1928=1,AW1928=2),VLOOKUP(AU1928,INDEX((係数_乗用_ガソリン,係数_乗用_CNG,係数_乗用_軽油,係数_乗用_メタノール,係数_乗用_LPG),1,1,BE1928):INDEX((係数_乗用_ガソリン,係数_乗用_CNG,係数_乗用_軽油,係数_乗用_メタノール,係数_乗用_LPG),125,5,BE1928),2,FALSE))))))</f>
        <v/>
      </c>
      <c r="BB1928" s="468" t="str">
        <f>IF(T1928="","",IF(OR(AU1928="",AU1928="-"),"－",IF(OR(AZ1928=8,AZ1928=9),"",IF(OR(AW1928=3,AW1928=4,AW1928=5,AW1928=6),VLOOKUP(AU1928,INDEX((係数_バス貨物_ガソリン,係数_バス貨物_CNG,係数_バス貨物_軽油,係数_バス貨物_メタノール,係数_バス貨物_LPG),MATCH(AY1928,【参考】排出係数!$AI$4:$AI$671,1),1,BE1928):INDEX((係数_バス貨物_ガソリン,係数_バス貨物_CNG,係数_バス貨物_軽油,係数_バス貨物_メタノール,係数_バス貨物_LPG),MATCH(AY1928+1,【参考】排出係数!$AI$4:$AI$671,1)-1,5,BE1928),3,FALSE),IF(OR(AW1928=1,AW1928=2),VLOOKUP(AU1928,INDEX((係数_乗用_ガソリン,係数_乗用_CNG,係数_乗用_軽油,係数_乗用_メタノール,係数_乗用_LPG),1,1,BE1928):INDEX((係数_乗用_ガソリン,係数_乗用_CNG,係数_乗用_軽油,係数_乗用_メタノール,係数_乗用_LPG),125,5,BE1928),3,FALSE))))))</f>
        <v/>
      </c>
      <c r="BC1928" s="467" t="str">
        <f t="shared" si="1128"/>
        <v/>
      </c>
      <c r="BD1928" s="567" t="str">
        <f t="shared" si="1129"/>
        <v/>
      </c>
      <c r="BE1928" s="467" t="str">
        <f t="shared" si="1130"/>
        <v/>
      </c>
      <c r="BF1928" s="469" t="str">
        <f t="shared" ca="1" si="1131"/>
        <v/>
      </c>
      <c r="BG1928" s="469" t="str">
        <f t="shared" ca="1" si="1132"/>
        <v/>
      </c>
      <c r="BH1928" s="467" t="str">
        <f t="shared" si="1133"/>
        <v/>
      </c>
      <c r="BI1928" s="467" t="str">
        <f t="shared" ca="1" si="1134"/>
        <v/>
      </c>
      <c r="BJ1928" s="469" t="str">
        <f t="shared" si="1135"/>
        <v/>
      </c>
      <c r="BK1928" s="470" t="str">
        <f t="shared" si="1119"/>
        <v/>
      </c>
      <c r="BL1928" s="775" t="str">
        <f t="shared" si="1136"/>
        <v/>
      </c>
      <c r="BM1928" s="775" t="str">
        <f t="shared" si="1137"/>
        <v/>
      </c>
    </row>
    <row r="1929" spans="1:65">
      <c r="A1929" s="473">
        <v>1873</v>
      </c>
      <c r="B1929" s="132"/>
      <c r="C1929" s="332"/>
      <c r="D1929" s="333"/>
      <c r="E1929" s="333"/>
      <c r="F1929" s="334"/>
      <c r="G1929" s="337"/>
      <c r="H1929" s="131"/>
      <c r="I1929" s="337"/>
      <c r="J1929" s="131"/>
      <c r="K1929" s="458" t="str">
        <f t="shared" si="1100"/>
        <v/>
      </c>
      <c r="L1929" s="458">
        <f t="shared" si="1101"/>
        <v>0</v>
      </c>
      <c r="M1929" s="458">
        <f t="shared" si="1102"/>
        <v>0</v>
      </c>
      <c r="N1929" s="459" t="str">
        <f t="shared" si="1113"/>
        <v/>
      </c>
      <c r="O1929" s="459" t="str">
        <f t="shared" si="1114"/>
        <v/>
      </c>
      <c r="P1929" s="459" t="str">
        <f t="shared" si="1115"/>
        <v/>
      </c>
      <c r="Q1929" s="459" t="str">
        <f t="shared" si="1116"/>
        <v/>
      </c>
      <c r="R1929" s="459" t="str">
        <f t="shared" si="1117"/>
        <v/>
      </c>
      <c r="S1929" s="459" t="str">
        <f t="shared" si="1118"/>
        <v/>
      </c>
      <c r="T1929" s="566" t="str">
        <f t="shared" si="1103"/>
        <v/>
      </c>
      <c r="U1929" s="702"/>
      <c r="V1929" s="132"/>
      <c r="W1929" s="133"/>
      <c r="X1929" s="134"/>
      <c r="Y1929" s="135"/>
      <c r="Z1929" s="137"/>
      <c r="AA1929" s="136"/>
      <c r="AB1929" s="566" t="str">
        <f t="shared" si="1104"/>
        <v/>
      </c>
      <c r="AC1929" s="568" t="str">
        <f t="shared" si="1105"/>
        <v/>
      </c>
      <c r="AD1929" s="137"/>
      <c r="AE1929" s="137"/>
      <c r="AF1929" s="138"/>
      <c r="AG1929" s="138"/>
      <c r="AH1929" s="592" t="str">
        <f t="shared" si="1106"/>
        <v/>
      </c>
      <c r="AI1929" s="592" t="str">
        <f t="shared" si="1107"/>
        <v/>
      </c>
      <c r="AJ1929" s="592" t="str">
        <f t="shared" si="1108"/>
        <v/>
      </c>
      <c r="AK1929" s="460" t="str">
        <f>IF(AU1929="","",IF(OR(AZ1929=8,AZ1929=9),0,IF(OR(AW1929=3,AW1929=4,AW1929=5,AW1929=6),IF(LEFT(BF1929,1)="1",INDEX(係数_NOX・PM低減,MATCH(AY1929,【参考】排出係数!$AI$801:$AI$804,1),1),VLOOKUP(AU1929,INDEX((係数_バス貨物_ガソリン,係数_バス貨物_CNG,係数_バス貨物_軽油,係数_バス貨物_メタノール,係数_バス貨物_LPG),MATCH(AY1929,【参考】排出係数!$AI$4:$AI$671,1),1,BE1929):INDEX((係数_バス貨物_ガソリン,係数_バス貨物_CNG,係数_バス貨物_軽油,係数_バス貨物_メタノール,係数_バス貨物_LPG),MATCH(AY1929+1,【参考】排出係数!$AI$4:$AI$671,1)-1,5,BE1929),4,FALSE)),IF(AND(BE1929=3,LEFT(BF1929,1)="1"),0.48,VLOOKUP(AU1929,INDEX((係数_乗用_ガソリン,係数_乗用_CNG,係数_乗用_軽油,係数_乗用_メタノール,係数_乗用_LPG),1,1,BE1929):INDEX((係数_乗用_ガソリン,係数_乗用_CNG,係数_乗用_軽油,係数_乗用_メタノール,係数_乗用_LPG),125,5,BE1929),4,FALSE)))))</f>
        <v/>
      </c>
      <c r="AL1929" s="461" t="str">
        <f t="shared" si="1109"/>
        <v/>
      </c>
      <c r="AM1929" s="460" t="str">
        <f>IF(AU1929="","",IF(OR(AZ1929=8,AZ1929=9),0,IF(OR(AW1929=3,AW1929=4,AW1929=5,AW1929=6),IF(LEFT(BH1929,1)="1",INDEX(係数_PM低減,MATCH(AY1929,【参考】排出係数!$AI$801:$AI$804,1),MATCH(BI1929,【参考】排出係数!$AL$798:$AO$798,1)),VLOOKUP(AU1929,INDEX((係数_バス貨物_ガソリン,係数_バス貨物_CNG,係数_バス貨物_軽油,係数_バス貨物_メタノール,係数_バス貨物_LPG),MATCH(AY1929,【参考】排出係数!$AI$4:$AI$671,1),1,BE1929):INDEX((係数_バス貨物_ガソリン,係数_バス貨物_CNG,係数_バス貨物_軽油,係数_バス貨物_メタノール,係数_バス貨物_LPG),MATCH(AY1929+1,【参考】排出係数!$AI$4:$AI$671,1)-1,5,BE1929),5,FALSE)),IF(AND(BE1929=3,LEFT(BF1929,1)="1"),0.055,VLOOKUP(AU1929,INDEX((係数_乗用_ガソリン,係数_乗用_CNG,係数_乗用_軽油,係数_乗用_メタノール,係数_乗用_LPG),1,1,BE1929):INDEX((係数_乗用_ガソリン,係数_乗用_CNG,係数_乗用_軽油,係数_乗用_メタノール,係数_乗用_LPG),125,5,BE1929),5,FALSE)))))</f>
        <v/>
      </c>
      <c r="AN1929" s="461" t="str">
        <f t="shared" si="1110"/>
        <v/>
      </c>
      <c r="AO1929" s="462" t="str">
        <f t="shared" si="1111"/>
        <v/>
      </c>
      <c r="AP1929" s="463" t="str">
        <f t="shared" si="1112"/>
        <v/>
      </c>
      <c r="AQ1929" s="464"/>
      <c r="AR1929" s="619"/>
      <c r="AS1929" s="465" t="str">
        <f t="shared" si="1120"/>
        <v/>
      </c>
      <c r="AT1929" s="465" t="str">
        <f t="shared" si="1121"/>
        <v/>
      </c>
      <c r="AU1929" s="466" t="str">
        <f t="shared" si="1122"/>
        <v/>
      </c>
      <c r="AV1929" s="467" t="str">
        <f t="shared" si="1123"/>
        <v/>
      </c>
      <c r="AW1929" s="467" t="str">
        <f t="shared" si="1124"/>
        <v/>
      </c>
      <c r="AX1929" s="467" t="str">
        <f t="shared" si="1125"/>
        <v/>
      </c>
      <c r="AY1929" s="467" t="str">
        <f t="shared" si="1126"/>
        <v/>
      </c>
      <c r="AZ1929" s="467" t="str">
        <f t="shared" si="1127"/>
        <v/>
      </c>
      <c r="BA1929" s="468" t="str">
        <f>IF(AS1929="","",IF(OR(AU1929="",AU1929="-"),"－",IF(OR(AZ1929=8,AZ1929=9),"",IF(OR(AW1929=3,AW1929=4,AW1929=5,AW1929=6),VLOOKUP(AU1929,INDEX((係数_バス貨物_ガソリン,係数_バス貨物_CNG,係数_バス貨物_軽油,係数_バス貨物_メタノール,係数_バス貨物_LPG),MATCH(AY1929,【参考】排出係数!$AI$4:$AI$671,1),1,BE1929):INDEX((係数_バス貨物_ガソリン,係数_バス貨物_CNG,係数_バス貨物_軽油,係数_バス貨物_メタノール,係数_バス貨物_LPG),MATCH(AY1929+1,【参考】排出係数!$AI$4:$AI$671,1)-1,5,BE1929),2,FALSE),IF(OR(AW1929=1,AW1929=2),VLOOKUP(AU1929,INDEX((係数_乗用_ガソリン,係数_乗用_CNG,係数_乗用_軽油,係数_乗用_メタノール,係数_乗用_LPG),1,1,BE1929):INDEX((係数_乗用_ガソリン,係数_乗用_CNG,係数_乗用_軽油,係数_乗用_メタノール,係数_乗用_LPG),125,5,BE1929),2,FALSE))))))</f>
        <v/>
      </c>
      <c r="BB1929" s="468" t="str">
        <f>IF(T1929="","",IF(OR(AU1929="",AU1929="-"),"－",IF(OR(AZ1929=8,AZ1929=9),"",IF(OR(AW1929=3,AW1929=4,AW1929=5,AW1929=6),VLOOKUP(AU1929,INDEX((係数_バス貨物_ガソリン,係数_バス貨物_CNG,係数_バス貨物_軽油,係数_バス貨物_メタノール,係数_バス貨物_LPG),MATCH(AY1929,【参考】排出係数!$AI$4:$AI$671,1),1,BE1929):INDEX((係数_バス貨物_ガソリン,係数_バス貨物_CNG,係数_バス貨物_軽油,係数_バス貨物_メタノール,係数_バス貨物_LPG),MATCH(AY1929+1,【参考】排出係数!$AI$4:$AI$671,1)-1,5,BE1929),3,FALSE),IF(OR(AW1929=1,AW1929=2),VLOOKUP(AU1929,INDEX((係数_乗用_ガソリン,係数_乗用_CNG,係数_乗用_軽油,係数_乗用_メタノール,係数_乗用_LPG),1,1,BE1929):INDEX((係数_乗用_ガソリン,係数_乗用_CNG,係数_乗用_軽油,係数_乗用_メタノール,係数_乗用_LPG),125,5,BE1929),3,FALSE))))))</f>
        <v/>
      </c>
      <c r="BC1929" s="467" t="str">
        <f t="shared" si="1128"/>
        <v/>
      </c>
      <c r="BD1929" s="567" t="str">
        <f t="shared" si="1129"/>
        <v/>
      </c>
      <c r="BE1929" s="467" t="str">
        <f t="shared" si="1130"/>
        <v/>
      </c>
      <c r="BF1929" s="469" t="str">
        <f t="shared" ca="1" si="1131"/>
        <v/>
      </c>
      <c r="BG1929" s="469" t="str">
        <f t="shared" ca="1" si="1132"/>
        <v/>
      </c>
      <c r="BH1929" s="467" t="str">
        <f t="shared" si="1133"/>
        <v/>
      </c>
      <c r="BI1929" s="467" t="str">
        <f t="shared" ca="1" si="1134"/>
        <v/>
      </c>
      <c r="BJ1929" s="469" t="str">
        <f t="shared" si="1135"/>
        <v/>
      </c>
      <c r="BK1929" s="470" t="str">
        <f t="shared" si="1119"/>
        <v/>
      </c>
      <c r="BL1929" s="775" t="str">
        <f t="shared" si="1136"/>
        <v/>
      </c>
      <c r="BM1929" s="775" t="str">
        <f t="shared" si="1137"/>
        <v/>
      </c>
    </row>
    <row r="1930" spans="1:65">
      <c r="A1930" s="473">
        <v>1874</v>
      </c>
      <c r="B1930" s="132"/>
      <c r="C1930" s="332"/>
      <c r="D1930" s="333"/>
      <c r="E1930" s="333"/>
      <c r="F1930" s="334"/>
      <c r="G1930" s="337"/>
      <c r="H1930" s="131"/>
      <c r="I1930" s="337"/>
      <c r="J1930" s="131"/>
      <c r="K1930" s="458" t="str">
        <f t="shared" si="1100"/>
        <v/>
      </c>
      <c r="L1930" s="458">
        <f t="shared" si="1101"/>
        <v>0</v>
      </c>
      <c r="M1930" s="458">
        <f t="shared" si="1102"/>
        <v>0</v>
      </c>
      <c r="N1930" s="459" t="str">
        <f t="shared" si="1113"/>
        <v/>
      </c>
      <c r="O1930" s="459" t="str">
        <f t="shared" si="1114"/>
        <v/>
      </c>
      <c r="P1930" s="459" t="str">
        <f t="shared" si="1115"/>
        <v/>
      </c>
      <c r="Q1930" s="459" t="str">
        <f t="shared" si="1116"/>
        <v/>
      </c>
      <c r="R1930" s="459" t="str">
        <f t="shared" si="1117"/>
        <v/>
      </c>
      <c r="S1930" s="459" t="str">
        <f t="shared" si="1118"/>
        <v/>
      </c>
      <c r="T1930" s="566" t="str">
        <f t="shared" si="1103"/>
        <v/>
      </c>
      <c r="U1930" s="702"/>
      <c r="V1930" s="132"/>
      <c r="W1930" s="133"/>
      <c r="X1930" s="134"/>
      <c r="Y1930" s="135"/>
      <c r="Z1930" s="137"/>
      <c r="AA1930" s="136"/>
      <c r="AB1930" s="566" t="str">
        <f t="shared" si="1104"/>
        <v/>
      </c>
      <c r="AC1930" s="568" t="str">
        <f t="shared" si="1105"/>
        <v/>
      </c>
      <c r="AD1930" s="137"/>
      <c r="AE1930" s="137"/>
      <c r="AF1930" s="138"/>
      <c r="AG1930" s="138"/>
      <c r="AH1930" s="592" t="str">
        <f t="shared" si="1106"/>
        <v/>
      </c>
      <c r="AI1930" s="592" t="str">
        <f t="shared" si="1107"/>
        <v/>
      </c>
      <c r="AJ1930" s="592" t="str">
        <f t="shared" si="1108"/>
        <v/>
      </c>
      <c r="AK1930" s="460" t="str">
        <f>IF(AU1930="","",IF(OR(AZ1930=8,AZ1930=9),0,IF(OR(AW1930=3,AW1930=4,AW1930=5,AW1930=6),IF(LEFT(BF1930,1)="1",INDEX(係数_NOX・PM低減,MATCH(AY1930,【参考】排出係数!$AI$801:$AI$804,1),1),VLOOKUP(AU1930,INDEX((係数_バス貨物_ガソリン,係数_バス貨物_CNG,係数_バス貨物_軽油,係数_バス貨物_メタノール,係数_バス貨物_LPG),MATCH(AY1930,【参考】排出係数!$AI$4:$AI$671,1),1,BE1930):INDEX((係数_バス貨物_ガソリン,係数_バス貨物_CNG,係数_バス貨物_軽油,係数_バス貨物_メタノール,係数_バス貨物_LPG),MATCH(AY1930+1,【参考】排出係数!$AI$4:$AI$671,1)-1,5,BE1930),4,FALSE)),IF(AND(BE1930=3,LEFT(BF1930,1)="1"),0.48,VLOOKUP(AU1930,INDEX((係数_乗用_ガソリン,係数_乗用_CNG,係数_乗用_軽油,係数_乗用_メタノール,係数_乗用_LPG),1,1,BE1930):INDEX((係数_乗用_ガソリン,係数_乗用_CNG,係数_乗用_軽油,係数_乗用_メタノール,係数_乗用_LPG),125,5,BE1930),4,FALSE)))))</f>
        <v/>
      </c>
      <c r="AL1930" s="461" t="str">
        <f t="shared" si="1109"/>
        <v/>
      </c>
      <c r="AM1930" s="460" t="str">
        <f>IF(AU1930="","",IF(OR(AZ1930=8,AZ1930=9),0,IF(OR(AW1930=3,AW1930=4,AW1930=5,AW1930=6),IF(LEFT(BH1930,1)="1",INDEX(係数_PM低減,MATCH(AY1930,【参考】排出係数!$AI$801:$AI$804,1),MATCH(BI1930,【参考】排出係数!$AL$798:$AO$798,1)),VLOOKUP(AU1930,INDEX((係数_バス貨物_ガソリン,係数_バス貨物_CNG,係数_バス貨物_軽油,係数_バス貨物_メタノール,係数_バス貨物_LPG),MATCH(AY1930,【参考】排出係数!$AI$4:$AI$671,1),1,BE1930):INDEX((係数_バス貨物_ガソリン,係数_バス貨物_CNG,係数_バス貨物_軽油,係数_バス貨物_メタノール,係数_バス貨物_LPG),MATCH(AY1930+1,【参考】排出係数!$AI$4:$AI$671,1)-1,5,BE1930),5,FALSE)),IF(AND(BE1930=3,LEFT(BF1930,1)="1"),0.055,VLOOKUP(AU1930,INDEX((係数_乗用_ガソリン,係数_乗用_CNG,係数_乗用_軽油,係数_乗用_メタノール,係数_乗用_LPG),1,1,BE1930):INDEX((係数_乗用_ガソリン,係数_乗用_CNG,係数_乗用_軽油,係数_乗用_メタノール,係数_乗用_LPG),125,5,BE1930),5,FALSE)))))</f>
        <v/>
      </c>
      <c r="AN1930" s="461" t="str">
        <f t="shared" si="1110"/>
        <v/>
      </c>
      <c r="AO1930" s="462" t="str">
        <f t="shared" si="1111"/>
        <v/>
      </c>
      <c r="AP1930" s="463" t="str">
        <f t="shared" si="1112"/>
        <v/>
      </c>
      <c r="AQ1930" s="464"/>
      <c r="AR1930" s="619"/>
      <c r="AS1930" s="465" t="str">
        <f t="shared" si="1120"/>
        <v/>
      </c>
      <c r="AT1930" s="465" t="str">
        <f t="shared" si="1121"/>
        <v/>
      </c>
      <c r="AU1930" s="466" t="str">
        <f t="shared" si="1122"/>
        <v/>
      </c>
      <c r="AV1930" s="467" t="str">
        <f t="shared" si="1123"/>
        <v/>
      </c>
      <c r="AW1930" s="467" t="str">
        <f t="shared" si="1124"/>
        <v/>
      </c>
      <c r="AX1930" s="467" t="str">
        <f t="shared" si="1125"/>
        <v/>
      </c>
      <c r="AY1930" s="467" t="str">
        <f t="shared" si="1126"/>
        <v/>
      </c>
      <c r="AZ1930" s="467" t="str">
        <f t="shared" si="1127"/>
        <v/>
      </c>
      <c r="BA1930" s="468" t="str">
        <f>IF(AS1930="","",IF(OR(AU1930="",AU1930="-"),"－",IF(OR(AZ1930=8,AZ1930=9),"",IF(OR(AW1930=3,AW1930=4,AW1930=5,AW1930=6),VLOOKUP(AU1930,INDEX((係数_バス貨物_ガソリン,係数_バス貨物_CNG,係数_バス貨物_軽油,係数_バス貨物_メタノール,係数_バス貨物_LPG),MATCH(AY1930,【参考】排出係数!$AI$4:$AI$671,1),1,BE1930):INDEX((係数_バス貨物_ガソリン,係数_バス貨物_CNG,係数_バス貨物_軽油,係数_バス貨物_メタノール,係数_バス貨物_LPG),MATCH(AY1930+1,【参考】排出係数!$AI$4:$AI$671,1)-1,5,BE1930),2,FALSE),IF(OR(AW1930=1,AW1930=2),VLOOKUP(AU1930,INDEX((係数_乗用_ガソリン,係数_乗用_CNG,係数_乗用_軽油,係数_乗用_メタノール,係数_乗用_LPG),1,1,BE1930):INDEX((係数_乗用_ガソリン,係数_乗用_CNG,係数_乗用_軽油,係数_乗用_メタノール,係数_乗用_LPG),125,5,BE1930),2,FALSE))))))</f>
        <v/>
      </c>
      <c r="BB1930" s="468" t="str">
        <f>IF(T1930="","",IF(OR(AU1930="",AU1930="-"),"－",IF(OR(AZ1930=8,AZ1930=9),"",IF(OR(AW1930=3,AW1930=4,AW1930=5,AW1930=6),VLOOKUP(AU1930,INDEX((係数_バス貨物_ガソリン,係数_バス貨物_CNG,係数_バス貨物_軽油,係数_バス貨物_メタノール,係数_バス貨物_LPG),MATCH(AY1930,【参考】排出係数!$AI$4:$AI$671,1),1,BE1930):INDEX((係数_バス貨物_ガソリン,係数_バス貨物_CNG,係数_バス貨物_軽油,係数_バス貨物_メタノール,係数_バス貨物_LPG),MATCH(AY1930+1,【参考】排出係数!$AI$4:$AI$671,1)-1,5,BE1930),3,FALSE),IF(OR(AW1930=1,AW1930=2),VLOOKUP(AU1930,INDEX((係数_乗用_ガソリン,係数_乗用_CNG,係数_乗用_軽油,係数_乗用_メタノール,係数_乗用_LPG),1,1,BE1930):INDEX((係数_乗用_ガソリン,係数_乗用_CNG,係数_乗用_軽油,係数_乗用_メタノール,係数_乗用_LPG),125,5,BE1930),3,FALSE))))))</f>
        <v/>
      </c>
      <c r="BC1930" s="467" t="str">
        <f t="shared" si="1128"/>
        <v/>
      </c>
      <c r="BD1930" s="567" t="str">
        <f t="shared" si="1129"/>
        <v/>
      </c>
      <c r="BE1930" s="467" t="str">
        <f t="shared" si="1130"/>
        <v/>
      </c>
      <c r="BF1930" s="469" t="str">
        <f t="shared" ca="1" si="1131"/>
        <v/>
      </c>
      <c r="BG1930" s="469" t="str">
        <f t="shared" ca="1" si="1132"/>
        <v/>
      </c>
      <c r="BH1930" s="467" t="str">
        <f t="shared" si="1133"/>
        <v/>
      </c>
      <c r="BI1930" s="467" t="str">
        <f t="shared" ca="1" si="1134"/>
        <v/>
      </c>
      <c r="BJ1930" s="469" t="str">
        <f t="shared" si="1135"/>
        <v/>
      </c>
      <c r="BK1930" s="470" t="str">
        <f t="shared" si="1119"/>
        <v/>
      </c>
      <c r="BL1930" s="775" t="str">
        <f t="shared" si="1136"/>
        <v/>
      </c>
      <c r="BM1930" s="775" t="str">
        <f t="shared" si="1137"/>
        <v/>
      </c>
    </row>
    <row r="1931" spans="1:65">
      <c r="A1931" s="473">
        <v>1875</v>
      </c>
      <c r="B1931" s="132"/>
      <c r="C1931" s="332"/>
      <c r="D1931" s="333"/>
      <c r="E1931" s="333"/>
      <c r="F1931" s="334"/>
      <c r="G1931" s="337"/>
      <c r="H1931" s="131"/>
      <c r="I1931" s="337"/>
      <c r="J1931" s="131"/>
      <c r="K1931" s="458" t="str">
        <f t="shared" si="1100"/>
        <v/>
      </c>
      <c r="L1931" s="458">
        <f t="shared" si="1101"/>
        <v>0</v>
      </c>
      <c r="M1931" s="458">
        <f t="shared" si="1102"/>
        <v>0</v>
      </c>
      <c r="N1931" s="459" t="str">
        <f t="shared" si="1113"/>
        <v/>
      </c>
      <c r="O1931" s="459" t="str">
        <f t="shared" si="1114"/>
        <v/>
      </c>
      <c r="P1931" s="459" t="str">
        <f t="shared" si="1115"/>
        <v/>
      </c>
      <c r="Q1931" s="459" t="str">
        <f t="shared" si="1116"/>
        <v/>
      </c>
      <c r="R1931" s="459" t="str">
        <f t="shared" si="1117"/>
        <v/>
      </c>
      <c r="S1931" s="459" t="str">
        <f t="shared" si="1118"/>
        <v/>
      </c>
      <c r="T1931" s="566" t="str">
        <f t="shared" si="1103"/>
        <v/>
      </c>
      <c r="U1931" s="702"/>
      <c r="V1931" s="132"/>
      <c r="W1931" s="133"/>
      <c r="X1931" s="134"/>
      <c r="Y1931" s="135"/>
      <c r="Z1931" s="137"/>
      <c r="AA1931" s="136"/>
      <c r="AB1931" s="566" t="str">
        <f t="shared" si="1104"/>
        <v/>
      </c>
      <c r="AC1931" s="568" t="str">
        <f t="shared" si="1105"/>
        <v/>
      </c>
      <c r="AD1931" s="137"/>
      <c r="AE1931" s="137"/>
      <c r="AF1931" s="138"/>
      <c r="AG1931" s="138"/>
      <c r="AH1931" s="592" t="str">
        <f t="shared" si="1106"/>
        <v/>
      </c>
      <c r="AI1931" s="592" t="str">
        <f t="shared" si="1107"/>
        <v/>
      </c>
      <c r="AJ1931" s="592" t="str">
        <f t="shared" si="1108"/>
        <v/>
      </c>
      <c r="AK1931" s="460" t="str">
        <f>IF(AU1931="","",IF(OR(AZ1931=8,AZ1931=9),0,IF(OR(AW1931=3,AW1931=4,AW1931=5,AW1931=6),IF(LEFT(BF1931,1)="1",INDEX(係数_NOX・PM低減,MATCH(AY1931,【参考】排出係数!$AI$801:$AI$804,1),1),VLOOKUP(AU1931,INDEX((係数_バス貨物_ガソリン,係数_バス貨物_CNG,係数_バス貨物_軽油,係数_バス貨物_メタノール,係数_バス貨物_LPG),MATCH(AY1931,【参考】排出係数!$AI$4:$AI$671,1),1,BE1931):INDEX((係数_バス貨物_ガソリン,係数_バス貨物_CNG,係数_バス貨物_軽油,係数_バス貨物_メタノール,係数_バス貨物_LPG),MATCH(AY1931+1,【参考】排出係数!$AI$4:$AI$671,1)-1,5,BE1931),4,FALSE)),IF(AND(BE1931=3,LEFT(BF1931,1)="1"),0.48,VLOOKUP(AU1931,INDEX((係数_乗用_ガソリン,係数_乗用_CNG,係数_乗用_軽油,係数_乗用_メタノール,係数_乗用_LPG),1,1,BE1931):INDEX((係数_乗用_ガソリン,係数_乗用_CNG,係数_乗用_軽油,係数_乗用_メタノール,係数_乗用_LPG),125,5,BE1931),4,FALSE)))))</f>
        <v/>
      </c>
      <c r="AL1931" s="461" t="str">
        <f t="shared" si="1109"/>
        <v/>
      </c>
      <c r="AM1931" s="460" t="str">
        <f>IF(AU1931="","",IF(OR(AZ1931=8,AZ1931=9),0,IF(OR(AW1931=3,AW1931=4,AW1931=5,AW1931=6),IF(LEFT(BH1931,1)="1",INDEX(係数_PM低減,MATCH(AY1931,【参考】排出係数!$AI$801:$AI$804,1),MATCH(BI1931,【参考】排出係数!$AL$798:$AO$798,1)),VLOOKUP(AU1931,INDEX((係数_バス貨物_ガソリン,係数_バス貨物_CNG,係数_バス貨物_軽油,係数_バス貨物_メタノール,係数_バス貨物_LPG),MATCH(AY1931,【参考】排出係数!$AI$4:$AI$671,1),1,BE1931):INDEX((係数_バス貨物_ガソリン,係数_バス貨物_CNG,係数_バス貨物_軽油,係数_バス貨物_メタノール,係数_バス貨物_LPG),MATCH(AY1931+1,【参考】排出係数!$AI$4:$AI$671,1)-1,5,BE1931),5,FALSE)),IF(AND(BE1931=3,LEFT(BF1931,1)="1"),0.055,VLOOKUP(AU1931,INDEX((係数_乗用_ガソリン,係数_乗用_CNG,係数_乗用_軽油,係数_乗用_メタノール,係数_乗用_LPG),1,1,BE1931):INDEX((係数_乗用_ガソリン,係数_乗用_CNG,係数_乗用_軽油,係数_乗用_メタノール,係数_乗用_LPG),125,5,BE1931),5,FALSE)))))</f>
        <v/>
      </c>
      <c r="AN1931" s="461" t="str">
        <f t="shared" si="1110"/>
        <v/>
      </c>
      <c r="AO1931" s="462" t="str">
        <f t="shared" si="1111"/>
        <v/>
      </c>
      <c r="AP1931" s="463" t="str">
        <f t="shared" si="1112"/>
        <v/>
      </c>
      <c r="AQ1931" s="464"/>
      <c r="AR1931" s="619"/>
      <c r="AS1931" s="465" t="str">
        <f t="shared" si="1120"/>
        <v/>
      </c>
      <c r="AT1931" s="465" t="str">
        <f t="shared" si="1121"/>
        <v/>
      </c>
      <c r="AU1931" s="466" t="str">
        <f t="shared" si="1122"/>
        <v/>
      </c>
      <c r="AV1931" s="467" t="str">
        <f t="shared" si="1123"/>
        <v/>
      </c>
      <c r="AW1931" s="467" t="str">
        <f t="shared" si="1124"/>
        <v/>
      </c>
      <c r="AX1931" s="467" t="str">
        <f t="shared" si="1125"/>
        <v/>
      </c>
      <c r="AY1931" s="467" t="str">
        <f t="shared" si="1126"/>
        <v/>
      </c>
      <c r="AZ1931" s="467" t="str">
        <f t="shared" si="1127"/>
        <v/>
      </c>
      <c r="BA1931" s="468" t="str">
        <f>IF(AS1931="","",IF(OR(AU1931="",AU1931="-"),"－",IF(OR(AZ1931=8,AZ1931=9),"",IF(OR(AW1931=3,AW1931=4,AW1931=5,AW1931=6),VLOOKUP(AU1931,INDEX((係数_バス貨物_ガソリン,係数_バス貨物_CNG,係数_バス貨物_軽油,係数_バス貨物_メタノール,係数_バス貨物_LPG),MATCH(AY1931,【参考】排出係数!$AI$4:$AI$671,1),1,BE1931):INDEX((係数_バス貨物_ガソリン,係数_バス貨物_CNG,係数_バス貨物_軽油,係数_バス貨物_メタノール,係数_バス貨物_LPG),MATCH(AY1931+1,【参考】排出係数!$AI$4:$AI$671,1)-1,5,BE1931),2,FALSE),IF(OR(AW1931=1,AW1931=2),VLOOKUP(AU1931,INDEX((係数_乗用_ガソリン,係数_乗用_CNG,係数_乗用_軽油,係数_乗用_メタノール,係数_乗用_LPG),1,1,BE1931):INDEX((係数_乗用_ガソリン,係数_乗用_CNG,係数_乗用_軽油,係数_乗用_メタノール,係数_乗用_LPG),125,5,BE1931),2,FALSE))))))</f>
        <v/>
      </c>
      <c r="BB1931" s="468" t="str">
        <f>IF(T1931="","",IF(OR(AU1931="",AU1931="-"),"－",IF(OR(AZ1931=8,AZ1931=9),"",IF(OR(AW1931=3,AW1931=4,AW1931=5,AW1931=6),VLOOKUP(AU1931,INDEX((係数_バス貨物_ガソリン,係数_バス貨物_CNG,係数_バス貨物_軽油,係数_バス貨物_メタノール,係数_バス貨物_LPG),MATCH(AY1931,【参考】排出係数!$AI$4:$AI$671,1),1,BE1931):INDEX((係数_バス貨物_ガソリン,係数_バス貨物_CNG,係数_バス貨物_軽油,係数_バス貨物_メタノール,係数_バス貨物_LPG),MATCH(AY1931+1,【参考】排出係数!$AI$4:$AI$671,1)-1,5,BE1931),3,FALSE),IF(OR(AW1931=1,AW1931=2),VLOOKUP(AU1931,INDEX((係数_乗用_ガソリン,係数_乗用_CNG,係数_乗用_軽油,係数_乗用_メタノール,係数_乗用_LPG),1,1,BE1931):INDEX((係数_乗用_ガソリン,係数_乗用_CNG,係数_乗用_軽油,係数_乗用_メタノール,係数_乗用_LPG),125,5,BE1931),3,FALSE))))))</f>
        <v/>
      </c>
      <c r="BC1931" s="467" t="str">
        <f t="shared" si="1128"/>
        <v/>
      </c>
      <c r="BD1931" s="567" t="str">
        <f t="shared" si="1129"/>
        <v/>
      </c>
      <c r="BE1931" s="467" t="str">
        <f t="shared" si="1130"/>
        <v/>
      </c>
      <c r="BF1931" s="469" t="str">
        <f t="shared" ca="1" si="1131"/>
        <v/>
      </c>
      <c r="BG1931" s="469" t="str">
        <f t="shared" ca="1" si="1132"/>
        <v/>
      </c>
      <c r="BH1931" s="467" t="str">
        <f t="shared" si="1133"/>
        <v/>
      </c>
      <c r="BI1931" s="467" t="str">
        <f t="shared" ca="1" si="1134"/>
        <v/>
      </c>
      <c r="BJ1931" s="469" t="str">
        <f t="shared" si="1135"/>
        <v/>
      </c>
      <c r="BK1931" s="470" t="str">
        <f t="shared" si="1119"/>
        <v/>
      </c>
      <c r="BL1931" s="775" t="str">
        <f t="shared" si="1136"/>
        <v/>
      </c>
      <c r="BM1931" s="775" t="str">
        <f t="shared" si="1137"/>
        <v/>
      </c>
    </row>
    <row r="1932" spans="1:65">
      <c r="A1932" s="473">
        <v>1876</v>
      </c>
      <c r="B1932" s="132"/>
      <c r="C1932" s="332"/>
      <c r="D1932" s="333"/>
      <c r="E1932" s="333"/>
      <c r="F1932" s="334"/>
      <c r="G1932" s="337"/>
      <c r="H1932" s="131"/>
      <c r="I1932" s="337"/>
      <c r="J1932" s="131"/>
      <c r="K1932" s="458" t="str">
        <f t="shared" si="1100"/>
        <v/>
      </c>
      <c r="L1932" s="458">
        <f t="shared" si="1101"/>
        <v>0</v>
      </c>
      <c r="M1932" s="458">
        <f t="shared" si="1102"/>
        <v>0</v>
      </c>
      <c r="N1932" s="459" t="str">
        <f t="shared" si="1113"/>
        <v/>
      </c>
      <c r="O1932" s="459" t="str">
        <f t="shared" si="1114"/>
        <v/>
      </c>
      <c r="P1932" s="459" t="str">
        <f t="shared" si="1115"/>
        <v/>
      </c>
      <c r="Q1932" s="459" t="str">
        <f t="shared" si="1116"/>
        <v/>
      </c>
      <c r="R1932" s="459" t="str">
        <f t="shared" si="1117"/>
        <v/>
      </c>
      <c r="S1932" s="459" t="str">
        <f t="shared" si="1118"/>
        <v/>
      </c>
      <c r="T1932" s="566" t="str">
        <f t="shared" si="1103"/>
        <v/>
      </c>
      <c r="U1932" s="702"/>
      <c r="V1932" s="132"/>
      <c r="W1932" s="133"/>
      <c r="X1932" s="134"/>
      <c r="Y1932" s="135"/>
      <c r="Z1932" s="137"/>
      <c r="AA1932" s="136"/>
      <c r="AB1932" s="566" t="str">
        <f t="shared" si="1104"/>
        <v/>
      </c>
      <c r="AC1932" s="568" t="str">
        <f t="shared" si="1105"/>
        <v/>
      </c>
      <c r="AD1932" s="137"/>
      <c r="AE1932" s="137"/>
      <c r="AF1932" s="138"/>
      <c r="AG1932" s="138"/>
      <c r="AH1932" s="592" t="str">
        <f t="shared" si="1106"/>
        <v/>
      </c>
      <c r="AI1932" s="592" t="str">
        <f t="shared" si="1107"/>
        <v/>
      </c>
      <c r="AJ1932" s="592" t="str">
        <f t="shared" si="1108"/>
        <v/>
      </c>
      <c r="AK1932" s="460" t="str">
        <f>IF(AU1932="","",IF(OR(AZ1932=8,AZ1932=9),0,IF(OR(AW1932=3,AW1932=4,AW1932=5,AW1932=6),IF(LEFT(BF1932,1)="1",INDEX(係数_NOX・PM低減,MATCH(AY1932,【参考】排出係数!$AI$801:$AI$804,1),1),VLOOKUP(AU1932,INDEX((係数_バス貨物_ガソリン,係数_バス貨物_CNG,係数_バス貨物_軽油,係数_バス貨物_メタノール,係数_バス貨物_LPG),MATCH(AY1932,【参考】排出係数!$AI$4:$AI$671,1),1,BE1932):INDEX((係数_バス貨物_ガソリン,係数_バス貨物_CNG,係数_バス貨物_軽油,係数_バス貨物_メタノール,係数_バス貨物_LPG),MATCH(AY1932+1,【参考】排出係数!$AI$4:$AI$671,1)-1,5,BE1932),4,FALSE)),IF(AND(BE1932=3,LEFT(BF1932,1)="1"),0.48,VLOOKUP(AU1932,INDEX((係数_乗用_ガソリン,係数_乗用_CNG,係数_乗用_軽油,係数_乗用_メタノール,係数_乗用_LPG),1,1,BE1932):INDEX((係数_乗用_ガソリン,係数_乗用_CNG,係数_乗用_軽油,係数_乗用_メタノール,係数_乗用_LPG),125,5,BE1932),4,FALSE)))))</f>
        <v/>
      </c>
      <c r="AL1932" s="461" t="str">
        <f t="shared" si="1109"/>
        <v/>
      </c>
      <c r="AM1932" s="460" t="str">
        <f>IF(AU1932="","",IF(OR(AZ1932=8,AZ1932=9),0,IF(OR(AW1932=3,AW1932=4,AW1932=5,AW1932=6),IF(LEFT(BH1932,1)="1",INDEX(係数_PM低減,MATCH(AY1932,【参考】排出係数!$AI$801:$AI$804,1),MATCH(BI1932,【参考】排出係数!$AL$798:$AO$798,1)),VLOOKUP(AU1932,INDEX((係数_バス貨物_ガソリン,係数_バス貨物_CNG,係数_バス貨物_軽油,係数_バス貨物_メタノール,係数_バス貨物_LPG),MATCH(AY1932,【参考】排出係数!$AI$4:$AI$671,1),1,BE1932):INDEX((係数_バス貨物_ガソリン,係数_バス貨物_CNG,係数_バス貨物_軽油,係数_バス貨物_メタノール,係数_バス貨物_LPG),MATCH(AY1932+1,【参考】排出係数!$AI$4:$AI$671,1)-1,5,BE1932),5,FALSE)),IF(AND(BE1932=3,LEFT(BF1932,1)="1"),0.055,VLOOKUP(AU1932,INDEX((係数_乗用_ガソリン,係数_乗用_CNG,係数_乗用_軽油,係数_乗用_メタノール,係数_乗用_LPG),1,1,BE1932):INDEX((係数_乗用_ガソリン,係数_乗用_CNG,係数_乗用_軽油,係数_乗用_メタノール,係数_乗用_LPG),125,5,BE1932),5,FALSE)))))</f>
        <v/>
      </c>
      <c r="AN1932" s="461" t="str">
        <f t="shared" si="1110"/>
        <v/>
      </c>
      <c r="AO1932" s="462" t="str">
        <f t="shared" si="1111"/>
        <v/>
      </c>
      <c r="AP1932" s="463" t="str">
        <f t="shared" si="1112"/>
        <v/>
      </c>
      <c r="AQ1932" s="464"/>
      <c r="AR1932" s="619"/>
      <c r="AS1932" s="465" t="str">
        <f t="shared" si="1120"/>
        <v/>
      </c>
      <c r="AT1932" s="465" t="str">
        <f t="shared" si="1121"/>
        <v/>
      </c>
      <c r="AU1932" s="466" t="str">
        <f t="shared" si="1122"/>
        <v/>
      </c>
      <c r="AV1932" s="467" t="str">
        <f t="shared" si="1123"/>
        <v/>
      </c>
      <c r="AW1932" s="467" t="str">
        <f t="shared" si="1124"/>
        <v/>
      </c>
      <c r="AX1932" s="467" t="str">
        <f t="shared" si="1125"/>
        <v/>
      </c>
      <c r="AY1932" s="467" t="str">
        <f t="shared" si="1126"/>
        <v/>
      </c>
      <c r="AZ1932" s="467" t="str">
        <f t="shared" si="1127"/>
        <v/>
      </c>
      <c r="BA1932" s="468" t="str">
        <f>IF(AS1932="","",IF(OR(AU1932="",AU1932="-"),"－",IF(OR(AZ1932=8,AZ1932=9),"",IF(OR(AW1932=3,AW1932=4,AW1932=5,AW1932=6),VLOOKUP(AU1932,INDEX((係数_バス貨物_ガソリン,係数_バス貨物_CNG,係数_バス貨物_軽油,係数_バス貨物_メタノール,係数_バス貨物_LPG),MATCH(AY1932,【参考】排出係数!$AI$4:$AI$671,1),1,BE1932):INDEX((係数_バス貨物_ガソリン,係数_バス貨物_CNG,係数_バス貨物_軽油,係数_バス貨物_メタノール,係数_バス貨物_LPG),MATCH(AY1932+1,【参考】排出係数!$AI$4:$AI$671,1)-1,5,BE1932),2,FALSE),IF(OR(AW1932=1,AW1932=2),VLOOKUP(AU1932,INDEX((係数_乗用_ガソリン,係数_乗用_CNG,係数_乗用_軽油,係数_乗用_メタノール,係数_乗用_LPG),1,1,BE1932):INDEX((係数_乗用_ガソリン,係数_乗用_CNG,係数_乗用_軽油,係数_乗用_メタノール,係数_乗用_LPG),125,5,BE1932),2,FALSE))))))</f>
        <v/>
      </c>
      <c r="BB1932" s="468" t="str">
        <f>IF(T1932="","",IF(OR(AU1932="",AU1932="-"),"－",IF(OR(AZ1932=8,AZ1932=9),"",IF(OR(AW1932=3,AW1932=4,AW1932=5,AW1932=6),VLOOKUP(AU1932,INDEX((係数_バス貨物_ガソリン,係数_バス貨物_CNG,係数_バス貨物_軽油,係数_バス貨物_メタノール,係数_バス貨物_LPG),MATCH(AY1932,【参考】排出係数!$AI$4:$AI$671,1),1,BE1932):INDEX((係数_バス貨物_ガソリン,係数_バス貨物_CNG,係数_バス貨物_軽油,係数_バス貨物_メタノール,係数_バス貨物_LPG),MATCH(AY1932+1,【参考】排出係数!$AI$4:$AI$671,1)-1,5,BE1932),3,FALSE),IF(OR(AW1932=1,AW1932=2),VLOOKUP(AU1932,INDEX((係数_乗用_ガソリン,係数_乗用_CNG,係数_乗用_軽油,係数_乗用_メタノール,係数_乗用_LPG),1,1,BE1932):INDEX((係数_乗用_ガソリン,係数_乗用_CNG,係数_乗用_軽油,係数_乗用_メタノール,係数_乗用_LPG),125,5,BE1932),3,FALSE))))))</f>
        <v/>
      </c>
      <c r="BC1932" s="467" t="str">
        <f t="shared" si="1128"/>
        <v/>
      </c>
      <c r="BD1932" s="567" t="str">
        <f t="shared" si="1129"/>
        <v/>
      </c>
      <c r="BE1932" s="467" t="str">
        <f t="shared" si="1130"/>
        <v/>
      </c>
      <c r="BF1932" s="469" t="str">
        <f t="shared" ca="1" si="1131"/>
        <v/>
      </c>
      <c r="BG1932" s="469" t="str">
        <f t="shared" ca="1" si="1132"/>
        <v/>
      </c>
      <c r="BH1932" s="467" t="str">
        <f t="shared" si="1133"/>
        <v/>
      </c>
      <c r="BI1932" s="467" t="str">
        <f t="shared" ca="1" si="1134"/>
        <v/>
      </c>
      <c r="BJ1932" s="469" t="str">
        <f t="shared" si="1135"/>
        <v/>
      </c>
      <c r="BK1932" s="470" t="str">
        <f t="shared" si="1119"/>
        <v/>
      </c>
      <c r="BL1932" s="775" t="str">
        <f t="shared" si="1136"/>
        <v/>
      </c>
      <c r="BM1932" s="775" t="str">
        <f t="shared" si="1137"/>
        <v/>
      </c>
    </row>
    <row r="1933" spans="1:65">
      <c r="A1933" s="473">
        <v>1877</v>
      </c>
      <c r="B1933" s="132"/>
      <c r="C1933" s="332"/>
      <c r="D1933" s="333"/>
      <c r="E1933" s="333"/>
      <c r="F1933" s="334"/>
      <c r="G1933" s="337"/>
      <c r="H1933" s="131"/>
      <c r="I1933" s="337"/>
      <c r="J1933" s="131"/>
      <c r="K1933" s="458" t="str">
        <f t="shared" si="1100"/>
        <v/>
      </c>
      <c r="L1933" s="458">
        <f t="shared" si="1101"/>
        <v>0</v>
      </c>
      <c r="M1933" s="458">
        <f t="shared" si="1102"/>
        <v>0</v>
      </c>
      <c r="N1933" s="459" t="str">
        <f t="shared" si="1113"/>
        <v/>
      </c>
      <c r="O1933" s="459" t="str">
        <f t="shared" si="1114"/>
        <v/>
      </c>
      <c r="P1933" s="459" t="str">
        <f t="shared" si="1115"/>
        <v/>
      </c>
      <c r="Q1933" s="459" t="str">
        <f t="shared" si="1116"/>
        <v/>
      </c>
      <c r="R1933" s="459" t="str">
        <f t="shared" si="1117"/>
        <v/>
      </c>
      <c r="S1933" s="459" t="str">
        <f t="shared" si="1118"/>
        <v/>
      </c>
      <c r="T1933" s="566" t="str">
        <f t="shared" si="1103"/>
        <v/>
      </c>
      <c r="U1933" s="702"/>
      <c r="V1933" s="132"/>
      <c r="W1933" s="133"/>
      <c r="X1933" s="134"/>
      <c r="Y1933" s="135"/>
      <c r="Z1933" s="137"/>
      <c r="AA1933" s="136"/>
      <c r="AB1933" s="566" t="str">
        <f t="shared" si="1104"/>
        <v/>
      </c>
      <c r="AC1933" s="568" t="str">
        <f t="shared" si="1105"/>
        <v/>
      </c>
      <c r="AD1933" s="137"/>
      <c r="AE1933" s="137"/>
      <c r="AF1933" s="138"/>
      <c r="AG1933" s="138"/>
      <c r="AH1933" s="592" t="str">
        <f t="shared" si="1106"/>
        <v/>
      </c>
      <c r="AI1933" s="592" t="str">
        <f t="shared" si="1107"/>
        <v/>
      </c>
      <c r="AJ1933" s="592" t="str">
        <f t="shared" si="1108"/>
        <v/>
      </c>
      <c r="AK1933" s="460" t="str">
        <f>IF(AU1933="","",IF(OR(AZ1933=8,AZ1933=9),0,IF(OR(AW1933=3,AW1933=4,AW1933=5,AW1933=6),IF(LEFT(BF1933,1)="1",INDEX(係数_NOX・PM低減,MATCH(AY1933,【参考】排出係数!$AI$801:$AI$804,1),1),VLOOKUP(AU1933,INDEX((係数_バス貨物_ガソリン,係数_バス貨物_CNG,係数_バス貨物_軽油,係数_バス貨物_メタノール,係数_バス貨物_LPG),MATCH(AY1933,【参考】排出係数!$AI$4:$AI$671,1),1,BE1933):INDEX((係数_バス貨物_ガソリン,係数_バス貨物_CNG,係数_バス貨物_軽油,係数_バス貨物_メタノール,係数_バス貨物_LPG),MATCH(AY1933+1,【参考】排出係数!$AI$4:$AI$671,1)-1,5,BE1933),4,FALSE)),IF(AND(BE1933=3,LEFT(BF1933,1)="1"),0.48,VLOOKUP(AU1933,INDEX((係数_乗用_ガソリン,係数_乗用_CNG,係数_乗用_軽油,係数_乗用_メタノール,係数_乗用_LPG),1,1,BE1933):INDEX((係数_乗用_ガソリン,係数_乗用_CNG,係数_乗用_軽油,係数_乗用_メタノール,係数_乗用_LPG),125,5,BE1933),4,FALSE)))))</f>
        <v/>
      </c>
      <c r="AL1933" s="461" t="str">
        <f t="shared" si="1109"/>
        <v/>
      </c>
      <c r="AM1933" s="460" t="str">
        <f>IF(AU1933="","",IF(OR(AZ1933=8,AZ1933=9),0,IF(OR(AW1933=3,AW1933=4,AW1933=5,AW1933=6),IF(LEFT(BH1933,1)="1",INDEX(係数_PM低減,MATCH(AY1933,【参考】排出係数!$AI$801:$AI$804,1),MATCH(BI1933,【参考】排出係数!$AL$798:$AO$798,1)),VLOOKUP(AU1933,INDEX((係数_バス貨物_ガソリン,係数_バス貨物_CNG,係数_バス貨物_軽油,係数_バス貨物_メタノール,係数_バス貨物_LPG),MATCH(AY1933,【参考】排出係数!$AI$4:$AI$671,1),1,BE1933):INDEX((係数_バス貨物_ガソリン,係数_バス貨物_CNG,係数_バス貨物_軽油,係数_バス貨物_メタノール,係数_バス貨物_LPG),MATCH(AY1933+1,【参考】排出係数!$AI$4:$AI$671,1)-1,5,BE1933),5,FALSE)),IF(AND(BE1933=3,LEFT(BF1933,1)="1"),0.055,VLOOKUP(AU1933,INDEX((係数_乗用_ガソリン,係数_乗用_CNG,係数_乗用_軽油,係数_乗用_メタノール,係数_乗用_LPG),1,1,BE1933):INDEX((係数_乗用_ガソリン,係数_乗用_CNG,係数_乗用_軽油,係数_乗用_メタノール,係数_乗用_LPG),125,5,BE1933),5,FALSE)))))</f>
        <v/>
      </c>
      <c r="AN1933" s="461" t="str">
        <f t="shared" si="1110"/>
        <v/>
      </c>
      <c r="AO1933" s="462" t="str">
        <f t="shared" si="1111"/>
        <v/>
      </c>
      <c r="AP1933" s="463" t="str">
        <f t="shared" si="1112"/>
        <v/>
      </c>
      <c r="AQ1933" s="464"/>
      <c r="AR1933" s="619"/>
      <c r="AS1933" s="465" t="str">
        <f t="shared" si="1120"/>
        <v/>
      </c>
      <c r="AT1933" s="465" t="str">
        <f t="shared" si="1121"/>
        <v/>
      </c>
      <c r="AU1933" s="466" t="str">
        <f t="shared" si="1122"/>
        <v/>
      </c>
      <c r="AV1933" s="467" t="str">
        <f t="shared" si="1123"/>
        <v/>
      </c>
      <c r="AW1933" s="467" t="str">
        <f t="shared" si="1124"/>
        <v/>
      </c>
      <c r="AX1933" s="467" t="str">
        <f t="shared" si="1125"/>
        <v/>
      </c>
      <c r="AY1933" s="467" t="str">
        <f t="shared" si="1126"/>
        <v/>
      </c>
      <c r="AZ1933" s="467" t="str">
        <f t="shared" si="1127"/>
        <v/>
      </c>
      <c r="BA1933" s="468" t="str">
        <f>IF(AS1933="","",IF(OR(AU1933="",AU1933="-"),"－",IF(OR(AZ1933=8,AZ1933=9),"",IF(OR(AW1933=3,AW1933=4,AW1933=5,AW1933=6),VLOOKUP(AU1933,INDEX((係数_バス貨物_ガソリン,係数_バス貨物_CNG,係数_バス貨物_軽油,係数_バス貨物_メタノール,係数_バス貨物_LPG),MATCH(AY1933,【参考】排出係数!$AI$4:$AI$671,1),1,BE1933):INDEX((係数_バス貨物_ガソリン,係数_バス貨物_CNG,係数_バス貨物_軽油,係数_バス貨物_メタノール,係数_バス貨物_LPG),MATCH(AY1933+1,【参考】排出係数!$AI$4:$AI$671,1)-1,5,BE1933),2,FALSE),IF(OR(AW1933=1,AW1933=2),VLOOKUP(AU1933,INDEX((係数_乗用_ガソリン,係数_乗用_CNG,係数_乗用_軽油,係数_乗用_メタノール,係数_乗用_LPG),1,1,BE1933):INDEX((係数_乗用_ガソリン,係数_乗用_CNG,係数_乗用_軽油,係数_乗用_メタノール,係数_乗用_LPG),125,5,BE1933),2,FALSE))))))</f>
        <v/>
      </c>
      <c r="BB1933" s="468" t="str">
        <f>IF(T1933="","",IF(OR(AU1933="",AU1933="-"),"－",IF(OR(AZ1933=8,AZ1933=9),"",IF(OR(AW1933=3,AW1933=4,AW1933=5,AW1933=6),VLOOKUP(AU1933,INDEX((係数_バス貨物_ガソリン,係数_バス貨物_CNG,係数_バス貨物_軽油,係数_バス貨物_メタノール,係数_バス貨物_LPG),MATCH(AY1933,【参考】排出係数!$AI$4:$AI$671,1),1,BE1933):INDEX((係数_バス貨物_ガソリン,係数_バス貨物_CNG,係数_バス貨物_軽油,係数_バス貨物_メタノール,係数_バス貨物_LPG),MATCH(AY1933+1,【参考】排出係数!$AI$4:$AI$671,1)-1,5,BE1933),3,FALSE),IF(OR(AW1933=1,AW1933=2),VLOOKUP(AU1933,INDEX((係数_乗用_ガソリン,係数_乗用_CNG,係数_乗用_軽油,係数_乗用_メタノール,係数_乗用_LPG),1,1,BE1933):INDEX((係数_乗用_ガソリン,係数_乗用_CNG,係数_乗用_軽油,係数_乗用_メタノール,係数_乗用_LPG),125,5,BE1933),3,FALSE))))))</f>
        <v/>
      </c>
      <c r="BC1933" s="467" t="str">
        <f t="shared" si="1128"/>
        <v/>
      </c>
      <c r="BD1933" s="567" t="str">
        <f t="shared" si="1129"/>
        <v/>
      </c>
      <c r="BE1933" s="467" t="str">
        <f t="shared" si="1130"/>
        <v/>
      </c>
      <c r="BF1933" s="469" t="str">
        <f t="shared" ca="1" si="1131"/>
        <v/>
      </c>
      <c r="BG1933" s="469" t="str">
        <f t="shared" ca="1" si="1132"/>
        <v/>
      </c>
      <c r="BH1933" s="467" t="str">
        <f t="shared" si="1133"/>
        <v/>
      </c>
      <c r="BI1933" s="467" t="str">
        <f t="shared" ca="1" si="1134"/>
        <v/>
      </c>
      <c r="BJ1933" s="469" t="str">
        <f t="shared" si="1135"/>
        <v/>
      </c>
      <c r="BK1933" s="470" t="str">
        <f t="shared" si="1119"/>
        <v/>
      </c>
      <c r="BL1933" s="775" t="str">
        <f t="shared" si="1136"/>
        <v/>
      </c>
      <c r="BM1933" s="775" t="str">
        <f t="shared" si="1137"/>
        <v/>
      </c>
    </row>
    <row r="1934" spans="1:65">
      <c r="A1934" s="473">
        <v>1878</v>
      </c>
      <c r="B1934" s="132"/>
      <c r="C1934" s="332"/>
      <c r="D1934" s="333"/>
      <c r="E1934" s="333"/>
      <c r="F1934" s="334"/>
      <c r="G1934" s="337"/>
      <c r="H1934" s="131"/>
      <c r="I1934" s="337"/>
      <c r="J1934" s="131"/>
      <c r="K1934" s="458" t="str">
        <f t="shared" si="1100"/>
        <v/>
      </c>
      <c r="L1934" s="458">
        <f t="shared" si="1101"/>
        <v>0</v>
      </c>
      <c r="M1934" s="458">
        <f t="shared" si="1102"/>
        <v>0</v>
      </c>
      <c r="N1934" s="459" t="str">
        <f t="shared" si="1113"/>
        <v/>
      </c>
      <c r="O1934" s="459" t="str">
        <f t="shared" si="1114"/>
        <v/>
      </c>
      <c r="P1934" s="459" t="str">
        <f t="shared" si="1115"/>
        <v/>
      </c>
      <c r="Q1934" s="459" t="str">
        <f t="shared" si="1116"/>
        <v/>
      </c>
      <c r="R1934" s="459" t="str">
        <f t="shared" si="1117"/>
        <v/>
      </c>
      <c r="S1934" s="459" t="str">
        <f t="shared" si="1118"/>
        <v/>
      </c>
      <c r="T1934" s="566" t="str">
        <f t="shared" si="1103"/>
        <v/>
      </c>
      <c r="U1934" s="702"/>
      <c r="V1934" s="132"/>
      <c r="W1934" s="133"/>
      <c r="X1934" s="134"/>
      <c r="Y1934" s="135"/>
      <c r="Z1934" s="137"/>
      <c r="AA1934" s="136"/>
      <c r="AB1934" s="566" t="str">
        <f t="shared" si="1104"/>
        <v/>
      </c>
      <c r="AC1934" s="568" t="str">
        <f t="shared" si="1105"/>
        <v/>
      </c>
      <c r="AD1934" s="137"/>
      <c r="AE1934" s="137"/>
      <c r="AF1934" s="138"/>
      <c r="AG1934" s="138"/>
      <c r="AH1934" s="592" t="str">
        <f t="shared" si="1106"/>
        <v/>
      </c>
      <c r="AI1934" s="592" t="str">
        <f t="shared" si="1107"/>
        <v/>
      </c>
      <c r="AJ1934" s="592" t="str">
        <f t="shared" si="1108"/>
        <v/>
      </c>
      <c r="AK1934" s="460" t="str">
        <f>IF(AU1934="","",IF(OR(AZ1934=8,AZ1934=9),0,IF(OR(AW1934=3,AW1934=4,AW1934=5,AW1934=6),IF(LEFT(BF1934,1)="1",INDEX(係数_NOX・PM低減,MATCH(AY1934,【参考】排出係数!$AI$801:$AI$804,1),1),VLOOKUP(AU1934,INDEX((係数_バス貨物_ガソリン,係数_バス貨物_CNG,係数_バス貨物_軽油,係数_バス貨物_メタノール,係数_バス貨物_LPG),MATCH(AY1934,【参考】排出係数!$AI$4:$AI$671,1),1,BE1934):INDEX((係数_バス貨物_ガソリン,係数_バス貨物_CNG,係数_バス貨物_軽油,係数_バス貨物_メタノール,係数_バス貨物_LPG),MATCH(AY1934+1,【参考】排出係数!$AI$4:$AI$671,1)-1,5,BE1934),4,FALSE)),IF(AND(BE1934=3,LEFT(BF1934,1)="1"),0.48,VLOOKUP(AU1934,INDEX((係数_乗用_ガソリン,係数_乗用_CNG,係数_乗用_軽油,係数_乗用_メタノール,係数_乗用_LPG),1,1,BE1934):INDEX((係数_乗用_ガソリン,係数_乗用_CNG,係数_乗用_軽油,係数_乗用_メタノール,係数_乗用_LPG),125,5,BE1934),4,FALSE)))))</f>
        <v/>
      </c>
      <c r="AL1934" s="461" t="str">
        <f t="shared" si="1109"/>
        <v/>
      </c>
      <c r="AM1934" s="460" t="str">
        <f>IF(AU1934="","",IF(OR(AZ1934=8,AZ1934=9),0,IF(OR(AW1934=3,AW1934=4,AW1934=5,AW1934=6),IF(LEFT(BH1934,1)="1",INDEX(係数_PM低減,MATCH(AY1934,【参考】排出係数!$AI$801:$AI$804,1),MATCH(BI1934,【参考】排出係数!$AL$798:$AO$798,1)),VLOOKUP(AU1934,INDEX((係数_バス貨物_ガソリン,係数_バス貨物_CNG,係数_バス貨物_軽油,係数_バス貨物_メタノール,係数_バス貨物_LPG),MATCH(AY1934,【参考】排出係数!$AI$4:$AI$671,1),1,BE1934):INDEX((係数_バス貨物_ガソリン,係数_バス貨物_CNG,係数_バス貨物_軽油,係数_バス貨物_メタノール,係数_バス貨物_LPG),MATCH(AY1934+1,【参考】排出係数!$AI$4:$AI$671,1)-1,5,BE1934),5,FALSE)),IF(AND(BE1934=3,LEFT(BF1934,1)="1"),0.055,VLOOKUP(AU1934,INDEX((係数_乗用_ガソリン,係数_乗用_CNG,係数_乗用_軽油,係数_乗用_メタノール,係数_乗用_LPG),1,1,BE1934):INDEX((係数_乗用_ガソリン,係数_乗用_CNG,係数_乗用_軽油,係数_乗用_メタノール,係数_乗用_LPG),125,5,BE1934),5,FALSE)))))</f>
        <v/>
      </c>
      <c r="AN1934" s="461" t="str">
        <f t="shared" si="1110"/>
        <v/>
      </c>
      <c r="AO1934" s="462" t="str">
        <f t="shared" si="1111"/>
        <v/>
      </c>
      <c r="AP1934" s="463" t="str">
        <f t="shared" si="1112"/>
        <v/>
      </c>
      <c r="AQ1934" s="464"/>
      <c r="AR1934" s="619"/>
      <c r="AS1934" s="465" t="str">
        <f t="shared" si="1120"/>
        <v/>
      </c>
      <c r="AT1934" s="465" t="str">
        <f t="shared" si="1121"/>
        <v/>
      </c>
      <c r="AU1934" s="466" t="str">
        <f t="shared" si="1122"/>
        <v/>
      </c>
      <c r="AV1934" s="467" t="str">
        <f t="shared" si="1123"/>
        <v/>
      </c>
      <c r="AW1934" s="467" t="str">
        <f t="shared" si="1124"/>
        <v/>
      </c>
      <c r="AX1934" s="467" t="str">
        <f t="shared" si="1125"/>
        <v/>
      </c>
      <c r="AY1934" s="467" t="str">
        <f t="shared" si="1126"/>
        <v/>
      </c>
      <c r="AZ1934" s="467" t="str">
        <f t="shared" si="1127"/>
        <v/>
      </c>
      <c r="BA1934" s="468" t="str">
        <f>IF(AS1934="","",IF(OR(AU1934="",AU1934="-"),"－",IF(OR(AZ1934=8,AZ1934=9),"",IF(OR(AW1934=3,AW1934=4,AW1934=5,AW1934=6),VLOOKUP(AU1934,INDEX((係数_バス貨物_ガソリン,係数_バス貨物_CNG,係数_バス貨物_軽油,係数_バス貨物_メタノール,係数_バス貨物_LPG),MATCH(AY1934,【参考】排出係数!$AI$4:$AI$671,1),1,BE1934):INDEX((係数_バス貨物_ガソリン,係数_バス貨物_CNG,係数_バス貨物_軽油,係数_バス貨物_メタノール,係数_バス貨物_LPG),MATCH(AY1934+1,【参考】排出係数!$AI$4:$AI$671,1)-1,5,BE1934),2,FALSE),IF(OR(AW1934=1,AW1934=2),VLOOKUP(AU1934,INDEX((係数_乗用_ガソリン,係数_乗用_CNG,係数_乗用_軽油,係数_乗用_メタノール,係数_乗用_LPG),1,1,BE1934):INDEX((係数_乗用_ガソリン,係数_乗用_CNG,係数_乗用_軽油,係数_乗用_メタノール,係数_乗用_LPG),125,5,BE1934),2,FALSE))))))</f>
        <v/>
      </c>
      <c r="BB1934" s="468" t="str">
        <f>IF(T1934="","",IF(OR(AU1934="",AU1934="-"),"－",IF(OR(AZ1934=8,AZ1934=9),"",IF(OR(AW1934=3,AW1934=4,AW1934=5,AW1934=6),VLOOKUP(AU1934,INDEX((係数_バス貨物_ガソリン,係数_バス貨物_CNG,係数_バス貨物_軽油,係数_バス貨物_メタノール,係数_バス貨物_LPG),MATCH(AY1934,【参考】排出係数!$AI$4:$AI$671,1),1,BE1934):INDEX((係数_バス貨物_ガソリン,係数_バス貨物_CNG,係数_バス貨物_軽油,係数_バス貨物_メタノール,係数_バス貨物_LPG),MATCH(AY1934+1,【参考】排出係数!$AI$4:$AI$671,1)-1,5,BE1934),3,FALSE),IF(OR(AW1934=1,AW1934=2),VLOOKUP(AU1934,INDEX((係数_乗用_ガソリン,係数_乗用_CNG,係数_乗用_軽油,係数_乗用_メタノール,係数_乗用_LPG),1,1,BE1934):INDEX((係数_乗用_ガソリン,係数_乗用_CNG,係数_乗用_軽油,係数_乗用_メタノール,係数_乗用_LPG),125,5,BE1934),3,FALSE))))))</f>
        <v/>
      </c>
      <c r="BC1934" s="467" t="str">
        <f t="shared" si="1128"/>
        <v/>
      </c>
      <c r="BD1934" s="567" t="str">
        <f t="shared" si="1129"/>
        <v/>
      </c>
      <c r="BE1934" s="467" t="str">
        <f t="shared" si="1130"/>
        <v/>
      </c>
      <c r="BF1934" s="469" t="str">
        <f t="shared" ca="1" si="1131"/>
        <v/>
      </c>
      <c r="BG1934" s="469" t="str">
        <f t="shared" ca="1" si="1132"/>
        <v/>
      </c>
      <c r="BH1934" s="467" t="str">
        <f t="shared" si="1133"/>
        <v/>
      </c>
      <c r="BI1934" s="467" t="str">
        <f t="shared" ca="1" si="1134"/>
        <v/>
      </c>
      <c r="BJ1934" s="469" t="str">
        <f t="shared" si="1135"/>
        <v/>
      </c>
      <c r="BK1934" s="470" t="str">
        <f t="shared" si="1119"/>
        <v/>
      </c>
      <c r="BL1934" s="775" t="str">
        <f t="shared" si="1136"/>
        <v/>
      </c>
      <c r="BM1934" s="775" t="str">
        <f t="shared" si="1137"/>
        <v/>
      </c>
    </row>
    <row r="1935" spans="1:65">
      <c r="A1935" s="473">
        <v>1879</v>
      </c>
      <c r="B1935" s="132"/>
      <c r="C1935" s="332"/>
      <c r="D1935" s="333"/>
      <c r="E1935" s="333"/>
      <c r="F1935" s="334"/>
      <c r="G1935" s="337"/>
      <c r="H1935" s="131"/>
      <c r="I1935" s="337"/>
      <c r="J1935" s="131"/>
      <c r="K1935" s="458" t="str">
        <f t="shared" si="1100"/>
        <v/>
      </c>
      <c r="L1935" s="458">
        <f t="shared" si="1101"/>
        <v>0</v>
      </c>
      <c r="M1935" s="458">
        <f t="shared" si="1102"/>
        <v>0</v>
      </c>
      <c r="N1935" s="459" t="str">
        <f t="shared" si="1113"/>
        <v/>
      </c>
      <c r="O1935" s="459" t="str">
        <f t="shared" si="1114"/>
        <v/>
      </c>
      <c r="P1935" s="459" t="str">
        <f t="shared" si="1115"/>
        <v/>
      </c>
      <c r="Q1935" s="459" t="str">
        <f t="shared" si="1116"/>
        <v/>
      </c>
      <c r="R1935" s="459" t="str">
        <f t="shared" si="1117"/>
        <v/>
      </c>
      <c r="S1935" s="459" t="str">
        <f t="shared" si="1118"/>
        <v/>
      </c>
      <c r="T1935" s="566" t="str">
        <f t="shared" si="1103"/>
        <v/>
      </c>
      <c r="U1935" s="702"/>
      <c r="V1935" s="132"/>
      <c r="W1935" s="133"/>
      <c r="X1935" s="134"/>
      <c r="Y1935" s="135"/>
      <c r="Z1935" s="137"/>
      <c r="AA1935" s="136"/>
      <c r="AB1935" s="566" t="str">
        <f t="shared" si="1104"/>
        <v/>
      </c>
      <c r="AC1935" s="568" t="str">
        <f t="shared" si="1105"/>
        <v/>
      </c>
      <c r="AD1935" s="137"/>
      <c r="AE1935" s="137"/>
      <c r="AF1935" s="138"/>
      <c r="AG1935" s="138"/>
      <c r="AH1935" s="592" t="str">
        <f t="shared" si="1106"/>
        <v/>
      </c>
      <c r="AI1935" s="592" t="str">
        <f t="shared" si="1107"/>
        <v/>
      </c>
      <c r="AJ1935" s="592" t="str">
        <f t="shared" si="1108"/>
        <v/>
      </c>
      <c r="AK1935" s="460" t="str">
        <f>IF(AU1935="","",IF(OR(AZ1935=8,AZ1935=9),0,IF(OR(AW1935=3,AW1935=4,AW1935=5,AW1935=6),IF(LEFT(BF1935,1)="1",INDEX(係数_NOX・PM低減,MATCH(AY1935,【参考】排出係数!$AI$801:$AI$804,1),1),VLOOKUP(AU1935,INDEX((係数_バス貨物_ガソリン,係数_バス貨物_CNG,係数_バス貨物_軽油,係数_バス貨物_メタノール,係数_バス貨物_LPG),MATCH(AY1935,【参考】排出係数!$AI$4:$AI$671,1),1,BE1935):INDEX((係数_バス貨物_ガソリン,係数_バス貨物_CNG,係数_バス貨物_軽油,係数_バス貨物_メタノール,係数_バス貨物_LPG),MATCH(AY1935+1,【参考】排出係数!$AI$4:$AI$671,1)-1,5,BE1935),4,FALSE)),IF(AND(BE1935=3,LEFT(BF1935,1)="1"),0.48,VLOOKUP(AU1935,INDEX((係数_乗用_ガソリン,係数_乗用_CNG,係数_乗用_軽油,係数_乗用_メタノール,係数_乗用_LPG),1,1,BE1935):INDEX((係数_乗用_ガソリン,係数_乗用_CNG,係数_乗用_軽油,係数_乗用_メタノール,係数_乗用_LPG),125,5,BE1935),4,FALSE)))))</f>
        <v/>
      </c>
      <c r="AL1935" s="461" t="str">
        <f t="shared" si="1109"/>
        <v/>
      </c>
      <c r="AM1935" s="460" t="str">
        <f>IF(AU1935="","",IF(OR(AZ1935=8,AZ1935=9),0,IF(OR(AW1935=3,AW1935=4,AW1935=5,AW1935=6),IF(LEFT(BH1935,1)="1",INDEX(係数_PM低減,MATCH(AY1935,【参考】排出係数!$AI$801:$AI$804,1),MATCH(BI1935,【参考】排出係数!$AL$798:$AO$798,1)),VLOOKUP(AU1935,INDEX((係数_バス貨物_ガソリン,係数_バス貨物_CNG,係数_バス貨物_軽油,係数_バス貨物_メタノール,係数_バス貨物_LPG),MATCH(AY1935,【参考】排出係数!$AI$4:$AI$671,1),1,BE1935):INDEX((係数_バス貨物_ガソリン,係数_バス貨物_CNG,係数_バス貨物_軽油,係数_バス貨物_メタノール,係数_バス貨物_LPG),MATCH(AY1935+1,【参考】排出係数!$AI$4:$AI$671,1)-1,5,BE1935),5,FALSE)),IF(AND(BE1935=3,LEFT(BF1935,1)="1"),0.055,VLOOKUP(AU1935,INDEX((係数_乗用_ガソリン,係数_乗用_CNG,係数_乗用_軽油,係数_乗用_メタノール,係数_乗用_LPG),1,1,BE1935):INDEX((係数_乗用_ガソリン,係数_乗用_CNG,係数_乗用_軽油,係数_乗用_メタノール,係数_乗用_LPG),125,5,BE1935),5,FALSE)))))</f>
        <v/>
      </c>
      <c r="AN1935" s="461" t="str">
        <f t="shared" si="1110"/>
        <v/>
      </c>
      <c r="AO1935" s="462" t="str">
        <f t="shared" si="1111"/>
        <v/>
      </c>
      <c r="AP1935" s="463" t="str">
        <f t="shared" si="1112"/>
        <v/>
      </c>
      <c r="AQ1935" s="464"/>
      <c r="AR1935" s="619"/>
      <c r="AS1935" s="465" t="str">
        <f t="shared" si="1120"/>
        <v/>
      </c>
      <c r="AT1935" s="465" t="str">
        <f t="shared" si="1121"/>
        <v/>
      </c>
      <c r="AU1935" s="466" t="str">
        <f t="shared" si="1122"/>
        <v/>
      </c>
      <c r="AV1935" s="467" t="str">
        <f t="shared" si="1123"/>
        <v/>
      </c>
      <c r="AW1935" s="467" t="str">
        <f t="shared" si="1124"/>
        <v/>
      </c>
      <c r="AX1935" s="467" t="str">
        <f t="shared" si="1125"/>
        <v/>
      </c>
      <c r="AY1935" s="467" t="str">
        <f t="shared" si="1126"/>
        <v/>
      </c>
      <c r="AZ1935" s="467" t="str">
        <f t="shared" si="1127"/>
        <v/>
      </c>
      <c r="BA1935" s="468" t="str">
        <f>IF(AS1935="","",IF(OR(AU1935="",AU1935="-"),"－",IF(OR(AZ1935=8,AZ1935=9),"",IF(OR(AW1935=3,AW1935=4,AW1935=5,AW1935=6),VLOOKUP(AU1935,INDEX((係数_バス貨物_ガソリン,係数_バス貨物_CNG,係数_バス貨物_軽油,係数_バス貨物_メタノール,係数_バス貨物_LPG),MATCH(AY1935,【参考】排出係数!$AI$4:$AI$671,1),1,BE1935):INDEX((係数_バス貨物_ガソリン,係数_バス貨物_CNG,係数_バス貨物_軽油,係数_バス貨物_メタノール,係数_バス貨物_LPG),MATCH(AY1935+1,【参考】排出係数!$AI$4:$AI$671,1)-1,5,BE1935),2,FALSE),IF(OR(AW1935=1,AW1935=2),VLOOKUP(AU1935,INDEX((係数_乗用_ガソリン,係数_乗用_CNG,係数_乗用_軽油,係数_乗用_メタノール,係数_乗用_LPG),1,1,BE1935):INDEX((係数_乗用_ガソリン,係数_乗用_CNG,係数_乗用_軽油,係数_乗用_メタノール,係数_乗用_LPG),125,5,BE1935),2,FALSE))))))</f>
        <v/>
      </c>
      <c r="BB1935" s="468" t="str">
        <f>IF(T1935="","",IF(OR(AU1935="",AU1935="-"),"－",IF(OR(AZ1935=8,AZ1935=9),"",IF(OR(AW1935=3,AW1935=4,AW1935=5,AW1935=6),VLOOKUP(AU1935,INDEX((係数_バス貨物_ガソリン,係数_バス貨物_CNG,係数_バス貨物_軽油,係数_バス貨物_メタノール,係数_バス貨物_LPG),MATCH(AY1935,【参考】排出係数!$AI$4:$AI$671,1),1,BE1935):INDEX((係数_バス貨物_ガソリン,係数_バス貨物_CNG,係数_バス貨物_軽油,係数_バス貨物_メタノール,係数_バス貨物_LPG),MATCH(AY1935+1,【参考】排出係数!$AI$4:$AI$671,1)-1,5,BE1935),3,FALSE),IF(OR(AW1935=1,AW1935=2),VLOOKUP(AU1935,INDEX((係数_乗用_ガソリン,係数_乗用_CNG,係数_乗用_軽油,係数_乗用_メタノール,係数_乗用_LPG),1,1,BE1935):INDEX((係数_乗用_ガソリン,係数_乗用_CNG,係数_乗用_軽油,係数_乗用_メタノール,係数_乗用_LPG),125,5,BE1935),3,FALSE))))))</f>
        <v/>
      </c>
      <c r="BC1935" s="467" t="str">
        <f t="shared" si="1128"/>
        <v/>
      </c>
      <c r="BD1935" s="567" t="str">
        <f t="shared" si="1129"/>
        <v/>
      </c>
      <c r="BE1935" s="467" t="str">
        <f t="shared" si="1130"/>
        <v/>
      </c>
      <c r="BF1935" s="469" t="str">
        <f t="shared" ca="1" si="1131"/>
        <v/>
      </c>
      <c r="BG1935" s="469" t="str">
        <f t="shared" ca="1" si="1132"/>
        <v/>
      </c>
      <c r="BH1935" s="467" t="str">
        <f t="shared" si="1133"/>
        <v/>
      </c>
      <c r="BI1935" s="467" t="str">
        <f t="shared" ca="1" si="1134"/>
        <v/>
      </c>
      <c r="BJ1935" s="469" t="str">
        <f t="shared" si="1135"/>
        <v/>
      </c>
      <c r="BK1935" s="470" t="str">
        <f t="shared" si="1119"/>
        <v/>
      </c>
      <c r="BL1935" s="775" t="str">
        <f t="shared" si="1136"/>
        <v/>
      </c>
      <c r="BM1935" s="775" t="str">
        <f t="shared" si="1137"/>
        <v/>
      </c>
    </row>
    <row r="1936" spans="1:65">
      <c r="A1936" s="473">
        <v>1880</v>
      </c>
      <c r="B1936" s="132"/>
      <c r="C1936" s="332"/>
      <c r="D1936" s="333"/>
      <c r="E1936" s="333"/>
      <c r="F1936" s="334"/>
      <c r="G1936" s="337"/>
      <c r="H1936" s="131"/>
      <c r="I1936" s="337"/>
      <c r="J1936" s="131"/>
      <c r="K1936" s="458" t="str">
        <f t="shared" si="1100"/>
        <v/>
      </c>
      <c r="L1936" s="458">
        <f t="shared" si="1101"/>
        <v>0</v>
      </c>
      <c r="M1936" s="458">
        <f t="shared" si="1102"/>
        <v>0</v>
      </c>
      <c r="N1936" s="459" t="str">
        <f t="shared" si="1113"/>
        <v/>
      </c>
      <c r="O1936" s="459" t="str">
        <f t="shared" si="1114"/>
        <v/>
      </c>
      <c r="P1936" s="459" t="str">
        <f t="shared" si="1115"/>
        <v/>
      </c>
      <c r="Q1936" s="459" t="str">
        <f t="shared" si="1116"/>
        <v/>
      </c>
      <c r="R1936" s="459" t="str">
        <f t="shared" si="1117"/>
        <v/>
      </c>
      <c r="S1936" s="459" t="str">
        <f t="shared" si="1118"/>
        <v/>
      </c>
      <c r="T1936" s="566" t="str">
        <f t="shared" si="1103"/>
        <v/>
      </c>
      <c r="U1936" s="702"/>
      <c r="V1936" s="132"/>
      <c r="W1936" s="133"/>
      <c r="X1936" s="134"/>
      <c r="Y1936" s="135"/>
      <c r="Z1936" s="137"/>
      <c r="AA1936" s="136"/>
      <c r="AB1936" s="566" t="str">
        <f t="shared" si="1104"/>
        <v/>
      </c>
      <c r="AC1936" s="568" t="str">
        <f t="shared" si="1105"/>
        <v/>
      </c>
      <c r="AD1936" s="137"/>
      <c r="AE1936" s="137"/>
      <c r="AF1936" s="138"/>
      <c r="AG1936" s="138"/>
      <c r="AH1936" s="592" t="str">
        <f t="shared" si="1106"/>
        <v/>
      </c>
      <c r="AI1936" s="592" t="str">
        <f t="shared" si="1107"/>
        <v/>
      </c>
      <c r="AJ1936" s="592" t="str">
        <f t="shared" si="1108"/>
        <v/>
      </c>
      <c r="AK1936" s="460" t="str">
        <f>IF(AU1936="","",IF(OR(AZ1936=8,AZ1936=9),0,IF(OR(AW1936=3,AW1936=4,AW1936=5,AW1936=6),IF(LEFT(BF1936,1)="1",INDEX(係数_NOX・PM低減,MATCH(AY1936,【参考】排出係数!$AI$801:$AI$804,1),1),VLOOKUP(AU1936,INDEX((係数_バス貨物_ガソリン,係数_バス貨物_CNG,係数_バス貨物_軽油,係数_バス貨物_メタノール,係数_バス貨物_LPG),MATCH(AY1936,【参考】排出係数!$AI$4:$AI$671,1),1,BE1936):INDEX((係数_バス貨物_ガソリン,係数_バス貨物_CNG,係数_バス貨物_軽油,係数_バス貨物_メタノール,係数_バス貨物_LPG),MATCH(AY1936+1,【参考】排出係数!$AI$4:$AI$671,1)-1,5,BE1936),4,FALSE)),IF(AND(BE1936=3,LEFT(BF1936,1)="1"),0.48,VLOOKUP(AU1936,INDEX((係数_乗用_ガソリン,係数_乗用_CNG,係数_乗用_軽油,係数_乗用_メタノール,係数_乗用_LPG),1,1,BE1936):INDEX((係数_乗用_ガソリン,係数_乗用_CNG,係数_乗用_軽油,係数_乗用_メタノール,係数_乗用_LPG),125,5,BE1936),4,FALSE)))))</f>
        <v/>
      </c>
      <c r="AL1936" s="461" t="str">
        <f t="shared" si="1109"/>
        <v/>
      </c>
      <c r="AM1936" s="460" t="str">
        <f>IF(AU1936="","",IF(OR(AZ1936=8,AZ1936=9),0,IF(OR(AW1936=3,AW1936=4,AW1936=5,AW1936=6),IF(LEFT(BH1936,1)="1",INDEX(係数_PM低減,MATCH(AY1936,【参考】排出係数!$AI$801:$AI$804,1),MATCH(BI1936,【参考】排出係数!$AL$798:$AO$798,1)),VLOOKUP(AU1936,INDEX((係数_バス貨物_ガソリン,係数_バス貨物_CNG,係数_バス貨物_軽油,係数_バス貨物_メタノール,係数_バス貨物_LPG),MATCH(AY1936,【参考】排出係数!$AI$4:$AI$671,1),1,BE1936):INDEX((係数_バス貨物_ガソリン,係数_バス貨物_CNG,係数_バス貨物_軽油,係数_バス貨物_メタノール,係数_バス貨物_LPG),MATCH(AY1936+1,【参考】排出係数!$AI$4:$AI$671,1)-1,5,BE1936),5,FALSE)),IF(AND(BE1936=3,LEFT(BF1936,1)="1"),0.055,VLOOKUP(AU1936,INDEX((係数_乗用_ガソリン,係数_乗用_CNG,係数_乗用_軽油,係数_乗用_メタノール,係数_乗用_LPG),1,1,BE1936):INDEX((係数_乗用_ガソリン,係数_乗用_CNG,係数_乗用_軽油,係数_乗用_メタノール,係数_乗用_LPG),125,5,BE1936),5,FALSE)))))</f>
        <v/>
      </c>
      <c r="AN1936" s="461" t="str">
        <f t="shared" si="1110"/>
        <v/>
      </c>
      <c r="AO1936" s="462" t="str">
        <f t="shared" si="1111"/>
        <v/>
      </c>
      <c r="AP1936" s="463" t="str">
        <f t="shared" si="1112"/>
        <v/>
      </c>
      <c r="AQ1936" s="464"/>
      <c r="AR1936" s="619"/>
      <c r="AS1936" s="465" t="str">
        <f t="shared" si="1120"/>
        <v/>
      </c>
      <c r="AT1936" s="465" t="str">
        <f t="shared" si="1121"/>
        <v/>
      </c>
      <c r="AU1936" s="466" t="str">
        <f t="shared" si="1122"/>
        <v/>
      </c>
      <c r="AV1936" s="467" t="str">
        <f t="shared" si="1123"/>
        <v/>
      </c>
      <c r="AW1936" s="467" t="str">
        <f t="shared" si="1124"/>
        <v/>
      </c>
      <c r="AX1936" s="467" t="str">
        <f t="shared" si="1125"/>
        <v/>
      </c>
      <c r="AY1936" s="467" t="str">
        <f t="shared" si="1126"/>
        <v/>
      </c>
      <c r="AZ1936" s="467" t="str">
        <f t="shared" si="1127"/>
        <v/>
      </c>
      <c r="BA1936" s="468" t="str">
        <f>IF(AS1936="","",IF(OR(AU1936="",AU1936="-"),"－",IF(OR(AZ1936=8,AZ1936=9),"",IF(OR(AW1936=3,AW1936=4,AW1936=5,AW1936=6),VLOOKUP(AU1936,INDEX((係数_バス貨物_ガソリン,係数_バス貨物_CNG,係数_バス貨物_軽油,係数_バス貨物_メタノール,係数_バス貨物_LPG),MATCH(AY1936,【参考】排出係数!$AI$4:$AI$671,1),1,BE1936):INDEX((係数_バス貨物_ガソリン,係数_バス貨物_CNG,係数_バス貨物_軽油,係数_バス貨物_メタノール,係数_バス貨物_LPG),MATCH(AY1936+1,【参考】排出係数!$AI$4:$AI$671,1)-1,5,BE1936),2,FALSE),IF(OR(AW1936=1,AW1936=2),VLOOKUP(AU1936,INDEX((係数_乗用_ガソリン,係数_乗用_CNG,係数_乗用_軽油,係数_乗用_メタノール,係数_乗用_LPG),1,1,BE1936):INDEX((係数_乗用_ガソリン,係数_乗用_CNG,係数_乗用_軽油,係数_乗用_メタノール,係数_乗用_LPG),125,5,BE1936),2,FALSE))))))</f>
        <v/>
      </c>
      <c r="BB1936" s="468" t="str">
        <f>IF(T1936="","",IF(OR(AU1936="",AU1936="-"),"－",IF(OR(AZ1936=8,AZ1936=9),"",IF(OR(AW1936=3,AW1936=4,AW1936=5,AW1936=6),VLOOKUP(AU1936,INDEX((係数_バス貨物_ガソリン,係数_バス貨物_CNG,係数_バス貨物_軽油,係数_バス貨物_メタノール,係数_バス貨物_LPG),MATCH(AY1936,【参考】排出係数!$AI$4:$AI$671,1),1,BE1936):INDEX((係数_バス貨物_ガソリン,係数_バス貨物_CNG,係数_バス貨物_軽油,係数_バス貨物_メタノール,係数_バス貨物_LPG),MATCH(AY1936+1,【参考】排出係数!$AI$4:$AI$671,1)-1,5,BE1936),3,FALSE),IF(OR(AW1936=1,AW1936=2),VLOOKUP(AU1936,INDEX((係数_乗用_ガソリン,係数_乗用_CNG,係数_乗用_軽油,係数_乗用_メタノール,係数_乗用_LPG),1,1,BE1936):INDEX((係数_乗用_ガソリン,係数_乗用_CNG,係数_乗用_軽油,係数_乗用_メタノール,係数_乗用_LPG),125,5,BE1936),3,FALSE))))))</f>
        <v/>
      </c>
      <c r="BC1936" s="467" t="str">
        <f t="shared" si="1128"/>
        <v/>
      </c>
      <c r="BD1936" s="567" t="str">
        <f t="shared" si="1129"/>
        <v/>
      </c>
      <c r="BE1936" s="467" t="str">
        <f t="shared" si="1130"/>
        <v/>
      </c>
      <c r="BF1936" s="469" t="str">
        <f t="shared" ca="1" si="1131"/>
        <v/>
      </c>
      <c r="BG1936" s="469" t="str">
        <f t="shared" ca="1" si="1132"/>
        <v/>
      </c>
      <c r="BH1936" s="467" t="str">
        <f t="shared" si="1133"/>
        <v/>
      </c>
      <c r="BI1936" s="467" t="str">
        <f t="shared" ca="1" si="1134"/>
        <v/>
      </c>
      <c r="BJ1936" s="469" t="str">
        <f t="shared" si="1135"/>
        <v/>
      </c>
      <c r="BK1936" s="470" t="str">
        <f t="shared" si="1119"/>
        <v/>
      </c>
      <c r="BL1936" s="775" t="str">
        <f t="shared" si="1136"/>
        <v/>
      </c>
      <c r="BM1936" s="775" t="str">
        <f t="shared" si="1137"/>
        <v/>
      </c>
    </row>
    <row r="1937" spans="1:65">
      <c r="A1937" s="473">
        <v>1881</v>
      </c>
      <c r="B1937" s="132"/>
      <c r="C1937" s="332"/>
      <c r="D1937" s="333"/>
      <c r="E1937" s="333"/>
      <c r="F1937" s="334"/>
      <c r="G1937" s="337"/>
      <c r="H1937" s="131"/>
      <c r="I1937" s="337"/>
      <c r="J1937" s="131"/>
      <c r="K1937" s="458" t="str">
        <f t="shared" si="1100"/>
        <v/>
      </c>
      <c r="L1937" s="458">
        <f t="shared" si="1101"/>
        <v>0</v>
      </c>
      <c r="M1937" s="458">
        <f t="shared" si="1102"/>
        <v>0</v>
      </c>
      <c r="N1937" s="459" t="str">
        <f t="shared" si="1113"/>
        <v/>
      </c>
      <c r="O1937" s="459" t="str">
        <f t="shared" si="1114"/>
        <v/>
      </c>
      <c r="P1937" s="459" t="str">
        <f t="shared" si="1115"/>
        <v/>
      </c>
      <c r="Q1937" s="459" t="str">
        <f t="shared" si="1116"/>
        <v/>
      </c>
      <c r="R1937" s="459" t="str">
        <f t="shared" si="1117"/>
        <v/>
      </c>
      <c r="S1937" s="459" t="str">
        <f t="shared" si="1118"/>
        <v/>
      </c>
      <c r="T1937" s="566" t="str">
        <f t="shared" si="1103"/>
        <v/>
      </c>
      <c r="U1937" s="702"/>
      <c r="V1937" s="132"/>
      <c r="W1937" s="133"/>
      <c r="X1937" s="134"/>
      <c r="Y1937" s="135"/>
      <c r="Z1937" s="137"/>
      <c r="AA1937" s="136"/>
      <c r="AB1937" s="566" t="str">
        <f t="shared" si="1104"/>
        <v/>
      </c>
      <c r="AC1937" s="568" t="str">
        <f t="shared" si="1105"/>
        <v/>
      </c>
      <c r="AD1937" s="137"/>
      <c r="AE1937" s="137"/>
      <c r="AF1937" s="138"/>
      <c r="AG1937" s="138"/>
      <c r="AH1937" s="592" t="str">
        <f t="shared" si="1106"/>
        <v/>
      </c>
      <c r="AI1937" s="592" t="str">
        <f t="shared" si="1107"/>
        <v/>
      </c>
      <c r="AJ1937" s="592" t="str">
        <f t="shared" si="1108"/>
        <v/>
      </c>
      <c r="AK1937" s="460" t="str">
        <f>IF(AU1937="","",IF(OR(AZ1937=8,AZ1937=9),0,IF(OR(AW1937=3,AW1937=4,AW1937=5,AW1937=6),IF(LEFT(BF1937,1)="1",INDEX(係数_NOX・PM低減,MATCH(AY1937,【参考】排出係数!$AI$801:$AI$804,1),1),VLOOKUP(AU1937,INDEX((係数_バス貨物_ガソリン,係数_バス貨物_CNG,係数_バス貨物_軽油,係数_バス貨物_メタノール,係数_バス貨物_LPG),MATCH(AY1937,【参考】排出係数!$AI$4:$AI$671,1),1,BE1937):INDEX((係数_バス貨物_ガソリン,係数_バス貨物_CNG,係数_バス貨物_軽油,係数_バス貨物_メタノール,係数_バス貨物_LPG),MATCH(AY1937+1,【参考】排出係数!$AI$4:$AI$671,1)-1,5,BE1937),4,FALSE)),IF(AND(BE1937=3,LEFT(BF1937,1)="1"),0.48,VLOOKUP(AU1937,INDEX((係数_乗用_ガソリン,係数_乗用_CNG,係数_乗用_軽油,係数_乗用_メタノール,係数_乗用_LPG),1,1,BE1937):INDEX((係数_乗用_ガソリン,係数_乗用_CNG,係数_乗用_軽油,係数_乗用_メタノール,係数_乗用_LPG),125,5,BE1937),4,FALSE)))))</f>
        <v/>
      </c>
      <c r="AL1937" s="461" t="str">
        <f t="shared" si="1109"/>
        <v/>
      </c>
      <c r="AM1937" s="460" t="str">
        <f>IF(AU1937="","",IF(OR(AZ1937=8,AZ1937=9),0,IF(OR(AW1937=3,AW1937=4,AW1937=5,AW1937=6),IF(LEFT(BH1937,1)="1",INDEX(係数_PM低減,MATCH(AY1937,【参考】排出係数!$AI$801:$AI$804,1),MATCH(BI1937,【参考】排出係数!$AL$798:$AO$798,1)),VLOOKUP(AU1937,INDEX((係数_バス貨物_ガソリン,係数_バス貨物_CNG,係数_バス貨物_軽油,係数_バス貨物_メタノール,係数_バス貨物_LPG),MATCH(AY1937,【参考】排出係数!$AI$4:$AI$671,1),1,BE1937):INDEX((係数_バス貨物_ガソリン,係数_バス貨物_CNG,係数_バス貨物_軽油,係数_バス貨物_メタノール,係数_バス貨物_LPG),MATCH(AY1937+1,【参考】排出係数!$AI$4:$AI$671,1)-1,5,BE1937),5,FALSE)),IF(AND(BE1937=3,LEFT(BF1937,1)="1"),0.055,VLOOKUP(AU1937,INDEX((係数_乗用_ガソリン,係数_乗用_CNG,係数_乗用_軽油,係数_乗用_メタノール,係数_乗用_LPG),1,1,BE1937):INDEX((係数_乗用_ガソリン,係数_乗用_CNG,係数_乗用_軽油,係数_乗用_メタノール,係数_乗用_LPG),125,5,BE1937),5,FALSE)))))</f>
        <v/>
      </c>
      <c r="AN1937" s="461" t="str">
        <f t="shared" si="1110"/>
        <v/>
      </c>
      <c r="AO1937" s="462" t="str">
        <f t="shared" si="1111"/>
        <v/>
      </c>
      <c r="AP1937" s="463" t="str">
        <f t="shared" si="1112"/>
        <v/>
      </c>
      <c r="AQ1937" s="464"/>
      <c r="AR1937" s="619"/>
      <c r="AS1937" s="465" t="str">
        <f t="shared" si="1120"/>
        <v/>
      </c>
      <c r="AT1937" s="465" t="str">
        <f t="shared" si="1121"/>
        <v/>
      </c>
      <c r="AU1937" s="466" t="str">
        <f t="shared" si="1122"/>
        <v/>
      </c>
      <c r="AV1937" s="467" t="str">
        <f t="shared" si="1123"/>
        <v/>
      </c>
      <c r="AW1937" s="467" t="str">
        <f t="shared" si="1124"/>
        <v/>
      </c>
      <c r="AX1937" s="467" t="str">
        <f t="shared" si="1125"/>
        <v/>
      </c>
      <c r="AY1937" s="467" t="str">
        <f t="shared" si="1126"/>
        <v/>
      </c>
      <c r="AZ1937" s="467" t="str">
        <f t="shared" si="1127"/>
        <v/>
      </c>
      <c r="BA1937" s="468" t="str">
        <f>IF(AS1937="","",IF(OR(AU1937="",AU1937="-"),"－",IF(OR(AZ1937=8,AZ1937=9),"",IF(OR(AW1937=3,AW1937=4,AW1937=5,AW1937=6),VLOOKUP(AU1937,INDEX((係数_バス貨物_ガソリン,係数_バス貨物_CNG,係数_バス貨物_軽油,係数_バス貨物_メタノール,係数_バス貨物_LPG),MATCH(AY1937,【参考】排出係数!$AI$4:$AI$671,1),1,BE1937):INDEX((係数_バス貨物_ガソリン,係数_バス貨物_CNG,係数_バス貨物_軽油,係数_バス貨物_メタノール,係数_バス貨物_LPG),MATCH(AY1937+1,【参考】排出係数!$AI$4:$AI$671,1)-1,5,BE1937),2,FALSE),IF(OR(AW1937=1,AW1937=2),VLOOKUP(AU1937,INDEX((係数_乗用_ガソリン,係数_乗用_CNG,係数_乗用_軽油,係数_乗用_メタノール,係数_乗用_LPG),1,1,BE1937):INDEX((係数_乗用_ガソリン,係数_乗用_CNG,係数_乗用_軽油,係数_乗用_メタノール,係数_乗用_LPG),125,5,BE1937),2,FALSE))))))</f>
        <v/>
      </c>
      <c r="BB1937" s="468" t="str">
        <f>IF(T1937="","",IF(OR(AU1937="",AU1937="-"),"－",IF(OR(AZ1937=8,AZ1937=9),"",IF(OR(AW1937=3,AW1937=4,AW1937=5,AW1937=6),VLOOKUP(AU1937,INDEX((係数_バス貨物_ガソリン,係数_バス貨物_CNG,係数_バス貨物_軽油,係数_バス貨物_メタノール,係数_バス貨物_LPG),MATCH(AY1937,【参考】排出係数!$AI$4:$AI$671,1),1,BE1937):INDEX((係数_バス貨物_ガソリン,係数_バス貨物_CNG,係数_バス貨物_軽油,係数_バス貨物_メタノール,係数_バス貨物_LPG),MATCH(AY1937+1,【参考】排出係数!$AI$4:$AI$671,1)-1,5,BE1937),3,FALSE),IF(OR(AW1937=1,AW1937=2),VLOOKUP(AU1937,INDEX((係数_乗用_ガソリン,係数_乗用_CNG,係数_乗用_軽油,係数_乗用_メタノール,係数_乗用_LPG),1,1,BE1937):INDEX((係数_乗用_ガソリン,係数_乗用_CNG,係数_乗用_軽油,係数_乗用_メタノール,係数_乗用_LPG),125,5,BE1937),3,FALSE))))))</f>
        <v/>
      </c>
      <c r="BC1937" s="467" t="str">
        <f t="shared" si="1128"/>
        <v/>
      </c>
      <c r="BD1937" s="567" t="str">
        <f t="shared" si="1129"/>
        <v/>
      </c>
      <c r="BE1937" s="467" t="str">
        <f t="shared" si="1130"/>
        <v/>
      </c>
      <c r="BF1937" s="469" t="str">
        <f t="shared" ca="1" si="1131"/>
        <v/>
      </c>
      <c r="BG1937" s="469" t="str">
        <f t="shared" ca="1" si="1132"/>
        <v/>
      </c>
      <c r="BH1937" s="467" t="str">
        <f t="shared" si="1133"/>
        <v/>
      </c>
      <c r="BI1937" s="467" t="str">
        <f t="shared" ca="1" si="1134"/>
        <v/>
      </c>
      <c r="BJ1937" s="469" t="str">
        <f t="shared" si="1135"/>
        <v/>
      </c>
      <c r="BK1937" s="470" t="str">
        <f t="shared" si="1119"/>
        <v/>
      </c>
      <c r="BL1937" s="775" t="str">
        <f t="shared" si="1136"/>
        <v/>
      </c>
      <c r="BM1937" s="775" t="str">
        <f t="shared" si="1137"/>
        <v/>
      </c>
    </row>
    <row r="1938" spans="1:65">
      <c r="A1938" s="473">
        <v>1882</v>
      </c>
      <c r="B1938" s="132"/>
      <c r="C1938" s="332"/>
      <c r="D1938" s="333"/>
      <c r="E1938" s="333"/>
      <c r="F1938" s="334"/>
      <c r="G1938" s="337"/>
      <c r="H1938" s="131"/>
      <c r="I1938" s="337"/>
      <c r="J1938" s="131"/>
      <c r="K1938" s="458" t="str">
        <f t="shared" si="1100"/>
        <v/>
      </c>
      <c r="L1938" s="458">
        <f t="shared" si="1101"/>
        <v>0</v>
      </c>
      <c r="M1938" s="458">
        <f t="shared" si="1102"/>
        <v>0</v>
      </c>
      <c r="N1938" s="459" t="str">
        <f t="shared" si="1113"/>
        <v/>
      </c>
      <c r="O1938" s="459" t="str">
        <f t="shared" si="1114"/>
        <v/>
      </c>
      <c r="P1938" s="459" t="str">
        <f t="shared" si="1115"/>
        <v/>
      </c>
      <c r="Q1938" s="459" t="str">
        <f t="shared" si="1116"/>
        <v/>
      </c>
      <c r="R1938" s="459" t="str">
        <f t="shared" si="1117"/>
        <v/>
      </c>
      <c r="S1938" s="459" t="str">
        <f t="shared" si="1118"/>
        <v/>
      </c>
      <c r="T1938" s="566" t="str">
        <f t="shared" si="1103"/>
        <v/>
      </c>
      <c r="U1938" s="702"/>
      <c r="V1938" s="132"/>
      <c r="W1938" s="133"/>
      <c r="X1938" s="134"/>
      <c r="Y1938" s="135"/>
      <c r="Z1938" s="137"/>
      <c r="AA1938" s="136"/>
      <c r="AB1938" s="566" t="str">
        <f t="shared" si="1104"/>
        <v/>
      </c>
      <c r="AC1938" s="568" t="str">
        <f t="shared" si="1105"/>
        <v/>
      </c>
      <c r="AD1938" s="137"/>
      <c r="AE1938" s="137"/>
      <c r="AF1938" s="138"/>
      <c r="AG1938" s="138"/>
      <c r="AH1938" s="592" t="str">
        <f t="shared" si="1106"/>
        <v/>
      </c>
      <c r="AI1938" s="592" t="str">
        <f t="shared" si="1107"/>
        <v/>
      </c>
      <c r="AJ1938" s="592" t="str">
        <f t="shared" si="1108"/>
        <v/>
      </c>
      <c r="AK1938" s="460" t="str">
        <f>IF(AU1938="","",IF(OR(AZ1938=8,AZ1938=9),0,IF(OR(AW1938=3,AW1938=4,AW1938=5,AW1938=6),IF(LEFT(BF1938,1)="1",INDEX(係数_NOX・PM低減,MATCH(AY1938,【参考】排出係数!$AI$801:$AI$804,1),1),VLOOKUP(AU1938,INDEX((係数_バス貨物_ガソリン,係数_バス貨物_CNG,係数_バス貨物_軽油,係数_バス貨物_メタノール,係数_バス貨物_LPG),MATCH(AY1938,【参考】排出係数!$AI$4:$AI$671,1),1,BE1938):INDEX((係数_バス貨物_ガソリン,係数_バス貨物_CNG,係数_バス貨物_軽油,係数_バス貨物_メタノール,係数_バス貨物_LPG),MATCH(AY1938+1,【参考】排出係数!$AI$4:$AI$671,1)-1,5,BE1938),4,FALSE)),IF(AND(BE1938=3,LEFT(BF1938,1)="1"),0.48,VLOOKUP(AU1938,INDEX((係数_乗用_ガソリン,係数_乗用_CNG,係数_乗用_軽油,係数_乗用_メタノール,係数_乗用_LPG),1,1,BE1938):INDEX((係数_乗用_ガソリン,係数_乗用_CNG,係数_乗用_軽油,係数_乗用_メタノール,係数_乗用_LPG),125,5,BE1938),4,FALSE)))))</f>
        <v/>
      </c>
      <c r="AL1938" s="461" t="str">
        <f t="shared" si="1109"/>
        <v/>
      </c>
      <c r="AM1938" s="460" t="str">
        <f>IF(AU1938="","",IF(OR(AZ1938=8,AZ1938=9),0,IF(OR(AW1938=3,AW1938=4,AW1938=5,AW1938=6),IF(LEFT(BH1938,1)="1",INDEX(係数_PM低減,MATCH(AY1938,【参考】排出係数!$AI$801:$AI$804,1),MATCH(BI1938,【参考】排出係数!$AL$798:$AO$798,1)),VLOOKUP(AU1938,INDEX((係数_バス貨物_ガソリン,係数_バス貨物_CNG,係数_バス貨物_軽油,係数_バス貨物_メタノール,係数_バス貨物_LPG),MATCH(AY1938,【参考】排出係数!$AI$4:$AI$671,1),1,BE1938):INDEX((係数_バス貨物_ガソリン,係数_バス貨物_CNG,係数_バス貨物_軽油,係数_バス貨物_メタノール,係数_バス貨物_LPG),MATCH(AY1938+1,【参考】排出係数!$AI$4:$AI$671,1)-1,5,BE1938),5,FALSE)),IF(AND(BE1938=3,LEFT(BF1938,1)="1"),0.055,VLOOKUP(AU1938,INDEX((係数_乗用_ガソリン,係数_乗用_CNG,係数_乗用_軽油,係数_乗用_メタノール,係数_乗用_LPG),1,1,BE1938):INDEX((係数_乗用_ガソリン,係数_乗用_CNG,係数_乗用_軽油,係数_乗用_メタノール,係数_乗用_LPG),125,5,BE1938),5,FALSE)))))</f>
        <v/>
      </c>
      <c r="AN1938" s="461" t="str">
        <f t="shared" si="1110"/>
        <v/>
      </c>
      <c r="AO1938" s="462" t="str">
        <f t="shared" si="1111"/>
        <v/>
      </c>
      <c r="AP1938" s="463" t="str">
        <f t="shared" si="1112"/>
        <v/>
      </c>
      <c r="AQ1938" s="464"/>
      <c r="AR1938" s="619"/>
      <c r="AS1938" s="465" t="str">
        <f t="shared" si="1120"/>
        <v/>
      </c>
      <c r="AT1938" s="465" t="str">
        <f t="shared" si="1121"/>
        <v/>
      </c>
      <c r="AU1938" s="466" t="str">
        <f t="shared" si="1122"/>
        <v/>
      </c>
      <c r="AV1938" s="467" t="str">
        <f t="shared" si="1123"/>
        <v/>
      </c>
      <c r="AW1938" s="467" t="str">
        <f t="shared" si="1124"/>
        <v/>
      </c>
      <c r="AX1938" s="467" t="str">
        <f t="shared" si="1125"/>
        <v/>
      </c>
      <c r="AY1938" s="467" t="str">
        <f t="shared" si="1126"/>
        <v/>
      </c>
      <c r="AZ1938" s="467" t="str">
        <f t="shared" si="1127"/>
        <v/>
      </c>
      <c r="BA1938" s="468" t="str">
        <f>IF(AS1938="","",IF(OR(AU1938="",AU1938="-"),"－",IF(OR(AZ1938=8,AZ1938=9),"",IF(OR(AW1938=3,AW1938=4,AW1938=5,AW1938=6),VLOOKUP(AU1938,INDEX((係数_バス貨物_ガソリン,係数_バス貨物_CNG,係数_バス貨物_軽油,係数_バス貨物_メタノール,係数_バス貨物_LPG),MATCH(AY1938,【参考】排出係数!$AI$4:$AI$671,1),1,BE1938):INDEX((係数_バス貨物_ガソリン,係数_バス貨物_CNG,係数_バス貨物_軽油,係数_バス貨物_メタノール,係数_バス貨物_LPG),MATCH(AY1938+1,【参考】排出係数!$AI$4:$AI$671,1)-1,5,BE1938),2,FALSE),IF(OR(AW1938=1,AW1938=2),VLOOKUP(AU1938,INDEX((係数_乗用_ガソリン,係数_乗用_CNG,係数_乗用_軽油,係数_乗用_メタノール,係数_乗用_LPG),1,1,BE1938):INDEX((係数_乗用_ガソリン,係数_乗用_CNG,係数_乗用_軽油,係数_乗用_メタノール,係数_乗用_LPG),125,5,BE1938),2,FALSE))))))</f>
        <v/>
      </c>
      <c r="BB1938" s="468" t="str">
        <f>IF(T1938="","",IF(OR(AU1938="",AU1938="-"),"－",IF(OR(AZ1938=8,AZ1938=9),"",IF(OR(AW1938=3,AW1938=4,AW1938=5,AW1938=6),VLOOKUP(AU1938,INDEX((係数_バス貨物_ガソリン,係数_バス貨物_CNG,係数_バス貨物_軽油,係数_バス貨物_メタノール,係数_バス貨物_LPG),MATCH(AY1938,【参考】排出係数!$AI$4:$AI$671,1),1,BE1938):INDEX((係数_バス貨物_ガソリン,係数_バス貨物_CNG,係数_バス貨物_軽油,係数_バス貨物_メタノール,係数_バス貨物_LPG),MATCH(AY1938+1,【参考】排出係数!$AI$4:$AI$671,1)-1,5,BE1938),3,FALSE),IF(OR(AW1938=1,AW1938=2),VLOOKUP(AU1938,INDEX((係数_乗用_ガソリン,係数_乗用_CNG,係数_乗用_軽油,係数_乗用_メタノール,係数_乗用_LPG),1,1,BE1938):INDEX((係数_乗用_ガソリン,係数_乗用_CNG,係数_乗用_軽油,係数_乗用_メタノール,係数_乗用_LPG),125,5,BE1938),3,FALSE))))))</f>
        <v/>
      </c>
      <c r="BC1938" s="467" t="str">
        <f t="shared" si="1128"/>
        <v/>
      </c>
      <c r="BD1938" s="567" t="str">
        <f t="shared" si="1129"/>
        <v/>
      </c>
      <c r="BE1938" s="467" t="str">
        <f t="shared" si="1130"/>
        <v/>
      </c>
      <c r="BF1938" s="469" t="str">
        <f t="shared" ca="1" si="1131"/>
        <v/>
      </c>
      <c r="BG1938" s="469" t="str">
        <f t="shared" ca="1" si="1132"/>
        <v/>
      </c>
      <c r="BH1938" s="467" t="str">
        <f t="shared" si="1133"/>
        <v/>
      </c>
      <c r="BI1938" s="467" t="str">
        <f t="shared" ca="1" si="1134"/>
        <v/>
      </c>
      <c r="BJ1938" s="469" t="str">
        <f t="shared" si="1135"/>
        <v/>
      </c>
      <c r="BK1938" s="470" t="str">
        <f t="shared" si="1119"/>
        <v/>
      </c>
      <c r="BL1938" s="775" t="str">
        <f t="shared" si="1136"/>
        <v/>
      </c>
      <c r="BM1938" s="775" t="str">
        <f t="shared" si="1137"/>
        <v/>
      </c>
    </row>
    <row r="1939" spans="1:65">
      <c r="A1939" s="473">
        <v>1883</v>
      </c>
      <c r="B1939" s="132"/>
      <c r="C1939" s="332"/>
      <c r="D1939" s="333"/>
      <c r="E1939" s="333"/>
      <c r="F1939" s="334"/>
      <c r="G1939" s="337"/>
      <c r="H1939" s="131"/>
      <c r="I1939" s="337"/>
      <c r="J1939" s="131"/>
      <c r="K1939" s="458" t="str">
        <f t="shared" si="1100"/>
        <v/>
      </c>
      <c r="L1939" s="458">
        <f t="shared" si="1101"/>
        <v>0</v>
      </c>
      <c r="M1939" s="458">
        <f t="shared" si="1102"/>
        <v>0</v>
      </c>
      <c r="N1939" s="459" t="str">
        <f t="shared" si="1113"/>
        <v/>
      </c>
      <c r="O1939" s="459" t="str">
        <f t="shared" si="1114"/>
        <v/>
      </c>
      <c r="P1939" s="459" t="str">
        <f t="shared" si="1115"/>
        <v/>
      </c>
      <c r="Q1939" s="459" t="str">
        <f t="shared" si="1116"/>
        <v/>
      </c>
      <c r="R1939" s="459" t="str">
        <f t="shared" si="1117"/>
        <v/>
      </c>
      <c r="S1939" s="459" t="str">
        <f t="shared" si="1118"/>
        <v/>
      </c>
      <c r="T1939" s="566" t="str">
        <f t="shared" si="1103"/>
        <v/>
      </c>
      <c r="U1939" s="702"/>
      <c r="V1939" s="132"/>
      <c r="W1939" s="133"/>
      <c r="X1939" s="134"/>
      <c r="Y1939" s="135"/>
      <c r="Z1939" s="137"/>
      <c r="AA1939" s="136"/>
      <c r="AB1939" s="566" t="str">
        <f t="shared" si="1104"/>
        <v/>
      </c>
      <c r="AC1939" s="568" t="str">
        <f t="shared" si="1105"/>
        <v/>
      </c>
      <c r="AD1939" s="137"/>
      <c r="AE1939" s="137"/>
      <c r="AF1939" s="138"/>
      <c r="AG1939" s="138"/>
      <c r="AH1939" s="592" t="str">
        <f t="shared" si="1106"/>
        <v/>
      </c>
      <c r="AI1939" s="592" t="str">
        <f t="shared" si="1107"/>
        <v/>
      </c>
      <c r="AJ1939" s="592" t="str">
        <f t="shared" si="1108"/>
        <v/>
      </c>
      <c r="AK1939" s="460" t="str">
        <f>IF(AU1939="","",IF(OR(AZ1939=8,AZ1939=9),0,IF(OR(AW1939=3,AW1939=4,AW1939=5,AW1939=6),IF(LEFT(BF1939,1)="1",INDEX(係数_NOX・PM低減,MATCH(AY1939,【参考】排出係数!$AI$801:$AI$804,1),1),VLOOKUP(AU1939,INDEX((係数_バス貨物_ガソリン,係数_バス貨物_CNG,係数_バス貨物_軽油,係数_バス貨物_メタノール,係数_バス貨物_LPG),MATCH(AY1939,【参考】排出係数!$AI$4:$AI$671,1),1,BE1939):INDEX((係数_バス貨物_ガソリン,係数_バス貨物_CNG,係数_バス貨物_軽油,係数_バス貨物_メタノール,係数_バス貨物_LPG),MATCH(AY1939+1,【参考】排出係数!$AI$4:$AI$671,1)-1,5,BE1939),4,FALSE)),IF(AND(BE1939=3,LEFT(BF1939,1)="1"),0.48,VLOOKUP(AU1939,INDEX((係数_乗用_ガソリン,係数_乗用_CNG,係数_乗用_軽油,係数_乗用_メタノール,係数_乗用_LPG),1,1,BE1939):INDEX((係数_乗用_ガソリン,係数_乗用_CNG,係数_乗用_軽油,係数_乗用_メタノール,係数_乗用_LPG),125,5,BE1939),4,FALSE)))))</f>
        <v/>
      </c>
      <c r="AL1939" s="461" t="str">
        <f t="shared" si="1109"/>
        <v/>
      </c>
      <c r="AM1939" s="460" t="str">
        <f>IF(AU1939="","",IF(OR(AZ1939=8,AZ1939=9),0,IF(OR(AW1939=3,AW1939=4,AW1939=5,AW1939=6),IF(LEFT(BH1939,1)="1",INDEX(係数_PM低減,MATCH(AY1939,【参考】排出係数!$AI$801:$AI$804,1),MATCH(BI1939,【参考】排出係数!$AL$798:$AO$798,1)),VLOOKUP(AU1939,INDEX((係数_バス貨物_ガソリン,係数_バス貨物_CNG,係数_バス貨物_軽油,係数_バス貨物_メタノール,係数_バス貨物_LPG),MATCH(AY1939,【参考】排出係数!$AI$4:$AI$671,1),1,BE1939):INDEX((係数_バス貨物_ガソリン,係数_バス貨物_CNG,係数_バス貨物_軽油,係数_バス貨物_メタノール,係数_バス貨物_LPG),MATCH(AY1939+1,【参考】排出係数!$AI$4:$AI$671,1)-1,5,BE1939),5,FALSE)),IF(AND(BE1939=3,LEFT(BF1939,1)="1"),0.055,VLOOKUP(AU1939,INDEX((係数_乗用_ガソリン,係数_乗用_CNG,係数_乗用_軽油,係数_乗用_メタノール,係数_乗用_LPG),1,1,BE1939):INDEX((係数_乗用_ガソリン,係数_乗用_CNG,係数_乗用_軽油,係数_乗用_メタノール,係数_乗用_LPG),125,5,BE1939),5,FALSE)))))</f>
        <v/>
      </c>
      <c r="AN1939" s="461" t="str">
        <f t="shared" si="1110"/>
        <v/>
      </c>
      <c r="AO1939" s="462" t="str">
        <f t="shared" si="1111"/>
        <v/>
      </c>
      <c r="AP1939" s="463" t="str">
        <f t="shared" si="1112"/>
        <v/>
      </c>
      <c r="AQ1939" s="464"/>
      <c r="AR1939" s="619"/>
      <c r="AS1939" s="465" t="str">
        <f t="shared" si="1120"/>
        <v/>
      </c>
      <c r="AT1939" s="465" t="str">
        <f t="shared" si="1121"/>
        <v/>
      </c>
      <c r="AU1939" s="466" t="str">
        <f t="shared" si="1122"/>
        <v/>
      </c>
      <c r="AV1939" s="467" t="str">
        <f t="shared" si="1123"/>
        <v/>
      </c>
      <c r="AW1939" s="467" t="str">
        <f t="shared" si="1124"/>
        <v/>
      </c>
      <c r="AX1939" s="467" t="str">
        <f t="shared" si="1125"/>
        <v/>
      </c>
      <c r="AY1939" s="467" t="str">
        <f t="shared" si="1126"/>
        <v/>
      </c>
      <c r="AZ1939" s="467" t="str">
        <f t="shared" si="1127"/>
        <v/>
      </c>
      <c r="BA1939" s="468" t="str">
        <f>IF(AS1939="","",IF(OR(AU1939="",AU1939="-"),"－",IF(OR(AZ1939=8,AZ1939=9),"",IF(OR(AW1939=3,AW1939=4,AW1939=5,AW1939=6),VLOOKUP(AU1939,INDEX((係数_バス貨物_ガソリン,係数_バス貨物_CNG,係数_バス貨物_軽油,係数_バス貨物_メタノール,係数_バス貨物_LPG),MATCH(AY1939,【参考】排出係数!$AI$4:$AI$671,1),1,BE1939):INDEX((係数_バス貨物_ガソリン,係数_バス貨物_CNG,係数_バス貨物_軽油,係数_バス貨物_メタノール,係数_バス貨物_LPG),MATCH(AY1939+1,【参考】排出係数!$AI$4:$AI$671,1)-1,5,BE1939),2,FALSE),IF(OR(AW1939=1,AW1939=2),VLOOKUP(AU1939,INDEX((係数_乗用_ガソリン,係数_乗用_CNG,係数_乗用_軽油,係数_乗用_メタノール,係数_乗用_LPG),1,1,BE1939):INDEX((係数_乗用_ガソリン,係数_乗用_CNG,係数_乗用_軽油,係数_乗用_メタノール,係数_乗用_LPG),125,5,BE1939),2,FALSE))))))</f>
        <v/>
      </c>
      <c r="BB1939" s="468" t="str">
        <f>IF(T1939="","",IF(OR(AU1939="",AU1939="-"),"－",IF(OR(AZ1939=8,AZ1939=9),"",IF(OR(AW1939=3,AW1939=4,AW1939=5,AW1939=6),VLOOKUP(AU1939,INDEX((係数_バス貨物_ガソリン,係数_バス貨物_CNG,係数_バス貨物_軽油,係数_バス貨物_メタノール,係数_バス貨物_LPG),MATCH(AY1939,【参考】排出係数!$AI$4:$AI$671,1),1,BE1939):INDEX((係数_バス貨物_ガソリン,係数_バス貨物_CNG,係数_バス貨物_軽油,係数_バス貨物_メタノール,係数_バス貨物_LPG),MATCH(AY1939+1,【参考】排出係数!$AI$4:$AI$671,1)-1,5,BE1939),3,FALSE),IF(OR(AW1939=1,AW1939=2),VLOOKUP(AU1939,INDEX((係数_乗用_ガソリン,係数_乗用_CNG,係数_乗用_軽油,係数_乗用_メタノール,係数_乗用_LPG),1,1,BE1939):INDEX((係数_乗用_ガソリン,係数_乗用_CNG,係数_乗用_軽油,係数_乗用_メタノール,係数_乗用_LPG),125,5,BE1939),3,FALSE))))))</f>
        <v/>
      </c>
      <c r="BC1939" s="467" t="str">
        <f t="shared" si="1128"/>
        <v/>
      </c>
      <c r="BD1939" s="567" t="str">
        <f t="shared" si="1129"/>
        <v/>
      </c>
      <c r="BE1939" s="467" t="str">
        <f t="shared" si="1130"/>
        <v/>
      </c>
      <c r="BF1939" s="469" t="str">
        <f t="shared" ca="1" si="1131"/>
        <v/>
      </c>
      <c r="BG1939" s="469" t="str">
        <f t="shared" ca="1" si="1132"/>
        <v/>
      </c>
      <c r="BH1939" s="467" t="str">
        <f t="shared" si="1133"/>
        <v/>
      </c>
      <c r="BI1939" s="467" t="str">
        <f t="shared" ca="1" si="1134"/>
        <v/>
      </c>
      <c r="BJ1939" s="469" t="str">
        <f t="shared" si="1135"/>
        <v/>
      </c>
      <c r="BK1939" s="470" t="str">
        <f t="shared" si="1119"/>
        <v/>
      </c>
      <c r="BL1939" s="775" t="str">
        <f t="shared" si="1136"/>
        <v/>
      </c>
      <c r="BM1939" s="775" t="str">
        <f t="shared" si="1137"/>
        <v/>
      </c>
    </row>
    <row r="1940" spans="1:65">
      <c r="A1940" s="473">
        <v>1884</v>
      </c>
      <c r="B1940" s="132"/>
      <c r="C1940" s="332"/>
      <c r="D1940" s="333"/>
      <c r="E1940" s="333"/>
      <c r="F1940" s="334"/>
      <c r="G1940" s="337"/>
      <c r="H1940" s="131"/>
      <c r="I1940" s="337"/>
      <c r="J1940" s="131"/>
      <c r="K1940" s="458" t="str">
        <f t="shared" si="1100"/>
        <v/>
      </c>
      <c r="L1940" s="458">
        <f t="shared" si="1101"/>
        <v>0</v>
      </c>
      <c r="M1940" s="458">
        <f t="shared" si="1102"/>
        <v>0</v>
      </c>
      <c r="N1940" s="459" t="str">
        <f t="shared" si="1113"/>
        <v/>
      </c>
      <c r="O1940" s="459" t="str">
        <f t="shared" si="1114"/>
        <v/>
      </c>
      <c r="P1940" s="459" t="str">
        <f t="shared" si="1115"/>
        <v/>
      </c>
      <c r="Q1940" s="459" t="str">
        <f t="shared" si="1116"/>
        <v/>
      </c>
      <c r="R1940" s="459" t="str">
        <f t="shared" si="1117"/>
        <v/>
      </c>
      <c r="S1940" s="459" t="str">
        <f t="shared" si="1118"/>
        <v/>
      </c>
      <c r="T1940" s="566" t="str">
        <f t="shared" si="1103"/>
        <v/>
      </c>
      <c r="U1940" s="702"/>
      <c r="V1940" s="132"/>
      <c r="W1940" s="133"/>
      <c r="X1940" s="134"/>
      <c r="Y1940" s="135"/>
      <c r="Z1940" s="137"/>
      <c r="AA1940" s="136"/>
      <c r="AB1940" s="566" t="str">
        <f t="shared" si="1104"/>
        <v/>
      </c>
      <c r="AC1940" s="568" t="str">
        <f t="shared" si="1105"/>
        <v/>
      </c>
      <c r="AD1940" s="137"/>
      <c r="AE1940" s="137"/>
      <c r="AF1940" s="138"/>
      <c r="AG1940" s="138"/>
      <c r="AH1940" s="592" t="str">
        <f t="shared" si="1106"/>
        <v/>
      </c>
      <c r="AI1940" s="592" t="str">
        <f t="shared" si="1107"/>
        <v/>
      </c>
      <c r="AJ1940" s="592" t="str">
        <f t="shared" si="1108"/>
        <v/>
      </c>
      <c r="AK1940" s="460" t="str">
        <f>IF(AU1940="","",IF(OR(AZ1940=8,AZ1940=9),0,IF(OR(AW1940=3,AW1940=4,AW1940=5,AW1940=6),IF(LEFT(BF1940,1)="1",INDEX(係数_NOX・PM低減,MATCH(AY1940,【参考】排出係数!$AI$801:$AI$804,1),1),VLOOKUP(AU1940,INDEX((係数_バス貨物_ガソリン,係数_バス貨物_CNG,係数_バス貨物_軽油,係数_バス貨物_メタノール,係数_バス貨物_LPG),MATCH(AY1940,【参考】排出係数!$AI$4:$AI$671,1),1,BE1940):INDEX((係数_バス貨物_ガソリン,係数_バス貨物_CNG,係数_バス貨物_軽油,係数_バス貨物_メタノール,係数_バス貨物_LPG),MATCH(AY1940+1,【参考】排出係数!$AI$4:$AI$671,1)-1,5,BE1940),4,FALSE)),IF(AND(BE1940=3,LEFT(BF1940,1)="1"),0.48,VLOOKUP(AU1940,INDEX((係数_乗用_ガソリン,係数_乗用_CNG,係数_乗用_軽油,係数_乗用_メタノール,係数_乗用_LPG),1,1,BE1940):INDEX((係数_乗用_ガソリン,係数_乗用_CNG,係数_乗用_軽油,係数_乗用_メタノール,係数_乗用_LPG),125,5,BE1940),4,FALSE)))))</f>
        <v/>
      </c>
      <c r="AL1940" s="461" t="str">
        <f t="shared" si="1109"/>
        <v/>
      </c>
      <c r="AM1940" s="460" t="str">
        <f>IF(AU1940="","",IF(OR(AZ1940=8,AZ1940=9),0,IF(OR(AW1940=3,AW1940=4,AW1940=5,AW1940=6),IF(LEFT(BH1940,1)="1",INDEX(係数_PM低減,MATCH(AY1940,【参考】排出係数!$AI$801:$AI$804,1),MATCH(BI1940,【参考】排出係数!$AL$798:$AO$798,1)),VLOOKUP(AU1940,INDEX((係数_バス貨物_ガソリン,係数_バス貨物_CNG,係数_バス貨物_軽油,係数_バス貨物_メタノール,係数_バス貨物_LPG),MATCH(AY1940,【参考】排出係数!$AI$4:$AI$671,1),1,BE1940):INDEX((係数_バス貨物_ガソリン,係数_バス貨物_CNG,係数_バス貨物_軽油,係数_バス貨物_メタノール,係数_バス貨物_LPG),MATCH(AY1940+1,【参考】排出係数!$AI$4:$AI$671,1)-1,5,BE1940),5,FALSE)),IF(AND(BE1940=3,LEFT(BF1940,1)="1"),0.055,VLOOKUP(AU1940,INDEX((係数_乗用_ガソリン,係数_乗用_CNG,係数_乗用_軽油,係数_乗用_メタノール,係数_乗用_LPG),1,1,BE1940):INDEX((係数_乗用_ガソリン,係数_乗用_CNG,係数_乗用_軽油,係数_乗用_メタノール,係数_乗用_LPG),125,5,BE1940),5,FALSE)))))</f>
        <v/>
      </c>
      <c r="AN1940" s="461" t="str">
        <f t="shared" si="1110"/>
        <v/>
      </c>
      <c r="AO1940" s="462" t="str">
        <f t="shared" si="1111"/>
        <v/>
      </c>
      <c r="AP1940" s="463" t="str">
        <f t="shared" si="1112"/>
        <v/>
      </c>
      <c r="AQ1940" s="464"/>
      <c r="AR1940" s="619"/>
      <c r="AS1940" s="465" t="str">
        <f t="shared" si="1120"/>
        <v/>
      </c>
      <c r="AT1940" s="465" t="str">
        <f t="shared" si="1121"/>
        <v/>
      </c>
      <c r="AU1940" s="466" t="str">
        <f t="shared" si="1122"/>
        <v/>
      </c>
      <c r="AV1940" s="467" t="str">
        <f t="shared" si="1123"/>
        <v/>
      </c>
      <c r="AW1940" s="467" t="str">
        <f t="shared" si="1124"/>
        <v/>
      </c>
      <c r="AX1940" s="467" t="str">
        <f t="shared" si="1125"/>
        <v/>
      </c>
      <c r="AY1940" s="467" t="str">
        <f t="shared" si="1126"/>
        <v/>
      </c>
      <c r="AZ1940" s="467" t="str">
        <f t="shared" si="1127"/>
        <v/>
      </c>
      <c r="BA1940" s="468" t="str">
        <f>IF(AS1940="","",IF(OR(AU1940="",AU1940="-"),"－",IF(OR(AZ1940=8,AZ1940=9),"",IF(OR(AW1940=3,AW1940=4,AW1940=5,AW1940=6),VLOOKUP(AU1940,INDEX((係数_バス貨物_ガソリン,係数_バス貨物_CNG,係数_バス貨物_軽油,係数_バス貨物_メタノール,係数_バス貨物_LPG),MATCH(AY1940,【参考】排出係数!$AI$4:$AI$671,1),1,BE1940):INDEX((係数_バス貨物_ガソリン,係数_バス貨物_CNG,係数_バス貨物_軽油,係数_バス貨物_メタノール,係数_バス貨物_LPG),MATCH(AY1940+1,【参考】排出係数!$AI$4:$AI$671,1)-1,5,BE1940),2,FALSE),IF(OR(AW1940=1,AW1940=2),VLOOKUP(AU1940,INDEX((係数_乗用_ガソリン,係数_乗用_CNG,係数_乗用_軽油,係数_乗用_メタノール,係数_乗用_LPG),1,1,BE1940):INDEX((係数_乗用_ガソリン,係数_乗用_CNG,係数_乗用_軽油,係数_乗用_メタノール,係数_乗用_LPG),125,5,BE1940),2,FALSE))))))</f>
        <v/>
      </c>
      <c r="BB1940" s="468" t="str">
        <f>IF(T1940="","",IF(OR(AU1940="",AU1940="-"),"－",IF(OR(AZ1940=8,AZ1940=9),"",IF(OR(AW1940=3,AW1940=4,AW1940=5,AW1940=6),VLOOKUP(AU1940,INDEX((係数_バス貨物_ガソリン,係数_バス貨物_CNG,係数_バス貨物_軽油,係数_バス貨物_メタノール,係数_バス貨物_LPG),MATCH(AY1940,【参考】排出係数!$AI$4:$AI$671,1),1,BE1940):INDEX((係数_バス貨物_ガソリン,係数_バス貨物_CNG,係数_バス貨物_軽油,係数_バス貨物_メタノール,係数_バス貨物_LPG),MATCH(AY1940+1,【参考】排出係数!$AI$4:$AI$671,1)-1,5,BE1940),3,FALSE),IF(OR(AW1940=1,AW1940=2),VLOOKUP(AU1940,INDEX((係数_乗用_ガソリン,係数_乗用_CNG,係数_乗用_軽油,係数_乗用_メタノール,係数_乗用_LPG),1,1,BE1940):INDEX((係数_乗用_ガソリン,係数_乗用_CNG,係数_乗用_軽油,係数_乗用_メタノール,係数_乗用_LPG),125,5,BE1940),3,FALSE))))))</f>
        <v/>
      </c>
      <c r="BC1940" s="467" t="str">
        <f t="shared" si="1128"/>
        <v/>
      </c>
      <c r="BD1940" s="567" t="str">
        <f t="shared" si="1129"/>
        <v/>
      </c>
      <c r="BE1940" s="467" t="str">
        <f t="shared" si="1130"/>
        <v/>
      </c>
      <c r="BF1940" s="469" t="str">
        <f t="shared" ca="1" si="1131"/>
        <v/>
      </c>
      <c r="BG1940" s="469" t="str">
        <f t="shared" ca="1" si="1132"/>
        <v/>
      </c>
      <c r="BH1940" s="467" t="str">
        <f t="shared" si="1133"/>
        <v/>
      </c>
      <c r="BI1940" s="467" t="str">
        <f t="shared" ca="1" si="1134"/>
        <v/>
      </c>
      <c r="BJ1940" s="469" t="str">
        <f t="shared" si="1135"/>
        <v/>
      </c>
      <c r="BK1940" s="470" t="str">
        <f t="shared" si="1119"/>
        <v/>
      </c>
      <c r="BL1940" s="775" t="str">
        <f t="shared" si="1136"/>
        <v/>
      </c>
      <c r="BM1940" s="775" t="str">
        <f t="shared" si="1137"/>
        <v/>
      </c>
    </row>
    <row r="1941" spans="1:65">
      <c r="A1941" s="473">
        <v>1885</v>
      </c>
      <c r="B1941" s="132"/>
      <c r="C1941" s="332"/>
      <c r="D1941" s="333"/>
      <c r="E1941" s="333"/>
      <c r="F1941" s="334"/>
      <c r="G1941" s="337"/>
      <c r="H1941" s="131"/>
      <c r="I1941" s="337"/>
      <c r="J1941" s="131"/>
      <c r="K1941" s="458" t="str">
        <f t="shared" si="1100"/>
        <v/>
      </c>
      <c r="L1941" s="458">
        <f t="shared" si="1101"/>
        <v>0</v>
      </c>
      <c r="M1941" s="458">
        <f t="shared" si="1102"/>
        <v>0</v>
      </c>
      <c r="N1941" s="459" t="str">
        <f t="shared" si="1113"/>
        <v/>
      </c>
      <c r="O1941" s="459" t="str">
        <f t="shared" si="1114"/>
        <v/>
      </c>
      <c r="P1941" s="459" t="str">
        <f t="shared" si="1115"/>
        <v/>
      </c>
      <c r="Q1941" s="459" t="str">
        <f t="shared" si="1116"/>
        <v/>
      </c>
      <c r="R1941" s="459" t="str">
        <f t="shared" si="1117"/>
        <v/>
      </c>
      <c r="S1941" s="459" t="str">
        <f t="shared" si="1118"/>
        <v/>
      </c>
      <c r="T1941" s="566" t="str">
        <f t="shared" si="1103"/>
        <v/>
      </c>
      <c r="U1941" s="702"/>
      <c r="V1941" s="132"/>
      <c r="W1941" s="133"/>
      <c r="X1941" s="134"/>
      <c r="Y1941" s="135"/>
      <c r="Z1941" s="137"/>
      <c r="AA1941" s="136"/>
      <c r="AB1941" s="566" t="str">
        <f t="shared" si="1104"/>
        <v/>
      </c>
      <c r="AC1941" s="568" t="str">
        <f t="shared" si="1105"/>
        <v/>
      </c>
      <c r="AD1941" s="137"/>
      <c r="AE1941" s="137"/>
      <c r="AF1941" s="138"/>
      <c r="AG1941" s="138"/>
      <c r="AH1941" s="592" t="str">
        <f t="shared" si="1106"/>
        <v/>
      </c>
      <c r="AI1941" s="592" t="str">
        <f t="shared" si="1107"/>
        <v/>
      </c>
      <c r="AJ1941" s="592" t="str">
        <f t="shared" si="1108"/>
        <v/>
      </c>
      <c r="AK1941" s="460" t="str">
        <f>IF(AU1941="","",IF(OR(AZ1941=8,AZ1941=9),0,IF(OR(AW1941=3,AW1941=4,AW1941=5,AW1941=6),IF(LEFT(BF1941,1)="1",INDEX(係数_NOX・PM低減,MATCH(AY1941,【参考】排出係数!$AI$801:$AI$804,1),1),VLOOKUP(AU1941,INDEX((係数_バス貨物_ガソリン,係数_バス貨物_CNG,係数_バス貨物_軽油,係数_バス貨物_メタノール,係数_バス貨物_LPG),MATCH(AY1941,【参考】排出係数!$AI$4:$AI$671,1),1,BE1941):INDEX((係数_バス貨物_ガソリン,係数_バス貨物_CNG,係数_バス貨物_軽油,係数_バス貨物_メタノール,係数_バス貨物_LPG),MATCH(AY1941+1,【参考】排出係数!$AI$4:$AI$671,1)-1,5,BE1941),4,FALSE)),IF(AND(BE1941=3,LEFT(BF1941,1)="1"),0.48,VLOOKUP(AU1941,INDEX((係数_乗用_ガソリン,係数_乗用_CNG,係数_乗用_軽油,係数_乗用_メタノール,係数_乗用_LPG),1,1,BE1941):INDEX((係数_乗用_ガソリン,係数_乗用_CNG,係数_乗用_軽油,係数_乗用_メタノール,係数_乗用_LPG),125,5,BE1941),4,FALSE)))))</f>
        <v/>
      </c>
      <c r="AL1941" s="461" t="str">
        <f t="shared" si="1109"/>
        <v/>
      </c>
      <c r="AM1941" s="460" t="str">
        <f>IF(AU1941="","",IF(OR(AZ1941=8,AZ1941=9),0,IF(OR(AW1941=3,AW1941=4,AW1941=5,AW1941=6),IF(LEFT(BH1941,1)="1",INDEX(係数_PM低減,MATCH(AY1941,【参考】排出係数!$AI$801:$AI$804,1),MATCH(BI1941,【参考】排出係数!$AL$798:$AO$798,1)),VLOOKUP(AU1941,INDEX((係数_バス貨物_ガソリン,係数_バス貨物_CNG,係数_バス貨物_軽油,係数_バス貨物_メタノール,係数_バス貨物_LPG),MATCH(AY1941,【参考】排出係数!$AI$4:$AI$671,1),1,BE1941):INDEX((係数_バス貨物_ガソリン,係数_バス貨物_CNG,係数_バス貨物_軽油,係数_バス貨物_メタノール,係数_バス貨物_LPG),MATCH(AY1941+1,【参考】排出係数!$AI$4:$AI$671,1)-1,5,BE1941),5,FALSE)),IF(AND(BE1941=3,LEFT(BF1941,1)="1"),0.055,VLOOKUP(AU1941,INDEX((係数_乗用_ガソリン,係数_乗用_CNG,係数_乗用_軽油,係数_乗用_メタノール,係数_乗用_LPG),1,1,BE1941):INDEX((係数_乗用_ガソリン,係数_乗用_CNG,係数_乗用_軽油,係数_乗用_メタノール,係数_乗用_LPG),125,5,BE1941),5,FALSE)))))</f>
        <v/>
      </c>
      <c r="AN1941" s="461" t="str">
        <f t="shared" si="1110"/>
        <v/>
      </c>
      <c r="AO1941" s="462" t="str">
        <f t="shared" si="1111"/>
        <v/>
      </c>
      <c r="AP1941" s="463" t="str">
        <f t="shared" si="1112"/>
        <v/>
      </c>
      <c r="AQ1941" s="464"/>
      <c r="AR1941" s="619"/>
      <c r="AS1941" s="465" t="str">
        <f t="shared" si="1120"/>
        <v/>
      </c>
      <c r="AT1941" s="465" t="str">
        <f t="shared" si="1121"/>
        <v/>
      </c>
      <c r="AU1941" s="466" t="str">
        <f t="shared" si="1122"/>
        <v/>
      </c>
      <c r="AV1941" s="467" t="str">
        <f t="shared" si="1123"/>
        <v/>
      </c>
      <c r="AW1941" s="467" t="str">
        <f t="shared" si="1124"/>
        <v/>
      </c>
      <c r="AX1941" s="467" t="str">
        <f t="shared" si="1125"/>
        <v/>
      </c>
      <c r="AY1941" s="467" t="str">
        <f t="shared" si="1126"/>
        <v/>
      </c>
      <c r="AZ1941" s="467" t="str">
        <f t="shared" si="1127"/>
        <v/>
      </c>
      <c r="BA1941" s="468" t="str">
        <f>IF(AS1941="","",IF(OR(AU1941="",AU1941="-"),"－",IF(OR(AZ1941=8,AZ1941=9),"",IF(OR(AW1941=3,AW1941=4,AW1941=5,AW1941=6),VLOOKUP(AU1941,INDEX((係数_バス貨物_ガソリン,係数_バス貨物_CNG,係数_バス貨物_軽油,係数_バス貨物_メタノール,係数_バス貨物_LPG),MATCH(AY1941,【参考】排出係数!$AI$4:$AI$671,1),1,BE1941):INDEX((係数_バス貨物_ガソリン,係数_バス貨物_CNG,係数_バス貨物_軽油,係数_バス貨物_メタノール,係数_バス貨物_LPG),MATCH(AY1941+1,【参考】排出係数!$AI$4:$AI$671,1)-1,5,BE1941),2,FALSE),IF(OR(AW1941=1,AW1941=2),VLOOKUP(AU1941,INDEX((係数_乗用_ガソリン,係数_乗用_CNG,係数_乗用_軽油,係数_乗用_メタノール,係数_乗用_LPG),1,1,BE1941):INDEX((係数_乗用_ガソリン,係数_乗用_CNG,係数_乗用_軽油,係数_乗用_メタノール,係数_乗用_LPG),125,5,BE1941),2,FALSE))))))</f>
        <v/>
      </c>
      <c r="BB1941" s="468" t="str">
        <f>IF(T1941="","",IF(OR(AU1941="",AU1941="-"),"－",IF(OR(AZ1941=8,AZ1941=9),"",IF(OR(AW1941=3,AW1941=4,AW1941=5,AW1941=6),VLOOKUP(AU1941,INDEX((係数_バス貨物_ガソリン,係数_バス貨物_CNG,係数_バス貨物_軽油,係数_バス貨物_メタノール,係数_バス貨物_LPG),MATCH(AY1941,【参考】排出係数!$AI$4:$AI$671,1),1,BE1941):INDEX((係数_バス貨物_ガソリン,係数_バス貨物_CNG,係数_バス貨物_軽油,係数_バス貨物_メタノール,係数_バス貨物_LPG),MATCH(AY1941+1,【参考】排出係数!$AI$4:$AI$671,1)-1,5,BE1941),3,FALSE),IF(OR(AW1941=1,AW1941=2),VLOOKUP(AU1941,INDEX((係数_乗用_ガソリン,係数_乗用_CNG,係数_乗用_軽油,係数_乗用_メタノール,係数_乗用_LPG),1,1,BE1941):INDEX((係数_乗用_ガソリン,係数_乗用_CNG,係数_乗用_軽油,係数_乗用_メタノール,係数_乗用_LPG),125,5,BE1941),3,FALSE))))))</f>
        <v/>
      </c>
      <c r="BC1941" s="467" t="str">
        <f t="shared" si="1128"/>
        <v/>
      </c>
      <c r="BD1941" s="567" t="str">
        <f t="shared" si="1129"/>
        <v/>
      </c>
      <c r="BE1941" s="467" t="str">
        <f t="shared" si="1130"/>
        <v/>
      </c>
      <c r="BF1941" s="469" t="str">
        <f t="shared" ca="1" si="1131"/>
        <v/>
      </c>
      <c r="BG1941" s="469" t="str">
        <f t="shared" ca="1" si="1132"/>
        <v/>
      </c>
      <c r="BH1941" s="467" t="str">
        <f t="shared" si="1133"/>
        <v/>
      </c>
      <c r="BI1941" s="467" t="str">
        <f t="shared" ca="1" si="1134"/>
        <v/>
      </c>
      <c r="BJ1941" s="469" t="str">
        <f t="shared" si="1135"/>
        <v/>
      </c>
      <c r="BK1941" s="470" t="str">
        <f t="shared" si="1119"/>
        <v/>
      </c>
      <c r="BL1941" s="775" t="str">
        <f t="shared" si="1136"/>
        <v/>
      </c>
      <c r="BM1941" s="775" t="str">
        <f t="shared" si="1137"/>
        <v/>
      </c>
    </row>
    <row r="1942" spans="1:65">
      <c r="A1942" s="473">
        <v>1886</v>
      </c>
      <c r="B1942" s="132"/>
      <c r="C1942" s="332"/>
      <c r="D1942" s="333"/>
      <c r="E1942" s="333"/>
      <c r="F1942" s="334"/>
      <c r="G1942" s="337"/>
      <c r="H1942" s="131"/>
      <c r="I1942" s="337"/>
      <c r="J1942" s="131"/>
      <c r="K1942" s="458" t="str">
        <f t="shared" si="1100"/>
        <v/>
      </c>
      <c r="L1942" s="458">
        <f t="shared" si="1101"/>
        <v>0</v>
      </c>
      <c r="M1942" s="458">
        <f t="shared" si="1102"/>
        <v>0</v>
      </c>
      <c r="N1942" s="459" t="str">
        <f t="shared" si="1113"/>
        <v/>
      </c>
      <c r="O1942" s="459" t="str">
        <f t="shared" si="1114"/>
        <v/>
      </c>
      <c r="P1942" s="459" t="str">
        <f t="shared" si="1115"/>
        <v/>
      </c>
      <c r="Q1942" s="459" t="str">
        <f t="shared" si="1116"/>
        <v/>
      </c>
      <c r="R1942" s="459" t="str">
        <f t="shared" si="1117"/>
        <v/>
      </c>
      <c r="S1942" s="459" t="str">
        <f t="shared" si="1118"/>
        <v/>
      </c>
      <c r="T1942" s="566" t="str">
        <f t="shared" si="1103"/>
        <v/>
      </c>
      <c r="U1942" s="702"/>
      <c r="V1942" s="132"/>
      <c r="W1942" s="133"/>
      <c r="X1942" s="134"/>
      <c r="Y1942" s="135"/>
      <c r="Z1942" s="137"/>
      <c r="AA1942" s="136"/>
      <c r="AB1942" s="566" t="str">
        <f t="shared" si="1104"/>
        <v/>
      </c>
      <c r="AC1942" s="568" t="str">
        <f t="shared" si="1105"/>
        <v/>
      </c>
      <c r="AD1942" s="137"/>
      <c r="AE1942" s="137"/>
      <c r="AF1942" s="138"/>
      <c r="AG1942" s="138"/>
      <c r="AH1942" s="592" t="str">
        <f t="shared" si="1106"/>
        <v/>
      </c>
      <c r="AI1942" s="592" t="str">
        <f t="shared" si="1107"/>
        <v/>
      </c>
      <c r="AJ1942" s="592" t="str">
        <f t="shared" si="1108"/>
        <v/>
      </c>
      <c r="AK1942" s="460" t="str">
        <f>IF(AU1942="","",IF(OR(AZ1942=8,AZ1942=9),0,IF(OR(AW1942=3,AW1942=4,AW1942=5,AW1942=6),IF(LEFT(BF1942,1)="1",INDEX(係数_NOX・PM低減,MATCH(AY1942,【参考】排出係数!$AI$801:$AI$804,1),1),VLOOKUP(AU1942,INDEX((係数_バス貨物_ガソリン,係数_バス貨物_CNG,係数_バス貨物_軽油,係数_バス貨物_メタノール,係数_バス貨物_LPG),MATCH(AY1942,【参考】排出係数!$AI$4:$AI$671,1),1,BE1942):INDEX((係数_バス貨物_ガソリン,係数_バス貨物_CNG,係数_バス貨物_軽油,係数_バス貨物_メタノール,係数_バス貨物_LPG),MATCH(AY1942+1,【参考】排出係数!$AI$4:$AI$671,1)-1,5,BE1942),4,FALSE)),IF(AND(BE1942=3,LEFT(BF1942,1)="1"),0.48,VLOOKUP(AU1942,INDEX((係数_乗用_ガソリン,係数_乗用_CNG,係数_乗用_軽油,係数_乗用_メタノール,係数_乗用_LPG),1,1,BE1942):INDEX((係数_乗用_ガソリン,係数_乗用_CNG,係数_乗用_軽油,係数_乗用_メタノール,係数_乗用_LPG),125,5,BE1942),4,FALSE)))))</f>
        <v/>
      </c>
      <c r="AL1942" s="461" t="str">
        <f t="shared" si="1109"/>
        <v/>
      </c>
      <c r="AM1942" s="460" t="str">
        <f>IF(AU1942="","",IF(OR(AZ1942=8,AZ1942=9),0,IF(OR(AW1942=3,AW1942=4,AW1942=5,AW1942=6),IF(LEFT(BH1942,1)="1",INDEX(係数_PM低減,MATCH(AY1942,【参考】排出係数!$AI$801:$AI$804,1),MATCH(BI1942,【参考】排出係数!$AL$798:$AO$798,1)),VLOOKUP(AU1942,INDEX((係数_バス貨物_ガソリン,係数_バス貨物_CNG,係数_バス貨物_軽油,係数_バス貨物_メタノール,係数_バス貨物_LPG),MATCH(AY1942,【参考】排出係数!$AI$4:$AI$671,1),1,BE1942):INDEX((係数_バス貨物_ガソリン,係数_バス貨物_CNG,係数_バス貨物_軽油,係数_バス貨物_メタノール,係数_バス貨物_LPG),MATCH(AY1942+1,【参考】排出係数!$AI$4:$AI$671,1)-1,5,BE1942),5,FALSE)),IF(AND(BE1942=3,LEFT(BF1942,1)="1"),0.055,VLOOKUP(AU1942,INDEX((係数_乗用_ガソリン,係数_乗用_CNG,係数_乗用_軽油,係数_乗用_メタノール,係数_乗用_LPG),1,1,BE1942):INDEX((係数_乗用_ガソリン,係数_乗用_CNG,係数_乗用_軽油,係数_乗用_メタノール,係数_乗用_LPG),125,5,BE1942),5,FALSE)))))</f>
        <v/>
      </c>
      <c r="AN1942" s="461" t="str">
        <f t="shared" si="1110"/>
        <v/>
      </c>
      <c r="AO1942" s="462" t="str">
        <f t="shared" si="1111"/>
        <v/>
      </c>
      <c r="AP1942" s="463" t="str">
        <f t="shared" si="1112"/>
        <v/>
      </c>
      <c r="AQ1942" s="464"/>
      <c r="AR1942" s="619"/>
      <c r="AS1942" s="465" t="str">
        <f t="shared" si="1120"/>
        <v/>
      </c>
      <c r="AT1942" s="465" t="str">
        <f t="shared" si="1121"/>
        <v/>
      </c>
      <c r="AU1942" s="466" t="str">
        <f t="shared" si="1122"/>
        <v/>
      </c>
      <c r="AV1942" s="467" t="str">
        <f t="shared" si="1123"/>
        <v/>
      </c>
      <c r="AW1942" s="467" t="str">
        <f t="shared" si="1124"/>
        <v/>
      </c>
      <c r="AX1942" s="467" t="str">
        <f t="shared" si="1125"/>
        <v/>
      </c>
      <c r="AY1942" s="467" t="str">
        <f t="shared" si="1126"/>
        <v/>
      </c>
      <c r="AZ1942" s="467" t="str">
        <f t="shared" si="1127"/>
        <v/>
      </c>
      <c r="BA1942" s="468" t="str">
        <f>IF(AS1942="","",IF(OR(AU1942="",AU1942="-"),"－",IF(OR(AZ1942=8,AZ1942=9),"",IF(OR(AW1942=3,AW1942=4,AW1942=5,AW1942=6),VLOOKUP(AU1942,INDEX((係数_バス貨物_ガソリン,係数_バス貨物_CNG,係数_バス貨物_軽油,係数_バス貨物_メタノール,係数_バス貨物_LPG),MATCH(AY1942,【参考】排出係数!$AI$4:$AI$671,1),1,BE1942):INDEX((係数_バス貨物_ガソリン,係数_バス貨物_CNG,係数_バス貨物_軽油,係数_バス貨物_メタノール,係数_バス貨物_LPG),MATCH(AY1942+1,【参考】排出係数!$AI$4:$AI$671,1)-1,5,BE1942),2,FALSE),IF(OR(AW1942=1,AW1942=2),VLOOKUP(AU1942,INDEX((係数_乗用_ガソリン,係数_乗用_CNG,係数_乗用_軽油,係数_乗用_メタノール,係数_乗用_LPG),1,1,BE1942):INDEX((係数_乗用_ガソリン,係数_乗用_CNG,係数_乗用_軽油,係数_乗用_メタノール,係数_乗用_LPG),125,5,BE1942),2,FALSE))))))</f>
        <v/>
      </c>
      <c r="BB1942" s="468" t="str">
        <f>IF(T1942="","",IF(OR(AU1942="",AU1942="-"),"－",IF(OR(AZ1942=8,AZ1942=9),"",IF(OR(AW1942=3,AW1942=4,AW1942=5,AW1942=6),VLOOKUP(AU1942,INDEX((係数_バス貨物_ガソリン,係数_バス貨物_CNG,係数_バス貨物_軽油,係数_バス貨物_メタノール,係数_バス貨物_LPG),MATCH(AY1942,【参考】排出係数!$AI$4:$AI$671,1),1,BE1942):INDEX((係数_バス貨物_ガソリン,係数_バス貨物_CNG,係数_バス貨物_軽油,係数_バス貨物_メタノール,係数_バス貨物_LPG),MATCH(AY1942+1,【参考】排出係数!$AI$4:$AI$671,1)-1,5,BE1942),3,FALSE),IF(OR(AW1942=1,AW1942=2),VLOOKUP(AU1942,INDEX((係数_乗用_ガソリン,係数_乗用_CNG,係数_乗用_軽油,係数_乗用_メタノール,係数_乗用_LPG),1,1,BE1942):INDEX((係数_乗用_ガソリン,係数_乗用_CNG,係数_乗用_軽油,係数_乗用_メタノール,係数_乗用_LPG),125,5,BE1942),3,FALSE))))))</f>
        <v/>
      </c>
      <c r="BC1942" s="467" t="str">
        <f t="shared" si="1128"/>
        <v/>
      </c>
      <c r="BD1942" s="567" t="str">
        <f t="shared" si="1129"/>
        <v/>
      </c>
      <c r="BE1942" s="467" t="str">
        <f t="shared" si="1130"/>
        <v/>
      </c>
      <c r="BF1942" s="469" t="str">
        <f t="shared" ca="1" si="1131"/>
        <v/>
      </c>
      <c r="BG1942" s="469" t="str">
        <f t="shared" ca="1" si="1132"/>
        <v/>
      </c>
      <c r="BH1942" s="467" t="str">
        <f t="shared" si="1133"/>
        <v/>
      </c>
      <c r="BI1942" s="467" t="str">
        <f t="shared" ca="1" si="1134"/>
        <v/>
      </c>
      <c r="BJ1942" s="469" t="str">
        <f t="shared" si="1135"/>
        <v/>
      </c>
      <c r="BK1942" s="470" t="str">
        <f t="shared" si="1119"/>
        <v/>
      </c>
      <c r="BL1942" s="775" t="str">
        <f t="shared" si="1136"/>
        <v/>
      </c>
      <c r="BM1942" s="775" t="str">
        <f t="shared" si="1137"/>
        <v/>
      </c>
    </row>
    <row r="1943" spans="1:65">
      <c r="A1943" s="473">
        <v>1887</v>
      </c>
      <c r="B1943" s="132"/>
      <c r="C1943" s="332"/>
      <c r="D1943" s="333"/>
      <c r="E1943" s="333"/>
      <c r="F1943" s="334"/>
      <c r="G1943" s="337"/>
      <c r="H1943" s="131"/>
      <c r="I1943" s="337"/>
      <c r="J1943" s="131"/>
      <c r="K1943" s="458" t="str">
        <f t="shared" si="1100"/>
        <v/>
      </c>
      <c r="L1943" s="458">
        <f t="shared" si="1101"/>
        <v>0</v>
      </c>
      <c r="M1943" s="458">
        <f t="shared" si="1102"/>
        <v>0</v>
      </c>
      <c r="N1943" s="459" t="str">
        <f t="shared" si="1113"/>
        <v/>
      </c>
      <c r="O1943" s="459" t="str">
        <f t="shared" si="1114"/>
        <v/>
      </c>
      <c r="P1943" s="459" t="str">
        <f t="shared" si="1115"/>
        <v/>
      </c>
      <c r="Q1943" s="459" t="str">
        <f t="shared" si="1116"/>
        <v/>
      </c>
      <c r="R1943" s="459" t="str">
        <f t="shared" si="1117"/>
        <v/>
      </c>
      <c r="S1943" s="459" t="str">
        <f t="shared" si="1118"/>
        <v/>
      </c>
      <c r="T1943" s="566" t="str">
        <f t="shared" si="1103"/>
        <v/>
      </c>
      <c r="U1943" s="702"/>
      <c r="V1943" s="132"/>
      <c r="W1943" s="133"/>
      <c r="X1943" s="134"/>
      <c r="Y1943" s="135"/>
      <c r="Z1943" s="137"/>
      <c r="AA1943" s="136"/>
      <c r="AB1943" s="566" t="str">
        <f t="shared" si="1104"/>
        <v/>
      </c>
      <c r="AC1943" s="568" t="str">
        <f t="shared" si="1105"/>
        <v/>
      </c>
      <c r="AD1943" s="137"/>
      <c r="AE1943" s="137"/>
      <c r="AF1943" s="138"/>
      <c r="AG1943" s="138"/>
      <c r="AH1943" s="592" t="str">
        <f t="shared" si="1106"/>
        <v/>
      </c>
      <c r="AI1943" s="592" t="str">
        <f t="shared" si="1107"/>
        <v/>
      </c>
      <c r="AJ1943" s="592" t="str">
        <f t="shared" si="1108"/>
        <v/>
      </c>
      <c r="AK1943" s="460" t="str">
        <f>IF(AU1943="","",IF(OR(AZ1943=8,AZ1943=9),0,IF(OR(AW1943=3,AW1943=4,AW1943=5,AW1943=6),IF(LEFT(BF1943,1)="1",INDEX(係数_NOX・PM低減,MATCH(AY1943,【参考】排出係数!$AI$801:$AI$804,1),1),VLOOKUP(AU1943,INDEX((係数_バス貨物_ガソリン,係数_バス貨物_CNG,係数_バス貨物_軽油,係数_バス貨物_メタノール,係数_バス貨物_LPG),MATCH(AY1943,【参考】排出係数!$AI$4:$AI$671,1),1,BE1943):INDEX((係数_バス貨物_ガソリン,係数_バス貨物_CNG,係数_バス貨物_軽油,係数_バス貨物_メタノール,係数_バス貨物_LPG),MATCH(AY1943+1,【参考】排出係数!$AI$4:$AI$671,1)-1,5,BE1943),4,FALSE)),IF(AND(BE1943=3,LEFT(BF1943,1)="1"),0.48,VLOOKUP(AU1943,INDEX((係数_乗用_ガソリン,係数_乗用_CNG,係数_乗用_軽油,係数_乗用_メタノール,係数_乗用_LPG),1,1,BE1943):INDEX((係数_乗用_ガソリン,係数_乗用_CNG,係数_乗用_軽油,係数_乗用_メタノール,係数_乗用_LPG),125,5,BE1943),4,FALSE)))))</f>
        <v/>
      </c>
      <c r="AL1943" s="461" t="str">
        <f t="shared" si="1109"/>
        <v/>
      </c>
      <c r="AM1943" s="460" t="str">
        <f>IF(AU1943="","",IF(OR(AZ1943=8,AZ1943=9),0,IF(OR(AW1943=3,AW1943=4,AW1943=5,AW1943=6),IF(LEFT(BH1943,1)="1",INDEX(係数_PM低減,MATCH(AY1943,【参考】排出係数!$AI$801:$AI$804,1),MATCH(BI1943,【参考】排出係数!$AL$798:$AO$798,1)),VLOOKUP(AU1943,INDEX((係数_バス貨物_ガソリン,係数_バス貨物_CNG,係数_バス貨物_軽油,係数_バス貨物_メタノール,係数_バス貨物_LPG),MATCH(AY1943,【参考】排出係数!$AI$4:$AI$671,1),1,BE1943):INDEX((係数_バス貨物_ガソリン,係数_バス貨物_CNG,係数_バス貨物_軽油,係数_バス貨物_メタノール,係数_バス貨物_LPG),MATCH(AY1943+1,【参考】排出係数!$AI$4:$AI$671,1)-1,5,BE1943),5,FALSE)),IF(AND(BE1943=3,LEFT(BF1943,1)="1"),0.055,VLOOKUP(AU1943,INDEX((係数_乗用_ガソリン,係数_乗用_CNG,係数_乗用_軽油,係数_乗用_メタノール,係数_乗用_LPG),1,1,BE1943):INDEX((係数_乗用_ガソリン,係数_乗用_CNG,係数_乗用_軽油,係数_乗用_メタノール,係数_乗用_LPG),125,5,BE1943),5,FALSE)))))</f>
        <v/>
      </c>
      <c r="AN1943" s="461" t="str">
        <f t="shared" si="1110"/>
        <v/>
      </c>
      <c r="AO1943" s="462" t="str">
        <f t="shared" si="1111"/>
        <v/>
      </c>
      <c r="AP1943" s="463" t="str">
        <f t="shared" si="1112"/>
        <v/>
      </c>
      <c r="AQ1943" s="464"/>
      <c r="AR1943" s="619"/>
      <c r="AS1943" s="465" t="str">
        <f t="shared" si="1120"/>
        <v/>
      </c>
      <c r="AT1943" s="465" t="str">
        <f t="shared" si="1121"/>
        <v/>
      </c>
      <c r="AU1943" s="466" t="str">
        <f t="shared" si="1122"/>
        <v/>
      </c>
      <c r="AV1943" s="467" t="str">
        <f t="shared" si="1123"/>
        <v/>
      </c>
      <c r="AW1943" s="467" t="str">
        <f t="shared" si="1124"/>
        <v/>
      </c>
      <c r="AX1943" s="467" t="str">
        <f t="shared" si="1125"/>
        <v/>
      </c>
      <c r="AY1943" s="467" t="str">
        <f t="shared" si="1126"/>
        <v/>
      </c>
      <c r="AZ1943" s="467" t="str">
        <f t="shared" si="1127"/>
        <v/>
      </c>
      <c r="BA1943" s="468" t="str">
        <f>IF(AS1943="","",IF(OR(AU1943="",AU1943="-"),"－",IF(OR(AZ1943=8,AZ1943=9),"",IF(OR(AW1943=3,AW1943=4,AW1943=5,AW1943=6),VLOOKUP(AU1943,INDEX((係数_バス貨物_ガソリン,係数_バス貨物_CNG,係数_バス貨物_軽油,係数_バス貨物_メタノール,係数_バス貨物_LPG),MATCH(AY1943,【参考】排出係数!$AI$4:$AI$671,1),1,BE1943):INDEX((係数_バス貨物_ガソリン,係数_バス貨物_CNG,係数_バス貨物_軽油,係数_バス貨物_メタノール,係数_バス貨物_LPG),MATCH(AY1943+1,【参考】排出係数!$AI$4:$AI$671,1)-1,5,BE1943),2,FALSE),IF(OR(AW1943=1,AW1943=2),VLOOKUP(AU1943,INDEX((係数_乗用_ガソリン,係数_乗用_CNG,係数_乗用_軽油,係数_乗用_メタノール,係数_乗用_LPG),1,1,BE1943):INDEX((係数_乗用_ガソリン,係数_乗用_CNG,係数_乗用_軽油,係数_乗用_メタノール,係数_乗用_LPG),125,5,BE1943),2,FALSE))))))</f>
        <v/>
      </c>
      <c r="BB1943" s="468" t="str">
        <f>IF(T1943="","",IF(OR(AU1943="",AU1943="-"),"－",IF(OR(AZ1943=8,AZ1943=9),"",IF(OR(AW1943=3,AW1943=4,AW1943=5,AW1943=6),VLOOKUP(AU1943,INDEX((係数_バス貨物_ガソリン,係数_バス貨物_CNG,係数_バス貨物_軽油,係数_バス貨物_メタノール,係数_バス貨物_LPG),MATCH(AY1943,【参考】排出係数!$AI$4:$AI$671,1),1,BE1943):INDEX((係数_バス貨物_ガソリン,係数_バス貨物_CNG,係数_バス貨物_軽油,係数_バス貨物_メタノール,係数_バス貨物_LPG),MATCH(AY1943+1,【参考】排出係数!$AI$4:$AI$671,1)-1,5,BE1943),3,FALSE),IF(OR(AW1943=1,AW1943=2),VLOOKUP(AU1943,INDEX((係数_乗用_ガソリン,係数_乗用_CNG,係数_乗用_軽油,係数_乗用_メタノール,係数_乗用_LPG),1,1,BE1943):INDEX((係数_乗用_ガソリン,係数_乗用_CNG,係数_乗用_軽油,係数_乗用_メタノール,係数_乗用_LPG),125,5,BE1943),3,FALSE))))))</f>
        <v/>
      </c>
      <c r="BC1943" s="467" t="str">
        <f t="shared" si="1128"/>
        <v/>
      </c>
      <c r="BD1943" s="567" t="str">
        <f t="shared" si="1129"/>
        <v/>
      </c>
      <c r="BE1943" s="467" t="str">
        <f t="shared" si="1130"/>
        <v/>
      </c>
      <c r="BF1943" s="469" t="str">
        <f t="shared" ca="1" si="1131"/>
        <v/>
      </c>
      <c r="BG1943" s="469" t="str">
        <f t="shared" ca="1" si="1132"/>
        <v/>
      </c>
      <c r="BH1943" s="467" t="str">
        <f t="shared" si="1133"/>
        <v/>
      </c>
      <c r="BI1943" s="467" t="str">
        <f t="shared" ca="1" si="1134"/>
        <v/>
      </c>
      <c r="BJ1943" s="469" t="str">
        <f t="shared" si="1135"/>
        <v/>
      </c>
      <c r="BK1943" s="470" t="str">
        <f t="shared" si="1119"/>
        <v/>
      </c>
      <c r="BL1943" s="775" t="str">
        <f t="shared" si="1136"/>
        <v/>
      </c>
      <c r="BM1943" s="775" t="str">
        <f t="shared" si="1137"/>
        <v/>
      </c>
    </row>
    <row r="1944" spans="1:65">
      <c r="A1944" s="473">
        <v>1888</v>
      </c>
      <c r="B1944" s="132"/>
      <c r="C1944" s="332"/>
      <c r="D1944" s="333"/>
      <c r="E1944" s="333"/>
      <c r="F1944" s="334"/>
      <c r="G1944" s="337"/>
      <c r="H1944" s="131"/>
      <c r="I1944" s="337"/>
      <c r="J1944" s="131"/>
      <c r="K1944" s="458" t="str">
        <f t="shared" si="1100"/>
        <v/>
      </c>
      <c r="L1944" s="458">
        <f t="shared" si="1101"/>
        <v>0</v>
      </c>
      <c r="M1944" s="458">
        <f t="shared" si="1102"/>
        <v>0</v>
      </c>
      <c r="N1944" s="459" t="str">
        <f t="shared" si="1113"/>
        <v/>
      </c>
      <c r="O1944" s="459" t="str">
        <f t="shared" si="1114"/>
        <v/>
      </c>
      <c r="P1944" s="459" t="str">
        <f t="shared" si="1115"/>
        <v/>
      </c>
      <c r="Q1944" s="459" t="str">
        <f t="shared" si="1116"/>
        <v/>
      </c>
      <c r="R1944" s="459" t="str">
        <f t="shared" si="1117"/>
        <v/>
      </c>
      <c r="S1944" s="459" t="str">
        <f t="shared" si="1118"/>
        <v/>
      </c>
      <c r="T1944" s="566" t="str">
        <f t="shared" si="1103"/>
        <v/>
      </c>
      <c r="U1944" s="702"/>
      <c r="V1944" s="132"/>
      <c r="W1944" s="133"/>
      <c r="X1944" s="134"/>
      <c r="Y1944" s="135"/>
      <c r="Z1944" s="137"/>
      <c r="AA1944" s="136"/>
      <c r="AB1944" s="566" t="str">
        <f t="shared" si="1104"/>
        <v/>
      </c>
      <c r="AC1944" s="568" t="str">
        <f t="shared" si="1105"/>
        <v/>
      </c>
      <c r="AD1944" s="137"/>
      <c r="AE1944" s="137"/>
      <c r="AF1944" s="138"/>
      <c r="AG1944" s="138"/>
      <c r="AH1944" s="592" t="str">
        <f t="shared" si="1106"/>
        <v/>
      </c>
      <c r="AI1944" s="592" t="str">
        <f t="shared" si="1107"/>
        <v/>
      </c>
      <c r="AJ1944" s="592" t="str">
        <f t="shared" si="1108"/>
        <v/>
      </c>
      <c r="AK1944" s="460" t="str">
        <f>IF(AU1944="","",IF(OR(AZ1944=8,AZ1944=9),0,IF(OR(AW1944=3,AW1944=4,AW1944=5,AW1944=6),IF(LEFT(BF1944,1)="1",INDEX(係数_NOX・PM低減,MATCH(AY1944,【参考】排出係数!$AI$801:$AI$804,1),1),VLOOKUP(AU1944,INDEX((係数_バス貨物_ガソリン,係数_バス貨物_CNG,係数_バス貨物_軽油,係数_バス貨物_メタノール,係数_バス貨物_LPG),MATCH(AY1944,【参考】排出係数!$AI$4:$AI$671,1),1,BE1944):INDEX((係数_バス貨物_ガソリン,係数_バス貨物_CNG,係数_バス貨物_軽油,係数_バス貨物_メタノール,係数_バス貨物_LPG),MATCH(AY1944+1,【参考】排出係数!$AI$4:$AI$671,1)-1,5,BE1944),4,FALSE)),IF(AND(BE1944=3,LEFT(BF1944,1)="1"),0.48,VLOOKUP(AU1944,INDEX((係数_乗用_ガソリン,係数_乗用_CNG,係数_乗用_軽油,係数_乗用_メタノール,係数_乗用_LPG),1,1,BE1944):INDEX((係数_乗用_ガソリン,係数_乗用_CNG,係数_乗用_軽油,係数_乗用_メタノール,係数_乗用_LPG),125,5,BE1944),4,FALSE)))))</f>
        <v/>
      </c>
      <c r="AL1944" s="461" t="str">
        <f t="shared" si="1109"/>
        <v/>
      </c>
      <c r="AM1944" s="460" t="str">
        <f>IF(AU1944="","",IF(OR(AZ1944=8,AZ1944=9),0,IF(OR(AW1944=3,AW1944=4,AW1944=5,AW1944=6),IF(LEFT(BH1944,1)="1",INDEX(係数_PM低減,MATCH(AY1944,【参考】排出係数!$AI$801:$AI$804,1),MATCH(BI1944,【参考】排出係数!$AL$798:$AO$798,1)),VLOOKUP(AU1944,INDEX((係数_バス貨物_ガソリン,係数_バス貨物_CNG,係数_バス貨物_軽油,係数_バス貨物_メタノール,係数_バス貨物_LPG),MATCH(AY1944,【参考】排出係数!$AI$4:$AI$671,1),1,BE1944):INDEX((係数_バス貨物_ガソリン,係数_バス貨物_CNG,係数_バス貨物_軽油,係数_バス貨物_メタノール,係数_バス貨物_LPG),MATCH(AY1944+1,【参考】排出係数!$AI$4:$AI$671,1)-1,5,BE1944),5,FALSE)),IF(AND(BE1944=3,LEFT(BF1944,1)="1"),0.055,VLOOKUP(AU1944,INDEX((係数_乗用_ガソリン,係数_乗用_CNG,係数_乗用_軽油,係数_乗用_メタノール,係数_乗用_LPG),1,1,BE1944):INDEX((係数_乗用_ガソリン,係数_乗用_CNG,係数_乗用_軽油,係数_乗用_メタノール,係数_乗用_LPG),125,5,BE1944),5,FALSE)))))</f>
        <v/>
      </c>
      <c r="AN1944" s="461" t="str">
        <f t="shared" si="1110"/>
        <v/>
      </c>
      <c r="AO1944" s="462" t="str">
        <f t="shared" si="1111"/>
        <v/>
      </c>
      <c r="AP1944" s="463" t="str">
        <f t="shared" si="1112"/>
        <v/>
      </c>
      <c r="AQ1944" s="464"/>
      <c r="AR1944" s="619"/>
      <c r="AS1944" s="465" t="str">
        <f t="shared" si="1120"/>
        <v/>
      </c>
      <c r="AT1944" s="465" t="str">
        <f t="shared" si="1121"/>
        <v/>
      </c>
      <c r="AU1944" s="466" t="str">
        <f t="shared" si="1122"/>
        <v/>
      </c>
      <c r="AV1944" s="467" t="str">
        <f t="shared" si="1123"/>
        <v/>
      </c>
      <c r="AW1944" s="467" t="str">
        <f t="shared" si="1124"/>
        <v/>
      </c>
      <c r="AX1944" s="467" t="str">
        <f t="shared" si="1125"/>
        <v/>
      </c>
      <c r="AY1944" s="467" t="str">
        <f t="shared" si="1126"/>
        <v/>
      </c>
      <c r="AZ1944" s="467" t="str">
        <f t="shared" si="1127"/>
        <v/>
      </c>
      <c r="BA1944" s="468" t="str">
        <f>IF(AS1944="","",IF(OR(AU1944="",AU1944="-"),"－",IF(OR(AZ1944=8,AZ1944=9),"",IF(OR(AW1944=3,AW1944=4,AW1944=5,AW1944=6),VLOOKUP(AU1944,INDEX((係数_バス貨物_ガソリン,係数_バス貨物_CNG,係数_バス貨物_軽油,係数_バス貨物_メタノール,係数_バス貨物_LPG),MATCH(AY1944,【参考】排出係数!$AI$4:$AI$671,1),1,BE1944):INDEX((係数_バス貨物_ガソリン,係数_バス貨物_CNG,係数_バス貨物_軽油,係数_バス貨物_メタノール,係数_バス貨物_LPG),MATCH(AY1944+1,【参考】排出係数!$AI$4:$AI$671,1)-1,5,BE1944),2,FALSE),IF(OR(AW1944=1,AW1944=2),VLOOKUP(AU1944,INDEX((係数_乗用_ガソリン,係数_乗用_CNG,係数_乗用_軽油,係数_乗用_メタノール,係数_乗用_LPG),1,1,BE1944):INDEX((係数_乗用_ガソリン,係数_乗用_CNG,係数_乗用_軽油,係数_乗用_メタノール,係数_乗用_LPG),125,5,BE1944),2,FALSE))))))</f>
        <v/>
      </c>
      <c r="BB1944" s="468" t="str">
        <f>IF(T1944="","",IF(OR(AU1944="",AU1944="-"),"－",IF(OR(AZ1944=8,AZ1944=9),"",IF(OR(AW1944=3,AW1944=4,AW1944=5,AW1944=6),VLOOKUP(AU1944,INDEX((係数_バス貨物_ガソリン,係数_バス貨物_CNG,係数_バス貨物_軽油,係数_バス貨物_メタノール,係数_バス貨物_LPG),MATCH(AY1944,【参考】排出係数!$AI$4:$AI$671,1),1,BE1944):INDEX((係数_バス貨物_ガソリン,係数_バス貨物_CNG,係数_バス貨物_軽油,係数_バス貨物_メタノール,係数_バス貨物_LPG),MATCH(AY1944+1,【参考】排出係数!$AI$4:$AI$671,1)-1,5,BE1944),3,FALSE),IF(OR(AW1944=1,AW1944=2),VLOOKUP(AU1944,INDEX((係数_乗用_ガソリン,係数_乗用_CNG,係数_乗用_軽油,係数_乗用_メタノール,係数_乗用_LPG),1,1,BE1944):INDEX((係数_乗用_ガソリン,係数_乗用_CNG,係数_乗用_軽油,係数_乗用_メタノール,係数_乗用_LPG),125,5,BE1944),3,FALSE))))))</f>
        <v/>
      </c>
      <c r="BC1944" s="467" t="str">
        <f t="shared" si="1128"/>
        <v/>
      </c>
      <c r="BD1944" s="567" t="str">
        <f t="shared" si="1129"/>
        <v/>
      </c>
      <c r="BE1944" s="467" t="str">
        <f t="shared" si="1130"/>
        <v/>
      </c>
      <c r="BF1944" s="469" t="str">
        <f t="shared" ca="1" si="1131"/>
        <v/>
      </c>
      <c r="BG1944" s="469" t="str">
        <f t="shared" ca="1" si="1132"/>
        <v/>
      </c>
      <c r="BH1944" s="467" t="str">
        <f t="shared" si="1133"/>
        <v/>
      </c>
      <c r="BI1944" s="467" t="str">
        <f t="shared" ca="1" si="1134"/>
        <v/>
      </c>
      <c r="BJ1944" s="469" t="str">
        <f t="shared" si="1135"/>
        <v/>
      </c>
      <c r="BK1944" s="470" t="str">
        <f t="shared" si="1119"/>
        <v/>
      </c>
      <c r="BL1944" s="775" t="str">
        <f t="shared" si="1136"/>
        <v/>
      </c>
      <c r="BM1944" s="775" t="str">
        <f t="shared" si="1137"/>
        <v/>
      </c>
    </row>
    <row r="1945" spans="1:65">
      <c r="A1945" s="473">
        <v>1889</v>
      </c>
      <c r="B1945" s="132"/>
      <c r="C1945" s="332"/>
      <c r="D1945" s="333"/>
      <c r="E1945" s="333"/>
      <c r="F1945" s="334"/>
      <c r="G1945" s="337"/>
      <c r="H1945" s="131"/>
      <c r="I1945" s="337"/>
      <c r="J1945" s="131"/>
      <c r="K1945" s="458" t="str">
        <f t="shared" si="1100"/>
        <v/>
      </c>
      <c r="L1945" s="458">
        <f t="shared" si="1101"/>
        <v>0</v>
      </c>
      <c r="M1945" s="458">
        <f t="shared" si="1102"/>
        <v>0</v>
      </c>
      <c r="N1945" s="459" t="str">
        <f t="shared" si="1113"/>
        <v/>
      </c>
      <c r="O1945" s="459" t="str">
        <f t="shared" si="1114"/>
        <v/>
      </c>
      <c r="P1945" s="459" t="str">
        <f t="shared" si="1115"/>
        <v/>
      </c>
      <c r="Q1945" s="459" t="str">
        <f t="shared" si="1116"/>
        <v/>
      </c>
      <c r="R1945" s="459" t="str">
        <f t="shared" si="1117"/>
        <v/>
      </c>
      <c r="S1945" s="459" t="str">
        <f t="shared" si="1118"/>
        <v/>
      </c>
      <c r="T1945" s="566" t="str">
        <f t="shared" si="1103"/>
        <v/>
      </c>
      <c r="U1945" s="702"/>
      <c r="V1945" s="132"/>
      <c r="W1945" s="133"/>
      <c r="X1945" s="134"/>
      <c r="Y1945" s="135"/>
      <c r="Z1945" s="137"/>
      <c r="AA1945" s="136"/>
      <c r="AB1945" s="566" t="str">
        <f t="shared" si="1104"/>
        <v/>
      </c>
      <c r="AC1945" s="568" t="str">
        <f t="shared" si="1105"/>
        <v/>
      </c>
      <c r="AD1945" s="137"/>
      <c r="AE1945" s="137"/>
      <c r="AF1945" s="138"/>
      <c r="AG1945" s="138"/>
      <c r="AH1945" s="592" t="str">
        <f t="shared" si="1106"/>
        <v/>
      </c>
      <c r="AI1945" s="592" t="str">
        <f t="shared" si="1107"/>
        <v/>
      </c>
      <c r="AJ1945" s="592" t="str">
        <f t="shared" si="1108"/>
        <v/>
      </c>
      <c r="AK1945" s="460" t="str">
        <f>IF(AU1945="","",IF(OR(AZ1945=8,AZ1945=9),0,IF(OR(AW1945=3,AW1945=4,AW1945=5,AW1945=6),IF(LEFT(BF1945,1)="1",INDEX(係数_NOX・PM低減,MATCH(AY1945,【参考】排出係数!$AI$801:$AI$804,1),1),VLOOKUP(AU1945,INDEX((係数_バス貨物_ガソリン,係数_バス貨物_CNG,係数_バス貨物_軽油,係数_バス貨物_メタノール,係数_バス貨物_LPG),MATCH(AY1945,【参考】排出係数!$AI$4:$AI$671,1),1,BE1945):INDEX((係数_バス貨物_ガソリン,係数_バス貨物_CNG,係数_バス貨物_軽油,係数_バス貨物_メタノール,係数_バス貨物_LPG),MATCH(AY1945+1,【参考】排出係数!$AI$4:$AI$671,1)-1,5,BE1945),4,FALSE)),IF(AND(BE1945=3,LEFT(BF1945,1)="1"),0.48,VLOOKUP(AU1945,INDEX((係数_乗用_ガソリン,係数_乗用_CNG,係数_乗用_軽油,係数_乗用_メタノール,係数_乗用_LPG),1,1,BE1945):INDEX((係数_乗用_ガソリン,係数_乗用_CNG,係数_乗用_軽油,係数_乗用_メタノール,係数_乗用_LPG),125,5,BE1945),4,FALSE)))))</f>
        <v/>
      </c>
      <c r="AL1945" s="461" t="str">
        <f t="shared" si="1109"/>
        <v/>
      </c>
      <c r="AM1945" s="460" t="str">
        <f>IF(AU1945="","",IF(OR(AZ1945=8,AZ1945=9),0,IF(OR(AW1945=3,AW1945=4,AW1945=5,AW1945=6),IF(LEFT(BH1945,1)="1",INDEX(係数_PM低減,MATCH(AY1945,【参考】排出係数!$AI$801:$AI$804,1),MATCH(BI1945,【参考】排出係数!$AL$798:$AO$798,1)),VLOOKUP(AU1945,INDEX((係数_バス貨物_ガソリン,係数_バス貨物_CNG,係数_バス貨物_軽油,係数_バス貨物_メタノール,係数_バス貨物_LPG),MATCH(AY1945,【参考】排出係数!$AI$4:$AI$671,1),1,BE1945):INDEX((係数_バス貨物_ガソリン,係数_バス貨物_CNG,係数_バス貨物_軽油,係数_バス貨物_メタノール,係数_バス貨物_LPG),MATCH(AY1945+1,【参考】排出係数!$AI$4:$AI$671,1)-1,5,BE1945),5,FALSE)),IF(AND(BE1945=3,LEFT(BF1945,1)="1"),0.055,VLOOKUP(AU1945,INDEX((係数_乗用_ガソリン,係数_乗用_CNG,係数_乗用_軽油,係数_乗用_メタノール,係数_乗用_LPG),1,1,BE1945):INDEX((係数_乗用_ガソリン,係数_乗用_CNG,係数_乗用_軽油,係数_乗用_メタノール,係数_乗用_LPG),125,5,BE1945),5,FALSE)))))</f>
        <v/>
      </c>
      <c r="AN1945" s="461" t="str">
        <f t="shared" si="1110"/>
        <v/>
      </c>
      <c r="AO1945" s="462" t="str">
        <f t="shared" si="1111"/>
        <v/>
      </c>
      <c r="AP1945" s="463" t="str">
        <f t="shared" si="1112"/>
        <v/>
      </c>
      <c r="AQ1945" s="464"/>
      <c r="AR1945" s="619"/>
      <c r="AS1945" s="465" t="str">
        <f t="shared" si="1120"/>
        <v/>
      </c>
      <c r="AT1945" s="465" t="str">
        <f t="shared" si="1121"/>
        <v/>
      </c>
      <c r="AU1945" s="466" t="str">
        <f t="shared" si="1122"/>
        <v/>
      </c>
      <c r="AV1945" s="467" t="str">
        <f t="shared" si="1123"/>
        <v/>
      </c>
      <c r="AW1945" s="467" t="str">
        <f t="shared" si="1124"/>
        <v/>
      </c>
      <c r="AX1945" s="467" t="str">
        <f t="shared" si="1125"/>
        <v/>
      </c>
      <c r="AY1945" s="467" t="str">
        <f t="shared" si="1126"/>
        <v/>
      </c>
      <c r="AZ1945" s="467" t="str">
        <f t="shared" si="1127"/>
        <v/>
      </c>
      <c r="BA1945" s="468" t="str">
        <f>IF(AS1945="","",IF(OR(AU1945="",AU1945="-"),"－",IF(OR(AZ1945=8,AZ1945=9),"",IF(OR(AW1945=3,AW1945=4,AW1945=5,AW1945=6),VLOOKUP(AU1945,INDEX((係数_バス貨物_ガソリン,係数_バス貨物_CNG,係数_バス貨物_軽油,係数_バス貨物_メタノール,係数_バス貨物_LPG),MATCH(AY1945,【参考】排出係数!$AI$4:$AI$671,1),1,BE1945):INDEX((係数_バス貨物_ガソリン,係数_バス貨物_CNG,係数_バス貨物_軽油,係数_バス貨物_メタノール,係数_バス貨物_LPG),MATCH(AY1945+1,【参考】排出係数!$AI$4:$AI$671,1)-1,5,BE1945),2,FALSE),IF(OR(AW1945=1,AW1945=2),VLOOKUP(AU1945,INDEX((係数_乗用_ガソリン,係数_乗用_CNG,係数_乗用_軽油,係数_乗用_メタノール,係数_乗用_LPG),1,1,BE1945):INDEX((係数_乗用_ガソリン,係数_乗用_CNG,係数_乗用_軽油,係数_乗用_メタノール,係数_乗用_LPG),125,5,BE1945),2,FALSE))))))</f>
        <v/>
      </c>
      <c r="BB1945" s="468" t="str">
        <f>IF(T1945="","",IF(OR(AU1945="",AU1945="-"),"－",IF(OR(AZ1945=8,AZ1945=9),"",IF(OR(AW1945=3,AW1945=4,AW1945=5,AW1945=6),VLOOKUP(AU1945,INDEX((係数_バス貨物_ガソリン,係数_バス貨物_CNG,係数_バス貨物_軽油,係数_バス貨物_メタノール,係数_バス貨物_LPG),MATCH(AY1945,【参考】排出係数!$AI$4:$AI$671,1),1,BE1945):INDEX((係数_バス貨物_ガソリン,係数_バス貨物_CNG,係数_バス貨物_軽油,係数_バス貨物_メタノール,係数_バス貨物_LPG),MATCH(AY1945+1,【参考】排出係数!$AI$4:$AI$671,1)-1,5,BE1945),3,FALSE),IF(OR(AW1945=1,AW1945=2),VLOOKUP(AU1945,INDEX((係数_乗用_ガソリン,係数_乗用_CNG,係数_乗用_軽油,係数_乗用_メタノール,係数_乗用_LPG),1,1,BE1945):INDEX((係数_乗用_ガソリン,係数_乗用_CNG,係数_乗用_軽油,係数_乗用_メタノール,係数_乗用_LPG),125,5,BE1945),3,FALSE))))))</f>
        <v/>
      </c>
      <c r="BC1945" s="467" t="str">
        <f t="shared" si="1128"/>
        <v/>
      </c>
      <c r="BD1945" s="567" t="str">
        <f t="shared" si="1129"/>
        <v/>
      </c>
      <c r="BE1945" s="467" t="str">
        <f t="shared" si="1130"/>
        <v/>
      </c>
      <c r="BF1945" s="469" t="str">
        <f t="shared" ca="1" si="1131"/>
        <v/>
      </c>
      <c r="BG1945" s="469" t="str">
        <f t="shared" ca="1" si="1132"/>
        <v/>
      </c>
      <c r="BH1945" s="467" t="str">
        <f t="shared" si="1133"/>
        <v/>
      </c>
      <c r="BI1945" s="467" t="str">
        <f t="shared" ca="1" si="1134"/>
        <v/>
      </c>
      <c r="BJ1945" s="469" t="str">
        <f t="shared" si="1135"/>
        <v/>
      </c>
      <c r="BK1945" s="470" t="str">
        <f t="shared" si="1119"/>
        <v/>
      </c>
      <c r="BL1945" s="775" t="str">
        <f t="shared" si="1136"/>
        <v/>
      </c>
      <c r="BM1945" s="775" t="str">
        <f t="shared" si="1137"/>
        <v/>
      </c>
    </row>
    <row r="1946" spans="1:65">
      <c r="A1946" s="473">
        <v>1890</v>
      </c>
      <c r="B1946" s="132"/>
      <c r="C1946" s="332"/>
      <c r="D1946" s="333"/>
      <c r="E1946" s="333"/>
      <c r="F1946" s="334"/>
      <c r="G1946" s="337"/>
      <c r="H1946" s="131"/>
      <c r="I1946" s="337"/>
      <c r="J1946" s="131"/>
      <c r="K1946" s="458" t="str">
        <f t="shared" si="1100"/>
        <v/>
      </c>
      <c r="L1946" s="458">
        <f t="shared" si="1101"/>
        <v>0</v>
      </c>
      <c r="M1946" s="458">
        <f t="shared" si="1102"/>
        <v>0</v>
      </c>
      <c r="N1946" s="459" t="str">
        <f t="shared" si="1113"/>
        <v/>
      </c>
      <c r="O1946" s="459" t="str">
        <f t="shared" si="1114"/>
        <v/>
      </c>
      <c r="P1946" s="459" t="str">
        <f t="shared" si="1115"/>
        <v/>
      </c>
      <c r="Q1946" s="459" t="str">
        <f t="shared" si="1116"/>
        <v/>
      </c>
      <c r="R1946" s="459" t="str">
        <f t="shared" si="1117"/>
        <v/>
      </c>
      <c r="S1946" s="459" t="str">
        <f t="shared" si="1118"/>
        <v/>
      </c>
      <c r="T1946" s="566" t="str">
        <f t="shared" si="1103"/>
        <v/>
      </c>
      <c r="U1946" s="702"/>
      <c r="V1946" s="132"/>
      <c r="W1946" s="133"/>
      <c r="X1946" s="134"/>
      <c r="Y1946" s="135"/>
      <c r="Z1946" s="137"/>
      <c r="AA1946" s="136"/>
      <c r="AB1946" s="566" t="str">
        <f t="shared" si="1104"/>
        <v/>
      </c>
      <c r="AC1946" s="568" t="str">
        <f t="shared" si="1105"/>
        <v/>
      </c>
      <c r="AD1946" s="137"/>
      <c r="AE1946" s="137"/>
      <c r="AF1946" s="138"/>
      <c r="AG1946" s="138"/>
      <c r="AH1946" s="592" t="str">
        <f t="shared" si="1106"/>
        <v/>
      </c>
      <c r="AI1946" s="592" t="str">
        <f t="shared" si="1107"/>
        <v/>
      </c>
      <c r="AJ1946" s="592" t="str">
        <f t="shared" si="1108"/>
        <v/>
      </c>
      <c r="AK1946" s="460" t="str">
        <f>IF(AU1946="","",IF(OR(AZ1946=8,AZ1946=9),0,IF(OR(AW1946=3,AW1946=4,AW1946=5,AW1946=6),IF(LEFT(BF1946,1)="1",INDEX(係数_NOX・PM低減,MATCH(AY1946,【参考】排出係数!$AI$801:$AI$804,1),1),VLOOKUP(AU1946,INDEX((係数_バス貨物_ガソリン,係数_バス貨物_CNG,係数_バス貨物_軽油,係数_バス貨物_メタノール,係数_バス貨物_LPG),MATCH(AY1946,【参考】排出係数!$AI$4:$AI$671,1),1,BE1946):INDEX((係数_バス貨物_ガソリン,係数_バス貨物_CNG,係数_バス貨物_軽油,係数_バス貨物_メタノール,係数_バス貨物_LPG),MATCH(AY1946+1,【参考】排出係数!$AI$4:$AI$671,1)-1,5,BE1946),4,FALSE)),IF(AND(BE1946=3,LEFT(BF1946,1)="1"),0.48,VLOOKUP(AU1946,INDEX((係数_乗用_ガソリン,係数_乗用_CNG,係数_乗用_軽油,係数_乗用_メタノール,係数_乗用_LPG),1,1,BE1946):INDEX((係数_乗用_ガソリン,係数_乗用_CNG,係数_乗用_軽油,係数_乗用_メタノール,係数_乗用_LPG),125,5,BE1946),4,FALSE)))))</f>
        <v/>
      </c>
      <c r="AL1946" s="461" t="str">
        <f t="shared" si="1109"/>
        <v/>
      </c>
      <c r="AM1946" s="460" t="str">
        <f>IF(AU1946="","",IF(OR(AZ1946=8,AZ1946=9),0,IF(OR(AW1946=3,AW1946=4,AW1946=5,AW1946=6),IF(LEFT(BH1946,1)="1",INDEX(係数_PM低減,MATCH(AY1946,【参考】排出係数!$AI$801:$AI$804,1),MATCH(BI1946,【参考】排出係数!$AL$798:$AO$798,1)),VLOOKUP(AU1946,INDEX((係数_バス貨物_ガソリン,係数_バス貨物_CNG,係数_バス貨物_軽油,係数_バス貨物_メタノール,係数_バス貨物_LPG),MATCH(AY1946,【参考】排出係数!$AI$4:$AI$671,1),1,BE1946):INDEX((係数_バス貨物_ガソリン,係数_バス貨物_CNG,係数_バス貨物_軽油,係数_バス貨物_メタノール,係数_バス貨物_LPG),MATCH(AY1946+1,【参考】排出係数!$AI$4:$AI$671,1)-1,5,BE1946),5,FALSE)),IF(AND(BE1946=3,LEFT(BF1946,1)="1"),0.055,VLOOKUP(AU1946,INDEX((係数_乗用_ガソリン,係数_乗用_CNG,係数_乗用_軽油,係数_乗用_メタノール,係数_乗用_LPG),1,1,BE1946):INDEX((係数_乗用_ガソリン,係数_乗用_CNG,係数_乗用_軽油,係数_乗用_メタノール,係数_乗用_LPG),125,5,BE1946),5,FALSE)))))</f>
        <v/>
      </c>
      <c r="AN1946" s="461" t="str">
        <f t="shared" si="1110"/>
        <v/>
      </c>
      <c r="AO1946" s="462" t="str">
        <f t="shared" si="1111"/>
        <v/>
      </c>
      <c r="AP1946" s="463" t="str">
        <f t="shared" si="1112"/>
        <v/>
      </c>
      <c r="AQ1946" s="464"/>
      <c r="AR1946" s="619"/>
      <c r="AS1946" s="465" t="str">
        <f t="shared" si="1120"/>
        <v/>
      </c>
      <c r="AT1946" s="465" t="str">
        <f t="shared" si="1121"/>
        <v/>
      </c>
      <c r="AU1946" s="466" t="str">
        <f t="shared" si="1122"/>
        <v/>
      </c>
      <c r="AV1946" s="467" t="str">
        <f t="shared" si="1123"/>
        <v/>
      </c>
      <c r="AW1946" s="467" t="str">
        <f t="shared" si="1124"/>
        <v/>
      </c>
      <c r="AX1946" s="467" t="str">
        <f t="shared" si="1125"/>
        <v/>
      </c>
      <c r="AY1946" s="467" t="str">
        <f t="shared" si="1126"/>
        <v/>
      </c>
      <c r="AZ1946" s="467" t="str">
        <f t="shared" si="1127"/>
        <v/>
      </c>
      <c r="BA1946" s="468" t="str">
        <f>IF(AS1946="","",IF(OR(AU1946="",AU1946="-"),"－",IF(OR(AZ1946=8,AZ1946=9),"",IF(OR(AW1946=3,AW1946=4,AW1946=5,AW1946=6),VLOOKUP(AU1946,INDEX((係数_バス貨物_ガソリン,係数_バス貨物_CNG,係数_バス貨物_軽油,係数_バス貨物_メタノール,係数_バス貨物_LPG),MATCH(AY1946,【参考】排出係数!$AI$4:$AI$671,1),1,BE1946):INDEX((係数_バス貨物_ガソリン,係数_バス貨物_CNG,係数_バス貨物_軽油,係数_バス貨物_メタノール,係数_バス貨物_LPG),MATCH(AY1946+1,【参考】排出係数!$AI$4:$AI$671,1)-1,5,BE1946),2,FALSE),IF(OR(AW1946=1,AW1946=2),VLOOKUP(AU1946,INDEX((係数_乗用_ガソリン,係数_乗用_CNG,係数_乗用_軽油,係数_乗用_メタノール,係数_乗用_LPG),1,1,BE1946):INDEX((係数_乗用_ガソリン,係数_乗用_CNG,係数_乗用_軽油,係数_乗用_メタノール,係数_乗用_LPG),125,5,BE1946),2,FALSE))))))</f>
        <v/>
      </c>
      <c r="BB1946" s="468" t="str">
        <f>IF(T1946="","",IF(OR(AU1946="",AU1946="-"),"－",IF(OR(AZ1946=8,AZ1946=9),"",IF(OR(AW1946=3,AW1946=4,AW1946=5,AW1946=6),VLOOKUP(AU1946,INDEX((係数_バス貨物_ガソリン,係数_バス貨物_CNG,係数_バス貨物_軽油,係数_バス貨物_メタノール,係数_バス貨物_LPG),MATCH(AY1946,【参考】排出係数!$AI$4:$AI$671,1),1,BE1946):INDEX((係数_バス貨物_ガソリン,係数_バス貨物_CNG,係数_バス貨物_軽油,係数_バス貨物_メタノール,係数_バス貨物_LPG),MATCH(AY1946+1,【参考】排出係数!$AI$4:$AI$671,1)-1,5,BE1946),3,FALSE),IF(OR(AW1946=1,AW1946=2),VLOOKUP(AU1946,INDEX((係数_乗用_ガソリン,係数_乗用_CNG,係数_乗用_軽油,係数_乗用_メタノール,係数_乗用_LPG),1,1,BE1946):INDEX((係数_乗用_ガソリン,係数_乗用_CNG,係数_乗用_軽油,係数_乗用_メタノール,係数_乗用_LPG),125,5,BE1946),3,FALSE))))))</f>
        <v/>
      </c>
      <c r="BC1946" s="467" t="str">
        <f t="shared" si="1128"/>
        <v/>
      </c>
      <c r="BD1946" s="567" t="str">
        <f t="shared" si="1129"/>
        <v/>
      </c>
      <c r="BE1946" s="467" t="str">
        <f t="shared" si="1130"/>
        <v/>
      </c>
      <c r="BF1946" s="469" t="str">
        <f t="shared" ca="1" si="1131"/>
        <v/>
      </c>
      <c r="BG1946" s="469" t="str">
        <f t="shared" ca="1" si="1132"/>
        <v/>
      </c>
      <c r="BH1946" s="467" t="str">
        <f t="shared" si="1133"/>
        <v/>
      </c>
      <c r="BI1946" s="467" t="str">
        <f t="shared" ca="1" si="1134"/>
        <v/>
      </c>
      <c r="BJ1946" s="469" t="str">
        <f t="shared" si="1135"/>
        <v/>
      </c>
      <c r="BK1946" s="470" t="str">
        <f t="shared" si="1119"/>
        <v/>
      </c>
      <c r="BL1946" s="775" t="str">
        <f t="shared" si="1136"/>
        <v/>
      </c>
      <c r="BM1946" s="775" t="str">
        <f t="shared" si="1137"/>
        <v/>
      </c>
    </row>
    <row r="1947" spans="1:65">
      <c r="A1947" s="473">
        <v>1891</v>
      </c>
      <c r="B1947" s="132"/>
      <c r="C1947" s="332"/>
      <c r="D1947" s="333"/>
      <c r="E1947" s="333"/>
      <c r="F1947" s="334"/>
      <c r="G1947" s="337"/>
      <c r="H1947" s="131"/>
      <c r="I1947" s="337"/>
      <c r="J1947" s="131"/>
      <c r="K1947" s="458" t="str">
        <f t="shared" si="1100"/>
        <v/>
      </c>
      <c r="L1947" s="458">
        <f t="shared" si="1101"/>
        <v>0</v>
      </c>
      <c r="M1947" s="458">
        <f t="shared" si="1102"/>
        <v>0</v>
      </c>
      <c r="N1947" s="459" t="str">
        <f t="shared" si="1113"/>
        <v/>
      </c>
      <c r="O1947" s="459" t="str">
        <f t="shared" si="1114"/>
        <v/>
      </c>
      <c r="P1947" s="459" t="str">
        <f t="shared" si="1115"/>
        <v/>
      </c>
      <c r="Q1947" s="459" t="str">
        <f t="shared" si="1116"/>
        <v/>
      </c>
      <c r="R1947" s="459" t="str">
        <f t="shared" si="1117"/>
        <v/>
      </c>
      <c r="S1947" s="459" t="str">
        <f t="shared" si="1118"/>
        <v/>
      </c>
      <c r="T1947" s="566" t="str">
        <f t="shared" si="1103"/>
        <v/>
      </c>
      <c r="U1947" s="702"/>
      <c r="V1947" s="132"/>
      <c r="W1947" s="133"/>
      <c r="X1947" s="134"/>
      <c r="Y1947" s="135"/>
      <c r="Z1947" s="137"/>
      <c r="AA1947" s="136"/>
      <c r="AB1947" s="566" t="str">
        <f t="shared" si="1104"/>
        <v/>
      </c>
      <c r="AC1947" s="568" t="str">
        <f t="shared" si="1105"/>
        <v/>
      </c>
      <c r="AD1947" s="137"/>
      <c r="AE1947" s="137"/>
      <c r="AF1947" s="138"/>
      <c r="AG1947" s="138"/>
      <c r="AH1947" s="592" t="str">
        <f t="shared" si="1106"/>
        <v/>
      </c>
      <c r="AI1947" s="592" t="str">
        <f t="shared" si="1107"/>
        <v/>
      </c>
      <c r="AJ1947" s="592" t="str">
        <f t="shared" si="1108"/>
        <v/>
      </c>
      <c r="AK1947" s="460" t="str">
        <f>IF(AU1947="","",IF(OR(AZ1947=8,AZ1947=9),0,IF(OR(AW1947=3,AW1947=4,AW1947=5,AW1947=6),IF(LEFT(BF1947,1)="1",INDEX(係数_NOX・PM低減,MATCH(AY1947,【参考】排出係数!$AI$801:$AI$804,1),1),VLOOKUP(AU1947,INDEX((係数_バス貨物_ガソリン,係数_バス貨物_CNG,係数_バス貨物_軽油,係数_バス貨物_メタノール,係数_バス貨物_LPG),MATCH(AY1947,【参考】排出係数!$AI$4:$AI$671,1),1,BE1947):INDEX((係数_バス貨物_ガソリン,係数_バス貨物_CNG,係数_バス貨物_軽油,係数_バス貨物_メタノール,係数_バス貨物_LPG),MATCH(AY1947+1,【参考】排出係数!$AI$4:$AI$671,1)-1,5,BE1947),4,FALSE)),IF(AND(BE1947=3,LEFT(BF1947,1)="1"),0.48,VLOOKUP(AU1947,INDEX((係数_乗用_ガソリン,係数_乗用_CNG,係数_乗用_軽油,係数_乗用_メタノール,係数_乗用_LPG),1,1,BE1947):INDEX((係数_乗用_ガソリン,係数_乗用_CNG,係数_乗用_軽油,係数_乗用_メタノール,係数_乗用_LPG),125,5,BE1947),4,FALSE)))))</f>
        <v/>
      </c>
      <c r="AL1947" s="461" t="str">
        <f t="shared" si="1109"/>
        <v/>
      </c>
      <c r="AM1947" s="460" t="str">
        <f>IF(AU1947="","",IF(OR(AZ1947=8,AZ1947=9),0,IF(OR(AW1947=3,AW1947=4,AW1947=5,AW1947=6),IF(LEFT(BH1947,1)="1",INDEX(係数_PM低減,MATCH(AY1947,【参考】排出係数!$AI$801:$AI$804,1),MATCH(BI1947,【参考】排出係数!$AL$798:$AO$798,1)),VLOOKUP(AU1947,INDEX((係数_バス貨物_ガソリン,係数_バス貨物_CNG,係数_バス貨物_軽油,係数_バス貨物_メタノール,係数_バス貨物_LPG),MATCH(AY1947,【参考】排出係数!$AI$4:$AI$671,1),1,BE1947):INDEX((係数_バス貨物_ガソリン,係数_バス貨物_CNG,係数_バス貨物_軽油,係数_バス貨物_メタノール,係数_バス貨物_LPG),MATCH(AY1947+1,【参考】排出係数!$AI$4:$AI$671,1)-1,5,BE1947),5,FALSE)),IF(AND(BE1947=3,LEFT(BF1947,1)="1"),0.055,VLOOKUP(AU1947,INDEX((係数_乗用_ガソリン,係数_乗用_CNG,係数_乗用_軽油,係数_乗用_メタノール,係数_乗用_LPG),1,1,BE1947):INDEX((係数_乗用_ガソリン,係数_乗用_CNG,係数_乗用_軽油,係数_乗用_メタノール,係数_乗用_LPG),125,5,BE1947),5,FALSE)))))</f>
        <v/>
      </c>
      <c r="AN1947" s="461" t="str">
        <f t="shared" si="1110"/>
        <v/>
      </c>
      <c r="AO1947" s="462" t="str">
        <f t="shared" si="1111"/>
        <v/>
      </c>
      <c r="AP1947" s="463" t="str">
        <f t="shared" si="1112"/>
        <v/>
      </c>
      <c r="AQ1947" s="464"/>
      <c r="AR1947" s="619"/>
      <c r="AS1947" s="465" t="str">
        <f t="shared" si="1120"/>
        <v/>
      </c>
      <c r="AT1947" s="465" t="str">
        <f t="shared" si="1121"/>
        <v/>
      </c>
      <c r="AU1947" s="466" t="str">
        <f t="shared" si="1122"/>
        <v/>
      </c>
      <c r="AV1947" s="467" t="str">
        <f t="shared" si="1123"/>
        <v/>
      </c>
      <c r="AW1947" s="467" t="str">
        <f t="shared" si="1124"/>
        <v/>
      </c>
      <c r="AX1947" s="467" t="str">
        <f t="shared" si="1125"/>
        <v/>
      </c>
      <c r="AY1947" s="467" t="str">
        <f t="shared" si="1126"/>
        <v/>
      </c>
      <c r="AZ1947" s="467" t="str">
        <f t="shared" si="1127"/>
        <v/>
      </c>
      <c r="BA1947" s="468" t="str">
        <f>IF(AS1947="","",IF(OR(AU1947="",AU1947="-"),"－",IF(OR(AZ1947=8,AZ1947=9),"",IF(OR(AW1947=3,AW1947=4,AW1947=5,AW1947=6),VLOOKUP(AU1947,INDEX((係数_バス貨物_ガソリン,係数_バス貨物_CNG,係数_バス貨物_軽油,係数_バス貨物_メタノール,係数_バス貨物_LPG),MATCH(AY1947,【参考】排出係数!$AI$4:$AI$671,1),1,BE1947):INDEX((係数_バス貨物_ガソリン,係数_バス貨物_CNG,係数_バス貨物_軽油,係数_バス貨物_メタノール,係数_バス貨物_LPG),MATCH(AY1947+1,【参考】排出係数!$AI$4:$AI$671,1)-1,5,BE1947),2,FALSE),IF(OR(AW1947=1,AW1947=2),VLOOKUP(AU1947,INDEX((係数_乗用_ガソリン,係数_乗用_CNG,係数_乗用_軽油,係数_乗用_メタノール,係数_乗用_LPG),1,1,BE1947):INDEX((係数_乗用_ガソリン,係数_乗用_CNG,係数_乗用_軽油,係数_乗用_メタノール,係数_乗用_LPG),125,5,BE1947),2,FALSE))))))</f>
        <v/>
      </c>
      <c r="BB1947" s="468" t="str">
        <f>IF(T1947="","",IF(OR(AU1947="",AU1947="-"),"－",IF(OR(AZ1947=8,AZ1947=9),"",IF(OR(AW1947=3,AW1947=4,AW1947=5,AW1947=6),VLOOKUP(AU1947,INDEX((係数_バス貨物_ガソリン,係数_バス貨物_CNG,係数_バス貨物_軽油,係数_バス貨物_メタノール,係数_バス貨物_LPG),MATCH(AY1947,【参考】排出係数!$AI$4:$AI$671,1),1,BE1947):INDEX((係数_バス貨物_ガソリン,係数_バス貨物_CNG,係数_バス貨物_軽油,係数_バス貨物_メタノール,係数_バス貨物_LPG),MATCH(AY1947+1,【参考】排出係数!$AI$4:$AI$671,1)-1,5,BE1947),3,FALSE),IF(OR(AW1947=1,AW1947=2),VLOOKUP(AU1947,INDEX((係数_乗用_ガソリン,係数_乗用_CNG,係数_乗用_軽油,係数_乗用_メタノール,係数_乗用_LPG),1,1,BE1947):INDEX((係数_乗用_ガソリン,係数_乗用_CNG,係数_乗用_軽油,係数_乗用_メタノール,係数_乗用_LPG),125,5,BE1947),3,FALSE))))))</f>
        <v/>
      </c>
      <c r="BC1947" s="467" t="str">
        <f t="shared" si="1128"/>
        <v/>
      </c>
      <c r="BD1947" s="567" t="str">
        <f t="shared" si="1129"/>
        <v/>
      </c>
      <c r="BE1947" s="467" t="str">
        <f t="shared" si="1130"/>
        <v/>
      </c>
      <c r="BF1947" s="469" t="str">
        <f t="shared" ca="1" si="1131"/>
        <v/>
      </c>
      <c r="BG1947" s="469" t="str">
        <f t="shared" ca="1" si="1132"/>
        <v/>
      </c>
      <c r="BH1947" s="467" t="str">
        <f t="shared" si="1133"/>
        <v/>
      </c>
      <c r="BI1947" s="467" t="str">
        <f t="shared" ca="1" si="1134"/>
        <v/>
      </c>
      <c r="BJ1947" s="469" t="str">
        <f t="shared" si="1135"/>
        <v/>
      </c>
      <c r="BK1947" s="470" t="str">
        <f t="shared" si="1119"/>
        <v/>
      </c>
      <c r="BL1947" s="775" t="str">
        <f t="shared" si="1136"/>
        <v/>
      </c>
      <c r="BM1947" s="775" t="str">
        <f t="shared" si="1137"/>
        <v/>
      </c>
    </row>
    <row r="1948" spans="1:65">
      <c r="A1948" s="473">
        <v>1892</v>
      </c>
      <c r="B1948" s="132"/>
      <c r="C1948" s="332"/>
      <c r="D1948" s="333"/>
      <c r="E1948" s="333"/>
      <c r="F1948" s="334"/>
      <c r="G1948" s="337"/>
      <c r="H1948" s="131"/>
      <c r="I1948" s="337"/>
      <c r="J1948" s="131"/>
      <c r="K1948" s="458" t="str">
        <f t="shared" si="1100"/>
        <v/>
      </c>
      <c r="L1948" s="458">
        <f t="shared" si="1101"/>
        <v>0</v>
      </c>
      <c r="M1948" s="458">
        <f t="shared" si="1102"/>
        <v>0</v>
      </c>
      <c r="N1948" s="459" t="str">
        <f t="shared" si="1113"/>
        <v/>
      </c>
      <c r="O1948" s="459" t="str">
        <f t="shared" si="1114"/>
        <v/>
      </c>
      <c r="P1948" s="459" t="str">
        <f t="shared" si="1115"/>
        <v/>
      </c>
      <c r="Q1948" s="459" t="str">
        <f t="shared" si="1116"/>
        <v/>
      </c>
      <c r="R1948" s="459" t="str">
        <f t="shared" si="1117"/>
        <v/>
      </c>
      <c r="S1948" s="459" t="str">
        <f t="shared" si="1118"/>
        <v/>
      </c>
      <c r="T1948" s="566" t="str">
        <f t="shared" si="1103"/>
        <v/>
      </c>
      <c r="U1948" s="702"/>
      <c r="V1948" s="132"/>
      <c r="W1948" s="133"/>
      <c r="X1948" s="134"/>
      <c r="Y1948" s="135"/>
      <c r="Z1948" s="137"/>
      <c r="AA1948" s="136"/>
      <c r="AB1948" s="566" t="str">
        <f t="shared" si="1104"/>
        <v/>
      </c>
      <c r="AC1948" s="568" t="str">
        <f t="shared" si="1105"/>
        <v/>
      </c>
      <c r="AD1948" s="137"/>
      <c r="AE1948" s="137"/>
      <c r="AF1948" s="138"/>
      <c r="AG1948" s="138"/>
      <c r="AH1948" s="592" t="str">
        <f t="shared" si="1106"/>
        <v/>
      </c>
      <c r="AI1948" s="592" t="str">
        <f t="shared" si="1107"/>
        <v/>
      </c>
      <c r="AJ1948" s="592" t="str">
        <f t="shared" si="1108"/>
        <v/>
      </c>
      <c r="AK1948" s="460" t="str">
        <f>IF(AU1948="","",IF(OR(AZ1948=8,AZ1948=9),0,IF(OR(AW1948=3,AW1948=4,AW1948=5,AW1948=6),IF(LEFT(BF1948,1)="1",INDEX(係数_NOX・PM低減,MATCH(AY1948,【参考】排出係数!$AI$801:$AI$804,1),1),VLOOKUP(AU1948,INDEX((係数_バス貨物_ガソリン,係数_バス貨物_CNG,係数_バス貨物_軽油,係数_バス貨物_メタノール,係数_バス貨物_LPG),MATCH(AY1948,【参考】排出係数!$AI$4:$AI$671,1),1,BE1948):INDEX((係数_バス貨物_ガソリン,係数_バス貨物_CNG,係数_バス貨物_軽油,係数_バス貨物_メタノール,係数_バス貨物_LPG),MATCH(AY1948+1,【参考】排出係数!$AI$4:$AI$671,1)-1,5,BE1948),4,FALSE)),IF(AND(BE1948=3,LEFT(BF1948,1)="1"),0.48,VLOOKUP(AU1948,INDEX((係数_乗用_ガソリン,係数_乗用_CNG,係数_乗用_軽油,係数_乗用_メタノール,係数_乗用_LPG),1,1,BE1948):INDEX((係数_乗用_ガソリン,係数_乗用_CNG,係数_乗用_軽油,係数_乗用_メタノール,係数_乗用_LPG),125,5,BE1948),4,FALSE)))))</f>
        <v/>
      </c>
      <c r="AL1948" s="461" t="str">
        <f t="shared" si="1109"/>
        <v/>
      </c>
      <c r="AM1948" s="460" t="str">
        <f>IF(AU1948="","",IF(OR(AZ1948=8,AZ1948=9),0,IF(OR(AW1948=3,AW1948=4,AW1948=5,AW1948=6),IF(LEFT(BH1948,1)="1",INDEX(係数_PM低減,MATCH(AY1948,【参考】排出係数!$AI$801:$AI$804,1),MATCH(BI1948,【参考】排出係数!$AL$798:$AO$798,1)),VLOOKUP(AU1948,INDEX((係数_バス貨物_ガソリン,係数_バス貨物_CNG,係数_バス貨物_軽油,係数_バス貨物_メタノール,係数_バス貨物_LPG),MATCH(AY1948,【参考】排出係数!$AI$4:$AI$671,1),1,BE1948):INDEX((係数_バス貨物_ガソリン,係数_バス貨物_CNG,係数_バス貨物_軽油,係数_バス貨物_メタノール,係数_バス貨物_LPG),MATCH(AY1948+1,【参考】排出係数!$AI$4:$AI$671,1)-1,5,BE1948),5,FALSE)),IF(AND(BE1948=3,LEFT(BF1948,1)="1"),0.055,VLOOKUP(AU1948,INDEX((係数_乗用_ガソリン,係数_乗用_CNG,係数_乗用_軽油,係数_乗用_メタノール,係数_乗用_LPG),1,1,BE1948):INDEX((係数_乗用_ガソリン,係数_乗用_CNG,係数_乗用_軽油,係数_乗用_メタノール,係数_乗用_LPG),125,5,BE1948),5,FALSE)))))</f>
        <v/>
      </c>
      <c r="AN1948" s="461" t="str">
        <f t="shared" si="1110"/>
        <v/>
      </c>
      <c r="AO1948" s="462" t="str">
        <f t="shared" si="1111"/>
        <v/>
      </c>
      <c r="AP1948" s="463" t="str">
        <f t="shared" si="1112"/>
        <v/>
      </c>
      <c r="AQ1948" s="464"/>
      <c r="AR1948" s="619"/>
      <c r="AS1948" s="465" t="str">
        <f t="shared" si="1120"/>
        <v/>
      </c>
      <c r="AT1948" s="465" t="str">
        <f t="shared" si="1121"/>
        <v/>
      </c>
      <c r="AU1948" s="466" t="str">
        <f t="shared" si="1122"/>
        <v/>
      </c>
      <c r="AV1948" s="467" t="str">
        <f t="shared" si="1123"/>
        <v/>
      </c>
      <c r="AW1948" s="467" t="str">
        <f t="shared" si="1124"/>
        <v/>
      </c>
      <c r="AX1948" s="467" t="str">
        <f t="shared" si="1125"/>
        <v/>
      </c>
      <c r="AY1948" s="467" t="str">
        <f t="shared" si="1126"/>
        <v/>
      </c>
      <c r="AZ1948" s="467" t="str">
        <f t="shared" si="1127"/>
        <v/>
      </c>
      <c r="BA1948" s="468" t="str">
        <f>IF(AS1948="","",IF(OR(AU1948="",AU1948="-"),"－",IF(OR(AZ1948=8,AZ1948=9),"",IF(OR(AW1948=3,AW1948=4,AW1948=5,AW1948=6),VLOOKUP(AU1948,INDEX((係数_バス貨物_ガソリン,係数_バス貨物_CNG,係数_バス貨物_軽油,係数_バス貨物_メタノール,係数_バス貨物_LPG),MATCH(AY1948,【参考】排出係数!$AI$4:$AI$671,1),1,BE1948):INDEX((係数_バス貨物_ガソリン,係数_バス貨物_CNG,係数_バス貨物_軽油,係数_バス貨物_メタノール,係数_バス貨物_LPG),MATCH(AY1948+1,【参考】排出係数!$AI$4:$AI$671,1)-1,5,BE1948),2,FALSE),IF(OR(AW1948=1,AW1948=2),VLOOKUP(AU1948,INDEX((係数_乗用_ガソリン,係数_乗用_CNG,係数_乗用_軽油,係数_乗用_メタノール,係数_乗用_LPG),1,1,BE1948):INDEX((係数_乗用_ガソリン,係数_乗用_CNG,係数_乗用_軽油,係数_乗用_メタノール,係数_乗用_LPG),125,5,BE1948),2,FALSE))))))</f>
        <v/>
      </c>
      <c r="BB1948" s="468" t="str">
        <f>IF(T1948="","",IF(OR(AU1948="",AU1948="-"),"－",IF(OR(AZ1948=8,AZ1948=9),"",IF(OR(AW1948=3,AW1948=4,AW1948=5,AW1948=6),VLOOKUP(AU1948,INDEX((係数_バス貨物_ガソリン,係数_バス貨物_CNG,係数_バス貨物_軽油,係数_バス貨物_メタノール,係数_バス貨物_LPG),MATCH(AY1948,【参考】排出係数!$AI$4:$AI$671,1),1,BE1948):INDEX((係数_バス貨物_ガソリン,係数_バス貨物_CNG,係数_バス貨物_軽油,係数_バス貨物_メタノール,係数_バス貨物_LPG),MATCH(AY1948+1,【参考】排出係数!$AI$4:$AI$671,1)-1,5,BE1948),3,FALSE),IF(OR(AW1948=1,AW1948=2),VLOOKUP(AU1948,INDEX((係数_乗用_ガソリン,係数_乗用_CNG,係数_乗用_軽油,係数_乗用_メタノール,係数_乗用_LPG),1,1,BE1948):INDEX((係数_乗用_ガソリン,係数_乗用_CNG,係数_乗用_軽油,係数_乗用_メタノール,係数_乗用_LPG),125,5,BE1948),3,FALSE))))))</f>
        <v/>
      </c>
      <c r="BC1948" s="467" t="str">
        <f t="shared" si="1128"/>
        <v/>
      </c>
      <c r="BD1948" s="567" t="str">
        <f t="shared" si="1129"/>
        <v/>
      </c>
      <c r="BE1948" s="467" t="str">
        <f t="shared" si="1130"/>
        <v/>
      </c>
      <c r="BF1948" s="469" t="str">
        <f t="shared" ca="1" si="1131"/>
        <v/>
      </c>
      <c r="BG1948" s="469" t="str">
        <f t="shared" ca="1" si="1132"/>
        <v/>
      </c>
      <c r="BH1948" s="467" t="str">
        <f t="shared" si="1133"/>
        <v/>
      </c>
      <c r="BI1948" s="467" t="str">
        <f t="shared" ca="1" si="1134"/>
        <v/>
      </c>
      <c r="BJ1948" s="469" t="str">
        <f t="shared" si="1135"/>
        <v/>
      </c>
      <c r="BK1948" s="470" t="str">
        <f t="shared" si="1119"/>
        <v/>
      </c>
      <c r="BL1948" s="775" t="str">
        <f t="shared" si="1136"/>
        <v/>
      </c>
      <c r="BM1948" s="775" t="str">
        <f t="shared" si="1137"/>
        <v/>
      </c>
    </row>
    <row r="1949" spans="1:65">
      <c r="A1949" s="473">
        <v>1893</v>
      </c>
      <c r="B1949" s="132"/>
      <c r="C1949" s="332"/>
      <c r="D1949" s="333"/>
      <c r="E1949" s="333"/>
      <c r="F1949" s="334"/>
      <c r="G1949" s="337"/>
      <c r="H1949" s="131"/>
      <c r="I1949" s="337"/>
      <c r="J1949" s="131"/>
      <c r="K1949" s="458" t="str">
        <f t="shared" si="1100"/>
        <v/>
      </c>
      <c r="L1949" s="458">
        <f t="shared" si="1101"/>
        <v>0</v>
      </c>
      <c r="M1949" s="458">
        <f t="shared" si="1102"/>
        <v>0</v>
      </c>
      <c r="N1949" s="459" t="str">
        <f t="shared" si="1113"/>
        <v/>
      </c>
      <c r="O1949" s="459" t="str">
        <f t="shared" si="1114"/>
        <v/>
      </c>
      <c r="P1949" s="459" t="str">
        <f t="shared" si="1115"/>
        <v/>
      </c>
      <c r="Q1949" s="459" t="str">
        <f t="shared" si="1116"/>
        <v/>
      </c>
      <c r="R1949" s="459" t="str">
        <f t="shared" si="1117"/>
        <v/>
      </c>
      <c r="S1949" s="459" t="str">
        <f t="shared" si="1118"/>
        <v/>
      </c>
      <c r="T1949" s="566" t="str">
        <f t="shared" si="1103"/>
        <v/>
      </c>
      <c r="U1949" s="702"/>
      <c r="V1949" s="132"/>
      <c r="W1949" s="133"/>
      <c r="X1949" s="134"/>
      <c r="Y1949" s="135"/>
      <c r="Z1949" s="137"/>
      <c r="AA1949" s="136"/>
      <c r="AB1949" s="566" t="str">
        <f t="shared" si="1104"/>
        <v/>
      </c>
      <c r="AC1949" s="568" t="str">
        <f t="shared" si="1105"/>
        <v/>
      </c>
      <c r="AD1949" s="137"/>
      <c r="AE1949" s="137"/>
      <c r="AF1949" s="138"/>
      <c r="AG1949" s="138"/>
      <c r="AH1949" s="592" t="str">
        <f t="shared" si="1106"/>
        <v/>
      </c>
      <c r="AI1949" s="592" t="str">
        <f t="shared" si="1107"/>
        <v/>
      </c>
      <c r="AJ1949" s="592" t="str">
        <f t="shared" si="1108"/>
        <v/>
      </c>
      <c r="AK1949" s="460" t="str">
        <f>IF(AU1949="","",IF(OR(AZ1949=8,AZ1949=9),0,IF(OR(AW1949=3,AW1949=4,AW1949=5,AW1949=6),IF(LEFT(BF1949,1)="1",INDEX(係数_NOX・PM低減,MATCH(AY1949,【参考】排出係数!$AI$801:$AI$804,1),1),VLOOKUP(AU1949,INDEX((係数_バス貨物_ガソリン,係数_バス貨物_CNG,係数_バス貨物_軽油,係数_バス貨物_メタノール,係数_バス貨物_LPG),MATCH(AY1949,【参考】排出係数!$AI$4:$AI$671,1),1,BE1949):INDEX((係数_バス貨物_ガソリン,係数_バス貨物_CNG,係数_バス貨物_軽油,係数_バス貨物_メタノール,係数_バス貨物_LPG),MATCH(AY1949+1,【参考】排出係数!$AI$4:$AI$671,1)-1,5,BE1949),4,FALSE)),IF(AND(BE1949=3,LEFT(BF1949,1)="1"),0.48,VLOOKUP(AU1949,INDEX((係数_乗用_ガソリン,係数_乗用_CNG,係数_乗用_軽油,係数_乗用_メタノール,係数_乗用_LPG),1,1,BE1949):INDEX((係数_乗用_ガソリン,係数_乗用_CNG,係数_乗用_軽油,係数_乗用_メタノール,係数_乗用_LPG),125,5,BE1949),4,FALSE)))))</f>
        <v/>
      </c>
      <c r="AL1949" s="461" t="str">
        <f t="shared" si="1109"/>
        <v/>
      </c>
      <c r="AM1949" s="460" t="str">
        <f>IF(AU1949="","",IF(OR(AZ1949=8,AZ1949=9),0,IF(OR(AW1949=3,AW1949=4,AW1949=5,AW1949=6),IF(LEFT(BH1949,1)="1",INDEX(係数_PM低減,MATCH(AY1949,【参考】排出係数!$AI$801:$AI$804,1),MATCH(BI1949,【参考】排出係数!$AL$798:$AO$798,1)),VLOOKUP(AU1949,INDEX((係数_バス貨物_ガソリン,係数_バス貨物_CNG,係数_バス貨物_軽油,係数_バス貨物_メタノール,係数_バス貨物_LPG),MATCH(AY1949,【参考】排出係数!$AI$4:$AI$671,1),1,BE1949):INDEX((係数_バス貨物_ガソリン,係数_バス貨物_CNG,係数_バス貨物_軽油,係数_バス貨物_メタノール,係数_バス貨物_LPG),MATCH(AY1949+1,【参考】排出係数!$AI$4:$AI$671,1)-1,5,BE1949),5,FALSE)),IF(AND(BE1949=3,LEFT(BF1949,1)="1"),0.055,VLOOKUP(AU1949,INDEX((係数_乗用_ガソリン,係数_乗用_CNG,係数_乗用_軽油,係数_乗用_メタノール,係数_乗用_LPG),1,1,BE1949):INDEX((係数_乗用_ガソリン,係数_乗用_CNG,係数_乗用_軽油,係数_乗用_メタノール,係数_乗用_LPG),125,5,BE1949),5,FALSE)))))</f>
        <v/>
      </c>
      <c r="AN1949" s="461" t="str">
        <f t="shared" si="1110"/>
        <v/>
      </c>
      <c r="AO1949" s="462" t="str">
        <f t="shared" si="1111"/>
        <v/>
      </c>
      <c r="AP1949" s="463" t="str">
        <f t="shared" si="1112"/>
        <v/>
      </c>
      <c r="AQ1949" s="464"/>
      <c r="AR1949" s="619"/>
      <c r="AS1949" s="465" t="str">
        <f t="shared" si="1120"/>
        <v/>
      </c>
      <c r="AT1949" s="465" t="str">
        <f t="shared" si="1121"/>
        <v/>
      </c>
      <c r="AU1949" s="466" t="str">
        <f t="shared" si="1122"/>
        <v/>
      </c>
      <c r="AV1949" s="467" t="str">
        <f t="shared" si="1123"/>
        <v/>
      </c>
      <c r="AW1949" s="467" t="str">
        <f t="shared" si="1124"/>
        <v/>
      </c>
      <c r="AX1949" s="467" t="str">
        <f t="shared" si="1125"/>
        <v/>
      </c>
      <c r="AY1949" s="467" t="str">
        <f t="shared" si="1126"/>
        <v/>
      </c>
      <c r="AZ1949" s="467" t="str">
        <f t="shared" si="1127"/>
        <v/>
      </c>
      <c r="BA1949" s="468" t="str">
        <f>IF(AS1949="","",IF(OR(AU1949="",AU1949="-"),"－",IF(OR(AZ1949=8,AZ1949=9),"",IF(OR(AW1949=3,AW1949=4,AW1949=5,AW1949=6),VLOOKUP(AU1949,INDEX((係数_バス貨物_ガソリン,係数_バス貨物_CNG,係数_バス貨物_軽油,係数_バス貨物_メタノール,係数_バス貨物_LPG),MATCH(AY1949,【参考】排出係数!$AI$4:$AI$671,1),1,BE1949):INDEX((係数_バス貨物_ガソリン,係数_バス貨物_CNG,係数_バス貨物_軽油,係数_バス貨物_メタノール,係数_バス貨物_LPG),MATCH(AY1949+1,【参考】排出係数!$AI$4:$AI$671,1)-1,5,BE1949),2,FALSE),IF(OR(AW1949=1,AW1949=2),VLOOKUP(AU1949,INDEX((係数_乗用_ガソリン,係数_乗用_CNG,係数_乗用_軽油,係数_乗用_メタノール,係数_乗用_LPG),1,1,BE1949):INDEX((係数_乗用_ガソリン,係数_乗用_CNG,係数_乗用_軽油,係数_乗用_メタノール,係数_乗用_LPG),125,5,BE1949),2,FALSE))))))</f>
        <v/>
      </c>
      <c r="BB1949" s="468" t="str">
        <f>IF(T1949="","",IF(OR(AU1949="",AU1949="-"),"－",IF(OR(AZ1949=8,AZ1949=9),"",IF(OR(AW1949=3,AW1949=4,AW1949=5,AW1949=6),VLOOKUP(AU1949,INDEX((係数_バス貨物_ガソリン,係数_バス貨物_CNG,係数_バス貨物_軽油,係数_バス貨物_メタノール,係数_バス貨物_LPG),MATCH(AY1949,【参考】排出係数!$AI$4:$AI$671,1),1,BE1949):INDEX((係数_バス貨物_ガソリン,係数_バス貨物_CNG,係数_バス貨物_軽油,係数_バス貨物_メタノール,係数_バス貨物_LPG),MATCH(AY1949+1,【参考】排出係数!$AI$4:$AI$671,1)-1,5,BE1949),3,FALSE),IF(OR(AW1949=1,AW1949=2),VLOOKUP(AU1949,INDEX((係数_乗用_ガソリン,係数_乗用_CNG,係数_乗用_軽油,係数_乗用_メタノール,係数_乗用_LPG),1,1,BE1949):INDEX((係数_乗用_ガソリン,係数_乗用_CNG,係数_乗用_軽油,係数_乗用_メタノール,係数_乗用_LPG),125,5,BE1949),3,FALSE))))))</f>
        <v/>
      </c>
      <c r="BC1949" s="467" t="str">
        <f t="shared" si="1128"/>
        <v/>
      </c>
      <c r="BD1949" s="567" t="str">
        <f t="shared" si="1129"/>
        <v/>
      </c>
      <c r="BE1949" s="467" t="str">
        <f t="shared" si="1130"/>
        <v/>
      </c>
      <c r="BF1949" s="469" t="str">
        <f t="shared" ca="1" si="1131"/>
        <v/>
      </c>
      <c r="BG1949" s="469" t="str">
        <f t="shared" ca="1" si="1132"/>
        <v/>
      </c>
      <c r="BH1949" s="467" t="str">
        <f t="shared" si="1133"/>
        <v/>
      </c>
      <c r="BI1949" s="467" t="str">
        <f t="shared" ca="1" si="1134"/>
        <v/>
      </c>
      <c r="BJ1949" s="469" t="str">
        <f t="shared" si="1135"/>
        <v/>
      </c>
      <c r="BK1949" s="470" t="str">
        <f t="shared" si="1119"/>
        <v/>
      </c>
      <c r="BL1949" s="775" t="str">
        <f t="shared" si="1136"/>
        <v/>
      </c>
      <c r="BM1949" s="775" t="str">
        <f t="shared" si="1137"/>
        <v/>
      </c>
    </row>
    <row r="1950" spans="1:65">
      <c r="A1950" s="473">
        <v>1894</v>
      </c>
      <c r="B1950" s="132"/>
      <c r="C1950" s="332"/>
      <c r="D1950" s="333"/>
      <c r="E1950" s="333"/>
      <c r="F1950" s="334"/>
      <c r="G1950" s="337"/>
      <c r="H1950" s="131"/>
      <c r="I1950" s="337"/>
      <c r="J1950" s="131"/>
      <c r="K1950" s="458" t="str">
        <f t="shared" si="1100"/>
        <v/>
      </c>
      <c r="L1950" s="458">
        <f t="shared" si="1101"/>
        <v>0</v>
      </c>
      <c r="M1950" s="458">
        <f t="shared" si="1102"/>
        <v>0</v>
      </c>
      <c r="N1950" s="459" t="str">
        <f t="shared" si="1113"/>
        <v/>
      </c>
      <c r="O1950" s="459" t="str">
        <f t="shared" si="1114"/>
        <v/>
      </c>
      <c r="P1950" s="459" t="str">
        <f t="shared" si="1115"/>
        <v/>
      </c>
      <c r="Q1950" s="459" t="str">
        <f t="shared" si="1116"/>
        <v/>
      </c>
      <c r="R1950" s="459" t="str">
        <f t="shared" si="1117"/>
        <v/>
      </c>
      <c r="S1950" s="459" t="str">
        <f t="shared" si="1118"/>
        <v/>
      </c>
      <c r="T1950" s="566" t="str">
        <f t="shared" si="1103"/>
        <v/>
      </c>
      <c r="U1950" s="702"/>
      <c r="V1950" s="132"/>
      <c r="W1950" s="133"/>
      <c r="X1950" s="134"/>
      <c r="Y1950" s="135"/>
      <c r="Z1950" s="137"/>
      <c r="AA1950" s="136"/>
      <c r="AB1950" s="566" t="str">
        <f t="shared" si="1104"/>
        <v/>
      </c>
      <c r="AC1950" s="568" t="str">
        <f t="shared" si="1105"/>
        <v/>
      </c>
      <c r="AD1950" s="137"/>
      <c r="AE1950" s="137"/>
      <c r="AF1950" s="138"/>
      <c r="AG1950" s="138"/>
      <c r="AH1950" s="592" t="str">
        <f t="shared" si="1106"/>
        <v/>
      </c>
      <c r="AI1950" s="592" t="str">
        <f t="shared" si="1107"/>
        <v/>
      </c>
      <c r="AJ1950" s="592" t="str">
        <f t="shared" si="1108"/>
        <v/>
      </c>
      <c r="AK1950" s="460" t="str">
        <f>IF(AU1950="","",IF(OR(AZ1950=8,AZ1950=9),0,IF(OR(AW1950=3,AW1950=4,AW1950=5,AW1950=6),IF(LEFT(BF1950,1)="1",INDEX(係数_NOX・PM低減,MATCH(AY1950,【参考】排出係数!$AI$801:$AI$804,1),1),VLOOKUP(AU1950,INDEX((係数_バス貨物_ガソリン,係数_バス貨物_CNG,係数_バス貨物_軽油,係数_バス貨物_メタノール,係数_バス貨物_LPG),MATCH(AY1950,【参考】排出係数!$AI$4:$AI$671,1),1,BE1950):INDEX((係数_バス貨物_ガソリン,係数_バス貨物_CNG,係数_バス貨物_軽油,係数_バス貨物_メタノール,係数_バス貨物_LPG),MATCH(AY1950+1,【参考】排出係数!$AI$4:$AI$671,1)-1,5,BE1950),4,FALSE)),IF(AND(BE1950=3,LEFT(BF1950,1)="1"),0.48,VLOOKUP(AU1950,INDEX((係数_乗用_ガソリン,係数_乗用_CNG,係数_乗用_軽油,係数_乗用_メタノール,係数_乗用_LPG),1,1,BE1950):INDEX((係数_乗用_ガソリン,係数_乗用_CNG,係数_乗用_軽油,係数_乗用_メタノール,係数_乗用_LPG),125,5,BE1950),4,FALSE)))))</f>
        <v/>
      </c>
      <c r="AL1950" s="461" t="str">
        <f t="shared" si="1109"/>
        <v/>
      </c>
      <c r="AM1950" s="460" t="str">
        <f>IF(AU1950="","",IF(OR(AZ1950=8,AZ1950=9),0,IF(OR(AW1950=3,AW1950=4,AW1950=5,AW1950=6),IF(LEFT(BH1950,1)="1",INDEX(係数_PM低減,MATCH(AY1950,【参考】排出係数!$AI$801:$AI$804,1),MATCH(BI1950,【参考】排出係数!$AL$798:$AO$798,1)),VLOOKUP(AU1950,INDEX((係数_バス貨物_ガソリン,係数_バス貨物_CNG,係数_バス貨物_軽油,係数_バス貨物_メタノール,係数_バス貨物_LPG),MATCH(AY1950,【参考】排出係数!$AI$4:$AI$671,1),1,BE1950):INDEX((係数_バス貨物_ガソリン,係数_バス貨物_CNG,係数_バス貨物_軽油,係数_バス貨物_メタノール,係数_バス貨物_LPG),MATCH(AY1950+1,【参考】排出係数!$AI$4:$AI$671,1)-1,5,BE1950),5,FALSE)),IF(AND(BE1950=3,LEFT(BF1950,1)="1"),0.055,VLOOKUP(AU1950,INDEX((係数_乗用_ガソリン,係数_乗用_CNG,係数_乗用_軽油,係数_乗用_メタノール,係数_乗用_LPG),1,1,BE1950):INDEX((係数_乗用_ガソリン,係数_乗用_CNG,係数_乗用_軽油,係数_乗用_メタノール,係数_乗用_LPG),125,5,BE1950),5,FALSE)))))</f>
        <v/>
      </c>
      <c r="AN1950" s="461" t="str">
        <f t="shared" si="1110"/>
        <v/>
      </c>
      <c r="AO1950" s="462" t="str">
        <f t="shared" si="1111"/>
        <v/>
      </c>
      <c r="AP1950" s="463" t="str">
        <f t="shared" si="1112"/>
        <v/>
      </c>
      <c r="AQ1950" s="464"/>
      <c r="AR1950" s="619"/>
      <c r="AS1950" s="465" t="str">
        <f t="shared" si="1120"/>
        <v/>
      </c>
      <c r="AT1950" s="465" t="str">
        <f t="shared" si="1121"/>
        <v/>
      </c>
      <c r="AU1950" s="466" t="str">
        <f t="shared" si="1122"/>
        <v/>
      </c>
      <c r="AV1950" s="467" t="str">
        <f t="shared" si="1123"/>
        <v/>
      </c>
      <c r="AW1950" s="467" t="str">
        <f t="shared" si="1124"/>
        <v/>
      </c>
      <c r="AX1950" s="467" t="str">
        <f t="shared" si="1125"/>
        <v/>
      </c>
      <c r="AY1950" s="467" t="str">
        <f t="shared" si="1126"/>
        <v/>
      </c>
      <c r="AZ1950" s="467" t="str">
        <f t="shared" si="1127"/>
        <v/>
      </c>
      <c r="BA1950" s="468" t="str">
        <f>IF(AS1950="","",IF(OR(AU1950="",AU1950="-"),"－",IF(OR(AZ1950=8,AZ1950=9),"",IF(OR(AW1950=3,AW1950=4,AW1950=5,AW1950=6),VLOOKUP(AU1950,INDEX((係数_バス貨物_ガソリン,係数_バス貨物_CNG,係数_バス貨物_軽油,係数_バス貨物_メタノール,係数_バス貨物_LPG),MATCH(AY1950,【参考】排出係数!$AI$4:$AI$671,1),1,BE1950):INDEX((係数_バス貨物_ガソリン,係数_バス貨物_CNG,係数_バス貨物_軽油,係数_バス貨物_メタノール,係数_バス貨物_LPG),MATCH(AY1950+1,【参考】排出係数!$AI$4:$AI$671,1)-1,5,BE1950),2,FALSE),IF(OR(AW1950=1,AW1950=2),VLOOKUP(AU1950,INDEX((係数_乗用_ガソリン,係数_乗用_CNG,係数_乗用_軽油,係数_乗用_メタノール,係数_乗用_LPG),1,1,BE1950):INDEX((係数_乗用_ガソリン,係数_乗用_CNG,係数_乗用_軽油,係数_乗用_メタノール,係数_乗用_LPG),125,5,BE1950),2,FALSE))))))</f>
        <v/>
      </c>
      <c r="BB1950" s="468" t="str">
        <f>IF(T1950="","",IF(OR(AU1950="",AU1950="-"),"－",IF(OR(AZ1950=8,AZ1950=9),"",IF(OR(AW1950=3,AW1950=4,AW1950=5,AW1950=6),VLOOKUP(AU1950,INDEX((係数_バス貨物_ガソリン,係数_バス貨物_CNG,係数_バス貨物_軽油,係数_バス貨物_メタノール,係数_バス貨物_LPG),MATCH(AY1950,【参考】排出係数!$AI$4:$AI$671,1),1,BE1950):INDEX((係数_バス貨物_ガソリン,係数_バス貨物_CNG,係数_バス貨物_軽油,係数_バス貨物_メタノール,係数_バス貨物_LPG),MATCH(AY1950+1,【参考】排出係数!$AI$4:$AI$671,1)-1,5,BE1950),3,FALSE),IF(OR(AW1950=1,AW1950=2),VLOOKUP(AU1950,INDEX((係数_乗用_ガソリン,係数_乗用_CNG,係数_乗用_軽油,係数_乗用_メタノール,係数_乗用_LPG),1,1,BE1950):INDEX((係数_乗用_ガソリン,係数_乗用_CNG,係数_乗用_軽油,係数_乗用_メタノール,係数_乗用_LPG),125,5,BE1950),3,FALSE))))))</f>
        <v/>
      </c>
      <c r="BC1950" s="467" t="str">
        <f t="shared" si="1128"/>
        <v/>
      </c>
      <c r="BD1950" s="567" t="str">
        <f t="shared" si="1129"/>
        <v/>
      </c>
      <c r="BE1950" s="467" t="str">
        <f t="shared" si="1130"/>
        <v/>
      </c>
      <c r="BF1950" s="469" t="str">
        <f t="shared" ca="1" si="1131"/>
        <v/>
      </c>
      <c r="BG1950" s="469" t="str">
        <f t="shared" ca="1" si="1132"/>
        <v/>
      </c>
      <c r="BH1950" s="467" t="str">
        <f t="shared" si="1133"/>
        <v/>
      </c>
      <c r="BI1950" s="467" t="str">
        <f t="shared" ca="1" si="1134"/>
        <v/>
      </c>
      <c r="BJ1950" s="469" t="str">
        <f t="shared" si="1135"/>
        <v/>
      </c>
      <c r="BK1950" s="470" t="str">
        <f t="shared" si="1119"/>
        <v/>
      </c>
      <c r="BL1950" s="775" t="str">
        <f t="shared" si="1136"/>
        <v/>
      </c>
      <c r="BM1950" s="775" t="str">
        <f t="shared" si="1137"/>
        <v/>
      </c>
    </row>
    <row r="1951" spans="1:65">
      <c r="A1951" s="473">
        <v>1895</v>
      </c>
      <c r="B1951" s="132"/>
      <c r="C1951" s="332"/>
      <c r="D1951" s="333"/>
      <c r="E1951" s="333"/>
      <c r="F1951" s="334"/>
      <c r="G1951" s="337"/>
      <c r="H1951" s="131"/>
      <c r="I1951" s="337"/>
      <c r="J1951" s="131"/>
      <c r="K1951" s="458" t="str">
        <f t="shared" si="1100"/>
        <v/>
      </c>
      <c r="L1951" s="458">
        <f t="shared" si="1101"/>
        <v>0</v>
      </c>
      <c r="M1951" s="458">
        <f t="shared" si="1102"/>
        <v>0</v>
      </c>
      <c r="N1951" s="459" t="str">
        <f t="shared" si="1113"/>
        <v/>
      </c>
      <c r="O1951" s="459" t="str">
        <f t="shared" si="1114"/>
        <v/>
      </c>
      <c r="P1951" s="459" t="str">
        <f t="shared" si="1115"/>
        <v/>
      </c>
      <c r="Q1951" s="459" t="str">
        <f t="shared" si="1116"/>
        <v/>
      </c>
      <c r="R1951" s="459" t="str">
        <f t="shared" si="1117"/>
        <v/>
      </c>
      <c r="S1951" s="459" t="str">
        <f t="shared" si="1118"/>
        <v/>
      </c>
      <c r="T1951" s="566" t="str">
        <f t="shared" si="1103"/>
        <v/>
      </c>
      <c r="U1951" s="702"/>
      <c r="V1951" s="132"/>
      <c r="W1951" s="133"/>
      <c r="X1951" s="134"/>
      <c r="Y1951" s="135"/>
      <c r="Z1951" s="137"/>
      <c r="AA1951" s="136"/>
      <c r="AB1951" s="566" t="str">
        <f t="shared" si="1104"/>
        <v/>
      </c>
      <c r="AC1951" s="568" t="str">
        <f t="shared" si="1105"/>
        <v/>
      </c>
      <c r="AD1951" s="137"/>
      <c r="AE1951" s="137"/>
      <c r="AF1951" s="138"/>
      <c r="AG1951" s="138"/>
      <c r="AH1951" s="592" t="str">
        <f t="shared" si="1106"/>
        <v/>
      </c>
      <c r="AI1951" s="592" t="str">
        <f t="shared" si="1107"/>
        <v/>
      </c>
      <c r="AJ1951" s="592" t="str">
        <f t="shared" si="1108"/>
        <v/>
      </c>
      <c r="AK1951" s="460" t="str">
        <f>IF(AU1951="","",IF(OR(AZ1951=8,AZ1951=9),0,IF(OR(AW1951=3,AW1951=4,AW1951=5,AW1951=6),IF(LEFT(BF1951,1)="1",INDEX(係数_NOX・PM低減,MATCH(AY1951,【参考】排出係数!$AI$801:$AI$804,1),1),VLOOKUP(AU1951,INDEX((係数_バス貨物_ガソリン,係数_バス貨物_CNG,係数_バス貨物_軽油,係数_バス貨物_メタノール,係数_バス貨物_LPG),MATCH(AY1951,【参考】排出係数!$AI$4:$AI$671,1),1,BE1951):INDEX((係数_バス貨物_ガソリン,係数_バス貨物_CNG,係数_バス貨物_軽油,係数_バス貨物_メタノール,係数_バス貨物_LPG),MATCH(AY1951+1,【参考】排出係数!$AI$4:$AI$671,1)-1,5,BE1951),4,FALSE)),IF(AND(BE1951=3,LEFT(BF1951,1)="1"),0.48,VLOOKUP(AU1951,INDEX((係数_乗用_ガソリン,係数_乗用_CNG,係数_乗用_軽油,係数_乗用_メタノール,係数_乗用_LPG),1,1,BE1951):INDEX((係数_乗用_ガソリン,係数_乗用_CNG,係数_乗用_軽油,係数_乗用_メタノール,係数_乗用_LPG),125,5,BE1951),4,FALSE)))))</f>
        <v/>
      </c>
      <c r="AL1951" s="461" t="str">
        <f t="shared" si="1109"/>
        <v/>
      </c>
      <c r="AM1951" s="460" t="str">
        <f>IF(AU1951="","",IF(OR(AZ1951=8,AZ1951=9),0,IF(OR(AW1951=3,AW1951=4,AW1951=5,AW1951=6),IF(LEFT(BH1951,1)="1",INDEX(係数_PM低減,MATCH(AY1951,【参考】排出係数!$AI$801:$AI$804,1),MATCH(BI1951,【参考】排出係数!$AL$798:$AO$798,1)),VLOOKUP(AU1951,INDEX((係数_バス貨物_ガソリン,係数_バス貨物_CNG,係数_バス貨物_軽油,係数_バス貨物_メタノール,係数_バス貨物_LPG),MATCH(AY1951,【参考】排出係数!$AI$4:$AI$671,1),1,BE1951):INDEX((係数_バス貨物_ガソリン,係数_バス貨物_CNG,係数_バス貨物_軽油,係数_バス貨物_メタノール,係数_バス貨物_LPG),MATCH(AY1951+1,【参考】排出係数!$AI$4:$AI$671,1)-1,5,BE1951),5,FALSE)),IF(AND(BE1951=3,LEFT(BF1951,1)="1"),0.055,VLOOKUP(AU1951,INDEX((係数_乗用_ガソリン,係数_乗用_CNG,係数_乗用_軽油,係数_乗用_メタノール,係数_乗用_LPG),1,1,BE1951):INDEX((係数_乗用_ガソリン,係数_乗用_CNG,係数_乗用_軽油,係数_乗用_メタノール,係数_乗用_LPG),125,5,BE1951),5,FALSE)))))</f>
        <v/>
      </c>
      <c r="AN1951" s="461" t="str">
        <f t="shared" si="1110"/>
        <v/>
      </c>
      <c r="AO1951" s="462" t="str">
        <f t="shared" si="1111"/>
        <v/>
      </c>
      <c r="AP1951" s="463" t="str">
        <f t="shared" si="1112"/>
        <v/>
      </c>
      <c r="AQ1951" s="464"/>
      <c r="AR1951" s="619"/>
      <c r="AS1951" s="465" t="str">
        <f t="shared" si="1120"/>
        <v/>
      </c>
      <c r="AT1951" s="465" t="str">
        <f t="shared" si="1121"/>
        <v/>
      </c>
      <c r="AU1951" s="466" t="str">
        <f t="shared" si="1122"/>
        <v/>
      </c>
      <c r="AV1951" s="467" t="str">
        <f t="shared" si="1123"/>
        <v/>
      </c>
      <c r="AW1951" s="467" t="str">
        <f t="shared" si="1124"/>
        <v/>
      </c>
      <c r="AX1951" s="467" t="str">
        <f t="shared" si="1125"/>
        <v/>
      </c>
      <c r="AY1951" s="467" t="str">
        <f t="shared" si="1126"/>
        <v/>
      </c>
      <c r="AZ1951" s="467" t="str">
        <f t="shared" si="1127"/>
        <v/>
      </c>
      <c r="BA1951" s="468" t="str">
        <f>IF(AS1951="","",IF(OR(AU1951="",AU1951="-"),"－",IF(OR(AZ1951=8,AZ1951=9),"",IF(OR(AW1951=3,AW1951=4,AW1951=5,AW1951=6),VLOOKUP(AU1951,INDEX((係数_バス貨物_ガソリン,係数_バス貨物_CNG,係数_バス貨物_軽油,係数_バス貨物_メタノール,係数_バス貨物_LPG),MATCH(AY1951,【参考】排出係数!$AI$4:$AI$671,1),1,BE1951):INDEX((係数_バス貨物_ガソリン,係数_バス貨物_CNG,係数_バス貨物_軽油,係数_バス貨物_メタノール,係数_バス貨物_LPG),MATCH(AY1951+1,【参考】排出係数!$AI$4:$AI$671,1)-1,5,BE1951),2,FALSE),IF(OR(AW1951=1,AW1951=2),VLOOKUP(AU1951,INDEX((係数_乗用_ガソリン,係数_乗用_CNG,係数_乗用_軽油,係数_乗用_メタノール,係数_乗用_LPG),1,1,BE1951):INDEX((係数_乗用_ガソリン,係数_乗用_CNG,係数_乗用_軽油,係数_乗用_メタノール,係数_乗用_LPG),125,5,BE1951),2,FALSE))))))</f>
        <v/>
      </c>
      <c r="BB1951" s="468" t="str">
        <f>IF(T1951="","",IF(OR(AU1951="",AU1951="-"),"－",IF(OR(AZ1951=8,AZ1951=9),"",IF(OR(AW1951=3,AW1951=4,AW1951=5,AW1951=6),VLOOKUP(AU1951,INDEX((係数_バス貨物_ガソリン,係数_バス貨物_CNG,係数_バス貨物_軽油,係数_バス貨物_メタノール,係数_バス貨物_LPG),MATCH(AY1951,【参考】排出係数!$AI$4:$AI$671,1),1,BE1951):INDEX((係数_バス貨物_ガソリン,係数_バス貨物_CNG,係数_バス貨物_軽油,係数_バス貨物_メタノール,係数_バス貨物_LPG),MATCH(AY1951+1,【参考】排出係数!$AI$4:$AI$671,1)-1,5,BE1951),3,FALSE),IF(OR(AW1951=1,AW1951=2),VLOOKUP(AU1951,INDEX((係数_乗用_ガソリン,係数_乗用_CNG,係数_乗用_軽油,係数_乗用_メタノール,係数_乗用_LPG),1,1,BE1951):INDEX((係数_乗用_ガソリン,係数_乗用_CNG,係数_乗用_軽油,係数_乗用_メタノール,係数_乗用_LPG),125,5,BE1951),3,FALSE))))))</f>
        <v/>
      </c>
      <c r="BC1951" s="467" t="str">
        <f t="shared" si="1128"/>
        <v/>
      </c>
      <c r="BD1951" s="567" t="str">
        <f t="shared" si="1129"/>
        <v/>
      </c>
      <c r="BE1951" s="467" t="str">
        <f t="shared" si="1130"/>
        <v/>
      </c>
      <c r="BF1951" s="469" t="str">
        <f t="shared" ca="1" si="1131"/>
        <v/>
      </c>
      <c r="BG1951" s="469" t="str">
        <f t="shared" ca="1" si="1132"/>
        <v/>
      </c>
      <c r="BH1951" s="467" t="str">
        <f t="shared" si="1133"/>
        <v/>
      </c>
      <c r="BI1951" s="467" t="str">
        <f t="shared" ca="1" si="1134"/>
        <v/>
      </c>
      <c r="BJ1951" s="469" t="str">
        <f t="shared" si="1135"/>
        <v/>
      </c>
      <c r="BK1951" s="470" t="str">
        <f t="shared" si="1119"/>
        <v/>
      </c>
      <c r="BL1951" s="775" t="str">
        <f t="shared" si="1136"/>
        <v/>
      </c>
      <c r="BM1951" s="775" t="str">
        <f t="shared" si="1137"/>
        <v/>
      </c>
    </row>
    <row r="1952" spans="1:65">
      <c r="A1952" s="473">
        <v>1896</v>
      </c>
      <c r="B1952" s="132"/>
      <c r="C1952" s="332"/>
      <c r="D1952" s="333"/>
      <c r="E1952" s="333"/>
      <c r="F1952" s="334"/>
      <c r="G1952" s="337"/>
      <c r="H1952" s="131"/>
      <c r="I1952" s="337"/>
      <c r="J1952" s="131"/>
      <c r="K1952" s="458" t="str">
        <f t="shared" si="1100"/>
        <v/>
      </c>
      <c r="L1952" s="458">
        <f t="shared" si="1101"/>
        <v>0</v>
      </c>
      <c r="M1952" s="458">
        <f t="shared" si="1102"/>
        <v>0</v>
      </c>
      <c r="N1952" s="459" t="str">
        <f t="shared" si="1113"/>
        <v/>
      </c>
      <c r="O1952" s="459" t="str">
        <f t="shared" si="1114"/>
        <v/>
      </c>
      <c r="P1952" s="459" t="str">
        <f t="shared" si="1115"/>
        <v/>
      </c>
      <c r="Q1952" s="459" t="str">
        <f t="shared" si="1116"/>
        <v/>
      </c>
      <c r="R1952" s="459" t="str">
        <f t="shared" si="1117"/>
        <v/>
      </c>
      <c r="S1952" s="459" t="str">
        <f t="shared" si="1118"/>
        <v/>
      </c>
      <c r="T1952" s="566" t="str">
        <f t="shared" si="1103"/>
        <v/>
      </c>
      <c r="U1952" s="702"/>
      <c r="V1952" s="132"/>
      <c r="W1952" s="133"/>
      <c r="X1952" s="134"/>
      <c r="Y1952" s="135"/>
      <c r="Z1952" s="137"/>
      <c r="AA1952" s="136"/>
      <c r="AB1952" s="566" t="str">
        <f t="shared" si="1104"/>
        <v/>
      </c>
      <c r="AC1952" s="568" t="str">
        <f t="shared" si="1105"/>
        <v/>
      </c>
      <c r="AD1952" s="137"/>
      <c r="AE1952" s="137"/>
      <c r="AF1952" s="138"/>
      <c r="AG1952" s="138"/>
      <c r="AH1952" s="592" t="str">
        <f t="shared" si="1106"/>
        <v/>
      </c>
      <c r="AI1952" s="592" t="str">
        <f t="shared" si="1107"/>
        <v/>
      </c>
      <c r="AJ1952" s="592" t="str">
        <f t="shared" si="1108"/>
        <v/>
      </c>
      <c r="AK1952" s="460" t="str">
        <f>IF(AU1952="","",IF(OR(AZ1952=8,AZ1952=9),0,IF(OR(AW1952=3,AW1952=4,AW1952=5,AW1952=6),IF(LEFT(BF1952,1)="1",INDEX(係数_NOX・PM低減,MATCH(AY1952,【参考】排出係数!$AI$801:$AI$804,1),1),VLOOKUP(AU1952,INDEX((係数_バス貨物_ガソリン,係数_バス貨物_CNG,係数_バス貨物_軽油,係数_バス貨物_メタノール,係数_バス貨物_LPG),MATCH(AY1952,【参考】排出係数!$AI$4:$AI$671,1),1,BE1952):INDEX((係数_バス貨物_ガソリン,係数_バス貨物_CNG,係数_バス貨物_軽油,係数_バス貨物_メタノール,係数_バス貨物_LPG),MATCH(AY1952+1,【参考】排出係数!$AI$4:$AI$671,1)-1,5,BE1952),4,FALSE)),IF(AND(BE1952=3,LEFT(BF1952,1)="1"),0.48,VLOOKUP(AU1952,INDEX((係数_乗用_ガソリン,係数_乗用_CNG,係数_乗用_軽油,係数_乗用_メタノール,係数_乗用_LPG),1,1,BE1952):INDEX((係数_乗用_ガソリン,係数_乗用_CNG,係数_乗用_軽油,係数_乗用_メタノール,係数_乗用_LPG),125,5,BE1952),4,FALSE)))))</f>
        <v/>
      </c>
      <c r="AL1952" s="461" t="str">
        <f t="shared" si="1109"/>
        <v/>
      </c>
      <c r="AM1952" s="460" t="str">
        <f>IF(AU1952="","",IF(OR(AZ1952=8,AZ1952=9),0,IF(OR(AW1952=3,AW1952=4,AW1952=5,AW1952=6),IF(LEFT(BH1952,1)="1",INDEX(係数_PM低減,MATCH(AY1952,【参考】排出係数!$AI$801:$AI$804,1),MATCH(BI1952,【参考】排出係数!$AL$798:$AO$798,1)),VLOOKUP(AU1952,INDEX((係数_バス貨物_ガソリン,係数_バス貨物_CNG,係数_バス貨物_軽油,係数_バス貨物_メタノール,係数_バス貨物_LPG),MATCH(AY1952,【参考】排出係数!$AI$4:$AI$671,1),1,BE1952):INDEX((係数_バス貨物_ガソリン,係数_バス貨物_CNG,係数_バス貨物_軽油,係数_バス貨物_メタノール,係数_バス貨物_LPG),MATCH(AY1952+1,【参考】排出係数!$AI$4:$AI$671,1)-1,5,BE1952),5,FALSE)),IF(AND(BE1952=3,LEFT(BF1952,1)="1"),0.055,VLOOKUP(AU1952,INDEX((係数_乗用_ガソリン,係数_乗用_CNG,係数_乗用_軽油,係数_乗用_メタノール,係数_乗用_LPG),1,1,BE1952):INDEX((係数_乗用_ガソリン,係数_乗用_CNG,係数_乗用_軽油,係数_乗用_メタノール,係数_乗用_LPG),125,5,BE1952),5,FALSE)))))</f>
        <v/>
      </c>
      <c r="AN1952" s="461" t="str">
        <f t="shared" si="1110"/>
        <v/>
      </c>
      <c r="AO1952" s="462" t="str">
        <f t="shared" si="1111"/>
        <v/>
      </c>
      <c r="AP1952" s="463" t="str">
        <f t="shared" si="1112"/>
        <v/>
      </c>
      <c r="AQ1952" s="464"/>
      <c r="AR1952" s="619"/>
      <c r="AS1952" s="465" t="str">
        <f t="shared" si="1120"/>
        <v/>
      </c>
      <c r="AT1952" s="465" t="str">
        <f t="shared" si="1121"/>
        <v/>
      </c>
      <c r="AU1952" s="466" t="str">
        <f t="shared" si="1122"/>
        <v/>
      </c>
      <c r="AV1952" s="467" t="str">
        <f t="shared" si="1123"/>
        <v/>
      </c>
      <c r="AW1952" s="467" t="str">
        <f t="shared" si="1124"/>
        <v/>
      </c>
      <c r="AX1952" s="467" t="str">
        <f t="shared" si="1125"/>
        <v/>
      </c>
      <c r="AY1952" s="467" t="str">
        <f t="shared" si="1126"/>
        <v/>
      </c>
      <c r="AZ1952" s="467" t="str">
        <f t="shared" si="1127"/>
        <v/>
      </c>
      <c r="BA1952" s="468" t="str">
        <f>IF(AS1952="","",IF(OR(AU1952="",AU1952="-"),"－",IF(OR(AZ1952=8,AZ1952=9),"",IF(OR(AW1952=3,AW1952=4,AW1952=5,AW1952=6),VLOOKUP(AU1952,INDEX((係数_バス貨物_ガソリン,係数_バス貨物_CNG,係数_バス貨物_軽油,係数_バス貨物_メタノール,係数_バス貨物_LPG),MATCH(AY1952,【参考】排出係数!$AI$4:$AI$671,1),1,BE1952):INDEX((係数_バス貨物_ガソリン,係数_バス貨物_CNG,係数_バス貨物_軽油,係数_バス貨物_メタノール,係数_バス貨物_LPG),MATCH(AY1952+1,【参考】排出係数!$AI$4:$AI$671,1)-1,5,BE1952),2,FALSE),IF(OR(AW1952=1,AW1952=2),VLOOKUP(AU1952,INDEX((係数_乗用_ガソリン,係数_乗用_CNG,係数_乗用_軽油,係数_乗用_メタノール,係数_乗用_LPG),1,1,BE1952):INDEX((係数_乗用_ガソリン,係数_乗用_CNG,係数_乗用_軽油,係数_乗用_メタノール,係数_乗用_LPG),125,5,BE1952),2,FALSE))))))</f>
        <v/>
      </c>
      <c r="BB1952" s="468" t="str">
        <f>IF(T1952="","",IF(OR(AU1952="",AU1952="-"),"－",IF(OR(AZ1952=8,AZ1952=9),"",IF(OR(AW1952=3,AW1952=4,AW1952=5,AW1952=6),VLOOKUP(AU1952,INDEX((係数_バス貨物_ガソリン,係数_バス貨物_CNG,係数_バス貨物_軽油,係数_バス貨物_メタノール,係数_バス貨物_LPG),MATCH(AY1952,【参考】排出係数!$AI$4:$AI$671,1),1,BE1952):INDEX((係数_バス貨物_ガソリン,係数_バス貨物_CNG,係数_バス貨物_軽油,係数_バス貨物_メタノール,係数_バス貨物_LPG),MATCH(AY1952+1,【参考】排出係数!$AI$4:$AI$671,1)-1,5,BE1952),3,FALSE),IF(OR(AW1952=1,AW1952=2),VLOOKUP(AU1952,INDEX((係数_乗用_ガソリン,係数_乗用_CNG,係数_乗用_軽油,係数_乗用_メタノール,係数_乗用_LPG),1,1,BE1952):INDEX((係数_乗用_ガソリン,係数_乗用_CNG,係数_乗用_軽油,係数_乗用_メタノール,係数_乗用_LPG),125,5,BE1952),3,FALSE))))))</f>
        <v/>
      </c>
      <c r="BC1952" s="467" t="str">
        <f t="shared" si="1128"/>
        <v/>
      </c>
      <c r="BD1952" s="567" t="str">
        <f t="shared" si="1129"/>
        <v/>
      </c>
      <c r="BE1952" s="467" t="str">
        <f t="shared" si="1130"/>
        <v/>
      </c>
      <c r="BF1952" s="469" t="str">
        <f t="shared" ca="1" si="1131"/>
        <v/>
      </c>
      <c r="BG1952" s="469" t="str">
        <f t="shared" ca="1" si="1132"/>
        <v/>
      </c>
      <c r="BH1952" s="467" t="str">
        <f t="shared" si="1133"/>
        <v/>
      </c>
      <c r="BI1952" s="467" t="str">
        <f t="shared" ca="1" si="1134"/>
        <v/>
      </c>
      <c r="BJ1952" s="469" t="str">
        <f t="shared" si="1135"/>
        <v/>
      </c>
      <c r="BK1952" s="470" t="str">
        <f t="shared" si="1119"/>
        <v/>
      </c>
      <c r="BL1952" s="775" t="str">
        <f t="shared" si="1136"/>
        <v/>
      </c>
      <c r="BM1952" s="775" t="str">
        <f t="shared" si="1137"/>
        <v/>
      </c>
    </row>
    <row r="1953" spans="1:65">
      <c r="A1953" s="473">
        <v>1897</v>
      </c>
      <c r="B1953" s="132"/>
      <c r="C1953" s="332"/>
      <c r="D1953" s="333"/>
      <c r="E1953" s="333"/>
      <c r="F1953" s="334"/>
      <c r="G1953" s="337"/>
      <c r="H1953" s="131"/>
      <c r="I1953" s="337"/>
      <c r="J1953" s="131"/>
      <c r="K1953" s="458" t="str">
        <f t="shared" si="1100"/>
        <v/>
      </c>
      <c r="L1953" s="458">
        <f t="shared" si="1101"/>
        <v>0</v>
      </c>
      <c r="M1953" s="458">
        <f t="shared" si="1102"/>
        <v>0</v>
      </c>
      <c r="N1953" s="459" t="str">
        <f t="shared" si="1113"/>
        <v/>
      </c>
      <c r="O1953" s="459" t="str">
        <f t="shared" si="1114"/>
        <v/>
      </c>
      <c r="P1953" s="459" t="str">
        <f t="shared" si="1115"/>
        <v/>
      </c>
      <c r="Q1953" s="459" t="str">
        <f t="shared" si="1116"/>
        <v/>
      </c>
      <c r="R1953" s="459" t="str">
        <f t="shared" si="1117"/>
        <v/>
      </c>
      <c r="S1953" s="459" t="str">
        <f t="shared" si="1118"/>
        <v/>
      </c>
      <c r="T1953" s="566" t="str">
        <f t="shared" si="1103"/>
        <v/>
      </c>
      <c r="U1953" s="702"/>
      <c r="V1953" s="132"/>
      <c r="W1953" s="133"/>
      <c r="X1953" s="134"/>
      <c r="Y1953" s="135"/>
      <c r="Z1953" s="137"/>
      <c r="AA1953" s="136"/>
      <c r="AB1953" s="566" t="str">
        <f t="shared" si="1104"/>
        <v/>
      </c>
      <c r="AC1953" s="568" t="str">
        <f t="shared" si="1105"/>
        <v/>
      </c>
      <c r="AD1953" s="137"/>
      <c r="AE1953" s="137"/>
      <c r="AF1953" s="138"/>
      <c r="AG1953" s="138"/>
      <c r="AH1953" s="592" t="str">
        <f t="shared" si="1106"/>
        <v/>
      </c>
      <c r="AI1953" s="592" t="str">
        <f t="shared" si="1107"/>
        <v/>
      </c>
      <c r="AJ1953" s="592" t="str">
        <f t="shared" si="1108"/>
        <v/>
      </c>
      <c r="AK1953" s="460" t="str">
        <f>IF(AU1953="","",IF(OR(AZ1953=8,AZ1953=9),0,IF(OR(AW1953=3,AW1953=4,AW1953=5,AW1953=6),IF(LEFT(BF1953,1)="1",INDEX(係数_NOX・PM低減,MATCH(AY1953,【参考】排出係数!$AI$801:$AI$804,1),1),VLOOKUP(AU1953,INDEX((係数_バス貨物_ガソリン,係数_バス貨物_CNG,係数_バス貨物_軽油,係数_バス貨物_メタノール,係数_バス貨物_LPG),MATCH(AY1953,【参考】排出係数!$AI$4:$AI$671,1),1,BE1953):INDEX((係数_バス貨物_ガソリン,係数_バス貨物_CNG,係数_バス貨物_軽油,係数_バス貨物_メタノール,係数_バス貨物_LPG),MATCH(AY1953+1,【参考】排出係数!$AI$4:$AI$671,1)-1,5,BE1953),4,FALSE)),IF(AND(BE1953=3,LEFT(BF1953,1)="1"),0.48,VLOOKUP(AU1953,INDEX((係数_乗用_ガソリン,係数_乗用_CNG,係数_乗用_軽油,係数_乗用_メタノール,係数_乗用_LPG),1,1,BE1953):INDEX((係数_乗用_ガソリン,係数_乗用_CNG,係数_乗用_軽油,係数_乗用_メタノール,係数_乗用_LPG),125,5,BE1953),4,FALSE)))))</f>
        <v/>
      </c>
      <c r="AL1953" s="461" t="str">
        <f t="shared" si="1109"/>
        <v/>
      </c>
      <c r="AM1953" s="460" t="str">
        <f>IF(AU1953="","",IF(OR(AZ1953=8,AZ1953=9),0,IF(OR(AW1953=3,AW1953=4,AW1953=5,AW1953=6),IF(LEFT(BH1953,1)="1",INDEX(係数_PM低減,MATCH(AY1953,【参考】排出係数!$AI$801:$AI$804,1),MATCH(BI1953,【参考】排出係数!$AL$798:$AO$798,1)),VLOOKUP(AU1953,INDEX((係数_バス貨物_ガソリン,係数_バス貨物_CNG,係数_バス貨物_軽油,係数_バス貨物_メタノール,係数_バス貨物_LPG),MATCH(AY1953,【参考】排出係数!$AI$4:$AI$671,1),1,BE1953):INDEX((係数_バス貨物_ガソリン,係数_バス貨物_CNG,係数_バス貨物_軽油,係数_バス貨物_メタノール,係数_バス貨物_LPG),MATCH(AY1953+1,【参考】排出係数!$AI$4:$AI$671,1)-1,5,BE1953),5,FALSE)),IF(AND(BE1953=3,LEFT(BF1953,1)="1"),0.055,VLOOKUP(AU1953,INDEX((係数_乗用_ガソリン,係数_乗用_CNG,係数_乗用_軽油,係数_乗用_メタノール,係数_乗用_LPG),1,1,BE1953):INDEX((係数_乗用_ガソリン,係数_乗用_CNG,係数_乗用_軽油,係数_乗用_メタノール,係数_乗用_LPG),125,5,BE1953),5,FALSE)))))</f>
        <v/>
      </c>
      <c r="AN1953" s="461" t="str">
        <f t="shared" si="1110"/>
        <v/>
      </c>
      <c r="AO1953" s="462" t="str">
        <f t="shared" si="1111"/>
        <v/>
      </c>
      <c r="AP1953" s="463" t="str">
        <f t="shared" si="1112"/>
        <v/>
      </c>
      <c r="AQ1953" s="464"/>
      <c r="AR1953" s="619"/>
      <c r="AS1953" s="465" t="str">
        <f t="shared" si="1120"/>
        <v/>
      </c>
      <c r="AT1953" s="465" t="str">
        <f t="shared" si="1121"/>
        <v/>
      </c>
      <c r="AU1953" s="466" t="str">
        <f t="shared" si="1122"/>
        <v/>
      </c>
      <c r="AV1953" s="467" t="str">
        <f t="shared" si="1123"/>
        <v/>
      </c>
      <c r="AW1953" s="467" t="str">
        <f t="shared" si="1124"/>
        <v/>
      </c>
      <c r="AX1953" s="467" t="str">
        <f t="shared" si="1125"/>
        <v/>
      </c>
      <c r="AY1953" s="467" t="str">
        <f t="shared" si="1126"/>
        <v/>
      </c>
      <c r="AZ1953" s="467" t="str">
        <f t="shared" si="1127"/>
        <v/>
      </c>
      <c r="BA1953" s="468" t="str">
        <f>IF(AS1953="","",IF(OR(AU1953="",AU1953="-"),"－",IF(OR(AZ1953=8,AZ1953=9),"",IF(OR(AW1953=3,AW1953=4,AW1953=5,AW1953=6),VLOOKUP(AU1953,INDEX((係数_バス貨物_ガソリン,係数_バス貨物_CNG,係数_バス貨物_軽油,係数_バス貨物_メタノール,係数_バス貨物_LPG),MATCH(AY1953,【参考】排出係数!$AI$4:$AI$671,1),1,BE1953):INDEX((係数_バス貨物_ガソリン,係数_バス貨物_CNG,係数_バス貨物_軽油,係数_バス貨物_メタノール,係数_バス貨物_LPG),MATCH(AY1953+1,【参考】排出係数!$AI$4:$AI$671,1)-1,5,BE1953),2,FALSE),IF(OR(AW1953=1,AW1953=2),VLOOKUP(AU1953,INDEX((係数_乗用_ガソリン,係数_乗用_CNG,係数_乗用_軽油,係数_乗用_メタノール,係数_乗用_LPG),1,1,BE1953):INDEX((係数_乗用_ガソリン,係数_乗用_CNG,係数_乗用_軽油,係数_乗用_メタノール,係数_乗用_LPG),125,5,BE1953),2,FALSE))))))</f>
        <v/>
      </c>
      <c r="BB1953" s="468" t="str">
        <f>IF(T1953="","",IF(OR(AU1953="",AU1953="-"),"－",IF(OR(AZ1953=8,AZ1953=9),"",IF(OR(AW1953=3,AW1953=4,AW1953=5,AW1953=6),VLOOKUP(AU1953,INDEX((係数_バス貨物_ガソリン,係数_バス貨物_CNG,係数_バス貨物_軽油,係数_バス貨物_メタノール,係数_バス貨物_LPG),MATCH(AY1953,【参考】排出係数!$AI$4:$AI$671,1),1,BE1953):INDEX((係数_バス貨物_ガソリン,係数_バス貨物_CNG,係数_バス貨物_軽油,係数_バス貨物_メタノール,係数_バス貨物_LPG),MATCH(AY1953+1,【参考】排出係数!$AI$4:$AI$671,1)-1,5,BE1953),3,FALSE),IF(OR(AW1953=1,AW1953=2),VLOOKUP(AU1953,INDEX((係数_乗用_ガソリン,係数_乗用_CNG,係数_乗用_軽油,係数_乗用_メタノール,係数_乗用_LPG),1,1,BE1953):INDEX((係数_乗用_ガソリン,係数_乗用_CNG,係数_乗用_軽油,係数_乗用_メタノール,係数_乗用_LPG),125,5,BE1953),3,FALSE))))))</f>
        <v/>
      </c>
      <c r="BC1953" s="467" t="str">
        <f t="shared" si="1128"/>
        <v/>
      </c>
      <c r="BD1953" s="567" t="str">
        <f t="shared" si="1129"/>
        <v/>
      </c>
      <c r="BE1953" s="467" t="str">
        <f t="shared" si="1130"/>
        <v/>
      </c>
      <c r="BF1953" s="469" t="str">
        <f t="shared" ca="1" si="1131"/>
        <v/>
      </c>
      <c r="BG1953" s="469" t="str">
        <f t="shared" ca="1" si="1132"/>
        <v/>
      </c>
      <c r="BH1953" s="467" t="str">
        <f t="shared" si="1133"/>
        <v/>
      </c>
      <c r="BI1953" s="467" t="str">
        <f t="shared" ca="1" si="1134"/>
        <v/>
      </c>
      <c r="BJ1953" s="469" t="str">
        <f t="shared" si="1135"/>
        <v/>
      </c>
      <c r="BK1953" s="470" t="str">
        <f t="shared" si="1119"/>
        <v/>
      </c>
      <c r="BL1953" s="775" t="str">
        <f t="shared" si="1136"/>
        <v/>
      </c>
      <c r="BM1953" s="775" t="str">
        <f t="shared" si="1137"/>
        <v/>
      </c>
    </row>
    <row r="1954" spans="1:65">
      <c r="A1954" s="473">
        <v>1898</v>
      </c>
      <c r="B1954" s="132"/>
      <c r="C1954" s="332"/>
      <c r="D1954" s="333"/>
      <c r="E1954" s="333"/>
      <c r="F1954" s="334"/>
      <c r="G1954" s="337"/>
      <c r="H1954" s="131"/>
      <c r="I1954" s="337"/>
      <c r="J1954" s="131"/>
      <c r="K1954" s="458" t="str">
        <f t="shared" si="1100"/>
        <v/>
      </c>
      <c r="L1954" s="458">
        <f t="shared" si="1101"/>
        <v>0</v>
      </c>
      <c r="M1954" s="458">
        <f t="shared" si="1102"/>
        <v>0</v>
      </c>
      <c r="N1954" s="459" t="str">
        <f t="shared" si="1113"/>
        <v/>
      </c>
      <c r="O1954" s="459" t="str">
        <f t="shared" si="1114"/>
        <v/>
      </c>
      <c r="P1954" s="459" t="str">
        <f t="shared" si="1115"/>
        <v/>
      </c>
      <c r="Q1954" s="459" t="str">
        <f t="shared" si="1116"/>
        <v/>
      </c>
      <c r="R1954" s="459" t="str">
        <f t="shared" si="1117"/>
        <v/>
      </c>
      <c r="S1954" s="459" t="str">
        <f t="shared" si="1118"/>
        <v/>
      </c>
      <c r="T1954" s="566" t="str">
        <f t="shared" si="1103"/>
        <v/>
      </c>
      <c r="U1954" s="702"/>
      <c r="V1954" s="132"/>
      <c r="W1954" s="133"/>
      <c r="X1954" s="134"/>
      <c r="Y1954" s="135"/>
      <c r="Z1954" s="137"/>
      <c r="AA1954" s="136"/>
      <c r="AB1954" s="566" t="str">
        <f t="shared" si="1104"/>
        <v/>
      </c>
      <c r="AC1954" s="568" t="str">
        <f t="shared" si="1105"/>
        <v/>
      </c>
      <c r="AD1954" s="137"/>
      <c r="AE1954" s="137"/>
      <c r="AF1954" s="138"/>
      <c r="AG1954" s="138"/>
      <c r="AH1954" s="592" t="str">
        <f t="shared" si="1106"/>
        <v/>
      </c>
      <c r="AI1954" s="592" t="str">
        <f t="shared" si="1107"/>
        <v/>
      </c>
      <c r="AJ1954" s="592" t="str">
        <f t="shared" si="1108"/>
        <v/>
      </c>
      <c r="AK1954" s="460" t="str">
        <f>IF(AU1954="","",IF(OR(AZ1954=8,AZ1954=9),0,IF(OR(AW1954=3,AW1954=4,AW1954=5,AW1954=6),IF(LEFT(BF1954,1)="1",INDEX(係数_NOX・PM低減,MATCH(AY1954,【参考】排出係数!$AI$801:$AI$804,1),1),VLOOKUP(AU1954,INDEX((係数_バス貨物_ガソリン,係数_バス貨物_CNG,係数_バス貨物_軽油,係数_バス貨物_メタノール,係数_バス貨物_LPG),MATCH(AY1954,【参考】排出係数!$AI$4:$AI$671,1),1,BE1954):INDEX((係数_バス貨物_ガソリン,係数_バス貨物_CNG,係数_バス貨物_軽油,係数_バス貨物_メタノール,係数_バス貨物_LPG),MATCH(AY1954+1,【参考】排出係数!$AI$4:$AI$671,1)-1,5,BE1954),4,FALSE)),IF(AND(BE1954=3,LEFT(BF1954,1)="1"),0.48,VLOOKUP(AU1954,INDEX((係数_乗用_ガソリン,係数_乗用_CNG,係数_乗用_軽油,係数_乗用_メタノール,係数_乗用_LPG),1,1,BE1954):INDEX((係数_乗用_ガソリン,係数_乗用_CNG,係数_乗用_軽油,係数_乗用_メタノール,係数_乗用_LPG),125,5,BE1954),4,FALSE)))))</f>
        <v/>
      </c>
      <c r="AL1954" s="461" t="str">
        <f t="shared" si="1109"/>
        <v/>
      </c>
      <c r="AM1954" s="460" t="str">
        <f>IF(AU1954="","",IF(OR(AZ1954=8,AZ1954=9),0,IF(OR(AW1954=3,AW1954=4,AW1954=5,AW1954=6),IF(LEFT(BH1954,1)="1",INDEX(係数_PM低減,MATCH(AY1954,【参考】排出係数!$AI$801:$AI$804,1),MATCH(BI1954,【参考】排出係数!$AL$798:$AO$798,1)),VLOOKUP(AU1954,INDEX((係数_バス貨物_ガソリン,係数_バス貨物_CNG,係数_バス貨物_軽油,係数_バス貨物_メタノール,係数_バス貨物_LPG),MATCH(AY1954,【参考】排出係数!$AI$4:$AI$671,1),1,BE1954):INDEX((係数_バス貨物_ガソリン,係数_バス貨物_CNG,係数_バス貨物_軽油,係数_バス貨物_メタノール,係数_バス貨物_LPG),MATCH(AY1954+1,【参考】排出係数!$AI$4:$AI$671,1)-1,5,BE1954),5,FALSE)),IF(AND(BE1954=3,LEFT(BF1954,1)="1"),0.055,VLOOKUP(AU1954,INDEX((係数_乗用_ガソリン,係数_乗用_CNG,係数_乗用_軽油,係数_乗用_メタノール,係数_乗用_LPG),1,1,BE1954):INDEX((係数_乗用_ガソリン,係数_乗用_CNG,係数_乗用_軽油,係数_乗用_メタノール,係数_乗用_LPG),125,5,BE1954),5,FALSE)))))</f>
        <v/>
      </c>
      <c r="AN1954" s="461" t="str">
        <f t="shared" si="1110"/>
        <v/>
      </c>
      <c r="AO1954" s="462" t="str">
        <f t="shared" si="1111"/>
        <v/>
      </c>
      <c r="AP1954" s="463" t="str">
        <f t="shared" si="1112"/>
        <v/>
      </c>
      <c r="AQ1954" s="464"/>
      <c r="AR1954" s="619"/>
      <c r="AS1954" s="465" t="str">
        <f t="shared" si="1120"/>
        <v/>
      </c>
      <c r="AT1954" s="465" t="str">
        <f t="shared" si="1121"/>
        <v/>
      </c>
      <c r="AU1954" s="466" t="str">
        <f t="shared" si="1122"/>
        <v/>
      </c>
      <c r="AV1954" s="467" t="str">
        <f t="shared" si="1123"/>
        <v/>
      </c>
      <c r="AW1954" s="467" t="str">
        <f t="shared" si="1124"/>
        <v/>
      </c>
      <c r="AX1954" s="467" t="str">
        <f t="shared" si="1125"/>
        <v/>
      </c>
      <c r="AY1954" s="467" t="str">
        <f t="shared" si="1126"/>
        <v/>
      </c>
      <c r="AZ1954" s="467" t="str">
        <f t="shared" si="1127"/>
        <v/>
      </c>
      <c r="BA1954" s="468" t="str">
        <f>IF(AS1954="","",IF(OR(AU1954="",AU1954="-"),"－",IF(OR(AZ1954=8,AZ1954=9),"",IF(OR(AW1954=3,AW1954=4,AW1954=5,AW1954=6),VLOOKUP(AU1954,INDEX((係数_バス貨物_ガソリン,係数_バス貨物_CNG,係数_バス貨物_軽油,係数_バス貨物_メタノール,係数_バス貨物_LPG),MATCH(AY1954,【参考】排出係数!$AI$4:$AI$671,1),1,BE1954):INDEX((係数_バス貨物_ガソリン,係数_バス貨物_CNG,係数_バス貨物_軽油,係数_バス貨物_メタノール,係数_バス貨物_LPG),MATCH(AY1954+1,【参考】排出係数!$AI$4:$AI$671,1)-1,5,BE1954),2,FALSE),IF(OR(AW1954=1,AW1954=2),VLOOKUP(AU1954,INDEX((係数_乗用_ガソリン,係数_乗用_CNG,係数_乗用_軽油,係数_乗用_メタノール,係数_乗用_LPG),1,1,BE1954):INDEX((係数_乗用_ガソリン,係数_乗用_CNG,係数_乗用_軽油,係数_乗用_メタノール,係数_乗用_LPG),125,5,BE1954),2,FALSE))))))</f>
        <v/>
      </c>
      <c r="BB1954" s="468" t="str">
        <f>IF(T1954="","",IF(OR(AU1954="",AU1954="-"),"－",IF(OR(AZ1954=8,AZ1954=9),"",IF(OR(AW1954=3,AW1954=4,AW1954=5,AW1954=6),VLOOKUP(AU1954,INDEX((係数_バス貨物_ガソリン,係数_バス貨物_CNG,係数_バス貨物_軽油,係数_バス貨物_メタノール,係数_バス貨物_LPG),MATCH(AY1954,【参考】排出係数!$AI$4:$AI$671,1),1,BE1954):INDEX((係数_バス貨物_ガソリン,係数_バス貨物_CNG,係数_バス貨物_軽油,係数_バス貨物_メタノール,係数_バス貨物_LPG),MATCH(AY1954+1,【参考】排出係数!$AI$4:$AI$671,1)-1,5,BE1954),3,FALSE),IF(OR(AW1954=1,AW1954=2),VLOOKUP(AU1954,INDEX((係数_乗用_ガソリン,係数_乗用_CNG,係数_乗用_軽油,係数_乗用_メタノール,係数_乗用_LPG),1,1,BE1954):INDEX((係数_乗用_ガソリン,係数_乗用_CNG,係数_乗用_軽油,係数_乗用_メタノール,係数_乗用_LPG),125,5,BE1954),3,FALSE))))))</f>
        <v/>
      </c>
      <c r="BC1954" s="467" t="str">
        <f t="shared" si="1128"/>
        <v/>
      </c>
      <c r="BD1954" s="567" t="str">
        <f t="shared" si="1129"/>
        <v/>
      </c>
      <c r="BE1954" s="467" t="str">
        <f t="shared" si="1130"/>
        <v/>
      </c>
      <c r="BF1954" s="469" t="str">
        <f t="shared" ca="1" si="1131"/>
        <v/>
      </c>
      <c r="BG1954" s="469" t="str">
        <f t="shared" ca="1" si="1132"/>
        <v/>
      </c>
      <c r="BH1954" s="467" t="str">
        <f t="shared" si="1133"/>
        <v/>
      </c>
      <c r="BI1954" s="467" t="str">
        <f t="shared" ca="1" si="1134"/>
        <v/>
      </c>
      <c r="BJ1954" s="469" t="str">
        <f t="shared" si="1135"/>
        <v/>
      </c>
      <c r="BK1954" s="470" t="str">
        <f t="shared" si="1119"/>
        <v/>
      </c>
      <c r="BL1954" s="775" t="str">
        <f t="shared" si="1136"/>
        <v/>
      </c>
      <c r="BM1954" s="775" t="str">
        <f t="shared" si="1137"/>
        <v/>
      </c>
    </row>
    <row r="1955" spans="1:65">
      <c r="A1955" s="473">
        <v>1899</v>
      </c>
      <c r="B1955" s="132"/>
      <c r="C1955" s="332"/>
      <c r="D1955" s="333"/>
      <c r="E1955" s="333"/>
      <c r="F1955" s="334"/>
      <c r="G1955" s="337"/>
      <c r="H1955" s="131"/>
      <c r="I1955" s="337"/>
      <c r="J1955" s="131"/>
      <c r="K1955" s="458" t="str">
        <f t="shared" si="1100"/>
        <v/>
      </c>
      <c r="L1955" s="458">
        <f t="shared" si="1101"/>
        <v>0</v>
      </c>
      <c r="M1955" s="458">
        <f t="shared" si="1102"/>
        <v>0</v>
      </c>
      <c r="N1955" s="459" t="str">
        <f t="shared" si="1113"/>
        <v/>
      </c>
      <c r="O1955" s="459" t="str">
        <f t="shared" si="1114"/>
        <v/>
      </c>
      <c r="P1955" s="459" t="str">
        <f t="shared" si="1115"/>
        <v/>
      </c>
      <c r="Q1955" s="459" t="str">
        <f t="shared" si="1116"/>
        <v/>
      </c>
      <c r="R1955" s="459" t="str">
        <f t="shared" si="1117"/>
        <v/>
      </c>
      <c r="S1955" s="459" t="str">
        <f t="shared" si="1118"/>
        <v/>
      </c>
      <c r="T1955" s="566" t="str">
        <f t="shared" si="1103"/>
        <v/>
      </c>
      <c r="U1955" s="702"/>
      <c r="V1955" s="132"/>
      <c r="W1955" s="133"/>
      <c r="X1955" s="134"/>
      <c r="Y1955" s="135"/>
      <c r="Z1955" s="137"/>
      <c r="AA1955" s="136"/>
      <c r="AB1955" s="566" t="str">
        <f t="shared" si="1104"/>
        <v/>
      </c>
      <c r="AC1955" s="568" t="str">
        <f t="shared" si="1105"/>
        <v/>
      </c>
      <c r="AD1955" s="137"/>
      <c r="AE1955" s="137"/>
      <c r="AF1955" s="138"/>
      <c r="AG1955" s="138"/>
      <c r="AH1955" s="592" t="str">
        <f t="shared" si="1106"/>
        <v/>
      </c>
      <c r="AI1955" s="592" t="str">
        <f t="shared" si="1107"/>
        <v/>
      </c>
      <c r="AJ1955" s="592" t="str">
        <f t="shared" si="1108"/>
        <v/>
      </c>
      <c r="AK1955" s="460" t="str">
        <f>IF(AU1955="","",IF(OR(AZ1955=8,AZ1955=9),0,IF(OR(AW1955=3,AW1955=4,AW1955=5,AW1955=6),IF(LEFT(BF1955,1)="1",INDEX(係数_NOX・PM低減,MATCH(AY1955,【参考】排出係数!$AI$801:$AI$804,1),1),VLOOKUP(AU1955,INDEX((係数_バス貨物_ガソリン,係数_バス貨物_CNG,係数_バス貨物_軽油,係数_バス貨物_メタノール,係数_バス貨物_LPG),MATCH(AY1955,【参考】排出係数!$AI$4:$AI$671,1),1,BE1955):INDEX((係数_バス貨物_ガソリン,係数_バス貨物_CNG,係数_バス貨物_軽油,係数_バス貨物_メタノール,係数_バス貨物_LPG),MATCH(AY1955+1,【参考】排出係数!$AI$4:$AI$671,1)-1,5,BE1955),4,FALSE)),IF(AND(BE1955=3,LEFT(BF1955,1)="1"),0.48,VLOOKUP(AU1955,INDEX((係数_乗用_ガソリン,係数_乗用_CNG,係数_乗用_軽油,係数_乗用_メタノール,係数_乗用_LPG),1,1,BE1955):INDEX((係数_乗用_ガソリン,係数_乗用_CNG,係数_乗用_軽油,係数_乗用_メタノール,係数_乗用_LPG),125,5,BE1955),4,FALSE)))))</f>
        <v/>
      </c>
      <c r="AL1955" s="461" t="str">
        <f t="shared" si="1109"/>
        <v/>
      </c>
      <c r="AM1955" s="460" t="str">
        <f>IF(AU1955="","",IF(OR(AZ1955=8,AZ1955=9),0,IF(OR(AW1955=3,AW1955=4,AW1955=5,AW1955=6),IF(LEFT(BH1955,1)="1",INDEX(係数_PM低減,MATCH(AY1955,【参考】排出係数!$AI$801:$AI$804,1),MATCH(BI1955,【参考】排出係数!$AL$798:$AO$798,1)),VLOOKUP(AU1955,INDEX((係数_バス貨物_ガソリン,係数_バス貨物_CNG,係数_バス貨物_軽油,係数_バス貨物_メタノール,係数_バス貨物_LPG),MATCH(AY1955,【参考】排出係数!$AI$4:$AI$671,1),1,BE1955):INDEX((係数_バス貨物_ガソリン,係数_バス貨物_CNG,係数_バス貨物_軽油,係数_バス貨物_メタノール,係数_バス貨物_LPG),MATCH(AY1955+1,【参考】排出係数!$AI$4:$AI$671,1)-1,5,BE1955),5,FALSE)),IF(AND(BE1955=3,LEFT(BF1955,1)="1"),0.055,VLOOKUP(AU1955,INDEX((係数_乗用_ガソリン,係数_乗用_CNG,係数_乗用_軽油,係数_乗用_メタノール,係数_乗用_LPG),1,1,BE1955):INDEX((係数_乗用_ガソリン,係数_乗用_CNG,係数_乗用_軽油,係数_乗用_メタノール,係数_乗用_LPG),125,5,BE1955),5,FALSE)))))</f>
        <v/>
      </c>
      <c r="AN1955" s="461" t="str">
        <f t="shared" si="1110"/>
        <v/>
      </c>
      <c r="AO1955" s="462" t="str">
        <f t="shared" si="1111"/>
        <v/>
      </c>
      <c r="AP1955" s="463" t="str">
        <f t="shared" si="1112"/>
        <v/>
      </c>
      <c r="AQ1955" s="464"/>
      <c r="AR1955" s="619"/>
      <c r="AS1955" s="465" t="str">
        <f t="shared" si="1120"/>
        <v/>
      </c>
      <c r="AT1955" s="465" t="str">
        <f t="shared" si="1121"/>
        <v/>
      </c>
      <c r="AU1955" s="466" t="str">
        <f t="shared" si="1122"/>
        <v/>
      </c>
      <c r="AV1955" s="467" t="str">
        <f t="shared" si="1123"/>
        <v/>
      </c>
      <c r="AW1955" s="467" t="str">
        <f t="shared" si="1124"/>
        <v/>
      </c>
      <c r="AX1955" s="467" t="str">
        <f t="shared" si="1125"/>
        <v/>
      </c>
      <c r="AY1955" s="467" t="str">
        <f t="shared" si="1126"/>
        <v/>
      </c>
      <c r="AZ1955" s="467" t="str">
        <f t="shared" si="1127"/>
        <v/>
      </c>
      <c r="BA1955" s="468" t="str">
        <f>IF(AS1955="","",IF(OR(AU1955="",AU1955="-"),"－",IF(OR(AZ1955=8,AZ1955=9),"",IF(OR(AW1955=3,AW1955=4,AW1955=5,AW1955=6),VLOOKUP(AU1955,INDEX((係数_バス貨物_ガソリン,係数_バス貨物_CNG,係数_バス貨物_軽油,係数_バス貨物_メタノール,係数_バス貨物_LPG),MATCH(AY1955,【参考】排出係数!$AI$4:$AI$671,1),1,BE1955):INDEX((係数_バス貨物_ガソリン,係数_バス貨物_CNG,係数_バス貨物_軽油,係数_バス貨物_メタノール,係数_バス貨物_LPG),MATCH(AY1955+1,【参考】排出係数!$AI$4:$AI$671,1)-1,5,BE1955),2,FALSE),IF(OR(AW1955=1,AW1955=2),VLOOKUP(AU1955,INDEX((係数_乗用_ガソリン,係数_乗用_CNG,係数_乗用_軽油,係数_乗用_メタノール,係数_乗用_LPG),1,1,BE1955):INDEX((係数_乗用_ガソリン,係数_乗用_CNG,係数_乗用_軽油,係数_乗用_メタノール,係数_乗用_LPG),125,5,BE1955),2,FALSE))))))</f>
        <v/>
      </c>
      <c r="BB1955" s="468" t="str">
        <f>IF(T1955="","",IF(OR(AU1955="",AU1955="-"),"－",IF(OR(AZ1955=8,AZ1955=9),"",IF(OR(AW1955=3,AW1955=4,AW1955=5,AW1955=6),VLOOKUP(AU1955,INDEX((係数_バス貨物_ガソリン,係数_バス貨物_CNG,係数_バス貨物_軽油,係数_バス貨物_メタノール,係数_バス貨物_LPG),MATCH(AY1955,【参考】排出係数!$AI$4:$AI$671,1),1,BE1955):INDEX((係数_バス貨物_ガソリン,係数_バス貨物_CNG,係数_バス貨物_軽油,係数_バス貨物_メタノール,係数_バス貨物_LPG),MATCH(AY1955+1,【参考】排出係数!$AI$4:$AI$671,1)-1,5,BE1955),3,FALSE),IF(OR(AW1955=1,AW1955=2),VLOOKUP(AU1955,INDEX((係数_乗用_ガソリン,係数_乗用_CNG,係数_乗用_軽油,係数_乗用_メタノール,係数_乗用_LPG),1,1,BE1955):INDEX((係数_乗用_ガソリン,係数_乗用_CNG,係数_乗用_軽油,係数_乗用_メタノール,係数_乗用_LPG),125,5,BE1955),3,FALSE))))))</f>
        <v/>
      </c>
      <c r="BC1955" s="467" t="str">
        <f t="shared" si="1128"/>
        <v/>
      </c>
      <c r="BD1955" s="567" t="str">
        <f t="shared" si="1129"/>
        <v/>
      </c>
      <c r="BE1955" s="467" t="str">
        <f t="shared" si="1130"/>
        <v/>
      </c>
      <c r="BF1955" s="469" t="str">
        <f t="shared" ca="1" si="1131"/>
        <v/>
      </c>
      <c r="BG1955" s="469" t="str">
        <f t="shared" ca="1" si="1132"/>
        <v/>
      </c>
      <c r="BH1955" s="467" t="str">
        <f t="shared" si="1133"/>
        <v/>
      </c>
      <c r="BI1955" s="467" t="str">
        <f t="shared" ca="1" si="1134"/>
        <v/>
      </c>
      <c r="BJ1955" s="469" t="str">
        <f t="shared" si="1135"/>
        <v/>
      </c>
      <c r="BK1955" s="470" t="str">
        <f t="shared" si="1119"/>
        <v/>
      </c>
      <c r="BL1955" s="775" t="str">
        <f t="shared" si="1136"/>
        <v/>
      </c>
      <c r="BM1955" s="775" t="str">
        <f t="shared" si="1137"/>
        <v/>
      </c>
    </row>
    <row r="1956" spans="1:65">
      <c r="A1956" s="473">
        <v>1900</v>
      </c>
      <c r="B1956" s="132"/>
      <c r="C1956" s="332"/>
      <c r="D1956" s="333"/>
      <c r="E1956" s="333"/>
      <c r="F1956" s="334"/>
      <c r="G1956" s="337"/>
      <c r="H1956" s="131"/>
      <c r="I1956" s="337"/>
      <c r="J1956" s="131"/>
      <c r="K1956" s="458" t="str">
        <f t="shared" si="1100"/>
        <v/>
      </c>
      <c r="L1956" s="458">
        <f t="shared" si="1101"/>
        <v>0</v>
      </c>
      <c r="M1956" s="458">
        <f t="shared" si="1102"/>
        <v>0</v>
      </c>
      <c r="N1956" s="459" t="str">
        <f t="shared" si="1113"/>
        <v/>
      </c>
      <c r="O1956" s="459" t="str">
        <f t="shared" si="1114"/>
        <v/>
      </c>
      <c r="P1956" s="459" t="str">
        <f t="shared" si="1115"/>
        <v/>
      </c>
      <c r="Q1956" s="459" t="str">
        <f t="shared" si="1116"/>
        <v/>
      </c>
      <c r="R1956" s="459" t="str">
        <f t="shared" si="1117"/>
        <v/>
      </c>
      <c r="S1956" s="459" t="str">
        <f t="shared" si="1118"/>
        <v/>
      </c>
      <c r="T1956" s="566" t="str">
        <f t="shared" si="1103"/>
        <v/>
      </c>
      <c r="U1956" s="702"/>
      <c r="V1956" s="132"/>
      <c r="W1956" s="133"/>
      <c r="X1956" s="134"/>
      <c r="Y1956" s="135"/>
      <c r="Z1956" s="137"/>
      <c r="AA1956" s="136"/>
      <c r="AB1956" s="566" t="str">
        <f t="shared" si="1104"/>
        <v/>
      </c>
      <c r="AC1956" s="568" t="str">
        <f t="shared" si="1105"/>
        <v/>
      </c>
      <c r="AD1956" s="137"/>
      <c r="AE1956" s="137"/>
      <c r="AF1956" s="138"/>
      <c r="AG1956" s="138"/>
      <c r="AH1956" s="592" t="str">
        <f t="shared" si="1106"/>
        <v/>
      </c>
      <c r="AI1956" s="592" t="str">
        <f t="shared" si="1107"/>
        <v/>
      </c>
      <c r="AJ1956" s="592" t="str">
        <f t="shared" si="1108"/>
        <v/>
      </c>
      <c r="AK1956" s="460" t="str">
        <f>IF(AU1956="","",IF(OR(AZ1956=8,AZ1956=9),0,IF(OR(AW1956=3,AW1956=4,AW1956=5,AW1956=6),IF(LEFT(BF1956,1)="1",INDEX(係数_NOX・PM低減,MATCH(AY1956,【参考】排出係数!$AI$801:$AI$804,1),1),VLOOKUP(AU1956,INDEX((係数_バス貨物_ガソリン,係数_バス貨物_CNG,係数_バス貨物_軽油,係数_バス貨物_メタノール,係数_バス貨物_LPG),MATCH(AY1956,【参考】排出係数!$AI$4:$AI$671,1),1,BE1956):INDEX((係数_バス貨物_ガソリン,係数_バス貨物_CNG,係数_バス貨物_軽油,係数_バス貨物_メタノール,係数_バス貨物_LPG),MATCH(AY1956+1,【参考】排出係数!$AI$4:$AI$671,1)-1,5,BE1956),4,FALSE)),IF(AND(BE1956=3,LEFT(BF1956,1)="1"),0.48,VLOOKUP(AU1956,INDEX((係数_乗用_ガソリン,係数_乗用_CNG,係数_乗用_軽油,係数_乗用_メタノール,係数_乗用_LPG),1,1,BE1956):INDEX((係数_乗用_ガソリン,係数_乗用_CNG,係数_乗用_軽油,係数_乗用_メタノール,係数_乗用_LPG),125,5,BE1956),4,FALSE)))))</f>
        <v/>
      </c>
      <c r="AL1956" s="461" t="str">
        <f t="shared" si="1109"/>
        <v/>
      </c>
      <c r="AM1956" s="460" t="str">
        <f>IF(AU1956="","",IF(OR(AZ1956=8,AZ1956=9),0,IF(OR(AW1956=3,AW1956=4,AW1956=5,AW1956=6),IF(LEFT(BH1956,1)="1",INDEX(係数_PM低減,MATCH(AY1956,【参考】排出係数!$AI$801:$AI$804,1),MATCH(BI1956,【参考】排出係数!$AL$798:$AO$798,1)),VLOOKUP(AU1956,INDEX((係数_バス貨物_ガソリン,係数_バス貨物_CNG,係数_バス貨物_軽油,係数_バス貨物_メタノール,係数_バス貨物_LPG),MATCH(AY1956,【参考】排出係数!$AI$4:$AI$671,1),1,BE1956):INDEX((係数_バス貨物_ガソリン,係数_バス貨物_CNG,係数_バス貨物_軽油,係数_バス貨物_メタノール,係数_バス貨物_LPG),MATCH(AY1956+1,【参考】排出係数!$AI$4:$AI$671,1)-1,5,BE1956),5,FALSE)),IF(AND(BE1956=3,LEFT(BF1956,1)="1"),0.055,VLOOKUP(AU1956,INDEX((係数_乗用_ガソリン,係数_乗用_CNG,係数_乗用_軽油,係数_乗用_メタノール,係数_乗用_LPG),1,1,BE1956):INDEX((係数_乗用_ガソリン,係数_乗用_CNG,係数_乗用_軽油,係数_乗用_メタノール,係数_乗用_LPG),125,5,BE1956),5,FALSE)))))</f>
        <v/>
      </c>
      <c r="AN1956" s="461" t="str">
        <f t="shared" si="1110"/>
        <v/>
      </c>
      <c r="AO1956" s="462" t="str">
        <f t="shared" si="1111"/>
        <v/>
      </c>
      <c r="AP1956" s="463" t="str">
        <f t="shared" si="1112"/>
        <v/>
      </c>
      <c r="AQ1956" s="464"/>
      <c r="AR1956" s="619"/>
      <c r="AS1956" s="465" t="str">
        <f t="shared" si="1120"/>
        <v/>
      </c>
      <c r="AT1956" s="465" t="str">
        <f t="shared" si="1121"/>
        <v/>
      </c>
      <c r="AU1956" s="466" t="str">
        <f t="shared" si="1122"/>
        <v/>
      </c>
      <c r="AV1956" s="467" t="str">
        <f t="shared" si="1123"/>
        <v/>
      </c>
      <c r="AW1956" s="467" t="str">
        <f t="shared" si="1124"/>
        <v/>
      </c>
      <c r="AX1956" s="467" t="str">
        <f t="shared" si="1125"/>
        <v/>
      </c>
      <c r="AY1956" s="467" t="str">
        <f t="shared" si="1126"/>
        <v/>
      </c>
      <c r="AZ1956" s="467" t="str">
        <f t="shared" si="1127"/>
        <v/>
      </c>
      <c r="BA1956" s="468" t="str">
        <f>IF(AS1956="","",IF(OR(AU1956="",AU1956="-"),"－",IF(OR(AZ1956=8,AZ1956=9),"",IF(OR(AW1956=3,AW1956=4,AW1956=5,AW1956=6),VLOOKUP(AU1956,INDEX((係数_バス貨物_ガソリン,係数_バス貨物_CNG,係数_バス貨物_軽油,係数_バス貨物_メタノール,係数_バス貨物_LPG),MATCH(AY1956,【参考】排出係数!$AI$4:$AI$671,1),1,BE1956):INDEX((係数_バス貨物_ガソリン,係数_バス貨物_CNG,係数_バス貨物_軽油,係数_バス貨物_メタノール,係数_バス貨物_LPG),MATCH(AY1956+1,【参考】排出係数!$AI$4:$AI$671,1)-1,5,BE1956),2,FALSE),IF(OR(AW1956=1,AW1956=2),VLOOKUP(AU1956,INDEX((係数_乗用_ガソリン,係数_乗用_CNG,係数_乗用_軽油,係数_乗用_メタノール,係数_乗用_LPG),1,1,BE1956):INDEX((係数_乗用_ガソリン,係数_乗用_CNG,係数_乗用_軽油,係数_乗用_メタノール,係数_乗用_LPG),125,5,BE1956),2,FALSE))))))</f>
        <v/>
      </c>
      <c r="BB1956" s="468" t="str">
        <f>IF(T1956="","",IF(OR(AU1956="",AU1956="-"),"－",IF(OR(AZ1956=8,AZ1956=9),"",IF(OR(AW1956=3,AW1956=4,AW1956=5,AW1956=6),VLOOKUP(AU1956,INDEX((係数_バス貨物_ガソリン,係数_バス貨物_CNG,係数_バス貨物_軽油,係数_バス貨物_メタノール,係数_バス貨物_LPG),MATCH(AY1956,【参考】排出係数!$AI$4:$AI$671,1),1,BE1956):INDEX((係数_バス貨物_ガソリン,係数_バス貨物_CNG,係数_バス貨物_軽油,係数_バス貨物_メタノール,係数_バス貨物_LPG),MATCH(AY1956+1,【参考】排出係数!$AI$4:$AI$671,1)-1,5,BE1956),3,FALSE),IF(OR(AW1956=1,AW1956=2),VLOOKUP(AU1956,INDEX((係数_乗用_ガソリン,係数_乗用_CNG,係数_乗用_軽油,係数_乗用_メタノール,係数_乗用_LPG),1,1,BE1956):INDEX((係数_乗用_ガソリン,係数_乗用_CNG,係数_乗用_軽油,係数_乗用_メタノール,係数_乗用_LPG),125,5,BE1956),3,FALSE))))))</f>
        <v/>
      </c>
      <c r="BC1956" s="467" t="str">
        <f t="shared" si="1128"/>
        <v/>
      </c>
      <c r="BD1956" s="567" t="str">
        <f t="shared" si="1129"/>
        <v/>
      </c>
      <c r="BE1956" s="467" t="str">
        <f t="shared" si="1130"/>
        <v/>
      </c>
      <c r="BF1956" s="469" t="str">
        <f t="shared" ca="1" si="1131"/>
        <v/>
      </c>
      <c r="BG1956" s="469" t="str">
        <f t="shared" ca="1" si="1132"/>
        <v/>
      </c>
      <c r="BH1956" s="467" t="str">
        <f t="shared" si="1133"/>
        <v/>
      </c>
      <c r="BI1956" s="467" t="str">
        <f t="shared" ca="1" si="1134"/>
        <v/>
      </c>
      <c r="BJ1956" s="469" t="str">
        <f t="shared" si="1135"/>
        <v/>
      </c>
      <c r="BK1956" s="470" t="str">
        <f t="shared" si="1119"/>
        <v/>
      </c>
      <c r="BL1956" s="775" t="str">
        <f t="shared" si="1136"/>
        <v/>
      </c>
      <c r="BM1956" s="775" t="str">
        <f t="shared" si="1137"/>
        <v/>
      </c>
    </row>
    <row r="1957" spans="1:65">
      <c r="A1957" s="473">
        <v>1901</v>
      </c>
      <c r="B1957" s="132"/>
      <c r="C1957" s="332"/>
      <c r="D1957" s="333"/>
      <c r="E1957" s="333"/>
      <c r="F1957" s="334"/>
      <c r="G1957" s="337"/>
      <c r="H1957" s="131"/>
      <c r="I1957" s="337"/>
      <c r="J1957" s="131"/>
      <c r="K1957" s="458" t="str">
        <f t="shared" si="1100"/>
        <v/>
      </c>
      <c r="L1957" s="458">
        <f t="shared" si="1101"/>
        <v>0</v>
      </c>
      <c r="M1957" s="458">
        <f t="shared" si="1102"/>
        <v>0</v>
      </c>
      <c r="N1957" s="459" t="str">
        <f t="shared" si="1113"/>
        <v/>
      </c>
      <c r="O1957" s="459" t="str">
        <f t="shared" si="1114"/>
        <v/>
      </c>
      <c r="P1957" s="459" t="str">
        <f t="shared" si="1115"/>
        <v/>
      </c>
      <c r="Q1957" s="459" t="str">
        <f t="shared" si="1116"/>
        <v/>
      </c>
      <c r="R1957" s="459" t="str">
        <f t="shared" si="1117"/>
        <v/>
      </c>
      <c r="S1957" s="459" t="str">
        <f t="shared" si="1118"/>
        <v/>
      </c>
      <c r="T1957" s="566" t="str">
        <f t="shared" si="1103"/>
        <v/>
      </c>
      <c r="U1957" s="702"/>
      <c r="V1957" s="132"/>
      <c r="W1957" s="133"/>
      <c r="X1957" s="134"/>
      <c r="Y1957" s="135"/>
      <c r="Z1957" s="137"/>
      <c r="AA1957" s="136"/>
      <c r="AB1957" s="566" t="str">
        <f t="shared" si="1104"/>
        <v/>
      </c>
      <c r="AC1957" s="568" t="str">
        <f t="shared" si="1105"/>
        <v/>
      </c>
      <c r="AD1957" s="137"/>
      <c r="AE1957" s="137"/>
      <c r="AF1957" s="138"/>
      <c r="AG1957" s="138"/>
      <c r="AH1957" s="592" t="str">
        <f t="shared" si="1106"/>
        <v/>
      </c>
      <c r="AI1957" s="592" t="str">
        <f t="shared" si="1107"/>
        <v/>
      </c>
      <c r="AJ1957" s="592" t="str">
        <f t="shared" si="1108"/>
        <v/>
      </c>
      <c r="AK1957" s="460" t="str">
        <f>IF(AU1957="","",IF(OR(AZ1957=8,AZ1957=9),0,IF(OR(AW1957=3,AW1957=4,AW1957=5,AW1957=6),IF(LEFT(BF1957,1)="1",INDEX(係数_NOX・PM低減,MATCH(AY1957,【参考】排出係数!$AI$801:$AI$804,1),1),VLOOKUP(AU1957,INDEX((係数_バス貨物_ガソリン,係数_バス貨物_CNG,係数_バス貨物_軽油,係数_バス貨物_メタノール,係数_バス貨物_LPG),MATCH(AY1957,【参考】排出係数!$AI$4:$AI$671,1),1,BE1957):INDEX((係数_バス貨物_ガソリン,係数_バス貨物_CNG,係数_バス貨物_軽油,係数_バス貨物_メタノール,係数_バス貨物_LPG),MATCH(AY1957+1,【参考】排出係数!$AI$4:$AI$671,1)-1,5,BE1957),4,FALSE)),IF(AND(BE1957=3,LEFT(BF1957,1)="1"),0.48,VLOOKUP(AU1957,INDEX((係数_乗用_ガソリン,係数_乗用_CNG,係数_乗用_軽油,係数_乗用_メタノール,係数_乗用_LPG),1,1,BE1957):INDEX((係数_乗用_ガソリン,係数_乗用_CNG,係数_乗用_軽油,係数_乗用_メタノール,係数_乗用_LPG),125,5,BE1957),4,FALSE)))))</f>
        <v/>
      </c>
      <c r="AL1957" s="461" t="str">
        <f t="shared" si="1109"/>
        <v/>
      </c>
      <c r="AM1957" s="460" t="str">
        <f>IF(AU1957="","",IF(OR(AZ1957=8,AZ1957=9),0,IF(OR(AW1957=3,AW1957=4,AW1957=5,AW1957=6),IF(LEFT(BH1957,1)="1",INDEX(係数_PM低減,MATCH(AY1957,【参考】排出係数!$AI$801:$AI$804,1),MATCH(BI1957,【参考】排出係数!$AL$798:$AO$798,1)),VLOOKUP(AU1957,INDEX((係数_バス貨物_ガソリン,係数_バス貨物_CNG,係数_バス貨物_軽油,係数_バス貨物_メタノール,係数_バス貨物_LPG),MATCH(AY1957,【参考】排出係数!$AI$4:$AI$671,1),1,BE1957):INDEX((係数_バス貨物_ガソリン,係数_バス貨物_CNG,係数_バス貨物_軽油,係数_バス貨物_メタノール,係数_バス貨物_LPG),MATCH(AY1957+1,【参考】排出係数!$AI$4:$AI$671,1)-1,5,BE1957),5,FALSE)),IF(AND(BE1957=3,LEFT(BF1957,1)="1"),0.055,VLOOKUP(AU1957,INDEX((係数_乗用_ガソリン,係数_乗用_CNG,係数_乗用_軽油,係数_乗用_メタノール,係数_乗用_LPG),1,1,BE1957):INDEX((係数_乗用_ガソリン,係数_乗用_CNG,係数_乗用_軽油,係数_乗用_メタノール,係数_乗用_LPG),125,5,BE1957),5,FALSE)))))</f>
        <v/>
      </c>
      <c r="AN1957" s="461" t="str">
        <f t="shared" si="1110"/>
        <v/>
      </c>
      <c r="AO1957" s="462" t="str">
        <f t="shared" si="1111"/>
        <v/>
      </c>
      <c r="AP1957" s="463" t="str">
        <f t="shared" si="1112"/>
        <v/>
      </c>
      <c r="AQ1957" s="464"/>
      <c r="AR1957" s="619"/>
      <c r="AS1957" s="465" t="str">
        <f t="shared" si="1120"/>
        <v/>
      </c>
      <c r="AT1957" s="465" t="str">
        <f t="shared" si="1121"/>
        <v/>
      </c>
      <c r="AU1957" s="466" t="str">
        <f t="shared" si="1122"/>
        <v/>
      </c>
      <c r="AV1957" s="467" t="str">
        <f t="shared" si="1123"/>
        <v/>
      </c>
      <c r="AW1957" s="467" t="str">
        <f t="shared" si="1124"/>
        <v/>
      </c>
      <c r="AX1957" s="467" t="str">
        <f t="shared" si="1125"/>
        <v/>
      </c>
      <c r="AY1957" s="467" t="str">
        <f t="shared" si="1126"/>
        <v/>
      </c>
      <c r="AZ1957" s="467" t="str">
        <f t="shared" si="1127"/>
        <v/>
      </c>
      <c r="BA1957" s="468" t="str">
        <f>IF(AS1957="","",IF(OR(AU1957="",AU1957="-"),"－",IF(OR(AZ1957=8,AZ1957=9),"",IF(OR(AW1957=3,AW1957=4,AW1957=5,AW1957=6),VLOOKUP(AU1957,INDEX((係数_バス貨物_ガソリン,係数_バス貨物_CNG,係数_バス貨物_軽油,係数_バス貨物_メタノール,係数_バス貨物_LPG),MATCH(AY1957,【参考】排出係数!$AI$4:$AI$671,1),1,BE1957):INDEX((係数_バス貨物_ガソリン,係数_バス貨物_CNG,係数_バス貨物_軽油,係数_バス貨物_メタノール,係数_バス貨物_LPG),MATCH(AY1957+1,【参考】排出係数!$AI$4:$AI$671,1)-1,5,BE1957),2,FALSE),IF(OR(AW1957=1,AW1957=2),VLOOKUP(AU1957,INDEX((係数_乗用_ガソリン,係数_乗用_CNG,係数_乗用_軽油,係数_乗用_メタノール,係数_乗用_LPG),1,1,BE1957):INDEX((係数_乗用_ガソリン,係数_乗用_CNG,係数_乗用_軽油,係数_乗用_メタノール,係数_乗用_LPG),125,5,BE1957),2,FALSE))))))</f>
        <v/>
      </c>
      <c r="BB1957" s="468" t="str">
        <f>IF(T1957="","",IF(OR(AU1957="",AU1957="-"),"－",IF(OR(AZ1957=8,AZ1957=9),"",IF(OR(AW1957=3,AW1957=4,AW1957=5,AW1957=6),VLOOKUP(AU1957,INDEX((係数_バス貨物_ガソリン,係数_バス貨物_CNG,係数_バス貨物_軽油,係数_バス貨物_メタノール,係数_バス貨物_LPG),MATCH(AY1957,【参考】排出係数!$AI$4:$AI$671,1),1,BE1957):INDEX((係数_バス貨物_ガソリン,係数_バス貨物_CNG,係数_バス貨物_軽油,係数_バス貨物_メタノール,係数_バス貨物_LPG),MATCH(AY1957+1,【参考】排出係数!$AI$4:$AI$671,1)-1,5,BE1957),3,FALSE),IF(OR(AW1957=1,AW1957=2),VLOOKUP(AU1957,INDEX((係数_乗用_ガソリン,係数_乗用_CNG,係数_乗用_軽油,係数_乗用_メタノール,係数_乗用_LPG),1,1,BE1957):INDEX((係数_乗用_ガソリン,係数_乗用_CNG,係数_乗用_軽油,係数_乗用_メタノール,係数_乗用_LPG),125,5,BE1957),3,FALSE))))))</f>
        <v/>
      </c>
      <c r="BC1957" s="467" t="str">
        <f t="shared" si="1128"/>
        <v/>
      </c>
      <c r="BD1957" s="567" t="str">
        <f t="shared" si="1129"/>
        <v/>
      </c>
      <c r="BE1957" s="467" t="str">
        <f t="shared" si="1130"/>
        <v/>
      </c>
      <c r="BF1957" s="469" t="str">
        <f t="shared" ca="1" si="1131"/>
        <v/>
      </c>
      <c r="BG1957" s="469" t="str">
        <f t="shared" ca="1" si="1132"/>
        <v/>
      </c>
      <c r="BH1957" s="467" t="str">
        <f t="shared" si="1133"/>
        <v/>
      </c>
      <c r="BI1957" s="467" t="str">
        <f t="shared" ca="1" si="1134"/>
        <v/>
      </c>
      <c r="BJ1957" s="469" t="str">
        <f t="shared" si="1135"/>
        <v/>
      </c>
      <c r="BK1957" s="470" t="str">
        <f t="shared" si="1119"/>
        <v/>
      </c>
      <c r="BL1957" s="775" t="str">
        <f t="shared" si="1136"/>
        <v/>
      </c>
      <c r="BM1957" s="775" t="str">
        <f t="shared" si="1137"/>
        <v/>
      </c>
    </row>
    <row r="1958" spans="1:65">
      <c r="A1958" s="473">
        <v>1902</v>
      </c>
      <c r="B1958" s="132"/>
      <c r="C1958" s="332"/>
      <c r="D1958" s="333"/>
      <c r="E1958" s="333"/>
      <c r="F1958" s="334"/>
      <c r="G1958" s="337"/>
      <c r="H1958" s="131"/>
      <c r="I1958" s="337"/>
      <c r="J1958" s="131"/>
      <c r="K1958" s="458" t="str">
        <f t="shared" si="1100"/>
        <v/>
      </c>
      <c r="L1958" s="458">
        <f t="shared" si="1101"/>
        <v>0</v>
      </c>
      <c r="M1958" s="458">
        <f t="shared" si="1102"/>
        <v>0</v>
      </c>
      <c r="N1958" s="459" t="str">
        <f t="shared" si="1113"/>
        <v/>
      </c>
      <c r="O1958" s="459" t="str">
        <f t="shared" si="1114"/>
        <v/>
      </c>
      <c r="P1958" s="459" t="str">
        <f t="shared" si="1115"/>
        <v/>
      </c>
      <c r="Q1958" s="459" t="str">
        <f t="shared" si="1116"/>
        <v/>
      </c>
      <c r="R1958" s="459" t="str">
        <f t="shared" si="1117"/>
        <v/>
      </c>
      <c r="S1958" s="459" t="str">
        <f t="shared" si="1118"/>
        <v/>
      </c>
      <c r="T1958" s="566" t="str">
        <f t="shared" si="1103"/>
        <v/>
      </c>
      <c r="U1958" s="702"/>
      <c r="V1958" s="132"/>
      <c r="W1958" s="133"/>
      <c r="X1958" s="134"/>
      <c r="Y1958" s="135"/>
      <c r="Z1958" s="137"/>
      <c r="AA1958" s="136"/>
      <c r="AB1958" s="566" t="str">
        <f t="shared" si="1104"/>
        <v/>
      </c>
      <c r="AC1958" s="568" t="str">
        <f t="shared" si="1105"/>
        <v/>
      </c>
      <c r="AD1958" s="137"/>
      <c r="AE1958" s="137"/>
      <c r="AF1958" s="138"/>
      <c r="AG1958" s="138"/>
      <c r="AH1958" s="592" t="str">
        <f t="shared" si="1106"/>
        <v/>
      </c>
      <c r="AI1958" s="592" t="str">
        <f t="shared" si="1107"/>
        <v/>
      </c>
      <c r="AJ1958" s="592" t="str">
        <f t="shared" si="1108"/>
        <v/>
      </c>
      <c r="AK1958" s="460" t="str">
        <f>IF(AU1958="","",IF(OR(AZ1958=8,AZ1958=9),0,IF(OR(AW1958=3,AW1958=4,AW1958=5,AW1958=6),IF(LEFT(BF1958,1)="1",INDEX(係数_NOX・PM低減,MATCH(AY1958,【参考】排出係数!$AI$801:$AI$804,1),1),VLOOKUP(AU1958,INDEX((係数_バス貨物_ガソリン,係数_バス貨物_CNG,係数_バス貨物_軽油,係数_バス貨物_メタノール,係数_バス貨物_LPG),MATCH(AY1958,【参考】排出係数!$AI$4:$AI$671,1),1,BE1958):INDEX((係数_バス貨物_ガソリン,係数_バス貨物_CNG,係数_バス貨物_軽油,係数_バス貨物_メタノール,係数_バス貨物_LPG),MATCH(AY1958+1,【参考】排出係数!$AI$4:$AI$671,1)-1,5,BE1958),4,FALSE)),IF(AND(BE1958=3,LEFT(BF1958,1)="1"),0.48,VLOOKUP(AU1958,INDEX((係数_乗用_ガソリン,係数_乗用_CNG,係数_乗用_軽油,係数_乗用_メタノール,係数_乗用_LPG),1,1,BE1958):INDEX((係数_乗用_ガソリン,係数_乗用_CNG,係数_乗用_軽油,係数_乗用_メタノール,係数_乗用_LPG),125,5,BE1958),4,FALSE)))))</f>
        <v/>
      </c>
      <c r="AL1958" s="461" t="str">
        <f t="shared" si="1109"/>
        <v/>
      </c>
      <c r="AM1958" s="460" t="str">
        <f>IF(AU1958="","",IF(OR(AZ1958=8,AZ1958=9),0,IF(OR(AW1958=3,AW1958=4,AW1958=5,AW1958=6),IF(LEFT(BH1958,1)="1",INDEX(係数_PM低減,MATCH(AY1958,【参考】排出係数!$AI$801:$AI$804,1),MATCH(BI1958,【参考】排出係数!$AL$798:$AO$798,1)),VLOOKUP(AU1958,INDEX((係数_バス貨物_ガソリン,係数_バス貨物_CNG,係数_バス貨物_軽油,係数_バス貨物_メタノール,係数_バス貨物_LPG),MATCH(AY1958,【参考】排出係数!$AI$4:$AI$671,1),1,BE1958):INDEX((係数_バス貨物_ガソリン,係数_バス貨物_CNG,係数_バス貨物_軽油,係数_バス貨物_メタノール,係数_バス貨物_LPG),MATCH(AY1958+1,【参考】排出係数!$AI$4:$AI$671,1)-1,5,BE1958),5,FALSE)),IF(AND(BE1958=3,LEFT(BF1958,1)="1"),0.055,VLOOKUP(AU1958,INDEX((係数_乗用_ガソリン,係数_乗用_CNG,係数_乗用_軽油,係数_乗用_メタノール,係数_乗用_LPG),1,1,BE1958):INDEX((係数_乗用_ガソリン,係数_乗用_CNG,係数_乗用_軽油,係数_乗用_メタノール,係数_乗用_LPG),125,5,BE1958),5,FALSE)))))</f>
        <v/>
      </c>
      <c r="AN1958" s="461" t="str">
        <f t="shared" si="1110"/>
        <v/>
      </c>
      <c r="AO1958" s="462" t="str">
        <f t="shared" si="1111"/>
        <v/>
      </c>
      <c r="AP1958" s="463" t="str">
        <f t="shared" si="1112"/>
        <v/>
      </c>
      <c r="AQ1958" s="464"/>
      <c r="AR1958" s="619"/>
      <c r="AS1958" s="465" t="str">
        <f t="shared" si="1120"/>
        <v/>
      </c>
      <c r="AT1958" s="465" t="str">
        <f t="shared" si="1121"/>
        <v/>
      </c>
      <c r="AU1958" s="466" t="str">
        <f t="shared" si="1122"/>
        <v/>
      </c>
      <c r="AV1958" s="467" t="str">
        <f t="shared" si="1123"/>
        <v/>
      </c>
      <c r="AW1958" s="467" t="str">
        <f t="shared" si="1124"/>
        <v/>
      </c>
      <c r="AX1958" s="467" t="str">
        <f t="shared" si="1125"/>
        <v/>
      </c>
      <c r="AY1958" s="467" t="str">
        <f t="shared" si="1126"/>
        <v/>
      </c>
      <c r="AZ1958" s="467" t="str">
        <f t="shared" si="1127"/>
        <v/>
      </c>
      <c r="BA1958" s="468" t="str">
        <f>IF(AS1958="","",IF(OR(AU1958="",AU1958="-"),"－",IF(OR(AZ1958=8,AZ1958=9),"",IF(OR(AW1958=3,AW1958=4,AW1958=5,AW1958=6),VLOOKUP(AU1958,INDEX((係数_バス貨物_ガソリン,係数_バス貨物_CNG,係数_バス貨物_軽油,係数_バス貨物_メタノール,係数_バス貨物_LPG),MATCH(AY1958,【参考】排出係数!$AI$4:$AI$671,1),1,BE1958):INDEX((係数_バス貨物_ガソリン,係数_バス貨物_CNG,係数_バス貨物_軽油,係数_バス貨物_メタノール,係数_バス貨物_LPG),MATCH(AY1958+1,【参考】排出係数!$AI$4:$AI$671,1)-1,5,BE1958),2,FALSE),IF(OR(AW1958=1,AW1958=2),VLOOKUP(AU1958,INDEX((係数_乗用_ガソリン,係数_乗用_CNG,係数_乗用_軽油,係数_乗用_メタノール,係数_乗用_LPG),1,1,BE1958):INDEX((係数_乗用_ガソリン,係数_乗用_CNG,係数_乗用_軽油,係数_乗用_メタノール,係数_乗用_LPG),125,5,BE1958),2,FALSE))))))</f>
        <v/>
      </c>
      <c r="BB1958" s="468" t="str">
        <f>IF(T1958="","",IF(OR(AU1958="",AU1958="-"),"－",IF(OR(AZ1958=8,AZ1958=9),"",IF(OR(AW1958=3,AW1958=4,AW1958=5,AW1958=6),VLOOKUP(AU1958,INDEX((係数_バス貨物_ガソリン,係数_バス貨物_CNG,係数_バス貨物_軽油,係数_バス貨物_メタノール,係数_バス貨物_LPG),MATCH(AY1958,【参考】排出係数!$AI$4:$AI$671,1),1,BE1958):INDEX((係数_バス貨物_ガソリン,係数_バス貨物_CNG,係数_バス貨物_軽油,係数_バス貨物_メタノール,係数_バス貨物_LPG),MATCH(AY1958+1,【参考】排出係数!$AI$4:$AI$671,1)-1,5,BE1958),3,FALSE),IF(OR(AW1958=1,AW1958=2),VLOOKUP(AU1958,INDEX((係数_乗用_ガソリン,係数_乗用_CNG,係数_乗用_軽油,係数_乗用_メタノール,係数_乗用_LPG),1,1,BE1958):INDEX((係数_乗用_ガソリン,係数_乗用_CNG,係数_乗用_軽油,係数_乗用_メタノール,係数_乗用_LPG),125,5,BE1958),3,FALSE))))))</f>
        <v/>
      </c>
      <c r="BC1958" s="467" t="str">
        <f t="shared" si="1128"/>
        <v/>
      </c>
      <c r="BD1958" s="567" t="str">
        <f t="shared" si="1129"/>
        <v/>
      </c>
      <c r="BE1958" s="467" t="str">
        <f t="shared" si="1130"/>
        <v/>
      </c>
      <c r="BF1958" s="469" t="str">
        <f t="shared" ca="1" si="1131"/>
        <v/>
      </c>
      <c r="BG1958" s="469" t="str">
        <f t="shared" ca="1" si="1132"/>
        <v/>
      </c>
      <c r="BH1958" s="467" t="str">
        <f t="shared" si="1133"/>
        <v/>
      </c>
      <c r="BI1958" s="467" t="str">
        <f t="shared" ca="1" si="1134"/>
        <v/>
      </c>
      <c r="BJ1958" s="469" t="str">
        <f t="shared" si="1135"/>
        <v/>
      </c>
      <c r="BK1958" s="470" t="str">
        <f t="shared" si="1119"/>
        <v/>
      </c>
      <c r="BL1958" s="775" t="str">
        <f t="shared" si="1136"/>
        <v/>
      </c>
      <c r="BM1958" s="775" t="str">
        <f t="shared" si="1137"/>
        <v/>
      </c>
    </row>
    <row r="1959" spans="1:65">
      <c r="A1959" s="473">
        <v>1903</v>
      </c>
      <c r="B1959" s="132"/>
      <c r="C1959" s="332"/>
      <c r="D1959" s="333"/>
      <c r="E1959" s="333"/>
      <c r="F1959" s="334"/>
      <c r="G1959" s="337"/>
      <c r="H1959" s="131"/>
      <c r="I1959" s="337"/>
      <c r="J1959" s="131"/>
      <c r="K1959" s="458" t="str">
        <f t="shared" si="1100"/>
        <v/>
      </c>
      <c r="L1959" s="458">
        <f t="shared" si="1101"/>
        <v>0</v>
      </c>
      <c r="M1959" s="458">
        <f t="shared" si="1102"/>
        <v>0</v>
      </c>
      <c r="N1959" s="459" t="str">
        <f t="shared" si="1113"/>
        <v/>
      </c>
      <c r="O1959" s="459" t="str">
        <f t="shared" si="1114"/>
        <v/>
      </c>
      <c r="P1959" s="459" t="str">
        <f t="shared" si="1115"/>
        <v/>
      </c>
      <c r="Q1959" s="459" t="str">
        <f t="shared" si="1116"/>
        <v/>
      </c>
      <c r="R1959" s="459" t="str">
        <f t="shared" si="1117"/>
        <v/>
      </c>
      <c r="S1959" s="459" t="str">
        <f t="shared" si="1118"/>
        <v/>
      </c>
      <c r="T1959" s="566" t="str">
        <f t="shared" si="1103"/>
        <v/>
      </c>
      <c r="U1959" s="702"/>
      <c r="V1959" s="132"/>
      <c r="W1959" s="133"/>
      <c r="X1959" s="134"/>
      <c r="Y1959" s="135"/>
      <c r="Z1959" s="137"/>
      <c r="AA1959" s="136"/>
      <c r="AB1959" s="566" t="str">
        <f t="shared" si="1104"/>
        <v/>
      </c>
      <c r="AC1959" s="568" t="str">
        <f t="shared" si="1105"/>
        <v/>
      </c>
      <c r="AD1959" s="137"/>
      <c r="AE1959" s="137"/>
      <c r="AF1959" s="138"/>
      <c r="AG1959" s="138"/>
      <c r="AH1959" s="592" t="str">
        <f t="shared" si="1106"/>
        <v/>
      </c>
      <c r="AI1959" s="592" t="str">
        <f t="shared" si="1107"/>
        <v/>
      </c>
      <c r="AJ1959" s="592" t="str">
        <f t="shared" si="1108"/>
        <v/>
      </c>
      <c r="AK1959" s="460" t="str">
        <f>IF(AU1959="","",IF(OR(AZ1959=8,AZ1959=9),0,IF(OR(AW1959=3,AW1959=4,AW1959=5,AW1959=6),IF(LEFT(BF1959,1)="1",INDEX(係数_NOX・PM低減,MATCH(AY1959,【参考】排出係数!$AI$801:$AI$804,1),1),VLOOKUP(AU1959,INDEX((係数_バス貨物_ガソリン,係数_バス貨物_CNG,係数_バス貨物_軽油,係数_バス貨物_メタノール,係数_バス貨物_LPG),MATCH(AY1959,【参考】排出係数!$AI$4:$AI$671,1),1,BE1959):INDEX((係数_バス貨物_ガソリン,係数_バス貨物_CNG,係数_バス貨物_軽油,係数_バス貨物_メタノール,係数_バス貨物_LPG),MATCH(AY1959+1,【参考】排出係数!$AI$4:$AI$671,1)-1,5,BE1959),4,FALSE)),IF(AND(BE1959=3,LEFT(BF1959,1)="1"),0.48,VLOOKUP(AU1959,INDEX((係数_乗用_ガソリン,係数_乗用_CNG,係数_乗用_軽油,係数_乗用_メタノール,係数_乗用_LPG),1,1,BE1959):INDEX((係数_乗用_ガソリン,係数_乗用_CNG,係数_乗用_軽油,係数_乗用_メタノール,係数_乗用_LPG),125,5,BE1959),4,FALSE)))))</f>
        <v/>
      </c>
      <c r="AL1959" s="461" t="str">
        <f t="shared" si="1109"/>
        <v/>
      </c>
      <c r="AM1959" s="460" t="str">
        <f>IF(AU1959="","",IF(OR(AZ1959=8,AZ1959=9),0,IF(OR(AW1959=3,AW1959=4,AW1959=5,AW1959=6),IF(LEFT(BH1959,1)="1",INDEX(係数_PM低減,MATCH(AY1959,【参考】排出係数!$AI$801:$AI$804,1),MATCH(BI1959,【参考】排出係数!$AL$798:$AO$798,1)),VLOOKUP(AU1959,INDEX((係数_バス貨物_ガソリン,係数_バス貨物_CNG,係数_バス貨物_軽油,係数_バス貨物_メタノール,係数_バス貨物_LPG),MATCH(AY1959,【参考】排出係数!$AI$4:$AI$671,1),1,BE1959):INDEX((係数_バス貨物_ガソリン,係数_バス貨物_CNG,係数_バス貨物_軽油,係数_バス貨物_メタノール,係数_バス貨物_LPG),MATCH(AY1959+1,【参考】排出係数!$AI$4:$AI$671,1)-1,5,BE1959),5,FALSE)),IF(AND(BE1959=3,LEFT(BF1959,1)="1"),0.055,VLOOKUP(AU1959,INDEX((係数_乗用_ガソリン,係数_乗用_CNG,係数_乗用_軽油,係数_乗用_メタノール,係数_乗用_LPG),1,1,BE1959):INDEX((係数_乗用_ガソリン,係数_乗用_CNG,係数_乗用_軽油,係数_乗用_メタノール,係数_乗用_LPG),125,5,BE1959),5,FALSE)))))</f>
        <v/>
      </c>
      <c r="AN1959" s="461" t="str">
        <f t="shared" si="1110"/>
        <v/>
      </c>
      <c r="AO1959" s="462" t="str">
        <f t="shared" si="1111"/>
        <v/>
      </c>
      <c r="AP1959" s="463" t="str">
        <f t="shared" si="1112"/>
        <v/>
      </c>
      <c r="AQ1959" s="464"/>
      <c r="AR1959" s="619"/>
      <c r="AS1959" s="465" t="str">
        <f t="shared" si="1120"/>
        <v/>
      </c>
      <c r="AT1959" s="465" t="str">
        <f t="shared" si="1121"/>
        <v/>
      </c>
      <c r="AU1959" s="466" t="str">
        <f t="shared" si="1122"/>
        <v/>
      </c>
      <c r="AV1959" s="467" t="str">
        <f t="shared" si="1123"/>
        <v/>
      </c>
      <c r="AW1959" s="467" t="str">
        <f t="shared" si="1124"/>
        <v/>
      </c>
      <c r="AX1959" s="467" t="str">
        <f t="shared" si="1125"/>
        <v/>
      </c>
      <c r="AY1959" s="467" t="str">
        <f t="shared" si="1126"/>
        <v/>
      </c>
      <c r="AZ1959" s="467" t="str">
        <f t="shared" si="1127"/>
        <v/>
      </c>
      <c r="BA1959" s="468" t="str">
        <f>IF(AS1959="","",IF(OR(AU1959="",AU1959="-"),"－",IF(OR(AZ1959=8,AZ1959=9),"",IF(OR(AW1959=3,AW1959=4,AW1959=5,AW1959=6),VLOOKUP(AU1959,INDEX((係数_バス貨物_ガソリン,係数_バス貨物_CNG,係数_バス貨物_軽油,係数_バス貨物_メタノール,係数_バス貨物_LPG),MATCH(AY1959,【参考】排出係数!$AI$4:$AI$671,1),1,BE1959):INDEX((係数_バス貨物_ガソリン,係数_バス貨物_CNG,係数_バス貨物_軽油,係数_バス貨物_メタノール,係数_バス貨物_LPG),MATCH(AY1959+1,【参考】排出係数!$AI$4:$AI$671,1)-1,5,BE1959),2,FALSE),IF(OR(AW1959=1,AW1959=2),VLOOKUP(AU1959,INDEX((係数_乗用_ガソリン,係数_乗用_CNG,係数_乗用_軽油,係数_乗用_メタノール,係数_乗用_LPG),1,1,BE1959):INDEX((係数_乗用_ガソリン,係数_乗用_CNG,係数_乗用_軽油,係数_乗用_メタノール,係数_乗用_LPG),125,5,BE1959),2,FALSE))))))</f>
        <v/>
      </c>
      <c r="BB1959" s="468" t="str">
        <f>IF(T1959="","",IF(OR(AU1959="",AU1959="-"),"－",IF(OR(AZ1959=8,AZ1959=9),"",IF(OR(AW1959=3,AW1959=4,AW1959=5,AW1959=6),VLOOKUP(AU1959,INDEX((係数_バス貨物_ガソリン,係数_バス貨物_CNG,係数_バス貨物_軽油,係数_バス貨物_メタノール,係数_バス貨物_LPG),MATCH(AY1959,【参考】排出係数!$AI$4:$AI$671,1),1,BE1959):INDEX((係数_バス貨物_ガソリン,係数_バス貨物_CNG,係数_バス貨物_軽油,係数_バス貨物_メタノール,係数_バス貨物_LPG),MATCH(AY1959+1,【参考】排出係数!$AI$4:$AI$671,1)-1,5,BE1959),3,FALSE),IF(OR(AW1959=1,AW1959=2),VLOOKUP(AU1959,INDEX((係数_乗用_ガソリン,係数_乗用_CNG,係数_乗用_軽油,係数_乗用_メタノール,係数_乗用_LPG),1,1,BE1959):INDEX((係数_乗用_ガソリン,係数_乗用_CNG,係数_乗用_軽油,係数_乗用_メタノール,係数_乗用_LPG),125,5,BE1959),3,FALSE))))))</f>
        <v/>
      </c>
      <c r="BC1959" s="467" t="str">
        <f t="shared" si="1128"/>
        <v/>
      </c>
      <c r="BD1959" s="567" t="str">
        <f t="shared" si="1129"/>
        <v/>
      </c>
      <c r="BE1959" s="467" t="str">
        <f t="shared" si="1130"/>
        <v/>
      </c>
      <c r="BF1959" s="469" t="str">
        <f t="shared" ca="1" si="1131"/>
        <v/>
      </c>
      <c r="BG1959" s="469" t="str">
        <f t="shared" ca="1" si="1132"/>
        <v/>
      </c>
      <c r="BH1959" s="467" t="str">
        <f t="shared" si="1133"/>
        <v/>
      </c>
      <c r="BI1959" s="467" t="str">
        <f t="shared" ca="1" si="1134"/>
        <v/>
      </c>
      <c r="BJ1959" s="469" t="str">
        <f t="shared" si="1135"/>
        <v/>
      </c>
      <c r="BK1959" s="470" t="str">
        <f t="shared" si="1119"/>
        <v/>
      </c>
      <c r="BL1959" s="775" t="str">
        <f t="shared" si="1136"/>
        <v/>
      </c>
      <c r="BM1959" s="775" t="str">
        <f t="shared" si="1137"/>
        <v/>
      </c>
    </row>
    <row r="1960" spans="1:65">
      <c r="A1960" s="473">
        <v>1904</v>
      </c>
      <c r="B1960" s="132"/>
      <c r="C1960" s="332"/>
      <c r="D1960" s="333"/>
      <c r="E1960" s="333"/>
      <c r="F1960" s="334"/>
      <c r="G1960" s="337"/>
      <c r="H1960" s="131"/>
      <c r="I1960" s="337"/>
      <c r="J1960" s="131"/>
      <c r="K1960" s="458" t="str">
        <f t="shared" si="1100"/>
        <v/>
      </c>
      <c r="L1960" s="458">
        <f t="shared" si="1101"/>
        <v>0</v>
      </c>
      <c r="M1960" s="458">
        <f t="shared" si="1102"/>
        <v>0</v>
      </c>
      <c r="N1960" s="459" t="str">
        <f t="shared" si="1113"/>
        <v/>
      </c>
      <c r="O1960" s="459" t="str">
        <f t="shared" si="1114"/>
        <v/>
      </c>
      <c r="P1960" s="459" t="str">
        <f t="shared" si="1115"/>
        <v/>
      </c>
      <c r="Q1960" s="459" t="str">
        <f t="shared" si="1116"/>
        <v/>
      </c>
      <c r="R1960" s="459" t="str">
        <f t="shared" si="1117"/>
        <v/>
      </c>
      <c r="S1960" s="459" t="str">
        <f t="shared" si="1118"/>
        <v/>
      </c>
      <c r="T1960" s="566" t="str">
        <f t="shared" si="1103"/>
        <v/>
      </c>
      <c r="U1960" s="702"/>
      <c r="V1960" s="132"/>
      <c r="W1960" s="133"/>
      <c r="X1960" s="134"/>
      <c r="Y1960" s="135"/>
      <c r="Z1960" s="137"/>
      <c r="AA1960" s="136"/>
      <c r="AB1960" s="566" t="str">
        <f t="shared" si="1104"/>
        <v/>
      </c>
      <c r="AC1960" s="568" t="str">
        <f t="shared" si="1105"/>
        <v/>
      </c>
      <c r="AD1960" s="137"/>
      <c r="AE1960" s="137"/>
      <c r="AF1960" s="138"/>
      <c r="AG1960" s="138"/>
      <c r="AH1960" s="592" t="str">
        <f t="shared" si="1106"/>
        <v/>
      </c>
      <c r="AI1960" s="592" t="str">
        <f t="shared" si="1107"/>
        <v/>
      </c>
      <c r="AJ1960" s="592" t="str">
        <f t="shared" si="1108"/>
        <v/>
      </c>
      <c r="AK1960" s="460" t="str">
        <f>IF(AU1960="","",IF(OR(AZ1960=8,AZ1960=9),0,IF(OR(AW1960=3,AW1960=4,AW1960=5,AW1960=6),IF(LEFT(BF1960,1)="1",INDEX(係数_NOX・PM低減,MATCH(AY1960,【参考】排出係数!$AI$801:$AI$804,1),1),VLOOKUP(AU1960,INDEX((係数_バス貨物_ガソリン,係数_バス貨物_CNG,係数_バス貨物_軽油,係数_バス貨物_メタノール,係数_バス貨物_LPG),MATCH(AY1960,【参考】排出係数!$AI$4:$AI$671,1),1,BE1960):INDEX((係数_バス貨物_ガソリン,係数_バス貨物_CNG,係数_バス貨物_軽油,係数_バス貨物_メタノール,係数_バス貨物_LPG),MATCH(AY1960+1,【参考】排出係数!$AI$4:$AI$671,1)-1,5,BE1960),4,FALSE)),IF(AND(BE1960=3,LEFT(BF1960,1)="1"),0.48,VLOOKUP(AU1960,INDEX((係数_乗用_ガソリン,係数_乗用_CNG,係数_乗用_軽油,係数_乗用_メタノール,係数_乗用_LPG),1,1,BE1960):INDEX((係数_乗用_ガソリン,係数_乗用_CNG,係数_乗用_軽油,係数_乗用_メタノール,係数_乗用_LPG),125,5,BE1960),4,FALSE)))))</f>
        <v/>
      </c>
      <c r="AL1960" s="461" t="str">
        <f t="shared" si="1109"/>
        <v/>
      </c>
      <c r="AM1960" s="460" t="str">
        <f>IF(AU1960="","",IF(OR(AZ1960=8,AZ1960=9),0,IF(OR(AW1960=3,AW1960=4,AW1960=5,AW1960=6),IF(LEFT(BH1960,1)="1",INDEX(係数_PM低減,MATCH(AY1960,【参考】排出係数!$AI$801:$AI$804,1),MATCH(BI1960,【参考】排出係数!$AL$798:$AO$798,1)),VLOOKUP(AU1960,INDEX((係数_バス貨物_ガソリン,係数_バス貨物_CNG,係数_バス貨物_軽油,係数_バス貨物_メタノール,係数_バス貨物_LPG),MATCH(AY1960,【参考】排出係数!$AI$4:$AI$671,1),1,BE1960):INDEX((係数_バス貨物_ガソリン,係数_バス貨物_CNG,係数_バス貨物_軽油,係数_バス貨物_メタノール,係数_バス貨物_LPG),MATCH(AY1960+1,【参考】排出係数!$AI$4:$AI$671,1)-1,5,BE1960),5,FALSE)),IF(AND(BE1960=3,LEFT(BF1960,1)="1"),0.055,VLOOKUP(AU1960,INDEX((係数_乗用_ガソリン,係数_乗用_CNG,係数_乗用_軽油,係数_乗用_メタノール,係数_乗用_LPG),1,1,BE1960):INDEX((係数_乗用_ガソリン,係数_乗用_CNG,係数_乗用_軽油,係数_乗用_メタノール,係数_乗用_LPG),125,5,BE1960),5,FALSE)))))</f>
        <v/>
      </c>
      <c r="AN1960" s="461" t="str">
        <f t="shared" si="1110"/>
        <v/>
      </c>
      <c r="AO1960" s="462" t="str">
        <f t="shared" si="1111"/>
        <v/>
      </c>
      <c r="AP1960" s="463" t="str">
        <f t="shared" si="1112"/>
        <v/>
      </c>
      <c r="AQ1960" s="464"/>
      <c r="AR1960" s="619"/>
      <c r="AS1960" s="465" t="str">
        <f t="shared" si="1120"/>
        <v/>
      </c>
      <c r="AT1960" s="465" t="str">
        <f t="shared" si="1121"/>
        <v/>
      </c>
      <c r="AU1960" s="466" t="str">
        <f t="shared" si="1122"/>
        <v/>
      </c>
      <c r="AV1960" s="467" t="str">
        <f t="shared" si="1123"/>
        <v/>
      </c>
      <c r="AW1960" s="467" t="str">
        <f t="shared" si="1124"/>
        <v/>
      </c>
      <c r="AX1960" s="467" t="str">
        <f t="shared" si="1125"/>
        <v/>
      </c>
      <c r="AY1960" s="467" t="str">
        <f t="shared" si="1126"/>
        <v/>
      </c>
      <c r="AZ1960" s="467" t="str">
        <f t="shared" si="1127"/>
        <v/>
      </c>
      <c r="BA1960" s="468" t="str">
        <f>IF(AS1960="","",IF(OR(AU1960="",AU1960="-"),"－",IF(OR(AZ1960=8,AZ1960=9),"",IF(OR(AW1960=3,AW1960=4,AW1960=5,AW1960=6),VLOOKUP(AU1960,INDEX((係数_バス貨物_ガソリン,係数_バス貨物_CNG,係数_バス貨物_軽油,係数_バス貨物_メタノール,係数_バス貨物_LPG),MATCH(AY1960,【参考】排出係数!$AI$4:$AI$671,1),1,BE1960):INDEX((係数_バス貨物_ガソリン,係数_バス貨物_CNG,係数_バス貨物_軽油,係数_バス貨物_メタノール,係数_バス貨物_LPG),MATCH(AY1960+1,【参考】排出係数!$AI$4:$AI$671,1)-1,5,BE1960),2,FALSE),IF(OR(AW1960=1,AW1960=2),VLOOKUP(AU1960,INDEX((係数_乗用_ガソリン,係数_乗用_CNG,係数_乗用_軽油,係数_乗用_メタノール,係数_乗用_LPG),1,1,BE1960):INDEX((係数_乗用_ガソリン,係数_乗用_CNG,係数_乗用_軽油,係数_乗用_メタノール,係数_乗用_LPG),125,5,BE1960),2,FALSE))))))</f>
        <v/>
      </c>
      <c r="BB1960" s="468" t="str">
        <f>IF(T1960="","",IF(OR(AU1960="",AU1960="-"),"－",IF(OR(AZ1960=8,AZ1960=9),"",IF(OR(AW1960=3,AW1960=4,AW1960=5,AW1960=6),VLOOKUP(AU1960,INDEX((係数_バス貨物_ガソリン,係数_バス貨物_CNG,係数_バス貨物_軽油,係数_バス貨物_メタノール,係数_バス貨物_LPG),MATCH(AY1960,【参考】排出係数!$AI$4:$AI$671,1),1,BE1960):INDEX((係数_バス貨物_ガソリン,係数_バス貨物_CNG,係数_バス貨物_軽油,係数_バス貨物_メタノール,係数_バス貨物_LPG),MATCH(AY1960+1,【参考】排出係数!$AI$4:$AI$671,1)-1,5,BE1960),3,FALSE),IF(OR(AW1960=1,AW1960=2),VLOOKUP(AU1960,INDEX((係数_乗用_ガソリン,係数_乗用_CNG,係数_乗用_軽油,係数_乗用_メタノール,係数_乗用_LPG),1,1,BE1960):INDEX((係数_乗用_ガソリン,係数_乗用_CNG,係数_乗用_軽油,係数_乗用_メタノール,係数_乗用_LPG),125,5,BE1960),3,FALSE))))))</f>
        <v/>
      </c>
      <c r="BC1960" s="467" t="str">
        <f t="shared" si="1128"/>
        <v/>
      </c>
      <c r="BD1960" s="567" t="str">
        <f t="shared" si="1129"/>
        <v/>
      </c>
      <c r="BE1960" s="467" t="str">
        <f t="shared" si="1130"/>
        <v/>
      </c>
      <c r="BF1960" s="469" t="str">
        <f t="shared" ca="1" si="1131"/>
        <v/>
      </c>
      <c r="BG1960" s="469" t="str">
        <f t="shared" ca="1" si="1132"/>
        <v/>
      </c>
      <c r="BH1960" s="467" t="str">
        <f t="shared" si="1133"/>
        <v/>
      </c>
      <c r="BI1960" s="467" t="str">
        <f t="shared" ca="1" si="1134"/>
        <v/>
      </c>
      <c r="BJ1960" s="469" t="str">
        <f t="shared" si="1135"/>
        <v/>
      </c>
      <c r="BK1960" s="470" t="str">
        <f t="shared" si="1119"/>
        <v/>
      </c>
      <c r="BL1960" s="775" t="str">
        <f t="shared" si="1136"/>
        <v/>
      </c>
      <c r="BM1960" s="775" t="str">
        <f t="shared" si="1137"/>
        <v/>
      </c>
    </row>
    <row r="1961" spans="1:65">
      <c r="A1961" s="473">
        <v>1905</v>
      </c>
      <c r="B1961" s="132"/>
      <c r="C1961" s="332"/>
      <c r="D1961" s="333"/>
      <c r="E1961" s="333"/>
      <c r="F1961" s="334"/>
      <c r="G1961" s="337"/>
      <c r="H1961" s="131"/>
      <c r="I1961" s="337"/>
      <c r="J1961" s="131"/>
      <c r="K1961" s="458" t="str">
        <f t="shared" si="1100"/>
        <v/>
      </c>
      <c r="L1961" s="458">
        <f t="shared" si="1101"/>
        <v>0</v>
      </c>
      <c r="M1961" s="458">
        <f t="shared" si="1102"/>
        <v>0</v>
      </c>
      <c r="N1961" s="459" t="str">
        <f t="shared" si="1113"/>
        <v/>
      </c>
      <c r="O1961" s="459" t="str">
        <f t="shared" si="1114"/>
        <v/>
      </c>
      <c r="P1961" s="459" t="str">
        <f t="shared" si="1115"/>
        <v/>
      </c>
      <c r="Q1961" s="459" t="str">
        <f t="shared" si="1116"/>
        <v/>
      </c>
      <c r="R1961" s="459" t="str">
        <f t="shared" si="1117"/>
        <v/>
      </c>
      <c r="S1961" s="459" t="str">
        <f t="shared" si="1118"/>
        <v/>
      </c>
      <c r="T1961" s="566" t="str">
        <f t="shared" si="1103"/>
        <v/>
      </c>
      <c r="U1961" s="702"/>
      <c r="V1961" s="132"/>
      <c r="W1961" s="133"/>
      <c r="X1961" s="134"/>
      <c r="Y1961" s="135"/>
      <c r="Z1961" s="137"/>
      <c r="AA1961" s="136"/>
      <c r="AB1961" s="566" t="str">
        <f t="shared" si="1104"/>
        <v/>
      </c>
      <c r="AC1961" s="568" t="str">
        <f t="shared" si="1105"/>
        <v/>
      </c>
      <c r="AD1961" s="137"/>
      <c r="AE1961" s="137"/>
      <c r="AF1961" s="138"/>
      <c r="AG1961" s="138"/>
      <c r="AH1961" s="592" t="str">
        <f t="shared" si="1106"/>
        <v/>
      </c>
      <c r="AI1961" s="592" t="str">
        <f t="shared" si="1107"/>
        <v/>
      </c>
      <c r="AJ1961" s="592" t="str">
        <f t="shared" si="1108"/>
        <v/>
      </c>
      <c r="AK1961" s="460" t="str">
        <f>IF(AU1961="","",IF(OR(AZ1961=8,AZ1961=9),0,IF(OR(AW1961=3,AW1961=4,AW1961=5,AW1961=6),IF(LEFT(BF1961,1)="1",INDEX(係数_NOX・PM低減,MATCH(AY1961,【参考】排出係数!$AI$801:$AI$804,1),1),VLOOKUP(AU1961,INDEX((係数_バス貨物_ガソリン,係数_バス貨物_CNG,係数_バス貨物_軽油,係数_バス貨物_メタノール,係数_バス貨物_LPG),MATCH(AY1961,【参考】排出係数!$AI$4:$AI$671,1),1,BE1961):INDEX((係数_バス貨物_ガソリン,係数_バス貨物_CNG,係数_バス貨物_軽油,係数_バス貨物_メタノール,係数_バス貨物_LPG),MATCH(AY1961+1,【参考】排出係数!$AI$4:$AI$671,1)-1,5,BE1961),4,FALSE)),IF(AND(BE1961=3,LEFT(BF1961,1)="1"),0.48,VLOOKUP(AU1961,INDEX((係数_乗用_ガソリン,係数_乗用_CNG,係数_乗用_軽油,係数_乗用_メタノール,係数_乗用_LPG),1,1,BE1961):INDEX((係数_乗用_ガソリン,係数_乗用_CNG,係数_乗用_軽油,係数_乗用_メタノール,係数_乗用_LPG),125,5,BE1961),4,FALSE)))))</f>
        <v/>
      </c>
      <c r="AL1961" s="461" t="str">
        <f t="shared" si="1109"/>
        <v/>
      </c>
      <c r="AM1961" s="460" t="str">
        <f>IF(AU1961="","",IF(OR(AZ1961=8,AZ1961=9),0,IF(OR(AW1961=3,AW1961=4,AW1961=5,AW1961=6),IF(LEFT(BH1961,1)="1",INDEX(係数_PM低減,MATCH(AY1961,【参考】排出係数!$AI$801:$AI$804,1),MATCH(BI1961,【参考】排出係数!$AL$798:$AO$798,1)),VLOOKUP(AU1961,INDEX((係数_バス貨物_ガソリン,係数_バス貨物_CNG,係数_バス貨物_軽油,係数_バス貨物_メタノール,係数_バス貨物_LPG),MATCH(AY1961,【参考】排出係数!$AI$4:$AI$671,1),1,BE1961):INDEX((係数_バス貨物_ガソリン,係数_バス貨物_CNG,係数_バス貨物_軽油,係数_バス貨物_メタノール,係数_バス貨物_LPG),MATCH(AY1961+1,【参考】排出係数!$AI$4:$AI$671,1)-1,5,BE1961),5,FALSE)),IF(AND(BE1961=3,LEFT(BF1961,1)="1"),0.055,VLOOKUP(AU1961,INDEX((係数_乗用_ガソリン,係数_乗用_CNG,係数_乗用_軽油,係数_乗用_メタノール,係数_乗用_LPG),1,1,BE1961):INDEX((係数_乗用_ガソリン,係数_乗用_CNG,係数_乗用_軽油,係数_乗用_メタノール,係数_乗用_LPG),125,5,BE1961),5,FALSE)))))</f>
        <v/>
      </c>
      <c r="AN1961" s="461" t="str">
        <f t="shared" si="1110"/>
        <v/>
      </c>
      <c r="AO1961" s="462" t="str">
        <f t="shared" si="1111"/>
        <v/>
      </c>
      <c r="AP1961" s="463" t="str">
        <f t="shared" si="1112"/>
        <v/>
      </c>
      <c r="AQ1961" s="464"/>
      <c r="AR1961" s="619"/>
      <c r="AS1961" s="465" t="str">
        <f t="shared" si="1120"/>
        <v/>
      </c>
      <c r="AT1961" s="465" t="str">
        <f t="shared" si="1121"/>
        <v/>
      </c>
      <c r="AU1961" s="466" t="str">
        <f t="shared" si="1122"/>
        <v/>
      </c>
      <c r="AV1961" s="467" t="str">
        <f t="shared" si="1123"/>
        <v/>
      </c>
      <c r="AW1961" s="467" t="str">
        <f t="shared" si="1124"/>
        <v/>
      </c>
      <c r="AX1961" s="467" t="str">
        <f t="shared" si="1125"/>
        <v/>
      </c>
      <c r="AY1961" s="467" t="str">
        <f t="shared" si="1126"/>
        <v/>
      </c>
      <c r="AZ1961" s="467" t="str">
        <f t="shared" si="1127"/>
        <v/>
      </c>
      <c r="BA1961" s="468" t="str">
        <f>IF(AS1961="","",IF(OR(AU1961="",AU1961="-"),"－",IF(OR(AZ1961=8,AZ1961=9),"",IF(OR(AW1961=3,AW1961=4,AW1961=5,AW1961=6),VLOOKUP(AU1961,INDEX((係数_バス貨物_ガソリン,係数_バス貨物_CNG,係数_バス貨物_軽油,係数_バス貨物_メタノール,係数_バス貨物_LPG),MATCH(AY1961,【参考】排出係数!$AI$4:$AI$671,1),1,BE1961):INDEX((係数_バス貨物_ガソリン,係数_バス貨物_CNG,係数_バス貨物_軽油,係数_バス貨物_メタノール,係数_バス貨物_LPG),MATCH(AY1961+1,【参考】排出係数!$AI$4:$AI$671,1)-1,5,BE1961),2,FALSE),IF(OR(AW1961=1,AW1961=2),VLOOKUP(AU1961,INDEX((係数_乗用_ガソリン,係数_乗用_CNG,係数_乗用_軽油,係数_乗用_メタノール,係数_乗用_LPG),1,1,BE1961):INDEX((係数_乗用_ガソリン,係数_乗用_CNG,係数_乗用_軽油,係数_乗用_メタノール,係数_乗用_LPG),125,5,BE1961),2,FALSE))))))</f>
        <v/>
      </c>
      <c r="BB1961" s="468" t="str">
        <f>IF(T1961="","",IF(OR(AU1961="",AU1961="-"),"－",IF(OR(AZ1961=8,AZ1961=9),"",IF(OR(AW1961=3,AW1961=4,AW1961=5,AW1961=6),VLOOKUP(AU1961,INDEX((係数_バス貨物_ガソリン,係数_バス貨物_CNG,係数_バス貨物_軽油,係数_バス貨物_メタノール,係数_バス貨物_LPG),MATCH(AY1961,【参考】排出係数!$AI$4:$AI$671,1),1,BE1961):INDEX((係数_バス貨物_ガソリン,係数_バス貨物_CNG,係数_バス貨物_軽油,係数_バス貨物_メタノール,係数_バス貨物_LPG),MATCH(AY1961+1,【参考】排出係数!$AI$4:$AI$671,1)-1,5,BE1961),3,FALSE),IF(OR(AW1961=1,AW1961=2),VLOOKUP(AU1961,INDEX((係数_乗用_ガソリン,係数_乗用_CNG,係数_乗用_軽油,係数_乗用_メタノール,係数_乗用_LPG),1,1,BE1961):INDEX((係数_乗用_ガソリン,係数_乗用_CNG,係数_乗用_軽油,係数_乗用_メタノール,係数_乗用_LPG),125,5,BE1961),3,FALSE))))))</f>
        <v/>
      </c>
      <c r="BC1961" s="467" t="str">
        <f t="shared" si="1128"/>
        <v/>
      </c>
      <c r="BD1961" s="567" t="str">
        <f t="shared" si="1129"/>
        <v/>
      </c>
      <c r="BE1961" s="467" t="str">
        <f t="shared" si="1130"/>
        <v/>
      </c>
      <c r="BF1961" s="469" t="str">
        <f t="shared" ca="1" si="1131"/>
        <v/>
      </c>
      <c r="BG1961" s="469" t="str">
        <f t="shared" ca="1" si="1132"/>
        <v/>
      </c>
      <c r="BH1961" s="467" t="str">
        <f t="shared" si="1133"/>
        <v/>
      </c>
      <c r="BI1961" s="467" t="str">
        <f t="shared" ca="1" si="1134"/>
        <v/>
      </c>
      <c r="BJ1961" s="469" t="str">
        <f t="shared" si="1135"/>
        <v/>
      </c>
      <c r="BK1961" s="470" t="str">
        <f t="shared" si="1119"/>
        <v/>
      </c>
      <c r="BL1961" s="775" t="str">
        <f t="shared" si="1136"/>
        <v/>
      </c>
      <c r="BM1961" s="775" t="str">
        <f t="shared" si="1137"/>
        <v/>
      </c>
    </row>
    <row r="1962" spans="1:65">
      <c r="A1962" s="473">
        <v>1906</v>
      </c>
      <c r="B1962" s="132"/>
      <c r="C1962" s="332"/>
      <c r="D1962" s="333"/>
      <c r="E1962" s="333"/>
      <c r="F1962" s="334"/>
      <c r="G1962" s="337"/>
      <c r="H1962" s="131"/>
      <c r="I1962" s="337"/>
      <c r="J1962" s="131"/>
      <c r="K1962" s="458" t="str">
        <f t="shared" si="1100"/>
        <v/>
      </c>
      <c r="L1962" s="458">
        <f t="shared" si="1101"/>
        <v>0</v>
      </c>
      <c r="M1962" s="458">
        <f t="shared" si="1102"/>
        <v>0</v>
      </c>
      <c r="N1962" s="459" t="str">
        <f t="shared" si="1113"/>
        <v/>
      </c>
      <c r="O1962" s="459" t="str">
        <f t="shared" si="1114"/>
        <v/>
      </c>
      <c r="P1962" s="459" t="str">
        <f t="shared" si="1115"/>
        <v/>
      </c>
      <c r="Q1962" s="459" t="str">
        <f t="shared" si="1116"/>
        <v/>
      </c>
      <c r="R1962" s="459" t="str">
        <f t="shared" si="1117"/>
        <v/>
      </c>
      <c r="S1962" s="459" t="str">
        <f t="shared" si="1118"/>
        <v/>
      </c>
      <c r="T1962" s="566" t="str">
        <f t="shared" si="1103"/>
        <v/>
      </c>
      <c r="U1962" s="702"/>
      <c r="V1962" s="132"/>
      <c r="W1962" s="133"/>
      <c r="X1962" s="134"/>
      <c r="Y1962" s="135"/>
      <c r="Z1962" s="137"/>
      <c r="AA1962" s="136"/>
      <c r="AB1962" s="566" t="str">
        <f t="shared" si="1104"/>
        <v/>
      </c>
      <c r="AC1962" s="568" t="str">
        <f t="shared" si="1105"/>
        <v/>
      </c>
      <c r="AD1962" s="137"/>
      <c r="AE1962" s="137"/>
      <c r="AF1962" s="138"/>
      <c r="AG1962" s="138"/>
      <c r="AH1962" s="592" t="str">
        <f t="shared" si="1106"/>
        <v/>
      </c>
      <c r="AI1962" s="592" t="str">
        <f t="shared" si="1107"/>
        <v/>
      </c>
      <c r="AJ1962" s="592" t="str">
        <f t="shared" si="1108"/>
        <v/>
      </c>
      <c r="AK1962" s="460" t="str">
        <f>IF(AU1962="","",IF(OR(AZ1962=8,AZ1962=9),0,IF(OR(AW1962=3,AW1962=4,AW1962=5,AW1962=6),IF(LEFT(BF1962,1)="1",INDEX(係数_NOX・PM低減,MATCH(AY1962,【参考】排出係数!$AI$801:$AI$804,1),1),VLOOKUP(AU1962,INDEX((係数_バス貨物_ガソリン,係数_バス貨物_CNG,係数_バス貨物_軽油,係数_バス貨物_メタノール,係数_バス貨物_LPG),MATCH(AY1962,【参考】排出係数!$AI$4:$AI$671,1),1,BE1962):INDEX((係数_バス貨物_ガソリン,係数_バス貨物_CNG,係数_バス貨物_軽油,係数_バス貨物_メタノール,係数_バス貨物_LPG),MATCH(AY1962+1,【参考】排出係数!$AI$4:$AI$671,1)-1,5,BE1962),4,FALSE)),IF(AND(BE1962=3,LEFT(BF1962,1)="1"),0.48,VLOOKUP(AU1962,INDEX((係数_乗用_ガソリン,係数_乗用_CNG,係数_乗用_軽油,係数_乗用_メタノール,係数_乗用_LPG),1,1,BE1962):INDEX((係数_乗用_ガソリン,係数_乗用_CNG,係数_乗用_軽油,係数_乗用_メタノール,係数_乗用_LPG),125,5,BE1962),4,FALSE)))))</f>
        <v/>
      </c>
      <c r="AL1962" s="461" t="str">
        <f t="shared" si="1109"/>
        <v/>
      </c>
      <c r="AM1962" s="460" t="str">
        <f>IF(AU1962="","",IF(OR(AZ1962=8,AZ1962=9),0,IF(OR(AW1962=3,AW1962=4,AW1962=5,AW1962=6),IF(LEFT(BH1962,1)="1",INDEX(係数_PM低減,MATCH(AY1962,【参考】排出係数!$AI$801:$AI$804,1),MATCH(BI1962,【参考】排出係数!$AL$798:$AO$798,1)),VLOOKUP(AU1962,INDEX((係数_バス貨物_ガソリン,係数_バス貨物_CNG,係数_バス貨物_軽油,係数_バス貨物_メタノール,係数_バス貨物_LPG),MATCH(AY1962,【参考】排出係数!$AI$4:$AI$671,1),1,BE1962):INDEX((係数_バス貨物_ガソリン,係数_バス貨物_CNG,係数_バス貨物_軽油,係数_バス貨物_メタノール,係数_バス貨物_LPG),MATCH(AY1962+1,【参考】排出係数!$AI$4:$AI$671,1)-1,5,BE1962),5,FALSE)),IF(AND(BE1962=3,LEFT(BF1962,1)="1"),0.055,VLOOKUP(AU1962,INDEX((係数_乗用_ガソリン,係数_乗用_CNG,係数_乗用_軽油,係数_乗用_メタノール,係数_乗用_LPG),1,1,BE1962):INDEX((係数_乗用_ガソリン,係数_乗用_CNG,係数_乗用_軽油,係数_乗用_メタノール,係数_乗用_LPG),125,5,BE1962),5,FALSE)))))</f>
        <v/>
      </c>
      <c r="AN1962" s="461" t="str">
        <f t="shared" si="1110"/>
        <v/>
      </c>
      <c r="AO1962" s="462" t="str">
        <f t="shared" si="1111"/>
        <v/>
      </c>
      <c r="AP1962" s="463" t="str">
        <f t="shared" si="1112"/>
        <v/>
      </c>
      <c r="AQ1962" s="464"/>
      <c r="AR1962" s="619"/>
      <c r="AS1962" s="465" t="str">
        <f t="shared" si="1120"/>
        <v/>
      </c>
      <c r="AT1962" s="465" t="str">
        <f t="shared" si="1121"/>
        <v/>
      </c>
      <c r="AU1962" s="466" t="str">
        <f t="shared" si="1122"/>
        <v/>
      </c>
      <c r="AV1962" s="467" t="str">
        <f t="shared" si="1123"/>
        <v/>
      </c>
      <c r="AW1962" s="467" t="str">
        <f t="shared" si="1124"/>
        <v/>
      </c>
      <c r="AX1962" s="467" t="str">
        <f t="shared" si="1125"/>
        <v/>
      </c>
      <c r="AY1962" s="467" t="str">
        <f t="shared" si="1126"/>
        <v/>
      </c>
      <c r="AZ1962" s="467" t="str">
        <f t="shared" si="1127"/>
        <v/>
      </c>
      <c r="BA1962" s="468" t="str">
        <f>IF(AS1962="","",IF(OR(AU1962="",AU1962="-"),"－",IF(OR(AZ1962=8,AZ1962=9),"",IF(OR(AW1962=3,AW1962=4,AW1962=5,AW1962=6),VLOOKUP(AU1962,INDEX((係数_バス貨物_ガソリン,係数_バス貨物_CNG,係数_バス貨物_軽油,係数_バス貨物_メタノール,係数_バス貨物_LPG),MATCH(AY1962,【参考】排出係数!$AI$4:$AI$671,1),1,BE1962):INDEX((係数_バス貨物_ガソリン,係数_バス貨物_CNG,係数_バス貨物_軽油,係数_バス貨物_メタノール,係数_バス貨物_LPG),MATCH(AY1962+1,【参考】排出係数!$AI$4:$AI$671,1)-1,5,BE1962),2,FALSE),IF(OR(AW1962=1,AW1962=2),VLOOKUP(AU1962,INDEX((係数_乗用_ガソリン,係数_乗用_CNG,係数_乗用_軽油,係数_乗用_メタノール,係数_乗用_LPG),1,1,BE1962):INDEX((係数_乗用_ガソリン,係数_乗用_CNG,係数_乗用_軽油,係数_乗用_メタノール,係数_乗用_LPG),125,5,BE1962),2,FALSE))))))</f>
        <v/>
      </c>
      <c r="BB1962" s="468" t="str">
        <f>IF(T1962="","",IF(OR(AU1962="",AU1962="-"),"－",IF(OR(AZ1962=8,AZ1962=9),"",IF(OR(AW1962=3,AW1962=4,AW1962=5,AW1962=6),VLOOKUP(AU1962,INDEX((係数_バス貨物_ガソリン,係数_バス貨物_CNG,係数_バス貨物_軽油,係数_バス貨物_メタノール,係数_バス貨物_LPG),MATCH(AY1962,【参考】排出係数!$AI$4:$AI$671,1),1,BE1962):INDEX((係数_バス貨物_ガソリン,係数_バス貨物_CNG,係数_バス貨物_軽油,係数_バス貨物_メタノール,係数_バス貨物_LPG),MATCH(AY1962+1,【参考】排出係数!$AI$4:$AI$671,1)-1,5,BE1962),3,FALSE),IF(OR(AW1962=1,AW1962=2),VLOOKUP(AU1962,INDEX((係数_乗用_ガソリン,係数_乗用_CNG,係数_乗用_軽油,係数_乗用_メタノール,係数_乗用_LPG),1,1,BE1962):INDEX((係数_乗用_ガソリン,係数_乗用_CNG,係数_乗用_軽油,係数_乗用_メタノール,係数_乗用_LPG),125,5,BE1962),3,FALSE))))))</f>
        <v/>
      </c>
      <c r="BC1962" s="467" t="str">
        <f t="shared" si="1128"/>
        <v/>
      </c>
      <c r="BD1962" s="567" t="str">
        <f t="shared" si="1129"/>
        <v/>
      </c>
      <c r="BE1962" s="467" t="str">
        <f t="shared" si="1130"/>
        <v/>
      </c>
      <c r="BF1962" s="469" t="str">
        <f t="shared" ca="1" si="1131"/>
        <v/>
      </c>
      <c r="BG1962" s="469" t="str">
        <f t="shared" ca="1" si="1132"/>
        <v/>
      </c>
      <c r="BH1962" s="467" t="str">
        <f t="shared" si="1133"/>
        <v/>
      </c>
      <c r="BI1962" s="467" t="str">
        <f t="shared" ca="1" si="1134"/>
        <v/>
      </c>
      <c r="BJ1962" s="469" t="str">
        <f t="shared" si="1135"/>
        <v/>
      </c>
      <c r="BK1962" s="470" t="str">
        <f t="shared" si="1119"/>
        <v/>
      </c>
      <c r="BL1962" s="775" t="str">
        <f t="shared" si="1136"/>
        <v/>
      </c>
      <c r="BM1962" s="775" t="str">
        <f t="shared" si="1137"/>
        <v/>
      </c>
    </row>
    <row r="1963" spans="1:65">
      <c r="A1963" s="473">
        <v>1907</v>
      </c>
      <c r="B1963" s="132"/>
      <c r="C1963" s="332"/>
      <c r="D1963" s="333"/>
      <c r="E1963" s="333"/>
      <c r="F1963" s="334"/>
      <c r="G1963" s="337"/>
      <c r="H1963" s="131"/>
      <c r="I1963" s="337"/>
      <c r="J1963" s="131"/>
      <c r="K1963" s="458" t="str">
        <f t="shared" si="1100"/>
        <v/>
      </c>
      <c r="L1963" s="458">
        <f t="shared" si="1101"/>
        <v>0</v>
      </c>
      <c r="M1963" s="458">
        <f t="shared" si="1102"/>
        <v>0</v>
      </c>
      <c r="N1963" s="459" t="str">
        <f t="shared" si="1113"/>
        <v/>
      </c>
      <c r="O1963" s="459" t="str">
        <f t="shared" si="1114"/>
        <v/>
      </c>
      <c r="P1963" s="459" t="str">
        <f t="shared" si="1115"/>
        <v/>
      </c>
      <c r="Q1963" s="459" t="str">
        <f t="shared" si="1116"/>
        <v/>
      </c>
      <c r="R1963" s="459" t="str">
        <f t="shared" si="1117"/>
        <v/>
      </c>
      <c r="S1963" s="459" t="str">
        <f t="shared" si="1118"/>
        <v/>
      </c>
      <c r="T1963" s="566" t="str">
        <f t="shared" si="1103"/>
        <v/>
      </c>
      <c r="U1963" s="702"/>
      <c r="V1963" s="132"/>
      <c r="W1963" s="133"/>
      <c r="X1963" s="134"/>
      <c r="Y1963" s="135"/>
      <c r="Z1963" s="137"/>
      <c r="AA1963" s="136"/>
      <c r="AB1963" s="566" t="str">
        <f t="shared" si="1104"/>
        <v/>
      </c>
      <c r="AC1963" s="568" t="str">
        <f t="shared" si="1105"/>
        <v/>
      </c>
      <c r="AD1963" s="137"/>
      <c r="AE1963" s="137"/>
      <c r="AF1963" s="138"/>
      <c r="AG1963" s="138"/>
      <c r="AH1963" s="592" t="str">
        <f t="shared" si="1106"/>
        <v/>
      </c>
      <c r="AI1963" s="592" t="str">
        <f t="shared" si="1107"/>
        <v/>
      </c>
      <c r="AJ1963" s="592" t="str">
        <f t="shared" si="1108"/>
        <v/>
      </c>
      <c r="AK1963" s="460" t="str">
        <f>IF(AU1963="","",IF(OR(AZ1963=8,AZ1963=9),0,IF(OR(AW1963=3,AW1963=4,AW1963=5,AW1963=6),IF(LEFT(BF1963,1)="1",INDEX(係数_NOX・PM低減,MATCH(AY1963,【参考】排出係数!$AI$801:$AI$804,1),1),VLOOKUP(AU1963,INDEX((係数_バス貨物_ガソリン,係数_バス貨物_CNG,係数_バス貨物_軽油,係数_バス貨物_メタノール,係数_バス貨物_LPG),MATCH(AY1963,【参考】排出係数!$AI$4:$AI$671,1),1,BE1963):INDEX((係数_バス貨物_ガソリン,係数_バス貨物_CNG,係数_バス貨物_軽油,係数_バス貨物_メタノール,係数_バス貨物_LPG),MATCH(AY1963+1,【参考】排出係数!$AI$4:$AI$671,1)-1,5,BE1963),4,FALSE)),IF(AND(BE1963=3,LEFT(BF1963,1)="1"),0.48,VLOOKUP(AU1963,INDEX((係数_乗用_ガソリン,係数_乗用_CNG,係数_乗用_軽油,係数_乗用_メタノール,係数_乗用_LPG),1,1,BE1963):INDEX((係数_乗用_ガソリン,係数_乗用_CNG,係数_乗用_軽油,係数_乗用_メタノール,係数_乗用_LPG),125,5,BE1963),4,FALSE)))))</f>
        <v/>
      </c>
      <c r="AL1963" s="461" t="str">
        <f t="shared" si="1109"/>
        <v/>
      </c>
      <c r="AM1963" s="460" t="str">
        <f>IF(AU1963="","",IF(OR(AZ1963=8,AZ1963=9),0,IF(OR(AW1963=3,AW1963=4,AW1963=5,AW1963=6),IF(LEFT(BH1963,1)="1",INDEX(係数_PM低減,MATCH(AY1963,【参考】排出係数!$AI$801:$AI$804,1),MATCH(BI1963,【参考】排出係数!$AL$798:$AO$798,1)),VLOOKUP(AU1963,INDEX((係数_バス貨物_ガソリン,係数_バス貨物_CNG,係数_バス貨物_軽油,係数_バス貨物_メタノール,係数_バス貨物_LPG),MATCH(AY1963,【参考】排出係数!$AI$4:$AI$671,1),1,BE1963):INDEX((係数_バス貨物_ガソリン,係数_バス貨物_CNG,係数_バス貨物_軽油,係数_バス貨物_メタノール,係数_バス貨物_LPG),MATCH(AY1963+1,【参考】排出係数!$AI$4:$AI$671,1)-1,5,BE1963),5,FALSE)),IF(AND(BE1963=3,LEFT(BF1963,1)="1"),0.055,VLOOKUP(AU1963,INDEX((係数_乗用_ガソリン,係数_乗用_CNG,係数_乗用_軽油,係数_乗用_メタノール,係数_乗用_LPG),1,1,BE1963):INDEX((係数_乗用_ガソリン,係数_乗用_CNG,係数_乗用_軽油,係数_乗用_メタノール,係数_乗用_LPG),125,5,BE1963),5,FALSE)))))</f>
        <v/>
      </c>
      <c r="AN1963" s="461" t="str">
        <f t="shared" si="1110"/>
        <v/>
      </c>
      <c r="AO1963" s="462" t="str">
        <f t="shared" si="1111"/>
        <v/>
      </c>
      <c r="AP1963" s="463" t="str">
        <f t="shared" si="1112"/>
        <v/>
      </c>
      <c r="AQ1963" s="464"/>
      <c r="AR1963" s="619"/>
      <c r="AS1963" s="465" t="str">
        <f t="shared" si="1120"/>
        <v/>
      </c>
      <c r="AT1963" s="465" t="str">
        <f t="shared" si="1121"/>
        <v/>
      </c>
      <c r="AU1963" s="466" t="str">
        <f t="shared" si="1122"/>
        <v/>
      </c>
      <c r="AV1963" s="467" t="str">
        <f t="shared" si="1123"/>
        <v/>
      </c>
      <c r="AW1963" s="467" t="str">
        <f t="shared" si="1124"/>
        <v/>
      </c>
      <c r="AX1963" s="467" t="str">
        <f t="shared" si="1125"/>
        <v/>
      </c>
      <c r="AY1963" s="467" t="str">
        <f t="shared" si="1126"/>
        <v/>
      </c>
      <c r="AZ1963" s="467" t="str">
        <f t="shared" si="1127"/>
        <v/>
      </c>
      <c r="BA1963" s="468" t="str">
        <f>IF(AS1963="","",IF(OR(AU1963="",AU1963="-"),"－",IF(OR(AZ1963=8,AZ1963=9),"",IF(OR(AW1963=3,AW1963=4,AW1963=5,AW1963=6),VLOOKUP(AU1963,INDEX((係数_バス貨物_ガソリン,係数_バス貨物_CNG,係数_バス貨物_軽油,係数_バス貨物_メタノール,係数_バス貨物_LPG),MATCH(AY1963,【参考】排出係数!$AI$4:$AI$671,1),1,BE1963):INDEX((係数_バス貨物_ガソリン,係数_バス貨物_CNG,係数_バス貨物_軽油,係数_バス貨物_メタノール,係数_バス貨物_LPG),MATCH(AY1963+1,【参考】排出係数!$AI$4:$AI$671,1)-1,5,BE1963),2,FALSE),IF(OR(AW1963=1,AW1963=2),VLOOKUP(AU1963,INDEX((係数_乗用_ガソリン,係数_乗用_CNG,係数_乗用_軽油,係数_乗用_メタノール,係数_乗用_LPG),1,1,BE1963):INDEX((係数_乗用_ガソリン,係数_乗用_CNG,係数_乗用_軽油,係数_乗用_メタノール,係数_乗用_LPG),125,5,BE1963),2,FALSE))))))</f>
        <v/>
      </c>
      <c r="BB1963" s="468" t="str">
        <f>IF(T1963="","",IF(OR(AU1963="",AU1963="-"),"－",IF(OR(AZ1963=8,AZ1963=9),"",IF(OR(AW1963=3,AW1963=4,AW1963=5,AW1963=6),VLOOKUP(AU1963,INDEX((係数_バス貨物_ガソリン,係数_バス貨物_CNG,係数_バス貨物_軽油,係数_バス貨物_メタノール,係数_バス貨物_LPG),MATCH(AY1963,【参考】排出係数!$AI$4:$AI$671,1),1,BE1963):INDEX((係数_バス貨物_ガソリン,係数_バス貨物_CNG,係数_バス貨物_軽油,係数_バス貨物_メタノール,係数_バス貨物_LPG),MATCH(AY1963+1,【参考】排出係数!$AI$4:$AI$671,1)-1,5,BE1963),3,FALSE),IF(OR(AW1963=1,AW1963=2),VLOOKUP(AU1963,INDEX((係数_乗用_ガソリン,係数_乗用_CNG,係数_乗用_軽油,係数_乗用_メタノール,係数_乗用_LPG),1,1,BE1963):INDEX((係数_乗用_ガソリン,係数_乗用_CNG,係数_乗用_軽油,係数_乗用_メタノール,係数_乗用_LPG),125,5,BE1963),3,FALSE))))))</f>
        <v/>
      </c>
      <c r="BC1963" s="467" t="str">
        <f t="shared" si="1128"/>
        <v/>
      </c>
      <c r="BD1963" s="567" t="str">
        <f t="shared" si="1129"/>
        <v/>
      </c>
      <c r="BE1963" s="467" t="str">
        <f t="shared" si="1130"/>
        <v/>
      </c>
      <c r="BF1963" s="469" t="str">
        <f t="shared" ca="1" si="1131"/>
        <v/>
      </c>
      <c r="BG1963" s="469" t="str">
        <f t="shared" ca="1" si="1132"/>
        <v/>
      </c>
      <c r="BH1963" s="467" t="str">
        <f t="shared" si="1133"/>
        <v/>
      </c>
      <c r="BI1963" s="467" t="str">
        <f t="shared" ca="1" si="1134"/>
        <v/>
      </c>
      <c r="BJ1963" s="469" t="str">
        <f t="shared" si="1135"/>
        <v/>
      </c>
      <c r="BK1963" s="470" t="str">
        <f t="shared" si="1119"/>
        <v/>
      </c>
      <c r="BL1963" s="775" t="str">
        <f t="shared" si="1136"/>
        <v/>
      </c>
      <c r="BM1963" s="775" t="str">
        <f t="shared" si="1137"/>
        <v/>
      </c>
    </row>
    <row r="1964" spans="1:65">
      <c r="A1964" s="473">
        <v>1908</v>
      </c>
      <c r="B1964" s="132"/>
      <c r="C1964" s="332"/>
      <c r="D1964" s="333"/>
      <c r="E1964" s="333"/>
      <c r="F1964" s="334"/>
      <c r="G1964" s="337"/>
      <c r="H1964" s="131"/>
      <c r="I1964" s="337"/>
      <c r="J1964" s="131"/>
      <c r="K1964" s="458" t="str">
        <f t="shared" ref="K1964:K2027" si="1138">C1964&amp;D1964&amp;E1964&amp;F1964</f>
        <v/>
      </c>
      <c r="L1964" s="458">
        <f t="shared" ref="L1964:L2027" si="1139">IF(G1964&gt;0,DATE((G1964),(H1964+1),0),0)</f>
        <v>0</v>
      </c>
      <c r="M1964" s="458">
        <f t="shared" ref="M1964:M2027" si="1140">IF(I1964&gt;0,DATE((I1964),(J1964+1),0),0)</f>
        <v>0</v>
      </c>
      <c r="N1964" s="459" t="str">
        <f t="shared" si="1113"/>
        <v/>
      </c>
      <c r="O1964" s="459" t="str">
        <f t="shared" si="1114"/>
        <v/>
      </c>
      <c r="P1964" s="459" t="str">
        <f t="shared" si="1115"/>
        <v/>
      </c>
      <c r="Q1964" s="459" t="str">
        <f t="shared" si="1116"/>
        <v/>
      </c>
      <c r="R1964" s="459" t="str">
        <f t="shared" si="1117"/>
        <v/>
      </c>
      <c r="S1964" s="459" t="str">
        <f t="shared" si="1118"/>
        <v/>
      </c>
      <c r="T1964" s="566" t="str">
        <f t="shared" ref="T1964:T2027" si="1141">N1964&amp;O1964&amp;P1964&amp;Q1964&amp;R1964&amp;S1964</f>
        <v/>
      </c>
      <c r="U1964" s="702"/>
      <c r="V1964" s="132"/>
      <c r="W1964" s="133"/>
      <c r="X1964" s="134"/>
      <c r="Y1964" s="135"/>
      <c r="Z1964" s="137"/>
      <c r="AA1964" s="136"/>
      <c r="AB1964" s="566" t="str">
        <f t="shared" ref="AB1964:AB2027" si="1142">IF(AS1964="","",IF(AZ1964=1,VLOOKUP(BA1964,低公害車判別,2,FALSE),IF(AZ1964=3,VLOOKUP(BA1964,低公害車判別,2,FALSE),IF(AZ1964=4,VLOOKUP(BB1964,低公害車判別,2,FALSE),"低公害車"))))</f>
        <v/>
      </c>
      <c r="AC1964" s="568" t="str">
        <f t="shared" ref="AC1964:AC2027" si="1143">IF(AS1964="","",IF((BA1964="")+(BA1964="－"),IF((BB1964="")+(BB1964=0),"－",BB1964),IF((BA1964="PM☆☆☆")+(BA1964="☆及びPM☆☆☆")+(BA1964="☆☆及びPM☆☆☆")+(BA1964="☆☆☆及びPM☆☆☆"),"PM☆☆☆",IF((BA1964="PM☆☆☆☆")+(BA1964="☆及びPM☆☆☆☆")+(BA1964="☆☆及びPM☆☆☆☆")+(BA1964="☆☆☆及びPM☆☆☆☆"),"PM☆☆☆☆",IF((BA1964="新☆")+(BA1964="新NOx☆")+(BA1964="新PM☆"),"新☆（新長期）",BA1964)))))</f>
        <v/>
      </c>
      <c r="AD1964" s="137"/>
      <c r="AE1964" s="137"/>
      <c r="AF1964" s="138"/>
      <c r="AG1964" s="138"/>
      <c r="AH1964" s="592" t="str">
        <f t="shared" ref="AH1964:AH2027" si="1144">IF(C1964="","",IF(LEFT(C1964,2)="横浜","○",""))</f>
        <v/>
      </c>
      <c r="AI1964" s="592" t="str">
        <f t="shared" ref="AI1964:AI2027" si="1145">IF(C1964="","",IF(LEFT(C1964,2)="川崎","○",""))</f>
        <v/>
      </c>
      <c r="AJ1964" s="592" t="str">
        <f t="shared" ref="AJ1964:AJ2027" si="1146">IF(C1964="","",IF(OR(AH1964="○",AI1964="○"),"","○"))</f>
        <v/>
      </c>
      <c r="AK1964" s="460" t="str">
        <f>IF(AU1964="","",IF(OR(AZ1964=8,AZ1964=9),0,IF(OR(AW1964=3,AW1964=4,AW1964=5,AW1964=6),IF(LEFT(BF1964,1)="1",INDEX(係数_NOX・PM低減,MATCH(AY1964,【参考】排出係数!$AI$801:$AI$804,1),1),VLOOKUP(AU1964,INDEX((係数_バス貨物_ガソリン,係数_バス貨物_CNG,係数_バス貨物_軽油,係数_バス貨物_メタノール,係数_バス貨物_LPG),MATCH(AY1964,【参考】排出係数!$AI$4:$AI$671,1),1,BE1964):INDEX((係数_バス貨物_ガソリン,係数_バス貨物_CNG,係数_バス貨物_軽油,係数_バス貨物_メタノール,係数_バス貨物_LPG),MATCH(AY1964+1,【参考】排出係数!$AI$4:$AI$671,1)-1,5,BE1964),4,FALSE)),IF(AND(BE1964=3,LEFT(BF1964,1)="1"),0.48,VLOOKUP(AU1964,INDEX((係数_乗用_ガソリン,係数_乗用_CNG,係数_乗用_軽油,係数_乗用_メタノール,係数_乗用_LPG),1,1,BE1964):INDEX((係数_乗用_ガソリン,係数_乗用_CNG,係数_乗用_軽油,係数_乗用_メタノール,係数_乗用_LPG),125,5,BE1964),4,FALSE)))))</f>
        <v/>
      </c>
      <c r="AL1964" s="461" t="str">
        <f t="shared" ref="AL1964:AL2027" si="1147">IF(AU1964="","",IF(Z1964&lt;=3.5*1000,AD1964*AK1964/1000,IF(Z1964&gt;3.5*1000,AD1964*Z1964*AK1964/1000/1000)))</f>
        <v/>
      </c>
      <c r="AM1964" s="460" t="str">
        <f>IF(AU1964="","",IF(OR(AZ1964=8,AZ1964=9),0,IF(OR(AW1964=3,AW1964=4,AW1964=5,AW1964=6),IF(LEFT(BH1964,1)="1",INDEX(係数_PM低減,MATCH(AY1964,【参考】排出係数!$AI$801:$AI$804,1),MATCH(BI1964,【参考】排出係数!$AL$798:$AO$798,1)),VLOOKUP(AU1964,INDEX((係数_バス貨物_ガソリン,係数_バス貨物_CNG,係数_バス貨物_軽油,係数_バス貨物_メタノール,係数_バス貨物_LPG),MATCH(AY1964,【参考】排出係数!$AI$4:$AI$671,1),1,BE1964):INDEX((係数_バス貨物_ガソリン,係数_バス貨物_CNG,係数_バス貨物_軽油,係数_バス貨物_メタノール,係数_バス貨物_LPG),MATCH(AY1964+1,【参考】排出係数!$AI$4:$AI$671,1)-1,5,BE1964),5,FALSE)),IF(AND(BE1964=3,LEFT(BF1964,1)="1"),0.055,VLOOKUP(AU1964,INDEX((係数_乗用_ガソリン,係数_乗用_CNG,係数_乗用_軽油,係数_乗用_メタノール,係数_乗用_LPG),1,1,BE1964):INDEX((係数_乗用_ガソリン,係数_乗用_CNG,係数_乗用_軽油,係数_乗用_メタノール,係数_乗用_LPG),125,5,BE1964),5,FALSE)))))</f>
        <v/>
      </c>
      <c r="AN1964" s="461" t="str">
        <f t="shared" ref="AN1964:AN2027" si="1148">IF(AU1964="","",IF(Z1964&lt;=3.5*1000,AD1964*AM1964/1000,IF(Z1964&gt;3.5*1000,AD1964*Z1964*AM1964/1000/1000)))</f>
        <v/>
      </c>
      <c r="AO1964" s="462" t="str">
        <f t="shared" ref="AO1964:AO2027" si="1149">IF(AU1964="","",IF(Z1964&lt;500,"車両重量",IF(OR(AZ1964=8,AZ1964=9),0,IF(OR(AZ1964=1,AZ1964=2,AZ1964=11),2.32,IF(OR(AZ1964=4,AZ1964=5,AZ1964=11),2.58,IF(AZ1964=3,3,IF(AZ1964=6,2.23,IF(AZ1964=7,1.37,0))))))))</f>
        <v/>
      </c>
      <c r="AP1964" s="463" t="str">
        <f t="shared" ref="AP1964:AP2027" si="1150">IF(AU1964="","",AE1964*AO1964/1000)</f>
        <v/>
      </c>
      <c r="AQ1964" s="464"/>
      <c r="AR1964" s="619"/>
      <c r="AS1964" s="465" t="str">
        <f t="shared" si="1120"/>
        <v/>
      </c>
      <c r="AT1964" s="465" t="str">
        <f t="shared" si="1121"/>
        <v/>
      </c>
      <c r="AU1964" s="466" t="str">
        <f t="shared" si="1122"/>
        <v/>
      </c>
      <c r="AV1964" s="467" t="str">
        <f t="shared" si="1123"/>
        <v/>
      </c>
      <c r="AW1964" s="467" t="str">
        <f t="shared" si="1124"/>
        <v/>
      </c>
      <c r="AX1964" s="467" t="str">
        <f t="shared" si="1125"/>
        <v/>
      </c>
      <c r="AY1964" s="467" t="str">
        <f t="shared" si="1126"/>
        <v/>
      </c>
      <c r="AZ1964" s="467" t="str">
        <f t="shared" si="1127"/>
        <v/>
      </c>
      <c r="BA1964" s="468" t="str">
        <f>IF(AS1964="","",IF(OR(AU1964="",AU1964="-"),"－",IF(OR(AZ1964=8,AZ1964=9),"",IF(OR(AW1964=3,AW1964=4,AW1964=5,AW1964=6),VLOOKUP(AU1964,INDEX((係数_バス貨物_ガソリン,係数_バス貨物_CNG,係数_バス貨物_軽油,係数_バス貨物_メタノール,係数_バス貨物_LPG),MATCH(AY1964,【参考】排出係数!$AI$4:$AI$671,1),1,BE1964):INDEX((係数_バス貨物_ガソリン,係数_バス貨物_CNG,係数_バス貨物_軽油,係数_バス貨物_メタノール,係数_バス貨物_LPG),MATCH(AY1964+1,【参考】排出係数!$AI$4:$AI$671,1)-1,5,BE1964),2,FALSE),IF(OR(AW1964=1,AW1964=2),VLOOKUP(AU1964,INDEX((係数_乗用_ガソリン,係数_乗用_CNG,係数_乗用_軽油,係数_乗用_メタノール,係数_乗用_LPG),1,1,BE1964):INDEX((係数_乗用_ガソリン,係数_乗用_CNG,係数_乗用_軽油,係数_乗用_メタノール,係数_乗用_LPG),125,5,BE1964),2,FALSE))))))</f>
        <v/>
      </c>
      <c r="BB1964" s="468" t="str">
        <f>IF(T1964="","",IF(OR(AU1964="",AU1964="-"),"－",IF(OR(AZ1964=8,AZ1964=9),"",IF(OR(AW1964=3,AW1964=4,AW1964=5,AW1964=6),VLOOKUP(AU1964,INDEX((係数_バス貨物_ガソリン,係数_バス貨物_CNG,係数_バス貨物_軽油,係数_バス貨物_メタノール,係数_バス貨物_LPG),MATCH(AY1964,【参考】排出係数!$AI$4:$AI$671,1),1,BE1964):INDEX((係数_バス貨物_ガソリン,係数_バス貨物_CNG,係数_バス貨物_軽油,係数_バス貨物_メタノール,係数_バス貨物_LPG),MATCH(AY1964+1,【参考】排出係数!$AI$4:$AI$671,1)-1,5,BE1964),3,FALSE),IF(OR(AW1964=1,AW1964=2),VLOOKUP(AU1964,INDEX((係数_乗用_ガソリン,係数_乗用_CNG,係数_乗用_軽油,係数_乗用_メタノール,係数_乗用_LPG),1,1,BE1964):INDEX((係数_乗用_ガソリン,係数_乗用_CNG,係数_乗用_軽油,係数_乗用_メタノール,係数_乗用_LPG),125,5,BE1964),3,FALSE))))))</f>
        <v/>
      </c>
      <c r="BC1964" s="467" t="str">
        <f t="shared" si="1128"/>
        <v/>
      </c>
      <c r="BD1964" s="567" t="str">
        <f t="shared" si="1129"/>
        <v/>
      </c>
      <c r="BE1964" s="467" t="str">
        <f t="shared" si="1130"/>
        <v/>
      </c>
      <c r="BF1964" s="469" t="str">
        <f t="shared" ca="1" si="1131"/>
        <v/>
      </c>
      <c r="BG1964" s="469" t="str">
        <f t="shared" ca="1" si="1132"/>
        <v/>
      </c>
      <c r="BH1964" s="467" t="str">
        <f t="shared" si="1133"/>
        <v/>
      </c>
      <c r="BI1964" s="467" t="str">
        <f t="shared" ca="1" si="1134"/>
        <v/>
      </c>
      <c r="BJ1964" s="469" t="str">
        <f t="shared" si="1135"/>
        <v/>
      </c>
      <c r="BK1964" s="470" t="str">
        <f t="shared" si="1119"/>
        <v/>
      </c>
      <c r="BL1964" s="775" t="str">
        <f t="shared" si="1136"/>
        <v/>
      </c>
      <c r="BM1964" s="775" t="str">
        <f t="shared" si="1137"/>
        <v/>
      </c>
    </row>
    <row r="1965" spans="1:65">
      <c r="A1965" s="473">
        <v>1909</v>
      </c>
      <c r="B1965" s="132"/>
      <c r="C1965" s="332"/>
      <c r="D1965" s="333"/>
      <c r="E1965" s="333"/>
      <c r="F1965" s="334"/>
      <c r="G1965" s="337"/>
      <c r="H1965" s="131"/>
      <c r="I1965" s="337"/>
      <c r="J1965" s="131"/>
      <c r="K1965" s="458" t="str">
        <f t="shared" si="1138"/>
        <v/>
      </c>
      <c r="L1965" s="458">
        <f t="shared" si="1139"/>
        <v>0</v>
      </c>
      <c r="M1965" s="458">
        <f t="shared" si="1140"/>
        <v>0</v>
      </c>
      <c r="N1965" s="459" t="str">
        <f t="shared" si="1113"/>
        <v/>
      </c>
      <c r="O1965" s="459" t="str">
        <f t="shared" si="1114"/>
        <v/>
      </c>
      <c r="P1965" s="459" t="str">
        <f t="shared" si="1115"/>
        <v/>
      </c>
      <c r="Q1965" s="459" t="str">
        <f t="shared" si="1116"/>
        <v/>
      </c>
      <c r="R1965" s="459" t="str">
        <f t="shared" si="1117"/>
        <v/>
      </c>
      <c r="S1965" s="459" t="str">
        <f t="shared" si="1118"/>
        <v/>
      </c>
      <c r="T1965" s="566" t="str">
        <f t="shared" si="1141"/>
        <v/>
      </c>
      <c r="U1965" s="702"/>
      <c r="V1965" s="132"/>
      <c r="W1965" s="133"/>
      <c r="X1965" s="134"/>
      <c r="Y1965" s="135"/>
      <c r="Z1965" s="137"/>
      <c r="AA1965" s="136"/>
      <c r="AB1965" s="566" t="str">
        <f t="shared" si="1142"/>
        <v/>
      </c>
      <c r="AC1965" s="568" t="str">
        <f t="shared" si="1143"/>
        <v/>
      </c>
      <c r="AD1965" s="137"/>
      <c r="AE1965" s="137"/>
      <c r="AF1965" s="138"/>
      <c r="AG1965" s="138"/>
      <c r="AH1965" s="592" t="str">
        <f t="shared" si="1144"/>
        <v/>
      </c>
      <c r="AI1965" s="592" t="str">
        <f t="shared" si="1145"/>
        <v/>
      </c>
      <c r="AJ1965" s="592" t="str">
        <f t="shared" si="1146"/>
        <v/>
      </c>
      <c r="AK1965" s="460" t="str">
        <f>IF(AU1965="","",IF(OR(AZ1965=8,AZ1965=9),0,IF(OR(AW1965=3,AW1965=4,AW1965=5,AW1965=6),IF(LEFT(BF1965,1)="1",INDEX(係数_NOX・PM低減,MATCH(AY1965,【参考】排出係数!$AI$801:$AI$804,1),1),VLOOKUP(AU1965,INDEX((係数_バス貨物_ガソリン,係数_バス貨物_CNG,係数_バス貨物_軽油,係数_バス貨物_メタノール,係数_バス貨物_LPG),MATCH(AY1965,【参考】排出係数!$AI$4:$AI$671,1),1,BE1965):INDEX((係数_バス貨物_ガソリン,係数_バス貨物_CNG,係数_バス貨物_軽油,係数_バス貨物_メタノール,係数_バス貨物_LPG),MATCH(AY1965+1,【参考】排出係数!$AI$4:$AI$671,1)-1,5,BE1965),4,FALSE)),IF(AND(BE1965=3,LEFT(BF1965,1)="1"),0.48,VLOOKUP(AU1965,INDEX((係数_乗用_ガソリン,係数_乗用_CNG,係数_乗用_軽油,係数_乗用_メタノール,係数_乗用_LPG),1,1,BE1965):INDEX((係数_乗用_ガソリン,係数_乗用_CNG,係数_乗用_軽油,係数_乗用_メタノール,係数_乗用_LPG),125,5,BE1965),4,FALSE)))))</f>
        <v/>
      </c>
      <c r="AL1965" s="461" t="str">
        <f t="shared" si="1147"/>
        <v/>
      </c>
      <c r="AM1965" s="460" t="str">
        <f>IF(AU1965="","",IF(OR(AZ1965=8,AZ1965=9),0,IF(OR(AW1965=3,AW1965=4,AW1965=5,AW1965=6),IF(LEFT(BH1965,1)="1",INDEX(係数_PM低減,MATCH(AY1965,【参考】排出係数!$AI$801:$AI$804,1),MATCH(BI1965,【参考】排出係数!$AL$798:$AO$798,1)),VLOOKUP(AU1965,INDEX((係数_バス貨物_ガソリン,係数_バス貨物_CNG,係数_バス貨物_軽油,係数_バス貨物_メタノール,係数_バス貨物_LPG),MATCH(AY1965,【参考】排出係数!$AI$4:$AI$671,1),1,BE1965):INDEX((係数_バス貨物_ガソリン,係数_バス貨物_CNG,係数_バス貨物_軽油,係数_バス貨物_メタノール,係数_バス貨物_LPG),MATCH(AY1965+1,【参考】排出係数!$AI$4:$AI$671,1)-1,5,BE1965),5,FALSE)),IF(AND(BE1965=3,LEFT(BF1965,1)="1"),0.055,VLOOKUP(AU1965,INDEX((係数_乗用_ガソリン,係数_乗用_CNG,係数_乗用_軽油,係数_乗用_メタノール,係数_乗用_LPG),1,1,BE1965):INDEX((係数_乗用_ガソリン,係数_乗用_CNG,係数_乗用_軽油,係数_乗用_メタノール,係数_乗用_LPG),125,5,BE1965),5,FALSE)))))</f>
        <v/>
      </c>
      <c r="AN1965" s="461" t="str">
        <f t="shared" si="1148"/>
        <v/>
      </c>
      <c r="AO1965" s="462" t="str">
        <f t="shared" si="1149"/>
        <v/>
      </c>
      <c r="AP1965" s="463" t="str">
        <f t="shared" si="1150"/>
        <v/>
      </c>
      <c r="AQ1965" s="464"/>
      <c r="AR1965" s="619"/>
      <c r="AS1965" s="465" t="str">
        <f t="shared" si="1120"/>
        <v/>
      </c>
      <c r="AT1965" s="465" t="str">
        <f t="shared" si="1121"/>
        <v/>
      </c>
      <c r="AU1965" s="466" t="str">
        <f t="shared" si="1122"/>
        <v/>
      </c>
      <c r="AV1965" s="467" t="str">
        <f t="shared" si="1123"/>
        <v/>
      </c>
      <c r="AW1965" s="467" t="str">
        <f t="shared" si="1124"/>
        <v/>
      </c>
      <c r="AX1965" s="467" t="str">
        <f t="shared" si="1125"/>
        <v/>
      </c>
      <c r="AY1965" s="467" t="str">
        <f t="shared" si="1126"/>
        <v/>
      </c>
      <c r="AZ1965" s="467" t="str">
        <f t="shared" si="1127"/>
        <v/>
      </c>
      <c r="BA1965" s="468" t="str">
        <f>IF(AS1965="","",IF(OR(AU1965="",AU1965="-"),"－",IF(OR(AZ1965=8,AZ1965=9),"",IF(OR(AW1965=3,AW1965=4,AW1965=5,AW1965=6),VLOOKUP(AU1965,INDEX((係数_バス貨物_ガソリン,係数_バス貨物_CNG,係数_バス貨物_軽油,係数_バス貨物_メタノール,係数_バス貨物_LPG),MATCH(AY1965,【参考】排出係数!$AI$4:$AI$671,1),1,BE1965):INDEX((係数_バス貨物_ガソリン,係数_バス貨物_CNG,係数_バス貨物_軽油,係数_バス貨物_メタノール,係数_バス貨物_LPG),MATCH(AY1965+1,【参考】排出係数!$AI$4:$AI$671,1)-1,5,BE1965),2,FALSE),IF(OR(AW1965=1,AW1965=2),VLOOKUP(AU1965,INDEX((係数_乗用_ガソリン,係数_乗用_CNG,係数_乗用_軽油,係数_乗用_メタノール,係数_乗用_LPG),1,1,BE1965):INDEX((係数_乗用_ガソリン,係数_乗用_CNG,係数_乗用_軽油,係数_乗用_メタノール,係数_乗用_LPG),125,5,BE1965),2,FALSE))))))</f>
        <v/>
      </c>
      <c r="BB1965" s="468" t="str">
        <f>IF(T1965="","",IF(OR(AU1965="",AU1965="-"),"－",IF(OR(AZ1965=8,AZ1965=9),"",IF(OR(AW1965=3,AW1965=4,AW1965=5,AW1965=6),VLOOKUP(AU1965,INDEX((係数_バス貨物_ガソリン,係数_バス貨物_CNG,係数_バス貨物_軽油,係数_バス貨物_メタノール,係数_バス貨物_LPG),MATCH(AY1965,【参考】排出係数!$AI$4:$AI$671,1),1,BE1965):INDEX((係数_バス貨物_ガソリン,係数_バス貨物_CNG,係数_バス貨物_軽油,係数_バス貨物_メタノール,係数_バス貨物_LPG),MATCH(AY1965+1,【参考】排出係数!$AI$4:$AI$671,1)-1,5,BE1965),3,FALSE),IF(OR(AW1965=1,AW1965=2),VLOOKUP(AU1965,INDEX((係数_乗用_ガソリン,係数_乗用_CNG,係数_乗用_軽油,係数_乗用_メタノール,係数_乗用_LPG),1,1,BE1965):INDEX((係数_乗用_ガソリン,係数_乗用_CNG,係数_乗用_軽油,係数_乗用_メタノール,係数_乗用_LPG),125,5,BE1965),3,FALSE))))))</f>
        <v/>
      </c>
      <c r="BC1965" s="467" t="str">
        <f t="shared" si="1128"/>
        <v/>
      </c>
      <c r="BD1965" s="567" t="str">
        <f t="shared" si="1129"/>
        <v/>
      </c>
      <c r="BE1965" s="467" t="str">
        <f t="shared" si="1130"/>
        <v/>
      </c>
      <c r="BF1965" s="469" t="str">
        <f t="shared" ca="1" si="1131"/>
        <v/>
      </c>
      <c r="BG1965" s="469" t="str">
        <f t="shared" ca="1" si="1132"/>
        <v/>
      </c>
      <c r="BH1965" s="467" t="str">
        <f t="shared" si="1133"/>
        <v/>
      </c>
      <c r="BI1965" s="467" t="str">
        <f t="shared" ca="1" si="1134"/>
        <v/>
      </c>
      <c r="BJ1965" s="469" t="str">
        <f t="shared" si="1135"/>
        <v/>
      </c>
      <c r="BK1965" s="470" t="str">
        <f t="shared" si="1119"/>
        <v/>
      </c>
      <c r="BL1965" s="775" t="str">
        <f t="shared" si="1136"/>
        <v/>
      </c>
      <c r="BM1965" s="775" t="str">
        <f t="shared" si="1137"/>
        <v/>
      </c>
    </row>
    <row r="1966" spans="1:65">
      <c r="A1966" s="473">
        <v>1910</v>
      </c>
      <c r="B1966" s="132"/>
      <c r="C1966" s="332"/>
      <c r="D1966" s="333"/>
      <c r="E1966" s="333"/>
      <c r="F1966" s="334"/>
      <c r="G1966" s="337"/>
      <c r="H1966" s="131"/>
      <c r="I1966" s="337"/>
      <c r="J1966" s="131"/>
      <c r="K1966" s="458" t="str">
        <f t="shared" si="1138"/>
        <v/>
      </c>
      <c r="L1966" s="458">
        <f t="shared" si="1139"/>
        <v>0</v>
      </c>
      <c r="M1966" s="458">
        <f t="shared" si="1140"/>
        <v>0</v>
      </c>
      <c r="N1966" s="459" t="str">
        <f t="shared" si="1113"/>
        <v/>
      </c>
      <c r="O1966" s="459" t="str">
        <f t="shared" si="1114"/>
        <v/>
      </c>
      <c r="P1966" s="459" t="str">
        <f t="shared" si="1115"/>
        <v/>
      </c>
      <c r="Q1966" s="459" t="str">
        <f t="shared" si="1116"/>
        <v/>
      </c>
      <c r="R1966" s="459" t="str">
        <f t="shared" si="1117"/>
        <v/>
      </c>
      <c r="S1966" s="459" t="str">
        <f t="shared" si="1118"/>
        <v/>
      </c>
      <c r="T1966" s="566" t="str">
        <f t="shared" si="1141"/>
        <v/>
      </c>
      <c r="U1966" s="702"/>
      <c r="V1966" s="132"/>
      <c r="W1966" s="133"/>
      <c r="X1966" s="134"/>
      <c r="Y1966" s="135"/>
      <c r="Z1966" s="137"/>
      <c r="AA1966" s="136"/>
      <c r="AB1966" s="566" t="str">
        <f t="shared" si="1142"/>
        <v/>
      </c>
      <c r="AC1966" s="568" t="str">
        <f t="shared" si="1143"/>
        <v/>
      </c>
      <c r="AD1966" s="137"/>
      <c r="AE1966" s="137"/>
      <c r="AF1966" s="138"/>
      <c r="AG1966" s="138"/>
      <c r="AH1966" s="592" t="str">
        <f t="shared" si="1144"/>
        <v/>
      </c>
      <c r="AI1966" s="592" t="str">
        <f t="shared" si="1145"/>
        <v/>
      </c>
      <c r="AJ1966" s="592" t="str">
        <f t="shared" si="1146"/>
        <v/>
      </c>
      <c r="AK1966" s="460" t="str">
        <f>IF(AU1966="","",IF(OR(AZ1966=8,AZ1966=9),0,IF(OR(AW1966=3,AW1966=4,AW1966=5,AW1966=6),IF(LEFT(BF1966,1)="1",INDEX(係数_NOX・PM低減,MATCH(AY1966,【参考】排出係数!$AI$801:$AI$804,1),1),VLOOKUP(AU1966,INDEX((係数_バス貨物_ガソリン,係数_バス貨物_CNG,係数_バス貨物_軽油,係数_バス貨物_メタノール,係数_バス貨物_LPG),MATCH(AY1966,【参考】排出係数!$AI$4:$AI$671,1),1,BE1966):INDEX((係数_バス貨物_ガソリン,係数_バス貨物_CNG,係数_バス貨物_軽油,係数_バス貨物_メタノール,係数_バス貨物_LPG),MATCH(AY1966+1,【参考】排出係数!$AI$4:$AI$671,1)-1,5,BE1966),4,FALSE)),IF(AND(BE1966=3,LEFT(BF1966,1)="1"),0.48,VLOOKUP(AU1966,INDEX((係数_乗用_ガソリン,係数_乗用_CNG,係数_乗用_軽油,係数_乗用_メタノール,係数_乗用_LPG),1,1,BE1966):INDEX((係数_乗用_ガソリン,係数_乗用_CNG,係数_乗用_軽油,係数_乗用_メタノール,係数_乗用_LPG),125,5,BE1966),4,FALSE)))))</f>
        <v/>
      </c>
      <c r="AL1966" s="461" t="str">
        <f t="shared" si="1147"/>
        <v/>
      </c>
      <c r="AM1966" s="460" t="str">
        <f>IF(AU1966="","",IF(OR(AZ1966=8,AZ1966=9),0,IF(OR(AW1966=3,AW1966=4,AW1966=5,AW1966=6),IF(LEFT(BH1966,1)="1",INDEX(係数_PM低減,MATCH(AY1966,【参考】排出係数!$AI$801:$AI$804,1),MATCH(BI1966,【参考】排出係数!$AL$798:$AO$798,1)),VLOOKUP(AU1966,INDEX((係数_バス貨物_ガソリン,係数_バス貨物_CNG,係数_バス貨物_軽油,係数_バス貨物_メタノール,係数_バス貨物_LPG),MATCH(AY1966,【参考】排出係数!$AI$4:$AI$671,1),1,BE1966):INDEX((係数_バス貨物_ガソリン,係数_バス貨物_CNG,係数_バス貨物_軽油,係数_バス貨物_メタノール,係数_バス貨物_LPG),MATCH(AY1966+1,【参考】排出係数!$AI$4:$AI$671,1)-1,5,BE1966),5,FALSE)),IF(AND(BE1966=3,LEFT(BF1966,1)="1"),0.055,VLOOKUP(AU1966,INDEX((係数_乗用_ガソリン,係数_乗用_CNG,係数_乗用_軽油,係数_乗用_メタノール,係数_乗用_LPG),1,1,BE1966):INDEX((係数_乗用_ガソリン,係数_乗用_CNG,係数_乗用_軽油,係数_乗用_メタノール,係数_乗用_LPG),125,5,BE1966),5,FALSE)))))</f>
        <v/>
      </c>
      <c r="AN1966" s="461" t="str">
        <f t="shared" si="1148"/>
        <v/>
      </c>
      <c r="AO1966" s="462" t="str">
        <f t="shared" si="1149"/>
        <v/>
      </c>
      <c r="AP1966" s="463" t="str">
        <f t="shared" si="1150"/>
        <v/>
      </c>
      <c r="AQ1966" s="464"/>
      <c r="AR1966" s="619"/>
      <c r="AS1966" s="465" t="str">
        <f t="shared" si="1120"/>
        <v/>
      </c>
      <c r="AT1966" s="465" t="str">
        <f t="shared" si="1121"/>
        <v/>
      </c>
      <c r="AU1966" s="466" t="str">
        <f t="shared" si="1122"/>
        <v/>
      </c>
      <c r="AV1966" s="467" t="str">
        <f t="shared" si="1123"/>
        <v/>
      </c>
      <c r="AW1966" s="467" t="str">
        <f t="shared" si="1124"/>
        <v/>
      </c>
      <c r="AX1966" s="467" t="str">
        <f t="shared" si="1125"/>
        <v/>
      </c>
      <c r="AY1966" s="467" t="str">
        <f t="shared" si="1126"/>
        <v/>
      </c>
      <c r="AZ1966" s="467" t="str">
        <f t="shared" si="1127"/>
        <v/>
      </c>
      <c r="BA1966" s="468" t="str">
        <f>IF(AS1966="","",IF(OR(AU1966="",AU1966="-"),"－",IF(OR(AZ1966=8,AZ1966=9),"",IF(OR(AW1966=3,AW1966=4,AW1966=5,AW1966=6),VLOOKUP(AU1966,INDEX((係数_バス貨物_ガソリン,係数_バス貨物_CNG,係数_バス貨物_軽油,係数_バス貨物_メタノール,係数_バス貨物_LPG),MATCH(AY1966,【参考】排出係数!$AI$4:$AI$671,1),1,BE1966):INDEX((係数_バス貨物_ガソリン,係数_バス貨物_CNG,係数_バス貨物_軽油,係数_バス貨物_メタノール,係数_バス貨物_LPG),MATCH(AY1966+1,【参考】排出係数!$AI$4:$AI$671,1)-1,5,BE1966),2,FALSE),IF(OR(AW1966=1,AW1966=2),VLOOKUP(AU1966,INDEX((係数_乗用_ガソリン,係数_乗用_CNG,係数_乗用_軽油,係数_乗用_メタノール,係数_乗用_LPG),1,1,BE1966):INDEX((係数_乗用_ガソリン,係数_乗用_CNG,係数_乗用_軽油,係数_乗用_メタノール,係数_乗用_LPG),125,5,BE1966),2,FALSE))))))</f>
        <v/>
      </c>
      <c r="BB1966" s="468" t="str">
        <f>IF(T1966="","",IF(OR(AU1966="",AU1966="-"),"－",IF(OR(AZ1966=8,AZ1966=9),"",IF(OR(AW1966=3,AW1966=4,AW1966=5,AW1966=6),VLOOKUP(AU1966,INDEX((係数_バス貨物_ガソリン,係数_バス貨物_CNG,係数_バス貨物_軽油,係数_バス貨物_メタノール,係数_バス貨物_LPG),MATCH(AY1966,【参考】排出係数!$AI$4:$AI$671,1),1,BE1966):INDEX((係数_バス貨物_ガソリン,係数_バス貨物_CNG,係数_バス貨物_軽油,係数_バス貨物_メタノール,係数_バス貨物_LPG),MATCH(AY1966+1,【参考】排出係数!$AI$4:$AI$671,1)-1,5,BE1966),3,FALSE),IF(OR(AW1966=1,AW1966=2),VLOOKUP(AU1966,INDEX((係数_乗用_ガソリン,係数_乗用_CNG,係数_乗用_軽油,係数_乗用_メタノール,係数_乗用_LPG),1,1,BE1966):INDEX((係数_乗用_ガソリン,係数_乗用_CNG,係数_乗用_軽油,係数_乗用_メタノール,係数_乗用_LPG),125,5,BE1966),3,FALSE))))))</f>
        <v/>
      </c>
      <c r="BC1966" s="467" t="str">
        <f t="shared" si="1128"/>
        <v/>
      </c>
      <c r="BD1966" s="567" t="str">
        <f t="shared" si="1129"/>
        <v/>
      </c>
      <c r="BE1966" s="467" t="str">
        <f t="shared" si="1130"/>
        <v/>
      </c>
      <c r="BF1966" s="469" t="str">
        <f t="shared" ca="1" si="1131"/>
        <v/>
      </c>
      <c r="BG1966" s="469" t="str">
        <f t="shared" ca="1" si="1132"/>
        <v/>
      </c>
      <c r="BH1966" s="467" t="str">
        <f t="shared" si="1133"/>
        <v/>
      </c>
      <c r="BI1966" s="467" t="str">
        <f t="shared" ca="1" si="1134"/>
        <v/>
      </c>
      <c r="BJ1966" s="469" t="str">
        <f t="shared" si="1135"/>
        <v/>
      </c>
      <c r="BK1966" s="470" t="str">
        <f t="shared" si="1119"/>
        <v/>
      </c>
      <c r="BL1966" s="775" t="str">
        <f t="shared" si="1136"/>
        <v/>
      </c>
      <c r="BM1966" s="775" t="str">
        <f t="shared" si="1137"/>
        <v/>
      </c>
    </row>
    <row r="1967" spans="1:65">
      <c r="A1967" s="473">
        <v>1911</v>
      </c>
      <c r="B1967" s="132"/>
      <c r="C1967" s="332"/>
      <c r="D1967" s="333"/>
      <c r="E1967" s="333"/>
      <c r="F1967" s="334"/>
      <c r="G1967" s="337"/>
      <c r="H1967" s="131"/>
      <c r="I1967" s="337"/>
      <c r="J1967" s="131"/>
      <c r="K1967" s="458" t="str">
        <f t="shared" si="1138"/>
        <v/>
      </c>
      <c r="L1967" s="458">
        <f t="shared" si="1139"/>
        <v>0</v>
      </c>
      <c r="M1967" s="458">
        <f t="shared" si="1140"/>
        <v>0</v>
      </c>
      <c r="N1967" s="459" t="str">
        <f t="shared" si="1113"/>
        <v/>
      </c>
      <c r="O1967" s="459" t="str">
        <f t="shared" si="1114"/>
        <v/>
      </c>
      <c r="P1967" s="459" t="str">
        <f t="shared" si="1115"/>
        <v/>
      </c>
      <c r="Q1967" s="459" t="str">
        <f t="shared" si="1116"/>
        <v/>
      </c>
      <c r="R1967" s="459" t="str">
        <f t="shared" si="1117"/>
        <v/>
      </c>
      <c r="S1967" s="459" t="str">
        <f t="shared" si="1118"/>
        <v/>
      </c>
      <c r="T1967" s="566" t="str">
        <f t="shared" si="1141"/>
        <v/>
      </c>
      <c r="U1967" s="702"/>
      <c r="V1967" s="132"/>
      <c r="W1967" s="133"/>
      <c r="X1967" s="134"/>
      <c r="Y1967" s="135"/>
      <c r="Z1967" s="137"/>
      <c r="AA1967" s="136"/>
      <c r="AB1967" s="566" t="str">
        <f t="shared" si="1142"/>
        <v/>
      </c>
      <c r="AC1967" s="568" t="str">
        <f t="shared" si="1143"/>
        <v/>
      </c>
      <c r="AD1967" s="137"/>
      <c r="AE1967" s="137"/>
      <c r="AF1967" s="138"/>
      <c r="AG1967" s="138"/>
      <c r="AH1967" s="592" t="str">
        <f t="shared" si="1144"/>
        <v/>
      </c>
      <c r="AI1967" s="592" t="str">
        <f t="shared" si="1145"/>
        <v/>
      </c>
      <c r="AJ1967" s="592" t="str">
        <f t="shared" si="1146"/>
        <v/>
      </c>
      <c r="AK1967" s="460" t="str">
        <f>IF(AU1967="","",IF(OR(AZ1967=8,AZ1967=9),0,IF(OR(AW1967=3,AW1967=4,AW1967=5,AW1967=6),IF(LEFT(BF1967,1)="1",INDEX(係数_NOX・PM低減,MATCH(AY1967,【参考】排出係数!$AI$801:$AI$804,1),1),VLOOKUP(AU1967,INDEX((係数_バス貨物_ガソリン,係数_バス貨物_CNG,係数_バス貨物_軽油,係数_バス貨物_メタノール,係数_バス貨物_LPG),MATCH(AY1967,【参考】排出係数!$AI$4:$AI$671,1),1,BE1967):INDEX((係数_バス貨物_ガソリン,係数_バス貨物_CNG,係数_バス貨物_軽油,係数_バス貨物_メタノール,係数_バス貨物_LPG),MATCH(AY1967+1,【参考】排出係数!$AI$4:$AI$671,1)-1,5,BE1967),4,FALSE)),IF(AND(BE1967=3,LEFT(BF1967,1)="1"),0.48,VLOOKUP(AU1967,INDEX((係数_乗用_ガソリン,係数_乗用_CNG,係数_乗用_軽油,係数_乗用_メタノール,係数_乗用_LPG),1,1,BE1967):INDEX((係数_乗用_ガソリン,係数_乗用_CNG,係数_乗用_軽油,係数_乗用_メタノール,係数_乗用_LPG),125,5,BE1967),4,FALSE)))))</f>
        <v/>
      </c>
      <c r="AL1967" s="461" t="str">
        <f t="shared" si="1147"/>
        <v/>
      </c>
      <c r="AM1967" s="460" t="str">
        <f>IF(AU1967="","",IF(OR(AZ1967=8,AZ1967=9),0,IF(OR(AW1967=3,AW1967=4,AW1967=5,AW1967=6),IF(LEFT(BH1967,1)="1",INDEX(係数_PM低減,MATCH(AY1967,【参考】排出係数!$AI$801:$AI$804,1),MATCH(BI1967,【参考】排出係数!$AL$798:$AO$798,1)),VLOOKUP(AU1967,INDEX((係数_バス貨物_ガソリン,係数_バス貨物_CNG,係数_バス貨物_軽油,係数_バス貨物_メタノール,係数_バス貨物_LPG),MATCH(AY1967,【参考】排出係数!$AI$4:$AI$671,1),1,BE1967):INDEX((係数_バス貨物_ガソリン,係数_バス貨物_CNG,係数_バス貨物_軽油,係数_バス貨物_メタノール,係数_バス貨物_LPG),MATCH(AY1967+1,【参考】排出係数!$AI$4:$AI$671,1)-1,5,BE1967),5,FALSE)),IF(AND(BE1967=3,LEFT(BF1967,1)="1"),0.055,VLOOKUP(AU1967,INDEX((係数_乗用_ガソリン,係数_乗用_CNG,係数_乗用_軽油,係数_乗用_メタノール,係数_乗用_LPG),1,1,BE1967):INDEX((係数_乗用_ガソリン,係数_乗用_CNG,係数_乗用_軽油,係数_乗用_メタノール,係数_乗用_LPG),125,5,BE1967),5,FALSE)))))</f>
        <v/>
      </c>
      <c r="AN1967" s="461" t="str">
        <f t="shared" si="1148"/>
        <v/>
      </c>
      <c r="AO1967" s="462" t="str">
        <f t="shared" si="1149"/>
        <v/>
      </c>
      <c r="AP1967" s="463" t="str">
        <f t="shared" si="1150"/>
        <v/>
      </c>
      <c r="AQ1967" s="464"/>
      <c r="AR1967" s="619"/>
      <c r="AS1967" s="465" t="str">
        <f t="shared" si="1120"/>
        <v/>
      </c>
      <c r="AT1967" s="465" t="str">
        <f t="shared" si="1121"/>
        <v/>
      </c>
      <c r="AU1967" s="466" t="str">
        <f t="shared" si="1122"/>
        <v/>
      </c>
      <c r="AV1967" s="467" t="str">
        <f t="shared" si="1123"/>
        <v/>
      </c>
      <c r="AW1967" s="467" t="str">
        <f t="shared" si="1124"/>
        <v/>
      </c>
      <c r="AX1967" s="467" t="str">
        <f t="shared" si="1125"/>
        <v/>
      </c>
      <c r="AY1967" s="467" t="str">
        <f t="shared" si="1126"/>
        <v/>
      </c>
      <c r="AZ1967" s="467" t="str">
        <f t="shared" si="1127"/>
        <v/>
      </c>
      <c r="BA1967" s="468" t="str">
        <f>IF(AS1967="","",IF(OR(AU1967="",AU1967="-"),"－",IF(OR(AZ1967=8,AZ1967=9),"",IF(OR(AW1967=3,AW1967=4,AW1967=5,AW1967=6),VLOOKUP(AU1967,INDEX((係数_バス貨物_ガソリン,係数_バス貨物_CNG,係数_バス貨物_軽油,係数_バス貨物_メタノール,係数_バス貨物_LPG),MATCH(AY1967,【参考】排出係数!$AI$4:$AI$671,1),1,BE1967):INDEX((係数_バス貨物_ガソリン,係数_バス貨物_CNG,係数_バス貨物_軽油,係数_バス貨物_メタノール,係数_バス貨物_LPG),MATCH(AY1967+1,【参考】排出係数!$AI$4:$AI$671,1)-1,5,BE1967),2,FALSE),IF(OR(AW1967=1,AW1967=2),VLOOKUP(AU1967,INDEX((係数_乗用_ガソリン,係数_乗用_CNG,係数_乗用_軽油,係数_乗用_メタノール,係数_乗用_LPG),1,1,BE1967):INDEX((係数_乗用_ガソリン,係数_乗用_CNG,係数_乗用_軽油,係数_乗用_メタノール,係数_乗用_LPG),125,5,BE1967),2,FALSE))))))</f>
        <v/>
      </c>
      <c r="BB1967" s="468" t="str">
        <f>IF(T1967="","",IF(OR(AU1967="",AU1967="-"),"－",IF(OR(AZ1967=8,AZ1967=9),"",IF(OR(AW1967=3,AW1967=4,AW1967=5,AW1967=6),VLOOKUP(AU1967,INDEX((係数_バス貨物_ガソリン,係数_バス貨物_CNG,係数_バス貨物_軽油,係数_バス貨物_メタノール,係数_バス貨物_LPG),MATCH(AY1967,【参考】排出係数!$AI$4:$AI$671,1),1,BE1967):INDEX((係数_バス貨物_ガソリン,係数_バス貨物_CNG,係数_バス貨物_軽油,係数_バス貨物_メタノール,係数_バス貨物_LPG),MATCH(AY1967+1,【参考】排出係数!$AI$4:$AI$671,1)-1,5,BE1967),3,FALSE),IF(OR(AW1967=1,AW1967=2),VLOOKUP(AU1967,INDEX((係数_乗用_ガソリン,係数_乗用_CNG,係数_乗用_軽油,係数_乗用_メタノール,係数_乗用_LPG),1,1,BE1967):INDEX((係数_乗用_ガソリン,係数_乗用_CNG,係数_乗用_軽油,係数_乗用_メタノール,係数_乗用_LPG),125,5,BE1967),3,FALSE))))))</f>
        <v/>
      </c>
      <c r="BC1967" s="467" t="str">
        <f t="shared" si="1128"/>
        <v/>
      </c>
      <c r="BD1967" s="567" t="str">
        <f t="shared" si="1129"/>
        <v/>
      </c>
      <c r="BE1967" s="467" t="str">
        <f t="shared" si="1130"/>
        <v/>
      </c>
      <c r="BF1967" s="469" t="str">
        <f t="shared" ca="1" si="1131"/>
        <v/>
      </c>
      <c r="BG1967" s="469" t="str">
        <f t="shared" ca="1" si="1132"/>
        <v/>
      </c>
      <c r="BH1967" s="467" t="str">
        <f t="shared" si="1133"/>
        <v/>
      </c>
      <c r="BI1967" s="467" t="str">
        <f t="shared" ca="1" si="1134"/>
        <v/>
      </c>
      <c r="BJ1967" s="469" t="str">
        <f t="shared" si="1135"/>
        <v/>
      </c>
      <c r="BK1967" s="470" t="str">
        <f t="shared" si="1119"/>
        <v/>
      </c>
      <c r="BL1967" s="775" t="str">
        <f t="shared" si="1136"/>
        <v/>
      </c>
      <c r="BM1967" s="775" t="str">
        <f t="shared" si="1137"/>
        <v/>
      </c>
    </row>
    <row r="1968" spans="1:65">
      <c r="A1968" s="473">
        <v>1912</v>
      </c>
      <c r="B1968" s="132"/>
      <c r="C1968" s="332"/>
      <c r="D1968" s="333"/>
      <c r="E1968" s="333"/>
      <c r="F1968" s="334"/>
      <c r="G1968" s="337"/>
      <c r="H1968" s="131"/>
      <c r="I1968" s="337"/>
      <c r="J1968" s="131"/>
      <c r="K1968" s="458" t="str">
        <f t="shared" si="1138"/>
        <v/>
      </c>
      <c r="L1968" s="458">
        <f t="shared" si="1139"/>
        <v>0</v>
      </c>
      <c r="M1968" s="458">
        <f t="shared" si="1140"/>
        <v>0</v>
      </c>
      <c r="N1968" s="459" t="str">
        <f t="shared" si="1113"/>
        <v/>
      </c>
      <c r="O1968" s="459" t="str">
        <f t="shared" si="1114"/>
        <v/>
      </c>
      <c r="P1968" s="459" t="str">
        <f t="shared" si="1115"/>
        <v/>
      </c>
      <c r="Q1968" s="459" t="str">
        <f t="shared" si="1116"/>
        <v/>
      </c>
      <c r="R1968" s="459" t="str">
        <f t="shared" si="1117"/>
        <v/>
      </c>
      <c r="S1968" s="459" t="str">
        <f t="shared" si="1118"/>
        <v/>
      </c>
      <c r="T1968" s="566" t="str">
        <f t="shared" si="1141"/>
        <v/>
      </c>
      <c r="U1968" s="702"/>
      <c r="V1968" s="132"/>
      <c r="W1968" s="133"/>
      <c r="X1968" s="134"/>
      <c r="Y1968" s="135"/>
      <c r="Z1968" s="137"/>
      <c r="AA1968" s="136"/>
      <c r="AB1968" s="566" t="str">
        <f t="shared" si="1142"/>
        <v/>
      </c>
      <c r="AC1968" s="568" t="str">
        <f t="shared" si="1143"/>
        <v/>
      </c>
      <c r="AD1968" s="137"/>
      <c r="AE1968" s="137"/>
      <c r="AF1968" s="138"/>
      <c r="AG1968" s="138"/>
      <c r="AH1968" s="592" t="str">
        <f t="shared" si="1144"/>
        <v/>
      </c>
      <c r="AI1968" s="592" t="str">
        <f t="shared" si="1145"/>
        <v/>
      </c>
      <c r="AJ1968" s="592" t="str">
        <f t="shared" si="1146"/>
        <v/>
      </c>
      <c r="AK1968" s="460" t="str">
        <f>IF(AU1968="","",IF(OR(AZ1968=8,AZ1968=9),0,IF(OR(AW1968=3,AW1968=4,AW1968=5,AW1968=6),IF(LEFT(BF1968,1)="1",INDEX(係数_NOX・PM低減,MATCH(AY1968,【参考】排出係数!$AI$801:$AI$804,1),1),VLOOKUP(AU1968,INDEX((係数_バス貨物_ガソリン,係数_バス貨物_CNG,係数_バス貨物_軽油,係数_バス貨物_メタノール,係数_バス貨物_LPG),MATCH(AY1968,【参考】排出係数!$AI$4:$AI$671,1),1,BE1968):INDEX((係数_バス貨物_ガソリン,係数_バス貨物_CNG,係数_バス貨物_軽油,係数_バス貨物_メタノール,係数_バス貨物_LPG),MATCH(AY1968+1,【参考】排出係数!$AI$4:$AI$671,1)-1,5,BE1968),4,FALSE)),IF(AND(BE1968=3,LEFT(BF1968,1)="1"),0.48,VLOOKUP(AU1968,INDEX((係数_乗用_ガソリン,係数_乗用_CNG,係数_乗用_軽油,係数_乗用_メタノール,係数_乗用_LPG),1,1,BE1968):INDEX((係数_乗用_ガソリン,係数_乗用_CNG,係数_乗用_軽油,係数_乗用_メタノール,係数_乗用_LPG),125,5,BE1968),4,FALSE)))))</f>
        <v/>
      </c>
      <c r="AL1968" s="461" t="str">
        <f t="shared" si="1147"/>
        <v/>
      </c>
      <c r="AM1968" s="460" t="str">
        <f>IF(AU1968="","",IF(OR(AZ1968=8,AZ1968=9),0,IF(OR(AW1968=3,AW1968=4,AW1968=5,AW1968=6),IF(LEFT(BH1968,1)="1",INDEX(係数_PM低減,MATCH(AY1968,【参考】排出係数!$AI$801:$AI$804,1),MATCH(BI1968,【参考】排出係数!$AL$798:$AO$798,1)),VLOOKUP(AU1968,INDEX((係数_バス貨物_ガソリン,係数_バス貨物_CNG,係数_バス貨物_軽油,係数_バス貨物_メタノール,係数_バス貨物_LPG),MATCH(AY1968,【参考】排出係数!$AI$4:$AI$671,1),1,BE1968):INDEX((係数_バス貨物_ガソリン,係数_バス貨物_CNG,係数_バス貨物_軽油,係数_バス貨物_メタノール,係数_バス貨物_LPG),MATCH(AY1968+1,【参考】排出係数!$AI$4:$AI$671,1)-1,5,BE1968),5,FALSE)),IF(AND(BE1968=3,LEFT(BF1968,1)="1"),0.055,VLOOKUP(AU1968,INDEX((係数_乗用_ガソリン,係数_乗用_CNG,係数_乗用_軽油,係数_乗用_メタノール,係数_乗用_LPG),1,1,BE1968):INDEX((係数_乗用_ガソリン,係数_乗用_CNG,係数_乗用_軽油,係数_乗用_メタノール,係数_乗用_LPG),125,5,BE1968),5,FALSE)))))</f>
        <v/>
      </c>
      <c r="AN1968" s="461" t="str">
        <f t="shared" si="1148"/>
        <v/>
      </c>
      <c r="AO1968" s="462" t="str">
        <f t="shared" si="1149"/>
        <v/>
      </c>
      <c r="AP1968" s="463" t="str">
        <f t="shared" si="1150"/>
        <v/>
      </c>
      <c r="AQ1968" s="464"/>
      <c r="AR1968" s="619"/>
      <c r="AS1968" s="465" t="str">
        <f t="shared" si="1120"/>
        <v/>
      </c>
      <c r="AT1968" s="465" t="str">
        <f t="shared" si="1121"/>
        <v/>
      </c>
      <c r="AU1968" s="466" t="str">
        <f t="shared" si="1122"/>
        <v/>
      </c>
      <c r="AV1968" s="467" t="str">
        <f t="shared" si="1123"/>
        <v/>
      </c>
      <c r="AW1968" s="467" t="str">
        <f t="shared" si="1124"/>
        <v/>
      </c>
      <c r="AX1968" s="467" t="str">
        <f t="shared" si="1125"/>
        <v/>
      </c>
      <c r="AY1968" s="467" t="str">
        <f t="shared" si="1126"/>
        <v/>
      </c>
      <c r="AZ1968" s="467" t="str">
        <f t="shared" si="1127"/>
        <v/>
      </c>
      <c r="BA1968" s="468" t="str">
        <f>IF(AS1968="","",IF(OR(AU1968="",AU1968="-"),"－",IF(OR(AZ1968=8,AZ1968=9),"",IF(OR(AW1968=3,AW1968=4,AW1968=5,AW1968=6),VLOOKUP(AU1968,INDEX((係数_バス貨物_ガソリン,係数_バス貨物_CNG,係数_バス貨物_軽油,係数_バス貨物_メタノール,係数_バス貨物_LPG),MATCH(AY1968,【参考】排出係数!$AI$4:$AI$671,1),1,BE1968):INDEX((係数_バス貨物_ガソリン,係数_バス貨物_CNG,係数_バス貨物_軽油,係数_バス貨物_メタノール,係数_バス貨物_LPG),MATCH(AY1968+1,【参考】排出係数!$AI$4:$AI$671,1)-1,5,BE1968),2,FALSE),IF(OR(AW1968=1,AW1968=2),VLOOKUP(AU1968,INDEX((係数_乗用_ガソリン,係数_乗用_CNG,係数_乗用_軽油,係数_乗用_メタノール,係数_乗用_LPG),1,1,BE1968):INDEX((係数_乗用_ガソリン,係数_乗用_CNG,係数_乗用_軽油,係数_乗用_メタノール,係数_乗用_LPG),125,5,BE1968),2,FALSE))))))</f>
        <v/>
      </c>
      <c r="BB1968" s="468" t="str">
        <f>IF(T1968="","",IF(OR(AU1968="",AU1968="-"),"－",IF(OR(AZ1968=8,AZ1968=9),"",IF(OR(AW1968=3,AW1968=4,AW1968=5,AW1968=6),VLOOKUP(AU1968,INDEX((係数_バス貨物_ガソリン,係数_バス貨物_CNG,係数_バス貨物_軽油,係数_バス貨物_メタノール,係数_バス貨物_LPG),MATCH(AY1968,【参考】排出係数!$AI$4:$AI$671,1),1,BE1968):INDEX((係数_バス貨物_ガソリン,係数_バス貨物_CNG,係数_バス貨物_軽油,係数_バス貨物_メタノール,係数_バス貨物_LPG),MATCH(AY1968+1,【参考】排出係数!$AI$4:$AI$671,1)-1,5,BE1968),3,FALSE),IF(OR(AW1968=1,AW1968=2),VLOOKUP(AU1968,INDEX((係数_乗用_ガソリン,係数_乗用_CNG,係数_乗用_軽油,係数_乗用_メタノール,係数_乗用_LPG),1,1,BE1968):INDEX((係数_乗用_ガソリン,係数_乗用_CNG,係数_乗用_軽油,係数_乗用_メタノール,係数_乗用_LPG),125,5,BE1968),3,FALSE))))))</f>
        <v/>
      </c>
      <c r="BC1968" s="467" t="str">
        <f t="shared" si="1128"/>
        <v/>
      </c>
      <c r="BD1968" s="567" t="str">
        <f t="shared" si="1129"/>
        <v/>
      </c>
      <c r="BE1968" s="467" t="str">
        <f t="shared" si="1130"/>
        <v/>
      </c>
      <c r="BF1968" s="469" t="str">
        <f t="shared" ca="1" si="1131"/>
        <v/>
      </c>
      <c r="BG1968" s="469" t="str">
        <f t="shared" ca="1" si="1132"/>
        <v/>
      </c>
      <c r="BH1968" s="467" t="str">
        <f t="shared" si="1133"/>
        <v/>
      </c>
      <c r="BI1968" s="467" t="str">
        <f t="shared" ca="1" si="1134"/>
        <v/>
      </c>
      <c r="BJ1968" s="469" t="str">
        <f t="shared" si="1135"/>
        <v/>
      </c>
      <c r="BK1968" s="470" t="str">
        <f t="shared" si="1119"/>
        <v/>
      </c>
      <c r="BL1968" s="775" t="str">
        <f t="shared" si="1136"/>
        <v/>
      </c>
      <c r="BM1968" s="775" t="str">
        <f t="shared" si="1137"/>
        <v/>
      </c>
    </row>
    <row r="1969" spans="1:65">
      <c r="A1969" s="473">
        <v>1913</v>
      </c>
      <c r="B1969" s="132"/>
      <c r="C1969" s="332"/>
      <c r="D1969" s="333"/>
      <c r="E1969" s="333"/>
      <c r="F1969" s="334"/>
      <c r="G1969" s="337"/>
      <c r="H1969" s="131"/>
      <c r="I1969" s="337"/>
      <c r="J1969" s="131"/>
      <c r="K1969" s="458" t="str">
        <f t="shared" si="1138"/>
        <v/>
      </c>
      <c r="L1969" s="458">
        <f t="shared" si="1139"/>
        <v>0</v>
      </c>
      <c r="M1969" s="458">
        <f t="shared" si="1140"/>
        <v>0</v>
      </c>
      <c r="N1969" s="459" t="str">
        <f t="shared" si="1113"/>
        <v/>
      </c>
      <c r="O1969" s="459" t="str">
        <f t="shared" si="1114"/>
        <v/>
      </c>
      <c r="P1969" s="459" t="str">
        <f t="shared" si="1115"/>
        <v/>
      </c>
      <c r="Q1969" s="459" t="str">
        <f t="shared" si="1116"/>
        <v/>
      </c>
      <c r="R1969" s="459" t="str">
        <f t="shared" si="1117"/>
        <v/>
      </c>
      <c r="S1969" s="459" t="str">
        <f t="shared" si="1118"/>
        <v/>
      </c>
      <c r="T1969" s="566" t="str">
        <f t="shared" si="1141"/>
        <v/>
      </c>
      <c r="U1969" s="702"/>
      <c r="V1969" s="132"/>
      <c r="W1969" s="133"/>
      <c r="X1969" s="134"/>
      <c r="Y1969" s="135"/>
      <c r="Z1969" s="137"/>
      <c r="AA1969" s="136"/>
      <c r="AB1969" s="566" t="str">
        <f t="shared" si="1142"/>
        <v/>
      </c>
      <c r="AC1969" s="568" t="str">
        <f t="shared" si="1143"/>
        <v/>
      </c>
      <c r="AD1969" s="137"/>
      <c r="AE1969" s="137"/>
      <c r="AF1969" s="138"/>
      <c r="AG1969" s="138"/>
      <c r="AH1969" s="592" t="str">
        <f t="shared" si="1144"/>
        <v/>
      </c>
      <c r="AI1969" s="592" t="str">
        <f t="shared" si="1145"/>
        <v/>
      </c>
      <c r="AJ1969" s="592" t="str">
        <f t="shared" si="1146"/>
        <v/>
      </c>
      <c r="AK1969" s="460" t="str">
        <f>IF(AU1969="","",IF(OR(AZ1969=8,AZ1969=9),0,IF(OR(AW1969=3,AW1969=4,AW1969=5,AW1969=6),IF(LEFT(BF1969,1)="1",INDEX(係数_NOX・PM低減,MATCH(AY1969,【参考】排出係数!$AI$801:$AI$804,1),1),VLOOKUP(AU1969,INDEX((係数_バス貨物_ガソリン,係数_バス貨物_CNG,係数_バス貨物_軽油,係数_バス貨物_メタノール,係数_バス貨物_LPG),MATCH(AY1969,【参考】排出係数!$AI$4:$AI$671,1),1,BE1969):INDEX((係数_バス貨物_ガソリン,係数_バス貨物_CNG,係数_バス貨物_軽油,係数_バス貨物_メタノール,係数_バス貨物_LPG),MATCH(AY1969+1,【参考】排出係数!$AI$4:$AI$671,1)-1,5,BE1969),4,FALSE)),IF(AND(BE1969=3,LEFT(BF1969,1)="1"),0.48,VLOOKUP(AU1969,INDEX((係数_乗用_ガソリン,係数_乗用_CNG,係数_乗用_軽油,係数_乗用_メタノール,係数_乗用_LPG),1,1,BE1969):INDEX((係数_乗用_ガソリン,係数_乗用_CNG,係数_乗用_軽油,係数_乗用_メタノール,係数_乗用_LPG),125,5,BE1969),4,FALSE)))))</f>
        <v/>
      </c>
      <c r="AL1969" s="461" t="str">
        <f t="shared" si="1147"/>
        <v/>
      </c>
      <c r="AM1969" s="460" t="str">
        <f>IF(AU1969="","",IF(OR(AZ1969=8,AZ1969=9),0,IF(OR(AW1969=3,AW1969=4,AW1969=5,AW1969=6),IF(LEFT(BH1969,1)="1",INDEX(係数_PM低減,MATCH(AY1969,【参考】排出係数!$AI$801:$AI$804,1),MATCH(BI1969,【参考】排出係数!$AL$798:$AO$798,1)),VLOOKUP(AU1969,INDEX((係数_バス貨物_ガソリン,係数_バス貨物_CNG,係数_バス貨物_軽油,係数_バス貨物_メタノール,係数_バス貨物_LPG),MATCH(AY1969,【参考】排出係数!$AI$4:$AI$671,1),1,BE1969):INDEX((係数_バス貨物_ガソリン,係数_バス貨物_CNG,係数_バス貨物_軽油,係数_バス貨物_メタノール,係数_バス貨物_LPG),MATCH(AY1969+1,【参考】排出係数!$AI$4:$AI$671,1)-1,5,BE1969),5,FALSE)),IF(AND(BE1969=3,LEFT(BF1969,1)="1"),0.055,VLOOKUP(AU1969,INDEX((係数_乗用_ガソリン,係数_乗用_CNG,係数_乗用_軽油,係数_乗用_メタノール,係数_乗用_LPG),1,1,BE1969):INDEX((係数_乗用_ガソリン,係数_乗用_CNG,係数_乗用_軽油,係数_乗用_メタノール,係数_乗用_LPG),125,5,BE1969),5,FALSE)))))</f>
        <v/>
      </c>
      <c r="AN1969" s="461" t="str">
        <f t="shared" si="1148"/>
        <v/>
      </c>
      <c r="AO1969" s="462" t="str">
        <f t="shared" si="1149"/>
        <v/>
      </c>
      <c r="AP1969" s="463" t="str">
        <f t="shared" si="1150"/>
        <v/>
      </c>
      <c r="AQ1969" s="464"/>
      <c r="AR1969" s="619"/>
      <c r="AS1969" s="465" t="str">
        <f t="shared" si="1120"/>
        <v/>
      </c>
      <c r="AT1969" s="465" t="str">
        <f t="shared" si="1121"/>
        <v/>
      </c>
      <c r="AU1969" s="466" t="str">
        <f t="shared" si="1122"/>
        <v/>
      </c>
      <c r="AV1969" s="467" t="str">
        <f t="shared" si="1123"/>
        <v/>
      </c>
      <c r="AW1969" s="467" t="str">
        <f t="shared" si="1124"/>
        <v/>
      </c>
      <c r="AX1969" s="467" t="str">
        <f t="shared" si="1125"/>
        <v/>
      </c>
      <c r="AY1969" s="467" t="str">
        <f t="shared" si="1126"/>
        <v/>
      </c>
      <c r="AZ1969" s="467" t="str">
        <f t="shared" si="1127"/>
        <v/>
      </c>
      <c r="BA1969" s="468" t="str">
        <f>IF(AS1969="","",IF(OR(AU1969="",AU1969="-"),"－",IF(OR(AZ1969=8,AZ1969=9),"",IF(OR(AW1969=3,AW1969=4,AW1969=5,AW1969=6),VLOOKUP(AU1969,INDEX((係数_バス貨物_ガソリン,係数_バス貨物_CNG,係数_バス貨物_軽油,係数_バス貨物_メタノール,係数_バス貨物_LPG),MATCH(AY1969,【参考】排出係数!$AI$4:$AI$671,1),1,BE1969):INDEX((係数_バス貨物_ガソリン,係数_バス貨物_CNG,係数_バス貨物_軽油,係数_バス貨物_メタノール,係数_バス貨物_LPG),MATCH(AY1969+1,【参考】排出係数!$AI$4:$AI$671,1)-1,5,BE1969),2,FALSE),IF(OR(AW1969=1,AW1969=2),VLOOKUP(AU1969,INDEX((係数_乗用_ガソリン,係数_乗用_CNG,係数_乗用_軽油,係数_乗用_メタノール,係数_乗用_LPG),1,1,BE1969):INDEX((係数_乗用_ガソリン,係数_乗用_CNG,係数_乗用_軽油,係数_乗用_メタノール,係数_乗用_LPG),125,5,BE1969),2,FALSE))))))</f>
        <v/>
      </c>
      <c r="BB1969" s="468" t="str">
        <f>IF(T1969="","",IF(OR(AU1969="",AU1969="-"),"－",IF(OR(AZ1969=8,AZ1969=9),"",IF(OR(AW1969=3,AW1969=4,AW1969=5,AW1969=6),VLOOKUP(AU1969,INDEX((係数_バス貨物_ガソリン,係数_バス貨物_CNG,係数_バス貨物_軽油,係数_バス貨物_メタノール,係数_バス貨物_LPG),MATCH(AY1969,【参考】排出係数!$AI$4:$AI$671,1),1,BE1969):INDEX((係数_バス貨物_ガソリン,係数_バス貨物_CNG,係数_バス貨物_軽油,係数_バス貨物_メタノール,係数_バス貨物_LPG),MATCH(AY1969+1,【参考】排出係数!$AI$4:$AI$671,1)-1,5,BE1969),3,FALSE),IF(OR(AW1969=1,AW1969=2),VLOOKUP(AU1969,INDEX((係数_乗用_ガソリン,係数_乗用_CNG,係数_乗用_軽油,係数_乗用_メタノール,係数_乗用_LPG),1,1,BE1969):INDEX((係数_乗用_ガソリン,係数_乗用_CNG,係数_乗用_軽油,係数_乗用_メタノール,係数_乗用_LPG),125,5,BE1969),3,FALSE))))))</f>
        <v/>
      </c>
      <c r="BC1969" s="467" t="str">
        <f t="shared" si="1128"/>
        <v/>
      </c>
      <c r="BD1969" s="567" t="str">
        <f t="shared" si="1129"/>
        <v/>
      </c>
      <c r="BE1969" s="467" t="str">
        <f t="shared" si="1130"/>
        <v/>
      </c>
      <c r="BF1969" s="469" t="str">
        <f t="shared" ca="1" si="1131"/>
        <v/>
      </c>
      <c r="BG1969" s="469" t="str">
        <f t="shared" ca="1" si="1132"/>
        <v/>
      </c>
      <c r="BH1969" s="467" t="str">
        <f t="shared" si="1133"/>
        <v/>
      </c>
      <c r="BI1969" s="467" t="str">
        <f t="shared" ca="1" si="1134"/>
        <v/>
      </c>
      <c r="BJ1969" s="469" t="str">
        <f t="shared" si="1135"/>
        <v/>
      </c>
      <c r="BK1969" s="470" t="str">
        <f t="shared" si="1119"/>
        <v/>
      </c>
      <c r="BL1969" s="775" t="str">
        <f t="shared" si="1136"/>
        <v/>
      </c>
      <c r="BM1969" s="775" t="str">
        <f t="shared" si="1137"/>
        <v/>
      </c>
    </row>
    <row r="1970" spans="1:65">
      <c r="A1970" s="473">
        <v>1914</v>
      </c>
      <c r="B1970" s="132"/>
      <c r="C1970" s="332"/>
      <c r="D1970" s="333"/>
      <c r="E1970" s="333"/>
      <c r="F1970" s="334"/>
      <c r="G1970" s="337"/>
      <c r="H1970" s="131"/>
      <c r="I1970" s="337"/>
      <c r="J1970" s="131"/>
      <c r="K1970" s="458" t="str">
        <f t="shared" si="1138"/>
        <v/>
      </c>
      <c r="L1970" s="458">
        <f t="shared" si="1139"/>
        <v>0</v>
      </c>
      <c r="M1970" s="458">
        <f t="shared" si="1140"/>
        <v>0</v>
      </c>
      <c r="N1970" s="459" t="str">
        <f t="shared" si="1113"/>
        <v/>
      </c>
      <c r="O1970" s="459" t="str">
        <f t="shared" si="1114"/>
        <v/>
      </c>
      <c r="P1970" s="459" t="str">
        <f t="shared" si="1115"/>
        <v/>
      </c>
      <c r="Q1970" s="459" t="str">
        <f t="shared" si="1116"/>
        <v/>
      </c>
      <c r="R1970" s="459" t="str">
        <f t="shared" si="1117"/>
        <v/>
      </c>
      <c r="S1970" s="459" t="str">
        <f t="shared" si="1118"/>
        <v/>
      </c>
      <c r="T1970" s="566" t="str">
        <f t="shared" si="1141"/>
        <v/>
      </c>
      <c r="U1970" s="702"/>
      <c r="V1970" s="132"/>
      <c r="W1970" s="133"/>
      <c r="X1970" s="134"/>
      <c r="Y1970" s="135"/>
      <c r="Z1970" s="137"/>
      <c r="AA1970" s="136"/>
      <c r="AB1970" s="566" t="str">
        <f t="shared" si="1142"/>
        <v/>
      </c>
      <c r="AC1970" s="568" t="str">
        <f t="shared" si="1143"/>
        <v/>
      </c>
      <c r="AD1970" s="137"/>
      <c r="AE1970" s="137"/>
      <c r="AF1970" s="138"/>
      <c r="AG1970" s="138"/>
      <c r="AH1970" s="592" t="str">
        <f t="shared" si="1144"/>
        <v/>
      </c>
      <c r="AI1970" s="592" t="str">
        <f t="shared" si="1145"/>
        <v/>
      </c>
      <c r="AJ1970" s="592" t="str">
        <f t="shared" si="1146"/>
        <v/>
      </c>
      <c r="AK1970" s="460" t="str">
        <f>IF(AU1970="","",IF(OR(AZ1970=8,AZ1970=9),0,IF(OR(AW1970=3,AW1970=4,AW1970=5,AW1970=6),IF(LEFT(BF1970,1)="1",INDEX(係数_NOX・PM低減,MATCH(AY1970,【参考】排出係数!$AI$801:$AI$804,1),1),VLOOKUP(AU1970,INDEX((係数_バス貨物_ガソリン,係数_バス貨物_CNG,係数_バス貨物_軽油,係数_バス貨物_メタノール,係数_バス貨物_LPG),MATCH(AY1970,【参考】排出係数!$AI$4:$AI$671,1),1,BE1970):INDEX((係数_バス貨物_ガソリン,係数_バス貨物_CNG,係数_バス貨物_軽油,係数_バス貨物_メタノール,係数_バス貨物_LPG),MATCH(AY1970+1,【参考】排出係数!$AI$4:$AI$671,1)-1,5,BE1970),4,FALSE)),IF(AND(BE1970=3,LEFT(BF1970,1)="1"),0.48,VLOOKUP(AU1970,INDEX((係数_乗用_ガソリン,係数_乗用_CNG,係数_乗用_軽油,係数_乗用_メタノール,係数_乗用_LPG),1,1,BE1970):INDEX((係数_乗用_ガソリン,係数_乗用_CNG,係数_乗用_軽油,係数_乗用_メタノール,係数_乗用_LPG),125,5,BE1970),4,FALSE)))))</f>
        <v/>
      </c>
      <c r="AL1970" s="461" t="str">
        <f t="shared" si="1147"/>
        <v/>
      </c>
      <c r="AM1970" s="460" t="str">
        <f>IF(AU1970="","",IF(OR(AZ1970=8,AZ1970=9),0,IF(OR(AW1970=3,AW1970=4,AW1970=5,AW1970=6),IF(LEFT(BH1970,1)="1",INDEX(係数_PM低減,MATCH(AY1970,【参考】排出係数!$AI$801:$AI$804,1),MATCH(BI1970,【参考】排出係数!$AL$798:$AO$798,1)),VLOOKUP(AU1970,INDEX((係数_バス貨物_ガソリン,係数_バス貨物_CNG,係数_バス貨物_軽油,係数_バス貨物_メタノール,係数_バス貨物_LPG),MATCH(AY1970,【参考】排出係数!$AI$4:$AI$671,1),1,BE1970):INDEX((係数_バス貨物_ガソリン,係数_バス貨物_CNG,係数_バス貨物_軽油,係数_バス貨物_メタノール,係数_バス貨物_LPG),MATCH(AY1970+1,【参考】排出係数!$AI$4:$AI$671,1)-1,5,BE1970),5,FALSE)),IF(AND(BE1970=3,LEFT(BF1970,1)="1"),0.055,VLOOKUP(AU1970,INDEX((係数_乗用_ガソリン,係数_乗用_CNG,係数_乗用_軽油,係数_乗用_メタノール,係数_乗用_LPG),1,1,BE1970):INDEX((係数_乗用_ガソリン,係数_乗用_CNG,係数_乗用_軽油,係数_乗用_メタノール,係数_乗用_LPG),125,5,BE1970),5,FALSE)))))</f>
        <v/>
      </c>
      <c r="AN1970" s="461" t="str">
        <f t="shared" si="1148"/>
        <v/>
      </c>
      <c r="AO1970" s="462" t="str">
        <f t="shared" si="1149"/>
        <v/>
      </c>
      <c r="AP1970" s="463" t="str">
        <f t="shared" si="1150"/>
        <v/>
      </c>
      <c r="AQ1970" s="464"/>
      <c r="AR1970" s="619"/>
      <c r="AS1970" s="465" t="str">
        <f t="shared" si="1120"/>
        <v/>
      </c>
      <c r="AT1970" s="465" t="str">
        <f t="shared" si="1121"/>
        <v/>
      </c>
      <c r="AU1970" s="466" t="str">
        <f t="shared" si="1122"/>
        <v/>
      </c>
      <c r="AV1970" s="467" t="str">
        <f t="shared" si="1123"/>
        <v/>
      </c>
      <c r="AW1970" s="467" t="str">
        <f t="shared" si="1124"/>
        <v/>
      </c>
      <c r="AX1970" s="467" t="str">
        <f t="shared" si="1125"/>
        <v/>
      </c>
      <c r="AY1970" s="467" t="str">
        <f t="shared" si="1126"/>
        <v/>
      </c>
      <c r="AZ1970" s="467" t="str">
        <f t="shared" si="1127"/>
        <v/>
      </c>
      <c r="BA1970" s="468" t="str">
        <f>IF(AS1970="","",IF(OR(AU1970="",AU1970="-"),"－",IF(OR(AZ1970=8,AZ1970=9),"",IF(OR(AW1970=3,AW1970=4,AW1970=5,AW1970=6),VLOOKUP(AU1970,INDEX((係数_バス貨物_ガソリン,係数_バス貨物_CNG,係数_バス貨物_軽油,係数_バス貨物_メタノール,係数_バス貨物_LPG),MATCH(AY1970,【参考】排出係数!$AI$4:$AI$671,1),1,BE1970):INDEX((係数_バス貨物_ガソリン,係数_バス貨物_CNG,係数_バス貨物_軽油,係数_バス貨物_メタノール,係数_バス貨物_LPG),MATCH(AY1970+1,【参考】排出係数!$AI$4:$AI$671,1)-1,5,BE1970),2,FALSE),IF(OR(AW1970=1,AW1970=2),VLOOKUP(AU1970,INDEX((係数_乗用_ガソリン,係数_乗用_CNG,係数_乗用_軽油,係数_乗用_メタノール,係数_乗用_LPG),1,1,BE1970):INDEX((係数_乗用_ガソリン,係数_乗用_CNG,係数_乗用_軽油,係数_乗用_メタノール,係数_乗用_LPG),125,5,BE1970),2,FALSE))))))</f>
        <v/>
      </c>
      <c r="BB1970" s="468" t="str">
        <f>IF(T1970="","",IF(OR(AU1970="",AU1970="-"),"－",IF(OR(AZ1970=8,AZ1970=9),"",IF(OR(AW1970=3,AW1970=4,AW1970=5,AW1970=6),VLOOKUP(AU1970,INDEX((係数_バス貨物_ガソリン,係数_バス貨物_CNG,係数_バス貨物_軽油,係数_バス貨物_メタノール,係数_バス貨物_LPG),MATCH(AY1970,【参考】排出係数!$AI$4:$AI$671,1),1,BE1970):INDEX((係数_バス貨物_ガソリン,係数_バス貨物_CNG,係数_バス貨物_軽油,係数_バス貨物_メタノール,係数_バス貨物_LPG),MATCH(AY1970+1,【参考】排出係数!$AI$4:$AI$671,1)-1,5,BE1970),3,FALSE),IF(OR(AW1970=1,AW1970=2),VLOOKUP(AU1970,INDEX((係数_乗用_ガソリン,係数_乗用_CNG,係数_乗用_軽油,係数_乗用_メタノール,係数_乗用_LPG),1,1,BE1970):INDEX((係数_乗用_ガソリン,係数_乗用_CNG,係数_乗用_軽油,係数_乗用_メタノール,係数_乗用_LPG),125,5,BE1970),3,FALSE))))))</f>
        <v/>
      </c>
      <c r="BC1970" s="467" t="str">
        <f t="shared" si="1128"/>
        <v/>
      </c>
      <c r="BD1970" s="567" t="str">
        <f t="shared" si="1129"/>
        <v/>
      </c>
      <c r="BE1970" s="467" t="str">
        <f t="shared" si="1130"/>
        <v/>
      </c>
      <c r="BF1970" s="469" t="str">
        <f t="shared" ca="1" si="1131"/>
        <v/>
      </c>
      <c r="BG1970" s="469" t="str">
        <f t="shared" ca="1" si="1132"/>
        <v/>
      </c>
      <c r="BH1970" s="467" t="str">
        <f t="shared" si="1133"/>
        <v/>
      </c>
      <c r="BI1970" s="467" t="str">
        <f t="shared" ca="1" si="1134"/>
        <v/>
      </c>
      <c r="BJ1970" s="469" t="str">
        <f t="shared" si="1135"/>
        <v/>
      </c>
      <c r="BK1970" s="470" t="str">
        <f t="shared" si="1119"/>
        <v/>
      </c>
      <c r="BL1970" s="775" t="str">
        <f t="shared" si="1136"/>
        <v/>
      </c>
      <c r="BM1970" s="775" t="str">
        <f t="shared" si="1137"/>
        <v/>
      </c>
    </row>
    <row r="1971" spans="1:65">
      <c r="A1971" s="473">
        <v>1915</v>
      </c>
      <c r="B1971" s="132"/>
      <c r="C1971" s="332"/>
      <c r="D1971" s="333"/>
      <c r="E1971" s="333"/>
      <c r="F1971" s="334"/>
      <c r="G1971" s="337"/>
      <c r="H1971" s="131"/>
      <c r="I1971" s="337"/>
      <c r="J1971" s="131"/>
      <c r="K1971" s="458" t="str">
        <f t="shared" si="1138"/>
        <v/>
      </c>
      <c r="L1971" s="458">
        <f t="shared" si="1139"/>
        <v>0</v>
      </c>
      <c r="M1971" s="458">
        <f t="shared" si="1140"/>
        <v>0</v>
      </c>
      <c r="N1971" s="459" t="str">
        <f t="shared" si="1113"/>
        <v/>
      </c>
      <c r="O1971" s="459" t="str">
        <f t="shared" si="1114"/>
        <v/>
      </c>
      <c r="P1971" s="459" t="str">
        <f t="shared" si="1115"/>
        <v/>
      </c>
      <c r="Q1971" s="459" t="str">
        <f t="shared" si="1116"/>
        <v/>
      </c>
      <c r="R1971" s="459" t="str">
        <f t="shared" si="1117"/>
        <v/>
      </c>
      <c r="S1971" s="459" t="str">
        <f t="shared" si="1118"/>
        <v/>
      </c>
      <c r="T1971" s="566" t="str">
        <f t="shared" si="1141"/>
        <v/>
      </c>
      <c r="U1971" s="702"/>
      <c r="V1971" s="132"/>
      <c r="W1971" s="133"/>
      <c r="X1971" s="134"/>
      <c r="Y1971" s="135"/>
      <c r="Z1971" s="137"/>
      <c r="AA1971" s="136"/>
      <c r="AB1971" s="566" t="str">
        <f t="shared" si="1142"/>
        <v/>
      </c>
      <c r="AC1971" s="568" t="str">
        <f t="shared" si="1143"/>
        <v/>
      </c>
      <c r="AD1971" s="137"/>
      <c r="AE1971" s="137"/>
      <c r="AF1971" s="138"/>
      <c r="AG1971" s="138"/>
      <c r="AH1971" s="592" t="str">
        <f t="shared" si="1144"/>
        <v/>
      </c>
      <c r="AI1971" s="592" t="str">
        <f t="shared" si="1145"/>
        <v/>
      </c>
      <c r="AJ1971" s="592" t="str">
        <f t="shared" si="1146"/>
        <v/>
      </c>
      <c r="AK1971" s="460" t="str">
        <f>IF(AU1971="","",IF(OR(AZ1971=8,AZ1971=9),0,IF(OR(AW1971=3,AW1971=4,AW1971=5,AW1971=6),IF(LEFT(BF1971,1)="1",INDEX(係数_NOX・PM低減,MATCH(AY1971,【参考】排出係数!$AI$801:$AI$804,1),1),VLOOKUP(AU1971,INDEX((係数_バス貨物_ガソリン,係数_バス貨物_CNG,係数_バス貨物_軽油,係数_バス貨物_メタノール,係数_バス貨物_LPG),MATCH(AY1971,【参考】排出係数!$AI$4:$AI$671,1),1,BE1971):INDEX((係数_バス貨物_ガソリン,係数_バス貨物_CNG,係数_バス貨物_軽油,係数_バス貨物_メタノール,係数_バス貨物_LPG),MATCH(AY1971+1,【参考】排出係数!$AI$4:$AI$671,1)-1,5,BE1971),4,FALSE)),IF(AND(BE1971=3,LEFT(BF1971,1)="1"),0.48,VLOOKUP(AU1971,INDEX((係数_乗用_ガソリン,係数_乗用_CNG,係数_乗用_軽油,係数_乗用_メタノール,係数_乗用_LPG),1,1,BE1971):INDEX((係数_乗用_ガソリン,係数_乗用_CNG,係数_乗用_軽油,係数_乗用_メタノール,係数_乗用_LPG),125,5,BE1971),4,FALSE)))))</f>
        <v/>
      </c>
      <c r="AL1971" s="461" t="str">
        <f t="shared" si="1147"/>
        <v/>
      </c>
      <c r="AM1971" s="460" t="str">
        <f>IF(AU1971="","",IF(OR(AZ1971=8,AZ1971=9),0,IF(OR(AW1971=3,AW1971=4,AW1971=5,AW1971=6),IF(LEFT(BH1971,1)="1",INDEX(係数_PM低減,MATCH(AY1971,【参考】排出係数!$AI$801:$AI$804,1),MATCH(BI1971,【参考】排出係数!$AL$798:$AO$798,1)),VLOOKUP(AU1971,INDEX((係数_バス貨物_ガソリン,係数_バス貨物_CNG,係数_バス貨物_軽油,係数_バス貨物_メタノール,係数_バス貨物_LPG),MATCH(AY1971,【参考】排出係数!$AI$4:$AI$671,1),1,BE1971):INDEX((係数_バス貨物_ガソリン,係数_バス貨物_CNG,係数_バス貨物_軽油,係数_バス貨物_メタノール,係数_バス貨物_LPG),MATCH(AY1971+1,【参考】排出係数!$AI$4:$AI$671,1)-1,5,BE1971),5,FALSE)),IF(AND(BE1971=3,LEFT(BF1971,1)="1"),0.055,VLOOKUP(AU1971,INDEX((係数_乗用_ガソリン,係数_乗用_CNG,係数_乗用_軽油,係数_乗用_メタノール,係数_乗用_LPG),1,1,BE1971):INDEX((係数_乗用_ガソリン,係数_乗用_CNG,係数_乗用_軽油,係数_乗用_メタノール,係数_乗用_LPG),125,5,BE1971),5,FALSE)))))</f>
        <v/>
      </c>
      <c r="AN1971" s="461" t="str">
        <f t="shared" si="1148"/>
        <v/>
      </c>
      <c r="AO1971" s="462" t="str">
        <f t="shared" si="1149"/>
        <v/>
      </c>
      <c r="AP1971" s="463" t="str">
        <f t="shared" si="1150"/>
        <v/>
      </c>
      <c r="AQ1971" s="464"/>
      <c r="AR1971" s="619"/>
      <c r="AS1971" s="465" t="str">
        <f t="shared" si="1120"/>
        <v/>
      </c>
      <c r="AT1971" s="465" t="str">
        <f t="shared" si="1121"/>
        <v/>
      </c>
      <c r="AU1971" s="466" t="str">
        <f t="shared" si="1122"/>
        <v/>
      </c>
      <c r="AV1971" s="467" t="str">
        <f t="shared" si="1123"/>
        <v/>
      </c>
      <c r="AW1971" s="467" t="str">
        <f t="shared" si="1124"/>
        <v/>
      </c>
      <c r="AX1971" s="467" t="str">
        <f t="shared" si="1125"/>
        <v/>
      </c>
      <c r="AY1971" s="467" t="str">
        <f t="shared" si="1126"/>
        <v/>
      </c>
      <c r="AZ1971" s="467" t="str">
        <f t="shared" si="1127"/>
        <v/>
      </c>
      <c r="BA1971" s="468" t="str">
        <f>IF(AS1971="","",IF(OR(AU1971="",AU1971="-"),"－",IF(OR(AZ1971=8,AZ1971=9),"",IF(OR(AW1971=3,AW1971=4,AW1971=5,AW1971=6),VLOOKUP(AU1971,INDEX((係数_バス貨物_ガソリン,係数_バス貨物_CNG,係数_バス貨物_軽油,係数_バス貨物_メタノール,係数_バス貨物_LPG),MATCH(AY1971,【参考】排出係数!$AI$4:$AI$671,1),1,BE1971):INDEX((係数_バス貨物_ガソリン,係数_バス貨物_CNG,係数_バス貨物_軽油,係数_バス貨物_メタノール,係数_バス貨物_LPG),MATCH(AY1971+1,【参考】排出係数!$AI$4:$AI$671,1)-1,5,BE1971),2,FALSE),IF(OR(AW1971=1,AW1971=2),VLOOKUP(AU1971,INDEX((係数_乗用_ガソリン,係数_乗用_CNG,係数_乗用_軽油,係数_乗用_メタノール,係数_乗用_LPG),1,1,BE1971):INDEX((係数_乗用_ガソリン,係数_乗用_CNG,係数_乗用_軽油,係数_乗用_メタノール,係数_乗用_LPG),125,5,BE1971),2,FALSE))))))</f>
        <v/>
      </c>
      <c r="BB1971" s="468" t="str">
        <f>IF(T1971="","",IF(OR(AU1971="",AU1971="-"),"－",IF(OR(AZ1971=8,AZ1971=9),"",IF(OR(AW1971=3,AW1971=4,AW1971=5,AW1971=6),VLOOKUP(AU1971,INDEX((係数_バス貨物_ガソリン,係数_バス貨物_CNG,係数_バス貨物_軽油,係数_バス貨物_メタノール,係数_バス貨物_LPG),MATCH(AY1971,【参考】排出係数!$AI$4:$AI$671,1),1,BE1971):INDEX((係数_バス貨物_ガソリン,係数_バス貨物_CNG,係数_バス貨物_軽油,係数_バス貨物_メタノール,係数_バス貨物_LPG),MATCH(AY1971+1,【参考】排出係数!$AI$4:$AI$671,1)-1,5,BE1971),3,FALSE),IF(OR(AW1971=1,AW1971=2),VLOOKUP(AU1971,INDEX((係数_乗用_ガソリン,係数_乗用_CNG,係数_乗用_軽油,係数_乗用_メタノール,係数_乗用_LPG),1,1,BE1971):INDEX((係数_乗用_ガソリン,係数_乗用_CNG,係数_乗用_軽油,係数_乗用_メタノール,係数_乗用_LPG),125,5,BE1971),3,FALSE))))))</f>
        <v/>
      </c>
      <c r="BC1971" s="467" t="str">
        <f t="shared" si="1128"/>
        <v/>
      </c>
      <c r="BD1971" s="567" t="str">
        <f t="shared" si="1129"/>
        <v/>
      </c>
      <c r="BE1971" s="467" t="str">
        <f t="shared" si="1130"/>
        <v/>
      </c>
      <c r="BF1971" s="469" t="str">
        <f t="shared" ca="1" si="1131"/>
        <v/>
      </c>
      <c r="BG1971" s="469" t="str">
        <f t="shared" ca="1" si="1132"/>
        <v/>
      </c>
      <c r="BH1971" s="467" t="str">
        <f t="shared" si="1133"/>
        <v/>
      </c>
      <c r="BI1971" s="467" t="str">
        <f t="shared" ca="1" si="1134"/>
        <v/>
      </c>
      <c r="BJ1971" s="469" t="str">
        <f t="shared" si="1135"/>
        <v/>
      </c>
      <c r="BK1971" s="470" t="str">
        <f t="shared" si="1119"/>
        <v/>
      </c>
      <c r="BL1971" s="775" t="str">
        <f t="shared" si="1136"/>
        <v/>
      </c>
      <c r="BM1971" s="775" t="str">
        <f t="shared" si="1137"/>
        <v/>
      </c>
    </row>
    <row r="1972" spans="1:65">
      <c r="A1972" s="473">
        <v>1916</v>
      </c>
      <c r="B1972" s="132"/>
      <c r="C1972" s="332"/>
      <c r="D1972" s="333"/>
      <c r="E1972" s="333"/>
      <c r="F1972" s="334"/>
      <c r="G1972" s="337"/>
      <c r="H1972" s="131"/>
      <c r="I1972" s="337"/>
      <c r="J1972" s="131"/>
      <c r="K1972" s="458" t="str">
        <f t="shared" si="1138"/>
        <v/>
      </c>
      <c r="L1972" s="458">
        <f t="shared" si="1139"/>
        <v>0</v>
      </c>
      <c r="M1972" s="458">
        <f t="shared" si="1140"/>
        <v>0</v>
      </c>
      <c r="N1972" s="459" t="str">
        <f t="shared" si="1113"/>
        <v/>
      </c>
      <c r="O1972" s="459" t="str">
        <f t="shared" si="1114"/>
        <v/>
      </c>
      <c r="P1972" s="459" t="str">
        <f t="shared" si="1115"/>
        <v/>
      </c>
      <c r="Q1972" s="459" t="str">
        <f t="shared" si="1116"/>
        <v/>
      </c>
      <c r="R1972" s="459" t="str">
        <f t="shared" si="1117"/>
        <v/>
      </c>
      <c r="S1972" s="459" t="str">
        <f t="shared" si="1118"/>
        <v/>
      </c>
      <c r="T1972" s="566" t="str">
        <f t="shared" si="1141"/>
        <v/>
      </c>
      <c r="U1972" s="702"/>
      <c r="V1972" s="132"/>
      <c r="W1972" s="133"/>
      <c r="X1972" s="134"/>
      <c r="Y1972" s="135"/>
      <c r="Z1972" s="137"/>
      <c r="AA1972" s="136"/>
      <c r="AB1972" s="566" t="str">
        <f t="shared" si="1142"/>
        <v/>
      </c>
      <c r="AC1972" s="568" t="str">
        <f t="shared" si="1143"/>
        <v/>
      </c>
      <c r="AD1972" s="137"/>
      <c r="AE1972" s="137"/>
      <c r="AF1972" s="138"/>
      <c r="AG1972" s="138"/>
      <c r="AH1972" s="592" t="str">
        <f t="shared" si="1144"/>
        <v/>
      </c>
      <c r="AI1972" s="592" t="str">
        <f t="shared" si="1145"/>
        <v/>
      </c>
      <c r="AJ1972" s="592" t="str">
        <f t="shared" si="1146"/>
        <v/>
      </c>
      <c r="AK1972" s="460" t="str">
        <f>IF(AU1972="","",IF(OR(AZ1972=8,AZ1972=9),0,IF(OR(AW1972=3,AW1972=4,AW1972=5,AW1972=6),IF(LEFT(BF1972,1)="1",INDEX(係数_NOX・PM低減,MATCH(AY1972,【参考】排出係数!$AI$801:$AI$804,1),1),VLOOKUP(AU1972,INDEX((係数_バス貨物_ガソリン,係数_バス貨物_CNG,係数_バス貨物_軽油,係数_バス貨物_メタノール,係数_バス貨物_LPG),MATCH(AY1972,【参考】排出係数!$AI$4:$AI$671,1),1,BE1972):INDEX((係数_バス貨物_ガソリン,係数_バス貨物_CNG,係数_バス貨物_軽油,係数_バス貨物_メタノール,係数_バス貨物_LPG),MATCH(AY1972+1,【参考】排出係数!$AI$4:$AI$671,1)-1,5,BE1972),4,FALSE)),IF(AND(BE1972=3,LEFT(BF1972,1)="1"),0.48,VLOOKUP(AU1972,INDEX((係数_乗用_ガソリン,係数_乗用_CNG,係数_乗用_軽油,係数_乗用_メタノール,係数_乗用_LPG),1,1,BE1972):INDEX((係数_乗用_ガソリン,係数_乗用_CNG,係数_乗用_軽油,係数_乗用_メタノール,係数_乗用_LPG),125,5,BE1972),4,FALSE)))))</f>
        <v/>
      </c>
      <c r="AL1972" s="461" t="str">
        <f t="shared" si="1147"/>
        <v/>
      </c>
      <c r="AM1972" s="460" t="str">
        <f>IF(AU1972="","",IF(OR(AZ1972=8,AZ1972=9),0,IF(OR(AW1972=3,AW1972=4,AW1972=5,AW1972=6),IF(LEFT(BH1972,1)="1",INDEX(係数_PM低減,MATCH(AY1972,【参考】排出係数!$AI$801:$AI$804,1),MATCH(BI1972,【参考】排出係数!$AL$798:$AO$798,1)),VLOOKUP(AU1972,INDEX((係数_バス貨物_ガソリン,係数_バス貨物_CNG,係数_バス貨物_軽油,係数_バス貨物_メタノール,係数_バス貨物_LPG),MATCH(AY1972,【参考】排出係数!$AI$4:$AI$671,1),1,BE1972):INDEX((係数_バス貨物_ガソリン,係数_バス貨物_CNG,係数_バス貨物_軽油,係数_バス貨物_メタノール,係数_バス貨物_LPG),MATCH(AY1972+1,【参考】排出係数!$AI$4:$AI$671,1)-1,5,BE1972),5,FALSE)),IF(AND(BE1972=3,LEFT(BF1972,1)="1"),0.055,VLOOKUP(AU1972,INDEX((係数_乗用_ガソリン,係数_乗用_CNG,係数_乗用_軽油,係数_乗用_メタノール,係数_乗用_LPG),1,1,BE1972):INDEX((係数_乗用_ガソリン,係数_乗用_CNG,係数_乗用_軽油,係数_乗用_メタノール,係数_乗用_LPG),125,5,BE1972),5,FALSE)))))</f>
        <v/>
      </c>
      <c r="AN1972" s="461" t="str">
        <f t="shared" si="1148"/>
        <v/>
      </c>
      <c r="AO1972" s="462" t="str">
        <f t="shared" si="1149"/>
        <v/>
      </c>
      <c r="AP1972" s="463" t="str">
        <f t="shared" si="1150"/>
        <v/>
      </c>
      <c r="AQ1972" s="464"/>
      <c r="AR1972" s="619"/>
      <c r="AS1972" s="465" t="str">
        <f t="shared" si="1120"/>
        <v/>
      </c>
      <c r="AT1972" s="465" t="str">
        <f t="shared" si="1121"/>
        <v/>
      </c>
      <c r="AU1972" s="466" t="str">
        <f t="shared" si="1122"/>
        <v/>
      </c>
      <c r="AV1972" s="467" t="str">
        <f t="shared" si="1123"/>
        <v/>
      </c>
      <c r="AW1972" s="467" t="str">
        <f t="shared" si="1124"/>
        <v/>
      </c>
      <c r="AX1972" s="467" t="str">
        <f t="shared" si="1125"/>
        <v/>
      </c>
      <c r="AY1972" s="467" t="str">
        <f t="shared" si="1126"/>
        <v/>
      </c>
      <c r="AZ1972" s="467" t="str">
        <f t="shared" si="1127"/>
        <v/>
      </c>
      <c r="BA1972" s="468" t="str">
        <f>IF(AS1972="","",IF(OR(AU1972="",AU1972="-"),"－",IF(OR(AZ1972=8,AZ1972=9),"",IF(OR(AW1972=3,AW1972=4,AW1972=5,AW1972=6),VLOOKUP(AU1972,INDEX((係数_バス貨物_ガソリン,係数_バス貨物_CNG,係数_バス貨物_軽油,係数_バス貨物_メタノール,係数_バス貨物_LPG),MATCH(AY1972,【参考】排出係数!$AI$4:$AI$671,1),1,BE1972):INDEX((係数_バス貨物_ガソリン,係数_バス貨物_CNG,係数_バス貨物_軽油,係数_バス貨物_メタノール,係数_バス貨物_LPG),MATCH(AY1972+1,【参考】排出係数!$AI$4:$AI$671,1)-1,5,BE1972),2,FALSE),IF(OR(AW1972=1,AW1972=2),VLOOKUP(AU1972,INDEX((係数_乗用_ガソリン,係数_乗用_CNG,係数_乗用_軽油,係数_乗用_メタノール,係数_乗用_LPG),1,1,BE1972):INDEX((係数_乗用_ガソリン,係数_乗用_CNG,係数_乗用_軽油,係数_乗用_メタノール,係数_乗用_LPG),125,5,BE1972),2,FALSE))))))</f>
        <v/>
      </c>
      <c r="BB1972" s="468" t="str">
        <f>IF(T1972="","",IF(OR(AU1972="",AU1972="-"),"－",IF(OR(AZ1972=8,AZ1972=9),"",IF(OR(AW1972=3,AW1972=4,AW1972=5,AW1972=6),VLOOKUP(AU1972,INDEX((係数_バス貨物_ガソリン,係数_バス貨物_CNG,係数_バス貨物_軽油,係数_バス貨物_メタノール,係数_バス貨物_LPG),MATCH(AY1972,【参考】排出係数!$AI$4:$AI$671,1),1,BE1972):INDEX((係数_バス貨物_ガソリン,係数_バス貨物_CNG,係数_バス貨物_軽油,係数_バス貨物_メタノール,係数_バス貨物_LPG),MATCH(AY1972+1,【参考】排出係数!$AI$4:$AI$671,1)-1,5,BE1972),3,FALSE),IF(OR(AW1972=1,AW1972=2),VLOOKUP(AU1972,INDEX((係数_乗用_ガソリン,係数_乗用_CNG,係数_乗用_軽油,係数_乗用_メタノール,係数_乗用_LPG),1,1,BE1972):INDEX((係数_乗用_ガソリン,係数_乗用_CNG,係数_乗用_軽油,係数_乗用_メタノール,係数_乗用_LPG),125,5,BE1972),3,FALSE))))))</f>
        <v/>
      </c>
      <c r="BC1972" s="467" t="str">
        <f t="shared" si="1128"/>
        <v/>
      </c>
      <c r="BD1972" s="567" t="str">
        <f t="shared" si="1129"/>
        <v/>
      </c>
      <c r="BE1972" s="467" t="str">
        <f t="shared" si="1130"/>
        <v/>
      </c>
      <c r="BF1972" s="469" t="str">
        <f t="shared" ca="1" si="1131"/>
        <v/>
      </c>
      <c r="BG1972" s="469" t="str">
        <f t="shared" ca="1" si="1132"/>
        <v/>
      </c>
      <c r="BH1972" s="467" t="str">
        <f t="shared" si="1133"/>
        <v/>
      </c>
      <c r="BI1972" s="467" t="str">
        <f t="shared" ca="1" si="1134"/>
        <v/>
      </c>
      <c r="BJ1972" s="469" t="str">
        <f t="shared" si="1135"/>
        <v/>
      </c>
      <c r="BK1972" s="470" t="str">
        <f t="shared" si="1119"/>
        <v/>
      </c>
      <c r="BL1972" s="775" t="str">
        <f t="shared" si="1136"/>
        <v/>
      </c>
      <c r="BM1972" s="775" t="str">
        <f t="shared" si="1137"/>
        <v/>
      </c>
    </row>
    <row r="1973" spans="1:65">
      <c r="A1973" s="473">
        <v>1917</v>
      </c>
      <c r="B1973" s="132"/>
      <c r="C1973" s="332"/>
      <c r="D1973" s="333"/>
      <c r="E1973" s="333"/>
      <c r="F1973" s="334"/>
      <c r="G1973" s="337"/>
      <c r="H1973" s="131"/>
      <c r="I1973" s="337"/>
      <c r="J1973" s="131"/>
      <c r="K1973" s="458" t="str">
        <f t="shared" si="1138"/>
        <v/>
      </c>
      <c r="L1973" s="458">
        <f t="shared" si="1139"/>
        <v>0</v>
      </c>
      <c r="M1973" s="458">
        <f t="shared" si="1140"/>
        <v>0</v>
      </c>
      <c r="N1973" s="459" t="str">
        <f t="shared" si="1113"/>
        <v/>
      </c>
      <c r="O1973" s="459" t="str">
        <f t="shared" si="1114"/>
        <v/>
      </c>
      <c r="P1973" s="459" t="str">
        <f t="shared" si="1115"/>
        <v/>
      </c>
      <c r="Q1973" s="459" t="str">
        <f t="shared" si="1116"/>
        <v/>
      </c>
      <c r="R1973" s="459" t="str">
        <f t="shared" si="1117"/>
        <v/>
      </c>
      <c r="S1973" s="459" t="str">
        <f t="shared" si="1118"/>
        <v/>
      </c>
      <c r="T1973" s="566" t="str">
        <f t="shared" si="1141"/>
        <v/>
      </c>
      <c r="U1973" s="702"/>
      <c r="V1973" s="132"/>
      <c r="W1973" s="133"/>
      <c r="X1973" s="134"/>
      <c r="Y1973" s="135"/>
      <c r="Z1973" s="137"/>
      <c r="AA1973" s="136"/>
      <c r="AB1973" s="566" t="str">
        <f t="shared" si="1142"/>
        <v/>
      </c>
      <c r="AC1973" s="568" t="str">
        <f t="shared" si="1143"/>
        <v/>
      </c>
      <c r="AD1973" s="137"/>
      <c r="AE1973" s="137"/>
      <c r="AF1973" s="138"/>
      <c r="AG1973" s="138"/>
      <c r="AH1973" s="592" t="str">
        <f t="shared" si="1144"/>
        <v/>
      </c>
      <c r="AI1973" s="592" t="str">
        <f t="shared" si="1145"/>
        <v/>
      </c>
      <c r="AJ1973" s="592" t="str">
        <f t="shared" si="1146"/>
        <v/>
      </c>
      <c r="AK1973" s="460" t="str">
        <f>IF(AU1973="","",IF(OR(AZ1973=8,AZ1973=9),0,IF(OR(AW1973=3,AW1973=4,AW1973=5,AW1973=6),IF(LEFT(BF1973,1)="1",INDEX(係数_NOX・PM低減,MATCH(AY1973,【参考】排出係数!$AI$801:$AI$804,1),1),VLOOKUP(AU1973,INDEX((係数_バス貨物_ガソリン,係数_バス貨物_CNG,係数_バス貨物_軽油,係数_バス貨物_メタノール,係数_バス貨物_LPG),MATCH(AY1973,【参考】排出係数!$AI$4:$AI$671,1),1,BE1973):INDEX((係数_バス貨物_ガソリン,係数_バス貨物_CNG,係数_バス貨物_軽油,係数_バス貨物_メタノール,係数_バス貨物_LPG),MATCH(AY1973+1,【参考】排出係数!$AI$4:$AI$671,1)-1,5,BE1973),4,FALSE)),IF(AND(BE1973=3,LEFT(BF1973,1)="1"),0.48,VLOOKUP(AU1973,INDEX((係数_乗用_ガソリン,係数_乗用_CNG,係数_乗用_軽油,係数_乗用_メタノール,係数_乗用_LPG),1,1,BE1973):INDEX((係数_乗用_ガソリン,係数_乗用_CNG,係数_乗用_軽油,係数_乗用_メタノール,係数_乗用_LPG),125,5,BE1973),4,FALSE)))))</f>
        <v/>
      </c>
      <c r="AL1973" s="461" t="str">
        <f t="shared" si="1147"/>
        <v/>
      </c>
      <c r="AM1973" s="460" t="str">
        <f>IF(AU1973="","",IF(OR(AZ1973=8,AZ1973=9),0,IF(OR(AW1973=3,AW1973=4,AW1973=5,AW1973=6),IF(LEFT(BH1973,1)="1",INDEX(係数_PM低減,MATCH(AY1973,【参考】排出係数!$AI$801:$AI$804,1),MATCH(BI1973,【参考】排出係数!$AL$798:$AO$798,1)),VLOOKUP(AU1973,INDEX((係数_バス貨物_ガソリン,係数_バス貨物_CNG,係数_バス貨物_軽油,係数_バス貨物_メタノール,係数_バス貨物_LPG),MATCH(AY1973,【参考】排出係数!$AI$4:$AI$671,1),1,BE1973):INDEX((係数_バス貨物_ガソリン,係数_バス貨物_CNG,係数_バス貨物_軽油,係数_バス貨物_メタノール,係数_バス貨物_LPG),MATCH(AY1973+1,【参考】排出係数!$AI$4:$AI$671,1)-1,5,BE1973),5,FALSE)),IF(AND(BE1973=3,LEFT(BF1973,1)="1"),0.055,VLOOKUP(AU1973,INDEX((係数_乗用_ガソリン,係数_乗用_CNG,係数_乗用_軽油,係数_乗用_メタノール,係数_乗用_LPG),1,1,BE1973):INDEX((係数_乗用_ガソリン,係数_乗用_CNG,係数_乗用_軽油,係数_乗用_メタノール,係数_乗用_LPG),125,5,BE1973),5,FALSE)))))</f>
        <v/>
      </c>
      <c r="AN1973" s="461" t="str">
        <f t="shared" si="1148"/>
        <v/>
      </c>
      <c r="AO1973" s="462" t="str">
        <f t="shared" si="1149"/>
        <v/>
      </c>
      <c r="AP1973" s="463" t="str">
        <f t="shared" si="1150"/>
        <v/>
      </c>
      <c r="AQ1973" s="464"/>
      <c r="AR1973" s="619"/>
      <c r="AS1973" s="465" t="str">
        <f t="shared" si="1120"/>
        <v/>
      </c>
      <c r="AT1973" s="465" t="str">
        <f t="shared" si="1121"/>
        <v/>
      </c>
      <c r="AU1973" s="466" t="str">
        <f t="shared" si="1122"/>
        <v/>
      </c>
      <c r="AV1973" s="467" t="str">
        <f t="shared" si="1123"/>
        <v/>
      </c>
      <c r="AW1973" s="467" t="str">
        <f t="shared" si="1124"/>
        <v/>
      </c>
      <c r="AX1973" s="467" t="str">
        <f t="shared" si="1125"/>
        <v/>
      </c>
      <c r="AY1973" s="467" t="str">
        <f t="shared" si="1126"/>
        <v/>
      </c>
      <c r="AZ1973" s="467" t="str">
        <f t="shared" si="1127"/>
        <v/>
      </c>
      <c r="BA1973" s="468" t="str">
        <f>IF(AS1973="","",IF(OR(AU1973="",AU1973="-"),"－",IF(OR(AZ1973=8,AZ1973=9),"",IF(OR(AW1973=3,AW1973=4,AW1973=5,AW1973=6),VLOOKUP(AU1973,INDEX((係数_バス貨物_ガソリン,係数_バス貨物_CNG,係数_バス貨物_軽油,係数_バス貨物_メタノール,係数_バス貨物_LPG),MATCH(AY1973,【参考】排出係数!$AI$4:$AI$671,1),1,BE1973):INDEX((係数_バス貨物_ガソリン,係数_バス貨物_CNG,係数_バス貨物_軽油,係数_バス貨物_メタノール,係数_バス貨物_LPG),MATCH(AY1973+1,【参考】排出係数!$AI$4:$AI$671,1)-1,5,BE1973),2,FALSE),IF(OR(AW1973=1,AW1973=2),VLOOKUP(AU1973,INDEX((係数_乗用_ガソリン,係数_乗用_CNG,係数_乗用_軽油,係数_乗用_メタノール,係数_乗用_LPG),1,1,BE1973):INDEX((係数_乗用_ガソリン,係数_乗用_CNG,係数_乗用_軽油,係数_乗用_メタノール,係数_乗用_LPG),125,5,BE1973),2,FALSE))))))</f>
        <v/>
      </c>
      <c r="BB1973" s="468" t="str">
        <f>IF(T1973="","",IF(OR(AU1973="",AU1973="-"),"－",IF(OR(AZ1973=8,AZ1973=9),"",IF(OR(AW1973=3,AW1973=4,AW1973=5,AW1973=6),VLOOKUP(AU1973,INDEX((係数_バス貨物_ガソリン,係数_バス貨物_CNG,係数_バス貨物_軽油,係数_バス貨物_メタノール,係数_バス貨物_LPG),MATCH(AY1973,【参考】排出係数!$AI$4:$AI$671,1),1,BE1973):INDEX((係数_バス貨物_ガソリン,係数_バス貨物_CNG,係数_バス貨物_軽油,係数_バス貨物_メタノール,係数_バス貨物_LPG),MATCH(AY1973+1,【参考】排出係数!$AI$4:$AI$671,1)-1,5,BE1973),3,FALSE),IF(OR(AW1973=1,AW1973=2),VLOOKUP(AU1973,INDEX((係数_乗用_ガソリン,係数_乗用_CNG,係数_乗用_軽油,係数_乗用_メタノール,係数_乗用_LPG),1,1,BE1973):INDEX((係数_乗用_ガソリン,係数_乗用_CNG,係数_乗用_軽油,係数_乗用_メタノール,係数_乗用_LPG),125,5,BE1973),3,FALSE))))))</f>
        <v/>
      </c>
      <c r="BC1973" s="467" t="str">
        <f t="shared" si="1128"/>
        <v/>
      </c>
      <c r="BD1973" s="567" t="str">
        <f t="shared" si="1129"/>
        <v/>
      </c>
      <c r="BE1973" s="467" t="str">
        <f t="shared" si="1130"/>
        <v/>
      </c>
      <c r="BF1973" s="469" t="str">
        <f t="shared" ca="1" si="1131"/>
        <v/>
      </c>
      <c r="BG1973" s="469" t="str">
        <f t="shared" ca="1" si="1132"/>
        <v/>
      </c>
      <c r="BH1973" s="467" t="str">
        <f t="shared" si="1133"/>
        <v/>
      </c>
      <c r="BI1973" s="467" t="str">
        <f t="shared" ca="1" si="1134"/>
        <v/>
      </c>
      <c r="BJ1973" s="469" t="str">
        <f t="shared" si="1135"/>
        <v/>
      </c>
      <c r="BK1973" s="470" t="str">
        <f t="shared" si="1119"/>
        <v/>
      </c>
      <c r="BL1973" s="775" t="str">
        <f t="shared" si="1136"/>
        <v/>
      </c>
      <c r="BM1973" s="775" t="str">
        <f t="shared" si="1137"/>
        <v/>
      </c>
    </row>
    <row r="1974" spans="1:65">
      <c r="A1974" s="473">
        <v>1918</v>
      </c>
      <c r="B1974" s="132"/>
      <c r="C1974" s="332"/>
      <c r="D1974" s="333"/>
      <c r="E1974" s="333"/>
      <c r="F1974" s="334"/>
      <c r="G1974" s="337"/>
      <c r="H1974" s="131"/>
      <c r="I1974" s="337"/>
      <c r="J1974" s="131"/>
      <c r="K1974" s="458" t="str">
        <f t="shared" si="1138"/>
        <v/>
      </c>
      <c r="L1974" s="458">
        <f t="shared" si="1139"/>
        <v>0</v>
      </c>
      <c r="M1974" s="458">
        <f t="shared" si="1140"/>
        <v>0</v>
      </c>
      <c r="N1974" s="459" t="str">
        <f t="shared" si="1113"/>
        <v/>
      </c>
      <c r="O1974" s="459" t="str">
        <f t="shared" si="1114"/>
        <v/>
      </c>
      <c r="P1974" s="459" t="str">
        <f t="shared" si="1115"/>
        <v/>
      </c>
      <c r="Q1974" s="459" t="str">
        <f t="shared" si="1116"/>
        <v/>
      </c>
      <c r="R1974" s="459" t="str">
        <f t="shared" si="1117"/>
        <v/>
      </c>
      <c r="S1974" s="459" t="str">
        <f t="shared" si="1118"/>
        <v/>
      </c>
      <c r="T1974" s="566" t="str">
        <f t="shared" si="1141"/>
        <v/>
      </c>
      <c r="U1974" s="702"/>
      <c r="V1974" s="132"/>
      <c r="W1974" s="133"/>
      <c r="X1974" s="134"/>
      <c r="Y1974" s="135"/>
      <c r="Z1974" s="137"/>
      <c r="AA1974" s="136"/>
      <c r="AB1974" s="566" t="str">
        <f t="shared" si="1142"/>
        <v/>
      </c>
      <c r="AC1974" s="568" t="str">
        <f t="shared" si="1143"/>
        <v/>
      </c>
      <c r="AD1974" s="137"/>
      <c r="AE1974" s="137"/>
      <c r="AF1974" s="138"/>
      <c r="AG1974" s="138"/>
      <c r="AH1974" s="592" t="str">
        <f t="shared" si="1144"/>
        <v/>
      </c>
      <c r="AI1974" s="592" t="str">
        <f t="shared" si="1145"/>
        <v/>
      </c>
      <c r="AJ1974" s="592" t="str">
        <f t="shared" si="1146"/>
        <v/>
      </c>
      <c r="AK1974" s="460" t="str">
        <f>IF(AU1974="","",IF(OR(AZ1974=8,AZ1974=9),0,IF(OR(AW1974=3,AW1974=4,AW1974=5,AW1974=6),IF(LEFT(BF1974,1)="1",INDEX(係数_NOX・PM低減,MATCH(AY1974,【参考】排出係数!$AI$801:$AI$804,1),1),VLOOKUP(AU1974,INDEX((係数_バス貨物_ガソリン,係数_バス貨物_CNG,係数_バス貨物_軽油,係数_バス貨物_メタノール,係数_バス貨物_LPG),MATCH(AY1974,【参考】排出係数!$AI$4:$AI$671,1),1,BE1974):INDEX((係数_バス貨物_ガソリン,係数_バス貨物_CNG,係数_バス貨物_軽油,係数_バス貨物_メタノール,係数_バス貨物_LPG),MATCH(AY1974+1,【参考】排出係数!$AI$4:$AI$671,1)-1,5,BE1974),4,FALSE)),IF(AND(BE1974=3,LEFT(BF1974,1)="1"),0.48,VLOOKUP(AU1974,INDEX((係数_乗用_ガソリン,係数_乗用_CNG,係数_乗用_軽油,係数_乗用_メタノール,係数_乗用_LPG),1,1,BE1974):INDEX((係数_乗用_ガソリン,係数_乗用_CNG,係数_乗用_軽油,係数_乗用_メタノール,係数_乗用_LPG),125,5,BE1974),4,FALSE)))))</f>
        <v/>
      </c>
      <c r="AL1974" s="461" t="str">
        <f t="shared" si="1147"/>
        <v/>
      </c>
      <c r="AM1974" s="460" t="str">
        <f>IF(AU1974="","",IF(OR(AZ1974=8,AZ1974=9),0,IF(OR(AW1974=3,AW1974=4,AW1974=5,AW1974=6),IF(LEFT(BH1974,1)="1",INDEX(係数_PM低減,MATCH(AY1974,【参考】排出係数!$AI$801:$AI$804,1),MATCH(BI1974,【参考】排出係数!$AL$798:$AO$798,1)),VLOOKUP(AU1974,INDEX((係数_バス貨物_ガソリン,係数_バス貨物_CNG,係数_バス貨物_軽油,係数_バス貨物_メタノール,係数_バス貨物_LPG),MATCH(AY1974,【参考】排出係数!$AI$4:$AI$671,1),1,BE1974):INDEX((係数_バス貨物_ガソリン,係数_バス貨物_CNG,係数_バス貨物_軽油,係数_バス貨物_メタノール,係数_バス貨物_LPG),MATCH(AY1974+1,【参考】排出係数!$AI$4:$AI$671,1)-1,5,BE1974),5,FALSE)),IF(AND(BE1974=3,LEFT(BF1974,1)="1"),0.055,VLOOKUP(AU1974,INDEX((係数_乗用_ガソリン,係数_乗用_CNG,係数_乗用_軽油,係数_乗用_メタノール,係数_乗用_LPG),1,1,BE1974):INDEX((係数_乗用_ガソリン,係数_乗用_CNG,係数_乗用_軽油,係数_乗用_メタノール,係数_乗用_LPG),125,5,BE1974),5,FALSE)))))</f>
        <v/>
      </c>
      <c r="AN1974" s="461" t="str">
        <f t="shared" si="1148"/>
        <v/>
      </c>
      <c r="AO1974" s="462" t="str">
        <f t="shared" si="1149"/>
        <v/>
      </c>
      <c r="AP1974" s="463" t="str">
        <f t="shared" si="1150"/>
        <v/>
      </c>
      <c r="AQ1974" s="464"/>
      <c r="AR1974" s="619"/>
      <c r="AS1974" s="465" t="str">
        <f t="shared" si="1120"/>
        <v/>
      </c>
      <c r="AT1974" s="465" t="str">
        <f t="shared" si="1121"/>
        <v/>
      </c>
      <c r="AU1974" s="466" t="str">
        <f t="shared" si="1122"/>
        <v/>
      </c>
      <c r="AV1974" s="467" t="str">
        <f t="shared" si="1123"/>
        <v/>
      </c>
      <c r="AW1974" s="467" t="str">
        <f t="shared" si="1124"/>
        <v/>
      </c>
      <c r="AX1974" s="467" t="str">
        <f t="shared" si="1125"/>
        <v/>
      </c>
      <c r="AY1974" s="467" t="str">
        <f t="shared" si="1126"/>
        <v/>
      </c>
      <c r="AZ1974" s="467" t="str">
        <f t="shared" si="1127"/>
        <v/>
      </c>
      <c r="BA1974" s="468" t="str">
        <f>IF(AS1974="","",IF(OR(AU1974="",AU1974="-"),"－",IF(OR(AZ1974=8,AZ1974=9),"",IF(OR(AW1974=3,AW1974=4,AW1974=5,AW1974=6),VLOOKUP(AU1974,INDEX((係数_バス貨物_ガソリン,係数_バス貨物_CNG,係数_バス貨物_軽油,係数_バス貨物_メタノール,係数_バス貨物_LPG),MATCH(AY1974,【参考】排出係数!$AI$4:$AI$671,1),1,BE1974):INDEX((係数_バス貨物_ガソリン,係数_バス貨物_CNG,係数_バス貨物_軽油,係数_バス貨物_メタノール,係数_バス貨物_LPG),MATCH(AY1974+1,【参考】排出係数!$AI$4:$AI$671,1)-1,5,BE1974),2,FALSE),IF(OR(AW1974=1,AW1974=2),VLOOKUP(AU1974,INDEX((係数_乗用_ガソリン,係数_乗用_CNG,係数_乗用_軽油,係数_乗用_メタノール,係数_乗用_LPG),1,1,BE1974):INDEX((係数_乗用_ガソリン,係数_乗用_CNG,係数_乗用_軽油,係数_乗用_メタノール,係数_乗用_LPG),125,5,BE1974),2,FALSE))))))</f>
        <v/>
      </c>
      <c r="BB1974" s="468" t="str">
        <f>IF(T1974="","",IF(OR(AU1974="",AU1974="-"),"－",IF(OR(AZ1974=8,AZ1974=9),"",IF(OR(AW1974=3,AW1974=4,AW1974=5,AW1974=6),VLOOKUP(AU1974,INDEX((係数_バス貨物_ガソリン,係数_バス貨物_CNG,係数_バス貨物_軽油,係数_バス貨物_メタノール,係数_バス貨物_LPG),MATCH(AY1974,【参考】排出係数!$AI$4:$AI$671,1),1,BE1974):INDEX((係数_バス貨物_ガソリン,係数_バス貨物_CNG,係数_バス貨物_軽油,係数_バス貨物_メタノール,係数_バス貨物_LPG),MATCH(AY1974+1,【参考】排出係数!$AI$4:$AI$671,1)-1,5,BE1974),3,FALSE),IF(OR(AW1974=1,AW1974=2),VLOOKUP(AU1974,INDEX((係数_乗用_ガソリン,係数_乗用_CNG,係数_乗用_軽油,係数_乗用_メタノール,係数_乗用_LPG),1,1,BE1974):INDEX((係数_乗用_ガソリン,係数_乗用_CNG,係数_乗用_軽油,係数_乗用_メタノール,係数_乗用_LPG),125,5,BE1974),3,FALSE))))))</f>
        <v/>
      </c>
      <c r="BC1974" s="467" t="str">
        <f t="shared" si="1128"/>
        <v/>
      </c>
      <c r="BD1974" s="567" t="str">
        <f t="shared" si="1129"/>
        <v/>
      </c>
      <c r="BE1974" s="467" t="str">
        <f t="shared" si="1130"/>
        <v/>
      </c>
      <c r="BF1974" s="469" t="str">
        <f t="shared" ca="1" si="1131"/>
        <v/>
      </c>
      <c r="BG1974" s="469" t="str">
        <f t="shared" ca="1" si="1132"/>
        <v/>
      </c>
      <c r="BH1974" s="467" t="str">
        <f t="shared" si="1133"/>
        <v/>
      </c>
      <c r="BI1974" s="467" t="str">
        <f t="shared" ca="1" si="1134"/>
        <v/>
      </c>
      <c r="BJ1974" s="469" t="str">
        <f t="shared" si="1135"/>
        <v/>
      </c>
      <c r="BK1974" s="470" t="str">
        <f t="shared" si="1119"/>
        <v/>
      </c>
      <c r="BL1974" s="775" t="str">
        <f t="shared" si="1136"/>
        <v/>
      </c>
      <c r="BM1974" s="775" t="str">
        <f t="shared" si="1137"/>
        <v/>
      </c>
    </row>
    <row r="1975" spans="1:65">
      <c r="A1975" s="473">
        <v>1919</v>
      </c>
      <c r="B1975" s="132"/>
      <c r="C1975" s="332"/>
      <c r="D1975" s="333"/>
      <c r="E1975" s="333"/>
      <c r="F1975" s="334"/>
      <c r="G1975" s="337"/>
      <c r="H1975" s="131"/>
      <c r="I1975" s="337"/>
      <c r="J1975" s="131"/>
      <c r="K1975" s="458" t="str">
        <f t="shared" si="1138"/>
        <v/>
      </c>
      <c r="L1975" s="458">
        <f t="shared" si="1139"/>
        <v>0</v>
      </c>
      <c r="M1975" s="458">
        <f t="shared" si="1140"/>
        <v>0</v>
      </c>
      <c r="N1975" s="459" t="str">
        <f t="shared" ref="N1975:N2038" si="1151">IF(OR($L1975&gt;$U$48,$M1975&gt;$U$48,AND($L1975&gt;$M1975,$M1975&lt;&gt;0),AND($L1975=0,$M1975&lt;&gt;0)),"ERROR","")</f>
        <v/>
      </c>
      <c r="O1975" s="459" t="str">
        <f t="shared" ref="O1975:O2038" si="1152">IF(AND($N1975&lt;&gt;"ERROR",$L1975&lt;=$U$49,$M1975&lt;=$U$49,$M1975&lt;&gt;0),"(減車済)","")</f>
        <v/>
      </c>
      <c r="P1975" s="459" t="str">
        <f t="shared" ref="P1975:P2038" si="1153">IF(AND($N1975&lt;&gt;"ERROR",$L1975&lt;$U$49,AND($M1975&gt;$U$49,$M1975&lt;=$W$49),$M1975&lt;&gt;0),"減車","")</f>
        <v/>
      </c>
      <c r="Q1975" s="459" t="str">
        <f t="shared" ref="Q1975:Q2038" si="1154">IF(AND($N1975&lt;&gt;"ERROR",$L1975&gt;$U$49,$M1975&lt;=$W$49,$M1975&lt;&gt;0),"一時使用","")</f>
        <v/>
      </c>
      <c r="R1975" s="459" t="str">
        <f t="shared" ref="R1975:R2038" si="1155">IF(AND($N1975&lt;&gt;"ERROR",AND($L1975&gt;0,$L1975&lt;=$U$49),$M1975=0),"継続","")</f>
        <v/>
      </c>
      <c r="S1975" s="459" t="str">
        <f t="shared" ref="S1975:S2038" si="1156">IF(AND($N1975&lt;&gt;"ERROR",AND($L1975&gt;$U$49),$M1975=0),"新規","")</f>
        <v/>
      </c>
      <c r="T1975" s="566" t="str">
        <f t="shared" si="1141"/>
        <v/>
      </c>
      <c r="U1975" s="702"/>
      <c r="V1975" s="132"/>
      <c r="W1975" s="133"/>
      <c r="X1975" s="134"/>
      <c r="Y1975" s="135"/>
      <c r="Z1975" s="137"/>
      <c r="AA1975" s="136"/>
      <c r="AB1975" s="566" t="str">
        <f t="shared" si="1142"/>
        <v/>
      </c>
      <c r="AC1975" s="568" t="str">
        <f t="shared" si="1143"/>
        <v/>
      </c>
      <c r="AD1975" s="137"/>
      <c r="AE1975" s="137"/>
      <c r="AF1975" s="138"/>
      <c r="AG1975" s="138"/>
      <c r="AH1975" s="592" t="str">
        <f t="shared" si="1144"/>
        <v/>
      </c>
      <c r="AI1975" s="592" t="str">
        <f t="shared" si="1145"/>
        <v/>
      </c>
      <c r="AJ1975" s="592" t="str">
        <f t="shared" si="1146"/>
        <v/>
      </c>
      <c r="AK1975" s="460" t="str">
        <f>IF(AU1975="","",IF(OR(AZ1975=8,AZ1975=9),0,IF(OR(AW1975=3,AW1975=4,AW1975=5,AW1975=6),IF(LEFT(BF1975,1)="1",INDEX(係数_NOX・PM低減,MATCH(AY1975,【参考】排出係数!$AI$801:$AI$804,1),1),VLOOKUP(AU1975,INDEX((係数_バス貨物_ガソリン,係数_バス貨物_CNG,係数_バス貨物_軽油,係数_バス貨物_メタノール,係数_バス貨物_LPG),MATCH(AY1975,【参考】排出係数!$AI$4:$AI$671,1),1,BE1975):INDEX((係数_バス貨物_ガソリン,係数_バス貨物_CNG,係数_バス貨物_軽油,係数_バス貨物_メタノール,係数_バス貨物_LPG),MATCH(AY1975+1,【参考】排出係数!$AI$4:$AI$671,1)-1,5,BE1975),4,FALSE)),IF(AND(BE1975=3,LEFT(BF1975,1)="1"),0.48,VLOOKUP(AU1975,INDEX((係数_乗用_ガソリン,係数_乗用_CNG,係数_乗用_軽油,係数_乗用_メタノール,係数_乗用_LPG),1,1,BE1975):INDEX((係数_乗用_ガソリン,係数_乗用_CNG,係数_乗用_軽油,係数_乗用_メタノール,係数_乗用_LPG),125,5,BE1975),4,FALSE)))))</f>
        <v/>
      </c>
      <c r="AL1975" s="461" t="str">
        <f t="shared" si="1147"/>
        <v/>
      </c>
      <c r="AM1975" s="460" t="str">
        <f>IF(AU1975="","",IF(OR(AZ1975=8,AZ1975=9),0,IF(OR(AW1975=3,AW1975=4,AW1975=5,AW1975=6),IF(LEFT(BH1975,1)="1",INDEX(係数_PM低減,MATCH(AY1975,【参考】排出係数!$AI$801:$AI$804,1),MATCH(BI1975,【参考】排出係数!$AL$798:$AO$798,1)),VLOOKUP(AU1975,INDEX((係数_バス貨物_ガソリン,係数_バス貨物_CNG,係数_バス貨物_軽油,係数_バス貨物_メタノール,係数_バス貨物_LPG),MATCH(AY1975,【参考】排出係数!$AI$4:$AI$671,1),1,BE1975):INDEX((係数_バス貨物_ガソリン,係数_バス貨物_CNG,係数_バス貨物_軽油,係数_バス貨物_メタノール,係数_バス貨物_LPG),MATCH(AY1975+1,【参考】排出係数!$AI$4:$AI$671,1)-1,5,BE1975),5,FALSE)),IF(AND(BE1975=3,LEFT(BF1975,1)="1"),0.055,VLOOKUP(AU1975,INDEX((係数_乗用_ガソリン,係数_乗用_CNG,係数_乗用_軽油,係数_乗用_メタノール,係数_乗用_LPG),1,1,BE1975):INDEX((係数_乗用_ガソリン,係数_乗用_CNG,係数_乗用_軽油,係数_乗用_メタノール,係数_乗用_LPG),125,5,BE1975),5,FALSE)))))</f>
        <v/>
      </c>
      <c r="AN1975" s="461" t="str">
        <f t="shared" si="1148"/>
        <v/>
      </c>
      <c r="AO1975" s="462" t="str">
        <f t="shared" si="1149"/>
        <v/>
      </c>
      <c r="AP1975" s="463" t="str">
        <f t="shared" si="1150"/>
        <v/>
      </c>
      <c r="AQ1975" s="464"/>
      <c r="AR1975" s="619"/>
      <c r="AS1975" s="465" t="str">
        <f t="shared" si="1120"/>
        <v/>
      </c>
      <c r="AT1975" s="465" t="str">
        <f t="shared" si="1121"/>
        <v/>
      </c>
      <c r="AU1975" s="466" t="str">
        <f t="shared" si="1122"/>
        <v/>
      </c>
      <c r="AV1975" s="467" t="str">
        <f t="shared" si="1123"/>
        <v/>
      </c>
      <c r="AW1975" s="467" t="str">
        <f t="shared" si="1124"/>
        <v/>
      </c>
      <c r="AX1975" s="467" t="str">
        <f t="shared" si="1125"/>
        <v/>
      </c>
      <c r="AY1975" s="467" t="str">
        <f t="shared" si="1126"/>
        <v/>
      </c>
      <c r="AZ1975" s="467" t="str">
        <f t="shared" si="1127"/>
        <v/>
      </c>
      <c r="BA1975" s="468" t="str">
        <f>IF(AS1975="","",IF(OR(AU1975="",AU1975="-"),"－",IF(OR(AZ1975=8,AZ1975=9),"",IF(OR(AW1975=3,AW1975=4,AW1975=5,AW1975=6),VLOOKUP(AU1975,INDEX((係数_バス貨物_ガソリン,係数_バス貨物_CNG,係数_バス貨物_軽油,係数_バス貨物_メタノール,係数_バス貨物_LPG),MATCH(AY1975,【参考】排出係数!$AI$4:$AI$671,1),1,BE1975):INDEX((係数_バス貨物_ガソリン,係数_バス貨物_CNG,係数_バス貨物_軽油,係数_バス貨物_メタノール,係数_バス貨物_LPG),MATCH(AY1975+1,【参考】排出係数!$AI$4:$AI$671,1)-1,5,BE1975),2,FALSE),IF(OR(AW1975=1,AW1975=2),VLOOKUP(AU1975,INDEX((係数_乗用_ガソリン,係数_乗用_CNG,係数_乗用_軽油,係数_乗用_メタノール,係数_乗用_LPG),1,1,BE1975):INDEX((係数_乗用_ガソリン,係数_乗用_CNG,係数_乗用_軽油,係数_乗用_メタノール,係数_乗用_LPG),125,5,BE1975),2,FALSE))))))</f>
        <v/>
      </c>
      <c r="BB1975" s="468" t="str">
        <f>IF(T1975="","",IF(OR(AU1975="",AU1975="-"),"－",IF(OR(AZ1975=8,AZ1975=9),"",IF(OR(AW1975=3,AW1975=4,AW1975=5,AW1975=6),VLOOKUP(AU1975,INDEX((係数_バス貨物_ガソリン,係数_バス貨物_CNG,係数_バス貨物_軽油,係数_バス貨物_メタノール,係数_バス貨物_LPG),MATCH(AY1975,【参考】排出係数!$AI$4:$AI$671,1),1,BE1975):INDEX((係数_バス貨物_ガソリン,係数_バス貨物_CNG,係数_バス貨物_軽油,係数_バス貨物_メタノール,係数_バス貨物_LPG),MATCH(AY1975+1,【参考】排出係数!$AI$4:$AI$671,1)-1,5,BE1975),3,FALSE),IF(OR(AW1975=1,AW1975=2),VLOOKUP(AU1975,INDEX((係数_乗用_ガソリン,係数_乗用_CNG,係数_乗用_軽油,係数_乗用_メタノール,係数_乗用_LPG),1,1,BE1975):INDEX((係数_乗用_ガソリン,係数_乗用_CNG,係数_乗用_軽油,係数_乗用_メタノール,係数_乗用_LPG),125,5,BE1975),3,FALSE))))))</f>
        <v/>
      </c>
      <c r="BC1975" s="467" t="str">
        <f t="shared" si="1128"/>
        <v/>
      </c>
      <c r="BD1975" s="567" t="str">
        <f t="shared" si="1129"/>
        <v/>
      </c>
      <c r="BE1975" s="467" t="str">
        <f t="shared" si="1130"/>
        <v/>
      </c>
      <c r="BF1975" s="469" t="str">
        <f t="shared" ca="1" si="1131"/>
        <v/>
      </c>
      <c r="BG1975" s="469" t="str">
        <f t="shared" ca="1" si="1132"/>
        <v/>
      </c>
      <c r="BH1975" s="467" t="str">
        <f t="shared" si="1133"/>
        <v/>
      </c>
      <c r="BI1975" s="467" t="str">
        <f t="shared" ca="1" si="1134"/>
        <v/>
      </c>
      <c r="BJ1975" s="469" t="str">
        <f t="shared" si="1135"/>
        <v/>
      </c>
      <c r="BK1975" s="470" t="str">
        <f t="shared" si="1119"/>
        <v/>
      </c>
      <c r="BL1975" s="775" t="str">
        <f t="shared" si="1136"/>
        <v/>
      </c>
      <c r="BM1975" s="775" t="str">
        <f t="shared" si="1137"/>
        <v/>
      </c>
    </row>
    <row r="1976" spans="1:65">
      <c r="A1976" s="473">
        <v>1920</v>
      </c>
      <c r="B1976" s="132"/>
      <c r="C1976" s="332"/>
      <c r="D1976" s="333"/>
      <c r="E1976" s="333"/>
      <c r="F1976" s="334"/>
      <c r="G1976" s="337"/>
      <c r="H1976" s="131"/>
      <c r="I1976" s="337"/>
      <c r="J1976" s="131"/>
      <c r="K1976" s="458" t="str">
        <f t="shared" si="1138"/>
        <v/>
      </c>
      <c r="L1976" s="458">
        <f t="shared" si="1139"/>
        <v>0</v>
      </c>
      <c r="M1976" s="458">
        <f t="shared" si="1140"/>
        <v>0</v>
      </c>
      <c r="N1976" s="459" t="str">
        <f t="shared" si="1151"/>
        <v/>
      </c>
      <c r="O1976" s="459" t="str">
        <f t="shared" si="1152"/>
        <v/>
      </c>
      <c r="P1976" s="459" t="str">
        <f t="shared" si="1153"/>
        <v/>
      </c>
      <c r="Q1976" s="459" t="str">
        <f t="shared" si="1154"/>
        <v/>
      </c>
      <c r="R1976" s="459" t="str">
        <f t="shared" si="1155"/>
        <v/>
      </c>
      <c r="S1976" s="459" t="str">
        <f t="shared" si="1156"/>
        <v/>
      </c>
      <c r="T1976" s="566" t="str">
        <f t="shared" si="1141"/>
        <v/>
      </c>
      <c r="U1976" s="702"/>
      <c r="V1976" s="132"/>
      <c r="W1976" s="133"/>
      <c r="X1976" s="134"/>
      <c r="Y1976" s="135"/>
      <c r="Z1976" s="137"/>
      <c r="AA1976" s="136"/>
      <c r="AB1976" s="566" t="str">
        <f t="shared" si="1142"/>
        <v/>
      </c>
      <c r="AC1976" s="568" t="str">
        <f t="shared" si="1143"/>
        <v/>
      </c>
      <c r="AD1976" s="137"/>
      <c r="AE1976" s="137"/>
      <c r="AF1976" s="138"/>
      <c r="AG1976" s="138"/>
      <c r="AH1976" s="592" t="str">
        <f t="shared" si="1144"/>
        <v/>
      </c>
      <c r="AI1976" s="592" t="str">
        <f t="shared" si="1145"/>
        <v/>
      </c>
      <c r="AJ1976" s="592" t="str">
        <f t="shared" si="1146"/>
        <v/>
      </c>
      <c r="AK1976" s="460" t="str">
        <f>IF(AU1976="","",IF(OR(AZ1976=8,AZ1976=9),0,IF(OR(AW1976=3,AW1976=4,AW1976=5,AW1976=6),IF(LEFT(BF1976,1)="1",INDEX(係数_NOX・PM低減,MATCH(AY1976,【参考】排出係数!$AI$801:$AI$804,1),1),VLOOKUP(AU1976,INDEX((係数_バス貨物_ガソリン,係数_バス貨物_CNG,係数_バス貨物_軽油,係数_バス貨物_メタノール,係数_バス貨物_LPG),MATCH(AY1976,【参考】排出係数!$AI$4:$AI$671,1),1,BE1976):INDEX((係数_バス貨物_ガソリン,係数_バス貨物_CNG,係数_バス貨物_軽油,係数_バス貨物_メタノール,係数_バス貨物_LPG),MATCH(AY1976+1,【参考】排出係数!$AI$4:$AI$671,1)-1,5,BE1976),4,FALSE)),IF(AND(BE1976=3,LEFT(BF1976,1)="1"),0.48,VLOOKUP(AU1976,INDEX((係数_乗用_ガソリン,係数_乗用_CNG,係数_乗用_軽油,係数_乗用_メタノール,係数_乗用_LPG),1,1,BE1976):INDEX((係数_乗用_ガソリン,係数_乗用_CNG,係数_乗用_軽油,係数_乗用_メタノール,係数_乗用_LPG),125,5,BE1976),4,FALSE)))))</f>
        <v/>
      </c>
      <c r="AL1976" s="461" t="str">
        <f t="shared" si="1147"/>
        <v/>
      </c>
      <c r="AM1976" s="460" t="str">
        <f>IF(AU1976="","",IF(OR(AZ1976=8,AZ1976=9),0,IF(OR(AW1976=3,AW1976=4,AW1976=5,AW1976=6),IF(LEFT(BH1976,1)="1",INDEX(係数_PM低減,MATCH(AY1976,【参考】排出係数!$AI$801:$AI$804,1),MATCH(BI1976,【参考】排出係数!$AL$798:$AO$798,1)),VLOOKUP(AU1976,INDEX((係数_バス貨物_ガソリン,係数_バス貨物_CNG,係数_バス貨物_軽油,係数_バス貨物_メタノール,係数_バス貨物_LPG),MATCH(AY1976,【参考】排出係数!$AI$4:$AI$671,1),1,BE1976):INDEX((係数_バス貨物_ガソリン,係数_バス貨物_CNG,係数_バス貨物_軽油,係数_バス貨物_メタノール,係数_バス貨物_LPG),MATCH(AY1976+1,【参考】排出係数!$AI$4:$AI$671,1)-1,5,BE1976),5,FALSE)),IF(AND(BE1976=3,LEFT(BF1976,1)="1"),0.055,VLOOKUP(AU1976,INDEX((係数_乗用_ガソリン,係数_乗用_CNG,係数_乗用_軽油,係数_乗用_メタノール,係数_乗用_LPG),1,1,BE1976):INDEX((係数_乗用_ガソリン,係数_乗用_CNG,係数_乗用_軽油,係数_乗用_メタノール,係数_乗用_LPG),125,5,BE1976),5,FALSE)))))</f>
        <v/>
      </c>
      <c r="AN1976" s="461" t="str">
        <f t="shared" si="1148"/>
        <v/>
      </c>
      <c r="AO1976" s="462" t="str">
        <f t="shared" si="1149"/>
        <v/>
      </c>
      <c r="AP1976" s="463" t="str">
        <f t="shared" si="1150"/>
        <v/>
      </c>
      <c r="AQ1976" s="464"/>
      <c r="AR1976" s="619"/>
      <c r="AS1976" s="465" t="str">
        <f t="shared" si="1120"/>
        <v/>
      </c>
      <c r="AT1976" s="465" t="str">
        <f t="shared" si="1121"/>
        <v/>
      </c>
      <c r="AU1976" s="466" t="str">
        <f t="shared" si="1122"/>
        <v/>
      </c>
      <c r="AV1976" s="467" t="str">
        <f t="shared" si="1123"/>
        <v/>
      </c>
      <c r="AW1976" s="467" t="str">
        <f t="shared" si="1124"/>
        <v/>
      </c>
      <c r="AX1976" s="467" t="str">
        <f t="shared" si="1125"/>
        <v/>
      </c>
      <c r="AY1976" s="467" t="str">
        <f t="shared" si="1126"/>
        <v/>
      </c>
      <c r="AZ1976" s="467" t="str">
        <f t="shared" si="1127"/>
        <v/>
      </c>
      <c r="BA1976" s="468" t="str">
        <f>IF(AS1976="","",IF(OR(AU1976="",AU1976="-"),"－",IF(OR(AZ1976=8,AZ1976=9),"",IF(OR(AW1976=3,AW1976=4,AW1976=5,AW1976=6),VLOOKUP(AU1976,INDEX((係数_バス貨物_ガソリン,係数_バス貨物_CNG,係数_バス貨物_軽油,係数_バス貨物_メタノール,係数_バス貨物_LPG),MATCH(AY1976,【参考】排出係数!$AI$4:$AI$671,1),1,BE1976):INDEX((係数_バス貨物_ガソリン,係数_バス貨物_CNG,係数_バス貨物_軽油,係数_バス貨物_メタノール,係数_バス貨物_LPG),MATCH(AY1976+1,【参考】排出係数!$AI$4:$AI$671,1)-1,5,BE1976),2,FALSE),IF(OR(AW1976=1,AW1976=2),VLOOKUP(AU1976,INDEX((係数_乗用_ガソリン,係数_乗用_CNG,係数_乗用_軽油,係数_乗用_メタノール,係数_乗用_LPG),1,1,BE1976):INDEX((係数_乗用_ガソリン,係数_乗用_CNG,係数_乗用_軽油,係数_乗用_メタノール,係数_乗用_LPG),125,5,BE1976),2,FALSE))))))</f>
        <v/>
      </c>
      <c r="BB1976" s="468" t="str">
        <f>IF(T1976="","",IF(OR(AU1976="",AU1976="-"),"－",IF(OR(AZ1976=8,AZ1976=9),"",IF(OR(AW1976=3,AW1976=4,AW1976=5,AW1976=6),VLOOKUP(AU1976,INDEX((係数_バス貨物_ガソリン,係数_バス貨物_CNG,係数_バス貨物_軽油,係数_バス貨物_メタノール,係数_バス貨物_LPG),MATCH(AY1976,【参考】排出係数!$AI$4:$AI$671,1),1,BE1976):INDEX((係数_バス貨物_ガソリン,係数_バス貨物_CNG,係数_バス貨物_軽油,係数_バス貨物_メタノール,係数_バス貨物_LPG),MATCH(AY1976+1,【参考】排出係数!$AI$4:$AI$671,1)-1,5,BE1976),3,FALSE),IF(OR(AW1976=1,AW1976=2),VLOOKUP(AU1976,INDEX((係数_乗用_ガソリン,係数_乗用_CNG,係数_乗用_軽油,係数_乗用_メタノール,係数_乗用_LPG),1,1,BE1976):INDEX((係数_乗用_ガソリン,係数_乗用_CNG,係数_乗用_軽油,係数_乗用_メタノール,係数_乗用_LPG),125,5,BE1976),3,FALSE))))))</f>
        <v/>
      </c>
      <c r="BC1976" s="467" t="str">
        <f t="shared" si="1128"/>
        <v/>
      </c>
      <c r="BD1976" s="567" t="str">
        <f t="shared" si="1129"/>
        <v/>
      </c>
      <c r="BE1976" s="467" t="str">
        <f t="shared" si="1130"/>
        <v/>
      </c>
      <c r="BF1976" s="469" t="str">
        <f t="shared" ca="1" si="1131"/>
        <v/>
      </c>
      <c r="BG1976" s="469" t="str">
        <f t="shared" ca="1" si="1132"/>
        <v/>
      </c>
      <c r="BH1976" s="467" t="str">
        <f t="shared" si="1133"/>
        <v/>
      </c>
      <c r="BI1976" s="467" t="str">
        <f t="shared" ca="1" si="1134"/>
        <v/>
      </c>
      <c r="BJ1976" s="469" t="str">
        <f t="shared" si="1135"/>
        <v/>
      </c>
      <c r="BK1976" s="470" t="str">
        <f t="shared" si="1119"/>
        <v/>
      </c>
      <c r="BL1976" s="775" t="str">
        <f t="shared" si="1136"/>
        <v/>
      </c>
      <c r="BM1976" s="775" t="str">
        <f t="shared" si="1137"/>
        <v/>
      </c>
    </row>
    <row r="1977" spans="1:65">
      <c r="A1977" s="473">
        <v>1921</v>
      </c>
      <c r="B1977" s="132"/>
      <c r="C1977" s="332"/>
      <c r="D1977" s="333"/>
      <c r="E1977" s="333"/>
      <c r="F1977" s="334"/>
      <c r="G1977" s="337"/>
      <c r="H1977" s="131"/>
      <c r="I1977" s="337"/>
      <c r="J1977" s="131"/>
      <c r="K1977" s="458" t="str">
        <f t="shared" si="1138"/>
        <v/>
      </c>
      <c r="L1977" s="458">
        <f t="shared" si="1139"/>
        <v>0</v>
      </c>
      <c r="M1977" s="458">
        <f t="shared" si="1140"/>
        <v>0</v>
      </c>
      <c r="N1977" s="459" t="str">
        <f t="shared" si="1151"/>
        <v/>
      </c>
      <c r="O1977" s="459" t="str">
        <f t="shared" si="1152"/>
        <v/>
      </c>
      <c r="P1977" s="459" t="str">
        <f t="shared" si="1153"/>
        <v/>
      </c>
      <c r="Q1977" s="459" t="str">
        <f t="shared" si="1154"/>
        <v/>
      </c>
      <c r="R1977" s="459" t="str">
        <f t="shared" si="1155"/>
        <v/>
      </c>
      <c r="S1977" s="459" t="str">
        <f t="shared" si="1156"/>
        <v/>
      </c>
      <c r="T1977" s="566" t="str">
        <f t="shared" si="1141"/>
        <v/>
      </c>
      <c r="U1977" s="702"/>
      <c r="V1977" s="132"/>
      <c r="W1977" s="133"/>
      <c r="X1977" s="134"/>
      <c r="Y1977" s="135"/>
      <c r="Z1977" s="137"/>
      <c r="AA1977" s="136"/>
      <c r="AB1977" s="566" t="str">
        <f t="shared" si="1142"/>
        <v/>
      </c>
      <c r="AC1977" s="568" t="str">
        <f t="shared" si="1143"/>
        <v/>
      </c>
      <c r="AD1977" s="137"/>
      <c r="AE1977" s="137"/>
      <c r="AF1977" s="138"/>
      <c r="AG1977" s="138"/>
      <c r="AH1977" s="592" t="str">
        <f t="shared" si="1144"/>
        <v/>
      </c>
      <c r="AI1977" s="592" t="str">
        <f t="shared" si="1145"/>
        <v/>
      </c>
      <c r="AJ1977" s="592" t="str">
        <f t="shared" si="1146"/>
        <v/>
      </c>
      <c r="AK1977" s="460" t="str">
        <f>IF(AU1977="","",IF(OR(AZ1977=8,AZ1977=9),0,IF(OR(AW1977=3,AW1977=4,AW1977=5,AW1977=6),IF(LEFT(BF1977,1)="1",INDEX(係数_NOX・PM低減,MATCH(AY1977,【参考】排出係数!$AI$801:$AI$804,1),1),VLOOKUP(AU1977,INDEX((係数_バス貨物_ガソリン,係数_バス貨物_CNG,係数_バス貨物_軽油,係数_バス貨物_メタノール,係数_バス貨物_LPG),MATCH(AY1977,【参考】排出係数!$AI$4:$AI$671,1),1,BE1977):INDEX((係数_バス貨物_ガソリン,係数_バス貨物_CNG,係数_バス貨物_軽油,係数_バス貨物_メタノール,係数_バス貨物_LPG),MATCH(AY1977+1,【参考】排出係数!$AI$4:$AI$671,1)-1,5,BE1977),4,FALSE)),IF(AND(BE1977=3,LEFT(BF1977,1)="1"),0.48,VLOOKUP(AU1977,INDEX((係数_乗用_ガソリン,係数_乗用_CNG,係数_乗用_軽油,係数_乗用_メタノール,係数_乗用_LPG),1,1,BE1977):INDEX((係数_乗用_ガソリン,係数_乗用_CNG,係数_乗用_軽油,係数_乗用_メタノール,係数_乗用_LPG),125,5,BE1977),4,FALSE)))))</f>
        <v/>
      </c>
      <c r="AL1977" s="461" t="str">
        <f t="shared" si="1147"/>
        <v/>
      </c>
      <c r="AM1977" s="460" t="str">
        <f>IF(AU1977="","",IF(OR(AZ1977=8,AZ1977=9),0,IF(OR(AW1977=3,AW1977=4,AW1977=5,AW1977=6),IF(LEFT(BH1977,1)="1",INDEX(係数_PM低減,MATCH(AY1977,【参考】排出係数!$AI$801:$AI$804,1),MATCH(BI1977,【参考】排出係数!$AL$798:$AO$798,1)),VLOOKUP(AU1977,INDEX((係数_バス貨物_ガソリン,係数_バス貨物_CNG,係数_バス貨物_軽油,係数_バス貨物_メタノール,係数_バス貨物_LPG),MATCH(AY1977,【参考】排出係数!$AI$4:$AI$671,1),1,BE1977):INDEX((係数_バス貨物_ガソリン,係数_バス貨物_CNG,係数_バス貨物_軽油,係数_バス貨物_メタノール,係数_バス貨物_LPG),MATCH(AY1977+1,【参考】排出係数!$AI$4:$AI$671,1)-1,5,BE1977),5,FALSE)),IF(AND(BE1977=3,LEFT(BF1977,1)="1"),0.055,VLOOKUP(AU1977,INDEX((係数_乗用_ガソリン,係数_乗用_CNG,係数_乗用_軽油,係数_乗用_メタノール,係数_乗用_LPG),1,1,BE1977):INDEX((係数_乗用_ガソリン,係数_乗用_CNG,係数_乗用_軽油,係数_乗用_メタノール,係数_乗用_LPG),125,5,BE1977),5,FALSE)))))</f>
        <v/>
      </c>
      <c r="AN1977" s="461" t="str">
        <f t="shared" si="1148"/>
        <v/>
      </c>
      <c r="AO1977" s="462" t="str">
        <f t="shared" si="1149"/>
        <v/>
      </c>
      <c r="AP1977" s="463" t="str">
        <f t="shared" si="1150"/>
        <v/>
      </c>
      <c r="AQ1977" s="464"/>
      <c r="AR1977" s="619"/>
      <c r="AS1977" s="465" t="str">
        <f t="shared" si="1120"/>
        <v/>
      </c>
      <c r="AT1977" s="465" t="str">
        <f t="shared" si="1121"/>
        <v/>
      </c>
      <c r="AU1977" s="466" t="str">
        <f t="shared" si="1122"/>
        <v/>
      </c>
      <c r="AV1977" s="467" t="str">
        <f t="shared" si="1123"/>
        <v/>
      </c>
      <c r="AW1977" s="467" t="str">
        <f t="shared" si="1124"/>
        <v/>
      </c>
      <c r="AX1977" s="467" t="str">
        <f t="shared" si="1125"/>
        <v/>
      </c>
      <c r="AY1977" s="467" t="str">
        <f t="shared" si="1126"/>
        <v/>
      </c>
      <c r="AZ1977" s="467" t="str">
        <f t="shared" si="1127"/>
        <v/>
      </c>
      <c r="BA1977" s="468" t="str">
        <f>IF(AS1977="","",IF(OR(AU1977="",AU1977="-"),"－",IF(OR(AZ1977=8,AZ1977=9),"",IF(OR(AW1977=3,AW1977=4,AW1977=5,AW1977=6),VLOOKUP(AU1977,INDEX((係数_バス貨物_ガソリン,係数_バス貨物_CNG,係数_バス貨物_軽油,係数_バス貨物_メタノール,係数_バス貨物_LPG),MATCH(AY1977,【参考】排出係数!$AI$4:$AI$671,1),1,BE1977):INDEX((係数_バス貨物_ガソリン,係数_バス貨物_CNG,係数_バス貨物_軽油,係数_バス貨物_メタノール,係数_バス貨物_LPG),MATCH(AY1977+1,【参考】排出係数!$AI$4:$AI$671,1)-1,5,BE1977),2,FALSE),IF(OR(AW1977=1,AW1977=2),VLOOKUP(AU1977,INDEX((係数_乗用_ガソリン,係数_乗用_CNG,係数_乗用_軽油,係数_乗用_メタノール,係数_乗用_LPG),1,1,BE1977):INDEX((係数_乗用_ガソリン,係数_乗用_CNG,係数_乗用_軽油,係数_乗用_メタノール,係数_乗用_LPG),125,5,BE1977),2,FALSE))))))</f>
        <v/>
      </c>
      <c r="BB1977" s="468" t="str">
        <f>IF(T1977="","",IF(OR(AU1977="",AU1977="-"),"－",IF(OR(AZ1977=8,AZ1977=9),"",IF(OR(AW1977=3,AW1977=4,AW1977=5,AW1977=6),VLOOKUP(AU1977,INDEX((係数_バス貨物_ガソリン,係数_バス貨物_CNG,係数_バス貨物_軽油,係数_バス貨物_メタノール,係数_バス貨物_LPG),MATCH(AY1977,【参考】排出係数!$AI$4:$AI$671,1),1,BE1977):INDEX((係数_バス貨物_ガソリン,係数_バス貨物_CNG,係数_バス貨物_軽油,係数_バス貨物_メタノール,係数_バス貨物_LPG),MATCH(AY1977+1,【参考】排出係数!$AI$4:$AI$671,1)-1,5,BE1977),3,FALSE),IF(OR(AW1977=1,AW1977=2),VLOOKUP(AU1977,INDEX((係数_乗用_ガソリン,係数_乗用_CNG,係数_乗用_軽油,係数_乗用_メタノール,係数_乗用_LPG),1,1,BE1977):INDEX((係数_乗用_ガソリン,係数_乗用_CNG,係数_乗用_軽油,係数_乗用_メタノール,係数_乗用_LPG),125,5,BE1977),3,FALSE))))))</f>
        <v/>
      </c>
      <c r="BC1977" s="467" t="str">
        <f t="shared" si="1128"/>
        <v/>
      </c>
      <c r="BD1977" s="567" t="str">
        <f t="shared" si="1129"/>
        <v/>
      </c>
      <c r="BE1977" s="467" t="str">
        <f t="shared" si="1130"/>
        <v/>
      </c>
      <c r="BF1977" s="469" t="str">
        <f t="shared" ca="1" si="1131"/>
        <v/>
      </c>
      <c r="BG1977" s="469" t="str">
        <f t="shared" ca="1" si="1132"/>
        <v/>
      </c>
      <c r="BH1977" s="467" t="str">
        <f t="shared" si="1133"/>
        <v/>
      </c>
      <c r="BI1977" s="467" t="str">
        <f t="shared" ca="1" si="1134"/>
        <v/>
      </c>
      <c r="BJ1977" s="469" t="str">
        <f t="shared" si="1135"/>
        <v/>
      </c>
      <c r="BK1977" s="470" t="str">
        <f t="shared" ref="BK1977:BK2040" si="1157">IF(AS1977="","",VLOOKUP(T1977,車両の増減,2,FALSE))</f>
        <v/>
      </c>
      <c r="BL1977" s="775" t="str">
        <f t="shared" si="1136"/>
        <v/>
      </c>
      <c r="BM1977" s="775" t="str">
        <f t="shared" si="1137"/>
        <v/>
      </c>
    </row>
    <row r="1978" spans="1:65">
      <c r="A1978" s="473">
        <v>1922</v>
      </c>
      <c r="B1978" s="132"/>
      <c r="C1978" s="332"/>
      <c r="D1978" s="333"/>
      <c r="E1978" s="333"/>
      <c r="F1978" s="334"/>
      <c r="G1978" s="337"/>
      <c r="H1978" s="131"/>
      <c r="I1978" s="337"/>
      <c r="J1978" s="131"/>
      <c r="K1978" s="458" t="str">
        <f t="shared" si="1138"/>
        <v/>
      </c>
      <c r="L1978" s="458">
        <f t="shared" si="1139"/>
        <v>0</v>
      </c>
      <c r="M1978" s="458">
        <f t="shared" si="1140"/>
        <v>0</v>
      </c>
      <c r="N1978" s="459" t="str">
        <f t="shared" si="1151"/>
        <v/>
      </c>
      <c r="O1978" s="459" t="str">
        <f t="shared" si="1152"/>
        <v/>
      </c>
      <c r="P1978" s="459" t="str">
        <f t="shared" si="1153"/>
        <v/>
      </c>
      <c r="Q1978" s="459" t="str">
        <f t="shared" si="1154"/>
        <v/>
      </c>
      <c r="R1978" s="459" t="str">
        <f t="shared" si="1155"/>
        <v/>
      </c>
      <c r="S1978" s="459" t="str">
        <f t="shared" si="1156"/>
        <v/>
      </c>
      <c r="T1978" s="566" t="str">
        <f t="shared" si="1141"/>
        <v/>
      </c>
      <c r="U1978" s="702"/>
      <c r="V1978" s="132"/>
      <c r="W1978" s="133"/>
      <c r="X1978" s="134"/>
      <c r="Y1978" s="135"/>
      <c r="Z1978" s="137"/>
      <c r="AA1978" s="136"/>
      <c r="AB1978" s="566" t="str">
        <f t="shared" si="1142"/>
        <v/>
      </c>
      <c r="AC1978" s="568" t="str">
        <f t="shared" si="1143"/>
        <v/>
      </c>
      <c r="AD1978" s="137"/>
      <c r="AE1978" s="137"/>
      <c r="AF1978" s="138"/>
      <c r="AG1978" s="138"/>
      <c r="AH1978" s="592" t="str">
        <f t="shared" si="1144"/>
        <v/>
      </c>
      <c r="AI1978" s="592" t="str">
        <f t="shared" si="1145"/>
        <v/>
      </c>
      <c r="AJ1978" s="592" t="str">
        <f t="shared" si="1146"/>
        <v/>
      </c>
      <c r="AK1978" s="460" t="str">
        <f>IF(AU1978="","",IF(OR(AZ1978=8,AZ1978=9),0,IF(OR(AW1978=3,AW1978=4,AW1978=5,AW1978=6),IF(LEFT(BF1978,1)="1",INDEX(係数_NOX・PM低減,MATCH(AY1978,【参考】排出係数!$AI$801:$AI$804,1),1),VLOOKUP(AU1978,INDEX((係数_バス貨物_ガソリン,係数_バス貨物_CNG,係数_バス貨物_軽油,係数_バス貨物_メタノール,係数_バス貨物_LPG),MATCH(AY1978,【参考】排出係数!$AI$4:$AI$671,1),1,BE1978):INDEX((係数_バス貨物_ガソリン,係数_バス貨物_CNG,係数_バス貨物_軽油,係数_バス貨物_メタノール,係数_バス貨物_LPG),MATCH(AY1978+1,【参考】排出係数!$AI$4:$AI$671,1)-1,5,BE1978),4,FALSE)),IF(AND(BE1978=3,LEFT(BF1978,1)="1"),0.48,VLOOKUP(AU1978,INDEX((係数_乗用_ガソリン,係数_乗用_CNG,係数_乗用_軽油,係数_乗用_メタノール,係数_乗用_LPG),1,1,BE1978):INDEX((係数_乗用_ガソリン,係数_乗用_CNG,係数_乗用_軽油,係数_乗用_メタノール,係数_乗用_LPG),125,5,BE1978),4,FALSE)))))</f>
        <v/>
      </c>
      <c r="AL1978" s="461" t="str">
        <f t="shared" si="1147"/>
        <v/>
      </c>
      <c r="AM1978" s="460" t="str">
        <f>IF(AU1978="","",IF(OR(AZ1978=8,AZ1978=9),0,IF(OR(AW1978=3,AW1978=4,AW1978=5,AW1978=6),IF(LEFT(BH1978,1)="1",INDEX(係数_PM低減,MATCH(AY1978,【参考】排出係数!$AI$801:$AI$804,1),MATCH(BI1978,【参考】排出係数!$AL$798:$AO$798,1)),VLOOKUP(AU1978,INDEX((係数_バス貨物_ガソリン,係数_バス貨物_CNG,係数_バス貨物_軽油,係数_バス貨物_メタノール,係数_バス貨物_LPG),MATCH(AY1978,【参考】排出係数!$AI$4:$AI$671,1),1,BE1978):INDEX((係数_バス貨物_ガソリン,係数_バス貨物_CNG,係数_バス貨物_軽油,係数_バス貨物_メタノール,係数_バス貨物_LPG),MATCH(AY1978+1,【参考】排出係数!$AI$4:$AI$671,1)-1,5,BE1978),5,FALSE)),IF(AND(BE1978=3,LEFT(BF1978,1)="1"),0.055,VLOOKUP(AU1978,INDEX((係数_乗用_ガソリン,係数_乗用_CNG,係数_乗用_軽油,係数_乗用_メタノール,係数_乗用_LPG),1,1,BE1978):INDEX((係数_乗用_ガソリン,係数_乗用_CNG,係数_乗用_軽油,係数_乗用_メタノール,係数_乗用_LPG),125,5,BE1978),5,FALSE)))))</f>
        <v/>
      </c>
      <c r="AN1978" s="461" t="str">
        <f t="shared" si="1148"/>
        <v/>
      </c>
      <c r="AO1978" s="462" t="str">
        <f t="shared" si="1149"/>
        <v/>
      </c>
      <c r="AP1978" s="463" t="str">
        <f t="shared" si="1150"/>
        <v/>
      </c>
      <c r="AQ1978" s="464"/>
      <c r="AR1978" s="619"/>
      <c r="AS1978" s="465" t="str">
        <f t="shared" ref="AS1978:AS2041" si="1158">IF(OR(T1978="(減車済)",T1978=""),"",1)</f>
        <v/>
      </c>
      <c r="AT1978" s="465" t="str">
        <f t="shared" ref="AT1978:AT2041" si="1159">IF(OR(T1978="継続",T1978="新規"),1,"")</f>
        <v/>
      </c>
      <c r="AU1978" s="466" t="str">
        <f t="shared" ref="AU1978:AU2041" si="1160">IF(AS1978="","",UPPER(ASC(X1978)))</f>
        <v/>
      </c>
      <c r="AV1978" s="467" t="str">
        <f t="shared" ref="AV1978:AV2041" si="1161">IF(AS1978="","",IF(V1978="","",IF(V1978="普通",1,IF(V1978="小型",2,0))))</f>
        <v/>
      </c>
      <c r="AW1978" s="467" t="str">
        <f t="shared" ref="AW1978:AW2041" si="1162">IF(AS1978="","",IF(W1978="","",VLOOKUP(W1978,用途,2,FALSE)))</f>
        <v/>
      </c>
      <c r="AX1978" s="467" t="str">
        <f t="shared" ref="AX1978:AX2041" si="1163">IF(AS1978="","",IF(Y1978="","",IF(Y1978&lt;=10,1,IF(Y1978&lt;30,2,IF(Y1978&gt;=30,3,0)))))</f>
        <v/>
      </c>
      <c r="AY1978" s="467" t="str">
        <f t="shared" ref="AY1978:AY2041" si="1164">IF(AS1978="","",IF(Z1978="","",IF(Z1978&lt;=1.7*1000,1,IF(Z1978&lt;=2.5*1000,2,IF(Z1978&lt;=3.5*1000,3,IF(Z1978&lt;8*1000,4,IF(Z1978&gt;=8*1000,5,"")))))))</f>
        <v/>
      </c>
      <c r="AZ1978" s="467" t="str">
        <f t="shared" ref="AZ1978:AZ2041" si="1165">IF(AS1978="","",IF(AA1978="","",VLOOKUP(AA1978,燃料の種類,2,FALSE)))</f>
        <v/>
      </c>
      <c r="BA1978" s="468" t="str">
        <f>IF(AS1978="","",IF(OR(AU1978="",AU1978="-"),"－",IF(OR(AZ1978=8,AZ1978=9),"",IF(OR(AW1978=3,AW1978=4,AW1978=5,AW1978=6),VLOOKUP(AU1978,INDEX((係数_バス貨物_ガソリン,係数_バス貨物_CNG,係数_バス貨物_軽油,係数_バス貨物_メタノール,係数_バス貨物_LPG),MATCH(AY1978,【参考】排出係数!$AI$4:$AI$671,1),1,BE1978):INDEX((係数_バス貨物_ガソリン,係数_バス貨物_CNG,係数_バス貨物_軽油,係数_バス貨物_メタノール,係数_バス貨物_LPG),MATCH(AY1978+1,【参考】排出係数!$AI$4:$AI$671,1)-1,5,BE1978),2,FALSE),IF(OR(AW1978=1,AW1978=2),VLOOKUP(AU1978,INDEX((係数_乗用_ガソリン,係数_乗用_CNG,係数_乗用_軽油,係数_乗用_メタノール,係数_乗用_LPG),1,1,BE1978):INDEX((係数_乗用_ガソリン,係数_乗用_CNG,係数_乗用_軽油,係数_乗用_メタノール,係数_乗用_LPG),125,5,BE1978),2,FALSE))))))</f>
        <v/>
      </c>
      <c r="BB1978" s="468" t="str">
        <f>IF(T1978="","",IF(OR(AU1978="",AU1978="-"),"－",IF(OR(AZ1978=8,AZ1978=9),"",IF(OR(AW1978=3,AW1978=4,AW1978=5,AW1978=6),VLOOKUP(AU1978,INDEX((係数_バス貨物_ガソリン,係数_バス貨物_CNG,係数_バス貨物_軽油,係数_バス貨物_メタノール,係数_バス貨物_LPG),MATCH(AY1978,【参考】排出係数!$AI$4:$AI$671,1),1,BE1978):INDEX((係数_バス貨物_ガソリン,係数_バス貨物_CNG,係数_バス貨物_軽油,係数_バス貨物_メタノール,係数_バス貨物_LPG),MATCH(AY1978+1,【参考】排出係数!$AI$4:$AI$671,1)-1,5,BE1978),3,FALSE),IF(OR(AW1978=1,AW1978=2),VLOOKUP(AU1978,INDEX((係数_乗用_ガソリン,係数_乗用_CNG,係数_乗用_軽油,係数_乗用_メタノール,係数_乗用_LPG),1,1,BE1978):INDEX((係数_乗用_ガソリン,係数_乗用_CNG,係数_乗用_軽油,係数_乗用_メタノール,係数_乗用_LPG),125,5,BE1978),3,FALSE))))))</f>
        <v/>
      </c>
      <c r="BC1978" s="467" t="str">
        <f t="shared" ref="BC1978:BC2041" si="1166">IF((AS1978="")+(AC1978=""),"",IF(燃料区分1=4,VLOOKUP(BB1978,排ガス低減レベル,2,FALSE),VLOOKUP(AC1978,排ガス低減レベル,2,FALSE)))</f>
        <v/>
      </c>
      <c r="BD1978" s="567" t="str">
        <f t="shared" ref="BD1978:BD2041" si="1167">IF(AT1978="","",IF(AW1978=3,B1978&amp;"-"&amp;SUM(AW1978*100,AX1978*10,AY1978)&amp;"A",IF(OR(AW1978=2,AW1978=4,AW1978=6),B1978&amp;"-"&amp;AY1978*10&amp;"A",IF(AW1978=1,B1978&amp;"-"&amp;AW1978&amp;"A",IF(AW1978=5,B1978&amp;"-"&amp;SUM(AW1978*100,AV1978*10,AY1978)&amp;"A","")))))</f>
        <v/>
      </c>
      <c r="BE1978" s="467" t="str">
        <f t="shared" ref="BE1978:BE2041" si="1168">IF(OR(AZ1978=1,AZ1978=2,AZ1978=11),1,IF(AZ1978=6,2,IF(OR(AZ1978=4,AZ1978=5,AZ1978=10),3,IF(AZ1978=7,4,IF(AZ1978=3,5, IF(OR(AZ1978=8,AZ1978=9),6,""))))))</f>
        <v/>
      </c>
      <c r="BF1978" s="469" t="str">
        <f t="shared" ref="BF1978:BF2041" ca="1" si="1169">(IF(OR(AZ1978=4,AZ1978=5),OFFSET($CH$1,MATCH($AF1978,$CG$2:$CG$4,0),0)&amp;BK1978,""))</f>
        <v/>
      </c>
      <c r="BG1978" s="469" t="str">
        <f t="shared" ref="BG1978:BG2041" ca="1" si="1170">(IF(OR(AZ1978=4,AZ1978=5),OFFSET($CJ$1,MATCH($AG1978,$CI$2:$CI$5,0),0)&amp;BK1978,""))</f>
        <v/>
      </c>
      <c r="BH1978" s="467" t="str">
        <f t="shared" ref="BH1978:BH2041" si="1171">IF(OR(AZ1978=4,AZ1978=5),IF(OR(LEFT(BF1978,1)="1",LEFT(BG1978,1)="2",LEFT(BG1978,1)="3"),1,2)&amp;BK1978,"")</f>
        <v/>
      </c>
      <c r="BI1978" s="467" t="str">
        <f t="shared" ref="BI1978:BI2041" ca="1" si="1172">IF(LEFT(BF1978)="1",1,IF(LEFT(BG1978,1)="2",2,IF(LEFT(BG1978,1)="3",3,"")))</f>
        <v/>
      </c>
      <c r="BJ1978" s="469" t="str">
        <f t="shared" ref="BJ1978:BJ2041" si="1173">IF(AT1978="","",B1978&amp;"-"&amp;AZ1978)</f>
        <v/>
      </c>
      <c r="BK1978" s="470" t="str">
        <f t="shared" si="1157"/>
        <v/>
      </c>
      <c r="BL1978" s="775" t="str">
        <f t="shared" ref="BL1978:BL2041" si="1174">IF(AND(OR($T1978="新規",$T1978="継続"),ISBLANK($AD1978)),1,"")</f>
        <v/>
      </c>
      <c r="BM1978" s="775" t="str">
        <f t="shared" ref="BM1978:BM2041" si="1175">IF(AND(OR($T1978="新規",$T1978="継続"),ISBLANK($AE1978)),1,"")</f>
        <v/>
      </c>
    </row>
    <row r="1979" spans="1:65">
      <c r="A1979" s="473">
        <v>1923</v>
      </c>
      <c r="B1979" s="132"/>
      <c r="C1979" s="332"/>
      <c r="D1979" s="333"/>
      <c r="E1979" s="333"/>
      <c r="F1979" s="334"/>
      <c r="G1979" s="337"/>
      <c r="H1979" s="131"/>
      <c r="I1979" s="337"/>
      <c r="J1979" s="131"/>
      <c r="K1979" s="458" t="str">
        <f t="shared" si="1138"/>
        <v/>
      </c>
      <c r="L1979" s="458">
        <f t="shared" si="1139"/>
        <v>0</v>
      </c>
      <c r="M1979" s="458">
        <f t="shared" si="1140"/>
        <v>0</v>
      </c>
      <c r="N1979" s="459" t="str">
        <f t="shared" si="1151"/>
        <v/>
      </c>
      <c r="O1979" s="459" t="str">
        <f t="shared" si="1152"/>
        <v/>
      </c>
      <c r="P1979" s="459" t="str">
        <f t="shared" si="1153"/>
        <v/>
      </c>
      <c r="Q1979" s="459" t="str">
        <f t="shared" si="1154"/>
        <v/>
      </c>
      <c r="R1979" s="459" t="str">
        <f t="shared" si="1155"/>
        <v/>
      </c>
      <c r="S1979" s="459" t="str">
        <f t="shared" si="1156"/>
        <v/>
      </c>
      <c r="T1979" s="566" t="str">
        <f t="shared" si="1141"/>
        <v/>
      </c>
      <c r="U1979" s="702"/>
      <c r="V1979" s="132"/>
      <c r="W1979" s="133"/>
      <c r="X1979" s="134"/>
      <c r="Y1979" s="135"/>
      <c r="Z1979" s="137"/>
      <c r="AA1979" s="136"/>
      <c r="AB1979" s="566" t="str">
        <f t="shared" si="1142"/>
        <v/>
      </c>
      <c r="AC1979" s="568" t="str">
        <f t="shared" si="1143"/>
        <v/>
      </c>
      <c r="AD1979" s="137"/>
      <c r="AE1979" s="137"/>
      <c r="AF1979" s="138"/>
      <c r="AG1979" s="138"/>
      <c r="AH1979" s="592" t="str">
        <f t="shared" si="1144"/>
        <v/>
      </c>
      <c r="AI1979" s="592" t="str">
        <f t="shared" si="1145"/>
        <v/>
      </c>
      <c r="AJ1979" s="592" t="str">
        <f t="shared" si="1146"/>
        <v/>
      </c>
      <c r="AK1979" s="460" t="str">
        <f>IF(AU1979="","",IF(OR(AZ1979=8,AZ1979=9),0,IF(OR(AW1979=3,AW1979=4,AW1979=5,AW1979=6),IF(LEFT(BF1979,1)="1",INDEX(係数_NOX・PM低減,MATCH(AY1979,【参考】排出係数!$AI$801:$AI$804,1),1),VLOOKUP(AU1979,INDEX((係数_バス貨物_ガソリン,係数_バス貨物_CNG,係数_バス貨物_軽油,係数_バス貨物_メタノール,係数_バス貨物_LPG),MATCH(AY1979,【参考】排出係数!$AI$4:$AI$671,1),1,BE1979):INDEX((係数_バス貨物_ガソリン,係数_バス貨物_CNG,係数_バス貨物_軽油,係数_バス貨物_メタノール,係数_バス貨物_LPG),MATCH(AY1979+1,【参考】排出係数!$AI$4:$AI$671,1)-1,5,BE1979),4,FALSE)),IF(AND(BE1979=3,LEFT(BF1979,1)="1"),0.48,VLOOKUP(AU1979,INDEX((係数_乗用_ガソリン,係数_乗用_CNG,係数_乗用_軽油,係数_乗用_メタノール,係数_乗用_LPG),1,1,BE1979):INDEX((係数_乗用_ガソリン,係数_乗用_CNG,係数_乗用_軽油,係数_乗用_メタノール,係数_乗用_LPG),125,5,BE1979),4,FALSE)))))</f>
        <v/>
      </c>
      <c r="AL1979" s="461" t="str">
        <f t="shared" si="1147"/>
        <v/>
      </c>
      <c r="AM1979" s="460" t="str">
        <f>IF(AU1979="","",IF(OR(AZ1979=8,AZ1979=9),0,IF(OR(AW1979=3,AW1979=4,AW1979=5,AW1979=6),IF(LEFT(BH1979,1)="1",INDEX(係数_PM低減,MATCH(AY1979,【参考】排出係数!$AI$801:$AI$804,1),MATCH(BI1979,【参考】排出係数!$AL$798:$AO$798,1)),VLOOKUP(AU1979,INDEX((係数_バス貨物_ガソリン,係数_バス貨物_CNG,係数_バス貨物_軽油,係数_バス貨物_メタノール,係数_バス貨物_LPG),MATCH(AY1979,【参考】排出係数!$AI$4:$AI$671,1),1,BE1979):INDEX((係数_バス貨物_ガソリン,係数_バス貨物_CNG,係数_バス貨物_軽油,係数_バス貨物_メタノール,係数_バス貨物_LPG),MATCH(AY1979+1,【参考】排出係数!$AI$4:$AI$671,1)-1,5,BE1979),5,FALSE)),IF(AND(BE1979=3,LEFT(BF1979,1)="1"),0.055,VLOOKUP(AU1979,INDEX((係数_乗用_ガソリン,係数_乗用_CNG,係数_乗用_軽油,係数_乗用_メタノール,係数_乗用_LPG),1,1,BE1979):INDEX((係数_乗用_ガソリン,係数_乗用_CNG,係数_乗用_軽油,係数_乗用_メタノール,係数_乗用_LPG),125,5,BE1979),5,FALSE)))))</f>
        <v/>
      </c>
      <c r="AN1979" s="461" t="str">
        <f t="shared" si="1148"/>
        <v/>
      </c>
      <c r="AO1979" s="462" t="str">
        <f t="shared" si="1149"/>
        <v/>
      </c>
      <c r="AP1979" s="463" t="str">
        <f t="shared" si="1150"/>
        <v/>
      </c>
      <c r="AQ1979" s="464"/>
      <c r="AR1979" s="619"/>
      <c r="AS1979" s="465" t="str">
        <f t="shared" si="1158"/>
        <v/>
      </c>
      <c r="AT1979" s="465" t="str">
        <f t="shared" si="1159"/>
        <v/>
      </c>
      <c r="AU1979" s="466" t="str">
        <f t="shared" si="1160"/>
        <v/>
      </c>
      <c r="AV1979" s="467" t="str">
        <f t="shared" si="1161"/>
        <v/>
      </c>
      <c r="AW1979" s="467" t="str">
        <f t="shared" si="1162"/>
        <v/>
      </c>
      <c r="AX1979" s="467" t="str">
        <f t="shared" si="1163"/>
        <v/>
      </c>
      <c r="AY1979" s="467" t="str">
        <f t="shared" si="1164"/>
        <v/>
      </c>
      <c r="AZ1979" s="467" t="str">
        <f t="shared" si="1165"/>
        <v/>
      </c>
      <c r="BA1979" s="468" t="str">
        <f>IF(AS1979="","",IF(OR(AU1979="",AU1979="-"),"－",IF(OR(AZ1979=8,AZ1979=9),"",IF(OR(AW1979=3,AW1979=4,AW1979=5,AW1979=6),VLOOKUP(AU1979,INDEX((係数_バス貨物_ガソリン,係数_バス貨物_CNG,係数_バス貨物_軽油,係数_バス貨物_メタノール,係数_バス貨物_LPG),MATCH(AY1979,【参考】排出係数!$AI$4:$AI$671,1),1,BE1979):INDEX((係数_バス貨物_ガソリン,係数_バス貨物_CNG,係数_バス貨物_軽油,係数_バス貨物_メタノール,係数_バス貨物_LPG),MATCH(AY1979+1,【参考】排出係数!$AI$4:$AI$671,1)-1,5,BE1979),2,FALSE),IF(OR(AW1979=1,AW1979=2),VLOOKUP(AU1979,INDEX((係数_乗用_ガソリン,係数_乗用_CNG,係数_乗用_軽油,係数_乗用_メタノール,係数_乗用_LPG),1,1,BE1979):INDEX((係数_乗用_ガソリン,係数_乗用_CNG,係数_乗用_軽油,係数_乗用_メタノール,係数_乗用_LPG),125,5,BE1979),2,FALSE))))))</f>
        <v/>
      </c>
      <c r="BB1979" s="468" t="str">
        <f>IF(T1979="","",IF(OR(AU1979="",AU1979="-"),"－",IF(OR(AZ1979=8,AZ1979=9),"",IF(OR(AW1979=3,AW1979=4,AW1979=5,AW1979=6),VLOOKUP(AU1979,INDEX((係数_バス貨物_ガソリン,係数_バス貨物_CNG,係数_バス貨物_軽油,係数_バス貨物_メタノール,係数_バス貨物_LPG),MATCH(AY1979,【参考】排出係数!$AI$4:$AI$671,1),1,BE1979):INDEX((係数_バス貨物_ガソリン,係数_バス貨物_CNG,係数_バス貨物_軽油,係数_バス貨物_メタノール,係数_バス貨物_LPG),MATCH(AY1979+1,【参考】排出係数!$AI$4:$AI$671,1)-1,5,BE1979),3,FALSE),IF(OR(AW1979=1,AW1979=2),VLOOKUP(AU1979,INDEX((係数_乗用_ガソリン,係数_乗用_CNG,係数_乗用_軽油,係数_乗用_メタノール,係数_乗用_LPG),1,1,BE1979):INDEX((係数_乗用_ガソリン,係数_乗用_CNG,係数_乗用_軽油,係数_乗用_メタノール,係数_乗用_LPG),125,5,BE1979),3,FALSE))))))</f>
        <v/>
      </c>
      <c r="BC1979" s="467" t="str">
        <f t="shared" si="1166"/>
        <v/>
      </c>
      <c r="BD1979" s="567" t="str">
        <f t="shared" si="1167"/>
        <v/>
      </c>
      <c r="BE1979" s="467" t="str">
        <f t="shared" si="1168"/>
        <v/>
      </c>
      <c r="BF1979" s="469" t="str">
        <f t="shared" ca="1" si="1169"/>
        <v/>
      </c>
      <c r="BG1979" s="469" t="str">
        <f t="shared" ca="1" si="1170"/>
        <v/>
      </c>
      <c r="BH1979" s="467" t="str">
        <f t="shared" si="1171"/>
        <v/>
      </c>
      <c r="BI1979" s="467" t="str">
        <f t="shared" ca="1" si="1172"/>
        <v/>
      </c>
      <c r="BJ1979" s="469" t="str">
        <f t="shared" si="1173"/>
        <v/>
      </c>
      <c r="BK1979" s="470" t="str">
        <f t="shared" si="1157"/>
        <v/>
      </c>
      <c r="BL1979" s="775" t="str">
        <f t="shared" si="1174"/>
        <v/>
      </c>
      <c r="BM1979" s="775" t="str">
        <f t="shared" si="1175"/>
        <v/>
      </c>
    </row>
    <row r="1980" spans="1:65">
      <c r="A1980" s="473">
        <v>1924</v>
      </c>
      <c r="B1980" s="132"/>
      <c r="C1980" s="332"/>
      <c r="D1980" s="333"/>
      <c r="E1980" s="333"/>
      <c r="F1980" s="334"/>
      <c r="G1980" s="337"/>
      <c r="H1980" s="131"/>
      <c r="I1980" s="337"/>
      <c r="J1980" s="131"/>
      <c r="K1980" s="458" t="str">
        <f t="shared" si="1138"/>
        <v/>
      </c>
      <c r="L1980" s="458">
        <f t="shared" si="1139"/>
        <v>0</v>
      </c>
      <c r="M1980" s="458">
        <f t="shared" si="1140"/>
        <v>0</v>
      </c>
      <c r="N1980" s="459" t="str">
        <f t="shared" si="1151"/>
        <v/>
      </c>
      <c r="O1980" s="459" t="str">
        <f t="shared" si="1152"/>
        <v/>
      </c>
      <c r="P1980" s="459" t="str">
        <f t="shared" si="1153"/>
        <v/>
      </c>
      <c r="Q1980" s="459" t="str">
        <f t="shared" si="1154"/>
        <v/>
      </c>
      <c r="R1980" s="459" t="str">
        <f t="shared" si="1155"/>
        <v/>
      </c>
      <c r="S1980" s="459" t="str">
        <f t="shared" si="1156"/>
        <v/>
      </c>
      <c r="T1980" s="566" t="str">
        <f t="shared" si="1141"/>
        <v/>
      </c>
      <c r="U1980" s="702"/>
      <c r="V1980" s="132"/>
      <c r="W1980" s="133"/>
      <c r="X1980" s="134"/>
      <c r="Y1980" s="135"/>
      <c r="Z1980" s="137"/>
      <c r="AA1980" s="136"/>
      <c r="AB1980" s="566" t="str">
        <f t="shared" si="1142"/>
        <v/>
      </c>
      <c r="AC1980" s="568" t="str">
        <f t="shared" si="1143"/>
        <v/>
      </c>
      <c r="AD1980" s="137"/>
      <c r="AE1980" s="137"/>
      <c r="AF1980" s="138"/>
      <c r="AG1980" s="138"/>
      <c r="AH1980" s="592" t="str">
        <f t="shared" si="1144"/>
        <v/>
      </c>
      <c r="AI1980" s="592" t="str">
        <f t="shared" si="1145"/>
        <v/>
      </c>
      <c r="AJ1980" s="592" t="str">
        <f t="shared" si="1146"/>
        <v/>
      </c>
      <c r="AK1980" s="460" t="str">
        <f>IF(AU1980="","",IF(OR(AZ1980=8,AZ1980=9),0,IF(OR(AW1980=3,AW1980=4,AW1980=5,AW1980=6),IF(LEFT(BF1980,1)="1",INDEX(係数_NOX・PM低減,MATCH(AY1980,【参考】排出係数!$AI$801:$AI$804,1),1),VLOOKUP(AU1980,INDEX((係数_バス貨物_ガソリン,係数_バス貨物_CNG,係数_バス貨物_軽油,係数_バス貨物_メタノール,係数_バス貨物_LPG),MATCH(AY1980,【参考】排出係数!$AI$4:$AI$671,1),1,BE1980):INDEX((係数_バス貨物_ガソリン,係数_バス貨物_CNG,係数_バス貨物_軽油,係数_バス貨物_メタノール,係数_バス貨物_LPG),MATCH(AY1980+1,【参考】排出係数!$AI$4:$AI$671,1)-1,5,BE1980),4,FALSE)),IF(AND(BE1980=3,LEFT(BF1980,1)="1"),0.48,VLOOKUP(AU1980,INDEX((係数_乗用_ガソリン,係数_乗用_CNG,係数_乗用_軽油,係数_乗用_メタノール,係数_乗用_LPG),1,1,BE1980):INDEX((係数_乗用_ガソリン,係数_乗用_CNG,係数_乗用_軽油,係数_乗用_メタノール,係数_乗用_LPG),125,5,BE1980),4,FALSE)))))</f>
        <v/>
      </c>
      <c r="AL1980" s="461" t="str">
        <f t="shared" si="1147"/>
        <v/>
      </c>
      <c r="AM1980" s="460" t="str">
        <f>IF(AU1980="","",IF(OR(AZ1980=8,AZ1980=9),0,IF(OR(AW1980=3,AW1980=4,AW1980=5,AW1980=6),IF(LEFT(BH1980,1)="1",INDEX(係数_PM低減,MATCH(AY1980,【参考】排出係数!$AI$801:$AI$804,1),MATCH(BI1980,【参考】排出係数!$AL$798:$AO$798,1)),VLOOKUP(AU1980,INDEX((係数_バス貨物_ガソリン,係数_バス貨物_CNG,係数_バス貨物_軽油,係数_バス貨物_メタノール,係数_バス貨物_LPG),MATCH(AY1980,【参考】排出係数!$AI$4:$AI$671,1),1,BE1980):INDEX((係数_バス貨物_ガソリン,係数_バス貨物_CNG,係数_バス貨物_軽油,係数_バス貨物_メタノール,係数_バス貨物_LPG),MATCH(AY1980+1,【参考】排出係数!$AI$4:$AI$671,1)-1,5,BE1980),5,FALSE)),IF(AND(BE1980=3,LEFT(BF1980,1)="1"),0.055,VLOOKUP(AU1980,INDEX((係数_乗用_ガソリン,係数_乗用_CNG,係数_乗用_軽油,係数_乗用_メタノール,係数_乗用_LPG),1,1,BE1980):INDEX((係数_乗用_ガソリン,係数_乗用_CNG,係数_乗用_軽油,係数_乗用_メタノール,係数_乗用_LPG),125,5,BE1980),5,FALSE)))))</f>
        <v/>
      </c>
      <c r="AN1980" s="461" t="str">
        <f t="shared" si="1148"/>
        <v/>
      </c>
      <c r="AO1980" s="462" t="str">
        <f t="shared" si="1149"/>
        <v/>
      </c>
      <c r="AP1980" s="463" t="str">
        <f t="shared" si="1150"/>
        <v/>
      </c>
      <c r="AQ1980" s="464"/>
      <c r="AR1980" s="619"/>
      <c r="AS1980" s="465" t="str">
        <f t="shared" si="1158"/>
        <v/>
      </c>
      <c r="AT1980" s="465" t="str">
        <f t="shared" si="1159"/>
        <v/>
      </c>
      <c r="AU1980" s="466" t="str">
        <f t="shared" si="1160"/>
        <v/>
      </c>
      <c r="AV1980" s="467" t="str">
        <f t="shared" si="1161"/>
        <v/>
      </c>
      <c r="AW1980" s="467" t="str">
        <f t="shared" si="1162"/>
        <v/>
      </c>
      <c r="AX1980" s="467" t="str">
        <f t="shared" si="1163"/>
        <v/>
      </c>
      <c r="AY1980" s="467" t="str">
        <f t="shared" si="1164"/>
        <v/>
      </c>
      <c r="AZ1980" s="467" t="str">
        <f t="shared" si="1165"/>
        <v/>
      </c>
      <c r="BA1980" s="468" t="str">
        <f>IF(AS1980="","",IF(OR(AU1980="",AU1980="-"),"－",IF(OR(AZ1980=8,AZ1980=9),"",IF(OR(AW1980=3,AW1980=4,AW1980=5,AW1980=6),VLOOKUP(AU1980,INDEX((係数_バス貨物_ガソリン,係数_バス貨物_CNG,係数_バス貨物_軽油,係数_バス貨物_メタノール,係数_バス貨物_LPG),MATCH(AY1980,【参考】排出係数!$AI$4:$AI$671,1),1,BE1980):INDEX((係数_バス貨物_ガソリン,係数_バス貨物_CNG,係数_バス貨物_軽油,係数_バス貨物_メタノール,係数_バス貨物_LPG),MATCH(AY1980+1,【参考】排出係数!$AI$4:$AI$671,1)-1,5,BE1980),2,FALSE),IF(OR(AW1980=1,AW1980=2),VLOOKUP(AU1980,INDEX((係数_乗用_ガソリン,係数_乗用_CNG,係数_乗用_軽油,係数_乗用_メタノール,係数_乗用_LPG),1,1,BE1980):INDEX((係数_乗用_ガソリン,係数_乗用_CNG,係数_乗用_軽油,係数_乗用_メタノール,係数_乗用_LPG),125,5,BE1980),2,FALSE))))))</f>
        <v/>
      </c>
      <c r="BB1980" s="468" t="str">
        <f>IF(T1980="","",IF(OR(AU1980="",AU1980="-"),"－",IF(OR(AZ1980=8,AZ1980=9),"",IF(OR(AW1980=3,AW1980=4,AW1980=5,AW1980=6),VLOOKUP(AU1980,INDEX((係数_バス貨物_ガソリン,係数_バス貨物_CNG,係数_バス貨物_軽油,係数_バス貨物_メタノール,係数_バス貨物_LPG),MATCH(AY1980,【参考】排出係数!$AI$4:$AI$671,1),1,BE1980):INDEX((係数_バス貨物_ガソリン,係数_バス貨物_CNG,係数_バス貨物_軽油,係数_バス貨物_メタノール,係数_バス貨物_LPG),MATCH(AY1980+1,【参考】排出係数!$AI$4:$AI$671,1)-1,5,BE1980),3,FALSE),IF(OR(AW1980=1,AW1980=2),VLOOKUP(AU1980,INDEX((係数_乗用_ガソリン,係数_乗用_CNG,係数_乗用_軽油,係数_乗用_メタノール,係数_乗用_LPG),1,1,BE1980):INDEX((係数_乗用_ガソリン,係数_乗用_CNG,係数_乗用_軽油,係数_乗用_メタノール,係数_乗用_LPG),125,5,BE1980),3,FALSE))))))</f>
        <v/>
      </c>
      <c r="BC1980" s="467" t="str">
        <f t="shared" si="1166"/>
        <v/>
      </c>
      <c r="BD1980" s="567" t="str">
        <f t="shared" si="1167"/>
        <v/>
      </c>
      <c r="BE1980" s="467" t="str">
        <f t="shared" si="1168"/>
        <v/>
      </c>
      <c r="BF1980" s="469" t="str">
        <f t="shared" ca="1" si="1169"/>
        <v/>
      </c>
      <c r="BG1980" s="469" t="str">
        <f t="shared" ca="1" si="1170"/>
        <v/>
      </c>
      <c r="BH1980" s="467" t="str">
        <f t="shared" si="1171"/>
        <v/>
      </c>
      <c r="BI1980" s="467" t="str">
        <f t="shared" ca="1" si="1172"/>
        <v/>
      </c>
      <c r="BJ1980" s="469" t="str">
        <f t="shared" si="1173"/>
        <v/>
      </c>
      <c r="BK1980" s="470" t="str">
        <f t="shared" si="1157"/>
        <v/>
      </c>
      <c r="BL1980" s="775" t="str">
        <f t="shared" si="1174"/>
        <v/>
      </c>
      <c r="BM1980" s="775" t="str">
        <f t="shared" si="1175"/>
        <v/>
      </c>
    </row>
    <row r="1981" spans="1:65">
      <c r="A1981" s="473">
        <v>1925</v>
      </c>
      <c r="B1981" s="132"/>
      <c r="C1981" s="332"/>
      <c r="D1981" s="333"/>
      <c r="E1981" s="333"/>
      <c r="F1981" s="334"/>
      <c r="G1981" s="337"/>
      <c r="H1981" s="131"/>
      <c r="I1981" s="337"/>
      <c r="J1981" s="131"/>
      <c r="K1981" s="458" t="str">
        <f t="shared" si="1138"/>
        <v/>
      </c>
      <c r="L1981" s="458">
        <f t="shared" si="1139"/>
        <v>0</v>
      </c>
      <c r="M1981" s="458">
        <f t="shared" si="1140"/>
        <v>0</v>
      </c>
      <c r="N1981" s="459" t="str">
        <f t="shared" si="1151"/>
        <v/>
      </c>
      <c r="O1981" s="459" t="str">
        <f t="shared" si="1152"/>
        <v/>
      </c>
      <c r="P1981" s="459" t="str">
        <f t="shared" si="1153"/>
        <v/>
      </c>
      <c r="Q1981" s="459" t="str">
        <f t="shared" si="1154"/>
        <v/>
      </c>
      <c r="R1981" s="459" t="str">
        <f t="shared" si="1155"/>
        <v/>
      </c>
      <c r="S1981" s="459" t="str">
        <f t="shared" si="1156"/>
        <v/>
      </c>
      <c r="T1981" s="566" t="str">
        <f t="shared" si="1141"/>
        <v/>
      </c>
      <c r="U1981" s="702"/>
      <c r="V1981" s="132"/>
      <c r="W1981" s="133"/>
      <c r="X1981" s="134"/>
      <c r="Y1981" s="135"/>
      <c r="Z1981" s="137"/>
      <c r="AA1981" s="136"/>
      <c r="AB1981" s="566" t="str">
        <f t="shared" si="1142"/>
        <v/>
      </c>
      <c r="AC1981" s="568" t="str">
        <f t="shared" si="1143"/>
        <v/>
      </c>
      <c r="AD1981" s="137"/>
      <c r="AE1981" s="137"/>
      <c r="AF1981" s="138"/>
      <c r="AG1981" s="138"/>
      <c r="AH1981" s="592" t="str">
        <f t="shared" si="1144"/>
        <v/>
      </c>
      <c r="AI1981" s="592" t="str">
        <f t="shared" si="1145"/>
        <v/>
      </c>
      <c r="AJ1981" s="592" t="str">
        <f t="shared" si="1146"/>
        <v/>
      </c>
      <c r="AK1981" s="460" t="str">
        <f>IF(AU1981="","",IF(OR(AZ1981=8,AZ1981=9),0,IF(OR(AW1981=3,AW1981=4,AW1981=5,AW1981=6),IF(LEFT(BF1981,1)="1",INDEX(係数_NOX・PM低減,MATCH(AY1981,【参考】排出係数!$AI$801:$AI$804,1),1),VLOOKUP(AU1981,INDEX((係数_バス貨物_ガソリン,係数_バス貨物_CNG,係数_バス貨物_軽油,係数_バス貨物_メタノール,係数_バス貨物_LPG),MATCH(AY1981,【参考】排出係数!$AI$4:$AI$671,1),1,BE1981):INDEX((係数_バス貨物_ガソリン,係数_バス貨物_CNG,係数_バス貨物_軽油,係数_バス貨物_メタノール,係数_バス貨物_LPG),MATCH(AY1981+1,【参考】排出係数!$AI$4:$AI$671,1)-1,5,BE1981),4,FALSE)),IF(AND(BE1981=3,LEFT(BF1981,1)="1"),0.48,VLOOKUP(AU1981,INDEX((係数_乗用_ガソリン,係数_乗用_CNG,係数_乗用_軽油,係数_乗用_メタノール,係数_乗用_LPG),1,1,BE1981):INDEX((係数_乗用_ガソリン,係数_乗用_CNG,係数_乗用_軽油,係数_乗用_メタノール,係数_乗用_LPG),125,5,BE1981),4,FALSE)))))</f>
        <v/>
      </c>
      <c r="AL1981" s="461" t="str">
        <f t="shared" si="1147"/>
        <v/>
      </c>
      <c r="AM1981" s="460" t="str">
        <f>IF(AU1981="","",IF(OR(AZ1981=8,AZ1981=9),0,IF(OR(AW1981=3,AW1981=4,AW1981=5,AW1981=6),IF(LEFT(BH1981,1)="1",INDEX(係数_PM低減,MATCH(AY1981,【参考】排出係数!$AI$801:$AI$804,1),MATCH(BI1981,【参考】排出係数!$AL$798:$AO$798,1)),VLOOKUP(AU1981,INDEX((係数_バス貨物_ガソリン,係数_バス貨物_CNG,係数_バス貨物_軽油,係数_バス貨物_メタノール,係数_バス貨物_LPG),MATCH(AY1981,【参考】排出係数!$AI$4:$AI$671,1),1,BE1981):INDEX((係数_バス貨物_ガソリン,係数_バス貨物_CNG,係数_バス貨物_軽油,係数_バス貨物_メタノール,係数_バス貨物_LPG),MATCH(AY1981+1,【参考】排出係数!$AI$4:$AI$671,1)-1,5,BE1981),5,FALSE)),IF(AND(BE1981=3,LEFT(BF1981,1)="1"),0.055,VLOOKUP(AU1981,INDEX((係数_乗用_ガソリン,係数_乗用_CNG,係数_乗用_軽油,係数_乗用_メタノール,係数_乗用_LPG),1,1,BE1981):INDEX((係数_乗用_ガソリン,係数_乗用_CNG,係数_乗用_軽油,係数_乗用_メタノール,係数_乗用_LPG),125,5,BE1981),5,FALSE)))))</f>
        <v/>
      </c>
      <c r="AN1981" s="461" t="str">
        <f t="shared" si="1148"/>
        <v/>
      </c>
      <c r="AO1981" s="462" t="str">
        <f t="shared" si="1149"/>
        <v/>
      </c>
      <c r="AP1981" s="463" t="str">
        <f t="shared" si="1150"/>
        <v/>
      </c>
      <c r="AQ1981" s="464"/>
      <c r="AR1981" s="619"/>
      <c r="AS1981" s="465" t="str">
        <f t="shared" si="1158"/>
        <v/>
      </c>
      <c r="AT1981" s="465" t="str">
        <f t="shared" si="1159"/>
        <v/>
      </c>
      <c r="AU1981" s="466" t="str">
        <f t="shared" si="1160"/>
        <v/>
      </c>
      <c r="AV1981" s="467" t="str">
        <f t="shared" si="1161"/>
        <v/>
      </c>
      <c r="AW1981" s="467" t="str">
        <f t="shared" si="1162"/>
        <v/>
      </c>
      <c r="AX1981" s="467" t="str">
        <f t="shared" si="1163"/>
        <v/>
      </c>
      <c r="AY1981" s="467" t="str">
        <f t="shared" si="1164"/>
        <v/>
      </c>
      <c r="AZ1981" s="467" t="str">
        <f t="shared" si="1165"/>
        <v/>
      </c>
      <c r="BA1981" s="468" t="str">
        <f>IF(AS1981="","",IF(OR(AU1981="",AU1981="-"),"－",IF(OR(AZ1981=8,AZ1981=9),"",IF(OR(AW1981=3,AW1981=4,AW1981=5,AW1981=6),VLOOKUP(AU1981,INDEX((係数_バス貨物_ガソリン,係数_バス貨物_CNG,係数_バス貨物_軽油,係数_バス貨物_メタノール,係数_バス貨物_LPG),MATCH(AY1981,【参考】排出係数!$AI$4:$AI$671,1),1,BE1981):INDEX((係数_バス貨物_ガソリン,係数_バス貨物_CNG,係数_バス貨物_軽油,係数_バス貨物_メタノール,係数_バス貨物_LPG),MATCH(AY1981+1,【参考】排出係数!$AI$4:$AI$671,1)-1,5,BE1981),2,FALSE),IF(OR(AW1981=1,AW1981=2),VLOOKUP(AU1981,INDEX((係数_乗用_ガソリン,係数_乗用_CNG,係数_乗用_軽油,係数_乗用_メタノール,係数_乗用_LPG),1,1,BE1981):INDEX((係数_乗用_ガソリン,係数_乗用_CNG,係数_乗用_軽油,係数_乗用_メタノール,係数_乗用_LPG),125,5,BE1981),2,FALSE))))))</f>
        <v/>
      </c>
      <c r="BB1981" s="468" t="str">
        <f>IF(T1981="","",IF(OR(AU1981="",AU1981="-"),"－",IF(OR(AZ1981=8,AZ1981=9),"",IF(OR(AW1981=3,AW1981=4,AW1981=5,AW1981=6),VLOOKUP(AU1981,INDEX((係数_バス貨物_ガソリン,係数_バス貨物_CNG,係数_バス貨物_軽油,係数_バス貨物_メタノール,係数_バス貨物_LPG),MATCH(AY1981,【参考】排出係数!$AI$4:$AI$671,1),1,BE1981):INDEX((係数_バス貨物_ガソリン,係数_バス貨物_CNG,係数_バス貨物_軽油,係数_バス貨物_メタノール,係数_バス貨物_LPG),MATCH(AY1981+1,【参考】排出係数!$AI$4:$AI$671,1)-1,5,BE1981),3,FALSE),IF(OR(AW1981=1,AW1981=2),VLOOKUP(AU1981,INDEX((係数_乗用_ガソリン,係数_乗用_CNG,係数_乗用_軽油,係数_乗用_メタノール,係数_乗用_LPG),1,1,BE1981):INDEX((係数_乗用_ガソリン,係数_乗用_CNG,係数_乗用_軽油,係数_乗用_メタノール,係数_乗用_LPG),125,5,BE1981),3,FALSE))))))</f>
        <v/>
      </c>
      <c r="BC1981" s="467" t="str">
        <f t="shared" si="1166"/>
        <v/>
      </c>
      <c r="BD1981" s="567" t="str">
        <f t="shared" si="1167"/>
        <v/>
      </c>
      <c r="BE1981" s="467" t="str">
        <f t="shared" si="1168"/>
        <v/>
      </c>
      <c r="BF1981" s="469" t="str">
        <f t="shared" ca="1" si="1169"/>
        <v/>
      </c>
      <c r="BG1981" s="469" t="str">
        <f t="shared" ca="1" si="1170"/>
        <v/>
      </c>
      <c r="BH1981" s="467" t="str">
        <f t="shared" si="1171"/>
        <v/>
      </c>
      <c r="BI1981" s="467" t="str">
        <f t="shared" ca="1" si="1172"/>
        <v/>
      </c>
      <c r="BJ1981" s="469" t="str">
        <f t="shared" si="1173"/>
        <v/>
      </c>
      <c r="BK1981" s="470" t="str">
        <f t="shared" si="1157"/>
        <v/>
      </c>
      <c r="BL1981" s="775" t="str">
        <f t="shared" si="1174"/>
        <v/>
      </c>
      <c r="BM1981" s="775" t="str">
        <f t="shared" si="1175"/>
        <v/>
      </c>
    </row>
    <row r="1982" spans="1:65">
      <c r="A1982" s="473">
        <v>1926</v>
      </c>
      <c r="B1982" s="132"/>
      <c r="C1982" s="332"/>
      <c r="D1982" s="333"/>
      <c r="E1982" s="333"/>
      <c r="F1982" s="334"/>
      <c r="G1982" s="337"/>
      <c r="H1982" s="131"/>
      <c r="I1982" s="337"/>
      <c r="J1982" s="131"/>
      <c r="K1982" s="458" t="str">
        <f t="shared" si="1138"/>
        <v/>
      </c>
      <c r="L1982" s="458">
        <f t="shared" si="1139"/>
        <v>0</v>
      </c>
      <c r="M1982" s="458">
        <f t="shared" si="1140"/>
        <v>0</v>
      </c>
      <c r="N1982" s="459" t="str">
        <f t="shared" si="1151"/>
        <v/>
      </c>
      <c r="O1982" s="459" t="str">
        <f t="shared" si="1152"/>
        <v/>
      </c>
      <c r="P1982" s="459" t="str">
        <f t="shared" si="1153"/>
        <v/>
      </c>
      <c r="Q1982" s="459" t="str">
        <f t="shared" si="1154"/>
        <v/>
      </c>
      <c r="R1982" s="459" t="str">
        <f t="shared" si="1155"/>
        <v/>
      </c>
      <c r="S1982" s="459" t="str">
        <f t="shared" si="1156"/>
        <v/>
      </c>
      <c r="T1982" s="566" t="str">
        <f t="shared" si="1141"/>
        <v/>
      </c>
      <c r="U1982" s="702"/>
      <c r="V1982" s="132"/>
      <c r="W1982" s="133"/>
      <c r="X1982" s="134"/>
      <c r="Y1982" s="135"/>
      <c r="Z1982" s="137"/>
      <c r="AA1982" s="136"/>
      <c r="AB1982" s="566" t="str">
        <f t="shared" si="1142"/>
        <v/>
      </c>
      <c r="AC1982" s="568" t="str">
        <f t="shared" si="1143"/>
        <v/>
      </c>
      <c r="AD1982" s="137"/>
      <c r="AE1982" s="137"/>
      <c r="AF1982" s="138"/>
      <c r="AG1982" s="138"/>
      <c r="AH1982" s="592" t="str">
        <f t="shared" si="1144"/>
        <v/>
      </c>
      <c r="AI1982" s="592" t="str">
        <f t="shared" si="1145"/>
        <v/>
      </c>
      <c r="AJ1982" s="592" t="str">
        <f t="shared" si="1146"/>
        <v/>
      </c>
      <c r="AK1982" s="460" t="str">
        <f>IF(AU1982="","",IF(OR(AZ1982=8,AZ1982=9),0,IF(OR(AW1982=3,AW1982=4,AW1982=5,AW1982=6),IF(LEFT(BF1982,1)="1",INDEX(係数_NOX・PM低減,MATCH(AY1982,【参考】排出係数!$AI$801:$AI$804,1),1),VLOOKUP(AU1982,INDEX((係数_バス貨物_ガソリン,係数_バス貨物_CNG,係数_バス貨物_軽油,係数_バス貨物_メタノール,係数_バス貨物_LPG),MATCH(AY1982,【参考】排出係数!$AI$4:$AI$671,1),1,BE1982):INDEX((係数_バス貨物_ガソリン,係数_バス貨物_CNG,係数_バス貨物_軽油,係数_バス貨物_メタノール,係数_バス貨物_LPG),MATCH(AY1982+1,【参考】排出係数!$AI$4:$AI$671,1)-1,5,BE1982),4,FALSE)),IF(AND(BE1982=3,LEFT(BF1982,1)="1"),0.48,VLOOKUP(AU1982,INDEX((係数_乗用_ガソリン,係数_乗用_CNG,係数_乗用_軽油,係数_乗用_メタノール,係数_乗用_LPG),1,1,BE1982):INDEX((係数_乗用_ガソリン,係数_乗用_CNG,係数_乗用_軽油,係数_乗用_メタノール,係数_乗用_LPG),125,5,BE1982),4,FALSE)))))</f>
        <v/>
      </c>
      <c r="AL1982" s="461" t="str">
        <f t="shared" si="1147"/>
        <v/>
      </c>
      <c r="AM1982" s="460" t="str">
        <f>IF(AU1982="","",IF(OR(AZ1982=8,AZ1982=9),0,IF(OR(AW1982=3,AW1982=4,AW1982=5,AW1982=6),IF(LEFT(BH1982,1)="1",INDEX(係数_PM低減,MATCH(AY1982,【参考】排出係数!$AI$801:$AI$804,1),MATCH(BI1982,【参考】排出係数!$AL$798:$AO$798,1)),VLOOKUP(AU1982,INDEX((係数_バス貨物_ガソリン,係数_バス貨物_CNG,係数_バス貨物_軽油,係数_バス貨物_メタノール,係数_バス貨物_LPG),MATCH(AY1982,【参考】排出係数!$AI$4:$AI$671,1),1,BE1982):INDEX((係数_バス貨物_ガソリン,係数_バス貨物_CNG,係数_バス貨物_軽油,係数_バス貨物_メタノール,係数_バス貨物_LPG),MATCH(AY1982+1,【参考】排出係数!$AI$4:$AI$671,1)-1,5,BE1982),5,FALSE)),IF(AND(BE1982=3,LEFT(BF1982,1)="1"),0.055,VLOOKUP(AU1982,INDEX((係数_乗用_ガソリン,係数_乗用_CNG,係数_乗用_軽油,係数_乗用_メタノール,係数_乗用_LPG),1,1,BE1982):INDEX((係数_乗用_ガソリン,係数_乗用_CNG,係数_乗用_軽油,係数_乗用_メタノール,係数_乗用_LPG),125,5,BE1982),5,FALSE)))))</f>
        <v/>
      </c>
      <c r="AN1982" s="461" t="str">
        <f t="shared" si="1148"/>
        <v/>
      </c>
      <c r="AO1982" s="462" t="str">
        <f t="shared" si="1149"/>
        <v/>
      </c>
      <c r="AP1982" s="463" t="str">
        <f t="shared" si="1150"/>
        <v/>
      </c>
      <c r="AQ1982" s="464"/>
      <c r="AR1982" s="619"/>
      <c r="AS1982" s="465" t="str">
        <f t="shared" si="1158"/>
        <v/>
      </c>
      <c r="AT1982" s="465" t="str">
        <f t="shared" si="1159"/>
        <v/>
      </c>
      <c r="AU1982" s="466" t="str">
        <f t="shared" si="1160"/>
        <v/>
      </c>
      <c r="AV1982" s="467" t="str">
        <f t="shared" si="1161"/>
        <v/>
      </c>
      <c r="AW1982" s="467" t="str">
        <f t="shared" si="1162"/>
        <v/>
      </c>
      <c r="AX1982" s="467" t="str">
        <f t="shared" si="1163"/>
        <v/>
      </c>
      <c r="AY1982" s="467" t="str">
        <f t="shared" si="1164"/>
        <v/>
      </c>
      <c r="AZ1982" s="467" t="str">
        <f t="shared" si="1165"/>
        <v/>
      </c>
      <c r="BA1982" s="468" t="str">
        <f>IF(AS1982="","",IF(OR(AU1982="",AU1982="-"),"－",IF(OR(AZ1982=8,AZ1982=9),"",IF(OR(AW1982=3,AW1982=4,AW1982=5,AW1982=6),VLOOKUP(AU1982,INDEX((係数_バス貨物_ガソリン,係数_バス貨物_CNG,係数_バス貨物_軽油,係数_バス貨物_メタノール,係数_バス貨物_LPG),MATCH(AY1982,【参考】排出係数!$AI$4:$AI$671,1),1,BE1982):INDEX((係数_バス貨物_ガソリン,係数_バス貨物_CNG,係数_バス貨物_軽油,係数_バス貨物_メタノール,係数_バス貨物_LPG),MATCH(AY1982+1,【参考】排出係数!$AI$4:$AI$671,1)-1,5,BE1982),2,FALSE),IF(OR(AW1982=1,AW1982=2),VLOOKUP(AU1982,INDEX((係数_乗用_ガソリン,係数_乗用_CNG,係数_乗用_軽油,係数_乗用_メタノール,係数_乗用_LPG),1,1,BE1982):INDEX((係数_乗用_ガソリン,係数_乗用_CNG,係数_乗用_軽油,係数_乗用_メタノール,係数_乗用_LPG),125,5,BE1982),2,FALSE))))))</f>
        <v/>
      </c>
      <c r="BB1982" s="468" t="str">
        <f>IF(T1982="","",IF(OR(AU1982="",AU1982="-"),"－",IF(OR(AZ1982=8,AZ1982=9),"",IF(OR(AW1982=3,AW1982=4,AW1982=5,AW1982=6),VLOOKUP(AU1982,INDEX((係数_バス貨物_ガソリン,係数_バス貨物_CNG,係数_バス貨物_軽油,係数_バス貨物_メタノール,係数_バス貨物_LPG),MATCH(AY1982,【参考】排出係数!$AI$4:$AI$671,1),1,BE1982):INDEX((係数_バス貨物_ガソリン,係数_バス貨物_CNG,係数_バス貨物_軽油,係数_バス貨物_メタノール,係数_バス貨物_LPG),MATCH(AY1982+1,【参考】排出係数!$AI$4:$AI$671,1)-1,5,BE1982),3,FALSE),IF(OR(AW1982=1,AW1982=2),VLOOKUP(AU1982,INDEX((係数_乗用_ガソリン,係数_乗用_CNG,係数_乗用_軽油,係数_乗用_メタノール,係数_乗用_LPG),1,1,BE1982):INDEX((係数_乗用_ガソリン,係数_乗用_CNG,係数_乗用_軽油,係数_乗用_メタノール,係数_乗用_LPG),125,5,BE1982),3,FALSE))))))</f>
        <v/>
      </c>
      <c r="BC1982" s="467" t="str">
        <f t="shared" si="1166"/>
        <v/>
      </c>
      <c r="BD1982" s="567" t="str">
        <f t="shared" si="1167"/>
        <v/>
      </c>
      <c r="BE1982" s="467" t="str">
        <f t="shared" si="1168"/>
        <v/>
      </c>
      <c r="BF1982" s="469" t="str">
        <f t="shared" ca="1" si="1169"/>
        <v/>
      </c>
      <c r="BG1982" s="469" t="str">
        <f t="shared" ca="1" si="1170"/>
        <v/>
      </c>
      <c r="BH1982" s="467" t="str">
        <f t="shared" si="1171"/>
        <v/>
      </c>
      <c r="BI1982" s="467" t="str">
        <f t="shared" ca="1" si="1172"/>
        <v/>
      </c>
      <c r="BJ1982" s="469" t="str">
        <f t="shared" si="1173"/>
        <v/>
      </c>
      <c r="BK1982" s="470" t="str">
        <f t="shared" si="1157"/>
        <v/>
      </c>
      <c r="BL1982" s="775" t="str">
        <f t="shared" si="1174"/>
        <v/>
      </c>
      <c r="BM1982" s="775" t="str">
        <f t="shared" si="1175"/>
        <v/>
      </c>
    </row>
    <row r="1983" spans="1:65">
      <c r="A1983" s="473">
        <v>1927</v>
      </c>
      <c r="B1983" s="132"/>
      <c r="C1983" s="332"/>
      <c r="D1983" s="333"/>
      <c r="E1983" s="333"/>
      <c r="F1983" s="334"/>
      <c r="G1983" s="337"/>
      <c r="H1983" s="131"/>
      <c r="I1983" s="337"/>
      <c r="J1983" s="131"/>
      <c r="K1983" s="458" t="str">
        <f t="shared" si="1138"/>
        <v/>
      </c>
      <c r="L1983" s="458">
        <f t="shared" si="1139"/>
        <v>0</v>
      </c>
      <c r="M1983" s="458">
        <f t="shared" si="1140"/>
        <v>0</v>
      </c>
      <c r="N1983" s="459" t="str">
        <f t="shared" si="1151"/>
        <v/>
      </c>
      <c r="O1983" s="459" t="str">
        <f t="shared" si="1152"/>
        <v/>
      </c>
      <c r="P1983" s="459" t="str">
        <f t="shared" si="1153"/>
        <v/>
      </c>
      <c r="Q1983" s="459" t="str">
        <f t="shared" si="1154"/>
        <v/>
      </c>
      <c r="R1983" s="459" t="str">
        <f t="shared" si="1155"/>
        <v/>
      </c>
      <c r="S1983" s="459" t="str">
        <f t="shared" si="1156"/>
        <v/>
      </c>
      <c r="T1983" s="566" t="str">
        <f t="shared" si="1141"/>
        <v/>
      </c>
      <c r="U1983" s="702"/>
      <c r="V1983" s="132"/>
      <c r="W1983" s="133"/>
      <c r="X1983" s="134"/>
      <c r="Y1983" s="135"/>
      <c r="Z1983" s="137"/>
      <c r="AA1983" s="136"/>
      <c r="AB1983" s="566" t="str">
        <f t="shared" si="1142"/>
        <v/>
      </c>
      <c r="AC1983" s="568" t="str">
        <f t="shared" si="1143"/>
        <v/>
      </c>
      <c r="AD1983" s="137"/>
      <c r="AE1983" s="137"/>
      <c r="AF1983" s="138"/>
      <c r="AG1983" s="138"/>
      <c r="AH1983" s="592" t="str">
        <f t="shared" si="1144"/>
        <v/>
      </c>
      <c r="AI1983" s="592" t="str">
        <f t="shared" si="1145"/>
        <v/>
      </c>
      <c r="AJ1983" s="592" t="str">
        <f t="shared" si="1146"/>
        <v/>
      </c>
      <c r="AK1983" s="460" t="str">
        <f>IF(AU1983="","",IF(OR(AZ1983=8,AZ1983=9),0,IF(OR(AW1983=3,AW1983=4,AW1983=5,AW1983=6),IF(LEFT(BF1983,1)="1",INDEX(係数_NOX・PM低減,MATCH(AY1983,【参考】排出係数!$AI$801:$AI$804,1),1),VLOOKUP(AU1983,INDEX((係数_バス貨物_ガソリン,係数_バス貨物_CNG,係数_バス貨物_軽油,係数_バス貨物_メタノール,係数_バス貨物_LPG),MATCH(AY1983,【参考】排出係数!$AI$4:$AI$671,1),1,BE1983):INDEX((係数_バス貨物_ガソリン,係数_バス貨物_CNG,係数_バス貨物_軽油,係数_バス貨物_メタノール,係数_バス貨物_LPG),MATCH(AY1983+1,【参考】排出係数!$AI$4:$AI$671,1)-1,5,BE1983),4,FALSE)),IF(AND(BE1983=3,LEFT(BF1983,1)="1"),0.48,VLOOKUP(AU1983,INDEX((係数_乗用_ガソリン,係数_乗用_CNG,係数_乗用_軽油,係数_乗用_メタノール,係数_乗用_LPG),1,1,BE1983):INDEX((係数_乗用_ガソリン,係数_乗用_CNG,係数_乗用_軽油,係数_乗用_メタノール,係数_乗用_LPG),125,5,BE1983),4,FALSE)))))</f>
        <v/>
      </c>
      <c r="AL1983" s="461" t="str">
        <f t="shared" si="1147"/>
        <v/>
      </c>
      <c r="AM1983" s="460" t="str">
        <f>IF(AU1983="","",IF(OR(AZ1983=8,AZ1983=9),0,IF(OR(AW1983=3,AW1983=4,AW1983=5,AW1983=6),IF(LEFT(BH1983,1)="1",INDEX(係数_PM低減,MATCH(AY1983,【参考】排出係数!$AI$801:$AI$804,1),MATCH(BI1983,【参考】排出係数!$AL$798:$AO$798,1)),VLOOKUP(AU1983,INDEX((係数_バス貨物_ガソリン,係数_バス貨物_CNG,係数_バス貨物_軽油,係数_バス貨物_メタノール,係数_バス貨物_LPG),MATCH(AY1983,【参考】排出係数!$AI$4:$AI$671,1),1,BE1983):INDEX((係数_バス貨物_ガソリン,係数_バス貨物_CNG,係数_バス貨物_軽油,係数_バス貨物_メタノール,係数_バス貨物_LPG),MATCH(AY1983+1,【参考】排出係数!$AI$4:$AI$671,1)-1,5,BE1983),5,FALSE)),IF(AND(BE1983=3,LEFT(BF1983,1)="1"),0.055,VLOOKUP(AU1983,INDEX((係数_乗用_ガソリン,係数_乗用_CNG,係数_乗用_軽油,係数_乗用_メタノール,係数_乗用_LPG),1,1,BE1983):INDEX((係数_乗用_ガソリン,係数_乗用_CNG,係数_乗用_軽油,係数_乗用_メタノール,係数_乗用_LPG),125,5,BE1983),5,FALSE)))))</f>
        <v/>
      </c>
      <c r="AN1983" s="461" t="str">
        <f t="shared" si="1148"/>
        <v/>
      </c>
      <c r="AO1983" s="462" t="str">
        <f t="shared" si="1149"/>
        <v/>
      </c>
      <c r="AP1983" s="463" t="str">
        <f t="shared" si="1150"/>
        <v/>
      </c>
      <c r="AQ1983" s="464"/>
      <c r="AR1983" s="619"/>
      <c r="AS1983" s="465" t="str">
        <f t="shared" si="1158"/>
        <v/>
      </c>
      <c r="AT1983" s="465" t="str">
        <f t="shared" si="1159"/>
        <v/>
      </c>
      <c r="AU1983" s="466" t="str">
        <f t="shared" si="1160"/>
        <v/>
      </c>
      <c r="AV1983" s="467" t="str">
        <f t="shared" si="1161"/>
        <v/>
      </c>
      <c r="AW1983" s="467" t="str">
        <f t="shared" si="1162"/>
        <v/>
      </c>
      <c r="AX1983" s="467" t="str">
        <f t="shared" si="1163"/>
        <v/>
      </c>
      <c r="AY1983" s="467" t="str">
        <f t="shared" si="1164"/>
        <v/>
      </c>
      <c r="AZ1983" s="467" t="str">
        <f t="shared" si="1165"/>
        <v/>
      </c>
      <c r="BA1983" s="468" t="str">
        <f>IF(AS1983="","",IF(OR(AU1983="",AU1983="-"),"－",IF(OR(AZ1983=8,AZ1983=9),"",IF(OR(AW1983=3,AW1983=4,AW1983=5,AW1983=6),VLOOKUP(AU1983,INDEX((係数_バス貨物_ガソリン,係数_バス貨物_CNG,係数_バス貨物_軽油,係数_バス貨物_メタノール,係数_バス貨物_LPG),MATCH(AY1983,【参考】排出係数!$AI$4:$AI$671,1),1,BE1983):INDEX((係数_バス貨物_ガソリン,係数_バス貨物_CNG,係数_バス貨物_軽油,係数_バス貨物_メタノール,係数_バス貨物_LPG),MATCH(AY1983+1,【参考】排出係数!$AI$4:$AI$671,1)-1,5,BE1983),2,FALSE),IF(OR(AW1983=1,AW1983=2),VLOOKUP(AU1983,INDEX((係数_乗用_ガソリン,係数_乗用_CNG,係数_乗用_軽油,係数_乗用_メタノール,係数_乗用_LPG),1,1,BE1983):INDEX((係数_乗用_ガソリン,係数_乗用_CNG,係数_乗用_軽油,係数_乗用_メタノール,係数_乗用_LPG),125,5,BE1983),2,FALSE))))))</f>
        <v/>
      </c>
      <c r="BB1983" s="468" t="str">
        <f>IF(T1983="","",IF(OR(AU1983="",AU1983="-"),"－",IF(OR(AZ1983=8,AZ1983=9),"",IF(OR(AW1983=3,AW1983=4,AW1983=5,AW1983=6),VLOOKUP(AU1983,INDEX((係数_バス貨物_ガソリン,係数_バス貨物_CNG,係数_バス貨物_軽油,係数_バス貨物_メタノール,係数_バス貨物_LPG),MATCH(AY1983,【参考】排出係数!$AI$4:$AI$671,1),1,BE1983):INDEX((係数_バス貨物_ガソリン,係数_バス貨物_CNG,係数_バス貨物_軽油,係数_バス貨物_メタノール,係数_バス貨物_LPG),MATCH(AY1983+1,【参考】排出係数!$AI$4:$AI$671,1)-1,5,BE1983),3,FALSE),IF(OR(AW1983=1,AW1983=2),VLOOKUP(AU1983,INDEX((係数_乗用_ガソリン,係数_乗用_CNG,係数_乗用_軽油,係数_乗用_メタノール,係数_乗用_LPG),1,1,BE1983):INDEX((係数_乗用_ガソリン,係数_乗用_CNG,係数_乗用_軽油,係数_乗用_メタノール,係数_乗用_LPG),125,5,BE1983),3,FALSE))))))</f>
        <v/>
      </c>
      <c r="BC1983" s="467" t="str">
        <f t="shared" si="1166"/>
        <v/>
      </c>
      <c r="BD1983" s="567" t="str">
        <f t="shared" si="1167"/>
        <v/>
      </c>
      <c r="BE1983" s="467" t="str">
        <f t="shared" si="1168"/>
        <v/>
      </c>
      <c r="BF1983" s="469" t="str">
        <f t="shared" ca="1" si="1169"/>
        <v/>
      </c>
      <c r="BG1983" s="469" t="str">
        <f t="shared" ca="1" si="1170"/>
        <v/>
      </c>
      <c r="BH1983" s="467" t="str">
        <f t="shared" si="1171"/>
        <v/>
      </c>
      <c r="BI1983" s="467" t="str">
        <f t="shared" ca="1" si="1172"/>
        <v/>
      </c>
      <c r="BJ1983" s="469" t="str">
        <f t="shared" si="1173"/>
        <v/>
      </c>
      <c r="BK1983" s="470" t="str">
        <f t="shared" si="1157"/>
        <v/>
      </c>
      <c r="BL1983" s="775" t="str">
        <f t="shared" si="1174"/>
        <v/>
      </c>
      <c r="BM1983" s="775" t="str">
        <f t="shared" si="1175"/>
        <v/>
      </c>
    </row>
    <row r="1984" spans="1:65">
      <c r="A1984" s="473">
        <v>1928</v>
      </c>
      <c r="B1984" s="132"/>
      <c r="C1984" s="332"/>
      <c r="D1984" s="333"/>
      <c r="E1984" s="333"/>
      <c r="F1984" s="334"/>
      <c r="G1984" s="337"/>
      <c r="H1984" s="131"/>
      <c r="I1984" s="337"/>
      <c r="J1984" s="131"/>
      <c r="K1984" s="458" t="str">
        <f t="shared" si="1138"/>
        <v/>
      </c>
      <c r="L1984" s="458">
        <f t="shared" si="1139"/>
        <v>0</v>
      </c>
      <c r="M1984" s="458">
        <f t="shared" si="1140"/>
        <v>0</v>
      </c>
      <c r="N1984" s="459" t="str">
        <f t="shared" si="1151"/>
        <v/>
      </c>
      <c r="O1984" s="459" t="str">
        <f t="shared" si="1152"/>
        <v/>
      </c>
      <c r="P1984" s="459" t="str">
        <f t="shared" si="1153"/>
        <v/>
      </c>
      <c r="Q1984" s="459" t="str">
        <f t="shared" si="1154"/>
        <v/>
      </c>
      <c r="R1984" s="459" t="str">
        <f t="shared" si="1155"/>
        <v/>
      </c>
      <c r="S1984" s="459" t="str">
        <f t="shared" si="1156"/>
        <v/>
      </c>
      <c r="T1984" s="566" t="str">
        <f t="shared" si="1141"/>
        <v/>
      </c>
      <c r="U1984" s="702"/>
      <c r="V1984" s="132"/>
      <c r="W1984" s="133"/>
      <c r="X1984" s="134"/>
      <c r="Y1984" s="135"/>
      <c r="Z1984" s="137"/>
      <c r="AA1984" s="136"/>
      <c r="AB1984" s="566" t="str">
        <f t="shared" si="1142"/>
        <v/>
      </c>
      <c r="AC1984" s="568" t="str">
        <f t="shared" si="1143"/>
        <v/>
      </c>
      <c r="AD1984" s="137"/>
      <c r="AE1984" s="137"/>
      <c r="AF1984" s="138"/>
      <c r="AG1984" s="138"/>
      <c r="AH1984" s="592" t="str">
        <f t="shared" si="1144"/>
        <v/>
      </c>
      <c r="AI1984" s="592" t="str">
        <f t="shared" si="1145"/>
        <v/>
      </c>
      <c r="AJ1984" s="592" t="str">
        <f t="shared" si="1146"/>
        <v/>
      </c>
      <c r="AK1984" s="460" t="str">
        <f>IF(AU1984="","",IF(OR(AZ1984=8,AZ1984=9),0,IF(OR(AW1984=3,AW1984=4,AW1984=5,AW1984=6),IF(LEFT(BF1984,1)="1",INDEX(係数_NOX・PM低減,MATCH(AY1984,【参考】排出係数!$AI$801:$AI$804,1),1),VLOOKUP(AU1984,INDEX((係数_バス貨物_ガソリン,係数_バス貨物_CNG,係数_バス貨物_軽油,係数_バス貨物_メタノール,係数_バス貨物_LPG),MATCH(AY1984,【参考】排出係数!$AI$4:$AI$671,1),1,BE1984):INDEX((係数_バス貨物_ガソリン,係数_バス貨物_CNG,係数_バス貨物_軽油,係数_バス貨物_メタノール,係数_バス貨物_LPG),MATCH(AY1984+1,【参考】排出係数!$AI$4:$AI$671,1)-1,5,BE1984),4,FALSE)),IF(AND(BE1984=3,LEFT(BF1984,1)="1"),0.48,VLOOKUP(AU1984,INDEX((係数_乗用_ガソリン,係数_乗用_CNG,係数_乗用_軽油,係数_乗用_メタノール,係数_乗用_LPG),1,1,BE1984):INDEX((係数_乗用_ガソリン,係数_乗用_CNG,係数_乗用_軽油,係数_乗用_メタノール,係数_乗用_LPG),125,5,BE1984),4,FALSE)))))</f>
        <v/>
      </c>
      <c r="AL1984" s="461" t="str">
        <f t="shared" si="1147"/>
        <v/>
      </c>
      <c r="AM1984" s="460" t="str">
        <f>IF(AU1984="","",IF(OR(AZ1984=8,AZ1984=9),0,IF(OR(AW1984=3,AW1984=4,AW1984=5,AW1984=6),IF(LEFT(BH1984,1)="1",INDEX(係数_PM低減,MATCH(AY1984,【参考】排出係数!$AI$801:$AI$804,1),MATCH(BI1984,【参考】排出係数!$AL$798:$AO$798,1)),VLOOKUP(AU1984,INDEX((係数_バス貨物_ガソリン,係数_バス貨物_CNG,係数_バス貨物_軽油,係数_バス貨物_メタノール,係数_バス貨物_LPG),MATCH(AY1984,【参考】排出係数!$AI$4:$AI$671,1),1,BE1984):INDEX((係数_バス貨物_ガソリン,係数_バス貨物_CNG,係数_バス貨物_軽油,係数_バス貨物_メタノール,係数_バス貨物_LPG),MATCH(AY1984+1,【参考】排出係数!$AI$4:$AI$671,1)-1,5,BE1984),5,FALSE)),IF(AND(BE1984=3,LEFT(BF1984,1)="1"),0.055,VLOOKUP(AU1984,INDEX((係数_乗用_ガソリン,係数_乗用_CNG,係数_乗用_軽油,係数_乗用_メタノール,係数_乗用_LPG),1,1,BE1984):INDEX((係数_乗用_ガソリン,係数_乗用_CNG,係数_乗用_軽油,係数_乗用_メタノール,係数_乗用_LPG),125,5,BE1984),5,FALSE)))))</f>
        <v/>
      </c>
      <c r="AN1984" s="461" t="str">
        <f t="shared" si="1148"/>
        <v/>
      </c>
      <c r="AO1984" s="462" t="str">
        <f t="shared" si="1149"/>
        <v/>
      </c>
      <c r="AP1984" s="463" t="str">
        <f t="shared" si="1150"/>
        <v/>
      </c>
      <c r="AQ1984" s="464"/>
      <c r="AR1984" s="619"/>
      <c r="AS1984" s="465" t="str">
        <f t="shared" si="1158"/>
        <v/>
      </c>
      <c r="AT1984" s="465" t="str">
        <f t="shared" si="1159"/>
        <v/>
      </c>
      <c r="AU1984" s="466" t="str">
        <f t="shared" si="1160"/>
        <v/>
      </c>
      <c r="AV1984" s="467" t="str">
        <f t="shared" si="1161"/>
        <v/>
      </c>
      <c r="AW1984" s="467" t="str">
        <f t="shared" si="1162"/>
        <v/>
      </c>
      <c r="AX1984" s="467" t="str">
        <f t="shared" si="1163"/>
        <v/>
      </c>
      <c r="AY1984" s="467" t="str">
        <f t="shared" si="1164"/>
        <v/>
      </c>
      <c r="AZ1984" s="467" t="str">
        <f t="shared" si="1165"/>
        <v/>
      </c>
      <c r="BA1984" s="468" t="str">
        <f>IF(AS1984="","",IF(OR(AU1984="",AU1984="-"),"－",IF(OR(AZ1984=8,AZ1984=9),"",IF(OR(AW1984=3,AW1984=4,AW1984=5,AW1984=6),VLOOKUP(AU1984,INDEX((係数_バス貨物_ガソリン,係数_バス貨物_CNG,係数_バス貨物_軽油,係数_バス貨物_メタノール,係数_バス貨物_LPG),MATCH(AY1984,【参考】排出係数!$AI$4:$AI$671,1),1,BE1984):INDEX((係数_バス貨物_ガソリン,係数_バス貨物_CNG,係数_バス貨物_軽油,係数_バス貨物_メタノール,係数_バス貨物_LPG),MATCH(AY1984+1,【参考】排出係数!$AI$4:$AI$671,1)-1,5,BE1984),2,FALSE),IF(OR(AW1984=1,AW1984=2),VLOOKUP(AU1984,INDEX((係数_乗用_ガソリン,係数_乗用_CNG,係数_乗用_軽油,係数_乗用_メタノール,係数_乗用_LPG),1,1,BE1984):INDEX((係数_乗用_ガソリン,係数_乗用_CNG,係数_乗用_軽油,係数_乗用_メタノール,係数_乗用_LPG),125,5,BE1984),2,FALSE))))))</f>
        <v/>
      </c>
      <c r="BB1984" s="468" t="str">
        <f>IF(T1984="","",IF(OR(AU1984="",AU1984="-"),"－",IF(OR(AZ1984=8,AZ1984=9),"",IF(OR(AW1984=3,AW1984=4,AW1984=5,AW1984=6),VLOOKUP(AU1984,INDEX((係数_バス貨物_ガソリン,係数_バス貨物_CNG,係数_バス貨物_軽油,係数_バス貨物_メタノール,係数_バス貨物_LPG),MATCH(AY1984,【参考】排出係数!$AI$4:$AI$671,1),1,BE1984):INDEX((係数_バス貨物_ガソリン,係数_バス貨物_CNG,係数_バス貨物_軽油,係数_バス貨物_メタノール,係数_バス貨物_LPG),MATCH(AY1984+1,【参考】排出係数!$AI$4:$AI$671,1)-1,5,BE1984),3,FALSE),IF(OR(AW1984=1,AW1984=2),VLOOKUP(AU1984,INDEX((係数_乗用_ガソリン,係数_乗用_CNG,係数_乗用_軽油,係数_乗用_メタノール,係数_乗用_LPG),1,1,BE1984):INDEX((係数_乗用_ガソリン,係数_乗用_CNG,係数_乗用_軽油,係数_乗用_メタノール,係数_乗用_LPG),125,5,BE1984),3,FALSE))))))</f>
        <v/>
      </c>
      <c r="BC1984" s="467" t="str">
        <f t="shared" si="1166"/>
        <v/>
      </c>
      <c r="BD1984" s="567" t="str">
        <f t="shared" si="1167"/>
        <v/>
      </c>
      <c r="BE1984" s="467" t="str">
        <f t="shared" si="1168"/>
        <v/>
      </c>
      <c r="BF1984" s="469" t="str">
        <f t="shared" ca="1" si="1169"/>
        <v/>
      </c>
      <c r="BG1984" s="469" t="str">
        <f t="shared" ca="1" si="1170"/>
        <v/>
      </c>
      <c r="BH1984" s="467" t="str">
        <f t="shared" si="1171"/>
        <v/>
      </c>
      <c r="BI1984" s="467" t="str">
        <f t="shared" ca="1" si="1172"/>
        <v/>
      </c>
      <c r="BJ1984" s="469" t="str">
        <f t="shared" si="1173"/>
        <v/>
      </c>
      <c r="BK1984" s="470" t="str">
        <f t="shared" si="1157"/>
        <v/>
      </c>
      <c r="BL1984" s="775" t="str">
        <f t="shared" si="1174"/>
        <v/>
      </c>
      <c r="BM1984" s="775" t="str">
        <f t="shared" si="1175"/>
        <v/>
      </c>
    </row>
    <row r="1985" spans="1:65">
      <c r="A1985" s="473">
        <v>1929</v>
      </c>
      <c r="B1985" s="132"/>
      <c r="C1985" s="332"/>
      <c r="D1985" s="333"/>
      <c r="E1985" s="333"/>
      <c r="F1985" s="334"/>
      <c r="G1985" s="337"/>
      <c r="H1985" s="131"/>
      <c r="I1985" s="337"/>
      <c r="J1985" s="131"/>
      <c r="K1985" s="458" t="str">
        <f t="shared" si="1138"/>
        <v/>
      </c>
      <c r="L1985" s="458">
        <f t="shared" si="1139"/>
        <v>0</v>
      </c>
      <c r="M1985" s="458">
        <f t="shared" si="1140"/>
        <v>0</v>
      </c>
      <c r="N1985" s="459" t="str">
        <f t="shared" si="1151"/>
        <v/>
      </c>
      <c r="O1985" s="459" t="str">
        <f t="shared" si="1152"/>
        <v/>
      </c>
      <c r="P1985" s="459" t="str">
        <f t="shared" si="1153"/>
        <v/>
      </c>
      <c r="Q1985" s="459" t="str">
        <f t="shared" si="1154"/>
        <v/>
      </c>
      <c r="R1985" s="459" t="str">
        <f t="shared" si="1155"/>
        <v/>
      </c>
      <c r="S1985" s="459" t="str">
        <f t="shared" si="1156"/>
        <v/>
      </c>
      <c r="T1985" s="566" t="str">
        <f t="shared" si="1141"/>
        <v/>
      </c>
      <c r="U1985" s="702"/>
      <c r="V1985" s="132"/>
      <c r="W1985" s="133"/>
      <c r="X1985" s="134"/>
      <c r="Y1985" s="135"/>
      <c r="Z1985" s="137"/>
      <c r="AA1985" s="136"/>
      <c r="AB1985" s="566" t="str">
        <f t="shared" si="1142"/>
        <v/>
      </c>
      <c r="AC1985" s="568" t="str">
        <f t="shared" si="1143"/>
        <v/>
      </c>
      <c r="AD1985" s="137"/>
      <c r="AE1985" s="137"/>
      <c r="AF1985" s="138"/>
      <c r="AG1985" s="138"/>
      <c r="AH1985" s="592" t="str">
        <f t="shared" si="1144"/>
        <v/>
      </c>
      <c r="AI1985" s="592" t="str">
        <f t="shared" si="1145"/>
        <v/>
      </c>
      <c r="AJ1985" s="592" t="str">
        <f t="shared" si="1146"/>
        <v/>
      </c>
      <c r="AK1985" s="460" t="str">
        <f>IF(AU1985="","",IF(OR(AZ1985=8,AZ1985=9),0,IF(OR(AW1985=3,AW1985=4,AW1985=5,AW1985=6),IF(LEFT(BF1985,1)="1",INDEX(係数_NOX・PM低減,MATCH(AY1985,【参考】排出係数!$AI$801:$AI$804,1),1),VLOOKUP(AU1985,INDEX((係数_バス貨物_ガソリン,係数_バス貨物_CNG,係数_バス貨物_軽油,係数_バス貨物_メタノール,係数_バス貨物_LPG),MATCH(AY1985,【参考】排出係数!$AI$4:$AI$671,1),1,BE1985):INDEX((係数_バス貨物_ガソリン,係数_バス貨物_CNG,係数_バス貨物_軽油,係数_バス貨物_メタノール,係数_バス貨物_LPG),MATCH(AY1985+1,【参考】排出係数!$AI$4:$AI$671,1)-1,5,BE1985),4,FALSE)),IF(AND(BE1985=3,LEFT(BF1985,1)="1"),0.48,VLOOKUP(AU1985,INDEX((係数_乗用_ガソリン,係数_乗用_CNG,係数_乗用_軽油,係数_乗用_メタノール,係数_乗用_LPG),1,1,BE1985):INDEX((係数_乗用_ガソリン,係数_乗用_CNG,係数_乗用_軽油,係数_乗用_メタノール,係数_乗用_LPG),125,5,BE1985),4,FALSE)))))</f>
        <v/>
      </c>
      <c r="AL1985" s="461" t="str">
        <f t="shared" si="1147"/>
        <v/>
      </c>
      <c r="AM1985" s="460" t="str">
        <f>IF(AU1985="","",IF(OR(AZ1985=8,AZ1985=9),0,IF(OR(AW1985=3,AW1985=4,AW1985=5,AW1985=6),IF(LEFT(BH1985,1)="1",INDEX(係数_PM低減,MATCH(AY1985,【参考】排出係数!$AI$801:$AI$804,1),MATCH(BI1985,【参考】排出係数!$AL$798:$AO$798,1)),VLOOKUP(AU1985,INDEX((係数_バス貨物_ガソリン,係数_バス貨物_CNG,係数_バス貨物_軽油,係数_バス貨物_メタノール,係数_バス貨物_LPG),MATCH(AY1985,【参考】排出係数!$AI$4:$AI$671,1),1,BE1985):INDEX((係数_バス貨物_ガソリン,係数_バス貨物_CNG,係数_バス貨物_軽油,係数_バス貨物_メタノール,係数_バス貨物_LPG),MATCH(AY1985+1,【参考】排出係数!$AI$4:$AI$671,1)-1,5,BE1985),5,FALSE)),IF(AND(BE1985=3,LEFT(BF1985,1)="1"),0.055,VLOOKUP(AU1985,INDEX((係数_乗用_ガソリン,係数_乗用_CNG,係数_乗用_軽油,係数_乗用_メタノール,係数_乗用_LPG),1,1,BE1985):INDEX((係数_乗用_ガソリン,係数_乗用_CNG,係数_乗用_軽油,係数_乗用_メタノール,係数_乗用_LPG),125,5,BE1985),5,FALSE)))))</f>
        <v/>
      </c>
      <c r="AN1985" s="461" t="str">
        <f t="shared" si="1148"/>
        <v/>
      </c>
      <c r="AO1985" s="462" t="str">
        <f t="shared" si="1149"/>
        <v/>
      </c>
      <c r="AP1985" s="463" t="str">
        <f t="shared" si="1150"/>
        <v/>
      </c>
      <c r="AQ1985" s="464"/>
      <c r="AR1985" s="619"/>
      <c r="AS1985" s="465" t="str">
        <f t="shared" si="1158"/>
        <v/>
      </c>
      <c r="AT1985" s="465" t="str">
        <f t="shared" si="1159"/>
        <v/>
      </c>
      <c r="AU1985" s="466" t="str">
        <f t="shared" si="1160"/>
        <v/>
      </c>
      <c r="AV1985" s="467" t="str">
        <f t="shared" si="1161"/>
        <v/>
      </c>
      <c r="AW1985" s="467" t="str">
        <f t="shared" si="1162"/>
        <v/>
      </c>
      <c r="AX1985" s="467" t="str">
        <f t="shared" si="1163"/>
        <v/>
      </c>
      <c r="AY1985" s="467" t="str">
        <f t="shared" si="1164"/>
        <v/>
      </c>
      <c r="AZ1985" s="467" t="str">
        <f t="shared" si="1165"/>
        <v/>
      </c>
      <c r="BA1985" s="468" t="str">
        <f>IF(AS1985="","",IF(OR(AU1985="",AU1985="-"),"－",IF(OR(AZ1985=8,AZ1985=9),"",IF(OR(AW1985=3,AW1985=4,AW1985=5,AW1985=6),VLOOKUP(AU1985,INDEX((係数_バス貨物_ガソリン,係数_バス貨物_CNG,係数_バス貨物_軽油,係数_バス貨物_メタノール,係数_バス貨物_LPG),MATCH(AY1985,【参考】排出係数!$AI$4:$AI$671,1),1,BE1985):INDEX((係数_バス貨物_ガソリン,係数_バス貨物_CNG,係数_バス貨物_軽油,係数_バス貨物_メタノール,係数_バス貨物_LPG),MATCH(AY1985+1,【参考】排出係数!$AI$4:$AI$671,1)-1,5,BE1985),2,FALSE),IF(OR(AW1985=1,AW1985=2),VLOOKUP(AU1985,INDEX((係数_乗用_ガソリン,係数_乗用_CNG,係数_乗用_軽油,係数_乗用_メタノール,係数_乗用_LPG),1,1,BE1985):INDEX((係数_乗用_ガソリン,係数_乗用_CNG,係数_乗用_軽油,係数_乗用_メタノール,係数_乗用_LPG),125,5,BE1985),2,FALSE))))))</f>
        <v/>
      </c>
      <c r="BB1985" s="468" t="str">
        <f>IF(T1985="","",IF(OR(AU1985="",AU1985="-"),"－",IF(OR(AZ1985=8,AZ1985=9),"",IF(OR(AW1985=3,AW1985=4,AW1985=5,AW1985=6),VLOOKUP(AU1985,INDEX((係数_バス貨物_ガソリン,係数_バス貨物_CNG,係数_バス貨物_軽油,係数_バス貨物_メタノール,係数_バス貨物_LPG),MATCH(AY1985,【参考】排出係数!$AI$4:$AI$671,1),1,BE1985):INDEX((係数_バス貨物_ガソリン,係数_バス貨物_CNG,係数_バス貨物_軽油,係数_バス貨物_メタノール,係数_バス貨物_LPG),MATCH(AY1985+1,【参考】排出係数!$AI$4:$AI$671,1)-1,5,BE1985),3,FALSE),IF(OR(AW1985=1,AW1985=2),VLOOKUP(AU1985,INDEX((係数_乗用_ガソリン,係数_乗用_CNG,係数_乗用_軽油,係数_乗用_メタノール,係数_乗用_LPG),1,1,BE1985):INDEX((係数_乗用_ガソリン,係数_乗用_CNG,係数_乗用_軽油,係数_乗用_メタノール,係数_乗用_LPG),125,5,BE1985),3,FALSE))))))</f>
        <v/>
      </c>
      <c r="BC1985" s="467" t="str">
        <f t="shared" si="1166"/>
        <v/>
      </c>
      <c r="BD1985" s="567" t="str">
        <f t="shared" si="1167"/>
        <v/>
      </c>
      <c r="BE1985" s="467" t="str">
        <f t="shared" si="1168"/>
        <v/>
      </c>
      <c r="BF1985" s="469" t="str">
        <f t="shared" ca="1" si="1169"/>
        <v/>
      </c>
      <c r="BG1985" s="469" t="str">
        <f t="shared" ca="1" si="1170"/>
        <v/>
      </c>
      <c r="BH1985" s="467" t="str">
        <f t="shared" si="1171"/>
        <v/>
      </c>
      <c r="BI1985" s="467" t="str">
        <f t="shared" ca="1" si="1172"/>
        <v/>
      </c>
      <c r="BJ1985" s="469" t="str">
        <f t="shared" si="1173"/>
        <v/>
      </c>
      <c r="BK1985" s="470" t="str">
        <f t="shared" si="1157"/>
        <v/>
      </c>
      <c r="BL1985" s="775" t="str">
        <f t="shared" si="1174"/>
        <v/>
      </c>
      <c r="BM1985" s="775" t="str">
        <f t="shared" si="1175"/>
        <v/>
      </c>
    </row>
    <row r="1986" spans="1:65">
      <c r="A1986" s="473">
        <v>1930</v>
      </c>
      <c r="B1986" s="132"/>
      <c r="C1986" s="332"/>
      <c r="D1986" s="333"/>
      <c r="E1986" s="333"/>
      <c r="F1986" s="334"/>
      <c r="G1986" s="337"/>
      <c r="H1986" s="131"/>
      <c r="I1986" s="337"/>
      <c r="J1986" s="131"/>
      <c r="K1986" s="458" t="str">
        <f t="shared" si="1138"/>
        <v/>
      </c>
      <c r="L1986" s="458">
        <f t="shared" si="1139"/>
        <v>0</v>
      </c>
      <c r="M1986" s="458">
        <f t="shared" si="1140"/>
        <v>0</v>
      </c>
      <c r="N1986" s="459" t="str">
        <f t="shared" si="1151"/>
        <v/>
      </c>
      <c r="O1986" s="459" t="str">
        <f t="shared" si="1152"/>
        <v/>
      </c>
      <c r="P1986" s="459" t="str">
        <f t="shared" si="1153"/>
        <v/>
      </c>
      <c r="Q1986" s="459" t="str">
        <f t="shared" si="1154"/>
        <v/>
      </c>
      <c r="R1986" s="459" t="str">
        <f t="shared" si="1155"/>
        <v/>
      </c>
      <c r="S1986" s="459" t="str">
        <f t="shared" si="1156"/>
        <v/>
      </c>
      <c r="T1986" s="566" t="str">
        <f t="shared" si="1141"/>
        <v/>
      </c>
      <c r="U1986" s="702"/>
      <c r="V1986" s="132"/>
      <c r="W1986" s="133"/>
      <c r="X1986" s="134"/>
      <c r="Y1986" s="135"/>
      <c r="Z1986" s="137"/>
      <c r="AA1986" s="136"/>
      <c r="AB1986" s="566" t="str">
        <f t="shared" si="1142"/>
        <v/>
      </c>
      <c r="AC1986" s="568" t="str">
        <f t="shared" si="1143"/>
        <v/>
      </c>
      <c r="AD1986" s="137"/>
      <c r="AE1986" s="137"/>
      <c r="AF1986" s="138"/>
      <c r="AG1986" s="138"/>
      <c r="AH1986" s="592" t="str">
        <f t="shared" si="1144"/>
        <v/>
      </c>
      <c r="AI1986" s="592" t="str">
        <f t="shared" si="1145"/>
        <v/>
      </c>
      <c r="AJ1986" s="592" t="str">
        <f t="shared" si="1146"/>
        <v/>
      </c>
      <c r="AK1986" s="460" t="str">
        <f>IF(AU1986="","",IF(OR(AZ1986=8,AZ1986=9),0,IF(OR(AW1986=3,AW1986=4,AW1986=5,AW1986=6),IF(LEFT(BF1986,1)="1",INDEX(係数_NOX・PM低減,MATCH(AY1986,【参考】排出係数!$AI$801:$AI$804,1),1),VLOOKUP(AU1986,INDEX((係数_バス貨物_ガソリン,係数_バス貨物_CNG,係数_バス貨物_軽油,係数_バス貨物_メタノール,係数_バス貨物_LPG),MATCH(AY1986,【参考】排出係数!$AI$4:$AI$671,1),1,BE1986):INDEX((係数_バス貨物_ガソリン,係数_バス貨物_CNG,係数_バス貨物_軽油,係数_バス貨物_メタノール,係数_バス貨物_LPG),MATCH(AY1986+1,【参考】排出係数!$AI$4:$AI$671,1)-1,5,BE1986),4,FALSE)),IF(AND(BE1986=3,LEFT(BF1986,1)="1"),0.48,VLOOKUP(AU1986,INDEX((係数_乗用_ガソリン,係数_乗用_CNG,係数_乗用_軽油,係数_乗用_メタノール,係数_乗用_LPG),1,1,BE1986):INDEX((係数_乗用_ガソリン,係数_乗用_CNG,係数_乗用_軽油,係数_乗用_メタノール,係数_乗用_LPG),125,5,BE1986),4,FALSE)))))</f>
        <v/>
      </c>
      <c r="AL1986" s="461" t="str">
        <f t="shared" si="1147"/>
        <v/>
      </c>
      <c r="AM1986" s="460" t="str">
        <f>IF(AU1986="","",IF(OR(AZ1986=8,AZ1986=9),0,IF(OR(AW1986=3,AW1986=4,AW1986=5,AW1986=6),IF(LEFT(BH1986,1)="1",INDEX(係数_PM低減,MATCH(AY1986,【参考】排出係数!$AI$801:$AI$804,1),MATCH(BI1986,【参考】排出係数!$AL$798:$AO$798,1)),VLOOKUP(AU1986,INDEX((係数_バス貨物_ガソリン,係数_バス貨物_CNG,係数_バス貨物_軽油,係数_バス貨物_メタノール,係数_バス貨物_LPG),MATCH(AY1986,【参考】排出係数!$AI$4:$AI$671,1),1,BE1986):INDEX((係数_バス貨物_ガソリン,係数_バス貨物_CNG,係数_バス貨物_軽油,係数_バス貨物_メタノール,係数_バス貨物_LPG),MATCH(AY1986+1,【参考】排出係数!$AI$4:$AI$671,1)-1,5,BE1986),5,FALSE)),IF(AND(BE1986=3,LEFT(BF1986,1)="1"),0.055,VLOOKUP(AU1986,INDEX((係数_乗用_ガソリン,係数_乗用_CNG,係数_乗用_軽油,係数_乗用_メタノール,係数_乗用_LPG),1,1,BE1986):INDEX((係数_乗用_ガソリン,係数_乗用_CNG,係数_乗用_軽油,係数_乗用_メタノール,係数_乗用_LPG),125,5,BE1986),5,FALSE)))))</f>
        <v/>
      </c>
      <c r="AN1986" s="461" t="str">
        <f t="shared" si="1148"/>
        <v/>
      </c>
      <c r="AO1986" s="462" t="str">
        <f t="shared" si="1149"/>
        <v/>
      </c>
      <c r="AP1986" s="463" t="str">
        <f t="shared" si="1150"/>
        <v/>
      </c>
      <c r="AQ1986" s="464"/>
      <c r="AR1986" s="619"/>
      <c r="AS1986" s="465" t="str">
        <f t="shared" si="1158"/>
        <v/>
      </c>
      <c r="AT1986" s="465" t="str">
        <f t="shared" si="1159"/>
        <v/>
      </c>
      <c r="AU1986" s="466" t="str">
        <f t="shared" si="1160"/>
        <v/>
      </c>
      <c r="AV1986" s="467" t="str">
        <f t="shared" si="1161"/>
        <v/>
      </c>
      <c r="AW1986" s="467" t="str">
        <f t="shared" si="1162"/>
        <v/>
      </c>
      <c r="AX1986" s="467" t="str">
        <f t="shared" si="1163"/>
        <v/>
      </c>
      <c r="AY1986" s="467" t="str">
        <f t="shared" si="1164"/>
        <v/>
      </c>
      <c r="AZ1986" s="467" t="str">
        <f t="shared" si="1165"/>
        <v/>
      </c>
      <c r="BA1986" s="468" t="str">
        <f>IF(AS1986="","",IF(OR(AU1986="",AU1986="-"),"－",IF(OR(AZ1986=8,AZ1986=9),"",IF(OR(AW1986=3,AW1986=4,AW1986=5,AW1986=6),VLOOKUP(AU1986,INDEX((係数_バス貨物_ガソリン,係数_バス貨物_CNG,係数_バス貨物_軽油,係数_バス貨物_メタノール,係数_バス貨物_LPG),MATCH(AY1986,【参考】排出係数!$AI$4:$AI$671,1),1,BE1986):INDEX((係数_バス貨物_ガソリン,係数_バス貨物_CNG,係数_バス貨物_軽油,係数_バス貨物_メタノール,係数_バス貨物_LPG),MATCH(AY1986+1,【参考】排出係数!$AI$4:$AI$671,1)-1,5,BE1986),2,FALSE),IF(OR(AW1986=1,AW1986=2),VLOOKUP(AU1986,INDEX((係数_乗用_ガソリン,係数_乗用_CNG,係数_乗用_軽油,係数_乗用_メタノール,係数_乗用_LPG),1,1,BE1986):INDEX((係数_乗用_ガソリン,係数_乗用_CNG,係数_乗用_軽油,係数_乗用_メタノール,係数_乗用_LPG),125,5,BE1986),2,FALSE))))))</f>
        <v/>
      </c>
      <c r="BB1986" s="468" t="str">
        <f>IF(T1986="","",IF(OR(AU1986="",AU1986="-"),"－",IF(OR(AZ1986=8,AZ1986=9),"",IF(OR(AW1986=3,AW1986=4,AW1986=5,AW1986=6),VLOOKUP(AU1986,INDEX((係数_バス貨物_ガソリン,係数_バス貨物_CNG,係数_バス貨物_軽油,係数_バス貨物_メタノール,係数_バス貨物_LPG),MATCH(AY1986,【参考】排出係数!$AI$4:$AI$671,1),1,BE1986):INDEX((係数_バス貨物_ガソリン,係数_バス貨物_CNG,係数_バス貨物_軽油,係数_バス貨物_メタノール,係数_バス貨物_LPG),MATCH(AY1986+1,【参考】排出係数!$AI$4:$AI$671,1)-1,5,BE1986),3,FALSE),IF(OR(AW1986=1,AW1986=2),VLOOKUP(AU1986,INDEX((係数_乗用_ガソリン,係数_乗用_CNG,係数_乗用_軽油,係数_乗用_メタノール,係数_乗用_LPG),1,1,BE1986):INDEX((係数_乗用_ガソリン,係数_乗用_CNG,係数_乗用_軽油,係数_乗用_メタノール,係数_乗用_LPG),125,5,BE1986),3,FALSE))))))</f>
        <v/>
      </c>
      <c r="BC1986" s="467" t="str">
        <f t="shared" si="1166"/>
        <v/>
      </c>
      <c r="BD1986" s="567" t="str">
        <f t="shared" si="1167"/>
        <v/>
      </c>
      <c r="BE1986" s="467" t="str">
        <f t="shared" si="1168"/>
        <v/>
      </c>
      <c r="BF1986" s="469" t="str">
        <f t="shared" ca="1" si="1169"/>
        <v/>
      </c>
      <c r="BG1986" s="469" t="str">
        <f t="shared" ca="1" si="1170"/>
        <v/>
      </c>
      <c r="BH1986" s="467" t="str">
        <f t="shared" si="1171"/>
        <v/>
      </c>
      <c r="BI1986" s="467" t="str">
        <f t="shared" ca="1" si="1172"/>
        <v/>
      </c>
      <c r="BJ1986" s="469" t="str">
        <f t="shared" si="1173"/>
        <v/>
      </c>
      <c r="BK1986" s="470" t="str">
        <f t="shared" si="1157"/>
        <v/>
      </c>
      <c r="BL1986" s="775" t="str">
        <f t="shared" si="1174"/>
        <v/>
      </c>
      <c r="BM1986" s="775" t="str">
        <f t="shared" si="1175"/>
        <v/>
      </c>
    </row>
    <row r="1987" spans="1:65">
      <c r="A1987" s="473">
        <v>1931</v>
      </c>
      <c r="B1987" s="132"/>
      <c r="C1987" s="332"/>
      <c r="D1987" s="333"/>
      <c r="E1987" s="333"/>
      <c r="F1987" s="334"/>
      <c r="G1987" s="337"/>
      <c r="H1987" s="131"/>
      <c r="I1987" s="337"/>
      <c r="J1987" s="131"/>
      <c r="K1987" s="458" t="str">
        <f t="shared" si="1138"/>
        <v/>
      </c>
      <c r="L1987" s="458">
        <f t="shared" si="1139"/>
        <v>0</v>
      </c>
      <c r="M1987" s="458">
        <f t="shared" si="1140"/>
        <v>0</v>
      </c>
      <c r="N1987" s="459" t="str">
        <f t="shared" si="1151"/>
        <v/>
      </c>
      <c r="O1987" s="459" t="str">
        <f t="shared" si="1152"/>
        <v/>
      </c>
      <c r="P1987" s="459" t="str">
        <f t="shared" si="1153"/>
        <v/>
      </c>
      <c r="Q1987" s="459" t="str">
        <f t="shared" si="1154"/>
        <v/>
      </c>
      <c r="R1987" s="459" t="str">
        <f t="shared" si="1155"/>
        <v/>
      </c>
      <c r="S1987" s="459" t="str">
        <f t="shared" si="1156"/>
        <v/>
      </c>
      <c r="T1987" s="566" t="str">
        <f t="shared" si="1141"/>
        <v/>
      </c>
      <c r="U1987" s="702"/>
      <c r="V1987" s="132"/>
      <c r="W1987" s="133"/>
      <c r="X1987" s="134"/>
      <c r="Y1987" s="135"/>
      <c r="Z1987" s="137"/>
      <c r="AA1987" s="136"/>
      <c r="AB1987" s="566" t="str">
        <f t="shared" si="1142"/>
        <v/>
      </c>
      <c r="AC1987" s="568" t="str">
        <f t="shared" si="1143"/>
        <v/>
      </c>
      <c r="AD1987" s="137"/>
      <c r="AE1987" s="137"/>
      <c r="AF1987" s="138"/>
      <c r="AG1987" s="138"/>
      <c r="AH1987" s="592" t="str">
        <f t="shared" si="1144"/>
        <v/>
      </c>
      <c r="AI1987" s="592" t="str">
        <f t="shared" si="1145"/>
        <v/>
      </c>
      <c r="AJ1987" s="592" t="str">
        <f t="shared" si="1146"/>
        <v/>
      </c>
      <c r="AK1987" s="460" t="str">
        <f>IF(AU1987="","",IF(OR(AZ1987=8,AZ1987=9),0,IF(OR(AW1987=3,AW1987=4,AW1987=5,AW1987=6),IF(LEFT(BF1987,1)="1",INDEX(係数_NOX・PM低減,MATCH(AY1987,【参考】排出係数!$AI$801:$AI$804,1),1),VLOOKUP(AU1987,INDEX((係数_バス貨物_ガソリン,係数_バス貨物_CNG,係数_バス貨物_軽油,係数_バス貨物_メタノール,係数_バス貨物_LPG),MATCH(AY1987,【参考】排出係数!$AI$4:$AI$671,1),1,BE1987):INDEX((係数_バス貨物_ガソリン,係数_バス貨物_CNG,係数_バス貨物_軽油,係数_バス貨物_メタノール,係数_バス貨物_LPG),MATCH(AY1987+1,【参考】排出係数!$AI$4:$AI$671,1)-1,5,BE1987),4,FALSE)),IF(AND(BE1987=3,LEFT(BF1987,1)="1"),0.48,VLOOKUP(AU1987,INDEX((係数_乗用_ガソリン,係数_乗用_CNG,係数_乗用_軽油,係数_乗用_メタノール,係数_乗用_LPG),1,1,BE1987):INDEX((係数_乗用_ガソリン,係数_乗用_CNG,係数_乗用_軽油,係数_乗用_メタノール,係数_乗用_LPG),125,5,BE1987),4,FALSE)))))</f>
        <v/>
      </c>
      <c r="AL1987" s="461" t="str">
        <f t="shared" si="1147"/>
        <v/>
      </c>
      <c r="AM1987" s="460" t="str">
        <f>IF(AU1987="","",IF(OR(AZ1987=8,AZ1987=9),0,IF(OR(AW1987=3,AW1987=4,AW1987=5,AW1987=6),IF(LEFT(BH1987,1)="1",INDEX(係数_PM低減,MATCH(AY1987,【参考】排出係数!$AI$801:$AI$804,1),MATCH(BI1987,【参考】排出係数!$AL$798:$AO$798,1)),VLOOKUP(AU1987,INDEX((係数_バス貨物_ガソリン,係数_バス貨物_CNG,係数_バス貨物_軽油,係数_バス貨物_メタノール,係数_バス貨物_LPG),MATCH(AY1987,【参考】排出係数!$AI$4:$AI$671,1),1,BE1987):INDEX((係数_バス貨物_ガソリン,係数_バス貨物_CNG,係数_バス貨物_軽油,係数_バス貨物_メタノール,係数_バス貨物_LPG),MATCH(AY1987+1,【参考】排出係数!$AI$4:$AI$671,1)-1,5,BE1987),5,FALSE)),IF(AND(BE1987=3,LEFT(BF1987,1)="1"),0.055,VLOOKUP(AU1987,INDEX((係数_乗用_ガソリン,係数_乗用_CNG,係数_乗用_軽油,係数_乗用_メタノール,係数_乗用_LPG),1,1,BE1987):INDEX((係数_乗用_ガソリン,係数_乗用_CNG,係数_乗用_軽油,係数_乗用_メタノール,係数_乗用_LPG),125,5,BE1987),5,FALSE)))))</f>
        <v/>
      </c>
      <c r="AN1987" s="461" t="str">
        <f t="shared" si="1148"/>
        <v/>
      </c>
      <c r="AO1987" s="462" t="str">
        <f t="shared" si="1149"/>
        <v/>
      </c>
      <c r="AP1987" s="463" t="str">
        <f t="shared" si="1150"/>
        <v/>
      </c>
      <c r="AQ1987" s="464"/>
      <c r="AR1987" s="619"/>
      <c r="AS1987" s="465" t="str">
        <f t="shared" si="1158"/>
        <v/>
      </c>
      <c r="AT1987" s="465" t="str">
        <f t="shared" si="1159"/>
        <v/>
      </c>
      <c r="AU1987" s="466" t="str">
        <f t="shared" si="1160"/>
        <v/>
      </c>
      <c r="AV1987" s="467" t="str">
        <f t="shared" si="1161"/>
        <v/>
      </c>
      <c r="AW1987" s="467" t="str">
        <f t="shared" si="1162"/>
        <v/>
      </c>
      <c r="AX1987" s="467" t="str">
        <f t="shared" si="1163"/>
        <v/>
      </c>
      <c r="AY1987" s="467" t="str">
        <f t="shared" si="1164"/>
        <v/>
      </c>
      <c r="AZ1987" s="467" t="str">
        <f t="shared" si="1165"/>
        <v/>
      </c>
      <c r="BA1987" s="468" t="str">
        <f>IF(AS1987="","",IF(OR(AU1987="",AU1987="-"),"－",IF(OR(AZ1987=8,AZ1987=9),"",IF(OR(AW1987=3,AW1987=4,AW1987=5,AW1987=6),VLOOKUP(AU1987,INDEX((係数_バス貨物_ガソリン,係数_バス貨物_CNG,係数_バス貨物_軽油,係数_バス貨物_メタノール,係数_バス貨物_LPG),MATCH(AY1987,【参考】排出係数!$AI$4:$AI$671,1),1,BE1987):INDEX((係数_バス貨物_ガソリン,係数_バス貨物_CNG,係数_バス貨物_軽油,係数_バス貨物_メタノール,係数_バス貨物_LPG),MATCH(AY1987+1,【参考】排出係数!$AI$4:$AI$671,1)-1,5,BE1987),2,FALSE),IF(OR(AW1987=1,AW1987=2),VLOOKUP(AU1987,INDEX((係数_乗用_ガソリン,係数_乗用_CNG,係数_乗用_軽油,係数_乗用_メタノール,係数_乗用_LPG),1,1,BE1987):INDEX((係数_乗用_ガソリン,係数_乗用_CNG,係数_乗用_軽油,係数_乗用_メタノール,係数_乗用_LPG),125,5,BE1987),2,FALSE))))))</f>
        <v/>
      </c>
      <c r="BB1987" s="468" t="str">
        <f>IF(T1987="","",IF(OR(AU1987="",AU1987="-"),"－",IF(OR(AZ1987=8,AZ1987=9),"",IF(OR(AW1987=3,AW1987=4,AW1987=5,AW1987=6),VLOOKUP(AU1987,INDEX((係数_バス貨物_ガソリン,係数_バス貨物_CNG,係数_バス貨物_軽油,係数_バス貨物_メタノール,係数_バス貨物_LPG),MATCH(AY1987,【参考】排出係数!$AI$4:$AI$671,1),1,BE1987):INDEX((係数_バス貨物_ガソリン,係数_バス貨物_CNG,係数_バス貨物_軽油,係数_バス貨物_メタノール,係数_バス貨物_LPG),MATCH(AY1987+1,【参考】排出係数!$AI$4:$AI$671,1)-1,5,BE1987),3,FALSE),IF(OR(AW1987=1,AW1987=2),VLOOKUP(AU1987,INDEX((係数_乗用_ガソリン,係数_乗用_CNG,係数_乗用_軽油,係数_乗用_メタノール,係数_乗用_LPG),1,1,BE1987):INDEX((係数_乗用_ガソリン,係数_乗用_CNG,係数_乗用_軽油,係数_乗用_メタノール,係数_乗用_LPG),125,5,BE1987),3,FALSE))))))</f>
        <v/>
      </c>
      <c r="BC1987" s="467" t="str">
        <f t="shared" si="1166"/>
        <v/>
      </c>
      <c r="BD1987" s="567" t="str">
        <f t="shared" si="1167"/>
        <v/>
      </c>
      <c r="BE1987" s="467" t="str">
        <f t="shared" si="1168"/>
        <v/>
      </c>
      <c r="BF1987" s="469" t="str">
        <f t="shared" ca="1" si="1169"/>
        <v/>
      </c>
      <c r="BG1987" s="469" t="str">
        <f t="shared" ca="1" si="1170"/>
        <v/>
      </c>
      <c r="BH1987" s="467" t="str">
        <f t="shared" si="1171"/>
        <v/>
      </c>
      <c r="BI1987" s="467" t="str">
        <f t="shared" ca="1" si="1172"/>
        <v/>
      </c>
      <c r="BJ1987" s="469" t="str">
        <f t="shared" si="1173"/>
        <v/>
      </c>
      <c r="BK1987" s="470" t="str">
        <f t="shared" si="1157"/>
        <v/>
      </c>
      <c r="BL1987" s="775" t="str">
        <f t="shared" si="1174"/>
        <v/>
      </c>
      <c r="BM1987" s="775" t="str">
        <f t="shared" si="1175"/>
        <v/>
      </c>
    </row>
    <row r="1988" spans="1:65">
      <c r="A1988" s="473">
        <v>1932</v>
      </c>
      <c r="B1988" s="132"/>
      <c r="C1988" s="332"/>
      <c r="D1988" s="333"/>
      <c r="E1988" s="333"/>
      <c r="F1988" s="334"/>
      <c r="G1988" s="337"/>
      <c r="H1988" s="131"/>
      <c r="I1988" s="337"/>
      <c r="J1988" s="131"/>
      <c r="K1988" s="458" t="str">
        <f t="shared" si="1138"/>
        <v/>
      </c>
      <c r="L1988" s="458">
        <f t="shared" si="1139"/>
        <v>0</v>
      </c>
      <c r="M1988" s="458">
        <f t="shared" si="1140"/>
        <v>0</v>
      </c>
      <c r="N1988" s="459" t="str">
        <f t="shared" si="1151"/>
        <v/>
      </c>
      <c r="O1988" s="459" t="str">
        <f t="shared" si="1152"/>
        <v/>
      </c>
      <c r="P1988" s="459" t="str">
        <f t="shared" si="1153"/>
        <v/>
      </c>
      <c r="Q1988" s="459" t="str">
        <f t="shared" si="1154"/>
        <v/>
      </c>
      <c r="R1988" s="459" t="str">
        <f t="shared" si="1155"/>
        <v/>
      </c>
      <c r="S1988" s="459" t="str">
        <f t="shared" si="1156"/>
        <v/>
      </c>
      <c r="T1988" s="566" t="str">
        <f t="shared" si="1141"/>
        <v/>
      </c>
      <c r="U1988" s="702"/>
      <c r="V1988" s="132"/>
      <c r="W1988" s="133"/>
      <c r="X1988" s="134"/>
      <c r="Y1988" s="135"/>
      <c r="Z1988" s="137"/>
      <c r="AA1988" s="136"/>
      <c r="AB1988" s="566" t="str">
        <f t="shared" si="1142"/>
        <v/>
      </c>
      <c r="AC1988" s="568" t="str">
        <f t="shared" si="1143"/>
        <v/>
      </c>
      <c r="AD1988" s="137"/>
      <c r="AE1988" s="137"/>
      <c r="AF1988" s="138"/>
      <c r="AG1988" s="138"/>
      <c r="AH1988" s="592" t="str">
        <f t="shared" si="1144"/>
        <v/>
      </c>
      <c r="AI1988" s="592" t="str">
        <f t="shared" si="1145"/>
        <v/>
      </c>
      <c r="AJ1988" s="592" t="str">
        <f t="shared" si="1146"/>
        <v/>
      </c>
      <c r="AK1988" s="460" t="str">
        <f>IF(AU1988="","",IF(OR(AZ1988=8,AZ1988=9),0,IF(OR(AW1988=3,AW1988=4,AW1988=5,AW1988=6),IF(LEFT(BF1988,1)="1",INDEX(係数_NOX・PM低減,MATCH(AY1988,【参考】排出係数!$AI$801:$AI$804,1),1),VLOOKUP(AU1988,INDEX((係数_バス貨物_ガソリン,係数_バス貨物_CNG,係数_バス貨物_軽油,係数_バス貨物_メタノール,係数_バス貨物_LPG),MATCH(AY1988,【参考】排出係数!$AI$4:$AI$671,1),1,BE1988):INDEX((係数_バス貨物_ガソリン,係数_バス貨物_CNG,係数_バス貨物_軽油,係数_バス貨物_メタノール,係数_バス貨物_LPG),MATCH(AY1988+1,【参考】排出係数!$AI$4:$AI$671,1)-1,5,BE1988),4,FALSE)),IF(AND(BE1988=3,LEFT(BF1988,1)="1"),0.48,VLOOKUP(AU1988,INDEX((係数_乗用_ガソリン,係数_乗用_CNG,係数_乗用_軽油,係数_乗用_メタノール,係数_乗用_LPG),1,1,BE1988):INDEX((係数_乗用_ガソリン,係数_乗用_CNG,係数_乗用_軽油,係数_乗用_メタノール,係数_乗用_LPG),125,5,BE1988),4,FALSE)))))</f>
        <v/>
      </c>
      <c r="AL1988" s="461" t="str">
        <f t="shared" si="1147"/>
        <v/>
      </c>
      <c r="AM1988" s="460" t="str">
        <f>IF(AU1988="","",IF(OR(AZ1988=8,AZ1988=9),0,IF(OR(AW1988=3,AW1988=4,AW1988=5,AW1988=6),IF(LEFT(BH1988,1)="1",INDEX(係数_PM低減,MATCH(AY1988,【参考】排出係数!$AI$801:$AI$804,1),MATCH(BI1988,【参考】排出係数!$AL$798:$AO$798,1)),VLOOKUP(AU1988,INDEX((係数_バス貨物_ガソリン,係数_バス貨物_CNG,係数_バス貨物_軽油,係数_バス貨物_メタノール,係数_バス貨物_LPG),MATCH(AY1988,【参考】排出係数!$AI$4:$AI$671,1),1,BE1988):INDEX((係数_バス貨物_ガソリン,係数_バス貨物_CNG,係数_バス貨物_軽油,係数_バス貨物_メタノール,係数_バス貨物_LPG),MATCH(AY1988+1,【参考】排出係数!$AI$4:$AI$671,1)-1,5,BE1988),5,FALSE)),IF(AND(BE1988=3,LEFT(BF1988,1)="1"),0.055,VLOOKUP(AU1988,INDEX((係数_乗用_ガソリン,係数_乗用_CNG,係数_乗用_軽油,係数_乗用_メタノール,係数_乗用_LPG),1,1,BE1988):INDEX((係数_乗用_ガソリン,係数_乗用_CNG,係数_乗用_軽油,係数_乗用_メタノール,係数_乗用_LPG),125,5,BE1988),5,FALSE)))))</f>
        <v/>
      </c>
      <c r="AN1988" s="461" t="str">
        <f t="shared" si="1148"/>
        <v/>
      </c>
      <c r="AO1988" s="462" t="str">
        <f t="shared" si="1149"/>
        <v/>
      </c>
      <c r="AP1988" s="463" t="str">
        <f t="shared" si="1150"/>
        <v/>
      </c>
      <c r="AQ1988" s="464"/>
      <c r="AR1988" s="619"/>
      <c r="AS1988" s="465" t="str">
        <f t="shared" si="1158"/>
        <v/>
      </c>
      <c r="AT1988" s="465" t="str">
        <f t="shared" si="1159"/>
        <v/>
      </c>
      <c r="AU1988" s="466" t="str">
        <f t="shared" si="1160"/>
        <v/>
      </c>
      <c r="AV1988" s="467" t="str">
        <f t="shared" si="1161"/>
        <v/>
      </c>
      <c r="AW1988" s="467" t="str">
        <f t="shared" si="1162"/>
        <v/>
      </c>
      <c r="AX1988" s="467" t="str">
        <f t="shared" si="1163"/>
        <v/>
      </c>
      <c r="AY1988" s="467" t="str">
        <f t="shared" si="1164"/>
        <v/>
      </c>
      <c r="AZ1988" s="467" t="str">
        <f t="shared" si="1165"/>
        <v/>
      </c>
      <c r="BA1988" s="468" t="str">
        <f>IF(AS1988="","",IF(OR(AU1988="",AU1988="-"),"－",IF(OR(AZ1988=8,AZ1988=9),"",IF(OR(AW1988=3,AW1988=4,AW1988=5,AW1988=6),VLOOKUP(AU1988,INDEX((係数_バス貨物_ガソリン,係数_バス貨物_CNG,係数_バス貨物_軽油,係数_バス貨物_メタノール,係数_バス貨物_LPG),MATCH(AY1988,【参考】排出係数!$AI$4:$AI$671,1),1,BE1988):INDEX((係数_バス貨物_ガソリン,係数_バス貨物_CNG,係数_バス貨物_軽油,係数_バス貨物_メタノール,係数_バス貨物_LPG),MATCH(AY1988+1,【参考】排出係数!$AI$4:$AI$671,1)-1,5,BE1988),2,FALSE),IF(OR(AW1988=1,AW1988=2),VLOOKUP(AU1988,INDEX((係数_乗用_ガソリン,係数_乗用_CNG,係数_乗用_軽油,係数_乗用_メタノール,係数_乗用_LPG),1,1,BE1988):INDEX((係数_乗用_ガソリン,係数_乗用_CNG,係数_乗用_軽油,係数_乗用_メタノール,係数_乗用_LPG),125,5,BE1988),2,FALSE))))))</f>
        <v/>
      </c>
      <c r="BB1988" s="468" t="str">
        <f>IF(T1988="","",IF(OR(AU1988="",AU1988="-"),"－",IF(OR(AZ1988=8,AZ1988=9),"",IF(OR(AW1988=3,AW1988=4,AW1988=5,AW1988=6),VLOOKUP(AU1988,INDEX((係数_バス貨物_ガソリン,係数_バス貨物_CNG,係数_バス貨物_軽油,係数_バス貨物_メタノール,係数_バス貨物_LPG),MATCH(AY1988,【参考】排出係数!$AI$4:$AI$671,1),1,BE1988):INDEX((係数_バス貨物_ガソリン,係数_バス貨物_CNG,係数_バス貨物_軽油,係数_バス貨物_メタノール,係数_バス貨物_LPG),MATCH(AY1988+1,【参考】排出係数!$AI$4:$AI$671,1)-1,5,BE1988),3,FALSE),IF(OR(AW1988=1,AW1988=2),VLOOKUP(AU1988,INDEX((係数_乗用_ガソリン,係数_乗用_CNG,係数_乗用_軽油,係数_乗用_メタノール,係数_乗用_LPG),1,1,BE1988):INDEX((係数_乗用_ガソリン,係数_乗用_CNG,係数_乗用_軽油,係数_乗用_メタノール,係数_乗用_LPG),125,5,BE1988),3,FALSE))))))</f>
        <v/>
      </c>
      <c r="BC1988" s="467" t="str">
        <f t="shared" si="1166"/>
        <v/>
      </c>
      <c r="BD1988" s="567" t="str">
        <f t="shared" si="1167"/>
        <v/>
      </c>
      <c r="BE1988" s="467" t="str">
        <f t="shared" si="1168"/>
        <v/>
      </c>
      <c r="BF1988" s="469" t="str">
        <f t="shared" ca="1" si="1169"/>
        <v/>
      </c>
      <c r="BG1988" s="469" t="str">
        <f t="shared" ca="1" si="1170"/>
        <v/>
      </c>
      <c r="BH1988" s="467" t="str">
        <f t="shared" si="1171"/>
        <v/>
      </c>
      <c r="BI1988" s="467" t="str">
        <f t="shared" ca="1" si="1172"/>
        <v/>
      </c>
      <c r="BJ1988" s="469" t="str">
        <f t="shared" si="1173"/>
        <v/>
      </c>
      <c r="BK1988" s="470" t="str">
        <f t="shared" si="1157"/>
        <v/>
      </c>
      <c r="BL1988" s="775" t="str">
        <f t="shared" si="1174"/>
        <v/>
      </c>
      <c r="BM1988" s="775" t="str">
        <f t="shared" si="1175"/>
        <v/>
      </c>
    </row>
    <row r="1989" spans="1:65">
      <c r="A1989" s="473">
        <v>1933</v>
      </c>
      <c r="B1989" s="132"/>
      <c r="C1989" s="332"/>
      <c r="D1989" s="333"/>
      <c r="E1989" s="333"/>
      <c r="F1989" s="334"/>
      <c r="G1989" s="337"/>
      <c r="H1989" s="131"/>
      <c r="I1989" s="337"/>
      <c r="J1989" s="131"/>
      <c r="K1989" s="458" t="str">
        <f t="shared" si="1138"/>
        <v/>
      </c>
      <c r="L1989" s="458">
        <f t="shared" si="1139"/>
        <v>0</v>
      </c>
      <c r="M1989" s="458">
        <f t="shared" si="1140"/>
        <v>0</v>
      </c>
      <c r="N1989" s="459" t="str">
        <f t="shared" si="1151"/>
        <v/>
      </c>
      <c r="O1989" s="459" t="str">
        <f t="shared" si="1152"/>
        <v/>
      </c>
      <c r="P1989" s="459" t="str">
        <f t="shared" si="1153"/>
        <v/>
      </c>
      <c r="Q1989" s="459" t="str">
        <f t="shared" si="1154"/>
        <v/>
      </c>
      <c r="R1989" s="459" t="str">
        <f t="shared" si="1155"/>
        <v/>
      </c>
      <c r="S1989" s="459" t="str">
        <f t="shared" si="1156"/>
        <v/>
      </c>
      <c r="T1989" s="566" t="str">
        <f t="shared" si="1141"/>
        <v/>
      </c>
      <c r="U1989" s="702"/>
      <c r="V1989" s="132"/>
      <c r="W1989" s="133"/>
      <c r="X1989" s="134"/>
      <c r="Y1989" s="135"/>
      <c r="Z1989" s="137"/>
      <c r="AA1989" s="136"/>
      <c r="AB1989" s="566" t="str">
        <f t="shared" si="1142"/>
        <v/>
      </c>
      <c r="AC1989" s="568" t="str">
        <f t="shared" si="1143"/>
        <v/>
      </c>
      <c r="AD1989" s="137"/>
      <c r="AE1989" s="137"/>
      <c r="AF1989" s="138"/>
      <c r="AG1989" s="138"/>
      <c r="AH1989" s="592" t="str">
        <f t="shared" si="1144"/>
        <v/>
      </c>
      <c r="AI1989" s="592" t="str">
        <f t="shared" si="1145"/>
        <v/>
      </c>
      <c r="AJ1989" s="592" t="str">
        <f t="shared" si="1146"/>
        <v/>
      </c>
      <c r="AK1989" s="460" t="str">
        <f>IF(AU1989="","",IF(OR(AZ1989=8,AZ1989=9),0,IF(OR(AW1989=3,AW1989=4,AW1989=5,AW1989=6),IF(LEFT(BF1989,1)="1",INDEX(係数_NOX・PM低減,MATCH(AY1989,【参考】排出係数!$AI$801:$AI$804,1),1),VLOOKUP(AU1989,INDEX((係数_バス貨物_ガソリン,係数_バス貨物_CNG,係数_バス貨物_軽油,係数_バス貨物_メタノール,係数_バス貨物_LPG),MATCH(AY1989,【参考】排出係数!$AI$4:$AI$671,1),1,BE1989):INDEX((係数_バス貨物_ガソリン,係数_バス貨物_CNG,係数_バス貨物_軽油,係数_バス貨物_メタノール,係数_バス貨物_LPG),MATCH(AY1989+1,【参考】排出係数!$AI$4:$AI$671,1)-1,5,BE1989),4,FALSE)),IF(AND(BE1989=3,LEFT(BF1989,1)="1"),0.48,VLOOKUP(AU1989,INDEX((係数_乗用_ガソリン,係数_乗用_CNG,係数_乗用_軽油,係数_乗用_メタノール,係数_乗用_LPG),1,1,BE1989):INDEX((係数_乗用_ガソリン,係数_乗用_CNG,係数_乗用_軽油,係数_乗用_メタノール,係数_乗用_LPG),125,5,BE1989),4,FALSE)))))</f>
        <v/>
      </c>
      <c r="AL1989" s="461" t="str">
        <f t="shared" si="1147"/>
        <v/>
      </c>
      <c r="AM1989" s="460" t="str">
        <f>IF(AU1989="","",IF(OR(AZ1989=8,AZ1989=9),0,IF(OR(AW1989=3,AW1989=4,AW1989=5,AW1989=6),IF(LEFT(BH1989,1)="1",INDEX(係数_PM低減,MATCH(AY1989,【参考】排出係数!$AI$801:$AI$804,1),MATCH(BI1989,【参考】排出係数!$AL$798:$AO$798,1)),VLOOKUP(AU1989,INDEX((係数_バス貨物_ガソリン,係数_バス貨物_CNG,係数_バス貨物_軽油,係数_バス貨物_メタノール,係数_バス貨物_LPG),MATCH(AY1989,【参考】排出係数!$AI$4:$AI$671,1),1,BE1989):INDEX((係数_バス貨物_ガソリン,係数_バス貨物_CNG,係数_バス貨物_軽油,係数_バス貨物_メタノール,係数_バス貨物_LPG),MATCH(AY1989+1,【参考】排出係数!$AI$4:$AI$671,1)-1,5,BE1989),5,FALSE)),IF(AND(BE1989=3,LEFT(BF1989,1)="1"),0.055,VLOOKUP(AU1989,INDEX((係数_乗用_ガソリン,係数_乗用_CNG,係数_乗用_軽油,係数_乗用_メタノール,係数_乗用_LPG),1,1,BE1989):INDEX((係数_乗用_ガソリン,係数_乗用_CNG,係数_乗用_軽油,係数_乗用_メタノール,係数_乗用_LPG),125,5,BE1989),5,FALSE)))))</f>
        <v/>
      </c>
      <c r="AN1989" s="461" t="str">
        <f t="shared" si="1148"/>
        <v/>
      </c>
      <c r="AO1989" s="462" t="str">
        <f t="shared" si="1149"/>
        <v/>
      </c>
      <c r="AP1989" s="463" t="str">
        <f t="shared" si="1150"/>
        <v/>
      </c>
      <c r="AQ1989" s="464"/>
      <c r="AR1989" s="619"/>
      <c r="AS1989" s="465" t="str">
        <f t="shared" si="1158"/>
        <v/>
      </c>
      <c r="AT1989" s="465" t="str">
        <f t="shared" si="1159"/>
        <v/>
      </c>
      <c r="AU1989" s="466" t="str">
        <f t="shared" si="1160"/>
        <v/>
      </c>
      <c r="AV1989" s="467" t="str">
        <f t="shared" si="1161"/>
        <v/>
      </c>
      <c r="AW1989" s="467" t="str">
        <f t="shared" si="1162"/>
        <v/>
      </c>
      <c r="AX1989" s="467" t="str">
        <f t="shared" si="1163"/>
        <v/>
      </c>
      <c r="AY1989" s="467" t="str">
        <f t="shared" si="1164"/>
        <v/>
      </c>
      <c r="AZ1989" s="467" t="str">
        <f t="shared" si="1165"/>
        <v/>
      </c>
      <c r="BA1989" s="468" t="str">
        <f>IF(AS1989="","",IF(OR(AU1989="",AU1989="-"),"－",IF(OR(AZ1989=8,AZ1989=9),"",IF(OR(AW1989=3,AW1989=4,AW1989=5,AW1989=6),VLOOKUP(AU1989,INDEX((係数_バス貨物_ガソリン,係数_バス貨物_CNG,係数_バス貨物_軽油,係数_バス貨物_メタノール,係数_バス貨物_LPG),MATCH(AY1989,【参考】排出係数!$AI$4:$AI$671,1),1,BE1989):INDEX((係数_バス貨物_ガソリン,係数_バス貨物_CNG,係数_バス貨物_軽油,係数_バス貨物_メタノール,係数_バス貨物_LPG),MATCH(AY1989+1,【参考】排出係数!$AI$4:$AI$671,1)-1,5,BE1989),2,FALSE),IF(OR(AW1989=1,AW1989=2),VLOOKUP(AU1989,INDEX((係数_乗用_ガソリン,係数_乗用_CNG,係数_乗用_軽油,係数_乗用_メタノール,係数_乗用_LPG),1,1,BE1989):INDEX((係数_乗用_ガソリン,係数_乗用_CNG,係数_乗用_軽油,係数_乗用_メタノール,係数_乗用_LPG),125,5,BE1989),2,FALSE))))))</f>
        <v/>
      </c>
      <c r="BB1989" s="468" t="str">
        <f>IF(T1989="","",IF(OR(AU1989="",AU1989="-"),"－",IF(OR(AZ1989=8,AZ1989=9),"",IF(OR(AW1989=3,AW1989=4,AW1989=5,AW1989=6),VLOOKUP(AU1989,INDEX((係数_バス貨物_ガソリン,係数_バス貨物_CNG,係数_バス貨物_軽油,係数_バス貨物_メタノール,係数_バス貨物_LPG),MATCH(AY1989,【参考】排出係数!$AI$4:$AI$671,1),1,BE1989):INDEX((係数_バス貨物_ガソリン,係数_バス貨物_CNG,係数_バス貨物_軽油,係数_バス貨物_メタノール,係数_バス貨物_LPG),MATCH(AY1989+1,【参考】排出係数!$AI$4:$AI$671,1)-1,5,BE1989),3,FALSE),IF(OR(AW1989=1,AW1989=2),VLOOKUP(AU1989,INDEX((係数_乗用_ガソリン,係数_乗用_CNG,係数_乗用_軽油,係数_乗用_メタノール,係数_乗用_LPG),1,1,BE1989):INDEX((係数_乗用_ガソリン,係数_乗用_CNG,係数_乗用_軽油,係数_乗用_メタノール,係数_乗用_LPG),125,5,BE1989),3,FALSE))))))</f>
        <v/>
      </c>
      <c r="BC1989" s="467" t="str">
        <f t="shared" si="1166"/>
        <v/>
      </c>
      <c r="BD1989" s="567" t="str">
        <f t="shared" si="1167"/>
        <v/>
      </c>
      <c r="BE1989" s="467" t="str">
        <f t="shared" si="1168"/>
        <v/>
      </c>
      <c r="BF1989" s="469" t="str">
        <f t="shared" ca="1" si="1169"/>
        <v/>
      </c>
      <c r="BG1989" s="469" t="str">
        <f t="shared" ca="1" si="1170"/>
        <v/>
      </c>
      <c r="BH1989" s="467" t="str">
        <f t="shared" si="1171"/>
        <v/>
      </c>
      <c r="BI1989" s="467" t="str">
        <f t="shared" ca="1" si="1172"/>
        <v/>
      </c>
      <c r="BJ1989" s="469" t="str">
        <f t="shared" si="1173"/>
        <v/>
      </c>
      <c r="BK1989" s="470" t="str">
        <f t="shared" si="1157"/>
        <v/>
      </c>
      <c r="BL1989" s="775" t="str">
        <f t="shared" si="1174"/>
        <v/>
      </c>
      <c r="BM1989" s="775" t="str">
        <f t="shared" si="1175"/>
        <v/>
      </c>
    </row>
    <row r="1990" spans="1:65">
      <c r="A1990" s="473">
        <v>1934</v>
      </c>
      <c r="B1990" s="132"/>
      <c r="C1990" s="332"/>
      <c r="D1990" s="333"/>
      <c r="E1990" s="333"/>
      <c r="F1990" s="334"/>
      <c r="G1990" s="337"/>
      <c r="H1990" s="131"/>
      <c r="I1990" s="337"/>
      <c r="J1990" s="131"/>
      <c r="K1990" s="458" t="str">
        <f t="shared" si="1138"/>
        <v/>
      </c>
      <c r="L1990" s="458">
        <f t="shared" si="1139"/>
        <v>0</v>
      </c>
      <c r="M1990" s="458">
        <f t="shared" si="1140"/>
        <v>0</v>
      </c>
      <c r="N1990" s="459" t="str">
        <f t="shared" si="1151"/>
        <v/>
      </c>
      <c r="O1990" s="459" t="str">
        <f t="shared" si="1152"/>
        <v/>
      </c>
      <c r="P1990" s="459" t="str">
        <f t="shared" si="1153"/>
        <v/>
      </c>
      <c r="Q1990" s="459" t="str">
        <f t="shared" si="1154"/>
        <v/>
      </c>
      <c r="R1990" s="459" t="str">
        <f t="shared" si="1155"/>
        <v/>
      </c>
      <c r="S1990" s="459" t="str">
        <f t="shared" si="1156"/>
        <v/>
      </c>
      <c r="T1990" s="566" t="str">
        <f t="shared" si="1141"/>
        <v/>
      </c>
      <c r="U1990" s="702"/>
      <c r="V1990" s="132"/>
      <c r="W1990" s="133"/>
      <c r="X1990" s="134"/>
      <c r="Y1990" s="135"/>
      <c r="Z1990" s="137"/>
      <c r="AA1990" s="136"/>
      <c r="AB1990" s="566" t="str">
        <f t="shared" si="1142"/>
        <v/>
      </c>
      <c r="AC1990" s="568" t="str">
        <f t="shared" si="1143"/>
        <v/>
      </c>
      <c r="AD1990" s="137"/>
      <c r="AE1990" s="137"/>
      <c r="AF1990" s="138"/>
      <c r="AG1990" s="138"/>
      <c r="AH1990" s="592" t="str">
        <f t="shared" si="1144"/>
        <v/>
      </c>
      <c r="AI1990" s="592" t="str">
        <f t="shared" si="1145"/>
        <v/>
      </c>
      <c r="AJ1990" s="592" t="str">
        <f t="shared" si="1146"/>
        <v/>
      </c>
      <c r="AK1990" s="460" t="str">
        <f>IF(AU1990="","",IF(OR(AZ1990=8,AZ1990=9),0,IF(OR(AW1990=3,AW1990=4,AW1990=5,AW1990=6),IF(LEFT(BF1990,1)="1",INDEX(係数_NOX・PM低減,MATCH(AY1990,【参考】排出係数!$AI$801:$AI$804,1),1),VLOOKUP(AU1990,INDEX((係数_バス貨物_ガソリン,係数_バス貨物_CNG,係数_バス貨物_軽油,係数_バス貨物_メタノール,係数_バス貨物_LPG),MATCH(AY1990,【参考】排出係数!$AI$4:$AI$671,1),1,BE1990):INDEX((係数_バス貨物_ガソリン,係数_バス貨物_CNG,係数_バス貨物_軽油,係数_バス貨物_メタノール,係数_バス貨物_LPG),MATCH(AY1990+1,【参考】排出係数!$AI$4:$AI$671,1)-1,5,BE1990),4,FALSE)),IF(AND(BE1990=3,LEFT(BF1990,1)="1"),0.48,VLOOKUP(AU1990,INDEX((係数_乗用_ガソリン,係数_乗用_CNG,係数_乗用_軽油,係数_乗用_メタノール,係数_乗用_LPG),1,1,BE1990):INDEX((係数_乗用_ガソリン,係数_乗用_CNG,係数_乗用_軽油,係数_乗用_メタノール,係数_乗用_LPG),125,5,BE1990),4,FALSE)))))</f>
        <v/>
      </c>
      <c r="AL1990" s="461" t="str">
        <f t="shared" si="1147"/>
        <v/>
      </c>
      <c r="AM1990" s="460" t="str">
        <f>IF(AU1990="","",IF(OR(AZ1990=8,AZ1990=9),0,IF(OR(AW1990=3,AW1990=4,AW1990=5,AW1990=6),IF(LEFT(BH1990,1)="1",INDEX(係数_PM低減,MATCH(AY1990,【参考】排出係数!$AI$801:$AI$804,1),MATCH(BI1990,【参考】排出係数!$AL$798:$AO$798,1)),VLOOKUP(AU1990,INDEX((係数_バス貨物_ガソリン,係数_バス貨物_CNG,係数_バス貨物_軽油,係数_バス貨物_メタノール,係数_バス貨物_LPG),MATCH(AY1990,【参考】排出係数!$AI$4:$AI$671,1),1,BE1990):INDEX((係数_バス貨物_ガソリン,係数_バス貨物_CNG,係数_バス貨物_軽油,係数_バス貨物_メタノール,係数_バス貨物_LPG),MATCH(AY1990+1,【参考】排出係数!$AI$4:$AI$671,1)-1,5,BE1990),5,FALSE)),IF(AND(BE1990=3,LEFT(BF1990,1)="1"),0.055,VLOOKUP(AU1990,INDEX((係数_乗用_ガソリン,係数_乗用_CNG,係数_乗用_軽油,係数_乗用_メタノール,係数_乗用_LPG),1,1,BE1990):INDEX((係数_乗用_ガソリン,係数_乗用_CNG,係数_乗用_軽油,係数_乗用_メタノール,係数_乗用_LPG),125,5,BE1990),5,FALSE)))))</f>
        <v/>
      </c>
      <c r="AN1990" s="461" t="str">
        <f t="shared" si="1148"/>
        <v/>
      </c>
      <c r="AO1990" s="462" t="str">
        <f t="shared" si="1149"/>
        <v/>
      </c>
      <c r="AP1990" s="463" t="str">
        <f t="shared" si="1150"/>
        <v/>
      </c>
      <c r="AQ1990" s="464"/>
      <c r="AR1990" s="619"/>
      <c r="AS1990" s="465" t="str">
        <f t="shared" si="1158"/>
        <v/>
      </c>
      <c r="AT1990" s="465" t="str">
        <f t="shared" si="1159"/>
        <v/>
      </c>
      <c r="AU1990" s="466" t="str">
        <f t="shared" si="1160"/>
        <v/>
      </c>
      <c r="AV1990" s="467" t="str">
        <f t="shared" si="1161"/>
        <v/>
      </c>
      <c r="AW1990" s="467" t="str">
        <f t="shared" si="1162"/>
        <v/>
      </c>
      <c r="AX1990" s="467" t="str">
        <f t="shared" si="1163"/>
        <v/>
      </c>
      <c r="AY1990" s="467" t="str">
        <f t="shared" si="1164"/>
        <v/>
      </c>
      <c r="AZ1990" s="467" t="str">
        <f t="shared" si="1165"/>
        <v/>
      </c>
      <c r="BA1990" s="468" t="str">
        <f>IF(AS1990="","",IF(OR(AU1990="",AU1990="-"),"－",IF(OR(AZ1990=8,AZ1990=9),"",IF(OR(AW1990=3,AW1990=4,AW1990=5,AW1990=6),VLOOKUP(AU1990,INDEX((係数_バス貨物_ガソリン,係数_バス貨物_CNG,係数_バス貨物_軽油,係数_バス貨物_メタノール,係数_バス貨物_LPG),MATCH(AY1990,【参考】排出係数!$AI$4:$AI$671,1),1,BE1990):INDEX((係数_バス貨物_ガソリン,係数_バス貨物_CNG,係数_バス貨物_軽油,係数_バス貨物_メタノール,係数_バス貨物_LPG),MATCH(AY1990+1,【参考】排出係数!$AI$4:$AI$671,1)-1,5,BE1990),2,FALSE),IF(OR(AW1990=1,AW1990=2),VLOOKUP(AU1990,INDEX((係数_乗用_ガソリン,係数_乗用_CNG,係数_乗用_軽油,係数_乗用_メタノール,係数_乗用_LPG),1,1,BE1990):INDEX((係数_乗用_ガソリン,係数_乗用_CNG,係数_乗用_軽油,係数_乗用_メタノール,係数_乗用_LPG),125,5,BE1990),2,FALSE))))))</f>
        <v/>
      </c>
      <c r="BB1990" s="468" t="str">
        <f>IF(T1990="","",IF(OR(AU1990="",AU1990="-"),"－",IF(OR(AZ1990=8,AZ1990=9),"",IF(OR(AW1990=3,AW1990=4,AW1990=5,AW1990=6),VLOOKUP(AU1990,INDEX((係数_バス貨物_ガソリン,係数_バス貨物_CNG,係数_バス貨物_軽油,係数_バス貨物_メタノール,係数_バス貨物_LPG),MATCH(AY1990,【参考】排出係数!$AI$4:$AI$671,1),1,BE1990):INDEX((係数_バス貨物_ガソリン,係数_バス貨物_CNG,係数_バス貨物_軽油,係数_バス貨物_メタノール,係数_バス貨物_LPG),MATCH(AY1990+1,【参考】排出係数!$AI$4:$AI$671,1)-1,5,BE1990),3,FALSE),IF(OR(AW1990=1,AW1990=2),VLOOKUP(AU1990,INDEX((係数_乗用_ガソリン,係数_乗用_CNG,係数_乗用_軽油,係数_乗用_メタノール,係数_乗用_LPG),1,1,BE1990):INDEX((係数_乗用_ガソリン,係数_乗用_CNG,係数_乗用_軽油,係数_乗用_メタノール,係数_乗用_LPG),125,5,BE1990),3,FALSE))))))</f>
        <v/>
      </c>
      <c r="BC1990" s="467" t="str">
        <f t="shared" si="1166"/>
        <v/>
      </c>
      <c r="BD1990" s="567" t="str">
        <f t="shared" si="1167"/>
        <v/>
      </c>
      <c r="BE1990" s="467" t="str">
        <f t="shared" si="1168"/>
        <v/>
      </c>
      <c r="BF1990" s="469" t="str">
        <f t="shared" ca="1" si="1169"/>
        <v/>
      </c>
      <c r="BG1990" s="469" t="str">
        <f t="shared" ca="1" si="1170"/>
        <v/>
      </c>
      <c r="BH1990" s="467" t="str">
        <f t="shared" si="1171"/>
        <v/>
      </c>
      <c r="BI1990" s="467" t="str">
        <f t="shared" ca="1" si="1172"/>
        <v/>
      </c>
      <c r="BJ1990" s="469" t="str">
        <f t="shared" si="1173"/>
        <v/>
      </c>
      <c r="BK1990" s="470" t="str">
        <f t="shared" si="1157"/>
        <v/>
      </c>
      <c r="BL1990" s="775" t="str">
        <f t="shared" si="1174"/>
        <v/>
      </c>
      <c r="BM1990" s="775" t="str">
        <f t="shared" si="1175"/>
        <v/>
      </c>
    </row>
    <row r="1991" spans="1:65">
      <c r="A1991" s="473">
        <v>1935</v>
      </c>
      <c r="B1991" s="132"/>
      <c r="C1991" s="332"/>
      <c r="D1991" s="333"/>
      <c r="E1991" s="333"/>
      <c r="F1991" s="334"/>
      <c r="G1991" s="337"/>
      <c r="H1991" s="131"/>
      <c r="I1991" s="337"/>
      <c r="J1991" s="131"/>
      <c r="K1991" s="458" t="str">
        <f t="shared" si="1138"/>
        <v/>
      </c>
      <c r="L1991" s="458">
        <f t="shared" si="1139"/>
        <v>0</v>
      </c>
      <c r="M1991" s="458">
        <f t="shared" si="1140"/>
        <v>0</v>
      </c>
      <c r="N1991" s="459" t="str">
        <f t="shared" si="1151"/>
        <v/>
      </c>
      <c r="O1991" s="459" t="str">
        <f t="shared" si="1152"/>
        <v/>
      </c>
      <c r="P1991" s="459" t="str">
        <f t="shared" si="1153"/>
        <v/>
      </c>
      <c r="Q1991" s="459" t="str">
        <f t="shared" si="1154"/>
        <v/>
      </c>
      <c r="R1991" s="459" t="str">
        <f t="shared" si="1155"/>
        <v/>
      </c>
      <c r="S1991" s="459" t="str">
        <f t="shared" si="1156"/>
        <v/>
      </c>
      <c r="T1991" s="566" t="str">
        <f t="shared" si="1141"/>
        <v/>
      </c>
      <c r="U1991" s="702"/>
      <c r="V1991" s="132"/>
      <c r="W1991" s="133"/>
      <c r="X1991" s="134"/>
      <c r="Y1991" s="135"/>
      <c r="Z1991" s="137"/>
      <c r="AA1991" s="136"/>
      <c r="AB1991" s="566" t="str">
        <f t="shared" si="1142"/>
        <v/>
      </c>
      <c r="AC1991" s="568" t="str">
        <f t="shared" si="1143"/>
        <v/>
      </c>
      <c r="AD1991" s="137"/>
      <c r="AE1991" s="137"/>
      <c r="AF1991" s="138"/>
      <c r="AG1991" s="138"/>
      <c r="AH1991" s="592" t="str">
        <f t="shared" si="1144"/>
        <v/>
      </c>
      <c r="AI1991" s="592" t="str">
        <f t="shared" si="1145"/>
        <v/>
      </c>
      <c r="AJ1991" s="592" t="str">
        <f t="shared" si="1146"/>
        <v/>
      </c>
      <c r="AK1991" s="460" t="str">
        <f>IF(AU1991="","",IF(OR(AZ1991=8,AZ1991=9),0,IF(OR(AW1991=3,AW1991=4,AW1991=5,AW1991=6),IF(LEFT(BF1991,1)="1",INDEX(係数_NOX・PM低減,MATCH(AY1991,【参考】排出係数!$AI$801:$AI$804,1),1),VLOOKUP(AU1991,INDEX((係数_バス貨物_ガソリン,係数_バス貨物_CNG,係数_バス貨物_軽油,係数_バス貨物_メタノール,係数_バス貨物_LPG),MATCH(AY1991,【参考】排出係数!$AI$4:$AI$671,1),1,BE1991):INDEX((係数_バス貨物_ガソリン,係数_バス貨物_CNG,係数_バス貨物_軽油,係数_バス貨物_メタノール,係数_バス貨物_LPG),MATCH(AY1991+1,【参考】排出係数!$AI$4:$AI$671,1)-1,5,BE1991),4,FALSE)),IF(AND(BE1991=3,LEFT(BF1991,1)="1"),0.48,VLOOKUP(AU1991,INDEX((係数_乗用_ガソリン,係数_乗用_CNG,係数_乗用_軽油,係数_乗用_メタノール,係数_乗用_LPG),1,1,BE1991):INDEX((係数_乗用_ガソリン,係数_乗用_CNG,係数_乗用_軽油,係数_乗用_メタノール,係数_乗用_LPG),125,5,BE1991),4,FALSE)))))</f>
        <v/>
      </c>
      <c r="AL1991" s="461" t="str">
        <f t="shared" si="1147"/>
        <v/>
      </c>
      <c r="AM1991" s="460" t="str">
        <f>IF(AU1991="","",IF(OR(AZ1991=8,AZ1991=9),0,IF(OR(AW1991=3,AW1991=4,AW1991=5,AW1991=6),IF(LEFT(BH1991,1)="1",INDEX(係数_PM低減,MATCH(AY1991,【参考】排出係数!$AI$801:$AI$804,1),MATCH(BI1991,【参考】排出係数!$AL$798:$AO$798,1)),VLOOKUP(AU1991,INDEX((係数_バス貨物_ガソリン,係数_バス貨物_CNG,係数_バス貨物_軽油,係数_バス貨物_メタノール,係数_バス貨物_LPG),MATCH(AY1991,【参考】排出係数!$AI$4:$AI$671,1),1,BE1991):INDEX((係数_バス貨物_ガソリン,係数_バス貨物_CNG,係数_バス貨物_軽油,係数_バス貨物_メタノール,係数_バス貨物_LPG),MATCH(AY1991+1,【参考】排出係数!$AI$4:$AI$671,1)-1,5,BE1991),5,FALSE)),IF(AND(BE1991=3,LEFT(BF1991,1)="1"),0.055,VLOOKUP(AU1991,INDEX((係数_乗用_ガソリン,係数_乗用_CNG,係数_乗用_軽油,係数_乗用_メタノール,係数_乗用_LPG),1,1,BE1991):INDEX((係数_乗用_ガソリン,係数_乗用_CNG,係数_乗用_軽油,係数_乗用_メタノール,係数_乗用_LPG),125,5,BE1991),5,FALSE)))))</f>
        <v/>
      </c>
      <c r="AN1991" s="461" t="str">
        <f t="shared" si="1148"/>
        <v/>
      </c>
      <c r="AO1991" s="462" t="str">
        <f t="shared" si="1149"/>
        <v/>
      </c>
      <c r="AP1991" s="463" t="str">
        <f t="shared" si="1150"/>
        <v/>
      </c>
      <c r="AQ1991" s="464"/>
      <c r="AR1991" s="619"/>
      <c r="AS1991" s="465" t="str">
        <f t="shared" si="1158"/>
        <v/>
      </c>
      <c r="AT1991" s="465" t="str">
        <f t="shared" si="1159"/>
        <v/>
      </c>
      <c r="AU1991" s="466" t="str">
        <f t="shared" si="1160"/>
        <v/>
      </c>
      <c r="AV1991" s="467" t="str">
        <f t="shared" si="1161"/>
        <v/>
      </c>
      <c r="AW1991" s="467" t="str">
        <f t="shared" si="1162"/>
        <v/>
      </c>
      <c r="AX1991" s="467" t="str">
        <f t="shared" si="1163"/>
        <v/>
      </c>
      <c r="AY1991" s="467" t="str">
        <f t="shared" si="1164"/>
        <v/>
      </c>
      <c r="AZ1991" s="467" t="str">
        <f t="shared" si="1165"/>
        <v/>
      </c>
      <c r="BA1991" s="468" t="str">
        <f>IF(AS1991="","",IF(OR(AU1991="",AU1991="-"),"－",IF(OR(AZ1991=8,AZ1991=9),"",IF(OR(AW1991=3,AW1991=4,AW1991=5,AW1991=6),VLOOKUP(AU1991,INDEX((係数_バス貨物_ガソリン,係数_バス貨物_CNG,係数_バス貨物_軽油,係数_バス貨物_メタノール,係数_バス貨物_LPG),MATCH(AY1991,【参考】排出係数!$AI$4:$AI$671,1),1,BE1991):INDEX((係数_バス貨物_ガソリン,係数_バス貨物_CNG,係数_バス貨物_軽油,係数_バス貨物_メタノール,係数_バス貨物_LPG),MATCH(AY1991+1,【参考】排出係数!$AI$4:$AI$671,1)-1,5,BE1991),2,FALSE),IF(OR(AW1991=1,AW1991=2),VLOOKUP(AU1991,INDEX((係数_乗用_ガソリン,係数_乗用_CNG,係数_乗用_軽油,係数_乗用_メタノール,係数_乗用_LPG),1,1,BE1991):INDEX((係数_乗用_ガソリン,係数_乗用_CNG,係数_乗用_軽油,係数_乗用_メタノール,係数_乗用_LPG),125,5,BE1991),2,FALSE))))))</f>
        <v/>
      </c>
      <c r="BB1991" s="468" t="str">
        <f>IF(T1991="","",IF(OR(AU1991="",AU1991="-"),"－",IF(OR(AZ1991=8,AZ1991=9),"",IF(OR(AW1991=3,AW1991=4,AW1991=5,AW1991=6),VLOOKUP(AU1991,INDEX((係数_バス貨物_ガソリン,係数_バス貨物_CNG,係数_バス貨物_軽油,係数_バス貨物_メタノール,係数_バス貨物_LPG),MATCH(AY1991,【参考】排出係数!$AI$4:$AI$671,1),1,BE1991):INDEX((係数_バス貨物_ガソリン,係数_バス貨物_CNG,係数_バス貨物_軽油,係数_バス貨物_メタノール,係数_バス貨物_LPG),MATCH(AY1991+1,【参考】排出係数!$AI$4:$AI$671,1)-1,5,BE1991),3,FALSE),IF(OR(AW1991=1,AW1991=2),VLOOKUP(AU1991,INDEX((係数_乗用_ガソリン,係数_乗用_CNG,係数_乗用_軽油,係数_乗用_メタノール,係数_乗用_LPG),1,1,BE1991):INDEX((係数_乗用_ガソリン,係数_乗用_CNG,係数_乗用_軽油,係数_乗用_メタノール,係数_乗用_LPG),125,5,BE1991),3,FALSE))))))</f>
        <v/>
      </c>
      <c r="BC1991" s="467" t="str">
        <f t="shared" si="1166"/>
        <v/>
      </c>
      <c r="BD1991" s="567" t="str">
        <f t="shared" si="1167"/>
        <v/>
      </c>
      <c r="BE1991" s="467" t="str">
        <f t="shared" si="1168"/>
        <v/>
      </c>
      <c r="BF1991" s="469" t="str">
        <f t="shared" ca="1" si="1169"/>
        <v/>
      </c>
      <c r="BG1991" s="469" t="str">
        <f t="shared" ca="1" si="1170"/>
        <v/>
      </c>
      <c r="BH1991" s="467" t="str">
        <f t="shared" si="1171"/>
        <v/>
      </c>
      <c r="BI1991" s="467" t="str">
        <f t="shared" ca="1" si="1172"/>
        <v/>
      </c>
      <c r="BJ1991" s="469" t="str">
        <f t="shared" si="1173"/>
        <v/>
      </c>
      <c r="BK1991" s="470" t="str">
        <f t="shared" si="1157"/>
        <v/>
      </c>
      <c r="BL1991" s="775" t="str">
        <f t="shared" si="1174"/>
        <v/>
      </c>
      <c r="BM1991" s="775" t="str">
        <f t="shared" si="1175"/>
        <v/>
      </c>
    </row>
    <row r="1992" spans="1:65">
      <c r="A1992" s="473">
        <v>1936</v>
      </c>
      <c r="B1992" s="132"/>
      <c r="C1992" s="332"/>
      <c r="D1992" s="333"/>
      <c r="E1992" s="333"/>
      <c r="F1992" s="334"/>
      <c r="G1992" s="337"/>
      <c r="H1992" s="131"/>
      <c r="I1992" s="337"/>
      <c r="J1992" s="131"/>
      <c r="K1992" s="458" t="str">
        <f t="shared" si="1138"/>
        <v/>
      </c>
      <c r="L1992" s="458">
        <f t="shared" si="1139"/>
        <v>0</v>
      </c>
      <c r="M1992" s="458">
        <f t="shared" si="1140"/>
        <v>0</v>
      </c>
      <c r="N1992" s="459" t="str">
        <f t="shared" si="1151"/>
        <v/>
      </c>
      <c r="O1992" s="459" t="str">
        <f t="shared" si="1152"/>
        <v/>
      </c>
      <c r="P1992" s="459" t="str">
        <f t="shared" si="1153"/>
        <v/>
      </c>
      <c r="Q1992" s="459" t="str">
        <f t="shared" si="1154"/>
        <v/>
      </c>
      <c r="R1992" s="459" t="str">
        <f t="shared" si="1155"/>
        <v/>
      </c>
      <c r="S1992" s="459" t="str">
        <f t="shared" si="1156"/>
        <v/>
      </c>
      <c r="T1992" s="566" t="str">
        <f t="shared" si="1141"/>
        <v/>
      </c>
      <c r="U1992" s="702"/>
      <c r="V1992" s="132"/>
      <c r="W1992" s="133"/>
      <c r="X1992" s="134"/>
      <c r="Y1992" s="135"/>
      <c r="Z1992" s="137"/>
      <c r="AA1992" s="136"/>
      <c r="AB1992" s="566" t="str">
        <f t="shared" si="1142"/>
        <v/>
      </c>
      <c r="AC1992" s="568" t="str">
        <f t="shared" si="1143"/>
        <v/>
      </c>
      <c r="AD1992" s="137"/>
      <c r="AE1992" s="137"/>
      <c r="AF1992" s="138"/>
      <c r="AG1992" s="138"/>
      <c r="AH1992" s="592" t="str">
        <f t="shared" si="1144"/>
        <v/>
      </c>
      <c r="AI1992" s="592" t="str">
        <f t="shared" si="1145"/>
        <v/>
      </c>
      <c r="AJ1992" s="592" t="str">
        <f t="shared" si="1146"/>
        <v/>
      </c>
      <c r="AK1992" s="460" t="str">
        <f>IF(AU1992="","",IF(OR(AZ1992=8,AZ1992=9),0,IF(OR(AW1992=3,AW1992=4,AW1992=5,AW1992=6),IF(LEFT(BF1992,1)="1",INDEX(係数_NOX・PM低減,MATCH(AY1992,【参考】排出係数!$AI$801:$AI$804,1),1),VLOOKUP(AU1992,INDEX((係数_バス貨物_ガソリン,係数_バス貨物_CNG,係数_バス貨物_軽油,係数_バス貨物_メタノール,係数_バス貨物_LPG),MATCH(AY1992,【参考】排出係数!$AI$4:$AI$671,1),1,BE1992):INDEX((係数_バス貨物_ガソリン,係数_バス貨物_CNG,係数_バス貨物_軽油,係数_バス貨物_メタノール,係数_バス貨物_LPG),MATCH(AY1992+1,【参考】排出係数!$AI$4:$AI$671,1)-1,5,BE1992),4,FALSE)),IF(AND(BE1992=3,LEFT(BF1992,1)="1"),0.48,VLOOKUP(AU1992,INDEX((係数_乗用_ガソリン,係数_乗用_CNG,係数_乗用_軽油,係数_乗用_メタノール,係数_乗用_LPG),1,1,BE1992):INDEX((係数_乗用_ガソリン,係数_乗用_CNG,係数_乗用_軽油,係数_乗用_メタノール,係数_乗用_LPG),125,5,BE1992),4,FALSE)))))</f>
        <v/>
      </c>
      <c r="AL1992" s="461" t="str">
        <f t="shared" si="1147"/>
        <v/>
      </c>
      <c r="AM1992" s="460" t="str">
        <f>IF(AU1992="","",IF(OR(AZ1992=8,AZ1992=9),0,IF(OR(AW1992=3,AW1992=4,AW1992=5,AW1992=6),IF(LEFT(BH1992,1)="1",INDEX(係数_PM低減,MATCH(AY1992,【参考】排出係数!$AI$801:$AI$804,1),MATCH(BI1992,【参考】排出係数!$AL$798:$AO$798,1)),VLOOKUP(AU1992,INDEX((係数_バス貨物_ガソリン,係数_バス貨物_CNG,係数_バス貨物_軽油,係数_バス貨物_メタノール,係数_バス貨物_LPG),MATCH(AY1992,【参考】排出係数!$AI$4:$AI$671,1),1,BE1992):INDEX((係数_バス貨物_ガソリン,係数_バス貨物_CNG,係数_バス貨物_軽油,係数_バス貨物_メタノール,係数_バス貨物_LPG),MATCH(AY1992+1,【参考】排出係数!$AI$4:$AI$671,1)-1,5,BE1992),5,FALSE)),IF(AND(BE1992=3,LEFT(BF1992,1)="1"),0.055,VLOOKUP(AU1992,INDEX((係数_乗用_ガソリン,係数_乗用_CNG,係数_乗用_軽油,係数_乗用_メタノール,係数_乗用_LPG),1,1,BE1992):INDEX((係数_乗用_ガソリン,係数_乗用_CNG,係数_乗用_軽油,係数_乗用_メタノール,係数_乗用_LPG),125,5,BE1992),5,FALSE)))))</f>
        <v/>
      </c>
      <c r="AN1992" s="461" t="str">
        <f t="shared" si="1148"/>
        <v/>
      </c>
      <c r="AO1992" s="462" t="str">
        <f t="shared" si="1149"/>
        <v/>
      </c>
      <c r="AP1992" s="463" t="str">
        <f t="shared" si="1150"/>
        <v/>
      </c>
      <c r="AQ1992" s="464"/>
      <c r="AR1992" s="619"/>
      <c r="AS1992" s="465" t="str">
        <f t="shared" si="1158"/>
        <v/>
      </c>
      <c r="AT1992" s="465" t="str">
        <f t="shared" si="1159"/>
        <v/>
      </c>
      <c r="AU1992" s="466" t="str">
        <f t="shared" si="1160"/>
        <v/>
      </c>
      <c r="AV1992" s="467" t="str">
        <f t="shared" si="1161"/>
        <v/>
      </c>
      <c r="AW1992" s="467" t="str">
        <f t="shared" si="1162"/>
        <v/>
      </c>
      <c r="AX1992" s="467" t="str">
        <f t="shared" si="1163"/>
        <v/>
      </c>
      <c r="AY1992" s="467" t="str">
        <f t="shared" si="1164"/>
        <v/>
      </c>
      <c r="AZ1992" s="467" t="str">
        <f t="shared" si="1165"/>
        <v/>
      </c>
      <c r="BA1992" s="468" t="str">
        <f>IF(AS1992="","",IF(OR(AU1992="",AU1992="-"),"－",IF(OR(AZ1992=8,AZ1992=9),"",IF(OR(AW1992=3,AW1992=4,AW1992=5,AW1992=6),VLOOKUP(AU1992,INDEX((係数_バス貨物_ガソリン,係数_バス貨物_CNG,係数_バス貨物_軽油,係数_バス貨物_メタノール,係数_バス貨物_LPG),MATCH(AY1992,【参考】排出係数!$AI$4:$AI$671,1),1,BE1992):INDEX((係数_バス貨物_ガソリン,係数_バス貨物_CNG,係数_バス貨物_軽油,係数_バス貨物_メタノール,係数_バス貨物_LPG),MATCH(AY1992+1,【参考】排出係数!$AI$4:$AI$671,1)-1,5,BE1992),2,FALSE),IF(OR(AW1992=1,AW1992=2),VLOOKUP(AU1992,INDEX((係数_乗用_ガソリン,係数_乗用_CNG,係数_乗用_軽油,係数_乗用_メタノール,係数_乗用_LPG),1,1,BE1992):INDEX((係数_乗用_ガソリン,係数_乗用_CNG,係数_乗用_軽油,係数_乗用_メタノール,係数_乗用_LPG),125,5,BE1992),2,FALSE))))))</f>
        <v/>
      </c>
      <c r="BB1992" s="468" t="str">
        <f>IF(T1992="","",IF(OR(AU1992="",AU1992="-"),"－",IF(OR(AZ1992=8,AZ1992=9),"",IF(OR(AW1992=3,AW1992=4,AW1992=5,AW1992=6),VLOOKUP(AU1992,INDEX((係数_バス貨物_ガソリン,係数_バス貨物_CNG,係数_バス貨物_軽油,係数_バス貨物_メタノール,係数_バス貨物_LPG),MATCH(AY1992,【参考】排出係数!$AI$4:$AI$671,1),1,BE1992):INDEX((係数_バス貨物_ガソリン,係数_バス貨物_CNG,係数_バス貨物_軽油,係数_バス貨物_メタノール,係数_バス貨物_LPG),MATCH(AY1992+1,【参考】排出係数!$AI$4:$AI$671,1)-1,5,BE1992),3,FALSE),IF(OR(AW1992=1,AW1992=2),VLOOKUP(AU1992,INDEX((係数_乗用_ガソリン,係数_乗用_CNG,係数_乗用_軽油,係数_乗用_メタノール,係数_乗用_LPG),1,1,BE1992):INDEX((係数_乗用_ガソリン,係数_乗用_CNG,係数_乗用_軽油,係数_乗用_メタノール,係数_乗用_LPG),125,5,BE1992),3,FALSE))))))</f>
        <v/>
      </c>
      <c r="BC1992" s="467" t="str">
        <f t="shared" si="1166"/>
        <v/>
      </c>
      <c r="BD1992" s="567" t="str">
        <f t="shared" si="1167"/>
        <v/>
      </c>
      <c r="BE1992" s="467" t="str">
        <f t="shared" si="1168"/>
        <v/>
      </c>
      <c r="BF1992" s="469" t="str">
        <f t="shared" ca="1" si="1169"/>
        <v/>
      </c>
      <c r="BG1992" s="469" t="str">
        <f t="shared" ca="1" si="1170"/>
        <v/>
      </c>
      <c r="BH1992" s="467" t="str">
        <f t="shared" si="1171"/>
        <v/>
      </c>
      <c r="BI1992" s="467" t="str">
        <f t="shared" ca="1" si="1172"/>
        <v/>
      </c>
      <c r="BJ1992" s="469" t="str">
        <f t="shared" si="1173"/>
        <v/>
      </c>
      <c r="BK1992" s="470" t="str">
        <f t="shared" si="1157"/>
        <v/>
      </c>
      <c r="BL1992" s="775" t="str">
        <f t="shared" si="1174"/>
        <v/>
      </c>
      <c r="BM1992" s="775" t="str">
        <f t="shared" si="1175"/>
        <v/>
      </c>
    </row>
    <row r="1993" spans="1:65">
      <c r="A1993" s="473">
        <v>1937</v>
      </c>
      <c r="B1993" s="132"/>
      <c r="C1993" s="332"/>
      <c r="D1993" s="333"/>
      <c r="E1993" s="333"/>
      <c r="F1993" s="334"/>
      <c r="G1993" s="337"/>
      <c r="H1993" s="131"/>
      <c r="I1993" s="337"/>
      <c r="J1993" s="131"/>
      <c r="K1993" s="458" t="str">
        <f t="shared" si="1138"/>
        <v/>
      </c>
      <c r="L1993" s="458">
        <f t="shared" si="1139"/>
        <v>0</v>
      </c>
      <c r="M1993" s="458">
        <f t="shared" si="1140"/>
        <v>0</v>
      </c>
      <c r="N1993" s="459" t="str">
        <f t="shared" si="1151"/>
        <v/>
      </c>
      <c r="O1993" s="459" t="str">
        <f t="shared" si="1152"/>
        <v/>
      </c>
      <c r="P1993" s="459" t="str">
        <f t="shared" si="1153"/>
        <v/>
      </c>
      <c r="Q1993" s="459" t="str">
        <f t="shared" si="1154"/>
        <v/>
      </c>
      <c r="R1993" s="459" t="str">
        <f t="shared" si="1155"/>
        <v/>
      </c>
      <c r="S1993" s="459" t="str">
        <f t="shared" si="1156"/>
        <v/>
      </c>
      <c r="T1993" s="566" t="str">
        <f t="shared" si="1141"/>
        <v/>
      </c>
      <c r="U1993" s="702"/>
      <c r="V1993" s="132"/>
      <c r="W1993" s="133"/>
      <c r="X1993" s="134"/>
      <c r="Y1993" s="135"/>
      <c r="Z1993" s="137"/>
      <c r="AA1993" s="136"/>
      <c r="AB1993" s="566" t="str">
        <f t="shared" si="1142"/>
        <v/>
      </c>
      <c r="AC1993" s="568" t="str">
        <f t="shared" si="1143"/>
        <v/>
      </c>
      <c r="AD1993" s="137"/>
      <c r="AE1993" s="137"/>
      <c r="AF1993" s="138"/>
      <c r="AG1993" s="138"/>
      <c r="AH1993" s="592" t="str">
        <f t="shared" si="1144"/>
        <v/>
      </c>
      <c r="AI1993" s="592" t="str">
        <f t="shared" si="1145"/>
        <v/>
      </c>
      <c r="AJ1993" s="592" t="str">
        <f t="shared" si="1146"/>
        <v/>
      </c>
      <c r="AK1993" s="460" t="str">
        <f>IF(AU1993="","",IF(OR(AZ1993=8,AZ1993=9),0,IF(OR(AW1993=3,AW1993=4,AW1993=5,AW1993=6),IF(LEFT(BF1993,1)="1",INDEX(係数_NOX・PM低減,MATCH(AY1993,【参考】排出係数!$AI$801:$AI$804,1),1),VLOOKUP(AU1993,INDEX((係数_バス貨物_ガソリン,係数_バス貨物_CNG,係数_バス貨物_軽油,係数_バス貨物_メタノール,係数_バス貨物_LPG),MATCH(AY1993,【参考】排出係数!$AI$4:$AI$671,1),1,BE1993):INDEX((係数_バス貨物_ガソリン,係数_バス貨物_CNG,係数_バス貨物_軽油,係数_バス貨物_メタノール,係数_バス貨物_LPG),MATCH(AY1993+1,【参考】排出係数!$AI$4:$AI$671,1)-1,5,BE1993),4,FALSE)),IF(AND(BE1993=3,LEFT(BF1993,1)="1"),0.48,VLOOKUP(AU1993,INDEX((係数_乗用_ガソリン,係数_乗用_CNG,係数_乗用_軽油,係数_乗用_メタノール,係数_乗用_LPG),1,1,BE1993):INDEX((係数_乗用_ガソリン,係数_乗用_CNG,係数_乗用_軽油,係数_乗用_メタノール,係数_乗用_LPG),125,5,BE1993),4,FALSE)))))</f>
        <v/>
      </c>
      <c r="AL1993" s="461" t="str">
        <f t="shared" si="1147"/>
        <v/>
      </c>
      <c r="AM1993" s="460" t="str">
        <f>IF(AU1993="","",IF(OR(AZ1993=8,AZ1993=9),0,IF(OR(AW1993=3,AW1993=4,AW1993=5,AW1993=6),IF(LEFT(BH1993,1)="1",INDEX(係数_PM低減,MATCH(AY1993,【参考】排出係数!$AI$801:$AI$804,1),MATCH(BI1993,【参考】排出係数!$AL$798:$AO$798,1)),VLOOKUP(AU1993,INDEX((係数_バス貨物_ガソリン,係数_バス貨物_CNG,係数_バス貨物_軽油,係数_バス貨物_メタノール,係数_バス貨物_LPG),MATCH(AY1993,【参考】排出係数!$AI$4:$AI$671,1),1,BE1993):INDEX((係数_バス貨物_ガソリン,係数_バス貨物_CNG,係数_バス貨物_軽油,係数_バス貨物_メタノール,係数_バス貨物_LPG),MATCH(AY1993+1,【参考】排出係数!$AI$4:$AI$671,1)-1,5,BE1993),5,FALSE)),IF(AND(BE1993=3,LEFT(BF1993,1)="1"),0.055,VLOOKUP(AU1993,INDEX((係数_乗用_ガソリン,係数_乗用_CNG,係数_乗用_軽油,係数_乗用_メタノール,係数_乗用_LPG),1,1,BE1993):INDEX((係数_乗用_ガソリン,係数_乗用_CNG,係数_乗用_軽油,係数_乗用_メタノール,係数_乗用_LPG),125,5,BE1993),5,FALSE)))))</f>
        <v/>
      </c>
      <c r="AN1993" s="461" t="str">
        <f t="shared" si="1148"/>
        <v/>
      </c>
      <c r="AO1993" s="462" t="str">
        <f t="shared" si="1149"/>
        <v/>
      </c>
      <c r="AP1993" s="463" t="str">
        <f t="shared" si="1150"/>
        <v/>
      </c>
      <c r="AQ1993" s="464"/>
      <c r="AR1993" s="619"/>
      <c r="AS1993" s="465" t="str">
        <f t="shared" si="1158"/>
        <v/>
      </c>
      <c r="AT1993" s="465" t="str">
        <f t="shared" si="1159"/>
        <v/>
      </c>
      <c r="AU1993" s="466" t="str">
        <f t="shared" si="1160"/>
        <v/>
      </c>
      <c r="AV1993" s="467" t="str">
        <f t="shared" si="1161"/>
        <v/>
      </c>
      <c r="AW1993" s="467" t="str">
        <f t="shared" si="1162"/>
        <v/>
      </c>
      <c r="AX1993" s="467" t="str">
        <f t="shared" si="1163"/>
        <v/>
      </c>
      <c r="AY1993" s="467" t="str">
        <f t="shared" si="1164"/>
        <v/>
      </c>
      <c r="AZ1993" s="467" t="str">
        <f t="shared" si="1165"/>
        <v/>
      </c>
      <c r="BA1993" s="468" t="str">
        <f>IF(AS1993="","",IF(OR(AU1993="",AU1993="-"),"－",IF(OR(AZ1993=8,AZ1993=9),"",IF(OR(AW1993=3,AW1993=4,AW1993=5,AW1993=6),VLOOKUP(AU1993,INDEX((係数_バス貨物_ガソリン,係数_バス貨物_CNG,係数_バス貨物_軽油,係数_バス貨物_メタノール,係数_バス貨物_LPG),MATCH(AY1993,【参考】排出係数!$AI$4:$AI$671,1),1,BE1993):INDEX((係数_バス貨物_ガソリン,係数_バス貨物_CNG,係数_バス貨物_軽油,係数_バス貨物_メタノール,係数_バス貨物_LPG),MATCH(AY1993+1,【参考】排出係数!$AI$4:$AI$671,1)-1,5,BE1993),2,FALSE),IF(OR(AW1993=1,AW1993=2),VLOOKUP(AU1993,INDEX((係数_乗用_ガソリン,係数_乗用_CNG,係数_乗用_軽油,係数_乗用_メタノール,係数_乗用_LPG),1,1,BE1993):INDEX((係数_乗用_ガソリン,係数_乗用_CNG,係数_乗用_軽油,係数_乗用_メタノール,係数_乗用_LPG),125,5,BE1993),2,FALSE))))))</f>
        <v/>
      </c>
      <c r="BB1993" s="468" t="str">
        <f>IF(T1993="","",IF(OR(AU1993="",AU1993="-"),"－",IF(OR(AZ1993=8,AZ1993=9),"",IF(OR(AW1993=3,AW1993=4,AW1993=5,AW1993=6),VLOOKUP(AU1993,INDEX((係数_バス貨物_ガソリン,係数_バス貨物_CNG,係数_バス貨物_軽油,係数_バス貨物_メタノール,係数_バス貨物_LPG),MATCH(AY1993,【参考】排出係数!$AI$4:$AI$671,1),1,BE1993):INDEX((係数_バス貨物_ガソリン,係数_バス貨物_CNG,係数_バス貨物_軽油,係数_バス貨物_メタノール,係数_バス貨物_LPG),MATCH(AY1993+1,【参考】排出係数!$AI$4:$AI$671,1)-1,5,BE1993),3,FALSE),IF(OR(AW1993=1,AW1993=2),VLOOKUP(AU1993,INDEX((係数_乗用_ガソリン,係数_乗用_CNG,係数_乗用_軽油,係数_乗用_メタノール,係数_乗用_LPG),1,1,BE1993):INDEX((係数_乗用_ガソリン,係数_乗用_CNG,係数_乗用_軽油,係数_乗用_メタノール,係数_乗用_LPG),125,5,BE1993),3,FALSE))))))</f>
        <v/>
      </c>
      <c r="BC1993" s="467" t="str">
        <f t="shared" si="1166"/>
        <v/>
      </c>
      <c r="BD1993" s="567" t="str">
        <f t="shared" si="1167"/>
        <v/>
      </c>
      <c r="BE1993" s="467" t="str">
        <f t="shared" si="1168"/>
        <v/>
      </c>
      <c r="BF1993" s="469" t="str">
        <f t="shared" ca="1" si="1169"/>
        <v/>
      </c>
      <c r="BG1993" s="469" t="str">
        <f t="shared" ca="1" si="1170"/>
        <v/>
      </c>
      <c r="BH1993" s="467" t="str">
        <f t="shared" si="1171"/>
        <v/>
      </c>
      <c r="BI1993" s="467" t="str">
        <f t="shared" ca="1" si="1172"/>
        <v/>
      </c>
      <c r="BJ1993" s="469" t="str">
        <f t="shared" si="1173"/>
        <v/>
      </c>
      <c r="BK1993" s="470" t="str">
        <f t="shared" si="1157"/>
        <v/>
      </c>
      <c r="BL1993" s="775" t="str">
        <f t="shared" si="1174"/>
        <v/>
      </c>
      <c r="BM1993" s="775" t="str">
        <f t="shared" si="1175"/>
        <v/>
      </c>
    </row>
    <row r="1994" spans="1:65">
      <c r="A1994" s="473">
        <v>1938</v>
      </c>
      <c r="B1994" s="132"/>
      <c r="C1994" s="332"/>
      <c r="D1994" s="333"/>
      <c r="E1994" s="333"/>
      <c r="F1994" s="334"/>
      <c r="G1994" s="337"/>
      <c r="H1994" s="131"/>
      <c r="I1994" s="337"/>
      <c r="J1994" s="131"/>
      <c r="K1994" s="458" t="str">
        <f t="shared" si="1138"/>
        <v/>
      </c>
      <c r="L1994" s="458">
        <f t="shared" si="1139"/>
        <v>0</v>
      </c>
      <c r="M1994" s="458">
        <f t="shared" si="1140"/>
        <v>0</v>
      </c>
      <c r="N1994" s="459" t="str">
        <f t="shared" si="1151"/>
        <v/>
      </c>
      <c r="O1994" s="459" t="str">
        <f t="shared" si="1152"/>
        <v/>
      </c>
      <c r="P1994" s="459" t="str">
        <f t="shared" si="1153"/>
        <v/>
      </c>
      <c r="Q1994" s="459" t="str">
        <f t="shared" si="1154"/>
        <v/>
      </c>
      <c r="R1994" s="459" t="str">
        <f t="shared" si="1155"/>
        <v/>
      </c>
      <c r="S1994" s="459" t="str">
        <f t="shared" si="1156"/>
        <v/>
      </c>
      <c r="T1994" s="566" t="str">
        <f t="shared" si="1141"/>
        <v/>
      </c>
      <c r="U1994" s="702"/>
      <c r="V1994" s="132"/>
      <c r="W1994" s="133"/>
      <c r="X1994" s="134"/>
      <c r="Y1994" s="135"/>
      <c r="Z1994" s="137"/>
      <c r="AA1994" s="136"/>
      <c r="AB1994" s="566" t="str">
        <f t="shared" si="1142"/>
        <v/>
      </c>
      <c r="AC1994" s="568" t="str">
        <f t="shared" si="1143"/>
        <v/>
      </c>
      <c r="AD1994" s="137"/>
      <c r="AE1994" s="137"/>
      <c r="AF1994" s="138"/>
      <c r="AG1994" s="138"/>
      <c r="AH1994" s="592" t="str">
        <f t="shared" si="1144"/>
        <v/>
      </c>
      <c r="AI1994" s="592" t="str">
        <f t="shared" si="1145"/>
        <v/>
      </c>
      <c r="AJ1994" s="592" t="str">
        <f t="shared" si="1146"/>
        <v/>
      </c>
      <c r="AK1994" s="460" t="str">
        <f>IF(AU1994="","",IF(OR(AZ1994=8,AZ1994=9),0,IF(OR(AW1994=3,AW1994=4,AW1994=5,AW1994=6),IF(LEFT(BF1994,1)="1",INDEX(係数_NOX・PM低減,MATCH(AY1994,【参考】排出係数!$AI$801:$AI$804,1),1),VLOOKUP(AU1994,INDEX((係数_バス貨物_ガソリン,係数_バス貨物_CNG,係数_バス貨物_軽油,係数_バス貨物_メタノール,係数_バス貨物_LPG),MATCH(AY1994,【参考】排出係数!$AI$4:$AI$671,1),1,BE1994):INDEX((係数_バス貨物_ガソリン,係数_バス貨物_CNG,係数_バス貨物_軽油,係数_バス貨物_メタノール,係数_バス貨物_LPG),MATCH(AY1994+1,【参考】排出係数!$AI$4:$AI$671,1)-1,5,BE1994),4,FALSE)),IF(AND(BE1994=3,LEFT(BF1994,1)="1"),0.48,VLOOKUP(AU1994,INDEX((係数_乗用_ガソリン,係数_乗用_CNG,係数_乗用_軽油,係数_乗用_メタノール,係数_乗用_LPG),1,1,BE1994):INDEX((係数_乗用_ガソリン,係数_乗用_CNG,係数_乗用_軽油,係数_乗用_メタノール,係数_乗用_LPG),125,5,BE1994),4,FALSE)))))</f>
        <v/>
      </c>
      <c r="AL1994" s="461" t="str">
        <f t="shared" si="1147"/>
        <v/>
      </c>
      <c r="AM1994" s="460" t="str">
        <f>IF(AU1994="","",IF(OR(AZ1994=8,AZ1994=9),0,IF(OR(AW1994=3,AW1994=4,AW1994=5,AW1994=6),IF(LEFT(BH1994,1)="1",INDEX(係数_PM低減,MATCH(AY1994,【参考】排出係数!$AI$801:$AI$804,1),MATCH(BI1994,【参考】排出係数!$AL$798:$AO$798,1)),VLOOKUP(AU1994,INDEX((係数_バス貨物_ガソリン,係数_バス貨物_CNG,係数_バス貨物_軽油,係数_バス貨物_メタノール,係数_バス貨物_LPG),MATCH(AY1994,【参考】排出係数!$AI$4:$AI$671,1),1,BE1994):INDEX((係数_バス貨物_ガソリン,係数_バス貨物_CNG,係数_バス貨物_軽油,係数_バス貨物_メタノール,係数_バス貨物_LPG),MATCH(AY1994+1,【参考】排出係数!$AI$4:$AI$671,1)-1,5,BE1994),5,FALSE)),IF(AND(BE1994=3,LEFT(BF1994,1)="1"),0.055,VLOOKUP(AU1994,INDEX((係数_乗用_ガソリン,係数_乗用_CNG,係数_乗用_軽油,係数_乗用_メタノール,係数_乗用_LPG),1,1,BE1994):INDEX((係数_乗用_ガソリン,係数_乗用_CNG,係数_乗用_軽油,係数_乗用_メタノール,係数_乗用_LPG),125,5,BE1994),5,FALSE)))))</f>
        <v/>
      </c>
      <c r="AN1994" s="461" t="str">
        <f t="shared" si="1148"/>
        <v/>
      </c>
      <c r="AO1994" s="462" t="str">
        <f t="shared" si="1149"/>
        <v/>
      </c>
      <c r="AP1994" s="463" t="str">
        <f t="shared" si="1150"/>
        <v/>
      </c>
      <c r="AQ1994" s="464"/>
      <c r="AR1994" s="619"/>
      <c r="AS1994" s="465" t="str">
        <f t="shared" si="1158"/>
        <v/>
      </c>
      <c r="AT1994" s="465" t="str">
        <f t="shared" si="1159"/>
        <v/>
      </c>
      <c r="AU1994" s="466" t="str">
        <f t="shared" si="1160"/>
        <v/>
      </c>
      <c r="AV1994" s="467" t="str">
        <f t="shared" si="1161"/>
        <v/>
      </c>
      <c r="AW1994" s="467" t="str">
        <f t="shared" si="1162"/>
        <v/>
      </c>
      <c r="AX1994" s="467" t="str">
        <f t="shared" si="1163"/>
        <v/>
      </c>
      <c r="AY1994" s="467" t="str">
        <f t="shared" si="1164"/>
        <v/>
      </c>
      <c r="AZ1994" s="467" t="str">
        <f t="shared" si="1165"/>
        <v/>
      </c>
      <c r="BA1994" s="468" t="str">
        <f>IF(AS1994="","",IF(OR(AU1994="",AU1994="-"),"－",IF(OR(AZ1994=8,AZ1994=9),"",IF(OR(AW1994=3,AW1994=4,AW1994=5,AW1994=6),VLOOKUP(AU1994,INDEX((係数_バス貨物_ガソリン,係数_バス貨物_CNG,係数_バス貨物_軽油,係数_バス貨物_メタノール,係数_バス貨物_LPG),MATCH(AY1994,【参考】排出係数!$AI$4:$AI$671,1),1,BE1994):INDEX((係数_バス貨物_ガソリン,係数_バス貨物_CNG,係数_バス貨物_軽油,係数_バス貨物_メタノール,係数_バス貨物_LPG),MATCH(AY1994+1,【参考】排出係数!$AI$4:$AI$671,1)-1,5,BE1994),2,FALSE),IF(OR(AW1994=1,AW1994=2),VLOOKUP(AU1994,INDEX((係数_乗用_ガソリン,係数_乗用_CNG,係数_乗用_軽油,係数_乗用_メタノール,係数_乗用_LPG),1,1,BE1994):INDEX((係数_乗用_ガソリン,係数_乗用_CNG,係数_乗用_軽油,係数_乗用_メタノール,係数_乗用_LPG),125,5,BE1994),2,FALSE))))))</f>
        <v/>
      </c>
      <c r="BB1994" s="468" t="str">
        <f>IF(T1994="","",IF(OR(AU1994="",AU1994="-"),"－",IF(OR(AZ1994=8,AZ1994=9),"",IF(OR(AW1994=3,AW1994=4,AW1994=5,AW1994=6),VLOOKUP(AU1994,INDEX((係数_バス貨物_ガソリン,係数_バス貨物_CNG,係数_バス貨物_軽油,係数_バス貨物_メタノール,係数_バス貨物_LPG),MATCH(AY1994,【参考】排出係数!$AI$4:$AI$671,1),1,BE1994):INDEX((係数_バス貨物_ガソリン,係数_バス貨物_CNG,係数_バス貨物_軽油,係数_バス貨物_メタノール,係数_バス貨物_LPG),MATCH(AY1994+1,【参考】排出係数!$AI$4:$AI$671,1)-1,5,BE1994),3,FALSE),IF(OR(AW1994=1,AW1994=2),VLOOKUP(AU1994,INDEX((係数_乗用_ガソリン,係数_乗用_CNG,係数_乗用_軽油,係数_乗用_メタノール,係数_乗用_LPG),1,1,BE1994):INDEX((係数_乗用_ガソリン,係数_乗用_CNG,係数_乗用_軽油,係数_乗用_メタノール,係数_乗用_LPG),125,5,BE1994),3,FALSE))))))</f>
        <v/>
      </c>
      <c r="BC1994" s="467" t="str">
        <f t="shared" si="1166"/>
        <v/>
      </c>
      <c r="BD1994" s="567" t="str">
        <f t="shared" si="1167"/>
        <v/>
      </c>
      <c r="BE1994" s="467" t="str">
        <f t="shared" si="1168"/>
        <v/>
      </c>
      <c r="BF1994" s="469" t="str">
        <f t="shared" ca="1" si="1169"/>
        <v/>
      </c>
      <c r="BG1994" s="469" t="str">
        <f t="shared" ca="1" si="1170"/>
        <v/>
      </c>
      <c r="BH1994" s="467" t="str">
        <f t="shared" si="1171"/>
        <v/>
      </c>
      <c r="BI1994" s="467" t="str">
        <f t="shared" ca="1" si="1172"/>
        <v/>
      </c>
      <c r="BJ1994" s="469" t="str">
        <f t="shared" si="1173"/>
        <v/>
      </c>
      <c r="BK1994" s="470" t="str">
        <f t="shared" si="1157"/>
        <v/>
      </c>
      <c r="BL1994" s="775" t="str">
        <f t="shared" si="1174"/>
        <v/>
      </c>
      <c r="BM1994" s="775" t="str">
        <f t="shared" si="1175"/>
        <v/>
      </c>
    </row>
    <row r="1995" spans="1:65">
      <c r="A1995" s="473">
        <v>1939</v>
      </c>
      <c r="B1995" s="132"/>
      <c r="C1995" s="332"/>
      <c r="D1995" s="333"/>
      <c r="E1995" s="333"/>
      <c r="F1995" s="334"/>
      <c r="G1995" s="337"/>
      <c r="H1995" s="131"/>
      <c r="I1995" s="337"/>
      <c r="J1995" s="131"/>
      <c r="K1995" s="458" t="str">
        <f t="shared" si="1138"/>
        <v/>
      </c>
      <c r="L1995" s="458">
        <f t="shared" si="1139"/>
        <v>0</v>
      </c>
      <c r="M1995" s="458">
        <f t="shared" si="1140"/>
        <v>0</v>
      </c>
      <c r="N1995" s="459" t="str">
        <f t="shared" si="1151"/>
        <v/>
      </c>
      <c r="O1995" s="459" t="str">
        <f t="shared" si="1152"/>
        <v/>
      </c>
      <c r="P1995" s="459" t="str">
        <f t="shared" si="1153"/>
        <v/>
      </c>
      <c r="Q1995" s="459" t="str">
        <f t="shared" si="1154"/>
        <v/>
      </c>
      <c r="R1995" s="459" t="str">
        <f t="shared" si="1155"/>
        <v/>
      </c>
      <c r="S1995" s="459" t="str">
        <f t="shared" si="1156"/>
        <v/>
      </c>
      <c r="T1995" s="566" t="str">
        <f t="shared" si="1141"/>
        <v/>
      </c>
      <c r="U1995" s="702"/>
      <c r="V1995" s="132"/>
      <c r="W1995" s="133"/>
      <c r="X1995" s="134"/>
      <c r="Y1995" s="135"/>
      <c r="Z1995" s="137"/>
      <c r="AA1995" s="136"/>
      <c r="AB1995" s="566" t="str">
        <f t="shared" si="1142"/>
        <v/>
      </c>
      <c r="AC1995" s="568" t="str">
        <f t="shared" si="1143"/>
        <v/>
      </c>
      <c r="AD1995" s="137"/>
      <c r="AE1995" s="137"/>
      <c r="AF1995" s="138"/>
      <c r="AG1995" s="138"/>
      <c r="AH1995" s="592" t="str">
        <f t="shared" si="1144"/>
        <v/>
      </c>
      <c r="AI1995" s="592" t="str">
        <f t="shared" si="1145"/>
        <v/>
      </c>
      <c r="AJ1995" s="592" t="str">
        <f t="shared" si="1146"/>
        <v/>
      </c>
      <c r="AK1995" s="460" t="str">
        <f>IF(AU1995="","",IF(OR(AZ1995=8,AZ1995=9),0,IF(OR(AW1995=3,AW1995=4,AW1995=5,AW1995=6),IF(LEFT(BF1995,1)="1",INDEX(係数_NOX・PM低減,MATCH(AY1995,【参考】排出係数!$AI$801:$AI$804,1),1),VLOOKUP(AU1995,INDEX((係数_バス貨物_ガソリン,係数_バス貨物_CNG,係数_バス貨物_軽油,係数_バス貨物_メタノール,係数_バス貨物_LPG),MATCH(AY1995,【参考】排出係数!$AI$4:$AI$671,1),1,BE1995):INDEX((係数_バス貨物_ガソリン,係数_バス貨物_CNG,係数_バス貨物_軽油,係数_バス貨物_メタノール,係数_バス貨物_LPG),MATCH(AY1995+1,【参考】排出係数!$AI$4:$AI$671,1)-1,5,BE1995),4,FALSE)),IF(AND(BE1995=3,LEFT(BF1995,1)="1"),0.48,VLOOKUP(AU1995,INDEX((係数_乗用_ガソリン,係数_乗用_CNG,係数_乗用_軽油,係数_乗用_メタノール,係数_乗用_LPG),1,1,BE1995):INDEX((係数_乗用_ガソリン,係数_乗用_CNG,係数_乗用_軽油,係数_乗用_メタノール,係数_乗用_LPG),125,5,BE1995),4,FALSE)))))</f>
        <v/>
      </c>
      <c r="AL1995" s="461" t="str">
        <f t="shared" si="1147"/>
        <v/>
      </c>
      <c r="AM1995" s="460" t="str">
        <f>IF(AU1995="","",IF(OR(AZ1995=8,AZ1995=9),0,IF(OR(AW1995=3,AW1995=4,AW1995=5,AW1995=6),IF(LEFT(BH1995,1)="1",INDEX(係数_PM低減,MATCH(AY1995,【参考】排出係数!$AI$801:$AI$804,1),MATCH(BI1995,【参考】排出係数!$AL$798:$AO$798,1)),VLOOKUP(AU1995,INDEX((係数_バス貨物_ガソリン,係数_バス貨物_CNG,係数_バス貨物_軽油,係数_バス貨物_メタノール,係数_バス貨物_LPG),MATCH(AY1995,【参考】排出係数!$AI$4:$AI$671,1),1,BE1995):INDEX((係数_バス貨物_ガソリン,係数_バス貨物_CNG,係数_バス貨物_軽油,係数_バス貨物_メタノール,係数_バス貨物_LPG),MATCH(AY1995+1,【参考】排出係数!$AI$4:$AI$671,1)-1,5,BE1995),5,FALSE)),IF(AND(BE1995=3,LEFT(BF1995,1)="1"),0.055,VLOOKUP(AU1995,INDEX((係数_乗用_ガソリン,係数_乗用_CNG,係数_乗用_軽油,係数_乗用_メタノール,係数_乗用_LPG),1,1,BE1995):INDEX((係数_乗用_ガソリン,係数_乗用_CNG,係数_乗用_軽油,係数_乗用_メタノール,係数_乗用_LPG),125,5,BE1995),5,FALSE)))))</f>
        <v/>
      </c>
      <c r="AN1995" s="461" t="str">
        <f t="shared" si="1148"/>
        <v/>
      </c>
      <c r="AO1995" s="462" t="str">
        <f t="shared" si="1149"/>
        <v/>
      </c>
      <c r="AP1995" s="463" t="str">
        <f t="shared" si="1150"/>
        <v/>
      </c>
      <c r="AQ1995" s="464"/>
      <c r="AR1995" s="619"/>
      <c r="AS1995" s="465" t="str">
        <f t="shared" si="1158"/>
        <v/>
      </c>
      <c r="AT1995" s="465" t="str">
        <f t="shared" si="1159"/>
        <v/>
      </c>
      <c r="AU1995" s="466" t="str">
        <f t="shared" si="1160"/>
        <v/>
      </c>
      <c r="AV1995" s="467" t="str">
        <f t="shared" si="1161"/>
        <v/>
      </c>
      <c r="AW1995" s="467" t="str">
        <f t="shared" si="1162"/>
        <v/>
      </c>
      <c r="AX1995" s="467" t="str">
        <f t="shared" si="1163"/>
        <v/>
      </c>
      <c r="AY1995" s="467" t="str">
        <f t="shared" si="1164"/>
        <v/>
      </c>
      <c r="AZ1995" s="467" t="str">
        <f t="shared" si="1165"/>
        <v/>
      </c>
      <c r="BA1995" s="468" t="str">
        <f>IF(AS1995="","",IF(OR(AU1995="",AU1995="-"),"－",IF(OR(AZ1995=8,AZ1995=9),"",IF(OR(AW1995=3,AW1995=4,AW1995=5,AW1995=6),VLOOKUP(AU1995,INDEX((係数_バス貨物_ガソリン,係数_バス貨物_CNG,係数_バス貨物_軽油,係数_バス貨物_メタノール,係数_バス貨物_LPG),MATCH(AY1995,【参考】排出係数!$AI$4:$AI$671,1),1,BE1995):INDEX((係数_バス貨物_ガソリン,係数_バス貨物_CNG,係数_バス貨物_軽油,係数_バス貨物_メタノール,係数_バス貨物_LPG),MATCH(AY1995+1,【参考】排出係数!$AI$4:$AI$671,1)-1,5,BE1995),2,FALSE),IF(OR(AW1995=1,AW1995=2),VLOOKUP(AU1995,INDEX((係数_乗用_ガソリン,係数_乗用_CNG,係数_乗用_軽油,係数_乗用_メタノール,係数_乗用_LPG),1,1,BE1995):INDEX((係数_乗用_ガソリン,係数_乗用_CNG,係数_乗用_軽油,係数_乗用_メタノール,係数_乗用_LPG),125,5,BE1995),2,FALSE))))))</f>
        <v/>
      </c>
      <c r="BB1995" s="468" t="str">
        <f>IF(T1995="","",IF(OR(AU1995="",AU1995="-"),"－",IF(OR(AZ1995=8,AZ1995=9),"",IF(OR(AW1995=3,AW1995=4,AW1995=5,AW1995=6),VLOOKUP(AU1995,INDEX((係数_バス貨物_ガソリン,係数_バス貨物_CNG,係数_バス貨物_軽油,係数_バス貨物_メタノール,係数_バス貨物_LPG),MATCH(AY1995,【参考】排出係数!$AI$4:$AI$671,1),1,BE1995):INDEX((係数_バス貨物_ガソリン,係数_バス貨物_CNG,係数_バス貨物_軽油,係数_バス貨物_メタノール,係数_バス貨物_LPG),MATCH(AY1995+1,【参考】排出係数!$AI$4:$AI$671,1)-1,5,BE1995),3,FALSE),IF(OR(AW1995=1,AW1995=2),VLOOKUP(AU1995,INDEX((係数_乗用_ガソリン,係数_乗用_CNG,係数_乗用_軽油,係数_乗用_メタノール,係数_乗用_LPG),1,1,BE1995):INDEX((係数_乗用_ガソリン,係数_乗用_CNG,係数_乗用_軽油,係数_乗用_メタノール,係数_乗用_LPG),125,5,BE1995),3,FALSE))))))</f>
        <v/>
      </c>
      <c r="BC1995" s="467" t="str">
        <f t="shared" si="1166"/>
        <v/>
      </c>
      <c r="BD1995" s="567" t="str">
        <f t="shared" si="1167"/>
        <v/>
      </c>
      <c r="BE1995" s="467" t="str">
        <f t="shared" si="1168"/>
        <v/>
      </c>
      <c r="BF1995" s="469" t="str">
        <f t="shared" ca="1" si="1169"/>
        <v/>
      </c>
      <c r="BG1995" s="469" t="str">
        <f t="shared" ca="1" si="1170"/>
        <v/>
      </c>
      <c r="BH1995" s="467" t="str">
        <f t="shared" si="1171"/>
        <v/>
      </c>
      <c r="BI1995" s="467" t="str">
        <f t="shared" ca="1" si="1172"/>
        <v/>
      </c>
      <c r="BJ1995" s="469" t="str">
        <f t="shared" si="1173"/>
        <v/>
      </c>
      <c r="BK1995" s="470" t="str">
        <f t="shared" si="1157"/>
        <v/>
      </c>
      <c r="BL1995" s="775" t="str">
        <f t="shared" si="1174"/>
        <v/>
      </c>
      <c r="BM1995" s="775" t="str">
        <f t="shared" si="1175"/>
        <v/>
      </c>
    </row>
    <row r="1996" spans="1:65">
      <c r="A1996" s="473">
        <v>1940</v>
      </c>
      <c r="B1996" s="132"/>
      <c r="C1996" s="332"/>
      <c r="D1996" s="333"/>
      <c r="E1996" s="333"/>
      <c r="F1996" s="334"/>
      <c r="G1996" s="337"/>
      <c r="H1996" s="131"/>
      <c r="I1996" s="337"/>
      <c r="J1996" s="131"/>
      <c r="K1996" s="458" t="str">
        <f t="shared" si="1138"/>
        <v/>
      </c>
      <c r="L1996" s="458">
        <f t="shared" si="1139"/>
        <v>0</v>
      </c>
      <c r="M1996" s="458">
        <f t="shared" si="1140"/>
        <v>0</v>
      </c>
      <c r="N1996" s="459" t="str">
        <f t="shared" si="1151"/>
        <v/>
      </c>
      <c r="O1996" s="459" t="str">
        <f t="shared" si="1152"/>
        <v/>
      </c>
      <c r="P1996" s="459" t="str">
        <f t="shared" si="1153"/>
        <v/>
      </c>
      <c r="Q1996" s="459" t="str">
        <f t="shared" si="1154"/>
        <v/>
      </c>
      <c r="R1996" s="459" t="str">
        <f t="shared" si="1155"/>
        <v/>
      </c>
      <c r="S1996" s="459" t="str">
        <f t="shared" si="1156"/>
        <v/>
      </c>
      <c r="T1996" s="566" t="str">
        <f t="shared" si="1141"/>
        <v/>
      </c>
      <c r="U1996" s="702"/>
      <c r="V1996" s="132"/>
      <c r="W1996" s="133"/>
      <c r="X1996" s="134"/>
      <c r="Y1996" s="135"/>
      <c r="Z1996" s="137"/>
      <c r="AA1996" s="136"/>
      <c r="AB1996" s="566" t="str">
        <f t="shared" si="1142"/>
        <v/>
      </c>
      <c r="AC1996" s="568" t="str">
        <f t="shared" si="1143"/>
        <v/>
      </c>
      <c r="AD1996" s="137"/>
      <c r="AE1996" s="137"/>
      <c r="AF1996" s="138"/>
      <c r="AG1996" s="138"/>
      <c r="AH1996" s="592" t="str">
        <f t="shared" si="1144"/>
        <v/>
      </c>
      <c r="AI1996" s="592" t="str">
        <f t="shared" si="1145"/>
        <v/>
      </c>
      <c r="AJ1996" s="592" t="str">
        <f t="shared" si="1146"/>
        <v/>
      </c>
      <c r="AK1996" s="460" t="str">
        <f>IF(AU1996="","",IF(OR(AZ1996=8,AZ1996=9),0,IF(OR(AW1996=3,AW1996=4,AW1996=5,AW1996=6),IF(LEFT(BF1996,1)="1",INDEX(係数_NOX・PM低減,MATCH(AY1996,【参考】排出係数!$AI$801:$AI$804,1),1),VLOOKUP(AU1996,INDEX((係数_バス貨物_ガソリン,係数_バス貨物_CNG,係数_バス貨物_軽油,係数_バス貨物_メタノール,係数_バス貨物_LPG),MATCH(AY1996,【参考】排出係数!$AI$4:$AI$671,1),1,BE1996):INDEX((係数_バス貨物_ガソリン,係数_バス貨物_CNG,係数_バス貨物_軽油,係数_バス貨物_メタノール,係数_バス貨物_LPG),MATCH(AY1996+1,【参考】排出係数!$AI$4:$AI$671,1)-1,5,BE1996),4,FALSE)),IF(AND(BE1996=3,LEFT(BF1996,1)="1"),0.48,VLOOKUP(AU1996,INDEX((係数_乗用_ガソリン,係数_乗用_CNG,係数_乗用_軽油,係数_乗用_メタノール,係数_乗用_LPG),1,1,BE1996):INDEX((係数_乗用_ガソリン,係数_乗用_CNG,係数_乗用_軽油,係数_乗用_メタノール,係数_乗用_LPG),125,5,BE1996),4,FALSE)))))</f>
        <v/>
      </c>
      <c r="AL1996" s="461" t="str">
        <f t="shared" si="1147"/>
        <v/>
      </c>
      <c r="AM1996" s="460" t="str">
        <f>IF(AU1996="","",IF(OR(AZ1996=8,AZ1996=9),0,IF(OR(AW1996=3,AW1996=4,AW1996=5,AW1996=6),IF(LEFT(BH1996,1)="1",INDEX(係数_PM低減,MATCH(AY1996,【参考】排出係数!$AI$801:$AI$804,1),MATCH(BI1996,【参考】排出係数!$AL$798:$AO$798,1)),VLOOKUP(AU1996,INDEX((係数_バス貨物_ガソリン,係数_バス貨物_CNG,係数_バス貨物_軽油,係数_バス貨物_メタノール,係数_バス貨物_LPG),MATCH(AY1996,【参考】排出係数!$AI$4:$AI$671,1),1,BE1996):INDEX((係数_バス貨物_ガソリン,係数_バス貨物_CNG,係数_バス貨物_軽油,係数_バス貨物_メタノール,係数_バス貨物_LPG),MATCH(AY1996+1,【参考】排出係数!$AI$4:$AI$671,1)-1,5,BE1996),5,FALSE)),IF(AND(BE1996=3,LEFT(BF1996,1)="1"),0.055,VLOOKUP(AU1996,INDEX((係数_乗用_ガソリン,係数_乗用_CNG,係数_乗用_軽油,係数_乗用_メタノール,係数_乗用_LPG),1,1,BE1996):INDEX((係数_乗用_ガソリン,係数_乗用_CNG,係数_乗用_軽油,係数_乗用_メタノール,係数_乗用_LPG),125,5,BE1996),5,FALSE)))))</f>
        <v/>
      </c>
      <c r="AN1996" s="461" t="str">
        <f t="shared" si="1148"/>
        <v/>
      </c>
      <c r="AO1996" s="462" t="str">
        <f t="shared" si="1149"/>
        <v/>
      </c>
      <c r="AP1996" s="463" t="str">
        <f t="shared" si="1150"/>
        <v/>
      </c>
      <c r="AQ1996" s="464"/>
      <c r="AR1996" s="619"/>
      <c r="AS1996" s="465" t="str">
        <f t="shared" si="1158"/>
        <v/>
      </c>
      <c r="AT1996" s="465" t="str">
        <f t="shared" si="1159"/>
        <v/>
      </c>
      <c r="AU1996" s="466" t="str">
        <f t="shared" si="1160"/>
        <v/>
      </c>
      <c r="AV1996" s="467" t="str">
        <f t="shared" si="1161"/>
        <v/>
      </c>
      <c r="AW1996" s="467" t="str">
        <f t="shared" si="1162"/>
        <v/>
      </c>
      <c r="AX1996" s="467" t="str">
        <f t="shared" si="1163"/>
        <v/>
      </c>
      <c r="AY1996" s="467" t="str">
        <f t="shared" si="1164"/>
        <v/>
      </c>
      <c r="AZ1996" s="467" t="str">
        <f t="shared" si="1165"/>
        <v/>
      </c>
      <c r="BA1996" s="468" t="str">
        <f>IF(AS1996="","",IF(OR(AU1996="",AU1996="-"),"－",IF(OR(AZ1996=8,AZ1996=9),"",IF(OR(AW1996=3,AW1996=4,AW1996=5,AW1996=6),VLOOKUP(AU1996,INDEX((係数_バス貨物_ガソリン,係数_バス貨物_CNG,係数_バス貨物_軽油,係数_バス貨物_メタノール,係数_バス貨物_LPG),MATCH(AY1996,【参考】排出係数!$AI$4:$AI$671,1),1,BE1996):INDEX((係数_バス貨物_ガソリン,係数_バス貨物_CNG,係数_バス貨物_軽油,係数_バス貨物_メタノール,係数_バス貨物_LPG),MATCH(AY1996+1,【参考】排出係数!$AI$4:$AI$671,1)-1,5,BE1996),2,FALSE),IF(OR(AW1996=1,AW1996=2),VLOOKUP(AU1996,INDEX((係数_乗用_ガソリン,係数_乗用_CNG,係数_乗用_軽油,係数_乗用_メタノール,係数_乗用_LPG),1,1,BE1996):INDEX((係数_乗用_ガソリン,係数_乗用_CNG,係数_乗用_軽油,係数_乗用_メタノール,係数_乗用_LPG),125,5,BE1996),2,FALSE))))))</f>
        <v/>
      </c>
      <c r="BB1996" s="468" t="str">
        <f>IF(T1996="","",IF(OR(AU1996="",AU1996="-"),"－",IF(OR(AZ1996=8,AZ1996=9),"",IF(OR(AW1996=3,AW1996=4,AW1996=5,AW1996=6),VLOOKUP(AU1996,INDEX((係数_バス貨物_ガソリン,係数_バス貨物_CNG,係数_バス貨物_軽油,係数_バス貨物_メタノール,係数_バス貨物_LPG),MATCH(AY1996,【参考】排出係数!$AI$4:$AI$671,1),1,BE1996):INDEX((係数_バス貨物_ガソリン,係数_バス貨物_CNG,係数_バス貨物_軽油,係数_バス貨物_メタノール,係数_バス貨物_LPG),MATCH(AY1996+1,【参考】排出係数!$AI$4:$AI$671,1)-1,5,BE1996),3,FALSE),IF(OR(AW1996=1,AW1996=2),VLOOKUP(AU1996,INDEX((係数_乗用_ガソリン,係数_乗用_CNG,係数_乗用_軽油,係数_乗用_メタノール,係数_乗用_LPG),1,1,BE1996):INDEX((係数_乗用_ガソリン,係数_乗用_CNG,係数_乗用_軽油,係数_乗用_メタノール,係数_乗用_LPG),125,5,BE1996),3,FALSE))))))</f>
        <v/>
      </c>
      <c r="BC1996" s="467" t="str">
        <f t="shared" si="1166"/>
        <v/>
      </c>
      <c r="BD1996" s="567" t="str">
        <f t="shared" si="1167"/>
        <v/>
      </c>
      <c r="BE1996" s="467" t="str">
        <f t="shared" si="1168"/>
        <v/>
      </c>
      <c r="BF1996" s="469" t="str">
        <f t="shared" ca="1" si="1169"/>
        <v/>
      </c>
      <c r="BG1996" s="469" t="str">
        <f t="shared" ca="1" si="1170"/>
        <v/>
      </c>
      <c r="BH1996" s="467" t="str">
        <f t="shared" si="1171"/>
        <v/>
      </c>
      <c r="BI1996" s="467" t="str">
        <f t="shared" ca="1" si="1172"/>
        <v/>
      </c>
      <c r="BJ1996" s="469" t="str">
        <f t="shared" si="1173"/>
        <v/>
      </c>
      <c r="BK1996" s="470" t="str">
        <f t="shared" si="1157"/>
        <v/>
      </c>
      <c r="BL1996" s="775" t="str">
        <f t="shared" si="1174"/>
        <v/>
      </c>
      <c r="BM1996" s="775" t="str">
        <f t="shared" si="1175"/>
        <v/>
      </c>
    </row>
    <row r="1997" spans="1:65">
      <c r="A1997" s="473">
        <v>1941</v>
      </c>
      <c r="B1997" s="132"/>
      <c r="C1997" s="332"/>
      <c r="D1997" s="333"/>
      <c r="E1997" s="333"/>
      <c r="F1997" s="334"/>
      <c r="G1997" s="337"/>
      <c r="H1997" s="131"/>
      <c r="I1997" s="337"/>
      <c r="J1997" s="131"/>
      <c r="K1997" s="458" t="str">
        <f t="shared" si="1138"/>
        <v/>
      </c>
      <c r="L1997" s="458">
        <f t="shared" si="1139"/>
        <v>0</v>
      </c>
      <c r="M1997" s="458">
        <f t="shared" si="1140"/>
        <v>0</v>
      </c>
      <c r="N1997" s="459" t="str">
        <f t="shared" si="1151"/>
        <v/>
      </c>
      <c r="O1997" s="459" t="str">
        <f t="shared" si="1152"/>
        <v/>
      </c>
      <c r="P1997" s="459" t="str">
        <f t="shared" si="1153"/>
        <v/>
      </c>
      <c r="Q1997" s="459" t="str">
        <f t="shared" si="1154"/>
        <v/>
      </c>
      <c r="R1997" s="459" t="str">
        <f t="shared" si="1155"/>
        <v/>
      </c>
      <c r="S1997" s="459" t="str">
        <f t="shared" si="1156"/>
        <v/>
      </c>
      <c r="T1997" s="566" t="str">
        <f t="shared" si="1141"/>
        <v/>
      </c>
      <c r="U1997" s="702"/>
      <c r="V1997" s="132"/>
      <c r="W1997" s="133"/>
      <c r="X1997" s="134"/>
      <c r="Y1997" s="135"/>
      <c r="Z1997" s="137"/>
      <c r="AA1997" s="136"/>
      <c r="AB1997" s="566" t="str">
        <f t="shared" si="1142"/>
        <v/>
      </c>
      <c r="AC1997" s="568" t="str">
        <f t="shared" si="1143"/>
        <v/>
      </c>
      <c r="AD1997" s="137"/>
      <c r="AE1997" s="137"/>
      <c r="AF1997" s="138"/>
      <c r="AG1997" s="138"/>
      <c r="AH1997" s="592" t="str">
        <f t="shared" si="1144"/>
        <v/>
      </c>
      <c r="AI1997" s="592" t="str">
        <f t="shared" si="1145"/>
        <v/>
      </c>
      <c r="AJ1997" s="592" t="str">
        <f t="shared" si="1146"/>
        <v/>
      </c>
      <c r="AK1997" s="460" t="str">
        <f>IF(AU1997="","",IF(OR(AZ1997=8,AZ1997=9),0,IF(OR(AW1997=3,AW1997=4,AW1997=5,AW1997=6),IF(LEFT(BF1997,1)="1",INDEX(係数_NOX・PM低減,MATCH(AY1997,【参考】排出係数!$AI$801:$AI$804,1),1),VLOOKUP(AU1997,INDEX((係数_バス貨物_ガソリン,係数_バス貨物_CNG,係数_バス貨物_軽油,係数_バス貨物_メタノール,係数_バス貨物_LPG),MATCH(AY1997,【参考】排出係数!$AI$4:$AI$671,1),1,BE1997):INDEX((係数_バス貨物_ガソリン,係数_バス貨物_CNG,係数_バス貨物_軽油,係数_バス貨物_メタノール,係数_バス貨物_LPG),MATCH(AY1997+1,【参考】排出係数!$AI$4:$AI$671,1)-1,5,BE1997),4,FALSE)),IF(AND(BE1997=3,LEFT(BF1997,1)="1"),0.48,VLOOKUP(AU1997,INDEX((係数_乗用_ガソリン,係数_乗用_CNG,係数_乗用_軽油,係数_乗用_メタノール,係数_乗用_LPG),1,1,BE1997):INDEX((係数_乗用_ガソリン,係数_乗用_CNG,係数_乗用_軽油,係数_乗用_メタノール,係数_乗用_LPG),125,5,BE1997),4,FALSE)))))</f>
        <v/>
      </c>
      <c r="AL1997" s="461" t="str">
        <f t="shared" si="1147"/>
        <v/>
      </c>
      <c r="AM1997" s="460" t="str">
        <f>IF(AU1997="","",IF(OR(AZ1997=8,AZ1997=9),0,IF(OR(AW1997=3,AW1997=4,AW1997=5,AW1997=6),IF(LEFT(BH1997,1)="1",INDEX(係数_PM低減,MATCH(AY1997,【参考】排出係数!$AI$801:$AI$804,1),MATCH(BI1997,【参考】排出係数!$AL$798:$AO$798,1)),VLOOKUP(AU1997,INDEX((係数_バス貨物_ガソリン,係数_バス貨物_CNG,係数_バス貨物_軽油,係数_バス貨物_メタノール,係数_バス貨物_LPG),MATCH(AY1997,【参考】排出係数!$AI$4:$AI$671,1),1,BE1997):INDEX((係数_バス貨物_ガソリン,係数_バス貨物_CNG,係数_バス貨物_軽油,係数_バス貨物_メタノール,係数_バス貨物_LPG),MATCH(AY1997+1,【参考】排出係数!$AI$4:$AI$671,1)-1,5,BE1997),5,FALSE)),IF(AND(BE1997=3,LEFT(BF1997,1)="1"),0.055,VLOOKUP(AU1997,INDEX((係数_乗用_ガソリン,係数_乗用_CNG,係数_乗用_軽油,係数_乗用_メタノール,係数_乗用_LPG),1,1,BE1997):INDEX((係数_乗用_ガソリン,係数_乗用_CNG,係数_乗用_軽油,係数_乗用_メタノール,係数_乗用_LPG),125,5,BE1997),5,FALSE)))))</f>
        <v/>
      </c>
      <c r="AN1997" s="461" t="str">
        <f t="shared" si="1148"/>
        <v/>
      </c>
      <c r="AO1997" s="462" t="str">
        <f t="shared" si="1149"/>
        <v/>
      </c>
      <c r="AP1997" s="463" t="str">
        <f t="shared" si="1150"/>
        <v/>
      </c>
      <c r="AQ1997" s="464"/>
      <c r="AR1997" s="619"/>
      <c r="AS1997" s="465" t="str">
        <f t="shared" si="1158"/>
        <v/>
      </c>
      <c r="AT1997" s="465" t="str">
        <f t="shared" si="1159"/>
        <v/>
      </c>
      <c r="AU1997" s="466" t="str">
        <f t="shared" si="1160"/>
        <v/>
      </c>
      <c r="AV1997" s="467" t="str">
        <f t="shared" si="1161"/>
        <v/>
      </c>
      <c r="AW1997" s="467" t="str">
        <f t="shared" si="1162"/>
        <v/>
      </c>
      <c r="AX1997" s="467" t="str">
        <f t="shared" si="1163"/>
        <v/>
      </c>
      <c r="AY1997" s="467" t="str">
        <f t="shared" si="1164"/>
        <v/>
      </c>
      <c r="AZ1997" s="467" t="str">
        <f t="shared" si="1165"/>
        <v/>
      </c>
      <c r="BA1997" s="468" t="str">
        <f>IF(AS1997="","",IF(OR(AU1997="",AU1997="-"),"－",IF(OR(AZ1997=8,AZ1997=9),"",IF(OR(AW1997=3,AW1997=4,AW1997=5,AW1997=6),VLOOKUP(AU1997,INDEX((係数_バス貨物_ガソリン,係数_バス貨物_CNG,係数_バス貨物_軽油,係数_バス貨物_メタノール,係数_バス貨物_LPG),MATCH(AY1997,【参考】排出係数!$AI$4:$AI$671,1),1,BE1997):INDEX((係数_バス貨物_ガソリン,係数_バス貨物_CNG,係数_バス貨物_軽油,係数_バス貨物_メタノール,係数_バス貨物_LPG),MATCH(AY1997+1,【参考】排出係数!$AI$4:$AI$671,1)-1,5,BE1997),2,FALSE),IF(OR(AW1997=1,AW1997=2),VLOOKUP(AU1997,INDEX((係数_乗用_ガソリン,係数_乗用_CNG,係数_乗用_軽油,係数_乗用_メタノール,係数_乗用_LPG),1,1,BE1997):INDEX((係数_乗用_ガソリン,係数_乗用_CNG,係数_乗用_軽油,係数_乗用_メタノール,係数_乗用_LPG),125,5,BE1997),2,FALSE))))))</f>
        <v/>
      </c>
      <c r="BB1997" s="468" t="str">
        <f>IF(T1997="","",IF(OR(AU1997="",AU1997="-"),"－",IF(OR(AZ1997=8,AZ1997=9),"",IF(OR(AW1997=3,AW1997=4,AW1997=5,AW1997=6),VLOOKUP(AU1997,INDEX((係数_バス貨物_ガソリン,係数_バス貨物_CNG,係数_バス貨物_軽油,係数_バス貨物_メタノール,係数_バス貨物_LPG),MATCH(AY1997,【参考】排出係数!$AI$4:$AI$671,1),1,BE1997):INDEX((係数_バス貨物_ガソリン,係数_バス貨物_CNG,係数_バス貨物_軽油,係数_バス貨物_メタノール,係数_バス貨物_LPG),MATCH(AY1997+1,【参考】排出係数!$AI$4:$AI$671,1)-1,5,BE1997),3,FALSE),IF(OR(AW1997=1,AW1997=2),VLOOKUP(AU1997,INDEX((係数_乗用_ガソリン,係数_乗用_CNG,係数_乗用_軽油,係数_乗用_メタノール,係数_乗用_LPG),1,1,BE1997):INDEX((係数_乗用_ガソリン,係数_乗用_CNG,係数_乗用_軽油,係数_乗用_メタノール,係数_乗用_LPG),125,5,BE1997),3,FALSE))))))</f>
        <v/>
      </c>
      <c r="BC1997" s="467" t="str">
        <f t="shared" si="1166"/>
        <v/>
      </c>
      <c r="BD1997" s="567" t="str">
        <f t="shared" si="1167"/>
        <v/>
      </c>
      <c r="BE1997" s="467" t="str">
        <f t="shared" si="1168"/>
        <v/>
      </c>
      <c r="BF1997" s="469" t="str">
        <f t="shared" ca="1" si="1169"/>
        <v/>
      </c>
      <c r="BG1997" s="469" t="str">
        <f t="shared" ca="1" si="1170"/>
        <v/>
      </c>
      <c r="BH1997" s="467" t="str">
        <f t="shared" si="1171"/>
        <v/>
      </c>
      <c r="BI1997" s="467" t="str">
        <f t="shared" ca="1" si="1172"/>
        <v/>
      </c>
      <c r="BJ1997" s="469" t="str">
        <f t="shared" si="1173"/>
        <v/>
      </c>
      <c r="BK1997" s="470" t="str">
        <f t="shared" si="1157"/>
        <v/>
      </c>
      <c r="BL1997" s="775" t="str">
        <f t="shared" si="1174"/>
        <v/>
      </c>
      <c r="BM1997" s="775" t="str">
        <f t="shared" si="1175"/>
        <v/>
      </c>
    </row>
    <row r="1998" spans="1:65">
      <c r="A1998" s="473">
        <v>1942</v>
      </c>
      <c r="B1998" s="132"/>
      <c r="C1998" s="332"/>
      <c r="D1998" s="333"/>
      <c r="E1998" s="333"/>
      <c r="F1998" s="334"/>
      <c r="G1998" s="337"/>
      <c r="H1998" s="131"/>
      <c r="I1998" s="337"/>
      <c r="J1998" s="131"/>
      <c r="K1998" s="458" t="str">
        <f t="shared" si="1138"/>
        <v/>
      </c>
      <c r="L1998" s="458">
        <f t="shared" si="1139"/>
        <v>0</v>
      </c>
      <c r="M1998" s="458">
        <f t="shared" si="1140"/>
        <v>0</v>
      </c>
      <c r="N1998" s="459" t="str">
        <f t="shared" si="1151"/>
        <v/>
      </c>
      <c r="O1998" s="459" t="str">
        <f t="shared" si="1152"/>
        <v/>
      </c>
      <c r="P1998" s="459" t="str">
        <f t="shared" si="1153"/>
        <v/>
      </c>
      <c r="Q1998" s="459" t="str">
        <f t="shared" si="1154"/>
        <v/>
      </c>
      <c r="R1998" s="459" t="str">
        <f t="shared" si="1155"/>
        <v/>
      </c>
      <c r="S1998" s="459" t="str">
        <f t="shared" si="1156"/>
        <v/>
      </c>
      <c r="T1998" s="566" t="str">
        <f t="shared" si="1141"/>
        <v/>
      </c>
      <c r="U1998" s="702"/>
      <c r="V1998" s="132"/>
      <c r="W1998" s="133"/>
      <c r="X1998" s="134"/>
      <c r="Y1998" s="135"/>
      <c r="Z1998" s="137"/>
      <c r="AA1998" s="136"/>
      <c r="AB1998" s="566" t="str">
        <f t="shared" si="1142"/>
        <v/>
      </c>
      <c r="AC1998" s="568" t="str">
        <f t="shared" si="1143"/>
        <v/>
      </c>
      <c r="AD1998" s="137"/>
      <c r="AE1998" s="137"/>
      <c r="AF1998" s="138"/>
      <c r="AG1998" s="138"/>
      <c r="AH1998" s="592" t="str">
        <f t="shared" si="1144"/>
        <v/>
      </c>
      <c r="AI1998" s="592" t="str">
        <f t="shared" si="1145"/>
        <v/>
      </c>
      <c r="AJ1998" s="592" t="str">
        <f t="shared" si="1146"/>
        <v/>
      </c>
      <c r="AK1998" s="460" t="str">
        <f>IF(AU1998="","",IF(OR(AZ1998=8,AZ1998=9),0,IF(OR(AW1998=3,AW1998=4,AW1998=5,AW1998=6),IF(LEFT(BF1998,1)="1",INDEX(係数_NOX・PM低減,MATCH(AY1998,【参考】排出係数!$AI$801:$AI$804,1),1),VLOOKUP(AU1998,INDEX((係数_バス貨物_ガソリン,係数_バス貨物_CNG,係数_バス貨物_軽油,係数_バス貨物_メタノール,係数_バス貨物_LPG),MATCH(AY1998,【参考】排出係数!$AI$4:$AI$671,1),1,BE1998):INDEX((係数_バス貨物_ガソリン,係数_バス貨物_CNG,係数_バス貨物_軽油,係数_バス貨物_メタノール,係数_バス貨物_LPG),MATCH(AY1998+1,【参考】排出係数!$AI$4:$AI$671,1)-1,5,BE1998),4,FALSE)),IF(AND(BE1998=3,LEFT(BF1998,1)="1"),0.48,VLOOKUP(AU1998,INDEX((係数_乗用_ガソリン,係数_乗用_CNG,係数_乗用_軽油,係数_乗用_メタノール,係数_乗用_LPG),1,1,BE1998):INDEX((係数_乗用_ガソリン,係数_乗用_CNG,係数_乗用_軽油,係数_乗用_メタノール,係数_乗用_LPG),125,5,BE1998),4,FALSE)))))</f>
        <v/>
      </c>
      <c r="AL1998" s="461" t="str">
        <f t="shared" si="1147"/>
        <v/>
      </c>
      <c r="AM1998" s="460" t="str">
        <f>IF(AU1998="","",IF(OR(AZ1998=8,AZ1998=9),0,IF(OR(AW1998=3,AW1998=4,AW1998=5,AW1998=6),IF(LEFT(BH1998,1)="1",INDEX(係数_PM低減,MATCH(AY1998,【参考】排出係数!$AI$801:$AI$804,1),MATCH(BI1998,【参考】排出係数!$AL$798:$AO$798,1)),VLOOKUP(AU1998,INDEX((係数_バス貨物_ガソリン,係数_バス貨物_CNG,係数_バス貨物_軽油,係数_バス貨物_メタノール,係数_バス貨物_LPG),MATCH(AY1998,【参考】排出係数!$AI$4:$AI$671,1),1,BE1998):INDEX((係数_バス貨物_ガソリン,係数_バス貨物_CNG,係数_バス貨物_軽油,係数_バス貨物_メタノール,係数_バス貨物_LPG),MATCH(AY1998+1,【参考】排出係数!$AI$4:$AI$671,1)-1,5,BE1998),5,FALSE)),IF(AND(BE1998=3,LEFT(BF1998,1)="1"),0.055,VLOOKUP(AU1998,INDEX((係数_乗用_ガソリン,係数_乗用_CNG,係数_乗用_軽油,係数_乗用_メタノール,係数_乗用_LPG),1,1,BE1998):INDEX((係数_乗用_ガソリン,係数_乗用_CNG,係数_乗用_軽油,係数_乗用_メタノール,係数_乗用_LPG),125,5,BE1998),5,FALSE)))))</f>
        <v/>
      </c>
      <c r="AN1998" s="461" t="str">
        <f t="shared" si="1148"/>
        <v/>
      </c>
      <c r="AO1998" s="462" t="str">
        <f t="shared" si="1149"/>
        <v/>
      </c>
      <c r="AP1998" s="463" t="str">
        <f t="shared" si="1150"/>
        <v/>
      </c>
      <c r="AQ1998" s="464"/>
      <c r="AR1998" s="619"/>
      <c r="AS1998" s="465" t="str">
        <f t="shared" si="1158"/>
        <v/>
      </c>
      <c r="AT1998" s="465" t="str">
        <f t="shared" si="1159"/>
        <v/>
      </c>
      <c r="AU1998" s="466" t="str">
        <f t="shared" si="1160"/>
        <v/>
      </c>
      <c r="AV1998" s="467" t="str">
        <f t="shared" si="1161"/>
        <v/>
      </c>
      <c r="AW1998" s="467" t="str">
        <f t="shared" si="1162"/>
        <v/>
      </c>
      <c r="AX1998" s="467" t="str">
        <f t="shared" si="1163"/>
        <v/>
      </c>
      <c r="AY1998" s="467" t="str">
        <f t="shared" si="1164"/>
        <v/>
      </c>
      <c r="AZ1998" s="467" t="str">
        <f t="shared" si="1165"/>
        <v/>
      </c>
      <c r="BA1998" s="468" t="str">
        <f>IF(AS1998="","",IF(OR(AU1998="",AU1998="-"),"－",IF(OR(AZ1998=8,AZ1998=9),"",IF(OR(AW1998=3,AW1998=4,AW1998=5,AW1998=6),VLOOKUP(AU1998,INDEX((係数_バス貨物_ガソリン,係数_バス貨物_CNG,係数_バス貨物_軽油,係数_バス貨物_メタノール,係数_バス貨物_LPG),MATCH(AY1998,【参考】排出係数!$AI$4:$AI$671,1),1,BE1998):INDEX((係数_バス貨物_ガソリン,係数_バス貨物_CNG,係数_バス貨物_軽油,係数_バス貨物_メタノール,係数_バス貨物_LPG),MATCH(AY1998+1,【参考】排出係数!$AI$4:$AI$671,1)-1,5,BE1998),2,FALSE),IF(OR(AW1998=1,AW1998=2),VLOOKUP(AU1998,INDEX((係数_乗用_ガソリン,係数_乗用_CNG,係数_乗用_軽油,係数_乗用_メタノール,係数_乗用_LPG),1,1,BE1998):INDEX((係数_乗用_ガソリン,係数_乗用_CNG,係数_乗用_軽油,係数_乗用_メタノール,係数_乗用_LPG),125,5,BE1998),2,FALSE))))))</f>
        <v/>
      </c>
      <c r="BB1998" s="468" t="str">
        <f>IF(T1998="","",IF(OR(AU1998="",AU1998="-"),"－",IF(OR(AZ1998=8,AZ1998=9),"",IF(OR(AW1998=3,AW1998=4,AW1998=5,AW1998=6),VLOOKUP(AU1998,INDEX((係数_バス貨物_ガソリン,係数_バス貨物_CNG,係数_バス貨物_軽油,係数_バス貨物_メタノール,係数_バス貨物_LPG),MATCH(AY1998,【参考】排出係数!$AI$4:$AI$671,1),1,BE1998):INDEX((係数_バス貨物_ガソリン,係数_バス貨物_CNG,係数_バス貨物_軽油,係数_バス貨物_メタノール,係数_バス貨物_LPG),MATCH(AY1998+1,【参考】排出係数!$AI$4:$AI$671,1)-1,5,BE1998),3,FALSE),IF(OR(AW1998=1,AW1998=2),VLOOKUP(AU1998,INDEX((係数_乗用_ガソリン,係数_乗用_CNG,係数_乗用_軽油,係数_乗用_メタノール,係数_乗用_LPG),1,1,BE1998):INDEX((係数_乗用_ガソリン,係数_乗用_CNG,係数_乗用_軽油,係数_乗用_メタノール,係数_乗用_LPG),125,5,BE1998),3,FALSE))))))</f>
        <v/>
      </c>
      <c r="BC1998" s="467" t="str">
        <f t="shared" si="1166"/>
        <v/>
      </c>
      <c r="BD1998" s="567" t="str">
        <f t="shared" si="1167"/>
        <v/>
      </c>
      <c r="BE1998" s="467" t="str">
        <f t="shared" si="1168"/>
        <v/>
      </c>
      <c r="BF1998" s="469" t="str">
        <f t="shared" ca="1" si="1169"/>
        <v/>
      </c>
      <c r="BG1998" s="469" t="str">
        <f t="shared" ca="1" si="1170"/>
        <v/>
      </c>
      <c r="BH1998" s="467" t="str">
        <f t="shared" si="1171"/>
        <v/>
      </c>
      <c r="BI1998" s="467" t="str">
        <f t="shared" ca="1" si="1172"/>
        <v/>
      </c>
      <c r="BJ1998" s="469" t="str">
        <f t="shared" si="1173"/>
        <v/>
      </c>
      <c r="BK1998" s="470" t="str">
        <f t="shared" si="1157"/>
        <v/>
      </c>
      <c r="BL1998" s="775" t="str">
        <f t="shared" si="1174"/>
        <v/>
      </c>
      <c r="BM1998" s="775" t="str">
        <f t="shared" si="1175"/>
        <v/>
      </c>
    </row>
    <row r="1999" spans="1:65">
      <c r="A1999" s="473">
        <v>1943</v>
      </c>
      <c r="B1999" s="132"/>
      <c r="C1999" s="332"/>
      <c r="D1999" s="333"/>
      <c r="E1999" s="333"/>
      <c r="F1999" s="334"/>
      <c r="G1999" s="337"/>
      <c r="H1999" s="131"/>
      <c r="I1999" s="337"/>
      <c r="J1999" s="131"/>
      <c r="K1999" s="458" t="str">
        <f t="shared" si="1138"/>
        <v/>
      </c>
      <c r="L1999" s="458">
        <f t="shared" si="1139"/>
        <v>0</v>
      </c>
      <c r="M1999" s="458">
        <f t="shared" si="1140"/>
        <v>0</v>
      </c>
      <c r="N1999" s="459" t="str">
        <f t="shared" si="1151"/>
        <v/>
      </c>
      <c r="O1999" s="459" t="str">
        <f t="shared" si="1152"/>
        <v/>
      </c>
      <c r="P1999" s="459" t="str">
        <f t="shared" si="1153"/>
        <v/>
      </c>
      <c r="Q1999" s="459" t="str">
        <f t="shared" si="1154"/>
        <v/>
      </c>
      <c r="R1999" s="459" t="str">
        <f t="shared" si="1155"/>
        <v/>
      </c>
      <c r="S1999" s="459" t="str">
        <f t="shared" si="1156"/>
        <v/>
      </c>
      <c r="T1999" s="566" t="str">
        <f t="shared" si="1141"/>
        <v/>
      </c>
      <c r="U1999" s="702"/>
      <c r="V1999" s="132"/>
      <c r="W1999" s="133"/>
      <c r="X1999" s="134"/>
      <c r="Y1999" s="135"/>
      <c r="Z1999" s="137"/>
      <c r="AA1999" s="136"/>
      <c r="AB1999" s="566" t="str">
        <f t="shared" si="1142"/>
        <v/>
      </c>
      <c r="AC1999" s="568" t="str">
        <f t="shared" si="1143"/>
        <v/>
      </c>
      <c r="AD1999" s="137"/>
      <c r="AE1999" s="137"/>
      <c r="AF1999" s="138"/>
      <c r="AG1999" s="138"/>
      <c r="AH1999" s="592" t="str">
        <f t="shared" si="1144"/>
        <v/>
      </c>
      <c r="AI1999" s="592" t="str">
        <f t="shared" si="1145"/>
        <v/>
      </c>
      <c r="AJ1999" s="592" t="str">
        <f t="shared" si="1146"/>
        <v/>
      </c>
      <c r="AK1999" s="460" t="str">
        <f>IF(AU1999="","",IF(OR(AZ1999=8,AZ1999=9),0,IF(OR(AW1999=3,AW1999=4,AW1999=5,AW1999=6),IF(LEFT(BF1999,1)="1",INDEX(係数_NOX・PM低減,MATCH(AY1999,【参考】排出係数!$AI$801:$AI$804,1),1),VLOOKUP(AU1999,INDEX((係数_バス貨物_ガソリン,係数_バス貨物_CNG,係数_バス貨物_軽油,係数_バス貨物_メタノール,係数_バス貨物_LPG),MATCH(AY1999,【参考】排出係数!$AI$4:$AI$671,1),1,BE1999):INDEX((係数_バス貨物_ガソリン,係数_バス貨物_CNG,係数_バス貨物_軽油,係数_バス貨物_メタノール,係数_バス貨物_LPG),MATCH(AY1999+1,【参考】排出係数!$AI$4:$AI$671,1)-1,5,BE1999),4,FALSE)),IF(AND(BE1999=3,LEFT(BF1999,1)="1"),0.48,VLOOKUP(AU1999,INDEX((係数_乗用_ガソリン,係数_乗用_CNG,係数_乗用_軽油,係数_乗用_メタノール,係数_乗用_LPG),1,1,BE1999):INDEX((係数_乗用_ガソリン,係数_乗用_CNG,係数_乗用_軽油,係数_乗用_メタノール,係数_乗用_LPG),125,5,BE1999),4,FALSE)))))</f>
        <v/>
      </c>
      <c r="AL1999" s="461" t="str">
        <f t="shared" si="1147"/>
        <v/>
      </c>
      <c r="AM1999" s="460" t="str">
        <f>IF(AU1999="","",IF(OR(AZ1999=8,AZ1999=9),0,IF(OR(AW1999=3,AW1999=4,AW1999=5,AW1999=6),IF(LEFT(BH1999,1)="1",INDEX(係数_PM低減,MATCH(AY1999,【参考】排出係数!$AI$801:$AI$804,1),MATCH(BI1999,【参考】排出係数!$AL$798:$AO$798,1)),VLOOKUP(AU1999,INDEX((係数_バス貨物_ガソリン,係数_バス貨物_CNG,係数_バス貨物_軽油,係数_バス貨物_メタノール,係数_バス貨物_LPG),MATCH(AY1999,【参考】排出係数!$AI$4:$AI$671,1),1,BE1999):INDEX((係数_バス貨物_ガソリン,係数_バス貨物_CNG,係数_バス貨物_軽油,係数_バス貨物_メタノール,係数_バス貨物_LPG),MATCH(AY1999+1,【参考】排出係数!$AI$4:$AI$671,1)-1,5,BE1999),5,FALSE)),IF(AND(BE1999=3,LEFT(BF1999,1)="1"),0.055,VLOOKUP(AU1999,INDEX((係数_乗用_ガソリン,係数_乗用_CNG,係数_乗用_軽油,係数_乗用_メタノール,係数_乗用_LPG),1,1,BE1999):INDEX((係数_乗用_ガソリン,係数_乗用_CNG,係数_乗用_軽油,係数_乗用_メタノール,係数_乗用_LPG),125,5,BE1999),5,FALSE)))))</f>
        <v/>
      </c>
      <c r="AN1999" s="461" t="str">
        <f t="shared" si="1148"/>
        <v/>
      </c>
      <c r="AO1999" s="462" t="str">
        <f t="shared" si="1149"/>
        <v/>
      </c>
      <c r="AP1999" s="463" t="str">
        <f t="shared" si="1150"/>
        <v/>
      </c>
      <c r="AQ1999" s="464"/>
      <c r="AR1999" s="619"/>
      <c r="AS1999" s="465" t="str">
        <f t="shared" si="1158"/>
        <v/>
      </c>
      <c r="AT1999" s="465" t="str">
        <f t="shared" si="1159"/>
        <v/>
      </c>
      <c r="AU1999" s="466" t="str">
        <f t="shared" si="1160"/>
        <v/>
      </c>
      <c r="AV1999" s="467" t="str">
        <f t="shared" si="1161"/>
        <v/>
      </c>
      <c r="AW1999" s="467" t="str">
        <f t="shared" si="1162"/>
        <v/>
      </c>
      <c r="AX1999" s="467" t="str">
        <f t="shared" si="1163"/>
        <v/>
      </c>
      <c r="AY1999" s="467" t="str">
        <f t="shared" si="1164"/>
        <v/>
      </c>
      <c r="AZ1999" s="467" t="str">
        <f t="shared" si="1165"/>
        <v/>
      </c>
      <c r="BA1999" s="468" t="str">
        <f>IF(AS1999="","",IF(OR(AU1999="",AU1999="-"),"－",IF(OR(AZ1999=8,AZ1999=9),"",IF(OR(AW1999=3,AW1999=4,AW1999=5,AW1999=6),VLOOKUP(AU1999,INDEX((係数_バス貨物_ガソリン,係数_バス貨物_CNG,係数_バス貨物_軽油,係数_バス貨物_メタノール,係数_バス貨物_LPG),MATCH(AY1999,【参考】排出係数!$AI$4:$AI$671,1),1,BE1999):INDEX((係数_バス貨物_ガソリン,係数_バス貨物_CNG,係数_バス貨物_軽油,係数_バス貨物_メタノール,係数_バス貨物_LPG),MATCH(AY1999+1,【参考】排出係数!$AI$4:$AI$671,1)-1,5,BE1999),2,FALSE),IF(OR(AW1999=1,AW1999=2),VLOOKUP(AU1999,INDEX((係数_乗用_ガソリン,係数_乗用_CNG,係数_乗用_軽油,係数_乗用_メタノール,係数_乗用_LPG),1,1,BE1999):INDEX((係数_乗用_ガソリン,係数_乗用_CNG,係数_乗用_軽油,係数_乗用_メタノール,係数_乗用_LPG),125,5,BE1999),2,FALSE))))))</f>
        <v/>
      </c>
      <c r="BB1999" s="468" t="str">
        <f>IF(T1999="","",IF(OR(AU1999="",AU1999="-"),"－",IF(OR(AZ1999=8,AZ1999=9),"",IF(OR(AW1999=3,AW1999=4,AW1999=5,AW1999=6),VLOOKUP(AU1999,INDEX((係数_バス貨物_ガソリン,係数_バス貨物_CNG,係数_バス貨物_軽油,係数_バス貨物_メタノール,係数_バス貨物_LPG),MATCH(AY1999,【参考】排出係数!$AI$4:$AI$671,1),1,BE1999):INDEX((係数_バス貨物_ガソリン,係数_バス貨物_CNG,係数_バス貨物_軽油,係数_バス貨物_メタノール,係数_バス貨物_LPG),MATCH(AY1999+1,【参考】排出係数!$AI$4:$AI$671,1)-1,5,BE1999),3,FALSE),IF(OR(AW1999=1,AW1999=2),VLOOKUP(AU1999,INDEX((係数_乗用_ガソリン,係数_乗用_CNG,係数_乗用_軽油,係数_乗用_メタノール,係数_乗用_LPG),1,1,BE1999):INDEX((係数_乗用_ガソリン,係数_乗用_CNG,係数_乗用_軽油,係数_乗用_メタノール,係数_乗用_LPG),125,5,BE1999),3,FALSE))))))</f>
        <v/>
      </c>
      <c r="BC1999" s="467" t="str">
        <f t="shared" si="1166"/>
        <v/>
      </c>
      <c r="BD1999" s="567" t="str">
        <f t="shared" si="1167"/>
        <v/>
      </c>
      <c r="BE1999" s="467" t="str">
        <f t="shared" si="1168"/>
        <v/>
      </c>
      <c r="BF1999" s="469" t="str">
        <f t="shared" ca="1" si="1169"/>
        <v/>
      </c>
      <c r="BG1999" s="469" t="str">
        <f t="shared" ca="1" si="1170"/>
        <v/>
      </c>
      <c r="BH1999" s="467" t="str">
        <f t="shared" si="1171"/>
        <v/>
      </c>
      <c r="BI1999" s="467" t="str">
        <f t="shared" ca="1" si="1172"/>
        <v/>
      </c>
      <c r="BJ1999" s="469" t="str">
        <f t="shared" si="1173"/>
        <v/>
      </c>
      <c r="BK1999" s="470" t="str">
        <f t="shared" si="1157"/>
        <v/>
      </c>
      <c r="BL1999" s="775" t="str">
        <f t="shared" si="1174"/>
        <v/>
      </c>
      <c r="BM1999" s="775" t="str">
        <f t="shared" si="1175"/>
        <v/>
      </c>
    </row>
    <row r="2000" spans="1:65">
      <c r="A2000" s="473">
        <v>1944</v>
      </c>
      <c r="B2000" s="132"/>
      <c r="C2000" s="332"/>
      <c r="D2000" s="333"/>
      <c r="E2000" s="333"/>
      <c r="F2000" s="334"/>
      <c r="G2000" s="337"/>
      <c r="H2000" s="131"/>
      <c r="I2000" s="337"/>
      <c r="J2000" s="131"/>
      <c r="K2000" s="458" t="str">
        <f t="shared" si="1138"/>
        <v/>
      </c>
      <c r="L2000" s="458">
        <f t="shared" si="1139"/>
        <v>0</v>
      </c>
      <c r="M2000" s="458">
        <f t="shared" si="1140"/>
        <v>0</v>
      </c>
      <c r="N2000" s="459" t="str">
        <f t="shared" si="1151"/>
        <v/>
      </c>
      <c r="O2000" s="459" t="str">
        <f t="shared" si="1152"/>
        <v/>
      </c>
      <c r="P2000" s="459" t="str">
        <f t="shared" si="1153"/>
        <v/>
      </c>
      <c r="Q2000" s="459" t="str">
        <f t="shared" si="1154"/>
        <v/>
      </c>
      <c r="R2000" s="459" t="str">
        <f t="shared" si="1155"/>
        <v/>
      </c>
      <c r="S2000" s="459" t="str">
        <f t="shared" si="1156"/>
        <v/>
      </c>
      <c r="T2000" s="566" t="str">
        <f t="shared" si="1141"/>
        <v/>
      </c>
      <c r="U2000" s="702"/>
      <c r="V2000" s="132"/>
      <c r="W2000" s="133"/>
      <c r="X2000" s="134"/>
      <c r="Y2000" s="135"/>
      <c r="Z2000" s="137"/>
      <c r="AA2000" s="136"/>
      <c r="AB2000" s="566" t="str">
        <f t="shared" si="1142"/>
        <v/>
      </c>
      <c r="AC2000" s="568" t="str">
        <f t="shared" si="1143"/>
        <v/>
      </c>
      <c r="AD2000" s="137"/>
      <c r="AE2000" s="137"/>
      <c r="AF2000" s="138"/>
      <c r="AG2000" s="138"/>
      <c r="AH2000" s="592" t="str">
        <f t="shared" si="1144"/>
        <v/>
      </c>
      <c r="AI2000" s="592" t="str">
        <f t="shared" si="1145"/>
        <v/>
      </c>
      <c r="AJ2000" s="592" t="str">
        <f t="shared" si="1146"/>
        <v/>
      </c>
      <c r="AK2000" s="460" t="str">
        <f>IF(AU2000="","",IF(OR(AZ2000=8,AZ2000=9),0,IF(OR(AW2000=3,AW2000=4,AW2000=5,AW2000=6),IF(LEFT(BF2000,1)="1",INDEX(係数_NOX・PM低減,MATCH(AY2000,【参考】排出係数!$AI$801:$AI$804,1),1),VLOOKUP(AU2000,INDEX((係数_バス貨物_ガソリン,係数_バス貨物_CNG,係数_バス貨物_軽油,係数_バス貨物_メタノール,係数_バス貨物_LPG),MATCH(AY2000,【参考】排出係数!$AI$4:$AI$671,1),1,BE2000):INDEX((係数_バス貨物_ガソリン,係数_バス貨物_CNG,係数_バス貨物_軽油,係数_バス貨物_メタノール,係数_バス貨物_LPG),MATCH(AY2000+1,【参考】排出係数!$AI$4:$AI$671,1)-1,5,BE2000),4,FALSE)),IF(AND(BE2000=3,LEFT(BF2000,1)="1"),0.48,VLOOKUP(AU2000,INDEX((係数_乗用_ガソリン,係数_乗用_CNG,係数_乗用_軽油,係数_乗用_メタノール,係数_乗用_LPG),1,1,BE2000):INDEX((係数_乗用_ガソリン,係数_乗用_CNG,係数_乗用_軽油,係数_乗用_メタノール,係数_乗用_LPG),125,5,BE2000),4,FALSE)))))</f>
        <v/>
      </c>
      <c r="AL2000" s="461" t="str">
        <f t="shared" si="1147"/>
        <v/>
      </c>
      <c r="AM2000" s="460" t="str">
        <f>IF(AU2000="","",IF(OR(AZ2000=8,AZ2000=9),0,IF(OR(AW2000=3,AW2000=4,AW2000=5,AW2000=6),IF(LEFT(BH2000,1)="1",INDEX(係数_PM低減,MATCH(AY2000,【参考】排出係数!$AI$801:$AI$804,1),MATCH(BI2000,【参考】排出係数!$AL$798:$AO$798,1)),VLOOKUP(AU2000,INDEX((係数_バス貨物_ガソリン,係数_バス貨物_CNG,係数_バス貨物_軽油,係数_バス貨物_メタノール,係数_バス貨物_LPG),MATCH(AY2000,【参考】排出係数!$AI$4:$AI$671,1),1,BE2000):INDEX((係数_バス貨物_ガソリン,係数_バス貨物_CNG,係数_バス貨物_軽油,係数_バス貨物_メタノール,係数_バス貨物_LPG),MATCH(AY2000+1,【参考】排出係数!$AI$4:$AI$671,1)-1,5,BE2000),5,FALSE)),IF(AND(BE2000=3,LEFT(BF2000,1)="1"),0.055,VLOOKUP(AU2000,INDEX((係数_乗用_ガソリン,係数_乗用_CNG,係数_乗用_軽油,係数_乗用_メタノール,係数_乗用_LPG),1,1,BE2000):INDEX((係数_乗用_ガソリン,係数_乗用_CNG,係数_乗用_軽油,係数_乗用_メタノール,係数_乗用_LPG),125,5,BE2000),5,FALSE)))))</f>
        <v/>
      </c>
      <c r="AN2000" s="461" t="str">
        <f t="shared" si="1148"/>
        <v/>
      </c>
      <c r="AO2000" s="462" t="str">
        <f t="shared" si="1149"/>
        <v/>
      </c>
      <c r="AP2000" s="463" t="str">
        <f t="shared" si="1150"/>
        <v/>
      </c>
      <c r="AQ2000" s="464"/>
      <c r="AR2000" s="619"/>
      <c r="AS2000" s="465" t="str">
        <f t="shared" si="1158"/>
        <v/>
      </c>
      <c r="AT2000" s="465" t="str">
        <f t="shared" si="1159"/>
        <v/>
      </c>
      <c r="AU2000" s="466" t="str">
        <f t="shared" si="1160"/>
        <v/>
      </c>
      <c r="AV2000" s="467" t="str">
        <f t="shared" si="1161"/>
        <v/>
      </c>
      <c r="AW2000" s="467" t="str">
        <f t="shared" si="1162"/>
        <v/>
      </c>
      <c r="AX2000" s="467" t="str">
        <f t="shared" si="1163"/>
        <v/>
      </c>
      <c r="AY2000" s="467" t="str">
        <f t="shared" si="1164"/>
        <v/>
      </c>
      <c r="AZ2000" s="467" t="str">
        <f t="shared" si="1165"/>
        <v/>
      </c>
      <c r="BA2000" s="468" t="str">
        <f>IF(AS2000="","",IF(OR(AU2000="",AU2000="-"),"－",IF(OR(AZ2000=8,AZ2000=9),"",IF(OR(AW2000=3,AW2000=4,AW2000=5,AW2000=6),VLOOKUP(AU2000,INDEX((係数_バス貨物_ガソリン,係数_バス貨物_CNG,係数_バス貨物_軽油,係数_バス貨物_メタノール,係数_バス貨物_LPG),MATCH(AY2000,【参考】排出係数!$AI$4:$AI$671,1),1,BE2000):INDEX((係数_バス貨物_ガソリン,係数_バス貨物_CNG,係数_バス貨物_軽油,係数_バス貨物_メタノール,係数_バス貨物_LPG),MATCH(AY2000+1,【参考】排出係数!$AI$4:$AI$671,1)-1,5,BE2000),2,FALSE),IF(OR(AW2000=1,AW2000=2),VLOOKUP(AU2000,INDEX((係数_乗用_ガソリン,係数_乗用_CNG,係数_乗用_軽油,係数_乗用_メタノール,係数_乗用_LPG),1,1,BE2000):INDEX((係数_乗用_ガソリン,係数_乗用_CNG,係数_乗用_軽油,係数_乗用_メタノール,係数_乗用_LPG),125,5,BE2000),2,FALSE))))))</f>
        <v/>
      </c>
      <c r="BB2000" s="468" t="str">
        <f>IF(T2000="","",IF(OR(AU2000="",AU2000="-"),"－",IF(OR(AZ2000=8,AZ2000=9),"",IF(OR(AW2000=3,AW2000=4,AW2000=5,AW2000=6),VLOOKUP(AU2000,INDEX((係数_バス貨物_ガソリン,係数_バス貨物_CNG,係数_バス貨物_軽油,係数_バス貨物_メタノール,係数_バス貨物_LPG),MATCH(AY2000,【参考】排出係数!$AI$4:$AI$671,1),1,BE2000):INDEX((係数_バス貨物_ガソリン,係数_バス貨物_CNG,係数_バス貨物_軽油,係数_バス貨物_メタノール,係数_バス貨物_LPG),MATCH(AY2000+1,【参考】排出係数!$AI$4:$AI$671,1)-1,5,BE2000),3,FALSE),IF(OR(AW2000=1,AW2000=2),VLOOKUP(AU2000,INDEX((係数_乗用_ガソリン,係数_乗用_CNG,係数_乗用_軽油,係数_乗用_メタノール,係数_乗用_LPG),1,1,BE2000):INDEX((係数_乗用_ガソリン,係数_乗用_CNG,係数_乗用_軽油,係数_乗用_メタノール,係数_乗用_LPG),125,5,BE2000),3,FALSE))))))</f>
        <v/>
      </c>
      <c r="BC2000" s="467" t="str">
        <f t="shared" si="1166"/>
        <v/>
      </c>
      <c r="BD2000" s="567" t="str">
        <f t="shared" si="1167"/>
        <v/>
      </c>
      <c r="BE2000" s="467" t="str">
        <f t="shared" si="1168"/>
        <v/>
      </c>
      <c r="BF2000" s="469" t="str">
        <f t="shared" ca="1" si="1169"/>
        <v/>
      </c>
      <c r="BG2000" s="469" t="str">
        <f t="shared" ca="1" si="1170"/>
        <v/>
      </c>
      <c r="BH2000" s="467" t="str">
        <f t="shared" si="1171"/>
        <v/>
      </c>
      <c r="BI2000" s="467" t="str">
        <f t="shared" ca="1" si="1172"/>
        <v/>
      </c>
      <c r="BJ2000" s="469" t="str">
        <f t="shared" si="1173"/>
        <v/>
      </c>
      <c r="BK2000" s="470" t="str">
        <f t="shared" si="1157"/>
        <v/>
      </c>
      <c r="BL2000" s="775" t="str">
        <f t="shared" si="1174"/>
        <v/>
      </c>
      <c r="BM2000" s="775" t="str">
        <f t="shared" si="1175"/>
        <v/>
      </c>
    </row>
    <row r="2001" spans="1:65">
      <c r="A2001" s="473">
        <v>1945</v>
      </c>
      <c r="B2001" s="132"/>
      <c r="C2001" s="332"/>
      <c r="D2001" s="333"/>
      <c r="E2001" s="333"/>
      <c r="F2001" s="334"/>
      <c r="G2001" s="337"/>
      <c r="H2001" s="131"/>
      <c r="I2001" s="337"/>
      <c r="J2001" s="131"/>
      <c r="K2001" s="458" t="str">
        <f t="shared" si="1138"/>
        <v/>
      </c>
      <c r="L2001" s="458">
        <f t="shared" si="1139"/>
        <v>0</v>
      </c>
      <c r="M2001" s="458">
        <f t="shared" si="1140"/>
        <v>0</v>
      </c>
      <c r="N2001" s="459" t="str">
        <f t="shared" si="1151"/>
        <v/>
      </c>
      <c r="O2001" s="459" t="str">
        <f t="shared" si="1152"/>
        <v/>
      </c>
      <c r="P2001" s="459" t="str">
        <f t="shared" si="1153"/>
        <v/>
      </c>
      <c r="Q2001" s="459" t="str">
        <f t="shared" si="1154"/>
        <v/>
      </c>
      <c r="R2001" s="459" t="str">
        <f t="shared" si="1155"/>
        <v/>
      </c>
      <c r="S2001" s="459" t="str">
        <f t="shared" si="1156"/>
        <v/>
      </c>
      <c r="T2001" s="566" t="str">
        <f t="shared" si="1141"/>
        <v/>
      </c>
      <c r="U2001" s="702"/>
      <c r="V2001" s="132"/>
      <c r="W2001" s="133"/>
      <c r="X2001" s="134"/>
      <c r="Y2001" s="135"/>
      <c r="Z2001" s="137"/>
      <c r="AA2001" s="136"/>
      <c r="AB2001" s="566" t="str">
        <f t="shared" si="1142"/>
        <v/>
      </c>
      <c r="AC2001" s="568" t="str">
        <f t="shared" si="1143"/>
        <v/>
      </c>
      <c r="AD2001" s="137"/>
      <c r="AE2001" s="137"/>
      <c r="AF2001" s="138"/>
      <c r="AG2001" s="138"/>
      <c r="AH2001" s="592" t="str">
        <f t="shared" si="1144"/>
        <v/>
      </c>
      <c r="AI2001" s="592" t="str">
        <f t="shared" si="1145"/>
        <v/>
      </c>
      <c r="AJ2001" s="592" t="str">
        <f t="shared" si="1146"/>
        <v/>
      </c>
      <c r="AK2001" s="460" t="str">
        <f>IF(AU2001="","",IF(OR(AZ2001=8,AZ2001=9),0,IF(OR(AW2001=3,AW2001=4,AW2001=5,AW2001=6),IF(LEFT(BF2001,1)="1",INDEX(係数_NOX・PM低減,MATCH(AY2001,【参考】排出係数!$AI$801:$AI$804,1),1),VLOOKUP(AU2001,INDEX((係数_バス貨物_ガソリン,係数_バス貨物_CNG,係数_バス貨物_軽油,係数_バス貨物_メタノール,係数_バス貨物_LPG),MATCH(AY2001,【参考】排出係数!$AI$4:$AI$671,1),1,BE2001):INDEX((係数_バス貨物_ガソリン,係数_バス貨物_CNG,係数_バス貨物_軽油,係数_バス貨物_メタノール,係数_バス貨物_LPG),MATCH(AY2001+1,【参考】排出係数!$AI$4:$AI$671,1)-1,5,BE2001),4,FALSE)),IF(AND(BE2001=3,LEFT(BF2001,1)="1"),0.48,VLOOKUP(AU2001,INDEX((係数_乗用_ガソリン,係数_乗用_CNG,係数_乗用_軽油,係数_乗用_メタノール,係数_乗用_LPG),1,1,BE2001):INDEX((係数_乗用_ガソリン,係数_乗用_CNG,係数_乗用_軽油,係数_乗用_メタノール,係数_乗用_LPG),125,5,BE2001),4,FALSE)))))</f>
        <v/>
      </c>
      <c r="AL2001" s="461" t="str">
        <f t="shared" si="1147"/>
        <v/>
      </c>
      <c r="AM2001" s="460" t="str">
        <f>IF(AU2001="","",IF(OR(AZ2001=8,AZ2001=9),0,IF(OR(AW2001=3,AW2001=4,AW2001=5,AW2001=6),IF(LEFT(BH2001,1)="1",INDEX(係数_PM低減,MATCH(AY2001,【参考】排出係数!$AI$801:$AI$804,1),MATCH(BI2001,【参考】排出係数!$AL$798:$AO$798,1)),VLOOKUP(AU2001,INDEX((係数_バス貨物_ガソリン,係数_バス貨物_CNG,係数_バス貨物_軽油,係数_バス貨物_メタノール,係数_バス貨物_LPG),MATCH(AY2001,【参考】排出係数!$AI$4:$AI$671,1),1,BE2001):INDEX((係数_バス貨物_ガソリン,係数_バス貨物_CNG,係数_バス貨物_軽油,係数_バス貨物_メタノール,係数_バス貨物_LPG),MATCH(AY2001+1,【参考】排出係数!$AI$4:$AI$671,1)-1,5,BE2001),5,FALSE)),IF(AND(BE2001=3,LEFT(BF2001,1)="1"),0.055,VLOOKUP(AU2001,INDEX((係数_乗用_ガソリン,係数_乗用_CNG,係数_乗用_軽油,係数_乗用_メタノール,係数_乗用_LPG),1,1,BE2001):INDEX((係数_乗用_ガソリン,係数_乗用_CNG,係数_乗用_軽油,係数_乗用_メタノール,係数_乗用_LPG),125,5,BE2001),5,FALSE)))))</f>
        <v/>
      </c>
      <c r="AN2001" s="461" t="str">
        <f t="shared" si="1148"/>
        <v/>
      </c>
      <c r="AO2001" s="462" t="str">
        <f t="shared" si="1149"/>
        <v/>
      </c>
      <c r="AP2001" s="463" t="str">
        <f t="shared" si="1150"/>
        <v/>
      </c>
      <c r="AQ2001" s="464"/>
      <c r="AR2001" s="619"/>
      <c r="AS2001" s="465" t="str">
        <f t="shared" si="1158"/>
        <v/>
      </c>
      <c r="AT2001" s="465" t="str">
        <f t="shared" si="1159"/>
        <v/>
      </c>
      <c r="AU2001" s="466" t="str">
        <f t="shared" si="1160"/>
        <v/>
      </c>
      <c r="AV2001" s="467" t="str">
        <f t="shared" si="1161"/>
        <v/>
      </c>
      <c r="AW2001" s="467" t="str">
        <f t="shared" si="1162"/>
        <v/>
      </c>
      <c r="AX2001" s="467" t="str">
        <f t="shared" si="1163"/>
        <v/>
      </c>
      <c r="AY2001" s="467" t="str">
        <f t="shared" si="1164"/>
        <v/>
      </c>
      <c r="AZ2001" s="467" t="str">
        <f t="shared" si="1165"/>
        <v/>
      </c>
      <c r="BA2001" s="468" t="str">
        <f>IF(AS2001="","",IF(OR(AU2001="",AU2001="-"),"－",IF(OR(AZ2001=8,AZ2001=9),"",IF(OR(AW2001=3,AW2001=4,AW2001=5,AW2001=6),VLOOKUP(AU2001,INDEX((係数_バス貨物_ガソリン,係数_バス貨物_CNG,係数_バス貨物_軽油,係数_バス貨物_メタノール,係数_バス貨物_LPG),MATCH(AY2001,【参考】排出係数!$AI$4:$AI$671,1),1,BE2001):INDEX((係数_バス貨物_ガソリン,係数_バス貨物_CNG,係数_バス貨物_軽油,係数_バス貨物_メタノール,係数_バス貨物_LPG),MATCH(AY2001+1,【参考】排出係数!$AI$4:$AI$671,1)-1,5,BE2001),2,FALSE),IF(OR(AW2001=1,AW2001=2),VLOOKUP(AU2001,INDEX((係数_乗用_ガソリン,係数_乗用_CNG,係数_乗用_軽油,係数_乗用_メタノール,係数_乗用_LPG),1,1,BE2001):INDEX((係数_乗用_ガソリン,係数_乗用_CNG,係数_乗用_軽油,係数_乗用_メタノール,係数_乗用_LPG),125,5,BE2001),2,FALSE))))))</f>
        <v/>
      </c>
      <c r="BB2001" s="468" t="str">
        <f>IF(T2001="","",IF(OR(AU2001="",AU2001="-"),"－",IF(OR(AZ2001=8,AZ2001=9),"",IF(OR(AW2001=3,AW2001=4,AW2001=5,AW2001=6),VLOOKUP(AU2001,INDEX((係数_バス貨物_ガソリン,係数_バス貨物_CNG,係数_バス貨物_軽油,係数_バス貨物_メタノール,係数_バス貨物_LPG),MATCH(AY2001,【参考】排出係数!$AI$4:$AI$671,1),1,BE2001):INDEX((係数_バス貨物_ガソリン,係数_バス貨物_CNG,係数_バス貨物_軽油,係数_バス貨物_メタノール,係数_バス貨物_LPG),MATCH(AY2001+1,【参考】排出係数!$AI$4:$AI$671,1)-1,5,BE2001),3,FALSE),IF(OR(AW2001=1,AW2001=2),VLOOKUP(AU2001,INDEX((係数_乗用_ガソリン,係数_乗用_CNG,係数_乗用_軽油,係数_乗用_メタノール,係数_乗用_LPG),1,1,BE2001):INDEX((係数_乗用_ガソリン,係数_乗用_CNG,係数_乗用_軽油,係数_乗用_メタノール,係数_乗用_LPG),125,5,BE2001),3,FALSE))))))</f>
        <v/>
      </c>
      <c r="BC2001" s="467" t="str">
        <f t="shared" si="1166"/>
        <v/>
      </c>
      <c r="BD2001" s="567" t="str">
        <f t="shared" si="1167"/>
        <v/>
      </c>
      <c r="BE2001" s="467" t="str">
        <f t="shared" si="1168"/>
        <v/>
      </c>
      <c r="BF2001" s="469" t="str">
        <f t="shared" ca="1" si="1169"/>
        <v/>
      </c>
      <c r="BG2001" s="469" t="str">
        <f t="shared" ca="1" si="1170"/>
        <v/>
      </c>
      <c r="BH2001" s="467" t="str">
        <f t="shared" si="1171"/>
        <v/>
      </c>
      <c r="BI2001" s="467" t="str">
        <f t="shared" ca="1" si="1172"/>
        <v/>
      </c>
      <c r="BJ2001" s="469" t="str">
        <f t="shared" si="1173"/>
        <v/>
      </c>
      <c r="BK2001" s="470" t="str">
        <f t="shared" si="1157"/>
        <v/>
      </c>
      <c r="BL2001" s="775" t="str">
        <f t="shared" si="1174"/>
        <v/>
      </c>
      <c r="BM2001" s="775" t="str">
        <f t="shared" si="1175"/>
        <v/>
      </c>
    </row>
    <row r="2002" spans="1:65">
      <c r="A2002" s="473">
        <v>1946</v>
      </c>
      <c r="B2002" s="132"/>
      <c r="C2002" s="332"/>
      <c r="D2002" s="333"/>
      <c r="E2002" s="333"/>
      <c r="F2002" s="334"/>
      <c r="G2002" s="337"/>
      <c r="H2002" s="131"/>
      <c r="I2002" s="337"/>
      <c r="J2002" s="131"/>
      <c r="K2002" s="458" t="str">
        <f t="shared" si="1138"/>
        <v/>
      </c>
      <c r="L2002" s="458">
        <f t="shared" si="1139"/>
        <v>0</v>
      </c>
      <c r="M2002" s="458">
        <f t="shared" si="1140"/>
        <v>0</v>
      </c>
      <c r="N2002" s="459" t="str">
        <f t="shared" si="1151"/>
        <v/>
      </c>
      <c r="O2002" s="459" t="str">
        <f t="shared" si="1152"/>
        <v/>
      </c>
      <c r="P2002" s="459" t="str">
        <f t="shared" si="1153"/>
        <v/>
      </c>
      <c r="Q2002" s="459" t="str">
        <f t="shared" si="1154"/>
        <v/>
      </c>
      <c r="R2002" s="459" t="str">
        <f t="shared" si="1155"/>
        <v/>
      </c>
      <c r="S2002" s="459" t="str">
        <f t="shared" si="1156"/>
        <v/>
      </c>
      <c r="T2002" s="566" t="str">
        <f t="shared" si="1141"/>
        <v/>
      </c>
      <c r="U2002" s="702"/>
      <c r="V2002" s="132"/>
      <c r="W2002" s="133"/>
      <c r="X2002" s="134"/>
      <c r="Y2002" s="135"/>
      <c r="Z2002" s="137"/>
      <c r="AA2002" s="136"/>
      <c r="AB2002" s="566" t="str">
        <f t="shared" si="1142"/>
        <v/>
      </c>
      <c r="AC2002" s="568" t="str">
        <f t="shared" si="1143"/>
        <v/>
      </c>
      <c r="AD2002" s="137"/>
      <c r="AE2002" s="137"/>
      <c r="AF2002" s="138"/>
      <c r="AG2002" s="138"/>
      <c r="AH2002" s="592" t="str">
        <f t="shared" si="1144"/>
        <v/>
      </c>
      <c r="AI2002" s="592" t="str">
        <f t="shared" si="1145"/>
        <v/>
      </c>
      <c r="AJ2002" s="592" t="str">
        <f t="shared" si="1146"/>
        <v/>
      </c>
      <c r="AK2002" s="460" t="str">
        <f>IF(AU2002="","",IF(OR(AZ2002=8,AZ2002=9),0,IF(OR(AW2002=3,AW2002=4,AW2002=5,AW2002=6),IF(LEFT(BF2002,1)="1",INDEX(係数_NOX・PM低減,MATCH(AY2002,【参考】排出係数!$AI$801:$AI$804,1),1),VLOOKUP(AU2002,INDEX((係数_バス貨物_ガソリン,係数_バス貨物_CNG,係数_バス貨物_軽油,係数_バス貨物_メタノール,係数_バス貨物_LPG),MATCH(AY2002,【参考】排出係数!$AI$4:$AI$671,1),1,BE2002):INDEX((係数_バス貨物_ガソリン,係数_バス貨物_CNG,係数_バス貨物_軽油,係数_バス貨物_メタノール,係数_バス貨物_LPG),MATCH(AY2002+1,【参考】排出係数!$AI$4:$AI$671,1)-1,5,BE2002),4,FALSE)),IF(AND(BE2002=3,LEFT(BF2002,1)="1"),0.48,VLOOKUP(AU2002,INDEX((係数_乗用_ガソリン,係数_乗用_CNG,係数_乗用_軽油,係数_乗用_メタノール,係数_乗用_LPG),1,1,BE2002):INDEX((係数_乗用_ガソリン,係数_乗用_CNG,係数_乗用_軽油,係数_乗用_メタノール,係数_乗用_LPG),125,5,BE2002),4,FALSE)))))</f>
        <v/>
      </c>
      <c r="AL2002" s="461" t="str">
        <f t="shared" si="1147"/>
        <v/>
      </c>
      <c r="AM2002" s="460" t="str">
        <f>IF(AU2002="","",IF(OR(AZ2002=8,AZ2002=9),0,IF(OR(AW2002=3,AW2002=4,AW2002=5,AW2002=6),IF(LEFT(BH2002,1)="1",INDEX(係数_PM低減,MATCH(AY2002,【参考】排出係数!$AI$801:$AI$804,1),MATCH(BI2002,【参考】排出係数!$AL$798:$AO$798,1)),VLOOKUP(AU2002,INDEX((係数_バス貨物_ガソリン,係数_バス貨物_CNG,係数_バス貨物_軽油,係数_バス貨物_メタノール,係数_バス貨物_LPG),MATCH(AY2002,【参考】排出係数!$AI$4:$AI$671,1),1,BE2002):INDEX((係数_バス貨物_ガソリン,係数_バス貨物_CNG,係数_バス貨物_軽油,係数_バス貨物_メタノール,係数_バス貨物_LPG),MATCH(AY2002+1,【参考】排出係数!$AI$4:$AI$671,1)-1,5,BE2002),5,FALSE)),IF(AND(BE2002=3,LEFT(BF2002,1)="1"),0.055,VLOOKUP(AU2002,INDEX((係数_乗用_ガソリン,係数_乗用_CNG,係数_乗用_軽油,係数_乗用_メタノール,係数_乗用_LPG),1,1,BE2002):INDEX((係数_乗用_ガソリン,係数_乗用_CNG,係数_乗用_軽油,係数_乗用_メタノール,係数_乗用_LPG),125,5,BE2002),5,FALSE)))))</f>
        <v/>
      </c>
      <c r="AN2002" s="461" t="str">
        <f t="shared" si="1148"/>
        <v/>
      </c>
      <c r="AO2002" s="462" t="str">
        <f t="shared" si="1149"/>
        <v/>
      </c>
      <c r="AP2002" s="463" t="str">
        <f t="shared" si="1150"/>
        <v/>
      </c>
      <c r="AQ2002" s="464"/>
      <c r="AR2002" s="619"/>
      <c r="AS2002" s="465" t="str">
        <f t="shared" si="1158"/>
        <v/>
      </c>
      <c r="AT2002" s="465" t="str">
        <f t="shared" si="1159"/>
        <v/>
      </c>
      <c r="AU2002" s="466" t="str">
        <f t="shared" si="1160"/>
        <v/>
      </c>
      <c r="AV2002" s="467" t="str">
        <f t="shared" si="1161"/>
        <v/>
      </c>
      <c r="AW2002" s="467" t="str">
        <f t="shared" si="1162"/>
        <v/>
      </c>
      <c r="AX2002" s="467" t="str">
        <f t="shared" si="1163"/>
        <v/>
      </c>
      <c r="AY2002" s="467" t="str">
        <f t="shared" si="1164"/>
        <v/>
      </c>
      <c r="AZ2002" s="467" t="str">
        <f t="shared" si="1165"/>
        <v/>
      </c>
      <c r="BA2002" s="468" t="str">
        <f>IF(AS2002="","",IF(OR(AU2002="",AU2002="-"),"－",IF(OR(AZ2002=8,AZ2002=9),"",IF(OR(AW2002=3,AW2002=4,AW2002=5,AW2002=6),VLOOKUP(AU2002,INDEX((係数_バス貨物_ガソリン,係数_バス貨物_CNG,係数_バス貨物_軽油,係数_バス貨物_メタノール,係数_バス貨物_LPG),MATCH(AY2002,【参考】排出係数!$AI$4:$AI$671,1),1,BE2002):INDEX((係数_バス貨物_ガソリン,係数_バス貨物_CNG,係数_バス貨物_軽油,係数_バス貨物_メタノール,係数_バス貨物_LPG),MATCH(AY2002+1,【参考】排出係数!$AI$4:$AI$671,1)-1,5,BE2002),2,FALSE),IF(OR(AW2002=1,AW2002=2),VLOOKUP(AU2002,INDEX((係数_乗用_ガソリン,係数_乗用_CNG,係数_乗用_軽油,係数_乗用_メタノール,係数_乗用_LPG),1,1,BE2002):INDEX((係数_乗用_ガソリン,係数_乗用_CNG,係数_乗用_軽油,係数_乗用_メタノール,係数_乗用_LPG),125,5,BE2002),2,FALSE))))))</f>
        <v/>
      </c>
      <c r="BB2002" s="468" t="str">
        <f>IF(T2002="","",IF(OR(AU2002="",AU2002="-"),"－",IF(OR(AZ2002=8,AZ2002=9),"",IF(OR(AW2002=3,AW2002=4,AW2002=5,AW2002=6),VLOOKUP(AU2002,INDEX((係数_バス貨物_ガソリン,係数_バス貨物_CNG,係数_バス貨物_軽油,係数_バス貨物_メタノール,係数_バス貨物_LPG),MATCH(AY2002,【参考】排出係数!$AI$4:$AI$671,1),1,BE2002):INDEX((係数_バス貨物_ガソリン,係数_バス貨物_CNG,係数_バス貨物_軽油,係数_バス貨物_メタノール,係数_バス貨物_LPG),MATCH(AY2002+1,【参考】排出係数!$AI$4:$AI$671,1)-1,5,BE2002),3,FALSE),IF(OR(AW2002=1,AW2002=2),VLOOKUP(AU2002,INDEX((係数_乗用_ガソリン,係数_乗用_CNG,係数_乗用_軽油,係数_乗用_メタノール,係数_乗用_LPG),1,1,BE2002):INDEX((係数_乗用_ガソリン,係数_乗用_CNG,係数_乗用_軽油,係数_乗用_メタノール,係数_乗用_LPG),125,5,BE2002),3,FALSE))))))</f>
        <v/>
      </c>
      <c r="BC2002" s="467" t="str">
        <f t="shared" si="1166"/>
        <v/>
      </c>
      <c r="BD2002" s="567" t="str">
        <f t="shared" si="1167"/>
        <v/>
      </c>
      <c r="BE2002" s="467" t="str">
        <f t="shared" si="1168"/>
        <v/>
      </c>
      <c r="BF2002" s="469" t="str">
        <f t="shared" ca="1" si="1169"/>
        <v/>
      </c>
      <c r="BG2002" s="469" t="str">
        <f t="shared" ca="1" si="1170"/>
        <v/>
      </c>
      <c r="BH2002" s="467" t="str">
        <f t="shared" si="1171"/>
        <v/>
      </c>
      <c r="BI2002" s="467" t="str">
        <f t="shared" ca="1" si="1172"/>
        <v/>
      </c>
      <c r="BJ2002" s="469" t="str">
        <f t="shared" si="1173"/>
        <v/>
      </c>
      <c r="BK2002" s="470" t="str">
        <f t="shared" si="1157"/>
        <v/>
      </c>
      <c r="BL2002" s="775" t="str">
        <f t="shared" si="1174"/>
        <v/>
      </c>
      <c r="BM2002" s="775" t="str">
        <f t="shared" si="1175"/>
        <v/>
      </c>
    </row>
    <row r="2003" spans="1:65">
      <c r="A2003" s="473">
        <v>1947</v>
      </c>
      <c r="B2003" s="132"/>
      <c r="C2003" s="332"/>
      <c r="D2003" s="333"/>
      <c r="E2003" s="333"/>
      <c r="F2003" s="334"/>
      <c r="G2003" s="337"/>
      <c r="H2003" s="131"/>
      <c r="I2003" s="337"/>
      <c r="J2003" s="131"/>
      <c r="K2003" s="458" t="str">
        <f t="shared" si="1138"/>
        <v/>
      </c>
      <c r="L2003" s="458">
        <f t="shared" si="1139"/>
        <v>0</v>
      </c>
      <c r="M2003" s="458">
        <f t="shared" si="1140"/>
        <v>0</v>
      </c>
      <c r="N2003" s="459" t="str">
        <f t="shared" si="1151"/>
        <v/>
      </c>
      <c r="O2003" s="459" t="str">
        <f t="shared" si="1152"/>
        <v/>
      </c>
      <c r="P2003" s="459" t="str">
        <f t="shared" si="1153"/>
        <v/>
      </c>
      <c r="Q2003" s="459" t="str">
        <f t="shared" si="1154"/>
        <v/>
      </c>
      <c r="R2003" s="459" t="str">
        <f t="shared" si="1155"/>
        <v/>
      </c>
      <c r="S2003" s="459" t="str">
        <f t="shared" si="1156"/>
        <v/>
      </c>
      <c r="T2003" s="566" t="str">
        <f t="shared" si="1141"/>
        <v/>
      </c>
      <c r="U2003" s="702"/>
      <c r="V2003" s="132"/>
      <c r="W2003" s="133"/>
      <c r="X2003" s="134"/>
      <c r="Y2003" s="135"/>
      <c r="Z2003" s="137"/>
      <c r="AA2003" s="136"/>
      <c r="AB2003" s="566" t="str">
        <f t="shared" si="1142"/>
        <v/>
      </c>
      <c r="AC2003" s="568" t="str">
        <f t="shared" si="1143"/>
        <v/>
      </c>
      <c r="AD2003" s="137"/>
      <c r="AE2003" s="137"/>
      <c r="AF2003" s="138"/>
      <c r="AG2003" s="138"/>
      <c r="AH2003" s="592" t="str">
        <f t="shared" si="1144"/>
        <v/>
      </c>
      <c r="AI2003" s="592" t="str">
        <f t="shared" si="1145"/>
        <v/>
      </c>
      <c r="AJ2003" s="592" t="str">
        <f t="shared" si="1146"/>
        <v/>
      </c>
      <c r="AK2003" s="460" t="str">
        <f>IF(AU2003="","",IF(OR(AZ2003=8,AZ2003=9),0,IF(OR(AW2003=3,AW2003=4,AW2003=5,AW2003=6),IF(LEFT(BF2003,1)="1",INDEX(係数_NOX・PM低減,MATCH(AY2003,【参考】排出係数!$AI$801:$AI$804,1),1),VLOOKUP(AU2003,INDEX((係数_バス貨物_ガソリン,係数_バス貨物_CNG,係数_バス貨物_軽油,係数_バス貨物_メタノール,係数_バス貨物_LPG),MATCH(AY2003,【参考】排出係数!$AI$4:$AI$671,1),1,BE2003):INDEX((係数_バス貨物_ガソリン,係数_バス貨物_CNG,係数_バス貨物_軽油,係数_バス貨物_メタノール,係数_バス貨物_LPG),MATCH(AY2003+1,【参考】排出係数!$AI$4:$AI$671,1)-1,5,BE2003),4,FALSE)),IF(AND(BE2003=3,LEFT(BF2003,1)="1"),0.48,VLOOKUP(AU2003,INDEX((係数_乗用_ガソリン,係数_乗用_CNG,係数_乗用_軽油,係数_乗用_メタノール,係数_乗用_LPG),1,1,BE2003):INDEX((係数_乗用_ガソリン,係数_乗用_CNG,係数_乗用_軽油,係数_乗用_メタノール,係数_乗用_LPG),125,5,BE2003),4,FALSE)))))</f>
        <v/>
      </c>
      <c r="AL2003" s="461" t="str">
        <f t="shared" si="1147"/>
        <v/>
      </c>
      <c r="AM2003" s="460" t="str">
        <f>IF(AU2003="","",IF(OR(AZ2003=8,AZ2003=9),0,IF(OR(AW2003=3,AW2003=4,AW2003=5,AW2003=6),IF(LEFT(BH2003,1)="1",INDEX(係数_PM低減,MATCH(AY2003,【参考】排出係数!$AI$801:$AI$804,1),MATCH(BI2003,【参考】排出係数!$AL$798:$AO$798,1)),VLOOKUP(AU2003,INDEX((係数_バス貨物_ガソリン,係数_バス貨物_CNG,係数_バス貨物_軽油,係数_バス貨物_メタノール,係数_バス貨物_LPG),MATCH(AY2003,【参考】排出係数!$AI$4:$AI$671,1),1,BE2003):INDEX((係数_バス貨物_ガソリン,係数_バス貨物_CNG,係数_バス貨物_軽油,係数_バス貨物_メタノール,係数_バス貨物_LPG),MATCH(AY2003+1,【参考】排出係数!$AI$4:$AI$671,1)-1,5,BE2003),5,FALSE)),IF(AND(BE2003=3,LEFT(BF2003,1)="1"),0.055,VLOOKUP(AU2003,INDEX((係数_乗用_ガソリン,係数_乗用_CNG,係数_乗用_軽油,係数_乗用_メタノール,係数_乗用_LPG),1,1,BE2003):INDEX((係数_乗用_ガソリン,係数_乗用_CNG,係数_乗用_軽油,係数_乗用_メタノール,係数_乗用_LPG),125,5,BE2003),5,FALSE)))))</f>
        <v/>
      </c>
      <c r="AN2003" s="461" t="str">
        <f t="shared" si="1148"/>
        <v/>
      </c>
      <c r="AO2003" s="462" t="str">
        <f t="shared" si="1149"/>
        <v/>
      </c>
      <c r="AP2003" s="463" t="str">
        <f t="shared" si="1150"/>
        <v/>
      </c>
      <c r="AQ2003" s="464"/>
      <c r="AR2003" s="619"/>
      <c r="AS2003" s="465" t="str">
        <f t="shared" si="1158"/>
        <v/>
      </c>
      <c r="AT2003" s="465" t="str">
        <f t="shared" si="1159"/>
        <v/>
      </c>
      <c r="AU2003" s="466" t="str">
        <f t="shared" si="1160"/>
        <v/>
      </c>
      <c r="AV2003" s="467" t="str">
        <f t="shared" si="1161"/>
        <v/>
      </c>
      <c r="AW2003" s="467" t="str">
        <f t="shared" si="1162"/>
        <v/>
      </c>
      <c r="AX2003" s="467" t="str">
        <f t="shared" si="1163"/>
        <v/>
      </c>
      <c r="AY2003" s="467" t="str">
        <f t="shared" si="1164"/>
        <v/>
      </c>
      <c r="AZ2003" s="467" t="str">
        <f t="shared" si="1165"/>
        <v/>
      </c>
      <c r="BA2003" s="468" t="str">
        <f>IF(AS2003="","",IF(OR(AU2003="",AU2003="-"),"－",IF(OR(AZ2003=8,AZ2003=9),"",IF(OR(AW2003=3,AW2003=4,AW2003=5,AW2003=6),VLOOKUP(AU2003,INDEX((係数_バス貨物_ガソリン,係数_バス貨物_CNG,係数_バス貨物_軽油,係数_バス貨物_メタノール,係数_バス貨物_LPG),MATCH(AY2003,【参考】排出係数!$AI$4:$AI$671,1),1,BE2003):INDEX((係数_バス貨物_ガソリン,係数_バス貨物_CNG,係数_バス貨物_軽油,係数_バス貨物_メタノール,係数_バス貨物_LPG),MATCH(AY2003+1,【参考】排出係数!$AI$4:$AI$671,1)-1,5,BE2003),2,FALSE),IF(OR(AW2003=1,AW2003=2),VLOOKUP(AU2003,INDEX((係数_乗用_ガソリン,係数_乗用_CNG,係数_乗用_軽油,係数_乗用_メタノール,係数_乗用_LPG),1,1,BE2003):INDEX((係数_乗用_ガソリン,係数_乗用_CNG,係数_乗用_軽油,係数_乗用_メタノール,係数_乗用_LPG),125,5,BE2003),2,FALSE))))))</f>
        <v/>
      </c>
      <c r="BB2003" s="468" t="str">
        <f>IF(T2003="","",IF(OR(AU2003="",AU2003="-"),"－",IF(OR(AZ2003=8,AZ2003=9),"",IF(OR(AW2003=3,AW2003=4,AW2003=5,AW2003=6),VLOOKUP(AU2003,INDEX((係数_バス貨物_ガソリン,係数_バス貨物_CNG,係数_バス貨物_軽油,係数_バス貨物_メタノール,係数_バス貨物_LPG),MATCH(AY2003,【参考】排出係数!$AI$4:$AI$671,1),1,BE2003):INDEX((係数_バス貨物_ガソリン,係数_バス貨物_CNG,係数_バス貨物_軽油,係数_バス貨物_メタノール,係数_バス貨物_LPG),MATCH(AY2003+1,【参考】排出係数!$AI$4:$AI$671,1)-1,5,BE2003),3,FALSE),IF(OR(AW2003=1,AW2003=2),VLOOKUP(AU2003,INDEX((係数_乗用_ガソリン,係数_乗用_CNG,係数_乗用_軽油,係数_乗用_メタノール,係数_乗用_LPG),1,1,BE2003):INDEX((係数_乗用_ガソリン,係数_乗用_CNG,係数_乗用_軽油,係数_乗用_メタノール,係数_乗用_LPG),125,5,BE2003),3,FALSE))))))</f>
        <v/>
      </c>
      <c r="BC2003" s="467" t="str">
        <f t="shared" si="1166"/>
        <v/>
      </c>
      <c r="BD2003" s="567" t="str">
        <f t="shared" si="1167"/>
        <v/>
      </c>
      <c r="BE2003" s="467" t="str">
        <f t="shared" si="1168"/>
        <v/>
      </c>
      <c r="BF2003" s="469" t="str">
        <f t="shared" ca="1" si="1169"/>
        <v/>
      </c>
      <c r="BG2003" s="469" t="str">
        <f t="shared" ca="1" si="1170"/>
        <v/>
      </c>
      <c r="BH2003" s="467" t="str">
        <f t="shared" si="1171"/>
        <v/>
      </c>
      <c r="BI2003" s="467" t="str">
        <f t="shared" ca="1" si="1172"/>
        <v/>
      </c>
      <c r="BJ2003" s="469" t="str">
        <f t="shared" si="1173"/>
        <v/>
      </c>
      <c r="BK2003" s="470" t="str">
        <f t="shared" si="1157"/>
        <v/>
      </c>
      <c r="BL2003" s="775" t="str">
        <f t="shared" si="1174"/>
        <v/>
      </c>
      <c r="BM2003" s="775" t="str">
        <f t="shared" si="1175"/>
        <v/>
      </c>
    </row>
    <row r="2004" spans="1:65">
      <c r="A2004" s="473">
        <v>1948</v>
      </c>
      <c r="B2004" s="132"/>
      <c r="C2004" s="332"/>
      <c r="D2004" s="333"/>
      <c r="E2004" s="333"/>
      <c r="F2004" s="334"/>
      <c r="G2004" s="337"/>
      <c r="H2004" s="131"/>
      <c r="I2004" s="337"/>
      <c r="J2004" s="131"/>
      <c r="K2004" s="458" t="str">
        <f t="shared" si="1138"/>
        <v/>
      </c>
      <c r="L2004" s="458">
        <f t="shared" si="1139"/>
        <v>0</v>
      </c>
      <c r="M2004" s="458">
        <f t="shared" si="1140"/>
        <v>0</v>
      </c>
      <c r="N2004" s="459" t="str">
        <f t="shared" si="1151"/>
        <v/>
      </c>
      <c r="O2004" s="459" t="str">
        <f t="shared" si="1152"/>
        <v/>
      </c>
      <c r="P2004" s="459" t="str">
        <f t="shared" si="1153"/>
        <v/>
      </c>
      <c r="Q2004" s="459" t="str">
        <f t="shared" si="1154"/>
        <v/>
      </c>
      <c r="R2004" s="459" t="str">
        <f t="shared" si="1155"/>
        <v/>
      </c>
      <c r="S2004" s="459" t="str">
        <f t="shared" si="1156"/>
        <v/>
      </c>
      <c r="T2004" s="566" t="str">
        <f t="shared" si="1141"/>
        <v/>
      </c>
      <c r="U2004" s="702"/>
      <c r="V2004" s="132"/>
      <c r="W2004" s="133"/>
      <c r="X2004" s="134"/>
      <c r="Y2004" s="135"/>
      <c r="Z2004" s="137"/>
      <c r="AA2004" s="136"/>
      <c r="AB2004" s="566" t="str">
        <f t="shared" si="1142"/>
        <v/>
      </c>
      <c r="AC2004" s="568" t="str">
        <f t="shared" si="1143"/>
        <v/>
      </c>
      <c r="AD2004" s="137"/>
      <c r="AE2004" s="137"/>
      <c r="AF2004" s="138"/>
      <c r="AG2004" s="138"/>
      <c r="AH2004" s="592" t="str">
        <f t="shared" si="1144"/>
        <v/>
      </c>
      <c r="AI2004" s="592" t="str">
        <f t="shared" si="1145"/>
        <v/>
      </c>
      <c r="AJ2004" s="592" t="str">
        <f t="shared" si="1146"/>
        <v/>
      </c>
      <c r="AK2004" s="460" t="str">
        <f>IF(AU2004="","",IF(OR(AZ2004=8,AZ2004=9),0,IF(OR(AW2004=3,AW2004=4,AW2004=5,AW2004=6),IF(LEFT(BF2004,1)="1",INDEX(係数_NOX・PM低減,MATCH(AY2004,【参考】排出係数!$AI$801:$AI$804,1),1),VLOOKUP(AU2004,INDEX((係数_バス貨物_ガソリン,係数_バス貨物_CNG,係数_バス貨物_軽油,係数_バス貨物_メタノール,係数_バス貨物_LPG),MATCH(AY2004,【参考】排出係数!$AI$4:$AI$671,1),1,BE2004):INDEX((係数_バス貨物_ガソリン,係数_バス貨物_CNG,係数_バス貨物_軽油,係数_バス貨物_メタノール,係数_バス貨物_LPG),MATCH(AY2004+1,【参考】排出係数!$AI$4:$AI$671,1)-1,5,BE2004),4,FALSE)),IF(AND(BE2004=3,LEFT(BF2004,1)="1"),0.48,VLOOKUP(AU2004,INDEX((係数_乗用_ガソリン,係数_乗用_CNG,係数_乗用_軽油,係数_乗用_メタノール,係数_乗用_LPG),1,1,BE2004):INDEX((係数_乗用_ガソリン,係数_乗用_CNG,係数_乗用_軽油,係数_乗用_メタノール,係数_乗用_LPG),125,5,BE2004),4,FALSE)))))</f>
        <v/>
      </c>
      <c r="AL2004" s="461" t="str">
        <f t="shared" si="1147"/>
        <v/>
      </c>
      <c r="AM2004" s="460" t="str">
        <f>IF(AU2004="","",IF(OR(AZ2004=8,AZ2004=9),0,IF(OR(AW2004=3,AW2004=4,AW2004=5,AW2004=6),IF(LEFT(BH2004,1)="1",INDEX(係数_PM低減,MATCH(AY2004,【参考】排出係数!$AI$801:$AI$804,1),MATCH(BI2004,【参考】排出係数!$AL$798:$AO$798,1)),VLOOKUP(AU2004,INDEX((係数_バス貨物_ガソリン,係数_バス貨物_CNG,係数_バス貨物_軽油,係数_バス貨物_メタノール,係数_バス貨物_LPG),MATCH(AY2004,【参考】排出係数!$AI$4:$AI$671,1),1,BE2004):INDEX((係数_バス貨物_ガソリン,係数_バス貨物_CNG,係数_バス貨物_軽油,係数_バス貨物_メタノール,係数_バス貨物_LPG),MATCH(AY2004+1,【参考】排出係数!$AI$4:$AI$671,1)-1,5,BE2004),5,FALSE)),IF(AND(BE2004=3,LEFT(BF2004,1)="1"),0.055,VLOOKUP(AU2004,INDEX((係数_乗用_ガソリン,係数_乗用_CNG,係数_乗用_軽油,係数_乗用_メタノール,係数_乗用_LPG),1,1,BE2004):INDEX((係数_乗用_ガソリン,係数_乗用_CNG,係数_乗用_軽油,係数_乗用_メタノール,係数_乗用_LPG),125,5,BE2004),5,FALSE)))))</f>
        <v/>
      </c>
      <c r="AN2004" s="461" t="str">
        <f t="shared" si="1148"/>
        <v/>
      </c>
      <c r="AO2004" s="462" t="str">
        <f t="shared" si="1149"/>
        <v/>
      </c>
      <c r="AP2004" s="463" t="str">
        <f t="shared" si="1150"/>
        <v/>
      </c>
      <c r="AQ2004" s="464"/>
      <c r="AR2004" s="619"/>
      <c r="AS2004" s="465" t="str">
        <f t="shared" si="1158"/>
        <v/>
      </c>
      <c r="AT2004" s="465" t="str">
        <f t="shared" si="1159"/>
        <v/>
      </c>
      <c r="AU2004" s="466" t="str">
        <f t="shared" si="1160"/>
        <v/>
      </c>
      <c r="AV2004" s="467" t="str">
        <f t="shared" si="1161"/>
        <v/>
      </c>
      <c r="AW2004" s="467" t="str">
        <f t="shared" si="1162"/>
        <v/>
      </c>
      <c r="AX2004" s="467" t="str">
        <f t="shared" si="1163"/>
        <v/>
      </c>
      <c r="AY2004" s="467" t="str">
        <f t="shared" si="1164"/>
        <v/>
      </c>
      <c r="AZ2004" s="467" t="str">
        <f t="shared" si="1165"/>
        <v/>
      </c>
      <c r="BA2004" s="468" t="str">
        <f>IF(AS2004="","",IF(OR(AU2004="",AU2004="-"),"－",IF(OR(AZ2004=8,AZ2004=9),"",IF(OR(AW2004=3,AW2004=4,AW2004=5,AW2004=6),VLOOKUP(AU2004,INDEX((係数_バス貨物_ガソリン,係数_バス貨物_CNG,係数_バス貨物_軽油,係数_バス貨物_メタノール,係数_バス貨物_LPG),MATCH(AY2004,【参考】排出係数!$AI$4:$AI$671,1),1,BE2004):INDEX((係数_バス貨物_ガソリン,係数_バス貨物_CNG,係数_バス貨物_軽油,係数_バス貨物_メタノール,係数_バス貨物_LPG),MATCH(AY2004+1,【参考】排出係数!$AI$4:$AI$671,1)-1,5,BE2004),2,FALSE),IF(OR(AW2004=1,AW2004=2),VLOOKUP(AU2004,INDEX((係数_乗用_ガソリン,係数_乗用_CNG,係数_乗用_軽油,係数_乗用_メタノール,係数_乗用_LPG),1,1,BE2004):INDEX((係数_乗用_ガソリン,係数_乗用_CNG,係数_乗用_軽油,係数_乗用_メタノール,係数_乗用_LPG),125,5,BE2004),2,FALSE))))))</f>
        <v/>
      </c>
      <c r="BB2004" s="468" t="str">
        <f>IF(T2004="","",IF(OR(AU2004="",AU2004="-"),"－",IF(OR(AZ2004=8,AZ2004=9),"",IF(OR(AW2004=3,AW2004=4,AW2004=5,AW2004=6),VLOOKUP(AU2004,INDEX((係数_バス貨物_ガソリン,係数_バス貨物_CNG,係数_バス貨物_軽油,係数_バス貨物_メタノール,係数_バス貨物_LPG),MATCH(AY2004,【参考】排出係数!$AI$4:$AI$671,1),1,BE2004):INDEX((係数_バス貨物_ガソリン,係数_バス貨物_CNG,係数_バス貨物_軽油,係数_バス貨物_メタノール,係数_バス貨物_LPG),MATCH(AY2004+1,【参考】排出係数!$AI$4:$AI$671,1)-1,5,BE2004),3,FALSE),IF(OR(AW2004=1,AW2004=2),VLOOKUP(AU2004,INDEX((係数_乗用_ガソリン,係数_乗用_CNG,係数_乗用_軽油,係数_乗用_メタノール,係数_乗用_LPG),1,1,BE2004):INDEX((係数_乗用_ガソリン,係数_乗用_CNG,係数_乗用_軽油,係数_乗用_メタノール,係数_乗用_LPG),125,5,BE2004),3,FALSE))))))</f>
        <v/>
      </c>
      <c r="BC2004" s="467" t="str">
        <f t="shared" si="1166"/>
        <v/>
      </c>
      <c r="BD2004" s="567" t="str">
        <f t="shared" si="1167"/>
        <v/>
      </c>
      <c r="BE2004" s="467" t="str">
        <f t="shared" si="1168"/>
        <v/>
      </c>
      <c r="BF2004" s="469" t="str">
        <f t="shared" ca="1" si="1169"/>
        <v/>
      </c>
      <c r="BG2004" s="469" t="str">
        <f t="shared" ca="1" si="1170"/>
        <v/>
      </c>
      <c r="BH2004" s="467" t="str">
        <f t="shared" si="1171"/>
        <v/>
      </c>
      <c r="BI2004" s="467" t="str">
        <f t="shared" ca="1" si="1172"/>
        <v/>
      </c>
      <c r="BJ2004" s="469" t="str">
        <f t="shared" si="1173"/>
        <v/>
      </c>
      <c r="BK2004" s="470" t="str">
        <f t="shared" si="1157"/>
        <v/>
      </c>
      <c r="BL2004" s="775" t="str">
        <f t="shared" si="1174"/>
        <v/>
      </c>
      <c r="BM2004" s="775" t="str">
        <f t="shared" si="1175"/>
        <v/>
      </c>
    </row>
    <row r="2005" spans="1:65">
      <c r="A2005" s="473">
        <v>1949</v>
      </c>
      <c r="B2005" s="132"/>
      <c r="C2005" s="332"/>
      <c r="D2005" s="333"/>
      <c r="E2005" s="333"/>
      <c r="F2005" s="334"/>
      <c r="G2005" s="337"/>
      <c r="H2005" s="131"/>
      <c r="I2005" s="337"/>
      <c r="J2005" s="131"/>
      <c r="K2005" s="458" t="str">
        <f t="shared" si="1138"/>
        <v/>
      </c>
      <c r="L2005" s="458">
        <f t="shared" si="1139"/>
        <v>0</v>
      </c>
      <c r="M2005" s="458">
        <f t="shared" si="1140"/>
        <v>0</v>
      </c>
      <c r="N2005" s="459" t="str">
        <f t="shared" si="1151"/>
        <v/>
      </c>
      <c r="O2005" s="459" t="str">
        <f t="shared" si="1152"/>
        <v/>
      </c>
      <c r="P2005" s="459" t="str">
        <f t="shared" si="1153"/>
        <v/>
      </c>
      <c r="Q2005" s="459" t="str">
        <f t="shared" si="1154"/>
        <v/>
      </c>
      <c r="R2005" s="459" t="str">
        <f t="shared" si="1155"/>
        <v/>
      </c>
      <c r="S2005" s="459" t="str">
        <f t="shared" si="1156"/>
        <v/>
      </c>
      <c r="T2005" s="566" t="str">
        <f t="shared" si="1141"/>
        <v/>
      </c>
      <c r="U2005" s="702"/>
      <c r="V2005" s="132"/>
      <c r="W2005" s="133"/>
      <c r="X2005" s="134"/>
      <c r="Y2005" s="135"/>
      <c r="Z2005" s="137"/>
      <c r="AA2005" s="136"/>
      <c r="AB2005" s="566" t="str">
        <f t="shared" si="1142"/>
        <v/>
      </c>
      <c r="AC2005" s="568" t="str">
        <f t="shared" si="1143"/>
        <v/>
      </c>
      <c r="AD2005" s="137"/>
      <c r="AE2005" s="137"/>
      <c r="AF2005" s="138"/>
      <c r="AG2005" s="138"/>
      <c r="AH2005" s="592" t="str">
        <f t="shared" si="1144"/>
        <v/>
      </c>
      <c r="AI2005" s="592" t="str">
        <f t="shared" si="1145"/>
        <v/>
      </c>
      <c r="AJ2005" s="592" t="str">
        <f t="shared" si="1146"/>
        <v/>
      </c>
      <c r="AK2005" s="460" t="str">
        <f>IF(AU2005="","",IF(OR(AZ2005=8,AZ2005=9),0,IF(OR(AW2005=3,AW2005=4,AW2005=5,AW2005=6),IF(LEFT(BF2005,1)="1",INDEX(係数_NOX・PM低減,MATCH(AY2005,【参考】排出係数!$AI$801:$AI$804,1),1),VLOOKUP(AU2005,INDEX((係数_バス貨物_ガソリン,係数_バス貨物_CNG,係数_バス貨物_軽油,係数_バス貨物_メタノール,係数_バス貨物_LPG),MATCH(AY2005,【参考】排出係数!$AI$4:$AI$671,1),1,BE2005):INDEX((係数_バス貨物_ガソリン,係数_バス貨物_CNG,係数_バス貨物_軽油,係数_バス貨物_メタノール,係数_バス貨物_LPG),MATCH(AY2005+1,【参考】排出係数!$AI$4:$AI$671,1)-1,5,BE2005),4,FALSE)),IF(AND(BE2005=3,LEFT(BF2005,1)="1"),0.48,VLOOKUP(AU2005,INDEX((係数_乗用_ガソリン,係数_乗用_CNG,係数_乗用_軽油,係数_乗用_メタノール,係数_乗用_LPG),1,1,BE2005):INDEX((係数_乗用_ガソリン,係数_乗用_CNG,係数_乗用_軽油,係数_乗用_メタノール,係数_乗用_LPG),125,5,BE2005),4,FALSE)))))</f>
        <v/>
      </c>
      <c r="AL2005" s="461" t="str">
        <f t="shared" si="1147"/>
        <v/>
      </c>
      <c r="AM2005" s="460" t="str">
        <f>IF(AU2005="","",IF(OR(AZ2005=8,AZ2005=9),0,IF(OR(AW2005=3,AW2005=4,AW2005=5,AW2005=6),IF(LEFT(BH2005,1)="1",INDEX(係数_PM低減,MATCH(AY2005,【参考】排出係数!$AI$801:$AI$804,1),MATCH(BI2005,【参考】排出係数!$AL$798:$AO$798,1)),VLOOKUP(AU2005,INDEX((係数_バス貨物_ガソリン,係数_バス貨物_CNG,係数_バス貨物_軽油,係数_バス貨物_メタノール,係数_バス貨物_LPG),MATCH(AY2005,【参考】排出係数!$AI$4:$AI$671,1),1,BE2005):INDEX((係数_バス貨物_ガソリン,係数_バス貨物_CNG,係数_バス貨物_軽油,係数_バス貨物_メタノール,係数_バス貨物_LPG),MATCH(AY2005+1,【参考】排出係数!$AI$4:$AI$671,1)-1,5,BE2005),5,FALSE)),IF(AND(BE2005=3,LEFT(BF2005,1)="1"),0.055,VLOOKUP(AU2005,INDEX((係数_乗用_ガソリン,係数_乗用_CNG,係数_乗用_軽油,係数_乗用_メタノール,係数_乗用_LPG),1,1,BE2005):INDEX((係数_乗用_ガソリン,係数_乗用_CNG,係数_乗用_軽油,係数_乗用_メタノール,係数_乗用_LPG),125,5,BE2005),5,FALSE)))))</f>
        <v/>
      </c>
      <c r="AN2005" s="461" t="str">
        <f t="shared" si="1148"/>
        <v/>
      </c>
      <c r="AO2005" s="462" t="str">
        <f t="shared" si="1149"/>
        <v/>
      </c>
      <c r="AP2005" s="463" t="str">
        <f t="shared" si="1150"/>
        <v/>
      </c>
      <c r="AQ2005" s="464"/>
      <c r="AR2005" s="619"/>
      <c r="AS2005" s="465" t="str">
        <f t="shared" si="1158"/>
        <v/>
      </c>
      <c r="AT2005" s="465" t="str">
        <f t="shared" si="1159"/>
        <v/>
      </c>
      <c r="AU2005" s="466" t="str">
        <f t="shared" si="1160"/>
        <v/>
      </c>
      <c r="AV2005" s="467" t="str">
        <f t="shared" si="1161"/>
        <v/>
      </c>
      <c r="AW2005" s="467" t="str">
        <f t="shared" si="1162"/>
        <v/>
      </c>
      <c r="AX2005" s="467" t="str">
        <f t="shared" si="1163"/>
        <v/>
      </c>
      <c r="AY2005" s="467" t="str">
        <f t="shared" si="1164"/>
        <v/>
      </c>
      <c r="AZ2005" s="467" t="str">
        <f t="shared" si="1165"/>
        <v/>
      </c>
      <c r="BA2005" s="468" t="str">
        <f>IF(AS2005="","",IF(OR(AU2005="",AU2005="-"),"－",IF(OR(AZ2005=8,AZ2005=9),"",IF(OR(AW2005=3,AW2005=4,AW2005=5,AW2005=6),VLOOKUP(AU2005,INDEX((係数_バス貨物_ガソリン,係数_バス貨物_CNG,係数_バス貨物_軽油,係数_バス貨物_メタノール,係数_バス貨物_LPG),MATCH(AY2005,【参考】排出係数!$AI$4:$AI$671,1),1,BE2005):INDEX((係数_バス貨物_ガソリン,係数_バス貨物_CNG,係数_バス貨物_軽油,係数_バス貨物_メタノール,係数_バス貨物_LPG),MATCH(AY2005+1,【参考】排出係数!$AI$4:$AI$671,1)-1,5,BE2005),2,FALSE),IF(OR(AW2005=1,AW2005=2),VLOOKUP(AU2005,INDEX((係数_乗用_ガソリン,係数_乗用_CNG,係数_乗用_軽油,係数_乗用_メタノール,係数_乗用_LPG),1,1,BE2005):INDEX((係数_乗用_ガソリン,係数_乗用_CNG,係数_乗用_軽油,係数_乗用_メタノール,係数_乗用_LPG),125,5,BE2005),2,FALSE))))))</f>
        <v/>
      </c>
      <c r="BB2005" s="468" t="str">
        <f>IF(T2005="","",IF(OR(AU2005="",AU2005="-"),"－",IF(OR(AZ2005=8,AZ2005=9),"",IF(OR(AW2005=3,AW2005=4,AW2005=5,AW2005=6),VLOOKUP(AU2005,INDEX((係数_バス貨物_ガソリン,係数_バス貨物_CNG,係数_バス貨物_軽油,係数_バス貨物_メタノール,係数_バス貨物_LPG),MATCH(AY2005,【参考】排出係数!$AI$4:$AI$671,1),1,BE2005):INDEX((係数_バス貨物_ガソリン,係数_バス貨物_CNG,係数_バス貨物_軽油,係数_バス貨物_メタノール,係数_バス貨物_LPG),MATCH(AY2005+1,【参考】排出係数!$AI$4:$AI$671,1)-1,5,BE2005),3,FALSE),IF(OR(AW2005=1,AW2005=2),VLOOKUP(AU2005,INDEX((係数_乗用_ガソリン,係数_乗用_CNG,係数_乗用_軽油,係数_乗用_メタノール,係数_乗用_LPG),1,1,BE2005):INDEX((係数_乗用_ガソリン,係数_乗用_CNG,係数_乗用_軽油,係数_乗用_メタノール,係数_乗用_LPG),125,5,BE2005),3,FALSE))))))</f>
        <v/>
      </c>
      <c r="BC2005" s="467" t="str">
        <f t="shared" si="1166"/>
        <v/>
      </c>
      <c r="BD2005" s="567" t="str">
        <f t="shared" si="1167"/>
        <v/>
      </c>
      <c r="BE2005" s="467" t="str">
        <f t="shared" si="1168"/>
        <v/>
      </c>
      <c r="BF2005" s="469" t="str">
        <f t="shared" ca="1" si="1169"/>
        <v/>
      </c>
      <c r="BG2005" s="469" t="str">
        <f t="shared" ca="1" si="1170"/>
        <v/>
      </c>
      <c r="BH2005" s="467" t="str">
        <f t="shared" si="1171"/>
        <v/>
      </c>
      <c r="BI2005" s="467" t="str">
        <f t="shared" ca="1" si="1172"/>
        <v/>
      </c>
      <c r="BJ2005" s="469" t="str">
        <f t="shared" si="1173"/>
        <v/>
      </c>
      <c r="BK2005" s="470" t="str">
        <f t="shared" si="1157"/>
        <v/>
      </c>
      <c r="BL2005" s="775" t="str">
        <f t="shared" si="1174"/>
        <v/>
      </c>
      <c r="BM2005" s="775" t="str">
        <f t="shared" si="1175"/>
        <v/>
      </c>
    </row>
    <row r="2006" spans="1:65">
      <c r="A2006" s="473">
        <v>1950</v>
      </c>
      <c r="B2006" s="132"/>
      <c r="C2006" s="332"/>
      <c r="D2006" s="333"/>
      <c r="E2006" s="333"/>
      <c r="F2006" s="334"/>
      <c r="G2006" s="337"/>
      <c r="H2006" s="131"/>
      <c r="I2006" s="337"/>
      <c r="J2006" s="131"/>
      <c r="K2006" s="458" t="str">
        <f t="shared" si="1138"/>
        <v/>
      </c>
      <c r="L2006" s="458">
        <f t="shared" si="1139"/>
        <v>0</v>
      </c>
      <c r="M2006" s="458">
        <f t="shared" si="1140"/>
        <v>0</v>
      </c>
      <c r="N2006" s="459" t="str">
        <f t="shared" si="1151"/>
        <v/>
      </c>
      <c r="O2006" s="459" t="str">
        <f t="shared" si="1152"/>
        <v/>
      </c>
      <c r="P2006" s="459" t="str">
        <f t="shared" si="1153"/>
        <v/>
      </c>
      <c r="Q2006" s="459" t="str">
        <f t="shared" si="1154"/>
        <v/>
      </c>
      <c r="R2006" s="459" t="str">
        <f t="shared" si="1155"/>
        <v/>
      </c>
      <c r="S2006" s="459" t="str">
        <f t="shared" si="1156"/>
        <v/>
      </c>
      <c r="T2006" s="566" t="str">
        <f t="shared" si="1141"/>
        <v/>
      </c>
      <c r="U2006" s="702"/>
      <c r="V2006" s="132"/>
      <c r="W2006" s="133"/>
      <c r="X2006" s="134"/>
      <c r="Y2006" s="135"/>
      <c r="Z2006" s="137"/>
      <c r="AA2006" s="136"/>
      <c r="AB2006" s="566" t="str">
        <f t="shared" si="1142"/>
        <v/>
      </c>
      <c r="AC2006" s="568" t="str">
        <f t="shared" si="1143"/>
        <v/>
      </c>
      <c r="AD2006" s="137"/>
      <c r="AE2006" s="137"/>
      <c r="AF2006" s="138"/>
      <c r="AG2006" s="138"/>
      <c r="AH2006" s="592" t="str">
        <f t="shared" si="1144"/>
        <v/>
      </c>
      <c r="AI2006" s="592" t="str">
        <f t="shared" si="1145"/>
        <v/>
      </c>
      <c r="AJ2006" s="592" t="str">
        <f t="shared" si="1146"/>
        <v/>
      </c>
      <c r="AK2006" s="460" t="str">
        <f>IF(AU2006="","",IF(OR(AZ2006=8,AZ2006=9),0,IF(OR(AW2006=3,AW2006=4,AW2006=5,AW2006=6),IF(LEFT(BF2006,1)="1",INDEX(係数_NOX・PM低減,MATCH(AY2006,【参考】排出係数!$AI$801:$AI$804,1),1),VLOOKUP(AU2006,INDEX((係数_バス貨物_ガソリン,係数_バス貨物_CNG,係数_バス貨物_軽油,係数_バス貨物_メタノール,係数_バス貨物_LPG),MATCH(AY2006,【参考】排出係数!$AI$4:$AI$671,1),1,BE2006):INDEX((係数_バス貨物_ガソリン,係数_バス貨物_CNG,係数_バス貨物_軽油,係数_バス貨物_メタノール,係数_バス貨物_LPG),MATCH(AY2006+1,【参考】排出係数!$AI$4:$AI$671,1)-1,5,BE2006),4,FALSE)),IF(AND(BE2006=3,LEFT(BF2006,1)="1"),0.48,VLOOKUP(AU2006,INDEX((係数_乗用_ガソリン,係数_乗用_CNG,係数_乗用_軽油,係数_乗用_メタノール,係数_乗用_LPG),1,1,BE2006):INDEX((係数_乗用_ガソリン,係数_乗用_CNG,係数_乗用_軽油,係数_乗用_メタノール,係数_乗用_LPG),125,5,BE2006),4,FALSE)))))</f>
        <v/>
      </c>
      <c r="AL2006" s="461" t="str">
        <f t="shared" si="1147"/>
        <v/>
      </c>
      <c r="AM2006" s="460" t="str">
        <f>IF(AU2006="","",IF(OR(AZ2006=8,AZ2006=9),0,IF(OR(AW2006=3,AW2006=4,AW2006=5,AW2006=6),IF(LEFT(BH2006,1)="1",INDEX(係数_PM低減,MATCH(AY2006,【参考】排出係数!$AI$801:$AI$804,1),MATCH(BI2006,【参考】排出係数!$AL$798:$AO$798,1)),VLOOKUP(AU2006,INDEX((係数_バス貨物_ガソリン,係数_バス貨物_CNG,係数_バス貨物_軽油,係数_バス貨物_メタノール,係数_バス貨物_LPG),MATCH(AY2006,【参考】排出係数!$AI$4:$AI$671,1),1,BE2006):INDEX((係数_バス貨物_ガソリン,係数_バス貨物_CNG,係数_バス貨物_軽油,係数_バス貨物_メタノール,係数_バス貨物_LPG),MATCH(AY2006+1,【参考】排出係数!$AI$4:$AI$671,1)-1,5,BE2006),5,FALSE)),IF(AND(BE2006=3,LEFT(BF2006,1)="1"),0.055,VLOOKUP(AU2006,INDEX((係数_乗用_ガソリン,係数_乗用_CNG,係数_乗用_軽油,係数_乗用_メタノール,係数_乗用_LPG),1,1,BE2006):INDEX((係数_乗用_ガソリン,係数_乗用_CNG,係数_乗用_軽油,係数_乗用_メタノール,係数_乗用_LPG),125,5,BE2006),5,FALSE)))))</f>
        <v/>
      </c>
      <c r="AN2006" s="461" t="str">
        <f t="shared" si="1148"/>
        <v/>
      </c>
      <c r="AO2006" s="462" t="str">
        <f t="shared" si="1149"/>
        <v/>
      </c>
      <c r="AP2006" s="463" t="str">
        <f t="shared" si="1150"/>
        <v/>
      </c>
      <c r="AQ2006" s="464"/>
      <c r="AR2006" s="619"/>
      <c r="AS2006" s="465" t="str">
        <f t="shared" si="1158"/>
        <v/>
      </c>
      <c r="AT2006" s="465" t="str">
        <f t="shared" si="1159"/>
        <v/>
      </c>
      <c r="AU2006" s="466" t="str">
        <f t="shared" si="1160"/>
        <v/>
      </c>
      <c r="AV2006" s="467" t="str">
        <f t="shared" si="1161"/>
        <v/>
      </c>
      <c r="AW2006" s="467" t="str">
        <f t="shared" si="1162"/>
        <v/>
      </c>
      <c r="AX2006" s="467" t="str">
        <f t="shared" si="1163"/>
        <v/>
      </c>
      <c r="AY2006" s="467" t="str">
        <f t="shared" si="1164"/>
        <v/>
      </c>
      <c r="AZ2006" s="467" t="str">
        <f t="shared" si="1165"/>
        <v/>
      </c>
      <c r="BA2006" s="468" t="str">
        <f>IF(AS2006="","",IF(OR(AU2006="",AU2006="-"),"－",IF(OR(AZ2006=8,AZ2006=9),"",IF(OR(AW2006=3,AW2006=4,AW2006=5,AW2006=6),VLOOKUP(AU2006,INDEX((係数_バス貨物_ガソリン,係数_バス貨物_CNG,係数_バス貨物_軽油,係数_バス貨物_メタノール,係数_バス貨物_LPG),MATCH(AY2006,【参考】排出係数!$AI$4:$AI$671,1),1,BE2006):INDEX((係数_バス貨物_ガソリン,係数_バス貨物_CNG,係数_バス貨物_軽油,係数_バス貨物_メタノール,係数_バス貨物_LPG),MATCH(AY2006+1,【参考】排出係数!$AI$4:$AI$671,1)-1,5,BE2006),2,FALSE),IF(OR(AW2006=1,AW2006=2),VLOOKUP(AU2006,INDEX((係数_乗用_ガソリン,係数_乗用_CNG,係数_乗用_軽油,係数_乗用_メタノール,係数_乗用_LPG),1,1,BE2006):INDEX((係数_乗用_ガソリン,係数_乗用_CNG,係数_乗用_軽油,係数_乗用_メタノール,係数_乗用_LPG),125,5,BE2006),2,FALSE))))))</f>
        <v/>
      </c>
      <c r="BB2006" s="468" t="str">
        <f>IF(T2006="","",IF(OR(AU2006="",AU2006="-"),"－",IF(OR(AZ2006=8,AZ2006=9),"",IF(OR(AW2006=3,AW2006=4,AW2006=5,AW2006=6),VLOOKUP(AU2006,INDEX((係数_バス貨物_ガソリン,係数_バス貨物_CNG,係数_バス貨物_軽油,係数_バス貨物_メタノール,係数_バス貨物_LPG),MATCH(AY2006,【参考】排出係数!$AI$4:$AI$671,1),1,BE2006):INDEX((係数_バス貨物_ガソリン,係数_バス貨物_CNG,係数_バス貨物_軽油,係数_バス貨物_メタノール,係数_バス貨物_LPG),MATCH(AY2006+1,【参考】排出係数!$AI$4:$AI$671,1)-1,5,BE2006),3,FALSE),IF(OR(AW2006=1,AW2006=2),VLOOKUP(AU2006,INDEX((係数_乗用_ガソリン,係数_乗用_CNG,係数_乗用_軽油,係数_乗用_メタノール,係数_乗用_LPG),1,1,BE2006):INDEX((係数_乗用_ガソリン,係数_乗用_CNG,係数_乗用_軽油,係数_乗用_メタノール,係数_乗用_LPG),125,5,BE2006),3,FALSE))))))</f>
        <v/>
      </c>
      <c r="BC2006" s="467" t="str">
        <f t="shared" si="1166"/>
        <v/>
      </c>
      <c r="BD2006" s="567" t="str">
        <f t="shared" si="1167"/>
        <v/>
      </c>
      <c r="BE2006" s="467" t="str">
        <f t="shared" si="1168"/>
        <v/>
      </c>
      <c r="BF2006" s="469" t="str">
        <f t="shared" ca="1" si="1169"/>
        <v/>
      </c>
      <c r="BG2006" s="469" t="str">
        <f t="shared" ca="1" si="1170"/>
        <v/>
      </c>
      <c r="BH2006" s="467" t="str">
        <f t="shared" si="1171"/>
        <v/>
      </c>
      <c r="BI2006" s="467" t="str">
        <f t="shared" ca="1" si="1172"/>
        <v/>
      </c>
      <c r="BJ2006" s="469" t="str">
        <f t="shared" si="1173"/>
        <v/>
      </c>
      <c r="BK2006" s="470" t="str">
        <f t="shared" si="1157"/>
        <v/>
      </c>
      <c r="BL2006" s="775" t="str">
        <f t="shared" si="1174"/>
        <v/>
      </c>
      <c r="BM2006" s="775" t="str">
        <f t="shared" si="1175"/>
        <v/>
      </c>
    </row>
    <row r="2007" spans="1:65">
      <c r="A2007" s="473">
        <v>1951</v>
      </c>
      <c r="B2007" s="132"/>
      <c r="C2007" s="332"/>
      <c r="D2007" s="333"/>
      <c r="E2007" s="333"/>
      <c r="F2007" s="334"/>
      <c r="G2007" s="337"/>
      <c r="H2007" s="131"/>
      <c r="I2007" s="337"/>
      <c r="J2007" s="131"/>
      <c r="K2007" s="458" t="str">
        <f t="shared" si="1138"/>
        <v/>
      </c>
      <c r="L2007" s="458">
        <f t="shared" si="1139"/>
        <v>0</v>
      </c>
      <c r="M2007" s="458">
        <f t="shared" si="1140"/>
        <v>0</v>
      </c>
      <c r="N2007" s="459" t="str">
        <f t="shared" si="1151"/>
        <v/>
      </c>
      <c r="O2007" s="459" t="str">
        <f t="shared" si="1152"/>
        <v/>
      </c>
      <c r="P2007" s="459" t="str">
        <f t="shared" si="1153"/>
        <v/>
      </c>
      <c r="Q2007" s="459" t="str">
        <f t="shared" si="1154"/>
        <v/>
      </c>
      <c r="R2007" s="459" t="str">
        <f t="shared" si="1155"/>
        <v/>
      </c>
      <c r="S2007" s="459" t="str">
        <f t="shared" si="1156"/>
        <v/>
      </c>
      <c r="T2007" s="566" t="str">
        <f t="shared" si="1141"/>
        <v/>
      </c>
      <c r="U2007" s="702"/>
      <c r="V2007" s="132"/>
      <c r="W2007" s="133"/>
      <c r="X2007" s="134"/>
      <c r="Y2007" s="135"/>
      <c r="Z2007" s="137"/>
      <c r="AA2007" s="136"/>
      <c r="AB2007" s="566" t="str">
        <f t="shared" si="1142"/>
        <v/>
      </c>
      <c r="AC2007" s="568" t="str">
        <f t="shared" si="1143"/>
        <v/>
      </c>
      <c r="AD2007" s="137"/>
      <c r="AE2007" s="137"/>
      <c r="AF2007" s="138"/>
      <c r="AG2007" s="138"/>
      <c r="AH2007" s="592" t="str">
        <f t="shared" si="1144"/>
        <v/>
      </c>
      <c r="AI2007" s="592" t="str">
        <f t="shared" si="1145"/>
        <v/>
      </c>
      <c r="AJ2007" s="592" t="str">
        <f t="shared" si="1146"/>
        <v/>
      </c>
      <c r="AK2007" s="460" t="str">
        <f>IF(AU2007="","",IF(OR(AZ2007=8,AZ2007=9),0,IF(OR(AW2007=3,AW2007=4,AW2007=5,AW2007=6),IF(LEFT(BF2007,1)="1",INDEX(係数_NOX・PM低減,MATCH(AY2007,【参考】排出係数!$AI$801:$AI$804,1),1),VLOOKUP(AU2007,INDEX((係数_バス貨物_ガソリン,係数_バス貨物_CNG,係数_バス貨物_軽油,係数_バス貨物_メタノール,係数_バス貨物_LPG),MATCH(AY2007,【参考】排出係数!$AI$4:$AI$671,1),1,BE2007):INDEX((係数_バス貨物_ガソリン,係数_バス貨物_CNG,係数_バス貨物_軽油,係数_バス貨物_メタノール,係数_バス貨物_LPG),MATCH(AY2007+1,【参考】排出係数!$AI$4:$AI$671,1)-1,5,BE2007),4,FALSE)),IF(AND(BE2007=3,LEFT(BF2007,1)="1"),0.48,VLOOKUP(AU2007,INDEX((係数_乗用_ガソリン,係数_乗用_CNG,係数_乗用_軽油,係数_乗用_メタノール,係数_乗用_LPG),1,1,BE2007):INDEX((係数_乗用_ガソリン,係数_乗用_CNG,係数_乗用_軽油,係数_乗用_メタノール,係数_乗用_LPG),125,5,BE2007),4,FALSE)))))</f>
        <v/>
      </c>
      <c r="AL2007" s="461" t="str">
        <f t="shared" si="1147"/>
        <v/>
      </c>
      <c r="AM2007" s="460" t="str">
        <f>IF(AU2007="","",IF(OR(AZ2007=8,AZ2007=9),0,IF(OR(AW2007=3,AW2007=4,AW2007=5,AW2007=6),IF(LEFT(BH2007,1)="1",INDEX(係数_PM低減,MATCH(AY2007,【参考】排出係数!$AI$801:$AI$804,1),MATCH(BI2007,【参考】排出係数!$AL$798:$AO$798,1)),VLOOKUP(AU2007,INDEX((係数_バス貨物_ガソリン,係数_バス貨物_CNG,係数_バス貨物_軽油,係数_バス貨物_メタノール,係数_バス貨物_LPG),MATCH(AY2007,【参考】排出係数!$AI$4:$AI$671,1),1,BE2007):INDEX((係数_バス貨物_ガソリン,係数_バス貨物_CNG,係数_バス貨物_軽油,係数_バス貨物_メタノール,係数_バス貨物_LPG),MATCH(AY2007+1,【参考】排出係数!$AI$4:$AI$671,1)-1,5,BE2007),5,FALSE)),IF(AND(BE2007=3,LEFT(BF2007,1)="1"),0.055,VLOOKUP(AU2007,INDEX((係数_乗用_ガソリン,係数_乗用_CNG,係数_乗用_軽油,係数_乗用_メタノール,係数_乗用_LPG),1,1,BE2007):INDEX((係数_乗用_ガソリン,係数_乗用_CNG,係数_乗用_軽油,係数_乗用_メタノール,係数_乗用_LPG),125,5,BE2007),5,FALSE)))))</f>
        <v/>
      </c>
      <c r="AN2007" s="461" t="str">
        <f t="shared" si="1148"/>
        <v/>
      </c>
      <c r="AO2007" s="462" t="str">
        <f t="shared" si="1149"/>
        <v/>
      </c>
      <c r="AP2007" s="463" t="str">
        <f t="shared" si="1150"/>
        <v/>
      </c>
      <c r="AQ2007" s="464"/>
      <c r="AR2007" s="619"/>
      <c r="AS2007" s="465" t="str">
        <f t="shared" si="1158"/>
        <v/>
      </c>
      <c r="AT2007" s="465" t="str">
        <f t="shared" si="1159"/>
        <v/>
      </c>
      <c r="AU2007" s="466" t="str">
        <f t="shared" si="1160"/>
        <v/>
      </c>
      <c r="AV2007" s="467" t="str">
        <f t="shared" si="1161"/>
        <v/>
      </c>
      <c r="AW2007" s="467" t="str">
        <f t="shared" si="1162"/>
        <v/>
      </c>
      <c r="AX2007" s="467" t="str">
        <f t="shared" si="1163"/>
        <v/>
      </c>
      <c r="AY2007" s="467" t="str">
        <f t="shared" si="1164"/>
        <v/>
      </c>
      <c r="AZ2007" s="467" t="str">
        <f t="shared" si="1165"/>
        <v/>
      </c>
      <c r="BA2007" s="468" t="str">
        <f>IF(AS2007="","",IF(OR(AU2007="",AU2007="-"),"－",IF(OR(AZ2007=8,AZ2007=9),"",IF(OR(AW2007=3,AW2007=4,AW2007=5,AW2007=6),VLOOKUP(AU2007,INDEX((係数_バス貨物_ガソリン,係数_バス貨物_CNG,係数_バス貨物_軽油,係数_バス貨物_メタノール,係数_バス貨物_LPG),MATCH(AY2007,【参考】排出係数!$AI$4:$AI$671,1),1,BE2007):INDEX((係数_バス貨物_ガソリン,係数_バス貨物_CNG,係数_バス貨物_軽油,係数_バス貨物_メタノール,係数_バス貨物_LPG),MATCH(AY2007+1,【参考】排出係数!$AI$4:$AI$671,1)-1,5,BE2007),2,FALSE),IF(OR(AW2007=1,AW2007=2),VLOOKUP(AU2007,INDEX((係数_乗用_ガソリン,係数_乗用_CNG,係数_乗用_軽油,係数_乗用_メタノール,係数_乗用_LPG),1,1,BE2007):INDEX((係数_乗用_ガソリン,係数_乗用_CNG,係数_乗用_軽油,係数_乗用_メタノール,係数_乗用_LPG),125,5,BE2007),2,FALSE))))))</f>
        <v/>
      </c>
      <c r="BB2007" s="468" t="str">
        <f>IF(T2007="","",IF(OR(AU2007="",AU2007="-"),"－",IF(OR(AZ2007=8,AZ2007=9),"",IF(OR(AW2007=3,AW2007=4,AW2007=5,AW2007=6),VLOOKUP(AU2007,INDEX((係数_バス貨物_ガソリン,係数_バス貨物_CNG,係数_バス貨物_軽油,係数_バス貨物_メタノール,係数_バス貨物_LPG),MATCH(AY2007,【参考】排出係数!$AI$4:$AI$671,1),1,BE2007):INDEX((係数_バス貨物_ガソリン,係数_バス貨物_CNG,係数_バス貨物_軽油,係数_バス貨物_メタノール,係数_バス貨物_LPG),MATCH(AY2007+1,【参考】排出係数!$AI$4:$AI$671,1)-1,5,BE2007),3,FALSE),IF(OR(AW2007=1,AW2007=2),VLOOKUP(AU2007,INDEX((係数_乗用_ガソリン,係数_乗用_CNG,係数_乗用_軽油,係数_乗用_メタノール,係数_乗用_LPG),1,1,BE2007):INDEX((係数_乗用_ガソリン,係数_乗用_CNG,係数_乗用_軽油,係数_乗用_メタノール,係数_乗用_LPG),125,5,BE2007),3,FALSE))))))</f>
        <v/>
      </c>
      <c r="BC2007" s="467" t="str">
        <f t="shared" si="1166"/>
        <v/>
      </c>
      <c r="BD2007" s="567" t="str">
        <f t="shared" si="1167"/>
        <v/>
      </c>
      <c r="BE2007" s="467" t="str">
        <f t="shared" si="1168"/>
        <v/>
      </c>
      <c r="BF2007" s="469" t="str">
        <f t="shared" ca="1" si="1169"/>
        <v/>
      </c>
      <c r="BG2007" s="469" t="str">
        <f t="shared" ca="1" si="1170"/>
        <v/>
      </c>
      <c r="BH2007" s="467" t="str">
        <f t="shared" si="1171"/>
        <v/>
      </c>
      <c r="BI2007" s="467" t="str">
        <f t="shared" ca="1" si="1172"/>
        <v/>
      </c>
      <c r="BJ2007" s="469" t="str">
        <f t="shared" si="1173"/>
        <v/>
      </c>
      <c r="BK2007" s="470" t="str">
        <f t="shared" si="1157"/>
        <v/>
      </c>
      <c r="BL2007" s="775" t="str">
        <f t="shared" si="1174"/>
        <v/>
      </c>
      <c r="BM2007" s="775" t="str">
        <f t="shared" si="1175"/>
        <v/>
      </c>
    </row>
    <row r="2008" spans="1:65">
      <c r="A2008" s="473">
        <v>1952</v>
      </c>
      <c r="B2008" s="132"/>
      <c r="C2008" s="332"/>
      <c r="D2008" s="333"/>
      <c r="E2008" s="333"/>
      <c r="F2008" s="334"/>
      <c r="G2008" s="337"/>
      <c r="H2008" s="131"/>
      <c r="I2008" s="337"/>
      <c r="J2008" s="131"/>
      <c r="K2008" s="458" t="str">
        <f t="shared" si="1138"/>
        <v/>
      </c>
      <c r="L2008" s="458">
        <f t="shared" si="1139"/>
        <v>0</v>
      </c>
      <c r="M2008" s="458">
        <f t="shared" si="1140"/>
        <v>0</v>
      </c>
      <c r="N2008" s="459" t="str">
        <f t="shared" si="1151"/>
        <v/>
      </c>
      <c r="O2008" s="459" t="str">
        <f t="shared" si="1152"/>
        <v/>
      </c>
      <c r="P2008" s="459" t="str">
        <f t="shared" si="1153"/>
        <v/>
      </c>
      <c r="Q2008" s="459" t="str">
        <f t="shared" si="1154"/>
        <v/>
      </c>
      <c r="R2008" s="459" t="str">
        <f t="shared" si="1155"/>
        <v/>
      </c>
      <c r="S2008" s="459" t="str">
        <f t="shared" si="1156"/>
        <v/>
      </c>
      <c r="T2008" s="566" t="str">
        <f t="shared" si="1141"/>
        <v/>
      </c>
      <c r="U2008" s="702"/>
      <c r="V2008" s="132"/>
      <c r="W2008" s="133"/>
      <c r="X2008" s="134"/>
      <c r="Y2008" s="135"/>
      <c r="Z2008" s="137"/>
      <c r="AA2008" s="136"/>
      <c r="AB2008" s="566" t="str">
        <f t="shared" si="1142"/>
        <v/>
      </c>
      <c r="AC2008" s="568" t="str">
        <f t="shared" si="1143"/>
        <v/>
      </c>
      <c r="AD2008" s="137"/>
      <c r="AE2008" s="137"/>
      <c r="AF2008" s="138"/>
      <c r="AG2008" s="138"/>
      <c r="AH2008" s="592" t="str">
        <f t="shared" si="1144"/>
        <v/>
      </c>
      <c r="AI2008" s="592" t="str">
        <f t="shared" si="1145"/>
        <v/>
      </c>
      <c r="AJ2008" s="592" t="str">
        <f t="shared" si="1146"/>
        <v/>
      </c>
      <c r="AK2008" s="460" t="str">
        <f>IF(AU2008="","",IF(OR(AZ2008=8,AZ2008=9),0,IF(OR(AW2008=3,AW2008=4,AW2008=5,AW2008=6),IF(LEFT(BF2008,1)="1",INDEX(係数_NOX・PM低減,MATCH(AY2008,【参考】排出係数!$AI$801:$AI$804,1),1),VLOOKUP(AU2008,INDEX((係数_バス貨物_ガソリン,係数_バス貨物_CNG,係数_バス貨物_軽油,係数_バス貨物_メタノール,係数_バス貨物_LPG),MATCH(AY2008,【参考】排出係数!$AI$4:$AI$671,1),1,BE2008):INDEX((係数_バス貨物_ガソリン,係数_バス貨物_CNG,係数_バス貨物_軽油,係数_バス貨物_メタノール,係数_バス貨物_LPG),MATCH(AY2008+1,【参考】排出係数!$AI$4:$AI$671,1)-1,5,BE2008),4,FALSE)),IF(AND(BE2008=3,LEFT(BF2008,1)="1"),0.48,VLOOKUP(AU2008,INDEX((係数_乗用_ガソリン,係数_乗用_CNG,係数_乗用_軽油,係数_乗用_メタノール,係数_乗用_LPG),1,1,BE2008):INDEX((係数_乗用_ガソリン,係数_乗用_CNG,係数_乗用_軽油,係数_乗用_メタノール,係数_乗用_LPG),125,5,BE2008),4,FALSE)))))</f>
        <v/>
      </c>
      <c r="AL2008" s="461" t="str">
        <f t="shared" si="1147"/>
        <v/>
      </c>
      <c r="AM2008" s="460" t="str">
        <f>IF(AU2008="","",IF(OR(AZ2008=8,AZ2008=9),0,IF(OR(AW2008=3,AW2008=4,AW2008=5,AW2008=6),IF(LEFT(BH2008,1)="1",INDEX(係数_PM低減,MATCH(AY2008,【参考】排出係数!$AI$801:$AI$804,1),MATCH(BI2008,【参考】排出係数!$AL$798:$AO$798,1)),VLOOKUP(AU2008,INDEX((係数_バス貨物_ガソリン,係数_バス貨物_CNG,係数_バス貨物_軽油,係数_バス貨物_メタノール,係数_バス貨物_LPG),MATCH(AY2008,【参考】排出係数!$AI$4:$AI$671,1),1,BE2008):INDEX((係数_バス貨物_ガソリン,係数_バス貨物_CNG,係数_バス貨物_軽油,係数_バス貨物_メタノール,係数_バス貨物_LPG),MATCH(AY2008+1,【参考】排出係数!$AI$4:$AI$671,1)-1,5,BE2008),5,FALSE)),IF(AND(BE2008=3,LEFT(BF2008,1)="1"),0.055,VLOOKUP(AU2008,INDEX((係数_乗用_ガソリン,係数_乗用_CNG,係数_乗用_軽油,係数_乗用_メタノール,係数_乗用_LPG),1,1,BE2008):INDEX((係数_乗用_ガソリン,係数_乗用_CNG,係数_乗用_軽油,係数_乗用_メタノール,係数_乗用_LPG),125,5,BE2008),5,FALSE)))))</f>
        <v/>
      </c>
      <c r="AN2008" s="461" t="str">
        <f t="shared" si="1148"/>
        <v/>
      </c>
      <c r="AO2008" s="462" t="str">
        <f t="shared" si="1149"/>
        <v/>
      </c>
      <c r="AP2008" s="463" t="str">
        <f t="shared" si="1150"/>
        <v/>
      </c>
      <c r="AQ2008" s="464"/>
      <c r="AR2008" s="619"/>
      <c r="AS2008" s="465" t="str">
        <f t="shared" si="1158"/>
        <v/>
      </c>
      <c r="AT2008" s="465" t="str">
        <f t="shared" si="1159"/>
        <v/>
      </c>
      <c r="AU2008" s="466" t="str">
        <f t="shared" si="1160"/>
        <v/>
      </c>
      <c r="AV2008" s="467" t="str">
        <f t="shared" si="1161"/>
        <v/>
      </c>
      <c r="AW2008" s="467" t="str">
        <f t="shared" si="1162"/>
        <v/>
      </c>
      <c r="AX2008" s="467" t="str">
        <f t="shared" si="1163"/>
        <v/>
      </c>
      <c r="AY2008" s="467" t="str">
        <f t="shared" si="1164"/>
        <v/>
      </c>
      <c r="AZ2008" s="467" t="str">
        <f t="shared" si="1165"/>
        <v/>
      </c>
      <c r="BA2008" s="468" t="str">
        <f>IF(AS2008="","",IF(OR(AU2008="",AU2008="-"),"－",IF(OR(AZ2008=8,AZ2008=9),"",IF(OR(AW2008=3,AW2008=4,AW2008=5,AW2008=6),VLOOKUP(AU2008,INDEX((係数_バス貨物_ガソリン,係数_バス貨物_CNG,係数_バス貨物_軽油,係数_バス貨物_メタノール,係数_バス貨物_LPG),MATCH(AY2008,【参考】排出係数!$AI$4:$AI$671,1),1,BE2008):INDEX((係数_バス貨物_ガソリン,係数_バス貨物_CNG,係数_バス貨物_軽油,係数_バス貨物_メタノール,係数_バス貨物_LPG),MATCH(AY2008+1,【参考】排出係数!$AI$4:$AI$671,1)-1,5,BE2008),2,FALSE),IF(OR(AW2008=1,AW2008=2),VLOOKUP(AU2008,INDEX((係数_乗用_ガソリン,係数_乗用_CNG,係数_乗用_軽油,係数_乗用_メタノール,係数_乗用_LPG),1,1,BE2008):INDEX((係数_乗用_ガソリン,係数_乗用_CNG,係数_乗用_軽油,係数_乗用_メタノール,係数_乗用_LPG),125,5,BE2008),2,FALSE))))))</f>
        <v/>
      </c>
      <c r="BB2008" s="468" t="str">
        <f>IF(T2008="","",IF(OR(AU2008="",AU2008="-"),"－",IF(OR(AZ2008=8,AZ2008=9),"",IF(OR(AW2008=3,AW2008=4,AW2008=5,AW2008=6),VLOOKUP(AU2008,INDEX((係数_バス貨物_ガソリン,係数_バス貨物_CNG,係数_バス貨物_軽油,係数_バス貨物_メタノール,係数_バス貨物_LPG),MATCH(AY2008,【参考】排出係数!$AI$4:$AI$671,1),1,BE2008):INDEX((係数_バス貨物_ガソリン,係数_バス貨物_CNG,係数_バス貨物_軽油,係数_バス貨物_メタノール,係数_バス貨物_LPG),MATCH(AY2008+1,【参考】排出係数!$AI$4:$AI$671,1)-1,5,BE2008),3,FALSE),IF(OR(AW2008=1,AW2008=2),VLOOKUP(AU2008,INDEX((係数_乗用_ガソリン,係数_乗用_CNG,係数_乗用_軽油,係数_乗用_メタノール,係数_乗用_LPG),1,1,BE2008):INDEX((係数_乗用_ガソリン,係数_乗用_CNG,係数_乗用_軽油,係数_乗用_メタノール,係数_乗用_LPG),125,5,BE2008),3,FALSE))))))</f>
        <v/>
      </c>
      <c r="BC2008" s="467" t="str">
        <f t="shared" si="1166"/>
        <v/>
      </c>
      <c r="BD2008" s="567" t="str">
        <f t="shared" si="1167"/>
        <v/>
      </c>
      <c r="BE2008" s="467" t="str">
        <f t="shared" si="1168"/>
        <v/>
      </c>
      <c r="BF2008" s="469" t="str">
        <f t="shared" ca="1" si="1169"/>
        <v/>
      </c>
      <c r="BG2008" s="469" t="str">
        <f t="shared" ca="1" si="1170"/>
        <v/>
      </c>
      <c r="BH2008" s="467" t="str">
        <f t="shared" si="1171"/>
        <v/>
      </c>
      <c r="BI2008" s="467" t="str">
        <f t="shared" ca="1" si="1172"/>
        <v/>
      </c>
      <c r="BJ2008" s="469" t="str">
        <f t="shared" si="1173"/>
        <v/>
      </c>
      <c r="BK2008" s="470" t="str">
        <f t="shared" si="1157"/>
        <v/>
      </c>
      <c r="BL2008" s="775" t="str">
        <f t="shared" si="1174"/>
        <v/>
      </c>
      <c r="BM2008" s="775" t="str">
        <f t="shared" si="1175"/>
        <v/>
      </c>
    </row>
    <row r="2009" spans="1:65">
      <c r="A2009" s="473">
        <v>1953</v>
      </c>
      <c r="B2009" s="132"/>
      <c r="C2009" s="332"/>
      <c r="D2009" s="333"/>
      <c r="E2009" s="333"/>
      <c r="F2009" s="334"/>
      <c r="G2009" s="337"/>
      <c r="H2009" s="131"/>
      <c r="I2009" s="337"/>
      <c r="J2009" s="131"/>
      <c r="K2009" s="458" t="str">
        <f t="shared" si="1138"/>
        <v/>
      </c>
      <c r="L2009" s="458">
        <f t="shared" si="1139"/>
        <v>0</v>
      </c>
      <c r="M2009" s="458">
        <f t="shared" si="1140"/>
        <v>0</v>
      </c>
      <c r="N2009" s="459" t="str">
        <f t="shared" si="1151"/>
        <v/>
      </c>
      <c r="O2009" s="459" t="str">
        <f t="shared" si="1152"/>
        <v/>
      </c>
      <c r="P2009" s="459" t="str">
        <f t="shared" si="1153"/>
        <v/>
      </c>
      <c r="Q2009" s="459" t="str">
        <f t="shared" si="1154"/>
        <v/>
      </c>
      <c r="R2009" s="459" t="str">
        <f t="shared" si="1155"/>
        <v/>
      </c>
      <c r="S2009" s="459" t="str">
        <f t="shared" si="1156"/>
        <v/>
      </c>
      <c r="T2009" s="566" t="str">
        <f t="shared" si="1141"/>
        <v/>
      </c>
      <c r="U2009" s="702"/>
      <c r="V2009" s="132"/>
      <c r="W2009" s="133"/>
      <c r="X2009" s="134"/>
      <c r="Y2009" s="135"/>
      <c r="Z2009" s="137"/>
      <c r="AA2009" s="136"/>
      <c r="AB2009" s="566" t="str">
        <f t="shared" si="1142"/>
        <v/>
      </c>
      <c r="AC2009" s="568" t="str">
        <f t="shared" si="1143"/>
        <v/>
      </c>
      <c r="AD2009" s="137"/>
      <c r="AE2009" s="137"/>
      <c r="AF2009" s="138"/>
      <c r="AG2009" s="138"/>
      <c r="AH2009" s="592" t="str">
        <f t="shared" si="1144"/>
        <v/>
      </c>
      <c r="AI2009" s="592" t="str">
        <f t="shared" si="1145"/>
        <v/>
      </c>
      <c r="AJ2009" s="592" t="str">
        <f t="shared" si="1146"/>
        <v/>
      </c>
      <c r="AK2009" s="460" t="str">
        <f>IF(AU2009="","",IF(OR(AZ2009=8,AZ2009=9),0,IF(OR(AW2009=3,AW2009=4,AW2009=5,AW2009=6),IF(LEFT(BF2009,1)="1",INDEX(係数_NOX・PM低減,MATCH(AY2009,【参考】排出係数!$AI$801:$AI$804,1),1),VLOOKUP(AU2009,INDEX((係数_バス貨物_ガソリン,係数_バス貨物_CNG,係数_バス貨物_軽油,係数_バス貨物_メタノール,係数_バス貨物_LPG),MATCH(AY2009,【参考】排出係数!$AI$4:$AI$671,1),1,BE2009):INDEX((係数_バス貨物_ガソリン,係数_バス貨物_CNG,係数_バス貨物_軽油,係数_バス貨物_メタノール,係数_バス貨物_LPG),MATCH(AY2009+1,【参考】排出係数!$AI$4:$AI$671,1)-1,5,BE2009),4,FALSE)),IF(AND(BE2009=3,LEFT(BF2009,1)="1"),0.48,VLOOKUP(AU2009,INDEX((係数_乗用_ガソリン,係数_乗用_CNG,係数_乗用_軽油,係数_乗用_メタノール,係数_乗用_LPG),1,1,BE2009):INDEX((係数_乗用_ガソリン,係数_乗用_CNG,係数_乗用_軽油,係数_乗用_メタノール,係数_乗用_LPG),125,5,BE2009),4,FALSE)))))</f>
        <v/>
      </c>
      <c r="AL2009" s="461" t="str">
        <f t="shared" si="1147"/>
        <v/>
      </c>
      <c r="AM2009" s="460" t="str">
        <f>IF(AU2009="","",IF(OR(AZ2009=8,AZ2009=9),0,IF(OR(AW2009=3,AW2009=4,AW2009=5,AW2009=6),IF(LEFT(BH2009,1)="1",INDEX(係数_PM低減,MATCH(AY2009,【参考】排出係数!$AI$801:$AI$804,1),MATCH(BI2009,【参考】排出係数!$AL$798:$AO$798,1)),VLOOKUP(AU2009,INDEX((係数_バス貨物_ガソリン,係数_バス貨物_CNG,係数_バス貨物_軽油,係数_バス貨物_メタノール,係数_バス貨物_LPG),MATCH(AY2009,【参考】排出係数!$AI$4:$AI$671,1),1,BE2009):INDEX((係数_バス貨物_ガソリン,係数_バス貨物_CNG,係数_バス貨物_軽油,係数_バス貨物_メタノール,係数_バス貨物_LPG),MATCH(AY2009+1,【参考】排出係数!$AI$4:$AI$671,1)-1,5,BE2009),5,FALSE)),IF(AND(BE2009=3,LEFT(BF2009,1)="1"),0.055,VLOOKUP(AU2009,INDEX((係数_乗用_ガソリン,係数_乗用_CNG,係数_乗用_軽油,係数_乗用_メタノール,係数_乗用_LPG),1,1,BE2009):INDEX((係数_乗用_ガソリン,係数_乗用_CNG,係数_乗用_軽油,係数_乗用_メタノール,係数_乗用_LPG),125,5,BE2009),5,FALSE)))))</f>
        <v/>
      </c>
      <c r="AN2009" s="461" t="str">
        <f t="shared" si="1148"/>
        <v/>
      </c>
      <c r="AO2009" s="462" t="str">
        <f t="shared" si="1149"/>
        <v/>
      </c>
      <c r="AP2009" s="463" t="str">
        <f t="shared" si="1150"/>
        <v/>
      </c>
      <c r="AQ2009" s="464"/>
      <c r="AR2009" s="619"/>
      <c r="AS2009" s="465" t="str">
        <f t="shared" si="1158"/>
        <v/>
      </c>
      <c r="AT2009" s="465" t="str">
        <f t="shared" si="1159"/>
        <v/>
      </c>
      <c r="AU2009" s="466" t="str">
        <f t="shared" si="1160"/>
        <v/>
      </c>
      <c r="AV2009" s="467" t="str">
        <f t="shared" si="1161"/>
        <v/>
      </c>
      <c r="AW2009" s="467" t="str">
        <f t="shared" si="1162"/>
        <v/>
      </c>
      <c r="AX2009" s="467" t="str">
        <f t="shared" si="1163"/>
        <v/>
      </c>
      <c r="AY2009" s="467" t="str">
        <f t="shared" si="1164"/>
        <v/>
      </c>
      <c r="AZ2009" s="467" t="str">
        <f t="shared" si="1165"/>
        <v/>
      </c>
      <c r="BA2009" s="468" t="str">
        <f>IF(AS2009="","",IF(OR(AU2009="",AU2009="-"),"－",IF(OR(AZ2009=8,AZ2009=9),"",IF(OR(AW2009=3,AW2009=4,AW2009=5,AW2009=6),VLOOKUP(AU2009,INDEX((係数_バス貨物_ガソリン,係数_バス貨物_CNG,係数_バス貨物_軽油,係数_バス貨物_メタノール,係数_バス貨物_LPG),MATCH(AY2009,【参考】排出係数!$AI$4:$AI$671,1),1,BE2009):INDEX((係数_バス貨物_ガソリン,係数_バス貨物_CNG,係数_バス貨物_軽油,係数_バス貨物_メタノール,係数_バス貨物_LPG),MATCH(AY2009+1,【参考】排出係数!$AI$4:$AI$671,1)-1,5,BE2009),2,FALSE),IF(OR(AW2009=1,AW2009=2),VLOOKUP(AU2009,INDEX((係数_乗用_ガソリン,係数_乗用_CNG,係数_乗用_軽油,係数_乗用_メタノール,係数_乗用_LPG),1,1,BE2009):INDEX((係数_乗用_ガソリン,係数_乗用_CNG,係数_乗用_軽油,係数_乗用_メタノール,係数_乗用_LPG),125,5,BE2009),2,FALSE))))))</f>
        <v/>
      </c>
      <c r="BB2009" s="468" t="str">
        <f>IF(T2009="","",IF(OR(AU2009="",AU2009="-"),"－",IF(OR(AZ2009=8,AZ2009=9),"",IF(OR(AW2009=3,AW2009=4,AW2009=5,AW2009=6),VLOOKUP(AU2009,INDEX((係数_バス貨物_ガソリン,係数_バス貨物_CNG,係数_バス貨物_軽油,係数_バス貨物_メタノール,係数_バス貨物_LPG),MATCH(AY2009,【参考】排出係数!$AI$4:$AI$671,1),1,BE2009):INDEX((係数_バス貨物_ガソリン,係数_バス貨物_CNG,係数_バス貨物_軽油,係数_バス貨物_メタノール,係数_バス貨物_LPG),MATCH(AY2009+1,【参考】排出係数!$AI$4:$AI$671,1)-1,5,BE2009),3,FALSE),IF(OR(AW2009=1,AW2009=2),VLOOKUP(AU2009,INDEX((係数_乗用_ガソリン,係数_乗用_CNG,係数_乗用_軽油,係数_乗用_メタノール,係数_乗用_LPG),1,1,BE2009):INDEX((係数_乗用_ガソリン,係数_乗用_CNG,係数_乗用_軽油,係数_乗用_メタノール,係数_乗用_LPG),125,5,BE2009),3,FALSE))))))</f>
        <v/>
      </c>
      <c r="BC2009" s="467" t="str">
        <f t="shared" si="1166"/>
        <v/>
      </c>
      <c r="BD2009" s="567" t="str">
        <f t="shared" si="1167"/>
        <v/>
      </c>
      <c r="BE2009" s="467" t="str">
        <f t="shared" si="1168"/>
        <v/>
      </c>
      <c r="BF2009" s="469" t="str">
        <f t="shared" ca="1" si="1169"/>
        <v/>
      </c>
      <c r="BG2009" s="469" t="str">
        <f t="shared" ca="1" si="1170"/>
        <v/>
      </c>
      <c r="BH2009" s="467" t="str">
        <f t="shared" si="1171"/>
        <v/>
      </c>
      <c r="BI2009" s="467" t="str">
        <f t="shared" ca="1" si="1172"/>
        <v/>
      </c>
      <c r="BJ2009" s="469" t="str">
        <f t="shared" si="1173"/>
        <v/>
      </c>
      <c r="BK2009" s="470" t="str">
        <f t="shared" si="1157"/>
        <v/>
      </c>
      <c r="BL2009" s="775" t="str">
        <f t="shared" si="1174"/>
        <v/>
      </c>
      <c r="BM2009" s="775" t="str">
        <f t="shared" si="1175"/>
        <v/>
      </c>
    </row>
    <row r="2010" spans="1:65">
      <c r="A2010" s="473">
        <v>1954</v>
      </c>
      <c r="B2010" s="132"/>
      <c r="C2010" s="332"/>
      <c r="D2010" s="333"/>
      <c r="E2010" s="333"/>
      <c r="F2010" s="334"/>
      <c r="G2010" s="337"/>
      <c r="H2010" s="131"/>
      <c r="I2010" s="337"/>
      <c r="J2010" s="131"/>
      <c r="K2010" s="458" t="str">
        <f t="shared" si="1138"/>
        <v/>
      </c>
      <c r="L2010" s="458">
        <f t="shared" si="1139"/>
        <v>0</v>
      </c>
      <c r="M2010" s="458">
        <f t="shared" si="1140"/>
        <v>0</v>
      </c>
      <c r="N2010" s="459" t="str">
        <f t="shared" si="1151"/>
        <v/>
      </c>
      <c r="O2010" s="459" t="str">
        <f t="shared" si="1152"/>
        <v/>
      </c>
      <c r="P2010" s="459" t="str">
        <f t="shared" si="1153"/>
        <v/>
      </c>
      <c r="Q2010" s="459" t="str">
        <f t="shared" si="1154"/>
        <v/>
      </c>
      <c r="R2010" s="459" t="str">
        <f t="shared" si="1155"/>
        <v/>
      </c>
      <c r="S2010" s="459" t="str">
        <f t="shared" si="1156"/>
        <v/>
      </c>
      <c r="T2010" s="566" t="str">
        <f t="shared" si="1141"/>
        <v/>
      </c>
      <c r="U2010" s="702"/>
      <c r="V2010" s="132"/>
      <c r="W2010" s="133"/>
      <c r="X2010" s="134"/>
      <c r="Y2010" s="135"/>
      <c r="Z2010" s="137"/>
      <c r="AA2010" s="136"/>
      <c r="AB2010" s="566" t="str">
        <f t="shared" si="1142"/>
        <v/>
      </c>
      <c r="AC2010" s="568" t="str">
        <f t="shared" si="1143"/>
        <v/>
      </c>
      <c r="AD2010" s="137"/>
      <c r="AE2010" s="137"/>
      <c r="AF2010" s="138"/>
      <c r="AG2010" s="138"/>
      <c r="AH2010" s="592" t="str">
        <f t="shared" si="1144"/>
        <v/>
      </c>
      <c r="AI2010" s="592" t="str">
        <f t="shared" si="1145"/>
        <v/>
      </c>
      <c r="AJ2010" s="592" t="str">
        <f t="shared" si="1146"/>
        <v/>
      </c>
      <c r="AK2010" s="460" t="str">
        <f>IF(AU2010="","",IF(OR(AZ2010=8,AZ2010=9),0,IF(OR(AW2010=3,AW2010=4,AW2010=5,AW2010=6),IF(LEFT(BF2010,1)="1",INDEX(係数_NOX・PM低減,MATCH(AY2010,【参考】排出係数!$AI$801:$AI$804,1),1),VLOOKUP(AU2010,INDEX((係数_バス貨物_ガソリン,係数_バス貨物_CNG,係数_バス貨物_軽油,係数_バス貨物_メタノール,係数_バス貨物_LPG),MATCH(AY2010,【参考】排出係数!$AI$4:$AI$671,1),1,BE2010):INDEX((係数_バス貨物_ガソリン,係数_バス貨物_CNG,係数_バス貨物_軽油,係数_バス貨物_メタノール,係数_バス貨物_LPG),MATCH(AY2010+1,【参考】排出係数!$AI$4:$AI$671,1)-1,5,BE2010),4,FALSE)),IF(AND(BE2010=3,LEFT(BF2010,1)="1"),0.48,VLOOKUP(AU2010,INDEX((係数_乗用_ガソリン,係数_乗用_CNG,係数_乗用_軽油,係数_乗用_メタノール,係数_乗用_LPG),1,1,BE2010):INDEX((係数_乗用_ガソリン,係数_乗用_CNG,係数_乗用_軽油,係数_乗用_メタノール,係数_乗用_LPG),125,5,BE2010),4,FALSE)))))</f>
        <v/>
      </c>
      <c r="AL2010" s="461" t="str">
        <f t="shared" si="1147"/>
        <v/>
      </c>
      <c r="AM2010" s="460" t="str">
        <f>IF(AU2010="","",IF(OR(AZ2010=8,AZ2010=9),0,IF(OR(AW2010=3,AW2010=4,AW2010=5,AW2010=6),IF(LEFT(BH2010,1)="1",INDEX(係数_PM低減,MATCH(AY2010,【参考】排出係数!$AI$801:$AI$804,1),MATCH(BI2010,【参考】排出係数!$AL$798:$AO$798,1)),VLOOKUP(AU2010,INDEX((係数_バス貨物_ガソリン,係数_バス貨物_CNG,係数_バス貨物_軽油,係数_バス貨物_メタノール,係数_バス貨物_LPG),MATCH(AY2010,【参考】排出係数!$AI$4:$AI$671,1),1,BE2010):INDEX((係数_バス貨物_ガソリン,係数_バス貨物_CNG,係数_バス貨物_軽油,係数_バス貨物_メタノール,係数_バス貨物_LPG),MATCH(AY2010+1,【参考】排出係数!$AI$4:$AI$671,1)-1,5,BE2010),5,FALSE)),IF(AND(BE2010=3,LEFT(BF2010,1)="1"),0.055,VLOOKUP(AU2010,INDEX((係数_乗用_ガソリン,係数_乗用_CNG,係数_乗用_軽油,係数_乗用_メタノール,係数_乗用_LPG),1,1,BE2010):INDEX((係数_乗用_ガソリン,係数_乗用_CNG,係数_乗用_軽油,係数_乗用_メタノール,係数_乗用_LPG),125,5,BE2010),5,FALSE)))))</f>
        <v/>
      </c>
      <c r="AN2010" s="461" t="str">
        <f t="shared" si="1148"/>
        <v/>
      </c>
      <c r="AO2010" s="462" t="str">
        <f t="shared" si="1149"/>
        <v/>
      </c>
      <c r="AP2010" s="463" t="str">
        <f t="shared" si="1150"/>
        <v/>
      </c>
      <c r="AQ2010" s="464"/>
      <c r="AR2010" s="619"/>
      <c r="AS2010" s="465" t="str">
        <f t="shared" si="1158"/>
        <v/>
      </c>
      <c r="AT2010" s="465" t="str">
        <f t="shared" si="1159"/>
        <v/>
      </c>
      <c r="AU2010" s="466" t="str">
        <f t="shared" si="1160"/>
        <v/>
      </c>
      <c r="AV2010" s="467" t="str">
        <f t="shared" si="1161"/>
        <v/>
      </c>
      <c r="AW2010" s="467" t="str">
        <f t="shared" si="1162"/>
        <v/>
      </c>
      <c r="AX2010" s="467" t="str">
        <f t="shared" si="1163"/>
        <v/>
      </c>
      <c r="AY2010" s="467" t="str">
        <f t="shared" si="1164"/>
        <v/>
      </c>
      <c r="AZ2010" s="467" t="str">
        <f t="shared" si="1165"/>
        <v/>
      </c>
      <c r="BA2010" s="468" t="str">
        <f>IF(AS2010="","",IF(OR(AU2010="",AU2010="-"),"－",IF(OR(AZ2010=8,AZ2010=9),"",IF(OR(AW2010=3,AW2010=4,AW2010=5,AW2010=6),VLOOKUP(AU2010,INDEX((係数_バス貨物_ガソリン,係数_バス貨物_CNG,係数_バス貨物_軽油,係数_バス貨物_メタノール,係数_バス貨物_LPG),MATCH(AY2010,【参考】排出係数!$AI$4:$AI$671,1),1,BE2010):INDEX((係数_バス貨物_ガソリン,係数_バス貨物_CNG,係数_バス貨物_軽油,係数_バス貨物_メタノール,係数_バス貨物_LPG),MATCH(AY2010+1,【参考】排出係数!$AI$4:$AI$671,1)-1,5,BE2010),2,FALSE),IF(OR(AW2010=1,AW2010=2),VLOOKUP(AU2010,INDEX((係数_乗用_ガソリン,係数_乗用_CNG,係数_乗用_軽油,係数_乗用_メタノール,係数_乗用_LPG),1,1,BE2010):INDEX((係数_乗用_ガソリン,係数_乗用_CNG,係数_乗用_軽油,係数_乗用_メタノール,係数_乗用_LPG),125,5,BE2010),2,FALSE))))))</f>
        <v/>
      </c>
      <c r="BB2010" s="468" t="str">
        <f>IF(T2010="","",IF(OR(AU2010="",AU2010="-"),"－",IF(OR(AZ2010=8,AZ2010=9),"",IF(OR(AW2010=3,AW2010=4,AW2010=5,AW2010=6),VLOOKUP(AU2010,INDEX((係数_バス貨物_ガソリン,係数_バス貨物_CNG,係数_バス貨物_軽油,係数_バス貨物_メタノール,係数_バス貨物_LPG),MATCH(AY2010,【参考】排出係数!$AI$4:$AI$671,1),1,BE2010):INDEX((係数_バス貨物_ガソリン,係数_バス貨物_CNG,係数_バス貨物_軽油,係数_バス貨物_メタノール,係数_バス貨物_LPG),MATCH(AY2010+1,【参考】排出係数!$AI$4:$AI$671,1)-1,5,BE2010),3,FALSE),IF(OR(AW2010=1,AW2010=2),VLOOKUP(AU2010,INDEX((係数_乗用_ガソリン,係数_乗用_CNG,係数_乗用_軽油,係数_乗用_メタノール,係数_乗用_LPG),1,1,BE2010):INDEX((係数_乗用_ガソリン,係数_乗用_CNG,係数_乗用_軽油,係数_乗用_メタノール,係数_乗用_LPG),125,5,BE2010),3,FALSE))))))</f>
        <v/>
      </c>
      <c r="BC2010" s="467" t="str">
        <f t="shared" si="1166"/>
        <v/>
      </c>
      <c r="BD2010" s="567" t="str">
        <f t="shared" si="1167"/>
        <v/>
      </c>
      <c r="BE2010" s="467" t="str">
        <f t="shared" si="1168"/>
        <v/>
      </c>
      <c r="BF2010" s="469" t="str">
        <f t="shared" ca="1" si="1169"/>
        <v/>
      </c>
      <c r="BG2010" s="469" t="str">
        <f t="shared" ca="1" si="1170"/>
        <v/>
      </c>
      <c r="BH2010" s="467" t="str">
        <f t="shared" si="1171"/>
        <v/>
      </c>
      <c r="BI2010" s="467" t="str">
        <f t="shared" ca="1" si="1172"/>
        <v/>
      </c>
      <c r="BJ2010" s="469" t="str">
        <f t="shared" si="1173"/>
        <v/>
      </c>
      <c r="BK2010" s="470" t="str">
        <f t="shared" si="1157"/>
        <v/>
      </c>
      <c r="BL2010" s="775" t="str">
        <f t="shared" si="1174"/>
        <v/>
      </c>
      <c r="BM2010" s="775" t="str">
        <f t="shared" si="1175"/>
        <v/>
      </c>
    </row>
    <row r="2011" spans="1:65">
      <c r="A2011" s="473">
        <v>1955</v>
      </c>
      <c r="B2011" s="132"/>
      <c r="C2011" s="332"/>
      <c r="D2011" s="333"/>
      <c r="E2011" s="333"/>
      <c r="F2011" s="334"/>
      <c r="G2011" s="337"/>
      <c r="H2011" s="131"/>
      <c r="I2011" s="337"/>
      <c r="J2011" s="131"/>
      <c r="K2011" s="458" t="str">
        <f t="shared" si="1138"/>
        <v/>
      </c>
      <c r="L2011" s="458">
        <f t="shared" si="1139"/>
        <v>0</v>
      </c>
      <c r="M2011" s="458">
        <f t="shared" si="1140"/>
        <v>0</v>
      </c>
      <c r="N2011" s="459" t="str">
        <f t="shared" si="1151"/>
        <v/>
      </c>
      <c r="O2011" s="459" t="str">
        <f t="shared" si="1152"/>
        <v/>
      </c>
      <c r="P2011" s="459" t="str">
        <f t="shared" si="1153"/>
        <v/>
      </c>
      <c r="Q2011" s="459" t="str">
        <f t="shared" si="1154"/>
        <v/>
      </c>
      <c r="R2011" s="459" t="str">
        <f t="shared" si="1155"/>
        <v/>
      </c>
      <c r="S2011" s="459" t="str">
        <f t="shared" si="1156"/>
        <v/>
      </c>
      <c r="T2011" s="566" t="str">
        <f t="shared" si="1141"/>
        <v/>
      </c>
      <c r="U2011" s="702"/>
      <c r="V2011" s="132"/>
      <c r="W2011" s="133"/>
      <c r="X2011" s="134"/>
      <c r="Y2011" s="135"/>
      <c r="Z2011" s="137"/>
      <c r="AA2011" s="136"/>
      <c r="AB2011" s="566" t="str">
        <f t="shared" si="1142"/>
        <v/>
      </c>
      <c r="AC2011" s="568" t="str">
        <f t="shared" si="1143"/>
        <v/>
      </c>
      <c r="AD2011" s="137"/>
      <c r="AE2011" s="137"/>
      <c r="AF2011" s="138"/>
      <c r="AG2011" s="138"/>
      <c r="AH2011" s="592" t="str">
        <f t="shared" si="1144"/>
        <v/>
      </c>
      <c r="AI2011" s="592" t="str">
        <f t="shared" si="1145"/>
        <v/>
      </c>
      <c r="AJ2011" s="592" t="str">
        <f t="shared" si="1146"/>
        <v/>
      </c>
      <c r="AK2011" s="460" t="str">
        <f>IF(AU2011="","",IF(OR(AZ2011=8,AZ2011=9),0,IF(OR(AW2011=3,AW2011=4,AW2011=5,AW2011=6),IF(LEFT(BF2011,1)="1",INDEX(係数_NOX・PM低減,MATCH(AY2011,【参考】排出係数!$AI$801:$AI$804,1),1),VLOOKUP(AU2011,INDEX((係数_バス貨物_ガソリン,係数_バス貨物_CNG,係数_バス貨物_軽油,係数_バス貨物_メタノール,係数_バス貨物_LPG),MATCH(AY2011,【参考】排出係数!$AI$4:$AI$671,1),1,BE2011):INDEX((係数_バス貨物_ガソリン,係数_バス貨物_CNG,係数_バス貨物_軽油,係数_バス貨物_メタノール,係数_バス貨物_LPG),MATCH(AY2011+1,【参考】排出係数!$AI$4:$AI$671,1)-1,5,BE2011),4,FALSE)),IF(AND(BE2011=3,LEFT(BF2011,1)="1"),0.48,VLOOKUP(AU2011,INDEX((係数_乗用_ガソリン,係数_乗用_CNG,係数_乗用_軽油,係数_乗用_メタノール,係数_乗用_LPG),1,1,BE2011):INDEX((係数_乗用_ガソリン,係数_乗用_CNG,係数_乗用_軽油,係数_乗用_メタノール,係数_乗用_LPG),125,5,BE2011),4,FALSE)))))</f>
        <v/>
      </c>
      <c r="AL2011" s="461" t="str">
        <f t="shared" si="1147"/>
        <v/>
      </c>
      <c r="AM2011" s="460" t="str">
        <f>IF(AU2011="","",IF(OR(AZ2011=8,AZ2011=9),0,IF(OR(AW2011=3,AW2011=4,AW2011=5,AW2011=6),IF(LEFT(BH2011,1)="1",INDEX(係数_PM低減,MATCH(AY2011,【参考】排出係数!$AI$801:$AI$804,1),MATCH(BI2011,【参考】排出係数!$AL$798:$AO$798,1)),VLOOKUP(AU2011,INDEX((係数_バス貨物_ガソリン,係数_バス貨物_CNG,係数_バス貨物_軽油,係数_バス貨物_メタノール,係数_バス貨物_LPG),MATCH(AY2011,【参考】排出係数!$AI$4:$AI$671,1),1,BE2011):INDEX((係数_バス貨物_ガソリン,係数_バス貨物_CNG,係数_バス貨物_軽油,係数_バス貨物_メタノール,係数_バス貨物_LPG),MATCH(AY2011+1,【参考】排出係数!$AI$4:$AI$671,1)-1,5,BE2011),5,FALSE)),IF(AND(BE2011=3,LEFT(BF2011,1)="1"),0.055,VLOOKUP(AU2011,INDEX((係数_乗用_ガソリン,係数_乗用_CNG,係数_乗用_軽油,係数_乗用_メタノール,係数_乗用_LPG),1,1,BE2011):INDEX((係数_乗用_ガソリン,係数_乗用_CNG,係数_乗用_軽油,係数_乗用_メタノール,係数_乗用_LPG),125,5,BE2011),5,FALSE)))))</f>
        <v/>
      </c>
      <c r="AN2011" s="461" t="str">
        <f t="shared" si="1148"/>
        <v/>
      </c>
      <c r="AO2011" s="462" t="str">
        <f t="shared" si="1149"/>
        <v/>
      </c>
      <c r="AP2011" s="463" t="str">
        <f t="shared" si="1150"/>
        <v/>
      </c>
      <c r="AQ2011" s="464"/>
      <c r="AR2011" s="619"/>
      <c r="AS2011" s="465" t="str">
        <f t="shared" si="1158"/>
        <v/>
      </c>
      <c r="AT2011" s="465" t="str">
        <f t="shared" si="1159"/>
        <v/>
      </c>
      <c r="AU2011" s="466" t="str">
        <f t="shared" si="1160"/>
        <v/>
      </c>
      <c r="AV2011" s="467" t="str">
        <f t="shared" si="1161"/>
        <v/>
      </c>
      <c r="AW2011" s="467" t="str">
        <f t="shared" si="1162"/>
        <v/>
      </c>
      <c r="AX2011" s="467" t="str">
        <f t="shared" si="1163"/>
        <v/>
      </c>
      <c r="AY2011" s="467" t="str">
        <f t="shared" si="1164"/>
        <v/>
      </c>
      <c r="AZ2011" s="467" t="str">
        <f t="shared" si="1165"/>
        <v/>
      </c>
      <c r="BA2011" s="468" t="str">
        <f>IF(AS2011="","",IF(OR(AU2011="",AU2011="-"),"－",IF(OR(AZ2011=8,AZ2011=9),"",IF(OR(AW2011=3,AW2011=4,AW2011=5,AW2011=6),VLOOKUP(AU2011,INDEX((係数_バス貨物_ガソリン,係数_バス貨物_CNG,係数_バス貨物_軽油,係数_バス貨物_メタノール,係数_バス貨物_LPG),MATCH(AY2011,【参考】排出係数!$AI$4:$AI$671,1),1,BE2011):INDEX((係数_バス貨物_ガソリン,係数_バス貨物_CNG,係数_バス貨物_軽油,係数_バス貨物_メタノール,係数_バス貨物_LPG),MATCH(AY2011+1,【参考】排出係数!$AI$4:$AI$671,1)-1,5,BE2011),2,FALSE),IF(OR(AW2011=1,AW2011=2),VLOOKUP(AU2011,INDEX((係数_乗用_ガソリン,係数_乗用_CNG,係数_乗用_軽油,係数_乗用_メタノール,係数_乗用_LPG),1,1,BE2011):INDEX((係数_乗用_ガソリン,係数_乗用_CNG,係数_乗用_軽油,係数_乗用_メタノール,係数_乗用_LPG),125,5,BE2011),2,FALSE))))))</f>
        <v/>
      </c>
      <c r="BB2011" s="468" t="str">
        <f>IF(T2011="","",IF(OR(AU2011="",AU2011="-"),"－",IF(OR(AZ2011=8,AZ2011=9),"",IF(OR(AW2011=3,AW2011=4,AW2011=5,AW2011=6),VLOOKUP(AU2011,INDEX((係数_バス貨物_ガソリン,係数_バス貨物_CNG,係数_バス貨物_軽油,係数_バス貨物_メタノール,係数_バス貨物_LPG),MATCH(AY2011,【参考】排出係数!$AI$4:$AI$671,1),1,BE2011):INDEX((係数_バス貨物_ガソリン,係数_バス貨物_CNG,係数_バス貨物_軽油,係数_バス貨物_メタノール,係数_バス貨物_LPG),MATCH(AY2011+1,【参考】排出係数!$AI$4:$AI$671,1)-1,5,BE2011),3,FALSE),IF(OR(AW2011=1,AW2011=2),VLOOKUP(AU2011,INDEX((係数_乗用_ガソリン,係数_乗用_CNG,係数_乗用_軽油,係数_乗用_メタノール,係数_乗用_LPG),1,1,BE2011):INDEX((係数_乗用_ガソリン,係数_乗用_CNG,係数_乗用_軽油,係数_乗用_メタノール,係数_乗用_LPG),125,5,BE2011),3,FALSE))))))</f>
        <v/>
      </c>
      <c r="BC2011" s="467" t="str">
        <f t="shared" si="1166"/>
        <v/>
      </c>
      <c r="BD2011" s="567" t="str">
        <f t="shared" si="1167"/>
        <v/>
      </c>
      <c r="BE2011" s="467" t="str">
        <f t="shared" si="1168"/>
        <v/>
      </c>
      <c r="BF2011" s="469" t="str">
        <f t="shared" ca="1" si="1169"/>
        <v/>
      </c>
      <c r="BG2011" s="469" t="str">
        <f t="shared" ca="1" si="1170"/>
        <v/>
      </c>
      <c r="BH2011" s="467" t="str">
        <f t="shared" si="1171"/>
        <v/>
      </c>
      <c r="BI2011" s="467" t="str">
        <f t="shared" ca="1" si="1172"/>
        <v/>
      </c>
      <c r="BJ2011" s="469" t="str">
        <f t="shared" si="1173"/>
        <v/>
      </c>
      <c r="BK2011" s="470" t="str">
        <f t="shared" si="1157"/>
        <v/>
      </c>
      <c r="BL2011" s="775" t="str">
        <f t="shared" si="1174"/>
        <v/>
      </c>
      <c r="BM2011" s="775" t="str">
        <f t="shared" si="1175"/>
        <v/>
      </c>
    </row>
    <row r="2012" spans="1:65">
      <c r="A2012" s="473">
        <v>1956</v>
      </c>
      <c r="B2012" s="132"/>
      <c r="C2012" s="332"/>
      <c r="D2012" s="333"/>
      <c r="E2012" s="333"/>
      <c r="F2012" s="334"/>
      <c r="G2012" s="337"/>
      <c r="H2012" s="131"/>
      <c r="I2012" s="337"/>
      <c r="J2012" s="131"/>
      <c r="K2012" s="458" t="str">
        <f t="shared" si="1138"/>
        <v/>
      </c>
      <c r="L2012" s="458">
        <f t="shared" si="1139"/>
        <v>0</v>
      </c>
      <c r="M2012" s="458">
        <f t="shared" si="1140"/>
        <v>0</v>
      </c>
      <c r="N2012" s="459" t="str">
        <f t="shared" si="1151"/>
        <v/>
      </c>
      <c r="O2012" s="459" t="str">
        <f t="shared" si="1152"/>
        <v/>
      </c>
      <c r="P2012" s="459" t="str">
        <f t="shared" si="1153"/>
        <v/>
      </c>
      <c r="Q2012" s="459" t="str">
        <f t="shared" si="1154"/>
        <v/>
      </c>
      <c r="R2012" s="459" t="str">
        <f t="shared" si="1155"/>
        <v/>
      </c>
      <c r="S2012" s="459" t="str">
        <f t="shared" si="1156"/>
        <v/>
      </c>
      <c r="T2012" s="566" t="str">
        <f t="shared" si="1141"/>
        <v/>
      </c>
      <c r="U2012" s="702"/>
      <c r="V2012" s="132"/>
      <c r="W2012" s="133"/>
      <c r="X2012" s="134"/>
      <c r="Y2012" s="135"/>
      <c r="Z2012" s="137"/>
      <c r="AA2012" s="136"/>
      <c r="AB2012" s="566" t="str">
        <f t="shared" si="1142"/>
        <v/>
      </c>
      <c r="AC2012" s="568" t="str">
        <f t="shared" si="1143"/>
        <v/>
      </c>
      <c r="AD2012" s="137"/>
      <c r="AE2012" s="137"/>
      <c r="AF2012" s="138"/>
      <c r="AG2012" s="138"/>
      <c r="AH2012" s="592" t="str">
        <f t="shared" si="1144"/>
        <v/>
      </c>
      <c r="AI2012" s="592" t="str">
        <f t="shared" si="1145"/>
        <v/>
      </c>
      <c r="AJ2012" s="592" t="str">
        <f t="shared" si="1146"/>
        <v/>
      </c>
      <c r="AK2012" s="460" t="str">
        <f>IF(AU2012="","",IF(OR(AZ2012=8,AZ2012=9),0,IF(OR(AW2012=3,AW2012=4,AW2012=5,AW2012=6),IF(LEFT(BF2012,1)="1",INDEX(係数_NOX・PM低減,MATCH(AY2012,【参考】排出係数!$AI$801:$AI$804,1),1),VLOOKUP(AU2012,INDEX((係数_バス貨物_ガソリン,係数_バス貨物_CNG,係数_バス貨物_軽油,係数_バス貨物_メタノール,係数_バス貨物_LPG),MATCH(AY2012,【参考】排出係数!$AI$4:$AI$671,1),1,BE2012):INDEX((係数_バス貨物_ガソリン,係数_バス貨物_CNG,係数_バス貨物_軽油,係数_バス貨物_メタノール,係数_バス貨物_LPG),MATCH(AY2012+1,【参考】排出係数!$AI$4:$AI$671,1)-1,5,BE2012),4,FALSE)),IF(AND(BE2012=3,LEFT(BF2012,1)="1"),0.48,VLOOKUP(AU2012,INDEX((係数_乗用_ガソリン,係数_乗用_CNG,係数_乗用_軽油,係数_乗用_メタノール,係数_乗用_LPG),1,1,BE2012):INDEX((係数_乗用_ガソリン,係数_乗用_CNG,係数_乗用_軽油,係数_乗用_メタノール,係数_乗用_LPG),125,5,BE2012),4,FALSE)))))</f>
        <v/>
      </c>
      <c r="AL2012" s="461" t="str">
        <f t="shared" si="1147"/>
        <v/>
      </c>
      <c r="AM2012" s="460" t="str">
        <f>IF(AU2012="","",IF(OR(AZ2012=8,AZ2012=9),0,IF(OR(AW2012=3,AW2012=4,AW2012=5,AW2012=6),IF(LEFT(BH2012,1)="1",INDEX(係数_PM低減,MATCH(AY2012,【参考】排出係数!$AI$801:$AI$804,1),MATCH(BI2012,【参考】排出係数!$AL$798:$AO$798,1)),VLOOKUP(AU2012,INDEX((係数_バス貨物_ガソリン,係数_バス貨物_CNG,係数_バス貨物_軽油,係数_バス貨物_メタノール,係数_バス貨物_LPG),MATCH(AY2012,【参考】排出係数!$AI$4:$AI$671,1),1,BE2012):INDEX((係数_バス貨物_ガソリン,係数_バス貨物_CNG,係数_バス貨物_軽油,係数_バス貨物_メタノール,係数_バス貨物_LPG),MATCH(AY2012+1,【参考】排出係数!$AI$4:$AI$671,1)-1,5,BE2012),5,FALSE)),IF(AND(BE2012=3,LEFT(BF2012,1)="1"),0.055,VLOOKUP(AU2012,INDEX((係数_乗用_ガソリン,係数_乗用_CNG,係数_乗用_軽油,係数_乗用_メタノール,係数_乗用_LPG),1,1,BE2012):INDEX((係数_乗用_ガソリン,係数_乗用_CNG,係数_乗用_軽油,係数_乗用_メタノール,係数_乗用_LPG),125,5,BE2012),5,FALSE)))))</f>
        <v/>
      </c>
      <c r="AN2012" s="461" t="str">
        <f t="shared" si="1148"/>
        <v/>
      </c>
      <c r="AO2012" s="462" t="str">
        <f t="shared" si="1149"/>
        <v/>
      </c>
      <c r="AP2012" s="463" t="str">
        <f t="shared" si="1150"/>
        <v/>
      </c>
      <c r="AQ2012" s="464"/>
      <c r="AR2012" s="619"/>
      <c r="AS2012" s="465" t="str">
        <f t="shared" si="1158"/>
        <v/>
      </c>
      <c r="AT2012" s="465" t="str">
        <f t="shared" si="1159"/>
        <v/>
      </c>
      <c r="AU2012" s="466" t="str">
        <f t="shared" si="1160"/>
        <v/>
      </c>
      <c r="AV2012" s="467" t="str">
        <f t="shared" si="1161"/>
        <v/>
      </c>
      <c r="AW2012" s="467" t="str">
        <f t="shared" si="1162"/>
        <v/>
      </c>
      <c r="AX2012" s="467" t="str">
        <f t="shared" si="1163"/>
        <v/>
      </c>
      <c r="AY2012" s="467" t="str">
        <f t="shared" si="1164"/>
        <v/>
      </c>
      <c r="AZ2012" s="467" t="str">
        <f t="shared" si="1165"/>
        <v/>
      </c>
      <c r="BA2012" s="468" t="str">
        <f>IF(AS2012="","",IF(OR(AU2012="",AU2012="-"),"－",IF(OR(AZ2012=8,AZ2012=9),"",IF(OR(AW2012=3,AW2012=4,AW2012=5,AW2012=6),VLOOKUP(AU2012,INDEX((係数_バス貨物_ガソリン,係数_バス貨物_CNG,係数_バス貨物_軽油,係数_バス貨物_メタノール,係数_バス貨物_LPG),MATCH(AY2012,【参考】排出係数!$AI$4:$AI$671,1),1,BE2012):INDEX((係数_バス貨物_ガソリン,係数_バス貨物_CNG,係数_バス貨物_軽油,係数_バス貨物_メタノール,係数_バス貨物_LPG),MATCH(AY2012+1,【参考】排出係数!$AI$4:$AI$671,1)-1,5,BE2012),2,FALSE),IF(OR(AW2012=1,AW2012=2),VLOOKUP(AU2012,INDEX((係数_乗用_ガソリン,係数_乗用_CNG,係数_乗用_軽油,係数_乗用_メタノール,係数_乗用_LPG),1,1,BE2012):INDEX((係数_乗用_ガソリン,係数_乗用_CNG,係数_乗用_軽油,係数_乗用_メタノール,係数_乗用_LPG),125,5,BE2012),2,FALSE))))))</f>
        <v/>
      </c>
      <c r="BB2012" s="468" t="str">
        <f>IF(T2012="","",IF(OR(AU2012="",AU2012="-"),"－",IF(OR(AZ2012=8,AZ2012=9),"",IF(OR(AW2012=3,AW2012=4,AW2012=5,AW2012=6),VLOOKUP(AU2012,INDEX((係数_バス貨物_ガソリン,係数_バス貨物_CNG,係数_バス貨物_軽油,係数_バス貨物_メタノール,係数_バス貨物_LPG),MATCH(AY2012,【参考】排出係数!$AI$4:$AI$671,1),1,BE2012):INDEX((係数_バス貨物_ガソリン,係数_バス貨物_CNG,係数_バス貨物_軽油,係数_バス貨物_メタノール,係数_バス貨物_LPG),MATCH(AY2012+1,【参考】排出係数!$AI$4:$AI$671,1)-1,5,BE2012),3,FALSE),IF(OR(AW2012=1,AW2012=2),VLOOKUP(AU2012,INDEX((係数_乗用_ガソリン,係数_乗用_CNG,係数_乗用_軽油,係数_乗用_メタノール,係数_乗用_LPG),1,1,BE2012):INDEX((係数_乗用_ガソリン,係数_乗用_CNG,係数_乗用_軽油,係数_乗用_メタノール,係数_乗用_LPG),125,5,BE2012),3,FALSE))))))</f>
        <v/>
      </c>
      <c r="BC2012" s="467" t="str">
        <f t="shared" si="1166"/>
        <v/>
      </c>
      <c r="BD2012" s="567" t="str">
        <f t="shared" si="1167"/>
        <v/>
      </c>
      <c r="BE2012" s="467" t="str">
        <f t="shared" si="1168"/>
        <v/>
      </c>
      <c r="BF2012" s="469" t="str">
        <f t="shared" ca="1" si="1169"/>
        <v/>
      </c>
      <c r="BG2012" s="469" t="str">
        <f t="shared" ca="1" si="1170"/>
        <v/>
      </c>
      <c r="BH2012" s="467" t="str">
        <f t="shared" si="1171"/>
        <v/>
      </c>
      <c r="BI2012" s="467" t="str">
        <f t="shared" ca="1" si="1172"/>
        <v/>
      </c>
      <c r="BJ2012" s="469" t="str">
        <f t="shared" si="1173"/>
        <v/>
      </c>
      <c r="BK2012" s="470" t="str">
        <f t="shared" si="1157"/>
        <v/>
      </c>
      <c r="BL2012" s="775" t="str">
        <f t="shared" si="1174"/>
        <v/>
      </c>
      <c r="BM2012" s="775" t="str">
        <f t="shared" si="1175"/>
        <v/>
      </c>
    </row>
    <row r="2013" spans="1:65">
      <c r="A2013" s="473">
        <v>1957</v>
      </c>
      <c r="B2013" s="132"/>
      <c r="C2013" s="332"/>
      <c r="D2013" s="333"/>
      <c r="E2013" s="333"/>
      <c r="F2013" s="334"/>
      <c r="G2013" s="337"/>
      <c r="H2013" s="131"/>
      <c r="I2013" s="337"/>
      <c r="J2013" s="131"/>
      <c r="K2013" s="458" t="str">
        <f t="shared" si="1138"/>
        <v/>
      </c>
      <c r="L2013" s="458">
        <f t="shared" si="1139"/>
        <v>0</v>
      </c>
      <c r="M2013" s="458">
        <f t="shared" si="1140"/>
        <v>0</v>
      </c>
      <c r="N2013" s="459" t="str">
        <f t="shared" si="1151"/>
        <v/>
      </c>
      <c r="O2013" s="459" t="str">
        <f t="shared" si="1152"/>
        <v/>
      </c>
      <c r="P2013" s="459" t="str">
        <f t="shared" si="1153"/>
        <v/>
      </c>
      <c r="Q2013" s="459" t="str">
        <f t="shared" si="1154"/>
        <v/>
      </c>
      <c r="R2013" s="459" t="str">
        <f t="shared" si="1155"/>
        <v/>
      </c>
      <c r="S2013" s="459" t="str">
        <f t="shared" si="1156"/>
        <v/>
      </c>
      <c r="T2013" s="566" t="str">
        <f t="shared" si="1141"/>
        <v/>
      </c>
      <c r="U2013" s="702"/>
      <c r="V2013" s="132"/>
      <c r="W2013" s="133"/>
      <c r="X2013" s="134"/>
      <c r="Y2013" s="135"/>
      <c r="Z2013" s="137"/>
      <c r="AA2013" s="136"/>
      <c r="AB2013" s="566" t="str">
        <f t="shared" si="1142"/>
        <v/>
      </c>
      <c r="AC2013" s="568" t="str">
        <f t="shared" si="1143"/>
        <v/>
      </c>
      <c r="AD2013" s="137"/>
      <c r="AE2013" s="137"/>
      <c r="AF2013" s="138"/>
      <c r="AG2013" s="138"/>
      <c r="AH2013" s="592" t="str">
        <f t="shared" si="1144"/>
        <v/>
      </c>
      <c r="AI2013" s="592" t="str">
        <f t="shared" si="1145"/>
        <v/>
      </c>
      <c r="AJ2013" s="592" t="str">
        <f t="shared" si="1146"/>
        <v/>
      </c>
      <c r="AK2013" s="460" t="str">
        <f>IF(AU2013="","",IF(OR(AZ2013=8,AZ2013=9),0,IF(OR(AW2013=3,AW2013=4,AW2013=5,AW2013=6),IF(LEFT(BF2013,1)="1",INDEX(係数_NOX・PM低減,MATCH(AY2013,【参考】排出係数!$AI$801:$AI$804,1),1),VLOOKUP(AU2013,INDEX((係数_バス貨物_ガソリン,係数_バス貨物_CNG,係数_バス貨物_軽油,係数_バス貨物_メタノール,係数_バス貨物_LPG),MATCH(AY2013,【参考】排出係数!$AI$4:$AI$671,1),1,BE2013):INDEX((係数_バス貨物_ガソリン,係数_バス貨物_CNG,係数_バス貨物_軽油,係数_バス貨物_メタノール,係数_バス貨物_LPG),MATCH(AY2013+1,【参考】排出係数!$AI$4:$AI$671,1)-1,5,BE2013),4,FALSE)),IF(AND(BE2013=3,LEFT(BF2013,1)="1"),0.48,VLOOKUP(AU2013,INDEX((係数_乗用_ガソリン,係数_乗用_CNG,係数_乗用_軽油,係数_乗用_メタノール,係数_乗用_LPG),1,1,BE2013):INDEX((係数_乗用_ガソリン,係数_乗用_CNG,係数_乗用_軽油,係数_乗用_メタノール,係数_乗用_LPG),125,5,BE2013),4,FALSE)))))</f>
        <v/>
      </c>
      <c r="AL2013" s="461" t="str">
        <f t="shared" si="1147"/>
        <v/>
      </c>
      <c r="AM2013" s="460" t="str">
        <f>IF(AU2013="","",IF(OR(AZ2013=8,AZ2013=9),0,IF(OR(AW2013=3,AW2013=4,AW2013=5,AW2013=6),IF(LEFT(BH2013,1)="1",INDEX(係数_PM低減,MATCH(AY2013,【参考】排出係数!$AI$801:$AI$804,1),MATCH(BI2013,【参考】排出係数!$AL$798:$AO$798,1)),VLOOKUP(AU2013,INDEX((係数_バス貨物_ガソリン,係数_バス貨物_CNG,係数_バス貨物_軽油,係数_バス貨物_メタノール,係数_バス貨物_LPG),MATCH(AY2013,【参考】排出係数!$AI$4:$AI$671,1),1,BE2013):INDEX((係数_バス貨物_ガソリン,係数_バス貨物_CNG,係数_バス貨物_軽油,係数_バス貨物_メタノール,係数_バス貨物_LPG),MATCH(AY2013+1,【参考】排出係数!$AI$4:$AI$671,1)-1,5,BE2013),5,FALSE)),IF(AND(BE2013=3,LEFT(BF2013,1)="1"),0.055,VLOOKUP(AU2013,INDEX((係数_乗用_ガソリン,係数_乗用_CNG,係数_乗用_軽油,係数_乗用_メタノール,係数_乗用_LPG),1,1,BE2013):INDEX((係数_乗用_ガソリン,係数_乗用_CNG,係数_乗用_軽油,係数_乗用_メタノール,係数_乗用_LPG),125,5,BE2013),5,FALSE)))))</f>
        <v/>
      </c>
      <c r="AN2013" s="461" t="str">
        <f t="shared" si="1148"/>
        <v/>
      </c>
      <c r="AO2013" s="462" t="str">
        <f t="shared" si="1149"/>
        <v/>
      </c>
      <c r="AP2013" s="463" t="str">
        <f t="shared" si="1150"/>
        <v/>
      </c>
      <c r="AQ2013" s="464"/>
      <c r="AR2013" s="619"/>
      <c r="AS2013" s="465" t="str">
        <f t="shared" si="1158"/>
        <v/>
      </c>
      <c r="AT2013" s="465" t="str">
        <f t="shared" si="1159"/>
        <v/>
      </c>
      <c r="AU2013" s="466" t="str">
        <f t="shared" si="1160"/>
        <v/>
      </c>
      <c r="AV2013" s="467" t="str">
        <f t="shared" si="1161"/>
        <v/>
      </c>
      <c r="AW2013" s="467" t="str">
        <f t="shared" si="1162"/>
        <v/>
      </c>
      <c r="AX2013" s="467" t="str">
        <f t="shared" si="1163"/>
        <v/>
      </c>
      <c r="AY2013" s="467" t="str">
        <f t="shared" si="1164"/>
        <v/>
      </c>
      <c r="AZ2013" s="467" t="str">
        <f t="shared" si="1165"/>
        <v/>
      </c>
      <c r="BA2013" s="468" t="str">
        <f>IF(AS2013="","",IF(OR(AU2013="",AU2013="-"),"－",IF(OR(AZ2013=8,AZ2013=9),"",IF(OR(AW2013=3,AW2013=4,AW2013=5,AW2013=6),VLOOKUP(AU2013,INDEX((係数_バス貨物_ガソリン,係数_バス貨物_CNG,係数_バス貨物_軽油,係数_バス貨物_メタノール,係数_バス貨物_LPG),MATCH(AY2013,【参考】排出係数!$AI$4:$AI$671,1),1,BE2013):INDEX((係数_バス貨物_ガソリン,係数_バス貨物_CNG,係数_バス貨物_軽油,係数_バス貨物_メタノール,係数_バス貨物_LPG),MATCH(AY2013+1,【参考】排出係数!$AI$4:$AI$671,1)-1,5,BE2013),2,FALSE),IF(OR(AW2013=1,AW2013=2),VLOOKUP(AU2013,INDEX((係数_乗用_ガソリン,係数_乗用_CNG,係数_乗用_軽油,係数_乗用_メタノール,係数_乗用_LPG),1,1,BE2013):INDEX((係数_乗用_ガソリン,係数_乗用_CNG,係数_乗用_軽油,係数_乗用_メタノール,係数_乗用_LPG),125,5,BE2013),2,FALSE))))))</f>
        <v/>
      </c>
      <c r="BB2013" s="468" t="str">
        <f>IF(T2013="","",IF(OR(AU2013="",AU2013="-"),"－",IF(OR(AZ2013=8,AZ2013=9),"",IF(OR(AW2013=3,AW2013=4,AW2013=5,AW2013=6),VLOOKUP(AU2013,INDEX((係数_バス貨物_ガソリン,係数_バス貨物_CNG,係数_バス貨物_軽油,係数_バス貨物_メタノール,係数_バス貨物_LPG),MATCH(AY2013,【参考】排出係数!$AI$4:$AI$671,1),1,BE2013):INDEX((係数_バス貨物_ガソリン,係数_バス貨物_CNG,係数_バス貨物_軽油,係数_バス貨物_メタノール,係数_バス貨物_LPG),MATCH(AY2013+1,【参考】排出係数!$AI$4:$AI$671,1)-1,5,BE2013),3,FALSE),IF(OR(AW2013=1,AW2013=2),VLOOKUP(AU2013,INDEX((係数_乗用_ガソリン,係数_乗用_CNG,係数_乗用_軽油,係数_乗用_メタノール,係数_乗用_LPG),1,1,BE2013):INDEX((係数_乗用_ガソリン,係数_乗用_CNG,係数_乗用_軽油,係数_乗用_メタノール,係数_乗用_LPG),125,5,BE2013),3,FALSE))))))</f>
        <v/>
      </c>
      <c r="BC2013" s="467" t="str">
        <f t="shared" si="1166"/>
        <v/>
      </c>
      <c r="BD2013" s="567" t="str">
        <f t="shared" si="1167"/>
        <v/>
      </c>
      <c r="BE2013" s="467" t="str">
        <f t="shared" si="1168"/>
        <v/>
      </c>
      <c r="BF2013" s="469" t="str">
        <f t="shared" ca="1" si="1169"/>
        <v/>
      </c>
      <c r="BG2013" s="469" t="str">
        <f t="shared" ca="1" si="1170"/>
        <v/>
      </c>
      <c r="BH2013" s="467" t="str">
        <f t="shared" si="1171"/>
        <v/>
      </c>
      <c r="BI2013" s="467" t="str">
        <f t="shared" ca="1" si="1172"/>
        <v/>
      </c>
      <c r="BJ2013" s="469" t="str">
        <f t="shared" si="1173"/>
        <v/>
      </c>
      <c r="BK2013" s="470" t="str">
        <f t="shared" si="1157"/>
        <v/>
      </c>
      <c r="BL2013" s="775" t="str">
        <f t="shared" si="1174"/>
        <v/>
      </c>
      <c r="BM2013" s="775" t="str">
        <f t="shared" si="1175"/>
        <v/>
      </c>
    </row>
    <row r="2014" spans="1:65">
      <c r="A2014" s="473">
        <v>1958</v>
      </c>
      <c r="B2014" s="132"/>
      <c r="C2014" s="332"/>
      <c r="D2014" s="333"/>
      <c r="E2014" s="333"/>
      <c r="F2014" s="334"/>
      <c r="G2014" s="337"/>
      <c r="H2014" s="131"/>
      <c r="I2014" s="337"/>
      <c r="J2014" s="131"/>
      <c r="K2014" s="458" t="str">
        <f t="shared" si="1138"/>
        <v/>
      </c>
      <c r="L2014" s="458">
        <f t="shared" si="1139"/>
        <v>0</v>
      </c>
      <c r="M2014" s="458">
        <f t="shared" si="1140"/>
        <v>0</v>
      </c>
      <c r="N2014" s="459" t="str">
        <f t="shared" si="1151"/>
        <v/>
      </c>
      <c r="O2014" s="459" t="str">
        <f t="shared" si="1152"/>
        <v/>
      </c>
      <c r="P2014" s="459" t="str">
        <f t="shared" si="1153"/>
        <v/>
      </c>
      <c r="Q2014" s="459" t="str">
        <f t="shared" si="1154"/>
        <v/>
      </c>
      <c r="R2014" s="459" t="str">
        <f t="shared" si="1155"/>
        <v/>
      </c>
      <c r="S2014" s="459" t="str">
        <f t="shared" si="1156"/>
        <v/>
      </c>
      <c r="T2014" s="566" t="str">
        <f t="shared" si="1141"/>
        <v/>
      </c>
      <c r="U2014" s="702"/>
      <c r="V2014" s="132"/>
      <c r="W2014" s="133"/>
      <c r="X2014" s="134"/>
      <c r="Y2014" s="135"/>
      <c r="Z2014" s="137"/>
      <c r="AA2014" s="136"/>
      <c r="AB2014" s="566" t="str">
        <f t="shared" si="1142"/>
        <v/>
      </c>
      <c r="AC2014" s="568" t="str">
        <f t="shared" si="1143"/>
        <v/>
      </c>
      <c r="AD2014" s="137"/>
      <c r="AE2014" s="137"/>
      <c r="AF2014" s="138"/>
      <c r="AG2014" s="138"/>
      <c r="AH2014" s="592" t="str">
        <f t="shared" si="1144"/>
        <v/>
      </c>
      <c r="AI2014" s="592" t="str">
        <f t="shared" si="1145"/>
        <v/>
      </c>
      <c r="AJ2014" s="592" t="str">
        <f t="shared" si="1146"/>
        <v/>
      </c>
      <c r="AK2014" s="460" t="str">
        <f>IF(AU2014="","",IF(OR(AZ2014=8,AZ2014=9),0,IF(OR(AW2014=3,AW2014=4,AW2014=5,AW2014=6),IF(LEFT(BF2014,1)="1",INDEX(係数_NOX・PM低減,MATCH(AY2014,【参考】排出係数!$AI$801:$AI$804,1),1),VLOOKUP(AU2014,INDEX((係数_バス貨物_ガソリン,係数_バス貨物_CNG,係数_バス貨物_軽油,係数_バス貨物_メタノール,係数_バス貨物_LPG),MATCH(AY2014,【参考】排出係数!$AI$4:$AI$671,1),1,BE2014):INDEX((係数_バス貨物_ガソリン,係数_バス貨物_CNG,係数_バス貨物_軽油,係数_バス貨物_メタノール,係数_バス貨物_LPG),MATCH(AY2014+1,【参考】排出係数!$AI$4:$AI$671,1)-1,5,BE2014),4,FALSE)),IF(AND(BE2014=3,LEFT(BF2014,1)="1"),0.48,VLOOKUP(AU2014,INDEX((係数_乗用_ガソリン,係数_乗用_CNG,係数_乗用_軽油,係数_乗用_メタノール,係数_乗用_LPG),1,1,BE2014):INDEX((係数_乗用_ガソリン,係数_乗用_CNG,係数_乗用_軽油,係数_乗用_メタノール,係数_乗用_LPG),125,5,BE2014),4,FALSE)))))</f>
        <v/>
      </c>
      <c r="AL2014" s="461" t="str">
        <f t="shared" si="1147"/>
        <v/>
      </c>
      <c r="AM2014" s="460" t="str">
        <f>IF(AU2014="","",IF(OR(AZ2014=8,AZ2014=9),0,IF(OR(AW2014=3,AW2014=4,AW2014=5,AW2014=6),IF(LEFT(BH2014,1)="1",INDEX(係数_PM低減,MATCH(AY2014,【参考】排出係数!$AI$801:$AI$804,1),MATCH(BI2014,【参考】排出係数!$AL$798:$AO$798,1)),VLOOKUP(AU2014,INDEX((係数_バス貨物_ガソリン,係数_バス貨物_CNG,係数_バス貨物_軽油,係数_バス貨物_メタノール,係数_バス貨物_LPG),MATCH(AY2014,【参考】排出係数!$AI$4:$AI$671,1),1,BE2014):INDEX((係数_バス貨物_ガソリン,係数_バス貨物_CNG,係数_バス貨物_軽油,係数_バス貨物_メタノール,係数_バス貨物_LPG),MATCH(AY2014+1,【参考】排出係数!$AI$4:$AI$671,1)-1,5,BE2014),5,FALSE)),IF(AND(BE2014=3,LEFT(BF2014,1)="1"),0.055,VLOOKUP(AU2014,INDEX((係数_乗用_ガソリン,係数_乗用_CNG,係数_乗用_軽油,係数_乗用_メタノール,係数_乗用_LPG),1,1,BE2014):INDEX((係数_乗用_ガソリン,係数_乗用_CNG,係数_乗用_軽油,係数_乗用_メタノール,係数_乗用_LPG),125,5,BE2014),5,FALSE)))))</f>
        <v/>
      </c>
      <c r="AN2014" s="461" t="str">
        <f t="shared" si="1148"/>
        <v/>
      </c>
      <c r="AO2014" s="462" t="str">
        <f t="shared" si="1149"/>
        <v/>
      </c>
      <c r="AP2014" s="463" t="str">
        <f t="shared" si="1150"/>
        <v/>
      </c>
      <c r="AQ2014" s="464"/>
      <c r="AR2014" s="619"/>
      <c r="AS2014" s="465" t="str">
        <f t="shared" si="1158"/>
        <v/>
      </c>
      <c r="AT2014" s="465" t="str">
        <f t="shared" si="1159"/>
        <v/>
      </c>
      <c r="AU2014" s="466" t="str">
        <f t="shared" si="1160"/>
        <v/>
      </c>
      <c r="AV2014" s="467" t="str">
        <f t="shared" si="1161"/>
        <v/>
      </c>
      <c r="AW2014" s="467" t="str">
        <f t="shared" si="1162"/>
        <v/>
      </c>
      <c r="AX2014" s="467" t="str">
        <f t="shared" si="1163"/>
        <v/>
      </c>
      <c r="AY2014" s="467" t="str">
        <f t="shared" si="1164"/>
        <v/>
      </c>
      <c r="AZ2014" s="467" t="str">
        <f t="shared" si="1165"/>
        <v/>
      </c>
      <c r="BA2014" s="468" t="str">
        <f>IF(AS2014="","",IF(OR(AU2014="",AU2014="-"),"－",IF(OR(AZ2014=8,AZ2014=9),"",IF(OR(AW2014=3,AW2014=4,AW2014=5,AW2014=6),VLOOKUP(AU2014,INDEX((係数_バス貨物_ガソリン,係数_バス貨物_CNG,係数_バス貨物_軽油,係数_バス貨物_メタノール,係数_バス貨物_LPG),MATCH(AY2014,【参考】排出係数!$AI$4:$AI$671,1),1,BE2014):INDEX((係数_バス貨物_ガソリン,係数_バス貨物_CNG,係数_バス貨物_軽油,係数_バス貨物_メタノール,係数_バス貨物_LPG),MATCH(AY2014+1,【参考】排出係数!$AI$4:$AI$671,1)-1,5,BE2014),2,FALSE),IF(OR(AW2014=1,AW2014=2),VLOOKUP(AU2014,INDEX((係数_乗用_ガソリン,係数_乗用_CNG,係数_乗用_軽油,係数_乗用_メタノール,係数_乗用_LPG),1,1,BE2014):INDEX((係数_乗用_ガソリン,係数_乗用_CNG,係数_乗用_軽油,係数_乗用_メタノール,係数_乗用_LPG),125,5,BE2014),2,FALSE))))))</f>
        <v/>
      </c>
      <c r="BB2014" s="468" t="str">
        <f>IF(T2014="","",IF(OR(AU2014="",AU2014="-"),"－",IF(OR(AZ2014=8,AZ2014=9),"",IF(OR(AW2014=3,AW2014=4,AW2014=5,AW2014=6),VLOOKUP(AU2014,INDEX((係数_バス貨物_ガソリン,係数_バス貨物_CNG,係数_バス貨物_軽油,係数_バス貨物_メタノール,係数_バス貨物_LPG),MATCH(AY2014,【参考】排出係数!$AI$4:$AI$671,1),1,BE2014):INDEX((係数_バス貨物_ガソリン,係数_バス貨物_CNG,係数_バス貨物_軽油,係数_バス貨物_メタノール,係数_バス貨物_LPG),MATCH(AY2014+1,【参考】排出係数!$AI$4:$AI$671,1)-1,5,BE2014),3,FALSE),IF(OR(AW2014=1,AW2014=2),VLOOKUP(AU2014,INDEX((係数_乗用_ガソリン,係数_乗用_CNG,係数_乗用_軽油,係数_乗用_メタノール,係数_乗用_LPG),1,1,BE2014):INDEX((係数_乗用_ガソリン,係数_乗用_CNG,係数_乗用_軽油,係数_乗用_メタノール,係数_乗用_LPG),125,5,BE2014),3,FALSE))))))</f>
        <v/>
      </c>
      <c r="BC2014" s="467" t="str">
        <f t="shared" si="1166"/>
        <v/>
      </c>
      <c r="BD2014" s="567" t="str">
        <f t="shared" si="1167"/>
        <v/>
      </c>
      <c r="BE2014" s="467" t="str">
        <f t="shared" si="1168"/>
        <v/>
      </c>
      <c r="BF2014" s="469" t="str">
        <f t="shared" ca="1" si="1169"/>
        <v/>
      </c>
      <c r="BG2014" s="469" t="str">
        <f t="shared" ca="1" si="1170"/>
        <v/>
      </c>
      <c r="BH2014" s="467" t="str">
        <f t="shared" si="1171"/>
        <v/>
      </c>
      <c r="BI2014" s="467" t="str">
        <f t="shared" ca="1" si="1172"/>
        <v/>
      </c>
      <c r="BJ2014" s="469" t="str">
        <f t="shared" si="1173"/>
        <v/>
      </c>
      <c r="BK2014" s="470" t="str">
        <f t="shared" si="1157"/>
        <v/>
      </c>
      <c r="BL2014" s="775" t="str">
        <f t="shared" si="1174"/>
        <v/>
      </c>
      <c r="BM2014" s="775" t="str">
        <f t="shared" si="1175"/>
        <v/>
      </c>
    </row>
    <row r="2015" spans="1:65">
      <c r="A2015" s="473">
        <v>1959</v>
      </c>
      <c r="B2015" s="132"/>
      <c r="C2015" s="332"/>
      <c r="D2015" s="333"/>
      <c r="E2015" s="333"/>
      <c r="F2015" s="334"/>
      <c r="G2015" s="337"/>
      <c r="H2015" s="131"/>
      <c r="I2015" s="337"/>
      <c r="J2015" s="131"/>
      <c r="K2015" s="458" t="str">
        <f t="shared" si="1138"/>
        <v/>
      </c>
      <c r="L2015" s="458">
        <f t="shared" si="1139"/>
        <v>0</v>
      </c>
      <c r="M2015" s="458">
        <f t="shared" si="1140"/>
        <v>0</v>
      </c>
      <c r="N2015" s="459" t="str">
        <f t="shared" si="1151"/>
        <v/>
      </c>
      <c r="O2015" s="459" t="str">
        <f t="shared" si="1152"/>
        <v/>
      </c>
      <c r="P2015" s="459" t="str">
        <f t="shared" si="1153"/>
        <v/>
      </c>
      <c r="Q2015" s="459" t="str">
        <f t="shared" si="1154"/>
        <v/>
      </c>
      <c r="R2015" s="459" t="str">
        <f t="shared" si="1155"/>
        <v/>
      </c>
      <c r="S2015" s="459" t="str">
        <f t="shared" si="1156"/>
        <v/>
      </c>
      <c r="T2015" s="566" t="str">
        <f t="shared" si="1141"/>
        <v/>
      </c>
      <c r="U2015" s="702"/>
      <c r="V2015" s="132"/>
      <c r="W2015" s="133"/>
      <c r="X2015" s="134"/>
      <c r="Y2015" s="135"/>
      <c r="Z2015" s="137"/>
      <c r="AA2015" s="136"/>
      <c r="AB2015" s="566" t="str">
        <f t="shared" si="1142"/>
        <v/>
      </c>
      <c r="AC2015" s="568" t="str">
        <f t="shared" si="1143"/>
        <v/>
      </c>
      <c r="AD2015" s="137"/>
      <c r="AE2015" s="137"/>
      <c r="AF2015" s="138"/>
      <c r="AG2015" s="138"/>
      <c r="AH2015" s="592" t="str">
        <f t="shared" si="1144"/>
        <v/>
      </c>
      <c r="AI2015" s="592" t="str">
        <f t="shared" si="1145"/>
        <v/>
      </c>
      <c r="AJ2015" s="592" t="str">
        <f t="shared" si="1146"/>
        <v/>
      </c>
      <c r="AK2015" s="460" t="str">
        <f>IF(AU2015="","",IF(OR(AZ2015=8,AZ2015=9),0,IF(OR(AW2015=3,AW2015=4,AW2015=5,AW2015=6),IF(LEFT(BF2015,1)="1",INDEX(係数_NOX・PM低減,MATCH(AY2015,【参考】排出係数!$AI$801:$AI$804,1),1),VLOOKUP(AU2015,INDEX((係数_バス貨物_ガソリン,係数_バス貨物_CNG,係数_バス貨物_軽油,係数_バス貨物_メタノール,係数_バス貨物_LPG),MATCH(AY2015,【参考】排出係数!$AI$4:$AI$671,1),1,BE2015):INDEX((係数_バス貨物_ガソリン,係数_バス貨物_CNG,係数_バス貨物_軽油,係数_バス貨物_メタノール,係数_バス貨物_LPG),MATCH(AY2015+1,【参考】排出係数!$AI$4:$AI$671,1)-1,5,BE2015),4,FALSE)),IF(AND(BE2015=3,LEFT(BF2015,1)="1"),0.48,VLOOKUP(AU2015,INDEX((係数_乗用_ガソリン,係数_乗用_CNG,係数_乗用_軽油,係数_乗用_メタノール,係数_乗用_LPG),1,1,BE2015):INDEX((係数_乗用_ガソリン,係数_乗用_CNG,係数_乗用_軽油,係数_乗用_メタノール,係数_乗用_LPG),125,5,BE2015),4,FALSE)))))</f>
        <v/>
      </c>
      <c r="AL2015" s="461" t="str">
        <f t="shared" si="1147"/>
        <v/>
      </c>
      <c r="AM2015" s="460" t="str">
        <f>IF(AU2015="","",IF(OR(AZ2015=8,AZ2015=9),0,IF(OR(AW2015=3,AW2015=4,AW2015=5,AW2015=6),IF(LEFT(BH2015,1)="1",INDEX(係数_PM低減,MATCH(AY2015,【参考】排出係数!$AI$801:$AI$804,1),MATCH(BI2015,【参考】排出係数!$AL$798:$AO$798,1)),VLOOKUP(AU2015,INDEX((係数_バス貨物_ガソリン,係数_バス貨物_CNG,係数_バス貨物_軽油,係数_バス貨物_メタノール,係数_バス貨物_LPG),MATCH(AY2015,【参考】排出係数!$AI$4:$AI$671,1),1,BE2015):INDEX((係数_バス貨物_ガソリン,係数_バス貨物_CNG,係数_バス貨物_軽油,係数_バス貨物_メタノール,係数_バス貨物_LPG),MATCH(AY2015+1,【参考】排出係数!$AI$4:$AI$671,1)-1,5,BE2015),5,FALSE)),IF(AND(BE2015=3,LEFT(BF2015,1)="1"),0.055,VLOOKUP(AU2015,INDEX((係数_乗用_ガソリン,係数_乗用_CNG,係数_乗用_軽油,係数_乗用_メタノール,係数_乗用_LPG),1,1,BE2015):INDEX((係数_乗用_ガソリン,係数_乗用_CNG,係数_乗用_軽油,係数_乗用_メタノール,係数_乗用_LPG),125,5,BE2015),5,FALSE)))))</f>
        <v/>
      </c>
      <c r="AN2015" s="461" t="str">
        <f t="shared" si="1148"/>
        <v/>
      </c>
      <c r="AO2015" s="462" t="str">
        <f t="shared" si="1149"/>
        <v/>
      </c>
      <c r="AP2015" s="463" t="str">
        <f t="shared" si="1150"/>
        <v/>
      </c>
      <c r="AQ2015" s="464"/>
      <c r="AR2015" s="619"/>
      <c r="AS2015" s="465" t="str">
        <f t="shared" si="1158"/>
        <v/>
      </c>
      <c r="AT2015" s="465" t="str">
        <f t="shared" si="1159"/>
        <v/>
      </c>
      <c r="AU2015" s="466" t="str">
        <f t="shared" si="1160"/>
        <v/>
      </c>
      <c r="AV2015" s="467" t="str">
        <f t="shared" si="1161"/>
        <v/>
      </c>
      <c r="AW2015" s="467" t="str">
        <f t="shared" si="1162"/>
        <v/>
      </c>
      <c r="AX2015" s="467" t="str">
        <f t="shared" si="1163"/>
        <v/>
      </c>
      <c r="AY2015" s="467" t="str">
        <f t="shared" si="1164"/>
        <v/>
      </c>
      <c r="AZ2015" s="467" t="str">
        <f t="shared" si="1165"/>
        <v/>
      </c>
      <c r="BA2015" s="468" t="str">
        <f>IF(AS2015="","",IF(OR(AU2015="",AU2015="-"),"－",IF(OR(AZ2015=8,AZ2015=9),"",IF(OR(AW2015=3,AW2015=4,AW2015=5,AW2015=6),VLOOKUP(AU2015,INDEX((係数_バス貨物_ガソリン,係数_バス貨物_CNG,係数_バス貨物_軽油,係数_バス貨物_メタノール,係数_バス貨物_LPG),MATCH(AY2015,【参考】排出係数!$AI$4:$AI$671,1),1,BE2015):INDEX((係数_バス貨物_ガソリン,係数_バス貨物_CNG,係数_バス貨物_軽油,係数_バス貨物_メタノール,係数_バス貨物_LPG),MATCH(AY2015+1,【参考】排出係数!$AI$4:$AI$671,1)-1,5,BE2015),2,FALSE),IF(OR(AW2015=1,AW2015=2),VLOOKUP(AU2015,INDEX((係数_乗用_ガソリン,係数_乗用_CNG,係数_乗用_軽油,係数_乗用_メタノール,係数_乗用_LPG),1,1,BE2015):INDEX((係数_乗用_ガソリン,係数_乗用_CNG,係数_乗用_軽油,係数_乗用_メタノール,係数_乗用_LPG),125,5,BE2015),2,FALSE))))))</f>
        <v/>
      </c>
      <c r="BB2015" s="468" t="str">
        <f>IF(T2015="","",IF(OR(AU2015="",AU2015="-"),"－",IF(OR(AZ2015=8,AZ2015=9),"",IF(OR(AW2015=3,AW2015=4,AW2015=5,AW2015=6),VLOOKUP(AU2015,INDEX((係数_バス貨物_ガソリン,係数_バス貨物_CNG,係数_バス貨物_軽油,係数_バス貨物_メタノール,係数_バス貨物_LPG),MATCH(AY2015,【参考】排出係数!$AI$4:$AI$671,1),1,BE2015):INDEX((係数_バス貨物_ガソリン,係数_バス貨物_CNG,係数_バス貨物_軽油,係数_バス貨物_メタノール,係数_バス貨物_LPG),MATCH(AY2015+1,【参考】排出係数!$AI$4:$AI$671,1)-1,5,BE2015),3,FALSE),IF(OR(AW2015=1,AW2015=2),VLOOKUP(AU2015,INDEX((係数_乗用_ガソリン,係数_乗用_CNG,係数_乗用_軽油,係数_乗用_メタノール,係数_乗用_LPG),1,1,BE2015):INDEX((係数_乗用_ガソリン,係数_乗用_CNG,係数_乗用_軽油,係数_乗用_メタノール,係数_乗用_LPG),125,5,BE2015),3,FALSE))))))</f>
        <v/>
      </c>
      <c r="BC2015" s="467" t="str">
        <f t="shared" si="1166"/>
        <v/>
      </c>
      <c r="BD2015" s="567" t="str">
        <f t="shared" si="1167"/>
        <v/>
      </c>
      <c r="BE2015" s="467" t="str">
        <f t="shared" si="1168"/>
        <v/>
      </c>
      <c r="BF2015" s="469" t="str">
        <f t="shared" ca="1" si="1169"/>
        <v/>
      </c>
      <c r="BG2015" s="469" t="str">
        <f t="shared" ca="1" si="1170"/>
        <v/>
      </c>
      <c r="BH2015" s="467" t="str">
        <f t="shared" si="1171"/>
        <v/>
      </c>
      <c r="BI2015" s="467" t="str">
        <f t="shared" ca="1" si="1172"/>
        <v/>
      </c>
      <c r="BJ2015" s="469" t="str">
        <f t="shared" si="1173"/>
        <v/>
      </c>
      <c r="BK2015" s="470" t="str">
        <f t="shared" si="1157"/>
        <v/>
      </c>
      <c r="BL2015" s="775" t="str">
        <f t="shared" si="1174"/>
        <v/>
      </c>
      <c r="BM2015" s="775" t="str">
        <f t="shared" si="1175"/>
        <v/>
      </c>
    </row>
    <row r="2016" spans="1:65">
      <c r="A2016" s="473">
        <v>1960</v>
      </c>
      <c r="B2016" s="132"/>
      <c r="C2016" s="332"/>
      <c r="D2016" s="333"/>
      <c r="E2016" s="333"/>
      <c r="F2016" s="334"/>
      <c r="G2016" s="337"/>
      <c r="H2016" s="131"/>
      <c r="I2016" s="337"/>
      <c r="J2016" s="131"/>
      <c r="K2016" s="458" t="str">
        <f t="shared" si="1138"/>
        <v/>
      </c>
      <c r="L2016" s="458">
        <f t="shared" si="1139"/>
        <v>0</v>
      </c>
      <c r="M2016" s="458">
        <f t="shared" si="1140"/>
        <v>0</v>
      </c>
      <c r="N2016" s="459" t="str">
        <f t="shared" si="1151"/>
        <v/>
      </c>
      <c r="O2016" s="459" t="str">
        <f t="shared" si="1152"/>
        <v/>
      </c>
      <c r="P2016" s="459" t="str">
        <f t="shared" si="1153"/>
        <v/>
      </c>
      <c r="Q2016" s="459" t="str">
        <f t="shared" si="1154"/>
        <v/>
      </c>
      <c r="R2016" s="459" t="str">
        <f t="shared" si="1155"/>
        <v/>
      </c>
      <c r="S2016" s="459" t="str">
        <f t="shared" si="1156"/>
        <v/>
      </c>
      <c r="T2016" s="566" t="str">
        <f t="shared" si="1141"/>
        <v/>
      </c>
      <c r="U2016" s="702"/>
      <c r="V2016" s="132"/>
      <c r="W2016" s="133"/>
      <c r="X2016" s="134"/>
      <c r="Y2016" s="135"/>
      <c r="Z2016" s="137"/>
      <c r="AA2016" s="136"/>
      <c r="AB2016" s="566" t="str">
        <f t="shared" si="1142"/>
        <v/>
      </c>
      <c r="AC2016" s="568" t="str">
        <f t="shared" si="1143"/>
        <v/>
      </c>
      <c r="AD2016" s="137"/>
      <c r="AE2016" s="137"/>
      <c r="AF2016" s="138"/>
      <c r="AG2016" s="138"/>
      <c r="AH2016" s="592" t="str">
        <f t="shared" si="1144"/>
        <v/>
      </c>
      <c r="AI2016" s="592" t="str">
        <f t="shared" si="1145"/>
        <v/>
      </c>
      <c r="AJ2016" s="592" t="str">
        <f t="shared" si="1146"/>
        <v/>
      </c>
      <c r="AK2016" s="460" t="str">
        <f>IF(AU2016="","",IF(OR(AZ2016=8,AZ2016=9),0,IF(OR(AW2016=3,AW2016=4,AW2016=5,AW2016=6),IF(LEFT(BF2016,1)="1",INDEX(係数_NOX・PM低減,MATCH(AY2016,【参考】排出係数!$AI$801:$AI$804,1),1),VLOOKUP(AU2016,INDEX((係数_バス貨物_ガソリン,係数_バス貨物_CNG,係数_バス貨物_軽油,係数_バス貨物_メタノール,係数_バス貨物_LPG),MATCH(AY2016,【参考】排出係数!$AI$4:$AI$671,1),1,BE2016):INDEX((係数_バス貨物_ガソリン,係数_バス貨物_CNG,係数_バス貨物_軽油,係数_バス貨物_メタノール,係数_バス貨物_LPG),MATCH(AY2016+1,【参考】排出係数!$AI$4:$AI$671,1)-1,5,BE2016),4,FALSE)),IF(AND(BE2016=3,LEFT(BF2016,1)="1"),0.48,VLOOKUP(AU2016,INDEX((係数_乗用_ガソリン,係数_乗用_CNG,係数_乗用_軽油,係数_乗用_メタノール,係数_乗用_LPG),1,1,BE2016):INDEX((係数_乗用_ガソリン,係数_乗用_CNG,係数_乗用_軽油,係数_乗用_メタノール,係数_乗用_LPG),125,5,BE2016),4,FALSE)))))</f>
        <v/>
      </c>
      <c r="AL2016" s="461" t="str">
        <f t="shared" si="1147"/>
        <v/>
      </c>
      <c r="AM2016" s="460" t="str">
        <f>IF(AU2016="","",IF(OR(AZ2016=8,AZ2016=9),0,IF(OR(AW2016=3,AW2016=4,AW2016=5,AW2016=6),IF(LEFT(BH2016,1)="1",INDEX(係数_PM低減,MATCH(AY2016,【参考】排出係数!$AI$801:$AI$804,1),MATCH(BI2016,【参考】排出係数!$AL$798:$AO$798,1)),VLOOKUP(AU2016,INDEX((係数_バス貨物_ガソリン,係数_バス貨物_CNG,係数_バス貨物_軽油,係数_バス貨物_メタノール,係数_バス貨物_LPG),MATCH(AY2016,【参考】排出係数!$AI$4:$AI$671,1),1,BE2016):INDEX((係数_バス貨物_ガソリン,係数_バス貨物_CNG,係数_バス貨物_軽油,係数_バス貨物_メタノール,係数_バス貨物_LPG),MATCH(AY2016+1,【参考】排出係数!$AI$4:$AI$671,1)-1,5,BE2016),5,FALSE)),IF(AND(BE2016=3,LEFT(BF2016,1)="1"),0.055,VLOOKUP(AU2016,INDEX((係数_乗用_ガソリン,係数_乗用_CNG,係数_乗用_軽油,係数_乗用_メタノール,係数_乗用_LPG),1,1,BE2016):INDEX((係数_乗用_ガソリン,係数_乗用_CNG,係数_乗用_軽油,係数_乗用_メタノール,係数_乗用_LPG),125,5,BE2016),5,FALSE)))))</f>
        <v/>
      </c>
      <c r="AN2016" s="461" t="str">
        <f t="shared" si="1148"/>
        <v/>
      </c>
      <c r="AO2016" s="462" t="str">
        <f t="shared" si="1149"/>
        <v/>
      </c>
      <c r="AP2016" s="463" t="str">
        <f t="shared" si="1150"/>
        <v/>
      </c>
      <c r="AQ2016" s="464"/>
      <c r="AR2016" s="619"/>
      <c r="AS2016" s="465" t="str">
        <f t="shared" si="1158"/>
        <v/>
      </c>
      <c r="AT2016" s="465" t="str">
        <f t="shared" si="1159"/>
        <v/>
      </c>
      <c r="AU2016" s="466" t="str">
        <f t="shared" si="1160"/>
        <v/>
      </c>
      <c r="AV2016" s="467" t="str">
        <f t="shared" si="1161"/>
        <v/>
      </c>
      <c r="AW2016" s="467" t="str">
        <f t="shared" si="1162"/>
        <v/>
      </c>
      <c r="AX2016" s="467" t="str">
        <f t="shared" si="1163"/>
        <v/>
      </c>
      <c r="AY2016" s="467" t="str">
        <f t="shared" si="1164"/>
        <v/>
      </c>
      <c r="AZ2016" s="467" t="str">
        <f t="shared" si="1165"/>
        <v/>
      </c>
      <c r="BA2016" s="468" t="str">
        <f>IF(AS2016="","",IF(OR(AU2016="",AU2016="-"),"－",IF(OR(AZ2016=8,AZ2016=9),"",IF(OR(AW2016=3,AW2016=4,AW2016=5,AW2016=6),VLOOKUP(AU2016,INDEX((係数_バス貨物_ガソリン,係数_バス貨物_CNG,係数_バス貨物_軽油,係数_バス貨物_メタノール,係数_バス貨物_LPG),MATCH(AY2016,【参考】排出係数!$AI$4:$AI$671,1),1,BE2016):INDEX((係数_バス貨物_ガソリン,係数_バス貨物_CNG,係数_バス貨物_軽油,係数_バス貨物_メタノール,係数_バス貨物_LPG),MATCH(AY2016+1,【参考】排出係数!$AI$4:$AI$671,1)-1,5,BE2016),2,FALSE),IF(OR(AW2016=1,AW2016=2),VLOOKUP(AU2016,INDEX((係数_乗用_ガソリン,係数_乗用_CNG,係数_乗用_軽油,係数_乗用_メタノール,係数_乗用_LPG),1,1,BE2016):INDEX((係数_乗用_ガソリン,係数_乗用_CNG,係数_乗用_軽油,係数_乗用_メタノール,係数_乗用_LPG),125,5,BE2016),2,FALSE))))))</f>
        <v/>
      </c>
      <c r="BB2016" s="468" t="str">
        <f>IF(T2016="","",IF(OR(AU2016="",AU2016="-"),"－",IF(OR(AZ2016=8,AZ2016=9),"",IF(OR(AW2016=3,AW2016=4,AW2016=5,AW2016=6),VLOOKUP(AU2016,INDEX((係数_バス貨物_ガソリン,係数_バス貨物_CNG,係数_バス貨物_軽油,係数_バス貨物_メタノール,係数_バス貨物_LPG),MATCH(AY2016,【参考】排出係数!$AI$4:$AI$671,1),1,BE2016):INDEX((係数_バス貨物_ガソリン,係数_バス貨物_CNG,係数_バス貨物_軽油,係数_バス貨物_メタノール,係数_バス貨物_LPG),MATCH(AY2016+1,【参考】排出係数!$AI$4:$AI$671,1)-1,5,BE2016),3,FALSE),IF(OR(AW2016=1,AW2016=2),VLOOKUP(AU2016,INDEX((係数_乗用_ガソリン,係数_乗用_CNG,係数_乗用_軽油,係数_乗用_メタノール,係数_乗用_LPG),1,1,BE2016):INDEX((係数_乗用_ガソリン,係数_乗用_CNG,係数_乗用_軽油,係数_乗用_メタノール,係数_乗用_LPG),125,5,BE2016),3,FALSE))))))</f>
        <v/>
      </c>
      <c r="BC2016" s="467" t="str">
        <f t="shared" si="1166"/>
        <v/>
      </c>
      <c r="BD2016" s="567" t="str">
        <f t="shared" si="1167"/>
        <v/>
      </c>
      <c r="BE2016" s="467" t="str">
        <f t="shared" si="1168"/>
        <v/>
      </c>
      <c r="BF2016" s="469" t="str">
        <f t="shared" ca="1" si="1169"/>
        <v/>
      </c>
      <c r="BG2016" s="469" t="str">
        <f t="shared" ca="1" si="1170"/>
        <v/>
      </c>
      <c r="BH2016" s="467" t="str">
        <f t="shared" si="1171"/>
        <v/>
      </c>
      <c r="BI2016" s="467" t="str">
        <f t="shared" ca="1" si="1172"/>
        <v/>
      </c>
      <c r="BJ2016" s="469" t="str">
        <f t="shared" si="1173"/>
        <v/>
      </c>
      <c r="BK2016" s="470" t="str">
        <f t="shared" si="1157"/>
        <v/>
      </c>
      <c r="BL2016" s="775" t="str">
        <f t="shared" si="1174"/>
        <v/>
      </c>
      <c r="BM2016" s="775" t="str">
        <f t="shared" si="1175"/>
        <v/>
      </c>
    </row>
    <row r="2017" spans="1:65">
      <c r="A2017" s="473">
        <v>1961</v>
      </c>
      <c r="B2017" s="132"/>
      <c r="C2017" s="332"/>
      <c r="D2017" s="333"/>
      <c r="E2017" s="333"/>
      <c r="F2017" s="334"/>
      <c r="G2017" s="337"/>
      <c r="H2017" s="131"/>
      <c r="I2017" s="337"/>
      <c r="J2017" s="131"/>
      <c r="K2017" s="458" t="str">
        <f t="shared" si="1138"/>
        <v/>
      </c>
      <c r="L2017" s="458">
        <f t="shared" si="1139"/>
        <v>0</v>
      </c>
      <c r="M2017" s="458">
        <f t="shared" si="1140"/>
        <v>0</v>
      </c>
      <c r="N2017" s="459" t="str">
        <f t="shared" si="1151"/>
        <v/>
      </c>
      <c r="O2017" s="459" t="str">
        <f t="shared" si="1152"/>
        <v/>
      </c>
      <c r="P2017" s="459" t="str">
        <f t="shared" si="1153"/>
        <v/>
      </c>
      <c r="Q2017" s="459" t="str">
        <f t="shared" si="1154"/>
        <v/>
      </c>
      <c r="R2017" s="459" t="str">
        <f t="shared" si="1155"/>
        <v/>
      </c>
      <c r="S2017" s="459" t="str">
        <f t="shared" si="1156"/>
        <v/>
      </c>
      <c r="T2017" s="566" t="str">
        <f t="shared" si="1141"/>
        <v/>
      </c>
      <c r="U2017" s="702"/>
      <c r="V2017" s="132"/>
      <c r="W2017" s="133"/>
      <c r="X2017" s="134"/>
      <c r="Y2017" s="135"/>
      <c r="Z2017" s="137"/>
      <c r="AA2017" s="136"/>
      <c r="AB2017" s="566" t="str">
        <f t="shared" si="1142"/>
        <v/>
      </c>
      <c r="AC2017" s="568" t="str">
        <f t="shared" si="1143"/>
        <v/>
      </c>
      <c r="AD2017" s="137"/>
      <c r="AE2017" s="137"/>
      <c r="AF2017" s="138"/>
      <c r="AG2017" s="138"/>
      <c r="AH2017" s="592" t="str">
        <f t="shared" si="1144"/>
        <v/>
      </c>
      <c r="AI2017" s="592" t="str">
        <f t="shared" si="1145"/>
        <v/>
      </c>
      <c r="AJ2017" s="592" t="str">
        <f t="shared" si="1146"/>
        <v/>
      </c>
      <c r="AK2017" s="460" t="str">
        <f>IF(AU2017="","",IF(OR(AZ2017=8,AZ2017=9),0,IF(OR(AW2017=3,AW2017=4,AW2017=5,AW2017=6),IF(LEFT(BF2017,1)="1",INDEX(係数_NOX・PM低減,MATCH(AY2017,【参考】排出係数!$AI$801:$AI$804,1),1),VLOOKUP(AU2017,INDEX((係数_バス貨物_ガソリン,係数_バス貨物_CNG,係数_バス貨物_軽油,係数_バス貨物_メタノール,係数_バス貨物_LPG),MATCH(AY2017,【参考】排出係数!$AI$4:$AI$671,1),1,BE2017):INDEX((係数_バス貨物_ガソリン,係数_バス貨物_CNG,係数_バス貨物_軽油,係数_バス貨物_メタノール,係数_バス貨物_LPG),MATCH(AY2017+1,【参考】排出係数!$AI$4:$AI$671,1)-1,5,BE2017),4,FALSE)),IF(AND(BE2017=3,LEFT(BF2017,1)="1"),0.48,VLOOKUP(AU2017,INDEX((係数_乗用_ガソリン,係数_乗用_CNG,係数_乗用_軽油,係数_乗用_メタノール,係数_乗用_LPG),1,1,BE2017):INDEX((係数_乗用_ガソリン,係数_乗用_CNG,係数_乗用_軽油,係数_乗用_メタノール,係数_乗用_LPG),125,5,BE2017),4,FALSE)))))</f>
        <v/>
      </c>
      <c r="AL2017" s="461" t="str">
        <f t="shared" si="1147"/>
        <v/>
      </c>
      <c r="AM2017" s="460" t="str">
        <f>IF(AU2017="","",IF(OR(AZ2017=8,AZ2017=9),0,IF(OR(AW2017=3,AW2017=4,AW2017=5,AW2017=6),IF(LEFT(BH2017,1)="1",INDEX(係数_PM低減,MATCH(AY2017,【参考】排出係数!$AI$801:$AI$804,1),MATCH(BI2017,【参考】排出係数!$AL$798:$AO$798,1)),VLOOKUP(AU2017,INDEX((係数_バス貨物_ガソリン,係数_バス貨物_CNG,係数_バス貨物_軽油,係数_バス貨物_メタノール,係数_バス貨物_LPG),MATCH(AY2017,【参考】排出係数!$AI$4:$AI$671,1),1,BE2017):INDEX((係数_バス貨物_ガソリン,係数_バス貨物_CNG,係数_バス貨物_軽油,係数_バス貨物_メタノール,係数_バス貨物_LPG),MATCH(AY2017+1,【参考】排出係数!$AI$4:$AI$671,1)-1,5,BE2017),5,FALSE)),IF(AND(BE2017=3,LEFT(BF2017,1)="1"),0.055,VLOOKUP(AU2017,INDEX((係数_乗用_ガソリン,係数_乗用_CNG,係数_乗用_軽油,係数_乗用_メタノール,係数_乗用_LPG),1,1,BE2017):INDEX((係数_乗用_ガソリン,係数_乗用_CNG,係数_乗用_軽油,係数_乗用_メタノール,係数_乗用_LPG),125,5,BE2017),5,FALSE)))))</f>
        <v/>
      </c>
      <c r="AN2017" s="461" t="str">
        <f t="shared" si="1148"/>
        <v/>
      </c>
      <c r="AO2017" s="462" t="str">
        <f t="shared" si="1149"/>
        <v/>
      </c>
      <c r="AP2017" s="463" t="str">
        <f t="shared" si="1150"/>
        <v/>
      </c>
      <c r="AQ2017" s="464"/>
      <c r="AR2017" s="619"/>
      <c r="AS2017" s="465" t="str">
        <f t="shared" si="1158"/>
        <v/>
      </c>
      <c r="AT2017" s="465" t="str">
        <f t="shared" si="1159"/>
        <v/>
      </c>
      <c r="AU2017" s="466" t="str">
        <f t="shared" si="1160"/>
        <v/>
      </c>
      <c r="AV2017" s="467" t="str">
        <f t="shared" si="1161"/>
        <v/>
      </c>
      <c r="AW2017" s="467" t="str">
        <f t="shared" si="1162"/>
        <v/>
      </c>
      <c r="AX2017" s="467" t="str">
        <f t="shared" si="1163"/>
        <v/>
      </c>
      <c r="AY2017" s="467" t="str">
        <f t="shared" si="1164"/>
        <v/>
      </c>
      <c r="AZ2017" s="467" t="str">
        <f t="shared" si="1165"/>
        <v/>
      </c>
      <c r="BA2017" s="468" t="str">
        <f>IF(AS2017="","",IF(OR(AU2017="",AU2017="-"),"－",IF(OR(AZ2017=8,AZ2017=9),"",IF(OR(AW2017=3,AW2017=4,AW2017=5,AW2017=6),VLOOKUP(AU2017,INDEX((係数_バス貨物_ガソリン,係数_バス貨物_CNG,係数_バス貨物_軽油,係数_バス貨物_メタノール,係数_バス貨物_LPG),MATCH(AY2017,【参考】排出係数!$AI$4:$AI$671,1),1,BE2017):INDEX((係数_バス貨物_ガソリン,係数_バス貨物_CNG,係数_バス貨物_軽油,係数_バス貨物_メタノール,係数_バス貨物_LPG),MATCH(AY2017+1,【参考】排出係数!$AI$4:$AI$671,1)-1,5,BE2017),2,FALSE),IF(OR(AW2017=1,AW2017=2),VLOOKUP(AU2017,INDEX((係数_乗用_ガソリン,係数_乗用_CNG,係数_乗用_軽油,係数_乗用_メタノール,係数_乗用_LPG),1,1,BE2017):INDEX((係数_乗用_ガソリン,係数_乗用_CNG,係数_乗用_軽油,係数_乗用_メタノール,係数_乗用_LPG),125,5,BE2017),2,FALSE))))))</f>
        <v/>
      </c>
      <c r="BB2017" s="468" t="str">
        <f>IF(T2017="","",IF(OR(AU2017="",AU2017="-"),"－",IF(OR(AZ2017=8,AZ2017=9),"",IF(OR(AW2017=3,AW2017=4,AW2017=5,AW2017=6),VLOOKUP(AU2017,INDEX((係数_バス貨物_ガソリン,係数_バス貨物_CNG,係数_バス貨物_軽油,係数_バス貨物_メタノール,係数_バス貨物_LPG),MATCH(AY2017,【参考】排出係数!$AI$4:$AI$671,1),1,BE2017):INDEX((係数_バス貨物_ガソリン,係数_バス貨物_CNG,係数_バス貨物_軽油,係数_バス貨物_メタノール,係数_バス貨物_LPG),MATCH(AY2017+1,【参考】排出係数!$AI$4:$AI$671,1)-1,5,BE2017),3,FALSE),IF(OR(AW2017=1,AW2017=2),VLOOKUP(AU2017,INDEX((係数_乗用_ガソリン,係数_乗用_CNG,係数_乗用_軽油,係数_乗用_メタノール,係数_乗用_LPG),1,1,BE2017):INDEX((係数_乗用_ガソリン,係数_乗用_CNG,係数_乗用_軽油,係数_乗用_メタノール,係数_乗用_LPG),125,5,BE2017),3,FALSE))))))</f>
        <v/>
      </c>
      <c r="BC2017" s="467" t="str">
        <f t="shared" si="1166"/>
        <v/>
      </c>
      <c r="BD2017" s="567" t="str">
        <f t="shared" si="1167"/>
        <v/>
      </c>
      <c r="BE2017" s="467" t="str">
        <f t="shared" si="1168"/>
        <v/>
      </c>
      <c r="BF2017" s="469" t="str">
        <f t="shared" ca="1" si="1169"/>
        <v/>
      </c>
      <c r="BG2017" s="469" t="str">
        <f t="shared" ca="1" si="1170"/>
        <v/>
      </c>
      <c r="BH2017" s="467" t="str">
        <f t="shared" si="1171"/>
        <v/>
      </c>
      <c r="BI2017" s="467" t="str">
        <f t="shared" ca="1" si="1172"/>
        <v/>
      </c>
      <c r="BJ2017" s="469" t="str">
        <f t="shared" si="1173"/>
        <v/>
      </c>
      <c r="BK2017" s="470" t="str">
        <f t="shared" si="1157"/>
        <v/>
      </c>
      <c r="BL2017" s="775" t="str">
        <f t="shared" si="1174"/>
        <v/>
      </c>
      <c r="BM2017" s="775" t="str">
        <f t="shared" si="1175"/>
        <v/>
      </c>
    </row>
    <row r="2018" spans="1:65">
      <c r="A2018" s="473">
        <v>1962</v>
      </c>
      <c r="B2018" s="132"/>
      <c r="C2018" s="332"/>
      <c r="D2018" s="333"/>
      <c r="E2018" s="333"/>
      <c r="F2018" s="334"/>
      <c r="G2018" s="337"/>
      <c r="H2018" s="131"/>
      <c r="I2018" s="337"/>
      <c r="J2018" s="131"/>
      <c r="K2018" s="458" t="str">
        <f t="shared" si="1138"/>
        <v/>
      </c>
      <c r="L2018" s="458">
        <f t="shared" si="1139"/>
        <v>0</v>
      </c>
      <c r="M2018" s="458">
        <f t="shared" si="1140"/>
        <v>0</v>
      </c>
      <c r="N2018" s="459" t="str">
        <f t="shared" si="1151"/>
        <v/>
      </c>
      <c r="O2018" s="459" t="str">
        <f t="shared" si="1152"/>
        <v/>
      </c>
      <c r="P2018" s="459" t="str">
        <f t="shared" si="1153"/>
        <v/>
      </c>
      <c r="Q2018" s="459" t="str">
        <f t="shared" si="1154"/>
        <v/>
      </c>
      <c r="R2018" s="459" t="str">
        <f t="shared" si="1155"/>
        <v/>
      </c>
      <c r="S2018" s="459" t="str">
        <f t="shared" si="1156"/>
        <v/>
      </c>
      <c r="T2018" s="566" t="str">
        <f t="shared" si="1141"/>
        <v/>
      </c>
      <c r="U2018" s="702"/>
      <c r="V2018" s="132"/>
      <c r="W2018" s="133"/>
      <c r="X2018" s="134"/>
      <c r="Y2018" s="135"/>
      <c r="Z2018" s="137"/>
      <c r="AA2018" s="136"/>
      <c r="AB2018" s="566" t="str">
        <f t="shared" si="1142"/>
        <v/>
      </c>
      <c r="AC2018" s="568" t="str">
        <f t="shared" si="1143"/>
        <v/>
      </c>
      <c r="AD2018" s="137"/>
      <c r="AE2018" s="137"/>
      <c r="AF2018" s="138"/>
      <c r="AG2018" s="138"/>
      <c r="AH2018" s="592" t="str">
        <f t="shared" si="1144"/>
        <v/>
      </c>
      <c r="AI2018" s="592" t="str">
        <f t="shared" si="1145"/>
        <v/>
      </c>
      <c r="AJ2018" s="592" t="str">
        <f t="shared" si="1146"/>
        <v/>
      </c>
      <c r="AK2018" s="460" t="str">
        <f>IF(AU2018="","",IF(OR(AZ2018=8,AZ2018=9),0,IF(OR(AW2018=3,AW2018=4,AW2018=5,AW2018=6),IF(LEFT(BF2018,1)="1",INDEX(係数_NOX・PM低減,MATCH(AY2018,【参考】排出係数!$AI$801:$AI$804,1),1),VLOOKUP(AU2018,INDEX((係数_バス貨物_ガソリン,係数_バス貨物_CNG,係数_バス貨物_軽油,係数_バス貨物_メタノール,係数_バス貨物_LPG),MATCH(AY2018,【参考】排出係数!$AI$4:$AI$671,1),1,BE2018):INDEX((係数_バス貨物_ガソリン,係数_バス貨物_CNG,係数_バス貨物_軽油,係数_バス貨物_メタノール,係数_バス貨物_LPG),MATCH(AY2018+1,【参考】排出係数!$AI$4:$AI$671,1)-1,5,BE2018),4,FALSE)),IF(AND(BE2018=3,LEFT(BF2018,1)="1"),0.48,VLOOKUP(AU2018,INDEX((係数_乗用_ガソリン,係数_乗用_CNG,係数_乗用_軽油,係数_乗用_メタノール,係数_乗用_LPG),1,1,BE2018):INDEX((係数_乗用_ガソリン,係数_乗用_CNG,係数_乗用_軽油,係数_乗用_メタノール,係数_乗用_LPG),125,5,BE2018),4,FALSE)))))</f>
        <v/>
      </c>
      <c r="AL2018" s="461" t="str">
        <f t="shared" si="1147"/>
        <v/>
      </c>
      <c r="AM2018" s="460" t="str">
        <f>IF(AU2018="","",IF(OR(AZ2018=8,AZ2018=9),0,IF(OR(AW2018=3,AW2018=4,AW2018=5,AW2018=6),IF(LEFT(BH2018,1)="1",INDEX(係数_PM低減,MATCH(AY2018,【参考】排出係数!$AI$801:$AI$804,1),MATCH(BI2018,【参考】排出係数!$AL$798:$AO$798,1)),VLOOKUP(AU2018,INDEX((係数_バス貨物_ガソリン,係数_バス貨物_CNG,係数_バス貨物_軽油,係数_バス貨物_メタノール,係数_バス貨物_LPG),MATCH(AY2018,【参考】排出係数!$AI$4:$AI$671,1),1,BE2018):INDEX((係数_バス貨物_ガソリン,係数_バス貨物_CNG,係数_バス貨物_軽油,係数_バス貨物_メタノール,係数_バス貨物_LPG),MATCH(AY2018+1,【参考】排出係数!$AI$4:$AI$671,1)-1,5,BE2018),5,FALSE)),IF(AND(BE2018=3,LEFT(BF2018,1)="1"),0.055,VLOOKUP(AU2018,INDEX((係数_乗用_ガソリン,係数_乗用_CNG,係数_乗用_軽油,係数_乗用_メタノール,係数_乗用_LPG),1,1,BE2018):INDEX((係数_乗用_ガソリン,係数_乗用_CNG,係数_乗用_軽油,係数_乗用_メタノール,係数_乗用_LPG),125,5,BE2018),5,FALSE)))))</f>
        <v/>
      </c>
      <c r="AN2018" s="461" t="str">
        <f t="shared" si="1148"/>
        <v/>
      </c>
      <c r="AO2018" s="462" t="str">
        <f t="shared" si="1149"/>
        <v/>
      </c>
      <c r="AP2018" s="463" t="str">
        <f t="shared" si="1150"/>
        <v/>
      </c>
      <c r="AQ2018" s="464"/>
      <c r="AR2018" s="619"/>
      <c r="AS2018" s="465" t="str">
        <f t="shared" si="1158"/>
        <v/>
      </c>
      <c r="AT2018" s="465" t="str">
        <f t="shared" si="1159"/>
        <v/>
      </c>
      <c r="AU2018" s="466" t="str">
        <f t="shared" si="1160"/>
        <v/>
      </c>
      <c r="AV2018" s="467" t="str">
        <f t="shared" si="1161"/>
        <v/>
      </c>
      <c r="AW2018" s="467" t="str">
        <f t="shared" si="1162"/>
        <v/>
      </c>
      <c r="AX2018" s="467" t="str">
        <f t="shared" si="1163"/>
        <v/>
      </c>
      <c r="AY2018" s="467" t="str">
        <f t="shared" si="1164"/>
        <v/>
      </c>
      <c r="AZ2018" s="467" t="str">
        <f t="shared" si="1165"/>
        <v/>
      </c>
      <c r="BA2018" s="468" t="str">
        <f>IF(AS2018="","",IF(OR(AU2018="",AU2018="-"),"－",IF(OR(AZ2018=8,AZ2018=9),"",IF(OR(AW2018=3,AW2018=4,AW2018=5,AW2018=6),VLOOKUP(AU2018,INDEX((係数_バス貨物_ガソリン,係数_バス貨物_CNG,係数_バス貨物_軽油,係数_バス貨物_メタノール,係数_バス貨物_LPG),MATCH(AY2018,【参考】排出係数!$AI$4:$AI$671,1),1,BE2018):INDEX((係数_バス貨物_ガソリン,係数_バス貨物_CNG,係数_バス貨物_軽油,係数_バス貨物_メタノール,係数_バス貨物_LPG),MATCH(AY2018+1,【参考】排出係数!$AI$4:$AI$671,1)-1,5,BE2018),2,FALSE),IF(OR(AW2018=1,AW2018=2),VLOOKUP(AU2018,INDEX((係数_乗用_ガソリン,係数_乗用_CNG,係数_乗用_軽油,係数_乗用_メタノール,係数_乗用_LPG),1,1,BE2018):INDEX((係数_乗用_ガソリン,係数_乗用_CNG,係数_乗用_軽油,係数_乗用_メタノール,係数_乗用_LPG),125,5,BE2018),2,FALSE))))))</f>
        <v/>
      </c>
      <c r="BB2018" s="468" t="str">
        <f>IF(T2018="","",IF(OR(AU2018="",AU2018="-"),"－",IF(OR(AZ2018=8,AZ2018=9),"",IF(OR(AW2018=3,AW2018=4,AW2018=5,AW2018=6),VLOOKUP(AU2018,INDEX((係数_バス貨物_ガソリン,係数_バス貨物_CNG,係数_バス貨物_軽油,係数_バス貨物_メタノール,係数_バス貨物_LPG),MATCH(AY2018,【参考】排出係数!$AI$4:$AI$671,1),1,BE2018):INDEX((係数_バス貨物_ガソリン,係数_バス貨物_CNG,係数_バス貨物_軽油,係数_バス貨物_メタノール,係数_バス貨物_LPG),MATCH(AY2018+1,【参考】排出係数!$AI$4:$AI$671,1)-1,5,BE2018),3,FALSE),IF(OR(AW2018=1,AW2018=2),VLOOKUP(AU2018,INDEX((係数_乗用_ガソリン,係数_乗用_CNG,係数_乗用_軽油,係数_乗用_メタノール,係数_乗用_LPG),1,1,BE2018):INDEX((係数_乗用_ガソリン,係数_乗用_CNG,係数_乗用_軽油,係数_乗用_メタノール,係数_乗用_LPG),125,5,BE2018),3,FALSE))))))</f>
        <v/>
      </c>
      <c r="BC2018" s="467" t="str">
        <f t="shared" si="1166"/>
        <v/>
      </c>
      <c r="BD2018" s="567" t="str">
        <f t="shared" si="1167"/>
        <v/>
      </c>
      <c r="BE2018" s="467" t="str">
        <f t="shared" si="1168"/>
        <v/>
      </c>
      <c r="BF2018" s="469" t="str">
        <f t="shared" ca="1" si="1169"/>
        <v/>
      </c>
      <c r="BG2018" s="469" t="str">
        <f t="shared" ca="1" si="1170"/>
        <v/>
      </c>
      <c r="BH2018" s="467" t="str">
        <f t="shared" si="1171"/>
        <v/>
      </c>
      <c r="BI2018" s="467" t="str">
        <f t="shared" ca="1" si="1172"/>
        <v/>
      </c>
      <c r="BJ2018" s="469" t="str">
        <f t="shared" si="1173"/>
        <v/>
      </c>
      <c r="BK2018" s="470" t="str">
        <f t="shared" si="1157"/>
        <v/>
      </c>
      <c r="BL2018" s="775" t="str">
        <f t="shared" si="1174"/>
        <v/>
      </c>
      <c r="BM2018" s="775" t="str">
        <f t="shared" si="1175"/>
        <v/>
      </c>
    </row>
    <row r="2019" spans="1:65">
      <c r="A2019" s="473">
        <v>1963</v>
      </c>
      <c r="B2019" s="132"/>
      <c r="C2019" s="332"/>
      <c r="D2019" s="333"/>
      <c r="E2019" s="333"/>
      <c r="F2019" s="334"/>
      <c r="G2019" s="337"/>
      <c r="H2019" s="131"/>
      <c r="I2019" s="337"/>
      <c r="J2019" s="131"/>
      <c r="K2019" s="458" t="str">
        <f t="shared" si="1138"/>
        <v/>
      </c>
      <c r="L2019" s="458">
        <f t="shared" si="1139"/>
        <v>0</v>
      </c>
      <c r="M2019" s="458">
        <f t="shared" si="1140"/>
        <v>0</v>
      </c>
      <c r="N2019" s="459" t="str">
        <f t="shared" si="1151"/>
        <v/>
      </c>
      <c r="O2019" s="459" t="str">
        <f t="shared" si="1152"/>
        <v/>
      </c>
      <c r="P2019" s="459" t="str">
        <f t="shared" si="1153"/>
        <v/>
      </c>
      <c r="Q2019" s="459" t="str">
        <f t="shared" si="1154"/>
        <v/>
      </c>
      <c r="R2019" s="459" t="str">
        <f t="shared" si="1155"/>
        <v/>
      </c>
      <c r="S2019" s="459" t="str">
        <f t="shared" si="1156"/>
        <v/>
      </c>
      <c r="T2019" s="566" t="str">
        <f t="shared" si="1141"/>
        <v/>
      </c>
      <c r="U2019" s="702"/>
      <c r="V2019" s="132"/>
      <c r="W2019" s="133"/>
      <c r="X2019" s="134"/>
      <c r="Y2019" s="135"/>
      <c r="Z2019" s="137"/>
      <c r="AA2019" s="136"/>
      <c r="AB2019" s="566" t="str">
        <f t="shared" si="1142"/>
        <v/>
      </c>
      <c r="AC2019" s="568" t="str">
        <f t="shared" si="1143"/>
        <v/>
      </c>
      <c r="AD2019" s="137"/>
      <c r="AE2019" s="137"/>
      <c r="AF2019" s="138"/>
      <c r="AG2019" s="138"/>
      <c r="AH2019" s="592" t="str">
        <f t="shared" si="1144"/>
        <v/>
      </c>
      <c r="AI2019" s="592" t="str">
        <f t="shared" si="1145"/>
        <v/>
      </c>
      <c r="AJ2019" s="592" t="str">
        <f t="shared" si="1146"/>
        <v/>
      </c>
      <c r="AK2019" s="460" t="str">
        <f>IF(AU2019="","",IF(OR(AZ2019=8,AZ2019=9),0,IF(OR(AW2019=3,AW2019=4,AW2019=5,AW2019=6),IF(LEFT(BF2019,1)="1",INDEX(係数_NOX・PM低減,MATCH(AY2019,【参考】排出係数!$AI$801:$AI$804,1),1),VLOOKUP(AU2019,INDEX((係数_バス貨物_ガソリン,係数_バス貨物_CNG,係数_バス貨物_軽油,係数_バス貨物_メタノール,係数_バス貨物_LPG),MATCH(AY2019,【参考】排出係数!$AI$4:$AI$671,1),1,BE2019):INDEX((係数_バス貨物_ガソリン,係数_バス貨物_CNG,係数_バス貨物_軽油,係数_バス貨物_メタノール,係数_バス貨物_LPG),MATCH(AY2019+1,【参考】排出係数!$AI$4:$AI$671,1)-1,5,BE2019),4,FALSE)),IF(AND(BE2019=3,LEFT(BF2019,1)="1"),0.48,VLOOKUP(AU2019,INDEX((係数_乗用_ガソリン,係数_乗用_CNG,係数_乗用_軽油,係数_乗用_メタノール,係数_乗用_LPG),1,1,BE2019):INDEX((係数_乗用_ガソリン,係数_乗用_CNG,係数_乗用_軽油,係数_乗用_メタノール,係数_乗用_LPG),125,5,BE2019),4,FALSE)))))</f>
        <v/>
      </c>
      <c r="AL2019" s="461" t="str">
        <f t="shared" si="1147"/>
        <v/>
      </c>
      <c r="AM2019" s="460" t="str">
        <f>IF(AU2019="","",IF(OR(AZ2019=8,AZ2019=9),0,IF(OR(AW2019=3,AW2019=4,AW2019=5,AW2019=6),IF(LEFT(BH2019,1)="1",INDEX(係数_PM低減,MATCH(AY2019,【参考】排出係数!$AI$801:$AI$804,1),MATCH(BI2019,【参考】排出係数!$AL$798:$AO$798,1)),VLOOKUP(AU2019,INDEX((係数_バス貨物_ガソリン,係数_バス貨物_CNG,係数_バス貨物_軽油,係数_バス貨物_メタノール,係数_バス貨物_LPG),MATCH(AY2019,【参考】排出係数!$AI$4:$AI$671,1),1,BE2019):INDEX((係数_バス貨物_ガソリン,係数_バス貨物_CNG,係数_バス貨物_軽油,係数_バス貨物_メタノール,係数_バス貨物_LPG),MATCH(AY2019+1,【参考】排出係数!$AI$4:$AI$671,1)-1,5,BE2019),5,FALSE)),IF(AND(BE2019=3,LEFT(BF2019,1)="1"),0.055,VLOOKUP(AU2019,INDEX((係数_乗用_ガソリン,係数_乗用_CNG,係数_乗用_軽油,係数_乗用_メタノール,係数_乗用_LPG),1,1,BE2019):INDEX((係数_乗用_ガソリン,係数_乗用_CNG,係数_乗用_軽油,係数_乗用_メタノール,係数_乗用_LPG),125,5,BE2019),5,FALSE)))))</f>
        <v/>
      </c>
      <c r="AN2019" s="461" t="str">
        <f t="shared" si="1148"/>
        <v/>
      </c>
      <c r="AO2019" s="462" t="str">
        <f t="shared" si="1149"/>
        <v/>
      </c>
      <c r="AP2019" s="463" t="str">
        <f t="shared" si="1150"/>
        <v/>
      </c>
      <c r="AQ2019" s="464"/>
      <c r="AR2019" s="619"/>
      <c r="AS2019" s="465" t="str">
        <f t="shared" si="1158"/>
        <v/>
      </c>
      <c r="AT2019" s="465" t="str">
        <f t="shared" si="1159"/>
        <v/>
      </c>
      <c r="AU2019" s="466" t="str">
        <f t="shared" si="1160"/>
        <v/>
      </c>
      <c r="AV2019" s="467" t="str">
        <f t="shared" si="1161"/>
        <v/>
      </c>
      <c r="AW2019" s="467" t="str">
        <f t="shared" si="1162"/>
        <v/>
      </c>
      <c r="AX2019" s="467" t="str">
        <f t="shared" si="1163"/>
        <v/>
      </c>
      <c r="AY2019" s="467" t="str">
        <f t="shared" si="1164"/>
        <v/>
      </c>
      <c r="AZ2019" s="467" t="str">
        <f t="shared" si="1165"/>
        <v/>
      </c>
      <c r="BA2019" s="468" t="str">
        <f>IF(AS2019="","",IF(OR(AU2019="",AU2019="-"),"－",IF(OR(AZ2019=8,AZ2019=9),"",IF(OR(AW2019=3,AW2019=4,AW2019=5,AW2019=6),VLOOKUP(AU2019,INDEX((係数_バス貨物_ガソリン,係数_バス貨物_CNG,係数_バス貨物_軽油,係数_バス貨物_メタノール,係数_バス貨物_LPG),MATCH(AY2019,【参考】排出係数!$AI$4:$AI$671,1),1,BE2019):INDEX((係数_バス貨物_ガソリン,係数_バス貨物_CNG,係数_バス貨物_軽油,係数_バス貨物_メタノール,係数_バス貨物_LPG),MATCH(AY2019+1,【参考】排出係数!$AI$4:$AI$671,1)-1,5,BE2019),2,FALSE),IF(OR(AW2019=1,AW2019=2),VLOOKUP(AU2019,INDEX((係数_乗用_ガソリン,係数_乗用_CNG,係数_乗用_軽油,係数_乗用_メタノール,係数_乗用_LPG),1,1,BE2019):INDEX((係数_乗用_ガソリン,係数_乗用_CNG,係数_乗用_軽油,係数_乗用_メタノール,係数_乗用_LPG),125,5,BE2019),2,FALSE))))))</f>
        <v/>
      </c>
      <c r="BB2019" s="468" t="str">
        <f>IF(T2019="","",IF(OR(AU2019="",AU2019="-"),"－",IF(OR(AZ2019=8,AZ2019=9),"",IF(OR(AW2019=3,AW2019=4,AW2019=5,AW2019=6),VLOOKUP(AU2019,INDEX((係数_バス貨物_ガソリン,係数_バス貨物_CNG,係数_バス貨物_軽油,係数_バス貨物_メタノール,係数_バス貨物_LPG),MATCH(AY2019,【参考】排出係数!$AI$4:$AI$671,1),1,BE2019):INDEX((係数_バス貨物_ガソリン,係数_バス貨物_CNG,係数_バス貨物_軽油,係数_バス貨物_メタノール,係数_バス貨物_LPG),MATCH(AY2019+1,【参考】排出係数!$AI$4:$AI$671,1)-1,5,BE2019),3,FALSE),IF(OR(AW2019=1,AW2019=2),VLOOKUP(AU2019,INDEX((係数_乗用_ガソリン,係数_乗用_CNG,係数_乗用_軽油,係数_乗用_メタノール,係数_乗用_LPG),1,1,BE2019):INDEX((係数_乗用_ガソリン,係数_乗用_CNG,係数_乗用_軽油,係数_乗用_メタノール,係数_乗用_LPG),125,5,BE2019),3,FALSE))))))</f>
        <v/>
      </c>
      <c r="BC2019" s="467" t="str">
        <f t="shared" si="1166"/>
        <v/>
      </c>
      <c r="BD2019" s="567" t="str">
        <f t="shared" si="1167"/>
        <v/>
      </c>
      <c r="BE2019" s="467" t="str">
        <f t="shared" si="1168"/>
        <v/>
      </c>
      <c r="BF2019" s="469" t="str">
        <f t="shared" ca="1" si="1169"/>
        <v/>
      </c>
      <c r="BG2019" s="469" t="str">
        <f t="shared" ca="1" si="1170"/>
        <v/>
      </c>
      <c r="BH2019" s="467" t="str">
        <f t="shared" si="1171"/>
        <v/>
      </c>
      <c r="BI2019" s="467" t="str">
        <f t="shared" ca="1" si="1172"/>
        <v/>
      </c>
      <c r="BJ2019" s="469" t="str">
        <f t="shared" si="1173"/>
        <v/>
      </c>
      <c r="BK2019" s="470" t="str">
        <f t="shared" si="1157"/>
        <v/>
      </c>
      <c r="BL2019" s="775" t="str">
        <f t="shared" si="1174"/>
        <v/>
      </c>
      <c r="BM2019" s="775" t="str">
        <f t="shared" si="1175"/>
        <v/>
      </c>
    </row>
    <row r="2020" spans="1:65">
      <c r="A2020" s="473">
        <v>1964</v>
      </c>
      <c r="B2020" s="132"/>
      <c r="C2020" s="332"/>
      <c r="D2020" s="333"/>
      <c r="E2020" s="333"/>
      <c r="F2020" s="334"/>
      <c r="G2020" s="337"/>
      <c r="H2020" s="131"/>
      <c r="I2020" s="337"/>
      <c r="J2020" s="131"/>
      <c r="K2020" s="458" t="str">
        <f t="shared" si="1138"/>
        <v/>
      </c>
      <c r="L2020" s="458">
        <f t="shared" si="1139"/>
        <v>0</v>
      </c>
      <c r="M2020" s="458">
        <f t="shared" si="1140"/>
        <v>0</v>
      </c>
      <c r="N2020" s="459" t="str">
        <f t="shared" si="1151"/>
        <v/>
      </c>
      <c r="O2020" s="459" t="str">
        <f t="shared" si="1152"/>
        <v/>
      </c>
      <c r="P2020" s="459" t="str">
        <f t="shared" si="1153"/>
        <v/>
      </c>
      <c r="Q2020" s="459" t="str">
        <f t="shared" si="1154"/>
        <v/>
      </c>
      <c r="R2020" s="459" t="str">
        <f t="shared" si="1155"/>
        <v/>
      </c>
      <c r="S2020" s="459" t="str">
        <f t="shared" si="1156"/>
        <v/>
      </c>
      <c r="T2020" s="566" t="str">
        <f t="shared" si="1141"/>
        <v/>
      </c>
      <c r="U2020" s="702"/>
      <c r="V2020" s="132"/>
      <c r="W2020" s="133"/>
      <c r="X2020" s="134"/>
      <c r="Y2020" s="135"/>
      <c r="Z2020" s="137"/>
      <c r="AA2020" s="136"/>
      <c r="AB2020" s="566" t="str">
        <f t="shared" si="1142"/>
        <v/>
      </c>
      <c r="AC2020" s="568" t="str">
        <f t="shared" si="1143"/>
        <v/>
      </c>
      <c r="AD2020" s="137"/>
      <c r="AE2020" s="137"/>
      <c r="AF2020" s="138"/>
      <c r="AG2020" s="138"/>
      <c r="AH2020" s="592" t="str">
        <f t="shared" si="1144"/>
        <v/>
      </c>
      <c r="AI2020" s="592" t="str">
        <f t="shared" si="1145"/>
        <v/>
      </c>
      <c r="AJ2020" s="592" t="str">
        <f t="shared" si="1146"/>
        <v/>
      </c>
      <c r="AK2020" s="460" t="str">
        <f>IF(AU2020="","",IF(OR(AZ2020=8,AZ2020=9),0,IF(OR(AW2020=3,AW2020=4,AW2020=5,AW2020=6),IF(LEFT(BF2020,1)="1",INDEX(係数_NOX・PM低減,MATCH(AY2020,【参考】排出係数!$AI$801:$AI$804,1),1),VLOOKUP(AU2020,INDEX((係数_バス貨物_ガソリン,係数_バス貨物_CNG,係数_バス貨物_軽油,係数_バス貨物_メタノール,係数_バス貨物_LPG),MATCH(AY2020,【参考】排出係数!$AI$4:$AI$671,1),1,BE2020):INDEX((係数_バス貨物_ガソリン,係数_バス貨物_CNG,係数_バス貨物_軽油,係数_バス貨物_メタノール,係数_バス貨物_LPG),MATCH(AY2020+1,【参考】排出係数!$AI$4:$AI$671,1)-1,5,BE2020),4,FALSE)),IF(AND(BE2020=3,LEFT(BF2020,1)="1"),0.48,VLOOKUP(AU2020,INDEX((係数_乗用_ガソリン,係数_乗用_CNG,係数_乗用_軽油,係数_乗用_メタノール,係数_乗用_LPG),1,1,BE2020):INDEX((係数_乗用_ガソリン,係数_乗用_CNG,係数_乗用_軽油,係数_乗用_メタノール,係数_乗用_LPG),125,5,BE2020),4,FALSE)))))</f>
        <v/>
      </c>
      <c r="AL2020" s="461" t="str">
        <f t="shared" si="1147"/>
        <v/>
      </c>
      <c r="AM2020" s="460" t="str">
        <f>IF(AU2020="","",IF(OR(AZ2020=8,AZ2020=9),0,IF(OR(AW2020=3,AW2020=4,AW2020=5,AW2020=6),IF(LEFT(BH2020,1)="1",INDEX(係数_PM低減,MATCH(AY2020,【参考】排出係数!$AI$801:$AI$804,1),MATCH(BI2020,【参考】排出係数!$AL$798:$AO$798,1)),VLOOKUP(AU2020,INDEX((係数_バス貨物_ガソリン,係数_バス貨物_CNG,係数_バス貨物_軽油,係数_バス貨物_メタノール,係数_バス貨物_LPG),MATCH(AY2020,【参考】排出係数!$AI$4:$AI$671,1),1,BE2020):INDEX((係数_バス貨物_ガソリン,係数_バス貨物_CNG,係数_バス貨物_軽油,係数_バス貨物_メタノール,係数_バス貨物_LPG),MATCH(AY2020+1,【参考】排出係数!$AI$4:$AI$671,1)-1,5,BE2020),5,FALSE)),IF(AND(BE2020=3,LEFT(BF2020,1)="1"),0.055,VLOOKUP(AU2020,INDEX((係数_乗用_ガソリン,係数_乗用_CNG,係数_乗用_軽油,係数_乗用_メタノール,係数_乗用_LPG),1,1,BE2020):INDEX((係数_乗用_ガソリン,係数_乗用_CNG,係数_乗用_軽油,係数_乗用_メタノール,係数_乗用_LPG),125,5,BE2020),5,FALSE)))))</f>
        <v/>
      </c>
      <c r="AN2020" s="461" t="str">
        <f t="shared" si="1148"/>
        <v/>
      </c>
      <c r="AO2020" s="462" t="str">
        <f t="shared" si="1149"/>
        <v/>
      </c>
      <c r="AP2020" s="463" t="str">
        <f t="shared" si="1150"/>
        <v/>
      </c>
      <c r="AQ2020" s="464"/>
      <c r="AR2020" s="619"/>
      <c r="AS2020" s="465" t="str">
        <f t="shared" si="1158"/>
        <v/>
      </c>
      <c r="AT2020" s="465" t="str">
        <f t="shared" si="1159"/>
        <v/>
      </c>
      <c r="AU2020" s="466" t="str">
        <f t="shared" si="1160"/>
        <v/>
      </c>
      <c r="AV2020" s="467" t="str">
        <f t="shared" si="1161"/>
        <v/>
      </c>
      <c r="AW2020" s="467" t="str">
        <f t="shared" si="1162"/>
        <v/>
      </c>
      <c r="AX2020" s="467" t="str">
        <f t="shared" si="1163"/>
        <v/>
      </c>
      <c r="AY2020" s="467" t="str">
        <f t="shared" si="1164"/>
        <v/>
      </c>
      <c r="AZ2020" s="467" t="str">
        <f t="shared" si="1165"/>
        <v/>
      </c>
      <c r="BA2020" s="468" t="str">
        <f>IF(AS2020="","",IF(OR(AU2020="",AU2020="-"),"－",IF(OR(AZ2020=8,AZ2020=9),"",IF(OR(AW2020=3,AW2020=4,AW2020=5,AW2020=6),VLOOKUP(AU2020,INDEX((係数_バス貨物_ガソリン,係数_バス貨物_CNG,係数_バス貨物_軽油,係数_バス貨物_メタノール,係数_バス貨物_LPG),MATCH(AY2020,【参考】排出係数!$AI$4:$AI$671,1),1,BE2020):INDEX((係数_バス貨物_ガソリン,係数_バス貨物_CNG,係数_バス貨物_軽油,係数_バス貨物_メタノール,係数_バス貨物_LPG),MATCH(AY2020+1,【参考】排出係数!$AI$4:$AI$671,1)-1,5,BE2020),2,FALSE),IF(OR(AW2020=1,AW2020=2),VLOOKUP(AU2020,INDEX((係数_乗用_ガソリン,係数_乗用_CNG,係数_乗用_軽油,係数_乗用_メタノール,係数_乗用_LPG),1,1,BE2020):INDEX((係数_乗用_ガソリン,係数_乗用_CNG,係数_乗用_軽油,係数_乗用_メタノール,係数_乗用_LPG),125,5,BE2020),2,FALSE))))))</f>
        <v/>
      </c>
      <c r="BB2020" s="468" t="str">
        <f>IF(T2020="","",IF(OR(AU2020="",AU2020="-"),"－",IF(OR(AZ2020=8,AZ2020=9),"",IF(OR(AW2020=3,AW2020=4,AW2020=5,AW2020=6),VLOOKUP(AU2020,INDEX((係数_バス貨物_ガソリン,係数_バス貨物_CNG,係数_バス貨物_軽油,係数_バス貨物_メタノール,係数_バス貨物_LPG),MATCH(AY2020,【参考】排出係数!$AI$4:$AI$671,1),1,BE2020):INDEX((係数_バス貨物_ガソリン,係数_バス貨物_CNG,係数_バス貨物_軽油,係数_バス貨物_メタノール,係数_バス貨物_LPG),MATCH(AY2020+1,【参考】排出係数!$AI$4:$AI$671,1)-1,5,BE2020),3,FALSE),IF(OR(AW2020=1,AW2020=2),VLOOKUP(AU2020,INDEX((係数_乗用_ガソリン,係数_乗用_CNG,係数_乗用_軽油,係数_乗用_メタノール,係数_乗用_LPG),1,1,BE2020):INDEX((係数_乗用_ガソリン,係数_乗用_CNG,係数_乗用_軽油,係数_乗用_メタノール,係数_乗用_LPG),125,5,BE2020),3,FALSE))))))</f>
        <v/>
      </c>
      <c r="BC2020" s="467" t="str">
        <f t="shared" si="1166"/>
        <v/>
      </c>
      <c r="BD2020" s="567" t="str">
        <f t="shared" si="1167"/>
        <v/>
      </c>
      <c r="BE2020" s="467" t="str">
        <f t="shared" si="1168"/>
        <v/>
      </c>
      <c r="BF2020" s="469" t="str">
        <f t="shared" ca="1" si="1169"/>
        <v/>
      </c>
      <c r="BG2020" s="469" t="str">
        <f t="shared" ca="1" si="1170"/>
        <v/>
      </c>
      <c r="BH2020" s="467" t="str">
        <f t="shared" si="1171"/>
        <v/>
      </c>
      <c r="BI2020" s="467" t="str">
        <f t="shared" ca="1" si="1172"/>
        <v/>
      </c>
      <c r="BJ2020" s="469" t="str">
        <f t="shared" si="1173"/>
        <v/>
      </c>
      <c r="BK2020" s="470" t="str">
        <f t="shared" si="1157"/>
        <v/>
      </c>
      <c r="BL2020" s="775" t="str">
        <f t="shared" si="1174"/>
        <v/>
      </c>
      <c r="BM2020" s="775" t="str">
        <f t="shared" si="1175"/>
        <v/>
      </c>
    </row>
    <row r="2021" spans="1:65">
      <c r="A2021" s="473">
        <v>1965</v>
      </c>
      <c r="B2021" s="132"/>
      <c r="C2021" s="332"/>
      <c r="D2021" s="333"/>
      <c r="E2021" s="333"/>
      <c r="F2021" s="334"/>
      <c r="G2021" s="337"/>
      <c r="H2021" s="131"/>
      <c r="I2021" s="337"/>
      <c r="J2021" s="131"/>
      <c r="K2021" s="458" t="str">
        <f t="shared" si="1138"/>
        <v/>
      </c>
      <c r="L2021" s="458">
        <f t="shared" si="1139"/>
        <v>0</v>
      </c>
      <c r="M2021" s="458">
        <f t="shared" si="1140"/>
        <v>0</v>
      </c>
      <c r="N2021" s="459" t="str">
        <f t="shared" si="1151"/>
        <v/>
      </c>
      <c r="O2021" s="459" t="str">
        <f t="shared" si="1152"/>
        <v/>
      </c>
      <c r="P2021" s="459" t="str">
        <f t="shared" si="1153"/>
        <v/>
      </c>
      <c r="Q2021" s="459" t="str">
        <f t="shared" si="1154"/>
        <v/>
      </c>
      <c r="R2021" s="459" t="str">
        <f t="shared" si="1155"/>
        <v/>
      </c>
      <c r="S2021" s="459" t="str">
        <f t="shared" si="1156"/>
        <v/>
      </c>
      <c r="T2021" s="566" t="str">
        <f t="shared" si="1141"/>
        <v/>
      </c>
      <c r="U2021" s="702"/>
      <c r="V2021" s="132"/>
      <c r="W2021" s="133"/>
      <c r="X2021" s="134"/>
      <c r="Y2021" s="135"/>
      <c r="Z2021" s="137"/>
      <c r="AA2021" s="136"/>
      <c r="AB2021" s="566" t="str">
        <f t="shared" si="1142"/>
        <v/>
      </c>
      <c r="AC2021" s="568" t="str">
        <f t="shared" si="1143"/>
        <v/>
      </c>
      <c r="AD2021" s="137"/>
      <c r="AE2021" s="137"/>
      <c r="AF2021" s="138"/>
      <c r="AG2021" s="138"/>
      <c r="AH2021" s="592" t="str">
        <f t="shared" si="1144"/>
        <v/>
      </c>
      <c r="AI2021" s="592" t="str">
        <f t="shared" si="1145"/>
        <v/>
      </c>
      <c r="AJ2021" s="592" t="str">
        <f t="shared" si="1146"/>
        <v/>
      </c>
      <c r="AK2021" s="460" t="str">
        <f>IF(AU2021="","",IF(OR(AZ2021=8,AZ2021=9),0,IF(OR(AW2021=3,AW2021=4,AW2021=5,AW2021=6),IF(LEFT(BF2021,1)="1",INDEX(係数_NOX・PM低減,MATCH(AY2021,【参考】排出係数!$AI$801:$AI$804,1),1),VLOOKUP(AU2021,INDEX((係数_バス貨物_ガソリン,係数_バス貨物_CNG,係数_バス貨物_軽油,係数_バス貨物_メタノール,係数_バス貨物_LPG),MATCH(AY2021,【参考】排出係数!$AI$4:$AI$671,1),1,BE2021):INDEX((係数_バス貨物_ガソリン,係数_バス貨物_CNG,係数_バス貨物_軽油,係数_バス貨物_メタノール,係数_バス貨物_LPG),MATCH(AY2021+1,【参考】排出係数!$AI$4:$AI$671,1)-1,5,BE2021),4,FALSE)),IF(AND(BE2021=3,LEFT(BF2021,1)="1"),0.48,VLOOKUP(AU2021,INDEX((係数_乗用_ガソリン,係数_乗用_CNG,係数_乗用_軽油,係数_乗用_メタノール,係数_乗用_LPG),1,1,BE2021):INDEX((係数_乗用_ガソリン,係数_乗用_CNG,係数_乗用_軽油,係数_乗用_メタノール,係数_乗用_LPG),125,5,BE2021),4,FALSE)))))</f>
        <v/>
      </c>
      <c r="AL2021" s="461" t="str">
        <f t="shared" si="1147"/>
        <v/>
      </c>
      <c r="AM2021" s="460" t="str">
        <f>IF(AU2021="","",IF(OR(AZ2021=8,AZ2021=9),0,IF(OR(AW2021=3,AW2021=4,AW2021=5,AW2021=6),IF(LEFT(BH2021,1)="1",INDEX(係数_PM低減,MATCH(AY2021,【参考】排出係数!$AI$801:$AI$804,1),MATCH(BI2021,【参考】排出係数!$AL$798:$AO$798,1)),VLOOKUP(AU2021,INDEX((係数_バス貨物_ガソリン,係数_バス貨物_CNG,係数_バス貨物_軽油,係数_バス貨物_メタノール,係数_バス貨物_LPG),MATCH(AY2021,【参考】排出係数!$AI$4:$AI$671,1),1,BE2021):INDEX((係数_バス貨物_ガソリン,係数_バス貨物_CNG,係数_バス貨物_軽油,係数_バス貨物_メタノール,係数_バス貨物_LPG),MATCH(AY2021+1,【参考】排出係数!$AI$4:$AI$671,1)-1,5,BE2021),5,FALSE)),IF(AND(BE2021=3,LEFT(BF2021,1)="1"),0.055,VLOOKUP(AU2021,INDEX((係数_乗用_ガソリン,係数_乗用_CNG,係数_乗用_軽油,係数_乗用_メタノール,係数_乗用_LPG),1,1,BE2021):INDEX((係数_乗用_ガソリン,係数_乗用_CNG,係数_乗用_軽油,係数_乗用_メタノール,係数_乗用_LPG),125,5,BE2021),5,FALSE)))))</f>
        <v/>
      </c>
      <c r="AN2021" s="461" t="str">
        <f t="shared" si="1148"/>
        <v/>
      </c>
      <c r="AO2021" s="462" t="str">
        <f t="shared" si="1149"/>
        <v/>
      </c>
      <c r="AP2021" s="463" t="str">
        <f t="shared" si="1150"/>
        <v/>
      </c>
      <c r="AQ2021" s="464"/>
      <c r="AR2021" s="619"/>
      <c r="AS2021" s="465" t="str">
        <f t="shared" si="1158"/>
        <v/>
      </c>
      <c r="AT2021" s="465" t="str">
        <f t="shared" si="1159"/>
        <v/>
      </c>
      <c r="AU2021" s="466" t="str">
        <f t="shared" si="1160"/>
        <v/>
      </c>
      <c r="AV2021" s="467" t="str">
        <f t="shared" si="1161"/>
        <v/>
      </c>
      <c r="AW2021" s="467" t="str">
        <f t="shared" si="1162"/>
        <v/>
      </c>
      <c r="AX2021" s="467" t="str">
        <f t="shared" si="1163"/>
        <v/>
      </c>
      <c r="AY2021" s="467" t="str">
        <f t="shared" si="1164"/>
        <v/>
      </c>
      <c r="AZ2021" s="467" t="str">
        <f t="shared" si="1165"/>
        <v/>
      </c>
      <c r="BA2021" s="468" t="str">
        <f>IF(AS2021="","",IF(OR(AU2021="",AU2021="-"),"－",IF(OR(AZ2021=8,AZ2021=9),"",IF(OR(AW2021=3,AW2021=4,AW2021=5,AW2021=6),VLOOKUP(AU2021,INDEX((係数_バス貨物_ガソリン,係数_バス貨物_CNG,係数_バス貨物_軽油,係数_バス貨物_メタノール,係数_バス貨物_LPG),MATCH(AY2021,【参考】排出係数!$AI$4:$AI$671,1),1,BE2021):INDEX((係数_バス貨物_ガソリン,係数_バス貨物_CNG,係数_バス貨物_軽油,係数_バス貨物_メタノール,係数_バス貨物_LPG),MATCH(AY2021+1,【参考】排出係数!$AI$4:$AI$671,1)-1,5,BE2021),2,FALSE),IF(OR(AW2021=1,AW2021=2),VLOOKUP(AU2021,INDEX((係数_乗用_ガソリン,係数_乗用_CNG,係数_乗用_軽油,係数_乗用_メタノール,係数_乗用_LPG),1,1,BE2021):INDEX((係数_乗用_ガソリン,係数_乗用_CNG,係数_乗用_軽油,係数_乗用_メタノール,係数_乗用_LPG),125,5,BE2021),2,FALSE))))))</f>
        <v/>
      </c>
      <c r="BB2021" s="468" t="str">
        <f>IF(T2021="","",IF(OR(AU2021="",AU2021="-"),"－",IF(OR(AZ2021=8,AZ2021=9),"",IF(OR(AW2021=3,AW2021=4,AW2021=5,AW2021=6),VLOOKUP(AU2021,INDEX((係数_バス貨物_ガソリン,係数_バス貨物_CNG,係数_バス貨物_軽油,係数_バス貨物_メタノール,係数_バス貨物_LPG),MATCH(AY2021,【参考】排出係数!$AI$4:$AI$671,1),1,BE2021):INDEX((係数_バス貨物_ガソリン,係数_バス貨物_CNG,係数_バス貨物_軽油,係数_バス貨物_メタノール,係数_バス貨物_LPG),MATCH(AY2021+1,【参考】排出係数!$AI$4:$AI$671,1)-1,5,BE2021),3,FALSE),IF(OR(AW2021=1,AW2021=2),VLOOKUP(AU2021,INDEX((係数_乗用_ガソリン,係数_乗用_CNG,係数_乗用_軽油,係数_乗用_メタノール,係数_乗用_LPG),1,1,BE2021):INDEX((係数_乗用_ガソリン,係数_乗用_CNG,係数_乗用_軽油,係数_乗用_メタノール,係数_乗用_LPG),125,5,BE2021),3,FALSE))))))</f>
        <v/>
      </c>
      <c r="BC2021" s="467" t="str">
        <f t="shared" si="1166"/>
        <v/>
      </c>
      <c r="BD2021" s="567" t="str">
        <f t="shared" si="1167"/>
        <v/>
      </c>
      <c r="BE2021" s="467" t="str">
        <f t="shared" si="1168"/>
        <v/>
      </c>
      <c r="BF2021" s="469" t="str">
        <f t="shared" ca="1" si="1169"/>
        <v/>
      </c>
      <c r="BG2021" s="469" t="str">
        <f t="shared" ca="1" si="1170"/>
        <v/>
      </c>
      <c r="BH2021" s="467" t="str">
        <f t="shared" si="1171"/>
        <v/>
      </c>
      <c r="BI2021" s="467" t="str">
        <f t="shared" ca="1" si="1172"/>
        <v/>
      </c>
      <c r="BJ2021" s="469" t="str">
        <f t="shared" si="1173"/>
        <v/>
      </c>
      <c r="BK2021" s="470" t="str">
        <f t="shared" si="1157"/>
        <v/>
      </c>
      <c r="BL2021" s="775" t="str">
        <f t="shared" si="1174"/>
        <v/>
      </c>
      <c r="BM2021" s="775" t="str">
        <f t="shared" si="1175"/>
        <v/>
      </c>
    </row>
    <row r="2022" spans="1:65">
      <c r="A2022" s="473">
        <v>1966</v>
      </c>
      <c r="B2022" s="132"/>
      <c r="C2022" s="332"/>
      <c r="D2022" s="333"/>
      <c r="E2022" s="333"/>
      <c r="F2022" s="334"/>
      <c r="G2022" s="337"/>
      <c r="H2022" s="131"/>
      <c r="I2022" s="337"/>
      <c r="J2022" s="131"/>
      <c r="K2022" s="458" t="str">
        <f t="shared" si="1138"/>
        <v/>
      </c>
      <c r="L2022" s="458">
        <f t="shared" si="1139"/>
        <v>0</v>
      </c>
      <c r="M2022" s="458">
        <f t="shared" si="1140"/>
        <v>0</v>
      </c>
      <c r="N2022" s="459" t="str">
        <f t="shared" si="1151"/>
        <v/>
      </c>
      <c r="O2022" s="459" t="str">
        <f t="shared" si="1152"/>
        <v/>
      </c>
      <c r="P2022" s="459" t="str">
        <f t="shared" si="1153"/>
        <v/>
      </c>
      <c r="Q2022" s="459" t="str">
        <f t="shared" si="1154"/>
        <v/>
      </c>
      <c r="R2022" s="459" t="str">
        <f t="shared" si="1155"/>
        <v/>
      </c>
      <c r="S2022" s="459" t="str">
        <f t="shared" si="1156"/>
        <v/>
      </c>
      <c r="T2022" s="566" t="str">
        <f t="shared" si="1141"/>
        <v/>
      </c>
      <c r="U2022" s="702"/>
      <c r="V2022" s="132"/>
      <c r="W2022" s="133"/>
      <c r="X2022" s="134"/>
      <c r="Y2022" s="135"/>
      <c r="Z2022" s="137"/>
      <c r="AA2022" s="136"/>
      <c r="AB2022" s="566" t="str">
        <f t="shared" si="1142"/>
        <v/>
      </c>
      <c r="AC2022" s="568" t="str">
        <f t="shared" si="1143"/>
        <v/>
      </c>
      <c r="AD2022" s="137"/>
      <c r="AE2022" s="137"/>
      <c r="AF2022" s="138"/>
      <c r="AG2022" s="138"/>
      <c r="AH2022" s="592" t="str">
        <f t="shared" si="1144"/>
        <v/>
      </c>
      <c r="AI2022" s="592" t="str">
        <f t="shared" si="1145"/>
        <v/>
      </c>
      <c r="AJ2022" s="592" t="str">
        <f t="shared" si="1146"/>
        <v/>
      </c>
      <c r="AK2022" s="460" t="str">
        <f>IF(AU2022="","",IF(OR(AZ2022=8,AZ2022=9),0,IF(OR(AW2022=3,AW2022=4,AW2022=5,AW2022=6),IF(LEFT(BF2022,1)="1",INDEX(係数_NOX・PM低減,MATCH(AY2022,【参考】排出係数!$AI$801:$AI$804,1),1),VLOOKUP(AU2022,INDEX((係数_バス貨物_ガソリン,係数_バス貨物_CNG,係数_バス貨物_軽油,係数_バス貨物_メタノール,係数_バス貨物_LPG),MATCH(AY2022,【参考】排出係数!$AI$4:$AI$671,1),1,BE2022):INDEX((係数_バス貨物_ガソリン,係数_バス貨物_CNG,係数_バス貨物_軽油,係数_バス貨物_メタノール,係数_バス貨物_LPG),MATCH(AY2022+1,【参考】排出係数!$AI$4:$AI$671,1)-1,5,BE2022),4,FALSE)),IF(AND(BE2022=3,LEFT(BF2022,1)="1"),0.48,VLOOKUP(AU2022,INDEX((係数_乗用_ガソリン,係数_乗用_CNG,係数_乗用_軽油,係数_乗用_メタノール,係数_乗用_LPG),1,1,BE2022):INDEX((係数_乗用_ガソリン,係数_乗用_CNG,係数_乗用_軽油,係数_乗用_メタノール,係数_乗用_LPG),125,5,BE2022),4,FALSE)))))</f>
        <v/>
      </c>
      <c r="AL2022" s="461" t="str">
        <f t="shared" si="1147"/>
        <v/>
      </c>
      <c r="AM2022" s="460" t="str">
        <f>IF(AU2022="","",IF(OR(AZ2022=8,AZ2022=9),0,IF(OR(AW2022=3,AW2022=4,AW2022=5,AW2022=6),IF(LEFT(BH2022,1)="1",INDEX(係数_PM低減,MATCH(AY2022,【参考】排出係数!$AI$801:$AI$804,1),MATCH(BI2022,【参考】排出係数!$AL$798:$AO$798,1)),VLOOKUP(AU2022,INDEX((係数_バス貨物_ガソリン,係数_バス貨物_CNG,係数_バス貨物_軽油,係数_バス貨物_メタノール,係数_バス貨物_LPG),MATCH(AY2022,【参考】排出係数!$AI$4:$AI$671,1),1,BE2022):INDEX((係数_バス貨物_ガソリン,係数_バス貨物_CNG,係数_バス貨物_軽油,係数_バス貨物_メタノール,係数_バス貨物_LPG),MATCH(AY2022+1,【参考】排出係数!$AI$4:$AI$671,1)-1,5,BE2022),5,FALSE)),IF(AND(BE2022=3,LEFT(BF2022,1)="1"),0.055,VLOOKUP(AU2022,INDEX((係数_乗用_ガソリン,係数_乗用_CNG,係数_乗用_軽油,係数_乗用_メタノール,係数_乗用_LPG),1,1,BE2022):INDEX((係数_乗用_ガソリン,係数_乗用_CNG,係数_乗用_軽油,係数_乗用_メタノール,係数_乗用_LPG),125,5,BE2022),5,FALSE)))))</f>
        <v/>
      </c>
      <c r="AN2022" s="461" t="str">
        <f t="shared" si="1148"/>
        <v/>
      </c>
      <c r="AO2022" s="462" t="str">
        <f t="shared" si="1149"/>
        <v/>
      </c>
      <c r="AP2022" s="463" t="str">
        <f t="shared" si="1150"/>
        <v/>
      </c>
      <c r="AQ2022" s="464"/>
      <c r="AR2022" s="619"/>
      <c r="AS2022" s="465" t="str">
        <f t="shared" si="1158"/>
        <v/>
      </c>
      <c r="AT2022" s="465" t="str">
        <f t="shared" si="1159"/>
        <v/>
      </c>
      <c r="AU2022" s="466" t="str">
        <f t="shared" si="1160"/>
        <v/>
      </c>
      <c r="AV2022" s="467" t="str">
        <f t="shared" si="1161"/>
        <v/>
      </c>
      <c r="AW2022" s="467" t="str">
        <f t="shared" si="1162"/>
        <v/>
      </c>
      <c r="AX2022" s="467" t="str">
        <f t="shared" si="1163"/>
        <v/>
      </c>
      <c r="AY2022" s="467" t="str">
        <f t="shared" si="1164"/>
        <v/>
      </c>
      <c r="AZ2022" s="467" t="str">
        <f t="shared" si="1165"/>
        <v/>
      </c>
      <c r="BA2022" s="468" t="str">
        <f>IF(AS2022="","",IF(OR(AU2022="",AU2022="-"),"－",IF(OR(AZ2022=8,AZ2022=9),"",IF(OR(AW2022=3,AW2022=4,AW2022=5,AW2022=6),VLOOKUP(AU2022,INDEX((係数_バス貨物_ガソリン,係数_バス貨物_CNG,係数_バス貨物_軽油,係数_バス貨物_メタノール,係数_バス貨物_LPG),MATCH(AY2022,【参考】排出係数!$AI$4:$AI$671,1),1,BE2022):INDEX((係数_バス貨物_ガソリン,係数_バス貨物_CNG,係数_バス貨物_軽油,係数_バス貨物_メタノール,係数_バス貨物_LPG),MATCH(AY2022+1,【参考】排出係数!$AI$4:$AI$671,1)-1,5,BE2022),2,FALSE),IF(OR(AW2022=1,AW2022=2),VLOOKUP(AU2022,INDEX((係数_乗用_ガソリン,係数_乗用_CNG,係数_乗用_軽油,係数_乗用_メタノール,係数_乗用_LPG),1,1,BE2022):INDEX((係数_乗用_ガソリン,係数_乗用_CNG,係数_乗用_軽油,係数_乗用_メタノール,係数_乗用_LPG),125,5,BE2022),2,FALSE))))))</f>
        <v/>
      </c>
      <c r="BB2022" s="468" t="str">
        <f>IF(T2022="","",IF(OR(AU2022="",AU2022="-"),"－",IF(OR(AZ2022=8,AZ2022=9),"",IF(OR(AW2022=3,AW2022=4,AW2022=5,AW2022=6),VLOOKUP(AU2022,INDEX((係数_バス貨物_ガソリン,係数_バス貨物_CNG,係数_バス貨物_軽油,係数_バス貨物_メタノール,係数_バス貨物_LPG),MATCH(AY2022,【参考】排出係数!$AI$4:$AI$671,1),1,BE2022):INDEX((係数_バス貨物_ガソリン,係数_バス貨物_CNG,係数_バス貨物_軽油,係数_バス貨物_メタノール,係数_バス貨物_LPG),MATCH(AY2022+1,【参考】排出係数!$AI$4:$AI$671,1)-1,5,BE2022),3,FALSE),IF(OR(AW2022=1,AW2022=2),VLOOKUP(AU2022,INDEX((係数_乗用_ガソリン,係数_乗用_CNG,係数_乗用_軽油,係数_乗用_メタノール,係数_乗用_LPG),1,1,BE2022):INDEX((係数_乗用_ガソリン,係数_乗用_CNG,係数_乗用_軽油,係数_乗用_メタノール,係数_乗用_LPG),125,5,BE2022),3,FALSE))))))</f>
        <v/>
      </c>
      <c r="BC2022" s="467" t="str">
        <f t="shared" si="1166"/>
        <v/>
      </c>
      <c r="BD2022" s="567" t="str">
        <f t="shared" si="1167"/>
        <v/>
      </c>
      <c r="BE2022" s="467" t="str">
        <f t="shared" si="1168"/>
        <v/>
      </c>
      <c r="BF2022" s="469" t="str">
        <f t="shared" ca="1" si="1169"/>
        <v/>
      </c>
      <c r="BG2022" s="469" t="str">
        <f t="shared" ca="1" si="1170"/>
        <v/>
      </c>
      <c r="BH2022" s="467" t="str">
        <f t="shared" si="1171"/>
        <v/>
      </c>
      <c r="BI2022" s="467" t="str">
        <f t="shared" ca="1" si="1172"/>
        <v/>
      </c>
      <c r="BJ2022" s="469" t="str">
        <f t="shared" si="1173"/>
        <v/>
      </c>
      <c r="BK2022" s="470" t="str">
        <f t="shared" si="1157"/>
        <v/>
      </c>
      <c r="BL2022" s="775" t="str">
        <f t="shared" si="1174"/>
        <v/>
      </c>
      <c r="BM2022" s="775" t="str">
        <f t="shared" si="1175"/>
        <v/>
      </c>
    </row>
    <row r="2023" spans="1:65">
      <c r="A2023" s="473">
        <v>1967</v>
      </c>
      <c r="B2023" s="132"/>
      <c r="C2023" s="332"/>
      <c r="D2023" s="333"/>
      <c r="E2023" s="333"/>
      <c r="F2023" s="334"/>
      <c r="G2023" s="337"/>
      <c r="H2023" s="131"/>
      <c r="I2023" s="337"/>
      <c r="J2023" s="131"/>
      <c r="K2023" s="458" t="str">
        <f t="shared" si="1138"/>
        <v/>
      </c>
      <c r="L2023" s="458">
        <f t="shared" si="1139"/>
        <v>0</v>
      </c>
      <c r="M2023" s="458">
        <f t="shared" si="1140"/>
        <v>0</v>
      </c>
      <c r="N2023" s="459" t="str">
        <f t="shared" si="1151"/>
        <v/>
      </c>
      <c r="O2023" s="459" t="str">
        <f t="shared" si="1152"/>
        <v/>
      </c>
      <c r="P2023" s="459" t="str">
        <f t="shared" si="1153"/>
        <v/>
      </c>
      <c r="Q2023" s="459" t="str">
        <f t="shared" si="1154"/>
        <v/>
      </c>
      <c r="R2023" s="459" t="str">
        <f t="shared" si="1155"/>
        <v/>
      </c>
      <c r="S2023" s="459" t="str">
        <f t="shared" si="1156"/>
        <v/>
      </c>
      <c r="T2023" s="566" t="str">
        <f t="shared" si="1141"/>
        <v/>
      </c>
      <c r="U2023" s="702"/>
      <c r="V2023" s="132"/>
      <c r="W2023" s="133"/>
      <c r="X2023" s="134"/>
      <c r="Y2023" s="135"/>
      <c r="Z2023" s="137"/>
      <c r="AA2023" s="136"/>
      <c r="AB2023" s="566" t="str">
        <f t="shared" si="1142"/>
        <v/>
      </c>
      <c r="AC2023" s="568" t="str">
        <f t="shared" si="1143"/>
        <v/>
      </c>
      <c r="AD2023" s="137"/>
      <c r="AE2023" s="137"/>
      <c r="AF2023" s="138"/>
      <c r="AG2023" s="138"/>
      <c r="AH2023" s="592" t="str">
        <f t="shared" si="1144"/>
        <v/>
      </c>
      <c r="AI2023" s="592" t="str">
        <f t="shared" si="1145"/>
        <v/>
      </c>
      <c r="AJ2023" s="592" t="str">
        <f t="shared" si="1146"/>
        <v/>
      </c>
      <c r="AK2023" s="460" t="str">
        <f>IF(AU2023="","",IF(OR(AZ2023=8,AZ2023=9),0,IF(OR(AW2023=3,AW2023=4,AW2023=5,AW2023=6),IF(LEFT(BF2023,1)="1",INDEX(係数_NOX・PM低減,MATCH(AY2023,【参考】排出係数!$AI$801:$AI$804,1),1),VLOOKUP(AU2023,INDEX((係数_バス貨物_ガソリン,係数_バス貨物_CNG,係数_バス貨物_軽油,係数_バス貨物_メタノール,係数_バス貨物_LPG),MATCH(AY2023,【参考】排出係数!$AI$4:$AI$671,1),1,BE2023):INDEX((係数_バス貨物_ガソリン,係数_バス貨物_CNG,係数_バス貨物_軽油,係数_バス貨物_メタノール,係数_バス貨物_LPG),MATCH(AY2023+1,【参考】排出係数!$AI$4:$AI$671,1)-1,5,BE2023),4,FALSE)),IF(AND(BE2023=3,LEFT(BF2023,1)="1"),0.48,VLOOKUP(AU2023,INDEX((係数_乗用_ガソリン,係数_乗用_CNG,係数_乗用_軽油,係数_乗用_メタノール,係数_乗用_LPG),1,1,BE2023):INDEX((係数_乗用_ガソリン,係数_乗用_CNG,係数_乗用_軽油,係数_乗用_メタノール,係数_乗用_LPG),125,5,BE2023),4,FALSE)))))</f>
        <v/>
      </c>
      <c r="AL2023" s="461" t="str">
        <f t="shared" si="1147"/>
        <v/>
      </c>
      <c r="AM2023" s="460" t="str">
        <f>IF(AU2023="","",IF(OR(AZ2023=8,AZ2023=9),0,IF(OR(AW2023=3,AW2023=4,AW2023=5,AW2023=6),IF(LEFT(BH2023,1)="1",INDEX(係数_PM低減,MATCH(AY2023,【参考】排出係数!$AI$801:$AI$804,1),MATCH(BI2023,【参考】排出係数!$AL$798:$AO$798,1)),VLOOKUP(AU2023,INDEX((係数_バス貨物_ガソリン,係数_バス貨物_CNG,係数_バス貨物_軽油,係数_バス貨物_メタノール,係数_バス貨物_LPG),MATCH(AY2023,【参考】排出係数!$AI$4:$AI$671,1),1,BE2023):INDEX((係数_バス貨物_ガソリン,係数_バス貨物_CNG,係数_バス貨物_軽油,係数_バス貨物_メタノール,係数_バス貨物_LPG),MATCH(AY2023+1,【参考】排出係数!$AI$4:$AI$671,1)-1,5,BE2023),5,FALSE)),IF(AND(BE2023=3,LEFT(BF2023,1)="1"),0.055,VLOOKUP(AU2023,INDEX((係数_乗用_ガソリン,係数_乗用_CNG,係数_乗用_軽油,係数_乗用_メタノール,係数_乗用_LPG),1,1,BE2023):INDEX((係数_乗用_ガソリン,係数_乗用_CNG,係数_乗用_軽油,係数_乗用_メタノール,係数_乗用_LPG),125,5,BE2023),5,FALSE)))))</f>
        <v/>
      </c>
      <c r="AN2023" s="461" t="str">
        <f t="shared" si="1148"/>
        <v/>
      </c>
      <c r="AO2023" s="462" t="str">
        <f t="shared" si="1149"/>
        <v/>
      </c>
      <c r="AP2023" s="463" t="str">
        <f t="shared" si="1150"/>
        <v/>
      </c>
      <c r="AQ2023" s="464"/>
      <c r="AR2023" s="619"/>
      <c r="AS2023" s="465" t="str">
        <f t="shared" si="1158"/>
        <v/>
      </c>
      <c r="AT2023" s="465" t="str">
        <f t="shared" si="1159"/>
        <v/>
      </c>
      <c r="AU2023" s="466" t="str">
        <f t="shared" si="1160"/>
        <v/>
      </c>
      <c r="AV2023" s="467" t="str">
        <f t="shared" si="1161"/>
        <v/>
      </c>
      <c r="AW2023" s="467" t="str">
        <f t="shared" si="1162"/>
        <v/>
      </c>
      <c r="AX2023" s="467" t="str">
        <f t="shared" si="1163"/>
        <v/>
      </c>
      <c r="AY2023" s="467" t="str">
        <f t="shared" si="1164"/>
        <v/>
      </c>
      <c r="AZ2023" s="467" t="str">
        <f t="shared" si="1165"/>
        <v/>
      </c>
      <c r="BA2023" s="468" t="str">
        <f>IF(AS2023="","",IF(OR(AU2023="",AU2023="-"),"－",IF(OR(AZ2023=8,AZ2023=9),"",IF(OR(AW2023=3,AW2023=4,AW2023=5,AW2023=6),VLOOKUP(AU2023,INDEX((係数_バス貨物_ガソリン,係数_バス貨物_CNG,係数_バス貨物_軽油,係数_バス貨物_メタノール,係数_バス貨物_LPG),MATCH(AY2023,【参考】排出係数!$AI$4:$AI$671,1),1,BE2023):INDEX((係数_バス貨物_ガソリン,係数_バス貨物_CNG,係数_バス貨物_軽油,係数_バス貨物_メタノール,係数_バス貨物_LPG),MATCH(AY2023+1,【参考】排出係数!$AI$4:$AI$671,1)-1,5,BE2023),2,FALSE),IF(OR(AW2023=1,AW2023=2),VLOOKUP(AU2023,INDEX((係数_乗用_ガソリン,係数_乗用_CNG,係数_乗用_軽油,係数_乗用_メタノール,係数_乗用_LPG),1,1,BE2023):INDEX((係数_乗用_ガソリン,係数_乗用_CNG,係数_乗用_軽油,係数_乗用_メタノール,係数_乗用_LPG),125,5,BE2023),2,FALSE))))))</f>
        <v/>
      </c>
      <c r="BB2023" s="468" t="str">
        <f>IF(T2023="","",IF(OR(AU2023="",AU2023="-"),"－",IF(OR(AZ2023=8,AZ2023=9),"",IF(OR(AW2023=3,AW2023=4,AW2023=5,AW2023=6),VLOOKUP(AU2023,INDEX((係数_バス貨物_ガソリン,係数_バス貨物_CNG,係数_バス貨物_軽油,係数_バス貨物_メタノール,係数_バス貨物_LPG),MATCH(AY2023,【参考】排出係数!$AI$4:$AI$671,1),1,BE2023):INDEX((係数_バス貨物_ガソリン,係数_バス貨物_CNG,係数_バス貨物_軽油,係数_バス貨物_メタノール,係数_バス貨物_LPG),MATCH(AY2023+1,【参考】排出係数!$AI$4:$AI$671,1)-1,5,BE2023),3,FALSE),IF(OR(AW2023=1,AW2023=2),VLOOKUP(AU2023,INDEX((係数_乗用_ガソリン,係数_乗用_CNG,係数_乗用_軽油,係数_乗用_メタノール,係数_乗用_LPG),1,1,BE2023):INDEX((係数_乗用_ガソリン,係数_乗用_CNG,係数_乗用_軽油,係数_乗用_メタノール,係数_乗用_LPG),125,5,BE2023),3,FALSE))))))</f>
        <v/>
      </c>
      <c r="BC2023" s="467" t="str">
        <f t="shared" si="1166"/>
        <v/>
      </c>
      <c r="BD2023" s="567" t="str">
        <f t="shared" si="1167"/>
        <v/>
      </c>
      <c r="BE2023" s="467" t="str">
        <f t="shared" si="1168"/>
        <v/>
      </c>
      <c r="BF2023" s="469" t="str">
        <f t="shared" ca="1" si="1169"/>
        <v/>
      </c>
      <c r="BG2023" s="469" t="str">
        <f t="shared" ca="1" si="1170"/>
        <v/>
      </c>
      <c r="BH2023" s="467" t="str">
        <f t="shared" si="1171"/>
        <v/>
      </c>
      <c r="BI2023" s="467" t="str">
        <f t="shared" ca="1" si="1172"/>
        <v/>
      </c>
      <c r="BJ2023" s="469" t="str">
        <f t="shared" si="1173"/>
        <v/>
      </c>
      <c r="BK2023" s="470" t="str">
        <f t="shared" si="1157"/>
        <v/>
      </c>
      <c r="BL2023" s="775" t="str">
        <f t="shared" si="1174"/>
        <v/>
      </c>
      <c r="BM2023" s="775" t="str">
        <f t="shared" si="1175"/>
        <v/>
      </c>
    </row>
    <row r="2024" spans="1:65">
      <c r="A2024" s="473">
        <v>1968</v>
      </c>
      <c r="B2024" s="132"/>
      <c r="C2024" s="332"/>
      <c r="D2024" s="333"/>
      <c r="E2024" s="333"/>
      <c r="F2024" s="334"/>
      <c r="G2024" s="337"/>
      <c r="H2024" s="131"/>
      <c r="I2024" s="337"/>
      <c r="J2024" s="131"/>
      <c r="K2024" s="458" t="str">
        <f t="shared" si="1138"/>
        <v/>
      </c>
      <c r="L2024" s="458">
        <f t="shared" si="1139"/>
        <v>0</v>
      </c>
      <c r="M2024" s="458">
        <f t="shared" si="1140"/>
        <v>0</v>
      </c>
      <c r="N2024" s="459" t="str">
        <f t="shared" si="1151"/>
        <v/>
      </c>
      <c r="O2024" s="459" t="str">
        <f t="shared" si="1152"/>
        <v/>
      </c>
      <c r="P2024" s="459" t="str">
        <f t="shared" si="1153"/>
        <v/>
      </c>
      <c r="Q2024" s="459" t="str">
        <f t="shared" si="1154"/>
        <v/>
      </c>
      <c r="R2024" s="459" t="str">
        <f t="shared" si="1155"/>
        <v/>
      </c>
      <c r="S2024" s="459" t="str">
        <f t="shared" si="1156"/>
        <v/>
      </c>
      <c r="T2024" s="566" t="str">
        <f t="shared" si="1141"/>
        <v/>
      </c>
      <c r="U2024" s="702"/>
      <c r="V2024" s="132"/>
      <c r="W2024" s="133"/>
      <c r="X2024" s="134"/>
      <c r="Y2024" s="135"/>
      <c r="Z2024" s="137"/>
      <c r="AA2024" s="136"/>
      <c r="AB2024" s="566" t="str">
        <f t="shared" si="1142"/>
        <v/>
      </c>
      <c r="AC2024" s="568" t="str">
        <f t="shared" si="1143"/>
        <v/>
      </c>
      <c r="AD2024" s="137"/>
      <c r="AE2024" s="137"/>
      <c r="AF2024" s="138"/>
      <c r="AG2024" s="138"/>
      <c r="AH2024" s="592" t="str">
        <f t="shared" si="1144"/>
        <v/>
      </c>
      <c r="AI2024" s="592" t="str">
        <f t="shared" si="1145"/>
        <v/>
      </c>
      <c r="AJ2024" s="592" t="str">
        <f t="shared" si="1146"/>
        <v/>
      </c>
      <c r="AK2024" s="460" t="str">
        <f>IF(AU2024="","",IF(OR(AZ2024=8,AZ2024=9),0,IF(OR(AW2024=3,AW2024=4,AW2024=5,AW2024=6),IF(LEFT(BF2024,1)="1",INDEX(係数_NOX・PM低減,MATCH(AY2024,【参考】排出係数!$AI$801:$AI$804,1),1),VLOOKUP(AU2024,INDEX((係数_バス貨物_ガソリン,係数_バス貨物_CNG,係数_バス貨物_軽油,係数_バス貨物_メタノール,係数_バス貨物_LPG),MATCH(AY2024,【参考】排出係数!$AI$4:$AI$671,1),1,BE2024):INDEX((係数_バス貨物_ガソリン,係数_バス貨物_CNG,係数_バス貨物_軽油,係数_バス貨物_メタノール,係数_バス貨物_LPG),MATCH(AY2024+1,【参考】排出係数!$AI$4:$AI$671,1)-1,5,BE2024),4,FALSE)),IF(AND(BE2024=3,LEFT(BF2024,1)="1"),0.48,VLOOKUP(AU2024,INDEX((係数_乗用_ガソリン,係数_乗用_CNG,係数_乗用_軽油,係数_乗用_メタノール,係数_乗用_LPG),1,1,BE2024):INDEX((係数_乗用_ガソリン,係数_乗用_CNG,係数_乗用_軽油,係数_乗用_メタノール,係数_乗用_LPG),125,5,BE2024),4,FALSE)))))</f>
        <v/>
      </c>
      <c r="AL2024" s="461" t="str">
        <f t="shared" si="1147"/>
        <v/>
      </c>
      <c r="AM2024" s="460" t="str">
        <f>IF(AU2024="","",IF(OR(AZ2024=8,AZ2024=9),0,IF(OR(AW2024=3,AW2024=4,AW2024=5,AW2024=6),IF(LEFT(BH2024,1)="1",INDEX(係数_PM低減,MATCH(AY2024,【参考】排出係数!$AI$801:$AI$804,1),MATCH(BI2024,【参考】排出係数!$AL$798:$AO$798,1)),VLOOKUP(AU2024,INDEX((係数_バス貨物_ガソリン,係数_バス貨物_CNG,係数_バス貨物_軽油,係数_バス貨物_メタノール,係数_バス貨物_LPG),MATCH(AY2024,【参考】排出係数!$AI$4:$AI$671,1),1,BE2024):INDEX((係数_バス貨物_ガソリン,係数_バス貨物_CNG,係数_バス貨物_軽油,係数_バス貨物_メタノール,係数_バス貨物_LPG),MATCH(AY2024+1,【参考】排出係数!$AI$4:$AI$671,1)-1,5,BE2024),5,FALSE)),IF(AND(BE2024=3,LEFT(BF2024,1)="1"),0.055,VLOOKUP(AU2024,INDEX((係数_乗用_ガソリン,係数_乗用_CNG,係数_乗用_軽油,係数_乗用_メタノール,係数_乗用_LPG),1,1,BE2024):INDEX((係数_乗用_ガソリン,係数_乗用_CNG,係数_乗用_軽油,係数_乗用_メタノール,係数_乗用_LPG),125,5,BE2024),5,FALSE)))))</f>
        <v/>
      </c>
      <c r="AN2024" s="461" t="str">
        <f t="shared" si="1148"/>
        <v/>
      </c>
      <c r="AO2024" s="462" t="str">
        <f t="shared" si="1149"/>
        <v/>
      </c>
      <c r="AP2024" s="463" t="str">
        <f t="shared" si="1150"/>
        <v/>
      </c>
      <c r="AQ2024" s="464"/>
      <c r="AR2024" s="619"/>
      <c r="AS2024" s="465" t="str">
        <f t="shared" si="1158"/>
        <v/>
      </c>
      <c r="AT2024" s="465" t="str">
        <f t="shared" si="1159"/>
        <v/>
      </c>
      <c r="AU2024" s="466" t="str">
        <f t="shared" si="1160"/>
        <v/>
      </c>
      <c r="AV2024" s="467" t="str">
        <f t="shared" si="1161"/>
        <v/>
      </c>
      <c r="AW2024" s="467" t="str">
        <f t="shared" si="1162"/>
        <v/>
      </c>
      <c r="AX2024" s="467" t="str">
        <f t="shared" si="1163"/>
        <v/>
      </c>
      <c r="AY2024" s="467" t="str">
        <f t="shared" si="1164"/>
        <v/>
      </c>
      <c r="AZ2024" s="467" t="str">
        <f t="shared" si="1165"/>
        <v/>
      </c>
      <c r="BA2024" s="468" t="str">
        <f>IF(AS2024="","",IF(OR(AU2024="",AU2024="-"),"－",IF(OR(AZ2024=8,AZ2024=9),"",IF(OR(AW2024=3,AW2024=4,AW2024=5,AW2024=6),VLOOKUP(AU2024,INDEX((係数_バス貨物_ガソリン,係数_バス貨物_CNG,係数_バス貨物_軽油,係数_バス貨物_メタノール,係数_バス貨物_LPG),MATCH(AY2024,【参考】排出係数!$AI$4:$AI$671,1),1,BE2024):INDEX((係数_バス貨物_ガソリン,係数_バス貨物_CNG,係数_バス貨物_軽油,係数_バス貨物_メタノール,係数_バス貨物_LPG),MATCH(AY2024+1,【参考】排出係数!$AI$4:$AI$671,1)-1,5,BE2024),2,FALSE),IF(OR(AW2024=1,AW2024=2),VLOOKUP(AU2024,INDEX((係数_乗用_ガソリン,係数_乗用_CNG,係数_乗用_軽油,係数_乗用_メタノール,係数_乗用_LPG),1,1,BE2024):INDEX((係数_乗用_ガソリン,係数_乗用_CNG,係数_乗用_軽油,係数_乗用_メタノール,係数_乗用_LPG),125,5,BE2024),2,FALSE))))))</f>
        <v/>
      </c>
      <c r="BB2024" s="468" t="str">
        <f>IF(T2024="","",IF(OR(AU2024="",AU2024="-"),"－",IF(OR(AZ2024=8,AZ2024=9),"",IF(OR(AW2024=3,AW2024=4,AW2024=5,AW2024=6),VLOOKUP(AU2024,INDEX((係数_バス貨物_ガソリン,係数_バス貨物_CNG,係数_バス貨物_軽油,係数_バス貨物_メタノール,係数_バス貨物_LPG),MATCH(AY2024,【参考】排出係数!$AI$4:$AI$671,1),1,BE2024):INDEX((係数_バス貨物_ガソリン,係数_バス貨物_CNG,係数_バス貨物_軽油,係数_バス貨物_メタノール,係数_バス貨物_LPG),MATCH(AY2024+1,【参考】排出係数!$AI$4:$AI$671,1)-1,5,BE2024),3,FALSE),IF(OR(AW2024=1,AW2024=2),VLOOKUP(AU2024,INDEX((係数_乗用_ガソリン,係数_乗用_CNG,係数_乗用_軽油,係数_乗用_メタノール,係数_乗用_LPG),1,1,BE2024):INDEX((係数_乗用_ガソリン,係数_乗用_CNG,係数_乗用_軽油,係数_乗用_メタノール,係数_乗用_LPG),125,5,BE2024),3,FALSE))))))</f>
        <v/>
      </c>
      <c r="BC2024" s="467" t="str">
        <f t="shared" si="1166"/>
        <v/>
      </c>
      <c r="BD2024" s="567" t="str">
        <f t="shared" si="1167"/>
        <v/>
      </c>
      <c r="BE2024" s="467" t="str">
        <f t="shared" si="1168"/>
        <v/>
      </c>
      <c r="BF2024" s="469" t="str">
        <f t="shared" ca="1" si="1169"/>
        <v/>
      </c>
      <c r="BG2024" s="469" t="str">
        <f t="shared" ca="1" si="1170"/>
        <v/>
      </c>
      <c r="BH2024" s="467" t="str">
        <f t="shared" si="1171"/>
        <v/>
      </c>
      <c r="BI2024" s="467" t="str">
        <f t="shared" ca="1" si="1172"/>
        <v/>
      </c>
      <c r="BJ2024" s="469" t="str">
        <f t="shared" si="1173"/>
        <v/>
      </c>
      <c r="BK2024" s="470" t="str">
        <f t="shared" si="1157"/>
        <v/>
      </c>
      <c r="BL2024" s="775" t="str">
        <f t="shared" si="1174"/>
        <v/>
      </c>
      <c r="BM2024" s="775" t="str">
        <f t="shared" si="1175"/>
        <v/>
      </c>
    </row>
    <row r="2025" spans="1:65">
      <c r="A2025" s="473">
        <v>1969</v>
      </c>
      <c r="B2025" s="132"/>
      <c r="C2025" s="332"/>
      <c r="D2025" s="333"/>
      <c r="E2025" s="333"/>
      <c r="F2025" s="334"/>
      <c r="G2025" s="337"/>
      <c r="H2025" s="131"/>
      <c r="I2025" s="337"/>
      <c r="J2025" s="131"/>
      <c r="K2025" s="458" t="str">
        <f t="shared" si="1138"/>
        <v/>
      </c>
      <c r="L2025" s="458">
        <f t="shared" si="1139"/>
        <v>0</v>
      </c>
      <c r="M2025" s="458">
        <f t="shared" si="1140"/>
        <v>0</v>
      </c>
      <c r="N2025" s="459" t="str">
        <f t="shared" si="1151"/>
        <v/>
      </c>
      <c r="O2025" s="459" t="str">
        <f t="shared" si="1152"/>
        <v/>
      </c>
      <c r="P2025" s="459" t="str">
        <f t="shared" si="1153"/>
        <v/>
      </c>
      <c r="Q2025" s="459" t="str">
        <f t="shared" si="1154"/>
        <v/>
      </c>
      <c r="R2025" s="459" t="str">
        <f t="shared" si="1155"/>
        <v/>
      </c>
      <c r="S2025" s="459" t="str">
        <f t="shared" si="1156"/>
        <v/>
      </c>
      <c r="T2025" s="566" t="str">
        <f t="shared" si="1141"/>
        <v/>
      </c>
      <c r="U2025" s="702"/>
      <c r="V2025" s="132"/>
      <c r="W2025" s="133"/>
      <c r="X2025" s="134"/>
      <c r="Y2025" s="135"/>
      <c r="Z2025" s="137"/>
      <c r="AA2025" s="136"/>
      <c r="AB2025" s="566" t="str">
        <f t="shared" si="1142"/>
        <v/>
      </c>
      <c r="AC2025" s="568" t="str">
        <f t="shared" si="1143"/>
        <v/>
      </c>
      <c r="AD2025" s="137"/>
      <c r="AE2025" s="137"/>
      <c r="AF2025" s="138"/>
      <c r="AG2025" s="138"/>
      <c r="AH2025" s="592" t="str">
        <f t="shared" si="1144"/>
        <v/>
      </c>
      <c r="AI2025" s="592" t="str">
        <f t="shared" si="1145"/>
        <v/>
      </c>
      <c r="AJ2025" s="592" t="str">
        <f t="shared" si="1146"/>
        <v/>
      </c>
      <c r="AK2025" s="460" t="str">
        <f>IF(AU2025="","",IF(OR(AZ2025=8,AZ2025=9),0,IF(OR(AW2025=3,AW2025=4,AW2025=5,AW2025=6),IF(LEFT(BF2025,1)="1",INDEX(係数_NOX・PM低減,MATCH(AY2025,【参考】排出係数!$AI$801:$AI$804,1),1),VLOOKUP(AU2025,INDEX((係数_バス貨物_ガソリン,係数_バス貨物_CNG,係数_バス貨物_軽油,係数_バス貨物_メタノール,係数_バス貨物_LPG),MATCH(AY2025,【参考】排出係数!$AI$4:$AI$671,1),1,BE2025):INDEX((係数_バス貨物_ガソリン,係数_バス貨物_CNG,係数_バス貨物_軽油,係数_バス貨物_メタノール,係数_バス貨物_LPG),MATCH(AY2025+1,【参考】排出係数!$AI$4:$AI$671,1)-1,5,BE2025),4,FALSE)),IF(AND(BE2025=3,LEFT(BF2025,1)="1"),0.48,VLOOKUP(AU2025,INDEX((係数_乗用_ガソリン,係数_乗用_CNG,係数_乗用_軽油,係数_乗用_メタノール,係数_乗用_LPG),1,1,BE2025):INDEX((係数_乗用_ガソリン,係数_乗用_CNG,係数_乗用_軽油,係数_乗用_メタノール,係数_乗用_LPG),125,5,BE2025),4,FALSE)))))</f>
        <v/>
      </c>
      <c r="AL2025" s="461" t="str">
        <f t="shared" si="1147"/>
        <v/>
      </c>
      <c r="AM2025" s="460" t="str">
        <f>IF(AU2025="","",IF(OR(AZ2025=8,AZ2025=9),0,IF(OR(AW2025=3,AW2025=4,AW2025=5,AW2025=6),IF(LEFT(BH2025,1)="1",INDEX(係数_PM低減,MATCH(AY2025,【参考】排出係数!$AI$801:$AI$804,1),MATCH(BI2025,【参考】排出係数!$AL$798:$AO$798,1)),VLOOKUP(AU2025,INDEX((係数_バス貨物_ガソリン,係数_バス貨物_CNG,係数_バス貨物_軽油,係数_バス貨物_メタノール,係数_バス貨物_LPG),MATCH(AY2025,【参考】排出係数!$AI$4:$AI$671,1),1,BE2025):INDEX((係数_バス貨物_ガソリン,係数_バス貨物_CNG,係数_バス貨物_軽油,係数_バス貨物_メタノール,係数_バス貨物_LPG),MATCH(AY2025+1,【参考】排出係数!$AI$4:$AI$671,1)-1,5,BE2025),5,FALSE)),IF(AND(BE2025=3,LEFT(BF2025,1)="1"),0.055,VLOOKUP(AU2025,INDEX((係数_乗用_ガソリン,係数_乗用_CNG,係数_乗用_軽油,係数_乗用_メタノール,係数_乗用_LPG),1,1,BE2025):INDEX((係数_乗用_ガソリン,係数_乗用_CNG,係数_乗用_軽油,係数_乗用_メタノール,係数_乗用_LPG),125,5,BE2025),5,FALSE)))))</f>
        <v/>
      </c>
      <c r="AN2025" s="461" t="str">
        <f t="shared" si="1148"/>
        <v/>
      </c>
      <c r="AO2025" s="462" t="str">
        <f t="shared" si="1149"/>
        <v/>
      </c>
      <c r="AP2025" s="463" t="str">
        <f t="shared" si="1150"/>
        <v/>
      </c>
      <c r="AQ2025" s="464"/>
      <c r="AR2025" s="619"/>
      <c r="AS2025" s="465" t="str">
        <f t="shared" si="1158"/>
        <v/>
      </c>
      <c r="AT2025" s="465" t="str">
        <f t="shared" si="1159"/>
        <v/>
      </c>
      <c r="AU2025" s="466" t="str">
        <f t="shared" si="1160"/>
        <v/>
      </c>
      <c r="AV2025" s="467" t="str">
        <f t="shared" si="1161"/>
        <v/>
      </c>
      <c r="AW2025" s="467" t="str">
        <f t="shared" si="1162"/>
        <v/>
      </c>
      <c r="AX2025" s="467" t="str">
        <f t="shared" si="1163"/>
        <v/>
      </c>
      <c r="AY2025" s="467" t="str">
        <f t="shared" si="1164"/>
        <v/>
      </c>
      <c r="AZ2025" s="467" t="str">
        <f t="shared" si="1165"/>
        <v/>
      </c>
      <c r="BA2025" s="468" t="str">
        <f>IF(AS2025="","",IF(OR(AU2025="",AU2025="-"),"－",IF(OR(AZ2025=8,AZ2025=9),"",IF(OR(AW2025=3,AW2025=4,AW2025=5,AW2025=6),VLOOKUP(AU2025,INDEX((係数_バス貨物_ガソリン,係数_バス貨物_CNG,係数_バス貨物_軽油,係数_バス貨物_メタノール,係数_バス貨物_LPG),MATCH(AY2025,【参考】排出係数!$AI$4:$AI$671,1),1,BE2025):INDEX((係数_バス貨物_ガソリン,係数_バス貨物_CNG,係数_バス貨物_軽油,係数_バス貨物_メタノール,係数_バス貨物_LPG),MATCH(AY2025+1,【参考】排出係数!$AI$4:$AI$671,1)-1,5,BE2025),2,FALSE),IF(OR(AW2025=1,AW2025=2),VLOOKUP(AU2025,INDEX((係数_乗用_ガソリン,係数_乗用_CNG,係数_乗用_軽油,係数_乗用_メタノール,係数_乗用_LPG),1,1,BE2025):INDEX((係数_乗用_ガソリン,係数_乗用_CNG,係数_乗用_軽油,係数_乗用_メタノール,係数_乗用_LPG),125,5,BE2025),2,FALSE))))))</f>
        <v/>
      </c>
      <c r="BB2025" s="468" t="str">
        <f>IF(T2025="","",IF(OR(AU2025="",AU2025="-"),"－",IF(OR(AZ2025=8,AZ2025=9),"",IF(OR(AW2025=3,AW2025=4,AW2025=5,AW2025=6),VLOOKUP(AU2025,INDEX((係数_バス貨物_ガソリン,係数_バス貨物_CNG,係数_バス貨物_軽油,係数_バス貨物_メタノール,係数_バス貨物_LPG),MATCH(AY2025,【参考】排出係数!$AI$4:$AI$671,1),1,BE2025):INDEX((係数_バス貨物_ガソリン,係数_バス貨物_CNG,係数_バス貨物_軽油,係数_バス貨物_メタノール,係数_バス貨物_LPG),MATCH(AY2025+1,【参考】排出係数!$AI$4:$AI$671,1)-1,5,BE2025),3,FALSE),IF(OR(AW2025=1,AW2025=2),VLOOKUP(AU2025,INDEX((係数_乗用_ガソリン,係数_乗用_CNG,係数_乗用_軽油,係数_乗用_メタノール,係数_乗用_LPG),1,1,BE2025):INDEX((係数_乗用_ガソリン,係数_乗用_CNG,係数_乗用_軽油,係数_乗用_メタノール,係数_乗用_LPG),125,5,BE2025),3,FALSE))))))</f>
        <v/>
      </c>
      <c r="BC2025" s="467" t="str">
        <f t="shared" si="1166"/>
        <v/>
      </c>
      <c r="BD2025" s="567" t="str">
        <f t="shared" si="1167"/>
        <v/>
      </c>
      <c r="BE2025" s="467" t="str">
        <f t="shared" si="1168"/>
        <v/>
      </c>
      <c r="BF2025" s="469" t="str">
        <f t="shared" ca="1" si="1169"/>
        <v/>
      </c>
      <c r="BG2025" s="469" t="str">
        <f t="shared" ca="1" si="1170"/>
        <v/>
      </c>
      <c r="BH2025" s="467" t="str">
        <f t="shared" si="1171"/>
        <v/>
      </c>
      <c r="BI2025" s="467" t="str">
        <f t="shared" ca="1" si="1172"/>
        <v/>
      </c>
      <c r="BJ2025" s="469" t="str">
        <f t="shared" si="1173"/>
        <v/>
      </c>
      <c r="BK2025" s="470" t="str">
        <f t="shared" si="1157"/>
        <v/>
      </c>
      <c r="BL2025" s="775" t="str">
        <f t="shared" si="1174"/>
        <v/>
      </c>
      <c r="BM2025" s="775" t="str">
        <f t="shared" si="1175"/>
        <v/>
      </c>
    </row>
    <row r="2026" spans="1:65">
      <c r="A2026" s="473">
        <v>1970</v>
      </c>
      <c r="B2026" s="132"/>
      <c r="C2026" s="332"/>
      <c r="D2026" s="333"/>
      <c r="E2026" s="333"/>
      <c r="F2026" s="334"/>
      <c r="G2026" s="337"/>
      <c r="H2026" s="131"/>
      <c r="I2026" s="337"/>
      <c r="J2026" s="131"/>
      <c r="K2026" s="458" t="str">
        <f t="shared" si="1138"/>
        <v/>
      </c>
      <c r="L2026" s="458">
        <f t="shared" si="1139"/>
        <v>0</v>
      </c>
      <c r="M2026" s="458">
        <f t="shared" si="1140"/>
        <v>0</v>
      </c>
      <c r="N2026" s="459" t="str">
        <f t="shared" si="1151"/>
        <v/>
      </c>
      <c r="O2026" s="459" t="str">
        <f t="shared" si="1152"/>
        <v/>
      </c>
      <c r="P2026" s="459" t="str">
        <f t="shared" si="1153"/>
        <v/>
      </c>
      <c r="Q2026" s="459" t="str">
        <f t="shared" si="1154"/>
        <v/>
      </c>
      <c r="R2026" s="459" t="str">
        <f t="shared" si="1155"/>
        <v/>
      </c>
      <c r="S2026" s="459" t="str">
        <f t="shared" si="1156"/>
        <v/>
      </c>
      <c r="T2026" s="566" t="str">
        <f t="shared" si="1141"/>
        <v/>
      </c>
      <c r="U2026" s="702"/>
      <c r="V2026" s="132"/>
      <c r="W2026" s="133"/>
      <c r="X2026" s="134"/>
      <c r="Y2026" s="135"/>
      <c r="Z2026" s="137"/>
      <c r="AA2026" s="136"/>
      <c r="AB2026" s="566" t="str">
        <f t="shared" si="1142"/>
        <v/>
      </c>
      <c r="AC2026" s="568" t="str">
        <f t="shared" si="1143"/>
        <v/>
      </c>
      <c r="AD2026" s="137"/>
      <c r="AE2026" s="137"/>
      <c r="AF2026" s="138"/>
      <c r="AG2026" s="138"/>
      <c r="AH2026" s="592" t="str">
        <f t="shared" si="1144"/>
        <v/>
      </c>
      <c r="AI2026" s="592" t="str">
        <f t="shared" si="1145"/>
        <v/>
      </c>
      <c r="AJ2026" s="592" t="str">
        <f t="shared" si="1146"/>
        <v/>
      </c>
      <c r="AK2026" s="460" t="str">
        <f>IF(AU2026="","",IF(OR(AZ2026=8,AZ2026=9),0,IF(OR(AW2026=3,AW2026=4,AW2026=5,AW2026=6),IF(LEFT(BF2026,1)="1",INDEX(係数_NOX・PM低減,MATCH(AY2026,【参考】排出係数!$AI$801:$AI$804,1),1),VLOOKUP(AU2026,INDEX((係数_バス貨物_ガソリン,係数_バス貨物_CNG,係数_バス貨物_軽油,係数_バス貨物_メタノール,係数_バス貨物_LPG),MATCH(AY2026,【参考】排出係数!$AI$4:$AI$671,1),1,BE2026):INDEX((係数_バス貨物_ガソリン,係数_バス貨物_CNG,係数_バス貨物_軽油,係数_バス貨物_メタノール,係数_バス貨物_LPG),MATCH(AY2026+1,【参考】排出係数!$AI$4:$AI$671,1)-1,5,BE2026),4,FALSE)),IF(AND(BE2026=3,LEFT(BF2026,1)="1"),0.48,VLOOKUP(AU2026,INDEX((係数_乗用_ガソリン,係数_乗用_CNG,係数_乗用_軽油,係数_乗用_メタノール,係数_乗用_LPG),1,1,BE2026):INDEX((係数_乗用_ガソリン,係数_乗用_CNG,係数_乗用_軽油,係数_乗用_メタノール,係数_乗用_LPG),125,5,BE2026),4,FALSE)))))</f>
        <v/>
      </c>
      <c r="AL2026" s="461" t="str">
        <f t="shared" si="1147"/>
        <v/>
      </c>
      <c r="AM2026" s="460" t="str">
        <f>IF(AU2026="","",IF(OR(AZ2026=8,AZ2026=9),0,IF(OR(AW2026=3,AW2026=4,AW2026=5,AW2026=6),IF(LEFT(BH2026,1)="1",INDEX(係数_PM低減,MATCH(AY2026,【参考】排出係数!$AI$801:$AI$804,1),MATCH(BI2026,【参考】排出係数!$AL$798:$AO$798,1)),VLOOKUP(AU2026,INDEX((係数_バス貨物_ガソリン,係数_バス貨物_CNG,係数_バス貨物_軽油,係数_バス貨物_メタノール,係数_バス貨物_LPG),MATCH(AY2026,【参考】排出係数!$AI$4:$AI$671,1),1,BE2026):INDEX((係数_バス貨物_ガソリン,係数_バス貨物_CNG,係数_バス貨物_軽油,係数_バス貨物_メタノール,係数_バス貨物_LPG),MATCH(AY2026+1,【参考】排出係数!$AI$4:$AI$671,1)-1,5,BE2026),5,FALSE)),IF(AND(BE2026=3,LEFT(BF2026,1)="1"),0.055,VLOOKUP(AU2026,INDEX((係数_乗用_ガソリン,係数_乗用_CNG,係数_乗用_軽油,係数_乗用_メタノール,係数_乗用_LPG),1,1,BE2026):INDEX((係数_乗用_ガソリン,係数_乗用_CNG,係数_乗用_軽油,係数_乗用_メタノール,係数_乗用_LPG),125,5,BE2026),5,FALSE)))))</f>
        <v/>
      </c>
      <c r="AN2026" s="461" t="str">
        <f t="shared" si="1148"/>
        <v/>
      </c>
      <c r="AO2026" s="462" t="str">
        <f t="shared" si="1149"/>
        <v/>
      </c>
      <c r="AP2026" s="463" t="str">
        <f t="shared" si="1150"/>
        <v/>
      </c>
      <c r="AQ2026" s="464"/>
      <c r="AR2026" s="619"/>
      <c r="AS2026" s="465" t="str">
        <f t="shared" si="1158"/>
        <v/>
      </c>
      <c r="AT2026" s="465" t="str">
        <f t="shared" si="1159"/>
        <v/>
      </c>
      <c r="AU2026" s="466" t="str">
        <f t="shared" si="1160"/>
        <v/>
      </c>
      <c r="AV2026" s="467" t="str">
        <f t="shared" si="1161"/>
        <v/>
      </c>
      <c r="AW2026" s="467" t="str">
        <f t="shared" si="1162"/>
        <v/>
      </c>
      <c r="AX2026" s="467" t="str">
        <f t="shared" si="1163"/>
        <v/>
      </c>
      <c r="AY2026" s="467" t="str">
        <f t="shared" si="1164"/>
        <v/>
      </c>
      <c r="AZ2026" s="467" t="str">
        <f t="shared" si="1165"/>
        <v/>
      </c>
      <c r="BA2026" s="468" t="str">
        <f>IF(AS2026="","",IF(OR(AU2026="",AU2026="-"),"－",IF(OR(AZ2026=8,AZ2026=9),"",IF(OR(AW2026=3,AW2026=4,AW2026=5,AW2026=6),VLOOKUP(AU2026,INDEX((係数_バス貨物_ガソリン,係数_バス貨物_CNG,係数_バス貨物_軽油,係数_バス貨物_メタノール,係数_バス貨物_LPG),MATCH(AY2026,【参考】排出係数!$AI$4:$AI$671,1),1,BE2026):INDEX((係数_バス貨物_ガソリン,係数_バス貨物_CNG,係数_バス貨物_軽油,係数_バス貨物_メタノール,係数_バス貨物_LPG),MATCH(AY2026+1,【参考】排出係数!$AI$4:$AI$671,1)-1,5,BE2026),2,FALSE),IF(OR(AW2026=1,AW2026=2),VLOOKUP(AU2026,INDEX((係数_乗用_ガソリン,係数_乗用_CNG,係数_乗用_軽油,係数_乗用_メタノール,係数_乗用_LPG),1,1,BE2026):INDEX((係数_乗用_ガソリン,係数_乗用_CNG,係数_乗用_軽油,係数_乗用_メタノール,係数_乗用_LPG),125,5,BE2026),2,FALSE))))))</f>
        <v/>
      </c>
      <c r="BB2026" s="468" t="str">
        <f>IF(T2026="","",IF(OR(AU2026="",AU2026="-"),"－",IF(OR(AZ2026=8,AZ2026=9),"",IF(OR(AW2026=3,AW2026=4,AW2026=5,AW2026=6),VLOOKUP(AU2026,INDEX((係数_バス貨物_ガソリン,係数_バス貨物_CNG,係数_バス貨物_軽油,係数_バス貨物_メタノール,係数_バス貨物_LPG),MATCH(AY2026,【参考】排出係数!$AI$4:$AI$671,1),1,BE2026):INDEX((係数_バス貨物_ガソリン,係数_バス貨物_CNG,係数_バス貨物_軽油,係数_バス貨物_メタノール,係数_バス貨物_LPG),MATCH(AY2026+1,【参考】排出係数!$AI$4:$AI$671,1)-1,5,BE2026),3,FALSE),IF(OR(AW2026=1,AW2026=2),VLOOKUP(AU2026,INDEX((係数_乗用_ガソリン,係数_乗用_CNG,係数_乗用_軽油,係数_乗用_メタノール,係数_乗用_LPG),1,1,BE2026):INDEX((係数_乗用_ガソリン,係数_乗用_CNG,係数_乗用_軽油,係数_乗用_メタノール,係数_乗用_LPG),125,5,BE2026),3,FALSE))))))</f>
        <v/>
      </c>
      <c r="BC2026" s="467" t="str">
        <f t="shared" si="1166"/>
        <v/>
      </c>
      <c r="BD2026" s="567" t="str">
        <f t="shared" si="1167"/>
        <v/>
      </c>
      <c r="BE2026" s="467" t="str">
        <f t="shared" si="1168"/>
        <v/>
      </c>
      <c r="BF2026" s="469" t="str">
        <f t="shared" ca="1" si="1169"/>
        <v/>
      </c>
      <c r="BG2026" s="469" t="str">
        <f t="shared" ca="1" si="1170"/>
        <v/>
      </c>
      <c r="BH2026" s="467" t="str">
        <f t="shared" si="1171"/>
        <v/>
      </c>
      <c r="BI2026" s="467" t="str">
        <f t="shared" ca="1" si="1172"/>
        <v/>
      </c>
      <c r="BJ2026" s="469" t="str">
        <f t="shared" si="1173"/>
        <v/>
      </c>
      <c r="BK2026" s="470" t="str">
        <f t="shared" si="1157"/>
        <v/>
      </c>
      <c r="BL2026" s="775" t="str">
        <f t="shared" si="1174"/>
        <v/>
      </c>
      <c r="BM2026" s="775" t="str">
        <f t="shared" si="1175"/>
        <v/>
      </c>
    </row>
    <row r="2027" spans="1:65">
      <c r="A2027" s="473">
        <v>1971</v>
      </c>
      <c r="B2027" s="132"/>
      <c r="C2027" s="332"/>
      <c r="D2027" s="333"/>
      <c r="E2027" s="333"/>
      <c r="F2027" s="334"/>
      <c r="G2027" s="337"/>
      <c r="H2027" s="131"/>
      <c r="I2027" s="337"/>
      <c r="J2027" s="131"/>
      <c r="K2027" s="458" t="str">
        <f t="shared" si="1138"/>
        <v/>
      </c>
      <c r="L2027" s="458">
        <f t="shared" si="1139"/>
        <v>0</v>
      </c>
      <c r="M2027" s="458">
        <f t="shared" si="1140"/>
        <v>0</v>
      </c>
      <c r="N2027" s="459" t="str">
        <f t="shared" si="1151"/>
        <v/>
      </c>
      <c r="O2027" s="459" t="str">
        <f t="shared" si="1152"/>
        <v/>
      </c>
      <c r="P2027" s="459" t="str">
        <f t="shared" si="1153"/>
        <v/>
      </c>
      <c r="Q2027" s="459" t="str">
        <f t="shared" si="1154"/>
        <v/>
      </c>
      <c r="R2027" s="459" t="str">
        <f t="shared" si="1155"/>
        <v/>
      </c>
      <c r="S2027" s="459" t="str">
        <f t="shared" si="1156"/>
        <v/>
      </c>
      <c r="T2027" s="566" t="str">
        <f t="shared" si="1141"/>
        <v/>
      </c>
      <c r="U2027" s="702"/>
      <c r="V2027" s="132"/>
      <c r="W2027" s="133"/>
      <c r="X2027" s="134"/>
      <c r="Y2027" s="135"/>
      <c r="Z2027" s="137"/>
      <c r="AA2027" s="136"/>
      <c r="AB2027" s="566" t="str">
        <f t="shared" si="1142"/>
        <v/>
      </c>
      <c r="AC2027" s="568" t="str">
        <f t="shared" si="1143"/>
        <v/>
      </c>
      <c r="AD2027" s="137"/>
      <c r="AE2027" s="137"/>
      <c r="AF2027" s="138"/>
      <c r="AG2027" s="138"/>
      <c r="AH2027" s="592" t="str">
        <f t="shared" si="1144"/>
        <v/>
      </c>
      <c r="AI2027" s="592" t="str">
        <f t="shared" si="1145"/>
        <v/>
      </c>
      <c r="AJ2027" s="592" t="str">
        <f t="shared" si="1146"/>
        <v/>
      </c>
      <c r="AK2027" s="460" t="str">
        <f>IF(AU2027="","",IF(OR(AZ2027=8,AZ2027=9),0,IF(OR(AW2027=3,AW2027=4,AW2027=5,AW2027=6),IF(LEFT(BF2027,1)="1",INDEX(係数_NOX・PM低減,MATCH(AY2027,【参考】排出係数!$AI$801:$AI$804,1),1),VLOOKUP(AU2027,INDEX((係数_バス貨物_ガソリン,係数_バス貨物_CNG,係数_バス貨物_軽油,係数_バス貨物_メタノール,係数_バス貨物_LPG),MATCH(AY2027,【参考】排出係数!$AI$4:$AI$671,1),1,BE2027):INDEX((係数_バス貨物_ガソリン,係数_バス貨物_CNG,係数_バス貨物_軽油,係数_バス貨物_メタノール,係数_バス貨物_LPG),MATCH(AY2027+1,【参考】排出係数!$AI$4:$AI$671,1)-1,5,BE2027),4,FALSE)),IF(AND(BE2027=3,LEFT(BF2027,1)="1"),0.48,VLOOKUP(AU2027,INDEX((係数_乗用_ガソリン,係数_乗用_CNG,係数_乗用_軽油,係数_乗用_メタノール,係数_乗用_LPG),1,1,BE2027):INDEX((係数_乗用_ガソリン,係数_乗用_CNG,係数_乗用_軽油,係数_乗用_メタノール,係数_乗用_LPG),125,5,BE2027),4,FALSE)))))</f>
        <v/>
      </c>
      <c r="AL2027" s="461" t="str">
        <f t="shared" si="1147"/>
        <v/>
      </c>
      <c r="AM2027" s="460" t="str">
        <f>IF(AU2027="","",IF(OR(AZ2027=8,AZ2027=9),0,IF(OR(AW2027=3,AW2027=4,AW2027=5,AW2027=6),IF(LEFT(BH2027,1)="1",INDEX(係数_PM低減,MATCH(AY2027,【参考】排出係数!$AI$801:$AI$804,1),MATCH(BI2027,【参考】排出係数!$AL$798:$AO$798,1)),VLOOKUP(AU2027,INDEX((係数_バス貨物_ガソリン,係数_バス貨物_CNG,係数_バス貨物_軽油,係数_バス貨物_メタノール,係数_バス貨物_LPG),MATCH(AY2027,【参考】排出係数!$AI$4:$AI$671,1),1,BE2027):INDEX((係数_バス貨物_ガソリン,係数_バス貨物_CNG,係数_バス貨物_軽油,係数_バス貨物_メタノール,係数_バス貨物_LPG),MATCH(AY2027+1,【参考】排出係数!$AI$4:$AI$671,1)-1,5,BE2027),5,FALSE)),IF(AND(BE2027=3,LEFT(BF2027,1)="1"),0.055,VLOOKUP(AU2027,INDEX((係数_乗用_ガソリン,係数_乗用_CNG,係数_乗用_軽油,係数_乗用_メタノール,係数_乗用_LPG),1,1,BE2027):INDEX((係数_乗用_ガソリン,係数_乗用_CNG,係数_乗用_軽油,係数_乗用_メタノール,係数_乗用_LPG),125,5,BE2027),5,FALSE)))))</f>
        <v/>
      </c>
      <c r="AN2027" s="461" t="str">
        <f t="shared" si="1148"/>
        <v/>
      </c>
      <c r="AO2027" s="462" t="str">
        <f t="shared" si="1149"/>
        <v/>
      </c>
      <c r="AP2027" s="463" t="str">
        <f t="shared" si="1150"/>
        <v/>
      </c>
      <c r="AQ2027" s="464"/>
      <c r="AR2027" s="619"/>
      <c r="AS2027" s="465" t="str">
        <f t="shared" si="1158"/>
        <v/>
      </c>
      <c r="AT2027" s="465" t="str">
        <f t="shared" si="1159"/>
        <v/>
      </c>
      <c r="AU2027" s="466" t="str">
        <f t="shared" si="1160"/>
        <v/>
      </c>
      <c r="AV2027" s="467" t="str">
        <f t="shared" si="1161"/>
        <v/>
      </c>
      <c r="AW2027" s="467" t="str">
        <f t="shared" si="1162"/>
        <v/>
      </c>
      <c r="AX2027" s="467" t="str">
        <f t="shared" si="1163"/>
        <v/>
      </c>
      <c r="AY2027" s="467" t="str">
        <f t="shared" si="1164"/>
        <v/>
      </c>
      <c r="AZ2027" s="467" t="str">
        <f t="shared" si="1165"/>
        <v/>
      </c>
      <c r="BA2027" s="468" t="str">
        <f>IF(AS2027="","",IF(OR(AU2027="",AU2027="-"),"－",IF(OR(AZ2027=8,AZ2027=9),"",IF(OR(AW2027=3,AW2027=4,AW2027=5,AW2027=6),VLOOKUP(AU2027,INDEX((係数_バス貨物_ガソリン,係数_バス貨物_CNG,係数_バス貨物_軽油,係数_バス貨物_メタノール,係数_バス貨物_LPG),MATCH(AY2027,【参考】排出係数!$AI$4:$AI$671,1),1,BE2027):INDEX((係数_バス貨物_ガソリン,係数_バス貨物_CNG,係数_バス貨物_軽油,係数_バス貨物_メタノール,係数_バス貨物_LPG),MATCH(AY2027+1,【参考】排出係数!$AI$4:$AI$671,1)-1,5,BE2027),2,FALSE),IF(OR(AW2027=1,AW2027=2),VLOOKUP(AU2027,INDEX((係数_乗用_ガソリン,係数_乗用_CNG,係数_乗用_軽油,係数_乗用_メタノール,係数_乗用_LPG),1,1,BE2027):INDEX((係数_乗用_ガソリン,係数_乗用_CNG,係数_乗用_軽油,係数_乗用_メタノール,係数_乗用_LPG),125,5,BE2027),2,FALSE))))))</f>
        <v/>
      </c>
      <c r="BB2027" s="468" t="str">
        <f>IF(T2027="","",IF(OR(AU2027="",AU2027="-"),"－",IF(OR(AZ2027=8,AZ2027=9),"",IF(OR(AW2027=3,AW2027=4,AW2027=5,AW2027=6),VLOOKUP(AU2027,INDEX((係数_バス貨物_ガソリン,係数_バス貨物_CNG,係数_バス貨物_軽油,係数_バス貨物_メタノール,係数_バス貨物_LPG),MATCH(AY2027,【参考】排出係数!$AI$4:$AI$671,1),1,BE2027):INDEX((係数_バス貨物_ガソリン,係数_バス貨物_CNG,係数_バス貨物_軽油,係数_バス貨物_メタノール,係数_バス貨物_LPG),MATCH(AY2027+1,【参考】排出係数!$AI$4:$AI$671,1)-1,5,BE2027),3,FALSE),IF(OR(AW2027=1,AW2027=2),VLOOKUP(AU2027,INDEX((係数_乗用_ガソリン,係数_乗用_CNG,係数_乗用_軽油,係数_乗用_メタノール,係数_乗用_LPG),1,1,BE2027):INDEX((係数_乗用_ガソリン,係数_乗用_CNG,係数_乗用_軽油,係数_乗用_メタノール,係数_乗用_LPG),125,5,BE2027),3,FALSE))))))</f>
        <v/>
      </c>
      <c r="BC2027" s="467" t="str">
        <f t="shared" si="1166"/>
        <v/>
      </c>
      <c r="BD2027" s="567" t="str">
        <f t="shared" si="1167"/>
        <v/>
      </c>
      <c r="BE2027" s="467" t="str">
        <f t="shared" si="1168"/>
        <v/>
      </c>
      <c r="BF2027" s="469" t="str">
        <f t="shared" ca="1" si="1169"/>
        <v/>
      </c>
      <c r="BG2027" s="469" t="str">
        <f t="shared" ca="1" si="1170"/>
        <v/>
      </c>
      <c r="BH2027" s="467" t="str">
        <f t="shared" si="1171"/>
        <v/>
      </c>
      <c r="BI2027" s="467" t="str">
        <f t="shared" ca="1" si="1172"/>
        <v/>
      </c>
      <c r="BJ2027" s="469" t="str">
        <f t="shared" si="1173"/>
        <v/>
      </c>
      <c r="BK2027" s="470" t="str">
        <f t="shared" si="1157"/>
        <v/>
      </c>
      <c r="BL2027" s="775" t="str">
        <f t="shared" si="1174"/>
        <v/>
      </c>
      <c r="BM2027" s="775" t="str">
        <f t="shared" si="1175"/>
        <v/>
      </c>
    </row>
    <row r="2028" spans="1:65">
      <c r="A2028" s="473">
        <v>1972</v>
      </c>
      <c r="B2028" s="132"/>
      <c r="C2028" s="332"/>
      <c r="D2028" s="333"/>
      <c r="E2028" s="333"/>
      <c r="F2028" s="334"/>
      <c r="G2028" s="337"/>
      <c r="H2028" s="131"/>
      <c r="I2028" s="337"/>
      <c r="J2028" s="131"/>
      <c r="K2028" s="458" t="str">
        <f t="shared" ref="K2028:K2055" si="1176">C2028&amp;D2028&amp;E2028&amp;F2028</f>
        <v/>
      </c>
      <c r="L2028" s="458">
        <f t="shared" ref="L2028:L2055" si="1177">IF(G2028&gt;0,DATE((G2028),(H2028+1),0),0)</f>
        <v>0</v>
      </c>
      <c r="M2028" s="458">
        <f t="shared" ref="M2028:M2055" si="1178">IF(I2028&gt;0,DATE((I2028),(J2028+1),0),0)</f>
        <v>0</v>
      </c>
      <c r="N2028" s="459" t="str">
        <f t="shared" si="1151"/>
        <v/>
      </c>
      <c r="O2028" s="459" t="str">
        <f t="shared" si="1152"/>
        <v/>
      </c>
      <c r="P2028" s="459" t="str">
        <f t="shared" si="1153"/>
        <v/>
      </c>
      <c r="Q2028" s="459" t="str">
        <f t="shared" si="1154"/>
        <v/>
      </c>
      <c r="R2028" s="459" t="str">
        <f t="shared" si="1155"/>
        <v/>
      </c>
      <c r="S2028" s="459" t="str">
        <f t="shared" si="1156"/>
        <v/>
      </c>
      <c r="T2028" s="566" t="str">
        <f t="shared" ref="T2028:T2055" si="1179">N2028&amp;O2028&amp;P2028&amp;Q2028&amp;R2028&amp;S2028</f>
        <v/>
      </c>
      <c r="U2028" s="702"/>
      <c r="V2028" s="132"/>
      <c r="W2028" s="133"/>
      <c r="X2028" s="134"/>
      <c r="Y2028" s="135"/>
      <c r="Z2028" s="137"/>
      <c r="AA2028" s="136"/>
      <c r="AB2028" s="566" t="str">
        <f t="shared" ref="AB2028:AB2055" si="1180">IF(AS2028="","",IF(AZ2028=1,VLOOKUP(BA2028,低公害車判別,2,FALSE),IF(AZ2028=3,VLOOKUP(BA2028,低公害車判別,2,FALSE),IF(AZ2028=4,VLOOKUP(BB2028,低公害車判別,2,FALSE),"低公害車"))))</f>
        <v/>
      </c>
      <c r="AC2028" s="568" t="str">
        <f t="shared" ref="AC2028:AC2055" si="1181">IF(AS2028="","",IF((BA2028="")+(BA2028="－"),IF((BB2028="")+(BB2028=0),"－",BB2028),IF((BA2028="PM☆☆☆")+(BA2028="☆及びPM☆☆☆")+(BA2028="☆☆及びPM☆☆☆")+(BA2028="☆☆☆及びPM☆☆☆"),"PM☆☆☆",IF((BA2028="PM☆☆☆☆")+(BA2028="☆及びPM☆☆☆☆")+(BA2028="☆☆及びPM☆☆☆☆")+(BA2028="☆☆☆及びPM☆☆☆☆"),"PM☆☆☆☆",IF((BA2028="新☆")+(BA2028="新NOx☆")+(BA2028="新PM☆"),"新☆（新長期）",BA2028)))))</f>
        <v/>
      </c>
      <c r="AD2028" s="137"/>
      <c r="AE2028" s="137"/>
      <c r="AF2028" s="138"/>
      <c r="AG2028" s="138"/>
      <c r="AH2028" s="592" t="str">
        <f t="shared" ref="AH2028:AH2055" si="1182">IF(C2028="","",IF(LEFT(C2028,2)="横浜","○",""))</f>
        <v/>
      </c>
      <c r="AI2028" s="592" t="str">
        <f t="shared" ref="AI2028:AI2055" si="1183">IF(C2028="","",IF(LEFT(C2028,2)="川崎","○",""))</f>
        <v/>
      </c>
      <c r="AJ2028" s="592" t="str">
        <f t="shared" ref="AJ2028:AJ2055" si="1184">IF(C2028="","",IF(OR(AH2028="○",AI2028="○"),"","○"))</f>
        <v/>
      </c>
      <c r="AK2028" s="460" t="str">
        <f>IF(AU2028="","",IF(OR(AZ2028=8,AZ2028=9),0,IF(OR(AW2028=3,AW2028=4,AW2028=5,AW2028=6),IF(LEFT(BF2028,1)="1",INDEX(係数_NOX・PM低減,MATCH(AY2028,【参考】排出係数!$AI$801:$AI$804,1),1),VLOOKUP(AU2028,INDEX((係数_バス貨物_ガソリン,係数_バス貨物_CNG,係数_バス貨物_軽油,係数_バス貨物_メタノール,係数_バス貨物_LPG),MATCH(AY2028,【参考】排出係数!$AI$4:$AI$671,1),1,BE2028):INDEX((係数_バス貨物_ガソリン,係数_バス貨物_CNG,係数_バス貨物_軽油,係数_バス貨物_メタノール,係数_バス貨物_LPG),MATCH(AY2028+1,【参考】排出係数!$AI$4:$AI$671,1)-1,5,BE2028),4,FALSE)),IF(AND(BE2028=3,LEFT(BF2028,1)="1"),0.48,VLOOKUP(AU2028,INDEX((係数_乗用_ガソリン,係数_乗用_CNG,係数_乗用_軽油,係数_乗用_メタノール,係数_乗用_LPG),1,1,BE2028):INDEX((係数_乗用_ガソリン,係数_乗用_CNG,係数_乗用_軽油,係数_乗用_メタノール,係数_乗用_LPG),125,5,BE2028),4,FALSE)))))</f>
        <v/>
      </c>
      <c r="AL2028" s="461" t="str">
        <f t="shared" ref="AL2028:AL2055" si="1185">IF(AU2028="","",IF(Z2028&lt;=3.5*1000,AD2028*AK2028/1000,IF(Z2028&gt;3.5*1000,AD2028*Z2028*AK2028/1000/1000)))</f>
        <v/>
      </c>
      <c r="AM2028" s="460" t="str">
        <f>IF(AU2028="","",IF(OR(AZ2028=8,AZ2028=9),0,IF(OR(AW2028=3,AW2028=4,AW2028=5,AW2028=6),IF(LEFT(BH2028,1)="1",INDEX(係数_PM低減,MATCH(AY2028,【参考】排出係数!$AI$801:$AI$804,1),MATCH(BI2028,【参考】排出係数!$AL$798:$AO$798,1)),VLOOKUP(AU2028,INDEX((係数_バス貨物_ガソリン,係数_バス貨物_CNG,係数_バス貨物_軽油,係数_バス貨物_メタノール,係数_バス貨物_LPG),MATCH(AY2028,【参考】排出係数!$AI$4:$AI$671,1),1,BE2028):INDEX((係数_バス貨物_ガソリン,係数_バス貨物_CNG,係数_バス貨物_軽油,係数_バス貨物_メタノール,係数_バス貨物_LPG),MATCH(AY2028+1,【参考】排出係数!$AI$4:$AI$671,1)-1,5,BE2028),5,FALSE)),IF(AND(BE2028=3,LEFT(BF2028,1)="1"),0.055,VLOOKUP(AU2028,INDEX((係数_乗用_ガソリン,係数_乗用_CNG,係数_乗用_軽油,係数_乗用_メタノール,係数_乗用_LPG),1,1,BE2028):INDEX((係数_乗用_ガソリン,係数_乗用_CNG,係数_乗用_軽油,係数_乗用_メタノール,係数_乗用_LPG),125,5,BE2028),5,FALSE)))))</f>
        <v/>
      </c>
      <c r="AN2028" s="461" t="str">
        <f t="shared" ref="AN2028:AN2055" si="1186">IF(AU2028="","",IF(Z2028&lt;=3.5*1000,AD2028*AM2028/1000,IF(Z2028&gt;3.5*1000,AD2028*Z2028*AM2028/1000/1000)))</f>
        <v/>
      </c>
      <c r="AO2028" s="462" t="str">
        <f t="shared" ref="AO2028:AO2055" si="1187">IF(AU2028="","",IF(Z2028&lt;500,"車両重量",IF(OR(AZ2028=8,AZ2028=9),0,IF(OR(AZ2028=1,AZ2028=2,AZ2028=11),2.32,IF(OR(AZ2028=4,AZ2028=5,AZ2028=11),2.58,IF(AZ2028=3,3,IF(AZ2028=6,2.23,IF(AZ2028=7,1.37,0))))))))</f>
        <v/>
      </c>
      <c r="AP2028" s="463" t="str">
        <f t="shared" ref="AP2028:AP2055" si="1188">IF(AU2028="","",AE2028*AO2028/1000)</f>
        <v/>
      </c>
      <c r="AQ2028" s="464"/>
      <c r="AR2028" s="619"/>
      <c r="AS2028" s="465" t="str">
        <f t="shared" si="1158"/>
        <v/>
      </c>
      <c r="AT2028" s="465" t="str">
        <f t="shared" si="1159"/>
        <v/>
      </c>
      <c r="AU2028" s="466" t="str">
        <f t="shared" si="1160"/>
        <v/>
      </c>
      <c r="AV2028" s="467" t="str">
        <f t="shared" si="1161"/>
        <v/>
      </c>
      <c r="AW2028" s="467" t="str">
        <f t="shared" si="1162"/>
        <v/>
      </c>
      <c r="AX2028" s="467" t="str">
        <f t="shared" si="1163"/>
        <v/>
      </c>
      <c r="AY2028" s="467" t="str">
        <f t="shared" si="1164"/>
        <v/>
      </c>
      <c r="AZ2028" s="467" t="str">
        <f t="shared" si="1165"/>
        <v/>
      </c>
      <c r="BA2028" s="468" t="str">
        <f>IF(AS2028="","",IF(OR(AU2028="",AU2028="-"),"－",IF(OR(AZ2028=8,AZ2028=9),"",IF(OR(AW2028=3,AW2028=4,AW2028=5,AW2028=6),VLOOKUP(AU2028,INDEX((係数_バス貨物_ガソリン,係数_バス貨物_CNG,係数_バス貨物_軽油,係数_バス貨物_メタノール,係数_バス貨物_LPG),MATCH(AY2028,【参考】排出係数!$AI$4:$AI$671,1),1,BE2028):INDEX((係数_バス貨物_ガソリン,係数_バス貨物_CNG,係数_バス貨物_軽油,係数_バス貨物_メタノール,係数_バス貨物_LPG),MATCH(AY2028+1,【参考】排出係数!$AI$4:$AI$671,1)-1,5,BE2028),2,FALSE),IF(OR(AW2028=1,AW2028=2),VLOOKUP(AU2028,INDEX((係数_乗用_ガソリン,係数_乗用_CNG,係数_乗用_軽油,係数_乗用_メタノール,係数_乗用_LPG),1,1,BE2028):INDEX((係数_乗用_ガソリン,係数_乗用_CNG,係数_乗用_軽油,係数_乗用_メタノール,係数_乗用_LPG),125,5,BE2028),2,FALSE))))))</f>
        <v/>
      </c>
      <c r="BB2028" s="468" t="str">
        <f>IF(T2028="","",IF(OR(AU2028="",AU2028="-"),"－",IF(OR(AZ2028=8,AZ2028=9),"",IF(OR(AW2028=3,AW2028=4,AW2028=5,AW2028=6),VLOOKUP(AU2028,INDEX((係数_バス貨物_ガソリン,係数_バス貨物_CNG,係数_バス貨物_軽油,係数_バス貨物_メタノール,係数_バス貨物_LPG),MATCH(AY2028,【参考】排出係数!$AI$4:$AI$671,1),1,BE2028):INDEX((係数_バス貨物_ガソリン,係数_バス貨物_CNG,係数_バス貨物_軽油,係数_バス貨物_メタノール,係数_バス貨物_LPG),MATCH(AY2028+1,【参考】排出係数!$AI$4:$AI$671,1)-1,5,BE2028),3,FALSE),IF(OR(AW2028=1,AW2028=2),VLOOKUP(AU2028,INDEX((係数_乗用_ガソリン,係数_乗用_CNG,係数_乗用_軽油,係数_乗用_メタノール,係数_乗用_LPG),1,1,BE2028):INDEX((係数_乗用_ガソリン,係数_乗用_CNG,係数_乗用_軽油,係数_乗用_メタノール,係数_乗用_LPG),125,5,BE2028),3,FALSE))))))</f>
        <v/>
      </c>
      <c r="BC2028" s="467" t="str">
        <f t="shared" si="1166"/>
        <v/>
      </c>
      <c r="BD2028" s="567" t="str">
        <f t="shared" si="1167"/>
        <v/>
      </c>
      <c r="BE2028" s="467" t="str">
        <f t="shared" si="1168"/>
        <v/>
      </c>
      <c r="BF2028" s="469" t="str">
        <f t="shared" ca="1" si="1169"/>
        <v/>
      </c>
      <c r="BG2028" s="469" t="str">
        <f t="shared" ca="1" si="1170"/>
        <v/>
      </c>
      <c r="BH2028" s="467" t="str">
        <f t="shared" si="1171"/>
        <v/>
      </c>
      <c r="BI2028" s="467" t="str">
        <f t="shared" ca="1" si="1172"/>
        <v/>
      </c>
      <c r="BJ2028" s="469" t="str">
        <f t="shared" si="1173"/>
        <v/>
      </c>
      <c r="BK2028" s="470" t="str">
        <f t="shared" si="1157"/>
        <v/>
      </c>
      <c r="BL2028" s="775" t="str">
        <f t="shared" si="1174"/>
        <v/>
      </c>
      <c r="BM2028" s="775" t="str">
        <f t="shared" si="1175"/>
        <v/>
      </c>
    </row>
    <row r="2029" spans="1:65">
      <c r="A2029" s="473">
        <v>1973</v>
      </c>
      <c r="B2029" s="132"/>
      <c r="C2029" s="332"/>
      <c r="D2029" s="333"/>
      <c r="E2029" s="333"/>
      <c r="F2029" s="334"/>
      <c r="G2029" s="337"/>
      <c r="H2029" s="131"/>
      <c r="I2029" s="337"/>
      <c r="J2029" s="131"/>
      <c r="K2029" s="458" t="str">
        <f t="shared" si="1176"/>
        <v/>
      </c>
      <c r="L2029" s="458">
        <f t="shared" si="1177"/>
        <v>0</v>
      </c>
      <c r="M2029" s="458">
        <f t="shared" si="1178"/>
        <v>0</v>
      </c>
      <c r="N2029" s="459" t="str">
        <f t="shared" si="1151"/>
        <v/>
      </c>
      <c r="O2029" s="459" t="str">
        <f t="shared" si="1152"/>
        <v/>
      </c>
      <c r="P2029" s="459" t="str">
        <f t="shared" si="1153"/>
        <v/>
      </c>
      <c r="Q2029" s="459" t="str">
        <f t="shared" si="1154"/>
        <v/>
      </c>
      <c r="R2029" s="459" t="str">
        <f t="shared" si="1155"/>
        <v/>
      </c>
      <c r="S2029" s="459" t="str">
        <f t="shared" si="1156"/>
        <v/>
      </c>
      <c r="T2029" s="566" t="str">
        <f t="shared" si="1179"/>
        <v/>
      </c>
      <c r="U2029" s="702"/>
      <c r="V2029" s="132"/>
      <c r="W2029" s="133"/>
      <c r="X2029" s="134"/>
      <c r="Y2029" s="135"/>
      <c r="Z2029" s="137"/>
      <c r="AA2029" s="136"/>
      <c r="AB2029" s="566" t="str">
        <f t="shared" si="1180"/>
        <v/>
      </c>
      <c r="AC2029" s="568" t="str">
        <f t="shared" si="1181"/>
        <v/>
      </c>
      <c r="AD2029" s="137"/>
      <c r="AE2029" s="137"/>
      <c r="AF2029" s="138"/>
      <c r="AG2029" s="138"/>
      <c r="AH2029" s="592" t="str">
        <f t="shared" si="1182"/>
        <v/>
      </c>
      <c r="AI2029" s="592" t="str">
        <f t="shared" si="1183"/>
        <v/>
      </c>
      <c r="AJ2029" s="592" t="str">
        <f t="shared" si="1184"/>
        <v/>
      </c>
      <c r="AK2029" s="460" t="str">
        <f>IF(AU2029="","",IF(OR(AZ2029=8,AZ2029=9),0,IF(OR(AW2029=3,AW2029=4,AW2029=5,AW2029=6),IF(LEFT(BF2029,1)="1",INDEX(係数_NOX・PM低減,MATCH(AY2029,【参考】排出係数!$AI$801:$AI$804,1),1),VLOOKUP(AU2029,INDEX((係数_バス貨物_ガソリン,係数_バス貨物_CNG,係数_バス貨物_軽油,係数_バス貨物_メタノール,係数_バス貨物_LPG),MATCH(AY2029,【参考】排出係数!$AI$4:$AI$671,1),1,BE2029):INDEX((係数_バス貨物_ガソリン,係数_バス貨物_CNG,係数_バス貨物_軽油,係数_バス貨物_メタノール,係数_バス貨物_LPG),MATCH(AY2029+1,【参考】排出係数!$AI$4:$AI$671,1)-1,5,BE2029),4,FALSE)),IF(AND(BE2029=3,LEFT(BF2029,1)="1"),0.48,VLOOKUP(AU2029,INDEX((係数_乗用_ガソリン,係数_乗用_CNG,係数_乗用_軽油,係数_乗用_メタノール,係数_乗用_LPG),1,1,BE2029):INDEX((係数_乗用_ガソリン,係数_乗用_CNG,係数_乗用_軽油,係数_乗用_メタノール,係数_乗用_LPG),125,5,BE2029),4,FALSE)))))</f>
        <v/>
      </c>
      <c r="AL2029" s="461" t="str">
        <f t="shared" si="1185"/>
        <v/>
      </c>
      <c r="AM2029" s="460" t="str">
        <f>IF(AU2029="","",IF(OR(AZ2029=8,AZ2029=9),0,IF(OR(AW2029=3,AW2029=4,AW2029=5,AW2029=6),IF(LEFT(BH2029,1)="1",INDEX(係数_PM低減,MATCH(AY2029,【参考】排出係数!$AI$801:$AI$804,1),MATCH(BI2029,【参考】排出係数!$AL$798:$AO$798,1)),VLOOKUP(AU2029,INDEX((係数_バス貨物_ガソリン,係数_バス貨物_CNG,係数_バス貨物_軽油,係数_バス貨物_メタノール,係数_バス貨物_LPG),MATCH(AY2029,【参考】排出係数!$AI$4:$AI$671,1),1,BE2029):INDEX((係数_バス貨物_ガソリン,係数_バス貨物_CNG,係数_バス貨物_軽油,係数_バス貨物_メタノール,係数_バス貨物_LPG),MATCH(AY2029+1,【参考】排出係数!$AI$4:$AI$671,1)-1,5,BE2029),5,FALSE)),IF(AND(BE2029=3,LEFT(BF2029,1)="1"),0.055,VLOOKUP(AU2029,INDEX((係数_乗用_ガソリン,係数_乗用_CNG,係数_乗用_軽油,係数_乗用_メタノール,係数_乗用_LPG),1,1,BE2029):INDEX((係数_乗用_ガソリン,係数_乗用_CNG,係数_乗用_軽油,係数_乗用_メタノール,係数_乗用_LPG),125,5,BE2029),5,FALSE)))))</f>
        <v/>
      </c>
      <c r="AN2029" s="461" t="str">
        <f t="shared" si="1186"/>
        <v/>
      </c>
      <c r="AO2029" s="462" t="str">
        <f t="shared" si="1187"/>
        <v/>
      </c>
      <c r="AP2029" s="463" t="str">
        <f t="shared" si="1188"/>
        <v/>
      </c>
      <c r="AQ2029" s="464"/>
      <c r="AR2029" s="619"/>
      <c r="AS2029" s="465" t="str">
        <f t="shared" si="1158"/>
        <v/>
      </c>
      <c r="AT2029" s="465" t="str">
        <f t="shared" si="1159"/>
        <v/>
      </c>
      <c r="AU2029" s="466" t="str">
        <f t="shared" si="1160"/>
        <v/>
      </c>
      <c r="AV2029" s="467" t="str">
        <f t="shared" si="1161"/>
        <v/>
      </c>
      <c r="AW2029" s="467" t="str">
        <f t="shared" si="1162"/>
        <v/>
      </c>
      <c r="AX2029" s="467" t="str">
        <f t="shared" si="1163"/>
        <v/>
      </c>
      <c r="AY2029" s="467" t="str">
        <f t="shared" si="1164"/>
        <v/>
      </c>
      <c r="AZ2029" s="467" t="str">
        <f t="shared" si="1165"/>
        <v/>
      </c>
      <c r="BA2029" s="468" t="str">
        <f>IF(AS2029="","",IF(OR(AU2029="",AU2029="-"),"－",IF(OR(AZ2029=8,AZ2029=9),"",IF(OR(AW2029=3,AW2029=4,AW2029=5,AW2029=6),VLOOKUP(AU2029,INDEX((係数_バス貨物_ガソリン,係数_バス貨物_CNG,係数_バス貨物_軽油,係数_バス貨物_メタノール,係数_バス貨物_LPG),MATCH(AY2029,【参考】排出係数!$AI$4:$AI$671,1),1,BE2029):INDEX((係数_バス貨物_ガソリン,係数_バス貨物_CNG,係数_バス貨物_軽油,係数_バス貨物_メタノール,係数_バス貨物_LPG),MATCH(AY2029+1,【参考】排出係数!$AI$4:$AI$671,1)-1,5,BE2029),2,FALSE),IF(OR(AW2029=1,AW2029=2),VLOOKUP(AU2029,INDEX((係数_乗用_ガソリン,係数_乗用_CNG,係数_乗用_軽油,係数_乗用_メタノール,係数_乗用_LPG),1,1,BE2029):INDEX((係数_乗用_ガソリン,係数_乗用_CNG,係数_乗用_軽油,係数_乗用_メタノール,係数_乗用_LPG),125,5,BE2029),2,FALSE))))))</f>
        <v/>
      </c>
      <c r="BB2029" s="468" t="str">
        <f>IF(T2029="","",IF(OR(AU2029="",AU2029="-"),"－",IF(OR(AZ2029=8,AZ2029=9),"",IF(OR(AW2029=3,AW2029=4,AW2029=5,AW2029=6),VLOOKUP(AU2029,INDEX((係数_バス貨物_ガソリン,係数_バス貨物_CNG,係数_バス貨物_軽油,係数_バス貨物_メタノール,係数_バス貨物_LPG),MATCH(AY2029,【参考】排出係数!$AI$4:$AI$671,1),1,BE2029):INDEX((係数_バス貨物_ガソリン,係数_バス貨物_CNG,係数_バス貨物_軽油,係数_バス貨物_メタノール,係数_バス貨物_LPG),MATCH(AY2029+1,【参考】排出係数!$AI$4:$AI$671,1)-1,5,BE2029),3,FALSE),IF(OR(AW2029=1,AW2029=2),VLOOKUP(AU2029,INDEX((係数_乗用_ガソリン,係数_乗用_CNG,係数_乗用_軽油,係数_乗用_メタノール,係数_乗用_LPG),1,1,BE2029):INDEX((係数_乗用_ガソリン,係数_乗用_CNG,係数_乗用_軽油,係数_乗用_メタノール,係数_乗用_LPG),125,5,BE2029),3,FALSE))))))</f>
        <v/>
      </c>
      <c r="BC2029" s="467" t="str">
        <f t="shared" si="1166"/>
        <v/>
      </c>
      <c r="BD2029" s="567" t="str">
        <f t="shared" si="1167"/>
        <v/>
      </c>
      <c r="BE2029" s="467" t="str">
        <f t="shared" si="1168"/>
        <v/>
      </c>
      <c r="BF2029" s="469" t="str">
        <f t="shared" ca="1" si="1169"/>
        <v/>
      </c>
      <c r="BG2029" s="469" t="str">
        <f t="shared" ca="1" si="1170"/>
        <v/>
      </c>
      <c r="BH2029" s="467" t="str">
        <f t="shared" si="1171"/>
        <v/>
      </c>
      <c r="BI2029" s="467" t="str">
        <f t="shared" ca="1" si="1172"/>
        <v/>
      </c>
      <c r="BJ2029" s="469" t="str">
        <f t="shared" si="1173"/>
        <v/>
      </c>
      <c r="BK2029" s="470" t="str">
        <f t="shared" si="1157"/>
        <v/>
      </c>
      <c r="BL2029" s="775" t="str">
        <f t="shared" si="1174"/>
        <v/>
      </c>
      <c r="BM2029" s="775" t="str">
        <f t="shared" si="1175"/>
        <v/>
      </c>
    </row>
    <row r="2030" spans="1:65">
      <c r="A2030" s="473">
        <v>1974</v>
      </c>
      <c r="B2030" s="132"/>
      <c r="C2030" s="332"/>
      <c r="D2030" s="333"/>
      <c r="E2030" s="333"/>
      <c r="F2030" s="334"/>
      <c r="G2030" s="337"/>
      <c r="H2030" s="131"/>
      <c r="I2030" s="337"/>
      <c r="J2030" s="131"/>
      <c r="K2030" s="458" t="str">
        <f t="shared" si="1176"/>
        <v/>
      </c>
      <c r="L2030" s="458">
        <f t="shared" si="1177"/>
        <v>0</v>
      </c>
      <c r="M2030" s="458">
        <f t="shared" si="1178"/>
        <v>0</v>
      </c>
      <c r="N2030" s="459" t="str">
        <f t="shared" si="1151"/>
        <v/>
      </c>
      <c r="O2030" s="459" t="str">
        <f t="shared" si="1152"/>
        <v/>
      </c>
      <c r="P2030" s="459" t="str">
        <f t="shared" si="1153"/>
        <v/>
      </c>
      <c r="Q2030" s="459" t="str">
        <f t="shared" si="1154"/>
        <v/>
      </c>
      <c r="R2030" s="459" t="str">
        <f t="shared" si="1155"/>
        <v/>
      </c>
      <c r="S2030" s="459" t="str">
        <f t="shared" si="1156"/>
        <v/>
      </c>
      <c r="T2030" s="566" t="str">
        <f t="shared" si="1179"/>
        <v/>
      </c>
      <c r="U2030" s="702"/>
      <c r="V2030" s="132"/>
      <c r="W2030" s="133"/>
      <c r="X2030" s="134"/>
      <c r="Y2030" s="135"/>
      <c r="Z2030" s="137"/>
      <c r="AA2030" s="136"/>
      <c r="AB2030" s="566" t="str">
        <f t="shared" si="1180"/>
        <v/>
      </c>
      <c r="AC2030" s="568" t="str">
        <f t="shared" si="1181"/>
        <v/>
      </c>
      <c r="AD2030" s="137"/>
      <c r="AE2030" s="137"/>
      <c r="AF2030" s="138"/>
      <c r="AG2030" s="138"/>
      <c r="AH2030" s="592" t="str">
        <f t="shared" si="1182"/>
        <v/>
      </c>
      <c r="AI2030" s="592" t="str">
        <f t="shared" si="1183"/>
        <v/>
      </c>
      <c r="AJ2030" s="592" t="str">
        <f t="shared" si="1184"/>
        <v/>
      </c>
      <c r="AK2030" s="460" t="str">
        <f>IF(AU2030="","",IF(OR(AZ2030=8,AZ2030=9),0,IF(OR(AW2030=3,AW2030=4,AW2030=5,AW2030=6),IF(LEFT(BF2030,1)="1",INDEX(係数_NOX・PM低減,MATCH(AY2030,【参考】排出係数!$AI$801:$AI$804,1),1),VLOOKUP(AU2030,INDEX((係数_バス貨物_ガソリン,係数_バス貨物_CNG,係数_バス貨物_軽油,係数_バス貨物_メタノール,係数_バス貨物_LPG),MATCH(AY2030,【参考】排出係数!$AI$4:$AI$671,1),1,BE2030):INDEX((係数_バス貨物_ガソリン,係数_バス貨物_CNG,係数_バス貨物_軽油,係数_バス貨物_メタノール,係数_バス貨物_LPG),MATCH(AY2030+1,【参考】排出係数!$AI$4:$AI$671,1)-1,5,BE2030),4,FALSE)),IF(AND(BE2030=3,LEFT(BF2030,1)="1"),0.48,VLOOKUP(AU2030,INDEX((係数_乗用_ガソリン,係数_乗用_CNG,係数_乗用_軽油,係数_乗用_メタノール,係数_乗用_LPG),1,1,BE2030):INDEX((係数_乗用_ガソリン,係数_乗用_CNG,係数_乗用_軽油,係数_乗用_メタノール,係数_乗用_LPG),125,5,BE2030),4,FALSE)))))</f>
        <v/>
      </c>
      <c r="AL2030" s="461" t="str">
        <f t="shared" si="1185"/>
        <v/>
      </c>
      <c r="AM2030" s="460" t="str">
        <f>IF(AU2030="","",IF(OR(AZ2030=8,AZ2030=9),0,IF(OR(AW2030=3,AW2030=4,AW2030=5,AW2030=6),IF(LEFT(BH2030,1)="1",INDEX(係数_PM低減,MATCH(AY2030,【参考】排出係数!$AI$801:$AI$804,1),MATCH(BI2030,【参考】排出係数!$AL$798:$AO$798,1)),VLOOKUP(AU2030,INDEX((係数_バス貨物_ガソリン,係数_バス貨物_CNG,係数_バス貨物_軽油,係数_バス貨物_メタノール,係数_バス貨物_LPG),MATCH(AY2030,【参考】排出係数!$AI$4:$AI$671,1),1,BE2030):INDEX((係数_バス貨物_ガソリン,係数_バス貨物_CNG,係数_バス貨物_軽油,係数_バス貨物_メタノール,係数_バス貨物_LPG),MATCH(AY2030+1,【参考】排出係数!$AI$4:$AI$671,1)-1,5,BE2030),5,FALSE)),IF(AND(BE2030=3,LEFT(BF2030,1)="1"),0.055,VLOOKUP(AU2030,INDEX((係数_乗用_ガソリン,係数_乗用_CNG,係数_乗用_軽油,係数_乗用_メタノール,係数_乗用_LPG),1,1,BE2030):INDEX((係数_乗用_ガソリン,係数_乗用_CNG,係数_乗用_軽油,係数_乗用_メタノール,係数_乗用_LPG),125,5,BE2030),5,FALSE)))))</f>
        <v/>
      </c>
      <c r="AN2030" s="461" t="str">
        <f t="shared" si="1186"/>
        <v/>
      </c>
      <c r="AO2030" s="462" t="str">
        <f t="shared" si="1187"/>
        <v/>
      </c>
      <c r="AP2030" s="463" t="str">
        <f t="shared" si="1188"/>
        <v/>
      </c>
      <c r="AQ2030" s="464"/>
      <c r="AR2030" s="619"/>
      <c r="AS2030" s="465" t="str">
        <f t="shared" si="1158"/>
        <v/>
      </c>
      <c r="AT2030" s="465" t="str">
        <f t="shared" si="1159"/>
        <v/>
      </c>
      <c r="AU2030" s="466" t="str">
        <f t="shared" si="1160"/>
        <v/>
      </c>
      <c r="AV2030" s="467" t="str">
        <f t="shared" si="1161"/>
        <v/>
      </c>
      <c r="AW2030" s="467" t="str">
        <f t="shared" si="1162"/>
        <v/>
      </c>
      <c r="AX2030" s="467" t="str">
        <f t="shared" si="1163"/>
        <v/>
      </c>
      <c r="AY2030" s="467" t="str">
        <f t="shared" si="1164"/>
        <v/>
      </c>
      <c r="AZ2030" s="467" t="str">
        <f t="shared" si="1165"/>
        <v/>
      </c>
      <c r="BA2030" s="468" t="str">
        <f>IF(AS2030="","",IF(OR(AU2030="",AU2030="-"),"－",IF(OR(AZ2030=8,AZ2030=9),"",IF(OR(AW2030=3,AW2030=4,AW2030=5,AW2030=6),VLOOKUP(AU2030,INDEX((係数_バス貨物_ガソリン,係数_バス貨物_CNG,係数_バス貨物_軽油,係数_バス貨物_メタノール,係数_バス貨物_LPG),MATCH(AY2030,【参考】排出係数!$AI$4:$AI$671,1),1,BE2030):INDEX((係数_バス貨物_ガソリン,係数_バス貨物_CNG,係数_バス貨物_軽油,係数_バス貨物_メタノール,係数_バス貨物_LPG),MATCH(AY2030+1,【参考】排出係数!$AI$4:$AI$671,1)-1,5,BE2030),2,FALSE),IF(OR(AW2030=1,AW2030=2),VLOOKUP(AU2030,INDEX((係数_乗用_ガソリン,係数_乗用_CNG,係数_乗用_軽油,係数_乗用_メタノール,係数_乗用_LPG),1,1,BE2030):INDEX((係数_乗用_ガソリン,係数_乗用_CNG,係数_乗用_軽油,係数_乗用_メタノール,係数_乗用_LPG),125,5,BE2030),2,FALSE))))))</f>
        <v/>
      </c>
      <c r="BB2030" s="468" t="str">
        <f>IF(T2030="","",IF(OR(AU2030="",AU2030="-"),"－",IF(OR(AZ2030=8,AZ2030=9),"",IF(OR(AW2030=3,AW2030=4,AW2030=5,AW2030=6),VLOOKUP(AU2030,INDEX((係数_バス貨物_ガソリン,係数_バス貨物_CNG,係数_バス貨物_軽油,係数_バス貨物_メタノール,係数_バス貨物_LPG),MATCH(AY2030,【参考】排出係数!$AI$4:$AI$671,1),1,BE2030):INDEX((係数_バス貨物_ガソリン,係数_バス貨物_CNG,係数_バス貨物_軽油,係数_バス貨物_メタノール,係数_バス貨物_LPG),MATCH(AY2030+1,【参考】排出係数!$AI$4:$AI$671,1)-1,5,BE2030),3,FALSE),IF(OR(AW2030=1,AW2030=2),VLOOKUP(AU2030,INDEX((係数_乗用_ガソリン,係数_乗用_CNG,係数_乗用_軽油,係数_乗用_メタノール,係数_乗用_LPG),1,1,BE2030):INDEX((係数_乗用_ガソリン,係数_乗用_CNG,係数_乗用_軽油,係数_乗用_メタノール,係数_乗用_LPG),125,5,BE2030),3,FALSE))))))</f>
        <v/>
      </c>
      <c r="BC2030" s="467" t="str">
        <f t="shared" si="1166"/>
        <v/>
      </c>
      <c r="BD2030" s="567" t="str">
        <f t="shared" si="1167"/>
        <v/>
      </c>
      <c r="BE2030" s="467" t="str">
        <f t="shared" si="1168"/>
        <v/>
      </c>
      <c r="BF2030" s="469" t="str">
        <f t="shared" ca="1" si="1169"/>
        <v/>
      </c>
      <c r="BG2030" s="469" t="str">
        <f t="shared" ca="1" si="1170"/>
        <v/>
      </c>
      <c r="BH2030" s="467" t="str">
        <f t="shared" si="1171"/>
        <v/>
      </c>
      <c r="BI2030" s="467" t="str">
        <f t="shared" ca="1" si="1172"/>
        <v/>
      </c>
      <c r="BJ2030" s="469" t="str">
        <f t="shared" si="1173"/>
        <v/>
      </c>
      <c r="BK2030" s="470" t="str">
        <f t="shared" si="1157"/>
        <v/>
      </c>
      <c r="BL2030" s="775" t="str">
        <f t="shared" si="1174"/>
        <v/>
      </c>
      <c r="BM2030" s="775" t="str">
        <f t="shared" si="1175"/>
        <v/>
      </c>
    </row>
    <row r="2031" spans="1:65">
      <c r="A2031" s="473">
        <v>1975</v>
      </c>
      <c r="B2031" s="132"/>
      <c r="C2031" s="332"/>
      <c r="D2031" s="333"/>
      <c r="E2031" s="333"/>
      <c r="F2031" s="334"/>
      <c r="G2031" s="337"/>
      <c r="H2031" s="131"/>
      <c r="I2031" s="337"/>
      <c r="J2031" s="131"/>
      <c r="K2031" s="458" t="str">
        <f t="shared" si="1176"/>
        <v/>
      </c>
      <c r="L2031" s="458">
        <f t="shared" si="1177"/>
        <v>0</v>
      </c>
      <c r="M2031" s="458">
        <f t="shared" si="1178"/>
        <v>0</v>
      </c>
      <c r="N2031" s="459" t="str">
        <f t="shared" si="1151"/>
        <v/>
      </c>
      <c r="O2031" s="459" t="str">
        <f t="shared" si="1152"/>
        <v/>
      </c>
      <c r="P2031" s="459" t="str">
        <f t="shared" si="1153"/>
        <v/>
      </c>
      <c r="Q2031" s="459" t="str">
        <f t="shared" si="1154"/>
        <v/>
      </c>
      <c r="R2031" s="459" t="str">
        <f t="shared" si="1155"/>
        <v/>
      </c>
      <c r="S2031" s="459" t="str">
        <f t="shared" si="1156"/>
        <v/>
      </c>
      <c r="T2031" s="566" t="str">
        <f t="shared" si="1179"/>
        <v/>
      </c>
      <c r="U2031" s="702"/>
      <c r="V2031" s="132"/>
      <c r="W2031" s="133"/>
      <c r="X2031" s="134"/>
      <c r="Y2031" s="135"/>
      <c r="Z2031" s="137"/>
      <c r="AA2031" s="136"/>
      <c r="AB2031" s="566" t="str">
        <f t="shared" si="1180"/>
        <v/>
      </c>
      <c r="AC2031" s="568" t="str">
        <f t="shared" si="1181"/>
        <v/>
      </c>
      <c r="AD2031" s="137"/>
      <c r="AE2031" s="137"/>
      <c r="AF2031" s="138"/>
      <c r="AG2031" s="138"/>
      <c r="AH2031" s="592" t="str">
        <f t="shared" si="1182"/>
        <v/>
      </c>
      <c r="AI2031" s="592" t="str">
        <f t="shared" si="1183"/>
        <v/>
      </c>
      <c r="AJ2031" s="592" t="str">
        <f t="shared" si="1184"/>
        <v/>
      </c>
      <c r="AK2031" s="460" t="str">
        <f>IF(AU2031="","",IF(OR(AZ2031=8,AZ2031=9),0,IF(OR(AW2031=3,AW2031=4,AW2031=5,AW2031=6),IF(LEFT(BF2031,1)="1",INDEX(係数_NOX・PM低減,MATCH(AY2031,【参考】排出係数!$AI$801:$AI$804,1),1),VLOOKUP(AU2031,INDEX((係数_バス貨物_ガソリン,係数_バス貨物_CNG,係数_バス貨物_軽油,係数_バス貨物_メタノール,係数_バス貨物_LPG),MATCH(AY2031,【参考】排出係数!$AI$4:$AI$671,1),1,BE2031):INDEX((係数_バス貨物_ガソリン,係数_バス貨物_CNG,係数_バス貨物_軽油,係数_バス貨物_メタノール,係数_バス貨物_LPG),MATCH(AY2031+1,【参考】排出係数!$AI$4:$AI$671,1)-1,5,BE2031),4,FALSE)),IF(AND(BE2031=3,LEFT(BF2031,1)="1"),0.48,VLOOKUP(AU2031,INDEX((係数_乗用_ガソリン,係数_乗用_CNG,係数_乗用_軽油,係数_乗用_メタノール,係数_乗用_LPG),1,1,BE2031):INDEX((係数_乗用_ガソリン,係数_乗用_CNG,係数_乗用_軽油,係数_乗用_メタノール,係数_乗用_LPG),125,5,BE2031),4,FALSE)))))</f>
        <v/>
      </c>
      <c r="AL2031" s="461" t="str">
        <f t="shared" si="1185"/>
        <v/>
      </c>
      <c r="AM2031" s="460" t="str">
        <f>IF(AU2031="","",IF(OR(AZ2031=8,AZ2031=9),0,IF(OR(AW2031=3,AW2031=4,AW2031=5,AW2031=6),IF(LEFT(BH2031,1)="1",INDEX(係数_PM低減,MATCH(AY2031,【参考】排出係数!$AI$801:$AI$804,1),MATCH(BI2031,【参考】排出係数!$AL$798:$AO$798,1)),VLOOKUP(AU2031,INDEX((係数_バス貨物_ガソリン,係数_バス貨物_CNG,係数_バス貨物_軽油,係数_バス貨物_メタノール,係数_バス貨物_LPG),MATCH(AY2031,【参考】排出係数!$AI$4:$AI$671,1),1,BE2031):INDEX((係数_バス貨物_ガソリン,係数_バス貨物_CNG,係数_バス貨物_軽油,係数_バス貨物_メタノール,係数_バス貨物_LPG),MATCH(AY2031+1,【参考】排出係数!$AI$4:$AI$671,1)-1,5,BE2031),5,FALSE)),IF(AND(BE2031=3,LEFT(BF2031,1)="1"),0.055,VLOOKUP(AU2031,INDEX((係数_乗用_ガソリン,係数_乗用_CNG,係数_乗用_軽油,係数_乗用_メタノール,係数_乗用_LPG),1,1,BE2031):INDEX((係数_乗用_ガソリン,係数_乗用_CNG,係数_乗用_軽油,係数_乗用_メタノール,係数_乗用_LPG),125,5,BE2031),5,FALSE)))))</f>
        <v/>
      </c>
      <c r="AN2031" s="461" t="str">
        <f t="shared" si="1186"/>
        <v/>
      </c>
      <c r="AO2031" s="462" t="str">
        <f t="shared" si="1187"/>
        <v/>
      </c>
      <c r="AP2031" s="463" t="str">
        <f t="shared" si="1188"/>
        <v/>
      </c>
      <c r="AQ2031" s="464"/>
      <c r="AR2031" s="619"/>
      <c r="AS2031" s="465" t="str">
        <f t="shared" si="1158"/>
        <v/>
      </c>
      <c r="AT2031" s="465" t="str">
        <f t="shared" si="1159"/>
        <v/>
      </c>
      <c r="AU2031" s="466" t="str">
        <f t="shared" si="1160"/>
        <v/>
      </c>
      <c r="AV2031" s="467" t="str">
        <f t="shared" si="1161"/>
        <v/>
      </c>
      <c r="AW2031" s="467" t="str">
        <f t="shared" si="1162"/>
        <v/>
      </c>
      <c r="AX2031" s="467" t="str">
        <f t="shared" si="1163"/>
        <v/>
      </c>
      <c r="AY2031" s="467" t="str">
        <f t="shared" si="1164"/>
        <v/>
      </c>
      <c r="AZ2031" s="467" t="str">
        <f t="shared" si="1165"/>
        <v/>
      </c>
      <c r="BA2031" s="468" t="str">
        <f>IF(AS2031="","",IF(OR(AU2031="",AU2031="-"),"－",IF(OR(AZ2031=8,AZ2031=9),"",IF(OR(AW2031=3,AW2031=4,AW2031=5,AW2031=6),VLOOKUP(AU2031,INDEX((係数_バス貨物_ガソリン,係数_バス貨物_CNG,係数_バス貨物_軽油,係数_バス貨物_メタノール,係数_バス貨物_LPG),MATCH(AY2031,【参考】排出係数!$AI$4:$AI$671,1),1,BE2031):INDEX((係数_バス貨物_ガソリン,係数_バス貨物_CNG,係数_バス貨物_軽油,係数_バス貨物_メタノール,係数_バス貨物_LPG),MATCH(AY2031+1,【参考】排出係数!$AI$4:$AI$671,1)-1,5,BE2031),2,FALSE),IF(OR(AW2031=1,AW2031=2),VLOOKUP(AU2031,INDEX((係数_乗用_ガソリン,係数_乗用_CNG,係数_乗用_軽油,係数_乗用_メタノール,係数_乗用_LPG),1,1,BE2031):INDEX((係数_乗用_ガソリン,係数_乗用_CNG,係数_乗用_軽油,係数_乗用_メタノール,係数_乗用_LPG),125,5,BE2031),2,FALSE))))))</f>
        <v/>
      </c>
      <c r="BB2031" s="468" t="str">
        <f>IF(T2031="","",IF(OR(AU2031="",AU2031="-"),"－",IF(OR(AZ2031=8,AZ2031=9),"",IF(OR(AW2031=3,AW2031=4,AW2031=5,AW2031=6),VLOOKUP(AU2031,INDEX((係数_バス貨物_ガソリン,係数_バス貨物_CNG,係数_バス貨物_軽油,係数_バス貨物_メタノール,係数_バス貨物_LPG),MATCH(AY2031,【参考】排出係数!$AI$4:$AI$671,1),1,BE2031):INDEX((係数_バス貨物_ガソリン,係数_バス貨物_CNG,係数_バス貨物_軽油,係数_バス貨物_メタノール,係数_バス貨物_LPG),MATCH(AY2031+1,【参考】排出係数!$AI$4:$AI$671,1)-1,5,BE2031),3,FALSE),IF(OR(AW2031=1,AW2031=2),VLOOKUP(AU2031,INDEX((係数_乗用_ガソリン,係数_乗用_CNG,係数_乗用_軽油,係数_乗用_メタノール,係数_乗用_LPG),1,1,BE2031):INDEX((係数_乗用_ガソリン,係数_乗用_CNG,係数_乗用_軽油,係数_乗用_メタノール,係数_乗用_LPG),125,5,BE2031),3,FALSE))))))</f>
        <v/>
      </c>
      <c r="BC2031" s="467" t="str">
        <f t="shared" si="1166"/>
        <v/>
      </c>
      <c r="BD2031" s="567" t="str">
        <f t="shared" si="1167"/>
        <v/>
      </c>
      <c r="BE2031" s="467" t="str">
        <f t="shared" si="1168"/>
        <v/>
      </c>
      <c r="BF2031" s="469" t="str">
        <f t="shared" ca="1" si="1169"/>
        <v/>
      </c>
      <c r="BG2031" s="469" t="str">
        <f t="shared" ca="1" si="1170"/>
        <v/>
      </c>
      <c r="BH2031" s="467" t="str">
        <f t="shared" si="1171"/>
        <v/>
      </c>
      <c r="BI2031" s="467" t="str">
        <f t="shared" ca="1" si="1172"/>
        <v/>
      </c>
      <c r="BJ2031" s="469" t="str">
        <f t="shared" si="1173"/>
        <v/>
      </c>
      <c r="BK2031" s="470" t="str">
        <f t="shared" si="1157"/>
        <v/>
      </c>
      <c r="BL2031" s="775" t="str">
        <f t="shared" si="1174"/>
        <v/>
      </c>
      <c r="BM2031" s="775" t="str">
        <f t="shared" si="1175"/>
        <v/>
      </c>
    </row>
    <row r="2032" spans="1:65">
      <c r="A2032" s="473">
        <v>1976</v>
      </c>
      <c r="B2032" s="132"/>
      <c r="C2032" s="332"/>
      <c r="D2032" s="333"/>
      <c r="E2032" s="333"/>
      <c r="F2032" s="334"/>
      <c r="G2032" s="337"/>
      <c r="H2032" s="131"/>
      <c r="I2032" s="337"/>
      <c r="J2032" s="131"/>
      <c r="K2032" s="458" t="str">
        <f t="shared" si="1176"/>
        <v/>
      </c>
      <c r="L2032" s="458">
        <f t="shared" si="1177"/>
        <v>0</v>
      </c>
      <c r="M2032" s="458">
        <f t="shared" si="1178"/>
        <v>0</v>
      </c>
      <c r="N2032" s="459" t="str">
        <f t="shared" si="1151"/>
        <v/>
      </c>
      <c r="O2032" s="459" t="str">
        <f t="shared" si="1152"/>
        <v/>
      </c>
      <c r="P2032" s="459" t="str">
        <f t="shared" si="1153"/>
        <v/>
      </c>
      <c r="Q2032" s="459" t="str">
        <f t="shared" si="1154"/>
        <v/>
      </c>
      <c r="R2032" s="459" t="str">
        <f t="shared" si="1155"/>
        <v/>
      </c>
      <c r="S2032" s="459" t="str">
        <f t="shared" si="1156"/>
        <v/>
      </c>
      <c r="T2032" s="566" t="str">
        <f t="shared" si="1179"/>
        <v/>
      </c>
      <c r="U2032" s="702"/>
      <c r="V2032" s="132"/>
      <c r="W2032" s="133"/>
      <c r="X2032" s="134"/>
      <c r="Y2032" s="135"/>
      <c r="Z2032" s="137"/>
      <c r="AA2032" s="136"/>
      <c r="AB2032" s="566" t="str">
        <f t="shared" si="1180"/>
        <v/>
      </c>
      <c r="AC2032" s="568" t="str">
        <f t="shared" si="1181"/>
        <v/>
      </c>
      <c r="AD2032" s="137"/>
      <c r="AE2032" s="137"/>
      <c r="AF2032" s="138"/>
      <c r="AG2032" s="138"/>
      <c r="AH2032" s="592" t="str">
        <f t="shared" si="1182"/>
        <v/>
      </c>
      <c r="AI2032" s="592" t="str">
        <f t="shared" si="1183"/>
        <v/>
      </c>
      <c r="AJ2032" s="592" t="str">
        <f t="shared" si="1184"/>
        <v/>
      </c>
      <c r="AK2032" s="460" t="str">
        <f>IF(AU2032="","",IF(OR(AZ2032=8,AZ2032=9),0,IF(OR(AW2032=3,AW2032=4,AW2032=5,AW2032=6),IF(LEFT(BF2032,1)="1",INDEX(係数_NOX・PM低減,MATCH(AY2032,【参考】排出係数!$AI$801:$AI$804,1),1),VLOOKUP(AU2032,INDEX((係数_バス貨物_ガソリン,係数_バス貨物_CNG,係数_バス貨物_軽油,係数_バス貨物_メタノール,係数_バス貨物_LPG),MATCH(AY2032,【参考】排出係数!$AI$4:$AI$671,1),1,BE2032):INDEX((係数_バス貨物_ガソリン,係数_バス貨物_CNG,係数_バス貨物_軽油,係数_バス貨物_メタノール,係数_バス貨物_LPG),MATCH(AY2032+1,【参考】排出係数!$AI$4:$AI$671,1)-1,5,BE2032),4,FALSE)),IF(AND(BE2032=3,LEFT(BF2032,1)="1"),0.48,VLOOKUP(AU2032,INDEX((係数_乗用_ガソリン,係数_乗用_CNG,係数_乗用_軽油,係数_乗用_メタノール,係数_乗用_LPG),1,1,BE2032):INDEX((係数_乗用_ガソリン,係数_乗用_CNG,係数_乗用_軽油,係数_乗用_メタノール,係数_乗用_LPG),125,5,BE2032),4,FALSE)))))</f>
        <v/>
      </c>
      <c r="AL2032" s="461" t="str">
        <f t="shared" si="1185"/>
        <v/>
      </c>
      <c r="AM2032" s="460" t="str">
        <f>IF(AU2032="","",IF(OR(AZ2032=8,AZ2032=9),0,IF(OR(AW2032=3,AW2032=4,AW2032=5,AW2032=6),IF(LEFT(BH2032,1)="1",INDEX(係数_PM低減,MATCH(AY2032,【参考】排出係数!$AI$801:$AI$804,1),MATCH(BI2032,【参考】排出係数!$AL$798:$AO$798,1)),VLOOKUP(AU2032,INDEX((係数_バス貨物_ガソリン,係数_バス貨物_CNG,係数_バス貨物_軽油,係数_バス貨物_メタノール,係数_バス貨物_LPG),MATCH(AY2032,【参考】排出係数!$AI$4:$AI$671,1),1,BE2032):INDEX((係数_バス貨物_ガソリン,係数_バス貨物_CNG,係数_バス貨物_軽油,係数_バス貨物_メタノール,係数_バス貨物_LPG),MATCH(AY2032+1,【参考】排出係数!$AI$4:$AI$671,1)-1,5,BE2032),5,FALSE)),IF(AND(BE2032=3,LEFT(BF2032,1)="1"),0.055,VLOOKUP(AU2032,INDEX((係数_乗用_ガソリン,係数_乗用_CNG,係数_乗用_軽油,係数_乗用_メタノール,係数_乗用_LPG),1,1,BE2032):INDEX((係数_乗用_ガソリン,係数_乗用_CNG,係数_乗用_軽油,係数_乗用_メタノール,係数_乗用_LPG),125,5,BE2032),5,FALSE)))))</f>
        <v/>
      </c>
      <c r="AN2032" s="461" t="str">
        <f t="shared" si="1186"/>
        <v/>
      </c>
      <c r="AO2032" s="462" t="str">
        <f t="shared" si="1187"/>
        <v/>
      </c>
      <c r="AP2032" s="463" t="str">
        <f t="shared" si="1188"/>
        <v/>
      </c>
      <c r="AQ2032" s="464"/>
      <c r="AR2032" s="619"/>
      <c r="AS2032" s="465" t="str">
        <f t="shared" si="1158"/>
        <v/>
      </c>
      <c r="AT2032" s="465" t="str">
        <f t="shared" si="1159"/>
        <v/>
      </c>
      <c r="AU2032" s="466" t="str">
        <f t="shared" si="1160"/>
        <v/>
      </c>
      <c r="AV2032" s="467" t="str">
        <f t="shared" si="1161"/>
        <v/>
      </c>
      <c r="AW2032" s="467" t="str">
        <f t="shared" si="1162"/>
        <v/>
      </c>
      <c r="AX2032" s="467" t="str">
        <f t="shared" si="1163"/>
        <v/>
      </c>
      <c r="AY2032" s="467" t="str">
        <f t="shared" si="1164"/>
        <v/>
      </c>
      <c r="AZ2032" s="467" t="str">
        <f t="shared" si="1165"/>
        <v/>
      </c>
      <c r="BA2032" s="468" t="str">
        <f>IF(AS2032="","",IF(OR(AU2032="",AU2032="-"),"－",IF(OR(AZ2032=8,AZ2032=9),"",IF(OR(AW2032=3,AW2032=4,AW2032=5,AW2032=6),VLOOKUP(AU2032,INDEX((係数_バス貨物_ガソリン,係数_バス貨物_CNG,係数_バス貨物_軽油,係数_バス貨物_メタノール,係数_バス貨物_LPG),MATCH(AY2032,【参考】排出係数!$AI$4:$AI$671,1),1,BE2032):INDEX((係数_バス貨物_ガソリン,係数_バス貨物_CNG,係数_バス貨物_軽油,係数_バス貨物_メタノール,係数_バス貨物_LPG),MATCH(AY2032+1,【参考】排出係数!$AI$4:$AI$671,1)-1,5,BE2032),2,FALSE),IF(OR(AW2032=1,AW2032=2),VLOOKUP(AU2032,INDEX((係数_乗用_ガソリン,係数_乗用_CNG,係数_乗用_軽油,係数_乗用_メタノール,係数_乗用_LPG),1,1,BE2032):INDEX((係数_乗用_ガソリン,係数_乗用_CNG,係数_乗用_軽油,係数_乗用_メタノール,係数_乗用_LPG),125,5,BE2032),2,FALSE))))))</f>
        <v/>
      </c>
      <c r="BB2032" s="468" t="str">
        <f>IF(T2032="","",IF(OR(AU2032="",AU2032="-"),"－",IF(OR(AZ2032=8,AZ2032=9),"",IF(OR(AW2032=3,AW2032=4,AW2032=5,AW2032=6),VLOOKUP(AU2032,INDEX((係数_バス貨物_ガソリン,係数_バス貨物_CNG,係数_バス貨物_軽油,係数_バス貨物_メタノール,係数_バス貨物_LPG),MATCH(AY2032,【参考】排出係数!$AI$4:$AI$671,1),1,BE2032):INDEX((係数_バス貨物_ガソリン,係数_バス貨物_CNG,係数_バス貨物_軽油,係数_バス貨物_メタノール,係数_バス貨物_LPG),MATCH(AY2032+1,【参考】排出係数!$AI$4:$AI$671,1)-1,5,BE2032),3,FALSE),IF(OR(AW2032=1,AW2032=2),VLOOKUP(AU2032,INDEX((係数_乗用_ガソリン,係数_乗用_CNG,係数_乗用_軽油,係数_乗用_メタノール,係数_乗用_LPG),1,1,BE2032):INDEX((係数_乗用_ガソリン,係数_乗用_CNG,係数_乗用_軽油,係数_乗用_メタノール,係数_乗用_LPG),125,5,BE2032),3,FALSE))))))</f>
        <v/>
      </c>
      <c r="BC2032" s="467" t="str">
        <f t="shared" si="1166"/>
        <v/>
      </c>
      <c r="BD2032" s="567" t="str">
        <f t="shared" si="1167"/>
        <v/>
      </c>
      <c r="BE2032" s="467" t="str">
        <f t="shared" si="1168"/>
        <v/>
      </c>
      <c r="BF2032" s="469" t="str">
        <f t="shared" ca="1" si="1169"/>
        <v/>
      </c>
      <c r="BG2032" s="469" t="str">
        <f t="shared" ca="1" si="1170"/>
        <v/>
      </c>
      <c r="BH2032" s="467" t="str">
        <f t="shared" si="1171"/>
        <v/>
      </c>
      <c r="BI2032" s="467" t="str">
        <f t="shared" ca="1" si="1172"/>
        <v/>
      </c>
      <c r="BJ2032" s="469" t="str">
        <f t="shared" si="1173"/>
        <v/>
      </c>
      <c r="BK2032" s="470" t="str">
        <f t="shared" si="1157"/>
        <v/>
      </c>
      <c r="BL2032" s="775" t="str">
        <f t="shared" si="1174"/>
        <v/>
      </c>
      <c r="BM2032" s="775" t="str">
        <f t="shared" si="1175"/>
        <v/>
      </c>
    </row>
    <row r="2033" spans="1:65">
      <c r="A2033" s="473">
        <v>1977</v>
      </c>
      <c r="B2033" s="132"/>
      <c r="C2033" s="332"/>
      <c r="D2033" s="333"/>
      <c r="E2033" s="333"/>
      <c r="F2033" s="334"/>
      <c r="G2033" s="337"/>
      <c r="H2033" s="131"/>
      <c r="I2033" s="337"/>
      <c r="J2033" s="131"/>
      <c r="K2033" s="458" t="str">
        <f t="shared" si="1176"/>
        <v/>
      </c>
      <c r="L2033" s="458">
        <f t="shared" si="1177"/>
        <v>0</v>
      </c>
      <c r="M2033" s="458">
        <f t="shared" si="1178"/>
        <v>0</v>
      </c>
      <c r="N2033" s="459" t="str">
        <f t="shared" si="1151"/>
        <v/>
      </c>
      <c r="O2033" s="459" t="str">
        <f t="shared" si="1152"/>
        <v/>
      </c>
      <c r="P2033" s="459" t="str">
        <f t="shared" si="1153"/>
        <v/>
      </c>
      <c r="Q2033" s="459" t="str">
        <f t="shared" si="1154"/>
        <v/>
      </c>
      <c r="R2033" s="459" t="str">
        <f t="shared" si="1155"/>
        <v/>
      </c>
      <c r="S2033" s="459" t="str">
        <f t="shared" si="1156"/>
        <v/>
      </c>
      <c r="T2033" s="566" t="str">
        <f t="shared" si="1179"/>
        <v/>
      </c>
      <c r="U2033" s="702"/>
      <c r="V2033" s="132"/>
      <c r="W2033" s="133"/>
      <c r="X2033" s="134"/>
      <c r="Y2033" s="135"/>
      <c r="Z2033" s="137"/>
      <c r="AA2033" s="136"/>
      <c r="AB2033" s="566" t="str">
        <f t="shared" si="1180"/>
        <v/>
      </c>
      <c r="AC2033" s="568" t="str">
        <f t="shared" si="1181"/>
        <v/>
      </c>
      <c r="AD2033" s="137"/>
      <c r="AE2033" s="137"/>
      <c r="AF2033" s="138"/>
      <c r="AG2033" s="138"/>
      <c r="AH2033" s="592" t="str">
        <f t="shared" si="1182"/>
        <v/>
      </c>
      <c r="AI2033" s="592" t="str">
        <f t="shared" si="1183"/>
        <v/>
      </c>
      <c r="AJ2033" s="592" t="str">
        <f t="shared" si="1184"/>
        <v/>
      </c>
      <c r="AK2033" s="460" t="str">
        <f>IF(AU2033="","",IF(OR(AZ2033=8,AZ2033=9),0,IF(OR(AW2033=3,AW2033=4,AW2033=5,AW2033=6),IF(LEFT(BF2033,1)="1",INDEX(係数_NOX・PM低減,MATCH(AY2033,【参考】排出係数!$AI$801:$AI$804,1),1),VLOOKUP(AU2033,INDEX((係数_バス貨物_ガソリン,係数_バス貨物_CNG,係数_バス貨物_軽油,係数_バス貨物_メタノール,係数_バス貨物_LPG),MATCH(AY2033,【参考】排出係数!$AI$4:$AI$671,1),1,BE2033):INDEX((係数_バス貨物_ガソリン,係数_バス貨物_CNG,係数_バス貨物_軽油,係数_バス貨物_メタノール,係数_バス貨物_LPG),MATCH(AY2033+1,【参考】排出係数!$AI$4:$AI$671,1)-1,5,BE2033),4,FALSE)),IF(AND(BE2033=3,LEFT(BF2033,1)="1"),0.48,VLOOKUP(AU2033,INDEX((係数_乗用_ガソリン,係数_乗用_CNG,係数_乗用_軽油,係数_乗用_メタノール,係数_乗用_LPG),1,1,BE2033):INDEX((係数_乗用_ガソリン,係数_乗用_CNG,係数_乗用_軽油,係数_乗用_メタノール,係数_乗用_LPG),125,5,BE2033),4,FALSE)))))</f>
        <v/>
      </c>
      <c r="AL2033" s="461" t="str">
        <f t="shared" si="1185"/>
        <v/>
      </c>
      <c r="AM2033" s="460" t="str">
        <f>IF(AU2033="","",IF(OR(AZ2033=8,AZ2033=9),0,IF(OR(AW2033=3,AW2033=4,AW2033=5,AW2033=6),IF(LEFT(BH2033,1)="1",INDEX(係数_PM低減,MATCH(AY2033,【参考】排出係数!$AI$801:$AI$804,1),MATCH(BI2033,【参考】排出係数!$AL$798:$AO$798,1)),VLOOKUP(AU2033,INDEX((係数_バス貨物_ガソリン,係数_バス貨物_CNG,係数_バス貨物_軽油,係数_バス貨物_メタノール,係数_バス貨物_LPG),MATCH(AY2033,【参考】排出係数!$AI$4:$AI$671,1),1,BE2033):INDEX((係数_バス貨物_ガソリン,係数_バス貨物_CNG,係数_バス貨物_軽油,係数_バス貨物_メタノール,係数_バス貨物_LPG),MATCH(AY2033+1,【参考】排出係数!$AI$4:$AI$671,1)-1,5,BE2033),5,FALSE)),IF(AND(BE2033=3,LEFT(BF2033,1)="1"),0.055,VLOOKUP(AU2033,INDEX((係数_乗用_ガソリン,係数_乗用_CNG,係数_乗用_軽油,係数_乗用_メタノール,係数_乗用_LPG),1,1,BE2033):INDEX((係数_乗用_ガソリン,係数_乗用_CNG,係数_乗用_軽油,係数_乗用_メタノール,係数_乗用_LPG),125,5,BE2033),5,FALSE)))))</f>
        <v/>
      </c>
      <c r="AN2033" s="461" t="str">
        <f t="shared" si="1186"/>
        <v/>
      </c>
      <c r="AO2033" s="462" t="str">
        <f t="shared" si="1187"/>
        <v/>
      </c>
      <c r="AP2033" s="463" t="str">
        <f t="shared" si="1188"/>
        <v/>
      </c>
      <c r="AQ2033" s="464"/>
      <c r="AR2033" s="619"/>
      <c r="AS2033" s="465" t="str">
        <f t="shared" si="1158"/>
        <v/>
      </c>
      <c r="AT2033" s="465" t="str">
        <f t="shared" si="1159"/>
        <v/>
      </c>
      <c r="AU2033" s="466" t="str">
        <f t="shared" si="1160"/>
        <v/>
      </c>
      <c r="AV2033" s="467" t="str">
        <f t="shared" si="1161"/>
        <v/>
      </c>
      <c r="AW2033" s="467" t="str">
        <f t="shared" si="1162"/>
        <v/>
      </c>
      <c r="AX2033" s="467" t="str">
        <f t="shared" si="1163"/>
        <v/>
      </c>
      <c r="AY2033" s="467" t="str">
        <f t="shared" si="1164"/>
        <v/>
      </c>
      <c r="AZ2033" s="467" t="str">
        <f t="shared" si="1165"/>
        <v/>
      </c>
      <c r="BA2033" s="468" t="str">
        <f>IF(AS2033="","",IF(OR(AU2033="",AU2033="-"),"－",IF(OR(AZ2033=8,AZ2033=9),"",IF(OR(AW2033=3,AW2033=4,AW2033=5,AW2033=6),VLOOKUP(AU2033,INDEX((係数_バス貨物_ガソリン,係数_バス貨物_CNG,係数_バス貨物_軽油,係数_バス貨物_メタノール,係数_バス貨物_LPG),MATCH(AY2033,【参考】排出係数!$AI$4:$AI$671,1),1,BE2033):INDEX((係数_バス貨物_ガソリン,係数_バス貨物_CNG,係数_バス貨物_軽油,係数_バス貨物_メタノール,係数_バス貨物_LPG),MATCH(AY2033+1,【参考】排出係数!$AI$4:$AI$671,1)-1,5,BE2033),2,FALSE),IF(OR(AW2033=1,AW2033=2),VLOOKUP(AU2033,INDEX((係数_乗用_ガソリン,係数_乗用_CNG,係数_乗用_軽油,係数_乗用_メタノール,係数_乗用_LPG),1,1,BE2033):INDEX((係数_乗用_ガソリン,係数_乗用_CNG,係数_乗用_軽油,係数_乗用_メタノール,係数_乗用_LPG),125,5,BE2033),2,FALSE))))))</f>
        <v/>
      </c>
      <c r="BB2033" s="468" t="str">
        <f>IF(T2033="","",IF(OR(AU2033="",AU2033="-"),"－",IF(OR(AZ2033=8,AZ2033=9),"",IF(OR(AW2033=3,AW2033=4,AW2033=5,AW2033=6),VLOOKUP(AU2033,INDEX((係数_バス貨物_ガソリン,係数_バス貨物_CNG,係数_バス貨物_軽油,係数_バス貨物_メタノール,係数_バス貨物_LPG),MATCH(AY2033,【参考】排出係数!$AI$4:$AI$671,1),1,BE2033):INDEX((係数_バス貨物_ガソリン,係数_バス貨物_CNG,係数_バス貨物_軽油,係数_バス貨物_メタノール,係数_バス貨物_LPG),MATCH(AY2033+1,【参考】排出係数!$AI$4:$AI$671,1)-1,5,BE2033),3,FALSE),IF(OR(AW2033=1,AW2033=2),VLOOKUP(AU2033,INDEX((係数_乗用_ガソリン,係数_乗用_CNG,係数_乗用_軽油,係数_乗用_メタノール,係数_乗用_LPG),1,1,BE2033):INDEX((係数_乗用_ガソリン,係数_乗用_CNG,係数_乗用_軽油,係数_乗用_メタノール,係数_乗用_LPG),125,5,BE2033),3,FALSE))))))</f>
        <v/>
      </c>
      <c r="BC2033" s="467" t="str">
        <f t="shared" si="1166"/>
        <v/>
      </c>
      <c r="BD2033" s="567" t="str">
        <f t="shared" si="1167"/>
        <v/>
      </c>
      <c r="BE2033" s="467" t="str">
        <f t="shared" si="1168"/>
        <v/>
      </c>
      <c r="BF2033" s="469" t="str">
        <f t="shared" ca="1" si="1169"/>
        <v/>
      </c>
      <c r="BG2033" s="469" t="str">
        <f t="shared" ca="1" si="1170"/>
        <v/>
      </c>
      <c r="BH2033" s="467" t="str">
        <f t="shared" si="1171"/>
        <v/>
      </c>
      <c r="BI2033" s="467" t="str">
        <f t="shared" ca="1" si="1172"/>
        <v/>
      </c>
      <c r="BJ2033" s="469" t="str">
        <f t="shared" si="1173"/>
        <v/>
      </c>
      <c r="BK2033" s="470" t="str">
        <f t="shared" si="1157"/>
        <v/>
      </c>
      <c r="BL2033" s="775" t="str">
        <f t="shared" si="1174"/>
        <v/>
      </c>
      <c r="BM2033" s="775" t="str">
        <f t="shared" si="1175"/>
        <v/>
      </c>
    </row>
    <row r="2034" spans="1:65">
      <c r="A2034" s="473">
        <v>1978</v>
      </c>
      <c r="B2034" s="132"/>
      <c r="C2034" s="332"/>
      <c r="D2034" s="333"/>
      <c r="E2034" s="333"/>
      <c r="F2034" s="334"/>
      <c r="G2034" s="337"/>
      <c r="H2034" s="131"/>
      <c r="I2034" s="337"/>
      <c r="J2034" s="131"/>
      <c r="K2034" s="458" t="str">
        <f t="shared" si="1176"/>
        <v/>
      </c>
      <c r="L2034" s="458">
        <f t="shared" si="1177"/>
        <v>0</v>
      </c>
      <c r="M2034" s="458">
        <f t="shared" si="1178"/>
        <v>0</v>
      </c>
      <c r="N2034" s="459" t="str">
        <f t="shared" si="1151"/>
        <v/>
      </c>
      <c r="O2034" s="459" t="str">
        <f t="shared" si="1152"/>
        <v/>
      </c>
      <c r="P2034" s="459" t="str">
        <f t="shared" si="1153"/>
        <v/>
      </c>
      <c r="Q2034" s="459" t="str">
        <f t="shared" si="1154"/>
        <v/>
      </c>
      <c r="R2034" s="459" t="str">
        <f t="shared" si="1155"/>
        <v/>
      </c>
      <c r="S2034" s="459" t="str">
        <f t="shared" si="1156"/>
        <v/>
      </c>
      <c r="T2034" s="566" t="str">
        <f t="shared" si="1179"/>
        <v/>
      </c>
      <c r="U2034" s="702"/>
      <c r="V2034" s="132"/>
      <c r="W2034" s="133"/>
      <c r="X2034" s="134"/>
      <c r="Y2034" s="135"/>
      <c r="Z2034" s="137"/>
      <c r="AA2034" s="136"/>
      <c r="AB2034" s="566" t="str">
        <f t="shared" si="1180"/>
        <v/>
      </c>
      <c r="AC2034" s="568" t="str">
        <f t="shared" si="1181"/>
        <v/>
      </c>
      <c r="AD2034" s="137"/>
      <c r="AE2034" s="137"/>
      <c r="AF2034" s="138"/>
      <c r="AG2034" s="138"/>
      <c r="AH2034" s="592" t="str">
        <f t="shared" si="1182"/>
        <v/>
      </c>
      <c r="AI2034" s="592" t="str">
        <f t="shared" si="1183"/>
        <v/>
      </c>
      <c r="AJ2034" s="592" t="str">
        <f t="shared" si="1184"/>
        <v/>
      </c>
      <c r="AK2034" s="460" t="str">
        <f>IF(AU2034="","",IF(OR(AZ2034=8,AZ2034=9),0,IF(OR(AW2034=3,AW2034=4,AW2034=5,AW2034=6),IF(LEFT(BF2034,1)="1",INDEX(係数_NOX・PM低減,MATCH(AY2034,【参考】排出係数!$AI$801:$AI$804,1),1),VLOOKUP(AU2034,INDEX((係数_バス貨物_ガソリン,係数_バス貨物_CNG,係数_バス貨物_軽油,係数_バス貨物_メタノール,係数_バス貨物_LPG),MATCH(AY2034,【参考】排出係数!$AI$4:$AI$671,1),1,BE2034):INDEX((係数_バス貨物_ガソリン,係数_バス貨物_CNG,係数_バス貨物_軽油,係数_バス貨物_メタノール,係数_バス貨物_LPG),MATCH(AY2034+1,【参考】排出係数!$AI$4:$AI$671,1)-1,5,BE2034),4,FALSE)),IF(AND(BE2034=3,LEFT(BF2034,1)="1"),0.48,VLOOKUP(AU2034,INDEX((係数_乗用_ガソリン,係数_乗用_CNG,係数_乗用_軽油,係数_乗用_メタノール,係数_乗用_LPG),1,1,BE2034):INDEX((係数_乗用_ガソリン,係数_乗用_CNG,係数_乗用_軽油,係数_乗用_メタノール,係数_乗用_LPG),125,5,BE2034),4,FALSE)))))</f>
        <v/>
      </c>
      <c r="AL2034" s="461" t="str">
        <f t="shared" si="1185"/>
        <v/>
      </c>
      <c r="AM2034" s="460" t="str">
        <f>IF(AU2034="","",IF(OR(AZ2034=8,AZ2034=9),0,IF(OR(AW2034=3,AW2034=4,AW2034=5,AW2034=6),IF(LEFT(BH2034,1)="1",INDEX(係数_PM低減,MATCH(AY2034,【参考】排出係数!$AI$801:$AI$804,1),MATCH(BI2034,【参考】排出係数!$AL$798:$AO$798,1)),VLOOKUP(AU2034,INDEX((係数_バス貨物_ガソリン,係数_バス貨物_CNG,係数_バス貨物_軽油,係数_バス貨物_メタノール,係数_バス貨物_LPG),MATCH(AY2034,【参考】排出係数!$AI$4:$AI$671,1),1,BE2034):INDEX((係数_バス貨物_ガソリン,係数_バス貨物_CNG,係数_バス貨物_軽油,係数_バス貨物_メタノール,係数_バス貨物_LPG),MATCH(AY2034+1,【参考】排出係数!$AI$4:$AI$671,1)-1,5,BE2034),5,FALSE)),IF(AND(BE2034=3,LEFT(BF2034,1)="1"),0.055,VLOOKUP(AU2034,INDEX((係数_乗用_ガソリン,係数_乗用_CNG,係数_乗用_軽油,係数_乗用_メタノール,係数_乗用_LPG),1,1,BE2034):INDEX((係数_乗用_ガソリン,係数_乗用_CNG,係数_乗用_軽油,係数_乗用_メタノール,係数_乗用_LPG),125,5,BE2034),5,FALSE)))))</f>
        <v/>
      </c>
      <c r="AN2034" s="461" t="str">
        <f t="shared" si="1186"/>
        <v/>
      </c>
      <c r="AO2034" s="462" t="str">
        <f t="shared" si="1187"/>
        <v/>
      </c>
      <c r="AP2034" s="463" t="str">
        <f t="shared" si="1188"/>
        <v/>
      </c>
      <c r="AQ2034" s="464"/>
      <c r="AR2034" s="619"/>
      <c r="AS2034" s="465" t="str">
        <f t="shared" si="1158"/>
        <v/>
      </c>
      <c r="AT2034" s="465" t="str">
        <f t="shared" si="1159"/>
        <v/>
      </c>
      <c r="AU2034" s="466" t="str">
        <f t="shared" si="1160"/>
        <v/>
      </c>
      <c r="AV2034" s="467" t="str">
        <f t="shared" si="1161"/>
        <v/>
      </c>
      <c r="AW2034" s="467" t="str">
        <f t="shared" si="1162"/>
        <v/>
      </c>
      <c r="AX2034" s="467" t="str">
        <f t="shared" si="1163"/>
        <v/>
      </c>
      <c r="AY2034" s="467" t="str">
        <f t="shared" si="1164"/>
        <v/>
      </c>
      <c r="AZ2034" s="467" t="str">
        <f t="shared" si="1165"/>
        <v/>
      </c>
      <c r="BA2034" s="468" t="str">
        <f>IF(AS2034="","",IF(OR(AU2034="",AU2034="-"),"－",IF(OR(AZ2034=8,AZ2034=9),"",IF(OR(AW2034=3,AW2034=4,AW2034=5,AW2034=6),VLOOKUP(AU2034,INDEX((係数_バス貨物_ガソリン,係数_バス貨物_CNG,係数_バス貨物_軽油,係数_バス貨物_メタノール,係数_バス貨物_LPG),MATCH(AY2034,【参考】排出係数!$AI$4:$AI$671,1),1,BE2034):INDEX((係数_バス貨物_ガソリン,係数_バス貨物_CNG,係数_バス貨物_軽油,係数_バス貨物_メタノール,係数_バス貨物_LPG),MATCH(AY2034+1,【参考】排出係数!$AI$4:$AI$671,1)-1,5,BE2034),2,FALSE),IF(OR(AW2034=1,AW2034=2),VLOOKUP(AU2034,INDEX((係数_乗用_ガソリン,係数_乗用_CNG,係数_乗用_軽油,係数_乗用_メタノール,係数_乗用_LPG),1,1,BE2034):INDEX((係数_乗用_ガソリン,係数_乗用_CNG,係数_乗用_軽油,係数_乗用_メタノール,係数_乗用_LPG),125,5,BE2034),2,FALSE))))))</f>
        <v/>
      </c>
      <c r="BB2034" s="468" t="str">
        <f>IF(T2034="","",IF(OR(AU2034="",AU2034="-"),"－",IF(OR(AZ2034=8,AZ2034=9),"",IF(OR(AW2034=3,AW2034=4,AW2034=5,AW2034=6),VLOOKUP(AU2034,INDEX((係数_バス貨物_ガソリン,係数_バス貨物_CNG,係数_バス貨物_軽油,係数_バス貨物_メタノール,係数_バス貨物_LPG),MATCH(AY2034,【参考】排出係数!$AI$4:$AI$671,1),1,BE2034):INDEX((係数_バス貨物_ガソリン,係数_バス貨物_CNG,係数_バス貨物_軽油,係数_バス貨物_メタノール,係数_バス貨物_LPG),MATCH(AY2034+1,【参考】排出係数!$AI$4:$AI$671,1)-1,5,BE2034),3,FALSE),IF(OR(AW2034=1,AW2034=2),VLOOKUP(AU2034,INDEX((係数_乗用_ガソリン,係数_乗用_CNG,係数_乗用_軽油,係数_乗用_メタノール,係数_乗用_LPG),1,1,BE2034):INDEX((係数_乗用_ガソリン,係数_乗用_CNG,係数_乗用_軽油,係数_乗用_メタノール,係数_乗用_LPG),125,5,BE2034),3,FALSE))))))</f>
        <v/>
      </c>
      <c r="BC2034" s="467" t="str">
        <f t="shared" si="1166"/>
        <v/>
      </c>
      <c r="BD2034" s="567" t="str">
        <f t="shared" si="1167"/>
        <v/>
      </c>
      <c r="BE2034" s="467" t="str">
        <f t="shared" si="1168"/>
        <v/>
      </c>
      <c r="BF2034" s="469" t="str">
        <f t="shared" ca="1" si="1169"/>
        <v/>
      </c>
      <c r="BG2034" s="469" t="str">
        <f t="shared" ca="1" si="1170"/>
        <v/>
      </c>
      <c r="BH2034" s="467" t="str">
        <f t="shared" si="1171"/>
        <v/>
      </c>
      <c r="BI2034" s="467" t="str">
        <f t="shared" ca="1" si="1172"/>
        <v/>
      </c>
      <c r="BJ2034" s="469" t="str">
        <f t="shared" si="1173"/>
        <v/>
      </c>
      <c r="BK2034" s="470" t="str">
        <f t="shared" si="1157"/>
        <v/>
      </c>
      <c r="BL2034" s="775" t="str">
        <f t="shared" si="1174"/>
        <v/>
      </c>
      <c r="BM2034" s="775" t="str">
        <f t="shared" si="1175"/>
        <v/>
      </c>
    </row>
    <row r="2035" spans="1:65">
      <c r="A2035" s="473">
        <v>1979</v>
      </c>
      <c r="B2035" s="132"/>
      <c r="C2035" s="332"/>
      <c r="D2035" s="333"/>
      <c r="E2035" s="333"/>
      <c r="F2035" s="334"/>
      <c r="G2035" s="337"/>
      <c r="H2035" s="131"/>
      <c r="I2035" s="337"/>
      <c r="J2035" s="131"/>
      <c r="K2035" s="458" t="str">
        <f t="shared" si="1176"/>
        <v/>
      </c>
      <c r="L2035" s="458">
        <f t="shared" si="1177"/>
        <v>0</v>
      </c>
      <c r="M2035" s="458">
        <f t="shared" si="1178"/>
        <v>0</v>
      </c>
      <c r="N2035" s="459" t="str">
        <f t="shared" si="1151"/>
        <v/>
      </c>
      <c r="O2035" s="459" t="str">
        <f t="shared" si="1152"/>
        <v/>
      </c>
      <c r="P2035" s="459" t="str">
        <f t="shared" si="1153"/>
        <v/>
      </c>
      <c r="Q2035" s="459" t="str">
        <f t="shared" si="1154"/>
        <v/>
      </c>
      <c r="R2035" s="459" t="str">
        <f t="shared" si="1155"/>
        <v/>
      </c>
      <c r="S2035" s="459" t="str">
        <f t="shared" si="1156"/>
        <v/>
      </c>
      <c r="T2035" s="566" t="str">
        <f t="shared" si="1179"/>
        <v/>
      </c>
      <c r="U2035" s="702"/>
      <c r="V2035" s="132"/>
      <c r="W2035" s="133"/>
      <c r="X2035" s="134"/>
      <c r="Y2035" s="135"/>
      <c r="Z2035" s="137"/>
      <c r="AA2035" s="136"/>
      <c r="AB2035" s="566" t="str">
        <f t="shared" si="1180"/>
        <v/>
      </c>
      <c r="AC2035" s="568" t="str">
        <f t="shared" si="1181"/>
        <v/>
      </c>
      <c r="AD2035" s="137"/>
      <c r="AE2035" s="137"/>
      <c r="AF2035" s="138"/>
      <c r="AG2035" s="138"/>
      <c r="AH2035" s="592" t="str">
        <f t="shared" si="1182"/>
        <v/>
      </c>
      <c r="AI2035" s="592" t="str">
        <f t="shared" si="1183"/>
        <v/>
      </c>
      <c r="AJ2035" s="592" t="str">
        <f t="shared" si="1184"/>
        <v/>
      </c>
      <c r="AK2035" s="460" t="str">
        <f>IF(AU2035="","",IF(OR(AZ2035=8,AZ2035=9),0,IF(OR(AW2035=3,AW2035=4,AW2035=5,AW2035=6),IF(LEFT(BF2035,1)="1",INDEX(係数_NOX・PM低減,MATCH(AY2035,【参考】排出係数!$AI$801:$AI$804,1),1),VLOOKUP(AU2035,INDEX((係数_バス貨物_ガソリン,係数_バス貨物_CNG,係数_バス貨物_軽油,係数_バス貨物_メタノール,係数_バス貨物_LPG),MATCH(AY2035,【参考】排出係数!$AI$4:$AI$671,1),1,BE2035):INDEX((係数_バス貨物_ガソリン,係数_バス貨物_CNG,係数_バス貨物_軽油,係数_バス貨物_メタノール,係数_バス貨物_LPG),MATCH(AY2035+1,【参考】排出係数!$AI$4:$AI$671,1)-1,5,BE2035),4,FALSE)),IF(AND(BE2035=3,LEFT(BF2035,1)="1"),0.48,VLOOKUP(AU2035,INDEX((係数_乗用_ガソリン,係数_乗用_CNG,係数_乗用_軽油,係数_乗用_メタノール,係数_乗用_LPG),1,1,BE2035):INDEX((係数_乗用_ガソリン,係数_乗用_CNG,係数_乗用_軽油,係数_乗用_メタノール,係数_乗用_LPG),125,5,BE2035),4,FALSE)))))</f>
        <v/>
      </c>
      <c r="AL2035" s="461" t="str">
        <f t="shared" si="1185"/>
        <v/>
      </c>
      <c r="AM2035" s="460" t="str">
        <f>IF(AU2035="","",IF(OR(AZ2035=8,AZ2035=9),0,IF(OR(AW2035=3,AW2035=4,AW2035=5,AW2035=6),IF(LEFT(BH2035,1)="1",INDEX(係数_PM低減,MATCH(AY2035,【参考】排出係数!$AI$801:$AI$804,1),MATCH(BI2035,【参考】排出係数!$AL$798:$AO$798,1)),VLOOKUP(AU2035,INDEX((係数_バス貨物_ガソリン,係数_バス貨物_CNG,係数_バス貨物_軽油,係数_バス貨物_メタノール,係数_バス貨物_LPG),MATCH(AY2035,【参考】排出係数!$AI$4:$AI$671,1),1,BE2035):INDEX((係数_バス貨物_ガソリン,係数_バス貨物_CNG,係数_バス貨物_軽油,係数_バス貨物_メタノール,係数_バス貨物_LPG),MATCH(AY2035+1,【参考】排出係数!$AI$4:$AI$671,1)-1,5,BE2035),5,FALSE)),IF(AND(BE2035=3,LEFT(BF2035,1)="1"),0.055,VLOOKUP(AU2035,INDEX((係数_乗用_ガソリン,係数_乗用_CNG,係数_乗用_軽油,係数_乗用_メタノール,係数_乗用_LPG),1,1,BE2035):INDEX((係数_乗用_ガソリン,係数_乗用_CNG,係数_乗用_軽油,係数_乗用_メタノール,係数_乗用_LPG),125,5,BE2035),5,FALSE)))))</f>
        <v/>
      </c>
      <c r="AN2035" s="461" t="str">
        <f t="shared" si="1186"/>
        <v/>
      </c>
      <c r="AO2035" s="462" t="str">
        <f t="shared" si="1187"/>
        <v/>
      </c>
      <c r="AP2035" s="463" t="str">
        <f t="shared" si="1188"/>
        <v/>
      </c>
      <c r="AQ2035" s="464"/>
      <c r="AR2035" s="619"/>
      <c r="AS2035" s="465" t="str">
        <f t="shared" si="1158"/>
        <v/>
      </c>
      <c r="AT2035" s="465" t="str">
        <f t="shared" si="1159"/>
        <v/>
      </c>
      <c r="AU2035" s="466" t="str">
        <f t="shared" si="1160"/>
        <v/>
      </c>
      <c r="AV2035" s="467" t="str">
        <f t="shared" si="1161"/>
        <v/>
      </c>
      <c r="AW2035" s="467" t="str">
        <f t="shared" si="1162"/>
        <v/>
      </c>
      <c r="AX2035" s="467" t="str">
        <f t="shared" si="1163"/>
        <v/>
      </c>
      <c r="AY2035" s="467" t="str">
        <f t="shared" si="1164"/>
        <v/>
      </c>
      <c r="AZ2035" s="467" t="str">
        <f t="shared" si="1165"/>
        <v/>
      </c>
      <c r="BA2035" s="468" t="str">
        <f>IF(AS2035="","",IF(OR(AU2035="",AU2035="-"),"－",IF(OR(AZ2035=8,AZ2035=9),"",IF(OR(AW2035=3,AW2035=4,AW2035=5,AW2035=6),VLOOKUP(AU2035,INDEX((係数_バス貨物_ガソリン,係数_バス貨物_CNG,係数_バス貨物_軽油,係数_バス貨物_メタノール,係数_バス貨物_LPG),MATCH(AY2035,【参考】排出係数!$AI$4:$AI$671,1),1,BE2035):INDEX((係数_バス貨物_ガソリン,係数_バス貨物_CNG,係数_バス貨物_軽油,係数_バス貨物_メタノール,係数_バス貨物_LPG),MATCH(AY2035+1,【参考】排出係数!$AI$4:$AI$671,1)-1,5,BE2035),2,FALSE),IF(OR(AW2035=1,AW2035=2),VLOOKUP(AU2035,INDEX((係数_乗用_ガソリン,係数_乗用_CNG,係数_乗用_軽油,係数_乗用_メタノール,係数_乗用_LPG),1,1,BE2035):INDEX((係数_乗用_ガソリン,係数_乗用_CNG,係数_乗用_軽油,係数_乗用_メタノール,係数_乗用_LPG),125,5,BE2035),2,FALSE))))))</f>
        <v/>
      </c>
      <c r="BB2035" s="468" t="str">
        <f>IF(T2035="","",IF(OR(AU2035="",AU2035="-"),"－",IF(OR(AZ2035=8,AZ2035=9),"",IF(OR(AW2035=3,AW2035=4,AW2035=5,AW2035=6),VLOOKUP(AU2035,INDEX((係数_バス貨物_ガソリン,係数_バス貨物_CNG,係数_バス貨物_軽油,係数_バス貨物_メタノール,係数_バス貨物_LPG),MATCH(AY2035,【参考】排出係数!$AI$4:$AI$671,1),1,BE2035):INDEX((係数_バス貨物_ガソリン,係数_バス貨物_CNG,係数_バス貨物_軽油,係数_バス貨物_メタノール,係数_バス貨物_LPG),MATCH(AY2035+1,【参考】排出係数!$AI$4:$AI$671,1)-1,5,BE2035),3,FALSE),IF(OR(AW2035=1,AW2035=2),VLOOKUP(AU2035,INDEX((係数_乗用_ガソリン,係数_乗用_CNG,係数_乗用_軽油,係数_乗用_メタノール,係数_乗用_LPG),1,1,BE2035):INDEX((係数_乗用_ガソリン,係数_乗用_CNG,係数_乗用_軽油,係数_乗用_メタノール,係数_乗用_LPG),125,5,BE2035),3,FALSE))))))</f>
        <v/>
      </c>
      <c r="BC2035" s="467" t="str">
        <f t="shared" si="1166"/>
        <v/>
      </c>
      <c r="BD2035" s="567" t="str">
        <f t="shared" si="1167"/>
        <v/>
      </c>
      <c r="BE2035" s="467" t="str">
        <f t="shared" si="1168"/>
        <v/>
      </c>
      <c r="BF2035" s="469" t="str">
        <f t="shared" ca="1" si="1169"/>
        <v/>
      </c>
      <c r="BG2035" s="469" t="str">
        <f t="shared" ca="1" si="1170"/>
        <v/>
      </c>
      <c r="BH2035" s="467" t="str">
        <f t="shared" si="1171"/>
        <v/>
      </c>
      <c r="BI2035" s="467" t="str">
        <f t="shared" ca="1" si="1172"/>
        <v/>
      </c>
      <c r="BJ2035" s="469" t="str">
        <f t="shared" si="1173"/>
        <v/>
      </c>
      <c r="BK2035" s="470" t="str">
        <f t="shared" si="1157"/>
        <v/>
      </c>
      <c r="BL2035" s="775" t="str">
        <f t="shared" si="1174"/>
        <v/>
      </c>
      <c r="BM2035" s="775" t="str">
        <f t="shared" si="1175"/>
        <v/>
      </c>
    </row>
    <row r="2036" spans="1:65">
      <c r="A2036" s="473">
        <v>1980</v>
      </c>
      <c r="B2036" s="132"/>
      <c r="C2036" s="332"/>
      <c r="D2036" s="333"/>
      <c r="E2036" s="333"/>
      <c r="F2036" s="334"/>
      <c r="G2036" s="337"/>
      <c r="H2036" s="131"/>
      <c r="I2036" s="337"/>
      <c r="J2036" s="131"/>
      <c r="K2036" s="458" t="str">
        <f t="shared" si="1176"/>
        <v/>
      </c>
      <c r="L2036" s="458">
        <f t="shared" si="1177"/>
        <v>0</v>
      </c>
      <c r="M2036" s="458">
        <f t="shared" si="1178"/>
        <v>0</v>
      </c>
      <c r="N2036" s="459" t="str">
        <f t="shared" si="1151"/>
        <v/>
      </c>
      <c r="O2036" s="459" t="str">
        <f t="shared" si="1152"/>
        <v/>
      </c>
      <c r="P2036" s="459" t="str">
        <f t="shared" si="1153"/>
        <v/>
      </c>
      <c r="Q2036" s="459" t="str">
        <f t="shared" si="1154"/>
        <v/>
      </c>
      <c r="R2036" s="459" t="str">
        <f t="shared" si="1155"/>
        <v/>
      </c>
      <c r="S2036" s="459" t="str">
        <f t="shared" si="1156"/>
        <v/>
      </c>
      <c r="T2036" s="566" t="str">
        <f t="shared" si="1179"/>
        <v/>
      </c>
      <c r="U2036" s="702"/>
      <c r="V2036" s="132"/>
      <c r="W2036" s="133"/>
      <c r="X2036" s="134"/>
      <c r="Y2036" s="135"/>
      <c r="Z2036" s="137"/>
      <c r="AA2036" s="136"/>
      <c r="AB2036" s="566" t="str">
        <f t="shared" si="1180"/>
        <v/>
      </c>
      <c r="AC2036" s="568" t="str">
        <f t="shared" si="1181"/>
        <v/>
      </c>
      <c r="AD2036" s="137"/>
      <c r="AE2036" s="137"/>
      <c r="AF2036" s="138"/>
      <c r="AG2036" s="138"/>
      <c r="AH2036" s="592" t="str">
        <f t="shared" si="1182"/>
        <v/>
      </c>
      <c r="AI2036" s="592" t="str">
        <f t="shared" si="1183"/>
        <v/>
      </c>
      <c r="AJ2036" s="592" t="str">
        <f t="shared" si="1184"/>
        <v/>
      </c>
      <c r="AK2036" s="460" t="str">
        <f>IF(AU2036="","",IF(OR(AZ2036=8,AZ2036=9),0,IF(OR(AW2036=3,AW2036=4,AW2036=5,AW2036=6),IF(LEFT(BF2036,1)="1",INDEX(係数_NOX・PM低減,MATCH(AY2036,【参考】排出係数!$AI$801:$AI$804,1),1),VLOOKUP(AU2036,INDEX((係数_バス貨物_ガソリン,係数_バス貨物_CNG,係数_バス貨物_軽油,係数_バス貨物_メタノール,係数_バス貨物_LPG),MATCH(AY2036,【参考】排出係数!$AI$4:$AI$671,1),1,BE2036):INDEX((係数_バス貨物_ガソリン,係数_バス貨物_CNG,係数_バス貨物_軽油,係数_バス貨物_メタノール,係数_バス貨物_LPG),MATCH(AY2036+1,【参考】排出係数!$AI$4:$AI$671,1)-1,5,BE2036),4,FALSE)),IF(AND(BE2036=3,LEFT(BF2036,1)="1"),0.48,VLOOKUP(AU2036,INDEX((係数_乗用_ガソリン,係数_乗用_CNG,係数_乗用_軽油,係数_乗用_メタノール,係数_乗用_LPG),1,1,BE2036):INDEX((係数_乗用_ガソリン,係数_乗用_CNG,係数_乗用_軽油,係数_乗用_メタノール,係数_乗用_LPG),125,5,BE2036),4,FALSE)))))</f>
        <v/>
      </c>
      <c r="AL2036" s="461" t="str">
        <f t="shared" si="1185"/>
        <v/>
      </c>
      <c r="AM2036" s="460" t="str">
        <f>IF(AU2036="","",IF(OR(AZ2036=8,AZ2036=9),0,IF(OR(AW2036=3,AW2036=4,AW2036=5,AW2036=6),IF(LEFT(BH2036,1)="1",INDEX(係数_PM低減,MATCH(AY2036,【参考】排出係数!$AI$801:$AI$804,1),MATCH(BI2036,【参考】排出係数!$AL$798:$AO$798,1)),VLOOKUP(AU2036,INDEX((係数_バス貨物_ガソリン,係数_バス貨物_CNG,係数_バス貨物_軽油,係数_バス貨物_メタノール,係数_バス貨物_LPG),MATCH(AY2036,【参考】排出係数!$AI$4:$AI$671,1),1,BE2036):INDEX((係数_バス貨物_ガソリン,係数_バス貨物_CNG,係数_バス貨物_軽油,係数_バス貨物_メタノール,係数_バス貨物_LPG),MATCH(AY2036+1,【参考】排出係数!$AI$4:$AI$671,1)-1,5,BE2036),5,FALSE)),IF(AND(BE2036=3,LEFT(BF2036,1)="1"),0.055,VLOOKUP(AU2036,INDEX((係数_乗用_ガソリン,係数_乗用_CNG,係数_乗用_軽油,係数_乗用_メタノール,係数_乗用_LPG),1,1,BE2036):INDEX((係数_乗用_ガソリン,係数_乗用_CNG,係数_乗用_軽油,係数_乗用_メタノール,係数_乗用_LPG),125,5,BE2036),5,FALSE)))))</f>
        <v/>
      </c>
      <c r="AN2036" s="461" t="str">
        <f t="shared" si="1186"/>
        <v/>
      </c>
      <c r="AO2036" s="462" t="str">
        <f t="shared" si="1187"/>
        <v/>
      </c>
      <c r="AP2036" s="463" t="str">
        <f t="shared" si="1188"/>
        <v/>
      </c>
      <c r="AQ2036" s="464"/>
      <c r="AR2036" s="619"/>
      <c r="AS2036" s="465" t="str">
        <f t="shared" si="1158"/>
        <v/>
      </c>
      <c r="AT2036" s="465" t="str">
        <f t="shared" si="1159"/>
        <v/>
      </c>
      <c r="AU2036" s="466" t="str">
        <f t="shared" si="1160"/>
        <v/>
      </c>
      <c r="AV2036" s="467" t="str">
        <f t="shared" si="1161"/>
        <v/>
      </c>
      <c r="AW2036" s="467" t="str">
        <f t="shared" si="1162"/>
        <v/>
      </c>
      <c r="AX2036" s="467" t="str">
        <f t="shared" si="1163"/>
        <v/>
      </c>
      <c r="AY2036" s="467" t="str">
        <f t="shared" si="1164"/>
        <v/>
      </c>
      <c r="AZ2036" s="467" t="str">
        <f t="shared" si="1165"/>
        <v/>
      </c>
      <c r="BA2036" s="468" t="str">
        <f>IF(AS2036="","",IF(OR(AU2036="",AU2036="-"),"－",IF(OR(AZ2036=8,AZ2036=9),"",IF(OR(AW2036=3,AW2036=4,AW2036=5,AW2036=6),VLOOKUP(AU2036,INDEX((係数_バス貨物_ガソリン,係数_バス貨物_CNG,係数_バス貨物_軽油,係数_バス貨物_メタノール,係数_バス貨物_LPG),MATCH(AY2036,【参考】排出係数!$AI$4:$AI$671,1),1,BE2036):INDEX((係数_バス貨物_ガソリン,係数_バス貨物_CNG,係数_バス貨物_軽油,係数_バス貨物_メタノール,係数_バス貨物_LPG),MATCH(AY2036+1,【参考】排出係数!$AI$4:$AI$671,1)-1,5,BE2036),2,FALSE),IF(OR(AW2036=1,AW2036=2),VLOOKUP(AU2036,INDEX((係数_乗用_ガソリン,係数_乗用_CNG,係数_乗用_軽油,係数_乗用_メタノール,係数_乗用_LPG),1,1,BE2036):INDEX((係数_乗用_ガソリン,係数_乗用_CNG,係数_乗用_軽油,係数_乗用_メタノール,係数_乗用_LPG),125,5,BE2036),2,FALSE))))))</f>
        <v/>
      </c>
      <c r="BB2036" s="468" t="str">
        <f>IF(T2036="","",IF(OR(AU2036="",AU2036="-"),"－",IF(OR(AZ2036=8,AZ2036=9),"",IF(OR(AW2036=3,AW2036=4,AW2036=5,AW2036=6),VLOOKUP(AU2036,INDEX((係数_バス貨物_ガソリン,係数_バス貨物_CNG,係数_バス貨物_軽油,係数_バス貨物_メタノール,係数_バス貨物_LPG),MATCH(AY2036,【参考】排出係数!$AI$4:$AI$671,1),1,BE2036):INDEX((係数_バス貨物_ガソリン,係数_バス貨物_CNG,係数_バス貨物_軽油,係数_バス貨物_メタノール,係数_バス貨物_LPG),MATCH(AY2036+1,【参考】排出係数!$AI$4:$AI$671,1)-1,5,BE2036),3,FALSE),IF(OR(AW2036=1,AW2036=2),VLOOKUP(AU2036,INDEX((係数_乗用_ガソリン,係数_乗用_CNG,係数_乗用_軽油,係数_乗用_メタノール,係数_乗用_LPG),1,1,BE2036):INDEX((係数_乗用_ガソリン,係数_乗用_CNG,係数_乗用_軽油,係数_乗用_メタノール,係数_乗用_LPG),125,5,BE2036),3,FALSE))))))</f>
        <v/>
      </c>
      <c r="BC2036" s="467" t="str">
        <f t="shared" si="1166"/>
        <v/>
      </c>
      <c r="BD2036" s="567" t="str">
        <f t="shared" si="1167"/>
        <v/>
      </c>
      <c r="BE2036" s="467" t="str">
        <f t="shared" si="1168"/>
        <v/>
      </c>
      <c r="BF2036" s="469" t="str">
        <f t="shared" ca="1" si="1169"/>
        <v/>
      </c>
      <c r="BG2036" s="469" t="str">
        <f t="shared" ca="1" si="1170"/>
        <v/>
      </c>
      <c r="BH2036" s="467" t="str">
        <f t="shared" si="1171"/>
        <v/>
      </c>
      <c r="BI2036" s="467" t="str">
        <f t="shared" ca="1" si="1172"/>
        <v/>
      </c>
      <c r="BJ2036" s="469" t="str">
        <f t="shared" si="1173"/>
        <v/>
      </c>
      <c r="BK2036" s="470" t="str">
        <f t="shared" si="1157"/>
        <v/>
      </c>
      <c r="BL2036" s="775" t="str">
        <f t="shared" si="1174"/>
        <v/>
      </c>
      <c r="BM2036" s="775" t="str">
        <f t="shared" si="1175"/>
        <v/>
      </c>
    </row>
    <row r="2037" spans="1:65">
      <c r="A2037" s="473">
        <v>1981</v>
      </c>
      <c r="B2037" s="132"/>
      <c r="C2037" s="332"/>
      <c r="D2037" s="333"/>
      <c r="E2037" s="333"/>
      <c r="F2037" s="334"/>
      <c r="G2037" s="337"/>
      <c r="H2037" s="131"/>
      <c r="I2037" s="337"/>
      <c r="J2037" s="131"/>
      <c r="K2037" s="458" t="str">
        <f t="shared" si="1176"/>
        <v/>
      </c>
      <c r="L2037" s="458">
        <f t="shared" si="1177"/>
        <v>0</v>
      </c>
      <c r="M2037" s="458">
        <f t="shared" si="1178"/>
        <v>0</v>
      </c>
      <c r="N2037" s="459" t="str">
        <f t="shared" si="1151"/>
        <v/>
      </c>
      <c r="O2037" s="459" t="str">
        <f t="shared" si="1152"/>
        <v/>
      </c>
      <c r="P2037" s="459" t="str">
        <f t="shared" si="1153"/>
        <v/>
      </c>
      <c r="Q2037" s="459" t="str">
        <f t="shared" si="1154"/>
        <v/>
      </c>
      <c r="R2037" s="459" t="str">
        <f t="shared" si="1155"/>
        <v/>
      </c>
      <c r="S2037" s="459" t="str">
        <f t="shared" si="1156"/>
        <v/>
      </c>
      <c r="T2037" s="566" t="str">
        <f t="shared" si="1179"/>
        <v/>
      </c>
      <c r="U2037" s="702"/>
      <c r="V2037" s="132"/>
      <c r="W2037" s="133"/>
      <c r="X2037" s="134"/>
      <c r="Y2037" s="135"/>
      <c r="Z2037" s="137"/>
      <c r="AA2037" s="136"/>
      <c r="AB2037" s="566" t="str">
        <f t="shared" si="1180"/>
        <v/>
      </c>
      <c r="AC2037" s="568" t="str">
        <f t="shared" si="1181"/>
        <v/>
      </c>
      <c r="AD2037" s="137"/>
      <c r="AE2037" s="137"/>
      <c r="AF2037" s="138"/>
      <c r="AG2037" s="138"/>
      <c r="AH2037" s="592" t="str">
        <f t="shared" si="1182"/>
        <v/>
      </c>
      <c r="AI2037" s="592" t="str">
        <f t="shared" si="1183"/>
        <v/>
      </c>
      <c r="AJ2037" s="592" t="str">
        <f t="shared" si="1184"/>
        <v/>
      </c>
      <c r="AK2037" s="460" t="str">
        <f>IF(AU2037="","",IF(OR(AZ2037=8,AZ2037=9),0,IF(OR(AW2037=3,AW2037=4,AW2037=5,AW2037=6),IF(LEFT(BF2037,1)="1",INDEX(係数_NOX・PM低減,MATCH(AY2037,【参考】排出係数!$AI$801:$AI$804,1),1),VLOOKUP(AU2037,INDEX((係数_バス貨物_ガソリン,係数_バス貨物_CNG,係数_バス貨物_軽油,係数_バス貨物_メタノール,係数_バス貨物_LPG),MATCH(AY2037,【参考】排出係数!$AI$4:$AI$671,1),1,BE2037):INDEX((係数_バス貨物_ガソリン,係数_バス貨物_CNG,係数_バス貨物_軽油,係数_バス貨物_メタノール,係数_バス貨物_LPG),MATCH(AY2037+1,【参考】排出係数!$AI$4:$AI$671,1)-1,5,BE2037),4,FALSE)),IF(AND(BE2037=3,LEFT(BF2037,1)="1"),0.48,VLOOKUP(AU2037,INDEX((係数_乗用_ガソリン,係数_乗用_CNG,係数_乗用_軽油,係数_乗用_メタノール,係数_乗用_LPG),1,1,BE2037):INDEX((係数_乗用_ガソリン,係数_乗用_CNG,係数_乗用_軽油,係数_乗用_メタノール,係数_乗用_LPG),125,5,BE2037),4,FALSE)))))</f>
        <v/>
      </c>
      <c r="AL2037" s="461" t="str">
        <f t="shared" si="1185"/>
        <v/>
      </c>
      <c r="AM2037" s="460" t="str">
        <f>IF(AU2037="","",IF(OR(AZ2037=8,AZ2037=9),0,IF(OR(AW2037=3,AW2037=4,AW2037=5,AW2037=6),IF(LEFT(BH2037,1)="1",INDEX(係数_PM低減,MATCH(AY2037,【参考】排出係数!$AI$801:$AI$804,1),MATCH(BI2037,【参考】排出係数!$AL$798:$AO$798,1)),VLOOKUP(AU2037,INDEX((係数_バス貨物_ガソリン,係数_バス貨物_CNG,係数_バス貨物_軽油,係数_バス貨物_メタノール,係数_バス貨物_LPG),MATCH(AY2037,【参考】排出係数!$AI$4:$AI$671,1),1,BE2037):INDEX((係数_バス貨物_ガソリン,係数_バス貨物_CNG,係数_バス貨物_軽油,係数_バス貨物_メタノール,係数_バス貨物_LPG),MATCH(AY2037+1,【参考】排出係数!$AI$4:$AI$671,1)-1,5,BE2037),5,FALSE)),IF(AND(BE2037=3,LEFT(BF2037,1)="1"),0.055,VLOOKUP(AU2037,INDEX((係数_乗用_ガソリン,係数_乗用_CNG,係数_乗用_軽油,係数_乗用_メタノール,係数_乗用_LPG),1,1,BE2037):INDEX((係数_乗用_ガソリン,係数_乗用_CNG,係数_乗用_軽油,係数_乗用_メタノール,係数_乗用_LPG),125,5,BE2037),5,FALSE)))))</f>
        <v/>
      </c>
      <c r="AN2037" s="461" t="str">
        <f t="shared" si="1186"/>
        <v/>
      </c>
      <c r="AO2037" s="462" t="str">
        <f t="shared" si="1187"/>
        <v/>
      </c>
      <c r="AP2037" s="463" t="str">
        <f t="shared" si="1188"/>
        <v/>
      </c>
      <c r="AQ2037" s="464"/>
      <c r="AR2037" s="619"/>
      <c r="AS2037" s="465" t="str">
        <f t="shared" si="1158"/>
        <v/>
      </c>
      <c r="AT2037" s="465" t="str">
        <f t="shared" si="1159"/>
        <v/>
      </c>
      <c r="AU2037" s="466" t="str">
        <f t="shared" si="1160"/>
        <v/>
      </c>
      <c r="AV2037" s="467" t="str">
        <f t="shared" si="1161"/>
        <v/>
      </c>
      <c r="AW2037" s="467" t="str">
        <f t="shared" si="1162"/>
        <v/>
      </c>
      <c r="AX2037" s="467" t="str">
        <f t="shared" si="1163"/>
        <v/>
      </c>
      <c r="AY2037" s="467" t="str">
        <f t="shared" si="1164"/>
        <v/>
      </c>
      <c r="AZ2037" s="467" t="str">
        <f t="shared" si="1165"/>
        <v/>
      </c>
      <c r="BA2037" s="468" t="str">
        <f>IF(AS2037="","",IF(OR(AU2037="",AU2037="-"),"－",IF(OR(AZ2037=8,AZ2037=9),"",IF(OR(AW2037=3,AW2037=4,AW2037=5,AW2037=6),VLOOKUP(AU2037,INDEX((係数_バス貨物_ガソリン,係数_バス貨物_CNG,係数_バス貨物_軽油,係数_バス貨物_メタノール,係数_バス貨物_LPG),MATCH(AY2037,【参考】排出係数!$AI$4:$AI$671,1),1,BE2037):INDEX((係数_バス貨物_ガソリン,係数_バス貨物_CNG,係数_バス貨物_軽油,係数_バス貨物_メタノール,係数_バス貨物_LPG),MATCH(AY2037+1,【参考】排出係数!$AI$4:$AI$671,1)-1,5,BE2037),2,FALSE),IF(OR(AW2037=1,AW2037=2),VLOOKUP(AU2037,INDEX((係数_乗用_ガソリン,係数_乗用_CNG,係数_乗用_軽油,係数_乗用_メタノール,係数_乗用_LPG),1,1,BE2037):INDEX((係数_乗用_ガソリン,係数_乗用_CNG,係数_乗用_軽油,係数_乗用_メタノール,係数_乗用_LPG),125,5,BE2037),2,FALSE))))))</f>
        <v/>
      </c>
      <c r="BB2037" s="468" t="str">
        <f>IF(T2037="","",IF(OR(AU2037="",AU2037="-"),"－",IF(OR(AZ2037=8,AZ2037=9),"",IF(OR(AW2037=3,AW2037=4,AW2037=5,AW2037=6),VLOOKUP(AU2037,INDEX((係数_バス貨物_ガソリン,係数_バス貨物_CNG,係数_バス貨物_軽油,係数_バス貨物_メタノール,係数_バス貨物_LPG),MATCH(AY2037,【参考】排出係数!$AI$4:$AI$671,1),1,BE2037):INDEX((係数_バス貨物_ガソリン,係数_バス貨物_CNG,係数_バス貨物_軽油,係数_バス貨物_メタノール,係数_バス貨物_LPG),MATCH(AY2037+1,【参考】排出係数!$AI$4:$AI$671,1)-1,5,BE2037),3,FALSE),IF(OR(AW2037=1,AW2037=2),VLOOKUP(AU2037,INDEX((係数_乗用_ガソリン,係数_乗用_CNG,係数_乗用_軽油,係数_乗用_メタノール,係数_乗用_LPG),1,1,BE2037):INDEX((係数_乗用_ガソリン,係数_乗用_CNG,係数_乗用_軽油,係数_乗用_メタノール,係数_乗用_LPG),125,5,BE2037),3,FALSE))))))</f>
        <v/>
      </c>
      <c r="BC2037" s="467" t="str">
        <f t="shared" si="1166"/>
        <v/>
      </c>
      <c r="BD2037" s="567" t="str">
        <f t="shared" si="1167"/>
        <v/>
      </c>
      <c r="BE2037" s="467" t="str">
        <f t="shared" si="1168"/>
        <v/>
      </c>
      <c r="BF2037" s="469" t="str">
        <f t="shared" ca="1" si="1169"/>
        <v/>
      </c>
      <c r="BG2037" s="469" t="str">
        <f t="shared" ca="1" si="1170"/>
        <v/>
      </c>
      <c r="BH2037" s="467" t="str">
        <f t="shared" si="1171"/>
        <v/>
      </c>
      <c r="BI2037" s="467" t="str">
        <f t="shared" ca="1" si="1172"/>
        <v/>
      </c>
      <c r="BJ2037" s="469" t="str">
        <f t="shared" si="1173"/>
        <v/>
      </c>
      <c r="BK2037" s="470" t="str">
        <f t="shared" si="1157"/>
        <v/>
      </c>
      <c r="BL2037" s="775" t="str">
        <f t="shared" si="1174"/>
        <v/>
      </c>
      <c r="BM2037" s="775" t="str">
        <f t="shared" si="1175"/>
        <v/>
      </c>
    </row>
    <row r="2038" spans="1:65">
      <c r="A2038" s="473">
        <v>1982</v>
      </c>
      <c r="B2038" s="132"/>
      <c r="C2038" s="332"/>
      <c r="D2038" s="333"/>
      <c r="E2038" s="333"/>
      <c r="F2038" s="334"/>
      <c r="G2038" s="337"/>
      <c r="H2038" s="131"/>
      <c r="I2038" s="337"/>
      <c r="J2038" s="131"/>
      <c r="K2038" s="458" t="str">
        <f t="shared" si="1176"/>
        <v/>
      </c>
      <c r="L2038" s="458">
        <f t="shared" si="1177"/>
        <v>0</v>
      </c>
      <c r="M2038" s="458">
        <f t="shared" si="1178"/>
        <v>0</v>
      </c>
      <c r="N2038" s="459" t="str">
        <f t="shared" si="1151"/>
        <v/>
      </c>
      <c r="O2038" s="459" t="str">
        <f t="shared" si="1152"/>
        <v/>
      </c>
      <c r="P2038" s="459" t="str">
        <f t="shared" si="1153"/>
        <v/>
      </c>
      <c r="Q2038" s="459" t="str">
        <f t="shared" si="1154"/>
        <v/>
      </c>
      <c r="R2038" s="459" t="str">
        <f t="shared" si="1155"/>
        <v/>
      </c>
      <c r="S2038" s="459" t="str">
        <f t="shared" si="1156"/>
        <v/>
      </c>
      <c r="T2038" s="566" t="str">
        <f t="shared" si="1179"/>
        <v/>
      </c>
      <c r="U2038" s="702"/>
      <c r="V2038" s="132"/>
      <c r="W2038" s="133"/>
      <c r="X2038" s="134"/>
      <c r="Y2038" s="135"/>
      <c r="Z2038" s="137"/>
      <c r="AA2038" s="136"/>
      <c r="AB2038" s="566" t="str">
        <f t="shared" si="1180"/>
        <v/>
      </c>
      <c r="AC2038" s="568" t="str">
        <f t="shared" si="1181"/>
        <v/>
      </c>
      <c r="AD2038" s="137"/>
      <c r="AE2038" s="137"/>
      <c r="AF2038" s="138"/>
      <c r="AG2038" s="138"/>
      <c r="AH2038" s="592" t="str">
        <f t="shared" si="1182"/>
        <v/>
      </c>
      <c r="AI2038" s="592" t="str">
        <f t="shared" si="1183"/>
        <v/>
      </c>
      <c r="AJ2038" s="592" t="str">
        <f t="shared" si="1184"/>
        <v/>
      </c>
      <c r="AK2038" s="460" t="str">
        <f>IF(AU2038="","",IF(OR(AZ2038=8,AZ2038=9),0,IF(OR(AW2038=3,AW2038=4,AW2038=5,AW2038=6),IF(LEFT(BF2038,1)="1",INDEX(係数_NOX・PM低減,MATCH(AY2038,【参考】排出係数!$AI$801:$AI$804,1),1),VLOOKUP(AU2038,INDEX((係数_バス貨物_ガソリン,係数_バス貨物_CNG,係数_バス貨物_軽油,係数_バス貨物_メタノール,係数_バス貨物_LPG),MATCH(AY2038,【参考】排出係数!$AI$4:$AI$671,1),1,BE2038):INDEX((係数_バス貨物_ガソリン,係数_バス貨物_CNG,係数_バス貨物_軽油,係数_バス貨物_メタノール,係数_バス貨物_LPG),MATCH(AY2038+1,【参考】排出係数!$AI$4:$AI$671,1)-1,5,BE2038),4,FALSE)),IF(AND(BE2038=3,LEFT(BF2038,1)="1"),0.48,VLOOKUP(AU2038,INDEX((係数_乗用_ガソリン,係数_乗用_CNG,係数_乗用_軽油,係数_乗用_メタノール,係数_乗用_LPG),1,1,BE2038):INDEX((係数_乗用_ガソリン,係数_乗用_CNG,係数_乗用_軽油,係数_乗用_メタノール,係数_乗用_LPG),125,5,BE2038),4,FALSE)))))</f>
        <v/>
      </c>
      <c r="AL2038" s="461" t="str">
        <f t="shared" si="1185"/>
        <v/>
      </c>
      <c r="AM2038" s="460" t="str">
        <f>IF(AU2038="","",IF(OR(AZ2038=8,AZ2038=9),0,IF(OR(AW2038=3,AW2038=4,AW2038=5,AW2038=6),IF(LEFT(BH2038,1)="1",INDEX(係数_PM低減,MATCH(AY2038,【参考】排出係数!$AI$801:$AI$804,1),MATCH(BI2038,【参考】排出係数!$AL$798:$AO$798,1)),VLOOKUP(AU2038,INDEX((係数_バス貨物_ガソリン,係数_バス貨物_CNG,係数_バス貨物_軽油,係数_バス貨物_メタノール,係数_バス貨物_LPG),MATCH(AY2038,【参考】排出係数!$AI$4:$AI$671,1),1,BE2038):INDEX((係数_バス貨物_ガソリン,係数_バス貨物_CNG,係数_バス貨物_軽油,係数_バス貨物_メタノール,係数_バス貨物_LPG),MATCH(AY2038+1,【参考】排出係数!$AI$4:$AI$671,1)-1,5,BE2038),5,FALSE)),IF(AND(BE2038=3,LEFT(BF2038,1)="1"),0.055,VLOOKUP(AU2038,INDEX((係数_乗用_ガソリン,係数_乗用_CNG,係数_乗用_軽油,係数_乗用_メタノール,係数_乗用_LPG),1,1,BE2038):INDEX((係数_乗用_ガソリン,係数_乗用_CNG,係数_乗用_軽油,係数_乗用_メタノール,係数_乗用_LPG),125,5,BE2038),5,FALSE)))))</f>
        <v/>
      </c>
      <c r="AN2038" s="461" t="str">
        <f t="shared" si="1186"/>
        <v/>
      </c>
      <c r="AO2038" s="462" t="str">
        <f t="shared" si="1187"/>
        <v/>
      </c>
      <c r="AP2038" s="463" t="str">
        <f t="shared" si="1188"/>
        <v/>
      </c>
      <c r="AQ2038" s="464"/>
      <c r="AR2038" s="619"/>
      <c r="AS2038" s="465" t="str">
        <f t="shared" si="1158"/>
        <v/>
      </c>
      <c r="AT2038" s="465" t="str">
        <f t="shared" si="1159"/>
        <v/>
      </c>
      <c r="AU2038" s="466" t="str">
        <f t="shared" si="1160"/>
        <v/>
      </c>
      <c r="AV2038" s="467" t="str">
        <f t="shared" si="1161"/>
        <v/>
      </c>
      <c r="AW2038" s="467" t="str">
        <f t="shared" si="1162"/>
        <v/>
      </c>
      <c r="AX2038" s="467" t="str">
        <f t="shared" si="1163"/>
        <v/>
      </c>
      <c r="AY2038" s="467" t="str">
        <f t="shared" si="1164"/>
        <v/>
      </c>
      <c r="AZ2038" s="467" t="str">
        <f t="shared" si="1165"/>
        <v/>
      </c>
      <c r="BA2038" s="468" t="str">
        <f>IF(AS2038="","",IF(OR(AU2038="",AU2038="-"),"－",IF(OR(AZ2038=8,AZ2038=9),"",IF(OR(AW2038=3,AW2038=4,AW2038=5,AW2038=6),VLOOKUP(AU2038,INDEX((係数_バス貨物_ガソリン,係数_バス貨物_CNG,係数_バス貨物_軽油,係数_バス貨物_メタノール,係数_バス貨物_LPG),MATCH(AY2038,【参考】排出係数!$AI$4:$AI$671,1),1,BE2038):INDEX((係数_バス貨物_ガソリン,係数_バス貨物_CNG,係数_バス貨物_軽油,係数_バス貨物_メタノール,係数_バス貨物_LPG),MATCH(AY2038+1,【参考】排出係数!$AI$4:$AI$671,1)-1,5,BE2038),2,FALSE),IF(OR(AW2038=1,AW2038=2),VLOOKUP(AU2038,INDEX((係数_乗用_ガソリン,係数_乗用_CNG,係数_乗用_軽油,係数_乗用_メタノール,係数_乗用_LPG),1,1,BE2038):INDEX((係数_乗用_ガソリン,係数_乗用_CNG,係数_乗用_軽油,係数_乗用_メタノール,係数_乗用_LPG),125,5,BE2038),2,FALSE))))))</f>
        <v/>
      </c>
      <c r="BB2038" s="468" t="str">
        <f>IF(T2038="","",IF(OR(AU2038="",AU2038="-"),"－",IF(OR(AZ2038=8,AZ2038=9),"",IF(OR(AW2038=3,AW2038=4,AW2038=5,AW2038=6),VLOOKUP(AU2038,INDEX((係数_バス貨物_ガソリン,係数_バス貨物_CNG,係数_バス貨物_軽油,係数_バス貨物_メタノール,係数_バス貨物_LPG),MATCH(AY2038,【参考】排出係数!$AI$4:$AI$671,1),1,BE2038):INDEX((係数_バス貨物_ガソリン,係数_バス貨物_CNG,係数_バス貨物_軽油,係数_バス貨物_メタノール,係数_バス貨物_LPG),MATCH(AY2038+1,【参考】排出係数!$AI$4:$AI$671,1)-1,5,BE2038),3,FALSE),IF(OR(AW2038=1,AW2038=2),VLOOKUP(AU2038,INDEX((係数_乗用_ガソリン,係数_乗用_CNG,係数_乗用_軽油,係数_乗用_メタノール,係数_乗用_LPG),1,1,BE2038):INDEX((係数_乗用_ガソリン,係数_乗用_CNG,係数_乗用_軽油,係数_乗用_メタノール,係数_乗用_LPG),125,5,BE2038),3,FALSE))))))</f>
        <v/>
      </c>
      <c r="BC2038" s="467" t="str">
        <f t="shared" si="1166"/>
        <v/>
      </c>
      <c r="BD2038" s="567" t="str">
        <f t="shared" si="1167"/>
        <v/>
      </c>
      <c r="BE2038" s="467" t="str">
        <f t="shared" si="1168"/>
        <v/>
      </c>
      <c r="BF2038" s="469" t="str">
        <f t="shared" ca="1" si="1169"/>
        <v/>
      </c>
      <c r="BG2038" s="469" t="str">
        <f t="shared" ca="1" si="1170"/>
        <v/>
      </c>
      <c r="BH2038" s="467" t="str">
        <f t="shared" si="1171"/>
        <v/>
      </c>
      <c r="BI2038" s="467" t="str">
        <f t="shared" ca="1" si="1172"/>
        <v/>
      </c>
      <c r="BJ2038" s="469" t="str">
        <f t="shared" si="1173"/>
        <v/>
      </c>
      <c r="BK2038" s="470" t="str">
        <f t="shared" si="1157"/>
        <v/>
      </c>
      <c r="BL2038" s="775" t="str">
        <f t="shared" si="1174"/>
        <v/>
      </c>
      <c r="BM2038" s="775" t="str">
        <f t="shared" si="1175"/>
        <v/>
      </c>
    </row>
    <row r="2039" spans="1:65">
      <c r="A2039" s="473">
        <v>1983</v>
      </c>
      <c r="B2039" s="132"/>
      <c r="C2039" s="332"/>
      <c r="D2039" s="333"/>
      <c r="E2039" s="333"/>
      <c r="F2039" s="334"/>
      <c r="G2039" s="337"/>
      <c r="H2039" s="131"/>
      <c r="I2039" s="337"/>
      <c r="J2039" s="131"/>
      <c r="K2039" s="458" t="str">
        <f t="shared" si="1176"/>
        <v/>
      </c>
      <c r="L2039" s="458">
        <f t="shared" si="1177"/>
        <v>0</v>
      </c>
      <c r="M2039" s="458">
        <f t="shared" si="1178"/>
        <v>0</v>
      </c>
      <c r="N2039" s="459" t="str">
        <f t="shared" ref="N2039:N2055" si="1189">IF(OR($L2039&gt;$U$48,$M2039&gt;$U$48,AND($L2039&gt;$M2039,$M2039&lt;&gt;0),AND($L2039=0,$M2039&lt;&gt;0)),"ERROR","")</f>
        <v/>
      </c>
      <c r="O2039" s="459" t="str">
        <f t="shared" ref="O2039:O2055" si="1190">IF(AND($N2039&lt;&gt;"ERROR",$L2039&lt;=$U$49,$M2039&lt;=$U$49,$M2039&lt;&gt;0),"(減車済)","")</f>
        <v/>
      </c>
      <c r="P2039" s="459" t="str">
        <f t="shared" ref="P2039:P2055" si="1191">IF(AND($N2039&lt;&gt;"ERROR",$L2039&lt;$U$49,AND($M2039&gt;$U$49,$M2039&lt;=$W$49),$M2039&lt;&gt;0),"減車","")</f>
        <v/>
      </c>
      <c r="Q2039" s="459" t="str">
        <f t="shared" ref="Q2039:Q2055" si="1192">IF(AND($N2039&lt;&gt;"ERROR",$L2039&gt;$U$49,$M2039&lt;=$W$49,$M2039&lt;&gt;0),"一時使用","")</f>
        <v/>
      </c>
      <c r="R2039" s="459" t="str">
        <f t="shared" ref="R2039:R2055" si="1193">IF(AND($N2039&lt;&gt;"ERROR",AND($L2039&gt;0,$L2039&lt;=$U$49),$M2039=0),"継続","")</f>
        <v/>
      </c>
      <c r="S2039" s="459" t="str">
        <f t="shared" ref="S2039:S2055" si="1194">IF(AND($N2039&lt;&gt;"ERROR",AND($L2039&gt;$U$49),$M2039=0),"新規","")</f>
        <v/>
      </c>
      <c r="T2039" s="566" t="str">
        <f t="shared" si="1179"/>
        <v/>
      </c>
      <c r="U2039" s="702"/>
      <c r="V2039" s="132"/>
      <c r="W2039" s="133"/>
      <c r="X2039" s="134"/>
      <c r="Y2039" s="135"/>
      <c r="Z2039" s="137"/>
      <c r="AA2039" s="136"/>
      <c r="AB2039" s="566" t="str">
        <f t="shared" si="1180"/>
        <v/>
      </c>
      <c r="AC2039" s="568" t="str">
        <f t="shared" si="1181"/>
        <v/>
      </c>
      <c r="AD2039" s="137"/>
      <c r="AE2039" s="137"/>
      <c r="AF2039" s="138"/>
      <c r="AG2039" s="138"/>
      <c r="AH2039" s="592" t="str">
        <f t="shared" si="1182"/>
        <v/>
      </c>
      <c r="AI2039" s="592" t="str">
        <f t="shared" si="1183"/>
        <v/>
      </c>
      <c r="AJ2039" s="592" t="str">
        <f t="shared" si="1184"/>
        <v/>
      </c>
      <c r="AK2039" s="460" t="str">
        <f>IF(AU2039="","",IF(OR(AZ2039=8,AZ2039=9),0,IF(OR(AW2039=3,AW2039=4,AW2039=5,AW2039=6),IF(LEFT(BF2039,1)="1",INDEX(係数_NOX・PM低減,MATCH(AY2039,【参考】排出係数!$AI$801:$AI$804,1),1),VLOOKUP(AU2039,INDEX((係数_バス貨物_ガソリン,係数_バス貨物_CNG,係数_バス貨物_軽油,係数_バス貨物_メタノール,係数_バス貨物_LPG),MATCH(AY2039,【参考】排出係数!$AI$4:$AI$671,1),1,BE2039):INDEX((係数_バス貨物_ガソリン,係数_バス貨物_CNG,係数_バス貨物_軽油,係数_バス貨物_メタノール,係数_バス貨物_LPG),MATCH(AY2039+1,【参考】排出係数!$AI$4:$AI$671,1)-1,5,BE2039),4,FALSE)),IF(AND(BE2039=3,LEFT(BF2039,1)="1"),0.48,VLOOKUP(AU2039,INDEX((係数_乗用_ガソリン,係数_乗用_CNG,係数_乗用_軽油,係数_乗用_メタノール,係数_乗用_LPG),1,1,BE2039):INDEX((係数_乗用_ガソリン,係数_乗用_CNG,係数_乗用_軽油,係数_乗用_メタノール,係数_乗用_LPG),125,5,BE2039),4,FALSE)))))</f>
        <v/>
      </c>
      <c r="AL2039" s="461" t="str">
        <f t="shared" si="1185"/>
        <v/>
      </c>
      <c r="AM2039" s="460" t="str">
        <f>IF(AU2039="","",IF(OR(AZ2039=8,AZ2039=9),0,IF(OR(AW2039=3,AW2039=4,AW2039=5,AW2039=6),IF(LEFT(BH2039,1)="1",INDEX(係数_PM低減,MATCH(AY2039,【参考】排出係数!$AI$801:$AI$804,1),MATCH(BI2039,【参考】排出係数!$AL$798:$AO$798,1)),VLOOKUP(AU2039,INDEX((係数_バス貨物_ガソリン,係数_バス貨物_CNG,係数_バス貨物_軽油,係数_バス貨物_メタノール,係数_バス貨物_LPG),MATCH(AY2039,【参考】排出係数!$AI$4:$AI$671,1),1,BE2039):INDEX((係数_バス貨物_ガソリン,係数_バス貨物_CNG,係数_バス貨物_軽油,係数_バス貨物_メタノール,係数_バス貨物_LPG),MATCH(AY2039+1,【参考】排出係数!$AI$4:$AI$671,1)-1,5,BE2039),5,FALSE)),IF(AND(BE2039=3,LEFT(BF2039,1)="1"),0.055,VLOOKUP(AU2039,INDEX((係数_乗用_ガソリン,係数_乗用_CNG,係数_乗用_軽油,係数_乗用_メタノール,係数_乗用_LPG),1,1,BE2039):INDEX((係数_乗用_ガソリン,係数_乗用_CNG,係数_乗用_軽油,係数_乗用_メタノール,係数_乗用_LPG),125,5,BE2039),5,FALSE)))))</f>
        <v/>
      </c>
      <c r="AN2039" s="461" t="str">
        <f t="shared" si="1186"/>
        <v/>
      </c>
      <c r="AO2039" s="462" t="str">
        <f t="shared" si="1187"/>
        <v/>
      </c>
      <c r="AP2039" s="463" t="str">
        <f t="shared" si="1188"/>
        <v/>
      </c>
      <c r="AQ2039" s="464"/>
      <c r="AR2039" s="619"/>
      <c r="AS2039" s="465" t="str">
        <f t="shared" si="1158"/>
        <v/>
      </c>
      <c r="AT2039" s="465" t="str">
        <f t="shared" si="1159"/>
        <v/>
      </c>
      <c r="AU2039" s="466" t="str">
        <f t="shared" si="1160"/>
        <v/>
      </c>
      <c r="AV2039" s="467" t="str">
        <f t="shared" si="1161"/>
        <v/>
      </c>
      <c r="AW2039" s="467" t="str">
        <f t="shared" si="1162"/>
        <v/>
      </c>
      <c r="AX2039" s="467" t="str">
        <f t="shared" si="1163"/>
        <v/>
      </c>
      <c r="AY2039" s="467" t="str">
        <f t="shared" si="1164"/>
        <v/>
      </c>
      <c r="AZ2039" s="467" t="str">
        <f t="shared" si="1165"/>
        <v/>
      </c>
      <c r="BA2039" s="468" t="str">
        <f>IF(AS2039="","",IF(OR(AU2039="",AU2039="-"),"－",IF(OR(AZ2039=8,AZ2039=9),"",IF(OR(AW2039=3,AW2039=4,AW2039=5,AW2039=6),VLOOKUP(AU2039,INDEX((係数_バス貨物_ガソリン,係数_バス貨物_CNG,係数_バス貨物_軽油,係数_バス貨物_メタノール,係数_バス貨物_LPG),MATCH(AY2039,【参考】排出係数!$AI$4:$AI$671,1),1,BE2039):INDEX((係数_バス貨物_ガソリン,係数_バス貨物_CNG,係数_バス貨物_軽油,係数_バス貨物_メタノール,係数_バス貨物_LPG),MATCH(AY2039+1,【参考】排出係数!$AI$4:$AI$671,1)-1,5,BE2039),2,FALSE),IF(OR(AW2039=1,AW2039=2),VLOOKUP(AU2039,INDEX((係数_乗用_ガソリン,係数_乗用_CNG,係数_乗用_軽油,係数_乗用_メタノール,係数_乗用_LPG),1,1,BE2039):INDEX((係数_乗用_ガソリン,係数_乗用_CNG,係数_乗用_軽油,係数_乗用_メタノール,係数_乗用_LPG),125,5,BE2039),2,FALSE))))))</f>
        <v/>
      </c>
      <c r="BB2039" s="468" t="str">
        <f>IF(T2039="","",IF(OR(AU2039="",AU2039="-"),"－",IF(OR(AZ2039=8,AZ2039=9),"",IF(OR(AW2039=3,AW2039=4,AW2039=5,AW2039=6),VLOOKUP(AU2039,INDEX((係数_バス貨物_ガソリン,係数_バス貨物_CNG,係数_バス貨物_軽油,係数_バス貨物_メタノール,係数_バス貨物_LPG),MATCH(AY2039,【参考】排出係数!$AI$4:$AI$671,1),1,BE2039):INDEX((係数_バス貨物_ガソリン,係数_バス貨物_CNG,係数_バス貨物_軽油,係数_バス貨物_メタノール,係数_バス貨物_LPG),MATCH(AY2039+1,【参考】排出係数!$AI$4:$AI$671,1)-1,5,BE2039),3,FALSE),IF(OR(AW2039=1,AW2039=2),VLOOKUP(AU2039,INDEX((係数_乗用_ガソリン,係数_乗用_CNG,係数_乗用_軽油,係数_乗用_メタノール,係数_乗用_LPG),1,1,BE2039):INDEX((係数_乗用_ガソリン,係数_乗用_CNG,係数_乗用_軽油,係数_乗用_メタノール,係数_乗用_LPG),125,5,BE2039),3,FALSE))))))</f>
        <v/>
      </c>
      <c r="BC2039" s="467" t="str">
        <f t="shared" si="1166"/>
        <v/>
      </c>
      <c r="BD2039" s="567" t="str">
        <f t="shared" si="1167"/>
        <v/>
      </c>
      <c r="BE2039" s="467" t="str">
        <f t="shared" si="1168"/>
        <v/>
      </c>
      <c r="BF2039" s="469" t="str">
        <f t="shared" ca="1" si="1169"/>
        <v/>
      </c>
      <c r="BG2039" s="469" t="str">
        <f t="shared" ca="1" si="1170"/>
        <v/>
      </c>
      <c r="BH2039" s="467" t="str">
        <f t="shared" si="1171"/>
        <v/>
      </c>
      <c r="BI2039" s="467" t="str">
        <f t="shared" ca="1" si="1172"/>
        <v/>
      </c>
      <c r="BJ2039" s="469" t="str">
        <f t="shared" si="1173"/>
        <v/>
      </c>
      <c r="BK2039" s="470" t="str">
        <f t="shared" si="1157"/>
        <v/>
      </c>
      <c r="BL2039" s="775" t="str">
        <f t="shared" si="1174"/>
        <v/>
      </c>
      <c r="BM2039" s="775" t="str">
        <f t="shared" si="1175"/>
        <v/>
      </c>
    </row>
    <row r="2040" spans="1:65">
      <c r="A2040" s="473">
        <v>1984</v>
      </c>
      <c r="B2040" s="132"/>
      <c r="C2040" s="332"/>
      <c r="D2040" s="333"/>
      <c r="E2040" s="333"/>
      <c r="F2040" s="334"/>
      <c r="G2040" s="337"/>
      <c r="H2040" s="131"/>
      <c r="I2040" s="337"/>
      <c r="J2040" s="131"/>
      <c r="K2040" s="458" t="str">
        <f t="shared" si="1176"/>
        <v/>
      </c>
      <c r="L2040" s="458">
        <f t="shared" si="1177"/>
        <v>0</v>
      </c>
      <c r="M2040" s="458">
        <f t="shared" si="1178"/>
        <v>0</v>
      </c>
      <c r="N2040" s="459" t="str">
        <f t="shared" si="1189"/>
        <v/>
      </c>
      <c r="O2040" s="459" t="str">
        <f t="shared" si="1190"/>
        <v/>
      </c>
      <c r="P2040" s="459" t="str">
        <f t="shared" si="1191"/>
        <v/>
      </c>
      <c r="Q2040" s="459" t="str">
        <f t="shared" si="1192"/>
        <v/>
      </c>
      <c r="R2040" s="459" t="str">
        <f t="shared" si="1193"/>
        <v/>
      </c>
      <c r="S2040" s="459" t="str">
        <f t="shared" si="1194"/>
        <v/>
      </c>
      <c r="T2040" s="566" t="str">
        <f t="shared" si="1179"/>
        <v/>
      </c>
      <c r="U2040" s="702"/>
      <c r="V2040" s="132"/>
      <c r="W2040" s="133"/>
      <c r="X2040" s="134"/>
      <c r="Y2040" s="135"/>
      <c r="Z2040" s="137"/>
      <c r="AA2040" s="136"/>
      <c r="AB2040" s="566" t="str">
        <f t="shared" si="1180"/>
        <v/>
      </c>
      <c r="AC2040" s="568" t="str">
        <f t="shared" si="1181"/>
        <v/>
      </c>
      <c r="AD2040" s="137"/>
      <c r="AE2040" s="137"/>
      <c r="AF2040" s="138"/>
      <c r="AG2040" s="138"/>
      <c r="AH2040" s="592" t="str">
        <f t="shared" si="1182"/>
        <v/>
      </c>
      <c r="AI2040" s="592" t="str">
        <f t="shared" si="1183"/>
        <v/>
      </c>
      <c r="AJ2040" s="592" t="str">
        <f t="shared" si="1184"/>
        <v/>
      </c>
      <c r="AK2040" s="460" t="str">
        <f>IF(AU2040="","",IF(OR(AZ2040=8,AZ2040=9),0,IF(OR(AW2040=3,AW2040=4,AW2040=5,AW2040=6),IF(LEFT(BF2040,1)="1",INDEX(係数_NOX・PM低減,MATCH(AY2040,【参考】排出係数!$AI$801:$AI$804,1),1),VLOOKUP(AU2040,INDEX((係数_バス貨物_ガソリン,係数_バス貨物_CNG,係数_バス貨物_軽油,係数_バス貨物_メタノール,係数_バス貨物_LPG),MATCH(AY2040,【参考】排出係数!$AI$4:$AI$671,1),1,BE2040):INDEX((係数_バス貨物_ガソリン,係数_バス貨物_CNG,係数_バス貨物_軽油,係数_バス貨物_メタノール,係数_バス貨物_LPG),MATCH(AY2040+1,【参考】排出係数!$AI$4:$AI$671,1)-1,5,BE2040),4,FALSE)),IF(AND(BE2040=3,LEFT(BF2040,1)="1"),0.48,VLOOKUP(AU2040,INDEX((係数_乗用_ガソリン,係数_乗用_CNG,係数_乗用_軽油,係数_乗用_メタノール,係数_乗用_LPG),1,1,BE2040):INDEX((係数_乗用_ガソリン,係数_乗用_CNG,係数_乗用_軽油,係数_乗用_メタノール,係数_乗用_LPG),125,5,BE2040),4,FALSE)))))</f>
        <v/>
      </c>
      <c r="AL2040" s="461" t="str">
        <f t="shared" si="1185"/>
        <v/>
      </c>
      <c r="AM2040" s="460" t="str">
        <f>IF(AU2040="","",IF(OR(AZ2040=8,AZ2040=9),0,IF(OR(AW2040=3,AW2040=4,AW2040=5,AW2040=6),IF(LEFT(BH2040,1)="1",INDEX(係数_PM低減,MATCH(AY2040,【参考】排出係数!$AI$801:$AI$804,1),MATCH(BI2040,【参考】排出係数!$AL$798:$AO$798,1)),VLOOKUP(AU2040,INDEX((係数_バス貨物_ガソリン,係数_バス貨物_CNG,係数_バス貨物_軽油,係数_バス貨物_メタノール,係数_バス貨物_LPG),MATCH(AY2040,【参考】排出係数!$AI$4:$AI$671,1),1,BE2040):INDEX((係数_バス貨物_ガソリン,係数_バス貨物_CNG,係数_バス貨物_軽油,係数_バス貨物_メタノール,係数_バス貨物_LPG),MATCH(AY2040+1,【参考】排出係数!$AI$4:$AI$671,1)-1,5,BE2040),5,FALSE)),IF(AND(BE2040=3,LEFT(BF2040,1)="1"),0.055,VLOOKUP(AU2040,INDEX((係数_乗用_ガソリン,係数_乗用_CNG,係数_乗用_軽油,係数_乗用_メタノール,係数_乗用_LPG),1,1,BE2040):INDEX((係数_乗用_ガソリン,係数_乗用_CNG,係数_乗用_軽油,係数_乗用_メタノール,係数_乗用_LPG),125,5,BE2040),5,FALSE)))))</f>
        <v/>
      </c>
      <c r="AN2040" s="461" t="str">
        <f t="shared" si="1186"/>
        <v/>
      </c>
      <c r="AO2040" s="462" t="str">
        <f t="shared" si="1187"/>
        <v/>
      </c>
      <c r="AP2040" s="463" t="str">
        <f t="shared" si="1188"/>
        <v/>
      </c>
      <c r="AQ2040" s="464"/>
      <c r="AR2040" s="619"/>
      <c r="AS2040" s="465" t="str">
        <f t="shared" si="1158"/>
        <v/>
      </c>
      <c r="AT2040" s="465" t="str">
        <f t="shared" si="1159"/>
        <v/>
      </c>
      <c r="AU2040" s="466" t="str">
        <f t="shared" si="1160"/>
        <v/>
      </c>
      <c r="AV2040" s="467" t="str">
        <f t="shared" si="1161"/>
        <v/>
      </c>
      <c r="AW2040" s="467" t="str">
        <f t="shared" si="1162"/>
        <v/>
      </c>
      <c r="AX2040" s="467" t="str">
        <f t="shared" si="1163"/>
        <v/>
      </c>
      <c r="AY2040" s="467" t="str">
        <f t="shared" si="1164"/>
        <v/>
      </c>
      <c r="AZ2040" s="467" t="str">
        <f t="shared" si="1165"/>
        <v/>
      </c>
      <c r="BA2040" s="468" t="str">
        <f>IF(AS2040="","",IF(OR(AU2040="",AU2040="-"),"－",IF(OR(AZ2040=8,AZ2040=9),"",IF(OR(AW2040=3,AW2040=4,AW2040=5,AW2040=6),VLOOKUP(AU2040,INDEX((係数_バス貨物_ガソリン,係数_バス貨物_CNG,係数_バス貨物_軽油,係数_バス貨物_メタノール,係数_バス貨物_LPG),MATCH(AY2040,【参考】排出係数!$AI$4:$AI$671,1),1,BE2040):INDEX((係数_バス貨物_ガソリン,係数_バス貨物_CNG,係数_バス貨物_軽油,係数_バス貨物_メタノール,係数_バス貨物_LPG),MATCH(AY2040+1,【参考】排出係数!$AI$4:$AI$671,1)-1,5,BE2040),2,FALSE),IF(OR(AW2040=1,AW2040=2),VLOOKUP(AU2040,INDEX((係数_乗用_ガソリン,係数_乗用_CNG,係数_乗用_軽油,係数_乗用_メタノール,係数_乗用_LPG),1,1,BE2040):INDEX((係数_乗用_ガソリン,係数_乗用_CNG,係数_乗用_軽油,係数_乗用_メタノール,係数_乗用_LPG),125,5,BE2040),2,FALSE))))))</f>
        <v/>
      </c>
      <c r="BB2040" s="468" t="str">
        <f>IF(T2040="","",IF(OR(AU2040="",AU2040="-"),"－",IF(OR(AZ2040=8,AZ2040=9),"",IF(OR(AW2040=3,AW2040=4,AW2040=5,AW2040=6),VLOOKUP(AU2040,INDEX((係数_バス貨物_ガソリン,係数_バス貨物_CNG,係数_バス貨物_軽油,係数_バス貨物_メタノール,係数_バス貨物_LPG),MATCH(AY2040,【参考】排出係数!$AI$4:$AI$671,1),1,BE2040):INDEX((係数_バス貨物_ガソリン,係数_バス貨物_CNG,係数_バス貨物_軽油,係数_バス貨物_メタノール,係数_バス貨物_LPG),MATCH(AY2040+1,【参考】排出係数!$AI$4:$AI$671,1)-1,5,BE2040),3,FALSE),IF(OR(AW2040=1,AW2040=2),VLOOKUP(AU2040,INDEX((係数_乗用_ガソリン,係数_乗用_CNG,係数_乗用_軽油,係数_乗用_メタノール,係数_乗用_LPG),1,1,BE2040):INDEX((係数_乗用_ガソリン,係数_乗用_CNG,係数_乗用_軽油,係数_乗用_メタノール,係数_乗用_LPG),125,5,BE2040),3,FALSE))))))</f>
        <v/>
      </c>
      <c r="BC2040" s="467" t="str">
        <f t="shared" si="1166"/>
        <v/>
      </c>
      <c r="BD2040" s="567" t="str">
        <f t="shared" si="1167"/>
        <v/>
      </c>
      <c r="BE2040" s="467" t="str">
        <f t="shared" si="1168"/>
        <v/>
      </c>
      <c r="BF2040" s="469" t="str">
        <f t="shared" ca="1" si="1169"/>
        <v/>
      </c>
      <c r="BG2040" s="469" t="str">
        <f t="shared" ca="1" si="1170"/>
        <v/>
      </c>
      <c r="BH2040" s="467" t="str">
        <f t="shared" si="1171"/>
        <v/>
      </c>
      <c r="BI2040" s="467" t="str">
        <f t="shared" ca="1" si="1172"/>
        <v/>
      </c>
      <c r="BJ2040" s="469" t="str">
        <f t="shared" si="1173"/>
        <v/>
      </c>
      <c r="BK2040" s="470" t="str">
        <f t="shared" si="1157"/>
        <v/>
      </c>
      <c r="BL2040" s="775" t="str">
        <f t="shared" si="1174"/>
        <v/>
      </c>
      <c r="BM2040" s="775" t="str">
        <f t="shared" si="1175"/>
        <v/>
      </c>
    </row>
    <row r="2041" spans="1:65">
      <c r="A2041" s="473">
        <v>1985</v>
      </c>
      <c r="B2041" s="132"/>
      <c r="C2041" s="332"/>
      <c r="D2041" s="333"/>
      <c r="E2041" s="333"/>
      <c r="F2041" s="334"/>
      <c r="G2041" s="337"/>
      <c r="H2041" s="131"/>
      <c r="I2041" s="337"/>
      <c r="J2041" s="131"/>
      <c r="K2041" s="458" t="str">
        <f t="shared" si="1176"/>
        <v/>
      </c>
      <c r="L2041" s="458">
        <f t="shared" si="1177"/>
        <v>0</v>
      </c>
      <c r="M2041" s="458">
        <f t="shared" si="1178"/>
        <v>0</v>
      </c>
      <c r="N2041" s="459" t="str">
        <f t="shared" si="1189"/>
        <v/>
      </c>
      <c r="O2041" s="459" t="str">
        <f t="shared" si="1190"/>
        <v/>
      </c>
      <c r="P2041" s="459" t="str">
        <f t="shared" si="1191"/>
        <v/>
      </c>
      <c r="Q2041" s="459" t="str">
        <f t="shared" si="1192"/>
        <v/>
      </c>
      <c r="R2041" s="459" t="str">
        <f t="shared" si="1193"/>
        <v/>
      </c>
      <c r="S2041" s="459" t="str">
        <f t="shared" si="1194"/>
        <v/>
      </c>
      <c r="T2041" s="566" t="str">
        <f t="shared" si="1179"/>
        <v/>
      </c>
      <c r="U2041" s="702"/>
      <c r="V2041" s="132"/>
      <c r="W2041" s="133"/>
      <c r="X2041" s="134"/>
      <c r="Y2041" s="135"/>
      <c r="Z2041" s="137"/>
      <c r="AA2041" s="136"/>
      <c r="AB2041" s="566" t="str">
        <f t="shared" si="1180"/>
        <v/>
      </c>
      <c r="AC2041" s="568" t="str">
        <f t="shared" si="1181"/>
        <v/>
      </c>
      <c r="AD2041" s="137"/>
      <c r="AE2041" s="137"/>
      <c r="AF2041" s="138"/>
      <c r="AG2041" s="138"/>
      <c r="AH2041" s="592" t="str">
        <f t="shared" si="1182"/>
        <v/>
      </c>
      <c r="AI2041" s="592" t="str">
        <f t="shared" si="1183"/>
        <v/>
      </c>
      <c r="AJ2041" s="592" t="str">
        <f t="shared" si="1184"/>
        <v/>
      </c>
      <c r="AK2041" s="460" t="str">
        <f>IF(AU2041="","",IF(OR(AZ2041=8,AZ2041=9),0,IF(OR(AW2041=3,AW2041=4,AW2041=5,AW2041=6),IF(LEFT(BF2041,1)="1",INDEX(係数_NOX・PM低減,MATCH(AY2041,【参考】排出係数!$AI$801:$AI$804,1),1),VLOOKUP(AU2041,INDEX((係数_バス貨物_ガソリン,係数_バス貨物_CNG,係数_バス貨物_軽油,係数_バス貨物_メタノール,係数_バス貨物_LPG),MATCH(AY2041,【参考】排出係数!$AI$4:$AI$671,1),1,BE2041):INDEX((係数_バス貨物_ガソリン,係数_バス貨物_CNG,係数_バス貨物_軽油,係数_バス貨物_メタノール,係数_バス貨物_LPG),MATCH(AY2041+1,【参考】排出係数!$AI$4:$AI$671,1)-1,5,BE2041),4,FALSE)),IF(AND(BE2041=3,LEFT(BF2041,1)="1"),0.48,VLOOKUP(AU2041,INDEX((係数_乗用_ガソリン,係数_乗用_CNG,係数_乗用_軽油,係数_乗用_メタノール,係数_乗用_LPG),1,1,BE2041):INDEX((係数_乗用_ガソリン,係数_乗用_CNG,係数_乗用_軽油,係数_乗用_メタノール,係数_乗用_LPG),125,5,BE2041),4,FALSE)))))</f>
        <v/>
      </c>
      <c r="AL2041" s="461" t="str">
        <f t="shared" si="1185"/>
        <v/>
      </c>
      <c r="AM2041" s="460" t="str">
        <f>IF(AU2041="","",IF(OR(AZ2041=8,AZ2041=9),0,IF(OR(AW2041=3,AW2041=4,AW2041=5,AW2041=6),IF(LEFT(BH2041,1)="1",INDEX(係数_PM低減,MATCH(AY2041,【参考】排出係数!$AI$801:$AI$804,1),MATCH(BI2041,【参考】排出係数!$AL$798:$AO$798,1)),VLOOKUP(AU2041,INDEX((係数_バス貨物_ガソリン,係数_バス貨物_CNG,係数_バス貨物_軽油,係数_バス貨物_メタノール,係数_バス貨物_LPG),MATCH(AY2041,【参考】排出係数!$AI$4:$AI$671,1),1,BE2041):INDEX((係数_バス貨物_ガソリン,係数_バス貨物_CNG,係数_バス貨物_軽油,係数_バス貨物_メタノール,係数_バス貨物_LPG),MATCH(AY2041+1,【参考】排出係数!$AI$4:$AI$671,1)-1,5,BE2041),5,FALSE)),IF(AND(BE2041=3,LEFT(BF2041,1)="1"),0.055,VLOOKUP(AU2041,INDEX((係数_乗用_ガソリン,係数_乗用_CNG,係数_乗用_軽油,係数_乗用_メタノール,係数_乗用_LPG),1,1,BE2041):INDEX((係数_乗用_ガソリン,係数_乗用_CNG,係数_乗用_軽油,係数_乗用_メタノール,係数_乗用_LPG),125,5,BE2041),5,FALSE)))))</f>
        <v/>
      </c>
      <c r="AN2041" s="461" t="str">
        <f t="shared" si="1186"/>
        <v/>
      </c>
      <c r="AO2041" s="462" t="str">
        <f t="shared" si="1187"/>
        <v/>
      </c>
      <c r="AP2041" s="463" t="str">
        <f t="shared" si="1188"/>
        <v/>
      </c>
      <c r="AQ2041" s="464"/>
      <c r="AR2041" s="619"/>
      <c r="AS2041" s="465" t="str">
        <f t="shared" si="1158"/>
        <v/>
      </c>
      <c r="AT2041" s="465" t="str">
        <f t="shared" si="1159"/>
        <v/>
      </c>
      <c r="AU2041" s="466" t="str">
        <f t="shared" si="1160"/>
        <v/>
      </c>
      <c r="AV2041" s="467" t="str">
        <f t="shared" si="1161"/>
        <v/>
      </c>
      <c r="AW2041" s="467" t="str">
        <f t="shared" si="1162"/>
        <v/>
      </c>
      <c r="AX2041" s="467" t="str">
        <f t="shared" si="1163"/>
        <v/>
      </c>
      <c r="AY2041" s="467" t="str">
        <f t="shared" si="1164"/>
        <v/>
      </c>
      <c r="AZ2041" s="467" t="str">
        <f t="shared" si="1165"/>
        <v/>
      </c>
      <c r="BA2041" s="468" t="str">
        <f>IF(AS2041="","",IF(OR(AU2041="",AU2041="-"),"－",IF(OR(AZ2041=8,AZ2041=9),"",IF(OR(AW2041=3,AW2041=4,AW2041=5,AW2041=6),VLOOKUP(AU2041,INDEX((係数_バス貨物_ガソリン,係数_バス貨物_CNG,係数_バス貨物_軽油,係数_バス貨物_メタノール,係数_バス貨物_LPG),MATCH(AY2041,【参考】排出係数!$AI$4:$AI$671,1),1,BE2041):INDEX((係数_バス貨物_ガソリン,係数_バス貨物_CNG,係数_バス貨物_軽油,係数_バス貨物_メタノール,係数_バス貨物_LPG),MATCH(AY2041+1,【参考】排出係数!$AI$4:$AI$671,1)-1,5,BE2041),2,FALSE),IF(OR(AW2041=1,AW2041=2),VLOOKUP(AU2041,INDEX((係数_乗用_ガソリン,係数_乗用_CNG,係数_乗用_軽油,係数_乗用_メタノール,係数_乗用_LPG),1,1,BE2041):INDEX((係数_乗用_ガソリン,係数_乗用_CNG,係数_乗用_軽油,係数_乗用_メタノール,係数_乗用_LPG),125,5,BE2041),2,FALSE))))))</f>
        <v/>
      </c>
      <c r="BB2041" s="468" t="str">
        <f>IF(T2041="","",IF(OR(AU2041="",AU2041="-"),"－",IF(OR(AZ2041=8,AZ2041=9),"",IF(OR(AW2041=3,AW2041=4,AW2041=5,AW2041=6),VLOOKUP(AU2041,INDEX((係数_バス貨物_ガソリン,係数_バス貨物_CNG,係数_バス貨物_軽油,係数_バス貨物_メタノール,係数_バス貨物_LPG),MATCH(AY2041,【参考】排出係数!$AI$4:$AI$671,1),1,BE2041):INDEX((係数_バス貨物_ガソリン,係数_バス貨物_CNG,係数_バス貨物_軽油,係数_バス貨物_メタノール,係数_バス貨物_LPG),MATCH(AY2041+1,【参考】排出係数!$AI$4:$AI$671,1)-1,5,BE2041),3,FALSE),IF(OR(AW2041=1,AW2041=2),VLOOKUP(AU2041,INDEX((係数_乗用_ガソリン,係数_乗用_CNG,係数_乗用_軽油,係数_乗用_メタノール,係数_乗用_LPG),1,1,BE2041):INDEX((係数_乗用_ガソリン,係数_乗用_CNG,係数_乗用_軽油,係数_乗用_メタノール,係数_乗用_LPG),125,5,BE2041),3,FALSE))))))</f>
        <v/>
      </c>
      <c r="BC2041" s="467" t="str">
        <f t="shared" si="1166"/>
        <v/>
      </c>
      <c r="BD2041" s="567" t="str">
        <f t="shared" si="1167"/>
        <v/>
      </c>
      <c r="BE2041" s="467" t="str">
        <f t="shared" si="1168"/>
        <v/>
      </c>
      <c r="BF2041" s="469" t="str">
        <f t="shared" ca="1" si="1169"/>
        <v/>
      </c>
      <c r="BG2041" s="469" t="str">
        <f t="shared" ca="1" si="1170"/>
        <v/>
      </c>
      <c r="BH2041" s="467" t="str">
        <f t="shared" si="1171"/>
        <v/>
      </c>
      <c r="BI2041" s="467" t="str">
        <f t="shared" ca="1" si="1172"/>
        <v/>
      </c>
      <c r="BJ2041" s="469" t="str">
        <f t="shared" si="1173"/>
        <v/>
      </c>
      <c r="BK2041" s="470" t="str">
        <f t="shared" ref="BK2041:BK2056" si="1195">IF(AS2041="","",VLOOKUP(T2041,車両の増減,2,FALSE))</f>
        <v/>
      </c>
      <c r="BL2041" s="775" t="str">
        <f t="shared" si="1174"/>
        <v/>
      </c>
      <c r="BM2041" s="775" t="str">
        <f t="shared" si="1175"/>
        <v/>
      </c>
    </row>
    <row r="2042" spans="1:65">
      <c r="A2042" s="473">
        <v>1986</v>
      </c>
      <c r="B2042" s="132"/>
      <c r="C2042" s="332"/>
      <c r="D2042" s="333"/>
      <c r="E2042" s="333"/>
      <c r="F2042" s="334"/>
      <c r="G2042" s="337"/>
      <c r="H2042" s="131"/>
      <c r="I2042" s="337"/>
      <c r="J2042" s="131"/>
      <c r="K2042" s="458" t="str">
        <f t="shared" si="1176"/>
        <v/>
      </c>
      <c r="L2042" s="458">
        <f t="shared" si="1177"/>
        <v>0</v>
      </c>
      <c r="M2042" s="458">
        <f t="shared" si="1178"/>
        <v>0</v>
      </c>
      <c r="N2042" s="459" t="str">
        <f t="shared" si="1189"/>
        <v/>
      </c>
      <c r="O2042" s="459" t="str">
        <f t="shared" si="1190"/>
        <v/>
      </c>
      <c r="P2042" s="459" t="str">
        <f t="shared" si="1191"/>
        <v/>
      </c>
      <c r="Q2042" s="459" t="str">
        <f t="shared" si="1192"/>
        <v/>
      </c>
      <c r="R2042" s="459" t="str">
        <f t="shared" si="1193"/>
        <v/>
      </c>
      <c r="S2042" s="459" t="str">
        <f t="shared" si="1194"/>
        <v/>
      </c>
      <c r="T2042" s="566" t="str">
        <f t="shared" si="1179"/>
        <v/>
      </c>
      <c r="U2042" s="702"/>
      <c r="V2042" s="132"/>
      <c r="W2042" s="133"/>
      <c r="X2042" s="134"/>
      <c r="Y2042" s="135"/>
      <c r="Z2042" s="137"/>
      <c r="AA2042" s="136"/>
      <c r="AB2042" s="566" t="str">
        <f t="shared" si="1180"/>
        <v/>
      </c>
      <c r="AC2042" s="568" t="str">
        <f t="shared" si="1181"/>
        <v/>
      </c>
      <c r="AD2042" s="137"/>
      <c r="AE2042" s="137"/>
      <c r="AF2042" s="138"/>
      <c r="AG2042" s="138"/>
      <c r="AH2042" s="592" t="str">
        <f t="shared" si="1182"/>
        <v/>
      </c>
      <c r="AI2042" s="592" t="str">
        <f t="shared" si="1183"/>
        <v/>
      </c>
      <c r="AJ2042" s="592" t="str">
        <f t="shared" si="1184"/>
        <v/>
      </c>
      <c r="AK2042" s="460" t="str">
        <f>IF(AU2042="","",IF(OR(AZ2042=8,AZ2042=9),0,IF(OR(AW2042=3,AW2042=4,AW2042=5,AW2042=6),IF(LEFT(BF2042,1)="1",INDEX(係数_NOX・PM低減,MATCH(AY2042,【参考】排出係数!$AI$801:$AI$804,1),1),VLOOKUP(AU2042,INDEX((係数_バス貨物_ガソリン,係数_バス貨物_CNG,係数_バス貨物_軽油,係数_バス貨物_メタノール,係数_バス貨物_LPG),MATCH(AY2042,【参考】排出係数!$AI$4:$AI$671,1),1,BE2042):INDEX((係数_バス貨物_ガソリン,係数_バス貨物_CNG,係数_バス貨物_軽油,係数_バス貨物_メタノール,係数_バス貨物_LPG),MATCH(AY2042+1,【参考】排出係数!$AI$4:$AI$671,1)-1,5,BE2042),4,FALSE)),IF(AND(BE2042=3,LEFT(BF2042,1)="1"),0.48,VLOOKUP(AU2042,INDEX((係数_乗用_ガソリン,係数_乗用_CNG,係数_乗用_軽油,係数_乗用_メタノール,係数_乗用_LPG),1,1,BE2042):INDEX((係数_乗用_ガソリン,係数_乗用_CNG,係数_乗用_軽油,係数_乗用_メタノール,係数_乗用_LPG),125,5,BE2042),4,FALSE)))))</f>
        <v/>
      </c>
      <c r="AL2042" s="461" t="str">
        <f t="shared" si="1185"/>
        <v/>
      </c>
      <c r="AM2042" s="460" t="str">
        <f>IF(AU2042="","",IF(OR(AZ2042=8,AZ2042=9),0,IF(OR(AW2042=3,AW2042=4,AW2042=5,AW2042=6),IF(LEFT(BH2042,1)="1",INDEX(係数_PM低減,MATCH(AY2042,【参考】排出係数!$AI$801:$AI$804,1),MATCH(BI2042,【参考】排出係数!$AL$798:$AO$798,1)),VLOOKUP(AU2042,INDEX((係数_バス貨物_ガソリン,係数_バス貨物_CNG,係数_バス貨物_軽油,係数_バス貨物_メタノール,係数_バス貨物_LPG),MATCH(AY2042,【参考】排出係数!$AI$4:$AI$671,1),1,BE2042):INDEX((係数_バス貨物_ガソリン,係数_バス貨物_CNG,係数_バス貨物_軽油,係数_バス貨物_メタノール,係数_バス貨物_LPG),MATCH(AY2042+1,【参考】排出係数!$AI$4:$AI$671,1)-1,5,BE2042),5,FALSE)),IF(AND(BE2042=3,LEFT(BF2042,1)="1"),0.055,VLOOKUP(AU2042,INDEX((係数_乗用_ガソリン,係数_乗用_CNG,係数_乗用_軽油,係数_乗用_メタノール,係数_乗用_LPG),1,1,BE2042):INDEX((係数_乗用_ガソリン,係数_乗用_CNG,係数_乗用_軽油,係数_乗用_メタノール,係数_乗用_LPG),125,5,BE2042),5,FALSE)))))</f>
        <v/>
      </c>
      <c r="AN2042" s="461" t="str">
        <f t="shared" si="1186"/>
        <v/>
      </c>
      <c r="AO2042" s="462" t="str">
        <f t="shared" si="1187"/>
        <v/>
      </c>
      <c r="AP2042" s="463" t="str">
        <f t="shared" si="1188"/>
        <v/>
      </c>
      <c r="AQ2042" s="464"/>
      <c r="AR2042" s="619"/>
      <c r="AS2042" s="465" t="str">
        <f t="shared" ref="AS2042:AS2056" si="1196">IF(OR(T2042="(減車済)",T2042=""),"",1)</f>
        <v/>
      </c>
      <c r="AT2042" s="465" t="str">
        <f t="shared" ref="AT2042:AT2056" si="1197">IF(OR(T2042="継続",T2042="新規"),1,"")</f>
        <v/>
      </c>
      <c r="AU2042" s="466" t="str">
        <f t="shared" ref="AU2042:AU2056" si="1198">IF(AS2042="","",UPPER(ASC(X2042)))</f>
        <v/>
      </c>
      <c r="AV2042" s="467" t="str">
        <f t="shared" ref="AV2042:AV2056" si="1199">IF(AS2042="","",IF(V2042="","",IF(V2042="普通",1,IF(V2042="小型",2,0))))</f>
        <v/>
      </c>
      <c r="AW2042" s="467" t="str">
        <f t="shared" ref="AW2042:AW2056" si="1200">IF(AS2042="","",IF(W2042="","",VLOOKUP(W2042,用途,2,FALSE)))</f>
        <v/>
      </c>
      <c r="AX2042" s="467" t="str">
        <f t="shared" ref="AX2042:AX2056" si="1201">IF(AS2042="","",IF(Y2042="","",IF(Y2042&lt;=10,1,IF(Y2042&lt;30,2,IF(Y2042&gt;=30,3,0)))))</f>
        <v/>
      </c>
      <c r="AY2042" s="467" t="str">
        <f t="shared" ref="AY2042:AY2056" si="1202">IF(AS2042="","",IF(Z2042="","",IF(Z2042&lt;=1.7*1000,1,IF(Z2042&lt;=2.5*1000,2,IF(Z2042&lt;=3.5*1000,3,IF(Z2042&lt;8*1000,4,IF(Z2042&gt;=8*1000,5,"")))))))</f>
        <v/>
      </c>
      <c r="AZ2042" s="467" t="str">
        <f t="shared" ref="AZ2042:AZ2056" si="1203">IF(AS2042="","",IF(AA2042="","",VLOOKUP(AA2042,燃料の種類,2,FALSE)))</f>
        <v/>
      </c>
      <c r="BA2042" s="468" t="str">
        <f>IF(AS2042="","",IF(OR(AU2042="",AU2042="-"),"－",IF(OR(AZ2042=8,AZ2042=9),"",IF(OR(AW2042=3,AW2042=4,AW2042=5,AW2042=6),VLOOKUP(AU2042,INDEX((係数_バス貨物_ガソリン,係数_バス貨物_CNG,係数_バス貨物_軽油,係数_バス貨物_メタノール,係数_バス貨物_LPG),MATCH(AY2042,【参考】排出係数!$AI$4:$AI$671,1),1,BE2042):INDEX((係数_バス貨物_ガソリン,係数_バス貨物_CNG,係数_バス貨物_軽油,係数_バス貨物_メタノール,係数_バス貨物_LPG),MATCH(AY2042+1,【参考】排出係数!$AI$4:$AI$671,1)-1,5,BE2042),2,FALSE),IF(OR(AW2042=1,AW2042=2),VLOOKUP(AU2042,INDEX((係数_乗用_ガソリン,係数_乗用_CNG,係数_乗用_軽油,係数_乗用_メタノール,係数_乗用_LPG),1,1,BE2042):INDEX((係数_乗用_ガソリン,係数_乗用_CNG,係数_乗用_軽油,係数_乗用_メタノール,係数_乗用_LPG),125,5,BE2042),2,FALSE))))))</f>
        <v/>
      </c>
      <c r="BB2042" s="468" t="str">
        <f>IF(T2042="","",IF(OR(AU2042="",AU2042="-"),"－",IF(OR(AZ2042=8,AZ2042=9),"",IF(OR(AW2042=3,AW2042=4,AW2042=5,AW2042=6),VLOOKUP(AU2042,INDEX((係数_バス貨物_ガソリン,係数_バス貨物_CNG,係数_バス貨物_軽油,係数_バス貨物_メタノール,係数_バス貨物_LPG),MATCH(AY2042,【参考】排出係数!$AI$4:$AI$671,1),1,BE2042):INDEX((係数_バス貨物_ガソリン,係数_バス貨物_CNG,係数_バス貨物_軽油,係数_バス貨物_メタノール,係数_バス貨物_LPG),MATCH(AY2042+1,【参考】排出係数!$AI$4:$AI$671,1)-1,5,BE2042),3,FALSE),IF(OR(AW2042=1,AW2042=2),VLOOKUP(AU2042,INDEX((係数_乗用_ガソリン,係数_乗用_CNG,係数_乗用_軽油,係数_乗用_メタノール,係数_乗用_LPG),1,1,BE2042):INDEX((係数_乗用_ガソリン,係数_乗用_CNG,係数_乗用_軽油,係数_乗用_メタノール,係数_乗用_LPG),125,5,BE2042),3,FALSE))))))</f>
        <v/>
      </c>
      <c r="BC2042" s="467" t="str">
        <f t="shared" ref="BC2042:BC2056" si="1204">IF((AS2042="")+(AC2042=""),"",IF(燃料区分1=4,VLOOKUP(BB2042,排ガス低減レベル,2,FALSE),VLOOKUP(AC2042,排ガス低減レベル,2,FALSE)))</f>
        <v/>
      </c>
      <c r="BD2042" s="567" t="str">
        <f t="shared" ref="BD2042:BD2056" si="1205">IF(AT2042="","",IF(AW2042=3,B2042&amp;"-"&amp;SUM(AW2042*100,AX2042*10,AY2042)&amp;"A",IF(OR(AW2042=2,AW2042=4,AW2042=6),B2042&amp;"-"&amp;AY2042*10&amp;"A",IF(AW2042=1,B2042&amp;"-"&amp;AW2042&amp;"A",IF(AW2042=5,B2042&amp;"-"&amp;SUM(AW2042*100,AV2042*10,AY2042)&amp;"A","")))))</f>
        <v/>
      </c>
      <c r="BE2042" s="467" t="str">
        <f t="shared" ref="BE2042:BE2056" si="1206">IF(OR(AZ2042=1,AZ2042=2,AZ2042=11),1,IF(AZ2042=6,2,IF(OR(AZ2042=4,AZ2042=5,AZ2042=10),3,IF(AZ2042=7,4,IF(AZ2042=3,5, IF(OR(AZ2042=8,AZ2042=9),6,""))))))</f>
        <v/>
      </c>
      <c r="BF2042" s="469" t="str">
        <f t="shared" ref="BF2042:BF2056" ca="1" si="1207">(IF(OR(AZ2042=4,AZ2042=5),OFFSET($CH$1,MATCH($AF2042,$CG$2:$CG$4,0),0)&amp;BK2042,""))</f>
        <v/>
      </c>
      <c r="BG2042" s="469" t="str">
        <f t="shared" ref="BG2042:BG2056" ca="1" si="1208">(IF(OR(AZ2042=4,AZ2042=5),OFFSET($CJ$1,MATCH($AG2042,$CI$2:$CI$5,0),0)&amp;BK2042,""))</f>
        <v/>
      </c>
      <c r="BH2042" s="467" t="str">
        <f t="shared" ref="BH2042:BH2056" si="1209">IF(OR(AZ2042=4,AZ2042=5),IF(OR(LEFT(BF2042,1)="1",LEFT(BG2042,1)="2",LEFT(BG2042,1)="3"),1,2)&amp;BK2042,"")</f>
        <v/>
      </c>
      <c r="BI2042" s="467" t="str">
        <f t="shared" ref="BI2042:BI2056" ca="1" si="1210">IF(LEFT(BF2042)="1",1,IF(LEFT(BG2042,1)="2",2,IF(LEFT(BG2042,1)="3",3,"")))</f>
        <v/>
      </c>
      <c r="BJ2042" s="469" t="str">
        <f t="shared" ref="BJ2042:BJ2056" si="1211">IF(AT2042="","",B2042&amp;"-"&amp;AZ2042)</f>
        <v/>
      </c>
      <c r="BK2042" s="470" t="str">
        <f t="shared" si="1195"/>
        <v/>
      </c>
      <c r="BL2042" s="775" t="str">
        <f t="shared" ref="BL2042:BL2056" si="1212">IF(AND(OR($T2042="新規",$T2042="継続"),ISBLANK($AD2042)),1,"")</f>
        <v/>
      </c>
      <c r="BM2042" s="775" t="str">
        <f t="shared" ref="BM2042:BM2056" si="1213">IF(AND(OR($T2042="新規",$T2042="継続"),ISBLANK($AE2042)),1,"")</f>
        <v/>
      </c>
    </row>
    <row r="2043" spans="1:65">
      <c r="A2043" s="473">
        <v>1987</v>
      </c>
      <c r="B2043" s="132"/>
      <c r="C2043" s="332"/>
      <c r="D2043" s="333"/>
      <c r="E2043" s="333"/>
      <c r="F2043" s="334"/>
      <c r="G2043" s="337"/>
      <c r="H2043" s="131"/>
      <c r="I2043" s="337"/>
      <c r="J2043" s="131"/>
      <c r="K2043" s="458" t="str">
        <f t="shared" si="1176"/>
        <v/>
      </c>
      <c r="L2043" s="458">
        <f t="shared" si="1177"/>
        <v>0</v>
      </c>
      <c r="M2043" s="458">
        <f t="shared" si="1178"/>
        <v>0</v>
      </c>
      <c r="N2043" s="459" t="str">
        <f t="shared" si="1189"/>
        <v/>
      </c>
      <c r="O2043" s="459" t="str">
        <f t="shared" si="1190"/>
        <v/>
      </c>
      <c r="P2043" s="459" t="str">
        <f t="shared" si="1191"/>
        <v/>
      </c>
      <c r="Q2043" s="459" t="str">
        <f t="shared" si="1192"/>
        <v/>
      </c>
      <c r="R2043" s="459" t="str">
        <f t="shared" si="1193"/>
        <v/>
      </c>
      <c r="S2043" s="459" t="str">
        <f t="shared" si="1194"/>
        <v/>
      </c>
      <c r="T2043" s="566" t="str">
        <f t="shared" si="1179"/>
        <v/>
      </c>
      <c r="U2043" s="702"/>
      <c r="V2043" s="132"/>
      <c r="W2043" s="133"/>
      <c r="X2043" s="134"/>
      <c r="Y2043" s="135"/>
      <c r="Z2043" s="137"/>
      <c r="AA2043" s="136"/>
      <c r="AB2043" s="566" t="str">
        <f t="shared" si="1180"/>
        <v/>
      </c>
      <c r="AC2043" s="568" t="str">
        <f t="shared" si="1181"/>
        <v/>
      </c>
      <c r="AD2043" s="137"/>
      <c r="AE2043" s="137"/>
      <c r="AF2043" s="138"/>
      <c r="AG2043" s="138"/>
      <c r="AH2043" s="592" t="str">
        <f t="shared" si="1182"/>
        <v/>
      </c>
      <c r="AI2043" s="592" t="str">
        <f t="shared" si="1183"/>
        <v/>
      </c>
      <c r="AJ2043" s="592" t="str">
        <f t="shared" si="1184"/>
        <v/>
      </c>
      <c r="AK2043" s="460" t="str">
        <f>IF(AU2043="","",IF(OR(AZ2043=8,AZ2043=9),0,IF(OR(AW2043=3,AW2043=4,AW2043=5,AW2043=6),IF(LEFT(BF2043,1)="1",INDEX(係数_NOX・PM低減,MATCH(AY2043,【参考】排出係数!$AI$801:$AI$804,1),1),VLOOKUP(AU2043,INDEX((係数_バス貨物_ガソリン,係数_バス貨物_CNG,係数_バス貨物_軽油,係数_バス貨物_メタノール,係数_バス貨物_LPG),MATCH(AY2043,【参考】排出係数!$AI$4:$AI$671,1),1,BE2043):INDEX((係数_バス貨物_ガソリン,係数_バス貨物_CNG,係数_バス貨物_軽油,係数_バス貨物_メタノール,係数_バス貨物_LPG),MATCH(AY2043+1,【参考】排出係数!$AI$4:$AI$671,1)-1,5,BE2043),4,FALSE)),IF(AND(BE2043=3,LEFT(BF2043,1)="1"),0.48,VLOOKUP(AU2043,INDEX((係数_乗用_ガソリン,係数_乗用_CNG,係数_乗用_軽油,係数_乗用_メタノール,係数_乗用_LPG),1,1,BE2043):INDEX((係数_乗用_ガソリン,係数_乗用_CNG,係数_乗用_軽油,係数_乗用_メタノール,係数_乗用_LPG),125,5,BE2043),4,FALSE)))))</f>
        <v/>
      </c>
      <c r="AL2043" s="461" t="str">
        <f t="shared" si="1185"/>
        <v/>
      </c>
      <c r="AM2043" s="460" t="str">
        <f>IF(AU2043="","",IF(OR(AZ2043=8,AZ2043=9),0,IF(OR(AW2043=3,AW2043=4,AW2043=5,AW2043=6),IF(LEFT(BH2043,1)="1",INDEX(係数_PM低減,MATCH(AY2043,【参考】排出係数!$AI$801:$AI$804,1),MATCH(BI2043,【参考】排出係数!$AL$798:$AO$798,1)),VLOOKUP(AU2043,INDEX((係数_バス貨物_ガソリン,係数_バス貨物_CNG,係数_バス貨物_軽油,係数_バス貨物_メタノール,係数_バス貨物_LPG),MATCH(AY2043,【参考】排出係数!$AI$4:$AI$671,1),1,BE2043):INDEX((係数_バス貨物_ガソリン,係数_バス貨物_CNG,係数_バス貨物_軽油,係数_バス貨物_メタノール,係数_バス貨物_LPG),MATCH(AY2043+1,【参考】排出係数!$AI$4:$AI$671,1)-1,5,BE2043),5,FALSE)),IF(AND(BE2043=3,LEFT(BF2043,1)="1"),0.055,VLOOKUP(AU2043,INDEX((係数_乗用_ガソリン,係数_乗用_CNG,係数_乗用_軽油,係数_乗用_メタノール,係数_乗用_LPG),1,1,BE2043):INDEX((係数_乗用_ガソリン,係数_乗用_CNG,係数_乗用_軽油,係数_乗用_メタノール,係数_乗用_LPG),125,5,BE2043),5,FALSE)))))</f>
        <v/>
      </c>
      <c r="AN2043" s="461" t="str">
        <f t="shared" si="1186"/>
        <v/>
      </c>
      <c r="AO2043" s="462" t="str">
        <f t="shared" si="1187"/>
        <v/>
      </c>
      <c r="AP2043" s="463" t="str">
        <f t="shared" si="1188"/>
        <v/>
      </c>
      <c r="AQ2043" s="464"/>
      <c r="AR2043" s="619"/>
      <c r="AS2043" s="465" t="str">
        <f t="shared" si="1196"/>
        <v/>
      </c>
      <c r="AT2043" s="465" t="str">
        <f t="shared" si="1197"/>
        <v/>
      </c>
      <c r="AU2043" s="466" t="str">
        <f t="shared" si="1198"/>
        <v/>
      </c>
      <c r="AV2043" s="467" t="str">
        <f t="shared" si="1199"/>
        <v/>
      </c>
      <c r="AW2043" s="467" t="str">
        <f t="shared" si="1200"/>
        <v/>
      </c>
      <c r="AX2043" s="467" t="str">
        <f t="shared" si="1201"/>
        <v/>
      </c>
      <c r="AY2043" s="467" t="str">
        <f t="shared" si="1202"/>
        <v/>
      </c>
      <c r="AZ2043" s="467" t="str">
        <f t="shared" si="1203"/>
        <v/>
      </c>
      <c r="BA2043" s="468" t="str">
        <f>IF(AS2043="","",IF(OR(AU2043="",AU2043="-"),"－",IF(OR(AZ2043=8,AZ2043=9),"",IF(OR(AW2043=3,AW2043=4,AW2043=5,AW2043=6),VLOOKUP(AU2043,INDEX((係数_バス貨物_ガソリン,係数_バス貨物_CNG,係数_バス貨物_軽油,係数_バス貨物_メタノール,係数_バス貨物_LPG),MATCH(AY2043,【参考】排出係数!$AI$4:$AI$671,1),1,BE2043):INDEX((係数_バス貨物_ガソリン,係数_バス貨物_CNG,係数_バス貨物_軽油,係数_バス貨物_メタノール,係数_バス貨物_LPG),MATCH(AY2043+1,【参考】排出係数!$AI$4:$AI$671,1)-1,5,BE2043),2,FALSE),IF(OR(AW2043=1,AW2043=2),VLOOKUP(AU2043,INDEX((係数_乗用_ガソリン,係数_乗用_CNG,係数_乗用_軽油,係数_乗用_メタノール,係数_乗用_LPG),1,1,BE2043):INDEX((係数_乗用_ガソリン,係数_乗用_CNG,係数_乗用_軽油,係数_乗用_メタノール,係数_乗用_LPG),125,5,BE2043),2,FALSE))))))</f>
        <v/>
      </c>
      <c r="BB2043" s="468" t="str">
        <f>IF(T2043="","",IF(OR(AU2043="",AU2043="-"),"－",IF(OR(AZ2043=8,AZ2043=9),"",IF(OR(AW2043=3,AW2043=4,AW2043=5,AW2043=6),VLOOKUP(AU2043,INDEX((係数_バス貨物_ガソリン,係数_バス貨物_CNG,係数_バス貨物_軽油,係数_バス貨物_メタノール,係数_バス貨物_LPG),MATCH(AY2043,【参考】排出係数!$AI$4:$AI$671,1),1,BE2043):INDEX((係数_バス貨物_ガソリン,係数_バス貨物_CNG,係数_バス貨物_軽油,係数_バス貨物_メタノール,係数_バス貨物_LPG),MATCH(AY2043+1,【参考】排出係数!$AI$4:$AI$671,1)-1,5,BE2043),3,FALSE),IF(OR(AW2043=1,AW2043=2),VLOOKUP(AU2043,INDEX((係数_乗用_ガソリン,係数_乗用_CNG,係数_乗用_軽油,係数_乗用_メタノール,係数_乗用_LPG),1,1,BE2043):INDEX((係数_乗用_ガソリン,係数_乗用_CNG,係数_乗用_軽油,係数_乗用_メタノール,係数_乗用_LPG),125,5,BE2043),3,FALSE))))))</f>
        <v/>
      </c>
      <c r="BC2043" s="467" t="str">
        <f t="shared" si="1204"/>
        <v/>
      </c>
      <c r="BD2043" s="567" t="str">
        <f t="shared" si="1205"/>
        <v/>
      </c>
      <c r="BE2043" s="467" t="str">
        <f t="shared" si="1206"/>
        <v/>
      </c>
      <c r="BF2043" s="469" t="str">
        <f t="shared" ca="1" si="1207"/>
        <v/>
      </c>
      <c r="BG2043" s="469" t="str">
        <f t="shared" ca="1" si="1208"/>
        <v/>
      </c>
      <c r="BH2043" s="467" t="str">
        <f t="shared" si="1209"/>
        <v/>
      </c>
      <c r="BI2043" s="467" t="str">
        <f t="shared" ca="1" si="1210"/>
        <v/>
      </c>
      <c r="BJ2043" s="469" t="str">
        <f t="shared" si="1211"/>
        <v/>
      </c>
      <c r="BK2043" s="470" t="str">
        <f t="shared" si="1195"/>
        <v/>
      </c>
      <c r="BL2043" s="775" t="str">
        <f t="shared" si="1212"/>
        <v/>
      </c>
      <c r="BM2043" s="775" t="str">
        <f t="shared" si="1213"/>
        <v/>
      </c>
    </row>
    <row r="2044" spans="1:65">
      <c r="A2044" s="473">
        <v>1988</v>
      </c>
      <c r="B2044" s="132"/>
      <c r="C2044" s="332"/>
      <c r="D2044" s="333"/>
      <c r="E2044" s="333"/>
      <c r="F2044" s="334"/>
      <c r="G2044" s="337"/>
      <c r="H2044" s="131"/>
      <c r="I2044" s="337"/>
      <c r="J2044" s="131"/>
      <c r="K2044" s="458" t="str">
        <f t="shared" si="1176"/>
        <v/>
      </c>
      <c r="L2044" s="458">
        <f t="shared" si="1177"/>
        <v>0</v>
      </c>
      <c r="M2044" s="458">
        <f t="shared" si="1178"/>
        <v>0</v>
      </c>
      <c r="N2044" s="459" t="str">
        <f t="shared" si="1189"/>
        <v/>
      </c>
      <c r="O2044" s="459" t="str">
        <f t="shared" si="1190"/>
        <v/>
      </c>
      <c r="P2044" s="459" t="str">
        <f t="shared" si="1191"/>
        <v/>
      </c>
      <c r="Q2044" s="459" t="str">
        <f t="shared" si="1192"/>
        <v/>
      </c>
      <c r="R2044" s="459" t="str">
        <f t="shared" si="1193"/>
        <v/>
      </c>
      <c r="S2044" s="459" t="str">
        <f t="shared" si="1194"/>
        <v/>
      </c>
      <c r="T2044" s="566" t="str">
        <f t="shared" si="1179"/>
        <v/>
      </c>
      <c r="U2044" s="702"/>
      <c r="V2044" s="132"/>
      <c r="W2044" s="133"/>
      <c r="X2044" s="134"/>
      <c r="Y2044" s="135"/>
      <c r="Z2044" s="137"/>
      <c r="AA2044" s="136"/>
      <c r="AB2044" s="566" t="str">
        <f t="shared" si="1180"/>
        <v/>
      </c>
      <c r="AC2044" s="568" t="str">
        <f t="shared" si="1181"/>
        <v/>
      </c>
      <c r="AD2044" s="137"/>
      <c r="AE2044" s="137"/>
      <c r="AF2044" s="138"/>
      <c r="AG2044" s="138"/>
      <c r="AH2044" s="592" t="str">
        <f t="shared" si="1182"/>
        <v/>
      </c>
      <c r="AI2044" s="592" t="str">
        <f t="shared" si="1183"/>
        <v/>
      </c>
      <c r="AJ2044" s="592" t="str">
        <f t="shared" si="1184"/>
        <v/>
      </c>
      <c r="AK2044" s="460" t="str">
        <f>IF(AU2044="","",IF(OR(AZ2044=8,AZ2044=9),0,IF(OR(AW2044=3,AW2044=4,AW2044=5,AW2044=6),IF(LEFT(BF2044,1)="1",INDEX(係数_NOX・PM低減,MATCH(AY2044,【参考】排出係数!$AI$801:$AI$804,1),1),VLOOKUP(AU2044,INDEX((係数_バス貨物_ガソリン,係数_バス貨物_CNG,係数_バス貨物_軽油,係数_バス貨物_メタノール,係数_バス貨物_LPG),MATCH(AY2044,【参考】排出係数!$AI$4:$AI$671,1),1,BE2044):INDEX((係数_バス貨物_ガソリン,係数_バス貨物_CNG,係数_バス貨物_軽油,係数_バス貨物_メタノール,係数_バス貨物_LPG),MATCH(AY2044+1,【参考】排出係数!$AI$4:$AI$671,1)-1,5,BE2044),4,FALSE)),IF(AND(BE2044=3,LEFT(BF2044,1)="1"),0.48,VLOOKUP(AU2044,INDEX((係数_乗用_ガソリン,係数_乗用_CNG,係数_乗用_軽油,係数_乗用_メタノール,係数_乗用_LPG),1,1,BE2044):INDEX((係数_乗用_ガソリン,係数_乗用_CNG,係数_乗用_軽油,係数_乗用_メタノール,係数_乗用_LPG),125,5,BE2044),4,FALSE)))))</f>
        <v/>
      </c>
      <c r="AL2044" s="461" t="str">
        <f t="shared" si="1185"/>
        <v/>
      </c>
      <c r="AM2044" s="460" t="str">
        <f>IF(AU2044="","",IF(OR(AZ2044=8,AZ2044=9),0,IF(OR(AW2044=3,AW2044=4,AW2044=5,AW2044=6),IF(LEFT(BH2044,1)="1",INDEX(係数_PM低減,MATCH(AY2044,【参考】排出係数!$AI$801:$AI$804,1),MATCH(BI2044,【参考】排出係数!$AL$798:$AO$798,1)),VLOOKUP(AU2044,INDEX((係数_バス貨物_ガソリン,係数_バス貨物_CNG,係数_バス貨物_軽油,係数_バス貨物_メタノール,係数_バス貨物_LPG),MATCH(AY2044,【参考】排出係数!$AI$4:$AI$671,1),1,BE2044):INDEX((係数_バス貨物_ガソリン,係数_バス貨物_CNG,係数_バス貨物_軽油,係数_バス貨物_メタノール,係数_バス貨物_LPG),MATCH(AY2044+1,【参考】排出係数!$AI$4:$AI$671,1)-1,5,BE2044),5,FALSE)),IF(AND(BE2044=3,LEFT(BF2044,1)="1"),0.055,VLOOKUP(AU2044,INDEX((係数_乗用_ガソリン,係数_乗用_CNG,係数_乗用_軽油,係数_乗用_メタノール,係数_乗用_LPG),1,1,BE2044):INDEX((係数_乗用_ガソリン,係数_乗用_CNG,係数_乗用_軽油,係数_乗用_メタノール,係数_乗用_LPG),125,5,BE2044),5,FALSE)))))</f>
        <v/>
      </c>
      <c r="AN2044" s="461" t="str">
        <f t="shared" si="1186"/>
        <v/>
      </c>
      <c r="AO2044" s="462" t="str">
        <f t="shared" si="1187"/>
        <v/>
      </c>
      <c r="AP2044" s="463" t="str">
        <f t="shared" si="1188"/>
        <v/>
      </c>
      <c r="AQ2044" s="464"/>
      <c r="AR2044" s="619"/>
      <c r="AS2044" s="465" t="str">
        <f t="shared" si="1196"/>
        <v/>
      </c>
      <c r="AT2044" s="465" t="str">
        <f t="shared" si="1197"/>
        <v/>
      </c>
      <c r="AU2044" s="466" t="str">
        <f t="shared" si="1198"/>
        <v/>
      </c>
      <c r="AV2044" s="467" t="str">
        <f t="shared" si="1199"/>
        <v/>
      </c>
      <c r="AW2044" s="467" t="str">
        <f t="shared" si="1200"/>
        <v/>
      </c>
      <c r="AX2044" s="467" t="str">
        <f t="shared" si="1201"/>
        <v/>
      </c>
      <c r="AY2044" s="467" t="str">
        <f t="shared" si="1202"/>
        <v/>
      </c>
      <c r="AZ2044" s="467" t="str">
        <f t="shared" si="1203"/>
        <v/>
      </c>
      <c r="BA2044" s="468" t="str">
        <f>IF(AS2044="","",IF(OR(AU2044="",AU2044="-"),"－",IF(OR(AZ2044=8,AZ2044=9),"",IF(OR(AW2044=3,AW2044=4,AW2044=5,AW2044=6),VLOOKUP(AU2044,INDEX((係数_バス貨物_ガソリン,係数_バス貨物_CNG,係数_バス貨物_軽油,係数_バス貨物_メタノール,係数_バス貨物_LPG),MATCH(AY2044,【参考】排出係数!$AI$4:$AI$671,1),1,BE2044):INDEX((係数_バス貨物_ガソリン,係数_バス貨物_CNG,係数_バス貨物_軽油,係数_バス貨物_メタノール,係数_バス貨物_LPG),MATCH(AY2044+1,【参考】排出係数!$AI$4:$AI$671,1)-1,5,BE2044),2,FALSE),IF(OR(AW2044=1,AW2044=2),VLOOKUP(AU2044,INDEX((係数_乗用_ガソリン,係数_乗用_CNG,係数_乗用_軽油,係数_乗用_メタノール,係数_乗用_LPG),1,1,BE2044):INDEX((係数_乗用_ガソリン,係数_乗用_CNG,係数_乗用_軽油,係数_乗用_メタノール,係数_乗用_LPG),125,5,BE2044),2,FALSE))))))</f>
        <v/>
      </c>
      <c r="BB2044" s="468" t="str">
        <f>IF(T2044="","",IF(OR(AU2044="",AU2044="-"),"－",IF(OR(AZ2044=8,AZ2044=9),"",IF(OR(AW2044=3,AW2044=4,AW2044=5,AW2044=6),VLOOKUP(AU2044,INDEX((係数_バス貨物_ガソリン,係数_バス貨物_CNG,係数_バス貨物_軽油,係数_バス貨物_メタノール,係数_バス貨物_LPG),MATCH(AY2044,【参考】排出係数!$AI$4:$AI$671,1),1,BE2044):INDEX((係数_バス貨物_ガソリン,係数_バス貨物_CNG,係数_バス貨物_軽油,係数_バス貨物_メタノール,係数_バス貨物_LPG),MATCH(AY2044+1,【参考】排出係数!$AI$4:$AI$671,1)-1,5,BE2044),3,FALSE),IF(OR(AW2044=1,AW2044=2),VLOOKUP(AU2044,INDEX((係数_乗用_ガソリン,係数_乗用_CNG,係数_乗用_軽油,係数_乗用_メタノール,係数_乗用_LPG),1,1,BE2044):INDEX((係数_乗用_ガソリン,係数_乗用_CNG,係数_乗用_軽油,係数_乗用_メタノール,係数_乗用_LPG),125,5,BE2044),3,FALSE))))))</f>
        <v/>
      </c>
      <c r="BC2044" s="467" t="str">
        <f t="shared" si="1204"/>
        <v/>
      </c>
      <c r="BD2044" s="567" t="str">
        <f t="shared" si="1205"/>
        <v/>
      </c>
      <c r="BE2044" s="467" t="str">
        <f t="shared" si="1206"/>
        <v/>
      </c>
      <c r="BF2044" s="469" t="str">
        <f t="shared" ca="1" si="1207"/>
        <v/>
      </c>
      <c r="BG2044" s="469" t="str">
        <f t="shared" ca="1" si="1208"/>
        <v/>
      </c>
      <c r="BH2044" s="467" t="str">
        <f t="shared" si="1209"/>
        <v/>
      </c>
      <c r="BI2044" s="467" t="str">
        <f t="shared" ca="1" si="1210"/>
        <v/>
      </c>
      <c r="BJ2044" s="469" t="str">
        <f t="shared" si="1211"/>
        <v/>
      </c>
      <c r="BK2044" s="470" t="str">
        <f t="shared" si="1195"/>
        <v/>
      </c>
      <c r="BL2044" s="775" t="str">
        <f t="shared" si="1212"/>
        <v/>
      </c>
      <c r="BM2044" s="775" t="str">
        <f t="shared" si="1213"/>
        <v/>
      </c>
    </row>
    <row r="2045" spans="1:65">
      <c r="A2045" s="473">
        <v>1989</v>
      </c>
      <c r="B2045" s="132"/>
      <c r="C2045" s="332"/>
      <c r="D2045" s="333"/>
      <c r="E2045" s="333"/>
      <c r="F2045" s="334"/>
      <c r="G2045" s="337"/>
      <c r="H2045" s="131"/>
      <c r="I2045" s="337"/>
      <c r="J2045" s="131"/>
      <c r="K2045" s="458" t="str">
        <f t="shared" si="1176"/>
        <v/>
      </c>
      <c r="L2045" s="458">
        <f t="shared" si="1177"/>
        <v>0</v>
      </c>
      <c r="M2045" s="458">
        <f t="shared" si="1178"/>
        <v>0</v>
      </c>
      <c r="N2045" s="459" t="str">
        <f t="shared" si="1189"/>
        <v/>
      </c>
      <c r="O2045" s="459" t="str">
        <f t="shared" si="1190"/>
        <v/>
      </c>
      <c r="P2045" s="459" t="str">
        <f t="shared" si="1191"/>
        <v/>
      </c>
      <c r="Q2045" s="459" t="str">
        <f t="shared" si="1192"/>
        <v/>
      </c>
      <c r="R2045" s="459" t="str">
        <f t="shared" si="1193"/>
        <v/>
      </c>
      <c r="S2045" s="459" t="str">
        <f t="shared" si="1194"/>
        <v/>
      </c>
      <c r="T2045" s="566" t="str">
        <f t="shared" si="1179"/>
        <v/>
      </c>
      <c r="U2045" s="702"/>
      <c r="V2045" s="132"/>
      <c r="W2045" s="133"/>
      <c r="X2045" s="134"/>
      <c r="Y2045" s="135"/>
      <c r="Z2045" s="137"/>
      <c r="AA2045" s="136"/>
      <c r="AB2045" s="566" t="str">
        <f t="shared" si="1180"/>
        <v/>
      </c>
      <c r="AC2045" s="568" t="str">
        <f t="shared" si="1181"/>
        <v/>
      </c>
      <c r="AD2045" s="137"/>
      <c r="AE2045" s="137"/>
      <c r="AF2045" s="138"/>
      <c r="AG2045" s="138"/>
      <c r="AH2045" s="592" t="str">
        <f t="shared" si="1182"/>
        <v/>
      </c>
      <c r="AI2045" s="592" t="str">
        <f t="shared" si="1183"/>
        <v/>
      </c>
      <c r="AJ2045" s="592" t="str">
        <f t="shared" si="1184"/>
        <v/>
      </c>
      <c r="AK2045" s="460" t="str">
        <f>IF(AU2045="","",IF(OR(AZ2045=8,AZ2045=9),0,IF(OR(AW2045=3,AW2045=4,AW2045=5,AW2045=6),IF(LEFT(BF2045,1)="1",INDEX(係数_NOX・PM低減,MATCH(AY2045,【参考】排出係数!$AI$801:$AI$804,1),1),VLOOKUP(AU2045,INDEX((係数_バス貨物_ガソリン,係数_バス貨物_CNG,係数_バス貨物_軽油,係数_バス貨物_メタノール,係数_バス貨物_LPG),MATCH(AY2045,【参考】排出係数!$AI$4:$AI$671,1),1,BE2045):INDEX((係数_バス貨物_ガソリン,係数_バス貨物_CNG,係数_バス貨物_軽油,係数_バス貨物_メタノール,係数_バス貨物_LPG),MATCH(AY2045+1,【参考】排出係数!$AI$4:$AI$671,1)-1,5,BE2045),4,FALSE)),IF(AND(BE2045=3,LEFT(BF2045,1)="1"),0.48,VLOOKUP(AU2045,INDEX((係数_乗用_ガソリン,係数_乗用_CNG,係数_乗用_軽油,係数_乗用_メタノール,係数_乗用_LPG),1,1,BE2045):INDEX((係数_乗用_ガソリン,係数_乗用_CNG,係数_乗用_軽油,係数_乗用_メタノール,係数_乗用_LPG),125,5,BE2045),4,FALSE)))))</f>
        <v/>
      </c>
      <c r="AL2045" s="461" t="str">
        <f t="shared" si="1185"/>
        <v/>
      </c>
      <c r="AM2045" s="460" t="str">
        <f>IF(AU2045="","",IF(OR(AZ2045=8,AZ2045=9),0,IF(OR(AW2045=3,AW2045=4,AW2045=5,AW2045=6),IF(LEFT(BH2045,1)="1",INDEX(係数_PM低減,MATCH(AY2045,【参考】排出係数!$AI$801:$AI$804,1),MATCH(BI2045,【参考】排出係数!$AL$798:$AO$798,1)),VLOOKUP(AU2045,INDEX((係数_バス貨物_ガソリン,係数_バス貨物_CNG,係数_バス貨物_軽油,係数_バス貨物_メタノール,係数_バス貨物_LPG),MATCH(AY2045,【参考】排出係数!$AI$4:$AI$671,1),1,BE2045):INDEX((係数_バス貨物_ガソリン,係数_バス貨物_CNG,係数_バス貨物_軽油,係数_バス貨物_メタノール,係数_バス貨物_LPG),MATCH(AY2045+1,【参考】排出係数!$AI$4:$AI$671,1)-1,5,BE2045),5,FALSE)),IF(AND(BE2045=3,LEFT(BF2045,1)="1"),0.055,VLOOKUP(AU2045,INDEX((係数_乗用_ガソリン,係数_乗用_CNG,係数_乗用_軽油,係数_乗用_メタノール,係数_乗用_LPG),1,1,BE2045):INDEX((係数_乗用_ガソリン,係数_乗用_CNG,係数_乗用_軽油,係数_乗用_メタノール,係数_乗用_LPG),125,5,BE2045),5,FALSE)))))</f>
        <v/>
      </c>
      <c r="AN2045" s="461" t="str">
        <f t="shared" si="1186"/>
        <v/>
      </c>
      <c r="AO2045" s="462" t="str">
        <f t="shared" si="1187"/>
        <v/>
      </c>
      <c r="AP2045" s="463" t="str">
        <f t="shared" si="1188"/>
        <v/>
      </c>
      <c r="AQ2045" s="464"/>
      <c r="AR2045" s="619"/>
      <c r="AS2045" s="465" t="str">
        <f t="shared" si="1196"/>
        <v/>
      </c>
      <c r="AT2045" s="465" t="str">
        <f t="shared" si="1197"/>
        <v/>
      </c>
      <c r="AU2045" s="466" t="str">
        <f t="shared" si="1198"/>
        <v/>
      </c>
      <c r="AV2045" s="467" t="str">
        <f t="shared" si="1199"/>
        <v/>
      </c>
      <c r="AW2045" s="467" t="str">
        <f t="shared" si="1200"/>
        <v/>
      </c>
      <c r="AX2045" s="467" t="str">
        <f t="shared" si="1201"/>
        <v/>
      </c>
      <c r="AY2045" s="467" t="str">
        <f t="shared" si="1202"/>
        <v/>
      </c>
      <c r="AZ2045" s="467" t="str">
        <f t="shared" si="1203"/>
        <v/>
      </c>
      <c r="BA2045" s="468" t="str">
        <f>IF(AS2045="","",IF(OR(AU2045="",AU2045="-"),"－",IF(OR(AZ2045=8,AZ2045=9),"",IF(OR(AW2045=3,AW2045=4,AW2045=5,AW2045=6),VLOOKUP(AU2045,INDEX((係数_バス貨物_ガソリン,係数_バス貨物_CNG,係数_バス貨物_軽油,係数_バス貨物_メタノール,係数_バス貨物_LPG),MATCH(AY2045,【参考】排出係数!$AI$4:$AI$671,1),1,BE2045):INDEX((係数_バス貨物_ガソリン,係数_バス貨物_CNG,係数_バス貨物_軽油,係数_バス貨物_メタノール,係数_バス貨物_LPG),MATCH(AY2045+1,【参考】排出係数!$AI$4:$AI$671,1)-1,5,BE2045),2,FALSE),IF(OR(AW2045=1,AW2045=2),VLOOKUP(AU2045,INDEX((係数_乗用_ガソリン,係数_乗用_CNG,係数_乗用_軽油,係数_乗用_メタノール,係数_乗用_LPG),1,1,BE2045):INDEX((係数_乗用_ガソリン,係数_乗用_CNG,係数_乗用_軽油,係数_乗用_メタノール,係数_乗用_LPG),125,5,BE2045),2,FALSE))))))</f>
        <v/>
      </c>
      <c r="BB2045" s="468" t="str">
        <f>IF(T2045="","",IF(OR(AU2045="",AU2045="-"),"－",IF(OR(AZ2045=8,AZ2045=9),"",IF(OR(AW2045=3,AW2045=4,AW2045=5,AW2045=6),VLOOKUP(AU2045,INDEX((係数_バス貨物_ガソリン,係数_バス貨物_CNG,係数_バス貨物_軽油,係数_バス貨物_メタノール,係数_バス貨物_LPG),MATCH(AY2045,【参考】排出係数!$AI$4:$AI$671,1),1,BE2045):INDEX((係数_バス貨物_ガソリン,係数_バス貨物_CNG,係数_バス貨物_軽油,係数_バス貨物_メタノール,係数_バス貨物_LPG),MATCH(AY2045+1,【参考】排出係数!$AI$4:$AI$671,1)-1,5,BE2045),3,FALSE),IF(OR(AW2045=1,AW2045=2),VLOOKUP(AU2045,INDEX((係数_乗用_ガソリン,係数_乗用_CNG,係数_乗用_軽油,係数_乗用_メタノール,係数_乗用_LPG),1,1,BE2045):INDEX((係数_乗用_ガソリン,係数_乗用_CNG,係数_乗用_軽油,係数_乗用_メタノール,係数_乗用_LPG),125,5,BE2045),3,FALSE))))))</f>
        <v/>
      </c>
      <c r="BC2045" s="467" t="str">
        <f t="shared" si="1204"/>
        <v/>
      </c>
      <c r="BD2045" s="567" t="str">
        <f t="shared" si="1205"/>
        <v/>
      </c>
      <c r="BE2045" s="467" t="str">
        <f t="shared" si="1206"/>
        <v/>
      </c>
      <c r="BF2045" s="469" t="str">
        <f t="shared" ca="1" si="1207"/>
        <v/>
      </c>
      <c r="BG2045" s="469" t="str">
        <f t="shared" ca="1" si="1208"/>
        <v/>
      </c>
      <c r="BH2045" s="467" t="str">
        <f t="shared" si="1209"/>
        <v/>
      </c>
      <c r="BI2045" s="467" t="str">
        <f t="shared" ca="1" si="1210"/>
        <v/>
      </c>
      <c r="BJ2045" s="469" t="str">
        <f t="shared" si="1211"/>
        <v/>
      </c>
      <c r="BK2045" s="470" t="str">
        <f t="shared" si="1195"/>
        <v/>
      </c>
      <c r="BL2045" s="775" t="str">
        <f t="shared" si="1212"/>
        <v/>
      </c>
      <c r="BM2045" s="775" t="str">
        <f t="shared" si="1213"/>
        <v/>
      </c>
    </row>
    <row r="2046" spans="1:65">
      <c r="A2046" s="473">
        <v>1990</v>
      </c>
      <c r="B2046" s="132"/>
      <c r="C2046" s="332"/>
      <c r="D2046" s="333"/>
      <c r="E2046" s="333"/>
      <c r="F2046" s="334"/>
      <c r="G2046" s="337"/>
      <c r="H2046" s="131"/>
      <c r="I2046" s="337"/>
      <c r="J2046" s="131"/>
      <c r="K2046" s="458" t="str">
        <f t="shared" si="1176"/>
        <v/>
      </c>
      <c r="L2046" s="458">
        <f t="shared" si="1177"/>
        <v>0</v>
      </c>
      <c r="M2046" s="458">
        <f t="shared" si="1178"/>
        <v>0</v>
      </c>
      <c r="N2046" s="459" t="str">
        <f t="shared" si="1189"/>
        <v/>
      </c>
      <c r="O2046" s="459" t="str">
        <f t="shared" si="1190"/>
        <v/>
      </c>
      <c r="P2046" s="459" t="str">
        <f t="shared" si="1191"/>
        <v/>
      </c>
      <c r="Q2046" s="459" t="str">
        <f t="shared" si="1192"/>
        <v/>
      </c>
      <c r="R2046" s="459" t="str">
        <f t="shared" si="1193"/>
        <v/>
      </c>
      <c r="S2046" s="459" t="str">
        <f t="shared" si="1194"/>
        <v/>
      </c>
      <c r="T2046" s="566" t="str">
        <f t="shared" si="1179"/>
        <v/>
      </c>
      <c r="U2046" s="702"/>
      <c r="V2046" s="132"/>
      <c r="W2046" s="133"/>
      <c r="X2046" s="134"/>
      <c r="Y2046" s="135"/>
      <c r="Z2046" s="137"/>
      <c r="AA2046" s="136"/>
      <c r="AB2046" s="566" t="str">
        <f t="shared" si="1180"/>
        <v/>
      </c>
      <c r="AC2046" s="568" t="str">
        <f t="shared" si="1181"/>
        <v/>
      </c>
      <c r="AD2046" s="137"/>
      <c r="AE2046" s="137"/>
      <c r="AF2046" s="138"/>
      <c r="AG2046" s="138"/>
      <c r="AH2046" s="592" t="str">
        <f t="shared" si="1182"/>
        <v/>
      </c>
      <c r="AI2046" s="592" t="str">
        <f t="shared" si="1183"/>
        <v/>
      </c>
      <c r="AJ2046" s="592" t="str">
        <f t="shared" si="1184"/>
        <v/>
      </c>
      <c r="AK2046" s="460" t="str">
        <f>IF(AU2046="","",IF(OR(AZ2046=8,AZ2046=9),0,IF(OR(AW2046=3,AW2046=4,AW2046=5,AW2046=6),IF(LEFT(BF2046,1)="1",INDEX(係数_NOX・PM低減,MATCH(AY2046,【参考】排出係数!$AI$801:$AI$804,1),1),VLOOKUP(AU2046,INDEX((係数_バス貨物_ガソリン,係数_バス貨物_CNG,係数_バス貨物_軽油,係数_バス貨物_メタノール,係数_バス貨物_LPG),MATCH(AY2046,【参考】排出係数!$AI$4:$AI$671,1),1,BE2046):INDEX((係数_バス貨物_ガソリン,係数_バス貨物_CNG,係数_バス貨物_軽油,係数_バス貨物_メタノール,係数_バス貨物_LPG),MATCH(AY2046+1,【参考】排出係数!$AI$4:$AI$671,1)-1,5,BE2046),4,FALSE)),IF(AND(BE2046=3,LEFT(BF2046,1)="1"),0.48,VLOOKUP(AU2046,INDEX((係数_乗用_ガソリン,係数_乗用_CNG,係数_乗用_軽油,係数_乗用_メタノール,係数_乗用_LPG),1,1,BE2046):INDEX((係数_乗用_ガソリン,係数_乗用_CNG,係数_乗用_軽油,係数_乗用_メタノール,係数_乗用_LPG),125,5,BE2046),4,FALSE)))))</f>
        <v/>
      </c>
      <c r="AL2046" s="461" t="str">
        <f t="shared" si="1185"/>
        <v/>
      </c>
      <c r="AM2046" s="460" t="str">
        <f>IF(AU2046="","",IF(OR(AZ2046=8,AZ2046=9),0,IF(OR(AW2046=3,AW2046=4,AW2046=5,AW2046=6),IF(LEFT(BH2046,1)="1",INDEX(係数_PM低減,MATCH(AY2046,【参考】排出係数!$AI$801:$AI$804,1),MATCH(BI2046,【参考】排出係数!$AL$798:$AO$798,1)),VLOOKUP(AU2046,INDEX((係数_バス貨物_ガソリン,係数_バス貨物_CNG,係数_バス貨物_軽油,係数_バス貨物_メタノール,係数_バス貨物_LPG),MATCH(AY2046,【参考】排出係数!$AI$4:$AI$671,1),1,BE2046):INDEX((係数_バス貨物_ガソリン,係数_バス貨物_CNG,係数_バス貨物_軽油,係数_バス貨物_メタノール,係数_バス貨物_LPG),MATCH(AY2046+1,【参考】排出係数!$AI$4:$AI$671,1)-1,5,BE2046),5,FALSE)),IF(AND(BE2046=3,LEFT(BF2046,1)="1"),0.055,VLOOKUP(AU2046,INDEX((係数_乗用_ガソリン,係数_乗用_CNG,係数_乗用_軽油,係数_乗用_メタノール,係数_乗用_LPG),1,1,BE2046):INDEX((係数_乗用_ガソリン,係数_乗用_CNG,係数_乗用_軽油,係数_乗用_メタノール,係数_乗用_LPG),125,5,BE2046),5,FALSE)))))</f>
        <v/>
      </c>
      <c r="AN2046" s="461" t="str">
        <f t="shared" si="1186"/>
        <v/>
      </c>
      <c r="AO2046" s="462" t="str">
        <f t="shared" si="1187"/>
        <v/>
      </c>
      <c r="AP2046" s="463" t="str">
        <f t="shared" si="1188"/>
        <v/>
      </c>
      <c r="AQ2046" s="464"/>
      <c r="AR2046" s="619"/>
      <c r="AS2046" s="465" t="str">
        <f t="shared" si="1196"/>
        <v/>
      </c>
      <c r="AT2046" s="465" t="str">
        <f t="shared" si="1197"/>
        <v/>
      </c>
      <c r="AU2046" s="466" t="str">
        <f t="shared" si="1198"/>
        <v/>
      </c>
      <c r="AV2046" s="467" t="str">
        <f t="shared" si="1199"/>
        <v/>
      </c>
      <c r="AW2046" s="467" t="str">
        <f t="shared" si="1200"/>
        <v/>
      </c>
      <c r="AX2046" s="467" t="str">
        <f t="shared" si="1201"/>
        <v/>
      </c>
      <c r="AY2046" s="467" t="str">
        <f t="shared" si="1202"/>
        <v/>
      </c>
      <c r="AZ2046" s="467" t="str">
        <f t="shared" si="1203"/>
        <v/>
      </c>
      <c r="BA2046" s="468" t="str">
        <f>IF(AS2046="","",IF(OR(AU2046="",AU2046="-"),"－",IF(OR(AZ2046=8,AZ2046=9),"",IF(OR(AW2046=3,AW2046=4,AW2046=5,AW2046=6),VLOOKUP(AU2046,INDEX((係数_バス貨物_ガソリン,係数_バス貨物_CNG,係数_バス貨物_軽油,係数_バス貨物_メタノール,係数_バス貨物_LPG),MATCH(AY2046,【参考】排出係数!$AI$4:$AI$671,1),1,BE2046):INDEX((係数_バス貨物_ガソリン,係数_バス貨物_CNG,係数_バス貨物_軽油,係数_バス貨物_メタノール,係数_バス貨物_LPG),MATCH(AY2046+1,【参考】排出係数!$AI$4:$AI$671,1)-1,5,BE2046),2,FALSE),IF(OR(AW2046=1,AW2046=2),VLOOKUP(AU2046,INDEX((係数_乗用_ガソリン,係数_乗用_CNG,係数_乗用_軽油,係数_乗用_メタノール,係数_乗用_LPG),1,1,BE2046):INDEX((係数_乗用_ガソリン,係数_乗用_CNG,係数_乗用_軽油,係数_乗用_メタノール,係数_乗用_LPG),125,5,BE2046),2,FALSE))))))</f>
        <v/>
      </c>
      <c r="BB2046" s="468" t="str">
        <f>IF(T2046="","",IF(OR(AU2046="",AU2046="-"),"－",IF(OR(AZ2046=8,AZ2046=9),"",IF(OR(AW2046=3,AW2046=4,AW2046=5,AW2046=6),VLOOKUP(AU2046,INDEX((係数_バス貨物_ガソリン,係数_バス貨物_CNG,係数_バス貨物_軽油,係数_バス貨物_メタノール,係数_バス貨物_LPG),MATCH(AY2046,【参考】排出係数!$AI$4:$AI$671,1),1,BE2046):INDEX((係数_バス貨物_ガソリン,係数_バス貨物_CNG,係数_バス貨物_軽油,係数_バス貨物_メタノール,係数_バス貨物_LPG),MATCH(AY2046+1,【参考】排出係数!$AI$4:$AI$671,1)-1,5,BE2046),3,FALSE),IF(OR(AW2046=1,AW2046=2),VLOOKUP(AU2046,INDEX((係数_乗用_ガソリン,係数_乗用_CNG,係数_乗用_軽油,係数_乗用_メタノール,係数_乗用_LPG),1,1,BE2046):INDEX((係数_乗用_ガソリン,係数_乗用_CNG,係数_乗用_軽油,係数_乗用_メタノール,係数_乗用_LPG),125,5,BE2046),3,FALSE))))))</f>
        <v/>
      </c>
      <c r="BC2046" s="467" t="str">
        <f t="shared" si="1204"/>
        <v/>
      </c>
      <c r="BD2046" s="567" t="str">
        <f t="shared" si="1205"/>
        <v/>
      </c>
      <c r="BE2046" s="467" t="str">
        <f t="shared" si="1206"/>
        <v/>
      </c>
      <c r="BF2046" s="469" t="str">
        <f t="shared" ca="1" si="1207"/>
        <v/>
      </c>
      <c r="BG2046" s="469" t="str">
        <f t="shared" ca="1" si="1208"/>
        <v/>
      </c>
      <c r="BH2046" s="467" t="str">
        <f t="shared" si="1209"/>
        <v/>
      </c>
      <c r="BI2046" s="467" t="str">
        <f t="shared" ca="1" si="1210"/>
        <v/>
      </c>
      <c r="BJ2046" s="469" t="str">
        <f t="shared" si="1211"/>
        <v/>
      </c>
      <c r="BK2046" s="470" t="str">
        <f t="shared" si="1195"/>
        <v/>
      </c>
      <c r="BL2046" s="775" t="str">
        <f t="shared" si="1212"/>
        <v/>
      </c>
      <c r="BM2046" s="775" t="str">
        <f t="shared" si="1213"/>
        <v/>
      </c>
    </row>
    <row r="2047" spans="1:65">
      <c r="A2047" s="473">
        <v>1991</v>
      </c>
      <c r="B2047" s="132"/>
      <c r="C2047" s="332"/>
      <c r="D2047" s="333"/>
      <c r="E2047" s="333"/>
      <c r="F2047" s="334"/>
      <c r="G2047" s="337"/>
      <c r="H2047" s="131"/>
      <c r="I2047" s="337"/>
      <c r="J2047" s="131"/>
      <c r="K2047" s="458" t="str">
        <f t="shared" si="1176"/>
        <v/>
      </c>
      <c r="L2047" s="458">
        <f t="shared" si="1177"/>
        <v>0</v>
      </c>
      <c r="M2047" s="458">
        <f t="shared" si="1178"/>
        <v>0</v>
      </c>
      <c r="N2047" s="459" t="str">
        <f t="shared" si="1189"/>
        <v/>
      </c>
      <c r="O2047" s="459" t="str">
        <f t="shared" si="1190"/>
        <v/>
      </c>
      <c r="P2047" s="459" t="str">
        <f t="shared" si="1191"/>
        <v/>
      </c>
      <c r="Q2047" s="459" t="str">
        <f t="shared" si="1192"/>
        <v/>
      </c>
      <c r="R2047" s="459" t="str">
        <f t="shared" si="1193"/>
        <v/>
      </c>
      <c r="S2047" s="459" t="str">
        <f t="shared" si="1194"/>
        <v/>
      </c>
      <c r="T2047" s="566" t="str">
        <f t="shared" si="1179"/>
        <v/>
      </c>
      <c r="U2047" s="702"/>
      <c r="V2047" s="132"/>
      <c r="W2047" s="133"/>
      <c r="X2047" s="134"/>
      <c r="Y2047" s="135"/>
      <c r="Z2047" s="137"/>
      <c r="AA2047" s="136"/>
      <c r="AB2047" s="566" t="str">
        <f t="shared" si="1180"/>
        <v/>
      </c>
      <c r="AC2047" s="568" t="str">
        <f t="shared" si="1181"/>
        <v/>
      </c>
      <c r="AD2047" s="137"/>
      <c r="AE2047" s="137"/>
      <c r="AF2047" s="138"/>
      <c r="AG2047" s="138"/>
      <c r="AH2047" s="592" t="str">
        <f t="shared" si="1182"/>
        <v/>
      </c>
      <c r="AI2047" s="592" t="str">
        <f t="shared" si="1183"/>
        <v/>
      </c>
      <c r="AJ2047" s="592" t="str">
        <f t="shared" si="1184"/>
        <v/>
      </c>
      <c r="AK2047" s="460" t="str">
        <f>IF(AU2047="","",IF(OR(AZ2047=8,AZ2047=9),0,IF(OR(AW2047=3,AW2047=4,AW2047=5,AW2047=6),IF(LEFT(BF2047,1)="1",INDEX(係数_NOX・PM低減,MATCH(AY2047,【参考】排出係数!$AI$801:$AI$804,1),1),VLOOKUP(AU2047,INDEX((係数_バス貨物_ガソリン,係数_バス貨物_CNG,係数_バス貨物_軽油,係数_バス貨物_メタノール,係数_バス貨物_LPG),MATCH(AY2047,【参考】排出係数!$AI$4:$AI$671,1),1,BE2047):INDEX((係数_バス貨物_ガソリン,係数_バス貨物_CNG,係数_バス貨物_軽油,係数_バス貨物_メタノール,係数_バス貨物_LPG),MATCH(AY2047+1,【参考】排出係数!$AI$4:$AI$671,1)-1,5,BE2047),4,FALSE)),IF(AND(BE2047=3,LEFT(BF2047,1)="1"),0.48,VLOOKUP(AU2047,INDEX((係数_乗用_ガソリン,係数_乗用_CNG,係数_乗用_軽油,係数_乗用_メタノール,係数_乗用_LPG),1,1,BE2047):INDEX((係数_乗用_ガソリン,係数_乗用_CNG,係数_乗用_軽油,係数_乗用_メタノール,係数_乗用_LPG),125,5,BE2047),4,FALSE)))))</f>
        <v/>
      </c>
      <c r="AL2047" s="461" t="str">
        <f t="shared" si="1185"/>
        <v/>
      </c>
      <c r="AM2047" s="460" t="str">
        <f>IF(AU2047="","",IF(OR(AZ2047=8,AZ2047=9),0,IF(OR(AW2047=3,AW2047=4,AW2047=5,AW2047=6),IF(LEFT(BH2047,1)="1",INDEX(係数_PM低減,MATCH(AY2047,【参考】排出係数!$AI$801:$AI$804,1),MATCH(BI2047,【参考】排出係数!$AL$798:$AO$798,1)),VLOOKUP(AU2047,INDEX((係数_バス貨物_ガソリン,係数_バス貨物_CNG,係数_バス貨物_軽油,係数_バス貨物_メタノール,係数_バス貨物_LPG),MATCH(AY2047,【参考】排出係数!$AI$4:$AI$671,1),1,BE2047):INDEX((係数_バス貨物_ガソリン,係数_バス貨物_CNG,係数_バス貨物_軽油,係数_バス貨物_メタノール,係数_バス貨物_LPG),MATCH(AY2047+1,【参考】排出係数!$AI$4:$AI$671,1)-1,5,BE2047),5,FALSE)),IF(AND(BE2047=3,LEFT(BF2047,1)="1"),0.055,VLOOKUP(AU2047,INDEX((係数_乗用_ガソリン,係数_乗用_CNG,係数_乗用_軽油,係数_乗用_メタノール,係数_乗用_LPG),1,1,BE2047):INDEX((係数_乗用_ガソリン,係数_乗用_CNG,係数_乗用_軽油,係数_乗用_メタノール,係数_乗用_LPG),125,5,BE2047),5,FALSE)))))</f>
        <v/>
      </c>
      <c r="AN2047" s="461" t="str">
        <f t="shared" si="1186"/>
        <v/>
      </c>
      <c r="AO2047" s="462" t="str">
        <f t="shared" si="1187"/>
        <v/>
      </c>
      <c r="AP2047" s="463" t="str">
        <f t="shared" si="1188"/>
        <v/>
      </c>
      <c r="AQ2047" s="464"/>
      <c r="AR2047" s="619"/>
      <c r="AS2047" s="465" t="str">
        <f t="shared" si="1196"/>
        <v/>
      </c>
      <c r="AT2047" s="465" t="str">
        <f t="shared" si="1197"/>
        <v/>
      </c>
      <c r="AU2047" s="466" t="str">
        <f t="shared" si="1198"/>
        <v/>
      </c>
      <c r="AV2047" s="467" t="str">
        <f t="shared" si="1199"/>
        <v/>
      </c>
      <c r="AW2047" s="467" t="str">
        <f t="shared" si="1200"/>
        <v/>
      </c>
      <c r="AX2047" s="467" t="str">
        <f t="shared" si="1201"/>
        <v/>
      </c>
      <c r="AY2047" s="467" t="str">
        <f t="shared" si="1202"/>
        <v/>
      </c>
      <c r="AZ2047" s="467" t="str">
        <f t="shared" si="1203"/>
        <v/>
      </c>
      <c r="BA2047" s="468" t="str">
        <f>IF(AS2047="","",IF(OR(AU2047="",AU2047="-"),"－",IF(OR(AZ2047=8,AZ2047=9),"",IF(OR(AW2047=3,AW2047=4,AW2047=5,AW2047=6),VLOOKUP(AU2047,INDEX((係数_バス貨物_ガソリン,係数_バス貨物_CNG,係数_バス貨物_軽油,係数_バス貨物_メタノール,係数_バス貨物_LPG),MATCH(AY2047,【参考】排出係数!$AI$4:$AI$671,1),1,BE2047):INDEX((係数_バス貨物_ガソリン,係数_バス貨物_CNG,係数_バス貨物_軽油,係数_バス貨物_メタノール,係数_バス貨物_LPG),MATCH(AY2047+1,【参考】排出係数!$AI$4:$AI$671,1)-1,5,BE2047),2,FALSE),IF(OR(AW2047=1,AW2047=2),VLOOKUP(AU2047,INDEX((係数_乗用_ガソリン,係数_乗用_CNG,係数_乗用_軽油,係数_乗用_メタノール,係数_乗用_LPG),1,1,BE2047):INDEX((係数_乗用_ガソリン,係数_乗用_CNG,係数_乗用_軽油,係数_乗用_メタノール,係数_乗用_LPG),125,5,BE2047),2,FALSE))))))</f>
        <v/>
      </c>
      <c r="BB2047" s="468" t="str">
        <f>IF(T2047="","",IF(OR(AU2047="",AU2047="-"),"－",IF(OR(AZ2047=8,AZ2047=9),"",IF(OR(AW2047=3,AW2047=4,AW2047=5,AW2047=6),VLOOKUP(AU2047,INDEX((係数_バス貨物_ガソリン,係数_バス貨物_CNG,係数_バス貨物_軽油,係数_バス貨物_メタノール,係数_バス貨物_LPG),MATCH(AY2047,【参考】排出係数!$AI$4:$AI$671,1),1,BE2047):INDEX((係数_バス貨物_ガソリン,係数_バス貨物_CNG,係数_バス貨物_軽油,係数_バス貨物_メタノール,係数_バス貨物_LPG),MATCH(AY2047+1,【参考】排出係数!$AI$4:$AI$671,1)-1,5,BE2047),3,FALSE),IF(OR(AW2047=1,AW2047=2),VLOOKUP(AU2047,INDEX((係数_乗用_ガソリン,係数_乗用_CNG,係数_乗用_軽油,係数_乗用_メタノール,係数_乗用_LPG),1,1,BE2047):INDEX((係数_乗用_ガソリン,係数_乗用_CNG,係数_乗用_軽油,係数_乗用_メタノール,係数_乗用_LPG),125,5,BE2047),3,FALSE))))))</f>
        <v/>
      </c>
      <c r="BC2047" s="467" t="str">
        <f t="shared" si="1204"/>
        <v/>
      </c>
      <c r="BD2047" s="567" t="str">
        <f t="shared" si="1205"/>
        <v/>
      </c>
      <c r="BE2047" s="467" t="str">
        <f t="shared" si="1206"/>
        <v/>
      </c>
      <c r="BF2047" s="469" t="str">
        <f t="shared" ca="1" si="1207"/>
        <v/>
      </c>
      <c r="BG2047" s="469" t="str">
        <f t="shared" ca="1" si="1208"/>
        <v/>
      </c>
      <c r="BH2047" s="467" t="str">
        <f t="shared" si="1209"/>
        <v/>
      </c>
      <c r="BI2047" s="467" t="str">
        <f t="shared" ca="1" si="1210"/>
        <v/>
      </c>
      <c r="BJ2047" s="469" t="str">
        <f t="shared" si="1211"/>
        <v/>
      </c>
      <c r="BK2047" s="470" t="str">
        <f t="shared" si="1195"/>
        <v/>
      </c>
      <c r="BL2047" s="775" t="str">
        <f t="shared" si="1212"/>
        <v/>
      </c>
      <c r="BM2047" s="775" t="str">
        <f t="shared" si="1213"/>
        <v/>
      </c>
    </row>
    <row r="2048" spans="1:65">
      <c r="A2048" s="473">
        <v>1992</v>
      </c>
      <c r="B2048" s="132"/>
      <c r="C2048" s="332"/>
      <c r="D2048" s="333"/>
      <c r="E2048" s="333"/>
      <c r="F2048" s="334"/>
      <c r="G2048" s="337"/>
      <c r="H2048" s="131"/>
      <c r="I2048" s="337"/>
      <c r="J2048" s="131"/>
      <c r="K2048" s="458" t="str">
        <f t="shared" si="1176"/>
        <v/>
      </c>
      <c r="L2048" s="458">
        <f t="shared" si="1177"/>
        <v>0</v>
      </c>
      <c r="M2048" s="458">
        <f t="shared" si="1178"/>
        <v>0</v>
      </c>
      <c r="N2048" s="459" t="str">
        <f t="shared" si="1189"/>
        <v/>
      </c>
      <c r="O2048" s="459" t="str">
        <f t="shared" si="1190"/>
        <v/>
      </c>
      <c r="P2048" s="459" t="str">
        <f t="shared" si="1191"/>
        <v/>
      </c>
      <c r="Q2048" s="459" t="str">
        <f t="shared" si="1192"/>
        <v/>
      </c>
      <c r="R2048" s="459" t="str">
        <f t="shared" si="1193"/>
        <v/>
      </c>
      <c r="S2048" s="459" t="str">
        <f t="shared" si="1194"/>
        <v/>
      </c>
      <c r="T2048" s="566" t="str">
        <f t="shared" si="1179"/>
        <v/>
      </c>
      <c r="U2048" s="702"/>
      <c r="V2048" s="132"/>
      <c r="W2048" s="133"/>
      <c r="X2048" s="134"/>
      <c r="Y2048" s="135"/>
      <c r="Z2048" s="137"/>
      <c r="AA2048" s="136"/>
      <c r="AB2048" s="566" t="str">
        <f t="shared" si="1180"/>
        <v/>
      </c>
      <c r="AC2048" s="568" t="str">
        <f t="shared" si="1181"/>
        <v/>
      </c>
      <c r="AD2048" s="137"/>
      <c r="AE2048" s="137"/>
      <c r="AF2048" s="138"/>
      <c r="AG2048" s="138"/>
      <c r="AH2048" s="592" t="str">
        <f t="shared" si="1182"/>
        <v/>
      </c>
      <c r="AI2048" s="592" t="str">
        <f t="shared" si="1183"/>
        <v/>
      </c>
      <c r="AJ2048" s="592" t="str">
        <f t="shared" si="1184"/>
        <v/>
      </c>
      <c r="AK2048" s="460" t="str">
        <f>IF(AU2048="","",IF(OR(AZ2048=8,AZ2048=9),0,IF(OR(AW2048=3,AW2048=4,AW2048=5,AW2048=6),IF(LEFT(BF2048,1)="1",INDEX(係数_NOX・PM低減,MATCH(AY2048,【参考】排出係数!$AI$801:$AI$804,1),1),VLOOKUP(AU2048,INDEX((係数_バス貨物_ガソリン,係数_バス貨物_CNG,係数_バス貨物_軽油,係数_バス貨物_メタノール,係数_バス貨物_LPG),MATCH(AY2048,【参考】排出係数!$AI$4:$AI$671,1),1,BE2048):INDEX((係数_バス貨物_ガソリン,係数_バス貨物_CNG,係数_バス貨物_軽油,係数_バス貨物_メタノール,係数_バス貨物_LPG),MATCH(AY2048+1,【参考】排出係数!$AI$4:$AI$671,1)-1,5,BE2048),4,FALSE)),IF(AND(BE2048=3,LEFT(BF2048,1)="1"),0.48,VLOOKUP(AU2048,INDEX((係数_乗用_ガソリン,係数_乗用_CNG,係数_乗用_軽油,係数_乗用_メタノール,係数_乗用_LPG),1,1,BE2048):INDEX((係数_乗用_ガソリン,係数_乗用_CNG,係数_乗用_軽油,係数_乗用_メタノール,係数_乗用_LPG),125,5,BE2048),4,FALSE)))))</f>
        <v/>
      </c>
      <c r="AL2048" s="461" t="str">
        <f t="shared" si="1185"/>
        <v/>
      </c>
      <c r="AM2048" s="460" t="str">
        <f>IF(AU2048="","",IF(OR(AZ2048=8,AZ2048=9),0,IF(OR(AW2048=3,AW2048=4,AW2048=5,AW2048=6),IF(LEFT(BH2048,1)="1",INDEX(係数_PM低減,MATCH(AY2048,【参考】排出係数!$AI$801:$AI$804,1),MATCH(BI2048,【参考】排出係数!$AL$798:$AO$798,1)),VLOOKUP(AU2048,INDEX((係数_バス貨物_ガソリン,係数_バス貨物_CNG,係数_バス貨物_軽油,係数_バス貨物_メタノール,係数_バス貨物_LPG),MATCH(AY2048,【参考】排出係数!$AI$4:$AI$671,1),1,BE2048):INDEX((係数_バス貨物_ガソリン,係数_バス貨物_CNG,係数_バス貨物_軽油,係数_バス貨物_メタノール,係数_バス貨物_LPG),MATCH(AY2048+1,【参考】排出係数!$AI$4:$AI$671,1)-1,5,BE2048),5,FALSE)),IF(AND(BE2048=3,LEFT(BF2048,1)="1"),0.055,VLOOKUP(AU2048,INDEX((係数_乗用_ガソリン,係数_乗用_CNG,係数_乗用_軽油,係数_乗用_メタノール,係数_乗用_LPG),1,1,BE2048):INDEX((係数_乗用_ガソリン,係数_乗用_CNG,係数_乗用_軽油,係数_乗用_メタノール,係数_乗用_LPG),125,5,BE2048),5,FALSE)))))</f>
        <v/>
      </c>
      <c r="AN2048" s="461" t="str">
        <f t="shared" si="1186"/>
        <v/>
      </c>
      <c r="AO2048" s="462" t="str">
        <f t="shared" si="1187"/>
        <v/>
      </c>
      <c r="AP2048" s="463" t="str">
        <f t="shared" si="1188"/>
        <v/>
      </c>
      <c r="AQ2048" s="464"/>
      <c r="AR2048" s="619"/>
      <c r="AS2048" s="465" t="str">
        <f t="shared" si="1196"/>
        <v/>
      </c>
      <c r="AT2048" s="465" t="str">
        <f t="shared" si="1197"/>
        <v/>
      </c>
      <c r="AU2048" s="466" t="str">
        <f t="shared" si="1198"/>
        <v/>
      </c>
      <c r="AV2048" s="467" t="str">
        <f t="shared" si="1199"/>
        <v/>
      </c>
      <c r="AW2048" s="467" t="str">
        <f t="shared" si="1200"/>
        <v/>
      </c>
      <c r="AX2048" s="467" t="str">
        <f t="shared" si="1201"/>
        <v/>
      </c>
      <c r="AY2048" s="467" t="str">
        <f t="shared" si="1202"/>
        <v/>
      </c>
      <c r="AZ2048" s="467" t="str">
        <f t="shared" si="1203"/>
        <v/>
      </c>
      <c r="BA2048" s="468" t="str">
        <f>IF(AS2048="","",IF(OR(AU2048="",AU2048="-"),"－",IF(OR(AZ2048=8,AZ2048=9),"",IF(OR(AW2048=3,AW2048=4,AW2048=5,AW2048=6),VLOOKUP(AU2048,INDEX((係数_バス貨物_ガソリン,係数_バス貨物_CNG,係数_バス貨物_軽油,係数_バス貨物_メタノール,係数_バス貨物_LPG),MATCH(AY2048,【参考】排出係数!$AI$4:$AI$671,1),1,BE2048):INDEX((係数_バス貨物_ガソリン,係数_バス貨物_CNG,係数_バス貨物_軽油,係数_バス貨物_メタノール,係数_バス貨物_LPG),MATCH(AY2048+1,【参考】排出係数!$AI$4:$AI$671,1)-1,5,BE2048),2,FALSE),IF(OR(AW2048=1,AW2048=2),VLOOKUP(AU2048,INDEX((係数_乗用_ガソリン,係数_乗用_CNG,係数_乗用_軽油,係数_乗用_メタノール,係数_乗用_LPG),1,1,BE2048):INDEX((係数_乗用_ガソリン,係数_乗用_CNG,係数_乗用_軽油,係数_乗用_メタノール,係数_乗用_LPG),125,5,BE2048),2,FALSE))))))</f>
        <v/>
      </c>
      <c r="BB2048" s="468" t="str">
        <f>IF(T2048="","",IF(OR(AU2048="",AU2048="-"),"－",IF(OR(AZ2048=8,AZ2048=9),"",IF(OR(AW2048=3,AW2048=4,AW2048=5,AW2048=6),VLOOKUP(AU2048,INDEX((係数_バス貨物_ガソリン,係数_バス貨物_CNG,係数_バス貨物_軽油,係数_バス貨物_メタノール,係数_バス貨物_LPG),MATCH(AY2048,【参考】排出係数!$AI$4:$AI$671,1),1,BE2048):INDEX((係数_バス貨物_ガソリン,係数_バス貨物_CNG,係数_バス貨物_軽油,係数_バス貨物_メタノール,係数_バス貨物_LPG),MATCH(AY2048+1,【参考】排出係数!$AI$4:$AI$671,1)-1,5,BE2048),3,FALSE),IF(OR(AW2048=1,AW2048=2),VLOOKUP(AU2048,INDEX((係数_乗用_ガソリン,係数_乗用_CNG,係数_乗用_軽油,係数_乗用_メタノール,係数_乗用_LPG),1,1,BE2048):INDEX((係数_乗用_ガソリン,係数_乗用_CNG,係数_乗用_軽油,係数_乗用_メタノール,係数_乗用_LPG),125,5,BE2048),3,FALSE))))))</f>
        <v/>
      </c>
      <c r="BC2048" s="467" t="str">
        <f t="shared" si="1204"/>
        <v/>
      </c>
      <c r="BD2048" s="567" t="str">
        <f t="shared" si="1205"/>
        <v/>
      </c>
      <c r="BE2048" s="467" t="str">
        <f t="shared" si="1206"/>
        <v/>
      </c>
      <c r="BF2048" s="469" t="str">
        <f t="shared" ca="1" si="1207"/>
        <v/>
      </c>
      <c r="BG2048" s="469" t="str">
        <f t="shared" ca="1" si="1208"/>
        <v/>
      </c>
      <c r="BH2048" s="467" t="str">
        <f t="shared" si="1209"/>
        <v/>
      </c>
      <c r="BI2048" s="467" t="str">
        <f t="shared" ca="1" si="1210"/>
        <v/>
      </c>
      <c r="BJ2048" s="469" t="str">
        <f t="shared" si="1211"/>
        <v/>
      </c>
      <c r="BK2048" s="470" t="str">
        <f t="shared" si="1195"/>
        <v/>
      </c>
      <c r="BL2048" s="775" t="str">
        <f t="shared" si="1212"/>
        <v/>
      </c>
      <c r="BM2048" s="775" t="str">
        <f t="shared" si="1213"/>
        <v/>
      </c>
    </row>
    <row r="2049" spans="1:65">
      <c r="A2049" s="473">
        <v>1993</v>
      </c>
      <c r="B2049" s="132"/>
      <c r="C2049" s="332"/>
      <c r="D2049" s="333"/>
      <c r="E2049" s="333"/>
      <c r="F2049" s="334"/>
      <c r="G2049" s="337"/>
      <c r="H2049" s="131"/>
      <c r="I2049" s="337"/>
      <c r="J2049" s="131"/>
      <c r="K2049" s="458" t="str">
        <f t="shared" si="1176"/>
        <v/>
      </c>
      <c r="L2049" s="458">
        <f t="shared" si="1177"/>
        <v>0</v>
      </c>
      <c r="M2049" s="458">
        <f t="shared" si="1178"/>
        <v>0</v>
      </c>
      <c r="N2049" s="459" t="str">
        <f t="shared" si="1189"/>
        <v/>
      </c>
      <c r="O2049" s="459" t="str">
        <f t="shared" si="1190"/>
        <v/>
      </c>
      <c r="P2049" s="459" t="str">
        <f t="shared" si="1191"/>
        <v/>
      </c>
      <c r="Q2049" s="459" t="str">
        <f t="shared" si="1192"/>
        <v/>
      </c>
      <c r="R2049" s="459" t="str">
        <f t="shared" si="1193"/>
        <v/>
      </c>
      <c r="S2049" s="459" t="str">
        <f t="shared" si="1194"/>
        <v/>
      </c>
      <c r="T2049" s="566" t="str">
        <f t="shared" si="1179"/>
        <v/>
      </c>
      <c r="U2049" s="702"/>
      <c r="V2049" s="132"/>
      <c r="W2049" s="133"/>
      <c r="X2049" s="134"/>
      <c r="Y2049" s="135"/>
      <c r="Z2049" s="137"/>
      <c r="AA2049" s="136"/>
      <c r="AB2049" s="566" t="str">
        <f t="shared" si="1180"/>
        <v/>
      </c>
      <c r="AC2049" s="568" t="str">
        <f t="shared" si="1181"/>
        <v/>
      </c>
      <c r="AD2049" s="137"/>
      <c r="AE2049" s="137"/>
      <c r="AF2049" s="138"/>
      <c r="AG2049" s="138"/>
      <c r="AH2049" s="592" t="str">
        <f t="shared" si="1182"/>
        <v/>
      </c>
      <c r="AI2049" s="592" t="str">
        <f t="shared" si="1183"/>
        <v/>
      </c>
      <c r="AJ2049" s="592" t="str">
        <f t="shared" si="1184"/>
        <v/>
      </c>
      <c r="AK2049" s="460" t="str">
        <f>IF(AU2049="","",IF(OR(AZ2049=8,AZ2049=9),0,IF(OR(AW2049=3,AW2049=4,AW2049=5,AW2049=6),IF(LEFT(BF2049,1)="1",INDEX(係数_NOX・PM低減,MATCH(AY2049,【参考】排出係数!$AI$801:$AI$804,1),1),VLOOKUP(AU2049,INDEX((係数_バス貨物_ガソリン,係数_バス貨物_CNG,係数_バス貨物_軽油,係数_バス貨物_メタノール,係数_バス貨物_LPG),MATCH(AY2049,【参考】排出係数!$AI$4:$AI$671,1),1,BE2049):INDEX((係数_バス貨物_ガソリン,係数_バス貨物_CNG,係数_バス貨物_軽油,係数_バス貨物_メタノール,係数_バス貨物_LPG),MATCH(AY2049+1,【参考】排出係数!$AI$4:$AI$671,1)-1,5,BE2049),4,FALSE)),IF(AND(BE2049=3,LEFT(BF2049,1)="1"),0.48,VLOOKUP(AU2049,INDEX((係数_乗用_ガソリン,係数_乗用_CNG,係数_乗用_軽油,係数_乗用_メタノール,係数_乗用_LPG),1,1,BE2049):INDEX((係数_乗用_ガソリン,係数_乗用_CNG,係数_乗用_軽油,係数_乗用_メタノール,係数_乗用_LPG),125,5,BE2049),4,FALSE)))))</f>
        <v/>
      </c>
      <c r="AL2049" s="461" t="str">
        <f t="shared" si="1185"/>
        <v/>
      </c>
      <c r="AM2049" s="460" t="str">
        <f>IF(AU2049="","",IF(OR(AZ2049=8,AZ2049=9),0,IF(OR(AW2049=3,AW2049=4,AW2049=5,AW2049=6),IF(LEFT(BH2049,1)="1",INDEX(係数_PM低減,MATCH(AY2049,【参考】排出係数!$AI$801:$AI$804,1),MATCH(BI2049,【参考】排出係数!$AL$798:$AO$798,1)),VLOOKUP(AU2049,INDEX((係数_バス貨物_ガソリン,係数_バス貨物_CNG,係数_バス貨物_軽油,係数_バス貨物_メタノール,係数_バス貨物_LPG),MATCH(AY2049,【参考】排出係数!$AI$4:$AI$671,1),1,BE2049):INDEX((係数_バス貨物_ガソリン,係数_バス貨物_CNG,係数_バス貨物_軽油,係数_バス貨物_メタノール,係数_バス貨物_LPG),MATCH(AY2049+1,【参考】排出係数!$AI$4:$AI$671,1)-1,5,BE2049),5,FALSE)),IF(AND(BE2049=3,LEFT(BF2049,1)="1"),0.055,VLOOKUP(AU2049,INDEX((係数_乗用_ガソリン,係数_乗用_CNG,係数_乗用_軽油,係数_乗用_メタノール,係数_乗用_LPG),1,1,BE2049):INDEX((係数_乗用_ガソリン,係数_乗用_CNG,係数_乗用_軽油,係数_乗用_メタノール,係数_乗用_LPG),125,5,BE2049),5,FALSE)))))</f>
        <v/>
      </c>
      <c r="AN2049" s="461" t="str">
        <f t="shared" si="1186"/>
        <v/>
      </c>
      <c r="AO2049" s="462" t="str">
        <f t="shared" si="1187"/>
        <v/>
      </c>
      <c r="AP2049" s="463" t="str">
        <f t="shared" si="1188"/>
        <v/>
      </c>
      <c r="AQ2049" s="464"/>
      <c r="AR2049" s="619"/>
      <c r="AS2049" s="465" t="str">
        <f t="shared" si="1196"/>
        <v/>
      </c>
      <c r="AT2049" s="465" t="str">
        <f t="shared" si="1197"/>
        <v/>
      </c>
      <c r="AU2049" s="466" t="str">
        <f t="shared" si="1198"/>
        <v/>
      </c>
      <c r="AV2049" s="467" t="str">
        <f t="shared" si="1199"/>
        <v/>
      </c>
      <c r="AW2049" s="467" t="str">
        <f t="shared" si="1200"/>
        <v/>
      </c>
      <c r="AX2049" s="467" t="str">
        <f t="shared" si="1201"/>
        <v/>
      </c>
      <c r="AY2049" s="467" t="str">
        <f t="shared" si="1202"/>
        <v/>
      </c>
      <c r="AZ2049" s="467" t="str">
        <f t="shared" si="1203"/>
        <v/>
      </c>
      <c r="BA2049" s="468" t="str">
        <f>IF(AS2049="","",IF(OR(AU2049="",AU2049="-"),"－",IF(OR(AZ2049=8,AZ2049=9),"",IF(OR(AW2049=3,AW2049=4,AW2049=5,AW2049=6),VLOOKUP(AU2049,INDEX((係数_バス貨物_ガソリン,係数_バス貨物_CNG,係数_バス貨物_軽油,係数_バス貨物_メタノール,係数_バス貨物_LPG),MATCH(AY2049,【参考】排出係数!$AI$4:$AI$671,1),1,BE2049):INDEX((係数_バス貨物_ガソリン,係数_バス貨物_CNG,係数_バス貨物_軽油,係数_バス貨物_メタノール,係数_バス貨物_LPG),MATCH(AY2049+1,【参考】排出係数!$AI$4:$AI$671,1)-1,5,BE2049),2,FALSE),IF(OR(AW2049=1,AW2049=2),VLOOKUP(AU2049,INDEX((係数_乗用_ガソリン,係数_乗用_CNG,係数_乗用_軽油,係数_乗用_メタノール,係数_乗用_LPG),1,1,BE2049):INDEX((係数_乗用_ガソリン,係数_乗用_CNG,係数_乗用_軽油,係数_乗用_メタノール,係数_乗用_LPG),125,5,BE2049),2,FALSE))))))</f>
        <v/>
      </c>
      <c r="BB2049" s="468" t="str">
        <f>IF(T2049="","",IF(OR(AU2049="",AU2049="-"),"－",IF(OR(AZ2049=8,AZ2049=9),"",IF(OR(AW2049=3,AW2049=4,AW2049=5,AW2049=6),VLOOKUP(AU2049,INDEX((係数_バス貨物_ガソリン,係数_バス貨物_CNG,係数_バス貨物_軽油,係数_バス貨物_メタノール,係数_バス貨物_LPG),MATCH(AY2049,【参考】排出係数!$AI$4:$AI$671,1),1,BE2049):INDEX((係数_バス貨物_ガソリン,係数_バス貨物_CNG,係数_バス貨物_軽油,係数_バス貨物_メタノール,係数_バス貨物_LPG),MATCH(AY2049+1,【参考】排出係数!$AI$4:$AI$671,1)-1,5,BE2049),3,FALSE),IF(OR(AW2049=1,AW2049=2),VLOOKUP(AU2049,INDEX((係数_乗用_ガソリン,係数_乗用_CNG,係数_乗用_軽油,係数_乗用_メタノール,係数_乗用_LPG),1,1,BE2049):INDEX((係数_乗用_ガソリン,係数_乗用_CNG,係数_乗用_軽油,係数_乗用_メタノール,係数_乗用_LPG),125,5,BE2049),3,FALSE))))))</f>
        <v/>
      </c>
      <c r="BC2049" s="467" t="str">
        <f t="shared" si="1204"/>
        <v/>
      </c>
      <c r="BD2049" s="567" t="str">
        <f t="shared" si="1205"/>
        <v/>
      </c>
      <c r="BE2049" s="467" t="str">
        <f t="shared" si="1206"/>
        <v/>
      </c>
      <c r="BF2049" s="469" t="str">
        <f t="shared" ca="1" si="1207"/>
        <v/>
      </c>
      <c r="BG2049" s="469" t="str">
        <f t="shared" ca="1" si="1208"/>
        <v/>
      </c>
      <c r="BH2049" s="467" t="str">
        <f t="shared" si="1209"/>
        <v/>
      </c>
      <c r="BI2049" s="467" t="str">
        <f t="shared" ca="1" si="1210"/>
        <v/>
      </c>
      <c r="BJ2049" s="469" t="str">
        <f t="shared" si="1211"/>
        <v/>
      </c>
      <c r="BK2049" s="470" t="str">
        <f t="shared" si="1195"/>
        <v/>
      </c>
      <c r="BL2049" s="775" t="str">
        <f t="shared" si="1212"/>
        <v/>
      </c>
      <c r="BM2049" s="775" t="str">
        <f t="shared" si="1213"/>
        <v/>
      </c>
    </row>
    <row r="2050" spans="1:65">
      <c r="A2050" s="473">
        <v>1994</v>
      </c>
      <c r="B2050" s="132"/>
      <c r="C2050" s="332"/>
      <c r="D2050" s="333"/>
      <c r="E2050" s="333"/>
      <c r="F2050" s="334"/>
      <c r="G2050" s="337"/>
      <c r="H2050" s="131"/>
      <c r="I2050" s="337"/>
      <c r="J2050" s="131"/>
      <c r="K2050" s="458" t="str">
        <f t="shared" si="1176"/>
        <v/>
      </c>
      <c r="L2050" s="458">
        <f t="shared" si="1177"/>
        <v>0</v>
      </c>
      <c r="M2050" s="458">
        <f t="shared" si="1178"/>
        <v>0</v>
      </c>
      <c r="N2050" s="459" t="str">
        <f t="shared" si="1189"/>
        <v/>
      </c>
      <c r="O2050" s="459" t="str">
        <f t="shared" si="1190"/>
        <v/>
      </c>
      <c r="P2050" s="459" t="str">
        <f t="shared" si="1191"/>
        <v/>
      </c>
      <c r="Q2050" s="459" t="str">
        <f t="shared" si="1192"/>
        <v/>
      </c>
      <c r="R2050" s="459" t="str">
        <f t="shared" si="1193"/>
        <v/>
      </c>
      <c r="S2050" s="459" t="str">
        <f t="shared" si="1194"/>
        <v/>
      </c>
      <c r="T2050" s="566" t="str">
        <f t="shared" si="1179"/>
        <v/>
      </c>
      <c r="U2050" s="702"/>
      <c r="V2050" s="132"/>
      <c r="W2050" s="133"/>
      <c r="X2050" s="134"/>
      <c r="Y2050" s="135"/>
      <c r="Z2050" s="137"/>
      <c r="AA2050" s="136"/>
      <c r="AB2050" s="566" t="str">
        <f t="shared" si="1180"/>
        <v/>
      </c>
      <c r="AC2050" s="568" t="str">
        <f t="shared" si="1181"/>
        <v/>
      </c>
      <c r="AD2050" s="137"/>
      <c r="AE2050" s="137"/>
      <c r="AF2050" s="138"/>
      <c r="AG2050" s="138"/>
      <c r="AH2050" s="592" t="str">
        <f t="shared" si="1182"/>
        <v/>
      </c>
      <c r="AI2050" s="592" t="str">
        <f t="shared" si="1183"/>
        <v/>
      </c>
      <c r="AJ2050" s="592" t="str">
        <f t="shared" si="1184"/>
        <v/>
      </c>
      <c r="AK2050" s="460" t="str">
        <f>IF(AU2050="","",IF(OR(AZ2050=8,AZ2050=9),0,IF(OR(AW2050=3,AW2050=4,AW2050=5,AW2050=6),IF(LEFT(BF2050,1)="1",INDEX(係数_NOX・PM低減,MATCH(AY2050,【参考】排出係数!$AI$801:$AI$804,1),1),VLOOKUP(AU2050,INDEX((係数_バス貨物_ガソリン,係数_バス貨物_CNG,係数_バス貨物_軽油,係数_バス貨物_メタノール,係数_バス貨物_LPG),MATCH(AY2050,【参考】排出係数!$AI$4:$AI$671,1),1,BE2050):INDEX((係数_バス貨物_ガソリン,係数_バス貨物_CNG,係数_バス貨物_軽油,係数_バス貨物_メタノール,係数_バス貨物_LPG),MATCH(AY2050+1,【参考】排出係数!$AI$4:$AI$671,1)-1,5,BE2050),4,FALSE)),IF(AND(BE2050=3,LEFT(BF2050,1)="1"),0.48,VLOOKUP(AU2050,INDEX((係数_乗用_ガソリン,係数_乗用_CNG,係数_乗用_軽油,係数_乗用_メタノール,係数_乗用_LPG),1,1,BE2050):INDEX((係数_乗用_ガソリン,係数_乗用_CNG,係数_乗用_軽油,係数_乗用_メタノール,係数_乗用_LPG),125,5,BE2050),4,FALSE)))))</f>
        <v/>
      </c>
      <c r="AL2050" s="461" t="str">
        <f t="shared" si="1185"/>
        <v/>
      </c>
      <c r="AM2050" s="460" t="str">
        <f>IF(AU2050="","",IF(OR(AZ2050=8,AZ2050=9),0,IF(OR(AW2050=3,AW2050=4,AW2050=5,AW2050=6),IF(LEFT(BH2050,1)="1",INDEX(係数_PM低減,MATCH(AY2050,【参考】排出係数!$AI$801:$AI$804,1),MATCH(BI2050,【参考】排出係数!$AL$798:$AO$798,1)),VLOOKUP(AU2050,INDEX((係数_バス貨物_ガソリン,係数_バス貨物_CNG,係数_バス貨物_軽油,係数_バス貨物_メタノール,係数_バス貨物_LPG),MATCH(AY2050,【参考】排出係数!$AI$4:$AI$671,1),1,BE2050):INDEX((係数_バス貨物_ガソリン,係数_バス貨物_CNG,係数_バス貨物_軽油,係数_バス貨物_メタノール,係数_バス貨物_LPG),MATCH(AY2050+1,【参考】排出係数!$AI$4:$AI$671,1)-1,5,BE2050),5,FALSE)),IF(AND(BE2050=3,LEFT(BF2050,1)="1"),0.055,VLOOKUP(AU2050,INDEX((係数_乗用_ガソリン,係数_乗用_CNG,係数_乗用_軽油,係数_乗用_メタノール,係数_乗用_LPG),1,1,BE2050):INDEX((係数_乗用_ガソリン,係数_乗用_CNG,係数_乗用_軽油,係数_乗用_メタノール,係数_乗用_LPG),125,5,BE2050),5,FALSE)))))</f>
        <v/>
      </c>
      <c r="AN2050" s="461" t="str">
        <f t="shared" si="1186"/>
        <v/>
      </c>
      <c r="AO2050" s="462" t="str">
        <f t="shared" si="1187"/>
        <v/>
      </c>
      <c r="AP2050" s="463" t="str">
        <f t="shared" si="1188"/>
        <v/>
      </c>
      <c r="AQ2050" s="464"/>
      <c r="AR2050" s="619"/>
      <c r="AS2050" s="465" t="str">
        <f t="shared" si="1196"/>
        <v/>
      </c>
      <c r="AT2050" s="465" t="str">
        <f t="shared" si="1197"/>
        <v/>
      </c>
      <c r="AU2050" s="466" t="str">
        <f t="shared" si="1198"/>
        <v/>
      </c>
      <c r="AV2050" s="467" t="str">
        <f t="shared" si="1199"/>
        <v/>
      </c>
      <c r="AW2050" s="467" t="str">
        <f t="shared" si="1200"/>
        <v/>
      </c>
      <c r="AX2050" s="467" t="str">
        <f t="shared" si="1201"/>
        <v/>
      </c>
      <c r="AY2050" s="467" t="str">
        <f t="shared" si="1202"/>
        <v/>
      </c>
      <c r="AZ2050" s="467" t="str">
        <f t="shared" si="1203"/>
        <v/>
      </c>
      <c r="BA2050" s="468" t="str">
        <f>IF(AS2050="","",IF(OR(AU2050="",AU2050="-"),"－",IF(OR(AZ2050=8,AZ2050=9),"",IF(OR(AW2050=3,AW2050=4,AW2050=5,AW2050=6),VLOOKUP(AU2050,INDEX((係数_バス貨物_ガソリン,係数_バス貨物_CNG,係数_バス貨物_軽油,係数_バス貨物_メタノール,係数_バス貨物_LPG),MATCH(AY2050,【参考】排出係数!$AI$4:$AI$671,1),1,BE2050):INDEX((係数_バス貨物_ガソリン,係数_バス貨物_CNG,係数_バス貨物_軽油,係数_バス貨物_メタノール,係数_バス貨物_LPG),MATCH(AY2050+1,【参考】排出係数!$AI$4:$AI$671,1)-1,5,BE2050),2,FALSE),IF(OR(AW2050=1,AW2050=2),VLOOKUP(AU2050,INDEX((係数_乗用_ガソリン,係数_乗用_CNG,係数_乗用_軽油,係数_乗用_メタノール,係数_乗用_LPG),1,1,BE2050):INDEX((係数_乗用_ガソリン,係数_乗用_CNG,係数_乗用_軽油,係数_乗用_メタノール,係数_乗用_LPG),125,5,BE2050),2,FALSE))))))</f>
        <v/>
      </c>
      <c r="BB2050" s="468" t="str">
        <f>IF(T2050="","",IF(OR(AU2050="",AU2050="-"),"－",IF(OR(AZ2050=8,AZ2050=9),"",IF(OR(AW2050=3,AW2050=4,AW2050=5,AW2050=6),VLOOKUP(AU2050,INDEX((係数_バス貨物_ガソリン,係数_バス貨物_CNG,係数_バス貨物_軽油,係数_バス貨物_メタノール,係数_バス貨物_LPG),MATCH(AY2050,【参考】排出係数!$AI$4:$AI$671,1),1,BE2050):INDEX((係数_バス貨物_ガソリン,係数_バス貨物_CNG,係数_バス貨物_軽油,係数_バス貨物_メタノール,係数_バス貨物_LPG),MATCH(AY2050+1,【参考】排出係数!$AI$4:$AI$671,1)-1,5,BE2050),3,FALSE),IF(OR(AW2050=1,AW2050=2),VLOOKUP(AU2050,INDEX((係数_乗用_ガソリン,係数_乗用_CNG,係数_乗用_軽油,係数_乗用_メタノール,係数_乗用_LPG),1,1,BE2050):INDEX((係数_乗用_ガソリン,係数_乗用_CNG,係数_乗用_軽油,係数_乗用_メタノール,係数_乗用_LPG),125,5,BE2050),3,FALSE))))))</f>
        <v/>
      </c>
      <c r="BC2050" s="467" t="str">
        <f t="shared" si="1204"/>
        <v/>
      </c>
      <c r="BD2050" s="567" t="str">
        <f t="shared" si="1205"/>
        <v/>
      </c>
      <c r="BE2050" s="467" t="str">
        <f t="shared" si="1206"/>
        <v/>
      </c>
      <c r="BF2050" s="469" t="str">
        <f t="shared" ca="1" si="1207"/>
        <v/>
      </c>
      <c r="BG2050" s="469" t="str">
        <f t="shared" ca="1" si="1208"/>
        <v/>
      </c>
      <c r="BH2050" s="467" t="str">
        <f t="shared" si="1209"/>
        <v/>
      </c>
      <c r="BI2050" s="467" t="str">
        <f t="shared" ca="1" si="1210"/>
        <v/>
      </c>
      <c r="BJ2050" s="469" t="str">
        <f t="shared" si="1211"/>
        <v/>
      </c>
      <c r="BK2050" s="470" t="str">
        <f t="shared" si="1195"/>
        <v/>
      </c>
      <c r="BL2050" s="775" t="str">
        <f t="shared" si="1212"/>
        <v/>
      </c>
      <c r="BM2050" s="775" t="str">
        <f t="shared" si="1213"/>
        <v/>
      </c>
    </row>
    <row r="2051" spans="1:65">
      <c r="A2051" s="473">
        <v>1995</v>
      </c>
      <c r="B2051" s="132"/>
      <c r="C2051" s="332"/>
      <c r="D2051" s="333"/>
      <c r="E2051" s="333"/>
      <c r="F2051" s="334"/>
      <c r="G2051" s="337"/>
      <c r="H2051" s="131"/>
      <c r="I2051" s="337"/>
      <c r="J2051" s="131"/>
      <c r="K2051" s="458" t="str">
        <f t="shared" si="1176"/>
        <v/>
      </c>
      <c r="L2051" s="458">
        <f t="shared" si="1177"/>
        <v>0</v>
      </c>
      <c r="M2051" s="458">
        <f t="shared" si="1178"/>
        <v>0</v>
      </c>
      <c r="N2051" s="459" t="str">
        <f t="shared" si="1189"/>
        <v/>
      </c>
      <c r="O2051" s="459" t="str">
        <f t="shared" si="1190"/>
        <v/>
      </c>
      <c r="P2051" s="459" t="str">
        <f t="shared" si="1191"/>
        <v/>
      </c>
      <c r="Q2051" s="459" t="str">
        <f t="shared" si="1192"/>
        <v/>
      </c>
      <c r="R2051" s="459" t="str">
        <f t="shared" si="1193"/>
        <v/>
      </c>
      <c r="S2051" s="459" t="str">
        <f t="shared" si="1194"/>
        <v/>
      </c>
      <c r="T2051" s="566" t="str">
        <f t="shared" si="1179"/>
        <v/>
      </c>
      <c r="U2051" s="702"/>
      <c r="V2051" s="132"/>
      <c r="W2051" s="133"/>
      <c r="X2051" s="134"/>
      <c r="Y2051" s="135"/>
      <c r="Z2051" s="137"/>
      <c r="AA2051" s="136"/>
      <c r="AB2051" s="566" t="str">
        <f t="shared" si="1180"/>
        <v/>
      </c>
      <c r="AC2051" s="568" t="str">
        <f t="shared" si="1181"/>
        <v/>
      </c>
      <c r="AD2051" s="137"/>
      <c r="AE2051" s="137"/>
      <c r="AF2051" s="138"/>
      <c r="AG2051" s="138"/>
      <c r="AH2051" s="592" t="str">
        <f t="shared" si="1182"/>
        <v/>
      </c>
      <c r="AI2051" s="592" t="str">
        <f t="shared" si="1183"/>
        <v/>
      </c>
      <c r="AJ2051" s="592" t="str">
        <f t="shared" si="1184"/>
        <v/>
      </c>
      <c r="AK2051" s="460" t="str">
        <f>IF(AU2051="","",IF(OR(AZ2051=8,AZ2051=9),0,IF(OR(AW2051=3,AW2051=4,AW2051=5,AW2051=6),IF(LEFT(BF2051,1)="1",INDEX(係数_NOX・PM低減,MATCH(AY2051,【参考】排出係数!$AI$801:$AI$804,1),1),VLOOKUP(AU2051,INDEX((係数_バス貨物_ガソリン,係数_バス貨物_CNG,係数_バス貨物_軽油,係数_バス貨物_メタノール,係数_バス貨物_LPG),MATCH(AY2051,【参考】排出係数!$AI$4:$AI$671,1),1,BE2051):INDEX((係数_バス貨物_ガソリン,係数_バス貨物_CNG,係数_バス貨物_軽油,係数_バス貨物_メタノール,係数_バス貨物_LPG),MATCH(AY2051+1,【参考】排出係数!$AI$4:$AI$671,1)-1,5,BE2051),4,FALSE)),IF(AND(BE2051=3,LEFT(BF2051,1)="1"),0.48,VLOOKUP(AU2051,INDEX((係数_乗用_ガソリン,係数_乗用_CNG,係数_乗用_軽油,係数_乗用_メタノール,係数_乗用_LPG),1,1,BE2051):INDEX((係数_乗用_ガソリン,係数_乗用_CNG,係数_乗用_軽油,係数_乗用_メタノール,係数_乗用_LPG),125,5,BE2051),4,FALSE)))))</f>
        <v/>
      </c>
      <c r="AL2051" s="461" t="str">
        <f t="shared" si="1185"/>
        <v/>
      </c>
      <c r="AM2051" s="460" t="str">
        <f>IF(AU2051="","",IF(OR(AZ2051=8,AZ2051=9),0,IF(OR(AW2051=3,AW2051=4,AW2051=5,AW2051=6),IF(LEFT(BH2051,1)="1",INDEX(係数_PM低減,MATCH(AY2051,【参考】排出係数!$AI$801:$AI$804,1),MATCH(BI2051,【参考】排出係数!$AL$798:$AO$798,1)),VLOOKUP(AU2051,INDEX((係数_バス貨物_ガソリン,係数_バス貨物_CNG,係数_バス貨物_軽油,係数_バス貨物_メタノール,係数_バス貨物_LPG),MATCH(AY2051,【参考】排出係数!$AI$4:$AI$671,1),1,BE2051):INDEX((係数_バス貨物_ガソリン,係数_バス貨物_CNG,係数_バス貨物_軽油,係数_バス貨物_メタノール,係数_バス貨物_LPG),MATCH(AY2051+1,【参考】排出係数!$AI$4:$AI$671,1)-1,5,BE2051),5,FALSE)),IF(AND(BE2051=3,LEFT(BF2051,1)="1"),0.055,VLOOKUP(AU2051,INDEX((係数_乗用_ガソリン,係数_乗用_CNG,係数_乗用_軽油,係数_乗用_メタノール,係数_乗用_LPG),1,1,BE2051):INDEX((係数_乗用_ガソリン,係数_乗用_CNG,係数_乗用_軽油,係数_乗用_メタノール,係数_乗用_LPG),125,5,BE2051),5,FALSE)))))</f>
        <v/>
      </c>
      <c r="AN2051" s="461" t="str">
        <f t="shared" si="1186"/>
        <v/>
      </c>
      <c r="AO2051" s="462" t="str">
        <f t="shared" si="1187"/>
        <v/>
      </c>
      <c r="AP2051" s="463" t="str">
        <f t="shared" si="1188"/>
        <v/>
      </c>
      <c r="AQ2051" s="464"/>
      <c r="AR2051" s="619"/>
      <c r="AS2051" s="465" t="str">
        <f t="shared" si="1196"/>
        <v/>
      </c>
      <c r="AT2051" s="465" t="str">
        <f t="shared" si="1197"/>
        <v/>
      </c>
      <c r="AU2051" s="466" t="str">
        <f t="shared" si="1198"/>
        <v/>
      </c>
      <c r="AV2051" s="467" t="str">
        <f t="shared" si="1199"/>
        <v/>
      </c>
      <c r="AW2051" s="467" t="str">
        <f t="shared" si="1200"/>
        <v/>
      </c>
      <c r="AX2051" s="467" t="str">
        <f t="shared" si="1201"/>
        <v/>
      </c>
      <c r="AY2051" s="467" t="str">
        <f t="shared" si="1202"/>
        <v/>
      </c>
      <c r="AZ2051" s="467" t="str">
        <f t="shared" si="1203"/>
        <v/>
      </c>
      <c r="BA2051" s="468" t="str">
        <f>IF(AS2051="","",IF(OR(AU2051="",AU2051="-"),"－",IF(OR(AZ2051=8,AZ2051=9),"",IF(OR(AW2051=3,AW2051=4,AW2051=5,AW2051=6),VLOOKUP(AU2051,INDEX((係数_バス貨物_ガソリン,係数_バス貨物_CNG,係数_バス貨物_軽油,係数_バス貨物_メタノール,係数_バス貨物_LPG),MATCH(AY2051,【参考】排出係数!$AI$4:$AI$671,1),1,BE2051):INDEX((係数_バス貨物_ガソリン,係数_バス貨物_CNG,係数_バス貨物_軽油,係数_バス貨物_メタノール,係数_バス貨物_LPG),MATCH(AY2051+1,【参考】排出係数!$AI$4:$AI$671,1)-1,5,BE2051),2,FALSE),IF(OR(AW2051=1,AW2051=2),VLOOKUP(AU2051,INDEX((係数_乗用_ガソリン,係数_乗用_CNG,係数_乗用_軽油,係数_乗用_メタノール,係数_乗用_LPG),1,1,BE2051):INDEX((係数_乗用_ガソリン,係数_乗用_CNG,係数_乗用_軽油,係数_乗用_メタノール,係数_乗用_LPG),125,5,BE2051),2,FALSE))))))</f>
        <v/>
      </c>
      <c r="BB2051" s="468" t="str">
        <f>IF(T2051="","",IF(OR(AU2051="",AU2051="-"),"－",IF(OR(AZ2051=8,AZ2051=9),"",IF(OR(AW2051=3,AW2051=4,AW2051=5,AW2051=6),VLOOKUP(AU2051,INDEX((係数_バス貨物_ガソリン,係数_バス貨物_CNG,係数_バス貨物_軽油,係数_バス貨物_メタノール,係数_バス貨物_LPG),MATCH(AY2051,【参考】排出係数!$AI$4:$AI$671,1),1,BE2051):INDEX((係数_バス貨物_ガソリン,係数_バス貨物_CNG,係数_バス貨物_軽油,係数_バス貨物_メタノール,係数_バス貨物_LPG),MATCH(AY2051+1,【参考】排出係数!$AI$4:$AI$671,1)-1,5,BE2051),3,FALSE),IF(OR(AW2051=1,AW2051=2),VLOOKUP(AU2051,INDEX((係数_乗用_ガソリン,係数_乗用_CNG,係数_乗用_軽油,係数_乗用_メタノール,係数_乗用_LPG),1,1,BE2051):INDEX((係数_乗用_ガソリン,係数_乗用_CNG,係数_乗用_軽油,係数_乗用_メタノール,係数_乗用_LPG),125,5,BE2051),3,FALSE))))))</f>
        <v/>
      </c>
      <c r="BC2051" s="467" t="str">
        <f t="shared" si="1204"/>
        <v/>
      </c>
      <c r="BD2051" s="567" t="str">
        <f t="shared" si="1205"/>
        <v/>
      </c>
      <c r="BE2051" s="467" t="str">
        <f t="shared" si="1206"/>
        <v/>
      </c>
      <c r="BF2051" s="469" t="str">
        <f t="shared" ca="1" si="1207"/>
        <v/>
      </c>
      <c r="BG2051" s="469" t="str">
        <f t="shared" ca="1" si="1208"/>
        <v/>
      </c>
      <c r="BH2051" s="467" t="str">
        <f t="shared" si="1209"/>
        <v/>
      </c>
      <c r="BI2051" s="467" t="str">
        <f t="shared" ca="1" si="1210"/>
        <v/>
      </c>
      <c r="BJ2051" s="469" t="str">
        <f t="shared" si="1211"/>
        <v/>
      </c>
      <c r="BK2051" s="470" t="str">
        <f t="shared" si="1195"/>
        <v/>
      </c>
      <c r="BL2051" s="775" t="str">
        <f t="shared" si="1212"/>
        <v/>
      </c>
      <c r="BM2051" s="775" t="str">
        <f t="shared" si="1213"/>
        <v/>
      </c>
    </row>
    <row r="2052" spans="1:65">
      <c r="A2052" s="473">
        <v>1996</v>
      </c>
      <c r="B2052" s="132"/>
      <c r="C2052" s="332"/>
      <c r="D2052" s="333"/>
      <c r="E2052" s="333"/>
      <c r="F2052" s="334"/>
      <c r="G2052" s="337"/>
      <c r="H2052" s="131"/>
      <c r="I2052" s="337"/>
      <c r="J2052" s="131"/>
      <c r="K2052" s="458" t="str">
        <f t="shared" si="1176"/>
        <v/>
      </c>
      <c r="L2052" s="458">
        <f t="shared" si="1177"/>
        <v>0</v>
      </c>
      <c r="M2052" s="458">
        <f t="shared" si="1178"/>
        <v>0</v>
      </c>
      <c r="N2052" s="459" t="str">
        <f t="shared" si="1189"/>
        <v/>
      </c>
      <c r="O2052" s="459" t="str">
        <f t="shared" si="1190"/>
        <v/>
      </c>
      <c r="P2052" s="459" t="str">
        <f t="shared" si="1191"/>
        <v/>
      </c>
      <c r="Q2052" s="459" t="str">
        <f t="shared" si="1192"/>
        <v/>
      </c>
      <c r="R2052" s="459" t="str">
        <f t="shared" si="1193"/>
        <v/>
      </c>
      <c r="S2052" s="459" t="str">
        <f t="shared" si="1194"/>
        <v/>
      </c>
      <c r="T2052" s="566" t="str">
        <f t="shared" si="1179"/>
        <v/>
      </c>
      <c r="U2052" s="702"/>
      <c r="V2052" s="132"/>
      <c r="W2052" s="133"/>
      <c r="X2052" s="134"/>
      <c r="Y2052" s="135"/>
      <c r="Z2052" s="137"/>
      <c r="AA2052" s="136"/>
      <c r="AB2052" s="566" t="str">
        <f t="shared" si="1180"/>
        <v/>
      </c>
      <c r="AC2052" s="568" t="str">
        <f t="shared" si="1181"/>
        <v/>
      </c>
      <c r="AD2052" s="137"/>
      <c r="AE2052" s="137"/>
      <c r="AF2052" s="138"/>
      <c r="AG2052" s="138"/>
      <c r="AH2052" s="592" t="str">
        <f t="shared" si="1182"/>
        <v/>
      </c>
      <c r="AI2052" s="592" t="str">
        <f t="shared" si="1183"/>
        <v/>
      </c>
      <c r="AJ2052" s="592" t="str">
        <f t="shared" si="1184"/>
        <v/>
      </c>
      <c r="AK2052" s="460" t="str">
        <f>IF(AU2052="","",IF(OR(AZ2052=8,AZ2052=9),0,IF(OR(AW2052=3,AW2052=4,AW2052=5,AW2052=6),IF(LEFT(BF2052,1)="1",INDEX(係数_NOX・PM低減,MATCH(AY2052,【参考】排出係数!$AI$801:$AI$804,1),1),VLOOKUP(AU2052,INDEX((係数_バス貨物_ガソリン,係数_バス貨物_CNG,係数_バス貨物_軽油,係数_バス貨物_メタノール,係数_バス貨物_LPG),MATCH(AY2052,【参考】排出係数!$AI$4:$AI$671,1),1,BE2052):INDEX((係数_バス貨物_ガソリン,係数_バス貨物_CNG,係数_バス貨物_軽油,係数_バス貨物_メタノール,係数_バス貨物_LPG),MATCH(AY2052+1,【参考】排出係数!$AI$4:$AI$671,1)-1,5,BE2052),4,FALSE)),IF(AND(BE2052=3,LEFT(BF2052,1)="1"),0.48,VLOOKUP(AU2052,INDEX((係数_乗用_ガソリン,係数_乗用_CNG,係数_乗用_軽油,係数_乗用_メタノール,係数_乗用_LPG),1,1,BE2052):INDEX((係数_乗用_ガソリン,係数_乗用_CNG,係数_乗用_軽油,係数_乗用_メタノール,係数_乗用_LPG),125,5,BE2052),4,FALSE)))))</f>
        <v/>
      </c>
      <c r="AL2052" s="461" t="str">
        <f t="shared" si="1185"/>
        <v/>
      </c>
      <c r="AM2052" s="460" t="str">
        <f>IF(AU2052="","",IF(OR(AZ2052=8,AZ2052=9),0,IF(OR(AW2052=3,AW2052=4,AW2052=5,AW2052=6),IF(LEFT(BH2052,1)="1",INDEX(係数_PM低減,MATCH(AY2052,【参考】排出係数!$AI$801:$AI$804,1),MATCH(BI2052,【参考】排出係数!$AL$798:$AO$798,1)),VLOOKUP(AU2052,INDEX((係数_バス貨物_ガソリン,係数_バス貨物_CNG,係数_バス貨物_軽油,係数_バス貨物_メタノール,係数_バス貨物_LPG),MATCH(AY2052,【参考】排出係数!$AI$4:$AI$671,1),1,BE2052):INDEX((係数_バス貨物_ガソリン,係数_バス貨物_CNG,係数_バス貨物_軽油,係数_バス貨物_メタノール,係数_バス貨物_LPG),MATCH(AY2052+1,【参考】排出係数!$AI$4:$AI$671,1)-1,5,BE2052),5,FALSE)),IF(AND(BE2052=3,LEFT(BF2052,1)="1"),0.055,VLOOKUP(AU2052,INDEX((係数_乗用_ガソリン,係数_乗用_CNG,係数_乗用_軽油,係数_乗用_メタノール,係数_乗用_LPG),1,1,BE2052):INDEX((係数_乗用_ガソリン,係数_乗用_CNG,係数_乗用_軽油,係数_乗用_メタノール,係数_乗用_LPG),125,5,BE2052),5,FALSE)))))</f>
        <v/>
      </c>
      <c r="AN2052" s="461" t="str">
        <f t="shared" si="1186"/>
        <v/>
      </c>
      <c r="AO2052" s="462" t="str">
        <f t="shared" si="1187"/>
        <v/>
      </c>
      <c r="AP2052" s="463" t="str">
        <f t="shared" si="1188"/>
        <v/>
      </c>
      <c r="AQ2052" s="464"/>
      <c r="AR2052" s="619"/>
      <c r="AS2052" s="465" t="str">
        <f t="shared" si="1196"/>
        <v/>
      </c>
      <c r="AT2052" s="465" t="str">
        <f t="shared" si="1197"/>
        <v/>
      </c>
      <c r="AU2052" s="466" t="str">
        <f t="shared" si="1198"/>
        <v/>
      </c>
      <c r="AV2052" s="467" t="str">
        <f t="shared" si="1199"/>
        <v/>
      </c>
      <c r="AW2052" s="467" t="str">
        <f t="shared" si="1200"/>
        <v/>
      </c>
      <c r="AX2052" s="467" t="str">
        <f t="shared" si="1201"/>
        <v/>
      </c>
      <c r="AY2052" s="467" t="str">
        <f t="shared" si="1202"/>
        <v/>
      </c>
      <c r="AZ2052" s="467" t="str">
        <f t="shared" si="1203"/>
        <v/>
      </c>
      <c r="BA2052" s="468" t="str">
        <f>IF(AS2052="","",IF(OR(AU2052="",AU2052="-"),"－",IF(OR(AZ2052=8,AZ2052=9),"",IF(OR(AW2052=3,AW2052=4,AW2052=5,AW2052=6),VLOOKUP(AU2052,INDEX((係数_バス貨物_ガソリン,係数_バス貨物_CNG,係数_バス貨物_軽油,係数_バス貨物_メタノール,係数_バス貨物_LPG),MATCH(AY2052,【参考】排出係数!$AI$4:$AI$671,1),1,BE2052):INDEX((係数_バス貨物_ガソリン,係数_バス貨物_CNG,係数_バス貨物_軽油,係数_バス貨物_メタノール,係数_バス貨物_LPG),MATCH(AY2052+1,【参考】排出係数!$AI$4:$AI$671,1)-1,5,BE2052),2,FALSE),IF(OR(AW2052=1,AW2052=2),VLOOKUP(AU2052,INDEX((係数_乗用_ガソリン,係数_乗用_CNG,係数_乗用_軽油,係数_乗用_メタノール,係数_乗用_LPG),1,1,BE2052):INDEX((係数_乗用_ガソリン,係数_乗用_CNG,係数_乗用_軽油,係数_乗用_メタノール,係数_乗用_LPG),125,5,BE2052),2,FALSE))))))</f>
        <v/>
      </c>
      <c r="BB2052" s="468" t="str">
        <f>IF(T2052="","",IF(OR(AU2052="",AU2052="-"),"－",IF(OR(AZ2052=8,AZ2052=9),"",IF(OR(AW2052=3,AW2052=4,AW2052=5,AW2052=6),VLOOKUP(AU2052,INDEX((係数_バス貨物_ガソリン,係数_バス貨物_CNG,係数_バス貨物_軽油,係数_バス貨物_メタノール,係数_バス貨物_LPG),MATCH(AY2052,【参考】排出係数!$AI$4:$AI$671,1),1,BE2052):INDEX((係数_バス貨物_ガソリン,係数_バス貨物_CNG,係数_バス貨物_軽油,係数_バス貨物_メタノール,係数_バス貨物_LPG),MATCH(AY2052+1,【参考】排出係数!$AI$4:$AI$671,1)-1,5,BE2052),3,FALSE),IF(OR(AW2052=1,AW2052=2),VLOOKUP(AU2052,INDEX((係数_乗用_ガソリン,係数_乗用_CNG,係数_乗用_軽油,係数_乗用_メタノール,係数_乗用_LPG),1,1,BE2052):INDEX((係数_乗用_ガソリン,係数_乗用_CNG,係数_乗用_軽油,係数_乗用_メタノール,係数_乗用_LPG),125,5,BE2052),3,FALSE))))))</f>
        <v/>
      </c>
      <c r="BC2052" s="467" t="str">
        <f t="shared" si="1204"/>
        <v/>
      </c>
      <c r="BD2052" s="567" t="str">
        <f t="shared" si="1205"/>
        <v/>
      </c>
      <c r="BE2052" s="467" t="str">
        <f t="shared" si="1206"/>
        <v/>
      </c>
      <c r="BF2052" s="469" t="str">
        <f t="shared" ca="1" si="1207"/>
        <v/>
      </c>
      <c r="BG2052" s="469" t="str">
        <f t="shared" ca="1" si="1208"/>
        <v/>
      </c>
      <c r="BH2052" s="467" t="str">
        <f t="shared" si="1209"/>
        <v/>
      </c>
      <c r="BI2052" s="467" t="str">
        <f t="shared" ca="1" si="1210"/>
        <v/>
      </c>
      <c r="BJ2052" s="469" t="str">
        <f t="shared" si="1211"/>
        <v/>
      </c>
      <c r="BK2052" s="470" t="str">
        <f t="shared" si="1195"/>
        <v/>
      </c>
      <c r="BL2052" s="775" t="str">
        <f t="shared" si="1212"/>
        <v/>
      </c>
      <c r="BM2052" s="775" t="str">
        <f t="shared" si="1213"/>
        <v/>
      </c>
    </row>
    <row r="2053" spans="1:65">
      <c r="A2053" s="473">
        <v>1997</v>
      </c>
      <c r="B2053" s="132"/>
      <c r="C2053" s="332"/>
      <c r="D2053" s="333"/>
      <c r="E2053" s="333"/>
      <c r="F2053" s="334"/>
      <c r="G2053" s="337"/>
      <c r="H2053" s="131"/>
      <c r="I2053" s="337"/>
      <c r="J2053" s="131"/>
      <c r="K2053" s="458" t="str">
        <f t="shared" si="1176"/>
        <v/>
      </c>
      <c r="L2053" s="458">
        <f t="shared" si="1177"/>
        <v>0</v>
      </c>
      <c r="M2053" s="458">
        <f t="shared" si="1178"/>
        <v>0</v>
      </c>
      <c r="N2053" s="459" t="str">
        <f t="shared" si="1189"/>
        <v/>
      </c>
      <c r="O2053" s="459" t="str">
        <f t="shared" si="1190"/>
        <v/>
      </c>
      <c r="P2053" s="459" t="str">
        <f t="shared" si="1191"/>
        <v/>
      </c>
      <c r="Q2053" s="459" t="str">
        <f t="shared" si="1192"/>
        <v/>
      </c>
      <c r="R2053" s="459" t="str">
        <f t="shared" si="1193"/>
        <v/>
      </c>
      <c r="S2053" s="459" t="str">
        <f t="shared" si="1194"/>
        <v/>
      </c>
      <c r="T2053" s="566" t="str">
        <f t="shared" si="1179"/>
        <v/>
      </c>
      <c r="U2053" s="702"/>
      <c r="V2053" s="132"/>
      <c r="W2053" s="133"/>
      <c r="X2053" s="134"/>
      <c r="Y2053" s="135"/>
      <c r="Z2053" s="137"/>
      <c r="AA2053" s="136"/>
      <c r="AB2053" s="566" t="str">
        <f t="shared" si="1180"/>
        <v/>
      </c>
      <c r="AC2053" s="568" t="str">
        <f t="shared" si="1181"/>
        <v/>
      </c>
      <c r="AD2053" s="137"/>
      <c r="AE2053" s="137"/>
      <c r="AF2053" s="138"/>
      <c r="AG2053" s="138"/>
      <c r="AH2053" s="592" t="str">
        <f t="shared" si="1182"/>
        <v/>
      </c>
      <c r="AI2053" s="592" t="str">
        <f t="shared" si="1183"/>
        <v/>
      </c>
      <c r="AJ2053" s="592" t="str">
        <f t="shared" si="1184"/>
        <v/>
      </c>
      <c r="AK2053" s="460" t="str">
        <f>IF(AU2053="","",IF(OR(AZ2053=8,AZ2053=9),0,IF(OR(AW2053=3,AW2053=4,AW2053=5,AW2053=6),IF(LEFT(BF2053,1)="1",INDEX(係数_NOX・PM低減,MATCH(AY2053,【参考】排出係数!$AI$801:$AI$804,1),1),VLOOKUP(AU2053,INDEX((係数_バス貨物_ガソリン,係数_バス貨物_CNG,係数_バス貨物_軽油,係数_バス貨物_メタノール,係数_バス貨物_LPG),MATCH(AY2053,【参考】排出係数!$AI$4:$AI$671,1),1,BE2053):INDEX((係数_バス貨物_ガソリン,係数_バス貨物_CNG,係数_バス貨物_軽油,係数_バス貨物_メタノール,係数_バス貨物_LPG),MATCH(AY2053+1,【参考】排出係数!$AI$4:$AI$671,1)-1,5,BE2053),4,FALSE)),IF(AND(BE2053=3,LEFT(BF2053,1)="1"),0.48,VLOOKUP(AU2053,INDEX((係数_乗用_ガソリン,係数_乗用_CNG,係数_乗用_軽油,係数_乗用_メタノール,係数_乗用_LPG),1,1,BE2053):INDEX((係数_乗用_ガソリン,係数_乗用_CNG,係数_乗用_軽油,係数_乗用_メタノール,係数_乗用_LPG),125,5,BE2053),4,FALSE)))))</f>
        <v/>
      </c>
      <c r="AL2053" s="461" t="str">
        <f t="shared" si="1185"/>
        <v/>
      </c>
      <c r="AM2053" s="460" t="str">
        <f>IF(AU2053="","",IF(OR(AZ2053=8,AZ2053=9),0,IF(OR(AW2053=3,AW2053=4,AW2053=5,AW2053=6),IF(LEFT(BH2053,1)="1",INDEX(係数_PM低減,MATCH(AY2053,【参考】排出係数!$AI$801:$AI$804,1),MATCH(BI2053,【参考】排出係数!$AL$798:$AO$798,1)),VLOOKUP(AU2053,INDEX((係数_バス貨物_ガソリン,係数_バス貨物_CNG,係数_バス貨物_軽油,係数_バス貨物_メタノール,係数_バス貨物_LPG),MATCH(AY2053,【参考】排出係数!$AI$4:$AI$671,1),1,BE2053):INDEX((係数_バス貨物_ガソリン,係数_バス貨物_CNG,係数_バス貨物_軽油,係数_バス貨物_メタノール,係数_バス貨物_LPG),MATCH(AY2053+1,【参考】排出係数!$AI$4:$AI$671,1)-1,5,BE2053),5,FALSE)),IF(AND(BE2053=3,LEFT(BF2053,1)="1"),0.055,VLOOKUP(AU2053,INDEX((係数_乗用_ガソリン,係数_乗用_CNG,係数_乗用_軽油,係数_乗用_メタノール,係数_乗用_LPG),1,1,BE2053):INDEX((係数_乗用_ガソリン,係数_乗用_CNG,係数_乗用_軽油,係数_乗用_メタノール,係数_乗用_LPG),125,5,BE2053),5,FALSE)))))</f>
        <v/>
      </c>
      <c r="AN2053" s="461" t="str">
        <f t="shared" si="1186"/>
        <v/>
      </c>
      <c r="AO2053" s="462" t="str">
        <f t="shared" si="1187"/>
        <v/>
      </c>
      <c r="AP2053" s="463" t="str">
        <f t="shared" si="1188"/>
        <v/>
      </c>
      <c r="AQ2053" s="464"/>
      <c r="AR2053" s="619"/>
      <c r="AS2053" s="465" t="str">
        <f t="shared" si="1196"/>
        <v/>
      </c>
      <c r="AT2053" s="465" t="str">
        <f t="shared" si="1197"/>
        <v/>
      </c>
      <c r="AU2053" s="466" t="str">
        <f t="shared" si="1198"/>
        <v/>
      </c>
      <c r="AV2053" s="467" t="str">
        <f t="shared" si="1199"/>
        <v/>
      </c>
      <c r="AW2053" s="467" t="str">
        <f t="shared" si="1200"/>
        <v/>
      </c>
      <c r="AX2053" s="467" t="str">
        <f t="shared" si="1201"/>
        <v/>
      </c>
      <c r="AY2053" s="467" t="str">
        <f t="shared" si="1202"/>
        <v/>
      </c>
      <c r="AZ2053" s="467" t="str">
        <f t="shared" si="1203"/>
        <v/>
      </c>
      <c r="BA2053" s="468" t="str">
        <f>IF(AS2053="","",IF(OR(AU2053="",AU2053="-"),"－",IF(OR(AZ2053=8,AZ2053=9),"",IF(OR(AW2053=3,AW2053=4,AW2053=5,AW2053=6),VLOOKUP(AU2053,INDEX((係数_バス貨物_ガソリン,係数_バス貨物_CNG,係数_バス貨物_軽油,係数_バス貨物_メタノール,係数_バス貨物_LPG),MATCH(AY2053,【参考】排出係数!$AI$4:$AI$671,1),1,BE2053):INDEX((係数_バス貨物_ガソリン,係数_バス貨物_CNG,係数_バス貨物_軽油,係数_バス貨物_メタノール,係数_バス貨物_LPG),MATCH(AY2053+1,【参考】排出係数!$AI$4:$AI$671,1)-1,5,BE2053),2,FALSE),IF(OR(AW2053=1,AW2053=2),VLOOKUP(AU2053,INDEX((係数_乗用_ガソリン,係数_乗用_CNG,係数_乗用_軽油,係数_乗用_メタノール,係数_乗用_LPG),1,1,BE2053):INDEX((係数_乗用_ガソリン,係数_乗用_CNG,係数_乗用_軽油,係数_乗用_メタノール,係数_乗用_LPG),125,5,BE2053),2,FALSE))))))</f>
        <v/>
      </c>
      <c r="BB2053" s="468" t="str">
        <f>IF(T2053="","",IF(OR(AU2053="",AU2053="-"),"－",IF(OR(AZ2053=8,AZ2053=9),"",IF(OR(AW2053=3,AW2053=4,AW2053=5,AW2053=6),VLOOKUP(AU2053,INDEX((係数_バス貨物_ガソリン,係数_バス貨物_CNG,係数_バス貨物_軽油,係数_バス貨物_メタノール,係数_バス貨物_LPG),MATCH(AY2053,【参考】排出係数!$AI$4:$AI$671,1),1,BE2053):INDEX((係数_バス貨物_ガソリン,係数_バス貨物_CNG,係数_バス貨物_軽油,係数_バス貨物_メタノール,係数_バス貨物_LPG),MATCH(AY2053+1,【参考】排出係数!$AI$4:$AI$671,1)-1,5,BE2053),3,FALSE),IF(OR(AW2053=1,AW2053=2),VLOOKUP(AU2053,INDEX((係数_乗用_ガソリン,係数_乗用_CNG,係数_乗用_軽油,係数_乗用_メタノール,係数_乗用_LPG),1,1,BE2053):INDEX((係数_乗用_ガソリン,係数_乗用_CNG,係数_乗用_軽油,係数_乗用_メタノール,係数_乗用_LPG),125,5,BE2053),3,FALSE))))))</f>
        <v/>
      </c>
      <c r="BC2053" s="467" t="str">
        <f t="shared" si="1204"/>
        <v/>
      </c>
      <c r="BD2053" s="567" t="str">
        <f t="shared" si="1205"/>
        <v/>
      </c>
      <c r="BE2053" s="467" t="str">
        <f t="shared" si="1206"/>
        <v/>
      </c>
      <c r="BF2053" s="469" t="str">
        <f t="shared" ca="1" si="1207"/>
        <v/>
      </c>
      <c r="BG2053" s="469" t="str">
        <f t="shared" ca="1" si="1208"/>
        <v/>
      </c>
      <c r="BH2053" s="467" t="str">
        <f t="shared" si="1209"/>
        <v/>
      </c>
      <c r="BI2053" s="467" t="str">
        <f t="shared" ca="1" si="1210"/>
        <v/>
      </c>
      <c r="BJ2053" s="469" t="str">
        <f t="shared" si="1211"/>
        <v/>
      </c>
      <c r="BK2053" s="470" t="str">
        <f t="shared" si="1195"/>
        <v/>
      </c>
      <c r="BL2053" s="775" t="str">
        <f t="shared" si="1212"/>
        <v/>
      </c>
      <c r="BM2053" s="775" t="str">
        <f t="shared" si="1213"/>
        <v/>
      </c>
    </row>
    <row r="2054" spans="1:65">
      <c r="A2054" s="473">
        <v>1998</v>
      </c>
      <c r="B2054" s="132"/>
      <c r="C2054" s="332"/>
      <c r="D2054" s="333"/>
      <c r="E2054" s="333"/>
      <c r="F2054" s="334"/>
      <c r="G2054" s="337"/>
      <c r="H2054" s="131"/>
      <c r="I2054" s="337"/>
      <c r="J2054" s="131"/>
      <c r="K2054" s="458" t="str">
        <f t="shared" si="1176"/>
        <v/>
      </c>
      <c r="L2054" s="458">
        <f t="shared" si="1177"/>
        <v>0</v>
      </c>
      <c r="M2054" s="458">
        <f t="shared" si="1178"/>
        <v>0</v>
      </c>
      <c r="N2054" s="459" t="str">
        <f t="shared" si="1189"/>
        <v/>
      </c>
      <c r="O2054" s="459" t="str">
        <f t="shared" si="1190"/>
        <v/>
      </c>
      <c r="P2054" s="459" t="str">
        <f t="shared" si="1191"/>
        <v/>
      </c>
      <c r="Q2054" s="459" t="str">
        <f t="shared" si="1192"/>
        <v/>
      </c>
      <c r="R2054" s="459" t="str">
        <f t="shared" si="1193"/>
        <v/>
      </c>
      <c r="S2054" s="459" t="str">
        <f t="shared" si="1194"/>
        <v/>
      </c>
      <c r="T2054" s="566" t="str">
        <f t="shared" si="1179"/>
        <v/>
      </c>
      <c r="U2054" s="702"/>
      <c r="V2054" s="132"/>
      <c r="W2054" s="133"/>
      <c r="X2054" s="134"/>
      <c r="Y2054" s="135"/>
      <c r="Z2054" s="137"/>
      <c r="AA2054" s="136"/>
      <c r="AB2054" s="566" t="str">
        <f t="shared" si="1180"/>
        <v/>
      </c>
      <c r="AC2054" s="568" t="str">
        <f t="shared" si="1181"/>
        <v/>
      </c>
      <c r="AD2054" s="137"/>
      <c r="AE2054" s="137"/>
      <c r="AF2054" s="138"/>
      <c r="AG2054" s="138"/>
      <c r="AH2054" s="592" t="str">
        <f t="shared" si="1182"/>
        <v/>
      </c>
      <c r="AI2054" s="592" t="str">
        <f t="shared" si="1183"/>
        <v/>
      </c>
      <c r="AJ2054" s="592" t="str">
        <f t="shared" si="1184"/>
        <v/>
      </c>
      <c r="AK2054" s="460" t="str">
        <f>IF(AU2054="","",IF(OR(AZ2054=8,AZ2054=9),0,IF(OR(AW2054=3,AW2054=4,AW2054=5,AW2054=6),IF(LEFT(BF2054,1)="1",INDEX(係数_NOX・PM低減,MATCH(AY2054,【参考】排出係数!$AI$801:$AI$804,1),1),VLOOKUP(AU2054,INDEX((係数_バス貨物_ガソリン,係数_バス貨物_CNG,係数_バス貨物_軽油,係数_バス貨物_メタノール,係数_バス貨物_LPG),MATCH(AY2054,【参考】排出係数!$AI$4:$AI$671,1),1,BE2054):INDEX((係数_バス貨物_ガソリン,係数_バス貨物_CNG,係数_バス貨物_軽油,係数_バス貨物_メタノール,係数_バス貨物_LPG),MATCH(AY2054+1,【参考】排出係数!$AI$4:$AI$671,1)-1,5,BE2054),4,FALSE)),IF(AND(BE2054=3,LEFT(BF2054,1)="1"),0.48,VLOOKUP(AU2054,INDEX((係数_乗用_ガソリン,係数_乗用_CNG,係数_乗用_軽油,係数_乗用_メタノール,係数_乗用_LPG),1,1,BE2054):INDEX((係数_乗用_ガソリン,係数_乗用_CNG,係数_乗用_軽油,係数_乗用_メタノール,係数_乗用_LPG),125,5,BE2054),4,FALSE)))))</f>
        <v/>
      </c>
      <c r="AL2054" s="461" t="str">
        <f t="shared" si="1185"/>
        <v/>
      </c>
      <c r="AM2054" s="460" t="str">
        <f>IF(AU2054="","",IF(OR(AZ2054=8,AZ2054=9),0,IF(OR(AW2054=3,AW2054=4,AW2054=5,AW2054=6),IF(LEFT(BH2054,1)="1",INDEX(係数_PM低減,MATCH(AY2054,【参考】排出係数!$AI$801:$AI$804,1),MATCH(BI2054,【参考】排出係数!$AL$798:$AO$798,1)),VLOOKUP(AU2054,INDEX((係数_バス貨物_ガソリン,係数_バス貨物_CNG,係数_バス貨物_軽油,係数_バス貨物_メタノール,係数_バス貨物_LPG),MATCH(AY2054,【参考】排出係数!$AI$4:$AI$671,1),1,BE2054):INDEX((係数_バス貨物_ガソリン,係数_バス貨物_CNG,係数_バス貨物_軽油,係数_バス貨物_メタノール,係数_バス貨物_LPG),MATCH(AY2054+1,【参考】排出係数!$AI$4:$AI$671,1)-1,5,BE2054),5,FALSE)),IF(AND(BE2054=3,LEFT(BF2054,1)="1"),0.055,VLOOKUP(AU2054,INDEX((係数_乗用_ガソリン,係数_乗用_CNG,係数_乗用_軽油,係数_乗用_メタノール,係数_乗用_LPG),1,1,BE2054):INDEX((係数_乗用_ガソリン,係数_乗用_CNG,係数_乗用_軽油,係数_乗用_メタノール,係数_乗用_LPG),125,5,BE2054),5,FALSE)))))</f>
        <v/>
      </c>
      <c r="AN2054" s="461" t="str">
        <f t="shared" si="1186"/>
        <v/>
      </c>
      <c r="AO2054" s="462" t="str">
        <f t="shared" si="1187"/>
        <v/>
      </c>
      <c r="AP2054" s="463" t="str">
        <f t="shared" si="1188"/>
        <v/>
      </c>
      <c r="AQ2054" s="464"/>
      <c r="AR2054" s="619"/>
      <c r="AS2054" s="465" t="str">
        <f t="shared" si="1196"/>
        <v/>
      </c>
      <c r="AT2054" s="465" t="str">
        <f t="shared" si="1197"/>
        <v/>
      </c>
      <c r="AU2054" s="466" t="str">
        <f t="shared" si="1198"/>
        <v/>
      </c>
      <c r="AV2054" s="467" t="str">
        <f t="shared" si="1199"/>
        <v/>
      </c>
      <c r="AW2054" s="467" t="str">
        <f t="shared" si="1200"/>
        <v/>
      </c>
      <c r="AX2054" s="467" t="str">
        <f t="shared" si="1201"/>
        <v/>
      </c>
      <c r="AY2054" s="467" t="str">
        <f t="shared" si="1202"/>
        <v/>
      </c>
      <c r="AZ2054" s="467" t="str">
        <f t="shared" si="1203"/>
        <v/>
      </c>
      <c r="BA2054" s="468" t="str">
        <f>IF(AS2054="","",IF(OR(AU2054="",AU2054="-"),"－",IF(OR(AZ2054=8,AZ2054=9),"",IF(OR(AW2054=3,AW2054=4,AW2054=5,AW2054=6),VLOOKUP(AU2054,INDEX((係数_バス貨物_ガソリン,係数_バス貨物_CNG,係数_バス貨物_軽油,係数_バス貨物_メタノール,係数_バス貨物_LPG),MATCH(AY2054,【参考】排出係数!$AI$4:$AI$671,1),1,BE2054):INDEX((係数_バス貨物_ガソリン,係数_バス貨物_CNG,係数_バス貨物_軽油,係数_バス貨物_メタノール,係数_バス貨物_LPG),MATCH(AY2054+1,【参考】排出係数!$AI$4:$AI$671,1)-1,5,BE2054),2,FALSE),IF(OR(AW2054=1,AW2054=2),VLOOKUP(AU2054,INDEX((係数_乗用_ガソリン,係数_乗用_CNG,係数_乗用_軽油,係数_乗用_メタノール,係数_乗用_LPG),1,1,BE2054):INDEX((係数_乗用_ガソリン,係数_乗用_CNG,係数_乗用_軽油,係数_乗用_メタノール,係数_乗用_LPG),125,5,BE2054),2,FALSE))))))</f>
        <v/>
      </c>
      <c r="BB2054" s="468" t="str">
        <f>IF(T2054="","",IF(OR(AU2054="",AU2054="-"),"－",IF(OR(AZ2054=8,AZ2054=9),"",IF(OR(AW2054=3,AW2054=4,AW2054=5,AW2054=6),VLOOKUP(AU2054,INDEX((係数_バス貨物_ガソリン,係数_バス貨物_CNG,係数_バス貨物_軽油,係数_バス貨物_メタノール,係数_バス貨物_LPG),MATCH(AY2054,【参考】排出係数!$AI$4:$AI$671,1),1,BE2054):INDEX((係数_バス貨物_ガソリン,係数_バス貨物_CNG,係数_バス貨物_軽油,係数_バス貨物_メタノール,係数_バス貨物_LPG),MATCH(AY2054+1,【参考】排出係数!$AI$4:$AI$671,1)-1,5,BE2054),3,FALSE),IF(OR(AW2054=1,AW2054=2),VLOOKUP(AU2054,INDEX((係数_乗用_ガソリン,係数_乗用_CNG,係数_乗用_軽油,係数_乗用_メタノール,係数_乗用_LPG),1,1,BE2054):INDEX((係数_乗用_ガソリン,係数_乗用_CNG,係数_乗用_軽油,係数_乗用_メタノール,係数_乗用_LPG),125,5,BE2054),3,FALSE))))))</f>
        <v/>
      </c>
      <c r="BC2054" s="467" t="str">
        <f t="shared" si="1204"/>
        <v/>
      </c>
      <c r="BD2054" s="567" t="str">
        <f t="shared" si="1205"/>
        <v/>
      </c>
      <c r="BE2054" s="467" t="str">
        <f t="shared" si="1206"/>
        <v/>
      </c>
      <c r="BF2054" s="469" t="str">
        <f t="shared" ca="1" si="1207"/>
        <v/>
      </c>
      <c r="BG2054" s="469" t="str">
        <f t="shared" ca="1" si="1208"/>
        <v/>
      </c>
      <c r="BH2054" s="467" t="str">
        <f t="shared" si="1209"/>
        <v/>
      </c>
      <c r="BI2054" s="467" t="str">
        <f t="shared" ca="1" si="1210"/>
        <v/>
      </c>
      <c r="BJ2054" s="469" t="str">
        <f t="shared" si="1211"/>
        <v/>
      </c>
      <c r="BK2054" s="470" t="str">
        <f t="shared" si="1195"/>
        <v/>
      </c>
      <c r="BL2054" s="775" t="str">
        <f t="shared" si="1212"/>
        <v/>
      </c>
      <c r="BM2054" s="775" t="str">
        <f t="shared" si="1213"/>
        <v/>
      </c>
    </row>
    <row r="2055" spans="1:65">
      <c r="A2055" s="473">
        <v>1999</v>
      </c>
      <c r="B2055" s="132"/>
      <c r="C2055" s="332"/>
      <c r="D2055" s="333"/>
      <c r="E2055" s="333"/>
      <c r="F2055" s="334"/>
      <c r="G2055" s="337"/>
      <c r="H2055" s="131"/>
      <c r="I2055" s="337"/>
      <c r="J2055" s="131"/>
      <c r="K2055" s="458" t="str">
        <f t="shared" si="1176"/>
        <v/>
      </c>
      <c r="L2055" s="458">
        <f t="shared" si="1177"/>
        <v>0</v>
      </c>
      <c r="M2055" s="458">
        <f t="shared" si="1178"/>
        <v>0</v>
      </c>
      <c r="N2055" s="459" t="str">
        <f t="shared" si="1189"/>
        <v/>
      </c>
      <c r="O2055" s="459" t="str">
        <f t="shared" si="1190"/>
        <v/>
      </c>
      <c r="P2055" s="459" t="str">
        <f t="shared" si="1191"/>
        <v/>
      </c>
      <c r="Q2055" s="459" t="str">
        <f t="shared" si="1192"/>
        <v/>
      </c>
      <c r="R2055" s="459" t="str">
        <f t="shared" si="1193"/>
        <v/>
      </c>
      <c r="S2055" s="459" t="str">
        <f t="shared" si="1194"/>
        <v/>
      </c>
      <c r="T2055" s="566" t="str">
        <f t="shared" si="1179"/>
        <v/>
      </c>
      <c r="U2055" s="702"/>
      <c r="V2055" s="132"/>
      <c r="W2055" s="133"/>
      <c r="X2055" s="134"/>
      <c r="Y2055" s="135"/>
      <c r="Z2055" s="137"/>
      <c r="AA2055" s="136"/>
      <c r="AB2055" s="566" t="str">
        <f t="shared" si="1180"/>
        <v/>
      </c>
      <c r="AC2055" s="568" t="str">
        <f t="shared" si="1181"/>
        <v/>
      </c>
      <c r="AD2055" s="137"/>
      <c r="AE2055" s="137"/>
      <c r="AF2055" s="138"/>
      <c r="AG2055" s="138"/>
      <c r="AH2055" s="592" t="str">
        <f t="shared" si="1182"/>
        <v/>
      </c>
      <c r="AI2055" s="592" t="str">
        <f t="shared" si="1183"/>
        <v/>
      </c>
      <c r="AJ2055" s="592" t="str">
        <f t="shared" si="1184"/>
        <v/>
      </c>
      <c r="AK2055" s="460" t="str">
        <f>IF(AU2055="","",IF(OR(AZ2055=8,AZ2055=9),0,IF(OR(AW2055=3,AW2055=4,AW2055=5,AW2055=6),IF(LEFT(BF2055,1)="1",INDEX(係数_NOX・PM低減,MATCH(AY2055,【参考】排出係数!$AI$801:$AI$804,1),1),VLOOKUP(AU2055,INDEX((係数_バス貨物_ガソリン,係数_バス貨物_CNG,係数_バス貨物_軽油,係数_バス貨物_メタノール,係数_バス貨物_LPG),MATCH(AY2055,【参考】排出係数!$AI$4:$AI$671,1),1,BE2055):INDEX((係数_バス貨物_ガソリン,係数_バス貨物_CNG,係数_バス貨物_軽油,係数_バス貨物_メタノール,係数_バス貨物_LPG),MATCH(AY2055+1,【参考】排出係数!$AI$4:$AI$671,1)-1,5,BE2055),4,FALSE)),IF(AND(BE2055=3,LEFT(BF2055,1)="1"),0.48,VLOOKUP(AU2055,INDEX((係数_乗用_ガソリン,係数_乗用_CNG,係数_乗用_軽油,係数_乗用_メタノール,係数_乗用_LPG),1,1,BE2055):INDEX((係数_乗用_ガソリン,係数_乗用_CNG,係数_乗用_軽油,係数_乗用_メタノール,係数_乗用_LPG),125,5,BE2055),4,FALSE)))))</f>
        <v/>
      </c>
      <c r="AL2055" s="461" t="str">
        <f t="shared" si="1185"/>
        <v/>
      </c>
      <c r="AM2055" s="460" t="str">
        <f>IF(AU2055="","",IF(OR(AZ2055=8,AZ2055=9),0,IF(OR(AW2055=3,AW2055=4,AW2055=5,AW2055=6),IF(LEFT(BH2055,1)="1",INDEX(係数_PM低減,MATCH(AY2055,【参考】排出係数!$AI$801:$AI$804,1),MATCH(BI2055,【参考】排出係数!$AL$798:$AO$798,1)),VLOOKUP(AU2055,INDEX((係数_バス貨物_ガソリン,係数_バス貨物_CNG,係数_バス貨物_軽油,係数_バス貨物_メタノール,係数_バス貨物_LPG),MATCH(AY2055,【参考】排出係数!$AI$4:$AI$671,1),1,BE2055):INDEX((係数_バス貨物_ガソリン,係数_バス貨物_CNG,係数_バス貨物_軽油,係数_バス貨物_メタノール,係数_バス貨物_LPG),MATCH(AY2055+1,【参考】排出係数!$AI$4:$AI$671,1)-1,5,BE2055),5,FALSE)),IF(AND(BE2055=3,LEFT(BF2055,1)="1"),0.055,VLOOKUP(AU2055,INDEX((係数_乗用_ガソリン,係数_乗用_CNG,係数_乗用_軽油,係数_乗用_メタノール,係数_乗用_LPG),1,1,BE2055):INDEX((係数_乗用_ガソリン,係数_乗用_CNG,係数_乗用_軽油,係数_乗用_メタノール,係数_乗用_LPG),125,5,BE2055),5,FALSE)))))</f>
        <v/>
      </c>
      <c r="AN2055" s="461" t="str">
        <f t="shared" si="1186"/>
        <v/>
      </c>
      <c r="AO2055" s="462" t="str">
        <f t="shared" si="1187"/>
        <v/>
      </c>
      <c r="AP2055" s="463" t="str">
        <f t="shared" si="1188"/>
        <v/>
      </c>
      <c r="AQ2055" s="464"/>
      <c r="AR2055" s="619"/>
      <c r="AS2055" s="465" t="str">
        <f t="shared" si="1196"/>
        <v/>
      </c>
      <c r="AT2055" s="465" t="str">
        <f t="shared" si="1197"/>
        <v/>
      </c>
      <c r="AU2055" s="466" t="str">
        <f t="shared" si="1198"/>
        <v/>
      </c>
      <c r="AV2055" s="467" t="str">
        <f t="shared" si="1199"/>
        <v/>
      </c>
      <c r="AW2055" s="467" t="str">
        <f t="shared" si="1200"/>
        <v/>
      </c>
      <c r="AX2055" s="467" t="str">
        <f t="shared" si="1201"/>
        <v/>
      </c>
      <c r="AY2055" s="467" t="str">
        <f t="shared" si="1202"/>
        <v/>
      </c>
      <c r="AZ2055" s="467" t="str">
        <f t="shared" si="1203"/>
        <v/>
      </c>
      <c r="BA2055" s="468" t="str">
        <f>IF(AS2055="","",IF(OR(AU2055="",AU2055="-"),"－",IF(OR(AZ2055=8,AZ2055=9),"",IF(OR(AW2055=3,AW2055=4,AW2055=5,AW2055=6),VLOOKUP(AU2055,INDEX((係数_バス貨物_ガソリン,係数_バス貨物_CNG,係数_バス貨物_軽油,係数_バス貨物_メタノール,係数_バス貨物_LPG),MATCH(AY2055,【参考】排出係数!$AI$4:$AI$671,1),1,BE2055):INDEX((係数_バス貨物_ガソリン,係数_バス貨物_CNG,係数_バス貨物_軽油,係数_バス貨物_メタノール,係数_バス貨物_LPG),MATCH(AY2055+1,【参考】排出係数!$AI$4:$AI$671,1)-1,5,BE2055),2,FALSE),IF(OR(AW2055=1,AW2055=2),VLOOKUP(AU2055,INDEX((係数_乗用_ガソリン,係数_乗用_CNG,係数_乗用_軽油,係数_乗用_メタノール,係数_乗用_LPG),1,1,BE2055):INDEX((係数_乗用_ガソリン,係数_乗用_CNG,係数_乗用_軽油,係数_乗用_メタノール,係数_乗用_LPG),125,5,BE2055),2,FALSE))))))</f>
        <v/>
      </c>
      <c r="BB2055" s="468" t="str">
        <f>IF(T2055="","",IF(OR(AU2055="",AU2055="-"),"－",IF(OR(AZ2055=8,AZ2055=9),"",IF(OR(AW2055=3,AW2055=4,AW2055=5,AW2055=6),VLOOKUP(AU2055,INDEX((係数_バス貨物_ガソリン,係数_バス貨物_CNG,係数_バス貨物_軽油,係数_バス貨物_メタノール,係数_バス貨物_LPG),MATCH(AY2055,【参考】排出係数!$AI$4:$AI$671,1),1,BE2055):INDEX((係数_バス貨物_ガソリン,係数_バス貨物_CNG,係数_バス貨物_軽油,係数_バス貨物_メタノール,係数_バス貨物_LPG),MATCH(AY2055+1,【参考】排出係数!$AI$4:$AI$671,1)-1,5,BE2055),3,FALSE),IF(OR(AW2055=1,AW2055=2),VLOOKUP(AU2055,INDEX((係数_乗用_ガソリン,係数_乗用_CNG,係数_乗用_軽油,係数_乗用_メタノール,係数_乗用_LPG),1,1,BE2055):INDEX((係数_乗用_ガソリン,係数_乗用_CNG,係数_乗用_軽油,係数_乗用_メタノール,係数_乗用_LPG),125,5,BE2055),3,FALSE))))))</f>
        <v/>
      </c>
      <c r="BC2055" s="467" t="str">
        <f t="shared" si="1204"/>
        <v/>
      </c>
      <c r="BD2055" s="567" t="str">
        <f t="shared" si="1205"/>
        <v/>
      </c>
      <c r="BE2055" s="467" t="str">
        <f t="shared" si="1206"/>
        <v/>
      </c>
      <c r="BF2055" s="469" t="str">
        <f t="shared" ca="1" si="1207"/>
        <v/>
      </c>
      <c r="BG2055" s="469" t="str">
        <f t="shared" ca="1" si="1208"/>
        <v/>
      </c>
      <c r="BH2055" s="467" t="str">
        <f t="shared" si="1209"/>
        <v/>
      </c>
      <c r="BI2055" s="467" t="str">
        <f t="shared" ca="1" si="1210"/>
        <v/>
      </c>
      <c r="BJ2055" s="469" t="str">
        <f t="shared" si="1211"/>
        <v/>
      </c>
      <c r="BK2055" s="470" t="str">
        <f t="shared" si="1195"/>
        <v/>
      </c>
      <c r="BL2055" s="775" t="str">
        <f t="shared" si="1212"/>
        <v/>
      </c>
      <c r="BM2055" s="775" t="str">
        <f t="shared" si="1213"/>
        <v/>
      </c>
    </row>
    <row r="2056" spans="1:65">
      <c r="A2056" s="473">
        <v>2000</v>
      </c>
      <c r="B2056" s="132"/>
      <c r="C2056" s="332"/>
      <c r="D2056" s="333"/>
      <c r="E2056" s="333"/>
      <c r="F2056" s="334"/>
      <c r="G2056" s="337"/>
      <c r="H2056" s="131"/>
      <c r="I2056" s="337"/>
      <c r="J2056" s="131"/>
      <c r="K2056" s="458" t="str">
        <f t="shared" si="282"/>
        <v/>
      </c>
      <c r="L2056" s="458">
        <f t="shared" si="294"/>
        <v>0</v>
      </c>
      <c r="M2056" s="458">
        <f t="shared" si="295"/>
        <v>0</v>
      </c>
      <c r="N2056" s="459" t="str">
        <f t="shared" si="283"/>
        <v/>
      </c>
      <c r="O2056" s="459" t="str">
        <f t="shared" si="284"/>
        <v/>
      </c>
      <c r="P2056" s="459" t="str">
        <f t="shared" si="285"/>
        <v/>
      </c>
      <c r="Q2056" s="459" t="str">
        <f t="shared" si="286"/>
        <v/>
      </c>
      <c r="R2056" s="459" t="str">
        <f t="shared" si="287"/>
        <v/>
      </c>
      <c r="S2056" s="459" t="str">
        <f t="shared" si="288"/>
        <v/>
      </c>
      <c r="T2056" s="566" t="str">
        <f t="shared" si="296"/>
        <v/>
      </c>
      <c r="U2056" s="702"/>
      <c r="V2056" s="132"/>
      <c r="W2056" s="133"/>
      <c r="X2056" s="134"/>
      <c r="Y2056" s="135"/>
      <c r="Z2056" s="137"/>
      <c r="AA2056" s="136"/>
      <c r="AB2056" s="566" t="str">
        <f t="shared" si="289"/>
        <v/>
      </c>
      <c r="AC2056" s="568" t="str">
        <f t="shared" si="297"/>
        <v/>
      </c>
      <c r="AD2056" s="137"/>
      <c r="AE2056" s="137"/>
      <c r="AF2056" s="138"/>
      <c r="AG2056" s="138"/>
      <c r="AH2056" s="593" t="str">
        <f t="shared" si="290"/>
        <v/>
      </c>
      <c r="AI2056" s="593" t="str">
        <f t="shared" si="291"/>
        <v/>
      </c>
      <c r="AJ2056" s="593" t="str">
        <f t="shared" si="292"/>
        <v/>
      </c>
      <c r="AK2056" s="460" t="str">
        <f>IF(AU2056="","",IF(OR(AZ2056=8,AZ2056=9),0,IF(OR(AW2056=3,AW2056=4,AW2056=5,AW2056=6),IF(LEFT(BF2056,1)="1",INDEX(係数_NOX・PM低減,MATCH(AY2056,【参考】排出係数!$AI$801:$AI$804,1),1),VLOOKUP(AU2056,INDEX((係数_バス貨物_ガソリン,係数_バス貨物_CNG,係数_バス貨物_軽油,係数_バス貨物_メタノール,係数_バス貨物_LPG),MATCH(AY2056,【参考】排出係数!$AI$4:$AI$671,1),1,BE2056):INDEX((係数_バス貨物_ガソリン,係数_バス貨物_CNG,係数_バス貨物_軽油,係数_バス貨物_メタノール,係数_バス貨物_LPG),MATCH(AY2056+1,【参考】排出係数!$AI$4:$AI$671,1)-1,5,BE2056),4,FALSE)),IF(AND(BE2056=3,LEFT(BF2056,1)="1"),0.48,VLOOKUP(AU2056,INDEX((係数_乗用_ガソリン,係数_乗用_CNG,係数_乗用_軽油,係数_乗用_メタノール,係数_乗用_LPG),1,1,BE2056):INDEX((係数_乗用_ガソリン,係数_乗用_CNG,係数_乗用_軽油,係数_乗用_メタノール,係数_乗用_LPG),125,5,BE2056),4,FALSE)))))</f>
        <v/>
      </c>
      <c r="AL2056" s="461" t="str">
        <f t="shared" si="316"/>
        <v/>
      </c>
      <c r="AM2056" s="460" t="str">
        <f>IF(AU2056="","",IF(OR(AZ2056=8,AZ2056=9),0,IF(OR(AW2056=3,AW2056=4,AW2056=5,AW2056=6),IF(LEFT(BH2056,1)="1",INDEX(係数_PM低減,MATCH(AY2056,【参考】排出係数!$AI$801:$AI$804,1),MATCH(BI2056,【参考】排出係数!$AL$798:$AO$798,1)),VLOOKUP(AU2056,INDEX((係数_バス貨物_ガソリン,係数_バス貨物_CNG,係数_バス貨物_軽油,係数_バス貨物_メタノール,係数_バス貨物_LPG),MATCH(AY2056,【参考】排出係数!$AI$4:$AI$671,1),1,BE2056):INDEX((係数_バス貨物_ガソリン,係数_バス貨物_CNG,係数_バス貨物_軽油,係数_バス貨物_メタノール,係数_バス貨物_LPG),MATCH(AY2056+1,【参考】排出係数!$AI$4:$AI$671,1)-1,5,BE2056),5,FALSE)),IF(AND(BE2056=3,LEFT(BF2056,1)="1"),0.055,VLOOKUP(AU2056,INDEX((係数_乗用_ガソリン,係数_乗用_CNG,係数_乗用_軽油,係数_乗用_メタノール,係数_乗用_LPG),1,1,BE2056):INDEX((係数_乗用_ガソリン,係数_乗用_CNG,係数_乗用_軽油,係数_乗用_メタノール,係数_乗用_LPG),125,5,BE2056),5,FALSE)))))</f>
        <v/>
      </c>
      <c r="AN2056" s="461" t="str">
        <f t="shared" si="317"/>
        <v/>
      </c>
      <c r="AO2056" s="462" t="str">
        <f t="shared" si="318"/>
        <v/>
      </c>
      <c r="AP2056" s="463" t="str">
        <f t="shared" si="319"/>
        <v/>
      </c>
      <c r="AQ2056" s="464"/>
      <c r="AR2056" s="619"/>
      <c r="AS2056" s="465" t="str">
        <f t="shared" si="1196"/>
        <v/>
      </c>
      <c r="AT2056" s="465" t="str">
        <f t="shared" si="1197"/>
        <v/>
      </c>
      <c r="AU2056" s="466" t="str">
        <f t="shared" si="1198"/>
        <v/>
      </c>
      <c r="AV2056" s="467" t="str">
        <f t="shared" si="1199"/>
        <v/>
      </c>
      <c r="AW2056" s="467" t="str">
        <f t="shared" si="1200"/>
        <v/>
      </c>
      <c r="AX2056" s="467" t="str">
        <f t="shared" si="1201"/>
        <v/>
      </c>
      <c r="AY2056" s="467" t="str">
        <f t="shared" si="1202"/>
        <v/>
      </c>
      <c r="AZ2056" s="467" t="str">
        <f t="shared" si="1203"/>
        <v/>
      </c>
      <c r="BA2056" s="468" t="str">
        <f>IF(AS2056="","",IF(OR(AU2056="",AU2056="-"),"－",IF(OR(AZ2056=8,AZ2056=9),"",IF(OR(AW2056=3,AW2056=4,AW2056=5,AW2056=6),VLOOKUP(AU2056,INDEX((係数_バス貨物_ガソリン,係数_バス貨物_CNG,係数_バス貨物_軽油,係数_バス貨物_メタノール,係数_バス貨物_LPG),MATCH(AY2056,【参考】排出係数!$AI$4:$AI$671,1),1,BE2056):INDEX((係数_バス貨物_ガソリン,係数_バス貨物_CNG,係数_バス貨物_軽油,係数_バス貨物_メタノール,係数_バス貨物_LPG),MATCH(AY2056+1,【参考】排出係数!$AI$4:$AI$671,1)-1,5,BE2056),2,FALSE),IF(OR(AW2056=1,AW2056=2),VLOOKUP(AU2056,INDEX((係数_乗用_ガソリン,係数_乗用_CNG,係数_乗用_軽油,係数_乗用_メタノール,係数_乗用_LPG),1,1,BE2056):INDEX((係数_乗用_ガソリン,係数_乗用_CNG,係数_乗用_軽油,係数_乗用_メタノール,係数_乗用_LPG),125,5,BE2056),2,FALSE))))))</f>
        <v/>
      </c>
      <c r="BB2056" s="468" t="str">
        <f>IF(T2056="","",IF(OR(AU2056="",AU2056="-"),"－",IF(OR(AZ2056=8,AZ2056=9),"",IF(OR(AW2056=3,AW2056=4,AW2056=5,AW2056=6),VLOOKUP(AU2056,INDEX((係数_バス貨物_ガソリン,係数_バス貨物_CNG,係数_バス貨物_軽油,係数_バス貨物_メタノール,係数_バス貨物_LPG),MATCH(AY2056,【参考】排出係数!$AI$4:$AI$671,1),1,BE2056):INDEX((係数_バス貨物_ガソリン,係数_バス貨物_CNG,係数_バス貨物_軽油,係数_バス貨物_メタノール,係数_バス貨物_LPG),MATCH(AY2056+1,【参考】排出係数!$AI$4:$AI$671,1)-1,5,BE2056),3,FALSE),IF(OR(AW2056=1,AW2056=2),VLOOKUP(AU2056,INDEX((係数_乗用_ガソリン,係数_乗用_CNG,係数_乗用_軽油,係数_乗用_メタノール,係数_乗用_LPG),1,1,BE2056):INDEX((係数_乗用_ガソリン,係数_乗用_CNG,係数_乗用_軽油,係数_乗用_メタノール,係数_乗用_LPG),125,5,BE2056),3,FALSE))))))</f>
        <v/>
      </c>
      <c r="BC2056" s="467" t="str">
        <f t="shared" si="1204"/>
        <v/>
      </c>
      <c r="BD2056" s="567" t="str">
        <f t="shared" si="1205"/>
        <v/>
      </c>
      <c r="BE2056" s="467" t="str">
        <f t="shared" si="1206"/>
        <v/>
      </c>
      <c r="BF2056" s="469" t="str">
        <f t="shared" ca="1" si="1207"/>
        <v/>
      </c>
      <c r="BG2056" s="469" t="str">
        <f t="shared" ca="1" si="1208"/>
        <v/>
      </c>
      <c r="BH2056" s="467" t="str">
        <f t="shared" si="1209"/>
        <v/>
      </c>
      <c r="BI2056" s="467" t="str">
        <f t="shared" ca="1" si="1210"/>
        <v/>
      </c>
      <c r="BJ2056" s="469" t="str">
        <f t="shared" si="1211"/>
        <v/>
      </c>
      <c r="BK2056" s="470" t="str">
        <f t="shared" si="1195"/>
        <v/>
      </c>
      <c r="BL2056" s="775" t="str">
        <f t="shared" si="1212"/>
        <v/>
      </c>
      <c r="BM2056" s="775" t="str">
        <f t="shared" si="1213"/>
        <v/>
      </c>
    </row>
    <row r="2057" spans="1:65">
      <c r="Z2057" s="16"/>
      <c r="AL2057" s="16"/>
      <c r="AN2057" s="16"/>
      <c r="AP2057" s="16"/>
    </row>
  </sheetData>
  <sheetProtection algorithmName="SHA-512" hashValue="FsPE408vs4vb1oyr5iz92GA0wvqqSaLwc360tNTBLqId69JlEdFqLcf3V4LIvgZH3l4DRhtQv1iUMsHoy/Xb7g==" saltValue="kpddigqRiYmAkCNKGgKmrQ==" spinCount="100000" sheet="1" autoFilter="0"/>
  <autoFilter ref="B56:AG56"/>
  <dataConsolidate/>
  <mergeCells count="50">
    <mergeCell ref="CO1:CP1"/>
    <mergeCell ref="BU1:BV1"/>
    <mergeCell ref="BE53:BE54"/>
    <mergeCell ref="AT51:AT52"/>
    <mergeCell ref="BC51:BC52"/>
    <mergeCell ref="BJ53:BJ54"/>
    <mergeCell ref="AZ51:AZ52"/>
    <mergeCell ref="BD53:BD55"/>
    <mergeCell ref="BS1:BT1"/>
    <mergeCell ref="CK1:CL1"/>
    <mergeCell ref="BY1:BZ1"/>
    <mergeCell ref="BW1:BX1"/>
    <mergeCell ref="CA1:CB1"/>
    <mergeCell ref="CC1:CD1"/>
    <mergeCell ref="CE1:CF1"/>
    <mergeCell ref="CI1:CJ1"/>
    <mergeCell ref="C52:F52"/>
    <mergeCell ref="AM53:AM54"/>
    <mergeCell ref="G52:H52"/>
    <mergeCell ref="G53:H54"/>
    <mergeCell ref="AD53:AD54"/>
    <mergeCell ref="AC53:AC54"/>
    <mergeCell ref="I52:J52"/>
    <mergeCell ref="AE53:AE54"/>
    <mergeCell ref="AB53:AB54"/>
    <mergeCell ref="CG1:CH1"/>
    <mergeCell ref="AP53:AP54"/>
    <mergeCell ref="AN53:AN54"/>
    <mergeCell ref="AD55:AG55"/>
    <mergeCell ref="Z53:Z54"/>
    <mergeCell ref="AF53:AG53"/>
    <mergeCell ref="AO53:AO54"/>
    <mergeCell ref="AK53:AK54"/>
    <mergeCell ref="AL53:AL54"/>
    <mergeCell ref="BL55:BM55"/>
    <mergeCell ref="A53:A55"/>
    <mergeCell ref="Y53:Y54"/>
    <mergeCell ref="X53:X54"/>
    <mergeCell ref="W53:W54"/>
    <mergeCell ref="C55:F55"/>
    <mergeCell ref="U55:AA55"/>
    <mergeCell ref="B53:B54"/>
    <mergeCell ref="C53:F54"/>
    <mergeCell ref="V53:V54"/>
    <mergeCell ref="U53:U54"/>
    <mergeCell ref="AA53:AA54"/>
    <mergeCell ref="I53:J54"/>
    <mergeCell ref="G55:J55"/>
    <mergeCell ref="K53:K54"/>
    <mergeCell ref="T53:T54"/>
  </mergeCells>
  <phoneticPr fontId="2"/>
  <conditionalFormatting sqref="T57:T555 T2056">
    <cfRule type="containsText" dxfId="31" priority="38" stopIfTrue="1" operator="containsText" text="ERROR">
      <formula>NOT(ISERROR(SEARCH("ERROR",T57)))</formula>
    </cfRule>
  </conditionalFormatting>
  <conditionalFormatting sqref="L57:AA57 AK57:AP555 A57:J555 A2056:J2056 L2056:Y2056 AA2056:AC2056 L58:Y555 AA58:AA65 AA66:AC555 AF2056:AP2056 AC57:AC555 AF60:AP555 AH57:AP58 AG59:AP59">
    <cfRule type="expression" dxfId="30" priority="45" stopIfTrue="1">
      <formula>$T57="(減車済)"</formula>
    </cfRule>
  </conditionalFormatting>
  <conditionalFormatting sqref="B57:B2056">
    <cfRule type="expression" dxfId="29" priority="31" stopIfTrue="1">
      <formula>AND((OR((T57="継続"),(T57="減車"),(T57="新規"),(T57="一時使用"))),(B57=""))</formula>
    </cfRule>
  </conditionalFormatting>
  <conditionalFormatting sqref="K57:K555 K2056">
    <cfRule type="expression" dxfId="28" priority="26" stopIfTrue="1">
      <formula>$T57="(減車済)"</formula>
    </cfRule>
  </conditionalFormatting>
  <conditionalFormatting sqref="AB57:AB555 AB2056">
    <cfRule type="expression" dxfId="27" priority="24" stopIfTrue="1">
      <formula>$T57="(減車済)"</formula>
    </cfRule>
  </conditionalFormatting>
  <conditionalFormatting sqref="T556:T2055">
    <cfRule type="containsText" dxfId="26" priority="22" stopIfTrue="1" operator="containsText" text="ERROR">
      <formula>NOT(ISERROR(SEARCH("ERROR",T556)))</formula>
    </cfRule>
  </conditionalFormatting>
  <conditionalFormatting sqref="L556:Y2055 A556:J2055 AA556:AC2055 AF556:AP2055">
    <cfRule type="expression" dxfId="25" priority="23" stopIfTrue="1">
      <formula>$T556="(減車済)"</formula>
    </cfRule>
  </conditionalFormatting>
  <conditionalFormatting sqref="K556:K2055">
    <cfRule type="expression" dxfId="24" priority="18" stopIfTrue="1">
      <formula>$T556="(減車済)"</formula>
    </cfRule>
  </conditionalFormatting>
  <conditionalFormatting sqref="AB556:AB2055">
    <cfRule type="expression" dxfId="23" priority="17" stopIfTrue="1">
      <formula>$T556="(減車済)"</formula>
    </cfRule>
  </conditionalFormatting>
  <conditionalFormatting sqref="Z58:Z2056">
    <cfRule type="expression" dxfId="22" priority="15" stopIfTrue="1">
      <formula>$T58="(減車済)"</formula>
    </cfRule>
  </conditionalFormatting>
  <conditionalFormatting sqref="AD59:AD2056">
    <cfRule type="expression" dxfId="21" priority="14" stopIfTrue="1">
      <formula>$T59="(減車済)"</formula>
    </cfRule>
  </conditionalFormatting>
  <conditionalFormatting sqref="AD59:AD2056">
    <cfRule type="expression" dxfId="20" priority="13" stopIfTrue="1">
      <formula>AND(($T59="(減車済)"),(AD59&lt;&gt;0))</formula>
    </cfRule>
  </conditionalFormatting>
  <conditionalFormatting sqref="AD59:AD2056">
    <cfRule type="expression" dxfId="19" priority="12">
      <formula>$BL59=1</formula>
    </cfRule>
  </conditionalFormatting>
  <conditionalFormatting sqref="AE59:AE2056">
    <cfRule type="expression" dxfId="18" priority="10" stopIfTrue="1">
      <formula>$T59="(減車済)"</formula>
    </cfRule>
  </conditionalFormatting>
  <conditionalFormatting sqref="AE59:AE2056">
    <cfRule type="expression" dxfId="17" priority="9" stopIfTrue="1">
      <formula>AND(($T59="(減車済)"),(AE59&lt;&gt;0))</formula>
    </cfRule>
  </conditionalFormatting>
  <conditionalFormatting sqref="AE59:AE2056">
    <cfRule type="expression" dxfId="16" priority="8">
      <formula>$BM59=1</formula>
    </cfRule>
  </conditionalFormatting>
  <conditionalFormatting sqref="AD57:AG58">
    <cfRule type="expression" dxfId="15" priority="7" stopIfTrue="1">
      <formula>$T57="(減車済)"</formula>
    </cfRule>
  </conditionalFormatting>
  <conditionalFormatting sqref="AD57:AE58">
    <cfRule type="expression" dxfId="14" priority="6" stopIfTrue="1">
      <formula>AND(($T57="(減車済)"),(AD57&lt;&gt;0))</formula>
    </cfRule>
  </conditionalFormatting>
  <conditionalFormatting sqref="AD57">
    <cfRule type="expression" dxfId="13" priority="5">
      <formula>$BL57=1</formula>
    </cfRule>
  </conditionalFormatting>
  <conditionalFormatting sqref="AE57">
    <cfRule type="expression" dxfId="12" priority="4">
      <formula>$BM57=1</formula>
    </cfRule>
  </conditionalFormatting>
  <conditionalFormatting sqref="AD58">
    <cfRule type="expression" dxfId="11" priority="3">
      <formula>$BL58=1</formula>
    </cfRule>
  </conditionalFormatting>
  <conditionalFormatting sqref="AE58">
    <cfRule type="expression" dxfId="10" priority="2">
      <formula>$BM58=1</formula>
    </cfRule>
  </conditionalFormatting>
  <conditionalFormatting sqref="AF59">
    <cfRule type="expression" dxfId="9" priority="1" stopIfTrue="1">
      <formula>$T59="(減車済)"</formula>
    </cfRule>
  </conditionalFormatting>
  <dataValidations count="18">
    <dataValidation type="whole" allowBlank="1" showInputMessage="1" showErrorMessage="1" error="12以下の整数を入力して下さい。" sqref="J57:J2056 H57:H2056">
      <formula1>1</formula1>
      <formula2>12</formula2>
    </dataValidation>
    <dataValidation type="whole" imeMode="off" allowBlank="1" showInputMessage="1" showErrorMessage="1" error="kg単位で入力して下さい。" sqref="Z51 Z2058:Z67036 Z57:Z2056">
      <formula1>500</formula1>
      <formula2>999999</formula2>
    </dataValidation>
    <dataValidation type="whole" operator="greaterThan" allowBlank="1" showInputMessage="1" showErrorMessage="1" error="半角で整数を入力して下さい。" sqref="Y57:Y2056">
      <formula1>0</formula1>
    </dataValidation>
    <dataValidation allowBlank="1" showInputMessage="1" sqref="AB57:AC2056"/>
    <dataValidation type="list" allowBlank="1" showInputMessage="1" showErrorMessage="1" error="プルダウンリストから選んで下さい。" sqref="V57:V2056">
      <formula1>$BW$2:$BW$3</formula1>
    </dataValidation>
    <dataValidation type="list" allowBlank="1" showInputMessage="1" showErrorMessage="1" error="プルダウンリストから選んで下さい。" sqref="W57:W2056">
      <formula1>$BY$2:$BY$7</formula1>
    </dataValidation>
    <dataValidation type="list" allowBlank="1" showInputMessage="1" showErrorMessage="1" error="プルダウンリストから選んで下さい。" sqref="AA57:AA2056">
      <formula1>$CA$2:$CA$12</formula1>
    </dataValidation>
    <dataValidation type="list" allowBlank="1" showInputMessage="1" showErrorMessage="1" error="プルダウンリストから選んで下さい。" sqref="AG57:AG2056">
      <formula1>$CI$2:$CI$5</formula1>
    </dataValidation>
    <dataValidation type="whole" operator="greaterThanOrEqual" allowBlank="1" showInputMessage="1" showErrorMessage="1" error="整数を入力して下さい。" sqref="G57:G2056 I57:I2056">
      <formula1>1</formula1>
    </dataValidation>
    <dataValidation type="list" allowBlank="1" showInputMessage="1" showErrorMessage="1" error="県内ナンバーしか入力できません。" prompt="県内ナンバーのみ入力して下さい。" sqref="C57:C2056">
      <formula1>$BQ$2:$BQ$5</formula1>
    </dataValidation>
    <dataValidation imeMode="halfAlpha" allowBlank="1" showInputMessage="1" showErrorMessage="1" error="入力した番号が正しいか確認して下さい。" sqref="K57:K2056 D57:D2056"/>
    <dataValidation type="whole" imeMode="halfAlpha" allowBlank="1" showInputMessage="1" showErrorMessage="1" error="入力した番号が正しいか確認して下さい。" sqref="K984597:K985096 K67093:K67592 K132629:K133128 K198165:K198664 K263701:K264200 K329237:K329736 K394773:K395272 K460309:K460808 K525845:K526344 K591381:K591880 K656917:K657416 K722453:K722952 K787989:K788488 K853525:K854024 K919061:K919560 F57:F2056">
      <formula1>1</formula1>
      <formula2>9999</formula2>
    </dataValidation>
    <dataValidation type="custom" imeMode="off" allowBlank="1" showErrorMessage="1" errorTitle="エラー" error="半角大文字を入力して下さい。" sqref="X57:X2056">
      <formula1>AND(X57=ASC(X57),EXACT(X57,UPPER(X57)))</formula1>
    </dataValidation>
    <dataValidation type="decimal" imeMode="halfAlpha" operator="greaterThanOrEqual" allowBlank="1" showInputMessage="1" showErrorMessage="1" error="入力した数値を確認して下さい。" sqref="AD57:AE2056">
      <formula1>0</formula1>
    </dataValidation>
    <dataValidation type="whole" imeMode="halfAlpha" allowBlank="1" showInputMessage="1" showErrorMessage="1" error="事業所台帳を確認して下さい。" sqref="B57:B2056">
      <formula1>1</formula1>
      <formula2>$C$2</formula2>
    </dataValidation>
    <dataValidation imeMode="hiragana" allowBlank="1" showInputMessage="1" showErrorMessage="1" sqref="U57:U2056"/>
    <dataValidation type="list" imeMode="hiragana" allowBlank="1" showInputMessage="1" showErrorMessage="1" sqref="E57:E2056">
      <formula1>$BR$2:$BR$43</formula1>
    </dataValidation>
    <dataValidation type="list" allowBlank="1" showInputMessage="1" showErrorMessage="1" error="プルダウンリストから選んで下さい。" sqref="AF57:AF2056">
      <formula1>$CG$2:$CG$4</formula1>
    </dataValidation>
  </dataValidations>
  <hyperlinks>
    <hyperlink ref="AN49:AP49" r:id="rId1" display="http://www.mlit.go.jp/jidosha/lowgas/lowgaskouhyou/index.html"/>
  </hyperlinks>
  <printOptions horizontalCentered="1"/>
  <pageMargins left="0.59055118110236227" right="0.39370078740157483" top="0.78740157480314965" bottom="0.39370078740157483" header="0.59055118110236227" footer="0.19685039370078741"/>
  <pageSetup paperSize="9" orientation="portrait" r:id="rId2"/>
  <headerFooter alignWithMargins="0">
    <oddHeader>&amp;A</oddHeader>
  </headerFooter>
  <colBreaks count="1" manualBreakCount="1">
    <brk id="46" min="12" max="227" man="1"/>
  </colBreaks>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C66"/>
    <pageSetUpPr fitToPage="1"/>
  </sheetPr>
  <dimension ref="A1:E64"/>
  <sheetViews>
    <sheetView zoomScale="80" zoomScaleNormal="80" workbookViewId="0">
      <pane ySplit="3" topLeftCell="A4" activePane="bottomLeft" state="frozen"/>
      <selection pane="bottomLeft" activeCell="G24" sqref="G24"/>
    </sheetView>
  </sheetViews>
  <sheetFormatPr defaultColWidth="9" defaultRowHeight="14.25"/>
  <cols>
    <col min="1" max="1" width="3.875" style="31" customWidth="1"/>
    <col min="2" max="2" width="37.5" style="31" customWidth="1"/>
    <col min="3" max="3" width="10" style="31" customWidth="1"/>
    <col min="4" max="4" width="7.5" style="31" customWidth="1"/>
    <col min="5" max="5" width="75" style="31" customWidth="1"/>
    <col min="6" max="16384" width="9" style="31"/>
  </cols>
  <sheetData>
    <row r="1" spans="1:5" ht="40.5" customHeight="1"/>
    <row r="2" spans="1:5" ht="19.5" thickBot="1">
      <c r="A2" s="38" t="s">
        <v>1616</v>
      </c>
      <c r="B2" s="39"/>
      <c r="C2" s="39"/>
      <c r="D2" s="39"/>
      <c r="E2" s="39"/>
    </row>
    <row r="3" spans="1:5" ht="37.5" customHeight="1" thickBot="1">
      <c r="A3" s="963" t="s">
        <v>8</v>
      </c>
      <c r="B3" s="964"/>
      <c r="C3" s="96" t="s">
        <v>9</v>
      </c>
      <c r="D3" s="97" t="s">
        <v>10</v>
      </c>
      <c r="E3" s="98" t="s">
        <v>279</v>
      </c>
    </row>
    <row r="4" spans="1:5" ht="22.5" customHeight="1">
      <c r="A4" s="965" t="s">
        <v>11</v>
      </c>
      <c r="B4" s="968" t="s">
        <v>12</v>
      </c>
      <c r="C4" s="970"/>
      <c r="D4" s="139"/>
      <c r="E4" s="40" t="s">
        <v>13</v>
      </c>
    </row>
    <row r="5" spans="1:5" ht="22.5" customHeight="1">
      <c r="A5" s="966"/>
      <c r="B5" s="969"/>
      <c r="C5" s="971"/>
      <c r="D5" s="140"/>
      <c r="E5" s="41" t="s">
        <v>14</v>
      </c>
    </row>
    <row r="6" spans="1:5" ht="22.5" customHeight="1">
      <c r="A6" s="966"/>
      <c r="B6" s="969"/>
      <c r="C6" s="971"/>
      <c r="D6" s="140"/>
      <c r="E6" s="41" t="s">
        <v>15</v>
      </c>
    </row>
    <row r="7" spans="1:5" ht="22.5" customHeight="1">
      <c r="A7" s="966"/>
      <c r="B7" s="969"/>
      <c r="C7" s="971"/>
      <c r="D7" s="140"/>
      <c r="E7" s="41" t="s">
        <v>16</v>
      </c>
    </row>
    <row r="8" spans="1:5" ht="22.5" customHeight="1">
      <c r="A8" s="966"/>
      <c r="B8" s="969"/>
      <c r="C8" s="971"/>
      <c r="D8" s="140"/>
      <c r="E8" s="41" t="s">
        <v>17</v>
      </c>
    </row>
    <row r="9" spans="1:5" ht="22.5" customHeight="1">
      <c r="A9" s="966"/>
      <c r="B9" s="969"/>
      <c r="C9" s="971"/>
      <c r="D9" s="140"/>
      <c r="E9" s="41" t="s">
        <v>18</v>
      </c>
    </row>
    <row r="10" spans="1:5" ht="22.5" customHeight="1">
      <c r="A10" s="966"/>
      <c r="B10" s="969"/>
      <c r="C10" s="971"/>
      <c r="D10" s="141"/>
      <c r="E10" s="146" t="s">
        <v>19</v>
      </c>
    </row>
    <row r="11" spans="1:5" ht="22.5" customHeight="1">
      <c r="A11" s="966"/>
      <c r="B11" s="972" t="s">
        <v>1639</v>
      </c>
      <c r="C11" s="973"/>
      <c r="D11" s="142"/>
      <c r="E11" s="42" t="s">
        <v>1640</v>
      </c>
    </row>
    <row r="12" spans="1:5" ht="22.5" customHeight="1">
      <c r="A12" s="966"/>
      <c r="B12" s="969"/>
      <c r="C12" s="971"/>
      <c r="D12" s="140"/>
      <c r="E12" s="41" t="s">
        <v>1641</v>
      </c>
    </row>
    <row r="13" spans="1:5" ht="22.5" customHeight="1">
      <c r="A13" s="966"/>
      <c r="B13" s="969"/>
      <c r="C13" s="971"/>
      <c r="D13" s="140"/>
      <c r="E13" s="41" t="s">
        <v>1642</v>
      </c>
    </row>
    <row r="14" spans="1:5" ht="22.5" customHeight="1">
      <c r="A14" s="966"/>
      <c r="B14" s="969"/>
      <c r="C14" s="971"/>
      <c r="D14" s="140"/>
      <c r="E14" s="41" t="s">
        <v>1643</v>
      </c>
    </row>
    <row r="15" spans="1:5" ht="22.5" customHeight="1">
      <c r="A15" s="966"/>
      <c r="B15" s="969"/>
      <c r="C15" s="971"/>
      <c r="D15" s="140"/>
      <c r="E15" s="41" t="s">
        <v>1644</v>
      </c>
    </row>
    <row r="16" spans="1:5" ht="22.5" customHeight="1">
      <c r="A16" s="966"/>
      <c r="B16" s="969"/>
      <c r="C16" s="971"/>
      <c r="D16" s="141"/>
      <c r="E16" s="146" t="s">
        <v>19</v>
      </c>
    </row>
    <row r="17" spans="1:5" ht="22.5" customHeight="1">
      <c r="A17" s="966"/>
      <c r="B17" s="972" t="s">
        <v>1645</v>
      </c>
      <c r="C17" s="973"/>
      <c r="D17" s="142"/>
      <c r="E17" s="42" t="s">
        <v>1646</v>
      </c>
    </row>
    <row r="18" spans="1:5" ht="22.5" customHeight="1">
      <c r="A18" s="966"/>
      <c r="B18" s="969"/>
      <c r="C18" s="971"/>
      <c r="D18" s="140"/>
      <c r="E18" s="41" t="s">
        <v>1647</v>
      </c>
    </row>
    <row r="19" spans="1:5" ht="22.5" customHeight="1">
      <c r="A19" s="966"/>
      <c r="B19" s="976"/>
      <c r="C19" s="977"/>
      <c r="D19" s="143"/>
      <c r="E19" s="147" t="s">
        <v>19</v>
      </c>
    </row>
    <row r="20" spans="1:5" ht="22.5" customHeight="1">
      <c r="A20" s="966"/>
      <c r="B20" s="972" t="s">
        <v>1648</v>
      </c>
      <c r="C20" s="973"/>
      <c r="D20" s="142"/>
      <c r="E20" s="42" t="s">
        <v>1649</v>
      </c>
    </row>
    <row r="21" spans="1:5" ht="22.5" customHeight="1">
      <c r="A21" s="966"/>
      <c r="B21" s="969"/>
      <c r="C21" s="971"/>
      <c r="D21" s="144"/>
      <c r="E21" s="148" t="s">
        <v>19</v>
      </c>
    </row>
    <row r="22" spans="1:5" ht="22.5" customHeight="1">
      <c r="A22" s="966"/>
      <c r="B22" s="972" t="s">
        <v>1650</v>
      </c>
      <c r="C22" s="973"/>
      <c r="D22" s="142"/>
      <c r="E22" s="42" t="s">
        <v>1651</v>
      </c>
    </row>
    <row r="23" spans="1:5" ht="22.5" customHeight="1">
      <c r="A23" s="966"/>
      <c r="B23" s="976"/>
      <c r="C23" s="977"/>
      <c r="D23" s="144"/>
      <c r="E23" s="148" t="s">
        <v>19</v>
      </c>
    </row>
    <row r="24" spans="1:5" ht="22.5" customHeight="1">
      <c r="A24" s="966"/>
      <c r="B24" s="972" t="s">
        <v>1652</v>
      </c>
      <c r="C24" s="973"/>
      <c r="D24" s="142"/>
      <c r="E24" s="42" t="s">
        <v>1653</v>
      </c>
    </row>
    <row r="25" spans="1:5" ht="22.5" customHeight="1">
      <c r="A25" s="966"/>
      <c r="B25" s="969"/>
      <c r="C25" s="971"/>
      <c r="D25" s="140"/>
      <c r="E25" s="41" t="s">
        <v>1654</v>
      </c>
    </row>
    <row r="26" spans="1:5" ht="22.5" customHeight="1">
      <c r="A26" s="966"/>
      <c r="B26" s="976"/>
      <c r="C26" s="977"/>
      <c r="D26" s="143"/>
      <c r="E26" s="147" t="s">
        <v>19</v>
      </c>
    </row>
    <row r="27" spans="1:5" ht="22.5" customHeight="1">
      <c r="A27" s="966"/>
      <c r="B27" s="974" t="s">
        <v>1655</v>
      </c>
      <c r="C27" s="975"/>
      <c r="D27" s="141"/>
      <c r="E27" s="43" t="s">
        <v>1656</v>
      </c>
    </row>
    <row r="28" spans="1:5" ht="22.5" customHeight="1">
      <c r="A28" s="966"/>
      <c r="B28" s="969"/>
      <c r="C28" s="971"/>
      <c r="D28" s="144"/>
      <c r="E28" s="148" t="s">
        <v>19</v>
      </c>
    </row>
    <row r="29" spans="1:5" ht="22.5" customHeight="1">
      <c r="A29" s="966"/>
      <c r="B29" s="972" t="s">
        <v>1657</v>
      </c>
      <c r="C29" s="973"/>
      <c r="D29" s="142"/>
      <c r="E29" s="42" t="s">
        <v>1666</v>
      </c>
    </row>
    <row r="30" spans="1:5" ht="22.5" customHeight="1">
      <c r="A30" s="966"/>
      <c r="B30" s="969"/>
      <c r="C30" s="971"/>
      <c r="D30" s="140"/>
      <c r="E30" s="41" t="s">
        <v>1667</v>
      </c>
    </row>
    <row r="31" spans="1:5" ht="22.5" customHeight="1">
      <c r="A31" s="966"/>
      <c r="B31" s="976"/>
      <c r="C31" s="977"/>
      <c r="D31" s="143"/>
      <c r="E31" s="147" t="s">
        <v>19</v>
      </c>
    </row>
    <row r="32" spans="1:5" ht="22.5" customHeight="1">
      <c r="A32" s="966"/>
      <c r="B32" s="974" t="s">
        <v>1668</v>
      </c>
      <c r="C32" s="975"/>
      <c r="D32" s="141"/>
      <c r="E32" s="43" t="s">
        <v>1669</v>
      </c>
    </row>
    <row r="33" spans="1:5" ht="22.5" customHeight="1">
      <c r="A33" s="967"/>
      <c r="B33" s="969"/>
      <c r="C33" s="971"/>
      <c r="D33" s="144"/>
      <c r="E33" s="148" t="s">
        <v>19</v>
      </c>
    </row>
    <row r="34" spans="1:5" ht="22.5" customHeight="1">
      <c r="A34" s="978" t="s">
        <v>1670</v>
      </c>
      <c r="B34" s="979"/>
      <c r="C34" s="973"/>
      <c r="D34" s="142"/>
      <c r="E34" s="42" t="s">
        <v>1671</v>
      </c>
    </row>
    <row r="35" spans="1:5" ht="22.5" customHeight="1">
      <c r="A35" s="980"/>
      <c r="B35" s="981"/>
      <c r="C35" s="971"/>
      <c r="D35" s="140"/>
      <c r="E35" s="41" t="s">
        <v>1672</v>
      </c>
    </row>
    <row r="36" spans="1:5" ht="22.5" customHeight="1">
      <c r="A36" s="980"/>
      <c r="B36" s="981"/>
      <c r="C36" s="971"/>
      <c r="D36" s="141"/>
      <c r="E36" s="146" t="s">
        <v>19</v>
      </c>
    </row>
    <row r="37" spans="1:5" ht="22.5" customHeight="1">
      <c r="A37" s="978" t="s">
        <v>1673</v>
      </c>
      <c r="B37" s="979"/>
      <c r="C37" s="973"/>
      <c r="D37" s="142"/>
      <c r="E37" s="42" t="s">
        <v>1674</v>
      </c>
    </row>
    <row r="38" spans="1:5" ht="22.5" customHeight="1">
      <c r="A38" s="980"/>
      <c r="B38" s="981"/>
      <c r="C38" s="971"/>
      <c r="D38" s="140"/>
      <c r="E38" s="41" t="s">
        <v>1675</v>
      </c>
    </row>
    <row r="39" spans="1:5" ht="22.5" customHeight="1">
      <c r="A39" s="980"/>
      <c r="B39" s="981"/>
      <c r="C39" s="971"/>
      <c r="D39" s="140"/>
      <c r="E39" s="41" t="s">
        <v>1676</v>
      </c>
    </row>
    <row r="40" spans="1:5" ht="22.5" customHeight="1">
      <c r="A40" s="980"/>
      <c r="B40" s="981"/>
      <c r="C40" s="971"/>
      <c r="D40" s="140"/>
      <c r="E40" s="41" t="s">
        <v>1677</v>
      </c>
    </row>
    <row r="41" spans="1:5" ht="22.5" customHeight="1">
      <c r="A41" s="980"/>
      <c r="B41" s="981"/>
      <c r="C41" s="971"/>
      <c r="D41" s="141"/>
      <c r="E41" s="146" t="s">
        <v>19</v>
      </c>
    </row>
    <row r="42" spans="1:5" ht="22.5" customHeight="1">
      <c r="A42" s="978" t="s">
        <v>20</v>
      </c>
      <c r="B42" s="979"/>
      <c r="C42" s="973"/>
      <c r="D42" s="142"/>
      <c r="E42" s="42" t="s">
        <v>21</v>
      </c>
    </row>
    <row r="43" spans="1:5" ht="22.5" customHeight="1">
      <c r="A43" s="980"/>
      <c r="B43" s="981"/>
      <c r="C43" s="971"/>
      <c r="D43" s="140"/>
      <c r="E43" s="41" t="s">
        <v>22</v>
      </c>
    </row>
    <row r="44" spans="1:5" ht="22.5" customHeight="1">
      <c r="A44" s="980"/>
      <c r="B44" s="981"/>
      <c r="C44" s="971"/>
      <c r="D44" s="140"/>
      <c r="E44" s="41" t="s">
        <v>23</v>
      </c>
    </row>
    <row r="45" spans="1:5" ht="22.5" customHeight="1">
      <c r="A45" s="980"/>
      <c r="B45" s="981"/>
      <c r="C45" s="971"/>
      <c r="D45" s="140"/>
      <c r="E45" s="41" t="s">
        <v>24</v>
      </c>
    </row>
    <row r="46" spans="1:5" ht="22.5" customHeight="1">
      <c r="A46" s="980"/>
      <c r="B46" s="981"/>
      <c r="C46" s="971"/>
      <c r="D46" s="141"/>
      <c r="E46" s="146" t="s">
        <v>19</v>
      </c>
    </row>
    <row r="47" spans="1:5" ht="22.5" customHeight="1">
      <c r="A47" s="978" t="s">
        <v>1678</v>
      </c>
      <c r="B47" s="979"/>
      <c r="C47" s="973"/>
      <c r="D47" s="142"/>
      <c r="E47" s="42" t="s">
        <v>1679</v>
      </c>
    </row>
    <row r="48" spans="1:5" ht="22.5" customHeight="1">
      <c r="A48" s="980"/>
      <c r="B48" s="981"/>
      <c r="C48" s="971"/>
      <c r="D48" s="140"/>
      <c r="E48" s="41" t="s">
        <v>1680</v>
      </c>
    </row>
    <row r="49" spans="1:5" ht="22.5" customHeight="1">
      <c r="A49" s="980"/>
      <c r="B49" s="981"/>
      <c r="C49" s="971"/>
      <c r="D49" s="140"/>
      <c r="E49" s="41" t="s">
        <v>1681</v>
      </c>
    </row>
    <row r="50" spans="1:5" ht="22.5" customHeight="1">
      <c r="A50" s="980"/>
      <c r="B50" s="981"/>
      <c r="C50" s="971"/>
      <c r="D50" s="140"/>
      <c r="E50" s="41" t="s">
        <v>1682</v>
      </c>
    </row>
    <row r="51" spans="1:5" ht="22.5" customHeight="1">
      <c r="A51" s="980"/>
      <c r="B51" s="981"/>
      <c r="C51" s="971"/>
      <c r="D51" s="141"/>
      <c r="E51" s="146" t="s">
        <v>19</v>
      </c>
    </row>
    <row r="52" spans="1:5" ht="22.5" customHeight="1">
      <c r="A52" s="978" t="s">
        <v>1683</v>
      </c>
      <c r="B52" s="979"/>
      <c r="C52" s="973"/>
      <c r="D52" s="142"/>
      <c r="E52" s="42" t="s">
        <v>1684</v>
      </c>
    </row>
    <row r="53" spans="1:5" ht="22.5" customHeight="1">
      <c r="A53" s="980"/>
      <c r="B53" s="981"/>
      <c r="C53" s="971"/>
      <c r="D53" s="140"/>
      <c r="E53" s="41" t="s">
        <v>1685</v>
      </c>
    </row>
    <row r="54" spans="1:5" ht="22.5" customHeight="1">
      <c r="A54" s="980"/>
      <c r="B54" s="981"/>
      <c r="C54" s="971"/>
      <c r="D54" s="140"/>
      <c r="E54" s="41" t="s">
        <v>1686</v>
      </c>
    </row>
    <row r="55" spans="1:5" ht="22.5" customHeight="1">
      <c r="A55" s="980"/>
      <c r="B55" s="981"/>
      <c r="C55" s="971"/>
      <c r="D55" s="140"/>
      <c r="E55" s="41" t="s">
        <v>1687</v>
      </c>
    </row>
    <row r="56" spans="1:5" ht="22.5" customHeight="1" thickBot="1">
      <c r="A56" s="984"/>
      <c r="B56" s="985"/>
      <c r="C56" s="995"/>
      <c r="D56" s="145"/>
      <c r="E56" s="149" t="s">
        <v>19</v>
      </c>
    </row>
    <row r="57" spans="1:5" ht="18" thickBot="1">
      <c r="A57" s="39"/>
      <c r="B57" s="39"/>
      <c r="C57" s="39"/>
      <c r="D57" s="39"/>
      <c r="E57" s="39"/>
    </row>
    <row r="58" spans="1:5">
      <c r="A58" s="982" t="s">
        <v>25</v>
      </c>
      <c r="B58" s="983"/>
      <c r="C58" s="986"/>
      <c r="D58" s="987"/>
      <c r="E58" s="988"/>
    </row>
    <row r="59" spans="1:5">
      <c r="A59" s="980"/>
      <c r="B59" s="981"/>
      <c r="C59" s="989"/>
      <c r="D59" s="990"/>
      <c r="E59" s="991"/>
    </row>
    <row r="60" spans="1:5">
      <c r="A60" s="980"/>
      <c r="B60" s="981"/>
      <c r="C60" s="989"/>
      <c r="D60" s="990"/>
      <c r="E60" s="991"/>
    </row>
    <row r="61" spans="1:5">
      <c r="A61" s="980"/>
      <c r="B61" s="981"/>
      <c r="C61" s="989"/>
      <c r="D61" s="990"/>
      <c r="E61" s="991"/>
    </row>
    <row r="62" spans="1:5">
      <c r="A62" s="980"/>
      <c r="B62" s="981"/>
      <c r="C62" s="989"/>
      <c r="D62" s="990"/>
      <c r="E62" s="991"/>
    </row>
    <row r="63" spans="1:5">
      <c r="A63" s="980"/>
      <c r="B63" s="981"/>
      <c r="C63" s="989"/>
      <c r="D63" s="990"/>
      <c r="E63" s="991"/>
    </row>
    <row r="64" spans="1:5" ht="15" thickBot="1">
      <c r="A64" s="984"/>
      <c r="B64" s="985"/>
      <c r="C64" s="992"/>
      <c r="D64" s="993"/>
      <c r="E64" s="994"/>
    </row>
  </sheetData>
  <sheetProtection sheet="1" objects="1" scenarios="1"/>
  <dataConsolidate/>
  <mergeCells count="32">
    <mergeCell ref="A58:B64"/>
    <mergeCell ref="C58:E64"/>
    <mergeCell ref="A47:B51"/>
    <mergeCell ref="C47:C51"/>
    <mergeCell ref="A52:B56"/>
    <mergeCell ref="C52:C56"/>
    <mergeCell ref="B20:B21"/>
    <mergeCell ref="C20:C21"/>
    <mergeCell ref="B24:B26"/>
    <mergeCell ref="C24:C26"/>
    <mergeCell ref="A42:B46"/>
    <mergeCell ref="C42:C46"/>
    <mergeCell ref="A34:B36"/>
    <mergeCell ref="C34:C36"/>
    <mergeCell ref="A37:B41"/>
    <mergeCell ref="C37:C41"/>
    <mergeCell ref="A3:B3"/>
    <mergeCell ref="A4:A33"/>
    <mergeCell ref="B4:B10"/>
    <mergeCell ref="C4:C10"/>
    <mergeCell ref="B11:B16"/>
    <mergeCell ref="C11:C16"/>
    <mergeCell ref="B32:B33"/>
    <mergeCell ref="C32:C33"/>
    <mergeCell ref="B27:B28"/>
    <mergeCell ref="C27:C28"/>
    <mergeCell ref="B17:B19"/>
    <mergeCell ref="C17:C19"/>
    <mergeCell ref="B29:B31"/>
    <mergeCell ref="C29:C31"/>
    <mergeCell ref="B22:B23"/>
    <mergeCell ref="C22:C23"/>
  </mergeCells>
  <phoneticPr fontId="15"/>
  <dataValidations count="3">
    <dataValidation imeMode="hiragana" allowBlank="1" showInputMessage="1" showErrorMessage="1" sqref="E10 E16 E19 E21 E23 E26 E28 E31 E33 E36 E41 E46 E51 E56 C58:E64"/>
    <dataValidation type="list" imeMode="hiragana" allowBlank="1" showInputMessage="1" showErrorMessage="1" sqref="C4:C56">
      <formula1>"あり,なし"</formula1>
    </dataValidation>
    <dataValidation type="list" imeMode="hiragana" allowBlank="1" showInputMessage="1" showErrorMessage="1" sqref="D4:D56">
      <formula1>"○,"</formula1>
    </dataValidation>
  </dataValidations>
  <pageMargins left="0.78740157480314965" right="0.39370078740157483" top="0.59055118110236227" bottom="0.59055118110236227" header="0.39370078740157483" footer="0.39370078740157483"/>
  <headerFooter alignWithMargins="0">
    <oddHeader>&amp;A</oddHeader>
  </headerFooter>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C66"/>
    <pageSetUpPr fitToPage="1"/>
  </sheetPr>
  <dimension ref="A1:AZ43"/>
  <sheetViews>
    <sheetView zoomScale="85" zoomScaleNormal="85" zoomScaleSheetLayoutView="85" workbookViewId="0">
      <selection activeCell="O12" sqref="O12:R13"/>
    </sheetView>
  </sheetViews>
  <sheetFormatPr defaultColWidth="9" defaultRowHeight="14.25"/>
  <cols>
    <col min="1" max="1" width="5.875" style="31" customWidth="1"/>
    <col min="2" max="3" width="1.625" style="31" customWidth="1"/>
    <col min="4" max="4" width="14.625" style="31" customWidth="1"/>
    <col min="5" max="5" width="3.875" style="31" customWidth="1"/>
    <col min="6" max="6" width="10.5" style="31" customWidth="1"/>
    <col min="7" max="19" width="7.5" style="31" customWidth="1"/>
    <col min="20" max="20" width="9" style="31"/>
    <col min="21" max="22" width="7.5" style="31" customWidth="1"/>
    <col min="23" max="28" width="9" style="31"/>
    <col min="29" max="29" width="9" style="31" hidden="1" customWidth="1"/>
    <col min="30" max="16384" width="9" style="31"/>
  </cols>
  <sheetData>
    <row r="1" spans="1:52" ht="41.25" customHeight="1">
      <c r="AC1" s="31">
        <f>表紙!$AL$12</f>
        <v>1</v>
      </c>
    </row>
    <row r="2" spans="1:52" s="82" customFormat="1" ht="19.5" thickBot="1">
      <c r="A2" s="81" t="s">
        <v>1614</v>
      </c>
      <c r="G2" s="80" t="s">
        <v>2426</v>
      </c>
      <c r="Q2" s="83"/>
      <c r="R2" s="79" t="s">
        <v>1624</v>
      </c>
    </row>
    <row r="3" spans="1:52" s="18" customFormat="1" ht="31.5" customHeight="1" thickBot="1">
      <c r="A3" s="50"/>
      <c r="B3" s="51"/>
      <c r="C3" s="51"/>
      <c r="D3" s="52"/>
      <c r="E3" s="1077" t="s">
        <v>2428</v>
      </c>
      <c r="F3" s="1078"/>
      <c r="G3" s="658"/>
      <c r="H3" s="659"/>
      <c r="I3" s="659"/>
      <c r="J3" s="659"/>
      <c r="K3" s="659"/>
      <c r="L3" s="659"/>
      <c r="M3" s="659"/>
      <c r="N3" s="660"/>
      <c r="O3" s="1062" t="s">
        <v>2856</v>
      </c>
      <c r="P3" s="1062"/>
      <c r="Q3" s="1058" t="s">
        <v>633</v>
      </c>
      <c r="R3" s="1059"/>
      <c r="U3" s="47"/>
      <c r="V3" s="47"/>
      <c r="AA3" s="33"/>
    </row>
    <row r="4" spans="1:52" s="18" customFormat="1" ht="22.5" customHeight="1" thickTop="1" thickBot="1">
      <c r="A4" s="1080" t="s">
        <v>0</v>
      </c>
      <c r="B4" s="1081"/>
      <c r="C4" s="1081"/>
      <c r="D4" s="1082"/>
      <c r="E4" s="655"/>
      <c r="F4" s="629"/>
      <c r="G4" s="661"/>
      <c r="H4" s="662"/>
      <c r="I4" s="662"/>
      <c r="J4" s="662"/>
      <c r="K4" s="662"/>
      <c r="L4" s="662"/>
      <c r="M4" s="662"/>
      <c r="N4" s="663"/>
      <c r="O4" s="1070"/>
      <c r="P4" s="1070"/>
      <c r="Q4" s="1073" t="str">
        <f>IF(OR(F4="",O4=""),"",ROUND((O4-F4)/F4*100,2))</f>
        <v/>
      </c>
      <c r="R4" s="1074"/>
      <c r="U4" s="620" t="str">
        <f>IF((車両台帳!AD51=0)+(車両台帳!AE51=0),"",ROUND(車両台帳!AD51/車両台帳!AE51,2))</f>
        <v/>
      </c>
      <c r="V4" s="48"/>
      <c r="X4" s="996"/>
      <c r="Y4" s="996"/>
    </row>
    <row r="5" spans="1:52" s="18" customFormat="1" ht="22.5" customHeight="1">
      <c r="A5" s="1049" t="s">
        <v>4</v>
      </c>
      <c r="B5" s="1055" t="s">
        <v>7</v>
      </c>
      <c r="C5" s="1055"/>
      <c r="D5" s="1055"/>
      <c r="E5" s="656"/>
      <c r="F5" s="630"/>
      <c r="G5" s="661"/>
      <c r="H5" s="662"/>
      <c r="I5" s="662"/>
      <c r="J5" s="662"/>
      <c r="K5" s="662"/>
      <c r="L5" s="662"/>
      <c r="M5" s="662"/>
      <c r="N5" s="663"/>
      <c r="O5" s="1079"/>
      <c r="P5" s="1079"/>
      <c r="Q5" s="999" t="str">
        <f t="shared" ref="Q5:Q13" si="0">IF(OR(F5="",O5=""),"",ROUND((F5-O5)/F5*100,2))</f>
        <v/>
      </c>
      <c r="R5" s="1000"/>
      <c r="U5" s="621" t="str">
        <f>IF(車両台帳!AL51="","",ROUND(車両台帳!AL51,2))</f>
        <v/>
      </c>
      <c r="V5" s="48"/>
      <c r="AA5" s="33"/>
    </row>
    <row r="6" spans="1:52" s="18" customFormat="1" ht="22.5" customHeight="1">
      <c r="A6" s="1050"/>
      <c r="B6" s="1035" t="s">
        <v>1</v>
      </c>
      <c r="C6" s="1035"/>
      <c r="D6" s="1035"/>
      <c r="E6" s="656"/>
      <c r="F6" s="631"/>
      <c r="G6" s="661"/>
      <c r="H6" s="662"/>
      <c r="I6" s="662"/>
      <c r="J6" s="662"/>
      <c r="K6" s="662"/>
      <c r="L6" s="662"/>
      <c r="M6" s="662"/>
      <c r="N6" s="663"/>
      <c r="O6" s="1063"/>
      <c r="P6" s="1063"/>
      <c r="Q6" s="1007" t="str">
        <f t="shared" si="0"/>
        <v/>
      </c>
      <c r="R6" s="1008"/>
      <c r="U6" s="622" t="str">
        <f>IF(U5="","",ROUND(U5/車両台帳!$AT$55,2))</f>
        <v/>
      </c>
      <c r="V6" s="339"/>
      <c r="AA6" s="33"/>
      <c r="AB6" s="540"/>
    </row>
    <row r="7" spans="1:52" s="18" customFormat="1" ht="22.5" customHeight="1" thickBot="1">
      <c r="A7" s="1051"/>
      <c r="B7" s="1036" t="s">
        <v>2</v>
      </c>
      <c r="C7" s="1036"/>
      <c r="D7" s="1036"/>
      <c r="E7" s="656"/>
      <c r="F7" s="632"/>
      <c r="G7" s="661"/>
      <c r="H7" s="662"/>
      <c r="I7" s="662"/>
      <c r="J7" s="662"/>
      <c r="K7" s="662"/>
      <c r="L7" s="662"/>
      <c r="M7" s="662"/>
      <c r="N7" s="663"/>
      <c r="O7" s="1083"/>
      <c r="P7" s="1084"/>
      <c r="Q7" s="1001" t="str">
        <f t="shared" si="0"/>
        <v/>
      </c>
      <c r="R7" s="1002"/>
      <c r="U7" s="621" t="str">
        <f>IF(U5="","",ROUND(U5/車両台帳!AD51*1000,2))</f>
        <v/>
      </c>
      <c r="V7" s="48"/>
      <c r="AA7" s="33"/>
    </row>
    <row r="8" spans="1:52" s="18" customFormat="1" ht="22.5" customHeight="1">
      <c r="A8" s="1049" t="s">
        <v>5</v>
      </c>
      <c r="B8" s="1055" t="s">
        <v>7</v>
      </c>
      <c r="C8" s="1055"/>
      <c r="D8" s="1055"/>
      <c r="E8" s="656"/>
      <c r="F8" s="630"/>
      <c r="G8" s="661"/>
      <c r="H8" s="662"/>
      <c r="I8" s="662"/>
      <c r="J8" s="662"/>
      <c r="K8" s="662"/>
      <c r="L8" s="662"/>
      <c r="M8" s="662"/>
      <c r="N8" s="663"/>
      <c r="O8" s="1075"/>
      <c r="P8" s="1076"/>
      <c r="Q8" s="1003" t="str">
        <f t="shared" si="0"/>
        <v/>
      </c>
      <c r="R8" s="1004"/>
      <c r="U8" s="621" t="str">
        <f>IF(車両台帳!AN51="","",ROUND(車両台帳!AN51,2))</f>
        <v/>
      </c>
      <c r="V8" s="48"/>
      <c r="AA8" s="33"/>
    </row>
    <row r="9" spans="1:52" s="18" customFormat="1" ht="22.5" customHeight="1">
      <c r="A9" s="1050"/>
      <c r="B9" s="1035" t="s">
        <v>1</v>
      </c>
      <c r="C9" s="1035"/>
      <c r="D9" s="1035"/>
      <c r="E9" s="656"/>
      <c r="F9" s="631"/>
      <c r="G9" s="661"/>
      <c r="H9" s="662"/>
      <c r="I9" s="662"/>
      <c r="J9" s="662"/>
      <c r="K9" s="662"/>
      <c r="L9" s="662"/>
      <c r="M9" s="662"/>
      <c r="N9" s="663"/>
      <c r="O9" s="1040"/>
      <c r="P9" s="1041"/>
      <c r="Q9" s="1005" t="str">
        <f t="shared" si="0"/>
        <v/>
      </c>
      <c r="R9" s="1006"/>
      <c r="U9" s="622" t="str">
        <f>IF(U8="","",ROUND(U8/車両台帳!$AT$55,2))</f>
        <v/>
      </c>
      <c r="V9" s="339"/>
      <c r="AA9" s="33"/>
    </row>
    <row r="10" spans="1:52" s="18" customFormat="1" ht="22.5" customHeight="1" thickBot="1">
      <c r="A10" s="1051"/>
      <c r="B10" s="1036" t="s">
        <v>2</v>
      </c>
      <c r="C10" s="1036"/>
      <c r="D10" s="1036"/>
      <c r="E10" s="656"/>
      <c r="F10" s="632"/>
      <c r="G10" s="661"/>
      <c r="H10" s="662"/>
      <c r="I10" s="662"/>
      <c r="J10" s="662"/>
      <c r="K10" s="662"/>
      <c r="L10" s="662"/>
      <c r="M10" s="662"/>
      <c r="N10" s="663"/>
      <c r="O10" s="1052"/>
      <c r="P10" s="1053"/>
      <c r="Q10" s="997" t="str">
        <f t="shared" si="0"/>
        <v/>
      </c>
      <c r="R10" s="998"/>
      <c r="U10" s="621" t="str">
        <f>IF(U8="","",ROUND(U8/車両台帳!AD51*1000,2))</f>
        <v/>
      </c>
      <c r="V10" s="48"/>
      <c r="AA10" s="33"/>
    </row>
    <row r="11" spans="1:52" s="18" customFormat="1" ht="22.5" customHeight="1">
      <c r="A11" s="1049" t="s">
        <v>6</v>
      </c>
      <c r="B11" s="1055" t="s">
        <v>7</v>
      </c>
      <c r="C11" s="1055"/>
      <c r="D11" s="1055"/>
      <c r="E11" s="656"/>
      <c r="F11" s="630"/>
      <c r="G11" s="661"/>
      <c r="H11" s="662"/>
      <c r="I11" s="662"/>
      <c r="J11" s="662"/>
      <c r="K11" s="662"/>
      <c r="L11" s="662"/>
      <c r="M11" s="662"/>
      <c r="N11" s="663"/>
      <c r="O11" s="1075"/>
      <c r="P11" s="1076"/>
      <c r="Q11" s="1003" t="str">
        <f t="shared" si="0"/>
        <v/>
      </c>
      <c r="R11" s="1004"/>
      <c r="U11" s="621" t="str">
        <f>IF(車両台帳!AP51="","",ROUND(車両台帳!AP51,2))</f>
        <v/>
      </c>
      <c r="V11" s="48"/>
      <c r="AA11" s="33"/>
    </row>
    <row r="12" spans="1:52" s="18" customFormat="1" ht="22.5" customHeight="1">
      <c r="A12" s="1050"/>
      <c r="B12" s="1035" t="s">
        <v>1</v>
      </c>
      <c r="C12" s="1035"/>
      <c r="D12" s="1035"/>
      <c r="E12" s="656"/>
      <c r="F12" s="631"/>
      <c r="G12" s="661"/>
      <c r="H12" s="662"/>
      <c r="I12" s="662"/>
      <c r="J12" s="662"/>
      <c r="K12" s="662"/>
      <c r="L12" s="662"/>
      <c r="M12" s="662"/>
      <c r="N12" s="663"/>
      <c r="O12" s="1040"/>
      <c r="P12" s="1041"/>
      <c r="Q12" s="1005" t="str">
        <f t="shared" si="0"/>
        <v/>
      </c>
      <c r="R12" s="1006"/>
      <c r="U12" s="622" t="str">
        <f>IF(U11="","",ROUND(U11/車両台帳!$AT$55,2))</f>
        <v/>
      </c>
      <c r="V12" s="339"/>
      <c r="AA12" s="33"/>
      <c r="AZ12" s="34"/>
    </row>
    <row r="13" spans="1:52" s="18" customFormat="1" ht="22.5" customHeight="1" thickBot="1">
      <c r="A13" s="1051"/>
      <c r="B13" s="1036" t="s">
        <v>2</v>
      </c>
      <c r="C13" s="1036"/>
      <c r="D13" s="1036"/>
      <c r="E13" s="657"/>
      <c r="F13" s="632"/>
      <c r="G13" s="664"/>
      <c r="H13" s="665"/>
      <c r="I13" s="665"/>
      <c r="J13" s="665"/>
      <c r="K13" s="665"/>
      <c r="L13" s="665"/>
      <c r="M13" s="665"/>
      <c r="N13" s="666"/>
      <c r="O13" s="1052"/>
      <c r="P13" s="1053"/>
      <c r="Q13" s="997" t="str">
        <f t="shared" si="0"/>
        <v/>
      </c>
      <c r="R13" s="998"/>
      <c r="U13" s="623" t="str">
        <f>IF(U11="","",ROUND(U11/車両台帳!AD51*1000,2))</f>
        <v/>
      </c>
      <c r="V13" s="48"/>
      <c r="AA13" s="33"/>
      <c r="AZ13" s="34"/>
    </row>
    <row r="14" spans="1:52" s="18" customFormat="1" ht="18" customHeight="1">
      <c r="A14" s="35"/>
      <c r="B14" s="35"/>
      <c r="C14" s="35"/>
      <c r="D14" s="35"/>
      <c r="E14" s="35"/>
      <c r="F14" s="35"/>
      <c r="G14" s="36"/>
      <c r="H14" s="37"/>
      <c r="I14" s="35"/>
      <c r="K14" s="35"/>
      <c r="L14" s="35"/>
      <c r="W14" s="33"/>
      <c r="AV14" s="34"/>
    </row>
    <row r="15" spans="1:52" s="82" customFormat="1" ht="19.5" thickBot="1">
      <c r="A15" s="84" t="s">
        <v>1615</v>
      </c>
      <c r="B15" s="85"/>
      <c r="C15" s="85"/>
      <c r="D15" s="85"/>
      <c r="E15" s="85"/>
      <c r="F15" s="85"/>
      <c r="G15" s="86"/>
      <c r="H15" s="87"/>
      <c r="I15" s="87"/>
      <c r="J15" s="87"/>
      <c r="K15" s="87"/>
      <c r="L15" s="87"/>
      <c r="M15" s="87"/>
      <c r="N15" s="87"/>
      <c r="O15" s="87"/>
      <c r="P15" s="87"/>
      <c r="Q15" s="87"/>
      <c r="R15" s="87"/>
      <c r="S15" s="87"/>
      <c r="T15" s="7"/>
    </row>
    <row r="16" spans="1:52" ht="18.75" customHeight="1">
      <c r="A16" s="53"/>
      <c r="B16" s="54"/>
      <c r="C16" s="54"/>
      <c r="D16" s="54"/>
      <c r="E16" s="55"/>
      <c r="F16" s="1037" t="s">
        <v>2429</v>
      </c>
      <c r="G16" s="1033">
        <v>2021</v>
      </c>
      <c r="H16" s="1033"/>
      <c r="I16" s="1033">
        <v>2022</v>
      </c>
      <c r="J16" s="1033"/>
      <c r="K16" s="1033">
        <v>2023</v>
      </c>
      <c r="L16" s="1033"/>
      <c r="M16" s="1033">
        <v>2024</v>
      </c>
      <c r="N16" s="1033"/>
      <c r="O16" s="1033">
        <v>2025</v>
      </c>
      <c r="P16" s="1033"/>
      <c r="Q16" s="1064" t="s">
        <v>2208</v>
      </c>
      <c r="R16" s="1065"/>
      <c r="S16" s="1066"/>
      <c r="T16" s="1"/>
      <c r="U16" s="1"/>
    </row>
    <row r="17" spans="1:22" ht="18.75" customHeight="1">
      <c r="A17" s="56"/>
      <c r="B17" s="57"/>
      <c r="C17" s="57"/>
      <c r="D17" s="57"/>
      <c r="E17" s="58"/>
      <c r="F17" s="1038"/>
      <c r="G17" s="1034"/>
      <c r="H17" s="1034"/>
      <c r="I17" s="1034"/>
      <c r="J17" s="1034"/>
      <c r="K17" s="1034"/>
      <c r="L17" s="1034"/>
      <c r="M17" s="1034"/>
      <c r="N17" s="1034"/>
      <c r="O17" s="1034"/>
      <c r="P17" s="1034"/>
      <c r="Q17" s="1067"/>
      <c r="R17" s="1068"/>
      <c r="S17" s="1069"/>
      <c r="T17" s="1"/>
      <c r="U17" s="1"/>
    </row>
    <row r="18" spans="1:22" ht="22.5" customHeight="1">
      <c r="A18" s="56"/>
      <c r="B18" s="57"/>
      <c r="C18" s="57"/>
      <c r="D18" s="57"/>
      <c r="E18" s="58"/>
      <c r="F18" s="1038"/>
      <c r="G18" s="1017" t="s">
        <v>2209</v>
      </c>
      <c r="H18" s="1012" t="s">
        <v>1794</v>
      </c>
      <c r="I18" s="1017" t="s">
        <v>2209</v>
      </c>
      <c r="J18" s="1012" t="s">
        <v>1794</v>
      </c>
      <c r="K18" s="1017" t="s">
        <v>2209</v>
      </c>
      <c r="L18" s="1012" t="s">
        <v>1794</v>
      </c>
      <c r="M18" s="1017" t="s">
        <v>2209</v>
      </c>
      <c r="N18" s="1012" t="s">
        <v>1794</v>
      </c>
      <c r="O18" s="1017" t="s">
        <v>2209</v>
      </c>
      <c r="P18" s="1056" t="s">
        <v>1794</v>
      </c>
      <c r="Q18" s="1060" t="s">
        <v>2210</v>
      </c>
      <c r="R18" s="1056" t="s">
        <v>1794</v>
      </c>
      <c r="S18" s="1071" t="s">
        <v>3</v>
      </c>
      <c r="T18" s="1"/>
      <c r="U18" s="1"/>
    </row>
    <row r="19" spans="1:22" ht="22.5" customHeight="1" thickBot="1">
      <c r="A19" s="59"/>
      <c r="B19" s="60"/>
      <c r="C19" s="60"/>
      <c r="D19" s="60"/>
      <c r="E19" s="61"/>
      <c r="F19" s="1039"/>
      <c r="G19" s="1018"/>
      <c r="H19" s="1013"/>
      <c r="I19" s="1018"/>
      <c r="J19" s="1013"/>
      <c r="K19" s="1018"/>
      <c r="L19" s="1013"/>
      <c r="M19" s="1018"/>
      <c r="N19" s="1013"/>
      <c r="O19" s="1018"/>
      <c r="P19" s="1057"/>
      <c r="Q19" s="1061"/>
      <c r="R19" s="1057"/>
      <c r="S19" s="1072"/>
      <c r="T19" s="1"/>
      <c r="U19" s="47"/>
    </row>
    <row r="20" spans="1:22" ht="39" customHeight="1" thickTop="1">
      <c r="A20" s="1046" t="s">
        <v>2211</v>
      </c>
      <c r="B20" s="1047"/>
      <c r="C20" s="1047"/>
      <c r="D20" s="1047"/>
      <c r="E20" s="1048"/>
      <c r="F20" s="633"/>
      <c r="G20" s="696"/>
      <c r="H20" s="697"/>
      <c r="I20" s="324"/>
      <c r="J20" s="323"/>
      <c r="K20" s="259"/>
      <c r="L20" s="258"/>
      <c r="M20" s="259"/>
      <c r="N20" s="258"/>
      <c r="O20" s="259"/>
      <c r="P20" s="260"/>
      <c r="Q20" s="261">
        <f>G20+I20+K20+M20+O20</f>
        <v>0</v>
      </c>
      <c r="R20" s="262">
        <f>H20+J20+L20+N20+P20</f>
        <v>0</v>
      </c>
      <c r="S20" s="263">
        <f t="shared" ref="S20:S34" si="1">F20-Q20+R20</f>
        <v>0</v>
      </c>
      <c r="T20" s="1"/>
      <c r="U20" s="624">
        <f t="array" ref="U20">SUM(IF((燃料区分1=6)*(年度末に車両存在=1),1,0))</f>
        <v>0</v>
      </c>
      <c r="V20" s="340"/>
    </row>
    <row r="21" spans="1:22" ht="39" customHeight="1">
      <c r="A21" s="1009" t="s">
        <v>2212</v>
      </c>
      <c r="B21" s="1010"/>
      <c r="C21" s="1010"/>
      <c r="D21" s="1010"/>
      <c r="E21" s="1011"/>
      <c r="F21" s="634"/>
      <c r="G21" s="696"/>
      <c r="H21" s="697"/>
      <c r="I21" s="324"/>
      <c r="J21" s="323"/>
      <c r="K21" s="259"/>
      <c r="L21" s="258"/>
      <c r="M21" s="259"/>
      <c r="N21" s="258"/>
      <c r="O21" s="259"/>
      <c r="P21" s="258"/>
      <c r="Q21" s="261">
        <f t="shared" ref="Q21:Q26" si="2">G21+I21+K21+M21+O21</f>
        <v>0</v>
      </c>
      <c r="R21" s="262">
        <f t="shared" ref="R21:R34" si="3">H21+J21+L21+N21+P21</f>
        <v>0</v>
      </c>
      <c r="S21" s="263">
        <f t="shared" si="1"/>
        <v>0</v>
      </c>
      <c r="T21" s="1"/>
      <c r="U21" s="625">
        <f t="array" ref="U21">SUM(IF(((燃料区分1=2)+(燃料区分1=5))*(年度末に車両存在=1),1))</f>
        <v>0</v>
      </c>
    </row>
    <row r="22" spans="1:22" ht="39" customHeight="1">
      <c r="A22" s="1054" t="s">
        <v>2213</v>
      </c>
      <c r="B22" s="1016"/>
      <c r="C22" s="1016"/>
      <c r="D22" s="1016"/>
      <c r="E22" s="1015"/>
      <c r="F22" s="634"/>
      <c r="G22" s="696"/>
      <c r="H22" s="697"/>
      <c r="I22" s="324"/>
      <c r="J22" s="323"/>
      <c r="K22" s="259"/>
      <c r="L22" s="258"/>
      <c r="M22" s="259"/>
      <c r="N22" s="258"/>
      <c r="O22" s="259"/>
      <c r="P22" s="258"/>
      <c r="Q22" s="261">
        <f t="shared" si="2"/>
        <v>0</v>
      </c>
      <c r="R22" s="262">
        <f t="shared" si="3"/>
        <v>0</v>
      </c>
      <c r="S22" s="263">
        <f t="shared" si="1"/>
        <v>0</v>
      </c>
      <c r="T22" s="1"/>
      <c r="U22" s="625">
        <f t="array" ref="U22">SUM(IF(((燃料区分1=10)+(燃料区分1=11))*(年度末に車両存在=1),1,0))</f>
        <v>0</v>
      </c>
    </row>
    <row r="23" spans="1:22" ht="39" customHeight="1">
      <c r="A23" s="1042" t="s">
        <v>2214</v>
      </c>
      <c r="B23" s="1043"/>
      <c r="C23" s="1043"/>
      <c r="D23" s="1014" t="s">
        <v>2486</v>
      </c>
      <c r="E23" s="1015"/>
      <c r="F23" s="634"/>
      <c r="G23" s="696"/>
      <c r="H23" s="697"/>
      <c r="I23" s="324"/>
      <c r="J23" s="323"/>
      <c r="K23" s="259"/>
      <c r="L23" s="258"/>
      <c r="M23" s="259"/>
      <c r="N23" s="258"/>
      <c r="O23" s="259"/>
      <c r="P23" s="258"/>
      <c r="Q23" s="261">
        <f t="shared" si="2"/>
        <v>0</v>
      </c>
      <c r="R23" s="262">
        <f t="shared" si="3"/>
        <v>0</v>
      </c>
      <c r="S23" s="263">
        <f t="shared" si="1"/>
        <v>0</v>
      </c>
      <c r="T23" s="1"/>
      <c r="U23" s="625">
        <f t="array" ref="U23">SUM(IF(((燃料区分1=1)+(燃料区分1=3))*(排出ガス低減レベル1=3)*(年度末に車両存在=1),1,0))</f>
        <v>0</v>
      </c>
    </row>
    <row r="24" spans="1:22" ht="39" customHeight="1">
      <c r="A24" s="1042"/>
      <c r="B24" s="1043"/>
      <c r="C24" s="1043"/>
      <c r="D24" s="1044" t="s">
        <v>2487</v>
      </c>
      <c r="E24" s="1015"/>
      <c r="F24" s="634"/>
      <c r="G24" s="696"/>
      <c r="H24" s="697"/>
      <c r="I24" s="324"/>
      <c r="J24" s="323"/>
      <c r="K24" s="259"/>
      <c r="L24" s="258"/>
      <c r="M24" s="259"/>
      <c r="N24" s="258"/>
      <c r="O24" s="259"/>
      <c r="P24" s="258"/>
      <c r="Q24" s="261">
        <f t="shared" si="2"/>
        <v>0</v>
      </c>
      <c r="R24" s="262">
        <f t="shared" si="3"/>
        <v>0</v>
      </c>
      <c r="S24" s="263">
        <f t="shared" si="1"/>
        <v>0</v>
      </c>
      <c r="T24" s="1"/>
      <c r="U24" s="625">
        <f t="array" ref="U24">SUM(IF(((燃料区分1=1)+(燃料区分1=3))*(排出ガス低減レベル1=4)*(年度末に車両存在=1),1,0))</f>
        <v>0</v>
      </c>
    </row>
    <row r="25" spans="1:22" ht="39" customHeight="1">
      <c r="A25" s="1042"/>
      <c r="B25" s="1043"/>
      <c r="C25" s="1043"/>
      <c r="D25" s="1019" t="s">
        <v>2488</v>
      </c>
      <c r="E25" s="1020"/>
      <c r="F25" s="634"/>
      <c r="G25" s="696"/>
      <c r="H25" s="697"/>
      <c r="I25" s="324"/>
      <c r="J25" s="323"/>
      <c r="K25" s="259"/>
      <c r="L25" s="258"/>
      <c r="M25" s="259"/>
      <c r="N25" s="258"/>
      <c r="O25" s="259"/>
      <c r="P25" s="258"/>
      <c r="Q25" s="261">
        <f t="shared" si="2"/>
        <v>0</v>
      </c>
      <c r="R25" s="262">
        <f t="shared" ref="R25" si="4">H25+J25+L25+N25+P25</f>
        <v>0</v>
      </c>
      <c r="S25" s="263">
        <f t="shared" ref="S25" si="5">F25-Q25+R25</f>
        <v>0</v>
      </c>
      <c r="T25" s="1"/>
      <c r="U25" s="625">
        <f>COUNTIFS(燃料区分1,1,排出ガス低減レベル1,12,年度末に車両存在,1)+COUNTIFS(燃料区分1,3,排出ガス低減レベル1,12,年度末に車両存在,1)</f>
        <v>0</v>
      </c>
    </row>
    <row r="26" spans="1:22" ht="39" customHeight="1">
      <c r="A26" s="1042"/>
      <c r="B26" s="1043"/>
      <c r="C26" s="1043"/>
      <c r="D26" s="1021" t="s">
        <v>1792</v>
      </c>
      <c r="E26" s="1022"/>
      <c r="F26" s="634"/>
      <c r="G26" s="696"/>
      <c r="H26" s="697"/>
      <c r="I26" s="324"/>
      <c r="J26" s="323"/>
      <c r="K26" s="259"/>
      <c r="L26" s="258"/>
      <c r="M26" s="259"/>
      <c r="N26" s="258"/>
      <c r="O26" s="259"/>
      <c r="P26" s="258"/>
      <c r="Q26" s="261">
        <f t="shared" si="2"/>
        <v>0</v>
      </c>
      <c r="R26" s="262">
        <f t="shared" si="3"/>
        <v>0</v>
      </c>
      <c r="S26" s="263">
        <f t="shared" si="1"/>
        <v>0</v>
      </c>
      <c r="T26" s="1"/>
      <c r="U26" s="625">
        <f>COUNTIFS(燃料区分1,1,排出ガス低減レベル1,"&lt;&gt;3",排出ガス低減レベル1,"&lt;&gt;4",排出ガス低減レベル1,"&lt;&gt;12",年度末に車両存在,1)+COUNTIFS(燃料区分1,3,排出ガス低減レベル1,"&lt;&gt;3",排出ガス低減レベル1,"&lt;&gt;4",排出ガス低減レベル1,"&lt;&gt;12",年度末に車両存在,1)</f>
        <v>0</v>
      </c>
    </row>
    <row r="27" spans="1:22" ht="39" customHeight="1">
      <c r="A27" s="1042" t="s">
        <v>2215</v>
      </c>
      <c r="B27" s="1043"/>
      <c r="C27" s="1043"/>
      <c r="D27" s="1016" t="s">
        <v>247</v>
      </c>
      <c r="E27" s="1015"/>
      <c r="F27" s="634"/>
      <c r="G27" s="696"/>
      <c r="H27" s="697"/>
      <c r="I27" s="324"/>
      <c r="J27" s="323"/>
      <c r="K27" s="259"/>
      <c r="L27" s="258"/>
      <c r="M27" s="259"/>
      <c r="N27" s="258"/>
      <c r="O27" s="259"/>
      <c r="P27" s="258"/>
      <c r="Q27" s="261">
        <f t="shared" ref="Q27:Q34" si="6">G27+I27+K27+M27+O27</f>
        <v>0</v>
      </c>
      <c r="R27" s="262">
        <f t="shared" si="3"/>
        <v>0</v>
      </c>
      <c r="S27" s="263">
        <f t="shared" si="1"/>
        <v>0</v>
      </c>
      <c r="T27" s="1"/>
      <c r="U27" s="625">
        <f t="array" ref="U27">SUM(IF((燃料区分1=4)*(排出ガス低減レベル1=6)*(年度末に車両存在=1),1,0))</f>
        <v>0</v>
      </c>
    </row>
    <row r="28" spans="1:22" ht="39" customHeight="1">
      <c r="A28" s="1042"/>
      <c r="B28" s="1043"/>
      <c r="C28" s="1043"/>
      <c r="D28" s="1044" t="s">
        <v>2489</v>
      </c>
      <c r="E28" s="1015"/>
      <c r="F28" s="634"/>
      <c r="G28" s="696"/>
      <c r="H28" s="697"/>
      <c r="I28" s="324"/>
      <c r="J28" s="323"/>
      <c r="K28" s="259"/>
      <c r="L28" s="258"/>
      <c r="M28" s="259"/>
      <c r="N28" s="258"/>
      <c r="O28" s="259"/>
      <c r="P28" s="258"/>
      <c r="Q28" s="261">
        <f t="shared" si="6"/>
        <v>0</v>
      </c>
      <c r="R28" s="262">
        <f t="shared" si="3"/>
        <v>0</v>
      </c>
      <c r="S28" s="263">
        <f t="shared" si="1"/>
        <v>0</v>
      </c>
      <c r="T28" s="1"/>
      <c r="U28" s="626">
        <f t="array" ref="U28">SUM(IF((燃料区分1=4)*(排出ガス低減レベル1=11)*(年度末に車両存在=1),1,0))</f>
        <v>0</v>
      </c>
    </row>
    <row r="29" spans="1:22" ht="39" customHeight="1">
      <c r="A29" s="1042"/>
      <c r="B29" s="1043"/>
      <c r="C29" s="1043"/>
      <c r="D29" s="1016" t="s">
        <v>248</v>
      </c>
      <c r="E29" s="1015"/>
      <c r="F29" s="634"/>
      <c r="G29" s="696"/>
      <c r="H29" s="697"/>
      <c r="I29" s="324"/>
      <c r="J29" s="323"/>
      <c r="K29" s="259"/>
      <c r="L29" s="258"/>
      <c r="M29" s="259"/>
      <c r="N29" s="258"/>
      <c r="O29" s="259"/>
      <c r="P29" s="258"/>
      <c r="Q29" s="261">
        <f t="shared" si="6"/>
        <v>0</v>
      </c>
      <c r="R29" s="262">
        <f t="shared" si="3"/>
        <v>0</v>
      </c>
      <c r="S29" s="263">
        <f t="shared" si="1"/>
        <v>0</v>
      </c>
      <c r="T29" s="1"/>
      <c r="U29" s="625">
        <f t="array" ref="U29">SUM(IF((燃料区分1=4)*(排出ガス低減レベル1=10)*(年度末に車両存在=1),1,0))</f>
        <v>0</v>
      </c>
    </row>
    <row r="30" spans="1:22" ht="39" customHeight="1">
      <c r="A30" s="1042"/>
      <c r="B30" s="1043"/>
      <c r="C30" s="1043"/>
      <c r="D30" s="1021" t="s">
        <v>2490</v>
      </c>
      <c r="E30" s="1022"/>
      <c r="F30" s="634"/>
      <c r="G30" s="696"/>
      <c r="H30" s="697"/>
      <c r="I30" s="324"/>
      <c r="J30" s="323"/>
      <c r="K30" s="259"/>
      <c r="L30" s="258"/>
      <c r="M30" s="259"/>
      <c r="N30" s="258"/>
      <c r="O30" s="259"/>
      <c r="P30" s="258"/>
      <c r="Q30" s="261">
        <f t="shared" ref="Q30" si="7">G30+I30+K30+M30+O30</f>
        <v>0</v>
      </c>
      <c r="R30" s="262">
        <f t="shared" ref="R30" si="8">H30+J30+L30+N30+P30</f>
        <v>0</v>
      </c>
      <c r="S30" s="263">
        <f t="shared" ref="S30" si="9">F30-Q30+R30</f>
        <v>0</v>
      </c>
      <c r="T30" s="1"/>
      <c r="U30" s="625">
        <f>COUNTIFS(燃料区分1,4,排出ガス低減レベル1,13,年度末に車両存在,1)</f>
        <v>0</v>
      </c>
    </row>
    <row r="31" spans="1:22" ht="39" customHeight="1">
      <c r="A31" s="1042"/>
      <c r="B31" s="1043"/>
      <c r="C31" s="1043"/>
      <c r="D31" s="1044" t="s">
        <v>1291</v>
      </c>
      <c r="E31" s="1045"/>
      <c r="F31" s="634"/>
      <c r="G31" s="696"/>
      <c r="H31" s="697"/>
      <c r="I31" s="324"/>
      <c r="J31" s="323"/>
      <c r="K31" s="259"/>
      <c r="L31" s="258"/>
      <c r="M31" s="259"/>
      <c r="N31" s="258"/>
      <c r="O31" s="259"/>
      <c r="P31" s="258"/>
      <c r="Q31" s="261">
        <f t="shared" si="6"/>
        <v>0</v>
      </c>
      <c r="R31" s="262">
        <f t="shared" si="3"/>
        <v>0</v>
      </c>
      <c r="S31" s="263">
        <f t="shared" si="1"/>
        <v>0</v>
      </c>
      <c r="T31" s="1"/>
      <c r="U31" s="625">
        <f t="array" ref="U31">COUNTIFS(燃料区分1,4,排出ガス低減レベル1,"&lt;&gt;6",排出ガス低減レベル1,"&lt;&gt;11",排出ガス低減レベル1,"&lt;&gt;10",排出ガス低減レベル1,"&lt;&gt;13",年度末に車両存在,1)</f>
        <v>0</v>
      </c>
    </row>
    <row r="32" spans="1:22" ht="39" customHeight="1">
      <c r="A32" s="1009" t="s">
        <v>638</v>
      </c>
      <c r="B32" s="1010"/>
      <c r="C32" s="1010"/>
      <c r="D32" s="1010"/>
      <c r="E32" s="1011"/>
      <c r="F32" s="634"/>
      <c r="G32" s="696"/>
      <c r="H32" s="697"/>
      <c r="I32" s="324"/>
      <c r="J32" s="323"/>
      <c r="K32" s="259"/>
      <c r="L32" s="258"/>
      <c r="M32" s="259"/>
      <c r="N32" s="258"/>
      <c r="O32" s="259"/>
      <c r="P32" s="258"/>
      <c r="Q32" s="261">
        <f t="shared" si="6"/>
        <v>0</v>
      </c>
      <c r="R32" s="262">
        <f t="shared" si="3"/>
        <v>0</v>
      </c>
      <c r="S32" s="263">
        <f t="shared" si="1"/>
        <v>0</v>
      </c>
      <c r="T32" s="1"/>
      <c r="U32" s="625">
        <f t="array" ref="U32">SUM(IF((燃料区分1=8)*(年度末に車両存在=1),1,0))</f>
        <v>0</v>
      </c>
    </row>
    <row r="33" spans="1:22" ht="39" customHeight="1">
      <c r="A33" s="1009" t="s">
        <v>639</v>
      </c>
      <c r="B33" s="1010"/>
      <c r="C33" s="1010"/>
      <c r="D33" s="1010"/>
      <c r="E33" s="1011"/>
      <c r="F33" s="634"/>
      <c r="G33" s="696"/>
      <c r="H33" s="697"/>
      <c r="I33" s="324"/>
      <c r="J33" s="323"/>
      <c r="K33" s="259"/>
      <c r="L33" s="258"/>
      <c r="M33" s="259"/>
      <c r="N33" s="258"/>
      <c r="O33" s="259"/>
      <c r="P33" s="258"/>
      <c r="Q33" s="261">
        <f t="shared" si="6"/>
        <v>0</v>
      </c>
      <c r="R33" s="262">
        <f t="shared" si="3"/>
        <v>0</v>
      </c>
      <c r="S33" s="263">
        <f t="shared" si="1"/>
        <v>0</v>
      </c>
      <c r="T33" s="1"/>
      <c r="U33" s="625">
        <f t="array" ref="U33">SUM(IF((燃料区分1=7)*(年度末に車両存在=1),1,0))</f>
        <v>0</v>
      </c>
    </row>
    <row r="34" spans="1:22" ht="39" customHeight="1" thickBot="1">
      <c r="A34" s="1027" t="s">
        <v>1634</v>
      </c>
      <c r="B34" s="1028"/>
      <c r="C34" s="1028"/>
      <c r="D34" s="1028"/>
      <c r="E34" s="1029"/>
      <c r="F34" s="635"/>
      <c r="G34" s="698"/>
      <c r="H34" s="699"/>
      <c r="I34" s="326"/>
      <c r="J34" s="325"/>
      <c r="K34" s="264"/>
      <c r="L34" s="265"/>
      <c r="M34" s="264"/>
      <c r="N34" s="265"/>
      <c r="O34" s="264"/>
      <c r="P34" s="265"/>
      <c r="Q34" s="266">
        <f t="shared" si="6"/>
        <v>0</v>
      </c>
      <c r="R34" s="267">
        <f t="shared" si="3"/>
        <v>0</v>
      </c>
      <c r="S34" s="263">
        <f t="shared" si="1"/>
        <v>0</v>
      </c>
      <c r="T34" s="1"/>
      <c r="U34" s="627">
        <f t="array" ref="U34">SUM(IF((燃料区分1=9)*(年度末に車両存在=1),1,0))</f>
        <v>0</v>
      </c>
    </row>
    <row r="35" spans="1:22" ht="39" customHeight="1" thickTop="1">
      <c r="A35" s="1030" t="s">
        <v>1795</v>
      </c>
      <c r="B35" s="1031"/>
      <c r="C35" s="1031"/>
      <c r="D35" s="1031"/>
      <c r="E35" s="1032"/>
      <c r="F35" s="268">
        <f>SUM(F20:F34)</f>
        <v>0</v>
      </c>
      <c r="G35" s="315">
        <f>SUM(G20:G34)</f>
        <v>0</v>
      </c>
      <c r="H35" s="316">
        <f>SUM(H20:H34)</f>
        <v>0</v>
      </c>
      <c r="I35" s="317">
        <f>SUM(I20:I34)</f>
        <v>0</v>
      </c>
      <c r="J35" s="316">
        <f>SUM(J20:J34)</f>
        <v>0</v>
      </c>
      <c r="K35" s="270">
        <f t="shared" ref="K35:R35" si="10">SUM(K20:K34)</f>
        <v>0</v>
      </c>
      <c r="L35" s="271">
        <f t="shared" si="10"/>
        <v>0</v>
      </c>
      <c r="M35" s="270">
        <f t="shared" si="10"/>
        <v>0</v>
      </c>
      <c r="N35" s="271">
        <f t="shared" si="10"/>
        <v>0</v>
      </c>
      <c r="O35" s="270">
        <f t="shared" si="10"/>
        <v>0</v>
      </c>
      <c r="P35" s="271">
        <f t="shared" si="10"/>
        <v>0</v>
      </c>
      <c r="Q35" s="269">
        <f t="shared" si="10"/>
        <v>0</v>
      </c>
      <c r="R35" s="272">
        <f t="shared" si="10"/>
        <v>0</v>
      </c>
      <c r="S35" s="273">
        <f>SUM(S20:S34)</f>
        <v>0</v>
      </c>
      <c r="T35" s="1"/>
      <c r="U35" s="44"/>
    </row>
    <row r="36" spans="1:22" ht="39" customHeight="1" thickBot="1">
      <c r="A36" s="1009" t="s">
        <v>1793</v>
      </c>
      <c r="B36" s="1010"/>
      <c r="C36" s="1010"/>
      <c r="D36" s="1010"/>
      <c r="E36" s="1011"/>
      <c r="F36" s="274">
        <f>SUM(F20:F25,F27:F30,F32:F34)</f>
        <v>0</v>
      </c>
      <c r="G36" s="318">
        <f t="shared" ref="G36:S36" si="11">SUM(G20:G25,G27:G30,G32:G34)</f>
        <v>0</v>
      </c>
      <c r="H36" s="319">
        <f t="shared" si="11"/>
        <v>0</v>
      </c>
      <c r="I36" s="320">
        <f t="shared" si="11"/>
        <v>0</v>
      </c>
      <c r="J36" s="321">
        <f t="shared" si="11"/>
        <v>0</v>
      </c>
      <c r="K36" s="276">
        <f t="shared" si="11"/>
        <v>0</v>
      </c>
      <c r="L36" s="263">
        <f t="shared" si="11"/>
        <v>0</v>
      </c>
      <c r="M36" s="277">
        <f t="shared" si="11"/>
        <v>0</v>
      </c>
      <c r="N36" s="275">
        <f t="shared" si="11"/>
        <v>0</v>
      </c>
      <c r="O36" s="276">
        <f t="shared" si="11"/>
        <v>0</v>
      </c>
      <c r="P36" s="277">
        <f t="shared" si="11"/>
        <v>0</v>
      </c>
      <c r="Q36" s="278">
        <f t="shared" si="11"/>
        <v>0</v>
      </c>
      <c r="R36" s="279">
        <f t="shared" si="11"/>
        <v>0</v>
      </c>
      <c r="S36" s="280">
        <f t="shared" si="11"/>
        <v>0</v>
      </c>
      <c r="T36" s="1"/>
      <c r="U36" s="47"/>
    </row>
    <row r="37" spans="1:22" ht="39" customHeight="1" thickTop="1" thickBot="1">
      <c r="A37" s="1024" t="s">
        <v>1635</v>
      </c>
      <c r="B37" s="1025"/>
      <c r="C37" s="1025"/>
      <c r="D37" s="1025"/>
      <c r="E37" s="1026"/>
      <c r="F37" s="636"/>
      <c r="G37" s="700"/>
      <c r="H37" s="701"/>
      <c r="I37" s="328"/>
      <c r="J37" s="327"/>
      <c r="K37" s="281"/>
      <c r="L37" s="282"/>
      <c r="M37" s="281"/>
      <c r="N37" s="282"/>
      <c r="O37" s="281"/>
      <c r="P37" s="282"/>
      <c r="Q37" s="283">
        <f>G37+I37+K37+M37+O37</f>
        <v>0</v>
      </c>
      <c r="R37" s="284">
        <f>H37+J37+L37+N37+P37</f>
        <v>0</v>
      </c>
      <c r="S37" s="285">
        <f>F37-Q37+R37</f>
        <v>0</v>
      </c>
      <c r="T37" s="1"/>
      <c r="U37" s="628">
        <f t="array" aca="1" ref="U37" ca="1">SUM(IF((NOx・PM低減装置="11")+(NOx・PM低減装置="12")+(PM低減装置="21")+(PM低減装置="22")+(PM低減装置="31")+(PM低減装置="32"),1,0))</f>
        <v>0</v>
      </c>
      <c r="V37" s="340"/>
    </row>
    <row r="38" spans="1:22">
      <c r="B38" s="2"/>
      <c r="C38" s="2"/>
      <c r="D38" s="2"/>
      <c r="E38" s="2"/>
      <c r="F38" s="2"/>
      <c r="G38" s="2"/>
      <c r="H38" s="2"/>
      <c r="I38" s="2"/>
      <c r="J38" s="2"/>
      <c r="K38" s="2"/>
      <c r="L38" s="2"/>
      <c r="M38" s="2"/>
      <c r="N38" s="2"/>
      <c r="O38" s="2"/>
      <c r="P38" s="2"/>
      <c r="Q38" s="2"/>
      <c r="R38" s="2"/>
      <c r="S38" s="2"/>
      <c r="T38" s="2"/>
      <c r="U38" s="2"/>
    </row>
    <row r="39" spans="1:22" ht="15" customHeight="1">
      <c r="B39" s="1023" t="s">
        <v>2696</v>
      </c>
      <c r="C39" s="1023"/>
      <c r="D39" s="1023"/>
      <c r="E39" s="1023"/>
      <c r="F39" s="1023"/>
      <c r="G39" s="1023"/>
      <c r="H39" s="1023"/>
      <c r="I39" s="1023"/>
      <c r="J39" s="1023"/>
      <c r="K39" s="1023"/>
      <c r="L39" s="1023"/>
      <c r="M39" s="1023"/>
      <c r="N39" s="1023"/>
      <c r="O39" s="1023"/>
      <c r="P39" s="1023"/>
      <c r="Q39" s="1023"/>
      <c r="R39" s="1023"/>
      <c r="S39" s="1023"/>
      <c r="T39" s="1"/>
      <c r="U39" s="1"/>
    </row>
    <row r="40" spans="1:22" ht="15" customHeight="1">
      <c r="B40" s="1023"/>
      <c r="C40" s="1023"/>
      <c r="D40" s="1023"/>
      <c r="E40" s="1023"/>
      <c r="F40" s="1023"/>
      <c r="G40" s="1023"/>
      <c r="H40" s="1023"/>
      <c r="I40" s="1023"/>
      <c r="J40" s="1023"/>
      <c r="K40" s="1023"/>
      <c r="L40" s="1023"/>
      <c r="M40" s="1023"/>
      <c r="N40" s="1023"/>
      <c r="O40" s="1023"/>
      <c r="P40" s="1023"/>
      <c r="Q40" s="1023"/>
      <c r="R40" s="1023"/>
      <c r="S40" s="1023"/>
      <c r="T40" s="1"/>
      <c r="U40" s="1"/>
    </row>
    <row r="41" spans="1:22" ht="15" customHeight="1">
      <c r="B41" s="1023"/>
      <c r="C41" s="1023"/>
      <c r="D41" s="1023"/>
      <c r="E41" s="1023"/>
      <c r="F41" s="1023"/>
      <c r="G41" s="1023"/>
      <c r="H41" s="1023"/>
      <c r="I41" s="1023"/>
      <c r="J41" s="1023"/>
      <c r="K41" s="1023"/>
      <c r="L41" s="1023"/>
      <c r="M41" s="1023"/>
      <c r="N41" s="1023"/>
      <c r="O41" s="1023"/>
      <c r="P41" s="1023"/>
      <c r="Q41" s="1023"/>
      <c r="R41" s="1023"/>
      <c r="S41" s="1023"/>
      <c r="T41" s="1"/>
      <c r="U41" s="1"/>
    </row>
    <row r="42" spans="1:22">
      <c r="U42" s="31" t="s">
        <v>2270</v>
      </c>
    </row>
    <row r="43" spans="1:22" ht="15" customHeight="1">
      <c r="B43" s="1023" t="s">
        <v>675</v>
      </c>
      <c r="C43" s="1023"/>
      <c r="D43" s="1023"/>
      <c r="E43" s="1023"/>
      <c r="F43" s="1023"/>
      <c r="G43" s="1023"/>
      <c r="H43" s="1023"/>
      <c r="I43" s="1023"/>
      <c r="J43" s="1023"/>
      <c r="K43" s="1023"/>
      <c r="L43" s="1023"/>
      <c r="M43" s="1023"/>
      <c r="N43" s="1023"/>
      <c r="O43" s="1023"/>
      <c r="P43" s="1023"/>
      <c r="Q43" s="1023"/>
      <c r="R43" s="1023"/>
      <c r="S43" s="1023"/>
      <c r="U43" s="341">
        <f>SUM(U20:U34)</f>
        <v>0</v>
      </c>
    </row>
  </sheetData>
  <sheetProtection algorithmName="SHA-512" hashValue="EnsUfemTD2vbFmTh2RtePOzKZcAfve++2z7jgh4KFor1KPqkrwiXfnn+uWLKaYXVOJM4Kp8eUhXycRLs/OIZZw==" saltValue="02FF7SbWPmyXR6XnhKa4vQ==" spinCount="100000" sheet="1" objects="1" scenarios="1"/>
  <mergeCells count="79">
    <mergeCell ref="E3:F3"/>
    <mergeCell ref="O5:P5"/>
    <mergeCell ref="B5:D5"/>
    <mergeCell ref="B8:D8"/>
    <mergeCell ref="B7:D7"/>
    <mergeCell ref="B6:D6"/>
    <mergeCell ref="A4:D4"/>
    <mergeCell ref="A5:A7"/>
    <mergeCell ref="A8:A10"/>
    <mergeCell ref="B9:D9"/>
    <mergeCell ref="B10:D10"/>
    <mergeCell ref="O7:P7"/>
    <mergeCell ref="O8:P8"/>
    <mergeCell ref="O10:P10"/>
    <mergeCell ref="O12:P12"/>
    <mergeCell ref="P18:P19"/>
    <mergeCell ref="Q3:R3"/>
    <mergeCell ref="Q12:R12"/>
    <mergeCell ref="Q18:Q19"/>
    <mergeCell ref="O3:P3"/>
    <mergeCell ref="O16:P17"/>
    <mergeCell ref="O6:P6"/>
    <mergeCell ref="R18:R19"/>
    <mergeCell ref="Q16:S17"/>
    <mergeCell ref="O4:P4"/>
    <mergeCell ref="S18:S19"/>
    <mergeCell ref="Q13:R13"/>
    <mergeCell ref="Q11:R11"/>
    <mergeCell ref="Q4:R4"/>
    <mergeCell ref="O11:P11"/>
    <mergeCell ref="O18:O19"/>
    <mergeCell ref="O9:P9"/>
    <mergeCell ref="A27:C31"/>
    <mergeCell ref="D24:E24"/>
    <mergeCell ref="D28:E28"/>
    <mergeCell ref="D26:E26"/>
    <mergeCell ref="A23:C26"/>
    <mergeCell ref="D31:E31"/>
    <mergeCell ref="A20:E20"/>
    <mergeCell ref="A11:A13"/>
    <mergeCell ref="O13:P13"/>
    <mergeCell ref="A22:E22"/>
    <mergeCell ref="D29:E29"/>
    <mergeCell ref="K18:K19"/>
    <mergeCell ref="B11:D11"/>
    <mergeCell ref="G16:H17"/>
    <mergeCell ref="K16:L17"/>
    <mergeCell ref="M16:N17"/>
    <mergeCell ref="B12:D12"/>
    <mergeCell ref="H18:H19"/>
    <mergeCell ref="B13:D13"/>
    <mergeCell ref="M18:M19"/>
    <mergeCell ref="J18:J19"/>
    <mergeCell ref="G18:G19"/>
    <mergeCell ref="F16:F19"/>
    <mergeCell ref="I16:J17"/>
    <mergeCell ref="B43:S43"/>
    <mergeCell ref="A36:E36"/>
    <mergeCell ref="A37:E37"/>
    <mergeCell ref="A33:E33"/>
    <mergeCell ref="A34:E34"/>
    <mergeCell ref="B39:S41"/>
    <mergeCell ref="A35:E35"/>
    <mergeCell ref="A32:E32"/>
    <mergeCell ref="A21:E21"/>
    <mergeCell ref="N18:N19"/>
    <mergeCell ref="L18:L19"/>
    <mergeCell ref="D23:E23"/>
    <mergeCell ref="D27:E27"/>
    <mergeCell ref="I18:I19"/>
    <mergeCell ref="D25:E25"/>
    <mergeCell ref="D30:E30"/>
    <mergeCell ref="X4:Y4"/>
    <mergeCell ref="Q10:R10"/>
    <mergeCell ref="Q5:R5"/>
    <mergeCell ref="Q7:R7"/>
    <mergeCell ref="Q8:R8"/>
    <mergeCell ref="Q9:R9"/>
    <mergeCell ref="Q6:R6"/>
  </mergeCells>
  <phoneticPr fontId="15"/>
  <conditionalFormatting sqref="U4:U13 U37 U20:U34">
    <cfRule type="expression" dxfId="8" priority="2" stopIfTrue="1">
      <formula>($AC$1=1)+($AC$1=2)</formula>
    </cfRule>
  </conditionalFormatting>
  <conditionalFormatting sqref="F4:F13 F20:F34 F37">
    <cfRule type="expression" dxfId="7" priority="1" stopIfTrue="1">
      <formula>($AC$1=1)+($AC$1=2)</formula>
    </cfRule>
  </conditionalFormatting>
  <dataValidations count="1">
    <dataValidation type="whole" imeMode="off" operator="greaterThanOrEqual" allowBlank="1" showInputMessage="1" showErrorMessage="1" sqref="G37:P37 G20:P34">
      <formula1>0</formula1>
    </dataValidation>
  </dataValidations>
  <pageMargins left="0.78740157480314965" right="0.39370078740157483" top="0.8" bottom="0.59055118110236227" header="0.39370078740157483" footer="0.39370078740157483"/>
  <headerFooter alignWithMargins="0">
    <oddHeader>&amp;C&amp;A</oddHead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9FF99"/>
    <pageSetUpPr fitToPage="1"/>
  </sheetPr>
  <dimension ref="A1:E64"/>
  <sheetViews>
    <sheetView zoomScale="80" zoomScaleNormal="80" workbookViewId="0">
      <pane xSplit="1" ySplit="3" topLeftCell="B4" activePane="bottomRight" state="frozen"/>
      <selection pane="topRight" activeCell="B1" sqref="B1"/>
      <selection pane="bottomLeft" activeCell="A4" sqref="A4"/>
      <selection pane="bottomRight" activeCell="C4" sqref="C4:C10"/>
    </sheetView>
  </sheetViews>
  <sheetFormatPr defaultColWidth="9" defaultRowHeight="14.25"/>
  <cols>
    <col min="1" max="1" width="3.875" style="31" customWidth="1"/>
    <col min="2" max="2" width="37.5" style="31" customWidth="1"/>
    <col min="3" max="3" width="10" style="31" customWidth="1"/>
    <col min="4" max="4" width="7.5" style="31" customWidth="1"/>
    <col min="5" max="5" width="75" style="31" customWidth="1"/>
    <col min="6" max="16384" width="9" style="31"/>
  </cols>
  <sheetData>
    <row r="1" spans="1:5" ht="40.5" customHeight="1"/>
    <row r="2" spans="1:5" ht="19.5" thickBot="1">
      <c r="A2" s="38" t="s">
        <v>1618</v>
      </c>
      <c r="B2" s="39"/>
      <c r="C2" s="39"/>
      <c r="D2" s="39"/>
      <c r="E2" s="39"/>
    </row>
    <row r="3" spans="1:5" ht="37.5" customHeight="1" thickBot="1">
      <c r="A3" s="963" t="s">
        <v>2434</v>
      </c>
      <c r="B3" s="964"/>
      <c r="C3" s="96" t="s">
        <v>2435</v>
      </c>
      <c r="D3" s="97" t="s">
        <v>26</v>
      </c>
      <c r="E3" s="98" t="s">
        <v>279</v>
      </c>
    </row>
    <row r="4" spans="1:5" ht="22.5" customHeight="1">
      <c r="A4" s="965" t="s">
        <v>11</v>
      </c>
      <c r="B4" s="968" t="s">
        <v>12</v>
      </c>
      <c r="C4" s="970"/>
      <c r="D4" s="150"/>
      <c r="E4" s="40" t="s">
        <v>13</v>
      </c>
    </row>
    <row r="5" spans="1:5" ht="22.5" customHeight="1">
      <c r="A5" s="966"/>
      <c r="B5" s="969"/>
      <c r="C5" s="971"/>
      <c r="D5" s="151"/>
      <c r="E5" s="41" t="s">
        <v>14</v>
      </c>
    </row>
    <row r="6" spans="1:5" ht="22.5" customHeight="1">
      <c r="A6" s="966"/>
      <c r="B6" s="969"/>
      <c r="C6" s="971"/>
      <c r="D6" s="151"/>
      <c r="E6" s="41" t="s">
        <v>15</v>
      </c>
    </row>
    <row r="7" spans="1:5" ht="22.5" customHeight="1">
      <c r="A7" s="966"/>
      <c r="B7" s="969"/>
      <c r="C7" s="971"/>
      <c r="D7" s="151"/>
      <c r="E7" s="41" t="s">
        <v>16</v>
      </c>
    </row>
    <row r="8" spans="1:5" ht="22.5" customHeight="1">
      <c r="A8" s="966"/>
      <c r="B8" s="969"/>
      <c r="C8" s="971"/>
      <c r="D8" s="151"/>
      <c r="E8" s="41" t="s">
        <v>17</v>
      </c>
    </row>
    <row r="9" spans="1:5" ht="22.5" customHeight="1">
      <c r="A9" s="966"/>
      <c r="B9" s="969"/>
      <c r="C9" s="971"/>
      <c r="D9" s="151"/>
      <c r="E9" s="41" t="s">
        <v>18</v>
      </c>
    </row>
    <row r="10" spans="1:5" ht="22.5" customHeight="1">
      <c r="A10" s="966"/>
      <c r="B10" s="969"/>
      <c r="C10" s="971"/>
      <c r="D10" s="152"/>
      <c r="E10" s="146" t="s">
        <v>19</v>
      </c>
    </row>
    <row r="11" spans="1:5" ht="22.5" customHeight="1">
      <c r="A11" s="966"/>
      <c r="B11" s="972" t="s">
        <v>1639</v>
      </c>
      <c r="C11" s="973"/>
      <c r="D11" s="153"/>
      <c r="E11" s="42" t="s">
        <v>1640</v>
      </c>
    </row>
    <row r="12" spans="1:5" ht="22.5" customHeight="1">
      <c r="A12" s="966"/>
      <c r="B12" s="969"/>
      <c r="C12" s="971"/>
      <c r="D12" s="151"/>
      <c r="E12" s="41" t="s">
        <v>1641</v>
      </c>
    </row>
    <row r="13" spans="1:5" ht="22.5" customHeight="1">
      <c r="A13" s="966"/>
      <c r="B13" s="969"/>
      <c r="C13" s="971"/>
      <c r="D13" s="151"/>
      <c r="E13" s="41" t="s">
        <v>1642</v>
      </c>
    </row>
    <row r="14" spans="1:5" ht="22.5" customHeight="1">
      <c r="A14" s="966"/>
      <c r="B14" s="969"/>
      <c r="C14" s="971"/>
      <c r="D14" s="151"/>
      <c r="E14" s="41" t="s">
        <v>1643</v>
      </c>
    </row>
    <row r="15" spans="1:5" ht="22.5" customHeight="1">
      <c r="A15" s="966"/>
      <c r="B15" s="969"/>
      <c r="C15" s="971"/>
      <c r="D15" s="151"/>
      <c r="E15" s="41" t="s">
        <v>1644</v>
      </c>
    </row>
    <row r="16" spans="1:5" ht="22.5" customHeight="1">
      <c r="A16" s="966"/>
      <c r="B16" s="969"/>
      <c r="C16" s="971"/>
      <c r="D16" s="152"/>
      <c r="E16" s="146" t="s">
        <v>19</v>
      </c>
    </row>
    <row r="17" spans="1:5" ht="22.5" customHeight="1">
      <c r="A17" s="966"/>
      <c r="B17" s="972" t="s">
        <v>1645</v>
      </c>
      <c r="C17" s="973"/>
      <c r="D17" s="153"/>
      <c r="E17" s="42" t="s">
        <v>1646</v>
      </c>
    </row>
    <row r="18" spans="1:5" ht="22.5" customHeight="1">
      <c r="A18" s="966"/>
      <c r="B18" s="969"/>
      <c r="C18" s="971"/>
      <c r="D18" s="151"/>
      <c r="E18" s="41" t="s">
        <v>1647</v>
      </c>
    </row>
    <row r="19" spans="1:5" ht="22.5" customHeight="1">
      <c r="A19" s="966"/>
      <c r="B19" s="976"/>
      <c r="C19" s="977"/>
      <c r="D19" s="154"/>
      <c r="E19" s="147" t="s">
        <v>19</v>
      </c>
    </row>
    <row r="20" spans="1:5" ht="22.5" customHeight="1">
      <c r="A20" s="966"/>
      <c r="B20" s="972" t="s">
        <v>1648</v>
      </c>
      <c r="C20" s="973"/>
      <c r="D20" s="153"/>
      <c r="E20" s="42" t="s">
        <v>1649</v>
      </c>
    </row>
    <row r="21" spans="1:5" ht="22.5" customHeight="1">
      <c r="A21" s="966"/>
      <c r="B21" s="969"/>
      <c r="C21" s="971"/>
      <c r="D21" s="155"/>
      <c r="E21" s="148" t="s">
        <v>19</v>
      </c>
    </row>
    <row r="22" spans="1:5" ht="22.5" customHeight="1">
      <c r="A22" s="966"/>
      <c r="B22" s="972" t="s">
        <v>1650</v>
      </c>
      <c r="C22" s="973"/>
      <c r="D22" s="153"/>
      <c r="E22" s="42" t="s">
        <v>1651</v>
      </c>
    </row>
    <row r="23" spans="1:5" ht="22.5" customHeight="1">
      <c r="A23" s="966"/>
      <c r="B23" s="976"/>
      <c r="C23" s="977"/>
      <c r="D23" s="155"/>
      <c r="E23" s="148" t="s">
        <v>19</v>
      </c>
    </row>
    <row r="24" spans="1:5" ht="22.5" customHeight="1">
      <c r="A24" s="966"/>
      <c r="B24" s="972" t="s">
        <v>1652</v>
      </c>
      <c r="C24" s="973"/>
      <c r="D24" s="153"/>
      <c r="E24" s="42" t="s">
        <v>1653</v>
      </c>
    </row>
    <row r="25" spans="1:5" ht="22.5" customHeight="1">
      <c r="A25" s="966"/>
      <c r="B25" s="969"/>
      <c r="C25" s="971"/>
      <c r="D25" s="151"/>
      <c r="E25" s="41" t="s">
        <v>1654</v>
      </c>
    </row>
    <row r="26" spans="1:5" ht="22.5" customHeight="1">
      <c r="A26" s="966"/>
      <c r="B26" s="976"/>
      <c r="C26" s="977"/>
      <c r="D26" s="154"/>
      <c r="E26" s="147" t="s">
        <v>19</v>
      </c>
    </row>
    <row r="27" spans="1:5" ht="22.5" customHeight="1">
      <c r="A27" s="966"/>
      <c r="B27" s="974" t="s">
        <v>1655</v>
      </c>
      <c r="C27" s="975"/>
      <c r="D27" s="152"/>
      <c r="E27" s="43" t="s">
        <v>1656</v>
      </c>
    </row>
    <row r="28" spans="1:5" ht="22.5" customHeight="1">
      <c r="A28" s="966"/>
      <c r="B28" s="969"/>
      <c r="C28" s="971"/>
      <c r="D28" s="155"/>
      <c r="E28" s="148" t="s">
        <v>19</v>
      </c>
    </row>
    <row r="29" spans="1:5" ht="22.5" customHeight="1">
      <c r="A29" s="966"/>
      <c r="B29" s="972" t="s">
        <v>1657</v>
      </c>
      <c r="C29" s="973"/>
      <c r="D29" s="153"/>
      <c r="E29" s="42" t="s">
        <v>1666</v>
      </c>
    </row>
    <row r="30" spans="1:5" ht="22.5" customHeight="1">
      <c r="A30" s="966"/>
      <c r="B30" s="969"/>
      <c r="C30" s="971"/>
      <c r="D30" s="151"/>
      <c r="E30" s="41" t="s">
        <v>1667</v>
      </c>
    </row>
    <row r="31" spans="1:5" ht="22.5" customHeight="1">
      <c r="A31" s="966"/>
      <c r="B31" s="976"/>
      <c r="C31" s="977"/>
      <c r="D31" s="154"/>
      <c r="E31" s="147" t="s">
        <v>19</v>
      </c>
    </row>
    <row r="32" spans="1:5" ht="22.5" customHeight="1">
      <c r="A32" s="966"/>
      <c r="B32" s="974" t="s">
        <v>1668</v>
      </c>
      <c r="C32" s="975"/>
      <c r="D32" s="152"/>
      <c r="E32" s="43" t="s">
        <v>1669</v>
      </c>
    </row>
    <row r="33" spans="1:5" ht="22.5" customHeight="1">
      <c r="A33" s="967"/>
      <c r="B33" s="969"/>
      <c r="C33" s="971"/>
      <c r="D33" s="155"/>
      <c r="E33" s="148" t="s">
        <v>19</v>
      </c>
    </row>
    <row r="34" spans="1:5" ht="22.5" customHeight="1">
      <c r="A34" s="978" t="s">
        <v>1670</v>
      </c>
      <c r="B34" s="979"/>
      <c r="C34" s="973"/>
      <c r="D34" s="153"/>
      <c r="E34" s="42" t="s">
        <v>1671</v>
      </c>
    </row>
    <row r="35" spans="1:5" ht="22.5" customHeight="1">
      <c r="A35" s="980"/>
      <c r="B35" s="981"/>
      <c r="C35" s="971"/>
      <c r="D35" s="151"/>
      <c r="E35" s="41" t="s">
        <v>1672</v>
      </c>
    </row>
    <row r="36" spans="1:5" ht="22.5" customHeight="1">
      <c r="A36" s="980"/>
      <c r="B36" s="981"/>
      <c r="C36" s="971"/>
      <c r="D36" s="152"/>
      <c r="E36" s="146" t="s">
        <v>19</v>
      </c>
    </row>
    <row r="37" spans="1:5" ht="22.5" customHeight="1">
      <c r="A37" s="978" t="s">
        <v>1673</v>
      </c>
      <c r="B37" s="979"/>
      <c r="C37" s="973"/>
      <c r="D37" s="153"/>
      <c r="E37" s="42" t="s">
        <v>1674</v>
      </c>
    </row>
    <row r="38" spans="1:5" ht="22.5" customHeight="1">
      <c r="A38" s="980"/>
      <c r="B38" s="981"/>
      <c r="C38" s="971"/>
      <c r="D38" s="151"/>
      <c r="E38" s="41" t="s">
        <v>1675</v>
      </c>
    </row>
    <row r="39" spans="1:5" ht="22.5" customHeight="1">
      <c r="A39" s="980"/>
      <c r="B39" s="981"/>
      <c r="C39" s="971"/>
      <c r="D39" s="151"/>
      <c r="E39" s="41" t="s">
        <v>1676</v>
      </c>
    </row>
    <row r="40" spans="1:5" ht="22.5" customHeight="1">
      <c r="A40" s="980"/>
      <c r="B40" s="981"/>
      <c r="C40" s="971"/>
      <c r="D40" s="151"/>
      <c r="E40" s="41" t="s">
        <v>1677</v>
      </c>
    </row>
    <row r="41" spans="1:5" ht="22.5" customHeight="1">
      <c r="A41" s="980"/>
      <c r="B41" s="981"/>
      <c r="C41" s="971"/>
      <c r="D41" s="152"/>
      <c r="E41" s="146" t="s">
        <v>19</v>
      </c>
    </row>
    <row r="42" spans="1:5" ht="22.5" customHeight="1">
      <c r="A42" s="978" t="s">
        <v>20</v>
      </c>
      <c r="B42" s="979"/>
      <c r="C42" s="973"/>
      <c r="D42" s="153"/>
      <c r="E42" s="42" t="s">
        <v>21</v>
      </c>
    </row>
    <row r="43" spans="1:5" ht="22.5" customHeight="1">
      <c r="A43" s="980"/>
      <c r="B43" s="981"/>
      <c r="C43" s="971"/>
      <c r="D43" s="151"/>
      <c r="E43" s="41" t="s">
        <v>22</v>
      </c>
    </row>
    <row r="44" spans="1:5" ht="22.5" customHeight="1">
      <c r="A44" s="980"/>
      <c r="B44" s="981"/>
      <c r="C44" s="971"/>
      <c r="D44" s="151"/>
      <c r="E44" s="41" t="s">
        <v>23</v>
      </c>
    </row>
    <row r="45" spans="1:5" ht="22.5" customHeight="1">
      <c r="A45" s="980"/>
      <c r="B45" s="981"/>
      <c r="C45" s="971"/>
      <c r="D45" s="151"/>
      <c r="E45" s="41" t="s">
        <v>24</v>
      </c>
    </row>
    <row r="46" spans="1:5" ht="22.5" customHeight="1">
      <c r="A46" s="980"/>
      <c r="B46" s="981"/>
      <c r="C46" s="971"/>
      <c r="D46" s="152"/>
      <c r="E46" s="146" t="s">
        <v>19</v>
      </c>
    </row>
    <row r="47" spans="1:5" ht="22.5" customHeight="1">
      <c r="A47" s="978" t="s">
        <v>1678</v>
      </c>
      <c r="B47" s="979"/>
      <c r="C47" s="973"/>
      <c r="D47" s="153"/>
      <c r="E47" s="42" t="s">
        <v>1679</v>
      </c>
    </row>
    <row r="48" spans="1:5" ht="22.5" customHeight="1">
      <c r="A48" s="980"/>
      <c r="B48" s="981"/>
      <c r="C48" s="971"/>
      <c r="D48" s="151"/>
      <c r="E48" s="41" t="s">
        <v>1680</v>
      </c>
    </row>
    <row r="49" spans="1:5" ht="22.5" customHeight="1">
      <c r="A49" s="980"/>
      <c r="B49" s="981"/>
      <c r="C49" s="971"/>
      <c r="D49" s="151"/>
      <c r="E49" s="41" t="s">
        <v>1681</v>
      </c>
    </row>
    <row r="50" spans="1:5" ht="22.5" customHeight="1">
      <c r="A50" s="980"/>
      <c r="B50" s="981"/>
      <c r="C50" s="971"/>
      <c r="D50" s="151"/>
      <c r="E50" s="41" t="s">
        <v>1682</v>
      </c>
    </row>
    <row r="51" spans="1:5" ht="22.5" customHeight="1">
      <c r="A51" s="980"/>
      <c r="B51" s="981"/>
      <c r="C51" s="971"/>
      <c r="D51" s="152"/>
      <c r="E51" s="146" t="s">
        <v>19</v>
      </c>
    </row>
    <row r="52" spans="1:5" ht="22.5" customHeight="1">
      <c r="A52" s="978" t="s">
        <v>1683</v>
      </c>
      <c r="B52" s="979"/>
      <c r="C52" s="973"/>
      <c r="D52" s="153"/>
      <c r="E52" s="42" t="s">
        <v>1684</v>
      </c>
    </row>
    <row r="53" spans="1:5" ht="22.5" customHeight="1">
      <c r="A53" s="980"/>
      <c r="B53" s="981"/>
      <c r="C53" s="971"/>
      <c r="D53" s="151"/>
      <c r="E53" s="41" t="s">
        <v>1685</v>
      </c>
    </row>
    <row r="54" spans="1:5" ht="22.5" customHeight="1">
      <c r="A54" s="980"/>
      <c r="B54" s="981"/>
      <c r="C54" s="971"/>
      <c r="D54" s="151"/>
      <c r="E54" s="41" t="s">
        <v>1686</v>
      </c>
    </row>
    <row r="55" spans="1:5" ht="22.5" customHeight="1">
      <c r="A55" s="980"/>
      <c r="B55" s="981"/>
      <c r="C55" s="971"/>
      <c r="D55" s="151"/>
      <c r="E55" s="41" t="s">
        <v>1687</v>
      </c>
    </row>
    <row r="56" spans="1:5" ht="22.5" customHeight="1" thickBot="1">
      <c r="A56" s="984"/>
      <c r="B56" s="985"/>
      <c r="C56" s="995"/>
      <c r="D56" s="156"/>
      <c r="E56" s="149" t="s">
        <v>19</v>
      </c>
    </row>
    <row r="57" spans="1:5" ht="18" thickBot="1">
      <c r="A57" s="39"/>
      <c r="B57" s="39"/>
      <c r="C57" s="39"/>
      <c r="D57" s="39"/>
      <c r="E57" s="39"/>
    </row>
    <row r="58" spans="1:5">
      <c r="A58" s="982" t="s">
        <v>25</v>
      </c>
      <c r="B58" s="983"/>
      <c r="C58" s="986"/>
      <c r="D58" s="987"/>
      <c r="E58" s="988"/>
    </row>
    <row r="59" spans="1:5">
      <c r="A59" s="980"/>
      <c r="B59" s="981"/>
      <c r="C59" s="989"/>
      <c r="D59" s="990"/>
      <c r="E59" s="991"/>
    </row>
    <row r="60" spans="1:5">
      <c r="A60" s="980"/>
      <c r="B60" s="981"/>
      <c r="C60" s="989"/>
      <c r="D60" s="990"/>
      <c r="E60" s="991"/>
    </row>
    <row r="61" spans="1:5">
      <c r="A61" s="980"/>
      <c r="B61" s="981"/>
      <c r="C61" s="989"/>
      <c r="D61" s="990"/>
      <c r="E61" s="991"/>
    </row>
    <row r="62" spans="1:5">
      <c r="A62" s="980"/>
      <c r="B62" s="981"/>
      <c r="C62" s="989"/>
      <c r="D62" s="990"/>
      <c r="E62" s="991"/>
    </row>
    <row r="63" spans="1:5">
      <c r="A63" s="980"/>
      <c r="B63" s="981"/>
      <c r="C63" s="989"/>
      <c r="D63" s="990"/>
      <c r="E63" s="991"/>
    </row>
    <row r="64" spans="1:5" ht="15" thickBot="1">
      <c r="A64" s="984"/>
      <c r="B64" s="985"/>
      <c r="C64" s="992"/>
      <c r="D64" s="993"/>
      <c r="E64" s="994"/>
    </row>
  </sheetData>
  <sheetProtection sheet="1" objects="1" scenarios="1"/>
  <mergeCells count="32">
    <mergeCell ref="A58:B64"/>
    <mergeCell ref="C58:E64"/>
    <mergeCell ref="A47:B51"/>
    <mergeCell ref="C47:C51"/>
    <mergeCell ref="A52:B56"/>
    <mergeCell ref="C52:C56"/>
    <mergeCell ref="B20:B21"/>
    <mergeCell ref="C20:C21"/>
    <mergeCell ref="B24:B26"/>
    <mergeCell ref="C24:C26"/>
    <mergeCell ref="A42:B46"/>
    <mergeCell ref="C42:C46"/>
    <mergeCell ref="A34:B36"/>
    <mergeCell ref="C34:C36"/>
    <mergeCell ref="A37:B41"/>
    <mergeCell ref="C37:C41"/>
    <mergeCell ref="A3:B3"/>
    <mergeCell ref="A4:A33"/>
    <mergeCell ref="B4:B10"/>
    <mergeCell ref="C4:C10"/>
    <mergeCell ref="B11:B16"/>
    <mergeCell ref="C11:C16"/>
    <mergeCell ref="B32:B33"/>
    <mergeCell ref="C32:C33"/>
    <mergeCell ref="B27:B28"/>
    <mergeCell ref="C27:C28"/>
    <mergeCell ref="B17:B19"/>
    <mergeCell ref="C17:C19"/>
    <mergeCell ref="B29:B31"/>
    <mergeCell ref="C29:C31"/>
    <mergeCell ref="B22:B23"/>
    <mergeCell ref="C22:C23"/>
  </mergeCells>
  <phoneticPr fontId="15"/>
  <dataValidations count="3">
    <dataValidation imeMode="hiragana" allowBlank="1" showInputMessage="1" showErrorMessage="1" sqref="E10 E16 E19 E21 E23 E26 E28 E31 E33 E36 E41 E46 E51 E56 C58:E64"/>
    <dataValidation type="list" imeMode="hiragana" allowBlank="1" showInputMessage="1" showErrorMessage="1" sqref="C4:C56">
      <formula1>"あり,なし"</formula1>
    </dataValidation>
    <dataValidation type="list" imeMode="hiragana" allowBlank="1" showInputMessage="1" showErrorMessage="1" sqref="D4:D56">
      <formula1>"○,"</formula1>
    </dataValidation>
  </dataValidations>
  <pageMargins left="0.78740157480314965" right="0.39370078740157483" top="0.59055118110236227" bottom="0.39370078740157483" header="0.39370078740157483" footer="0.19685039370078741"/>
  <headerFooter alignWithMargins="0">
    <oddHeader>&amp;C&amp;A</oddHeader>
  </headerFooter>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9FF99"/>
  </sheetPr>
  <dimension ref="A1:AX52"/>
  <sheetViews>
    <sheetView zoomScale="85" zoomScaleNormal="85" zoomScaleSheetLayoutView="70" workbookViewId="0">
      <selection activeCell="X41" sqref="X41"/>
    </sheetView>
  </sheetViews>
  <sheetFormatPr defaultColWidth="9" defaultRowHeight="12"/>
  <cols>
    <col min="1" max="1" width="5.5" style="20" customWidth="1"/>
    <col min="2" max="2" width="2.625" style="20" customWidth="1"/>
    <col min="3" max="4" width="6.125" style="20" customWidth="1"/>
    <col min="5" max="5" width="5.125" style="20" customWidth="1"/>
    <col min="6" max="6" width="8.125" style="20" customWidth="1"/>
    <col min="7" max="21" width="7.5" style="20" customWidth="1"/>
    <col min="22" max="22" width="9" style="20"/>
    <col min="23" max="23" width="7.875" style="20" customWidth="1"/>
    <col min="24" max="25" width="7.5" style="20" customWidth="1"/>
    <col min="26" max="16384" width="9" style="20"/>
  </cols>
  <sheetData>
    <row r="1" spans="1:50" ht="40.5" customHeight="1"/>
    <row r="2" spans="1:50" s="478" customFormat="1" ht="19.5" thickBot="1">
      <c r="A2" s="477" t="s">
        <v>1619</v>
      </c>
      <c r="G2" s="49" t="s">
        <v>2426</v>
      </c>
      <c r="T2" s="479"/>
    </row>
    <row r="3" spans="1:50" s="18" customFormat="1" ht="31.5" customHeight="1" thickBot="1">
      <c r="A3" s="50"/>
      <c r="B3" s="51"/>
      <c r="C3" s="51"/>
      <c r="D3" s="52"/>
      <c r="E3" s="330">
        <f>E16</f>
        <v>0</v>
      </c>
      <c r="F3" s="329" t="s">
        <v>2219</v>
      </c>
      <c r="G3" s="658"/>
      <c r="H3" s="659"/>
      <c r="I3" s="659"/>
      <c r="J3" s="659"/>
      <c r="K3" s="659"/>
      <c r="L3" s="659"/>
      <c r="M3" s="659"/>
      <c r="N3" s="659"/>
      <c r="O3" s="659"/>
      <c r="P3" s="660"/>
      <c r="Q3" s="1146" t="s">
        <v>2857</v>
      </c>
      <c r="R3" s="1146"/>
      <c r="S3" s="1077" t="s">
        <v>474</v>
      </c>
      <c r="T3" s="1141"/>
      <c r="Y3" s="33"/>
    </row>
    <row r="4" spans="1:50" s="18" customFormat="1" ht="22.5" customHeight="1" thickBot="1">
      <c r="A4" s="1080" t="s">
        <v>0</v>
      </c>
      <c r="B4" s="1081"/>
      <c r="C4" s="1081"/>
      <c r="D4" s="1082"/>
      <c r="E4" s="1149" t="str">
        <f>IF(計画2!U4="","",計画2!U4)</f>
        <v/>
      </c>
      <c r="F4" s="1149"/>
      <c r="G4" s="661"/>
      <c r="H4" s="662"/>
      <c r="I4" s="662"/>
      <c r="J4" s="662"/>
      <c r="K4" s="662"/>
      <c r="L4" s="662"/>
      <c r="M4" s="662"/>
      <c r="N4" s="662"/>
      <c r="O4" s="662"/>
      <c r="P4" s="663"/>
      <c r="Q4" s="1148" t="str">
        <f>IF(計画2!O4="","",計画2!O4)</f>
        <v/>
      </c>
      <c r="R4" s="1148"/>
      <c r="S4" s="1142" t="str">
        <f>IF(OR(E4="",Q4=""),"",ROUND(E4/Q4*100,2))</f>
        <v/>
      </c>
      <c r="T4" s="1143"/>
      <c r="W4" s="33"/>
    </row>
    <row r="5" spans="1:50" s="18" customFormat="1" ht="22.5" customHeight="1">
      <c r="A5" s="1049" t="s">
        <v>4</v>
      </c>
      <c r="B5" s="1055" t="s">
        <v>7</v>
      </c>
      <c r="C5" s="1055"/>
      <c r="D5" s="1055"/>
      <c r="E5" s="1087" t="str">
        <f>IF(計画2!U5="","",計画2!U5)</f>
        <v/>
      </c>
      <c r="F5" s="1087"/>
      <c r="G5" s="661"/>
      <c r="H5" s="662"/>
      <c r="I5" s="662"/>
      <c r="J5" s="662"/>
      <c r="K5" s="662"/>
      <c r="L5" s="662"/>
      <c r="M5" s="662"/>
      <c r="N5" s="662"/>
      <c r="O5" s="662"/>
      <c r="P5" s="663"/>
      <c r="Q5" s="1147" t="str">
        <f>IF(計画2!O5="","",計画2!O5)</f>
        <v/>
      </c>
      <c r="R5" s="1147"/>
      <c r="S5" s="1144" t="str">
        <f t="shared" ref="S5:S13" si="0">IF(OR(E5="",Q5=""),"",ROUND(Q5/E5*100,2))</f>
        <v/>
      </c>
      <c r="T5" s="1145"/>
      <c r="Y5" s="33"/>
    </row>
    <row r="6" spans="1:50" s="18" customFormat="1" ht="22.5" customHeight="1">
      <c r="A6" s="1050"/>
      <c r="B6" s="1035" t="s">
        <v>1</v>
      </c>
      <c r="C6" s="1035"/>
      <c r="D6" s="1035"/>
      <c r="E6" s="1086" t="str">
        <f>IF(計画2!U6="","",計画2!U6)</f>
        <v/>
      </c>
      <c r="F6" s="1086"/>
      <c r="G6" s="661"/>
      <c r="H6" s="662"/>
      <c r="I6" s="662"/>
      <c r="J6" s="662"/>
      <c r="K6" s="662"/>
      <c r="L6" s="662"/>
      <c r="M6" s="662"/>
      <c r="N6" s="662"/>
      <c r="O6" s="662"/>
      <c r="P6" s="663"/>
      <c r="Q6" s="1153" t="str">
        <f>IF(計画2!O6="","",計画2!O6)</f>
        <v/>
      </c>
      <c r="R6" s="1153"/>
      <c r="S6" s="1151" t="str">
        <f t="shared" si="0"/>
        <v/>
      </c>
      <c r="T6" s="1152"/>
      <c r="Y6" s="33"/>
    </row>
    <row r="7" spans="1:50" s="18" customFormat="1" ht="22.5" customHeight="1" thickBot="1">
      <c r="A7" s="1051"/>
      <c r="B7" s="1036" t="s">
        <v>2</v>
      </c>
      <c r="C7" s="1036"/>
      <c r="D7" s="1036"/>
      <c r="E7" s="1150" t="str">
        <f>IF(計画2!U7="","",計画2!U7)</f>
        <v/>
      </c>
      <c r="F7" s="1150"/>
      <c r="G7" s="661"/>
      <c r="H7" s="662"/>
      <c r="I7" s="662"/>
      <c r="J7" s="662"/>
      <c r="K7" s="662"/>
      <c r="L7" s="662"/>
      <c r="M7" s="662"/>
      <c r="N7" s="662"/>
      <c r="O7" s="662"/>
      <c r="P7" s="663"/>
      <c r="Q7" s="1154" t="str">
        <f>IF(計画2!O7="","",計画2!O7)</f>
        <v/>
      </c>
      <c r="R7" s="1154"/>
      <c r="S7" s="1155" t="str">
        <f t="shared" si="0"/>
        <v/>
      </c>
      <c r="T7" s="1156"/>
      <c r="V7" s="331"/>
      <c r="Y7" s="33"/>
    </row>
    <row r="8" spans="1:50" s="18" customFormat="1" ht="22.5" customHeight="1">
      <c r="A8" s="1049" t="s">
        <v>5</v>
      </c>
      <c r="B8" s="1055" t="s">
        <v>7</v>
      </c>
      <c r="C8" s="1055"/>
      <c r="D8" s="1055"/>
      <c r="E8" s="1087" t="str">
        <f>IF(計画2!U8="","",計画2!U8)</f>
        <v/>
      </c>
      <c r="F8" s="1087"/>
      <c r="G8" s="661"/>
      <c r="H8" s="662"/>
      <c r="I8" s="662"/>
      <c r="J8" s="662"/>
      <c r="K8" s="662"/>
      <c r="L8" s="662"/>
      <c r="M8" s="662"/>
      <c r="N8" s="662"/>
      <c r="O8" s="662"/>
      <c r="P8" s="663"/>
      <c r="Q8" s="1147" t="str">
        <f>IF(計画2!O8="","",計画2!O8)</f>
        <v/>
      </c>
      <c r="R8" s="1147"/>
      <c r="S8" s="1144" t="str">
        <f t="shared" si="0"/>
        <v/>
      </c>
      <c r="T8" s="1145"/>
      <c r="Y8" s="33"/>
    </row>
    <row r="9" spans="1:50" s="18" customFormat="1" ht="22.5" customHeight="1">
      <c r="A9" s="1050"/>
      <c r="B9" s="1035" t="s">
        <v>1</v>
      </c>
      <c r="C9" s="1035"/>
      <c r="D9" s="1035"/>
      <c r="E9" s="1086" t="str">
        <f>IF(計画2!U9="","",計画2!U9)</f>
        <v/>
      </c>
      <c r="F9" s="1086"/>
      <c r="G9" s="661"/>
      <c r="H9" s="662"/>
      <c r="I9" s="662"/>
      <c r="J9" s="662"/>
      <c r="K9" s="662"/>
      <c r="L9" s="662"/>
      <c r="M9" s="662"/>
      <c r="N9" s="662"/>
      <c r="O9" s="662"/>
      <c r="P9" s="663"/>
      <c r="Q9" s="1153" t="str">
        <f>IF(計画2!O9="","",計画2!O9)</f>
        <v/>
      </c>
      <c r="R9" s="1153"/>
      <c r="S9" s="1151" t="str">
        <f t="shared" si="0"/>
        <v/>
      </c>
      <c r="T9" s="1152"/>
      <c r="Y9" s="33"/>
    </row>
    <row r="10" spans="1:50" s="18" customFormat="1" ht="22.5" customHeight="1" thickBot="1">
      <c r="A10" s="1051"/>
      <c r="B10" s="1036" t="s">
        <v>2</v>
      </c>
      <c r="C10" s="1036"/>
      <c r="D10" s="1036"/>
      <c r="E10" s="1085" t="str">
        <f>IF(計画2!U10="","",計画2!U10)</f>
        <v/>
      </c>
      <c r="F10" s="1085"/>
      <c r="G10" s="661"/>
      <c r="H10" s="662"/>
      <c r="I10" s="662"/>
      <c r="J10" s="662"/>
      <c r="K10" s="662"/>
      <c r="L10" s="662"/>
      <c r="M10" s="662"/>
      <c r="N10" s="662"/>
      <c r="O10" s="662"/>
      <c r="P10" s="663"/>
      <c r="Q10" s="1154" t="str">
        <f>IF(計画2!O10="","",計画2!O10)</f>
        <v/>
      </c>
      <c r="R10" s="1154"/>
      <c r="S10" s="1163" t="str">
        <f t="shared" si="0"/>
        <v/>
      </c>
      <c r="T10" s="1164"/>
      <c r="Y10" s="33"/>
    </row>
    <row r="11" spans="1:50" s="18" customFormat="1" ht="22.5" customHeight="1">
      <c r="A11" s="1049" t="s">
        <v>6</v>
      </c>
      <c r="B11" s="1055" t="s">
        <v>7</v>
      </c>
      <c r="C11" s="1055"/>
      <c r="D11" s="1055"/>
      <c r="E11" s="1094" t="str">
        <f>IF(計画2!U11="","",計画2!U11)</f>
        <v/>
      </c>
      <c r="F11" s="1094"/>
      <c r="G11" s="661"/>
      <c r="H11" s="662"/>
      <c r="I11" s="662"/>
      <c r="J11" s="662"/>
      <c r="K11" s="662"/>
      <c r="L11" s="662"/>
      <c r="M11" s="662"/>
      <c r="N11" s="662"/>
      <c r="O11" s="662"/>
      <c r="P11" s="663"/>
      <c r="Q11" s="1147" t="str">
        <f>IF(計画2!O11="","",計画2!O11)</f>
        <v/>
      </c>
      <c r="R11" s="1147"/>
      <c r="S11" s="1165" t="str">
        <f t="shared" si="0"/>
        <v/>
      </c>
      <c r="T11" s="1166"/>
      <c r="Y11" s="33"/>
    </row>
    <row r="12" spans="1:50" s="18" customFormat="1" ht="22.5" customHeight="1">
      <c r="A12" s="1050"/>
      <c r="B12" s="1035" t="s">
        <v>1</v>
      </c>
      <c r="C12" s="1035"/>
      <c r="D12" s="1035"/>
      <c r="E12" s="1086" t="str">
        <f>IF(計画2!U12="","",計画2!U12)</f>
        <v/>
      </c>
      <c r="F12" s="1086"/>
      <c r="G12" s="661"/>
      <c r="H12" s="662"/>
      <c r="I12" s="662"/>
      <c r="J12" s="662"/>
      <c r="K12" s="662"/>
      <c r="L12" s="662"/>
      <c r="M12" s="662"/>
      <c r="N12" s="662"/>
      <c r="O12" s="662"/>
      <c r="P12" s="663"/>
      <c r="Q12" s="1153" t="str">
        <f>IF(計画2!O12="","",計画2!O12)</f>
        <v/>
      </c>
      <c r="R12" s="1153"/>
      <c r="S12" s="1151" t="str">
        <f t="shared" si="0"/>
        <v/>
      </c>
      <c r="T12" s="1152"/>
      <c r="Y12" s="33"/>
      <c r="AX12" s="34"/>
    </row>
    <row r="13" spans="1:50" s="18" customFormat="1" ht="22.5" customHeight="1" thickBot="1">
      <c r="A13" s="1051"/>
      <c r="B13" s="1036" t="s">
        <v>2</v>
      </c>
      <c r="C13" s="1036"/>
      <c r="D13" s="1036"/>
      <c r="E13" s="1085" t="str">
        <f>IF(計画2!U13="","",計画2!U13)</f>
        <v/>
      </c>
      <c r="F13" s="1085"/>
      <c r="G13" s="664"/>
      <c r="H13" s="665"/>
      <c r="I13" s="665"/>
      <c r="J13" s="665"/>
      <c r="K13" s="665"/>
      <c r="L13" s="665"/>
      <c r="M13" s="665"/>
      <c r="N13" s="665"/>
      <c r="O13" s="665"/>
      <c r="P13" s="666"/>
      <c r="Q13" s="1154" t="str">
        <f>IF(計画2!O13="","",計画2!O13)</f>
        <v/>
      </c>
      <c r="R13" s="1154"/>
      <c r="S13" s="1163" t="str">
        <f t="shared" si="0"/>
        <v/>
      </c>
      <c r="T13" s="1164"/>
      <c r="Y13" s="33"/>
      <c r="AX13" s="34"/>
    </row>
    <row r="14" spans="1:50" ht="18" customHeight="1"/>
    <row r="15" spans="1:50" ht="19.5" customHeight="1" thickBot="1">
      <c r="A15" s="480" t="s">
        <v>1620</v>
      </c>
      <c r="B15" s="481"/>
      <c r="C15" s="481"/>
      <c r="D15" s="481"/>
      <c r="E15" s="481"/>
      <c r="F15" s="481"/>
      <c r="G15" s="481"/>
      <c r="H15" s="481"/>
      <c r="I15" s="481"/>
      <c r="J15" s="481"/>
      <c r="K15" s="481"/>
      <c r="L15" s="481"/>
      <c r="M15" s="481"/>
      <c r="N15" s="481"/>
      <c r="O15" s="481"/>
      <c r="P15" s="481"/>
      <c r="Q15" s="481"/>
      <c r="R15" s="481"/>
      <c r="S15" s="481"/>
      <c r="T15" s="481"/>
      <c r="U15" s="481"/>
    </row>
    <row r="16" spans="1:50" ht="18.75" customHeight="1">
      <c r="A16" s="482" t="s">
        <v>2196</v>
      </c>
      <c r="B16" s="483"/>
      <c r="C16" s="484"/>
      <c r="D16" s="485"/>
      <c r="E16" s="486">
        <f>表紙!AT12</f>
        <v>0</v>
      </c>
      <c r="F16" s="1091" t="s">
        <v>2430</v>
      </c>
      <c r="G16" s="1131"/>
      <c r="H16" s="1132"/>
      <c r="I16" s="1125">
        <v>2021</v>
      </c>
      <c r="J16" s="1125"/>
      <c r="K16" s="1139">
        <v>2022</v>
      </c>
      <c r="L16" s="1125"/>
      <c r="M16" s="1125">
        <v>2023</v>
      </c>
      <c r="N16" s="1125"/>
      <c r="O16" s="1125">
        <v>2024</v>
      </c>
      <c r="P16" s="1125"/>
      <c r="Q16" s="1125">
        <v>2025</v>
      </c>
      <c r="R16" s="1167"/>
      <c r="S16" s="1157" t="s">
        <v>2208</v>
      </c>
      <c r="T16" s="1158"/>
      <c r="U16" s="1159"/>
      <c r="X16" s="487" t="s">
        <v>1587</v>
      </c>
      <c r="Y16" s="481"/>
    </row>
    <row r="17" spans="1:26" ht="18.75" customHeight="1">
      <c r="A17" s="488"/>
      <c r="B17" s="489"/>
      <c r="C17" s="489"/>
      <c r="D17" s="490"/>
      <c r="E17" s="491"/>
      <c r="F17" s="1092"/>
      <c r="G17" s="1133"/>
      <c r="H17" s="1134"/>
      <c r="I17" s="1126"/>
      <c r="J17" s="1126"/>
      <c r="K17" s="1140"/>
      <c r="L17" s="1126"/>
      <c r="M17" s="1126"/>
      <c r="N17" s="1126"/>
      <c r="O17" s="1126"/>
      <c r="P17" s="1126"/>
      <c r="Q17" s="1126"/>
      <c r="R17" s="1168"/>
      <c r="S17" s="1160"/>
      <c r="T17" s="1161"/>
      <c r="U17" s="1162"/>
      <c r="X17" s="492"/>
      <c r="Y17" s="569">
        <f>E16</f>
        <v>0</v>
      </c>
      <c r="Z17" s="493" t="s">
        <v>2183</v>
      </c>
    </row>
    <row r="18" spans="1:26" ht="23.25" customHeight="1">
      <c r="A18" s="488"/>
      <c r="B18" s="489"/>
      <c r="C18" s="489"/>
      <c r="D18" s="490"/>
      <c r="E18" s="491"/>
      <c r="F18" s="1092"/>
      <c r="G18" s="1129"/>
      <c r="H18" s="1135"/>
      <c r="I18" s="1129" t="s">
        <v>1288</v>
      </c>
      <c r="J18" s="1137" t="s">
        <v>1794</v>
      </c>
      <c r="K18" s="1127" t="s">
        <v>1288</v>
      </c>
      <c r="L18" s="1137" t="s">
        <v>1794</v>
      </c>
      <c r="M18" s="1129" t="s">
        <v>1288</v>
      </c>
      <c r="N18" s="1137" t="s">
        <v>1794</v>
      </c>
      <c r="O18" s="1129" t="s">
        <v>1288</v>
      </c>
      <c r="P18" s="1137" t="s">
        <v>1794</v>
      </c>
      <c r="Q18" s="1129" t="s">
        <v>1288</v>
      </c>
      <c r="R18" s="1171" t="s">
        <v>1794</v>
      </c>
      <c r="S18" s="1178" t="s">
        <v>2210</v>
      </c>
      <c r="T18" s="1176" t="s">
        <v>1794</v>
      </c>
      <c r="U18" s="1175" t="s">
        <v>3</v>
      </c>
      <c r="X18" s="1173" t="s">
        <v>1585</v>
      </c>
      <c r="Y18" s="1173" t="s">
        <v>1586</v>
      </c>
    </row>
    <row r="19" spans="1:26" ht="23.25" customHeight="1" thickBot="1">
      <c r="A19" s="494"/>
      <c r="B19" s="495"/>
      <c r="C19" s="495"/>
      <c r="D19" s="496"/>
      <c r="E19" s="497"/>
      <c r="F19" s="1093"/>
      <c r="G19" s="1130"/>
      <c r="H19" s="1136"/>
      <c r="I19" s="1130"/>
      <c r="J19" s="1138"/>
      <c r="K19" s="1128"/>
      <c r="L19" s="1138"/>
      <c r="M19" s="1130"/>
      <c r="N19" s="1138"/>
      <c r="O19" s="1130"/>
      <c r="P19" s="1138"/>
      <c r="Q19" s="1130"/>
      <c r="R19" s="1172"/>
      <c r="S19" s="1179"/>
      <c r="T19" s="1177"/>
      <c r="U19" s="1137"/>
      <c r="X19" s="1174"/>
      <c r="Y19" s="1174"/>
    </row>
    <row r="20" spans="1:26" ht="39" customHeight="1" thickTop="1">
      <c r="A20" s="1088" t="s">
        <v>676</v>
      </c>
      <c r="B20" s="1089"/>
      <c r="C20" s="1089"/>
      <c r="D20" s="1089"/>
      <c r="E20" s="1090"/>
      <c r="F20" s="498" t="str">
        <f>IF(計画2!F20="","",計画2!F20)</f>
        <v/>
      </c>
      <c r="G20" s="286"/>
      <c r="H20" s="294"/>
      <c r="I20" s="289"/>
      <c r="J20" s="288"/>
      <c r="K20" s="287"/>
      <c r="L20" s="288"/>
      <c r="M20" s="289"/>
      <c r="N20" s="288"/>
      <c r="O20" s="289"/>
      <c r="P20" s="288"/>
      <c r="Q20" s="289"/>
      <c r="R20" s="290"/>
      <c r="S20" s="499">
        <f>SUM(I20,K20,M20,O20,Q20)</f>
        <v>0</v>
      </c>
      <c r="T20" s="500">
        <f>SUM(J20,L20,N20,P20,R20)</f>
        <v>0</v>
      </c>
      <c r="U20" s="501">
        <f>IF(ISERROR(F20-S20+T20),0-S20+T20,F20-S20+T20)</f>
        <v>0</v>
      </c>
      <c r="X20" s="789">
        <f>COUNTIFS(燃料区分1,6,廃車,3)</f>
        <v>0</v>
      </c>
      <c r="Y20" s="790">
        <f>COUNTIFS(燃料区分1,6,廃車,2)</f>
        <v>0</v>
      </c>
      <c r="Z20" s="502"/>
    </row>
    <row r="21" spans="1:26" ht="39" customHeight="1">
      <c r="A21" s="1098" t="s">
        <v>677</v>
      </c>
      <c r="B21" s="1099"/>
      <c r="C21" s="1099"/>
      <c r="D21" s="1099"/>
      <c r="E21" s="1100"/>
      <c r="F21" s="498" t="str">
        <f>IF(計画2!F21="","",計画2!F21)</f>
        <v/>
      </c>
      <c r="G21" s="286"/>
      <c r="H21" s="294"/>
      <c r="I21" s="293"/>
      <c r="J21" s="292"/>
      <c r="K21" s="291"/>
      <c r="L21" s="292"/>
      <c r="M21" s="293"/>
      <c r="N21" s="292"/>
      <c r="O21" s="293"/>
      <c r="P21" s="292"/>
      <c r="Q21" s="293"/>
      <c r="R21" s="294"/>
      <c r="S21" s="503">
        <f t="shared" ref="S21:S29" si="1">SUM(I21,K21,M21,O21,Q21)</f>
        <v>0</v>
      </c>
      <c r="T21" s="504">
        <f t="shared" ref="T21:T29" si="2">SUM(J21,L21,N21,P21,R21)</f>
        <v>0</v>
      </c>
      <c r="U21" s="505">
        <f t="shared" ref="U21:U34" si="3">IF(ISERROR(F21-S21+T21),0-S21+T21,F21-S21+T21)</f>
        <v>0</v>
      </c>
      <c r="X21" s="791">
        <f>COUNTIFS(燃料区分1,2,廃車,3)+COUNTIFS(燃料区分1,5,廃車,3)</f>
        <v>0</v>
      </c>
      <c r="Y21" s="792">
        <f>COUNTIFS(燃料区分1,2,廃車,2)+COUNTIFS(燃料区分1,5,廃車,2)</f>
        <v>0</v>
      </c>
    </row>
    <row r="22" spans="1:26" ht="39" customHeight="1">
      <c r="A22" s="1098" t="s">
        <v>678</v>
      </c>
      <c r="B22" s="1099"/>
      <c r="C22" s="1099"/>
      <c r="D22" s="1099"/>
      <c r="E22" s="1100"/>
      <c r="F22" s="498" t="str">
        <f>IF(計画2!F22="","",計画2!F22)</f>
        <v/>
      </c>
      <c r="G22" s="295"/>
      <c r="H22" s="299"/>
      <c r="I22" s="298"/>
      <c r="J22" s="297"/>
      <c r="K22" s="296"/>
      <c r="L22" s="297"/>
      <c r="M22" s="298"/>
      <c r="N22" s="297"/>
      <c r="O22" s="298"/>
      <c r="P22" s="297"/>
      <c r="Q22" s="298"/>
      <c r="R22" s="299"/>
      <c r="S22" s="503">
        <f t="shared" si="1"/>
        <v>0</v>
      </c>
      <c r="T22" s="504">
        <f t="shared" si="2"/>
        <v>0</v>
      </c>
      <c r="U22" s="506">
        <f t="shared" si="3"/>
        <v>0</v>
      </c>
      <c r="X22" s="791">
        <f>COUNTIFS(燃料区分1,11,廃車,3)+COUNTIFS(燃料区分1,10,廃車,3)</f>
        <v>0</v>
      </c>
      <c r="Y22" s="792">
        <f>COUNTIFS(燃料区分1,11,廃車,2)+COUNTIFS(燃料区分1,10,廃車,2)</f>
        <v>0</v>
      </c>
    </row>
    <row r="23" spans="1:26" ht="39" customHeight="1">
      <c r="A23" s="1107" t="s">
        <v>1852</v>
      </c>
      <c r="B23" s="1108"/>
      <c r="C23" s="1104" t="s">
        <v>2491</v>
      </c>
      <c r="D23" s="1105"/>
      <c r="E23" s="1106"/>
      <c r="F23" s="507" t="str">
        <f>IF(計画2!F23="","",計画2!F23)</f>
        <v/>
      </c>
      <c r="G23" s="295"/>
      <c r="H23" s="299"/>
      <c r="I23" s="298"/>
      <c r="J23" s="297"/>
      <c r="K23" s="296"/>
      <c r="L23" s="297"/>
      <c r="M23" s="298"/>
      <c r="N23" s="297"/>
      <c r="O23" s="298"/>
      <c r="P23" s="297"/>
      <c r="Q23" s="298"/>
      <c r="R23" s="299"/>
      <c r="S23" s="503">
        <f t="shared" si="1"/>
        <v>0</v>
      </c>
      <c r="T23" s="504">
        <f t="shared" si="2"/>
        <v>0</v>
      </c>
      <c r="U23" s="506">
        <f t="shared" si="3"/>
        <v>0</v>
      </c>
      <c r="X23" s="791">
        <f>COUNTIFS(燃料区分1,1,排出ガス低減レベル1,3,廃車,3)+COUNTIFS(燃料区分1,3,排出ガス低減レベル1,3,廃車,3)</f>
        <v>0</v>
      </c>
      <c r="Y23" s="792">
        <f>COUNTIFS(燃料区分1,1,排出ガス低減レベル1,3,廃車,2)+COUNTIFS(燃料区分1,3,排出ガス低減レベル1,3,廃車,2)</f>
        <v>0</v>
      </c>
    </row>
    <row r="24" spans="1:26" ht="39" customHeight="1">
      <c r="A24" s="1107"/>
      <c r="B24" s="1108"/>
      <c r="C24" s="1104" t="s">
        <v>2492</v>
      </c>
      <c r="D24" s="1105"/>
      <c r="E24" s="1106"/>
      <c r="F24" s="507" t="str">
        <f>IF(計画2!F24="","",計画2!F24)</f>
        <v/>
      </c>
      <c r="G24" s="295"/>
      <c r="H24" s="299"/>
      <c r="I24" s="298"/>
      <c r="J24" s="297"/>
      <c r="K24" s="296"/>
      <c r="L24" s="297"/>
      <c r="M24" s="298"/>
      <c r="N24" s="297"/>
      <c r="O24" s="298"/>
      <c r="P24" s="297"/>
      <c r="Q24" s="298"/>
      <c r="R24" s="299"/>
      <c r="S24" s="503">
        <f t="shared" si="1"/>
        <v>0</v>
      </c>
      <c r="T24" s="504">
        <f t="shared" si="2"/>
        <v>0</v>
      </c>
      <c r="U24" s="506">
        <f t="shared" si="3"/>
        <v>0</v>
      </c>
      <c r="X24" s="791">
        <f>COUNTIFS(燃料区分1,1,排出ガス低減レベル1,4,廃車,3)+COUNTIFS(燃料区分1,3,排出ガス低減レベル1,4,廃車,3)</f>
        <v>0</v>
      </c>
      <c r="Y24" s="792">
        <f>COUNTIFS(燃料区分1,1,排出ガス低減レベル1,4,廃車,2)+COUNTIFS(燃料区分1,3,排出ガス低減レベル1,4,廃車,2)</f>
        <v>0</v>
      </c>
    </row>
    <row r="25" spans="1:26" ht="39" customHeight="1">
      <c r="A25" s="1107"/>
      <c r="B25" s="1108"/>
      <c r="C25" s="1104" t="s">
        <v>2493</v>
      </c>
      <c r="D25" s="1105"/>
      <c r="E25" s="1106"/>
      <c r="F25" s="507" t="str">
        <f>IF(計画2!F25="","",計画2!F25)</f>
        <v/>
      </c>
      <c r="G25" s="295"/>
      <c r="H25" s="299"/>
      <c r="I25" s="298"/>
      <c r="J25" s="297"/>
      <c r="K25" s="296"/>
      <c r="L25" s="297"/>
      <c r="M25" s="298"/>
      <c r="N25" s="297"/>
      <c r="O25" s="298"/>
      <c r="P25" s="297"/>
      <c r="Q25" s="298"/>
      <c r="R25" s="299"/>
      <c r="S25" s="503">
        <f t="shared" ref="S25" si="4">SUM(I25,K25,M25,O25,Q25)</f>
        <v>0</v>
      </c>
      <c r="T25" s="504">
        <f t="shared" ref="T25" si="5">SUM(J25,L25,N25,P25,R25)</f>
        <v>0</v>
      </c>
      <c r="U25" s="506">
        <f t="shared" si="3"/>
        <v>0</v>
      </c>
      <c r="X25" s="791">
        <f>COUNTIFS(燃料区分1,1,排出ガス低減レベル1,12,廃車,3)+COUNTIFS(燃料区分1,3,排出ガス低減レベル1,12,廃車,3)</f>
        <v>0</v>
      </c>
      <c r="Y25" s="792">
        <f>COUNTIFS(燃料区分1,1,排出ガス低減レベル1,12,廃車,2)+COUNTIFS(燃料区分1,3,排出ガス低減レベル1,12,廃車,2)</f>
        <v>0</v>
      </c>
    </row>
    <row r="26" spans="1:26" ht="39" customHeight="1">
      <c r="A26" s="1107"/>
      <c r="B26" s="1108"/>
      <c r="C26" s="1109" t="s">
        <v>1792</v>
      </c>
      <c r="D26" s="1105"/>
      <c r="E26" s="1106"/>
      <c r="F26" s="507" t="str">
        <f>IF(計画2!F26="","",計画2!F26)</f>
        <v/>
      </c>
      <c r="G26" s="295"/>
      <c r="H26" s="299"/>
      <c r="I26" s="298"/>
      <c r="J26" s="297"/>
      <c r="K26" s="296"/>
      <c r="L26" s="297"/>
      <c r="M26" s="298"/>
      <c r="N26" s="297"/>
      <c r="O26" s="298"/>
      <c r="P26" s="297"/>
      <c r="Q26" s="298"/>
      <c r="R26" s="299"/>
      <c r="S26" s="503">
        <f t="shared" si="1"/>
        <v>0</v>
      </c>
      <c r="T26" s="504">
        <f t="shared" si="2"/>
        <v>0</v>
      </c>
      <c r="U26" s="506">
        <f t="shared" si="3"/>
        <v>0</v>
      </c>
      <c r="X26" s="791">
        <f>COUNTIFS(燃料区分1,1,排出ガス低減レベル1,"&lt;&gt;3",排出ガス低減レベル1,"&lt;&gt;4",排出ガス低減レベル1,"&lt;&gt;12",廃車,3)+COUNTIFS(燃料区分1,3,排出ガス低減レベル1,"&lt;&gt;3",排出ガス低減レベル1,"&lt;&gt;4",排出ガス低減レベル1,"&lt;&gt;12",廃車,3)</f>
        <v>0</v>
      </c>
      <c r="Y26" s="792">
        <f>COUNTIFS(燃料区分1,1,排出ガス低減レベル1,"&lt;&gt;3",排出ガス低減レベル1,"&lt;&gt;4",排出ガス低減レベル1,"&lt;&gt;12",廃車,2)+COUNTIFS(燃料区分1,3,排出ガス低減レベル1,"&lt;&gt;3",排出ガス低減レベル1,"&lt;&gt;4",排出ガス低減レベル1,"&lt;&gt;12",廃車,2)</f>
        <v>0</v>
      </c>
    </row>
    <row r="27" spans="1:26" ht="39" customHeight="1">
      <c r="A27" s="1110" t="s">
        <v>1289</v>
      </c>
      <c r="B27" s="1111"/>
      <c r="C27" s="1109" t="s">
        <v>1290</v>
      </c>
      <c r="D27" s="1105"/>
      <c r="E27" s="1106"/>
      <c r="F27" s="507" t="str">
        <f>IF(計画2!F27="","",計画2!F27)</f>
        <v/>
      </c>
      <c r="G27" s="295"/>
      <c r="H27" s="299"/>
      <c r="I27" s="298"/>
      <c r="J27" s="297"/>
      <c r="K27" s="296"/>
      <c r="L27" s="297"/>
      <c r="M27" s="298"/>
      <c r="N27" s="297"/>
      <c r="O27" s="298"/>
      <c r="P27" s="297"/>
      <c r="Q27" s="298"/>
      <c r="R27" s="299"/>
      <c r="S27" s="503">
        <f t="shared" si="1"/>
        <v>0</v>
      </c>
      <c r="T27" s="504">
        <f t="shared" si="2"/>
        <v>0</v>
      </c>
      <c r="U27" s="506">
        <f t="shared" si="3"/>
        <v>0</v>
      </c>
      <c r="X27" s="791">
        <f>COUNTIFS(燃料区分1,4,排出ガス低減レベル1,6,廃車,3)</f>
        <v>0</v>
      </c>
      <c r="Y27" s="792">
        <f>COUNTIFS(燃料区分1,4,排出ガス低減レベル1,6,廃車,2)</f>
        <v>0</v>
      </c>
    </row>
    <row r="28" spans="1:26" ht="39" customHeight="1">
      <c r="A28" s="1112"/>
      <c r="B28" s="1113"/>
      <c r="C28" s="1116" t="s">
        <v>679</v>
      </c>
      <c r="D28" s="1117"/>
      <c r="E28" s="1118"/>
      <c r="F28" s="507" t="str">
        <f>IF(計画2!F28="","",計画2!F28)</f>
        <v/>
      </c>
      <c r="G28" s="475"/>
      <c r="H28" s="297"/>
      <c r="I28" s="298"/>
      <c r="J28" s="297"/>
      <c r="K28" s="296"/>
      <c r="L28" s="297"/>
      <c r="M28" s="298"/>
      <c r="N28" s="297"/>
      <c r="O28" s="298"/>
      <c r="P28" s="297"/>
      <c r="Q28" s="298"/>
      <c r="R28" s="299"/>
      <c r="S28" s="503">
        <f t="shared" si="1"/>
        <v>0</v>
      </c>
      <c r="T28" s="504">
        <f t="shared" si="2"/>
        <v>0</v>
      </c>
      <c r="U28" s="506">
        <f t="shared" si="3"/>
        <v>0</v>
      </c>
      <c r="X28" s="791">
        <f>COUNTIFS(燃料区分1,4,排出ガス低減レベル1,11,廃車,3)</f>
        <v>0</v>
      </c>
      <c r="Y28" s="792">
        <f>COUNTIFS(燃料区分1,4,排出ガス低減レベル1,11,廃車,2)</f>
        <v>0</v>
      </c>
    </row>
    <row r="29" spans="1:26" ht="39" customHeight="1">
      <c r="A29" s="1112"/>
      <c r="B29" s="1113"/>
      <c r="C29" s="1119" t="s">
        <v>680</v>
      </c>
      <c r="D29" s="1120"/>
      <c r="E29" s="1121"/>
      <c r="F29" s="507" t="str">
        <f>IF(計画2!F29="","",計画2!F29)</f>
        <v/>
      </c>
      <c r="G29" s="475"/>
      <c r="H29" s="297"/>
      <c r="I29" s="298"/>
      <c r="J29" s="297"/>
      <c r="K29" s="296"/>
      <c r="L29" s="297"/>
      <c r="M29" s="298"/>
      <c r="N29" s="297"/>
      <c r="O29" s="298"/>
      <c r="P29" s="297"/>
      <c r="Q29" s="298"/>
      <c r="R29" s="299"/>
      <c r="S29" s="503">
        <f t="shared" si="1"/>
        <v>0</v>
      </c>
      <c r="T29" s="504">
        <f t="shared" si="2"/>
        <v>0</v>
      </c>
      <c r="U29" s="506">
        <f t="shared" si="3"/>
        <v>0</v>
      </c>
      <c r="X29" s="791">
        <f>COUNTIFS(燃料区分1,4,排出ガス低減レベル1,10,廃車,3)</f>
        <v>0</v>
      </c>
      <c r="Y29" s="792">
        <f>COUNTIFS(燃料区分1,4,排出ガス低減レベル1,10,廃車,2)</f>
        <v>0</v>
      </c>
    </row>
    <row r="30" spans="1:26" ht="39" customHeight="1">
      <c r="A30" s="1112"/>
      <c r="B30" s="1113"/>
      <c r="C30" s="1104" t="s">
        <v>2494</v>
      </c>
      <c r="D30" s="1117"/>
      <c r="E30" s="1118"/>
      <c r="F30" s="507" t="str">
        <f>IF(計画2!F30="","",計画2!F30)</f>
        <v/>
      </c>
      <c r="G30" s="295"/>
      <c r="H30" s="299"/>
      <c r="I30" s="298"/>
      <c r="J30" s="297"/>
      <c r="K30" s="296"/>
      <c r="L30" s="297"/>
      <c r="M30" s="298"/>
      <c r="N30" s="297"/>
      <c r="O30" s="298"/>
      <c r="P30" s="297"/>
      <c r="Q30" s="298"/>
      <c r="R30" s="299"/>
      <c r="S30" s="503">
        <f t="shared" ref="S30" si="6">SUM(I30,K30,M30,O30,Q30)</f>
        <v>0</v>
      </c>
      <c r="T30" s="504">
        <f t="shared" ref="T30" si="7">SUM(J30,L30,N30,P30,R30)</f>
        <v>0</v>
      </c>
      <c r="U30" s="506">
        <f t="shared" si="3"/>
        <v>0</v>
      </c>
      <c r="X30" s="793">
        <f>COUNTIFS(燃料区分1,4,排出ガス低減レベル1,13,廃車,3)</f>
        <v>0</v>
      </c>
      <c r="Y30" s="794">
        <f>COUNTIFS(燃料区分1,4,排出ガス低減レベル1,13,廃車,2)</f>
        <v>0</v>
      </c>
    </row>
    <row r="31" spans="1:26" ht="39" customHeight="1">
      <c r="A31" s="1114"/>
      <c r="B31" s="1115"/>
      <c r="C31" s="1122" t="s">
        <v>1291</v>
      </c>
      <c r="D31" s="1123"/>
      <c r="E31" s="1124"/>
      <c r="F31" s="507" t="str">
        <f>IF(計画2!F31="","",計画2!F31)</f>
        <v/>
      </c>
      <c r="G31" s="295"/>
      <c r="H31" s="299"/>
      <c r="I31" s="301"/>
      <c r="J31" s="297"/>
      <c r="K31" s="300"/>
      <c r="L31" s="297"/>
      <c r="M31" s="301"/>
      <c r="N31" s="297"/>
      <c r="O31" s="301"/>
      <c r="P31" s="297"/>
      <c r="Q31" s="301"/>
      <c r="R31" s="299"/>
      <c r="S31" s="508">
        <f t="shared" ref="S31:T34" si="8">SUM(I31,K31,M31,O31,Q31)</f>
        <v>0</v>
      </c>
      <c r="T31" s="509">
        <f t="shared" si="8"/>
        <v>0</v>
      </c>
      <c r="U31" s="506">
        <f t="shared" si="3"/>
        <v>0</v>
      </c>
      <c r="X31" s="793">
        <f>COUNTIFS(燃料区分1,4,排出ガス低減レベル1,"&lt;&gt;6",排出ガス低減レベル1,"&lt;&gt;11",排出ガス低減レベル1,"&lt;&gt;10",排出ガス低減レベル1,"&lt;&gt;13",廃車,3)</f>
        <v>0</v>
      </c>
      <c r="Y31" s="794">
        <f>COUNTIFS(燃料区分1,4,排出ガス低減レベル1,"&lt;&gt;6",排出ガス低減レベル1,"&lt;&gt;11",排出ガス低減レベル1,"&lt;&gt;10",排出ガス低減レベル1,"&lt;&gt;13",廃車,2)</f>
        <v>0</v>
      </c>
    </row>
    <row r="32" spans="1:26" ht="39" customHeight="1">
      <c r="A32" s="1098" t="s">
        <v>638</v>
      </c>
      <c r="B32" s="1099"/>
      <c r="C32" s="1099"/>
      <c r="D32" s="1099"/>
      <c r="E32" s="1100"/>
      <c r="F32" s="510" t="str">
        <f>IF(計画2!F32="","",計画2!F32)</f>
        <v/>
      </c>
      <c r="G32" s="295"/>
      <c r="H32" s="299"/>
      <c r="I32" s="298"/>
      <c r="J32" s="297"/>
      <c r="K32" s="296"/>
      <c r="L32" s="297"/>
      <c r="M32" s="298"/>
      <c r="N32" s="297"/>
      <c r="O32" s="298"/>
      <c r="P32" s="297"/>
      <c r="Q32" s="298"/>
      <c r="R32" s="299"/>
      <c r="S32" s="508">
        <f t="shared" si="8"/>
        <v>0</v>
      </c>
      <c r="T32" s="509">
        <f t="shared" si="8"/>
        <v>0</v>
      </c>
      <c r="U32" s="506">
        <f t="shared" si="3"/>
        <v>0</v>
      </c>
      <c r="X32" s="791">
        <f>COUNTIFS(燃料区分1,8,廃車,3)</f>
        <v>0</v>
      </c>
      <c r="Y32" s="792">
        <f>COUNTIFS(燃料区分1,8,廃車,2)</f>
        <v>0</v>
      </c>
    </row>
    <row r="33" spans="1:41" ht="39" customHeight="1">
      <c r="A33" s="1098" t="s">
        <v>639</v>
      </c>
      <c r="B33" s="1099"/>
      <c r="C33" s="1099"/>
      <c r="D33" s="1099"/>
      <c r="E33" s="1100"/>
      <c r="F33" s="510" t="str">
        <f>IF(計画2!F33="","",計画2!F33)</f>
        <v/>
      </c>
      <c r="G33" s="295"/>
      <c r="H33" s="299"/>
      <c r="I33" s="298"/>
      <c r="J33" s="297"/>
      <c r="K33" s="296"/>
      <c r="L33" s="297"/>
      <c r="M33" s="298"/>
      <c r="N33" s="297"/>
      <c r="O33" s="298"/>
      <c r="P33" s="297"/>
      <c r="Q33" s="298"/>
      <c r="R33" s="299"/>
      <c r="S33" s="508">
        <f t="shared" si="8"/>
        <v>0</v>
      </c>
      <c r="T33" s="509">
        <f t="shared" si="8"/>
        <v>0</v>
      </c>
      <c r="U33" s="506">
        <f t="shared" si="3"/>
        <v>0</v>
      </c>
      <c r="X33" s="791">
        <f>COUNTIFS(燃料区分1,7,廃車,3)</f>
        <v>0</v>
      </c>
      <c r="Y33" s="792">
        <f>COUNTIFS(燃料区分1,7,廃車,2)</f>
        <v>0</v>
      </c>
    </row>
    <row r="34" spans="1:41" ht="39" customHeight="1" thickBot="1">
      <c r="A34" s="1101" t="s">
        <v>1634</v>
      </c>
      <c r="B34" s="1102"/>
      <c r="C34" s="1102"/>
      <c r="D34" s="1102"/>
      <c r="E34" s="1103"/>
      <c r="F34" s="510" t="str">
        <f>IF(計画2!F34="","",計画2!F34)</f>
        <v/>
      </c>
      <c r="G34" s="302"/>
      <c r="H34" s="335"/>
      <c r="I34" s="305"/>
      <c r="J34" s="304"/>
      <c r="K34" s="303"/>
      <c r="L34" s="304"/>
      <c r="M34" s="305"/>
      <c r="N34" s="304"/>
      <c r="O34" s="305"/>
      <c r="P34" s="304"/>
      <c r="Q34" s="305"/>
      <c r="R34" s="304"/>
      <c r="S34" s="511">
        <f t="shared" si="8"/>
        <v>0</v>
      </c>
      <c r="T34" s="512">
        <f t="shared" si="8"/>
        <v>0</v>
      </c>
      <c r="U34" s="513">
        <f t="shared" si="3"/>
        <v>0</v>
      </c>
      <c r="X34" s="795">
        <f>COUNTIFS(燃料区分1,9,廃車,3)</f>
        <v>0</v>
      </c>
      <c r="Y34" s="796">
        <f>COUNTIFS(燃料区分1,9,廃車,2)</f>
        <v>0</v>
      </c>
    </row>
    <row r="35" spans="1:41" ht="39" customHeight="1" thickTop="1">
      <c r="A35" s="1180" t="s">
        <v>1795</v>
      </c>
      <c r="B35" s="1181"/>
      <c r="C35" s="1181"/>
      <c r="D35" s="1181"/>
      <c r="E35" s="1182"/>
      <c r="F35" s="514">
        <f>IF(計画2!F35="","",計画2!F35)</f>
        <v>0</v>
      </c>
      <c r="G35" s="515"/>
      <c r="H35" s="516"/>
      <c r="I35" s="517">
        <f>SUM(I20:I34)</f>
        <v>0</v>
      </c>
      <c r="J35" s="518">
        <f t="shared" ref="J35:U35" si="9">SUM(J20:J34)</f>
        <v>0</v>
      </c>
      <c r="K35" s="519">
        <f t="shared" si="9"/>
        <v>0</v>
      </c>
      <c r="L35" s="518">
        <f t="shared" si="9"/>
        <v>0</v>
      </c>
      <c r="M35" s="517">
        <f t="shared" si="9"/>
        <v>0</v>
      </c>
      <c r="N35" s="518">
        <f t="shared" si="9"/>
        <v>0</v>
      </c>
      <c r="O35" s="517">
        <f t="shared" si="9"/>
        <v>0</v>
      </c>
      <c r="P35" s="518">
        <f t="shared" si="9"/>
        <v>0</v>
      </c>
      <c r="Q35" s="517">
        <f t="shared" si="9"/>
        <v>0</v>
      </c>
      <c r="R35" s="518">
        <f t="shared" si="9"/>
        <v>0</v>
      </c>
      <c r="S35" s="515">
        <f t="shared" si="9"/>
        <v>0</v>
      </c>
      <c r="T35" s="520">
        <f t="shared" si="9"/>
        <v>0</v>
      </c>
      <c r="U35" s="521">
        <f t="shared" si="9"/>
        <v>0</v>
      </c>
      <c r="X35" s="481"/>
      <c r="Y35" s="481"/>
    </row>
    <row r="36" spans="1:41" ht="39" customHeight="1" thickBot="1">
      <c r="A36" s="1101" t="s">
        <v>1793</v>
      </c>
      <c r="B36" s="1102"/>
      <c r="C36" s="1102"/>
      <c r="D36" s="1102"/>
      <c r="E36" s="1103"/>
      <c r="F36" s="510">
        <f>IF(計画2!F36="","",計画2!F36)</f>
        <v>0</v>
      </c>
      <c r="G36" s="522"/>
      <c r="H36" s="523"/>
      <c r="I36" s="524">
        <f>SUM(I20:I25,I27:I30,I32:I34)</f>
        <v>0</v>
      </c>
      <c r="J36" s="525">
        <f t="shared" ref="J36:U36" si="10">SUM(J20:J25,J27:J30,J32:J34)</f>
        <v>0</v>
      </c>
      <c r="K36" s="526">
        <f t="shared" si="10"/>
        <v>0</v>
      </c>
      <c r="L36" s="525">
        <f t="shared" si="10"/>
        <v>0</v>
      </c>
      <c r="M36" s="524">
        <f t="shared" si="10"/>
        <v>0</v>
      </c>
      <c r="N36" s="525">
        <f t="shared" si="10"/>
        <v>0</v>
      </c>
      <c r="O36" s="524">
        <f t="shared" si="10"/>
        <v>0</v>
      </c>
      <c r="P36" s="525">
        <f t="shared" si="10"/>
        <v>0</v>
      </c>
      <c r="Q36" s="524">
        <f t="shared" si="10"/>
        <v>0</v>
      </c>
      <c r="R36" s="525">
        <f t="shared" si="10"/>
        <v>0</v>
      </c>
      <c r="S36" s="522">
        <f t="shared" si="10"/>
        <v>0</v>
      </c>
      <c r="T36" s="527">
        <f t="shared" si="10"/>
        <v>0</v>
      </c>
      <c r="U36" s="528">
        <f t="shared" si="10"/>
        <v>0</v>
      </c>
      <c r="X36" s="481"/>
      <c r="Y36" s="481"/>
    </row>
    <row r="37" spans="1:41" ht="39" customHeight="1" thickTop="1" thickBot="1">
      <c r="A37" s="1095" t="s">
        <v>1635</v>
      </c>
      <c r="B37" s="1096"/>
      <c r="C37" s="1096"/>
      <c r="D37" s="1096"/>
      <c r="E37" s="1097"/>
      <c r="F37" s="529" t="str">
        <f>IF(計画2!F37="","",計画2!F37)</f>
        <v/>
      </c>
      <c r="G37" s="306"/>
      <c r="H37" s="336"/>
      <c r="I37" s="309"/>
      <c r="J37" s="308"/>
      <c r="K37" s="307"/>
      <c r="L37" s="308"/>
      <c r="M37" s="309"/>
      <c r="N37" s="308"/>
      <c r="O37" s="309"/>
      <c r="P37" s="308"/>
      <c r="Q37" s="309"/>
      <c r="R37" s="308"/>
      <c r="S37" s="530">
        <f>SUM(I37,K37,M37,O37,Q37)</f>
        <v>0</v>
      </c>
      <c r="T37" s="531">
        <f>SUM(J37,L37,N37,P37,R37)</f>
        <v>0</v>
      </c>
      <c r="U37" s="532">
        <f>IF(ISERROR(F37-S37+T37),0-S37+T37,F37-S37+T37)</f>
        <v>0</v>
      </c>
      <c r="X37" s="797">
        <f t="array" aca="1" ref="X37" ca="1">IF(Y17="","",SUM(IF((NOx・PM低減装置="13")+(PM低減装置="23")+(PM低減装置="33"),1,0)))</f>
        <v>0</v>
      </c>
      <c r="Y37" s="798">
        <f t="array" aca="1" ref="Y37" ca="1">IF(Y17="","",SUM(IF((NOx・PM低減装置="12")+(PM低減装置="22")+(PM低減装置="32"),1,0)))</f>
        <v>0</v>
      </c>
    </row>
    <row r="38" spans="1:41">
      <c r="A38" s="481"/>
      <c r="B38" s="481"/>
      <c r="C38" s="481"/>
      <c r="D38" s="481"/>
      <c r="E38" s="481"/>
      <c r="F38" s="481"/>
    </row>
    <row r="39" spans="1:41" ht="14.25">
      <c r="B39" s="533" t="s">
        <v>2253</v>
      </c>
      <c r="C39" s="481"/>
      <c r="D39" s="481"/>
      <c r="E39" s="481"/>
      <c r="F39" s="481"/>
    </row>
    <row r="40" spans="1:41" ht="14.25" customHeight="1">
      <c r="C40" s="534"/>
      <c r="D40" s="534"/>
      <c r="E40" s="534"/>
      <c r="F40" s="534"/>
      <c r="T40" s="534"/>
      <c r="X40" s="535" t="s">
        <v>2268</v>
      </c>
      <c r="Y40" s="535" t="s">
        <v>2269</v>
      </c>
    </row>
    <row r="41" spans="1:41" ht="15" customHeight="1">
      <c r="B41" s="1169" t="s">
        <v>2695</v>
      </c>
      <c r="C41" s="1169"/>
      <c r="D41" s="1169"/>
      <c r="E41" s="1169"/>
      <c r="F41" s="1169"/>
      <c r="G41" s="1169"/>
      <c r="H41" s="1169"/>
      <c r="I41" s="1169"/>
      <c r="J41" s="1169"/>
      <c r="K41" s="1169"/>
      <c r="L41" s="1169"/>
      <c r="M41" s="1169"/>
      <c r="N41" s="1169"/>
      <c r="O41" s="1169"/>
      <c r="P41" s="1169"/>
      <c r="Q41" s="1169"/>
      <c r="R41" s="1169"/>
      <c r="S41" s="1169"/>
      <c r="T41" s="1169"/>
      <c r="U41" s="1170"/>
      <c r="X41" s="535">
        <f>SUM(X20:X34)</f>
        <v>0</v>
      </c>
      <c r="Y41" s="535">
        <f>SUM(Y20:Y34)</f>
        <v>0</v>
      </c>
    </row>
    <row r="42" spans="1:41" ht="15" customHeight="1">
      <c r="A42" s="536"/>
      <c r="B42" s="1169"/>
      <c r="C42" s="1169"/>
      <c r="D42" s="1169"/>
      <c r="E42" s="1169"/>
      <c r="F42" s="1169"/>
      <c r="G42" s="1169"/>
      <c r="H42" s="1169"/>
      <c r="I42" s="1169"/>
      <c r="J42" s="1169"/>
      <c r="K42" s="1169"/>
      <c r="L42" s="1169"/>
      <c r="M42" s="1169"/>
      <c r="N42" s="1169"/>
      <c r="O42" s="1169"/>
      <c r="P42" s="1169"/>
      <c r="Q42" s="1169"/>
      <c r="R42" s="1169"/>
      <c r="S42" s="1169"/>
      <c r="T42" s="1169"/>
      <c r="U42" s="1170"/>
    </row>
    <row r="43" spans="1:41" ht="15" customHeight="1">
      <c r="A43" s="536"/>
      <c r="B43" s="1169"/>
      <c r="C43" s="1169"/>
      <c r="D43" s="1169"/>
      <c r="E43" s="1169"/>
      <c r="F43" s="1169"/>
      <c r="G43" s="1169"/>
      <c r="H43" s="1169"/>
      <c r="I43" s="1169"/>
      <c r="J43" s="1169"/>
      <c r="K43" s="1169"/>
      <c r="L43" s="1169"/>
      <c r="M43" s="1169"/>
      <c r="N43" s="1169"/>
      <c r="O43" s="1169"/>
      <c r="P43" s="1169"/>
      <c r="Q43" s="1169"/>
      <c r="R43" s="1169"/>
      <c r="S43" s="1169"/>
      <c r="T43" s="1169"/>
      <c r="U43" s="1170"/>
    </row>
    <row r="44" spans="1:41">
      <c r="D44" s="534"/>
      <c r="E44" s="534"/>
      <c r="F44" s="534"/>
      <c r="V44" s="534"/>
      <c r="W44" s="534"/>
      <c r="X44" s="534"/>
      <c r="Y44" s="534"/>
      <c r="Z44" s="534"/>
      <c r="AA44" s="534"/>
      <c r="AB44" s="534"/>
      <c r="AC44" s="534"/>
      <c r="AD44" s="534"/>
      <c r="AE44" s="534"/>
      <c r="AF44" s="534"/>
      <c r="AG44" s="534"/>
      <c r="AH44" s="534"/>
      <c r="AI44" s="534"/>
      <c r="AJ44" s="534"/>
      <c r="AK44" s="534"/>
      <c r="AL44" s="534"/>
      <c r="AM44" s="534"/>
      <c r="AN44" s="534"/>
      <c r="AO44" s="534"/>
    </row>
    <row r="45" spans="1:41" ht="15" customHeight="1">
      <c r="A45" s="534"/>
      <c r="B45" s="537" t="s">
        <v>641</v>
      </c>
      <c r="V45" s="534"/>
      <c r="W45" s="534"/>
      <c r="X45" s="534"/>
      <c r="Y45" s="534"/>
      <c r="Z45" s="534"/>
      <c r="AA45" s="534"/>
      <c r="AB45" s="534"/>
      <c r="AC45" s="534"/>
      <c r="AD45" s="534"/>
      <c r="AE45" s="534"/>
      <c r="AF45" s="534"/>
      <c r="AG45" s="534"/>
      <c r="AH45" s="534"/>
      <c r="AI45" s="534"/>
      <c r="AJ45" s="534"/>
      <c r="AK45" s="534"/>
      <c r="AL45" s="534"/>
      <c r="AM45" s="534"/>
      <c r="AN45" s="534"/>
      <c r="AO45" s="534"/>
    </row>
    <row r="46" spans="1:41" ht="13.5">
      <c r="E46" s="538"/>
      <c r="F46" s="538"/>
      <c r="V46" s="534"/>
      <c r="W46" s="534"/>
      <c r="X46" s="534"/>
      <c r="Y46" s="534"/>
      <c r="Z46" s="534"/>
      <c r="AA46" s="534"/>
      <c r="AB46" s="534"/>
      <c r="AC46" s="534"/>
      <c r="AD46" s="534"/>
      <c r="AE46" s="534"/>
      <c r="AF46" s="534"/>
      <c r="AG46" s="534"/>
      <c r="AH46" s="534"/>
      <c r="AI46" s="534"/>
      <c r="AJ46" s="534"/>
      <c r="AK46" s="534"/>
      <c r="AL46" s="534"/>
      <c r="AM46" s="534"/>
      <c r="AN46" s="534"/>
      <c r="AO46" s="534"/>
    </row>
    <row r="47" spans="1:41">
      <c r="A47" s="534"/>
      <c r="B47" s="534"/>
      <c r="S47" s="534"/>
      <c r="T47" s="534"/>
      <c r="V47" s="534"/>
      <c r="W47" s="534"/>
      <c r="X47" s="534"/>
      <c r="Y47" s="534"/>
      <c r="Z47" s="534"/>
      <c r="AA47" s="534"/>
      <c r="AB47" s="534"/>
      <c r="AC47" s="534"/>
      <c r="AD47" s="534"/>
      <c r="AE47" s="534"/>
      <c r="AF47" s="534"/>
      <c r="AG47" s="534"/>
      <c r="AH47" s="534"/>
      <c r="AI47" s="534"/>
      <c r="AJ47" s="534"/>
      <c r="AK47" s="534"/>
      <c r="AL47" s="534"/>
      <c r="AM47" s="534"/>
      <c r="AN47" s="534"/>
      <c r="AO47" s="534"/>
    </row>
    <row r="48" spans="1:41" ht="13.5">
      <c r="A48" s="30"/>
      <c r="B48" s="534"/>
      <c r="S48" s="534"/>
      <c r="T48" s="534"/>
      <c r="V48" s="534"/>
      <c r="W48" s="534"/>
      <c r="X48" s="534"/>
      <c r="Y48" s="534"/>
      <c r="Z48" s="534"/>
      <c r="AA48" s="534"/>
      <c r="AB48" s="534"/>
      <c r="AC48" s="534"/>
      <c r="AD48" s="534"/>
      <c r="AE48" s="534"/>
      <c r="AF48" s="534"/>
      <c r="AG48" s="534"/>
      <c r="AH48" s="534"/>
      <c r="AI48" s="534"/>
      <c r="AJ48" s="534"/>
      <c r="AK48" s="534"/>
      <c r="AL48" s="534"/>
      <c r="AM48" s="534"/>
      <c r="AN48" s="534"/>
      <c r="AO48" s="534"/>
    </row>
    <row r="49" spans="1:41">
      <c r="S49" s="534"/>
      <c r="T49" s="534"/>
      <c r="V49" s="534"/>
      <c r="W49" s="534"/>
      <c r="X49" s="534"/>
      <c r="Y49" s="534"/>
      <c r="Z49" s="534"/>
      <c r="AA49" s="534"/>
      <c r="AB49" s="534"/>
      <c r="AC49" s="534"/>
      <c r="AD49" s="534"/>
      <c r="AE49" s="534"/>
      <c r="AF49" s="534"/>
      <c r="AG49" s="534"/>
      <c r="AH49" s="534"/>
      <c r="AI49" s="534"/>
      <c r="AJ49" s="534"/>
      <c r="AK49" s="534"/>
      <c r="AL49" s="534"/>
      <c r="AM49" s="534"/>
      <c r="AN49" s="534"/>
      <c r="AO49" s="534"/>
    </row>
    <row r="50" spans="1:41" ht="13.5">
      <c r="B50" s="538"/>
      <c r="S50" s="534"/>
      <c r="T50" s="534"/>
    </row>
    <row r="51" spans="1:41">
      <c r="S51" s="534"/>
      <c r="T51" s="534"/>
    </row>
    <row r="52" spans="1:41">
      <c r="A52" s="534"/>
      <c r="B52" s="534"/>
      <c r="C52" s="534"/>
      <c r="D52" s="534"/>
      <c r="E52" s="534"/>
      <c r="F52" s="534"/>
    </row>
  </sheetData>
  <sheetProtection algorithmName="SHA-512" hashValue="cNiByilDII/ZrUG4nvfo/bvZ0DP3lHZtysmmSNveM8axxRIJ4iLW9k8mTQ4TOcWR9ENoMvrZo/1gAM/2tzcn7A==" saltValue="Vo8N5PV2EjJ3/r3NGrAPYg==" spinCount="100000" sheet="1" objects="1" scenarios="1"/>
  <mergeCells count="91">
    <mergeCell ref="B41:U43"/>
    <mergeCell ref="Q18:Q19"/>
    <mergeCell ref="R18:R19"/>
    <mergeCell ref="Y18:Y19"/>
    <mergeCell ref="X18:X19"/>
    <mergeCell ref="U18:U19"/>
    <mergeCell ref="T18:T19"/>
    <mergeCell ref="S18:S19"/>
    <mergeCell ref="O18:O19"/>
    <mergeCell ref="P18:P19"/>
    <mergeCell ref="M18:M19"/>
    <mergeCell ref="J18:J19"/>
    <mergeCell ref="A35:E35"/>
    <mergeCell ref="A34:E34"/>
    <mergeCell ref="C27:E27"/>
    <mergeCell ref="A22:E22"/>
    <mergeCell ref="S16:U17"/>
    <mergeCell ref="S10:T10"/>
    <mergeCell ref="Q10:R10"/>
    <mergeCell ref="S11:T11"/>
    <mergeCell ref="S12:T12"/>
    <mergeCell ref="Q12:R12"/>
    <mergeCell ref="Q11:R11"/>
    <mergeCell ref="Q13:R13"/>
    <mergeCell ref="Q16:R17"/>
    <mergeCell ref="S13:T13"/>
    <mergeCell ref="S6:T6"/>
    <mergeCell ref="Q6:R6"/>
    <mergeCell ref="Q9:R9"/>
    <mergeCell ref="Q8:R8"/>
    <mergeCell ref="Q7:R7"/>
    <mergeCell ref="S9:T9"/>
    <mergeCell ref="S8:T8"/>
    <mergeCell ref="S7:T7"/>
    <mergeCell ref="A4:D4"/>
    <mergeCell ref="E4:F4"/>
    <mergeCell ref="A5:A7"/>
    <mergeCell ref="B5:D5"/>
    <mergeCell ref="B7:D7"/>
    <mergeCell ref="E7:F7"/>
    <mergeCell ref="B6:D6"/>
    <mergeCell ref="E6:F6"/>
    <mergeCell ref="S3:T3"/>
    <mergeCell ref="S4:T4"/>
    <mergeCell ref="S5:T5"/>
    <mergeCell ref="Q3:R3"/>
    <mergeCell ref="E5:F5"/>
    <mergeCell ref="Q5:R5"/>
    <mergeCell ref="Q4:R4"/>
    <mergeCell ref="O16:P17"/>
    <mergeCell ref="N18:N19"/>
    <mergeCell ref="M16:N17"/>
    <mergeCell ref="K16:L17"/>
    <mergeCell ref="L18:L19"/>
    <mergeCell ref="I16:J17"/>
    <mergeCell ref="K18:K19"/>
    <mergeCell ref="I18:I19"/>
    <mergeCell ref="A21:E21"/>
    <mergeCell ref="G16:H17"/>
    <mergeCell ref="G18:G19"/>
    <mergeCell ref="H18:H19"/>
    <mergeCell ref="A37:E37"/>
    <mergeCell ref="A33:E33"/>
    <mergeCell ref="A36:E36"/>
    <mergeCell ref="A32:E32"/>
    <mergeCell ref="C24:E24"/>
    <mergeCell ref="A23:B26"/>
    <mergeCell ref="C23:E23"/>
    <mergeCell ref="C26:E26"/>
    <mergeCell ref="C25:E25"/>
    <mergeCell ref="A27:B31"/>
    <mergeCell ref="C28:E28"/>
    <mergeCell ref="C29:E29"/>
    <mergeCell ref="C30:E30"/>
    <mergeCell ref="C31:E31"/>
    <mergeCell ref="E13:F13"/>
    <mergeCell ref="B13:D13"/>
    <mergeCell ref="A11:A13"/>
    <mergeCell ref="A20:E20"/>
    <mergeCell ref="F16:F19"/>
    <mergeCell ref="B11:D11"/>
    <mergeCell ref="E12:F12"/>
    <mergeCell ref="E11:F11"/>
    <mergeCell ref="B12:D12"/>
    <mergeCell ref="A8:A10"/>
    <mergeCell ref="E10:F10"/>
    <mergeCell ref="B10:D10"/>
    <mergeCell ref="E9:F9"/>
    <mergeCell ref="B8:D8"/>
    <mergeCell ref="B9:D9"/>
    <mergeCell ref="E8:F8"/>
  </mergeCells>
  <phoneticPr fontId="2"/>
  <conditionalFormatting sqref="I20:J34 I37:J37">
    <cfRule type="expression" dxfId="6" priority="2" stopIfTrue="1">
      <formula>$E$16=$I$16</formula>
    </cfRule>
  </conditionalFormatting>
  <conditionalFormatting sqref="K20:L34 K37:L37">
    <cfRule type="expression" dxfId="5" priority="3" stopIfTrue="1">
      <formula>$E$16=$K$16</formula>
    </cfRule>
  </conditionalFormatting>
  <conditionalFormatting sqref="M37:N37 M20:N34">
    <cfRule type="expression" dxfId="4" priority="4" stopIfTrue="1">
      <formula>$E$16=$M$16</formula>
    </cfRule>
  </conditionalFormatting>
  <conditionalFormatting sqref="O37:P37 O20:P34">
    <cfRule type="expression" dxfId="3" priority="5" stopIfTrue="1">
      <formula>$E$16=$O$16</formula>
    </cfRule>
  </conditionalFormatting>
  <conditionalFormatting sqref="Q20:R34 Q37:R37">
    <cfRule type="expression" dxfId="2" priority="6" stopIfTrue="1">
      <formula>$E$16=$Q$16</formula>
    </cfRule>
  </conditionalFormatting>
  <conditionalFormatting sqref="G20:H34 G37:H37">
    <cfRule type="expression" dxfId="1" priority="7" stopIfTrue="1">
      <formula>$E$16=$G$16</formula>
    </cfRule>
  </conditionalFormatting>
  <conditionalFormatting sqref="X37:Y37 X20:Y34">
    <cfRule type="expression" dxfId="0" priority="8" stopIfTrue="1">
      <formula>($Y$17=2015)+($Y$17=2016)+($Y$17=2017)+($Y$17=2018)+($Y$17=2019)+($Y$17=$Y$2020)</formula>
    </cfRule>
  </conditionalFormatting>
  <pageMargins left="0.78740157480314965" right="0.39370078740157483" top="0.79" bottom="0.59055118110236227" header="0.39370078740157483" footer="0.39370078740157483"/>
  <headerFooter alignWithMargins="0">
    <oddHeader>&amp;A</oddHead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50</vt:i4>
      </vt:variant>
    </vt:vector>
  </HeadingPairs>
  <TitlesOfParts>
    <vt:vector size="63" baseType="lpstr">
      <vt:lpstr>入力について</vt:lpstr>
      <vt:lpstr>値貼り付けの方法</vt:lpstr>
      <vt:lpstr>表紙</vt:lpstr>
      <vt:lpstr>事業所台帳</vt:lpstr>
      <vt:lpstr>車両台帳</vt:lpstr>
      <vt:lpstr>計画1</vt:lpstr>
      <vt:lpstr>計画2</vt:lpstr>
      <vt:lpstr>実績1</vt:lpstr>
      <vt:lpstr>実績2</vt:lpstr>
      <vt:lpstr>事業所別車両状況</vt:lpstr>
      <vt:lpstr>【参考】産業分類</vt:lpstr>
      <vt:lpstr>【参考】産業分類　詳細内容</vt:lpstr>
      <vt:lpstr>【参考】排出係数</vt:lpstr>
      <vt:lpstr>_</vt:lpstr>
      <vt:lpstr>NOX・PM減少装置装着</vt:lpstr>
      <vt:lpstr>NOx・PM低減装置</vt:lpstr>
      <vt:lpstr>PM低減装置</vt:lpstr>
      <vt:lpstr>【参考】産業分類!Print_Area</vt:lpstr>
      <vt:lpstr>【参考】排出係数!Print_Area</vt:lpstr>
      <vt:lpstr>計画1!Print_Area</vt:lpstr>
      <vt:lpstr>計画2!Print_Area</vt:lpstr>
      <vt:lpstr>事業所台帳!Print_Area</vt:lpstr>
      <vt:lpstr>事業所別車両状況!Print_Area</vt:lpstr>
      <vt:lpstr>実績1!Print_Area</vt:lpstr>
      <vt:lpstr>実績2!Print_Area</vt:lpstr>
      <vt:lpstr>車両台帳!Print_Area</vt:lpstr>
      <vt:lpstr>値貼り付けの方法!Print_Area</vt:lpstr>
      <vt:lpstr>入力について!Print_Area</vt:lpstr>
      <vt:lpstr>表紙!Print_Area</vt:lpstr>
      <vt:lpstr>事業所台帳!Print_Titles</vt:lpstr>
      <vt:lpstr>事業所別車両状況!Print_Titles</vt:lpstr>
      <vt:lpstr>実績2!Print_Titles</vt:lpstr>
      <vt:lpstr>車両台帳!Print_Titles</vt:lpstr>
      <vt:lpstr>ガソリン・LPG</vt:lpstr>
      <vt:lpstr>係数_NOX・PM低減</vt:lpstr>
      <vt:lpstr>係数_PM低減</vt:lpstr>
      <vt:lpstr>係数_バス貨物_CNG</vt:lpstr>
      <vt:lpstr>係数_バス貨物_LPG</vt:lpstr>
      <vt:lpstr>係数_バス貨物_ガソリン</vt:lpstr>
      <vt:lpstr>係数_バス貨物_メタノール</vt:lpstr>
      <vt:lpstr>係数_バス貨物_軽油</vt:lpstr>
      <vt:lpstr>係数_乗用_CNG</vt:lpstr>
      <vt:lpstr>係数_乗用_LPG</vt:lpstr>
      <vt:lpstr>係数_乗用_ガソリン</vt:lpstr>
      <vt:lpstr>係数_乗用_メタノール</vt:lpstr>
      <vt:lpstr>係数_乗用_軽油</vt:lpstr>
      <vt:lpstr>元号</vt:lpstr>
      <vt:lpstr>減少装置装着</vt:lpstr>
      <vt:lpstr>事業所台帳</vt:lpstr>
      <vt:lpstr>自動車の種別</vt:lpstr>
      <vt:lpstr>車両の増減</vt:lpstr>
      <vt:lpstr>低減装置</vt:lpstr>
      <vt:lpstr>低公害車区分</vt:lpstr>
      <vt:lpstr>低公害車判別</vt:lpstr>
      <vt:lpstr>年度末に車両存在</vt:lpstr>
      <vt:lpstr>燃料の種類</vt:lpstr>
      <vt:lpstr>燃料区分1</vt:lpstr>
      <vt:lpstr>燃料区分3</vt:lpstr>
      <vt:lpstr>廃車</vt:lpstr>
      <vt:lpstr>排ガス低減レベル</vt:lpstr>
      <vt:lpstr>排出ガス低減レベル1</vt:lpstr>
      <vt:lpstr>番号</vt:lpstr>
      <vt:lpstr>用途</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modified xsi:type="dcterms:W3CDTF">2023-06-12T01:39:16Z</dcterms:modified>
</cp:coreProperties>
</file>